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workbookPr codeName="ThisWorkbook" defaultThemeVersion="124226"/>
  <mc:AlternateContent xmlns:mc="http://schemas.openxmlformats.org/markup-compatibility/2006">
    <mc:Choice Requires="x15">
      <x15ac:absPath xmlns:x15ac="http://schemas.microsoft.com/office/spreadsheetml/2010/11/ac" url="C:\Users\smonroe\Documents\"/>
    </mc:Choice>
  </mc:AlternateContent>
  <xr:revisionPtr revIDLastSave="0" documentId="8_{39D0EB45-8784-4D21-AEA8-6E8888FFE7D5}" xr6:coauthVersionLast="36" xr6:coauthVersionMax="36" xr10:uidLastSave="{00000000-0000-0000-0000-000000000000}"/>
  <bookViews>
    <workbookView xWindow="0" yWindow="0" windowWidth="28800" windowHeight="12040" tabRatio="954" firstSheet="5" activeTab="5" xr2:uid="{00000000-000D-0000-FFFF-FFFF00000000}"/>
  </bookViews>
  <sheets>
    <sheet name="Existing Debt-HB3" sheetId="483" state="hidden" r:id="rId1"/>
    <sheet name="Copyright" sheetId="105" state="hidden" r:id="rId2"/>
    <sheet name="IFAData_TEA_2022" sheetId="700" state="hidden" r:id="rId3"/>
    <sheet name="IFA_Limits_2022" sheetId="699" state="hidden" r:id="rId4"/>
    <sheet name="IFA-HB3" sheetId="482" state="hidden" r:id="rId5"/>
    <sheet name="Notes" sheetId="38" r:id="rId6"/>
    <sheet name="SqMiles" sheetId="93" state="hidden" r:id="rId7"/>
    <sheet name="Assumptions" sheetId="142" r:id="rId8"/>
    <sheet name="Weights" sheetId="247" state="hidden" r:id="rId9"/>
    <sheet name="$40K_Values" sheetId="667" r:id="rId10"/>
    <sheet name="Weights-HB3" sheetId="466" state="hidden" r:id="rId11"/>
    <sheet name="Data Entry - SOF" sheetId="1" r:id="rId12"/>
    <sheet name="Sheet3" sheetId="680" state="hidden" r:id="rId13"/>
    <sheet name="0506Data" sheetId="697" state="hidden" r:id="rId14"/>
    <sheet name="IFA_Limits" sheetId="391" r:id="rId15"/>
    <sheet name="Report-SOF2122-HB1525" sheetId="496" r:id="rId16"/>
    <sheet name="Report-SOF2223-SB1" sheetId="497" r:id="rId17"/>
    <sheet name="MCR_Calcs" sheetId="608" r:id="rId18"/>
    <sheet name="HB3-RollbackRates" sheetId="467" r:id="rId19"/>
    <sheet name="Report-SOF2324-SB1" sheetId="498" r:id="rId20"/>
    <sheet name="Report-SOF2425-SB1" sheetId="547" r:id="rId21"/>
    <sheet name="Report-SOF2526-SB1" sheetId="622" r:id="rId22"/>
    <sheet name="Report-SOF2627-SB1" sheetId="684" r:id="rId23"/>
    <sheet name="Report-SOF-AllYears" sheetId="248" r:id="rId24"/>
    <sheet name="RateToMaintain2324" sheetId="106" r:id="rId25"/>
    <sheet name="Notice2324" sheetId="107" r:id="rId26"/>
    <sheet name="Notice Calc2324" sheetId="109" state="hidden" r:id="rId27"/>
    <sheet name="Calc Data" sheetId="167" r:id="rId28"/>
    <sheet name="FTG-Detail2122" sheetId="634" r:id="rId29"/>
    <sheet name="FTG-Detail2223" sheetId="635" r:id="rId30"/>
    <sheet name="FTG-Detail2324" sheetId="636" r:id="rId31"/>
    <sheet name="DistCharter-Data2122" sheetId="613" r:id="rId32"/>
    <sheet name="DistCharter-Funding2122" sheetId="614" r:id="rId33"/>
    <sheet name="DistCharter-Data2223" sheetId="644" r:id="rId34"/>
    <sheet name="DistCharter-Funding2223" sheetId="643" r:id="rId35"/>
    <sheet name="DistCharter-Data2324" sheetId="646" r:id="rId36"/>
    <sheet name="DistCharter-Funding2324" sheetId="645" r:id="rId37"/>
    <sheet name="DistCharter-Data2425" sheetId="647" r:id="rId38"/>
    <sheet name="DistCharter-Funding2425" sheetId="648" r:id="rId39"/>
    <sheet name="DistCharter-Data2526" sheetId="650" r:id="rId40"/>
    <sheet name="DistCharter-Funding2526" sheetId="649" r:id="rId41"/>
    <sheet name="DistCharter-Data2627" sheetId="687" r:id="rId42"/>
    <sheet name="DistCharter-Funding2627" sheetId="686" r:id="rId43"/>
    <sheet name="SOF2122-HB3" sheetId="481" r:id="rId44"/>
    <sheet name="SOF2223-HB3" sheetId="489" r:id="rId45"/>
    <sheet name="SOF2324-HB3" sheetId="490" r:id="rId46"/>
    <sheet name="SOF2425-HB3" sheetId="545" r:id="rId47"/>
    <sheet name="SOF2526-HB3" sheetId="620" r:id="rId48"/>
    <sheet name="SOF2627-HB3" sheetId="683" r:id="rId49"/>
    <sheet name="Recap_Detail2122" sheetId="600" r:id="rId50"/>
    <sheet name="Recap40K_Detail2223" sheetId="601" r:id="rId51"/>
    <sheet name="Recap40K_Detail2324" sheetId="661" r:id="rId52"/>
    <sheet name="Recap40K_Detail2425" sheetId="662" r:id="rId53"/>
    <sheet name="Recap40K_Detail2526" sheetId="663" r:id="rId54"/>
    <sheet name="Recap40K_Detail2627" sheetId="688" r:id="rId55"/>
    <sheet name="HH2122-Calcs" sheetId="409" r:id="rId56"/>
    <sheet name="HH2223-40KCalcs" sheetId="423" r:id="rId57"/>
    <sheet name="HH2324-40KCalcs" sheetId="659" r:id="rId58"/>
    <sheet name="HH2425-40KCalcs" sheetId="664" r:id="rId59"/>
    <sheet name="HH2526-40KCalcs" sheetId="665" r:id="rId60"/>
    <sheet name="HH2627-40KCalcs" sheetId="682" r:id="rId61"/>
    <sheet name="FGA_Detail_2122" sheetId="671" r:id="rId62"/>
    <sheet name="Report-Calculations" sheetId="227" r:id="rId63"/>
    <sheet name="SpEdDetail2122-HB3" sheetId="510" r:id="rId64"/>
    <sheet name="SpEdDetail2223-HB3" sheetId="516" r:id="rId65"/>
    <sheet name="SpEdDetail2324-HB3" sheetId="522" r:id="rId66"/>
    <sheet name="SpEdDetail2425-HB3" sheetId="554" r:id="rId67"/>
    <sheet name="SpEdDetail2526-HB3" sheetId="633" r:id="rId68"/>
    <sheet name="SpEdDetail2627-HB3" sheetId="690" r:id="rId69"/>
    <sheet name="M&amp;ODetail2122-HB3" sheetId="533" r:id="rId70"/>
    <sheet name="M&amp;ODetail2223-HB3" sheetId="534" r:id="rId71"/>
    <sheet name="M&amp;ODetail2324-HB3" sheetId="535" r:id="rId72"/>
    <sheet name="M&amp;ODetail2425-HB3" sheetId="555" r:id="rId73"/>
    <sheet name="M&amp;ODetail2526-HB3" sheetId="632" r:id="rId74"/>
    <sheet name="M&amp;ODetail2627-HB3" sheetId="689" r:id="rId75"/>
    <sheet name="T1Detail2122-HB3" sheetId="511" r:id="rId76"/>
    <sheet name="T1Detail2223-HB3" sheetId="517" r:id="rId77"/>
    <sheet name="T1Detail2324-HB3" sheetId="523" r:id="rId78"/>
    <sheet name="T1Detail2425-HB3" sheetId="556" r:id="rId79"/>
    <sheet name="T1Detail2525-HB3" sheetId="631" r:id="rId80"/>
    <sheet name="T1Detail2627-HB3" sheetId="691" r:id="rId81"/>
    <sheet name="T2Detail2122-HB3" sheetId="512" r:id="rId82"/>
    <sheet name="T2Detail2223-HB3" sheetId="518" r:id="rId83"/>
    <sheet name="T2Detail2324-HB3" sheetId="524" r:id="rId84"/>
    <sheet name="T2Detail2425-HB3" sheetId="557" r:id="rId85"/>
    <sheet name="T2Detail2526-HB3" sheetId="630" r:id="rId86"/>
    <sheet name="T2Detail2627-HB3" sheetId="692" r:id="rId87"/>
    <sheet name="OtherDetail2122-HB3" sheetId="537" r:id="rId88"/>
    <sheet name="OtherDetail2223-HB3" sheetId="538" r:id="rId89"/>
    <sheet name="OtherDetail2324-HB3" sheetId="539" r:id="rId90"/>
    <sheet name="OtherDetail2425-HB3" sheetId="558" r:id="rId91"/>
    <sheet name="OtherDetail2526-HB3" sheetId="629" r:id="rId92"/>
    <sheet name="OtherDetail2627-HB3" sheetId="685" r:id="rId93"/>
    <sheet name="EDADetail2122-HB3" sheetId="513" r:id="rId94"/>
    <sheet name="EDADetail2223-HB3" sheetId="519" r:id="rId95"/>
    <sheet name="EDADetail2324-HB3" sheetId="525" r:id="rId96"/>
    <sheet name="EDADetail2425-HB3" sheetId="559" r:id="rId97"/>
    <sheet name="EDADetail2526-HB3" sheetId="626" r:id="rId98"/>
    <sheet name="EDADetail2627-HB3" sheetId="693" r:id="rId99"/>
    <sheet name="IFADetail2122-HB3" sheetId="514" r:id="rId100"/>
    <sheet name="IFADetail2223-HB3" sheetId="520" r:id="rId101"/>
    <sheet name="IFADetail2324-HB3" sheetId="526" r:id="rId102"/>
    <sheet name="IFADetail2425-HB3" sheetId="560" r:id="rId103"/>
    <sheet name="IFADetail2526-HB3" sheetId="628" r:id="rId104"/>
    <sheet name="IFADetail2627-HB3" sheetId="694" r:id="rId105"/>
    <sheet name="FSF2122-HB3" sheetId="515" r:id="rId106"/>
    <sheet name="FSF2223-HB3" sheetId="521" r:id="rId107"/>
    <sheet name="FSF2324-HB3" sheetId="527" r:id="rId108"/>
    <sheet name="FSF2425-HB3" sheetId="561" r:id="rId109"/>
    <sheet name="Data0809" sheetId="120" r:id="rId110"/>
    <sheet name="FSF2526-HB3" sheetId="627" r:id="rId111"/>
    <sheet name="FSF2627-HB3" sheetId="695" r:id="rId112"/>
    <sheet name="Concatenate" sheetId="298" state="hidden" r:id="rId113"/>
    <sheet name="EWTG1819" sheetId="550" r:id="rId114"/>
    <sheet name="HarveyPennies" sheetId="568" state="hidden" r:id="rId115"/>
    <sheet name="M&amp;O1819" sheetId="553" r:id="rId116"/>
    <sheet name="MCRs" sheetId="575" r:id="rId117"/>
    <sheet name="Final_2019_Values" sheetId="579" r:id="rId118"/>
    <sheet name="OnlyDist_Flag" sheetId="582" r:id="rId119"/>
    <sheet name="CompRates_NewLaw" sheetId="605" r:id="rId120"/>
    <sheet name="CompRates_OldLaw" sheetId="604" state="hidden" r:id="rId121"/>
    <sheet name="FGA2122_Data" sheetId="617" r:id="rId122"/>
    <sheet name="FGA2223_Data" sheetId="675" r:id="rId123"/>
    <sheet name="FastGrowth2122" sheetId="612" state="hidden" r:id="rId124"/>
    <sheet name="FastGrowth" sheetId="479" state="hidden" r:id="rId125"/>
    <sheet name="EDA2122" sheetId="642" r:id="rId126"/>
    <sheet name="FTG_Data1920" sheetId="657" r:id="rId127"/>
    <sheet name="Final_2020_Values_All" sheetId="668" r:id="rId128"/>
    <sheet name="Final_2021_Values" sheetId="681" r:id="rId129"/>
    <sheet name="FGA_Line8" sheetId="672" r:id="rId130"/>
    <sheet name="MCRs2122" sheetId="638" r:id="rId131"/>
    <sheet name="ASF_FinalADA_2122" sheetId="679" r:id="rId132"/>
    <sheet name="DE1" sheetId="49" r:id="rId133"/>
    <sheet name="NF_2122_Data2" sheetId="701" r:id="rId134"/>
    <sheet name="EDA_IFA_Data2021" sheetId="703" r:id="rId135"/>
    <sheet name="ASAHE_Line3" sheetId="704" r:id="rId136"/>
    <sheet name="MCRs_2223_Final" sheetId="705" r:id="rId137"/>
    <sheet name="FTG_2223_Greaterof" sheetId="706" r:id="rId138"/>
    <sheet name="FTG_GreaterOfs" sheetId="707" r:id="rId139"/>
  </sheets>
  <definedNames>
    <definedName name="_MailAutoSig" localSheetId="11">'Data Entry - SOF'!#REF!</definedName>
    <definedName name="_xlnm.Print_Area" localSheetId="7">Assumptions!$A$115:$O$161</definedName>
    <definedName name="_xlnm.Print_Area" localSheetId="27" xml:space="preserve"> 'Calc Data'!$A$1:$G$45</definedName>
    <definedName name="_xlnm.Print_Area" localSheetId="0">'Existing Debt-HB3'!$A$1:$F$175</definedName>
    <definedName name="_xlnm.Print_Area" localSheetId="4">'IFA-HB3'!$A$1:$G$91</definedName>
    <definedName name="_xlnm.Print_Area" localSheetId="5">Notes!$A$212:$B$235</definedName>
    <definedName name="_xlnm.Print_Area" localSheetId="25">Notice2324!$A$1:$K$24</definedName>
    <definedName name="_xlnm.Print_Area" localSheetId="24">RateToMaintain2324!$A$1:$F$104</definedName>
    <definedName name="_xlnm.Print_Area" localSheetId="51">Recap40K_Detail2324!$A$1:$C$36</definedName>
    <definedName name="_xlnm.Print_Area" localSheetId="62">'Report-Calculations'!$A$1:$C$50</definedName>
    <definedName name="_xlnm.Print_Area" localSheetId="8">Weights!$A$1:$P$54</definedName>
    <definedName name="_xlnm.Print_Area" localSheetId="10">'Weights-HB3'!$A$2:$L$59</definedName>
    <definedName name="_xlnm.Print_Titles" localSheetId="0">'Existing Debt-HB3'!$1:$3</definedName>
    <definedName name="_xlnm.Print_Titles" localSheetId="4">'IFA-HB3'!$1:$3</definedName>
  </definedNames>
  <calcPr calcId="191029"/>
  <fileRecoveryPr autoRecover="0"/>
</workbook>
</file>

<file path=xl/calcChain.xml><?xml version="1.0" encoding="utf-8"?>
<calcChain xmlns="http://schemas.openxmlformats.org/spreadsheetml/2006/main">
  <c r="B1234" i="707" l="1"/>
  <c r="B1233" i="707"/>
  <c r="B1232" i="707"/>
  <c r="B1231" i="707"/>
  <c r="B1230" i="707"/>
  <c r="B1229" i="707"/>
  <c r="B1228" i="707"/>
  <c r="B1227" i="707"/>
  <c r="B1226" i="707"/>
  <c r="B1225" i="707"/>
  <c r="B1224" i="707"/>
  <c r="B1223" i="707"/>
  <c r="B1222" i="707"/>
  <c r="B1221" i="707"/>
  <c r="B1220" i="707"/>
  <c r="B1219" i="707"/>
  <c r="B1218" i="707"/>
  <c r="B1217" i="707"/>
  <c r="B1216" i="707"/>
  <c r="B1215" i="707"/>
  <c r="B1214" i="707"/>
  <c r="B1213" i="707"/>
  <c r="B1212" i="707"/>
  <c r="B1211" i="707"/>
  <c r="B1210" i="707"/>
  <c r="B1209" i="707"/>
  <c r="B1208" i="707"/>
  <c r="B1207" i="707"/>
  <c r="B1206" i="707"/>
  <c r="B1205" i="707"/>
  <c r="B1204" i="707"/>
  <c r="B1203" i="707"/>
  <c r="B1202" i="707"/>
  <c r="B1201" i="707"/>
  <c r="B1200" i="707"/>
  <c r="B1199" i="707"/>
  <c r="B1198" i="707"/>
  <c r="B1197" i="707"/>
  <c r="B1196" i="707"/>
  <c r="B1195" i="707"/>
  <c r="B1194" i="707"/>
  <c r="B1193" i="707"/>
  <c r="B1192" i="707"/>
  <c r="B1191" i="707"/>
  <c r="B1190" i="707"/>
  <c r="B1189" i="707"/>
  <c r="B1188" i="707"/>
  <c r="B1187" i="707"/>
  <c r="B1186" i="707"/>
  <c r="B1185" i="707"/>
  <c r="B1184" i="707"/>
  <c r="B1183" i="707"/>
  <c r="B1182" i="707"/>
  <c r="B1181" i="707"/>
  <c r="B1180" i="707"/>
  <c r="B1179" i="707"/>
  <c r="B1178" i="707"/>
  <c r="B1177" i="707"/>
  <c r="B1176" i="707"/>
  <c r="B1175" i="707"/>
  <c r="B1174" i="707"/>
  <c r="B1173" i="707"/>
  <c r="B1172" i="707"/>
  <c r="B1171" i="707"/>
  <c r="B1170" i="707"/>
  <c r="B1169" i="707"/>
  <c r="B1168" i="707"/>
  <c r="B1167" i="707"/>
  <c r="B1166" i="707"/>
  <c r="B1165" i="707"/>
  <c r="B1164" i="707"/>
  <c r="B1163" i="707"/>
  <c r="B1162" i="707"/>
  <c r="B1161" i="707"/>
  <c r="B1160" i="707"/>
  <c r="B1159" i="707"/>
  <c r="B1158" i="707"/>
  <c r="B1157" i="707"/>
  <c r="B1156" i="707"/>
  <c r="B1155" i="707"/>
  <c r="B1154" i="707"/>
  <c r="B1153" i="707"/>
  <c r="B1152" i="707"/>
  <c r="B1151" i="707"/>
  <c r="B1150" i="707"/>
  <c r="B1149" i="707"/>
  <c r="B1148" i="707"/>
  <c r="B1147" i="707"/>
  <c r="B1146" i="707"/>
  <c r="B1145" i="707"/>
  <c r="B1144" i="707"/>
  <c r="B1143" i="707"/>
  <c r="B1142" i="707"/>
  <c r="B1141" i="707"/>
  <c r="B1140" i="707"/>
  <c r="B1139" i="707"/>
  <c r="B1138" i="707"/>
  <c r="B1137" i="707"/>
  <c r="B1136" i="707"/>
  <c r="B1135" i="707"/>
  <c r="B1134" i="707"/>
  <c r="B1133" i="707"/>
  <c r="B1132" i="707"/>
  <c r="B1131" i="707"/>
  <c r="B1130" i="707"/>
  <c r="B1129" i="707"/>
  <c r="B1128" i="707"/>
  <c r="B1127" i="707"/>
  <c r="B1126" i="707"/>
  <c r="B1125" i="707"/>
  <c r="B1124" i="707"/>
  <c r="B1123" i="707"/>
  <c r="B1122" i="707"/>
  <c r="B1121" i="707"/>
  <c r="B1120" i="707"/>
  <c r="B1119" i="707"/>
  <c r="B1118" i="707"/>
  <c r="B1117" i="707"/>
  <c r="B1116" i="707"/>
  <c r="B1115" i="707"/>
  <c r="B1114" i="707"/>
  <c r="B1113" i="707"/>
  <c r="B1112" i="707"/>
  <c r="B1111" i="707"/>
  <c r="B1110" i="707"/>
  <c r="B1109" i="707"/>
  <c r="B1108" i="707"/>
  <c r="B1107" i="707"/>
  <c r="B1106" i="707"/>
  <c r="B1105" i="707"/>
  <c r="B1104" i="707"/>
  <c r="B1103" i="707"/>
  <c r="B1102" i="707"/>
  <c r="B1101" i="707"/>
  <c r="B1100" i="707"/>
  <c r="B1099" i="707"/>
  <c r="B1098" i="707"/>
  <c r="B1097" i="707"/>
  <c r="B1096" i="707"/>
  <c r="B1095" i="707"/>
  <c r="B1094" i="707"/>
  <c r="B1093" i="707"/>
  <c r="B1092" i="707"/>
  <c r="B1091" i="707"/>
  <c r="B1090" i="707"/>
  <c r="B1089" i="707"/>
  <c r="B1088" i="707"/>
  <c r="B1087" i="707"/>
  <c r="B1086" i="707"/>
  <c r="B1085" i="707"/>
  <c r="B1084" i="707"/>
  <c r="B1083" i="707"/>
  <c r="B1082" i="707"/>
  <c r="B1081" i="707"/>
  <c r="B1080" i="707"/>
  <c r="B1079" i="707"/>
  <c r="B1078" i="707"/>
  <c r="B1077" i="707"/>
  <c r="B1076" i="707"/>
  <c r="B1075" i="707"/>
  <c r="B1074" i="707"/>
  <c r="B1073" i="707"/>
  <c r="B1072" i="707"/>
  <c r="B1071" i="707"/>
  <c r="B1070" i="707"/>
  <c r="B1069" i="707"/>
  <c r="B1068" i="707"/>
  <c r="B1067" i="707"/>
  <c r="B1066" i="707"/>
  <c r="B1065" i="707"/>
  <c r="B1064" i="707"/>
  <c r="B1063" i="707"/>
  <c r="B1062" i="707"/>
  <c r="B1061" i="707"/>
  <c r="B1060" i="707"/>
  <c r="B1059" i="707"/>
  <c r="B1058" i="707"/>
  <c r="B1057" i="707"/>
  <c r="B1056" i="707"/>
  <c r="B1055" i="707"/>
  <c r="B1054" i="707"/>
  <c r="B1053" i="707"/>
  <c r="B1052" i="707"/>
  <c r="B1051" i="707"/>
  <c r="B1050" i="707"/>
  <c r="B1049" i="707"/>
  <c r="B1048" i="707"/>
  <c r="B1047" i="707"/>
  <c r="B1046" i="707"/>
  <c r="B1045" i="707"/>
  <c r="B1044" i="707"/>
  <c r="B1043" i="707"/>
  <c r="B1042" i="707"/>
  <c r="B1041" i="707"/>
  <c r="B1040" i="707"/>
  <c r="B1039" i="707"/>
  <c r="B1038" i="707"/>
  <c r="B1037" i="707"/>
  <c r="B1036" i="707"/>
  <c r="B1035" i="707"/>
  <c r="B1034" i="707"/>
  <c r="B1033" i="707"/>
  <c r="B1032" i="707"/>
  <c r="B1031" i="707"/>
  <c r="B1030" i="707"/>
  <c r="B1029" i="707"/>
  <c r="B1028" i="707"/>
  <c r="B1027" i="707"/>
  <c r="B1026" i="707"/>
  <c r="B1025" i="707"/>
  <c r="B1024" i="707"/>
  <c r="B1023" i="707"/>
  <c r="B1022" i="707"/>
  <c r="B1021" i="707"/>
  <c r="B1020" i="707"/>
  <c r="B1019" i="707"/>
  <c r="B1018" i="707"/>
  <c r="B1017" i="707"/>
  <c r="B1016" i="707"/>
  <c r="B1015" i="707"/>
  <c r="B1014" i="707"/>
  <c r="B1013" i="707"/>
  <c r="B1012" i="707"/>
  <c r="B1011" i="707"/>
  <c r="B1010" i="707"/>
  <c r="B1009" i="707"/>
  <c r="B1008" i="707"/>
  <c r="B1007" i="707"/>
  <c r="B1006" i="707"/>
  <c r="B1005" i="707"/>
  <c r="B1004" i="707"/>
  <c r="B1003" i="707"/>
  <c r="B1002" i="707"/>
  <c r="B1001" i="707"/>
  <c r="B1000" i="707"/>
  <c r="B999" i="707"/>
  <c r="B998" i="707"/>
  <c r="B997" i="707"/>
  <c r="B996" i="707"/>
  <c r="B995" i="707"/>
  <c r="B994" i="707"/>
  <c r="B993" i="707"/>
  <c r="B992" i="707"/>
  <c r="B991" i="707"/>
  <c r="B990" i="707"/>
  <c r="B989" i="707"/>
  <c r="B988" i="707"/>
  <c r="B987" i="707"/>
  <c r="B986" i="707"/>
  <c r="B985" i="707"/>
  <c r="B984" i="707"/>
  <c r="B983" i="707"/>
  <c r="B982" i="707"/>
  <c r="B981" i="707"/>
  <c r="B980" i="707"/>
  <c r="B979" i="707"/>
  <c r="B978" i="707"/>
  <c r="B977" i="707"/>
  <c r="B976" i="707"/>
  <c r="B975" i="707"/>
  <c r="B974" i="707"/>
  <c r="B973" i="707"/>
  <c r="B972" i="707"/>
  <c r="B971" i="707"/>
  <c r="B970" i="707"/>
  <c r="B969" i="707"/>
  <c r="B968" i="707"/>
  <c r="B967" i="707"/>
  <c r="B966" i="707"/>
  <c r="B965" i="707"/>
  <c r="B964" i="707"/>
  <c r="B963" i="707"/>
  <c r="B962" i="707"/>
  <c r="B961" i="707"/>
  <c r="B960" i="707"/>
  <c r="B959" i="707"/>
  <c r="B958" i="707"/>
  <c r="B957" i="707"/>
  <c r="B956" i="707"/>
  <c r="B955" i="707"/>
  <c r="B954" i="707"/>
  <c r="B953" i="707"/>
  <c r="B952" i="707"/>
  <c r="B951" i="707"/>
  <c r="B950" i="707"/>
  <c r="B949" i="707"/>
  <c r="B948" i="707"/>
  <c r="B947" i="707"/>
  <c r="B946" i="707"/>
  <c r="B945" i="707"/>
  <c r="B944" i="707"/>
  <c r="B943" i="707"/>
  <c r="B942" i="707"/>
  <c r="B941" i="707"/>
  <c r="B940" i="707"/>
  <c r="B939" i="707"/>
  <c r="B938" i="707"/>
  <c r="B937" i="707"/>
  <c r="B936" i="707"/>
  <c r="B935" i="707"/>
  <c r="B934" i="707"/>
  <c r="B933" i="707"/>
  <c r="B932" i="707"/>
  <c r="B931" i="707"/>
  <c r="B930" i="707"/>
  <c r="B929" i="707"/>
  <c r="B928" i="707"/>
  <c r="B927" i="707"/>
  <c r="B926" i="707"/>
  <c r="B925" i="707"/>
  <c r="B924" i="707"/>
  <c r="B923" i="707"/>
  <c r="B922" i="707"/>
  <c r="B921" i="707"/>
  <c r="B920" i="707"/>
  <c r="B919" i="707"/>
  <c r="B918" i="707"/>
  <c r="B917" i="707"/>
  <c r="B916" i="707"/>
  <c r="B915" i="707"/>
  <c r="B914" i="707"/>
  <c r="B913" i="707"/>
  <c r="B912" i="707"/>
  <c r="B911" i="707"/>
  <c r="B910" i="707"/>
  <c r="B909" i="707"/>
  <c r="B908" i="707"/>
  <c r="B907" i="707"/>
  <c r="B906" i="707"/>
  <c r="B905" i="707"/>
  <c r="B904" i="707"/>
  <c r="B903" i="707"/>
  <c r="B902" i="707"/>
  <c r="B901" i="707"/>
  <c r="B900" i="707"/>
  <c r="B899" i="707"/>
  <c r="B898" i="707"/>
  <c r="B897" i="707"/>
  <c r="B896" i="707"/>
  <c r="B895" i="707"/>
  <c r="B894" i="707"/>
  <c r="B893" i="707"/>
  <c r="B892" i="707"/>
  <c r="B891" i="707"/>
  <c r="B890" i="707"/>
  <c r="B889" i="707"/>
  <c r="B888" i="707"/>
  <c r="B887" i="707"/>
  <c r="B886" i="707"/>
  <c r="B885" i="707"/>
  <c r="B884" i="707"/>
  <c r="B883" i="707"/>
  <c r="B882" i="707"/>
  <c r="B881" i="707"/>
  <c r="B880" i="707"/>
  <c r="B879" i="707"/>
  <c r="B878" i="707"/>
  <c r="B877" i="707"/>
  <c r="B876" i="707"/>
  <c r="B875" i="707"/>
  <c r="B874" i="707"/>
  <c r="B873" i="707"/>
  <c r="B872" i="707"/>
  <c r="B871" i="707"/>
  <c r="B870" i="707"/>
  <c r="B869" i="707"/>
  <c r="B868" i="707"/>
  <c r="B867" i="707"/>
  <c r="B866" i="707"/>
  <c r="B865" i="707"/>
  <c r="B864" i="707"/>
  <c r="B863" i="707"/>
  <c r="B862" i="707"/>
  <c r="B861" i="707"/>
  <c r="B860" i="707"/>
  <c r="B859" i="707"/>
  <c r="B858" i="707"/>
  <c r="B857" i="707"/>
  <c r="B856" i="707"/>
  <c r="B855" i="707"/>
  <c r="B854" i="707"/>
  <c r="B853" i="707"/>
  <c r="B852" i="707"/>
  <c r="B851" i="707"/>
  <c r="B850" i="707"/>
  <c r="B849" i="707"/>
  <c r="B848" i="707"/>
  <c r="B847" i="707"/>
  <c r="B846" i="707"/>
  <c r="B845" i="707"/>
  <c r="B844" i="707"/>
  <c r="B843" i="707"/>
  <c r="B842" i="707"/>
  <c r="B841" i="707"/>
  <c r="B840" i="707"/>
  <c r="B839" i="707"/>
  <c r="B838" i="707"/>
  <c r="B837" i="707"/>
  <c r="B836" i="707"/>
  <c r="B835" i="707"/>
  <c r="B834" i="707"/>
  <c r="B833" i="707"/>
  <c r="B832" i="707"/>
  <c r="B831" i="707"/>
  <c r="B830" i="707"/>
  <c r="B829" i="707"/>
  <c r="B828" i="707"/>
  <c r="B827" i="707"/>
  <c r="B826" i="707"/>
  <c r="B825" i="707"/>
  <c r="B824" i="707"/>
  <c r="B823" i="707"/>
  <c r="B822" i="707"/>
  <c r="B821" i="707"/>
  <c r="B820" i="707"/>
  <c r="B819" i="707"/>
  <c r="B818" i="707"/>
  <c r="B817" i="707"/>
  <c r="B816" i="707"/>
  <c r="B815" i="707"/>
  <c r="B814" i="707"/>
  <c r="B813" i="707"/>
  <c r="B812" i="707"/>
  <c r="B811" i="707"/>
  <c r="B810" i="707"/>
  <c r="B809" i="707"/>
  <c r="B808" i="707"/>
  <c r="B807" i="707"/>
  <c r="B806" i="707"/>
  <c r="B805" i="707"/>
  <c r="B804" i="707"/>
  <c r="B803" i="707"/>
  <c r="B802" i="707"/>
  <c r="B801" i="707"/>
  <c r="B800" i="707"/>
  <c r="B799" i="707"/>
  <c r="B798" i="707"/>
  <c r="B797" i="707"/>
  <c r="B796" i="707"/>
  <c r="B795" i="707"/>
  <c r="B794" i="707"/>
  <c r="B793" i="707"/>
  <c r="B792" i="707"/>
  <c r="B791" i="707"/>
  <c r="B790" i="707"/>
  <c r="B789" i="707"/>
  <c r="B788" i="707"/>
  <c r="B787" i="707"/>
  <c r="B786" i="707"/>
  <c r="B785" i="707"/>
  <c r="B784" i="707"/>
  <c r="B783" i="707"/>
  <c r="B782" i="707"/>
  <c r="B781" i="707"/>
  <c r="B780" i="707"/>
  <c r="B779" i="707"/>
  <c r="B778" i="707"/>
  <c r="B777" i="707"/>
  <c r="B776" i="707"/>
  <c r="B775" i="707"/>
  <c r="B774" i="707"/>
  <c r="B773" i="707"/>
  <c r="B772" i="707"/>
  <c r="B771" i="707"/>
  <c r="B770" i="707"/>
  <c r="B769" i="707"/>
  <c r="B768" i="707"/>
  <c r="B767" i="707"/>
  <c r="B766" i="707"/>
  <c r="B765" i="707"/>
  <c r="B764" i="707"/>
  <c r="B763" i="707"/>
  <c r="B762" i="707"/>
  <c r="B761" i="707"/>
  <c r="B760" i="707"/>
  <c r="B759" i="707"/>
  <c r="B758" i="707"/>
  <c r="B757" i="707"/>
  <c r="B756" i="707"/>
  <c r="B755" i="707"/>
  <c r="B754" i="707"/>
  <c r="B753" i="707"/>
  <c r="B752" i="707"/>
  <c r="B751" i="707"/>
  <c r="B750" i="707"/>
  <c r="B749" i="707"/>
  <c r="B748" i="707"/>
  <c r="B747" i="707"/>
  <c r="B746" i="707"/>
  <c r="B745" i="707"/>
  <c r="B744" i="707"/>
  <c r="B743" i="707"/>
  <c r="B742" i="707"/>
  <c r="B741" i="707"/>
  <c r="B740" i="707"/>
  <c r="B739" i="707"/>
  <c r="B738" i="707"/>
  <c r="B737" i="707"/>
  <c r="B736" i="707"/>
  <c r="B735" i="707"/>
  <c r="B734" i="707"/>
  <c r="B733" i="707"/>
  <c r="B732" i="707"/>
  <c r="B731" i="707"/>
  <c r="B730" i="707"/>
  <c r="B729" i="707"/>
  <c r="B728" i="707"/>
  <c r="B727" i="707"/>
  <c r="B726" i="707"/>
  <c r="B725" i="707"/>
  <c r="B724" i="707"/>
  <c r="B723" i="707"/>
  <c r="B722" i="707"/>
  <c r="B721" i="707"/>
  <c r="B720" i="707"/>
  <c r="B719" i="707"/>
  <c r="B718" i="707"/>
  <c r="B717" i="707"/>
  <c r="B716" i="707"/>
  <c r="B715" i="707"/>
  <c r="B714" i="707"/>
  <c r="B713" i="707"/>
  <c r="B712" i="707"/>
  <c r="B711" i="707"/>
  <c r="B710" i="707"/>
  <c r="B709" i="707"/>
  <c r="B708" i="707"/>
  <c r="B707" i="707"/>
  <c r="B706" i="707"/>
  <c r="B705" i="707"/>
  <c r="B704" i="707"/>
  <c r="B703" i="707"/>
  <c r="B702" i="707"/>
  <c r="B701" i="707"/>
  <c r="B700" i="707"/>
  <c r="B699" i="707"/>
  <c r="B698" i="707"/>
  <c r="B697" i="707"/>
  <c r="B696" i="707"/>
  <c r="B695" i="707"/>
  <c r="B694" i="707"/>
  <c r="B693" i="707"/>
  <c r="B692" i="707"/>
  <c r="B691" i="707"/>
  <c r="B690" i="707"/>
  <c r="B689" i="707"/>
  <c r="B688" i="707"/>
  <c r="B687" i="707"/>
  <c r="B686" i="707"/>
  <c r="B685" i="707"/>
  <c r="B684" i="707"/>
  <c r="B683" i="707"/>
  <c r="B682" i="707"/>
  <c r="B681" i="707"/>
  <c r="B680" i="707"/>
  <c r="B679" i="707"/>
  <c r="B678" i="707"/>
  <c r="B677" i="707"/>
  <c r="B676" i="707"/>
  <c r="B675" i="707"/>
  <c r="B674" i="707"/>
  <c r="B673" i="707"/>
  <c r="B672" i="707"/>
  <c r="B671" i="707"/>
  <c r="B670" i="707"/>
  <c r="B669" i="707"/>
  <c r="B668" i="707"/>
  <c r="B667" i="707"/>
  <c r="B666" i="707"/>
  <c r="B665" i="707"/>
  <c r="B664" i="707"/>
  <c r="B663" i="707"/>
  <c r="B662" i="707"/>
  <c r="B661" i="707"/>
  <c r="B660" i="707"/>
  <c r="B659" i="707"/>
  <c r="B658" i="707"/>
  <c r="B657" i="707"/>
  <c r="B656" i="707"/>
  <c r="B655" i="707"/>
  <c r="B654" i="707"/>
  <c r="B653" i="707"/>
  <c r="B652" i="707"/>
  <c r="B651" i="707"/>
  <c r="B650" i="707"/>
  <c r="B649" i="707"/>
  <c r="B648" i="707"/>
  <c r="B647" i="707"/>
  <c r="B646" i="707"/>
  <c r="B645" i="707"/>
  <c r="B644" i="707"/>
  <c r="B643" i="707"/>
  <c r="B642" i="707"/>
  <c r="B641" i="707"/>
  <c r="B640" i="707"/>
  <c r="B639" i="707"/>
  <c r="B638" i="707"/>
  <c r="B637" i="707"/>
  <c r="B636" i="707"/>
  <c r="B635" i="707"/>
  <c r="B634" i="707"/>
  <c r="B633" i="707"/>
  <c r="B632" i="707"/>
  <c r="B631" i="707"/>
  <c r="B630" i="707"/>
  <c r="B629" i="707"/>
  <c r="B628" i="707"/>
  <c r="B627" i="707"/>
  <c r="B626" i="707"/>
  <c r="B625" i="707"/>
  <c r="B624" i="707"/>
  <c r="B623" i="707"/>
  <c r="B622" i="707"/>
  <c r="B621" i="707"/>
  <c r="B620" i="707"/>
  <c r="B619" i="707"/>
  <c r="B618" i="707"/>
  <c r="B617" i="707"/>
  <c r="B616" i="707"/>
  <c r="B615" i="707"/>
  <c r="B614" i="707"/>
  <c r="B613" i="707"/>
  <c r="B612" i="707"/>
  <c r="B611" i="707"/>
  <c r="B610" i="707"/>
  <c r="B609" i="707"/>
  <c r="B608" i="707"/>
  <c r="B607" i="707"/>
  <c r="B606" i="707"/>
  <c r="B605" i="707"/>
  <c r="B604" i="707"/>
  <c r="B603" i="707"/>
  <c r="B602" i="707"/>
  <c r="B601" i="707"/>
  <c r="B600" i="707"/>
  <c r="B599" i="707"/>
  <c r="B598" i="707"/>
  <c r="B597" i="707"/>
  <c r="B596" i="707"/>
  <c r="B595" i="707"/>
  <c r="B594" i="707"/>
  <c r="B593" i="707"/>
  <c r="B592" i="707"/>
  <c r="B591" i="707"/>
  <c r="B590" i="707"/>
  <c r="B589" i="707"/>
  <c r="B588" i="707"/>
  <c r="B587" i="707"/>
  <c r="B586" i="707"/>
  <c r="B585" i="707"/>
  <c r="B584" i="707"/>
  <c r="B583" i="707"/>
  <c r="B582" i="707"/>
  <c r="B581" i="707"/>
  <c r="B580" i="707"/>
  <c r="B579" i="707"/>
  <c r="B578" i="707"/>
  <c r="B577" i="707"/>
  <c r="B576" i="707"/>
  <c r="B575" i="707"/>
  <c r="B574" i="707"/>
  <c r="B573" i="707"/>
  <c r="B572" i="707"/>
  <c r="B571" i="707"/>
  <c r="B570" i="707"/>
  <c r="B569" i="707"/>
  <c r="B568" i="707"/>
  <c r="B567" i="707"/>
  <c r="B566" i="707"/>
  <c r="B565" i="707"/>
  <c r="B564" i="707"/>
  <c r="B563" i="707"/>
  <c r="B562" i="707"/>
  <c r="B561" i="707"/>
  <c r="B560" i="707"/>
  <c r="B559" i="707"/>
  <c r="B558" i="707"/>
  <c r="B557" i="707"/>
  <c r="B556" i="707"/>
  <c r="B555" i="707"/>
  <c r="B554" i="707"/>
  <c r="B553" i="707"/>
  <c r="B552" i="707"/>
  <c r="B551" i="707"/>
  <c r="B550" i="707"/>
  <c r="B549" i="707"/>
  <c r="B548" i="707"/>
  <c r="B547" i="707"/>
  <c r="B546" i="707"/>
  <c r="B545" i="707"/>
  <c r="B544" i="707"/>
  <c r="B543" i="707"/>
  <c r="B542" i="707"/>
  <c r="B541" i="707"/>
  <c r="B540" i="707"/>
  <c r="B539" i="707"/>
  <c r="B538" i="707"/>
  <c r="B537" i="707"/>
  <c r="B536" i="707"/>
  <c r="B535" i="707"/>
  <c r="B534" i="707"/>
  <c r="B533" i="707"/>
  <c r="B532" i="707"/>
  <c r="B531" i="707"/>
  <c r="B530" i="707"/>
  <c r="B529" i="707"/>
  <c r="B528" i="707"/>
  <c r="B527" i="707"/>
  <c r="B526" i="707"/>
  <c r="B525" i="707"/>
  <c r="B524" i="707"/>
  <c r="B523" i="707"/>
  <c r="B522" i="707"/>
  <c r="B521" i="707"/>
  <c r="B520" i="707"/>
  <c r="B519" i="707"/>
  <c r="B518" i="707"/>
  <c r="B517" i="707"/>
  <c r="B516" i="707"/>
  <c r="B515" i="707"/>
  <c r="B514" i="707"/>
  <c r="B513" i="707"/>
  <c r="B512" i="707"/>
  <c r="B511" i="707"/>
  <c r="B510" i="707"/>
  <c r="B509" i="707"/>
  <c r="B508" i="707"/>
  <c r="B507" i="707"/>
  <c r="B506" i="707"/>
  <c r="B505" i="707"/>
  <c r="B504" i="707"/>
  <c r="B503" i="707"/>
  <c r="B502" i="707"/>
  <c r="B501" i="707"/>
  <c r="B500" i="707"/>
  <c r="B499" i="707"/>
  <c r="B498" i="707"/>
  <c r="B497" i="707"/>
  <c r="B496" i="707"/>
  <c r="B495" i="707"/>
  <c r="B494" i="707"/>
  <c r="B493" i="707"/>
  <c r="B492" i="707"/>
  <c r="B491" i="707"/>
  <c r="B490" i="707"/>
  <c r="B489" i="707"/>
  <c r="B488" i="707"/>
  <c r="B487" i="707"/>
  <c r="B486" i="707"/>
  <c r="B485" i="707"/>
  <c r="B484" i="707"/>
  <c r="B483" i="707"/>
  <c r="B482" i="707"/>
  <c r="B481" i="707"/>
  <c r="B480" i="707"/>
  <c r="B479" i="707"/>
  <c r="B478" i="707"/>
  <c r="B477" i="707"/>
  <c r="B476" i="707"/>
  <c r="B475" i="707"/>
  <c r="B474" i="707"/>
  <c r="B473" i="707"/>
  <c r="B472" i="707"/>
  <c r="B471" i="707"/>
  <c r="B470" i="707"/>
  <c r="B469" i="707"/>
  <c r="B468" i="707"/>
  <c r="B467" i="707"/>
  <c r="B466" i="707"/>
  <c r="B465" i="707"/>
  <c r="B464" i="707"/>
  <c r="B463" i="707"/>
  <c r="B462" i="707"/>
  <c r="B461" i="707"/>
  <c r="B460" i="707"/>
  <c r="B459" i="707"/>
  <c r="B458" i="707"/>
  <c r="B457" i="707"/>
  <c r="B456" i="707"/>
  <c r="B455" i="707"/>
  <c r="B454" i="707"/>
  <c r="B453" i="707"/>
  <c r="B452" i="707"/>
  <c r="B451" i="707"/>
  <c r="B450" i="707"/>
  <c r="B449" i="707"/>
  <c r="B448" i="707"/>
  <c r="B447" i="707"/>
  <c r="B446" i="707"/>
  <c r="B445" i="707"/>
  <c r="B444" i="707"/>
  <c r="B443" i="707"/>
  <c r="B442" i="707"/>
  <c r="B441" i="707"/>
  <c r="B440" i="707"/>
  <c r="B439" i="707"/>
  <c r="B438" i="707"/>
  <c r="B437" i="707"/>
  <c r="B436" i="707"/>
  <c r="B435" i="707"/>
  <c r="B434" i="707"/>
  <c r="B433" i="707"/>
  <c r="B432" i="707"/>
  <c r="B431" i="707"/>
  <c r="B430" i="707"/>
  <c r="B429" i="707"/>
  <c r="B428" i="707"/>
  <c r="B427" i="707"/>
  <c r="B426" i="707"/>
  <c r="B425" i="707"/>
  <c r="B424" i="707"/>
  <c r="B423" i="707"/>
  <c r="B422" i="707"/>
  <c r="B421" i="707"/>
  <c r="B420" i="707"/>
  <c r="B419" i="707"/>
  <c r="B418" i="707"/>
  <c r="B417" i="707"/>
  <c r="B416" i="707"/>
  <c r="B415" i="707"/>
  <c r="B414" i="707"/>
  <c r="B413" i="707"/>
  <c r="B412" i="707"/>
  <c r="B411" i="707"/>
  <c r="B410" i="707"/>
  <c r="B409" i="707"/>
  <c r="B408" i="707"/>
  <c r="B407" i="707"/>
  <c r="B406" i="707"/>
  <c r="B405" i="707"/>
  <c r="B404" i="707"/>
  <c r="B403" i="707"/>
  <c r="B402" i="707"/>
  <c r="B401" i="707"/>
  <c r="B400" i="707"/>
  <c r="B399" i="707"/>
  <c r="B398" i="707"/>
  <c r="B397" i="707"/>
  <c r="B396" i="707"/>
  <c r="B395" i="707"/>
  <c r="B394" i="707"/>
  <c r="B393" i="707"/>
  <c r="B392" i="707"/>
  <c r="B391" i="707"/>
  <c r="B390" i="707"/>
  <c r="B389" i="707"/>
  <c r="B388" i="707"/>
  <c r="B387" i="707"/>
  <c r="B386" i="707"/>
  <c r="B385" i="707"/>
  <c r="B384" i="707"/>
  <c r="B383" i="707"/>
  <c r="B382" i="707"/>
  <c r="B381" i="707"/>
  <c r="B380" i="707"/>
  <c r="B379" i="707"/>
  <c r="B378" i="707"/>
  <c r="B377" i="707"/>
  <c r="B376" i="707"/>
  <c r="B375" i="707"/>
  <c r="B374" i="707"/>
  <c r="B373" i="707"/>
  <c r="B372" i="707"/>
  <c r="B371" i="707"/>
  <c r="B370" i="707"/>
  <c r="B369" i="707"/>
  <c r="B368" i="707"/>
  <c r="B367" i="707"/>
  <c r="B366" i="707"/>
  <c r="B365" i="707"/>
  <c r="B364" i="707"/>
  <c r="B363" i="707"/>
  <c r="B362" i="707"/>
  <c r="B361" i="707"/>
  <c r="B360" i="707"/>
  <c r="B359" i="707"/>
  <c r="B358" i="707"/>
  <c r="B357" i="707"/>
  <c r="B356" i="707"/>
  <c r="B355" i="707"/>
  <c r="B354" i="707"/>
  <c r="B353" i="707"/>
  <c r="B352" i="707"/>
  <c r="B351" i="707"/>
  <c r="B350" i="707"/>
  <c r="B349" i="707"/>
  <c r="B348" i="707"/>
  <c r="B347" i="707"/>
  <c r="B346" i="707"/>
  <c r="B345" i="707"/>
  <c r="B344" i="707"/>
  <c r="B343" i="707"/>
  <c r="B342" i="707"/>
  <c r="B341" i="707"/>
  <c r="B340" i="707"/>
  <c r="B339" i="707"/>
  <c r="B338" i="707"/>
  <c r="B337" i="707"/>
  <c r="B336" i="707"/>
  <c r="B335" i="707"/>
  <c r="B334" i="707"/>
  <c r="B333" i="707"/>
  <c r="B332" i="707"/>
  <c r="B331" i="707"/>
  <c r="B330" i="707"/>
  <c r="B329" i="707"/>
  <c r="B328" i="707"/>
  <c r="B327" i="707"/>
  <c r="B326" i="707"/>
  <c r="B325" i="707"/>
  <c r="B324" i="707"/>
  <c r="B323" i="707"/>
  <c r="B322" i="707"/>
  <c r="B321" i="707"/>
  <c r="B320" i="707"/>
  <c r="B319" i="707"/>
  <c r="B318" i="707"/>
  <c r="B317" i="707"/>
  <c r="B316" i="707"/>
  <c r="B315" i="707"/>
  <c r="B314" i="707"/>
  <c r="B313" i="707"/>
  <c r="B312" i="707"/>
  <c r="B311" i="707"/>
  <c r="B310" i="707"/>
  <c r="B309" i="707"/>
  <c r="B308" i="707"/>
  <c r="B307" i="707"/>
  <c r="B306" i="707"/>
  <c r="B305" i="707"/>
  <c r="B304" i="707"/>
  <c r="B303" i="707"/>
  <c r="B302" i="707"/>
  <c r="B301" i="707"/>
  <c r="B300" i="707"/>
  <c r="B299" i="707"/>
  <c r="B298" i="707"/>
  <c r="B297" i="707"/>
  <c r="B296" i="707"/>
  <c r="B295" i="707"/>
  <c r="B294" i="707"/>
  <c r="B293" i="707"/>
  <c r="B292" i="707"/>
  <c r="B291" i="707"/>
  <c r="B290" i="707"/>
  <c r="B289" i="707"/>
  <c r="B288" i="707"/>
  <c r="B287" i="707"/>
  <c r="B286" i="707"/>
  <c r="B285" i="707"/>
  <c r="B284" i="707"/>
  <c r="B283" i="707"/>
  <c r="B282" i="707"/>
  <c r="B281" i="707"/>
  <c r="B280" i="707"/>
  <c r="B279" i="707"/>
  <c r="B278" i="707"/>
  <c r="B277" i="707"/>
  <c r="B276" i="707"/>
  <c r="B275" i="707"/>
  <c r="B274" i="707"/>
  <c r="B273" i="707"/>
  <c r="B272" i="707"/>
  <c r="B271" i="707"/>
  <c r="B270" i="707"/>
  <c r="B269" i="707"/>
  <c r="B268" i="707"/>
  <c r="B267" i="707"/>
  <c r="B266" i="707"/>
  <c r="B265" i="707"/>
  <c r="B264" i="707"/>
  <c r="B263" i="707"/>
  <c r="B262" i="707"/>
  <c r="B261" i="707"/>
  <c r="B260" i="707"/>
  <c r="B259" i="707"/>
  <c r="B258" i="707"/>
  <c r="B257" i="707"/>
  <c r="B256" i="707"/>
  <c r="B255" i="707"/>
  <c r="B254" i="707"/>
  <c r="B253" i="707"/>
  <c r="B252" i="707"/>
  <c r="B251" i="707"/>
  <c r="B250" i="707"/>
  <c r="B249" i="707"/>
  <c r="B248" i="707"/>
  <c r="B247" i="707"/>
  <c r="B246" i="707"/>
  <c r="B245" i="707"/>
  <c r="B244" i="707"/>
  <c r="B243" i="707"/>
  <c r="B242" i="707"/>
  <c r="B241" i="707"/>
  <c r="B240" i="707"/>
  <c r="B239" i="707"/>
  <c r="B238" i="707"/>
  <c r="B237" i="707"/>
  <c r="B236" i="707"/>
  <c r="B235" i="707"/>
  <c r="B234" i="707"/>
  <c r="B233" i="707"/>
  <c r="B232" i="707"/>
  <c r="B231" i="707"/>
  <c r="B230" i="707"/>
  <c r="B229" i="707"/>
  <c r="B228" i="707"/>
  <c r="B227" i="707"/>
  <c r="B226" i="707"/>
  <c r="B225" i="707"/>
  <c r="B224" i="707"/>
  <c r="B223" i="707"/>
  <c r="B222" i="707"/>
  <c r="B221" i="707"/>
  <c r="B220" i="707"/>
  <c r="B219" i="707"/>
  <c r="B218" i="707"/>
  <c r="B217" i="707"/>
  <c r="B216" i="707"/>
  <c r="B215" i="707"/>
  <c r="B214" i="707"/>
  <c r="B213" i="707"/>
  <c r="B212" i="707"/>
  <c r="B211" i="707"/>
  <c r="B210" i="707"/>
  <c r="B209" i="707"/>
  <c r="B208" i="707"/>
  <c r="B207" i="707"/>
  <c r="B206" i="707"/>
  <c r="B205" i="707"/>
  <c r="B204" i="707"/>
  <c r="B203" i="707"/>
  <c r="B202" i="707"/>
  <c r="B201" i="707"/>
  <c r="B200" i="707"/>
  <c r="B199" i="707"/>
  <c r="B198" i="707"/>
  <c r="B197" i="707"/>
  <c r="B196" i="707"/>
  <c r="B195" i="707"/>
  <c r="B194" i="707"/>
  <c r="B193" i="707"/>
  <c r="B192" i="707"/>
  <c r="B191" i="707"/>
  <c r="B190" i="707"/>
  <c r="B189" i="707"/>
  <c r="B188" i="707"/>
  <c r="B187" i="707"/>
  <c r="B186" i="707"/>
  <c r="B185" i="707"/>
  <c r="B184" i="707"/>
  <c r="B183" i="707"/>
  <c r="B182" i="707"/>
  <c r="B181" i="707"/>
  <c r="B180" i="707"/>
  <c r="B179" i="707"/>
  <c r="B178" i="707"/>
  <c r="B177" i="707"/>
  <c r="B176" i="707"/>
  <c r="B175" i="707"/>
  <c r="B174" i="707"/>
  <c r="B173" i="707"/>
  <c r="B172" i="707"/>
  <c r="B171" i="707"/>
  <c r="B170" i="707"/>
  <c r="B169" i="707"/>
  <c r="B168" i="707"/>
  <c r="B167" i="707"/>
  <c r="B166" i="707"/>
  <c r="B165" i="707"/>
  <c r="B164" i="707"/>
  <c r="B163" i="707"/>
  <c r="B162" i="707"/>
  <c r="B161" i="707"/>
  <c r="B160" i="707"/>
  <c r="B159" i="707"/>
  <c r="B158" i="707"/>
  <c r="B157" i="707"/>
  <c r="B156" i="707"/>
  <c r="B155" i="707"/>
  <c r="B154" i="707"/>
  <c r="B153" i="707"/>
  <c r="B152" i="707"/>
  <c r="B151" i="707"/>
  <c r="B150" i="707"/>
  <c r="B149" i="707"/>
  <c r="B148" i="707"/>
  <c r="B147" i="707"/>
  <c r="B146" i="707"/>
  <c r="B145" i="707"/>
  <c r="B144" i="707"/>
  <c r="B143" i="707"/>
  <c r="B142" i="707"/>
  <c r="B141" i="707"/>
  <c r="B140" i="707"/>
  <c r="B139" i="707"/>
  <c r="B138" i="707"/>
  <c r="B137" i="707"/>
  <c r="B136" i="707"/>
  <c r="B135" i="707"/>
  <c r="B134" i="707"/>
  <c r="B133" i="707"/>
  <c r="B132" i="707"/>
  <c r="B131" i="707"/>
  <c r="B130" i="707"/>
  <c r="B129" i="707"/>
  <c r="B128" i="707"/>
  <c r="B127" i="707"/>
  <c r="B126" i="707"/>
  <c r="B125" i="707"/>
  <c r="B124" i="707"/>
  <c r="B123" i="707"/>
  <c r="B122" i="707"/>
  <c r="B121" i="707"/>
  <c r="B120" i="707"/>
  <c r="B119" i="707"/>
  <c r="B118" i="707"/>
  <c r="B117" i="707"/>
  <c r="B116" i="707"/>
  <c r="B115" i="707"/>
  <c r="B114" i="707"/>
  <c r="B113" i="707"/>
  <c r="B112" i="707"/>
  <c r="B111" i="707"/>
  <c r="B110" i="707"/>
  <c r="B109" i="707"/>
  <c r="B108" i="707"/>
  <c r="B107" i="707"/>
  <c r="B106" i="707"/>
  <c r="B105" i="707"/>
  <c r="B104" i="707"/>
  <c r="B103" i="707"/>
  <c r="B102" i="707"/>
  <c r="B101" i="707"/>
  <c r="B100" i="707"/>
  <c r="B99" i="707"/>
  <c r="B98" i="707"/>
  <c r="B97" i="707"/>
  <c r="B96" i="707"/>
  <c r="B95" i="707"/>
  <c r="B94" i="707"/>
  <c r="B93" i="707"/>
  <c r="B92" i="707"/>
  <c r="B91" i="707"/>
  <c r="B90" i="707"/>
  <c r="B89" i="707"/>
  <c r="B88" i="707"/>
  <c r="B87" i="707"/>
  <c r="B86" i="707"/>
  <c r="B85" i="707"/>
  <c r="B84" i="707"/>
  <c r="B83" i="707"/>
  <c r="B82" i="707"/>
  <c r="B81" i="707"/>
  <c r="B80" i="707"/>
  <c r="B79" i="707"/>
  <c r="B78" i="707"/>
  <c r="B77" i="707"/>
  <c r="B76" i="707"/>
  <c r="B75" i="707"/>
  <c r="B74" i="707"/>
  <c r="B73" i="707"/>
  <c r="B72" i="707"/>
  <c r="B71" i="707"/>
  <c r="B70" i="707"/>
  <c r="B69" i="707"/>
  <c r="B68" i="707"/>
  <c r="B67" i="707"/>
  <c r="B66" i="707"/>
  <c r="B65" i="707"/>
  <c r="B64" i="707"/>
  <c r="B63" i="707"/>
  <c r="B62" i="707"/>
  <c r="B61" i="707"/>
  <c r="B60" i="707"/>
  <c r="B59" i="707"/>
  <c r="B58" i="707"/>
  <c r="B57" i="707"/>
  <c r="B56" i="707"/>
  <c r="B55" i="707"/>
  <c r="B54" i="707"/>
  <c r="B53" i="707"/>
  <c r="B52" i="707"/>
  <c r="B51" i="707"/>
  <c r="B50" i="707"/>
  <c r="B49" i="707"/>
  <c r="B48" i="707"/>
  <c r="B47" i="707"/>
  <c r="B46" i="707"/>
  <c r="B45" i="707"/>
  <c r="B44" i="707"/>
  <c r="B43" i="707"/>
  <c r="B42" i="707"/>
  <c r="B41" i="707"/>
  <c r="B40" i="707"/>
  <c r="B39" i="707"/>
  <c r="B38" i="707"/>
  <c r="B37" i="707"/>
  <c r="B36" i="707"/>
  <c r="B35" i="707"/>
  <c r="B34" i="707"/>
  <c r="B33" i="707"/>
  <c r="B32" i="707"/>
  <c r="B31" i="707"/>
  <c r="B30" i="707"/>
  <c r="B29" i="707"/>
  <c r="B28" i="707"/>
  <c r="B27" i="707"/>
  <c r="B26" i="707"/>
  <c r="B25" i="707"/>
  <c r="B24" i="707"/>
  <c r="B23" i="707"/>
  <c r="B22" i="707"/>
  <c r="B21" i="707"/>
  <c r="B20" i="707"/>
  <c r="B19" i="707"/>
  <c r="B18" i="707"/>
  <c r="B17" i="707"/>
  <c r="B16" i="707"/>
  <c r="B15" i="707"/>
  <c r="B14" i="707"/>
  <c r="B13" i="707"/>
  <c r="B12" i="707"/>
  <c r="B11" i="707"/>
  <c r="B10" i="707"/>
  <c r="B9" i="707"/>
  <c r="B8" i="707"/>
  <c r="B7" i="707"/>
  <c r="B6" i="707"/>
  <c r="B5" i="707"/>
  <c r="B4" i="707"/>
  <c r="B3" i="707"/>
  <c r="D53" i="109" l="1"/>
  <c r="D36" i="109"/>
  <c r="D35" i="109"/>
  <c r="D31" i="109"/>
  <c r="D20" i="109"/>
  <c r="D16" i="109"/>
  <c r="D10" i="109"/>
  <c r="E17" i="107"/>
  <c r="E12" i="107"/>
  <c r="C17" i="107"/>
  <c r="C12" i="107"/>
  <c r="D14" i="636" l="1"/>
  <c r="C41" i="248"/>
  <c r="C27" i="248"/>
  <c r="C15" i="248"/>
  <c r="C24" i="248"/>
  <c r="B100" i="706" l="1"/>
  <c r="B99" i="706"/>
  <c r="B98" i="706"/>
  <c r="B97" i="706"/>
  <c r="B96" i="706"/>
  <c r="B95" i="706"/>
  <c r="B94" i="706"/>
  <c r="B93" i="706"/>
  <c r="B92" i="706"/>
  <c r="B91" i="706"/>
  <c r="B90" i="706"/>
  <c r="B89" i="706"/>
  <c r="B88" i="706"/>
  <c r="B87" i="706"/>
  <c r="B86" i="706"/>
  <c r="B85" i="706"/>
  <c r="B84" i="706"/>
  <c r="B83" i="706"/>
  <c r="B82" i="706"/>
  <c r="B81" i="706"/>
  <c r="B80" i="706"/>
  <c r="B79" i="706"/>
  <c r="B78" i="706"/>
  <c r="B77" i="706"/>
  <c r="B76" i="706"/>
  <c r="B75" i="706"/>
  <c r="B74" i="706"/>
  <c r="B73" i="706"/>
  <c r="B72" i="706"/>
  <c r="B71" i="706"/>
  <c r="B70" i="706"/>
  <c r="B69" i="706"/>
  <c r="B68" i="706"/>
  <c r="B67" i="706"/>
  <c r="B66" i="706"/>
  <c r="B65" i="706"/>
  <c r="B64" i="706"/>
  <c r="B63" i="706"/>
  <c r="B62" i="706"/>
  <c r="B61" i="706"/>
  <c r="B60" i="706"/>
  <c r="B59" i="706"/>
  <c r="B58" i="706"/>
  <c r="B57" i="706"/>
  <c r="B56" i="706"/>
  <c r="B55" i="706"/>
  <c r="B54" i="706"/>
  <c r="B53" i="706"/>
  <c r="B52" i="706"/>
  <c r="B51" i="706"/>
  <c r="B50" i="706"/>
  <c r="B49" i="706"/>
  <c r="B48" i="706"/>
  <c r="B47" i="706"/>
  <c r="B46" i="706"/>
  <c r="B45" i="706"/>
  <c r="B44" i="706"/>
  <c r="B43" i="706"/>
  <c r="B42" i="706"/>
  <c r="B41" i="706"/>
  <c r="B40" i="706"/>
  <c r="B39" i="706"/>
  <c r="B38" i="706"/>
  <c r="B37" i="706"/>
  <c r="B36" i="706"/>
  <c r="B35" i="706"/>
  <c r="B34" i="706"/>
  <c r="B33" i="706"/>
  <c r="B32" i="706"/>
  <c r="B31" i="706"/>
  <c r="B30" i="706"/>
  <c r="B29" i="706"/>
  <c r="B28" i="706"/>
  <c r="B27" i="706"/>
  <c r="B26" i="706"/>
  <c r="B25" i="706"/>
  <c r="B24" i="706"/>
  <c r="B23" i="706"/>
  <c r="B22" i="706"/>
  <c r="B21" i="706"/>
  <c r="B20" i="706"/>
  <c r="B19" i="706"/>
  <c r="B18" i="706"/>
  <c r="B17" i="706"/>
  <c r="B16" i="706"/>
  <c r="B15" i="706"/>
  <c r="B14" i="706"/>
  <c r="B13" i="706"/>
  <c r="B12" i="706"/>
  <c r="B11" i="706"/>
  <c r="B10" i="706"/>
  <c r="B9" i="706"/>
  <c r="B8" i="706"/>
  <c r="B7" i="706"/>
  <c r="B6" i="706"/>
  <c r="B5" i="706"/>
  <c r="B4" i="706"/>
  <c r="B3" i="706"/>
  <c r="B2" i="706"/>
  <c r="G10" i="608" l="1"/>
  <c r="B1014" i="705" l="1"/>
  <c r="B1013" i="705"/>
  <c r="B1012" i="705"/>
  <c r="B1011" i="705"/>
  <c r="B1010" i="705"/>
  <c r="B1009" i="705"/>
  <c r="B1008" i="705"/>
  <c r="B1007" i="705"/>
  <c r="B1006" i="705"/>
  <c r="B1005" i="705"/>
  <c r="B1004" i="705"/>
  <c r="B1003" i="705"/>
  <c r="B1002" i="705"/>
  <c r="B1001" i="705"/>
  <c r="B1000" i="705"/>
  <c r="B999" i="705"/>
  <c r="B998" i="705"/>
  <c r="B997" i="705"/>
  <c r="B996" i="705"/>
  <c r="B995" i="705"/>
  <c r="B994" i="705"/>
  <c r="B993" i="705"/>
  <c r="B992" i="705"/>
  <c r="B991" i="705"/>
  <c r="B990" i="705"/>
  <c r="B989" i="705"/>
  <c r="B988" i="705"/>
  <c r="B987" i="705"/>
  <c r="B986" i="705"/>
  <c r="B985" i="705"/>
  <c r="B984" i="705"/>
  <c r="B983" i="705"/>
  <c r="B982" i="705"/>
  <c r="B981" i="705"/>
  <c r="B980" i="705"/>
  <c r="B979" i="705"/>
  <c r="B978" i="705"/>
  <c r="B977" i="705"/>
  <c r="B976" i="705"/>
  <c r="B975" i="705"/>
  <c r="B974" i="705"/>
  <c r="B973" i="705"/>
  <c r="B972" i="705"/>
  <c r="B971" i="705"/>
  <c r="B970" i="705"/>
  <c r="B969" i="705"/>
  <c r="B968" i="705"/>
  <c r="B967" i="705"/>
  <c r="B966" i="705"/>
  <c r="B965" i="705"/>
  <c r="B964" i="705"/>
  <c r="B963" i="705"/>
  <c r="B962" i="705"/>
  <c r="B961" i="705"/>
  <c r="B960" i="705"/>
  <c r="B959" i="705"/>
  <c r="B958" i="705"/>
  <c r="B957" i="705"/>
  <c r="B956" i="705"/>
  <c r="B955" i="705"/>
  <c r="B954" i="705"/>
  <c r="B953" i="705"/>
  <c r="B952" i="705"/>
  <c r="B951" i="705"/>
  <c r="B950" i="705"/>
  <c r="B949" i="705"/>
  <c r="B948" i="705"/>
  <c r="B947" i="705"/>
  <c r="B946" i="705"/>
  <c r="B945" i="705"/>
  <c r="B944" i="705"/>
  <c r="B943" i="705"/>
  <c r="B942" i="705"/>
  <c r="B941" i="705"/>
  <c r="B940" i="705"/>
  <c r="B939" i="705"/>
  <c r="B938" i="705"/>
  <c r="B937" i="705"/>
  <c r="B936" i="705"/>
  <c r="B935" i="705"/>
  <c r="B934" i="705"/>
  <c r="B933" i="705"/>
  <c r="B932" i="705"/>
  <c r="B931" i="705"/>
  <c r="B930" i="705"/>
  <c r="B929" i="705"/>
  <c r="B928" i="705"/>
  <c r="B927" i="705"/>
  <c r="B926" i="705"/>
  <c r="B925" i="705"/>
  <c r="B924" i="705"/>
  <c r="B923" i="705"/>
  <c r="B922" i="705"/>
  <c r="B921" i="705"/>
  <c r="B920" i="705"/>
  <c r="B919" i="705"/>
  <c r="B918" i="705"/>
  <c r="B917" i="705"/>
  <c r="B916" i="705"/>
  <c r="B915" i="705"/>
  <c r="B914" i="705"/>
  <c r="B913" i="705"/>
  <c r="B912" i="705"/>
  <c r="B911" i="705"/>
  <c r="B910" i="705"/>
  <c r="B909" i="705"/>
  <c r="B908" i="705"/>
  <c r="B907" i="705"/>
  <c r="B906" i="705"/>
  <c r="B905" i="705"/>
  <c r="B904" i="705"/>
  <c r="B903" i="705"/>
  <c r="B902" i="705"/>
  <c r="B901" i="705"/>
  <c r="B900" i="705"/>
  <c r="B899" i="705"/>
  <c r="B898" i="705"/>
  <c r="B897" i="705"/>
  <c r="B896" i="705"/>
  <c r="B895" i="705"/>
  <c r="B894" i="705"/>
  <c r="B893" i="705"/>
  <c r="B892" i="705"/>
  <c r="B891" i="705"/>
  <c r="B890" i="705"/>
  <c r="B889" i="705"/>
  <c r="B888" i="705"/>
  <c r="B887" i="705"/>
  <c r="B886" i="705"/>
  <c r="B885" i="705"/>
  <c r="B884" i="705"/>
  <c r="B883" i="705"/>
  <c r="B882" i="705"/>
  <c r="B881" i="705"/>
  <c r="B880" i="705"/>
  <c r="B879" i="705"/>
  <c r="B878" i="705"/>
  <c r="B877" i="705"/>
  <c r="B876" i="705"/>
  <c r="B875" i="705"/>
  <c r="B874" i="705"/>
  <c r="B873" i="705"/>
  <c r="B872" i="705"/>
  <c r="B871" i="705"/>
  <c r="B870" i="705"/>
  <c r="B869" i="705"/>
  <c r="B868" i="705"/>
  <c r="B867" i="705"/>
  <c r="B866" i="705"/>
  <c r="B865" i="705"/>
  <c r="B864" i="705"/>
  <c r="B863" i="705"/>
  <c r="B862" i="705"/>
  <c r="B861" i="705"/>
  <c r="B860" i="705"/>
  <c r="B859" i="705"/>
  <c r="B858" i="705"/>
  <c r="B857" i="705"/>
  <c r="B856" i="705"/>
  <c r="B855" i="705"/>
  <c r="B854" i="705"/>
  <c r="B853" i="705"/>
  <c r="B852" i="705"/>
  <c r="B851" i="705"/>
  <c r="B850" i="705"/>
  <c r="B849" i="705"/>
  <c r="B848" i="705"/>
  <c r="B847" i="705"/>
  <c r="B846" i="705"/>
  <c r="B845" i="705"/>
  <c r="B844" i="705"/>
  <c r="B843" i="705"/>
  <c r="B842" i="705"/>
  <c r="B841" i="705"/>
  <c r="B840" i="705"/>
  <c r="B839" i="705"/>
  <c r="B838" i="705"/>
  <c r="B837" i="705"/>
  <c r="B836" i="705"/>
  <c r="B835" i="705"/>
  <c r="B834" i="705"/>
  <c r="B833" i="705"/>
  <c r="B832" i="705"/>
  <c r="B831" i="705"/>
  <c r="B830" i="705"/>
  <c r="B829" i="705"/>
  <c r="B828" i="705"/>
  <c r="B827" i="705"/>
  <c r="B826" i="705"/>
  <c r="B825" i="705"/>
  <c r="B824" i="705"/>
  <c r="B823" i="705"/>
  <c r="B822" i="705"/>
  <c r="B821" i="705"/>
  <c r="B820" i="705"/>
  <c r="B819" i="705"/>
  <c r="B818" i="705"/>
  <c r="B817" i="705"/>
  <c r="B816" i="705"/>
  <c r="B815" i="705"/>
  <c r="B814" i="705"/>
  <c r="B813" i="705"/>
  <c r="B812" i="705"/>
  <c r="B811" i="705"/>
  <c r="B810" i="705"/>
  <c r="B809" i="705"/>
  <c r="B808" i="705"/>
  <c r="B807" i="705"/>
  <c r="B806" i="705"/>
  <c r="B805" i="705"/>
  <c r="B804" i="705"/>
  <c r="B803" i="705"/>
  <c r="B802" i="705"/>
  <c r="B801" i="705"/>
  <c r="B800" i="705"/>
  <c r="B799" i="705"/>
  <c r="B798" i="705"/>
  <c r="B797" i="705"/>
  <c r="B796" i="705"/>
  <c r="B795" i="705"/>
  <c r="B794" i="705"/>
  <c r="B793" i="705"/>
  <c r="B792" i="705"/>
  <c r="B791" i="705"/>
  <c r="B790" i="705"/>
  <c r="B789" i="705"/>
  <c r="B788" i="705"/>
  <c r="B787" i="705"/>
  <c r="B786" i="705"/>
  <c r="B785" i="705"/>
  <c r="B784" i="705"/>
  <c r="B783" i="705"/>
  <c r="B782" i="705"/>
  <c r="B781" i="705"/>
  <c r="B780" i="705"/>
  <c r="B779" i="705"/>
  <c r="B778" i="705"/>
  <c r="B777" i="705"/>
  <c r="B776" i="705"/>
  <c r="B775" i="705"/>
  <c r="B774" i="705"/>
  <c r="B773" i="705"/>
  <c r="B772" i="705"/>
  <c r="B771" i="705"/>
  <c r="B770" i="705"/>
  <c r="B769" i="705"/>
  <c r="B768" i="705"/>
  <c r="B767" i="705"/>
  <c r="B766" i="705"/>
  <c r="B765" i="705"/>
  <c r="B764" i="705"/>
  <c r="B763" i="705"/>
  <c r="B762" i="705"/>
  <c r="B761" i="705"/>
  <c r="B760" i="705"/>
  <c r="B759" i="705"/>
  <c r="B758" i="705"/>
  <c r="B757" i="705"/>
  <c r="B756" i="705"/>
  <c r="B755" i="705"/>
  <c r="B754" i="705"/>
  <c r="B753" i="705"/>
  <c r="B752" i="705"/>
  <c r="B751" i="705"/>
  <c r="B750" i="705"/>
  <c r="B749" i="705"/>
  <c r="B748" i="705"/>
  <c r="B747" i="705"/>
  <c r="B746" i="705"/>
  <c r="B745" i="705"/>
  <c r="B744" i="705"/>
  <c r="B743" i="705"/>
  <c r="B742" i="705"/>
  <c r="B741" i="705"/>
  <c r="B740" i="705"/>
  <c r="B739" i="705"/>
  <c r="B738" i="705"/>
  <c r="B737" i="705"/>
  <c r="B736" i="705"/>
  <c r="B735" i="705"/>
  <c r="B734" i="705"/>
  <c r="B733" i="705"/>
  <c r="B732" i="705"/>
  <c r="B731" i="705"/>
  <c r="B730" i="705"/>
  <c r="B729" i="705"/>
  <c r="B728" i="705"/>
  <c r="B727" i="705"/>
  <c r="B726" i="705"/>
  <c r="B725" i="705"/>
  <c r="B724" i="705"/>
  <c r="B723" i="705"/>
  <c r="B722" i="705"/>
  <c r="B721" i="705"/>
  <c r="B720" i="705"/>
  <c r="B719" i="705"/>
  <c r="B718" i="705"/>
  <c r="B717" i="705"/>
  <c r="B716" i="705"/>
  <c r="B715" i="705"/>
  <c r="B714" i="705"/>
  <c r="B713" i="705"/>
  <c r="B712" i="705"/>
  <c r="B711" i="705"/>
  <c r="B710" i="705"/>
  <c r="B709" i="705"/>
  <c r="B708" i="705"/>
  <c r="B707" i="705"/>
  <c r="B706" i="705"/>
  <c r="B705" i="705"/>
  <c r="B704" i="705"/>
  <c r="B703" i="705"/>
  <c r="B702" i="705"/>
  <c r="B701" i="705"/>
  <c r="B700" i="705"/>
  <c r="B699" i="705"/>
  <c r="B698" i="705"/>
  <c r="B697" i="705"/>
  <c r="B696" i="705"/>
  <c r="B695" i="705"/>
  <c r="B694" i="705"/>
  <c r="B693" i="705"/>
  <c r="B692" i="705"/>
  <c r="B691" i="705"/>
  <c r="B690" i="705"/>
  <c r="B689" i="705"/>
  <c r="B688" i="705"/>
  <c r="B687" i="705"/>
  <c r="B686" i="705"/>
  <c r="B685" i="705"/>
  <c r="B684" i="705"/>
  <c r="B683" i="705"/>
  <c r="B682" i="705"/>
  <c r="B681" i="705"/>
  <c r="B680" i="705"/>
  <c r="B679" i="705"/>
  <c r="B678" i="705"/>
  <c r="B677" i="705"/>
  <c r="B676" i="705"/>
  <c r="B675" i="705"/>
  <c r="B674" i="705"/>
  <c r="B673" i="705"/>
  <c r="B672" i="705"/>
  <c r="B671" i="705"/>
  <c r="B670" i="705"/>
  <c r="B669" i="705"/>
  <c r="B668" i="705"/>
  <c r="B667" i="705"/>
  <c r="B666" i="705"/>
  <c r="B665" i="705"/>
  <c r="B664" i="705"/>
  <c r="B663" i="705"/>
  <c r="B662" i="705"/>
  <c r="B661" i="705"/>
  <c r="B660" i="705"/>
  <c r="B659" i="705"/>
  <c r="B658" i="705"/>
  <c r="B657" i="705"/>
  <c r="B656" i="705"/>
  <c r="B655" i="705"/>
  <c r="B654" i="705"/>
  <c r="B653" i="705"/>
  <c r="B652" i="705"/>
  <c r="B651" i="705"/>
  <c r="B650" i="705"/>
  <c r="B649" i="705"/>
  <c r="B648" i="705"/>
  <c r="B647" i="705"/>
  <c r="B646" i="705"/>
  <c r="B645" i="705"/>
  <c r="B644" i="705"/>
  <c r="B643" i="705"/>
  <c r="B642" i="705"/>
  <c r="B641" i="705"/>
  <c r="B640" i="705"/>
  <c r="B639" i="705"/>
  <c r="B638" i="705"/>
  <c r="B637" i="705"/>
  <c r="B636" i="705"/>
  <c r="B635" i="705"/>
  <c r="B634" i="705"/>
  <c r="B633" i="705"/>
  <c r="B632" i="705"/>
  <c r="B631" i="705"/>
  <c r="B630" i="705"/>
  <c r="B629" i="705"/>
  <c r="B628" i="705"/>
  <c r="B627" i="705"/>
  <c r="B626" i="705"/>
  <c r="B625" i="705"/>
  <c r="B624" i="705"/>
  <c r="B623" i="705"/>
  <c r="B622" i="705"/>
  <c r="B621" i="705"/>
  <c r="B620" i="705"/>
  <c r="B619" i="705"/>
  <c r="B618" i="705"/>
  <c r="B617" i="705"/>
  <c r="B616" i="705"/>
  <c r="B615" i="705"/>
  <c r="B614" i="705"/>
  <c r="B613" i="705"/>
  <c r="B612" i="705"/>
  <c r="B611" i="705"/>
  <c r="B610" i="705"/>
  <c r="B609" i="705"/>
  <c r="B608" i="705"/>
  <c r="B607" i="705"/>
  <c r="B606" i="705"/>
  <c r="B605" i="705"/>
  <c r="B604" i="705"/>
  <c r="B603" i="705"/>
  <c r="B602" i="705"/>
  <c r="B601" i="705"/>
  <c r="B600" i="705"/>
  <c r="B599" i="705"/>
  <c r="B598" i="705"/>
  <c r="B597" i="705"/>
  <c r="B596" i="705"/>
  <c r="B595" i="705"/>
  <c r="B594" i="705"/>
  <c r="B593" i="705"/>
  <c r="B592" i="705"/>
  <c r="B591" i="705"/>
  <c r="B590" i="705"/>
  <c r="B589" i="705"/>
  <c r="B588" i="705"/>
  <c r="B587" i="705"/>
  <c r="B586" i="705"/>
  <c r="B585" i="705"/>
  <c r="B584" i="705"/>
  <c r="B583" i="705"/>
  <c r="B582" i="705"/>
  <c r="B581" i="705"/>
  <c r="B580" i="705"/>
  <c r="B579" i="705"/>
  <c r="B578" i="705"/>
  <c r="B577" i="705"/>
  <c r="B576" i="705"/>
  <c r="B575" i="705"/>
  <c r="B574" i="705"/>
  <c r="B573" i="705"/>
  <c r="B572" i="705"/>
  <c r="B571" i="705"/>
  <c r="B570" i="705"/>
  <c r="B569" i="705"/>
  <c r="B568" i="705"/>
  <c r="B567" i="705"/>
  <c r="B566" i="705"/>
  <c r="B565" i="705"/>
  <c r="B564" i="705"/>
  <c r="B563" i="705"/>
  <c r="B562" i="705"/>
  <c r="B561" i="705"/>
  <c r="B560" i="705"/>
  <c r="B559" i="705"/>
  <c r="B558" i="705"/>
  <c r="B557" i="705"/>
  <c r="B556" i="705"/>
  <c r="B555" i="705"/>
  <c r="B554" i="705"/>
  <c r="B553" i="705"/>
  <c r="B552" i="705"/>
  <c r="B551" i="705"/>
  <c r="B550" i="705"/>
  <c r="B549" i="705"/>
  <c r="B548" i="705"/>
  <c r="B547" i="705"/>
  <c r="B546" i="705"/>
  <c r="B545" i="705"/>
  <c r="B544" i="705"/>
  <c r="B543" i="705"/>
  <c r="B542" i="705"/>
  <c r="B541" i="705"/>
  <c r="B540" i="705"/>
  <c r="B539" i="705"/>
  <c r="B538" i="705"/>
  <c r="B537" i="705"/>
  <c r="B536" i="705"/>
  <c r="B535" i="705"/>
  <c r="B534" i="705"/>
  <c r="B533" i="705"/>
  <c r="B532" i="705"/>
  <c r="B531" i="705"/>
  <c r="B530" i="705"/>
  <c r="B529" i="705"/>
  <c r="B528" i="705"/>
  <c r="B527" i="705"/>
  <c r="B526" i="705"/>
  <c r="B525" i="705"/>
  <c r="B524" i="705"/>
  <c r="B523" i="705"/>
  <c r="B522" i="705"/>
  <c r="B521" i="705"/>
  <c r="B520" i="705"/>
  <c r="B519" i="705"/>
  <c r="B518" i="705"/>
  <c r="B517" i="705"/>
  <c r="B516" i="705"/>
  <c r="B515" i="705"/>
  <c r="B514" i="705"/>
  <c r="B513" i="705"/>
  <c r="B512" i="705"/>
  <c r="B511" i="705"/>
  <c r="B510" i="705"/>
  <c r="B509" i="705"/>
  <c r="B508" i="705"/>
  <c r="B507" i="705"/>
  <c r="B506" i="705"/>
  <c r="B505" i="705"/>
  <c r="B504" i="705"/>
  <c r="B503" i="705"/>
  <c r="B502" i="705"/>
  <c r="B501" i="705"/>
  <c r="B500" i="705"/>
  <c r="B499" i="705"/>
  <c r="B498" i="705"/>
  <c r="B497" i="705"/>
  <c r="B496" i="705"/>
  <c r="B495" i="705"/>
  <c r="B494" i="705"/>
  <c r="B493" i="705"/>
  <c r="B492" i="705"/>
  <c r="B491" i="705"/>
  <c r="B490" i="705"/>
  <c r="B489" i="705"/>
  <c r="B488" i="705"/>
  <c r="B487" i="705"/>
  <c r="B486" i="705"/>
  <c r="B485" i="705"/>
  <c r="B484" i="705"/>
  <c r="B483" i="705"/>
  <c r="B482" i="705"/>
  <c r="B481" i="705"/>
  <c r="B480" i="705"/>
  <c r="B479" i="705"/>
  <c r="B478" i="705"/>
  <c r="B477" i="705"/>
  <c r="B476" i="705"/>
  <c r="B475" i="705"/>
  <c r="B474" i="705"/>
  <c r="B473" i="705"/>
  <c r="B472" i="705"/>
  <c r="B471" i="705"/>
  <c r="B470" i="705"/>
  <c r="B469" i="705"/>
  <c r="B468" i="705"/>
  <c r="B467" i="705"/>
  <c r="B466" i="705"/>
  <c r="B465" i="705"/>
  <c r="B464" i="705"/>
  <c r="B463" i="705"/>
  <c r="B462" i="705"/>
  <c r="B461" i="705"/>
  <c r="B460" i="705"/>
  <c r="B459" i="705"/>
  <c r="B458" i="705"/>
  <c r="B457" i="705"/>
  <c r="B456" i="705"/>
  <c r="B455" i="705"/>
  <c r="B454" i="705"/>
  <c r="B453" i="705"/>
  <c r="B452" i="705"/>
  <c r="B451" i="705"/>
  <c r="B450" i="705"/>
  <c r="B449" i="705"/>
  <c r="B448" i="705"/>
  <c r="B447" i="705"/>
  <c r="B446" i="705"/>
  <c r="B445" i="705"/>
  <c r="B444" i="705"/>
  <c r="B443" i="705"/>
  <c r="B442" i="705"/>
  <c r="B441" i="705"/>
  <c r="B440" i="705"/>
  <c r="B439" i="705"/>
  <c r="B438" i="705"/>
  <c r="B437" i="705"/>
  <c r="B436" i="705"/>
  <c r="B435" i="705"/>
  <c r="B434" i="705"/>
  <c r="B433" i="705"/>
  <c r="B432" i="705"/>
  <c r="B431" i="705"/>
  <c r="B430" i="705"/>
  <c r="B429" i="705"/>
  <c r="B428" i="705"/>
  <c r="B427" i="705"/>
  <c r="B426" i="705"/>
  <c r="B425" i="705"/>
  <c r="B424" i="705"/>
  <c r="B423" i="705"/>
  <c r="B422" i="705"/>
  <c r="B421" i="705"/>
  <c r="B420" i="705"/>
  <c r="B419" i="705"/>
  <c r="B418" i="705"/>
  <c r="B417" i="705"/>
  <c r="B416" i="705"/>
  <c r="B415" i="705"/>
  <c r="B414" i="705"/>
  <c r="B413" i="705"/>
  <c r="B412" i="705"/>
  <c r="B411" i="705"/>
  <c r="B410" i="705"/>
  <c r="B409" i="705"/>
  <c r="B408" i="705"/>
  <c r="B407" i="705"/>
  <c r="B406" i="705"/>
  <c r="B405" i="705"/>
  <c r="B404" i="705"/>
  <c r="B403" i="705"/>
  <c r="B402" i="705"/>
  <c r="B401" i="705"/>
  <c r="B400" i="705"/>
  <c r="B399" i="705"/>
  <c r="B398" i="705"/>
  <c r="B397" i="705"/>
  <c r="B396" i="705"/>
  <c r="B395" i="705"/>
  <c r="B394" i="705"/>
  <c r="B393" i="705"/>
  <c r="B392" i="705"/>
  <c r="B391" i="705"/>
  <c r="B390" i="705"/>
  <c r="B389" i="705"/>
  <c r="B388" i="705"/>
  <c r="B387" i="705"/>
  <c r="B386" i="705"/>
  <c r="B385" i="705"/>
  <c r="B384" i="705"/>
  <c r="B383" i="705"/>
  <c r="B382" i="705"/>
  <c r="B381" i="705"/>
  <c r="B380" i="705"/>
  <c r="B379" i="705"/>
  <c r="B378" i="705"/>
  <c r="B377" i="705"/>
  <c r="B376" i="705"/>
  <c r="B375" i="705"/>
  <c r="B374" i="705"/>
  <c r="B373" i="705"/>
  <c r="B372" i="705"/>
  <c r="B371" i="705"/>
  <c r="B370" i="705"/>
  <c r="B369" i="705"/>
  <c r="B368" i="705"/>
  <c r="B367" i="705"/>
  <c r="B366" i="705"/>
  <c r="B365" i="705"/>
  <c r="B364" i="705"/>
  <c r="B363" i="705"/>
  <c r="B362" i="705"/>
  <c r="B361" i="705"/>
  <c r="B360" i="705"/>
  <c r="B359" i="705"/>
  <c r="B358" i="705"/>
  <c r="B357" i="705"/>
  <c r="B356" i="705"/>
  <c r="B355" i="705"/>
  <c r="B354" i="705"/>
  <c r="B353" i="705"/>
  <c r="B352" i="705"/>
  <c r="B351" i="705"/>
  <c r="B350" i="705"/>
  <c r="B349" i="705"/>
  <c r="B348" i="705"/>
  <c r="B347" i="705"/>
  <c r="B346" i="705"/>
  <c r="B345" i="705"/>
  <c r="B344" i="705"/>
  <c r="B343" i="705"/>
  <c r="B342" i="705"/>
  <c r="B341" i="705"/>
  <c r="B340" i="705"/>
  <c r="B339" i="705"/>
  <c r="B338" i="705"/>
  <c r="B337" i="705"/>
  <c r="B336" i="705"/>
  <c r="B335" i="705"/>
  <c r="B334" i="705"/>
  <c r="B333" i="705"/>
  <c r="B332" i="705"/>
  <c r="B331" i="705"/>
  <c r="B330" i="705"/>
  <c r="B329" i="705"/>
  <c r="B328" i="705"/>
  <c r="B327" i="705"/>
  <c r="B326" i="705"/>
  <c r="B325" i="705"/>
  <c r="B324" i="705"/>
  <c r="B323" i="705"/>
  <c r="B322" i="705"/>
  <c r="B321" i="705"/>
  <c r="B320" i="705"/>
  <c r="B319" i="705"/>
  <c r="B318" i="705"/>
  <c r="B317" i="705"/>
  <c r="B316" i="705"/>
  <c r="B315" i="705"/>
  <c r="B314" i="705"/>
  <c r="B313" i="705"/>
  <c r="B312" i="705"/>
  <c r="B311" i="705"/>
  <c r="B310" i="705"/>
  <c r="B309" i="705"/>
  <c r="B308" i="705"/>
  <c r="B307" i="705"/>
  <c r="B306" i="705"/>
  <c r="B305" i="705"/>
  <c r="B304" i="705"/>
  <c r="B303" i="705"/>
  <c r="B302" i="705"/>
  <c r="B301" i="705"/>
  <c r="B300" i="705"/>
  <c r="B299" i="705"/>
  <c r="B298" i="705"/>
  <c r="B297" i="705"/>
  <c r="B296" i="705"/>
  <c r="B295" i="705"/>
  <c r="B294" i="705"/>
  <c r="B293" i="705"/>
  <c r="B292" i="705"/>
  <c r="B291" i="705"/>
  <c r="B290" i="705"/>
  <c r="B289" i="705"/>
  <c r="B288" i="705"/>
  <c r="B287" i="705"/>
  <c r="B286" i="705"/>
  <c r="B285" i="705"/>
  <c r="B284" i="705"/>
  <c r="B283" i="705"/>
  <c r="B282" i="705"/>
  <c r="B281" i="705"/>
  <c r="B280" i="705"/>
  <c r="B279" i="705"/>
  <c r="B278" i="705"/>
  <c r="B277" i="705"/>
  <c r="B276" i="705"/>
  <c r="B275" i="705"/>
  <c r="B274" i="705"/>
  <c r="B273" i="705"/>
  <c r="B272" i="705"/>
  <c r="B271" i="705"/>
  <c r="B270" i="705"/>
  <c r="B269" i="705"/>
  <c r="B268" i="705"/>
  <c r="B267" i="705"/>
  <c r="B266" i="705"/>
  <c r="B265" i="705"/>
  <c r="B264" i="705"/>
  <c r="B263" i="705"/>
  <c r="B262" i="705"/>
  <c r="B261" i="705"/>
  <c r="B260" i="705"/>
  <c r="B259" i="705"/>
  <c r="B258" i="705"/>
  <c r="B257" i="705"/>
  <c r="B256" i="705"/>
  <c r="B255" i="705"/>
  <c r="B254" i="705"/>
  <c r="B253" i="705"/>
  <c r="B252" i="705"/>
  <c r="B251" i="705"/>
  <c r="B250" i="705"/>
  <c r="B249" i="705"/>
  <c r="B248" i="705"/>
  <c r="B247" i="705"/>
  <c r="B246" i="705"/>
  <c r="B245" i="705"/>
  <c r="B244" i="705"/>
  <c r="B243" i="705"/>
  <c r="B242" i="705"/>
  <c r="B241" i="705"/>
  <c r="B240" i="705"/>
  <c r="B239" i="705"/>
  <c r="B238" i="705"/>
  <c r="B237" i="705"/>
  <c r="B236" i="705"/>
  <c r="B235" i="705"/>
  <c r="B234" i="705"/>
  <c r="B233" i="705"/>
  <c r="B232" i="705"/>
  <c r="B231" i="705"/>
  <c r="B230" i="705"/>
  <c r="B229" i="705"/>
  <c r="B228" i="705"/>
  <c r="B227" i="705"/>
  <c r="B226" i="705"/>
  <c r="B225" i="705"/>
  <c r="B224" i="705"/>
  <c r="B223" i="705"/>
  <c r="B222" i="705"/>
  <c r="B221" i="705"/>
  <c r="B220" i="705"/>
  <c r="B219" i="705"/>
  <c r="B218" i="705"/>
  <c r="B217" i="705"/>
  <c r="B216" i="705"/>
  <c r="B215" i="705"/>
  <c r="B214" i="705"/>
  <c r="B213" i="705"/>
  <c r="B212" i="705"/>
  <c r="B211" i="705"/>
  <c r="B210" i="705"/>
  <c r="B209" i="705"/>
  <c r="B208" i="705"/>
  <c r="B207" i="705"/>
  <c r="B206" i="705"/>
  <c r="B205" i="705"/>
  <c r="B204" i="705"/>
  <c r="B203" i="705"/>
  <c r="B202" i="705"/>
  <c r="B201" i="705"/>
  <c r="B200" i="705"/>
  <c r="B199" i="705"/>
  <c r="B198" i="705"/>
  <c r="B197" i="705"/>
  <c r="B196" i="705"/>
  <c r="B195" i="705"/>
  <c r="B194" i="705"/>
  <c r="B193" i="705"/>
  <c r="B192" i="705"/>
  <c r="B191" i="705"/>
  <c r="B190" i="705"/>
  <c r="B189" i="705"/>
  <c r="B188" i="705"/>
  <c r="B187" i="705"/>
  <c r="B186" i="705"/>
  <c r="B185" i="705"/>
  <c r="B184" i="705"/>
  <c r="B183" i="705"/>
  <c r="B182" i="705"/>
  <c r="B181" i="705"/>
  <c r="B180" i="705"/>
  <c r="B179" i="705"/>
  <c r="B178" i="705"/>
  <c r="B177" i="705"/>
  <c r="B176" i="705"/>
  <c r="B175" i="705"/>
  <c r="B174" i="705"/>
  <c r="B173" i="705"/>
  <c r="B172" i="705"/>
  <c r="B171" i="705"/>
  <c r="B170" i="705"/>
  <c r="B169" i="705"/>
  <c r="B168" i="705"/>
  <c r="B167" i="705"/>
  <c r="B166" i="705"/>
  <c r="B165" i="705"/>
  <c r="B164" i="705"/>
  <c r="B163" i="705"/>
  <c r="B162" i="705"/>
  <c r="B161" i="705"/>
  <c r="B160" i="705"/>
  <c r="B159" i="705"/>
  <c r="B158" i="705"/>
  <c r="B157" i="705"/>
  <c r="B156" i="705"/>
  <c r="B155" i="705"/>
  <c r="B154" i="705"/>
  <c r="B153" i="705"/>
  <c r="B152" i="705"/>
  <c r="B151" i="705"/>
  <c r="B150" i="705"/>
  <c r="B149" i="705"/>
  <c r="B148" i="705"/>
  <c r="B147" i="705"/>
  <c r="B146" i="705"/>
  <c r="B145" i="705"/>
  <c r="B144" i="705"/>
  <c r="B143" i="705"/>
  <c r="B142" i="705"/>
  <c r="B141" i="705"/>
  <c r="B140" i="705"/>
  <c r="B139" i="705"/>
  <c r="B138" i="705"/>
  <c r="B137" i="705"/>
  <c r="B136" i="705"/>
  <c r="B135" i="705"/>
  <c r="B134" i="705"/>
  <c r="B133" i="705"/>
  <c r="B132" i="705"/>
  <c r="B131" i="705"/>
  <c r="B130" i="705"/>
  <c r="B129" i="705"/>
  <c r="B128" i="705"/>
  <c r="B127" i="705"/>
  <c r="B126" i="705"/>
  <c r="B125" i="705"/>
  <c r="B124" i="705"/>
  <c r="B123" i="705"/>
  <c r="B122" i="705"/>
  <c r="B121" i="705"/>
  <c r="B120" i="705"/>
  <c r="B119" i="705"/>
  <c r="B118" i="705"/>
  <c r="B117" i="705"/>
  <c r="B116" i="705"/>
  <c r="B115" i="705"/>
  <c r="B114" i="705"/>
  <c r="B113" i="705"/>
  <c r="B112" i="705"/>
  <c r="B111" i="705"/>
  <c r="B110" i="705"/>
  <c r="B109" i="705"/>
  <c r="B108" i="705"/>
  <c r="B107" i="705"/>
  <c r="B106" i="705"/>
  <c r="B105" i="705"/>
  <c r="B104" i="705"/>
  <c r="B103" i="705"/>
  <c r="B102" i="705"/>
  <c r="B101" i="705"/>
  <c r="B100" i="705"/>
  <c r="B99" i="705"/>
  <c r="B98" i="705"/>
  <c r="B97" i="705"/>
  <c r="B96" i="705"/>
  <c r="B95" i="705"/>
  <c r="B94" i="705"/>
  <c r="B93" i="705"/>
  <c r="B92" i="705"/>
  <c r="B91" i="705"/>
  <c r="B90" i="705"/>
  <c r="B89" i="705"/>
  <c r="B88" i="705"/>
  <c r="B87" i="705"/>
  <c r="B86" i="705"/>
  <c r="B85" i="705"/>
  <c r="B84" i="705"/>
  <c r="B83" i="705"/>
  <c r="B82" i="705"/>
  <c r="B81" i="705"/>
  <c r="B80" i="705"/>
  <c r="B79" i="705"/>
  <c r="B78" i="705"/>
  <c r="B77" i="705"/>
  <c r="B76" i="705"/>
  <c r="B75" i="705"/>
  <c r="B74" i="705"/>
  <c r="B73" i="705"/>
  <c r="B72" i="705"/>
  <c r="B71" i="705"/>
  <c r="B70" i="705"/>
  <c r="B69" i="705"/>
  <c r="B68" i="705"/>
  <c r="B67" i="705"/>
  <c r="B66" i="705"/>
  <c r="B65" i="705"/>
  <c r="B64" i="705"/>
  <c r="B63" i="705"/>
  <c r="B62" i="705"/>
  <c r="B61" i="705"/>
  <c r="B60" i="705"/>
  <c r="B59" i="705"/>
  <c r="B58" i="705"/>
  <c r="B57" i="705"/>
  <c r="B56" i="705"/>
  <c r="B55" i="705"/>
  <c r="B54" i="705"/>
  <c r="B53" i="705"/>
  <c r="B52" i="705"/>
  <c r="B51" i="705"/>
  <c r="B50" i="705"/>
  <c r="B49" i="705"/>
  <c r="B48" i="705"/>
  <c r="B47" i="705"/>
  <c r="B46" i="705"/>
  <c r="B45" i="705"/>
  <c r="B44" i="705"/>
  <c r="B43" i="705"/>
  <c r="B42" i="705"/>
  <c r="B41" i="705"/>
  <c r="B40" i="705"/>
  <c r="B39" i="705"/>
  <c r="B38" i="705"/>
  <c r="B37" i="705"/>
  <c r="B36" i="705"/>
  <c r="B35" i="705"/>
  <c r="B34" i="705"/>
  <c r="B33" i="705"/>
  <c r="B32" i="705"/>
  <c r="B31" i="705"/>
  <c r="B30" i="705"/>
  <c r="B29" i="705"/>
  <c r="B28" i="705"/>
  <c r="B27" i="705"/>
  <c r="B26" i="705"/>
  <c r="B25" i="705"/>
  <c r="B24" i="705"/>
  <c r="B23" i="705"/>
  <c r="B22" i="705"/>
  <c r="B21" i="705"/>
  <c r="B20" i="705"/>
  <c r="B19" i="705"/>
  <c r="B18" i="705"/>
  <c r="B17" i="705"/>
  <c r="B16" i="705"/>
  <c r="B15" i="705"/>
  <c r="B14" i="705"/>
  <c r="B13" i="705"/>
  <c r="B12" i="705"/>
  <c r="B11" i="705"/>
  <c r="B10" i="705"/>
  <c r="B9" i="705"/>
  <c r="B8" i="705"/>
  <c r="B7" i="705"/>
  <c r="B6" i="705"/>
  <c r="B5" i="705"/>
  <c r="B4" i="705"/>
  <c r="B3" i="705"/>
  <c r="B2" i="705"/>
  <c r="B1" i="705"/>
  <c r="C2" i="600"/>
  <c r="B1238" i="704" l="1"/>
  <c r="B1237" i="704"/>
  <c r="B1236" i="704"/>
  <c r="B1235" i="704"/>
  <c r="B1234" i="704"/>
  <c r="B1233" i="704"/>
  <c r="B1232" i="704"/>
  <c r="B1231" i="704"/>
  <c r="B1230" i="704"/>
  <c r="B1229" i="704"/>
  <c r="B1228" i="704"/>
  <c r="B1227" i="704"/>
  <c r="B1226" i="704"/>
  <c r="B1225" i="704"/>
  <c r="B1224" i="704"/>
  <c r="B1223" i="704"/>
  <c r="B1222" i="704"/>
  <c r="B1221" i="704"/>
  <c r="B1220" i="704"/>
  <c r="B1219" i="704"/>
  <c r="B1218" i="704"/>
  <c r="B1217" i="704"/>
  <c r="B1216" i="704"/>
  <c r="B1215" i="704"/>
  <c r="B1214" i="704"/>
  <c r="B1213" i="704"/>
  <c r="B1212" i="704"/>
  <c r="B1211" i="704"/>
  <c r="B1210" i="704"/>
  <c r="B1209" i="704"/>
  <c r="B1208" i="704"/>
  <c r="B1207" i="704"/>
  <c r="B1206" i="704"/>
  <c r="B1205" i="704"/>
  <c r="B1204" i="704"/>
  <c r="B1203" i="704"/>
  <c r="B1202" i="704"/>
  <c r="B1201" i="704"/>
  <c r="B1200" i="704"/>
  <c r="B1199" i="704"/>
  <c r="B1198" i="704"/>
  <c r="B1197" i="704"/>
  <c r="B1196" i="704"/>
  <c r="B1195" i="704"/>
  <c r="B1194" i="704"/>
  <c r="B1193" i="704"/>
  <c r="B1192" i="704"/>
  <c r="B1191" i="704"/>
  <c r="B1190" i="704"/>
  <c r="B1189" i="704"/>
  <c r="B1188" i="704"/>
  <c r="B1187" i="704"/>
  <c r="B1186" i="704"/>
  <c r="B1185" i="704"/>
  <c r="B1184" i="704"/>
  <c r="B1183" i="704"/>
  <c r="B1182" i="704"/>
  <c r="B1181" i="704"/>
  <c r="B1180" i="704"/>
  <c r="B1179" i="704"/>
  <c r="B1178" i="704"/>
  <c r="B1177" i="704"/>
  <c r="B1176" i="704"/>
  <c r="B1175" i="704"/>
  <c r="B1174" i="704"/>
  <c r="B1173" i="704"/>
  <c r="B1172" i="704"/>
  <c r="B1171" i="704"/>
  <c r="B1170" i="704"/>
  <c r="B1169" i="704"/>
  <c r="B1168" i="704"/>
  <c r="B1167" i="704"/>
  <c r="B1166" i="704"/>
  <c r="B1165" i="704"/>
  <c r="B1164" i="704"/>
  <c r="B1163" i="704"/>
  <c r="B1162" i="704"/>
  <c r="B1161" i="704"/>
  <c r="B1160" i="704"/>
  <c r="B1159" i="704"/>
  <c r="B1158" i="704"/>
  <c r="B1157" i="704"/>
  <c r="B1156" i="704"/>
  <c r="B1155" i="704"/>
  <c r="B1154" i="704"/>
  <c r="B1153" i="704"/>
  <c r="B1152" i="704"/>
  <c r="B1151" i="704"/>
  <c r="B1150" i="704"/>
  <c r="B1149" i="704"/>
  <c r="B1148" i="704"/>
  <c r="B1147" i="704"/>
  <c r="B1146" i="704"/>
  <c r="B1145" i="704"/>
  <c r="B1144" i="704"/>
  <c r="B1143" i="704"/>
  <c r="B1142" i="704"/>
  <c r="B1141" i="704"/>
  <c r="B1140" i="704"/>
  <c r="B1139" i="704"/>
  <c r="B1138" i="704"/>
  <c r="B1137" i="704"/>
  <c r="B1136" i="704"/>
  <c r="B1135" i="704"/>
  <c r="B1134" i="704"/>
  <c r="B1133" i="704"/>
  <c r="B1132" i="704"/>
  <c r="B1131" i="704"/>
  <c r="B1130" i="704"/>
  <c r="B1129" i="704"/>
  <c r="B1128" i="704"/>
  <c r="B1127" i="704"/>
  <c r="B1126" i="704"/>
  <c r="B1125" i="704"/>
  <c r="B1124" i="704"/>
  <c r="B1123" i="704"/>
  <c r="B1122" i="704"/>
  <c r="B1121" i="704"/>
  <c r="B1120" i="704"/>
  <c r="B1119" i="704"/>
  <c r="B1118" i="704"/>
  <c r="B1117" i="704"/>
  <c r="B1116" i="704"/>
  <c r="B1115" i="704"/>
  <c r="B1114" i="704"/>
  <c r="B1113" i="704"/>
  <c r="B1112" i="704"/>
  <c r="B1111" i="704"/>
  <c r="B1110" i="704"/>
  <c r="B1109" i="704"/>
  <c r="B1108" i="704"/>
  <c r="B1107" i="704"/>
  <c r="B1106" i="704"/>
  <c r="B1105" i="704"/>
  <c r="B1104" i="704"/>
  <c r="B1103" i="704"/>
  <c r="B1102" i="704"/>
  <c r="B1101" i="704"/>
  <c r="B1100" i="704"/>
  <c r="B1099" i="704"/>
  <c r="B1098" i="704"/>
  <c r="B1097" i="704"/>
  <c r="B1096" i="704"/>
  <c r="B1095" i="704"/>
  <c r="B1094" i="704"/>
  <c r="B1093" i="704"/>
  <c r="B1092" i="704"/>
  <c r="B1091" i="704"/>
  <c r="B1090" i="704"/>
  <c r="B1089" i="704"/>
  <c r="B1088" i="704"/>
  <c r="B1087" i="704"/>
  <c r="B1086" i="704"/>
  <c r="B1085" i="704"/>
  <c r="B1084" i="704"/>
  <c r="B1083" i="704"/>
  <c r="B1082" i="704"/>
  <c r="B1081" i="704"/>
  <c r="B1080" i="704"/>
  <c r="B1079" i="704"/>
  <c r="B1078" i="704"/>
  <c r="B1077" i="704"/>
  <c r="B1076" i="704"/>
  <c r="B1075" i="704"/>
  <c r="B1074" i="704"/>
  <c r="B1073" i="704"/>
  <c r="B1072" i="704"/>
  <c r="B1071" i="704"/>
  <c r="B1070" i="704"/>
  <c r="B1069" i="704"/>
  <c r="B1068" i="704"/>
  <c r="B1067" i="704"/>
  <c r="B1066" i="704"/>
  <c r="B1065" i="704"/>
  <c r="B1064" i="704"/>
  <c r="B1063" i="704"/>
  <c r="B1062" i="704"/>
  <c r="B1061" i="704"/>
  <c r="B1060" i="704"/>
  <c r="B1059" i="704"/>
  <c r="B1058" i="704"/>
  <c r="B1057" i="704"/>
  <c r="B1056" i="704"/>
  <c r="B1055" i="704"/>
  <c r="B1054" i="704"/>
  <c r="B1053" i="704"/>
  <c r="B1052" i="704"/>
  <c r="B1051" i="704"/>
  <c r="B1050" i="704"/>
  <c r="B1049" i="704"/>
  <c r="B1048" i="704"/>
  <c r="B1047" i="704"/>
  <c r="B1046" i="704"/>
  <c r="B1045" i="704"/>
  <c r="B1044" i="704"/>
  <c r="B1043" i="704"/>
  <c r="B1042" i="704"/>
  <c r="B1041" i="704"/>
  <c r="B1040" i="704"/>
  <c r="B1039" i="704"/>
  <c r="B1038" i="704"/>
  <c r="B1037" i="704"/>
  <c r="B1036" i="704"/>
  <c r="B1035" i="704"/>
  <c r="B1034" i="704"/>
  <c r="B1033" i="704"/>
  <c r="B1032" i="704"/>
  <c r="B1031" i="704"/>
  <c r="B1030" i="704"/>
  <c r="B1029" i="704"/>
  <c r="B1028" i="704"/>
  <c r="B1027" i="704"/>
  <c r="B1026" i="704"/>
  <c r="B1025" i="704"/>
  <c r="B1024" i="704"/>
  <c r="B1023" i="704"/>
  <c r="B1022" i="704"/>
  <c r="B1021" i="704"/>
  <c r="B1020" i="704"/>
  <c r="B1019" i="704"/>
  <c r="B1018" i="704"/>
  <c r="B1017" i="704"/>
  <c r="B1016" i="704"/>
  <c r="B1015" i="704"/>
  <c r="B1014" i="704"/>
  <c r="B1013" i="704"/>
  <c r="B1012" i="704"/>
  <c r="B1011" i="704"/>
  <c r="B1010" i="704"/>
  <c r="B1009" i="704"/>
  <c r="B1008" i="704"/>
  <c r="B1007" i="704"/>
  <c r="B1006" i="704"/>
  <c r="B1005" i="704"/>
  <c r="B1004" i="704"/>
  <c r="B1003" i="704"/>
  <c r="B1002" i="704"/>
  <c r="B1001" i="704"/>
  <c r="B1000" i="704"/>
  <c r="B999" i="704"/>
  <c r="B998" i="704"/>
  <c r="B997" i="704"/>
  <c r="B996" i="704"/>
  <c r="B995" i="704"/>
  <c r="B994" i="704"/>
  <c r="B993" i="704"/>
  <c r="B992" i="704"/>
  <c r="B991" i="704"/>
  <c r="B990" i="704"/>
  <c r="B989" i="704"/>
  <c r="B988" i="704"/>
  <c r="B987" i="704"/>
  <c r="B986" i="704"/>
  <c r="B985" i="704"/>
  <c r="B984" i="704"/>
  <c r="B983" i="704"/>
  <c r="B982" i="704"/>
  <c r="B981" i="704"/>
  <c r="B980" i="704"/>
  <c r="B979" i="704"/>
  <c r="B978" i="704"/>
  <c r="B977" i="704"/>
  <c r="B976" i="704"/>
  <c r="B975" i="704"/>
  <c r="B974" i="704"/>
  <c r="B973" i="704"/>
  <c r="B972" i="704"/>
  <c r="B971" i="704"/>
  <c r="B970" i="704"/>
  <c r="B969" i="704"/>
  <c r="B968" i="704"/>
  <c r="B967" i="704"/>
  <c r="B966" i="704"/>
  <c r="B965" i="704"/>
  <c r="B964" i="704"/>
  <c r="B963" i="704"/>
  <c r="B962" i="704"/>
  <c r="B961" i="704"/>
  <c r="B960" i="704"/>
  <c r="B959" i="704"/>
  <c r="B958" i="704"/>
  <c r="B957" i="704"/>
  <c r="B956" i="704"/>
  <c r="B955" i="704"/>
  <c r="B954" i="704"/>
  <c r="B953" i="704"/>
  <c r="B952" i="704"/>
  <c r="B951" i="704"/>
  <c r="B950" i="704"/>
  <c r="B949" i="704"/>
  <c r="B948" i="704"/>
  <c r="B947" i="704"/>
  <c r="B946" i="704"/>
  <c r="B945" i="704"/>
  <c r="B944" i="704"/>
  <c r="B943" i="704"/>
  <c r="B942" i="704"/>
  <c r="B941" i="704"/>
  <c r="B940" i="704"/>
  <c r="B939" i="704"/>
  <c r="B938" i="704"/>
  <c r="B937" i="704"/>
  <c r="B936" i="704"/>
  <c r="B935" i="704"/>
  <c r="B934" i="704"/>
  <c r="B933" i="704"/>
  <c r="B932" i="704"/>
  <c r="B931" i="704"/>
  <c r="B930" i="704"/>
  <c r="B929" i="704"/>
  <c r="B928" i="704"/>
  <c r="B927" i="704"/>
  <c r="B926" i="704"/>
  <c r="B925" i="704"/>
  <c r="B924" i="704"/>
  <c r="B923" i="704"/>
  <c r="B922" i="704"/>
  <c r="B921" i="704"/>
  <c r="B920" i="704"/>
  <c r="B919" i="704"/>
  <c r="B918" i="704"/>
  <c r="B917" i="704"/>
  <c r="B916" i="704"/>
  <c r="B915" i="704"/>
  <c r="B914" i="704"/>
  <c r="B913" i="704"/>
  <c r="B912" i="704"/>
  <c r="B911" i="704"/>
  <c r="B910" i="704"/>
  <c r="B909" i="704"/>
  <c r="B908" i="704"/>
  <c r="B907" i="704"/>
  <c r="B906" i="704"/>
  <c r="B905" i="704"/>
  <c r="B904" i="704"/>
  <c r="B903" i="704"/>
  <c r="B902" i="704"/>
  <c r="B901" i="704"/>
  <c r="B900" i="704"/>
  <c r="B899" i="704"/>
  <c r="B898" i="704"/>
  <c r="B897" i="704"/>
  <c r="B896" i="704"/>
  <c r="B895" i="704"/>
  <c r="B894" i="704"/>
  <c r="B893" i="704"/>
  <c r="B892" i="704"/>
  <c r="B891" i="704"/>
  <c r="B890" i="704"/>
  <c r="B889" i="704"/>
  <c r="B888" i="704"/>
  <c r="B887" i="704"/>
  <c r="B886" i="704"/>
  <c r="B885" i="704"/>
  <c r="B884" i="704"/>
  <c r="B883" i="704"/>
  <c r="B882" i="704"/>
  <c r="B881" i="704"/>
  <c r="B880" i="704"/>
  <c r="B879" i="704"/>
  <c r="B878" i="704"/>
  <c r="B877" i="704"/>
  <c r="B876" i="704"/>
  <c r="B875" i="704"/>
  <c r="B874" i="704"/>
  <c r="B873" i="704"/>
  <c r="B872" i="704"/>
  <c r="B871" i="704"/>
  <c r="B870" i="704"/>
  <c r="B869" i="704"/>
  <c r="B868" i="704"/>
  <c r="B867" i="704"/>
  <c r="B866" i="704"/>
  <c r="B865" i="704"/>
  <c r="B864" i="704"/>
  <c r="B863" i="704"/>
  <c r="B862" i="704"/>
  <c r="B861" i="704"/>
  <c r="B860" i="704"/>
  <c r="B859" i="704"/>
  <c r="B858" i="704"/>
  <c r="B857" i="704"/>
  <c r="B856" i="704"/>
  <c r="B855" i="704"/>
  <c r="B854" i="704"/>
  <c r="B853" i="704"/>
  <c r="B852" i="704"/>
  <c r="B851" i="704"/>
  <c r="B850" i="704"/>
  <c r="B849" i="704"/>
  <c r="B848" i="704"/>
  <c r="B847" i="704"/>
  <c r="B846" i="704"/>
  <c r="B845" i="704"/>
  <c r="B844" i="704"/>
  <c r="B843" i="704"/>
  <c r="B842" i="704"/>
  <c r="B841" i="704"/>
  <c r="B840" i="704"/>
  <c r="B839" i="704"/>
  <c r="B838" i="704"/>
  <c r="B837" i="704"/>
  <c r="B836" i="704"/>
  <c r="B835" i="704"/>
  <c r="B834" i="704"/>
  <c r="B833" i="704"/>
  <c r="B832" i="704"/>
  <c r="B831" i="704"/>
  <c r="B830" i="704"/>
  <c r="B829" i="704"/>
  <c r="B828" i="704"/>
  <c r="B827" i="704"/>
  <c r="B826" i="704"/>
  <c r="B825" i="704"/>
  <c r="B824" i="704"/>
  <c r="B823" i="704"/>
  <c r="B822" i="704"/>
  <c r="B821" i="704"/>
  <c r="B820" i="704"/>
  <c r="B819" i="704"/>
  <c r="B818" i="704"/>
  <c r="B817" i="704"/>
  <c r="B816" i="704"/>
  <c r="B815" i="704"/>
  <c r="B814" i="704"/>
  <c r="B813" i="704"/>
  <c r="B812" i="704"/>
  <c r="B811" i="704"/>
  <c r="B810" i="704"/>
  <c r="B809" i="704"/>
  <c r="B808" i="704"/>
  <c r="B807" i="704"/>
  <c r="B806" i="704"/>
  <c r="B805" i="704"/>
  <c r="B804" i="704"/>
  <c r="B803" i="704"/>
  <c r="B802" i="704"/>
  <c r="B801" i="704"/>
  <c r="B800" i="704"/>
  <c r="B799" i="704"/>
  <c r="B798" i="704"/>
  <c r="B797" i="704"/>
  <c r="B796" i="704"/>
  <c r="B795" i="704"/>
  <c r="B794" i="704"/>
  <c r="B793" i="704"/>
  <c r="B792" i="704"/>
  <c r="B791" i="704"/>
  <c r="B790" i="704"/>
  <c r="B789" i="704"/>
  <c r="B788" i="704"/>
  <c r="B787" i="704"/>
  <c r="B786" i="704"/>
  <c r="B785" i="704"/>
  <c r="B784" i="704"/>
  <c r="B783" i="704"/>
  <c r="B782" i="704"/>
  <c r="B781" i="704"/>
  <c r="B780" i="704"/>
  <c r="B779" i="704"/>
  <c r="B778" i="704"/>
  <c r="B777" i="704"/>
  <c r="B776" i="704"/>
  <c r="B775" i="704"/>
  <c r="B774" i="704"/>
  <c r="B773" i="704"/>
  <c r="B772" i="704"/>
  <c r="B771" i="704"/>
  <c r="B770" i="704"/>
  <c r="B769" i="704"/>
  <c r="B768" i="704"/>
  <c r="B767" i="704"/>
  <c r="B766" i="704"/>
  <c r="B765" i="704"/>
  <c r="B764" i="704"/>
  <c r="B763" i="704"/>
  <c r="B762" i="704"/>
  <c r="B761" i="704"/>
  <c r="B760" i="704"/>
  <c r="B759" i="704"/>
  <c r="B758" i="704"/>
  <c r="B757" i="704"/>
  <c r="B756" i="704"/>
  <c r="B755" i="704"/>
  <c r="B754" i="704"/>
  <c r="B753" i="704"/>
  <c r="B752" i="704"/>
  <c r="B751" i="704"/>
  <c r="B750" i="704"/>
  <c r="B749" i="704"/>
  <c r="B748" i="704"/>
  <c r="B747" i="704"/>
  <c r="B746" i="704"/>
  <c r="B745" i="704"/>
  <c r="B744" i="704"/>
  <c r="B743" i="704"/>
  <c r="B742" i="704"/>
  <c r="B741" i="704"/>
  <c r="B740" i="704"/>
  <c r="B739" i="704"/>
  <c r="B738" i="704"/>
  <c r="B737" i="704"/>
  <c r="B736" i="704"/>
  <c r="B735" i="704"/>
  <c r="B734" i="704"/>
  <c r="B733" i="704"/>
  <c r="B732" i="704"/>
  <c r="B731" i="704"/>
  <c r="B730" i="704"/>
  <c r="B729" i="704"/>
  <c r="B728" i="704"/>
  <c r="B727" i="704"/>
  <c r="B726" i="704"/>
  <c r="B725" i="704"/>
  <c r="B724" i="704"/>
  <c r="B723" i="704"/>
  <c r="B722" i="704"/>
  <c r="B721" i="704"/>
  <c r="B720" i="704"/>
  <c r="B719" i="704"/>
  <c r="B718" i="704"/>
  <c r="B717" i="704"/>
  <c r="B716" i="704"/>
  <c r="B715" i="704"/>
  <c r="B714" i="704"/>
  <c r="B713" i="704"/>
  <c r="B712" i="704"/>
  <c r="B711" i="704"/>
  <c r="B710" i="704"/>
  <c r="B709" i="704"/>
  <c r="B708" i="704"/>
  <c r="B707" i="704"/>
  <c r="B706" i="704"/>
  <c r="B705" i="704"/>
  <c r="B704" i="704"/>
  <c r="B703" i="704"/>
  <c r="B702" i="704"/>
  <c r="B701" i="704"/>
  <c r="B700" i="704"/>
  <c r="B699" i="704"/>
  <c r="B698" i="704"/>
  <c r="B697" i="704"/>
  <c r="B696" i="704"/>
  <c r="B695" i="704"/>
  <c r="B694" i="704"/>
  <c r="B693" i="704"/>
  <c r="B692" i="704"/>
  <c r="B691" i="704"/>
  <c r="B690" i="704"/>
  <c r="B689" i="704"/>
  <c r="B688" i="704"/>
  <c r="B687" i="704"/>
  <c r="B686" i="704"/>
  <c r="B685" i="704"/>
  <c r="B684" i="704"/>
  <c r="B683" i="704"/>
  <c r="B682" i="704"/>
  <c r="B681" i="704"/>
  <c r="B680" i="704"/>
  <c r="B679" i="704"/>
  <c r="B678" i="704"/>
  <c r="B677" i="704"/>
  <c r="B676" i="704"/>
  <c r="B675" i="704"/>
  <c r="B674" i="704"/>
  <c r="B673" i="704"/>
  <c r="B672" i="704"/>
  <c r="B671" i="704"/>
  <c r="B670" i="704"/>
  <c r="B669" i="704"/>
  <c r="B668" i="704"/>
  <c r="B667" i="704"/>
  <c r="B666" i="704"/>
  <c r="B665" i="704"/>
  <c r="B664" i="704"/>
  <c r="B663" i="704"/>
  <c r="B662" i="704"/>
  <c r="B661" i="704"/>
  <c r="B660" i="704"/>
  <c r="B659" i="704"/>
  <c r="B658" i="704"/>
  <c r="B657" i="704"/>
  <c r="B656" i="704"/>
  <c r="B655" i="704"/>
  <c r="B654" i="704"/>
  <c r="B653" i="704"/>
  <c r="B652" i="704"/>
  <c r="B651" i="704"/>
  <c r="B650" i="704"/>
  <c r="B649" i="704"/>
  <c r="B648" i="704"/>
  <c r="B647" i="704"/>
  <c r="B646" i="704"/>
  <c r="B645" i="704"/>
  <c r="B644" i="704"/>
  <c r="B643" i="704"/>
  <c r="B642" i="704"/>
  <c r="B641" i="704"/>
  <c r="B640" i="704"/>
  <c r="B639" i="704"/>
  <c r="B638" i="704"/>
  <c r="B637" i="704"/>
  <c r="B636" i="704"/>
  <c r="B635" i="704"/>
  <c r="B634" i="704"/>
  <c r="B633" i="704"/>
  <c r="B632" i="704"/>
  <c r="B631" i="704"/>
  <c r="B630" i="704"/>
  <c r="B629" i="704"/>
  <c r="B628" i="704"/>
  <c r="B627" i="704"/>
  <c r="B626" i="704"/>
  <c r="B625" i="704"/>
  <c r="B624" i="704"/>
  <c r="B623" i="704"/>
  <c r="B622" i="704"/>
  <c r="B621" i="704"/>
  <c r="B620" i="704"/>
  <c r="B619" i="704"/>
  <c r="B618" i="704"/>
  <c r="B617" i="704"/>
  <c r="B616" i="704"/>
  <c r="B615" i="704"/>
  <c r="B614" i="704"/>
  <c r="B613" i="704"/>
  <c r="B612" i="704"/>
  <c r="B611" i="704"/>
  <c r="B610" i="704"/>
  <c r="B609" i="704"/>
  <c r="B608" i="704"/>
  <c r="B607" i="704"/>
  <c r="B606" i="704"/>
  <c r="B605" i="704"/>
  <c r="B604" i="704"/>
  <c r="B603" i="704"/>
  <c r="B602" i="704"/>
  <c r="B601" i="704"/>
  <c r="B600" i="704"/>
  <c r="B599" i="704"/>
  <c r="B598" i="704"/>
  <c r="B597" i="704"/>
  <c r="B596" i="704"/>
  <c r="B595" i="704"/>
  <c r="B594" i="704"/>
  <c r="B593" i="704"/>
  <c r="B592" i="704"/>
  <c r="B591" i="704"/>
  <c r="B590" i="704"/>
  <c r="B589" i="704"/>
  <c r="B588" i="704"/>
  <c r="B587" i="704"/>
  <c r="B586" i="704"/>
  <c r="B585" i="704"/>
  <c r="B584" i="704"/>
  <c r="B583" i="704"/>
  <c r="B582" i="704"/>
  <c r="B581" i="704"/>
  <c r="B580" i="704"/>
  <c r="B579" i="704"/>
  <c r="B578" i="704"/>
  <c r="B577" i="704"/>
  <c r="B576" i="704"/>
  <c r="B575" i="704"/>
  <c r="B574" i="704"/>
  <c r="B573" i="704"/>
  <c r="B572" i="704"/>
  <c r="B571" i="704"/>
  <c r="B570" i="704"/>
  <c r="B569" i="704"/>
  <c r="B568" i="704"/>
  <c r="B567" i="704"/>
  <c r="B566" i="704"/>
  <c r="B565" i="704"/>
  <c r="B564" i="704"/>
  <c r="B563" i="704"/>
  <c r="B562" i="704"/>
  <c r="B561" i="704"/>
  <c r="B560" i="704"/>
  <c r="B559" i="704"/>
  <c r="B558" i="704"/>
  <c r="B557" i="704"/>
  <c r="B556" i="704"/>
  <c r="B555" i="704"/>
  <c r="B554" i="704"/>
  <c r="B553" i="704"/>
  <c r="B552" i="704"/>
  <c r="B551" i="704"/>
  <c r="B550" i="704"/>
  <c r="B549" i="704"/>
  <c r="B548" i="704"/>
  <c r="B547" i="704"/>
  <c r="B546" i="704"/>
  <c r="B545" i="704"/>
  <c r="B544" i="704"/>
  <c r="B543" i="704"/>
  <c r="B542" i="704"/>
  <c r="B541" i="704"/>
  <c r="B540" i="704"/>
  <c r="B539" i="704"/>
  <c r="B538" i="704"/>
  <c r="B537" i="704"/>
  <c r="B536" i="704"/>
  <c r="B535" i="704"/>
  <c r="B534" i="704"/>
  <c r="B533" i="704"/>
  <c r="B532" i="704"/>
  <c r="B531" i="704"/>
  <c r="B530" i="704"/>
  <c r="B529" i="704"/>
  <c r="B528" i="704"/>
  <c r="B527" i="704"/>
  <c r="B526" i="704"/>
  <c r="B525" i="704"/>
  <c r="B524" i="704"/>
  <c r="B523" i="704"/>
  <c r="B522" i="704"/>
  <c r="B521" i="704"/>
  <c r="B520" i="704"/>
  <c r="B519" i="704"/>
  <c r="B518" i="704"/>
  <c r="B517" i="704"/>
  <c r="B516" i="704"/>
  <c r="B515" i="704"/>
  <c r="B514" i="704"/>
  <c r="B513" i="704"/>
  <c r="B512" i="704"/>
  <c r="B511" i="704"/>
  <c r="B510" i="704"/>
  <c r="B509" i="704"/>
  <c r="B508" i="704"/>
  <c r="B507" i="704"/>
  <c r="B506" i="704"/>
  <c r="B505" i="704"/>
  <c r="B504" i="704"/>
  <c r="B503" i="704"/>
  <c r="B502" i="704"/>
  <c r="B501" i="704"/>
  <c r="B500" i="704"/>
  <c r="B499" i="704"/>
  <c r="B498" i="704"/>
  <c r="B497" i="704"/>
  <c r="B496" i="704"/>
  <c r="B495" i="704"/>
  <c r="B494" i="704"/>
  <c r="B493" i="704"/>
  <c r="B492" i="704"/>
  <c r="B491" i="704"/>
  <c r="B490" i="704"/>
  <c r="B489" i="704"/>
  <c r="B488" i="704"/>
  <c r="B487" i="704"/>
  <c r="B486" i="704"/>
  <c r="B485" i="704"/>
  <c r="B484" i="704"/>
  <c r="B483" i="704"/>
  <c r="B482" i="704"/>
  <c r="B481" i="704"/>
  <c r="B480" i="704"/>
  <c r="B479" i="704"/>
  <c r="B478" i="704"/>
  <c r="B477" i="704"/>
  <c r="B476" i="704"/>
  <c r="B475" i="704"/>
  <c r="B474" i="704"/>
  <c r="B473" i="704"/>
  <c r="B472" i="704"/>
  <c r="B471" i="704"/>
  <c r="B470" i="704"/>
  <c r="B469" i="704"/>
  <c r="B468" i="704"/>
  <c r="B467" i="704"/>
  <c r="B466" i="704"/>
  <c r="B465" i="704"/>
  <c r="B464" i="704"/>
  <c r="B463" i="704"/>
  <c r="B462" i="704"/>
  <c r="B461" i="704"/>
  <c r="B460" i="704"/>
  <c r="B459" i="704"/>
  <c r="B458" i="704"/>
  <c r="B457" i="704"/>
  <c r="B456" i="704"/>
  <c r="B455" i="704"/>
  <c r="B454" i="704"/>
  <c r="B453" i="704"/>
  <c r="B452" i="704"/>
  <c r="B451" i="704"/>
  <c r="B450" i="704"/>
  <c r="B449" i="704"/>
  <c r="B448" i="704"/>
  <c r="B447" i="704"/>
  <c r="B446" i="704"/>
  <c r="B445" i="704"/>
  <c r="B444" i="704"/>
  <c r="B443" i="704"/>
  <c r="B442" i="704"/>
  <c r="B441" i="704"/>
  <c r="B440" i="704"/>
  <c r="B439" i="704"/>
  <c r="B438" i="704"/>
  <c r="B437" i="704"/>
  <c r="B436" i="704"/>
  <c r="B435" i="704"/>
  <c r="B434" i="704"/>
  <c r="B433" i="704"/>
  <c r="B432" i="704"/>
  <c r="B431" i="704"/>
  <c r="B430" i="704"/>
  <c r="B429" i="704"/>
  <c r="B428" i="704"/>
  <c r="B427" i="704"/>
  <c r="B426" i="704"/>
  <c r="B425" i="704"/>
  <c r="B424" i="704"/>
  <c r="B423" i="704"/>
  <c r="B422" i="704"/>
  <c r="B421" i="704"/>
  <c r="B420" i="704"/>
  <c r="B419" i="704"/>
  <c r="B418" i="704"/>
  <c r="B417" i="704"/>
  <c r="B416" i="704"/>
  <c r="B415" i="704"/>
  <c r="B414" i="704"/>
  <c r="B413" i="704"/>
  <c r="B412" i="704"/>
  <c r="B411" i="704"/>
  <c r="B410" i="704"/>
  <c r="B409" i="704"/>
  <c r="B408" i="704"/>
  <c r="B407" i="704"/>
  <c r="B406" i="704"/>
  <c r="B405" i="704"/>
  <c r="B404" i="704"/>
  <c r="B403" i="704"/>
  <c r="B402" i="704"/>
  <c r="B401" i="704"/>
  <c r="B400" i="704"/>
  <c r="B399" i="704"/>
  <c r="B398" i="704"/>
  <c r="B397" i="704"/>
  <c r="B396" i="704"/>
  <c r="B395" i="704"/>
  <c r="B394" i="704"/>
  <c r="B393" i="704"/>
  <c r="B392" i="704"/>
  <c r="B391" i="704"/>
  <c r="B390" i="704"/>
  <c r="B389" i="704"/>
  <c r="B388" i="704"/>
  <c r="B387" i="704"/>
  <c r="B386" i="704"/>
  <c r="B385" i="704"/>
  <c r="B384" i="704"/>
  <c r="B383" i="704"/>
  <c r="B382" i="704"/>
  <c r="B381" i="704"/>
  <c r="B380" i="704"/>
  <c r="B379" i="704"/>
  <c r="B378" i="704"/>
  <c r="B377" i="704"/>
  <c r="B376" i="704"/>
  <c r="B375" i="704"/>
  <c r="B374" i="704"/>
  <c r="B373" i="704"/>
  <c r="B372" i="704"/>
  <c r="B371" i="704"/>
  <c r="B370" i="704"/>
  <c r="B369" i="704"/>
  <c r="B368" i="704"/>
  <c r="B367" i="704"/>
  <c r="B366" i="704"/>
  <c r="B365" i="704"/>
  <c r="B364" i="704"/>
  <c r="B363" i="704"/>
  <c r="B362" i="704"/>
  <c r="B361" i="704"/>
  <c r="B360" i="704"/>
  <c r="B359" i="704"/>
  <c r="B358" i="704"/>
  <c r="B357" i="704"/>
  <c r="B356" i="704"/>
  <c r="B355" i="704"/>
  <c r="B354" i="704"/>
  <c r="B353" i="704"/>
  <c r="B352" i="704"/>
  <c r="B351" i="704"/>
  <c r="B350" i="704"/>
  <c r="B349" i="704"/>
  <c r="B348" i="704"/>
  <c r="B347" i="704"/>
  <c r="B346" i="704"/>
  <c r="B345" i="704"/>
  <c r="B344" i="704"/>
  <c r="B343" i="704"/>
  <c r="B342" i="704"/>
  <c r="B341" i="704"/>
  <c r="B340" i="704"/>
  <c r="B339" i="704"/>
  <c r="B338" i="704"/>
  <c r="B337" i="704"/>
  <c r="B336" i="704"/>
  <c r="B335" i="704"/>
  <c r="B334" i="704"/>
  <c r="B333" i="704"/>
  <c r="B332" i="704"/>
  <c r="B331" i="704"/>
  <c r="B330" i="704"/>
  <c r="B329" i="704"/>
  <c r="B328" i="704"/>
  <c r="B327" i="704"/>
  <c r="B326" i="704"/>
  <c r="B325" i="704"/>
  <c r="B324" i="704"/>
  <c r="B323" i="704"/>
  <c r="B322" i="704"/>
  <c r="B321" i="704"/>
  <c r="B320" i="704"/>
  <c r="B319" i="704"/>
  <c r="B318" i="704"/>
  <c r="B317" i="704"/>
  <c r="B316" i="704"/>
  <c r="B315" i="704"/>
  <c r="B314" i="704"/>
  <c r="B313" i="704"/>
  <c r="B312" i="704"/>
  <c r="B311" i="704"/>
  <c r="B310" i="704"/>
  <c r="B309" i="704"/>
  <c r="B308" i="704"/>
  <c r="B307" i="704"/>
  <c r="B306" i="704"/>
  <c r="B305" i="704"/>
  <c r="B304" i="704"/>
  <c r="B303" i="704"/>
  <c r="B302" i="704"/>
  <c r="B301" i="704"/>
  <c r="B300" i="704"/>
  <c r="B299" i="704"/>
  <c r="B298" i="704"/>
  <c r="B297" i="704"/>
  <c r="B296" i="704"/>
  <c r="B295" i="704"/>
  <c r="B294" i="704"/>
  <c r="B293" i="704"/>
  <c r="B292" i="704"/>
  <c r="B291" i="704"/>
  <c r="B290" i="704"/>
  <c r="B289" i="704"/>
  <c r="B288" i="704"/>
  <c r="B287" i="704"/>
  <c r="B286" i="704"/>
  <c r="B285" i="704"/>
  <c r="B284" i="704"/>
  <c r="B283" i="704"/>
  <c r="B282" i="704"/>
  <c r="B281" i="704"/>
  <c r="B280" i="704"/>
  <c r="B279" i="704"/>
  <c r="B278" i="704"/>
  <c r="B277" i="704"/>
  <c r="B276" i="704"/>
  <c r="B275" i="704"/>
  <c r="B274" i="704"/>
  <c r="B273" i="704"/>
  <c r="B272" i="704"/>
  <c r="B271" i="704"/>
  <c r="B270" i="704"/>
  <c r="B269" i="704"/>
  <c r="B268" i="704"/>
  <c r="B267" i="704"/>
  <c r="B266" i="704"/>
  <c r="B265" i="704"/>
  <c r="B264" i="704"/>
  <c r="B263" i="704"/>
  <c r="B262" i="704"/>
  <c r="B261" i="704"/>
  <c r="B260" i="704"/>
  <c r="B259" i="704"/>
  <c r="B258" i="704"/>
  <c r="B257" i="704"/>
  <c r="B256" i="704"/>
  <c r="B255" i="704"/>
  <c r="B254" i="704"/>
  <c r="B253" i="704"/>
  <c r="B252" i="704"/>
  <c r="B251" i="704"/>
  <c r="B250" i="704"/>
  <c r="B249" i="704"/>
  <c r="B248" i="704"/>
  <c r="B247" i="704"/>
  <c r="B246" i="704"/>
  <c r="B245" i="704"/>
  <c r="B244" i="704"/>
  <c r="B243" i="704"/>
  <c r="B242" i="704"/>
  <c r="B241" i="704"/>
  <c r="B240" i="704"/>
  <c r="B239" i="704"/>
  <c r="B238" i="704"/>
  <c r="B237" i="704"/>
  <c r="B236" i="704"/>
  <c r="B235" i="704"/>
  <c r="B234" i="704"/>
  <c r="B233" i="704"/>
  <c r="B232" i="704"/>
  <c r="B231" i="704"/>
  <c r="B230" i="704"/>
  <c r="B229" i="704"/>
  <c r="B228" i="704"/>
  <c r="B227" i="704"/>
  <c r="B226" i="704"/>
  <c r="B225" i="704"/>
  <c r="B224" i="704"/>
  <c r="B223" i="704"/>
  <c r="B222" i="704"/>
  <c r="B221" i="704"/>
  <c r="B220" i="704"/>
  <c r="B219" i="704"/>
  <c r="B218" i="704"/>
  <c r="B217" i="704"/>
  <c r="B216" i="704"/>
  <c r="B215" i="704"/>
  <c r="B214" i="704"/>
  <c r="B213" i="704"/>
  <c r="B212" i="704"/>
  <c r="B211" i="704"/>
  <c r="B210" i="704"/>
  <c r="B209" i="704"/>
  <c r="B208" i="704"/>
  <c r="B207" i="704"/>
  <c r="B206" i="704"/>
  <c r="B205" i="704"/>
  <c r="B204" i="704"/>
  <c r="B203" i="704"/>
  <c r="B202" i="704"/>
  <c r="B201" i="704"/>
  <c r="B200" i="704"/>
  <c r="B199" i="704"/>
  <c r="B198" i="704"/>
  <c r="B197" i="704"/>
  <c r="B196" i="704"/>
  <c r="B195" i="704"/>
  <c r="B194" i="704"/>
  <c r="B193" i="704"/>
  <c r="B192" i="704"/>
  <c r="B191" i="704"/>
  <c r="B190" i="704"/>
  <c r="B189" i="704"/>
  <c r="B188" i="704"/>
  <c r="B187" i="704"/>
  <c r="B186" i="704"/>
  <c r="B185" i="704"/>
  <c r="B184" i="704"/>
  <c r="B183" i="704"/>
  <c r="B182" i="704"/>
  <c r="B181" i="704"/>
  <c r="B180" i="704"/>
  <c r="B179" i="704"/>
  <c r="B178" i="704"/>
  <c r="B177" i="704"/>
  <c r="B176" i="704"/>
  <c r="B175" i="704"/>
  <c r="B174" i="704"/>
  <c r="B173" i="704"/>
  <c r="B172" i="704"/>
  <c r="B171" i="704"/>
  <c r="B170" i="704"/>
  <c r="B169" i="704"/>
  <c r="B168" i="704"/>
  <c r="B167" i="704"/>
  <c r="B166" i="704"/>
  <c r="B165" i="704"/>
  <c r="B164" i="704"/>
  <c r="B163" i="704"/>
  <c r="B162" i="704"/>
  <c r="B161" i="704"/>
  <c r="B160" i="704"/>
  <c r="B159" i="704"/>
  <c r="B158" i="704"/>
  <c r="B157" i="704"/>
  <c r="B156" i="704"/>
  <c r="B155" i="704"/>
  <c r="B154" i="704"/>
  <c r="B153" i="704"/>
  <c r="B152" i="704"/>
  <c r="B151" i="704"/>
  <c r="B150" i="704"/>
  <c r="B149" i="704"/>
  <c r="B148" i="704"/>
  <c r="B147" i="704"/>
  <c r="B146" i="704"/>
  <c r="B145" i="704"/>
  <c r="B144" i="704"/>
  <c r="B143" i="704"/>
  <c r="B142" i="704"/>
  <c r="B141" i="704"/>
  <c r="B140" i="704"/>
  <c r="B139" i="704"/>
  <c r="B138" i="704"/>
  <c r="B137" i="704"/>
  <c r="B136" i="704"/>
  <c r="B135" i="704"/>
  <c r="B134" i="704"/>
  <c r="B133" i="704"/>
  <c r="B132" i="704"/>
  <c r="B131" i="704"/>
  <c r="B130" i="704"/>
  <c r="B129" i="704"/>
  <c r="B128" i="704"/>
  <c r="B127" i="704"/>
  <c r="B126" i="704"/>
  <c r="B125" i="704"/>
  <c r="B124" i="704"/>
  <c r="B123" i="704"/>
  <c r="B122" i="704"/>
  <c r="B121" i="704"/>
  <c r="B120" i="704"/>
  <c r="B119" i="704"/>
  <c r="B118" i="704"/>
  <c r="B117" i="704"/>
  <c r="B116" i="704"/>
  <c r="B115" i="704"/>
  <c r="B114" i="704"/>
  <c r="B113" i="704"/>
  <c r="B112" i="704"/>
  <c r="B111" i="704"/>
  <c r="B110" i="704"/>
  <c r="B109" i="704"/>
  <c r="B108" i="704"/>
  <c r="B107" i="704"/>
  <c r="B106" i="704"/>
  <c r="B105" i="704"/>
  <c r="B104" i="704"/>
  <c r="B103" i="704"/>
  <c r="B102" i="704"/>
  <c r="B101" i="704"/>
  <c r="B100" i="704"/>
  <c r="B99" i="704"/>
  <c r="B98" i="704"/>
  <c r="B97" i="704"/>
  <c r="B96" i="704"/>
  <c r="B95" i="704"/>
  <c r="B94" i="704"/>
  <c r="B93" i="704"/>
  <c r="B92" i="704"/>
  <c r="B91" i="704"/>
  <c r="B90" i="704"/>
  <c r="B89" i="704"/>
  <c r="B88" i="704"/>
  <c r="B87" i="704"/>
  <c r="B86" i="704"/>
  <c r="B85" i="704"/>
  <c r="B84" i="704"/>
  <c r="B83" i="704"/>
  <c r="B82" i="704"/>
  <c r="B81" i="704"/>
  <c r="B80" i="704"/>
  <c r="B79" i="704"/>
  <c r="B78" i="704"/>
  <c r="B77" i="704"/>
  <c r="B76" i="704"/>
  <c r="B75" i="704"/>
  <c r="B74" i="704"/>
  <c r="B73" i="704"/>
  <c r="B72" i="704"/>
  <c r="B71" i="704"/>
  <c r="B70" i="704"/>
  <c r="B69" i="704"/>
  <c r="B68" i="704"/>
  <c r="B67" i="704"/>
  <c r="B66" i="704"/>
  <c r="B65" i="704"/>
  <c r="B64" i="704"/>
  <c r="B63" i="704"/>
  <c r="B62" i="704"/>
  <c r="B61" i="704"/>
  <c r="B60" i="704"/>
  <c r="B59" i="704"/>
  <c r="B58" i="704"/>
  <c r="B57" i="704"/>
  <c r="B56" i="704"/>
  <c r="B55" i="704"/>
  <c r="B54" i="704"/>
  <c r="B53" i="704"/>
  <c r="B52" i="704"/>
  <c r="B51" i="704"/>
  <c r="B50" i="704"/>
  <c r="B49" i="704"/>
  <c r="B48" i="704"/>
  <c r="B47" i="704"/>
  <c r="B46" i="704"/>
  <c r="B45" i="704"/>
  <c r="B44" i="704"/>
  <c r="B43" i="704"/>
  <c r="B42" i="704"/>
  <c r="B41" i="704"/>
  <c r="B40" i="704"/>
  <c r="B39" i="704"/>
  <c r="B38" i="704"/>
  <c r="B37" i="704"/>
  <c r="B36" i="704"/>
  <c r="B35" i="704"/>
  <c r="B34" i="704"/>
  <c r="B33" i="704"/>
  <c r="B32" i="704"/>
  <c r="B31" i="704"/>
  <c r="B30" i="704"/>
  <c r="B29" i="704"/>
  <c r="B28" i="704"/>
  <c r="B27" i="704"/>
  <c r="B26" i="704"/>
  <c r="B25" i="704"/>
  <c r="B24" i="704"/>
  <c r="B23" i="704"/>
  <c r="B22" i="704"/>
  <c r="B21" i="704"/>
  <c r="B20" i="704"/>
  <c r="B19" i="704"/>
  <c r="B18" i="704"/>
  <c r="B17" i="704"/>
  <c r="B16" i="704"/>
  <c r="B15" i="704"/>
  <c r="B14" i="704"/>
  <c r="B13" i="704"/>
  <c r="B12" i="704"/>
  <c r="B11" i="704"/>
  <c r="B10" i="704"/>
  <c r="B9" i="704"/>
  <c r="B8" i="704"/>
  <c r="B7" i="704"/>
  <c r="B6" i="704"/>
  <c r="B5" i="704"/>
  <c r="B4" i="704"/>
  <c r="B3" i="704"/>
  <c r="B2" i="704"/>
  <c r="A1" i="699" l="1"/>
  <c r="C2" i="671" l="1"/>
  <c r="C1" i="671"/>
  <c r="C1" i="600"/>
  <c r="C40" i="1" l="1"/>
  <c r="C39" i="1"/>
  <c r="DK1239" i="701"/>
  <c r="DK1238" i="701"/>
  <c r="DK1237" i="701"/>
  <c r="DK1236" i="701"/>
  <c r="DK1235" i="701"/>
  <c r="DK1234" i="701"/>
  <c r="DK1233" i="701"/>
  <c r="DK1232" i="701"/>
  <c r="DK1231" i="701"/>
  <c r="DK1230" i="701"/>
  <c r="DK1229" i="701"/>
  <c r="DK1228" i="701"/>
  <c r="DK1227" i="701"/>
  <c r="DK1226" i="701"/>
  <c r="DK1225" i="701"/>
  <c r="DK1224" i="701"/>
  <c r="DK1223" i="701"/>
  <c r="DK1222" i="701"/>
  <c r="DK1221" i="701"/>
  <c r="DK1220" i="701"/>
  <c r="DK1219" i="701"/>
  <c r="DK1218" i="701"/>
  <c r="DK1217" i="701"/>
  <c r="DK1216" i="701"/>
  <c r="DK1215" i="701"/>
  <c r="DK1214" i="701"/>
  <c r="DK1213" i="701"/>
  <c r="DK1212" i="701"/>
  <c r="DK1211" i="701"/>
  <c r="DK1210" i="701"/>
  <c r="DK1209" i="701"/>
  <c r="DK1208" i="701"/>
  <c r="DK1207" i="701"/>
  <c r="DK1206" i="701"/>
  <c r="DK1205" i="701"/>
  <c r="DK1204" i="701"/>
  <c r="DK1203" i="701"/>
  <c r="DK1202" i="701"/>
  <c r="DK1201" i="701"/>
  <c r="DK1200" i="701"/>
  <c r="DK1199" i="701"/>
  <c r="DK1198" i="701"/>
  <c r="DK1197" i="701"/>
  <c r="DK1196" i="701"/>
  <c r="DK1195" i="701"/>
  <c r="DK1194" i="701"/>
  <c r="DK1193" i="701"/>
  <c r="DK1192" i="701"/>
  <c r="DK1191" i="701"/>
  <c r="DK1190" i="701"/>
  <c r="DK1189" i="701"/>
  <c r="DK1188" i="701"/>
  <c r="DK1187" i="701"/>
  <c r="DK1186" i="701"/>
  <c r="DK1185" i="701"/>
  <c r="DK1184" i="701"/>
  <c r="DK1183" i="701"/>
  <c r="DK1182" i="701"/>
  <c r="DK1181" i="701"/>
  <c r="DK1180" i="701"/>
  <c r="DK1179" i="701"/>
  <c r="DK1178" i="701"/>
  <c r="DK1177" i="701"/>
  <c r="DK1176" i="701"/>
  <c r="DK1175" i="701"/>
  <c r="DK1174" i="701"/>
  <c r="DK1173" i="701"/>
  <c r="DK1172" i="701"/>
  <c r="DK1171" i="701"/>
  <c r="DK1170" i="701"/>
  <c r="DK1169" i="701"/>
  <c r="DK1168" i="701"/>
  <c r="DK1167" i="701"/>
  <c r="DK1166" i="701"/>
  <c r="DK1165" i="701"/>
  <c r="DK1164" i="701"/>
  <c r="DK1163" i="701"/>
  <c r="DK1162" i="701"/>
  <c r="DK1161" i="701"/>
  <c r="DK1160" i="701"/>
  <c r="DK1159" i="701"/>
  <c r="DK1158" i="701"/>
  <c r="DK1157" i="701"/>
  <c r="DK1156" i="701"/>
  <c r="DK1155" i="701"/>
  <c r="DK1154" i="701"/>
  <c r="DK1153" i="701"/>
  <c r="DK1152" i="701"/>
  <c r="DK1151" i="701"/>
  <c r="DK1150" i="701"/>
  <c r="DK1149" i="701"/>
  <c r="DK1148" i="701"/>
  <c r="DK1147" i="701"/>
  <c r="DK1146" i="701"/>
  <c r="DK1145" i="701"/>
  <c r="DK1144" i="701"/>
  <c r="DK1143" i="701"/>
  <c r="DK1142" i="701"/>
  <c r="DK1141" i="701"/>
  <c r="DK1140" i="701"/>
  <c r="DK1139" i="701"/>
  <c r="DK1138" i="701"/>
  <c r="DK1137" i="701"/>
  <c r="DK1136" i="701"/>
  <c r="DK1135" i="701"/>
  <c r="DK1134" i="701"/>
  <c r="DK1133" i="701"/>
  <c r="DK1132" i="701"/>
  <c r="DK1131" i="701"/>
  <c r="DK1130" i="701"/>
  <c r="DK1129" i="701"/>
  <c r="DK1128" i="701"/>
  <c r="DK1127" i="701"/>
  <c r="DK1126" i="701"/>
  <c r="DK1125" i="701"/>
  <c r="DK1124" i="701"/>
  <c r="DK1123" i="701"/>
  <c r="DK1122" i="701"/>
  <c r="DK1121" i="701"/>
  <c r="DK1120" i="701"/>
  <c r="DK1119" i="701"/>
  <c r="DK1118" i="701"/>
  <c r="DK1117" i="701"/>
  <c r="DK1116" i="701"/>
  <c r="DK1115" i="701"/>
  <c r="DK1114" i="701"/>
  <c r="DK1113" i="701"/>
  <c r="DK1112" i="701"/>
  <c r="DK1111" i="701"/>
  <c r="DK1110" i="701"/>
  <c r="DK1109" i="701"/>
  <c r="DK1108" i="701"/>
  <c r="DK1107" i="701"/>
  <c r="DK1106" i="701"/>
  <c r="DK1105" i="701"/>
  <c r="DK1104" i="701"/>
  <c r="DK1103" i="701"/>
  <c r="DK1102" i="701"/>
  <c r="DK1101" i="701"/>
  <c r="DK1100" i="701"/>
  <c r="DK1099" i="701"/>
  <c r="DK1098" i="701"/>
  <c r="DK1097" i="701"/>
  <c r="DK1096" i="701"/>
  <c r="DK1095" i="701"/>
  <c r="DK1094" i="701"/>
  <c r="DK1093" i="701"/>
  <c r="DK1092" i="701"/>
  <c r="DK1091" i="701"/>
  <c r="DK1090" i="701"/>
  <c r="DK1089" i="701"/>
  <c r="DK1088" i="701"/>
  <c r="DK1087" i="701"/>
  <c r="DK1086" i="701"/>
  <c r="DK1085" i="701"/>
  <c r="DK1084" i="701"/>
  <c r="DK1083" i="701"/>
  <c r="DK1082" i="701"/>
  <c r="DK1081" i="701"/>
  <c r="DK1080" i="701"/>
  <c r="DK1079" i="701"/>
  <c r="DK1078" i="701"/>
  <c r="DK1077" i="701"/>
  <c r="DK1076" i="701"/>
  <c r="DK1075" i="701"/>
  <c r="DK1074" i="701"/>
  <c r="DK1073" i="701"/>
  <c r="DK1072" i="701"/>
  <c r="DK1071" i="701"/>
  <c r="DK1070" i="701"/>
  <c r="DK1069" i="701"/>
  <c r="DK1068" i="701"/>
  <c r="DK1067" i="701"/>
  <c r="DK1066" i="701"/>
  <c r="DK1065" i="701"/>
  <c r="DK1064" i="701"/>
  <c r="DK1063" i="701"/>
  <c r="DK1062" i="701"/>
  <c r="DK1061" i="701"/>
  <c r="DK1060" i="701"/>
  <c r="DK1059" i="701"/>
  <c r="DK1058" i="701"/>
  <c r="DK1057" i="701"/>
  <c r="DK1056" i="701"/>
  <c r="DK1055" i="701"/>
  <c r="DK1054" i="701"/>
  <c r="DK1053" i="701"/>
  <c r="DK1052" i="701"/>
  <c r="DK1051" i="701"/>
  <c r="DK1050" i="701"/>
  <c r="DK1049" i="701"/>
  <c r="DK1048" i="701"/>
  <c r="DK1047" i="701"/>
  <c r="DK1046" i="701"/>
  <c r="DK1045" i="701"/>
  <c r="DK1044" i="701"/>
  <c r="DK1043" i="701"/>
  <c r="DK1042" i="701"/>
  <c r="DK1041" i="701"/>
  <c r="DK1040" i="701"/>
  <c r="DK1039" i="701"/>
  <c r="DK1038" i="701"/>
  <c r="DK1037" i="701"/>
  <c r="DK1036" i="701"/>
  <c r="DK1035" i="701"/>
  <c r="DK1034" i="701"/>
  <c r="DK1033" i="701"/>
  <c r="DK1032" i="701"/>
  <c r="DK1031" i="701"/>
  <c r="DK1030" i="701"/>
  <c r="DK1029" i="701"/>
  <c r="DK1028" i="701"/>
  <c r="DK1027" i="701"/>
  <c r="DK1026" i="701"/>
  <c r="DK1025" i="701"/>
  <c r="DK1024" i="701"/>
  <c r="DK1023" i="701"/>
  <c r="DK1022" i="701"/>
  <c r="DK1021" i="701"/>
  <c r="DK1020" i="701"/>
  <c r="DK1019" i="701"/>
  <c r="DK1018" i="701"/>
  <c r="DK1017" i="701"/>
  <c r="DK1016" i="701"/>
  <c r="DK1015" i="701"/>
  <c r="DK1014" i="701"/>
  <c r="DK1013" i="701"/>
  <c r="DK1012" i="701"/>
  <c r="DK1011" i="701"/>
  <c r="DK1010" i="701"/>
  <c r="DK1009" i="701"/>
  <c r="DK1008" i="701"/>
  <c r="DK1007" i="701"/>
  <c r="DK1006" i="701"/>
  <c r="DK1005" i="701"/>
  <c r="DK1004" i="701"/>
  <c r="DK1003" i="701"/>
  <c r="DK1002" i="701"/>
  <c r="DK1001" i="701"/>
  <c r="DK1000" i="701"/>
  <c r="DK999" i="701"/>
  <c r="DK998" i="701"/>
  <c r="DK997" i="701"/>
  <c r="DK996" i="701"/>
  <c r="DK995" i="701"/>
  <c r="DK994" i="701"/>
  <c r="DK993" i="701"/>
  <c r="DK992" i="701"/>
  <c r="DK991" i="701"/>
  <c r="DK990" i="701"/>
  <c r="DK989" i="701"/>
  <c r="DK988" i="701"/>
  <c r="DK987" i="701"/>
  <c r="DK986" i="701"/>
  <c r="DK985" i="701"/>
  <c r="DK984" i="701"/>
  <c r="DK983" i="701"/>
  <c r="DK982" i="701"/>
  <c r="DK981" i="701"/>
  <c r="DK980" i="701"/>
  <c r="DK979" i="701"/>
  <c r="DK978" i="701"/>
  <c r="DK977" i="701"/>
  <c r="DK976" i="701"/>
  <c r="DK975" i="701"/>
  <c r="DK974" i="701"/>
  <c r="DK973" i="701"/>
  <c r="DK972" i="701"/>
  <c r="DK971" i="701"/>
  <c r="DK970" i="701"/>
  <c r="DK969" i="701"/>
  <c r="DK968" i="701"/>
  <c r="DK967" i="701"/>
  <c r="DK966" i="701"/>
  <c r="DK965" i="701"/>
  <c r="DK964" i="701"/>
  <c r="DK963" i="701"/>
  <c r="DK962" i="701"/>
  <c r="DK961" i="701"/>
  <c r="DK960" i="701"/>
  <c r="DK959" i="701"/>
  <c r="DK958" i="701"/>
  <c r="DK957" i="701"/>
  <c r="DK956" i="701"/>
  <c r="DK955" i="701"/>
  <c r="DK954" i="701"/>
  <c r="DK953" i="701"/>
  <c r="DK952" i="701"/>
  <c r="DK951" i="701"/>
  <c r="DK950" i="701"/>
  <c r="DK949" i="701"/>
  <c r="DK948" i="701"/>
  <c r="DK947" i="701"/>
  <c r="DK946" i="701"/>
  <c r="DK945" i="701"/>
  <c r="DK944" i="701"/>
  <c r="DK943" i="701"/>
  <c r="DK942" i="701"/>
  <c r="DK941" i="701"/>
  <c r="DK940" i="701"/>
  <c r="DK939" i="701"/>
  <c r="DK938" i="701"/>
  <c r="DK937" i="701"/>
  <c r="DK936" i="701"/>
  <c r="DK935" i="701"/>
  <c r="DK934" i="701"/>
  <c r="DK933" i="701"/>
  <c r="DK932" i="701"/>
  <c r="DK931" i="701"/>
  <c r="DK930" i="701"/>
  <c r="DK929" i="701"/>
  <c r="DK928" i="701"/>
  <c r="DK927" i="701"/>
  <c r="DK926" i="701"/>
  <c r="DK925" i="701"/>
  <c r="DK924" i="701"/>
  <c r="DK923" i="701"/>
  <c r="DK922" i="701"/>
  <c r="DK921" i="701"/>
  <c r="DK920" i="701"/>
  <c r="DK919" i="701"/>
  <c r="DK918" i="701"/>
  <c r="DK917" i="701"/>
  <c r="DK916" i="701"/>
  <c r="DK915" i="701"/>
  <c r="DK914" i="701"/>
  <c r="DK913" i="701"/>
  <c r="DK912" i="701"/>
  <c r="DK911" i="701"/>
  <c r="DK910" i="701"/>
  <c r="DK909" i="701"/>
  <c r="DK908" i="701"/>
  <c r="DK907" i="701"/>
  <c r="DK906" i="701"/>
  <c r="DK905" i="701"/>
  <c r="DK904" i="701"/>
  <c r="DK903" i="701"/>
  <c r="DK902" i="701"/>
  <c r="DK901" i="701"/>
  <c r="DK900" i="701"/>
  <c r="DK899" i="701"/>
  <c r="DK898" i="701"/>
  <c r="DK897" i="701"/>
  <c r="DK896" i="701"/>
  <c r="DK895" i="701"/>
  <c r="DK894" i="701"/>
  <c r="DK893" i="701"/>
  <c r="DK892" i="701"/>
  <c r="DK891" i="701"/>
  <c r="DK890" i="701"/>
  <c r="DK889" i="701"/>
  <c r="DK888" i="701"/>
  <c r="DK887" i="701"/>
  <c r="DK886" i="701"/>
  <c r="DK885" i="701"/>
  <c r="DK884" i="701"/>
  <c r="DK883" i="701"/>
  <c r="DK882" i="701"/>
  <c r="DK881" i="701"/>
  <c r="DK880" i="701"/>
  <c r="DK879" i="701"/>
  <c r="DK878" i="701"/>
  <c r="DK877" i="701"/>
  <c r="DK876" i="701"/>
  <c r="DK875" i="701"/>
  <c r="DK874" i="701"/>
  <c r="DK873" i="701"/>
  <c r="DK872" i="701"/>
  <c r="DK871" i="701"/>
  <c r="DK870" i="701"/>
  <c r="DK869" i="701"/>
  <c r="DK868" i="701"/>
  <c r="DK867" i="701"/>
  <c r="DK866" i="701"/>
  <c r="DK865" i="701"/>
  <c r="DK864" i="701"/>
  <c r="DK863" i="701"/>
  <c r="DK862" i="701"/>
  <c r="DK861" i="701"/>
  <c r="DK860" i="701"/>
  <c r="DK859" i="701"/>
  <c r="DK858" i="701"/>
  <c r="DK857" i="701"/>
  <c r="DK856" i="701"/>
  <c r="DK855" i="701"/>
  <c r="DK854" i="701"/>
  <c r="DK853" i="701"/>
  <c r="DK852" i="701"/>
  <c r="DK851" i="701"/>
  <c r="DK850" i="701"/>
  <c r="DK849" i="701"/>
  <c r="DK848" i="701"/>
  <c r="DK847" i="701"/>
  <c r="DK846" i="701"/>
  <c r="DK845" i="701"/>
  <c r="DK844" i="701"/>
  <c r="DK843" i="701"/>
  <c r="DK842" i="701"/>
  <c r="DK841" i="701"/>
  <c r="DK840" i="701"/>
  <c r="DK839" i="701"/>
  <c r="DK838" i="701"/>
  <c r="DK837" i="701"/>
  <c r="DK836" i="701"/>
  <c r="DK835" i="701"/>
  <c r="DK834" i="701"/>
  <c r="DK833" i="701"/>
  <c r="DK832" i="701"/>
  <c r="DK831" i="701"/>
  <c r="DK830" i="701"/>
  <c r="DK829" i="701"/>
  <c r="DK828" i="701"/>
  <c r="DK827" i="701"/>
  <c r="DK826" i="701"/>
  <c r="DK825" i="701"/>
  <c r="DK824" i="701"/>
  <c r="DK823" i="701"/>
  <c r="DK822" i="701"/>
  <c r="DK821" i="701"/>
  <c r="DK820" i="701"/>
  <c r="DK819" i="701"/>
  <c r="DK818" i="701"/>
  <c r="DK817" i="701"/>
  <c r="DK816" i="701"/>
  <c r="DK815" i="701"/>
  <c r="DK814" i="701"/>
  <c r="DK813" i="701"/>
  <c r="DK812" i="701"/>
  <c r="DK811" i="701"/>
  <c r="DK810" i="701"/>
  <c r="DK809" i="701"/>
  <c r="DK808" i="701"/>
  <c r="DK807" i="701"/>
  <c r="DK806" i="701"/>
  <c r="DK805" i="701"/>
  <c r="DK804" i="701"/>
  <c r="DK803" i="701"/>
  <c r="DK802" i="701"/>
  <c r="DK801" i="701"/>
  <c r="DK800" i="701"/>
  <c r="DK799" i="701"/>
  <c r="DK798" i="701"/>
  <c r="DK797" i="701"/>
  <c r="DK796" i="701"/>
  <c r="DK795" i="701"/>
  <c r="DK794" i="701"/>
  <c r="DK793" i="701"/>
  <c r="DK792" i="701"/>
  <c r="DK791" i="701"/>
  <c r="DK790" i="701"/>
  <c r="DK789" i="701"/>
  <c r="DK788" i="701"/>
  <c r="DK787" i="701"/>
  <c r="DK786" i="701"/>
  <c r="DK785" i="701"/>
  <c r="DK784" i="701"/>
  <c r="DK783" i="701"/>
  <c r="DK782" i="701"/>
  <c r="DK781" i="701"/>
  <c r="DK780" i="701"/>
  <c r="DK779" i="701"/>
  <c r="DK778" i="701"/>
  <c r="DK777" i="701"/>
  <c r="DK776" i="701"/>
  <c r="DK775" i="701"/>
  <c r="DK774" i="701"/>
  <c r="DK773" i="701"/>
  <c r="DK772" i="701"/>
  <c r="DK771" i="701"/>
  <c r="DK770" i="701"/>
  <c r="DK769" i="701"/>
  <c r="DK768" i="701"/>
  <c r="DK767" i="701"/>
  <c r="DK766" i="701"/>
  <c r="DK765" i="701"/>
  <c r="DK764" i="701"/>
  <c r="DK763" i="701"/>
  <c r="DK762" i="701"/>
  <c r="DK761" i="701"/>
  <c r="DK760" i="701"/>
  <c r="DK759" i="701"/>
  <c r="DK758" i="701"/>
  <c r="DK757" i="701"/>
  <c r="DK756" i="701"/>
  <c r="DK755" i="701"/>
  <c r="DK754" i="701"/>
  <c r="DK753" i="701"/>
  <c r="DK752" i="701"/>
  <c r="DK751" i="701"/>
  <c r="DK750" i="701"/>
  <c r="DK749" i="701"/>
  <c r="DK748" i="701"/>
  <c r="DK747" i="701"/>
  <c r="DK746" i="701"/>
  <c r="DK745" i="701"/>
  <c r="DK744" i="701"/>
  <c r="DK743" i="701"/>
  <c r="DK742" i="701"/>
  <c r="DK741" i="701"/>
  <c r="DK740" i="701"/>
  <c r="DK739" i="701"/>
  <c r="DK738" i="701"/>
  <c r="DK737" i="701"/>
  <c r="DK736" i="701"/>
  <c r="DK735" i="701"/>
  <c r="DK734" i="701"/>
  <c r="DK733" i="701"/>
  <c r="DK732" i="701"/>
  <c r="DK731" i="701"/>
  <c r="DK730" i="701"/>
  <c r="DK729" i="701"/>
  <c r="DK728" i="701"/>
  <c r="DK727" i="701"/>
  <c r="DK726" i="701"/>
  <c r="DK725" i="701"/>
  <c r="DK724" i="701"/>
  <c r="DK723" i="701"/>
  <c r="DK722" i="701"/>
  <c r="DK721" i="701"/>
  <c r="DK720" i="701"/>
  <c r="DK719" i="701"/>
  <c r="DK718" i="701"/>
  <c r="DK717" i="701"/>
  <c r="DK716" i="701"/>
  <c r="DK715" i="701"/>
  <c r="DK714" i="701"/>
  <c r="DK713" i="701"/>
  <c r="DK712" i="701"/>
  <c r="DK711" i="701"/>
  <c r="DK710" i="701"/>
  <c r="DK709" i="701"/>
  <c r="DK708" i="701"/>
  <c r="DK707" i="701"/>
  <c r="DK706" i="701"/>
  <c r="DK705" i="701"/>
  <c r="DK704" i="701"/>
  <c r="DK703" i="701"/>
  <c r="DK702" i="701"/>
  <c r="DK701" i="701"/>
  <c r="DK700" i="701"/>
  <c r="DK699" i="701"/>
  <c r="DK698" i="701"/>
  <c r="DK697" i="701"/>
  <c r="DK696" i="701"/>
  <c r="DK695" i="701"/>
  <c r="DK694" i="701"/>
  <c r="DK693" i="701"/>
  <c r="DK692" i="701"/>
  <c r="DK691" i="701"/>
  <c r="DK690" i="701"/>
  <c r="DK689" i="701"/>
  <c r="DK688" i="701"/>
  <c r="DK687" i="701"/>
  <c r="DK686" i="701"/>
  <c r="DK685" i="701"/>
  <c r="DK684" i="701"/>
  <c r="DK683" i="701"/>
  <c r="DK682" i="701"/>
  <c r="DK681" i="701"/>
  <c r="DK680" i="701"/>
  <c r="DK679" i="701"/>
  <c r="DK678" i="701"/>
  <c r="DK677" i="701"/>
  <c r="DK676" i="701"/>
  <c r="DK675" i="701"/>
  <c r="DK674" i="701"/>
  <c r="DK673" i="701"/>
  <c r="DK672" i="701"/>
  <c r="DK671" i="701"/>
  <c r="DK670" i="701"/>
  <c r="DK669" i="701"/>
  <c r="DK668" i="701"/>
  <c r="DK667" i="701"/>
  <c r="DK666" i="701"/>
  <c r="DK665" i="701"/>
  <c r="DK664" i="701"/>
  <c r="DK663" i="701"/>
  <c r="DK662" i="701"/>
  <c r="DK661" i="701"/>
  <c r="DK660" i="701"/>
  <c r="DK659" i="701"/>
  <c r="DK658" i="701"/>
  <c r="DK657" i="701"/>
  <c r="DK656" i="701"/>
  <c r="DK655" i="701"/>
  <c r="DK654" i="701"/>
  <c r="DK653" i="701"/>
  <c r="DK652" i="701"/>
  <c r="DK651" i="701"/>
  <c r="DK650" i="701"/>
  <c r="DK649" i="701"/>
  <c r="DK648" i="701"/>
  <c r="DK647" i="701"/>
  <c r="DK646" i="701"/>
  <c r="DK645" i="701"/>
  <c r="DK644" i="701"/>
  <c r="DK643" i="701"/>
  <c r="DK642" i="701"/>
  <c r="DK641" i="701"/>
  <c r="DK640" i="701"/>
  <c r="DK639" i="701"/>
  <c r="DK638" i="701"/>
  <c r="DK637" i="701"/>
  <c r="DK636" i="701"/>
  <c r="DK635" i="701"/>
  <c r="DK634" i="701"/>
  <c r="DK633" i="701"/>
  <c r="DK632" i="701"/>
  <c r="DK631" i="701"/>
  <c r="DK630" i="701"/>
  <c r="DK629" i="701"/>
  <c r="DK628" i="701"/>
  <c r="DK627" i="701"/>
  <c r="DK626" i="701"/>
  <c r="DK625" i="701"/>
  <c r="DK624" i="701"/>
  <c r="DK623" i="701"/>
  <c r="DK622" i="701"/>
  <c r="DK621" i="701"/>
  <c r="DK620" i="701"/>
  <c r="DK619" i="701"/>
  <c r="DK618" i="701"/>
  <c r="DK617" i="701"/>
  <c r="DK616" i="701"/>
  <c r="DK615" i="701"/>
  <c r="DK614" i="701"/>
  <c r="DK613" i="701"/>
  <c r="DK612" i="701"/>
  <c r="DK611" i="701"/>
  <c r="DK610" i="701"/>
  <c r="DK609" i="701"/>
  <c r="DK608" i="701"/>
  <c r="DK607" i="701"/>
  <c r="DK606" i="701"/>
  <c r="DK605" i="701"/>
  <c r="DK604" i="701"/>
  <c r="DK603" i="701"/>
  <c r="DK602" i="701"/>
  <c r="DK601" i="701"/>
  <c r="DK600" i="701"/>
  <c r="DK599" i="701"/>
  <c r="DK598" i="701"/>
  <c r="DK597" i="701"/>
  <c r="DK596" i="701"/>
  <c r="DK595" i="701"/>
  <c r="DK594" i="701"/>
  <c r="DK593" i="701"/>
  <c r="DK592" i="701"/>
  <c r="DK591" i="701"/>
  <c r="DK590" i="701"/>
  <c r="DK589" i="701"/>
  <c r="DK588" i="701"/>
  <c r="DK587" i="701"/>
  <c r="DK586" i="701"/>
  <c r="DK585" i="701"/>
  <c r="DK584" i="701"/>
  <c r="DK583" i="701"/>
  <c r="DK582" i="701"/>
  <c r="DK581" i="701"/>
  <c r="DK580" i="701"/>
  <c r="DK579" i="701"/>
  <c r="DK578" i="701"/>
  <c r="DK577" i="701"/>
  <c r="DK576" i="701"/>
  <c r="DK575" i="701"/>
  <c r="DK574" i="701"/>
  <c r="DK573" i="701"/>
  <c r="DK572" i="701"/>
  <c r="DK571" i="701"/>
  <c r="DK570" i="701"/>
  <c r="DK569" i="701"/>
  <c r="DK568" i="701"/>
  <c r="DK567" i="701"/>
  <c r="DK566" i="701"/>
  <c r="DK565" i="701"/>
  <c r="DK564" i="701"/>
  <c r="DK563" i="701"/>
  <c r="DK562" i="701"/>
  <c r="DK561" i="701"/>
  <c r="DK560" i="701"/>
  <c r="DK559" i="701"/>
  <c r="DK558" i="701"/>
  <c r="DK557" i="701"/>
  <c r="DK556" i="701"/>
  <c r="DK555" i="701"/>
  <c r="DK554" i="701"/>
  <c r="DK553" i="701"/>
  <c r="DK552" i="701"/>
  <c r="DK551" i="701"/>
  <c r="DK550" i="701"/>
  <c r="DK549" i="701"/>
  <c r="DK548" i="701"/>
  <c r="DK547" i="701"/>
  <c r="DK546" i="701"/>
  <c r="DK545" i="701"/>
  <c r="DK544" i="701"/>
  <c r="DK543" i="701"/>
  <c r="DK542" i="701"/>
  <c r="DK541" i="701"/>
  <c r="DK540" i="701"/>
  <c r="DK539" i="701"/>
  <c r="DK538" i="701"/>
  <c r="DK537" i="701"/>
  <c r="DK536" i="701"/>
  <c r="DK535" i="701"/>
  <c r="DK534" i="701"/>
  <c r="DK533" i="701"/>
  <c r="DK532" i="701"/>
  <c r="DK531" i="701"/>
  <c r="DK530" i="701"/>
  <c r="DK529" i="701"/>
  <c r="DK528" i="701"/>
  <c r="DK527" i="701"/>
  <c r="DK526" i="701"/>
  <c r="DK525" i="701"/>
  <c r="DK524" i="701"/>
  <c r="DK523" i="701"/>
  <c r="DK522" i="701"/>
  <c r="DK521" i="701"/>
  <c r="DK520" i="701"/>
  <c r="DK519" i="701"/>
  <c r="DK518" i="701"/>
  <c r="DK517" i="701"/>
  <c r="DK516" i="701"/>
  <c r="DK515" i="701"/>
  <c r="DK514" i="701"/>
  <c r="DK513" i="701"/>
  <c r="DK512" i="701"/>
  <c r="DK511" i="701"/>
  <c r="DK510" i="701"/>
  <c r="DK509" i="701"/>
  <c r="DK508" i="701"/>
  <c r="DK507" i="701"/>
  <c r="DK506" i="701"/>
  <c r="DK505" i="701"/>
  <c r="DK504" i="701"/>
  <c r="DK503" i="701"/>
  <c r="DK502" i="701"/>
  <c r="DK501" i="701"/>
  <c r="DK500" i="701"/>
  <c r="DK499" i="701"/>
  <c r="DK498" i="701"/>
  <c r="DK497" i="701"/>
  <c r="DK496" i="701"/>
  <c r="DK495" i="701"/>
  <c r="DK494" i="701"/>
  <c r="DK493" i="701"/>
  <c r="DK492" i="701"/>
  <c r="DK491" i="701"/>
  <c r="DK490" i="701"/>
  <c r="DK489" i="701"/>
  <c r="DK488" i="701"/>
  <c r="DK487" i="701"/>
  <c r="DK486" i="701"/>
  <c r="DK485" i="701"/>
  <c r="DK484" i="701"/>
  <c r="DK483" i="701"/>
  <c r="DK482" i="701"/>
  <c r="DK481" i="701"/>
  <c r="DK480" i="701"/>
  <c r="DK479" i="701"/>
  <c r="DK478" i="701"/>
  <c r="DK477" i="701"/>
  <c r="DK476" i="701"/>
  <c r="DK475" i="701"/>
  <c r="DK474" i="701"/>
  <c r="DK473" i="701"/>
  <c r="DK472" i="701"/>
  <c r="DK471" i="701"/>
  <c r="DK470" i="701"/>
  <c r="DK469" i="701"/>
  <c r="DK468" i="701"/>
  <c r="DK467" i="701"/>
  <c r="DK466" i="701"/>
  <c r="DK465" i="701"/>
  <c r="DK464" i="701"/>
  <c r="DK463" i="701"/>
  <c r="DK462" i="701"/>
  <c r="DK461" i="701"/>
  <c r="DK460" i="701"/>
  <c r="DK459" i="701"/>
  <c r="DK458" i="701"/>
  <c r="DK457" i="701"/>
  <c r="DK456" i="701"/>
  <c r="DK455" i="701"/>
  <c r="DK454" i="701"/>
  <c r="DK453" i="701"/>
  <c r="DK452" i="701"/>
  <c r="DK451" i="701"/>
  <c r="DK450" i="701"/>
  <c r="DK449" i="701"/>
  <c r="DK448" i="701"/>
  <c r="DK447" i="701"/>
  <c r="DK446" i="701"/>
  <c r="DK445" i="701"/>
  <c r="DK444" i="701"/>
  <c r="DK443" i="701"/>
  <c r="DK442" i="701"/>
  <c r="DK441" i="701"/>
  <c r="DK440" i="701"/>
  <c r="DK439" i="701"/>
  <c r="DK438" i="701"/>
  <c r="DK437" i="701"/>
  <c r="DK436" i="701"/>
  <c r="DK435" i="701"/>
  <c r="DK434" i="701"/>
  <c r="DK433" i="701"/>
  <c r="DK432" i="701"/>
  <c r="DK431" i="701"/>
  <c r="DK430" i="701"/>
  <c r="DK429" i="701"/>
  <c r="DK428" i="701"/>
  <c r="DK427" i="701"/>
  <c r="DK426" i="701"/>
  <c r="DK425" i="701"/>
  <c r="DK424" i="701"/>
  <c r="DK423" i="701"/>
  <c r="DK422" i="701"/>
  <c r="DK421" i="701"/>
  <c r="DK420" i="701"/>
  <c r="DK419" i="701"/>
  <c r="DK418" i="701"/>
  <c r="DK417" i="701"/>
  <c r="DK416" i="701"/>
  <c r="DK415" i="701"/>
  <c r="DK414" i="701"/>
  <c r="DK413" i="701"/>
  <c r="DK412" i="701"/>
  <c r="DK411" i="701"/>
  <c r="DK410" i="701"/>
  <c r="DK409" i="701"/>
  <c r="DK408" i="701"/>
  <c r="DK407" i="701"/>
  <c r="DK406" i="701"/>
  <c r="DK405" i="701"/>
  <c r="DK404" i="701"/>
  <c r="DK403" i="701"/>
  <c r="DK402" i="701"/>
  <c r="DK401" i="701"/>
  <c r="DK400" i="701"/>
  <c r="DK399" i="701"/>
  <c r="DK398" i="701"/>
  <c r="DK397" i="701"/>
  <c r="DK396" i="701"/>
  <c r="DK395" i="701"/>
  <c r="DK394" i="701"/>
  <c r="DK393" i="701"/>
  <c r="DK392" i="701"/>
  <c r="DK391" i="701"/>
  <c r="DK390" i="701"/>
  <c r="DK389" i="701"/>
  <c r="DK388" i="701"/>
  <c r="DK387" i="701"/>
  <c r="DK386" i="701"/>
  <c r="DK385" i="701"/>
  <c r="DK384" i="701"/>
  <c r="DK383" i="701"/>
  <c r="DK382" i="701"/>
  <c r="DK381" i="701"/>
  <c r="DK380" i="701"/>
  <c r="DK379" i="701"/>
  <c r="DK378" i="701"/>
  <c r="DK377" i="701"/>
  <c r="DK376" i="701"/>
  <c r="DK375" i="701"/>
  <c r="DK374" i="701"/>
  <c r="DK373" i="701"/>
  <c r="DK372" i="701"/>
  <c r="DK371" i="701"/>
  <c r="DK370" i="701"/>
  <c r="DK369" i="701"/>
  <c r="DK368" i="701"/>
  <c r="DK367" i="701"/>
  <c r="DK366" i="701"/>
  <c r="DK365" i="701"/>
  <c r="DK364" i="701"/>
  <c r="DK363" i="701"/>
  <c r="DK362" i="701"/>
  <c r="DK361" i="701"/>
  <c r="DK360" i="701"/>
  <c r="DK359" i="701"/>
  <c r="DK358" i="701"/>
  <c r="DK357" i="701"/>
  <c r="DK356" i="701"/>
  <c r="DK355" i="701"/>
  <c r="DK354" i="701"/>
  <c r="DK353" i="701"/>
  <c r="DK352" i="701"/>
  <c r="DK351" i="701"/>
  <c r="DK350" i="701"/>
  <c r="DK349" i="701"/>
  <c r="DK348" i="701"/>
  <c r="DK347" i="701"/>
  <c r="DK346" i="701"/>
  <c r="DK345" i="701"/>
  <c r="DK344" i="701"/>
  <c r="DK343" i="701"/>
  <c r="DK342" i="701"/>
  <c r="DK341" i="701"/>
  <c r="DK340" i="701"/>
  <c r="DK339" i="701"/>
  <c r="DK338" i="701"/>
  <c r="DK337" i="701"/>
  <c r="DK336" i="701"/>
  <c r="DK335" i="701"/>
  <c r="DK334" i="701"/>
  <c r="DK333" i="701"/>
  <c r="DK332" i="701"/>
  <c r="DK331" i="701"/>
  <c r="DK330" i="701"/>
  <c r="DK329" i="701"/>
  <c r="DK328" i="701"/>
  <c r="DK327" i="701"/>
  <c r="DK326" i="701"/>
  <c r="DK325" i="701"/>
  <c r="DK324" i="701"/>
  <c r="DK323" i="701"/>
  <c r="DK322" i="701"/>
  <c r="DK321" i="701"/>
  <c r="DK320" i="701"/>
  <c r="DK319" i="701"/>
  <c r="DK318" i="701"/>
  <c r="DK317" i="701"/>
  <c r="DK316" i="701"/>
  <c r="DK315" i="701"/>
  <c r="DK314" i="701"/>
  <c r="DK313" i="701"/>
  <c r="DK312" i="701"/>
  <c r="DK311" i="701"/>
  <c r="DK310" i="701"/>
  <c r="DK309" i="701"/>
  <c r="DK308" i="701"/>
  <c r="DK307" i="701"/>
  <c r="DK306" i="701"/>
  <c r="DK305" i="701"/>
  <c r="DK304" i="701"/>
  <c r="DK303" i="701"/>
  <c r="DK302" i="701"/>
  <c r="DK301" i="701"/>
  <c r="DK300" i="701"/>
  <c r="DK299" i="701"/>
  <c r="DK298" i="701"/>
  <c r="DK297" i="701"/>
  <c r="DK296" i="701"/>
  <c r="DK295" i="701"/>
  <c r="DK294" i="701"/>
  <c r="DK293" i="701"/>
  <c r="DK292" i="701"/>
  <c r="DK291" i="701"/>
  <c r="DK290" i="701"/>
  <c r="DK289" i="701"/>
  <c r="DK288" i="701"/>
  <c r="DK287" i="701"/>
  <c r="DK286" i="701"/>
  <c r="DK285" i="701"/>
  <c r="DK284" i="701"/>
  <c r="DK283" i="701"/>
  <c r="DK282" i="701"/>
  <c r="DK281" i="701"/>
  <c r="DK280" i="701"/>
  <c r="DK279" i="701"/>
  <c r="DK278" i="701"/>
  <c r="DK277" i="701"/>
  <c r="DK276" i="701"/>
  <c r="DK275" i="701"/>
  <c r="DK274" i="701"/>
  <c r="DK273" i="701"/>
  <c r="DK272" i="701"/>
  <c r="DK271" i="701"/>
  <c r="DK270" i="701"/>
  <c r="DK269" i="701"/>
  <c r="DK268" i="701"/>
  <c r="DK267" i="701"/>
  <c r="DK266" i="701"/>
  <c r="DK265" i="701"/>
  <c r="DK264" i="701"/>
  <c r="DK263" i="701"/>
  <c r="DK262" i="701"/>
  <c r="DK261" i="701"/>
  <c r="DK260" i="701"/>
  <c r="DK259" i="701"/>
  <c r="DK258" i="701"/>
  <c r="DK257" i="701"/>
  <c r="DK256" i="701"/>
  <c r="DK255" i="701"/>
  <c r="DK254" i="701"/>
  <c r="DK253" i="701"/>
  <c r="DK252" i="701"/>
  <c r="DK251" i="701"/>
  <c r="DK250" i="701"/>
  <c r="DK249" i="701"/>
  <c r="DK248" i="701"/>
  <c r="DK247" i="701"/>
  <c r="DK246" i="701"/>
  <c r="DK245" i="701"/>
  <c r="DK244" i="701"/>
  <c r="DK243" i="701"/>
  <c r="DK242" i="701"/>
  <c r="DK241" i="701"/>
  <c r="DK240" i="701"/>
  <c r="DK239" i="701"/>
  <c r="DK238" i="701"/>
  <c r="DK237" i="701"/>
  <c r="DK236" i="701"/>
  <c r="DK235" i="701"/>
  <c r="DK234" i="701"/>
  <c r="DK233" i="701"/>
  <c r="DK232" i="701"/>
  <c r="DK231" i="701"/>
  <c r="DK230" i="701"/>
  <c r="DK229" i="701"/>
  <c r="DK228" i="701"/>
  <c r="DK227" i="701"/>
  <c r="DK226" i="701"/>
  <c r="DK225" i="701"/>
  <c r="DK224" i="701"/>
  <c r="DK223" i="701"/>
  <c r="DK222" i="701"/>
  <c r="DK221" i="701"/>
  <c r="DK220" i="701"/>
  <c r="DK219" i="701"/>
  <c r="DK218" i="701"/>
  <c r="DK217" i="701"/>
  <c r="DK216" i="701"/>
  <c r="DK215" i="701"/>
  <c r="DK214" i="701"/>
  <c r="DK213" i="701"/>
  <c r="DK212" i="701"/>
  <c r="DK211" i="701"/>
  <c r="DK210" i="701"/>
  <c r="DK209" i="701"/>
  <c r="DK208" i="701"/>
  <c r="DK207" i="701"/>
  <c r="DK206" i="701"/>
  <c r="DK205" i="701"/>
  <c r="DK204" i="701"/>
  <c r="DK203" i="701"/>
  <c r="DK202" i="701"/>
  <c r="DK201" i="701"/>
  <c r="DK200" i="701"/>
  <c r="DK199" i="701"/>
  <c r="DK198" i="701"/>
  <c r="DK197" i="701"/>
  <c r="DK196" i="701"/>
  <c r="DK195" i="701"/>
  <c r="DK194" i="701"/>
  <c r="DK193" i="701"/>
  <c r="DK192" i="701"/>
  <c r="DK191" i="701"/>
  <c r="DK190" i="701"/>
  <c r="DK189" i="701"/>
  <c r="DK188" i="701"/>
  <c r="DK187" i="701"/>
  <c r="DK186" i="701"/>
  <c r="DK185" i="701"/>
  <c r="DK184" i="701"/>
  <c r="DK183" i="701"/>
  <c r="DK182" i="701"/>
  <c r="DK181" i="701"/>
  <c r="DK180" i="701"/>
  <c r="DK179" i="701"/>
  <c r="DK178" i="701"/>
  <c r="DK177" i="701"/>
  <c r="DK176" i="701"/>
  <c r="DK175" i="701"/>
  <c r="DK174" i="701"/>
  <c r="DK173" i="701"/>
  <c r="DK172" i="701"/>
  <c r="DK171" i="701"/>
  <c r="DK170" i="701"/>
  <c r="DK169" i="701"/>
  <c r="DK168" i="701"/>
  <c r="DK167" i="701"/>
  <c r="DK166" i="701"/>
  <c r="DK165" i="701"/>
  <c r="DK164" i="701"/>
  <c r="DK163" i="701"/>
  <c r="DK162" i="701"/>
  <c r="DK161" i="701"/>
  <c r="DK160" i="701"/>
  <c r="DK159" i="701"/>
  <c r="DK158" i="701"/>
  <c r="DK157" i="701"/>
  <c r="DK156" i="701"/>
  <c r="DK155" i="701"/>
  <c r="DK154" i="701"/>
  <c r="DK153" i="701"/>
  <c r="DK152" i="701"/>
  <c r="DK151" i="701"/>
  <c r="DK150" i="701"/>
  <c r="DK149" i="701"/>
  <c r="DK148" i="701"/>
  <c r="DK147" i="701"/>
  <c r="DK146" i="701"/>
  <c r="DK145" i="701"/>
  <c r="DK144" i="701"/>
  <c r="DK143" i="701"/>
  <c r="DK142" i="701"/>
  <c r="DK141" i="701"/>
  <c r="DK140" i="701"/>
  <c r="DK139" i="701"/>
  <c r="DK138" i="701"/>
  <c r="DK137" i="701"/>
  <c r="DK136" i="701"/>
  <c r="DK135" i="701"/>
  <c r="DK134" i="701"/>
  <c r="DK133" i="701"/>
  <c r="DK132" i="701"/>
  <c r="DK131" i="701"/>
  <c r="DK130" i="701"/>
  <c r="DK129" i="701"/>
  <c r="DK128" i="701"/>
  <c r="DK127" i="701"/>
  <c r="DK126" i="701"/>
  <c r="DK125" i="701"/>
  <c r="DK124" i="701"/>
  <c r="DK123" i="701"/>
  <c r="DK122" i="701"/>
  <c r="DK121" i="701"/>
  <c r="DK120" i="701"/>
  <c r="DK119" i="701"/>
  <c r="DK118" i="701"/>
  <c r="DK117" i="701"/>
  <c r="DK116" i="701"/>
  <c r="DK115" i="701"/>
  <c r="DK114" i="701"/>
  <c r="DK113" i="701"/>
  <c r="DK112" i="701"/>
  <c r="DK111" i="701"/>
  <c r="DK110" i="701"/>
  <c r="DK109" i="701"/>
  <c r="DK108" i="701"/>
  <c r="DK107" i="701"/>
  <c r="DK106" i="701"/>
  <c r="DK105" i="701"/>
  <c r="DK104" i="701"/>
  <c r="DK103" i="701"/>
  <c r="DK102" i="701"/>
  <c r="DK101" i="701"/>
  <c r="DK100" i="701"/>
  <c r="DK99" i="701"/>
  <c r="DK98" i="701"/>
  <c r="DK97" i="701"/>
  <c r="DK96" i="701"/>
  <c r="DK95" i="701"/>
  <c r="DK94" i="701"/>
  <c r="DK93" i="701"/>
  <c r="DK92" i="701"/>
  <c r="DK91" i="701"/>
  <c r="DK90" i="701"/>
  <c r="DK89" i="701"/>
  <c r="DK88" i="701"/>
  <c r="DK87" i="701"/>
  <c r="DK86" i="701"/>
  <c r="DK85" i="701"/>
  <c r="DK84" i="701"/>
  <c r="DK83" i="701"/>
  <c r="DK82" i="701"/>
  <c r="DK81" i="701"/>
  <c r="DK80" i="701"/>
  <c r="DK79" i="701"/>
  <c r="DK78" i="701"/>
  <c r="DK77" i="701"/>
  <c r="DK76" i="701"/>
  <c r="DK75" i="701"/>
  <c r="DK74" i="701"/>
  <c r="DK73" i="701"/>
  <c r="DK72" i="701"/>
  <c r="DK71" i="701"/>
  <c r="DK70" i="701"/>
  <c r="DK69" i="701"/>
  <c r="DK68" i="701"/>
  <c r="DK67" i="701"/>
  <c r="DK66" i="701"/>
  <c r="DK65" i="701"/>
  <c r="DK64" i="701"/>
  <c r="DK63" i="701"/>
  <c r="DK62" i="701"/>
  <c r="DK61" i="701"/>
  <c r="DK60" i="701"/>
  <c r="DK59" i="701"/>
  <c r="DK58" i="701"/>
  <c r="DK57" i="701"/>
  <c r="DK56" i="701"/>
  <c r="DK55" i="701"/>
  <c r="DK54" i="701"/>
  <c r="DK53" i="701"/>
  <c r="DK52" i="701"/>
  <c r="DK51" i="701"/>
  <c r="DK50" i="701"/>
  <c r="DK49" i="701"/>
  <c r="DK48" i="701"/>
  <c r="DK47" i="701"/>
  <c r="DK46" i="701"/>
  <c r="DK45" i="701"/>
  <c r="DK44" i="701"/>
  <c r="DK43" i="701"/>
  <c r="DK42" i="701"/>
  <c r="DK41" i="701"/>
  <c r="DK40" i="701"/>
  <c r="DK39" i="701"/>
  <c r="DK38" i="701"/>
  <c r="DK37" i="701"/>
  <c r="DK36" i="701"/>
  <c r="DK35" i="701"/>
  <c r="DK34" i="701"/>
  <c r="DK33" i="701"/>
  <c r="DK32" i="701"/>
  <c r="DK31" i="701"/>
  <c r="DK30" i="701"/>
  <c r="DK29" i="701"/>
  <c r="DK28" i="701"/>
  <c r="DK27" i="701"/>
  <c r="DK26" i="701"/>
  <c r="DK25" i="701"/>
  <c r="DK24" i="701"/>
  <c r="DK23" i="701"/>
  <c r="DK22" i="701"/>
  <c r="DK21" i="701"/>
  <c r="DK20" i="701"/>
  <c r="DK19" i="701"/>
  <c r="DK18" i="701"/>
  <c r="DK17" i="701"/>
  <c r="DK16" i="701"/>
  <c r="DK15" i="701"/>
  <c r="DK14" i="701"/>
  <c r="DK13" i="701"/>
  <c r="DK12" i="701"/>
  <c r="DK11" i="701"/>
  <c r="DK10" i="701"/>
  <c r="DK9" i="701"/>
  <c r="DK8" i="701"/>
  <c r="DK7" i="701"/>
  <c r="DK6" i="701"/>
  <c r="DK5" i="701"/>
  <c r="DK4" i="701"/>
  <c r="DK3" i="701"/>
  <c r="F2" i="106" l="1"/>
  <c r="F1" i="106"/>
  <c r="D2" i="496"/>
  <c r="D1" i="496"/>
  <c r="E2" i="515"/>
  <c r="E1" i="515"/>
  <c r="E2" i="514"/>
  <c r="E1" i="514"/>
  <c r="D2" i="513"/>
  <c r="D1" i="513"/>
  <c r="D2" i="537"/>
  <c r="D1" i="537"/>
  <c r="D2" i="512"/>
  <c r="D1" i="512"/>
  <c r="D2" i="511"/>
  <c r="D1" i="511"/>
  <c r="C2" i="533"/>
  <c r="C1" i="533"/>
  <c r="E2" i="510"/>
  <c r="E1" i="510"/>
  <c r="B1233" i="703" l="1"/>
  <c r="B1232" i="703"/>
  <c r="B1231" i="703"/>
  <c r="B1230" i="703"/>
  <c r="B1229" i="703"/>
  <c r="B1228" i="703"/>
  <c r="B1227" i="703"/>
  <c r="B1226" i="703"/>
  <c r="B1225" i="703"/>
  <c r="B1224" i="703"/>
  <c r="B1223" i="703"/>
  <c r="B1222" i="703"/>
  <c r="B1221" i="703"/>
  <c r="B1220" i="703"/>
  <c r="B1219" i="703"/>
  <c r="B1218" i="703"/>
  <c r="B1217" i="703"/>
  <c r="B1216" i="703"/>
  <c r="B1215" i="703"/>
  <c r="B1214" i="703"/>
  <c r="B1213" i="703"/>
  <c r="B1212" i="703"/>
  <c r="B1211" i="703"/>
  <c r="B1210" i="703"/>
  <c r="B1209" i="703"/>
  <c r="B1208" i="703"/>
  <c r="B1207" i="703"/>
  <c r="B1206" i="703"/>
  <c r="B1205" i="703"/>
  <c r="B1204" i="703"/>
  <c r="B1203" i="703"/>
  <c r="B1202" i="703"/>
  <c r="B1201" i="703"/>
  <c r="B1200" i="703"/>
  <c r="B1199" i="703"/>
  <c r="B1198" i="703"/>
  <c r="B1197" i="703"/>
  <c r="B1196" i="703"/>
  <c r="B1195" i="703"/>
  <c r="B1194" i="703"/>
  <c r="B1193" i="703"/>
  <c r="B1192" i="703"/>
  <c r="B1191" i="703"/>
  <c r="B1190" i="703"/>
  <c r="B1189" i="703"/>
  <c r="B1188" i="703"/>
  <c r="B1187" i="703"/>
  <c r="B1186" i="703"/>
  <c r="B1185" i="703"/>
  <c r="B1184" i="703"/>
  <c r="B1183" i="703"/>
  <c r="B1182" i="703"/>
  <c r="B1181" i="703"/>
  <c r="B1180" i="703"/>
  <c r="B1179" i="703"/>
  <c r="B1178" i="703"/>
  <c r="B1177" i="703"/>
  <c r="B1176" i="703"/>
  <c r="B1175" i="703"/>
  <c r="B1174" i="703"/>
  <c r="B1173" i="703"/>
  <c r="B1172" i="703"/>
  <c r="B1171" i="703"/>
  <c r="B1170" i="703"/>
  <c r="B1169" i="703"/>
  <c r="B1168" i="703"/>
  <c r="B1167" i="703"/>
  <c r="B1166" i="703"/>
  <c r="B1165" i="703"/>
  <c r="B1164" i="703"/>
  <c r="B1163" i="703"/>
  <c r="B1162" i="703"/>
  <c r="B1161" i="703"/>
  <c r="B1160" i="703"/>
  <c r="B1159" i="703"/>
  <c r="B1158" i="703"/>
  <c r="B1157" i="703"/>
  <c r="B1156" i="703"/>
  <c r="B1155" i="703"/>
  <c r="B1154" i="703"/>
  <c r="B1153" i="703"/>
  <c r="B1152" i="703"/>
  <c r="B1151" i="703"/>
  <c r="B1150" i="703"/>
  <c r="B1149" i="703"/>
  <c r="B1148" i="703"/>
  <c r="B1147" i="703"/>
  <c r="B1146" i="703"/>
  <c r="B1145" i="703"/>
  <c r="B1144" i="703"/>
  <c r="B1143" i="703"/>
  <c r="B1142" i="703"/>
  <c r="B1141" i="703"/>
  <c r="B1140" i="703"/>
  <c r="B1139" i="703"/>
  <c r="B1138" i="703"/>
  <c r="B1137" i="703"/>
  <c r="B1136" i="703"/>
  <c r="B1135" i="703"/>
  <c r="B1134" i="703"/>
  <c r="B1133" i="703"/>
  <c r="B1132" i="703"/>
  <c r="B1131" i="703"/>
  <c r="B1130" i="703"/>
  <c r="B1129" i="703"/>
  <c r="B1128" i="703"/>
  <c r="B1127" i="703"/>
  <c r="B1126" i="703"/>
  <c r="B1125" i="703"/>
  <c r="B1124" i="703"/>
  <c r="B1123" i="703"/>
  <c r="B1122" i="703"/>
  <c r="B1121" i="703"/>
  <c r="B1120" i="703"/>
  <c r="B1119" i="703"/>
  <c r="B1118" i="703"/>
  <c r="B1117" i="703"/>
  <c r="B1116" i="703"/>
  <c r="B1115" i="703"/>
  <c r="B1114" i="703"/>
  <c r="B1113" i="703"/>
  <c r="B1112" i="703"/>
  <c r="B1111" i="703"/>
  <c r="B1110" i="703"/>
  <c r="B1109" i="703"/>
  <c r="B1108" i="703"/>
  <c r="B1107" i="703"/>
  <c r="B1106" i="703"/>
  <c r="B1105" i="703"/>
  <c r="B1104" i="703"/>
  <c r="B1103" i="703"/>
  <c r="B1102" i="703"/>
  <c r="B1101" i="703"/>
  <c r="B1100" i="703"/>
  <c r="B1099" i="703"/>
  <c r="B1098" i="703"/>
  <c r="B1097" i="703"/>
  <c r="B1096" i="703"/>
  <c r="B1095" i="703"/>
  <c r="B1094" i="703"/>
  <c r="B1093" i="703"/>
  <c r="B1092" i="703"/>
  <c r="B1091" i="703"/>
  <c r="B1090" i="703"/>
  <c r="B1089" i="703"/>
  <c r="B1088" i="703"/>
  <c r="B1087" i="703"/>
  <c r="B1086" i="703"/>
  <c r="B1085" i="703"/>
  <c r="B1084" i="703"/>
  <c r="B1083" i="703"/>
  <c r="B1082" i="703"/>
  <c r="B1081" i="703"/>
  <c r="B1080" i="703"/>
  <c r="B1079" i="703"/>
  <c r="B1078" i="703"/>
  <c r="B1077" i="703"/>
  <c r="B1076" i="703"/>
  <c r="B1075" i="703"/>
  <c r="B1074" i="703"/>
  <c r="B1073" i="703"/>
  <c r="B1072" i="703"/>
  <c r="B1071" i="703"/>
  <c r="B1070" i="703"/>
  <c r="B1069" i="703"/>
  <c r="B1068" i="703"/>
  <c r="B1067" i="703"/>
  <c r="B1066" i="703"/>
  <c r="B1065" i="703"/>
  <c r="B1064" i="703"/>
  <c r="B1063" i="703"/>
  <c r="B1062" i="703"/>
  <c r="B1061" i="703"/>
  <c r="B1060" i="703"/>
  <c r="B1059" i="703"/>
  <c r="B1058" i="703"/>
  <c r="B1057" i="703"/>
  <c r="B1056" i="703"/>
  <c r="B1055" i="703"/>
  <c r="B1054" i="703"/>
  <c r="B1053" i="703"/>
  <c r="B1052" i="703"/>
  <c r="B1051" i="703"/>
  <c r="B1050" i="703"/>
  <c r="B1049" i="703"/>
  <c r="B1048" i="703"/>
  <c r="B1047" i="703"/>
  <c r="B1046" i="703"/>
  <c r="B1045" i="703"/>
  <c r="B1044" i="703"/>
  <c r="B1043" i="703"/>
  <c r="B1042" i="703"/>
  <c r="B1041" i="703"/>
  <c r="B1040" i="703"/>
  <c r="B1039" i="703"/>
  <c r="B1038" i="703"/>
  <c r="B1037" i="703"/>
  <c r="B1036" i="703"/>
  <c r="B1035" i="703"/>
  <c r="B1034" i="703"/>
  <c r="B1033" i="703"/>
  <c r="B1032" i="703"/>
  <c r="B1031" i="703"/>
  <c r="B1030" i="703"/>
  <c r="B1029" i="703"/>
  <c r="B1028" i="703"/>
  <c r="B1027" i="703"/>
  <c r="B1026" i="703"/>
  <c r="B1025" i="703"/>
  <c r="B1024" i="703"/>
  <c r="B1023" i="703"/>
  <c r="B1022" i="703"/>
  <c r="B1021" i="703"/>
  <c r="B1020" i="703"/>
  <c r="B1019" i="703"/>
  <c r="B1018" i="703"/>
  <c r="B1017" i="703"/>
  <c r="B1016" i="703"/>
  <c r="B1015" i="703"/>
  <c r="B1014" i="703"/>
  <c r="B1013" i="703"/>
  <c r="B1012" i="703"/>
  <c r="B1011" i="703"/>
  <c r="B1010" i="703"/>
  <c r="B1009" i="703"/>
  <c r="B1008" i="703"/>
  <c r="B1007" i="703"/>
  <c r="B1006" i="703"/>
  <c r="B1005" i="703"/>
  <c r="B1004" i="703"/>
  <c r="B1003" i="703"/>
  <c r="B1002" i="703"/>
  <c r="B1001" i="703"/>
  <c r="B1000" i="703"/>
  <c r="B999" i="703"/>
  <c r="B998" i="703"/>
  <c r="B997" i="703"/>
  <c r="B996" i="703"/>
  <c r="B995" i="703"/>
  <c r="B994" i="703"/>
  <c r="B993" i="703"/>
  <c r="B992" i="703"/>
  <c r="B991" i="703"/>
  <c r="B990" i="703"/>
  <c r="B989" i="703"/>
  <c r="B988" i="703"/>
  <c r="B987" i="703"/>
  <c r="B986" i="703"/>
  <c r="B985" i="703"/>
  <c r="B984" i="703"/>
  <c r="B983" i="703"/>
  <c r="B982" i="703"/>
  <c r="B981" i="703"/>
  <c r="B980" i="703"/>
  <c r="B979" i="703"/>
  <c r="B978" i="703"/>
  <c r="B977" i="703"/>
  <c r="B976" i="703"/>
  <c r="B975" i="703"/>
  <c r="B974" i="703"/>
  <c r="B973" i="703"/>
  <c r="B972" i="703"/>
  <c r="B971" i="703"/>
  <c r="B970" i="703"/>
  <c r="B969" i="703"/>
  <c r="B968" i="703"/>
  <c r="B967" i="703"/>
  <c r="B966" i="703"/>
  <c r="B965" i="703"/>
  <c r="B964" i="703"/>
  <c r="B963" i="703"/>
  <c r="B962" i="703"/>
  <c r="B961" i="703"/>
  <c r="B960" i="703"/>
  <c r="B959" i="703"/>
  <c r="B958" i="703"/>
  <c r="B957" i="703"/>
  <c r="B956" i="703"/>
  <c r="B955" i="703"/>
  <c r="B954" i="703"/>
  <c r="B953" i="703"/>
  <c r="B952" i="703"/>
  <c r="B951" i="703"/>
  <c r="B950" i="703"/>
  <c r="B949" i="703"/>
  <c r="B948" i="703"/>
  <c r="B947" i="703"/>
  <c r="B946" i="703"/>
  <c r="B945" i="703"/>
  <c r="B944" i="703"/>
  <c r="B943" i="703"/>
  <c r="B942" i="703"/>
  <c r="B941" i="703"/>
  <c r="B940" i="703"/>
  <c r="B939" i="703"/>
  <c r="B938" i="703"/>
  <c r="B937" i="703"/>
  <c r="B936" i="703"/>
  <c r="B935" i="703"/>
  <c r="B934" i="703"/>
  <c r="B933" i="703"/>
  <c r="B932" i="703"/>
  <c r="B931" i="703"/>
  <c r="B930" i="703"/>
  <c r="B929" i="703"/>
  <c r="B928" i="703"/>
  <c r="B927" i="703"/>
  <c r="B926" i="703"/>
  <c r="B925" i="703"/>
  <c r="B924" i="703"/>
  <c r="B923" i="703"/>
  <c r="B922" i="703"/>
  <c r="B921" i="703"/>
  <c r="B920" i="703"/>
  <c r="B919" i="703"/>
  <c r="B918" i="703"/>
  <c r="B917" i="703"/>
  <c r="B916" i="703"/>
  <c r="B915" i="703"/>
  <c r="B914" i="703"/>
  <c r="B913" i="703"/>
  <c r="B912" i="703"/>
  <c r="B911" i="703"/>
  <c r="B910" i="703"/>
  <c r="B909" i="703"/>
  <c r="B908" i="703"/>
  <c r="B907" i="703"/>
  <c r="B906" i="703"/>
  <c r="B905" i="703"/>
  <c r="B904" i="703"/>
  <c r="B903" i="703"/>
  <c r="B902" i="703"/>
  <c r="B901" i="703"/>
  <c r="B900" i="703"/>
  <c r="B899" i="703"/>
  <c r="B898" i="703"/>
  <c r="B897" i="703"/>
  <c r="B896" i="703"/>
  <c r="B895" i="703"/>
  <c r="B894" i="703"/>
  <c r="B893" i="703"/>
  <c r="B892" i="703"/>
  <c r="B891" i="703"/>
  <c r="B890" i="703"/>
  <c r="B889" i="703"/>
  <c r="B888" i="703"/>
  <c r="B887" i="703"/>
  <c r="B886" i="703"/>
  <c r="B885" i="703"/>
  <c r="B884" i="703"/>
  <c r="B883" i="703"/>
  <c r="B882" i="703"/>
  <c r="B881" i="703"/>
  <c r="B880" i="703"/>
  <c r="B879" i="703"/>
  <c r="B878" i="703"/>
  <c r="B877" i="703"/>
  <c r="B876" i="703"/>
  <c r="B875" i="703"/>
  <c r="B874" i="703"/>
  <c r="B873" i="703"/>
  <c r="B872" i="703"/>
  <c r="B871" i="703"/>
  <c r="B870" i="703"/>
  <c r="B869" i="703"/>
  <c r="B868" i="703"/>
  <c r="B867" i="703"/>
  <c r="B866" i="703"/>
  <c r="B865" i="703"/>
  <c r="B864" i="703"/>
  <c r="B863" i="703"/>
  <c r="B862" i="703"/>
  <c r="B861" i="703"/>
  <c r="B860" i="703"/>
  <c r="B859" i="703"/>
  <c r="B858" i="703"/>
  <c r="B857" i="703"/>
  <c r="B856" i="703"/>
  <c r="B855" i="703"/>
  <c r="B854" i="703"/>
  <c r="B853" i="703"/>
  <c r="B852" i="703"/>
  <c r="B851" i="703"/>
  <c r="B850" i="703"/>
  <c r="B849" i="703"/>
  <c r="B848" i="703"/>
  <c r="B847" i="703"/>
  <c r="B846" i="703"/>
  <c r="B845" i="703"/>
  <c r="B844" i="703"/>
  <c r="B843" i="703"/>
  <c r="B842" i="703"/>
  <c r="B841" i="703"/>
  <c r="B840" i="703"/>
  <c r="B839" i="703"/>
  <c r="B838" i="703"/>
  <c r="B837" i="703"/>
  <c r="B836" i="703"/>
  <c r="B835" i="703"/>
  <c r="B834" i="703"/>
  <c r="B833" i="703"/>
  <c r="B832" i="703"/>
  <c r="B831" i="703"/>
  <c r="B830" i="703"/>
  <c r="B829" i="703"/>
  <c r="B828" i="703"/>
  <c r="B827" i="703"/>
  <c r="B826" i="703"/>
  <c r="B825" i="703"/>
  <c r="B824" i="703"/>
  <c r="B823" i="703"/>
  <c r="B822" i="703"/>
  <c r="B821" i="703"/>
  <c r="B820" i="703"/>
  <c r="B819" i="703"/>
  <c r="B818" i="703"/>
  <c r="B817" i="703"/>
  <c r="B816" i="703"/>
  <c r="B815" i="703"/>
  <c r="B814" i="703"/>
  <c r="B813" i="703"/>
  <c r="B812" i="703"/>
  <c r="B811" i="703"/>
  <c r="B810" i="703"/>
  <c r="B809" i="703"/>
  <c r="B808" i="703"/>
  <c r="B807" i="703"/>
  <c r="B806" i="703"/>
  <c r="B805" i="703"/>
  <c r="B804" i="703"/>
  <c r="B803" i="703"/>
  <c r="B802" i="703"/>
  <c r="B801" i="703"/>
  <c r="B800" i="703"/>
  <c r="B799" i="703"/>
  <c r="B798" i="703"/>
  <c r="B797" i="703"/>
  <c r="B796" i="703"/>
  <c r="B795" i="703"/>
  <c r="B794" i="703"/>
  <c r="B793" i="703"/>
  <c r="B792" i="703"/>
  <c r="B791" i="703"/>
  <c r="B790" i="703"/>
  <c r="B789" i="703"/>
  <c r="B788" i="703"/>
  <c r="B787" i="703"/>
  <c r="B786" i="703"/>
  <c r="B785" i="703"/>
  <c r="B784" i="703"/>
  <c r="B783" i="703"/>
  <c r="B782" i="703"/>
  <c r="B781" i="703"/>
  <c r="B780" i="703"/>
  <c r="B779" i="703"/>
  <c r="B778" i="703"/>
  <c r="B777" i="703"/>
  <c r="B776" i="703"/>
  <c r="B775" i="703"/>
  <c r="B774" i="703"/>
  <c r="B773" i="703"/>
  <c r="B772" i="703"/>
  <c r="B771" i="703"/>
  <c r="B770" i="703"/>
  <c r="B769" i="703"/>
  <c r="B768" i="703"/>
  <c r="B767" i="703"/>
  <c r="B766" i="703"/>
  <c r="B765" i="703"/>
  <c r="B764" i="703"/>
  <c r="B763" i="703"/>
  <c r="B762" i="703"/>
  <c r="B761" i="703"/>
  <c r="B760" i="703"/>
  <c r="B759" i="703"/>
  <c r="B758" i="703"/>
  <c r="B757" i="703"/>
  <c r="B756" i="703"/>
  <c r="B755" i="703"/>
  <c r="B754" i="703"/>
  <c r="B753" i="703"/>
  <c r="B752" i="703"/>
  <c r="B751" i="703"/>
  <c r="B750" i="703"/>
  <c r="B749" i="703"/>
  <c r="B748" i="703"/>
  <c r="B747" i="703"/>
  <c r="B746" i="703"/>
  <c r="B745" i="703"/>
  <c r="B744" i="703"/>
  <c r="B743" i="703"/>
  <c r="B742" i="703"/>
  <c r="B741" i="703"/>
  <c r="B740" i="703"/>
  <c r="B739" i="703"/>
  <c r="B738" i="703"/>
  <c r="B737" i="703"/>
  <c r="B736" i="703"/>
  <c r="B735" i="703"/>
  <c r="B734" i="703"/>
  <c r="B733" i="703"/>
  <c r="B732" i="703"/>
  <c r="B731" i="703"/>
  <c r="B730" i="703"/>
  <c r="B729" i="703"/>
  <c r="B728" i="703"/>
  <c r="B727" i="703"/>
  <c r="B726" i="703"/>
  <c r="B725" i="703"/>
  <c r="B724" i="703"/>
  <c r="B723" i="703"/>
  <c r="B722" i="703"/>
  <c r="B721" i="703"/>
  <c r="B720" i="703"/>
  <c r="B719" i="703"/>
  <c r="B718" i="703"/>
  <c r="B717" i="703"/>
  <c r="B716" i="703"/>
  <c r="B715" i="703"/>
  <c r="B714" i="703"/>
  <c r="B713" i="703"/>
  <c r="B712" i="703"/>
  <c r="B711" i="703"/>
  <c r="B710" i="703"/>
  <c r="B709" i="703"/>
  <c r="B708" i="703"/>
  <c r="B707" i="703"/>
  <c r="B706" i="703"/>
  <c r="B705" i="703"/>
  <c r="B704" i="703"/>
  <c r="B703" i="703"/>
  <c r="B702" i="703"/>
  <c r="B701" i="703"/>
  <c r="B700" i="703"/>
  <c r="B699" i="703"/>
  <c r="B698" i="703"/>
  <c r="B697" i="703"/>
  <c r="B696" i="703"/>
  <c r="B695" i="703"/>
  <c r="B694" i="703"/>
  <c r="B693" i="703"/>
  <c r="B692" i="703"/>
  <c r="B691" i="703"/>
  <c r="B690" i="703"/>
  <c r="B689" i="703"/>
  <c r="B688" i="703"/>
  <c r="B687" i="703"/>
  <c r="B686" i="703"/>
  <c r="B685" i="703"/>
  <c r="B684" i="703"/>
  <c r="B683" i="703"/>
  <c r="B682" i="703"/>
  <c r="B681" i="703"/>
  <c r="B680" i="703"/>
  <c r="B679" i="703"/>
  <c r="B678" i="703"/>
  <c r="B677" i="703"/>
  <c r="B676" i="703"/>
  <c r="B675" i="703"/>
  <c r="B674" i="703"/>
  <c r="B673" i="703"/>
  <c r="B672" i="703"/>
  <c r="B671" i="703"/>
  <c r="B670" i="703"/>
  <c r="B669" i="703"/>
  <c r="B668" i="703"/>
  <c r="B667" i="703"/>
  <c r="B666" i="703"/>
  <c r="B665" i="703"/>
  <c r="B664" i="703"/>
  <c r="B663" i="703"/>
  <c r="B662" i="703"/>
  <c r="B661" i="703"/>
  <c r="B660" i="703"/>
  <c r="B659" i="703"/>
  <c r="B658" i="703"/>
  <c r="B657" i="703"/>
  <c r="B656" i="703"/>
  <c r="B655" i="703"/>
  <c r="B654" i="703"/>
  <c r="B653" i="703"/>
  <c r="B652" i="703"/>
  <c r="B651" i="703"/>
  <c r="B650" i="703"/>
  <c r="B649" i="703"/>
  <c r="B648" i="703"/>
  <c r="B647" i="703"/>
  <c r="B646" i="703"/>
  <c r="B645" i="703"/>
  <c r="B644" i="703"/>
  <c r="B643" i="703"/>
  <c r="B642" i="703"/>
  <c r="B641" i="703"/>
  <c r="B640" i="703"/>
  <c r="B639" i="703"/>
  <c r="B638" i="703"/>
  <c r="B637" i="703"/>
  <c r="B636" i="703"/>
  <c r="B635" i="703"/>
  <c r="B634" i="703"/>
  <c r="B633" i="703"/>
  <c r="B632" i="703"/>
  <c r="B631" i="703"/>
  <c r="B630" i="703"/>
  <c r="B629" i="703"/>
  <c r="B628" i="703"/>
  <c r="B627" i="703"/>
  <c r="B626" i="703"/>
  <c r="B625" i="703"/>
  <c r="B624" i="703"/>
  <c r="B623" i="703"/>
  <c r="B622" i="703"/>
  <c r="B621" i="703"/>
  <c r="B620" i="703"/>
  <c r="B619" i="703"/>
  <c r="B618" i="703"/>
  <c r="B617" i="703"/>
  <c r="B616" i="703"/>
  <c r="B615" i="703"/>
  <c r="B614" i="703"/>
  <c r="B613" i="703"/>
  <c r="B612" i="703"/>
  <c r="B611" i="703"/>
  <c r="B610" i="703"/>
  <c r="B609" i="703"/>
  <c r="B608" i="703"/>
  <c r="B607" i="703"/>
  <c r="B606" i="703"/>
  <c r="B605" i="703"/>
  <c r="B604" i="703"/>
  <c r="B603" i="703"/>
  <c r="B602" i="703"/>
  <c r="B601" i="703"/>
  <c r="B600" i="703"/>
  <c r="B599" i="703"/>
  <c r="B598" i="703"/>
  <c r="B597" i="703"/>
  <c r="B596" i="703"/>
  <c r="B595" i="703"/>
  <c r="B594" i="703"/>
  <c r="B593" i="703"/>
  <c r="B592" i="703"/>
  <c r="B591" i="703"/>
  <c r="B590" i="703"/>
  <c r="B589" i="703"/>
  <c r="B588" i="703"/>
  <c r="B587" i="703"/>
  <c r="B586" i="703"/>
  <c r="B585" i="703"/>
  <c r="B584" i="703"/>
  <c r="B583" i="703"/>
  <c r="B582" i="703"/>
  <c r="B581" i="703"/>
  <c r="B580" i="703"/>
  <c r="B579" i="703"/>
  <c r="B578" i="703"/>
  <c r="B577" i="703"/>
  <c r="B576" i="703"/>
  <c r="B575" i="703"/>
  <c r="B574" i="703"/>
  <c r="B573" i="703"/>
  <c r="B572" i="703"/>
  <c r="B571" i="703"/>
  <c r="B570" i="703"/>
  <c r="B569" i="703"/>
  <c r="B568" i="703"/>
  <c r="B567" i="703"/>
  <c r="B566" i="703"/>
  <c r="B565" i="703"/>
  <c r="B564" i="703"/>
  <c r="B563" i="703"/>
  <c r="B562" i="703"/>
  <c r="B561" i="703"/>
  <c r="B560" i="703"/>
  <c r="B559" i="703"/>
  <c r="B558" i="703"/>
  <c r="B557" i="703"/>
  <c r="B556" i="703"/>
  <c r="B555" i="703"/>
  <c r="B554" i="703"/>
  <c r="B553" i="703"/>
  <c r="B552" i="703"/>
  <c r="B551" i="703"/>
  <c r="B550" i="703"/>
  <c r="B549" i="703"/>
  <c r="B548" i="703"/>
  <c r="B547" i="703"/>
  <c r="B546" i="703"/>
  <c r="B545" i="703"/>
  <c r="B544" i="703"/>
  <c r="B543" i="703"/>
  <c r="B542" i="703"/>
  <c r="B541" i="703"/>
  <c r="B540" i="703"/>
  <c r="B539" i="703"/>
  <c r="B538" i="703"/>
  <c r="B537" i="703"/>
  <c r="B536" i="703"/>
  <c r="B535" i="703"/>
  <c r="B534" i="703"/>
  <c r="B533" i="703"/>
  <c r="B532" i="703"/>
  <c r="B531" i="703"/>
  <c r="B530" i="703"/>
  <c r="B529" i="703"/>
  <c r="B528" i="703"/>
  <c r="B527" i="703"/>
  <c r="B526" i="703"/>
  <c r="B525" i="703"/>
  <c r="B524" i="703"/>
  <c r="B523" i="703"/>
  <c r="B522" i="703"/>
  <c r="B521" i="703"/>
  <c r="B520" i="703"/>
  <c r="B519" i="703"/>
  <c r="B518" i="703"/>
  <c r="B517" i="703"/>
  <c r="B516" i="703"/>
  <c r="B515" i="703"/>
  <c r="B514" i="703"/>
  <c r="B513" i="703"/>
  <c r="B512" i="703"/>
  <c r="B511" i="703"/>
  <c r="B510" i="703"/>
  <c r="B509" i="703"/>
  <c r="B508" i="703"/>
  <c r="B507" i="703"/>
  <c r="B506" i="703"/>
  <c r="B505" i="703"/>
  <c r="B504" i="703"/>
  <c r="B503" i="703"/>
  <c r="B502" i="703"/>
  <c r="B501" i="703"/>
  <c r="B500" i="703"/>
  <c r="B499" i="703"/>
  <c r="B498" i="703"/>
  <c r="B497" i="703"/>
  <c r="B496" i="703"/>
  <c r="B495" i="703"/>
  <c r="B494" i="703"/>
  <c r="B493" i="703"/>
  <c r="B492" i="703"/>
  <c r="B491" i="703"/>
  <c r="B490" i="703"/>
  <c r="B489" i="703"/>
  <c r="B488" i="703"/>
  <c r="B487" i="703"/>
  <c r="B486" i="703"/>
  <c r="B485" i="703"/>
  <c r="B484" i="703"/>
  <c r="B483" i="703"/>
  <c r="B482" i="703"/>
  <c r="B481" i="703"/>
  <c r="B480" i="703"/>
  <c r="B479" i="703"/>
  <c r="B478" i="703"/>
  <c r="B477" i="703"/>
  <c r="B476" i="703"/>
  <c r="B475" i="703"/>
  <c r="B474" i="703"/>
  <c r="B473" i="703"/>
  <c r="B472" i="703"/>
  <c r="B471" i="703"/>
  <c r="B470" i="703"/>
  <c r="B469" i="703"/>
  <c r="B468" i="703"/>
  <c r="B467" i="703"/>
  <c r="B466" i="703"/>
  <c r="B465" i="703"/>
  <c r="B464" i="703"/>
  <c r="B463" i="703"/>
  <c r="B462" i="703"/>
  <c r="B461" i="703"/>
  <c r="B460" i="703"/>
  <c r="B459" i="703"/>
  <c r="B458" i="703"/>
  <c r="B457" i="703"/>
  <c r="B456" i="703"/>
  <c r="B455" i="703"/>
  <c r="B454" i="703"/>
  <c r="B453" i="703"/>
  <c r="B452" i="703"/>
  <c r="B451" i="703"/>
  <c r="B450" i="703"/>
  <c r="B449" i="703"/>
  <c r="B448" i="703"/>
  <c r="B447" i="703"/>
  <c r="B446" i="703"/>
  <c r="B445" i="703"/>
  <c r="B444" i="703"/>
  <c r="B443" i="703"/>
  <c r="B442" i="703"/>
  <c r="B441" i="703"/>
  <c r="B440" i="703"/>
  <c r="B439" i="703"/>
  <c r="B438" i="703"/>
  <c r="B437" i="703"/>
  <c r="B436" i="703"/>
  <c r="B435" i="703"/>
  <c r="B434" i="703"/>
  <c r="B433" i="703"/>
  <c r="B432" i="703"/>
  <c r="B431" i="703"/>
  <c r="B430" i="703"/>
  <c r="B429" i="703"/>
  <c r="B428" i="703"/>
  <c r="B427" i="703"/>
  <c r="B426" i="703"/>
  <c r="B425" i="703"/>
  <c r="B424" i="703"/>
  <c r="B423" i="703"/>
  <c r="B422" i="703"/>
  <c r="B421" i="703"/>
  <c r="B420" i="703"/>
  <c r="B419" i="703"/>
  <c r="B418" i="703"/>
  <c r="B417" i="703"/>
  <c r="B416" i="703"/>
  <c r="B415" i="703"/>
  <c r="B414" i="703"/>
  <c r="B413" i="703"/>
  <c r="B412" i="703"/>
  <c r="B411" i="703"/>
  <c r="B410" i="703"/>
  <c r="B409" i="703"/>
  <c r="B408" i="703"/>
  <c r="B407" i="703"/>
  <c r="B406" i="703"/>
  <c r="B405" i="703"/>
  <c r="B404" i="703"/>
  <c r="B403" i="703"/>
  <c r="B402" i="703"/>
  <c r="B401" i="703"/>
  <c r="B400" i="703"/>
  <c r="B399" i="703"/>
  <c r="B398" i="703"/>
  <c r="B397" i="703"/>
  <c r="B396" i="703"/>
  <c r="B395" i="703"/>
  <c r="B394" i="703"/>
  <c r="B393" i="703"/>
  <c r="B392" i="703"/>
  <c r="B391" i="703"/>
  <c r="B390" i="703"/>
  <c r="B389" i="703"/>
  <c r="B388" i="703"/>
  <c r="B387" i="703"/>
  <c r="B386" i="703"/>
  <c r="B385" i="703"/>
  <c r="B384" i="703"/>
  <c r="B383" i="703"/>
  <c r="B382" i="703"/>
  <c r="B381" i="703"/>
  <c r="B380" i="703"/>
  <c r="B379" i="703"/>
  <c r="B378" i="703"/>
  <c r="B377" i="703"/>
  <c r="B376" i="703"/>
  <c r="B375" i="703"/>
  <c r="B374" i="703"/>
  <c r="B373" i="703"/>
  <c r="B372" i="703"/>
  <c r="B371" i="703"/>
  <c r="B370" i="703"/>
  <c r="B369" i="703"/>
  <c r="B368" i="703"/>
  <c r="B367" i="703"/>
  <c r="B366" i="703"/>
  <c r="B365" i="703"/>
  <c r="B364" i="703"/>
  <c r="B363" i="703"/>
  <c r="B362" i="703"/>
  <c r="B361" i="703"/>
  <c r="B360" i="703"/>
  <c r="B359" i="703"/>
  <c r="B358" i="703"/>
  <c r="B357" i="703"/>
  <c r="B356" i="703"/>
  <c r="B355" i="703"/>
  <c r="B354" i="703"/>
  <c r="B353" i="703"/>
  <c r="B352" i="703"/>
  <c r="B351" i="703"/>
  <c r="B350" i="703"/>
  <c r="B349" i="703"/>
  <c r="B348" i="703"/>
  <c r="B347" i="703"/>
  <c r="B346" i="703"/>
  <c r="B345" i="703"/>
  <c r="B344" i="703"/>
  <c r="B343" i="703"/>
  <c r="B342" i="703"/>
  <c r="B341" i="703"/>
  <c r="B340" i="703"/>
  <c r="B339" i="703"/>
  <c r="B338" i="703"/>
  <c r="B337" i="703"/>
  <c r="B336" i="703"/>
  <c r="B335" i="703"/>
  <c r="B334" i="703"/>
  <c r="B333" i="703"/>
  <c r="B332" i="703"/>
  <c r="B331" i="703"/>
  <c r="B330" i="703"/>
  <c r="B329" i="703"/>
  <c r="B328" i="703"/>
  <c r="B327" i="703"/>
  <c r="B326" i="703"/>
  <c r="B325" i="703"/>
  <c r="B324" i="703"/>
  <c r="B323" i="703"/>
  <c r="B322" i="703"/>
  <c r="B321" i="703"/>
  <c r="B320" i="703"/>
  <c r="B319" i="703"/>
  <c r="B318" i="703"/>
  <c r="B317" i="703"/>
  <c r="B316" i="703"/>
  <c r="B315" i="703"/>
  <c r="B314" i="703"/>
  <c r="B313" i="703"/>
  <c r="B312" i="703"/>
  <c r="B311" i="703"/>
  <c r="B310" i="703"/>
  <c r="B309" i="703"/>
  <c r="B308" i="703"/>
  <c r="B307" i="703"/>
  <c r="B306" i="703"/>
  <c r="B305" i="703"/>
  <c r="B304" i="703"/>
  <c r="B303" i="703"/>
  <c r="B302" i="703"/>
  <c r="B301" i="703"/>
  <c r="B300" i="703"/>
  <c r="B299" i="703"/>
  <c r="B298" i="703"/>
  <c r="B297" i="703"/>
  <c r="B296" i="703"/>
  <c r="B295" i="703"/>
  <c r="B294" i="703"/>
  <c r="B293" i="703"/>
  <c r="B292" i="703"/>
  <c r="B291" i="703"/>
  <c r="B290" i="703"/>
  <c r="B289" i="703"/>
  <c r="B288" i="703"/>
  <c r="B287" i="703"/>
  <c r="B286" i="703"/>
  <c r="B285" i="703"/>
  <c r="B284" i="703"/>
  <c r="B283" i="703"/>
  <c r="B282" i="703"/>
  <c r="B281" i="703"/>
  <c r="B280" i="703"/>
  <c r="B279" i="703"/>
  <c r="B278" i="703"/>
  <c r="B277" i="703"/>
  <c r="B276" i="703"/>
  <c r="B275" i="703"/>
  <c r="B274" i="703"/>
  <c r="B273" i="703"/>
  <c r="B272" i="703"/>
  <c r="B271" i="703"/>
  <c r="B270" i="703"/>
  <c r="B269" i="703"/>
  <c r="B268" i="703"/>
  <c r="B267" i="703"/>
  <c r="B266" i="703"/>
  <c r="B265" i="703"/>
  <c r="B264" i="703"/>
  <c r="B263" i="703"/>
  <c r="B262" i="703"/>
  <c r="B261" i="703"/>
  <c r="B260" i="703"/>
  <c r="B259" i="703"/>
  <c r="B258" i="703"/>
  <c r="B257" i="703"/>
  <c r="B256" i="703"/>
  <c r="B255" i="703"/>
  <c r="B254" i="703"/>
  <c r="B253" i="703"/>
  <c r="B252" i="703"/>
  <c r="B251" i="703"/>
  <c r="B250" i="703"/>
  <c r="B249" i="703"/>
  <c r="B248" i="703"/>
  <c r="B247" i="703"/>
  <c r="B246" i="703"/>
  <c r="B245" i="703"/>
  <c r="B244" i="703"/>
  <c r="B243" i="703"/>
  <c r="B242" i="703"/>
  <c r="B241" i="703"/>
  <c r="B240" i="703"/>
  <c r="B239" i="703"/>
  <c r="B238" i="703"/>
  <c r="B237" i="703"/>
  <c r="B236" i="703"/>
  <c r="B235" i="703"/>
  <c r="B234" i="703"/>
  <c r="B233" i="703"/>
  <c r="B232" i="703"/>
  <c r="B231" i="703"/>
  <c r="B230" i="703"/>
  <c r="B229" i="703"/>
  <c r="B228" i="703"/>
  <c r="B227" i="703"/>
  <c r="B226" i="703"/>
  <c r="B225" i="703"/>
  <c r="B224" i="703"/>
  <c r="B223" i="703"/>
  <c r="B222" i="703"/>
  <c r="B221" i="703"/>
  <c r="B220" i="703"/>
  <c r="B219" i="703"/>
  <c r="B218" i="703"/>
  <c r="B217" i="703"/>
  <c r="B216" i="703"/>
  <c r="B215" i="703"/>
  <c r="B214" i="703"/>
  <c r="B213" i="703"/>
  <c r="B212" i="703"/>
  <c r="B211" i="703"/>
  <c r="B210" i="703"/>
  <c r="B209" i="703"/>
  <c r="B208" i="703"/>
  <c r="B207" i="703"/>
  <c r="B206" i="703"/>
  <c r="B205" i="703"/>
  <c r="B204" i="703"/>
  <c r="B203" i="703"/>
  <c r="B202" i="703"/>
  <c r="B201" i="703"/>
  <c r="B200" i="703"/>
  <c r="B199" i="703"/>
  <c r="B198" i="703"/>
  <c r="B197" i="703"/>
  <c r="B196" i="703"/>
  <c r="B195" i="703"/>
  <c r="B194" i="703"/>
  <c r="B193" i="703"/>
  <c r="B192" i="703"/>
  <c r="B191" i="703"/>
  <c r="B190" i="703"/>
  <c r="B189" i="703"/>
  <c r="B188" i="703"/>
  <c r="B187" i="703"/>
  <c r="B186" i="703"/>
  <c r="B185" i="703"/>
  <c r="B184" i="703"/>
  <c r="B183" i="703"/>
  <c r="B182" i="703"/>
  <c r="B181" i="703"/>
  <c r="B180" i="703"/>
  <c r="B179" i="703"/>
  <c r="B178" i="703"/>
  <c r="B177" i="703"/>
  <c r="B176" i="703"/>
  <c r="B175" i="703"/>
  <c r="B174" i="703"/>
  <c r="B173" i="703"/>
  <c r="B172" i="703"/>
  <c r="B171" i="703"/>
  <c r="B170" i="703"/>
  <c r="B169" i="703"/>
  <c r="B168" i="703"/>
  <c r="B167" i="703"/>
  <c r="B166" i="703"/>
  <c r="B165" i="703"/>
  <c r="B164" i="703"/>
  <c r="B163" i="703"/>
  <c r="B162" i="703"/>
  <c r="B161" i="703"/>
  <c r="B160" i="703"/>
  <c r="B159" i="703"/>
  <c r="B158" i="703"/>
  <c r="B157" i="703"/>
  <c r="B156" i="703"/>
  <c r="B155" i="703"/>
  <c r="B154" i="703"/>
  <c r="B153" i="703"/>
  <c r="B152" i="703"/>
  <c r="B151" i="703"/>
  <c r="B150" i="703"/>
  <c r="B149" i="703"/>
  <c r="B148" i="703"/>
  <c r="B147" i="703"/>
  <c r="B146" i="703"/>
  <c r="B145" i="703"/>
  <c r="B144" i="703"/>
  <c r="B143" i="703"/>
  <c r="B142" i="703"/>
  <c r="B141" i="703"/>
  <c r="B140" i="703"/>
  <c r="B139" i="703"/>
  <c r="B138" i="703"/>
  <c r="B137" i="703"/>
  <c r="B136" i="703"/>
  <c r="B135" i="703"/>
  <c r="B134" i="703"/>
  <c r="B133" i="703"/>
  <c r="B132" i="703"/>
  <c r="B131" i="703"/>
  <c r="B130" i="703"/>
  <c r="B129" i="703"/>
  <c r="B128" i="703"/>
  <c r="B127" i="703"/>
  <c r="B126" i="703"/>
  <c r="B125" i="703"/>
  <c r="B124" i="703"/>
  <c r="B123" i="703"/>
  <c r="B122" i="703"/>
  <c r="B121" i="703"/>
  <c r="B120" i="703"/>
  <c r="B119" i="703"/>
  <c r="B118" i="703"/>
  <c r="B117" i="703"/>
  <c r="B116" i="703"/>
  <c r="B115" i="703"/>
  <c r="B114" i="703"/>
  <c r="B113" i="703"/>
  <c r="B112" i="703"/>
  <c r="B111" i="703"/>
  <c r="B110" i="703"/>
  <c r="B109" i="703"/>
  <c r="B108" i="703"/>
  <c r="B107" i="703"/>
  <c r="B106" i="703"/>
  <c r="B105" i="703"/>
  <c r="B104" i="703"/>
  <c r="B103" i="703"/>
  <c r="B102" i="703"/>
  <c r="B101" i="703"/>
  <c r="B100" i="703"/>
  <c r="B99" i="703"/>
  <c r="B98" i="703"/>
  <c r="B97" i="703"/>
  <c r="B96" i="703"/>
  <c r="B95" i="703"/>
  <c r="B94" i="703"/>
  <c r="B93" i="703"/>
  <c r="B92" i="703"/>
  <c r="B91" i="703"/>
  <c r="B90" i="703"/>
  <c r="B89" i="703"/>
  <c r="B88" i="703"/>
  <c r="B87" i="703"/>
  <c r="B86" i="703"/>
  <c r="B85" i="703"/>
  <c r="B84" i="703"/>
  <c r="B83" i="703"/>
  <c r="B82" i="703"/>
  <c r="B81" i="703"/>
  <c r="B80" i="703"/>
  <c r="B79" i="703"/>
  <c r="B78" i="703"/>
  <c r="B77" i="703"/>
  <c r="B76" i="703"/>
  <c r="B75" i="703"/>
  <c r="B74" i="703"/>
  <c r="B73" i="703"/>
  <c r="B72" i="703"/>
  <c r="B71" i="703"/>
  <c r="B70" i="703"/>
  <c r="B69" i="703"/>
  <c r="B68" i="703"/>
  <c r="B67" i="703"/>
  <c r="B66" i="703"/>
  <c r="B65" i="703"/>
  <c r="B64" i="703"/>
  <c r="B63" i="703"/>
  <c r="B62" i="703"/>
  <c r="B61" i="703"/>
  <c r="B60" i="703"/>
  <c r="B59" i="703"/>
  <c r="B58" i="703"/>
  <c r="B57" i="703"/>
  <c r="B56" i="703"/>
  <c r="B55" i="703"/>
  <c r="B54" i="703"/>
  <c r="B53" i="703"/>
  <c r="B52" i="703"/>
  <c r="B51" i="703"/>
  <c r="B50" i="703"/>
  <c r="B49" i="703"/>
  <c r="B48" i="703"/>
  <c r="B47" i="703"/>
  <c r="B46" i="703"/>
  <c r="B45" i="703"/>
  <c r="B44" i="703"/>
  <c r="B43" i="703"/>
  <c r="B42" i="703"/>
  <c r="B41" i="703"/>
  <c r="B40" i="703"/>
  <c r="B39" i="703"/>
  <c r="B38" i="703"/>
  <c r="B37" i="703"/>
  <c r="B36" i="703"/>
  <c r="B35" i="703"/>
  <c r="B34" i="703"/>
  <c r="B33" i="703"/>
  <c r="B32" i="703"/>
  <c r="B31" i="703"/>
  <c r="B30" i="703"/>
  <c r="B29" i="703"/>
  <c r="B28" i="703"/>
  <c r="B27" i="703"/>
  <c r="B26" i="703"/>
  <c r="B25" i="703"/>
  <c r="B24" i="703"/>
  <c r="B23" i="703"/>
  <c r="B22" i="703"/>
  <c r="B21" i="703"/>
  <c r="B20" i="703"/>
  <c r="B19" i="703"/>
  <c r="B18" i="703"/>
  <c r="B17" i="703"/>
  <c r="B16" i="703"/>
  <c r="B15" i="703"/>
  <c r="B14" i="703"/>
  <c r="B13" i="703"/>
  <c r="B12" i="703"/>
  <c r="B11" i="703"/>
  <c r="B10" i="703"/>
  <c r="B9" i="703"/>
  <c r="B8" i="703"/>
  <c r="B7" i="703"/>
  <c r="B6" i="703"/>
  <c r="B5" i="703"/>
  <c r="B4" i="703"/>
  <c r="B3" i="703"/>
  <c r="B2" i="703"/>
  <c r="C1" i="701" l="1"/>
  <c r="D1" i="701" s="1"/>
  <c r="E1" i="701" s="1"/>
  <c r="F1" i="701" s="1"/>
  <c r="G1" i="701" s="1"/>
  <c r="H1" i="701" s="1"/>
  <c r="I1" i="701" s="1"/>
  <c r="J1" i="701" s="1"/>
  <c r="K1" i="701" s="1"/>
  <c r="L1" i="701" s="1"/>
  <c r="M1" i="701" s="1"/>
  <c r="N1" i="701" s="1"/>
  <c r="O1" i="701" s="1"/>
  <c r="P1" i="701" s="1"/>
  <c r="Q1" i="701" s="1"/>
  <c r="R1" i="701" s="1"/>
  <c r="S1" i="701" s="1"/>
  <c r="T1" i="701" s="1"/>
  <c r="U1" i="701" s="1"/>
  <c r="V1" i="701" s="1"/>
  <c r="W1" i="701" s="1"/>
  <c r="X1" i="701" s="1"/>
  <c r="Y1" i="701" s="1"/>
  <c r="Z1" i="701" s="1"/>
  <c r="AA1" i="701" s="1"/>
  <c r="AB1" i="701" s="1"/>
  <c r="AC1" i="701" s="1"/>
  <c r="AD1" i="701" s="1"/>
  <c r="AE1" i="701" s="1"/>
  <c r="AF1" i="701" s="1"/>
  <c r="AG1" i="701" s="1"/>
  <c r="AH1" i="701" s="1"/>
  <c r="AI1" i="701" s="1"/>
  <c r="AJ1" i="701" s="1"/>
  <c r="AK1" i="701" s="1"/>
  <c r="AL1" i="701" s="1"/>
  <c r="AM1" i="701" s="1"/>
  <c r="AN1" i="701" s="1"/>
  <c r="AO1" i="701" s="1"/>
  <c r="AP1" i="701" s="1"/>
  <c r="AQ1" i="701" s="1"/>
  <c r="AR1" i="701" s="1"/>
  <c r="AS1" i="701" s="1"/>
  <c r="AT1" i="701" s="1"/>
  <c r="AU1" i="701" s="1"/>
  <c r="AV1" i="701" s="1"/>
  <c r="AW1" i="701" s="1"/>
  <c r="AX1" i="701" s="1"/>
  <c r="AY1" i="701" s="1"/>
  <c r="AZ1" i="701" s="1"/>
  <c r="BA1" i="701" s="1"/>
  <c r="BB1" i="701" s="1"/>
  <c r="BC1" i="701" s="1"/>
  <c r="BD1" i="701" s="1"/>
  <c r="BE1" i="701" s="1"/>
  <c r="BF1" i="701" s="1"/>
  <c r="BG1" i="701" s="1"/>
  <c r="BH1" i="701" s="1"/>
  <c r="BI1" i="701" s="1"/>
  <c r="BJ1" i="701" s="1"/>
  <c r="BK1" i="701" s="1"/>
  <c r="BL1" i="701" s="1"/>
  <c r="BM1" i="701" s="1"/>
  <c r="BN1" i="701" s="1"/>
  <c r="BO1" i="701" s="1"/>
  <c r="BP1" i="701" s="1"/>
  <c r="BQ1" i="701" s="1"/>
  <c r="BR1" i="701" s="1"/>
  <c r="BS1" i="701" s="1"/>
  <c r="BT1" i="701" s="1"/>
  <c r="BU1" i="701" s="1"/>
  <c r="BV1" i="701" s="1"/>
  <c r="BW1" i="701" s="1"/>
  <c r="BX1" i="701" s="1"/>
  <c r="BY1" i="701" s="1"/>
  <c r="BZ1" i="701" s="1"/>
  <c r="CA1" i="701" s="1"/>
  <c r="CB1" i="701" s="1"/>
  <c r="CC1" i="701" s="1"/>
  <c r="CD1" i="701" s="1"/>
  <c r="CE1" i="701" s="1"/>
  <c r="CF1" i="701" s="1"/>
  <c r="CG1" i="701" s="1"/>
  <c r="CH1" i="701" s="1"/>
  <c r="CI1" i="701" s="1"/>
  <c r="CJ1" i="701" s="1"/>
  <c r="CK1" i="701" s="1"/>
  <c r="CL1" i="701" s="1"/>
  <c r="CM1" i="701" s="1"/>
  <c r="CN1" i="701" s="1"/>
  <c r="CO1" i="701" s="1"/>
  <c r="CP1" i="701" s="1"/>
  <c r="CQ1" i="701" s="1"/>
  <c r="CR1" i="701" s="1"/>
  <c r="CS1" i="701" s="1"/>
  <c r="CT1" i="701" s="1"/>
  <c r="CU1" i="701" s="1"/>
  <c r="CV1" i="701" s="1"/>
  <c r="CW1" i="701" s="1"/>
  <c r="CX1" i="701" s="1"/>
  <c r="CY1" i="701" s="1"/>
  <c r="CZ1" i="701" s="1"/>
  <c r="DA1" i="701" s="1"/>
  <c r="DB1" i="701" s="1"/>
  <c r="DC1" i="701" s="1"/>
  <c r="D2" i="634" l="1"/>
  <c r="D1" i="634"/>
  <c r="G17" i="636"/>
  <c r="B11" i="699" l="1"/>
  <c r="C8" i="699" l="1"/>
  <c r="B12" i="699"/>
  <c r="F12" i="699" l="1"/>
  <c r="F12" i="391" s="1"/>
  <c r="G12" i="699"/>
  <c r="G12" i="391" s="1"/>
  <c r="D11" i="699"/>
  <c r="F11" i="699"/>
  <c r="E11" i="699"/>
  <c r="G11" i="699"/>
  <c r="G11" i="391" s="1"/>
  <c r="B13" i="699"/>
  <c r="E12" i="699"/>
  <c r="D12" i="699"/>
  <c r="H12" i="699" l="1"/>
  <c r="J12" i="699" s="1"/>
  <c r="L12" i="699" s="1"/>
  <c r="N12" i="699" s="1"/>
  <c r="P12" i="699" s="1"/>
  <c r="I12" i="699"/>
  <c r="K12" i="699" s="1"/>
  <c r="M12" i="699" s="1"/>
  <c r="O12" i="699" s="1"/>
  <c r="Q12" i="699" s="1"/>
  <c r="F13" i="699"/>
  <c r="F13" i="391" s="1"/>
  <c r="G13" i="699"/>
  <c r="G13" i="391" s="1"/>
  <c r="I11" i="699"/>
  <c r="K11" i="699" s="1"/>
  <c r="F11" i="391"/>
  <c r="H11" i="699"/>
  <c r="J11" i="699" s="1"/>
  <c r="L11" i="699" s="1"/>
  <c r="N11" i="699" s="1"/>
  <c r="P11" i="699" s="1"/>
  <c r="D13" i="699"/>
  <c r="B14" i="699"/>
  <c r="E13" i="699"/>
  <c r="D14" i="635"/>
  <c r="H13" i="699" l="1"/>
  <c r="J13" i="699" s="1"/>
  <c r="L13" i="699" s="1"/>
  <c r="N13" i="699" s="1"/>
  <c r="P13" i="699" s="1"/>
  <c r="G14" i="699"/>
  <c r="G14" i="391" s="1"/>
  <c r="F14" i="699"/>
  <c r="F14" i="391" s="1"/>
  <c r="E14" i="699"/>
  <c r="D14" i="699"/>
  <c r="B15" i="699"/>
  <c r="I13" i="699"/>
  <c r="M11" i="699"/>
  <c r="G39" i="1"/>
  <c r="I39" i="1" s="1"/>
  <c r="K39" i="1" s="1"/>
  <c r="M39" i="1" s="1"/>
  <c r="G40" i="1"/>
  <c r="I40" i="1" s="1"/>
  <c r="K40" i="1" s="1"/>
  <c r="M40" i="1" s="1"/>
  <c r="H14" i="699" l="1"/>
  <c r="J14" i="699" s="1"/>
  <c r="L14" i="699" s="1"/>
  <c r="N14" i="699" s="1"/>
  <c r="P14" i="699" s="1"/>
  <c r="G15" i="699"/>
  <c r="G15" i="391" s="1"/>
  <c r="F15" i="699"/>
  <c r="F15" i="391" s="1"/>
  <c r="K13" i="699"/>
  <c r="E15" i="699"/>
  <c r="B16" i="699"/>
  <c r="D15" i="699"/>
  <c r="I14" i="699"/>
  <c r="K14" i="699" s="1"/>
  <c r="M14" i="699" s="1"/>
  <c r="O14" i="699" s="1"/>
  <c r="Q14" i="699" s="1"/>
  <c r="O11" i="699"/>
  <c r="I15" i="699" l="1"/>
  <c r="K15" i="699" s="1"/>
  <c r="M15" i="699" s="1"/>
  <c r="O15" i="699" s="1"/>
  <c r="Q15" i="699" s="1"/>
  <c r="H15" i="699"/>
  <c r="J15" i="699" s="1"/>
  <c r="L15" i="699" s="1"/>
  <c r="N15" i="699" s="1"/>
  <c r="P15" i="699" s="1"/>
  <c r="F16" i="699"/>
  <c r="F16" i="391" s="1"/>
  <c r="G16" i="699"/>
  <c r="G16" i="391" s="1"/>
  <c r="B17" i="699"/>
  <c r="D16" i="699"/>
  <c r="E16" i="699"/>
  <c r="Q11" i="699"/>
  <c r="M13" i="699"/>
  <c r="G17" i="699" l="1"/>
  <c r="G17" i="391" s="1"/>
  <c r="F17" i="699"/>
  <c r="F17" i="391" s="1"/>
  <c r="H16" i="699"/>
  <c r="J16" i="699" s="1"/>
  <c r="L16" i="699" s="1"/>
  <c r="N16" i="699" s="1"/>
  <c r="P16" i="699" s="1"/>
  <c r="I16" i="699"/>
  <c r="K16" i="699" s="1"/>
  <c r="M16" i="699" s="1"/>
  <c r="O16" i="699" s="1"/>
  <c r="Q16" i="699" s="1"/>
  <c r="O13" i="699"/>
  <c r="D17" i="699"/>
  <c r="B18" i="699"/>
  <c r="E17" i="699"/>
  <c r="G18" i="699" l="1"/>
  <c r="G18" i="391" s="1"/>
  <c r="F18" i="699"/>
  <c r="F18" i="391" s="1"/>
  <c r="H17" i="699"/>
  <c r="J17" i="699" s="1"/>
  <c r="L17" i="699" s="1"/>
  <c r="N17" i="699" s="1"/>
  <c r="P17" i="699" s="1"/>
  <c r="I17" i="699"/>
  <c r="Q13" i="699"/>
  <c r="E18" i="699"/>
  <c r="B19" i="699"/>
  <c r="D18" i="699"/>
  <c r="I33" i="248"/>
  <c r="I65" i="248" s="1"/>
  <c r="I27" i="248"/>
  <c r="H27" i="248"/>
  <c r="G27" i="248"/>
  <c r="I21" i="248"/>
  <c r="H21" i="248"/>
  <c r="C12" i="695"/>
  <c r="E12" i="695" s="1"/>
  <c r="C11" i="695"/>
  <c r="A6" i="695"/>
  <c r="E32" i="694"/>
  <c r="B17" i="694"/>
  <c r="A6" i="694"/>
  <c r="D15" i="693"/>
  <c r="D40" i="693"/>
  <c r="D11" i="693"/>
  <c r="A6" i="693"/>
  <c r="A6" i="692"/>
  <c r="C67" i="691"/>
  <c r="B69" i="691"/>
  <c r="B70" i="691" s="1"/>
  <c r="B62" i="691"/>
  <c r="B61" i="691"/>
  <c r="B60" i="691"/>
  <c r="B49" i="691"/>
  <c r="B45" i="691"/>
  <c r="B46" i="691" s="1"/>
  <c r="B35" i="691"/>
  <c r="B32" i="691"/>
  <c r="B19" i="691"/>
  <c r="B18" i="691"/>
  <c r="B17" i="691"/>
  <c r="A6" i="691"/>
  <c r="C22" i="690"/>
  <c r="C19" i="690"/>
  <c r="C18" i="690"/>
  <c r="C17" i="690"/>
  <c r="C16" i="690"/>
  <c r="C15" i="690"/>
  <c r="C13" i="690"/>
  <c r="C12" i="690"/>
  <c r="C11" i="690"/>
  <c r="C10" i="690"/>
  <c r="A6" i="690"/>
  <c r="K2" i="227"/>
  <c r="K1" i="227"/>
  <c r="K37" i="227"/>
  <c r="K20" i="227"/>
  <c r="K49" i="227" s="1"/>
  <c r="C15" i="689"/>
  <c r="C11" i="689"/>
  <c r="A6" i="689"/>
  <c r="C30" i="688"/>
  <c r="A6" i="688"/>
  <c r="H51" i="686"/>
  <c r="D51" i="686"/>
  <c r="Q19" i="687"/>
  <c r="P19" i="687"/>
  <c r="O19" i="687"/>
  <c r="N19" i="687"/>
  <c r="M19" i="687"/>
  <c r="L19" i="687"/>
  <c r="K19" i="687"/>
  <c r="J19" i="687"/>
  <c r="Q18" i="687"/>
  <c r="P18" i="687"/>
  <c r="O18" i="687"/>
  <c r="N18" i="687"/>
  <c r="M18" i="687"/>
  <c r="L18" i="687"/>
  <c r="K18" i="687"/>
  <c r="J18" i="687"/>
  <c r="Q17" i="687"/>
  <c r="P17" i="687"/>
  <c r="O17" i="687"/>
  <c r="N17" i="687"/>
  <c r="M17" i="687"/>
  <c r="L17" i="687"/>
  <c r="K17" i="687"/>
  <c r="J17" i="687"/>
  <c r="Q16" i="687"/>
  <c r="P16" i="687"/>
  <c r="O16" i="687"/>
  <c r="N16" i="687"/>
  <c r="M16" i="687"/>
  <c r="L16" i="687"/>
  <c r="K16" i="687"/>
  <c r="J16" i="687"/>
  <c r="Q15" i="687"/>
  <c r="P15" i="687"/>
  <c r="O15" i="687"/>
  <c r="N15" i="687"/>
  <c r="M15" i="687"/>
  <c r="L15" i="687"/>
  <c r="K15" i="687"/>
  <c r="J15" i="687"/>
  <c r="Q14" i="687"/>
  <c r="P14" i="687"/>
  <c r="O14" i="687"/>
  <c r="N14" i="687"/>
  <c r="M14" i="687"/>
  <c r="L14" i="687"/>
  <c r="K14" i="687"/>
  <c r="J14" i="687"/>
  <c r="J20" i="687" s="1"/>
  <c r="B70" i="687" s="1"/>
  <c r="Q13" i="687"/>
  <c r="P13" i="687"/>
  <c r="O13" i="687"/>
  <c r="N13" i="687"/>
  <c r="N20" i="687" s="1"/>
  <c r="F70" i="687" s="1"/>
  <c r="M13" i="687"/>
  <c r="L13" i="687"/>
  <c r="L20" i="687" s="1"/>
  <c r="D70" i="687" s="1"/>
  <c r="K13" i="687"/>
  <c r="K20" i="687" s="1"/>
  <c r="C70" i="687" s="1"/>
  <c r="J13" i="687"/>
  <c r="I98" i="687"/>
  <c r="I51" i="686" s="1"/>
  <c r="H98" i="687"/>
  <c r="G98" i="687"/>
  <c r="G51" i="686" s="1"/>
  <c r="F98" i="687"/>
  <c r="F51" i="686" s="1"/>
  <c r="E98" i="687"/>
  <c r="E51" i="686" s="1"/>
  <c r="D98" i="687"/>
  <c r="C98" i="687"/>
  <c r="C51" i="686" s="1"/>
  <c r="B98" i="687"/>
  <c r="B51" i="686" s="1"/>
  <c r="I69" i="687"/>
  <c r="I71" i="687" s="1"/>
  <c r="H69" i="687"/>
  <c r="H71" i="687" s="1"/>
  <c r="G69" i="687"/>
  <c r="G71" i="687" s="1"/>
  <c r="F69" i="687"/>
  <c r="F71" i="687" s="1"/>
  <c r="E69" i="687"/>
  <c r="E71" i="687" s="1"/>
  <c r="D69" i="687"/>
  <c r="D71" i="687" s="1"/>
  <c r="C69" i="687"/>
  <c r="C71" i="687" s="1"/>
  <c r="B69" i="687"/>
  <c r="B71" i="687" s="1"/>
  <c r="I38" i="687"/>
  <c r="H38" i="687"/>
  <c r="G38" i="687"/>
  <c r="F38" i="687"/>
  <c r="E38" i="687"/>
  <c r="D38" i="687"/>
  <c r="C38" i="687"/>
  <c r="P20" i="687"/>
  <c r="H70" i="687" s="1"/>
  <c r="O20" i="687"/>
  <c r="G70" i="687" s="1"/>
  <c r="M20" i="687"/>
  <c r="E70" i="687" s="1"/>
  <c r="D27" i="685"/>
  <c r="D26" i="685"/>
  <c r="D19" i="685"/>
  <c r="D18" i="685"/>
  <c r="D16" i="685"/>
  <c r="D14" i="685"/>
  <c r="D13" i="685"/>
  <c r="D11" i="685"/>
  <c r="A6" i="685"/>
  <c r="D30" i="684"/>
  <c r="I31" i="248" s="1"/>
  <c r="E72" i="684"/>
  <c r="E66" i="684"/>
  <c r="E65" i="684"/>
  <c r="E57" i="684"/>
  <c r="E49" i="684"/>
  <c r="E39" i="684"/>
  <c r="E38" i="684"/>
  <c r="E35" i="684"/>
  <c r="D93" i="684"/>
  <c r="I96" i="248" s="1"/>
  <c r="D82" i="684"/>
  <c r="I85" i="248" s="1"/>
  <c r="D24" i="684"/>
  <c r="E24" i="684" s="1"/>
  <c r="D23" i="684"/>
  <c r="I24" i="248" s="1"/>
  <c r="D22" i="684"/>
  <c r="I23" i="248" s="1"/>
  <c r="D19" i="684"/>
  <c r="I20" i="248" s="1"/>
  <c r="D98" i="684"/>
  <c r="E22" i="684"/>
  <c r="A6" i="684"/>
  <c r="S184" i="167"/>
  <c r="N201" i="167"/>
  <c r="N197" i="167"/>
  <c r="N196" i="167"/>
  <c r="N194" i="167"/>
  <c r="N187" i="167"/>
  <c r="N186" i="167"/>
  <c r="N184" i="167"/>
  <c r="N182" i="167"/>
  <c r="N157" i="167"/>
  <c r="N158" i="167" s="1"/>
  <c r="N159" i="167" s="1"/>
  <c r="N150" i="167"/>
  <c r="N149" i="167"/>
  <c r="N148" i="167"/>
  <c r="N151" i="167" s="1"/>
  <c r="N140" i="167"/>
  <c r="N137" i="167"/>
  <c r="N138" i="167" s="1"/>
  <c r="N144" i="167" s="1"/>
  <c r="N135" i="167"/>
  <c r="N141" i="167" s="1"/>
  <c r="N134" i="167"/>
  <c r="N133" i="167"/>
  <c r="N132" i="167"/>
  <c r="N131" i="167"/>
  <c r="F163" i="683"/>
  <c r="H162" i="683"/>
  <c r="F162" i="683"/>
  <c r="F114" i="683"/>
  <c r="F113" i="683"/>
  <c r="F112" i="683"/>
  <c r="F77" i="683"/>
  <c r="F76" i="683"/>
  <c r="F15" i="683"/>
  <c r="I112" i="683"/>
  <c r="I91" i="683"/>
  <c r="J91" i="683" s="1"/>
  <c r="I88" i="683"/>
  <c r="J88" i="683" s="1"/>
  <c r="F88" i="683"/>
  <c r="I86" i="683"/>
  <c r="J86" i="683" s="1"/>
  <c r="F86" i="683"/>
  <c r="I85" i="683"/>
  <c r="J85" i="683" s="1"/>
  <c r="F85" i="683"/>
  <c r="I60" i="683"/>
  <c r="J60" i="683" s="1"/>
  <c r="I59" i="683"/>
  <c r="J59" i="683" s="1"/>
  <c r="I55" i="683"/>
  <c r="J55" i="683" s="1"/>
  <c r="I53" i="683"/>
  <c r="J53" i="683" s="1"/>
  <c r="I52" i="683"/>
  <c r="D45" i="684" s="1"/>
  <c r="I46" i="248" s="1"/>
  <c r="I161" i="683"/>
  <c r="H161" i="683"/>
  <c r="H160" i="683"/>
  <c r="H159" i="683"/>
  <c r="H158" i="683"/>
  <c r="H123" i="683"/>
  <c r="J118" i="683"/>
  <c r="F102" i="683"/>
  <c r="F101" i="683"/>
  <c r="F99" i="683"/>
  <c r="F94" i="683" s="1"/>
  <c r="F91" i="683"/>
  <c r="F87" i="683"/>
  <c r="G67" i="683"/>
  <c r="AL62" i="683"/>
  <c r="AL57" i="683"/>
  <c r="F57" i="683"/>
  <c r="AL56" i="683"/>
  <c r="AL49" i="683"/>
  <c r="J49" i="683"/>
  <c r="F49" i="683"/>
  <c r="J35" i="683"/>
  <c r="F34" i="683"/>
  <c r="F28" i="683"/>
  <c r="J23" i="683"/>
  <c r="F16" i="683"/>
  <c r="F13" i="683"/>
  <c r="F10" i="683"/>
  <c r="F3" i="683"/>
  <c r="F2" i="683"/>
  <c r="C2" i="683"/>
  <c r="F1" i="683"/>
  <c r="C72" i="682"/>
  <c r="C48" i="682"/>
  <c r="C35" i="682"/>
  <c r="C11" i="682"/>
  <c r="C9" i="682"/>
  <c r="A26" i="682"/>
  <c r="A25" i="682"/>
  <c r="S197" i="167"/>
  <c r="S196" i="167"/>
  <c r="S194" i="167"/>
  <c r="S189" i="167"/>
  <c r="S187" i="167"/>
  <c r="S186" i="167"/>
  <c r="S182" i="167"/>
  <c r="S157" i="167"/>
  <c r="S158" i="167" s="1"/>
  <c r="S159" i="167" s="1"/>
  <c r="S149" i="167"/>
  <c r="S150" i="167" s="1"/>
  <c r="S148" i="167"/>
  <c r="S151" i="167" s="1"/>
  <c r="S140" i="167"/>
  <c r="S137" i="167"/>
  <c r="S135" i="167"/>
  <c r="S141" i="167" s="1"/>
  <c r="S134" i="167"/>
  <c r="S133" i="167"/>
  <c r="S132" i="167"/>
  <c r="S131" i="167"/>
  <c r="W175" i="1"/>
  <c r="W189" i="1"/>
  <c r="W187" i="1"/>
  <c r="W186" i="1"/>
  <c r="W33" i="483"/>
  <c r="X22" i="483"/>
  <c r="AJ55" i="482"/>
  <c r="AL55" i="482" s="1"/>
  <c r="AM55" i="482" s="1"/>
  <c r="H183" i="142"/>
  <c r="H182" i="142"/>
  <c r="I184" i="167"/>
  <c r="G26" i="608" s="1"/>
  <c r="I197" i="167"/>
  <c r="I196" i="167"/>
  <c r="I194" i="167"/>
  <c r="I189" i="167"/>
  <c r="I187" i="167"/>
  <c r="I186" i="167"/>
  <c r="I182" i="167"/>
  <c r="I157" i="167"/>
  <c r="I158" i="167" s="1"/>
  <c r="I159" i="167" s="1"/>
  <c r="I149" i="167"/>
  <c r="I150" i="167" s="1"/>
  <c r="I148" i="167"/>
  <c r="I151" i="167" s="1"/>
  <c r="I140" i="167"/>
  <c r="I137" i="167"/>
  <c r="I135" i="167"/>
  <c r="I141" i="167" s="1"/>
  <c r="I134" i="167"/>
  <c r="I133" i="167"/>
  <c r="I132" i="167"/>
  <c r="I131" i="167"/>
  <c r="I19" i="167"/>
  <c r="I20" i="167" s="1"/>
  <c r="I18" i="167"/>
  <c r="I17" i="167"/>
  <c r="V17" i="467"/>
  <c r="M110" i="1"/>
  <c r="M122" i="1" s="1"/>
  <c r="E30" i="684" l="1"/>
  <c r="F78" i="683"/>
  <c r="Q20" i="687"/>
  <c r="I70" i="687" s="1"/>
  <c r="I18" i="699"/>
  <c r="K18" i="699" s="1"/>
  <c r="M18" i="699" s="1"/>
  <c r="O18" i="699" s="1"/>
  <c r="Q18" i="699" s="1"/>
  <c r="H18" i="699"/>
  <c r="J18" i="699" s="1"/>
  <c r="L18" i="699" s="1"/>
  <c r="N18" i="699" s="1"/>
  <c r="P18" i="699" s="1"/>
  <c r="F19" i="699"/>
  <c r="F19" i="391" s="1"/>
  <c r="G19" i="699"/>
  <c r="G19" i="391" s="1"/>
  <c r="K17" i="699"/>
  <c r="B20" i="699"/>
  <c r="E19" i="699"/>
  <c r="D19" i="699"/>
  <c r="C13" i="695"/>
  <c r="S198" i="167"/>
  <c r="N188" i="167"/>
  <c r="J52" i="683"/>
  <c r="S188" i="167"/>
  <c r="S190" i="167" s="1"/>
  <c r="S191" i="167" s="1"/>
  <c r="S195" i="167" s="1"/>
  <c r="D46" i="684"/>
  <c r="I47" i="248" s="1"/>
  <c r="I188" i="167"/>
  <c r="I190" i="167" s="1"/>
  <c r="I191" i="167" s="1"/>
  <c r="I195" i="167" s="1"/>
  <c r="F92" i="683"/>
  <c r="D51" i="684"/>
  <c r="N152" i="167"/>
  <c r="N153" i="167" s="1"/>
  <c r="N154" i="167" s="1"/>
  <c r="D52" i="684"/>
  <c r="D53" i="684"/>
  <c r="D54" i="684"/>
  <c r="I198" i="167"/>
  <c r="I25" i="248"/>
  <c r="D25" i="684"/>
  <c r="I26" i="248" s="1"/>
  <c r="N142" i="167"/>
  <c r="N143" i="167" s="1"/>
  <c r="I142" i="167"/>
  <c r="I143" i="167" s="1"/>
  <c r="S142" i="167"/>
  <c r="S143" i="167" s="1"/>
  <c r="D9" i="682"/>
  <c r="S152" i="167"/>
  <c r="S153" i="167" s="1"/>
  <c r="S154" i="167" s="1"/>
  <c r="S138" i="167"/>
  <c r="S144" i="167" s="1"/>
  <c r="X33" i="483"/>
  <c r="AK55" i="482"/>
  <c r="I152" i="167"/>
  <c r="I153" i="167" s="1"/>
  <c r="I154" i="167" s="1"/>
  <c r="I138" i="167"/>
  <c r="I144" i="167" s="1"/>
  <c r="C1" i="681"/>
  <c r="D1" i="681" s="1"/>
  <c r="E1" i="681" s="1"/>
  <c r="F1" i="681" s="1"/>
  <c r="G1" i="681" s="1"/>
  <c r="H1" i="681" s="1"/>
  <c r="I1" i="681" s="1"/>
  <c r="J1" i="681" s="1"/>
  <c r="K1" i="681" s="1"/>
  <c r="L1" i="681" s="1"/>
  <c r="M1" i="681" s="1"/>
  <c r="B1017" i="681"/>
  <c r="B1016" i="681"/>
  <c r="B1015" i="681"/>
  <c r="B1014" i="681"/>
  <c r="B1013" i="681"/>
  <c r="B1012" i="681"/>
  <c r="B1011" i="681"/>
  <c r="B1010" i="681"/>
  <c r="B1009" i="681"/>
  <c r="B1008" i="681"/>
  <c r="B1007" i="681"/>
  <c r="B1006" i="681"/>
  <c r="B1005" i="681"/>
  <c r="B1004" i="681"/>
  <c r="B1003" i="681"/>
  <c r="B1002" i="681"/>
  <c r="B1001" i="681"/>
  <c r="B1000" i="681"/>
  <c r="B999" i="681"/>
  <c r="B998" i="681"/>
  <c r="B997" i="681"/>
  <c r="B996" i="681"/>
  <c r="B995" i="681"/>
  <c r="B994" i="681"/>
  <c r="B993" i="681"/>
  <c r="B992" i="681"/>
  <c r="B991" i="681"/>
  <c r="B990" i="681"/>
  <c r="B988" i="681"/>
  <c r="B987" i="681"/>
  <c r="B985" i="681"/>
  <c r="B984" i="681"/>
  <c r="B983" i="681"/>
  <c r="B982" i="681"/>
  <c r="B981" i="681"/>
  <c r="B980" i="681"/>
  <c r="B979" i="681"/>
  <c r="B978" i="681"/>
  <c r="B977" i="681"/>
  <c r="B976" i="681"/>
  <c r="B975" i="681"/>
  <c r="B974" i="681"/>
  <c r="B973" i="681"/>
  <c r="B972" i="681"/>
  <c r="B971" i="681"/>
  <c r="B970" i="681"/>
  <c r="B969" i="681"/>
  <c r="B968" i="681"/>
  <c r="B967" i="681"/>
  <c r="B966" i="681"/>
  <c r="B965" i="681"/>
  <c r="B964" i="681"/>
  <c r="B963" i="681"/>
  <c r="B962" i="681"/>
  <c r="B961" i="681"/>
  <c r="B960" i="681"/>
  <c r="B959" i="681"/>
  <c r="B958" i="681"/>
  <c r="B957" i="681"/>
  <c r="B956" i="681"/>
  <c r="B955" i="681"/>
  <c r="B954" i="681"/>
  <c r="B953" i="681"/>
  <c r="B952" i="681"/>
  <c r="B951" i="681"/>
  <c r="B950" i="681"/>
  <c r="B949" i="681"/>
  <c r="B948" i="681"/>
  <c r="B947" i="681"/>
  <c r="B946" i="681"/>
  <c r="B945" i="681"/>
  <c r="B944" i="681"/>
  <c r="B943" i="681"/>
  <c r="B942" i="681"/>
  <c r="B941" i="681"/>
  <c r="B940" i="681"/>
  <c r="B939" i="681"/>
  <c r="B938" i="681"/>
  <c r="B937" i="681"/>
  <c r="B936" i="681"/>
  <c r="B935" i="681"/>
  <c r="B934" i="681"/>
  <c r="B933" i="681"/>
  <c r="B932" i="681"/>
  <c r="B931" i="681"/>
  <c r="B930" i="681"/>
  <c r="B929" i="681"/>
  <c r="B928" i="681"/>
  <c r="B927" i="681"/>
  <c r="B926" i="681"/>
  <c r="B925" i="681"/>
  <c r="B924" i="681"/>
  <c r="B923" i="681"/>
  <c r="B922" i="681"/>
  <c r="B921" i="681"/>
  <c r="B920" i="681"/>
  <c r="B919" i="681"/>
  <c r="B918" i="681"/>
  <c r="B917" i="681"/>
  <c r="B916" i="681"/>
  <c r="B915" i="681"/>
  <c r="B914" i="681"/>
  <c r="B913" i="681"/>
  <c r="B910" i="681"/>
  <c r="B908" i="681"/>
  <c r="B907" i="681"/>
  <c r="B906" i="681"/>
  <c r="B905" i="681"/>
  <c r="B904" i="681"/>
  <c r="B903" i="681"/>
  <c r="B902" i="681"/>
  <c r="B901" i="681"/>
  <c r="B900" i="681"/>
  <c r="B899" i="681"/>
  <c r="B898" i="681"/>
  <c r="B897" i="681"/>
  <c r="B896" i="681"/>
  <c r="B895" i="681"/>
  <c r="B894" i="681"/>
  <c r="B893" i="681"/>
  <c r="B892" i="681"/>
  <c r="B891" i="681"/>
  <c r="B890" i="681"/>
  <c r="B889" i="681"/>
  <c r="B888" i="681"/>
  <c r="B887" i="681"/>
  <c r="B886" i="681"/>
  <c r="B885" i="681"/>
  <c r="B884" i="681"/>
  <c r="B883" i="681"/>
  <c r="B882" i="681"/>
  <c r="B881" i="681"/>
  <c r="B880" i="681"/>
  <c r="B879" i="681"/>
  <c r="B878" i="681"/>
  <c r="B877" i="681"/>
  <c r="B876" i="681"/>
  <c r="B875" i="681"/>
  <c r="B874" i="681"/>
  <c r="B873" i="681"/>
  <c r="B872" i="681"/>
  <c r="B871" i="681"/>
  <c r="B870" i="681"/>
  <c r="B869" i="681"/>
  <c r="B868" i="681"/>
  <c r="B867" i="681"/>
  <c r="B866" i="681"/>
  <c r="B865" i="681"/>
  <c r="B864" i="681"/>
  <c r="B863" i="681"/>
  <c r="B862" i="681"/>
  <c r="B861" i="681"/>
  <c r="B860" i="681"/>
  <c r="B859" i="681"/>
  <c r="B858" i="681"/>
  <c r="B857" i="681"/>
  <c r="B856" i="681"/>
  <c r="B855" i="681"/>
  <c r="B854" i="681"/>
  <c r="B853" i="681"/>
  <c r="B852" i="681"/>
  <c r="B851" i="681"/>
  <c r="B850" i="681"/>
  <c r="B849" i="681"/>
  <c r="B848" i="681"/>
  <c r="B847" i="681"/>
  <c r="B846" i="681"/>
  <c r="B845" i="681"/>
  <c r="B844" i="681"/>
  <c r="B843" i="681"/>
  <c r="B842" i="681"/>
  <c r="B841" i="681"/>
  <c r="B840" i="681"/>
  <c r="B839" i="681"/>
  <c r="B838" i="681"/>
  <c r="B837" i="681"/>
  <c r="B836" i="681"/>
  <c r="B835" i="681"/>
  <c r="B834" i="681"/>
  <c r="B833" i="681"/>
  <c r="B832" i="681"/>
  <c r="B831" i="681"/>
  <c r="B830" i="681"/>
  <c r="B829" i="681"/>
  <c r="B828" i="681"/>
  <c r="B827" i="681"/>
  <c r="B826" i="681"/>
  <c r="B825" i="681"/>
  <c r="B824" i="681"/>
  <c r="B823" i="681"/>
  <c r="B822" i="681"/>
  <c r="B821" i="681"/>
  <c r="B820" i="681"/>
  <c r="B819" i="681"/>
  <c r="B818" i="681"/>
  <c r="B817" i="681"/>
  <c r="B816" i="681"/>
  <c r="B815" i="681"/>
  <c r="B814" i="681"/>
  <c r="B813" i="681"/>
  <c r="B812" i="681"/>
  <c r="B811" i="681"/>
  <c r="B810" i="681"/>
  <c r="B809" i="681"/>
  <c r="B808" i="681"/>
  <c r="B807" i="681"/>
  <c r="B806" i="681"/>
  <c r="B805" i="681"/>
  <c r="B804" i="681"/>
  <c r="B803" i="681"/>
  <c r="B802" i="681"/>
  <c r="B801" i="681"/>
  <c r="B800" i="681"/>
  <c r="B799" i="681"/>
  <c r="B798" i="681"/>
  <c r="B797" i="681"/>
  <c r="B796" i="681"/>
  <c r="B795" i="681"/>
  <c r="B794" i="681"/>
  <c r="B793" i="681"/>
  <c r="B792" i="681"/>
  <c r="B791" i="681"/>
  <c r="B790" i="681"/>
  <c r="B789" i="681"/>
  <c r="B788" i="681"/>
  <c r="B787" i="681"/>
  <c r="B786" i="681"/>
  <c r="B785" i="681"/>
  <c r="B784" i="681"/>
  <c r="B783" i="681"/>
  <c r="B782" i="681"/>
  <c r="B781" i="681"/>
  <c r="B780" i="681"/>
  <c r="B779" i="681"/>
  <c r="B778" i="681"/>
  <c r="B777" i="681"/>
  <c r="B776" i="681"/>
  <c r="B775" i="681"/>
  <c r="B774" i="681"/>
  <c r="B773" i="681"/>
  <c r="B772" i="681"/>
  <c r="B771" i="681"/>
  <c r="B770" i="681"/>
  <c r="B769" i="681"/>
  <c r="B768" i="681"/>
  <c r="B767" i="681"/>
  <c r="B766" i="681"/>
  <c r="B765" i="681"/>
  <c r="B764" i="681"/>
  <c r="B763" i="681"/>
  <c r="B762" i="681"/>
  <c r="B761" i="681"/>
  <c r="B760" i="681"/>
  <c r="B759" i="681"/>
  <c r="B758" i="681"/>
  <c r="B757" i="681"/>
  <c r="B756" i="681"/>
  <c r="B755" i="681"/>
  <c r="B754" i="681"/>
  <c r="B753" i="681"/>
  <c r="B752" i="681"/>
  <c r="B751" i="681"/>
  <c r="B750" i="681"/>
  <c r="B749" i="681"/>
  <c r="B748" i="681"/>
  <c r="B747" i="681"/>
  <c r="B746" i="681"/>
  <c r="B745" i="681"/>
  <c r="B744" i="681"/>
  <c r="B743" i="681"/>
  <c r="B742" i="681"/>
  <c r="B741" i="681"/>
  <c r="B740" i="681"/>
  <c r="B739" i="681"/>
  <c r="B738" i="681"/>
  <c r="B737" i="681"/>
  <c r="B736" i="681"/>
  <c r="B735" i="681"/>
  <c r="B734" i="681"/>
  <c r="B733" i="681"/>
  <c r="B732" i="681"/>
  <c r="B731" i="681"/>
  <c r="B730" i="681"/>
  <c r="B729" i="681"/>
  <c r="B728" i="681"/>
  <c r="B727" i="681"/>
  <c r="B726" i="681"/>
  <c r="B725" i="681"/>
  <c r="B724" i="681"/>
  <c r="B723" i="681"/>
  <c r="B722" i="681"/>
  <c r="B721" i="681"/>
  <c r="B720" i="681"/>
  <c r="B719" i="681"/>
  <c r="B718" i="681"/>
  <c r="B717" i="681"/>
  <c r="B716" i="681"/>
  <c r="B715" i="681"/>
  <c r="B714" i="681"/>
  <c r="B713" i="681"/>
  <c r="B712" i="681"/>
  <c r="B711" i="681"/>
  <c r="B710" i="681"/>
  <c r="B709" i="681"/>
  <c r="B708" i="681"/>
  <c r="B707" i="681"/>
  <c r="B706" i="681"/>
  <c r="B705" i="681"/>
  <c r="B704" i="681"/>
  <c r="B703" i="681"/>
  <c r="B702" i="681"/>
  <c r="B701" i="681"/>
  <c r="B700" i="681"/>
  <c r="B699" i="681"/>
  <c r="B698" i="681"/>
  <c r="B697" i="681"/>
  <c r="B696" i="681"/>
  <c r="B695" i="681"/>
  <c r="B694" i="681"/>
  <c r="B693" i="681"/>
  <c r="B692" i="681"/>
  <c r="B691" i="681"/>
  <c r="B690" i="681"/>
  <c r="B689" i="681"/>
  <c r="B688" i="681"/>
  <c r="B687" i="681"/>
  <c r="B686" i="681"/>
  <c r="B685" i="681"/>
  <c r="B684" i="681"/>
  <c r="B683" i="681"/>
  <c r="B682" i="681"/>
  <c r="B681" i="681"/>
  <c r="B680" i="681"/>
  <c r="B679" i="681"/>
  <c r="B678" i="681"/>
  <c r="B677" i="681"/>
  <c r="B676" i="681"/>
  <c r="B675" i="681"/>
  <c r="B674" i="681"/>
  <c r="B673" i="681"/>
  <c r="B672" i="681"/>
  <c r="B671" i="681"/>
  <c r="B670" i="681"/>
  <c r="B669" i="681"/>
  <c r="B668" i="681"/>
  <c r="B667" i="681"/>
  <c r="B666" i="681"/>
  <c r="B665" i="681"/>
  <c r="B664" i="681"/>
  <c r="B663" i="681"/>
  <c r="B662" i="681"/>
  <c r="B661" i="681"/>
  <c r="B660" i="681"/>
  <c r="B659" i="681"/>
  <c r="B658" i="681"/>
  <c r="B657" i="681"/>
  <c r="B656" i="681"/>
  <c r="B655" i="681"/>
  <c r="B654" i="681"/>
  <c r="B653" i="681"/>
  <c r="B652" i="681"/>
  <c r="B651" i="681"/>
  <c r="B650" i="681"/>
  <c r="B649" i="681"/>
  <c r="B648" i="681"/>
  <c r="B647" i="681"/>
  <c r="B646" i="681"/>
  <c r="B645" i="681"/>
  <c r="B644" i="681"/>
  <c r="B643" i="681"/>
  <c r="B642" i="681"/>
  <c r="B641" i="681"/>
  <c r="B640" i="681"/>
  <c r="B639" i="681"/>
  <c r="B638" i="681"/>
  <c r="B637" i="681"/>
  <c r="B636" i="681"/>
  <c r="B635" i="681"/>
  <c r="B634" i="681"/>
  <c r="B633" i="681"/>
  <c r="B632" i="681"/>
  <c r="B631" i="681"/>
  <c r="B630" i="681"/>
  <c r="B629" i="681"/>
  <c r="B628" i="681"/>
  <c r="B627" i="681"/>
  <c r="B626" i="681"/>
  <c r="B625" i="681"/>
  <c r="B624" i="681"/>
  <c r="B623" i="681"/>
  <c r="B622" i="681"/>
  <c r="B621" i="681"/>
  <c r="B620" i="681"/>
  <c r="B619" i="681"/>
  <c r="B618" i="681"/>
  <c r="B617" i="681"/>
  <c r="B616" i="681"/>
  <c r="B615" i="681"/>
  <c r="B614" i="681"/>
  <c r="B613" i="681"/>
  <c r="B612" i="681"/>
  <c r="B611" i="681"/>
  <c r="B610" i="681"/>
  <c r="B609" i="681"/>
  <c r="B608" i="681"/>
  <c r="B607" i="681"/>
  <c r="B606" i="681"/>
  <c r="B605" i="681"/>
  <c r="B604" i="681"/>
  <c r="B603" i="681"/>
  <c r="B602" i="681"/>
  <c r="B601" i="681"/>
  <c r="B600" i="681"/>
  <c r="B599" i="681"/>
  <c r="B598" i="681"/>
  <c r="B597" i="681"/>
  <c r="B596" i="681"/>
  <c r="B595" i="681"/>
  <c r="B594" i="681"/>
  <c r="B593" i="681"/>
  <c r="B592" i="681"/>
  <c r="B591" i="681"/>
  <c r="B590" i="681"/>
  <c r="B589" i="681"/>
  <c r="B588" i="681"/>
  <c r="B587" i="681"/>
  <c r="B586" i="681"/>
  <c r="B585" i="681"/>
  <c r="B584" i="681"/>
  <c r="B583" i="681"/>
  <c r="B582" i="681"/>
  <c r="B581" i="681"/>
  <c r="B580" i="681"/>
  <c r="B579" i="681"/>
  <c r="B578" i="681"/>
  <c r="B577" i="681"/>
  <c r="B576" i="681"/>
  <c r="B575" i="681"/>
  <c r="B574" i="681"/>
  <c r="B573" i="681"/>
  <c r="B572" i="681"/>
  <c r="B571" i="681"/>
  <c r="B570" i="681"/>
  <c r="B569" i="681"/>
  <c r="B568" i="681"/>
  <c r="B567" i="681"/>
  <c r="B566" i="681"/>
  <c r="B564" i="681"/>
  <c r="B563" i="681"/>
  <c r="B562" i="681"/>
  <c r="B561" i="681"/>
  <c r="B560" i="681"/>
  <c r="B559" i="681"/>
  <c r="B558" i="681"/>
  <c r="B557" i="681"/>
  <c r="B556" i="681"/>
  <c r="B555" i="681"/>
  <c r="B554" i="681"/>
  <c r="B553" i="681"/>
  <c r="B552" i="681"/>
  <c r="B551" i="681"/>
  <c r="B550" i="681"/>
  <c r="B549" i="681"/>
  <c r="B548" i="681"/>
  <c r="B547" i="681"/>
  <c r="B546" i="681"/>
  <c r="B545" i="681"/>
  <c r="B544" i="681"/>
  <c r="B543" i="681"/>
  <c r="B542" i="681"/>
  <c r="B541" i="681"/>
  <c r="B540" i="681"/>
  <c r="B539" i="681"/>
  <c r="B538" i="681"/>
  <c r="B537" i="681"/>
  <c r="B536" i="681"/>
  <c r="B535" i="681"/>
  <c r="B534" i="681"/>
  <c r="B533" i="681"/>
  <c r="B532" i="681"/>
  <c r="B531" i="681"/>
  <c r="B530" i="681"/>
  <c r="B529" i="681"/>
  <c r="B528" i="681"/>
  <c r="B527" i="681"/>
  <c r="B526" i="681"/>
  <c r="B525" i="681"/>
  <c r="B524" i="681"/>
  <c r="B523" i="681"/>
  <c r="B522" i="681"/>
  <c r="B521" i="681"/>
  <c r="B520" i="681"/>
  <c r="B519" i="681"/>
  <c r="B518" i="681"/>
  <c r="B517" i="681"/>
  <c r="B516" i="681"/>
  <c r="B515" i="681"/>
  <c r="B514" i="681"/>
  <c r="B513" i="681"/>
  <c r="B512" i="681"/>
  <c r="B511" i="681"/>
  <c r="B510" i="681"/>
  <c r="B509" i="681"/>
  <c r="B508" i="681"/>
  <c r="B507" i="681"/>
  <c r="B506" i="681"/>
  <c r="B505" i="681"/>
  <c r="B504" i="681"/>
  <c r="B503" i="681"/>
  <c r="B502" i="681"/>
  <c r="B501" i="681"/>
  <c r="B500" i="681"/>
  <c r="B499" i="681"/>
  <c r="B498" i="681"/>
  <c r="B497" i="681"/>
  <c r="B496" i="681"/>
  <c r="B495" i="681"/>
  <c r="B494" i="681"/>
  <c r="B493" i="681"/>
  <c r="B492" i="681"/>
  <c r="B491" i="681"/>
  <c r="B490" i="681"/>
  <c r="B489" i="681"/>
  <c r="B488" i="681"/>
  <c r="B487" i="681"/>
  <c r="B486" i="681"/>
  <c r="B485" i="681"/>
  <c r="B484" i="681"/>
  <c r="B483" i="681"/>
  <c r="B482" i="681"/>
  <c r="B481" i="681"/>
  <c r="B480" i="681"/>
  <c r="B479" i="681"/>
  <c r="B478" i="681"/>
  <c r="B477" i="681"/>
  <c r="B476" i="681"/>
  <c r="B475" i="681"/>
  <c r="B474" i="681"/>
  <c r="B473" i="681"/>
  <c r="B472" i="681"/>
  <c r="B471" i="681"/>
  <c r="B470" i="681"/>
  <c r="B469" i="681"/>
  <c r="B468" i="681"/>
  <c r="B467" i="681"/>
  <c r="B466" i="681"/>
  <c r="B465" i="681"/>
  <c r="B464" i="681"/>
  <c r="B463" i="681"/>
  <c r="B462" i="681"/>
  <c r="B461" i="681"/>
  <c r="B460" i="681"/>
  <c r="B459" i="681"/>
  <c r="B458" i="681"/>
  <c r="B457" i="681"/>
  <c r="B456" i="681"/>
  <c r="B455" i="681"/>
  <c r="B454" i="681"/>
  <c r="B453" i="681"/>
  <c r="B452" i="681"/>
  <c r="B451" i="681"/>
  <c r="B450" i="681"/>
  <c r="B449" i="681"/>
  <c r="B448" i="681"/>
  <c r="B447" i="681"/>
  <c r="B446" i="681"/>
  <c r="B445" i="681"/>
  <c r="B444" i="681"/>
  <c r="B443" i="681"/>
  <c r="B442" i="681"/>
  <c r="B441" i="681"/>
  <c r="B440" i="681"/>
  <c r="B439" i="681"/>
  <c r="B438" i="681"/>
  <c r="B437" i="681"/>
  <c r="B436" i="681"/>
  <c r="B435" i="681"/>
  <c r="B434" i="681"/>
  <c r="B433" i="681"/>
  <c r="B432" i="681"/>
  <c r="B431" i="681"/>
  <c r="B430" i="681"/>
  <c r="B429" i="681"/>
  <c r="B428" i="681"/>
  <c r="B427" i="681"/>
  <c r="B426" i="681"/>
  <c r="B425" i="681"/>
  <c r="B424" i="681"/>
  <c r="B423" i="681"/>
  <c r="B422" i="681"/>
  <c r="B421" i="681"/>
  <c r="B420" i="681"/>
  <c r="B419" i="681"/>
  <c r="B418" i="681"/>
  <c r="B417" i="681"/>
  <c r="B416" i="681"/>
  <c r="B415" i="681"/>
  <c r="B414" i="681"/>
  <c r="B413" i="681"/>
  <c r="B412" i="681"/>
  <c r="B411" i="681"/>
  <c r="B410" i="681"/>
  <c r="B409" i="681"/>
  <c r="B408" i="681"/>
  <c r="B407" i="681"/>
  <c r="B406" i="681"/>
  <c r="B405" i="681"/>
  <c r="B404" i="681"/>
  <c r="B403" i="681"/>
  <c r="B402" i="681"/>
  <c r="B401" i="681"/>
  <c r="B400" i="681"/>
  <c r="B399" i="681"/>
  <c r="B398" i="681"/>
  <c r="B397" i="681"/>
  <c r="B396" i="681"/>
  <c r="B395" i="681"/>
  <c r="B394" i="681"/>
  <c r="B393" i="681"/>
  <c r="B392" i="681"/>
  <c r="B391" i="681"/>
  <c r="B390" i="681"/>
  <c r="B389" i="681"/>
  <c r="B388" i="681"/>
  <c r="B387" i="681"/>
  <c r="B386" i="681"/>
  <c r="B385" i="681"/>
  <c r="B384" i="681"/>
  <c r="B383" i="681"/>
  <c r="B382" i="681"/>
  <c r="B381" i="681"/>
  <c r="B380" i="681"/>
  <c r="B379" i="681"/>
  <c r="B378" i="681"/>
  <c r="B377" i="681"/>
  <c r="B376" i="681"/>
  <c r="B375" i="681"/>
  <c r="B374" i="681"/>
  <c r="B373" i="681"/>
  <c r="B372" i="681"/>
  <c r="B371" i="681"/>
  <c r="B370" i="681"/>
  <c r="B369" i="681"/>
  <c r="B368" i="681"/>
  <c r="B367" i="681"/>
  <c r="B366" i="681"/>
  <c r="B365" i="681"/>
  <c r="B364" i="681"/>
  <c r="B363" i="681"/>
  <c r="B362" i="681"/>
  <c r="B361" i="681"/>
  <c r="B360" i="681"/>
  <c r="B359" i="681"/>
  <c r="B358" i="681"/>
  <c r="B357" i="681"/>
  <c r="B356" i="681"/>
  <c r="B355" i="681"/>
  <c r="B354" i="681"/>
  <c r="B353" i="681"/>
  <c r="B352" i="681"/>
  <c r="B351" i="681"/>
  <c r="B350" i="681"/>
  <c r="B349" i="681"/>
  <c r="B348" i="681"/>
  <c r="B347" i="681"/>
  <c r="B346" i="681"/>
  <c r="B345" i="681"/>
  <c r="B344" i="681"/>
  <c r="B343" i="681"/>
  <c r="B342" i="681"/>
  <c r="B341" i="681"/>
  <c r="B340" i="681"/>
  <c r="B339" i="681"/>
  <c r="B338" i="681"/>
  <c r="B337" i="681"/>
  <c r="B336" i="681"/>
  <c r="B335" i="681"/>
  <c r="B334" i="681"/>
  <c r="B333" i="681"/>
  <c r="B332" i="681"/>
  <c r="B331" i="681"/>
  <c r="B330" i="681"/>
  <c r="B329" i="681"/>
  <c r="B328" i="681"/>
  <c r="B327" i="681"/>
  <c r="B326" i="681"/>
  <c r="B325" i="681"/>
  <c r="B324" i="681"/>
  <c r="B323" i="681"/>
  <c r="B322" i="681"/>
  <c r="B321" i="681"/>
  <c r="B320" i="681"/>
  <c r="B319" i="681"/>
  <c r="B318" i="681"/>
  <c r="B317" i="681"/>
  <c r="B316" i="681"/>
  <c r="B315" i="681"/>
  <c r="B314" i="681"/>
  <c r="B313" i="681"/>
  <c r="B312" i="681"/>
  <c r="B311" i="681"/>
  <c r="B310" i="681"/>
  <c r="B309" i="681"/>
  <c r="B308" i="681"/>
  <c r="B307" i="681"/>
  <c r="B306" i="681"/>
  <c r="B305" i="681"/>
  <c r="B304" i="681"/>
  <c r="B303" i="681"/>
  <c r="B302" i="681"/>
  <c r="B301" i="681"/>
  <c r="B300" i="681"/>
  <c r="B299" i="681"/>
  <c r="B298" i="681"/>
  <c r="B297" i="681"/>
  <c r="B296" i="681"/>
  <c r="B295" i="681"/>
  <c r="B294" i="681"/>
  <c r="B293" i="681"/>
  <c r="B292" i="681"/>
  <c r="B291" i="681"/>
  <c r="B290" i="681"/>
  <c r="B289" i="681"/>
  <c r="B288" i="681"/>
  <c r="B287" i="681"/>
  <c r="B286" i="681"/>
  <c r="B285" i="681"/>
  <c r="B284" i="681"/>
  <c r="B283" i="681"/>
  <c r="B282" i="681"/>
  <c r="B281" i="681"/>
  <c r="B280" i="681"/>
  <c r="B279" i="681"/>
  <c r="B278" i="681"/>
  <c r="B277" i="681"/>
  <c r="B276" i="681"/>
  <c r="B275" i="681"/>
  <c r="B274" i="681"/>
  <c r="B273" i="681"/>
  <c r="B272" i="681"/>
  <c r="B271" i="681"/>
  <c r="B270" i="681"/>
  <c r="B269" i="681"/>
  <c r="B268" i="681"/>
  <c r="B267" i="681"/>
  <c r="B266" i="681"/>
  <c r="B265" i="681"/>
  <c r="B264" i="681"/>
  <c r="B263" i="681"/>
  <c r="B262" i="681"/>
  <c r="B261" i="681"/>
  <c r="B260" i="681"/>
  <c r="B259" i="681"/>
  <c r="B258" i="681"/>
  <c r="B257" i="681"/>
  <c r="B256" i="681"/>
  <c r="B255" i="681"/>
  <c r="B254" i="681"/>
  <c r="B253" i="681"/>
  <c r="B252" i="681"/>
  <c r="B251" i="681"/>
  <c r="B250" i="681"/>
  <c r="B249" i="681"/>
  <c r="B248" i="681"/>
  <c r="B247" i="681"/>
  <c r="B246" i="681"/>
  <c r="B245" i="681"/>
  <c r="B244" i="681"/>
  <c r="B243" i="681"/>
  <c r="B242" i="681"/>
  <c r="B241" i="681"/>
  <c r="B240" i="681"/>
  <c r="B239" i="681"/>
  <c r="B238" i="681"/>
  <c r="B237" i="681"/>
  <c r="B236" i="681"/>
  <c r="B235" i="681"/>
  <c r="B234" i="681"/>
  <c r="B233" i="681"/>
  <c r="B232" i="681"/>
  <c r="B231" i="681"/>
  <c r="B230" i="681"/>
  <c r="B229" i="681"/>
  <c r="B228" i="681"/>
  <c r="B227" i="681"/>
  <c r="B226" i="681"/>
  <c r="B225" i="681"/>
  <c r="B224" i="681"/>
  <c r="B223" i="681"/>
  <c r="B222" i="681"/>
  <c r="B221" i="681"/>
  <c r="B220" i="681"/>
  <c r="B219" i="681"/>
  <c r="B218" i="681"/>
  <c r="B217" i="681"/>
  <c r="B216" i="681"/>
  <c r="B215" i="681"/>
  <c r="B214" i="681"/>
  <c r="B213" i="681"/>
  <c r="B212" i="681"/>
  <c r="B211" i="681"/>
  <c r="B210" i="681"/>
  <c r="B209" i="681"/>
  <c r="B208" i="681"/>
  <c r="B207" i="681"/>
  <c r="B206" i="681"/>
  <c r="B205" i="681"/>
  <c r="B204" i="681"/>
  <c r="B203" i="681"/>
  <c r="B202" i="681"/>
  <c r="B201" i="681"/>
  <c r="B200" i="681"/>
  <c r="B199" i="681"/>
  <c r="B198" i="681"/>
  <c r="B197" i="681"/>
  <c r="B196" i="681"/>
  <c r="B195" i="681"/>
  <c r="B194" i="681"/>
  <c r="B193" i="681"/>
  <c r="B192" i="681"/>
  <c r="B191" i="681"/>
  <c r="B190" i="681"/>
  <c r="B189" i="681"/>
  <c r="B188" i="681"/>
  <c r="B187" i="681"/>
  <c r="B186" i="681"/>
  <c r="B183" i="681"/>
  <c r="B182" i="681"/>
  <c r="B181" i="681"/>
  <c r="B180" i="681"/>
  <c r="B179" i="681"/>
  <c r="B178" i="681"/>
  <c r="B177" i="681"/>
  <c r="B176" i="681"/>
  <c r="B175" i="681"/>
  <c r="B174" i="681"/>
  <c r="B173" i="681"/>
  <c r="B172" i="681"/>
  <c r="B171" i="681"/>
  <c r="B170" i="681"/>
  <c r="B169" i="681"/>
  <c r="B168" i="681"/>
  <c r="B167" i="681"/>
  <c r="B166" i="681"/>
  <c r="B165" i="681"/>
  <c r="B164" i="681"/>
  <c r="B163" i="681"/>
  <c r="B162" i="681"/>
  <c r="B161" i="681"/>
  <c r="B160" i="681"/>
  <c r="B159" i="681"/>
  <c r="B158" i="681"/>
  <c r="B157" i="681"/>
  <c r="B156" i="681"/>
  <c r="B155" i="681"/>
  <c r="B154" i="681"/>
  <c r="B153" i="681"/>
  <c r="B152" i="681"/>
  <c r="B151" i="681"/>
  <c r="B150" i="681"/>
  <c r="B149" i="681"/>
  <c r="B148" i="681"/>
  <c r="B147" i="681"/>
  <c r="B146" i="681"/>
  <c r="B145" i="681"/>
  <c r="B144" i="681"/>
  <c r="B143" i="681"/>
  <c r="B142" i="681"/>
  <c r="B141" i="681"/>
  <c r="B140" i="681"/>
  <c r="B139" i="681"/>
  <c r="B138" i="681"/>
  <c r="B137" i="681"/>
  <c r="B136" i="681"/>
  <c r="B135" i="681"/>
  <c r="B134" i="681"/>
  <c r="B133" i="681"/>
  <c r="B132" i="681"/>
  <c r="B131" i="681"/>
  <c r="B130" i="681"/>
  <c r="B129" i="681"/>
  <c r="B128" i="681"/>
  <c r="B127" i="681"/>
  <c r="B126" i="681"/>
  <c r="B125" i="681"/>
  <c r="B124" i="681"/>
  <c r="B123" i="681"/>
  <c r="B122" i="681"/>
  <c r="B121" i="681"/>
  <c r="B120" i="681"/>
  <c r="B119" i="681"/>
  <c r="B118" i="681"/>
  <c r="B117" i="681"/>
  <c r="B116" i="681"/>
  <c r="B115" i="681"/>
  <c r="B114" i="681"/>
  <c r="B113" i="681"/>
  <c r="B112" i="681"/>
  <c r="B111" i="681"/>
  <c r="B110" i="681"/>
  <c r="B109" i="681"/>
  <c r="B108" i="681"/>
  <c r="B107" i="681"/>
  <c r="B106" i="681"/>
  <c r="B105" i="681"/>
  <c r="B104" i="681"/>
  <c r="B103" i="681"/>
  <c r="B102" i="681"/>
  <c r="B101" i="681"/>
  <c r="B100" i="681"/>
  <c r="B99" i="681"/>
  <c r="B98" i="681"/>
  <c r="B97" i="681"/>
  <c r="B96" i="681"/>
  <c r="B95" i="681"/>
  <c r="B94" i="681"/>
  <c r="B93" i="681"/>
  <c r="B92" i="681"/>
  <c r="B91" i="681"/>
  <c r="B90" i="681"/>
  <c r="B89" i="681"/>
  <c r="B88" i="681"/>
  <c r="B87" i="681"/>
  <c r="B86" i="681"/>
  <c r="B85" i="681"/>
  <c r="B84" i="681"/>
  <c r="B83" i="681"/>
  <c r="B82" i="681"/>
  <c r="B81" i="681"/>
  <c r="B80" i="681"/>
  <c r="B79" i="681"/>
  <c r="B78" i="681"/>
  <c r="B77" i="681"/>
  <c r="B76" i="681"/>
  <c r="B75" i="681"/>
  <c r="B74" i="681"/>
  <c r="B73" i="681"/>
  <c r="B72" i="681"/>
  <c r="B71" i="681"/>
  <c r="B70" i="681"/>
  <c r="B69" i="681"/>
  <c r="B68" i="681"/>
  <c r="B67" i="681"/>
  <c r="B66" i="681"/>
  <c r="B65" i="681"/>
  <c r="B64" i="681"/>
  <c r="B63" i="681"/>
  <c r="B62" i="681"/>
  <c r="B61" i="681"/>
  <c r="B60" i="681"/>
  <c r="B59" i="681"/>
  <c r="B58" i="681"/>
  <c r="B57" i="681"/>
  <c r="B56" i="681"/>
  <c r="B55" i="681"/>
  <c r="B54" i="681"/>
  <c r="B53" i="681"/>
  <c r="B52" i="681"/>
  <c r="B51" i="681"/>
  <c r="B50" i="681"/>
  <c r="B49" i="681"/>
  <c r="B48" i="681"/>
  <c r="B47" i="681"/>
  <c r="B46" i="681"/>
  <c r="B45" i="681"/>
  <c r="B44" i="681"/>
  <c r="B43" i="681"/>
  <c r="B42" i="681"/>
  <c r="B41" i="681"/>
  <c r="B40" i="681"/>
  <c r="B39" i="681"/>
  <c r="B38" i="681"/>
  <c r="B37" i="681"/>
  <c r="B36" i="681"/>
  <c r="B35" i="681"/>
  <c r="B34" i="681"/>
  <c r="B33" i="681"/>
  <c r="B32" i="681"/>
  <c r="B31" i="681"/>
  <c r="B30" i="681"/>
  <c r="B29" i="681"/>
  <c r="B28" i="681"/>
  <c r="B27" i="681"/>
  <c r="B26" i="681"/>
  <c r="B25" i="681"/>
  <c r="B24" i="681"/>
  <c r="B23" i="681"/>
  <c r="B22" i="681"/>
  <c r="B21" i="681"/>
  <c r="B20" i="681"/>
  <c r="B19" i="681"/>
  <c r="B18" i="681"/>
  <c r="B17" i="681"/>
  <c r="B16" i="681"/>
  <c r="B15" i="681"/>
  <c r="B14" i="681"/>
  <c r="B13" i="681"/>
  <c r="B12" i="681"/>
  <c r="B11" i="681"/>
  <c r="B10" i="681"/>
  <c r="B9" i="681"/>
  <c r="B8" i="681"/>
  <c r="B7" i="681"/>
  <c r="B6" i="681"/>
  <c r="B5" i="681"/>
  <c r="B4" i="681"/>
  <c r="B3" i="681"/>
  <c r="I19" i="699" l="1"/>
  <c r="K19" i="699" s="1"/>
  <c r="M19" i="699" s="1"/>
  <c r="O19" i="699" s="1"/>
  <c r="Q19" i="699" s="1"/>
  <c r="H19" i="699"/>
  <c r="J19" i="699" s="1"/>
  <c r="L19" i="699" s="1"/>
  <c r="N19" i="699" s="1"/>
  <c r="P19" i="699" s="1"/>
  <c r="G20" i="699"/>
  <c r="G20" i="391" s="1"/>
  <c r="F20" i="699"/>
  <c r="F20" i="391" s="1"/>
  <c r="B21" i="699"/>
  <c r="E20" i="699"/>
  <c r="D20" i="699"/>
  <c r="M17" i="699"/>
  <c r="S199" i="167"/>
  <c r="I199" i="167"/>
  <c r="I53" i="248"/>
  <c r="K28" i="227"/>
  <c r="D71" i="691"/>
  <c r="K25" i="227"/>
  <c r="I52" i="248"/>
  <c r="I55" i="248"/>
  <c r="K27" i="227"/>
  <c r="K26" i="227"/>
  <c r="I54" i="248"/>
  <c r="E9" i="682"/>
  <c r="Y33" i="483"/>
  <c r="D27" i="629"/>
  <c r="D26" i="629"/>
  <c r="D27" i="558"/>
  <c r="D26" i="558"/>
  <c r="D27" i="539"/>
  <c r="D26" i="539"/>
  <c r="D26" i="538"/>
  <c r="D27" i="538"/>
  <c r="I20" i="699" l="1"/>
  <c r="K20" i="699" s="1"/>
  <c r="M20" i="699" s="1"/>
  <c r="O20" i="699" s="1"/>
  <c r="Q20" i="699" s="1"/>
  <c r="H20" i="699"/>
  <c r="J20" i="699" s="1"/>
  <c r="L20" i="699" s="1"/>
  <c r="N20" i="699" s="1"/>
  <c r="P20" i="699" s="1"/>
  <c r="G21" i="699"/>
  <c r="G21" i="391" s="1"/>
  <c r="F21" i="699"/>
  <c r="F21" i="391" s="1"/>
  <c r="O17" i="699"/>
  <c r="D21" i="699"/>
  <c r="E21" i="699"/>
  <c r="B22" i="699"/>
  <c r="B3" i="1"/>
  <c r="C3" i="683" s="1"/>
  <c r="I21" i="699" l="1"/>
  <c r="K21" i="699" s="1"/>
  <c r="M21" i="699" s="1"/>
  <c r="G22" i="699"/>
  <c r="G22" i="391" s="1"/>
  <c r="F22" i="699"/>
  <c r="F22" i="391" s="1"/>
  <c r="H21" i="699"/>
  <c r="J21" i="699" s="1"/>
  <c r="L21" i="699" s="1"/>
  <c r="N21" i="699" s="1"/>
  <c r="P21" i="699" s="1"/>
  <c r="E22" i="699"/>
  <c r="D22" i="699"/>
  <c r="B23" i="699"/>
  <c r="Q17" i="699"/>
  <c r="H1016" i="638"/>
  <c r="H1015" i="638"/>
  <c r="H1014" i="638"/>
  <c r="H1013" i="638"/>
  <c r="H1012" i="638"/>
  <c r="H1011" i="638"/>
  <c r="H1010" i="638"/>
  <c r="H1009" i="638"/>
  <c r="H1008" i="638"/>
  <c r="H1007" i="638"/>
  <c r="H1006" i="638"/>
  <c r="H1005" i="638"/>
  <c r="H1004" i="638"/>
  <c r="H1003" i="638"/>
  <c r="H1002" i="638"/>
  <c r="H1001" i="638"/>
  <c r="H1000" i="638"/>
  <c r="H999" i="638"/>
  <c r="H998" i="638"/>
  <c r="H997" i="638"/>
  <c r="H996" i="638"/>
  <c r="H995" i="638"/>
  <c r="H994" i="638"/>
  <c r="H993" i="638"/>
  <c r="H992" i="638"/>
  <c r="H991" i="638"/>
  <c r="H990" i="638"/>
  <c r="H989" i="638"/>
  <c r="H988" i="638"/>
  <c r="H987" i="638"/>
  <c r="H986" i="638"/>
  <c r="H985" i="638"/>
  <c r="H984" i="638"/>
  <c r="H983" i="638"/>
  <c r="H982" i="638"/>
  <c r="H981" i="638"/>
  <c r="H980" i="638"/>
  <c r="H979" i="638"/>
  <c r="H978" i="638"/>
  <c r="H977" i="638"/>
  <c r="H976" i="638"/>
  <c r="H975" i="638"/>
  <c r="H974" i="638"/>
  <c r="H973" i="638"/>
  <c r="H972" i="638"/>
  <c r="H971" i="638"/>
  <c r="H970" i="638"/>
  <c r="H969" i="638"/>
  <c r="H968" i="638"/>
  <c r="H967" i="638"/>
  <c r="H966" i="638"/>
  <c r="H965" i="638"/>
  <c r="H964" i="638"/>
  <c r="H963" i="638"/>
  <c r="H962" i="638"/>
  <c r="H961" i="638"/>
  <c r="H960" i="638"/>
  <c r="H959" i="638"/>
  <c r="H958" i="638"/>
  <c r="H957" i="638"/>
  <c r="H956" i="638"/>
  <c r="H955" i="638"/>
  <c r="H954" i="638"/>
  <c r="H953" i="638"/>
  <c r="H952" i="638"/>
  <c r="H951" i="638"/>
  <c r="H950" i="638"/>
  <c r="H949" i="638"/>
  <c r="H948" i="638"/>
  <c r="H947" i="638"/>
  <c r="H946" i="638"/>
  <c r="H945" i="638"/>
  <c r="H944" i="638"/>
  <c r="H943" i="638"/>
  <c r="H942" i="638"/>
  <c r="H941" i="638"/>
  <c r="H940" i="638"/>
  <c r="H939" i="638"/>
  <c r="H938" i="638"/>
  <c r="H937" i="638"/>
  <c r="H936" i="638"/>
  <c r="H935" i="638"/>
  <c r="H934" i="638"/>
  <c r="H933" i="638"/>
  <c r="H932" i="638"/>
  <c r="H931" i="638"/>
  <c r="H930" i="638"/>
  <c r="H929" i="638"/>
  <c r="H928" i="638"/>
  <c r="H927" i="638"/>
  <c r="H926" i="638"/>
  <c r="H925" i="638"/>
  <c r="H924" i="638"/>
  <c r="H923" i="638"/>
  <c r="H922" i="638"/>
  <c r="H921" i="638"/>
  <c r="H920" i="638"/>
  <c r="H919" i="638"/>
  <c r="H918" i="638"/>
  <c r="H917" i="638"/>
  <c r="H916" i="638"/>
  <c r="H915" i="638"/>
  <c r="H914" i="638"/>
  <c r="H913" i="638"/>
  <c r="H912" i="638"/>
  <c r="H911" i="638"/>
  <c r="H910" i="638"/>
  <c r="H909" i="638"/>
  <c r="H908" i="638"/>
  <c r="H907" i="638"/>
  <c r="H906" i="638"/>
  <c r="H905" i="638"/>
  <c r="H904" i="638"/>
  <c r="H903" i="638"/>
  <c r="H902" i="638"/>
  <c r="H901" i="638"/>
  <c r="H900" i="638"/>
  <c r="H899" i="638"/>
  <c r="H898" i="638"/>
  <c r="H897" i="638"/>
  <c r="H896" i="638"/>
  <c r="H895" i="638"/>
  <c r="H894" i="638"/>
  <c r="H893" i="638"/>
  <c r="H892" i="638"/>
  <c r="H891" i="638"/>
  <c r="H890" i="638"/>
  <c r="H889" i="638"/>
  <c r="H888" i="638"/>
  <c r="H887" i="638"/>
  <c r="H886" i="638"/>
  <c r="H885" i="638"/>
  <c r="H884" i="638"/>
  <c r="H883" i="638"/>
  <c r="H882" i="638"/>
  <c r="H881" i="638"/>
  <c r="H880" i="638"/>
  <c r="H879" i="638"/>
  <c r="H878" i="638"/>
  <c r="H877" i="638"/>
  <c r="H876" i="638"/>
  <c r="H875" i="638"/>
  <c r="H874" i="638"/>
  <c r="H873" i="638"/>
  <c r="H872" i="638"/>
  <c r="H871" i="638"/>
  <c r="H870" i="638"/>
  <c r="H869" i="638"/>
  <c r="H868" i="638"/>
  <c r="H867" i="638"/>
  <c r="H866" i="638"/>
  <c r="H865" i="638"/>
  <c r="H864" i="638"/>
  <c r="H863" i="638"/>
  <c r="H862" i="638"/>
  <c r="H861" i="638"/>
  <c r="H860" i="638"/>
  <c r="H859" i="638"/>
  <c r="H858" i="638"/>
  <c r="H857" i="638"/>
  <c r="H856" i="638"/>
  <c r="H855" i="638"/>
  <c r="H854" i="638"/>
  <c r="H853" i="638"/>
  <c r="H852" i="638"/>
  <c r="H851" i="638"/>
  <c r="H850" i="638"/>
  <c r="H849" i="638"/>
  <c r="H848" i="638"/>
  <c r="H847" i="638"/>
  <c r="H846" i="638"/>
  <c r="H845" i="638"/>
  <c r="H844" i="638"/>
  <c r="H843" i="638"/>
  <c r="H842" i="638"/>
  <c r="H841" i="638"/>
  <c r="H840" i="638"/>
  <c r="H839" i="638"/>
  <c r="H838" i="638"/>
  <c r="H837" i="638"/>
  <c r="H836" i="638"/>
  <c r="H835" i="638"/>
  <c r="H834" i="638"/>
  <c r="H833" i="638"/>
  <c r="H832" i="638"/>
  <c r="H831" i="638"/>
  <c r="H830" i="638"/>
  <c r="H829" i="638"/>
  <c r="H828" i="638"/>
  <c r="H827" i="638"/>
  <c r="H826" i="638"/>
  <c r="H825" i="638"/>
  <c r="H824" i="638"/>
  <c r="H823" i="638"/>
  <c r="H822" i="638"/>
  <c r="H821" i="638"/>
  <c r="H820" i="638"/>
  <c r="H819" i="638"/>
  <c r="H818" i="638"/>
  <c r="H817" i="638"/>
  <c r="H816" i="638"/>
  <c r="H815" i="638"/>
  <c r="H814" i="638"/>
  <c r="H813" i="638"/>
  <c r="H812" i="638"/>
  <c r="H811" i="638"/>
  <c r="H810" i="638"/>
  <c r="H809" i="638"/>
  <c r="H808" i="638"/>
  <c r="H807" i="638"/>
  <c r="H806" i="638"/>
  <c r="H805" i="638"/>
  <c r="H804" i="638"/>
  <c r="H803" i="638"/>
  <c r="H802" i="638"/>
  <c r="H801" i="638"/>
  <c r="H800" i="638"/>
  <c r="H799" i="638"/>
  <c r="H798" i="638"/>
  <c r="H797" i="638"/>
  <c r="H796" i="638"/>
  <c r="H795" i="638"/>
  <c r="H794" i="638"/>
  <c r="H793" i="638"/>
  <c r="H792" i="638"/>
  <c r="H791" i="638"/>
  <c r="H790" i="638"/>
  <c r="H789" i="638"/>
  <c r="H788" i="638"/>
  <c r="H787" i="638"/>
  <c r="H786" i="638"/>
  <c r="H785" i="638"/>
  <c r="H784" i="638"/>
  <c r="H783" i="638"/>
  <c r="H782" i="638"/>
  <c r="H781" i="638"/>
  <c r="H780" i="638"/>
  <c r="H779" i="638"/>
  <c r="H778" i="638"/>
  <c r="H777" i="638"/>
  <c r="H776" i="638"/>
  <c r="H775" i="638"/>
  <c r="H774" i="638"/>
  <c r="H773" i="638"/>
  <c r="H772" i="638"/>
  <c r="H771" i="638"/>
  <c r="H770" i="638"/>
  <c r="H769" i="638"/>
  <c r="H768" i="638"/>
  <c r="H767" i="638"/>
  <c r="H766" i="638"/>
  <c r="H765" i="638"/>
  <c r="H764" i="638"/>
  <c r="H763" i="638"/>
  <c r="H762" i="638"/>
  <c r="H761" i="638"/>
  <c r="H760" i="638"/>
  <c r="H759" i="638"/>
  <c r="H758" i="638"/>
  <c r="H757" i="638"/>
  <c r="H756" i="638"/>
  <c r="H755" i="638"/>
  <c r="H754" i="638"/>
  <c r="H753" i="638"/>
  <c r="H752" i="638"/>
  <c r="H751" i="638"/>
  <c r="H750" i="638"/>
  <c r="H749" i="638"/>
  <c r="H748" i="638"/>
  <c r="H747" i="638"/>
  <c r="H746" i="638"/>
  <c r="H745" i="638"/>
  <c r="H744" i="638"/>
  <c r="H743" i="638"/>
  <c r="H742" i="638"/>
  <c r="H741" i="638"/>
  <c r="H740" i="638"/>
  <c r="H739" i="638"/>
  <c r="H738" i="638"/>
  <c r="H737" i="638"/>
  <c r="H736" i="638"/>
  <c r="H735" i="638"/>
  <c r="H734" i="638"/>
  <c r="H733" i="638"/>
  <c r="H732" i="638"/>
  <c r="H731" i="638"/>
  <c r="H730" i="638"/>
  <c r="H729" i="638"/>
  <c r="H728" i="638"/>
  <c r="H727" i="638"/>
  <c r="H726" i="638"/>
  <c r="H725" i="638"/>
  <c r="H724" i="638"/>
  <c r="H723" i="638"/>
  <c r="H722" i="638"/>
  <c r="H721" i="638"/>
  <c r="H720" i="638"/>
  <c r="H719" i="638"/>
  <c r="H718" i="638"/>
  <c r="H717" i="638"/>
  <c r="H716" i="638"/>
  <c r="H715" i="638"/>
  <c r="H714" i="638"/>
  <c r="H713" i="638"/>
  <c r="H712" i="638"/>
  <c r="H711" i="638"/>
  <c r="H710" i="638"/>
  <c r="H709" i="638"/>
  <c r="H708" i="638"/>
  <c r="H707" i="638"/>
  <c r="H706" i="638"/>
  <c r="H705" i="638"/>
  <c r="H704" i="638"/>
  <c r="H703" i="638"/>
  <c r="H702" i="638"/>
  <c r="H701" i="638"/>
  <c r="H700" i="638"/>
  <c r="H699" i="638"/>
  <c r="H698" i="638"/>
  <c r="H697" i="638"/>
  <c r="H696" i="638"/>
  <c r="H695" i="638"/>
  <c r="H694" i="638"/>
  <c r="H693" i="638"/>
  <c r="H692" i="638"/>
  <c r="H691" i="638"/>
  <c r="H690" i="638"/>
  <c r="H689" i="638"/>
  <c r="H688" i="638"/>
  <c r="H687" i="638"/>
  <c r="H686" i="638"/>
  <c r="H685" i="638"/>
  <c r="H684" i="638"/>
  <c r="H683" i="638"/>
  <c r="H682" i="638"/>
  <c r="H681" i="638"/>
  <c r="H680" i="638"/>
  <c r="H679" i="638"/>
  <c r="H678" i="638"/>
  <c r="H677" i="638"/>
  <c r="H676" i="638"/>
  <c r="H675" i="638"/>
  <c r="H674" i="638"/>
  <c r="H673" i="638"/>
  <c r="H672" i="638"/>
  <c r="H671" i="638"/>
  <c r="H670" i="638"/>
  <c r="H669" i="638"/>
  <c r="H668" i="638"/>
  <c r="H667" i="638"/>
  <c r="H666" i="638"/>
  <c r="H665" i="638"/>
  <c r="H664" i="638"/>
  <c r="H663" i="638"/>
  <c r="H662" i="638"/>
  <c r="H661" i="638"/>
  <c r="H660" i="638"/>
  <c r="H659" i="638"/>
  <c r="H658" i="638"/>
  <c r="H657" i="638"/>
  <c r="H656" i="638"/>
  <c r="H655" i="638"/>
  <c r="H654" i="638"/>
  <c r="H653" i="638"/>
  <c r="H652" i="638"/>
  <c r="H651" i="638"/>
  <c r="H650" i="638"/>
  <c r="H649" i="638"/>
  <c r="H648" i="638"/>
  <c r="H647" i="638"/>
  <c r="H646" i="638"/>
  <c r="H645" i="638"/>
  <c r="H644" i="638"/>
  <c r="H643" i="638"/>
  <c r="H642" i="638"/>
  <c r="H641" i="638"/>
  <c r="H640" i="638"/>
  <c r="H639" i="638"/>
  <c r="H638" i="638"/>
  <c r="H637" i="638"/>
  <c r="H636" i="638"/>
  <c r="H635" i="638"/>
  <c r="H634" i="638"/>
  <c r="H633" i="638"/>
  <c r="H632" i="638"/>
  <c r="H631" i="638"/>
  <c r="H630" i="638"/>
  <c r="H629" i="638"/>
  <c r="H628" i="638"/>
  <c r="H627" i="638"/>
  <c r="H626" i="638"/>
  <c r="H625" i="638"/>
  <c r="H624" i="638"/>
  <c r="H623" i="638"/>
  <c r="H622" i="638"/>
  <c r="H621" i="638"/>
  <c r="H620" i="638"/>
  <c r="H619" i="638"/>
  <c r="H618" i="638"/>
  <c r="H617" i="638"/>
  <c r="H616" i="638"/>
  <c r="H615" i="638"/>
  <c r="H614" i="638"/>
  <c r="H613" i="638"/>
  <c r="H612" i="638"/>
  <c r="H611" i="638"/>
  <c r="H610" i="638"/>
  <c r="H609" i="638"/>
  <c r="H608" i="638"/>
  <c r="H607" i="638"/>
  <c r="H606" i="638"/>
  <c r="H605" i="638"/>
  <c r="H604" i="638"/>
  <c r="H603" i="638"/>
  <c r="H602" i="638"/>
  <c r="H601" i="638"/>
  <c r="H600" i="638"/>
  <c r="H599" i="638"/>
  <c r="H598" i="638"/>
  <c r="H597" i="638"/>
  <c r="H596" i="638"/>
  <c r="H595" i="638"/>
  <c r="H594" i="638"/>
  <c r="H593" i="638"/>
  <c r="H592" i="638"/>
  <c r="H591" i="638"/>
  <c r="H590" i="638"/>
  <c r="H589" i="638"/>
  <c r="H588" i="638"/>
  <c r="H587" i="638"/>
  <c r="H586" i="638"/>
  <c r="H585" i="638"/>
  <c r="H584" i="638"/>
  <c r="H583" i="638"/>
  <c r="H582" i="638"/>
  <c r="H581" i="638"/>
  <c r="H580" i="638"/>
  <c r="H579" i="638"/>
  <c r="H578" i="638"/>
  <c r="H577" i="638"/>
  <c r="H576" i="638"/>
  <c r="H575" i="638"/>
  <c r="H574" i="638"/>
  <c r="H573" i="638"/>
  <c r="H572" i="638"/>
  <c r="H571" i="638"/>
  <c r="H570" i="638"/>
  <c r="H569" i="638"/>
  <c r="H568" i="638"/>
  <c r="H567" i="638"/>
  <c r="H566" i="638"/>
  <c r="H565" i="638"/>
  <c r="H564" i="638"/>
  <c r="H563" i="638"/>
  <c r="H562" i="638"/>
  <c r="H561" i="638"/>
  <c r="H560" i="638"/>
  <c r="H559" i="638"/>
  <c r="H558" i="638"/>
  <c r="H557" i="638"/>
  <c r="H556" i="638"/>
  <c r="H555" i="638"/>
  <c r="H554" i="638"/>
  <c r="H553" i="638"/>
  <c r="H552" i="638"/>
  <c r="H551" i="638"/>
  <c r="H550" i="638"/>
  <c r="H549" i="638"/>
  <c r="H548" i="638"/>
  <c r="H547" i="638"/>
  <c r="H546" i="638"/>
  <c r="H545" i="638"/>
  <c r="H544" i="638"/>
  <c r="H543" i="638"/>
  <c r="H542" i="638"/>
  <c r="H541" i="638"/>
  <c r="H540" i="638"/>
  <c r="H539" i="638"/>
  <c r="H538" i="638"/>
  <c r="H537" i="638"/>
  <c r="H536" i="638"/>
  <c r="H535" i="638"/>
  <c r="H534" i="638"/>
  <c r="H533" i="638"/>
  <c r="H532" i="638"/>
  <c r="H531" i="638"/>
  <c r="H530" i="638"/>
  <c r="H529" i="638"/>
  <c r="H528" i="638"/>
  <c r="H527" i="638"/>
  <c r="H526" i="638"/>
  <c r="H525" i="638"/>
  <c r="H524" i="638"/>
  <c r="H523" i="638"/>
  <c r="H522" i="638"/>
  <c r="H521" i="638"/>
  <c r="H520" i="638"/>
  <c r="H519" i="638"/>
  <c r="H518" i="638"/>
  <c r="H517" i="638"/>
  <c r="H516" i="638"/>
  <c r="H515" i="638"/>
  <c r="H514" i="638"/>
  <c r="H513" i="638"/>
  <c r="H512" i="638"/>
  <c r="H511" i="638"/>
  <c r="H510" i="638"/>
  <c r="H509" i="638"/>
  <c r="H508" i="638"/>
  <c r="H507" i="638"/>
  <c r="H506" i="638"/>
  <c r="H505" i="638"/>
  <c r="H504" i="638"/>
  <c r="H503" i="638"/>
  <c r="H502" i="638"/>
  <c r="H501" i="638"/>
  <c r="H500" i="638"/>
  <c r="H499" i="638"/>
  <c r="H498" i="638"/>
  <c r="H497" i="638"/>
  <c r="H496" i="638"/>
  <c r="H495" i="638"/>
  <c r="H494" i="638"/>
  <c r="H493" i="638"/>
  <c r="H492" i="638"/>
  <c r="H491" i="638"/>
  <c r="H490" i="638"/>
  <c r="H489" i="638"/>
  <c r="H488" i="638"/>
  <c r="H487" i="638"/>
  <c r="H486" i="638"/>
  <c r="H485" i="638"/>
  <c r="H484" i="638"/>
  <c r="H483" i="638"/>
  <c r="H482" i="638"/>
  <c r="H481" i="638"/>
  <c r="H480" i="638"/>
  <c r="H479" i="638"/>
  <c r="H478" i="638"/>
  <c r="H477" i="638"/>
  <c r="H476" i="638"/>
  <c r="H475" i="638"/>
  <c r="H474" i="638"/>
  <c r="H473" i="638"/>
  <c r="H472" i="638"/>
  <c r="H471" i="638"/>
  <c r="H470" i="638"/>
  <c r="H469" i="638"/>
  <c r="H468" i="638"/>
  <c r="H467" i="638"/>
  <c r="H466" i="638"/>
  <c r="H465" i="638"/>
  <c r="H464" i="638"/>
  <c r="H463" i="638"/>
  <c r="H462" i="638"/>
  <c r="H461" i="638"/>
  <c r="H460" i="638"/>
  <c r="H459" i="638"/>
  <c r="H458" i="638"/>
  <c r="H457" i="638"/>
  <c r="H456" i="638"/>
  <c r="H455" i="638"/>
  <c r="H454" i="638"/>
  <c r="H453" i="638"/>
  <c r="H452" i="638"/>
  <c r="H451" i="638"/>
  <c r="H450" i="638"/>
  <c r="H449" i="638"/>
  <c r="H448" i="638"/>
  <c r="H447" i="638"/>
  <c r="H446" i="638"/>
  <c r="H445" i="638"/>
  <c r="H444" i="638"/>
  <c r="H443" i="638"/>
  <c r="H442" i="638"/>
  <c r="H441" i="638"/>
  <c r="H440" i="638"/>
  <c r="H439" i="638"/>
  <c r="H438" i="638"/>
  <c r="H437" i="638"/>
  <c r="H436" i="638"/>
  <c r="H435" i="638"/>
  <c r="H434" i="638"/>
  <c r="H433" i="638"/>
  <c r="H432" i="638"/>
  <c r="H431" i="638"/>
  <c r="H430" i="638"/>
  <c r="H429" i="638"/>
  <c r="H428" i="638"/>
  <c r="H427" i="638"/>
  <c r="H426" i="638"/>
  <c r="H425" i="638"/>
  <c r="H424" i="638"/>
  <c r="H423" i="638"/>
  <c r="H422" i="638"/>
  <c r="H421" i="638"/>
  <c r="H420" i="638"/>
  <c r="H419" i="638"/>
  <c r="H418" i="638"/>
  <c r="H417" i="638"/>
  <c r="H416" i="638"/>
  <c r="H415" i="638"/>
  <c r="H414" i="638"/>
  <c r="H413" i="638"/>
  <c r="H412" i="638"/>
  <c r="H411" i="638"/>
  <c r="H410" i="638"/>
  <c r="H409" i="638"/>
  <c r="H408" i="638"/>
  <c r="H407" i="638"/>
  <c r="H406" i="638"/>
  <c r="H405" i="638"/>
  <c r="H404" i="638"/>
  <c r="H403" i="638"/>
  <c r="H402" i="638"/>
  <c r="H401" i="638"/>
  <c r="H400" i="638"/>
  <c r="H399" i="638"/>
  <c r="H398" i="638"/>
  <c r="H397" i="638"/>
  <c r="H396" i="638"/>
  <c r="H395" i="638"/>
  <c r="H394" i="638"/>
  <c r="H393" i="638"/>
  <c r="H392" i="638"/>
  <c r="H391" i="638"/>
  <c r="H390" i="638"/>
  <c r="H389" i="638"/>
  <c r="H388" i="638"/>
  <c r="H387" i="638"/>
  <c r="H386" i="638"/>
  <c r="H385" i="638"/>
  <c r="H384" i="638"/>
  <c r="H383" i="638"/>
  <c r="H382" i="638"/>
  <c r="H381" i="638"/>
  <c r="H380" i="638"/>
  <c r="H379" i="638"/>
  <c r="H378" i="638"/>
  <c r="H377" i="638"/>
  <c r="H376" i="638"/>
  <c r="H375" i="638"/>
  <c r="H374" i="638"/>
  <c r="H373" i="638"/>
  <c r="H372" i="638"/>
  <c r="H371" i="638"/>
  <c r="H370" i="638"/>
  <c r="H369" i="638"/>
  <c r="H368" i="638"/>
  <c r="H367" i="638"/>
  <c r="H366" i="638"/>
  <c r="H365" i="638"/>
  <c r="H364" i="638"/>
  <c r="H363" i="638"/>
  <c r="H362" i="638"/>
  <c r="H361" i="638"/>
  <c r="H360" i="638"/>
  <c r="H359" i="638"/>
  <c r="H358" i="638"/>
  <c r="H357" i="638"/>
  <c r="H356" i="638"/>
  <c r="H355" i="638"/>
  <c r="H354" i="638"/>
  <c r="H353" i="638"/>
  <c r="H352" i="638"/>
  <c r="H351" i="638"/>
  <c r="H350" i="638"/>
  <c r="H349" i="638"/>
  <c r="H348" i="638"/>
  <c r="H347" i="638"/>
  <c r="H346" i="638"/>
  <c r="H345" i="638"/>
  <c r="H344" i="638"/>
  <c r="H343" i="638"/>
  <c r="H342" i="638"/>
  <c r="H341" i="638"/>
  <c r="H340" i="638"/>
  <c r="H339" i="638"/>
  <c r="H338" i="638"/>
  <c r="H337" i="638"/>
  <c r="H336" i="638"/>
  <c r="H335" i="638"/>
  <c r="H334" i="638"/>
  <c r="H333" i="638"/>
  <c r="H332" i="638"/>
  <c r="H331" i="638"/>
  <c r="H330" i="638"/>
  <c r="H329" i="638"/>
  <c r="H328" i="638"/>
  <c r="H327" i="638"/>
  <c r="H326" i="638"/>
  <c r="H325" i="638"/>
  <c r="H324" i="638"/>
  <c r="H323" i="638"/>
  <c r="H322" i="638"/>
  <c r="H321" i="638"/>
  <c r="H320" i="638"/>
  <c r="H319" i="638"/>
  <c r="H318" i="638"/>
  <c r="H317" i="638"/>
  <c r="H316" i="638"/>
  <c r="H315" i="638"/>
  <c r="H314" i="638"/>
  <c r="H313" i="638"/>
  <c r="H312" i="638"/>
  <c r="H311" i="638"/>
  <c r="H310" i="638"/>
  <c r="H309" i="638"/>
  <c r="H308" i="638"/>
  <c r="H307" i="638"/>
  <c r="H306" i="638"/>
  <c r="H305" i="638"/>
  <c r="H304" i="638"/>
  <c r="H303" i="638"/>
  <c r="H302" i="638"/>
  <c r="H301" i="638"/>
  <c r="H300" i="638"/>
  <c r="H299" i="638"/>
  <c r="H298" i="638"/>
  <c r="H297" i="638"/>
  <c r="H296" i="638"/>
  <c r="H295" i="638"/>
  <c r="H294" i="638"/>
  <c r="H293" i="638"/>
  <c r="H292" i="638"/>
  <c r="H291" i="638"/>
  <c r="H290" i="638"/>
  <c r="H289" i="638"/>
  <c r="H288" i="638"/>
  <c r="H287" i="638"/>
  <c r="H286" i="638"/>
  <c r="H285" i="638"/>
  <c r="H284" i="638"/>
  <c r="H283" i="638"/>
  <c r="H282" i="638"/>
  <c r="H281" i="638"/>
  <c r="H280" i="638"/>
  <c r="H279" i="638"/>
  <c r="H278" i="638"/>
  <c r="H277" i="638"/>
  <c r="H276" i="638"/>
  <c r="H275" i="638"/>
  <c r="H274" i="638"/>
  <c r="H273" i="638"/>
  <c r="H272" i="638"/>
  <c r="H271" i="638"/>
  <c r="H270" i="638"/>
  <c r="H269" i="638"/>
  <c r="H268" i="638"/>
  <c r="H267" i="638"/>
  <c r="H266" i="638"/>
  <c r="H265" i="638"/>
  <c r="H264" i="638"/>
  <c r="H263" i="638"/>
  <c r="H262" i="638"/>
  <c r="H261" i="638"/>
  <c r="H260" i="638"/>
  <c r="H259" i="638"/>
  <c r="H258" i="638"/>
  <c r="H257" i="638"/>
  <c r="H256" i="638"/>
  <c r="H255" i="638"/>
  <c r="H254" i="638"/>
  <c r="H253" i="638"/>
  <c r="H252" i="638"/>
  <c r="H251" i="638"/>
  <c r="H250" i="638"/>
  <c r="H249" i="638"/>
  <c r="H248" i="638"/>
  <c r="H247" i="638"/>
  <c r="H246" i="638"/>
  <c r="H245" i="638"/>
  <c r="H244" i="638"/>
  <c r="H243" i="638"/>
  <c r="H242" i="638"/>
  <c r="H241" i="638"/>
  <c r="H240" i="638"/>
  <c r="H239" i="638"/>
  <c r="H238" i="638"/>
  <c r="H237" i="638"/>
  <c r="H236" i="638"/>
  <c r="H235" i="638"/>
  <c r="H234" i="638"/>
  <c r="H233" i="638"/>
  <c r="H232" i="638"/>
  <c r="H231" i="638"/>
  <c r="H230" i="638"/>
  <c r="H229" i="638"/>
  <c r="H228" i="638"/>
  <c r="H227" i="638"/>
  <c r="H226" i="638"/>
  <c r="H225" i="638"/>
  <c r="H224" i="638"/>
  <c r="H223" i="638"/>
  <c r="H222" i="638"/>
  <c r="H221" i="638"/>
  <c r="H220" i="638"/>
  <c r="H219" i="638"/>
  <c r="H218" i="638"/>
  <c r="H217" i="638"/>
  <c r="H216" i="638"/>
  <c r="H215" i="638"/>
  <c r="H214" i="638"/>
  <c r="H213" i="638"/>
  <c r="H212" i="638"/>
  <c r="H211" i="638"/>
  <c r="H210" i="638"/>
  <c r="H209" i="638"/>
  <c r="H208" i="638"/>
  <c r="H207" i="638"/>
  <c r="H206" i="638"/>
  <c r="H205" i="638"/>
  <c r="H204" i="638"/>
  <c r="H203" i="638"/>
  <c r="H202" i="638"/>
  <c r="H201" i="638"/>
  <c r="H200" i="638"/>
  <c r="H199" i="638"/>
  <c r="H198" i="638"/>
  <c r="H197" i="638"/>
  <c r="H196" i="638"/>
  <c r="H195" i="638"/>
  <c r="H194" i="638"/>
  <c r="H193" i="638"/>
  <c r="H192" i="638"/>
  <c r="H191" i="638"/>
  <c r="H190" i="638"/>
  <c r="H189" i="638"/>
  <c r="H188" i="638"/>
  <c r="H187" i="638"/>
  <c r="H186" i="638"/>
  <c r="H185" i="638"/>
  <c r="H184" i="638"/>
  <c r="H183" i="638"/>
  <c r="H182" i="638"/>
  <c r="H181" i="638"/>
  <c r="H180" i="638"/>
  <c r="H179" i="638"/>
  <c r="H178" i="638"/>
  <c r="H177" i="638"/>
  <c r="H176" i="638"/>
  <c r="H175" i="638"/>
  <c r="H174" i="638"/>
  <c r="H173" i="638"/>
  <c r="H172" i="638"/>
  <c r="H171" i="638"/>
  <c r="H170" i="638"/>
  <c r="H169" i="638"/>
  <c r="H168" i="638"/>
  <c r="H167" i="638"/>
  <c r="H166" i="638"/>
  <c r="H165" i="638"/>
  <c r="H164" i="638"/>
  <c r="H163" i="638"/>
  <c r="H162" i="638"/>
  <c r="H161" i="638"/>
  <c r="H160" i="638"/>
  <c r="H159" i="638"/>
  <c r="H158" i="638"/>
  <c r="H157" i="638"/>
  <c r="H156" i="638"/>
  <c r="H155" i="638"/>
  <c r="H154" i="638"/>
  <c r="H153" i="638"/>
  <c r="H152" i="638"/>
  <c r="H151" i="638"/>
  <c r="H150" i="638"/>
  <c r="H149" i="638"/>
  <c r="H148" i="638"/>
  <c r="H147" i="638"/>
  <c r="H146" i="638"/>
  <c r="H145" i="638"/>
  <c r="H144" i="638"/>
  <c r="H143" i="638"/>
  <c r="H142" i="638"/>
  <c r="H141" i="638"/>
  <c r="H140" i="638"/>
  <c r="H139" i="638"/>
  <c r="H138" i="638"/>
  <c r="H137" i="638"/>
  <c r="H136" i="638"/>
  <c r="H135" i="638"/>
  <c r="H134" i="638"/>
  <c r="H133" i="638"/>
  <c r="H132" i="638"/>
  <c r="H131" i="638"/>
  <c r="H130" i="638"/>
  <c r="H129" i="638"/>
  <c r="H128" i="638"/>
  <c r="H127" i="638"/>
  <c r="H126" i="638"/>
  <c r="H125" i="638"/>
  <c r="H124" i="638"/>
  <c r="H123" i="638"/>
  <c r="H122" i="638"/>
  <c r="H121" i="638"/>
  <c r="H120" i="638"/>
  <c r="H119" i="638"/>
  <c r="H118" i="638"/>
  <c r="H117" i="638"/>
  <c r="H116" i="638"/>
  <c r="H115" i="638"/>
  <c r="H114" i="638"/>
  <c r="H113" i="638"/>
  <c r="H112" i="638"/>
  <c r="H111" i="638"/>
  <c r="H110" i="638"/>
  <c r="H109" i="638"/>
  <c r="H108" i="638"/>
  <c r="H107" i="638"/>
  <c r="H106" i="638"/>
  <c r="H105" i="638"/>
  <c r="H104" i="638"/>
  <c r="H103" i="638"/>
  <c r="H102" i="638"/>
  <c r="H101" i="638"/>
  <c r="H100" i="638"/>
  <c r="H99" i="638"/>
  <c r="H98" i="638"/>
  <c r="H97" i="638"/>
  <c r="H96" i="638"/>
  <c r="H95" i="638"/>
  <c r="H94" i="638"/>
  <c r="H93" i="638"/>
  <c r="H92" i="638"/>
  <c r="H91" i="638"/>
  <c r="H90" i="638"/>
  <c r="H89" i="638"/>
  <c r="H88" i="638"/>
  <c r="H87" i="638"/>
  <c r="H86" i="638"/>
  <c r="H85" i="638"/>
  <c r="H84" i="638"/>
  <c r="H83" i="638"/>
  <c r="H82" i="638"/>
  <c r="H81" i="638"/>
  <c r="H80" i="638"/>
  <c r="H79" i="638"/>
  <c r="H78" i="638"/>
  <c r="H77" i="638"/>
  <c r="H76" i="638"/>
  <c r="H75" i="638"/>
  <c r="H74" i="638"/>
  <c r="H73" i="638"/>
  <c r="H72" i="638"/>
  <c r="H71" i="638"/>
  <c r="H70" i="638"/>
  <c r="H69" i="638"/>
  <c r="H68" i="638"/>
  <c r="H67" i="638"/>
  <c r="H66" i="638"/>
  <c r="H65" i="638"/>
  <c r="H64" i="638"/>
  <c r="H63" i="638"/>
  <c r="H62" i="638"/>
  <c r="H61" i="638"/>
  <c r="H60" i="638"/>
  <c r="H59" i="638"/>
  <c r="H58" i="638"/>
  <c r="H57" i="638"/>
  <c r="H56" i="638"/>
  <c r="H55" i="638"/>
  <c r="H54" i="638"/>
  <c r="H53" i="638"/>
  <c r="H52" i="638"/>
  <c r="H51" i="638"/>
  <c r="H50" i="638"/>
  <c r="H49" i="638"/>
  <c r="H48" i="638"/>
  <c r="H47" i="638"/>
  <c r="H46" i="638"/>
  <c r="H45" i="638"/>
  <c r="H44" i="638"/>
  <c r="H43" i="638"/>
  <c r="H42" i="638"/>
  <c r="H41" i="638"/>
  <c r="H40" i="638"/>
  <c r="H39" i="638"/>
  <c r="H38" i="638"/>
  <c r="H37" i="638"/>
  <c r="H36" i="638"/>
  <c r="H35" i="638"/>
  <c r="H34" i="638"/>
  <c r="H33" i="638"/>
  <c r="H32" i="638"/>
  <c r="H31" i="638"/>
  <c r="H30" i="638"/>
  <c r="H29" i="638"/>
  <c r="H28" i="638"/>
  <c r="H27" i="638"/>
  <c r="H26" i="638"/>
  <c r="H25" i="638"/>
  <c r="H24" i="638"/>
  <c r="H23" i="638"/>
  <c r="H22" i="638"/>
  <c r="H21" i="638"/>
  <c r="H20" i="638"/>
  <c r="H19" i="638"/>
  <c r="H18" i="638"/>
  <c r="H17" i="638"/>
  <c r="H16" i="638"/>
  <c r="H15" i="638"/>
  <c r="H14" i="638"/>
  <c r="H13" i="638"/>
  <c r="H12" i="638"/>
  <c r="H11" i="638"/>
  <c r="H10" i="638"/>
  <c r="H9" i="638"/>
  <c r="H8" i="638"/>
  <c r="H7" i="638"/>
  <c r="H6" i="638"/>
  <c r="H5" i="638"/>
  <c r="H4" i="638"/>
  <c r="H3" i="638"/>
  <c r="H2" i="638"/>
  <c r="H22" i="699" l="1"/>
  <c r="J22" i="699" s="1"/>
  <c r="L22" i="699" s="1"/>
  <c r="N22" i="699" s="1"/>
  <c r="P22" i="699" s="1"/>
  <c r="I22" i="699"/>
  <c r="K22" i="699" s="1"/>
  <c r="M22" i="699" s="1"/>
  <c r="O22" i="699" s="1"/>
  <c r="Q22" i="699" s="1"/>
  <c r="F23" i="699"/>
  <c r="F23" i="391" s="1"/>
  <c r="G23" i="699"/>
  <c r="G23" i="391" s="1"/>
  <c r="O21" i="699"/>
  <c r="E23" i="699"/>
  <c r="B24" i="699"/>
  <c r="D23" i="699"/>
  <c r="C72" i="665"/>
  <c r="C72" i="664"/>
  <c r="C35" i="664"/>
  <c r="C72" i="659"/>
  <c r="C72" i="423"/>
  <c r="I14" i="680"/>
  <c r="H20" i="680"/>
  <c r="H19" i="680"/>
  <c r="H18" i="680"/>
  <c r="H14" i="680"/>
  <c r="C35" i="423"/>
  <c r="H23" i="699" l="1"/>
  <c r="J23" i="699" s="1"/>
  <c r="L23" i="699" s="1"/>
  <c r="N23" i="699" s="1"/>
  <c r="P23" i="699" s="1"/>
  <c r="I23" i="699"/>
  <c r="K23" i="699" s="1"/>
  <c r="M23" i="699" s="1"/>
  <c r="G24" i="699"/>
  <c r="G24" i="391" s="1"/>
  <c r="F24" i="699"/>
  <c r="F24" i="391" s="1"/>
  <c r="Q21" i="699"/>
  <c r="D24" i="699"/>
  <c r="B25" i="699"/>
  <c r="E24" i="699"/>
  <c r="I61" i="613"/>
  <c r="J60" i="613"/>
  <c r="H61" i="613" s="1"/>
  <c r="B61" i="613" l="1"/>
  <c r="C61" i="613"/>
  <c r="D61" i="613"/>
  <c r="E61" i="613"/>
  <c r="F61" i="613"/>
  <c r="G61" i="613"/>
  <c r="H24" i="699"/>
  <c r="J24" i="699" s="1"/>
  <c r="L24" i="699" s="1"/>
  <c r="N24" i="699" s="1"/>
  <c r="P24" i="699" s="1"/>
  <c r="I24" i="699"/>
  <c r="K24" i="699" s="1"/>
  <c r="M24" i="699" s="1"/>
  <c r="O24" i="699" s="1"/>
  <c r="Q24" i="699" s="1"/>
  <c r="G25" i="699"/>
  <c r="G25" i="391" s="1"/>
  <c r="F25" i="699"/>
  <c r="F25" i="391" s="1"/>
  <c r="D25" i="699"/>
  <c r="B26" i="699"/>
  <c r="E25" i="699"/>
  <c r="O23" i="699"/>
  <c r="B1210" i="679"/>
  <c r="B1209" i="679"/>
  <c r="B1208" i="679"/>
  <c r="B1207" i="679"/>
  <c r="B1206" i="679"/>
  <c r="B1205" i="679"/>
  <c r="B1204" i="679"/>
  <c r="B1203" i="679"/>
  <c r="B1202" i="679"/>
  <c r="B1201" i="679"/>
  <c r="B1200" i="679"/>
  <c r="B1199" i="679"/>
  <c r="B1198" i="679"/>
  <c r="B1197" i="679"/>
  <c r="B1196" i="679"/>
  <c r="B1195" i="679"/>
  <c r="B1194" i="679"/>
  <c r="B1193" i="679"/>
  <c r="B1192" i="679"/>
  <c r="B1191" i="679"/>
  <c r="B1190" i="679"/>
  <c r="B1189" i="679"/>
  <c r="B1188" i="679"/>
  <c r="B1187" i="679"/>
  <c r="B1186" i="679"/>
  <c r="B1185" i="679"/>
  <c r="B1184" i="679"/>
  <c r="B1183" i="679"/>
  <c r="B1182" i="679"/>
  <c r="B1181" i="679"/>
  <c r="B1180" i="679"/>
  <c r="B1179" i="679"/>
  <c r="B1178" i="679"/>
  <c r="B1177" i="679"/>
  <c r="B1176" i="679"/>
  <c r="B1175" i="679"/>
  <c r="B1174" i="679"/>
  <c r="B1173" i="679"/>
  <c r="B1172" i="679"/>
  <c r="B1171" i="679"/>
  <c r="B1170" i="679"/>
  <c r="B1169" i="679"/>
  <c r="B1168" i="679"/>
  <c r="B1167" i="679"/>
  <c r="B1166" i="679"/>
  <c r="B1165" i="679"/>
  <c r="B1164" i="679"/>
  <c r="B1163" i="679"/>
  <c r="B1162" i="679"/>
  <c r="B1161" i="679"/>
  <c r="B1160" i="679"/>
  <c r="B1159" i="679"/>
  <c r="B1158" i="679"/>
  <c r="B1157" i="679"/>
  <c r="B1156" i="679"/>
  <c r="B1155" i="679"/>
  <c r="B1154" i="679"/>
  <c r="B1153" i="679"/>
  <c r="B1152" i="679"/>
  <c r="B1151" i="679"/>
  <c r="B1150" i="679"/>
  <c r="B1149" i="679"/>
  <c r="B1148" i="679"/>
  <c r="B1147" i="679"/>
  <c r="B1146" i="679"/>
  <c r="B1145" i="679"/>
  <c r="B1144" i="679"/>
  <c r="B1143" i="679"/>
  <c r="B1142" i="679"/>
  <c r="B1141" i="679"/>
  <c r="B1140" i="679"/>
  <c r="B1139" i="679"/>
  <c r="B1138" i="679"/>
  <c r="B1137" i="679"/>
  <c r="B1136" i="679"/>
  <c r="B1135" i="679"/>
  <c r="B1134" i="679"/>
  <c r="B1133" i="679"/>
  <c r="B1132" i="679"/>
  <c r="B1131" i="679"/>
  <c r="B1130" i="679"/>
  <c r="B1129" i="679"/>
  <c r="B1128" i="679"/>
  <c r="B1127" i="679"/>
  <c r="B1126" i="679"/>
  <c r="B1125" i="679"/>
  <c r="B1124" i="679"/>
  <c r="B1123" i="679"/>
  <c r="B1122" i="679"/>
  <c r="B1121" i="679"/>
  <c r="B1120" i="679"/>
  <c r="B1119" i="679"/>
  <c r="B1118" i="679"/>
  <c r="B1117" i="679"/>
  <c r="B1116" i="679"/>
  <c r="B1115" i="679"/>
  <c r="B1114" i="679"/>
  <c r="B1113" i="679"/>
  <c r="B1112" i="679"/>
  <c r="B1111" i="679"/>
  <c r="B1110" i="679"/>
  <c r="B1109" i="679"/>
  <c r="B1108" i="679"/>
  <c r="B1107" i="679"/>
  <c r="B1106" i="679"/>
  <c r="B1105" i="679"/>
  <c r="B1104" i="679"/>
  <c r="B1103" i="679"/>
  <c r="B1102" i="679"/>
  <c r="B1101" i="679"/>
  <c r="B1100" i="679"/>
  <c r="B1099" i="679"/>
  <c r="B1098" i="679"/>
  <c r="B1097" i="679"/>
  <c r="B1096" i="679"/>
  <c r="B1095" i="679"/>
  <c r="B1094" i="679"/>
  <c r="B1093" i="679"/>
  <c r="B1092" i="679"/>
  <c r="B1091" i="679"/>
  <c r="B1090" i="679"/>
  <c r="B1089" i="679"/>
  <c r="B1088" i="679"/>
  <c r="B1087" i="679"/>
  <c r="B1086" i="679"/>
  <c r="B1085" i="679"/>
  <c r="B1084" i="679"/>
  <c r="B1083" i="679"/>
  <c r="B1082" i="679"/>
  <c r="B1081" i="679"/>
  <c r="B1080" i="679"/>
  <c r="B1079" i="679"/>
  <c r="B1078" i="679"/>
  <c r="B1077" i="679"/>
  <c r="B1076" i="679"/>
  <c r="B1075" i="679"/>
  <c r="B1074" i="679"/>
  <c r="B1073" i="679"/>
  <c r="B1072" i="679"/>
  <c r="B1071" i="679"/>
  <c r="B1070" i="679"/>
  <c r="B1069" i="679"/>
  <c r="B1068" i="679"/>
  <c r="B1067" i="679"/>
  <c r="B1066" i="679"/>
  <c r="B1065" i="679"/>
  <c r="B1064" i="679"/>
  <c r="B1063" i="679"/>
  <c r="B1062" i="679"/>
  <c r="B1061" i="679"/>
  <c r="B1060" i="679"/>
  <c r="B1059" i="679"/>
  <c r="B1058" i="679"/>
  <c r="B1057" i="679"/>
  <c r="B1056" i="679"/>
  <c r="B1055" i="679"/>
  <c r="B1054" i="679"/>
  <c r="B1053" i="679"/>
  <c r="B1052" i="679"/>
  <c r="B1051" i="679"/>
  <c r="B1050" i="679"/>
  <c r="B1049" i="679"/>
  <c r="B1048" i="679"/>
  <c r="B1047" i="679"/>
  <c r="B1046" i="679"/>
  <c r="B1045" i="679"/>
  <c r="B1044" i="679"/>
  <c r="B1043" i="679"/>
  <c r="B1042" i="679"/>
  <c r="B1041" i="679"/>
  <c r="B1040" i="679"/>
  <c r="B1039" i="679"/>
  <c r="B1038" i="679"/>
  <c r="B1037" i="679"/>
  <c r="B1036" i="679"/>
  <c r="B1035" i="679"/>
  <c r="B1034" i="679"/>
  <c r="B1033" i="679"/>
  <c r="B1032" i="679"/>
  <c r="B1031" i="679"/>
  <c r="B1030" i="679"/>
  <c r="B1029" i="679"/>
  <c r="B1028" i="679"/>
  <c r="B1027" i="679"/>
  <c r="B1026" i="679"/>
  <c r="B1025" i="679"/>
  <c r="B1024" i="679"/>
  <c r="B1023" i="679"/>
  <c r="B1022" i="679"/>
  <c r="B1021" i="679"/>
  <c r="B1020" i="679"/>
  <c r="B1019" i="679"/>
  <c r="B1018" i="679"/>
  <c r="B1017" i="679"/>
  <c r="B1016" i="679"/>
  <c r="B1015" i="679"/>
  <c r="B1014" i="679"/>
  <c r="B1013" i="679"/>
  <c r="B1012" i="679"/>
  <c r="B1011" i="679"/>
  <c r="B1010" i="679"/>
  <c r="B1009" i="679"/>
  <c r="B1008" i="679"/>
  <c r="B1007" i="679"/>
  <c r="B1006" i="679"/>
  <c r="B1005" i="679"/>
  <c r="B1004" i="679"/>
  <c r="B1003" i="679"/>
  <c r="B1002" i="679"/>
  <c r="B1001" i="679"/>
  <c r="B1000" i="679"/>
  <c r="B999" i="679"/>
  <c r="B998" i="679"/>
  <c r="B997" i="679"/>
  <c r="B996" i="679"/>
  <c r="B995" i="679"/>
  <c r="B994" i="679"/>
  <c r="B993" i="679"/>
  <c r="B992" i="679"/>
  <c r="B991" i="679"/>
  <c r="B990" i="679"/>
  <c r="B989" i="679"/>
  <c r="B988" i="679"/>
  <c r="B987" i="679"/>
  <c r="B986" i="679"/>
  <c r="B985" i="679"/>
  <c r="B984" i="679"/>
  <c r="B983" i="679"/>
  <c r="B982" i="679"/>
  <c r="B981" i="679"/>
  <c r="B980" i="679"/>
  <c r="B979" i="679"/>
  <c r="B978" i="679"/>
  <c r="B977" i="679"/>
  <c r="B976" i="679"/>
  <c r="B975" i="679"/>
  <c r="B974" i="679"/>
  <c r="B973" i="679"/>
  <c r="B972" i="679"/>
  <c r="B971" i="679"/>
  <c r="B970" i="679"/>
  <c r="B969" i="679"/>
  <c r="B968" i="679"/>
  <c r="B967" i="679"/>
  <c r="B966" i="679"/>
  <c r="B965" i="679"/>
  <c r="B964" i="679"/>
  <c r="B963" i="679"/>
  <c r="B962" i="679"/>
  <c r="B961" i="679"/>
  <c r="B960" i="679"/>
  <c r="B959" i="679"/>
  <c r="B958" i="679"/>
  <c r="B957" i="679"/>
  <c r="B956" i="679"/>
  <c r="B955" i="679"/>
  <c r="B954" i="679"/>
  <c r="B953" i="679"/>
  <c r="B952" i="679"/>
  <c r="B951" i="679"/>
  <c r="B950" i="679"/>
  <c r="B949" i="679"/>
  <c r="B948" i="679"/>
  <c r="B947" i="679"/>
  <c r="B946" i="679"/>
  <c r="B945" i="679"/>
  <c r="B944" i="679"/>
  <c r="B943" i="679"/>
  <c r="B942" i="679"/>
  <c r="B941" i="679"/>
  <c r="B940" i="679"/>
  <c r="B939" i="679"/>
  <c r="B938" i="679"/>
  <c r="B937" i="679"/>
  <c r="B936" i="679"/>
  <c r="B935" i="679"/>
  <c r="B934" i="679"/>
  <c r="B933" i="679"/>
  <c r="B932" i="679"/>
  <c r="B931" i="679"/>
  <c r="B930" i="679"/>
  <c r="B929" i="679"/>
  <c r="B928" i="679"/>
  <c r="B927" i="679"/>
  <c r="B926" i="679"/>
  <c r="B925" i="679"/>
  <c r="B924" i="679"/>
  <c r="B923" i="679"/>
  <c r="B922" i="679"/>
  <c r="B921" i="679"/>
  <c r="B920" i="679"/>
  <c r="B919" i="679"/>
  <c r="B918" i="679"/>
  <c r="B917" i="679"/>
  <c r="B916" i="679"/>
  <c r="B915" i="679"/>
  <c r="B914" i="679"/>
  <c r="B913" i="679"/>
  <c r="B912" i="679"/>
  <c r="B911" i="679"/>
  <c r="B910" i="679"/>
  <c r="B909" i="679"/>
  <c r="B908" i="679"/>
  <c r="B907" i="679"/>
  <c r="B906" i="679"/>
  <c r="B905" i="679"/>
  <c r="B904" i="679"/>
  <c r="B903" i="679"/>
  <c r="B902" i="679"/>
  <c r="B901" i="679"/>
  <c r="B900" i="679"/>
  <c r="B899" i="679"/>
  <c r="B898" i="679"/>
  <c r="B897" i="679"/>
  <c r="B896" i="679"/>
  <c r="B895" i="679"/>
  <c r="B894" i="679"/>
  <c r="B893" i="679"/>
  <c r="B892" i="679"/>
  <c r="B891" i="679"/>
  <c r="B890" i="679"/>
  <c r="B889" i="679"/>
  <c r="B888" i="679"/>
  <c r="B887" i="679"/>
  <c r="B886" i="679"/>
  <c r="B885" i="679"/>
  <c r="B884" i="679"/>
  <c r="B883" i="679"/>
  <c r="B882" i="679"/>
  <c r="B881" i="679"/>
  <c r="B880" i="679"/>
  <c r="B879" i="679"/>
  <c r="B878" i="679"/>
  <c r="B877" i="679"/>
  <c r="B876" i="679"/>
  <c r="B875" i="679"/>
  <c r="B874" i="679"/>
  <c r="B873" i="679"/>
  <c r="B872" i="679"/>
  <c r="B871" i="679"/>
  <c r="B870" i="679"/>
  <c r="B869" i="679"/>
  <c r="B868" i="679"/>
  <c r="B867" i="679"/>
  <c r="B866" i="679"/>
  <c r="B865" i="679"/>
  <c r="B864" i="679"/>
  <c r="B863" i="679"/>
  <c r="B862" i="679"/>
  <c r="B861" i="679"/>
  <c r="B860" i="679"/>
  <c r="B859" i="679"/>
  <c r="B858" i="679"/>
  <c r="B857" i="679"/>
  <c r="B856" i="679"/>
  <c r="B855" i="679"/>
  <c r="B854" i="679"/>
  <c r="B853" i="679"/>
  <c r="B852" i="679"/>
  <c r="B851" i="679"/>
  <c r="B850" i="679"/>
  <c r="B849" i="679"/>
  <c r="B848" i="679"/>
  <c r="B847" i="679"/>
  <c r="B846" i="679"/>
  <c r="B845" i="679"/>
  <c r="B844" i="679"/>
  <c r="B843" i="679"/>
  <c r="B842" i="679"/>
  <c r="B841" i="679"/>
  <c r="B840" i="679"/>
  <c r="B839" i="679"/>
  <c r="B838" i="679"/>
  <c r="B837" i="679"/>
  <c r="B836" i="679"/>
  <c r="B835" i="679"/>
  <c r="B834" i="679"/>
  <c r="B833" i="679"/>
  <c r="B832" i="679"/>
  <c r="B831" i="679"/>
  <c r="B830" i="679"/>
  <c r="B829" i="679"/>
  <c r="B828" i="679"/>
  <c r="B827" i="679"/>
  <c r="B826" i="679"/>
  <c r="B825" i="679"/>
  <c r="B824" i="679"/>
  <c r="B823" i="679"/>
  <c r="B822" i="679"/>
  <c r="B821" i="679"/>
  <c r="B820" i="679"/>
  <c r="B819" i="679"/>
  <c r="B818" i="679"/>
  <c r="B817" i="679"/>
  <c r="B816" i="679"/>
  <c r="B815" i="679"/>
  <c r="B814" i="679"/>
  <c r="B813" i="679"/>
  <c r="B812" i="679"/>
  <c r="B811" i="679"/>
  <c r="B810" i="679"/>
  <c r="B809" i="679"/>
  <c r="B808" i="679"/>
  <c r="B807" i="679"/>
  <c r="B806" i="679"/>
  <c r="B805" i="679"/>
  <c r="B804" i="679"/>
  <c r="B803" i="679"/>
  <c r="B802" i="679"/>
  <c r="B801" i="679"/>
  <c r="B800" i="679"/>
  <c r="B799" i="679"/>
  <c r="B798" i="679"/>
  <c r="B797" i="679"/>
  <c r="B796" i="679"/>
  <c r="B795" i="679"/>
  <c r="B794" i="679"/>
  <c r="B793" i="679"/>
  <c r="B792" i="679"/>
  <c r="B791" i="679"/>
  <c r="B790" i="679"/>
  <c r="B789" i="679"/>
  <c r="B788" i="679"/>
  <c r="B787" i="679"/>
  <c r="B786" i="679"/>
  <c r="B785" i="679"/>
  <c r="B784" i="679"/>
  <c r="B783" i="679"/>
  <c r="B782" i="679"/>
  <c r="B781" i="679"/>
  <c r="B780" i="679"/>
  <c r="B779" i="679"/>
  <c r="B778" i="679"/>
  <c r="B777" i="679"/>
  <c r="B776" i="679"/>
  <c r="B775" i="679"/>
  <c r="B774" i="679"/>
  <c r="B773" i="679"/>
  <c r="B772" i="679"/>
  <c r="B771" i="679"/>
  <c r="B770" i="679"/>
  <c r="B769" i="679"/>
  <c r="B768" i="679"/>
  <c r="B767" i="679"/>
  <c r="B766" i="679"/>
  <c r="B765" i="679"/>
  <c r="B764" i="679"/>
  <c r="B763" i="679"/>
  <c r="B762" i="679"/>
  <c r="B761" i="679"/>
  <c r="B760" i="679"/>
  <c r="B759" i="679"/>
  <c r="B758" i="679"/>
  <c r="B757" i="679"/>
  <c r="B756" i="679"/>
  <c r="B755" i="679"/>
  <c r="B754" i="679"/>
  <c r="B753" i="679"/>
  <c r="B752" i="679"/>
  <c r="B751" i="679"/>
  <c r="B750" i="679"/>
  <c r="B749" i="679"/>
  <c r="B748" i="679"/>
  <c r="B747" i="679"/>
  <c r="B746" i="679"/>
  <c r="B745" i="679"/>
  <c r="B744" i="679"/>
  <c r="B743" i="679"/>
  <c r="B742" i="679"/>
  <c r="B741" i="679"/>
  <c r="B740" i="679"/>
  <c r="B739" i="679"/>
  <c r="B738" i="679"/>
  <c r="B737" i="679"/>
  <c r="B736" i="679"/>
  <c r="B735" i="679"/>
  <c r="B734" i="679"/>
  <c r="B733" i="679"/>
  <c r="B732" i="679"/>
  <c r="B731" i="679"/>
  <c r="B730" i="679"/>
  <c r="B729" i="679"/>
  <c r="B728" i="679"/>
  <c r="B727" i="679"/>
  <c r="B726" i="679"/>
  <c r="B725" i="679"/>
  <c r="B724" i="679"/>
  <c r="B723" i="679"/>
  <c r="B722" i="679"/>
  <c r="B721" i="679"/>
  <c r="B720" i="679"/>
  <c r="B719" i="679"/>
  <c r="B718" i="679"/>
  <c r="B717" i="679"/>
  <c r="B716" i="679"/>
  <c r="B715" i="679"/>
  <c r="B714" i="679"/>
  <c r="B713" i="679"/>
  <c r="B712" i="679"/>
  <c r="B711" i="679"/>
  <c r="B710" i="679"/>
  <c r="B709" i="679"/>
  <c r="B708" i="679"/>
  <c r="B707" i="679"/>
  <c r="B706" i="679"/>
  <c r="B705" i="679"/>
  <c r="B704" i="679"/>
  <c r="B703" i="679"/>
  <c r="B702" i="679"/>
  <c r="B701" i="679"/>
  <c r="B700" i="679"/>
  <c r="B699" i="679"/>
  <c r="B698" i="679"/>
  <c r="B697" i="679"/>
  <c r="B696" i="679"/>
  <c r="B695" i="679"/>
  <c r="B694" i="679"/>
  <c r="B693" i="679"/>
  <c r="B692" i="679"/>
  <c r="B691" i="679"/>
  <c r="B690" i="679"/>
  <c r="B689" i="679"/>
  <c r="B688" i="679"/>
  <c r="B687" i="679"/>
  <c r="B686" i="679"/>
  <c r="B685" i="679"/>
  <c r="B684" i="679"/>
  <c r="B683" i="679"/>
  <c r="B682" i="679"/>
  <c r="B681" i="679"/>
  <c r="B680" i="679"/>
  <c r="B679" i="679"/>
  <c r="B678" i="679"/>
  <c r="B677" i="679"/>
  <c r="B676" i="679"/>
  <c r="B675" i="679"/>
  <c r="B674" i="679"/>
  <c r="B673" i="679"/>
  <c r="B672" i="679"/>
  <c r="B671" i="679"/>
  <c r="B670" i="679"/>
  <c r="B669" i="679"/>
  <c r="B668" i="679"/>
  <c r="B667" i="679"/>
  <c r="B666" i="679"/>
  <c r="B665" i="679"/>
  <c r="B664" i="679"/>
  <c r="B663" i="679"/>
  <c r="B662" i="679"/>
  <c r="B661" i="679"/>
  <c r="B660" i="679"/>
  <c r="B659" i="679"/>
  <c r="B658" i="679"/>
  <c r="B657" i="679"/>
  <c r="B656" i="679"/>
  <c r="B655" i="679"/>
  <c r="B654" i="679"/>
  <c r="B653" i="679"/>
  <c r="B652" i="679"/>
  <c r="B651" i="679"/>
  <c r="B650" i="679"/>
  <c r="B649" i="679"/>
  <c r="B648" i="679"/>
  <c r="B647" i="679"/>
  <c r="B646" i="679"/>
  <c r="B645" i="679"/>
  <c r="B644" i="679"/>
  <c r="B643" i="679"/>
  <c r="B642" i="679"/>
  <c r="B641" i="679"/>
  <c r="B640" i="679"/>
  <c r="B639" i="679"/>
  <c r="B638" i="679"/>
  <c r="B637" i="679"/>
  <c r="B636" i="679"/>
  <c r="B635" i="679"/>
  <c r="B634" i="679"/>
  <c r="B633" i="679"/>
  <c r="B632" i="679"/>
  <c r="B631" i="679"/>
  <c r="B630" i="679"/>
  <c r="B629" i="679"/>
  <c r="B628" i="679"/>
  <c r="B627" i="679"/>
  <c r="B626" i="679"/>
  <c r="B625" i="679"/>
  <c r="B624" i="679"/>
  <c r="B623" i="679"/>
  <c r="B622" i="679"/>
  <c r="B621" i="679"/>
  <c r="B620" i="679"/>
  <c r="B619" i="679"/>
  <c r="B618" i="679"/>
  <c r="B617" i="679"/>
  <c r="B616" i="679"/>
  <c r="B615" i="679"/>
  <c r="B614" i="679"/>
  <c r="B613" i="679"/>
  <c r="B612" i="679"/>
  <c r="B611" i="679"/>
  <c r="B610" i="679"/>
  <c r="B609" i="679"/>
  <c r="B608" i="679"/>
  <c r="B607" i="679"/>
  <c r="B606" i="679"/>
  <c r="B605" i="679"/>
  <c r="B604" i="679"/>
  <c r="B603" i="679"/>
  <c r="B602" i="679"/>
  <c r="B601" i="679"/>
  <c r="B600" i="679"/>
  <c r="B599" i="679"/>
  <c r="B598" i="679"/>
  <c r="B597" i="679"/>
  <c r="B596" i="679"/>
  <c r="B595" i="679"/>
  <c r="B594" i="679"/>
  <c r="B593" i="679"/>
  <c r="B592" i="679"/>
  <c r="B591" i="679"/>
  <c r="B590" i="679"/>
  <c r="B589" i="679"/>
  <c r="B588" i="679"/>
  <c r="B587" i="679"/>
  <c r="B586" i="679"/>
  <c r="B585" i="679"/>
  <c r="B584" i="679"/>
  <c r="B583" i="679"/>
  <c r="B582" i="679"/>
  <c r="B581" i="679"/>
  <c r="B580" i="679"/>
  <c r="B579" i="679"/>
  <c r="B578" i="679"/>
  <c r="B577" i="679"/>
  <c r="B576" i="679"/>
  <c r="B575" i="679"/>
  <c r="B574" i="679"/>
  <c r="B573" i="679"/>
  <c r="B572" i="679"/>
  <c r="B571" i="679"/>
  <c r="B570" i="679"/>
  <c r="B569" i="679"/>
  <c r="B568" i="679"/>
  <c r="B567" i="679"/>
  <c r="B566" i="679"/>
  <c r="B565" i="679"/>
  <c r="B564" i="679"/>
  <c r="B563" i="679"/>
  <c r="B562" i="679"/>
  <c r="B561" i="679"/>
  <c r="B560" i="679"/>
  <c r="B559" i="679"/>
  <c r="B558" i="679"/>
  <c r="B557" i="679"/>
  <c r="B556" i="679"/>
  <c r="B555" i="679"/>
  <c r="B554" i="679"/>
  <c r="B553" i="679"/>
  <c r="B552" i="679"/>
  <c r="B551" i="679"/>
  <c r="B550" i="679"/>
  <c r="B549" i="679"/>
  <c r="B548" i="679"/>
  <c r="B547" i="679"/>
  <c r="B546" i="679"/>
  <c r="B545" i="679"/>
  <c r="B544" i="679"/>
  <c r="B543" i="679"/>
  <c r="B542" i="679"/>
  <c r="B541" i="679"/>
  <c r="B540" i="679"/>
  <c r="B539" i="679"/>
  <c r="B538" i="679"/>
  <c r="B537" i="679"/>
  <c r="B536" i="679"/>
  <c r="B535" i="679"/>
  <c r="B534" i="679"/>
  <c r="B533" i="679"/>
  <c r="B532" i="679"/>
  <c r="B531" i="679"/>
  <c r="B530" i="679"/>
  <c r="B529" i="679"/>
  <c r="B528" i="679"/>
  <c r="B527" i="679"/>
  <c r="B526" i="679"/>
  <c r="B525" i="679"/>
  <c r="B524" i="679"/>
  <c r="B523" i="679"/>
  <c r="B522" i="679"/>
  <c r="B521" i="679"/>
  <c r="B520" i="679"/>
  <c r="B519" i="679"/>
  <c r="B518" i="679"/>
  <c r="B517" i="679"/>
  <c r="B516" i="679"/>
  <c r="B515" i="679"/>
  <c r="B514" i="679"/>
  <c r="B513" i="679"/>
  <c r="B512" i="679"/>
  <c r="B511" i="679"/>
  <c r="B510" i="679"/>
  <c r="B509" i="679"/>
  <c r="B508" i="679"/>
  <c r="B507" i="679"/>
  <c r="B506" i="679"/>
  <c r="B505" i="679"/>
  <c r="B504" i="679"/>
  <c r="B503" i="679"/>
  <c r="B502" i="679"/>
  <c r="B501" i="679"/>
  <c r="B500" i="679"/>
  <c r="B499" i="679"/>
  <c r="B498" i="679"/>
  <c r="B497" i="679"/>
  <c r="B496" i="679"/>
  <c r="B495" i="679"/>
  <c r="B494" i="679"/>
  <c r="B493" i="679"/>
  <c r="B492" i="679"/>
  <c r="B491" i="679"/>
  <c r="B490" i="679"/>
  <c r="B489" i="679"/>
  <c r="B488" i="679"/>
  <c r="B487" i="679"/>
  <c r="B486" i="679"/>
  <c r="B485" i="679"/>
  <c r="B484" i="679"/>
  <c r="B483" i="679"/>
  <c r="B482" i="679"/>
  <c r="B481" i="679"/>
  <c r="B480" i="679"/>
  <c r="B479" i="679"/>
  <c r="B478" i="679"/>
  <c r="B477" i="679"/>
  <c r="B476" i="679"/>
  <c r="B475" i="679"/>
  <c r="B474" i="679"/>
  <c r="B473" i="679"/>
  <c r="B472" i="679"/>
  <c r="B471" i="679"/>
  <c r="B470" i="679"/>
  <c r="B469" i="679"/>
  <c r="B468" i="679"/>
  <c r="B467" i="679"/>
  <c r="B466" i="679"/>
  <c r="B465" i="679"/>
  <c r="B464" i="679"/>
  <c r="B463" i="679"/>
  <c r="B462" i="679"/>
  <c r="B461" i="679"/>
  <c r="B460" i="679"/>
  <c r="B459" i="679"/>
  <c r="B458" i="679"/>
  <c r="B457" i="679"/>
  <c r="B456" i="679"/>
  <c r="B455" i="679"/>
  <c r="B454" i="679"/>
  <c r="B453" i="679"/>
  <c r="B452" i="679"/>
  <c r="B451" i="679"/>
  <c r="B450" i="679"/>
  <c r="B449" i="679"/>
  <c r="B448" i="679"/>
  <c r="B447" i="679"/>
  <c r="B446" i="679"/>
  <c r="B445" i="679"/>
  <c r="B444" i="679"/>
  <c r="B443" i="679"/>
  <c r="B442" i="679"/>
  <c r="B441" i="679"/>
  <c r="B440" i="679"/>
  <c r="B439" i="679"/>
  <c r="B438" i="679"/>
  <c r="B437" i="679"/>
  <c r="B436" i="679"/>
  <c r="B435" i="679"/>
  <c r="B434" i="679"/>
  <c r="B433" i="679"/>
  <c r="B432" i="679"/>
  <c r="B431" i="679"/>
  <c r="B430" i="679"/>
  <c r="B429" i="679"/>
  <c r="B428" i="679"/>
  <c r="B427" i="679"/>
  <c r="B426" i="679"/>
  <c r="B425" i="679"/>
  <c r="B424" i="679"/>
  <c r="B423" i="679"/>
  <c r="B422" i="679"/>
  <c r="B421" i="679"/>
  <c r="B420" i="679"/>
  <c r="B419" i="679"/>
  <c r="B418" i="679"/>
  <c r="B417" i="679"/>
  <c r="B416" i="679"/>
  <c r="B415" i="679"/>
  <c r="B414" i="679"/>
  <c r="B413" i="679"/>
  <c r="B412" i="679"/>
  <c r="B411" i="679"/>
  <c r="B410" i="679"/>
  <c r="B409" i="679"/>
  <c r="B408" i="679"/>
  <c r="B407" i="679"/>
  <c r="B406" i="679"/>
  <c r="B405" i="679"/>
  <c r="B404" i="679"/>
  <c r="B403" i="679"/>
  <c r="B402" i="679"/>
  <c r="B401" i="679"/>
  <c r="B400" i="679"/>
  <c r="B399" i="679"/>
  <c r="B398" i="679"/>
  <c r="B397" i="679"/>
  <c r="B396" i="679"/>
  <c r="B395" i="679"/>
  <c r="B394" i="679"/>
  <c r="B393" i="679"/>
  <c r="B392" i="679"/>
  <c r="B391" i="679"/>
  <c r="B390" i="679"/>
  <c r="B389" i="679"/>
  <c r="B388" i="679"/>
  <c r="B387" i="679"/>
  <c r="B386" i="679"/>
  <c r="B385" i="679"/>
  <c r="B384" i="679"/>
  <c r="B383" i="679"/>
  <c r="B382" i="679"/>
  <c r="B381" i="679"/>
  <c r="B380" i="679"/>
  <c r="B379" i="679"/>
  <c r="B378" i="679"/>
  <c r="B377" i="679"/>
  <c r="B376" i="679"/>
  <c r="B375" i="679"/>
  <c r="B374" i="679"/>
  <c r="B373" i="679"/>
  <c r="B372" i="679"/>
  <c r="B371" i="679"/>
  <c r="B370" i="679"/>
  <c r="B369" i="679"/>
  <c r="B368" i="679"/>
  <c r="B367" i="679"/>
  <c r="B366" i="679"/>
  <c r="B365" i="679"/>
  <c r="B364" i="679"/>
  <c r="B363" i="679"/>
  <c r="B362" i="679"/>
  <c r="B361" i="679"/>
  <c r="B360" i="679"/>
  <c r="B359" i="679"/>
  <c r="B358" i="679"/>
  <c r="B357" i="679"/>
  <c r="B356" i="679"/>
  <c r="B355" i="679"/>
  <c r="B354" i="679"/>
  <c r="B353" i="679"/>
  <c r="B352" i="679"/>
  <c r="B351" i="679"/>
  <c r="B350" i="679"/>
  <c r="B349" i="679"/>
  <c r="B348" i="679"/>
  <c r="B347" i="679"/>
  <c r="B346" i="679"/>
  <c r="B345" i="679"/>
  <c r="B344" i="679"/>
  <c r="B343" i="679"/>
  <c r="B342" i="679"/>
  <c r="B341" i="679"/>
  <c r="B340" i="679"/>
  <c r="B339" i="679"/>
  <c r="B338" i="679"/>
  <c r="B337" i="679"/>
  <c r="B336" i="679"/>
  <c r="B335" i="679"/>
  <c r="B334" i="679"/>
  <c r="B333" i="679"/>
  <c r="B332" i="679"/>
  <c r="B331" i="679"/>
  <c r="B330" i="679"/>
  <c r="B329" i="679"/>
  <c r="B328" i="679"/>
  <c r="B327" i="679"/>
  <c r="B326" i="679"/>
  <c r="B325" i="679"/>
  <c r="B324" i="679"/>
  <c r="B323" i="679"/>
  <c r="B322" i="679"/>
  <c r="B321" i="679"/>
  <c r="B320" i="679"/>
  <c r="B319" i="679"/>
  <c r="B318" i="679"/>
  <c r="B317" i="679"/>
  <c r="B316" i="679"/>
  <c r="B315" i="679"/>
  <c r="B314" i="679"/>
  <c r="B313" i="679"/>
  <c r="B312" i="679"/>
  <c r="B311" i="679"/>
  <c r="B310" i="679"/>
  <c r="B309" i="679"/>
  <c r="B308" i="679"/>
  <c r="B307" i="679"/>
  <c r="B306" i="679"/>
  <c r="B305" i="679"/>
  <c r="B304" i="679"/>
  <c r="B303" i="679"/>
  <c r="B302" i="679"/>
  <c r="B301" i="679"/>
  <c r="B300" i="679"/>
  <c r="B299" i="679"/>
  <c r="B298" i="679"/>
  <c r="B297" i="679"/>
  <c r="B296" i="679"/>
  <c r="B295" i="679"/>
  <c r="B294" i="679"/>
  <c r="B293" i="679"/>
  <c r="B292" i="679"/>
  <c r="B291" i="679"/>
  <c r="B290" i="679"/>
  <c r="B289" i="679"/>
  <c r="B288" i="679"/>
  <c r="B287" i="679"/>
  <c r="B286" i="679"/>
  <c r="B285" i="679"/>
  <c r="B284" i="679"/>
  <c r="B283" i="679"/>
  <c r="B282" i="679"/>
  <c r="B281" i="679"/>
  <c r="B280" i="679"/>
  <c r="B279" i="679"/>
  <c r="B278" i="679"/>
  <c r="B277" i="679"/>
  <c r="B276" i="679"/>
  <c r="B275" i="679"/>
  <c r="B274" i="679"/>
  <c r="B273" i="679"/>
  <c r="B272" i="679"/>
  <c r="B271" i="679"/>
  <c r="B270" i="679"/>
  <c r="B269" i="679"/>
  <c r="B268" i="679"/>
  <c r="B267" i="679"/>
  <c r="B266" i="679"/>
  <c r="B265" i="679"/>
  <c r="B264" i="679"/>
  <c r="B263" i="679"/>
  <c r="B262" i="679"/>
  <c r="B261" i="679"/>
  <c r="B260" i="679"/>
  <c r="B259" i="679"/>
  <c r="B258" i="679"/>
  <c r="B257" i="679"/>
  <c r="B256" i="679"/>
  <c r="B255" i="679"/>
  <c r="B254" i="679"/>
  <c r="B253" i="679"/>
  <c r="B252" i="679"/>
  <c r="B251" i="679"/>
  <c r="B250" i="679"/>
  <c r="B249" i="679"/>
  <c r="B248" i="679"/>
  <c r="B247" i="679"/>
  <c r="B246" i="679"/>
  <c r="B245" i="679"/>
  <c r="B244" i="679"/>
  <c r="B243" i="679"/>
  <c r="B242" i="679"/>
  <c r="B241" i="679"/>
  <c r="B240" i="679"/>
  <c r="B239" i="679"/>
  <c r="B238" i="679"/>
  <c r="B237" i="679"/>
  <c r="B236" i="679"/>
  <c r="B235" i="679"/>
  <c r="B234" i="679"/>
  <c r="B233" i="679"/>
  <c r="B232" i="679"/>
  <c r="B231" i="679"/>
  <c r="B230" i="679"/>
  <c r="B229" i="679"/>
  <c r="B228" i="679"/>
  <c r="B227" i="679"/>
  <c r="B226" i="679"/>
  <c r="B225" i="679"/>
  <c r="B224" i="679"/>
  <c r="B223" i="679"/>
  <c r="B222" i="679"/>
  <c r="B221" i="679"/>
  <c r="B220" i="679"/>
  <c r="B219" i="679"/>
  <c r="B218" i="679"/>
  <c r="B217" i="679"/>
  <c r="B216" i="679"/>
  <c r="B215" i="679"/>
  <c r="B214" i="679"/>
  <c r="B213" i="679"/>
  <c r="B212" i="679"/>
  <c r="B211" i="679"/>
  <c r="B210" i="679"/>
  <c r="B209" i="679"/>
  <c r="B208" i="679"/>
  <c r="B207" i="679"/>
  <c r="B206" i="679"/>
  <c r="B205" i="679"/>
  <c r="B204" i="679"/>
  <c r="B203" i="679"/>
  <c r="B202" i="679"/>
  <c r="B201" i="679"/>
  <c r="B200" i="679"/>
  <c r="B199" i="679"/>
  <c r="B198" i="679"/>
  <c r="B197" i="679"/>
  <c r="B196" i="679"/>
  <c r="B195" i="679"/>
  <c r="B194" i="679"/>
  <c r="B193" i="679"/>
  <c r="B192" i="679"/>
  <c r="B191" i="679"/>
  <c r="B190" i="679"/>
  <c r="B189" i="679"/>
  <c r="B188" i="679"/>
  <c r="B187" i="679"/>
  <c r="B186" i="679"/>
  <c r="B185" i="679"/>
  <c r="B184" i="679"/>
  <c r="B183" i="679"/>
  <c r="B182" i="679"/>
  <c r="B181" i="679"/>
  <c r="B180" i="679"/>
  <c r="B179" i="679"/>
  <c r="B178" i="679"/>
  <c r="B177" i="679"/>
  <c r="B176" i="679"/>
  <c r="B175" i="679"/>
  <c r="B174" i="679"/>
  <c r="B173" i="679"/>
  <c r="B172" i="679"/>
  <c r="B171" i="679"/>
  <c r="B170" i="679"/>
  <c r="B169" i="679"/>
  <c r="B168" i="679"/>
  <c r="B167" i="679"/>
  <c r="B166" i="679"/>
  <c r="B165" i="679"/>
  <c r="B164" i="679"/>
  <c r="B163" i="679"/>
  <c r="B162" i="679"/>
  <c r="B161" i="679"/>
  <c r="B160" i="679"/>
  <c r="B159" i="679"/>
  <c r="B158" i="679"/>
  <c r="B157" i="679"/>
  <c r="B156" i="679"/>
  <c r="B155" i="679"/>
  <c r="B154" i="679"/>
  <c r="B153" i="679"/>
  <c r="B152" i="679"/>
  <c r="B151" i="679"/>
  <c r="B150" i="679"/>
  <c r="B149" i="679"/>
  <c r="B148" i="679"/>
  <c r="B147" i="679"/>
  <c r="B146" i="679"/>
  <c r="B145" i="679"/>
  <c r="B144" i="679"/>
  <c r="B143" i="679"/>
  <c r="B142" i="679"/>
  <c r="B141" i="679"/>
  <c r="B140" i="679"/>
  <c r="B139" i="679"/>
  <c r="B138" i="679"/>
  <c r="B137" i="679"/>
  <c r="B136" i="679"/>
  <c r="B135" i="679"/>
  <c r="B134" i="679"/>
  <c r="B133" i="679"/>
  <c r="B132" i="679"/>
  <c r="B131" i="679"/>
  <c r="B130" i="679"/>
  <c r="B129" i="679"/>
  <c r="B128" i="679"/>
  <c r="B127" i="679"/>
  <c r="B126" i="679"/>
  <c r="B125" i="679"/>
  <c r="B124" i="679"/>
  <c r="B123" i="679"/>
  <c r="B122" i="679"/>
  <c r="B121" i="679"/>
  <c r="B120" i="679"/>
  <c r="B119" i="679"/>
  <c r="B118" i="679"/>
  <c r="B117" i="679"/>
  <c r="B116" i="679"/>
  <c r="B115" i="679"/>
  <c r="B114" i="679"/>
  <c r="B113" i="679"/>
  <c r="B112" i="679"/>
  <c r="B111" i="679"/>
  <c r="B110" i="679"/>
  <c r="B109" i="679"/>
  <c r="B108" i="679"/>
  <c r="B107" i="679"/>
  <c r="B106" i="679"/>
  <c r="B105" i="679"/>
  <c r="B104" i="679"/>
  <c r="B103" i="679"/>
  <c r="B102" i="679"/>
  <c r="B101" i="679"/>
  <c r="B100" i="679"/>
  <c r="B99" i="679"/>
  <c r="B98" i="679"/>
  <c r="B97" i="679"/>
  <c r="B96" i="679"/>
  <c r="B95" i="679"/>
  <c r="B94" i="679"/>
  <c r="B93" i="679"/>
  <c r="B92" i="679"/>
  <c r="B91" i="679"/>
  <c r="B90" i="679"/>
  <c r="B89" i="679"/>
  <c r="B88" i="679"/>
  <c r="B87" i="679"/>
  <c r="B86" i="679"/>
  <c r="B85" i="679"/>
  <c r="B84" i="679"/>
  <c r="B83" i="679"/>
  <c r="B82" i="679"/>
  <c r="B81" i="679"/>
  <c r="B80" i="679"/>
  <c r="B79" i="679"/>
  <c r="B78" i="679"/>
  <c r="B77" i="679"/>
  <c r="B76" i="679"/>
  <c r="B75" i="679"/>
  <c r="B74" i="679"/>
  <c r="B73" i="679"/>
  <c r="B72" i="679"/>
  <c r="B71" i="679"/>
  <c r="B70" i="679"/>
  <c r="B69" i="679"/>
  <c r="B68" i="679"/>
  <c r="B67" i="679"/>
  <c r="B66" i="679"/>
  <c r="B65" i="679"/>
  <c r="B64" i="679"/>
  <c r="B63" i="679"/>
  <c r="B62" i="679"/>
  <c r="B61" i="679"/>
  <c r="B60" i="679"/>
  <c r="B59" i="679"/>
  <c r="B58" i="679"/>
  <c r="B57" i="679"/>
  <c r="B56" i="679"/>
  <c r="B55" i="679"/>
  <c r="B54" i="679"/>
  <c r="B53" i="679"/>
  <c r="B52" i="679"/>
  <c r="B51" i="679"/>
  <c r="B50" i="679"/>
  <c r="B49" i="679"/>
  <c r="B48" i="679"/>
  <c r="B47" i="679"/>
  <c r="B46" i="679"/>
  <c r="B45" i="679"/>
  <c r="B44" i="679"/>
  <c r="B43" i="679"/>
  <c r="B42" i="679"/>
  <c r="B41" i="679"/>
  <c r="B40" i="679"/>
  <c r="B39" i="679"/>
  <c r="B38" i="679"/>
  <c r="B37" i="679"/>
  <c r="B36" i="679"/>
  <c r="B35" i="679"/>
  <c r="B34" i="679"/>
  <c r="B33" i="679"/>
  <c r="B32" i="679"/>
  <c r="B31" i="679"/>
  <c r="B30" i="679"/>
  <c r="B29" i="679"/>
  <c r="B28" i="679"/>
  <c r="B27" i="679"/>
  <c r="B26" i="679"/>
  <c r="B25" i="679"/>
  <c r="B24" i="679"/>
  <c r="B23" i="679"/>
  <c r="B22" i="679"/>
  <c r="B21" i="679"/>
  <c r="B20" i="679"/>
  <c r="B19" i="679"/>
  <c r="B18" i="679"/>
  <c r="B17" i="679"/>
  <c r="B16" i="679"/>
  <c r="B15" i="679"/>
  <c r="B14" i="679"/>
  <c r="B13" i="679"/>
  <c r="B12" i="679"/>
  <c r="B11" i="679"/>
  <c r="B10" i="679"/>
  <c r="B9" i="679"/>
  <c r="B8" i="679"/>
  <c r="B7" i="679"/>
  <c r="B6" i="679"/>
  <c r="B5" i="679"/>
  <c r="B4" i="679"/>
  <c r="B3" i="679"/>
  <c r="B2" i="679"/>
  <c r="H25" i="699" l="1"/>
  <c r="J25" i="699" s="1"/>
  <c r="L25" i="699" s="1"/>
  <c r="N25" i="699" s="1"/>
  <c r="P25" i="699" s="1"/>
  <c r="G26" i="699"/>
  <c r="G26" i="391" s="1"/>
  <c r="F26" i="699"/>
  <c r="F26" i="391" s="1"/>
  <c r="I25" i="699"/>
  <c r="K25" i="699" s="1"/>
  <c r="M25" i="699" s="1"/>
  <c r="O25" i="699" s="1"/>
  <c r="Q25" i="699" s="1"/>
  <c r="Q23" i="699"/>
  <c r="E26" i="699"/>
  <c r="B27" i="699"/>
  <c r="D26" i="699"/>
  <c r="I26" i="699" l="1"/>
  <c r="K26" i="699" s="1"/>
  <c r="M26" i="699" s="1"/>
  <c r="O26" i="699" s="1"/>
  <c r="Q26" i="699" s="1"/>
  <c r="G27" i="699"/>
  <c r="G27" i="391" s="1"/>
  <c r="F27" i="699"/>
  <c r="F27" i="391" s="1"/>
  <c r="H26" i="699"/>
  <c r="J26" i="699" s="1"/>
  <c r="L26" i="699" s="1"/>
  <c r="N26" i="699" s="1"/>
  <c r="P26" i="699" s="1"/>
  <c r="B28" i="699"/>
  <c r="D27" i="699"/>
  <c r="E27" i="699"/>
  <c r="J85" i="644"/>
  <c r="J85" i="646" s="1"/>
  <c r="J85" i="647" s="1"/>
  <c r="J84" i="644"/>
  <c r="J84" i="646" s="1"/>
  <c r="J84" i="647" s="1"/>
  <c r="J59" i="644"/>
  <c r="J59" i="646" s="1"/>
  <c r="J59" i="647" s="1"/>
  <c r="J57" i="644"/>
  <c r="J60" i="644" s="1"/>
  <c r="J59" i="687" l="1"/>
  <c r="J59" i="650"/>
  <c r="J84" i="687"/>
  <c r="J84" i="650"/>
  <c r="J85" i="687"/>
  <c r="J85" i="650"/>
  <c r="J57" i="646"/>
  <c r="H27" i="699"/>
  <c r="J27" i="699" s="1"/>
  <c r="L27" i="699" s="1"/>
  <c r="N27" i="699" s="1"/>
  <c r="P27" i="699" s="1"/>
  <c r="I27" i="699"/>
  <c r="K27" i="699" s="1"/>
  <c r="M27" i="699" s="1"/>
  <c r="O27" i="699" s="1"/>
  <c r="Q27" i="699" s="1"/>
  <c r="G28" i="699"/>
  <c r="G28" i="391" s="1"/>
  <c r="F28" i="699"/>
  <c r="F28" i="391" s="1"/>
  <c r="B29" i="699"/>
  <c r="E28" i="699"/>
  <c r="D28" i="699"/>
  <c r="I52" i="545"/>
  <c r="I52" i="490"/>
  <c r="E58" i="687" l="1"/>
  <c r="E33" i="686" s="1"/>
  <c r="F58" i="687"/>
  <c r="F33" i="686" s="1"/>
  <c r="D58" i="687"/>
  <c r="D33" i="686" s="1"/>
  <c r="I58" i="687"/>
  <c r="I33" i="686" s="1"/>
  <c r="B58" i="687"/>
  <c r="B33" i="686" s="1"/>
  <c r="C58" i="687"/>
  <c r="C33" i="686" s="1"/>
  <c r="G58" i="687"/>
  <c r="G33" i="686" s="1"/>
  <c r="H58" i="687"/>
  <c r="H33" i="686" s="1"/>
  <c r="J60" i="646"/>
  <c r="J57" i="647"/>
  <c r="I28" i="699"/>
  <c r="K28" i="699" s="1"/>
  <c r="M28" i="699" s="1"/>
  <c r="O28" i="699" s="1"/>
  <c r="Q28" i="699" s="1"/>
  <c r="H28" i="699"/>
  <c r="J28" i="699" s="1"/>
  <c r="L28" i="699" s="1"/>
  <c r="N28" i="699" s="1"/>
  <c r="P28" i="699" s="1"/>
  <c r="G29" i="699"/>
  <c r="G29" i="391" s="1"/>
  <c r="F29" i="699"/>
  <c r="F29" i="391" s="1"/>
  <c r="D29" i="699"/>
  <c r="B30" i="699"/>
  <c r="E29" i="699"/>
  <c r="J57" i="650" l="1"/>
  <c r="J57" i="687"/>
  <c r="J60" i="647"/>
  <c r="G30" i="699"/>
  <c r="G30" i="391" s="1"/>
  <c r="F30" i="699"/>
  <c r="F30" i="391" s="1"/>
  <c r="I29" i="699"/>
  <c r="K29" i="699" s="1"/>
  <c r="M29" i="699" s="1"/>
  <c r="O29" i="699" s="1"/>
  <c r="Q29" i="699" s="1"/>
  <c r="H29" i="699"/>
  <c r="J29" i="699" s="1"/>
  <c r="L29" i="699" s="1"/>
  <c r="N29" i="699" s="1"/>
  <c r="P29" i="699" s="1"/>
  <c r="E30" i="699"/>
  <c r="D30" i="699"/>
  <c r="B31" i="699"/>
  <c r="D63" i="687" l="1"/>
  <c r="D38" i="686" s="1"/>
  <c r="J60" i="687"/>
  <c r="H57" i="687"/>
  <c r="H32" i="686" s="1"/>
  <c r="G63" i="687"/>
  <c r="G38" i="686" s="1"/>
  <c r="I57" i="687"/>
  <c r="C63" i="687"/>
  <c r="C38" i="686" s="1"/>
  <c r="E63" i="687"/>
  <c r="E38" i="686" s="1"/>
  <c r="I63" i="687"/>
  <c r="I38" i="686" s="1"/>
  <c r="B57" i="687"/>
  <c r="F57" i="687"/>
  <c r="F32" i="686" s="1"/>
  <c r="C57" i="687"/>
  <c r="F63" i="687"/>
  <c r="F38" i="686" s="1"/>
  <c r="D57" i="687"/>
  <c r="D32" i="686" s="1"/>
  <c r="H63" i="687"/>
  <c r="H38" i="686" s="1"/>
  <c r="E57" i="687"/>
  <c r="E32" i="686" s="1"/>
  <c r="B63" i="687"/>
  <c r="B38" i="686" s="1"/>
  <c r="G57" i="687"/>
  <c r="G32" i="686" s="1"/>
  <c r="B92" i="687"/>
  <c r="C92" i="687" s="1"/>
  <c r="D92" i="687" s="1"/>
  <c r="E92" i="687" s="1"/>
  <c r="F92" i="687" s="1"/>
  <c r="G92" i="687" s="1"/>
  <c r="H92" i="687" s="1"/>
  <c r="I92" i="687" s="1"/>
  <c r="H30" i="699"/>
  <c r="J30" i="699" s="1"/>
  <c r="L30" i="699" s="1"/>
  <c r="N30" i="699" s="1"/>
  <c r="P30" i="699" s="1"/>
  <c r="I30" i="699"/>
  <c r="K30" i="699" s="1"/>
  <c r="M30" i="699" s="1"/>
  <c r="O30" i="699" s="1"/>
  <c r="Q30" i="699" s="1"/>
  <c r="F31" i="699"/>
  <c r="F31" i="391" s="1"/>
  <c r="G31" i="699"/>
  <c r="G31" i="391" s="1"/>
  <c r="E31" i="699"/>
  <c r="B32" i="699"/>
  <c r="D31" i="699"/>
  <c r="C46" i="691"/>
  <c r="D46" i="691" s="1"/>
  <c r="K52" i="545"/>
  <c r="K49" i="545"/>
  <c r="K35" i="545"/>
  <c r="K23" i="545"/>
  <c r="K52" i="490"/>
  <c r="K49" i="490"/>
  <c r="K35" i="490"/>
  <c r="K23" i="490"/>
  <c r="K49" i="489"/>
  <c r="K35" i="489"/>
  <c r="K23" i="489"/>
  <c r="C32" i="686" l="1"/>
  <c r="I32" i="686"/>
  <c r="B32" i="686"/>
  <c r="H31" i="699"/>
  <c r="J31" i="699" s="1"/>
  <c r="L31" i="699" s="1"/>
  <c r="N31" i="699" s="1"/>
  <c r="P31" i="699" s="1"/>
  <c r="I31" i="699"/>
  <c r="K31" i="699" s="1"/>
  <c r="M31" i="699" s="1"/>
  <c r="O31" i="699" s="1"/>
  <c r="Q31" i="699" s="1"/>
  <c r="G32" i="699"/>
  <c r="G32" i="391" s="1"/>
  <c r="F32" i="699"/>
  <c r="F32" i="391" s="1"/>
  <c r="B33" i="699"/>
  <c r="E32" i="699"/>
  <c r="D32" i="699"/>
  <c r="I32" i="683"/>
  <c r="J32" i="683" s="1"/>
  <c r="C45" i="691"/>
  <c r="D45" i="691" s="1"/>
  <c r="B1021" i="675"/>
  <c r="B1020" i="675"/>
  <c r="B1019" i="675"/>
  <c r="B1018" i="675"/>
  <c r="B1017" i="675"/>
  <c r="B1016" i="675"/>
  <c r="B1015" i="675"/>
  <c r="B1014" i="675"/>
  <c r="B1013" i="675"/>
  <c r="B1012" i="675"/>
  <c r="B1011" i="675"/>
  <c r="B1010" i="675"/>
  <c r="B1009" i="675"/>
  <c r="B1008" i="675"/>
  <c r="B1007" i="675"/>
  <c r="B1006" i="675"/>
  <c r="B1005" i="675"/>
  <c r="B1004" i="675"/>
  <c r="B1003" i="675"/>
  <c r="B1002" i="675"/>
  <c r="B1001" i="675"/>
  <c r="B1000" i="675"/>
  <c r="B999" i="675"/>
  <c r="B998" i="675"/>
  <c r="B997" i="675"/>
  <c r="B996" i="675"/>
  <c r="B995" i="675"/>
  <c r="B994" i="675"/>
  <c r="B993" i="675"/>
  <c r="B992" i="675"/>
  <c r="B991" i="675"/>
  <c r="B990" i="675"/>
  <c r="B989" i="675"/>
  <c r="B988" i="675"/>
  <c r="B987" i="675"/>
  <c r="B986" i="675"/>
  <c r="B985" i="675"/>
  <c r="B984" i="675"/>
  <c r="B983" i="675"/>
  <c r="B982" i="675"/>
  <c r="B981" i="675"/>
  <c r="B980" i="675"/>
  <c r="B979" i="675"/>
  <c r="B978" i="675"/>
  <c r="B977" i="675"/>
  <c r="B976" i="675"/>
  <c r="B975" i="675"/>
  <c r="B974" i="675"/>
  <c r="B973" i="675"/>
  <c r="B972" i="675"/>
  <c r="B971" i="675"/>
  <c r="B970" i="675"/>
  <c r="B969" i="675"/>
  <c r="B968" i="675"/>
  <c r="B967" i="675"/>
  <c r="B966" i="675"/>
  <c r="B965" i="675"/>
  <c r="B964" i="675"/>
  <c r="B963" i="675"/>
  <c r="B962" i="675"/>
  <c r="B961" i="675"/>
  <c r="B960" i="675"/>
  <c r="B959" i="675"/>
  <c r="B958" i="675"/>
  <c r="B957" i="675"/>
  <c r="B956" i="675"/>
  <c r="B955" i="675"/>
  <c r="B954" i="675"/>
  <c r="B953" i="675"/>
  <c r="B952" i="675"/>
  <c r="B951" i="675"/>
  <c r="B950" i="675"/>
  <c r="B949" i="675"/>
  <c r="B948" i="675"/>
  <c r="B947" i="675"/>
  <c r="B946" i="675"/>
  <c r="B945" i="675"/>
  <c r="B944" i="675"/>
  <c r="B943" i="675"/>
  <c r="B942" i="675"/>
  <c r="B941" i="675"/>
  <c r="B940" i="675"/>
  <c r="B939" i="675"/>
  <c r="B938" i="675"/>
  <c r="B937" i="675"/>
  <c r="B936" i="675"/>
  <c r="B935" i="675"/>
  <c r="B934" i="675"/>
  <c r="B933" i="675"/>
  <c r="B932" i="675"/>
  <c r="B931" i="675"/>
  <c r="B930" i="675"/>
  <c r="B929" i="675"/>
  <c r="B928" i="675"/>
  <c r="B927" i="675"/>
  <c r="B926" i="675"/>
  <c r="B925" i="675"/>
  <c r="B924" i="675"/>
  <c r="B923" i="675"/>
  <c r="B922" i="675"/>
  <c r="B921" i="675"/>
  <c r="B920" i="675"/>
  <c r="B919" i="675"/>
  <c r="B918" i="675"/>
  <c r="B917" i="675"/>
  <c r="B916" i="675"/>
  <c r="B915" i="675"/>
  <c r="B914" i="675"/>
  <c r="B913" i="675"/>
  <c r="B912" i="675"/>
  <c r="B911" i="675"/>
  <c r="B910" i="675"/>
  <c r="B909" i="675"/>
  <c r="B908" i="675"/>
  <c r="B907" i="675"/>
  <c r="B906" i="675"/>
  <c r="B905" i="675"/>
  <c r="B904" i="675"/>
  <c r="B903" i="675"/>
  <c r="B902" i="675"/>
  <c r="B901" i="675"/>
  <c r="B900" i="675"/>
  <c r="B899" i="675"/>
  <c r="B898" i="675"/>
  <c r="B897" i="675"/>
  <c r="B896" i="675"/>
  <c r="B895" i="675"/>
  <c r="B894" i="675"/>
  <c r="B893" i="675"/>
  <c r="B892" i="675"/>
  <c r="B891" i="675"/>
  <c r="B890" i="675"/>
  <c r="B889" i="675"/>
  <c r="B888" i="675"/>
  <c r="B887" i="675"/>
  <c r="B886" i="675"/>
  <c r="B885" i="675"/>
  <c r="B884" i="675"/>
  <c r="B883" i="675"/>
  <c r="B882" i="675"/>
  <c r="B881" i="675"/>
  <c r="B880" i="675"/>
  <c r="B879" i="675"/>
  <c r="B878" i="675"/>
  <c r="B877" i="675"/>
  <c r="B876" i="675"/>
  <c r="B875" i="675"/>
  <c r="B874" i="675"/>
  <c r="B873" i="675"/>
  <c r="B872" i="675"/>
  <c r="B871" i="675"/>
  <c r="B870" i="675"/>
  <c r="B869" i="675"/>
  <c r="B868" i="675"/>
  <c r="B867" i="675"/>
  <c r="B866" i="675"/>
  <c r="B865" i="675"/>
  <c r="B864" i="675"/>
  <c r="B863" i="675"/>
  <c r="B862" i="675"/>
  <c r="B861" i="675"/>
  <c r="B860" i="675"/>
  <c r="B859" i="675"/>
  <c r="B858" i="675"/>
  <c r="B857" i="675"/>
  <c r="B856" i="675"/>
  <c r="B855" i="675"/>
  <c r="B854" i="675"/>
  <c r="B853" i="675"/>
  <c r="B852" i="675"/>
  <c r="B851" i="675"/>
  <c r="B850" i="675"/>
  <c r="B849" i="675"/>
  <c r="B848" i="675"/>
  <c r="B847" i="675"/>
  <c r="B846" i="675"/>
  <c r="B845" i="675"/>
  <c r="B844" i="675"/>
  <c r="B843" i="675"/>
  <c r="B842" i="675"/>
  <c r="B841" i="675"/>
  <c r="B840" i="675"/>
  <c r="B839" i="675"/>
  <c r="B838" i="675"/>
  <c r="B837" i="675"/>
  <c r="B836" i="675"/>
  <c r="B835" i="675"/>
  <c r="B834" i="675"/>
  <c r="B833" i="675"/>
  <c r="B832" i="675"/>
  <c r="B831" i="675"/>
  <c r="B830" i="675"/>
  <c r="B829" i="675"/>
  <c r="B828" i="675"/>
  <c r="B827" i="675"/>
  <c r="B826" i="675"/>
  <c r="B825" i="675"/>
  <c r="B824" i="675"/>
  <c r="B823" i="675"/>
  <c r="B822" i="675"/>
  <c r="B821" i="675"/>
  <c r="B820" i="675"/>
  <c r="B819" i="675"/>
  <c r="B818" i="675"/>
  <c r="B817" i="675"/>
  <c r="B816" i="675"/>
  <c r="B815" i="675"/>
  <c r="B814" i="675"/>
  <c r="B813" i="675"/>
  <c r="B812" i="675"/>
  <c r="B811" i="675"/>
  <c r="B810" i="675"/>
  <c r="B809" i="675"/>
  <c r="B808" i="675"/>
  <c r="B807" i="675"/>
  <c r="B806" i="675"/>
  <c r="B805" i="675"/>
  <c r="B804" i="675"/>
  <c r="B803" i="675"/>
  <c r="B802" i="675"/>
  <c r="B801" i="675"/>
  <c r="B800" i="675"/>
  <c r="B799" i="675"/>
  <c r="B798" i="675"/>
  <c r="B797" i="675"/>
  <c r="B796" i="675"/>
  <c r="B795" i="675"/>
  <c r="B794" i="675"/>
  <c r="B793" i="675"/>
  <c r="B792" i="675"/>
  <c r="B791" i="675"/>
  <c r="B790" i="675"/>
  <c r="B789" i="675"/>
  <c r="B788" i="675"/>
  <c r="B787" i="675"/>
  <c r="B786" i="675"/>
  <c r="B785" i="675"/>
  <c r="B784" i="675"/>
  <c r="B783" i="675"/>
  <c r="B782" i="675"/>
  <c r="B781" i="675"/>
  <c r="B780" i="675"/>
  <c r="B779" i="675"/>
  <c r="B778" i="675"/>
  <c r="B777" i="675"/>
  <c r="B776" i="675"/>
  <c r="B775" i="675"/>
  <c r="B774" i="675"/>
  <c r="B773" i="675"/>
  <c r="B772" i="675"/>
  <c r="B771" i="675"/>
  <c r="B770" i="675"/>
  <c r="B769" i="675"/>
  <c r="B768" i="675"/>
  <c r="B767" i="675"/>
  <c r="B766" i="675"/>
  <c r="B765" i="675"/>
  <c r="B764" i="675"/>
  <c r="B763" i="675"/>
  <c r="B762" i="675"/>
  <c r="B761" i="675"/>
  <c r="B760" i="675"/>
  <c r="B759" i="675"/>
  <c r="B758" i="675"/>
  <c r="B757" i="675"/>
  <c r="B756" i="675"/>
  <c r="B755" i="675"/>
  <c r="B754" i="675"/>
  <c r="B753" i="675"/>
  <c r="B752" i="675"/>
  <c r="B751" i="675"/>
  <c r="B750" i="675"/>
  <c r="B749" i="675"/>
  <c r="B748" i="675"/>
  <c r="B747" i="675"/>
  <c r="B746" i="675"/>
  <c r="B745" i="675"/>
  <c r="B744" i="675"/>
  <c r="B743" i="675"/>
  <c r="B742" i="675"/>
  <c r="B741" i="675"/>
  <c r="B740" i="675"/>
  <c r="B739" i="675"/>
  <c r="B738" i="675"/>
  <c r="B737" i="675"/>
  <c r="B736" i="675"/>
  <c r="B735" i="675"/>
  <c r="B734" i="675"/>
  <c r="B733" i="675"/>
  <c r="B732" i="675"/>
  <c r="B731" i="675"/>
  <c r="B730" i="675"/>
  <c r="B729" i="675"/>
  <c r="B728" i="675"/>
  <c r="B727" i="675"/>
  <c r="B726" i="675"/>
  <c r="B725" i="675"/>
  <c r="B724" i="675"/>
  <c r="B723" i="675"/>
  <c r="B722" i="675"/>
  <c r="B721" i="675"/>
  <c r="B720" i="675"/>
  <c r="B719" i="675"/>
  <c r="B718" i="675"/>
  <c r="B717" i="675"/>
  <c r="B716" i="675"/>
  <c r="B715" i="675"/>
  <c r="B714" i="675"/>
  <c r="B713" i="675"/>
  <c r="B712" i="675"/>
  <c r="B711" i="675"/>
  <c r="B710" i="675"/>
  <c r="B709" i="675"/>
  <c r="B708" i="675"/>
  <c r="B707" i="675"/>
  <c r="B706" i="675"/>
  <c r="B705" i="675"/>
  <c r="B704" i="675"/>
  <c r="B703" i="675"/>
  <c r="B702" i="675"/>
  <c r="B701" i="675"/>
  <c r="B700" i="675"/>
  <c r="B699" i="675"/>
  <c r="B698" i="675"/>
  <c r="B697" i="675"/>
  <c r="B696" i="675"/>
  <c r="B695" i="675"/>
  <c r="B694" i="675"/>
  <c r="B693" i="675"/>
  <c r="B692" i="675"/>
  <c r="B691" i="675"/>
  <c r="B690" i="675"/>
  <c r="B689" i="675"/>
  <c r="B688" i="675"/>
  <c r="B687" i="675"/>
  <c r="B686" i="675"/>
  <c r="B685" i="675"/>
  <c r="B684" i="675"/>
  <c r="B683" i="675"/>
  <c r="B682" i="675"/>
  <c r="B681" i="675"/>
  <c r="B680" i="675"/>
  <c r="B679" i="675"/>
  <c r="B678" i="675"/>
  <c r="B677" i="675"/>
  <c r="B676" i="675"/>
  <c r="B675" i="675"/>
  <c r="B674" i="675"/>
  <c r="B673" i="675"/>
  <c r="B672" i="675"/>
  <c r="B671" i="675"/>
  <c r="B670" i="675"/>
  <c r="B669" i="675"/>
  <c r="B668" i="675"/>
  <c r="B667" i="675"/>
  <c r="B666" i="675"/>
  <c r="B665" i="675"/>
  <c r="B664" i="675"/>
  <c r="B663" i="675"/>
  <c r="B662" i="675"/>
  <c r="B661" i="675"/>
  <c r="B660" i="675"/>
  <c r="B659" i="675"/>
  <c r="B658" i="675"/>
  <c r="B657" i="675"/>
  <c r="B656" i="675"/>
  <c r="B655" i="675"/>
  <c r="B654" i="675"/>
  <c r="B653" i="675"/>
  <c r="B652" i="675"/>
  <c r="B651" i="675"/>
  <c r="B650" i="675"/>
  <c r="B649" i="675"/>
  <c r="B648" i="675"/>
  <c r="B647" i="675"/>
  <c r="B646" i="675"/>
  <c r="B645" i="675"/>
  <c r="B644" i="675"/>
  <c r="B643" i="675"/>
  <c r="B642" i="675"/>
  <c r="B641" i="675"/>
  <c r="B640" i="675"/>
  <c r="B639" i="675"/>
  <c r="B638" i="675"/>
  <c r="B637" i="675"/>
  <c r="B636" i="675"/>
  <c r="B635" i="675"/>
  <c r="B634" i="675"/>
  <c r="B633" i="675"/>
  <c r="B632" i="675"/>
  <c r="B631" i="675"/>
  <c r="B630" i="675"/>
  <c r="B629" i="675"/>
  <c r="B628" i="675"/>
  <c r="B627" i="675"/>
  <c r="B626" i="675"/>
  <c r="B625" i="675"/>
  <c r="B624" i="675"/>
  <c r="B623" i="675"/>
  <c r="B622" i="675"/>
  <c r="B621" i="675"/>
  <c r="B620" i="675"/>
  <c r="B619" i="675"/>
  <c r="B618" i="675"/>
  <c r="B617" i="675"/>
  <c r="B616" i="675"/>
  <c r="B615" i="675"/>
  <c r="B614" i="675"/>
  <c r="B613" i="675"/>
  <c r="B612" i="675"/>
  <c r="B611" i="675"/>
  <c r="B610" i="675"/>
  <c r="B609" i="675"/>
  <c r="B608" i="675"/>
  <c r="B607" i="675"/>
  <c r="B606" i="675"/>
  <c r="B605" i="675"/>
  <c r="B604" i="675"/>
  <c r="B603" i="675"/>
  <c r="B602" i="675"/>
  <c r="B601" i="675"/>
  <c r="B600" i="675"/>
  <c r="B599" i="675"/>
  <c r="B598" i="675"/>
  <c r="B597" i="675"/>
  <c r="B596" i="675"/>
  <c r="B595" i="675"/>
  <c r="B594" i="675"/>
  <c r="B593" i="675"/>
  <c r="B592" i="675"/>
  <c r="B591" i="675"/>
  <c r="B590" i="675"/>
  <c r="B589" i="675"/>
  <c r="B588" i="675"/>
  <c r="B587" i="675"/>
  <c r="B586" i="675"/>
  <c r="B585" i="675"/>
  <c r="B584" i="675"/>
  <c r="B583" i="675"/>
  <c r="B582" i="675"/>
  <c r="B581" i="675"/>
  <c r="B580" i="675"/>
  <c r="B579" i="675"/>
  <c r="B578" i="675"/>
  <c r="B577" i="675"/>
  <c r="B576" i="675"/>
  <c r="B575" i="675"/>
  <c r="B574" i="675"/>
  <c r="B573" i="675"/>
  <c r="B572" i="675"/>
  <c r="B571" i="675"/>
  <c r="B570" i="675"/>
  <c r="B569" i="675"/>
  <c r="B568" i="675"/>
  <c r="B567" i="675"/>
  <c r="B566" i="675"/>
  <c r="B565" i="675"/>
  <c r="B564" i="675"/>
  <c r="B563" i="675"/>
  <c r="B562" i="675"/>
  <c r="B561" i="675"/>
  <c r="B560" i="675"/>
  <c r="B559" i="675"/>
  <c r="B558" i="675"/>
  <c r="B557" i="675"/>
  <c r="B556" i="675"/>
  <c r="B555" i="675"/>
  <c r="B554" i="675"/>
  <c r="B553" i="675"/>
  <c r="B552" i="675"/>
  <c r="B551" i="675"/>
  <c r="B550" i="675"/>
  <c r="B549" i="675"/>
  <c r="B548" i="675"/>
  <c r="B547" i="675"/>
  <c r="B546" i="675"/>
  <c r="B545" i="675"/>
  <c r="B544" i="675"/>
  <c r="B543" i="675"/>
  <c r="B542" i="675"/>
  <c r="B541" i="675"/>
  <c r="B540" i="675"/>
  <c r="B539" i="675"/>
  <c r="B538" i="675"/>
  <c r="B537" i="675"/>
  <c r="B536" i="675"/>
  <c r="B535" i="675"/>
  <c r="B534" i="675"/>
  <c r="B533" i="675"/>
  <c r="B532" i="675"/>
  <c r="B531" i="675"/>
  <c r="B530" i="675"/>
  <c r="B529" i="675"/>
  <c r="B528" i="675"/>
  <c r="B527" i="675"/>
  <c r="B526" i="675"/>
  <c r="B525" i="675"/>
  <c r="B524" i="675"/>
  <c r="B523" i="675"/>
  <c r="B522" i="675"/>
  <c r="B521" i="675"/>
  <c r="B520" i="675"/>
  <c r="B519" i="675"/>
  <c r="B518" i="675"/>
  <c r="B517" i="675"/>
  <c r="B516" i="675"/>
  <c r="B515" i="675"/>
  <c r="B514" i="675"/>
  <c r="B513" i="675"/>
  <c r="B512" i="675"/>
  <c r="B511" i="675"/>
  <c r="B510" i="675"/>
  <c r="B509" i="675"/>
  <c r="B508" i="675"/>
  <c r="B507" i="675"/>
  <c r="B506" i="675"/>
  <c r="B505" i="675"/>
  <c r="B504" i="675"/>
  <c r="B503" i="675"/>
  <c r="B502" i="675"/>
  <c r="B501" i="675"/>
  <c r="B500" i="675"/>
  <c r="B499" i="675"/>
  <c r="B498" i="675"/>
  <c r="B497" i="675"/>
  <c r="B496" i="675"/>
  <c r="B495" i="675"/>
  <c r="B494" i="675"/>
  <c r="B493" i="675"/>
  <c r="B492" i="675"/>
  <c r="B491" i="675"/>
  <c r="B490" i="675"/>
  <c r="B489" i="675"/>
  <c r="B488" i="675"/>
  <c r="B487" i="675"/>
  <c r="B486" i="675"/>
  <c r="B485" i="675"/>
  <c r="B484" i="675"/>
  <c r="B483" i="675"/>
  <c r="B482" i="675"/>
  <c r="B481" i="675"/>
  <c r="B480" i="675"/>
  <c r="B479" i="675"/>
  <c r="B478" i="675"/>
  <c r="B477" i="675"/>
  <c r="B476" i="675"/>
  <c r="B475" i="675"/>
  <c r="B474" i="675"/>
  <c r="B473" i="675"/>
  <c r="B472" i="675"/>
  <c r="B471" i="675"/>
  <c r="B470" i="675"/>
  <c r="B469" i="675"/>
  <c r="B468" i="675"/>
  <c r="B467" i="675"/>
  <c r="B466" i="675"/>
  <c r="B465" i="675"/>
  <c r="B464" i="675"/>
  <c r="B463" i="675"/>
  <c r="B462" i="675"/>
  <c r="B461" i="675"/>
  <c r="B460" i="675"/>
  <c r="B459" i="675"/>
  <c r="B458" i="675"/>
  <c r="B457" i="675"/>
  <c r="B456" i="675"/>
  <c r="B455" i="675"/>
  <c r="B454" i="675"/>
  <c r="B453" i="675"/>
  <c r="B452" i="675"/>
  <c r="B451" i="675"/>
  <c r="B450" i="675"/>
  <c r="B449" i="675"/>
  <c r="B448" i="675"/>
  <c r="B447" i="675"/>
  <c r="B446" i="675"/>
  <c r="B445" i="675"/>
  <c r="B444" i="675"/>
  <c r="B443" i="675"/>
  <c r="B442" i="675"/>
  <c r="B441" i="675"/>
  <c r="B440" i="675"/>
  <c r="B439" i="675"/>
  <c r="B438" i="675"/>
  <c r="B437" i="675"/>
  <c r="B436" i="675"/>
  <c r="B435" i="675"/>
  <c r="B434" i="675"/>
  <c r="B433" i="675"/>
  <c r="B432" i="675"/>
  <c r="B431" i="675"/>
  <c r="B430" i="675"/>
  <c r="B429" i="675"/>
  <c r="B428" i="675"/>
  <c r="B427" i="675"/>
  <c r="B426" i="675"/>
  <c r="B425" i="675"/>
  <c r="B424" i="675"/>
  <c r="B423" i="675"/>
  <c r="B422" i="675"/>
  <c r="B421" i="675"/>
  <c r="B420" i="675"/>
  <c r="B419" i="675"/>
  <c r="B418" i="675"/>
  <c r="B417" i="675"/>
  <c r="B416" i="675"/>
  <c r="B415" i="675"/>
  <c r="B414" i="675"/>
  <c r="B413" i="675"/>
  <c r="B412" i="675"/>
  <c r="B411" i="675"/>
  <c r="B410" i="675"/>
  <c r="B409" i="675"/>
  <c r="B408" i="675"/>
  <c r="B407" i="675"/>
  <c r="B406" i="675"/>
  <c r="B405" i="675"/>
  <c r="B404" i="675"/>
  <c r="B403" i="675"/>
  <c r="B402" i="675"/>
  <c r="B401" i="675"/>
  <c r="B400" i="675"/>
  <c r="B399" i="675"/>
  <c r="B398" i="675"/>
  <c r="B397" i="675"/>
  <c r="B396" i="675"/>
  <c r="B395" i="675"/>
  <c r="B394" i="675"/>
  <c r="B393" i="675"/>
  <c r="B392" i="675"/>
  <c r="B391" i="675"/>
  <c r="B390" i="675"/>
  <c r="B389" i="675"/>
  <c r="B388" i="675"/>
  <c r="B387" i="675"/>
  <c r="B386" i="675"/>
  <c r="B385" i="675"/>
  <c r="B384" i="675"/>
  <c r="B383" i="675"/>
  <c r="B382" i="675"/>
  <c r="B381" i="675"/>
  <c r="B380" i="675"/>
  <c r="B379" i="675"/>
  <c r="B378" i="675"/>
  <c r="B377" i="675"/>
  <c r="B376" i="675"/>
  <c r="B375" i="675"/>
  <c r="B374" i="675"/>
  <c r="B373" i="675"/>
  <c r="B372" i="675"/>
  <c r="B371" i="675"/>
  <c r="B370" i="675"/>
  <c r="B369" i="675"/>
  <c r="B368" i="675"/>
  <c r="B367" i="675"/>
  <c r="B366" i="675"/>
  <c r="B365" i="675"/>
  <c r="B364" i="675"/>
  <c r="B363" i="675"/>
  <c r="B362" i="675"/>
  <c r="B361" i="675"/>
  <c r="B360" i="675"/>
  <c r="B359" i="675"/>
  <c r="B358" i="675"/>
  <c r="B357" i="675"/>
  <c r="B356" i="675"/>
  <c r="B355" i="675"/>
  <c r="B354" i="675"/>
  <c r="B353" i="675"/>
  <c r="B352" i="675"/>
  <c r="B351" i="675"/>
  <c r="B350" i="675"/>
  <c r="B349" i="675"/>
  <c r="B348" i="675"/>
  <c r="B347" i="675"/>
  <c r="B346" i="675"/>
  <c r="B345" i="675"/>
  <c r="B344" i="675"/>
  <c r="B343" i="675"/>
  <c r="B342" i="675"/>
  <c r="B341" i="675"/>
  <c r="B340" i="675"/>
  <c r="B339" i="675"/>
  <c r="B338" i="675"/>
  <c r="B337" i="675"/>
  <c r="B336" i="675"/>
  <c r="B335" i="675"/>
  <c r="B334" i="675"/>
  <c r="B333" i="675"/>
  <c r="B332" i="675"/>
  <c r="B331" i="675"/>
  <c r="B330" i="675"/>
  <c r="B329" i="675"/>
  <c r="B328" i="675"/>
  <c r="B327" i="675"/>
  <c r="B326" i="675"/>
  <c r="B325" i="675"/>
  <c r="B324" i="675"/>
  <c r="B323" i="675"/>
  <c r="B322" i="675"/>
  <c r="B321" i="675"/>
  <c r="B320" i="675"/>
  <c r="B319" i="675"/>
  <c r="B318" i="675"/>
  <c r="B317" i="675"/>
  <c r="B316" i="675"/>
  <c r="B315" i="675"/>
  <c r="B314" i="675"/>
  <c r="B313" i="675"/>
  <c r="B312" i="675"/>
  <c r="B311" i="675"/>
  <c r="B310" i="675"/>
  <c r="B309" i="675"/>
  <c r="B308" i="675"/>
  <c r="B307" i="675"/>
  <c r="B306" i="675"/>
  <c r="B305" i="675"/>
  <c r="B304" i="675"/>
  <c r="B303" i="675"/>
  <c r="B302" i="675"/>
  <c r="B301" i="675"/>
  <c r="B300" i="675"/>
  <c r="B299" i="675"/>
  <c r="B298" i="675"/>
  <c r="B297" i="675"/>
  <c r="B296" i="675"/>
  <c r="B295" i="675"/>
  <c r="B294" i="675"/>
  <c r="B293" i="675"/>
  <c r="B292" i="675"/>
  <c r="B291" i="675"/>
  <c r="B290" i="675"/>
  <c r="B289" i="675"/>
  <c r="B288" i="675"/>
  <c r="B287" i="675"/>
  <c r="B286" i="675"/>
  <c r="B285" i="675"/>
  <c r="B284" i="675"/>
  <c r="B283" i="675"/>
  <c r="B282" i="675"/>
  <c r="B281" i="675"/>
  <c r="B280" i="675"/>
  <c r="B279" i="675"/>
  <c r="B278" i="675"/>
  <c r="B277" i="675"/>
  <c r="B276" i="675"/>
  <c r="B275" i="675"/>
  <c r="B274" i="675"/>
  <c r="B273" i="675"/>
  <c r="B272" i="675"/>
  <c r="B271" i="675"/>
  <c r="B270" i="675"/>
  <c r="B269" i="675"/>
  <c r="B268" i="675"/>
  <c r="B267" i="675"/>
  <c r="B266" i="675"/>
  <c r="B265" i="675"/>
  <c r="B264" i="675"/>
  <c r="B263" i="675"/>
  <c r="B262" i="675"/>
  <c r="B261" i="675"/>
  <c r="B260" i="675"/>
  <c r="B259" i="675"/>
  <c r="B258" i="675"/>
  <c r="B257" i="675"/>
  <c r="B256" i="675"/>
  <c r="B255" i="675"/>
  <c r="B254" i="675"/>
  <c r="B253" i="675"/>
  <c r="B252" i="675"/>
  <c r="B251" i="675"/>
  <c r="B250" i="675"/>
  <c r="B249" i="675"/>
  <c r="B248" i="675"/>
  <c r="B247" i="675"/>
  <c r="B246" i="675"/>
  <c r="B245" i="675"/>
  <c r="B244" i="675"/>
  <c r="B243" i="675"/>
  <c r="B242" i="675"/>
  <c r="B241" i="675"/>
  <c r="B240" i="675"/>
  <c r="B239" i="675"/>
  <c r="B238" i="675"/>
  <c r="B237" i="675"/>
  <c r="B236" i="675"/>
  <c r="B235" i="675"/>
  <c r="B234" i="675"/>
  <c r="B233" i="675"/>
  <c r="B232" i="675"/>
  <c r="B231" i="675"/>
  <c r="B230" i="675"/>
  <c r="B229" i="675"/>
  <c r="B228" i="675"/>
  <c r="B227" i="675"/>
  <c r="B226" i="675"/>
  <c r="B225" i="675"/>
  <c r="B224" i="675"/>
  <c r="B223" i="675"/>
  <c r="B222" i="675"/>
  <c r="B221" i="675"/>
  <c r="B220" i="675"/>
  <c r="B219" i="675"/>
  <c r="B218" i="675"/>
  <c r="B217" i="675"/>
  <c r="B216" i="675"/>
  <c r="B215" i="675"/>
  <c r="B214" i="675"/>
  <c r="B213" i="675"/>
  <c r="B212" i="675"/>
  <c r="B211" i="675"/>
  <c r="B210" i="675"/>
  <c r="B209" i="675"/>
  <c r="B208" i="675"/>
  <c r="B207" i="675"/>
  <c r="B206" i="675"/>
  <c r="B205" i="675"/>
  <c r="B204" i="675"/>
  <c r="B203" i="675"/>
  <c r="B202" i="675"/>
  <c r="B201" i="675"/>
  <c r="B200" i="675"/>
  <c r="B199" i="675"/>
  <c r="B198" i="675"/>
  <c r="B197" i="675"/>
  <c r="B196" i="675"/>
  <c r="B195" i="675"/>
  <c r="B194" i="675"/>
  <c r="B193" i="675"/>
  <c r="B192" i="675"/>
  <c r="B191" i="675"/>
  <c r="B190" i="675"/>
  <c r="B189" i="675"/>
  <c r="B188" i="675"/>
  <c r="B187" i="675"/>
  <c r="B186" i="675"/>
  <c r="B185" i="675"/>
  <c r="B184" i="675"/>
  <c r="B183" i="675"/>
  <c r="B182" i="675"/>
  <c r="B181" i="675"/>
  <c r="B180" i="675"/>
  <c r="B179" i="675"/>
  <c r="B178" i="675"/>
  <c r="B177" i="675"/>
  <c r="B176" i="675"/>
  <c r="B175" i="675"/>
  <c r="B174" i="675"/>
  <c r="B173" i="675"/>
  <c r="B172" i="675"/>
  <c r="B171" i="675"/>
  <c r="B170" i="675"/>
  <c r="B169" i="675"/>
  <c r="B168" i="675"/>
  <c r="B167" i="675"/>
  <c r="B166" i="675"/>
  <c r="B165" i="675"/>
  <c r="B164" i="675"/>
  <c r="B163" i="675"/>
  <c r="B162" i="675"/>
  <c r="B161" i="675"/>
  <c r="B160" i="675"/>
  <c r="B159" i="675"/>
  <c r="B158" i="675"/>
  <c r="B157" i="675"/>
  <c r="B156" i="675"/>
  <c r="B155" i="675"/>
  <c r="B154" i="675"/>
  <c r="B153" i="675"/>
  <c r="B152" i="675"/>
  <c r="B151" i="675"/>
  <c r="B150" i="675"/>
  <c r="B149" i="675"/>
  <c r="B148" i="675"/>
  <c r="B147" i="675"/>
  <c r="B146" i="675"/>
  <c r="B145" i="675"/>
  <c r="B144" i="675"/>
  <c r="B143" i="675"/>
  <c r="B142" i="675"/>
  <c r="B141" i="675"/>
  <c r="B140" i="675"/>
  <c r="B139" i="675"/>
  <c r="B138" i="675"/>
  <c r="B137" i="675"/>
  <c r="B136" i="675"/>
  <c r="B135" i="675"/>
  <c r="B134" i="675"/>
  <c r="B133" i="675"/>
  <c r="B132" i="675"/>
  <c r="B131" i="675"/>
  <c r="B130" i="675"/>
  <c r="B129" i="675"/>
  <c r="B128" i="675"/>
  <c r="B127" i="675"/>
  <c r="B126" i="675"/>
  <c r="B125" i="675"/>
  <c r="B124" i="675"/>
  <c r="B123" i="675"/>
  <c r="B122" i="675"/>
  <c r="B121" i="675"/>
  <c r="B120" i="675"/>
  <c r="B119" i="675"/>
  <c r="B118" i="675"/>
  <c r="B117" i="675"/>
  <c r="B116" i="675"/>
  <c r="B115" i="675"/>
  <c r="B114" i="675"/>
  <c r="B113" i="675"/>
  <c r="B112" i="675"/>
  <c r="B111" i="675"/>
  <c r="B110" i="675"/>
  <c r="B109" i="675"/>
  <c r="B108" i="675"/>
  <c r="B107" i="675"/>
  <c r="B106" i="675"/>
  <c r="B105" i="675"/>
  <c r="B104" i="675"/>
  <c r="B103" i="675"/>
  <c r="B102" i="675"/>
  <c r="B101" i="675"/>
  <c r="B100" i="675"/>
  <c r="B99" i="675"/>
  <c r="B98" i="675"/>
  <c r="B97" i="675"/>
  <c r="B96" i="675"/>
  <c r="B95" i="675"/>
  <c r="B94" i="675"/>
  <c r="B93" i="675"/>
  <c r="B92" i="675"/>
  <c r="B91" i="675"/>
  <c r="B90" i="675"/>
  <c r="B89" i="675"/>
  <c r="B88" i="675"/>
  <c r="B87" i="675"/>
  <c r="B86" i="675"/>
  <c r="B85" i="675"/>
  <c r="B84" i="675"/>
  <c r="B83" i="675"/>
  <c r="B82" i="675"/>
  <c r="B81" i="675"/>
  <c r="B80" i="675"/>
  <c r="B79" i="675"/>
  <c r="B78" i="675"/>
  <c r="B77" i="675"/>
  <c r="B76" i="675"/>
  <c r="B75" i="675"/>
  <c r="B74" i="675"/>
  <c r="B73" i="675"/>
  <c r="B72" i="675"/>
  <c r="B71" i="675"/>
  <c r="B70" i="675"/>
  <c r="B69" i="675"/>
  <c r="B68" i="675"/>
  <c r="B67" i="675"/>
  <c r="B66" i="675"/>
  <c r="B65" i="675"/>
  <c r="B64" i="675"/>
  <c r="B63" i="675"/>
  <c r="B62" i="675"/>
  <c r="B61" i="675"/>
  <c r="B60" i="675"/>
  <c r="B59" i="675"/>
  <c r="B58" i="675"/>
  <c r="B57" i="675"/>
  <c r="B56" i="675"/>
  <c r="B55" i="675"/>
  <c r="B54" i="675"/>
  <c r="B53" i="675"/>
  <c r="B52" i="675"/>
  <c r="B51" i="675"/>
  <c r="B50" i="675"/>
  <c r="B49" i="675"/>
  <c r="B48" i="675"/>
  <c r="B47" i="675"/>
  <c r="B46" i="675"/>
  <c r="B45" i="675"/>
  <c r="B44" i="675"/>
  <c r="B43" i="675"/>
  <c r="B42" i="675"/>
  <c r="B41" i="675"/>
  <c r="B40" i="675"/>
  <c r="B39" i="675"/>
  <c r="B38" i="675"/>
  <c r="B37" i="675"/>
  <c r="B36" i="675"/>
  <c r="B35" i="675"/>
  <c r="B34" i="675"/>
  <c r="B33" i="675"/>
  <c r="B32" i="675"/>
  <c r="B31" i="675"/>
  <c r="B30" i="675"/>
  <c r="B29" i="675"/>
  <c r="B28" i="675"/>
  <c r="B27" i="675"/>
  <c r="B26" i="675"/>
  <c r="B25" i="675"/>
  <c r="B24" i="675"/>
  <c r="B23" i="675"/>
  <c r="B22" i="675"/>
  <c r="B21" i="675"/>
  <c r="B20" i="675"/>
  <c r="B19" i="675"/>
  <c r="B18" i="675"/>
  <c r="B17" i="675"/>
  <c r="B16" i="675"/>
  <c r="B15" i="675"/>
  <c r="B14" i="675"/>
  <c r="B13" i="675"/>
  <c r="B12" i="675"/>
  <c r="B11" i="675"/>
  <c r="B10" i="675"/>
  <c r="B9" i="675"/>
  <c r="B8" i="675"/>
  <c r="B7" i="675"/>
  <c r="B6" i="675"/>
  <c r="B5" i="675"/>
  <c r="B4" i="675"/>
  <c r="B3" i="675"/>
  <c r="B2" i="675"/>
  <c r="G33" i="699" l="1"/>
  <c r="G33" i="391" s="1"/>
  <c r="F33" i="699"/>
  <c r="F33" i="391" s="1"/>
  <c r="H32" i="699"/>
  <c r="J32" i="699" s="1"/>
  <c r="L32" i="699" s="1"/>
  <c r="N32" i="699" s="1"/>
  <c r="P32" i="699" s="1"/>
  <c r="I32" i="699"/>
  <c r="K32" i="699" s="1"/>
  <c r="M32" i="699" s="1"/>
  <c r="O32" i="699" s="1"/>
  <c r="Q32" i="699" s="1"/>
  <c r="D33" i="699"/>
  <c r="B34" i="699"/>
  <c r="E33" i="699"/>
  <c r="B69" i="631"/>
  <c r="B70" i="631" s="1"/>
  <c r="B62" i="631"/>
  <c r="B61" i="631"/>
  <c r="B60" i="631"/>
  <c r="B49" i="631"/>
  <c r="B45" i="631"/>
  <c r="B46" i="631" s="1"/>
  <c r="B35" i="631"/>
  <c r="B32" i="631"/>
  <c r="B19" i="631"/>
  <c r="B18" i="631"/>
  <c r="B17" i="631"/>
  <c r="B69" i="556"/>
  <c r="B62" i="556"/>
  <c r="B61" i="556"/>
  <c r="B60" i="556"/>
  <c r="B49" i="556"/>
  <c r="B45" i="556"/>
  <c r="B46" i="556" s="1"/>
  <c r="B35" i="556"/>
  <c r="B32" i="556"/>
  <c r="B19" i="556"/>
  <c r="B18" i="556"/>
  <c r="B17" i="556"/>
  <c r="B70" i="556"/>
  <c r="B45" i="523"/>
  <c r="B46" i="523" s="1"/>
  <c r="B45" i="517"/>
  <c r="B46" i="517" s="1"/>
  <c r="B45" i="511"/>
  <c r="B46" i="511" s="1"/>
  <c r="B43" i="511"/>
  <c r="B41" i="511"/>
  <c r="B40" i="511"/>
  <c r="B69" i="523"/>
  <c r="B70" i="523" s="1"/>
  <c r="B62" i="523"/>
  <c r="B61" i="523"/>
  <c r="B60" i="523"/>
  <c r="B49" i="523"/>
  <c r="B35" i="523"/>
  <c r="B32" i="523"/>
  <c r="B19" i="523"/>
  <c r="B18" i="523"/>
  <c r="B17" i="523"/>
  <c r="C67" i="523"/>
  <c r="B17" i="517"/>
  <c r="B18" i="517"/>
  <c r="B19" i="517"/>
  <c r="B32" i="517"/>
  <c r="B35" i="517"/>
  <c r="C45" i="517"/>
  <c r="D45" i="517" s="1"/>
  <c r="C46" i="517"/>
  <c r="D46" i="517" s="1"/>
  <c r="B49" i="517"/>
  <c r="B60" i="517"/>
  <c r="B61" i="517"/>
  <c r="B62" i="517"/>
  <c r="B67" i="517"/>
  <c r="C67" i="517"/>
  <c r="B69" i="517"/>
  <c r="F34" i="699" l="1"/>
  <c r="F34" i="391" s="1"/>
  <c r="G34" i="699"/>
  <c r="G34" i="391" s="1"/>
  <c r="I33" i="699"/>
  <c r="K33" i="699" s="1"/>
  <c r="M33" i="699" s="1"/>
  <c r="O33" i="699" s="1"/>
  <c r="Q33" i="699" s="1"/>
  <c r="H33" i="699"/>
  <c r="J33" i="699" s="1"/>
  <c r="L33" i="699" s="1"/>
  <c r="N33" i="699" s="1"/>
  <c r="P33" i="699" s="1"/>
  <c r="E34" i="699"/>
  <c r="B35" i="699"/>
  <c r="D34" i="699"/>
  <c r="B70" i="517"/>
  <c r="I34" i="699" l="1"/>
  <c r="K34" i="699" s="1"/>
  <c r="M34" i="699" s="1"/>
  <c r="O34" i="699" s="1"/>
  <c r="Q34" i="699" s="1"/>
  <c r="F35" i="699"/>
  <c r="F35" i="391" s="1"/>
  <c r="G35" i="699"/>
  <c r="G35" i="391" s="1"/>
  <c r="H34" i="699"/>
  <c r="J34" i="699" s="1"/>
  <c r="L34" i="699" s="1"/>
  <c r="N34" i="699" s="1"/>
  <c r="P34" i="699" s="1"/>
  <c r="B36" i="699"/>
  <c r="E35" i="699"/>
  <c r="D35" i="699"/>
  <c r="B69" i="511"/>
  <c r="B70" i="511" s="1"/>
  <c r="B67" i="511"/>
  <c r="C46" i="511"/>
  <c r="D46" i="511" s="1"/>
  <c r="C45" i="511"/>
  <c r="D45" i="511" s="1"/>
  <c r="B318" i="672"/>
  <c r="B317" i="672"/>
  <c r="B316" i="672"/>
  <c r="B315" i="672"/>
  <c r="B314" i="672"/>
  <c r="B313" i="672"/>
  <c r="B312" i="672"/>
  <c r="B311" i="672"/>
  <c r="B310" i="672"/>
  <c r="B309" i="672"/>
  <c r="B308" i="672"/>
  <c r="B307" i="672"/>
  <c r="B306" i="672"/>
  <c r="B305" i="672"/>
  <c r="B304" i="672"/>
  <c r="B303" i="672"/>
  <c r="B302" i="672"/>
  <c r="B301" i="672"/>
  <c r="B300" i="672"/>
  <c r="B299" i="672"/>
  <c r="B298" i="672"/>
  <c r="B297" i="672"/>
  <c r="B296" i="672"/>
  <c r="B295" i="672"/>
  <c r="B294" i="672"/>
  <c r="B293" i="672"/>
  <c r="B292" i="672"/>
  <c r="B291" i="672"/>
  <c r="B290" i="672"/>
  <c r="B289" i="672"/>
  <c r="B288" i="672"/>
  <c r="B287" i="672"/>
  <c r="B286" i="672"/>
  <c r="B285" i="672"/>
  <c r="B284" i="672"/>
  <c r="B283" i="672"/>
  <c r="B282" i="672"/>
  <c r="B281" i="672"/>
  <c r="B280" i="672"/>
  <c r="B279" i="672"/>
  <c r="B278" i="672"/>
  <c r="B277" i="672"/>
  <c r="B276" i="672"/>
  <c r="B275" i="672"/>
  <c r="B274" i="672"/>
  <c r="B273" i="672"/>
  <c r="B272" i="672"/>
  <c r="B271" i="672"/>
  <c r="B270" i="672"/>
  <c r="B269" i="672"/>
  <c r="B268" i="672"/>
  <c r="B267" i="672"/>
  <c r="B266" i="672"/>
  <c r="B265" i="672"/>
  <c r="B264" i="672"/>
  <c r="B263" i="672"/>
  <c r="B262" i="672"/>
  <c r="B261" i="672"/>
  <c r="B260" i="672"/>
  <c r="B259" i="672"/>
  <c r="B258" i="672"/>
  <c r="B257" i="672"/>
  <c r="B256" i="672"/>
  <c r="B255" i="672"/>
  <c r="B254" i="672"/>
  <c r="B253" i="672"/>
  <c r="B252" i="672"/>
  <c r="B251" i="672"/>
  <c r="B250" i="672"/>
  <c r="B249" i="672"/>
  <c r="B248" i="672"/>
  <c r="B247" i="672"/>
  <c r="B246" i="672"/>
  <c r="B245" i="672"/>
  <c r="B244" i="672"/>
  <c r="B243" i="672"/>
  <c r="B242" i="672"/>
  <c r="B241" i="672"/>
  <c r="B240" i="672"/>
  <c r="B239" i="672"/>
  <c r="B238" i="672"/>
  <c r="B237" i="672"/>
  <c r="B236" i="672"/>
  <c r="B235" i="672"/>
  <c r="B234" i="672"/>
  <c r="B233" i="672"/>
  <c r="B232" i="672"/>
  <c r="B231" i="672"/>
  <c r="B230" i="672"/>
  <c r="B229" i="672"/>
  <c r="B228" i="672"/>
  <c r="B227" i="672"/>
  <c r="B226" i="672"/>
  <c r="B225" i="672"/>
  <c r="B224" i="672"/>
  <c r="B223" i="672"/>
  <c r="B222" i="672"/>
  <c r="B221" i="672"/>
  <c r="B220" i="672"/>
  <c r="B219" i="672"/>
  <c r="B218" i="672"/>
  <c r="B217" i="672"/>
  <c r="B216" i="672"/>
  <c r="B215" i="672"/>
  <c r="B214" i="672"/>
  <c r="B213" i="672"/>
  <c r="B212" i="672"/>
  <c r="B211" i="672"/>
  <c r="B210" i="672"/>
  <c r="B209" i="672"/>
  <c r="B208" i="672"/>
  <c r="B207" i="672"/>
  <c r="B206" i="672"/>
  <c r="B205" i="672"/>
  <c r="B204" i="672"/>
  <c r="B203" i="672"/>
  <c r="B202" i="672"/>
  <c r="B201" i="672"/>
  <c r="B200" i="672"/>
  <c r="B199" i="672"/>
  <c r="B198" i="672"/>
  <c r="B197" i="672"/>
  <c r="B196" i="672"/>
  <c r="B195" i="672"/>
  <c r="B194" i="672"/>
  <c r="B193" i="672"/>
  <c r="B192" i="672"/>
  <c r="B191" i="672"/>
  <c r="B190" i="672"/>
  <c r="B189" i="672"/>
  <c r="B188" i="672"/>
  <c r="B187" i="672"/>
  <c r="B186" i="672"/>
  <c r="B185" i="672"/>
  <c r="B184" i="672"/>
  <c r="B183" i="672"/>
  <c r="B182" i="672"/>
  <c r="B181" i="672"/>
  <c r="B180" i="672"/>
  <c r="B179" i="672"/>
  <c r="B178" i="672"/>
  <c r="B177" i="672"/>
  <c r="B176" i="672"/>
  <c r="B175" i="672"/>
  <c r="B174" i="672"/>
  <c r="B173" i="672"/>
  <c r="B172" i="672"/>
  <c r="B171" i="672"/>
  <c r="B170" i="672"/>
  <c r="B169" i="672"/>
  <c r="B168" i="672"/>
  <c r="B167" i="672"/>
  <c r="B166" i="672"/>
  <c r="B165" i="672"/>
  <c r="B164" i="672"/>
  <c r="B163" i="672"/>
  <c r="B162" i="672"/>
  <c r="B161" i="672"/>
  <c r="B160" i="672"/>
  <c r="B159" i="672"/>
  <c r="B158" i="672"/>
  <c r="B157" i="672"/>
  <c r="B156" i="672"/>
  <c r="B155" i="672"/>
  <c r="B154" i="672"/>
  <c r="B153" i="672"/>
  <c r="B152" i="672"/>
  <c r="B151" i="672"/>
  <c r="B150" i="672"/>
  <c r="B149" i="672"/>
  <c r="B148" i="672"/>
  <c r="B147" i="672"/>
  <c r="B146" i="672"/>
  <c r="B145" i="672"/>
  <c r="B144" i="672"/>
  <c r="B143" i="672"/>
  <c r="B142" i="672"/>
  <c r="B141" i="672"/>
  <c r="B140" i="672"/>
  <c r="B139" i="672"/>
  <c r="B138" i="672"/>
  <c r="B137" i="672"/>
  <c r="B136" i="672"/>
  <c r="B135" i="672"/>
  <c r="B134" i="672"/>
  <c r="B133" i="672"/>
  <c r="B132" i="672"/>
  <c r="B131" i="672"/>
  <c r="B130" i="672"/>
  <c r="B129" i="672"/>
  <c r="B128" i="672"/>
  <c r="B127" i="672"/>
  <c r="B126" i="672"/>
  <c r="B125" i="672"/>
  <c r="B124" i="672"/>
  <c r="B123" i="672"/>
  <c r="B122" i="672"/>
  <c r="B121" i="672"/>
  <c r="B120" i="672"/>
  <c r="B119" i="672"/>
  <c r="B118" i="672"/>
  <c r="B117" i="672"/>
  <c r="B116" i="672"/>
  <c r="B115" i="672"/>
  <c r="B114" i="672"/>
  <c r="B113" i="672"/>
  <c r="B112" i="672"/>
  <c r="B111" i="672"/>
  <c r="B110" i="672"/>
  <c r="B109" i="672"/>
  <c r="B108" i="672"/>
  <c r="B107" i="672"/>
  <c r="B106" i="672"/>
  <c r="B105" i="672"/>
  <c r="B104" i="672"/>
  <c r="B103" i="672"/>
  <c r="B102" i="672"/>
  <c r="B101" i="672"/>
  <c r="B100" i="672"/>
  <c r="B99" i="672"/>
  <c r="B98" i="672"/>
  <c r="B97" i="672"/>
  <c r="B96" i="672"/>
  <c r="B95" i="672"/>
  <c r="B94" i="672"/>
  <c r="B93" i="672"/>
  <c r="B92" i="672"/>
  <c r="B91" i="672"/>
  <c r="B90" i="672"/>
  <c r="B89" i="672"/>
  <c r="B88" i="672"/>
  <c r="B87" i="672"/>
  <c r="B86" i="672"/>
  <c r="B85" i="672"/>
  <c r="B84" i="672"/>
  <c r="B83" i="672"/>
  <c r="B82" i="672"/>
  <c r="B81" i="672"/>
  <c r="B80" i="672"/>
  <c r="B79" i="672"/>
  <c r="B78" i="672"/>
  <c r="B77" i="672"/>
  <c r="B76" i="672"/>
  <c r="B75" i="672"/>
  <c r="B74" i="672"/>
  <c r="B73" i="672"/>
  <c r="B72" i="672"/>
  <c r="B71" i="672"/>
  <c r="B70" i="672"/>
  <c r="B69" i="672"/>
  <c r="B68" i="672"/>
  <c r="B67" i="672"/>
  <c r="B66" i="672"/>
  <c r="B65" i="672"/>
  <c r="B64" i="672"/>
  <c r="B63" i="672"/>
  <c r="B62" i="672"/>
  <c r="B61" i="672"/>
  <c r="B60" i="672"/>
  <c r="B59" i="672"/>
  <c r="B58" i="672"/>
  <c r="B57" i="672"/>
  <c r="B56" i="672"/>
  <c r="B55" i="672"/>
  <c r="B54" i="672"/>
  <c r="B53" i="672"/>
  <c r="B52" i="672"/>
  <c r="B51" i="672"/>
  <c r="B50" i="672"/>
  <c r="B49" i="672"/>
  <c r="B48" i="672"/>
  <c r="B47" i="672"/>
  <c r="B46" i="672"/>
  <c r="B45" i="672"/>
  <c r="B44" i="672"/>
  <c r="B43" i="672"/>
  <c r="B42" i="672"/>
  <c r="B41" i="672"/>
  <c r="B40" i="672"/>
  <c r="B39" i="672"/>
  <c r="B38" i="672"/>
  <c r="B37" i="672"/>
  <c r="B36" i="672"/>
  <c r="B35" i="672"/>
  <c r="B34" i="672"/>
  <c r="B33" i="672"/>
  <c r="B32" i="672"/>
  <c r="B31" i="672"/>
  <c r="B30" i="672"/>
  <c r="B29" i="672"/>
  <c r="B28" i="672"/>
  <c r="B27" i="672"/>
  <c r="B26" i="672"/>
  <c r="B25" i="672"/>
  <c r="B24" i="672"/>
  <c r="B23" i="672"/>
  <c r="B22" i="672"/>
  <c r="B21" i="672"/>
  <c r="B20" i="672"/>
  <c r="B19" i="672"/>
  <c r="B18" i="672"/>
  <c r="B17" i="672"/>
  <c r="B16" i="672"/>
  <c r="B15" i="672"/>
  <c r="B14" i="672"/>
  <c r="B13" i="672"/>
  <c r="B12" i="672"/>
  <c r="B11" i="672"/>
  <c r="B10" i="672"/>
  <c r="B9" i="672"/>
  <c r="B8" i="672"/>
  <c r="B7" i="672"/>
  <c r="B6" i="672"/>
  <c r="B5" i="672"/>
  <c r="B4" i="672"/>
  <c r="B3" i="672"/>
  <c r="B2" i="672"/>
  <c r="C321" i="672"/>
  <c r="H35" i="699" l="1"/>
  <c r="J35" i="699" s="1"/>
  <c r="L35" i="699" s="1"/>
  <c r="N35" i="699" s="1"/>
  <c r="P35" i="699" s="1"/>
  <c r="I35" i="699"/>
  <c r="K35" i="699" s="1"/>
  <c r="M35" i="699" s="1"/>
  <c r="O35" i="699" s="1"/>
  <c r="Q35" i="699" s="1"/>
  <c r="G36" i="699"/>
  <c r="G36" i="391" s="1"/>
  <c r="F36" i="699"/>
  <c r="F36" i="391" s="1"/>
  <c r="B37" i="699"/>
  <c r="E36" i="699"/>
  <c r="D36" i="699"/>
  <c r="A6" i="671"/>
  <c r="H36" i="699" l="1"/>
  <c r="J36" i="699" s="1"/>
  <c r="L36" i="699" s="1"/>
  <c r="N36" i="699" s="1"/>
  <c r="P36" i="699" s="1"/>
  <c r="I36" i="699"/>
  <c r="K36" i="699" s="1"/>
  <c r="M36" i="699" s="1"/>
  <c r="O36" i="699" s="1"/>
  <c r="Q36" i="699" s="1"/>
  <c r="F37" i="699"/>
  <c r="F37" i="391" s="1"/>
  <c r="G37" i="699"/>
  <c r="G37" i="391" s="1"/>
  <c r="D37" i="699"/>
  <c r="B38" i="699"/>
  <c r="E37" i="699"/>
  <c r="C46" i="523"/>
  <c r="D46" i="523" s="1"/>
  <c r="C45" i="523"/>
  <c r="D45" i="523" s="1"/>
  <c r="H37" i="699" l="1"/>
  <c r="J37" i="699" s="1"/>
  <c r="L37" i="699" s="1"/>
  <c r="N37" i="699" s="1"/>
  <c r="P37" i="699" s="1"/>
  <c r="I37" i="699"/>
  <c r="K37" i="699" s="1"/>
  <c r="M37" i="699" s="1"/>
  <c r="O37" i="699" s="1"/>
  <c r="Q37" i="699" s="1"/>
  <c r="F38" i="699"/>
  <c r="F38" i="391" s="1"/>
  <c r="G38" i="699"/>
  <c r="G38" i="391" s="1"/>
  <c r="E38" i="699"/>
  <c r="D38" i="699"/>
  <c r="B39" i="699"/>
  <c r="C67" i="556"/>
  <c r="C67" i="631"/>
  <c r="C11" i="665"/>
  <c r="C11" i="664"/>
  <c r="C11" i="659"/>
  <c r="C11" i="423"/>
  <c r="I38" i="699" l="1"/>
  <c r="K38" i="699" s="1"/>
  <c r="M38" i="699" s="1"/>
  <c r="O38" i="699" s="1"/>
  <c r="Q38" i="699" s="1"/>
  <c r="H38" i="699"/>
  <c r="J38" i="699" s="1"/>
  <c r="L38" i="699" s="1"/>
  <c r="N38" i="699" s="1"/>
  <c r="P38" i="699" s="1"/>
  <c r="G39" i="699"/>
  <c r="G39" i="391" s="1"/>
  <c r="F39" i="699"/>
  <c r="F39" i="391" s="1"/>
  <c r="E39" i="699"/>
  <c r="B40" i="699"/>
  <c r="D39" i="699"/>
  <c r="C46" i="556"/>
  <c r="D46" i="556" s="1"/>
  <c r="C46" i="631"/>
  <c r="D46" i="631" s="1"/>
  <c r="C45" i="556"/>
  <c r="D45" i="556" s="1"/>
  <c r="C45" i="631"/>
  <c r="D45" i="631" s="1"/>
  <c r="M184" i="167"/>
  <c r="L184" i="167"/>
  <c r="K184" i="167"/>
  <c r="M197" i="167"/>
  <c r="M196" i="167"/>
  <c r="M194" i="167"/>
  <c r="M189" i="167"/>
  <c r="M187" i="167"/>
  <c r="M186" i="167"/>
  <c r="L197" i="167"/>
  <c r="L196" i="167"/>
  <c r="L194" i="167"/>
  <c r="L187" i="167"/>
  <c r="L186" i="167"/>
  <c r="K197" i="167"/>
  <c r="K196" i="167"/>
  <c r="K194" i="167"/>
  <c r="K189" i="167"/>
  <c r="K187" i="167"/>
  <c r="K186" i="167"/>
  <c r="J184" i="167"/>
  <c r="J197" i="167"/>
  <c r="J196" i="167"/>
  <c r="J194" i="167"/>
  <c r="J187" i="167"/>
  <c r="J186" i="167"/>
  <c r="M182" i="167"/>
  <c r="L182" i="167"/>
  <c r="K182" i="167"/>
  <c r="J182" i="167"/>
  <c r="M157" i="167"/>
  <c r="M158" i="167" s="1"/>
  <c r="M159" i="167" s="1"/>
  <c r="L157" i="167"/>
  <c r="L158" i="167" s="1"/>
  <c r="L159" i="167" s="1"/>
  <c r="K157" i="167"/>
  <c r="K158" i="167" s="1"/>
  <c r="K159" i="167" s="1"/>
  <c r="J157" i="167"/>
  <c r="J158" i="167" s="1"/>
  <c r="J159" i="167" s="1"/>
  <c r="M149" i="167"/>
  <c r="L149" i="167"/>
  <c r="L150" i="167" s="1"/>
  <c r="K149" i="167"/>
  <c r="J149" i="167"/>
  <c r="M148" i="167"/>
  <c r="L148" i="167"/>
  <c r="L151" i="167" s="1"/>
  <c r="K148" i="167"/>
  <c r="K151" i="167" s="1"/>
  <c r="J148" i="167"/>
  <c r="J151" i="167" s="1"/>
  <c r="M140" i="167"/>
  <c r="L140" i="167"/>
  <c r="K140" i="167"/>
  <c r="J140" i="167"/>
  <c r="M137" i="167"/>
  <c r="M138" i="167" s="1"/>
  <c r="M144" i="167" s="1"/>
  <c r="L137" i="167"/>
  <c r="L138" i="167" s="1"/>
  <c r="L144" i="167" s="1"/>
  <c r="K137" i="167"/>
  <c r="K138" i="167" s="1"/>
  <c r="K144" i="167" s="1"/>
  <c r="J137" i="167"/>
  <c r="J138" i="167" s="1"/>
  <c r="J144" i="167" s="1"/>
  <c r="M135" i="167"/>
  <c r="M141" i="167" s="1"/>
  <c r="L135" i="167"/>
  <c r="L141" i="167" s="1"/>
  <c r="K135" i="167"/>
  <c r="K141" i="167" s="1"/>
  <c r="J135" i="167"/>
  <c r="J141" i="167" s="1"/>
  <c r="M134" i="167"/>
  <c r="L134" i="167"/>
  <c r="K134" i="167"/>
  <c r="J134" i="167"/>
  <c r="M133" i="167"/>
  <c r="L133" i="167"/>
  <c r="K133" i="167"/>
  <c r="J133" i="167"/>
  <c r="M132" i="167"/>
  <c r="L132" i="167"/>
  <c r="K132" i="167"/>
  <c r="M131" i="167"/>
  <c r="L131" i="167"/>
  <c r="K131" i="167"/>
  <c r="J131" i="167"/>
  <c r="K120" i="167"/>
  <c r="L120" i="167" s="1"/>
  <c r="M120" i="167" s="1"/>
  <c r="N120" i="167" s="1"/>
  <c r="I39" i="699" l="1"/>
  <c r="K39" i="699" s="1"/>
  <c r="M39" i="699" s="1"/>
  <c r="O39" i="699" s="1"/>
  <c r="Q39" i="699" s="1"/>
  <c r="H39" i="699"/>
  <c r="J39" i="699" s="1"/>
  <c r="L39" i="699" s="1"/>
  <c r="N39" i="699" s="1"/>
  <c r="P39" i="699" s="1"/>
  <c r="G40" i="699"/>
  <c r="G40" i="391" s="1"/>
  <c r="F40" i="699"/>
  <c r="F40" i="391" s="1"/>
  <c r="B41" i="699"/>
  <c r="E40" i="699"/>
  <c r="D40" i="699"/>
  <c r="K188" i="167"/>
  <c r="K190" i="167" s="1"/>
  <c r="K191" i="167" s="1"/>
  <c r="K195" i="167" s="1"/>
  <c r="M188" i="167"/>
  <c r="M190" i="167" s="1"/>
  <c r="M191" i="167" s="1"/>
  <c r="M195" i="167" s="1"/>
  <c r="L188" i="167"/>
  <c r="J188" i="167"/>
  <c r="M142" i="167"/>
  <c r="M143" i="167" s="1"/>
  <c r="M198" i="167"/>
  <c r="K198" i="167"/>
  <c r="L152" i="167"/>
  <c r="L153" i="167" s="1"/>
  <c r="L154" i="167" s="1"/>
  <c r="J142" i="167"/>
  <c r="J143" i="167" s="1"/>
  <c r="K142" i="167"/>
  <c r="K143" i="167" s="1"/>
  <c r="L142" i="167"/>
  <c r="L143" i="167" s="1"/>
  <c r="G41" i="699" l="1"/>
  <c r="G41" i="391" s="1"/>
  <c r="F41" i="699"/>
  <c r="F41" i="391" s="1"/>
  <c r="H40" i="699"/>
  <c r="J40" i="699" s="1"/>
  <c r="L40" i="699" s="1"/>
  <c r="N40" i="699" s="1"/>
  <c r="P40" i="699" s="1"/>
  <c r="I40" i="699"/>
  <c r="K40" i="699" s="1"/>
  <c r="M40" i="699" s="1"/>
  <c r="O40" i="699" s="1"/>
  <c r="Q40" i="699" s="1"/>
  <c r="D41" i="699"/>
  <c r="B42" i="699"/>
  <c r="E41" i="699"/>
  <c r="K199" i="167"/>
  <c r="M199" i="167"/>
  <c r="D19" i="629"/>
  <c r="D18" i="629"/>
  <c r="D19" i="558"/>
  <c r="D18" i="558"/>
  <c r="G42" i="699" l="1"/>
  <c r="G42" i="391" s="1"/>
  <c r="F42" i="699"/>
  <c r="F42" i="391" s="1"/>
  <c r="I41" i="699"/>
  <c r="K41" i="699" s="1"/>
  <c r="M41" i="699" s="1"/>
  <c r="O41" i="699" s="1"/>
  <c r="Q41" i="699" s="1"/>
  <c r="H41" i="699"/>
  <c r="J41" i="699" s="1"/>
  <c r="L41" i="699" s="1"/>
  <c r="N41" i="699" s="1"/>
  <c r="P41" i="699" s="1"/>
  <c r="E42" i="699"/>
  <c r="B43" i="699"/>
  <c r="D42" i="699"/>
  <c r="Q19" i="650"/>
  <c r="Q18" i="650"/>
  <c r="Q17" i="650"/>
  <c r="Q16" i="650"/>
  <c r="Q15" i="650"/>
  <c r="Q14" i="650"/>
  <c r="Q13" i="650"/>
  <c r="P19" i="650"/>
  <c r="P18" i="650"/>
  <c r="P17" i="650"/>
  <c r="P16" i="650"/>
  <c r="P15" i="650"/>
  <c r="P14" i="650"/>
  <c r="P13" i="650"/>
  <c r="O19" i="650"/>
  <c r="O18" i="650"/>
  <c r="O17" i="650"/>
  <c r="O16" i="650"/>
  <c r="O15" i="650"/>
  <c r="O14" i="650"/>
  <c r="O13" i="650"/>
  <c r="N19" i="650"/>
  <c r="N18" i="650"/>
  <c r="N17" i="650"/>
  <c r="N16" i="650"/>
  <c r="N15" i="650"/>
  <c r="N14" i="650"/>
  <c r="N13" i="650"/>
  <c r="I98" i="650"/>
  <c r="I51" i="649" s="1"/>
  <c r="I69" i="650"/>
  <c r="I71" i="650" s="1"/>
  <c r="I38" i="650"/>
  <c r="H98" i="650"/>
  <c r="H51" i="649" s="1"/>
  <c r="H69" i="650"/>
  <c r="H71" i="650" s="1"/>
  <c r="H38" i="650"/>
  <c r="G98" i="650"/>
  <c r="G51" i="649" s="1"/>
  <c r="G69" i="650"/>
  <c r="G71" i="650" s="1"/>
  <c r="G38" i="650"/>
  <c r="F98" i="650"/>
  <c r="F51" i="649" s="1"/>
  <c r="F69" i="650"/>
  <c r="F71" i="650" s="1"/>
  <c r="F38" i="650"/>
  <c r="Q19" i="647"/>
  <c r="Q18" i="647"/>
  <c r="Q17" i="647"/>
  <c r="Q16" i="647"/>
  <c r="Q15" i="647"/>
  <c r="Q14" i="647"/>
  <c r="Q13" i="647"/>
  <c r="P19" i="647"/>
  <c r="P18" i="647"/>
  <c r="P17" i="647"/>
  <c r="P16" i="647"/>
  <c r="P15" i="647"/>
  <c r="P14" i="647"/>
  <c r="P13" i="647"/>
  <c r="O19" i="647"/>
  <c r="O18" i="647"/>
  <c r="O17" i="647"/>
  <c r="O16" i="647"/>
  <c r="O15" i="647"/>
  <c r="O14" i="647"/>
  <c r="O13" i="647"/>
  <c r="N19" i="647"/>
  <c r="N18" i="647"/>
  <c r="N17" i="647"/>
  <c r="N16" i="647"/>
  <c r="N15" i="647"/>
  <c r="N14" i="647"/>
  <c r="N13" i="647"/>
  <c r="I98" i="647"/>
  <c r="I51" i="648" s="1"/>
  <c r="I69" i="647"/>
  <c r="I71" i="647" s="1"/>
  <c r="I63" i="647"/>
  <c r="I38" i="648" s="1"/>
  <c r="I38" i="647"/>
  <c r="H98" i="647"/>
  <c r="H51" i="648" s="1"/>
  <c r="H69" i="647"/>
  <c r="H71" i="647" s="1"/>
  <c r="H63" i="647"/>
  <c r="H38" i="648" s="1"/>
  <c r="H38" i="647"/>
  <c r="G98" i="647"/>
  <c r="G51" i="648" s="1"/>
  <c r="G69" i="647"/>
  <c r="G71" i="647" s="1"/>
  <c r="G63" i="647"/>
  <c r="G38" i="648" s="1"/>
  <c r="G38" i="647"/>
  <c r="F98" i="647"/>
  <c r="F51" i="648" s="1"/>
  <c r="F69" i="647"/>
  <c r="F71" i="647" s="1"/>
  <c r="F63" i="647"/>
  <c r="F38" i="648" s="1"/>
  <c r="F38" i="647"/>
  <c r="Q19" i="646"/>
  <c r="Q18" i="646"/>
  <c r="Q17" i="646"/>
  <c r="Q16" i="646"/>
  <c r="Q15" i="646"/>
  <c r="Q14" i="646"/>
  <c r="Q13" i="646"/>
  <c r="P19" i="646"/>
  <c r="P18" i="646"/>
  <c r="P17" i="646"/>
  <c r="P16" i="646"/>
  <c r="P15" i="646"/>
  <c r="P14" i="646"/>
  <c r="P13" i="646"/>
  <c r="O19" i="646"/>
  <c r="O18" i="646"/>
  <c r="O17" i="646"/>
  <c r="O16" i="646"/>
  <c r="O15" i="646"/>
  <c r="O14" i="646"/>
  <c r="O13" i="646"/>
  <c r="N19" i="646"/>
  <c r="N18" i="646"/>
  <c r="N17" i="646"/>
  <c r="N16" i="646"/>
  <c r="N15" i="646"/>
  <c r="N14" i="646"/>
  <c r="N13" i="646"/>
  <c r="I98" i="646"/>
  <c r="I51" i="645" s="1"/>
  <c r="I69" i="646"/>
  <c r="I71" i="646" s="1"/>
  <c r="I63" i="646"/>
  <c r="I38" i="645" s="1"/>
  <c r="I38" i="646"/>
  <c r="H98" i="646"/>
  <c r="H51" i="645" s="1"/>
  <c r="H69" i="646"/>
  <c r="H71" i="646" s="1"/>
  <c r="H63" i="646"/>
  <c r="H38" i="645" s="1"/>
  <c r="H38" i="646"/>
  <c r="G98" i="646"/>
  <c r="G51" i="645" s="1"/>
  <c r="G69" i="646"/>
  <c r="G71" i="646" s="1"/>
  <c r="G63" i="646"/>
  <c r="G38" i="645" s="1"/>
  <c r="G38" i="646"/>
  <c r="F98" i="646"/>
  <c r="F51" i="645" s="1"/>
  <c r="F69" i="646"/>
  <c r="F71" i="646" s="1"/>
  <c r="F58" i="646" s="1"/>
  <c r="F33" i="645" s="1"/>
  <c r="F63" i="646"/>
  <c r="F38" i="645" s="1"/>
  <c r="F38" i="646"/>
  <c r="Q19" i="644"/>
  <c r="Q18" i="644"/>
  <c r="Q17" i="644"/>
  <c r="Q16" i="644"/>
  <c r="Q15" i="644"/>
  <c r="Q14" i="644"/>
  <c r="Q13" i="644"/>
  <c r="P19" i="644"/>
  <c r="P18" i="644"/>
  <c r="P17" i="644"/>
  <c r="P16" i="644"/>
  <c r="P15" i="644"/>
  <c r="P14" i="644"/>
  <c r="P13" i="644"/>
  <c r="O19" i="644"/>
  <c r="O18" i="644"/>
  <c r="O17" i="644"/>
  <c r="O16" i="644"/>
  <c r="O15" i="644"/>
  <c r="O14" i="644"/>
  <c r="O13" i="644"/>
  <c r="N19" i="644"/>
  <c r="N18" i="644"/>
  <c r="N17" i="644"/>
  <c r="N16" i="644"/>
  <c r="N15" i="644"/>
  <c r="N14" i="644"/>
  <c r="N13" i="644"/>
  <c r="I98" i="644"/>
  <c r="I51" i="643" s="1"/>
  <c r="I69" i="644"/>
  <c r="I71" i="644" s="1"/>
  <c r="I63" i="644"/>
  <c r="I38" i="643" s="1"/>
  <c r="I38" i="644"/>
  <c r="H98" i="644"/>
  <c r="H51" i="643" s="1"/>
  <c r="H69" i="644"/>
  <c r="H71" i="644" s="1"/>
  <c r="H57" i="644" s="1"/>
  <c r="H32" i="643" s="1"/>
  <c r="H63" i="644"/>
  <c r="H38" i="643" s="1"/>
  <c r="H38" i="644"/>
  <c r="G98" i="644"/>
  <c r="G51" i="643" s="1"/>
  <c r="G69" i="644"/>
  <c r="G71" i="644" s="1"/>
  <c r="G63" i="644"/>
  <c r="G38" i="643" s="1"/>
  <c r="G38" i="644"/>
  <c r="F98" i="644"/>
  <c r="F51" i="643" s="1"/>
  <c r="F69" i="644"/>
  <c r="F71" i="644" s="1"/>
  <c r="F63" i="644"/>
  <c r="F38" i="643" s="1"/>
  <c r="F38" i="644"/>
  <c r="P20" i="647" l="1"/>
  <c r="H70" i="647" s="1"/>
  <c r="G43" i="699"/>
  <c r="G43" i="391" s="1"/>
  <c r="F43" i="699"/>
  <c r="F43" i="391" s="1"/>
  <c r="H42" i="699"/>
  <c r="J42" i="699" s="1"/>
  <c r="L42" i="699" s="1"/>
  <c r="N42" i="699" s="1"/>
  <c r="P42" i="699" s="1"/>
  <c r="I42" i="699"/>
  <c r="K42" i="699" s="1"/>
  <c r="M42" i="699" s="1"/>
  <c r="O42" i="699" s="1"/>
  <c r="Q42" i="699" s="1"/>
  <c r="B44" i="699"/>
  <c r="E43" i="699"/>
  <c r="D43" i="699"/>
  <c r="O20" i="644"/>
  <c r="G70" i="644" s="1"/>
  <c r="Q20" i="644"/>
  <c r="I70" i="644" s="1"/>
  <c r="N20" i="650"/>
  <c r="F70" i="650" s="1"/>
  <c r="H58" i="650"/>
  <c r="H33" i="649" s="1"/>
  <c r="O20" i="650"/>
  <c r="G70" i="650" s="1"/>
  <c r="P20" i="650"/>
  <c r="H70" i="650" s="1"/>
  <c r="Q20" i="650"/>
  <c r="I70" i="650" s="1"/>
  <c r="Q20" i="647"/>
  <c r="I70" i="647" s="1"/>
  <c r="N20" i="647"/>
  <c r="F70" i="647" s="1"/>
  <c r="O20" i="647"/>
  <c r="G70" i="647" s="1"/>
  <c r="O20" i="646"/>
  <c r="G70" i="646" s="1"/>
  <c r="N20" i="646"/>
  <c r="F70" i="646" s="1"/>
  <c r="Q20" i="646"/>
  <c r="I70" i="646" s="1"/>
  <c r="P20" i="646"/>
  <c r="H70" i="646" s="1"/>
  <c r="N20" i="644"/>
  <c r="F70" i="644" s="1"/>
  <c r="P20" i="644"/>
  <c r="H70" i="644" s="1"/>
  <c r="I58" i="650"/>
  <c r="I33" i="649" s="1"/>
  <c r="G58" i="650"/>
  <c r="G33" i="649" s="1"/>
  <c r="F58" i="650"/>
  <c r="F33" i="649" s="1"/>
  <c r="I58" i="647"/>
  <c r="I33" i="648" s="1"/>
  <c r="I57" i="647"/>
  <c r="I32" i="648" s="1"/>
  <c r="H58" i="647"/>
  <c r="H33" i="648" s="1"/>
  <c r="H57" i="647"/>
  <c r="H32" i="648" s="1"/>
  <c r="G58" i="647"/>
  <c r="G33" i="648" s="1"/>
  <c r="G57" i="647"/>
  <c r="G32" i="648" s="1"/>
  <c r="F58" i="647"/>
  <c r="F33" i="648" s="1"/>
  <c r="F57" i="647"/>
  <c r="F32" i="648" s="1"/>
  <c r="I58" i="646"/>
  <c r="I33" i="645" s="1"/>
  <c r="I57" i="646"/>
  <c r="I32" i="645" s="1"/>
  <c r="H57" i="646"/>
  <c r="H32" i="645" s="1"/>
  <c r="H58" i="646"/>
  <c r="H33" i="645" s="1"/>
  <c r="G57" i="646"/>
  <c r="G32" i="645" s="1"/>
  <c r="G58" i="646"/>
  <c r="G33" i="645" s="1"/>
  <c r="F57" i="646"/>
  <c r="F32" i="645" s="1"/>
  <c r="I57" i="644"/>
  <c r="I32" i="643" s="1"/>
  <c r="I58" i="644"/>
  <c r="I33" i="643" s="1"/>
  <c r="H58" i="644"/>
  <c r="H33" i="643" s="1"/>
  <c r="G58" i="644"/>
  <c r="G33" i="643" s="1"/>
  <c r="G57" i="644"/>
  <c r="G32" i="643" s="1"/>
  <c r="F57" i="644"/>
  <c r="F32" i="643" s="1"/>
  <c r="F58" i="644"/>
  <c r="F33" i="643" s="1"/>
  <c r="Q19" i="613"/>
  <c r="Q18" i="613"/>
  <c r="Q17" i="613"/>
  <c r="Q16" i="613"/>
  <c r="Q15" i="613"/>
  <c r="Q14" i="613"/>
  <c r="Q13" i="613"/>
  <c r="P19" i="613"/>
  <c r="P18" i="613"/>
  <c r="P17" i="613"/>
  <c r="P16" i="613"/>
  <c r="P15" i="613"/>
  <c r="P14" i="613"/>
  <c r="P13" i="613"/>
  <c r="O19" i="613"/>
  <c r="O18" i="613"/>
  <c r="O17" i="613"/>
  <c r="O16" i="613"/>
  <c r="O15" i="613"/>
  <c r="O14" i="613"/>
  <c r="O13" i="613"/>
  <c r="N19" i="613"/>
  <c r="N18" i="613"/>
  <c r="N17" i="613"/>
  <c r="N16" i="613"/>
  <c r="N15" i="613"/>
  <c r="N14" i="613"/>
  <c r="N13" i="613"/>
  <c r="I98" i="613"/>
  <c r="I51" i="614" s="1"/>
  <c r="H98" i="613"/>
  <c r="H51" i="614" s="1"/>
  <c r="G98" i="613"/>
  <c r="G51" i="614" s="1"/>
  <c r="F98" i="613"/>
  <c r="F51" i="614" s="1"/>
  <c r="I69" i="613"/>
  <c r="I71" i="613" s="1"/>
  <c r="H69" i="613"/>
  <c r="H71" i="613" s="1"/>
  <c r="G69" i="613"/>
  <c r="G71" i="613" s="1"/>
  <c r="F69" i="613"/>
  <c r="F71" i="613" s="1"/>
  <c r="I63" i="613"/>
  <c r="I38" i="614" s="1"/>
  <c r="H63" i="613"/>
  <c r="H38" i="614" s="1"/>
  <c r="G63" i="613"/>
  <c r="G38" i="614" s="1"/>
  <c r="F63" i="613"/>
  <c r="F38" i="614" s="1"/>
  <c r="I43" i="699" l="1"/>
  <c r="K43" i="699" s="1"/>
  <c r="M43" i="699" s="1"/>
  <c r="O43" i="699" s="1"/>
  <c r="Q43" i="699" s="1"/>
  <c r="G44" i="699"/>
  <c r="G44" i="391" s="1"/>
  <c r="F44" i="699"/>
  <c r="F44" i="391" s="1"/>
  <c r="H43" i="699"/>
  <c r="J43" i="699" s="1"/>
  <c r="L43" i="699" s="1"/>
  <c r="N43" i="699" s="1"/>
  <c r="P43" i="699" s="1"/>
  <c r="B45" i="699"/>
  <c r="E44" i="699"/>
  <c r="D44" i="699"/>
  <c r="O20" i="613"/>
  <c r="G70" i="613" s="1"/>
  <c r="N20" i="613"/>
  <c r="F70" i="613" s="1"/>
  <c r="Q20" i="613"/>
  <c r="I70" i="613" s="1"/>
  <c r="P20" i="613"/>
  <c r="H70" i="613" s="1"/>
  <c r="G58" i="613"/>
  <c r="G33" i="614" s="1"/>
  <c r="G57" i="613"/>
  <c r="G32" i="614" s="1"/>
  <c r="F58" i="613"/>
  <c r="F33" i="614" s="1"/>
  <c r="F57" i="613"/>
  <c r="F32" i="614" s="1"/>
  <c r="H58" i="613"/>
  <c r="H33" i="614" s="1"/>
  <c r="H57" i="613"/>
  <c r="H32" i="614" s="1"/>
  <c r="I57" i="613"/>
  <c r="I32" i="614" s="1"/>
  <c r="I58" i="613"/>
  <c r="I33" i="614" s="1"/>
  <c r="H44" i="699" l="1"/>
  <c r="J44" i="699" s="1"/>
  <c r="L44" i="699" s="1"/>
  <c r="N44" i="699" s="1"/>
  <c r="P44" i="699" s="1"/>
  <c r="I44" i="699"/>
  <c r="K44" i="699" s="1"/>
  <c r="M44" i="699" s="1"/>
  <c r="O44" i="699" s="1"/>
  <c r="Q44" i="699" s="1"/>
  <c r="G45" i="699"/>
  <c r="G45" i="391" s="1"/>
  <c r="F45" i="699"/>
  <c r="F45" i="391" s="1"/>
  <c r="D45" i="699"/>
  <c r="B46" i="699"/>
  <c r="E45" i="699"/>
  <c r="H45" i="699" l="1"/>
  <c r="J45" i="699" s="1"/>
  <c r="L45" i="699" s="1"/>
  <c r="N45" i="699" s="1"/>
  <c r="P45" i="699" s="1"/>
  <c r="I45" i="699"/>
  <c r="K45" i="699" s="1"/>
  <c r="M45" i="699" s="1"/>
  <c r="O45" i="699" s="1"/>
  <c r="Q45" i="699" s="1"/>
  <c r="F46" i="699"/>
  <c r="F46" i="391" s="1"/>
  <c r="G46" i="699"/>
  <c r="G46" i="391" s="1"/>
  <c r="E46" i="699"/>
  <c r="D46" i="699"/>
  <c r="B47" i="699"/>
  <c r="F87" i="620"/>
  <c r="F87" i="545"/>
  <c r="F87" i="490"/>
  <c r="I46" i="699" l="1"/>
  <c r="K46" i="699" s="1"/>
  <c r="M46" i="699" s="1"/>
  <c r="O46" i="699" s="1"/>
  <c r="Q46" i="699" s="1"/>
  <c r="H46" i="699"/>
  <c r="J46" i="699" s="1"/>
  <c r="L46" i="699" s="1"/>
  <c r="N46" i="699" s="1"/>
  <c r="P46" i="699" s="1"/>
  <c r="F47" i="699"/>
  <c r="F47" i="391" s="1"/>
  <c r="G47" i="699"/>
  <c r="G47" i="391" s="1"/>
  <c r="E47" i="699"/>
  <c r="B48" i="699"/>
  <c r="D47" i="699"/>
  <c r="B1017" i="668"/>
  <c r="B1016" i="668"/>
  <c r="B1015" i="668"/>
  <c r="B1014" i="668"/>
  <c r="B1013" i="668"/>
  <c r="B1012" i="668"/>
  <c r="B1011" i="668"/>
  <c r="B1010" i="668"/>
  <c r="B1009" i="668"/>
  <c r="B1008" i="668"/>
  <c r="B1007" i="668"/>
  <c r="B1006" i="668"/>
  <c r="B1005" i="668"/>
  <c r="B1004" i="668"/>
  <c r="B1003" i="668"/>
  <c r="B1002" i="668"/>
  <c r="B1001" i="668"/>
  <c r="B1000" i="668"/>
  <c r="B999" i="668"/>
  <c r="B998" i="668"/>
  <c r="B997" i="668"/>
  <c r="B996" i="668"/>
  <c r="B995" i="668"/>
  <c r="B994" i="668"/>
  <c r="B993" i="668"/>
  <c r="B992" i="668"/>
  <c r="B991" i="668"/>
  <c r="B990" i="668"/>
  <c r="B989" i="668"/>
  <c r="B988" i="668"/>
  <c r="B987" i="668"/>
  <c r="B986" i="668"/>
  <c r="B985" i="668"/>
  <c r="B984" i="668"/>
  <c r="B983" i="668"/>
  <c r="B982" i="668"/>
  <c r="B981" i="668"/>
  <c r="B980" i="668"/>
  <c r="B979" i="668"/>
  <c r="B978" i="668"/>
  <c r="B977" i="668"/>
  <c r="B976" i="668"/>
  <c r="B975" i="668"/>
  <c r="B974" i="668"/>
  <c r="B973" i="668"/>
  <c r="B972" i="668"/>
  <c r="B971" i="668"/>
  <c r="B970" i="668"/>
  <c r="B969" i="668"/>
  <c r="B968" i="668"/>
  <c r="B967" i="668"/>
  <c r="B966" i="668"/>
  <c r="B965" i="668"/>
  <c r="B964" i="668"/>
  <c r="B963" i="668"/>
  <c r="B962" i="668"/>
  <c r="B961" i="668"/>
  <c r="B960" i="668"/>
  <c r="B959" i="668"/>
  <c r="B958" i="668"/>
  <c r="B957" i="668"/>
  <c r="B956" i="668"/>
  <c r="B955" i="668"/>
  <c r="B954" i="668"/>
  <c r="B953" i="668"/>
  <c r="B952" i="668"/>
  <c r="B951" i="668"/>
  <c r="B950" i="668"/>
  <c r="B949" i="668"/>
  <c r="B948" i="668"/>
  <c r="B947" i="668"/>
  <c r="B946" i="668"/>
  <c r="B945" i="668"/>
  <c r="B944" i="668"/>
  <c r="B943" i="668"/>
  <c r="B942" i="668"/>
  <c r="B941" i="668"/>
  <c r="B940" i="668"/>
  <c r="B939" i="668"/>
  <c r="B938" i="668"/>
  <c r="B937" i="668"/>
  <c r="B936" i="668"/>
  <c r="B935" i="668"/>
  <c r="B934" i="668"/>
  <c r="B933" i="668"/>
  <c r="B932" i="668"/>
  <c r="B931" i="668"/>
  <c r="B930" i="668"/>
  <c r="B929" i="668"/>
  <c r="B928" i="668"/>
  <c r="B927" i="668"/>
  <c r="B926" i="668"/>
  <c r="B925" i="668"/>
  <c r="B924" i="668"/>
  <c r="B923" i="668"/>
  <c r="B922" i="668"/>
  <c r="B921" i="668"/>
  <c r="B920" i="668"/>
  <c r="B919" i="668"/>
  <c r="B918" i="668"/>
  <c r="B917" i="668"/>
  <c r="B916" i="668"/>
  <c r="B915" i="668"/>
  <c r="B914" i="668"/>
  <c r="B913" i="668"/>
  <c r="B912" i="668"/>
  <c r="B911" i="668"/>
  <c r="B910" i="668"/>
  <c r="B909" i="668"/>
  <c r="B908" i="668"/>
  <c r="B907" i="668"/>
  <c r="B906" i="668"/>
  <c r="B905" i="668"/>
  <c r="B904" i="668"/>
  <c r="B903" i="668"/>
  <c r="B902" i="668"/>
  <c r="B901" i="668"/>
  <c r="B900" i="668"/>
  <c r="B899" i="668"/>
  <c r="B898" i="668"/>
  <c r="B897" i="668"/>
  <c r="B896" i="668"/>
  <c r="B895" i="668"/>
  <c r="B894" i="668"/>
  <c r="B893" i="668"/>
  <c r="B892" i="668"/>
  <c r="B891" i="668"/>
  <c r="B890" i="668"/>
  <c r="B889" i="668"/>
  <c r="B888" i="668"/>
  <c r="B887" i="668"/>
  <c r="B886" i="668"/>
  <c r="B885" i="668"/>
  <c r="B884" i="668"/>
  <c r="B883" i="668"/>
  <c r="B882" i="668"/>
  <c r="B881" i="668"/>
  <c r="B880" i="668"/>
  <c r="B879" i="668"/>
  <c r="B878" i="668"/>
  <c r="B877" i="668"/>
  <c r="B876" i="668"/>
  <c r="B875" i="668"/>
  <c r="B874" i="668"/>
  <c r="B873" i="668"/>
  <c r="B872" i="668"/>
  <c r="B871" i="668"/>
  <c r="B870" i="668"/>
  <c r="B869" i="668"/>
  <c r="B868" i="668"/>
  <c r="B867" i="668"/>
  <c r="B866" i="668"/>
  <c r="B865" i="668"/>
  <c r="B864" i="668"/>
  <c r="B863" i="668"/>
  <c r="B862" i="668"/>
  <c r="B861" i="668"/>
  <c r="B860" i="668"/>
  <c r="B859" i="668"/>
  <c r="B858" i="668"/>
  <c r="B857" i="668"/>
  <c r="B856" i="668"/>
  <c r="B855" i="668"/>
  <c r="B854" i="668"/>
  <c r="B853" i="668"/>
  <c r="B852" i="668"/>
  <c r="B851" i="668"/>
  <c r="B850" i="668"/>
  <c r="B849" i="668"/>
  <c r="B848" i="668"/>
  <c r="B847" i="668"/>
  <c r="B846" i="668"/>
  <c r="B845" i="668"/>
  <c r="B844" i="668"/>
  <c r="B843" i="668"/>
  <c r="B842" i="668"/>
  <c r="B841" i="668"/>
  <c r="B840" i="668"/>
  <c r="B839" i="668"/>
  <c r="B838" i="668"/>
  <c r="B837" i="668"/>
  <c r="B836" i="668"/>
  <c r="B835" i="668"/>
  <c r="B834" i="668"/>
  <c r="B833" i="668"/>
  <c r="B832" i="668"/>
  <c r="B831" i="668"/>
  <c r="B830" i="668"/>
  <c r="B829" i="668"/>
  <c r="B828" i="668"/>
  <c r="B827" i="668"/>
  <c r="B826" i="668"/>
  <c r="B825" i="668"/>
  <c r="B824" i="668"/>
  <c r="B823" i="668"/>
  <c r="B822" i="668"/>
  <c r="B821" i="668"/>
  <c r="B820" i="668"/>
  <c r="B819" i="668"/>
  <c r="B818" i="668"/>
  <c r="B817" i="668"/>
  <c r="B816" i="668"/>
  <c r="B815" i="668"/>
  <c r="B814" i="668"/>
  <c r="B813" i="668"/>
  <c r="B812" i="668"/>
  <c r="B811" i="668"/>
  <c r="B810" i="668"/>
  <c r="B809" i="668"/>
  <c r="B808" i="668"/>
  <c r="B807" i="668"/>
  <c r="B806" i="668"/>
  <c r="B805" i="668"/>
  <c r="B804" i="668"/>
  <c r="B803" i="668"/>
  <c r="B802" i="668"/>
  <c r="B801" i="668"/>
  <c r="B800" i="668"/>
  <c r="B799" i="668"/>
  <c r="B798" i="668"/>
  <c r="B797" i="668"/>
  <c r="B796" i="668"/>
  <c r="B795" i="668"/>
  <c r="B794" i="668"/>
  <c r="B793" i="668"/>
  <c r="B792" i="668"/>
  <c r="B791" i="668"/>
  <c r="B790" i="668"/>
  <c r="B789" i="668"/>
  <c r="B788" i="668"/>
  <c r="B787" i="668"/>
  <c r="B786" i="668"/>
  <c r="B785" i="668"/>
  <c r="B784" i="668"/>
  <c r="B783" i="668"/>
  <c r="B782" i="668"/>
  <c r="B781" i="668"/>
  <c r="B780" i="668"/>
  <c r="B779" i="668"/>
  <c r="B778" i="668"/>
  <c r="B777" i="668"/>
  <c r="B776" i="668"/>
  <c r="B775" i="668"/>
  <c r="B774" i="668"/>
  <c r="B773" i="668"/>
  <c r="B772" i="668"/>
  <c r="B771" i="668"/>
  <c r="B770" i="668"/>
  <c r="B769" i="668"/>
  <c r="B768" i="668"/>
  <c r="B767" i="668"/>
  <c r="B766" i="668"/>
  <c r="B765" i="668"/>
  <c r="B764" i="668"/>
  <c r="B763" i="668"/>
  <c r="B762" i="668"/>
  <c r="B761" i="668"/>
  <c r="B760" i="668"/>
  <c r="B759" i="668"/>
  <c r="B758" i="668"/>
  <c r="B757" i="668"/>
  <c r="B756" i="668"/>
  <c r="B755" i="668"/>
  <c r="B754" i="668"/>
  <c r="B753" i="668"/>
  <c r="B752" i="668"/>
  <c r="B751" i="668"/>
  <c r="B750" i="668"/>
  <c r="B749" i="668"/>
  <c r="B748" i="668"/>
  <c r="B747" i="668"/>
  <c r="B746" i="668"/>
  <c r="B745" i="668"/>
  <c r="B744" i="668"/>
  <c r="B743" i="668"/>
  <c r="B742" i="668"/>
  <c r="B741" i="668"/>
  <c r="B740" i="668"/>
  <c r="B739" i="668"/>
  <c r="B738" i="668"/>
  <c r="B737" i="668"/>
  <c r="B736" i="668"/>
  <c r="B735" i="668"/>
  <c r="B734" i="668"/>
  <c r="B733" i="668"/>
  <c r="B732" i="668"/>
  <c r="B731" i="668"/>
  <c r="B730" i="668"/>
  <c r="B729" i="668"/>
  <c r="B728" i="668"/>
  <c r="B727" i="668"/>
  <c r="B726" i="668"/>
  <c r="B725" i="668"/>
  <c r="B724" i="668"/>
  <c r="B723" i="668"/>
  <c r="B722" i="668"/>
  <c r="B721" i="668"/>
  <c r="B720" i="668"/>
  <c r="B719" i="668"/>
  <c r="B718" i="668"/>
  <c r="B717" i="668"/>
  <c r="B716" i="668"/>
  <c r="B715" i="668"/>
  <c r="B714" i="668"/>
  <c r="B713" i="668"/>
  <c r="B712" i="668"/>
  <c r="B711" i="668"/>
  <c r="B710" i="668"/>
  <c r="B709" i="668"/>
  <c r="B708" i="668"/>
  <c r="B707" i="668"/>
  <c r="B706" i="668"/>
  <c r="B705" i="668"/>
  <c r="B704" i="668"/>
  <c r="B703" i="668"/>
  <c r="B702" i="668"/>
  <c r="B701" i="668"/>
  <c r="B700" i="668"/>
  <c r="B699" i="668"/>
  <c r="B698" i="668"/>
  <c r="B697" i="668"/>
  <c r="B696" i="668"/>
  <c r="B695" i="668"/>
  <c r="B694" i="668"/>
  <c r="B693" i="668"/>
  <c r="B692" i="668"/>
  <c r="B691" i="668"/>
  <c r="B690" i="668"/>
  <c r="B689" i="668"/>
  <c r="B688" i="668"/>
  <c r="B687" i="668"/>
  <c r="B686" i="668"/>
  <c r="B685" i="668"/>
  <c r="B684" i="668"/>
  <c r="B683" i="668"/>
  <c r="B682" i="668"/>
  <c r="B681" i="668"/>
  <c r="B680" i="668"/>
  <c r="B679" i="668"/>
  <c r="B678" i="668"/>
  <c r="B677" i="668"/>
  <c r="B676" i="668"/>
  <c r="B675" i="668"/>
  <c r="B674" i="668"/>
  <c r="B673" i="668"/>
  <c r="B672" i="668"/>
  <c r="B671" i="668"/>
  <c r="B670" i="668"/>
  <c r="B669" i="668"/>
  <c r="B668" i="668"/>
  <c r="B667" i="668"/>
  <c r="B666" i="668"/>
  <c r="B665" i="668"/>
  <c r="B664" i="668"/>
  <c r="B663" i="668"/>
  <c r="B662" i="668"/>
  <c r="B661" i="668"/>
  <c r="B660" i="668"/>
  <c r="B659" i="668"/>
  <c r="B658" i="668"/>
  <c r="B657" i="668"/>
  <c r="B656" i="668"/>
  <c r="B655" i="668"/>
  <c r="B654" i="668"/>
  <c r="B653" i="668"/>
  <c r="B652" i="668"/>
  <c r="B651" i="668"/>
  <c r="B650" i="668"/>
  <c r="B649" i="668"/>
  <c r="B648" i="668"/>
  <c r="B647" i="668"/>
  <c r="B646" i="668"/>
  <c r="B645" i="668"/>
  <c r="B644" i="668"/>
  <c r="B643" i="668"/>
  <c r="B642" i="668"/>
  <c r="B641" i="668"/>
  <c r="B640" i="668"/>
  <c r="B639" i="668"/>
  <c r="B638" i="668"/>
  <c r="B637" i="668"/>
  <c r="B636" i="668"/>
  <c r="B635" i="668"/>
  <c r="B634" i="668"/>
  <c r="B633" i="668"/>
  <c r="B632" i="668"/>
  <c r="B631" i="668"/>
  <c r="B630" i="668"/>
  <c r="B629" i="668"/>
  <c r="B628" i="668"/>
  <c r="B627" i="668"/>
  <c r="B626" i="668"/>
  <c r="B625" i="668"/>
  <c r="B624" i="668"/>
  <c r="B623" i="668"/>
  <c r="B622" i="668"/>
  <c r="B621" i="668"/>
  <c r="B620" i="668"/>
  <c r="B619" i="668"/>
  <c r="B618" i="668"/>
  <c r="B617" i="668"/>
  <c r="B616" i="668"/>
  <c r="B615" i="668"/>
  <c r="B614" i="668"/>
  <c r="B613" i="668"/>
  <c r="B612" i="668"/>
  <c r="B611" i="668"/>
  <c r="B610" i="668"/>
  <c r="B609" i="668"/>
  <c r="B608" i="668"/>
  <c r="B607" i="668"/>
  <c r="B606" i="668"/>
  <c r="B605" i="668"/>
  <c r="B604" i="668"/>
  <c r="B603" i="668"/>
  <c r="B602" i="668"/>
  <c r="B601" i="668"/>
  <c r="B600" i="668"/>
  <c r="B599" i="668"/>
  <c r="B598" i="668"/>
  <c r="B597" i="668"/>
  <c r="B596" i="668"/>
  <c r="B595" i="668"/>
  <c r="B594" i="668"/>
  <c r="B593" i="668"/>
  <c r="B592" i="668"/>
  <c r="B591" i="668"/>
  <c r="B590" i="668"/>
  <c r="B589" i="668"/>
  <c r="B588" i="668"/>
  <c r="B587" i="668"/>
  <c r="B586" i="668"/>
  <c r="B585" i="668"/>
  <c r="B584" i="668"/>
  <c r="B583" i="668"/>
  <c r="B582" i="668"/>
  <c r="B581" i="668"/>
  <c r="B580" i="668"/>
  <c r="B579" i="668"/>
  <c r="B578" i="668"/>
  <c r="B577" i="668"/>
  <c r="B576" i="668"/>
  <c r="B575" i="668"/>
  <c r="B574" i="668"/>
  <c r="B573" i="668"/>
  <c r="B572" i="668"/>
  <c r="B571" i="668"/>
  <c r="B570" i="668"/>
  <c r="B569" i="668"/>
  <c r="B568" i="668"/>
  <c r="B567" i="668"/>
  <c r="B566" i="668"/>
  <c r="B565" i="668"/>
  <c r="B564" i="668"/>
  <c r="B563" i="668"/>
  <c r="B562" i="668"/>
  <c r="B561" i="668"/>
  <c r="B560" i="668"/>
  <c r="B559" i="668"/>
  <c r="B558" i="668"/>
  <c r="B557" i="668"/>
  <c r="B556" i="668"/>
  <c r="B555" i="668"/>
  <c r="B554" i="668"/>
  <c r="B553" i="668"/>
  <c r="B552" i="668"/>
  <c r="B551" i="668"/>
  <c r="B550" i="668"/>
  <c r="B549" i="668"/>
  <c r="B548" i="668"/>
  <c r="B547" i="668"/>
  <c r="B546" i="668"/>
  <c r="B545" i="668"/>
  <c r="B544" i="668"/>
  <c r="B543" i="668"/>
  <c r="B542" i="668"/>
  <c r="B541" i="668"/>
  <c r="B540" i="668"/>
  <c r="B539" i="668"/>
  <c r="B538" i="668"/>
  <c r="B537" i="668"/>
  <c r="B536" i="668"/>
  <c r="B535" i="668"/>
  <c r="B534" i="668"/>
  <c r="B533" i="668"/>
  <c r="B532" i="668"/>
  <c r="B531" i="668"/>
  <c r="B530" i="668"/>
  <c r="B529" i="668"/>
  <c r="B528" i="668"/>
  <c r="B527" i="668"/>
  <c r="B526" i="668"/>
  <c r="B525" i="668"/>
  <c r="B524" i="668"/>
  <c r="B523" i="668"/>
  <c r="B522" i="668"/>
  <c r="B521" i="668"/>
  <c r="B520" i="668"/>
  <c r="B519" i="668"/>
  <c r="B518" i="668"/>
  <c r="B517" i="668"/>
  <c r="B516" i="668"/>
  <c r="B515" i="668"/>
  <c r="B514" i="668"/>
  <c r="B513" i="668"/>
  <c r="B512" i="668"/>
  <c r="B511" i="668"/>
  <c r="B510" i="668"/>
  <c r="B509" i="668"/>
  <c r="B508" i="668"/>
  <c r="B507" i="668"/>
  <c r="B506" i="668"/>
  <c r="B505" i="668"/>
  <c r="B504" i="668"/>
  <c r="B503" i="668"/>
  <c r="B502" i="668"/>
  <c r="B501" i="668"/>
  <c r="B500" i="668"/>
  <c r="B499" i="668"/>
  <c r="B498" i="668"/>
  <c r="B497" i="668"/>
  <c r="B496" i="668"/>
  <c r="B495" i="668"/>
  <c r="B494" i="668"/>
  <c r="B493" i="668"/>
  <c r="B492" i="668"/>
  <c r="B491" i="668"/>
  <c r="B490" i="668"/>
  <c r="B489" i="668"/>
  <c r="B488" i="668"/>
  <c r="B487" i="668"/>
  <c r="B486" i="668"/>
  <c r="B485" i="668"/>
  <c r="B484" i="668"/>
  <c r="B483" i="668"/>
  <c r="B482" i="668"/>
  <c r="B481" i="668"/>
  <c r="B480" i="668"/>
  <c r="B479" i="668"/>
  <c r="B478" i="668"/>
  <c r="B477" i="668"/>
  <c r="B476" i="668"/>
  <c r="B475" i="668"/>
  <c r="B474" i="668"/>
  <c r="B473" i="668"/>
  <c r="B472" i="668"/>
  <c r="B471" i="668"/>
  <c r="B470" i="668"/>
  <c r="B469" i="668"/>
  <c r="B468" i="668"/>
  <c r="B467" i="668"/>
  <c r="B466" i="668"/>
  <c r="B465" i="668"/>
  <c r="B464" i="668"/>
  <c r="B463" i="668"/>
  <c r="B462" i="668"/>
  <c r="B461" i="668"/>
  <c r="B460" i="668"/>
  <c r="B459" i="668"/>
  <c r="B458" i="668"/>
  <c r="B457" i="668"/>
  <c r="B456" i="668"/>
  <c r="B455" i="668"/>
  <c r="B454" i="668"/>
  <c r="B453" i="668"/>
  <c r="B452" i="668"/>
  <c r="B451" i="668"/>
  <c r="B450" i="668"/>
  <c r="B449" i="668"/>
  <c r="B448" i="668"/>
  <c r="B447" i="668"/>
  <c r="B446" i="668"/>
  <c r="B445" i="668"/>
  <c r="B444" i="668"/>
  <c r="B443" i="668"/>
  <c r="B442" i="668"/>
  <c r="B441" i="668"/>
  <c r="B440" i="668"/>
  <c r="B439" i="668"/>
  <c r="B438" i="668"/>
  <c r="B437" i="668"/>
  <c r="B436" i="668"/>
  <c r="B435" i="668"/>
  <c r="B434" i="668"/>
  <c r="B433" i="668"/>
  <c r="B432" i="668"/>
  <c r="B431" i="668"/>
  <c r="B430" i="668"/>
  <c r="B429" i="668"/>
  <c r="B428" i="668"/>
  <c r="B427" i="668"/>
  <c r="B426" i="668"/>
  <c r="B425" i="668"/>
  <c r="B424" i="668"/>
  <c r="B423" i="668"/>
  <c r="B422" i="668"/>
  <c r="B421" i="668"/>
  <c r="B420" i="668"/>
  <c r="B419" i="668"/>
  <c r="B418" i="668"/>
  <c r="B417" i="668"/>
  <c r="B416" i="668"/>
  <c r="B415" i="668"/>
  <c r="B414" i="668"/>
  <c r="B413" i="668"/>
  <c r="B412" i="668"/>
  <c r="B411" i="668"/>
  <c r="B410" i="668"/>
  <c r="B409" i="668"/>
  <c r="B408" i="668"/>
  <c r="B407" i="668"/>
  <c r="B406" i="668"/>
  <c r="B405" i="668"/>
  <c r="B404" i="668"/>
  <c r="B403" i="668"/>
  <c r="B402" i="668"/>
  <c r="B401" i="668"/>
  <c r="B400" i="668"/>
  <c r="B399" i="668"/>
  <c r="B398" i="668"/>
  <c r="B397" i="668"/>
  <c r="B396" i="668"/>
  <c r="B395" i="668"/>
  <c r="B394" i="668"/>
  <c r="B393" i="668"/>
  <c r="B392" i="668"/>
  <c r="B391" i="668"/>
  <c r="B390" i="668"/>
  <c r="B389" i="668"/>
  <c r="B388" i="668"/>
  <c r="B387" i="668"/>
  <c r="B386" i="668"/>
  <c r="B385" i="668"/>
  <c r="B384" i="668"/>
  <c r="B383" i="668"/>
  <c r="B382" i="668"/>
  <c r="B381" i="668"/>
  <c r="B380" i="668"/>
  <c r="B379" i="668"/>
  <c r="B378" i="668"/>
  <c r="B377" i="668"/>
  <c r="B376" i="668"/>
  <c r="B375" i="668"/>
  <c r="B374" i="668"/>
  <c r="B373" i="668"/>
  <c r="B372" i="668"/>
  <c r="B371" i="668"/>
  <c r="B370" i="668"/>
  <c r="B369" i="668"/>
  <c r="B368" i="668"/>
  <c r="B367" i="668"/>
  <c r="B366" i="668"/>
  <c r="B365" i="668"/>
  <c r="B364" i="668"/>
  <c r="B363" i="668"/>
  <c r="B362" i="668"/>
  <c r="B361" i="668"/>
  <c r="B360" i="668"/>
  <c r="B359" i="668"/>
  <c r="B358" i="668"/>
  <c r="B357" i="668"/>
  <c r="B356" i="668"/>
  <c r="B355" i="668"/>
  <c r="B354" i="668"/>
  <c r="B353" i="668"/>
  <c r="B352" i="668"/>
  <c r="B351" i="668"/>
  <c r="B350" i="668"/>
  <c r="B349" i="668"/>
  <c r="B348" i="668"/>
  <c r="B347" i="668"/>
  <c r="B346" i="668"/>
  <c r="B345" i="668"/>
  <c r="B344" i="668"/>
  <c r="B343" i="668"/>
  <c r="B342" i="668"/>
  <c r="B341" i="668"/>
  <c r="B340" i="668"/>
  <c r="B339" i="668"/>
  <c r="B338" i="668"/>
  <c r="B337" i="668"/>
  <c r="B336" i="668"/>
  <c r="B335" i="668"/>
  <c r="B334" i="668"/>
  <c r="B333" i="668"/>
  <c r="B332" i="668"/>
  <c r="B331" i="668"/>
  <c r="B330" i="668"/>
  <c r="B329" i="668"/>
  <c r="B328" i="668"/>
  <c r="B327" i="668"/>
  <c r="B326" i="668"/>
  <c r="B325" i="668"/>
  <c r="B324" i="668"/>
  <c r="B323" i="668"/>
  <c r="B322" i="668"/>
  <c r="B321" i="668"/>
  <c r="B320" i="668"/>
  <c r="B319" i="668"/>
  <c r="B318" i="668"/>
  <c r="B317" i="668"/>
  <c r="B316" i="668"/>
  <c r="B315" i="668"/>
  <c r="B314" i="668"/>
  <c r="B313" i="668"/>
  <c r="B312" i="668"/>
  <c r="B311" i="668"/>
  <c r="B310" i="668"/>
  <c r="B309" i="668"/>
  <c r="B308" i="668"/>
  <c r="B307" i="668"/>
  <c r="B306" i="668"/>
  <c r="B305" i="668"/>
  <c r="B304" i="668"/>
  <c r="B303" i="668"/>
  <c r="B302" i="668"/>
  <c r="B301" i="668"/>
  <c r="B300" i="668"/>
  <c r="B299" i="668"/>
  <c r="B298" i="668"/>
  <c r="B297" i="668"/>
  <c r="B296" i="668"/>
  <c r="B295" i="668"/>
  <c r="B294" i="668"/>
  <c r="B293" i="668"/>
  <c r="B292" i="668"/>
  <c r="B291" i="668"/>
  <c r="B290" i="668"/>
  <c r="B289" i="668"/>
  <c r="B288" i="668"/>
  <c r="B287" i="668"/>
  <c r="B286" i="668"/>
  <c r="B285" i="668"/>
  <c r="B284" i="668"/>
  <c r="B283" i="668"/>
  <c r="B282" i="668"/>
  <c r="B281" i="668"/>
  <c r="B280" i="668"/>
  <c r="B279" i="668"/>
  <c r="B278" i="668"/>
  <c r="B277" i="668"/>
  <c r="B276" i="668"/>
  <c r="B275" i="668"/>
  <c r="B274" i="668"/>
  <c r="B273" i="668"/>
  <c r="B272" i="668"/>
  <c r="B271" i="668"/>
  <c r="B270" i="668"/>
  <c r="B269" i="668"/>
  <c r="B268" i="668"/>
  <c r="B267" i="668"/>
  <c r="B266" i="668"/>
  <c r="B265" i="668"/>
  <c r="B264" i="668"/>
  <c r="B263" i="668"/>
  <c r="B262" i="668"/>
  <c r="B261" i="668"/>
  <c r="B260" i="668"/>
  <c r="B259" i="668"/>
  <c r="B258" i="668"/>
  <c r="B257" i="668"/>
  <c r="B256" i="668"/>
  <c r="B255" i="668"/>
  <c r="B254" i="668"/>
  <c r="B253" i="668"/>
  <c r="B252" i="668"/>
  <c r="B251" i="668"/>
  <c r="B250" i="668"/>
  <c r="B249" i="668"/>
  <c r="B248" i="668"/>
  <c r="B247" i="668"/>
  <c r="B246" i="668"/>
  <c r="B245" i="668"/>
  <c r="B244" i="668"/>
  <c r="B243" i="668"/>
  <c r="B242" i="668"/>
  <c r="B241" i="668"/>
  <c r="B240" i="668"/>
  <c r="B239" i="668"/>
  <c r="B238" i="668"/>
  <c r="B237" i="668"/>
  <c r="B236" i="668"/>
  <c r="B235" i="668"/>
  <c r="B234" i="668"/>
  <c r="B233" i="668"/>
  <c r="B232" i="668"/>
  <c r="B231" i="668"/>
  <c r="B230" i="668"/>
  <c r="B229" i="668"/>
  <c r="B228" i="668"/>
  <c r="B227" i="668"/>
  <c r="B226" i="668"/>
  <c r="B225" i="668"/>
  <c r="B224" i="668"/>
  <c r="B223" i="668"/>
  <c r="B222" i="668"/>
  <c r="B221" i="668"/>
  <c r="B220" i="668"/>
  <c r="B219" i="668"/>
  <c r="B218" i="668"/>
  <c r="B217" i="668"/>
  <c r="B216" i="668"/>
  <c r="B215" i="668"/>
  <c r="B214" i="668"/>
  <c r="B213" i="668"/>
  <c r="B212" i="668"/>
  <c r="B211" i="668"/>
  <c r="B210" i="668"/>
  <c r="B209" i="668"/>
  <c r="B208" i="668"/>
  <c r="B207" i="668"/>
  <c r="B206" i="668"/>
  <c r="B205" i="668"/>
  <c r="B204" i="668"/>
  <c r="B203" i="668"/>
  <c r="B202" i="668"/>
  <c r="B201" i="668"/>
  <c r="B200" i="668"/>
  <c r="B199" i="668"/>
  <c r="B198" i="668"/>
  <c r="B197" i="668"/>
  <c r="B196" i="668"/>
  <c r="B195" i="668"/>
  <c r="B194" i="668"/>
  <c r="B193" i="668"/>
  <c r="B192" i="668"/>
  <c r="B191" i="668"/>
  <c r="B190" i="668"/>
  <c r="B189" i="668"/>
  <c r="B188" i="668"/>
  <c r="B187" i="668"/>
  <c r="B186" i="668"/>
  <c r="B185" i="668"/>
  <c r="B184" i="668"/>
  <c r="B183" i="668"/>
  <c r="B182" i="668"/>
  <c r="B181" i="668"/>
  <c r="B180" i="668"/>
  <c r="B179" i="668"/>
  <c r="B178" i="668"/>
  <c r="B177" i="668"/>
  <c r="B176" i="668"/>
  <c r="B175" i="668"/>
  <c r="B174" i="668"/>
  <c r="B173" i="668"/>
  <c r="B172" i="668"/>
  <c r="B171" i="668"/>
  <c r="B170" i="668"/>
  <c r="B169" i="668"/>
  <c r="B168" i="668"/>
  <c r="B167" i="668"/>
  <c r="B166" i="668"/>
  <c r="B165" i="668"/>
  <c r="B164" i="668"/>
  <c r="B163" i="668"/>
  <c r="B162" i="668"/>
  <c r="B161" i="668"/>
  <c r="B160" i="668"/>
  <c r="B159" i="668"/>
  <c r="B158" i="668"/>
  <c r="B157" i="668"/>
  <c r="B156" i="668"/>
  <c r="B155" i="668"/>
  <c r="B154" i="668"/>
  <c r="B153" i="668"/>
  <c r="B152" i="668"/>
  <c r="B151" i="668"/>
  <c r="B150" i="668"/>
  <c r="B149" i="668"/>
  <c r="B148" i="668"/>
  <c r="B147" i="668"/>
  <c r="B146" i="668"/>
  <c r="B145" i="668"/>
  <c r="B144" i="668"/>
  <c r="B143" i="668"/>
  <c r="B142" i="668"/>
  <c r="B141" i="668"/>
  <c r="B140" i="668"/>
  <c r="B139" i="668"/>
  <c r="B138" i="668"/>
  <c r="B137" i="668"/>
  <c r="B136" i="668"/>
  <c r="B135" i="668"/>
  <c r="B134" i="668"/>
  <c r="B133" i="668"/>
  <c r="B132" i="668"/>
  <c r="B131" i="668"/>
  <c r="B130" i="668"/>
  <c r="B129" i="668"/>
  <c r="B128" i="668"/>
  <c r="B127" i="668"/>
  <c r="B126" i="668"/>
  <c r="B125" i="668"/>
  <c r="B124" i="668"/>
  <c r="B123" i="668"/>
  <c r="B122" i="668"/>
  <c r="B121" i="668"/>
  <c r="B120" i="668"/>
  <c r="B119" i="668"/>
  <c r="B118" i="668"/>
  <c r="B117" i="668"/>
  <c r="B116" i="668"/>
  <c r="B115" i="668"/>
  <c r="B114" i="668"/>
  <c r="B113" i="668"/>
  <c r="B112" i="668"/>
  <c r="B111" i="668"/>
  <c r="B110" i="668"/>
  <c r="B109" i="668"/>
  <c r="B108" i="668"/>
  <c r="B107" i="668"/>
  <c r="B106" i="668"/>
  <c r="B105" i="668"/>
  <c r="B104" i="668"/>
  <c r="B103" i="668"/>
  <c r="B102" i="668"/>
  <c r="B101" i="668"/>
  <c r="B100" i="668"/>
  <c r="B99" i="668"/>
  <c r="B98" i="668"/>
  <c r="B97" i="668"/>
  <c r="B96" i="668"/>
  <c r="B95" i="668"/>
  <c r="B94" i="668"/>
  <c r="B93" i="668"/>
  <c r="B92" i="668"/>
  <c r="B91" i="668"/>
  <c r="B90" i="668"/>
  <c r="B89" i="668"/>
  <c r="B88" i="668"/>
  <c r="B87" i="668"/>
  <c r="B86" i="668"/>
  <c r="B85" i="668"/>
  <c r="B84" i="668"/>
  <c r="B83" i="668"/>
  <c r="B82" i="668"/>
  <c r="B81" i="668"/>
  <c r="B80" i="668"/>
  <c r="B79" i="668"/>
  <c r="B78" i="668"/>
  <c r="B77" i="668"/>
  <c r="B76" i="668"/>
  <c r="B75" i="668"/>
  <c r="B74" i="668"/>
  <c r="B73" i="668"/>
  <c r="B72" i="668"/>
  <c r="B71" i="668"/>
  <c r="B70" i="668"/>
  <c r="B69" i="668"/>
  <c r="B68" i="668"/>
  <c r="B67" i="668"/>
  <c r="B66" i="668"/>
  <c r="B65" i="668"/>
  <c r="B64" i="668"/>
  <c r="B63" i="668"/>
  <c r="B62" i="668"/>
  <c r="B61" i="668"/>
  <c r="B60" i="668"/>
  <c r="B59" i="668"/>
  <c r="B58" i="668"/>
  <c r="B57" i="668"/>
  <c r="B56" i="668"/>
  <c r="B55" i="668"/>
  <c r="B54" i="668"/>
  <c r="B53" i="668"/>
  <c r="B52" i="668"/>
  <c r="B51" i="668"/>
  <c r="B50" i="668"/>
  <c r="B49" i="668"/>
  <c r="B48" i="668"/>
  <c r="B47" i="668"/>
  <c r="B46" i="668"/>
  <c r="B45" i="668"/>
  <c r="B44" i="668"/>
  <c r="B43" i="668"/>
  <c r="B42" i="668"/>
  <c r="B41" i="668"/>
  <c r="B40" i="668"/>
  <c r="B39" i="668"/>
  <c r="B38" i="668"/>
  <c r="B37" i="668"/>
  <c r="B36" i="668"/>
  <c r="B35" i="668"/>
  <c r="B34" i="668"/>
  <c r="B33" i="668"/>
  <c r="B32" i="668"/>
  <c r="B31" i="668"/>
  <c r="B30" i="668"/>
  <c r="B29" i="668"/>
  <c r="B28" i="668"/>
  <c r="B27" i="668"/>
  <c r="B26" i="668"/>
  <c r="B25" i="668"/>
  <c r="B24" i="668"/>
  <c r="B23" i="668"/>
  <c r="B22" i="668"/>
  <c r="B21" i="668"/>
  <c r="B20" i="668"/>
  <c r="B19" i="668"/>
  <c r="B18" i="668"/>
  <c r="B17" i="668"/>
  <c r="B16" i="668"/>
  <c r="B15" i="668"/>
  <c r="B14" i="668"/>
  <c r="B13" i="668"/>
  <c r="B12" i="668"/>
  <c r="B11" i="668"/>
  <c r="B10" i="668"/>
  <c r="B9" i="668"/>
  <c r="B8" i="668"/>
  <c r="B7" i="668"/>
  <c r="B6" i="668"/>
  <c r="B5" i="668"/>
  <c r="B3" i="668"/>
  <c r="B4" i="668"/>
  <c r="I47" i="699" l="1"/>
  <c r="K47" i="699" s="1"/>
  <c r="M47" i="699" s="1"/>
  <c r="O47" i="699" s="1"/>
  <c r="Q47" i="699" s="1"/>
  <c r="H47" i="699"/>
  <c r="J47" i="699" s="1"/>
  <c r="L47" i="699" s="1"/>
  <c r="N47" i="699" s="1"/>
  <c r="P47" i="699" s="1"/>
  <c r="G48" i="699"/>
  <c r="G48" i="391" s="1"/>
  <c r="F48" i="699"/>
  <c r="F48" i="391" s="1"/>
  <c r="B49" i="699"/>
  <c r="E48" i="699"/>
  <c r="D48" i="699"/>
  <c r="V189" i="1"/>
  <c r="U189" i="1"/>
  <c r="T189" i="1"/>
  <c r="S189" i="1"/>
  <c r="R189" i="1"/>
  <c r="Q189" i="1"/>
  <c r="V187" i="1"/>
  <c r="U187" i="1"/>
  <c r="T187" i="1"/>
  <c r="S187" i="1"/>
  <c r="R187" i="1"/>
  <c r="Q187" i="1"/>
  <c r="V186" i="1"/>
  <c r="U186" i="1"/>
  <c r="T186" i="1"/>
  <c r="S186" i="1"/>
  <c r="R186" i="1"/>
  <c r="Q186" i="1"/>
  <c r="H48" i="699" l="1"/>
  <c r="J48" i="699" s="1"/>
  <c r="L48" i="699" s="1"/>
  <c r="N48" i="699" s="1"/>
  <c r="P48" i="699" s="1"/>
  <c r="G49" i="699"/>
  <c r="G49" i="391" s="1"/>
  <c r="F49" i="699"/>
  <c r="F49" i="391" s="1"/>
  <c r="I48" i="699"/>
  <c r="K48" i="699" s="1"/>
  <c r="M48" i="699" s="1"/>
  <c r="O48" i="699" s="1"/>
  <c r="Q48" i="699" s="1"/>
  <c r="D49" i="699"/>
  <c r="B50" i="699"/>
  <c r="E49" i="699"/>
  <c r="F10" i="608"/>
  <c r="H49" i="699" l="1"/>
  <c r="J49" i="699" s="1"/>
  <c r="L49" i="699" s="1"/>
  <c r="N49" i="699" s="1"/>
  <c r="P49" i="699" s="1"/>
  <c r="I49" i="699"/>
  <c r="K49" i="699" s="1"/>
  <c r="M49" i="699" s="1"/>
  <c r="O49" i="699" s="1"/>
  <c r="Q49" i="699" s="1"/>
  <c r="G50" i="699"/>
  <c r="G50" i="391" s="1"/>
  <c r="F50" i="699"/>
  <c r="F50" i="391" s="1"/>
  <c r="E50" i="699"/>
  <c r="B51" i="699"/>
  <c r="D50" i="699"/>
  <c r="R184" i="167"/>
  <c r="Q184" i="167"/>
  <c r="P184" i="167"/>
  <c r="O184" i="167"/>
  <c r="R197" i="167"/>
  <c r="Q197" i="167"/>
  <c r="P197" i="167"/>
  <c r="O197" i="167"/>
  <c r="R196" i="167"/>
  <c r="Q196" i="167"/>
  <c r="P196" i="167"/>
  <c r="O196" i="167"/>
  <c r="R194" i="167"/>
  <c r="Q194" i="167"/>
  <c r="P194" i="167"/>
  <c r="O194" i="167"/>
  <c r="Q189" i="167"/>
  <c r="R187" i="167"/>
  <c r="Q187" i="167"/>
  <c r="P187" i="167"/>
  <c r="O187" i="167"/>
  <c r="R186" i="167"/>
  <c r="Q186" i="167"/>
  <c r="P186" i="167"/>
  <c r="O186" i="167"/>
  <c r="R182" i="167"/>
  <c r="Q182" i="167"/>
  <c r="P182" i="167"/>
  <c r="O182" i="167"/>
  <c r="Q158" i="167"/>
  <c r="Q159" i="167" s="1"/>
  <c r="R157" i="167"/>
  <c r="R158" i="167" s="1"/>
  <c r="R159" i="167" s="1"/>
  <c r="Q157" i="167"/>
  <c r="P157" i="167"/>
  <c r="P158" i="167" s="1"/>
  <c r="P159" i="167" s="1"/>
  <c r="O157" i="167"/>
  <c r="O158" i="167" s="1"/>
  <c r="O159" i="167" s="1"/>
  <c r="R149" i="167"/>
  <c r="Q149" i="167"/>
  <c r="Q150" i="167" s="1"/>
  <c r="P149" i="167"/>
  <c r="O149" i="167"/>
  <c r="R148" i="167"/>
  <c r="Q148" i="167"/>
  <c r="Q151" i="167" s="1"/>
  <c r="P148" i="167"/>
  <c r="P151" i="167" s="1"/>
  <c r="O148" i="167"/>
  <c r="O151" i="167" s="1"/>
  <c r="R140" i="167"/>
  <c r="Q140" i="167"/>
  <c r="P140" i="167"/>
  <c r="O140" i="167"/>
  <c r="R137" i="167"/>
  <c r="R138" i="167" s="1"/>
  <c r="R144" i="167" s="1"/>
  <c r="Q137" i="167"/>
  <c r="Q138" i="167" s="1"/>
  <c r="Q144" i="167" s="1"/>
  <c r="P137" i="167"/>
  <c r="O137" i="167"/>
  <c r="R135" i="167"/>
  <c r="R141" i="167" s="1"/>
  <c r="Q135" i="167"/>
  <c r="Q141" i="167" s="1"/>
  <c r="P135" i="167"/>
  <c r="P141" i="167" s="1"/>
  <c r="O135" i="167"/>
  <c r="O141" i="167" s="1"/>
  <c r="R134" i="167"/>
  <c r="Q134" i="167"/>
  <c r="P134" i="167"/>
  <c r="O134" i="167"/>
  <c r="R133" i="167"/>
  <c r="Q133" i="167"/>
  <c r="P133" i="167"/>
  <c r="O133" i="167"/>
  <c r="R132" i="167"/>
  <c r="Q132" i="167"/>
  <c r="P132" i="167"/>
  <c r="O132" i="167"/>
  <c r="R131" i="167"/>
  <c r="Q131" i="167"/>
  <c r="P131" i="167"/>
  <c r="O131" i="167"/>
  <c r="P120" i="167"/>
  <c r="Q120" i="167" s="1"/>
  <c r="R120" i="167" s="1"/>
  <c r="S120" i="167" s="1"/>
  <c r="N24" i="483"/>
  <c r="H50" i="699" l="1"/>
  <c r="J50" i="699" s="1"/>
  <c r="L50" i="699" s="1"/>
  <c r="N50" i="699" s="1"/>
  <c r="P50" i="699" s="1"/>
  <c r="I50" i="699"/>
  <c r="K50" i="699" s="1"/>
  <c r="M50" i="699" s="1"/>
  <c r="O50" i="699" s="1"/>
  <c r="Q50" i="699" s="1"/>
  <c r="G51" i="699"/>
  <c r="G51" i="391" s="1"/>
  <c r="F51" i="699"/>
  <c r="F51" i="391" s="1"/>
  <c r="B52" i="699"/>
  <c r="E51" i="699"/>
  <c r="D51" i="699"/>
  <c r="O188" i="167"/>
  <c r="R188" i="167"/>
  <c r="Q142" i="167"/>
  <c r="Q143" i="167" s="1"/>
  <c r="P188" i="167"/>
  <c r="Q188" i="167"/>
  <c r="Q190" i="167" s="1"/>
  <c r="Q191" i="167" s="1"/>
  <c r="Q195" i="167" s="1"/>
  <c r="Q198" i="167"/>
  <c r="P142" i="167"/>
  <c r="P143" i="167" s="1"/>
  <c r="O142" i="167"/>
  <c r="O143" i="167" s="1"/>
  <c r="R142" i="167"/>
  <c r="R143" i="167" s="1"/>
  <c r="Q152" i="167"/>
  <c r="Q153" i="167" s="1"/>
  <c r="Q154" i="167" s="1"/>
  <c r="O138" i="167"/>
  <c r="O144" i="167" s="1"/>
  <c r="P138" i="167"/>
  <c r="P144" i="167" s="1"/>
  <c r="I51" i="699" l="1"/>
  <c r="K51" i="699" s="1"/>
  <c r="M51" i="699" s="1"/>
  <c r="O51" i="699" s="1"/>
  <c r="Q51" i="699" s="1"/>
  <c r="H51" i="699"/>
  <c r="J51" i="699" s="1"/>
  <c r="L51" i="699" s="1"/>
  <c r="N51" i="699" s="1"/>
  <c r="P51" i="699" s="1"/>
  <c r="F52" i="699"/>
  <c r="F52" i="391" s="1"/>
  <c r="G52" i="699"/>
  <c r="G52" i="391" s="1"/>
  <c r="B53" i="699"/>
  <c r="E52" i="699"/>
  <c r="D52" i="699"/>
  <c r="Q199" i="167"/>
  <c r="D82" i="497"/>
  <c r="D82" i="498"/>
  <c r="D82" i="547"/>
  <c r="D82" i="622"/>
  <c r="C48" i="664"/>
  <c r="C48" i="665"/>
  <c r="C35" i="665"/>
  <c r="C9" i="665"/>
  <c r="A25" i="665"/>
  <c r="A26" i="665" s="1"/>
  <c r="C48" i="659"/>
  <c r="S55" i="482"/>
  <c r="C9" i="664"/>
  <c r="A25" i="664"/>
  <c r="A26" i="664" s="1"/>
  <c r="C35" i="659"/>
  <c r="E72" i="622"/>
  <c r="E66" i="622"/>
  <c r="E65" i="622"/>
  <c r="E57" i="622"/>
  <c r="E39" i="622"/>
  <c r="E38" i="622"/>
  <c r="E35" i="622"/>
  <c r="E66" i="547"/>
  <c r="E65" i="547"/>
  <c r="E57" i="547"/>
  <c r="E39" i="547"/>
  <c r="E38" i="547"/>
  <c r="E37" i="547"/>
  <c r="E35" i="547"/>
  <c r="A6" i="663"/>
  <c r="H52" i="699" l="1"/>
  <c r="J52" i="699" s="1"/>
  <c r="L52" i="699" s="1"/>
  <c r="N52" i="699" s="1"/>
  <c r="P52" i="699" s="1"/>
  <c r="I52" i="699"/>
  <c r="K52" i="699" s="1"/>
  <c r="M52" i="699" s="1"/>
  <c r="O52" i="699" s="1"/>
  <c r="Q52" i="699" s="1"/>
  <c r="F53" i="699"/>
  <c r="F53" i="391" s="1"/>
  <c r="G53" i="699"/>
  <c r="G53" i="391" s="1"/>
  <c r="D53" i="699"/>
  <c r="E53" i="699"/>
  <c r="B54" i="699"/>
  <c r="H85" i="248"/>
  <c r="G85" i="248"/>
  <c r="D9" i="664"/>
  <c r="D9" i="665"/>
  <c r="I53" i="699" l="1"/>
  <c r="K53" i="699" s="1"/>
  <c r="M53" i="699" s="1"/>
  <c r="O53" i="699" s="1"/>
  <c r="Q53" i="699" s="1"/>
  <c r="H53" i="699"/>
  <c r="J53" i="699" s="1"/>
  <c r="L53" i="699" s="1"/>
  <c r="N53" i="699" s="1"/>
  <c r="P53" i="699" s="1"/>
  <c r="G54" i="699"/>
  <c r="G54" i="391" s="1"/>
  <c r="F54" i="699"/>
  <c r="F54" i="391" s="1"/>
  <c r="E54" i="699"/>
  <c r="D54" i="699"/>
  <c r="E9" i="664"/>
  <c r="E9" i="665"/>
  <c r="F163" i="620"/>
  <c r="H162" i="620"/>
  <c r="F162" i="620"/>
  <c r="F114" i="620"/>
  <c r="F113" i="620"/>
  <c r="F112" i="620"/>
  <c r="F77" i="620"/>
  <c r="F76" i="620"/>
  <c r="F15" i="620"/>
  <c r="I112" i="620"/>
  <c r="I53" i="620"/>
  <c r="D46" i="622" s="1"/>
  <c r="I52" i="620"/>
  <c r="D45" i="622" s="1"/>
  <c r="H161" i="620"/>
  <c r="H160" i="620"/>
  <c r="H159" i="620"/>
  <c r="H158" i="620"/>
  <c r="H123" i="620"/>
  <c r="J118" i="620"/>
  <c r="F102" i="620"/>
  <c r="F101" i="620"/>
  <c r="F99" i="620"/>
  <c r="F94" i="620" s="1"/>
  <c r="F91" i="620"/>
  <c r="G67" i="620"/>
  <c r="AL62" i="620"/>
  <c r="AL57" i="620"/>
  <c r="F57" i="620"/>
  <c r="AL56" i="620"/>
  <c r="AL49" i="620"/>
  <c r="J49" i="620"/>
  <c r="F49" i="620"/>
  <c r="J35" i="620"/>
  <c r="F34" i="620"/>
  <c r="F28" i="620"/>
  <c r="J23" i="620"/>
  <c r="F16" i="620"/>
  <c r="F13" i="620"/>
  <c r="F10" i="620"/>
  <c r="F3" i="620"/>
  <c r="F2" i="620"/>
  <c r="C2" i="620"/>
  <c r="F1" i="620"/>
  <c r="I112" i="545"/>
  <c r="E72" i="547" s="1"/>
  <c r="I53" i="545"/>
  <c r="K53" i="545" s="1"/>
  <c r="D45" i="547"/>
  <c r="F163" i="545"/>
  <c r="H162" i="545"/>
  <c r="F162" i="545"/>
  <c r="F114" i="545"/>
  <c r="F113" i="545"/>
  <c r="F112" i="545"/>
  <c r="F77" i="545"/>
  <c r="F76" i="545"/>
  <c r="F15" i="545"/>
  <c r="H161" i="545"/>
  <c r="H160" i="545"/>
  <c r="H159" i="545"/>
  <c r="H158" i="545"/>
  <c r="H123" i="545"/>
  <c r="J118" i="545"/>
  <c r="F102" i="545"/>
  <c r="F101" i="545"/>
  <c r="F99" i="545"/>
  <c r="F94" i="545" s="1"/>
  <c r="F91" i="545"/>
  <c r="G67" i="545"/>
  <c r="AL62" i="545"/>
  <c r="AL57" i="545"/>
  <c r="F57" i="545"/>
  <c r="AL56" i="545"/>
  <c r="AL49" i="545"/>
  <c r="J49" i="545"/>
  <c r="F49" i="545"/>
  <c r="J35" i="545"/>
  <c r="F34" i="545"/>
  <c r="F28" i="545"/>
  <c r="J23" i="545"/>
  <c r="F16" i="545"/>
  <c r="F13" i="545"/>
  <c r="F10" i="545"/>
  <c r="F3" i="545"/>
  <c r="F2" i="545"/>
  <c r="C2" i="545"/>
  <c r="F1" i="545"/>
  <c r="H54" i="699" l="1"/>
  <c r="J54" i="699" s="1"/>
  <c r="L54" i="699" s="1"/>
  <c r="N54" i="699" s="1"/>
  <c r="P54" i="699" s="1"/>
  <c r="F56" i="391"/>
  <c r="F55" i="391"/>
  <c r="I54" i="699"/>
  <c r="F55" i="699"/>
  <c r="F56" i="699"/>
  <c r="D56" i="699"/>
  <c r="D55" i="699"/>
  <c r="H46" i="248"/>
  <c r="G46" i="248"/>
  <c r="H47" i="248"/>
  <c r="G47" i="248"/>
  <c r="F78" i="545"/>
  <c r="F78" i="620"/>
  <c r="J53" i="620"/>
  <c r="J53" i="545"/>
  <c r="D46" i="547"/>
  <c r="J52" i="545"/>
  <c r="J52" i="620"/>
  <c r="K54" i="699" l="1"/>
  <c r="H55" i="699"/>
  <c r="H56" i="699"/>
  <c r="A6" i="662"/>
  <c r="A6" i="661"/>
  <c r="J117" i="490"/>
  <c r="J49" i="490"/>
  <c r="J35" i="490"/>
  <c r="J23" i="490"/>
  <c r="C9" i="659"/>
  <c r="A25" i="659"/>
  <c r="A26" i="659" s="1"/>
  <c r="M54" i="699" l="1"/>
  <c r="J56" i="699"/>
  <c r="J55" i="699"/>
  <c r="D9" i="659"/>
  <c r="O54" i="699" l="1"/>
  <c r="L55" i="699"/>
  <c r="L56" i="699"/>
  <c r="E9" i="659"/>
  <c r="J117" i="489"/>
  <c r="J49" i="489"/>
  <c r="J35" i="489"/>
  <c r="J23" i="489"/>
  <c r="C9" i="423"/>
  <c r="Q54" i="699" l="1"/>
  <c r="N56" i="699"/>
  <c r="N55" i="699"/>
  <c r="A25" i="423"/>
  <c r="A26" i="423" s="1"/>
  <c r="P56" i="699" l="1"/>
  <c r="P55" i="699"/>
  <c r="D9" i="423"/>
  <c r="E9" i="423" l="1"/>
  <c r="B1231" i="657" l="1"/>
  <c r="B1230" i="657"/>
  <c r="B1229" i="657"/>
  <c r="B1228" i="657"/>
  <c r="B1227" i="657"/>
  <c r="B1226" i="657"/>
  <c r="B1225" i="657"/>
  <c r="B1224" i="657"/>
  <c r="B1223" i="657"/>
  <c r="B1222" i="657"/>
  <c r="B1221" i="657"/>
  <c r="B1220" i="657"/>
  <c r="B1219" i="657"/>
  <c r="B1218" i="657"/>
  <c r="B1217" i="657"/>
  <c r="B1216" i="657"/>
  <c r="B1215" i="657"/>
  <c r="B1214" i="657"/>
  <c r="B1213" i="657"/>
  <c r="B1212" i="657"/>
  <c r="B1211" i="657"/>
  <c r="B1210" i="657"/>
  <c r="B1209" i="657"/>
  <c r="B1208" i="657"/>
  <c r="B1207" i="657"/>
  <c r="B1206" i="657"/>
  <c r="B1205" i="657"/>
  <c r="B1204" i="657"/>
  <c r="B1203" i="657"/>
  <c r="B1202" i="657"/>
  <c r="B1201" i="657"/>
  <c r="B1200" i="657"/>
  <c r="B1199" i="657"/>
  <c r="B1198" i="657"/>
  <c r="B1197" i="657"/>
  <c r="B1196" i="657"/>
  <c r="B1195" i="657"/>
  <c r="B1194" i="657"/>
  <c r="B1193" i="657"/>
  <c r="B1192" i="657"/>
  <c r="B1191" i="657"/>
  <c r="B1190" i="657"/>
  <c r="B1189" i="657"/>
  <c r="B1188" i="657"/>
  <c r="B1187" i="657"/>
  <c r="B1186" i="657"/>
  <c r="B1185" i="657"/>
  <c r="B1184" i="657"/>
  <c r="B1183" i="657"/>
  <c r="B1182" i="657"/>
  <c r="B1181" i="657"/>
  <c r="B1180" i="657"/>
  <c r="B1179" i="657"/>
  <c r="B1178" i="657"/>
  <c r="B1177" i="657"/>
  <c r="B1176" i="657"/>
  <c r="B1175" i="657"/>
  <c r="B1174" i="657"/>
  <c r="B1173" i="657"/>
  <c r="B1172" i="657"/>
  <c r="B1171" i="657"/>
  <c r="B1170" i="657"/>
  <c r="B1169" i="657"/>
  <c r="B1168" i="657"/>
  <c r="B1167" i="657"/>
  <c r="B1166" i="657"/>
  <c r="B1165" i="657"/>
  <c r="B1164" i="657"/>
  <c r="B1163" i="657"/>
  <c r="B1162" i="657"/>
  <c r="B1161" i="657"/>
  <c r="B1160" i="657"/>
  <c r="B1159" i="657"/>
  <c r="B1158" i="657"/>
  <c r="B1157" i="657"/>
  <c r="B1156" i="657"/>
  <c r="B1155" i="657"/>
  <c r="B1154" i="657"/>
  <c r="B1153" i="657"/>
  <c r="B1152" i="657"/>
  <c r="B1151" i="657"/>
  <c r="B1150" i="657"/>
  <c r="B1149" i="657"/>
  <c r="B1148" i="657"/>
  <c r="B1147" i="657"/>
  <c r="B1146" i="657"/>
  <c r="B1145" i="657"/>
  <c r="B1144" i="657"/>
  <c r="B1143" i="657"/>
  <c r="B1142" i="657"/>
  <c r="B1141" i="657"/>
  <c r="B1140" i="657"/>
  <c r="B1139" i="657"/>
  <c r="B1138" i="657"/>
  <c r="B1137" i="657"/>
  <c r="B1136" i="657"/>
  <c r="B1135" i="657"/>
  <c r="B1134" i="657"/>
  <c r="B1133" i="657"/>
  <c r="B1132" i="657"/>
  <c r="B1131" i="657"/>
  <c r="B1130" i="657"/>
  <c r="B1129" i="657"/>
  <c r="B1128" i="657"/>
  <c r="B1127" i="657"/>
  <c r="B1126" i="657"/>
  <c r="B1125" i="657"/>
  <c r="B1124" i="657"/>
  <c r="B1123" i="657"/>
  <c r="B1122" i="657"/>
  <c r="B1121" i="657"/>
  <c r="B1120" i="657"/>
  <c r="B1119" i="657"/>
  <c r="B1118" i="657"/>
  <c r="B1117" i="657"/>
  <c r="B1116" i="657"/>
  <c r="B1115" i="657"/>
  <c r="B1114" i="657"/>
  <c r="B1113" i="657"/>
  <c r="B1112" i="657"/>
  <c r="B1111" i="657"/>
  <c r="B1110" i="657"/>
  <c r="B1109" i="657"/>
  <c r="B1108" i="657"/>
  <c r="B1107" i="657"/>
  <c r="B1106" i="657"/>
  <c r="B1105" i="657"/>
  <c r="B1104" i="657"/>
  <c r="B1103" i="657"/>
  <c r="B1102" i="657"/>
  <c r="B1101" i="657"/>
  <c r="B1100" i="657"/>
  <c r="B1099" i="657"/>
  <c r="B1098" i="657"/>
  <c r="B1097" i="657"/>
  <c r="B1096" i="657"/>
  <c r="B1095" i="657"/>
  <c r="B1094" i="657"/>
  <c r="B1093" i="657"/>
  <c r="B1092" i="657"/>
  <c r="B1091" i="657"/>
  <c r="B1090" i="657"/>
  <c r="B1089" i="657"/>
  <c r="B1088" i="657"/>
  <c r="B1087" i="657"/>
  <c r="B1086" i="657"/>
  <c r="B1085" i="657"/>
  <c r="B1084" i="657"/>
  <c r="B1083" i="657"/>
  <c r="B1082" i="657"/>
  <c r="B1081" i="657"/>
  <c r="B1080" i="657"/>
  <c r="B1079" i="657"/>
  <c r="B1078" i="657"/>
  <c r="B1077" i="657"/>
  <c r="B1076" i="657"/>
  <c r="B1075" i="657"/>
  <c r="B1074" i="657"/>
  <c r="B1073" i="657"/>
  <c r="B1072" i="657"/>
  <c r="B1071" i="657"/>
  <c r="B1070" i="657"/>
  <c r="B1069" i="657"/>
  <c r="B1068" i="657"/>
  <c r="B1067" i="657"/>
  <c r="B1066" i="657"/>
  <c r="B1065" i="657"/>
  <c r="B1064" i="657"/>
  <c r="B1063" i="657"/>
  <c r="B1062" i="657"/>
  <c r="B1061" i="657"/>
  <c r="B1060" i="657"/>
  <c r="B1059" i="657"/>
  <c r="B1058" i="657"/>
  <c r="B1057" i="657"/>
  <c r="B1056" i="657"/>
  <c r="B1055" i="657"/>
  <c r="B1054" i="657"/>
  <c r="B1053" i="657"/>
  <c r="B1052" i="657"/>
  <c r="B1051" i="657"/>
  <c r="B1050" i="657"/>
  <c r="B1049" i="657"/>
  <c r="B1048" i="657"/>
  <c r="B1047" i="657"/>
  <c r="B1046" i="657"/>
  <c r="B1045" i="657"/>
  <c r="B1044" i="657"/>
  <c r="B1043" i="657"/>
  <c r="B1042" i="657"/>
  <c r="B1041" i="657"/>
  <c r="B1040" i="657"/>
  <c r="B1039" i="657"/>
  <c r="B1038" i="657"/>
  <c r="B1037" i="657"/>
  <c r="B1036" i="657"/>
  <c r="B1035" i="657"/>
  <c r="B1034" i="657"/>
  <c r="B1033" i="657"/>
  <c r="B1032" i="657"/>
  <c r="B1031" i="657"/>
  <c r="B1030" i="657"/>
  <c r="B1029" i="657"/>
  <c r="B1028" i="657"/>
  <c r="B1027" i="657"/>
  <c r="B1026" i="657"/>
  <c r="B1025" i="657"/>
  <c r="B1024" i="657"/>
  <c r="B1023" i="657"/>
  <c r="B1022" i="657"/>
  <c r="B1021" i="657"/>
  <c r="B1020" i="657"/>
  <c r="B1019" i="657"/>
  <c r="B1018" i="657"/>
  <c r="B1017" i="657"/>
  <c r="B1016" i="657"/>
  <c r="B1015" i="657"/>
  <c r="B1014" i="657"/>
  <c r="B1013" i="657"/>
  <c r="B1012" i="657"/>
  <c r="B1011" i="657"/>
  <c r="B1010" i="657"/>
  <c r="B1009" i="657"/>
  <c r="B1008" i="657"/>
  <c r="B1007" i="657"/>
  <c r="B1006" i="657"/>
  <c r="B1005" i="657"/>
  <c r="B1004" i="657"/>
  <c r="B1003" i="657"/>
  <c r="B1002" i="657"/>
  <c r="B1001" i="657"/>
  <c r="B1000" i="657"/>
  <c r="B999" i="657"/>
  <c r="B998" i="657"/>
  <c r="B997" i="657"/>
  <c r="B996" i="657"/>
  <c r="B995" i="657"/>
  <c r="B994" i="657"/>
  <c r="B993" i="657"/>
  <c r="B992" i="657"/>
  <c r="B991" i="657"/>
  <c r="B990" i="657"/>
  <c r="B989" i="657"/>
  <c r="B988" i="657"/>
  <c r="B987" i="657"/>
  <c r="B986" i="657"/>
  <c r="B985" i="657"/>
  <c r="B984" i="657"/>
  <c r="B983" i="657"/>
  <c r="B982" i="657"/>
  <c r="B981" i="657"/>
  <c r="B980" i="657"/>
  <c r="B979" i="657"/>
  <c r="B978" i="657"/>
  <c r="B977" i="657"/>
  <c r="B976" i="657"/>
  <c r="B975" i="657"/>
  <c r="B974" i="657"/>
  <c r="B973" i="657"/>
  <c r="B972" i="657"/>
  <c r="B971" i="657"/>
  <c r="B970" i="657"/>
  <c r="B969" i="657"/>
  <c r="B968" i="657"/>
  <c r="B967" i="657"/>
  <c r="B966" i="657"/>
  <c r="B965" i="657"/>
  <c r="B964" i="657"/>
  <c r="B963" i="657"/>
  <c r="B962" i="657"/>
  <c r="B961" i="657"/>
  <c r="B960" i="657"/>
  <c r="B959" i="657"/>
  <c r="B958" i="657"/>
  <c r="B957" i="657"/>
  <c r="B956" i="657"/>
  <c r="B955" i="657"/>
  <c r="B954" i="657"/>
  <c r="B953" i="657"/>
  <c r="B952" i="657"/>
  <c r="B951" i="657"/>
  <c r="B950" i="657"/>
  <c r="B949" i="657"/>
  <c r="B948" i="657"/>
  <c r="B947" i="657"/>
  <c r="B946" i="657"/>
  <c r="B945" i="657"/>
  <c r="B944" i="657"/>
  <c r="B943" i="657"/>
  <c r="B942" i="657"/>
  <c r="B941" i="657"/>
  <c r="B940" i="657"/>
  <c r="B939" i="657"/>
  <c r="B938" i="657"/>
  <c r="B937" i="657"/>
  <c r="B936" i="657"/>
  <c r="B935" i="657"/>
  <c r="B934" i="657"/>
  <c r="B933" i="657"/>
  <c r="B932" i="657"/>
  <c r="B931" i="657"/>
  <c r="B930" i="657"/>
  <c r="B929" i="657"/>
  <c r="B928" i="657"/>
  <c r="B927" i="657"/>
  <c r="B926" i="657"/>
  <c r="B925" i="657"/>
  <c r="B924" i="657"/>
  <c r="B923" i="657"/>
  <c r="B922" i="657"/>
  <c r="B921" i="657"/>
  <c r="B920" i="657"/>
  <c r="B919" i="657"/>
  <c r="B918" i="657"/>
  <c r="B917" i="657"/>
  <c r="B916" i="657"/>
  <c r="B915" i="657"/>
  <c r="B914" i="657"/>
  <c r="B913" i="657"/>
  <c r="B912" i="657"/>
  <c r="B911" i="657"/>
  <c r="B910" i="657"/>
  <c r="B909" i="657"/>
  <c r="B908" i="657"/>
  <c r="B907" i="657"/>
  <c r="B906" i="657"/>
  <c r="B905" i="657"/>
  <c r="B904" i="657"/>
  <c r="B903" i="657"/>
  <c r="B902" i="657"/>
  <c r="B901" i="657"/>
  <c r="B900" i="657"/>
  <c r="B899" i="657"/>
  <c r="B898" i="657"/>
  <c r="B897" i="657"/>
  <c r="B896" i="657"/>
  <c r="B895" i="657"/>
  <c r="B894" i="657"/>
  <c r="B893" i="657"/>
  <c r="B892" i="657"/>
  <c r="B891" i="657"/>
  <c r="B890" i="657"/>
  <c r="B889" i="657"/>
  <c r="B888" i="657"/>
  <c r="B887" i="657"/>
  <c r="B886" i="657"/>
  <c r="B885" i="657"/>
  <c r="B884" i="657"/>
  <c r="B883" i="657"/>
  <c r="B882" i="657"/>
  <c r="B881" i="657"/>
  <c r="B880" i="657"/>
  <c r="B879" i="657"/>
  <c r="B878" i="657"/>
  <c r="B877" i="657"/>
  <c r="B876" i="657"/>
  <c r="B875" i="657"/>
  <c r="B874" i="657"/>
  <c r="B873" i="657"/>
  <c r="B872" i="657"/>
  <c r="B871" i="657"/>
  <c r="B870" i="657"/>
  <c r="B869" i="657"/>
  <c r="B868" i="657"/>
  <c r="B867" i="657"/>
  <c r="B866" i="657"/>
  <c r="B865" i="657"/>
  <c r="B864" i="657"/>
  <c r="B863" i="657"/>
  <c r="B862" i="657"/>
  <c r="B861" i="657"/>
  <c r="B860" i="657"/>
  <c r="B859" i="657"/>
  <c r="B858" i="657"/>
  <c r="B857" i="657"/>
  <c r="B856" i="657"/>
  <c r="B855" i="657"/>
  <c r="B854" i="657"/>
  <c r="B853" i="657"/>
  <c r="B852" i="657"/>
  <c r="B851" i="657"/>
  <c r="B850" i="657"/>
  <c r="B849" i="657"/>
  <c r="B848" i="657"/>
  <c r="B847" i="657"/>
  <c r="B846" i="657"/>
  <c r="B845" i="657"/>
  <c r="B844" i="657"/>
  <c r="B843" i="657"/>
  <c r="B842" i="657"/>
  <c r="B841" i="657"/>
  <c r="B840" i="657"/>
  <c r="B839" i="657"/>
  <c r="B838" i="657"/>
  <c r="B837" i="657"/>
  <c r="B836" i="657"/>
  <c r="B835" i="657"/>
  <c r="B834" i="657"/>
  <c r="B833" i="657"/>
  <c r="B832" i="657"/>
  <c r="B831" i="657"/>
  <c r="B830" i="657"/>
  <c r="B829" i="657"/>
  <c r="B828" i="657"/>
  <c r="B827" i="657"/>
  <c r="B826" i="657"/>
  <c r="B825" i="657"/>
  <c r="B824" i="657"/>
  <c r="B823" i="657"/>
  <c r="B822" i="657"/>
  <c r="B821" i="657"/>
  <c r="B820" i="657"/>
  <c r="B819" i="657"/>
  <c r="B818" i="657"/>
  <c r="B817" i="657"/>
  <c r="B816" i="657"/>
  <c r="B815" i="657"/>
  <c r="B814" i="657"/>
  <c r="B813" i="657"/>
  <c r="B812" i="657"/>
  <c r="B811" i="657"/>
  <c r="B810" i="657"/>
  <c r="B809" i="657"/>
  <c r="B808" i="657"/>
  <c r="B807" i="657"/>
  <c r="B806" i="657"/>
  <c r="B805" i="657"/>
  <c r="B804" i="657"/>
  <c r="B803" i="657"/>
  <c r="B802" i="657"/>
  <c r="B801" i="657"/>
  <c r="B800" i="657"/>
  <c r="B799" i="657"/>
  <c r="B798" i="657"/>
  <c r="B797" i="657"/>
  <c r="B796" i="657"/>
  <c r="B795" i="657"/>
  <c r="B794" i="657"/>
  <c r="B793" i="657"/>
  <c r="B792" i="657"/>
  <c r="B791" i="657"/>
  <c r="B790" i="657"/>
  <c r="B789" i="657"/>
  <c r="B788" i="657"/>
  <c r="B787" i="657"/>
  <c r="B786" i="657"/>
  <c r="B785" i="657"/>
  <c r="B784" i="657"/>
  <c r="B783" i="657"/>
  <c r="B782" i="657"/>
  <c r="B781" i="657"/>
  <c r="B780" i="657"/>
  <c r="B779" i="657"/>
  <c r="B778" i="657"/>
  <c r="B777" i="657"/>
  <c r="B776" i="657"/>
  <c r="B775" i="657"/>
  <c r="B774" i="657"/>
  <c r="B773" i="657"/>
  <c r="B772" i="657"/>
  <c r="B771" i="657"/>
  <c r="B770" i="657"/>
  <c r="B769" i="657"/>
  <c r="B768" i="657"/>
  <c r="B767" i="657"/>
  <c r="B766" i="657"/>
  <c r="B765" i="657"/>
  <c r="B764" i="657"/>
  <c r="B763" i="657"/>
  <c r="B762" i="657"/>
  <c r="B761" i="657"/>
  <c r="B760" i="657"/>
  <c r="B759" i="657"/>
  <c r="B758" i="657"/>
  <c r="B757" i="657"/>
  <c r="B756" i="657"/>
  <c r="B755" i="657"/>
  <c r="B754" i="657"/>
  <c r="B753" i="657"/>
  <c r="B752" i="657"/>
  <c r="B751" i="657"/>
  <c r="B750" i="657"/>
  <c r="B749" i="657"/>
  <c r="B748" i="657"/>
  <c r="B747" i="657"/>
  <c r="B746" i="657"/>
  <c r="B745" i="657"/>
  <c r="B744" i="657"/>
  <c r="B743" i="657"/>
  <c r="B742" i="657"/>
  <c r="B741" i="657"/>
  <c r="B740" i="657"/>
  <c r="B739" i="657"/>
  <c r="B738" i="657"/>
  <c r="B737" i="657"/>
  <c r="B736" i="657"/>
  <c r="B735" i="657"/>
  <c r="B734" i="657"/>
  <c r="B733" i="657"/>
  <c r="B732" i="657"/>
  <c r="B731" i="657"/>
  <c r="B730" i="657"/>
  <c r="B729" i="657"/>
  <c r="B728" i="657"/>
  <c r="B727" i="657"/>
  <c r="B726" i="657"/>
  <c r="B725" i="657"/>
  <c r="B724" i="657"/>
  <c r="B723" i="657"/>
  <c r="B722" i="657"/>
  <c r="B721" i="657"/>
  <c r="B720" i="657"/>
  <c r="B719" i="657"/>
  <c r="B718" i="657"/>
  <c r="B717" i="657"/>
  <c r="B716" i="657"/>
  <c r="B715" i="657"/>
  <c r="B714" i="657"/>
  <c r="B713" i="657"/>
  <c r="B712" i="657"/>
  <c r="B711" i="657"/>
  <c r="B710" i="657"/>
  <c r="B709" i="657"/>
  <c r="B708" i="657"/>
  <c r="B707" i="657"/>
  <c r="B706" i="657"/>
  <c r="B705" i="657"/>
  <c r="B704" i="657"/>
  <c r="B703" i="657"/>
  <c r="B702" i="657"/>
  <c r="B701" i="657"/>
  <c r="B700" i="657"/>
  <c r="B699" i="657"/>
  <c r="B698" i="657"/>
  <c r="B697" i="657"/>
  <c r="B696" i="657"/>
  <c r="B695" i="657"/>
  <c r="B694" i="657"/>
  <c r="B693" i="657"/>
  <c r="B692" i="657"/>
  <c r="B691" i="657"/>
  <c r="B690" i="657"/>
  <c r="B689" i="657"/>
  <c r="B688" i="657"/>
  <c r="B687" i="657"/>
  <c r="B686" i="657"/>
  <c r="B685" i="657"/>
  <c r="B684" i="657"/>
  <c r="B683" i="657"/>
  <c r="B682" i="657"/>
  <c r="B681" i="657"/>
  <c r="B680" i="657"/>
  <c r="B679" i="657"/>
  <c r="B678" i="657"/>
  <c r="B677" i="657"/>
  <c r="B676" i="657"/>
  <c r="B675" i="657"/>
  <c r="B674" i="657"/>
  <c r="B673" i="657"/>
  <c r="B672" i="657"/>
  <c r="B671" i="657"/>
  <c r="B670" i="657"/>
  <c r="B669" i="657"/>
  <c r="B668" i="657"/>
  <c r="B667" i="657"/>
  <c r="B666" i="657"/>
  <c r="B665" i="657"/>
  <c r="B664" i="657"/>
  <c r="B663" i="657"/>
  <c r="B662" i="657"/>
  <c r="B661" i="657"/>
  <c r="B660" i="657"/>
  <c r="B659" i="657"/>
  <c r="B658" i="657"/>
  <c r="B657" i="657"/>
  <c r="B656" i="657"/>
  <c r="B655" i="657"/>
  <c r="B654" i="657"/>
  <c r="B653" i="657"/>
  <c r="B652" i="657"/>
  <c r="B651" i="657"/>
  <c r="B650" i="657"/>
  <c r="B649" i="657"/>
  <c r="B648" i="657"/>
  <c r="B647" i="657"/>
  <c r="B646" i="657"/>
  <c r="B645" i="657"/>
  <c r="B644" i="657"/>
  <c r="B643" i="657"/>
  <c r="B642" i="657"/>
  <c r="B641" i="657"/>
  <c r="B640" i="657"/>
  <c r="B639" i="657"/>
  <c r="B638" i="657"/>
  <c r="B637" i="657"/>
  <c r="B636" i="657"/>
  <c r="B635" i="657"/>
  <c r="B634" i="657"/>
  <c r="B633" i="657"/>
  <c r="B632" i="657"/>
  <c r="B631" i="657"/>
  <c r="B630" i="657"/>
  <c r="B629" i="657"/>
  <c r="B628" i="657"/>
  <c r="B627" i="657"/>
  <c r="B626" i="657"/>
  <c r="B625" i="657"/>
  <c r="B624" i="657"/>
  <c r="B623" i="657"/>
  <c r="B622" i="657"/>
  <c r="B621" i="657"/>
  <c r="B620" i="657"/>
  <c r="B619" i="657"/>
  <c r="B618" i="657"/>
  <c r="B617" i="657"/>
  <c r="B616" i="657"/>
  <c r="B615" i="657"/>
  <c r="B614" i="657"/>
  <c r="B613" i="657"/>
  <c r="B612" i="657"/>
  <c r="B611" i="657"/>
  <c r="B610" i="657"/>
  <c r="B609" i="657"/>
  <c r="B608" i="657"/>
  <c r="B607" i="657"/>
  <c r="B606" i="657"/>
  <c r="B605" i="657"/>
  <c r="B604" i="657"/>
  <c r="B603" i="657"/>
  <c r="B602" i="657"/>
  <c r="B601" i="657"/>
  <c r="B600" i="657"/>
  <c r="B599" i="657"/>
  <c r="B598" i="657"/>
  <c r="B597" i="657"/>
  <c r="B596" i="657"/>
  <c r="B595" i="657"/>
  <c r="B594" i="657"/>
  <c r="B593" i="657"/>
  <c r="B592" i="657"/>
  <c r="B591" i="657"/>
  <c r="B590" i="657"/>
  <c r="B589" i="657"/>
  <c r="B588" i="657"/>
  <c r="B587" i="657"/>
  <c r="B586" i="657"/>
  <c r="B585" i="657"/>
  <c r="B584" i="657"/>
  <c r="B583" i="657"/>
  <c r="B582" i="657"/>
  <c r="B581" i="657"/>
  <c r="B580" i="657"/>
  <c r="B579" i="657"/>
  <c r="B578" i="657"/>
  <c r="B577" i="657"/>
  <c r="B576" i="657"/>
  <c r="B575" i="657"/>
  <c r="B574" i="657"/>
  <c r="B573" i="657"/>
  <c r="B572" i="657"/>
  <c r="B571" i="657"/>
  <c r="B570" i="657"/>
  <c r="B569" i="657"/>
  <c r="B568" i="657"/>
  <c r="B567" i="657"/>
  <c r="B566" i="657"/>
  <c r="B565" i="657"/>
  <c r="B564" i="657"/>
  <c r="B563" i="657"/>
  <c r="B562" i="657"/>
  <c r="B561" i="657"/>
  <c r="B560" i="657"/>
  <c r="B559" i="657"/>
  <c r="B558" i="657"/>
  <c r="B557" i="657"/>
  <c r="B556" i="657"/>
  <c r="B555" i="657"/>
  <c r="B554" i="657"/>
  <c r="B553" i="657"/>
  <c r="B552" i="657"/>
  <c r="B551" i="657"/>
  <c r="B550" i="657"/>
  <c r="B549" i="657"/>
  <c r="B548" i="657"/>
  <c r="B547" i="657"/>
  <c r="B546" i="657"/>
  <c r="B545" i="657"/>
  <c r="B544" i="657"/>
  <c r="B543" i="657"/>
  <c r="B542" i="657"/>
  <c r="B541" i="657"/>
  <c r="B540" i="657"/>
  <c r="B539" i="657"/>
  <c r="B538" i="657"/>
  <c r="B537" i="657"/>
  <c r="B536" i="657"/>
  <c r="B535" i="657"/>
  <c r="B534" i="657"/>
  <c r="B533" i="657"/>
  <c r="B532" i="657"/>
  <c r="B531" i="657"/>
  <c r="B530" i="657"/>
  <c r="B529" i="657"/>
  <c r="B528" i="657"/>
  <c r="B527" i="657"/>
  <c r="B526" i="657"/>
  <c r="B525" i="657"/>
  <c r="B524" i="657"/>
  <c r="B523" i="657"/>
  <c r="B522" i="657"/>
  <c r="B521" i="657"/>
  <c r="B520" i="657"/>
  <c r="B519" i="657"/>
  <c r="B518" i="657"/>
  <c r="B517" i="657"/>
  <c r="B516" i="657"/>
  <c r="B515" i="657"/>
  <c r="B514" i="657"/>
  <c r="B513" i="657"/>
  <c r="B512" i="657"/>
  <c r="B511" i="657"/>
  <c r="B510" i="657"/>
  <c r="B509" i="657"/>
  <c r="B508" i="657"/>
  <c r="B507" i="657"/>
  <c r="B506" i="657"/>
  <c r="B505" i="657"/>
  <c r="B504" i="657"/>
  <c r="B503" i="657"/>
  <c r="B502" i="657"/>
  <c r="B501" i="657"/>
  <c r="B500" i="657"/>
  <c r="B499" i="657"/>
  <c r="B498" i="657"/>
  <c r="B497" i="657"/>
  <c r="B496" i="657"/>
  <c r="B495" i="657"/>
  <c r="B494" i="657"/>
  <c r="B493" i="657"/>
  <c r="B492" i="657"/>
  <c r="B491" i="657"/>
  <c r="B490" i="657"/>
  <c r="B489" i="657"/>
  <c r="B488" i="657"/>
  <c r="B487" i="657"/>
  <c r="B486" i="657"/>
  <c r="B485" i="657"/>
  <c r="B484" i="657"/>
  <c r="B483" i="657"/>
  <c r="B482" i="657"/>
  <c r="B481" i="657"/>
  <c r="B480" i="657"/>
  <c r="B479" i="657"/>
  <c r="B478" i="657"/>
  <c r="B477" i="657"/>
  <c r="B476" i="657"/>
  <c r="B475" i="657"/>
  <c r="B474" i="657"/>
  <c r="B473" i="657"/>
  <c r="B472" i="657"/>
  <c r="B471" i="657"/>
  <c r="B470" i="657"/>
  <c r="B469" i="657"/>
  <c r="B468" i="657"/>
  <c r="B467" i="657"/>
  <c r="B466" i="657"/>
  <c r="B465" i="657"/>
  <c r="B464" i="657"/>
  <c r="B463" i="657"/>
  <c r="B462" i="657"/>
  <c r="B461" i="657"/>
  <c r="B460" i="657"/>
  <c r="B459" i="657"/>
  <c r="B458" i="657"/>
  <c r="B457" i="657"/>
  <c r="B456" i="657"/>
  <c r="B455" i="657"/>
  <c r="B454" i="657"/>
  <c r="B453" i="657"/>
  <c r="B452" i="657"/>
  <c r="B451" i="657"/>
  <c r="B450" i="657"/>
  <c r="B449" i="657"/>
  <c r="B448" i="657"/>
  <c r="B447" i="657"/>
  <c r="B446" i="657"/>
  <c r="B445" i="657"/>
  <c r="B444" i="657"/>
  <c r="B443" i="657"/>
  <c r="B442" i="657"/>
  <c r="B441" i="657"/>
  <c r="B440" i="657"/>
  <c r="B439" i="657"/>
  <c r="B438" i="657"/>
  <c r="B437" i="657"/>
  <c r="B436" i="657"/>
  <c r="B435" i="657"/>
  <c r="B434" i="657"/>
  <c r="B433" i="657"/>
  <c r="B432" i="657"/>
  <c r="B431" i="657"/>
  <c r="B430" i="657"/>
  <c r="B429" i="657"/>
  <c r="B428" i="657"/>
  <c r="B427" i="657"/>
  <c r="B426" i="657"/>
  <c r="B425" i="657"/>
  <c r="B424" i="657"/>
  <c r="B423" i="657"/>
  <c r="B422" i="657"/>
  <c r="B421" i="657"/>
  <c r="B420" i="657"/>
  <c r="B419" i="657"/>
  <c r="B418" i="657"/>
  <c r="B417" i="657"/>
  <c r="B416" i="657"/>
  <c r="B415" i="657"/>
  <c r="B414" i="657"/>
  <c r="B413" i="657"/>
  <c r="B412" i="657"/>
  <c r="B411" i="657"/>
  <c r="B410" i="657"/>
  <c r="B409" i="657"/>
  <c r="B408" i="657"/>
  <c r="B407" i="657"/>
  <c r="B406" i="657"/>
  <c r="B405" i="657"/>
  <c r="B404" i="657"/>
  <c r="B403" i="657"/>
  <c r="B402" i="657"/>
  <c r="B401" i="657"/>
  <c r="B400" i="657"/>
  <c r="B399" i="657"/>
  <c r="B398" i="657"/>
  <c r="B397" i="657"/>
  <c r="B396" i="657"/>
  <c r="B395" i="657"/>
  <c r="B394" i="657"/>
  <c r="B393" i="657"/>
  <c r="B392" i="657"/>
  <c r="B391" i="657"/>
  <c r="B390" i="657"/>
  <c r="B389" i="657"/>
  <c r="B388" i="657"/>
  <c r="B387" i="657"/>
  <c r="B386" i="657"/>
  <c r="B385" i="657"/>
  <c r="B384" i="657"/>
  <c r="B383" i="657"/>
  <c r="B382" i="657"/>
  <c r="B381" i="657"/>
  <c r="B380" i="657"/>
  <c r="B379" i="657"/>
  <c r="B378" i="657"/>
  <c r="B377" i="657"/>
  <c r="B376" i="657"/>
  <c r="B375" i="657"/>
  <c r="B374" i="657"/>
  <c r="B373" i="657"/>
  <c r="B372" i="657"/>
  <c r="B371" i="657"/>
  <c r="B370" i="657"/>
  <c r="B369" i="657"/>
  <c r="B368" i="657"/>
  <c r="B367" i="657"/>
  <c r="B366" i="657"/>
  <c r="B365" i="657"/>
  <c r="B364" i="657"/>
  <c r="B363" i="657"/>
  <c r="B362" i="657"/>
  <c r="B361" i="657"/>
  <c r="B360" i="657"/>
  <c r="B359" i="657"/>
  <c r="B358" i="657"/>
  <c r="B357" i="657"/>
  <c r="B356" i="657"/>
  <c r="B355" i="657"/>
  <c r="B354" i="657"/>
  <c r="B353" i="657"/>
  <c r="B352" i="657"/>
  <c r="B351" i="657"/>
  <c r="B350" i="657"/>
  <c r="B349" i="657"/>
  <c r="B348" i="657"/>
  <c r="B347" i="657"/>
  <c r="B346" i="657"/>
  <c r="B345" i="657"/>
  <c r="B344" i="657"/>
  <c r="B343" i="657"/>
  <c r="B342" i="657"/>
  <c r="B341" i="657"/>
  <c r="B340" i="657"/>
  <c r="B339" i="657"/>
  <c r="B338" i="657"/>
  <c r="B337" i="657"/>
  <c r="B336" i="657"/>
  <c r="B335" i="657"/>
  <c r="B334" i="657"/>
  <c r="B333" i="657"/>
  <c r="B332" i="657"/>
  <c r="B331" i="657"/>
  <c r="B330" i="657"/>
  <c r="B329" i="657"/>
  <c r="B328" i="657"/>
  <c r="B327" i="657"/>
  <c r="B326" i="657"/>
  <c r="B325" i="657"/>
  <c r="B324" i="657"/>
  <c r="B323" i="657"/>
  <c r="B322" i="657"/>
  <c r="B321" i="657"/>
  <c r="B320" i="657"/>
  <c r="B319" i="657"/>
  <c r="B318" i="657"/>
  <c r="B317" i="657"/>
  <c r="B316" i="657"/>
  <c r="B315" i="657"/>
  <c r="B314" i="657"/>
  <c r="B313" i="657"/>
  <c r="B312" i="657"/>
  <c r="B311" i="657"/>
  <c r="B310" i="657"/>
  <c r="B309" i="657"/>
  <c r="B308" i="657"/>
  <c r="B307" i="657"/>
  <c r="B306" i="657"/>
  <c r="B305" i="657"/>
  <c r="B304" i="657"/>
  <c r="B303" i="657"/>
  <c r="B302" i="657"/>
  <c r="B301" i="657"/>
  <c r="B300" i="657"/>
  <c r="B299" i="657"/>
  <c r="B298" i="657"/>
  <c r="B297" i="657"/>
  <c r="B296" i="657"/>
  <c r="B295" i="657"/>
  <c r="B294" i="657"/>
  <c r="B293" i="657"/>
  <c r="B292" i="657"/>
  <c r="B291" i="657"/>
  <c r="B290" i="657"/>
  <c r="B289" i="657"/>
  <c r="B288" i="657"/>
  <c r="B287" i="657"/>
  <c r="B286" i="657"/>
  <c r="B285" i="657"/>
  <c r="B284" i="657"/>
  <c r="B283" i="657"/>
  <c r="B282" i="657"/>
  <c r="B281" i="657"/>
  <c r="B280" i="657"/>
  <c r="B279" i="657"/>
  <c r="B278" i="657"/>
  <c r="B277" i="657"/>
  <c r="B276" i="657"/>
  <c r="B275" i="657"/>
  <c r="B274" i="657"/>
  <c r="B273" i="657"/>
  <c r="B272" i="657"/>
  <c r="B271" i="657"/>
  <c r="B270" i="657"/>
  <c r="B269" i="657"/>
  <c r="B268" i="657"/>
  <c r="B267" i="657"/>
  <c r="B266" i="657"/>
  <c r="B265" i="657"/>
  <c r="B264" i="657"/>
  <c r="B263" i="657"/>
  <c r="B262" i="657"/>
  <c r="B261" i="657"/>
  <c r="B260" i="657"/>
  <c r="B259" i="657"/>
  <c r="B258" i="657"/>
  <c r="B257" i="657"/>
  <c r="B256" i="657"/>
  <c r="B255" i="657"/>
  <c r="B254" i="657"/>
  <c r="B253" i="657"/>
  <c r="B252" i="657"/>
  <c r="B251" i="657"/>
  <c r="B250" i="657"/>
  <c r="B249" i="657"/>
  <c r="B248" i="657"/>
  <c r="B247" i="657"/>
  <c r="B246" i="657"/>
  <c r="B245" i="657"/>
  <c r="B244" i="657"/>
  <c r="B243" i="657"/>
  <c r="B242" i="657"/>
  <c r="B241" i="657"/>
  <c r="B240" i="657"/>
  <c r="B239" i="657"/>
  <c r="B238" i="657"/>
  <c r="B237" i="657"/>
  <c r="B236" i="657"/>
  <c r="B235" i="657"/>
  <c r="B234" i="657"/>
  <c r="B233" i="657"/>
  <c r="B232" i="657"/>
  <c r="B231" i="657"/>
  <c r="B230" i="657"/>
  <c r="B229" i="657"/>
  <c r="B228" i="657"/>
  <c r="B227" i="657"/>
  <c r="B226" i="657"/>
  <c r="B225" i="657"/>
  <c r="B224" i="657"/>
  <c r="B223" i="657"/>
  <c r="B222" i="657"/>
  <c r="B221" i="657"/>
  <c r="B220" i="657"/>
  <c r="B219" i="657"/>
  <c r="B218" i="657"/>
  <c r="B217" i="657"/>
  <c r="B216" i="657"/>
  <c r="B215" i="657"/>
  <c r="B214" i="657"/>
  <c r="B213" i="657"/>
  <c r="B212" i="657"/>
  <c r="B211" i="657"/>
  <c r="B210" i="657"/>
  <c r="B209" i="657"/>
  <c r="B208" i="657"/>
  <c r="B207" i="657"/>
  <c r="B206" i="657"/>
  <c r="B205" i="657"/>
  <c r="B204" i="657"/>
  <c r="B203" i="657"/>
  <c r="B202" i="657"/>
  <c r="B201" i="657"/>
  <c r="B200" i="657"/>
  <c r="B199" i="657"/>
  <c r="B198" i="657"/>
  <c r="B197" i="657"/>
  <c r="B196" i="657"/>
  <c r="B195" i="657"/>
  <c r="B194" i="657"/>
  <c r="B193" i="657"/>
  <c r="B192" i="657"/>
  <c r="B191" i="657"/>
  <c r="B190" i="657"/>
  <c r="B189" i="657"/>
  <c r="B188" i="657"/>
  <c r="B187" i="657"/>
  <c r="B186" i="657"/>
  <c r="B185" i="657"/>
  <c r="B184" i="657"/>
  <c r="B183" i="657"/>
  <c r="B182" i="657"/>
  <c r="B181" i="657"/>
  <c r="B180" i="657"/>
  <c r="B179" i="657"/>
  <c r="B178" i="657"/>
  <c r="B177" i="657"/>
  <c r="B176" i="657"/>
  <c r="B175" i="657"/>
  <c r="B174" i="657"/>
  <c r="B173" i="657"/>
  <c r="B172" i="657"/>
  <c r="B171" i="657"/>
  <c r="B170" i="657"/>
  <c r="B169" i="657"/>
  <c r="B168" i="657"/>
  <c r="B167" i="657"/>
  <c r="B166" i="657"/>
  <c r="B165" i="657"/>
  <c r="B164" i="657"/>
  <c r="B163" i="657"/>
  <c r="B162" i="657"/>
  <c r="B161" i="657"/>
  <c r="B160" i="657"/>
  <c r="B159" i="657"/>
  <c r="B158" i="657"/>
  <c r="B157" i="657"/>
  <c r="B156" i="657"/>
  <c r="B155" i="657"/>
  <c r="B154" i="657"/>
  <c r="B153" i="657"/>
  <c r="B152" i="657"/>
  <c r="B151" i="657"/>
  <c r="B150" i="657"/>
  <c r="B149" i="657"/>
  <c r="B148" i="657"/>
  <c r="B147" i="657"/>
  <c r="B146" i="657"/>
  <c r="B145" i="657"/>
  <c r="B144" i="657"/>
  <c r="B143" i="657"/>
  <c r="B142" i="657"/>
  <c r="B141" i="657"/>
  <c r="B140" i="657"/>
  <c r="B139" i="657"/>
  <c r="B138" i="657"/>
  <c r="B137" i="657"/>
  <c r="B136" i="657"/>
  <c r="B135" i="657"/>
  <c r="B134" i="657"/>
  <c r="B133" i="657"/>
  <c r="B132" i="657"/>
  <c r="B131" i="657"/>
  <c r="B130" i="657"/>
  <c r="B129" i="657"/>
  <c r="B128" i="657"/>
  <c r="B127" i="657"/>
  <c r="B126" i="657"/>
  <c r="B125" i="657"/>
  <c r="B124" i="657"/>
  <c r="B123" i="657"/>
  <c r="B122" i="657"/>
  <c r="B121" i="657"/>
  <c r="B120" i="657"/>
  <c r="B119" i="657"/>
  <c r="B118" i="657"/>
  <c r="B117" i="657"/>
  <c r="B116" i="657"/>
  <c r="B115" i="657"/>
  <c r="B114" i="657"/>
  <c r="B113" i="657"/>
  <c r="B112" i="657"/>
  <c r="B111" i="657"/>
  <c r="B110" i="657"/>
  <c r="B109" i="657"/>
  <c r="B108" i="657"/>
  <c r="B107" i="657"/>
  <c r="B106" i="657"/>
  <c r="B105" i="657"/>
  <c r="B104" i="657"/>
  <c r="B103" i="657"/>
  <c r="B102" i="657"/>
  <c r="B101" i="657"/>
  <c r="B100" i="657"/>
  <c r="B99" i="657"/>
  <c r="B98" i="657"/>
  <c r="B97" i="657"/>
  <c r="B96" i="657"/>
  <c r="B95" i="657"/>
  <c r="B94" i="657"/>
  <c r="B93" i="657"/>
  <c r="B92" i="657"/>
  <c r="B91" i="657"/>
  <c r="B90" i="657"/>
  <c r="B89" i="657"/>
  <c r="B88" i="657"/>
  <c r="B87" i="657"/>
  <c r="B86" i="657"/>
  <c r="B85" i="657"/>
  <c r="B84" i="657"/>
  <c r="B83" i="657"/>
  <c r="B82" i="657"/>
  <c r="B81" i="657"/>
  <c r="B80" i="657"/>
  <c r="B79" i="657"/>
  <c r="B78" i="657"/>
  <c r="B77" i="657"/>
  <c r="B76" i="657"/>
  <c r="B75" i="657"/>
  <c r="B74" i="657"/>
  <c r="B73" i="657"/>
  <c r="B72" i="657"/>
  <c r="B71" i="657"/>
  <c r="B70" i="657"/>
  <c r="B69" i="657"/>
  <c r="B68" i="657"/>
  <c r="B67" i="657"/>
  <c r="B66" i="657"/>
  <c r="B65" i="657"/>
  <c r="B64" i="657"/>
  <c r="B63" i="657"/>
  <c r="B62" i="657"/>
  <c r="B61" i="657"/>
  <c r="B60" i="657"/>
  <c r="B59" i="657"/>
  <c r="B58" i="657"/>
  <c r="B57" i="657"/>
  <c r="B56" i="657"/>
  <c r="B55" i="657"/>
  <c r="B54" i="657"/>
  <c r="B53" i="657"/>
  <c r="B52" i="657"/>
  <c r="B51" i="657"/>
  <c r="B50" i="657"/>
  <c r="B49" i="657"/>
  <c r="B48" i="657"/>
  <c r="B47" i="657"/>
  <c r="B46" i="657"/>
  <c r="B45" i="657"/>
  <c r="B44" i="657"/>
  <c r="B43" i="657"/>
  <c r="B42" i="657"/>
  <c r="B41" i="657"/>
  <c r="B40" i="657"/>
  <c r="B39" i="657"/>
  <c r="B38" i="657"/>
  <c r="B37" i="657"/>
  <c r="B36" i="657"/>
  <c r="B35" i="657"/>
  <c r="B34" i="657"/>
  <c r="B33" i="657"/>
  <c r="B32" i="657"/>
  <c r="B31" i="657"/>
  <c r="B30" i="657"/>
  <c r="B29" i="657"/>
  <c r="B28" i="657"/>
  <c r="B27" i="657"/>
  <c r="B26" i="657"/>
  <c r="B25" i="657"/>
  <c r="B24" i="657"/>
  <c r="B23" i="657"/>
  <c r="B22" i="657"/>
  <c r="B21" i="657"/>
  <c r="B20" i="657"/>
  <c r="B19" i="657"/>
  <c r="B18" i="657"/>
  <c r="B17" i="657"/>
  <c r="B16" i="657"/>
  <c r="B15" i="657"/>
  <c r="B14" i="657"/>
  <c r="B13" i="657"/>
  <c r="B12" i="657"/>
  <c r="B11" i="657"/>
  <c r="B10" i="657"/>
  <c r="B9" i="657"/>
  <c r="B8" i="657"/>
  <c r="B7" i="657"/>
  <c r="B6" i="657"/>
  <c r="B5" i="657"/>
  <c r="B4" i="657"/>
  <c r="B3" i="657"/>
  <c r="B2" i="657"/>
  <c r="D93" i="496" l="1"/>
  <c r="C96" i="248" s="1"/>
  <c r="M19" i="650" l="1"/>
  <c r="L19" i="650"/>
  <c r="K19" i="650"/>
  <c r="J19" i="650"/>
  <c r="M18" i="650"/>
  <c r="L18" i="650"/>
  <c r="K18" i="650"/>
  <c r="J18" i="650"/>
  <c r="M17" i="650"/>
  <c r="L17" i="650"/>
  <c r="K17" i="650"/>
  <c r="J17" i="650"/>
  <c r="M16" i="650"/>
  <c r="L16" i="650"/>
  <c r="K16" i="650"/>
  <c r="J16" i="650"/>
  <c r="M15" i="650"/>
  <c r="L15" i="650"/>
  <c r="K15" i="650"/>
  <c r="J15" i="650"/>
  <c r="M14" i="650"/>
  <c r="L14" i="650"/>
  <c r="K14" i="650"/>
  <c r="J14" i="650"/>
  <c r="M13" i="650"/>
  <c r="L13" i="650"/>
  <c r="K13" i="650"/>
  <c r="J13" i="650"/>
  <c r="E98" i="650"/>
  <c r="E51" i="649" s="1"/>
  <c r="D98" i="650"/>
  <c r="D51" i="649" s="1"/>
  <c r="C98" i="650"/>
  <c r="C51" i="649" s="1"/>
  <c r="B98" i="650"/>
  <c r="B51" i="649" s="1"/>
  <c r="E69" i="650"/>
  <c r="E71" i="650" s="1"/>
  <c r="D69" i="650"/>
  <c r="D71" i="650" s="1"/>
  <c r="C69" i="650"/>
  <c r="C71" i="650" s="1"/>
  <c r="B69" i="650"/>
  <c r="B71" i="650" s="1"/>
  <c r="E38" i="650"/>
  <c r="D38" i="650"/>
  <c r="C38" i="650"/>
  <c r="M19" i="647"/>
  <c r="L19" i="647"/>
  <c r="K19" i="647"/>
  <c r="J19" i="647"/>
  <c r="M18" i="647"/>
  <c r="L18" i="647"/>
  <c r="K18" i="647"/>
  <c r="J18" i="647"/>
  <c r="M17" i="647"/>
  <c r="L17" i="647"/>
  <c r="K17" i="647"/>
  <c r="J17" i="647"/>
  <c r="M16" i="647"/>
  <c r="L16" i="647"/>
  <c r="K16" i="647"/>
  <c r="J16" i="647"/>
  <c r="M15" i="647"/>
  <c r="L15" i="647"/>
  <c r="K15" i="647"/>
  <c r="J15" i="647"/>
  <c r="M14" i="647"/>
  <c r="L14" i="647"/>
  <c r="K14" i="647"/>
  <c r="J14" i="647"/>
  <c r="M13" i="647"/>
  <c r="L13" i="647"/>
  <c r="K13" i="647"/>
  <c r="J13" i="647"/>
  <c r="E63" i="647"/>
  <c r="E38" i="648" s="1"/>
  <c r="D63" i="647"/>
  <c r="D38" i="648" s="1"/>
  <c r="C63" i="647"/>
  <c r="C38" i="648" s="1"/>
  <c r="B63" i="647"/>
  <c r="B38" i="648" s="1"/>
  <c r="E98" i="647"/>
  <c r="E51" i="648" s="1"/>
  <c r="D98" i="647"/>
  <c r="D51" i="648" s="1"/>
  <c r="C98" i="647"/>
  <c r="C51" i="648" s="1"/>
  <c r="B98" i="647"/>
  <c r="B51" i="648" s="1"/>
  <c r="B92" i="647"/>
  <c r="C92" i="647" s="1"/>
  <c r="D92" i="647" s="1"/>
  <c r="E92" i="647" s="1"/>
  <c r="F92" i="647" s="1"/>
  <c r="G92" i="647" s="1"/>
  <c r="H92" i="647" s="1"/>
  <c r="I92" i="647" s="1"/>
  <c r="E69" i="647"/>
  <c r="E71" i="647" s="1"/>
  <c r="D69" i="647"/>
  <c r="D71" i="647" s="1"/>
  <c r="C69" i="647"/>
  <c r="C71" i="647" s="1"/>
  <c r="B69" i="647"/>
  <c r="B71" i="647" s="1"/>
  <c r="E38" i="647"/>
  <c r="D38" i="647"/>
  <c r="C38" i="647"/>
  <c r="M19" i="646"/>
  <c r="L19" i="646"/>
  <c r="K19" i="646"/>
  <c r="J19" i="646"/>
  <c r="M18" i="646"/>
  <c r="L18" i="646"/>
  <c r="K18" i="646"/>
  <c r="J18" i="646"/>
  <c r="M17" i="646"/>
  <c r="L17" i="646"/>
  <c r="K17" i="646"/>
  <c r="J17" i="646"/>
  <c r="M16" i="646"/>
  <c r="L16" i="646"/>
  <c r="K16" i="646"/>
  <c r="J16" i="646"/>
  <c r="M15" i="646"/>
  <c r="L15" i="646"/>
  <c r="K15" i="646"/>
  <c r="J15" i="646"/>
  <c r="M14" i="646"/>
  <c r="L14" i="646"/>
  <c r="K14" i="646"/>
  <c r="J14" i="646"/>
  <c r="M13" i="646"/>
  <c r="L13" i="646"/>
  <c r="K13" i="646"/>
  <c r="J13" i="646"/>
  <c r="E63" i="646"/>
  <c r="E38" i="645" s="1"/>
  <c r="D63" i="646"/>
  <c r="D38" i="645" s="1"/>
  <c r="C63" i="646"/>
  <c r="C38" i="645" s="1"/>
  <c r="B63" i="646"/>
  <c r="B38" i="645" s="1"/>
  <c r="E98" i="646"/>
  <c r="E51" i="645" s="1"/>
  <c r="D98" i="646"/>
  <c r="D51" i="645" s="1"/>
  <c r="C98" i="646"/>
  <c r="C51" i="645" s="1"/>
  <c r="B98" i="646"/>
  <c r="B51" i="645" s="1"/>
  <c r="B92" i="646"/>
  <c r="C92" i="646" s="1"/>
  <c r="D92" i="646" s="1"/>
  <c r="E92" i="646" s="1"/>
  <c r="F92" i="646" s="1"/>
  <c r="G92" i="646" s="1"/>
  <c r="H92" i="646" s="1"/>
  <c r="I92" i="646" s="1"/>
  <c r="E69" i="646"/>
  <c r="E71" i="646" s="1"/>
  <c r="D69" i="646"/>
  <c r="D71" i="646" s="1"/>
  <c r="C69" i="646"/>
  <c r="C71" i="646" s="1"/>
  <c r="B69" i="646"/>
  <c r="B71" i="646" s="1"/>
  <c r="E38" i="646"/>
  <c r="D38" i="646"/>
  <c r="C38" i="646"/>
  <c r="E63" i="644"/>
  <c r="E38" i="643" s="1"/>
  <c r="D63" i="644"/>
  <c r="D38" i="643" s="1"/>
  <c r="C63" i="644"/>
  <c r="C38" i="643" s="1"/>
  <c r="B63" i="644"/>
  <c r="B38" i="643" s="1"/>
  <c r="M19" i="644"/>
  <c r="L19" i="644"/>
  <c r="K19" i="644"/>
  <c r="J19" i="644"/>
  <c r="M18" i="644"/>
  <c r="L18" i="644"/>
  <c r="K18" i="644"/>
  <c r="J18" i="644"/>
  <c r="M17" i="644"/>
  <c r="L17" i="644"/>
  <c r="K17" i="644"/>
  <c r="J17" i="644"/>
  <c r="M16" i="644"/>
  <c r="L16" i="644"/>
  <c r="K16" i="644"/>
  <c r="J16" i="644"/>
  <c r="M15" i="644"/>
  <c r="L15" i="644"/>
  <c r="K15" i="644"/>
  <c r="J15" i="644"/>
  <c r="M14" i="644"/>
  <c r="L14" i="644"/>
  <c r="K14" i="644"/>
  <c r="J14" i="644"/>
  <c r="M13" i="644"/>
  <c r="L13" i="644"/>
  <c r="K13" i="644"/>
  <c r="J13" i="644"/>
  <c r="E98" i="644"/>
  <c r="E51" i="643" s="1"/>
  <c r="D98" i="644"/>
  <c r="D51" i="643" s="1"/>
  <c r="C98" i="644"/>
  <c r="C51" i="643" s="1"/>
  <c r="B98" i="644"/>
  <c r="B51" i="643" s="1"/>
  <c r="B92" i="644"/>
  <c r="C92" i="644" s="1"/>
  <c r="D92" i="644" s="1"/>
  <c r="E92" i="644" s="1"/>
  <c r="F92" i="644" s="1"/>
  <c r="G92" i="644" s="1"/>
  <c r="H92" i="644" s="1"/>
  <c r="I92" i="644" s="1"/>
  <c r="E69" i="644"/>
  <c r="E71" i="644" s="1"/>
  <c r="D69" i="644"/>
  <c r="D71" i="644" s="1"/>
  <c r="C69" i="644"/>
  <c r="C71" i="644" s="1"/>
  <c r="B69" i="644"/>
  <c r="B71" i="644" s="1"/>
  <c r="E38" i="644"/>
  <c r="D38" i="644"/>
  <c r="C38" i="644"/>
  <c r="D23" i="109"/>
  <c r="F74" i="106"/>
  <c r="L20" i="650" l="1"/>
  <c r="D70" i="650" s="1"/>
  <c r="K20" i="647"/>
  <c r="C70" i="647" s="1"/>
  <c r="L20" i="647"/>
  <c r="D70" i="647" s="1"/>
  <c r="K20" i="650"/>
  <c r="C70" i="650" s="1"/>
  <c r="M20" i="647"/>
  <c r="E70" i="647" s="1"/>
  <c r="K20" i="646"/>
  <c r="C70" i="646" s="1"/>
  <c r="L20" i="646"/>
  <c r="D70" i="646" s="1"/>
  <c r="M20" i="646"/>
  <c r="E70" i="646" s="1"/>
  <c r="M20" i="644"/>
  <c r="E70" i="644" s="1"/>
  <c r="L20" i="644"/>
  <c r="D70" i="644" s="1"/>
  <c r="K20" i="644"/>
  <c r="C70" i="644" s="1"/>
  <c r="J20" i="646"/>
  <c r="B70" i="646" s="1"/>
  <c r="M20" i="650"/>
  <c r="E70" i="650" s="1"/>
  <c r="J20" i="650"/>
  <c r="B70" i="650" s="1"/>
  <c r="J20" i="647"/>
  <c r="B70" i="647" s="1"/>
  <c r="D58" i="650"/>
  <c r="D33" i="649" s="1"/>
  <c r="E58" i="650"/>
  <c r="E33" i="649" s="1"/>
  <c r="B58" i="650"/>
  <c r="B33" i="649" s="1"/>
  <c r="C58" i="650"/>
  <c r="C33" i="649" s="1"/>
  <c r="B57" i="647"/>
  <c r="B32" i="648" s="1"/>
  <c r="B58" i="647"/>
  <c r="B33" i="648" s="1"/>
  <c r="C58" i="647"/>
  <c r="C33" i="648" s="1"/>
  <c r="C57" i="647"/>
  <c r="D58" i="647"/>
  <c r="D33" i="648" s="1"/>
  <c r="D57" i="647"/>
  <c r="D32" i="648" s="1"/>
  <c r="E58" i="647"/>
  <c r="E33" i="648" s="1"/>
  <c r="E57" i="647"/>
  <c r="E32" i="648" s="1"/>
  <c r="D58" i="646"/>
  <c r="D33" i="645" s="1"/>
  <c r="D57" i="646"/>
  <c r="D32" i="645" s="1"/>
  <c r="C58" i="646"/>
  <c r="C33" i="645" s="1"/>
  <c r="C57" i="646"/>
  <c r="C32" i="645" s="1"/>
  <c r="E58" i="646"/>
  <c r="E33" i="645" s="1"/>
  <c r="E57" i="646"/>
  <c r="B58" i="646"/>
  <c r="B33" i="645" s="1"/>
  <c r="B57" i="646"/>
  <c r="B32" i="645" s="1"/>
  <c r="J20" i="644"/>
  <c r="B70" i="644" s="1"/>
  <c r="E58" i="644"/>
  <c r="E33" i="643" s="1"/>
  <c r="E57" i="644"/>
  <c r="E32" i="643" s="1"/>
  <c r="D58" i="644"/>
  <c r="D33" i="643" s="1"/>
  <c r="D57" i="644"/>
  <c r="B58" i="644"/>
  <c r="B33" i="643" s="1"/>
  <c r="B57" i="644"/>
  <c r="B32" i="643" s="1"/>
  <c r="C57" i="644"/>
  <c r="C58" i="644"/>
  <c r="C33" i="643" s="1"/>
  <c r="B1033" i="642"/>
  <c r="B1032" i="642"/>
  <c r="B1031" i="642"/>
  <c r="B1030" i="642"/>
  <c r="B1029" i="642"/>
  <c r="B1028" i="642"/>
  <c r="B1027" i="642"/>
  <c r="B1026" i="642"/>
  <c r="B1025" i="642"/>
  <c r="B1024" i="642"/>
  <c r="B1023" i="642"/>
  <c r="B1022" i="642"/>
  <c r="B1021" i="642"/>
  <c r="B1020" i="642"/>
  <c r="B1019" i="642"/>
  <c r="B1018" i="642"/>
  <c r="B1017" i="642"/>
  <c r="B1016" i="642"/>
  <c r="B1015" i="642"/>
  <c r="B1014" i="642"/>
  <c r="B1013" i="642"/>
  <c r="B1012" i="642"/>
  <c r="B1011" i="642"/>
  <c r="B1010" i="642"/>
  <c r="B1009" i="642"/>
  <c r="B1008" i="642"/>
  <c r="B1007" i="642"/>
  <c r="B1006" i="642"/>
  <c r="B1005" i="642"/>
  <c r="B1004" i="642"/>
  <c r="B1003" i="642"/>
  <c r="B1002" i="642"/>
  <c r="B1001" i="642"/>
  <c r="B1000" i="642"/>
  <c r="B999" i="642"/>
  <c r="B998" i="642"/>
  <c r="B997" i="642"/>
  <c r="B996" i="642"/>
  <c r="B995" i="642"/>
  <c r="B994" i="642"/>
  <c r="B993" i="642"/>
  <c r="B992" i="642"/>
  <c r="B991" i="642"/>
  <c r="B990" i="642"/>
  <c r="B989" i="642"/>
  <c r="B988" i="642"/>
  <c r="B987" i="642"/>
  <c r="B986" i="642"/>
  <c r="B985" i="642"/>
  <c r="B984" i="642"/>
  <c r="B983" i="642"/>
  <c r="B982" i="642"/>
  <c r="B981" i="642"/>
  <c r="B980" i="642"/>
  <c r="B979" i="642"/>
  <c r="B978" i="642"/>
  <c r="B977" i="642"/>
  <c r="B976" i="642"/>
  <c r="B975" i="642"/>
  <c r="B974" i="642"/>
  <c r="B973" i="642"/>
  <c r="B972" i="642"/>
  <c r="B971" i="642"/>
  <c r="B970" i="642"/>
  <c r="B969" i="642"/>
  <c r="B968" i="642"/>
  <c r="B967" i="642"/>
  <c r="B966" i="642"/>
  <c r="B965" i="642"/>
  <c r="B964" i="642"/>
  <c r="B963" i="642"/>
  <c r="B962" i="642"/>
  <c r="B961" i="642"/>
  <c r="B960" i="642"/>
  <c r="B959" i="642"/>
  <c r="B958" i="642"/>
  <c r="B957" i="642"/>
  <c r="B956" i="642"/>
  <c r="B955" i="642"/>
  <c r="B954" i="642"/>
  <c r="B953" i="642"/>
  <c r="B952" i="642"/>
  <c r="B951" i="642"/>
  <c r="B950" i="642"/>
  <c r="B949" i="642"/>
  <c r="B948" i="642"/>
  <c r="B947" i="642"/>
  <c r="B946" i="642"/>
  <c r="B945" i="642"/>
  <c r="B944" i="642"/>
  <c r="B943" i="642"/>
  <c r="B942" i="642"/>
  <c r="B941" i="642"/>
  <c r="B940" i="642"/>
  <c r="B939" i="642"/>
  <c r="B938" i="642"/>
  <c r="B937" i="642"/>
  <c r="B936" i="642"/>
  <c r="B935" i="642"/>
  <c r="B934" i="642"/>
  <c r="B933" i="642"/>
  <c r="B932" i="642"/>
  <c r="B931" i="642"/>
  <c r="B930" i="642"/>
  <c r="B929" i="642"/>
  <c r="B928" i="642"/>
  <c r="B927" i="642"/>
  <c r="B926" i="642"/>
  <c r="B925" i="642"/>
  <c r="B924" i="642"/>
  <c r="B923" i="642"/>
  <c r="B922" i="642"/>
  <c r="B921" i="642"/>
  <c r="B920" i="642"/>
  <c r="B919" i="642"/>
  <c r="B918" i="642"/>
  <c r="B917" i="642"/>
  <c r="B916" i="642"/>
  <c r="B915" i="642"/>
  <c r="B914" i="642"/>
  <c r="B913" i="642"/>
  <c r="B912" i="642"/>
  <c r="B911" i="642"/>
  <c r="B910" i="642"/>
  <c r="B909" i="642"/>
  <c r="B908" i="642"/>
  <c r="B907" i="642"/>
  <c r="B906" i="642"/>
  <c r="B905" i="642"/>
  <c r="B904" i="642"/>
  <c r="B903" i="642"/>
  <c r="B902" i="642"/>
  <c r="B901" i="642"/>
  <c r="B900" i="642"/>
  <c r="B899" i="642"/>
  <c r="B898" i="642"/>
  <c r="B897" i="642"/>
  <c r="B896" i="642"/>
  <c r="B895" i="642"/>
  <c r="B894" i="642"/>
  <c r="B893" i="642"/>
  <c r="B892" i="642"/>
  <c r="B891" i="642"/>
  <c r="B890" i="642"/>
  <c r="B889" i="642"/>
  <c r="B888" i="642"/>
  <c r="B887" i="642"/>
  <c r="B886" i="642"/>
  <c r="B885" i="642"/>
  <c r="B884" i="642"/>
  <c r="B883" i="642"/>
  <c r="B882" i="642"/>
  <c r="B881" i="642"/>
  <c r="B880" i="642"/>
  <c r="B879" i="642"/>
  <c r="B878" i="642"/>
  <c r="B877" i="642"/>
  <c r="B876" i="642"/>
  <c r="B875" i="642"/>
  <c r="B874" i="642"/>
  <c r="B873" i="642"/>
  <c r="B872" i="642"/>
  <c r="B871" i="642"/>
  <c r="B870" i="642"/>
  <c r="B869" i="642"/>
  <c r="B868" i="642"/>
  <c r="B867" i="642"/>
  <c r="B866" i="642"/>
  <c r="B865" i="642"/>
  <c r="B864" i="642"/>
  <c r="B863" i="642"/>
  <c r="B862" i="642"/>
  <c r="B861" i="642"/>
  <c r="B860" i="642"/>
  <c r="B859" i="642"/>
  <c r="B858" i="642"/>
  <c r="B857" i="642"/>
  <c r="B856" i="642"/>
  <c r="B855" i="642"/>
  <c r="B854" i="642"/>
  <c r="B853" i="642"/>
  <c r="B852" i="642"/>
  <c r="B851" i="642"/>
  <c r="B850" i="642"/>
  <c r="B849" i="642"/>
  <c r="B848" i="642"/>
  <c r="B847" i="642"/>
  <c r="B846" i="642"/>
  <c r="B845" i="642"/>
  <c r="B844" i="642"/>
  <c r="B843" i="642"/>
  <c r="B842" i="642"/>
  <c r="B841" i="642"/>
  <c r="B840" i="642"/>
  <c r="B839" i="642"/>
  <c r="B838" i="642"/>
  <c r="B837" i="642"/>
  <c r="B836" i="642"/>
  <c r="B835" i="642"/>
  <c r="B834" i="642"/>
  <c r="B833" i="642"/>
  <c r="B832" i="642"/>
  <c r="B831" i="642"/>
  <c r="B830" i="642"/>
  <c r="B829" i="642"/>
  <c r="B828" i="642"/>
  <c r="B827" i="642"/>
  <c r="B826" i="642"/>
  <c r="B825" i="642"/>
  <c r="B824" i="642"/>
  <c r="B823" i="642"/>
  <c r="B822" i="642"/>
  <c r="B821" i="642"/>
  <c r="B820" i="642"/>
  <c r="B819" i="642"/>
  <c r="B818" i="642"/>
  <c r="B817" i="642"/>
  <c r="B816" i="642"/>
  <c r="B815" i="642"/>
  <c r="B814" i="642"/>
  <c r="B813" i="642"/>
  <c r="B812" i="642"/>
  <c r="B811" i="642"/>
  <c r="B810" i="642"/>
  <c r="B809" i="642"/>
  <c r="B808" i="642"/>
  <c r="B807" i="642"/>
  <c r="B806" i="642"/>
  <c r="B805" i="642"/>
  <c r="B804" i="642"/>
  <c r="B803" i="642"/>
  <c r="B802" i="642"/>
  <c r="B801" i="642"/>
  <c r="B800" i="642"/>
  <c r="B799" i="642"/>
  <c r="B798" i="642"/>
  <c r="B797" i="642"/>
  <c r="B796" i="642"/>
  <c r="B795" i="642"/>
  <c r="B794" i="642"/>
  <c r="B793" i="642"/>
  <c r="B792" i="642"/>
  <c r="B791" i="642"/>
  <c r="B790" i="642"/>
  <c r="B789" i="642"/>
  <c r="B788" i="642"/>
  <c r="B787" i="642"/>
  <c r="B786" i="642"/>
  <c r="B785" i="642"/>
  <c r="B784" i="642"/>
  <c r="B783" i="642"/>
  <c r="B782" i="642"/>
  <c r="B781" i="642"/>
  <c r="B780" i="642"/>
  <c r="B779" i="642"/>
  <c r="B778" i="642"/>
  <c r="B777" i="642"/>
  <c r="B776" i="642"/>
  <c r="B775" i="642"/>
  <c r="B774" i="642"/>
  <c r="B773" i="642"/>
  <c r="B772" i="642"/>
  <c r="B771" i="642"/>
  <c r="B770" i="642"/>
  <c r="B769" i="642"/>
  <c r="B768" i="642"/>
  <c r="B767" i="642"/>
  <c r="B766" i="642"/>
  <c r="B765" i="642"/>
  <c r="B764" i="642"/>
  <c r="B763" i="642"/>
  <c r="B762" i="642"/>
  <c r="B761" i="642"/>
  <c r="B760" i="642"/>
  <c r="B759" i="642"/>
  <c r="B758" i="642"/>
  <c r="B757" i="642"/>
  <c r="B756" i="642"/>
  <c r="B755" i="642"/>
  <c r="B754" i="642"/>
  <c r="B753" i="642"/>
  <c r="B752" i="642"/>
  <c r="B751" i="642"/>
  <c r="B750" i="642"/>
  <c r="B749" i="642"/>
  <c r="B748" i="642"/>
  <c r="B747" i="642"/>
  <c r="B746" i="642"/>
  <c r="B745" i="642"/>
  <c r="B744" i="642"/>
  <c r="B743" i="642"/>
  <c r="B742" i="642"/>
  <c r="B741" i="642"/>
  <c r="B740" i="642"/>
  <c r="B739" i="642"/>
  <c r="B738" i="642"/>
  <c r="B737" i="642"/>
  <c r="B736" i="642"/>
  <c r="B735" i="642"/>
  <c r="B734" i="642"/>
  <c r="B733" i="642"/>
  <c r="B732" i="642"/>
  <c r="B731" i="642"/>
  <c r="B730" i="642"/>
  <c r="B729" i="642"/>
  <c r="B728" i="642"/>
  <c r="B727" i="642"/>
  <c r="B726" i="642"/>
  <c r="B725" i="642"/>
  <c r="B724" i="642"/>
  <c r="B723" i="642"/>
  <c r="B722" i="642"/>
  <c r="B721" i="642"/>
  <c r="B720" i="642"/>
  <c r="B719" i="642"/>
  <c r="B718" i="642"/>
  <c r="B717" i="642"/>
  <c r="B716" i="642"/>
  <c r="B715" i="642"/>
  <c r="B714" i="642"/>
  <c r="B713" i="642"/>
  <c r="B712" i="642"/>
  <c r="B711" i="642"/>
  <c r="B710" i="642"/>
  <c r="B709" i="642"/>
  <c r="B708" i="642"/>
  <c r="B707" i="642"/>
  <c r="B706" i="642"/>
  <c r="B705" i="642"/>
  <c r="B704" i="642"/>
  <c r="B703" i="642"/>
  <c r="B702" i="642"/>
  <c r="B701" i="642"/>
  <c r="B700" i="642"/>
  <c r="B699" i="642"/>
  <c r="B698" i="642"/>
  <c r="B697" i="642"/>
  <c r="B696" i="642"/>
  <c r="B695" i="642"/>
  <c r="B694" i="642"/>
  <c r="B693" i="642"/>
  <c r="B692" i="642"/>
  <c r="B691" i="642"/>
  <c r="B690" i="642"/>
  <c r="B689" i="642"/>
  <c r="B688" i="642"/>
  <c r="B687" i="642"/>
  <c r="B686" i="642"/>
  <c r="B685" i="642"/>
  <c r="B684" i="642"/>
  <c r="B683" i="642"/>
  <c r="B682" i="642"/>
  <c r="B681" i="642"/>
  <c r="B680" i="642"/>
  <c r="B679" i="642"/>
  <c r="B678" i="642"/>
  <c r="B677" i="642"/>
  <c r="B676" i="642"/>
  <c r="B675" i="642"/>
  <c r="B674" i="642"/>
  <c r="B673" i="642"/>
  <c r="B672" i="642"/>
  <c r="B671" i="642"/>
  <c r="B670" i="642"/>
  <c r="B669" i="642"/>
  <c r="B668" i="642"/>
  <c r="B667" i="642"/>
  <c r="B666" i="642"/>
  <c r="B665" i="642"/>
  <c r="B664" i="642"/>
  <c r="B663" i="642"/>
  <c r="B662" i="642"/>
  <c r="B661" i="642"/>
  <c r="B660" i="642"/>
  <c r="B659" i="642"/>
  <c r="B658" i="642"/>
  <c r="B657" i="642"/>
  <c r="B656" i="642"/>
  <c r="B655" i="642"/>
  <c r="B654" i="642"/>
  <c r="B653" i="642"/>
  <c r="B652" i="642"/>
  <c r="B651" i="642"/>
  <c r="B650" i="642"/>
  <c r="B649" i="642"/>
  <c r="B648" i="642"/>
  <c r="B647" i="642"/>
  <c r="B646" i="642"/>
  <c r="B645" i="642"/>
  <c r="B644" i="642"/>
  <c r="B643" i="642"/>
  <c r="B642" i="642"/>
  <c r="B641" i="642"/>
  <c r="B640" i="642"/>
  <c r="B639" i="642"/>
  <c r="B638" i="642"/>
  <c r="B637" i="642"/>
  <c r="B636" i="642"/>
  <c r="B635" i="642"/>
  <c r="B634" i="642"/>
  <c r="B633" i="642"/>
  <c r="B632" i="642"/>
  <c r="B631" i="642"/>
  <c r="B630" i="642"/>
  <c r="B629" i="642"/>
  <c r="B628" i="642"/>
  <c r="B627" i="642"/>
  <c r="B626" i="642"/>
  <c r="B625" i="642"/>
  <c r="B624" i="642"/>
  <c r="B623" i="642"/>
  <c r="B622" i="642"/>
  <c r="B621" i="642"/>
  <c r="B620" i="642"/>
  <c r="B619" i="642"/>
  <c r="B618" i="642"/>
  <c r="B617" i="642"/>
  <c r="B616" i="642"/>
  <c r="B615" i="642"/>
  <c r="B614" i="642"/>
  <c r="B613" i="642"/>
  <c r="B612" i="642"/>
  <c r="B611" i="642"/>
  <c r="B610" i="642"/>
  <c r="B609" i="642"/>
  <c r="B608" i="642"/>
  <c r="B607" i="642"/>
  <c r="B606" i="642"/>
  <c r="B605" i="642"/>
  <c r="B604" i="642"/>
  <c r="B603" i="642"/>
  <c r="B602" i="642"/>
  <c r="B601" i="642"/>
  <c r="B600" i="642"/>
  <c r="B599" i="642"/>
  <c r="B598" i="642"/>
  <c r="B597" i="642"/>
  <c r="B596" i="642"/>
  <c r="B595" i="642"/>
  <c r="B594" i="642"/>
  <c r="B593" i="642"/>
  <c r="B592" i="642"/>
  <c r="B591" i="642"/>
  <c r="B590" i="642"/>
  <c r="B589" i="642"/>
  <c r="B588" i="642"/>
  <c r="B587" i="642"/>
  <c r="B586" i="642"/>
  <c r="B585" i="642"/>
  <c r="B584" i="642"/>
  <c r="B583" i="642"/>
  <c r="B582" i="642"/>
  <c r="B581" i="642"/>
  <c r="B580" i="642"/>
  <c r="B579" i="642"/>
  <c r="B578" i="642"/>
  <c r="B577" i="642"/>
  <c r="B576" i="642"/>
  <c r="B575" i="642"/>
  <c r="B574" i="642"/>
  <c r="B573" i="642"/>
  <c r="B572" i="642"/>
  <c r="B571" i="642"/>
  <c r="B570" i="642"/>
  <c r="B569" i="642"/>
  <c r="B568" i="642"/>
  <c r="B567" i="642"/>
  <c r="B566" i="642"/>
  <c r="B565" i="642"/>
  <c r="B564" i="642"/>
  <c r="B563" i="642"/>
  <c r="B562" i="642"/>
  <c r="B561" i="642"/>
  <c r="B560" i="642"/>
  <c r="B559" i="642"/>
  <c r="B558" i="642"/>
  <c r="B557" i="642"/>
  <c r="B556" i="642"/>
  <c r="B555" i="642"/>
  <c r="B554" i="642"/>
  <c r="B553" i="642"/>
  <c r="B552" i="642"/>
  <c r="B551" i="642"/>
  <c r="B550" i="642"/>
  <c r="B549" i="642"/>
  <c r="B548" i="642"/>
  <c r="B547" i="642"/>
  <c r="B546" i="642"/>
  <c r="B545" i="642"/>
  <c r="B544" i="642"/>
  <c r="B543" i="642"/>
  <c r="B542" i="642"/>
  <c r="B541" i="642"/>
  <c r="B540" i="642"/>
  <c r="B539" i="642"/>
  <c r="B538" i="642"/>
  <c r="B537" i="642"/>
  <c r="B536" i="642"/>
  <c r="B535" i="642"/>
  <c r="B534" i="642"/>
  <c r="B533" i="642"/>
  <c r="B532" i="642"/>
  <c r="B531" i="642"/>
  <c r="B530" i="642"/>
  <c r="B529" i="642"/>
  <c r="B528" i="642"/>
  <c r="B527" i="642"/>
  <c r="B526" i="642"/>
  <c r="B525" i="642"/>
  <c r="B524" i="642"/>
  <c r="B523" i="642"/>
  <c r="B522" i="642"/>
  <c r="B521" i="642"/>
  <c r="B520" i="642"/>
  <c r="B519" i="642"/>
  <c r="B518" i="642"/>
  <c r="B517" i="642"/>
  <c r="B516" i="642"/>
  <c r="B515" i="642"/>
  <c r="B514" i="642"/>
  <c r="B513" i="642"/>
  <c r="B512" i="642"/>
  <c r="B511" i="642"/>
  <c r="B510" i="642"/>
  <c r="B509" i="642"/>
  <c r="B508" i="642"/>
  <c r="B507" i="642"/>
  <c r="B506" i="642"/>
  <c r="B505" i="642"/>
  <c r="B504" i="642"/>
  <c r="B503" i="642"/>
  <c r="B502" i="642"/>
  <c r="B501" i="642"/>
  <c r="B500" i="642"/>
  <c r="B499" i="642"/>
  <c r="B498" i="642"/>
  <c r="B497" i="642"/>
  <c r="B496" i="642"/>
  <c r="B495" i="642"/>
  <c r="B494" i="642"/>
  <c r="B493" i="642"/>
  <c r="B492" i="642"/>
  <c r="B491" i="642"/>
  <c r="B490" i="642"/>
  <c r="B489" i="642"/>
  <c r="B488" i="642"/>
  <c r="B487" i="642"/>
  <c r="B486" i="642"/>
  <c r="B485" i="642"/>
  <c r="B484" i="642"/>
  <c r="B483" i="642"/>
  <c r="B482" i="642"/>
  <c r="B481" i="642"/>
  <c r="B480" i="642"/>
  <c r="B479" i="642"/>
  <c r="B478" i="642"/>
  <c r="B477" i="642"/>
  <c r="B476" i="642"/>
  <c r="B475" i="642"/>
  <c r="B474" i="642"/>
  <c r="B473" i="642"/>
  <c r="B472" i="642"/>
  <c r="B471" i="642"/>
  <c r="B470" i="642"/>
  <c r="B469" i="642"/>
  <c r="B468" i="642"/>
  <c r="B467" i="642"/>
  <c r="B466" i="642"/>
  <c r="B465" i="642"/>
  <c r="B464" i="642"/>
  <c r="B463" i="642"/>
  <c r="B462" i="642"/>
  <c r="B461" i="642"/>
  <c r="B460" i="642"/>
  <c r="B459" i="642"/>
  <c r="B458" i="642"/>
  <c r="B457" i="642"/>
  <c r="B456" i="642"/>
  <c r="B455" i="642"/>
  <c r="B454" i="642"/>
  <c r="B453" i="642"/>
  <c r="B452" i="642"/>
  <c r="B451" i="642"/>
  <c r="B450" i="642"/>
  <c r="B449" i="642"/>
  <c r="B448" i="642"/>
  <c r="B447" i="642"/>
  <c r="B446" i="642"/>
  <c r="B445" i="642"/>
  <c r="B444" i="642"/>
  <c r="B443" i="642"/>
  <c r="B442" i="642"/>
  <c r="B441" i="642"/>
  <c r="B440" i="642"/>
  <c r="B439" i="642"/>
  <c r="B438" i="642"/>
  <c r="B437" i="642"/>
  <c r="B436" i="642"/>
  <c r="B435" i="642"/>
  <c r="B434" i="642"/>
  <c r="B433" i="642"/>
  <c r="B432" i="642"/>
  <c r="B431" i="642"/>
  <c r="B430" i="642"/>
  <c r="B429" i="642"/>
  <c r="B428" i="642"/>
  <c r="B427" i="642"/>
  <c r="B426" i="642"/>
  <c r="B425" i="642"/>
  <c r="B424" i="642"/>
  <c r="B423" i="642"/>
  <c r="B422" i="642"/>
  <c r="B421" i="642"/>
  <c r="B420" i="642"/>
  <c r="B419" i="642"/>
  <c r="B418" i="642"/>
  <c r="B417" i="642"/>
  <c r="B416" i="642"/>
  <c r="B415" i="642"/>
  <c r="B414" i="642"/>
  <c r="B413" i="642"/>
  <c r="B412" i="642"/>
  <c r="B411" i="642"/>
  <c r="B410" i="642"/>
  <c r="B409" i="642"/>
  <c r="B408" i="642"/>
  <c r="B407" i="642"/>
  <c r="B406" i="642"/>
  <c r="B405" i="642"/>
  <c r="B404" i="642"/>
  <c r="B403" i="642"/>
  <c r="B402" i="642"/>
  <c r="B401" i="642"/>
  <c r="B400" i="642"/>
  <c r="B399" i="642"/>
  <c r="B398" i="642"/>
  <c r="B397" i="642"/>
  <c r="B396" i="642"/>
  <c r="B395" i="642"/>
  <c r="B394" i="642"/>
  <c r="B393" i="642"/>
  <c r="B392" i="642"/>
  <c r="B391" i="642"/>
  <c r="B390" i="642"/>
  <c r="B389" i="642"/>
  <c r="B388" i="642"/>
  <c r="B387" i="642"/>
  <c r="B386" i="642"/>
  <c r="B385" i="642"/>
  <c r="B384" i="642"/>
  <c r="B383" i="642"/>
  <c r="B382" i="642"/>
  <c r="B381" i="642"/>
  <c r="B380" i="642"/>
  <c r="B379" i="642"/>
  <c r="B378" i="642"/>
  <c r="B377" i="642"/>
  <c r="B376" i="642"/>
  <c r="B375" i="642"/>
  <c r="B374" i="642"/>
  <c r="B373" i="642"/>
  <c r="B372" i="642"/>
  <c r="B371" i="642"/>
  <c r="B370" i="642"/>
  <c r="B369" i="642"/>
  <c r="B368" i="642"/>
  <c r="B367" i="642"/>
  <c r="B366" i="642"/>
  <c r="B365" i="642"/>
  <c r="B364" i="642"/>
  <c r="B363" i="642"/>
  <c r="B362" i="642"/>
  <c r="B361" i="642"/>
  <c r="B360" i="642"/>
  <c r="B359" i="642"/>
  <c r="B358" i="642"/>
  <c r="B357" i="642"/>
  <c r="B356" i="642"/>
  <c r="B355" i="642"/>
  <c r="B354" i="642"/>
  <c r="B353" i="642"/>
  <c r="B352" i="642"/>
  <c r="B351" i="642"/>
  <c r="B350" i="642"/>
  <c r="B349" i="642"/>
  <c r="B348" i="642"/>
  <c r="B347" i="642"/>
  <c r="B346" i="642"/>
  <c r="B345" i="642"/>
  <c r="B344" i="642"/>
  <c r="B343" i="642"/>
  <c r="B342" i="642"/>
  <c r="B341" i="642"/>
  <c r="B340" i="642"/>
  <c r="B339" i="642"/>
  <c r="B338" i="642"/>
  <c r="B337" i="642"/>
  <c r="B336" i="642"/>
  <c r="B335" i="642"/>
  <c r="B334" i="642"/>
  <c r="B333" i="642"/>
  <c r="B332" i="642"/>
  <c r="B331" i="642"/>
  <c r="B330" i="642"/>
  <c r="B329" i="642"/>
  <c r="B328" i="642"/>
  <c r="B327" i="642"/>
  <c r="B326" i="642"/>
  <c r="B325" i="642"/>
  <c r="B324" i="642"/>
  <c r="B323" i="642"/>
  <c r="B322" i="642"/>
  <c r="B321" i="642"/>
  <c r="B320" i="642"/>
  <c r="B319" i="642"/>
  <c r="B318" i="642"/>
  <c r="B317" i="642"/>
  <c r="B316" i="642"/>
  <c r="B315" i="642"/>
  <c r="B314" i="642"/>
  <c r="B313" i="642"/>
  <c r="B312" i="642"/>
  <c r="B311" i="642"/>
  <c r="B310" i="642"/>
  <c r="B309" i="642"/>
  <c r="B308" i="642"/>
  <c r="B307" i="642"/>
  <c r="B306" i="642"/>
  <c r="B305" i="642"/>
  <c r="B304" i="642"/>
  <c r="B303" i="642"/>
  <c r="B302" i="642"/>
  <c r="B301" i="642"/>
  <c r="B300" i="642"/>
  <c r="B299" i="642"/>
  <c r="B298" i="642"/>
  <c r="B297" i="642"/>
  <c r="B296" i="642"/>
  <c r="B295" i="642"/>
  <c r="B294" i="642"/>
  <c r="B293" i="642"/>
  <c r="B292" i="642"/>
  <c r="B291" i="642"/>
  <c r="B290" i="642"/>
  <c r="B289" i="642"/>
  <c r="B288" i="642"/>
  <c r="B287" i="642"/>
  <c r="B286" i="642"/>
  <c r="B285" i="642"/>
  <c r="B284" i="642"/>
  <c r="B283" i="642"/>
  <c r="B282" i="642"/>
  <c r="B281" i="642"/>
  <c r="B280" i="642"/>
  <c r="B279" i="642"/>
  <c r="B278" i="642"/>
  <c r="B277" i="642"/>
  <c r="B276" i="642"/>
  <c r="B275" i="642"/>
  <c r="B274" i="642"/>
  <c r="B273" i="642"/>
  <c r="B272" i="642"/>
  <c r="B271" i="642"/>
  <c r="B270" i="642"/>
  <c r="B269" i="642"/>
  <c r="B268" i="642"/>
  <c r="B267" i="642"/>
  <c r="B266" i="642"/>
  <c r="B265" i="642"/>
  <c r="B264" i="642"/>
  <c r="B263" i="642"/>
  <c r="B262" i="642"/>
  <c r="B261" i="642"/>
  <c r="B260" i="642"/>
  <c r="B259" i="642"/>
  <c r="B258" i="642"/>
  <c r="B257" i="642"/>
  <c r="B256" i="642"/>
  <c r="B255" i="642"/>
  <c r="B254" i="642"/>
  <c r="B253" i="642"/>
  <c r="B252" i="642"/>
  <c r="B251" i="642"/>
  <c r="B250" i="642"/>
  <c r="B249" i="642"/>
  <c r="B248" i="642"/>
  <c r="B247" i="642"/>
  <c r="B246" i="642"/>
  <c r="B245" i="642"/>
  <c r="B244" i="642"/>
  <c r="B243" i="642"/>
  <c r="B242" i="642"/>
  <c r="B241" i="642"/>
  <c r="B240" i="642"/>
  <c r="B239" i="642"/>
  <c r="B238" i="642"/>
  <c r="B237" i="642"/>
  <c r="B236" i="642"/>
  <c r="B235" i="642"/>
  <c r="B234" i="642"/>
  <c r="B233" i="642"/>
  <c r="B232" i="642"/>
  <c r="B231" i="642"/>
  <c r="B230" i="642"/>
  <c r="B229" i="642"/>
  <c r="B228" i="642"/>
  <c r="B227" i="642"/>
  <c r="B226" i="642"/>
  <c r="B225" i="642"/>
  <c r="B224" i="642"/>
  <c r="B223" i="642"/>
  <c r="B222" i="642"/>
  <c r="B221" i="642"/>
  <c r="B220" i="642"/>
  <c r="B219" i="642"/>
  <c r="B218" i="642"/>
  <c r="B217" i="642"/>
  <c r="B216" i="642"/>
  <c r="B215" i="642"/>
  <c r="B214" i="642"/>
  <c r="B213" i="642"/>
  <c r="B212" i="642"/>
  <c r="B211" i="642"/>
  <c r="B210" i="642"/>
  <c r="B209" i="642"/>
  <c r="B208" i="642"/>
  <c r="B207" i="642"/>
  <c r="B206" i="642"/>
  <c r="B205" i="642"/>
  <c r="B204" i="642"/>
  <c r="B203" i="642"/>
  <c r="B202" i="642"/>
  <c r="B201" i="642"/>
  <c r="B200" i="642"/>
  <c r="B199" i="642"/>
  <c r="B198" i="642"/>
  <c r="B197" i="642"/>
  <c r="B196" i="642"/>
  <c r="B195" i="642"/>
  <c r="B194" i="642"/>
  <c r="B193" i="642"/>
  <c r="B192" i="642"/>
  <c r="B191" i="642"/>
  <c r="B190" i="642"/>
  <c r="B189" i="642"/>
  <c r="B188" i="642"/>
  <c r="B187" i="642"/>
  <c r="B186" i="642"/>
  <c r="B185" i="642"/>
  <c r="B184" i="642"/>
  <c r="B183" i="642"/>
  <c r="B182" i="642"/>
  <c r="B181" i="642"/>
  <c r="B180" i="642"/>
  <c r="B179" i="642"/>
  <c r="B178" i="642"/>
  <c r="B177" i="642"/>
  <c r="B176" i="642"/>
  <c r="B175" i="642"/>
  <c r="B174" i="642"/>
  <c r="B173" i="642"/>
  <c r="B172" i="642"/>
  <c r="B171" i="642"/>
  <c r="B170" i="642"/>
  <c r="B169" i="642"/>
  <c r="B168" i="642"/>
  <c r="B167" i="642"/>
  <c r="B166" i="642"/>
  <c r="B165" i="642"/>
  <c r="B164" i="642"/>
  <c r="B163" i="642"/>
  <c r="B162" i="642"/>
  <c r="B161" i="642"/>
  <c r="B160" i="642"/>
  <c r="B159" i="642"/>
  <c r="B158" i="642"/>
  <c r="B157" i="642"/>
  <c r="B156" i="642"/>
  <c r="B155" i="642"/>
  <c r="B154" i="642"/>
  <c r="B153" i="642"/>
  <c r="B152" i="642"/>
  <c r="B151" i="642"/>
  <c r="B150" i="642"/>
  <c r="B149" i="642"/>
  <c r="B148" i="642"/>
  <c r="B147" i="642"/>
  <c r="B146" i="642"/>
  <c r="B145" i="642"/>
  <c r="B144" i="642"/>
  <c r="B143" i="642"/>
  <c r="B142" i="642"/>
  <c r="B141" i="642"/>
  <c r="B140" i="642"/>
  <c r="B139" i="642"/>
  <c r="B138" i="642"/>
  <c r="B137" i="642"/>
  <c r="B136" i="642"/>
  <c r="B135" i="642"/>
  <c r="B134" i="642"/>
  <c r="B133" i="642"/>
  <c r="B132" i="642"/>
  <c r="B131" i="642"/>
  <c r="B130" i="642"/>
  <c r="B129" i="642"/>
  <c r="B128" i="642"/>
  <c r="B127" i="642"/>
  <c r="B126" i="642"/>
  <c r="B125" i="642"/>
  <c r="B124" i="642"/>
  <c r="B123" i="642"/>
  <c r="B122" i="642"/>
  <c r="B121" i="642"/>
  <c r="B120" i="642"/>
  <c r="B119" i="642"/>
  <c r="B118" i="642"/>
  <c r="B117" i="642"/>
  <c r="B116" i="642"/>
  <c r="B115" i="642"/>
  <c r="B114" i="642"/>
  <c r="B113" i="642"/>
  <c r="B112" i="642"/>
  <c r="B111" i="642"/>
  <c r="B110" i="642"/>
  <c r="B109" i="642"/>
  <c r="B108" i="642"/>
  <c r="B107" i="642"/>
  <c r="B106" i="642"/>
  <c r="B105" i="642"/>
  <c r="B104" i="642"/>
  <c r="B103" i="642"/>
  <c r="B102" i="642"/>
  <c r="B101" i="642"/>
  <c r="B100" i="642"/>
  <c r="B99" i="642"/>
  <c r="B98" i="642"/>
  <c r="B97" i="642"/>
  <c r="B96" i="642"/>
  <c r="B95" i="642"/>
  <c r="B94" i="642"/>
  <c r="B93" i="642"/>
  <c r="B92" i="642"/>
  <c r="B91" i="642"/>
  <c r="B90" i="642"/>
  <c r="B89" i="642"/>
  <c r="B88" i="642"/>
  <c r="B87" i="642"/>
  <c r="B86" i="642"/>
  <c r="B85" i="642"/>
  <c r="B84" i="642"/>
  <c r="B83" i="642"/>
  <c r="B82" i="642"/>
  <c r="B81" i="642"/>
  <c r="B80" i="642"/>
  <c r="B79" i="642"/>
  <c r="B78" i="642"/>
  <c r="B77" i="642"/>
  <c r="B76" i="642"/>
  <c r="B75" i="642"/>
  <c r="B74" i="642"/>
  <c r="B73" i="642"/>
  <c r="B72" i="642"/>
  <c r="B71" i="642"/>
  <c r="B70" i="642"/>
  <c r="B69" i="642"/>
  <c r="B68" i="642"/>
  <c r="B67" i="642"/>
  <c r="B66" i="642"/>
  <c r="B65" i="642"/>
  <c r="B64" i="642"/>
  <c r="B63" i="642"/>
  <c r="B62" i="642"/>
  <c r="B61" i="642"/>
  <c r="B60" i="642"/>
  <c r="B59" i="642"/>
  <c r="B58" i="642"/>
  <c r="B57" i="642"/>
  <c r="B56" i="642"/>
  <c r="B55" i="642"/>
  <c r="B54" i="642"/>
  <c r="B53" i="642"/>
  <c r="B52" i="642"/>
  <c r="B51" i="642"/>
  <c r="B50" i="642"/>
  <c r="B49" i="642"/>
  <c r="B48" i="642"/>
  <c r="B47" i="642"/>
  <c r="B46" i="642"/>
  <c r="B45" i="642"/>
  <c r="B44" i="642"/>
  <c r="B43" i="642"/>
  <c r="B42" i="642"/>
  <c r="B41" i="642"/>
  <c r="B40" i="642"/>
  <c r="B39" i="642"/>
  <c r="B38" i="642"/>
  <c r="B37" i="642"/>
  <c r="B36" i="642"/>
  <c r="B35" i="642"/>
  <c r="B34" i="642"/>
  <c r="B33" i="642"/>
  <c r="B32" i="642"/>
  <c r="B31" i="642"/>
  <c r="B30" i="642"/>
  <c r="B29" i="642"/>
  <c r="B28" i="642"/>
  <c r="B27" i="642"/>
  <c r="B26" i="642"/>
  <c r="B25" i="642"/>
  <c r="B24" i="642"/>
  <c r="B23" i="642"/>
  <c r="B22" i="642"/>
  <c r="B21" i="642"/>
  <c r="B20" i="642"/>
  <c r="B19" i="642"/>
  <c r="B18" i="642"/>
  <c r="B17" i="642"/>
  <c r="B16" i="642"/>
  <c r="B15" i="642"/>
  <c r="B14" i="642"/>
  <c r="B13" i="642"/>
  <c r="B12" i="642"/>
  <c r="B11" i="642"/>
  <c r="B10" i="642"/>
  <c r="B9" i="642"/>
  <c r="B8" i="642"/>
  <c r="B7" i="642"/>
  <c r="B6" i="642"/>
  <c r="B5" i="642"/>
  <c r="B4" i="642"/>
  <c r="B3" i="642"/>
  <c r="B2" i="642"/>
  <c r="C32" i="643" l="1"/>
  <c r="D32" i="643"/>
  <c r="C32" i="648"/>
  <c r="E32" i="645"/>
  <c r="B1016" i="638"/>
  <c r="B1014" i="638"/>
  <c r="B1013" i="638"/>
  <c r="B1012" i="638"/>
  <c r="B1011" i="638"/>
  <c r="B1010" i="638"/>
  <c r="B1009" i="638"/>
  <c r="B1008" i="638"/>
  <c r="B1007" i="638"/>
  <c r="B1006" i="638"/>
  <c r="B1005" i="638"/>
  <c r="B1004" i="638"/>
  <c r="B1003" i="638"/>
  <c r="B1002" i="638"/>
  <c r="B1001" i="638"/>
  <c r="B1000" i="638"/>
  <c r="B999" i="638"/>
  <c r="B998" i="638"/>
  <c r="B997" i="638"/>
  <c r="B996" i="638"/>
  <c r="B995" i="638"/>
  <c r="B994" i="638"/>
  <c r="B993" i="638"/>
  <c r="B992" i="638"/>
  <c r="B991" i="638"/>
  <c r="B990" i="638"/>
  <c r="B989" i="638"/>
  <c r="B988" i="638"/>
  <c r="B987" i="638"/>
  <c r="B986" i="638"/>
  <c r="B985" i="638"/>
  <c r="B984" i="638"/>
  <c r="B983" i="638"/>
  <c r="B982" i="638"/>
  <c r="B981" i="638"/>
  <c r="B980" i="638"/>
  <c r="B979" i="638"/>
  <c r="B978" i="638"/>
  <c r="B977" i="638"/>
  <c r="B976" i="638"/>
  <c r="B975" i="638"/>
  <c r="B974" i="638"/>
  <c r="B973" i="638"/>
  <c r="B972" i="638"/>
  <c r="B971" i="638"/>
  <c r="B970" i="638"/>
  <c r="B969" i="638"/>
  <c r="B968" i="638"/>
  <c r="B967" i="638"/>
  <c r="B966" i="638"/>
  <c r="B964" i="638"/>
  <c r="B963" i="638"/>
  <c r="B962" i="638"/>
  <c r="B961" i="638"/>
  <c r="B960" i="638"/>
  <c r="B959" i="638"/>
  <c r="B958" i="638"/>
  <c r="B957" i="638"/>
  <c r="B956" i="638"/>
  <c r="B955" i="638"/>
  <c r="B954" i="638"/>
  <c r="B953" i="638"/>
  <c r="B952" i="638"/>
  <c r="B951" i="638"/>
  <c r="B950" i="638"/>
  <c r="B949" i="638"/>
  <c r="B948" i="638"/>
  <c r="B947" i="638"/>
  <c r="B946" i="638"/>
  <c r="B945" i="638"/>
  <c r="B944" i="638"/>
  <c r="B943" i="638"/>
  <c r="B942" i="638"/>
  <c r="B941" i="638"/>
  <c r="B940" i="638"/>
  <c r="B939" i="638"/>
  <c r="B938" i="638"/>
  <c r="B937" i="638"/>
  <c r="B936" i="638"/>
  <c r="B935" i="638"/>
  <c r="B934" i="638"/>
  <c r="B933" i="638"/>
  <c r="B932" i="638"/>
  <c r="B931" i="638"/>
  <c r="B930" i="638"/>
  <c r="B929" i="638"/>
  <c r="B928" i="638"/>
  <c r="B927" i="638"/>
  <c r="B926" i="638"/>
  <c r="B925" i="638"/>
  <c r="B924" i="638"/>
  <c r="B923" i="638"/>
  <c r="B922" i="638"/>
  <c r="B921" i="638"/>
  <c r="B920" i="638"/>
  <c r="B919" i="638"/>
  <c r="B918" i="638"/>
  <c r="B917" i="638"/>
  <c r="B916" i="638"/>
  <c r="B915" i="638"/>
  <c r="B914" i="638"/>
  <c r="B913" i="638"/>
  <c r="B912" i="638"/>
  <c r="B911" i="638"/>
  <c r="B910" i="638"/>
  <c r="B909" i="638"/>
  <c r="B908" i="638"/>
  <c r="B907" i="638"/>
  <c r="B906" i="638"/>
  <c r="B905" i="638"/>
  <c r="B904" i="638"/>
  <c r="B903" i="638"/>
  <c r="B902" i="638"/>
  <c r="B901" i="638"/>
  <c r="B900" i="638"/>
  <c r="B899" i="638"/>
  <c r="B898" i="638"/>
  <c r="B897" i="638"/>
  <c r="B896" i="638"/>
  <c r="B895" i="638"/>
  <c r="B894" i="638"/>
  <c r="B893" i="638"/>
  <c r="B892" i="638"/>
  <c r="B891" i="638"/>
  <c r="B890" i="638"/>
  <c r="B889" i="638"/>
  <c r="B888" i="638"/>
  <c r="B887" i="638"/>
  <c r="B886" i="638"/>
  <c r="B885" i="638"/>
  <c r="B884" i="638"/>
  <c r="B883" i="638"/>
  <c r="B882" i="638"/>
  <c r="B881" i="638"/>
  <c r="B880" i="638"/>
  <c r="B879" i="638"/>
  <c r="B878" i="638"/>
  <c r="B877" i="638"/>
  <c r="B876" i="638"/>
  <c r="B875" i="638"/>
  <c r="B874" i="638"/>
  <c r="B873" i="638"/>
  <c r="B872" i="638"/>
  <c r="B871" i="638"/>
  <c r="B870" i="638"/>
  <c r="B869" i="638"/>
  <c r="B868" i="638"/>
  <c r="B867" i="638"/>
  <c r="B866" i="638"/>
  <c r="B865" i="638"/>
  <c r="B864" i="638"/>
  <c r="B863" i="638"/>
  <c r="B862" i="638"/>
  <c r="B861" i="638"/>
  <c r="B860" i="638"/>
  <c r="B859" i="638"/>
  <c r="B858" i="638"/>
  <c r="B857" i="638"/>
  <c r="B856" i="638"/>
  <c r="B855" i="638"/>
  <c r="B854" i="638"/>
  <c r="B853" i="638"/>
  <c r="B852" i="638"/>
  <c r="B851" i="638"/>
  <c r="B850" i="638"/>
  <c r="B849" i="638"/>
  <c r="B848" i="638"/>
  <c r="B847" i="638"/>
  <c r="B846" i="638"/>
  <c r="B845" i="638"/>
  <c r="B844" i="638"/>
  <c r="B843" i="638"/>
  <c r="B842" i="638"/>
  <c r="B841" i="638"/>
  <c r="B840" i="638"/>
  <c r="B839" i="638"/>
  <c r="B838" i="638"/>
  <c r="B837" i="638"/>
  <c r="B836" i="638"/>
  <c r="B835" i="638"/>
  <c r="B834" i="638"/>
  <c r="B833" i="638"/>
  <c r="B832" i="638"/>
  <c r="B831" i="638"/>
  <c r="B830" i="638"/>
  <c r="B829" i="638"/>
  <c r="B828" i="638"/>
  <c r="B827" i="638"/>
  <c r="B826" i="638"/>
  <c r="B825" i="638"/>
  <c r="B824" i="638"/>
  <c r="B823" i="638"/>
  <c r="B822" i="638"/>
  <c r="B821" i="638"/>
  <c r="B820" i="638"/>
  <c r="B819" i="638"/>
  <c r="B818" i="638"/>
  <c r="B817" i="638"/>
  <c r="B816" i="638"/>
  <c r="B815" i="638"/>
  <c r="B814" i="638"/>
  <c r="B813" i="638"/>
  <c r="B812" i="638"/>
  <c r="B811" i="638"/>
  <c r="B810" i="638"/>
  <c r="B809" i="638"/>
  <c r="B808" i="638"/>
  <c r="B807" i="638"/>
  <c r="B806" i="638"/>
  <c r="B805" i="638"/>
  <c r="B804" i="638"/>
  <c r="B803" i="638"/>
  <c r="B802" i="638"/>
  <c r="B801" i="638"/>
  <c r="B800" i="638"/>
  <c r="B799" i="638"/>
  <c r="B798" i="638"/>
  <c r="B797" i="638"/>
  <c r="B796" i="638"/>
  <c r="B795" i="638"/>
  <c r="B794" i="638"/>
  <c r="B793" i="638"/>
  <c r="B792" i="638"/>
  <c r="B791" i="638"/>
  <c r="B790" i="638"/>
  <c r="B789" i="638"/>
  <c r="B788" i="638"/>
  <c r="B787" i="638"/>
  <c r="B786" i="638"/>
  <c r="B785" i="638"/>
  <c r="B784" i="638"/>
  <c r="B783" i="638"/>
  <c r="B782" i="638"/>
  <c r="B781" i="638"/>
  <c r="B780" i="638"/>
  <c r="B779" i="638"/>
  <c r="B778" i="638"/>
  <c r="B777" i="638"/>
  <c r="B776" i="638"/>
  <c r="B775" i="638"/>
  <c r="B774" i="638"/>
  <c r="B773" i="638"/>
  <c r="B772" i="638"/>
  <c r="B771" i="638"/>
  <c r="B770" i="638"/>
  <c r="B769" i="638"/>
  <c r="B768" i="638"/>
  <c r="B767" i="638"/>
  <c r="B766" i="638"/>
  <c r="B765" i="638"/>
  <c r="B764" i="638"/>
  <c r="B763" i="638"/>
  <c r="B762" i="638"/>
  <c r="B761" i="638"/>
  <c r="B760" i="638"/>
  <c r="B759" i="638"/>
  <c r="B758" i="638"/>
  <c r="B757" i="638"/>
  <c r="B756" i="638"/>
  <c r="B754" i="638"/>
  <c r="B753" i="638"/>
  <c r="B752" i="638"/>
  <c r="B751" i="638"/>
  <c r="B750" i="638"/>
  <c r="B749" i="638"/>
  <c r="B748" i="638"/>
  <c r="B747" i="638"/>
  <c r="B746" i="638"/>
  <c r="B745" i="638"/>
  <c r="B744" i="638"/>
  <c r="B743" i="638"/>
  <c r="B742" i="638"/>
  <c r="B741" i="638"/>
  <c r="B740" i="638"/>
  <c r="B739" i="638"/>
  <c r="B738" i="638"/>
  <c r="B737" i="638"/>
  <c r="B736" i="638"/>
  <c r="B735" i="638"/>
  <c r="B734" i="638"/>
  <c r="B733" i="638"/>
  <c r="B732" i="638"/>
  <c r="B731" i="638"/>
  <c r="B730" i="638"/>
  <c r="B729" i="638"/>
  <c r="B728" i="638"/>
  <c r="B727" i="638"/>
  <c r="B726" i="638"/>
  <c r="B725" i="638"/>
  <c r="B724" i="638"/>
  <c r="B723" i="638"/>
  <c r="B722" i="638"/>
  <c r="B721" i="638"/>
  <c r="B720" i="638"/>
  <c r="B719" i="638"/>
  <c r="B718" i="638"/>
  <c r="B717" i="638"/>
  <c r="B716" i="638"/>
  <c r="B715" i="638"/>
  <c r="B714" i="638"/>
  <c r="B713" i="638"/>
  <c r="B712" i="638"/>
  <c r="B711" i="638"/>
  <c r="B710" i="638"/>
  <c r="B709" i="638"/>
  <c r="B708" i="638"/>
  <c r="B707" i="638"/>
  <c r="B706" i="638"/>
  <c r="B705" i="638"/>
  <c r="B704" i="638"/>
  <c r="B703" i="638"/>
  <c r="B702" i="638"/>
  <c r="B701" i="638"/>
  <c r="B700" i="638"/>
  <c r="B699" i="638"/>
  <c r="B698" i="638"/>
  <c r="B697" i="638"/>
  <c r="B696" i="638"/>
  <c r="B695" i="638"/>
  <c r="B694" i="638"/>
  <c r="B693" i="638"/>
  <c r="B692" i="638"/>
  <c r="B691" i="638"/>
  <c r="B690" i="638"/>
  <c r="B689" i="638"/>
  <c r="B688" i="638"/>
  <c r="B687" i="638"/>
  <c r="B686" i="638"/>
  <c r="B685" i="638"/>
  <c r="B684" i="638"/>
  <c r="B683" i="638"/>
  <c r="B682" i="638"/>
  <c r="B681" i="638"/>
  <c r="B680" i="638"/>
  <c r="B679" i="638"/>
  <c r="B678" i="638"/>
  <c r="B677" i="638"/>
  <c r="B676" i="638"/>
  <c r="B675" i="638"/>
  <c r="B674" i="638"/>
  <c r="B673" i="638"/>
  <c r="B672" i="638"/>
  <c r="B671" i="638"/>
  <c r="B670" i="638"/>
  <c r="B669" i="638"/>
  <c r="B668" i="638"/>
  <c r="B667" i="638"/>
  <c r="B666" i="638"/>
  <c r="B665" i="638"/>
  <c r="B664" i="638"/>
  <c r="B663" i="638"/>
  <c r="B662" i="638"/>
  <c r="B661" i="638"/>
  <c r="B660" i="638"/>
  <c r="B659" i="638"/>
  <c r="B658" i="638"/>
  <c r="B657" i="638"/>
  <c r="B656" i="638"/>
  <c r="B655" i="638"/>
  <c r="B654" i="638"/>
  <c r="B653" i="638"/>
  <c r="B652" i="638"/>
  <c r="B651" i="638"/>
  <c r="B650" i="638"/>
  <c r="B649" i="638"/>
  <c r="B648" i="638"/>
  <c r="B647" i="638"/>
  <c r="B646" i="638"/>
  <c r="B645" i="638"/>
  <c r="B644" i="638"/>
  <c r="B643" i="638"/>
  <c r="B642" i="638"/>
  <c r="B641" i="638"/>
  <c r="B640" i="638"/>
  <c r="B639" i="638"/>
  <c r="B638" i="638"/>
  <c r="B637" i="638"/>
  <c r="B636" i="638"/>
  <c r="B635" i="638"/>
  <c r="B633" i="638"/>
  <c r="B632" i="638"/>
  <c r="B631" i="638"/>
  <c r="B630" i="638"/>
  <c r="B629" i="638"/>
  <c r="B628" i="638"/>
  <c r="B627" i="638"/>
  <c r="B626" i="638"/>
  <c r="B625" i="638"/>
  <c r="B624" i="638"/>
  <c r="B623" i="638"/>
  <c r="B622" i="638"/>
  <c r="B621" i="638"/>
  <c r="B620" i="638"/>
  <c r="B619" i="638"/>
  <c r="B618" i="638"/>
  <c r="B617" i="638"/>
  <c r="B616" i="638"/>
  <c r="B615" i="638"/>
  <c r="B614" i="638"/>
  <c r="B613" i="638"/>
  <c r="B612" i="638"/>
  <c r="B611" i="638"/>
  <c r="B610" i="638"/>
  <c r="B609" i="638"/>
  <c r="B608" i="638"/>
  <c r="B607" i="638"/>
  <c r="B606" i="638"/>
  <c r="B605" i="638"/>
  <c r="B604" i="638"/>
  <c r="B603" i="638"/>
  <c r="B602" i="638"/>
  <c r="B601" i="638"/>
  <c r="B600" i="638"/>
  <c r="B599" i="638"/>
  <c r="B598" i="638"/>
  <c r="B597" i="638"/>
  <c r="B596" i="638"/>
  <c r="B595" i="638"/>
  <c r="B594" i="638"/>
  <c r="B593" i="638"/>
  <c r="B592" i="638"/>
  <c r="B591" i="638"/>
  <c r="B590" i="638"/>
  <c r="B589" i="638"/>
  <c r="B588" i="638"/>
  <c r="B587" i="638"/>
  <c r="B586" i="638"/>
  <c r="B584" i="638"/>
  <c r="B583" i="638"/>
  <c r="B582" i="638"/>
  <c r="B581" i="638"/>
  <c r="B580" i="638"/>
  <c r="B579" i="638"/>
  <c r="B578" i="638"/>
  <c r="B577" i="638"/>
  <c r="B576" i="638"/>
  <c r="B575" i="638"/>
  <c r="B574" i="638"/>
  <c r="B573" i="638"/>
  <c r="B572" i="638"/>
  <c r="B571" i="638"/>
  <c r="B570" i="638"/>
  <c r="B569" i="638"/>
  <c r="B568" i="638"/>
  <c r="B567" i="638"/>
  <c r="B566" i="638"/>
  <c r="B565" i="638"/>
  <c r="B564" i="638"/>
  <c r="B563" i="638"/>
  <c r="B562" i="638"/>
  <c r="B561" i="638"/>
  <c r="B560" i="638"/>
  <c r="B559" i="638"/>
  <c r="B558" i="638"/>
  <c r="B557" i="638"/>
  <c r="B556" i="638"/>
  <c r="B555" i="638"/>
  <c r="B554" i="638"/>
  <c r="B553" i="638"/>
  <c r="B552" i="638"/>
  <c r="B551" i="638"/>
  <c r="B550" i="638"/>
  <c r="B549" i="638"/>
  <c r="B548" i="638"/>
  <c r="B547" i="638"/>
  <c r="B546" i="638"/>
  <c r="B545" i="638"/>
  <c r="B544" i="638"/>
  <c r="B543" i="638"/>
  <c r="B542" i="638"/>
  <c r="B541" i="638"/>
  <c r="B540" i="638"/>
  <c r="B539" i="638"/>
  <c r="B538" i="638"/>
  <c r="B537" i="638"/>
  <c r="B536" i="638"/>
  <c r="B535" i="638"/>
  <c r="B534" i="638"/>
  <c r="B533" i="638"/>
  <c r="B532" i="638"/>
  <c r="B531" i="638"/>
  <c r="B530" i="638"/>
  <c r="B529" i="638"/>
  <c r="B528" i="638"/>
  <c r="B527" i="638"/>
  <c r="B526" i="638"/>
  <c r="B525" i="638"/>
  <c r="B524" i="638"/>
  <c r="B523" i="638"/>
  <c r="B522" i="638"/>
  <c r="B521" i="638"/>
  <c r="B520" i="638"/>
  <c r="B519" i="638"/>
  <c r="B517" i="638"/>
  <c r="B516" i="638"/>
  <c r="B515" i="638"/>
  <c r="B514" i="638"/>
  <c r="B513" i="638"/>
  <c r="B512" i="638"/>
  <c r="B511" i="638"/>
  <c r="B510" i="638"/>
  <c r="B509" i="638"/>
  <c r="B508" i="638"/>
  <c r="B507" i="638"/>
  <c r="B506" i="638"/>
  <c r="B505" i="638"/>
  <c r="B504" i="638"/>
  <c r="B503" i="638"/>
  <c r="B502" i="638"/>
  <c r="B501" i="638"/>
  <c r="B500" i="638"/>
  <c r="B499" i="638"/>
  <c r="B498" i="638"/>
  <c r="B497" i="638"/>
  <c r="B496" i="638"/>
  <c r="B495" i="638"/>
  <c r="B493" i="638"/>
  <c r="B492" i="638"/>
  <c r="B491" i="638"/>
  <c r="B490" i="638"/>
  <c r="B489" i="638"/>
  <c r="B488" i="638"/>
  <c r="B487" i="638"/>
  <c r="B486" i="638"/>
  <c r="B485" i="638"/>
  <c r="B484" i="638"/>
  <c r="B483" i="638"/>
  <c r="B481" i="638"/>
  <c r="B480" i="638"/>
  <c r="B479" i="638"/>
  <c r="B478" i="638"/>
  <c r="B477" i="638"/>
  <c r="B476" i="638"/>
  <c r="B475" i="638"/>
  <c r="B474" i="638"/>
  <c r="B473" i="638"/>
  <c r="B472" i="638"/>
  <c r="B471" i="638"/>
  <c r="B470" i="638"/>
  <c r="B469" i="638"/>
  <c r="B468" i="638"/>
  <c r="B467" i="638"/>
  <c r="B466" i="638"/>
  <c r="B465" i="638"/>
  <c r="B464" i="638"/>
  <c r="B463" i="638"/>
  <c r="B462" i="638"/>
  <c r="B461" i="638"/>
  <c r="B460" i="638"/>
  <c r="B459" i="638"/>
  <c r="B458" i="638"/>
  <c r="B457" i="638"/>
  <c r="B456" i="638"/>
  <c r="B455" i="638"/>
  <c r="B454" i="638"/>
  <c r="B453" i="638"/>
  <c r="B452" i="638"/>
  <c r="B451" i="638"/>
  <c r="B450" i="638"/>
  <c r="B449" i="638"/>
  <c r="B448" i="638"/>
  <c r="B447" i="638"/>
  <c r="B446" i="638"/>
  <c r="B445" i="638"/>
  <c r="B444" i="638"/>
  <c r="B443" i="638"/>
  <c r="B442" i="638"/>
  <c r="B441" i="638"/>
  <c r="B440" i="638"/>
  <c r="B439" i="638"/>
  <c r="B438" i="638"/>
  <c r="B437" i="638"/>
  <c r="B436" i="638"/>
  <c r="B435" i="638"/>
  <c r="B434" i="638"/>
  <c r="B433" i="638"/>
  <c r="B432" i="638"/>
  <c r="B431" i="638"/>
  <c r="B430" i="638"/>
  <c r="B429" i="638"/>
  <c r="B428" i="638"/>
  <c r="B427" i="638"/>
  <c r="B426" i="638"/>
  <c r="B425" i="638"/>
  <c r="B424" i="638"/>
  <c r="B423" i="638"/>
  <c r="B422" i="638"/>
  <c r="B421" i="638"/>
  <c r="B420" i="638"/>
  <c r="B419" i="638"/>
  <c r="B418" i="638"/>
  <c r="B417" i="638"/>
  <c r="B416" i="638"/>
  <c r="B415" i="638"/>
  <c r="B414" i="638"/>
  <c r="B413" i="638"/>
  <c r="B412" i="638"/>
  <c r="B411" i="638"/>
  <c r="B410" i="638"/>
  <c r="B409" i="638"/>
  <c r="B408" i="638"/>
  <c r="B407" i="638"/>
  <c r="B406" i="638"/>
  <c r="B405" i="638"/>
  <c r="B404" i="638"/>
  <c r="B403" i="638"/>
  <c r="B402" i="638"/>
  <c r="B401" i="638"/>
  <c r="B400" i="638"/>
  <c r="B398" i="638"/>
  <c r="B397" i="638"/>
  <c r="B396" i="638"/>
  <c r="B395" i="638"/>
  <c r="B394" i="638"/>
  <c r="B393" i="638"/>
  <c r="B392" i="638"/>
  <c r="B391" i="638"/>
  <c r="B390" i="638"/>
  <c r="B389" i="638"/>
  <c r="B388" i="638"/>
  <c r="B387" i="638"/>
  <c r="B386" i="638"/>
  <c r="B385" i="638"/>
  <c r="B384" i="638"/>
  <c r="B383" i="638"/>
  <c r="B382" i="638"/>
  <c r="B381" i="638"/>
  <c r="B380" i="638"/>
  <c r="B379" i="638"/>
  <c r="B378" i="638"/>
  <c r="B377" i="638"/>
  <c r="B376" i="638"/>
  <c r="B375" i="638"/>
  <c r="B374" i="638"/>
  <c r="B373" i="638"/>
  <c r="B372" i="638"/>
  <c r="B371" i="638"/>
  <c r="B370" i="638"/>
  <c r="B369" i="638"/>
  <c r="B368" i="638"/>
  <c r="B367" i="638"/>
  <c r="B366" i="638"/>
  <c r="B364" i="638"/>
  <c r="B363" i="638"/>
  <c r="B362" i="638"/>
  <c r="B361" i="638"/>
  <c r="B360" i="638"/>
  <c r="B359" i="638"/>
  <c r="B358" i="638"/>
  <c r="B357" i="638"/>
  <c r="B356" i="638"/>
  <c r="B355" i="638"/>
  <c r="B354" i="638"/>
  <c r="B353" i="638"/>
  <c r="B352" i="638"/>
  <c r="B351" i="638"/>
  <c r="B350" i="638"/>
  <c r="B349" i="638"/>
  <c r="B348" i="638"/>
  <c r="B347" i="638"/>
  <c r="B346" i="638"/>
  <c r="B345" i="638"/>
  <c r="B344" i="638"/>
  <c r="B343" i="638"/>
  <c r="B342" i="638"/>
  <c r="B341" i="638"/>
  <c r="B340" i="638"/>
  <c r="B339" i="638"/>
  <c r="B338" i="638"/>
  <c r="B337" i="638"/>
  <c r="B336" i="638"/>
  <c r="B335" i="638"/>
  <c r="B334" i="638"/>
  <c r="B333" i="638"/>
  <c r="B332" i="638"/>
  <c r="B331" i="638"/>
  <c r="B330" i="638"/>
  <c r="B329" i="638"/>
  <c r="B328" i="638"/>
  <c r="B327" i="638"/>
  <c r="B326" i="638"/>
  <c r="B325" i="638"/>
  <c r="B324" i="638"/>
  <c r="B323" i="638"/>
  <c r="B322" i="638"/>
  <c r="B321" i="638"/>
  <c r="B320" i="638"/>
  <c r="B319" i="638"/>
  <c r="B318" i="638"/>
  <c r="B317" i="638"/>
  <c r="B316" i="638"/>
  <c r="B315" i="638"/>
  <c r="B314" i="638"/>
  <c r="B313" i="638"/>
  <c r="B312" i="638"/>
  <c r="B311" i="638"/>
  <c r="B310" i="638"/>
  <c r="B309" i="638"/>
  <c r="B308" i="638"/>
  <c r="B307" i="638"/>
  <c r="B306" i="638"/>
  <c r="B305" i="638"/>
  <c r="B304" i="638"/>
  <c r="B303" i="638"/>
  <c r="B302" i="638"/>
  <c r="B301" i="638"/>
  <c r="B300" i="638"/>
  <c r="B299" i="638"/>
  <c r="B298" i="638"/>
  <c r="B297" i="638"/>
  <c r="B296" i="638"/>
  <c r="B295" i="638"/>
  <c r="B294" i="638"/>
  <c r="B293" i="638"/>
  <c r="B291" i="638"/>
  <c r="B290" i="638"/>
  <c r="B289" i="638"/>
  <c r="B288" i="638"/>
  <c r="B287" i="638"/>
  <c r="B286" i="638"/>
  <c r="B285" i="638"/>
  <c r="B284" i="638"/>
  <c r="B283" i="638"/>
  <c r="B282" i="638"/>
  <c r="B281" i="638"/>
  <c r="B280" i="638"/>
  <c r="B279" i="638"/>
  <c r="B278" i="638"/>
  <c r="B277" i="638"/>
  <c r="B276" i="638"/>
  <c r="B275" i="638"/>
  <c r="B274" i="638"/>
  <c r="B273" i="638"/>
  <c r="B272" i="638"/>
  <c r="B271" i="638"/>
  <c r="B270" i="638"/>
  <c r="B269" i="638"/>
  <c r="B268" i="638"/>
  <c r="B267" i="638"/>
  <c r="B266" i="638"/>
  <c r="B265" i="638"/>
  <c r="B264" i="638"/>
  <c r="B263" i="638"/>
  <c r="B262" i="638"/>
  <c r="B261" i="638"/>
  <c r="B260" i="638"/>
  <c r="B259" i="638"/>
  <c r="B258" i="638"/>
  <c r="B257" i="638"/>
  <c r="B256" i="638"/>
  <c r="B255" i="638"/>
  <c r="B254" i="638"/>
  <c r="B253" i="638"/>
  <c r="B252" i="638"/>
  <c r="B251" i="638"/>
  <c r="B250" i="638"/>
  <c r="B249" i="638"/>
  <c r="B248" i="638"/>
  <c r="B247" i="638"/>
  <c r="B246" i="638"/>
  <c r="B245" i="638"/>
  <c r="B244" i="638"/>
  <c r="B243" i="638"/>
  <c r="B242" i="638"/>
  <c r="B241" i="638"/>
  <c r="B240" i="638"/>
  <c r="B239" i="638"/>
  <c r="B238" i="638"/>
  <c r="B237" i="638"/>
  <c r="B236" i="638"/>
  <c r="B235" i="638"/>
  <c r="B233" i="638"/>
  <c r="B232" i="638"/>
  <c r="B231" i="638"/>
  <c r="B230" i="638"/>
  <c r="B229" i="638"/>
  <c r="B228" i="638"/>
  <c r="B227" i="638"/>
  <c r="B226" i="638"/>
  <c r="B225" i="638"/>
  <c r="B224" i="638"/>
  <c r="B223" i="638"/>
  <c r="B222" i="638"/>
  <c r="B221" i="638"/>
  <c r="B220" i="638"/>
  <c r="B219" i="638"/>
  <c r="B218" i="638"/>
  <c r="B217" i="638"/>
  <c r="B216" i="638"/>
  <c r="B215" i="638"/>
  <c r="B214" i="638"/>
  <c r="B213" i="638"/>
  <c r="B212" i="638"/>
  <c r="B211" i="638"/>
  <c r="B210" i="638"/>
  <c r="B209" i="638"/>
  <c r="B208" i="638"/>
  <c r="B207" i="638"/>
  <c r="B206" i="638"/>
  <c r="B205" i="638"/>
  <c r="B204" i="638"/>
  <c r="B203" i="638"/>
  <c r="B202" i="638"/>
  <c r="B201" i="638"/>
  <c r="B200" i="638"/>
  <c r="B199" i="638"/>
  <c r="B198" i="638"/>
  <c r="B197" i="638"/>
  <c r="B196" i="638"/>
  <c r="B195" i="638"/>
  <c r="B194" i="638"/>
  <c r="B193" i="638"/>
  <c r="B192" i="638"/>
  <c r="B191" i="638"/>
  <c r="B190" i="638"/>
  <c r="B189" i="638"/>
  <c r="B188" i="638"/>
  <c r="B187" i="638"/>
  <c r="B186" i="638"/>
  <c r="B185" i="638"/>
  <c r="B184" i="638"/>
  <c r="B183" i="638"/>
  <c r="B182" i="638"/>
  <c r="B181" i="638"/>
  <c r="B180" i="638"/>
  <c r="B179" i="638"/>
  <c r="B178" i="638"/>
  <c r="B177" i="638"/>
  <c r="B176" i="638"/>
  <c r="B175" i="638"/>
  <c r="B174" i="638"/>
  <c r="B173" i="638"/>
  <c r="B172" i="638"/>
  <c r="B171" i="638"/>
  <c r="B170" i="638"/>
  <c r="B169" i="638"/>
  <c r="B168" i="638"/>
  <c r="B167" i="638"/>
  <c r="B166" i="638"/>
  <c r="B165" i="638"/>
  <c r="B164" i="638"/>
  <c r="B163" i="638"/>
  <c r="B162" i="638"/>
  <c r="B161" i="638"/>
  <c r="B160" i="638"/>
  <c r="B159" i="638"/>
  <c r="B158" i="638"/>
  <c r="B157" i="638"/>
  <c r="B156" i="638"/>
  <c r="B155" i="638"/>
  <c r="B154" i="638"/>
  <c r="B153" i="638"/>
  <c r="B152" i="638"/>
  <c r="B151" i="638"/>
  <c r="B150" i="638"/>
  <c r="B149" i="638"/>
  <c r="B148" i="638"/>
  <c r="B147" i="638"/>
  <c r="B146" i="638"/>
  <c r="B145" i="638"/>
  <c r="B144" i="638"/>
  <c r="B143" i="638"/>
  <c r="B142" i="638"/>
  <c r="B141" i="638"/>
  <c r="B140" i="638"/>
  <c r="B139" i="638"/>
  <c r="B138" i="638"/>
  <c r="B137" i="638"/>
  <c r="B136" i="638"/>
  <c r="B135" i="638"/>
  <c r="B134" i="638"/>
  <c r="B133" i="638"/>
  <c r="B132" i="638"/>
  <c r="B131" i="638"/>
  <c r="B130" i="638"/>
  <c r="B129" i="638"/>
  <c r="B128" i="638"/>
  <c r="B127" i="638"/>
  <c r="B126" i="638"/>
  <c r="B125" i="638"/>
  <c r="B124" i="638"/>
  <c r="B123" i="638"/>
  <c r="B122" i="638"/>
  <c r="B121" i="638"/>
  <c r="B120" i="638"/>
  <c r="B119" i="638"/>
  <c r="B118" i="638"/>
  <c r="B117" i="638"/>
  <c r="B116" i="638"/>
  <c r="B115" i="638"/>
  <c r="B114" i="638"/>
  <c r="B113" i="638"/>
  <c r="B112" i="638"/>
  <c r="B111" i="638"/>
  <c r="B110" i="638"/>
  <c r="B109" i="638"/>
  <c r="B108" i="638"/>
  <c r="B107" i="638"/>
  <c r="B106" i="638"/>
  <c r="B105" i="638"/>
  <c r="B104" i="638"/>
  <c r="B103" i="638"/>
  <c r="B102" i="638"/>
  <c r="B101" i="638"/>
  <c r="B100" i="638"/>
  <c r="B99" i="638"/>
  <c r="B98" i="638"/>
  <c r="B97" i="638"/>
  <c r="B96" i="638"/>
  <c r="B95" i="638"/>
  <c r="B94" i="638"/>
  <c r="B93" i="638"/>
  <c r="B92" i="638"/>
  <c r="B91" i="638"/>
  <c r="B90" i="638"/>
  <c r="B89" i="638"/>
  <c r="B88" i="638"/>
  <c r="B87" i="638"/>
  <c r="B86" i="638"/>
  <c r="B85" i="638"/>
  <c r="B84" i="638"/>
  <c r="B83" i="638"/>
  <c r="B82" i="638"/>
  <c r="B81" i="638"/>
  <c r="B80" i="638"/>
  <c r="B79" i="638"/>
  <c r="B78" i="638"/>
  <c r="B77" i="638"/>
  <c r="B76" i="638"/>
  <c r="B75" i="638"/>
  <c r="B74" i="638"/>
  <c r="B73" i="638"/>
  <c r="B72" i="638"/>
  <c r="B71" i="638"/>
  <c r="B70" i="638"/>
  <c r="B69" i="638"/>
  <c r="B68" i="638"/>
  <c r="B67" i="638"/>
  <c r="B66" i="638"/>
  <c r="B65" i="638"/>
  <c r="B64" i="638"/>
  <c r="B63" i="638"/>
  <c r="B62" i="638"/>
  <c r="B61" i="638"/>
  <c r="B60" i="638"/>
  <c r="B59" i="638"/>
  <c r="B58" i="638"/>
  <c r="B57" i="638"/>
  <c r="B56" i="638"/>
  <c r="B55" i="638"/>
  <c r="B54" i="638"/>
  <c r="B53" i="638"/>
  <c r="B52" i="638"/>
  <c r="B51" i="638"/>
  <c r="B50" i="638"/>
  <c r="B49" i="638"/>
  <c r="B48" i="638"/>
  <c r="B47" i="638"/>
  <c r="B46" i="638"/>
  <c r="B45" i="638"/>
  <c r="B44" i="638"/>
  <c r="B43" i="638"/>
  <c r="B42" i="638"/>
  <c r="B41" i="638"/>
  <c r="B40" i="638"/>
  <c r="B39" i="638"/>
  <c r="B38" i="638"/>
  <c r="B37" i="638"/>
  <c r="B36" i="638"/>
  <c r="B35" i="638"/>
  <c r="B34" i="638"/>
  <c r="B33" i="638"/>
  <c r="B32" i="638"/>
  <c r="B31" i="638"/>
  <c r="B30" i="638"/>
  <c r="B29" i="638"/>
  <c r="B28" i="638"/>
  <c r="B27" i="638"/>
  <c r="B26" i="638"/>
  <c r="B25" i="638"/>
  <c r="B24" i="638"/>
  <c r="B23" i="638"/>
  <c r="B22" i="638"/>
  <c r="B21" i="638"/>
  <c r="B20" i="638"/>
  <c r="B19" i="638"/>
  <c r="B18" i="638"/>
  <c r="B17" i="638"/>
  <c r="B16" i="638"/>
  <c r="B15" i="638"/>
  <c r="B14" i="638"/>
  <c r="B13" i="638"/>
  <c r="B12" i="638"/>
  <c r="B11" i="638"/>
  <c r="B10" i="638"/>
  <c r="B9" i="638"/>
  <c r="B8" i="638"/>
  <c r="B7" i="638"/>
  <c r="B6" i="638"/>
  <c r="B5" i="638"/>
  <c r="B4" i="638"/>
  <c r="B3" i="638"/>
  <c r="B2" i="638"/>
  <c r="G16" i="635" l="1"/>
  <c r="G17" i="634" l="1"/>
  <c r="J37" i="227" l="1"/>
  <c r="I37" i="227"/>
  <c r="H37" i="227"/>
  <c r="G37" i="227"/>
  <c r="F37" i="227"/>
  <c r="J20" i="227"/>
  <c r="J49" i="227" s="1"/>
  <c r="C22" i="633"/>
  <c r="C19" i="633"/>
  <c r="C18" i="633"/>
  <c r="C17" i="633"/>
  <c r="C16" i="633"/>
  <c r="C15" i="633"/>
  <c r="C13" i="633"/>
  <c r="C12" i="633"/>
  <c r="C11" i="633"/>
  <c r="C10" i="633"/>
  <c r="A6" i="633"/>
  <c r="C15" i="632"/>
  <c r="C11" i="632"/>
  <c r="A6" i="632"/>
  <c r="A6" i="631" l="1"/>
  <c r="B17" i="628"/>
  <c r="A6" i="630"/>
  <c r="A6" i="629"/>
  <c r="C12" i="627" l="1"/>
  <c r="E12" i="627" s="1"/>
  <c r="C11" i="627"/>
  <c r="A6" i="627"/>
  <c r="A6" i="628"/>
  <c r="D11" i="626"/>
  <c r="A6" i="626"/>
  <c r="C2" i="534"/>
  <c r="C2" i="535" s="1"/>
  <c r="C2" i="689" s="1"/>
  <c r="C2" i="632" l="1"/>
  <c r="C2" i="555"/>
  <c r="D2" i="517" s="1"/>
  <c r="D2" i="523" s="1"/>
  <c r="D2" i="691" s="1"/>
  <c r="C13" i="627"/>
  <c r="D2" i="631" l="1"/>
  <c r="D2" i="556"/>
  <c r="D30" i="622"/>
  <c r="E49" i="622"/>
  <c r="D24" i="622"/>
  <c r="D23" i="622"/>
  <c r="E22" i="622"/>
  <c r="D22" i="622"/>
  <c r="D19" i="622"/>
  <c r="A6" i="622"/>
  <c r="T24" i="483"/>
  <c r="U22" i="483"/>
  <c r="V175" i="1"/>
  <c r="AE55" i="482"/>
  <c r="H184" i="167"/>
  <c r="F26" i="608" s="1"/>
  <c r="H197" i="167"/>
  <c r="H196" i="167"/>
  <c r="H194" i="167"/>
  <c r="H186" i="167"/>
  <c r="H157" i="167"/>
  <c r="H158" i="167" s="1"/>
  <c r="H159" i="167" s="1"/>
  <c r="H149" i="167"/>
  <c r="H148" i="167"/>
  <c r="H140" i="167"/>
  <c r="H137" i="167"/>
  <c r="H135" i="167"/>
  <c r="H141" i="167" s="1"/>
  <c r="H134" i="167"/>
  <c r="H133" i="167"/>
  <c r="H132" i="167"/>
  <c r="H174" i="142"/>
  <c r="H173" i="142"/>
  <c r="H18" i="167"/>
  <c r="H17" i="167"/>
  <c r="S17" i="467"/>
  <c r="K110" i="1"/>
  <c r="K122" i="1" s="1"/>
  <c r="B16" i="692" l="1"/>
  <c r="B14" i="692"/>
  <c r="B22" i="692"/>
  <c r="B20" i="692"/>
  <c r="G31" i="248"/>
  <c r="H31" i="248"/>
  <c r="AG55" i="482"/>
  <c r="AH55" i="482" s="1"/>
  <c r="AF55" i="482"/>
  <c r="H24" i="248"/>
  <c r="G24" i="248"/>
  <c r="G25" i="248"/>
  <c r="H25" i="248"/>
  <c r="U24" i="483"/>
  <c r="V24" i="483" s="1"/>
  <c r="W24" i="483"/>
  <c r="X24" i="483" s="1"/>
  <c r="Y24" i="483" s="1"/>
  <c r="H23" i="248"/>
  <c r="G23" i="248"/>
  <c r="H20" i="248"/>
  <c r="G20" i="248"/>
  <c r="E30" i="622"/>
  <c r="B22" i="630"/>
  <c r="B20" i="630"/>
  <c r="B16" i="630"/>
  <c r="B14" i="630"/>
  <c r="E24" i="622"/>
  <c r="H142" i="167"/>
  <c r="H143" i="167" s="1"/>
  <c r="D25" i="622"/>
  <c r="H138" i="167"/>
  <c r="H144" i="167" s="1"/>
  <c r="H26" i="248" l="1"/>
  <c r="G26" i="248"/>
  <c r="G141" i="142"/>
  <c r="B1021" i="617" l="1"/>
  <c r="B1020" i="617"/>
  <c r="B1019" i="617"/>
  <c r="B1018" i="617"/>
  <c r="B1017" i="617"/>
  <c r="B1016" i="617"/>
  <c r="B1015" i="617"/>
  <c r="B1014" i="617"/>
  <c r="B1013" i="617"/>
  <c r="B1012" i="617"/>
  <c r="B1011" i="617"/>
  <c r="B1010" i="617"/>
  <c r="B1009" i="617"/>
  <c r="B1008" i="617"/>
  <c r="B1007" i="617"/>
  <c r="B1006" i="617"/>
  <c r="B1005" i="617"/>
  <c r="B1004" i="617"/>
  <c r="B1003" i="617"/>
  <c r="B1002" i="617"/>
  <c r="B1001" i="617"/>
  <c r="B1000" i="617"/>
  <c r="B999" i="617"/>
  <c r="B998" i="617"/>
  <c r="B997" i="617"/>
  <c r="B996" i="617"/>
  <c r="B995" i="617"/>
  <c r="B994" i="617"/>
  <c r="B993" i="617"/>
  <c r="B992" i="617"/>
  <c r="B991" i="617"/>
  <c r="B990" i="617"/>
  <c r="B989" i="617"/>
  <c r="B988" i="617"/>
  <c r="B987" i="617"/>
  <c r="B986" i="617"/>
  <c r="B985" i="617"/>
  <c r="B984" i="617"/>
  <c r="B983" i="617"/>
  <c r="B982" i="617"/>
  <c r="B981" i="617"/>
  <c r="B980" i="617"/>
  <c r="B979" i="617"/>
  <c r="B978" i="617"/>
  <c r="B977" i="617"/>
  <c r="B976" i="617"/>
  <c r="B975" i="617"/>
  <c r="B974" i="617"/>
  <c r="B973" i="617"/>
  <c r="B972" i="617"/>
  <c r="B971" i="617"/>
  <c r="B970" i="617"/>
  <c r="B969" i="617"/>
  <c r="B968" i="617"/>
  <c r="B967" i="617"/>
  <c r="B966" i="617"/>
  <c r="B965" i="617"/>
  <c r="B964" i="617"/>
  <c r="B963" i="617"/>
  <c r="B962" i="617"/>
  <c r="B961" i="617"/>
  <c r="B960" i="617"/>
  <c r="B959" i="617"/>
  <c r="B958" i="617"/>
  <c r="B957" i="617"/>
  <c r="B956" i="617"/>
  <c r="B955" i="617"/>
  <c r="B954" i="617"/>
  <c r="B953" i="617"/>
  <c r="B952" i="617"/>
  <c r="B951" i="617"/>
  <c r="B950" i="617"/>
  <c r="B949" i="617"/>
  <c r="B948" i="617"/>
  <c r="B947" i="617"/>
  <c r="B946" i="617"/>
  <c r="B945" i="617"/>
  <c r="B944" i="617"/>
  <c r="B943" i="617"/>
  <c r="B942" i="617"/>
  <c r="B941" i="617"/>
  <c r="B940" i="617"/>
  <c r="B939" i="617"/>
  <c r="B938" i="617"/>
  <c r="B937" i="617"/>
  <c r="B936" i="617"/>
  <c r="B935" i="617"/>
  <c r="B934" i="617"/>
  <c r="B933" i="617"/>
  <c r="B932" i="617"/>
  <c r="B931" i="617"/>
  <c r="B930" i="617"/>
  <c r="B929" i="617"/>
  <c r="B928" i="617"/>
  <c r="B927" i="617"/>
  <c r="B926" i="617"/>
  <c r="B925" i="617"/>
  <c r="B924" i="617"/>
  <c r="B923" i="617"/>
  <c r="B922" i="617"/>
  <c r="B921" i="617"/>
  <c r="B920" i="617"/>
  <c r="B919" i="617"/>
  <c r="B918" i="617"/>
  <c r="B917" i="617"/>
  <c r="B916" i="617"/>
  <c r="B915" i="617"/>
  <c r="B914" i="617"/>
  <c r="B913" i="617"/>
  <c r="B912" i="617"/>
  <c r="B911" i="617"/>
  <c r="B910" i="617"/>
  <c r="B909" i="617"/>
  <c r="B908" i="617"/>
  <c r="B907" i="617"/>
  <c r="B906" i="617"/>
  <c r="B905" i="617"/>
  <c r="B904" i="617"/>
  <c r="B903" i="617"/>
  <c r="B902" i="617"/>
  <c r="B901" i="617"/>
  <c r="B900" i="617"/>
  <c r="B899" i="617"/>
  <c r="B898" i="617"/>
  <c r="B897" i="617"/>
  <c r="B896" i="617"/>
  <c r="B895" i="617"/>
  <c r="B894" i="617"/>
  <c r="B893" i="617"/>
  <c r="B892" i="617"/>
  <c r="B891" i="617"/>
  <c r="B890" i="617"/>
  <c r="B889" i="617"/>
  <c r="B888" i="617"/>
  <c r="B887" i="617"/>
  <c r="B886" i="617"/>
  <c r="B885" i="617"/>
  <c r="B884" i="617"/>
  <c r="B883" i="617"/>
  <c r="B882" i="617"/>
  <c r="B881" i="617"/>
  <c r="B880" i="617"/>
  <c r="B879" i="617"/>
  <c r="B878" i="617"/>
  <c r="B877" i="617"/>
  <c r="B876" i="617"/>
  <c r="B875" i="617"/>
  <c r="B874" i="617"/>
  <c r="B873" i="617"/>
  <c r="B872" i="617"/>
  <c r="B871" i="617"/>
  <c r="B870" i="617"/>
  <c r="B869" i="617"/>
  <c r="B868" i="617"/>
  <c r="B867" i="617"/>
  <c r="B866" i="617"/>
  <c r="B865" i="617"/>
  <c r="B864" i="617"/>
  <c r="B863" i="617"/>
  <c r="B862" i="617"/>
  <c r="B861" i="617"/>
  <c r="B860" i="617"/>
  <c r="B859" i="617"/>
  <c r="B858" i="617"/>
  <c r="B857" i="617"/>
  <c r="B856" i="617"/>
  <c r="B855" i="617"/>
  <c r="B854" i="617"/>
  <c r="B853" i="617"/>
  <c r="B852" i="617"/>
  <c r="B851" i="617"/>
  <c r="B850" i="617"/>
  <c r="B849" i="617"/>
  <c r="B848" i="617"/>
  <c r="B847" i="617"/>
  <c r="B846" i="617"/>
  <c r="B845" i="617"/>
  <c r="B844" i="617"/>
  <c r="B843" i="617"/>
  <c r="B842" i="617"/>
  <c r="B841" i="617"/>
  <c r="B840" i="617"/>
  <c r="B839" i="617"/>
  <c r="B838" i="617"/>
  <c r="B837" i="617"/>
  <c r="B836" i="617"/>
  <c r="B835" i="617"/>
  <c r="B834" i="617"/>
  <c r="B833" i="617"/>
  <c r="B832" i="617"/>
  <c r="B831" i="617"/>
  <c r="B830" i="617"/>
  <c r="B829" i="617"/>
  <c r="B828" i="617"/>
  <c r="B827" i="617"/>
  <c r="B826" i="617"/>
  <c r="B825" i="617"/>
  <c r="B824" i="617"/>
  <c r="B823" i="617"/>
  <c r="B822" i="617"/>
  <c r="B821" i="617"/>
  <c r="B820" i="617"/>
  <c r="B819" i="617"/>
  <c r="B818" i="617"/>
  <c r="B817" i="617"/>
  <c r="B816" i="617"/>
  <c r="B815" i="617"/>
  <c r="B814" i="617"/>
  <c r="B813" i="617"/>
  <c r="B812" i="617"/>
  <c r="B811" i="617"/>
  <c r="B810" i="617"/>
  <c r="B809" i="617"/>
  <c r="B808" i="617"/>
  <c r="B807" i="617"/>
  <c r="B806" i="617"/>
  <c r="B805" i="617"/>
  <c r="B804" i="617"/>
  <c r="B803" i="617"/>
  <c r="B802" i="617"/>
  <c r="B801" i="617"/>
  <c r="B800" i="617"/>
  <c r="B799" i="617"/>
  <c r="B798" i="617"/>
  <c r="B797" i="617"/>
  <c r="B796" i="617"/>
  <c r="B795" i="617"/>
  <c r="B794" i="617"/>
  <c r="B793" i="617"/>
  <c r="B792" i="617"/>
  <c r="B791" i="617"/>
  <c r="B790" i="617"/>
  <c r="B789" i="617"/>
  <c r="B788" i="617"/>
  <c r="B787" i="617"/>
  <c r="B786" i="617"/>
  <c r="B785" i="617"/>
  <c r="B784" i="617"/>
  <c r="B783" i="617"/>
  <c r="B782" i="617"/>
  <c r="B781" i="617"/>
  <c r="B780" i="617"/>
  <c r="B779" i="617"/>
  <c r="B778" i="617"/>
  <c r="B777" i="617"/>
  <c r="B776" i="617"/>
  <c r="B775" i="617"/>
  <c r="B774" i="617"/>
  <c r="B773" i="617"/>
  <c r="B772" i="617"/>
  <c r="B771" i="617"/>
  <c r="B770" i="617"/>
  <c r="B769" i="617"/>
  <c r="B768" i="617"/>
  <c r="B767" i="617"/>
  <c r="B766" i="617"/>
  <c r="B765" i="617"/>
  <c r="B764" i="617"/>
  <c r="B763" i="617"/>
  <c r="B762" i="617"/>
  <c r="B761" i="617"/>
  <c r="B760" i="617"/>
  <c r="B759" i="617"/>
  <c r="B758" i="617"/>
  <c r="B757" i="617"/>
  <c r="B756" i="617"/>
  <c r="B755" i="617"/>
  <c r="B754" i="617"/>
  <c r="B753" i="617"/>
  <c r="B752" i="617"/>
  <c r="B751" i="617"/>
  <c r="B750" i="617"/>
  <c r="B749" i="617"/>
  <c r="B748" i="617"/>
  <c r="B747" i="617"/>
  <c r="B746" i="617"/>
  <c r="B745" i="617"/>
  <c r="B744" i="617"/>
  <c r="B743" i="617"/>
  <c r="B742" i="617"/>
  <c r="B741" i="617"/>
  <c r="B740" i="617"/>
  <c r="B739" i="617"/>
  <c r="B738" i="617"/>
  <c r="B737" i="617"/>
  <c r="B736" i="617"/>
  <c r="B735" i="617"/>
  <c r="B734" i="617"/>
  <c r="B733" i="617"/>
  <c r="B732" i="617"/>
  <c r="B731" i="617"/>
  <c r="B730" i="617"/>
  <c r="B729" i="617"/>
  <c r="B728" i="617"/>
  <c r="B727" i="617"/>
  <c r="B726" i="617"/>
  <c r="B725" i="617"/>
  <c r="B724" i="617"/>
  <c r="B723" i="617"/>
  <c r="B722" i="617"/>
  <c r="B721" i="617"/>
  <c r="B720" i="617"/>
  <c r="B719" i="617"/>
  <c r="B718" i="617"/>
  <c r="B717" i="617"/>
  <c r="B716" i="617"/>
  <c r="B715" i="617"/>
  <c r="B714" i="617"/>
  <c r="B713" i="617"/>
  <c r="B712" i="617"/>
  <c r="B711" i="617"/>
  <c r="B710" i="617"/>
  <c r="B709" i="617"/>
  <c r="B708" i="617"/>
  <c r="B707" i="617"/>
  <c r="B706" i="617"/>
  <c r="B705" i="617"/>
  <c r="B704" i="617"/>
  <c r="B703" i="617"/>
  <c r="B702" i="617"/>
  <c r="B701" i="617"/>
  <c r="B700" i="617"/>
  <c r="B699" i="617"/>
  <c r="B698" i="617"/>
  <c r="B697" i="617"/>
  <c r="B696" i="617"/>
  <c r="B695" i="617"/>
  <c r="B694" i="617"/>
  <c r="B693" i="617"/>
  <c r="B692" i="617"/>
  <c r="B691" i="617"/>
  <c r="B690" i="617"/>
  <c r="B689" i="617"/>
  <c r="B688" i="617"/>
  <c r="B687" i="617"/>
  <c r="B686" i="617"/>
  <c r="B685" i="617"/>
  <c r="B684" i="617"/>
  <c r="B683" i="617"/>
  <c r="B682" i="617"/>
  <c r="B681" i="617"/>
  <c r="B680" i="617"/>
  <c r="B679" i="617"/>
  <c r="B678" i="617"/>
  <c r="B677" i="617"/>
  <c r="B676" i="617"/>
  <c r="B675" i="617"/>
  <c r="B674" i="617"/>
  <c r="B673" i="617"/>
  <c r="B672" i="617"/>
  <c r="B671" i="617"/>
  <c r="B670" i="617"/>
  <c r="B669" i="617"/>
  <c r="B668" i="617"/>
  <c r="B667" i="617"/>
  <c r="B666" i="617"/>
  <c r="B665" i="617"/>
  <c r="B664" i="617"/>
  <c r="B663" i="617"/>
  <c r="B662" i="617"/>
  <c r="B661" i="617"/>
  <c r="B660" i="617"/>
  <c r="B659" i="617"/>
  <c r="B658" i="617"/>
  <c r="B657" i="617"/>
  <c r="B656" i="617"/>
  <c r="B655" i="617"/>
  <c r="B654" i="617"/>
  <c r="B653" i="617"/>
  <c r="B652" i="617"/>
  <c r="B651" i="617"/>
  <c r="B650" i="617"/>
  <c r="B649" i="617"/>
  <c r="B648" i="617"/>
  <c r="B647" i="617"/>
  <c r="B646" i="617"/>
  <c r="B645" i="617"/>
  <c r="B644" i="617"/>
  <c r="B643" i="617"/>
  <c r="B642" i="617"/>
  <c r="B641" i="617"/>
  <c r="B640" i="617"/>
  <c r="B639" i="617"/>
  <c r="B638" i="617"/>
  <c r="B637" i="617"/>
  <c r="B636" i="617"/>
  <c r="B635" i="617"/>
  <c r="B634" i="617"/>
  <c r="B633" i="617"/>
  <c r="B632" i="617"/>
  <c r="B631" i="617"/>
  <c r="B630" i="617"/>
  <c r="B629" i="617"/>
  <c r="B628" i="617"/>
  <c r="B627" i="617"/>
  <c r="B626" i="617"/>
  <c r="B625" i="617"/>
  <c r="B624" i="617"/>
  <c r="B623" i="617"/>
  <c r="B622" i="617"/>
  <c r="B621" i="617"/>
  <c r="B620" i="617"/>
  <c r="B619" i="617"/>
  <c r="B618" i="617"/>
  <c r="B617" i="617"/>
  <c r="B616" i="617"/>
  <c r="B615" i="617"/>
  <c r="B614" i="617"/>
  <c r="B613" i="617"/>
  <c r="B612" i="617"/>
  <c r="B611" i="617"/>
  <c r="B610" i="617"/>
  <c r="B609" i="617"/>
  <c r="B608" i="617"/>
  <c r="B607" i="617"/>
  <c r="B606" i="617"/>
  <c r="B605" i="617"/>
  <c r="B604" i="617"/>
  <c r="B603" i="617"/>
  <c r="B602" i="617"/>
  <c r="B601" i="617"/>
  <c r="B600" i="617"/>
  <c r="B599" i="617"/>
  <c r="B598" i="617"/>
  <c r="B597" i="617"/>
  <c r="B596" i="617"/>
  <c r="B595" i="617"/>
  <c r="B594" i="617"/>
  <c r="B593" i="617"/>
  <c r="B592" i="617"/>
  <c r="B591" i="617"/>
  <c r="B590" i="617"/>
  <c r="B589" i="617"/>
  <c r="B588" i="617"/>
  <c r="B587" i="617"/>
  <c r="B586" i="617"/>
  <c r="B585" i="617"/>
  <c r="B584" i="617"/>
  <c r="B583" i="617"/>
  <c r="B582" i="617"/>
  <c r="B581" i="617"/>
  <c r="B580" i="617"/>
  <c r="B579" i="617"/>
  <c r="B578" i="617"/>
  <c r="B577" i="617"/>
  <c r="B576" i="617"/>
  <c r="B575" i="617"/>
  <c r="B574" i="617"/>
  <c r="B573" i="617"/>
  <c r="B572" i="617"/>
  <c r="B571" i="617"/>
  <c r="B570" i="617"/>
  <c r="B569" i="617"/>
  <c r="B568" i="617"/>
  <c r="B567" i="617"/>
  <c r="B566" i="617"/>
  <c r="B565" i="617"/>
  <c r="B564" i="617"/>
  <c r="B563" i="617"/>
  <c r="B562" i="617"/>
  <c r="B561" i="617"/>
  <c r="B560" i="617"/>
  <c r="B559" i="617"/>
  <c r="B558" i="617"/>
  <c r="B557" i="617"/>
  <c r="B556" i="617"/>
  <c r="B555" i="617"/>
  <c r="B554" i="617"/>
  <c r="B553" i="617"/>
  <c r="B552" i="617"/>
  <c r="B551" i="617"/>
  <c r="B550" i="617"/>
  <c r="B549" i="617"/>
  <c r="B548" i="617"/>
  <c r="B547" i="617"/>
  <c r="B546" i="617"/>
  <c r="B545" i="617"/>
  <c r="B544" i="617"/>
  <c r="B543" i="617"/>
  <c r="B542" i="617"/>
  <c r="B541" i="617"/>
  <c r="B540" i="617"/>
  <c r="B539" i="617"/>
  <c r="B538" i="617"/>
  <c r="B537" i="617"/>
  <c r="B536" i="617"/>
  <c r="B535" i="617"/>
  <c r="B534" i="617"/>
  <c r="B533" i="617"/>
  <c r="B532" i="617"/>
  <c r="B531" i="617"/>
  <c r="B530" i="617"/>
  <c r="B529" i="617"/>
  <c r="B528" i="617"/>
  <c r="B527" i="617"/>
  <c r="B526" i="617"/>
  <c r="B525" i="617"/>
  <c r="B524" i="617"/>
  <c r="B523" i="617"/>
  <c r="B522" i="617"/>
  <c r="B521" i="617"/>
  <c r="B520" i="617"/>
  <c r="B519" i="617"/>
  <c r="B518" i="617"/>
  <c r="B517" i="617"/>
  <c r="B516" i="617"/>
  <c r="B515" i="617"/>
  <c r="B514" i="617"/>
  <c r="B513" i="617"/>
  <c r="B512" i="617"/>
  <c r="B511" i="617"/>
  <c r="B510" i="617"/>
  <c r="B509" i="617"/>
  <c r="B508" i="617"/>
  <c r="B507" i="617"/>
  <c r="B506" i="617"/>
  <c r="B505" i="617"/>
  <c r="B504" i="617"/>
  <c r="B503" i="617"/>
  <c r="B502" i="617"/>
  <c r="B501" i="617"/>
  <c r="B500" i="617"/>
  <c r="B499" i="617"/>
  <c r="B498" i="617"/>
  <c r="B497" i="617"/>
  <c r="B496" i="617"/>
  <c r="B495" i="617"/>
  <c r="B494" i="617"/>
  <c r="B493" i="617"/>
  <c r="B492" i="617"/>
  <c r="B491" i="617"/>
  <c r="B490" i="617"/>
  <c r="B489" i="617"/>
  <c r="B488" i="617"/>
  <c r="B487" i="617"/>
  <c r="B486" i="617"/>
  <c r="B485" i="617"/>
  <c r="B484" i="617"/>
  <c r="B483" i="617"/>
  <c r="B482" i="617"/>
  <c r="B481" i="617"/>
  <c r="B480" i="617"/>
  <c r="B479" i="617"/>
  <c r="B478" i="617"/>
  <c r="B477" i="617"/>
  <c r="B476" i="617"/>
  <c r="B475" i="617"/>
  <c r="B474" i="617"/>
  <c r="B473" i="617"/>
  <c r="B472" i="617"/>
  <c r="B471" i="617"/>
  <c r="B470" i="617"/>
  <c r="B469" i="617"/>
  <c r="B468" i="617"/>
  <c r="B467" i="617"/>
  <c r="B466" i="617"/>
  <c r="B465" i="617"/>
  <c r="B464" i="617"/>
  <c r="B463" i="617"/>
  <c r="B462" i="617"/>
  <c r="B461" i="617"/>
  <c r="B460" i="617"/>
  <c r="B459" i="617"/>
  <c r="B458" i="617"/>
  <c r="B457" i="617"/>
  <c r="B456" i="617"/>
  <c r="B455" i="617"/>
  <c r="B454" i="617"/>
  <c r="B453" i="617"/>
  <c r="B452" i="617"/>
  <c r="B451" i="617"/>
  <c r="B450" i="617"/>
  <c r="B449" i="617"/>
  <c r="B448" i="617"/>
  <c r="B447" i="617"/>
  <c r="B446" i="617"/>
  <c r="B445" i="617"/>
  <c r="B444" i="617"/>
  <c r="B443" i="617"/>
  <c r="B442" i="617"/>
  <c r="B441" i="617"/>
  <c r="B440" i="617"/>
  <c r="B439" i="617"/>
  <c r="B438" i="617"/>
  <c r="B437" i="617"/>
  <c r="B436" i="617"/>
  <c r="B435" i="617"/>
  <c r="B434" i="617"/>
  <c r="B433" i="617"/>
  <c r="B432" i="617"/>
  <c r="B431" i="617"/>
  <c r="B430" i="617"/>
  <c r="B429" i="617"/>
  <c r="B428" i="617"/>
  <c r="B427" i="617"/>
  <c r="B426" i="617"/>
  <c r="B425" i="617"/>
  <c r="B424" i="617"/>
  <c r="B423" i="617"/>
  <c r="B422" i="617"/>
  <c r="B421" i="617"/>
  <c r="B420" i="617"/>
  <c r="B419" i="617"/>
  <c r="B418" i="617"/>
  <c r="B417" i="617"/>
  <c r="B416" i="617"/>
  <c r="B415" i="617"/>
  <c r="B414" i="617"/>
  <c r="B413" i="617"/>
  <c r="B412" i="617"/>
  <c r="B411" i="617"/>
  <c r="B410" i="617"/>
  <c r="B409" i="617"/>
  <c r="B408" i="617"/>
  <c r="B407" i="617"/>
  <c r="B406" i="617"/>
  <c r="B405" i="617"/>
  <c r="B404" i="617"/>
  <c r="B403" i="617"/>
  <c r="B402" i="617"/>
  <c r="B401" i="617"/>
  <c r="B400" i="617"/>
  <c r="B399" i="617"/>
  <c r="B398" i="617"/>
  <c r="B397" i="617"/>
  <c r="B396" i="617"/>
  <c r="B395" i="617"/>
  <c r="B394" i="617"/>
  <c r="B393" i="617"/>
  <c r="B392" i="617"/>
  <c r="B391" i="617"/>
  <c r="B390" i="617"/>
  <c r="B389" i="617"/>
  <c r="B388" i="617"/>
  <c r="B387" i="617"/>
  <c r="B386" i="617"/>
  <c r="B385" i="617"/>
  <c r="B384" i="617"/>
  <c r="B383" i="617"/>
  <c r="B382" i="617"/>
  <c r="B381" i="617"/>
  <c r="B380" i="617"/>
  <c r="B379" i="617"/>
  <c r="B378" i="617"/>
  <c r="B377" i="617"/>
  <c r="B376" i="617"/>
  <c r="B375" i="617"/>
  <c r="B374" i="617"/>
  <c r="B373" i="617"/>
  <c r="B372" i="617"/>
  <c r="B371" i="617"/>
  <c r="B370" i="617"/>
  <c r="B369" i="617"/>
  <c r="B368" i="617"/>
  <c r="B367" i="617"/>
  <c r="B366" i="617"/>
  <c r="B365" i="617"/>
  <c r="B364" i="617"/>
  <c r="B363" i="617"/>
  <c r="B362" i="617"/>
  <c r="B361" i="617"/>
  <c r="B360" i="617"/>
  <c r="B359" i="617"/>
  <c r="B358" i="617"/>
  <c r="B357" i="617"/>
  <c r="B356" i="617"/>
  <c r="B355" i="617"/>
  <c r="B354" i="617"/>
  <c r="B353" i="617"/>
  <c r="B352" i="617"/>
  <c r="B351" i="617"/>
  <c r="B350" i="617"/>
  <c r="B349" i="617"/>
  <c r="B348" i="617"/>
  <c r="B347" i="617"/>
  <c r="B346" i="617"/>
  <c r="B345" i="617"/>
  <c r="B344" i="617"/>
  <c r="B343" i="617"/>
  <c r="B342" i="617"/>
  <c r="B341" i="617"/>
  <c r="B340" i="617"/>
  <c r="B339" i="617"/>
  <c r="B338" i="617"/>
  <c r="B337" i="617"/>
  <c r="B336" i="617"/>
  <c r="B335" i="617"/>
  <c r="B334" i="617"/>
  <c r="B333" i="617"/>
  <c r="B332" i="617"/>
  <c r="B331" i="617"/>
  <c r="B330" i="617"/>
  <c r="B329" i="617"/>
  <c r="B328" i="617"/>
  <c r="B327" i="617"/>
  <c r="B326" i="617"/>
  <c r="B325" i="617"/>
  <c r="B324" i="617"/>
  <c r="B323" i="617"/>
  <c r="B322" i="617"/>
  <c r="B321" i="617"/>
  <c r="B320" i="617"/>
  <c r="B319" i="617"/>
  <c r="B318" i="617"/>
  <c r="B317" i="617"/>
  <c r="B316" i="617"/>
  <c r="B315" i="617"/>
  <c r="B314" i="617"/>
  <c r="B313" i="617"/>
  <c r="B312" i="617"/>
  <c r="B311" i="617"/>
  <c r="B310" i="617"/>
  <c r="B309" i="617"/>
  <c r="B308" i="617"/>
  <c r="B307" i="617"/>
  <c r="B306" i="617"/>
  <c r="B305" i="617"/>
  <c r="B304" i="617"/>
  <c r="B303" i="617"/>
  <c r="B302" i="617"/>
  <c r="B301" i="617"/>
  <c r="B300" i="617"/>
  <c r="B299" i="617"/>
  <c r="B298" i="617"/>
  <c r="B297" i="617"/>
  <c r="B296" i="617"/>
  <c r="B295" i="617"/>
  <c r="B294" i="617"/>
  <c r="B293" i="617"/>
  <c r="B292" i="617"/>
  <c r="B291" i="617"/>
  <c r="B290" i="617"/>
  <c r="B289" i="617"/>
  <c r="B288" i="617"/>
  <c r="B287" i="617"/>
  <c r="B286" i="617"/>
  <c r="B285" i="617"/>
  <c r="B284" i="617"/>
  <c r="B283" i="617"/>
  <c r="B282" i="617"/>
  <c r="B281" i="617"/>
  <c r="B280" i="617"/>
  <c r="B279" i="617"/>
  <c r="B278" i="617"/>
  <c r="B277" i="617"/>
  <c r="B276" i="617"/>
  <c r="B275" i="617"/>
  <c r="B274" i="617"/>
  <c r="B273" i="617"/>
  <c r="B272" i="617"/>
  <c r="B271" i="617"/>
  <c r="B270" i="617"/>
  <c r="B269" i="617"/>
  <c r="B268" i="617"/>
  <c r="B267" i="617"/>
  <c r="B266" i="617"/>
  <c r="B265" i="617"/>
  <c r="B264" i="617"/>
  <c r="B263" i="617"/>
  <c r="B262" i="617"/>
  <c r="B261" i="617"/>
  <c r="B260" i="617"/>
  <c r="B259" i="617"/>
  <c r="B258" i="617"/>
  <c r="B257" i="617"/>
  <c r="B256" i="617"/>
  <c r="B255" i="617"/>
  <c r="B254" i="617"/>
  <c r="B253" i="617"/>
  <c r="B252" i="617"/>
  <c r="B251" i="617"/>
  <c r="B250" i="617"/>
  <c r="B249" i="617"/>
  <c r="B248" i="617"/>
  <c r="B247" i="617"/>
  <c r="B246" i="617"/>
  <c r="B245" i="617"/>
  <c r="B244" i="617"/>
  <c r="B243" i="617"/>
  <c r="B242" i="617"/>
  <c r="B241" i="617"/>
  <c r="B240" i="617"/>
  <c r="B239" i="617"/>
  <c r="B238" i="617"/>
  <c r="B237" i="617"/>
  <c r="B236" i="617"/>
  <c r="B235" i="617"/>
  <c r="B234" i="617"/>
  <c r="B233" i="617"/>
  <c r="B232" i="617"/>
  <c r="B231" i="617"/>
  <c r="B230" i="617"/>
  <c r="B229" i="617"/>
  <c r="B228" i="617"/>
  <c r="B227" i="617"/>
  <c r="B226" i="617"/>
  <c r="B225" i="617"/>
  <c r="B224" i="617"/>
  <c r="B223" i="617"/>
  <c r="B222" i="617"/>
  <c r="B221" i="617"/>
  <c r="B220" i="617"/>
  <c r="B219" i="617"/>
  <c r="B218" i="617"/>
  <c r="B217" i="617"/>
  <c r="B216" i="617"/>
  <c r="B215" i="617"/>
  <c r="B214" i="617"/>
  <c r="B213" i="617"/>
  <c r="B212" i="617"/>
  <c r="B211" i="617"/>
  <c r="B210" i="617"/>
  <c r="B209" i="617"/>
  <c r="B208" i="617"/>
  <c r="B207" i="617"/>
  <c r="B206" i="617"/>
  <c r="B205" i="617"/>
  <c r="B204" i="617"/>
  <c r="B203" i="617"/>
  <c r="B202" i="617"/>
  <c r="B201" i="617"/>
  <c r="B200" i="617"/>
  <c r="B199" i="617"/>
  <c r="B198" i="617"/>
  <c r="B197" i="617"/>
  <c r="B196" i="617"/>
  <c r="B195" i="617"/>
  <c r="B194" i="617"/>
  <c r="B193" i="617"/>
  <c r="B192" i="617"/>
  <c r="B191" i="617"/>
  <c r="B190" i="617"/>
  <c r="B189" i="617"/>
  <c r="B188" i="617"/>
  <c r="B187" i="617"/>
  <c r="B186" i="617"/>
  <c r="B185" i="617"/>
  <c r="B184" i="617"/>
  <c r="B183" i="617"/>
  <c r="B182" i="617"/>
  <c r="B181" i="617"/>
  <c r="B180" i="617"/>
  <c r="B179" i="617"/>
  <c r="B178" i="617"/>
  <c r="B177" i="617"/>
  <c r="B176" i="617"/>
  <c r="B175" i="617"/>
  <c r="B174" i="617"/>
  <c r="B173" i="617"/>
  <c r="B172" i="617"/>
  <c r="B171" i="617"/>
  <c r="B170" i="617"/>
  <c r="B169" i="617"/>
  <c r="B168" i="617"/>
  <c r="B167" i="617"/>
  <c r="B166" i="617"/>
  <c r="B165" i="617"/>
  <c r="B164" i="617"/>
  <c r="B163" i="617"/>
  <c r="B162" i="617"/>
  <c r="B161" i="617"/>
  <c r="B160" i="617"/>
  <c r="B159" i="617"/>
  <c r="B158" i="617"/>
  <c r="B157" i="617"/>
  <c r="B156" i="617"/>
  <c r="B155" i="617"/>
  <c r="B154" i="617"/>
  <c r="B153" i="617"/>
  <c r="B152" i="617"/>
  <c r="B151" i="617"/>
  <c r="B150" i="617"/>
  <c r="B149" i="617"/>
  <c r="B148" i="617"/>
  <c r="B147" i="617"/>
  <c r="B146" i="617"/>
  <c r="B145" i="617"/>
  <c r="B144" i="617"/>
  <c r="B143" i="617"/>
  <c r="B142" i="617"/>
  <c r="B141" i="617"/>
  <c r="B140" i="617"/>
  <c r="B139" i="617"/>
  <c r="B138" i="617"/>
  <c r="B137" i="617"/>
  <c r="B136" i="617"/>
  <c r="B135" i="617"/>
  <c r="B134" i="617"/>
  <c r="B133" i="617"/>
  <c r="B132" i="617"/>
  <c r="B131" i="617"/>
  <c r="B130" i="617"/>
  <c r="B129" i="617"/>
  <c r="B128" i="617"/>
  <c r="B127" i="617"/>
  <c r="B126" i="617"/>
  <c r="B125" i="617"/>
  <c r="B124" i="617"/>
  <c r="B123" i="617"/>
  <c r="B122" i="617"/>
  <c r="B121" i="617"/>
  <c r="B120" i="617"/>
  <c r="B119" i="617"/>
  <c r="B118" i="617"/>
  <c r="B117" i="617"/>
  <c r="B116" i="617"/>
  <c r="B115" i="617"/>
  <c r="B114" i="617"/>
  <c r="B113" i="617"/>
  <c r="B112" i="617"/>
  <c r="B111" i="617"/>
  <c r="B110" i="617"/>
  <c r="B109" i="617"/>
  <c r="B108" i="617"/>
  <c r="B107" i="617"/>
  <c r="B106" i="617"/>
  <c r="B105" i="617"/>
  <c r="B104" i="617"/>
  <c r="B103" i="617"/>
  <c r="B102" i="617"/>
  <c r="B101" i="617"/>
  <c r="B100" i="617"/>
  <c r="B99" i="617"/>
  <c r="B98" i="617"/>
  <c r="B97" i="617"/>
  <c r="B96" i="617"/>
  <c r="B95" i="617"/>
  <c r="B94" i="617"/>
  <c r="B93" i="617"/>
  <c r="B92" i="617"/>
  <c r="B91" i="617"/>
  <c r="B90" i="617"/>
  <c r="B89" i="617"/>
  <c r="B88" i="617"/>
  <c r="B87" i="617"/>
  <c r="B86" i="617"/>
  <c r="B85" i="617"/>
  <c r="B84" i="617"/>
  <c r="B83" i="617"/>
  <c r="B82" i="617"/>
  <c r="B81" i="617"/>
  <c r="B80" i="617"/>
  <c r="B79" i="617"/>
  <c r="B78" i="617"/>
  <c r="B77" i="617"/>
  <c r="B76" i="617"/>
  <c r="B75" i="617"/>
  <c r="B74" i="617"/>
  <c r="B73" i="617"/>
  <c r="B72" i="617"/>
  <c r="B71" i="617"/>
  <c r="B70" i="617"/>
  <c r="B69" i="617"/>
  <c r="B68" i="617"/>
  <c r="B67" i="617"/>
  <c r="B66" i="617"/>
  <c r="B65" i="617"/>
  <c r="B64" i="617"/>
  <c r="B63" i="617"/>
  <c r="B62" i="617"/>
  <c r="B61" i="617"/>
  <c r="B60" i="617"/>
  <c r="B59" i="617"/>
  <c r="B58" i="617"/>
  <c r="B57" i="617"/>
  <c r="B56" i="617"/>
  <c r="B55" i="617"/>
  <c r="B54" i="617"/>
  <c r="B53" i="617"/>
  <c r="B52" i="617"/>
  <c r="B51" i="617"/>
  <c r="B50" i="617"/>
  <c r="B49" i="617"/>
  <c r="B48" i="617"/>
  <c r="B47" i="617"/>
  <c r="B46" i="617"/>
  <c r="B45" i="617"/>
  <c r="B44" i="617"/>
  <c r="B43" i="617"/>
  <c r="B42" i="617"/>
  <c r="B41" i="617"/>
  <c r="B40" i="617"/>
  <c r="B39" i="617"/>
  <c r="B38" i="617"/>
  <c r="B37" i="617"/>
  <c r="B36" i="617"/>
  <c r="B35" i="617"/>
  <c r="B34" i="617"/>
  <c r="B33" i="617"/>
  <c r="B32" i="617"/>
  <c r="B31" i="617"/>
  <c r="B30" i="617"/>
  <c r="B29" i="617"/>
  <c r="B28" i="617"/>
  <c r="B27" i="617"/>
  <c r="B26" i="617"/>
  <c r="B25" i="617"/>
  <c r="B24" i="617"/>
  <c r="B23" i="617"/>
  <c r="B22" i="617"/>
  <c r="B21" i="617"/>
  <c r="B20" i="617"/>
  <c r="B19" i="617"/>
  <c r="B18" i="617"/>
  <c r="B17" i="617"/>
  <c r="B16" i="617"/>
  <c r="B15" i="617"/>
  <c r="B14" i="617"/>
  <c r="B13" i="617"/>
  <c r="B12" i="617"/>
  <c r="B11" i="617"/>
  <c r="B10" i="617"/>
  <c r="B9" i="617"/>
  <c r="B8" i="617"/>
  <c r="B7" i="617"/>
  <c r="B6" i="617"/>
  <c r="B5" i="617"/>
  <c r="B4" i="617"/>
  <c r="B3" i="617"/>
  <c r="B2" i="617"/>
  <c r="N1022" i="617"/>
  <c r="F1021" i="617"/>
  <c r="G1021" i="617" s="1"/>
  <c r="F1020" i="617"/>
  <c r="G1020" i="617" s="1"/>
  <c r="F1019" i="617"/>
  <c r="G1019" i="617" s="1"/>
  <c r="F1018" i="617"/>
  <c r="G1018" i="617" s="1"/>
  <c r="F1017" i="617"/>
  <c r="G1017" i="617" s="1"/>
  <c r="F1016" i="617"/>
  <c r="G1016" i="617" s="1"/>
  <c r="F1015" i="617"/>
  <c r="G1015" i="617" s="1"/>
  <c r="F1014" i="617"/>
  <c r="G1014" i="617" s="1"/>
  <c r="F1013" i="617"/>
  <c r="G1013" i="617" s="1"/>
  <c r="F1012" i="617"/>
  <c r="G1012" i="617" s="1"/>
  <c r="F1011" i="617"/>
  <c r="G1011" i="617" s="1"/>
  <c r="F1010" i="617"/>
  <c r="G1010" i="617" s="1"/>
  <c r="F1009" i="617"/>
  <c r="G1009" i="617" s="1"/>
  <c r="F1008" i="617"/>
  <c r="G1008" i="617" s="1"/>
  <c r="F1007" i="617"/>
  <c r="G1007" i="617" s="1"/>
  <c r="F1006" i="617"/>
  <c r="G1006" i="617" s="1"/>
  <c r="F1005" i="617"/>
  <c r="G1005" i="617" s="1"/>
  <c r="F1004" i="617"/>
  <c r="G1004" i="617" s="1"/>
  <c r="F1003" i="617"/>
  <c r="G1003" i="617" s="1"/>
  <c r="F1002" i="617"/>
  <c r="G1002" i="617" s="1"/>
  <c r="F1001" i="617"/>
  <c r="G1001" i="617" s="1"/>
  <c r="F1000" i="617"/>
  <c r="G1000" i="617" s="1"/>
  <c r="F999" i="617"/>
  <c r="G999" i="617" s="1"/>
  <c r="F998" i="617"/>
  <c r="G998" i="617" s="1"/>
  <c r="F997" i="617"/>
  <c r="G997" i="617" s="1"/>
  <c r="F996" i="617"/>
  <c r="G996" i="617" s="1"/>
  <c r="F995" i="617"/>
  <c r="G995" i="617" s="1"/>
  <c r="F994" i="617"/>
  <c r="G994" i="617" s="1"/>
  <c r="F993" i="617"/>
  <c r="G993" i="617" s="1"/>
  <c r="F992" i="617"/>
  <c r="G992" i="617" s="1"/>
  <c r="F991" i="617"/>
  <c r="G991" i="617" s="1"/>
  <c r="F990" i="617"/>
  <c r="G990" i="617" s="1"/>
  <c r="F989" i="617"/>
  <c r="G989" i="617" s="1"/>
  <c r="F988" i="617"/>
  <c r="G988" i="617" s="1"/>
  <c r="F987" i="617"/>
  <c r="G987" i="617" s="1"/>
  <c r="F986" i="617"/>
  <c r="G986" i="617" s="1"/>
  <c r="F985" i="617"/>
  <c r="G985" i="617" s="1"/>
  <c r="F984" i="617"/>
  <c r="G984" i="617" s="1"/>
  <c r="F983" i="617"/>
  <c r="G983" i="617" s="1"/>
  <c r="F982" i="617"/>
  <c r="G982" i="617" s="1"/>
  <c r="F981" i="617"/>
  <c r="G981" i="617" s="1"/>
  <c r="F980" i="617"/>
  <c r="G980" i="617" s="1"/>
  <c r="F979" i="617"/>
  <c r="G979" i="617" s="1"/>
  <c r="F978" i="617"/>
  <c r="G978" i="617" s="1"/>
  <c r="F977" i="617"/>
  <c r="G977" i="617" s="1"/>
  <c r="F976" i="617"/>
  <c r="G976" i="617" s="1"/>
  <c r="F975" i="617"/>
  <c r="G975" i="617" s="1"/>
  <c r="F974" i="617"/>
  <c r="G974" i="617" s="1"/>
  <c r="F973" i="617"/>
  <c r="G973" i="617" s="1"/>
  <c r="F972" i="617"/>
  <c r="G972" i="617" s="1"/>
  <c r="F971" i="617"/>
  <c r="G971" i="617" s="1"/>
  <c r="F970" i="617"/>
  <c r="G970" i="617" s="1"/>
  <c r="F969" i="617"/>
  <c r="G969" i="617" s="1"/>
  <c r="F968" i="617"/>
  <c r="G968" i="617" s="1"/>
  <c r="F967" i="617"/>
  <c r="G967" i="617" s="1"/>
  <c r="F966" i="617"/>
  <c r="G966" i="617" s="1"/>
  <c r="F965" i="617"/>
  <c r="G965" i="617" s="1"/>
  <c r="F964" i="617"/>
  <c r="G964" i="617" s="1"/>
  <c r="F963" i="617"/>
  <c r="G963" i="617" s="1"/>
  <c r="F962" i="617"/>
  <c r="G962" i="617" s="1"/>
  <c r="F961" i="617"/>
  <c r="G961" i="617" s="1"/>
  <c r="F960" i="617"/>
  <c r="G960" i="617" s="1"/>
  <c r="F959" i="617"/>
  <c r="G959" i="617" s="1"/>
  <c r="F958" i="617"/>
  <c r="G958" i="617" s="1"/>
  <c r="F957" i="617"/>
  <c r="G957" i="617" s="1"/>
  <c r="F956" i="617"/>
  <c r="G956" i="617" s="1"/>
  <c r="F955" i="617"/>
  <c r="G955" i="617" s="1"/>
  <c r="F954" i="617"/>
  <c r="G954" i="617" s="1"/>
  <c r="F953" i="617"/>
  <c r="G953" i="617" s="1"/>
  <c r="F952" i="617"/>
  <c r="G952" i="617" s="1"/>
  <c r="F951" i="617"/>
  <c r="G951" i="617" s="1"/>
  <c r="F950" i="617"/>
  <c r="G950" i="617" s="1"/>
  <c r="F949" i="617"/>
  <c r="G949" i="617" s="1"/>
  <c r="F948" i="617"/>
  <c r="G948" i="617" s="1"/>
  <c r="F947" i="617"/>
  <c r="G947" i="617" s="1"/>
  <c r="F946" i="617"/>
  <c r="G946" i="617" s="1"/>
  <c r="F945" i="617"/>
  <c r="G945" i="617" s="1"/>
  <c r="F944" i="617"/>
  <c r="G944" i="617" s="1"/>
  <c r="F943" i="617"/>
  <c r="G943" i="617" s="1"/>
  <c r="F942" i="617"/>
  <c r="G942" i="617" s="1"/>
  <c r="F941" i="617"/>
  <c r="G941" i="617" s="1"/>
  <c r="F940" i="617"/>
  <c r="G940" i="617" s="1"/>
  <c r="F939" i="617"/>
  <c r="G939" i="617" s="1"/>
  <c r="F938" i="617"/>
  <c r="G938" i="617" s="1"/>
  <c r="F937" i="617"/>
  <c r="G937" i="617" s="1"/>
  <c r="F936" i="617"/>
  <c r="G936" i="617" s="1"/>
  <c r="F935" i="617"/>
  <c r="G935" i="617" s="1"/>
  <c r="F934" i="617"/>
  <c r="G934" i="617" s="1"/>
  <c r="F933" i="617"/>
  <c r="G933" i="617" s="1"/>
  <c r="F932" i="617"/>
  <c r="G932" i="617" s="1"/>
  <c r="F931" i="617"/>
  <c r="G931" i="617" s="1"/>
  <c r="F930" i="617"/>
  <c r="G930" i="617" s="1"/>
  <c r="F929" i="617"/>
  <c r="G929" i="617" s="1"/>
  <c r="F928" i="617"/>
  <c r="G928" i="617" s="1"/>
  <c r="F927" i="617"/>
  <c r="G927" i="617" s="1"/>
  <c r="F926" i="617"/>
  <c r="G926" i="617" s="1"/>
  <c r="F925" i="617"/>
  <c r="G925" i="617" s="1"/>
  <c r="F924" i="617"/>
  <c r="G924" i="617" s="1"/>
  <c r="F923" i="617"/>
  <c r="G923" i="617" s="1"/>
  <c r="F922" i="617"/>
  <c r="G922" i="617" s="1"/>
  <c r="F921" i="617"/>
  <c r="G921" i="617" s="1"/>
  <c r="F920" i="617"/>
  <c r="G920" i="617" s="1"/>
  <c r="F919" i="617"/>
  <c r="G919" i="617" s="1"/>
  <c r="F918" i="617"/>
  <c r="G918" i="617" s="1"/>
  <c r="O917" i="617"/>
  <c r="F917" i="617"/>
  <c r="G917" i="617" s="1"/>
  <c r="O916" i="617"/>
  <c r="F916" i="617"/>
  <c r="G916" i="617" s="1"/>
  <c r="O915" i="617"/>
  <c r="F915" i="617"/>
  <c r="G915" i="617" s="1"/>
  <c r="O914" i="617"/>
  <c r="F914" i="617"/>
  <c r="G914" i="617" s="1"/>
  <c r="O913" i="617"/>
  <c r="F913" i="617"/>
  <c r="G913" i="617" s="1"/>
  <c r="O912" i="617"/>
  <c r="F912" i="617"/>
  <c r="G912" i="617" s="1"/>
  <c r="O911" i="617"/>
  <c r="F911" i="617"/>
  <c r="G911" i="617" s="1"/>
  <c r="O910" i="617"/>
  <c r="F910" i="617"/>
  <c r="G910" i="617" s="1"/>
  <c r="O909" i="617"/>
  <c r="F909" i="617"/>
  <c r="G909" i="617" s="1"/>
  <c r="O908" i="617"/>
  <c r="F908" i="617"/>
  <c r="G908" i="617" s="1"/>
  <c r="O907" i="617"/>
  <c r="F907" i="617"/>
  <c r="G907" i="617" s="1"/>
  <c r="O906" i="617"/>
  <c r="F906" i="617"/>
  <c r="G906" i="617" s="1"/>
  <c r="O905" i="617"/>
  <c r="F905" i="617"/>
  <c r="G905" i="617" s="1"/>
  <c r="O904" i="617"/>
  <c r="F904" i="617"/>
  <c r="G904" i="617" s="1"/>
  <c r="O903" i="617"/>
  <c r="F903" i="617"/>
  <c r="G903" i="617" s="1"/>
  <c r="O902" i="617"/>
  <c r="F902" i="617"/>
  <c r="G902" i="617" s="1"/>
  <c r="O901" i="617"/>
  <c r="F901" i="617"/>
  <c r="G901" i="617" s="1"/>
  <c r="O900" i="617"/>
  <c r="F900" i="617"/>
  <c r="G900" i="617" s="1"/>
  <c r="O899" i="617"/>
  <c r="F899" i="617"/>
  <c r="G899" i="617" s="1"/>
  <c r="O898" i="617"/>
  <c r="F898" i="617"/>
  <c r="G898" i="617" s="1"/>
  <c r="O897" i="617"/>
  <c r="F897" i="617"/>
  <c r="G897" i="617" s="1"/>
  <c r="O896" i="617"/>
  <c r="F896" i="617"/>
  <c r="G896" i="617" s="1"/>
  <c r="O895" i="617"/>
  <c r="F895" i="617"/>
  <c r="G895" i="617" s="1"/>
  <c r="O894" i="617"/>
  <c r="F894" i="617"/>
  <c r="G894" i="617" s="1"/>
  <c r="O893" i="617"/>
  <c r="F893" i="617"/>
  <c r="G893" i="617" s="1"/>
  <c r="O892" i="617"/>
  <c r="F892" i="617"/>
  <c r="G892" i="617" s="1"/>
  <c r="O891" i="617"/>
  <c r="F891" i="617"/>
  <c r="G891" i="617" s="1"/>
  <c r="O890" i="617"/>
  <c r="F890" i="617"/>
  <c r="G890" i="617" s="1"/>
  <c r="O889" i="617"/>
  <c r="F889" i="617"/>
  <c r="G889" i="617" s="1"/>
  <c r="O888" i="617"/>
  <c r="F888" i="617"/>
  <c r="G888" i="617" s="1"/>
  <c r="O887" i="617"/>
  <c r="F887" i="617"/>
  <c r="G887" i="617" s="1"/>
  <c r="O886" i="617"/>
  <c r="F886" i="617"/>
  <c r="G886" i="617" s="1"/>
  <c r="O885" i="617"/>
  <c r="F885" i="617"/>
  <c r="G885" i="617" s="1"/>
  <c r="O884" i="617"/>
  <c r="F884" i="617"/>
  <c r="G884" i="617" s="1"/>
  <c r="O883" i="617"/>
  <c r="F883" i="617"/>
  <c r="G883" i="617" s="1"/>
  <c r="O882" i="617"/>
  <c r="F882" i="617"/>
  <c r="G882" i="617" s="1"/>
  <c r="O881" i="617"/>
  <c r="F881" i="617"/>
  <c r="G881" i="617" s="1"/>
  <c r="O880" i="617"/>
  <c r="F880" i="617"/>
  <c r="G880" i="617" s="1"/>
  <c r="O879" i="617"/>
  <c r="F879" i="617"/>
  <c r="G879" i="617" s="1"/>
  <c r="O878" i="617"/>
  <c r="F878" i="617"/>
  <c r="G878" i="617" s="1"/>
  <c r="O877" i="617"/>
  <c r="F877" i="617"/>
  <c r="G877" i="617" s="1"/>
  <c r="O876" i="617"/>
  <c r="F876" i="617"/>
  <c r="G876" i="617" s="1"/>
  <c r="O875" i="617"/>
  <c r="F875" i="617"/>
  <c r="G875" i="617" s="1"/>
  <c r="O874" i="617"/>
  <c r="F874" i="617"/>
  <c r="G874" i="617" s="1"/>
  <c r="O873" i="617"/>
  <c r="F873" i="617"/>
  <c r="G873" i="617" s="1"/>
  <c r="O872" i="617"/>
  <c r="F872" i="617"/>
  <c r="G872" i="617" s="1"/>
  <c r="O871" i="617"/>
  <c r="F871" i="617"/>
  <c r="G871" i="617" s="1"/>
  <c r="O870" i="617"/>
  <c r="F870" i="617"/>
  <c r="G870" i="617" s="1"/>
  <c r="O869" i="617"/>
  <c r="F869" i="617"/>
  <c r="G869" i="617" s="1"/>
  <c r="O868" i="617"/>
  <c r="F868" i="617"/>
  <c r="G868" i="617" s="1"/>
  <c r="O867" i="617"/>
  <c r="F867" i="617"/>
  <c r="G867" i="617" s="1"/>
  <c r="O866" i="617"/>
  <c r="F866" i="617"/>
  <c r="G866" i="617" s="1"/>
  <c r="O865" i="617"/>
  <c r="F865" i="617"/>
  <c r="G865" i="617" s="1"/>
  <c r="O864" i="617"/>
  <c r="F864" i="617"/>
  <c r="G864" i="617" s="1"/>
  <c r="O863" i="617"/>
  <c r="F863" i="617"/>
  <c r="G863" i="617" s="1"/>
  <c r="O862" i="617"/>
  <c r="F862" i="617"/>
  <c r="G862" i="617" s="1"/>
  <c r="O861" i="617"/>
  <c r="F861" i="617"/>
  <c r="G861" i="617" s="1"/>
  <c r="O860" i="617"/>
  <c r="F860" i="617"/>
  <c r="G860" i="617" s="1"/>
  <c r="O859" i="617"/>
  <c r="F859" i="617"/>
  <c r="G859" i="617" s="1"/>
  <c r="O858" i="617"/>
  <c r="F858" i="617"/>
  <c r="G858" i="617" s="1"/>
  <c r="O857" i="617"/>
  <c r="F857" i="617"/>
  <c r="G857" i="617" s="1"/>
  <c r="O856" i="617"/>
  <c r="F856" i="617"/>
  <c r="G856" i="617" s="1"/>
  <c r="O855" i="617"/>
  <c r="F855" i="617"/>
  <c r="G855" i="617" s="1"/>
  <c r="O854" i="617"/>
  <c r="F854" i="617"/>
  <c r="G854" i="617" s="1"/>
  <c r="O853" i="617"/>
  <c r="F853" i="617"/>
  <c r="G853" i="617" s="1"/>
  <c r="O852" i="617"/>
  <c r="F852" i="617"/>
  <c r="G852" i="617" s="1"/>
  <c r="O851" i="617"/>
  <c r="F851" i="617"/>
  <c r="G851" i="617" s="1"/>
  <c r="O850" i="617"/>
  <c r="F850" i="617"/>
  <c r="G850" i="617" s="1"/>
  <c r="O849" i="617"/>
  <c r="F849" i="617"/>
  <c r="G849" i="617" s="1"/>
  <c r="O848" i="617"/>
  <c r="F848" i="617"/>
  <c r="G848" i="617" s="1"/>
  <c r="O847" i="617"/>
  <c r="F847" i="617"/>
  <c r="G847" i="617" s="1"/>
  <c r="O846" i="617"/>
  <c r="F846" i="617"/>
  <c r="G846" i="617" s="1"/>
  <c r="O845" i="617"/>
  <c r="F845" i="617"/>
  <c r="G845" i="617" s="1"/>
  <c r="O844" i="617"/>
  <c r="F844" i="617"/>
  <c r="G844" i="617" s="1"/>
  <c r="O843" i="617"/>
  <c r="F843" i="617"/>
  <c r="G843" i="617" s="1"/>
  <c r="O842" i="617"/>
  <c r="F842" i="617"/>
  <c r="G842" i="617" s="1"/>
  <c r="O841" i="617"/>
  <c r="F841" i="617"/>
  <c r="G841" i="617" s="1"/>
  <c r="O840" i="617"/>
  <c r="F840" i="617"/>
  <c r="G840" i="617" s="1"/>
  <c r="O839" i="617"/>
  <c r="F839" i="617"/>
  <c r="G839" i="617" s="1"/>
  <c r="O838" i="617"/>
  <c r="F838" i="617"/>
  <c r="G838" i="617" s="1"/>
  <c r="O837" i="617"/>
  <c r="F837" i="617"/>
  <c r="G837" i="617" s="1"/>
  <c r="O836" i="617"/>
  <c r="F836" i="617"/>
  <c r="G836" i="617" s="1"/>
  <c r="O835" i="617"/>
  <c r="F835" i="617"/>
  <c r="G835" i="617" s="1"/>
  <c r="O834" i="617"/>
  <c r="F834" i="617"/>
  <c r="G834" i="617" s="1"/>
  <c r="O833" i="617"/>
  <c r="F833" i="617"/>
  <c r="G833" i="617" s="1"/>
  <c r="O832" i="617"/>
  <c r="F832" i="617"/>
  <c r="G832" i="617" s="1"/>
  <c r="O831" i="617"/>
  <c r="F831" i="617"/>
  <c r="G831" i="617" s="1"/>
  <c r="O830" i="617"/>
  <c r="F830" i="617"/>
  <c r="G830" i="617" s="1"/>
  <c r="O829" i="617"/>
  <c r="F829" i="617"/>
  <c r="G829" i="617" s="1"/>
  <c r="O828" i="617"/>
  <c r="F828" i="617"/>
  <c r="G828" i="617" s="1"/>
  <c r="O827" i="617"/>
  <c r="F827" i="617"/>
  <c r="G827" i="617" s="1"/>
  <c r="O826" i="617"/>
  <c r="F826" i="617"/>
  <c r="G826" i="617" s="1"/>
  <c r="O825" i="617"/>
  <c r="F825" i="617"/>
  <c r="G825" i="617" s="1"/>
  <c r="O824" i="617"/>
  <c r="F824" i="617"/>
  <c r="G824" i="617" s="1"/>
  <c r="O823" i="617"/>
  <c r="F823" i="617"/>
  <c r="G823" i="617" s="1"/>
  <c r="O822" i="617"/>
  <c r="F822" i="617"/>
  <c r="G822" i="617" s="1"/>
  <c r="O821" i="617"/>
  <c r="F821" i="617"/>
  <c r="G821" i="617" s="1"/>
  <c r="O820" i="617"/>
  <c r="F820" i="617"/>
  <c r="G820" i="617" s="1"/>
  <c r="O819" i="617"/>
  <c r="F819" i="617"/>
  <c r="G819" i="617" s="1"/>
  <c r="O818" i="617"/>
  <c r="F818" i="617"/>
  <c r="G818" i="617" s="1"/>
  <c r="O817" i="617"/>
  <c r="F817" i="617"/>
  <c r="G817" i="617" s="1"/>
  <c r="O816" i="617"/>
  <c r="F816" i="617"/>
  <c r="G816" i="617" s="1"/>
  <c r="O815" i="617"/>
  <c r="F815" i="617"/>
  <c r="G815" i="617" s="1"/>
  <c r="O814" i="617"/>
  <c r="F814" i="617"/>
  <c r="G814" i="617" s="1"/>
  <c r="O813" i="617"/>
  <c r="F813" i="617"/>
  <c r="G813" i="617" s="1"/>
  <c r="O812" i="617"/>
  <c r="F812" i="617"/>
  <c r="G812" i="617" s="1"/>
  <c r="O811" i="617"/>
  <c r="F811" i="617"/>
  <c r="G811" i="617" s="1"/>
  <c r="O810" i="617"/>
  <c r="F810" i="617"/>
  <c r="G810" i="617" s="1"/>
  <c r="O809" i="617"/>
  <c r="F809" i="617"/>
  <c r="G809" i="617" s="1"/>
  <c r="O808" i="617"/>
  <c r="F808" i="617"/>
  <c r="G808" i="617" s="1"/>
  <c r="O807" i="617"/>
  <c r="F807" i="617"/>
  <c r="G807" i="617" s="1"/>
  <c r="O806" i="617"/>
  <c r="F806" i="617"/>
  <c r="G806" i="617" s="1"/>
  <c r="O805" i="617"/>
  <c r="F805" i="617"/>
  <c r="G805" i="617" s="1"/>
  <c r="O804" i="617"/>
  <c r="F804" i="617"/>
  <c r="G804" i="617" s="1"/>
  <c r="O803" i="617"/>
  <c r="F803" i="617"/>
  <c r="G803" i="617" s="1"/>
  <c r="O802" i="617"/>
  <c r="F802" i="617"/>
  <c r="G802" i="617" s="1"/>
  <c r="O801" i="617"/>
  <c r="F801" i="617"/>
  <c r="G801" i="617" s="1"/>
  <c r="O800" i="617"/>
  <c r="F800" i="617"/>
  <c r="G800" i="617" s="1"/>
  <c r="O799" i="617"/>
  <c r="F799" i="617"/>
  <c r="G799" i="617" s="1"/>
  <c r="O798" i="617"/>
  <c r="F798" i="617"/>
  <c r="G798" i="617" s="1"/>
  <c r="O797" i="617"/>
  <c r="F797" i="617"/>
  <c r="G797" i="617" s="1"/>
  <c r="O796" i="617"/>
  <c r="F796" i="617"/>
  <c r="G796" i="617" s="1"/>
  <c r="O795" i="617"/>
  <c r="F795" i="617"/>
  <c r="G795" i="617" s="1"/>
  <c r="O794" i="617"/>
  <c r="F794" i="617"/>
  <c r="G794" i="617" s="1"/>
  <c r="O793" i="617"/>
  <c r="F793" i="617"/>
  <c r="G793" i="617" s="1"/>
  <c r="O792" i="617"/>
  <c r="F792" i="617"/>
  <c r="G792" i="617" s="1"/>
  <c r="O791" i="617"/>
  <c r="F791" i="617"/>
  <c r="G791" i="617" s="1"/>
  <c r="O790" i="617"/>
  <c r="F790" i="617"/>
  <c r="G790" i="617" s="1"/>
  <c r="O789" i="617"/>
  <c r="F789" i="617"/>
  <c r="G789" i="617" s="1"/>
  <c r="O788" i="617"/>
  <c r="F788" i="617"/>
  <c r="G788" i="617" s="1"/>
  <c r="O787" i="617"/>
  <c r="F787" i="617"/>
  <c r="G787" i="617" s="1"/>
  <c r="O786" i="617"/>
  <c r="F786" i="617"/>
  <c r="G786" i="617" s="1"/>
  <c r="O785" i="617"/>
  <c r="F785" i="617"/>
  <c r="G785" i="617" s="1"/>
  <c r="O784" i="617"/>
  <c r="F784" i="617"/>
  <c r="G784" i="617" s="1"/>
  <c r="O783" i="617"/>
  <c r="F783" i="617"/>
  <c r="G783" i="617" s="1"/>
  <c r="O782" i="617"/>
  <c r="F782" i="617"/>
  <c r="G782" i="617" s="1"/>
  <c r="O781" i="617"/>
  <c r="F781" i="617"/>
  <c r="G781" i="617" s="1"/>
  <c r="O780" i="617"/>
  <c r="F780" i="617"/>
  <c r="G780" i="617" s="1"/>
  <c r="O779" i="617"/>
  <c r="F779" i="617"/>
  <c r="G779" i="617" s="1"/>
  <c r="O778" i="617"/>
  <c r="F778" i="617"/>
  <c r="G778" i="617" s="1"/>
  <c r="O777" i="617"/>
  <c r="F777" i="617"/>
  <c r="G777" i="617" s="1"/>
  <c r="O776" i="617"/>
  <c r="F776" i="617"/>
  <c r="G776" i="617" s="1"/>
  <c r="O775" i="617"/>
  <c r="F775" i="617"/>
  <c r="G775" i="617" s="1"/>
  <c r="O774" i="617"/>
  <c r="F774" i="617"/>
  <c r="G774" i="617" s="1"/>
  <c r="O773" i="617"/>
  <c r="F773" i="617"/>
  <c r="G773" i="617" s="1"/>
  <c r="O772" i="617"/>
  <c r="F772" i="617"/>
  <c r="G772" i="617" s="1"/>
  <c r="O771" i="617"/>
  <c r="F771" i="617"/>
  <c r="G771" i="617" s="1"/>
  <c r="O770" i="617"/>
  <c r="F770" i="617"/>
  <c r="G770" i="617" s="1"/>
  <c r="O769" i="617"/>
  <c r="F769" i="617"/>
  <c r="G769" i="617" s="1"/>
  <c r="O768" i="617"/>
  <c r="F768" i="617"/>
  <c r="G768" i="617" s="1"/>
  <c r="O767" i="617"/>
  <c r="F767" i="617"/>
  <c r="G767" i="617" s="1"/>
  <c r="O766" i="617"/>
  <c r="F766" i="617"/>
  <c r="G766" i="617" s="1"/>
  <c r="O765" i="617"/>
  <c r="F765" i="617"/>
  <c r="G765" i="617" s="1"/>
  <c r="O764" i="617"/>
  <c r="F764" i="617"/>
  <c r="G764" i="617" s="1"/>
  <c r="O763" i="617"/>
  <c r="F763" i="617"/>
  <c r="G763" i="617" s="1"/>
  <c r="O762" i="617"/>
  <c r="F762" i="617"/>
  <c r="G762" i="617" s="1"/>
  <c r="O761" i="617"/>
  <c r="F761" i="617"/>
  <c r="G761" i="617" s="1"/>
  <c r="O760" i="617"/>
  <c r="F760" i="617"/>
  <c r="G760" i="617" s="1"/>
  <c r="O759" i="617"/>
  <c r="F759" i="617"/>
  <c r="G759" i="617" s="1"/>
  <c r="O758" i="617"/>
  <c r="F758" i="617"/>
  <c r="G758" i="617" s="1"/>
  <c r="O757" i="617"/>
  <c r="F757" i="617"/>
  <c r="G757" i="617" s="1"/>
  <c r="O756" i="617"/>
  <c r="F756" i="617"/>
  <c r="G756" i="617" s="1"/>
  <c r="O755" i="617"/>
  <c r="F755" i="617"/>
  <c r="G755" i="617" s="1"/>
  <c r="O754" i="617"/>
  <c r="F754" i="617"/>
  <c r="G754" i="617" s="1"/>
  <c r="O753" i="617"/>
  <c r="F753" i="617"/>
  <c r="G753" i="617" s="1"/>
  <c r="O752" i="617"/>
  <c r="F752" i="617"/>
  <c r="G752" i="617" s="1"/>
  <c r="O751" i="617"/>
  <c r="F751" i="617"/>
  <c r="G751" i="617" s="1"/>
  <c r="O750" i="617"/>
  <c r="F750" i="617"/>
  <c r="G750" i="617" s="1"/>
  <c r="O749" i="617"/>
  <c r="F749" i="617"/>
  <c r="G749" i="617" s="1"/>
  <c r="O748" i="617"/>
  <c r="F748" i="617"/>
  <c r="G748" i="617" s="1"/>
  <c r="O747" i="617"/>
  <c r="F747" i="617"/>
  <c r="G747" i="617" s="1"/>
  <c r="O746" i="617"/>
  <c r="F746" i="617"/>
  <c r="G746" i="617" s="1"/>
  <c r="O745" i="617"/>
  <c r="F745" i="617"/>
  <c r="G745" i="617" s="1"/>
  <c r="O744" i="617"/>
  <c r="F744" i="617"/>
  <c r="G744" i="617" s="1"/>
  <c r="O743" i="617"/>
  <c r="F743" i="617"/>
  <c r="G743" i="617" s="1"/>
  <c r="O742" i="617"/>
  <c r="F742" i="617"/>
  <c r="G742" i="617" s="1"/>
  <c r="O741" i="617"/>
  <c r="F741" i="617"/>
  <c r="G741" i="617" s="1"/>
  <c r="O740" i="617"/>
  <c r="F740" i="617"/>
  <c r="G740" i="617" s="1"/>
  <c r="O739" i="617"/>
  <c r="F739" i="617"/>
  <c r="G739" i="617" s="1"/>
  <c r="O738" i="617"/>
  <c r="F738" i="617"/>
  <c r="G738" i="617" s="1"/>
  <c r="O737" i="617"/>
  <c r="F737" i="617"/>
  <c r="G737" i="617" s="1"/>
  <c r="O736" i="617"/>
  <c r="F736" i="617"/>
  <c r="G736" i="617" s="1"/>
  <c r="O735" i="617"/>
  <c r="F735" i="617"/>
  <c r="G735" i="617" s="1"/>
  <c r="O734" i="617"/>
  <c r="F734" i="617"/>
  <c r="G734" i="617" s="1"/>
  <c r="O733" i="617"/>
  <c r="F733" i="617"/>
  <c r="G733" i="617" s="1"/>
  <c r="O732" i="617"/>
  <c r="F732" i="617"/>
  <c r="G732" i="617" s="1"/>
  <c r="O731" i="617"/>
  <c r="F731" i="617"/>
  <c r="G731" i="617" s="1"/>
  <c r="O730" i="617"/>
  <c r="F730" i="617"/>
  <c r="G730" i="617" s="1"/>
  <c r="O729" i="617"/>
  <c r="F729" i="617"/>
  <c r="G729" i="617" s="1"/>
  <c r="O728" i="617"/>
  <c r="F728" i="617"/>
  <c r="G728" i="617" s="1"/>
  <c r="O727" i="617"/>
  <c r="F727" i="617"/>
  <c r="G727" i="617" s="1"/>
  <c r="O726" i="617"/>
  <c r="F726" i="617"/>
  <c r="G726" i="617" s="1"/>
  <c r="O725" i="617"/>
  <c r="F725" i="617"/>
  <c r="G725" i="617" s="1"/>
  <c r="O724" i="617"/>
  <c r="F724" i="617"/>
  <c r="G724" i="617" s="1"/>
  <c r="O723" i="617"/>
  <c r="F723" i="617"/>
  <c r="G723" i="617" s="1"/>
  <c r="O722" i="617"/>
  <c r="F722" i="617"/>
  <c r="G722" i="617" s="1"/>
  <c r="O721" i="617"/>
  <c r="F721" i="617"/>
  <c r="G721" i="617" s="1"/>
  <c r="O720" i="617"/>
  <c r="F720" i="617"/>
  <c r="G720" i="617" s="1"/>
  <c r="O719" i="617"/>
  <c r="F719" i="617"/>
  <c r="G719" i="617" s="1"/>
  <c r="O718" i="617"/>
  <c r="F718" i="617"/>
  <c r="G718" i="617" s="1"/>
  <c r="O717" i="617"/>
  <c r="F717" i="617"/>
  <c r="G717" i="617" s="1"/>
  <c r="O716" i="617"/>
  <c r="F716" i="617"/>
  <c r="G716" i="617" s="1"/>
  <c r="O715" i="617"/>
  <c r="F715" i="617"/>
  <c r="G715" i="617" s="1"/>
  <c r="O714" i="617"/>
  <c r="F714" i="617"/>
  <c r="G714" i="617" s="1"/>
  <c r="O713" i="617"/>
  <c r="F713" i="617"/>
  <c r="G713" i="617" s="1"/>
  <c r="O712" i="617"/>
  <c r="F712" i="617"/>
  <c r="G712" i="617" s="1"/>
  <c r="O711" i="617"/>
  <c r="F711" i="617"/>
  <c r="G711" i="617" s="1"/>
  <c r="O710" i="617"/>
  <c r="F710" i="617"/>
  <c r="G710" i="617" s="1"/>
  <c r="O709" i="617"/>
  <c r="F709" i="617"/>
  <c r="G709" i="617" s="1"/>
  <c r="O708" i="617"/>
  <c r="F708" i="617"/>
  <c r="G708" i="617" s="1"/>
  <c r="O707" i="617"/>
  <c r="F707" i="617"/>
  <c r="G707" i="617" s="1"/>
  <c r="O706" i="617"/>
  <c r="F706" i="617"/>
  <c r="G706" i="617" s="1"/>
  <c r="O705" i="617"/>
  <c r="F705" i="617"/>
  <c r="G705" i="617" s="1"/>
  <c r="O704" i="617"/>
  <c r="F704" i="617"/>
  <c r="G704" i="617" s="1"/>
  <c r="O703" i="617"/>
  <c r="F703" i="617"/>
  <c r="G703" i="617" s="1"/>
  <c r="O702" i="617"/>
  <c r="F702" i="617"/>
  <c r="G702" i="617" s="1"/>
  <c r="O701" i="617"/>
  <c r="F701" i="617"/>
  <c r="G701" i="617" s="1"/>
  <c r="O700" i="617"/>
  <c r="F700" i="617"/>
  <c r="G700" i="617" s="1"/>
  <c r="O699" i="617"/>
  <c r="F699" i="617"/>
  <c r="G699" i="617" s="1"/>
  <c r="O698" i="617"/>
  <c r="F698" i="617"/>
  <c r="G698" i="617" s="1"/>
  <c r="O697" i="617"/>
  <c r="F697" i="617"/>
  <c r="G697" i="617" s="1"/>
  <c r="O696" i="617"/>
  <c r="F696" i="617"/>
  <c r="G696" i="617" s="1"/>
  <c r="O695" i="617"/>
  <c r="F695" i="617"/>
  <c r="G695" i="617" s="1"/>
  <c r="O694" i="617"/>
  <c r="F694" i="617"/>
  <c r="G694" i="617" s="1"/>
  <c r="O693" i="617"/>
  <c r="F693" i="617"/>
  <c r="G693" i="617" s="1"/>
  <c r="O692" i="617"/>
  <c r="F692" i="617"/>
  <c r="G692" i="617" s="1"/>
  <c r="O691" i="617"/>
  <c r="F691" i="617"/>
  <c r="G691" i="617" s="1"/>
  <c r="O690" i="617"/>
  <c r="F690" i="617"/>
  <c r="G690" i="617" s="1"/>
  <c r="O689" i="617"/>
  <c r="F689" i="617"/>
  <c r="G689" i="617" s="1"/>
  <c r="O688" i="617"/>
  <c r="F688" i="617"/>
  <c r="G688" i="617" s="1"/>
  <c r="O687" i="617"/>
  <c r="F687" i="617"/>
  <c r="G687" i="617" s="1"/>
  <c r="O686" i="617"/>
  <c r="F686" i="617"/>
  <c r="G686" i="617" s="1"/>
  <c r="O685" i="617"/>
  <c r="F685" i="617"/>
  <c r="G685" i="617" s="1"/>
  <c r="O684" i="617"/>
  <c r="F684" i="617"/>
  <c r="G684" i="617" s="1"/>
  <c r="O683" i="617"/>
  <c r="F683" i="617"/>
  <c r="G683" i="617" s="1"/>
  <c r="O682" i="617"/>
  <c r="F682" i="617"/>
  <c r="G682" i="617" s="1"/>
  <c r="O681" i="617"/>
  <c r="F681" i="617"/>
  <c r="G681" i="617" s="1"/>
  <c r="O680" i="617"/>
  <c r="F680" i="617"/>
  <c r="G680" i="617" s="1"/>
  <c r="O679" i="617"/>
  <c r="F679" i="617"/>
  <c r="G679" i="617" s="1"/>
  <c r="O678" i="617"/>
  <c r="F678" i="617"/>
  <c r="G678" i="617" s="1"/>
  <c r="O677" i="617"/>
  <c r="F677" i="617"/>
  <c r="G677" i="617" s="1"/>
  <c r="O676" i="617"/>
  <c r="F676" i="617"/>
  <c r="G676" i="617" s="1"/>
  <c r="O675" i="617"/>
  <c r="F675" i="617"/>
  <c r="G675" i="617" s="1"/>
  <c r="O674" i="617"/>
  <c r="F674" i="617"/>
  <c r="G674" i="617" s="1"/>
  <c r="O673" i="617"/>
  <c r="F673" i="617"/>
  <c r="G673" i="617" s="1"/>
  <c r="O672" i="617"/>
  <c r="F672" i="617"/>
  <c r="G672" i="617" s="1"/>
  <c r="O671" i="617"/>
  <c r="F671" i="617"/>
  <c r="G671" i="617" s="1"/>
  <c r="O670" i="617"/>
  <c r="F670" i="617"/>
  <c r="G670" i="617" s="1"/>
  <c r="O669" i="617"/>
  <c r="F669" i="617"/>
  <c r="G669" i="617" s="1"/>
  <c r="O668" i="617"/>
  <c r="F668" i="617"/>
  <c r="G668" i="617" s="1"/>
  <c r="O667" i="617"/>
  <c r="F667" i="617"/>
  <c r="G667" i="617" s="1"/>
  <c r="O666" i="617"/>
  <c r="F666" i="617"/>
  <c r="G666" i="617" s="1"/>
  <c r="O665" i="617"/>
  <c r="F665" i="617"/>
  <c r="G665" i="617" s="1"/>
  <c r="O664" i="617"/>
  <c r="F664" i="617"/>
  <c r="G664" i="617" s="1"/>
  <c r="O663" i="617"/>
  <c r="F663" i="617"/>
  <c r="G663" i="617" s="1"/>
  <c r="O662" i="617"/>
  <c r="F662" i="617"/>
  <c r="G662" i="617" s="1"/>
  <c r="O661" i="617"/>
  <c r="F661" i="617"/>
  <c r="G661" i="617" s="1"/>
  <c r="O660" i="617"/>
  <c r="F660" i="617"/>
  <c r="G660" i="617" s="1"/>
  <c r="O659" i="617"/>
  <c r="F659" i="617"/>
  <c r="G659" i="617" s="1"/>
  <c r="O658" i="617"/>
  <c r="F658" i="617"/>
  <c r="G658" i="617" s="1"/>
  <c r="O657" i="617"/>
  <c r="F657" i="617"/>
  <c r="G657" i="617" s="1"/>
  <c r="O656" i="617"/>
  <c r="F656" i="617"/>
  <c r="G656" i="617" s="1"/>
  <c r="O655" i="617"/>
  <c r="F655" i="617"/>
  <c r="G655" i="617" s="1"/>
  <c r="O654" i="617"/>
  <c r="F654" i="617"/>
  <c r="G654" i="617" s="1"/>
  <c r="O653" i="617"/>
  <c r="F653" i="617"/>
  <c r="G653" i="617" s="1"/>
  <c r="O652" i="617"/>
  <c r="F652" i="617"/>
  <c r="G652" i="617" s="1"/>
  <c r="O651" i="617"/>
  <c r="F651" i="617"/>
  <c r="G651" i="617" s="1"/>
  <c r="O650" i="617"/>
  <c r="F650" i="617"/>
  <c r="G650" i="617" s="1"/>
  <c r="O649" i="617"/>
  <c r="F649" i="617"/>
  <c r="G649" i="617" s="1"/>
  <c r="O648" i="617"/>
  <c r="F648" i="617"/>
  <c r="G648" i="617" s="1"/>
  <c r="O647" i="617"/>
  <c r="F647" i="617"/>
  <c r="G647" i="617" s="1"/>
  <c r="O646" i="617"/>
  <c r="F646" i="617"/>
  <c r="G646" i="617" s="1"/>
  <c r="O645" i="617"/>
  <c r="F645" i="617"/>
  <c r="G645" i="617" s="1"/>
  <c r="O644" i="617"/>
  <c r="F644" i="617"/>
  <c r="G644" i="617" s="1"/>
  <c r="O643" i="617"/>
  <c r="F643" i="617"/>
  <c r="G643" i="617" s="1"/>
  <c r="O642" i="617"/>
  <c r="F642" i="617"/>
  <c r="G642" i="617" s="1"/>
  <c r="O641" i="617"/>
  <c r="F641" i="617"/>
  <c r="G641" i="617" s="1"/>
  <c r="O640" i="617"/>
  <c r="F640" i="617"/>
  <c r="G640" i="617" s="1"/>
  <c r="O639" i="617"/>
  <c r="F639" i="617"/>
  <c r="G639" i="617" s="1"/>
  <c r="O638" i="617"/>
  <c r="F638" i="617"/>
  <c r="G638" i="617" s="1"/>
  <c r="O637" i="617"/>
  <c r="F637" i="617"/>
  <c r="G637" i="617" s="1"/>
  <c r="O636" i="617"/>
  <c r="F636" i="617"/>
  <c r="G636" i="617" s="1"/>
  <c r="O635" i="617"/>
  <c r="F635" i="617"/>
  <c r="G635" i="617" s="1"/>
  <c r="O634" i="617"/>
  <c r="F634" i="617"/>
  <c r="G634" i="617" s="1"/>
  <c r="O633" i="617"/>
  <c r="G633" i="617"/>
  <c r="F633" i="617"/>
  <c r="O632" i="617"/>
  <c r="F632" i="617"/>
  <c r="G632" i="617" s="1"/>
  <c r="O631" i="617"/>
  <c r="F631" i="617"/>
  <c r="G631" i="617" s="1"/>
  <c r="O630" i="617"/>
  <c r="F630" i="617"/>
  <c r="G630" i="617" s="1"/>
  <c r="O629" i="617"/>
  <c r="F629" i="617"/>
  <c r="G629" i="617" s="1"/>
  <c r="O628" i="617"/>
  <c r="F628" i="617"/>
  <c r="G628" i="617" s="1"/>
  <c r="O627" i="617"/>
  <c r="F627" i="617"/>
  <c r="G627" i="617" s="1"/>
  <c r="O626" i="617"/>
  <c r="F626" i="617"/>
  <c r="G626" i="617" s="1"/>
  <c r="O625" i="617"/>
  <c r="F625" i="617"/>
  <c r="G625" i="617" s="1"/>
  <c r="O624" i="617"/>
  <c r="F624" i="617"/>
  <c r="G624" i="617" s="1"/>
  <c r="O623" i="617"/>
  <c r="F623" i="617"/>
  <c r="G623" i="617" s="1"/>
  <c r="O622" i="617"/>
  <c r="F622" i="617"/>
  <c r="G622" i="617" s="1"/>
  <c r="O621" i="617"/>
  <c r="F621" i="617"/>
  <c r="G621" i="617" s="1"/>
  <c r="O620" i="617"/>
  <c r="F620" i="617"/>
  <c r="G620" i="617" s="1"/>
  <c r="O619" i="617"/>
  <c r="F619" i="617"/>
  <c r="G619" i="617" s="1"/>
  <c r="O618" i="617"/>
  <c r="F618" i="617"/>
  <c r="G618" i="617" s="1"/>
  <c r="O617" i="617"/>
  <c r="F617" i="617"/>
  <c r="G617" i="617" s="1"/>
  <c r="O616" i="617"/>
  <c r="F616" i="617"/>
  <c r="G616" i="617" s="1"/>
  <c r="O615" i="617"/>
  <c r="F615" i="617"/>
  <c r="G615" i="617" s="1"/>
  <c r="O614" i="617"/>
  <c r="F614" i="617"/>
  <c r="G614" i="617" s="1"/>
  <c r="O613" i="617"/>
  <c r="F613" i="617"/>
  <c r="G613" i="617" s="1"/>
  <c r="O612" i="617"/>
  <c r="F612" i="617"/>
  <c r="G612" i="617" s="1"/>
  <c r="O611" i="617"/>
  <c r="F611" i="617"/>
  <c r="G611" i="617" s="1"/>
  <c r="O610" i="617"/>
  <c r="F610" i="617"/>
  <c r="G610" i="617" s="1"/>
  <c r="O609" i="617"/>
  <c r="F609" i="617"/>
  <c r="G609" i="617" s="1"/>
  <c r="O608" i="617"/>
  <c r="F608" i="617"/>
  <c r="G608" i="617" s="1"/>
  <c r="O607" i="617"/>
  <c r="F607" i="617"/>
  <c r="G607" i="617" s="1"/>
  <c r="O606" i="617"/>
  <c r="F606" i="617"/>
  <c r="G606" i="617" s="1"/>
  <c r="O605" i="617"/>
  <c r="F605" i="617"/>
  <c r="G605" i="617" s="1"/>
  <c r="O604" i="617"/>
  <c r="F604" i="617"/>
  <c r="G604" i="617" s="1"/>
  <c r="O603" i="617"/>
  <c r="F603" i="617"/>
  <c r="G603" i="617" s="1"/>
  <c r="O602" i="617"/>
  <c r="F602" i="617"/>
  <c r="G602" i="617" s="1"/>
  <c r="O601" i="617"/>
  <c r="F601" i="617"/>
  <c r="G601" i="617" s="1"/>
  <c r="O600" i="617"/>
  <c r="F600" i="617"/>
  <c r="G600" i="617" s="1"/>
  <c r="O599" i="617"/>
  <c r="F599" i="617"/>
  <c r="G599" i="617" s="1"/>
  <c r="O598" i="617"/>
  <c r="F598" i="617"/>
  <c r="G598" i="617" s="1"/>
  <c r="O597" i="617"/>
  <c r="F597" i="617"/>
  <c r="G597" i="617" s="1"/>
  <c r="O596" i="617"/>
  <c r="F596" i="617"/>
  <c r="G596" i="617" s="1"/>
  <c r="O595" i="617"/>
  <c r="F595" i="617"/>
  <c r="G595" i="617" s="1"/>
  <c r="O594" i="617"/>
  <c r="F594" i="617"/>
  <c r="G594" i="617" s="1"/>
  <c r="O593" i="617"/>
  <c r="F593" i="617"/>
  <c r="G593" i="617" s="1"/>
  <c r="O592" i="617"/>
  <c r="F592" i="617"/>
  <c r="G592" i="617" s="1"/>
  <c r="O591" i="617"/>
  <c r="F591" i="617"/>
  <c r="G591" i="617" s="1"/>
  <c r="O590" i="617"/>
  <c r="F590" i="617"/>
  <c r="G590" i="617" s="1"/>
  <c r="O589" i="617"/>
  <c r="F589" i="617"/>
  <c r="G589" i="617" s="1"/>
  <c r="O588" i="617"/>
  <c r="F588" i="617"/>
  <c r="G588" i="617" s="1"/>
  <c r="O587" i="617"/>
  <c r="F587" i="617"/>
  <c r="G587" i="617" s="1"/>
  <c r="O586" i="617"/>
  <c r="F586" i="617"/>
  <c r="G586" i="617" s="1"/>
  <c r="O585" i="617"/>
  <c r="F585" i="617"/>
  <c r="G585" i="617" s="1"/>
  <c r="O584" i="617"/>
  <c r="F584" i="617"/>
  <c r="G584" i="617" s="1"/>
  <c r="O583" i="617"/>
  <c r="F583" i="617"/>
  <c r="G583" i="617" s="1"/>
  <c r="O582" i="617"/>
  <c r="F582" i="617"/>
  <c r="G582" i="617" s="1"/>
  <c r="O581" i="617"/>
  <c r="F581" i="617"/>
  <c r="G581" i="617" s="1"/>
  <c r="O580" i="617"/>
  <c r="F580" i="617"/>
  <c r="G580" i="617" s="1"/>
  <c r="O579" i="617"/>
  <c r="F579" i="617"/>
  <c r="G579" i="617" s="1"/>
  <c r="O578" i="617"/>
  <c r="F578" i="617"/>
  <c r="G578" i="617" s="1"/>
  <c r="O577" i="617"/>
  <c r="F577" i="617"/>
  <c r="G577" i="617" s="1"/>
  <c r="O576" i="617"/>
  <c r="F576" i="617"/>
  <c r="G576" i="617" s="1"/>
  <c r="O575" i="617"/>
  <c r="F575" i="617"/>
  <c r="G575" i="617" s="1"/>
  <c r="O574" i="617"/>
  <c r="F574" i="617"/>
  <c r="G574" i="617" s="1"/>
  <c r="O573" i="617"/>
  <c r="F573" i="617"/>
  <c r="G573" i="617" s="1"/>
  <c r="O572" i="617"/>
  <c r="F572" i="617"/>
  <c r="G572" i="617" s="1"/>
  <c r="O571" i="617"/>
  <c r="F571" i="617"/>
  <c r="G571" i="617" s="1"/>
  <c r="O570" i="617"/>
  <c r="F570" i="617"/>
  <c r="G570" i="617" s="1"/>
  <c r="O569" i="617"/>
  <c r="F569" i="617"/>
  <c r="G569" i="617" s="1"/>
  <c r="O568" i="617"/>
  <c r="F568" i="617"/>
  <c r="G568" i="617" s="1"/>
  <c r="O567" i="617"/>
  <c r="F567" i="617"/>
  <c r="G567" i="617" s="1"/>
  <c r="O566" i="617"/>
  <c r="F566" i="617"/>
  <c r="G566" i="617" s="1"/>
  <c r="O565" i="617"/>
  <c r="F565" i="617"/>
  <c r="G565" i="617" s="1"/>
  <c r="O564" i="617"/>
  <c r="F564" i="617"/>
  <c r="G564" i="617" s="1"/>
  <c r="O563" i="617"/>
  <c r="F563" i="617"/>
  <c r="G563" i="617" s="1"/>
  <c r="O562" i="617"/>
  <c r="F562" i="617"/>
  <c r="G562" i="617" s="1"/>
  <c r="O561" i="617"/>
  <c r="F561" i="617"/>
  <c r="G561" i="617" s="1"/>
  <c r="O560" i="617"/>
  <c r="F560" i="617"/>
  <c r="G560" i="617" s="1"/>
  <c r="O559" i="617"/>
  <c r="F559" i="617"/>
  <c r="G559" i="617" s="1"/>
  <c r="O558" i="617"/>
  <c r="F558" i="617"/>
  <c r="G558" i="617" s="1"/>
  <c r="O557" i="617"/>
  <c r="F557" i="617"/>
  <c r="G557" i="617" s="1"/>
  <c r="O556" i="617"/>
  <c r="F556" i="617"/>
  <c r="G556" i="617" s="1"/>
  <c r="O555" i="617"/>
  <c r="F555" i="617"/>
  <c r="G555" i="617" s="1"/>
  <c r="O554" i="617"/>
  <c r="F554" i="617"/>
  <c r="G554" i="617" s="1"/>
  <c r="O553" i="617"/>
  <c r="F553" i="617"/>
  <c r="G553" i="617" s="1"/>
  <c r="O552" i="617"/>
  <c r="F552" i="617"/>
  <c r="G552" i="617" s="1"/>
  <c r="O551" i="617"/>
  <c r="F551" i="617"/>
  <c r="G551" i="617" s="1"/>
  <c r="O550" i="617"/>
  <c r="F550" i="617"/>
  <c r="G550" i="617" s="1"/>
  <c r="O549" i="617"/>
  <c r="F549" i="617"/>
  <c r="G549" i="617" s="1"/>
  <c r="O548" i="617"/>
  <c r="F548" i="617"/>
  <c r="G548" i="617" s="1"/>
  <c r="O547" i="617"/>
  <c r="F547" i="617"/>
  <c r="G547" i="617" s="1"/>
  <c r="O546" i="617"/>
  <c r="F546" i="617"/>
  <c r="G546" i="617" s="1"/>
  <c r="O545" i="617"/>
  <c r="F545" i="617"/>
  <c r="G545" i="617" s="1"/>
  <c r="O544" i="617"/>
  <c r="F544" i="617"/>
  <c r="G544" i="617" s="1"/>
  <c r="O543" i="617"/>
  <c r="F543" i="617"/>
  <c r="G543" i="617" s="1"/>
  <c r="O542" i="617"/>
  <c r="F542" i="617"/>
  <c r="G542" i="617" s="1"/>
  <c r="O541" i="617"/>
  <c r="F541" i="617"/>
  <c r="G541" i="617" s="1"/>
  <c r="O540" i="617"/>
  <c r="F540" i="617"/>
  <c r="G540" i="617" s="1"/>
  <c r="O539" i="617"/>
  <c r="F539" i="617"/>
  <c r="G539" i="617" s="1"/>
  <c r="O538" i="617"/>
  <c r="F538" i="617"/>
  <c r="G538" i="617" s="1"/>
  <c r="O537" i="617"/>
  <c r="F537" i="617"/>
  <c r="G537" i="617" s="1"/>
  <c r="O536" i="617"/>
  <c r="F536" i="617"/>
  <c r="G536" i="617" s="1"/>
  <c r="O535" i="617"/>
  <c r="F535" i="617"/>
  <c r="G535" i="617" s="1"/>
  <c r="O534" i="617"/>
  <c r="F534" i="617"/>
  <c r="G534" i="617" s="1"/>
  <c r="O533" i="617"/>
  <c r="F533" i="617"/>
  <c r="G533" i="617" s="1"/>
  <c r="O532" i="617"/>
  <c r="F532" i="617"/>
  <c r="G532" i="617" s="1"/>
  <c r="O531" i="617"/>
  <c r="F531" i="617"/>
  <c r="G531" i="617" s="1"/>
  <c r="O530" i="617"/>
  <c r="F530" i="617"/>
  <c r="G530" i="617" s="1"/>
  <c r="O529" i="617"/>
  <c r="F529" i="617"/>
  <c r="G529" i="617" s="1"/>
  <c r="O528" i="617"/>
  <c r="F528" i="617"/>
  <c r="G528" i="617" s="1"/>
  <c r="O527" i="617"/>
  <c r="F527" i="617"/>
  <c r="G527" i="617" s="1"/>
  <c r="O526" i="617"/>
  <c r="F526" i="617"/>
  <c r="G526" i="617" s="1"/>
  <c r="O525" i="617"/>
  <c r="F525" i="617"/>
  <c r="G525" i="617" s="1"/>
  <c r="O524" i="617"/>
  <c r="F524" i="617"/>
  <c r="G524" i="617" s="1"/>
  <c r="O523" i="617"/>
  <c r="F523" i="617"/>
  <c r="G523" i="617" s="1"/>
  <c r="O522" i="617"/>
  <c r="F522" i="617"/>
  <c r="G522" i="617" s="1"/>
  <c r="O521" i="617"/>
  <c r="F521" i="617"/>
  <c r="G521" i="617" s="1"/>
  <c r="O520" i="617"/>
  <c r="F520" i="617"/>
  <c r="G520" i="617" s="1"/>
  <c r="O519" i="617"/>
  <c r="F519" i="617"/>
  <c r="G519" i="617" s="1"/>
  <c r="O518" i="617"/>
  <c r="F518" i="617"/>
  <c r="G518" i="617" s="1"/>
  <c r="O517" i="617"/>
  <c r="F517" i="617"/>
  <c r="G517" i="617" s="1"/>
  <c r="O516" i="617"/>
  <c r="F516" i="617"/>
  <c r="G516" i="617" s="1"/>
  <c r="O515" i="617"/>
  <c r="F515" i="617"/>
  <c r="G515" i="617" s="1"/>
  <c r="O514" i="617"/>
  <c r="F514" i="617"/>
  <c r="G514" i="617" s="1"/>
  <c r="O513" i="617"/>
  <c r="F513" i="617"/>
  <c r="G513" i="617" s="1"/>
  <c r="O512" i="617"/>
  <c r="F512" i="617"/>
  <c r="G512" i="617" s="1"/>
  <c r="O511" i="617"/>
  <c r="F511" i="617"/>
  <c r="G511" i="617" s="1"/>
  <c r="O510" i="617"/>
  <c r="F510" i="617"/>
  <c r="G510" i="617" s="1"/>
  <c r="O509" i="617"/>
  <c r="F509" i="617"/>
  <c r="G509" i="617" s="1"/>
  <c r="O508" i="617"/>
  <c r="F508" i="617"/>
  <c r="G508" i="617" s="1"/>
  <c r="O507" i="617"/>
  <c r="F507" i="617"/>
  <c r="G507" i="617" s="1"/>
  <c r="O506" i="617"/>
  <c r="F506" i="617"/>
  <c r="G506" i="617" s="1"/>
  <c r="O505" i="617"/>
  <c r="F505" i="617"/>
  <c r="G505" i="617" s="1"/>
  <c r="O504" i="617"/>
  <c r="F504" i="617"/>
  <c r="G504" i="617" s="1"/>
  <c r="O503" i="617"/>
  <c r="F503" i="617"/>
  <c r="G503" i="617" s="1"/>
  <c r="O502" i="617"/>
  <c r="F502" i="617"/>
  <c r="G502" i="617" s="1"/>
  <c r="O501" i="617"/>
  <c r="F501" i="617"/>
  <c r="G501" i="617" s="1"/>
  <c r="O500" i="617"/>
  <c r="F500" i="617"/>
  <c r="G500" i="617" s="1"/>
  <c r="O499" i="617"/>
  <c r="F499" i="617"/>
  <c r="G499" i="617" s="1"/>
  <c r="O498" i="617"/>
  <c r="F498" i="617"/>
  <c r="G498" i="617" s="1"/>
  <c r="O497" i="617"/>
  <c r="F497" i="617"/>
  <c r="G497" i="617" s="1"/>
  <c r="O496" i="617"/>
  <c r="F496" i="617"/>
  <c r="G496" i="617" s="1"/>
  <c r="O495" i="617"/>
  <c r="F495" i="617"/>
  <c r="G495" i="617" s="1"/>
  <c r="O494" i="617"/>
  <c r="F494" i="617"/>
  <c r="G494" i="617" s="1"/>
  <c r="O493" i="617"/>
  <c r="F493" i="617"/>
  <c r="G493" i="617" s="1"/>
  <c r="O492" i="617"/>
  <c r="F492" i="617"/>
  <c r="G492" i="617" s="1"/>
  <c r="O491" i="617"/>
  <c r="F491" i="617"/>
  <c r="G491" i="617" s="1"/>
  <c r="O490" i="617"/>
  <c r="F490" i="617"/>
  <c r="G490" i="617" s="1"/>
  <c r="O489" i="617"/>
  <c r="F489" i="617"/>
  <c r="G489" i="617" s="1"/>
  <c r="O488" i="617"/>
  <c r="F488" i="617"/>
  <c r="G488" i="617" s="1"/>
  <c r="O487" i="617"/>
  <c r="F487" i="617"/>
  <c r="G487" i="617" s="1"/>
  <c r="O486" i="617"/>
  <c r="F486" i="617"/>
  <c r="G486" i="617" s="1"/>
  <c r="O485" i="617"/>
  <c r="F485" i="617"/>
  <c r="G485" i="617" s="1"/>
  <c r="O484" i="617"/>
  <c r="F484" i="617"/>
  <c r="G484" i="617" s="1"/>
  <c r="O483" i="617"/>
  <c r="F483" i="617"/>
  <c r="G483" i="617" s="1"/>
  <c r="O482" i="617"/>
  <c r="F482" i="617"/>
  <c r="G482" i="617" s="1"/>
  <c r="O481" i="617"/>
  <c r="F481" i="617"/>
  <c r="G481" i="617" s="1"/>
  <c r="O480" i="617"/>
  <c r="F480" i="617"/>
  <c r="G480" i="617" s="1"/>
  <c r="O479" i="617"/>
  <c r="F479" i="617"/>
  <c r="G479" i="617" s="1"/>
  <c r="O478" i="617"/>
  <c r="F478" i="617"/>
  <c r="G478" i="617" s="1"/>
  <c r="O477" i="617"/>
  <c r="F477" i="617"/>
  <c r="G477" i="617" s="1"/>
  <c r="O476" i="617"/>
  <c r="F476" i="617"/>
  <c r="G476" i="617" s="1"/>
  <c r="O475" i="617"/>
  <c r="F475" i="617"/>
  <c r="G475" i="617" s="1"/>
  <c r="O474" i="617"/>
  <c r="F474" i="617"/>
  <c r="G474" i="617" s="1"/>
  <c r="O473" i="617"/>
  <c r="F473" i="617"/>
  <c r="G473" i="617" s="1"/>
  <c r="O472" i="617"/>
  <c r="F472" i="617"/>
  <c r="G472" i="617" s="1"/>
  <c r="O471" i="617"/>
  <c r="F471" i="617"/>
  <c r="G471" i="617" s="1"/>
  <c r="O470" i="617"/>
  <c r="F470" i="617"/>
  <c r="G470" i="617" s="1"/>
  <c r="O469" i="617"/>
  <c r="F469" i="617"/>
  <c r="G469" i="617" s="1"/>
  <c r="O468" i="617"/>
  <c r="F468" i="617"/>
  <c r="G468" i="617" s="1"/>
  <c r="O467" i="617"/>
  <c r="F467" i="617"/>
  <c r="G467" i="617" s="1"/>
  <c r="O466" i="617"/>
  <c r="F466" i="617"/>
  <c r="G466" i="617" s="1"/>
  <c r="O465" i="617"/>
  <c r="F465" i="617"/>
  <c r="G465" i="617" s="1"/>
  <c r="O464" i="617"/>
  <c r="F464" i="617"/>
  <c r="G464" i="617" s="1"/>
  <c r="O463" i="617"/>
  <c r="F463" i="617"/>
  <c r="G463" i="617" s="1"/>
  <c r="O462" i="617"/>
  <c r="F462" i="617"/>
  <c r="G462" i="617" s="1"/>
  <c r="O461" i="617"/>
  <c r="F461" i="617"/>
  <c r="G461" i="617" s="1"/>
  <c r="O460" i="617"/>
  <c r="F460" i="617"/>
  <c r="G460" i="617" s="1"/>
  <c r="O459" i="617"/>
  <c r="F459" i="617"/>
  <c r="G459" i="617" s="1"/>
  <c r="O458" i="617"/>
  <c r="F458" i="617"/>
  <c r="G458" i="617" s="1"/>
  <c r="O457" i="617"/>
  <c r="F457" i="617"/>
  <c r="G457" i="617" s="1"/>
  <c r="O456" i="617"/>
  <c r="F456" i="617"/>
  <c r="G456" i="617" s="1"/>
  <c r="O455" i="617"/>
  <c r="F455" i="617"/>
  <c r="G455" i="617" s="1"/>
  <c r="O454" i="617"/>
  <c r="F454" i="617"/>
  <c r="G454" i="617" s="1"/>
  <c r="O453" i="617"/>
  <c r="F453" i="617"/>
  <c r="G453" i="617" s="1"/>
  <c r="O452" i="617"/>
  <c r="F452" i="617"/>
  <c r="G452" i="617" s="1"/>
  <c r="O451" i="617"/>
  <c r="F451" i="617"/>
  <c r="G451" i="617" s="1"/>
  <c r="O450" i="617"/>
  <c r="F450" i="617"/>
  <c r="G450" i="617" s="1"/>
  <c r="O449" i="617"/>
  <c r="F449" i="617"/>
  <c r="G449" i="617" s="1"/>
  <c r="O448" i="617"/>
  <c r="F448" i="617"/>
  <c r="G448" i="617" s="1"/>
  <c r="O447" i="617"/>
  <c r="F447" i="617"/>
  <c r="G447" i="617" s="1"/>
  <c r="O446" i="617"/>
  <c r="F446" i="617"/>
  <c r="G446" i="617" s="1"/>
  <c r="O445" i="617"/>
  <c r="F445" i="617"/>
  <c r="G445" i="617" s="1"/>
  <c r="O444" i="617"/>
  <c r="F444" i="617"/>
  <c r="G444" i="617" s="1"/>
  <c r="O443" i="617"/>
  <c r="F443" i="617"/>
  <c r="G443" i="617" s="1"/>
  <c r="O442" i="617"/>
  <c r="F442" i="617"/>
  <c r="G442" i="617" s="1"/>
  <c r="O441" i="617"/>
  <c r="F441" i="617"/>
  <c r="G441" i="617" s="1"/>
  <c r="O440" i="617"/>
  <c r="F440" i="617"/>
  <c r="G440" i="617" s="1"/>
  <c r="O439" i="617"/>
  <c r="F439" i="617"/>
  <c r="G439" i="617" s="1"/>
  <c r="O438" i="617"/>
  <c r="F438" i="617"/>
  <c r="G438" i="617" s="1"/>
  <c r="O437" i="617"/>
  <c r="F437" i="617"/>
  <c r="G437" i="617" s="1"/>
  <c r="O436" i="617"/>
  <c r="F436" i="617"/>
  <c r="G436" i="617" s="1"/>
  <c r="O435" i="617"/>
  <c r="F435" i="617"/>
  <c r="G435" i="617" s="1"/>
  <c r="O434" i="617"/>
  <c r="F434" i="617"/>
  <c r="G434" i="617" s="1"/>
  <c r="O433" i="617"/>
  <c r="F433" i="617"/>
  <c r="G433" i="617" s="1"/>
  <c r="O432" i="617"/>
  <c r="F432" i="617"/>
  <c r="G432" i="617" s="1"/>
  <c r="O431" i="617"/>
  <c r="F431" i="617"/>
  <c r="G431" i="617" s="1"/>
  <c r="O430" i="617"/>
  <c r="F430" i="617"/>
  <c r="G430" i="617" s="1"/>
  <c r="O429" i="617"/>
  <c r="F429" i="617"/>
  <c r="G429" i="617" s="1"/>
  <c r="O428" i="617"/>
  <c r="F428" i="617"/>
  <c r="G428" i="617" s="1"/>
  <c r="O427" i="617"/>
  <c r="F427" i="617"/>
  <c r="G427" i="617" s="1"/>
  <c r="O426" i="617"/>
  <c r="F426" i="617"/>
  <c r="G426" i="617" s="1"/>
  <c r="O425" i="617"/>
  <c r="F425" i="617"/>
  <c r="G425" i="617" s="1"/>
  <c r="O424" i="617"/>
  <c r="F424" i="617"/>
  <c r="G424" i="617" s="1"/>
  <c r="O423" i="617"/>
  <c r="F423" i="617"/>
  <c r="G423" i="617" s="1"/>
  <c r="O422" i="617"/>
  <c r="F422" i="617"/>
  <c r="G422" i="617" s="1"/>
  <c r="O421" i="617"/>
  <c r="F421" i="617"/>
  <c r="G421" i="617" s="1"/>
  <c r="O420" i="617"/>
  <c r="F420" i="617"/>
  <c r="G420" i="617" s="1"/>
  <c r="O419" i="617"/>
  <c r="F419" i="617"/>
  <c r="G419" i="617" s="1"/>
  <c r="O418" i="617"/>
  <c r="F418" i="617"/>
  <c r="G418" i="617" s="1"/>
  <c r="O417" i="617"/>
  <c r="F417" i="617"/>
  <c r="G417" i="617" s="1"/>
  <c r="O416" i="617"/>
  <c r="F416" i="617"/>
  <c r="G416" i="617" s="1"/>
  <c r="O415" i="617"/>
  <c r="F415" i="617"/>
  <c r="G415" i="617" s="1"/>
  <c r="O414" i="617"/>
  <c r="F414" i="617"/>
  <c r="G414" i="617" s="1"/>
  <c r="O413" i="617"/>
  <c r="F413" i="617"/>
  <c r="G413" i="617" s="1"/>
  <c r="O412" i="617"/>
  <c r="F412" i="617"/>
  <c r="G412" i="617" s="1"/>
  <c r="O411" i="617"/>
  <c r="F411" i="617"/>
  <c r="G411" i="617" s="1"/>
  <c r="O410" i="617"/>
  <c r="F410" i="617"/>
  <c r="G410" i="617" s="1"/>
  <c r="O409" i="617"/>
  <c r="F409" i="617"/>
  <c r="G409" i="617" s="1"/>
  <c r="O408" i="617"/>
  <c r="F408" i="617"/>
  <c r="G408" i="617" s="1"/>
  <c r="O407" i="617"/>
  <c r="F407" i="617"/>
  <c r="G407" i="617" s="1"/>
  <c r="O406" i="617"/>
  <c r="F406" i="617"/>
  <c r="G406" i="617" s="1"/>
  <c r="O405" i="617"/>
  <c r="F405" i="617"/>
  <c r="G405" i="617" s="1"/>
  <c r="O404" i="617"/>
  <c r="F404" i="617"/>
  <c r="G404" i="617" s="1"/>
  <c r="O403" i="617"/>
  <c r="F403" i="617"/>
  <c r="G403" i="617" s="1"/>
  <c r="O402" i="617"/>
  <c r="F402" i="617"/>
  <c r="G402" i="617" s="1"/>
  <c r="O401" i="617"/>
  <c r="F401" i="617"/>
  <c r="G401" i="617" s="1"/>
  <c r="O400" i="617"/>
  <c r="F400" i="617"/>
  <c r="G400" i="617" s="1"/>
  <c r="O399" i="617"/>
  <c r="F399" i="617"/>
  <c r="G399" i="617" s="1"/>
  <c r="O398" i="617"/>
  <c r="F398" i="617"/>
  <c r="G398" i="617" s="1"/>
  <c r="O397" i="617"/>
  <c r="F397" i="617"/>
  <c r="G397" i="617" s="1"/>
  <c r="O396" i="617"/>
  <c r="F396" i="617"/>
  <c r="G396" i="617" s="1"/>
  <c r="O395" i="617"/>
  <c r="F395" i="617"/>
  <c r="G395" i="617" s="1"/>
  <c r="O394" i="617"/>
  <c r="F394" i="617"/>
  <c r="G394" i="617" s="1"/>
  <c r="O393" i="617"/>
  <c r="F393" i="617"/>
  <c r="G393" i="617" s="1"/>
  <c r="O392" i="617"/>
  <c r="F392" i="617"/>
  <c r="G392" i="617" s="1"/>
  <c r="O391" i="617"/>
  <c r="F391" i="617"/>
  <c r="G391" i="617" s="1"/>
  <c r="O390" i="617"/>
  <c r="F390" i="617"/>
  <c r="G390" i="617" s="1"/>
  <c r="O389" i="617"/>
  <c r="F389" i="617"/>
  <c r="G389" i="617" s="1"/>
  <c r="O388" i="617"/>
  <c r="F388" i="617"/>
  <c r="G388" i="617" s="1"/>
  <c r="O387" i="617"/>
  <c r="F387" i="617"/>
  <c r="G387" i="617" s="1"/>
  <c r="O386" i="617"/>
  <c r="F386" i="617"/>
  <c r="G386" i="617" s="1"/>
  <c r="O385" i="617"/>
  <c r="F385" i="617"/>
  <c r="G385" i="617" s="1"/>
  <c r="O384" i="617"/>
  <c r="F384" i="617"/>
  <c r="G384" i="617" s="1"/>
  <c r="O383" i="617"/>
  <c r="F383" i="617"/>
  <c r="G383" i="617" s="1"/>
  <c r="O382" i="617"/>
  <c r="F382" i="617"/>
  <c r="G382" i="617" s="1"/>
  <c r="O381" i="617"/>
  <c r="F381" i="617"/>
  <c r="G381" i="617" s="1"/>
  <c r="O380" i="617"/>
  <c r="F380" i="617"/>
  <c r="G380" i="617" s="1"/>
  <c r="O379" i="617"/>
  <c r="F379" i="617"/>
  <c r="G379" i="617" s="1"/>
  <c r="O378" i="617"/>
  <c r="F378" i="617"/>
  <c r="G378" i="617" s="1"/>
  <c r="O377" i="617"/>
  <c r="F377" i="617"/>
  <c r="G377" i="617" s="1"/>
  <c r="O376" i="617"/>
  <c r="F376" i="617"/>
  <c r="G376" i="617" s="1"/>
  <c r="O375" i="617"/>
  <c r="F375" i="617"/>
  <c r="G375" i="617" s="1"/>
  <c r="O374" i="617"/>
  <c r="F374" i="617"/>
  <c r="G374" i="617" s="1"/>
  <c r="O373" i="617"/>
  <c r="F373" i="617"/>
  <c r="G373" i="617" s="1"/>
  <c r="O372" i="617"/>
  <c r="F372" i="617"/>
  <c r="G372" i="617" s="1"/>
  <c r="O371" i="617"/>
  <c r="F371" i="617"/>
  <c r="G371" i="617" s="1"/>
  <c r="O370" i="617"/>
  <c r="F370" i="617"/>
  <c r="G370" i="617" s="1"/>
  <c r="O369" i="617"/>
  <c r="F369" i="617"/>
  <c r="G369" i="617" s="1"/>
  <c r="O368" i="617"/>
  <c r="F368" i="617"/>
  <c r="G368" i="617" s="1"/>
  <c r="O367" i="617"/>
  <c r="F367" i="617"/>
  <c r="G367" i="617" s="1"/>
  <c r="O366" i="617"/>
  <c r="F366" i="617"/>
  <c r="G366" i="617" s="1"/>
  <c r="O365" i="617"/>
  <c r="F365" i="617"/>
  <c r="G365" i="617" s="1"/>
  <c r="O364" i="617"/>
  <c r="F364" i="617"/>
  <c r="G364" i="617" s="1"/>
  <c r="O363" i="617"/>
  <c r="F363" i="617"/>
  <c r="G363" i="617" s="1"/>
  <c r="O362" i="617"/>
  <c r="F362" i="617"/>
  <c r="G362" i="617" s="1"/>
  <c r="O361" i="617"/>
  <c r="F361" i="617"/>
  <c r="G361" i="617" s="1"/>
  <c r="O360" i="617"/>
  <c r="F360" i="617"/>
  <c r="G360" i="617" s="1"/>
  <c r="O359" i="617"/>
  <c r="F359" i="617"/>
  <c r="G359" i="617" s="1"/>
  <c r="O358" i="617"/>
  <c r="F358" i="617"/>
  <c r="G358" i="617" s="1"/>
  <c r="O357" i="617"/>
  <c r="F357" i="617"/>
  <c r="G357" i="617" s="1"/>
  <c r="O356" i="617"/>
  <c r="F356" i="617"/>
  <c r="G356" i="617" s="1"/>
  <c r="O355" i="617"/>
  <c r="F355" i="617"/>
  <c r="G355" i="617" s="1"/>
  <c r="O354" i="617"/>
  <c r="F354" i="617"/>
  <c r="G354" i="617" s="1"/>
  <c r="O353" i="617"/>
  <c r="F353" i="617"/>
  <c r="G353" i="617" s="1"/>
  <c r="O352" i="617"/>
  <c r="F352" i="617"/>
  <c r="G352" i="617" s="1"/>
  <c r="O351" i="617"/>
  <c r="F351" i="617"/>
  <c r="G351" i="617" s="1"/>
  <c r="O350" i="617"/>
  <c r="F350" i="617"/>
  <c r="G350" i="617" s="1"/>
  <c r="O349" i="617"/>
  <c r="F349" i="617"/>
  <c r="G349" i="617" s="1"/>
  <c r="O348" i="617"/>
  <c r="F348" i="617"/>
  <c r="G348" i="617" s="1"/>
  <c r="O347" i="617"/>
  <c r="F347" i="617"/>
  <c r="G347" i="617" s="1"/>
  <c r="O346" i="617"/>
  <c r="F346" i="617"/>
  <c r="G346" i="617" s="1"/>
  <c r="O345" i="617"/>
  <c r="F345" i="617"/>
  <c r="G345" i="617" s="1"/>
  <c r="O344" i="617"/>
  <c r="F344" i="617"/>
  <c r="G344" i="617" s="1"/>
  <c r="O343" i="617"/>
  <c r="F343" i="617"/>
  <c r="G343" i="617" s="1"/>
  <c r="O342" i="617"/>
  <c r="F342" i="617"/>
  <c r="G342" i="617" s="1"/>
  <c r="O341" i="617"/>
  <c r="F341" i="617"/>
  <c r="G341" i="617" s="1"/>
  <c r="O340" i="617"/>
  <c r="F340" i="617"/>
  <c r="G340" i="617" s="1"/>
  <c r="O339" i="617"/>
  <c r="F339" i="617"/>
  <c r="G339" i="617" s="1"/>
  <c r="O338" i="617"/>
  <c r="F338" i="617"/>
  <c r="G338" i="617" s="1"/>
  <c r="O337" i="617"/>
  <c r="F337" i="617"/>
  <c r="G337" i="617" s="1"/>
  <c r="O336" i="617"/>
  <c r="F336" i="617"/>
  <c r="G336" i="617" s="1"/>
  <c r="O335" i="617"/>
  <c r="F335" i="617"/>
  <c r="G335" i="617" s="1"/>
  <c r="O334" i="617"/>
  <c r="F334" i="617"/>
  <c r="G334" i="617" s="1"/>
  <c r="O333" i="617"/>
  <c r="F333" i="617"/>
  <c r="G333" i="617" s="1"/>
  <c r="O332" i="617"/>
  <c r="F332" i="617"/>
  <c r="G332" i="617" s="1"/>
  <c r="O331" i="617"/>
  <c r="F331" i="617"/>
  <c r="G331" i="617" s="1"/>
  <c r="O330" i="617"/>
  <c r="F330" i="617"/>
  <c r="G330" i="617" s="1"/>
  <c r="O329" i="617"/>
  <c r="F329" i="617"/>
  <c r="G329" i="617" s="1"/>
  <c r="O328" i="617"/>
  <c r="F328" i="617"/>
  <c r="G328" i="617" s="1"/>
  <c r="O327" i="617"/>
  <c r="F327" i="617"/>
  <c r="G327" i="617" s="1"/>
  <c r="O326" i="617"/>
  <c r="F326" i="617"/>
  <c r="G326" i="617" s="1"/>
  <c r="O325" i="617"/>
  <c r="F325" i="617"/>
  <c r="G325" i="617" s="1"/>
  <c r="O324" i="617"/>
  <c r="F324" i="617"/>
  <c r="G324" i="617" s="1"/>
  <c r="O323" i="617"/>
  <c r="F323" i="617"/>
  <c r="G323" i="617" s="1"/>
  <c r="O322" i="617"/>
  <c r="F322" i="617"/>
  <c r="G322" i="617" s="1"/>
  <c r="O321" i="617"/>
  <c r="F321" i="617"/>
  <c r="G321" i="617" s="1"/>
  <c r="O320" i="617"/>
  <c r="F320" i="617"/>
  <c r="G320" i="617" s="1"/>
  <c r="O319" i="617"/>
  <c r="F319" i="617"/>
  <c r="G319" i="617" s="1"/>
  <c r="O318" i="617"/>
  <c r="F318" i="617"/>
  <c r="G318" i="617" s="1"/>
  <c r="O317" i="617"/>
  <c r="F317" i="617"/>
  <c r="G317" i="617" s="1"/>
  <c r="O316" i="617"/>
  <c r="F316" i="617"/>
  <c r="G316" i="617" s="1"/>
  <c r="O315" i="617"/>
  <c r="F315" i="617"/>
  <c r="G315" i="617" s="1"/>
  <c r="O314" i="617"/>
  <c r="F314" i="617"/>
  <c r="G314" i="617" s="1"/>
  <c r="O313" i="617"/>
  <c r="F313" i="617"/>
  <c r="G313" i="617" s="1"/>
  <c r="O312" i="617"/>
  <c r="F312" i="617"/>
  <c r="G312" i="617" s="1"/>
  <c r="O311" i="617"/>
  <c r="F311" i="617"/>
  <c r="G311" i="617" s="1"/>
  <c r="O310" i="617"/>
  <c r="F310" i="617"/>
  <c r="G310" i="617" s="1"/>
  <c r="O309" i="617"/>
  <c r="F309" i="617"/>
  <c r="G309" i="617" s="1"/>
  <c r="O308" i="617"/>
  <c r="F308" i="617"/>
  <c r="G308" i="617" s="1"/>
  <c r="O307" i="617"/>
  <c r="F307" i="617"/>
  <c r="G307" i="617" s="1"/>
  <c r="O306" i="617"/>
  <c r="F306" i="617"/>
  <c r="G306" i="617" s="1"/>
  <c r="O305" i="617"/>
  <c r="F305" i="617"/>
  <c r="G305" i="617" s="1"/>
  <c r="O304" i="617"/>
  <c r="F304" i="617"/>
  <c r="G304" i="617" s="1"/>
  <c r="O303" i="617"/>
  <c r="F303" i="617"/>
  <c r="G303" i="617" s="1"/>
  <c r="O302" i="617"/>
  <c r="F302" i="617"/>
  <c r="G302" i="617" s="1"/>
  <c r="O301" i="617"/>
  <c r="F301" i="617"/>
  <c r="G301" i="617" s="1"/>
  <c r="O300" i="617"/>
  <c r="F300" i="617"/>
  <c r="G300" i="617" s="1"/>
  <c r="O299" i="617"/>
  <c r="F299" i="617"/>
  <c r="G299" i="617" s="1"/>
  <c r="O298" i="617"/>
  <c r="F298" i="617"/>
  <c r="G298" i="617" s="1"/>
  <c r="O297" i="617"/>
  <c r="F297" i="617"/>
  <c r="G297" i="617" s="1"/>
  <c r="O296" i="617"/>
  <c r="F296" i="617"/>
  <c r="G296" i="617" s="1"/>
  <c r="O295" i="617"/>
  <c r="F295" i="617"/>
  <c r="G295" i="617" s="1"/>
  <c r="O294" i="617"/>
  <c r="F294" i="617"/>
  <c r="G294" i="617" s="1"/>
  <c r="O293" i="617"/>
  <c r="F293" i="617"/>
  <c r="G293" i="617" s="1"/>
  <c r="O292" i="617"/>
  <c r="F292" i="617"/>
  <c r="G292" i="617" s="1"/>
  <c r="O291" i="617"/>
  <c r="F291" i="617"/>
  <c r="G291" i="617" s="1"/>
  <c r="O290" i="617"/>
  <c r="F290" i="617"/>
  <c r="G290" i="617" s="1"/>
  <c r="O289" i="617"/>
  <c r="F289" i="617"/>
  <c r="G289" i="617" s="1"/>
  <c r="O288" i="617"/>
  <c r="F288" i="617"/>
  <c r="G288" i="617" s="1"/>
  <c r="O287" i="617"/>
  <c r="F287" i="617"/>
  <c r="G287" i="617" s="1"/>
  <c r="O286" i="617"/>
  <c r="F286" i="617"/>
  <c r="G286" i="617" s="1"/>
  <c r="O285" i="617"/>
  <c r="F285" i="617"/>
  <c r="G285" i="617" s="1"/>
  <c r="O284" i="617"/>
  <c r="F284" i="617"/>
  <c r="G284" i="617" s="1"/>
  <c r="O283" i="617"/>
  <c r="F283" i="617"/>
  <c r="G283" i="617" s="1"/>
  <c r="O282" i="617"/>
  <c r="F282" i="617"/>
  <c r="G282" i="617" s="1"/>
  <c r="O281" i="617"/>
  <c r="F281" i="617"/>
  <c r="G281" i="617" s="1"/>
  <c r="O280" i="617"/>
  <c r="F280" i="617"/>
  <c r="G280" i="617" s="1"/>
  <c r="O279" i="617"/>
  <c r="F279" i="617"/>
  <c r="G279" i="617" s="1"/>
  <c r="O278" i="617"/>
  <c r="F278" i="617"/>
  <c r="G278" i="617" s="1"/>
  <c r="O277" i="617"/>
  <c r="F277" i="617"/>
  <c r="G277" i="617" s="1"/>
  <c r="O276" i="617"/>
  <c r="F276" i="617"/>
  <c r="G276" i="617" s="1"/>
  <c r="O275" i="617"/>
  <c r="F275" i="617"/>
  <c r="G275" i="617" s="1"/>
  <c r="O274" i="617"/>
  <c r="F274" i="617"/>
  <c r="G274" i="617" s="1"/>
  <c r="O273" i="617"/>
  <c r="F273" i="617"/>
  <c r="G273" i="617" s="1"/>
  <c r="O272" i="617"/>
  <c r="F272" i="617"/>
  <c r="G272" i="617" s="1"/>
  <c r="O271" i="617"/>
  <c r="F271" i="617"/>
  <c r="G271" i="617" s="1"/>
  <c r="O270" i="617"/>
  <c r="F270" i="617"/>
  <c r="G270" i="617" s="1"/>
  <c r="O269" i="617"/>
  <c r="F269" i="617"/>
  <c r="G269" i="617" s="1"/>
  <c r="O268" i="617"/>
  <c r="F268" i="617"/>
  <c r="G268" i="617" s="1"/>
  <c r="O267" i="617"/>
  <c r="F267" i="617"/>
  <c r="G267" i="617" s="1"/>
  <c r="O266" i="617"/>
  <c r="F266" i="617"/>
  <c r="G266" i="617" s="1"/>
  <c r="O265" i="617"/>
  <c r="F265" i="617"/>
  <c r="G265" i="617" s="1"/>
  <c r="O264" i="617"/>
  <c r="F264" i="617"/>
  <c r="G264" i="617" s="1"/>
  <c r="O263" i="617"/>
  <c r="F263" i="617"/>
  <c r="G263" i="617" s="1"/>
  <c r="O262" i="617"/>
  <c r="F262" i="617"/>
  <c r="G262" i="617" s="1"/>
  <c r="O261" i="617"/>
  <c r="F261" i="617"/>
  <c r="G261" i="617" s="1"/>
  <c r="O260" i="617"/>
  <c r="F260" i="617"/>
  <c r="G260" i="617" s="1"/>
  <c r="O259" i="617"/>
  <c r="F259" i="617"/>
  <c r="G259" i="617" s="1"/>
  <c r="O258" i="617"/>
  <c r="F258" i="617"/>
  <c r="G258" i="617" s="1"/>
  <c r="O257" i="617"/>
  <c r="F257" i="617"/>
  <c r="G257" i="617" s="1"/>
  <c r="O256" i="617"/>
  <c r="F256" i="617"/>
  <c r="G256" i="617" s="1"/>
  <c r="O255" i="617"/>
  <c r="F255" i="617"/>
  <c r="G255" i="617" s="1"/>
  <c r="O254" i="617"/>
  <c r="F254" i="617"/>
  <c r="G254" i="617" s="1"/>
  <c r="O253" i="617"/>
  <c r="F253" i="617"/>
  <c r="G253" i="617" s="1"/>
  <c r="O252" i="617"/>
  <c r="F252" i="617"/>
  <c r="G252" i="617" s="1"/>
  <c r="O251" i="617"/>
  <c r="F251" i="617"/>
  <c r="G251" i="617" s="1"/>
  <c r="O250" i="617"/>
  <c r="F250" i="617"/>
  <c r="G250" i="617" s="1"/>
  <c r="O249" i="617"/>
  <c r="F249" i="617"/>
  <c r="G249" i="617" s="1"/>
  <c r="O248" i="617"/>
  <c r="F248" i="617"/>
  <c r="G248" i="617" s="1"/>
  <c r="O247" i="617"/>
  <c r="F247" i="617"/>
  <c r="G247" i="617" s="1"/>
  <c r="O246" i="617"/>
  <c r="F246" i="617"/>
  <c r="G246" i="617" s="1"/>
  <c r="O245" i="617"/>
  <c r="F245" i="617"/>
  <c r="G245" i="617" s="1"/>
  <c r="O244" i="617"/>
  <c r="F244" i="617"/>
  <c r="G244" i="617" s="1"/>
  <c r="O243" i="617"/>
  <c r="F243" i="617"/>
  <c r="G243" i="617" s="1"/>
  <c r="O242" i="617"/>
  <c r="F242" i="617"/>
  <c r="G242" i="617" s="1"/>
  <c r="O241" i="617"/>
  <c r="F241" i="617"/>
  <c r="G241" i="617" s="1"/>
  <c r="O240" i="617"/>
  <c r="F240" i="617"/>
  <c r="G240" i="617" s="1"/>
  <c r="O239" i="617"/>
  <c r="F239" i="617"/>
  <c r="G239" i="617" s="1"/>
  <c r="O238" i="617"/>
  <c r="F238" i="617"/>
  <c r="G238" i="617" s="1"/>
  <c r="O237" i="617"/>
  <c r="F237" i="617"/>
  <c r="G237" i="617" s="1"/>
  <c r="O236" i="617"/>
  <c r="F236" i="617"/>
  <c r="G236" i="617" s="1"/>
  <c r="O235" i="617"/>
  <c r="F235" i="617"/>
  <c r="G235" i="617" s="1"/>
  <c r="O234" i="617"/>
  <c r="F234" i="617"/>
  <c r="G234" i="617" s="1"/>
  <c r="O233" i="617"/>
  <c r="F233" i="617"/>
  <c r="G233" i="617" s="1"/>
  <c r="O232" i="617"/>
  <c r="F232" i="617"/>
  <c r="G232" i="617" s="1"/>
  <c r="O231" i="617"/>
  <c r="F231" i="617"/>
  <c r="G231" i="617" s="1"/>
  <c r="O230" i="617"/>
  <c r="F230" i="617"/>
  <c r="G230" i="617" s="1"/>
  <c r="O229" i="617"/>
  <c r="F229" i="617"/>
  <c r="G229" i="617" s="1"/>
  <c r="O228" i="617"/>
  <c r="F228" i="617"/>
  <c r="G228" i="617" s="1"/>
  <c r="O227" i="617"/>
  <c r="F227" i="617"/>
  <c r="G227" i="617" s="1"/>
  <c r="O226" i="617"/>
  <c r="F226" i="617"/>
  <c r="G226" i="617" s="1"/>
  <c r="O225" i="617"/>
  <c r="F225" i="617"/>
  <c r="G225" i="617" s="1"/>
  <c r="O224" i="617"/>
  <c r="F224" i="617"/>
  <c r="G224" i="617" s="1"/>
  <c r="O223" i="617"/>
  <c r="F223" i="617"/>
  <c r="G223" i="617" s="1"/>
  <c r="O222" i="617"/>
  <c r="F222" i="617"/>
  <c r="G222" i="617" s="1"/>
  <c r="O221" i="617"/>
  <c r="F221" i="617"/>
  <c r="G221" i="617" s="1"/>
  <c r="O220" i="617"/>
  <c r="F220" i="617"/>
  <c r="G220" i="617" s="1"/>
  <c r="O219" i="617"/>
  <c r="F219" i="617"/>
  <c r="G219" i="617" s="1"/>
  <c r="O218" i="617"/>
  <c r="F218" i="617"/>
  <c r="G218" i="617" s="1"/>
  <c r="O217" i="617"/>
  <c r="F217" i="617"/>
  <c r="G217" i="617" s="1"/>
  <c r="O216" i="617"/>
  <c r="F216" i="617"/>
  <c r="G216" i="617" s="1"/>
  <c r="O215" i="617"/>
  <c r="F215" i="617"/>
  <c r="G215" i="617" s="1"/>
  <c r="O214" i="617"/>
  <c r="F214" i="617"/>
  <c r="G214" i="617" s="1"/>
  <c r="O213" i="617"/>
  <c r="F213" i="617"/>
  <c r="G213" i="617" s="1"/>
  <c r="O212" i="617"/>
  <c r="F212" i="617"/>
  <c r="G212" i="617" s="1"/>
  <c r="O211" i="617"/>
  <c r="F211" i="617"/>
  <c r="G211" i="617" s="1"/>
  <c r="O210" i="617"/>
  <c r="F210" i="617"/>
  <c r="G210" i="617" s="1"/>
  <c r="O209" i="617"/>
  <c r="F209" i="617"/>
  <c r="G209" i="617" s="1"/>
  <c r="O208" i="617"/>
  <c r="F208" i="617"/>
  <c r="G208" i="617" s="1"/>
  <c r="O207" i="617"/>
  <c r="F207" i="617"/>
  <c r="G207" i="617" s="1"/>
  <c r="O206" i="617"/>
  <c r="F206" i="617"/>
  <c r="G206" i="617" s="1"/>
  <c r="O205" i="617"/>
  <c r="F205" i="617"/>
  <c r="G205" i="617" s="1"/>
  <c r="O204" i="617"/>
  <c r="F204" i="617"/>
  <c r="G204" i="617" s="1"/>
  <c r="O203" i="617"/>
  <c r="F203" i="617"/>
  <c r="G203" i="617" s="1"/>
  <c r="O202" i="617"/>
  <c r="F202" i="617"/>
  <c r="G202" i="617" s="1"/>
  <c r="O201" i="617"/>
  <c r="F201" i="617"/>
  <c r="G201" i="617" s="1"/>
  <c r="O200" i="617"/>
  <c r="F200" i="617"/>
  <c r="G200" i="617" s="1"/>
  <c r="O199" i="617"/>
  <c r="F199" i="617"/>
  <c r="G199" i="617" s="1"/>
  <c r="O198" i="617"/>
  <c r="F198" i="617"/>
  <c r="G198" i="617" s="1"/>
  <c r="O197" i="617"/>
  <c r="F197" i="617"/>
  <c r="G197" i="617" s="1"/>
  <c r="O196" i="617"/>
  <c r="F196" i="617"/>
  <c r="G196" i="617" s="1"/>
  <c r="O195" i="617"/>
  <c r="F195" i="617"/>
  <c r="G195" i="617" s="1"/>
  <c r="O194" i="617"/>
  <c r="F194" i="617"/>
  <c r="G194" i="617" s="1"/>
  <c r="O193" i="617"/>
  <c r="F193" i="617"/>
  <c r="G193" i="617" s="1"/>
  <c r="O192" i="617"/>
  <c r="F192" i="617"/>
  <c r="G192" i="617" s="1"/>
  <c r="O191" i="617"/>
  <c r="F191" i="617"/>
  <c r="G191" i="617" s="1"/>
  <c r="O190" i="617"/>
  <c r="F190" i="617"/>
  <c r="G190" i="617" s="1"/>
  <c r="O189" i="617"/>
  <c r="F189" i="617"/>
  <c r="G189" i="617" s="1"/>
  <c r="O188" i="617"/>
  <c r="F188" i="617"/>
  <c r="G188" i="617" s="1"/>
  <c r="O187" i="617"/>
  <c r="F187" i="617"/>
  <c r="G187" i="617" s="1"/>
  <c r="O186" i="617"/>
  <c r="F186" i="617"/>
  <c r="G186" i="617" s="1"/>
  <c r="O185" i="617"/>
  <c r="F185" i="617"/>
  <c r="G185" i="617" s="1"/>
  <c r="O184" i="617"/>
  <c r="F184" i="617"/>
  <c r="G184" i="617" s="1"/>
  <c r="O183" i="617"/>
  <c r="F183" i="617"/>
  <c r="G183" i="617" s="1"/>
  <c r="O182" i="617"/>
  <c r="F182" i="617"/>
  <c r="G182" i="617" s="1"/>
  <c r="O181" i="617"/>
  <c r="F181" i="617"/>
  <c r="G181" i="617" s="1"/>
  <c r="O180" i="617"/>
  <c r="F180" i="617"/>
  <c r="G180" i="617" s="1"/>
  <c r="O179" i="617"/>
  <c r="F179" i="617"/>
  <c r="G179" i="617" s="1"/>
  <c r="O178" i="617"/>
  <c r="F178" i="617"/>
  <c r="G178" i="617" s="1"/>
  <c r="O177" i="617"/>
  <c r="F177" i="617"/>
  <c r="G177" i="617" s="1"/>
  <c r="O176" i="617"/>
  <c r="F176" i="617"/>
  <c r="G176" i="617" s="1"/>
  <c r="O175" i="617"/>
  <c r="F175" i="617"/>
  <c r="G175" i="617" s="1"/>
  <c r="O174" i="617"/>
  <c r="F174" i="617"/>
  <c r="G174" i="617" s="1"/>
  <c r="O173" i="617"/>
  <c r="F173" i="617"/>
  <c r="G173" i="617" s="1"/>
  <c r="O172" i="617"/>
  <c r="F172" i="617"/>
  <c r="G172" i="617" s="1"/>
  <c r="O171" i="617"/>
  <c r="F171" i="617"/>
  <c r="G171" i="617" s="1"/>
  <c r="O170" i="617"/>
  <c r="F170" i="617"/>
  <c r="G170" i="617" s="1"/>
  <c r="O169" i="617"/>
  <c r="F169" i="617"/>
  <c r="G169" i="617" s="1"/>
  <c r="O168" i="617"/>
  <c r="F168" i="617"/>
  <c r="G168" i="617" s="1"/>
  <c r="O167" i="617"/>
  <c r="F167" i="617"/>
  <c r="G167" i="617" s="1"/>
  <c r="O166" i="617"/>
  <c r="F166" i="617"/>
  <c r="G166" i="617" s="1"/>
  <c r="O165" i="617"/>
  <c r="F165" i="617"/>
  <c r="G165" i="617" s="1"/>
  <c r="O164" i="617"/>
  <c r="F164" i="617"/>
  <c r="G164" i="617" s="1"/>
  <c r="O163" i="617"/>
  <c r="F163" i="617"/>
  <c r="G163" i="617" s="1"/>
  <c r="O162" i="617"/>
  <c r="F162" i="617"/>
  <c r="G162" i="617" s="1"/>
  <c r="O161" i="617"/>
  <c r="F161" i="617"/>
  <c r="G161" i="617" s="1"/>
  <c r="O160" i="617"/>
  <c r="F160" i="617"/>
  <c r="G160" i="617" s="1"/>
  <c r="O159" i="617"/>
  <c r="F159" i="617"/>
  <c r="G159" i="617" s="1"/>
  <c r="O158" i="617"/>
  <c r="F158" i="617"/>
  <c r="G158" i="617" s="1"/>
  <c r="O157" i="617"/>
  <c r="F157" i="617"/>
  <c r="G157" i="617" s="1"/>
  <c r="O156" i="617"/>
  <c r="F156" i="617"/>
  <c r="G156" i="617" s="1"/>
  <c r="O155" i="617"/>
  <c r="F155" i="617"/>
  <c r="G155" i="617" s="1"/>
  <c r="O154" i="617"/>
  <c r="F154" i="617"/>
  <c r="G154" i="617" s="1"/>
  <c r="O153" i="617"/>
  <c r="F153" i="617"/>
  <c r="G153" i="617" s="1"/>
  <c r="O152" i="617"/>
  <c r="F152" i="617"/>
  <c r="G152" i="617" s="1"/>
  <c r="O151" i="617"/>
  <c r="F151" i="617"/>
  <c r="G151" i="617" s="1"/>
  <c r="O150" i="617"/>
  <c r="F150" i="617"/>
  <c r="G150" i="617" s="1"/>
  <c r="O149" i="617"/>
  <c r="F149" i="617"/>
  <c r="G149" i="617" s="1"/>
  <c r="O148" i="617"/>
  <c r="F148" i="617"/>
  <c r="G148" i="617" s="1"/>
  <c r="O147" i="617"/>
  <c r="F147" i="617"/>
  <c r="G147" i="617" s="1"/>
  <c r="O146" i="617"/>
  <c r="F146" i="617"/>
  <c r="G146" i="617" s="1"/>
  <c r="O145" i="617"/>
  <c r="F145" i="617"/>
  <c r="G145" i="617" s="1"/>
  <c r="O144" i="617"/>
  <c r="F144" i="617"/>
  <c r="G144" i="617" s="1"/>
  <c r="O143" i="617"/>
  <c r="F143" i="617"/>
  <c r="G143" i="617" s="1"/>
  <c r="O142" i="617"/>
  <c r="F142" i="617"/>
  <c r="G142" i="617" s="1"/>
  <c r="O141" i="617"/>
  <c r="F141" i="617"/>
  <c r="G141" i="617" s="1"/>
  <c r="O140" i="617"/>
  <c r="F140" i="617"/>
  <c r="G140" i="617" s="1"/>
  <c r="O139" i="617"/>
  <c r="F139" i="617"/>
  <c r="G139" i="617" s="1"/>
  <c r="O138" i="617"/>
  <c r="F138" i="617"/>
  <c r="G138" i="617" s="1"/>
  <c r="O137" i="617"/>
  <c r="F137" i="617"/>
  <c r="G137" i="617" s="1"/>
  <c r="O136" i="617"/>
  <c r="F136" i="617"/>
  <c r="G136" i="617" s="1"/>
  <c r="O135" i="617"/>
  <c r="F135" i="617"/>
  <c r="G135" i="617" s="1"/>
  <c r="O134" i="617"/>
  <c r="F134" i="617"/>
  <c r="G134" i="617" s="1"/>
  <c r="O133" i="617"/>
  <c r="F133" i="617"/>
  <c r="G133" i="617" s="1"/>
  <c r="O132" i="617"/>
  <c r="F132" i="617"/>
  <c r="G132" i="617" s="1"/>
  <c r="O131" i="617"/>
  <c r="F131" i="617"/>
  <c r="G131" i="617" s="1"/>
  <c r="O130" i="617"/>
  <c r="F130" i="617"/>
  <c r="G130" i="617" s="1"/>
  <c r="O129" i="617"/>
  <c r="F129" i="617"/>
  <c r="G129" i="617" s="1"/>
  <c r="O128" i="617"/>
  <c r="F128" i="617"/>
  <c r="G128" i="617" s="1"/>
  <c r="O127" i="617"/>
  <c r="F127" i="617"/>
  <c r="G127" i="617" s="1"/>
  <c r="O126" i="617"/>
  <c r="F126" i="617"/>
  <c r="G126" i="617" s="1"/>
  <c r="O125" i="617"/>
  <c r="F125" i="617"/>
  <c r="G125" i="617" s="1"/>
  <c r="O124" i="617"/>
  <c r="F124" i="617"/>
  <c r="G124" i="617" s="1"/>
  <c r="O123" i="617"/>
  <c r="F123" i="617"/>
  <c r="G123" i="617" s="1"/>
  <c r="O122" i="617"/>
  <c r="F122" i="617"/>
  <c r="G122" i="617" s="1"/>
  <c r="O121" i="617"/>
  <c r="F121" i="617"/>
  <c r="G121" i="617" s="1"/>
  <c r="O120" i="617"/>
  <c r="F120" i="617"/>
  <c r="G120" i="617" s="1"/>
  <c r="O119" i="617"/>
  <c r="F119" i="617"/>
  <c r="G119" i="617" s="1"/>
  <c r="O118" i="617"/>
  <c r="F118" i="617"/>
  <c r="G118" i="617" s="1"/>
  <c r="O117" i="617"/>
  <c r="F117" i="617"/>
  <c r="G117" i="617" s="1"/>
  <c r="O116" i="617"/>
  <c r="F116" i="617"/>
  <c r="G116" i="617" s="1"/>
  <c r="O115" i="617"/>
  <c r="F115" i="617"/>
  <c r="G115" i="617" s="1"/>
  <c r="O114" i="617"/>
  <c r="F114" i="617"/>
  <c r="G114" i="617" s="1"/>
  <c r="O113" i="617"/>
  <c r="F113" i="617"/>
  <c r="G113" i="617" s="1"/>
  <c r="O112" i="617"/>
  <c r="F112" i="617"/>
  <c r="G112" i="617" s="1"/>
  <c r="O111" i="617"/>
  <c r="F111" i="617"/>
  <c r="G111" i="617" s="1"/>
  <c r="O110" i="617"/>
  <c r="F110" i="617"/>
  <c r="G110" i="617" s="1"/>
  <c r="O109" i="617"/>
  <c r="F109" i="617"/>
  <c r="G109" i="617" s="1"/>
  <c r="O108" i="617"/>
  <c r="F108" i="617"/>
  <c r="G108" i="617" s="1"/>
  <c r="O107" i="617"/>
  <c r="F107" i="617"/>
  <c r="G107" i="617" s="1"/>
  <c r="O106" i="617"/>
  <c r="F106" i="617"/>
  <c r="G106" i="617" s="1"/>
  <c r="O105" i="617"/>
  <c r="F105" i="617"/>
  <c r="G105" i="617" s="1"/>
  <c r="O104" i="617"/>
  <c r="F104" i="617"/>
  <c r="G104" i="617" s="1"/>
  <c r="O103" i="617"/>
  <c r="F103" i="617"/>
  <c r="G103" i="617" s="1"/>
  <c r="O102" i="617"/>
  <c r="F102" i="617"/>
  <c r="G102" i="617" s="1"/>
  <c r="O101" i="617"/>
  <c r="F101" i="617"/>
  <c r="G101" i="617" s="1"/>
  <c r="O100" i="617"/>
  <c r="F100" i="617"/>
  <c r="G100" i="617" s="1"/>
  <c r="O99" i="617"/>
  <c r="F99" i="617"/>
  <c r="G99" i="617" s="1"/>
  <c r="O98" i="617"/>
  <c r="F98" i="617"/>
  <c r="G98" i="617" s="1"/>
  <c r="O97" i="617"/>
  <c r="F97" i="617"/>
  <c r="G97" i="617" s="1"/>
  <c r="O96" i="617"/>
  <c r="F96" i="617"/>
  <c r="G96" i="617" s="1"/>
  <c r="O95" i="617"/>
  <c r="F95" i="617"/>
  <c r="G95" i="617" s="1"/>
  <c r="O94" i="617"/>
  <c r="F94" i="617"/>
  <c r="G94" i="617" s="1"/>
  <c r="O93" i="617"/>
  <c r="F93" i="617"/>
  <c r="G93" i="617" s="1"/>
  <c r="O92" i="617"/>
  <c r="F92" i="617"/>
  <c r="G92" i="617" s="1"/>
  <c r="O91" i="617"/>
  <c r="F91" i="617"/>
  <c r="G91" i="617" s="1"/>
  <c r="O90" i="617"/>
  <c r="F90" i="617"/>
  <c r="G90" i="617" s="1"/>
  <c r="O89" i="617"/>
  <c r="F89" i="617"/>
  <c r="G89" i="617" s="1"/>
  <c r="O88" i="617"/>
  <c r="F88" i="617"/>
  <c r="G88" i="617" s="1"/>
  <c r="O87" i="617"/>
  <c r="F87" i="617"/>
  <c r="G87" i="617" s="1"/>
  <c r="O86" i="617"/>
  <c r="F86" i="617"/>
  <c r="G86" i="617" s="1"/>
  <c r="O85" i="617"/>
  <c r="F85" i="617"/>
  <c r="G85" i="617" s="1"/>
  <c r="O84" i="617"/>
  <c r="F84" i="617"/>
  <c r="G84" i="617" s="1"/>
  <c r="O83" i="617"/>
  <c r="F83" i="617"/>
  <c r="G83" i="617" s="1"/>
  <c r="O82" i="617"/>
  <c r="F82" i="617"/>
  <c r="G82" i="617" s="1"/>
  <c r="O81" i="617"/>
  <c r="F81" i="617"/>
  <c r="G81" i="617" s="1"/>
  <c r="O80" i="617"/>
  <c r="F80" i="617"/>
  <c r="G80" i="617" s="1"/>
  <c r="O79" i="617"/>
  <c r="F79" i="617"/>
  <c r="G79" i="617" s="1"/>
  <c r="O78" i="617"/>
  <c r="F78" i="617"/>
  <c r="G78" i="617" s="1"/>
  <c r="O77" i="617"/>
  <c r="F77" i="617"/>
  <c r="G77" i="617" s="1"/>
  <c r="O76" i="617"/>
  <c r="F76" i="617"/>
  <c r="G76" i="617" s="1"/>
  <c r="O75" i="617"/>
  <c r="F75" i="617"/>
  <c r="G75" i="617" s="1"/>
  <c r="O74" i="617"/>
  <c r="F74" i="617"/>
  <c r="G74" i="617" s="1"/>
  <c r="O73" i="617"/>
  <c r="F73" i="617"/>
  <c r="G73" i="617" s="1"/>
  <c r="O72" i="617"/>
  <c r="F72" i="617"/>
  <c r="G72" i="617" s="1"/>
  <c r="O71" i="617"/>
  <c r="F71" i="617"/>
  <c r="G71" i="617" s="1"/>
  <c r="O70" i="617"/>
  <c r="F70" i="617"/>
  <c r="G70" i="617" s="1"/>
  <c r="O69" i="617"/>
  <c r="F69" i="617"/>
  <c r="G69" i="617" s="1"/>
  <c r="O68" i="617"/>
  <c r="F68" i="617"/>
  <c r="G68" i="617" s="1"/>
  <c r="O67" i="617"/>
  <c r="F67" i="617"/>
  <c r="G67" i="617" s="1"/>
  <c r="O66" i="617"/>
  <c r="F66" i="617"/>
  <c r="G66" i="617" s="1"/>
  <c r="O65" i="617"/>
  <c r="F65" i="617"/>
  <c r="G65" i="617" s="1"/>
  <c r="O64" i="617"/>
  <c r="F64" i="617"/>
  <c r="G64" i="617" s="1"/>
  <c r="O63" i="617"/>
  <c r="F63" i="617"/>
  <c r="G63" i="617" s="1"/>
  <c r="O62" i="617"/>
  <c r="F62" i="617"/>
  <c r="G62" i="617" s="1"/>
  <c r="O61" i="617"/>
  <c r="F61" i="617"/>
  <c r="G61" i="617" s="1"/>
  <c r="O60" i="617"/>
  <c r="F60" i="617"/>
  <c r="G60" i="617" s="1"/>
  <c r="O59" i="617"/>
  <c r="F59" i="617"/>
  <c r="G59" i="617" s="1"/>
  <c r="O58" i="617"/>
  <c r="F58" i="617"/>
  <c r="G58" i="617" s="1"/>
  <c r="O57" i="617"/>
  <c r="F57" i="617"/>
  <c r="G57" i="617" s="1"/>
  <c r="O56" i="617"/>
  <c r="F56" i="617"/>
  <c r="G56" i="617" s="1"/>
  <c r="O55" i="617"/>
  <c r="F55" i="617"/>
  <c r="G55" i="617" s="1"/>
  <c r="O54" i="617"/>
  <c r="F54" i="617"/>
  <c r="G54" i="617" s="1"/>
  <c r="O53" i="617"/>
  <c r="F53" i="617"/>
  <c r="G53" i="617" s="1"/>
  <c r="O52" i="617"/>
  <c r="F52" i="617"/>
  <c r="G52" i="617" s="1"/>
  <c r="O51" i="617"/>
  <c r="F51" i="617"/>
  <c r="G51" i="617" s="1"/>
  <c r="O50" i="617"/>
  <c r="F50" i="617"/>
  <c r="G50" i="617" s="1"/>
  <c r="O49" i="617"/>
  <c r="F49" i="617"/>
  <c r="G49" i="617" s="1"/>
  <c r="O48" i="617"/>
  <c r="F48" i="617"/>
  <c r="G48" i="617" s="1"/>
  <c r="O47" i="617"/>
  <c r="F47" i="617"/>
  <c r="G47" i="617" s="1"/>
  <c r="O46" i="617"/>
  <c r="F46" i="617"/>
  <c r="G46" i="617" s="1"/>
  <c r="O45" i="617"/>
  <c r="F45" i="617"/>
  <c r="G45" i="617" s="1"/>
  <c r="O44" i="617"/>
  <c r="F44" i="617"/>
  <c r="G44" i="617" s="1"/>
  <c r="O43" i="617"/>
  <c r="F43" i="617"/>
  <c r="G43" i="617" s="1"/>
  <c r="O42" i="617"/>
  <c r="F42" i="617"/>
  <c r="G42" i="617" s="1"/>
  <c r="O41" i="617"/>
  <c r="F41" i="617"/>
  <c r="G41" i="617" s="1"/>
  <c r="O40" i="617"/>
  <c r="F40" i="617"/>
  <c r="G40" i="617" s="1"/>
  <c r="O39" i="617"/>
  <c r="F39" i="617"/>
  <c r="G39" i="617" s="1"/>
  <c r="O38" i="617"/>
  <c r="F38" i="617"/>
  <c r="G38" i="617" s="1"/>
  <c r="O37" i="617"/>
  <c r="F37" i="617"/>
  <c r="G37" i="617" s="1"/>
  <c r="O36" i="617"/>
  <c r="F36" i="617"/>
  <c r="G36" i="617" s="1"/>
  <c r="O35" i="617"/>
  <c r="F35" i="617"/>
  <c r="G35" i="617" s="1"/>
  <c r="O34" i="617"/>
  <c r="F34" i="617"/>
  <c r="G34" i="617" s="1"/>
  <c r="O33" i="617"/>
  <c r="F33" i="617"/>
  <c r="G33" i="617" s="1"/>
  <c r="O32" i="617"/>
  <c r="F32" i="617"/>
  <c r="G32" i="617" s="1"/>
  <c r="O31" i="617"/>
  <c r="F31" i="617"/>
  <c r="G31" i="617" s="1"/>
  <c r="O30" i="617"/>
  <c r="F30" i="617"/>
  <c r="G30" i="617" s="1"/>
  <c r="O29" i="617"/>
  <c r="F29" i="617"/>
  <c r="G29" i="617" s="1"/>
  <c r="O28" i="617"/>
  <c r="F28" i="617"/>
  <c r="G28" i="617" s="1"/>
  <c r="O27" i="617"/>
  <c r="F27" i="617"/>
  <c r="G27" i="617" s="1"/>
  <c r="O26" i="617"/>
  <c r="F26" i="617"/>
  <c r="G26" i="617" s="1"/>
  <c r="O25" i="617"/>
  <c r="F25" i="617"/>
  <c r="G25" i="617" s="1"/>
  <c r="O24" i="617"/>
  <c r="F24" i="617"/>
  <c r="G24" i="617" s="1"/>
  <c r="O23" i="617"/>
  <c r="F23" i="617"/>
  <c r="G23" i="617" s="1"/>
  <c r="O22" i="617"/>
  <c r="F22" i="617"/>
  <c r="G22" i="617" s="1"/>
  <c r="O21" i="617"/>
  <c r="F21" i="617"/>
  <c r="G21" i="617" s="1"/>
  <c r="O20" i="617"/>
  <c r="F20" i="617"/>
  <c r="G20" i="617" s="1"/>
  <c r="O19" i="617"/>
  <c r="F19" i="617"/>
  <c r="G19" i="617" s="1"/>
  <c r="O18" i="617"/>
  <c r="F18" i="617"/>
  <c r="G18" i="617" s="1"/>
  <c r="O17" i="617"/>
  <c r="F17" i="617"/>
  <c r="G17" i="617" s="1"/>
  <c r="O16" i="617"/>
  <c r="F16" i="617"/>
  <c r="G16" i="617" s="1"/>
  <c r="O15" i="617"/>
  <c r="F15" i="617"/>
  <c r="G15" i="617" s="1"/>
  <c r="O14" i="617"/>
  <c r="F14" i="617"/>
  <c r="G14" i="617" s="1"/>
  <c r="O13" i="617"/>
  <c r="F13" i="617"/>
  <c r="G13" i="617" s="1"/>
  <c r="O12" i="617"/>
  <c r="F12" i="617"/>
  <c r="G12" i="617" s="1"/>
  <c r="O11" i="617"/>
  <c r="F11" i="617"/>
  <c r="G11" i="617" s="1"/>
  <c r="O10" i="617"/>
  <c r="F10" i="617"/>
  <c r="G10" i="617" s="1"/>
  <c r="O9" i="617"/>
  <c r="F9" i="617"/>
  <c r="G9" i="617" s="1"/>
  <c r="O8" i="617"/>
  <c r="F8" i="617"/>
  <c r="G8" i="617" s="1"/>
  <c r="O7" i="617"/>
  <c r="F7" i="617"/>
  <c r="G7" i="617" s="1"/>
  <c r="O6" i="617"/>
  <c r="F6" i="617"/>
  <c r="G6" i="617" s="1"/>
  <c r="O5" i="617"/>
  <c r="F5" i="617"/>
  <c r="G5" i="617" s="1"/>
  <c r="O4" i="617"/>
  <c r="F4" i="617"/>
  <c r="G4" i="617" s="1"/>
  <c r="O3" i="617"/>
  <c r="F3" i="617"/>
  <c r="G3" i="617" s="1"/>
  <c r="O2" i="617"/>
  <c r="F2" i="617"/>
  <c r="F1022" i="617" l="1"/>
  <c r="G2" i="617"/>
  <c r="G1022" i="617" s="1"/>
  <c r="H918" i="617"/>
  <c r="I55" i="489" l="1"/>
  <c r="K55" i="489" s="1"/>
  <c r="H919" i="617"/>
  <c r="D52" i="497" l="1"/>
  <c r="D53" i="248" s="1"/>
  <c r="J55" i="489"/>
  <c r="I55" i="545"/>
  <c r="K55" i="545" s="1"/>
  <c r="I55" i="490"/>
  <c r="K55" i="490" s="1"/>
  <c r="H920" i="617"/>
  <c r="D52" i="547" l="1"/>
  <c r="F53" i="248" s="1"/>
  <c r="J55" i="545"/>
  <c r="D52" i="498"/>
  <c r="E53" i="248" s="1"/>
  <c r="J55" i="490"/>
  <c r="H921" i="617"/>
  <c r="I55" i="620" l="1"/>
  <c r="H922" i="617"/>
  <c r="D52" i="622" l="1"/>
  <c r="J55" i="620"/>
  <c r="H923" i="617"/>
  <c r="H53" i="248" l="1"/>
  <c r="G53" i="248"/>
  <c r="J28" i="227"/>
  <c r="H924" i="617"/>
  <c r="H925" i="617" l="1"/>
  <c r="H926" i="617" l="1"/>
  <c r="H927" i="617" l="1"/>
  <c r="H928" i="617" l="1"/>
  <c r="H929" i="617" l="1"/>
  <c r="H930" i="617" l="1"/>
  <c r="H931" i="617" l="1"/>
  <c r="H932" i="617" l="1"/>
  <c r="H933" i="617" l="1"/>
  <c r="H934" i="617" l="1"/>
  <c r="H935" i="617" l="1"/>
  <c r="H936" i="617" l="1"/>
  <c r="H937" i="617" l="1"/>
  <c r="H938" i="617" l="1"/>
  <c r="H939" i="617" l="1"/>
  <c r="H940" i="617" l="1"/>
  <c r="H941" i="617" l="1"/>
  <c r="H942" i="617" l="1"/>
  <c r="H943" i="617" l="1"/>
  <c r="H944" i="617" l="1"/>
  <c r="H945" i="617" l="1"/>
  <c r="H946" i="617" l="1"/>
  <c r="H947" i="617" l="1"/>
  <c r="H948" i="617" l="1"/>
  <c r="H949" i="617" l="1"/>
  <c r="H950" i="617" l="1"/>
  <c r="H951" i="617" l="1"/>
  <c r="H952" i="617" l="1"/>
  <c r="H953" i="617" l="1"/>
  <c r="H954" i="617" l="1"/>
  <c r="H955" i="617" l="1"/>
  <c r="H956" i="617" l="1"/>
  <c r="H957" i="617" l="1"/>
  <c r="H958" i="617" l="1"/>
  <c r="H959" i="617" l="1"/>
  <c r="H960" i="617" l="1"/>
  <c r="H961" i="617" l="1"/>
  <c r="H962" i="617" l="1"/>
  <c r="H963" i="617" l="1"/>
  <c r="H964" i="617" l="1"/>
  <c r="H965" i="617" l="1"/>
  <c r="H966" i="617" l="1"/>
  <c r="H967" i="617" l="1"/>
  <c r="H968" i="617" l="1"/>
  <c r="H969" i="617" l="1"/>
  <c r="H970" i="617" l="1"/>
  <c r="H971" i="617" l="1"/>
  <c r="H972" i="617" l="1"/>
  <c r="H973" i="617" l="1"/>
  <c r="H974" i="617" l="1"/>
  <c r="H975" i="617" l="1"/>
  <c r="H976" i="617" l="1"/>
  <c r="H977" i="617" l="1"/>
  <c r="H978" i="617" l="1"/>
  <c r="H979" i="617" l="1"/>
  <c r="H980" i="617" l="1"/>
  <c r="H981" i="617" l="1"/>
  <c r="H982" i="617" l="1"/>
  <c r="H983" i="617" l="1"/>
  <c r="H984" i="617" l="1"/>
  <c r="H985" i="617" l="1"/>
  <c r="H986" i="617" l="1"/>
  <c r="H987" i="617" l="1"/>
  <c r="H988" i="617" l="1"/>
  <c r="H989" i="617" l="1"/>
  <c r="H990" i="617" l="1"/>
  <c r="H991" i="617" l="1"/>
  <c r="H992" i="617" l="1"/>
  <c r="H993" i="617" l="1"/>
  <c r="H994" i="617" l="1"/>
  <c r="H995" i="617" l="1"/>
  <c r="H996" i="617" l="1"/>
  <c r="H997" i="617" l="1"/>
  <c r="H998" i="617" l="1"/>
  <c r="H999" i="617" l="1"/>
  <c r="H1000" i="617" l="1"/>
  <c r="H1001" i="617" l="1"/>
  <c r="H1002" i="617" l="1"/>
  <c r="H1003" i="617" l="1"/>
  <c r="H1004" i="617" l="1"/>
  <c r="H1005" i="617" l="1"/>
  <c r="H1006" i="617" l="1"/>
  <c r="H1007" i="617" l="1"/>
  <c r="H1008" i="617" l="1"/>
  <c r="H1009" i="617" l="1"/>
  <c r="H1010" i="617" l="1"/>
  <c r="H1011" i="617" l="1"/>
  <c r="H1012" i="617" l="1"/>
  <c r="H1013" i="617" l="1"/>
  <c r="H1014" i="617" l="1"/>
  <c r="H1015" i="617" l="1"/>
  <c r="H1016" i="617" l="1"/>
  <c r="H1017" i="617" l="1"/>
  <c r="H1018" i="617" l="1"/>
  <c r="H1019" i="617" l="1"/>
  <c r="H1020" i="617" l="1"/>
  <c r="H1021" i="617" l="1"/>
  <c r="I1021" i="617" l="1"/>
  <c r="I918" i="617"/>
  <c r="I919" i="617"/>
  <c r="I920" i="617"/>
  <c r="I921" i="617"/>
  <c r="I922" i="617"/>
  <c r="I923" i="617"/>
  <c r="I924" i="617"/>
  <c r="I925" i="617"/>
  <c r="I926" i="617"/>
  <c r="I927" i="617"/>
  <c r="I928" i="617"/>
  <c r="I929" i="617"/>
  <c r="I930" i="617"/>
  <c r="I931" i="617"/>
  <c r="I932" i="617"/>
  <c r="I933" i="617"/>
  <c r="I934" i="617"/>
  <c r="I935" i="617"/>
  <c r="I936" i="617"/>
  <c r="I937" i="617"/>
  <c r="I938" i="617"/>
  <c r="I939" i="617"/>
  <c r="I940" i="617"/>
  <c r="I941" i="617"/>
  <c r="I942" i="617"/>
  <c r="I943" i="617"/>
  <c r="I944" i="617"/>
  <c r="I945" i="617"/>
  <c r="I946" i="617"/>
  <c r="I947" i="617"/>
  <c r="I948" i="617"/>
  <c r="I949" i="617"/>
  <c r="I950" i="617"/>
  <c r="I951" i="617"/>
  <c r="I952" i="617"/>
  <c r="I953" i="617"/>
  <c r="I954" i="617"/>
  <c r="I955" i="617"/>
  <c r="I956" i="617"/>
  <c r="I957" i="617"/>
  <c r="I958" i="617"/>
  <c r="I959" i="617"/>
  <c r="I960" i="617"/>
  <c r="I961" i="617"/>
  <c r="I962" i="617"/>
  <c r="I963" i="617"/>
  <c r="I964" i="617"/>
  <c r="I965" i="617"/>
  <c r="I966" i="617"/>
  <c r="I967" i="617"/>
  <c r="I968" i="617"/>
  <c r="I969" i="617"/>
  <c r="I970" i="617"/>
  <c r="I971" i="617"/>
  <c r="I972" i="617"/>
  <c r="I973" i="617"/>
  <c r="I974" i="617"/>
  <c r="I975" i="617"/>
  <c r="I976" i="617"/>
  <c r="I977" i="617"/>
  <c r="I978" i="617"/>
  <c r="I979" i="617"/>
  <c r="I980" i="617"/>
  <c r="I981" i="617"/>
  <c r="I982" i="617"/>
  <c r="I983" i="617"/>
  <c r="I984" i="617"/>
  <c r="I985" i="617"/>
  <c r="I986" i="617"/>
  <c r="I987" i="617"/>
  <c r="I988" i="617"/>
  <c r="I989" i="617"/>
  <c r="I990" i="617"/>
  <c r="I991" i="617"/>
  <c r="I992" i="617"/>
  <c r="I993" i="617"/>
  <c r="I994" i="617"/>
  <c r="I995" i="617"/>
  <c r="I996" i="617"/>
  <c r="I997" i="617"/>
  <c r="I998" i="617"/>
  <c r="I999" i="617"/>
  <c r="I1000" i="617"/>
  <c r="I1001" i="617"/>
  <c r="I1002" i="617"/>
  <c r="I1003" i="617"/>
  <c r="I1004" i="617"/>
  <c r="I1005" i="617"/>
  <c r="I1006" i="617"/>
  <c r="I1007" i="617"/>
  <c r="I1008" i="617"/>
  <c r="I1009" i="617"/>
  <c r="I1010" i="617"/>
  <c r="I1011" i="617"/>
  <c r="I1012" i="617"/>
  <c r="I1013" i="617"/>
  <c r="I1014" i="617"/>
  <c r="I1015" i="617"/>
  <c r="I1016" i="617"/>
  <c r="I1017" i="617"/>
  <c r="I1018" i="617"/>
  <c r="I1019" i="617"/>
  <c r="I1020" i="617"/>
  <c r="J997" i="617" l="1"/>
  <c r="K997" i="617" s="1"/>
  <c r="L997" i="617" s="1"/>
  <c r="J957" i="617"/>
  <c r="K957" i="617"/>
  <c r="L957" i="617" s="1"/>
  <c r="J925" i="617"/>
  <c r="K925" i="617" s="1"/>
  <c r="L925" i="617" s="1"/>
  <c r="J1012" i="617"/>
  <c r="K1012" i="617" s="1"/>
  <c r="L1012" i="617" s="1"/>
  <c r="J988" i="617"/>
  <c r="K988" i="617" s="1"/>
  <c r="L988" i="617" s="1"/>
  <c r="J948" i="617"/>
  <c r="K948" i="617" s="1"/>
  <c r="L948" i="617" s="1"/>
  <c r="J1011" i="617"/>
  <c r="K1011" i="617" s="1"/>
  <c r="L1011" i="617" s="1"/>
  <c r="J979" i="617"/>
  <c r="K979" i="617" s="1"/>
  <c r="L979" i="617" s="1"/>
  <c r="J971" i="617"/>
  <c r="K971" i="617" s="1"/>
  <c r="L971" i="617" s="1"/>
  <c r="J963" i="617"/>
  <c r="K963" i="617" s="1"/>
  <c r="L963" i="617" s="1"/>
  <c r="J955" i="617"/>
  <c r="K955" i="617" s="1"/>
  <c r="L955" i="617" s="1"/>
  <c r="J947" i="617"/>
  <c r="K947" i="617" s="1"/>
  <c r="L947" i="617" s="1"/>
  <c r="J939" i="617"/>
  <c r="K939" i="617" s="1"/>
  <c r="L939" i="617" s="1"/>
  <c r="J931" i="617"/>
  <c r="K931" i="617" s="1"/>
  <c r="L931" i="617" s="1"/>
  <c r="J923" i="617"/>
  <c r="K923" i="617" s="1"/>
  <c r="L923" i="617" s="1"/>
  <c r="J1005" i="617"/>
  <c r="K1005" i="617" s="1"/>
  <c r="L1005" i="617" s="1"/>
  <c r="J981" i="617"/>
  <c r="K981" i="617" s="1"/>
  <c r="L981" i="617" s="1"/>
  <c r="J941" i="617"/>
  <c r="K941" i="617" s="1"/>
  <c r="L941" i="617" s="1"/>
  <c r="J1004" i="617"/>
  <c r="K1004" i="617" s="1"/>
  <c r="L1004" i="617" s="1"/>
  <c r="J964" i="617"/>
  <c r="K964" i="617" s="1"/>
  <c r="L964" i="617" s="1"/>
  <c r="J932" i="617"/>
  <c r="K932" i="617" s="1"/>
  <c r="L932" i="617" s="1"/>
  <c r="J987" i="617"/>
  <c r="K987" i="617" s="1"/>
  <c r="L987" i="617" s="1"/>
  <c r="J1018" i="617"/>
  <c r="K1018" i="617" s="1"/>
  <c r="L1018" i="617" s="1"/>
  <c r="J1010" i="617"/>
  <c r="K1010" i="617" s="1"/>
  <c r="L1010" i="617" s="1"/>
  <c r="J1002" i="617"/>
  <c r="K1002" i="617" s="1"/>
  <c r="L1002" i="617" s="1"/>
  <c r="J994" i="617"/>
  <c r="K994" i="617" s="1"/>
  <c r="L994" i="617" s="1"/>
  <c r="J986" i="617"/>
  <c r="K986" i="617" s="1"/>
  <c r="L986" i="617" s="1"/>
  <c r="J978" i="617"/>
  <c r="K978" i="617" s="1"/>
  <c r="L978" i="617" s="1"/>
  <c r="J970" i="617"/>
  <c r="K970" i="617" s="1"/>
  <c r="L970" i="617" s="1"/>
  <c r="J962" i="617"/>
  <c r="K962" i="617" s="1"/>
  <c r="L962" i="617" s="1"/>
  <c r="J954" i="617"/>
  <c r="K954" i="617" s="1"/>
  <c r="L954" i="617" s="1"/>
  <c r="J946" i="617"/>
  <c r="K946" i="617" s="1"/>
  <c r="L946" i="617" s="1"/>
  <c r="J938" i="617"/>
  <c r="K938" i="617" s="1"/>
  <c r="L938" i="617" s="1"/>
  <c r="J930" i="617"/>
  <c r="K930" i="617" s="1"/>
  <c r="L930" i="617" s="1"/>
  <c r="J922" i="617"/>
  <c r="K922" i="617" s="1"/>
  <c r="L922" i="617" s="1"/>
  <c r="J989" i="617"/>
  <c r="K989" i="617" s="1"/>
  <c r="L989" i="617" s="1"/>
  <c r="J949" i="617"/>
  <c r="K949" i="617" s="1"/>
  <c r="L949" i="617" s="1"/>
  <c r="J996" i="617"/>
  <c r="K996" i="617" s="1"/>
  <c r="L996" i="617" s="1"/>
  <c r="J956" i="617"/>
  <c r="K956" i="617" s="1"/>
  <c r="L956" i="617" s="1"/>
  <c r="J1003" i="617"/>
  <c r="K1003" i="617" s="1"/>
  <c r="L1003" i="617" s="1"/>
  <c r="J1001" i="617"/>
  <c r="K1001" i="617" s="1"/>
  <c r="L1001" i="617" s="1"/>
  <c r="J969" i="617"/>
  <c r="K969" i="617" s="1"/>
  <c r="L969" i="617" s="1"/>
  <c r="J937" i="617"/>
  <c r="K937" i="617" s="1"/>
  <c r="L937" i="617" s="1"/>
  <c r="J1000" i="617"/>
  <c r="K1000" i="617" s="1"/>
  <c r="L1000" i="617" s="1"/>
  <c r="J984" i="617"/>
  <c r="K984" i="617" s="1"/>
  <c r="L984" i="617" s="1"/>
  <c r="J976" i="617"/>
  <c r="K976" i="617" s="1"/>
  <c r="L976" i="617" s="1"/>
  <c r="J968" i="617"/>
  <c r="K968" i="617" s="1"/>
  <c r="L968" i="617" s="1"/>
  <c r="J960" i="617"/>
  <c r="K960" i="617" s="1"/>
  <c r="L960" i="617" s="1"/>
  <c r="J952" i="617"/>
  <c r="K952" i="617" s="1"/>
  <c r="L952" i="617" s="1"/>
  <c r="J944" i="617"/>
  <c r="K944" i="617" s="1"/>
  <c r="L944" i="617" s="1"/>
  <c r="J936" i="617"/>
  <c r="K936" i="617" s="1"/>
  <c r="L936" i="617" s="1"/>
  <c r="J928" i="617"/>
  <c r="K928" i="617" s="1"/>
  <c r="L928" i="617" s="1"/>
  <c r="J920" i="617"/>
  <c r="K920" i="617" s="1"/>
  <c r="L920" i="617" s="1"/>
  <c r="J973" i="617"/>
  <c r="K973" i="617" s="1"/>
  <c r="L973" i="617" s="1"/>
  <c r="J1021" i="617"/>
  <c r="K1021" i="617" s="1"/>
  <c r="L1021" i="617" s="1"/>
  <c r="J972" i="617"/>
  <c r="K972" i="617" s="1"/>
  <c r="L972" i="617" s="1"/>
  <c r="J924" i="617"/>
  <c r="K924" i="617" s="1"/>
  <c r="L924" i="617" s="1"/>
  <c r="J1019" i="617"/>
  <c r="K1019" i="617" s="1"/>
  <c r="L1019" i="617" s="1"/>
  <c r="J1017" i="617"/>
  <c r="K1017" i="617" s="1"/>
  <c r="L1017" i="617" s="1"/>
  <c r="J993" i="617"/>
  <c r="K993" i="617" s="1"/>
  <c r="L993" i="617" s="1"/>
  <c r="J977" i="617"/>
  <c r="K977" i="617" s="1"/>
  <c r="L977" i="617" s="1"/>
  <c r="J961" i="617"/>
  <c r="K961" i="617" s="1"/>
  <c r="L961" i="617" s="1"/>
  <c r="J945" i="617"/>
  <c r="K945" i="617" s="1"/>
  <c r="L945" i="617" s="1"/>
  <c r="J929" i="617"/>
  <c r="K929" i="617" s="1"/>
  <c r="L929" i="617" s="1"/>
  <c r="J1008" i="617"/>
  <c r="K1008" i="617" s="1"/>
  <c r="L1008" i="617" s="1"/>
  <c r="J991" i="617"/>
  <c r="K991" i="617" s="1"/>
  <c r="L991" i="617" s="1"/>
  <c r="J975" i="617"/>
  <c r="K975" i="617" s="1"/>
  <c r="L975" i="617" s="1"/>
  <c r="J967" i="617"/>
  <c r="K967" i="617" s="1"/>
  <c r="L967" i="617" s="1"/>
  <c r="J959" i="617"/>
  <c r="K959" i="617" s="1"/>
  <c r="L959" i="617" s="1"/>
  <c r="J951" i="617"/>
  <c r="K951" i="617" s="1"/>
  <c r="L951" i="617" s="1"/>
  <c r="J943" i="617"/>
  <c r="K943" i="617" s="1"/>
  <c r="L943" i="617" s="1"/>
  <c r="J935" i="617"/>
  <c r="K935" i="617" s="1"/>
  <c r="L935" i="617" s="1"/>
  <c r="J927" i="617"/>
  <c r="K927" i="617" s="1"/>
  <c r="L927" i="617" s="1"/>
  <c r="J919" i="617"/>
  <c r="K919" i="617" s="1"/>
  <c r="L919" i="617" s="1"/>
  <c r="J1013" i="617"/>
  <c r="K1013" i="617" s="1"/>
  <c r="L1013" i="617" s="1"/>
  <c r="J965" i="617"/>
  <c r="K965" i="617" s="1"/>
  <c r="L965" i="617" s="1"/>
  <c r="J933" i="617"/>
  <c r="K933" i="617" s="1"/>
  <c r="L933" i="617" s="1"/>
  <c r="J1020" i="617"/>
  <c r="K1020" i="617" s="1"/>
  <c r="L1020" i="617" s="1"/>
  <c r="J980" i="617"/>
  <c r="K980" i="617" s="1"/>
  <c r="L980" i="617" s="1"/>
  <c r="J940" i="617"/>
  <c r="K940" i="617" s="1"/>
  <c r="L940" i="617" s="1"/>
  <c r="J995" i="617"/>
  <c r="K995" i="617" s="1"/>
  <c r="L995" i="617" s="1"/>
  <c r="J1009" i="617"/>
  <c r="K1009" i="617" s="1"/>
  <c r="L1009" i="617" s="1"/>
  <c r="J985" i="617"/>
  <c r="K985" i="617" s="1"/>
  <c r="L985" i="617" s="1"/>
  <c r="J953" i="617"/>
  <c r="K953" i="617" s="1"/>
  <c r="L953" i="617" s="1"/>
  <c r="J921" i="617"/>
  <c r="K921" i="617" s="1"/>
  <c r="L921" i="617" s="1"/>
  <c r="J1016" i="617"/>
  <c r="K1016" i="617" s="1"/>
  <c r="L1016" i="617" s="1"/>
  <c r="J992" i="617"/>
  <c r="K992" i="617" s="1"/>
  <c r="L992" i="617" s="1"/>
  <c r="J1015" i="617"/>
  <c r="K1015" i="617" s="1"/>
  <c r="L1015" i="617" s="1"/>
  <c r="J1007" i="617"/>
  <c r="K1007" i="617" s="1"/>
  <c r="L1007" i="617" s="1"/>
  <c r="J999" i="617"/>
  <c r="K999" i="617" s="1"/>
  <c r="L999" i="617" s="1"/>
  <c r="J983" i="617"/>
  <c r="K983" i="617" s="1"/>
  <c r="L983" i="617" s="1"/>
  <c r="J1014" i="617"/>
  <c r="K1014" i="617" s="1"/>
  <c r="L1014" i="617" s="1"/>
  <c r="J1006" i="617"/>
  <c r="K1006" i="617" s="1"/>
  <c r="L1006" i="617" s="1"/>
  <c r="J998" i="617"/>
  <c r="K998" i="617" s="1"/>
  <c r="L998" i="617" s="1"/>
  <c r="J990" i="617"/>
  <c r="K990" i="617" s="1"/>
  <c r="L990" i="617" s="1"/>
  <c r="J982" i="617"/>
  <c r="K982" i="617" s="1"/>
  <c r="L982" i="617" s="1"/>
  <c r="J974" i="617"/>
  <c r="K974" i="617" s="1"/>
  <c r="L974" i="617" s="1"/>
  <c r="J966" i="617"/>
  <c r="K966" i="617" s="1"/>
  <c r="L966" i="617" s="1"/>
  <c r="J958" i="617"/>
  <c r="K958" i="617" s="1"/>
  <c r="L958" i="617" s="1"/>
  <c r="J950" i="617"/>
  <c r="K950" i="617" s="1"/>
  <c r="L950" i="617" s="1"/>
  <c r="J942" i="617"/>
  <c r="K942" i="617" s="1"/>
  <c r="L942" i="617" s="1"/>
  <c r="J934" i="617"/>
  <c r="K934" i="617" s="1"/>
  <c r="L934" i="617" s="1"/>
  <c r="J926" i="617"/>
  <c r="K926" i="617" s="1"/>
  <c r="L926" i="617" s="1"/>
  <c r="J918" i="617"/>
  <c r="K918" i="617" s="1"/>
  <c r="L918" i="617" s="1"/>
  <c r="L1022" i="617" l="1"/>
  <c r="M1019" i="617" s="1"/>
  <c r="O1019" i="617" s="1"/>
  <c r="M996" i="617" l="1"/>
  <c r="O996" i="617" s="1"/>
  <c r="M978" i="617"/>
  <c r="O978" i="617" s="1"/>
  <c r="M963" i="617"/>
  <c r="O963" i="617" s="1"/>
  <c r="M949" i="617"/>
  <c r="O949" i="617" s="1"/>
  <c r="M936" i="617"/>
  <c r="O936" i="617" s="1"/>
  <c r="M921" i="617"/>
  <c r="O921" i="617" s="1"/>
  <c r="M959" i="617"/>
  <c r="O959" i="617" s="1"/>
  <c r="M958" i="617"/>
  <c r="O958" i="617" s="1"/>
  <c r="M960" i="617"/>
  <c r="O960" i="617" s="1"/>
  <c r="M953" i="617"/>
  <c r="O953" i="617" s="1"/>
  <c r="M1018" i="617"/>
  <c r="O1018" i="617" s="1"/>
  <c r="M957" i="617"/>
  <c r="O957" i="617" s="1"/>
  <c r="M932" i="617"/>
  <c r="O932" i="617" s="1"/>
  <c r="M952" i="617"/>
  <c r="O952" i="617" s="1"/>
  <c r="M935" i="617"/>
  <c r="O935" i="617" s="1"/>
  <c r="M980" i="617"/>
  <c r="O980" i="617" s="1"/>
  <c r="M920" i="617"/>
  <c r="O920" i="617" s="1"/>
  <c r="M929" i="617"/>
  <c r="O929" i="617" s="1"/>
  <c r="M1005" i="617"/>
  <c r="O1005" i="617" s="1"/>
  <c r="M970" i="617"/>
  <c r="O970" i="617" s="1"/>
  <c r="M962" i="617"/>
  <c r="O962" i="617" s="1"/>
  <c r="M1020" i="617"/>
  <c r="O1020" i="617" s="1"/>
  <c r="M918" i="617"/>
  <c r="O918" i="617" s="1"/>
  <c r="M975" i="617"/>
  <c r="O975" i="617" s="1"/>
  <c r="M928" i="617"/>
  <c r="O928" i="617" s="1"/>
  <c r="M964" i="617"/>
  <c r="O964" i="617" s="1"/>
  <c r="M925" i="617"/>
  <c r="O925" i="617" s="1"/>
  <c r="M1004" i="617"/>
  <c r="O1004" i="617" s="1"/>
  <c r="M977" i="617"/>
  <c r="O977" i="617" s="1"/>
  <c r="M999" i="617"/>
  <c r="O999" i="617" s="1"/>
  <c r="M994" i="617"/>
  <c r="O994" i="617" s="1"/>
  <c r="M968" i="617"/>
  <c r="O968" i="617" s="1"/>
  <c r="M943" i="617"/>
  <c r="O943" i="617" s="1"/>
  <c r="M930" i="617"/>
  <c r="O930" i="617" s="1"/>
  <c r="M951" i="617"/>
  <c r="O951" i="617" s="1"/>
  <c r="M991" i="617"/>
  <c r="O991" i="617" s="1"/>
  <c r="M954" i="617"/>
  <c r="O954" i="617" s="1"/>
  <c r="M965" i="617"/>
  <c r="O965" i="617" s="1"/>
  <c r="M990" i="617"/>
  <c r="O990" i="617" s="1"/>
  <c r="M967" i="617"/>
  <c r="O967" i="617" s="1"/>
  <c r="M941" i="617"/>
  <c r="O941" i="617" s="1"/>
  <c r="M1009" i="617"/>
  <c r="O1009" i="617" s="1"/>
  <c r="M1006" i="617"/>
  <c r="O1006" i="617" s="1"/>
  <c r="M981" i="617"/>
  <c r="O981" i="617" s="1"/>
  <c r="M1003" i="617"/>
  <c r="O1003" i="617" s="1"/>
  <c r="M993" i="617"/>
  <c r="O993" i="617" s="1"/>
  <c r="M1001" i="617"/>
  <c r="O1001" i="617" s="1"/>
  <c r="M1010" i="617"/>
  <c r="O1010" i="617" s="1"/>
  <c r="M1007" i="617"/>
  <c r="O1007" i="617" s="1"/>
  <c r="M982" i="617"/>
  <c r="O982" i="617" s="1"/>
  <c r="M988" i="617"/>
  <c r="O988" i="617" s="1"/>
  <c r="M922" i="617"/>
  <c r="O922" i="617" s="1"/>
  <c r="M972" i="617"/>
  <c r="O972" i="617" s="1"/>
  <c r="M1012" i="617"/>
  <c r="O1012" i="617" s="1"/>
  <c r="M979" i="617"/>
  <c r="O979" i="617" s="1"/>
  <c r="M946" i="617"/>
  <c r="O946" i="617" s="1"/>
  <c r="M997" i="617"/>
  <c r="O997" i="617" s="1"/>
  <c r="M984" i="617"/>
  <c r="O984" i="617" s="1"/>
  <c r="M934" i="617"/>
  <c r="O934" i="617" s="1"/>
  <c r="M939" i="617"/>
  <c r="O939" i="617" s="1"/>
  <c r="M944" i="617"/>
  <c r="O944" i="617" s="1"/>
  <c r="M1013" i="617"/>
  <c r="O1013" i="617" s="1"/>
  <c r="M983" i="617"/>
  <c r="O983" i="617" s="1"/>
  <c r="M1015" i="617"/>
  <c r="O1015" i="617" s="1"/>
  <c r="M1017" i="617"/>
  <c r="O1017" i="617" s="1"/>
  <c r="M986" i="617"/>
  <c r="O986" i="617" s="1"/>
  <c r="M919" i="617"/>
  <c r="O919" i="617" s="1"/>
  <c r="M989" i="617"/>
  <c r="O989" i="617" s="1"/>
  <c r="M995" i="617"/>
  <c r="O995" i="617" s="1"/>
  <c r="M942" i="617"/>
  <c r="O942" i="617" s="1"/>
  <c r="M1008" i="617"/>
  <c r="O1008" i="617" s="1"/>
  <c r="M966" i="617"/>
  <c r="O966" i="617" s="1"/>
  <c r="M923" i="617"/>
  <c r="O923" i="617" s="1"/>
  <c r="M1021" i="617"/>
  <c r="O1021" i="617" s="1"/>
  <c r="M971" i="617"/>
  <c r="O971" i="617" s="1"/>
  <c r="M976" i="617"/>
  <c r="O976" i="617" s="1"/>
  <c r="M956" i="617"/>
  <c r="O956" i="617" s="1"/>
  <c r="M947" i="617"/>
  <c r="O947" i="617" s="1"/>
  <c r="M1014" i="617"/>
  <c r="O1014" i="617" s="1"/>
  <c r="M969" i="617"/>
  <c r="O969" i="617" s="1"/>
  <c r="M992" i="617"/>
  <c r="O992" i="617" s="1"/>
  <c r="M937" i="617"/>
  <c r="O937" i="617" s="1"/>
  <c r="M1000" i="617"/>
  <c r="O1000" i="617" s="1"/>
  <c r="M945" i="617"/>
  <c r="O945" i="617" s="1"/>
  <c r="M940" i="617"/>
  <c r="O940" i="617" s="1"/>
  <c r="M1002" i="617"/>
  <c r="O1002" i="617" s="1"/>
  <c r="M1011" i="617"/>
  <c r="O1011" i="617" s="1"/>
  <c r="M998" i="617"/>
  <c r="O998" i="617" s="1"/>
  <c r="M961" i="617"/>
  <c r="O961" i="617" s="1"/>
  <c r="M926" i="617"/>
  <c r="O926" i="617" s="1"/>
  <c r="M973" i="617"/>
  <c r="O973" i="617" s="1"/>
  <c r="M927" i="617"/>
  <c r="O927" i="617" s="1"/>
  <c r="M924" i="617"/>
  <c r="O924" i="617" s="1"/>
  <c r="M1016" i="617"/>
  <c r="O1016" i="617" s="1"/>
  <c r="M931" i="617"/>
  <c r="O931" i="617" s="1"/>
  <c r="M933" i="617"/>
  <c r="O933" i="617" s="1"/>
  <c r="M985" i="617"/>
  <c r="O985" i="617" s="1"/>
  <c r="M974" i="617"/>
  <c r="O974" i="617" s="1"/>
  <c r="M938" i="617"/>
  <c r="O938" i="617" s="1"/>
  <c r="M950" i="617"/>
  <c r="O950" i="617" s="1"/>
  <c r="M948" i="617"/>
  <c r="O948" i="617" s="1"/>
  <c r="M955" i="617"/>
  <c r="O955" i="617" s="1"/>
  <c r="M987" i="617"/>
  <c r="O987" i="617" s="1"/>
  <c r="M1022" i="617"/>
  <c r="O1022" i="617" l="1"/>
  <c r="P1018" i="617" s="1"/>
  <c r="P990" i="617"/>
  <c r="P1000" i="617"/>
  <c r="P957" i="617"/>
  <c r="P1008" i="617"/>
  <c r="P976" i="617"/>
  <c r="P933" i="617"/>
  <c r="P992" i="617"/>
  <c r="P929" i="617"/>
  <c r="P915" i="617"/>
  <c r="P899" i="617"/>
  <c r="P875" i="617"/>
  <c r="P867" i="617"/>
  <c r="P934" i="617"/>
  <c r="P936" i="617"/>
  <c r="P849" i="617"/>
  <c r="P908" i="617"/>
  <c r="P812" i="617"/>
  <c r="P804" i="617"/>
  <c r="P788" i="617"/>
  <c r="P764" i="617"/>
  <c r="P756" i="617"/>
  <c r="P740" i="617"/>
  <c r="P987" i="617"/>
  <c r="P910" i="617"/>
  <c r="P848" i="617"/>
  <c r="P906" i="617"/>
  <c r="P896" i="617"/>
  <c r="P734" i="617"/>
  <c r="P710" i="617"/>
  <c r="P702" i="617"/>
  <c r="P686" i="617"/>
  <c r="P662" i="617"/>
  <c r="P654" i="617"/>
  <c r="P638" i="617"/>
  <c r="P614" i="617"/>
  <c r="P606" i="617"/>
  <c r="P590" i="617"/>
  <c r="P566" i="617"/>
  <c r="P562" i="617"/>
  <c r="P554" i="617"/>
  <c r="P542" i="617"/>
  <c r="P538" i="617"/>
  <c r="P530" i="617"/>
  <c r="P518" i="617"/>
  <c r="P514" i="617"/>
  <c r="P506" i="617"/>
  <c r="P494" i="617"/>
  <c r="P490" i="617"/>
  <c r="P482" i="617"/>
  <c r="P470" i="617"/>
  <c r="P466" i="617"/>
  <c r="P458" i="617"/>
  <c r="P446" i="617"/>
  <c r="P442" i="617"/>
  <c r="P926" i="617"/>
  <c r="P836" i="617"/>
  <c r="P824" i="617"/>
  <c r="P904" i="617"/>
  <c r="P793" i="617"/>
  <c r="P777" i="617"/>
  <c r="P797" i="617"/>
  <c r="P673" i="617"/>
  <c r="P641" i="617"/>
  <c r="P581" i="617"/>
  <c r="P811" i="617"/>
  <c r="P771" i="617"/>
  <c r="P675" i="617"/>
  <c r="P567" i="617"/>
  <c r="P535" i="617"/>
  <c r="P471" i="617"/>
  <c r="P779" i="617"/>
  <c r="P755" i="617"/>
  <c r="P677" i="617"/>
  <c r="P585" i="617"/>
  <c r="P553" i="617"/>
  <c r="P489" i="617"/>
  <c r="P856" i="617"/>
  <c r="P799" i="617"/>
  <c r="P711" i="617"/>
  <c r="P615" i="617"/>
  <c r="P587" i="617"/>
  <c r="P523" i="617"/>
  <c r="P713" i="617"/>
  <c r="P681" i="617"/>
  <c r="P617" i="617"/>
  <c r="P525" i="617"/>
  <c r="P493" i="617"/>
  <c r="P436" i="617"/>
  <c r="P424" i="617"/>
  <c r="P420" i="617"/>
  <c r="P412" i="617"/>
  <c r="P400" i="617"/>
  <c r="P396" i="617"/>
  <c r="P388" i="617"/>
  <c r="P376" i="617"/>
  <c r="P372" i="617"/>
  <c r="P364" i="617"/>
  <c r="P352" i="617"/>
  <c r="P348" i="617"/>
  <c r="P340" i="617"/>
  <c r="P328" i="617"/>
  <c r="P324" i="617"/>
  <c r="P316" i="617"/>
  <c r="P304" i="617"/>
  <c r="P300" i="617"/>
  <c r="P292" i="617"/>
  <c r="P280" i="617"/>
  <c r="P276" i="617"/>
  <c r="P268" i="617"/>
  <c r="P256" i="617"/>
  <c r="P252" i="617"/>
  <c r="P244" i="617"/>
  <c r="P232" i="617"/>
  <c r="P228" i="617"/>
  <c r="P220" i="617"/>
  <c r="P208" i="617"/>
  <c r="P204" i="617"/>
  <c r="P196" i="617"/>
  <c r="P184" i="617"/>
  <c r="P180" i="617"/>
  <c r="P172" i="617"/>
  <c r="P731" i="617"/>
  <c r="P699" i="617"/>
  <c r="P635" i="617"/>
  <c r="P543" i="617"/>
  <c r="P527" i="617"/>
  <c r="P511" i="617"/>
  <c r="P447" i="617"/>
  <c r="P423" i="617"/>
  <c r="P415" i="617"/>
  <c r="P407" i="617"/>
  <c r="P735" i="617"/>
  <c r="P166" i="617"/>
  <c r="P164" i="617"/>
  <c r="P162" i="617"/>
  <c r="P154" i="617"/>
  <c r="P142" i="617"/>
  <c r="P140" i="617"/>
  <c r="P138" i="617"/>
  <c r="P130" i="617"/>
  <c r="P118" i="617"/>
  <c r="P116" i="617"/>
  <c r="P114" i="617"/>
  <c r="P106" i="617"/>
  <c r="P94" i="617"/>
  <c r="P92" i="617"/>
  <c r="P90" i="617"/>
  <c r="P82" i="617"/>
  <c r="P70" i="617"/>
  <c r="P68" i="617"/>
  <c r="P66" i="617"/>
  <c r="P58" i="617"/>
  <c r="P46" i="617"/>
  <c r="P44" i="617"/>
  <c r="P42" i="617"/>
  <c r="P38" i="617"/>
  <c r="P34" i="617"/>
  <c r="P26" i="617"/>
  <c r="P22" i="617"/>
  <c r="P20" i="617"/>
  <c r="P18" i="617"/>
  <c r="P577" i="617"/>
  <c r="P497" i="617"/>
  <c r="P433" i="617"/>
  <c r="P417" i="617"/>
  <c r="P409" i="617"/>
  <c r="P401" i="617"/>
  <c r="P385" i="617"/>
  <c r="P369" i="617"/>
  <c r="P337" i="617"/>
  <c r="P321" i="617"/>
  <c r="P313" i="617"/>
  <c r="P305" i="617"/>
  <c r="P289" i="617"/>
  <c r="P273" i="617"/>
  <c r="P265" i="617"/>
  <c r="P257" i="617"/>
  <c r="P241" i="617"/>
  <c r="P233" i="617"/>
  <c r="P789" i="617"/>
  <c r="P783" i="617"/>
  <c r="P701" i="617"/>
  <c r="P579" i="617"/>
  <c r="P515" i="617"/>
  <c r="P499" i="617"/>
  <c r="P483" i="617"/>
  <c r="P467" i="617"/>
  <c r="P769" i="617"/>
  <c r="P605" i="617"/>
  <c r="P593" i="617"/>
  <c r="P529" i="617"/>
  <c r="P507" i="617"/>
  <c r="P491" i="617"/>
  <c r="P475" i="617"/>
  <c r="P459" i="617"/>
  <c r="P443" i="617"/>
  <c r="P435" i="617"/>
  <c r="P427" i="617"/>
  <c r="P419" i="617"/>
  <c r="P411" i="617"/>
  <c r="P403" i="617"/>
  <c r="P395" i="617"/>
  <c r="P387" i="617"/>
  <c r="P379" i="617"/>
  <c r="P795" i="617"/>
  <c r="P717" i="617"/>
  <c r="P703" i="617"/>
  <c r="P621" i="617"/>
  <c r="P607" i="617"/>
  <c r="P531" i="617"/>
  <c r="P864" i="617"/>
  <c r="P751" i="617"/>
  <c r="P637" i="617"/>
  <c r="P623" i="617"/>
  <c r="P545" i="617"/>
  <c r="P501" i="617"/>
  <c r="P485" i="617"/>
  <c r="P469" i="617"/>
  <c r="P453" i="617"/>
  <c r="P437" i="617"/>
  <c r="P429" i="617"/>
  <c r="P421" i="617"/>
  <c r="P413" i="617"/>
  <c r="P405" i="617"/>
  <c r="P397" i="617"/>
  <c r="P389" i="617"/>
  <c r="P381" i="617"/>
  <c r="P373" i="617"/>
  <c r="P365" i="617"/>
  <c r="P357" i="617"/>
  <c r="P349" i="617"/>
  <c r="P341" i="617"/>
  <c r="P333" i="617"/>
  <c r="P325" i="617"/>
  <c r="P317" i="617"/>
  <c r="P309" i="617"/>
  <c r="P301" i="617"/>
  <c r="P293" i="617"/>
  <c r="P285" i="617"/>
  <c r="P277" i="617"/>
  <c r="P269" i="617"/>
  <c r="P261" i="617"/>
  <c r="P253" i="617"/>
  <c r="P245" i="617"/>
  <c r="P237" i="617"/>
  <c r="P229" i="617"/>
  <c r="P221" i="617"/>
  <c r="P213" i="617"/>
  <c r="P205" i="617"/>
  <c r="P375" i="617"/>
  <c r="P363" i="617"/>
  <c r="P311" i="617"/>
  <c r="P299" i="617"/>
  <c r="P247" i="617"/>
  <c r="P235" i="617"/>
  <c r="P223" i="617"/>
  <c r="P81" i="617"/>
  <c r="P65" i="617"/>
  <c r="P49" i="617"/>
  <c r="P33" i="617"/>
  <c r="P17" i="617"/>
  <c r="P15" i="617"/>
  <c r="P13" i="617"/>
  <c r="P11" i="617"/>
  <c r="P9" i="617"/>
  <c r="P7" i="617"/>
  <c r="P5" i="617"/>
  <c r="P3" i="617"/>
  <c r="P93" i="617"/>
  <c r="P83" i="617"/>
  <c r="P67" i="617"/>
  <c r="P35" i="617"/>
  <c r="P19" i="617"/>
  <c r="P193" i="617"/>
  <c r="P177" i="617"/>
  <c r="P43" i="617"/>
  <c r="P27" i="617"/>
  <c r="P107" i="617"/>
  <c r="P719" i="617"/>
  <c r="P335" i="617"/>
  <c r="P323" i="617"/>
  <c r="P271" i="617"/>
  <c r="P259" i="617"/>
  <c r="P217" i="617"/>
  <c r="P211" i="617"/>
  <c r="P197" i="617"/>
  <c r="P189" i="617"/>
  <c r="P181" i="617"/>
  <c r="P173" i="617"/>
  <c r="P165" i="617"/>
  <c r="P157" i="617"/>
  <c r="P149" i="617"/>
  <c r="P141" i="617"/>
  <c r="P133" i="617"/>
  <c r="P125" i="617"/>
  <c r="P117" i="617"/>
  <c r="P109" i="617"/>
  <c r="P101" i="617"/>
  <c r="P51" i="617"/>
  <c r="P169" i="617"/>
  <c r="P113" i="617"/>
  <c r="P59" i="617"/>
  <c r="P147" i="617"/>
  <c r="P47" i="617"/>
  <c r="P31" i="617"/>
  <c r="P733" i="617"/>
  <c r="P359" i="617"/>
  <c r="P347" i="617"/>
  <c r="P295" i="617"/>
  <c r="P283" i="617"/>
  <c r="P231" i="617"/>
  <c r="P85" i="617"/>
  <c r="P69" i="617"/>
  <c r="P53" i="617"/>
  <c r="P37" i="617"/>
  <c r="P21" i="617"/>
  <c r="P163" i="617"/>
  <c r="P99" i="617"/>
  <c r="P371" i="617"/>
  <c r="P319" i="617"/>
  <c r="P307" i="617"/>
  <c r="P255" i="617"/>
  <c r="P243" i="617"/>
  <c r="P225" i="617"/>
  <c r="P219" i="617"/>
  <c r="P199" i="617"/>
  <c r="P191" i="617"/>
  <c r="P183" i="617"/>
  <c r="P175" i="617"/>
  <c r="P167" i="617"/>
  <c r="P159" i="617"/>
  <c r="P151" i="617"/>
  <c r="P143" i="617"/>
  <c r="P135" i="617"/>
  <c r="P127" i="617"/>
  <c r="P119" i="617"/>
  <c r="P111" i="617"/>
  <c r="P103" i="617"/>
  <c r="P95" i="617"/>
  <c r="P87" i="617"/>
  <c r="P71" i="617"/>
  <c r="P55" i="617"/>
  <c r="P39" i="617"/>
  <c r="P23" i="617"/>
  <c r="P16" i="617"/>
  <c r="P12" i="617"/>
  <c r="P8" i="617"/>
  <c r="P4" i="617"/>
  <c r="P753" i="617"/>
  <c r="P355" i="617"/>
  <c r="P239" i="617"/>
  <c r="P227" i="617"/>
  <c r="P201" i="617"/>
  <c r="P185" i="617"/>
  <c r="P129" i="617"/>
  <c r="P121" i="617"/>
  <c r="P105" i="617"/>
  <c r="P97" i="617"/>
  <c r="P89" i="617"/>
  <c r="P75" i="617"/>
  <c r="P115" i="617"/>
  <c r="P91" i="617"/>
  <c r="P547" i="617"/>
  <c r="P343" i="617"/>
  <c r="P331" i="617"/>
  <c r="P279" i="617"/>
  <c r="P267" i="617"/>
  <c r="P207" i="617"/>
  <c r="P73" i="617"/>
  <c r="P57" i="617"/>
  <c r="P41" i="617"/>
  <c r="P25" i="617"/>
  <c r="P14" i="617"/>
  <c r="P10" i="617"/>
  <c r="P6" i="617"/>
  <c r="P2" i="617"/>
  <c r="P639" i="617"/>
  <c r="P367" i="617"/>
  <c r="P303" i="617"/>
  <c r="P291" i="617"/>
  <c r="P161" i="617"/>
  <c r="P153" i="617"/>
  <c r="P145" i="617"/>
  <c r="P137" i="617"/>
  <c r="P653" i="617"/>
  <c r="P327" i="617"/>
  <c r="P315" i="617"/>
  <c r="P263" i="617"/>
  <c r="P251" i="617"/>
  <c r="P215" i="617"/>
  <c r="P77" i="617"/>
  <c r="P61" i="617"/>
  <c r="P45" i="617"/>
  <c r="P29" i="617"/>
  <c r="P351" i="617"/>
  <c r="P339" i="617"/>
  <c r="P287" i="617"/>
  <c r="P275" i="617"/>
  <c r="P209" i="617"/>
  <c r="P203" i="617"/>
  <c r="P195" i="617"/>
  <c r="P187" i="617"/>
  <c r="P179" i="617"/>
  <c r="P171" i="617"/>
  <c r="P155" i="617"/>
  <c r="P139" i="617"/>
  <c r="P131" i="617"/>
  <c r="P123" i="617"/>
  <c r="P79" i="617"/>
  <c r="P63" i="617"/>
  <c r="P715" i="617" l="1"/>
  <c r="P182" i="617"/>
  <c r="P206" i="617"/>
  <c r="P230" i="617"/>
  <c r="P254" i="617"/>
  <c r="P278" i="617"/>
  <c r="P302" i="617"/>
  <c r="P326" i="617"/>
  <c r="P350" i="617"/>
  <c r="P374" i="617"/>
  <c r="P398" i="617"/>
  <c r="P422" i="617"/>
  <c r="P509" i="617"/>
  <c r="P697" i="617"/>
  <c r="P599" i="617"/>
  <c r="P820" i="617"/>
  <c r="P569" i="617"/>
  <c r="P773" i="617"/>
  <c r="P551" i="617"/>
  <c r="P791" i="617"/>
  <c r="P657" i="617"/>
  <c r="P785" i="617"/>
  <c r="P827" i="617"/>
  <c r="P444" i="617"/>
  <c r="P468" i="617"/>
  <c r="P492" i="617"/>
  <c r="P516" i="617"/>
  <c r="P540" i="617"/>
  <c r="P564" i="617"/>
  <c r="P608" i="617"/>
  <c r="P656" i="617"/>
  <c r="P704" i="617"/>
  <c r="P912" i="617"/>
  <c r="P919" i="617"/>
  <c r="P758" i="617"/>
  <c r="P806" i="617"/>
  <c r="P858" i="617"/>
  <c r="P869" i="617"/>
  <c r="P917" i="617"/>
  <c r="P937" i="617"/>
  <c r="P968" i="617"/>
  <c r="P329" i="617"/>
  <c r="P425" i="617"/>
  <c r="P24" i="617"/>
  <c r="P48" i="617"/>
  <c r="P72" i="617"/>
  <c r="P96" i="617"/>
  <c r="P120" i="617"/>
  <c r="P144" i="617"/>
  <c r="P168" i="617"/>
  <c r="P431" i="617"/>
  <c r="P559" i="617"/>
  <c r="P767" i="617"/>
  <c r="P186" i="617"/>
  <c r="P210" i="617"/>
  <c r="P234" i="617"/>
  <c r="P258" i="617"/>
  <c r="P282" i="617"/>
  <c r="P306" i="617"/>
  <c r="P330" i="617"/>
  <c r="P354" i="617"/>
  <c r="P378" i="617"/>
  <c r="P402" i="617"/>
  <c r="P426" i="617"/>
  <c r="P541" i="617"/>
  <c r="P729" i="617"/>
  <c r="P631" i="617"/>
  <c r="P859" i="617"/>
  <c r="P597" i="617"/>
  <c r="P805" i="617"/>
  <c r="P583" i="617"/>
  <c r="P847" i="617"/>
  <c r="P689" i="617"/>
  <c r="P801" i="617"/>
  <c r="P845" i="617"/>
  <c r="P448" i="617"/>
  <c r="P472" i="617"/>
  <c r="P496" i="617"/>
  <c r="P520" i="617"/>
  <c r="P544" i="617"/>
  <c r="P568" i="617"/>
  <c r="P616" i="617"/>
  <c r="P664" i="617"/>
  <c r="P712" i="617"/>
  <c r="P818" i="617"/>
  <c r="P814" i="617"/>
  <c r="P766" i="617"/>
  <c r="P819" i="617"/>
  <c r="P950" i="617"/>
  <c r="P877" i="617"/>
  <c r="P941" i="617"/>
  <c r="P977" i="617"/>
  <c r="P1011" i="617"/>
  <c r="P50" i="617"/>
  <c r="P74" i="617"/>
  <c r="P98" i="617"/>
  <c r="P122" i="617"/>
  <c r="P146" i="617"/>
  <c r="P170" i="617"/>
  <c r="P561" i="617"/>
  <c r="P575" i="617"/>
  <c r="P775" i="617"/>
  <c r="P188" i="617"/>
  <c r="P212" i="617"/>
  <c r="P236" i="617"/>
  <c r="P260" i="617"/>
  <c r="P284" i="617"/>
  <c r="P308" i="617"/>
  <c r="P332" i="617"/>
  <c r="P356" i="617"/>
  <c r="P380" i="617"/>
  <c r="P404" i="617"/>
  <c r="P428" i="617"/>
  <c r="P557" i="617"/>
  <c r="P741" i="617"/>
  <c r="P647" i="617"/>
  <c r="P932" i="617"/>
  <c r="P613" i="617"/>
  <c r="P840" i="617"/>
  <c r="P611" i="617"/>
  <c r="P517" i="617"/>
  <c r="P705" i="617"/>
  <c r="P809" i="617"/>
  <c r="P866" i="617"/>
  <c r="P450" i="617"/>
  <c r="P474" i="617"/>
  <c r="P498" i="617"/>
  <c r="P522" i="617"/>
  <c r="P546" i="617"/>
  <c r="P574" i="617"/>
  <c r="P622" i="617"/>
  <c r="P670" i="617"/>
  <c r="P718" i="617"/>
  <c r="P841" i="617"/>
  <c r="P837" i="617"/>
  <c r="P772" i="617"/>
  <c r="P844" i="617"/>
  <c r="P924" i="617"/>
  <c r="P883" i="617"/>
  <c r="P999" i="617"/>
  <c r="P1015" i="617"/>
  <c r="P958" i="617"/>
  <c r="P451" i="617"/>
  <c r="P249" i="617"/>
  <c r="P345" i="617"/>
  <c r="P449" i="617"/>
  <c r="P28" i="617"/>
  <c r="P52" i="617"/>
  <c r="P76" i="617"/>
  <c r="P100" i="617"/>
  <c r="P124" i="617"/>
  <c r="P148" i="617"/>
  <c r="P563" i="617"/>
  <c r="P655" i="617"/>
  <c r="P591" i="617"/>
  <c r="P822" i="617"/>
  <c r="P190" i="617"/>
  <c r="P214" i="617"/>
  <c r="P238" i="617"/>
  <c r="P262" i="617"/>
  <c r="P286" i="617"/>
  <c r="P310" i="617"/>
  <c r="P334" i="617"/>
  <c r="P358" i="617"/>
  <c r="P382" i="617"/>
  <c r="P406" i="617"/>
  <c r="P430" i="617"/>
  <c r="P573" i="617"/>
  <c r="P781" i="617"/>
  <c r="P663" i="617"/>
  <c r="P441" i="617"/>
  <c r="P629" i="617"/>
  <c r="P843" i="617"/>
  <c r="P627" i="617"/>
  <c r="P533" i="617"/>
  <c r="P721" i="617"/>
  <c r="P815" i="617"/>
  <c r="P882" i="617"/>
  <c r="P452" i="617"/>
  <c r="P476" i="617"/>
  <c r="P500" i="617"/>
  <c r="P524" i="617"/>
  <c r="P548" i="617"/>
  <c r="P576" i="617"/>
  <c r="P624" i="617"/>
  <c r="P672" i="617"/>
  <c r="P720" i="617"/>
  <c r="P850" i="617"/>
  <c r="P846" i="617"/>
  <c r="P774" i="617"/>
  <c r="P851" i="617"/>
  <c r="P928" i="617"/>
  <c r="P885" i="617"/>
  <c r="P1003" i="617"/>
  <c r="P1016" i="617"/>
  <c r="P962" i="617"/>
  <c r="P353" i="617"/>
  <c r="P465" i="617"/>
  <c r="P30" i="617"/>
  <c r="P54" i="617"/>
  <c r="P78" i="617"/>
  <c r="P102" i="617"/>
  <c r="P126" i="617"/>
  <c r="P150" i="617"/>
  <c r="P671" i="617"/>
  <c r="P669" i="617"/>
  <c r="P603" i="617"/>
  <c r="P829" i="617"/>
  <c r="P192" i="617"/>
  <c r="P216" i="617"/>
  <c r="P240" i="617"/>
  <c r="P264" i="617"/>
  <c r="P288" i="617"/>
  <c r="P312" i="617"/>
  <c r="P336" i="617"/>
  <c r="P360" i="617"/>
  <c r="P384" i="617"/>
  <c r="P408" i="617"/>
  <c r="P432" i="617"/>
  <c r="P589" i="617"/>
  <c r="P787" i="617"/>
  <c r="P679" i="617"/>
  <c r="P457" i="617"/>
  <c r="P645" i="617"/>
  <c r="P439" i="617"/>
  <c r="P643" i="617"/>
  <c r="P549" i="617"/>
  <c r="P737" i="617"/>
  <c r="P872" i="617"/>
  <c r="P898" i="617"/>
  <c r="P454" i="617"/>
  <c r="P478" i="617"/>
  <c r="P502" i="617"/>
  <c r="P526" i="617"/>
  <c r="P550" i="617"/>
  <c r="P582" i="617"/>
  <c r="P630" i="617"/>
  <c r="P678" i="617"/>
  <c r="P726" i="617"/>
  <c r="P816" i="617"/>
  <c r="P931" i="617"/>
  <c r="P780" i="617"/>
  <c r="P876" i="617"/>
  <c r="P952" i="617"/>
  <c r="P891" i="617"/>
  <c r="P953" i="617"/>
  <c r="P971" i="617"/>
  <c r="P974" i="617"/>
  <c r="P361" i="617"/>
  <c r="P481" i="617"/>
  <c r="P32" i="617"/>
  <c r="P56" i="617"/>
  <c r="P80" i="617"/>
  <c r="P104" i="617"/>
  <c r="P128" i="617"/>
  <c r="P152" i="617"/>
  <c r="P685" i="617"/>
  <c r="P838" i="617"/>
  <c r="P619" i="617"/>
  <c r="P852" i="617"/>
  <c r="P194" i="617"/>
  <c r="P218" i="617"/>
  <c r="P242" i="617"/>
  <c r="P266" i="617"/>
  <c r="P290" i="617"/>
  <c r="P314" i="617"/>
  <c r="P338" i="617"/>
  <c r="P362" i="617"/>
  <c r="P386" i="617"/>
  <c r="P410" i="617"/>
  <c r="P434" i="617"/>
  <c r="P601" i="617"/>
  <c r="P807" i="617"/>
  <c r="P695" i="617"/>
  <c r="P473" i="617"/>
  <c r="P661" i="617"/>
  <c r="P455" i="617"/>
  <c r="P659" i="617"/>
  <c r="P565" i="617"/>
  <c r="P745" i="617"/>
  <c r="P888" i="617"/>
  <c r="P914" i="617"/>
  <c r="P456" i="617"/>
  <c r="P480" i="617"/>
  <c r="P504" i="617"/>
  <c r="P528" i="617"/>
  <c r="P552" i="617"/>
  <c r="P584" i="617"/>
  <c r="P632" i="617"/>
  <c r="P680" i="617"/>
  <c r="P728" i="617"/>
  <c r="P823" i="617"/>
  <c r="P1001" i="617"/>
  <c r="P782" i="617"/>
  <c r="P884" i="617"/>
  <c r="P967" i="617"/>
  <c r="P893" i="617"/>
  <c r="P955" i="617"/>
  <c r="P972" i="617"/>
  <c r="P978" i="617"/>
  <c r="P281" i="617"/>
  <c r="P377" i="617"/>
  <c r="P513" i="617"/>
  <c r="P36" i="617"/>
  <c r="P60" i="617"/>
  <c r="P84" i="617"/>
  <c r="P108" i="617"/>
  <c r="P132" i="617"/>
  <c r="P156" i="617"/>
  <c r="P383" i="617"/>
  <c r="P463" i="617"/>
  <c r="P651" i="617"/>
  <c r="P174" i="617"/>
  <c r="P198" i="617"/>
  <c r="P222" i="617"/>
  <c r="P246" i="617"/>
  <c r="P270" i="617"/>
  <c r="P294" i="617"/>
  <c r="P318" i="617"/>
  <c r="P342" i="617"/>
  <c r="P366" i="617"/>
  <c r="P390" i="617"/>
  <c r="P414" i="617"/>
  <c r="P445" i="617"/>
  <c r="P633" i="617"/>
  <c r="P539" i="617"/>
  <c r="P727" i="617"/>
  <c r="P505" i="617"/>
  <c r="P693" i="617"/>
  <c r="P487" i="617"/>
  <c r="P691" i="617"/>
  <c r="P595" i="617"/>
  <c r="P803" i="617"/>
  <c r="P996" i="617"/>
  <c r="P854" i="617"/>
  <c r="P460" i="617"/>
  <c r="P484" i="617"/>
  <c r="P508" i="617"/>
  <c r="P532" i="617"/>
  <c r="P556" i="617"/>
  <c r="P592" i="617"/>
  <c r="P640" i="617"/>
  <c r="P688" i="617"/>
  <c r="P743" i="617"/>
  <c r="P855" i="617"/>
  <c r="P742" i="617"/>
  <c r="P790" i="617"/>
  <c r="P916" i="617"/>
  <c r="P961" i="617"/>
  <c r="P901" i="617"/>
  <c r="P993" i="617"/>
  <c r="P1009" i="617"/>
  <c r="P994" i="617"/>
  <c r="P62" i="617"/>
  <c r="P86" i="617"/>
  <c r="P110" i="617"/>
  <c r="P134" i="617"/>
  <c r="P158" i="617"/>
  <c r="P391" i="617"/>
  <c r="P479" i="617"/>
  <c r="P667" i="617"/>
  <c r="P176" i="617"/>
  <c r="P200" i="617"/>
  <c r="P224" i="617"/>
  <c r="P248" i="617"/>
  <c r="P272" i="617"/>
  <c r="P296" i="617"/>
  <c r="P320" i="617"/>
  <c r="P344" i="617"/>
  <c r="P368" i="617"/>
  <c r="P392" i="617"/>
  <c r="P416" i="617"/>
  <c r="P461" i="617"/>
  <c r="P649" i="617"/>
  <c r="P555" i="617"/>
  <c r="P739" i="617"/>
  <c r="P521" i="617"/>
  <c r="P709" i="617"/>
  <c r="P503" i="617"/>
  <c r="P707" i="617"/>
  <c r="P609" i="617"/>
  <c r="P749" i="617"/>
  <c r="P747" i="617"/>
  <c r="P438" i="617"/>
  <c r="P462" i="617"/>
  <c r="P486" i="617"/>
  <c r="P510" i="617"/>
  <c r="P534" i="617"/>
  <c r="P558" i="617"/>
  <c r="P598" i="617"/>
  <c r="P646" i="617"/>
  <c r="P694" i="617"/>
  <c r="P831" i="617"/>
  <c r="P878" i="617"/>
  <c r="P748" i="617"/>
  <c r="P796" i="617"/>
  <c r="P817" i="617"/>
  <c r="P988" i="617"/>
  <c r="P907" i="617"/>
  <c r="P984" i="617"/>
  <c r="P939" i="617"/>
  <c r="P1006" i="617"/>
  <c r="P687" i="617"/>
  <c r="P297" i="617"/>
  <c r="P393" i="617"/>
  <c r="P761" i="617"/>
  <c r="P40" i="617"/>
  <c r="P64" i="617"/>
  <c r="P88" i="617"/>
  <c r="P112" i="617"/>
  <c r="P136" i="617"/>
  <c r="P160" i="617"/>
  <c r="P399" i="617"/>
  <c r="P495" i="617"/>
  <c r="P683" i="617"/>
  <c r="P178" i="617"/>
  <c r="P202" i="617"/>
  <c r="P226" i="617"/>
  <c r="P250" i="617"/>
  <c r="P274" i="617"/>
  <c r="P298" i="617"/>
  <c r="P322" i="617"/>
  <c r="P346" i="617"/>
  <c r="P370" i="617"/>
  <c r="P394" i="617"/>
  <c r="P418" i="617"/>
  <c r="P477" i="617"/>
  <c r="P665" i="617"/>
  <c r="P571" i="617"/>
  <c r="P757" i="617"/>
  <c r="P537" i="617"/>
  <c r="P725" i="617"/>
  <c r="P519" i="617"/>
  <c r="P723" i="617"/>
  <c r="P625" i="617"/>
  <c r="P765" i="617"/>
  <c r="P763" i="617"/>
  <c r="P440" i="617"/>
  <c r="P464" i="617"/>
  <c r="P488" i="617"/>
  <c r="P512" i="617"/>
  <c r="P536" i="617"/>
  <c r="P560" i="617"/>
  <c r="P600" i="617"/>
  <c r="P648" i="617"/>
  <c r="P696" i="617"/>
  <c r="P930" i="617"/>
  <c r="P886" i="617"/>
  <c r="P750" i="617"/>
  <c r="P798" i="617"/>
  <c r="P826" i="617"/>
  <c r="P861" i="617"/>
  <c r="P909" i="617"/>
  <c r="P985" i="617"/>
  <c r="P943" i="617"/>
  <c r="P1010" i="617"/>
  <c r="P570" i="617"/>
  <c r="P578" i="617"/>
  <c r="P586" i="617"/>
  <c r="P594" i="617"/>
  <c r="P602" i="617"/>
  <c r="P610" i="617"/>
  <c r="P618" i="617"/>
  <c r="P626" i="617"/>
  <c r="P634" i="617"/>
  <c r="P642" i="617"/>
  <c r="P650" i="617"/>
  <c r="P658" i="617"/>
  <c r="P666" i="617"/>
  <c r="P674" i="617"/>
  <c r="P682" i="617"/>
  <c r="P690" i="617"/>
  <c r="P698" i="617"/>
  <c r="P706" i="617"/>
  <c r="P714" i="617"/>
  <c r="P722" i="617"/>
  <c r="P730" i="617"/>
  <c r="P759" i="617"/>
  <c r="P960" i="617"/>
  <c r="P874" i="617"/>
  <c r="P825" i="617"/>
  <c r="P857" i="617"/>
  <c r="P832" i="617"/>
  <c r="P862" i="617"/>
  <c r="P894" i="617"/>
  <c r="P940" i="617"/>
  <c r="P821" i="617"/>
  <c r="P853" i="617"/>
  <c r="P736" i="617"/>
  <c r="P744" i="617"/>
  <c r="P752" i="617"/>
  <c r="P760" i="617"/>
  <c r="P768" i="617"/>
  <c r="P776" i="617"/>
  <c r="P784" i="617"/>
  <c r="P792" i="617"/>
  <c r="P800" i="617"/>
  <c r="P808" i="617"/>
  <c r="P828" i="617"/>
  <c r="P860" i="617"/>
  <c r="P892" i="617"/>
  <c r="P918" i="617"/>
  <c r="P833" i="617"/>
  <c r="P927" i="617"/>
  <c r="P959" i="617"/>
  <c r="P935" i="617"/>
  <c r="P969" i="617"/>
  <c r="P963" i="617"/>
  <c r="P863" i="617"/>
  <c r="P871" i="617"/>
  <c r="P879" i="617"/>
  <c r="P887" i="617"/>
  <c r="P895" i="617"/>
  <c r="P903" i="617"/>
  <c r="P911" i="617"/>
  <c r="P921" i="617"/>
  <c r="P949" i="617"/>
  <c r="P1005" i="617"/>
  <c r="P956" i="617"/>
  <c r="P945" i="617"/>
  <c r="P1019" i="617"/>
  <c r="P946" i="617"/>
  <c r="P980" i="617"/>
  <c r="P1017" i="617"/>
  <c r="P973" i="617"/>
  <c r="P1012" i="617"/>
  <c r="P947" i="617"/>
  <c r="P979" i="617"/>
  <c r="P1021" i="617"/>
  <c r="P966" i="617"/>
  <c r="P982" i="617"/>
  <c r="P998" i="617"/>
  <c r="P1014" i="617"/>
  <c r="P572" i="617"/>
  <c r="P580" i="617"/>
  <c r="P588" i="617"/>
  <c r="P596" i="617"/>
  <c r="P604" i="617"/>
  <c r="P612" i="617"/>
  <c r="P620" i="617"/>
  <c r="P628" i="617"/>
  <c r="P636" i="617"/>
  <c r="P644" i="617"/>
  <c r="P652" i="617"/>
  <c r="P660" i="617"/>
  <c r="P668" i="617"/>
  <c r="P676" i="617"/>
  <c r="P684" i="617"/>
  <c r="P692" i="617"/>
  <c r="P700" i="617"/>
  <c r="P708" i="617"/>
  <c r="P716" i="617"/>
  <c r="P724" i="617"/>
  <c r="P732" i="617"/>
  <c r="P813" i="617"/>
  <c r="P880" i="617"/>
  <c r="P890" i="617"/>
  <c r="P834" i="617"/>
  <c r="P923" i="617"/>
  <c r="P839" i="617"/>
  <c r="P870" i="617"/>
  <c r="P902" i="617"/>
  <c r="P964" i="617"/>
  <c r="P830" i="617"/>
  <c r="P922" i="617"/>
  <c r="P738" i="617"/>
  <c r="P746" i="617"/>
  <c r="P754" i="617"/>
  <c r="P762" i="617"/>
  <c r="P770" i="617"/>
  <c r="P778" i="617"/>
  <c r="P786" i="617"/>
  <c r="P794" i="617"/>
  <c r="P802" i="617"/>
  <c r="P810" i="617"/>
  <c r="P835" i="617"/>
  <c r="P868" i="617"/>
  <c r="P900" i="617"/>
  <c r="P938" i="617"/>
  <c r="P842" i="617"/>
  <c r="P1004" i="617"/>
  <c r="P920" i="617"/>
  <c r="P944" i="617"/>
  <c r="P995" i="617"/>
  <c r="P965" i="617"/>
  <c r="P865" i="617"/>
  <c r="P873" i="617"/>
  <c r="P881" i="617"/>
  <c r="P889" i="617"/>
  <c r="P897" i="617"/>
  <c r="P905" i="617"/>
  <c r="P913" i="617"/>
  <c r="P925" i="617"/>
  <c r="P997" i="617"/>
  <c r="P942" i="617"/>
  <c r="P991" i="617"/>
  <c r="P983" i="617"/>
  <c r="P1020" i="617"/>
  <c r="P975" i="617"/>
  <c r="P981" i="617"/>
  <c r="P948" i="617"/>
  <c r="P1007" i="617"/>
  <c r="P1013" i="617"/>
  <c r="P951" i="617"/>
  <c r="P989" i="617"/>
  <c r="P954" i="617"/>
  <c r="P970" i="617"/>
  <c r="P986" i="617"/>
  <c r="P1002" i="617"/>
  <c r="P1022" i="617"/>
  <c r="E63" i="613" l="1"/>
  <c r="E38" i="614" s="1"/>
  <c r="D63" i="613"/>
  <c r="D38" i="614" s="1"/>
  <c r="C63" i="613"/>
  <c r="C38" i="614" s="1"/>
  <c r="B63" i="613"/>
  <c r="B38" i="614" s="1"/>
  <c r="K121" i="466" l="1"/>
  <c r="L121" i="466" s="1"/>
  <c r="M121" i="466" s="1"/>
  <c r="N121" i="466" s="1"/>
  <c r="K120" i="466"/>
  <c r="L120" i="466" s="1"/>
  <c r="M120" i="466" s="1"/>
  <c r="N120" i="466" s="1"/>
  <c r="K119" i="466"/>
  <c r="L119" i="466" s="1"/>
  <c r="M119" i="466" s="1"/>
  <c r="N119" i="466" s="1"/>
  <c r="I32" i="481" l="1"/>
  <c r="F30" i="227" s="1"/>
  <c r="I32" i="545"/>
  <c r="J32" i="545" l="1"/>
  <c r="K32" i="545"/>
  <c r="I32" i="489"/>
  <c r="I32" i="490"/>
  <c r="J23" i="466"/>
  <c r="J22" i="466"/>
  <c r="J21" i="466"/>
  <c r="K23" i="466" l="1"/>
  <c r="B43" i="517"/>
  <c r="K21" i="466"/>
  <c r="C61" i="644"/>
  <c r="B61" i="644"/>
  <c r="I61" i="644"/>
  <c r="G61" i="644"/>
  <c r="E61" i="644"/>
  <c r="D61" i="644"/>
  <c r="H61" i="644"/>
  <c r="F61" i="644"/>
  <c r="B40" i="517"/>
  <c r="K22" i="466"/>
  <c r="B41" i="517"/>
  <c r="J32" i="490"/>
  <c r="K32" i="490"/>
  <c r="J32" i="489"/>
  <c r="K32" i="489"/>
  <c r="I32" i="620"/>
  <c r="J32" i="620" s="1"/>
  <c r="M19" i="613"/>
  <c r="L19" i="613"/>
  <c r="K19" i="613"/>
  <c r="J19" i="613"/>
  <c r="M18" i="613"/>
  <c r="L18" i="613"/>
  <c r="K18" i="613"/>
  <c r="J18" i="613"/>
  <c r="M17" i="613"/>
  <c r="L17" i="613"/>
  <c r="K17" i="613"/>
  <c r="J17" i="613"/>
  <c r="M16" i="613"/>
  <c r="L16" i="613"/>
  <c r="K16" i="613"/>
  <c r="J16" i="613"/>
  <c r="M15" i="613"/>
  <c r="L15" i="613"/>
  <c r="K15" i="613"/>
  <c r="J15" i="613"/>
  <c r="M14" i="613"/>
  <c r="L14" i="613"/>
  <c r="K14" i="613"/>
  <c r="J14" i="613"/>
  <c r="L21" i="466" l="1"/>
  <c r="B61" i="646"/>
  <c r="I61" i="646"/>
  <c r="H61" i="646"/>
  <c r="G61" i="646"/>
  <c r="D61" i="646"/>
  <c r="F61" i="646"/>
  <c r="C61" i="646"/>
  <c r="E61" i="646"/>
  <c r="B40" i="523"/>
  <c r="L22" i="466"/>
  <c r="B41" i="523"/>
  <c r="L23" i="466"/>
  <c r="B43" i="523"/>
  <c r="M13" i="613"/>
  <c r="M20" i="613" s="1"/>
  <c r="E70" i="613" s="1"/>
  <c r="L13" i="613"/>
  <c r="K13" i="613"/>
  <c r="K20" i="613" s="1"/>
  <c r="C70" i="613" s="1"/>
  <c r="J13" i="613"/>
  <c r="E98" i="613"/>
  <c r="E51" i="614" s="1"/>
  <c r="D98" i="613"/>
  <c r="D51" i="614" s="1"/>
  <c r="C98" i="613"/>
  <c r="C51" i="614" s="1"/>
  <c r="B98" i="613"/>
  <c r="B51" i="614" s="1"/>
  <c r="B92" i="613"/>
  <c r="C92" i="613" s="1"/>
  <c r="D92" i="613" s="1"/>
  <c r="E92" i="613" s="1"/>
  <c r="F92" i="613" s="1"/>
  <c r="G92" i="613" s="1"/>
  <c r="H92" i="613" s="1"/>
  <c r="I92" i="613" s="1"/>
  <c r="E69" i="613"/>
  <c r="D69" i="613"/>
  <c r="C69" i="613"/>
  <c r="B69" i="613"/>
  <c r="B71" i="613" s="1"/>
  <c r="M22" i="466" l="1"/>
  <c r="B41" i="556"/>
  <c r="M23" i="466"/>
  <c r="B43" i="556"/>
  <c r="M21" i="466"/>
  <c r="E61" i="647"/>
  <c r="D61" i="647"/>
  <c r="H61" i="647"/>
  <c r="C61" i="647"/>
  <c r="B61" i="647"/>
  <c r="G61" i="647"/>
  <c r="I61" i="647"/>
  <c r="F61" i="647"/>
  <c r="B40" i="556"/>
  <c r="C71" i="613"/>
  <c r="C58" i="613" s="1"/>
  <c r="C33" i="614" s="1"/>
  <c r="D71" i="613"/>
  <c r="D58" i="613" s="1"/>
  <c r="D33" i="614" s="1"/>
  <c r="E71" i="613"/>
  <c r="E58" i="613" s="1"/>
  <c r="E33" i="614" s="1"/>
  <c r="L20" i="613"/>
  <c r="D70" i="613" s="1"/>
  <c r="J20" i="613"/>
  <c r="B70" i="613" s="1"/>
  <c r="B57" i="613"/>
  <c r="B32" i="614" s="1"/>
  <c r="B58" i="613"/>
  <c r="B33" i="614" s="1"/>
  <c r="B40" i="691" l="1"/>
  <c r="N21" i="466"/>
  <c r="B40" i="631"/>
  <c r="N23" i="466"/>
  <c r="B43" i="691"/>
  <c r="B43" i="631"/>
  <c r="N22" i="466"/>
  <c r="B41" i="691"/>
  <c r="B41" i="631"/>
  <c r="D57" i="613"/>
  <c r="D32" i="614" s="1"/>
  <c r="C57" i="613"/>
  <c r="C32" i="614" s="1"/>
  <c r="E57" i="613"/>
  <c r="E32" i="614" s="1"/>
  <c r="B298" i="612"/>
  <c r="B297" i="612"/>
  <c r="B296" i="612"/>
  <c r="B295" i="612"/>
  <c r="B294" i="612"/>
  <c r="B293" i="612"/>
  <c r="B292" i="612"/>
  <c r="B291" i="612"/>
  <c r="B290" i="612"/>
  <c r="B289" i="612"/>
  <c r="B288" i="612"/>
  <c r="B287" i="612"/>
  <c r="B286" i="612"/>
  <c r="B285" i="612"/>
  <c r="B284" i="612"/>
  <c r="B283" i="612"/>
  <c r="B282" i="612"/>
  <c r="B281" i="612"/>
  <c r="B280" i="612"/>
  <c r="B279" i="612"/>
  <c r="B278" i="612"/>
  <c r="B277" i="612"/>
  <c r="B276" i="612"/>
  <c r="B275" i="612"/>
  <c r="B274" i="612"/>
  <c r="B273" i="612"/>
  <c r="B272" i="612"/>
  <c r="B271" i="612"/>
  <c r="B270" i="612"/>
  <c r="B269" i="612"/>
  <c r="B268" i="612"/>
  <c r="B267" i="612"/>
  <c r="B266" i="612"/>
  <c r="B265" i="612"/>
  <c r="B264" i="612"/>
  <c r="B263" i="612"/>
  <c r="B262" i="612"/>
  <c r="B261" i="612"/>
  <c r="B260" i="612"/>
  <c r="B259" i="612"/>
  <c r="B258" i="612"/>
  <c r="B257" i="612"/>
  <c r="B256" i="612"/>
  <c r="B255" i="612"/>
  <c r="B254" i="612"/>
  <c r="B253" i="612"/>
  <c r="B252" i="612"/>
  <c r="B251" i="612"/>
  <c r="B250" i="612"/>
  <c r="B249" i="612"/>
  <c r="B248" i="612"/>
  <c r="B247" i="612"/>
  <c r="B246" i="612"/>
  <c r="B245" i="612"/>
  <c r="B244" i="612"/>
  <c r="B243" i="612"/>
  <c r="B242" i="612"/>
  <c r="B241" i="612"/>
  <c r="B240" i="612"/>
  <c r="B239" i="612"/>
  <c r="B238" i="612"/>
  <c r="B237" i="612"/>
  <c r="B236" i="612"/>
  <c r="B235" i="612"/>
  <c r="B234" i="612"/>
  <c r="B233" i="612"/>
  <c r="B232" i="612"/>
  <c r="B231" i="612"/>
  <c r="B230" i="612"/>
  <c r="B229" i="612"/>
  <c r="B228" i="612"/>
  <c r="B227" i="612"/>
  <c r="B226" i="612"/>
  <c r="B225" i="612"/>
  <c r="B224" i="612"/>
  <c r="B223" i="612"/>
  <c r="B222" i="612"/>
  <c r="B221" i="612"/>
  <c r="B220" i="612"/>
  <c r="B219" i="612"/>
  <c r="B218" i="612"/>
  <c r="B217" i="612"/>
  <c r="B216" i="612"/>
  <c r="B215" i="612"/>
  <c r="B214" i="612"/>
  <c r="B213" i="612"/>
  <c r="B212" i="612"/>
  <c r="B211" i="612"/>
  <c r="B210" i="612"/>
  <c r="B209" i="612"/>
  <c r="B208" i="612"/>
  <c r="B207" i="612"/>
  <c r="B206" i="612"/>
  <c r="B205" i="612"/>
  <c r="B204" i="612"/>
  <c r="B203" i="612"/>
  <c r="B202" i="612"/>
  <c r="B201" i="612"/>
  <c r="B200" i="612"/>
  <c r="B199" i="612"/>
  <c r="B198" i="612"/>
  <c r="B197" i="612"/>
  <c r="B196" i="612"/>
  <c r="B195" i="612"/>
  <c r="B194" i="612"/>
  <c r="B193" i="612"/>
  <c r="B192" i="612"/>
  <c r="B191" i="612"/>
  <c r="B190" i="612"/>
  <c r="B189" i="612"/>
  <c r="B188" i="612"/>
  <c r="B187" i="612"/>
  <c r="B186" i="612"/>
  <c r="B185" i="612"/>
  <c r="B184" i="612"/>
  <c r="B183" i="612"/>
  <c r="B182" i="612"/>
  <c r="B181" i="612"/>
  <c r="B180" i="612"/>
  <c r="B179" i="612"/>
  <c r="B178" i="612"/>
  <c r="B177" i="612"/>
  <c r="B176" i="612"/>
  <c r="B175" i="612"/>
  <c r="B174" i="612"/>
  <c r="B173" i="612"/>
  <c r="B172" i="612"/>
  <c r="B171" i="612"/>
  <c r="B170" i="612"/>
  <c r="B169" i="612"/>
  <c r="B168" i="612"/>
  <c r="B167" i="612"/>
  <c r="B166" i="612"/>
  <c r="B165" i="612"/>
  <c r="B164" i="612"/>
  <c r="B163" i="612"/>
  <c r="B162" i="612"/>
  <c r="B161" i="612"/>
  <c r="B160" i="612"/>
  <c r="B159" i="612"/>
  <c r="B158" i="612"/>
  <c r="B157" i="612"/>
  <c r="B156" i="612"/>
  <c r="B155" i="612"/>
  <c r="B154" i="612"/>
  <c r="B153" i="612"/>
  <c r="B152" i="612"/>
  <c r="B151" i="612"/>
  <c r="B150" i="612"/>
  <c r="B149" i="612"/>
  <c r="B148" i="612"/>
  <c r="B147" i="612"/>
  <c r="B146" i="612"/>
  <c r="B145" i="612"/>
  <c r="B144" i="612"/>
  <c r="B143" i="612"/>
  <c r="B142" i="612"/>
  <c r="B141" i="612"/>
  <c r="B140" i="612"/>
  <c r="B139" i="612"/>
  <c r="B138" i="612"/>
  <c r="B137" i="612"/>
  <c r="B136" i="612"/>
  <c r="B135" i="612"/>
  <c r="B134" i="612"/>
  <c r="B133" i="612"/>
  <c r="B132" i="612"/>
  <c r="B131" i="612"/>
  <c r="B130" i="612"/>
  <c r="B129" i="612"/>
  <c r="B128" i="612"/>
  <c r="B127" i="612"/>
  <c r="B126" i="612"/>
  <c r="B125" i="612"/>
  <c r="B124" i="612"/>
  <c r="B123" i="612"/>
  <c r="B122" i="612"/>
  <c r="B121" i="612"/>
  <c r="B120" i="612"/>
  <c r="B119" i="612"/>
  <c r="B118" i="612"/>
  <c r="B117" i="612"/>
  <c r="B116" i="612"/>
  <c r="B115" i="612"/>
  <c r="B114" i="612"/>
  <c r="B113" i="612"/>
  <c r="B112" i="612"/>
  <c r="B111" i="612"/>
  <c r="B110" i="612"/>
  <c r="B109" i="612"/>
  <c r="B108" i="612"/>
  <c r="B107" i="612"/>
  <c r="B106" i="612"/>
  <c r="B105" i="612"/>
  <c r="B104" i="612"/>
  <c r="B103" i="612"/>
  <c r="B102" i="612"/>
  <c r="B101" i="612"/>
  <c r="B100" i="612"/>
  <c r="B99" i="612"/>
  <c r="B98" i="612"/>
  <c r="B97" i="612"/>
  <c r="B96" i="612"/>
  <c r="B95" i="612"/>
  <c r="B94" i="612"/>
  <c r="B93" i="612"/>
  <c r="B92" i="612"/>
  <c r="B91" i="612"/>
  <c r="B90" i="612"/>
  <c r="B89" i="612"/>
  <c r="B88" i="612"/>
  <c r="B87" i="612"/>
  <c r="B86" i="612"/>
  <c r="B85" i="612"/>
  <c r="B84" i="612"/>
  <c r="B83" i="612"/>
  <c r="B82" i="612"/>
  <c r="B81" i="612"/>
  <c r="B80" i="612"/>
  <c r="B79" i="612"/>
  <c r="B78" i="612"/>
  <c r="B77" i="612"/>
  <c r="B76" i="612"/>
  <c r="B75" i="612"/>
  <c r="B74" i="612"/>
  <c r="B73" i="612"/>
  <c r="B72" i="612"/>
  <c r="B71" i="612"/>
  <c r="B70" i="612"/>
  <c r="B69" i="612"/>
  <c r="B68" i="612"/>
  <c r="B67" i="612"/>
  <c r="B66" i="612"/>
  <c r="B65" i="612"/>
  <c r="B64" i="612"/>
  <c r="B63" i="612"/>
  <c r="B62" i="612"/>
  <c r="B61" i="612"/>
  <c r="B60" i="612"/>
  <c r="B59" i="612"/>
  <c r="B58" i="612"/>
  <c r="B57" i="612"/>
  <c r="B56" i="612"/>
  <c r="B55" i="612"/>
  <c r="B54" i="612"/>
  <c r="B53" i="612"/>
  <c r="B52" i="612"/>
  <c r="B51" i="612"/>
  <c r="B50" i="612"/>
  <c r="B49" i="612"/>
  <c r="B48" i="612"/>
  <c r="B47" i="612"/>
  <c r="B46" i="612"/>
  <c r="B45" i="612"/>
  <c r="B44" i="612"/>
  <c r="B43" i="612"/>
  <c r="B42" i="612"/>
  <c r="B41" i="612"/>
  <c r="B40" i="612"/>
  <c r="B39" i="612"/>
  <c r="B38" i="612"/>
  <c r="B37" i="612"/>
  <c r="B36" i="612"/>
  <c r="B35" i="612"/>
  <c r="B34" i="612"/>
  <c r="B33" i="612"/>
  <c r="B32" i="612"/>
  <c r="B31" i="612"/>
  <c r="B30" i="612"/>
  <c r="B29" i="612"/>
  <c r="B28" i="612"/>
  <c r="B27" i="612"/>
  <c r="B26" i="612"/>
  <c r="B25" i="612"/>
  <c r="B24" i="612"/>
  <c r="B23" i="612"/>
  <c r="B22" i="612"/>
  <c r="B21" i="612"/>
  <c r="B20" i="612"/>
  <c r="B19" i="612"/>
  <c r="B18" i="612"/>
  <c r="B17" i="612"/>
  <c r="B16" i="612"/>
  <c r="B15" i="612"/>
  <c r="B14" i="612"/>
  <c r="B13" i="612"/>
  <c r="B12" i="612"/>
  <c r="B11" i="612"/>
  <c r="B10" i="612"/>
  <c r="B9" i="612"/>
  <c r="B8" i="612"/>
  <c r="B7" i="612"/>
  <c r="B6" i="612"/>
  <c r="B5" i="612"/>
  <c r="B4" i="612"/>
  <c r="B3" i="612"/>
  <c r="B2" i="612"/>
  <c r="B1" i="612"/>
  <c r="F61" i="687" l="1"/>
  <c r="D61" i="687"/>
  <c r="B61" i="687"/>
  <c r="B36" i="686" s="1"/>
  <c r="H61" i="687"/>
  <c r="E61" i="687"/>
  <c r="C61" i="687"/>
  <c r="C36" i="686" s="1"/>
  <c r="I61" i="687"/>
  <c r="I36" i="686" s="1"/>
  <c r="G61" i="687"/>
  <c r="C3" i="620"/>
  <c r="D36" i="686" l="1"/>
  <c r="G36" i="686"/>
  <c r="E36" i="686"/>
  <c r="H36" i="686"/>
  <c r="F36" i="686"/>
  <c r="C3" i="545"/>
  <c r="I98" i="481"/>
  <c r="D27" i="109" l="1"/>
  <c r="D25" i="109"/>
  <c r="F94" i="106"/>
  <c r="C14" i="608" l="1"/>
  <c r="B14" i="608"/>
  <c r="E10" i="608"/>
  <c r="D10" i="608"/>
  <c r="C10" i="608"/>
  <c r="B10" i="608"/>
  <c r="D14" i="608" l="1"/>
  <c r="E14" i="608" l="1"/>
  <c r="H120" i="167"/>
  <c r="I120" i="167" l="1"/>
  <c r="G14" i="608" s="1"/>
  <c r="F14" i="608"/>
  <c r="G18" i="167" l="1"/>
  <c r="G17" i="167"/>
  <c r="BH39" i="167"/>
  <c r="B1231" i="605" l="1"/>
  <c r="B1230" i="605"/>
  <c r="B1229" i="605"/>
  <c r="B1228" i="605"/>
  <c r="B1227" i="605"/>
  <c r="B1226" i="605"/>
  <c r="B1225" i="605"/>
  <c r="B1224" i="605"/>
  <c r="B1223" i="605"/>
  <c r="B1222" i="605"/>
  <c r="B1221" i="605"/>
  <c r="B1220" i="605"/>
  <c r="B1219" i="605"/>
  <c r="B1218" i="605"/>
  <c r="B1217" i="605"/>
  <c r="B1216" i="605"/>
  <c r="B1215" i="605"/>
  <c r="B1214" i="605"/>
  <c r="B1213" i="605"/>
  <c r="B1212" i="605"/>
  <c r="B1211" i="605"/>
  <c r="B1210" i="605"/>
  <c r="B1209" i="605"/>
  <c r="B1208" i="605"/>
  <c r="B1207" i="605"/>
  <c r="B1206" i="605"/>
  <c r="B1205" i="605"/>
  <c r="B1204" i="605"/>
  <c r="B1203" i="605"/>
  <c r="B1202" i="605"/>
  <c r="B1201" i="605"/>
  <c r="B1200" i="605"/>
  <c r="B1199" i="605"/>
  <c r="B1198" i="605"/>
  <c r="B1197" i="605"/>
  <c r="B1196" i="605"/>
  <c r="B1195" i="605"/>
  <c r="B1194" i="605"/>
  <c r="B1193" i="605"/>
  <c r="B1192" i="605"/>
  <c r="B1191" i="605"/>
  <c r="B1190" i="605"/>
  <c r="B1189" i="605"/>
  <c r="B1188" i="605"/>
  <c r="B1187" i="605"/>
  <c r="B1186" i="605"/>
  <c r="B1185" i="605"/>
  <c r="B1184" i="605"/>
  <c r="B1183" i="605"/>
  <c r="B1182" i="605"/>
  <c r="B1181" i="605"/>
  <c r="B1180" i="605"/>
  <c r="B1179" i="605"/>
  <c r="B1178" i="605"/>
  <c r="B1177" i="605"/>
  <c r="B1176" i="605"/>
  <c r="B1175" i="605"/>
  <c r="B1174" i="605"/>
  <c r="B1173" i="605"/>
  <c r="B1172" i="605"/>
  <c r="B1171" i="605"/>
  <c r="B1170" i="605"/>
  <c r="B1169" i="605"/>
  <c r="B1168" i="605"/>
  <c r="B1167" i="605"/>
  <c r="B1166" i="605"/>
  <c r="B1165" i="605"/>
  <c r="B1164" i="605"/>
  <c r="B1163" i="605"/>
  <c r="B1162" i="605"/>
  <c r="B1161" i="605"/>
  <c r="B1160" i="605"/>
  <c r="B1159" i="605"/>
  <c r="B1158" i="605"/>
  <c r="B1157" i="605"/>
  <c r="B1156" i="605"/>
  <c r="B1155" i="605"/>
  <c r="B1154" i="605"/>
  <c r="B1153" i="605"/>
  <c r="B1152" i="605"/>
  <c r="B1151" i="605"/>
  <c r="B1150" i="605"/>
  <c r="B1149" i="605"/>
  <c r="B1148" i="605"/>
  <c r="B1147" i="605"/>
  <c r="B1146" i="605"/>
  <c r="B1145" i="605"/>
  <c r="B1144" i="605"/>
  <c r="B1143" i="605"/>
  <c r="B1142" i="605"/>
  <c r="B1141" i="605"/>
  <c r="B1140" i="605"/>
  <c r="B1139" i="605"/>
  <c r="B1138" i="605"/>
  <c r="B1137" i="605"/>
  <c r="B1136" i="605"/>
  <c r="B1135" i="605"/>
  <c r="B1134" i="605"/>
  <c r="B1133" i="605"/>
  <c r="B1132" i="605"/>
  <c r="B1131" i="605"/>
  <c r="B1130" i="605"/>
  <c r="B1129" i="605"/>
  <c r="B1128" i="605"/>
  <c r="B1127" i="605"/>
  <c r="B1126" i="605"/>
  <c r="B1125" i="605"/>
  <c r="B1124" i="605"/>
  <c r="B1123" i="605"/>
  <c r="B1122" i="605"/>
  <c r="B1121" i="605"/>
  <c r="B1120" i="605"/>
  <c r="B1119" i="605"/>
  <c r="B1118" i="605"/>
  <c r="B1117" i="605"/>
  <c r="B1116" i="605"/>
  <c r="B1115" i="605"/>
  <c r="B1114" i="605"/>
  <c r="B1113" i="605"/>
  <c r="B1112" i="605"/>
  <c r="B1111" i="605"/>
  <c r="B1110" i="605"/>
  <c r="B1109" i="605"/>
  <c r="B1108" i="605"/>
  <c r="B1107" i="605"/>
  <c r="B1106" i="605"/>
  <c r="B1105" i="605"/>
  <c r="B1104" i="605"/>
  <c r="B1103" i="605"/>
  <c r="B1102" i="605"/>
  <c r="B1101" i="605"/>
  <c r="B1100" i="605"/>
  <c r="B1099" i="605"/>
  <c r="B1098" i="605"/>
  <c r="B1097" i="605"/>
  <c r="B1096" i="605"/>
  <c r="B1095" i="605"/>
  <c r="B1094" i="605"/>
  <c r="B1093" i="605"/>
  <c r="B1092" i="605"/>
  <c r="B1091" i="605"/>
  <c r="B1090" i="605"/>
  <c r="B1089" i="605"/>
  <c r="B1088" i="605"/>
  <c r="B1087" i="605"/>
  <c r="B1086" i="605"/>
  <c r="B1085" i="605"/>
  <c r="B1084" i="605"/>
  <c r="B1083" i="605"/>
  <c r="B1082" i="605"/>
  <c r="B1081" i="605"/>
  <c r="B1080" i="605"/>
  <c r="B1079" i="605"/>
  <c r="B1078" i="605"/>
  <c r="B1077" i="605"/>
  <c r="B1076" i="605"/>
  <c r="B1075" i="605"/>
  <c r="B1074" i="605"/>
  <c r="B1073" i="605"/>
  <c r="B1072" i="605"/>
  <c r="B1071" i="605"/>
  <c r="B1070" i="605"/>
  <c r="B1069" i="605"/>
  <c r="B1068" i="605"/>
  <c r="B1067" i="605"/>
  <c r="B1066" i="605"/>
  <c r="B1065" i="605"/>
  <c r="B1064" i="605"/>
  <c r="B1063" i="605"/>
  <c r="B1062" i="605"/>
  <c r="B1061" i="605"/>
  <c r="B1060" i="605"/>
  <c r="B1059" i="605"/>
  <c r="B1058" i="605"/>
  <c r="B1057" i="605"/>
  <c r="B1056" i="605"/>
  <c r="B1055" i="605"/>
  <c r="B1054" i="605"/>
  <c r="B1053" i="605"/>
  <c r="B1052" i="605"/>
  <c r="B1051" i="605"/>
  <c r="B1050" i="605"/>
  <c r="B1049" i="605"/>
  <c r="B1048" i="605"/>
  <c r="B1047" i="605"/>
  <c r="B1046" i="605"/>
  <c r="B1045" i="605"/>
  <c r="B1044" i="605"/>
  <c r="B1043" i="605"/>
  <c r="B1042" i="605"/>
  <c r="B1041" i="605"/>
  <c r="B1040" i="605"/>
  <c r="B1039" i="605"/>
  <c r="B1038" i="605"/>
  <c r="B1037" i="605"/>
  <c r="B1036" i="605"/>
  <c r="B1035" i="605"/>
  <c r="B1034" i="605"/>
  <c r="B1033" i="605"/>
  <c r="B1032" i="605"/>
  <c r="B1031" i="605"/>
  <c r="B1030" i="605"/>
  <c r="B1029" i="605"/>
  <c r="B1028" i="605"/>
  <c r="B1027" i="605"/>
  <c r="B1026" i="605"/>
  <c r="B1025" i="605"/>
  <c r="B1024" i="605"/>
  <c r="B1023" i="605"/>
  <c r="B1022" i="605"/>
  <c r="B1021" i="605"/>
  <c r="B1020" i="605"/>
  <c r="B1019" i="605"/>
  <c r="B1018" i="605"/>
  <c r="B1017" i="605"/>
  <c r="B1016" i="605"/>
  <c r="B1015" i="605"/>
  <c r="B1014" i="605"/>
  <c r="B1013" i="605"/>
  <c r="B1012" i="605"/>
  <c r="B1011" i="605"/>
  <c r="B1010" i="605"/>
  <c r="B1009" i="605"/>
  <c r="B1008" i="605"/>
  <c r="B1007" i="605"/>
  <c r="B1006" i="605"/>
  <c r="B1005" i="605"/>
  <c r="B1004" i="605"/>
  <c r="B1003" i="605"/>
  <c r="B1002" i="605"/>
  <c r="B1001" i="605"/>
  <c r="B1000" i="605"/>
  <c r="B999" i="605"/>
  <c r="B998" i="605"/>
  <c r="B997" i="605"/>
  <c r="B996" i="605"/>
  <c r="B995" i="605"/>
  <c r="B994" i="605"/>
  <c r="B993" i="605"/>
  <c r="B992" i="605"/>
  <c r="B991" i="605"/>
  <c r="B990" i="605"/>
  <c r="B989" i="605"/>
  <c r="B988" i="605"/>
  <c r="B987" i="605"/>
  <c r="B986" i="605"/>
  <c r="B985" i="605"/>
  <c r="B984" i="605"/>
  <c r="B983" i="605"/>
  <c r="B982" i="605"/>
  <c r="B981" i="605"/>
  <c r="B980" i="605"/>
  <c r="B979" i="605"/>
  <c r="B978" i="605"/>
  <c r="B977" i="605"/>
  <c r="B976" i="605"/>
  <c r="B975" i="605"/>
  <c r="B974" i="605"/>
  <c r="B973" i="605"/>
  <c r="B972" i="605"/>
  <c r="B971" i="605"/>
  <c r="B970" i="605"/>
  <c r="B969" i="605"/>
  <c r="B968" i="605"/>
  <c r="B967" i="605"/>
  <c r="B966" i="605"/>
  <c r="B965" i="605"/>
  <c r="B964" i="605"/>
  <c r="B963" i="605"/>
  <c r="B962" i="605"/>
  <c r="B961" i="605"/>
  <c r="B960" i="605"/>
  <c r="B959" i="605"/>
  <c r="B958" i="605"/>
  <c r="B957" i="605"/>
  <c r="B956" i="605"/>
  <c r="B955" i="605"/>
  <c r="B954" i="605"/>
  <c r="B953" i="605"/>
  <c r="B952" i="605"/>
  <c r="B951" i="605"/>
  <c r="B950" i="605"/>
  <c r="B949" i="605"/>
  <c r="B948" i="605"/>
  <c r="B947" i="605"/>
  <c r="B946" i="605"/>
  <c r="B945" i="605"/>
  <c r="B944" i="605"/>
  <c r="B943" i="605"/>
  <c r="B942" i="605"/>
  <c r="B941" i="605"/>
  <c r="B940" i="605"/>
  <c r="B939" i="605"/>
  <c r="B938" i="605"/>
  <c r="B937" i="605"/>
  <c r="B936" i="605"/>
  <c r="B935" i="605"/>
  <c r="B934" i="605"/>
  <c r="B933" i="605"/>
  <c r="B932" i="605"/>
  <c r="B931" i="605"/>
  <c r="B930" i="605"/>
  <c r="B929" i="605"/>
  <c r="B928" i="605"/>
  <c r="B927" i="605"/>
  <c r="B926" i="605"/>
  <c r="B925" i="605"/>
  <c r="B924" i="605"/>
  <c r="B923" i="605"/>
  <c r="B922" i="605"/>
  <c r="B921" i="605"/>
  <c r="B920" i="605"/>
  <c r="B919" i="605"/>
  <c r="B918" i="605"/>
  <c r="B917" i="605"/>
  <c r="B916" i="605"/>
  <c r="B915" i="605"/>
  <c r="B914" i="605"/>
  <c r="B913" i="605"/>
  <c r="B912" i="605"/>
  <c r="B911" i="605"/>
  <c r="B910" i="605"/>
  <c r="B909" i="605"/>
  <c r="B908" i="605"/>
  <c r="B907" i="605"/>
  <c r="B906" i="605"/>
  <c r="B905" i="605"/>
  <c r="B904" i="605"/>
  <c r="B903" i="605"/>
  <c r="B902" i="605"/>
  <c r="B901" i="605"/>
  <c r="B900" i="605"/>
  <c r="B899" i="605"/>
  <c r="B898" i="605"/>
  <c r="B897" i="605"/>
  <c r="B896" i="605"/>
  <c r="B895" i="605"/>
  <c r="B894" i="605"/>
  <c r="B893" i="605"/>
  <c r="B892" i="605"/>
  <c r="B891" i="605"/>
  <c r="B890" i="605"/>
  <c r="B889" i="605"/>
  <c r="B888" i="605"/>
  <c r="B887" i="605"/>
  <c r="B886" i="605"/>
  <c r="B885" i="605"/>
  <c r="B884" i="605"/>
  <c r="B883" i="605"/>
  <c r="B882" i="605"/>
  <c r="B881" i="605"/>
  <c r="B880" i="605"/>
  <c r="B879" i="605"/>
  <c r="B878" i="605"/>
  <c r="B877" i="605"/>
  <c r="B876" i="605"/>
  <c r="B875" i="605"/>
  <c r="B874" i="605"/>
  <c r="B873" i="605"/>
  <c r="B872" i="605"/>
  <c r="B871" i="605"/>
  <c r="B870" i="605"/>
  <c r="B869" i="605"/>
  <c r="B868" i="605"/>
  <c r="B867" i="605"/>
  <c r="B866" i="605"/>
  <c r="B865" i="605"/>
  <c r="B864" i="605"/>
  <c r="B863" i="605"/>
  <c r="B862" i="605"/>
  <c r="B861" i="605"/>
  <c r="B860" i="605"/>
  <c r="B859" i="605"/>
  <c r="B858" i="605"/>
  <c r="B857" i="605"/>
  <c r="B856" i="605"/>
  <c r="B855" i="605"/>
  <c r="B854" i="605"/>
  <c r="B853" i="605"/>
  <c r="B852" i="605"/>
  <c r="B851" i="605"/>
  <c r="B850" i="605"/>
  <c r="B849" i="605"/>
  <c r="B848" i="605"/>
  <c r="B847" i="605"/>
  <c r="B846" i="605"/>
  <c r="B845" i="605"/>
  <c r="B844" i="605"/>
  <c r="B843" i="605"/>
  <c r="B842" i="605"/>
  <c r="B841" i="605"/>
  <c r="B840" i="605"/>
  <c r="B839" i="605"/>
  <c r="B838" i="605"/>
  <c r="B837" i="605"/>
  <c r="B836" i="605"/>
  <c r="B835" i="605"/>
  <c r="B834" i="605"/>
  <c r="B833" i="605"/>
  <c r="B832" i="605"/>
  <c r="B831" i="605"/>
  <c r="B830" i="605"/>
  <c r="B829" i="605"/>
  <c r="B828" i="605"/>
  <c r="B827" i="605"/>
  <c r="B826" i="605"/>
  <c r="B825" i="605"/>
  <c r="B824" i="605"/>
  <c r="B823" i="605"/>
  <c r="B822" i="605"/>
  <c r="B821" i="605"/>
  <c r="B820" i="605"/>
  <c r="B819" i="605"/>
  <c r="B818" i="605"/>
  <c r="B817" i="605"/>
  <c r="B816" i="605"/>
  <c r="B815" i="605"/>
  <c r="B814" i="605"/>
  <c r="B813" i="605"/>
  <c r="B812" i="605"/>
  <c r="B811" i="605"/>
  <c r="B810" i="605"/>
  <c r="B809" i="605"/>
  <c r="B808" i="605"/>
  <c r="B807" i="605"/>
  <c r="B806" i="605"/>
  <c r="B805" i="605"/>
  <c r="B804" i="605"/>
  <c r="B803" i="605"/>
  <c r="B802" i="605"/>
  <c r="B801" i="605"/>
  <c r="B800" i="605"/>
  <c r="B799" i="605"/>
  <c r="B798" i="605"/>
  <c r="B797" i="605"/>
  <c r="B796" i="605"/>
  <c r="B795" i="605"/>
  <c r="B794" i="605"/>
  <c r="B793" i="605"/>
  <c r="B792" i="605"/>
  <c r="B791" i="605"/>
  <c r="B790" i="605"/>
  <c r="B789" i="605"/>
  <c r="B788" i="605"/>
  <c r="B787" i="605"/>
  <c r="B786" i="605"/>
  <c r="B785" i="605"/>
  <c r="B784" i="605"/>
  <c r="B783" i="605"/>
  <c r="B782" i="605"/>
  <c r="B781" i="605"/>
  <c r="B780" i="605"/>
  <c r="B779" i="605"/>
  <c r="B778" i="605"/>
  <c r="B777" i="605"/>
  <c r="B776" i="605"/>
  <c r="B775" i="605"/>
  <c r="B774" i="605"/>
  <c r="B773" i="605"/>
  <c r="B772" i="605"/>
  <c r="B771" i="605"/>
  <c r="B770" i="605"/>
  <c r="B769" i="605"/>
  <c r="B768" i="605"/>
  <c r="B767" i="605"/>
  <c r="B766" i="605"/>
  <c r="B765" i="605"/>
  <c r="B764" i="605"/>
  <c r="B763" i="605"/>
  <c r="B762" i="605"/>
  <c r="B761" i="605"/>
  <c r="B760" i="605"/>
  <c r="B759" i="605"/>
  <c r="B758" i="605"/>
  <c r="B757" i="605"/>
  <c r="B756" i="605"/>
  <c r="B755" i="605"/>
  <c r="B754" i="605"/>
  <c r="B753" i="605"/>
  <c r="B752" i="605"/>
  <c r="B751" i="605"/>
  <c r="B750" i="605"/>
  <c r="B749" i="605"/>
  <c r="B748" i="605"/>
  <c r="B747" i="605"/>
  <c r="B746" i="605"/>
  <c r="B745" i="605"/>
  <c r="B744" i="605"/>
  <c r="B743" i="605"/>
  <c r="B742" i="605"/>
  <c r="B741" i="605"/>
  <c r="B740" i="605"/>
  <c r="B739" i="605"/>
  <c r="B738" i="605"/>
  <c r="B737" i="605"/>
  <c r="B736" i="605"/>
  <c r="B735" i="605"/>
  <c r="B734" i="605"/>
  <c r="B733" i="605"/>
  <c r="B732" i="605"/>
  <c r="B731" i="605"/>
  <c r="B730" i="605"/>
  <c r="B729" i="605"/>
  <c r="B728" i="605"/>
  <c r="B727" i="605"/>
  <c r="B726" i="605"/>
  <c r="B725" i="605"/>
  <c r="B724" i="605"/>
  <c r="B723" i="605"/>
  <c r="B722" i="605"/>
  <c r="B721" i="605"/>
  <c r="B720" i="605"/>
  <c r="B719" i="605"/>
  <c r="B718" i="605"/>
  <c r="B717" i="605"/>
  <c r="B716" i="605"/>
  <c r="B715" i="605"/>
  <c r="B714" i="605"/>
  <c r="B713" i="605"/>
  <c r="B712" i="605"/>
  <c r="B711" i="605"/>
  <c r="B710" i="605"/>
  <c r="B709" i="605"/>
  <c r="B708" i="605"/>
  <c r="B707" i="605"/>
  <c r="B706" i="605"/>
  <c r="B705" i="605"/>
  <c r="B704" i="605"/>
  <c r="B703" i="605"/>
  <c r="B702" i="605"/>
  <c r="B701" i="605"/>
  <c r="B700" i="605"/>
  <c r="B699" i="605"/>
  <c r="B698" i="605"/>
  <c r="B697" i="605"/>
  <c r="B696" i="605"/>
  <c r="B695" i="605"/>
  <c r="B694" i="605"/>
  <c r="B693" i="605"/>
  <c r="B692" i="605"/>
  <c r="B691" i="605"/>
  <c r="B690" i="605"/>
  <c r="B689" i="605"/>
  <c r="B688" i="605"/>
  <c r="B687" i="605"/>
  <c r="B686" i="605"/>
  <c r="B685" i="605"/>
  <c r="B684" i="605"/>
  <c r="B683" i="605"/>
  <c r="B682" i="605"/>
  <c r="B681" i="605"/>
  <c r="B680" i="605"/>
  <c r="B679" i="605"/>
  <c r="B678" i="605"/>
  <c r="B677" i="605"/>
  <c r="B676" i="605"/>
  <c r="B675" i="605"/>
  <c r="B674" i="605"/>
  <c r="B673" i="605"/>
  <c r="B672" i="605"/>
  <c r="B671" i="605"/>
  <c r="B670" i="605"/>
  <c r="B669" i="605"/>
  <c r="B668" i="605"/>
  <c r="B667" i="605"/>
  <c r="B666" i="605"/>
  <c r="B665" i="605"/>
  <c r="B664" i="605"/>
  <c r="B663" i="605"/>
  <c r="B662" i="605"/>
  <c r="B661" i="605"/>
  <c r="B660" i="605"/>
  <c r="B659" i="605"/>
  <c r="B658" i="605"/>
  <c r="B657" i="605"/>
  <c r="B656" i="605"/>
  <c r="B655" i="605"/>
  <c r="B654" i="605"/>
  <c r="B653" i="605"/>
  <c r="B652" i="605"/>
  <c r="B651" i="605"/>
  <c r="B650" i="605"/>
  <c r="B649" i="605"/>
  <c r="B648" i="605"/>
  <c r="B647" i="605"/>
  <c r="B646" i="605"/>
  <c r="B645" i="605"/>
  <c r="B644" i="605"/>
  <c r="B643" i="605"/>
  <c r="B642" i="605"/>
  <c r="B641" i="605"/>
  <c r="B640" i="605"/>
  <c r="B639" i="605"/>
  <c r="B638" i="605"/>
  <c r="B637" i="605"/>
  <c r="B636" i="605"/>
  <c r="B635" i="605"/>
  <c r="B634" i="605"/>
  <c r="B633" i="605"/>
  <c r="B632" i="605"/>
  <c r="B631" i="605"/>
  <c r="B630" i="605"/>
  <c r="B629" i="605"/>
  <c r="B628" i="605"/>
  <c r="B627" i="605"/>
  <c r="B626" i="605"/>
  <c r="B625" i="605"/>
  <c r="B624" i="605"/>
  <c r="B623" i="605"/>
  <c r="B622" i="605"/>
  <c r="B621" i="605"/>
  <c r="B620" i="605"/>
  <c r="B619" i="605"/>
  <c r="B618" i="605"/>
  <c r="B617" i="605"/>
  <c r="B616" i="605"/>
  <c r="B615" i="605"/>
  <c r="B614" i="605"/>
  <c r="B613" i="605"/>
  <c r="B612" i="605"/>
  <c r="B611" i="605"/>
  <c r="B610" i="605"/>
  <c r="B609" i="605"/>
  <c r="B608" i="605"/>
  <c r="B607" i="605"/>
  <c r="B606" i="605"/>
  <c r="B605" i="605"/>
  <c r="B604" i="605"/>
  <c r="B603" i="605"/>
  <c r="B602" i="605"/>
  <c r="B601" i="605"/>
  <c r="B600" i="605"/>
  <c r="B599" i="605"/>
  <c r="B598" i="605"/>
  <c r="B597" i="605"/>
  <c r="B596" i="605"/>
  <c r="B595" i="605"/>
  <c r="B594" i="605"/>
  <c r="B593" i="605"/>
  <c r="B592" i="605"/>
  <c r="B591" i="605"/>
  <c r="B590" i="605"/>
  <c r="B589" i="605"/>
  <c r="B588" i="605"/>
  <c r="B587" i="605"/>
  <c r="B586" i="605"/>
  <c r="B585" i="605"/>
  <c r="B584" i="605"/>
  <c r="B583" i="605"/>
  <c r="B582" i="605"/>
  <c r="B581" i="605"/>
  <c r="B580" i="605"/>
  <c r="B579" i="605"/>
  <c r="B578" i="605"/>
  <c r="B577" i="605"/>
  <c r="B576" i="605"/>
  <c r="B575" i="605"/>
  <c r="B574" i="605"/>
  <c r="B573" i="605"/>
  <c r="B572" i="605"/>
  <c r="B571" i="605"/>
  <c r="B570" i="605"/>
  <c r="B569" i="605"/>
  <c r="B568" i="605"/>
  <c r="B567" i="605"/>
  <c r="B566" i="605"/>
  <c r="B565" i="605"/>
  <c r="B564" i="605"/>
  <c r="B563" i="605"/>
  <c r="B562" i="605"/>
  <c r="B561" i="605"/>
  <c r="B560" i="605"/>
  <c r="B559" i="605"/>
  <c r="B558" i="605"/>
  <c r="B557" i="605"/>
  <c r="B556" i="605"/>
  <c r="B555" i="605"/>
  <c r="B554" i="605"/>
  <c r="B553" i="605"/>
  <c r="B552" i="605"/>
  <c r="B551" i="605"/>
  <c r="B550" i="605"/>
  <c r="B549" i="605"/>
  <c r="B548" i="605"/>
  <c r="B547" i="605"/>
  <c r="B546" i="605"/>
  <c r="B545" i="605"/>
  <c r="B544" i="605"/>
  <c r="B543" i="605"/>
  <c r="B542" i="605"/>
  <c r="B541" i="605"/>
  <c r="B540" i="605"/>
  <c r="B539" i="605"/>
  <c r="B538" i="605"/>
  <c r="B537" i="605"/>
  <c r="B536" i="605"/>
  <c r="B535" i="605"/>
  <c r="B534" i="605"/>
  <c r="B533" i="605"/>
  <c r="B532" i="605"/>
  <c r="B531" i="605"/>
  <c r="B530" i="605"/>
  <c r="B529" i="605"/>
  <c r="B528" i="605"/>
  <c r="B527" i="605"/>
  <c r="B526" i="605"/>
  <c r="B525" i="605"/>
  <c r="B524" i="605"/>
  <c r="B523" i="605"/>
  <c r="B522" i="605"/>
  <c r="B521" i="605"/>
  <c r="B520" i="605"/>
  <c r="B519" i="605"/>
  <c r="B518" i="605"/>
  <c r="B517" i="605"/>
  <c r="B516" i="605"/>
  <c r="B515" i="605"/>
  <c r="B514" i="605"/>
  <c r="B513" i="605"/>
  <c r="B512" i="605"/>
  <c r="B511" i="605"/>
  <c r="B510" i="605"/>
  <c r="B509" i="605"/>
  <c r="B508" i="605"/>
  <c r="B507" i="605"/>
  <c r="B506" i="605"/>
  <c r="B505" i="605"/>
  <c r="B504" i="605"/>
  <c r="B503" i="605"/>
  <c r="B502" i="605"/>
  <c r="B501" i="605"/>
  <c r="B500" i="605"/>
  <c r="B499" i="605"/>
  <c r="B498" i="605"/>
  <c r="B497" i="605"/>
  <c r="B496" i="605"/>
  <c r="B495" i="605"/>
  <c r="B494" i="605"/>
  <c r="B493" i="605"/>
  <c r="B492" i="605"/>
  <c r="B491" i="605"/>
  <c r="B490" i="605"/>
  <c r="B489" i="605"/>
  <c r="B488" i="605"/>
  <c r="B487" i="605"/>
  <c r="B486" i="605"/>
  <c r="B485" i="605"/>
  <c r="B484" i="605"/>
  <c r="B483" i="605"/>
  <c r="B482" i="605"/>
  <c r="B481" i="605"/>
  <c r="B480" i="605"/>
  <c r="B479" i="605"/>
  <c r="B478" i="605"/>
  <c r="B477" i="605"/>
  <c r="B476" i="605"/>
  <c r="B475" i="605"/>
  <c r="B474" i="605"/>
  <c r="B473" i="605"/>
  <c r="B472" i="605"/>
  <c r="B471" i="605"/>
  <c r="B470" i="605"/>
  <c r="B469" i="605"/>
  <c r="B468" i="605"/>
  <c r="B467" i="605"/>
  <c r="B466" i="605"/>
  <c r="B465" i="605"/>
  <c r="B464" i="605"/>
  <c r="B463" i="605"/>
  <c r="B462" i="605"/>
  <c r="B461" i="605"/>
  <c r="B460" i="605"/>
  <c r="B459" i="605"/>
  <c r="B458" i="605"/>
  <c r="B457" i="605"/>
  <c r="B456" i="605"/>
  <c r="B455" i="605"/>
  <c r="B454" i="605"/>
  <c r="B453" i="605"/>
  <c r="B452" i="605"/>
  <c r="B451" i="605"/>
  <c r="B450" i="605"/>
  <c r="B449" i="605"/>
  <c r="B448" i="605"/>
  <c r="B447" i="605"/>
  <c r="B446" i="605"/>
  <c r="B445" i="605"/>
  <c r="B444" i="605"/>
  <c r="B443" i="605"/>
  <c r="B442" i="605"/>
  <c r="B441" i="605"/>
  <c r="B440" i="605"/>
  <c r="B439" i="605"/>
  <c r="B438" i="605"/>
  <c r="B437" i="605"/>
  <c r="B436" i="605"/>
  <c r="B435" i="605"/>
  <c r="B434" i="605"/>
  <c r="B433" i="605"/>
  <c r="B432" i="605"/>
  <c r="B431" i="605"/>
  <c r="B430" i="605"/>
  <c r="B429" i="605"/>
  <c r="B428" i="605"/>
  <c r="B427" i="605"/>
  <c r="B426" i="605"/>
  <c r="B425" i="605"/>
  <c r="B424" i="605"/>
  <c r="B423" i="605"/>
  <c r="B422" i="605"/>
  <c r="B421" i="605"/>
  <c r="B420" i="605"/>
  <c r="B419" i="605"/>
  <c r="B418" i="605"/>
  <c r="B417" i="605"/>
  <c r="B416" i="605"/>
  <c r="B415" i="605"/>
  <c r="B414" i="605"/>
  <c r="B413" i="605"/>
  <c r="B412" i="605"/>
  <c r="B411" i="605"/>
  <c r="B410" i="605"/>
  <c r="B409" i="605"/>
  <c r="B408" i="605"/>
  <c r="B407" i="605"/>
  <c r="B406" i="605"/>
  <c r="B405" i="605"/>
  <c r="B404" i="605"/>
  <c r="B403" i="605"/>
  <c r="B402" i="605"/>
  <c r="B401" i="605"/>
  <c r="B400" i="605"/>
  <c r="B399" i="605"/>
  <c r="B398" i="605"/>
  <c r="B397" i="605"/>
  <c r="B396" i="605"/>
  <c r="B395" i="605"/>
  <c r="B394" i="605"/>
  <c r="B393" i="605"/>
  <c r="B392" i="605"/>
  <c r="B391" i="605"/>
  <c r="B390" i="605"/>
  <c r="B389" i="605"/>
  <c r="B388" i="605"/>
  <c r="B387" i="605"/>
  <c r="B386" i="605"/>
  <c r="B385" i="605"/>
  <c r="B384" i="605"/>
  <c r="B383" i="605"/>
  <c r="B382" i="605"/>
  <c r="B381" i="605"/>
  <c r="B380" i="605"/>
  <c r="B379" i="605"/>
  <c r="B378" i="605"/>
  <c r="B377" i="605"/>
  <c r="B376" i="605"/>
  <c r="B375" i="605"/>
  <c r="B374" i="605"/>
  <c r="B373" i="605"/>
  <c r="B372" i="605"/>
  <c r="B371" i="605"/>
  <c r="B370" i="605"/>
  <c r="B369" i="605"/>
  <c r="B368" i="605"/>
  <c r="B367" i="605"/>
  <c r="B366" i="605"/>
  <c r="B365" i="605"/>
  <c r="B364" i="605"/>
  <c r="B363" i="605"/>
  <c r="B362" i="605"/>
  <c r="B361" i="605"/>
  <c r="B360" i="605"/>
  <c r="B359" i="605"/>
  <c r="B358" i="605"/>
  <c r="B357" i="605"/>
  <c r="B356" i="605"/>
  <c r="B355" i="605"/>
  <c r="B354" i="605"/>
  <c r="B353" i="605"/>
  <c r="B352" i="605"/>
  <c r="B351" i="605"/>
  <c r="B350" i="605"/>
  <c r="B349" i="605"/>
  <c r="B348" i="605"/>
  <c r="B347" i="605"/>
  <c r="B346" i="605"/>
  <c r="B345" i="605"/>
  <c r="B344" i="605"/>
  <c r="B343" i="605"/>
  <c r="B342" i="605"/>
  <c r="B341" i="605"/>
  <c r="B340" i="605"/>
  <c r="B339" i="605"/>
  <c r="B338" i="605"/>
  <c r="B337" i="605"/>
  <c r="B336" i="605"/>
  <c r="B335" i="605"/>
  <c r="B334" i="605"/>
  <c r="B333" i="605"/>
  <c r="B332" i="605"/>
  <c r="B331" i="605"/>
  <c r="B330" i="605"/>
  <c r="B329" i="605"/>
  <c r="B328" i="605"/>
  <c r="B327" i="605"/>
  <c r="B326" i="605"/>
  <c r="B325" i="605"/>
  <c r="B324" i="605"/>
  <c r="B323" i="605"/>
  <c r="B322" i="605"/>
  <c r="B321" i="605"/>
  <c r="B320" i="605"/>
  <c r="B319" i="605"/>
  <c r="B318" i="605"/>
  <c r="B317" i="605"/>
  <c r="B316" i="605"/>
  <c r="B315" i="605"/>
  <c r="B314" i="605"/>
  <c r="B313" i="605"/>
  <c r="B312" i="605"/>
  <c r="B311" i="605"/>
  <c r="B310" i="605"/>
  <c r="B309" i="605"/>
  <c r="B308" i="605"/>
  <c r="B307" i="605"/>
  <c r="B306" i="605"/>
  <c r="B305" i="605"/>
  <c r="B304" i="605"/>
  <c r="B303" i="605"/>
  <c r="B302" i="605"/>
  <c r="B301" i="605"/>
  <c r="B300" i="605"/>
  <c r="B299" i="605"/>
  <c r="B298" i="605"/>
  <c r="B297" i="605"/>
  <c r="B296" i="605"/>
  <c r="B295" i="605"/>
  <c r="B294" i="605"/>
  <c r="B293" i="605"/>
  <c r="B292" i="605"/>
  <c r="B291" i="605"/>
  <c r="B290" i="605"/>
  <c r="B289" i="605"/>
  <c r="B288" i="605"/>
  <c r="B287" i="605"/>
  <c r="B286" i="605"/>
  <c r="B285" i="605"/>
  <c r="B284" i="605"/>
  <c r="B283" i="605"/>
  <c r="B282" i="605"/>
  <c r="B281" i="605"/>
  <c r="B280" i="605"/>
  <c r="B279" i="605"/>
  <c r="B278" i="605"/>
  <c r="B277" i="605"/>
  <c r="B276" i="605"/>
  <c r="B275" i="605"/>
  <c r="B274" i="605"/>
  <c r="B273" i="605"/>
  <c r="B272" i="605"/>
  <c r="B271" i="605"/>
  <c r="B270" i="605"/>
  <c r="B269" i="605"/>
  <c r="B268" i="605"/>
  <c r="B267" i="605"/>
  <c r="B266" i="605"/>
  <c r="B265" i="605"/>
  <c r="B264" i="605"/>
  <c r="B263" i="605"/>
  <c r="B262" i="605"/>
  <c r="B261" i="605"/>
  <c r="B260" i="605"/>
  <c r="B259" i="605"/>
  <c r="B258" i="605"/>
  <c r="B257" i="605"/>
  <c r="B256" i="605"/>
  <c r="B255" i="605"/>
  <c r="B254" i="605"/>
  <c r="B253" i="605"/>
  <c r="B252" i="605"/>
  <c r="B251" i="605"/>
  <c r="B250" i="605"/>
  <c r="B249" i="605"/>
  <c r="B248" i="605"/>
  <c r="B247" i="605"/>
  <c r="B246" i="605"/>
  <c r="B245" i="605"/>
  <c r="B244" i="605"/>
  <c r="B243" i="605"/>
  <c r="B242" i="605"/>
  <c r="B241" i="605"/>
  <c r="B240" i="605"/>
  <c r="B239" i="605"/>
  <c r="B238" i="605"/>
  <c r="B237" i="605"/>
  <c r="B236" i="605"/>
  <c r="B235" i="605"/>
  <c r="B234" i="605"/>
  <c r="B233" i="605"/>
  <c r="B232" i="605"/>
  <c r="B231" i="605"/>
  <c r="B230" i="605"/>
  <c r="B229" i="605"/>
  <c r="B228" i="605"/>
  <c r="B227" i="605"/>
  <c r="B226" i="605"/>
  <c r="B225" i="605"/>
  <c r="B224" i="605"/>
  <c r="B223" i="605"/>
  <c r="B222" i="605"/>
  <c r="B221" i="605"/>
  <c r="B220" i="605"/>
  <c r="B219" i="605"/>
  <c r="B218" i="605"/>
  <c r="B217" i="605"/>
  <c r="B216" i="605"/>
  <c r="B215" i="605"/>
  <c r="B214" i="605"/>
  <c r="B213" i="605"/>
  <c r="B212" i="605"/>
  <c r="B211" i="605"/>
  <c r="B210" i="605"/>
  <c r="B209" i="605"/>
  <c r="B208" i="605"/>
  <c r="B207" i="605"/>
  <c r="B206" i="605"/>
  <c r="B205" i="605"/>
  <c r="B204" i="605"/>
  <c r="B203" i="605"/>
  <c r="B202" i="605"/>
  <c r="B201" i="605"/>
  <c r="B200" i="605"/>
  <c r="B199" i="605"/>
  <c r="B198" i="605"/>
  <c r="B197" i="605"/>
  <c r="B196" i="605"/>
  <c r="B195" i="605"/>
  <c r="B194" i="605"/>
  <c r="B193" i="605"/>
  <c r="B192" i="605"/>
  <c r="B191" i="605"/>
  <c r="B190" i="605"/>
  <c r="B189" i="605"/>
  <c r="B188" i="605"/>
  <c r="B187" i="605"/>
  <c r="B186" i="605"/>
  <c r="B185" i="605"/>
  <c r="B184" i="605"/>
  <c r="B183" i="605"/>
  <c r="B182" i="605"/>
  <c r="B181" i="605"/>
  <c r="B180" i="605"/>
  <c r="B179" i="605"/>
  <c r="B178" i="605"/>
  <c r="B177" i="605"/>
  <c r="B176" i="605"/>
  <c r="B175" i="605"/>
  <c r="B174" i="605"/>
  <c r="B173" i="605"/>
  <c r="B172" i="605"/>
  <c r="B171" i="605"/>
  <c r="B170" i="605"/>
  <c r="B169" i="605"/>
  <c r="B168" i="605"/>
  <c r="B167" i="605"/>
  <c r="B166" i="605"/>
  <c r="B165" i="605"/>
  <c r="B164" i="605"/>
  <c r="B163" i="605"/>
  <c r="B162" i="605"/>
  <c r="B161" i="605"/>
  <c r="B160" i="605"/>
  <c r="B159" i="605"/>
  <c r="B158" i="605"/>
  <c r="B157" i="605"/>
  <c r="B156" i="605"/>
  <c r="B155" i="605"/>
  <c r="B154" i="605"/>
  <c r="B153" i="605"/>
  <c r="B152" i="605"/>
  <c r="B151" i="605"/>
  <c r="B150" i="605"/>
  <c r="B149" i="605"/>
  <c r="B148" i="605"/>
  <c r="B147" i="605"/>
  <c r="B146" i="605"/>
  <c r="B145" i="605"/>
  <c r="B144" i="605"/>
  <c r="B143" i="605"/>
  <c r="B142" i="605"/>
  <c r="B141" i="605"/>
  <c r="B140" i="605"/>
  <c r="B139" i="605"/>
  <c r="B138" i="605"/>
  <c r="B137" i="605"/>
  <c r="B136" i="605"/>
  <c r="B135" i="605"/>
  <c r="B134" i="605"/>
  <c r="B133" i="605"/>
  <c r="B132" i="605"/>
  <c r="B131" i="605"/>
  <c r="B130" i="605"/>
  <c r="B129" i="605"/>
  <c r="B128" i="605"/>
  <c r="B127" i="605"/>
  <c r="B126" i="605"/>
  <c r="B125" i="605"/>
  <c r="B124" i="605"/>
  <c r="B123" i="605"/>
  <c r="B122" i="605"/>
  <c r="B121" i="605"/>
  <c r="B120" i="605"/>
  <c r="B119" i="605"/>
  <c r="B118" i="605"/>
  <c r="B117" i="605"/>
  <c r="B116" i="605"/>
  <c r="B115" i="605"/>
  <c r="B114" i="605"/>
  <c r="B113" i="605"/>
  <c r="B112" i="605"/>
  <c r="B111" i="605"/>
  <c r="B110" i="605"/>
  <c r="B109" i="605"/>
  <c r="B108" i="605"/>
  <c r="B107" i="605"/>
  <c r="B106" i="605"/>
  <c r="B105" i="605"/>
  <c r="B104" i="605"/>
  <c r="B103" i="605"/>
  <c r="B102" i="605"/>
  <c r="B101" i="605"/>
  <c r="B100" i="605"/>
  <c r="B99" i="605"/>
  <c r="B98" i="605"/>
  <c r="B97" i="605"/>
  <c r="B96" i="605"/>
  <c r="B95" i="605"/>
  <c r="B94" i="605"/>
  <c r="B93" i="605"/>
  <c r="B92" i="605"/>
  <c r="B91" i="605"/>
  <c r="B90" i="605"/>
  <c r="B89" i="605"/>
  <c r="B88" i="605"/>
  <c r="B87" i="605"/>
  <c r="B86" i="605"/>
  <c r="B85" i="605"/>
  <c r="B84" i="605"/>
  <c r="B83" i="605"/>
  <c r="B82" i="605"/>
  <c r="B81" i="605"/>
  <c r="B80" i="605"/>
  <c r="B79" i="605"/>
  <c r="B78" i="605"/>
  <c r="B77" i="605"/>
  <c r="B76" i="605"/>
  <c r="B75" i="605"/>
  <c r="B74" i="605"/>
  <c r="B73" i="605"/>
  <c r="B72" i="605"/>
  <c r="B71" i="605"/>
  <c r="B70" i="605"/>
  <c r="B69" i="605"/>
  <c r="B68" i="605"/>
  <c r="B67" i="605"/>
  <c r="B66" i="605"/>
  <c r="B65" i="605"/>
  <c r="B64" i="605"/>
  <c r="B63" i="605"/>
  <c r="B62" i="605"/>
  <c r="B61" i="605"/>
  <c r="B60" i="605"/>
  <c r="B59" i="605"/>
  <c r="B58" i="605"/>
  <c r="B57" i="605"/>
  <c r="B56" i="605"/>
  <c r="B55" i="605"/>
  <c r="B54" i="605"/>
  <c r="B53" i="605"/>
  <c r="B52" i="605"/>
  <c r="B51" i="605"/>
  <c r="B50" i="605"/>
  <c r="B49" i="605"/>
  <c r="B48" i="605"/>
  <c r="B47" i="605"/>
  <c r="B46" i="605"/>
  <c r="B45" i="605"/>
  <c r="B44" i="605"/>
  <c r="B43" i="605"/>
  <c r="B42" i="605"/>
  <c r="B41" i="605"/>
  <c r="B40" i="605"/>
  <c r="B39" i="605"/>
  <c r="B38" i="605"/>
  <c r="B37" i="605"/>
  <c r="B36" i="605"/>
  <c r="B35" i="605"/>
  <c r="B34" i="605"/>
  <c r="B33" i="605"/>
  <c r="B32" i="605"/>
  <c r="B31" i="605"/>
  <c r="B30" i="605"/>
  <c r="B29" i="605"/>
  <c r="B28" i="605"/>
  <c r="B27" i="605"/>
  <c r="B26" i="605"/>
  <c r="B25" i="605"/>
  <c r="B24" i="605"/>
  <c r="B23" i="605"/>
  <c r="B22" i="605"/>
  <c r="B21" i="605"/>
  <c r="B20" i="605"/>
  <c r="B19" i="605"/>
  <c r="B18" i="605"/>
  <c r="B17" i="605"/>
  <c r="B16" i="605"/>
  <c r="B15" i="605"/>
  <c r="B14" i="605"/>
  <c r="B13" i="605"/>
  <c r="B12" i="605"/>
  <c r="B11" i="605"/>
  <c r="B10" i="605"/>
  <c r="B9" i="605"/>
  <c r="B8" i="605"/>
  <c r="B7" i="605"/>
  <c r="B6" i="605"/>
  <c r="B5" i="605"/>
  <c r="B4" i="605"/>
  <c r="B3" i="605"/>
  <c r="B2" i="605"/>
  <c r="B1232" i="604" l="1"/>
  <c r="B1231" i="604"/>
  <c r="B1230" i="604"/>
  <c r="B1229" i="604"/>
  <c r="B1228" i="604"/>
  <c r="B1227" i="604"/>
  <c r="B1226" i="604"/>
  <c r="B1225" i="604"/>
  <c r="B1224" i="604"/>
  <c r="B1223" i="604"/>
  <c r="B1222" i="604"/>
  <c r="B1221" i="604"/>
  <c r="B1220" i="604"/>
  <c r="B1219" i="604"/>
  <c r="B1218" i="604"/>
  <c r="B1217" i="604"/>
  <c r="B1216" i="604"/>
  <c r="B1215" i="604"/>
  <c r="B1214" i="604"/>
  <c r="B1213" i="604"/>
  <c r="B1212" i="604"/>
  <c r="B1211" i="604"/>
  <c r="B1210" i="604"/>
  <c r="B1209" i="604"/>
  <c r="B1208" i="604"/>
  <c r="B1207" i="604"/>
  <c r="B1206" i="604"/>
  <c r="B1205" i="604"/>
  <c r="B1204" i="604"/>
  <c r="B1203" i="604"/>
  <c r="B1202" i="604"/>
  <c r="B1201" i="604"/>
  <c r="B1200" i="604"/>
  <c r="B1199" i="604"/>
  <c r="B1198" i="604"/>
  <c r="B1197" i="604"/>
  <c r="B1196" i="604"/>
  <c r="B1195" i="604"/>
  <c r="B1194" i="604"/>
  <c r="B1193" i="604"/>
  <c r="B1192" i="604"/>
  <c r="B1191" i="604"/>
  <c r="B1190" i="604"/>
  <c r="B1189" i="604"/>
  <c r="B1188" i="604"/>
  <c r="B1187" i="604"/>
  <c r="B1186" i="604"/>
  <c r="B1185" i="604"/>
  <c r="B1184" i="604"/>
  <c r="B1183" i="604"/>
  <c r="B1182" i="604"/>
  <c r="B1181" i="604"/>
  <c r="B1180" i="604"/>
  <c r="B1179" i="604"/>
  <c r="B1178" i="604"/>
  <c r="B1177" i="604"/>
  <c r="B1176" i="604"/>
  <c r="B1175" i="604"/>
  <c r="B1174" i="604"/>
  <c r="B1173" i="604"/>
  <c r="B1172" i="604"/>
  <c r="B1171" i="604"/>
  <c r="B1170" i="604"/>
  <c r="B1169" i="604"/>
  <c r="B1168" i="604"/>
  <c r="B1167" i="604"/>
  <c r="B1166" i="604"/>
  <c r="B1165" i="604"/>
  <c r="B1164" i="604"/>
  <c r="B1163" i="604"/>
  <c r="B1162" i="604"/>
  <c r="B1161" i="604"/>
  <c r="B1160" i="604"/>
  <c r="B1159" i="604"/>
  <c r="B1158" i="604"/>
  <c r="B1157" i="604"/>
  <c r="B1156" i="604"/>
  <c r="B1155" i="604"/>
  <c r="B1154" i="604"/>
  <c r="B1153" i="604"/>
  <c r="B1152" i="604"/>
  <c r="B1151" i="604"/>
  <c r="B1150" i="604"/>
  <c r="B1149" i="604"/>
  <c r="B1148" i="604"/>
  <c r="B1147" i="604"/>
  <c r="B1146" i="604"/>
  <c r="B1145" i="604"/>
  <c r="B1144" i="604"/>
  <c r="B1143" i="604"/>
  <c r="B1142" i="604"/>
  <c r="B1141" i="604"/>
  <c r="B1140" i="604"/>
  <c r="B1139" i="604"/>
  <c r="B1138" i="604"/>
  <c r="B1137" i="604"/>
  <c r="B1136" i="604"/>
  <c r="B1135" i="604"/>
  <c r="B1134" i="604"/>
  <c r="B1133" i="604"/>
  <c r="B1132" i="604"/>
  <c r="B1131" i="604"/>
  <c r="B1130" i="604"/>
  <c r="B1129" i="604"/>
  <c r="B1128" i="604"/>
  <c r="B1127" i="604"/>
  <c r="B1126" i="604"/>
  <c r="B1125" i="604"/>
  <c r="B1124" i="604"/>
  <c r="B1123" i="604"/>
  <c r="B1122" i="604"/>
  <c r="B1121" i="604"/>
  <c r="B1120" i="604"/>
  <c r="B1119" i="604"/>
  <c r="B1118" i="604"/>
  <c r="B1117" i="604"/>
  <c r="B1116" i="604"/>
  <c r="B1115" i="604"/>
  <c r="B1114" i="604"/>
  <c r="B1113" i="604"/>
  <c r="B1112" i="604"/>
  <c r="B1111" i="604"/>
  <c r="B1110" i="604"/>
  <c r="B1109" i="604"/>
  <c r="B1108" i="604"/>
  <c r="B1107" i="604"/>
  <c r="B1106" i="604"/>
  <c r="B1105" i="604"/>
  <c r="B1104" i="604"/>
  <c r="B1103" i="604"/>
  <c r="B1102" i="604"/>
  <c r="B1101" i="604"/>
  <c r="B1100" i="604"/>
  <c r="B1099" i="604"/>
  <c r="B1098" i="604"/>
  <c r="B1097" i="604"/>
  <c r="B1096" i="604"/>
  <c r="B1095" i="604"/>
  <c r="B1094" i="604"/>
  <c r="B1093" i="604"/>
  <c r="B1092" i="604"/>
  <c r="B1091" i="604"/>
  <c r="B1090" i="604"/>
  <c r="B1089" i="604"/>
  <c r="B1088" i="604"/>
  <c r="B1087" i="604"/>
  <c r="B1086" i="604"/>
  <c r="B1085" i="604"/>
  <c r="B1084" i="604"/>
  <c r="B1083" i="604"/>
  <c r="B1082" i="604"/>
  <c r="B1081" i="604"/>
  <c r="B1080" i="604"/>
  <c r="B1079" i="604"/>
  <c r="B1078" i="604"/>
  <c r="B1077" i="604"/>
  <c r="B1076" i="604"/>
  <c r="B1075" i="604"/>
  <c r="B1074" i="604"/>
  <c r="B1073" i="604"/>
  <c r="B1072" i="604"/>
  <c r="B1071" i="604"/>
  <c r="B1070" i="604"/>
  <c r="B1069" i="604"/>
  <c r="B1068" i="604"/>
  <c r="B1067" i="604"/>
  <c r="B1066" i="604"/>
  <c r="B1065" i="604"/>
  <c r="B1064" i="604"/>
  <c r="B1063" i="604"/>
  <c r="B1062" i="604"/>
  <c r="B1061" i="604"/>
  <c r="B1060" i="604"/>
  <c r="B1059" i="604"/>
  <c r="B1058" i="604"/>
  <c r="B1057" i="604"/>
  <c r="B1056" i="604"/>
  <c r="B1055" i="604"/>
  <c r="B1054" i="604"/>
  <c r="B1053" i="604"/>
  <c r="B1052" i="604"/>
  <c r="B1051" i="604"/>
  <c r="B1050" i="604"/>
  <c r="B1049" i="604"/>
  <c r="B1048" i="604"/>
  <c r="B1047" i="604"/>
  <c r="B1046" i="604"/>
  <c r="B1045" i="604"/>
  <c r="B1044" i="604"/>
  <c r="B1043" i="604"/>
  <c r="B1042" i="604"/>
  <c r="B1041" i="604"/>
  <c r="B1040" i="604"/>
  <c r="B1039" i="604"/>
  <c r="B1038" i="604"/>
  <c r="B1037" i="604"/>
  <c r="B1036" i="604"/>
  <c r="B1035" i="604"/>
  <c r="B1034" i="604"/>
  <c r="B1033" i="604"/>
  <c r="B1032" i="604"/>
  <c r="B1031" i="604"/>
  <c r="B1030" i="604"/>
  <c r="B1029" i="604"/>
  <c r="B1028" i="604"/>
  <c r="B1027" i="604"/>
  <c r="B1026" i="604"/>
  <c r="B1025" i="604"/>
  <c r="B1024" i="604"/>
  <c r="B1023" i="604"/>
  <c r="B1022" i="604"/>
  <c r="B1021" i="604"/>
  <c r="B1020" i="604"/>
  <c r="B1019" i="604"/>
  <c r="B1018" i="604"/>
  <c r="B1017" i="604"/>
  <c r="B1016" i="604"/>
  <c r="B1015" i="604"/>
  <c r="B1014" i="604"/>
  <c r="B1013" i="604"/>
  <c r="B1012" i="604"/>
  <c r="B1011" i="604"/>
  <c r="B1010" i="604"/>
  <c r="B1009" i="604"/>
  <c r="B1008" i="604"/>
  <c r="B1007" i="604"/>
  <c r="B1006" i="604"/>
  <c r="B1005" i="604"/>
  <c r="B1004" i="604"/>
  <c r="B1003" i="604"/>
  <c r="B1002" i="604"/>
  <c r="B1001" i="604"/>
  <c r="B1000" i="604"/>
  <c r="B999" i="604"/>
  <c r="B998" i="604"/>
  <c r="B997" i="604"/>
  <c r="B996" i="604"/>
  <c r="B995" i="604"/>
  <c r="B994" i="604"/>
  <c r="B993" i="604"/>
  <c r="B992" i="604"/>
  <c r="B991" i="604"/>
  <c r="B990" i="604"/>
  <c r="B989" i="604"/>
  <c r="B988" i="604"/>
  <c r="B987" i="604"/>
  <c r="B986" i="604"/>
  <c r="B985" i="604"/>
  <c r="B984" i="604"/>
  <c r="B983" i="604"/>
  <c r="B982" i="604"/>
  <c r="B981" i="604"/>
  <c r="B980" i="604"/>
  <c r="B979" i="604"/>
  <c r="B978" i="604"/>
  <c r="B977" i="604"/>
  <c r="B976" i="604"/>
  <c r="B975" i="604"/>
  <c r="B974" i="604"/>
  <c r="B973" i="604"/>
  <c r="B972" i="604"/>
  <c r="B971" i="604"/>
  <c r="B970" i="604"/>
  <c r="B969" i="604"/>
  <c r="B968" i="604"/>
  <c r="B967" i="604"/>
  <c r="B966" i="604"/>
  <c r="B965" i="604"/>
  <c r="B964" i="604"/>
  <c r="B963" i="604"/>
  <c r="B962" i="604"/>
  <c r="B961" i="604"/>
  <c r="B960" i="604"/>
  <c r="B959" i="604"/>
  <c r="B958" i="604"/>
  <c r="B957" i="604"/>
  <c r="B956" i="604"/>
  <c r="B955" i="604"/>
  <c r="B954" i="604"/>
  <c r="B953" i="604"/>
  <c r="B952" i="604"/>
  <c r="B951" i="604"/>
  <c r="B950" i="604"/>
  <c r="B949" i="604"/>
  <c r="B948" i="604"/>
  <c r="B947" i="604"/>
  <c r="B946" i="604"/>
  <c r="B945" i="604"/>
  <c r="B944" i="604"/>
  <c r="B943" i="604"/>
  <c r="B942" i="604"/>
  <c r="B941" i="604"/>
  <c r="B940" i="604"/>
  <c r="B939" i="604"/>
  <c r="B938" i="604"/>
  <c r="B937" i="604"/>
  <c r="B936" i="604"/>
  <c r="B935" i="604"/>
  <c r="B934" i="604"/>
  <c r="B933" i="604"/>
  <c r="B932" i="604"/>
  <c r="B931" i="604"/>
  <c r="B930" i="604"/>
  <c r="B929" i="604"/>
  <c r="B928" i="604"/>
  <c r="B927" i="604"/>
  <c r="B926" i="604"/>
  <c r="B925" i="604"/>
  <c r="B924" i="604"/>
  <c r="B923" i="604"/>
  <c r="B922" i="604"/>
  <c r="B921" i="604"/>
  <c r="B920" i="604"/>
  <c r="B919" i="604"/>
  <c r="B918" i="604"/>
  <c r="B917" i="604"/>
  <c r="B916" i="604"/>
  <c r="B915" i="604"/>
  <c r="B914" i="604"/>
  <c r="B913" i="604"/>
  <c r="B912" i="604"/>
  <c r="B911" i="604"/>
  <c r="B910" i="604"/>
  <c r="B909" i="604"/>
  <c r="B908" i="604"/>
  <c r="B907" i="604"/>
  <c r="B906" i="604"/>
  <c r="B905" i="604"/>
  <c r="B904" i="604"/>
  <c r="B903" i="604"/>
  <c r="B902" i="604"/>
  <c r="B901" i="604"/>
  <c r="B900" i="604"/>
  <c r="B899" i="604"/>
  <c r="B898" i="604"/>
  <c r="B897" i="604"/>
  <c r="B896" i="604"/>
  <c r="B895" i="604"/>
  <c r="B894" i="604"/>
  <c r="B893" i="604"/>
  <c r="B892" i="604"/>
  <c r="B891" i="604"/>
  <c r="B890" i="604"/>
  <c r="B889" i="604"/>
  <c r="B888" i="604"/>
  <c r="B887" i="604"/>
  <c r="B886" i="604"/>
  <c r="B885" i="604"/>
  <c r="B884" i="604"/>
  <c r="B883" i="604"/>
  <c r="B882" i="604"/>
  <c r="B881" i="604"/>
  <c r="B880" i="604"/>
  <c r="B879" i="604"/>
  <c r="B878" i="604"/>
  <c r="B877" i="604"/>
  <c r="B876" i="604"/>
  <c r="B875" i="604"/>
  <c r="B874" i="604"/>
  <c r="B873" i="604"/>
  <c r="B872" i="604"/>
  <c r="B871" i="604"/>
  <c r="B870" i="604"/>
  <c r="B869" i="604"/>
  <c r="B868" i="604"/>
  <c r="B867" i="604"/>
  <c r="B866" i="604"/>
  <c r="B865" i="604"/>
  <c r="B864" i="604"/>
  <c r="B863" i="604"/>
  <c r="B862" i="604"/>
  <c r="B861" i="604"/>
  <c r="B860" i="604"/>
  <c r="B859" i="604"/>
  <c r="B858" i="604"/>
  <c r="B857" i="604"/>
  <c r="B856" i="604"/>
  <c r="B855" i="604"/>
  <c r="B854" i="604"/>
  <c r="B853" i="604"/>
  <c r="B852" i="604"/>
  <c r="B851" i="604"/>
  <c r="B850" i="604"/>
  <c r="B849" i="604"/>
  <c r="B848" i="604"/>
  <c r="B847" i="604"/>
  <c r="B846" i="604"/>
  <c r="B845" i="604"/>
  <c r="B844" i="604"/>
  <c r="B843" i="604"/>
  <c r="B842" i="604"/>
  <c r="B841" i="604"/>
  <c r="B840" i="604"/>
  <c r="B839" i="604"/>
  <c r="B838" i="604"/>
  <c r="B837" i="604"/>
  <c r="B836" i="604"/>
  <c r="B835" i="604"/>
  <c r="B834" i="604"/>
  <c r="B833" i="604"/>
  <c r="B832" i="604"/>
  <c r="B831" i="604"/>
  <c r="B830" i="604"/>
  <c r="B829" i="604"/>
  <c r="B828" i="604"/>
  <c r="B827" i="604"/>
  <c r="B826" i="604"/>
  <c r="B825" i="604"/>
  <c r="B824" i="604"/>
  <c r="B823" i="604"/>
  <c r="B822" i="604"/>
  <c r="B821" i="604"/>
  <c r="B820" i="604"/>
  <c r="B819" i="604"/>
  <c r="B818" i="604"/>
  <c r="B817" i="604"/>
  <c r="B816" i="604"/>
  <c r="B815" i="604"/>
  <c r="B814" i="604"/>
  <c r="B813" i="604"/>
  <c r="B812" i="604"/>
  <c r="B811" i="604"/>
  <c r="B810" i="604"/>
  <c r="B809" i="604"/>
  <c r="B808" i="604"/>
  <c r="B807" i="604"/>
  <c r="B806" i="604"/>
  <c r="B805" i="604"/>
  <c r="B804" i="604"/>
  <c r="B803" i="604"/>
  <c r="B802" i="604"/>
  <c r="B801" i="604"/>
  <c r="B800" i="604"/>
  <c r="B799" i="604"/>
  <c r="B798" i="604"/>
  <c r="B797" i="604"/>
  <c r="B796" i="604"/>
  <c r="B795" i="604"/>
  <c r="B794" i="604"/>
  <c r="B793" i="604"/>
  <c r="B792" i="604"/>
  <c r="B791" i="604"/>
  <c r="B790" i="604"/>
  <c r="B789" i="604"/>
  <c r="B788" i="604"/>
  <c r="B787" i="604"/>
  <c r="B786" i="604"/>
  <c r="B785" i="604"/>
  <c r="B784" i="604"/>
  <c r="B783" i="604"/>
  <c r="B782" i="604"/>
  <c r="B781" i="604"/>
  <c r="B780" i="604"/>
  <c r="B779" i="604"/>
  <c r="B778" i="604"/>
  <c r="B777" i="604"/>
  <c r="B776" i="604"/>
  <c r="B775" i="604"/>
  <c r="B774" i="604"/>
  <c r="B773" i="604"/>
  <c r="B772" i="604"/>
  <c r="B771" i="604"/>
  <c r="B770" i="604"/>
  <c r="B769" i="604"/>
  <c r="B768" i="604"/>
  <c r="B767" i="604"/>
  <c r="B766" i="604"/>
  <c r="B765" i="604"/>
  <c r="B764" i="604"/>
  <c r="B763" i="604"/>
  <c r="B762" i="604"/>
  <c r="B761" i="604"/>
  <c r="B760" i="604"/>
  <c r="B759" i="604"/>
  <c r="B758" i="604"/>
  <c r="B757" i="604"/>
  <c r="B756" i="604"/>
  <c r="B755" i="604"/>
  <c r="B754" i="604"/>
  <c r="B753" i="604"/>
  <c r="B752" i="604"/>
  <c r="B751" i="604"/>
  <c r="B750" i="604"/>
  <c r="B749" i="604"/>
  <c r="B748" i="604"/>
  <c r="B747" i="604"/>
  <c r="B746" i="604"/>
  <c r="B745" i="604"/>
  <c r="B744" i="604"/>
  <c r="B743" i="604"/>
  <c r="B742" i="604"/>
  <c r="B741" i="604"/>
  <c r="B740" i="604"/>
  <c r="B739" i="604"/>
  <c r="B738" i="604"/>
  <c r="B737" i="604"/>
  <c r="B736" i="604"/>
  <c r="B735" i="604"/>
  <c r="B734" i="604"/>
  <c r="B733" i="604"/>
  <c r="B732" i="604"/>
  <c r="B731" i="604"/>
  <c r="B730" i="604"/>
  <c r="B729" i="604"/>
  <c r="B728" i="604"/>
  <c r="B727" i="604"/>
  <c r="B726" i="604"/>
  <c r="B725" i="604"/>
  <c r="B724" i="604"/>
  <c r="B723" i="604"/>
  <c r="B722" i="604"/>
  <c r="B721" i="604"/>
  <c r="B720" i="604"/>
  <c r="B719" i="604"/>
  <c r="B718" i="604"/>
  <c r="B717" i="604"/>
  <c r="B716" i="604"/>
  <c r="B715" i="604"/>
  <c r="B714" i="604"/>
  <c r="B713" i="604"/>
  <c r="B712" i="604"/>
  <c r="B711" i="604"/>
  <c r="B710" i="604"/>
  <c r="B709" i="604"/>
  <c r="B708" i="604"/>
  <c r="B707" i="604"/>
  <c r="B706" i="604"/>
  <c r="B705" i="604"/>
  <c r="B704" i="604"/>
  <c r="B703" i="604"/>
  <c r="B702" i="604"/>
  <c r="B701" i="604"/>
  <c r="B700" i="604"/>
  <c r="B699" i="604"/>
  <c r="B698" i="604"/>
  <c r="B697" i="604"/>
  <c r="B696" i="604"/>
  <c r="B695" i="604"/>
  <c r="B694" i="604"/>
  <c r="B693" i="604"/>
  <c r="B692" i="604"/>
  <c r="B691" i="604"/>
  <c r="B690" i="604"/>
  <c r="B689" i="604"/>
  <c r="B688" i="604"/>
  <c r="B687" i="604"/>
  <c r="B686" i="604"/>
  <c r="B685" i="604"/>
  <c r="B684" i="604"/>
  <c r="B683" i="604"/>
  <c r="B682" i="604"/>
  <c r="B681" i="604"/>
  <c r="B680" i="604"/>
  <c r="B679" i="604"/>
  <c r="B678" i="604"/>
  <c r="B677" i="604"/>
  <c r="B676" i="604"/>
  <c r="B675" i="604"/>
  <c r="B674" i="604"/>
  <c r="B673" i="604"/>
  <c r="B672" i="604"/>
  <c r="B671" i="604"/>
  <c r="B670" i="604"/>
  <c r="B669" i="604"/>
  <c r="B668" i="604"/>
  <c r="B667" i="604"/>
  <c r="B666" i="604"/>
  <c r="B665" i="604"/>
  <c r="B664" i="604"/>
  <c r="B663" i="604"/>
  <c r="B662" i="604"/>
  <c r="B661" i="604"/>
  <c r="B660" i="604"/>
  <c r="B659" i="604"/>
  <c r="B658" i="604"/>
  <c r="B657" i="604"/>
  <c r="B656" i="604"/>
  <c r="B655" i="604"/>
  <c r="B654" i="604"/>
  <c r="B653" i="604"/>
  <c r="B652" i="604"/>
  <c r="B651" i="604"/>
  <c r="B650" i="604"/>
  <c r="B649" i="604"/>
  <c r="B648" i="604"/>
  <c r="B647" i="604"/>
  <c r="B646" i="604"/>
  <c r="B645" i="604"/>
  <c r="B644" i="604"/>
  <c r="B643" i="604"/>
  <c r="B642" i="604"/>
  <c r="B641" i="604"/>
  <c r="B640" i="604"/>
  <c r="B639" i="604"/>
  <c r="B638" i="604"/>
  <c r="B637" i="604"/>
  <c r="B636" i="604"/>
  <c r="B635" i="604"/>
  <c r="B634" i="604"/>
  <c r="B633" i="604"/>
  <c r="B632" i="604"/>
  <c r="B631" i="604"/>
  <c r="B630" i="604"/>
  <c r="B629" i="604"/>
  <c r="B628" i="604"/>
  <c r="B627" i="604"/>
  <c r="B626" i="604"/>
  <c r="B625" i="604"/>
  <c r="B624" i="604"/>
  <c r="B623" i="604"/>
  <c r="B622" i="604"/>
  <c r="B621" i="604"/>
  <c r="B620" i="604"/>
  <c r="B619" i="604"/>
  <c r="B618" i="604"/>
  <c r="B617" i="604"/>
  <c r="B616" i="604"/>
  <c r="B615" i="604"/>
  <c r="B614" i="604"/>
  <c r="B613" i="604"/>
  <c r="B612" i="604"/>
  <c r="B611" i="604"/>
  <c r="B610" i="604"/>
  <c r="B609" i="604"/>
  <c r="B608" i="604"/>
  <c r="B607" i="604"/>
  <c r="B606" i="604"/>
  <c r="B605" i="604"/>
  <c r="B604" i="604"/>
  <c r="B603" i="604"/>
  <c r="B602" i="604"/>
  <c r="B601" i="604"/>
  <c r="B600" i="604"/>
  <c r="B599" i="604"/>
  <c r="B598" i="604"/>
  <c r="B597" i="604"/>
  <c r="B596" i="604"/>
  <c r="B595" i="604"/>
  <c r="B594" i="604"/>
  <c r="B593" i="604"/>
  <c r="B592" i="604"/>
  <c r="B591" i="604"/>
  <c r="B590" i="604"/>
  <c r="B589" i="604"/>
  <c r="B588" i="604"/>
  <c r="B587" i="604"/>
  <c r="B586" i="604"/>
  <c r="B585" i="604"/>
  <c r="B584" i="604"/>
  <c r="B583" i="604"/>
  <c r="B582" i="604"/>
  <c r="B581" i="604"/>
  <c r="B580" i="604"/>
  <c r="B579" i="604"/>
  <c r="B578" i="604"/>
  <c r="B577" i="604"/>
  <c r="B576" i="604"/>
  <c r="B575" i="604"/>
  <c r="B574" i="604"/>
  <c r="B573" i="604"/>
  <c r="B572" i="604"/>
  <c r="B571" i="604"/>
  <c r="B570" i="604"/>
  <c r="B569" i="604"/>
  <c r="B568" i="604"/>
  <c r="B567" i="604"/>
  <c r="B566" i="604"/>
  <c r="B565" i="604"/>
  <c r="B564" i="604"/>
  <c r="B563" i="604"/>
  <c r="B562" i="604"/>
  <c r="B561" i="604"/>
  <c r="B560" i="604"/>
  <c r="B559" i="604"/>
  <c r="B558" i="604"/>
  <c r="B557" i="604"/>
  <c r="B556" i="604"/>
  <c r="B555" i="604"/>
  <c r="B554" i="604"/>
  <c r="B553" i="604"/>
  <c r="B552" i="604"/>
  <c r="B551" i="604"/>
  <c r="B550" i="604"/>
  <c r="B549" i="604"/>
  <c r="B548" i="604"/>
  <c r="B547" i="604"/>
  <c r="B546" i="604"/>
  <c r="B545" i="604"/>
  <c r="B544" i="604"/>
  <c r="B543" i="604"/>
  <c r="B542" i="604"/>
  <c r="B541" i="604"/>
  <c r="B540" i="604"/>
  <c r="B539" i="604"/>
  <c r="B538" i="604"/>
  <c r="B537" i="604"/>
  <c r="B536" i="604"/>
  <c r="B535" i="604"/>
  <c r="B534" i="604"/>
  <c r="B533" i="604"/>
  <c r="B532" i="604"/>
  <c r="B531" i="604"/>
  <c r="B530" i="604"/>
  <c r="B529" i="604"/>
  <c r="B528" i="604"/>
  <c r="B527" i="604"/>
  <c r="B526" i="604"/>
  <c r="B525" i="604"/>
  <c r="B524" i="604"/>
  <c r="B523" i="604"/>
  <c r="B522" i="604"/>
  <c r="B521" i="604"/>
  <c r="B520" i="604"/>
  <c r="B519" i="604"/>
  <c r="B518" i="604"/>
  <c r="B517" i="604"/>
  <c r="B516" i="604"/>
  <c r="B515" i="604"/>
  <c r="B514" i="604"/>
  <c r="B513" i="604"/>
  <c r="B512" i="604"/>
  <c r="B511" i="604"/>
  <c r="B510" i="604"/>
  <c r="B509" i="604"/>
  <c r="B508" i="604"/>
  <c r="B507" i="604"/>
  <c r="B506" i="604"/>
  <c r="B505" i="604"/>
  <c r="B504" i="604"/>
  <c r="B503" i="604"/>
  <c r="B502" i="604"/>
  <c r="B501" i="604"/>
  <c r="B500" i="604"/>
  <c r="B499" i="604"/>
  <c r="B498" i="604"/>
  <c r="B497" i="604"/>
  <c r="B496" i="604"/>
  <c r="B495" i="604"/>
  <c r="B494" i="604"/>
  <c r="B493" i="604"/>
  <c r="B492" i="604"/>
  <c r="B491" i="604"/>
  <c r="B490" i="604"/>
  <c r="B489" i="604"/>
  <c r="B488" i="604"/>
  <c r="B487" i="604"/>
  <c r="B486" i="604"/>
  <c r="B485" i="604"/>
  <c r="B484" i="604"/>
  <c r="B483" i="604"/>
  <c r="B482" i="604"/>
  <c r="B481" i="604"/>
  <c r="B480" i="604"/>
  <c r="B479" i="604"/>
  <c r="B478" i="604"/>
  <c r="B477" i="604"/>
  <c r="B476" i="604"/>
  <c r="B475" i="604"/>
  <c r="B474" i="604"/>
  <c r="B473" i="604"/>
  <c r="B472" i="604"/>
  <c r="B471" i="604"/>
  <c r="B470" i="604"/>
  <c r="B469" i="604"/>
  <c r="B468" i="604"/>
  <c r="B467" i="604"/>
  <c r="B466" i="604"/>
  <c r="B465" i="604"/>
  <c r="B464" i="604"/>
  <c r="B463" i="604"/>
  <c r="B462" i="604"/>
  <c r="B461" i="604"/>
  <c r="B460" i="604"/>
  <c r="B459" i="604"/>
  <c r="B458" i="604"/>
  <c r="B457" i="604"/>
  <c r="B456" i="604"/>
  <c r="B455" i="604"/>
  <c r="B454" i="604"/>
  <c r="B453" i="604"/>
  <c r="B452" i="604"/>
  <c r="B451" i="604"/>
  <c r="B450" i="604"/>
  <c r="B449" i="604"/>
  <c r="B448" i="604"/>
  <c r="B447" i="604"/>
  <c r="B446" i="604"/>
  <c r="B445" i="604"/>
  <c r="B444" i="604"/>
  <c r="B443" i="604"/>
  <c r="B442" i="604"/>
  <c r="B441" i="604"/>
  <c r="B440" i="604"/>
  <c r="B439" i="604"/>
  <c r="B438" i="604"/>
  <c r="B437" i="604"/>
  <c r="B436" i="604"/>
  <c r="B435" i="604"/>
  <c r="B434" i="604"/>
  <c r="B433" i="604"/>
  <c r="B432" i="604"/>
  <c r="B431" i="604"/>
  <c r="B430" i="604"/>
  <c r="B429" i="604"/>
  <c r="B428" i="604"/>
  <c r="B427" i="604"/>
  <c r="B426" i="604"/>
  <c r="B425" i="604"/>
  <c r="B424" i="604"/>
  <c r="B423" i="604"/>
  <c r="B422" i="604"/>
  <c r="B421" i="604"/>
  <c r="B420" i="604"/>
  <c r="B419" i="604"/>
  <c r="B418" i="604"/>
  <c r="B417" i="604"/>
  <c r="B416" i="604"/>
  <c r="B415" i="604"/>
  <c r="B414" i="604"/>
  <c r="B413" i="604"/>
  <c r="B412" i="604"/>
  <c r="B411" i="604"/>
  <c r="B410" i="604"/>
  <c r="B409" i="604"/>
  <c r="B408" i="604"/>
  <c r="B407" i="604"/>
  <c r="B406" i="604"/>
  <c r="B405" i="604"/>
  <c r="B404" i="604"/>
  <c r="B403" i="604"/>
  <c r="B402" i="604"/>
  <c r="B401" i="604"/>
  <c r="B400" i="604"/>
  <c r="B399" i="604"/>
  <c r="B398" i="604"/>
  <c r="B397" i="604"/>
  <c r="B396" i="604"/>
  <c r="B395" i="604"/>
  <c r="B394" i="604"/>
  <c r="B393" i="604"/>
  <c r="B392" i="604"/>
  <c r="B391" i="604"/>
  <c r="B390" i="604"/>
  <c r="B389" i="604"/>
  <c r="B388" i="604"/>
  <c r="B387" i="604"/>
  <c r="B386" i="604"/>
  <c r="B385" i="604"/>
  <c r="B384" i="604"/>
  <c r="B383" i="604"/>
  <c r="B382" i="604"/>
  <c r="B381" i="604"/>
  <c r="B380" i="604"/>
  <c r="B379" i="604"/>
  <c r="B378" i="604"/>
  <c r="B377" i="604"/>
  <c r="B376" i="604"/>
  <c r="B375" i="604"/>
  <c r="B374" i="604"/>
  <c r="B373" i="604"/>
  <c r="B372" i="604"/>
  <c r="B371" i="604"/>
  <c r="B370" i="604"/>
  <c r="B369" i="604"/>
  <c r="B368" i="604"/>
  <c r="B367" i="604"/>
  <c r="B366" i="604"/>
  <c r="B365" i="604"/>
  <c r="B364" i="604"/>
  <c r="B363" i="604"/>
  <c r="B362" i="604"/>
  <c r="B361" i="604"/>
  <c r="B360" i="604"/>
  <c r="B359" i="604"/>
  <c r="B358" i="604"/>
  <c r="B357" i="604"/>
  <c r="B356" i="604"/>
  <c r="B355" i="604"/>
  <c r="B354" i="604"/>
  <c r="B353" i="604"/>
  <c r="B352" i="604"/>
  <c r="B351" i="604"/>
  <c r="B350" i="604"/>
  <c r="B349" i="604"/>
  <c r="B348" i="604"/>
  <c r="B347" i="604"/>
  <c r="B346" i="604"/>
  <c r="B345" i="604"/>
  <c r="B344" i="604"/>
  <c r="B343" i="604"/>
  <c r="B342" i="604"/>
  <c r="B341" i="604"/>
  <c r="B340" i="604"/>
  <c r="B339" i="604"/>
  <c r="B338" i="604"/>
  <c r="B337" i="604"/>
  <c r="B336" i="604"/>
  <c r="B335" i="604"/>
  <c r="B334" i="604"/>
  <c r="B333" i="604"/>
  <c r="B332" i="604"/>
  <c r="B331" i="604"/>
  <c r="B330" i="604"/>
  <c r="B329" i="604"/>
  <c r="B328" i="604"/>
  <c r="B327" i="604"/>
  <c r="B326" i="604"/>
  <c r="B325" i="604"/>
  <c r="B324" i="604"/>
  <c r="B323" i="604"/>
  <c r="B322" i="604"/>
  <c r="B321" i="604"/>
  <c r="B320" i="604"/>
  <c r="B319" i="604"/>
  <c r="B318" i="604"/>
  <c r="B317" i="604"/>
  <c r="B316" i="604"/>
  <c r="B315" i="604"/>
  <c r="B314" i="604"/>
  <c r="B313" i="604"/>
  <c r="B312" i="604"/>
  <c r="B311" i="604"/>
  <c r="B310" i="604"/>
  <c r="B309" i="604"/>
  <c r="B308" i="604"/>
  <c r="B307" i="604"/>
  <c r="B306" i="604"/>
  <c r="B305" i="604"/>
  <c r="B304" i="604"/>
  <c r="B303" i="604"/>
  <c r="B302" i="604"/>
  <c r="B301" i="604"/>
  <c r="B300" i="604"/>
  <c r="B299" i="604"/>
  <c r="B298" i="604"/>
  <c r="B297" i="604"/>
  <c r="B296" i="604"/>
  <c r="B295" i="604"/>
  <c r="B294" i="604"/>
  <c r="B293" i="604"/>
  <c r="B292" i="604"/>
  <c r="B291" i="604"/>
  <c r="B290" i="604"/>
  <c r="B289" i="604"/>
  <c r="B288" i="604"/>
  <c r="B287" i="604"/>
  <c r="B286" i="604"/>
  <c r="B285" i="604"/>
  <c r="B284" i="604"/>
  <c r="B283" i="604"/>
  <c r="B282" i="604"/>
  <c r="B281" i="604"/>
  <c r="B280" i="604"/>
  <c r="B279" i="604"/>
  <c r="B278" i="604"/>
  <c r="B277" i="604"/>
  <c r="B276" i="604"/>
  <c r="B275" i="604"/>
  <c r="B274" i="604"/>
  <c r="B273" i="604"/>
  <c r="B272" i="604"/>
  <c r="B271" i="604"/>
  <c r="B270" i="604"/>
  <c r="B269" i="604"/>
  <c r="B268" i="604"/>
  <c r="B267" i="604"/>
  <c r="B266" i="604"/>
  <c r="B265" i="604"/>
  <c r="B264" i="604"/>
  <c r="B263" i="604"/>
  <c r="B262" i="604"/>
  <c r="B261" i="604"/>
  <c r="B260" i="604"/>
  <c r="B259" i="604"/>
  <c r="B258" i="604"/>
  <c r="B257" i="604"/>
  <c r="B256" i="604"/>
  <c r="B255" i="604"/>
  <c r="B254" i="604"/>
  <c r="B253" i="604"/>
  <c r="B252" i="604"/>
  <c r="B251" i="604"/>
  <c r="B250" i="604"/>
  <c r="B249" i="604"/>
  <c r="B248" i="604"/>
  <c r="B247" i="604"/>
  <c r="B246" i="604"/>
  <c r="B245" i="604"/>
  <c r="B244" i="604"/>
  <c r="B243" i="604"/>
  <c r="B242" i="604"/>
  <c r="B241" i="604"/>
  <c r="B240" i="604"/>
  <c r="B239" i="604"/>
  <c r="B238" i="604"/>
  <c r="B237" i="604"/>
  <c r="B236" i="604"/>
  <c r="B235" i="604"/>
  <c r="B234" i="604"/>
  <c r="B233" i="604"/>
  <c r="B232" i="604"/>
  <c r="B231" i="604"/>
  <c r="B230" i="604"/>
  <c r="B229" i="604"/>
  <c r="B228" i="604"/>
  <c r="B227" i="604"/>
  <c r="B226" i="604"/>
  <c r="B225" i="604"/>
  <c r="B224" i="604"/>
  <c r="B223" i="604"/>
  <c r="B222" i="604"/>
  <c r="B221" i="604"/>
  <c r="B220" i="604"/>
  <c r="B219" i="604"/>
  <c r="B218" i="604"/>
  <c r="B217" i="604"/>
  <c r="B216" i="604"/>
  <c r="B215" i="604"/>
  <c r="B214" i="604"/>
  <c r="B213" i="604"/>
  <c r="B212" i="604"/>
  <c r="B211" i="604"/>
  <c r="B210" i="604"/>
  <c r="B209" i="604"/>
  <c r="B208" i="604"/>
  <c r="B207" i="604"/>
  <c r="B206" i="604"/>
  <c r="B205" i="604"/>
  <c r="B204" i="604"/>
  <c r="B203" i="604"/>
  <c r="B202" i="604"/>
  <c r="B201" i="604"/>
  <c r="B200" i="604"/>
  <c r="B199" i="604"/>
  <c r="B198" i="604"/>
  <c r="B197" i="604"/>
  <c r="B196" i="604"/>
  <c r="B195" i="604"/>
  <c r="B194" i="604"/>
  <c r="B193" i="604"/>
  <c r="B192" i="604"/>
  <c r="B191" i="604"/>
  <c r="B190" i="604"/>
  <c r="B189" i="604"/>
  <c r="B188" i="604"/>
  <c r="B187" i="604"/>
  <c r="B186" i="604"/>
  <c r="B185" i="604"/>
  <c r="B184" i="604"/>
  <c r="B183" i="604"/>
  <c r="B182" i="604"/>
  <c r="B181" i="604"/>
  <c r="B180" i="604"/>
  <c r="B179" i="604"/>
  <c r="B178" i="604"/>
  <c r="B177" i="604"/>
  <c r="B176" i="604"/>
  <c r="B175" i="604"/>
  <c r="B174" i="604"/>
  <c r="B173" i="604"/>
  <c r="B172" i="604"/>
  <c r="B171" i="604"/>
  <c r="B170" i="604"/>
  <c r="B169" i="604"/>
  <c r="B168" i="604"/>
  <c r="B167" i="604"/>
  <c r="B166" i="604"/>
  <c r="B165" i="604"/>
  <c r="B164" i="604"/>
  <c r="B163" i="604"/>
  <c r="B162" i="604"/>
  <c r="B161" i="604"/>
  <c r="B160" i="604"/>
  <c r="B159" i="604"/>
  <c r="B158" i="604"/>
  <c r="B157" i="604"/>
  <c r="B156" i="604"/>
  <c r="B155" i="604"/>
  <c r="B154" i="604"/>
  <c r="B153" i="604"/>
  <c r="B152" i="604"/>
  <c r="B151" i="604"/>
  <c r="B150" i="604"/>
  <c r="B149" i="604"/>
  <c r="B148" i="604"/>
  <c r="B147" i="604"/>
  <c r="B146" i="604"/>
  <c r="B145" i="604"/>
  <c r="B144" i="604"/>
  <c r="B143" i="604"/>
  <c r="B142" i="604"/>
  <c r="B141" i="604"/>
  <c r="B140" i="604"/>
  <c r="B139" i="604"/>
  <c r="B138" i="604"/>
  <c r="B137" i="604"/>
  <c r="B136" i="604"/>
  <c r="B135" i="604"/>
  <c r="B134" i="604"/>
  <c r="B133" i="604"/>
  <c r="B132" i="604"/>
  <c r="B131" i="604"/>
  <c r="B130" i="604"/>
  <c r="B129" i="604"/>
  <c r="B128" i="604"/>
  <c r="B127" i="604"/>
  <c r="B126" i="604"/>
  <c r="B125" i="604"/>
  <c r="B124" i="604"/>
  <c r="B123" i="604"/>
  <c r="B122" i="604"/>
  <c r="B121" i="604"/>
  <c r="B120" i="604"/>
  <c r="B119" i="604"/>
  <c r="B118" i="604"/>
  <c r="B117" i="604"/>
  <c r="B116" i="604"/>
  <c r="B115" i="604"/>
  <c r="B114" i="604"/>
  <c r="B113" i="604"/>
  <c r="B112" i="604"/>
  <c r="B111" i="604"/>
  <c r="B110" i="604"/>
  <c r="B109" i="604"/>
  <c r="B108" i="604"/>
  <c r="B107" i="604"/>
  <c r="B106" i="604"/>
  <c r="B105" i="604"/>
  <c r="B104" i="604"/>
  <c r="B103" i="604"/>
  <c r="B102" i="604"/>
  <c r="B101" i="604"/>
  <c r="B100" i="604"/>
  <c r="B99" i="604"/>
  <c r="B98" i="604"/>
  <c r="B97" i="604"/>
  <c r="B96" i="604"/>
  <c r="B95" i="604"/>
  <c r="B94" i="604"/>
  <c r="B93" i="604"/>
  <c r="B92" i="604"/>
  <c r="B91" i="604"/>
  <c r="B90" i="604"/>
  <c r="B89" i="604"/>
  <c r="B88" i="604"/>
  <c r="B87" i="604"/>
  <c r="B86" i="604"/>
  <c r="B85" i="604"/>
  <c r="B84" i="604"/>
  <c r="B83" i="604"/>
  <c r="B82" i="604"/>
  <c r="B81" i="604"/>
  <c r="B80" i="604"/>
  <c r="B79" i="604"/>
  <c r="B78" i="604"/>
  <c r="B77" i="604"/>
  <c r="B76" i="604"/>
  <c r="B75" i="604"/>
  <c r="B74" i="604"/>
  <c r="B73" i="604"/>
  <c r="B72" i="604"/>
  <c r="B71" i="604"/>
  <c r="B70" i="604"/>
  <c r="B69" i="604"/>
  <c r="B68" i="604"/>
  <c r="B67" i="604"/>
  <c r="B66" i="604"/>
  <c r="B65" i="604"/>
  <c r="B64" i="604"/>
  <c r="B63" i="604"/>
  <c r="B62" i="604"/>
  <c r="B61" i="604"/>
  <c r="B60" i="604"/>
  <c r="B59" i="604"/>
  <c r="B58" i="604"/>
  <c r="B57" i="604"/>
  <c r="B56" i="604"/>
  <c r="B55" i="604"/>
  <c r="B54" i="604"/>
  <c r="B53" i="604"/>
  <c r="B52" i="604"/>
  <c r="B51" i="604"/>
  <c r="B50" i="604"/>
  <c r="B49" i="604"/>
  <c r="B48" i="604"/>
  <c r="B47" i="604"/>
  <c r="B46" i="604"/>
  <c r="B45" i="604"/>
  <c r="B44" i="604"/>
  <c r="B43" i="604"/>
  <c r="B42" i="604"/>
  <c r="B41" i="604"/>
  <c r="B40" i="604"/>
  <c r="B39" i="604"/>
  <c r="B38" i="604"/>
  <c r="B37" i="604"/>
  <c r="B36" i="604"/>
  <c r="B35" i="604"/>
  <c r="B34" i="604"/>
  <c r="B33" i="604"/>
  <c r="B32" i="604"/>
  <c r="B31" i="604"/>
  <c r="B30" i="604"/>
  <c r="B29" i="604"/>
  <c r="B28" i="604"/>
  <c r="B27" i="604"/>
  <c r="B26" i="604"/>
  <c r="B25" i="604"/>
  <c r="B24" i="604"/>
  <c r="B23" i="604"/>
  <c r="B22" i="604"/>
  <c r="B21" i="604"/>
  <c r="B20" i="604"/>
  <c r="B19" i="604"/>
  <c r="B18" i="604"/>
  <c r="B17" i="604"/>
  <c r="B16" i="604"/>
  <c r="B15" i="604"/>
  <c r="B14" i="604"/>
  <c r="B13" i="604"/>
  <c r="B12" i="604"/>
  <c r="B11" i="604"/>
  <c r="B10" i="604"/>
  <c r="B9" i="604"/>
  <c r="B8" i="604"/>
  <c r="B7" i="604"/>
  <c r="B6" i="604"/>
  <c r="B5" i="604"/>
  <c r="B4" i="604"/>
  <c r="B3" i="604"/>
  <c r="B2" i="604"/>
  <c r="A6" i="601" l="1"/>
  <c r="A6" i="600"/>
  <c r="C2" i="601"/>
  <c r="C2" i="688" s="1"/>
  <c r="C1" i="601"/>
  <c r="C1" i="688" s="1"/>
  <c r="C1" i="663" l="1"/>
  <c r="C1" i="662"/>
  <c r="C1" i="661"/>
  <c r="C2" i="663"/>
  <c r="C2" i="662"/>
  <c r="C2" i="661"/>
  <c r="I53" i="490"/>
  <c r="J52" i="490"/>
  <c r="I53" i="489"/>
  <c r="I52" i="489"/>
  <c r="J53" i="490" l="1"/>
  <c r="K53" i="490"/>
  <c r="J53" i="489"/>
  <c r="K53" i="489"/>
  <c r="J52" i="489"/>
  <c r="K52" i="489"/>
  <c r="B1231" i="582" l="1"/>
  <c r="B1230" i="582"/>
  <c r="B1229" i="582"/>
  <c r="B1228" i="582"/>
  <c r="B1227" i="582"/>
  <c r="B1226" i="582"/>
  <c r="B1225" i="582"/>
  <c r="B1224" i="582"/>
  <c r="B1223" i="582"/>
  <c r="B1222" i="582"/>
  <c r="B1221" i="582"/>
  <c r="B1220" i="582"/>
  <c r="B1219" i="582"/>
  <c r="B1218" i="582"/>
  <c r="B1217" i="582"/>
  <c r="B1216" i="582"/>
  <c r="B1215" i="582"/>
  <c r="B1214" i="582"/>
  <c r="B1213" i="582"/>
  <c r="B1212" i="582"/>
  <c r="B1211" i="582"/>
  <c r="B1210" i="582"/>
  <c r="B1209" i="582"/>
  <c r="B1208" i="582"/>
  <c r="B1207" i="582"/>
  <c r="B1206" i="582"/>
  <c r="B1205" i="582"/>
  <c r="B1204" i="582"/>
  <c r="B1203" i="582"/>
  <c r="B1202" i="582"/>
  <c r="B1201" i="582"/>
  <c r="B1200" i="582"/>
  <c r="B1199" i="582"/>
  <c r="B1198" i="582"/>
  <c r="B1197" i="582"/>
  <c r="B1196" i="582"/>
  <c r="B1195" i="582"/>
  <c r="B1194" i="582"/>
  <c r="B1193" i="582"/>
  <c r="B1192" i="582"/>
  <c r="B1191" i="582"/>
  <c r="B1190" i="582"/>
  <c r="B1189" i="582"/>
  <c r="B1188" i="582"/>
  <c r="B1187" i="582"/>
  <c r="B1186" i="582"/>
  <c r="B1185" i="582"/>
  <c r="B1184" i="582"/>
  <c r="B1183" i="582"/>
  <c r="B1182" i="582"/>
  <c r="B1181" i="582"/>
  <c r="B1180" i="582"/>
  <c r="B1179" i="582"/>
  <c r="B1178" i="582"/>
  <c r="B1177" i="582"/>
  <c r="B1176" i="582"/>
  <c r="B1175" i="582"/>
  <c r="B1174" i="582"/>
  <c r="B1173" i="582"/>
  <c r="B1172" i="582"/>
  <c r="B1171" i="582"/>
  <c r="B1170" i="582"/>
  <c r="B1169" i="582"/>
  <c r="B1168" i="582"/>
  <c r="B1167" i="582"/>
  <c r="B1166" i="582"/>
  <c r="B1165" i="582"/>
  <c r="B1164" i="582"/>
  <c r="B1163" i="582"/>
  <c r="B1162" i="582"/>
  <c r="B1161" i="582"/>
  <c r="B1160" i="582"/>
  <c r="B1159" i="582"/>
  <c r="B1158" i="582"/>
  <c r="B1157" i="582"/>
  <c r="B1156" i="582"/>
  <c r="B1155" i="582"/>
  <c r="B1154" i="582"/>
  <c r="B1153" i="582"/>
  <c r="B1152" i="582"/>
  <c r="B1151" i="582"/>
  <c r="B1150" i="582"/>
  <c r="B1149" i="582"/>
  <c r="B1148" i="582"/>
  <c r="B1147" i="582"/>
  <c r="B1146" i="582"/>
  <c r="B1145" i="582"/>
  <c r="B1144" i="582"/>
  <c r="B1143" i="582"/>
  <c r="B1142" i="582"/>
  <c r="B1141" i="582"/>
  <c r="B1140" i="582"/>
  <c r="B1139" i="582"/>
  <c r="B1138" i="582"/>
  <c r="B1137" i="582"/>
  <c r="B1136" i="582"/>
  <c r="B1135" i="582"/>
  <c r="B1134" i="582"/>
  <c r="B1133" i="582"/>
  <c r="B1132" i="582"/>
  <c r="B1131" i="582"/>
  <c r="B1130" i="582"/>
  <c r="B1129" i="582"/>
  <c r="B1128" i="582"/>
  <c r="B1127" i="582"/>
  <c r="B1126" i="582"/>
  <c r="B1125" i="582"/>
  <c r="B1124" i="582"/>
  <c r="B1123" i="582"/>
  <c r="B1122" i="582"/>
  <c r="B1121" i="582"/>
  <c r="B1120" i="582"/>
  <c r="B1119" i="582"/>
  <c r="B1118" i="582"/>
  <c r="B1117" i="582"/>
  <c r="B1116" i="582"/>
  <c r="B1115" i="582"/>
  <c r="B1114" i="582"/>
  <c r="B1113" i="582"/>
  <c r="B1112" i="582"/>
  <c r="B1111" i="582"/>
  <c r="B1110" i="582"/>
  <c r="B1109" i="582"/>
  <c r="B1108" i="582"/>
  <c r="B1107" i="582"/>
  <c r="B1106" i="582"/>
  <c r="B1105" i="582"/>
  <c r="B1104" i="582"/>
  <c r="B1103" i="582"/>
  <c r="B1102" i="582"/>
  <c r="B1101" i="582"/>
  <c r="B1100" i="582"/>
  <c r="B1099" i="582"/>
  <c r="B1098" i="582"/>
  <c r="B1097" i="582"/>
  <c r="B1096" i="582"/>
  <c r="B1095" i="582"/>
  <c r="B1094" i="582"/>
  <c r="B1093" i="582"/>
  <c r="B1092" i="582"/>
  <c r="B1091" i="582"/>
  <c r="B1090" i="582"/>
  <c r="B1089" i="582"/>
  <c r="B1088" i="582"/>
  <c r="B1087" i="582"/>
  <c r="B1086" i="582"/>
  <c r="B1085" i="582"/>
  <c r="B1084" i="582"/>
  <c r="B1083" i="582"/>
  <c r="B1082" i="582"/>
  <c r="B1081" i="582"/>
  <c r="B1080" i="582"/>
  <c r="B1079" i="582"/>
  <c r="B1078" i="582"/>
  <c r="B1077" i="582"/>
  <c r="B1076" i="582"/>
  <c r="B1075" i="582"/>
  <c r="B1074" i="582"/>
  <c r="B1073" i="582"/>
  <c r="B1072" i="582"/>
  <c r="B1071" i="582"/>
  <c r="B1070" i="582"/>
  <c r="B1069" i="582"/>
  <c r="B1068" i="582"/>
  <c r="B1067" i="582"/>
  <c r="B1066" i="582"/>
  <c r="B1065" i="582"/>
  <c r="B1064" i="582"/>
  <c r="B1063" i="582"/>
  <c r="B1062" i="582"/>
  <c r="B1061" i="582"/>
  <c r="B1060" i="582"/>
  <c r="B1059" i="582"/>
  <c r="B1058" i="582"/>
  <c r="B1057" i="582"/>
  <c r="B1056" i="582"/>
  <c r="B1055" i="582"/>
  <c r="B1054" i="582"/>
  <c r="B1053" i="582"/>
  <c r="B1052" i="582"/>
  <c r="B1051" i="582"/>
  <c r="B1050" i="582"/>
  <c r="B1049" i="582"/>
  <c r="B1048" i="582"/>
  <c r="B1047" i="582"/>
  <c r="B1046" i="582"/>
  <c r="B1045" i="582"/>
  <c r="B1044" i="582"/>
  <c r="B1043" i="582"/>
  <c r="B1042" i="582"/>
  <c r="B1041" i="582"/>
  <c r="B1040" i="582"/>
  <c r="B1039" i="582"/>
  <c r="B1038" i="582"/>
  <c r="B1037" i="582"/>
  <c r="B1036" i="582"/>
  <c r="B1035" i="582"/>
  <c r="B1034" i="582"/>
  <c r="B1033" i="582"/>
  <c r="B1032" i="582"/>
  <c r="B1031" i="582"/>
  <c r="B1030" i="582"/>
  <c r="B1029" i="582"/>
  <c r="B1028" i="582"/>
  <c r="B1027" i="582"/>
  <c r="B1026" i="582"/>
  <c r="B1025" i="582"/>
  <c r="B1024" i="582"/>
  <c r="B1023" i="582"/>
  <c r="B1022" i="582"/>
  <c r="B1021" i="582"/>
  <c r="B1020" i="582"/>
  <c r="B1019" i="582"/>
  <c r="B1018" i="582"/>
  <c r="B1017" i="582"/>
  <c r="B1016" i="582"/>
  <c r="B1015" i="582"/>
  <c r="B1014" i="582"/>
  <c r="B1013" i="582"/>
  <c r="B1012" i="582"/>
  <c r="B1011" i="582"/>
  <c r="B1010" i="582"/>
  <c r="B1009" i="582"/>
  <c r="B1008" i="582"/>
  <c r="B1007" i="582"/>
  <c r="B1006" i="582"/>
  <c r="B1005" i="582"/>
  <c r="B1004" i="582"/>
  <c r="B1003" i="582"/>
  <c r="B1002" i="582"/>
  <c r="B1001" i="582"/>
  <c r="B1000" i="582"/>
  <c r="B999" i="582"/>
  <c r="B998" i="582"/>
  <c r="B997" i="582"/>
  <c r="B996" i="582"/>
  <c r="B995" i="582"/>
  <c r="B994" i="582"/>
  <c r="B993" i="582"/>
  <c r="B992" i="582"/>
  <c r="B991" i="582"/>
  <c r="B990" i="582"/>
  <c r="B989" i="582"/>
  <c r="B988" i="582"/>
  <c r="B987" i="582"/>
  <c r="B986" i="582"/>
  <c r="B985" i="582"/>
  <c r="B984" i="582"/>
  <c r="B983" i="582"/>
  <c r="B982" i="582"/>
  <c r="B981" i="582"/>
  <c r="B980" i="582"/>
  <c r="B979" i="582"/>
  <c r="B978" i="582"/>
  <c r="B977" i="582"/>
  <c r="B976" i="582"/>
  <c r="B975" i="582"/>
  <c r="B974" i="582"/>
  <c r="B973" i="582"/>
  <c r="B972" i="582"/>
  <c r="B971" i="582"/>
  <c r="B970" i="582"/>
  <c r="B969" i="582"/>
  <c r="B968" i="582"/>
  <c r="B967" i="582"/>
  <c r="B966" i="582"/>
  <c r="B965" i="582"/>
  <c r="B964" i="582"/>
  <c r="B963" i="582"/>
  <c r="B962" i="582"/>
  <c r="B961" i="582"/>
  <c r="B960" i="582"/>
  <c r="B959" i="582"/>
  <c r="B958" i="582"/>
  <c r="B957" i="582"/>
  <c r="B956" i="582"/>
  <c r="B955" i="582"/>
  <c r="B954" i="582"/>
  <c r="B953" i="582"/>
  <c r="B952" i="582"/>
  <c r="B951" i="582"/>
  <c r="B950" i="582"/>
  <c r="B949" i="582"/>
  <c r="B948" i="582"/>
  <c r="B947" i="582"/>
  <c r="B946" i="582"/>
  <c r="B945" i="582"/>
  <c r="B944" i="582"/>
  <c r="B943" i="582"/>
  <c r="B942" i="582"/>
  <c r="B941" i="582"/>
  <c r="B940" i="582"/>
  <c r="B939" i="582"/>
  <c r="B938" i="582"/>
  <c r="B937" i="582"/>
  <c r="B936" i="582"/>
  <c r="B935" i="582"/>
  <c r="B934" i="582"/>
  <c r="B933" i="582"/>
  <c r="B932" i="582"/>
  <c r="B931" i="582"/>
  <c r="B930" i="582"/>
  <c r="B929" i="582"/>
  <c r="B928" i="582"/>
  <c r="B927" i="582"/>
  <c r="B926" i="582"/>
  <c r="B925" i="582"/>
  <c r="B924" i="582"/>
  <c r="B923" i="582"/>
  <c r="B922" i="582"/>
  <c r="B921" i="582"/>
  <c r="B920" i="582"/>
  <c r="B919" i="582"/>
  <c r="B918" i="582"/>
  <c r="B917" i="582"/>
  <c r="B916" i="582"/>
  <c r="B915" i="582"/>
  <c r="B914" i="582"/>
  <c r="B913" i="582"/>
  <c r="B912" i="582"/>
  <c r="B911" i="582"/>
  <c r="B910" i="582"/>
  <c r="B909" i="582"/>
  <c r="B908" i="582"/>
  <c r="B907" i="582"/>
  <c r="B906" i="582"/>
  <c r="B905" i="582"/>
  <c r="B904" i="582"/>
  <c r="B903" i="582"/>
  <c r="B902" i="582"/>
  <c r="B901" i="582"/>
  <c r="B900" i="582"/>
  <c r="B899" i="582"/>
  <c r="B898" i="582"/>
  <c r="B897" i="582"/>
  <c r="B896" i="582"/>
  <c r="B895" i="582"/>
  <c r="B894" i="582"/>
  <c r="B893" i="582"/>
  <c r="B892" i="582"/>
  <c r="B891" i="582"/>
  <c r="B890" i="582"/>
  <c r="B889" i="582"/>
  <c r="B888" i="582"/>
  <c r="B887" i="582"/>
  <c r="B886" i="582"/>
  <c r="B885" i="582"/>
  <c r="B884" i="582"/>
  <c r="B883" i="582"/>
  <c r="B882" i="582"/>
  <c r="B881" i="582"/>
  <c r="B880" i="582"/>
  <c r="B879" i="582"/>
  <c r="B878" i="582"/>
  <c r="B877" i="582"/>
  <c r="B876" i="582"/>
  <c r="B875" i="582"/>
  <c r="B874" i="582"/>
  <c r="B873" i="582"/>
  <c r="B872" i="582"/>
  <c r="B871" i="582"/>
  <c r="B870" i="582"/>
  <c r="B869" i="582"/>
  <c r="B868" i="582"/>
  <c r="B867" i="582"/>
  <c r="B866" i="582"/>
  <c r="B865" i="582"/>
  <c r="B864" i="582"/>
  <c r="B863" i="582"/>
  <c r="B862" i="582"/>
  <c r="B861" i="582"/>
  <c r="B860" i="582"/>
  <c r="B859" i="582"/>
  <c r="B858" i="582"/>
  <c r="B857" i="582"/>
  <c r="B856" i="582"/>
  <c r="B855" i="582"/>
  <c r="B854" i="582"/>
  <c r="B853" i="582"/>
  <c r="B852" i="582"/>
  <c r="B851" i="582"/>
  <c r="B850" i="582"/>
  <c r="B849" i="582"/>
  <c r="B848" i="582"/>
  <c r="B847" i="582"/>
  <c r="B846" i="582"/>
  <c r="B845" i="582"/>
  <c r="B844" i="582"/>
  <c r="B843" i="582"/>
  <c r="B842" i="582"/>
  <c r="B841" i="582"/>
  <c r="B840" i="582"/>
  <c r="B839" i="582"/>
  <c r="B838" i="582"/>
  <c r="B837" i="582"/>
  <c r="B836" i="582"/>
  <c r="B835" i="582"/>
  <c r="B834" i="582"/>
  <c r="B833" i="582"/>
  <c r="B832" i="582"/>
  <c r="B831" i="582"/>
  <c r="B830" i="582"/>
  <c r="B829" i="582"/>
  <c r="B828" i="582"/>
  <c r="B827" i="582"/>
  <c r="B826" i="582"/>
  <c r="B825" i="582"/>
  <c r="B824" i="582"/>
  <c r="B823" i="582"/>
  <c r="B822" i="582"/>
  <c r="B821" i="582"/>
  <c r="B820" i="582"/>
  <c r="B819" i="582"/>
  <c r="B818" i="582"/>
  <c r="B817" i="582"/>
  <c r="B816" i="582"/>
  <c r="B815" i="582"/>
  <c r="B814" i="582"/>
  <c r="B813" i="582"/>
  <c r="B812" i="582"/>
  <c r="B811" i="582"/>
  <c r="B810" i="582"/>
  <c r="B809" i="582"/>
  <c r="B808" i="582"/>
  <c r="B807" i="582"/>
  <c r="B806" i="582"/>
  <c r="B805" i="582"/>
  <c r="B804" i="582"/>
  <c r="B803" i="582"/>
  <c r="B802" i="582"/>
  <c r="B801" i="582"/>
  <c r="B800" i="582"/>
  <c r="B799" i="582"/>
  <c r="B798" i="582"/>
  <c r="B797" i="582"/>
  <c r="B796" i="582"/>
  <c r="B795" i="582"/>
  <c r="B794" i="582"/>
  <c r="B793" i="582"/>
  <c r="B792" i="582"/>
  <c r="B791" i="582"/>
  <c r="B790" i="582"/>
  <c r="B789" i="582"/>
  <c r="B788" i="582"/>
  <c r="B787" i="582"/>
  <c r="B786" i="582"/>
  <c r="B785" i="582"/>
  <c r="B784" i="582"/>
  <c r="B783" i="582"/>
  <c r="B782" i="582"/>
  <c r="B781" i="582"/>
  <c r="B780" i="582"/>
  <c r="B779" i="582"/>
  <c r="B778" i="582"/>
  <c r="B777" i="582"/>
  <c r="B776" i="582"/>
  <c r="B775" i="582"/>
  <c r="B774" i="582"/>
  <c r="B773" i="582"/>
  <c r="B772" i="582"/>
  <c r="B771" i="582"/>
  <c r="B770" i="582"/>
  <c r="B769" i="582"/>
  <c r="B768" i="582"/>
  <c r="B767" i="582"/>
  <c r="B766" i="582"/>
  <c r="B765" i="582"/>
  <c r="B764" i="582"/>
  <c r="B763" i="582"/>
  <c r="B762" i="582"/>
  <c r="B761" i="582"/>
  <c r="B760" i="582"/>
  <c r="B759" i="582"/>
  <c r="B758" i="582"/>
  <c r="B757" i="582"/>
  <c r="B756" i="582"/>
  <c r="B755" i="582"/>
  <c r="B754" i="582"/>
  <c r="B753" i="582"/>
  <c r="B752" i="582"/>
  <c r="B751" i="582"/>
  <c r="B750" i="582"/>
  <c r="B749" i="582"/>
  <c r="B748" i="582"/>
  <c r="B747" i="582"/>
  <c r="B746" i="582"/>
  <c r="B745" i="582"/>
  <c r="B744" i="582"/>
  <c r="B743" i="582"/>
  <c r="B742" i="582"/>
  <c r="B741" i="582"/>
  <c r="B740" i="582"/>
  <c r="B739" i="582"/>
  <c r="B738" i="582"/>
  <c r="B737" i="582"/>
  <c r="B736" i="582"/>
  <c r="B735" i="582"/>
  <c r="B734" i="582"/>
  <c r="B733" i="582"/>
  <c r="B732" i="582"/>
  <c r="B731" i="582"/>
  <c r="B730" i="582"/>
  <c r="B729" i="582"/>
  <c r="B728" i="582"/>
  <c r="B727" i="582"/>
  <c r="B726" i="582"/>
  <c r="B725" i="582"/>
  <c r="B724" i="582"/>
  <c r="B723" i="582"/>
  <c r="B722" i="582"/>
  <c r="B721" i="582"/>
  <c r="B720" i="582"/>
  <c r="B719" i="582"/>
  <c r="B718" i="582"/>
  <c r="B717" i="582"/>
  <c r="B716" i="582"/>
  <c r="B715" i="582"/>
  <c r="B714" i="582"/>
  <c r="B713" i="582"/>
  <c r="B712" i="582"/>
  <c r="B711" i="582"/>
  <c r="B710" i="582"/>
  <c r="B709" i="582"/>
  <c r="B708" i="582"/>
  <c r="B707" i="582"/>
  <c r="B706" i="582"/>
  <c r="B705" i="582"/>
  <c r="B704" i="582"/>
  <c r="B703" i="582"/>
  <c r="B702" i="582"/>
  <c r="B701" i="582"/>
  <c r="B700" i="582"/>
  <c r="B699" i="582"/>
  <c r="B698" i="582"/>
  <c r="B697" i="582"/>
  <c r="B696" i="582"/>
  <c r="B695" i="582"/>
  <c r="B694" i="582"/>
  <c r="B693" i="582"/>
  <c r="B692" i="582"/>
  <c r="B691" i="582"/>
  <c r="B690" i="582"/>
  <c r="B689" i="582"/>
  <c r="B688" i="582"/>
  <c r="B687" i="582"/>
  <c r="B686" i="582"/>
  <c r="B685" i="582"/>
  <c r="B684" i="582"/>
  <c r="B683" i="582"/>
  <c r="B682" i="582"/>
  <c r="B681" i="582"/>
  <c r="B680" i="582"/>
  <c r="B679" i="582"/>
  <c r="B678" i="582"/>
  <c r="B677" i="582"/>
  <c r="B676" i="582"/>
  <c r="B675" i="582"/>
  <c r="B674" i="582"/>
  <c r="B673" i="582"/>
  <c r="B672" i="582"/>
  <c r="B671" i="582"/>
  <c r="B670" i="582"/>
  <c r="B669" i="582"/>
  <c r="B668" i="582"/>
  <c r="B667" i="582"/>
  <c r="B666" i="582"/>
  <c r="B665" i="582"/>
  <c r="B664" i="582"/>
  <c r="B663" i="582"/>
  <c r="B662" i="582"/>
  <c r="B661" i="582"/>
  <c r="B660" i="582"/>
  <c r="B659" i="582"/>
  <c r="B658" i="582"/>
  <c r="B657" i="582"/>
  <c r="B656" i="582"/>
  <c r="B655" i="582"/>
  <c r="B654" i="582"/>
  <c r="B653" i="582"/>
  <c r="B652" i="582"/>
  <c r="B651" i="582"/>
  <c r="B650" i="582"/>
  <c r="B649" i="582"/>
  <c r="B648" i="582"/>
  <c r="B647" i="582"/>
  <c r="B646" i="582"/>
  <c r="B645" i="582"/>
  <c r="B644" i="582"/>
  <c r="B643" i="582"/>
  <c r="B642" i="582"/>
  <c r="B641" i="582"/>
  <c r="B640" i="582"/>
  <c r="B639" i="582"/>
  <c r="B638" i="582"/>
  <c r="B637" i="582"/>
  <c r="B636" i="582"/>
  <c r="B635" i="582"/>
  <c r="B634" i="582"/>
  <c r="B633" i="582"/>
  <c r="B632" i="582"/>
  <c r="B631" i="582"/>
  <c r="B630" i="582"/>
  <c r="B629" i="582"/>
  <c r="B628" i="582"/>
  <c r="B627" i="582"/>
  <c r="B626" i="582"/>
  <c r="B625" i="582"/>
  <c r="B624" i="582"/>
  <c r="B623" i="582"/>
  <c r="B622" i="582"/>
  <c r="B621" i="582"/>
  <c r="B620" i="582"/>
  <c r="B619" i="582"/>
  <c r="B618" i="582"/>
  <c r="B617" i="582"/>
  <c r="B616" i="582"/>
  <c r="B615" i="582"/>
  <c r="B614" i="582"/>
  <c r="B613" i="582"/>
  <c r="B612" i="582"/>
  <c r="B611" i="582"/>
  <c r="B610" i="582"/>
  <c r="B609" i="582"/>
  <c r="B608" i="582"/>
  <c r="B607" i="582"/>
  <c r="B606" i="582"/>
  <c r="B605" i="582"/>
  <c r="B604" i="582"/>
  <c r="B603" i="582"/>
  <c r="B602" i="582"/>
  <c r="B601" i="582"/>
  <c r="B600" i="582"/>
  <c r="B599" i="582"/>
  <c r="B598" i="582"/>
  <c r="B597" i="582"/>
  <c r="B596" i="582"/>
  <c r="B595" i="582"/>
  <c r="B594" i="582"/>
  <c r="B593" i="582"/>
  <c r="B592" i="582"/>
  <c r="B591" i="582"/>
  <c r="B590" i="582"/>
  <c r="B589" i="582"/>
  <c r="B588" i="582"/>
  <c r="B587" i="582"/>
  <c r="B586" i="582"/>
  <c r="B585" i="582"/>
  <c r="B584" i="582"/>
  <c r="B583" i="582"/>
  <c r="B582" i="582"/>
  <c r="B581" i="582"/>
  <c r="B580" i="582"/>
  <c r="B579" i="582"/>
  <c r="B578" i="582"/>
  <c r="B577" i="582"/>
  <c r="B576" i="582"/>
  <c r="B575" i="582"/>
  <c r="B574" i="582"/>
  <c r="B573" i="582"/>
  <c r="B572" i="582"/>
  <c r="B571" i="582"/>
  <c r="B570" i="582"/>
  <c r="B569" i="582"/>
  <c r="B568" i="582"/>
  <c r="B567" i="582"/>
  <c r="B566" i="582"/>
  <c r="B565" i="582"/>
  <c r="B564" i="582"/>
  <c r="B563" i="582"/>
  <c r="B562" i="582"/>
  <c r="B561" i="582"/>
  <c r="B560" i="582"/>
  <c r="B559" i="582"/>
  <c r="B558" i="582"/>
  <c r="B557" i="582"/>
  <c r="B556" i="582"/>
  <c r="B555" i="582"/>
  <c r="B554" i="582"/>
  <c r="B553" i="582"/>
  <c r="B552" i="582"/>
  <c r="B551" i="582"/>
  <c r="B550" i="582"/>
  <c r="B549" i="582"/>
  <c r="B548" i="582"/>
  <c r="B547" i="582"/>
  <c r="B546" i="582"/>
  <c r="B545" i="582"/>
  <c r="B544" i="582"/>
  <c r="B543" i="582"/>
  <c r="B542" i="582"/>
  <c r="B541" i="582"/>
  <c r="B540" i="582"/>
  <c r="B539" i="582"/>
  <c r="B538" i="582"/>
  <c r="B537" i="582"/>
  <c r="B536" i="582"/>
  <c r="B535" i="582"/>
  <c r="B534" i="582"/>
  <c r="B533" i="582"/>
  <c r="B532" i="582"/>
  <c r="B531" i="582"/>
  <c r="B530" i="582"/>
  <c r="B529" i="582"/>
  <c r="B528" i="582"/>
  <c r="B527" i="582"/>
  <c r="B526" i="582"/>
  <c r="B525" i="582"/>
  <c r="B524" i="582"/>
  <c r="B523" i="582"/>
  <c r="B522" i="582"/>
  <c r="B521" i="582"/>
  <c r="B520" i="582"/>
  <c r="B519" i="582"/>
  <c r="B518" i="582"/>
  <c r="B517" i="582"/>
  <c r="B516" i="582"/>
  <c r="B515" i="582"/>
  <c r="B514" i="582"/>
  <c r="B513" i="582"/>
  <c r="B512" i="582"/>
  <c r="B511" i="582"/>
  <c r="B510" i="582"/>
  <c r="B509" i="582"/>
  <c r="B508" i="582"/>
  <c r="B507" i="582"/>
  <c r="B506" i="582"/>
  <c r="B505" i="582"/>
  <c r="B504" i="582"/>
  <c r="B503" i="582"/>
  <c r="B502" i="582"/>
  <c r="B501" i="582"/>
  <c r="B500" i="582"/>
  <c r="B499" i="582"/>
  <c r="B498" i="582"/>
  <c r="B497" i="582"/>
  <c r="B496" i="582"/>
  <c r="B495" i="582"/>
  <c r="B494" i="582"/>
  <c r="B493" i="582"/>
  <c r="B492" i="582"/>
  <c r="B491" i="582"/>
  <c r="B490" i="582"/>
  <c r="B489" i="582"/>
  <c r="B488" i="582"/>
  <c r="B487" i="582"/>
  <c r="B486" i="582"/>
  <c r="B485" i="582"/>
  <c r="B484" i="582"/>
  <c r="B483" i="582"/>
  <c r="B482" i="582"/>
  <c r="B481" i="582"/>
  <c r="B480" i="582"/>
  <c r="B479" i="582"/>
  <c r="B478" i="582"/>
  <c r="B477" i="582"/>
  <c r="B476" i="582"/>
  <c r="B475" i="582"/>
  <c r="B474" i="582"/>
  <c r="B473" i="582"/>
  <c r="B472" i="582"/>
  <c r="B471" i="582"/>
  <c r="B470" i="582"/>
  <c r="B469" i="582"/>
  <c r="B468" i="582"/>
  <c r="B467" i="582"/>
  <c r="B466" i="582"/>
  <c r="B465" i="582"/>
  <c r="B464" i="582"/>
  <c r="B463" i="582"/>
  <c r="B462" i="582"/>
  <c r="B461" i="582"/>
  <c r="B460" i="582"/>
  <c r="B459" i="582"/>
  <c r="B458" i="582"/>
  <c r="B457" i="582"/>
  <c r="B456" i="582"/>
  <c r="B455" i="582"/>
  <c r="B454" i="582"/>
  <c r="B453" i="582"/>
  <c r="B452" i="582"/>
  <c r="B451" i="582"/>
  <c r="B450" i="582"/>
  <c r="B449" i="582"/>
  <c r="B448" i="582"/>
  <c r="B447" i="582"/>
  <c r="B446" i="582"/>
  <c r="B445" i="582"/>
  <c r="B444" i="582"/>
  <c r="B443" i="582"/>
  <c r="B442" i="582"/>
  <c r="B441" i="582"/>
  <c r="B440" i="582"/>
  <c r="B439" i="582"/>
  <c r="B438" i="582"/>
  <c r="B437" i="582"/>
  <c r="B436" i="582"/>
  <c r="B435" i="582"/>
  <c r="B434" i="582"/>
  <c r="B433" i="582"/>
  <c r="B432" i="582"/>
  <c r="B431" i="582"/>
  <c r="B430" i="582"/>
  <c r="B429" i="582"/>
  <c r="B428" i="582"/>
  <c r="B427" i="582"/>
  <c r="B426" i="582"/>
  <c r="B425" i="582"/>
  <c r="B424" i="582"/>
  <c r="B423" i="582"/>
  <c r="B422" i="582"/>
  <c r="B421" i="582"/>
  <c r="B420" i="582"/>
  <c r="B419" i="582"/>
  <c r="B418" i="582"/>
  <c r="B417" i="582"/>
  <c r="B416" i="582"/>
  <c r="B415" i="582"/>
  <c r="B414" i="582"/>
  <c r="B413" i="582"/>
  <c r="B412" i="582"/>
  <c r="B411" i="582"/>
  <c r="B410" i="582"/>
  <c r="B409" i="582"/>
  <c r="B408" i="582"/>
  <c r="B407" i="582"/>
  <c r="B406" i="582"/>
  <c r="B405" i="582"/>
  <c r="B404" i="582"/>
  <c r="B403" i="582"/>
  <c r="B402" i="582"/>
  <c r="B401" i="582"/>
  <c r="B400" i="582"/>
  <c r="B399" i="582"/>
  <c r="B398" i="582"/>
  <c r="B397" i="582"/>
  <c r="B396" i="582"/>
  <c r="B395" i="582"/>
  <c r="B394" i="582"/>
  <c r="B393" i="582"/>
  <c r="B392" i="582"/>
  <c r="B391" i="582"/>
  <c r="B390" i="582"/>
  <c r="B389" i="582"/>
  <c r="B388" i="582"/>
  <c r="B387" i="582"/>
  <c r="B386" i="582"/>
  <c r="B385" i="582"/>
  <c r="B384" i="582"/>
  <c r="B383" i="582"/>
  <c r="B382" i="582"/>
  <c r="B381" i="582"/>
  <c r="B380" i="582"/>
  <c r="B379" i="582"/>
  <c r="B378" i="582"/>
  <c r="B377" i="582"/>
  <c r="B376" i="582"/>
  <c r="B375" i="582"/>
  <c r="B374" i="582"/>
  <c r="B373" i="582"/>
  <c r="B372" i="582"/>
  <c r="B371" i="582"/>
  <c r="B370" i="582"/>
  <c r="B369" i="582"/>
  <c r="B368" i="582"/>
  <c r="B367" i="582"/>
  <c r="B366" i="582"/>
  <c r="B365" i="582"/>
  <c r="B364" i="582"/>
  <c r="B363" i="582"/>
  <c r="B362" i="582"/>
  <c r="B361" i="582"/>
  <c r="B360" i="582"/>
  <c r="B359" i="582"/>
  <c r="B358" i="582"/>
  <c r="B357" i="582"/>
  <c r="B356" i="582"/>
  <c r="B355" i="582"/>
  <c r="B354" i="582"/>
  <c r="B353" i="582"/>
  <c r="B352" i="582"/>
  <c r="B351" i="582"/>
  <c r="B350" i="582"/>
  <c r="B349" i="582"/>
  <c r="B348" i="582"/>
  <c r="B347" i="582"/>
  <c r="B346" i="582"/>
  <c r="B345" i="582"/>
  <c r="B344" i="582"/>
  <c r="B343" i="582"/>
  <c r="B342" i="582"/>
  <c r="B341" i="582"/>
  <c r="B340" i="582"/>
  <c r="B339" i="582"/>
  <c r="B338" i="582"/>
  <c r="B337" i="582"/>
  <c r="B336" i="582"/>
  <c r="B335" i="582"/>
  <c r="B334" i="582"/>
  <c r="B333" i="582"/>
  <c r="B332" i="582"/>
  <c r="B331" i="582"/>
  <c r="B330" i="582"/>
  <c r="B329" i="582"/>
  <c r="B328" i="582"/>
  <c r="B327" i="582"/>
  <c r="B326" i="582"/>
  <c r="B325" i="582"/>
  <c r="B324" i="582"/>
  <c r="B323" i="582"/>
  <c r="B322" i="582"/>
  <c r="B321" i="582"/>
  <c r="B320" i="582"/>
  <c r="B319" i="582"/>
  <c r="B318" i="582"/>
  <c r="B317" i="582"/>
  <c r="B316" i="582"/>
  <c r="B315" i="582"/>
  <c r="B314" i="582"/>
  <c r="B313" i="582"/>
  <c r="B312" i="582"/>
  <c r="B311" i="582"/>
  <c r="B310" i="582"/>
  <c r="B309" i="582"/>
  <c r="B308" i="582"/>
  <c r="B307" i="582"/>
  <c r="B306" i="582"/>
  <c r="B305" i="582"/>
  <c r="B304" i="582"/>
  <c r="B303" i="582"/>
  <c r="B302" i="582"/>
  <c r="B301" i="582"/>
  <c r="B300" i="582"/>
  <c r="B299" i="582"/>
  <c r="B298" i="582"/>
  <c r="B297" i="582"/>
  <c r="B296" i="582"/>
  <c r="B295" i="582"/>
  <c r="B294" i="582"/>
  <c r="B293" i="582"/>
  <c r="B292" i="582"/>
  <c r="B291" i="582"/>
  <c r="B290" i="582"/>
  <c r="B289" i="582"/>
  <c r="B288" i="582"/>
  <c r="B287" i="582"/>
  <c r="B286" i="582"/>
  <c r="B285" i="582"/>
  <c r="B284" i="582"/>
  <c r="B283" i="582"/>
  <c r="B282" i="582"/>
  <c r="B281" i="582"/>
  <c r="B280" i="582"/>
  <c r="B279" i="582"/>
  <c r="B278" i="582"/>
  <c r="B277" i="582"/>
  <c r="B276" i="582"/>
  <c r="B275" i="582"/>
  <c r="B274" i="582"/>
  <c r="B273" i="582"/>
  <c r="B272" i="582"/>
  <c r="B271" i="582"/>
  <c r="B270" i="582"/>
  <c r="B269" i="582"/>
  <c r="B268" i="582"/>
  <c r="B267" i="582"/>
  <c r="B266" i="582"/>
  <c r="B265" i="582"/>
  <c r="B264" i="582"/>
  <c r="B263" i="582"/>
  <c r="B262" i="582"/>
  <c r="B261" i="582"/>
  <c r="B260" i="582"/>
  <c r="B259" i="582"/>
  <c r="B258" i="582"/>
  <c r="B257" i="582"/>
  <c r="B256" i="582"/>
  <c r="B255" i="582"/>
  <c r="B254" i="582"/>
  <c r="B253" i="582"/>
  <c r="B252" i="582"/>
  <c r="B251" i="582"/>
  <c r="B250" i="582"/>
  <c r="B249" i="582"/>
  <c r="B248" i="582"/>
  <c r="B247" i="582"/>
  <c r="B246" i="582"/>
  <c r="B245" i="582"/>
  <c r="B244" i="582"/>
  <c r="B243" i="582"/>
  <c r="B242" i="582"/>
  <c r="B241" i="582"/>
  <c r="B240" i="582"/>
  <c r="B239" i="582"/>
  <c r="B238" i="582"/>
  <c r="B237" i="582"/>
  <c r="B236" i="582"/>
  <c r="B235" i="582"/>
  <c r="B234" i="582"/>
  <c r="B233" i="582"/>
  <c r="B232" i="582"/>
  <c r="B231" i="582"/>
  <c r="B230" i="582"/>
  <c r="B229" i="582"/>
  <c r="B228" i="582"/>
  <c r="B227" i="582"/>
  <c r="B226" i="582"/>
  <c r="B225" i="582"/>
  <c r="B224" i="582"/>
  <c r="B223" i="582"/>
  <c r="B222" i="582"/>
  <c r="B221" i="582"/>
  <c r="B220" i="582"/>
  <c r="B219" i="582"/>
  <c r="B218" i="582"/>
  <c r="B217" i="582"/>
  <c r="B216" i="582"/>
  <c r="B215" i="582"/>
  <c r="B214" i="582"/>
  <c r="B213" i="582"/>
  <c r="B212" i="582"/>
  <c r="B211" i="582"/>
  <c r="B210" i="582"/>
  <c r="B209" i="582"/>
  <c r="B208" i="582"/>
  <c r="B207" i="582"/>
  <c r="B206" i="582"/>
  <c r="B205" i="582"/>
  <c r="B204" i="582"/>
  <c r="B203" i="582"/>
  <c r="B202" i="582"/>
  <c r="B201" i="582"/>
  <c r="B200" i="582"/>
  <c r="B199" i="582"/>
  <c r="B198" i="582"/>
  <c r="B197" i="582"/>
  <c r="B196" i="582"/>
  <c r="B195" i="582"/>
  <c r="B194" i="582"/>
  <c r="B193" i="582"/>
  <c r="B192" i="582"/>
  <c r="B191" i="582"/>
  <c r="B190" i="582"/>
  <c r="B189" i="582"/>
  <c r="B188" i="582"/>
  <c r="B187" i="582"/>
  <c r="B186" i="582"/>
  <c r="B185" i="582"/>
  <c r="B184" i="582"/>
  <c r="B183" i="582"/>
  <c r="B182" i="582"/>
  <c r="B181" i="582"/>
  <c r="B180" i="582"/>
  <c r="B179" i="582"/>
  <c r="B178" i="582"/>
  <c r="B177" i="582"/>
  <c r="B176" i="582"/>
  <c r="B175" i="582"/>
  <c r="B174" i="582"/>
  <c r="B173" i="582"/>
  <c r="B172" i="582"/>
  <c r="B171" i="582"/>
  <c r="B170" i="582"/>
  <c r="B169" i="582"/>
  <c r="B168" i="582"/>
  <c r="B167" i="582"/>
  <c r="B166" i="582"/>
  <c r="B165" i="582"/>
  <c r="B164" i="582"/>
  <c r="B163" i="582"/>
  <c r="B162" i="582"/>
  <c r="B161" i="582"/>
  <c r="B160" i="582"/>
  <c r="B159" i="582"/>
  <c r="B158" i="582"/>
  <c r="B157" i="582"/>
  <c r="B156" i="582"/>
  <c r="B155" i="582"/>
  <c r="B154" i="582"/>
  <c r="B153" i="582"/>
  <c r="B152" i="582"/>
  <c r="B151" i="582"/>
  <c r="B150" i="582"/>
  <c r="B149" i="582"/>
  <c r="B148" i="582"/>
  <c r="B147" i="582"/>
  <c r="B146" i="582"/>
  <c r="B145" i="582"/>
  <c r="B144" i="582"/>
  <c r="B143" i="582"/>
  <c r="B142" i="582"/>
  <c r="B141" i="582"/>
  <c r="B140" i="582"/>
  <c r="B139" i="582"/>
  <c r="B138" i="582"/>
  <c r="B137" i="582"/>
  <c r="B136" i="582"/>
  <c r="B135" i="582"/>
  <c r="B134" i="582"/>
  <c r="B133" i="582"/>
  <c r="B132" i="582"/>
  <c r="B131" i="582"/>
  <c r="B130" i="582"/>
  <c r="B129" i="582"/>
  <c r="B128" i="582"/>
  <c r="B127" i="582"/>
  <c r="B126" i="582"/>
  <c r="B125" i="582"/>
  <c r="B124" i="582"/>
  <c r="B123" i="582"/>
  <c r="B122" i="582"/>
  <c r="B121" i="582"/>
  <c r="B120" i="582"/>
  <c r="B119" i="582"/>
  <c r="B118" i="582"/>
  <c r="B117" i="582"/>
  <c r="B116" i="582"/>
  <c r="B115" i="582"/>
  <c r="B114" i="582"/>
  <c r="B113" i="582"/>
  <c r="B112" i="582"/>
  <c r="B111" i="582"/>
  <c r="B110" i="582"/>
  <c r="B109" i="582"/>
  <c r="B108" i="582"/>
  <c r="B107" i="582"/>
  <c r="B106" i="582"/>
  <c r="B105" i="582"/>
  <c r="B104" i="582"/>
  <c r="B103" i="582"/>
  <c r="B102" i="582"/>
  <c r="B101" i="582"/>
  <c r="B100" i="582"/>
  <c r="B99" i="582"/>
  <c r="B98" i="582"/>
  <c r="B97" i="582"/>
  <c r="B96" i="582"/>
  <c r="B95" i="582"/>
  <c r="B94" i="582"/>
  <c r="B93" i="582"/>
  <c r="B92" i="582"/>
  <c r="B91" i="582"/>
  <c r="B90" i="582"/>
  <c r="B89" i="582"/>
  <c r="B88" i="582"/>
  <c r="B87" i="582"/>
  <c r="B86" i="582"/>
  <c r="B85" i="582"/>
  <c r="B84" i="582"/>
  <c r="B83" i="582"/>
  <c r="B82" i="582"/>
  <c r="B81" i="582"/>
  <c r="B80" i="582"/>
  <c r="B79" i="582"/>
  <c r="B78" i="582"/>
  <c r="B77" i="582"/>
  <c r="B76" i="582"/>
  <c r="B75" i="582"/>
  <c r="B74" i="582"/>
  <c r="B73" i="582"/>
  <c r="B72" i="582"/>
  <c r="B71" i="582"/>
  <c r="B70" i="582"/>
  <c r="B69" i="582"/>
  <c r="B68" i="582"/>
  <c r="B67" i="582"/>
  <c r="B66" i="582"/>
  <c r="B65" i="582"/>
  <c r="B64" i="582"/>
  <c r="B63" i="582"/>
  <c r="B62" i="582"/>
  <c r="B61" i="582"/>
  <c r="B60" i="582"/>
  <c r="B59" i="582"/>
  <c r="B58" i="582"/>
  <c r="B57" i="582"/>
  <c r="B56" i="582"/>
  <c r="B55" i="582"/>
  <c r="B54" i="582"/>
  <c r="B53" i="582"/>
  <c r="B52" i="582"/>
  <c r="B51" i="582"/>
  <c r="B50" i="582"/>
  <c r="B49" i="582"/>
  <c r="B48" i="582"/>
  <c r="B47" i="582"/>
  <c r="B46" i="582"/>
  <c r="B45" i="582"/>
  <c r="B44" i="582"/>
  <c r="B43" i="582"/>
  <c r="B42" i="582"/>
  <c r="B41" i="582"/>
  <c r="B40" i="582"/>
  <c r="B39" i="582"/>
  <c r="B38" i="582"/>
  <c r="B37" i="582"/>
  <c r="B36" i="582"/>
  <c r="B35" i="582"/>
  <c r="B34" i="582"/>
  <c r="B33" i="582"/>
  <c r="B32" i="582"/>
  <c r="B31" i="582"/>
  <c r="B30" i="582"/>
  <c r="B29" i="582"/>
  <c r="B28" i="582"/>
  <c r="B27" i="582"/>
  <c r="B26" i="582"/>
  <c r="B25" i="582"/>
  <c r="B24" i="582"/>
  <c r="B23" i="582"/>
  <c r="B22" i="582"/>
  <c r="B21" i="582"/>
  <c r="B20" i="582"/>
  <c r="B19" i="582"/>
  <c r="B18" i="582"/>
  <c r="B17" i="582"/>
  <c r="B16" i="582"/>
  <c r="B15" i="582"/>
  <c r="B14" i="582"/>
  <c r="B13" i="582"/>
  <c r="B12" i="582"/>
  <c r="B11" i="582"/>
  <c r="B10" i="582"/>
  <c r="B9" i="582"/>
  <c r="B8" i="582"/>
  <c r="B7" i="582"/>
  <c r="B6" i="582"/>
  <c r="B5" i="582"/>
  <c r="B4" i="582"/>
  <c r="B3" i="582"/>
  <c r="B2" i="582"/>
  <c r="B1015" i="575" l="1"/>
  <c r="B1014" i="575"/>
  <c r="B1013" i="575"/>
  <c r="B1012" i="575"/>
  <c r="B1011" i="575"/>
  <c r="B1010" i="575"/>
  <c r="B1009" i="575"/>
  <c r="B1008" i="575"/>
  <c r="B1007" i="575"/>
  <c r="B1006" i="575"/>
  <c r="B1005" i="575"/>
  <c r="B1004" i="575"/>
  <c r="B1003" i="575"/>
  <c r="B1002" i="575"/>
  <c r="B1001" i="575"/>
  <c r="B1000" i="575"/>
  <c r="B999" i="575"/>
  <c r="B998" i="575"/>
  <c r="B997" i="575"/>
  <c r="B996" i="575"/>
  <c r="B995" i="575"/>
  <c r="B994" i="575"/>
  <c r="B993" i="575"/>
  <c r="B992" i="575"/>
  <c r="B991" i="575"/>
  <c r="B990" i="575"/>
  <c r="B989" i="575"/>
  <c r="B988" i="575"/>
  <c r="B987" i="575"/>
  <c r="B986" i="575"/>
  <c r="B985" i="575"/>
  <c r="B984" i="575"/>
  <c r="B983" i="575"/>
  <c r="B982" i="575"/>
  <c r="B981" i="575"/>
  <c r="B980" i="575"/>
  <c r="B979" i="575"/>
  <c r="B978" i="575"/>
  <c r="B977" i="575"/>
  <c r="B976" i="575"/>
  <c r="B975" i="575"/>
  <c r="B974" i="575"/>
  <c r="B973" i="575"/>
  <c r="B972" i="575"/>
  <c r="B971" i="575"/>
  <c r="B970" i="575"/>
  <c r="B969" i="575"/>
  <c r="B968" i="575"/>
  <c r="B967" i="575"/>
  <c r="B966" i="575"/>
  <c r="B965" i="575"/>
  <c r="B964" i="575"/>
  <c r="B963" i="575"/>
  <c r="B962" i="575"/>
  <c r="B961" i="575"/>
  <c r="B960" i="575"/>
  <c r="B959" i="575"/>
  <c r="B958" i="575"/>
  <c r="B957" i="575"/>
  <c r="B956" i="575"/>
  <c r="B955" i="575"/>
  <c r="B954" i="575"/>
  <c r="B953" i="575"/>
  <c r="B952" i="575"/>
  <c r="B951" i="575"/>
  <c r="B950" i="575"/>
  <c r="B949" i="575"/>
  <c r="B948" i="575"/>
  <c r="B947" i="575"/>
  <c r="B946" i="575"/>
  <c r="B945" i="575"/>
  <c r="B944" i="575"/>
  <c r="B943" i="575"/>
  <c r="B942" i="575"/>
  <c r="B941" i="575"/>
  <c r="B940" i="575"/>
  <c r="B939" i="575"/>
  <c r="B938" i="575"/>
  <c r="B937" i="575"/>
  <c r="B936" i="575"/>
  <c r="B935" i="575"/>
  <c r="B934" i="575"/>
  <c r="B933" i="575"/>
  <c r="B932" i="575"/>
  <c r="B931" i="575"/>
  <c r="B930" i="575"/>
  <c r="B929" i="575"/>
  <c r="B928" i="575"/>
  <c r="B927" i="575"/>
  <c r="B926" i="575"/>
  <c r="B925" i="575"/>
  <c r="B924" i="575"/>
  <c r="B923" i="575"/>
  <c r="B922" i="575"/>
  <c r="B921" i="575"/>
  <c r="B920" i="575"/>
  <c r="B919" i="575"/>
  <c r="B918" i="575"/>
  <c r="B917" i="575"/>
  <c r="B916" i="575"/>
  <c r="B915" i="575"/>
  <c r="B914" i="575"/>
  <c r="B913" i="575"/>
  <c r="B912" i="575"/>
  <c r="B911" i="575"/>
  <c r="B910" i="575"/>
  <c r="B909" i="575"/>
  <c r="B908" i="575"/>
  <c r="B907" i="575"/>
  <c r="B906" i="575"/>
  <c r="B905" i="575"/>
  <c r="B904" i="575"/>
  <c r="B903" i="575"/>
  <c r="B902" i="575"/>
  <c r="B901" i="575"/>
  <c r="B900" i="575"/>
  <c r="B899" i="575"/>
  <c r="B898" i="575"/>
  <c r="B897" i="575"/>
  <c r="B896" i="575"/>
  <c r="B895" i="575"/>
  <c r="B894" i="575"/>
  <c r="B893" i="575"/>
  <c r="B892" i="575"/>
  <c r="B891" i="575"/>
  <c r="B890" i="575"/>
  <c r="B889" i="575"/>
  <c r="B888" i="575"/>
  <c r="B887" i="575"/>
  <c r="B886" i="575"/>
  <c r="B885" i="575"/>
  <c r="B884" i="575"/>
  <c r="B883" i="575"/>
  <c r="B882" i="575"/>
  <c r="B881" i="575"/>
  <c r="B880" i="575"/>
  <c r="B879" i="575"/>
  <c r="B878" i="575"/>
  <c r="B877" i="575"/>
  <c r="B876" i="575"/>
  <c r="B875" i="575"/>
  <c r="B874" i="575"/>
  <c r="B873" i="575"/>
  <c r="B872" i="575"/>
  <c r="B871" i="575"/>
  <c r="B870" i="575"/>
  <c r="B869" i="575"/>
  <c r="B868" i="575"/>
  <c r="B867" i="575"/>
  <c r="B866" i="575"/>
  <c r="B865" i="575"/>
  <c r="B864" i="575"/>
  <c r="B863" i="575"/>
  <c r="B862" i="575"/>
  <c r="B861" i="575"/>
  <c r="B860" i="575"/>
  <c r="B859" i="575"/>
  <c r="B858" i="575"/>
  <c r="B857" i="575"/>
  <c r="B856" i="575"/>
  <c r="B855" i="575"/>
  <c r="B854" i="575"/>
  <c r="B853" i="575"/>
  <c r="B852" i="575"/>
  <c r="B851" i="575"/>
  <c r="B850" i="575"/>
  <c r="B849" i="575"/>
  <c r="B848" i="575"/>
  <c r="B847" i="575"/>
  <c r="B846" i="575"/>
  <c r="B845" i="575"/>
  <c r="B844" i="575"/>
  <c r="B843" i="575"/>
  <c r="B842" i="575"/>
  <c r="B841" i="575"/>
  <c r="B840" i="575"/>
  <c r="B839" i="575"/>
  <c r="B838" i="575"/>
  <c r="B837" i="575"/>
  <c r="B836" i="575"/>
  <c r="B835" i="575"/>
  <c r="B834" i="575"/>
  <c r="B833" i="575"/>
  <c r="B832" i="575"/>
  <c r="B831" i="575"/>
  <c r="B830" i="575"/>
  <c r="B829" i="575"/>
  <c r="B828" i="575"/>
  <c r="B827" i="575"/>
  <c r="B826" i="575"/>
  <c r="B825" i="575"/>
  <c r="B824" i="575"/>
  <c r="B823" i="575"/>
  <c r="B822" i="575"/>
  <c r="B821" i="575"/>
  <c r="B820" i="575"/>
  <c r="B819" i="575"/>
  <c r="B818" i="575"/>
  <c r="B817" i="575"/>
  <c r="B816" i="575"/>
  <c r="B815" i="575"/>
  <c r="B814" i="575"/>
  <c r="B813" i="575"/>
  <c r="B812" i="575"/>
  <c r="B811" i="575"/>
  <c r="B810" i="575"/>
  <c r="B809" i="575"/>
  <c r="B808" i="575"/>
  <c r="B807" i="575"/>
  <c r="B806" i="575"/>
  <c r="B805" i="575"/>
  <c r="B804" i="575"/>
  <c r="B803" i="575"/>
  <c r="B802" i="575"/>
  <c r="B801" i="575"/>
  <c r="B800" i="575"/>
  <c r="B799" i="575"/>
  <c r="B798" i="575"/>
  <c r="B797" i="575"/>
  <c r="B796" i="575"/>
  <c r="B795" i="575"/>
  <c r="B794" i="575"/>
  <c r="B793" i="575"/>
  <c r="B792" i="575"/>
  <c r="B791" i="575"/>
  <c r="B790" i="575"/>
  <c r="B789" i="575"/>
  <c r="B788" i="575"/>
  <c r="B787" i="575"/>
  <c r="B786" i="575"/>
  <c r="B785" i="575"/>
  <c r="B784" i="575"/>
  <c r="B783" i="575"/>
  <c r="B782" i="575"/>
  <c r="B781" i="575"/>
  <c r="B780" i="575"/>
  <c r="B779" i="575"/>
  <c r="B778" i="575"/>
  <c r="B777" i="575"/>
  <c r="B776" i="575"/>
  <c r="B775" i="575"/>
  <c r="B774" i="575"/>
  <c r="B773" i="575"/>
  <c r="B772" i="575"/>
  <c r="B771" i="575"/>
  <c r="B770" i="575"/>
  <c r="B769" i="575"/>
  <c r="B768" i="575"/>
  <c r="B767" i="575"/>
  <c r="B766" i="575"/>
  <c r="B765" i="575"/>
  <c r="B764" i="575"/>
  <c r="B763" i="575"/>
  <c r="B762" i="575"/>
  <c r="B761" i="575"/>
  <c r="B760" i="575"/>
  <c r="B759" i="575"/>
  <c r="B758" i="575"/>
  <c r="B757" i="575"/>
  <c r="B756" i="575"/>
  <c r="B755" i="575"/>
  <c r="B754" i="575"/>
  <c r="B753" i="575"/>
  <c r="B752" i="575"/>
  <c r="B751" i="575"/>
  <c r="B750" i="575"/>
  <c r="B749" i="575"/>
  <c r="B748" i="575"/>
  <c r="B747" i="575"/>
  <c r="B746" i="575"/>
  <c r="B745" i="575"/>
  <c r="B744" i="575"/>
  <c r="B743" i="575"/>
  <c r="B742" i="575"/>
  <c r="B741" i="575"/>
  <c r="B740" i="575"/>
  <c r="B739" i="575"/>
  <c r="B738" i="575"/>
  <c r="B737" i="575"/>
  <c r="B736" i="575"/>
  <c r="B735" i="575"/>
  <c r="B734" i="575"/>
  <c r="B733" i="575"/>
  <c r="B732" i="575"/>
  <c r="B731" i="575"/>
  <c r="B730" i="575"/>
  <c r="B729" i="575"/>
  <c r="B728" i="575"/>
  <c r="B727" i="575"/>
  <c r="B726" i="575"/>
  <c r="B725" i="575"/>
  <c r="B724" i="575"/>
  <c r="B723" i="575"/>
  <c r="B722" i="575"/>
  <c r="B721" i="575"/>
  <c r="B720" i="575"/>
  <c r="B719" i="575"/>
  <c r="B718" i="575"/>
  <c r="B717" i="575"/>
  <c r="B716" i="575"/>
  <c r="B715" i="575"/>
  <c r="B714" i="575"/>
  <c r="B713" i="575"/>
  <c r="B712" i="575"/>
  <c r="B711" i="575"/>
  <c r="B710" i="575"/>
  <c r="B709" i="575"/>
  <c r="B708" i="575"/>
  <c r="B707" i="575"/>
  <c r="B706" i="575"/>
  <c r="B705" i="575"/>
  <c r="B704" i="575"/>
  <c r="B703" i="575"/>
  <c r="B702" i="575"/>
  <c r="B701" i="575"/>
  <c r="B700" i="575"/>
  <c r="B699" i="575"/>
  <c r="B698" i="575"/>
  <c r="B697" i="575"/>
  <c r="B696" i="575"/>
  <c r="B695" i="575"/>
  <c r="B694" i="575"/>
  <c r="B693" i="575"/>
  <c r="B692" i="575"/>
  <c r="B691" i="575"/>
  <c r="B690" i="575"/>
  <c r="B689" i="575"/>
  <c r="B688" i="575"/>
  <c r="B687" i="575"/>
  <c r="B686" i="575"/>
  <c r="B685" i="575"/>
  <c r="B684" i="575"/>
  <c r="B683" i="575"/>
  <c r="B682" i="575"/>
  <c r="B681" i="575"/>
  <c r="B680" i="575"/>
  <c r="B679" i="575"/>
  <c r="B678" i="575"/>
  <c r="B677" i="575"/>
  <c r="B676" i="575"/>
  <c r="B675" i="575"/>
  <c r="B674" i="575"/>
  <c r="B673" i="575"/>
  <c r="B672" i="575"/>
  <c r="B671" i="575"/>
  <c r="B670" i="575"/>
  <c r="B669" i="575"/>
  <c r="B668" i="575"/>
  <c r="B667" i="575"/>
  <c r="B666" i="575"/>
  <c r="B665" i="575"/>
  <c r="B664" i="575"/>
  <c r="B663" i="575"/>
  <c r="B662" i="575"/>
  <c r="B661" i="575"/>
  <c r="B660" i="575"/>
  <c r="B659" i="575"/>
  <c r="B658" i="575"/>
  <c r="B657" i="575"/>
  <c r="B656" i="575"/>
  <c r="B655" i="575"/>
  <c r="B654" i="575"/>
  <c r="B653" i="575"/>
  <c r="B652" i="575"/>
  <c r="B651" i="575"/>
  <c r="B650" i="575"/>
  <c r="B649" i="575"/>
  <c r="B648" i="575"/>
  <c r="B647" i="575"/>
  <c r="B646" i="575"/>
  <c r="B645" i="575"/>
  <c r="B644" i="575"/>
  <c r="B643" i="575"/>
  <c r="B642" i="575"/>
  <c r="B641" i="575"/>
  <c r="B640" i="575"/>
  <c r="B639" i="575"/>
  <c r="B638" i="575"/>
  <c r="B637" i="575"/>
  <c r="B636" i="575"/>
  <c r="B635" i="575"/>
  <c r="B634" i="575"/>
  <c r="B633" i="575"/>
  <c r="B632" i="575"/>
  <c r="B631" i="575"/>
  <c r="B630" i="575"/>
  <c r="B629" i="575"/>
  <c r="B628" i="575"/>
  <c r="B627" i="575"/>
  <c r="B626" i="575"/>
  <c r="B625" i="575"/>
  <c r="B624" i="575"/>
  <c r="B623" i="575"/>
  <c r="B622" i="575"/>
  <c r="B621" i="575"/>
  <c r="B620" i="575"/>
  <c r="B619" i="575"/>
  <c r="B618" i="575"/>
  <c r="B617" i="575"/>
  <c r="B616" i="575"/>
  <c r="B615" i="575"/>
  <c r="B614" i="575"/>
  <c r="B613" i="575"/>
  <c r="B612" i="575"/>
  <c r="B611" i="575"/>
  <c r="B610" i="575"/>
  <c r="B609" i="575"/>
  <c r="B608" i="575"/>
  <c r="B607" i="575"/>
  <c r="B606" i="575"/>
  <c r="B605" i="575"/>
  <c r="B604" i="575"/>
  <c r="B603" i="575"/>
  <c r="B602" i="575"/>
  <c r="B601" i="575"/>
  <c r="B600" i="575"/>
  <c r="B599" i="575"/>
  <c r="B598" i="575"/>
  <c r="B597" i="575"/>
  <c r="B596" i="575"/>
  <c r="B595" i="575"/>
  <c r="B594" i="575"/>
  <c r="B593" i="575"/>
  <c r="B592" i="575"/>
  <c r="B591" i="575"/>
  <c r="B590" i="575"/>
  <c r="B589" i="575"/>
  <c r="B588" i="575"/>
  <c r="B587" i="575"/>
  <c r="B586" i="575"/>
  <c r="B585" i="575"/>
  <c r="B584" i="575"/>
  <c r="B583" i="575"/>
  <c r="B582" i="575"/>
  <c r="B581" i="575"/>
  <c r="B580" i="575"/>
  <c r="B579" i="575"/>
  <c r="B578" i="575"/>
  <c r="B577" i="575"/>
  <c r="B576" i="575"/>
  <c r="B575" i="575"/>
  <c r="B574" i="575"/>
  <c r="B573" i="575"/>
  <c r="B572" i="575"/>
  <c r="B571" i="575"/>
  <c r="B570" i="575"/>
  <c r="B569" i="575"/>
  <c r="B568" i="575"/>
  <c r="B567" i="575"/>
  <c r="B566" i="575"/>
  <c r="B565" i="575"/>
  <c r="B564" i="575"/>
  <c r="B563" i="575"/>
  <c r="B562" i="575"/>
  <c r="B561" i="575"/>
  <c r="B560" i="575"/>
  <c r="B559" i="575"/>
  <c r="B558" i="575"/>
  <c r="B557" i="575"/>
  <c r="B556" i="575"/>
  <c r="B555" i="575"/>
  <c r="B554" i="575"/>
  <c r="B553" i="575"/>
  <c r="B552" i="575"/>
  <c r="B551" i="575"/>
  <c r="B550" i="575"/>
  <c r="B549" i="575"/>
  <c r="B548" i="575"/>
  <c r="B547" i="575"/>
  <c r="B546" i="575"/>
  <c r="B545" i="575"/>
  <c r="B544" i="575"/>
  <c r="B543" i="575"/>
  <c r="B542" i="575"/>
  <c r="B541" i="575"/>
  <c r="B540" i="575"/>
  <c r="B539" i="575"/>
  <c r="B538" i="575"/>
  <c r="B537" i="575"/>
  <c r="B536" i="575"/>
  <c r="B535" i="575"/>
  <c r="B534" i="575"/>
  <c r="B533" i="575"/>
  <c r="B532" i="575"/>
  <c r="B531" i="575"/>
  <c r="B530" i="575"/>
  <c r="B529" i="575"/>
  <c r="B528" i="575"/>
  <c r="B527" i="575"/>
  <c r="B526" i="575"/>
  <c r="B525" i="575"/>
  <c r="B524" i="575"/>
  <c r="B523" i="575"/>
  <c r="B522" i="575"/>
  <c r="B521" i="575"/>
  <c r="B520" i="575"/>
  <c r="B519" i="575"/>
  <c r="B518" i="575"/>
  <c r="B517" i="575"/>
  <c r="B516" i="575"/>
  <c r="B515" i="575"/>
  <c r="B514" i="575"/>
  <c r="B513" i="575"/>
  <c r="B512" i="575"/>
  <c r="B511" i="575"/>
  <c r="B510" i="575"/>
  <c r="B509" i="575"/>
  <c r="B508" i="575"/>
  <c r="B507" i="575"/>
  <c r="B506" i="575"/>
  <c r="B505" i="575"/>
  <c r="B504" i="575"/>
  <c r="B503" i="575"/>
  <c r="B502" i="575"/>
  <c r="B501" i="575"/>
  <c r="B500" i="575"/>
  <c r="B499" i="575"/>
  <c r="B498" i="575"/>
  <c r="B497" i="575"/>
  <c r="B496" i="575"/>
  <c r="B495" i="575"/>
  <c r="B494" i="575"/>
  <c r="B493" i="575"/>
  <c r="B492" i="575"/>
  <c r="B491" i="575"/>
  <c r="B490" i="575"/>
  <c r="B489" i="575"/>
  <c r="B488" i="575"/>
  <c r="B487" i="575"/>
  <c r="B486" i="575"/>
  <c r="B485" i="575"/>
  <c r="B484" i="575"/>
  <c r="B483" i="575"/>
  <c r="B482" i="575"/>
  <c r="B481" i="575"/>
  <c r="B480" i="575"/>
  <c r="B479" i="575"/>
  <c r="B478" i="575"/>
  <c r="B477" i="575"/>
  <c r="B476" i="575"/>
  <c r="B475" i="575"/>
  <c r="B474" i="575"/>
  <c r="B473" i="575"/>
  <c r="B472" i="575"/>
  <c r="B471" i="575"/>
  <c r="B470" i="575"/>
  <c r="B469" i="575"/>
  <c r="B468" i="575"/>
  <c r="B467" i="575"/>
  <c r="B466" i="575"/>
  <c r="B465" i="575"/>
  <c r="B464" i="575"/>
  <c r="B463" i="575"/>
  <c r="B462" i="575"/>
  <c r="B461" i="575"/>
  <c r="B460" i="575"/>
  <c r="B459" i="575"/>
  <c r="B458" i="575"/>
  <c r="B457" i="575"/>
  <c r="B456" i="575"/>
  <c r="B455" i="575"/>
  <c r="B454" i="575"/>
  <c r="B453" i="575"/>
  <c r="B452" i="575"/>
  <c r="B451" i="575"/>
  <c r="B450" i="575"/>
  <c r="B449" i="575"/>
  <c r="B448" i="575"/>
  <c r="B447" i="575"/>
  <c r="B446" i="575"/>
  <c r="B445" i="575"/>
  <c r="B444" i="575"/>
  <c r="B443" i="575"/>
  <c r="B442" i="575"/>
  <c r="B441" i="575"/>
  <c r="B440" i="575"/>
  <c r="B439" i="575"/>
  <c r="B438" i="575"/>
  <c r="B437" i="575"/>
  <c r="B436" i="575"/>
  <c r="B435" i="575"/>
  <c r="B434" i="575"/>
  <c r="B433" i="575"/>
  <c r="B432" i="575"/>
  <c r="B431" i="575"/>
  <c r="B430" i="575"/>
  <c r="B429" i="575"/>
  <c r="B428" i="575"/>
  <c r="B427" i="575"/>
  <c r="B426" i="575"/>
  <c r="B425" i="575"/>
  <c r="B424" i="575"/>
  <c r="B423" i="575"/>
  <c r="B422" i="575"/>
  <c r="B421" i="575"/>
  <c r="B420" i="575"/>
  <c r="B419" i="575"/>
  <c r="B418" i="575"/>
  <c r="B417" i="575"/>
  <c r="B416" i="575"/>
  <c r="B415" i="575"/>
  <c r="B414" i="575"/>
  <c r="B413" i="575"/>
  <c r="B412" i="575"/>
  <c r="B411" i="575"/>
  <c r="B410" i="575"/>
  <c r="B409" i="575"/>
  <c r="B408" i="575"/>
  <c r="B407" i="575"/>
  <c r="B406" i="575"/>
  <c r="B405" i="575"/>
  <c r="B404" i="575"/>
  <c r="B403" i="575"/>
  <c r="B402" i="575"/>
  <c r="B401" i="575"/>
  <c r="B400" i="575"/>
  <c r="B399" i="575"/>
  <c r="B398" i="575"/>
  <c r="B397" i="575"/>
  <c r="B396" i="575"/>
  <c r="B395" i="575"/>
  <c r="B394" i="575"/>
  <c r="B393" i="575"/>
  <c r="B392" i="575"/>
  <c r="B391" i="575"/>
  <c r="B390" i="575"/>
  <c r="B389" i="575"/>
  <c r="B388" i="575"/>
  <c r="B387" i="575"/>
  <c r="B386" i="575"/>
  <c r="B385" i="575"/>
  <c r="B384" i="575"/>
  <c r="B383" i="575"/>
  <c r="B382" i="575"/>
  <c r="B381" i="575"/>
  <c r="B380" i="575"/>
  <c r="B379" i="575"/>
  <c r="B378" i="575"/>
  <c r="B377" i="575"/>
  <c r="B376" i="575"/>
  <c r="B375" i="575"/>
  <c r="B374" i="575"/>
  <c r="B373" i="575"/>
  <c r="B372" i="575"/>
  <c r="B371" i="575"/>
  <c r="B370" i="575"/>
  <c r="B369" i="575"/>
  <c r="B368" i="575"/>
  <c r="B367" i="575"/>
  <c r="B366" i="575"/>
  <c r="B365" i="575"/>
  <c r="B364" i="575"/>
  <c r="B363" i="575"/>
  <c r="B362" i="575"/>
  <c r="B361" i="575"/>
  <c r="B360" i="575"/>
  <c r="B359" i="575"/>
  <c r="B358" i="575"/>
  <c r="B357" i="575"/>
  <c r="B356" i="575"/>
  <c r="B355" i="575"/>
  <c r="B354" i="575"/>
  <c r="B353" i="575"/>
  <c r="B352" i="575"/>
  <c r="B351" i="575"/>
  <c r="B350" i="575"/>
  <c r="B349" i="575"/>
  <c r="B348" i="575"/>
  <c r="B347" i="575"/>
  <c r="B346" i="575"/>
  <c r="B345" i="575"/>
  <c r="B344" i="575"/>
  <c r="B343" i="575"/>
  <c r="B342" i="575"/>
  <c r="B341" i="575"/>
  <c r="B340" i="575"/>
  <c r="B339" i="575"/>
  <c r="B338" i="575"/>
  <c r="B337" i="575"/>
  <c r="B336" i="575"/>
  <c r="B335" i="575"/>
  <c r="B334" i="575"/>
  <c r="B333" i="575"/>
  <c r="B332" i="575"/>
  <c r="B331" i="575"/>
  <c r="B330" i="575"/>
  <c r="B329" i="575"/>
  <c r="B328" i="575"/>
  <c r="B327" i="575"/>
  <c r="B326" i="575"/>
  <c r="B325" i="575"/>
  <c r="B324" i="575"/>
  <c r="B323" i="575"/>
  <c r="B322" i="575"/>
  <c r="B321" i="575"/>
  <c r="B320" i="575"/>
  <c r="B319" i="575"/>
  <c r="B318" i="575"/>
  <c r="B317" i="575"/>
  <c r="B316" i="575"/>
  <c r="B315" i="575"/>
  <c r="B314" i="575"/>
  <c r="B313" i="575"/>
  <c r="B312" i="575"/>
  <c r="B311" i="575"/>
  <c r="B310" i="575"/>
  <c r="B309" i="575"/>
  <c r="B308" i="575"/>
  <c r="B307" i="575"/>
  <c r="B306" i="575"/>
  <c r="B305" i="575"/>
  <c r="B304" i="575"/>
  <c r="B303" i="575"/>
  <c r="B302" i="575"/>
  <c r="B301" i="575"/>
  <c r="B300" i="575"/>
  <c r="B299" i="575"/>
  <c r="B298" i="575"/>
  <c r="B297" i="575"/>
  <c r="B296" i="575"/>
  <c r="B295" i="575"/>
  <c r="B294" i="575"/>
  <c r="B293" i="575"/>
  <c r="B292" i="575"/>
  <c r="B291" i="575"/>
  <c r="B290" i="575"/>
  <c r="B289" i="575"/>
  <c r="B288" i="575"/>
  <c r="B287" i="575"/>
  <c r="B286" i="575"/>
  <c r="B285" i="575"/>
  <c r="B284" i="575"/>
  <c r="B283" i="575"/>
  <c r="B282" i="575"/>
  <c r="B281" i="575"/>
  <c r="B280" i="575"/>
  <c r="B279" i="575"/>
  <c r="B278" i="575"/>
  <c r="B277" i="575"/>
  <c r="B276" i="575"/>
  <c r="B275" i="575"/>
  <c r="B274" i="575"/>
  <c r="B273" i="575"/>
  <c r="B272" i="575"/>
  <c r="B271" i="575"/>
  <c r="B270" i="575"/>
  <c r="B269" i="575"/>
  <c r="B268" i="575"/>
  <c r="B267" i="575"/>
  <c r="B266" i="575"/>
  <c r="B265" i="575"/>
  <c r="B264" i="575"/>
  <c r="B263" i="575"/>
  <c r="B262" i="575"/>
  <c r="B261" i="575"/>
  <c r="B260" i="575"/>
  <c r="B259" i="575"/>
  <c r="B258" i="575"/>
  <c r="B257" i="575"/>
  <c r="B256" i="575"/>
  <c r="B255" i="575"/>
  <c r="B254" i="575"/>
  <c r="B253" i="575"/>
  <c r="B252" i="575"/>
  <c r="B251" i="575"/>
  <c r="B250" i="575"/>
  <c r="B249" i="575"/>
  <c r="B248" i="575"/>
  <c r="B247" i="575"/>
  <c r="B246" i="575"/>
  <c r="B245" i="575"/>
  <c r="B244" i="575"/>
  <c r="B243" i="575"/>
  <c r="B242" i="575"/>
  <c r="B241" i="575"/>
  <c r="B240" i="575"/>
  <c r="B239" i="575"/>
  <c r="B238" i="575"/>
  <c r="B237" i="575"/>
  <c r="B236" i="575"/>
  <c r="B235" i="575"/>
  <c r="B234" i="575"/>
  <c r="B233" i="575"/>
  <c r="B232" i="575"/>
  <c r="B231" i="575"/>
  <c r="B230" i="575"/>
  <c r="B229" i="575"/>
  <c r="B228" i="575"/>
  <c r="B227" i="575"/>
  <c r="B226" i="575"/>
  <c r="B225" i="575"/>
  <c r="B224" i="575"/>
  <c r="B223" i="575"/>
  <c r="B222" i="575"/>
  <c r="B221" i="575"/>
  <c r="B220" i="575"/>
  <c r="B219" i="575"/>
  <c r="B218" i="575"/>
  <c r="B217" i="575"/>
  <c r="B216" i="575"/>
  <c r="B215" i="575"/>
  <c r="B214" i="575"/>
  <c r="B213" i="575"/>
  <c r="B212" i="575"/>
  <c r="B211" i="575"/>
  <c r="B210" i="575"/>
  <c r="B209" i="575"/>
  <c r="B208" i="575"/>
  <c r="B207" i="575"/>
  <c r="B206" i="575"/>
  <c r="B205" i="575"/>
  <c r="B204" i="575"/>
  <c r="B203" i="575"/>
  <c r="B202" i="575"/>
  <c r="B201" i="575"/>
  <c r="B200" i="575"/>
  <c r="B199" i="575"/>
  <c r="B198" i="575"/>
  <c r="B197" i="575"/>
  <c r="B196" i="575"/>
  <c r="B195" i="575"/>
  <c r="B194" i="575"/>
  <c r="B193" i="575"/>
  <c r="B192" i="575"/>
  <c r="B191" i="575"/>
  <c r="B190" i="575"/>
  <c r="B189" i="575"/>
  <c r="B188" i="575"/>
  <c r="B187" i="575"/>
  <c r="B186" i="575"/>
  <c r="B185" i="575"/>
  <c r="B184" i="575"/>
  <c r="B183" i="575"/>
  <c r="B182" i="575"/>
  <c r="B181" i="575"/>
  <c r="B180" i="575"/>
  <c r="B179" i="575"/>
  <c r="B178" i="575"/>
  <c r="B177" i="575"/>
  <c r="B176" i="575"/>
  <c r="B175" i="575"/>
  <c r="B174" i="575"/>
  <c r="B173" i="575"/>
  <c r="B172" i="575"/>
  <c r="B171" i="575"/>
  <c r="B170" i="575"/>
  <c r="B169" i="575"/>
  <c r="B168" i="575"/>
  <c r="B167" i="575"/>
  <c r="B166" i="575"/>
  <c r="B165" i="575"/>
  <c r="B164" i="575"/>
  <c r="B163" i="575"/>
  <c r="B162" i="575"/>
  <c r="B161" i="575"/>
  <c r="B160" i="575"/>
  <c r="B159" i="575"/>
  <c r="B158" i="575"/>
  <c r="B157" i="575"/>
  <c r="B156" i="575"/>
  <c r="B155" i="575"/>
  <c r="B154" i="575"/>
  <c r="B153" i="575"/>
  <c r="B152" i="575"/>
  <c r="B151" i="575"/>
  <c r="B150" i="575"/>
  <c r="B149" i="575"/>
  <c r="B148" i="575"/>
  <c r="B147" i="575"/>
  <c r="B146" i="575"/>
  <c r="B145" i="575"/>
  <c r="B144" i="575"/>
  <c r="B143" i="575"/>
  <c r="B142" i="575"/>
  <c r="B141" i="575"/>
  <c r="B140" i="575"/>
  <c r="B139" i="575"/>
  <c r="B138" i="575"/>
  <c r="B137" i="575"/>
  <c r="B136" i="575"/>
  <c r="B135" i="575"/>
  <c r="B134" i="575"/>
  <c r="B133" i="575"/>
  <c r="B132" i="575"/>
  <c r="B131" i="575"/>
  <c r="B130" i="575"/>
  <c r="B129" i="575"/>
  <c r="B128" i="575"/>
  <c r="B127" i="575"/>
  <c r="B126" i="575"/>
  <c r="B125" i="575"/>
  <c r="B124" i="575"/>
  <c r="B123" i="575"/>
  <c r="B122" i="575"/>
  <c r="B121" i="575"/>
  <c r="B120" i="575"/>
  <c r="B119" i="575"/>
  <c r="B118" i="575"/>
  <c r="B117" i="575"/>
  <c r="B116" i="575"/>
  <c r="B115" i="575"/>
  <c r="B114" i="575"/>
  <c r="B113" i="575"/>
  <c r="B112" i="575"/>
  <c r="B111" i="575"/>
  <c r="B110" i="575"/>
  <c r="B109" i="575"/>
  <c r="B108" i="575"/>
  <c r="B107" i="575"/>
  <c r="B106" i="575"/>
  <c r="B105" i="575"/>
  <c r="B104" i="575"/>
  <c r="B103" i="575"/>
  <c r="B102" i="575"/>
  <c r="B101" i="575"/>
  <c r="B100" i="575"/>
  <c r="B99" i="575"/>
  <c r="B98" i="575"/>
  <c r="B97" i="575"/>
  <c r="B96" i="575"/>
  <c r="B95" i="575"/>
  <c r="B94" i="575"/>
  <c r="B93" i="575"/>
  <c r="B92" i="575"/>
  <c r="B91" i="575"/>
  <c r="B90" i="575"/>
  <c r="B89" i="575"/>
  <c r="B88" i="575"/>
  <c r="B87" i="575"/>
  <c r="B86" i="575"/>
  <c r="B85" i="575"/>
  <c r="B84" i="575"/>
  <c r="B83" i="575"/>
  <c r="B82" i="575"/>
  <c r="B81" i="575"/>
  <c r="B80" i="575"/>
  <c r="B79" i="575"/>
  <c r="B78" i="575"/>
  <c r="B77" i="575"/>
  <c r="B76" i="575"/>
  <c r="B75" i="575"/>
  <c r="B74" i="575"/>
  <c r="B73" i="575"/>
  <c r="B72" i="575"/>
  <c r="B71" i="575"/>
  <c r="B70" i="575"/>
  <c r="B69" i="575"/>
  <c r="B68" i="575"/>
  <c r="B67" i="575"/>
  <c r="B66" i="575"/>
  <c r="B65" i="575"/>
  <c r="B64" i="575"/>
  <c r="B63" i="575"/>
  <c r="B62" i="575"/>
  <c r="B61" i="575"/>
  <c r="B60" i="575"/>
  <c r="B59" i="575"/>
  <c r="B58" i="575"/>
  <c r="B57" i="575"/>
  <c r="B56" i="575"/>
  <c r="B55" i="575"/>
  <c r="B54" i="575"/>
  <c r="B53" i="575"/>
  <c r="B52" i="575"/>
  <c r="B51" i="575"/>
  <c r="B50" i="575"/>
  <c r="B49" i="575"/>
  <c r="B48" i="575"/>
  <c r="B47" i="575"/>
  <c r="B46" i="575"/>
  <c r="B45" i="575"/>
  <c r="B44" i="575"/>
  <c r="B43" i="575"/>
  <c r="B42" i="575"/>
  <c r="B41" i="575"/>
  <c r="B40" i="575"/>
  <c r="B39" i="575"/>
  <c r="B38" i="575"/>
  <c r="B37" i="575"/>
  <c r="B36" i="575"/>
  <c r="B35" i="575"/>
  <c r="B34" i="575"/>
  <c r="B33" i="575"/>
  <c r="B32" i="575"/>
  <c r="B31" i="575"/>
  <c r="B30" i="575"/>
  <c r="B29" i="575"/>
  <c r="B28" i="575"/>
  <c r="B27" i="575"/>
  <c r="B26" i="575"/>
  <c r="B25" i="575"/>
  <c r="B24" i="575"/>
  <c r="B23" i="575"/>
  <c r="B22" i="575"/>
  <c r="B21" i="575"/>
  <c r="B20" i="575"/>
  <c r="B19" i="575"/>
  <c r="B18" i="575"/>
  <c r="B17" i="575"/>
  <c r="B16" i="575"/>
  <c r="B15" i="575"/>
  <c r="B14" i="575"/>
  <c r="B13" i="575"/>
  <c r="B12" i="575"/>
  <c r="B11" i="575"/>
  <c r="B10" i="575"/>
  <c r="B9" i="575"/>
  <c r="B8" i="575"/>
  <c r="B7" i="575"/>
  <c r="B6" i="575"/>
  <c r="B5" i="575"/>
  <c r="B4" i="575"/>
  <c r="B3" i="575"/>
  <c r="B2" i="575"/>
  <c r="B1" i="575"/>
  <c r="G132" i="142" l="1"/>
  <c r="H123" i="142" l="1"/>
  <c r="B1228" i="568" l="1"/>
  <c r="B1227" i="568"/>
  <c r="B1226" i="568"/>
  <c r="B1225" i="568"/>
  <c r="B1224" i="568"/>
  <c r="B1223" i="568"/>
  <c r="B1222" i="568"/>
  <c r="B1221" i="568"/>
  <c r="B1220" i="568"/>
  <c r="B1219" i="568"/>
  <c r="B1218" i="568"/>
  <c r="B1217" i="568"/>
  <c r="B1216" i="568"/>
  <c r="B1215" i="568"/>
  <c r="B1214" i="568"/>
  <c r="B1213" i="568"/>
  <c r="B1212" i="568"/>
  <c r="B1211" i="568"/>
  <c r="B1210" i="568"/>
  <c r="B1209" i="568"/>
  <c r="B1208" i="568"/>
  <c r="B1207" i="568"/>
  <c r="B1206" i="568"/>
  <c r="B1205" i="568"/>
  <c r="B1204" i="568"/>
  <c r="B1203" i="568"/>
  <c r="B1202" i="568"/>
  <c r="B1201" i="568"/>
  <c r="B1200" i="568"/>
  <c r="B1199" i="568"/>
  <c r="B1198" i="568"/>
  <c r="B1197" i="568"/>
  <c r="B1196" i="568"/>
  <c r="B1195" i="568"/>
  <c r="B1194" i="568"/>
  <c r="B1193" i="568"/>
  <c r="B1192" i="568"/>
  <c r="B1191" i="568"/>
  <c r="B1190" i="568"/>
  <c r="B1189" i="568"/>
  <c r="B1188" i="568"/>
  <c r="B1187" i="568"/>
  <c r="B1186" i="568"/>
  <c r="B1185" i="568"/>
  <c r="B1184" i="568"/>
  <c r="B1183" i="568"/>
  <c r="B1182" i="568"/>
  <c r="B1181" i="568"/>
  <c r="B1180" i="568"/>
  <c r="B1179" i="568"/>
  <c r="B1178" i="568"/>
  <c r="B1177" i="568"/>
  <c r="B1176" i="568"/>
  <c r="B1175" i="568"/>
  <c r="B1174" i="568"/>
  <c r="B1173" i="568"/>
  <c r="B1172" i="568"/>
  <c r="B1171" i="568"/>
  <c r="B1170" i="568"/>
  <c r="B1169" i="568"/>
  <c r="B1168" i="568"/>
  <c r="B1167" i="568"/>
  <c r="B1166" i="568"/>
  <c r="B1165" i="568"/>
  <c r="B1164" i="568"/>
  <c r="B1163" i="568"/>
  <c r="B1162" i="568"/>
  <c r="B1161" i="568"/>
  <c r="B1160" i="568"/>
  <c r="B1159" i="568"/>
  <c r="B1158" i="568"/>
  <c r="B1157" i="568"/>
  <c r="B1156" i="568"/>
  <c r="B1155" i="568"/>
  <c r="B1154" i="568"/>
  <c r="B1153" i="568"/>
  <c r="B1152" i="568"/>
  <c r="B1151" i="568"/>
  <c r="B1150" i="568"/>
  <c r="B1149" i="568"/>
  <c r="B1148" i="568"/>
  <c r="B1147" i="568"/>
  <c r="B1146" i="568"/>
  <c r="B1145" i="568"/>
  <c r="B1144" i="568"/>
  <c r="B1143" i="568"/>
  <c r="B1142" i="568"/>
  <c r="B1141" i="568"/>
  <c r="B1140" i="568"/>
  <c r="B1139" i="568"/>
  <c r="B1138" i="568"/>
  <c r="B1137" i="568"/>
  <c r="B1136" i="568"/>
  <c r="B1135" i="568"/>
  <c r="B1134" i="568"/>
  <c r="B1133" i="568"/>
  <c r="B1132" i="568"/>
  <c r="B1131" i="568"/>
  <c r="B1130" i="568"/>
  <c r="B1129" i="568"/>
  <c r="B1128" i="568"/>
  <c r="B1127" i="568"/>
  <c r="B1126" i="568"/>
  <c r="B1125" i="568"/>
  <c r="B1124" i="568"/>
  <c r="B1123" i="568"/>
  <c r="B1122" i="568"/>
  <c r="B1121" i="568"/>
  <c r="B1120" i="568"/>
  <c r="B1119" i="568"/>
  <c r="B1118" i="568"/>
  <c r="B1117" i="568"/>
  <c r="B1116" i="568"/>
  <c r="B1115" i="568"/>
  <c r="B1114" i="568"/>
  <c r="B1113" i="568"/>
  <c r="B1112" i="568"/>
  <c r="B1111" i="568"/>
  <c r="B1110" i="568"/>
  <c r="B1109" i="568"/>
  <c r="B1108" i="568"/>
  <c r="B1107" i="568"/>
  <c r="B1106" i="568"/>
  <c r="B1105" i="568"/>
  <c r="B1104" i="568"/>
  <c r="B1103" i="568"/>
  <c r="B1102" i="568"/>
  <c r="B1101" i="568"/>
  <c r="B1100" i="568"/>
  <c r="B1099" i="568"/>
  <c r="B1098" i="568"/>
  <c r="B1097" i="568"/>
  <c r="B1096" i="568"/>
  <c r="B1095" i="568"/>
  <c r="B1094" i="568"/>
  <c r="B1093" i="568"/>
  <c r="B1092" i="568"/>
  <c r="B1091" i="568"/>
  <c r="B1090" i="568"/>
  <c r="B1089" i="568"/>
  <c r="B1088" i="568"/>
  <c r="B1087" i="568"/>
  <c r="B1086" i="568"/>
  <c r="B1085" i="568"/>
  <c r="B1084" i="568"/>
  <c r="B1083" i="568"/>
  <c r="B1082" i="568"/>
  <c r="B1081" i="568"/>
  <c r="B1080" i="568"/>
  <c r="B1079" i="568"/>
  <c r="B1078" i="568"/>
  <c r="B1077" i="568"/>
  <c r="B1076" i="568"/>
  <c r="B1075" i="568"/>
  <c r="B1074" i="568"/>
  <c r="B1073" i="568"/>
  <c r="B1072" i="568"/>
  <c r="B1071" i="568"/>
  <c r="B1070" i="568"/>
  <c r="B1069" i="568"/>
  <c r="B1068" i="568"/>
  <c r="B1067" i="568"/>
  <c r="B1066" i="568"/>
  <c r="B1065" i="568"/>
  <c r="B1064" i="568"/>
  <c r="B1063" i="568"/>
  <c r="B1062" i="568"/>
  <c r="B1061" i="568"/>
  <c r="B1060" i="568"/>
  <c r="B1059" i="568"/>
  <c r="B1058" i="568"/>
  <c r="B1057" i="568"/>
  <c r="B1056" i="568"/>
  <c r="B1055" i="568"/>
  <c r="B1054" i="568"/>
  <c r="B1053" i="568"/>
  <c r="B1052" i="568"/>
  <c r="B1051" i="568"/>
  <c r="B1050" i="568"/>
  <c r="B1049" i="568"/>
  <c r="B1048" i="568"/>
  <c r="B1047" i="568"/>
  <c r="B1046" i="568"/>
  <c r="B1045" i="568"/>
  <c r="B1044" i="568"/>
  <c r="B1043" i="568"/>
  <c r="B1042" i="568"/>
  <c r="B1041" i="568"/>
  <c r="B1040" i="568"/>
  <c r="B1039" i="568"/>
  <c r="B1038" i="568"/>
  <c r="B1037" i="568"/>
  <c r="B1036" i="568"/>
  <c r="B1035" i="568"/>
  <c r="B1034" i="568"/>
  <c r="B1033" i="568"/>
  <c r="B1032" i="568"/>
  <c r="B1031" i="568"/>
  <c r="B1030" i="568"/>
  <c r="B1029" i="568"/>
  <c r="B1028" i="568"/>
  <c r="B1027" i="568"/>
  <c r="B1026" i="568"/>
  <c r="B1025" i="568"/>
  <c r="B1024" i="568"/>
  <c r="B1023" i="568"/>
  <c r="B1022" i="568"/>
  <c r="B1021" i="568"/>
  <c r="B1020" i="568"/>
  <c r="B1019" i="568"/>
  <c r="B1018" i="568"/>
  <c r="B1017" i="568"/>
  <c r="B1016" i="568"/>
  <c r="B1015" i="568"/>
  <c r="B1014" i="568"/>
  <c r="B1013" i="568"/>
  <c r="B1012" i="568"/>
  <c r="B1011" i="568"/>
  <c r="B1010" i="568"/>
  <c r="B1009" i="568"/>
  <c r="B1008" i="568"/>
  <c r="B1007" i="568"/>
  <c r="B1006" i="568"/>
  <c r="B1005" i="568"/>
  <c r="B1004" i="568"/>
  <c r="B1003" i="568"/>
  <c r="B1002" i="568"/>
  <c r="B1001" i="568"/>
  <c r="B1000" i="568"/>
  <c r="B999" i="568"/>
  <c r="B998" i="568"/>
  <c r="B997" i="568"/>
  <c r="B996" i="568"/>
  <c r="B995" i="568"/>
  <c r="B994" i="568"/>
  <c r="B993" i="568"/>
  <c r="B992" i="568"/>
  <c r="B991" i="568"/>
  <c r="B990" i="568"/>
  <c r="B989" i="568"/>
  <c r="B988" i="568"/>
  <c r="B987" i="568"/>
  <c r="B986" i="568"/>
  <c r="B985" i="568"/>
  <c r="B984" i="568"/>
  <c r="B983" i="568"/>
  <c r="B982" i="568"/>
  <c r="B981" i="568"/>
  <c r="B980" i="568"/>
  <c r="B979" i="568"/>
  <c r="B978" i="568"/>
  <c r="B977" i="568"/>
  <c r="B976" i="568"/>
  <c r="B975" i="568"/>
  <c r="B974" i="568"/>
  <c r="B973" i="568"/>
  <c r="B972" i="568"/>
  <c r="B971" i="568"/>
  <c r="B970" i="568"/>
  <c r="B969" i="568"/>
  <c r="B968" i="568"/>
  <c r="B967" i="568"/>
  <c r="B966" i="568"/>
  <c r="B965" i="568"/>
  <c r="B964" i="568"/>
  <c r="B963" i="568"/>
  <c r="B962" i="568"/>
  <c r="B961" i="568"/>
  <c r="B960" i="568"/>
  <c r="B959" i="568"/>
  <c r="B958" i="568"/>
  <c r="B957" i="568"/>
  <c r="B956" i="568"/>
  <c r="B955" i="568"/>
  <c r="B954" i="568"/>
  <c r="B953" i="568"/>
  <c r="B952" i="568"/>
  <c r="B951" i="568"/>
  <c r="B950" i="568"/>
  <c r="B949" i="568"/>
  <c r="B948" i="568"/>
  <c r="B947" i="568"/>
  <c r="B946" i="568"/>
  <c r="B945" i="568"/>
  <c r="B944" i="568"/>
  <c r="B943" i="568"/>
  <c r="B942" i="568"/>
  <c r="B941" i="568"/>
  <c r="B940" i="568"/>
  <c r="B939" i="568"/>
  <c r="B938" i="568"/>
  <c r="B937" i="568"/>
  <c r="B936" i="568"/>
  <c r="B935" i="568"/>
  <c r="B934" i="568"/>
  <c r="B933" i="568"/>
  <c r="B932" i="568"/>
  <c r="B931" i="568"/>
  <c r="B930" i="568"/>
  <c r="B929" i="568"/>
  <c r="B928" i="568"/>
  <c r="B927" i="568"/>
  <c r="B926" i="568"/>
  <c r="B925" i="568"/>
  <c r="B924" i="568"/>
  <c r="B923" i="568"/>
  <c r="B922" i="568"/>
  <c r="B921" i="568"/>
  <c r="B920" i="568"/>
  <c r="B919" i="568"/>
  <c r="B918" i="568"/>
  <c r="B917" i="568"/>
  <c r="B916" i="568"/>
  <c r="B915" i="568"/>
  <c r="B914" i="568"/>
  <c r="B913" i="568"/>
  <c r="B912" i="568"/>
  <c r="B911" i="568"/>
  <c r="B910" i="568"/>
  <c r="B909" i="568"/>
  <c r="B908" i="568"/>
  <c r="B907" i="568"/>
  <c r="B906" i="568"/>
  <c r="B905" i="568"/>
  <c r="B904" i="568"/>
  <c r="B903" i="568"/>
  <c r="B902" i="568"/>
  <c r="B901" i="568"/>
  <c r="B900" i="568"/>
  <c r="B899" i="568"/>
  <c r="B898" i="568"/>
  <c r="B897" i="568"/>
  <c r="B896" i="568"/>
  <c r="B895" i="568"/>
  <c r="B894" i="568"/>
  <c r="B893" i="568"/>
  <c r="B892" i="568"/>
  <c r="B891" i="568"/>
  <c r="B890" i="568"/>
  <c r="B889" i="568"/>
  <c r="B888" i="568"/>
  <c r="B887" i="568"/>
  <c r="B886" i="568"/>
  <c r="B885" i="568"/>
  <c r="B884" i="568"/>
  <c r="B883" i="568"/>
  <c r="B882" i="568"/>
  <c r="B881" i="568"/>
  <c r="B880" i="568"/>
  <c r="B879" i="568"/>
  <c r="B878" i="568"/>
  <c r="B877" i="568"/>
  <c r="B876" i="568"/>
  <c r="B875" i="568"/>
  <c r="B874" i="568"/>
  <c r="B873" i="568"/>
  <c r="B872" i="568"/>
  <c r="B871" i="568"/>
  <c r="B870" i="568"/>
  <c r="B869" i="568"/>
  <c r="B868" i="568"/>
  <c r="B867" i="568"/>
  <c r="B866" i="568"/>
  <c r="B865" i="568"/>
  <c r="B864" i="568"/>
  <c r="B863" i="568"/>
  <c r="B862" i="568"/>
  <c r="B861" i="568"/>
  <c r="B860" i="568"/>
  <c r="B859" i="568"/>
  <c r="B858" i="568"/>
  <c r="B857" i="568"/>
  <c r="B856" i="568"/>
  <c r="B855" i="568"/>
  <c r="B854" i="568"/>
  <c r="B853" i="568"/>
  <c r="B852" i="568"/>
  <c r="B851" i="568"/>
  <c r="B850" i="568"/>
  <c r="B849" i="568"/>
  <c r="B848" i="568"/>
  <c r="B847" i="568"/>
  <c r="B846" i="568"/>
  <c r="B845" i="568"/>
  <c r="B844" i="568"/>
  <c r="B843" i="568"/>
  <c r="B842" i="568"/>
  <c r="B841" i="568"/>
  <c r="B840" i="568"/>
  <c r="B839" i="568"/>
  <c r="B838" i="568"/>
  <c r="B837" i="568"/>
  <c r="B836" i="568"/>
  <c r="B835" i="568"/>
  <c r="B834" i="568"/>
  <c r="B833" i="568"/>
  <c r="B832" i="568"/>
  <c r="B831" i="568"/>
  <c r="B830" i="568"/>
  <c r="B829" i="568"/>
  <c r="B828" i="568"/>
  <c r="B827" i="568"/>
  <c r="B826" i="568"/>
  <c r="B825" i="568"/>
  <c r="B824" i="568"/>
  <c r="B823" i="568"/>
  <c r="B822" i="568"/>
  <c r="B821" i="568"/>
  <c r="B820" i="568"/>
  <c r="B819" i="568"/>
  <c r="B818" i="568"/>
  <c r="B817" i="568"/>
  <c r="B816" i="568"/>
  <c r="B815" i="568"/>
  <c r="B814" i="568"/>
  <c r="B813" i="568"/>
  <c r="B812" i="568"/>
  <c r="B811" i="568"/>
  <c r="B810" i="568"/>
  <c r="B809" i="568"/>
  <c r="B808" i="568"/>
  <c r="B807" i="568"/>
  <c r="B806" i="568"/>
  <c r="B805" i="568"/>
  <c r="B804" i="568"/>
  <c r="B803" i="568"/>
  <c r="B802" i="568"/>
  <c r="B801" i="568"/>
  <c r="B800" i="568"/>
  <c r="B799" i="568"/>
  <c r="B798" i="568"/>
  <c r="B797" i="568"/>
  <c r="B796" i="568"/>
  <c r="B795" i="568"/>
  <c r="B794" i="568"/>
  <c r="B793" i="568"/>
  <c r="B792" i="568"/>
  <c r="B791" i="568"/>
  <c r="B790" i="568"/>
  <c r="B789" i="568"/>
  <c r="B788" i="568"/>
  <c r="B787" i="568"/>
  <c r="B786" i="568"/>
  <c r="B785" i="568"/>
  <c r="B784" i="568"/>
  <c r="B783" i="568"/>
  <c r="B782" i="568"/>
  <c r="B781" i="568"/>
  <c r="B780" i="568"/>
  <c r="B779" i="568"/>
  <c r="B778" i="568"/>
  <c r="B777" i="568"/>
  <c r="B776" i="568"/>
  <c r="B775" i="568"/>
  <c r="B774" i="568"/>
  <c r="B773" i="568"/>
  <c r="B772" i="568"/>
  <c r="B771" i="568"/>
  <c r="B770" i="568"/>
  <c r="B769" i="568"/>
  <c r="B768" i="568"/>
  <c r="B767" i="568"/>
  <c r="B766" i="568"/>
  <c r="B765" i="568"/>
  <c r="B764" i="568"/>
  <c r="B763" i="568"/>
  <c r="B762" i="568"/>
  <c r="B761" i="568"/>
  <c r="B760" i="568"/>
  <c r="B759" i="568"/>
  <c r="B758" i="568"/>
  <c r="B757" i="568"/>
  <c r="B756" i="568"/>
  <c r="B755" i="568"/>
  <c r="B754" i="568"/>
  <c r="B753" i="568"/>
  <c r="B752" i="568"/>
  <c r="B751" i="568"/>
  <c r="B750" i="568"/>
  <c r="B749" i="568"/>
  <c r="B748" i="568"/>
  <c r="B747" i="568"/>
  <c r="B746" i="568"/>
  <c r="B745" i="568"/>
  <c r="B744" i="568"/>
  <c r="B743" i="568"/>
  <c r="B742" i="568"/>
  <c r="B741" i="568"/>
  <c r="B740" i="568"/>
  <c r="B739" i="568"/>
  <c r="B738" i="568"/>
  <c r="B737" i="568"/>
  <c r="B736" i="568"/>
  <c r="B735" i="568"/>
  <c r="B734" i="568"/>
  <c r="B733" i="568"/>
  <c r="B732" i="568"/>
  <c r="B731" i="568"/>
  <c r="B730" i="568"/>
  <c r="B729" i="568"/>
  <c r="B728" i="568"/>
  <c r="B727" i="568"/>
  <c r="B726" i="568"/>
  <c r="B725" i="568"/>
  <c r="B724" i="568"/>
  <c r="B723" i="568"/>
  <c r="B722" i="568"/>
  <c r="B721" i="568"/>
  <c r="B720" i="568"/>
  <c r="B719" i="568"/>
  <c r="B718" i="568"/>
  <c r="B717" i="568"/>
  <c r="B716" i="568"/>
  <c r="B715" i="568"/>
  <c r="B714" i="568"/>
  <c r="B713" i="568"/>
  <c r="B712" i="568"/>
  <c r="B711" i="568"/>
  <c r="B710" i="568"/>
  <c r="B709" i="568"/>
  <c r="B708" i="568"/>
  <c r="B707" i="568"/>
  <c r="B706" i="568"/>
  <c r="B705" i="568"/>
  <c r="B704" i="568"/>
  <c r="B703" i="568"/>
  <c r="B702" i="568"/>
  <c r="B701" i="568"/>
  <c r="B700" i="568"/>
  <c r="B699" i="568"/>
  <c r="B698" i="568"/>
  <c r="B697" i="568"/>
  <c r="B696" i="568"/>
  <c r="B695" i="568"/>
  <c r="B694" i="568"/>
  <c r="B693" i="568"/>
  <c r="B692" i="568"/>
  <c r="B691" i="568"/>
  <c r="B690" i="568"/>
  <c r="B689" i="568"/>
  <c r="B688" i="568"/>
  <c r="B687" i="568"/>
  <c r="B686" i="568"/>
  <c r="B685" i="568"/>
  <c r="B684" i="568"/>
  <c r="B683" i="568"/>
  <c r="B682" i="568"/>
  <c r="B681" i="568"/>
  <c r="B680" i="568"/>
  <c r="B679" i="568"/>
  <c r="B678" i="568"/>
  <c r="B677" i="568"/>
  <c r="B676" i="568"/>
  <c r="B675" i="568"/>
  <c r="B674" i="568"/>
  <c r="B673" i="568"/>
  <c r="B672" i="568"/>
  <c r="B671" i="568"/>
  <c r="B670" i="568"/>
  <c r="B669" i="568"/>
  <c r="B668" i="568"/>
  <c r="B667" i="568"/>
  <c r="B666" i="568"/>
  <c r="B665" i="568"/>
  <c r="B664" i="568"/>
  <c r="B663" i="568"/>
  <c r="B662" i="568"/>
  <c r="B661" i="568"/>
  <c r="B660" i="568"/>
  <c r="B659" i="568"/>
  <c r="B658" i="568"/>
  <c r="B657" i="568"/>
  <c r="B656" i="568"/>
  <c r="B655" i="568"/>
  <c r="B654" i="568"/>
  <c r="B653" i="568"/>
  <c r="B652" i="568"/>
  <c r="B651" i="568"/>
  <c r="B650" i="568"/>
  <c r="B649" i="568"/>
  <c r="B648" i="568"/>
  <c r="B647" i="568"/>
  <c r="B646" i="568"/>
  <c r="B645" i="568"/>
  <c r="B644" i="568"/>
  <c r="B643" i="568"/>
  <c r="B642" i="568"/>
  <c r="B641" i="568"/>
  <c r="B640" i="568"/>
  <c r="B639" i="568"/>
  <c r="B638" i="568"/>
  <c r="B637" i="568"/>
  <c r="B636" i="568"/>
  <c r="B635" i="568"/>
  <c r="B634" i="568"/>
  <c r="B633" i="568"/>
  <c r="B632" i="568"/>
  <c r="B631" i="568"/>
  <c r="B630" i="568"/>
  <c r="B629" i="568"/>
  <c r="B628" i="568"/>
  <c r="B627" i="568"/>
  <c r="B626" i="568"/>
  <c r="B625" i="568"/>
  <c r="B624" i="568"/>
  <c r="B623" i="568"/>
  <c r="B622" i="568"/>
  <c r="B621" i="568"/>
  <c r="B620" i="568"/>
  <c r="B619" i="568"/>
  <c r="B618" i="568"/>
  <c r="B617" i="568"/>
  <c r="B616" i="568"/>
  <c r="B615" i="568"/>
  <c r="B614" i="568"/>
  <c r="B613" i="568"/>
  <c r="B612" i="568"/>
  <c r="B611" i="568"/>
  <c r="B610" i="568"/>
  <c r="B609" i="568"/>
  <c r="B608" i="568"/>
  <c r="B607" i="568"/>
  <c r="B606" i="568"/>
  <c r="B605" i="568"/>
  <c r="B604" i="568"/>
  <c r="B603" i="568"/>
  <c r="B602" i="568"/>
  <c r="B601" i="568"/>
  <c r="B600" i="568"/>
  <c r="B599" i="568"/>
  <c r="B598" i="568"/>
  <c r="B597" i="568"/>
  <c r="B596" i="568"/>
  <c r="B595" i="568"/>
  <c r="B594" i="568"/>
  <c r="B593" i="568"/>
  <c r="B592" i="568"/>
  <c r="B591" i="568"/>
  <c r="B590" i="568"/>
  <c r="B589" i="568"/>
  <c r="B588" i="568"/>
  <c r="B587" i="568"/>
  <c r="B586" i="568"/>
  <c r="B585" i="568"/>
  <c r="B584" i="568"/>
  <c r="B583" i="568"/>
  <c r="B582" i="568"/>
  <c r="B581" i="568"/>
  <c r="B580" i="568"/>
  <c r="B579" i="568"/>
  <c r="B578" i="568"/>
  <c r="B577" i="568"/>
  <c r="B576" i="568"/>
  <c r="B575" i="568"/>
  <c r="B574" i="568"/>
  <c r="B573" i="568"/>
  <c r="B572" i="568"/>
  <c r="B571" i="568"/>
  <c r="B570" i="568"/>
  <c r="B569" i="568"/>
  <c r="B568" i="568"/>
  <c r="B567" i="568"/>
  <c r="B566" i="568"/>
  <c r="B565" i="568"/>
  <c r="B564" i="568"/>
  <c r="B563" i="568"/>
  <c r="B562" i="568"/>
  <c r="B561" i="568"/>
  <c r="B560" i="568"/>
  <c r="B559" i="568"/>
  <c r="B558" i="568"/>
  <c r="B557" i="568"/>
  <c r="B556" i="568"/>
  <c r="B555" i="568"/>
  <c r="B554" i="568"/>
  <c r="B553" i="568"/>
  <c r="B552" i="568"/>
  <c r="B551" i="568"/>
  <c r="B550" i="568"/>
  <c r="B549" i="568"/>
  <c r="B548" i="568"/>
  <c r="B547" i="568"/>
  <c r="B546" i="568"/>
  <c r="B545" i="568"/>
  <c r="B544" i="568"/>
  <c r="B543" i="568"/>
  <c r="B542" i="568"/>
  <c r="B541" i="568"/>
  <c r="B540" i="568"/>
  <c r="B539" i="568"/>
  <c r="B538" i="568"/>
  <c r="B537" i="568"/>
  <c r="B536" i="568"/>
  <c r="B535" i="568"/>
  <c r="B534" i="568"/>
  <c r="B533" i="568"/>
  <c r="B532" i="568"/>
  <c r="B531" i="568"/>
  <c r="B530" i="568"/>
  <c r="B529" i="568"/>
  <c r="B528" i="568"/>
  <c r="B527" i="568"/>
  <c r="B526" i="568"/>
  <c r="B525" i="568"/>
  <c r="B524" i="568"/>
  <c r="B523" i="568"/>
  <c r="B522" i="568"/>
  <c r="B521" i="568"/>
  <c r="B520" i="568"/>
  <c r="B519" i="568"/>
  <c r="B518" i="568"/>
  <c r="B517" i="568"/>
  <c r="B516" i="568"/>
  <c r="B515" i="568"/>
  <c r="B514" i="568"/>
  <c r="B513" i="568"/>
  <c r="B512" i="568"/>
  <c r="B511" i="568"/>
  <c r="B510" i="568"/>
  <c r="B509" i="568"/>
  <c r="B508" i="568"/>
  <c r="B507" i="568"/>
  <c r="B506" i="568"/>
  <c r="B505" i="568"/>
  <c r="B504" i="568"/>
  <c r="B503" i="568"/>
  <c r="B502" i="568"/>
  <c r="B501" i="568"/>
  <c r="B500" i="568"/>
  <c r="B499" i="568"/>
  <c r="B498" i="568"/>
  <c r="B497" i="568"/>
  <c r="B496" i="568"/>
  <c r="B495" i="568"/>
  <c r="B494" i="568"/>
  <c r="B493" i="568"/>
  <c r="B492" i="568"/>
  <c r="B491" i="568"/>
  <c r="B490" i="568"/>
  <c r="B489" i="568"/>
  <c r="B488" i="568"/>
  <c r="B487" i="568"/>
  <c r="B486" i="568"/>
  <c r="B485" i="568"/>
  <c r="B484" i="568"/>
  <c r="B483" i="568"/>
  <c r="B482" i="568"/>
  <c r="B481" i="568"/>
  <c r="B480" i="568"/>
  <c r="B479" i="568"/>
  <c r="B478" i="568"/>
  <c r="B477" i="568"/>
  <c r="B476" i="568"/>
  <c r="B475" i="568"/>
  <c r="B474" i="568"/>
  <c r="B473" i="568"/>
  <c r="B472" i="568"/>
  <c r="B471" i="568"/>
  <c r="B470" i="568"/>
  <c r="B469" i="568"/>
  <c r="B468" i="568"/>
  <c r="B467" i="568"/>
  <c r="B466" i="568"/>
  <c r="B465" i="568"/>
  <c r="B464" i="568"/>
  <c r="B463" i="568"/>
  <c r="B462" i="568"/>
  <c r="B461" i="568"/>
  <c r="B460" i="568"/>
  <c r="B459" i="568"/>
  <c r="B458" i="568"/>
  <c r="B457" i="568"/>
  <c r="B456" i="568"/>
  <c r="B455" i="568"/>
  <c r="B454" i="568"/>
  <c r="B453" i="568"/>
  <c r="B452" i="568"/>
  <c r="B451" i="568"/>
  <c r="B450" i="568"/>
  <c r="B449" i="568"/>
  <c r="B448" i="568"/>
  <c r="B447" i="568"/>
  <c r="B446" i="568"/>
  <c r="B445" i="568"/>
  <c r="B444" i="568"/>
  <c r="B443" i="568"/>
  <c r="B442" i="568"/>
  <c r="B441" i="568"/>
  <c r="B440" i="568"/>
  <c r="B439" i="568"/>
  <c r="B438" i="568"/>
  <c r="B437" i="568"/>
  <c r="B436" i="568"/>
  <c r="B435" i="568"/>
  <c r="B434" i="568"/>
  <c r="B433" i="568"/>
  <c r="B432" i="568"/>
  <c r="B431" i="568"/>
  <c r="B430" i="568"/>
  <c r="B429" i="568"/>
  <c r="B428" i="568"/>
  <c r="B427" i="568"/>
  <c r="B426" i="568"/>
  <c r="B425" i="568"/>
  <c r="B424" i="568"/>
  <c r="B423" i="568"/>
  <c r="B422" i="568"/>
  <c r="B421" i="568"/>
  <c r="B420" i="568"/>
  <c r="B419" i="568"/>
  <c r="B418" i="568"/>
  <c r="B417" i="568"/>
  <c r="B416" i="568"/>
  <c r="B415" i="568"/>
  <c r="B414" i="568"/>
  <c r="B413" i="568"/>
  <c r="B412" i="568"/>
  <c r="B411" i="568"/>
  <c r="B410" i="568"/>
  <c r="B409" i="568"/>
  <c r="B408" i="568"/>
  <c r="B407" i="568"/>
  <c r="B406" i="568"/>
  <c r="B405" i="568"/>
  <c r="B404" i="568"/>
  <c r="B403" i="568"/>
  <c r="B402" i="568"/>
  <c r="B401" i="568"/>
  <c r="B400" i="568"/>
  <c r="B399" i="568"/>
  <c r="B398" i="568"/>
  <c r="B397" i="568"/>
  <c r="B396" i="568"/>
  <c r="B395" i="568"/>
  <c r="B394" i="568"/>
  <c r="B393" i="568"/>
  <c r="B392" i="568"/>
  <c r="B391" i="568"/>
  <c r="B390" i="568"/>
  <c r="B389" i="568"/>
  <c r="B388" i="568"/>
  <c r="B387" i="568"/>
  <c r="B386" i="568"/>
  <c r="B385" i="568"/>
  <c r="B384" i="568"/>
  <c r="B383" i="568"/>
  <c r="B382" i="568"/>
  <c r="B381" i="568"/>
  <c r="B380" i="568"/>
  <c r="B379" i="568"/>
  <c r="B378" i="568"/>
  <c r="B377" i="568"/>
  <c r="B376" i="568"/>
  <c r="B375" i="568"/>
  <c r="B374" i="568"/>
  <c r="B373" i="568"/>
  <c r="B372" i="568"/>
  <c r="B371" i="568"/>
  <c r="B370" i="568"/>
  <c r="B369" i="568"/>
  <c r="B368" i="568"/>
  <c r="B367" i="568"/>
  <c r="B366" i="568"/>
  <c r="B365" i="568"/>
  <c r="B364" i="568"/>
  <c r="B363" i="568"/>
  <c r="B362" i="568"/>
  <c r="B361" i="568"/>
  <c r="B360" i="568"/>
  <c r="B359" i="568"/>
  <c r="B358" i="568"/>
  <c r="B357" i="568"/>
  <c r="B356" i="568"/>
  <c r="B355" i="568"/>
  <c r="B354" i="568"/>
  <c r="B353" i="568"/>
  <c r="B352" i="568"/>
  <c r="B351" i="568"/>
  <c r="B350" i="568"/>
  <c r="B349" i="568"/>
  <c r="B348" i="568"/>
  <c r="B347" i="568"/>
  <c r="B346" i="568"/>
  <c r="B345" i="568"/>
  <c r="B344" i="568"/>
  <c r="B343" i="568"/>
  <c r="B342" i="568"/>
  <c r="B341" i="568"/>
  <c r="B340" i="568"/>
  <c r="B339" i="568"/>
  <c r="B338" i="568"/>
  <c r="B337" i="568"/>
  <c r="B336" i="568"/>
  <c r="B335" i="568"/>
  <c r="B334" i="568"/>
  <c r="B333" i="568"/>
  <c r="B332" i="568"/>
  <c r="B331" i="568"/>
  <c r="B330" i="568"/>
  <c r="B329" i="568"/>
  <c r="B328" i="568"/>
  <c r="B327" i="568"/>
  <c r="B326" i="568"/>
  <c r="B325" i="568"/>
  <c r="B324" i="568"/>
  <c r="B323" i="568"/>
  <c r="B322" i="568"/>
  <c r="B321" i="568"/>
  <c r="B320" i="568"/>
  <c r="B319" i="568"/>
  <c r="B318" i="568"/>
  <c r="B317" i="568"/>
  <c r="B316" i="568"/>
  <c r="B315" i="568"/>
  <c r="B314" i="568"/>
  <c r="B313" i="568"/>
  <c r="B312" i="568"/>
  <c r="B311" i="568"/>
  <c r="B310" i="568"/>
  <c r="B309" i="568"/>
  <c r="B308" i="568"/>
  <c r="B307" i="568"/>
  <c r="B306" i="568"/>
  <c r="B305" i="568"/>
  <c r="B304" i="568"/>
  <c r="B303" i="568"/>
  <c r="B302" i="568"/>
  <c r="B301" i="568"/>
  <c r="B300" i="568"/>
  <c r="B299" i="568"/>
  <c r="B298" i="568"/>
  <c r="B297" i="568"/>
  <c r="B296" i="568"/>
  <c r="B295" i="568"/>
  <c r="B294" i="568"/>
  <c r="B293" i="568"/>
  <c r="B292" i="568"/>
  <c r="B291" i="568"/>
  <c r="B290" i="568"/>
  <c r="B289" i="568"/>
  <c r="B288" i="568"/>
  <c r="B287" i="568"/>
  <c r="B286" i="568"/>
  <c r="B285" i="568"/>
  <c r="B284" i="568"/>
  <c r="B283" i="568"/>
  <c r="B282" i="568"/>
  <c r="B281" i="568"/>
  <c r="B280" i="568"/>
  <c r="B279" i="568"/>
  <c r="B278" i="568"/>
  <c r="B277" i="568"/>
  <c r="B276" i="568"/>
  <c r="B275" i="568"/>
  <c r="B274" i="568"/>
  <c r="B273" i="568"/>
  <c r="B272" i="568"/>
  <c r="B271" i="568"/>
  <c r="B270" i="568"/>
  <c r="B269" i="568"/>
  <c r="B268" i="568"/>
  <c r="B267" i="568"/>
  <c r="B266" i="568"/>
  <c r="B265" i="568"/>
  <c r="B264" i="568"/>
  <c r="B263" i="568"/>
  <c r="B262" i="568"/>
  <c r="B261" i="568"/>
  <c r="B260" i="568"/>
  <c r="B259" i="568"/>
  <c r="B258" i="568"/>
  <c r="B257" i="568"/>
  <c r="B256" i="568"/>
  <c r="B255" i="568"/>
  <c r="B254" i="568"/>
  <c r="B253" i="568"/>
  <c r="B252" i="568"/>
  <c r="B251" i="568"/>
  <c r="B250" i="568"/>
  <c r="B249" i="568"/>
  <c r="B248" i="568"/>
  <c r="B247" i="568"/>
  <c r="B246" i="568"/>
  <c r="B245" i="568"/>
  <c r="B244" i="568"/>
  <c r="B243" i="568"/>
  <c r="B242" i="568"/>
  <c r="B241" i="568"/>
  <c r="B240" i="568"/>
  <c r="B239" i="568"/>
  <c r="B238" i="568"/>
  <c r="B237" i="568"/>
  <c r="B236" i="568"/>
  <c r="B235" i="568"/>
  <c r="B234" i="568"/>
  <c r="B233" i="568"/>
  <c r="B232" i="568"/>
  <c r="B231" i="568"/>
  <c r="B230" i="568"/>
  <c r="B229" i="568"/>
  <c r="B228" i="568"/>
  <c r="B227" i="568"/>
  <c r="B226" i="568"/>
  <c r="B225" i="568"/>
  <c r="B224" i="568"/>
  <c r="B223" i="568"/>
  <c r="B222" i="568"/>
  <c r="B221" i="568"/>
  <c r="B220" i="568"/>
  <c r="B219" i="568"/>
  <c r="B218" i="568"/>
  <c r="B217" i="568"/>
  <c r="B216" i="568"/>
  <c r="B215" i="568"/>
  <c r="B214" i="568"/>
  <c r="B213" i="568"/>
  <c r="B212" i="568"/>
  <c r="B211" i="568"/>
  <c r="B210" i="568"/>
  <c r="B209" i="568"/>
  <c r="B208" i="568"/>
  <c r="B207" i="568"/>
  <c r="B206" i="568"/>
  <c r="B205" i="568"/>
  <c r="B204" i="568"/>
  <c r="B203" i="568"/>
  <c r="B202" i="568"/>
  <c r="B201" i="568"/>
  <c r="B200" i="568"/>
  <c r="B199" i="568"/>
  <c r="B198" i="568"/>
  <c r="B197" i="568"/>
  <c r="B196" i="568"/>
  <c r="B195" i="568"/>
  <c r="B194" i="568"/>
  <c r="B193" i="568"/>
  <c r="B192" i="568"/>
  <c r="B191" i="568"/>
  <c r="B190" i="568"/>
  <c r="B189" i="568"/>
  <c r="B188" i="568"/>
  <c r="B187" i="568"/>
  <c r="B186" i="568"/>
  <c r="B185" i="568"/>
  <c r="B184" i="568"/>
  <c r="B183" i="568"/>
  <c r="B182" i="568"/>
  <c r="B181" i="568"/>
  <c r="B180" i="568"/>
  <c r="B179" i="568"/>
  <c r="B178" i="568"/>
  <c r="B177" i="568"/>
  <c r="B176" i="568"/>
  <c r="B175" i="568"/>
  <c r="B174" i="568"/>
  <c r="B173" i="568"/>
  <c r="B172" i="568"/>
  <c r="B171" i="568"/>
  <c r="B170" i="568"/>
  <c r="B169" i="568"/>
  <c r="B168" i="568"/>
  <c r="B167" i="568"/>
  <c r="B166" i="568"/>
  <c r="B165" i="568"/>
  <c r="B164" i="568"/>
  <c r="B163" i="568"/>
  <c r="B162" i="568"/>
  <c r="B161" i="568"/>
  <c r="B160" i="568"/>
  <c r="B159" i="568"/>
  <c r="B158" i="568"/>
  <c r="B157" i="568"/>
  <c r="B156" i="568"/>
  <c r="B155" i="568"/>
  <c r="B154" i="568"/>
  <c r="B153" i="568"/>
  <c r="B152" i="568"/>
  <c r="B151" i="568"/>
  <c r="B150" i="568"/>
  <c r="B149" i="568"/>
  <c r="B148" i="568"/>
  <c r="B147" i="568"/>
  <c r="B146" i="568"/>
  <c r="B145" i="568"/>
  <c r="B144" i="568"/>
  <c r="B143" i="568"/>
  <c r="B142" i="568"/>
  <c r="B141" i="568"/>
  <c r="B140" i="568"/>
  <c r="B139" i="568"/>
  <c r="B138" i="568"/>
  <c r="B137" i="568"/>
  <c r="B136" i="568"/>
  <c r="B135" i="568"/>
  <c r="B134" i="568"/>
  <c r="B133" i="568"/>
  <c r="B132" i="568"/>
  <c r="B131" i="568"/>
  <c r="B130" i="568"/>
  <c r="B129" i="568"/>
  <c r="B128" i="568"/>
  <c r="B127" i="568"/>
  <c r="B126" i="568"/>
  <c r="B125" i="568"/>
  <c r="B124" i="568"/>
  <c r="B123" i="568"/>
  <c r="B122" i="568"/>
  <c r="B121" i="568"/>
  <c r="B120" i="568"/>
  <c r="B119" i="568"/>
  <c r="B118" i="568"/>
  <c r="B117" i="568"/>
  <c r="B116" i="568"/>
  <c r="B115" i="568"/>
  <c r="B114" i="568"/>
  <c r="B113" i="568"/>
  <c r="B112" i="568"/>
  <c r="B111" i="568"/>
  <c r="B110" i="568"/>
  <c r="B109" i="568"/>
  <c r="B108" i="568"/>
  <c r="B107" i="568"/>
  <c r="B106" i="568"/>
  <c r="B105" i="568"/>
  <c r="B104" i="568"/>
  <c r="B103" i="568"/>
  <c r="B102" i="568"/>
  <c r="B101" i="568"/>
  <c r="B100" i="568"/>
  <c r="B99" i="568"/>
  <c r="B98" i="568"/>
  <c r="B97" i="568"/>
  <c r="B96" i="568"/>
  <c r="B95" i="568"/>
  <c r="B94" i="568"/>
  <c r="B93" i="568"/>
  <c r="B92" i="568"/>
  <c r="B91" i="568"/>
  <c r="B90" i="568"/>
  <c r="B89" i="568"/>
  <c r="B88" i="568"/>
  <c r="B87" i="568"/>
  <c r="B86" i="568"/>
  <c r="B85" i="568"/>
  <c r="B84" i="568"/>
  <c r="B83" i="568"/>
  <c r="B82" i="568"/>
  <c r="B81" i="568"/>
  <c r="B80" i="568"/>
  <c r="B79" i="568"/>
  <c r="B78" i="568"/>
  <c r="B77" i="568"/>
  <c r="B76" i="568"/>
  <c r="B75" i="568"/>
  <c r="B74" i="568"/>
  <c r="B73" i="568"/>
  <c r="B72" i="568"/>
  <c r="B71" i="568"/>
  <c r="B70" i="568"/>
  <c r="B69" i="568"/>
  <c r="B68" i="568"/>
  <c r="B67" i="568"/>
  <c r="B66" i="568"/>
  <c r="B65" i="568"/>
  <c r="B64" i="568"/>
  <c r="B63" i="568"/>
  <c r="B62" i="568"/>
  <c r="B61" i="568"/>
  <c r="B60" i="568"/>
  <c r="B59" i="568"/>
  <c r="B58" i="568"/>
  <c r="B57" i="568"/>
  <c r="B56" i="568"/>
  <c r="B55" i="568"/>
  <c r="B54" i="568"/>
  <c r="B53" i="568"/>
  <c r="B52" i="568"/>
  <c r="B51" i="568"/>
  <c r="B50" i="568"/>
  <c r="B49" i="568"/>
  <c r="B48" i="568"/>
  <c r="B47" i="568"/>
  <c r="B46" i="568"/>
  <c r="B45" i="568"/>
  <c r="B44" i="568"/>
  <c r="B43" i="568"/>
  <c r="B42" i="568"/>
  <c r="B41" i="568"/>
  <c r="B40" i="568"/>
  <c r="B39" i="568"/>
  <c r="B38" i="568"/>
  <c r="B37" i="568"/>
  <c r="B36" i="568"/>
  <c r="B35" i="568"/>
  <c r="B34" i="568"/>
  <c r="B33" i="568"/>
  <c r="B32" i="568"/>
  <c r="B31" i="568"/>
  <c r="B30" i="568"/>
  <c r="B29" i="568"/>
  <c r="B28" i="568"/>
  <c r="B27" i="568"/>
  <c r="B26" i="568"/>
  <c r="B25" i="568"/>
  <c r="B24" i="568"/>
  <c r="B23" i="568"/>
  <c r="B22" i="568"/>
  <c r="B21" i="568"/>
  <c r="B20" i="568"/>
  <c r="B19" i="568"/>
  <c r="B18" i="568"/>
  <c r="B17" i="568"/>
  <c r="B16" i="568"/>
  <c r="B15" i="568"/>
  <c r="B14" i="568"/>
  <c r="B13" i="568"/>
  <c r="B12" i="568"/>
  <c r="B11" i="568"/>
  <c r="B10" i="568"/>
  <c r="B9" i="568"/>
  <c r="B8" i="568"/>
  <c r="B7" i="568"/>
  <c r="B6" i="568"/>
  <c r="B5" i="568"/>
  <c r="B4" i="568"/>
  <c r="B3" i="568"/>
  <c r="B2" i="568"/>
  <c r="B1" i="568"/>
  <c r="D1228" i="568"/>
  <c r="D1227" i="568"/>
  <c r="D1226" i="568"/>
  <c r="D1225" i="568"/>
  <c r="D1224" i="568"/>
  <c r="D1223" i="568"/>
  <c r="D1222" i="568"/>
  <c r="D1221" i="568"/>
  <c r="D1220" i="568"/>
  <c r="D1219" i="568"/>
  <c r="D1218" i="568"/>
  <c r="D1217" i="568"/>
  <c r="D1216" i="568"/>
  <c r="D1215" i="568"/>
  <c r="D1214" i="568"/>
  <c r="D1213" i="568"/>
  <c r="D1212" i="568"/>
  <c r="D1211" i="568"/>
  <c r="D1210" i="568"/>
  <c r="D1209" i="568"/>
  <c r="D1208" i="568"/>
  <c r="D1207" i="568"/>
  <c r="D1206" i="568"/>
  <c r="D1205" i="568"/>
  <c r="D1204" i="568"/>
  <c r="D1203" i="568"/>
  <c r="D1202" i="568"/>
  <c r="D1201" i="568"/>
  <c r="D1200" i="568"/>
  <c r="D1199" i="568"/>
  <c r="D1198" i="568"/>
  <c r="D1197" i="568"/>
  <c r="D1196" i="568"/>
  <c r="D1195" i="568"/>
  <c r="D1194" i="568"/>
  <c r="D1193" i="568"/>
  <c r="D1192" i="568"/>
  <c r="D1191" i="568"/>
  <c r="D1190" i="568"/>
  <c r="D1189" i="568"/>
  <c r="D1188" i="568"/>
  <c r="D1187" i="568"/>
  <c r="D1186" i="568"/>
  <c r="D1185" i="568"/>
  <c r="D1184" i="568"/>
  <c r="D1183" i="568"/>
  <c r="D1182" i="568"/>
  <c r="D1181" i="568"/>
  <c r="D1180" i="568"/>
  <c r="D1179" i="568"/>
  <c r="D1178" i="568"/>
  <c r="D1177" i="568"/>
  <c r="D1176" i="568"/>
  <c r="D1175" i="568"/>
  <c r="D1174" i="568"/>
  <c r="D1173" i="568"/>
  <c r="D1172" i="568"/>
  <c r="D1171" i="568"/>
  <c r="D1170" i="568"/>
  <c r="D1169" i="568"/>
  <c r="D1168" i="568"/>
  <c r="D1167" i="568"/>
  <c r="D1166" i="568"/>
  <c r="D1165" i="568"/>
  <c r="D1164" i="568"/>
  <c r="D1163" i="568"/>
  <c r="D1162" i="568"/>
  <c r="D1161" i="568"/>
  <c r="D1160" i="568"/>
  <c r="D1159" i="568"/>
  <c r="D1158" i="568"/>
  <c r="D1157" i="568"/>
  <c r="D1156" i="568"/>
  <c r="D1155" i="568"/>
  <c r="D1154" i="568"/>
  <c r="D1153" i="568"/>
  <c r="D1152" i="568"/>
  <c r="D1151" i="568"/>
  <c r="D1150" i="568"/>
  <c r="D1149" i="568"/>
  <c r="D1148" i="568"/>
  <c r="D1147" i="568"/>
  <c r="D1146" i="568"/>
  <c r="D1145" i="568"/>
  <c r="D1144" i="568"/>
  <c r="D1143" i="568"/>
  <c r="D1142" i="568"/>
  <c r="D1141" i="568"/>
  <c r="D1140" i="568"/>
  <c r="D1139" i="568"/>
  <c r="D1138" i="568"/>
  <c r="D1137" i="568"/>
  <c r="D1136" i="568"/>
  <c r="D1135" i="568"/>
  <c r="D1134" i="568"/>
  <c r="D1133" i="568"/>
  <c r="D1132" i="568"/>
  <c r="D1131" i="568"/>
  <c r="D1130" i="568"/>
  <c r="D1129" i="568"/>
  <c r="D1128" i="568"/>
  <c r="D1127" i="568"/>
  <c r="D1126" i="568"/>
  <c r="D1125" i="568"/>
  <c r="D1124" i="568"/>
  <c r="D1123" i="568"/>
  <c r="D1122" i="568"/>
  <c r="D1121" i="568"/>
  <c r="D1120" i="568"/>
  <c r="D1119" i="568"/>
  <c r="D1118" i="568"/>
  <c r="D1117" i="568"/>
  <c r="D1116" i="568"/>
  <c r="D1115" i="568"/>
  <c r="D1114" i="568"/>
  <c r="D1113" i="568"/>
  <c r="D1112" i="568"/>
  <c r="D1111" i="568"/>
  <c r="D1110" i="568"/>
  <c r="D1109" i="568"/>
  <c r="D1108" i="568"/>
  <c r="D1107" i="568"/>
  <c r="D1106" i="568"/>
  <c r="D1105" i="568"/>
  <c r="D1104" i="568"/>
  <c r="D1103" i="568"/>
  <c r="D1102" i="568"/>
  <c r="D1101" i="568"/>
  <c r="D1100" i="568"/>
  <c r="D1099" i="568"/>
  <c r="D1098" i="568"/>
  <c r="D1097" i="568"/>
  <c r="D1096" i="568"/>
  <c r="D1095" i="568"/>
  <c r="D1094" i="568"/>
  <c r="D1093" i="568"/>
  <c r="D1092" i="568"/>
  <c r="D1091" i="568"/>
  <c r="D1090" i="568"/>
  <c r="D1089" i="568"/>
  <c r="D1088" i="568"/>
  <c r="D1087" i="568"/>
  <c r="D1086" i="568"/>
  <c r="D1085" i="568"/>
  <c r="D1084" i="568"/>
  <c r="D1083" i="568"/>
  <c r="D1082" i="568"/>
  <c r="D1081" i="568"/>
  <c r="D1080" i="568"/>
  <c r="D1079" i="568"/>
  <c r="D1078" i="568"/>
  <c r="D1077" i="568"/>
  <c r="D1076" i="568"/>
  <c r="D1075" i="568"/>
  <c r="D1074" i="568"/>
  <c r="D1073" i="568"/>
  <c r="D1072" i="568"/>
  <c r="D1071" i="568"/>
  <c r="D1070" i="568"/>
  <c r="D1069" i="568"/>
  <c r="D1068" i="568"/>
  <c r="D1067" i="568"/>
  <c r="D1066" i="568"/>
  <c r="D1065" i="568"/>
  <c r="D1064" i="568"/>
  <c r="D1063" i="568"/>
  <c r="D1062" i="568"/>
  <c r="D1061" i="568"/>
  <c r="D1060" i="568"/>
  <c r="D1059" i="568"/>
  <c r="D1058" i="568"/>
  <c r="D1057" i="568"/>
  <c r="D1056" i="568"/>
  <c r="D1055" i="568"/>
  <c r="D1054" i="568"/>
  <c r="D1053" i="568"/>
  <c r="D1052" i="568"/>
  <c r="D1051" i="568"/>
  <c r="D1050" i="568"/>
  <c r="D1049" i="568"/>
  <c r="D1048" i="568"/>
  <c r="D1047" i="568"/>
  <c r="D1046" i="568"/>
  <c r="D1045" i="568"/>
  <c r="D1044" i="568"/>
  <c r="D1043" i="568"/>
  <c r="D1042" i="568"/>
  <c r="D1041" i="568"/>
  <c r="D1040" i="568"/>
  <c r="D1039" i="568"/>
  <c r="D1038" i="568"/>
  <c r="D1037" i="568"/>
  <c r="D1036" i="568"/>
  <c r="D1035" i="568"/>
  <c r="D1034" i="568"/>
  <c r="D1033" i="568"/>
  <c r="D1032" i="568"/>
  <c r="D1031" i="568"/>
  <c r="D1030" i="568"/>
  <c r="D1029" i="568"/>
  <c r="D1028" i="568"/>
  <c r="D1027" i="568"/>
  <c r="D1026" i="568"/>
  <c r="D1025" i="568"/>
  <c r="D1024" i="568"/>
  <c r="D1023" i="568"/>
  <c r="D1022" i="568"/>
  <c r="D1021" i="568"/>
  <c r="D1020" i="568"/>
  <c r="D1019" i="568"/>
  <c r="D1018" i="568"/>
  <c r="D1017" i="568"/>
  <c r="D1016" i="568"/>
  <c r="D1015" i="568"/>
  <c r="D1014" i="568"/>
  <c r="D1013" i="568"/>
  <c r="D1012" i="568"/>
  <c r="D1011" i="568"/>
  <c r="D1010" i="568"/>
  <c r="D1009" i="568"/>
  <c r="D1008" i="568"/>
  <c r="D1007" i="568"/>
  <c r="D1006" i="568"/>
  <c r="D1005" i="568"/>
  <c r="D1004" i="568"/>
  <c r="D1003" i="568"/>
  <c r="D1002" i="568"/>
  <c r="D1001" i="568"/>
  <c r="D1000" i="568"/>
  <c r="D999" i="568"/>
  <c r="D998" i="568"/>
  <c r="D997" i="568"/>
  <c r="D996" i="568"/>
  <c r="D995" i="568"/>
  <c r="D994" i="568"/>
  <c r="D993" i="568"/>
  <c r="D992" i="568"/>
  <c r="D991" i="568"/>
  <c r="D990" i="568"/>
  <c r="D989" i="568"/>
  <c r="D988" i="568"/>
  <c r="D987" i="568"/>
  <c r="D986" i="568"/>
  <c r="D985" i="568"/>
  <c r="D984" i="568"/>
  <c r="D983" i="568"/>
  <c r="D982" i="568"/>
  <c r="D981" i="568"/>
  <c r="D980" i="568"/>
  <c r="D979" i="568"/>
  <c r="D978" i="568"/>
  <c r="D977" i="568"/>
  <c r="D976" i="568"/>
  <c r="D975" i="568"/>
  <c r="D974" i="568"/>
  <c r="D973" i="568"/>
  <c r="D972" i="568"/>
  <c r="D971" i="568"/>
  <c r="D970" i="568"/>
  <c r="D969" i="568"/>
  <c r="D968" i="568"/>
  <c r="D967" i="568"/>
  <c r="D966" i="568"/>
  <c r="D965" i="568"/>
  <c r="D964" i="568"/>
  <c r="D963" i="568"/>
  <c r="D962" i="568"/>
  <c r="D961" i="568"/>
  <c r="D960" i="568"/>
  <c r="D959" i="568"/>
  <c r="D958" i="568"/>
  <c r="D957" i="568"/>
  <c r="D956" i="568"/>
  <c r="D955" i="568"/>
  <c r="D954" i="568"/>
  <c r="D953" i="568"/>
  <c r="D952" i="568"/>
  <c r="D951" i="568"/>
  <c r="D950" i="568"/>
  <c r="D949" i="568"/>
  <c r="D948" i="568"/>
  <c r="D947" i="568"/>
  <c r="D946" i="568"/>
  <c r="D945" i="568"/>
  <c r="D944" i="568"/>
  <c r="D943" i="568"/>
  <c r="D942" i="568"/>
  <c r="D941" i="568"/>
  <c r="D940" i="568"/>
  <c r="D939" i="568"/>
  <c r="D938" i="568"/>
  <c r="D937" i="568"/>
  <c r="D936" i="568"/>
  <c r="D935" i="568"/>
  <c r="D934" i="568"/>
  <c r="D933" i="568"/>
  <c r="D932" i="568"/>
  <c r="D931" i="568"/>
  <c r="D930" i="568"/>
  <c r="D929" i="568"/>
  <c r="D928" i="568"/>
  <c r="D927" i="568"/>
  <c r="D926" i="568"/>
  <c r="D925" i="568"/>
  <c r="D924" i="568"/>
  <c r="D923" i="568"/>
  <c r="D922" i="568"/>
  <c r="D921" i="568"/>
  <c r="D920" i="568"/>
  <c r="D919" i="568"/>
  <c r="D918" i="568"/>
  <c r="D917" i="568"/>
  <c r="D916" i="568"/>
  <c r="D915" i="568"/>
  <c r="D914" i="568"/>
  <c r="D913" i="568"/>
  <c r="D912" i="568"/>
  <c r="D911" i="568"/>
  <c r="D910" i="568"/>
  <c r="D909" i="568"/>
  <c r="D908" i="568"/>
  <c r="D907" i="568"/>
  <c r="D906" i="568"/>
  <c r="D905" i="568"/>
  <c r="D904" i="568"/>
  <c r="D903" i="568"/>
  <c r="D902" i="568"/>
  <c r="D901" i="568"/>
  <c r="D900" i="568"/>
  <c r="D899" i="568"/>
  <c r="D898" i="568"/>
  <c r="D897" i="568"/>
  <c r="D896" i="568"/>
  <c r="D895" i="568"/>
  <c r="D894" i="568"/>
  <c r="D893" i="568"/>
  <c r="D892" i="568"/>
  <c r="D891" i="568"/>
  <c r="D890" i="568"/>
  <c r="D889" i="568"/>
  <c r="D888" i="568"/>
  <c r="D887" i="568"/>
  <c r="D886" i="568"/>
  <c r="D885" i="568"/>
  <c r="D884" i="568"/>
  <c r="D883" i="568"/>
  <c r="D882" i="568"/>
  <c r="D881" i="568"/>
  <c r="D880" i="568"/>
  <c r="D879" i="568"/>
  <c r="D878" i="568"/>
  <c r="D877" i="568"/>
  <c r="D876" i="568"/>
  <c r="D875" i="568"/>
  <c r="D874" i="568"/>
  <c r="D873" i="568"/>
  <c r="D872" i="568"/>
  <c r="D871" i="568"/>
  <c r="D870" i="568"/>
  <c r="D869" i="568"/>
  <c r="D868" i="568"/>
  <c r="D867" i="568"/>
  <c r="D866" i="568"/>
  <c r="D865" i="568"/>
  <c r="D864" i="568"/>
  <c r="D863" i="568"/>
  <c r="D862" i="568"/>
  <c r="D861" i="568"/>
  <c r="D860" i="568"/>
  <c r="D859" i="568"/>
  <c r="D858" i="568"/>
  <c r="D857" i="568"/>
  <c r="D856" i="568"/>
  <c r="D855" i="568"/>
  <c r="D854" i="568"/>
  <c r="D853" i="568"/>
  <c r="D852" i="568"/>
  <c r="D851" i="568"/>
  <c r="D850" i="568"/>
  <c r="D849" i="568"/>
  <c r="D848" i="568"/>
  <c r="D847" i="568"/>
  <c r="D846" i="568"/>
  <c r="D845" i="568"/>
  <c r="D844" i="568"/>
  <c r="D843" i="568"/>
  <c r="D842" i="568"/>
  <c r="D841" i="568"/>
  <c r="D840" i="568"/>
  <c r="D839" i="568"/>
  <c r="D838" i="568"/>
  <c r="D837" i="568"/>
  <c r="D836" i="568"/>
  <c r="D835" i="568"/>
  <c r="D834" i="568"/>
  <c r="D833" i="568"/>
  <c r="D832" i="568"/>
  <c r="D831" i="568"/>
  <c r="D830" i="568"/>
  <c r="D829" i="568"/>
  <c r="D828" i="568"/>
  <c r="D827" i="568"/>
  <c r="D826" i="568"/>
  <c r="D825" i="568"/>
  <c r="D824" i="568"/>
  <c r="D823" i="568"/>
  <c r="D822" i="568"/>
  <c r="D821" i="568"/>
  <c r="D820" i="568"/>
  <c r="D819" i="568"/>
  <c r="D818" i="568"/>
  <c r="D817" i="568"/>
  <c r="D816" i="568"/>
  <c r="D815" i="568"/>
  <c r="D814" i="568"/>
  <c r="D813" i="568"/>
  <c r="D812" i="568"/>
  <c r="D811" i="568"/>
  <c r="D810" i="568"/>
  <c r="D809" i="568"/>
  <c r="D808" i="568"/>
  <c r="D807" i="568"/>
  <c r="D806" i="568"/>
  <c r="D805" i="568"/>
  <c r="D804" i="568"/>
  <c r="D803" i="568"/>
  <c r="D802" i="568"/>
  <c r="D801" i="568"/>
  <c r="D800" i="568"/>
  <c r="D799" i="568"/>
  <c r="D798" i="568"/>
  <c r="D797" i="568"/>
  <c r="D796" i="568"/>
  <c r="D795" i="568"/>
  <c r="D794" i="568"/>
  <c r="D793" i="568"/>
  <c r="D792" i="568"/>
  <c r="D791" i="568"/>
  <c r="D790" i="568"/>
  <c r="D789" i="568"/>
  <c r="D788" i="568"/>
  <c r="D787" i="568"/>
  <c r="D786" i="568"/>
  <c r="D785" i="568"/>
  <c r="D784" i="568"/>
  <c r="D783" i="568"/>
  <c r="D782" i="568"/>
  <c r="D781" i="568"/>
  <c r="D780" i="568"/>
  <c r="D779" i="568"/>
  <c r="D778" i="568"/>
  <c r="D777" i="568"/>
  <c r="D776" i="568"/>
  <c r="D775" i="568"/>
  <c r="D774" i="568"/>
  <c r="D773" i="568"/>
  <c r="D772" i="568"/>
  <c r="D771" i="568"/>
  <c r="D770" i="568"/>
  <c r="D769" i="568"/>
  <c r="D768" i="568"/>
  <c r="D767" i="568"/>
  <c r="D766" i="568"/>
  <c r="D765" i="568"/>
  <c r="D764" i="568"/>
  <c r="D763" i="568"/>
  <c r="D762" i="568"/>
  <c r="D761" i="568"/>
  <c r="D760" i="568"/>
  <c r="D759" i="568"/>
  <c r="D758" i="568"/>
  <c r="D757" i="568"/>
  <c r="D756" i="568"/>
  <c r="D755" i="568"/>
  <c r="D754" i="568"/>
  <c r="D753" i="568"/>
  <c r="D752" i="568"/>
  <c r="D751" i="568"/>
  <c r="D750" i="568"/>
  <c r="D749" i="568"/>
  <c r="D748" i="568"/>
  <c r="D747" i="568"/>
  <c r="D746" i="568"/>
  <c r="D745" i="568"/>
  <c r="D744" i="568"/>
  <c r="D743" i="568"/>
  <c r="D742" i="568"/>
  <c r="D741" i="568"/>
  <c r="D740" i="568"/>
  <c r="D739" i="568"/>
  <c r="D738" i="568"/>
  <c r="D737" i="568"/>
  <c r="D736" i="568"/>
  <c r="D735" i="568"/>
  <c r="D734" i="568"/>
  <c r="D733" i="568"/>
  <c r="D732" i="568"/>
  <c r="D731" i="568"/>
  <c r="D730" i="568"/>
  <c r="D729" i="568"/>
  <c r="D728" i="568"/>
  <c r="D727" i="568"/>
  <c r="D726" i="568"/>
  <c r="D725" i="568"/>
  <c r="D724" i="568"/>
  <c r="D723" i="568"/>
  <c r="D722" i="568"/>
  <c r="D721" i="568"/>
  <c r="D720" i="568"/>
  <c r="D719" i="568"/>
  <c r="D718" i="568"/>
  <c r="D717" i="568"/>
  <c r="D716" i="568"/>
  <c r="D715" i="568"/>
  <c r="D714" i="568"/>
  <c r="D713" i="568"/>
  <c r="D712" i="568"/>
  <c r="D711" i="568"/>
  <c r="D710" i="568"/>
  <c r="D709" i="568"/>
  <c r="D708" i="568"/>
  <c r="D707" i="568"/>
  <c r="D706" i="568"/>
  <c r="D705" i="568"/>
  <c r="D704" i="568"/>
  <c r="D703" i="568"/>
  <c r="D702" i="568"/>
  <c r="D701" i="568"/>
  <c r="D700" i="568"/>
  <c r="D699" i="568"/>
  <c r="D698" i="568"/>
  <c r="D697" i="568"/>
  <c r="D696" i="568"/>
  <c r="D695" i="568"/>
  <c r="D694" i="568"/>
  <c r="D693" i="568"/>
  <c r="D692" i="568"/>
  <c r="D691" i="568"/>
  <c r="D690" i="568"/>
  <c r="D689" i="568"/>
  <c r="D688" i="568"/>
  <c r="D687" i="568"/>
  <c r="D686" i="568"/>
  <c r="D685" i="568"/>
  <c r="D684" i="568"/>
  <c r="D683" i="568"/>
  <c r="D682" i="568"/>
  <c r="D681" i="568"/>
  <c r="D680" i="568"/>
  <c r="D679" i="568"/>
  <c r="D678" i="568"/>
  <c r="D677" i="568"/>
  <c r="D676" i="568"/>
  <c r="D675" i="568"/>
  <c r="D674" i="568"/>
  <c r="D673" i="568"/>
  <c r="D672" i="568"/>
  <c r="D671" i="568"/>
  <c r="D670" i="568"/>
  <c r="D669" i="568"/>
  <c r="D668" i="568"/>
  <c r="D667" i="568"/>
  <c r="D666" i="568"/>
  <c r="D665" i="568"/>
  <c r="D664" i="568"/>
  <c r="D663" i="568"/>
  <c r="D662" i="568"/>
  <c r="D661" i="568"/>
  <c r="D660" i="568"/>
  <c r="D659" i="568"/>
  <c r="D658" i="568"/>
  <c r="D657" i="568"/>
  <c r="D656" i="568"/>
  <c r="D655" i="568"/>
  <c r="D654" i="568"/>
  <c r="D653" i="568"/>
  <c r="D652" i="568"/>
  <c r="D651" i="568"/>
  <c r="D650" i="568"/>
  <c r="D649" i="568"/>
  <c r="D648" i="568"/>
  <c r="D647" i="568"/>
  <c r="D646" i="568"/>
  <c r="D645" i="568"/>
  <c r="D644" i="568"/>
  <c r="D643" i="568"/>
  <c r="D642" i="568"/>
  <c r="D641" i="568"/>
  <c r="D640" i="568"/>
  <c r="D639" i="568"/>
  <c r="D638" i="568"/>
  <c r="D637" i="568"/>
  <c r="D636" i="568"/>
  <c r="D635" i="568"/>
  <c r="D634" i="568"/>
  <c r="D633" i="568"/>
  <c r="D632" i="568"/>
  <c r="D631" i="568"/>
  <c r="D630" i="568"/>
  <c r="D629" i="568"/>
  <c r="D628" i="568"/>
  <c r="D627" i="568"/>
  <c r="D626" i="568"/>
  <c r="D625" i="568"/>
  <c r="D624" i="568"/>
  <c r="D623" i="568"/>
  <c r="D622" i="568"/>
  <c r="D621" i="568"/>
  <c r="D620" i="568"/>
  <c r="D619" i="568"/>
  <c r="D618" i="568"/>
  <c r="D617" i="568"/>
  <c r="D616" i="568"/>
  <c r="D615" i="568"/>
  <c r="D614" i="568"/>
  <c r="D613" i="568"/>
  <c r="D612" i="568"/>
  <c r="D611" i="568"/>
  <c r="D610" i="568"/>
  <c r="D609" i="568"/>
  <c r="D608" i="568"/>
  <c r="D607" i="568"/>
  <c r="D606" i="568"/>
  <c r="D605" i="568"/>
  <c r="D604" i="568"/>
  <c r="D603" i="568"/>
  <c r="D602" i="568"/>
  <c r="D601" i="568"/>
  <c r="D600" i="568"/>
  <c r="D599" i="568"/>
  <c r="D598" i="568"/>
  <c r="D597" i="568"/>
  <c r="D596" i="568"/>
  <c r="D595" i="568"/>
  <c r="D594" i="568"/>
  <c r="D593" i="568"/>
  <c r="D592" i="568"/>
  <c r="D591" i="568"/>
  <c r="D590" i="568"/>
  <c r="D589" i="568"/>
  <c r="D588" i="568"/>
  <c r="D587" i="568"/>
  <c r="D586" i="568"/>
  <c r="D585" i="568"/>
  <c r="D584" i="568"/>
  <c r="D583" i="568"/>
  <c r="D582" i="568"/>
  <c r="D581" i="568"/>
  <c r="D580" i="568"/>
  <c r="D579" i="568"/>
  <c r="D578" i="568"/>
  <c r="D577" i="568"/>
  <c r="D576" i="568"/>
  <c r="D575" i="568"/>
  <c r="D574" i="568"/>
  <c r="D573" i="568"/>
  <c r="D572" i="568"/>
  <c r="D571" i="568"/>
  <c r="D570" i="568"/>
  <c r="D569" i="568"/>
  <c r="D568" i="568"/>
  <c r="D567" i="568"/>
  <c r="D566" i="568"/>
  <c r="D565" i="568"/>
  <c r="D564" i="568"/>
  <c r="D563" i="568"/>
  <c r="D562" i="568"/>
  <c r="D561" i="568"/>
  <c r="D560" i="568"/>
  <c r="D559" i="568"/>
  <c r="D558" i="568"/>
  <c r="D557" i="568"/>
  <c r="D556" i="568"/>
  <c r="D555" i="568"/>
  <c r="D554" i="568"/>
  <c r="D553" i="568"/>
  <c r="D552" i="568"/>
  <c r="D551" i="568"/>
  <c r="D550" i="568"/>
  <c r="D549" i="568"/>
  <c r="D548" i="568"/>
  <c r="D547" i="568"/>
  <c r="D546" i="568"/>
  <c r="D545" i="568"/>
  <c r="D544" i="568"/>
  <c r="D543" i="568"/>
  <c r="D542" i="568"/>
  <c r="D541" i="568"/>
  <c r="D540" i="568"/>
  <c r="D539" i="568"/>
  <c r="D538" i="568"/>
  <c r="D537" i="568"/>
  <c r="D536" i="568"/>
  <c r="D535" i="568"/>
  <c r="D534" i="568"/>
  <c r="D533" i="568"/>
  <c r="D532" i="568"/>
  <c r="D531" i="568"/>
  <c r="D530" i="568"/>
  <c r="D529" i="568"/>
  <c r="D528" i="568"/>
  <c r="D527" i="568"/>
  <c r="D526" i="568"/>
  <c r="D525" i="568"/>
  <c r="D524" i="568"/>
  <c r="D523" i="568"/>
  <c r="D522" i="568"/>
  <c r="D521" i="568"/>
  <c r="D520" i="568"/>
  <c r="D519" i="568"/>
  <c r="D518" i="568"/>
  <c r="D517" i="568"/>
  <c r="D516" i="568"/>
  <c r="D515" i="568"/>
  <c r="D514" i="568"/>
  <c r="D513" i="568"/>
  <c r="D512" i="568"/>
  <c r="D511" i="568"/>
  <c r="D510" i="568"/>
  <c r="D509" i="568"/>
  <c r="D508" i="568"/>
  <c r="D507" i="568"/>
  <c r="D506" i="568"/>
  <c r="D505" i="568"/>
  <c r="D504" i="568"/>
  <c r="D503" i="568"/>
  <c r="D502" i="568"/>
  <c r="D501" i="568"/>
  <c r="D500" i="568"/>
  <c r="D499" i="568"/>
  <c r="D498" i="568"/>
  <c r="D497" i="568"/>
  <c r="D496" i="568"/>
  <c r="D495" i="568"/>
  <c r="D494" i="568"/>
  <c r="D493" i="568"/>
  <c r="D492" i="568"/>
  <c r="D491" i="568"/>
  <c r="D490" i="568"/>
  <c r="D489" i="568"/>
  <c r="D488" i="568"/>
  <c r="D487" i="568"/>
  <c r="D486" i="568"/>
  <c r="D485" i="568"/>
  <c r="D484" i="568"/>
  <c r="D483" i="568"/>
  <c r="D482" i="568"/>
  <c r="D481" i="568"/>
  <c r="D480" i="568"/>
  <c r="D479" i="568"/>
  <c r="D478" i="568"/>
  <c r="D477" i="568"/>
  <c r="D476" i="568"/>
  <c r="D475" i="568"/>
  <c r="D474" i="568"/>
  <c r="D473" i="568"/>
  <c r="D472" i="568"/>
  <c r="D471" i="568"/>
  <c r="D470" i="568"/>
  <c r="D469" i="568"/>
  <c r="D468" i="568"/>
  <c r="D467" i="568"/>
  <c r="D466" i="568"/>
  <c r="D465" i="568"/>
  <c r="D464" i="568"/>
  <c r="D463" i="568"/>
  <c r="D462" i="568"/>
  <c r="D461" i="568"/>
  <c r="D460" i="568"/>
  <c r="D459" i="568"/>
  <c r="D458" i="568"/>
  <c r="D457" i="568"/>
  <c r="D456" i="568"/>
  <c r="D455" i="568"/>
  <c r="D454" i="568"/>
  <c r="D453" i="568"/>
  <c r="D452" i="568"/>
  <c r="D451" i="568"/>
  <c r="D450" i="568"/>
  <c r="D449" i="568"/>
  <c r="D448" i="568"/>
  <c r="D447" i="568"/>
  <c r="D446" i="568"/>
  <c r="D445" i="568"/>
  <c r="D444" i="568"/>
  <c r="D443" i="568"/>
  <c r="D442" i="568"/>
  <c r="D441" i="568"/>
  <c r="D440" i="568"/>
  <c r="D439" i="568"/>
  <c r="D438" i="568"/>
  <c r="D437" i="568"/>
  <c r="D436" i="568"/>
  <c r="D435" i="568"/>
  <c r="D434" i="568"/>
  <c r="D433" i="568"/>
  <c r="D432" i="568"/>
  <c r="D431" i="568"/>
  <c r="D430" i="568"/>
  <c r="D429" i="568"/>
  <c r="D428" i="568"/>
  <c r="D427" i="568"/>
  <c r="D426" i="568"/>
  <c r="D425" i="568"/>
  <c r="D424" i="568"/>
  <c r="D423" i="568"/>
  <c r="D422" i="568"/>
  <c r="D421" i="568"/>
  <c r="D420" i="568"/>
  <c r="D419" i="568"/>
  <c r="D418" i="568"/>
  <c r="D417" i="568"/>
  <c r="D416" i="568"/>
  <c r="D415" i="568"/>
  <c r="D414" i="568"/>
  <c r="D413" i="568"/>
  <c r="D412" i="568"/>
  <c r="D411" i="568"/>
  <c r="D410" i="568"/>
  <c r="D409" i="568"/>
  <c r="D408" i="568"/>
  <c r="D407" i="568"/>
  <c r="D406" i="568"/>
  <c r="D405" i="568"/>
  <c r="D404" i="568"/>
  <c r="D403" i="568"/>
  <c r="D402" i="568"/>
  <c r="D401" i="568"/>
  <c r="D400" i="568"/>
  <c r="D399" i="568"/>
  <c r="D398" i="568"/>
  <c r="D397" i="568"/>
  <c r="D396" i="568"/>
  <c r="D395" i="568"/>
  <c r="D394" i="568"/>
  <c r="D393" i="568"/>
  <c r="D392" i="568"/>
  <c r="D391" i="568"/>
  <c r="D390" i="568"/>
  <c r="D389" i="568"/>
  <c r="D388" i="568"/>
  <c r="D387" i="568"/>
  <c r="D386" i="568"/>
  <c r="D385" i="568"/>
  <c r="D384" i="568"/>
  <c r="D383" i="568"/>
  <c r="D382" i="568"/>
  <c r="D381" i="568"/>
  <c r="D380" i="568"/>
  <c r="D379" i="568"/>
  <c r="D378" i="568"/>
  <c r="D377" i="568"/>
  <c r="D376" i="568"/>
  <c r="D375" i="568"/>
  <c r="D374" i="568"/>
  <c r="D373" i="568"/>
  <c r="D372" i="568"/>
  <c r="D371" i="568"/>
  <c r="D370" i="568"/>
  <c r="D369" i="568"/>
  <c r="D368" i="568"/>
  <c r="D367" i="568"/>
  <c r="D366" i="568"/>
  <c r="D365" i="568"/>
  <c r="D364" i="568"/>
  <c r="D363" i="568"/>
  <c r="D362" i="568"/>
  <c r="D361" i="568"/>
  <c r="D360" i="568"/>
  <c r="D359" i="568"/>
  <c r="D358" i="568"/>
  <c r="D357" i="568"/>
  <c r="D356" i="568"/>
  <c r="D355" i="568"/>
  <c r="D354" i="568"/>
  <c r="D353" i="568"/>
  <c r="D352" i="568"/>
  <c r="D351" i="568"/>
  <c r="D350" i="568"/>
  <c r="D349" i="568"/>
  <c r="D348" i="568"/>
  <c r="D347" i="568"/>
  <c r="D346" i="568"/>
  <c r="D345" i="568"/>
  <c r="D344" i="568"/>
  <c r="D343" i="568"/>
  <c r="D342" i="568"/>
  <c r="D341" i="568"/>
  <c r="D340" i="568"/>
  <c r="D339" i="568"/>
  <c r="D338" i="568"/>
  <c r="D337" i="568"/>
  <c r="D336" i="568"/>
  <c r="D335" i="568"/>
  <c r="D334" i="568"/>
  <c r="D333" i="568"/>
  <c r="D332" i="568"/>
  <c r="D331" i="568"/>
  <c r="D330" i="568"/>
  <c r="D329" i="568"/>
  <c r="D328" i="568"/>
  <c r="D327" i="568"/>
  <c r="D326" i="568"/>
  <c r="D325" i="568"/>
  <c r="D324" i="568"/>
  <c r="D323" i="568"/>
  <c r="D322" i="568"/>
  <c r="D321" i="568"/>
  <c r="D320" i="568"/>
  <c r="D319" i="568"/>
  <c r="D318" i="568"/>
  <c r="D317" i="568"/>
  <c r="D316" i="568"/>
  <c r="D315" i="568"/>
  <c r="D314" i="568"/>
  <c r="D313" i="568"/>
  <c r="D312" i="568"/>
  <c r="D311" i="568"/>
  <c r="D310" i="568"/>
  <c r="D309" i="568"/>
  <c r="D308" i="568"/>
  <c r="D307" i="568"/>
  <c r="D306" i="568"/>
  <c r="D305" i="568"/>
  <c r="D304" i="568"/>
  <c r="D303" i="568"/>
  <c r="D302" i="568"/>
  <c r="D301" i="568"/>
  <c r="D300" i="568"/>
  <c r="D299" i="568"/>
  <c r="D298" i="568"/>
  <c r="D297" i="568"/>
  <c r="D296" i="568"/>
  <c r="D295" i="568"/>
  <c r="D294" i="568"/>
  <c r="D293" i="568"/>
  <c r="D292" i="568"/>
  <c r="D291" i="568"/>
  <c r="D290" i="568"/>
  <c r="D289" i="568"/>
  <c r="D288" i="568"/>
  <c r="D287" i="568"/>
  <c r="D286" i="568"/>
  <c r="D285" i="568"/>
  <c r="D284" i="568"/>
  <c r="D283" i="568"/>
  <c r="D282" i="568"/>
  <c r="D281" i="568"/>
  <c r="D280" i="568"/>
  <c r="D279" i="568"/>
  <c r="D278" i="568"/>
  <c r="D277" i="568"/>
  <c r="D276" i="568"/>
  <c r="D275" i="568"/>
  <c r="D274" i="568"/>
  <c r="D273" i="568"/>
  <c r="D272" i="568"/>
  <c r="D271" i="568"/>
  <c r="D270" i="568"/>
  <c r="D269" i="568"/>
  <c r="D268" i="568"/>
  <c r="D267" i="568"/>
  <c r="D266" i="568"/>
  <c r="D265" i="568"/>
  <c r="D264" i="568"/>
  <c r="D263" i="568"/>
  <c r="D262" i="568"/>
  <c r="D261" i="568"/>
  <c r="D260" i="568"/>
  <c r="D259" i="568"/>
  <c r="D258" i="568"/>
  <c r="D257" i="568"/>
  <c r="D256" i="568"/>
  <c r="D255" i="568"/>
  <c r="D254" i="568"/>
  <c r="D253" i="568"/>
  <c r="D252" i="568"/>
  <c r="D251" i="568"/>
  <c r="D250" i="568"/>
  <c r="D249" i="568"/>
  <c r="D248" i="568"/>
  <c r="D247" i="568"/>
  <c r="D246" i="568"/>
  <c r="D245" i="568"/>
  <c r="D244" i="568"/>
  <c r="D243" i="568"/>
  <c r="D242" i="568"/>
  <c r="D241" i="568"/>
  <c r="D240" i="568"/>
  <c r="D239" i="568"/>
  <c r="D238" i="568"/>
  <c r="D237" i="568"/>
  <c r="D236" i="568"/>
  <c r="D235" i="568"/>
  <c r="D234" i="568"/>
  <c r="D233" i="568"/>
  <c r="D232" i="568"/>
  <c r="D231" i="568"/>
  <c r="D230" i="568"/>
  <c r="D229" i="568"/>
  <c r="D228" i="568"/>
  <c r="D227" i="568"/>
  <c r="D226" i="568"/>
  <c r="D225" i="568"/>
  <c r="D224" i="568"/>
  <c r="D223" i="568"/>
  <c r="D222" i="568"/>
  <c r="D221" i="568"/>
  <c r="D220" i="568"/>
  <c r="D219" i="568"/>
  <c r="D218" i="568"/>
  <c r="D217" i="568"/>
  <c r="D216" i="568"/>
  <c r="D215" i="568"/>
  <c r="D214" i="568"/>
  <c r="D213" i="568"/>
  <c r="D212" i="568"/>
  <c r="D211" i="568"/>
  <c r="D210" i="568"/>
  <c r="D209" i="568"/>
  <c r="D208" i="568"/>
  <c r="D207" i="568"/>
  <c r="D206" i="568"/>
  <c r="D205" i="568"/>
  <c r="D204" i="568"/>
  <c r="D203" i="568"/>
  <c r="D202" i="568"/>
  <c r="D201" i="568"/>
  <c r="D200" i="568"/>
  <c r="D199" i="568"/>
  <c r="D198" i="568"/>
  <c r="D197" i="568"/>
  <c r="D196" i="568"/>
  <c r="D195" i="568"/>
  <c r="D194" i="568"/>
  <c r="D193" i="568"/>
  <c r="D192" i="568"/>
  <c r="D191" i="568"/>
  <c r="D190" i="568"/>
  <c r="D189" i="568"/>
  <c r="D188" i="568"/>
  <c r="D187" i="568"/>
  <c r="D186" i="568"/>
  <c r="D185" i="568"/>
  <c r="D184" i="568"/>
  <c r="D183" i="568"/>
  <c r="D182" i="568"/>
  <c r="D181" i="568"/>
  <c r="D180" i="568"/>
  <c r="D179" i="568"/>
  <c r="D178" i="568"/>
  <c r="D177" i="568"/>
  <c r="D176" i="568"/>
  <c r="D175" i="568"/>
  <c r="D174" i="568"/>
  <c r="D173" i="568"/>
  <c r="D172" i="568"/>
  <c r="D171" i="568"/>
  <c r="D170" i="568"/>
  <c r="D169" i="568"/>
  <c r="D168" i="568"/>
  <c r="D167" i="568"/>
  <c r="D166" i="568"/>
  <c r="D165" i="568"/>
  <c r="D164" i="568"/>
  <c r="D163" i="568"/>
  <c r="D162" i="568"/>
  <c r="D161" i="568"/>
  <c r="D160" i="568"/>
  <c r="D159" i="568"/>
  <c r="D158" i="568"/>
  <c r="D157" i="568"/>
  <c r="D156" i="568"/>
  <c r="D155" i="568"/>
  <c r="D154" i="568"/>
  <c r="D153" i="568"/>
  <c r="D152" i="568"/>
  <c r="D151" i="568"/>
  <c r="D150" i="568"/>
  <c r="D149" i="568"/>
  <c r="D148" i="568"/>
  <c r="D147" i="568"/>
  <c r="D146" i="568"/>
  <c r="D145" i="568"/>
  <c r="D144" i="568"/>
  <c r="D143" i="568"/>
  <c r="D142" i="568"/>
  <c r="D141" i="568"/>
  <c r="D140" i="568"/>
  <c r="D139" i="568"/>
  <c r="D138" i="568"/>
  <c r="D137" i="568"/>
  <c r="D136" i="568"/>
  <c r="D135" i="568"/>
  <c r="D134" i="568"/>
  <c r="D133" i="568"/>
  <c r="D132" i="568"/>
  <c r="D131" i="568"/>
  <c r="D130" i="568"/>
  <c r="D129" i="568"/>
  <c r="D128" i="568"/>
  <c r="D127" i="568"/>
  <c r="D126" i="568"/>
  <c r="D125" i="568"/>
  <c r="D124" i="568"/>
  <c r="D123" i="568"/>
  <c r="D122" i="568"/>
  <c r="D121" i="568"/>
  <c r="D120" i="568"/>
  <c r="D119" i="568"/>
  <c r="D118" i="568"/>
  <c r="D117" i="568"/>
  <c r="D116" i="568"/>
  <c r="D115" i="568"/>
  <c r="D114" i="568"/>
  <c r="D113" i="568"/>
  <c r="D112" i="568"/>
  <c r="D111" i="568"/>
  <c r="D110" i="568"/>
  <c r="D109" i="568"/>
  <c r="D108" i="568"/>
  <c r="D107" i="568"/>
  <c r="D106" i="568"/>
  <c r="D105" i="568"/>
  <c r="D104" i="568"/>
  <c r="D103" i="568"/>
  <c r="D102" i="568"/>
  <c r="D101" i="568"/>
  <c r="D100" i="568"/>
  <c r="D99" i="568"/>
  <c r="D98" i="568"/>
  <c r="D97" i="568"/>
  <c r="D96" i="568"/>
  <c r="D95" i="568"/>
  <c r="D94" i="568"/>
  <c r="D93" i="568"/>
  <c r="D92" i="568"/>
  <c r="D91" i="568"/>
  <c r="D90" i="568"/>
  <c r="D89" i="568"/>
  <c r="D88" i="568"/>
  <c r="D87" i="568"/>
  <c r="D86" i="568"/>
  <c r="D85" i="568"/>
  <c r="D84" i="568"/>
  <c r="D83" i="568"/>
  <c r="D82" i="568"/>
  <c r="D81" i="568"/>
  <c r="D80" i="568"/>
  <c r="D79" i="568"/>
  <c r="D78" i="568"/>
  <c r="D77" i="568"/>
  <c r="D76" i="568"/>
  <c r="D75" i="568"/>
  <c r="D74" i="568"/>
  <c r="D73" i="568"/>
  <c r="D72" i="568"/>
  <c r="D71" i="568"/>
  <c r="D70" i="568"/>
  <c r="D69" i="568"/>
  <c r="D68" i="568"/>
  <c r="D67" i="568"/>
  <c r="D66" i="568"/>
  <c r="D65" i="568"/>
  <c r="D64" i="568"/>
  <c r="D63" i="568"/>
  <c r="D62" i="568"/>
  <c r="D61" i="568"/>
  <c r="D60" i="568"/>
  <c r="D59" i="568"/>
  <c r="D58" i="568"/>
  <c r="D57" i="568"/>
  <c r="D56" i="568"/>
  <c r="D55" i="568"/>
  <c r="D54" i="568"/>
  <c r="D53" i="568"/>
  <c r="D52" i="568"/>
  <c r="D51" i="568"/>
  <c r="D50" i="568"/>
  <c r="D49" i="568"/>
  <c r="D48" i="568"/>
  <c r="D47" i="568"/>
  <c r="D46" i="568"/>
  <c r="D45" i="568"/>
  <c r="D44" i="568"/>
  <c r="D43" i="568"/>
  <c r="D42" i="568"/>
  <c r="D41" i="568"/>
  <c r="D40" i="568"/>
  <c r="D39" i="568"/>
  <c r="D38" i="568"/>
  <c r="D37" i="568"/>
  <c r="D36" i="568"/>
  <c r="D35" i="568"/>
  <c r="D34" i="568"/>
  <c r="D33" i="568"/>
  <c r="D32" i="568"/>
  <c r="D31" i="568"/>
  <c r="D30" i="568"/>
  <c r="D29" i="568"/>
  <c r="D28" i="568"/>
  <c r="D27" i="568"/>
  <c r="D26" i="568"/>
  <c r="D25" i="568"/>
  <c r="D24" i="568"/>
  <c r="D23" i="568"/>
  <c r="D22" i="568"/>
  <c r="D21" i="568"/>
  <c r="D20" i="568"/>
  <c r="D19" i="568"/>
  <c r="D18" i="568"/>
  <c r="D17" i="568"/>
  <c r="D16" i="568"/>
  <c r="D15" i="568"/>
  <c r="D14" i="568"/>
  <c r="D13" i="568"/>
  <c r="D12" i="568"/>
  <c r="D11" i="568"/>
  <c r="D10" i="568"/>
  <c r="D9" i="568"/>
  <c r="D8" i="568"/>
  <c r="D7" i="568"/>
  <c r="D6" i="568"/>
  <c r="D5" i="568"/>
  <c r="D4" i="568"/>
  <c r="D3" i="568"/>
  <c r="D2" i="568"/>
  <c r="D1" i="568"/>
  <c r="E1" i="516" l="1"/>
  <c r="E1" i="522" s="1"/>
  <c r="E1" i="690" s="1"/>
  <c r="C12" i="561"/>
  <c r="E12" i="561" s="1"/>
  <c r="C11" i="561"/>
  <c r="A6" i="561"/>
  <c r="B17" i="560"/>
  <c r="A6" i="560"/>
  <c r="D11" i="559"/>
  <c r="A6" i="559"/>
  <c r="A6" i="558"/>
  <c r="A6" i="557"/>
  <c r="A6" i="556"/>
  <c r="C15" i="555"/>
  <c r="C11" i="555"/>
  <c r="A6" i="555"/>
  <c r="C22" i="554"/>
  <c r="C19" i="554"/>
  <c r="C18" i="554"/>
  <c r="C17" i="554"/>
  <c r="C16" i="554"/>
  <c r="C15" i="554"/>
  <c r="C13" i="554"/>
  <c r="C12" i="554"/>
  <c r="C11" i="554"/>
  <c r="C10" i="554"/>
  <c r="A6" i="554"/>
  <c r="I20" i="227"/>
  <c r="I49" i="227" s="1"/>
  <c r="E115" i="1"/>
  <c r="G115" i="1" s="1"/>
  <c r="I115" i="1" s="1"/>
  <c r="K115" i="1" s="1"/>
  <c r="M115" i="1" s="1"/>
  <c r="E114" i="1"/>
  <c r="G114" i="1" s="1"/>
  <c r="I114" i="1" s="1"/>
  <c r="K114" i="1" s="1"/>
  <c r="M114" i="1" s="1"/>
  <c r="B1201" i="553"/>
  <c r="B1200" i="553"/>
  <c r="B1199" i="553"/>
  <c r="B1198" i="553"/>
  <c r="B1197" i="553"/>
  <c r="B1196" i="553"/>
  <c r="B1195" i="553"/>
  <c r="B1194" i="553"/>
  <c r="B1193" i="553"/>
  <c r="B1192" i="553"/>
  <c r="B1191" i="553"/>
  <c r="B1190" i="553"/>
  <c r="B1189" i="553"/>
  <c r="B1188" i="553"/>
  <c r="B1187" i="553"/>
  <c r="B1186" i="553"/>
  <c r="B1185" i="553"/>
  <c r="B1184" i="553"/>
  <c r="B1183" i="553"/>
  <c r="B1182" i="553"/>
  <c r="B1181" i="553"/>
  <c r="B1180" i="553"/>
  <c r="B1179" i="553"/>
  <c r="B1178" i="553"/>
  <c r="B1177" i="553"/>
  <c r="B1176" i="553"/>
  <c r="B1175" i="553"/>
  <c r="B1174" i="553"/>
  <c r="B1173" i="553"/>
  <c r="B1172" i="553"/>
  <c r="B1171" i="553"/>
  <c r="B1170" i="553"/>
  <c r="B1169" i="553"/>
  <c r="B1168" i="553"/>
  <c r="B1167" i="553"/>
  <c r="B1166" i="553"/>
  <c r="B1165" i="553"/>
  <c r="B1164" i="553"/>
  <c r="B1163" i="553"/>
  <c r="B1162" i="553"/>
  <c r="B1161" i="553"/>
  <c r="B1160" i="553"/>
  <c r="B1159" i="553"/>
  <c r="B1158" i="553"/>
  <c r="B1157" i="553"/>
  <c r="B1156" i="553"/>
  <c r="B1155" i="553"/>
  <c r="B1154" i="553"/>
  <c r="B1153" i="553"/>
  <c r="B1152" i="553"/>
  <c r="B1151" i="553"/>
  <c r="B1150" i="553"/>
  <c r="B1149" i="553"/>
  <c r="B1148" i="553"/>
  <c r="B1147" i="553"/>
  <c r="B1146" i="553"/>
  <c r="B1145" i="553"/>
  <c r="B1144" i="553"/>
  <c r="B1143" i="553"/>
  <c r="B1142" i="553"/>
  <c r="B1141" i="553"/>
  <c r="B1140" i="553"/>
  <c r="B1139" i="553"/>
  <c r="B1138" i="553"/>
  <c r="B1137" i="553"/>
  <c r="B1136" i="553"/>
  <c r="B1135" i="553"/>
  <c r="B1134" i="553"/>
  <c r="B1133" i="553"/>
  <c r="B1132" i="553"/>
  <c r="B1131" i="553"/>
  <c r="B1130" i="553"/>
  <c r="B1129" i="553"/>
  <c r="B1128" i="553"/>
  <c r="B1127" i="553"/>
  <c r="B1126" i="553"/>
  <c r="B1125" i="553"/>
  <c r="B1124" i="553"/>
  <c r="B1123" i="553"/>
  <c r="B1122" i="553"/>
  <c r="B1121" i="553"/>
  <c r="B1120" i="553"/>
  <c r="B1119" i="553"/>
  <c r="B1118" i="553"/>
  <c r="B1117" i="553"/>
  <c r="B1116" i="553"/>
  <c r="B1115" i="553"/>
  <c r="B1114" i="553"/>
  <c r="B1113" i="553"/>
  <c r="B1112" i="553"/>
  <c r="B1111" i="553"/>
  <c r="B1110" i="553"/>
  <c r="B1109" i="553"/>
  <c r="B1108" i="553"/>
  <c r="B1107" i="553"/>
  <c r="B1106" i="553"/>
  <c r="B1105" i="553"/>
  <c r="B1104" i="553"/>
  <c r="B1103" i="553"/>
  <c r="B1102" i="553"/>
  <c r="B1101" i="553"/>
  <c r="B1100" i="553"/>
  <c r="B1099" i="553"/>
  <c r="B1098" i="553"/>
  <c r="B1097" i="553"/>
  <c r="B1096" i="553"/>
  <c r="B1095" i="553"/>
  <c r="B1094" i="553"/>
  <c r="B1093" i="553"/>
  <c r="B1092" i="553"/>
  <c r="B1091" i="553"/>
  <c r="B1090" i="553"/>
  <c r="B1089" i="553"/>
  <c r="B1088" i="553"/>
  <c r="B1087" i="553"/>
  <c r="B1086" i="553"/>
  <c r="B1085" i="553"/>
  <c r="B1084" i="553"/>
  <c r="B1083" i="553"/>
  <c r="B1082" i="553"/>
  <c r="B1081" i="553"/>
  <c r="B1080" i="553"/>
  <c r="B1079" i="553"/>
  <c r="B1078" i="553"/>
  <c r="B1077" i="553"/>
  <c r="B1076" i="553"/>
  <c r="B1075" i="553"/>
  <c r="B1074" i="553"/>
  <c r="B1073" i="553"/>
  <c r="B1072" i="553"/>
  <c r="B1071" i="553"/>
  <c r="B1070" i="553"/>
  <c r="B1069" i="553"/>
  <c r="B1068" i="553"/>
  <c r="B1067" i="553"/>
  <c r="B1066" i="553"/>
  <c r="B1065" i="553"/>
  <c r="B1064" i="553"/>
  <c r="B1063" i="553"/>
  <c r="B1062" i="553"/>
  <c r="B1061" i="553"/>
  <c r="B1060" i="553"/>
  <c r="B1059" i="553"/>
  <c r="B1058" i="553"/>
  <c r="B1057" i="553"/>
  <c r="B1056" i="553"/>
  <c r="B1055" i="553"/>
  <c r="B1054" i="553"/>
  <c r="B1053" i="553"/>
  <c r="B1052" i="553"/>
  <c r="B1051" i="553"/>
  <c r="B1050" i="553"/>
  <c r="B1049" i="553"/>
  <c r="B1048" i="553"/>
  <c r="B1047" i="553"/>
  <c r="B1046" i="553"/>
  <c r="B1045" i="553"/>
  <c r="B1044" i="553"/>
  <c r="B1043" i="553"/>
  <c r="B1042" i="553"/>
  <c r="B1041" i="553"/>
  <c r="B1040" i="553"/>
  <c r="B1039" i="553"/>
  <c r="B1038" i="553"/>
  <c r="B1037" i="553"/>
  <c r="B1036" i="553"/>
  <c r="B1035" i="553"/>
  <c r="B1034" i="553"/>
  <c r="B1033" i="553"/>
  <c r="B1032" i="553"/>
  <c r="B1031" i="553"/>
  <c r="B1030" i="553"/>
  <c r="B1029" i="553"/>
  <c r="B1028" i="553"/>
  <c r="B1027" i="553"/>
  <c r="B1026" i="553"/>
  <c r="B1025" i="553"/>
  <c r="B1024" i="553"/>
  <c r="B1023" i="553"/>
  <c r="B1022" i="553"/>
  <c r="B1021" i="553"/>
  <c r="B1020" i="553"/>
  <c r="B1019" i="553"/>
  <c r="B1018" i="553"/>
  <c r="B1017" i="553"/>
  <c r="B1016" i="553"/>
  <c r="B1015" i="553"/>
  <c r="B1014" i="553"/>
  <c r="B1013" i="553"/>
  <c r="B1012" i="553"/>
  <c r="B1011" i="553"/>
  <c r="B1010" i="553"/>
  <c r="B1009" i="553"/>
  <c r="B1008" i="553"/>
  <c r="B1007" i="553"/>
  <c r="B1006" i="553"/>
  <c r="B1005" i="553"/>
  <c r="B1004" i="553"/>
  <c r="B1003" i="553"/>
  <c r="B1002" i="553"/>
  <c r="B1001" i="553"/>
  <c r="B1000" i="553"/>
  <c r="B999" i="553"/>
  <c r="B998" i="553"/>
  <c r="B997" i="553"/>
  <c r="B996" i="553"/>
  <c r="B995" i="553"/>
  <c r="B994" i="553"/>
  <c r="B993" i="553"/>
  <c r="B992" i="553"/>
  <c r="B991" i="553"/>
  <c r="B990" i="553"/>
  <c r="B989" i="553"/>
  <c r="B988" i="553"/>
  <c r="B987" i="553"/>
  <c r="B986" i="553"/>
  <c r="B985" i="553"/>
  <c r="B984" i="553"/>
  <c r="B983" i="553"/>
  <c r="B982" i="553"/>
  <c r="B981" i="553"/>
  <c r="B980" i="553"/>
  <c r="B979" i="553"/>
  <c r="B978" i="553"/>
  <c r="B977" i="553"/>
  <c r="B976" i="553"/>
  <c r="B975" i="553"/>
  <c r="B974" i="553"/>
  <c r="B973" i="553"/>
  <c r="B972" i="553"/>
  <c r="B971" i="553"/>
  <c r="B970" i="553"/>
  <c r="B969" i="553"/>
  <c r="B968" i="553"/>
  <c r="B967" i="553"/>
  <c r="B966" i="553"/>
  <c r="B965" i="553"/>
  <c r="B964" i="553"/>
  <c r="B963" i="553"/>
  <c r="B962" i="553"/>
  <c r="B961" i="553"/>
  <c r="B960" i="553"/>
  <c r="B959" i="553"/>
  <c r="B958" i="553"/>
  <c r="B957" i="553"/>
  <c r="B956" i="553"/>
  <c r="B955" i="553"/>
  <c r="B954" i="553"/>
  <c r="B953" i="553"/>
  <c r="B952" i="553"/>
  <c r="B951" i="553"/>
  <c r="B950" i="553"/>
  <c r="B949" i="553"/>
  <c r="B948" i="553"/>
  <c r="B947" i="553"/>
  <c r="B946" i="553"/>
  <c r="B945" i="553"/>
  <c r="B944" i="553"/>
  <c r="B943" i="553"/>
  <c r="B942" i="553"/>
  <c r="B941" i="553"/>
  <c r="B940" i="553"/>
  <c r="B939" i="553"/>
  <c r="B938" i="553"/>
  <c r="B937" i="553"/>
  <c r="B936" i="553"/>
  <c r="B935" i="553"/>
  <c r="B934" i="553"/>
  <c r="B933" i="553"/>
  <c r="B932" i="553"/>
  <c r="B931" i="553"/>
  <c r="B930" i="553"/>
  <c r="B929" i="553"/>
  <c r="B928" i="553"/>
  <c r="B927" i="553"/>
  <c r="B926" i="553"/>
  <c r="B925" i="553"/>
  <c r="B924" i="553"/>
  <c r="B923" i="553"/>
  <c r="B922" i="553"/>
  <c r="B921" i="553"/>
  <c r="B920" i="553"/>
  <c r="B919" i="553"/>
  <c r="B918" i="553"/>
  <c r="B917" i="553"/>
  <c r="B916" i="553"/>
  <c r="B915" i="553"/>
  <c r="B914" i="553"/>
  <c r="B913" i="553"/>
  <c r="B912" i="553"/>
  <c r="B911" i="553"/>
  <c r="B910" i="553"/>
  <c r="B909" i="553"/>
  <c r="B908" i="553"/>
  <c r="B907" i="553"/>
  <c r="B906" i="553"/>
  <c r="B905" i="553"/>
  <c r="B904" i="553"/>
  <c r="B903" i="553"/>
  <c r="B902" i="553"/>
  <c r="B901" i="553"/>
  <c r="B900" i="553"/>
  <c r="B899" i="553"/>
  <c r="B898" i="553"/>
  <c r="B897" i="553"/>
  <c r="B896" i="553"/>
  <c r="B895" i="553"/>
  <c r="B894" i="553"/>
  <c r="B893" i="553"/>
  <c r="B892" i="553"/>
  <c r="B891" i="553"/>
  <c r="B890" i="553"/>
  <c r="B889" i="553"/>
  <c r="B888" i="553"/>
  <c r="B887" i="553"/>
  <c r="B886" i="553"/>
  <c r="B885" i="553"/>
  <c r="B884" i="553"/>
  <c r="B883" i="553"/>
  <c r="B882" i="553"/>
  <c r="B881" i="553"/>
  <c r="B880" i="553"/>
  <c r="B879" i="553"/>
  <c r="B878" i="553"/>
  <c r="B877" i="553"/>
  <c r="B876" i="553"/>
  <c r="B875" i="553"/>
  <c r="B874" i="553"/>
  <c r="B873" i="553"/>
  <c r="B872" i="553"/>
  <c r="B871" i="553"/>
  <c r="B870" i="553"/>
  <c r="B869" i="553"/>
  <c r="B868" i="553"/>
  <c r="B867" i="553"/>
  <c r="B866" i="553"/>
  <c r="B865" i="553"/>
  <c r="B864" i="553"/>
  <c r="B863" i="553"/>
  <c r="B862" i="553"/>
  <c r="B861" i="553"/>
  <c r="B860" i="553"/>
  <c r="B859" i="553"/>
  <c r="B858" i="553"/>
  <c r="B857" i="553"/>
  <c r="B856" i="553"/>
  <c r="B855" i="553"/>
  <c r="B854" i="553"/>
  <c r="B853" i="553"/>
  <c r="B852" i="553"/>
  <c r="B851" i="553"/>
  <c r="B850" i="553"/>
  <c r="B849" i="553"/>
  <c r="B848" i="553"/>
  <c r="B847" i="553"/>
  <c r="B846" i="553"/>
  <c r="B845" i="553"/>
  <c r="B844" i="553"/>
  <c r="B843" i="553"/>
  <c r="B842" i="553"/>
  <c r="B841" i="553"/>
  <c r="B840" i="553"/>
  <c r="B839" i="553"/>
  <c r="B838" i="553"/>
  <c r="B837" i="553"/>
  <c r="B836" i="553"/>
  <c r="B835" i="553"/>
  <c r="B834" i="553"/>
  <c r="B833" i="553"/>
  <c r="B832" i="553"/>
  <c r="B831" i="553"/>
  <c r="B830" i="553"/>
  <c r="B829" i="553"/>
  <c r="B828" i="553"/>
  <c r="B827" i="553"/>
  <c r="B826" i="553"/>
  <c r="B825" i="553"/>
  <c r="B824" i="553"/>
  <c r="B823" i="553"/>
  <c r="B822" i="553"/>
  <c r="B821" i="553"/>
  <c r="B820" i="553"/>
  <c r="B819" i="553"/>
  <c r="B818" i="553"/>
  <c r="B817" i="553"/>
  <c r="B816" i="553"/>
  <c r="B815" i="553"/>
  <c r="B814" i="553"/>
  <c r="B813" i="553"/>
  <c r="B812" i="553"/>
  <c r="B811" i="553"/>
  <c r="B810" i="553"/>
  <c r="B809" i="553"/>
  <c r="B808" i="553"/>
  <c r="B807" i="553"/>
  <c r="B806" i="553"/>
  <c r="B805" i="553"/>
  <c r="B804" i="553"/>
  <c r="B803" i="553"/>
  <c r="B802" i="553"/>
  <c r="B801" i="553"/>
  <c r="B800" i="553"/>
  <c r="B799" i="553"/>
  <c r="B798" i="553"/>
  <c r="B797" i="553"/>
  <c r="B796" i="553"/>
  <c r="B795" i="553"/>
  <c r="B794" i="553"/>
  <c r="B793" i="553"/>
  <c r="B792" i="553"/>
  <c r="B791" i="553"/>
  <c r="B790" i="553"/>
  <c r="B789" i="553"/>
  <c r="B788" i="553"/>
  <c r="B787" i="553"/>
  <c r="B786" i="553"/>
  <c r="B785" i="553"/>
  <c r="B784" i="553"/>
  <c r="B783" i="553"/>
  <c r="B782" i="553"/>
  <c r="B781" i="553"/>
  <c r="B780" i="553"/>
  <c r="B779" i="553"/>
  <c r="B778" i="553"/>
  <c r="B777" i="553"/>
  <c r="B776" i="553"/>
  <c r="B775" i="553"/>
  <c r="B774" i="553"/>
  <c r="B773" i="553"/>
  <c r="B772" i="553"/>
  <c r="B771" i="553"/>
  <c r="B770" i="553"/>
  <c r="B769" i="553"/>
  <c r="B768" i="553"/>
  <c r="B767" i="553"/>
  <c r="B766" i="553"/>
  <c r="B765" i="553"/>
  <c r="B764" i="553"/>
  <c r="B763" i="553"/>
  <c r="B762" i="553"/>
  <c r="B761" i="553"/>
  <c r="B760" i="553"/>
  <c r="B759" i="553"/>
  <c r="B758" i="553"/>
  <c r="B757" i="553"/>
  <c r="B756" i="553"/>
  <c r="B755" i="553"/>
  <c r="B754" i="553"/>
  <c r="B753" i="553"/>
  <c r="B752" i="553"/>
  <c r="B751" i="553"/>
  <c r="B750" i="553"/>
  <c r="B749" i="553"/>
  <c r="B748" i="553"/>
  <c r="B747" i="553"/>
  <c r="B746" i="553"/>
  <c r="B745" i="553"/>
  <c r="B744" i="553"/>
  <c r="B743" i="553"/>
  <c r="B742" i="553"/>
  <c r="B741" i="553"/>
  <c r="B740" i="553"/>
  <c r="B739" i="553"/>
  <c r="B738" i="553"/>
  <c r="B737" i="553"/>
  <c r="B736" i="553"/>
  <c r="B735" i="553"/>
  <c r="B734" i="553"/>
  <c r="B733" i="553"/>
  <c r="B732" i="553"/>
  <c r="B731" i="553"/>
  <c r="B730" i="553"/>
  <c r="B729" i="553"/>
  <c r="B728" i="553"/>
  <c r="B727" i="553"/>
  <c r="B726" i="553"/>
  <c r="B725" i="553"/>
  <c r="B724" i="553"/>
  <c r="B723" i="553"/>
  <c r="B722" i="553"/>
  <c r="B721" i="553"/>
  <c r="B720" i="553"/>
  <c r="B719" i="553"/>
  <c r="B718" i="553"/>
  <c r="B717" i="553"/>
  <c r="B716" i="553"/>
  <c r="B715" i="553"/>
  <c r="B714" i="553"/>
  <c r="B713" i="553"/>
  <c r="B712" i="553"/>
  <c r="B711" i="553"/>
  <c r="B710" i="553"/>
  <c r="B709" i="553"/>
  <c r="B708" i="553"/>
  <c r="B707" i="553"/>
  <c r="B706" i="553"/>
  <c r="B705" i="553"/>
  <c r="B704" i="553"/>
  <c r="B703" i="553"/>
  <c r="B702" i="553"/>
  <c r="B701" i="553"/>
  <c r="B700" i="553"/>
  <c r="B699" i="553"/>
  <c r="B698" i="553"/>
  <c r="B697" i="553"/>
  <c r="B696" i="553"/>
  <c r="B695" i="553"/>
  <c r="B694" i="553"/>
  <c r="B693" i="553"/>
  <c r="B692" i="553"/>
  <c r="B691" i="553"/>
  <c r="B690" i="553"/>
  <c r="B689" i="553"/>
  <c r="B688" i="553"/>
  <c r="B687" i="553"/>
  <c r="B686" i="553"/>
  <c r="B685" i="553"/>
  <c r="B684" i="553"/>
  <c r="B683" i="553"/>
  <c r="B682" i="553"/>
  <c r="B681" i="553"/>
  <c r="B680" i="553"/>
  <c r="B679" i="553"/>
  <c r="B678" i="553"/>
  <c r="B677" i="553"/>
  <c r="B676" i="553"/>
  <c r="B675" i="553"/>
  <c r="B674" i="553"/>
  <c r="B673" i="553"/>
  <c r="B672" i="553"/>
  <c r="B671" i="553"/>
  <c r="B670" i="553"/>
  <c r="B669" i="553"/>
  <c r="B668" i="553"/>
  <c r="B667" i="553"/>
  <c r="B666" i="553"/>
  <c r="B665" i="553"/>
  <c r="B664" i="553"/>
  <c r="B663" i="553"/>
  <c r="B662" i="553"/>
  <c r="B661" i="553"/>
  <c r="B660" i="553"/>
  <c r="B659" i="553"/>
  <c r="B658" i="553"/>
  <c r="B657" i="553"/>
  <c r="B656" i="553"/>
  <c r="B655" i="553"/>
  <c r="B654" i="553"/>
  <c r="B653" i="553"/>
  <c r="B652" i="553"/>
  <c r="B651" i="553"/>
  <c r="B650" i="553"/>
  <c r="B649" i="553"/>
  <c r="B648" i="553"/>
  <c r="B647" i="553"/>
  <c r="B646" i="553"/>
  <c r="B645" i="553"/>
  <c r="B644" i="553"/>
  <c r="B643" i="553"/>
  <c r="B642" i="553"/>
  <c r="B641" i="553"/>
  <c r="B640" i="553"/>
  <c r="B639" i="553"/>
  <c r="B638" i="553"/>
  <c r="B637" i="553"/>
  <c r="B636" i="553"/>
  <c r="B635" i="553"/>
  <c r="B634" i="553"/>
  <c r="B633" i="553"/>
  <c r="B632" i="553"/>
  <c r="B631" i="553"/>
  <c r="B630" i="553"/>
  <c r="B629" i="553"/>
  <c r="B628" i="553"/>
  <c r="B627" i="553"/>
  <c r="B626" i="553"/>
  <c r="B625" i="553"/>
  <c r="B624" i="553"/>
  <c r="B623" i="553"/>
  <c r="B622" i="553"/>
  <c r="B621" i="553"/>
  <c r="B620" i="553"/>
  <c r="B619" i="553"/>
  <c r="B618" i="553"/>
  <c r="B617" i="553"/>
  <c r="B616" i="553"/>
  <c r="B615" i="553"/>
  <c r="B614" i="553"/>
  <c r="B613" i="553"/>
  <c r="B612" i="553"/>
  <c r="B611" i="553"/>
  <c r="B610" i="553"/>
  <c r="B609" i="553"/>
  <c r="B608" i="553"/>
  <c r="B607" i="553"/>
  <c r="B606" i="553"/>
  <c r="B605" i="553"/>
  <c r="B604" i="553"/>
  <c r="B603" i="553"/>
  <c r="B602" i="553"/>
  <c r="B601" i="553"/>
  <c r="B600" i="553"/>
  <c r="B599" i="553"/>
  <c r="B598" i="553"/>
  <c r="B597" i="553"/>
  <c r="B596" i="553"/>
  <c r="B595" i="553"/>
  <c r="B594" i="553"/>
  <c r="B593" i="553"/>
  <c r="B592" i="553"/>
  <c r="B591" i="553"/>
  <c r="B590" i="553"/>
  <c r="B589" i="553"/>
  <c r="B588" i="553"/>
  <c r="B587" i="553"/>
  <c r="B586" i="553"/>
  <c r="B585" i="553"/>
  <c r="B584" i="553"/>
  <c r="B583" i="553"/>
  <c r="B582" i="553"/>
  <c r="B581" i="553"/>
  <c r="B580" i="553"/>
  <c r="B579" i="553"/>
  <c r="B578" i="553"/>
  <c r="B577" i="553"/>
  <c r="B576" i="553"/>
  <c r="B575" i="553"/>
  <c r="B574" i="553"/>
  <c r="B573" i="553"/>
  <c r="B572" i="553"/>
  <c r="B571" i="553"/>
  <c r="B570" i="553"/>
  <c r="B569" i="553"/>
  <c r="B568" i="553"/>
  <c r="B567" i="553"/>
  <c r="B566" i="553"/>
  <c r="B565" i="553"/>
  <c r="B564" i="553"/>
  <c r="B563" i="553"/>
  <c r="B562" i="553"/>
  <c r="B561" i="553"/>
  <c r="B560" i="553"/>
  <c r="B559" i="553"/>
  <c r="B558" i="553"/>
  <c r="B557" i="553"/>
  <c r="B556" i="553"/>
  <c r="B555" i="553"/>
  <c r="B554" i="553"/>
  <c r="B553" i="553"/>
  <c r="B552" i="553"/>
  <c r="B551" i="553"/>
  <c r="B550" i="553"/>
  <c r="B549" i="553"/>
  <c r="B548" i="553"/>
  <c r="B547" i="553"/>
  <c r="B546" i="553"/>
  <c r="B545" i="553"/>
  <c r="B544" i="553"/>
  <c r="B543" i="553"/>
  <c r="B542" i="553"/>
  <c r="B541" i="553"/>
  <c r="B540" i="553"/>
  <c r="B539" i="553"/>
  <c r="B538" i="553"/>
  <c r="B537" i="553"/>
  <c r="B536" i="553"/>
  <c r="B535" i="553"/>
  <c r="B534" i="553"/>
  <c r="B533" i="553"/>
  <c r="B532" i="553"/>
  <c r="B531" i="553"/>
  <c r="B530" i="553"/>
  <c r="B529" i="553"/>
  <c r="B528" i="553"/>
  <c r="B527" i="553"/>
  <c r="B526" i="553"/>
  <c r="B525" i="553"/>
  <c r="B524" i="553"/>
  <c r="B523" i="553"/>
  <c r="B522" i="553"/>
  <c r="B521" i="553"/>
  <c r="B520" i="553"/>
  <c r="B519" i="553"/>
  <c r="B518" i="553"/>
  <c r="B517" i="553"/>
  <c r="B516" i="553"/>
  <c r="B515" i="553"/>
  <c r="B514" i="553"/>
  <c r="B513" i="553"/>
  <c r="B512" i="553"/>
  <c r="B511" i="553"/>
  <c r="B510" i="553"/>
  <c r="B509" i="553"/>
  <c r="B508" i="553"/>
  <c r="B507" i="553"/>
  <c r="B506" i="553"/>
  <c r="B505" i="553"/>
  <c r="B504" i="553"/>
  <c r="B503" i="553"/>
  <c r="B502" i="553"/>
  <c r="B501" i="553"/>
  <c r="B500" i="553"/>
  <c r="B499" i="553"/>
  <c r="B498" i="553"/>
  <c r="B497" i="553"/>
  <c r="B496" i="553"/>
  <c r="B495" i="553"/>
  <c r="B494" i="553"/>
  <c r="B493" i="553"/>
  <c r="B492" i="553"/>
  <c r="B491" i="553"/>
  <c r="B490" i="553"/>
  <c r="B489" i="553"/>
  <c r="B488" i="553"/>
  <c r="B487" i="553"/>
  <c r="B486" i="553"/>
  <c r="B485" i="553"/>
  <c r="B484" i="553"/>
  <c r="B483" i="553"/>
  <c r="B482" i="553"/>
  <c r="B481" i="553"/>
  <c r="B480" i="553"/>
  <c r="B479" i="553"/>
  <c r="B478" i="553"/>
  <c r="B477" i="553"/>
  <c r="B476" i="553"/>
  <c r="B475" i="553"/>
  <c r="B474" i="553"/>
  <c r="B473" i="553"/>
  <c r="B472" i="553"/>
  <c r="B471" i="553"/>
  <c r="B470" i="553"/>
  <c r="B469" i="553"/>
  <c r="B468" i="553"/>
  <c r="B467" i="553"/>
  <c r="B466" i="553"/>
  <c r="B465" i="553"/>
  <c r="B464" i="553"/>
  <c r="B463" i="553"/>
  <c r="B462" i="553"/>
  <c r="B461" i="553"/>
  <c r="B460" i="553"/>
  <c r="B459" i="553"/>
  <c r="B458" i="553"/>
  <c r="B457" i="553"/>
  <c r="B456" i="553"/>
  <c r="B455" i="553"/>
  <c r="B454" i="553"/>
  <c r="B453" i="553"/>
  <c r="B452" i="553"/>
  <c r="B451" i="553"/>
  <c r="B450" i="553"/>
  <c r="B449" i="553"/>
  <c r="B448" i="553"/>
  <c r="B447" i="553"/>
  <c r="B446" i="553"/>
  <c r="B445" i="553"/>
  <c r="B444" i="553"/>
  <c r="B443" i="553"/>
  <c r="B442" i="553"/>
  <c r="B441" i="553"/>
  <c r="B440" i="553"/>
  <c r="B439" i="553"/>
  <c r="B438" i="553"/>
  <c r="B437" i="553"/>
  <c r="B436" i="553"/>
  <c r="B435" i="553"/>
  <c r="B434" i="553"/>
  <c r="B433" i="553"/>
  <c r="B432" i="553"/>
  <c r="B431" i="553"/>
  <c r="B430" i="553"/>
  <c r="B429" i="553"/>
  <c r="B428" i="553"/>
  <c r="B427" i="553"/>
  <c r="B426" i="553"/>
  <c r="B425" i="553"/>
  <c r="B424" i="553"/>
  <c r="B423" i="553"/>
  <c r="B422" i="553"/>
  <c r="B421" i="553"/>
  <c r="B420" i="553"/>
  <c r="B419" i="553"/>
  <c r="B418" i="553"/>
  <c r="B417" i="553"/>
  <c r="B416" i="553"/>
  <c r="B415" i="553"/>
  <c r="B414" i="553"/>
  <c r="B413" i="553"/>
  <c r="B412" i="553"/>
  <c r="B411" i="553"/>
  <c r="B410" i="553"/>
  <c r="B409" i="553"/>
  <c r="B408" i="553"/>
  <c r="B407" i="553"/>
  <c r="B406" i="553"/>
  <c r="B405" i="553"/>
  <c r="B404" i="553"/>
  <c r="B403" i="553"/>
  <c r="B402" i="553"/>
  <c r="B401" i="553"/>
  <c r="B400" i="553"/>
  <c r="B399" i="553"/>
  <c r="B398" i="553"/>
  <c r="B397" i="553"/>
  <c r="B396" i="553"/>
  <c r="B395" i="553"/>
  <c r="B394" i="553"/>
  <c r="B393" i="553"/>
  <c r="B392" i="553"/>
  <c r="B391" i="553"/>
  <c r="B390" i="553"/>
  <c r="B389" i="553"/>
  <c r="B388" i="553"/>
  <c r="B387" i="553"/>
  <c r="B386" i="553"/>
  <c r="B385" i="553"/>
  <c r="B384" i="553"/>
  <c r="B383" i="553"/>
  <c r="B382" i="553"/>
  <c r="B381" i="553"/>
  <c r="B380" i="553"/>
  <c r="B379" i="553"/>
  <c r="B378" i="553"/>
  <c r="B377" i="553"/>
  <c r="B376" i="553"/>
  <c r="B375" i="553"/>
  <c r="B374" i="553"/>
  <c r="B373" i="553"/>
  <c r="B372" i="553"/>
  <c r="B371" i="553"/>
  <c r="B370" i="553"/>
  <c r="B369" i="553"/>
  <c r="B368" i="553"/>
  <c r="B367" i="553"/>
  <c r="B366" i="553"/>
  <c r="B365" i="553"/>
  <c r="B364" i="553"/>
  <c r="B363" i="553"/>
  <c r="B362" i="553"/>
  <c r="B361" i="553"/>
  <c r="B360" i="553"/>
  <c r="B359" i="553"/>
  <c r="B358" i="553"/>
  <c r="B357" i="553"/>
  <c r="B356" i="553"/>
  <c r="B355" i="553"/>
  <c r="B354" i="553"/>
  <c r="B353" i="553"/>
  <c r="B352" i="553"/>
  <c r="B351" i="553"/>
  <c r="B350" i="553"/>
  <c r="B349" i="553"/>
  <c r="B348" i="553"/>
  <c r="B347" i="553"/>
  <c r="B346" i="553"/>
  <c r="B345" i="553"/>
  <c r="B344" i="553"/>
  <c r="B343" i="553"/>
  <c r="B342" i="553"/>
  <c r="B341" i="553"/>
  <c r="B340" i="553"/>
  <c r="B339" i="553"/>
  <c r="B338" i="553"/>
  <c r="B337" i="553"/>
  <c r="B336" i="553"/>
  <c r="B335" i="553"/>
  <c r="B334" i="553"/>
  <c r="B333" i="553"/>
  <c r="B332" i="553"/>
  <c r="B331" i="553"/>
  <c r="B330" i="553"/>
  <c r="B329" i="553"/>
  <c r="B328" i="553"/>
  <c r="B327" i="553"/>
  <c r="B326" i="553"/>
  <c r="B325" i="553"/>
  <c r="B324" i="553"/>
  <c r="B323" i="553"/>
  <c r="B322" i="553"/>
  <c r="B321" i="553"/>
  <c r="B320" i="553"/>
  <c r="B319" i="553"/>
  <c r="B318" i="553"/>
  <c r="B317" i="553"/>
  <c r="B316" i="553"/>
  <c r="B315" i="553"/>
  <c r="B314" i="553"/>
  <c r="B313" i="553"/>
  <c r="B312" i="553"/>
  <c r="B311" i="553"/>
  <c r="B310" i="553"/>
  <c r="B309" i="553"/>
  <c r="B308" i="553"/>
  <c r="B307" i="553"/>
  <c r="B306" i="553"/>
  <c r="B305" i="553"/>
  <c r="B304" i="553"/>
  <c r="B303" i="553"/>
  <c r="B302" i="553"/>
  <c r="B301" i="553"/>
  <c r="B300" i="553"/>
  <c r="B299" i="553"/>
  <c r="B298" i="553"/>
  <c r="B297" i="553"/>
  <c r="B296" i="553"/>
  <c r="B295" i="553"/>
  <c r="B294" i="553"/>
  <c r="B293" i="553"/>
  <c r="B292" i="553"/>
  <c r="B291" i="553"/>
  <c r="B290" i="553"/>
  <c r="B289" i="553"/>
  <c r="B288" i="553"/>
  <c r="B287" i="553"/>
  <c r="B286" i="553"/>
  <c r="B285" i="553"/>
  <c r="B284" i="553"/>
  <c r="B283" i="553"/>
  <c r="B282" i="553"/>
  <c r="B281" i="553"/>
  <c r="B280" i="553"/>
  <c r="B279" i="553"/>
  <c r="B278" i="553"/>
  <c r="B277" i="553"/>
  <c r="B276" i="553"/>
  <c r="B275" i="553"/>
  <c r="B274" i="553"/>
  <c r="B273" i="553"/>
  <c r="B272" i="553"/>
  <c r="B271" i="553"/>
  <c r="B270" i="553"/>
  <c r="B269" i="553"/>
  <c r="B268" i="553"/>
  <c r="B267" i="553"/>
  <c r="B266" i="553"/>
  <c r="B265" i="553"/>
  <c r="B264" i="553"/>
  <c r="B263" i="553"/>
  <c r="B262" i="553"/>
  <c r="B261" i="553"/>
  <c r="B260" i="553"/>
  <c r="B259" i="553"/>
  <c r="B258" i="553"/>
  <c r="B257" i="553"/>
  <c r="B256" i="553"/>
  <c r="B255" i="553"/>
  <c r="B254" i="553"/>
  <c r="B253" i="553"/>
  <c r="B252" i="553"/>
  <c r="B251" i="553"/>
  <c r="B250" i="553"/>
  <c r="B249" i="553"/>
  <c r="B248" i="553"/>
  <c r="B247" i="553"/>
  <c r="B246" i="553"/>
  <c r="B245" i="553"/>
  <c r="B244" i="553"/>
  <c r="B243" i="553"/>
  <c r="B242" i="553"/>
  <c r="B241" i="553"/>
  <c r="B240" i="553"/>
  <c r="B239" i="553"/>
  <c r="B238" i="553"/>
  <c r="B237" i="553"/>
  <c r="B236" i="553"/>
  <c r="B235" i="553"/>
  <c r="B234" i="553"/>
  <c r="B233" i="553"/>
  <c r="B232" i="553"/>
  <c r="B231" i="553"/>
  <c r="B230" i="553"/>
  <c r="B229" i="553"/>
  <c r="B228" i="553"/>
  <c r="B227" i="553"/>
  <c r="B226" i="553"/>
  <c r="B225" i="553"/>
  <c r="B224" i="553"/>
  <c r="B223" i="553"/>
  <c r="B222" i="553"/>
  <c r="B221" i="553"/>
  <c r="B220" i="553"/>
  <c r="B219" i="553"/>
  <c r="B218" i="553"/>
  <c r="B217" i="553"/>
  <c r="B216" i="553"/>
  <c r="B215" i="553"/>
  <c r="B214" i="553"/>
  <c r="B213" i="553"/>
  <c r="B212" i="553"/>
  <c r="B211" i="553"/>
  <c r="B210" i="553"/>
  <c r="B209" i="553"/>
  <c r="B208" i="553"/>
  <c r="B207" i="553"/>
  <c r="B206" i="553"/>
  <c r="B205" i="553"/>
  <c r="B204" i="553"/>
  <c r="B203" i="553"/>
  <c r="B202" i="553"/>
  <c r="B201" i="553"/>
  <c r="B200" i="553"/>
  <c r="B199" i="553"/>
  <c r="B198" i="553"/>
  <c r="B197" i="553"/>
  <c r="B196" i="553"/>
  <c r="B195" i="553"/>
  <c r="B194" i="553"/>
  <c r="B193" i="553"/>
  <c r="B192" i="553"/>
  <c r="B191" i="553"/>
  <c r="B190" i="553"/>
  <c r="B189" i="553"/>
  <c r="B188" i="553"/>
  <c r="B187" i="553"/>
  <c r="B186" i="553"/>
  <c r="B185" i="553"/>
  <c r="B184" i="553"/>
  <c r="B183" i="553"/>
  <c r="B182" i="553"/>
  <c r="B181" i="553"/>
  <c r="B180" i="553"/>
  <c r="B179" i="553"/>
  <c r="B178" i="553"/>
  <c r="B177" i="553"/>
  <c r="B176" i="553"/>
  <c r="B175" i="553"/>
  <c r="B174" i="553"/>
  <c r="B173" i="553"/>
  <c r="B172" i="553"/>
  <c r="B171" i="553"/>
  <c r="B170" i="553"/>
  <c r="B169" i="553"/>
  <c r="B168" i="553"/>
  <c r="B167" i="553"/>
  <c r="B166" i="553"/>
  <c r="B165" i="553"/>
  <c r="B164" i="553"/>
  <c r="B163" i="553"/>
  <c r="B162" i="553"/>
  <c r="B161" i="553"/>
  <c r="B160" i="553"/>
  <c r="B159" i="553"/>
  <c r="B158" i="553"/>
  <c r="B157" i="553"/>
  <c r="B156" i="553"/>
  <c r="B155" i="553"/>
  <c r="B154" i="553"/>
  <c r="B153" i="553"/>
  <c r="B152" i="553"/>
  <c r="B151" i="553"/>
  <c r="B150" i="553"/>
  <c r="B149" i="553"/>
  <c r="B148" i="553"/>
  <c r="B147" i="553"/>
  <c r="B146" i="553"/>
  <c r="B145" i="553"/>
  <c r="B144" i="553"/>
  <c r="B143" i="553"/>
  <c r="B142" i="553"/>
  <c r="B141" i="553"/>
  <c r="B140" i="553"/>
  <c r="B139" i="553"/>
  <c r="B138" i="553"/>
  <c r="B137" i="553"/>
  <c r="B136" i="553"/>
  <c r="B135" i="553"/>
  <c r="B134" i="553"/>
  <c r="B133" i="553"/>
  <c r="B132" i="553"/>
  <c r="B131" i="553"/>
  <c r="B130" i="553"/>
  <c r="B129" i="553"/>
  <c r="B128" i="553"/>
  <c r="B127" i="553"/>
  <c r="B126" i="553"/>
  <c r="B125" i="553"/>
  <c r="B124" i="553"/>
  <c r="B123" i="553"/>
  <c r="B122" i="553"/>
  <c r="B121" i="553"/>
  <c r="B120" i="553"/>
  <c r="B119" i="553"/>
  <c r="B118" i="553"/>
  <c r="B117" i="553"/>
  <c r="B116" i="553"/>
  <c r="B115" i="553"/>
  <c r="B114" i="553"/>
  <c r="B113" i="553"/>
  <c r="B112" i="553"/>
  <c r="B111" i="553"/>
  <c r="B110" i="553"/>
  <c r="B109" i="553"/>
  <c r="B108" i="553"/>
  <c r="B107" i="553"/>
  <c r="B106" i="553"/>
  <c r="B105" i="553"/>
  <c r="B104" i="553"/>
  <c r="B103" i="553"/>
  <c r="B102" i="553"/>
  <c r="B101" i="553"/>
  <c r="B100" i="553"/>
  <c r="B99" i="553"/>
  <c r="B98" i="553"/>
  <c r="B97" i="553"/>
  <c r="B96" i="553"/>
  <c r="B95" i="553"/>
  <c r="B94" i="553"/>
  <c r="B93" i="553"/>
  <c r="B92" i="553"/>
  <c r="B91" i="553"/>
  <c r="B90" i="553"/>
  <c r="B89" i="553"/>
  <c r="B88" i="553"/>
  <c r="B87" i="553"/>
  <c r="B86" i="553"/>
  <c r="B85" i="553"/>
  <c r="B84" i="553"/>
  <c r="B83" i="553"/>
  <c r="B82" i="553"/>
  <c r="B81" i="553"/>
  <c r="B80" i="553"/>
  <c r="B79" i="553"/>
  <c r="B78" i="553"/>
  <c r="B77" i="553"/>
  <c r="B76" i="553"/>
  <c r="B75" i="553"/>
  <c r="B74" i="553"/>
  <c r="B73" i="553"/>
  <c r="B72" i="553"/>
  <c r="B71" i="553"/>
  <c r="B70" i="553"/>
  <c r="B69" i="553"/>
  <c r="B68" i="553"/>
  <c r="B67" i="553"/>
  <c r="B66" i="553"/>
  <c r="B65" i="553"/>
  <c r="B64" i="553"/>
  <c r="B63" i="553"/>
  <c r="B62" i="553"/>
  <c r="B61" i="553"/>
  <c r="B60" i="553"/>
  <c r="B59" i="553"/>
  <c r="B58" i="553"/>
  <c r="B57" i="553"/>
  <c r="B56" i="553"/>
  <c r="B55" i="553"/>
  <c r="B54" i="553"/>
  <c r="B53" i="553"/>
  <c r="B52" i="553"/>
  <c r="B51" i="553"/>
  <c r="B50" i="553"/>
  <c r="B49" i="553"/>
  <c r="B48" i="553"/>
  <c r="B47" i="553"/>
  <c r="B46" i="553"/>
  <c r="B45" i="553"/>
  <c r="B44" i="553"/>
  <c r="B43" i="553"/>
  <c r="B42" i="553"/>
  <c r="B41" i="553"/>
  <c r="B40" i="553"/>
  <c r="B39" i="553"/>
  <c r="B38" i="553"/>
  <c r="B37" i="553"/>
  <c r="B36" i="553"/>
  <c r="B35" i="553"/>
  <c r="B34" i="553"/>
  <c r="B33" i="553"/>
  <c r="B32" i="553"/>
  <c r="B31" i="553"/>
  <c r="B30" i="553"/>
  <c r="B29" i="553"/>
  <c r="B28" i="553"/>
  <c r="B27" i="553"/>
  <c r="B26" i="553"/>
  <c r="B25" i="553"/>
  <c r="B24" i="553"/>
  <c r="B23" i="553"/>
  <c r="B22" i="553"/>
  <c r="B21" i="553"/>
  <c r="B20" i="553"/>
  <c r="B19" i="553"/>
  <c r="B18" i="553"/>
  <c r="B17" i="553"/>
  <c r="B16" i="553"/>
  <c r="B15" i="553"/>
  <c r="B14" i="553"/>
  <c r="B13" i="553"/>
  <c r="B12" i="553"/>
  <c r="B11" i="553"/>
  <c r="B10" i="553"/>
  <c r="B9" i="553"/>
  <c r="B8" i="553"/>
  <c r="B7" i="553"/>
  <c r="B6" i="553"/>
  <c r="B5" i="553"/>
  <c r="B4" i="553"/>
  <c r="B3" i="553"/>
  <c r="B2" i="553"/>
  <c r="B1" i="553"/>
  <c r="E1" i="633" l="1"/>
  <c r="E1" i="554"/>
  <c r="C13" i="561"/>
  <c r="E2" i="516"/>
  <c r="E2" i="522" s="1"/>
  <c r="E2" i="690" s="1"/>
  <c r="E2" i="633" l="1"/>
  <c r="E2" i="554"/>
  <c r="D2" i="518"/>
  <c r="D2" i="524" s="1"/>
  <c r="D2" i="692" s="1"/>
  <c r="D2" i="630" l="1"/>
  <c r="D2" i="557"/>
  <c r="B1016" i="550" l="1"/>
  <c r="B1015" i="550"/>
  <c r="B1014" i="550"/>
  <c r="B1013" i="550"/>
  <c r="B1012" i="550"/>
  <c r="B1011" i="550"/>
  <c r="B1010" i="550"/>
  <c r="B1009" i="550"/>
  <c r="B1008" i="550"/>
  <c r="B1007" i="550"/>
  <c r="B1006" i="550"/>
  <c r="B1005" i="550"/>
  <c r="B1004" i="550"/>
  <c r="B1003" i="550"/>
  <c r="B1002" i="550"/>
  <c r="B1001" i="550"/>
  <c r="B1000" i="550"/>
  <c r="B999" i="550"/>
  <c r="B998" i="550"/>
  <c r="B997" i="550"/>
  <c r="B996" i="550"/>
  <c r="B995" i="550"/>
  <c r="B994" i="550"/>
  <c r="B993" i="550"/>
  <c r="B992" i="550"/>
  <c r="B991" i="550"/>
  <c r="B990" i="550"/>
  <c r="B989" i="550"/>
  <c r="B988" i="550"/>
  <c r="B987" i="550"/>
  <c r="B986" i="550"/>
  <c r="B985" i="550"/>
  <c r="B984" i="550"/>
  <c r="B983" i="550"/>
  <c r="B982" i="550"/>
  <c r="B981" i="550"/>
  <c r="B980" i="550"/>
  <c r="B979" i="550"/>
  <c r="B978" i="550"/>
  <c r="B977" i="550"/>
  <c r="B976" i="550"/>
  <c r="B975" i="550"/>
  <c r="B974" i="550"/>
  <c r="B973" i="550"/>
  <c r="B972" i="550"/>
  <c r="B971" i="550"/>
  <c r="B970" i="550"/>
  <c r="B969" i="550"/>
  <c r="B968" i="550"/>
  <c r="B967" i="550"/>
  <c r="B966" i="550"/>
  <c r="B965" i="550"/>
  <c r="B964" i="550"/>
  <c r="B963" i="550"/>
  <c r="B962" i="550"/>
  <c r="B961" i="550"/>
  <c r="B960" i="550"/>
  <c r="B959" i="550"/>
  <c r="B958" i="550"/>
  <c r="B957" i="550"/>
  <c r="B956" i="550"/>
  <c r="B955" i="550"/>
  <c r="B954" i="550"/>
  <c r="B953" i="550"/>
  <c r="B952" i="550"/>
  <c r="B951" i="550"/>
  <c r="B950" i="550"/>
  <c r="B949" i="550"/>
  <c r="B948" i="550"/>
  <c r="B947" i="550"/>
  <c r="B946" i="550"/>
  <c r="B945" i="550"/>
  <c r="B944" i="550"/>
  <c r="B943" i="550"/>
  <c r="B942" i="550"/>
  <c r="B941" i="550"/>
  <c r="B940" i="550"/>
  <c r="B939" i="550"/>
  <c r="B938" i="550"/>
  <c r="B937" i="550"/>
  <c r="B936" i="550"/>
  <c r="B935" i="550"/>
  <c r="B934" i="550"/>
  <c r="B933" i="550"/>
  <c r="B932" i="550"/>
  <c r="B931" i="550"/>
  <c r="B930" i="550"/>
  <c r="B929" i="550"/>
  <c r="B928" i="550"/>
  <c r="B927" i="550"/>
  <c r="B926" i="550"/>
  <c r="B925" i="550"/>
  <c r="B924" i="550"/>
  <c r="B923" i="550"/>
  <c r="B922" i="550"/>
  <c r="B921" i="550"/>
  <c r="B920" i="550"/>
  <c r="B919" i="550"/>
  <c r="B918" i="550"/>
  <c r="B917" i="550"/>
  <c r="B916" i="550"/>
  <c r="B915" i="550"/>
  <c r="B914" i="550"/>
  <c r="B913" i="550"/>
  <c r="B912" i="550"/>
  <c r="B911" i="550"/>
  <c r="B910" i="550"/>
  <c r="B909" i="550"/>
  <c r="B908" i="550"/>
  <c r="B907" i="550"/>
  <c r="B906" i="550"/>
  <c r="B905" i="550"/>
  <c r="B904" i="550"/>
  <c r="B903" i="550"/>
  <c r="B902" i="550"/>
  <c r="B901" i="550"/>
  <c r="B900" i="550"/>
  <c r="B899" i="550"/>
  <c r="B898" i="550"/>
  <c r="B897" i="550"/>
  <c r="B896" i="550"/>
  <c r="B895" i="550"/>
  <c r="B894" i="550"/>
  <c r="B893" i="550"/>
  <c r="B892" i="550"/>
  <c r="B891" i="550"/>
  <c r="B890" i="550"/>
  <c r="B889" i="550"/>
  <c r="B888" i="550"/>
  <c r="B887" i="550"/>
  <c r="B886" i="550"/>
  <c r="B885" i="550"/>
  <c r="B884" i="550"/>
  <c r="B883" i="550"/>
  <c r="B882" i="550"/>
  <c r="B881" i="550"/>
  <c r="B880" i="550"/>
  <c r="B879" i="550"/>
  <c r="B878" i="550"/>
  <c r="B877" i="550"/>
  <c r="B876" i="550"/>
  <c r="B875" i="550"/>
  <c r="B874" i="550"/>
  <c r="B873" i="550"/>
  <c r="B872" i="550"/>
  <c r="B871" i="550"/>
  <c r="B870" i="550"/>
  <c r="B869" i="550"/>
  <c r="B868" i="550"/>
  <c r="B867" i="550"/>
  <c r="B866" i="550"/>
  <c r="B865" i="550"/>
  <c r="B864" i="550"/>
  <c r="B863" i="550"/>
  <c r="B862" i="550"/>
  <c r="B861" i="550"/>
  <c r="B860" i="550"/>
  <c r="B859" i="550"/>
  <c r="B858" i="550"/>
  <c r="B857" i="550"/>
  <c r="B856" i="550"/>
  <c r="B855" i="550"/>
  <c r="B854" i="550"/>
  <c r="B853" i="550"/>
  <c r="B852" i="550"/>
  <c r="B851" i="550"/>
  <c r="B850" i="550"/>
  <c r="B849" i="550"/>
  <c r="B848" i="550"/>
  <c r="B847" i="550"/>
  <c r="B846" i="550"/>
  <c r="B845" i="550"/>
  <c r="B844" i="550"/>
  <c r="B843" i="550"/>
  <c r="B842" i="550"/>
  <c r="B841" i="550"/>
  <c r="B840" i="550"/>
  <c r="B839" i="550"/>
  <c r="B838" i="550"/>
  <c r="B837" i="550"/>
  <c r="B836" i="550"/>
  <c r="B835" i="550"/>
  <c r="B834" i="550"/>
  <c r="B833" i="550"/>
  <c r="B832" i="550"/>
  <c r="B831" i="550"/>
  <c r="B830" i="550"/>
  <c r="B829" i="550"/>
  <c r="B828" i="550"/>
  <c r="B827" i="550"/>
  <c r="B826" i="550"/>
  <c r="B825" i="550"/>
  <c r="B824" i="550"/>
  <c r="B823" i="550"/>
  <c r="B822" i="550"/>
  <c r="B821" i="550"/>
  <c r="B820" i="550"/>
  <c r="B819" i="550"/>
  <c r="B818" i="550"/>
  <c r="B817" i="550"/>
  <c r="B816" i="550"/>
  <c r="B815" i="550"/>
  <c r="B814" i="550"/>
  <c r="B813" i="550"/>
  <c r="B812" i="550"/>
  <c r="B811" i="550"/>
  <c r="B810" i="550"/>
  <c r="B809" i="550"/>
  <c r="B808" i="550"/>
  <c r="B807" i="550"/>
  <c r="B806" i="550"/>
  <c r="B805" i="550"/>
  <c r="B804" i="550"/>
  <c r="B803" i="550"/>
  <c r="B802" i="550"/>
  <c r="B801" i="550"/>
  <c r="B800" i="550"/>
  <c r="B799" i="550"/>
  <c r="B798" i="550"/>
  <c r="B797" i="550"/>
  <c r="B796" i="550"/>
  <c r="B795" i="550"/>
  <c r="B794" i="550"/>
  <c r="B793" i="550"/>
  <c r="B792" i="550"/>
  <c r="B791" i="550"/>
  <c r="B790" i="550"/>
  <c r="B789" i="550"/>
  <c r="B788" i="550"/>
  <c r="B787" i="550"/>
  <c r="B786" i="550"/>
  <c r="B785" i="550"/>
  <c r="B784" i="550"/>
  <c r="B783" i="550"/>
  <c r="B782" i="550"/>
  <c r="B781" i="550"/>
  <c r="B780" i="550"/>
  <c r="B779" i="550"/>
  <c r="B778" i="550"/>
  <c r="B777" i="550"/>
  <c r="B776" i="550"/>
  <c r="B775" i="550"/>
  <c r="B774" i="550"/>
  <c r="B773" i="550"/>
  <c r="B772" i="550"/>
  <c r="B771" i="550"/>
  <c r="B770" i="550"/>
  <c r="B769" i="550"/>
  <c r="B768" i="550"/>
  <c r="B767" i="550"/>
  <c r="B766" i="550"/>
  <c r="B765" i="550"/>
  <c r="B764" i="550"/>
  <c r="B763" i="550"/>
  <c r="B762" i="550"/>
  <c r="B761" i="550"/>
  <c r="B760" i="550"/>
  <c r="B759" i="550"/>
  <c r="B758" i="550"/>
  <c r="B757" i="550"/>
  <c r="B756" i="550"/>
  <c r="B755" i="550"/>
  <c r="B754" i="550"/>
  <c r="B753" i="550"/>
  <c r="B752" i="550"/>
  <c r="B751" i="550"/>
  <c r="B750" i="550"/>
  <c r="B749" i="550"/>
  <c r="B748" i="550"/>
  <c r="B747" i="550"/>
  <c r="B746" i="550"/>
  <c r="B745" i="550"/>
  <c r="B744" i="550"/>
  <c r="B743" i="550"/>
  <c r="B742" i="550"/>
  <c r="B741" i="550"/>
  <c r="B740" i="550"/>
  <c r="B739" i="550"/>
  <c r="B738" i="550"/>
  <c r="B737" i="550"/>
  <c r="B736" i="550"/>
  <c r="B735" i="550"/>
  <c r="B734" i="550"/>
  <c r="B733" i="550"/>
  <c r="B732" i="550"/>
  <c r="B731" i="550"/>
  <c r="B730" i="550"/>
  <c r="B729" i="550"/>
  <c r="B728" i="550"/>
  <c r="B727" i="550"/>
  <c r="B726" i="550"/>
  <c r="B725" i="550"/>
  <c r="B724" i="550"/>
  <c r="B723" i="550"/>
  <c r="B722" i="550"/>
  <c r="B721" i="550"/>
  <c r="B720" i="550"/>
  <c r="B719" i="550"/>
  <c r="B718" i="550"/>
  <c r="B717" i="550"/>
  <c r="B716" i="550"/>
  <c r="B715" i="550"/>
  <c r="B714" i="550"/>
  <c r="B713" i="550"/>
  <c r="B712" i="550"/>
  <c r="B711" i="550"/>
  <c r="B710" i="550"/>
  <c r="B709" i="550"/>
  <c r="B708" i="550"/>
  <c r="B707" i="550"/>
  <c r="B706" i="550"/>
  <c r="B705" i="550"/>
  <c r="B704" i="550"/>
  <c r="B703" i="550"/>
  <c r="B702" i="550"/>
  <c r="B701" i="550"/>
  <c r="B700" i="550"/>
  <c r="B699" i="550"/>
  <c r="B698" i="550"/>
  <c r="B697" i="550"/>
  <c r="B696" i="550"/>
  <c r="B695" i="550"/>
  <c r="B694" i="550"/>
  <c r="B693" i="550"/>
  <c r="B692" i="550"/>
  <c r="B691" i="550"/>
  <c r="B690" i="550"/>
  <c r="B689" i="550"/>
  <c r="B688" i="550"/>
  <c r="B687" i="550"/>
  <c r="B686" i="550"/>
  <c r="B685" i="550"/>
  <c r="B684" i="550"/>
  <c r="B683" i="550"/>
  <c r="B682" i="550"/>
  <c r="B681" i="550"/>
  <c r="B680" i="550"/>
  <c r="B679" i="550"/>
  <c r="B678" i="550"/>
  <c r="B677" i="550"/>
  <c r="B676" i="550"/>
  <c r="B675" i="550"/>
  <c r="B674" i="550"/>
  <c r="B673" i="550"/>
  <c r="B672" i="550"/>
  <c r="B671" i="550"/>
  <c r="B670" i="550"/>
  <c r="B669" i="550"/>
  <c r="B668" i="550"/>
  <c r="B667" i="550"/>
  <c r="B666" i="550"/>
  <c r="B665" i="550"/>
  <c r="B664" i="550"/>
  <c r="B663" i="550"/>
  <c r="B662" i="550"/>
  <c r="B661" i="550"/>
  <c r="B660" i="550"/>
  <c r="B659" i="550"/>
  <c r="B658" i="550"/>
  <c r="B657" i="550"/>
  <c r="B656" i="550"/>
  <c r="B655" i="550"/>
  <c r="B654" i="550"/>
  <c r="B653" i="550"/>
  <c r="B652" i="550"/>
  <c r="B651" i="550"/>
  <c r="B650" i="550"/>
  <c r="B649" i="550"/>
  <c r="B648" i="550"/>
  <c r="B647" i="550"/>
  <c r="B646" i="550"/>
  <c r="B645" i="550"/>
  <c r="B644" i="550"/>
  <c r="B643" i="550"/>
  <c r="B642" i="550"/>
  <c r="B641" i="550"/>
  <c r="B640" i="550"/>
  <c r="B639" i="550"/>
  <c r="B638" i="550"/>
  <c r="B637" i="550"/>
  <c r="B636" i="550"/>
  <c r="B635" i="550"/>
  <c r="B634" i="550"/>
  <c r="B633" i="550"/>
  <c r="B632" i="550"/>
  <c r="B631" i="550"/>
  <c r="B630" i="550"/>
  <c r="B629" i="550"/>
  <c r="B628" i="550"/>
  <c r="B627" i="550"/>
  <c r="B626" i="550"/>
  <c r="B625" i="550"/>
  <c r="B624" i="550"/>
  <c r="B623" i="550"/>
  <c r="B622" i="550"/>
  <c r="B621" i="550"/>
  <c r="B620" i="550"/>
  <c r="B619" i="550"/>
  <c r="B618" i="550"/>
  <c r="B617" i="550"/>
  <c r="B616" i="550"/>
  <c r="B615" i="550"/>
  <c r="B614" i="550"/>
  <c r="B613" i="550"/>
  <c r="B612" i="550"/>
  <c r="B611" i="550"/>
  <c r="B610" i="550"/>
  <c r="B609" i="550"/>
  <c r="B608" i="550"/>
  <c r="B607" i="550"/>
  <c r="B606" i="550"/>
  <c r="B605" i="550"/>
  <c r="B604" i="550"/>
  <c r="B603" i="550"/>
  <c r="B602" i="550"/>
  <c r="B601" i="550"/>
  <c r="B600" i="550"/>
  <c r="B599" i="550"/>
  <c r="B598" i="550"/>
  <c r="B597" i="550"/>
  <c r="B596" i="550"/>
  <c r="B595" i="550"/>
  <c r="B594" i="550"/>
  <c r="B593" i="550"/>
  <c r="B592" i="550"/>
  <c r="B591" i="550"/>
  <c r="B590" i="550"/>
  <c r="B589" i="550"/>
  <c r="B588" i="550"/>
  <c r="B587" i="550"/>
  <c r="B586" i="550"/>
  <c r="B585" i="550"/>
  <c r="B584" i="550"/>
  <c r="B583" i="550"/>
  <c r="B582" i="550"/>
  <c r="B581" i="550"/>
  <c r="B580" i="550"/>
  <c r="B579" i="550"/>
  <c r="B578" i="550"/>
  <c r="B577" i="550"/>
  <c r="B576" i="550"/>
  <c r="B575" i="550"/>
  <c r="B574" i="550"/>
  <c r="B573" i="550"/>
  <c r="B572" i="550"/>
  <c r="B571" i="550"/>
  <c r="B570" i="550"/>
  <c r="B569" i="550"/>
  <c r="B568" i="550"/>
  <c r="B567" i="550"/>
  <c r="B566" i="550"/>
  <c r="B565" i="550"/>
  <c r="B564" i="550"/>
  <c r="B563" i="550"/>
  <c r="B562" i="550"/>
  <c r="B561" i="550"/>
  <c r="B560" i="550"/>
  <c r="B559" i="550"/>
  <c r="B558" i="550"/>
  <c r="B557" i="550"/>
  <c r="B556" i="550"/>
  <c r="B555" i="550"/>
  <c r="B554" i="550"/>
  <c r="B553" i="550"/>
  <c r="B552" i="550"/>
  <c r="B551" i="550"/>
  <c r="B550" i="550"/>
  <c r="B549" i="550"/>
  <c r="B548" i="550"/>
  <c r="B547" i="550"/>
  <c r="B546" i="550"/>
  <c r="B545" i="550"/>
  <c r="B544" i="550"/>
  <c r="B543" i="550"/>
  <c r="B542" i="550"/>
  <c r="B541" i="550"/>
  <c r="B540" i="550"/>
  <c r="B539" i="550"/>
  <c r="B538" i="550"/>
  <c r="B537" i="550"/>
  <c r="B536" i="550"/>
  <c r="B535" i="550"/>
  <c r="B534" i="550"/>
  <c r="B533" i="550"/>
  <c r="B532" i="550"/>
  <c r="B531" i="550"/>
  <c r="B530" i="550"/>
  <c r="B529" i="550"/>
  <c r="B528" i="550"/>
  <c r="B527" i="550"/>
  <c r="B526" i="550"/>
  <c r="B525" i="550"/>
  <c r="B524" i="550"/>
  <c r="B523" i="550"/>
  <c r="B522" i="550"/>
  <c r="B521" i="550"/>
  <c r="B520" i="550"/>
  <c r="B519" i="550"/>
  <c r="B518" i="550"/>
  <c r="B517" i="550"/>
  <c r="B516" i="550"/>
  <c r="B515" i="550"/>
  <c r="B514" i="550"/>
  <c r="B513" i="550"/>
  <c r="B512" i="550"/>
  <c r="B511" i="550"/>
  <c r="B510" i="550"/>
  <c r="B509" i="550"/>
  <c r="B508" i="550"/>
  <c r="B507" i="550"/>
  <c r="B506" i="550"/>
  <c r="B505" i="550"/>
  <c r="B504" i="550"/>
  <c r="B503" i="550"/>
  <c r="B502" i="550"/>
  <c r="B501" i="550"/>
  <c r="B500" i="550"/>
  <c r="B499" i="550"/>
  <c r="B498" i="550"/>
  <c r="B497" i="550"/>
  <c r="B496" i="550"/>
  <c r="B495" i="550"/>
  <c r="B494" i="550"/>
  <c r="B493" i="550"/>
  <c r="B492" i="550"/>
  <c r="B491" i="550"/>
  <c r="B490" i="550"/>
  <c r="B489" i="550"/>
  <c r="B488" i="550"/>
  <c r="B487" i="550"/>
  <c r="B486" i="550"/>
  <c r="B485" i="550"/>
  <c r="B484" i="550"/>
  <c r="B483" i="550"/>
  <c r="B482" i="550"/>
  <c r="B481" i="550"/>
  <c r="B480" i="550"/>
  <c r="B479" i="550"/>
  <c r="B478" i="550"/>
  <c r="B477" i="550"/>
  <c r="B476" i="550"/>
  <c r="B475" i="550"/>
  <c r="B474" i="550"/>
  <c r="B473" i="550"/>
  <c r="B472" i="550"/>
  <c r="B471" i="550"/>
  <c r="B470" i="550"/>
  <c r="B469" i="550"/>
  <c r="B468" i="550"/>
  <c r="B467" i="550"/>
  <c r="B466" i="550"/>
  <c r="B465" i="550"/>
  <c r="B464" i="550"/>
  <c r="B463" i="550"/>
  <c r="B462" i="550"/>
  <c r="B461" i="550"/>
  <c r="B460" i="550"/>
  <c r="B459" i="550"/>
  <c r="B458" i="550"/>
  <c r="B457" i="550"/>
  <c r="B456" i="550"/>
  <c r="B455" i="550"/>
  <c r="B454" i="550"/>
  <c r="B453" i="550"/>
  <c r="B452" i="550"/>
  <c r="B451" i="550"/>
  <c r="B450" i="550"/>
  <c r="B449" i="550"/>
  <c r="B448" i="550"/>
  <c r="B447" i="550"/>
  <c r="B446" i="550"/>
  <c r="B445" i="550"/>
  <c r="B444" i="550"/>
  <c r="B443" i="550"/>
  <c r="B442" i="550"/>
  <c r="B441" i="550"/>
  <c r="B440" i="550"/>
  <c r="B439" i="550"/>
  <c r="B438" i="550"/>
  <c r="B437" i="550"/>
  <c r="B436" i="550"/>
  <c r="B435" i="550"/>
  <c r="B434" i="550"/>
  <c r="B433" i="550"/>
  <c r="B432" i="550"/>
  <c r="B431" i="550"/>
  <c r="B430" i="550"/>
  <c r="B429" i="550"/>
  <c r="B428" i="550"/>
  <c r="B427" i="550"/>
  <c r="B426" i="550"/>
  <c r="B425" i="550"/>
  <c r="B424" i="550"/>
  <c r="B423" i="550"/>
  <c r="B422" i="550"/>
  <c r="B421" i="550"/>
  <c r="B420" i="550"/>
  <c r="B419" i="550"/>
  <c r="B418" i="550"/>
  <c r="B417" i="550"/>
  <c r="B416" i="550"/>
  <c r="B415" i="550"/>
  <c r="B414" i="550"/>
  <c r="B413" i="550"/>
  <c r="B412" i="550"/>
  <c r="B411" i="550"/>
  <c r="B410" i="550"/>
  <c r="B409" i="550"/>
  <c r="B408" i="550"/>
  <c r="B407" i="550"/>
  <c r="B406" i="550"/>
  <c r="B405" i="550"/>
  <c r="B404" i="550"/>
  <c r="B403" i="550"/>
  <c r="B402" i="550"/>
  <c r="B401" i="550"/>
  <c r="B400" i="550"/>
  <c r="B399" i="550"/>
  <c r="B398" i="550"/>
  <c r="B397" i="550"/>
  <c r="B396" i="550"/>
  <c r="B395" i="550"/>
  <c r="B394" i="550"/>
  <c r="B393" i="550"/>
  <c r="B392" i="550"/>
  <c r="B391" i="550"/>
  <c r="B390" i="550"/>
  <c r="B389" i="550"/>
  <c r="B388" i="550"/>
  <c r="B387" i="550"/>
  <c r="B386" i="550"/>
  <c r="B385" i="550"/>
  <c r="B384" i="550"/>
  <c r="B383" i="550"/>
  <c r="B382" i="550"/>
  <c r="B381" i="550"/>
  <c r="B380" i="550"/>
  <c r="B379" i="550"/>
  <c r="B378" i="550"/>
  <c r="B377" i="550"/>
  <c r="B376" i="550"/>
  <c r="B375" i="550"/>
  <c r="B374" i="550"/>
  <c r="B373" i="550"/>
  <c r="B372" i="550"/>
  <c r="B371" i="550"/>
  <c r="B370" i="550"/>
  <c r="B369" i="550"/>
  <c r="B368" i="550"/>
  <c r="B367" i="550"/>
  <c r="B366" i="550"/>
  <c r="B365" i="550"/>
  <c r="B364" i="550"/>
  <c r="B363" i="550"/>
  <c r="B362" i="550"/>
  <c r="B361" i="550"/>
  <c r="B360" i="550"/>
  <c r="B359" i="550"/>
  <c r="B358" i="550"/>
  <c r="B357" i="550"/>
  <c r="B356" i="550"/>
  <c r="B355" i="550"/>
  <c r="B354" i="550"/>
  <c r="B353" i="550"/>
  <c r="B352" i="550"/>
  <c r="B351" i="550"/>
  <c r="B350" i="550"/>
  <c r="B349" i="550"/>
  <c r="B348" i="550"/>
  <c r="B347" i="550"/>
  <c r="B346" i="550"/>
  <c r="B345" i="550"/>
  <c r="B344" i="550"/>
  <c r="B343" i="550"/>
  <c r="B342" i="550"/>
  <c r="B341" i="550"/>
  <c r="B340" i="550"/>
  <c r="B339" i="550"/>
  <c r="B338" i="550"/>
  <c r="B337" i="550"/>
  <c r="B336" i="550"/>
  <c r="B335" i="550"/>
  <c r="B334" i="550"/>
  <c r="B333" i="550"/>
  <c r="B332" i="550"/>
  <c r="B331" i="550"/>
  <c r="B330" i="550"/>
  <c r="B329" i="550"/>
  <c r="B328" i="550"/>
  <c r="B327" i="550"/>
  <c r="B326" i="550"/>
  <c r="B325" i="550"/>
  <c r="B324" i="550"/>
  <c r="B323" i="550"/>
  <c r="B322" i="550"/>
  <c r="B321" i="550"/>
  <c r="B320" i="550"/>
  <c r="B319" i="550"/>
  <c r="B318" i="550"/>
  <c r="B317" i="550"/>
  <c r="B316" i="550"/>
  <c r="B315" i="550"/>
  <c r="B314" i="550"/>
  <c r="B313" i="550"/>
  <c r="B312" i="550"/>
  <c r="B311" i="550"/>
  <c r="B310" i="550"/>
  <c r="B309" i="550"/>
  <c r="B308" i="550"/>
  <c r="B307" i="550"/>
  <c r="B306" i="550"/>
  <c r="B305" i="550"/>
  <c r="B304" i="550"/>
  <c r="B303" i="550"/>
  <c r="B302" i="550"/>
  <c r="B301" i="550"/>
  <c r="B300" i="550"/>
  <c r="B299" i="550"/>
  <c r="B298" i="550"/>
  <c r="B297" i="550"/>
  <c r="B296" i="550"/>
  <c r="B295" i="550"/>
  <c r="B294" i="550"/>
  <c r="B293" i="550"/>
  <c r="B292" i="550"/>
  <c r="B291" i="550"/>
  <c r="B290" i="550"/>
  <c r="B289" i="550"/>
  <c r="B288" i="550"/>
  <c r="B287" i="550"/>
  <c r="B286" i="550"/>
  <c r="B285" i="550"/>
  <c r="B284" i="550"/>
  <c r="B283" i="550"/>
  <c r="B282" i="550"/>
  <c r="B281" i="550"/>
  <c r="B280" i="550"/>
  <c r="B279" i="550"/>
  <c r="B278" i="550"/>
  <c r="B277" i="550"/>
  <c r="B276" i="550"/>
  <c r="B275" i="550"/>
  <c r="B274" i="550"/>
  <c r="B273" i="550"/>
  <c r="B272" i="550"/>
  <c r="B271" i="550"/>
  <c r="B270" i="550"/>
  <c r="B269" i="550"/>
  <c r="B268" i="550"/>
  <c r="B267" i="550"/>
  <c r="B266" i="550"/>
  <c r="B265" i="550"/>
  <c r="B264" i="550"/>
  <c r="B263" i="550"/>
  <c r="B262" i="550"/>
  <c r="B261" i="550"/>
  <c r="B260" i="550"/>
  <c r="B259" i="550"/>
  <c r="B258" i="550"/>
  <c r="B257" i="550"/>
  <c r="B256" i="550"/>
  <c r="B255" i="550"/>
  <c r="B254" i="550"/>
  <c r="B253" i="550"/>
  <c r="B252" i="550"/>
  <c r="B251" i="550"/>
  <c r="B250" i="550"/>
  <c r="B249" i="550"/>
  <c r="B248" i="550"/>
  <c r="B247" i="550"/>
  <c r="B246" i="550"/>
  <c r="B245" i="550"/>
  <c r="B244" i="550"/>
  <c r="B243" i="550"/>
  <c r="B242" i="550"/>
  <c r="B241" i="550"/>
  <c r="B240" i="550"/>
  <c r="B239" i="550"/>
  <c r="B238" i="550"/>
  <c r="B237" i="550"/>
  <c r="B236" i="550"/>
  <c r="B235" i="550"/>
  <c r="B234" i="550"/>
  <c r="B233" i="550"/>
  <c r="B232" i="550"/>
  <c r="B231" i="550"/>
  <c r="B230" i="550"/>
  <c r="B229" i="550"/>
  <c r="B228" i="550"/>
  <c r="B227" i="550"/>
  <c r="B226" i="550"/>
  <c r="B225" i="550"/>
  <c r="B224" i="550"/>
  <c r="B223" i="550"/>
  <c r="B222" i="550"/>
  <c r="B221" i="550"/>
  <c r="B220" i="550"/>
  <c r="B219" i="550"/>
  <c r="B218" i="550"/>
  <c r="B217" i="550"/>
  <c r="B216" i="550"/>
  <c r="B215" i="550"/>
  <c r="B214" i="550"/>
  <c r="B213" i="550"/>
  <c r="B212" i="550"/>
  <c r="B211" i="550"/>
  <c r="B210" i="550"/>
  <c r="B209" i="550"/>
  <c r="B208" i="550"/>
  <c r="B207" i="550"/>
  <c r="B206" i="550"/>
  <c r="B205" i="550"/>
  <c r="B204" i="550"/>
  <c r="B203" i="550"/>
  <c r="B202" i="550"/>
  <c r="B201" i="550"/>
  <c r="B200" i="550"/>
  <c r="B199" i="550"/>
  <c r="B198" i="550"/>
  <c r="B197" i="550"/>
  <c r="B196" i="550"/>
  <c r="B195" i="550"/>
  <c r="B194" i="550"/>
  <c r="B193" i="550"/>
  <c r="B192" i="550"/>
  <c r="B191" i="550"/>
  <c r="B190" i="550"/>
  <c r="B189" i="550"/>
  <c r="B188" i="550"/>
  <c r="B187" i="550"/>
  <c r="B186" i="550"/>
  <c r="B185" i="550"/>
  <c r="B184" i="550"/>
  <c r="B183" i="550"/>
  <c r="B182" i="550"/>
  <c r="B181" i="550"/>
  <c r="B180" i="550"/>
  <c r="B179" i="550"/>
  <c r="B178" i="550"/>
  <c r="B177" i="550"/>
  <c r="B176" i="550"/>
  <c r="B175" i="550"/>
  <c r="B174" i="550"/>
  <c r="B173" i="550"/>
  <c r="B172" i="550"/>
  <c r="B171" i="550"/>
  <c r="B170" i="550"/>
  <c r="B169" i="550"/>
  <c r="B168" i="550"/>
  <c r="B167" i="550"/>
  <c r="B166" i="550"/>
  <c r="B165" i="550"/>
  <c r="B164" i="550"/>
  <c r="B163" i="550"/>
  <c r="B162" i="550"/>
  <c r="B161" i="550"/>
  <c r="B160" i="550"/>
  <c r="B159" i="550"/>
  <c r="B158" i="550"/>
  <c r="B157" i="550"/>
  <c r="B156" i="550"/>
  <c r="B155" i="550"/>
  <c r="B154" i="550"/>
  <c r="B153" i="550"/>
  <c r="B152" i="550"/>
  <c r="B151" i="550"/>
  <c r="B150" i="550"/>
  <c r="B149" i="550"/>
  <c r="B148" i="550"/>
  <c r="B147" i="550"/>
  <c r="B146" i="550"/>
  <c r="B145" i="550"/>
  <c r="B144" i="550"/>
  <c r="B143" i="550"/>
  <c r="B142" i="550"/>
  <c r="B141" i="550"/>
  <c r="B140" i="550"/>
  <c r="B139" i="550"/>
  <c r="B138" i="550"/>
  <c r="B137" i="550"/>
  <c r="B136" i="550"/>
  <c r="B135" i="550"/>
  <c r="B134" i="550"/>
  <c r="B133" i="550"/>
  <c r="B132" i="550"/>
  <c r="B131" i="550"/>
  <c r="B130" i="550"/>
  <c r="B129" i="550"/>
  <c r="B128" i="550"/>
  <c r="B127" i="550"/>
  <c r="B126" i="550"/>
  <c r="B125" i="550"/>
  <c r="B124" i="550"/>
  <c r="B123" i="550"/>
  <c r="B122" i="550"/>
  <c r="B121" i="550"/>
  <c r="B120" i="550"/>
  <c r="B119" i="550"/>
  <c r="B118" i="550"/>
  <c r="B117" i="550"/>
  <c r="B116" i="550"/>
  <c r="B115" i="550"/>
  <c r="B114" i="550"/>
  <c r="B113" i="550"/>
  <c r="B112" i="550"/>
  <c r="B111" i="550"/>
  <c r="B110" i="550"/>
  <c r="B109" i="550"/>
  <c r="B108" i="550"/>
  <c r="B107" i="550"/>
  <c r="B106" i="550"/>
  <c r="B105" i="550"/>
  <c r="B104" i="550"/>
  <c r="B103" i="550"/>
  <c r="B102" i="550"/>
  <c r="B101" i="550"/>
  <c r="B100" i="550"/>
  <c r="B99" i="550"/>
  <c r="B98" i="550"/>
  <c r="B97" i="550"/>
  <c r="B96" i="550"/>
  <c r="B95" i="550"/>
  <c r="B94" i="550"/>
  <c r="B93" i="550"/>
  <c r="B92" i="550"/>
  <c r="B91" i="550"/>
  <c r="B90" i="550"/>
  <c r="B89" i="550"/>
  <c r="B88" i="550"/>
  <c r="B87" i="550"/>
  <c r="B86" i="550"/>
  <c r="B85" i="550"/>
  <c r="B84" i="550"/>
  <c r="B83" i="550"/>
  <c r="B82" i="550"/>
  <c r="B81" i="550"/>
  <c r="B80" i="550"/>
  <c r="B79" i="550"/>
  <c r="B78" i="550"/>
  <c r="B77" i="550"/>
  <c r="B76" i="550"/>
  <c r="B75" i="550"/>
  <c r="B74" i="550"/>
  <c r="B73" i="550"/>
  <c r="B72" i="550"/>
  <c r="B71" i="550"/>
  <c r="B70" i="550"/>
  <c r="B69" i="550"/>
  <c r="B68" i="550"/>
  <c r="B67" i="550"/>
  <c r="B66" i="550"/>
  <c r="B65" i="550"/>
  <c r="B64" i="550"/>
  <c r="B63" i="550"/>
  <c r="B62" i="550"/>
  <c r="B61" i="550"/>
  <c r="B60" i="550"/>
  <c r="B59" i="550"/>
  <c r="B58" i="550"/>
  <c r="B57" i="550"/>
  <c r="B56" i="550"/>
  <c r="B55" i="550"/>
  <c r="B54" i="550"/>
  <c r="B53" i="550"/>
  <c r="B52" i="550"/>
  <c r="B51" i="550"/>
  <c r="B50" i="550"/>
  <c r="B49" i="550"/>
  <c r="B48" i="550"/>
  <c r="B47" i="550"/>
  <c r="B46" i="550"/>
  <c r="B45" i="550"/>
  <c r="B44" i="550"/>
  <c r="B43" i="550"/>
  <c r="B42" i="550"/>
  <c r="B41" i="550"/>
  <c r="B40" i="550"/>
  <c r="B39" i="550"/>
  <c r="B38" i="550"/>
  <c r="B37" i="550"/>
  <c r="B36" i="550"/>
  <c r="B35" i="550"/>
  <c r="B34" i="550"/>
  <c r="B33" i="550"/>
  <c r="B32" i="550"/>
  <c r="B31" i="550"/>
  <c r="B30" i="550"/>
  <c r="B29" i="550"/>
  <c r="B28" i="550"/>
  <c r="B27" i="550"/>
  <c r="B26" i="550"/>
  <c r="B25" i="550"/>
  <c r="B24" i="550"/>
  <c r="B23" i="550"/>
  <c r="B22" i="550"/>
  <c r="B21" i="550"/>
  <c r="B20" i="550"/>
  <c r="B19" i="550"/>
  <c r="B18" i="550"/>
  <c r="B17" i="550"/>
  <c r="B16" i="550"/>
  <c r="B15" i="550"/>
  <c r="B14" i="550"/>
  <c r="B13" i="550"/>
  <c r="B12" i="550"/>
  <c r="B11" i="550"/>
  <c r="B10" i="550"/>
  <c r="B9" i="550"/>
  <c r="B8" i="550"/>
  <c r="B7" i="550"/>
  <c r="B6" i="550"/>
  <c r="B5" i="550"/>
  <c r="B4" i="550"/>
  <c r="B3" i="550"/>
  <c r="B2" i="550"/>
  <c r="B1" i="550"/>
  <c r="F47" i="248" l="1"/>
  <c r="F46" i="248"/>
  <c r="D30" i="547"/>
  <c r="F31" i="248" s="1"/>
  <c r="E14" i="547"/>
  <c r="D24" i="547"/>
  <c r="E24" i="547" s="1"/>
  <c r="D23" i="547"/>
  <c r="F24" i="248" s="1"/>
  <c r="E22" i="547"/>
  <c r="D22" i="547"/>
  <c r="F23" i="248" s="1"/>
  <c r="D19" i="547"/>
  <c r="F20" i="248" s="1"/>
  <c r="A6" i="547"/>
  <c r="R22" i="483"/>
  <c r="Z55" i="482"/>
  <c r="F85" i="248"/>
  <c r="H165" i="142"/>
  <c r="H164" i="142"/>
  <c r="G184" i="167"/>
  <c r="E26" i="608" s="1"/>
  <c r="G197" i="167"/>
  <c r="G196" i="167"/>
  <c r="G194" i="167"/>
  <c r="G189" i="167"/>
  <c r="G187" i="167"/>
  <c r="G186" i="167"/>
  <c r="G182" i="167"/>
  <c r="G157" i="167"/>
  <c r="G158" i="167" s="1"/>
  <c r="G159" i="167" s="1"/>
  <c r="G149" i="167"/>
  <c r="G150" i="167" s="1"/>
  <c r="G148" i="167"/>
  <c r="G151" i="167" s="1"/>
  <c r="G140" i="167"/>
  <c r="G137" i="167"/>
  <c r="G138" i="167" s="1"/>
  <c r="G144" i="167" s="1"/>
  <c r="G135" i="167"/>
  <c r="G141" i="167" s="1"/>
  <c r="G134" i="167"/>
  <c r="G133" i="167"/>
  <c r="G132" i="167"/>
  <c r="G131" i="167"/>
  <c r="T175" i="1"/>
  <c r="P17" i="467"/>
  <c r="I110" i="1"/>
  <c r="I122" i="1" s="1"/>
  <c r="AE8" i="167"/>
  <c r="AB55" i="482" l="1"/>
  <c r="AC55" i="482" s="1"/>
  <c r="AA55" i="482"/>
  <c r="E30" i="547"/>
  <c r="B22" i="557"/>
  <c r="B20" i="557"/>
  <c r="B16" i="557"/>
  <c r="B14" i="557"/>
  <c r="I28" i="227"/>
  <c r="E49" i="547"/>
  <c r="F25" i="248"/>
  <c r="G188" i="167"/>
  <c r="G190" i="167" s="1"/>
  <c r="G191" i="167" s="1"/>
  <c r="G195" i="167" s="1"/>
  <c r="D25" i="547"/>
  <c r="F26" i="248" s="1"/>
  <c r="G152" i="167"/>
  <c r="G153" i="167" s="1"/>
  <c r="G154" i="167" s="1"/>
  <c r="G142" i="167"/>
  <c r="G143" i="167" s="1"/>
  <c r="G198" i="167"/>
  <c r="D2" i="497" l="1"/>
  <c r="D2" i="498" s="1"/>
  <c r="D2" i="109"/>
  <c r="G199" i="167"/>
  <c r="D2" i="547" l="1"/>
  <c r="G2" i="248" s="1"/>
  <c r="D2" i="622"/>
  <c r="D2" i="684" s="1"/>
  <c r="I2" i="248" s="1"/>
  <c r="D1" i="497"/>
  <c r="D1" i="498" s="1"/>
  <c r="D1" i="547" s="1"/>
  <c r="D1" i="109"/>
  <c r="AO39" i="167"/>
  <c r="D2" i="635" l="1"/>
  <c r="D2" i="636" s="1"/>
  <c r="D1" i="635"/>
  <c r="D1" i="636" s="1"/>
  <c r="D1" i="622"/>
  <c r="D1" i="684" s="1"/>
  <c r="I1" i="248" s="1"/>
  <c r="G1" i="248" l="1"/>
  <c r="P189" i="1" l="1"/>
  <c r="P187" i="1"/>
  <c r="E107" i="1" l="1"/>
  <c r="G107" i="1" s="1"/>
  <c r="I107" i="1" s="1"/>
  <c r="K107" i="1" s="1"/>
  <c r="M107" i="1" s="1"/>
  <c r="A6" i="539" l="1"/>
  <c r="A6" i="538"/>
  <c r="A6" i="537"/>
  <c r="I91" i="489" l="1"/>
  <c r="J91" i="489" s="1"/>
  <c r="D93" i="497"/>
  <c r="D16" i="537"/>
  <c r="D16" i="538"/>
  <c r="C15" i="535"/>
  <c r="C11" i="535"/>
  <c r="A6" i="535"/>
  <c r="C15" i="534"/>
  <c r="C11" i="534"/>
  <c r="A6" i="534"/>
  <c r="A6" i="533"/>
  <c r="I91" i="490" l="1"/>
  <c r="J91" i="490" s="1"/>
  <c r="D93" i="498"/>
  <c r="D16" i="539"/>
  <c r="I91" i="545"/>
  <c r="J91" i="545" s="1"/>
  <c r="D16" i="629" l="1"/>
  <c r="D93" i="547"/>
  <c r="F96" i="248" s="1"/>
  <c r="D16" i="558"/>
  <c r="D93" i="622" l="1"/>
  <c r="I91" i="620"/>
  <c r="J91" i="620" s="1"/>
  <c r="C12" i="527"/>
  <c r="C11" i="527"/>
  <c r="A6" i="527"/>
  <c r="D11" i="525"/>
  <c r="B17" i="526"/>
  <c r="A6" i="526"/>
  <c r="A6" i="525"/>
  <c r="A6" i="524"/>
  <c r="A6" i="523"/>
  <c r="C22" i="522"/>
  <c r="C19" i="522"/>
  <c r="C18" i="522"/>
  <c r="C17" i="522"/>
  <c r="C16" i="522"/>
  <c r="C15" i="522"/>
  <c r="C13" i="522"/>
  <c r="C12" i="522"/>
  <c r="C11" i="522"/>
  <c r="C10" i="522"/>
  <c r="A6" i="522"/>
  <c r="C12" i="521"/>
  <c r="E12" i="521" s="1"/>
  <c r="C11" i="521"/>
  <c r="A6" i="521"/>
  <c r="B17" i="520"/>
  <c r="A6" i="520"/>
  <c r="A6" i="519"/>
  <c r="A6" i="518"/>
  <c r="A6" i="517"/>
  <c r="C22" i="516"/>
  <c r="C19" i="516"/>
  <c r="C18" i="516"/>
  <c r="C17" i="516"/>
  <c r="C16" i="516"/>
  <c r="C15" i="516"/>
  <c r="C13" i="516"/>
  <c r="C12" i="516"/>
  <c r="C11" i="516"/>
  <c r="C10" i="516"/>
  <c r="A6" i="516"/>
  <c r="C12" i="515"/>
  <c r="E12" i="515" s="1"/>
  <c r="C11" i="515"/>
  <c r="A6" i="515"/>
  <c r="B17" i="514"/>
  <c r="A6" i="514"/>
  <c r="A6" i="513"/>
  <c r="A6" i="512"/>
  <c r="B62" i="511"/>
  <c r="B61" i="511"/>
  <c r="B60" i="511"/>
  <c r="B49" i="511"/>
  <c r="B35" i="511"/>
  <c r="B32" i="511"/>
  <c r="B19" i="511"/>
  <c r="B18" i="511"/>
  <c r="B17" i="511"/>
  <c r="A6" i="511"/>
  <c r="C22" i="510"/>
  <c r="C19" i="510"/>
  <c r="C18" i="510"/>
  <c r="C17" i="510"/>
  <c r="C16" i="510"/>
  <c r="C15" i="510"/>
  <c r="C13" i="510"/>
  <c r="C12" i="510"/>
  <c r="C11" i="510"/>
  <c r="C10" i="510"/>
  <c r="A6" i="510"/>
  <c r="G96" i="248" l="1"/>
  <c r="H96" i="248"/>
  <c r="C13" i="527"/>
  <c r="E12" i="527"/>
  <c r="C13" i="521"/>
  <c r="C13" i="515"/>
  <c r="C30" i="601" l="1"/>
  <c r="C30" i="661" l="1"/>
  <c r="C30" i="662"/>
  <c r="C1" i="534"/>
  <c r="C1" i="632" l="1"/>
  <c r="C1" i="689"/>
  <c r="C1" i="535"/>
  <c r="C1" i="555"/>
  <c r="D1" i="517" s="1"/>
  <c r="D1" i="523" s="1"/>
  <c r="D1" i="691" s="1"/>
  <c r="D2" i="538"/>
  <c r="D2" i="629" s="1"/>
  <c r="D2" i="685" s="1"/>
  <c r="D30" i="498"/>
  <c r="D24" i="498"/>
  <c r="E25" i="248" s="1"/>
  <c r="D23" i="498"/>
  <c r="E24" i="248" s="1"/>
  <c r="D22" i="498"/>
  <c r="D19" i="498"/>
  <c r="E20" i="248" s="1"/>
  <c r="E72" i="498"/>
  <c r="D46" i="498"/>
  <c r="E47" i="248" s="1"/>
  <c r="D45" i="498"/>
  <c r="E46" i="248" s="1"/>
  <c r="E38" i="498"/>
  <c r="A6" i="498"/>
  <c r="A6" i="636" s="1"/>
  <c r="D30" i="497"/>
  <c r="E72" i="497"/>
  <c r="E65" i="497"/>
  <c r="D46" i="497"/>
  <c r="D47" i="248" s="1"/>
  <c r="D45" i="497"/>
  <c r="D46" i="248" s="1"/>
  <c r="E38" i="497"/>
  <c r="D24" i="497"/>
  <c r="D23" i="497"/>
  <c r="D24" i="248" s="1"/>
  <c r="D22" i="497"/>
  <c r="D23" i="248" s="1"/>
  <c r="D19" i="497"/>
  <c r="D20" i="248" s="1"/>
  <c r="A6" i="497"/>
  <c r="A6" i="635" s="1"/>
  <c r="D30" i="496"/>
  <c r="C31" i="248" s="1"/>
  <c r="E72" i="496"/>
  <c r="E65" i="496"/>
  <c r="E38" i="496"/>
  <c r="A6" i="496"/>
  <c r="A6" i="634" s="1"/>
  <c r="C30" i="663" l="1"/>
  <c r="D1" i="631"/>
  <c r="D1" i="556"/>
  <c r="D1" i="518" s="1"/>
  <c r="D1" i="524" s="1"/>
  <c r="D1" i="692" s="1"/>
  <c r="D2" i="539"/>
  <c r="D2" i="558"/>
  <c r="D2" i="519" s="1"/>
  <c r="D2" i="525" s="1"/>
  <c r="D2" i="693" s="1"/>
  <c r="E30" i="496"/>
  <c r="E30" i="497"/>
  <c r="D31" i="248"/>
  <c r="E30" i="498"/>
  <c r="E31" i="248"/>
  <c r="E24" i="498"/>
  <c r="E24" i="497"/>
  <c r="D25" i="248"/>
  <c r="D25" i="498"/>
  <c r="E26" i="248" s="1"/>
  <c r="E23" i="248"/>
  <c r="D25" i="497"/>
  <c r="D26" i="248" s="1"/>
  <c r="D2" i="626" l="1"/>
  <c r="E2" i="520" s="1"/>
  <c r="E2" i="526" s="1"/>
  <c r="E2" i="694" s="1"/>
  <c r="D2" i="559"/>
  <c r="D1" i="630"/>
  <c r="D1" i="557"/>
  <c r="D1" i="538" s="1"/>
  <c r="D1" i="629" l="1"/>
  <c r="D1" i="685" s="1"/>
  <c r="D1" i="539"/>
  <c r="D1" i="558"/>
  <c r="D1" i="519" s="1"/>
  <c r="D1" i="525" s="1"/>
  <c r="D1" i="693" s="1"/>
  <c r="E2" i="628"/>
  <c r="E2" i="521" s="1"/>
  <c r="E2" i="527" s="1"/>
  <c r="E2" i="695" s="1"/>
  <c r="E2" i="560"/>
  <c r="D1" i="626" l="1"/>
  <c r="E1" i="520" s="1"/>
  <c r="E1" i="526" s="1"/>
  <c r="E1" i="694" s="1"/>
  <c r="D1" i="559"/>
  <c r="E2" i="627"/>
  <c r="E2" i="561"/>
  <c r="E1" i="628" l="1"/>
  <c r="E1" i="521" s="1"/>
  <c r="E1" i="527" s="1"/>
  <c r="E1" i="695" s="1"/>
  <c r="E1" i="560"/>
  <c r="B23" i="513"/>
  <c r="B25" i="513"/>
  <c r="J157" i="466"/>
  <c r="E1" i="627" l="1"/>
  <c r="E1" i="561"/>
  <c r="B25" i="519"/>
  <c r="B23" i="519"/>
  <c r="K157" i="466"/>
  <c r="L157" i="466" s="1"/>
  <c r="M157" i="466" s="1"/>
  <c r="B25" i="693" l="1"/>
  <c r="N157" i="466"/>
  <c r="B23" i="693" s="1"/>
  <c r="B25" i="626"/>
  <c r="B23" i="626"/>
  <c r="B25" i="559"/>
  <c r="B23" i="559"/>
  <c r="B23" i="525"/>
  <c r="B25" i="525"/>
  <c r="M17" i="467" l="1"/>
  <c r="J17" i="467"/>
  <c r="H137" i="142" l="1"/>
  <c r="B16" i="512" l="1"/>
  <c r="B14" i="512"/>
  <c r="I111" i="489" l="1"/>
  <c r="D85" i="248" s="1"/>
  <c r="I180" i="481" l="1"/>
  <c r="I173" i="683" s="1"/>
  <c r="I172" i="490" l="1"/>
  <c r="I173" i="620"/>
  <c r="I173" i="545"/>
  <c r="S175" i="1"/>
  <c r="R175" i="1"/>
  <c r="AE98" i="167" l="1"/>
  <c r="D184" i="167" l="1"/>
  <c r="B26" i="608" s="1"/>
  <c r="I111" i="490"/>
  <c r="E85" i="248" s="1"/>
  <c r="F196" i="167" l="1"/>
  <c r="F194" i="167"/>
  <c r="F186" i="167"/>
  <c r="F184" i="167"/>
  <c r="D26" i="608" s="1"/>
  <c r="F157" i="167"/>
  <c r="F149" i="167"/>
  <c r="F148" i="167"/>
  <c r="F137" i="167"/>
  <c r="F138" i="167" s="1"/>
  <c r="F135" i="167"/>
  <c r="F141" i="167" s="1"/>
  <c r="F134" i="167"/>
  <c r="F133" i="167"/>
  <c r="F132" i="167"/>
  <c r="E196" i="167"/>
  <c r="E194" i="167"/>
  <c r="E186" i="167"/>
  <c r="E184" i="167"/>
  <c r="C26" i="608" s="1"/>
  <c r="E182" i="167"/>
  <c r="E157" i="167"/>
  <c r="E149" i="167"/>
  <c r="E148" i="167"/>
  <c r="E151" i="167" s="1"/>
  <c r="E137" i="167"/>
  <c r="E135" i="167"/>
  <c r="E141" i="167" s="1"/>
  <c r="E134" i="167"/>
  <c r="E133" i="167"/>
  <c r="E131" i="167"/>
  <c r="F57" i="490"/>
  <c r="G67" i="490"/>
  <c r="AL62" i="490"/>
  <c r="AL57" i="490"/>
  <c r="AL56" i="490"/>
  <c r="AL49" i="490"/>
  <c r="F13" i="490"/>
  <c r="F3" i="490"/>
  <c r="C2" i="490"/>
  <c r="E138" i="167" l="1"/>
  <c r="F57" i="489"/>
  <c r="G67" i="489"/>
  <c r="AK62" i="489"/>
  <c r="AK57" i="489"/>
  <c r="AK56" i="489"/>
  <c r="AK49" i="489"/>
  <c r="F13" i="489"/>
  <c r="F3" i="489"/>
  <c r="C2" i="489"/>
  <c r="F58" i="481" l="1"/>
  <c r="B149" i="483" l="1"/>
  <c r="B150" i="483" s="1"/>
  <c r="H41" i="483"/>
  <c r="G41" i="483"/>
  <c r="G39" i="483"/>
  <c r="H39" i="483" s="1"/>
  <c r="G37" i="483"/>
  <c r="H37" i="483" s="1"/>
  <c r="G35" i="483"/>
  <c r="H35" i="483" s="1"/>
  <c r="G33" i="483"/>
  <c r="G28" i="483"/>
  <c r="H28" i="483" s="1"/>
  <c r="G26" i="483"/>
  <c r="H26" i="483" s="1"/>
  <c r="Q24" i="483"/>
  <c r="G24" i="483"/>
  <c r="O22" i="483"/>
  <c r="L22" i="483"/>
  <c r="D2" i="483"/>
  <c r="G51" i="483" l="1"/>
  <c r="G30" i="483"/>
  <c r="H24" i="483"/>
  <c r="H30" i="483" s="1"/>
  <c r="H33" i="483"/>
  <c r="H51" i="483" s="1"/>
  <c r="O24" i="483"/>
  <c r="R24" i="483" l="1"/>
  <c r="S24" i="483" s="1"/>
  <c r="P24" i="483"/>
  <c r="J65" i="482"/>
  <c r="K65" i="482" s="1"/>
  <c r="H65" i="482"/>
  <c r="I65" i="482" s="1"/>
  <c r="I60" i="482"/>
  <c r="K60" i="482" s="1"/>
  <c r="K67" i="482" s="1"/>
  <c r="H60" i="482"/>
  <c r="H67" i="482" s="1"/>
  <c r="H58" i="482"/>
  <c r="J58" i="482" s="1"/>
  <c r="K58" i="482" s="1"/>
  <c r="R55" i="482"/>
  <c r="D2" i="482"/>
  <c r="J60" i="482" l="1"/>
  <c r="J67" i="482" s="1"/>
  <c r="J69" i="482" s="1"/>
  <c r="J71" i="482" s="1"/>
  <c r="J73" i="482" s="1"/>
  <c r="J75" i="482" s="1"/>
  <c r="J86" i="482" s="1"/>
  <c r="H69" i="482"/>
  <c r="H71" i="482" s="1"/>
  <c r="H73" i="482" s="1"/>
  <c r="H75" i="482" s="1"/>
  <c r="H86" i="482" s="1"/>
  <c r="H85" i="482" s="1"/>
  <c r="K69" i="482"/>
  <c r="K71" i="482" s="1"/>
  <c r="K73" i="482" s="1"/>
  <c r="K75" i="482" s="1"/>
  <c r="K86" i="482" s="1"/>
  <c r="I67" i="482"/>
  <c r="I58" i="482"/>
  <c r="F95" i="481" l="1"/>
  <c r="H79" i="482"/>
  <c r="J79" i="482"/>
  <c r="I69" i="482"/>
  <c r="I71" i="482" s="1"/>
  <c r="I73" i="482" s="1"/>
  <c r="I75" i="482" s="1"/>
  <c r="K79" i="482"/>
  <c r="D194" i="167"/>
  <c r="D182" i="167"/>
  <c r="D149" i="167"/>
  <c r="D148" i="167"/>
  <c r="D151" i="167" s="1"/>
  <c r="D137" i="167"/>
  <c r="D135" i="167"/>
  <c r="D141" i="167" s="1"/>
  <c r="D134" i="167"/>
  <c r="D133" i="167"/>
  <c r="D131" i="167"/>
  <c r="I94" i="481"/>
  <c r="I93" i="481"/>
  <c r="G68" i="481"/>
  <c r="AL63" i="481"/>
  <c r="AL58" i="481"/>
  <c r="J58" i="481"/>
  <c r="AL57" i="481"/>
  <c r="AL49" i="481"/>
  <c r="F13" i="481"/>
  <c r="F3" i="481"/>
  <c r="C2" i="481"/>
  <c r="J35" i="481" l="1"/>
  <c r="F49" i="481"/>
  <c r="I86" i="482"/>
  <c r="I79" i="482"/>
  <c r="D138" i="167"/>
  <c r="J49" i="481" l="1"/>
  <c r="F49" i="489"/>
  <c r="H156" i="142"/>
  <c r="H155" i="142"/>
  <c r="H147" i="142"/>
  <c r="H146" i="142"/>
  <c r="H138" i="142"/>
  <c r="B14" i="518" l="1"/>
  <c r="B16" i="518"/>
  <c r="B20" i="518"/>
  <c r="B22" i="518"/>
  <c r="B22" i="524"/>
  <c r="B20" i="524"/>
  <c r="B22" i="512"/>
  <c r="B20" i="512"/>
  <c r="B14" i="524"/>
  <c r="B16" i="524"/>
  <c r="F49" i="490"/>
  <c r="B318" i="479" l="1"/>
  <c r="B317" i="479"/>
  <c r="B316" i="479"/>
  <c r="B315" i="479"/>
  <c r="B314" i="479"/>
  <c r="B313" i="479"/>
  <c r="B312" i="479"/>
  <c r="B311" i="479"/>
  <c r="B310" i="479"/>
  <c r="B309" i="479"/>
  <c r="B308" i="479"/>
  <c r="B307" i="479"/>
  <c r="B306" i="479"/>
  <c r="B305" i="479"/>
  <c r="B304" i="479"/>
  <c r="B303" i="479"/>
  <c r="B302" i="479"/>
  <c r="B301" i="479"/>
  <c r="B300" i="479"/>
  <c r="B299" i="479"/>
  <c r="B298" i="479"/>
  <c r="B297" i="479"/>
  <c r="B296" i="479"/>
  <c r="B295" i="479"/>
  <c r="B294" i="479"/>
  <c r="B293" i="479"/>
  <c r="B292" i="479"/>
  <c r="B291" i="479"/>
  <c r="B290" i="479"/>
  <c r="B289" i="479"/>
  <c r="B288" i="479"/>
  <c r="B287" i="479"/>
  <c r="B286" i="479"/>
  <c r="B285" i="479"/>
  <c r="B284" i="479"/>
  <c r="B283" i="479"/>
  <c r="B282" i="479"/>
  <c r="B281" i="479"/>
  <c r="B280" i="479"/>
  <c r="B279" i="479"/>
  <c r="B278" i="479"/>
  <c r="B277" i="479"/>
  <c r="B276" i="479"/>
  <c r="B275" i="479"/>
  <c r="B274" i="479"/>
  <c r="B273" i="479"/>
  <c r="B272" i="479"/>
  <c r="B271" i="479"/>
  <c r="B270" i="479"/>
  <c r="B269" i="479"/>
  <c r="B268" i="479"/>
  <c r="B267" i="479"/>
  <c r="B266" i="479"/>
  <c r="B265" i="479"/>
  <c r="B264" i="479"/>
  <c r="B263" i="479"/>
  <c r="B262" i="479"/>
  <c r="B261" i="479"/>
  <c r="B260" i="479"/>
  <c r="B259" i="479"/>
  <c r="B258" i="479"/>
  <c r="B257" i="479"/>
  <c r="B256" i="479"/>
  <c r="B255" i="479"/>
  <c r="B254" i="479"/>
  <c r="B253" i="479"/>
  <c r="B252" i="479"/>
  <c r="B251" i="479"/>
  <c r="B250" i="479"/>
  <c r="B249" i="479"/>
  <c r="B248" i="479"/>
  <c r="B247" i="479"/>
  <c r="B246" i="479"/>
  <c r="B245" i="479"/>
  <c r="B244" i="479"/>
  <c r="B243" i="479"/>
  <c r="B242" i="479"/>
  <c r="B241" i="479"/>
  <c r="B240" i="479"/>
  <c r="B239" i="479"/>
  <c r="B238" i="479"/>
  <c r="B237" i="479"/>
  <c r="B236" i="479"/>
  <c r="B235" i="479"/>
  <c r="B234" i="479"/>
  <c r="B233" i="479"/>
  <c r="B232" i="479"/>
  <c r="B231" i="479"/>
  <c r="B230" i="479"/>
  <c r="B229" i="479"/>
  <c r="B228" i="479"/>
  <c r="B227" i="479"/>
  <c r="B226" i="479"/>
  <c r="B225" i="479"/>
  <c r="B224" i="479"/>
  <c r="B223" i="479"/>
  <c r="B222" i="479"/>
  <c r="B221" i="479"/>
  <c r="B220" i="479"/>
  <c r="B219" i="479"/>
  <c r="B218" i="479"/>
  <c r="B217" i="479"/>
  <c r="B216" i="479"/>
  <c r="B215" i="479"/>
  <c r="B214" i="479"/>
  <c r="B213" i="479"/>
  <c r="B212" i="479"/>
  <c r="B211" i="479"/>
  <c r="B210" i="479"/>
  <c r="B209" i="479"/>
  <c r="B208" i="479"/>
  <c r="B207" i="479"/>
  <c r="B206" i="479"/>
  <c r="B205" i="479"/>
  <c r="B204" i="479"/>
  <c r="B203" i="479"/>
  <c r="B202" i="479"/>
  <c r="B201" i="479"/>
  <c r="B200" i="479"/>
  <c r="B199" i="479"/>
  <c r="B198" i="479"/>
  <c r="B197" i="479"/>
  <c r="B196" i="479"/>
  <c r="B195" i="479"/>
  <c r="B194" i="479"/>
  <c r="B193" i="479"/>
  <c r="B192" i="479"/>
  <c r="B191" i="479"/>
  <c r="B190" i="479"/>
  <c r="B189" i="479"/>
  <c r="B188" i="479"/>
  <c r="B187" i="479"/>
  <c r="B186" i="479"/>
  <c r="B185" i="479"/>
  <c r="B184" i="479"/>
  <c r="B183" i="479"/>
  <c r="B182" i="479"/>
  <c r="B181" i="479"/>
  <c r="B180" i="479"/>
  <c r="B179" i="479"/>
  <c r="B178" i="479"/>
  <c r="B177" i="479"/>
  <c r="B176" i="479"/>
  <c r="B175" i="479"/>
  <c r="B174" i="479"/>
  <c r="B173" i="479"/>
  <c r="B172" i="479"/>
  <c r="B171" i="479"/>
  <c r="B170" i="479"/>
  <c r="B169" i="479"/>
  <c r="B168" i="479"/>
  <c r="B167" i="479"/>
  <c r="B166" i="479"/>
  <c r="B165" i="479"/>
  <c r="B164" i="479"/>
  <c r="B163" i="479"/>
  <c r="B162" i="479"/>
  <c r="B161" i="479"/>
  <c r="B160" i="479"/>
  <c r="B159" i="479"/>
  <c r="B158" i="479"/>
  <c r="B157" i="479"/>
  <c r="B156" i="479"/>
  <c r="B155" i="479"/>
  <c r="B154" i="479"/>
  <c r="B153" i="479"/>
  <c r="B152" i="479"/>
  <c r="B151" i="479"/>
  <c r="B150" i="479"/>
  <c r="B149" i="479"/>
  <c r="B148" i="479"/>
  <c r="B147" i="479"/>
  <c r="B146" i="479"/>
  <c r="B145" i="479"/>
  <c r="B144" i="479"/>
  <c r="B143" i="479"/>
  <c r="B142" i="479"/>
  <c r="B141" i="479"/>
  <c r="B140" i="479"/>
  <c r="B139" i="479"/>
  <c r="B138" i="479"/>
  <c r="B137" i="479"/>
  <c r="B136" i="479"/>
  <c r="B135" i="479"/>
  <c r="B134" i="479"/>
  <c r="B133" i="479"/>
  <c r="B132" i="479"/>
  <c r="B131" i="479"/>
  <c r="B130" i="479"/>
  <c r="B129" i="479"/>
  <c r="B128" i="479"/>
  <c r="B127" i="479"/>
  <c r="B126" i="479"/>
  <c r="B125" i="479"/>
  <c r="B124" i="479"/>
  <c r="B123" i="479"/>
  <c r="B122" i="479"/>
  <c r="B121" i="479"/>
  <c r="B120" i="479"/>
  <c r="B119" i="479"/>
  <c r="B118" i="479"/>
  <c r="B117" i="479"/>
  <c r="B116" i="479"/>
  <c r="B115" i="479"/>
  <c r="B114" i="479"/>
  <c r="B113" i="479"/>
  <c r="B112" i="479"/>
  <c r="B111" i="479"/>
  <c r="B110" i="479"/>
  <c r="B109" i="479"/>
  <c r="B108" i="479"/>
  <c r="B107" i="479"/>
  <c r="B106" i="479"/>
  <c r="B105" i="479"/>
  <c r="B104" i="479"/>
  <c r="B103" i="479"/>
  <c r="B102" i="479"/>
  <c r="B101" i="479"/>
  <c r="B100" i="479"/>
  <c r="B99" i="479"/>
  <c r="B98" i="479"/>
  <c r="B97" i="479"/>
  <c r="B96" i="479"/>
  <c r="B95" i="479"/>
  <c r="B94" i="479"/>
  <c r="B93" i="479"/>
  <c r="B92" i="479"/>
  <c r="B91" i="479"/>
  <c r="B90" i="479"/>
  <c r="B89" i="479"/>
  <c r="B88" i="479"/>
  <c r="B87" i="479"/>
  <c r="B86" i="479"/>
  <c r="B85" i="479"/>
  <c r="B84" i="479"/>
  <c r="B83" i="479"/>
  <c r="B82" i="479"/>
  <c r="B81" i="479"/>
  <c r="B80" i="479"/>
  <c r="B79" i="479"/>
  <c r="B78" i="479"/>
  <c r="B77" i="479"/>
  <c r="B76" i="479"/>
  <c r="B75" i="479"/>
  <c r="B74" i="479"/>
  <c r="B73" i="479"/>
  <c r="B72" i="479"/>
  <c r="B71" i="479"/>
  <c r="B70" i="479"/>
  <c r="B69" i="479"/>
  <c r="B68" i="479"/>
  <c r="B67" i="479"/>
  <c r="B66" i="479"/>
  <c r="B65" i="479"/>
  <c r="B64" i="479"/>
  <c r="B63" i="479"/>
  <c r="B62" i="479"/>
  <c r="B61" i="479"/>
  <c r="B60" i="479"/>
  <c r="B59" i="479"/>
  <c r="B58" i="479"/>
  <c r="B57" i="479"/>
  <c r="B56" i="479"/>
  <c r="B55" i="479"/>
  <c r="B54" i="479"/>
  <c r="B53" i="479"/>
  <c r="B52" i="479"/>
  <c r="B51" i="479"/>
  <c r="B50" i="479"/>
  <c r="B49" i="479"/>
  <c r="B48" i="479"/>
  <c r="B47" i="479"/>
  <c r="B46" i="479"/>
  <c r="B45" i="479"/>
  <c r="B44" i="479"/>
  <c r="B43" i="479"/>
  <c r="B42" i="479"/>
  <c r="B41" i="479"/>
  <c r="B40" i="479"/>
  <c r="B39" i="479"/>
  <c r="B38" i="479"/>
  <c r="B37" i="479"/>
  <c r="B36" i="479"/>
  <c r="B35" i="479"/>
  <c r="B34" i="479"/>
  <c r="B33" i="479"/>
  <c r="B32" i="479"/>
  <c r="B31" i="479"/>
  <c r="B30" i="479"/>
  <c r="B29" i="479"/>
  <c r="B28" i="479"/>
  <c r="B27" i="479"/>
  <c r="B26" i="479"/>
  <c r="B25" i="479"/>
  <c r="B24" i="479"/>
  <c r="B23" i="479"/>
  <c r="B22" i="479"/>
  <c r="B21" i="479"/>
  <c r="B20" i="479"/>
  <c r="B19" i="479"/>
  <c r="B18" i="479"/>
  <c r="B17" i="479"/>
  <c r="B16" i="479"/>
  <c r="B15" i="479"/>
  <c r="B14" i="479"/>
  <c r="B13" i="479"/>
  <c r="B12" i="479"/>
  <c r="B11" i="479"/>
  <c r="B10" i="479"/>
  <c r="B9" i="479"/>
  <c r="B8" i="479"/>
  <c r="B7" i="479"/>
  <c r="B6" i="479"/>
  <c r="B5" i="479"/>
  <c r="B4" i="479"/>
  <c r="B3" i="479"/>
  <c r="B2" i="479"/>
  <c r="B1" i="479"/>
  <c r="G110" i="1"/>
  <c r="G122" i="1" s="1"/>
  <c r="F2" i="481" l="1"/>
  <c r="F2" i="490"/>
  <c r="F2" i="489"/>
  <c r="F1" i="481"/>
  <c r="F1" i="490"/>
  <c r="F1" i="489"/>
  <c r="H74" i="466" l="1"/>
  <c r="H72" i="466"/>
  <c r="H70" i="466"/>
  <c r="I70" i="466" s="1"/>
  <c r="J70" i="466" s="1"/>
  <c r="K70" i="466" s="1"/>
  <c r="L70" i="466" s="1"/>
  <c r="M70" i="466" s="1"/>
  <c r="N70" i="466" s="1"/>
  <c r="H68" i="466"/>
  <c r="I68" i="466" s="1"/>
  <c r="H61" i="466"/>
  <c r="I61" i="466" s="1"/>
  <c r="J61" i="466" s="1"/>
  <c r="K61" i="466" s="1"/>
  <c r="L61" i="466" s="1"/>
  <c r="M61" i="466" s="1"/>
  <c r="N61" i="466" s="1"/>
  <c r="H60" i="466"/>
  <c r="I60" i="466" s="1"/>
  <c r="J60" i="466" s="1"/>
  <c r="K60" i="466" s="1"/>
  <c r="L60" i="466" s="1"/>
  <c r="M60" i="466" s="1"/>
  <c r="N60" i="466" s="1"/>
  <c r="H59" i="466"/>
  <c r="I59" i="466" s="1"/>
  <c r="J59" i="466" s="1"/>
  <c r="K59" i="466" s="1"/>
  <c r="L59" i="466" s="1"/>
  <c r="M59" i="466" s="1"/>
  <c r="N59" i="466" s="1"/>
  <c r="H50" i="466"/>
  <c r="I50" i="466" s="1"/>
  <c r="J50" i="466" s="1"/>
  <c r="K50" i="466" s="1"/>
  <c r="L50" i="466" s="1"/>
  <c r="M50" i="466" s="1"/>
  <c r="N50" i="466" s="1"/>
  <c r="H41" i="466"/>
  <c r="I41" i="466" s="1"/>
  <c r="J41" i="466" s="1"/>
  <c r="K41" i="466" s="1"/>
  <c r="L41" i="466" s="1"/>
  <c r="M41" i="466" s="1"/>
  <c r="N41" i="466" s="1"/>
  <c r="H40" i="466"/>
  <c r="H39" i="466"/>
  <c r="H38" i="466"/>
  <c r="H37" i="466"/>
  <c r="H36" i="466"/>
  <c r="H35" i="466"/>
  <c r="H34" i="466"/>
  <c r="I28" i="466"/>
  <c r="I27" i="466"/>
  <c r="H18" i="466"/>
  <c r="G112" i="1"/>
  <c r="I112" i="1" s="1"/>
  <c r="K112" i="1" s="1"/>
  <c r="M112" i="1" s="1"/>
  <c r="I64" i="613" l="1"/>
  <c r="I39" i="614" s="1"/>
  <c r="G64" i="613"/>
  <c r="G39" i="614" s="1"/>
  <c r="H64" i="613"/>
  <c r="H39" i="614" s="1"/>
  <c r="F64" i="613"/>
  <c r="F39" i="614" s="1"/>
  <c r="J68" i="466"/>
  <c r="B65" i="511"/>
  <c r="E64" i="613"/>
  <c r="E39" i="614" s="1"/>
  <c r="D64" i="613"/>
  <c r="D39" i="614" s="1"/>
  <c r="C64" i="613"/>
  <c r="C39" i="614" s="1"/>
  <c r="B64" i="613"/>
  <c r="B39" i="614" s="1"/>
  <c r="J27" i="466"/>
  <c r="B36" i="511"/>
  <c r="I36" i="466"/>
  <c r="I40" i="466"/>
  <c r="I18" i="466"/>
  <c r="J28" i="466"/>
  <c r="B37" i="517" s="1"/>
  <c r="B37" i="511"/>
  <c r="I37" i="466"/>
  <c r="I72" i="466"/>
  <c r="I39" i="466"/>
  <c r="I34" i="466"/>
  <c r="I38" i="466"/>
  <c r="I35" i="466"/>
  <c r="I74" i="466"/>
  <c r="D11" i="537"/>
  <c r="B36" i="517" l="1"/>
  <c r="G64" i="644"/>
  <c r="G39" i="643" s="1"/>
  <c r="H64" i="644"/>
  <c r="H39" i="643" s="1"/>
  <c r="F64" i="644"/>
  <c r="F39" i="643" s="1"/>
  <c r="I64" i="644"/>
  <c r="I39" i="643" s="1"/>
  <c r="G65" i="613"/>
  <c r="G40" i="614" s="1"/>
  <c r="I65" i="613"/>
  <c r="I40" i="614" s="1"/>
  <c r="F65" i="613"/>
  <c r="F40" i="614" s="1"/>
  <c r="H65" i="613"/>
  <c r="H40" i="614" s="1"/>
  <c r="K68" i="466"/>
  <c r="B65" i="517"/>
  <c r="I60" i="613"/>
  <c r="I35" i="614" s="1"/>
  <c r="H60" i="613"/>
  <c r="H35" i="614" s="1"/>
  <c r="F60" i="613"/>
  <c r="F35" i="614" s="1"/>
  <c r="G60" i="613"/>
  <c r="G35" i="614" s="1"/>
  <c r="F59" i="613"/>
  <c r="F34" i="614" s="1"/>
  <c r="G59" i="613"/>
  <c r="G34" i="614" s="1"/>
  <c r="H59" i="613"/>
  <c r="H34" i="614" s="1"/>
  <c r="I59" i="613"/>
  <c r="I34" i="614" s="1"/>
  <c r="I62" i="613"/>
  <c r="I37" i="614" s="1"/>
  <c r="H62" i="613"/>
  <c r="H37" i="614" s="1"/>
  <c r="G62" i="613"/>
  <c r="G37" i="614" s="1"/>
  <c r="F62" i="613"/>
  <c r="F37" i="614" s="1"/>
  <c r="E64" i="644"/>
  <c r="E39" i="643" s="1"/>
  <c r="D64" i="644"/>
  <c r="D39" i="643" s="1"/>
  <c r="C64" i="644"/>
  <c r="C39" i="643" s="1"/>
  <c r="B64" i="644"/>
  <c r="B39" i="643" s="1"/>
  <c r="C60" i="613"/>
  <c r="C35" i="614" s="1"/>
  <c r="D60" i="613"/>
  <c r="D35" i="614" s="1"/>
  <c r="E60" i="613"/>
  <c r="E35" i="614" s="1"/>
  <c r="C59" i="613"/>
  <c r="E59" i="613"/>
  <c r="D59" i="613"/>
  <c r="B59" i="613"/>
  <c r="C62" i="613"/>
  <c r="C37" i="614" s="1"/>
  <c r="B62" i="613"/>
  <c r="B37" i="614" s="1"/>
  <c r="D62" i="613"/>
  <c r="D37" i="614" s="1"/>
  <c r="E62" i="613"/>
  <c r="E37" i="614" s="1"/>
  <c r="B60" i="613"/>
  <c r="B35" i="614" s="1"/>
  <c r="C65" i="613"/>
  <c r="C40" i="614" s="1"/>
  <c r="B65" i="613"/>
  <c r="B40" i="614" s="1"/>
  <c r="E65" i="613"/>
  <c r="E40" i="614" s="1"/>
  <c r="D65" i="613"/>
  <c r="D40" i="614" s="1"/>
  <c r="J34" i="466"/>
  <c r="B26" i="517" s="1"/>
  <c r="B26" i="511"/>
  <c r="K28" i="466"/>
  <c r="B37" i="523" s="1"/>
  <c r="J18" i="466"/>
  <c r="C23" i="510"/>
  <c r="B16" i="511"/>
  <c r="J36" i="466"/>
  <c r="B27" i="511"/>
  <c r="J72" i="466"/>
  <c r="B23" i="511"/>
  <c r="J38" i="466"/>
  <c r="B29" i="517" s="1"/>
  <c r="B29" i="511"/>
  <c r="J39" i="466"/>
  <c r="B30" i="517" s="1"/>
  <c r="B30" i="511"/>
  <c r="J37" i="466"/>
  <c r="B28" i="517" s="1"/>
  <c r="B28" i="511"/>
  <c r="J35" i="466"/>
  <c r="J74" i="466"/>
  <c r="B51" i="511"/>
  <c r="J40" i="466"/>
  <c r="B31" i="517" s="1"/>
  <c r="B31" i="511"/>
  <c r="K27" i="466"/>
  <c r="D11" i="538"/>
  <c r="I89" i="481"/>
  <c r="F89" i="481"/>
  <c r="D13" i="538"/>
  <c r="D14" i="538"/>
  <c r="D96" i="248"/>
  <c r="F98" i="481"/>
  <c r="L68" i="466" l="1"/>
  <c r="B65" i="523"/>
  <c r="B16" i="517"/>
  <c r="G59" i="644"/>
  <c r="G34" i="643" s="1"/>
  <c r="I59" i="644"/>
  <c r="I34" i="643" s="1"/>
  <c r="F59" i="644"/>
  <c r="F34" i="643" s="1"/>
  <c r="H59" i="644"/>
  <c r="H34" i="643" s="1"/>
  <c r="B23" i="517"/>
  <c r="I60" i="644"/>
  <c r="I35" i="643" s="1"/>
  <c r="G60" i="644"/>
  <c r="G35" i="643" s="1"/>
  <c r="H60" i="644"/>
  <c r="H35" i="643" s="1"/>
  <c r="F60" i="644"/>
  <c r="F35" i="643" s="1"/>
  <c r="B36" i="523"/>
  <c r="I64" i="646"/>
  <c r="I39" i="645" s="1"/>
  <c r="G64" i="646"/>
  <c r="G39" i="645" s="1"/>
  <c r="F64" i="646"/>
  <c r="F39" i="645" s="1"/>
  <c r="H64" i="646"/>
  <c r="H39" i="645" s="1"/>
  <c r="B27" i="517"/>
  <c r="I62" i="644"/>
  <c r="I37" i="643" s="1"/>
  <c r="G62" i="644"/>
  <c r="G37" i="643" s="1"/>
  <c r="H62" i="644"/>
  <c r="H37" i="643" s="1"/>
  <c r="F62" i="644"/>
  <c r="F37" i="643" s="1"/>
  <c r="B51" i="517"/>
  <c r="F65" i="644"/>
  <c r="F40" i="643" s="1"/>
  <c r="H65" i="644"/>
  <c r="H40" i="643" s="1"/>
  <c r="G65" i="644"/>
  <c r="G40" i="643" s="1"/>
  <c r="I65" i="644"/>
  <c r="I40" i="643" s="1"/>
  <c r="E60" i="644"/>
  <c r="E35" i="643" s="1"/>
  <c r="D60" i="644"/>
  <c r="D35" i="643" s="1"/>
  <c r="C60" i="644"/>
  <c r="C35" i="643" s="1"/>
  <c r="B60" i="644"/>
  <c r="B35" i="643" s="1"/>
  <c r="E64" i="646"/>
  <c r="E39" i="645" s="1"/>
  <c r="D64" i="646"/>
  <c r="D39" i="645" s="1"/>
  <c r="C64" i="646"/>
  <c r="C39" i="645" s="1"/>
  <c r="B64" i="646"/>
  <c r="B39" i="645" s="1"/>
  <c r="E62" i="644"/>
  <c r="E37" i="643" s="1"/>
  <c r="D62" i="644"/>
  <c r="D37" i="643" s="1"/>
  <c r="C62" i="644"/>
  <c r="C37" i="643" s="1"/>
  <c r="B62" i="644"/>
  <c r="B37" i="643" s="1"/>
  <c r="E59" i="644"/>
  <c r="D59" i="644"/>
  <c r="B59" i="644"/>
  <c r="B34" i="643" s="1"/>
  <c r="C59" i="644"/>
  <c r="B65" i="644"/>
  <c r="B40" i="643" s="1"/>
  <c r="E65" i="644"/>
  <c r="E40" i="643" s="1"/>
  <c r="C65" i="644"/>
  <c r="C40" i="643" s="1"/>
  <c r="D65" i="644"/>
  <c r="D40" i="643" s="1"/>
  <c r="B34" i="614"/>
  <c r="D34" i="614"/>
  <c r="E34" i="614"/>
  <c r="C34" i="614"/>
  <c r="L27" i="466"/>
  <c r="L28" i="466"/>
  <c r="B37" i="556" s="1"/>
  <c r="K74" i="466"/>
  <c r="K37" i="466"/>
  <c r="B28" i="523" s="1"/>
  <c r="K36" i="466"/>
  <c r="K38" i="466"/>
  <c r="B29" i="523" s="1"/>
  <c r="K40" i="466"/>
  <c r="B31" i="523" s="1"/>
  <c r="K35" i="466"/>
  <c r="K39" i="466"/>
  <c r="B30" i="523" s="1"/>
  <c r="K72" i="466"/>
  <c r="K18" i="466"/>
  <c r="C23" i="516"/>
  <c r="K34" i="466"/>
  <c r="B26" i="523" s="1"/>
  <c r="G28" i="227"/>
  <c r="I85" i="489"/>
  <c r="J85" i="489" s="1"/>
  <c r="F85" i="489"/>
  <c r="F90" i="481"/>
  <c r="I88" i="489"/>
  <c r="J88" i="489" s="1"/>
  <c r="F88" i="489"/>
  <c r="F91" i="489"/>
  <c r="F92" i="481"/>
  <c r="I92" i="481" s="1"/>
  <c r="I86" i="489"/>
  <c r="J86" i="489" s="1"/>
  <c r="F86" i="489"/>
  <c r="B27" i="523" l="1"/>
  <c r="G62" i="646"/>
  <c r="G37" i="645" s="1"/>
  <c r="F62" i="646"/>
  <c r="F37" i="645" s="1"/>
  <c r="I62" i="646"/>
  <c r="I37" i="645" s="1"/>
  <c r="H62" i="646"/>
  <c r="H37" i="645" s="1"/>
  <c r="B36" i="556"/>
  <c r="H64" i="647"/>
  <c r="H39" i="648" s="1"/>
  <c r="F64" i="647"/>
  <c r="F39" i="648" s="1"/>
  <c r="I64" i="647"/>
  <c r="I39" i="648" s="1"/>
  <c r="G64" i="647"/>
  <c r="G39" i="648" s="1"/>
  <c r="B51" i="523"/>
  <c r="I65" i="646"/>
  <c r="I40" i="645" s="1"/>
  <c r="G65" i="646"/>
  <c r="G40" i="645" s="1"/>
  <c r="F65" i="646"/>
  <c r="F40" i="645" s="1"/>
  <c r="H65" i="646"/>
  <c r="H40" i="645" s="1"/>
  <c r="C23" i="690"/>
  <c r="B16" i="523"/>
  <c r="G59" i="646"/>
  <c r="G34" i="645" s="1"/>
  <c r="H59" i="646"/>
  <c r="H34" i="645" s="1"/>
  <c r="I59" i="646"/>
  <c r="I34" i="645" s="1"/>
  <c r="F59" i="646"/>
  <c r="F34" i="645" s="1"/>
  <c r="B23" i="523"/>
  <c r="H60" i="646"/>
  <c r="H35" i="645" s="1"/>
  <c r="F60" i="646"/>
  <c r="F35" i="645" s="1"/>
  <c r="I60" i="646"/>
  <c r="I35" i="645" s="1"/>
  <c r="G60" i="646"/>
  <c r="G35" i="645" s="1"/>
  <c r="M68" i="466"/>
  <c r="B65" i="556"/>
  <c r="E62" i="646"/>
  <c r="E37" i="645" s="1"/>
  <c r="D62" i="646"/>
  <c r="D37" i="645" s="1"/>
  <c r="C62" i="646"/>
  <c r="C37" i="645" s="1"/>
  <c r="B62" i="646"/>
  <c r="B37" i="645" s="1"/>
  <c r="C34" i="643"/>
  <c r="E60" i="646"/>
  <c r="E35" i="645" s="1"/>
  <c r="D60" i="646"/>
  <c r="D35" i="645" s="1"/>
  <c r="C60" i="646"/>
  <c r="C35" i="645" s="1"/>
  <c r="B60" i="646"/>
  <c r="B35" i="645" s="1"/>
  <c r="E34" i="643"/>
  <c r="C23" i="633"/>
  <c r="E59" i="646"/>
  <c r="D59" i="646"/>
  <c r="C59" i="646"/>
  <c r="B59" i="646"/>
  <c r="B34" i="645" s="1"/>
  <c r="B65" i="646"/>
  <c r="B40" i="645" s="1"/>
  <c r="E65" i="646"/>
  <c r="E40" i="645" s="1"/>
  <c r="D65" i="646"/>
  <c r="D40" i="645" s="1"/>
  <c r="C65" i="646"/>
  <c r="C40" i="645" s="1"/>
  <c r="D34" i="643"/>
  <c r="E64" i="647"/>
  <c r="E39" i="648" s="1"/>
  <c r="D64" i="647"/>
  <c r="D39" i="648" s="1"/>
  <c r="C64" i="647"/>
  <c r="C39" i="648" s="1"/>
  <c r="B64" i="647"/>
  <c r="B39" i="648" s="1"/>
  <c r="M28" i="466"/>
  <c r="M27" i="466"/>
  <c r="L72" i="466"/>
  <c r="L35" i="466"/>
  <c r="L38" i="466"/>
  <c r="B29" i="556" s="1"/>
  <c r="L37" i="466"/>
  <c r="B28" i="556" s="1"/>
  <c r="C23" i="554"/>
  <c r="L18" i="466"/>
  <c r="L39" i="466"/>
  <c r="B30" i="556" s="1"/>
  <c r="L40" i="466"/>
  <c r="B31" i="556" s="1"/>
  <c r="L36" i="466"/>
  <c r="L74" i="466"/>
  <c r="L34" i="466"/>
  <c r="B26" i="556" s="1"/>
  <c r="D13" i="539"/>
  <c r="D14" i="539"/>
  <c r="D11" i="539"/>
  <c r="F91" i="490"/>
  <c r="E96" i="248"/>
  <c r="C23" i="522"/>
  <c r="H28" i="227"/>
  <c r="I85" i="490"/>
  <c r="J85" i="490" s="1"/>
  <c r="F85" i="490"/>
  <c r="I88" i="490"/>
  <c r="J88" i="490" s="1"/>
  <c r="F88" i="490"/>
  <c r="I86" i="490"/>
  <c r="J86" i="490" s="1"/>
  <c r="F86" i="490"/>
  <c r="F87" i="489"/>
  <c r="K2" i="107"/>
  <c r="K1" i="107"/>
  <c r="B23" i="556" l="1"/>
  <c r="F60" i="647"/>
  <c r="F35" i="648" s="1"/>
  <c r="H60" i="647"/>
  <c r="H35" i="648" s="1"/>
  <c r="I60" i="647"/>
  <c r="I35" i="648" s="1"/>
  <c r="G60" i="647"/>
  <c r="G35" i="648" s="1"/>
  <c r="N27" i="466"/>
  <c r="B36" i="691"/>
  <c r="B36" i="631"/>
  <c r="B27" i="556"/>
  <c r="H62" i="647"/>
  <c r="H37" i="648" s="1"/>
  <c r="F62" i="647"/>
  <c r="F37" i="648" s="1"/>
  <c r="I62" i="647"/>
  <c r="I37" i="648" s="1"/>
  <c r="G62" i="647"/>
  <c r="G37" i="648" s="1"/>
  <c r="N68" i="466"/>
  <c r="B65" i="691"/>
  <c r="B65" i="631"/>
  <c r="B16" i="556"/>
  <c r="H59" i="647"/>
  <c r="H34" i="648" s="1"/>
  <c r="F59" i="647"/>
  <c r="F34" i="648" s="1"/>
  <c r="G59" i="647"/>
  <c r="G34" i="648" s="1"/>
  <c r="I59" i="647"/>
  <c r="I34" i="648" s="1"/>
  <c r="N28" i="466"/>
  <c r="B37" i="691"/>
  <c r="B37" i="631"/>
  <c r="B51" i="556"/>
  <c r="G65" i="647"/>
  <c r="G40" i="648" s="1"/>
  <c r="I65" i="647"/>
  <c r="I40" i="648" s="1"/>
  <c r="H65" i="647"/>
  <c r="H40" i="648" s="1"/>
  <c r="F65" i="647"/>
  <c r="F40" i="648" s="1"/>
  <c r="F85" i="545"/>
  <c r="I85" i="545"/>
  <c r="I86" i="545"/>
  <c r="J86" i="545" s="1"/>
  <c r="F86" i="545"/>
  <c r="I88" i="545"/>
  <c r="J88" i="545" s="1"/>
  <c r="F88" i="545"/>
  <c r="C34" i="645"/>
  <c r="D34" i="645"/>
  <c r="E34" i="645"/>
  <c r="B65" i="647"/>
  <c r="B40" i="648" s="1"/>
  <c r="E65" i="647"/>
  <c r="E40" i="648" s="1"/>
  <c r="C65" i="647"/>
  <c r="C40" i="648" s="1"/>
  <c r="D65" i="647"/>
  <c r="D40" i="648" s="1"/>
  <c r="D59" i="647"/>
  <c r="B59" i="647"/>
  <c r="B34" i="648" s="1"/>
  <c r="C59" i="647"/>
  <c r="E59" i="647"/>
  <c r="D60" i="647"/>
  <c r="D35" i="648" s="1"/>
  <c r="C60" i="647"/>
  <c r="C35" i="648" s="1"/>
  <c r="B60" i="647"/>
  <c r="B35" i="648" s="1"/>
  <c r="E60" i="647"/>
  <c r="E35" i="648" s="1"/>
  <c r="E62" i="647"/>
  <c r="E37" i="648" s="1"/>
  <c r="D62" i="647"/>
  <c r="D37" i="648" s="1"/>
  <c r="C62" i="647"/>
  <c r="C37" i="648" s="1"/>
  <c r="B62" i="647"/>
  <c r="B37" i="648" s="1"/>
  <c r="M72" i="466"/>
  <c r="M18" i="466"/>
  <c r="M37" i="466"/>
  <c r="M36" i="466"/>
  <c r="M40" i="466"/>
  <c r="M39" i="466"/>
  <c r="M74" i="466"/>
  <c r="M38" i="466"/>
  <c r="M34" i="466"/>
  <c r="M35" i="466"/>
  <c r="N35" i="466" s="1"/>
  <c r="D14" i="558"/>
  <c r="D13" i="558"/>
  <c r="D11" i="558"/>
  <c r="B31" i="691" l="1"/>
  <c r="N40" i="466"/>
  <c r="B31" i="631"/>
  <c r="N36" i="466"/>
  <c r="B27" i="691"/>
  <c r="B27" i="631"/>
  <c r="C64" i="687"/>
  <c r="C39" i="686" s="1"/>
  <c r="D64" i="687"/>
  <c r="D39" i="686" s="1"/>
  <c r="G64" i="687"/>
  <c r="G39" i="686" s="1"/>
  <c r="B64" i="687"/>
  <c r="B39" i="686" s="1"/>
  <c r="F64" i="687"/>
  <c r="F39" i="686" s="1"/>
  <c r="I64" i="687"/>
  <c r="I39" i="686" s="1"/>
  <c r="H64" i="687"/>
  <c r="H39" i="686" s="1"/>
  <c r="E64" i="687"/>
  <c r="E39" i="686" s="1"/>
  <c r="B28" i="691"/>
  <c r="N37" i="466"/>
  <c r="B28" i="631"/>
  <c r="B30" i="691"/>
  <c r="N39" i="466"/>
  <c r="B30" i="631"/>
  <c r="N72" i="466"/>
  <c r="B23" i="691"/>
  <c r="B23" i="631"/>
  <c r="N34" i="466"/>
  <c r="B26" i="691"/>
  <c r="B26" i="631"/>
  <c r="B29" i="691"/>
  <c r="N38" i="466"/>
  <c r="B29" i="631"/>
  <c r="N18" i="466"/>
  <c r="B16" i="691"/>
  <c r="B16" i="631"/>
  <c r="B51" i="691"/>
  <c r="N74" i="466"/>
  <c r="B51" i="631"/>
  <c r="D13" i="629"/>
  <c r="I85" i="620"/>
  <c r="F85" i="620"/>
  <c r="J85" i="545"/>
  <c r="D14" i="629"/>
  <c r="I88" i="620"/>
  <c r="J88" i="620" s="1"/>
  <c r="F88" i="620"/>
  <c r="F92" i="620" s="1"/>
  <c r="D11" i="629"/>
  <c r="I86" i="620"/>
  <c r="J86" i="620" s="1"/>
  <c r="F86" i="620"/>
  <c r="F92" i="545"/>
  <c r="E34" i="648"/>
  <c r="C34" i="648"/>
  <c r="D34" i="648"/>
  <c r="C215" i="167"/>
  <c r="G62" i="687" l="1"/>
  <c r="G37" i="686" s="1"/>
  <c r="D62" i="687"/>
  <c r="D37" i="686" s="1"/>
  <c r="H62" i="687"/>
  <c r="H37" i="686" s="1"/>
  <c r="C62" i="687"/>
  <c r="C37" i="686" s="1"/>
  <c r="E62" i="687"/>
  <c r="E37" i="686" s="1"/>
  <c r="B62" i="687"/>
  <c r="B37" i="686" s="1"/>
  <c r="I62" i="687"/>
  <c r="I37" i="686" s="1"/>
  <c r="F62" i="687"/>
  <c r="F37" i="686" s="1"/>
  <c r="C65" i="687"/>
  <c r="C40" i="686" s="1"/>
  <c r="B65" i="687"/>
  <c r="B40" i="686" s="1"/>
  <c r="D65" i="687"/>
  <c r="D40" i="686" s="1"/>
  <c r="E65" i="687"/>
  <c r="E40" i="686" s="1"/>
  <c r="H65" i="687"/>
  <c r="H40" i="686" s="1"/>
  <c r="I65" i="687"/>
  <c r="I40" i="686" s="1"/>
  <c r="F65" i="687"/>
  <c r="F40" i="686" s="1"/>
  <c r="G65" i="687"/>
  <c r="G40" i="686" s="1"/>
  <c r="D60" i="687"/>
  <c r="D35" i="686" s="1"/>
  <c r="E60" i="687"/>
  <c r="E35" i="686" s="1"/>
  <c r="G60" i="687"/>
  <c r="G35" i="686" s="1"/>
  <c r="C60" i="687"/>
  <c r="C35" i="686" s="1"/>
  <c r="I60" i="687"/>
  <c r="I35" i="686" s="1"/>
  <c r="F60" i="687"/>
  <c r="F35" i="686" s="1"/>
  <c r="H60" i="687"/>
  <c r="H35" i="686" s="1"/>
  <c r="B60" i="687"/>
  <c r="B35" i="686" s="1"/>
  <c r="G59" i="687"/>
  <c r="I59" i="687"/>
  <c r="C59" i="687"/>
  <c r="F59" i="687"/>
  <c r="H59" i="687"/>
  <c r="E59" i="687"/>
  <c r="D59" i="687"/>
  <c r="B59" i="687"/>
  <c r="J85" i="620"/>
  <c r="H15" i="109"/>
  <c r="H11" i="109"/>
  <c r="H34" i="686" l="1"/>
  <c r="H66" i="687"/>
  <c r="H93" i="687" s="1"/>
  <c r="E34" i="686"/>
  <c r="E66" i="687"/>
  <c r="E93" i="687" s="1"/>
  <c r="C34" i="686"/>
  <c r="C66" i="687"/>
  <c r="C93" i="687" s="1"/>
  <c r="D34" i="686"/>
  <c r="D66" i="687"/>
  <c r="D93" i="687" s="1"/>
  <c r="I34" i="686"/>
  <c r="I66" i="687"/>
  <c r="I93" i="687" s="1"/>
  <c r="B34" i="686"/>
  <c r="B66" i="687"/>
  <c r="B93" i="687" s="1"/>
  <c r="F34" i="686"/>
  <c r="F66" i="687"/>
  <c r="F93" i="687" s="1"/>
  <c r="G34" i="686"/>
  <c r="G66" i="687"/>
  <c r="G93" i="687" s="1"/>
  <c r="I181" i="481"/>
  <c r="I174" i="683" s="1"/>
  <c r="B84" i="687" l="1"/>
  <c r="B46" i="686" s="1"/>
  <c r="B83" i="687"/>
  <c r="C84" i="687"/>
  <c r="C46" i="686" s="1"/>
  <c r="C83" i="687"/>
  <c r="E84" i="687"/>
  <c r="E46" i="686" s="1"/>
  <c r="E83" i="687"/>
  <c r="G83" i="687"/>
  <c r="G84" i="687"/>
  <c r="G46" i="686" s="1"/>
  <c r="D84" i="687"/>
  <c r="D46" i="686" s="1"/>
  <c r="D83" i="687"/>
  <c r="F83" i="687"/>
  <c r="F84" i="687"/>
  <c r="F46" i="686" s="1"/>
  <c r="I83" i="687"/>
  <c r="I84" i="687"/>
  <c r="I46" i="686" s="1"/>
  <c r="H84" i="687"/>
  <c r="H46" i="686" s="1"/>
  <c r="H83" i="687"/>
  <c r="I173" i="490"/>
  <c r="I174" i="545"/>
  <c r="I174" i="620"/>
  <c r="C45" i="686" l="1"/>
  <c r="C85" i="687"/>
  <c r="D45" i="686"/>
  <c r="D85" i="687"/>
  <c r="G45" i="686"/>
  <c r="G85" i="687"/>
  <c r="F45" i="686"/>
  <c r="F85" i="687"/>
  <c r="E45" i="686"/>
  <c r="E85" i="687"/>
  <c r="H85" i="687"/>
  <c r="H45" i="686"/>
  <c r="B45" i="686"/>
  <c r="B85" i="687"/>
  <c r="I45" i="686"/>
  <c r="I85" i="687"/>
  <c r="C217" i="167"/>
  <c r="C218" i="167" l="1"/>
  <c r="H129" i="142" l="1"/>
  <c r="H128" i="142"/>
  <c r="AJ19" i="167" l="1"/>
  <c r="H47" i="466"/>
  <c r="H120" i="142"/>
  <c r="H119" i="142"/>
  <c r="K47" i="466" l="1"/>
  <c r="B67" i="523" s="1"/>
  <c r="I56" i="489"/>
  <c r="J56" i="489" l="1"/>
  <c r="K56" i="489"/>
  <c r="I56" i="490"/>
  <c r="K56" i="490" s="1"/>
  <c r="L47" i="466"/>
  <c r="E50" i="497"/>
  <c r="D50" i="497"/>
  <c r="I56" i="545" l="1"/>
  <c r="K56" i="545" s="1"/>
  <c r="B67" i="556"/>
  <c r="G24" i="227"/>
  <c r="D67" i="517"/>
  <c r="D50" i="498"/>
  <c r="E51" i="248" s="1"/>
  <c r="J56" i="490"/>
  <c r="M47" i="466"/>
  <c r="E50" i="498"/>
  <c r="D51" i="248"/>
  <c r="N47" i="466" l="1"/>
  <c r="I56" i="683" s="1"/>
  <c r="B67" i="691"/>
  <c r="J56" i="545"/>
  <c r="D50" i="547"/>
  <c r="D67" i="556" s="1"/>
  <c r="I56" i="620"/>
  <c r="D50" i="622" s="1"/>
  <c r="B67" i="631"/>
  <c r="H24" i="227"/>
  <c r="D67" i="523"/>
  <c r="C3" i="489"/>
  <c r="C3" i="490"/>
  <c r="D3" i="482"/>
  <c r="D3" i="483"/>
  <c r="C3" i="481"/>
  <c r="D1" i="298"/>
  <c r="D50" i="684" l="1"/>
  <c r="J56" i="683"/>
  <c r="H51" i="248"/>
  <c r="G51" i="248"/>
  <c r="I24" i="227"/>
  <c r="F51" i="248"/>
  <c r="D67" i="631"/>
  <c r="J24" i="227"/>
  <c r="J56" i="620"/>
  <c r="D67" i="691" l="1"/>
  <c r="I51" i="248"/>
  <c r="K24" i="227"/>
  <c r="D27" i="248"/>
  <c r="E27" i="248" l="1"/>
  <c r="F27" i="248" l="1"/>
  <c r="F34" i="481" l="1"/>
  <c r="J28" i="481"/>
  <c r="F28" i="481"/>
  <c r="J34" i="481" l="1"/>
  <c r="F28" i="489"/>
  <c r="F34" i="489"/>
  <c r="F34" i="490" l="1"/>
  <c r="F28" i="490"/>
  <c r="F18" i="167" l="1"/>
  <c r="H20" i="227"/>
  <c r="H49" i="227" s="1"/>
  <c r="BD39" i="167" l="1"/>
  <c r="G157" i="142"/>
  <c r="F26" i="167"/>
  <c r="F17" i="167"/>
  <c r="G191" i="1"/>
  <c r="L35" i="247" l="1"/>
  <c r="M35" i="247" l="1"/>
  <c r="N35" i="247" l="1"/>
  <c r="L50" i="247"/>
  <c r="O35" i="247" l="1"/>
  <c r="F56" i="489"/>
  <c r="P35" i="247" l="1"/>
  <c r="Q35" i="247" s="1"/>
  <c r="R35" i="247" s="1"/>
  <c r="F56" i="683"/>
  <c r="F56" i="545"/>
  <c r="F56" i="620"/>
  <c r="F56" i="490"/>
  <c r="N50" i="247"/>
  <c r="J57" i="481"/>
  <c r="O50" i="247" l="1"/>
  <c r="P50" i="247" s="1"/>
  <c r="Q50" i="247" s="1"/>
  <c r="R50" i="247" s="1"/>
  <c r="F70" i="167"/>
  <c r="J29" i="481"/>
  <c r="F10" i="481"/>
  <c r="J43" i="481"/>
  <c r="J32" i="481"/>
  <c r="F64" i="167"/>
  <c r="F10" i="489" l="1"/>
  <c r="F10" i="490" l="1"/>
  <c r="G20" i="227" l="1"/>
  <c r="G49" i="227" s="1"/>
  <c r="C48" i="423" l="1"/>
  <c r="E26" i="167"/>
  <c r="E17" i="167"/>
  <c r="E191" i="1"/>
  <c r="G148" i="142"/>
  <c r="F95" i="106"/>
  <c r="F20" i="227"/>
  <c r="F48" i="227" s="1"/>
  <c r="D17" i="167"/>
  <c r="G139" i="142"/>
  <c r="D26" i="167"/>
  <c r="E8" i="227"/>
  <c r="D8" i="227"/>
  <c r="C2" i="49"/>
  <c r="C219" i="49" s="1"/>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C29" i="227"/>
  <c r="C6" i="227"/>
  <c r="C7" i="227"/>
  <c r="C8" i="227"/>
  <c r="C10" i="227"/>
  <c r="C21" i="227"/>
  <c r="C31" i="227" s="1"/>
  <c r="C22" i="227"/>
  <c r="C23" i="227"/>
  <c r="C52" i="227"/>
  <c r="C37" i="227" s="1"/>
  <c r="C53" i="227"/>
  <c r="C33" i="227" s="1"/>
  <c r="C54" i="227"/>
  <c r="C55" i="227"/>
  <c r="C56" i="227"/>
  <c r="C57" i="227"/>
  <c r="A6" i="248"/>
  <c r="D37" i="109"/>
  <c r="D54" i="109"/>
  <c r="D2" i="106"/>
  <c r="O21" i="167"/>
  <c r="P21" i="167"/>
  <c r="O22" i="167"/>
  <c r="P22" i="167"/>
  <c r="O57" i="167"/>
  <c r="O58" i="167"/>
  <c r="C3" i="49"/>
  <c r="B1" i="120"/>
  <c r="C1" i="120" s="1"/>
  <c r="D1" i="120" s="1"/>
  <c r="E1" i="120" s="1"/>
  <c r="F1" i="120" s="1"/>
  <c r="G1" i="120" s="1"/>
  <c r="H1" i="120" s="1"/>
  <c r="I1" i="120" s="1"/>
  <c r="J1" i="120" s="1"/>
  <c r="K1" i="120" s="1"/>
  <c r="I4" i="247"/>
  <c r="J4" i="247" s="1"/>
  <c r="I7" i="247"/>
  <c r="G54" i="142"/>
  <c r="G107" i="142"/>
  <c r="G125" i="142" s="1"/>
  <c r="G134" i="142" s="1"/>
  <c r="G143" i="142" s="1"/>
  <c r="G152" i="142" s="1"/>
  <c r="G99" i="142"/>
  <c r="G108" i="142" s="1"/>
  <c r="G117" i="142" s="1"/>
  <c r="G103" i="142"/>
  <c r="D6" i="227"/>
  <c r="E6" i="227"/>
  <c r="G137" i="142"/>
  <c r="C260" i="49" l="1"/>
  <c r="C145" i="1" s="1"/>
  <c r="C259" i="49"/>
  <c r="E72" i="49"/>
  <c r="E72" i="1" s="1"/>
  <c r="C44" i="608" s="1"/>
  <c r="N49" i="49"/>
  <c r="C140" i="1" s="1"/>
  <c r="C258" i="49"/>
  <c r="C254" i="49"/>
  <c r="C103" i="1" s="1"/>
  <c r="I56" i="481" s="1"/>
  <c r="D52" i="496" s="1"/>
  <c r="C257" i="49"/>
  <c r="C111" i="1" s="1"/>
  <c r="C30" i="600" s="1"/>
  <c r="C255" i="49"/>
  <c r="C106" i="1" s="1"/>
  <c r="D27" i="537" s="1"/>
  <c r="C253" i="49"/>
  <c r="C102" i="1" s="1"/>
  <c r="C252" i="49"/>
  <c r="C101" i="1" s="1"/>
  <c r="C251" i="49"/>
  <c r="C157" i="1" s="1"/>
  <c r="C250" i="49"/>
  <c r="C143" i="1" s="1"/>
  <c r="C249" i="49"/>
  <c r="C142" i="1" s="1"/>
  <c r="C248" i="49"/>
  <c r="C141" i="1" s="1"/>
  <c r="C247" i="49"/>
  <c r="C96" i="1" s="1"/>
  <c r="G96" i="1" s="1"/>
  <c r="I96" i="1" s="1"/>
  <c r="C246" i="49"/>
  <c r="C98" i="1" s="1"/>
  <c r="C244" i="49"/>
  <c r="C47" i="1" s="1"/>
  <c r="C243" i="49"/>
  <c r="C93" i="1" s="1"/>
  <c r="C242" i="49"/>
  <c r="C94" i="1" s="1"/>
  <c r="C241" i="49"/>
  <c r="C95" i="1" s="1"/>
  <c r="G95" i="1" s="1"/>
  <c r="I95" i="1" s="1"/>
  <c r="C238" i="49"/>
  <c r="C89" i="1" s="1"/>
  <c r="C230" i="49"/>
  <c r="C55" i="1" s="1"/>
  <c r="G55" i="1" s="1"/>
  <c r="I55" i="1" s="1"/>
  <c r="K55" i="1" s="1"/>
  <c r="M55" i="1" s="1"/>
  <c r="C222" i="49"/>
  <c r="C214" i="49"/>
  <c r="C45" i="1" s="1"/>
  <c r="G45" i="1" s="1"/>
  <c r="I45" i="1" s="1"/>
  <c r="K45" i="1" s="1"/>
  <c r="M45" i="1" s="1"/>
  <c r="C236" i="49"/>
  <c r="C228" i="49"/>
  <c r="C53" i="1" s="1"/>
  <c r="G53" i="1" s="1"/>
  <c r="I53" i="1" s="1"/>
  <c r="K53" i="1" s="1"/>
  <c r="M53" i="1" s="1"/>
  <c r="C212" i="49"/>
  <c r="C42" i="1" s="1"/>
  <c r="G42" i="1" s="1"/>
  <c r="I42" i="1" s="1"/>
  <c r="K42" i="1" s="1"/>
  <c r="M42" i="1" s="1"/>
  <c r="C227" i="49"/>
  <c r="C52" i="1" s="1"/>
  <c r="G52" i="1" s="1"/>
  <c r="I52" i="1" s="1"/>
  <c r="K52" i="1" s="1"/>
  <c r="M52" i="1" s="1"/>
  <c r="C234" i="49"/>
  <c r="C218" i="49"/>
  <c r="C60" i="1" s="1"/>
  <c r="G60" i="1" s="1"/>
  <c r="I60" i="1" s="1"/>
  <c r="K60" i="1" s="1"/>
  <c r="M60" i="1" s="1"/>
  <c r="C233" i="49"/>
  <c r="C225" i="49"/>
  <c r="C80" i="1" s="1"/>
  <c r="C240" i="49"/>
  <c r="C44" i="1" s="1"/>
  <c r="G44" i="1" s="1"/>
  <c r="I44" i="1" s="1"/>
  <c r="K44" i="1" s="1"/>
  <c r="M44" i="1" s="1"/>
  <c r="C224" i="49"/>
  <c r="C75" i="1" s="1"/>
  <c r="C231" i="49"/>
  <c r="C223" i="49"/>
  <c r="C74" i="1" s="1"/>
  <c r="C237" i="49"/>
  <c r="C88" i="1" s="1"/>
  <c r="C229" i="49"/>
  <c r="C54" i="1" s="1"/>
  <c r="G54" i="1" s="1"/>
  <c r="I54" i="1" s="1"/>
  <c r="K54" i="1" s="1"/>
  <c r="M54" i="1" s="1"/>
  <c r="C221" i="49"/>
  <c r="C213" i="49"/>
  <c r="C43" i="1" s="1"/>
  <c r="G43" i="1" s="1"/>
  <c r="I43" i="1" s="1"/>
  <c r="K43" i="1" s="1"/>
  <c r="M43" i="1" s="1"/>
  <c r="C220" i="49"/>
  <c r="C235" i="49"/>
  <c r="C211" i="49"/>
  <c r="C41" i="1" s="1"/>
  <c r="G41" i="1" s="1"/>
  <c r="I41" i="1" s="1"/>
  <c r="K41" i="1" s="1"/>
  <c r="M41" i="1" s="1"/>
  <c r="C226" i="49"/>
  <c r="C51" i="1" s="1"/>
  <c r="G51" i="1" s="1"/>
  <c r="I51" i="1" s="1"/>
  <c r="K51" i="1" s="1"/>
  <c r="M51" i="1" s="1"/>
  <c r="C210" i="49"/>
  <c r="C33" i="1" s="1"/>
  <c r="G33" i="1" s="1"/>
  <c r="I33" i="1" s="1"/>
  <c r="K33" i="1" s="1"/>
  <c r="M33" i="1" s="1"/>
  <c r="C217" i="49"/>
  <c r="C49" i="1" s="1"/>
  <c r="G49" i="1" s="1"/>
  <c r="I49" i="1" s="1"/>
  <c r="K49" i="1" s="1"/>
  <c r="M49" i="1" s="1"/>
  <c r="C232" i="49"/>
  <c r="C208" i="49"/>
  <c r="C215" i="49"/>
  <c r="C46" i="1" s="1"/>
  <c r="G46" i="1" s="1"/>
  <c r="I46" i="1" s="1"/>
  <c r="K46" i="1" s="1"/>
  <c r="M46" i="1" s="1"/>
  <c r="C209" i="49"/>
  <c r="C216" i="49"/>
  <c r="C239" i="49"/>
  <c r="C90" i="1" s="1"/>
  <c r="C205" i="49"/>
  <c r="C36" i="1" s="1"/>
  <c r="C197" i="49"/>
  <c r="C25" i="1" s="1"/>
  <c r="G25" i="1" s="1"/>
  <c r="I25" i="1" s="1"/>
  <c r="K25" i="1" s="1"/>
  <c r="M25" i="1" s="1"/>
  <c r="C194" i="49"/>
  <c r="C22" i="1" s="1"/>
  <c r="G22" i="1" s="1"/>
  <c r="I22" i="1" s="1"/>
  <c r="K22" i="1" s="1"/>
  <c r="M22" i="1" s="1"/>
  <c r="C195" i="49"/>
  <c r="C23" i="1" s="1"/>
  <c r="G23" i="1" s="1"/>
  <c r="I23" i="1" s="1"/>
  <c r="K23" i="1" s="1"/>
  <c r="M23" i="1" s="1"/>
  <c r="C245" i="49"/>
  <c r="C207" i="49"/>
  <c r="C38" i="1" s="1"/>
  <c r="G38" i="1" s="1"/>
  <c r="I38" i="1" s="1"/>
  <c r="K38" i="1" s="1"/>
  <c r="M38" i="1" s="1"/>
  <c r="C206" i="49"/>
  <c r="C37" i="1" s="1"/>
  <c r="G37" i="1" s="1"/>
  <c r="I37" i="1" s="1"/>
  <c r="K37" i="1" s="1"/>
  <c r="M37" i="1" s="1"/>
  <c r="C204" i="49"/>
  <c r="C32" i="1" s="1"/>
  <c r="G32" i="1" s="1"/>
  <c r="I32" i="1" s="1"/>
  <c r="K32" i="1" s="1"/>
  <c r="M32" i="1" s="1"/>
  <c r="C196" i="49"/>
  <c r="C24" i="1" s="1"/>
  <c r="G24" i="1" s="1"/>
  <c r="I24" i="1" s="1"/>
  <c r="K24" i="1" s="1"/>
  <c r="M24" i="1" s="1"/>
  <c r="C193" i="49"/>
  <c r="C19" i="1" s="1"/>
  <c r="F15" i="106" s="1"/>
  <c r="C203" i="49"/>
  <c r="C31" i="1" s="1"/>
  <c r="G31" i="1" s="1"/>
  <c r="I31" i="1" s="1"/>
  <c r="K31" i="1" s="1"/>
  <c r="M31" i="1" s="1"/>
  <c r="C202" i="49"/>
  <c r="C30" i="1" s="1"/>
  <c r="G30" i="1" s="1"/>
  <c r="I30" i="1" s="1"/>
  <c r="K30" i="1" s="1"/>
  <c r="M30" i="1" s="1"/>
  <c r="C201" i="49"/>
  <c r="C29" i="1" s="1"/>
  <c r="G29" i="1" s="1"/>
  <c r="I29" i="1" s="1"/>
  <c r="K29" i="1" s="1"/>
  <c r="M29" i="1" s="1"/>
  <c r="C200" i="49"/>
  <c r="C28" i="1" s="1"/>
  <c r="G28" i="1" s="1"/>
  <c r="I28" i="1" s="1"/>
  <c r="K28" i="1" s="1"/>
  <c r="M28" i="1" s="1"/>
  <c r="C199" i="49"/>
  <c r="C27" i="1" s="1"/>
  <c r="G27" i="1" s="1"/>
  <c r="I27" i="1" s="1"/>
  <c r="K27" i="1" s="1"/>
  <c r="M27" i="1" s="1"/>
  <c r="C198" i="49"/>
  <c r="C26" i="1" s="1"/>
  <c r="G26" i="1" s="1"/>
  <c r="I26" i="1" s="1"/>
  <c r="K26" i="1" s="1"/>
  <c r="M26" i="1" s="1"/>
  <c r="C1" i="49"/>
  <c r="B1" i="1" s="1"/>
  <c r="R51" i="49"/>
  <c r="C28" i="667" s="1"/>
  <c r="R50" i="49"/>
  <c r="C65" i="1" s="1"/>
  <c r="R49" i="49"/>
  <c r="C64" i="1" s="1"/>
  <c r="R48" i="49"/>
  <c r="C63" i="1" s="1"/>
  <c r="C26" i="667" s="1"/>
  <c r="R53" i="49"/>
  <c r="C25" i="667" s="1"/>
  <c r="R52" i="49"/>
  <c r="C19" i="667" s="1"/>
  <c r="E81" i="49"/>
  <c r="I8" i="467" s="1"/>
  <c r="E80" i="49"/>
  <c r="D20" i="496" s="1"/>
  <c r="C21" i="248" s="1"/>
  <c r="E162" i="49"/>
  <c r="C16" i="49"/>
  <c r="C16" i="671" s="1"/>
  <c r="H155" i="49"/>
  <c r="E130" i="1" s="1"/>
  <c r="H158" i="49"/>
  <c r="H157" i="49"/>
  <c r="H156" i="49"/>
  <c r="N48" i="49"/>
  <c r="N51" i="49"/>
  <c r="C137" i="1" s="1"/>
  <c r="B28" i="667" s="1"/>
  <c r="N50" i="49"/>
  <c r="N53" i="49"/>
  <c r="B25" i="667" s="1"/>
  <c r="N52" i="49"/>
  <c r="B19" i="667" s="1"/>
  <c r="P168" i="1"/>
  <c r="D154" i="49"/>
  <c r="D153" i="49"/>
  <c r="E79" i="49"/>
  <c r="C72" i="1" s="1"/>
  <c r="B44" i="608" s="1"/>
  <c r="F109" i="49"/>
  <c r="F108" i="49"/>
  <c r="G161" i="49"/>
  <c r="G160" i="49"/>
  <c r="G158" i="49"/>
  <c r="G157" i="49"/>
  <c r="G156" i="49"/>
  <c r="C10" i="671" s="1"/>
  <c r="C11" i="671" s="1"/>
  <c r="G155" i="49"/>
  <c r="C147" i="1"/>
  <c r="C142" i="49"/>
  <c r="C143" i="49"/>
  <c r="C20" i="49"/>
  <c r="J54" i="49"/>
  <c r="J53" i="49"/>
  <c r="J52" i="49"/>
  <c r="J51" i="49"/>
  <c r="J50" i="49"/>
  <c r="J48" i="49"/>
  <c r="J49" i="49"/>
  <c r="J55" i="49"/>
  <c r="C164" i="49"/>
  <c r="E78" i="49"/>
  <c r="C155" i="49"/>
  <c r="C136" i="1" s="1"/>
  <c r="C163" i="49"/>
  <c r="F99" i="490"/>
  <c r="F94" i="490" s="1"/>
  <c r="F99" i="489"/>
  <c r="F94" i="489" s="1"/>
  <c r="F106" i="481"/>
  <c r="F101" i="481" s="1"/>
  <c r="G126" i="142"/>
  <c r="C110" i="1"/>
  <c r="C122" i="1" s="1"/>
  <c r="E110" i="1"/>
  <c r="E122" i="1" s="1"/>
  <c r="E29" i="227"/>
  <c r="J7" i="247"/>
  <c r="G112" i="142"/>
  <c r="C126" i="49"/>
  <c r="C149" i="1" s="1"/>
  <c r="C129" i="49"/>
  <c r="C152" i="1" s="1"/>
  <c r="C110" i="49"/>
  <c r="C128" i="49"/>
  <c r="C151" i="1" s="1"/>
  <c r="C108" i="49"/>
  <c r="C127" i="49"/>
  <c r="C150" i="1" s="1"/>
  <c r="E70" i="167"/>
  <c r="C32" i="227"/>
  <c r="C34" i="227" s="1"/>
  <c r="C35" i="227" s="1"/>
  <c r="C36" i="227" s="1"/>
  <c r="C38" i="227" s="1"/>
  <c r="G146" i="142"/>
  <c r="K4" i="247"/>
  <c r="O59" i="167"/>
  <c r="C9" i="227"/>
  <c r="D70" i="167"/>
  <c r="D23" i="227"/>
  <c r="E7" i="227"/>
  <c r="E9" i="227" s="1"/>
  <c r="C109" i="49"/>
  <c r="C124" i="49"/>
  <c r="A1" i="391"/>
  <c r="G17" i="107"/>
  <c r="D7" i="227"/>
  <c r="D9" i="227" s="1"/>
  <c r="D3" i="106"/>
  <c r="B11" i="691" l="1"/>
  <c r="B11" i="556"/>
  <c r="B11" i="523"/>
  <c r="B11" i="517"/>
  <c r="B11" i="631"/>
  <c r="G59" i="1"/>
  <c r="I59" i="1" s="1"/>
  <c r="K59" i="1" s="1"/>
  <c r="M59" i="1" s="1"/>
  <c r="C59" i="1"/>
  <c r="G57" i="1"/>
  <c r="I57" i="1" s="1"/>
  <c r="K57" i="1" s="1"/>
  <c r="M57" i="1" s="1"/>
  <c r="C57" i="1"/>
  <c r="G58" i="1"/>
  <c r="I58" i="1" s="1"/>
  <c r="K58" i="1" s="1"/>
  <c r="M58" i="1" s="1"/>
  <c r="C58" i="1"/>
  <c r="C87" i="1"/>
  <c r="D17" i="636"/>
  <c r="D17" i="635"/>
  <c r="C144" i="1"/>
  <c r="D10" i="636"/>
  <c r="F28" i="227"/>
  <c r="C53" i="248"/>
  <c r="G36" i="1"/>
  <c r="I36" i="1" s="1"/>
  <c r="K36" i="1" s="1"/>
  <c r="M36" i="1" s="1"/>
  <c r="C14" i="248"/>
  <c r="E220" i="167"/>
  <c r="C146" i="1"/>
  <c r="C97" i="1"/>
  <c r="C156" i="1"/>
  <c r="F8" i="467" s="1"/>
  <c r="K96" i="1"/>
  <c r="I28" i="545"/>
  <c r="D11" i="513"/>
  <c r="D11" i="519" s="1"/>
  <c r="I24" i="483"/>
  <c r="D12" i="513"/>
  <c r="D12" i="519" s="1"/>
  <c r="I26" i="483"/>
  <c r="K95" i="1"/>
  <c r="I34" i="545"/>
  <c r="D13" i="513"/>
  <c r="D13" i="519" s="1"/>
  <c r="I28" i="483"/>
  <c r="D13" i="537"/>
  <c r="I88" i="481"/>
  <c r="F88" i="481"/>
  <c r="F99" i="481" s="1"/>
  <c r="C59" i="664"/>
  <c r="C59" i="682"/>
  <c r="C59" i="659"/>
  <c r="C59" i="423"/>
  <c r="C59" i="665"/>
  <c r="D14" i="537"/>
  <c r="I91" i="481"/>
  <c r="F91" i="481"/>
  <c r="F97" i="481"/>
  <c r="C48" i="1"/>
  <c r="G48" i="1" s="1"/>
  <c r="I48" i="1" s="1"/>
  <c r="K48" i="1" s="1"/>
  <c r="M48" i="1" s="1"/>
  <c r="C135" i="1"/>
  <c r="I39" i="483"/>
  <c r="K39" i="483" s="1"/>
  <c r="C126" i="1"/>
  <c r="C127" i="1"/>
  <c r="C123" i="1"/>
  <c r="C125" i="1"/>
  <c r="C138" i="1"/>
  <c r="D16" i="496" s="1"/>
  <c r="C17" i="248" s="1"/>
  <c r="F96" i="481"/>
  <c r="C139" i="1"/>
  <c r="C155" i="1"/>
  <c r="P186" i="1"/>
  <c r="D10" i="635"/>
  <c r="G19" i="1"/>
  <c r="D23" i="635"/>
  <c r="C84" i="1"/>
  <c r="G84" i="1" s="1"/>
  <c r="I84" i="1" s="1"/>
  <c r="K84" i="1" s="1"/>
  <c r="M84" i="1" s="1"/>
  <c r="C83" i="1"/>
  <c r="G83" i="1" s="1"/>
  <c r="I83" i="1" s="1"/>
  <c r="K83" i="1" s="1"/>
  <c r="M83" i="1" s="1"/>
  <c r="C85" i="1"/>
  <c r="G85" i="1" s="1"/>
  <c r="I85" i="1" s="1"/>
  <c r="K85" i="1" s="1"/>
  <c r="M85" i="1" s="1"/>
  <c r="C86" i="1"/>
  <c r="G86" i="1" s="1"/>
  <c r="I86" i="1" s="1"/>
  <c r="K86" i="1" s="1"/>
  <c r="M86" i="1" s="1"/>
  <c r="I53" i="481"/>
  <c r="D45" i="496" s="1"/>
  <c r="C46" i="248" s="1"/>
  <c r="I54" i="481"/>
  <c r="D46" i="496" s="1"/>
  <c r="C47" i="248" s="1"/>
  <c r="D23" i="496"/>
  <c r="G17" i="467"/>
  <c r="I97" i="481"/>
  <c r="I96" i="481"/>
  <c r="C53" i="511"/>
  <c r="C67" i="511"/>
  <c r="I57" i="481"/>
  <c r="F57" i="481"/>
  <c r="C10" i="682"/>
  <c r="C10" i="664"/>
  <c r="C10" i="665"/>
  <c r="C10" i="659"/>
  <c r="C10" i="423"/>
  <c r="C15" i="533"/>
  <c r="D19" i="496"/>
  <c r="C20" i="248" s="1"/>
  <c r="Q175" i="1"/>
  <c r="C23" i="517"/>
  <c r="D82" i="496"/>
  <c r="C85" i="248" s="1"/>
  <c r="C11" i="533"/>
  <c r="D22" i="496"/>
  <c r="C23" i="248" s="1"/>
  <c r="I119" i="481"/>
  <c r="C31" i="517"/>
  <c r="C27" i="517"/>
  <c r="C61" i="517"/>
  <c r="D61" i="517" s="1"/>
  <c r="C30" i="517"/>
  <c r="I48" i="481"/>
  <c r="C49" i="517"/>
  <c r="D24" i="496"/>
  <c r="C25" i="248" s="1"/>
  <c r="C23" i="409"/>
  <c r="C29" i="517"/>
  <c r="C62" i="517"/>
  <c r="D62" i="517" s="1"/>
  <c r="C28" i="517"/>
  <c r="A5" i="671"/>
  <c r="A5" i="695"/>
  <c r="A5" i="692"/>
  <c r="A5" i="684"/>
  <c r="C1" i="683"/>
  <c r="A5" i="688"/>
  <c r="A5" i="691"/>
  <c r="A5" i="690"/>
  <c r="A5" i="685"/>
  <c r="A5" i="694"/>
  <c r="A5" i="693"/>
  <c r="A5" i="689"/>
  <c r="C27" i="667"/>
  <c r="C29" i="667"/>
  <c r="I63" i="481"/>
  <c r="C154" i="1"/>
  <c r="H165" i="49"/>
  <c r="E131" i="1" s="1"/>
  <c r="H167" i="49"/>
  <c r="E133" i="1" s="1"/>
  <c r="H166" i="49"/>
  <c r="E132" i="1" s="1"/>
  <c r="I44" i="497"/>
  <c r="J44" i="497" s="1"/>
  <c r="I51" i="489" s="1"/>
  <c r="E183" i="167"/>
  <c r="J183" i="167"/>
  <c r="M151" i="167"/>
  <c r="D19" i="667"/>
  <c r="E19" i="667" s="1"/>
  <c r="F19" i="667" s="1"/>
  <c r="G19" i="667" s="1"/>
  <c r="H19" i="667" s="1"/>
  <c r="H33" i="667" s="1"/>
  <c r="D220" i="167"/>
  <c r="B33" i="667"/>
  <c r="B34" i="667" s="1"/>
  <c r="J118" i="490"/>
  <c r="J118" i="489"/>
  <c r="A5" i="663"/>
  <c r="C1" i="545"/>
  <c r="C1" i="620"/>
  <c r="A5" i="662"/>
  <c r="A5" i="661"/>
  <c r="A5" i="633"/>
  <c r="A5" i="632"/>
  <c r="A5" i="631"/>
  <c r="A5" i="630"/>
  <c r="A5" i="629"/>
  <c r="A5" i="627"/>
  <c r="A5" i="626"/>
  <c r="A5" i="628"/>
  <c r="A5" i="622"/>
  <c r="G167" i="49"/>
  <c r="C133" i="1" s="1"/>
  <c r="G165" i="49"/>
  <c r="C131" i="1" s="1"/>
  <c r="G166" i="49"/>
  <c r="C132" i="1" s="1"/>
  <c r="C130" i="1"/>
  <c r="F151" i="167"/>
  <c r="I126" i="481"/>
  <c r="I118" i="490"/>
  <c r="I118" i="489"/>
  <c r="AE4" i="167"/>
  <c r="AE5" i="167" s="1"/>
  <c r="B11" i="511"/>
  <c r="G155" i="142"/>
  <c r="F92" i="489"/>
  <c r="F92" i="490"/>
  <c r="K7" i="247"/>
  <c r="G121" i="142"/>
  <c r="B70" i="167"/>
  <c r="B64" i="167"/>
  <c r="E23" i="227"/>
  <c r="C8" i="391"/>
  <c r="B11" i="391"/>
  <c r="D24" i="227"/>
  <c r="L4" i="247"/>
  <c r="AB40" i="167"/>
  <c r="U354" i="1"/>
  <c r="U356" i="1"/>
  <c r="U355" i="1"/>
  <c r="D22" i="227"/>
  <c r="D54" i="227"/>
  <c r="AA81" i="167"/>
  <c r="F19" i="106" l="1"/>
  <c r="D20" i="636"/>
  <c r="I169" i="489"/>
  <c r="D20" i="635"/>
  <c r="H12" i="636"/>
  <c r="H13" i="636"/>
  <c r="I177" i="545"/>
  <c r="D56" i="556"/>
  <c r="K34" i="545"/>
  <c r="I30" i="227"/>
  <c r="J34" i="545"/>
  <c r="I34" i="620"/>
  <c r="M95" i="1"/>
  <c r="I34" i="683" s="1"/>
  <c r="K24" i="483"/>
  <c r="L24" i="483" s="1"/>
  <c r="M24" i="483" s="1"/>
  <c r="J24" i="483"/>
  <c r="D20" i="556"/>
  <c r="J28" i="545"/>
  <c r="K28" i="545"/>
  <c r="I29" i="227"/>
  <c r="I28" i="620"/>
  <c r="M96" i="1"/>
  <c r="I28" i="683" s="1"/>
  <c r="I19" i="1"/>
  <c r="K19" i="1" s="1"/>
  <c r="M19" i="1" s="1"/>
  <c r="I106" i="481"/>
  <c r="D29" i="496"/>
  <c r="C30" i="248" s="1"/>
  <c r="B27" i="667"/>
  <c r="D19" i="513"/>
  <c r="D19" i="519"/>
  <c r="B26" i="667"/>
  <c r="B35" i="667" s="1"/>
  <c r="B36" i="667" s="1"/>
  <c r="D30" i="634"/>
  <c r="I177" i="683"/>
  <c r="I183" i="481"/>
  <c r="D183" i="167"/>
  <c r="B25" i="608" s="1"/>
  <c r="I168" i="489"/>
  <c r="I176" i="490"/>
  <c r="I177" i="620"/>
  <c r="D200" i="167"/>
  <c r="J39" i="483"/>
  <c r="L39" i="483" s="1"/>
  <c r="M39" i="483" s="1"/>
  <c r="B29" i="667"/>
  <c r="P160" i="1"/>
  <c r="P161" i="1" s="1"/>
  <c r="P166" i="1" s="1"/>
  <c r="H13" i="635"/>
  <c r="H11" i="635"/>
  <c r="H12" i="635"/>
  <c r="G12" i="107"/>
  <c r="C26" i="511"/>
  <c r="C53" i="517"/>
  <c r="E50" i="496"/>
  <c r="D50" i="496"/>
  <c r="C51" i="248" s="1"/>
  <c r="G93" i="1"/>
  <c r="I89" i="489"/>
  <c r="J89" i="489" s="1"/>
  <c r="F89" i="489"/>
  <c r="G94" i="1"/>
  <c r="I90" i="489"/>
  <c r="J90" i="489" s="1"/>
  <c r="F90" i="489"/>
  <c r="C29" i="523"/>
  <c r="E24" i="496"/>
  <c r="G11" i="423"/>
  <c r="D10" i="423"/>
  <c r="D25" i="496"/>
  <c r="C26" i="248" s="1"/>
  <c r="C61" i="523"/>
  <c r="D61" i="523" s="1"/>
  <c r="G11" i="659"/>
  <c r="D10" i="659"/>
  <c r="H11" i="659" s="1"/>
  <c r="C30" i="523"/>
  <c r="C28" i="523"/>
  <c r="D10" i="665"/>
  <c r="G11" i="665"/>
  <c r="C12" i="665"/>
  <c r="C49" i="523"/>
  <c r="C27" i="523"/>
  <c r="C23" i="523"/>
  <c r="D10" i="664"/>
  <c r="C12" i="664"/>
  <c r="G11" i="664"/>
  <c r="C62" i="523"/>
  <c r="D62" i="523" s="1"/>
  <c r="C60" i="517"/>
  <c r="D60" i="517" s="1"/>
  <c r="C31" i="523"/>
  <c r="G11" i="682"/>
  <c r="C12" i="682"/>
  <c r="D10" i="682"/>
  <c r="C10" i="409"/>
  <c r="C12" i="671"/>
  <c r="F32" i="683"/>
  <c r="D44" i="497"/>
  <c r="K51" i="489"/>
  <c r="D15" i="513"/>
  <c r="O200" i="167"/>
  <c r="J200" i="167"/>
  <c r="G5" i="467"/>
  <c r="H14" i="109"/>
  <c r="I33" i="483"/>
  <c r="J33" i="483" s="1"/>
  <c r="AI25" i="167"/>
  <c r="AI24" i="167"/>
  <c r="A5" i="600"/>
  <c r="A5" i="601"/>
  <c r="E135" i="1"/>
  <c r="F182" i="167"/>
  <c r="H118" i="142"/>
  <c r="A5" i="558"/>
  <c r="A5" i="557"/>
  <c r="A5" i="556"/>
  <c r="A5" i="561"/>
  <c r="A5" i="560"/>
  <c r="A5" i="554"/>
  <c r="A5" i="555"/>
  <c r="A5" i="559"/>
  <c r="A5" i="547"/>
  <c r="A5" i="538"/>
  <c r="A5" i="537"/>
  <c r="A5" i="539"/>
  <c r="A5" i="533"/>
  <c r="A5" i="534"/>
  <c r="A5" i="535"/>
  <c r="A5" i="525"/>
  <c r="A5" i="523"/>
  <c r="A5" i="517"/>
  <c r="A5" i="513"/>
  <c r="A5" i="519"/>
  <c r="A5" i="515"/>
  <c r="A5" i="518"/>
  <c r="A5" i="526"/>
  <c r="A5" i="516"/>
  <c r="A5" i="512"/>
  <c r="A5" i="527"/>
  <c r="A5" i="510"/>
  <c r="A5" i="524"/>
  <c r="A5" i="511"/>
  <c r="A5" i="521"/>
  <c r="A5" i="514"/>
  <c r="A5" i="522"/>
  <c r="A5" i="520"/>
  <c r="A5" i="496"/>
  <c r="A5" i="497"/>
  <c r="A5" i="498"/>
  <c r="AE81" i="167"/>
  <c r="C1" i="490"/>
  <c r="C1" i="489"/>
  <c r="D18" i="537"/>
  <c r="D19" i="537"/>
  <c r="D1" i="482"/>
  <c r="D1" i="483"/>
  <c r="C1" i="481"/>
  <c r="A2" i="391"/>
  <c r="A5" i="248"/>
  <c r="D1" i="106"/>
  <c r="B12" i="391"/>
  <c r="B13" i="391" s="1"/>
  <c r="E11" i="391"/>
  <c r="D11" i="391"/>
  <c r="G130" i="142"/>
  <c r="L7" i="247"/>
  <c r="E73" i="167"/>
  <c r="D73" i="167"/>
  <c r="F73" i="167"/>
  <c r="F96" i="106"/>
  <c r="F102" i="106" s="1"/>
  <c r="O19" i="167"/>
  <c r="O20" i="167" s="1"/>
  <c r="O25" i="167" s="1"/>
  <c r="AY39" i="167"/>
  <c r="AT39" i="167"/>
  <c r="P19" i="167"/>
  <c r="P20" i="167" s="1"/>
  <c r="P23" i="167" s="1"/>
  <c r="F65" i="167"/>
  <c r="M4" i="247"/>
  <c r="E22" i="227"/>
  <c r="E24" i="227"/>
  <c r="D20" i="631" l="1"/>
  <c r="J29" i="227"/>
  <c r="J28" i="620"/>
  <c r="J34" i="620"/>
  <c r="D56" i="631"/>
  <c r="J30" i="227"/>
  <c r="J28" i="683"/>
  <c r="D20" i="691"/>
  <c r="K29" i="227"/>
  <c r="K30" i="227"/>
  <c r="D56" i="691"/>
  <c r="J34" i="683"/>
  <c r="B39" i="667"/>
  <c r="B40" i="667" s="1"/>
  <c r="B37" i="667"/>
  <c r="B38" i="667" s="1"/>
  <c r="D123" i="167"/>
  <c r="B17" i="608" s="1"/>
  <c r="B13" i="608"/>
  <c r="D121" i="167"/>
  <c r="D11" i="635"/>
  <c r="D15" i="635" s="1"/>
  <c r="D18" i="635" s="1"/>
  <c r="P162" i="1"/>
  <c r="P163" i="1" s="1"/>
  <c r="P164" i="1" s="1"/>
  <c r="P165" i="1" s="1"/>
  <c r="P167" i="1" s="1"/>
  <c r="P170" i="1" s="1"/>
  <c r="P171" i="1" s="1"/>
  <c r="J92" i="489"/>
  <c r="E10" i="659"/>
  <c r="C26" i="517"/>
  <c r="I94" i="1"/>
  <c r="I90" i="490"/>
  <c r="J90" i="490" s="1"/>
  <c r="F90" i="490"/>
  <c r="I93" i="1"/>
  <c r="I89" i="490"/>
  <c r="J89" i="490" s="1"/>
  <c r="F89" i="490"/>
  <c r="D67" i="511"/>
  <c r="F24" i="227"/>
  <c r="C53" i="523"/>
  <c r="C23" i="556"/>
  <c r="C61" i="556"/>
  <c r="D61" i="556" s="1"/>
  <c r="C60" i="523"/>
  <c r="D60" i="523" s="1"/>
  <c r="C28" i="556"/>
  <c r="C29" i="556"/>
  <c r="C27" i="556"/>
  <c r="E10" i="682"/>
  <c r="H11" i="682"/>
  <c r="C62" i="556"/>
  <c r="D62" i="556" s="1"/>
  <c r="C30" i="556"/>
  <c r="E10" i="423"/>
  <c r="H11" i="423"/>
  <c r="E10" i="664"/>
  <c r="H11" i="664"/>
  <c r="C49" i="556"/>
  <c r="C31" i="556"/>
  <c r="E10" i="665"/>
  <c r="H11" i="665"/>
  <c r="D11" i="690"/>
  <c r="E11" i="690" s="1"/>
  <c r="D13" i="690"/>
  <c r="E13" i="690" s="1"/>
  <c r="D15" i="690"/>
  <c r="E15" i="690" s="1"/>
  <c r="D17" i="690"/>
  <c r="E17" i="690" s="1"/>
  <c r="D12" i="690"/>
  <c r="E12" i="690" s="1"/>
  <c r="D16" i="690"/>
  <c r="E16" i="690" s="1"/>
  <c r="J189" i="167"/>
  <c r="J190" i="167" s="1"/>
  <c r="J191" i="167" s="1"/>
  <c r="J195" i="167" s="1"/>
  <c r="J150" i="167"/>
  <c r="J152" i="167" s="1"/>
  <c r="J153" i="167" s="1"/>
  <c r="J154" i="167" s="1"/>
  <c r="J198" i="167"/>
  <c r="I99" i="489"/>
  <c r="J99" i="489" s="1"/>
  <c r="C40" i="511"/>
  <c r="F8" i="227"/>
  <c r="D13" i="496"/>
  <c r="C41" i="511"/>
  <c r="F32" i="545"/>
  <c r="F32" i="620"/>
  <c r="F32" i="490"/>
  <c r="F32" i="489"/>
  <c r="F32" i="481"/>
  <c r="I59" i="481"/>
  <c r="C69" i="511"/>
  <c r="D69" i="511" s="1"/>
  <c r="C43" i="511"/>
  <c r="C33" i="667"/>
  <c r="C34" i="667" s="1"/>
  <c r="D34" i="667" s="1"/>
  <c r="D33" i="667"/>
  <c r="K33" i="483"/>
  <c r="L33" i="483" s="1"/>
  <c r="M33" i="483" s="1"/>
  <c r="D15" i="519"/>
  <c r="I11" i="391"/>
  <c r="K11" i="391" s="1"/>
  <c r="M11" i="391" s="1"/>
  <c r="AI30" i="167"/>
  <c r="D98" i="547"/>
  <c r="D98" i="622"/>
  <c r="H131" i="167"/>
  <c r="H182" i="167"/>
  <c r="I28" i="481"/>
  <c r="I34" i="481"/>
  <c r="I60" i="481"/>
  <c r="D53" i="496" s="1"/>
  <c r="C54" i="248" s="1"/>
  <c r="I61" i="481"/>
  <c r="D54" i="496" s="1"/>
  <c r="C55" i="248" s="1"/>
  <c r="C60" i="511"/>
  <c r="D60" i="511" s="1"/>
  <c r="D43" i="496"/>
  <c r="C44" i="248" s="1"/>
  <c r="C61" i="511"/>
  <c r="D61" i="511" s="1"/>
  <c r="C62" i="511"/>
  <c r="D62" i="511" s="1"/>
  <c r="C29" i="511"/>
  <c r="C28" i="511"/>
  <c r="C30" i="511"/>
  <c r="C27" i="511"/>
  <c r="C31" i="511"/>
  <c r="I58" i="481"/>
  <c r="C23" i="511"/>
  <c r="G135" i="1"/>
  <c r="AE9" i="167"/>
  <c r="E16" i="496"/>
  <c r="E126" i="1"/>
  <c r="G126" i="1" s="1"/>
  <c r="D19" i="538"/>
  <c r="D18" i="538"/>
  <c r="D13" i="391"/>
  <c r="E13" i="391"/>
  <c r="E12" i="391"/>
  <c r="D12" i="391"/>
  <c r="M7" i="247"/>
  <c r="E54" i="227"/>
  <c r="O23" i="167"/>
  <c r="AA79" i="167"/>
  <c r="AA24" i="167"/>
  <c r="P25" i="167"/>
  <c r="F71" i="167"/>
  <c r="E71" i="167"/>
  <c r="AB39" i="167"/>
  <c r="AA25" i="167"/>
  <c r="AA100" i="167"/>
  <c r="AA80" i="167"/>
  <c r="D71" i="167"/>
  <c r="B14" i="391"/>
  <c r="N4" i="247"/>
  <c r="D10" i="227"/>
  <c r="D64" i="167"/>
  <c r="B15" i="608" l="1"/>
  <c r="D125" i="167"/>
  <c r="D21" i="635"/>
  <c r="J92" i="490"/>
  <c r="C26" i="523"/>
  <c r="F89" i="545"/>
  <c r="I89" i="545"/>
  <c r="J89" i="545" s="1"/>
  <c r="K93" i="1"/>
  <c r="C53" i="556"/>
  <c r="K94" i="1"/>
  <c r="F90" i="545"/>
  <c r="I90" i="545"/>
  <c r="J90" i="545" s="1"/>
  <c r="C23" i="691"/>
  <c r="C23" i="631"/>
  <c r="C49" i="631"/>
  <c r="C49" i="691"/>
  <c r="C31" i="691"/>
  <c r="C31" i="631"/>
  <c r="C30" i="691"/>
  <c r="C30" i="631"/>
  <c r="C29" i="631"/>
  <c r="C29" i="691"/>
  <c r="C62" i="631"/>
  <c r="D62" i="631" s="1"/>
  <c r="C62" i="691"/>
  <c r="D62" i="691" s="1"/>
  <c r="C28" i="631"/>
  <c r="C28" i="691"/>
  <c r="C27" i="631"/>
  <c r="C27" i="691"/>
  <c r="C61" i="631"/>
  <c r="D61" i="631" s="1"/>
  <c r="C61" i="691"/>
  <c r="D61" i="691" s="1"/>
  <c r="C60" i="556"/>
  <c r="D60" i="556" s="1"/>
  <c r="I9" i="167"/>
  <c r="N189" i="167"/>
  <c r="N190" i="167" s="1"/>
  <c r="N191" i="167" s="1"/>
  <c r="N195" i="167" s="1"/>
  <c r="N198" i="167"/>
  <c r="D10" i="690"/>
  <c r="E10" i="690" s="1"/>
  <c r="C35" i="523"/>
  <c r="C35" i="517"/>
  <c r="C37" i="517"/>
  <c r="C32" i="523"/>
  <c r="C32" i="517"/>
  <c r="C51" i="517"/>
  <c r="C17" i="517"/>
  <c r="C36" i="517"/>
  <c r="C16" i="517"/>
  <c r="C19" i="517"/>
  <c r="J199" i="167"/>
  <c r="C15" i="423"/>
  <c r="D15" i="423"/>
  <c r="J94" i="489"/>
  <c r="I99" i="545"/>
  <c r="C40" i="517"/>
  <c r="D14" i="248"/>
  <c r="G8" i="227"/>
  <c r="D13" i="497"/>
  <c r="C18" i="517"/>
  <c r="C43" i="517"/>
  <c r="C41" i="517"/>
  <c r="C69" i="517"/>
  <c r="D69" i="517" s="1"/>
  <c r="D56" i="511"/>
  <c r="E33" i="667"/>
  <c r="E34" i="667"/>
  <c r="I48" i="489"/>
  <c r="K48" i="489" s="1"/>
  <c r="N33" i="483"/>
  <c r="O33" i="483" s="1"/>
  <c r="P33" i="483" s="1"/>
  <c r="D15" i="525"/>
  <c r="H11" i="391"/>
  <c r="J11" i="391" s="1"/>
  <c r="L11" i="391" s="1"/>
  <c r="N11" i="391" s="1"/>
  <c r="P11" i="391" s="1"/>
  <c r="D15" i="559"/>
  <c r="Q33" i="483"/>
  <c r="R33" i="483" s="1"/>
  <c r="S33" i="483" s="1"/>
  <c r="H12" i="391"/>
  <c r="J12" i="391" s="1"/>
  <c r="L12" i="391" s="1"/>
  <c r="N12" i="391" s="1"/>
  <c r="P12" i="391" s="1"/>
  <c r="O11" i="391"/>
  <c r="Q11" i="391" s="1"/>
  <c r="F29" i="227"/>
  <c r="D20" i="511"/>
  <c r="I28" i="489"/>
  <c r="K28" i="489" s="1"/>
  <c r="I34" i="489"/>
  <c r="K34" i="489" s="1"/>
  <c r="F27" i="227"/>
  <c r="I60" i="489"/>
  <c r="K60" i="489" s="1"/>
  <c r="I59" i="489"/>
  <c r="K59" i="489" s="1"/>
  <c r="F26" i="227"/>
  <c r="D63" i="511"/>
  <c r="D49" i="496"/>
  <c r="C50" i="248" s="1"/>
  <c r="E49" i="496"/>
  <c r="I57" i="489"/>
  <c r="I135" i="1"/>
  <c r="K135" i="1" s="1"/>
  <c r="M135" i="1" s="1"/>
  <c r="P172" i="1"/>
  <c r="E22" i="496"/>
  <c r="F131" i="167"/>
  <c r="AE24" i="167"/>
  <c r="AE79" i="167"/>
  <c r="AE80" i="167"/>
  <c r="AE93" i="167"/>
  <c r="AG38" i="167"/>
  <c r="AG39" i="167" s="1"/>
  <c r="AE25" i="167"/>
  <c r="AK38" i="167"/>
  <c r="D197" i="167"/>
  <c r="G199" i="1"/>
  <c r="I126" i="1"/>
  <c r="AI19" i="167"/>
  <c r="P176" i="1"/>
  <c r="AK39" i="167"/>
  <c r="AE74" i="167"/>
  <c r="AE75" i="167" s="1"/>
  <c r="AE77" i="167" s="1"/>
  <c r="I99" i="481"/>
  <c r="E53" i="227"/>
  <c r="E33" i="227" s="1"/>
  <c r="D14" i="391"/>
  <c r="E14" i="391"/>
  <c r="N7" i="247"/>
  <c r="O4" i="247"/>
  <c r="P4" i="247" s="1"/>
  <c r="Q4" i="247" s="1"/>
  <c r="R4" i="247" s="1"/>
  <c r="AA74" i="167"/>
  <c r="AA28" i="167"/>
  <c r="AA83" i="167"/>
  <c r="AA19" i="167"/>
  <c r="AA20" i="167" s="1"/>
  <c r="AA22" i="167" s="1"/>
  <c r="AA30" i="167"/>
  <c r="AA85" i="167"/>
  <c r="B15" i="391"/>
  <c r="D65" i="167"/>
  <c r="E64" i="167"/>
  <c r="E65" i="167" s="1"/>
  <c r="O123" i="167" l="1"/>
  <c r="O119" i="167"/>
  <c r="O121" i="167" s="1"/>
  <c r="J123" i="167"/>
  <c r="D206" i="167"/>
  <c r="E119" i="167"/>
  <c r="E123" i="167"/>
  <c r="C17" i="608" s="1"/>
  <c r="J119" i="167"/>
  <c r="J121" i="167" s="1"/>
  <c r="B19" i="608"/>
  <c r="D24" i="635"/>
  <c r="C26" i="556"/>
  <c r="M94" i="1"/>
  <c r="I90" i="620"/>
  <c r="J90" i="620" s="1"/>
  <c r="F90" i="620"/>
  <c r="C53" i="631"/>
  <c r="C53" i="691"/>
  <c r="M93" i="1"/>
  <c r="F89" i="620"/>
  <c r="I89" i="620"/>
  <c r="J89" i="620" s="1"/>
  <c r="J92" i="545"/>
  <c r="C60" i="631"/>
  <c r="D60" i="631" s="1"/>
  <c r="N199" i="167"/>
  <c r="C51" i="523"/>
  <c r="C19" i="523"/>
  <c r="C16" i="523"/>
  <c r="C32" i="556"/>
  <c r="C37" i="523"/>
  <c r="C17" i="523"/>
  <c r="C36" i="523"/>
  <c r="I99" i="620"/>
  <c r="C41" i="523"/>
  <c r="C19" i="556"/>
  <c r="C36" i="556"/>
  <c r="C16" i="556"/>
  <c r="C43" i="523"/>
  <c r="C18" i="523"/>
  <c r="C37" i="556"/>
  <c r="C40" i="523"/>
  <c r="E14" i="248"/>
  <c r="H8" i="227"/>
  <c r="D13" i="498"/>
  <c r="C69" i="523"/>
  <c r="D69" i="523" s="1"/>
  <c r="C51" i="556"/>
  <c r="C17" i="556"/>
  <c r="J57" i="489"/>
  <c r="K57" i="489"/>
  <c r="J28" i="489"/>
  <c r="D20" i="517"/>
  <c r="D56" i="517"/>
  <c r="J34" i="489"/>
  <c r="G30" i="227"/>
  <c r="F34" i="667"/>
  <c r="G33" i="667"/>
  <c r="F33" i="667"/>
  <c r="I48" i="490"/>
  <c r="K48" i="490" s="1"/>
  <c r="D53" i="497"/>
  <c r="D54" i="248" s="1"/>
  <c r="J59" i="489"/>
  <c r="D43" i="497"/>
  <c r="J48" i="489"/>
  <c r="D54" i="497"/>
  <c r="G27" i="227" s="1"/>
  <c r="J60" i="489"/>
  <c r="H13" i="391"/>
  <c r="J13" i="391" s="1"/>
  <c r="L13" i="391" s="1"/>
  <c r="N13" i="391" s="1"/>
  <c r="P13" i="391" s="1"/>
  <c r="I13" i="391"/>
  <c r="K13" i="391" s="1"/>
  <c r="M13" i="391" s="1"/>
  <c r="O13" i="391" s="1"/>
  <c r="Q13" i="391" s="1"/>
  <c r="D15" i="626"/>
  <c r="T33" i="483"/>
  <c r="U33" i="483" s="1"/>
  <c r="V33" i="483" s="1"/>
  <c r="I199" i="1"/>
  <c r="K126" i="1"/>
  <c r="B27" i="608"/>
  <c r="I28" i="490"/>
  <c r="K28" i="490" s="1"/>
  <c r="G29" i="227"/>
  <c r="I34" i="490"/>
  <c r="K34" i="490" s="1"/>
  <c r="I60" i="545"/>
  <c r="K60" i="545" s="1"/>
  <c r="I60" i="490"/>
  <c r="K60" i="490" s="1"/>
  <c r="I59" i="490"/>
  <c r="K59" i="490" s="1"/>
  <c r="E49" i="497"/>
  <c r="D49" i="497"/>
  <c r="I57" i="490"/>
  <c r="F22" i="227"/>
  <c r="AE28" i="167"/>
  <c r="D74" i="167"/>
  <c r="D75" i="167" s="1"/>
  <c r="F16" i="481"/>
  <c r="E158" i="167"/>
  <c r="E159" i="167" s="1"/>
  <c r="F140" i="167"/>
  <c r="F142" i="167" s="1"/>
  <c r="F143" i="167" s="1"/>
  <c r="F144" i="167" s="1"/>
  <c r="F158" i="167"/>
  <c r="F159" i="167" s="1"/>
  <c r="AE85" i="167"/>
  <c r="AE83" i="167"/>
  <c r="AE19" i="167"/>
  <c r="AE20" i="167" s="1"/>
  <c r="AE30" i="167"/>
  <c r="AI20" i="167"/>
  <c r="H127" i="142"/>
  <c r="AI28" i="167"/>
  <c r="AO38" i="167"/>
  <c r="AM25" i="167"/>
  <c r="AM24" i="167"/>
  <c r="AE95" i="167"/>
  <c r="AE100" i="167" s="1"/>
  <c r="AE102" i="167" s="1"/>
  <c r="D19" i="539"/>
  <c r="D18" i="539"/>
  <c r="D15" i="391"/>
  <c r="E15" i="391"/>
  <c r="O7" i="247"/>
  <c r="P7" i="247" s="1"/>
  <c r="Q7" i="247" s="1"/>
  <c r="R7" i="247" s="1"/>
  <c r="E56" i="227"/>
  <c r="AA75" i="167"/>
  <c r="AA77" i="167" s="1"/>
  <c r="E52" i="227"/>
  <c r="E37" i="227" s="1"/>
  <c r="AA21" i="167"/>
  <c r="AA23" i="167" s="1"/>
  <c r="AB69" i="167"/>
  <c r="AB70" i="167" s="1"/>
  <c r="B16" i="391"/>
  <c r="E10" i="227"/>
  <c r="E55" i="227"/>
  <c r="C128" i="1"/>
  <c r="O125" i="167" l="1"/>
  <c r="P123" i="167" s="1"/>
  <c r="J125" i="167"/>
  <c r="C13" i="608"/>
  <c r="E121" i="167"/>
  <c r="B34" i="608"/>
  <c r="B38" i="608" s="1"/>
  <c r="D223" i="167"/>
  <c r="J92" i="620"/>
  <c r="C26" i="631"/>
  <c r="C26" i="691"/>
  <c r="I89" i="683"/>
  <c r="J89" i="683" s="1"/>
  <c r="F89" i="683"/>
  <c r="I90" i="683"/>
  <c r="J90" i="683" s="1"/>
  <c r="F90" i="683"/>
  <c r="C60" i="691"/>
  <c r="D60" i="691" s="1"/>
  <c r="I48" i="683"/>
  <c r="I99" i="683"/>
  <c r="D29" i="684"/>
  <c r="I30" i="248" s="1"/>
  <c r="AL22" i="683"/>
  <c r="AL20" i="683"/>
  <c r="AL61" i="683" s="1"/>
  <c r="AL63" i="683" s="1"/>
  <c r="AL35" i="683"/>
  <c r="AL50" i="683"/>
  <c r="AL27" i="683"/>
  <c r="AL25" i="683"/>
  <c r="AL43" i="683"/>
  <c r="AL26" i="683"/>
  <c r="AL33" i="683"/>
  <c r="AL42" i="683"/>
  <c r="AL24" i="683"/>
  <c r="AL29" i="683"/>
  <c r="C37" i="631"/>
  <c r="C51" i="631"/>
  <c r="C19" i="631"/>
  <c r="K199" i="1"/>
  <c r="M126" i="1"/>
  <c r="M199" i="1" s="1"/>
  <c r="C35" i="631"/>
  <c r="C36" i="631"/>
  <c r="C17" i="631"/>
  <c r="C16" i="631"/>
  <c r="C35" i="556"/>
  <c r="C18" i="556"/>
  <c r="C40" i="556"/>
  <c r="F14" i="248"/>
  <c r="D13" i="547"/>
  <c r="I8" i="227"/>
  <c r="C69" i="556"/>
  <c r="D69" i="556" s="1"/>
  <c r="C43" i="556"/>
  <c r="C41" i="556"/>
  <c r="J57" i="490"/>
  <c r="K57" i="490"/>
  <c r="J28" i="490"/>
  <c r="D20" i="523"/>
  <c r="D56" i="523"/>
  <c r="D44" i="248"/>
  <c r="D63" i="517"/>
  <c r="J34" i="490"/>
  <c r="H30" i="227"/>
  <c r="G34" i="667"/>
  <c r="H34" i="667" s="1"/>
  <c r="D54" i="547"/>
  <c r="E56" i="547"/>
  <c r="J60" i="545"/>
  <c r="I48" i="545"/>
  <c r="K48" i="545" s="1"/>
  <c r="I57" i="545"/>
  <c r="K57" i="545" s="1"/>
  <c r="I59" i="620"/>
  <c r="I59" i="545"/>
  <c r="K59" i="545" s="1"/>
  <c r="AL29" i="620"/>
  <c r="AL22" i="620"/>
  <c r="AL35" i="545"/>
  <c r="AL20" i="545"/>
  <c r="AL61" i="545" s="1"/>
  <c r="AL63" i="545" s="1"/>
  <c r="AL50" i="620"/>
  <c r="AL42" i="620"/>
  <c r="AL20" i="620"/>
  <c r="AL61" i="620" s="1"/>
  <c r="AL63" i="620" s="1"/>
  <c r="AL27" i="545"/>
  <c r="AL26" i="545"/>
  <c r="AL35" i="620"/>
  <c r="AL27" i="620"/>
  <c r="AL33" i="545"/>
  <c r="AL25" i="545"/>
  <c r="AL24" i="545"/>
  <c r="AL24" i="620"/>
  <c r="AL26" i="620"/>
  <c r="AL50" i="545"/>
  <c r="AL43" i="545"/>
  <c r="AL25" i="620"/>
  <c r="AL29" i="545"/>
  <c r="AL43" i="620"/>
  <c r="AL42" i="545"/>
  <c r="AL33" i="620"/>
  <c r="AL22" i="545"/>
  <c r="D43" i="498"/>
  <c r="J48" i="490"/>
  <c r="D53" i="498"/>
  <c r="H26" i="227" s="1"/>
  <c r="J59" i="490"/>
  <c r="D54" i="498"/>
  <c r="H27" i="227" s="1"/>
  <c r="J60" i="490"/>
  <c r="G26" i="227"/>
  <c r="D55" i="248"/>
  <c r="I14" i="391"/>
  <c r="K14" i="391" s="1"/>
  <c r="M14" i="391" s="1"/>
  <c r="O14" i="391" s="1"/>
  <c r="Q14" i="391" s="1"/>
  <c r="H14" i="391"/>
  <c r="J14" i="391" s="1"/>
  <c r="L14" i="391" s="1"/>
  <c r="N14" i="391" s="1"/>
  <c r="P14" i="391" s="1"/>
  <c r="I60" i="620"/>
  <c r="AI22" i="167"/>
  <c r="AI21" i="167"/>
  <c r="H29" i="227"/>
  <c r="E49" i="498"/>
  <c r="D49" i="498"/>
  <c r="G22" i="227"/>
  <c r="D50" i="248"/>
  <c r="D140" i="167"/>
  <c r="D142" i="167" s="1"/>
  <c r="D143" i="167" s="1"/>
  <c r="D144" i="167" s="1"/>
  <c r="F16" i="489"/>
  <c r="F197" i="167"/>
  <c r="E22" i="497"/>
  <c r="E74" i="167"/>
  <c r="E75" i="167" s="1"/>
  <c r="E22" i="498"/>
  <c r="F16" i="490"/>
  <c r="AM28" i="167"/>
  <c r="AT38" i="167"/>
  <c r="K63" i="481"/>
  <c r="AM19" i="167"/>
  <c r="AM30" i="167"/>
  <c r="D79" i="167"/>
  <c r="D33" i="167"/>
  <c r="D76" i="167"/>
  <c r="D82" i="167"/>
  <c r="D83" i="167" s="1"/>
  <c r="E123" i="1"/>
  <c r="D36" i="167"/>
  <c r="AR24" i="167"/>
  <c r="AR25" i="167"/>
  <c r="AE76" i="167"/>
  <c r="AE78" i="167" s="1"/>
  <c r="AL42" i="490"/>
  <c r="AL26" i="490"/>
  <c r="AL29" i="490"/>
  <c r="AL35" i="490"/>
  <c r="AL25" i="490"/>
  <c r="AL33" i="490"/>
  <c r="AL22" i="490"/>
  <c r="AL43" i="490"/>
  <c r="AL27" i="490"/>
  <c r="AL24" i="490"/>
  <c r="AL50" i="490"/>
  <c r="AL20" i="490"/>
  <c r="AL61" i="490" s="1"/>
  <c r="AL63" i="490" s="1"/>
  <c r="AK50" i="489"/>
  <c r="AK33" i="489"/>
  <c r="AK22" i="489"/>
  <c r="AK42" i="489"/>
  <c r="AK24" i="489"/>
  <c r="AK20" i="489"/>
  <c r="AK61" i="489" s="1"/>
  <c r="AK63" i="489" s="1"/>
  <c r="AK26" i="489"/>
  <c r="AK35" i="489"/>
  <c r="AK29" i="489"/>
  <c r="AK25" i="489"/>
  <c r="AK43" i="489"/>
  <c r="AK27" i="489"/>
  <c r="F14" i="481"/>
  <c r="AL25" i="481"/>
  <c r="AL29" i="481"/>
  <c r="AL22" i="481"/>
  <c r="AL50" i="481"/>
  <c r="AL43" i="481"/>
  <c r="AL33" i="481"/>
  <c r="AL26" i="481"/>
  <c r="AL20" i="481"/>
  <c r="AL62" i="481" s="1"/>
  <c r="AL64" i="481" s="1"/>
  <c r="AL24" i="481"/>
  <c r="AL35" i="481"/>
  <c r="AL27" i="481"/>
  <c r="AL42" i="481"/>
  <c r="E16" i="391"/>
  <c r="D16" i="391"/>
  <c r="AE22" i="167"/>
  <c r="AA76" i="167"/>
  <c r="AA78" i="167" s="1"/>
  <c r="E32" i="227"/>
  <c r="E34" i="227" s="1"/>
  <c r="E35" i="227" s="1"/>
  <c r="D18" i="167"/>
  <c r="B17" i="391"/>
  <c r="C197" i="1"/>
  <c r="C199" i="1"/>
  <c r="C196" i="1"/>
  <c r="E18" i="167"/>
  <c r="E125" i="1"/>
  <c r="E197" i="1" s="1"/>
  <c r="C198" i="1"/>
  <c r="E199" i="1"/>
  <c r="D58" i="167"/>
  <c r="E128" i="1"/>
  <c r="F14" i="489" s="1"/>
  <c r="AE21" i="167"/>
  <c r="I12" i="391"/>
  <c r="K12" i="391" s="1"/>
  <c r="O206" i="167" l="1"/>
  <c r="P119" i="167"/>
  <c r="P121" i="167" s="1"/>
  <c r="P125" i="167" s="1"/>
  <c r="P206" i="167" s="1"/>
  <c r="C15" i="608"/>
  <c r="E125" i="167"/>
  <c r="J206" i="167"/>
  <c r="K123" i="167"/>
  <c r="K119" i="167"/>
  <c r="K121" i="167" s="1"/>
  <c r="J92" i="683"/>
  <c r="J48" i="683"/>
  <c r="D43" i="684"/>
  <c r="E40" i="684"/>
  <c r="I57" i="620"/>
  <c r="D49" i="622" s="1"/>
  <c r="D19" i="690"/>
  <c r="E19" i="690" s="1"/>
  <c r="C17" i="691"/>
  <c r="C19" i="691"/>
  <c r="D22" i="690"/>
  <c r="C40" i="691"/>
  <c r="C36" i="691"/>
  <c r="C51" i="691"/>
  <c r="D57" i="684"/>
  <c r="D66" i="684"/>
  <c r="I67" i="248" s="1"/>
  <c r="I94" i="683"/>
  <c r="J99" i="683"/>
  <c r="C16" i="691"/>
  <c r="D23" i="690"/>
  <c r="C35" i="691"/>
  <c r="C37" i="691"/>
  <c r="M189" i="1"/>
  <c r="I180" i="683"/>
  <c r="D17" i="693"/>
  <c r="D10" i="684"/>
  <c r="I6" i="167"/>
  <c r="I7" i="167" s="1"/>
  <c r="K6" i="227"/>
  <c r="AI58" i="482"/>
  <c r="I98" i="167"/>
  <c r="W37" i="483"/>
  <c r="I54" i="683"/>
  <c r="C41" i="631"/>
  <c r="C41" i="691"/>
  <c r="C43" i="631"/>
  <c r="C43" i="691"/>
  <c r="C18" i="631"/>
  <c r="I8" i="167"/>
  <c r="C69" i="631"/>
  <c r="D69" i="631" s="1"/>
  <c r="C32" i="631"/>
  <c r="H14" i="248"/>
  <c r="C40" i="631"/>
  <c r="D13" i="622"/>
  <c r="E13" i="622" s="1"/>
  <c r="J8" i="227"/>
  <c r="G14" i="248"/>
  <c r="E44" i="248"/>
  <c r="D63" i="523"/>
  <c r="E55" i="248"/>
  <c r="E54" i="248"/>
  <c r="D49" i="547"/>
  <c r="F50" i="248" s="1"/>
  <c r="J57" i="545"/>
  <c r="E40" i="547"/>
  <c r="D43" i="547"/>
  <c r="D63" i="556" s="1"/>
  <c r="J48" i="545"/>
  <c r="D51" i="622"/>
  <c r="D54" i="622"/>
  <c r="J60" i="620"/>
  <c r="I48" i="620"/>
  <c r="E55" i="547"/>
  <c r="D53" i="547"/>
  <c r="F54" i="248" s="1"/>
  <c r="J59" i="545"/>
  <c r="J59" i="620"/>
  <c r="D53" i="622"/>
  <c r="H15" i="391"/>
  <c r="J15" i="391" s="1"/>
  <c r="L15" i="391" s="1"/>
  <c r="N15" i="391" s="1"/>
  <c r="P15" i="391" s="1"/>
  <c r="F55" i="248"/>
  <c r="H66" i="466"/>
  <c r="I66" i="466" s="1"/>
  <c r="D132" i="167" s="1"/>
  <c r="H22" i="227"/>
  <c r="E50" i="248"/>
  <c r="F74" i="167"/>
  <c r="M12" i="391"/>
  <c r="E76" i="167"/>
  <c r="AW25" i="167"/>
  <c r="AY38" i="167"/>
  <c r="G123" i="1"/>
  <c r="AW24" i="167"/>
  <c r="AR28" i="167"/>
  <c r="E82" i="167"/>
  <c r="D80" i="167"/>
  <c r="AR30" i="167"/>
  <c r="E79" i="167"/>
  <c r="E33" i="167"/>
  <c r="E36" i="167"/>
  <c r="AR19" i="167"/>
  <c r="D17" i="391"/>
  <c r="E17" i="391"/>
  <c r="B18" i="391"/>
  <c r="G128" i="1"/>
  <c r="I128" i="1" s="1"/>
  <c r="E196" i="1"/>
  <c r="G125" i="1"/>
  <c r="E198" i="1"/>
  <c r="E57" i="227"/>
  <c r="AE23" i="167"/>
  <c r="E58" i="167"/>
  <c r="E127" i="1"/>
  <c r="C200" i="1"/>
  <c r="K125" i="167" l="1"/>
  <c r="L119" i="167" s="1"/>
  <c r="L121" i="167" s="1"/>
  <c r="Q119" i="167"/>
  <c r="Q121" i="167" s="1"/>
  <c r="Q123" i="167"/>
  <c r="E206" i="167"/>
  <c r="C19" i="608"/>
  <c r="F123" i="167"/>
  <c r="D17" i="608" s="1"/>
  <c r="F119" i="167"/>
  <c r="H54" i="248"/>
  <c r="G54" i="248"/>
  <c r="G52" i="248"/>
  <c r="H52" i="248"/>
  <c r="H55" i="248"/>
  <c r="G55" i="248"/>
  <c r="J57" i="620"/>
  <c r="I44" i="248"/>
  <c r="D63" i="691"/>
  <c r="H50" i="248"/>
  <c r="G50" i="248"/>
  <c r="H181" i="142"/>
  <c r="I57" i="683"/>
  <c r="C18" i="691"/>
  <c r="D18" i="690"/>
  <c r="E18" i="690" s="1"/>
  <c r="E21" i="690" s="1"/>
  <c r="J94" i="683"/>
  <c r="D15" i="682"/>
  <c r="C15" i="682"/>
  <c r="F9" i="683"/>
  <c r="D12" i="684"/>
  <c r="K7" i="227"/>
  <c r="C15" i="691"/>
  <c r="D20" i="690"/>
  <c r="X37" i="483"/>
  <c r="AL58" i="482"/>
  <c r="AM58" i="482" s="1"/>
  <c r="D12" i="694"/>
  <c r="E12" i="694" s="1"/>
  <c r="AJ58" i="482"/>
  <c r="AK58" i="482" s="1"/>
  <c r="I14" i="248"/>
  <c r="I58" i="683"/>
  <c r="J58" i="683" s="1"/>
  <c r="C69" i="691"/>
  <c r="D69" i="691" s="1"/>
  <c r="K8" i="227"/>
  <c r="E50" i="684"/>
  <c r="J54" i="683"/>
  <c r="D47" i="684"/>
  <c r="C54" i="691"/>
  <c r="F8" i="683"/>
  <c r="I11" i="248"/>
  <c r="I12" i="167"/>
  <c r="I10" i="167"/>
  <c r="I58" i="248"/>
  <c r="C16" i="688"/>
  <c r="D13" i="684"/>
  <c r="E13" i="684" s="1"/>
  <c r="C32" i="691"/>
  <c r="C65" i="691"/>
  <c r="E78" i="684"/>
  <c r="E10" i="684"/>
  <c r="D71" i="631"/>
  <c r="J22" i="227"/>
  <c r="I22" i="227"/>
  <c r="J26" i="227"/>
  <c r="K128" i="1"/>
  <c r="F14" i="545"/>
  <c r="J48" i="620"/>
  <c r="D43" i="622"/>
  <c r="E40" i="622"/>
  <c r="I16" i="391"/>
  <c r="K16" i="391" s="1"/>
  <c r="M16" i="391" s="1"/>
  <c r="O16" i="391" s="1"/>
  <c r="Q16" i="391" s="1"/>
  <c r="H16" i="391"/>
  <c r="J16" i="391" s="1"/>
  <c r="L16" i="391" s="1"/>
  <c r="N16" i="391" s="1"/>
  <c r="P16" i="391" s="1"/>
  <c r="J27" i="227"/>
  <c r="F44" i="248"/>
  <c r="I27" i="227"/>
  <c r="O12" i="391"/>
  <c r="Q12" i="391" s="1"/>
  <c r="J66" i="466"/>
  <c r="K66" i="466" s="1"/>
  <c r="I26" i="227"/>
  <c r="I125" i="1"/>
  <c r="K125" i="1" s="1"/>
  <c r="M125" i="1" s="1"/>
  <c r="E140" i="167"/>
  <c r="E142" i="167" s="1"/>
  <c r="E143" i="167" s="1"/>
  <c r="E144" i="167" s="1"/>
  <c r="I123" i="1"/>
  <c r="F36" i="167"/>
  <c r="BB25" i="167"/>
  <c r="BD38" i="167"/>
  <c r="BB24" i="167"/>
  <c r="F79" i="167"/>
  <c r="F33" i="167"/>
  <c r="F82" i="167"/>
  <c r="AW19" i="167"/>
  <c r="AW28" i="167"/>
  <c r="AW30" i="167"/>
  <c r="E83" i="167"/>
  <c r="E80" i="167"/>
  <c r="F14" i="490"/>
  <c r="D18" i="391"/>
  <c r="E18" i="391"/>
  <c r="I15" i="391"/>
  <c r="K15" i="391" s="1"/>
  <c r="B19" i="391"/>
  <c r="F58" i="167"/>
  <c r="G127" i="1"/>
  <c r="G196" i="1"/>
  <c r="G197" i="1"/>
  <c r="G198" i="1"/>
  <c r="AI23" i="167"/>
  <c r="E200" i="1"/>
  <c r="L123" i="167" l="1"/>
  <c r="L125" i="167" s="1"/>
  <c r="L206" i="167" s="1"/>
  <c r="K206" i="167"/>
  <c r="Q125" i="167"/>
  <c r="R119" i="167" s="1"/>
  <c r="R121" i="167" s="1"/>
  <c r="D13" i="608"/>
  <c r="F121" i="167"/>
  <c r="C34" i="608"/>
  <c r="C38" i="608" s="1"/>
  <c r="E223" i="167"/>
  <c r="I42" i="683"/>
  <c r="D32" i="691" s="1"/>
  <c r="I33" i="683"/>
  <c r="D42" i="684" s="1"/>
  <c r="H44" i="248"/>
  <c r="G44" i="248"/>
  <c r="F14" i="620"/>
  <c r="M128" i="1"/>
  <c r="F14" i="683" s="1"/>
  <c r="K9" i="227"/>
  <c r="D49" i="684"/>
  <c r="J57" i="683"/>
  <c r="E52" i="687"/>
  <c r="E17" i="686" s="1"/>
  <c r="E51" i="687"/>
  <c r="E16" i="686" s="1"/>
  <c r="E50" i="687"/>
  <c r="E15" i="686" s="1"/>
  <c r="E49" i="687"/>
  <c r="E14" i="686" s="1"/>
  <c r="E47" i="687"/>
  <c r="E12" i="686" s="1"/>
  <c r="E44" i="687"/>
  <c r="E9" i="686" s="1"/>
  <c r="D28" i="684"/>
  <c r="I29" i="248" s="1"/>
  <c r="I46" i="683"/>
  <c r="I50" i="687"/>
  <c r="I15" i="686" s="1"/>
  <c r="I50" i="683"/>
  <c r="F51" i="687"/>
  <c r="F16" i="686" s="1"/>
  <c r="F44" i="687"/>
  <c r="F9" i="686" s="1"/>
  <c r="D52" i="687"/>
  <c r="D17" i="686" s="1"/>
  <c r="D51" i="687"/>
  <c r="D16" i="686" s="1"/>
  <c r="D50" i="687"/>
  <c r="D15" i="686" s="1"/>
  <c r="D49" i="687"/>
  <c r="D14" i="686" s="1"/>
  <c r="D47" i="687"/>
  <c r="D12" i="686" s="1"/>
  <c r="D44" i="687"/>
  <c r="D9" i="686" s="1"/>
  <c r="I41" i="683"/>
  <c r="I51" i="687"/>
  <c r="I16" i="686" s="1"/>
  <c r="I47" i="687"/>
  <c r="I12" i="686" s="1"/>
  <c r="G44" i="687"/>
  <c r="G9" i="686" s="1"/>
  <c r="I36" i="683"/>
  <c r="F50" i="687"/>
  <c r="F15" i="686" s="1"/>
  <c r="D53" i="691"/>
  <c r="C52" i="687"/>
  <c r="C17" i="686" s="1"/>
  <c r="C51" i="687"/>
  <c r="C16" i="686" s="1"/>
  <c r="C50" i="687"/>
  <c r="C15" i="686" s="1"/>
  <c r="C49" i="687"/>
  <c r="C14" i="686" s="1"/>
  <c r="C47" i="687"/>
  <c r="C12" i="686" s="1"/>
  <c r="C44" i="687"/>
  <c r="C9" i="686" s="1"/>
  <c r="I40" i="683"/>
  <c r="I52" i="687"/>
  <c r="I17" i="686" s="1"/>
  <c r="I49" i="687"/>
  <c r="I14" i="686" s="1"/>
  <c r="I44" i="687"/>
  <c r="I9" i="686" s="1"/>
  <c r="G49" i="687"/>
  <c r="G14" i="686" s="1"/>
  <c r="F47" i="687"/>
  <c r="F12" i="686" s="1"/>
  <c r="B52" i="687"/>
  <c r="B17" i="686" s="1"/>
  <c r="B51" i="687"/>
  <c r="B16" i="686" s="1"/>
  <c r="B50" i="687"/>
  <c r="B15" i="686" s="1"/>
  <c r="B49" i="687"/>
  <c r="B14" i="686" s="1"/>
  <c r="B47" i="687"/>
  <c r="B12" i="686" s="1"/>
  <c r="B44" i="687"/>
  <c r="B9" i="686" s="1"/>
  <c r="I39" i="683"/>
  <c r="I38" i="683"/>
  <c r="F52" i="687"/>
  <c r="F17" i="686" s="1"/>
  <c r="H52" i="687"/>
  <c r="H17" i="686" s="1"/>
  <c r="H51" i="687"/>
  <c r="H16" i="686" s="1"/>
  <c r="H50" i="687"/>
  <c r="H15" i="686" s="1"/>
  <c r="H49" i="687"/>
  <c r="H14" i="686" s="1"/>
  <c r="H47" i="687"/>
  <c r="H12" i="686" s="1"/>
  <c r="H44" i="687"/>
  <c r="H9" i="686" s="1"/>
  <c r="I37" i="683"/>
  <c r="B88" i="687"/>
  <c r="C88" i="687" s="1"/>
  <c r="D88" i="687" s="1"/>
  <c r="E88" i="687" s="1"/>
  <c r="F88" i="687" s="1"/>
  <c r="G88" i="687" s="1"/>
  <c r="H88" i="687" s="1"/>
  <c r="I88" i="687" s="1"/>
  <c r="G52" i="687"/>
  <c r="G17" i="686" s="1"/>
  <c r="G51" i="687"/>
  <c r="G16" i="686" s="1"/>
  <c r="G50" i="687"/>
  <c r="G15" i="686" s="1"/>
  <c r="G47" i="687"/>
  <c r="G12" i="686" s="1"/>
  <c r="F49" i="687"/>
  <c r="F14" i="686" s="1"/>
  <c r="I47" i="683"/>
  <c r="I44" i="683"/>
  <c r="I43" i="683"/>
  <c r="I45" i="683"/>
  <c r="E15" i="682"/>
  <c r="D11" i="684"/>
  <c r="I92" i="167"/>
  <c r="I95" i="167" s="1"/>
  <c r="Y37" i="483"/>
  <c r="I13" i="248"/>
  <c r="G13" i="248"/>
  <c r="E12" i="684"/>
  <c r="I48" i="248"/>
  <c r="D65" i="691"/>
  <c r="I22" i="167"/>
  <c r="F11" i="683"/>
  <c r="I21" i="167"/>
  <c r="M198" i="1"/>
  <c r="M196" i="1"/>
  <c r="M197" i="1"/>
  <c r="D63" i="631"/>
  <c r="E132" i="167"/>
  <c r="J132" i="167"/>
  <c r="I17" i="391"/>
  <c r="K17" i="391" s="1"/>
  <c r="M17" i="391" s="1"/>
  <c r="O17" i="391" s="1"/>
  <c r="Q17" i="391" s="1"/>
  <c r="H17" i="391"/>
  <c r="J17" i="391" s="1"/>
  <c r="L17" i="391" s="1"/>
  <c r="N17" i="391" s="1"/>
  <c r="P17" i="391" s="1"/>
  <c r="K123" i="1"/>
  <c r="M123" i="1" s="1"/>
  <c r="K198" i="1"/>
  <c r="K196" i="1"/>
  <c r="K197" i="1"/>
  <c r="L66" i="466"/>
  <c r="M66" i="466" s="1"/>
  <c r="N66" i="466" s="1"/>
  <c r="Q176" i="1"/>
  <c r="Q177" i="1" s="1"/>
  <c r="E200" i="167"/>
  <c r="D103" i="167"/>
  <c r="C124" i="1"/>
  <c r="BF25" i="167"/>
  <c r="BF24" i="167"/>
  <c r="BH38" i="167"/>
  <c r="M15" i="391"/>
  <c r="I198" i="1"/>
  <c r="I196" i="1"/>
  <c r="I197" i="1"/>
  <c r="I127" i="1"/>
  <c r="K127" i="1" s="1"/>
  <c r="M127" i="1" s="1"/>
  <c r="G200" i="1"/>
  <c r="BB28" i="167"/>
  <c r="BB30" i="167"/>
  <c r="BB19" i="167"/>
  <c r="E19" i="391"/>
  <c r="D19" i="391"/>
  <c r="B20" i="391"/>
  <c r="R123" i="167" l="1"/>
  <c r="R125" i="167" s="1"/>
  <c r="Q206" i="167"/>
  <c r="M119" i="167"/>
  <c r="M121" i="167" s="1"/>
  <c r="M123" i="167"/>
  <c r="D15" i="608"/>
  <c r="F125" i="167"/>
  <c r="J42" i="683"/>
  <c r="I160" i="683"/>
  <c r="J33" i="683"/>
  <c r="D54" i="691"/>
  <c r="D55" i="691" s="1"/>
  <c r="D37" i="684"/>
  <c r="I38" i="248" s="1"/>
  <c r="J45" i="683"/>
  <c r="D37" i="691"/>
  <c r="D35" i="691"/>
  <c r="J43" i="683"/>
  <c r="D38" i="684"/>
  <c r="I164" i="683"/>
  <c r="D36" i="691"/>
  <c r="J44" i="683"/>
  <c r="D27" i="691"/>
  <c r="J37" i="683"/>
  <c r="L41" i="683"/>
  <c r="J38" i="683"/>
  <c r="D28" i="691"/>
  <c r="J47" i="683"/>
  <c r="D41" i="684"/>
  <c r="J39" i="683"/>
  <c r="D29" i="691"/>
  <c r="J41" i="683"/>
  <c r="D31" i="691"/>
  <c r="D40" i="684"/>
  <c r="J50" i="683"/>
  <c r="J40" i="683"/>
  <c r="D30" i="691"/>
  <c r="D36" i="684"/>
  <c r="J46" i="683"/>
  <c r="D26" i="691"/>
  <c r="J36" i="683"/>
  <c r="I50" i="248"/>
  <c r="K22" i="227"/>
  <c r="I23" i="167"/>
  <c r="F42" i="683" s="1"/>
  <c r="D58" i="691"/>
  <c r="I43" i="248"/>
  <c r="C11" i="691"/>
  <c r="G12" i="248"/>
  <c r="E11" i="684"/>
  <c r="I12" i="248"/>
  <c r="M200" i="1"/>
  <c r="H136" i="142"/>
  <c r="I18" i="391"/>
  <c r="K18" i="391" s="1"/>
  <c r="M18" i="391" s="1"/>
  <c r="O18" i="391" s="1"/>
  <c r="Q18" i="391" s="1"/>
  <c r="H18" i="391"/>
  <c r="J18" i="391" s="1"/>
  <c r="L18" i="391" s="1"/>
  <c r="N18" i="391" s="1"/>
  <c r="P18" i="391" s="1"/>
  <c r="K200" i="1"/>
  <c r="O15" i="391"/>
  <c r="Q15" i="391" s="1"/>
  <c r="C17" i="533"/>
  <c r="C19" i="533" s="1"/>
  <c r="C27" i="608"/>
  <c r="G32" i="467"/>
  <c r="G33" i="467" s="1"/>
  <c r="D21" i="496"/>
  <c r="C22" i="248" s="1"/>
  <c r="BF28" i="167"/>
  <c r="BF19" i="167"/>
  <c r="BF20" i="167" s="1"/>
  <c r="BF30" i="167"/>
  <c r="I200" i="1"/>
  <c r="BC69" i="167"/>
  <c r="BC70" i="167" s="1"/>
  <c r="D20" i="391"/>
  <c r="E20" i="391"/>
  <c r="E21" i="227"/>
  <c r="E31" i="227" s="1"/>
  <c r="E36" i="227" s="1"/>
  <c r="E38" i="227" s="1"/>
  <c r="B21" i="391"/>
  <c r="R206" i="167" l="1"/>
  <c r="S123" i="167"/>
  <c r="S119" i="167"/>
  <c r="S121" i="167" s="1"/>
  <c r="M125" i="167"/>
  <c r="F206" i="167"/>
  <c r="D34" i="608" s="1"/>
  <c r="D38" i="608" s="1"/>
  <c r="G119" i="167"/>
  <c r="G123" i="167"/>
  <c r="E17" i="608" s="1"/>
  <c r="D19" i="608"/>
  <c r="C9" i="671"/>
  <c r="C13" i="671" s="1"/>
  <c r="D33" i="691"/>
  <c r="F24" i="683"/>
  <c r="F26" i="683"/>
  <c r="F25" i="683"/>
  <c r="F27" i="683"/>
  <c r="D51" i="691"/>
  <c r="I42" i="248"/>
  <c r="D23" i="691"/>
  <c r="I37" i="248"/>
  <c r="I39" i="248"/>
  <c r="D38" i="691"/>
  <c r="D49" i="691"/>
  <c r="I41" i="248"/>
  <c r="F22" i="683"/>
  <c r="F158" i="683" s="1"/>
  <c r="F33" i="683"/>
  <c r="F160" i="683" s="1"/>
  <c r="F35" i="683"/>
  <c r="F161" i="683" s="1"/>
  <c r="F50" i="683"/>
  <c r="F43" i="683"/>
  <c r="G47" i="613"/>
  <c r="G12" i="614" s="1"/>
  <c r="H44" i="613"/>
  <c r="H9" i="614" s="1"/>
  <c r="I47" i="613"/>
  <c r="I12" i="614" s="1"/>
  <c r="G51" i="613"/>
  <c r="G16" i="614" s="1"/>
  <c r="H47" i="613"/>
  <c r="H12" i="614" s="1"/>
  <c r="F50" i="613"/>
  <c r="F15" i="614" s="1"/>
  <c r="H49" i="613"/>
  <c r="H14" i="614" s="1"/>
  <c r="G52" i="613"/>
  <c r="G17" i="614" s="1"/>
  <c r="G44" i="613"/>
  <c r="G9" i="614" s="1"/>
  <c r="H50" i="613"/>
  <c r="H15" i="614" s="1"/>
  <c r="D53" i="511"/>
  <c r="G49" i="613"/>
  <c r="G14" i="614" s="1"/>
  <c r="D50" i="613"/>
  <c r="D15" i="614" s="1"/>
  <c r="H52" i="613"/>
  <c r="H17" i="614" s="1"/>
  <c r="F47" i="613"/>
  <c r="F12" i="614" s="1"/>
  <c r="I51" i="613"/>
  <c r="I16" i="614" s="1"/>
  <c r="C50" i="613"/>
  <c r="C15" i="614" s="1"/>
  <c r="I52" i="613"/>
  <c r="I17" i="614" s="1"/>
  <c r="F49" i="613"/>
  <c r="F14" i="614" s="1"/>
  <c r="F51" i="613"/>
  <c r="F16" i="614" s="1"/>
  <c r="H51" i="613"/>
  <c r="H16" i="614" s="1"/>
  <c r="E50" i="613"/>
  <c r="E15" i="614" s="1"/>
  <c r="I44" i="613"/>
  <c r="I9" i="614" s="1"/>
  <c r="G50" i="613"/>
  <c r="G15" i="614" s="1"/>
  <c r="I49" i="613"/>
  <c r="I14" i="614" s="1"/>
  <c r="D19" i="167"/>
  <c r="B50" i="613"/>
  <c r="B15" i="614" s="1"/>
  <c r="F44" i="613"/>
  <c r="F9" i="614" s="1"/>
  <c r="I50" i="613"/>
  <c r="I15" i="614" s="1"/>
  <c r="F52" i="613"/>
  <c r="F17" i="614" s="1"/>
  <c r="I19" i="391"/>
  <c r="K19" i="391" s="1"/>
  <c r="M19" i="391" s="1"/>
  <c r="O19" i="391" s="1"/>
  <c r="Q19" i="391" s="1"/>
  <c r="H19" i="391"/>
  <c r="J19" i="391" s="1"/>
  <c r="L19" i="391" s="1"/>
  <c r="N19" i="391" s="1"/>
  <c r="P19" i="391" s="1"/>
  <c r="E47" i="613"/>
  <c r="E12" i="614" s="1"/>
  <c r="D47" i="613"/>
  <c r="D12" i="614" s="1"/>
  <c r="C47" i="613"/>
  <c r="C12" i="614" s="1"/>
  <c r="B49" i="613"/>
  <c r="B14" i="614" s="1"/>
  <c r="B47" i="613"/>
  <c r="B12" i="614" s="1"/>
  <c r="C51" i="613"/>
  <c r="C16" i="614" s="1"/>
  <c r="E44" i="613"/>
  <c r="C44" i="613"/>
  <c r="B88" i="613"/>
  <c r="C88" i="613" s="1"/>
  <c r="D88" i="613" s="1"/>
  <c r="E88" i="613" s="1"/>
  <c r="F88" i="613" s="1"/>
  <c r="G88" i="613" s="1"/>
  <c r="H88" i="613" s="1"/>
  <c r="I88" i="613" s="1"/>
  <c r="E52" i="613"/>
  <c r="E17" i="614" s="1"/>
  <c r="D52" i="613"/>
  <c r="D17" i="614" s="1"/>
  <c r="C52" i="613"/>
  <c r="C17" i="614" s="1"/>
  <c r="D44" i="613"/>
  <c r="D51" i="613"/>
  <c r="D16" i="614" s="1"/>
  <c r="E51" i="613"/>
  <c r="E16" i="614" s="1"/>
  <c r="B51" i="613"/>
  <c r="B16" i="614" s="1"/>
  <c r="E49" i="613"/>
  <c r="E14" i="614" s="1"/>
  <c r="D49" i="613"/>
  <c r="D14" i="614" s="1"/>
  <c r="C49" i="613"/>
  <c r="C14" i="614" s="1"/>
  <c r="B52" i="613"/>
  <c r="B17" i="614" s="1"/>
  <c r="B44" i="613"/>
  <c r="I38" i="481"/>
  <c r="D28" i="511" s="1"/>
  <c r="D28" i="496"/>
  <c r="C29" i="248" s="1"/>
  <c r="I36" i="481"/>
  <c r="I39" i="481"/>
  <c r="D29" i="511" s="1"/>
  <c r="I37" i="481"/>
  <c r="I46" i="481"/>
  <c r="D36" i="496" s="1"/>
  <c r="C37" i="248" s="1"/>
  <c r="I41" i="481"/>
  <c r="D31" i="511" s="1"/>
  <c r="I40" i="481"/>
  <c r="D30" i="511" s="1"/>
  <c r="BG69" i="167"/>
  <c r="BG70" i="167" s="1"/>
  <c r="BF22" i="167"/>
  <c r="H166" i="481"/>
  <c r="E21" i="391"/>
  <c r="D21" i="391"/>
  <c r="B22" i="391"/>
  <c r="C15" i="671" l="1"/>
  <c r="C17" i="671" s="1"/>
  <c r="C18" i="671" s="1"/>
  <c r="C19" i="671" s="1"/>
  <c r="I51" i="481" s="1"/>
  <c r="D44" i="496" s="1"/>
  <c r="C45" i="248" s="1"/>
  <c r="S125" i="167"/>
  <c r="S206" i="167" s="1"/>
  <c r="N123" i="167"/>
  <c r="N119" i="167"/>
  <c r="N121" i="167" s="1"/>
  <c r="M206" i="167"/>
  <c r="E13" i="608"/>
  <c r="G121" i="167"/>
  <c r="I20" i="391"/>
  <c r="K20" i="391" s="1"/>
  <c r="M20" i="391" s="1"/>
  <c r="O20" i="391" s="1"/>
  <c r="Q20" i="391" s="1"/>
  <c r="H20" i="391"/>
  <c r="J20" i="391" s="1"/>
  <c r="L20" i="391" s="1"/>
  <c r="N20" i="391" s="1"/>
  <c r="P20" i="391" s="1"/>
  <c r="D27" i="511"/>
  <c r="L41" i="481"/>
  <c r="B9" i="614"/>
  <c r="D9" i="614"/>
  <c r="C9" i="614"/>
  <c r="E9" i="614"/>
  <c r="D23" i="511"/>
  <c r="D26" i="511"/>
  <c r="I168" i="481"/>
  <c r="E39" i="496" s="1"/>
  <c r="H167" i="481"/>
  <c r="H158" i="489"/>
  <c r="H168" i="481"/>
  <c r="H165" i="481"/>
  <c r="D22" i="391"/>
  <c r="E22" i="391"/>
  <c r="B23" i="391"/>
  <c r="N125" i="167" l="1"/>
  <c r="N206" i="167" s="1"/>
  <c r="E15" i="608"/>
  <c r="G125" i="167"/>
  <c r="H21" i="391"/>
  <c r="J21" i="391" s="1"/>
  <c r="L21" i="391" s="1"/>
  <c r="N21" i="391" s="1"/>
  <c r="P21" i="391" s="1"/>
  <c r="I21" i="391"/>
  <c r="K21" i="391" s="1"/>
  <c r="M21" i="391" s="1"/>
  <c r="O21" i="391" s="1"/>
  <c r="Q21" i="391" s="1"/>
  <c r="H158" i="490"/>
  <c r="H159" i="489"/>
  <c r="H160" i="490"/>
  <c r="H160" i="489"/>
  <c r="H157" i="489"/>
  <c r="E23" i="391"/>
  <c r="D23" i="391"/>
  <c r="B24" i="391"/>
  <c r="G206" i="167" l="1"/>
  <c r="E34" i="608" s="1"/>
  <c r="E38" i="608" s="1"/>
  <c r="E19" i="608"/>
  <c r="H123" i="167"/>
  <c r="F17" i="608" s="1"/>
  <c r="H119" i="167"/>
  <c r="I22" i="391"/>
  <c r="K22" i="391" s="1"/>
  <c r="M22" i="391" s="1"/>
  <c r="O22" i="391" s="1"/>
  <c r="Q22" i="391" s="1"/>
  <c r="H22" i="391"/>
  <c r="J22" i="391" s="1"/>
  <c r="L22" i="391" s="1"/>
  <c r="N22" i="391" s="1"/>
  <c r="P22" i="391" s="1"/>
  <c r="H157" i="490"/>
  <c r="H159" i="490"/>
  <c r="E24" i="391"/>
  <c r="D24" i="391"/>
  <c r="B25" i="391"/>
  <c r="H121" i="167" l="1"/>
  <c r="F13" i="608"/>
  <c r="H23" i="391"/>
  <c r="J23" i="391" s="1"/>
  <c r="L23" i="391" s="1"/>
  <c r="N23" i="391" s="1"/>
  <c r="P23" i="391" s="1"/>
  <c r="I23" i="391"/>
  <c r="K23" i="391" s="1"/>
  <c r="M23" i="391" s="1"/>
  <c r="O23" i="391" s="1"/>
  <c r="Q23" i="391" s="1"/>
  <c r="D25" i="391"/>
  <c r="E25" i="391"/>
  <c r="B26" i="391"/>
  <c r="H125" i="167" l="1"/>
  <c r="F15" i="608"/>
  <c r="I24" i="391"/>
  <c r="K24" i="391" s="1"/>
  <c r="M24" i="391" s="1"/>
  <c r="O24" i="391" s="1"/>
  <c r="Q24" i="391" s="1"/>
  <c r="H24" i="391"/>
  <c r="J24" i="391" s="1"/>
  <c r="L24" i="391" s="1"/>
  <c r="N24" i="391" s="1"/>
  <c r="P24" i="391" s="1"/>
  <c r="D26" i="391"/>
  <c r="E26" i="391"/>
  <c r="B27" i="391"/>
  <c r="I119" i="167" l="1"/>
  <c r="I123" i="167"/>
  <c r="G17" i="608" s="1"/>
  <c r="H206" i="167"/>
  <c r="F34" i="608" s="1"/>
  <c r="F38" i="608" s="1"/>
  <c r="F19" i="608"/>
  <c r="I25" i="391"/>
  <c r="K25" i="391" s="1"/>
  <c r="M25" i="391" s="1"/>
  <c r="O25" i="391" s="1"/>
  <c r="Q25" i="391" s="1"/>
  <c r="H25" i="391"/>
  <c r="J25" i="391" s="1"/>
  <c r="L25" i="391" s="1"/>
  <c r="N25" i="391" s="1"/>
  <c r="P25" i="391" s="1"/>
  <c r="E27" i="391"/>
  <c r="D27" i="391"/>
  <c r="B28" i="391"/>
  <c r="I121" i="167" l="1"/>
  <c r="G15" i="608" s="1"/>
  <c r="G13" i="608"/>
  <c r="H26" i="391"/>
  <c r="J26" i="391" s="1"/>
  <c r="L26" i="391" s="1"/>
  <c r="N26" i="391" s="1"/>
  <c r="P26" i="391" s="1"/>
  <c r="I26" i="391"/>
  <c r="K26" i="391" s="1"/>
  <c r="M26" i="391" s="1"/>
  <c r="O26" i="391" s="1"/>
  <c r="Q26" i="391" s="1"/>
  <c r="E28" i="391"/>
  <c r="D28" i="391"/>
  <c r="B29" i="391"/>
  <c r="I125" i="167" l="1"/>
  <c r="H27" i="391"/>
  <c r="J27" i="391" s="1"/>
  <c r="L27" i="391" s="1"/>
  <c r="N27" i="391" s="1"/>
  <c r="P27" i="391" s="1"/>
  <c r="I27" i="391"/>
  <c r="K27" i="391" s="1"/>
  <c r="M27" i="391" s="1"/>
  <c r="O27" i="391" s="1"/>
  <c r="Q27" i="391" s="1"/>
  <c r="E29" i="391"/>
  <c r="D29" i="391"/>
  <c r="B30" i="391"/>
  <c r="I206" i="167" l="1"/>
  <c r="G34" i="608" s="1"/>
  <c r="G38" i="608" s="1"/>
  <c r="G19" i="608"/>
  <c r="I28" i="391"/>
  <c r="K28" i="391" s="1"/>
  <c r="M28" i="391" s="1"/>
  <c r="O28" i="391" s="1"/>
  <c r="Q28" i="391" s="1"/>
  <c r="H28" i="391"/>
  <c r="J28" i="391" s="1"/>
  <c r="L28" i="391" s="1"/>
  <c r="N28" i="391" s="1"/>
  <c r="P28" i="391" s="1"/>
  <c r="D30" i="391"/>
  <c r="E30" i="391"/>
  <c r="B31" i="391"/>
  <c r="H29" i="391" l="1"/>
  <c r="J29" i="391" s="1"/>
  <c r="L29" i="391" s="1"/>
  <c r="N29" i="391" s="1"/>
  <c r="P29" i="391" s="1"/>
  <c r="I29" i="391"/>
  <c r="K29" i="391" s="1"/>
  <c r="M29" i="391" s="1"/>
  <c r="O29" i="391" s="1"/>
  <c r="Q29" i="391" s="1"/>
  <c r="D31" i="391"/>
  <c r="E31" i="391"/>
  <c r="B32" i="391"/>
  <c r="H30" i="391" l="1"/>
  <c r="J30" i="391" s="1"/>
  <c r="L30" i="391" s="1"/>
  <c r="N30" i="391" s="1"/>
  <c r="P30" i="391" s="1"/>
  <c r="I30" i="391"/>
  <c r="K30" i="391" s="1"/>
  <c r="M30" i="391" s="1"/>
  <c r="O30" i="391" s="1"/>
  <c r="Q30" i="391" s="1"/>
  <c r="D32" i="391"/>
  <c r="E32" i="391"/>
  <c r="B33" i="391"/>
  <c r="I31" i="391" l="1"/>
  <c r="K31" i="391" s="1"/>
  <c r="M31" i="391" s="1"/>
  <c r="O31" i="391" s="1"/>
  <c r="Q31" i="391" s="1"/>
  <c r="H31" i="391"/>
  <c r="J31" i="391" s="1"/>
  <c r="L31" i="391" s="1"/>
  <c r="N31" i="391" s="1"/>
  <c r="P31" i="391" s="1"/>
  <c r="E33" i="391"/>
  <c r="D33" i="391"/>
  <c r="B34" i="391"/>
  <c r="I32" i="391" l="1"/>
  <c r="K32" i="391" s="1"/>
  <c r="M32" i="391" s="1"/>
  <c r="O32" i="391" s="1"/>
  <c r="Q32" i="391" s="1"/>
  <c r="H32" i="391"/>
  <c r="J32" i="391" s="1"/>
  <c r="L32" i="391" s="1"/>
  <c r="N32" i="391" s="1"/>
  <c r="P32" i="391" s="1"/>
  <c r="D34" i="391"/>
  <c r="E34" i="391"/>
  <c r="B35" i="391"/>
  <c r="H33" i="391" l="1"/>
  <c r="J33" i="391" s="1"/>
  <c r="L33" i="391" s="1"/>
  <c r="N33" i="391" s="1"/>
  <c r="P33" i="391" s="1"/>
  <c r="I33" i="391"/>
  <c r="K33" i="391" s="1"/>
  <c r="M33" i="391" s="1"/>
  <c r="O33" i="391" s="1"/>
  <c r="Q33" i="391" s="1"/>
  <c r="E35" i="391"/>
  <c r="D35" i="391"/>
  <c r="B36" i="391"/>
  <c r="I34" i="391" l="1"/>
  <c r="K34" i="391" s="1"/>
  <c r="M34" i="391" s="1"/>
  <c r="O34" i="391" s="1"/>
  <c r="Q34" i="391" s="1"/>
  <c r="H34" i="391"/>
  <c r="J34" i="391" s="1"/>
  <c r="L34" i="391" s="1"/>
  <c r="N34" i="391" s="1"/>
  <c r="P34" i="391" s="1"/>
  <c r="E36" i="391"/>
  <c r="D36" i="391"/>
  <c r="B37" i="391"/>
  <c r="I35" i="391" l="1"/>
  <c r="K35" i="391" s="1"/>
  <c r="M35" i="391" s="1"/>
  <c r="O35" i="391" s="1"/>
  <c r="Q35" i="391" s="1"/>
  <c r="H35" i="391"/>
  <c r="J35" i="391" s="1"/>
  <c r="L35" i="391" s="1"/>
  <c r="N35" i="391" s="1"/>
  <c r="P35" i="391" s="1"/>
  <c r="D37" i="391"/>
  <c r="E37" i="391"/>
  <c r="B38" i="391"/>
  <c r="H36" i="391" l="1"/>
  <c r="J36" i="391" s="1"/>
  <c r="L36" i="391" s="1"/>
  <c r="N36" i="391" s="1"/>
  <c r="P36" i="391" s="1"/>
  <c r="I36" i="391"/>
  <c r="K36" i="391" s="1"/>
  <c r="M36" i="391" s="1"/>
  <c r="O36" i="391" s="1"/>
  <c r="Q36" i="391" s="1"/>
  <c r="D38" i="391"/>
  <c r="E38" i="391"/>
  <c r="B39" i="391"/>
  <c r="I37" i="391" l="1"/>
  <c r="K37" i="391" s="1"/>
  <c r="M37" i="391" s="1"/>
  <c r="O37" i="391" s="1"/>
  <c r="Q37" i="391" s="1"/>
  <c r="H37" i="391"/>
  <c r="J37" i="391" s="1"/>
  <c r="L37" i="391" s="1"/>
  <c r="N37" i="391" s="1"/>
  <c r="P37" i="391" s="1"/>
  <c r="D39" i="391"/>
  <c r="E39" i="391"/>
  <c r="B40" i="391"/>
  <c r="H38" i="391" l="1"/>
  <c r="J38" i="391" s="1"/>
  <c r="L38" i="391" s="1"/>
  <c r="N38" i="391" s="1"/>
  <c r="P38" i="391" s="1"/>
  <c r="I38" i="391"/>
  <c r="K38" i="391" s="1"/>
  <c r="M38" i="391" s="1"/>
  <c r="O38" i="391" s="1"/>
  <c r="Q38" i="391" s="1"/>
  <c r="D40" i="391"/>
  <c r="E40" i="391"/>
  <c r="B41" i="391"/>
  <c r="I39" i="391" l="1"/>
  <c r="K39" i="391" s="1"/>
  <c r="M39" i="391" s="1"/>
  <c r="O39" i="391" s="1"/>
  <c r="Q39" i="391" s="1"/>
  <c r="H39" i="391"/>
  <c r="J39" i="391" s="1"/>
  <c r="L39" i="391" s="1"/>
  <c r="N39" i="391" s="1"/>
  <c r="P39" i="391" s="1"/>
  <c r="D41" i="391"/>
  <c r="E41" i="391"/>
  <c r="B42" i="391"/>
  <c r="H40" i="391" l="1"/>
  <c r="J40" i="391" s="1"/>
  <c r="L40" i="391" s="1"/>
  <c r="N40" i="391" s="1"/>
  <c r="P40" i="391" s="1"/>
  <c r="I40" i="391"/>
  <c r="K40" i="391" s="1"/>
  <c r="M40" i="391" s="1"/>
  <c r="O40" i="391" s="1"/>
  <c r="Q40" i="391" s="1"/>
  <c r="D42" i="391"/>
  <c r="E42" i="391"/>
  <c r="B43" i="391"/>
  <c r="H41" i="391" l="1"/>
  <c r="J41" i="391" s="1"/>
  <c r="L41" i="391" s="1"/>
  <c r="N41" i="391" s="1"/>
  <c r="P41" i="391" s="1"/>
  <c r="I41" i="391"/>
  <c r="K41" i="391" s="1"/>
  <c r="M41" i="391" s="1"/>
  <c r="O41" i="391" s="1"/>
  <c r="Q41" i="391" s="1"/>
  <c r="E43" i="391"/>
  <c r="D43" i="391"/>
  <c r="B44" i="391"/>
  <c r="H42" i="391" l="1"/>
  <c r="J42" i="391" s="1"/>
  <c r="L42" i="391" s="1"/>
  <c r="N42" i="391" s="1"/>
  <c r="P42" i="391" s="1"/>
  <c r="I42" i="391"/>
  <c r="K42" i="391" s="1"/>
  <c r="M42" i="391" s="1"/>
  <c r="O42" i="391" s="1"/>
  <c r="Q42" i="391" s="1"/>
  <c r="E44" i="391"/>
  <c r="D44" i="391"/>
  <c r="B45" i="391"/>
  <c r="I43" i="391" l="1"/>
  <c r="K43" i="391" s="1"/>
  <c r="M43" i="391" s="1"/>
  <c r="O43" i="391" s="1"/>
  <c r="Q43" i="391" s="1"/>
  <c r="H43" i="391"/>
  <c r="J43" i="391" s="1"/>
  <c r="L43" i="391" s="1"/>
  <c r="N43" i="391" s="1"/>
  <c r="P43" i="391" s="1"/>
  <c r="E45" i="391"/>
  <c r="D45" i="391"/>
  <c r="B46" i="391"/>
  <c r="I44" i="391" l="1"/>
  <c r="K44" i="391" s="1"/>
  <c r="M44" i="391" s="1"/>
  <c r="O44" i="391" s="1"/>
  <c r="Q44" i="391" s="1"/>
  <c r="H44" i="391"/>
  <c r="J44" i="391" s="1"/>
  <c r="L44" i="391" s="1"/>
  <c r="N44" i="391" s="1"/>
  <c r="P44" i="391" s="1"/>
  <c r="D46" i="391"/>
  <c r="E46" i="391"/>
  <c r="B47" i="391"/>
  <c r="I45" i="391" l="1"/>
  <c r="K45" i="391" s="1"/>
  <c r="M45" i="391" s="1"/>
  <c r="O45" i="391" s="1"/>
  <c r="Q45" i="391" s="1"/>
  <c r="H45" i="391"/>
  <c r="J45" i="391" s="1"/>
  <c r="L45" i="391" s="1"/>
  <c r="N45" i="391" s="1"/>
  <c r="P45" i="391" s="1"/>
  <c r="D47" i="391"/>
  <c r="E47" i="391"/>
  <c r="B48" i="391"/>
  <c r="H46" i="391" l="1"/>
  <c r="J46" i="391" s="1"/>
  <c r="L46" i="391" s="1"/>
  <c r="N46" i="391" s="1"/>
  <c r="P46" i="391" s="1"/>
  <c r="I46" i="391"/>
  <c r="K46" i="391" s="1"/>
  <c r="M46" i="391" s="1"/>
  <c r="O46" i="391" s="1"/>
  <c r="Q46" i="391" s="1"/>
  <c r="E48" i="391"/>
  <c r="D48" i="391"/>
  <c r="B49" i="391"/>
  <c r="I47" i="391" l="1"/>
  <c r="K47" i="391" s="1"/>
  <c r="M47" i="391" s="1"/>
  <c r="O47" i="391" s="1"/>
  <c r="Q47" i="391" s="1"/>
  <c r="H47" i="391"/>
  <c r="J47" i="391" s="1"/>
  <c r="L47" i="391" s="1"/>
  <c r="N47" i="391" s="1"/>
  <c r="P47" i="391" s="1"/>
  <c r="D49" i="391"/>
  <c r="E49" i="391"/>
  <c r="B50" i="391"/>
  <c r="I48" i="391" l="1"/>
  <c r="K48" i="391" s="1"/>
  <c r="M48" i="391" s="1"/>
  <c r="O48" i="391" s="1"/>
  <c r="Q48" i="391" s="1"/>
  <c r="H48" i="391"/>
  <c r="J48" i="391" s="1"/>
  <c r="L48" i="391" s="1"/>
  <c r="N48" i="391" s="1"/>
  <c r="P48" i="391" s="1"/>
  <c r="D50" i="391"/>
  <c r="E50" i="391"/>
  <c r="B51" i="391"/>
  <c r="H49" i="391" l="1"/>
  <c r="J49" i="391" s="1"/>
  <c r="L49" i="391" s="1"/>
  <c r="N49" i="391" s="1"/>
  <c r="P49" i="391" s="1"/>
  <c r="I49" i="391"/>
  <c r="K49" i="391" s="1"/>
  <c r="M49" i="391" s="1"/>
  <c r="O49" i="391" s="1"/>
  <c r="Q49" i="391" s="1"/>
  <c r="D51" i="391"/>
  <c r="E51" i="391"/>
  <c r="B52" i="391"/>
  <c r="H50" i="391" l="1"/>
  <c r="J50" i="391" s="1"/>
  <c r="L50" i="391" s="1"/>
  <c r="N50" i="391" s="1"/>
  <c r="P50" i="391" s="1"/>
  <c r="I50" i="391"/>
  <c r="K50" i="391" s="1"/>
  <c r="M50" i="391" s="1"/>
  <c r="O50" i="391" s="1"/>
  <c r="Q50" i="391" s="1"/>
  <c r="E52" i="391"/>
  <c r="D52" i="391"/>
  <c r="B53" i="391"/>
  <c r="I51" i="391" l="1"/>
  <c r="K51" i="391" s="1"/>
  <c r="M51" i="391" s="1"/>
  <c r="O51" i="391" s="1"/>
  <c r="Q51" i="391" s="1"/>
  <c r="H51" i="391"/>
  <c r="J51" i="391" s="1"/>
  <c r="L51" i="391" s="1"/>
  <c r="N51" i="391" s="1"/>
  <c r="P51" i="391" s="1"/>
  <c r="E53" i="391"/>
  <c r="D53" i="391"/>
  <c r="B54" i="391"/>
  <c r="H52" i="391" l="1"/>
  <c r="J52" i="391" s="1"/>
  <c r="L52" i="391" s="1"/>
  <c r="N52" i="391" s="1"/>
  <c r="P52" i="391" s="1"/>
  <c r="I52" i="391"/>
  <c r="K52" i="391" s="1"/>
  <c r="M52" i="391" s="1"/>
  <c r="O52" i="391" s="1"/>
  <c r="Q52" i="391" s="1"/>
  <c r="D54" i="391"/>
  <c r="E54" i="391"/>
  <c r="D56" i="391" s="1"/>
  <c r="I53" i="391" l="1"/>
  <c r="K53" i="391" s="1"/>
  <c r="M53" i="391" s="1"/>
  <c r="O53" i="391" s="1"/>
  <c r="Q53" i="391" s="1"/>
  <c r="H53" i="391"/>
  <c r="J53" i="391" s="1"/>
  <c r="L53" i="391" s="1"/>
  <c r="N53" i="391" s="1"/>
  <c r="P53" i="391" s="1"/>
  <c r="D55" i="391"/>
  <c r="H54" i="391" l="1"/>
  <c r="J54" i="391" s="1"/>
  <c r="L54" i="391" s="1"/>
  <c r="N54" i="391" s="1"/>
  <c r="P54" i="391" s="1"/>
  <c r="G47" i="483"/>
  <c r="G55" i="483" s="1"/>
  <c r="G61" i="483" l="1"/>
  <c r="G59" i="483"/>
  <c r="H47" i="483"/>
  <c r="H55" i="483" s="1"/>
  <c r="G70" i="483" l="1"/>
  <c r="G74" i="483" s="1"/>
  <c r="G73" i="483" s="1"/>
  <c r="H61" i="483"/>
  <c r="H59" i="483"/>
  <c r="AB91" i="167"/>
  <c r="E27" i="167"/>
  <c r="AA35" i="167"/>
  <c r="AB35" i="167"/>
  <c r="AA91" i="167"/>
  <c r="H70" i="483" l="1"/>
  <c r="H74" i="483" s="1"/>
  <c r="AA86" i="167"/>
  <c r="AA84" i="167"/>
  <c r="AA87" i="167"/>
  <c r="AA101" i="167"/>
  <c r="AB102" i="167" s="1"/>
  <c r="AB103" i="167" s="1"/>
  <c r="AB92" i="167"/>
  <c r="AC92" i="167"/>
  <c r="AA29" i="167"/>
  <c r="AB71" i="167"/>
  <c r="AA31" i="167"/>
  <c r="AA32" i="167"/>
  <c r="AB36" i="167"/>
  <c r="AC36" i="167"/>
  <c r="AE91" i="167" l="1"/>
  <c r="I54" i="391"/>
  <c r="D35" i="514"/>
  <c r="F27" i="167"/>
  <c r="D27" i="167"/>
  <c r="AB104" i="167"/>
  <c r="AA88" i="167"/>
  <c r="AA33" i="167"/>
  <c r="D11" i="514" l="1"/>
  <c r="D16" i="513"/>
  <c r="N65" i="482"/>
  <c r="E14" i="514" s="1"/>
  <c r="E36" i="514"/>
  <c r="E11" i="514" s="1"/>
  <c r="L65" i="482"/>
  <c r="I35" i="483"/>
  <c r="AE87" i="167"/>
  <c r="AE94" i="167"/>
  <c r="AE86" i="167"/>
  <c r="H56" i="391"/>
  <c r="E36" i="520" s="1"/>
  <c r="E11" i="520" s="1"/>
  <c r="H55" i="391"/>
  <c r="D35" i="520" s="1"/>
  <c r="K54" i="391"/>
  <c r="AB105" i="167"/>
  <c r="AE35" i="167" l="1"/>
  <c r="AE29" i="167" s="1"/>
  <c r="M54" i="391"/>
  <c r="AF35" i="167"/>
  <c r="AE84" i="167" s="1"/>
  <c r="AE88" i="167" s="1"/>
  <c r="D14" i="514"/>
  <c r="D11" i="520"/>
  <c r="D16" i="519"/>
  <c r="M65" i="482"/>
  <c r="K35" i="483"/>
  <c r="R65" i="482"/>
  <c r="S65" i="482" s="1"/>
  <c r="J35" i="483"/>
  <c r="O65" i="482"/>
  <c r="AI35" i="167"/>
  <c r="AI29" i="167" s="1"/>
  <c r="AI33" i="167" s="1"/>
  <c r="AJ35" i="167"/>
  <c r="AJ36" i="167" s="1"/>
  <c r="J56" i="391"/>
  <c r="E36" i="526" s="1"/>
  <c r="E11" i="526" s="1"/>
  <c r="J55" i="391"/>
  <c r="O54" i="391" l="1"/>
  <c r="Q54" i="391" s="1"/>
  <c r="L56" i="391"/>
  <c r="AB65" i="482" s="1"/>
  <c r="L55" i="391"/>
  <c r="AE31" i="167"/>
  <c r="AE32" i="167"/>
  <c r="D35" i="526"/>
  <c r="D11" i="526" s="1"/>
  <c r="AF36" i="167"/>
  <c r="AG36" i="167"/>
  <c r="P65" i="482"/>
  <c r="D14" i="520"/>
  <c r="E14" i="520"/>
  <c r="N35" i="483"/>
  <c r="W65" i="482"/>
  <c r="X65" i="482" s="1"/>
  <c r="T65" i="482"/>
  <c r="AK36" i="167"/>
  <c r="AI32" i="167"/>
  <c r="AE33" i="167"/>
  <c r="AI31" i="167"/>
  <c r="F75" i="167"/>
  <c r="P55" i="391" l="1"/>
  <c r="P56" i="391"/>
  <c r="Q65" i="482"/>
  <c r="E14" i="560"/>
  <c r="AC65" i="482"/>
  <c r="E36" i="560"/>
  <c r="E11" i="560" s="1"/>
  <c r="D35" i="560"/>
  <c r="D16" i="559" s="1"/>
  <c r="N55" i="391"/>
  <c r="D35" i="628" s="1"/>
  <c r="D16" i="693" s="1"/>
  <c r="N56" i="391"/>
  <c r="Y65" i="482"/>
  <c r="Z65" i="482" s="1"/>
  <c r="AA65" i="482" s="1"/>
  <c r="Q35" i="483"/>
  <c r="R35" i="483" s="1"/>
  <c r="D16" i="525"/>
  <c r="U65" i="482"/>
  <c r="V65" i="482" s="1"/>
  <c r="D14" i="526"/>
  <c r="E14" i="526"/>
  <c r="D98" i="496"/>
  <c r="O35" i="483"/>
  <c r="L35" i="483"/>
  <c r="F76" i="167"/>
  <c r="F83" i="167"/>
  <c r="F80" i="167"/>
  <c r="S35" i="483" l="1"/>
  <c r="M35" i="483"/>
  <c r="P35" i="483"/>
  <c r="E36" i="694"/>
  <c r="E11" i="694" s="1"/>
  <c r="AL65" i="482"/>
  <c r="W35" i="483"/>
  <c r="AI65" i="482"/>
  <c r="D35" i="694"/>
  <c r="D11" i="694" s="1"/>
  <c r="AG65" i="482"/>
  <c r="E36" i="628"/>
  <c r="E11" i="628" s="1"/>
  <c r="D16" i="626"/>
  <c r="D11" i="628"/>
  <c r="D11" i="560"/>
  <c r="D14" i="560"/>
  <c r="AD65" i="482"/>
  <c r="D14" i="628" s="1"/>
  <c r="T35" i="483"/>
  <c r="D98" i="498"/>
  <c r="D98" i="497"/>
  <c r="AJ65" i="482" l="1"/>
  <c r="D14" i="694"/>
  <c r="X35" i="483"/>
  <c r="X51" i="483" s="1"/>
  <c r="W51" i="483"/>
  <c r="D23" i="693" s="1"/>
  <c r="E14" i="694"/>
  <c r="AM65" i="482"/>
  <c r="E14" i="628"/>
  <c r="AH65" i="482"/>
  <c r="D40" i="519"/>
  <c r="D40" i="626"/>
  <c r="D40" i="525"/>
  <c r="D40" i="559"/>
  <c r="D40" i="513"/>
  <c r="E32" i="628"/>
  <c r="U35" i="483"/>
  <c r="AE65" i="482"/>
  <c r="AF65" i="482" s="1"/>
  <c r="E32" i="560"/>
  <c r="E32" i="514"/>
  <c r="E32" i="520"/>
  <c r="E32" i="526"/>
  <c r="V35" i="483" l="1"/>
  <c r="Y35" i="483"/>
  <c r="Y51" i="483" s="1"/>
  <c r="AK65" i="482"/>
  <c r="F101" i="490" l="1"/>
  <c r="F101" i="489"/>
  <c r="F109" i="481"/>
  <c r="D55" i="227"/>
  <c r="D53" i="227"/>
  <c r="D33" i="227" s="1"/>
  <c r="D21" i="227"/>
  <c r="D31" i="227" s="1"/>
  <c r="D52" i="227"/>
  <c r="D37" i="227" s="1"/>
  <c r="D57" i="227"/>
  <c r="D29" i="227"/>
  <c r="D56" i="227"/>
  <c r="F100" i="490" l="1"/>
  <c r="F100" i="489"/>
  <c r="F108" i="481"/>
  <c r="D32" i="227"/>
  <c r="D34" i="227" s="1"/>
  <c r="D35" i="227" s="1"/>
  <c r="D36" i="227" s="1"/>
  <c r="D38" i="227" s="1"/>
  <c r="D187" i="167" l="1"/>
  <c r="I87" i="481" l="1"/>
  <c r="D25" i="537" l="1"/>
  <c r="D25" i="538"/>
  <c r="D25" i="539"/>
  <c r="H9" i="109"/>
  <c r="H122" i="489" l="1"/>
  <c r="H122" i="490" l="1"/>
  <c r="I176" i="481"/>
  <c r="I169" i="683" s="1"/>
  <c r="E37" i="684" s="1"/>
  <c r="I168" i="490" l="1"/>
  <c r="I169" i="620"/>
  <c r="E37" i="622" s="1"/>
  <c r="I169" i="545"/>
  <c r="I177" i="481"/>
  <c r="I170" i="683" s="1"/>
  <c r="I176" i="683" s="1"/>
  <c r="I170" i="620" l="1"/>
  <c r="I176" i="620" s="1"/>
  <c r="I170" i="545"/>
  <c r="I176" i="545" s="1"/>
  <c r="I169" i="490"/>
  <c r="I175" i="490" s="1"/>
  <c r="AJ24" i="167" l="1"/>
  <c r="AJ28" i="167" s="1"/>
  <c r="AJ29" i="167" s="1"/>
  <c r="H8" i="109" l="1"/>
  <c r="H10" i="109" s="1"/>
  <c r="H12" i="109" s="1"/>
  <c r="H17" i="109" s="1"/>
  <c r="F99" i="106" l="1"/>
  <c r="P175" i="1" l="1"/>
  <c r="P177" i="1" s="1"/>
  <c r="K78" i="481" l="1"/>
  <c r="K77" i="481"/>
  <c r="E57" i="496" l="1"/>
  <c r="E57" i="497" l="1"/>
  <c r="E57" i="498" l="1"/>
  <c r="H130" i="481" l="1"/>
  <c r="P178" i="1" l="1"/>
  <c r="P179" i="1" l="1"/>
  <c r="P180" i="1" l="1"/>
  <c r="P181" i="1" s="1"/>
  <c r="P182" i="1" l="1"/>
  <c r="F11" i="467" l="1"/>
  <c r="G13" i="467" l="1"/>
  <c r="G15" i="467" s="1"/>
  <c r="C73" i="1" s="1"/>
  <c r="G45" i="467" l="1"/>
  <c r="Q178" i="1"/>
  <c r="Q179" i="1" s="1"/>
  <c r="R183" i="1"/>
  <c r="S183" i="1" s="1"/>
  <c r="T183" i="1" s="1"/>
  <c r="V183" i="1" s="1"/>
  <c r="G19" i="467"/>
  <c r="R108" i="167" l="1"/>
  <c r="W183" i="1"/>
  <c r="S108" i="167" s="1"/>
  <c r="I11" i="467"/>
  <c r="J13" i="467" s="1"/>
  <c r="D108" i="167" l="1"/>
  <c r="Q180" i="1"/>
  <c r="Q182" i="1" s="1"/>
  <c r="Q181" i="1" l="1"/>
  <c r="H151" i="167"/>
  <c r="D150" i="167"/>
  <c r="D152" i="167" s="1"/>
  <c r="D153" i="167" s="1"/>
  <c r="D154" i="167" s="1"/>
  <c r="D189" i="167"/>
  <c r="D31" i="634" l="1"/>
  <c r="D32" i="634" s="1"/>
  <c r="C189" i="1"/>
  <c r="D10" i="510"/>
  <c r="E10" i="510" s="1"/>
  <c r="D19" i="510"/>
  <c r="E19" i="510" s="1"/>
  <c r="C17" i="511"/>
  <c r="J25" i="481"/>
  <c r="C37" i="511"/>
  <c r="I45" i="481"/>
  <c r="D37" i="511" s="1"/>
  <c r="D22" i="510"/>
  <c r="J27" i="481"/>
  <c r="C19" i="511"/>
  <c r="D16" i="510"/>
  <c r="E16" i="510" s="1"/>
  <c r="C51" i="511"/>
  <c r="I47" i="481"/>
  <c r="D41" i="496" s="1"/>
  <c r="C42" i="248" s="1"/>
  <c r="D11" i="510"/>
  <c r="E11" i="510" s="1"/>
  <c r="E13" i="496"/>
  <c r="D51" i="496"/>
  <c r="C49" i="511"/>
  <c r="J50" i="481"/>
  <c r="I50" i="481"/>
  <c r="D17" i="513"/>
  <c r="I186" i="481"/>
  <c r="I37" i="483"/>
  <c r="I51" i="483" s="1"/>
  <c r="D23" i="513" s="1"/>
  <c r="D29" i="497"/>
  <c r="D30" i="248" s="1"/>
  <c r="E189" i="167"/>
  <c r="I55" i="481"/>
  <c r="D47" i="496" s="1"/>
  <c r="C48" i="248" s="1"/>
  <c r="E150" i="167"/>
  <c r="E152" i="167" s="1"/>
  <c r="E153" i="167" s="1"/>
  <c r="E154" i="167" s="1"/>
  <c r="D10" i="496"/>
  <c r="L58" i="482"/>
  <c r="F6" i="227"/>
  <c r="D6" i="167"/>
  <c r="D98" i="167"/>
  <c r="D10" i="516"/>
  <c r="E10" i="516" s="1"/>
  <c r="D13" i="510"/>
  <c r="E13" i="510" s="1"/>
  <c r="D15" i="510"/>
  <c r="E15" i="510" s="1"/>
  <c r="D17" i="510"/>
  <c r="E17" i="510" s="1"/>
  <c r="C36" i="511"/>
  <c r="I44" i="481"/>
  <c r="D36" i="511" s="1"/>
  <c r="D12" i="510"/>
  <c r="E12" i="510" s="1"/>
  <c r="C35" i="511"/>
  <c r="I43" i="481"/>
  <c r="C32" i="511"/>
  <c r="J42" i="481"/>
  <c r="I42" i="481"/>
  <c r="L42" i="481" s="1"/>
  <c r="D18" i="510"/>
  <c r="E18" i="510" s="1"/>
  <c r="C18" i="511"/>
  <c r="J26" i="481"/>
  <c r="D9" i="167"/>
  <c r="D8" i="167"/>
  <c r="J24" i="481"/>
  <c r="C16" i="511"/>
  <c r="D23" i="510"/>
  <c r="I33" i="481" l="1"/>
  <c r="D42" i="496" s="1"/>
  <c r="C43" i="248" s="1"/>
  <c r="D71" i="511"/>
  <c r="C52" i="248"/>
  <c r="C195" i="1"/>
  <c r="C194" i="1"/>
  <c r="D65" i="511"/>
  <c r="I167" i="481"/>
  <c r="E35" i="496" s="1"/>
  <c r="C54" i="511"/>
  <c r="E10" i="496"/>
  <c r="C65" i="511"/>
  <c r="R151" i="167"/>
  <c r="K150" i="167"/>
  <c r="K152" i="167" s="1"/>
  <c r="K153" i="167" s="1"/>
  <c r="K154" i="167" s="1"/>
  <c r="L189" i="167"/>
  <c r="L190" i="167" s="1"/>
  <c r="L191" i="167" s="1"/>
  <c r="L195" i="167" s="1"/>
  <c r="L198" i="167"/>
  <c r="I99" i="490"/>
  <c r="J99" i="490" s="1"/>
  <c r="E189" i="1"/>
  <c r="C54" i="517" s="1"/>
  <c r="E8" i="167"/>
  <c r="C15" i="517" s="1"/>
  <c r="E21" i="510"/>
  <c r="D17" i="516"/>
  <c r="E17" i="516" s="1"/>
  <c r="F25" i="227"/>
  <c r="D51" i="511"/>
  <c r="D13" i="516"/>
  <c r="E13" i="516" s="1"/>
  <c r="D7" i="167"/>
  <c r="C11" i="248" s="1"/>
  <c r="M150" i="167"/>
  <c r="M152" i="167" s="1"/>
  <c r="M153" i="167" s="1"/>
  <c r="M154" i="167" s="1"/>
  <c r="D17" i="519"/>
  <c r="D10" i="497"/>
  <c r="I54" i="489"/>
  <c r="K54" i="489" s="1"/>
  <c r="K37" i="483"/>
  <c r="K51" i="483" s="1"/>
  <c r="D23" i="519" s="1"/>
  <c r="O58" i="482"/>
  <c r="F150" i="167"/>
  <c r="F152" i="167" s="1"/>
  <c r="F153" i="167" s="1"/>
  <c r="F154" i="167" s="1"/>
  <c r="I173" i="489"/>
  <c r="D29" i="498"/>
  <c r="E30" i="248" s="1"/>
  <c r="F189" i="167"/>
  <c r="E6" i="167"/>
  <c r="E194" i="1" s="1"/>
  <c r="G6" i="227"/>
  <c r="F198" i="167"/>
  <c r="I58" i="489"/>
  <c r="K58" i="489" s="1"/>
  <c r="D20" i="510"/>
  <c r="F7" i="227"/>
  <c r="F9" i="227" s="1"/>
  <c r="D12" i="496"/>
  <c r="C13" i="248" s="1"/>
  <c r="C15" i="511"/>
  <c r="F9" i="481"/>
  <c r="E13" i="497"/>
  <c r="D32" i="511"/>
  <c r="D37" i="496"/>
  <c r="C38" i="248" s="1"/>
  <c r="J33" i="481"/>
  <c r="D40" i="496"/>
  <c r="E40" i="496"/>
  <c r="D11" i="516"/>
  <c r="E11" i="516" s="1"/>
  <c r="D35" i="511"/>
  <c r="D38" i="496"/>
  <c r="C39" i="248" s="1"/>
  <c r="I171" i="481"/>
  <c r="J22" i="481"/>
  <c r="E9" i="167"/>
  <c r="D22" i="516"/>
  <c r="D23" i="516"/>
  <c r="D16" i="516"/>
  <c r="E16" i="516" s="1"/>
  <c r="D12" i="516"/>
  <c r="E12" i="516" s="1"/>
  <c r="D18" i="516"/>
  <c r="E18" i="516" s="1"/>
  <c r="D15" i="516"/>
  <c r="E15" i="516" s="1"/>
  <c r="D10" i="633"/>
  <c r="E10" i="633" s="1"/>
  <c r="D10" i="522"/>
  <c r="E10" i="522" s="1"/>
  <c r="M58" i="482"/>
  <c r="D12" i="514"/>
  <c r="E12" i="514" s="1"/>
  <c r="N58" i="482"/>
  <c r="J37" i="483"/>
  <c r="D19" i="516"/>
  <c r="E19" i="516" s="1"/>
  <c r="J51" i="483" l="1"/>
  <c r="E10" i="497"/>
  <c r="C65" i="517"/>
  <c r="D54" i="511"/>
  <c r="D55" i="511" s="1"/>
  <c r="J94" i="490"/>
  <c r="D15" i="659"/>
  <c r="C15" i="659"/>
  <c r="L199" i="167"/>
  <c r="O189" i="167"/>
  <c r="O190" i="167" s="1"/>
  <c r="O191" i="167" s="1"/>
  <c r="O195" i="167" s="1"/>
  <c r="O198" i="167"/>
  <c r="O150" i="167"/>
  <c r="O152" i="167" s="1"/>
  <c r="O153" i="167" s="1"/>
  <c r="O154" i="167" s="1"/>
  <c r="I94" i="620"/>
  <c r="D66" i="622"/>
  <c r="D57" i="622"/>
  <c r="J99" i="620"/>
  <c r="I94" i="545"/>
  <c r="D66" i="547"/>
  <c r="D57" i="547"/>
  <c r="J99" i="545"/>
  <c r="D47" i="497"/>
  <c r="J54" i="489"/>
  <c r="D51" i="497"/>
  <c r="D52" i="248" s="1"/>
  <c r="J58" i="489"/>
  <c r="D20" i="516"/>
  <c r="H189" i="167"/>
  <c r="H150" i="167"/>
  <c r="H152" i="167" s="1"/>
  <c r="H153" i="167" s="1"/>
  <c r="H154" i="167" s="1"/>
  <c r="H198" i="167"/>
  <c r="D10" i="167"/>
  <c r="D12" i="167"/>
  <c r="C193" i="1" s="1"/>
  <c r="G189" i="1"/>
  <c r="C54" i="523" s="1"/>
  <c r="D12" i="497"/>
  <c r="E12" i="497" s="1"/>
  <c r="G7" i="227"/>
  <c r="G9" i="227" s="1"/>
  <c r="F9" i="489"/>
  <c r="E21" i="516"/>
  <c r="D15" i="522"/>
  <c r="E15" i="522" s="1"/>
  <c r="D17" i="559"/>
  <c r="D29" i="547"/>
  <c r="F30" i="248" s="1"/>
  <c r="D17" i="525"/>
  <c r="N37" i="483"/>
  <c r="N51" i="483" s="1"/>
  <c r="D23" i="525" s="1"/>
  <c r="H6" i="227"/>
  <c r="F6" i="167"/>
  <c r="G195" i="1" s="1"/>
  <c r="T58" i="482"/>
  <c r="D10" i="498"/>
  <c r="I54" i="490"/>
  <c r="K54" i="490" s="1"/>
  <c r="I179" i="490"/>
  <c r="D57" i="496"/>
  <c r="C58" i="248" s="1"/>
  <c r="D66" i="496"/>
  <c r="C67" i="248" s="1"/>
  <c r="I101" i="481"/>
  <c r="D10" i="554"/>
  <c r="E10" i="554" s="1"/>
  <c r="D49" i="511"/>
  <c r="F8" i="167"/>
  <c r="D16" i="522"/>
  <c r="E16" i="522" s="1"/>
  <c r="E195" i="1"/>
  <c r="D11" i="522"/>
  <c r="E11" i="522" s="1"/>
  <c r="E12" i="496"/>
  <c r="P58" i="482"/>
  <c r="Q58" i="482" s="1"/>
  <c r="D12" i="520"/>
  <c r="E12" i="520" s="1"/>
  <c r="R58" i="482"/>
  <c r="D13" i="522"/>
  <c r="E13" i="522" s="1"/>
  <c r="F9" i="167"/>
  <c r="D19" i="522"/>
  <c r="E19" i="522" s="1"/>
  <c r="D23" i="522"/>
  <c r="D18" i="522"/>
  <c r="E18" i="522" s="1"/>
  <c r="E13" i="498"/>
  <c r="E7" i="167"/>
  <c r="E12" i="167" s="1"/>
  <c r="L37" i="483"/>
  <c r="L51" i="483" s="1"/>
  <c r="D22" i="522"/>
  <c r="D12" i="522"/>
  <c r="E12" i="522" s="1"/>
  <c r="D38" i="511"/>
  <c r="D33" i="511"/>
  <c r="I58" i="490"/>
  <c r="K58" i="490" s="1"/>
  <c r="I58" i="545"/>
  <c r="K58" i="545" s="1"/>
  <c r="F8" i="481"/>
  <c r="D17" i="522"/>
  <c r="E17" i="522" s="1"/>
  <c r="K26" i="483" l="1"/>
  <c r="J26" i="483"/>
  <c r="L26" i="483" s="1"/>
  <c r="G58" i="248"/>
  <c r="H58" i="248"/>
  <c r="H67" i="248"/>
  <c r="G67" i="248"/>
  <c r="M37" i="483"/>
  <c r="J58" i="545"/>
  <c r="D51" i="547"/>
  <c r="D71" i="556" s="1"/>
  <c r="G25" i="227"/>
  <c r="D71" i="517"/>
  <c r="D20" i="522"/>
  <c r="C15" i="523"/>
  <c r="D48" i="248"/>
  <c r="D65" i="517"/>
  <c r="E10" i="498"/>
  <c r="C65" i="523"/>
  <c r="D58" i="511"/>
  <c r="J94" i="620"/>
  <c r="C15" i="665"/>
  <c r="D15" i="665"/>
  <c r="J94" i="545"/>
  <c r="D15" i="664"/>
  <c r="C15" i="664"/>
  <c r="P189" i="167"/>
  <c r="P190" i="167" s="1"/>
  <c r="P191" i="167" s="1"/>
  <c r="P195" i="167" s="1"/>
  <c r="P150" i="167"/>
  <c r="P152" i="167" s="1"/>
  <c r="P153" i="167" s="1"/>
  <c r="P154" i="167" s="1"/>
  <c r="P198" i="167"/>
  <c r="O199" i="167"/>
  <c r="I54" i="545"/>
  <c r="K54" i="545" s="1"/>
  <c r="I180" i="545"/>
  <c r="D23" i="633"/>
  <c r="S58" i="482"/>
  <c r="D51" i="498"/>
  <c r="J58" i="490"/>
  <c r="D47" i="498"/>
  <c r="J54" i="490"/>
  <c r="I170" i="489"/>
  <c r="I58" i="620"/>
  <c r="J58" i="620" s="1"/>
  <c r="D13" i="554"/>
  <c r="E13" i="554" s="1"/>
  <c r="D13" i="633"/>
  <c r="E13" i="633" s="1"/>
  <c r="D11" i="554"/>
  <c r="E11" i="554" s="1"/>
  <c r="D11" i="633"/>
  <c r="E11" i="633" s="1"/>
  <c r="D12" i="554"/>
  <c r="E12" i="554" s="1"/>
  <c r="D12" i="633"/>
  <c r="E12" i="633" s="1"/>
  <c r="D17" i="554"/>
  <c r="E17" i="554" s="1"/>
  <c r="D17" i="633"/>
  <c r="E17" i="633" s="1"/>
  <c r="D15" i="554"/>
  <c r="E15" i="554" s="1"/>
  <c r="D15" i="633"/>
  <c r="E15" i="633" s="1"/>
  <c r="D16" i="554"/>
  <c r="E16" i="554" s="1"/>
  <c r="D16" i="633"/>
  <c r="E16" i="633" s="1"/>
  <c r="D29" i="622"/>
  <c r="E10" i="167"/>
  <c r="E193" i="1"/>
  <c r="I189" i="1"/>
  <c r="C54" i="556" s="1"/>
  <c r="D13" i="248"/>
  <c r="G194" i="1"/>
  <c r="E21" i="522"/>
  <c r="AM20" i="167"/>
  <c r="AM22" i="167" s="1"/>
  <c r="D23" i="554"/>
  <c r="AM35" i="167"/>
  <c r="AN35" i="167"/>
  <c r="U58" i="482"/>
  <c r="V58" i="482" s="1"/>
  <c r="D12" i="526"/>
  <c r="E12" i="526" s="1"/>
  <c r="W58" i="482"/>
  <c r="G8" i="167"/>
  <c r="C15" i="556" s="1"/>
  <c r="F7" i="167"/>
  <c r="F11" i="481"/>
  <c r="D57" i="167"/>
  <c r="D59" i="167" s="1"/>
  <c r="D11" i="496"/>
  <c r="D92" i="167"/>
  <c r="D95" i="167" s="1"/>
  <c r="D19" i="554"/>
  <c r="E19" i="554" s="1"/>
  <c r="H7" i="227"/>
  <c r="H9" i="227" s="1"/>
  <c r="D12" i="498"/>
  <c r="F9" i="490"/>
  <c r="G9" i="167"/>
  <c r="D11" i="248"/>
  <c r="F8" i="489"/>
  <c r="E13" i="547"/>
  <c r="D22" i="554"/>
  <c r="D18" i="554"/>
  <c r="E18" i="554" s="1"/>
  <c r="O37" i="483"/>
  <c r="O51" i="483" s="1"/>
  <c r="D66" i="497"/>
  <c r="D67" i="248" s="1"/>
  <c r="D57" i="497"/>
  <c r="I94" i="489"/>
  <c r="C16" i="600"/>
  <c r="G6" i="167"/>
  <c r="D10" i="547"/>
  <c r="C65" i="556" s="1"/>
  <c r="I6" i="227"/>
  <c r="Y58" i="482"/>
  <c r="Q37" i="483"/>
  <c r="Q51" i="483" s="1"/>
  <c r="C11" i="511" l="1"/>
  <c r="C12" i="248"/>
  <c r="M26" i="483"/>
  <c r="P26" i="483" s="1"/>
  <c r="M51" i="483"/>
  <c r="H30" i="248"/>
  <c r="G30" i="248"/>
  <c r="P37" i="483"/>
  <c r="E52" i="248"/>
  <c r="D71" i="523"/>
  <c r="E48" i="248"/>
  <c r="D65" i="523"/>
  <c r="H25" i="227"/>
  <c r="P199" i="167"/>
  <c r="D18" i="633"/>
  <c r="E18" i="633" s="1"/>
  <c r="G7" i="167"/>
  <c r="F8" i="545" s="1"/>
  <c r="R189" i="167"/>
  <c r="R190" i="167" s="1"/>
  <c r="R191" i="167" s="1"/>
  <c r="R195" i="167" s="1"/>
  <c r="R150" i="167"/>
  <c r="R152" i="167" s="1"/>
  <c r="R153" i="167" s="1"/>
  <c r="R154" i="167" s="1"/>
  <c r="R198" i="167"/>
  <c r="D22" i="633"/>
  <c r="D19" i="633"/>
  <c r="E19" i="633" s="1"/>
  <c r="I54" i="620"/>
  <c r="I180" i="620"/>
  <c r="J54" i="545"/>
  <c r="D47" i="547"/>
  <c r="E50" i="547"/>
  <c r="D20" i="554"/>
  <c r="F9" i="545"/>
  <c r="X58" i="482"/>
  <c r="F52" i="248"/>
  <c r="J6" i="227"/>
  <c r="D17" i="626"/>
  <c r="J25" i="227"/>
  <c r="D23" i="559"/>
  <c r="I25" i="227"/>
  <c r="H9" i="167"/>
  <c r="H8" i="167"/>
  <c r="AD58" i="482"/>
  <c r="D12" i="628" s="1"/>
  <c r="E12" i="628" s="1"/>
  <c r="H6" i="167"/>
  <c r="M193" i="1" s="1"/>
  <c r="I11" i="167" s="1"/>
  <c r="T37" i="483"/>
  <c r="H98" i="167"/>
  <c r="D10" i="622"/>
  <c r="C65" i="631" s="1"/>
  <c r="K189" i="1"/>
  <c r="C54" i="631" s="1"/>
  <c r="F10" i="167"/>
  <c r="F12" i="167"/>
  <c r="E21" i="554"/>
  <c r="E10" i="547"/>
  <c r="E78" i="547"/>
  <c r="D57" i="498"/>
  <c r="I94" i="490"/>
  <c r="D66" i="498"/>
  <c r="E67" i="248" s="1"/>
  <c r="E92" i="167"/>
  <c r="D11" i="497"/>
  <c r="C11" i="517" s="1"/>
  <c r="D11" i="167"/>
  <c r="D12" i="547"/>
  <c r="I7" i="227"/>
  <c r="I9" i="227" s="1"/>
  <c r="C16" i="601"/>
  <c r="D58" i="248"/>
  <c r="F11" i="489"/>
  <c r="E57" i="167"/>
  <c r="E59" i="167" s="1"/>
  <c r="I195" i="1"/>
  <c r="D157" i="167"/>
  <c r="D158" i="167" s="1"/>
  <c r="D159" i="167" s="1"/>
  <c r="D47" i="167"/>
  <c r="AS35" i="167"/>
  <c r="AR35" i="167"/>
  <c r="D29" i="167"/>
  <c r="D77" i="167"/>
  <c r="D78" i="167" s="1"/>
  <c r="E11" i="496"/>
  <c r="I194" i="1"/>
  <c r="AO36" i="167"/>
  <c r="AN36" i="167"/>
  <c r="D186" i="167"/>
  <c r="D188" i="167" s="1"/>
  <c r="D190" i="167" s="1"/>
  <c r="D191" i="167" s="1"/>
  <c r="D195" i="167" s="1"/>
  <c r="AM29" i="167"/>
  <c r="AM32" i="167"/>
  <c r="AM31" i="167"/>
  <c r="R37" i="483"/>
  <c r="R51" i="483" s="1"/>
  <c r="D12" i="560"/>
  <c r="E12" i="560" s="1"/>
  <c r="Z58" i="482"/>
  <c r="AA58" i="482" s="1"/>
  <c r="AB58" i="482"/>
  <c r="AM21" i="167"/>
  <c r="AM23" i="167" s="1"/>
  <c r="E12" i="498"/>
  <c r="E13" i="248"/>
  <c r="E11" i="248"/>
  <c r="F8" i="490"/>
  <c r="F15" i="481"/>
  <c r="D20" i="167"/>
  <c r="D22" i="167" s="1"/>
  <c r="AR20" i="167"/>
  <c r="P51" i="483" l="1"/>
  <c r="S26" i="483"/>
  <c r="I91" i="167"/>
  <c r="K10" i="227"/>
  <c r="I99" i="167"/>
  <c r="I20" i="683"/>
  <c r="F20" i="683"/>
  <c r="F61" i="683" s="1"/>
  <c r="K194" i="1"/>
  <c r="M195" i="1"/>
  <c r="M194" i="1"/>
  <c r="S37" i="483"/>
  <c r="E12" i="547"/>
  <c r="F13" i="248"/>
  <c r="F9" i="620"/>
  <c r="C15" i="631"/>
  <c r="F48" i="248"/>
  <c r="D65" i="556"/>
  <c r="G10" i="167"/>
  <c r="F11" i="545" s="1"/>
  <c r="F11" i="248"/>
  <c r="G12" i="167"/>
  <c r="G92" i="167" s="1"/>
  <c r="E21" i="633"/>
  <c r="R199" i="167"/>
  <c r="K195" i="1"/>
  <c r="C16" i="661"/>
  <c r="E50" i="622"/>
  <c r="D47" i="622"/>
  <c r="J54" i="620"/>
  <c r="AC58" i="482"/>
  <c r="D20" i="633"/>
  <c r="J7" i="227"/>
  <c r="J9" i="227" s="1"/>
  <c r="E10" i="622"/>
  <c r="E78" i="622"/>
  <c r="U37" i="483"/>
  <c r="U51" i="483" s="1"/>
  <c r="T51" i="483"/>
  <c r="D23" i="626" s="1"/>
  <c r="H7" i="167"/>
  <c r="AG58" i="482"/>
  <c r="AE58" i="482"/>
  <c r="AF58" i="482" s="1"/>
  <c r="D12" i="622"/>
  <c r="H13" i="248" s="1"/>
  <c r="D50" i="167"/>
  <c r="D11" i="498"/>
  <c r="C11" i="523" s="1"/>
  <c r="F92" i="167"/>
  <c r="G193" i="1"/>
  <c r="AM33" i="167"/>
  <c r="AR22" i="167"/>
  <c r="D25" i="167"/>
  <c r="E77" i="167"/>
  <c r="E78" i="167" s="1"/>
  <c r="AX35" i="167"/>
  <c r="E47" i="167"/>
  <c r="E29" i="167"/>
  <c r="AW35" i="167"/>
  <c r="D14" i="513"/>
  <c r="D14" i="519"/>
  <c r="F67" i="248"/>
  <c r="C16" i="662"/>
  <c r="D35" i="167"/>
  <c r="D42" i="167" s="1"/>
  <c r="D34" i="167"/>
  <c r="D30" i="167"/>
  <c r="D37" i="167"/>
  <c r="D38" i="167"/>
  <c r="D43" i="167" s="1"/>
  <c r="D196" i="167"/>
  <c r="D198" i="167" s="1"/>
  <c r="D199" i="167" s="1"/>
  <c r="E11" i="167"/>
  <c r="D39" i="109" s="1"/>
  <c r="D68" i="109" s="1"/>
  <c r="AR29" i="167"/>
  <c r="AR33" i="167" s="1"/>
  <c r="AR31" i="167"/>
  <c r="AR32" i="167"/>
  <c r="F15" i="489"/>
  <c r="AW20" i="167"/>
  <c r="E11" i="497"/>
  <c r="D12" i="248"/>
  <c r="F11" i="490"/>
  <c r="F57" i="167"/>
  <c r="F59" i="167" s="1"/>
  <c r="F77" i="167"/>
  <c r="F78" i="167" s="1"/>
  <c r="BC35" i="167"/>
  <c r="F47" i="167"/>
  <c r="BB35" i="167"/>
  <c r="F29" i="167"/>
  <c r="AT36" i="167"/>
  <c r="AS36" i="167"/>
  <c r="F10" i="227"/>
  <c r="J20" i="481"/>
  <c r="J62" i="481" s="1"/>
  <c r="I20" i="481"/>
  <c r="D99" i="167"/>
  <c r="AR21" i="167"/>
  <c r="D21" i="167"/>
  <c r="D49" i="167" s="1"/>
  <c r="D91" i="167"/>
  <c r="D94" i="167" s="1"/>
  <c r="D96" i="167" s="1"/>
  <c r="E58" i="248"/>
  <c r="S51" i="483" l="1"/>
  <c r="I94" i="167"/>
  <c r="I96" i="167" s="1"/>
  <c r="I27" i="683" s="1"/>
  <c r="V26" i="483"/>
  <c r="E33" i="684"/>
  <c r="D33" i="684"/>
  <c r="J20" i="683"/>
  <c r="H48" i="248"/>
  <c r="G48" i="248"/>
  <c r="I26" i="481"/>
  <c r="D18" i="511" s="1"/>
  <c r="V37" i="483"/>
  <c r="E12" i="622"/>
  <c r="F8" i="620"/>
  <c r="H11" i="248"/>
  <c r="D65" i="631"/>
  <c r="G22" i="167"/>
  <c r="H46" i="613"/>
  <c r="H11" i="614" s="1"/>
  <c r="G46" i="613"/>
  <c r="G11" i="614" s="1"/>
  <c r="F46" i="613"/>
  <c r="F11" i="614" s="1"/>
  <c r="I46" i="613"/>
  <c r="I11" i="614" s="1"/>
  <c r="I48" i="613"/>
  <c r="I13" i="614" s="1"/>
  <c r="H48" i="613"/>
  <c r="H13" i="614" s="1"/>
  <c r="F48" i="613"/>
  <c r="F13" i="614" s="1"/>
  <c r="G48" i="613"/>
  <c r="G13" i="614" s="1"/>
  <c r="I193" i="1"/>
  <c r="G11" i="167" s="1"/>
  <c r="G91" i="167" s="1"/>
  <c r="D11" i="547"/>
  <c r="F12" i="248" s="1"/>
  <c r="AH58" i="482"/>
  <c r="G11" i="248"/>
  <c r="H10" i="167"/>
  <c r="F11" i="620" s="1"/>
  <c r="H12" i="167"/>
  <c r="E48" i="613"/>
  <c r="E13" i="614" s="1"/>
  <c r="D48" i="613"/>
  <c r="D13" i="614" s="1"/>
  <c r="C48" i="613"/>
  <c r="C13" i="614" s="1"/>
  <c r="B48" i="613"/>
  <c r="B13" i="614" s="1"/>
  <c r="I27" i="481"/>
  <c r="D19" i="511" s="1"/>
  <c r="I30" i="481"/>
  <c r="D41" i="511" s="1"/>
  <c r="I31" i="481"/>
  <c r="D43" i="511" s="1"/>
  <c r="I29" i="481"/>
  <c r="E46" i="613"/>
  <c r="E11" i="614" s="1"/>
  <c r="D46" i="613"/>
  <c r="D11" i="614" s="1"/>
  <c r="C46" i="613"/>
  <c r="C11" i="614" s="1"/>
  <c r="B46" i="613"/>
  <c r="B11" i="614" s="1"/>
  <c r="I25" i="481"/>
  <c r="D17" i="511" s="1"/>
  <c r="G21" i="167"/>
  <c r="BC71" i="167"/>
  <c r="BB32" i="167"/>
  <c r="BB31" i="167"/>
  <c r="F58" i="248"/>
  <c r="J78" i="481"/>
  <c r="F78" i="481"/>
  <c r="H169" i="481"/>
  <c r="F170" i="481"/>
  <c r="H170" i="481"/>
  <c r="F169" i="481"/>
  <c r="F77" i="481"/>
  <c r="F79" i="481" s="1"/>
  <c r="AW22" i="167"/>
  <c r="E25" i="167"/>
  <c r="BF21" i="167"/>
  <c r="BF23" i="167" s="1"/>
  <c r="F121" i="481"/>
  <c r="E197" i="167"/>
  <c r="E198" i="167" s="1"/>
  <c r="AW32" i="167"/>
  <c r="AW31" i="167"/>
  <c r="AR23" i="167"/>
  <c r="E33" i="496"/>
  <c r="D33" i="496"/>
  <c r="C34" i="248" s="1"/>
  <c r="F119" i="481"/>
  <c r="E34" i="167"/>
  <c r="E37" i="167"/>
  <c r="E30" i="167"/>
  <c r="BD36" i="167"/>
  <c r="BC36" i="167"/>
  <c r="F15" i="490"/>
  <c r="BB20" i="167"/>
  <c r="F120" i="481"/>
  <c r="I30" i="483"/>
  <c r="I47" i="483" s="1"/>
  <c r="J28" i="483"/>
  <c r="J30" i="483" s="1"/>
  <c r="J47" i="483" s="1"/>
  <c r="J55" i="483" s="1"/>
  <c r="J59" i="483" s="1"/>
  <c r="K28" i="483"/>
  <c r="F11" i="167"/>
  <c r="D47" i="109" s="1"/>
  <c r="D56" i="109" s="1"/>
  <c r="D80" i="109" s="1"/>
  <c r="D91" i="109" s="1"/>
  <c r="BF35" i="167"/>
  <c r="BG35" i="167"/>
  <c r="AY36" i="167"/>
  <c r="AX36" i="167"/>
  <c r="K62" i="481"/>
  <c r="K64" i="481" s="1"/>
  <c r="K67" i="481" s="1"/>
  <c r="F30" i="167"/>
  <c r="F37" i="167"/>
  <c r="F34" i="167"/>
  <c r="E91" i="167"/>
  <c r="G10" i="227"/>
  <c r="E21" i="167"/>
  <c r="AW21" i="167"/>
  <c r="E12" i="248"/>
  <c r="E11" i="498"/>
  <c r="D23" i="167"/>
  <c r="F29" i="683" s="1"/>
  <c r="F159" i="683" s="1"/>
  <c r="D97" i="167"/>
  <c r="I21" i="481" s="1"/>
  <c r="I24" i="481"/>
  <c r="D16" i="511" s="1"/>
  <c r="I22" i="481"/>
  <c r="J27" i="683" l="1"/>
  <c r="D19" i="691"/>
  <c r="I25" i="683"/>
  <c r="J25" i="683" s="1"/>
  <c r="I26" i="683"/>
  <c r="I24" i="683"/>
  <c r="D48" i="687"/>
  <c r="D13" i="686" s="1"/>
  <c r="I30" i="683"/>
  <c r="J30" i="683" s="1"/>
  <c r="I29" i="683"/>
  <c r="J29" i="683" s="1"/>
  <c r="I46" i="687"/>
  <c r="I11" i="686" s="1"/>
  <c r="D46" i="687"/>
  <c r="D11" i="686" s="1"/>
  <c r="E48" i="687"/>
  <c r="E13" i="686" s="1"/>
  <c r="I22" i="683"/>
  <c r="B48" i="687"/>
  <c r="B13" i="686" s="1"/>
  <c r="B46" i="687"/>
  <c r="B11" i="686" s="1"/>
  <c r="I48" i="687"/>
  <c r="I13" i="686" s="1"/>
  <c r="F46" i="687"/>
  <c r="F11" i="686" s="1"/>
  <c r="E46" i="687"/>
  <c r="E11" i="686" s="1"/>
  <c r="I31" i="683"/>
  <c r="J31" i="683" s="1"/>
  <c r="C46" i="687"/>
  <c r="C11" i="686" s="1"/>
  <c r="G46" i="687"/>
  <c r="G11" i="686" s="1"/>
  <c r="H48" i="687"/>
  <c r="H13" i="686" s="1"/>
  <c r="I97" i="167"/>
  <c r="I21" i="683" s="1"/>
  <c r="D34" i="684" s="1"/>
  <c r="I35" i="248" s="1"/>
  <c r="C48" i="687"/>
  <c r="C13" i="686" s="1"/>
  <c r="F48" i="687"/>
  <c r="F13" i="686" s="1"/>
  <c r="H46" i="687"/>
  <c r="H11" i="686" s="1"/>
  <c r="G48" i="687"/>
  <c r="G13" i="686" s="1"/>
  <c r="Y26" i="483"/>
  <c r="V51" i="483"/>
  <c r="D11" i="691"/>
  <c r="I34" i="248"/>
  <c r="E11" i="547"/>
  <c r="C11" i="556"/>
  <c r="D11" i="511"/>
  <c r="F36" i="614"/>
  <c r="F41" i="614" s="1"/>
  <c r="F66" i="613"/>
  <c r="F93" i="613" s="1"/>
  <c r="G36" i="614"/>
  <c r="G41" i="614" s="1"/>
  <c r="G66" i="613"/>
  <c r="G93" i="613" s="1"/>
  <c r="H36" i="614"/>
  <c r="H41" i="614" s="1"/>
  <c r="H66" i="613"/>
  <c r="H93" i="613" s="1"/>
  <c r="I36" i="614"/>
  <c r="I41" i="614" s="1"/>
  <c r="I66" i="613"/>
  <c r="I93" i="613" s="1"/>
  <c r="C36" i="614"/>
  <c r="C41" i="614" s="1"/>
  <c r="C66" i="613"/>
  <c r="C93" i="613" s="1"/>
  <c r="G45" i="613"/>
  <c r="I45" i="613"/>
  <c r="H45" i="613"/>
  <c r="F45" i="613"/>
  <c r="D36" i="614"/>
  <c r="D41" i="614" s="1"/>
  <c r="D66" i="613"/>
  <c r="D93" i="613" s="1"/>
  <c r="E36" i="614"/>
  <c r="E41" i="614" s="1"/>
  <c r="E66" i="613"/>
  <c r="E93" i="613" s="1"/>
  <c r="I10" i="227"/>
  <c r="F29" i="620"/>
  <c r="F159" i="620" s="1"/>
  <c r="F29" i="545"/>
  <c r="F159" i="545" s="1"/>
  <c r="K193" i="1"/>
  <c r="H11" i="167" s="1"/>
  <c r="H91" i="167" s="1"/>
  <c r="D11" i="622"/>
  <c r="H12" i="248" s="1"/>
  <c r="H92" i="167"/>
  <c r="H22" i="167"/>
  <c r="H21" i="167"/>
  <c r="B36" i="614"/>
  <c r="B41" i="614" s="1"/>
  <c r="B66" i="613"/>
  <c r="B93" i="613" s="1"/>
  <c r="D39" i="496"/>
  <c r="C40" i="248" s="1"/>
  <c r="D40" i="511"/>
  <c r="I166" i="481"/>
  <c r="F29" i="490"/>
  <c r="F29" i="489"/>
  <c r="D34" i="496"/>
  <c r="C35" i="248" s="1"/>
  <c r="B45" i="613"/>
  <c r="E45" i="613"/>
  <c r="D45" i="613"/>
  <c r="C45" i="613"/>
  <c r="D15" i="511"/>
  <c r="I165" i="481"/>
  <c r="D35" i="496"/>
  <c r="C36" i="248" s="1"/>
  <c r="I62" i="481"/>
  <c r="L62" i="481" s="1"/>
  <c r="BF32" i="167"/>
  <c r="BF31" i="167"/>
  <c r="BG71" i="167"/>
  <c r="L28" i="483"/>
  <c r="K30" i="483"/>
  <c r="K47" i="483" s="1"/>
  <c r="F33" i="481"/>
  <c r="F167" i="481" s="1"/>
  <c r="F29" i="481"/>
  <c r="F166" i="481" s="1"/>
  <c r="F35" i="481"/>
  <c r="F43" i="481"/>
  <c r="F42" i="481"/>
  <c r="F20" i="481"/>
  <c r="F50" i="481"/>
  <c r="F27" i="481"/>
  <c r="F24" i="481"/>
  <c r="F25" i="481"/>
  <c r="F26" i="481"/>
  <c r="F22" i="481"/>
  <c r="F112" i="490"/>
  <c r="F91" i="167"/>
  <c r="H10" i="227"/>
  <c r="BB21" i="167"/>
  <c r="F21" i="167"/>
  <c r="F111" i="489"/>
  <c r="F113" i="490"/>
  <c r="I55" i="483"/>
  <c r="D21" i="513"/>
  <c r="F113" i="489"/>
  <c r="F111" i="490"/>
  <c r="BG36" i="167"/>
  <c r="BH36" i="167"/>
  <c r="F25" i="167"/>
  <c r="BB22" i="167"/>
  <c r="F112" i="489"/>
  <c r="AW23" i="167"/>
  <c r="D17" i="691" l="1"/>
  <c r="D18" i="691"/>
  <c r="J26" i="683"/>
  <c r="D41" i="691"/>
  <c r="D35" i="684"/>
  <c r="I36" i="248" s="1"/>
  <c r="B45" i="687"/>
  <c r="B10" i="686" s="1"/>
  <c r="D40" i="691"/>
  <c r="D39" i="684"/>
  <c r="D47" i="691" s="1"/>
  <c r="I159" i="683"/>
  <c r="J21" i="683"/>
  <c r="D43" i="691"/>
  <c r="J22" i="683"/>
  <c r="I158" i="683"/>
  <c r="D15" i="691"/>
  <c r="J24" i="683"/>
  <c r="D16" i="691"/>
  <c r="L30" i="483"/>
  <c r="L47" i="483" s="1"/>
  <c r="L55" i="483" s="1"/>
  <c r="L59" i="483" s="1"/>
  <c r="M28" i="483"/>
  <c r="M30" i="483" s="1"/>
  <c r="M47" i="483" s="1"/>
  <c r="M55" i="483" s="1"/>
  <c r="M59" i="483" s="1"/>
  <c r="E11" i="622"/>
  <c r="C11" i="631"/>
  <c r="E83" i="613"/>
  <c r="E84" i="613"/>
  <c r="E46" i="614" s="1"/>
  <c r="C83" i="613"/>
  <c r="C84" i="613"/>
  <c r="C46" i="614" s="1"/>
  <c r="F84" i="613"/>
  <c r="F46" i="614" s="1"/>
  <c r="F83" i="613"/>
  <c r="D36" i="648"/>
  <c r="D41" i="648" s="1"/>
  <c r="D66" i="647"/>
  <c r="D93" i="647" s="1"/>
  <c r="H36" i="643"/>
  <c r="H41" i="643" s="1"/>
  <c r="H66" i="644"/>
  <c r="H93" i="644" s="1"/>
  <c r="D84" i="613"/>
  <c r="D46" i="614" s="1"/>
  <c r="D83" i="613"/>
  <c r="I83" i="613"/>
  <c r="I84" i="613"/>
  <c r="I46" i="614" s="1"/>
  <c r="F36" i="648"/>
  <c r="F41" i="648" s="1"/>
  <c r="F66" i="647"/>
  <c r="F93" i="647" s="1"/>
  <c r="G36" i="643"/>
  <c r="G41" i="643" s="1"/>
  <c r="G66" i="644"/>
  <c r="G93" i="644" s="1"/>
  <c r="E36" i="648"/>
  <c r="E41" i="648" s="1"/>
  <c r="E66" i="647"/>
  <c r="E93" i="647" s="1"/>
  <c r="G36" i="648"/>
  <c r="G41" i="648" s="1"/>
  <c r="G66" i="647"/>
  <c r="G93" i="647" s="1"/>
  <c r="I36" i="643"/>
  <c r="I41" i="643" s="1"/>
  <c r="I66" i="644"/>
  <c r="I93" i="644" s="1"/>
  <c r="F10" i="614"/>
  <c r="F53" i="613"/>
  <c r="H84" i="613"/>
  <c r="H46" i="614" s="1"/>
  <c r="H83" i="613"/>
  <c r="H36" i="648"/>
  <c r="H41" i="648" s="1"/>
  <c r="H66" i="647"/>
  <c r="H93" i="647" s="1"/>
  <c r="C36" i="643"/>
  <c r="C41" i="643" s="1"/>
  <c r="C66" i="644"/>
  <c r="C93" i="644" s="1"/>
  <c r="H10" i="614"/>
  <c r="H53" i="613"/>
  <c r="D36" i="643"/>
  <c r="D41" i="643" s="1"/>
  <c r="D66" i="644"/>
  <c r="D93" i="644" s="1"/>
  <c r="I10" i="614"/>
  <c r="I53" i="613"/>
  <c r="G83" i="613"/>
  <c r="G84" i="613"/>
  <c r="G46" i="614" s="1"/>
  <c r="I36" i="648"/>
  <c r="I41" i="648" s="1"/>
  <c r="I66" i="647"/>
  <c r="I93" i="647" s="1"/>
  <c r="E36" i="643"/>
  <c r="E41" i="643" s="1"/>
  <c r="E66" i="644"/>
  <c r="E93" i="644" s="1"/>
  <c r="G10" i="614"/>
  <c r="G53" i="613"/>
  <c r="C36" i="648"/>
  <c r="C41" i="648" s="1"/>
  <c r="C66" i="647"/>
  <c r="C93" i="647" s="1"/>
  <c r="F36" i="643"/>
  <c r="F41" i="643" s="1"/>
  <c r="F66" i="644"/>
  <c r="F93" i="644" s="1"/>
  <c r="H99" i="167"/>
  <c r="J10" i="227"/>
  <c r="C12" i="423"/>
  <c r="B36" i="643"/>
  <c r="B41" i="643" s="1"/>
  <c r="B66" i="644"/>
  <c r="B93" i="644" s="1"/>
  <c r="B36" i="648"/>
  <c r="B41" i="648" s="1"/>
  <c r="B66" i="647"/>
  <c r="B93" i="647" s="1"/>
  <c r="B84" i="613"/>
  <c r="B46" i="614" s="1"/>
  <c r="B83" i="613"/>
  <c r="D47" i="511"/>
  <c r="BB23" i="167"/>
  <c r="C10" i="614"/>
  <c r="C53" i="613"/>
  <c r="D10" i="614"/>
  <c r="D53" i="613"/>
  <c r="E10" i="614"/>
  <c r="E53" i="613"/>
  <c r="B10" i="614"/>
  <c r="B53" i="613"/>
  <c r="F165" i="481"/>
  <c r="F168" i="481"/>
  <c r="K55" i="483"/>
  <c r="D21" i="519"/>
  <c r="F158" i="489"/>
  <c r="F62" i="481"/>
  <c r="D24" i="513"/>
  <c r="I59" i="483"/>
  <c r="D25" i="513" s="1"/>
  <c r="D55" i="496"/>
  <c r="C56" i="248" s="1"/>
  <c r="E55" i="496"/>
  <c r="D21" i="511"/>
  <c r="B53" i="687" l="1"/>
  <c r="B89" i="687" s="1"/>
  <c r="I40" i="248"/>
  <c r="D21" i="691"/>
  <c r="H36" i="645"/>
  <c r="H41" i="645" s="1"/>
  <c r="H66" i="646"/>
  <c r="H93" i="646" s="1"/>
  <c r="D83" i="647"/>
  <c r="D84" i="647"/>
  <c r="D46" i="648" s="1"/>
  <c r="H89" i="613"/>
  <c r="H18" i="614"/>
  <c r="D36" i="645"/>
  <c r="D41" i="645" s="1"/>
  <c r="D66" i="646"/>
  <c r="D93" i="646" s="1"/>
  <c r="F85" i="613"/>
  <c r="F45" i="614"/>
  <c r="F47" i="614" s="1"/>
  <c r="F53" i="614" s="1"/>
  <c r="G89" i="613"/>
  <c r="G18" i="614"/>
  <c r="G83" i="644"/>
  <c r="G84" i="644"/>
  <c r="G46" i="643" s="1"/>
  <c r="E36" i="645"/>
  <c r="E41" i="645" s="1"/>
  <c r="E66" i="646"/>
  <c r="E93" i="646" s="1"/>
  <c r="C84" i="644"/>
  <c r="C46" i="643" s="1"/>
  <c r="C83" i="644"/>
  <c r="I84" i="644"/>
  <c r="I46" i="643" s="1"/>
  <c r="I83" i="644"/>
  <c r="F84" i="647"/>
  <c r="F46" i="648" s="1"/>
  <c r="F83" i="647"/>
  <c r="F89" i="613"/>
  <c r="F18" i="614"/>
  <c r="F36" i="645"/>
  <c r="F41" i="645" s="1"/>
  <c r="F66" i="646"/>
  <c r="F93" i="646" s="1"/>
  <c r="G45" i="614"/>
  <c r="G47" i="614" s="1"/>
  <c r="G53" i="614" s="1"/>
  <c r="G85" i="613"/>
  <c r="F83" i="644"/>
  <c r="F84" i="644"/>
  <c r="F46" i="643" s="1"/>
  <c r="G36" i="645"/>
  <c r="G41" i="645" s="1"/>
  <c r="G66" i="646"/>
  <c r="G93" i="646" s="1"/>
  <c r="I89" i="613"/>
  <c r="I18" i="614"/>
  <c r="H83" i="647"/>
  <c r="H84" i="647"/>
  <c r="H46" i="648" s="1"/>
  <c r="G84" i="647"/>
  <c r="G46" i="648" s="1"/>
  <c r="G83" i="647"/>
  <c r="C85" i="613"/>
  <c r="C45" i="614"/>
  <c r="C47" i="614" s="1"/>
  <c r="C53" i="614" s="1"/>
  <c r="I84" i="647"/>
  <c r="I46" i="648" s="1"/>
  <c r="I83" i="647"/>
  <c r="I85" i="613"/>
  <c r="I45" i="614"/>
  <c r="I47" i="614" s="1"/>
  <c r="I53" i="614" s="1"/>
  <c r="H83" i="644"/>
  <c r="H84" i="644"/>
  <c r="H46" i="643" s="1"/>
  <c r="C36" i="645"/>
  <c r="C41" i="645" s="1"/>
  <c r="C66" i="646"/>
  <c r="C93" i="646" s="1"/>
  <c r="C83" i="647"/>
  <c r="C84" i="647"/>
  <c r="C46" i="648" s="1"/>
  <c r="I36" i="645"/>
  <c r="I41" i="645" s="1"/>
  <c r="I66" i="646"/>
  <c r="I93" i="646" s="1"/>
  <c r="E83" i="644"/>
  <c r="E84" i="644"/>
  <c r="E46" i="643" s="1"/>
  <c r="D83" i="644"/>
  <c r="D84" i="644"/>
  <c r="D46" i="643" s="1"/>
  <c r="H45" i="614"/>
  <c r="H47" i="614" s="1"/>
  <c r="H53" i="614" s="1"/>
  <c r="H85" i="613"/>
  <c r="E83" i="647"/>
  <c r="E84" i="647"/>
  <c r="E46" i="648" s="1"/>
  <c r="D85" i="613"/>
  <c r="D45" i="614"/>
  <c r="D47" i="614" s="1"/>
  <c r="D53" i="614" s="1"/>
  <c r="E45" i="614"/>
  <c r="E47" i="614" s="1"/>
  <c r="E53" i="614" s="1"/>
  <c r="E85" i="613"/>
  <c r="C12" i="659"/>
  <c r="B83" i="644"/>
  <c r="B84" i="644"/>
  <c r="B46" i="643" s="1"/>
  <c r="B83" i="647"/>
  <c r="B84" i="647"/>
  <c r="B46" i="648" s="1"/>
  <c r="B36" i="645"/>
  <c r="B41" i="645" s="1"/>
  <c r="B66" i="646"/>
  <c r="B93" i="646" s="1"/>
  <c r="B45" i="614"/>
  <c r="B47" i="614" s="1"/>
  <c r="B53" i="614" s="1"/>
  <c r="B85" i="613"/>
  <c r="D89" i="613"/>
  <c r="D18" i="614"/>
  <c r="B89" i="613"/>
  <c r="B18" i="614"/>
  <c r="C89" i="613"/>
  <c r="C18" i="614"/>
  <c r="E89" i="613"/>
  <c r="E18" i="614"/>
  <c r="E14" i="496"/>
  <c r="D14" i="496"/>
  <c r="D10" i="512" s="1"/>
  <c r="D24" i="519"/>
  <c r="K59" i="483"/>
  <c r="D25" i="519" s="1"/>
  <c r="F158" i="490"/>
  <c r="F21" i="227"/>
  <c r="F31" i="227" s="1"/>
  <c r="C15" i="600"/>
  <c r="B18" i="686" l="1"/>
  <c r="G83" i="646"/>
  <c r="G84" i="646"/>
  <c r="G46" i="645" s="1"/>
  <c r="H45" i="643"/>
  <c r="H47" i="643" s="1"/>
  <c r="H53" i="643" s="1"/>
  <c r="H85" i="644"/>
  <c r="I84" i="646"/>
  <c r="I46" i="645" s="1"/>
  <c r="I83" i="646"/>
  <c r="G85" i="647"/>
  <c r="G45" i="648"/>
  <c r="G47" i="648" s="1"/>
  <c r="G53" i="648" s="1"/>
  <c r="E45" i="648"/>
  <c r="E47" i="648" s="1"/>
  <c r="E53" i="648" s="1"/>
  <c r="E85" i="647"/>
  <c r="F45" i="643"/>
  <c r="F47" i="643" s="1"/>
  <c r="F53" i="643" s="1"/>
  <c r="F85" i="644"/>
  <c r="E83" i="646"/>
  <c r="E84" i="646"/>
  <c r="E46" i="645" s="1"/>
  <c r="D83" i="646"/>
  <c r="D84" i="646"/>
  <c r="D46" i="645" s="1"/>
  <c r="C45" i="643"/>
  <c r="C47" i="643" s="1"/>
  <c r="C53" i="643" s="1"/>
  <c r="C85" i="644"/>
  <c r="F84" i="646"/>
  <c r="F46" i="645" s="1"/>
  <c r="F83" i="646"/>
  <c r="C45" i="648"/>
  <c r="C47" i="648" s="1"/>
  <c r="C53" i="648" s="1"/>
  <c r="C85" i="647"/>
  <c r="H45" i="648"/>
  <c r="H47" i="648" s="1"/>
  <c r="H53" i="648" s="1"/>
  <c r="H85" i="647"/>
  <c r="F45" i="648"/>
  <c r="F47" i="648" s="1"/>
  <c r="F53" i="648" s="1"/>
  <c r="F85" i="647"/>
  <c r="D45" i="648"/>
  <c r="D47" i="648" s="1"/>
  <c r="D53" i="648" s="1"/>
  <c r="D85" i="647"/>
  <c r="C83" i="646"/>
  <c r="C84" i="646"/>
  <c r="C46" i="645" s="1"/>
  <c r="I45" i="648"/>
  <c r="I47" i="648" s="1"/>
  <c r="I53" i="648" s="1"/>
  <c r="I85" i="647"/>
  <c r="G85" i="644"/>
  <c r="G45" i="643"/>
  <c r="G47" i="643" s="1"/>
  <c r="G53" i="643" s="1"/>
  <c r="H83" i="646"/>
  <c r="H84" i="646"/>
  <c r="H46" i="645" s="1"/>
  <c r="E45" i="643"/>
  <c r="E47" i="643" s="1"/>
  <c r="E53" i="643" s="1"/>
  <c r="E85" i="644"/>
  <c r="D45" i="643"/>
  <c r="D47" i="643" s="1"/>
  <c r="D53" i="643" s="1"/>
  <c r="D85" i="644"/>
  <c r="I45" i="643"/>
  <c r="I47" i="643" s="1"/>
  <c r="I53" i="643" s="1"/>
  <c r="I85" i="644"/>
  <c r="B45" i="643"/>
  <c r="B47" i="643" s="1"/>
  <c r="B53" i="643" s="1"/>
  <c r="B85" i="644"/>
  <c r="B84" i="646"/>
  <c r="B46" i="645" s="1"/>
  <c r="B83" i="646"/>
  <c r="B45" i="648"/>
  <c r="B47" i="648" s="1"/>
  <c r="B53" i="648" s="1"/>
  <c r="B85" i="647"/>
  <c r="F38" i="227"/>
  <c r="C17" i="600"/>
  <c r="F45" i="645" l="1"/>
  <c r="F47" i="645" s="1"/>
  <c r="F53" i="645" s="1"/>
  <c r="F85" i="646"/>
  <c r="H45" i="645"/>
  <c r="H47" i="645" s="1"/>
  <c r="H53" i="645" s="1"/>
  <c r="H85" i="646"/>
  <c r="C45" i="645"/>
  <c r="C47" i="645" s="1"/>
  <c r="C53" i="645" s="1"/>
  <c r="C85" i="646"/>
  <c r="D85" i="646"/>
  <c r="D45" i="645"/>
  <c r="D47" i="645" s="1"/>
  <c r="D53" i="645" s="1"/>
  <c r="I45" i="645"/>
  <c r="I47" i="645" s="1"/>
  <c r="I53" i="645" s="1"/>
  <c r="I85" i="646"/>
  <c r="E45" i="645"/>
  <c r="E47" i="645" s="1"/>
  <c r="E53" i="645" s="1"/>
  <c r="E85" i="646"/>
  <c r="G85" i="646"/>
  <c r="G45" i="645"/>
  <c r="G47" i="645" s="1"/>
  <c r="G53" i="645" s="1"/>
  <c r="B45" i="645"/>
  <c r="B47" i="645" s="1"/>
  <c r="B53" i="645" s="1"/>
  <c r="B85" i="646"/>
  <c r="C16" i="663" l="1"/>
  <c r="F187" i="167" l="1"/>
  <c r="F188" i="167" s="1"/>
  <c r="F190" i="167" s="1"/>
  <c r="F191" i="167" s="1"/>
  <c r="F195" i="167" s="1"/>
  <c r="F199" i="167" s="1"/>
  <c r="E187" i="167" l="1"/>
  <c r="E188" i="167" s="1"/>
  <c r="E190" i="167" s="1"/>
  <c r="E191" i="167" s="1"/>
  <c r="E195" i="167" s="1"/>
  <c r="E199" i="167" s="1"/>
  <c r="H187" i="167" l="1"/>
  <c r="H188" i="167" s="1"/>
  <c r="H190" i="167" s="1"/>
  <c r="H191" i="167" s="1"/>
  <c r="H195" i="167" s="1"/>
  <c r="H199" i="167" s="1"/>
  <c r="F22" i="167" l="1"/>
  <c r="F50" i="167" s="1"/>
  <c r="E22" i="167"/>
  <c r="E50" i="167" s="1"/>
  <c r="C35" i="667"/>
  <c r="C36" i="667" s="1"/>
  <c r="C37" i="667"/>
  <c r="I41" i="483"/>
  <c r="I61" i="483" s="1"/>
  <c r="D26" i="667"/>
  <c r="E63" i="1" s="1"/>
  <c r="D27" i="667" l="1"/>
  <c r="C38" i="667"/>
  <c r="D35" i="667"/>
  <c r="E66" i="1" s="1"/>
  <c r="E78" i="1" s="1"/>
  <c r="D8" i="423"/>
  <c r="E26" i="667"/>
  <c r="D29" i="667"/>
  <c r="C9" i="409"/>
  <c r="J41" i="483"/>
  <c r="J61" i="483" s="1"/>
  <c r="J70" i="483" s="1"/>
  <c r="J74" i="483" s="1"/>
  <c r="M60" i="482"/>
  <c r="M67" i="482" s="1"/>
  <c r="M69" i="482" s="1"/>
  <c r="M71" i="482" s="1"/>
  <c r="M73" i="482" s="1"/>
  <c r="M75" i="482" s="1"/>
  <c r="D26" i="513"/>
  <c r="I70" i="483"/>
  <c r="D28" i="667"/>
  <c r="AW29" i="167"/>
  <c r="D81" i="167"/>
  <c r="E35" i="167"/>
  <c r="E38" i="167"/>
  <c r="F12" i="481"/>
  <c r="F63" i="481"/>
  <c r="F64" i="481" s="1"/>
  <c r="F67" i="481" s="1"/>
  <c r="F105" i="481" s="1"/>
  <c r="J63" i="481"/>
  <c r="J64" i="481" s="1"/>
  <c r="J67" i="481" s="1"/>
  <c r="O183" i="167"/>
  <c r="C39" i="667"/>
  <c r="C40" i="667" s="1"/>
  <c r="D84" i="167"/>
  <c r="D89" i="167" s="1"/>
  <c r="D201" i="167"/>
  <c r="C8" i="409"/>
  <c r="C25" i="608"/>
  <c r="L60" i="482"/>
  <c r="D17" i="496"/>
  <c r="C18" i="248" s="1"/>
  <c r="D18" i="513"/>
  <c r="D13" i="514" s="1"/>
  <c r="E13" i="514" s="1"/>
  <c r="D16" i="497"/>
  <c r="E35" i="667" l="1"/>
  <c r="G66" i="1" s="1"/>
  <c r="G63" i="1"/>
  <c r="D39" i="667"/>
  <c r="D40" i="667" s="1"/>
  <c r="E69" i="1" s="1"/>
  <c r="E84" i="167"/>
  <c r="E89" i="167" s="1"/>
  <c r="C28" i="409"/>
  <c r="F35" i="167"/>
  <c r="F42" i="167" s="1"/>
  <c r="F76" i="490" s="1"/>
  <c r="F78" i="490" s="1"/>
  <c r="O201" i="167"/>
  <c r="P183" i="167" s="1"/>
  <c r="BB29" i="167"/>
  <c r="F62" i="489"/>
  <c r="C15" i="409"/>
  <c r="E27" i="667"/>
  <c r="G64" i="1" s="1"/>
  <c r="F38" i="167"/>
  <c r="F43" i="167" s="1"/>
  <c r="F77" i="490" s="1"/>
  <c r="E81" i="167"/>
  <c r="E88" i="167" s="1"/>
  <c r="E29" i="667"/>
  <c r="D36" i="667"/>
  <c r="E67" i="1" s="1"/>
  <c r="D19" i="525" s="1"/>
  <c r="D19" i="559" s="1"/>
  <c r="F26" i="667"/>
  <c r="I63" i="1" s="1"/>
  <c r="F12" i="489"/>
  <c r="I64" i="481"/>
  <c r="E56" i="496"/>
  <c r="D56" i="496"/>
  <c r="I71" i="481"/>
  <c r="F125" i="481"/>
  <c r="F118" i="481"/>
  <c r="F122" i="481" s="1"/>
  <c r="F111" i="481"/>
  <c r="E36" i="667"/>
  <c r="G67" i="1" s="1"/>
  <c r="D37" i="667"/>
  <c r="D38" i="667" s="1"/>
  <c r="E68" i="1" s="1"/>
  <c r="E28" i="667"/>
  <c r="H162" i="489"/>
  <c r="AW33" i="167"/>
  <c r="E16" i="497"/>
  <c r="D17" i="248"/>
  <c r="D202" i="167"/>
  <c r="B28" i="608"/>
  <c r="F162" i="489"/>
  <c r="E43" i="167"/>
  <c r="F77" i="489" s="1"/>
  <c r="I74" i="483"/>
  <c r="D27" i="513"/>
  <c r="M79" i="482"/>
  <c r="M86" i="482" s="1"/>
  <c r="E42" i="167"/>
  <c r="F76" i="489" s="1"/>
  <c r="F78" i="489" s="1"/>
  <c r="H161" i="489"/>
  <c r="F161" i="489"/>
  <c r="J73" i="483"/>
  <c r="C19" i="409"/>
  <c r="L67" i="482"/>
  <c r="N60" i="482"/>
  <c r="N67" i="482" s="1"/>
  <c r="D88" i="167"/>
  <c r="J77" i="481" s="1"/>
  <c r="D59" i="496" l="1"/>
  <c r="C57" i="248"/>
  <c r="G78" i="1"/>
  <c r="E65" i="1"/>
  <c r="E64" i="1"/>
  <c r="D8" i="659"/>
  <c r="H163" i="620"/>
  <c r="H163" i="683"/>
  <c r="D13" i="526"/>
  <c r="E13" i="526" s="1"/>
  <c r="D18" i="525"/>
  <c r="O39" i="483"/>
  <c r="C34" i="423"/>
  <c r="L41" i="483"/>
  <c r="L61" i="483" s="1"/>
  <c r="E39" i="667"/>
  <c r="E40" i="667" s="1"/>
  <c r="J201" i="167"/>
  <c r="D17" i="497"/>
  <c r="D18" i="248" s="1"/>
  <c r="D16" i="498"/>
  <c r="E16" i="498" s="1"/>
  <c r="C8" i="423"/>
  <c r="E8" i="423" s="1"/>
  <c r="E201" i="167"/>
  <c r="F183" i="167" s="1"/>
  <c r="D25" i="608" s="1"/>
  <c r="K201" i="167"/>
  <c r="L183" i="167" s="1"/>
  <c r="O202" i="167"/>
  <c r="O203" i="167" s="1"/>
  <c r="H162" i="490"/>
  <c r="H161" i="490"/>
  <c r="F161" i="490"/>
  <c r="H163" i="545"/>
  <c r="BB33" i="167"/>
  <c r="F162" i="490"/>
  <c r="F29" i="667"/>
  <c r="P60" i="482"/>
  <c r="S60" i="482" s="1"/>
  <c r="S67" i="482" s="1"/>
  <c r="S69" i="482" s="1"/>
  <c r="S71" i="482" s="1"/>
  <c r="S73" i="482" s="1"/>
  <c r="S75" i="482" s="1"/>
  <c r="F128" i="481"/>
  <c r="F35" i="667"/>
  <c r="I66" i="1" s="1"/>
  <c r="I78" i="1" s="1"/>
  <c r="G26" i="667"/>
  <c r="D8" i="664"/>
  <c r="F27" i="667"/>
  <c r="I64" i="1" s="1"/>
  <c r="F62" i="490"/>
  <c r="BF29" i="167"/>
  <c r="BF33" i="167" s="1"/>
  <c r="F84" i="167"/>
  <c r="F89" i="167" s="1"/>
  <c r="F12" i="490"/>
  <c r="F81" i="167"/>
  <c r="F88" i="167" s="1"/>
  <c r="P201" i="167"/>
  <c r="C8" i="659"/>
  <c r="D17" i="498"/>
  <c r="E18" i="248" s="1"/>
  <c r="D16" i="547"/>
  <c r="F201" i="167"/>
  <c r="D204" i="167"/>
  <c r="B31" i="608" s="1"/>
  <c r="D203" i="167"/>
  <c r="B29" i="608"/>
  <c r="C18" i="600"/>
  <c r="C19" i="600" s="1"/>
  <c r="D99" i="496"/>
  <c r="D100" i="496" s="1"/>
  <c r="F28" i="667"/>
  <c r="E37" i="667"/>
  <c r="E38" i="667" s="1"/>
  <c r="G68" i="1" s="1"/>
  <c r="N41" i="483"/>
  <c r="T60" i="482"/>
  <c r="C33" i="659"/>
  <c r="I73" i="483"/>
  <c r="C13" i="409"/>
  <c r="I108" i="481"/>
  <c r="D28" i="513"/>
  <c r="M85" i="482"/>
  <c r="C18" i="409"/>
  <c r="E59" i="496"/>
  <c r="I67" i="481"/>
  <c r="N69" i="482"/>
  <c r="E15" i="514"/>
  <c r="D15" i="514"/>
  <c r="L69" i="482"/>
  <c r="C60" i="248" l="1"/>
  <c r="F7" i="106"/>
  <c r="G69" i="1"/>
  <c r="G65" i="1" s="1"/>
  <c r="C57" i="423"/>
  <c r="H26" i="667"/>
  <c r="M63" i="1" s="1"/>
  <c r="K63" i="1"/>
  <c r="D8" i="665" s="1"/>
  <c r="J112" i="620"/>
  <c r="J112" i="683"/>
  <c r="J112" i="545"/>
  <c r="K41" i="483"/>
  <c r="K61" i="483" s="1"/>
  <c r="D26" i="519" s="1"/>
  <c r="D13" i="520"/>
  <c r="E13" i="520" s="1"/>
  <c r="D18" i="519"/>
  <c r="E17" i="248"/>
  <c r="J111" i="490"/>
  <c r="R39" i="483"/>
  <c r="P39" i="483"/>
  <c r="S39" i="483" s="1"/>
  <c r="L70" i="483"/>
  <c r="L74" i="483" s="1"/>
  <c r="C62" i="423" s="1"/>
  <c r="O26" i="483"/>
  <c r="R26" i="483" s="1"/>
  <c r="F39" i="667"/>
  <c r="F40" i="667" s="1"/>
  <c r="I69" i="1" s="1"/>
  <c r="E16" i="547"/>
  <c r="F17" i="248"/>
  <c r="J111" i="489"/>
  <c r="O204" i="167"/>
  <c r="O205" i="167" s="1"/>
  <c r="O207" i="167" s="1"/>
  <c r="O220" i="167" s="1"/>
  <c r="O103" i="167" s="1"/>
  <c r="O60" i="482"/>
  <c r="R60" i="482" s="1"/>
  <c r="R67" i="482" s="1"/>
  <c r="E15" i="520" s="1"/>
  <c r="N39" i="483"/>
  <c r="Q39" i="483" s="1"/>
  <c r="C33" i="423"/>
  <c r="C40" i="423" s="1"/>
  <c r="E202" i="167"/>
  <c r="E204" i="167" s="1"/>
  <c r="C31" i="608" s="1"/>
  <c r="C28" i="608"/>
  <c r="J202" i="167"/>
  <c r="K183" i="167"/>
  <c r="K202" i="167" s="1"/>
  <c r="P202" i="167"/>
  <c r="Q183" i="167"/>
  <c r="G29" i="667"/>
  <c r="P67" i="482"/>
  <c r="P69" i="482" s="1"/>
  <c r="P71" i="482" s="1"/>
  <c r="P73" i="482" s="1"/>
  <c r="P75" i="482" s="1"/>
  <c r="E8" i="659"/>
  <c r="F62" i="545"/>
  <c r="Q201" i="167"/>
  <c r="F12" i="545"/>
  <c r="G35" i="667"/>
  <c r="K66" i="1" s="1"/>
  <c r="G27" i="667"/>
  <c r="K64" i="1" s="1"/>
  <c r="F36" i="667"/>
  <c r="G183" i="167"/>
  <c r="E25" i="608" s="1"/>
  <c r="F202" i="167"/>
  <c r="D28" i="608"/>
  <c r="D68" i="496"/>
  <c r="C69" i="248" s="1"/>
  <c r="E66" i="496"/>
  <c r="E78" i="496" s="1"/>
  <c r="W60" i="482"/>
  <c r="W67" i="482" s="1"/>
  <c r="T67" i="482"/>
  <c r="D16" i="514"/>
  <c r="L71" i="482"/>
  <c r="F37" i="667"/>
  <c r="F38" i="667" s="1"/>
  <c r="I68" i="1" s="1"/>
  <c r="G28" i="667"/>
  <c r="D205" i="167"/>
  <c r="B30" i="608"/>
  <c r="S86" i="482"/>
  <c r="D20" i="423"/>
  <c r="S79" i="482"/>
  <c r="D11" i="423" s="1"/>
  <c r="E16" i="514"/>
  <c r="N71" i="482"/>
  <c r="C34" i="659" l="1"/>
  <c r="C40" i="659" s="1"/>
  <c r="O41" i="483"/>
  <c r="U60" i="482"/>
  <c r="U67" i="482" s="1"/>
  <c r="U69" i="482" s="1"/>
  <c r="U71" i="482" s="1"/>
  <c r="U73" i="482" s="1"/>
  <c r="U75" i="482" s="1"/>
  <c r="U79" i="482" s="1"/>
  <c r="H35" i="667"/>
  <c r="M66" i="1" s="1"/>
  <c r="M78" i="1" s="1"/>
  <c r="H29" i="667"/>
  <c r="H39" i="667" s="1"/>
  <c r="H27" i="667"/>
  <c r="M64" i="1" s="1"/>
  <c r="K78" i="1"/>
  <c r="I67" i="1"/>
  <c r="I65" i="1" s="1"/>
  <c r="C57" i="659"/>
  <c r="G37" i="667"/>
  <c r="G38" i="667" s="1"/>
  <c r="K68" i="1" s="1"/>
  <c r="H28" i="667"/>
  <c r="H37" i="667" s="1"/>
  <c r="F12" i="683"/>
  <c r="D8" i="682"/>
  <c r="S201" i="167"/>
  <c r="F62" i="683"/>
  <c r="F63" i="683" s="1"/>
  <c r="F66" i="683" s="1"/>
  <c r="F98" i="683" s="1"/>
  <c r="D12" i="559"/>
  <c r="D12" i="525"/>
  <c r="K70" i="483"/>
  <c r="K74" i="483" s="1"/>
  <c r="I100" i="489" s="1"/>
  <c r="E66" i="497" s="1"/>
  <c r="E78" i="497" s="1"/>
  <c r="N26" i="483"/>
  <c r="Q26" i="483" s="1"/>
  <c r="C58" i="659"/>
  <c r="P41" i="483"/>
  <c r="V60" i="482"/>
  <c r="V67" i="482" s="1"/>
  <c r="V69" i="482" s="1"/>
  <c r="V71" i="482" s="1"/>
  <c r="V73" i="482" s="1"/>
  <c r="V75" i="482" s="1"/>
  <c r="C57" i="664"/>
  <c r="U39" i="483"/>
  <c r="X39" i="483" s="1"/>
  <c r="C34" i="664"/>
  <c r="C58" i="423"/>
  <c r="C64" i="423" s="1"/>
  <c r="Q60" i="482"/>
  <c r="Q67" i="482" s="1"/>
  <c r="Q69" i="482" s="1"/>
  <c r="Q71" i="482" s="1"/>
  <c r="Q73" i="482" s="1"/>
  <c r="Q75" i="482" s="1"/>
  <c r="M41" i="483"/>
  <c r="M61" i="483" s="1"/>
  <c r="M70" i="483" s="1"/>
  <c r="M74" i="483" s="1"/>
  <c r="R41" i="483"/>
  <c r="L73" i="483"/>
  <c r="C44" i="423"/>
  <c r="J100" i="489"/>
  <c r="G39" i="667"/>
  <c r="G40" i="667" s="1"/>
  <c r="K69" i="1" s="1"/>
  <c r="Z60" i="482"/>
  <c r="AC60" i="482" s="1"/>
  <c r="AC67" i="482" s="1"/>
  <c r="AC69" i="482" s="1"/>
  <c r="AC71" i="482" s="1"/>
  <c r="AC73" i="482" s="1"/>
  <c r="AC75" i="482" s="1"/>
  <c r="D20" i="664" s="1"/>
  <c r="R69" i="482"/>
  <c r="E16" i="520" s="1"/>
  <c r="O67" i="482"/>
  <c r="D15" i="520" s="1"/>
  <c r="E203" i="167"/>
  <c r="C30" i="608" s="1"/>
  <c r="C29" i="608"/>
  <c r="J203" i="167"/>
  <c r="J204" i="167"/>
  <c r="L201" i="167"/>
  <c r="L202" i="167" s="1"/>
  <c r="K204" i="167"/>
  <c r="P200" i="167"/>
  <c r="P204" i="167" s="1"/>
  <c r="Q202" i="167"/>
  <c r="R183" i="167"/>
  <c r="P79" i="482"/>
  <c r="P86" i="482" s="1"/>
  <c r="D17" i="547"/>
  <c r="F18" i="248" s="1"/>
  <c r="G201" i="167"/>
  <c r="C8" i="664"/>
  <c r="E8" i="664" s="1"/>
  <c r="D16" i="622"/>
  <c r="H17" i="248" s="1"/>
  <c r="F12" i="620"/>
  <c r="F62" i="620"/>
  <c r="R201" i="167"/>
  <c r="S183" i="167" s="1"/>
  <c r="G36" i="667"/>
  <c r="K67" i="1" s="1"/>
  <c r="W69" i="482"/>
  <c r="E15" i="526"/>
  <c r="E17" i="514"/>
  <c r="N73" i="482"/>
  <c r="E68" i="496"/>
  <c r="B32" i="608"/>
  <c r="D207" i="167"/>
  <c r="D29" i="608"/>
  <c r="L73" i="482"/>
  <c r="D17" i="514"/>
  <c r="D15" i="526"/>
  <c r="T69" i="482"/>
  <c r="H38" i="667" l="1"/>
  <c r="M68" i="1" s="1"/>
  <c r="B36" i="608"/>
  <c r="B40" i="608" s="1"/>
  <c r="D225" i="167"/>
  <c r="X60" i="482"/>
  <c r="X67" i="482" s="1"/>
  <c r="X69" i="482" s="1"/>
  <c r="X71" i="482" s="1"/>
  <c r="X73" i="482" s="1"/>
  <c r="X75" i="482" s="1"/>
  <c r="D20" i="659" s="1"/>
  <c r="H36" i="667"/>
  <c r="M67" i="1" s="1"/>
  <c r="C33" i="682" s="1"/>
  <c r="H40" i="667"/>
  <c r="M69" i="1" s="1"/>
  <c r="C57" i="682" s="1"/>
  <c r="C64" i="659"/>
  <c r="Q41" i="483"/>
  <c r="Y60" i="482"/>
  <c r="Y67" i="482" s="1"/>
  <c r="D19" i="626"/>
  <c r="T39" i="483"/>
  <c r="W39" i="483" s="1"/>
  <c r="D18" i="559"/>
  <c r="D19" i="693"/>
  <c r="K65" i="1"/>
  <c r="V41" i="483" s="1"/>
  <c r="D13" i="560"/>
  <c r="E13" i="560" s="1"/>
  <c r="C33" i="664"/>
  <c r="C40" i="664" s="1"/>
  <c r="S202" i="167"/>
  <c r="S204" i="167" s="1"/>
  <c r="D16" i="684"/>
  <c r="D17" i="684"/>
  <c r="I18" i="248" s="1"/>
  <c r="C8" i="682"/>
  <c r="E8" i="682" s="1"/>
  <c r="I201" i="167"/>
  <c r="G28" i="608" s="1"/>
  <c r="D27" i="519"/>
  <c r="S41" i="483"/>
  <c r="V39" i="483"/>
  <c r="Y39" i="483" s="1"/>
  <c r="F104" i="683"/>
  <c r="F118" i="683"/>
  <c r="F111" i="683"/>
  <c r="F115" i="683" s="1"/>
  <c r="C61" i="423"/>
  <c r="C63" i="423" s="1"/>
  <c r="C65" i="423" s="1"/>
  <c r="D28" i="519"/>
  <c r="C38" i="423"/>
  <c r="K73" i="483"/>
  <c r="D68" i="497"/>
  <c r="J205" i="167"/>
  <c r="J207" i="167" s="1"/>
  <c r="J220" i="167" s="1"/>
  <c r="J103" i="167" s="1"/>
  <c r="D13" i="628"/>
  <c r="E13" i="628" s="1"/>
  <c r="D18" i="626"/>
  <c r="C57" i="665"/>
  <c r="C58" i="664"/>
  <c r="C64" i="664" s="1"/>
  <c r="AA60" i="482"/>
  <c r="AA67" i="482" s="1"/>
  <c r="AA69" i="482" s="1"/>
  <c r="AA71" i="482" s="1"/>
  <c r="AA73" i="482" s="1"/>
  <c r="AA75" i="482" s="1"/>
  <c r="M73" i="483"/>
  <c r="C68" i="423"/>
  <c r="V79" i="482"/>
  <c r="Q79" i="482"/>
  <c r="Q86" i="482" s="1"/>
  <c r="Z67" i="482"/>
  <c r="Z69" i="482" s="1"/>
  <c r="Z71" i="482" s="1"/>
  <c r="Z73" i="482" s="1"/>
  <c r="Z75" i="482" s="1"/>
  <c r="Z79" i="482" s="1"/>
  <c r="C34" i="665"/>
  <c r="U41" i="483"/>
  <c r="O69" i="482"/>
  <c r="O71" i="482" s="1"/>
  <c r="O73" i="482" s="1"/>
  <c r="R71" i="482"/>
  <c r="E17" i="520" s="1"/>
  <c r="E205" i="167"/>
  <c r="E207" i="167" s="1"/>
  <c r="E225" i="167" s="1"/>
  <c r="E16" i="622"/>
  <c r="M201" i="167"/>
  <c r="N183" i="167" s="1"/>
  <c r="N202" i="167" s="1"/>
  <c r="P203" i="167"/>
  <c r="P205" i="167" s="1"/>
  <c r="P207" i="167" s="1"/>
  <c r="P220" i="167" s="1"/>
  <c r="P103" i="167" s="1"/>
  <c r="M183" i="167"/>
  <c r="R202" i="167"/>
  <c r="R204" i="167" s="1"/>
  <c r="L204" i="167"/>
  <c r="AE60" i="482"/>
  <c r="AE67" i="482" s="1"/>
  <c r="AE69" i="482" s="1"/>
  <c r="AE71" i="482" s="1"/>
  <c r="AE73" i="482" s="1"/>
  <c r="AE75" i="482" s="1"/>
  <c r="C43" i="423"/>
  <c r="P85" i="482"/>
  <c r="C8" i="665"/>
  <c r="E8" i="665" s="1"/>
  <c r="H201" i="167"/>
  <c r="I183" i="167" s="1"/>
  <c r="G25" i="608" s="1"/>
  <c r="D17" i="622"/>
  <c r="T41" i="483"/>
  <c r="AD60" i="482"/>
  <c r="C33" i="665"/>
  <c r="H183" i="167"/>
  <c r="F25" i="608" s="1"/>
  <c r="G202" i="167"/>
  <c r="E28" i="608"/>
  <c r="E18" i="514"/>
  <c r="N75" i="482"/>
  <c r="T71" i="482"/>
  <c r="D16" i="526"/>
  <c r="E11" i="423"/>
  <c r="D12" i="423"/>
  <c r="O101" i="167" s="1"/>
  <c r="D18" i="514"/>
  <c r="L75" i="482"/>
  <c r="AC86" i="482"/>
  <c r="AC79" i="482"/>
  <c r="D11" i="664" s="1"/>
  <c r="W71" i="482"/>
  <c r="E16" i="526"/>
  <c r="D66" i="109" l="1"/>
  <c r="C34" i="682"/>
  <c r="C40" i="682" s="1"/>
  <c r="D18" i="693"/>
  <c r="W41" i="483"/>
  <c r="AI60" i="482"/>
  <c r="AL60" i="482" s="1"/>
  <c r="AL67" i="482" s="1"/>
  <c r="D13" i="694"/>
  <c r="E13" i="694" s="1"/>
  <c r="AJ60" i="482"/>
  <c r="AJ67" i="482" s="1"/>
  <c r="AJ69" i="482" s="1"/>
  <c r="M65" i="1"/>
  <c r="AK60" i="482" s="1"/>
  <c r="AK67" i="482" s="1"/>
  <c r="AK69" i="482" s="1"/>
  <c r="X41" i="483"/>
  <c r="X86" i="482"/>
  <c r="X79" i="482"/>
  <c r="D11" i="659" s="1"/>
  <c r="E11" i="659" s="1"/>
  <c r="AB60" i="482"/>
  <c r="AB67" i="482" s="1"/>
  <c r="E15" i="560" s="1"/>
  <c r="N204" i="167"/>
  <c r="G18" i="248"/>
  <c r="H18" i="248"/>
  <c r="I17" i="248"/>
  <c r="G17" i="248"/>
  <c r="E16" i="684"/>
  <c r="I202" i="167"/>
  <c r="G29" i="608" s="1"/>
  <c r="F121" i="683"/>
  <c r="K200" i="167"/>
  <c r="K203" i="167" s="1"/>
  <c r="K205" i="167" s="1"/>
  <c r="K207" i="167" s="1"/>
  <c r="K220" i="167" s="1"/>
  <c r="K103" i="167" s="1"/>
  <c r="D69" i="248"/>
  <c r="E68" i="497"/>
  <c r="AE79" i="482"/>
  <c r="AA79" i="482"/>
  <c r="C40" i="665"/>
  <c r="AF60" i="482"/>
  <c r="AF67" i="482" s="1"/>
  <c r="AF69" i="482" s="1"/>
  <c r="AF71" i="482" s="1"/>
  <c r="AF73" i="482" s="1"/>
  <c r="AF75" i="482" s="1"/>
  <c r="C58" i="665"/>
  <c r="C64" i="665" s="1"/>
  <c r="C67" i="423"/>
  <c r="C69" i="423" s="1"/>
  <c r="C71" i="423" s="1"/>
  <c r="C73" i="423" s="1"/>
  <c r="C74" i="423" s="1"/>
  <c r="Q85" i="482"/>
  <c r="D17" i="520"/>
  <c r="R73" i="482"/>
  <c r="R75" i="482" s="1"/>
  <c r="D16" i="520"/>
  <c r="C32" i="608"/>
  <c r="M202" i="167"/>
  <c r="M204" i="167" s="1"/>
  <c r="Q200" i="167"/>
  <c r="AH60" i="482"/>
  <c r="AH67" i="482" s="1"/>
  <c r="AH69" i="482" s="1"/>
  <c r="AH71" i="482" s="1"/>
  <c r="AH73" i="482" s="1"/>
  <c r="AH75" i="482" s="1"/>
  <c r="AD67" i="482"/>
  <c r="AG60" i="482"/>
  <c r="AG67" i="482" s="1"/>
  <c r="F28" i="608"/>
  <c r="H202" i="167"/>
  <c r="E29" i="608"/>
  <c r="Y69" i="482"/>
  <c r="D15" i="560"/>
  <c r="D17" i="526"/>
  <c r="T73" i="482"/>
  <c r="E12" i="423"/>
  <c r="O75" i="482"/>
  <c r="D18" i="520"/>
  <c r="C36" i="608"/>
  <c r="C40" i="608" s="1"/>
  <c r="E19" i="514"/>
  <c r="D70" i="496"/>
  <c r="C71" i="248" s="1"/>
  <c r="N79" i="482"/>
  <c r="N86" i="482"/>
  <c r="E21" i="514" s="1"/>
  <c r="W73" i="482"/>
  <c r="E17" i="526"/>
  <c r="D19" i="514"/>
  <c r="L79" i="482"/>
  <c r="D20" i="514" s="1"/>
  <c r="AI67" i="482" l="1"/>
  <c r="D12" i="659"/>
  <c r="E12" i="659" s="1"/>
  <c r="AB69" i="482"/>
  <c r="AB71" i="482" s="1"/>
  <c r="Y41" i="483"/>
  <c r="AM60" i="482"/>
  <c r="AM67" i="482" s="1"/>
  <c r="AM69" i="482" s="1"/>
  <c r="AM71" i="482" s="1"/>
  <c r="AM73" i="482" s="1"/>
  <c r="AM75" i="482" s="1"/>
  <c r="AM86" i="482" s="1"/>
  <c r="C58" i="682"/>
  <c r="C64" i="682" s="1"/>
  <c r="D15" i="694"/>
  <c r="AI69" i="482"/>
  <c r="AK71" i="482"/>
  <c r="AK73" i="482" s="1"/>
  <c r="AK75" i="482" s="1"/>
  <c r="I204" i="167"/>
  <c r="G31" i="608" s="1"/>
  <c r="AJ71" i="482"/>
  <c r="AJ73" i="482" s="1"/>
  <c r="AJ75" i="482" s="1"/>
  <c r="AL69" i="482"/>
  <c r="E15" i="694"/>
  <c r="L200" i="167"/>
  <c r="L203" i="167" s="1"/>
  <c r="L205" i="167" s="1"/>
  <c r="L207" i="167" s="1"/>
  <c r="L220" i="167" s="1"/>
  <c r="L103" i="167" s="1"/>
  <c r="AF79" i="482"/>
  <c r="E18" i="520"/>
  <c r="Q204" i="167"/>
  <c r="Q203" i="167"/>
  <c r="AH79" i="482"/>
  <c r="D20" i="665"/>
  <c r="AH86" i="482"/>
  <c r="L86" i="482"/>
  <c r="C12" i="409" s="1"/>
  <c r="D16" i="560"/>
  <c r="Y71" i="482"/>
  <c r="H204" i="167"/>
  <c r="F31" i="608" s="1"/>
  <c r="F29" i="608"/>
  <c r="E15" i="628"/>
  <c r="AG69" i="482"/>
  <c r="AD69" i="482"/>
  <c r="D15" i="628"/>
  <c r="E103" i="167"/>
  <c r="F200" i="167"/>
  <c r="F204" i="167" s="1"/>
  <c r="D31" i="608" s="1"/>
  <c r="R176" i="1"/>
  <c r="R177" i="1" s="1"/>
  <c r="J5" i="467"/>
  <c r="E124" i="1"/>
  <c r="D19" i="520"/>
  <c r="O79" i="482"/>
  <c r="O86" i="482" s="1"/>
  <c r="D70" i="497"/>
  <c r="E19" i="520"/>
  <c r="R79" i="482"/>
  <c r="J101" i="167" s="1"/>
  <c r="C20" i="423"/>
  <c r="E20" i="423" s="1"/>
  <c r="R86" i="482"/>
  <c r="E21" i="520" s="1"/>
  <c r="C12" i="533"/>
  <c r="C14" i="533" s="1"/>
  <c r="E20" i="514"/>
  <c r="D101" i="167"/>
  <c r="D102" i="167" s="1"/>
  <c r="E18" i="526"/>
  <c r="W75" i="482"/>
  <c r="C20" i="659" s="1"/>
  <c r="E70" i="496"/>
  <c r="E11" i="664"/>
  <c r="D12" i="664"/>
  <c r="T75" i="482"/>
  <c r="J102" i="683" s="1"/>
  <c r="D18" i="526"/>
  <c r="E16" i="560" l="1"/>
  <c r="P101" i="167"/>
  <c r="AM79" i="482"/>
  <c r="D11" i="682" s="1"/>
  <c r="E11" i="682" s="1"/>
  <c r="D20" i="682"/>
  <c r="AK79" i="482"/>
  <c r="AJ79" i="482"/>
  <c r="E16" i="694"/>
  <c r="AL71" i="482"/>
  <c r="Q101" i="167"/>
  <c r="D16" i="694"/>
  <c r="AI71" i="482"/>
  <c r="M200" i="167"/>
  <c r="M203" i="167" s="1"/>
  <c r="M205" i="167" s="1"/>
  <c r="M207" i="167" s="1"/>
  <c r="M220" i="167" s="1"/>
  <c r="N200" i="167" s="1"/>
  <c r="N203" i="167" s="1"/>
  <c r="N205" i="167" s="1"/>
  <c r="N207" i="167" s="1"/>
  <c r="N220" i="167" s="1"/>
  <c r="G12" i="423"/>
  <c r="K62" i="489" s="1"/>
  <c r="H12" i="423"/>
  <c r="O102" i="167" s="1"/>
  <c r="Q205" i="167"/>
  <c r="Q207" i="167" s="1"/>
  <c r="Q220" i="167" s="1"/>
  <c r="Q103" i="167" s="1"/>
  <c r="D69" i="496"/>
  <c r="D11" i="665"/>
  <c r="D12" i="665" s="1"/>
  <c r="L85" i="482"/>
  <c r="I109" i="481"/>
  <c r="D21" i="514"/>
  <c r="D27" i="608"/>
  <c r="F203" i="167"/>
  <c r="E17" i="560"/>
  <c r="AB73" i="482"/>
  <c r="D16" i="628"/>
  <c r="AD71" i="482"/>
  <c r="D17" i="560"/>
  <c r="Y73" i="482"/>
  <c r="AG71" i="482"/>
  <c r="E16" i="628"/>
  <c r="C17" i="534"/>
  <c r="C19" i="534" s="1"/>
  <c r="H145" i="142"/>
  <c r="D53" i="517" s="1"/>
  <c r="D20" i="497"/>
  <c r="D21" i="248" s="1"/>
  <c r="J32" i="467"/>
  <c r="J33" i="467" s="1"/>
  <c r="D21" i="497"/>
  <c r="D22" i="248" s="1"/>
  <c r="J15" i="467"/>
  <c r="E73" i="1" s="1"/>
  <c r="R178" i="1"/>
  <c r="E101" i="167"/>
  <c r="E104" i="167" s="1"/>
  <c r="C11" i="601" s="1"/>
  <c r="E20" i="520"/>
  <c r="C12" i="534"/>
  <c r="C14" i="534" s="1"/>
  <c r="D113" i="167"/>
  <c r="I72" i="481" s="1"/>
  <c r="D104" i="167"/>
  <c r="D13" i="559"/>
  <c r="D14" i="559" s="1"/>
  <c r="N28" i="483"/>
  <c r="D20" i="520"/>
  <c r="D13" i="525"/>
  <c r="D14" i="525" s="1"/>
  <c r="O85" i="482"/>
  <c r="I101" i="489"/>
  <c r="C37" i="423"/>
  <c r="D69" i="497"/>
  <c r="D65" i="109" s="1"/>
  <c r="D21" i="520"/>
  <c r="D71" i="248"/>
  <c r="E70" i="497"/>
  <c r="C16" i="533"/>
  <c r="C20" i="409"/>
  <c r="C14" i="409"/>
  <c r="T79" i="482"/>
  <c r="D20" i="526" s="1"/>
  <c r="D19" i="526"/>
  <c r="J101" i="489"/>
  <c r="J102" i="620"/>
  <c r="J102" i="545"/>
  <c r="J101" i="490"/>
  <c r="E12" i="664"/>
  <c r="D70" i="498"/>
  <c r="E20" i="659"/>
  <c r="E19" i="526"/>
  <c r="W79" i="482"/>
  <c r="W86" i="482"/>
  <c r="E21" i="526" s="1"/>
  <c r="K101" i="167" l="1"/>
  <c r="F67" i="106"/>
  <c r="F69" i="106" s="1"/>
  <c r="C70" i="248"/>
  <c r="D12" i="682"/>
  <c r="S101" i="167" s="1"/>
  <c r="AI73" i="482"/>
  <c r="D17" i="694"/>
  <c r="M103" i="167"/>
  <c r="N103" i="167"/>
  <c r="R101" i="167"/>
  <c r="AL73" i="482"/>
  <c r="E17" i="694"/>
  <c r="E94" i="167"/>
  <c r="E95" i="167"/>
  <c r="J102" i="167"/>
  <c r="J113" i="167"/>
  <c r="J62" i="489"/>
  <c r="O113" i="167"/>
  <c r="R200" i="167"/>
  <c r="R203" i="167" s="1"/>
  <c r="R205" i="167" s="1"/>
  <c r="R207" i="167" s="1"/>
  <c r="R220" i="167" s="1"/>
  <c r="E69" i="496"/>
  <c r="E12" i="665"/>
  <c r="E11" i="665"/>
  <c r="E98" i="167"/>
  <c r="E99" i="167" s="1"/>
  <c r="I51" i="644"/>
  <c r="I16" i="643" s="1"/>
  <c r="I49" i="644"/>
  <c r="I14" i="643" s="1"/>
  <c r="H50" i="644"/>
  <c r="H15" i="643" s="1"/>
  <c r="G50" i="644"/>
  <c r="G15" i="643" s="1"/>
  <c r="F50" i="644"/>
  <c r="F15" i="643" s="1"/>
  <c r="H49" i="644"/>
  <c r="H14" i="643" s="1"/>
  <c r="G49" i="644"/>
  <c r="G14" i="643" s="1"/>
  <c r="F49" i="644"/>
  <c r="F14" i="643" s="1"/>
  <c r="G47" i="644"/>
  <c r="G12" i="643" s="1"/>
  <c r="H51" i="644"/>
  <c r="H16" i="643" s="1"/>
  <c r="F51" i="644"/>
  <c r="F16" i="643" s="1"/>
  <c r="I50" i="644"/>
  <c r="I15" i="643" s="1"/>
  <c r="F47" i="644"/>
  <c r="F12" i="643" s="1"/>
  <c r="I47" i="644"/>
  <c r="I12" i="643" s="1"/>
  <c r="G51" i="644"/>
  <c r="G16" i="643" s="1"/>
  <c r="H47" i="644"/>
  <c r="H12" i="643" s="1"/>
  <c r="I52" i="644"/>
  <c r="I17" i="643" s="1"/>
  <c r="G52" i="644"/>
  <c r="G17" i="643" s="1"/>
  <c r="F44" i="644"/>
  <c r="H52" i="644"/>
  <c r="H17" i="643" s="1"/>
  <c r="F52" i="644"/>
  <c r="F17" i="643" s="1"/>
  <c r="H44" i="644"/>
  <c r="I44" i="644"/>
  <c r="G44" i="644"/>
  <c r="C21" i="600"/>
  <c r="C23" i="600" s="1"/>
  <c r="I73" i="481"/>
  <c r="I74" i="481" s="1"/>
  <c r="I75" i="481" s="1"/>
  <c r="D30" i="608"/>
  <c r="F205" i="167"/>
  <c r="Y75" i="482"/>
  <c r="D18" i="560"/>
  <c r="E18" i="560"/>
  <c r="AB75" i="482"/>
  <c r="C20" i="664" s="1"/>
  <c r="D17" i="628"/>
  <c r="AD73" i="482"/>
  <c r="AG73" i="482"/>
  <c r="E17" i="628"/>
  <c r="C11" i="600"/>
  <c r="D105" i="167"/>
  <c r="O28" i="483"/>
  <c r="Q28" i="483"/>
  <c r="N30" i="483"/>
  <c r="N47" i="483" s="1"/>
  <c r="E70" i="498"/>
  <c r="E71" i="248"/>
  <c r="D109" i="167"/>
  <c r="D110" i="167" s="1"/>
  <c r="I62" i="489"/>
  <c r="C14" i="423" s="1"/>
  <c r="E44" i="644"/>
  <c r="E19" i="167"/>
  <c r="E20" i="167" s="1"/>
  <c r="B44" i="644"/>
  <c r="I45" i="489"/>
  <c r="D44" i="644"/>
  <c r="C44" i="644"/>
  <c r="I42" i="489"/>
  <c r="I40" i="489"/>
  <c r="I43" i="489"/>
  <c r="I33" i="489"/>
  <c r="I50" i="489"/>
  <c r="K50" i="489" s="1"/>
  <c r="I44" i="489"/>
  <c r="D52" i="644"/>
  <c r="D17" i="643" s="1"/>
  <c r="B52" i="644"/>
  <c r="B17" i="643" s="1"/>
  <c r="I47" i="489"/>
  <c r="K47" i="489" s="1"/>
  <c r="I36" i="489"/>
  <c r="I37" i="489"/>
  <c r="D50" i="644"/>
  <c r="D15" i="643" s="1"/>
  <c r="C47" i="644"/>
  <c r="C12" i="643" s="1"/>
  <c r="E51" i="644"/>
  <c r="E16" i="643" s="1"/>
  <c r="I41" i="489"/>
  <c r="C50" i="644"/>
  <c r="C15" i="643" s="1"/>
  <c r="D47" i="644"/>
  <c r="D12" i="643" s="1"/>
  <c r="I20" i="489"/>
  <c r="B49" i="644"/>
  <c r="B14" i="643" s="1"/>
  <c r="C51" i="644"/>
  <c r="C16" i="643" s="1"/>
  <c r="E49" i="644"/>
  <c r="E14" i="643" s="1"/>
  <c r="D51" i="644"/>
  <c r="D16" i="643" s="1"/>
  <c r="I46" i="489"/>
  <c r="K46" i="489" s="1"/>
  <c r="E47" i="644"/>
  <c r="E12" i="643" s="1"/>
  <c r="B51" i="644"/>
  <c r="B16" i="643" s="1"/>
  <c r="D49" i="644"/>
  <c r="D14" i="643" s="1"/>
  <c r="I38" i="489"/>
  <c r="C52" i="644"/>
  <c r="C17" i="643" s="1"/>
  <c r="E50" i="644"/>
  <c r="E15" i="643" s="1"/>
  <c r="D28" i="497"/>
  <c r="D29" i="248" s="1"/>
  <c r="I39" i="489"/>
  <c r="E52" i="644"/>
  <c r="E17" i="643" s="1"/>
  <c r="B88" i="644"/>
  <c r="C88" i="644" s="1"/>
  <c r="D88" i="644" s="1"/>
  <c r="E88" i="644" s="1"/>
  <c r="F88" i="644" s="1"/>
  <c r="G88" i="644" s="1"/>
  <c r="H88" i="644" s="1"/>
  <c r="I88" i="644" s="1"/>
  <c r="C49" i="644"/>
  <c r="C14" i="643" s="1"/>
  <c r="B50" i="644"/>
  <c r="B15" i="643" s="1"/>
  <c r="B47" i="644"/>
  <c r="B12" i="643" s="1"/>
  <c r="E20" i="526"/>
  <c r="C12" i="535"/>
  <c r="C14" i="535" s="1"/>
  <c r="F101" i="167"/>
  <c r="C16" i="534"/>
  <c r="D12" i="512"/>
  <c r="C10" i="600"/>
  <c r="E113" i="167"/>
  <c r="E102" i="167"/>
  <c r="J19" i="467"/>
  <c r="L8" i="467"/>
  <c r="C18" i="533"/>
  <c r="C20" i="533"/>
  <c r="D70" i="248"/>
  <c r="E69" i="497"/>
  <c r="E105" i="167"/>
  <c r="C16" i="409"/>
  <c r="C22" i="409" s="1"/>
  <c r="C24" i="409" s="1"/>
  <c r="C25" i="409" s="1"/>
  <c r="D71" i="496" s="1"/>
  <c r="C72" i="248" s="1"/>
  <c r="C45" i="423"/>
  <c r="C39" i="423"/>
  <c r="R179" i="1"/>
  <c r="E12" i="682" l="1"/>
  <c r="E96" i="167"/>
  <c r="I27" i="489" s="1"/>
  <c r="J27" i="489" s="1"/>
  <c r="S200" i="167"/>
  <c r="S203" i="167" s="1"/>
  <c r="S205" i="167" s="1"/>
  <c r="S207" i="167" s="1"/>
  <c r="S220" i="167" s="1"/>
  <c r="S103" i="167" s="1"/>
  <c r="S104" i="167" s="1"/>
  <c r="S105" i="167" s="1"/>
  <c r="R103" i="167"/>
  <c r="E18" i="694"/>
  <c r="AL75" i="482"/>
  <c r="D18" i="694"/>
  <c r="AI75" i="482"/>
  <c r="O30" i="483"/>
  <c r="O47" i="483" s="1"/>
  <c r="O55" i="483" s="1"/>
  <c r="O59" i="483" s="1"/>
  <c r="P28" i="483"/>
  <c r="P30" i="483" s="1"/>
  <c r="P47" i="483" s="1"/>
  <c r="P55" i="483" s="1"/>
  <c r="P59" i="483" s="1"/>
  <c r="J108" i="167"/>
  <c r="O108" i="167"/>
  <c r="K20" i="489"/>
  <c r="D29" i="517"/>
  <c r="K39" i="489"/>
  <c r="D32" i="517"/>
  <c r="K42" i="489"/>
  <c r="D36" i="517"/>
  <c r="K44" i="489"/>
  <c r="D27" i="517"/>
  <c r="K37" i="489"/>
  <c r="D26" i="517"/>
  <c r="K36" i="489"/>
  <c r="D54" i="517"/>
  <c r="D55" i="517" s="1"/>
  <c r="K33" i="489"/>
  <c r="D37" i="517"/>
  <c r="K45" i="489"/>
  <c r="D35" i="517"/>
  <c r="K43" i="489"/>
  <c r="D28" i="517"/>
  <c r="K38" i="489"/>
  <c r="D31" i="517"/>
  <c r="K41" i="489"/>
  <c r="D30" i="517"/>
  <c r="K40" i="489"/>
  <c r="L41" i="489"/>
  <c r="L11" i="467"/>
  <c r="M13" i="467" s="1"/>
  <c r="D21" i="525"/>
  <c r="N55" i="483"/>
  <c r="G9" i="643"/>
  <c r="H9" i="643"/>
  <c r="F9" i="643"/>
  <c r="D12" i="518"/>
  <c r="C10" i="601"/>
  <c r="F77" i="613"/>
  <c r="H77" i="613"/>
  <c r="I77" i="613"/>
  <c r="G77" i="613"/>
  <c r="I9" i="643"/>
  <c r="F78" i="613"/>
  <c r="F23" i="614" s="1"/>
  <c r="I78" i="613"/>
  <c r="I23" i="614" s="1"/>
  <c r="H78" i="613"/>
  <c r="H23" i="614" s="1"/>
  <c r="G78" i="613"/>
  <c r="G23" i="614" s="1"/>
  <c r="D90" i="496"/>
  <c r="C93" i="248" s="1"/>
  <c r="D83" i="496"/>
  <c r="C86" i="248" s="1"/>
  <c r="C21" i="533"/>
  <c r="F207" i="167"/>
  <c r="D32" i="608"/>
  <c r="AD75" i="482"/>
  <c r="D18" i="628"/>
  <c r="D70" i="547"/>
  <c r="AB79" i="482"/>
  <c r="AB86" i="482"/>
  <c r="E21" i="560" s="1"/>
  <c r="E19" i="560"/>
  <c r="E18" i="628"/>
  <c r="AG75" i="482"/>
  <c r="C20" i="665" s="1"/>
  <c r="Y79" i="482"/>
  <c r="D13" i="693" s="1"/>
  <c r="D19" i="560"/>
  <c r="J44" i="489"/>
  <c r="C41" i="423"/>
  <c r="C47" i="423" s="1"/>
  <c r="C49" i="423" s="1"/>
  <c r="C50" i="423" s="1"/>
  <c r="C9" i="643"/>
  <c r="E56" i="497"/>
  <c r="D56" i="497"/>
  <c r="D13" i="512"/>
  <c r="D77" i="613"/>
  <c r="E77" i="613"/>
  <c r="I169" i="481"/>
  <c r="B77" i="613"/>
  <c r="C77" i="613"/>
  <c r="D106" i="167"/>
  <c r="I204" i="481" s="1"/>
  <c r="D15" i="512" s="1"/>
  <c r="I203" i="481"/>
  <c r="D14" i="512" s="1"/>
  <c r="J20" i="489"/>
  <c r="D33" i="497"/>
  <c r="D11" i="517" s="1"/>
  <c r="E33" i="497"/>
  <c r="J37" i="489"/>
  <c r="D40" i="497"/>
  <c r="D49" i="517" s="1"/>
  <c r="E40" i="497"/>
  <c r="J50" i="489"/>
  <c r="D9" i="643"/>
  <c r="J36" i="489"/>
  <c r="D37" i="497"/>
  <c r="D33" i="517" s="1"/>
  <c r="J33" i="489"/>
  <c r="I159" i="489"/>
  <c r="E35" i="497" s="1"/>
  <c r="D42" i="497"/>
  <c r="D58" i="517" s="1"/>
  <c r="J45" i="489"/>
  <c r="J46" i="489"/>
  <c r="D36" i="497"/>
  <c r="D23" i="517" s="1"/>
  <c r="C16" i="535"/>
  <c r="J38" i="489"/>
  <c r="J47" i="489"/>
  <c r="D41" i="497"/>
  <c r="D51" i="517" s="1"/>
  <c r="J43" i="489"/>
  <c r="I163" i="489"/>
  <c r="D38" i="497"/>
  <c r="D38" i="517" s="1"/>
  <c r="B9" i="643"/>
  <c r="E106" i="167"/>
  <c r="I189" i="489" s="1"/>
  <c r="D15" i="518" s="1"/>
  <c r="D13" i="518"/>
  <c r="C12" i="600"/>
  <c r="C13" i="600" s="1"/>
  <c r="D18" i="512"/>
  <c r="E108" i="167"/>
  <c r="E109" i="167" s="1"/>
  <c r="R180" i="1"/>
  <c r="R182" i="1" s="1"/>
  <c r="C18" i="534"/>
  <c r="C20" i="534"/>
  <c r="J51" i="489"/>
  <c r="D45" i="248"/>
  <c r="J41" i="489"/>
  <c r="J40" i="489"/>
  <c r="E23" i="167"/>
  <c r="E49" i="167"/>
  <c r="J39" i="489"/>
  <c r="E9" i="643"/>
  <c r="R28" i="483"/>
  <c r="T28" i="483"/>
  <c r="W28" i="483" s="1"/>
  <c r="X28" i="483" s="1"/>
  <c r="Y28" i="483" s="1"/>
  <c r="Y30" i="483" s="1"/>
  <c r="Q30" i="483"/>
  <c r="Q47" i="483" s="1"/>
  <c r="I160" i="489"/>
  <c r="E39" i="497" s="1"/>
  <c r="J42" i="489"/>
  <c r="D14" i="423"/>
  <c r="D19" i="517" l="1"/>
  <c r="K27" i="489"/>
  <c r="I31" i="489"/>
  <c r="K31" i="489" s="1"/>
  <c r="I25" i="489"/>
  <c r="E97" i="167"/>
  <c r="I21" i="489" s="1"/>
  <c r="C45" i="644" s="1"/>
  <c r="C10" i="643" s="1"/>
  <c r="E48" i="644"/>
  <c r="E13" i="643" s="1"/>
  <c r="F48" i="644"/>
  <c r="F13" i="643" s="1"/>
  <c r="G48" i="644"/>
  <c r="G13" i="643" s="1"/>
  <c r="I46" i="644"/>
  <c r="I11" i="643" s="1"/>
  <c r="G46" i="644"/>
  <c r="G11" i="643" s="1"/>
  <c r="I22" i="489"/>
  <c r="K22" i="489" s="1"/>
  <c r="B48" i="644"/>
  <c r="B13" i="643" s="1"/>
  <c r="I29" i="489"/>
  <c r="D40" i="517" s="1"/>
  <c r="I30" i="489"/>
  <c r="K30" i="489" s="1"/>
  <c r="P61" i="483"/>
  <c r="V86" i="482" s="1"/>
  <c r="Y47" i="483"/>
  <c r="Y55" i="483" s="1"/>
  <c r="Y59" i="483" s="1"/>
  <c r="B46" i="644"/>
  <c r="B11" i="643" s="1"/>
  <c r="F46" i="644"/>
  <c r="F11" i="643" s="1"/>
  <c r="H46" i="644"/>
  <c r="H11" i="643" s="1"/>
  <c r="I24" i="489"/>
  <c r="C48" i="644"/>
  <c r="C13" i="643" s="1"/>
  <c r="I48" i="644"/>
  <c r="I13" i="643" s="1"/>
  <c r="H48" i="644"/>
  <c r="H13" i="643" s="1"/>
  <c r="I26" i="489"/>
  <c r="D46" i="644"/>
  <c r="D11" i="643" s="1"/>
  <c r="E46" i="644"/>
  <c r="E11" i="643" s="1"/>
  <c r="C46" i="644"/>
  <c r="C11" i="643" s="1"/>
  <c r="D48" i="644"/>
  <c r="D13" i="643" s="1"/>
  <c r="AL86" i="482"/>
  <c r="E21" i="694" s="1"/>
  <c r="C20" i="682"/>
  <c r="E20" i="682" s="1"/>
  <c r="E19" i="694"/>
  <c r="D70" i="684"/>
  <c r="AL79" i="482"/>
  <c r="S106" i="167"/>
  <c r="D21" i="626"/>
  <c r="D21" i="693"/>
  <c r="D19" i="694"/>
  <c r="AI79" i="482"/>
  <c r="D20" i="694" s="1"/>
  <c r="D71" i="497"/>
  <c r="D72" i="248" s="1"/>
  <c r="R30" i="483"/>
  <c r="R47" i="483" s="1"/>
  <c r="R55" i="483" s="1"/>
  <c r="R59" i="483" s="1"/>
  <c r="S28" i="483"/>
  <c r="S30" i="483" s="1"/>
  <c r="O61" i="483"/>
  <c r="O70" i="483" s="1"/>
  <c r="O74" i="483" s="1"/>
  <c r="J101" i="683" s="1"/>
  <c r="L101" i="167"/>
  <c r="E110" i="167"/>
  <c r="E111" i="167" s="1"/>
  <c r="C12" i="601"/>
  <c r="C13" i="601" s="1"/>
  <c r="D18" i="518"/>
  <c r="D43" i="248"/>
  <c r="D34" i="248"/>
  <c r="N59" i="483"/>
  <c r="D25" i="525" s="1"/>
  <c r="D24" i="525"/>
  <c r="N61" i="483"/>
  <c r="T86" i="482" s="1"/>
  <c r="I102" i="683" s="1"/>
  <c r="D21" i="559"/>
  <c r="Q55" i="483"/>
  <c r="G22" i="614"/>
  <c r="G79" i="613"/>
  <c r="G24" i="614" s="1"/>
  <c r="G26" i="614" s="1"/>
  <c r="G57" i="614" s="1"/>
  <c r="H22" i="614"/>
  <c r="H79" i="613"/>
  <c r="H24" i="614" s="1"/>
  <c r="H26" i="614" s="1"/>
  <c r="H57" i="614" s="1"/>
  <c r="F22" i="614"/>
  <c r="F79" i="613"/>
  <c r="F24" i="614" s="1"/>
  <c r="F26" i="614" s="1"/>
  <c r="F57" i="614" s="1"/>
  <c r="I22" i="614"/>
  <c r="I79" i="613"/>
  <c r="I24" i="614" s="1"/>
  <c r="I26" i="614" s="1"/>
  <c r="I57" i="614" s="1"/>
  <c r="D36" i="608"/>
  <c r="D40" i="608" s="1"/>
  <c r="F220" i="167"/>
  <c r="G101" i="167"/>
  <c r="E20" i="560"/>
  <c r="E20" i="664"/>
  <c r="E20" i="665"/>
  <c r="C12" i="555"/>
  <c r="C14" i="555" s="1"/>
  <c r="C16" i="555" s="1"/>
  <c r="E70" i="547"/>
  <c r="F71" i="248"/>
  <c r="D13" i="626"/>
  <c r="D20" i="560"/>
  <c r="AG79" i="482"/>
  <c r="AG86" i="482"/>
  <c r="E21" i="628" s="1"/>
  <c r="E19" i="628"/>
  <c r="D70" i="622"/>
  <c r="D19" i="628"/>
  <c r="AD79" i="482"/>
  <c r="D20" i="628" s="1"/>
  <c r="I77" i="481"/>
  <c r="F50" i="489"/>
  <c r="F24" i="489"/>
  <c r="F20" i="489"/>
  <c r="F61" i="489" s="1"/>
  <c r="F63" i="489" s="1"/>
  <c r="F66" i="489" s="1"/>
  <c r="F98" i="489" s="1"/>
  <c r="F42" i="489"/>
  <c r="F33" i="489"/>
  <c r="F159" i="489" s="1"/>
  <c r="F35" i="489"/>
  <c r="F25" i="489"/>
  <c r="F43" i="489"/>
  <c r="F22" i="489"/>
  <c r="F157" i="489" s="1"/>
  <c r="F27" i="489"/>
  <c r="F26" i="489"/>
  <c r="D42" i="248"/>
  <c r="D37" i="248"/>
  <c r="D38" i="248"/>
  <c r="B22" i="614"/>
  <c r="D111" i="167"/>
  <c r="I207" i="481" s="1"/>
  <c r="D19" i="512"/>
  <c r="C78" i="613"/>
  <c r="C23" i="614" s="1"/>
  <c r="E78" i="613"/>
  <c r="E23" i="614" s="1"/>
  <c r="B78" i="613"/>
  <c r="B23" i="614" s="1"/>
  <c r="I206" i="481"/>
  <c r="I170" i="481"/>
  <c r="E37" i="496" s="1"/>
  <c r="D78" i="613"/>
  <c r="D23" i="614" s="1"/>
  <c r="R181" i="1"/>
  <c r="E22" i="614"/>
  <c r="C21" i="534"/>
  <c r="D39" i="248"/>
  <c r="D22" i="614"/>
  <c r="D41" i="248"/>
  <c r="D57" i="248"/>
  <c r="C18" i="601"/>
  <c r="D99" i="497"/>
  <c r="D100" i="497" s="1"/>
  <c r="E14" i="423"/>
  <c r="U28" i="483"/>
  <c r="V28" i="483" s="1"/>
  <c r="V30" i="483" s="1"/>
  <c r="V47" i="483" s="1"/>
  <c r="V55" i="483" s="1"/>
  <c r="V59" i="483" s="1"/>
  <c r="C22" i="614"/>
  <c r="U86" i="482" l="1"/>
  <c r="C61" i="659" s="1"/>
  <c r="V85" i="482"/>
  <c r="C67" i="659"/>
  <c r="D43" i="517"/>
  <c r="J31" i="489"/>
  <c r="J25" i="489"/>
  <c r="D17" i="517"/>
  <c r="K25" i="489"/>
  <c r="G45" i="644"/>
  <c r="G10" i="643" s="1"/>
  <c r="J21" i="489"/>
  <c r="D45" i="644"/>
  <c r="D10" i="643" s="1"/>
  <c r="J30" i="489"/>
  <c r="D41" i="517"/>
  <c r="B45" i="644"/>
  <c r="B10" i="643" s="1"/>
  <c r="I158" i="489"/>
  <c r="P70" i="483"/>
  <c r="P74" i="483" s="1"/>
  <c r="P73" i="483" s="1"/>
  <c r="J22" i="489"/>
  <c r="F45" i="644"/>
  <c r="F10" i="643" s="1"/>
  <c r="I45" i="644"/>
  <c r="I10" i="643" s="1"/>
  <c r="H45" i="644"/>
  <c r="H10" i="643" s="1"/>
  <c r="K21" i="489"/>
  <c r="E45" i="644"/>
  <c r="E10" i="643" s="1"/>
  <c r="D15" i="517"/>
  <c r="D34" i="497"/>
  <c r="D35" i="248" s="1"/>
  <c r="K29" i="489"/>
  <c r="D39" i="497"/>
  <c r="D47" i="517" s="1"/>
  <c r="J29" i="489"/>
  <c r="Y61" i="483"/>
  <c r="AK86" i="482" s="1"/>
  <c r="C67" i="682" s="1"/>
  <c r="S47" i="483"/>
  <c r="S55" i="483" s="1"/>
  <c r="S59" i="483" s="1"/>
  <c r="V61" i="483"/>
  <c r="AF86" i="482" s="1"/>
  <c r="D35" i="497"/>
  <c r="D21" i="517" s="1"/>
  <c r="I61" i="489"/>
  <c r="I157" i="489"/>
  <c r="J24" i="489"/>
  <c r="K24" i="489"/>
  <c r="D16" i="517"/>
  <c r="J26" i="489"/>
  <c r="K26" i="489"/>
  <c r="D18" i="517"/>
  <c r="I101" i="167"/>
  <c r="C12" i="689"/>
  <c r="C14" i="689" s="1"/>
  <c r="N101" i="167"/>
  <c r="E20" i="694"/>
  <c r="H71" i="248"/>
  <c r="G71" i="248"/>
  <c r="E70" i="684"/>
  <c r="I71" i="248"/>
  <c r="C53" i="644"/>
  <c r="C18" i="643" s="1"/>
  <c r="R61" i="483"/>
  <c r="U26" i="483" s="1"/>
  <c r="J101" i="545"/>
  <c r="C62" i="659"/>
  <c r="D19" i="518"/>
  <c r="J104" i="167"/>
  <c r="O104" i="167"/>
  <c r="M101" i="167"/>
  <c r="M104" i="167" s="1"/>
  <c r="M105" i="167" s="1"/>
  <c r="I192" i="489"/>
  <c r="J101" i="620"/>
  <c r="J100" i="490"/>
  <c r="O73" i="483"/>
  <c r="C44" i="659"/>
  <c r="C37" i="659"/>
  <c r="D69" i="498"/>
  <c r="I102" i="620"/>
  <c r="I101" i="490"/>
  <c r="E66" i="498" s="1"/>
  <c r="D21" i="526"/>
  <c r="I102" i="545"/>
  <c r="T85" i="482"/>
  <c r="Q61" i="483"/>
  <c r="Q59" i="483"/>
  <c r="D25" i="559" s="1"/>
  <c r="D24" i="559"/>
  <c r="D26" i="525"/>
  <c r="N70" i="483"/>
  <c r="D16" i="512"/>
  <c r="C79" i="613"/>
  <c r="C24" i="614" s="1"/>
  <c r="C26" i="614" s="1"/>
  <c r="C57" i="614" s="1"/>
  <c r="E79" i="613"/>
  <c r="E24" i="614" s="1"/>
  <c r="E26" i="614" s="1"/>
  <c r="E57" i="614" s="1"/>
  <c r="I78" i="481"/>
  <c r="D22" i="512" s="1"/>
  <c r="M5" i="467"/>
  <c r="G124" i="1"/>
  <c r="G200" i="167"/>
  <c r="G204" i="167" s="1"/>
  <c r="E31" i="608" s="1"/>
  <c r="F103" i="167"/>
  <c r="F104" i="167" s="1"/>
  <c r="S176" i="1"/>
  <c r="S177" i="1" s="1"/>
  <c r="S178" i="1" s="1"/>
  <c r="I81" i="481"/>
  <c r="I82" i="481" s="1"/>
  <c r="I83" i="481" s="1"/>
  <c r="D91" i="496" s="1"/>
  <c r="C94" i="248" s="1"/>
  <c r="H101" i="167"/>
  <c r="C12" i="632"/>
  <c r="C14" i="632" s="1"/>
  <c r="C16" i="632" s="1"/>
  <c r="E20" i="628"/>
  <c r="E70" i="622"/>
  <c r="F103" i="489"/>
  <c r="F117" i="489"/>
  <c r="F110" i="489"/>
  <c r="F114" i="489" s="1"/>
  <c r="D79" i="613"/>
  <c r="D24" i="614" s="1"/>
  <c r="D26" i="614" s="1"/>
  <c r="D57" i="614" s="1"/>
  <c r="C26" i="600"/>
  <c r="D21" i="512"/>
  <c r="C25" i="600"/>
  <c r="D20" i="512"/>
  <c r="B79" i="613"/>
  <c r="B24" i="614" s="1"/>
  <c r="B26" i="614" s="1"/>
  <c r="B57" i="614" s="1"/>
  <c r="F160" i="489"/>
  <c r="L61" i="489" l="1"/>
  <c r="I31" i="106" s="1"/>
  <c r="D21" i="109"/>
  <c r="D77" i="109"/>
  <c r="D88" i="109" s="1"/>
  <c r="F105" i="167"/>
  <c r="F106" i="167" s="1"/>
  <c r="F33" i="106"/>
  <c r="F35" i="106" s="1"/>
  <c r="U85" i="482"/>
  <c r="C63" i="659"/>
  <c r="C65" i="659" s="1"/>
  <c r="C43" i="659"/>
  <c r="C67" i="665"/>
  <c r="AF85" i="482"/>
  <c r="G53" i="644"/>
  <c r="G89" i="644" s="1"/>
  <c r="G78" i="644" s="1"/>
  <c r="G23" i="643" s="1"/>
  <c r="M45" i="467"/>
  <c r="G72" i="1"/>
  <c r="H11" i="636" s="1"/>
  <c r="D11" i="636" s="1"/>
  <c r="D15" i="636" s="1"/>
  <c r="D18" i="636" s="1"/>
  <c r="D21" i="636" s="1"/>
  <c r="I79" i="481"/>
  <c r="I105" i="481" s="1"/>
  <c r="D53" i="644"/>
  <c r="D89" i="644" s="1"/>
  <c r="D77" i="644" s="1"/>
  <c r="D22" i="643" s="1"/>
  <c r="D40" i="248"/>
  <c r="B53" i="644"/>
  <c r="B89" i="644" s="1"/>
  <c r="B78" i="644" s="1"/>
  <c r="B23" i="643" s="1"/>
  <c r="I53" i="644"/>
  <c r="I89" i="644" s="1"/>
  <c r="I77" i="644" s="1"/>
  <c r="I22" i="643" s="1"/>
  <c r="C68" i="659"/>
  <c r="C69" i="659" s="1"/>
  <c r="F53" i="644"/>
  <c r="F89" i="644" s="1"/>
  <c r="F77" i="644" s="1"/>
  <c r="F22" i="643" s="1"/>
  <c r="Y70" i="483"/>
  <c r="Y74" i="483" s="1"/>
  <c r="C68" i="682" s="1"/>
  <c r="AK85" i="482"/>
  <c r="H53" i="644"/>
  <c r="H89" i="644" s="1"/>
  <c r="H78" i="644" s="1"/>
  <c r="H23" i="643" s="1"/>
  <c r="E53" i="644"/>
  <c r="E89" i="644" s="1"/>
  <c r="S61" i="483"/>
  <c r="AA86" i="482" s="1"/>
  <c r="AA85" i="482" s="1"/>
  <c r="V70" i="483"/>
  <c r="V74" i="483" s="1"/>
  <c r="E55" i="497"/>
  <c r="J61" i="489"/>
  <c r="J70" i="489" s="1"/>
  <c r="J71" i="489" s="1"/>
  <c r="J72" i="489" s="1"/>
  <c r="J73" i="489" s="1"/>
  <c r="D55" i="497"/>
  <c r="D59" i="497" s="1"/>
  <c r="D61" i="109" s="1"/>
  <c r="Z86" i="482"/>
  <c r="C61" i="664" s="1"/>
  <c r="D36" i="248"/>
  <c r="I70" i="489"/>
  <c r="I71" i="489" s="1"/>
  <c r="C21" i="601" s="1"/>
  <c r="I63" i="489"/>
  <c r="I66" i="489" s="1"/>
  <c r="K61" i="489"/>
  <c r="N104" i="167"/>
  <c r="N105" i="167" s="1"/>
  <c r="C16" i="689"/>
  <c r="Y86" i="482"/>
  <c r="D69" i="547" s="1"/>
  <c r="D12" i="693"/>
  <c r="D14" i="693" s="1"/>
  <c r="D12" i="626"/>
  <c r="D14" i="626" s="1"/>
  <c r="M106" i="167"/>
  <c r="C89" i="644"/>
  <c r="C78" i="644" s="1"/>
  <c r="C23" i="643" s="1"/>
  <c r="R70" i="483"/>
  <c r="R74" i="483" s="1"/>
  <c r="C62" i="664" s="1"/>
  <c r="H12" i="659"/>
  <c r="P102" i="167" s="1"/>
  <c r="G12" i="659"/>
  <c r="O105" i="167"/>
  <c r="O109" i="167"/>
  <c r="O110" i="167" s="1"/>
  <c r="J109" i="167"/>
  <c r="J110" i="167" s="1"/>
  <c r="J105" i="167"/>
  <c r="C26" i="601"/>
  <c r="D21" i="518"/>
  <c r="L104" i="167"/>
  <c r="E69" i="498"/>
  <c r="E70" i="248"/>
  <c r="N74" i="483"/>
  <c r="I101" i="683" s="1"/>
  <c r="D27" i="525"/>
  <c r="U30" i="483"/>
  <c r="U47" i="483" s="1"/>
  <c r="U55" i="483" s="1"/>
  <c r="U59" i="483" s="1"/>
  <c r="D26" i="559"/>
  <c r="T26" i="483"/>
  <c r="Q70" i="483"/>
  <c r="J57" i="614"/>
  <c r="D23" i="537" s="1"/>
  <c r="C11" i="661"/>
  <c r="D23" i="512"/>
  <c r="E60" i="496"/>
  <c r="S179" i="1"/>
  <c r="E27" i="608"/>
  <c r="G203" i="167"/>
  <c r="C17" i="535"/>
  <c r="D20" i="498"/>
  <c r="E21" i="248" s="1"/>
  <c r="H154" i="142"/>
  <c r="D53" i="523" s="1"/>
  <c r="F113" i="167"/>
  <c r="F102" i="167"/>
  <c r="M32" i="467"/>
  <c r="M33" i="467" s="1"/>
  <c r="D21" i="498"/>
  <c r="E22" i="248" s="1"/>
  <c r="M15" i="467"/>
  <c r="G73" i="1" s="1"/>
  <c r="F120" i="489"/>
  <c r="C27" i="600"/>
  <c r="C29" i="600" s="1"/>
  <c r="D84" i="496"/>
  <c r="C87" i="248" s="1"/>
  <c r="D38" i="109"/>
  <c r="D40" i="109" s="1"/>
  <c r="I12" i="107" s="1"/>
  <c r="I120" i="481"/>
  <c r="I191" i="489" l="1"/>
  <c r="D20" i="518" s="1"/>
  <c r="I188" i="489"/>
  <c r="D14" i="518" s="1"/>
  <c r="I80" i="489"/>
  <c r="I81" i="489" s="1"/>
  <c r="E60" i="497" s="1"/>
  <c r="D14" i="497"/>
  <c r="D10" i="518" s="1"/>
  <c r="I77" i="489"/>
  <c r="D63" i="109" s="1"/>
  <c r="D15" i="248"/>
  <c r="I161" i="489"/>
  <c r="E14" i="497"/>
  <c r="I162" i="489"/>
  <c r="E37" i="497" s="1"/>
  <c r="I76" i="489"/>
  <c r="D16" i="518" s="1"/>
  <c r="D13" i="524"/>
  <c r="D18" i="643"/>
  <c r="C71" i="659"/>
  <c r="C73" i="659" s="1"/>
  <c r="C74" i="659" s="1"/>
  <c r="G18" i="643"/>
  <c r="G77" i="644"/>
  <c r="G79" i="644" s="1"/>
  <c r="G24" i="643" s="1"/>
  <c r="D56" i="248"/>
  <c r="D78" i="644"/>
  <c r="D23" i="643" s="1"/>
  <c r="B77" i="644"/>
  <c r="B79" i="644" s="1"/>
  <c r="B24" i="643" s="1"/>
  <c r="H18" i="643"/>
  <c r="I78" i="644"/>
  <c r="I23" i="643" s="1"/>
  <c r="B18" i="643"/>
  <c r="I18" i="643"/>
  <c r="F78" i="644"/>
  <c r="F23" i="643" s="1"/>
  <c r="F18" i="643"/>
  <c r="H77" i="644"/>
  <c r="H79" i="644" s="1"/>
  <c r="H24" i="643" s="1"/>
  <c r="Y73" i="483"/>
  <c r="S70" i="483"/>
  <c r="S74" i="483" s="1"/>
  <c r="C68" i="664" s="1"/>
  <c r="C67" i="664"/>
  <c r="E18" i="643"/>
  <c r="E77" i="644"/>
  <c r="E78" i="644"/>
  <c r="E23" i="643" s="1"/>
  <c r="V73" i="483"/>
  <c r="C68" i="665"/>
  <c r="C63" i="664"/>
  <c r="C65" i="664" s="1"/>
  <c r="C15" i="601"/>
  <c r="C17" i="601" s="1"/>
  <c r="I72" i="489"/>
  <c r="I73" i="489" s="1"/>
  <c r="I74" i="489" s="1"/>
  <c r="D90" i="497" s="1"/>
  <c r="J63" i="489"/>
  <c r="J66" i="489" s="1"/>
  <c r="D13" i="423"/>
  <c r="D17" i="423" s="1"/>
  <c r="Z85" i="482"/>
  <c r="C43" i="664"/>
  <c r="Y85" i="482"/>
  <c r="D21" i="560"/>
  <c r="C37" i="664"/>
  <c r="G21" i="227"/>
  <c r="G31" i="227" s="1"/>
  <c r="G38" i="227" s="1"/>
  <c r="E59" i="497"/>
  <c r="K70" i="489"/>
  <c r="K71" i="489" s="1"/>
  <c r="K72" i="489" s="1"/>
  <c r="K73" i="489" s="1"/>
  <c r="K74" i="489" s="1"/>
  <c r="K63" i="489"/>
  <c r="K66" i="489" s="1"/>
  <c r="C13" i="423"/>
  <c r="C17" i="423" s="1"/>
  <c r="C77" i="644"/>
  <c r="C22" i="643" s="1"/>
  <c r="N106" i="167"/>
  <c r="F95" i="167"/>
  <c r="I51" i="683"/>
  <c r="I61" i="683" s="1"/>
  <c r="L61" i="683" s="1"/>
  <c r="R73" i="483"/>
  <c r="C44" i="664"/>
  <c r="I26" i="490"/>
  <c r="F94" i="167"/>
  <c r="I51" i="620"/>
  <c r="I51" i="545"/>
  <c r="K51" i="545" s="1"/>
  <c r="I51" i="490"/>
  <c r="K51" i="490" s="1"/>
  <c r="J106" i="167"/>
  <c r="K76" i="489" s="1"/>
  <c r="J111" i="167"/>
  <c r="K77" i="489" s="1"/>
  <c r="C19" i="423" s="1"/>
  <c r="O111" i="167"/>
  <c r="J192" i="489" s="1"/>
  <c r="J191" i="489"/>
  <c r="O106" i="167"/>
  <c r="J189" i="489" s="1"/>
  <c r="J188" i="489"/>
  <c r="J62" i="490"/>
  <c r="P113" i="167"/>
  <c r="K62" i="490"/>
  <c r="K113" i="167"/>
  <c r="K102" i="167"/>
  <c r="K108" i="167"/>
  <c r="P108" i="167"/>
  <c r="L105" i="167"/>
  <c r="L106" i="167" s="1"/>
  <c r="I27" i="490"/>
  <c r="K27" i="490" s="1"/>
  <c r="F98" i="167"/>
  <c r="F99" i="167" s="1"/>
  <c r="E69" i="547"/>
  <c r="F70" i="248"/>
  <c r="U61" i="483"/>
  <c r="I25" i="490"/>
  <c r="D60" i="496"/>
  <c r="D27" i="559"/>
  <c r="Q74" i="483"/>
  <c r="T30" i="483"/>
  <c r="T47" i="483" s="1"/>
  <c r="D28" i="525"/>
  <c r="N73" i="483"/>
  <c r="I101" i="620"/>
  <c r="C38" i="659"/>
  <c r="I100" i="490"/>
  <c r="E65" i="498" s="1"/>
  <c r="E78" i="498" s="1"/>
  <c r="D68" i="498"/>
  <c r="I101" i="545"/>
  <c r="I196" i="490"/>
  <c r="D15" i="524" s="1"/>
  <c r="I50" i="646"/>
  <c r="I15" i="645" s="1"/>
  <c r="F50" i="646"/>
  <c r="F15" i="645" s="1"/>
  <c r="I51" i="646"/>
  <c r="I16" i="645" s="1"/>
  <c r="H51" i="646"/>
  <c r="H16" i="645" s="1"/>
  <c r="G51" i="646"/>
  <c r="G16" i="645" s="1"/>
  <c r="F51" i="646"/>
  <c r="F16" i="645" s="1"/>
  <c r="H50" i="646"/>
  <c r="H15" i="645" s="1"/>
  <c r="G50" i="646"/>
  <c r="G15" i="645" s="1"/>
  <c r="I47" i="646"/>
  <c r="I12" i="645" s="1"/>
  <c r="G47" i="646"/>
  <c r="G12" i="645" s="1"/>
  <c r="I49" i="646"/>
  <c r="I14" i="645" s="1"/>
  <c r="H49" i="646"/>
  <c r="H14" i="645" s="1"/>
  <c r="F49" i="646"/>
  <c r="F14" i="645" s="1"/>
  <c r="G49" i="646"/>
  <c r="G14" i="645" s="1"/>
  <c r="H47" i="646"/>
  <c r="H12" i="645" s="1"/>
  <c r="F47" i="646"/>
  <c r="F12" i="645" s="1"/>
  <c r="G52" i="646"/>
  <c r="G17" i="645" s="1"/>
  <c r="F44" i="646"/>
  <c r="H44" i="646"/>
  <c r="F52" i="646"/>
  <c r="F17" i="645" s="1"/>
  <c r="H52" i="646"/>
  <c r="H17" i="645" s="1"/>
  <c r="I52" i="646"/>
  <c r="I17" i="645" s="1"/>
  <c r="I44" i="646"/>
  <c r="G44" i="646"/>
  <c r="D12" i="524"/>
  <c r="C10" i="661"/>
  <c r="E30" i="608"/>
  <c r="G205" i="167"/>
  <c r="O8" i="467"/>
  <c r="M19" i="467"/>
  <c r="D44" i="646"/>
  <c r="C44" i="646"/>
  <c r="B52" i="646"/>
  <c r="B17" i="645" s="1"/>
  <c r="B51" i="646"/>
  <c r="B16" i="645" s="1"/>
  <c r="E49" i="646"/>
  <c r="E14" i="645" s="1"/>
  <c r="I45" i="490"/>
  <c r="D51" i="646"/>
  <c r="D16" i="645" s="1"/>
  <c r="I43" i="490"/>
  <c r="B49" i="646"/>
  <c r="B14" i="645" s="1"/>
  <c r="D28" i="498"/>
  <c r="E29" i="248" s="1"/>
  <c r="D50" i="646"/>
  <c r="D15" i="645" s="1"/>
  <c r="B44" i="646"/>
  <c r="I50" i="490"/>
  <c r="K50" i="490" s="1"/>
  <c r="I46" i="490"/>
  <c r="K46" i="490" s="1"/>
  <c r="D49" i="646"/>
  <c r="D14" i="645" s="1"/>
  <c r="E50" i="646"/>
  <c r="E15" i="645" s="1"/>
  <c r="B88" i="646"/>
  <c r="C88" i="646" s="1"/>
  <c r="D88" i="646" s="1"/>
  <c r="E88" i="646" s="1"/>
  <c r="F88" i="646" s="1"/>
  <c r="G88" i="646" s="1"/>
  <c r="H88" i="646" s="1"/>
  <c r="I88" i="646" s="1"/>
  <c r="C50" i="646"/>
  <c r="C15" i="645" s="1"/>
  <c r="C51" i="646"/>
  <c r="C16" i="645" s="1"/>
  <c r="I40" i="490"/>
  <c r="F19" i="167"/>
  <c r="F20" i="167" s="1"/>
  <c r="D47" i="646"/>
  <c r="D12" i="645" s="1"/>
  <c r="I38" i="490"/>
  <c r="E47" i="646"/>
  <c r="E12" i="645" s="1"/>
  <c r="I39" i="490"/>
  <c r="E44" i="646"/>
  <c r="I20" i="490"/>
  <c r="K20" i="490" s="1"/>
  <c r="B47" i="646"/>
  <c r="B12" i="645" s="1"/>
  <c r="E52" i="646"/>
  <c r="E17" i="645" s="1"/>
  <c r="B50" i="646"/>
  <c r="B15" i="645" s="1"/>
  <c r="C52" i="646"/>
  <c r="C17" i="645" s="1"/>
  <c r="I42" i="490"/>
  <c r="I47" i="490"/>
  <c r="K47" i="490" s="1"/>
  <c r="I36" i="490"/>
  <c r="C49" i="646"/>
  <c r="C14" i="645" s="1"/>
  <c r="D52" i="646"/>
  <c r="D17" i="645" s="1"/>
  <c r="I33" i="490"/>
  <c r="I41" i="490"/>
  <c r="I44" i="490"/>
  <c r="I37" i="490"/>
  <c r="C47" i="646"/>
  <c r="C12" i="645" s="1"/>
  <c r="E51" i="646"/>
  <c r="E16" i="645" s="1"/>
  <c r="I62" i="490"/>
  <c r="F23" i="106" s="1"/>
  <c r="F25" i="106" s="1"/>
  <c r="C19" i="535"/>
  <c r="C20" i="535" s="1"/>
  <c r="C18" i="535"/>
  <c r="F108" i="167"/>
  <c r="F109" i="167" s="1"/>
  <c r="S180" i="1"/>
  <c r="I118" i="481"/>
  <c r="I122" i="481" s="1"/>
  <c r="D35" i="634" s="1"/>
  <c r="I111" i="481"/>
  <c r="C31" i="600"/>
  <c r="C32" i="600" s="1"/>
  <c r="C33" i="600" s="1"/>
  <c r="D74" i="496" s="1"/>
  <c r="I82" i="489"/>
  <c r="J74" i="489"/>
  <c r="C25" i="601" l="1"/>
  <c r="C27" i="601" s="1"/>
  <c r="I78" i="489"/>
  <c r="D60" i="497" s="1"/>
  <c r="D61" i="248" s="1"/>
  <c r="D22" i="518"/>
  <c r="D23" i="518" s="1"/>
  <c r="C75" i="248"/>
  <c r="F11" i="106"/>
  <c r="D78" i="109"/>
  <c r="D89" i="109" s="1"/>
  <c r="D22" i="109"/>
  <c r="D24" i="109" s="1"/>
  <c r="C61" i="248"/>
  <c r="F9" i="106"/>
  <c r="G26" i="643"/>
  <c r="G57" i="643" s="1"/>
  <c r="G22" i="643"/>
  <c r="D79" i="644"/>
  <c r="D24" i="643" s="1"/>
  <c r="D26" i="643" s="1"/>
  <c r="D57" i="643" s="1"/>
  <c r="C19" i="601"/>
  <c r="C23" i="601" s="1"/>
  <c r="B26" i="643"/>
  <c r="B57" i="643" s="1"/>
  <c r="B22" i="643"/>
  <c r="H26" i="643"/>
  <c r="H57" i="643" s="1"/>
  <c r="I79" i="644"/>
  <c r="I24" i="643" s="1"/>
  <c r="I26" i="643" s="1"/>
  <c r="I57" i="643" s="1"/>
  <c r="F79" i="644"/>
  <c r="F24" i="643" s="1"/>
  <c r="F26" i="643" s="1"/>
  <c r="F57" i="643" s="1"/>
  <c r="S73" i="483"/>
  <c r="C69" i="664"/>
  <c r="C71" i="664" s="1"/>
  <c r="C73" i="664" s="1"/>
  <c r="C74" i="664" s="1"/>
  <c r="H22" i="643"/>
  <c r="E22" i="643"/>
  <c r="E79" i="644"/>
  <c r="E24" i="643" s="1"/>
  <c r="E26" i="643" s="1"/>
  <c r="E57" i="643" s="1"/>
  <c r="D83" i="497"/>
  <c r="E13" i="423"/>
  <c r="D60" i="248"/>
  <c r="E55" i="684"/>
  <c r="K61" i="683"/>
  <c r="J61" i="683"/>
  <c r="D55" i="684"/>
  <c r="F96" i="167"/>
  <c r="C46" i="646" s="1"/>
  <c r="C11" i="645" s="1"/>
  <c r="C79" i="644"/>
  <c r="C24" i="643" s="1"/>
  <c r="C26" i="643" s="1"/>
  <c r="C57" i="643" s="1"/>
  <c r="AE86" i="482"/>
  <c r="AE85" i="482" s="1"/>
  <c r="X26" i="483"/>
  <c r="J51" i="683"/>
  <c r="D44" i="684"/>
  <c r="I45" i="248" s="1"/>
  <c r="D18" i="523"/>
  <c r="J26" i="490"/>
  <c r="K26" i="490"/>
  <c r="C14" i="659"/>
  <c r="K80" i="489"/>
  <c r="K81" i="489" s="1"/>
  <c r="K82" i="489" s="1"/>
  <c r="C21" i="423" s="1"/>
  <c r="J76" i="489"/>
  <c r="D18" i="423" s="1"/>
  <c r="J80" i="489"/>
  <c r="K78" i="489"/>
  <c r="C18" i="423"/>
  <c r="J77" i="489"/>
  <c r="D19" i="423" s="1"/>
  <c r="E19" i="423" s="1"/>
  <c r="D28" i="523"/>
  <c r="K38" i="490"/>
  <c r="D27" i="523"/>
  <c r="K37" i="490"/>
  <c r="D26" i="523"/>
  <c r="K36" i="490"/>
  <c r="D32" i="523"/>
  <c r="K42" i="490"/>
  <c r="D17" i="523"/>
  <c r="K25" i="490"/>
  <c r="D30" i="523"/>
  <c r="K40" i="490"/>
  <c r="D35" i="523"/>
  <c r="K43" i="490"/>
  <c r="D36" i="523"/>
  <c r="K44" i="490"/>
  <c r="D14" i="659"/>
  <c r="D31" i="523"/>
  <c r="K41" i="490"/>
  <c r="D29" i="523"/>
  <c r="K39" i="490"/>
  <c r="D37" i="523"/>
  <c r="K45" i="490"/>
  <c r="D54" i="523"/>
  <c r="D55" i="523" s="1"/>
  <c r="K33" i="490"/>
  <c r="C12" i="661"/>
  <c r="C13" i="661" s="1"/>
  <c r="F110" i="167"/>
  <c r="F111" i="167" s="1"/>
  <c r="D18" i="524"/>
  <c r="J27" i="490"/>
  <c r="D19" i="523"/>
  <c r="J25" i="490"/>
  <c r="U70" i="483"/>
  <c r="U74" i="483" s="1"/>
  <c r="C62" i="665" s="1"/>
  <c r="T55" i="483"/>
  <c r="E68" i="498"/>
  <c r="E69" i="248"/>
  <c r="C45" i="659"/>
  <c r="C39" i="659"/>
  <c r="C41" i="659" s="1"/>
  <c r="C38" i="664"/>
  <c r="D28" i="559"/>
  <c r="Q73" i="483"/>
  <c r="D68" i="547"/>
  <c r="H9" i="645"/>
  <c r="G9" i="645"/>
  <c r="I9" i="645"/>
  <c r="F9" i="645"/>
  <c r="E17" i="423"/>
  <c r="C21" i="535"/>
  <c r="I159" i="490"/>
  <c r="D42" i="498"/>
  <c r="J33" i="490"/>
  <c r="J39" i="490"/>
  <c r="D9" i="645"/>
  <c r="J38" i="490"/>
  <c r="J37" i="490"/>
  <c r="L41" i="490"/>
  <c r="J51" i="490"/>
  <c r="D44" i="498"/>
  <c r="E45" i="248" s="1"/>
  <c r="E56" i="498"/>
  <c r="D56" i="498"/>
  <c r="I160" i="490"/>
  <c r="E35" i="498" s="1"/>
  <c r="J45" i="490"/>
  <c r="D37" i="498"/>
  <c r="D33" i="523" s="1"/>
  <c r="J36" i="490"/>
  <c r="F23" i="167"/>
  <c r="F49" i="167"/>
  <c r="J46" i="490"/>
  <c r="D36" i="498"/>
  <c r="D23" i="523" s="1"/>
  <c r="J44" i="490"/>
  <c r="D41" i="498"/>
  <c r="D51" i="523" s="1"/>
  <c r="J47" i="490"/>
  <c r="J20" i="490"/>
  <c r="D33" i="498"/>
  <c r="E33" i="498"/>
  <c r="J40" i="490"/>
  <c r="D40" i="498"/>
  <c r="D49" i="523" s="1"/>
  <c r="E40" i="498"/>
  <c r="J50" i="490"/>
  <c r="E32" i="608"/>
  <c r="G207" i="167"/>
  <c r="S181" i="1"/>
  <c r="S182" i="1"/>
  <c r="J41" i="490"/>
  <c r="J42" i="490"/>
  <c r="E9" i="645"/>
  <c r="B9" i="645"/>
  <c r="J43" i="490"/>
  <c r="D38" i="498"/>
  <c r="D38" i="523" s="1"/>
  <c r="I163" i="490"/>
  <c r="E37" i="498" s="1"/>
  <c r="C9" i="645"/>
  <c r="D84" i="497"/>
  <c r="D87" i="248" s="1"/>
  <c r="D91" i="497"/>
  <c r="D94" i="248" s="1"/>
  <c r="I184" i="481"/>
  <c r="I185" i="481" s="1"/>
  <c r="I187" i="481" s="1"/>
  <c r="I125" i="481" s="1"/>
  <c r="I128" i="481" s="1"/>
  <c r="D36" i="634"/>
  <c r="D38" i="634" s="1"/>
  <c r="I124" i="481"/>
  <c r="I112" i="489"/>
  <c r="D64" i="109" l="1"/>
  <c r="D67" i="109" s="1"/>
  <c r="D69" i="109" s="1"/>
  <c r="K12" i="107" s="1"/>
  <c r="C29" i="601"/>
  <c r="C31" i="601" s="1"/>
  <c r="C32" i="601" s="1"/>
  <c r="C33" i="601" s="1"/>
  <c r="D74" i="497" s="1"/>
  <c r="D45" i="109"/>
  <c r="D26" i="109"/>
  <c r="D28" i="109" s="1"/>
  <c r="E13" i="107" s="1"/>
  <c r="J57" i="643"/>
  <c r="D23" i="538" s="1"/>
  <c r="X30" i="483"/>
  <c r="X47" i="483" s="1"/>
  <c r="X55" i="483" s="1"/>
  <c r="X59" i="483" s="1"/>
  <c r="C43" i="665"/>
  <c r="C61" i="665"/>
  <c r="C69" i="665" s="1"/>
  <c r="H48" i="646"/>
  <c r="H13" i="645" s="1"/>
  <c r="I48" i="646"/>
  <c r="I13" i="645" s="1"/>
  <c r="C48" i="646"/>
  <c r="C13" i="645" s="1"/>
  <c r="G48" i="646"/>
  <c r="G13" i="645" s="1"/>
  <c r="C15" i="688"/>
  <c r="C17" i="688" s="1"/>
  <c r="I56" i="248"/>
  <c r="K21" i="227"/>
  <c r="K31" i="227" s="1"/>
  <c r="K38" i="227" s="1"/>
  <c r="G46" i="646"/>
  <c r="G11" i="645" s="1"/>
  <c r="H46" i="646"/>
  <c r="H11" i="645" s="1"/>
  <c r="F46" i="646"/>
  <c r="F11" i="645" s="1"/>
  <c r="D13" i="682"/>
  <c r="I22" i="490"/>
  <c r="D15" i="523" s="1"/>
  <c r="B46" i="646"/>
  <c r="B11" i="645" s="1"/>
  <c r="I31" i="490"/>
  <c r="D43" i="523" s="1"/>
  <c r="C13" i="682"/>
  <c r="I30" i="490"/>
  <c r="K30" i="490" s="1"/>
  <c r="B48" i="646"/>
  <c r="B13" i="645" s="1"/>
  <c r="I29" i="490"/>
  <c r="K29" i="490" s="1"/>
  <c r="E46" i="646"/>
  <c r="E11" i="645" s="1"/>
  <c r="E14" i="684"/>
  <c r="I15" i="248"/>
  <c r="D14" i="684"/>
  <c r="D10" i="692" s="1"/>
  <c r="I162" i="683"/>
  <c r="I163" i="683"/>
  <c r="J76" i="683"/>
  <c r="D18" i="682" s="1"/>
  <c r="I46" i="646"/>
  <c r="I11" i="645" s="1"/>
  <c r="D48" i="646"/>
  <c r="D13" i="645" s="1"/>
  <c r="E48" i="646"/>
  <c r="E13" i="645" s="1"/>
  <c r="D46" i="646"/>
  <c r="D11" i="645" s="1"/>
  <c r="F48" i="646"/>
  <c r="F13" i="645" s="1"/>
  <c r="K76" i="683"/>
  <c r="C18" i="682" s="1"/>
  <c r="F97" i="167"/>
  <c r="I21" i="490" s="1"/>
  <c r="D45" i="687" s="1"/>
  <c r="I24" i="490"/>
  <c r="E18" i="423"/>
  <c r="C24" i="423"/>
  <c r="J78" i="489"/>
  <c r="J98" i="489" s="1"/>
  <c r="D24" i="423"/>
  <c r="J81" i="489"/>
  <c r="J82" i="489" s="1"/>
  <c r="D19" i="524"/>
  <c r="I199" i="490"/>
  <c r="E43" i="248"/>
  <c r="D58" i="523"/>
  <c r="E34" i="248"/>
  <c r="D11" i="523"/>
  <c r="D24" i="537"/>
  <c r="C47" i="659"/>
  <c r="C49" i="659" s="1"/>
  <c r="C50" i="659" s="1"/>
  <c r="F13" i="106"/>
  <c r="F17" i="106" s="1"/>
  <c r="F21" i="106" s="1"/>
  <c r="D74" i="109" s="1"/>
  <c r="C44" i="665"/>
  <c r="U73" i="483"/>
  <c r="C45" i="664"/>
  <c r="C39" i="664"/>
  <c r="C41" i="664" s="1"/>
  <c r="E68" i="547"/>
  <c r="F69" i="248"/>
  <c r="T61" i="483"/>
  <c r="T59" i="483"/>
  <c r="D25" i="626" s="1"/>
  <c r="D24" i="626"/>
  <c r="F20" i="490"/>
  <c r="F61" i="490" s="1"/>
  <c r="F63" i="490" s="1"/>
  <c r="F66" i="490" s="1"/>
  <c r="F98" i="490" s="1"/>
  <c r="F22" i="490"/>
  <c r="F157" i="490" s="1"/>
  <c r="F25" i="490"/>
  <c r="F35" i="490"/>
  <c r="F26" i="490"/>
  <c r="F43" i="490"/>
  <c r="F42" i="490"/>
  <c r="F27" i="490"/>
  <c r="F33" i="490"/>
  <c r="F159" i="490" s="1"/>
  <c r="F50" i="490"/>
  <c r="F24" i="490"/>
  <c r="E39" i="248"/>
  <c r="E38" i="248"/>
  <c r="C18" i="661"/>
  <c r="D99" i="498"/>
  <c r="D100" i="498" s="1"/>
  <c r="E14" i="659"/>
  <c r="E57" i="248"/>
  <c r="E37" i="248"/>
  <c r="E36" i="608"/>
  <c r="E40" i="608" s="1"/>
  <c r="G220" i="167"/>
  <c r="E41" i="248"/>
  <c r="E42" i="248"/>
  <c r="C23" i="423"/>
  <c r="D85" i="496"/>
  <c r="C88" i="248" s="1"/>
  <c r="D92" i="496"/>
  <c r="C95" i="248" s="1"/>
  <c r="C63" i="665" l="1"/>
  <c r="C65" i="665" s="1"/>
  <c r="C71" i="665" s="1"/>
  <c r="C73" i="665" s="1"/>
  <c r="C74" i="665" s="1"/>
  <c r="H45" i="647"/>
  <c r="H10" i="648" s="1"/>
  <c r="D39" i="498"/>
  <c r="D47" i="523" s="1"/>
  <c r="E45" i="650"/>
  <c r="E10" i="649" s="1"/>
  <c r="G45" i="646"/>
  <c r="G10" i="645" s="1"/>
  <c r="F45" i="650"/>
  <c r="F10" i="649" s="1"/>
  <c r="G45" i="650"/>
  <c r="G10" i="649" s="1"/>
  <c r="G45" i="647"/>
  <c r="G10" i="648" s="1"/>
  <c r="K22" i="490"/>
  <c r="F45" i="647"/>
  <c r="F10" i="648" s="1"/>
  <c r="E45" i="647"/>
  <c r="E10" i="648" s="1"/>
  <c r="J30" i="490"/>
  <c r="B45" i="646"/>
  <c r="B10" i="645" s="1"/>
  <c r="D41" i="523"/>
  <c r="X61" i="483"/>
  <c r="AJ86" i="482" s="1"/>
  <c r="I45" i="647"/>
  <c r="I10" i="648" s="1"/>
  <c r="E45" i="646"/>
  <c r="E10" i="645" s="1"/>
  <c r="K21" i="490"/>
  <c r="J22" i="490"/>
  <c r="D35" i="498"/>
  <c r="D21" i="523" s="1"/>
  <c r="F45" i="646"/>
  <c r="F10" i="645" s="1"/>
  <c r="H45" i="646"/>
  <c r="H10" i="645" s="1"/>
  <c r="J29" i="490"/>
  <c r="I45" i="650"/>
  <c r="I10" i="649" s="1"/>
  <c r="D40" i="523"/>
  <c r="I45" i="687"/>
  <c r="I53" i="687" s="1"/>
  <c r="H45" i="650"/>
  <c r="H10" i="649" s="1"/>
  <c r="D45" i="647"/>
  <c r="D10" i="648" s="1"/>
  <c r="D45" i="646"/>
  <c r="D10" i="645" s="1"/>
  <c r="C45" i="687"/>
  <c r="C10" i="686" s="1"/>
  <c r="I157" i="490"/>
  <c r="C45" i="646"/>
  <c r="C10" i="645" s="1"/>
  <c r="D34" i="498"/>
  <c r="E35" i="248" s="1"/>
  <c r="I158" i="490"/>
  <c r="K31" i="490"/>
  <c r="E45" i="687"/>
  <c r="E53" i="687" s="1"/>
  <c r="J21" i="490"/>
  <c r="I45" i="646"/>
  <c r="I10" i="645" s="1"/>
  <c r="F45" i="687"/>
  <c r="F53" i="687" s="1"/>
  <c r="C45" i="650"/>
  <c r="C10" i="649" s="1"/>
  <c r="C45" i="647"/>
  <c r="C10" i="648" s="1"/>
  <c r="D45" i="650"/>
  <c r="D10" i="649" s="1"/>
  <c r="J31" i="490"/>
  <c r="G45" i="687"/>
  <c r="G10" i="686" s="1"/>
  <c r="H45" i="687"/>
  <c r="H10" i="686" s="1"/>
  <c r="D16" i="523"/>
  <c r="K24" i="490"/>
  <c r="J24" i="490"/>
  <c r="I61" i="490"/>
  <c r="L61" i="490" s="1"/>
  <c r="AD86" i="482"/>
  <c r="AD85" i="482" s="1"/>
  <c r="W26" i="483"/>
  <c r="D10" i="686"/>
  <c r="D53" i="687"/>
  <c r="D71" i="498"/>
  <c r="E72" i="248" s="1"/>
  <c r="J112" i="489"/>
  <c r="D21" i="423"/>
  <c r="D23" i="423" s="1"/>
  <c r="D25" i="423" s="1"/>
  <c r="J110" i="489"/>
  <c r="J103" i="489"/>
  <c r="E24" i="423"/>
  <c r="D28" i="537"/>
  <c r="D61" i="496" s="1"/>
  <c r="C62" i="248" s="1"/>
  <c r="C26" i="661"/>
  <c r="D21" i="524"/>
  <c r="C47" i="664"/>
  <c r="C49" i="664" s="1"/>
  <c r="C50" i="664" s="1"/>
  <c r="F160" i="490"/>
  <c r="D26" i="626"/>
  <c r="T70" i="483"/>
  <c r="P5" i="467"/>
  <c r="I72" i="1" s="1"/>
  <c r="G103" i="167"/>
  <c r="G104" i="167" s="1"/>
  <c r="G105" i="167" s="1"/>
  <c r="G106" i="167" s="1"/>
  <c r="T176" i="1"/>
  <c r="T177" i="1" s="1"/>
  <c r="H200" i="167"/>
  <c r="I124" i="1"/>
  <c r="Q104" i="167"/>
  <c r="F103" i="490"/>
  <c r="F110" i="490"/>
  <c r="F114" i="490" s="1"/>
  <c r="F117" i="490"/>
  <c r="D94" i="496"/>
  <c r="C97" i="248" s="1"/>
  <c r="D75" i="248"/>
  <c r="C25" i="423"/>
  <c r="C61" i="682" l="1"/>
  <c r="C43" i="682"/>
  <c r="AJ85" i="482"/>
  <c r="K61" i="490"/>
  <c r="K70" i="490" s="1"/>
  <c r="K71" i="490" s="1"/>
  <c r="C53" i="646"/>
  <c r="C18" i="645" s="1"/>
  <c r="E40" i="248"/>
  <c r="G53" i="646"/>
  <c r="G89" i="646" s="1"/>
  <c r="G77" i="646" s="1"/>
  <c r="G22" i="645" s="1"/>
  <c r="I53" i="646"/>
  <c r="I89" i="646" s="1"/>
  <c r="I77" i="646" s="1"/>
  <c r="I22" i="645" s="1"/>
  <c r="B53" i="646"/>
  <c r="B18" i="645" s="1"/>
  <c r="D53" i="646"/>
  <c r="D89" i="646" s="1"/>
  <c r="D77" i="646" s="1"/>
  <c r="D22" i="645" s="1"/>
  <c r="I10" i="686"/>
  <c r="F10" i="686"/>
  <c r="E10" i="686"/>
  <c r="W30" i="483"/>
  <c r="W47" i="483" s="1"/>
  <c r="W55" i="483" s="1"/>
  <c r="X70" i="483"/>
  <c r="X74" i="483" s="1"/>
  <c r="E36" i="248"/>
  <c r="E53" i="646"/>
  <c r="E89" i="646" s="1"/>
  <c r="E78" i="646" s="1"/>
  <c r="E23" i="645" s="1"/>
  <c r="H53" i="646"/>
  <c r="H89" i="646" s="1"/>
  <c r="H77" i="646" s="1"/>
  <c r="H22" i="645" s="1"/>
  <c r="C53" i="687"/>
  <c r="C18" i="686" s="1"/>
  <c r="F53" i="646"/>
  <c r="F89" i="646" s="1"/>
  <c r="F78" i="646" s="1"/>
  <c r="F23" i="645" s="1"/>
  <c r="G53" i="687"/>
  <c r="G89" i="687" s="1"/>
  <c r="H53" i="687"/>
  <c r="H89" i="687" s="1"/>
  <c r="E55" i="498"/>
  <c r="I63" i="490"/>
  <c r="I70" i="490"/>
  <c r="I71" i="490" s="1"/>
  <c r="C21" i="661" s="1"/>
  <c r="D55" i="498"/>
  <c r="D59" i="498" s="1"/>
  <c r="J61" i="490"/>
  <c r="E89" i="687"/>
  <c r="E18" i="686"/>
  <c r="F89" i="687"/>
  <c r="F18" i="686"/>
  <c r="D21" i="628"/>
  <c r="D69" i="622"/>
  <c r="E69" i="622" s="1"/>
  <c r="C37" i="665"/>
  <c r="D89" i="687"/>
  <c r="D18" i="686"/>
  <c r="I89" i="687"/>
  <c r="I18" i="686"/>
  <c r="E25" i="423"/>
  <c r="D71" i="547"/>
  <c r="F72" i="248" s="1"/>
  <c r="E21" i="423"/>
  <c r="E23" i="423"/>
  <c r="G12" i="664"/>
  <c r="H12" i="664"/>
  <c r="Q102" i="167" s="1"/>
  <c r="J114" i="489"/>
  <c r="D62" i="496"/>
  <c r="E15" i="659"/>
  <c r="T74" i="483"/>
  <c r="D27" i="626"/>
  <c r="D13" i="557"/>
  <c r="C11" i="662"/>
  <c r="F120" i="490"/>
  <c r="Q105" i="167"/>
  <c r="Q106" i="167" s="1"/>
  <c r="F27" i="608"/>
  <c r="H203" i="167"/>
  <c r="T178" i="1"/>
  <c r="T179" i="1" s="1"/>
  <c r="D20" i="547"/>
  <c r="F21" i="248" s="1"/>
  <c r="C17" i="555"/>
  <c r="H163" i="142"/>
  <c r="D53" i="556" s="1"/>
  <c r="G113" i="167"/>
  <c r="G102" i="167"/>
  <c r="P32" i="467"/>
  <c r="P33" i="467" s="1"/>
  <c r="D21" i="547"/>
  <c r="F22" i="248" s="1"/>
  <c r="D86" i="248"/>
  <c r="D85" i="497"/>
  <c r="D88" i="248" s="1"/>
  <c r="D92" i="497"/>
  <c r="D93" i="248"/>
  <c r="D26" i="423"/>
  <c r="F27" i="106" l="1"/>
  <c r="F29" i="106" s="1"/>
  <c r="F31" i="106" s="1"/>
  <c r="F37" i="106" s="1"/>
  <c r="D85" i="109"/>
  <c r="D65" i="496"/>
  <c r="C66" i="248" s="1"/>
  <c r="C63" i="248"/>
  <c r="K72" i="490"/>
  <c r="K73" i="490" s="1"/>
  <c r="K74" i="490" s="1"/>
  <c r="G18" i="645"/>
  <c r="K63" i="490"/>
  <c r="K66" i="490" s="1"/>
  <c r="C13" i="659"/>
  <c r="C17" i="659" s="1"/>
  <c r="D18" i="645"/>
  <c r="C89" i="646"/>
  <c r="C77" i="646" s="1"/>
  <c r="C22" i="645" s="1"/>
  <c r="I78" i="646"/>
  <c r="I23" i="645" s="1"/>
  <c r="B89" i="646"/>
  <c r="B77" i="646" s="1"/>
  <c r="B22" i="645" s="1"/>
  <c r="I18" i="645"/>
  <c r="G78" i="646"/>
  <c r="G23" i="645" s="1"/>
  <c r="D78" i="646"/>
  <c r="D23" i="645" s="1"/>
  <c r="F77" i="646"/>
  <c r="F22" i="645" s="1"/>
  <c r="H18" i="645"/>
  <c r="F18" i="645"/>
  <c r="E77" i="646"/>
  <c r="E22" i="645" s="1"/>
  <c r="H78" i="646"/>
  <c r="C62" i="682"/>
  <c r="C44" i="682"/>
  <c r="X73" i="483"/>
  <c r="D24" i="693"/>
  <c r="W59" i="483"/>
  <c r="D25" i="693" s="1"/>
  <c r="W61" i="483"/>
  <c r="AI86" i="482" s="1"/>
  <c r="I72" i="490"/>
  <c r="I73" i="490" s="1"/>
  <c r="I74" i="490" s="1"/>
  <c r="C89" i="687"/>
  <c r="E18" i="645"/>
  <c r="H18" i="686"/>
  <c r="G18" i="686"/>
  <c r="I198" i="490"/>
  <c r="D14" i="498"/>
  <c r="D10" i="524" s="1"/>
  <c r="I162" i="490"/>
  <c r="I195" i="490"/>
  <c r="D14" i="524" s="1"/>
  <c r="I80" i="490"/>
  <c r="I81" i="490" s="1"/>
  <c r="I82" i="490" s="1"/>
  <c r="F57" i="106" s="1"/>
  <c r="E14" i="498"/>
  <c r="I76" i="490"/>
  <c r="I161" i="490"/>
  <c r="E39" i="498" s="1"/>
  <c r="E15" i="248"/>
  <c r="I77" i="490"/>
  <c r="D22" i="524" s="1"/>
  <c r="D13" i="659"/>
  <c r="J63" i="490"/>
  <c r="J66" i="490" s="1"/>
  <c r="J70" i="490"/>
  <c r="E56" i="248"/>
  <c r="C15" i="661"/>
  <c r="H21" i="227"/>
  <c r="H31" i="227" s="1"/>
  <c r="H38" i="227" s="1"/>
  <c r="E60" i="248"/>
  <c r="I66" i="490"/>
  <c r="E59" i="498"/>
  <c r="G70" i="248"/>
  <c r="H70" i="248"/>
  <c r="G94" i="167"/>
  <c r="G95" i="167"/>
  <c r="J120" i="489"/>
  <c r="J116" i="489"/>
  <c r="J62" i="545"/>
  <c r="D14" i="664" s="1"/>
  <c r="Q113" i="167"/>
  <c r="K62" i="545"/>
  <c r="L113" i="167"/>
  <c r="L102" i="167"/>
  <c r="Q108" i="167"/>
  <c r="Q109" i="167" s="1"/>
  <c r="Q110" i="167" s="1"/>
  <c r="Q111" i="167" s="1"/>
  <c r="L108" i="167"/>
  <c r="G98" i="167"/>
  <c r="G99" i="167" s="1"/>
  <c r="I197" i="545"/>
  <c r="D15" i="557" s="1"/>
  <c r="C38" i="665"/>
  <c r="D68" i="622"/>
  <c r="D28" i="626"/>
  <c r="T73" i="483"/>
  <c r="D12" i="557"/>
  <c r="C10" i="662"/>
  <c r="I51" i="647"/>
  <c r="I16" i="648" s="1"/>
  <c r="H51" i="647"/>
  <c r="H16" i="648" s="1"/>
  <c r="G51" i="647"/>
  <c r="G16" i="648" s="1"/>
  <c r="F50" i="647"/>
  <c r="F15" i="648" s="1"/>
  <c r="I49" i="647"/>
  <c r="I14" i="648" s="1"/>
  <c r="H49" i="647"/>
  <c r="H14" i="648" s="1"/>
  <c r="G49" i="647"/>
  <c r="G14" i="648" s="1"/>
  <c r="I47" i="647"/>
  <c r="I12" i="648" s="1"/>
  <c r="G47" i="647"/>
  <c r="G12" i="648" s="1"/>
  <c r="F47" i="647"/>
  <c r="F12" i="648" s="1"/>
  <c r="H47" i="647"/>
  <c r="H12" i="648" s="1"/>
  <c r="F49" i="647"/>
  <c r="F14" i="648" s="1"/>
  <c r="H52" i="647"/>
  <c r="H17" i="648" s="1"/>
  <c r="G50" i="647"/>
  <c r="G15" i="648" s="1"/>
  <c r="I52" i="647"/>
  <c r="I17" i="648" s="1"/>
  <c r="H50" i="647"/>
  <c r="H15" i="648" s="1"/>
  <c r="F51" i="647"/>
  <c r="F16" i="648" s="1"/>
  <c r="I50" i="647"/>
  <c r="I15" i="648" s="1"/>
  <c r="G52" i="647"/>
  <c r="G17" i="648" s="1"/>
  <c r="I44" i="647"/>
  <c r="G44" i="647"/>
  <c r="F44" i="647"/>
  <c r="F52" i="647"/>
  <c r="F17" i="648" s="1"/>
  <c r="H44" i="647"/>
  <c r="D28" i="538"/>
  <c r="I87" i="489"/>
  <c r="I92" i="489" s="1"/>
  <c r="I98" i="489" s="1"/>
  <c r="E15" i="423" s="1"/>
  <c r="G108" i="167"/>
  <c r="G109" i="167" s="1"/>
  <c r="H205" i="167"/>
  <c r="F30" i="608"/>
  <c r="I62" i="545"/>
  <c r="J197" i="545"/>
  <c r="E44" i="647"/>
  <c r="I47" i="545"/>
  <c r="K47" i="545" s="1"/>
  <c r="I43" i="545"/>
  <c r="C44" i="647"/>
  <c r="I38" i="545"/>
  <c r="K38" i="545" s="1"/>
  <c r="B88" i="647"/>
  <c r="C88" i="647" s="1"/>
  <c r="D88" i="647" s="1"/>
  <c r="E88" i="647" s="1"/>
  <c r="F88" i="647" s="1"/>
  <c r="G88" i="647" s="1"/>
  <c r="H88" i="647" s="1"/>
  <c r="I88" i="647" s="1"/>
  <c r="I20" i="545"/>
  <c r="K20" i="545" s="1"/>
  <c r="I39" i="545"/>
  <c r="K39" i="545" s="1"/>
  <c r="G19" i="167"/>
  <c r="G20" i="167" s="1"/>
  <c r="G23" i="167" s="1"/>
  <c r="B51" i="647"/>
  <c r="B16" i="648" s="1"/>
  <c r="D44" i="647"/>
  <c r="B52" i="647"/>
  <c r="B17" i="648" s="1"/>
  <c r="B47" i="647"/>
  <c r="B12" i="648" s="1"/>
  <c r="I50" i="545"/>
  <c r="K50" i="545" s="1"/>
  <c r="C47" i="647"/>
  <c r="C12" i="648" s="1"/>
  <c r="C49" i="647"/>
  <c r="C14" i="648" s="1"/>
  <c r="E49" i="647"/>
  <c r="E14" i="648" s="1"/>
  <c r="E52" i="647"/>
  <c r="E17" i="648" s="1"/>
  <c r="C50" i="647"/>
  <c r="C15" i="648" s="1"/>
  <c r="D28" i="547"/>
  <c r="F29" i="248" s="1"/>
  <c r="I37" i="545"/>
  <c r="D51" i="647"/>
  <c r="D16" i="648" s="1"/>
  <c r="I45" i="545"/>
  <c r="K45" i="545" s="1"/>
  <c r="C51" i="647"/>
  <c r="C16" i="648" s="1"/>
  <c r="D49" i="647"/>
  <c r="D14" i="648" s="1"/>
  <c r="I46" i="545"/>
  <c r="K46" i="545" s="1"/>
  <c r="C52" i="647"/>
  <c r="C17" i="648" s="1"/>
  <c r="I33" i="545"/>
  <c r="D52" i="647"/>
  <c r="D17" i="648" s="1"/>
  <c r="B49" i="647"/>
  <c r="B14" i="648" s="1"/>
  <c r="D47" i="647"/>
  <c r="D12" i="648" s="1"/>
  <c r="I40" i="545"/>
  <c r="K40" i="545" s="1"/>
  <c r="I42" i="545"/>
  <c r="K42" i="545" s="1"/>
  <c r="B50" i="647"/>
  <c r="B15" i="648" s="1"/>
  <c r="I41" i="545"/>
  <c r="K41" i="545" s="1"/>
  <c r="E51" i="647"/>
  <c r="E16" i="648" s="1"/>
  <c r="E50" i="647"/>
  <c r="E15" i="648" s="1"/>
  <c r="B44" i="647"/>
  <c r="D50" i="647"/>
  <c r="D15" i="648" s="1"/>
  <c r="E47" i="647"/>
  <c r="E12" i="648" s="1"/>
  <c r="I44" i="545"/>
  <c r="K44" i="545" s="1"/>
  <c r="I36" i="545"/>
  <c r="C19" i="555"/>
  <c r="C20" i="555" s="1"/>
  <c r="C18" i="555"/>
  <c r="D95" i="248"/>
  <c r="D94" i="497"/>
  <c r="D97" i="248" s="1"/>
  <c r="D83" i="498" l="1"/>
  <c r="E86" i="248" s="1"/>
  <c r="D52" i="109"/>
  <c r="D55" i="109" s="1"/>
  <c r="D57" i="109" s="1"/>
  <c r="I17" i="107" s="1"/>
  <c r="F39" i="106"/>
  <c r="F41" i="106" s="1"/>
  <c r="D81" i="496"/>
  <c r="C84" i="248" s="1"/>
  <c r="L109" i="167"/>
  <c r="L110" i="167" s="1"/>
  <c r="L111" i="167" s="1"/>
  <c r="C78" i="646"/>
  <c r="C23" i="645" s="1"/>
  <c r="AI85" i="482"/>
  <c r="C37" i="682"/>
  <c r="D69" i="684"/>
  <c r="D21" i="694"/>
  <c r="I79" i="646"/>
  <c r="I24" i="645" s="1"/>
  <c r="I26" i="645" s="1"/>
  <c r="I57" i="645" s="1"/>
  <c r="B78" i="646"/>
  <c r="B23" i="645" s="1"/>
  <c r="D72" i="496"/>
  <c r="C73" i="248" s="1"/>
  <c r="E11" i="515"/>
  <c r="E13" i="515" s="1"/>
  <c r="E15" i="515" s="1"/>
  <c r="G79" i="646"/>
  <c r="G24" i="645" s="1"/>
  <c r="G26" i="645" s="1"/>
  <c r="G57" i="645" s="1"/>
  <c r="D79" i="646"/>
  <c r="D24" i="645" s="1"/>
  <c r="D26" i="645" s="1"/>
  <c r="D57" i="645" s="1"/>
  <c r="F79" i="646"/>
  <c r="F24" i="645" s="1"/>
  <c r="F26" i="645" s="1"/>
  <c r="F57" i="645" s="1"/>
  <c r="W70" i="483"/>
  <c r="D26" i="693"/>
  <c r="E79" i="646"/>
  <c r="E24" i="645" s="1"/>
  <c r="E26" i="645" s="1"/>
  <c r="E57" i="645" s="1"/>
  <c r="C63" i="682"/>
  <c r="C65" i="682" s="1"/>
  <c r="C69" i="682"/>
  <c r="H23" i="645"/>
  <c r="H79" i="646"/>
  <c r="H24" i="645" s="1"/>
  <c r="H26" i="645" s="1"/>
  <c r="H57" i="645" s="1"/>
  <c r="D90" i="498"/>
  <c r="E93" i="248" s="1"/>
  <c r="I112" i="490"/>
  <c r="I78" i="490"/>
  <c r="D60" i="498" s="1"/>
  <c r="D16" i="524"/>
  <c r="D23" i="524" s="1"/>
  <c r="J71" i="490"/>
  <c r="J72" i="490" s="1"/>
  <c r="J73" i="490" s="1"/>
  <c r="J74" i="490" s="1"/>
  <c r="D84" i="498"/>
  <c r="E87" i="248" s="1"/>
  <c r="D91" i="498"/>
  <c r="E94" i="248" s="1"/>
  <c r="E60" i="498"/>
  <c r="C17" i="661"/>
  <c r="C19" i="661"/>
  <c r="C23" i="661" s="1"/>
  <c r="D17" i="659"/>
  <c r="E17" i="659" s="1"/>
  <c r="E13" i="659"/>
  <c r="C25" i="661"/>
  <c r="C27" i="661" s="1"/>
  <c r="D20" i="524"/>
  <c r="G96" i="167"/>
  <c r="I27" i="545" s="1"/>
  <c r="K27" i="545" s="1"/>
  <c r="D38" i="547"/>
  <c r="D38" i="556" s="1"/>
  <c r="H69" i="248"/>
  <c r="G69" i="248"/>
  <c r="D37" i="547"/>
  <c r="D33" i="556" s="1"/>
  <c r="C14" i="664"/>
  <c r="D26" i="556"/>
  <c r="K36" i="545"/>
  <c r="D54" i="556"/>
  <c r="D55" i="556" s="1"/>
  <c r="K33" i="545"/>
  <c r="D27" i="556"/>
  <c r="K37" i="545"/>
  <c r="D35" i="556"/>
  <c r="K43" i="545"/>
  <c r="C12" i="662"/>
  <c r="C13" i="662" s="1"/>
  <c r="G110" i="167"/>
  <c r="G111" i="167" s="1"/>
  <c r="D18" i="557"/>
  <c r="J42" i="545"/>
  <c r="D32" i="556"/>
  <c r="J40" i="545"/>
  <c r="D30" i="556"/>
  <c r="J44" i="545"/>
  <c r="D36" i="556"/>
  <c r="J38" i="545"/>
  <c r="D28" i="556"/>
  <c r="J39" i="545"/>
  <c r="D29" i="556"/>
  <c r="J41" i="545"/>
  <c r="D31" i="556"/>
  <c r="J45" i="545"/>
  <c r="D37" i="556"/>
  <c r="E68" i="622"/>
  <c r="C39" i="665"/>
  <c r="C41" i="665" s="1"/>
  <c r="C45" i="665"/>
  <c r="H9" i="648"/>
  <c r="F9" i="648"/>
  <c r="G9" i="648"/>
  <c r="I9" i="648"/>
  <c r="I110" i="489"/>
  <c r="I114" i="489" s="1"/>
  <c r="I103" i="489"/>
  <c r="C21" i="555"/>
  <c r="J51" i="545"/>
  <c r="D44" i="547"/>
  <c r="F45" i="248" s="1"/>
  <c r="D40" i="547"/>
  <c r="D49" i="556" s="1"/>
  <c r="J50" i="545"/>
  <c r="J200" i="545"/>
  <c r="I161" i="545"/>
  <c r="E33" i="547"/>
  <c r="J20" i="545"/>
  <c r="D33" i="547"/>
  <c r="E9" i="648"/>
  <c r="J36" i="545"/>
  <c r="D42" i="547"/>
  <c r="I160" i="545"/>
  <c r="J33" i="545"/>
  <c r="D9" i="648"/>
  <c r="D56" i="547"/>
  <c r="C9" i="648"/>
  <c r="F43" i="545"/>
  <c r="F50" i="545"/>
  <c r="F27" i="545"/>
  <c r="F20" i="545"/>
  <c r="F61" i="545" s="1"/>
  <c r="F63" i="545" s="1"/>
  <c r="F66" i="545" s="1"/>
  <c r="F98" i="545" s="1"/>
  <c r="F42" i="545"/>
  <c r="F25" i="545"/>
  <c r="F26" i="545"/>
  <c r="F24" i="545"/>
  <c r="F22" i="545"/>
  <c r="F158" i="545" s="1"/>
  <c r="F33" i="545"/>
  <c r="F160" i="545" s="1"/>
  <c r="F35" i="545"/>
  <c r="F32" i="608"/>
  <c r="H207" i="167"/>
  <c r="J37" i="545"/>
  <c r="L41" i="545"/>
  <c r="I164" i="545"/>
  <c r="J43" i="545"/>
  <c r="B9" i="648"/>
  <c r="J46" i="545"/>
  <c r="D36" i="547"/>
  <c r="D23" i="556" s="1"/>
  <c r="J47" i="545"/>
  <c r="D41" i="547"/>
  <c r="D51" i="556" s="1"/>
  <c r="E61" i="248" l="1"/>
  <c r="D86" i="109"/>
  <c r="D90" i="109" s="1"/>
  <c r="D92" i="109" s="1"/>
  <c r="K17" i="107" s="1"/>
  <c r="F43" i="106"/>
  <c r="F45" i="106" s="1"/>
  <c r="D25" i="635"/>
  <c r="D86" i="496"/>
  <c r="C89" i="248" s="1"/>
  <c r="D19" i="556"/>
  <c r="J27" i="545"/>
  <c r="C79" i="646"/>
  <c r="C24" i="645" s="1"/>
  <c r="C26" i="645" s="1"/>
  <c r="C57" i="645" s="1"/>
  <c r="B79" i="646"/>
  <c r="B24" i="645" s="1"/>
  <c r="B26" i="645" s="1"/>
  <c r="B57" i="645" s="1"/>
  <c r="I70" i="248"/>
  <c r="E69" i="684"/>
  <c r="B46" i="647"/>
  <c r="B11" i="648" s="1"/>
  <c r="I25" i="545"/>
  <c r="D85" i="498"/>
  <c r="E88" i="248" s="1"/>
  <c r="C71" i="682"/>
  <c r="C73" i="682" s="1"/>
  <c r="C74" i="682" s="1"/>
  <c r="D48" i="647"/>
  <c r="D13" i="648" s="1"/>
  <c r="I31" i="545"/>
  <c r="K31" i="545" s="1"/>
  <c r="W74" i="483"/>
  <c r="D27" i="693"/>
  <c r="D92" i="498"/>
  <c r="D94" i="498" s="1"/>
  <c r="E97" i="248" s="1"/>
  <c r="I46" i="647"/>
  <c r="I11" i="648" s="1"/>
  <c r="C46" i="647"/>
  <c r="G48" i="647"/>
  <c r="G13" i="648" s="1"/>
  <c r="H48" i="647"/>
  <c r="H13" i="648" s="1"/>
  <c r="E46" i="647"/>
  <c r="E11" i="648" s="1"/>
  <c r="E48" i="647"/>
  <c r="E13" i="648" s="1"/>
  <c r="C48" i="647"/>
  <c r="C13" i="648" s="1"/>
  <c r="F46" i="647"/>
  <c r="F11" i="648" s="1"/>
  <c r="I26" i="545"/>
  <c r="I24" i="545"/>
  <c r="G97" i="167"/>
  <c r="I21" i="545" s="1"/>
  <c r="D34" i="547" s="1"/>
  <c r="F35" i="248" s="1"/>
  <c r="I22" i="545"/>
  <c r="K22" i="545" s="1"/>
  <c r="I30" i="545"/>
  <c r="K30" i="545" s="1"/>
  <c r="D46" i="647"/>
  <c r="D11" i="648" s="1"/>
  <c r="I29" i="545"/>
  <c r="J29" i="545" s="1"/>
  <c r="C29" i="661"/>
  <c r="C31" i="661" s="1"/>
  <c r="C32" i="661" s="1"/>
  <c r="C33" i="661" s="1"/>
  <c r="D74" i="498" s="1"/>
  <c r="E75" i="248" s="1"/>
  <c r="F48" i="647"/>
  <c r="B48" i="647"/>
  <c r="B13" i="648" s="1"/>
  <c r="G46" i="647"/>
  <c r="I48" i="647"/>
  <c r="I13" i="648" s="1"/>
  <c r="H46" i="647"/>
  <c r="D19" i="557"/>
  <c r="I200" i="545"/>
  <c r="F43" i="248"/>
  <c r="D58" i="556"/>
  <c r="F34" i="248"/>
  <c r="D11" i="556"/>
  <c r="C47" i="665"/>
  <c r="C49" i="665" s="1"/>
  <c r="C50" i="665" s="1"/>
  <c r="D71" i="622" s="1"/>
  <c r="I171" i="489"/>
  <c r="I172" i="489" s="1"/>
  <c r="I174" i="489" s="1"/>
  <c r="I117" i="489" s="1"/>
  <c r="I120" i="489" s="1"/>
  <c r="I116" i="489"/>
  <c r="F39" i="248"/>
  <c r="F41" i="248"/>
  <c r="F42" i="248"/>
  <c r="F118" i="545"/>
  <c r="F104" i="545"/>
  <c r="F111" i="545"/>
  <c r="F115" i="545" s="1"/>
  <c r="C18" i="662"/>
  <c r="F57" i="248"/>
  <c r="E14" i="664"/>
  <c r="D99" i="547"/>
  <c r="D100" i="547" s="1"/>
  <c r="F161" i="545"/>
  <c r="F38" i="248"/>
  <c r="H220" i="167"/>
  <c r="I200" i="167" s="1"/>
  <c r="F36" i="608"/>
  <c r="F40" i="608" s="1"/>
  <c r="F37" i="248"/>
  <c r="J57" i="645" l="1"/>
  <c r="D23" i="539" s="1"/>
  <c r="D87" i="496"/>
  <c r="C90" i="248" s="1"/>
  <c r="F49" i="106"/>
  <c r="F47" i="106"/>
  <c r="I203" i="167"/>
  <c r="G27" i="608"/>
  <c r="K25" i="545"/>
  <c r="J25" i="545"/>
  <c r="D17" i="556"/>
  <c r="J31" i="545"/>
  <c r="D43" i="556"/>
  <c r="B45" i="647"/>
  <c r="B10" i="648" s="1"/>
  <c r="K21" i="545"/>
  <c r="W73" i="483"/>
  <c r="D68" i="684"/>
  <c r="C38" i="682"/>
  <c r="D28" i="693"/>
  <c r="E95" i="248"/>
  <c r="D15" i="556"/>
  <c r="J30" i="545"/>
  <c r="D41" i="556"/>
  <c r="E53" i="647"/>
  <c r="E89" i="647" s="1"/>
  <c r="E78" i="647" s="1"/>
  <c r="E23" i="648" s="1"/>
  <c r="I158" i="545"/>
  <c r="C11" i="648"/>
  <c r="C53" i="647"/>
  <c r="I159" i="545"/>
  <c r="I61" i="545"/>
  <c r="D39" i="547"/>
  <c r="D47" i="556" s="1"/>
  <c r="K29" i="545"/>
  <c r="J22" i="545"/>
  <c r="K24" i="545"/>
  <c r="D16" i="556"/>
  <c r="J24" i="545"/>
  <c r="D40" i="556"/>
  <c r="J21" i="545"/>
  <c r="D35" i="547"/>
  <c r="D21" i="556" s="1"/>
  <c r="D53" i="647"/>
  <c r="D18" i="556"/>
  <c r="K26" i="545"/>
  <c r="J26" i="545"/>
  <c r="G11" i="648"/>
  <c r="G53" i="647"/>
  <c r="F13" i="648"/>
  <c r="F53" i="647"/>
  <c r="I53" i="647"/>
  <c r="H11" i="648"/>
  <c r="H53" i="647"/>
  <c r="H72" i="248"/>
  <c r="G72" i="248"/>
  <c r="K104" i="167"/>
  <c r="P104" i="167"/>
  <c r="P109" i="167" s="1"/>
  <c r="C26" i="662"/>
  <c r="D21" i="557"/>
  <c r="F121" i="545"/>
  <c r="V176" i="1"/>
  <c r="V177" i="1" s="1"/>
  <c r="V178" i="1" s="1"/>
  <c r="V179" i="1" s="1"/>
  <c r="M108" i="167" s="1"/>
  <c r="S5" i="467"/>
  <c r="K72" i="1" s="1"/>
  <c r="K124" i="1"/>
  <c r="H172" i="142" s="1"/>
  <c r="D53" i="631" s="1"/>
  <c r="R104" i="167"/>
  <c r="H103" i="167"/>
  <c r="H104" i="167" s="1"/>
  <c r="H105" i="167" s="1"/>
  <c r="H106" i="167" s="1"/>
  <c r="I63" i="545" l="1"/>
  <c r="I66" i="545" s="1"/>
  <c r="L61" i="545"/>
  <c r="F51" i="106"/>
  <c r="F53" i="106" s="1"/>
  <c r="F55" i="106"/>
  <c r="F61" i="106" s="1"/>
  <c r="I205" i="167"/>
  <c r="G30" i="608"/>
  <c r="B53" i="647"/>
  <c r="B89" i="647" s="1"/>
  <c r="E77" i="647"/>
  <c r="E79" i="647" s="1"/>
  <c r="E24" i="648" s="1"/>
  <c r="C45" i="682"/>
  <c r="C39" i="682"/>
  <c r="C41" i="682" s="1"/>
  <c r="E18" i="648"/>
  <c r="E68" i="684"/>
  <c r="I69" i="248"/>
  <c r="J61" i="545"/>
  <c r="J63" i="545" s="1"/>
  <c r="J66" i="545" s="1"/>
  <c r="E15" i="664" s="1"/>
  <c r="K61" i="545"/>
  <c r="K70" i="545" s="1"/>
  <c r="K71" i="545" s="1"/>
  <c r="F40" i="248"/>
  <c r="C89" i="647"/>
  <c r="C18" i="648"/>
  <c r="D18" i="648"/>
  <c r="D89" i="647"/>
  <c r="D55" i="547"/>
  <c r="D59" i="547" s="1"/>
  <c r="I70" i="545"/>
  <c r="I71" i="545" s="1"/>
  <c r="C21" i="662" s="1"/>
  <c r="F36" i="248"/>
  <c r="E59" i="547"/>
  <c r="I89" i="647"/>
  <c r="I18" i="648"/>
  <c r="F89" i="647"/>
  <c r="F18" i="648"/>
  <c r="G89" i="647"/>
  <c r="G18" i="648"/>
  <c r="H89" i="647"/>
  <c r="H18" i="648"/>
  <c r="G12" i="665"/>
  <c r="H12" i="665"/>
  <c r="P110" i="167"/>
  <c r="P105" i="167"/>
  <c r="K109" i="167"/>
  <c r="K110" i="167" s="1"/>
  <c r="K105" i="167"/>
  <c r="I197" i="620"/>
  <c r="D15" i="630" s="1"/>
  <c r="C11" i="663"/>
  <c r="R105" i="167"/>
  <c r="J196" i="683" s="1"/>
  <c r="D20" i="622"/>
  <c r="G21" i="248" s="1"/>
  <c r="C17" i="632"/>
  <c r="H95" i="167"/>
  <c r="H113" i="167"/>
  <c r="H102" i="167"/>
  <c r="S32" i="467"/>
  <c r="S33" i="467" s="1"/>
  <c r="D21" i="622"/>
  <c r="H108" i="167"/>
  <c r="F59" i="106" l="1"/>
  <c r="I207" i="167"/>
  <c r="G32" i="608"/>
  <c r="B18" i="648"/>
  <c r="E22" i="648"/>
  <c r="C47" i="682"/>
  <c r="C49" i="682" s="1"/>
  <c r="C50" i="682" s="1"/>
  <c r="D71" i="684" s="1"/>
  <c r="I72" i="248" s="1"/>
  <c r="E26" i="648"/>
  <c r="E57" i="648" s="1"/>
  <c r="F63" i="106"/>
  <c r="F65" i="106" s="1"/>
  <c r="K63" i="545"/>
  <c r="K66" i="545" s="1"/>
  <c r="C13" i="664"/>
  <c r="C17" i="664" s="1"/>
  <c r="D13" i="664"/>
  <c r="D17" i="664" s="1"/>
  <c r="J70" i="545"/>
  <c r="J71" i="545" s="1"/>
  <c r="J72" i="545" s="1"/>
  <c r="J73" i="545" s="1"/>
  <c r="J74" i="545" s="1"/>
  <c r="C77" i="647"/>
  <c r="C78" i="647"/>
  <c r="C23" i="648" s="1"/>
  <c r="K72" i="545"/>
  <c r="K73" i="545" s="1"/>
  <c r="K74" i="545" s="1"/>
  <c r="D78" i="647"/>
  <c r="D23" i="648" s="1"/>
  <c r="D77" i="647"/>
  <c r="F56" i="248"/>
  <c r="F60" i="248"/>
  <c r="C15" i="662"/>
  <c r="I21" i="227"/>
  <c r="I31" i="227" s="1"/>
  <c r="I38" i="227" s="1"/>
  <c r="I72" i="545"/>
  <c r="I73" i="545" s="1"/>
  <c r="I74" i="545" s="1"/>
  <c r="D83" i="547" s="1"/>
  <c r="K80" i="545"/>
  <c r="K81" i="545" s="1"/>
  <c r="K82" i="545" s="1"/>
  <c r="I162" i="545"/>
  <c r="I199" i="545"/>
  <c r="I196" i="545"/>
  <c r="D14" i="557" s="1"/>
  <c r="D16" i="557" s="1"/>
  <c r="I77" i="545"/>
  <c r="D22" i="557" s="1"/>
  <c r="I163" i="545"/>
  <c r="I80" i="545"/>
  <c r="D14" i="547"/>
  <c r="D10" i="557" s="1"/>
  <c r="I76" i="545"/>
  <c r="J77" i="545"/>
  <c r="D19" i="664" s="1"/>
  <c r="J80" i="545"/>
  <c r="J81" i="545" s="1"/>
  <c r="J82" i="545" s="1"/>
  <c r="J196" i="545"/>
  <c r="J199" i="545"/>
  <c r="K76" i="545"/>
  <c r="J76" i="545"/>
  <c r="F15" i="248"/>
  <c r="K77" i="545"/>
  <c r="C19" i="664" s="1"/>
  <c r="F77" i="647"/>
  <c r="F78" i="647"/>
  <c r="F23" i="648" s="1"/>
  <c r="H77" i="647"/>
  <c r="H78" i="647"/>
  <c r="H23" i="648" s="1"/>
  <c r="G78" i="647"/>
  <c r="G23" i="648" s="1"/>
  <c r="G77" i="647"/>
  <c r="I77" i="647"/>
  <c r="I78" i="647"/>
  <c r="I23" i="648" s="1"/>
  <c r="R102" i="167"/>
  <c r="R109" i="167" s="1"/>
  <c r="R110" i="167" s="1"/>
  <c r="J199" i="683" s="1"/>
  <c r="S113" i="167"/>
  <c r="N113" i="167"/>
  <c r="G22" i="248"/>
  <c r="H22" i="248"/>
  <c r="B77" i="647"/>
  <c r="B78" i="647"/>
  <c r="B23" i="648" s="1"/>
  <c r="H94" i="167"/>
  <c r="H96" i="167" s="1"/>
  <c r="I24" i="620" s="1"/>
  <c r="K106" i="167"/>
  <c r="K76" i="490" s="1"/>
  <c r="K111" i="167"/>
  <c r="K77" i="490" s="1"/>
  <c r="C19" i="659" s="1"/>
  <c r="P106" i="167"/>
  <c r="J196" i="490" s="1"/>
  <c r="J195" i="490"/>
  <c r="K62" i="620"/>
  <c r="M113" i="167"/>
  <c r="M102" i="167"/>
  <c r="M109" i="167" s="1"/>
  <c r="M110" i="167" s="1"/>
  <c r="P111" i="167"/>
  <c r="J199" i="490" s="1"/>
  <c r="J198" i="490"/>
  <c r="J62" i="620"/>
  <c r="R113" i="167"/>
  <c r="H109" i="167"/>
  <c r="C12" i="663" s="1"/>
  <c r="R106" i="167"/>
  <c r="D13" i="630"/>
  <c r="D12" i="630"/>
  <c r="C10" i="663"/>
  <c r="I47" i="650"/>
  <c r="I12" i="649" s="1"/>
  <c r="H51" i="650"/>
  <c r="H16" i="649" s="1"/>
  <c r="H50" i="650"/>
  <c r="H15" i="649" s="1"/>
  <c r="H49" i="650"/>
  <c r="H14" i="649" s="1"/>
  <c r="G51" i="650"/>
  <c r="G16" i="649" s="1"/>
  <c r="F51" i="650"/>
  <c r="F16" i="649" s="1"/>
  <c r="G49" i="650"/>
  <c r="G14" i="649" s="1"/>
  <c r="F49" i="650"/>
  <c r="F14" i="649" s="1"/>
  <c r="G50" i="650"/>
  <c r="G15" i="649" s="1"/>
  <c r="F50" i="650"/>
  <c r="F15" i="649" s="1"/>
  <c r="I51" i="650"/>
  <c r="I16" i="649" s="1"/>
  <c r="H47" i="650"/>
  <c r="H12" i="649" s="1"/>
  <c r="G47" i="650"/>
  <c r="G12" i="649" s="1"/>
  <c r="I50" i="650"/>
  <c r="I15" i="649" s="1"/>
  <c r="F47" i="650"/>
  <c r="F12" i="649" s="1"/>
  <c r="I49" i="650"/>
  <c r="I14" i="649" s="1"/>
  <c r="H44" i="650"/>
  <c r="I52" i="650"/>
  <c r="I17" i="649" s="1"/>
  <c r="G44" i="650"/>
  <c r="F52" i="650"/>
  <c r="F17" i="649" s="1"/>
  <c r="I44" i="650"/>
  <c r="G52" i="650"/>
  <c r="G17" i="649" s="1"/>
  <c r="F44" i="650"/>
  <c r="H52" i="650"/>
  <c r="H17" i="649" s="1"/>
  <c r="C19" i="632"/>
  <c r="C20" i="632" s="1"/>
  <c r="C18" i="632"/>
  <c r="I36" i="620"/>
  <c r="B50" i="650"/>
  <c r="B15" i="649" s="1"/>
  <c r="D52" i="650"/>
  <c r="D17" i="649" s="1"/>
  <c r="E49" i="650"/>
  <c r="E14" i="649" s="1"/>
  <c r="I20" i="620"/>
  <c r="B52" i="650"/>
  <c r="B17" i="649" s="1"/>
  <c r="E47" i="650"/>
  <c r="E12" i="649" s="1"/>
  <c r="B47" i="650"/>
  <c r="B12" i="649" s="1"/>
  <c r="I39" i="620"/>
  <c r="I37" i="620"/>
  <c r="D27" i="631" s="1"/>
  <c r="C50" i="650"/>
  <c r="C15" i="649" s="1"/>
  <c r="C47" i="650"/>
  <c r="C12" i="649" s="1"/>
  <c r="C44" i="650"/>
  <c r="I41" i="620"/>
  <c r="C52" i="650"/>
  <c r="C17" i="649" s="1"/>
  <c r="I42" i="620"/>
  <c r="I44" i="620"/>
  <c r="I50" i="620"/>
  <c r="I40" i="620"/>
  <c r="B51" i="650"/>
  <c r="B16" i="649" s="1"/>
  <c r="E51" i="650"/>
  <c r="E16" i="649" s="1"/>
  <c r="D44" i="650"/>
  <c r="B49" i="650"/>
  <c r="B14" i="649" s="1"/>
  <c r="D49" i="650"/>
  <c r="D14" i="649" s="1"/>
  <c r="I45" i="620"/>
  <c r="H19" i="167"/>
  <c r="H20" i="167" s="1"/>
  <c r="H23" i="167" s="1"/>
  <c r="B44" i="650"/>
  <c r="I46" i="620"/>
  <c r="E50" i="650"/>
  <c r="E15" i="649" s="1"/>
  <c r="D50" i="650"/>
  <c r="D15" i="649" s="1"/>
  <c r="D47" i="650"/>
  <c r="D12" i="649" s="1"/>
  <c r="E44" i="650"/>
  <c r="E52" i="650"/>
  <c r="E17" i="649" s="1"/>
  <c r="B88" i="650"/>
  <c r="C88" i="650" s="1"/>
  <c r="D88" i="650" s="1"/>
  <c r="E88" i="650" s="1"/>
  <c r="F88" i="650" s="1"/>
  <c r="G88" i="650" s="1"/>
  <c r="H88" i="650" s="1"/>
  <c r="I88" i="650" s="1"/>
  <c r="I43" i="620"/>
  <c r="D28" i="622"/>
  <c r="C51" i="650"/>
  <c r="C16" i="649" s="1"/>
  <c r="D51" i="650"/>
  <c r="D16" i="649" s="1"/>
  <c r="I38" i="620"/>
  <c r="C49" i="650"/>
  <c r="C14" i="649" s="1"/>
  <c r="I33" i="620"/>
  <c r="D54" i="631" s="1"/>
  <c r="D55" i="631" s="1"/>
  <c r="I47" i="620"/>
  <c r="I62" i="620"/>
  <c r="F72" i="106" l="1"/>
  <c r="F76" i="106" s="1"/>
  <c r="I220" i="167"/>
  <c r="G36" i="608"/>
  <c r="G40" i="608" s="1"/>
  <c r="I27" i="620"/>
  <c r="D19" i="631" s="1"/>
  <c r="I25" i="620"/>
  <c r="J25" i="620" s="1"/>
  <c r="E17" i="664"/>
  <c r="E19" i="664"/>
  <c r="D23" i="557"/>
  <c r="C21" i="664"/>
  <c r="C23" i="664" s="1"/>
  <c r="E13" i="664"/>
  <c r="I78" i="545"/>
  <c r="D60" i="547" s="1"/>
  <c r="F61" i="248" s="1"/>
  <c r="C22" i="648"/>
  <c r="C79" i="647"/>
  <c r="C24" i="648" s="1"/>
  <c r="C26" i="648" s="1"/>
  <c r="C57" i="648" s="1"/>
  <c r="D18" i="664"/>
  <c r="D24" i="664" s="1"/>
  <c r="J78" i="545"/>
  <c r="J98" i="545" s="1"/>
  <c r="I81" i="545"/>
  <c r="I82" i="545" s="1"/>
  <c r="E60" i="547"/>
  <c r="C18" i="664"/>
  <c r="K78" i="545"/>
  <c r="C17" i="662"/>
  <c r="C19" i="662"/>
  <c r="C23" i="662" s="1"/>
  <c r="D90" i="547"/>
  <c r="D20" i="557"/>
  <c r="C25" i="662"/>
  <c r="C27" i="662" s="1"/>
  <c r="D22" i="648"/>
  <c r="D79" i="647"/>
  <c r="D24" i="648" s="1"/>
  <c r="D26" i="648" s="1"/>
  <c r="D57" i="648" s="1"/>
  <c r="G79" i="647"/>
  <c r="G24" i="648" s="1"/>
  <c r="G26" i="648" s="1"/>
  <c r="G57" i="648" s="1"/>
  <c r="G22" i="648"/>
  <c r="H79" i="647"/>
  <c r="H24" i="648" s="1"/>
  <c r="H26" i="648" s="1"/>
  <c r="H57" i="648" s="1"/>
  <c r="H22" i="648"/>
  <c r="I79" i="647"/>
  <c r="I24" i="648" s="1"/>
  <c r="I26" i="648" s="1"/>
  <c r="I57" i="648" s="1"/>
  <c r="I22" i="648"/>
  <c r="F22" i="648"/>
  <c r="F79" i="647"/>
  <c r="F24" i="648" s="1"/>
  <c r="F26" i="648" s="1"/>
  <c r="F57" i="648" s="1"/>
  <c r="D38" i="622"/>
  <c r="G39" i="248" s="1"/>
  <c r="H46" i="650"/>
  <c r="H11" i="649" s="1"/>
  <c r="I29" i="620"/>
  <c r="J29" i="620" s="1"/>
  <c r="D46" i="650"/>
  <c r="D11" i="649" s="1"/>
  <c r="I22" i="620"/>
  <c r="H29" i="248"/>
  <c r="G29" i="248"/>
  <c r="D26" i="631"/>
  <c r="D37" i="622"/>
  <c r="D48" i="650"/>
  <c r="D13" i="649" s="1"/>
  <c r="B79" i="647"/>
  <c r="B24" i="648" s="1"/>
  <c r="B26" i="648" s="1"/>
  <c r="B57" i="648" s="1"/>
  <c r="B22" i="648"/>
  <c r="I30" i="620"/>
  <c r="J30" i="620" s="1"/>
  <c r="M111" i="167"/>
  <c r="J197" i="620"/>
  <c r="J197" i="683"/>
  <c r="D14" i="665"/>
  <c r="C48" i="650"/>
  <c r="C13" i="649" s="1"/>
  <c r="B48" i="650"/>
  <c r="B13" i="649" s="1"/>
  <c r="I46" i="650"/>
  <c r="I11" i="649" s="1"/>
  <c r="B46" i="650"/>
  <c r="B11" i="649" s="1"/>
  <c r="C46" i="650"/>
  <c r="C11" i="649" s="1"/>
  <c r="E46" i="650"/>
  <c r="E11" i="649" s="1"/>
  <c r="E48" i="650"/>
  <c r="E13" i="649" s="1"/>
  <c r="F46" i="650"/>
  <c r="F11" i="649" s="1"/>
  <c r="I31" i="620"/>
  <c r="D43" i="631" s="1"/>
  <c r="G46" i="650"/>
  <c r="G11" i="649" s="1"/>
  <c r="G48" i="650"/>
  <c r="G13" i="649" s="1"/>
  <c r="F48" i="650"/>
  <c r="F13" i="649" s="1"/>
  <c r="H48" i="650"/>
  <c r="H13" i="649" s="1"/>
  <c r="I48" i="650"/>
  <c r="I13" i="649" s="1"/>
  <c r="I26" i="620"/>
  <c r="H97" i="167"/>
  <c r="I21" i="620" s="1"/>
  <c r="D18" i="630"/>
  <c r="K80" i="490"/>
  <c r="K81" i="490" s="1"/>
  <c r="K82" i="490" s="1"/>
  <c r="C21" i="659" s="1"/>
  <c r="C23" i="659" s="1"/>
  <c r="C14" i="665"/>
  <c r="J76" i="490"/>
  <c r="D18" i="659" s="1"/>
  <c r="J77" i="490"/>
  <c r="D19" i="659" s="1"/>
  <c r="E19" i="659" s="1"/>
  <c r="J80" i="490"/>
  <c r="K78" i="490"/>
  <c r="C18" i="659"/>
  <c r="D35" i="631"/>
  <c r="D21" i="664"/>
  <c r="J113" i="545"/>
  <c r="H110" i="167"/>
  <c r="H111" i="167" s="1"/>
  <c r="I200" i="620" s="1"/>
  <c r="C13" i="663"/>
  <c r="J41" i="620"/>
  <c r="D31" i="631"/>
  <c r="J45" i="620"/>
  <c r="D37" i="631"/>
  <c r="J40" i="620"/>
  <c r="D30" i="631"/>
  <c r="J44" i="620"/>
  <c r="D36" i="631"/>
  <c r="J24" i="620"/>
  <c r="D16" i="631"/>
  <c r="J38" i="620"/>
  <c r="D28" i="631"/>
  <c r="J42" i="620"/>
  <c r="D32" i="631"/>
  <c r="J39" i="620"/>
  <c r="D29" i="631"/>
  <c r="R111" i="167"/>
  <c r="H9" i="649"/>
  <c r="F9" i="649"/>
  <c r="I9" i="649"/>
  <c r="G9" i="649"/>
  <c r="B9" i="649"/>
  <c r="C9" i="649"/>
  <c r="E9" i="649"/>
  <c r="F25" i="620"/>
  <c r="F20" i="620"/>
  <c r="F61" i="620" s="1"/>
  <c r="F63" i="620" s="1"/>
  <c r="F66" i="620" s="1"/>
  <c r="F98" i="620" s="1"/>
  <c r="F33" i="620"/>
  <c r="F160" i="620" s="1"/>
  <c r="F22" i="620"/>
  <c r="F158" i="620" s="1"/>
  <c r="F42" i="620"/>
  <c r="F26" i="620"/>
  <c r="F50" i="620"/>
  <c r="F43" i="620"/>
  <c r="F24" i="620"/>
  <c r="F35" i="620"/>
  <c r="F27" i="620"/>
  <c r="D9" i="649"/>
  <c r="J47" i="620"/>
  <c r="D41" i="622"/>
  <c r="J36" i="620"/>
  <c r="J33" i="620"/>
  <c r="I160" i="620"/>
  <c r="D42" i="622"/>
  <c r="J50" i="620"/>
  <c r="D40" i="622"/>
  <c r="C21" i="632"/>
  <c r="L41" i="620"/>
  <c r="J37" i="620"/>
  <c r="E33" i="622"/>
  <c r="J20" i="620"/>
  <c r="D33" i="622"/>
  <c r="J43" i="620"/>
  <c r="I164" i="620"/>
  <c r="D56" i="622"/>
  <c r="E56" i="622"/>
  <c r="J51" i="620"/>
  <c r="D44" i="622"/>
  <c r="J46" i="620"/>
  <c r="D36" i="622"/>
  <c r="I161" i="620"/>
  <c r="D44" i="109" l="1"/>
  <c r="D46" i="109" s="1"/>
  <c r="D48" i="109" s="1"/>
  <c r="I13" i="107" s="1"/>
  <c r="C13" i="107"/>
  <c r="G13" i="107" s="1"/>
  <c r="D12" i="109"/>
  <c r="J27" i="620"/>
  <c r="M124" i="1"/>
  <c r="V5" i="467"/>
  <c r="I103" i="167"/>
  <c r="I104" i="167" s="1"/>
  <c r="W176" i="1"/>
  <c r="W177" i="1" s="1"/>
  <c r="W178" i="1" s="1"/>
  <c r="W179" i="1" s="1"/>
  <c r="D17" i="631"/>
  <c r="D40" i="631"/>
  <c r="E21" i="664"/>
  <c r="J57" i="648"/>
  <c r="D23" i="558" s="1"/>
  <c r="D41" i="631"/>
  <c r="G53" i="650"/>
  <c r="G89" i="650" s="1"/>
  <c r="C29" i="662"/>
  <c r="C31" i="662" s="1"/>
  <c r="C32" i="662" s="1"/>
  <c r="C33" i="662" s="1"/>
  <c r="D74" i="547" s="1"/>
  <c r="F75" i="248" s="1"/>
  <c r="H53" i="650"/>
  <c r="H89" i="650" s="1"/>
  <c r="D53" i="650"/>
  <c r="D18" i="649" s="1"/>
  <c r="H39" i="248"/>
  <c r="E18" i="664"/>
  <c r="C24" i="664"/>
  <c r="D91" i="547"/>
  <c r="F94" i="248" s="1"/>
  <c r="D84" i="547"/>
  <c r="F87" i="248" s="1"/>
  <c r="I113" i="545"/>
  <c r="J111" i="545"/>
  <c r="J115" i="545" s="1"/>
  <c r="J121" i="545" s="1"/>
  <c r="J104" i="545"/>
  <c r="D39" i="622"/>
  <c r="D47" i="631" s="1"/>
  <c r="C53" i="650"/>
  <c r="C18" i="649" s="1"/>
  <c r="F53" i="650"/>
  <c r="F18" i="649" s="1"/>
  <c r="I53" i="650"/>
  <c r="I89" i="650" s="1"/>
  <c r="E53" i="650"/>
  <c r="E18" i="649" s="1"/>
  <c r="D15" i="631"/>
  <c r="D35" i="622"/>
  <c r="D21" i="631" s="1"/>
  <c r="I61" i="620"/>
  <c r="B45" i="650"/>
  <c r="I158" i="620"/>
  <c r="H38" i="248"/>
  <c r="G38" i="248"/>
  <c r="G45" i="248"/>
  <c r="H45" i="248"/>
  <c r="H57" i="248"/>
  <c r="G57" i="248"/>
  <c r="J22" i="620"/>
  <c r="G37" i="248"/>
  <c r="H37" i="248"/>
  <c r="H42" i="248"/>
  <c r="G42" i="248"/>
  <c r="G43" i="248"/>
  <c r="H43" i="248"/>
  <c r="H34" i="248"/>
  <c r="G34" i="248"/>
  <c r="H41" i="248"/>
  <c r="G41" i="248"/>
  <c r="J200" i="620"/>
  <c r="J200" i="683"/>
  <c r="I159" i="620"/>
  <c r="J31" i="620"/>
  <c r="D34" i="622"/>
  <c r="J21" i="620"/>
  <c r="J26" i="620"/>
  <c r="D18" i="631"/>
  <c r="J78" i="490"/>
  <c r="J98" i="490" s="1"/>
  <c r="J110" i="490" s="1"/>
  <c r="D38" i="631"/>
  <c r="D49" i="631"/>
  <c r="D51" i="631"/>
  <c r="D23" i="631"/>
  <c r="D33" i="631"/>
  <c r="D24" i="659"/>
  <c r="C24" i="659"/>
  <c r="E18" i="659"/>
  <c r="J81" i="490"/>
  <c r="J82" i="490" s="1"/>
  <c r="D19" i="630"/>
  <c r="C26" i="663"/>
  <c r="D21" i="630"/>
  <c r="D23" i="664"/>
  <c r="D25" i="664" s="1"/>
  <c r="D11" i="631"/>
  <c r="D58" i="631"/>
  <c r="F161" i="620"/>
  <c r="F118" i="620"/>
  <c r="F111" i="620"/>
  <c r="F115" i="620" s="1"/>
  <c r="F104" i="620"/>
  <c r="F93" i="248"/>
  <c r="F86" i="248"/>
  <c r="D99" i="622"/>
  <c r="D100" i="622" s="1"/>
  <c r="C18" i="663"/>
  <c r="E14" i="665"/>
  <c r="K61" i="620" l="1"/>
  <c r="K63" i="620" s="1"/>
  <c r="K66" i="620" s="1"/>
  <c r="L61" i="620"/>
  <c r="D75" i="109"/>
  <c r="D79" i="109" s="1"/>
  <c r="D81" i="109" s="1"/>
  <c r="K13" i="107" s="1"/>
  <c r="I108" i="167"/>
  <c r="N108" i="167"/>
  <c r="C11" i="688"/>
  <c r="I105" i="167"/>
  <c r="M72" i="1"/>
  <c r="I62" i="683" s="1"/>
  <c r="V32" i="467"/>
  <c r="V33" i="467" s="1"/>
  <c r="D21" i="684"/>
  <c r="I22" i="248" s="1"/>
  <c r="H12" i="682"/>
  <c r="D20" i="684"/>
  <c r="C17" i="689"/>
  <c r="I102" i="167"/>
  <c r="I109" i="167" s="1"/>
  <c r="I113" i="167"/>
  <c r="G12" i="682"/>
  <c r="F89" i="650"/>
  <c r="F77" i="650" s="1"/>
  <c r="H18" i="649"/>
  <c r="D92" i="547"/>
  <c r="F95" i="248" s="1"/>
  <c r="I18" i="649"/>
  <c r="D89" i="650"/>
  <c r="D77" i="650" s="1"/>
  <c r="G18" i="649"/>
  <c r="C89" i="650"/>
  <c r="C77" i="650" s="1"/>
  <c r="G40" i="248"/>
  <c r="H40" i="248"/>
  <c r="J117" i="545"/>
  <c r="E89" i="650"/>
  <c r="E78" i="650" s="1"/>
  <c r="E23" i="649" s="1"/>
  <c r="E24" i="664"/>
  <c r="C25" i="664"/>
  <c r="D26" i="664" s="1"/>
  <c r="D85" i="547"/>
  <c r="F88" i="248" s="1"/>
  <c r="E55" i="622"/>
  <c r="I63" i="620"/>
  <c r="E59" i="622" s="1"/>
  <c r="J61" i="620"/>
  <c r="D13" i="665" s="1"/>
  <c r="D17" i="665" s="1"/>
  <c r="I199" i="620"/>
  <c r="I70" i="620"/>
  <c r="I71" i="620" s="1"/>
  <c r="C21" i="663" s="1"/>
  <c r="D55" i="622"/>
  <c r="D59" i="622" s="1"/>
  <c r="B10" i="649"/>
  <c r="B53" i="650"/>
  <c r="H36" i="248"/>
  <c r="G36" i="248"/>
  <c r="H35" i="248"/>
  <c r="G35" i="248"/>
  <c r="J103" i="490"/>
  <c r="J112" i="490"/>
  <c r="J114" i="490" s="1"/>
  <c r="D21" i="659"/>
  <c r="E24" i="659"/>
  <c r="C25" i="659"/>
  <c r="E23" i="664"/>
  <c r="H77" i="650"/>
  <c r="H78" i="650"/>
  <c r="H23" i="649" s="1"/>
  <c r="I78" i="650"/>
  <c r="I23" i="649" s="1"/>
  <c r="I77" i="650"/>
  <c r="G77" i="650"/>
  <c r="G78" i="650"/>
  <c r="G23" i="649" s="1"/>
  <c r="F121" i="620"/>
  <c r="K70" i="620" l="1"/>
  <c r="K71" i="620" s="1"/>
  <c r="K72" i="620" s="1"/>
  <c r="K73" i="620" s="1"/>
  <c r="K74" i="620" s="1"/>
  <c r="C13" i="665"/>
  <c r="C17" i="665" s="1"/>
  <c r="I110" i="167"/>
  <c r="D18" i="692"/>
  <c r="C12" i="688"/>
  <c r="N102" i="167"/>
  <c r="N109" i="167" s="1"/>
  <c r="N110" i="167" s="1"/>
  <c r="K62" i="683"/>
  <c r="I70" i="683"/>
  <c r="E56" i="684"/>
  <c r="I63" i="683"/>
  <c r="D56" i="684"/>
  <c r="C10" i="688"/>
  <c r="D12" i="692"/>
  <c r="I106" i="167"/>
  <c r="I197" i="683" s="1"/>
  <c r="D15" i="692" s="1"/>
  <c r="E77" i="687"/>
  <c r="I196" i="683"/>
  <c r="D14" i="692" s="1"/>
  <c r="B77" i="687"/>
  <c r="I77" i="687"/>
  <c r="F77" i="687"/>
  <c r="C77" i="687"/>
  <c r="D77" i="687"/>
  <c r="D13" i="692"/>
  <c r="H77" i="687"/>
  <c r="G77" i="687"/>
  <c r="S102" i="167"/>
  <c r="S109" i="167" s="1"/>
  <c r="S110" i="167" s="1"/>
  <c r="J62" i="683"/>
  <c r="C19" i="689"/>
  <c r="C20" i="689" s="1"/>
  <c r="C18" i="689"/>
  <c r="D94" i="547"/>
  <c r="F97" i="248" s="1"/>
  <c r="H56" i="248"/>
  <c r="H60" i="248"/>
  <c r="D78" i="650"/>
  <c r="D23" i="649" s="1"/>
  <c r="F78" i="650"/>
  <c r="F23" i="649" s="1"/>
  <c r="C78" i="650"/>
  <c r="C23" i="649" s="1"/>
  <c r="I66" i="620"/>
  <c r="E77" i="650"/>
  <c r="E79" i="650" s="1"/>
  <c r="E24" i="649" s="1"/>
  <c r="E26" i="649" s="1"/>
  <c r="J70" i="620"/>
  <c r="J71" i="620" s="1"/>
  <c r="J72" i="620" s="1"/>
  <c r="J73" i="620" s="1"/>
  <c r="J74" i="620" s="1"/>
  <c r="J63" i="620"/>
  <c r="J66" i="620" s="1"/>
  <c r="E15" i="665" s="1"/>
  <c r="I196" i="620"/>
  <c r="D14" i="630" s="1"/>
  <c r="D16" i="630" s="1"/>
  <c r="I77" i="620"/>
  <c r="D22" i="630" s="1"/>
  <c r="E25" i="664"/>
  <c r="I87" i="545"/>
  <c r="I92" i="545" s="1"/>
  <c r="I98" i="545" s="1"/>
  <c r="I104" i="545" s="1"/>
  <c r="D28" i="558"/>
  <c r="D30" i="558" s="1"/>
  <c r="D61" i="547" s="1"/>
  <c r="F62" i="248" s="1"/>
  <c r="C15" i="663"/>
  <c r="C17" i="663" s="1"/>
  <c r="I162" i="620"/>
  <c r="I80" i="620"/>
  <c r="I81" i="620" s="1"/>
  <c r="I82" i="620" s="1"/>
  <c r="E60" i="622" s="1"/>
  <c r="D14" i="622"/>
  <c r="D10" i="630" s="1"/>
  <c r="J80" i="620"/>
  <c r="J81" i="620" s="1"/>
  <c r="J82" i="620" s="1"/>
  <c r="K76" i="620"/>
  <c r="C18" i="665" s="1"/>
  <c r="I76" i="620"/>
  <c r="E14" i="622"/>
  <c r="K77" i="620"/>
  <c r="C19" i="665" s="1"/>
  <c r="J77" i="620"/>
  <c r="D19" i="665" s="1"/>
  <c r="K80" i="620"/>
  <c r="K81" i="620" s="1"/>
  <c r="K82" i="620" s="1"/>
  <c r="G15" i="248"/>
  <c r="I163" i="620"/>
  <c r="J196" i="620"/>
  <c r="J76" i="620"/>
  <c r="D18" i="665" s="1"/>
  <c r="J199" i="620"/>
  <c r="H15" i="248"/>
  <c r="G56" i="248"/>
  <c r="J21" i="227"/>
  <c r="J31" i="227" s="1"/>
  <c r="J38" i="227" s="1"/>
  <c r="B89" i="650"/>
  <c r="B18" i="649"/>
  <c r="E13" i="682"/>
  <c r="E18" i="682"/>
  <c r="J120" i="490"/>
  <c r="J116" i="490"/>
  <c r="D23" i="659"/>
  <c r="E21" i="659"/>
  <c r="D20" i="630"/>
  <c r="C25" i="663"/>
  <c r="C27" i="663" s="1"/>
  <c r="I72" i="620"/>
  <c r="I73" i="620" s="1"/>
  <c r="I74" i="620" s="1"/>
  <c r="D83" i="622" s="1"/>
  <c r="I79" i="650"/>
  <c r="I24" i="649" s="1"/>
  <c r="I26" i="649" s="1"/>
  <c r="I22" i="649"/>
  <c r="H22" i="649"/>
  <c r="H79" i="650"/>
  <c r="H24" i="649" s="1"/>
  <c r="H26" i="649" s="1"/>
  <c r="F22" i="649"/>
  <c r="G79" i="650"/>
  <c r="G24" i="649" s="1"/>
  <c r="G26" i="649" s="1"/>
  <c r="G22" i="649"/>
  <c r="C22" i="649"/>
  <c r="D22" i="649"/>
  <c r="E13" i="665" l="1"/>
  <c r="C13" i="688"/>
  <c r="C21" i="689"/>
  <c r="I76" i="683"/>
  <c r="D16" i="692"/>
  <c r="B22" i="686"/>
  <c r="G22" i="686"/>
  <c r="I71" i="683"/>
  <c r="C21" i="688" s="1"/>
  <c r="H22" i="686"/>
  <c r="E22" i="686"/>
  <c r="C14" i="682"/>
  <c r="K70" i="683"/>
  <c r="K71" i="683" s="1"/>
  <c r="K72" i="683" s="1"/>
  <c r="K73" i="683" s="1"/>
  <c r="K74" i="683" s="1"/>
  <c r="K63" i="683"/>
  <c r="K66" i="683" s="1"/>
  <c r="I22" i="686"/>
  <c r="N111" i="167"/>
  <c r="K80" i="683" s="1"/>
  <c r="D22" i="686"/>
  <c r="I66" i="683"/>
  <c r="E59" i="684"/>
  <c r="C22" i="686"/>
  <c r="S111" i="167"/>
  <c r="J80" i="683" s="1"/>
  <c r="J81" i="683" s="1"/>
  <c r="J82" i="683" s="1"/>
  <c r="D14" i="682"/>
  <c r="D17" i="682" s="1"/>
  <c r="J70" i="683"/>
  <c r="J71" i="683" s="1"/>
  <c r="J72" i="683" s="1"/>
  <c r="J73" i="683" s="1"/>
  <c r="J74" i="683" s="1"/>
  <c r="J63" i="683"/>
  <c r="J66" i="683" s="1"/>
  <c r="F22" i="686"/>
  <c r="D59" i="684"/>
  <c r="I60" i="248" s="1"/>
  <c r="I57" i="248"/>
  <c r="D99" i="684"/>
  <c r="D100" i="684" s="1"/>
  <c r="C18" i="688"/>
  <c r="C19" i="688" s="1"/>
  <c r="I199" i="683"/>
  <c r="E78" i="687"/>
  <c r="E23" i="686" s="1"/>
  <c r="I111" i="167"/>
  <c r="I200" i="683" s="1"/>
  <c r="D19" i="692"/>
  <c r="F78" i="687"/>
  <c r="F23" i="686" s="1"/>
  <c r="B78" i="687"/>
  <c r="B23" i="686" s="1"/>
  <c r="I78" i="687"/>
  <c r="I23" i="686" s="1"/>
  <c r="G78" i="687"/>
  <c r="G23" i="686" s="1"/>
  <c r="C78" i="687"/>
  <c r="C23" i="686" s="1"/>
  <c r="D78" i="687"/>
  <c r="D23" i="686" s="1"/>
  <c r="H78" i="687"/>
  <c r="H23" i="686" s="1"/>
  <c r="D79" i="650"/>
  <c r="D24" i="649" s="1"/>
  <c r="D26" i="649" s="1"/>
  <c r="F79" i="650"/>
  <c r="F24" i="649" s="1"/>
  <c r="F26" i="649" s="1"/>
  <c r="E22" i="649"/>
  <c r="C79" i="650"/>
  <c r="C24" i="649" s="1"/>
  <c r="C26" i="649" s="1"/>
  <c r="I78" i="620"/>
  <c r="D60" i="622" s="1"/>
  <c r="H61" i="248" s="1"/>
  <c r="D23" i="630"/>
  <c r="C19" i="663"/>
  <c r="C23" i="663" s="1"/>
  <c r="C29" i="663" s="1"/>
  <c r="C31" i="663" s="1"/>
  <c r="C32" i="663" s="1"/>
  <c r="C33" i="663" s="1"/>
  <c r="D74" i="622" s="1"/>
  <c r="I111" i="545"/>
  <c r="I115" i="545" s="1"/>
  <c r="I117" i="545" s="1"/>
  <c r="J78" i="620"/>
  <c r="J98" i="620" s="1"/>
  <c r="J104" i="620" s="1"/>
  <c r="K78" i="620"/>
  <c r="D91" i="622"/>
  <c r="H94" i="248" s="1"/>
  <c r="D84" i="622"/>
  <c r="H87" i="248" s="1"/>
  <c r="G60" i="248"/>
  <c r="H86" i="248"/>
  <c r="G86" i="248"/>
  <c r="B78" i="650"/>
  <c r="B23" i="649" s="1"/>
  <c r="B77" i="650"/>
  <c r="E19" i="665"/>
  <c r="D62" i="547"/>
  <c r="D25" i="659"/>
  <c r="E23" i="659"/>
  <c r="D90" i="622"/>
  <c r="I113" i="620"/>
  <c r="D21" i="665"/>
  <c r="C21" i="665"/>
  <c r="C23" i="665" s="1"/>
  <c r="D24" i="665"/>
  <c r="J113" i="620"/>
  <c r="E17" i="665"/>
  <c r="C24" i="665"/>
  <c r="E18" i="665"/>
  <c r="I80" i="683" l="1"/>
  <c r="I81" i="683" s="1"/>
  <c r="I82" i="683" s="1"/>
  <c r="I72" i="683"/>
  <c r="I73" i="683" s="1"/>
  <c r="I74" i="683" s="1"/>
  <c r="D83" i="684" s="1"/>
  <c r="I79" i="687"/>
  <c r="I24" i="686" s="1"/>
  <c r="I26" i="686" s="1"/>
  <c r="C23" i="688"/>
  <c r="K81" i="683"/>
  <c r="K82" i="683" s="1"/>
  <c r="C21" i="682" s="1"/>
  <c r="H79" i="687"/>
  <c r="H24" i="686" s="1"/>
  <c r="H26" i="686" s="1"/>
  <c r="I77" i="683"/>
  <c r="F79" i="687"/>
  <c r="F24" i="686" s="1"/>
  <c r="F26" i="686" s="1"/>
  <c r="C79" i="687"/>
  <c r="C24" i="686" s="1"/>
  <c r="C26" i="686" s="1"/>
  <c r="J113" i="683"/>
  <c r="D21" i="682"/>
  <c r="D23" i="682" s="1"/>
  <c r="G79" i="687"/>
  <c r="G24" i="686" s="1"/>
  <c r="G26" i="686" s="1"/>
  <c r="D79" i="687"/>
  <c r="D24" i="686" s="1"/>
  <c r="D26" i="686" s="1"/>
  <c r="E14" i="682"/>
  <c r="C17" i="682"/>
  <c r="D21" i="692"/>
  <c r="C26" i="688"/>
  <c r="J77" i="683"/>
  <c r="E79" i="687"/>
  <c r="E24" i="686" s="1"/>
  <c r="E26" i="686" s="1"/>
  <c r="B79" i="687"/>
  <c r="B24" i="686" s="1"/>
  <c r="B26" i="686" s="1"/>
  <c r="D20" i="692"/>
  <c r="C25" i="688"/>
  <c r="K77" i="683"/>
  <c r="D65" i="547"/>
  <c r="D81" i="547" s="1"/>
  <c r="I178" i="545"/>
  <c r="I179" i="545" s="1"/>
  <c r="I181" i="545" s="1"/>
  <c r="I118" i="545" s="1"/>
  <c r="I121" i="545" s="1"/>
  <c r="G61" i="248"/>
  <c r="J111" i="620"/>
  <c r="J115" i="620" s="1"/>
  <c r="J117" i="620" s="1"/>
  <c r="G94" i="248"/>
  <c r="G87" i="248"/>
  <c r="B79" i="650"/>
  <c r="B24" i="649" s="1"/>
  <c r="B26" i="649" s="1"/>
  <c r="B22" i="649"/>
  <c r="G75" i="248"/>
  <c r="H75" i="248"/>
  <c r="G93" i="248"/>
  <c r="H93" i="248"/>
  <c r="F63" i="248"/>
  <c r="D26" i="659"/>
  <c r="D28" i="539" s="1"/>
  <c r="E25" i="659"/>
  <c r="E24" i="665"/>
  <c r="C25" i="665"/>
  <c r="D85" i="622"/>
  <c r="D92" i="622"/>
  <c r="E21" i="665"/>
  <c r="D23" i="665"/>
  <c r="D90" i="684" l="1"/>
  <c r="D91" i="684"/>
  <c r="I94" i="248" s="1"/>
  <c r="E60" i="684"/>
  <c r="D84" i="684"/>
  <c r="I87" i="248" s="1"/>
  <c r="I113" i="683"/>
  <c r="C23" i="682"/>
  <c r="E23" i="682" s="1"/>
  <c r="E21" i="682"/>
  <c r="E17" i="682"/>
  <c r="I86" i="248"/>
  <c r="D22" i="692"/>
  <c r="D23" i="692" s="1"/>
  <c r="I78" i="683"/>
  <c r="D60" i="684" s="1"/>
  <c r="I61" i="248" s="1"/>
  <c r="D19" i="682"/>
  <c r="D24" i="682" s="1"/>
  <c r="J78" i="683"/>
  <c r="J98" i="683" s="1"/>
  <c r="C19" i="682"/>
  <c r="C24" i="682" s="1"/>
  <c r="K78" i="683"/>
  <c r="C27" i="688"/>
  <c r="C29" i="688" s="1"/>
  <c r="C31" i="688" s="1"/>
  <c r="C32" i="688" s="1"/>
  <c r="C33" i="688" s="1"/>
  <c r="D74" i="684" s="1"/>
  <c r="I75" i="248" s="1"/>
  <c r="F66" i="248"/>
  <c r="E11" i="561"/>
  <c r="E13" i="561" s="1"/>
  <c r="E15" i="561" s="1"/>
  <c r="D72" i="547"/>
  <c r="F73" i="248" s="1"/>
  <c r="F84" i="248"/>
  <c r="D86" i="547"/>
  <c r="F89" i="248" s="1"/>
  <c r="H95" i="248"/>
  <c r="G95" i="248"/>
  <c r="H88" i="248"/>
  <c r="G88" i="248"/>
  <c r="I87" i="490"/>
  <c r="I92" i="490" s="1"/>
  <c r="I98" i="490" s="1"/>
  <c r="J121" i="620"/>
  <c r="D94" i="622"/>
  <c r="D25" i="665"/>
  <c r="E23" i="665"/>
  <c r="D92" i="684" l="1"/>
  <c r="D94" i="684" s="1"/>
  <c r="I97" i="248" s="1"/>
  <c r="I93" i="248"/>
  <c r="E24" i="682"/>
  <c r="D85" i="684"/>
  <c r="I88" i="248" s="1"/>
  <c r="J111" i="683"/>
  <c r="J115" i="683" s="1"/>
  <c r="J104" i="683"/>
  <c r="C25" i="682"/>
  <c r="E19" i="682"/>
  <c r="D25" i="682"/>
  <c r="D87" i="547"/>
  <c r="F90" i="248" s="1"/>
  <c r="G97" i="248"/>
  <c r="H97" i="248"/>
  <c r="I110" i="490"/>
  <c r="I114" i="490" s="1"/>
  <c r="D22" i="636" s="1"/>
  <c r="D23" i="636" s="1"/>
  <c r="D25" i="636" s="1"/>
  <c r="D24" i="539" s="1"/>
  <c r="I103" i="490"/>
  <c r="D26" i="665"/>
  <c r="E25" i="665"/>
  <c r="I95" i="248" l="1"/>
  <c r="D26" i="682"/>
  <c r="I87" i="683" s="1"/>
  <c r="I92" i="683" s="1"/>
  <c r="I98" i="683" s="1"/>
  <c r="I104" i="683" s="1"/>
  <c r="J117" i="683"/>
  <c r="J121" i="683"/>
  <c r="E25" i="682"/>
  <c r="I177" i="490"/>
  <c r="I178" i="490" s="1"/>
  <c r="I180" i="490" s="1"/>
  <c r="I117" i="490" s="1"/>
  <c r="I120" i="490" s="1"/>
  <c r="I116" i="490"/>
  <c r="D28" i="629"/>
  <c r="I87" i="620"/>
  <c r="I92" i="620" s="1"/>
  <c r="I98" i="620" s="1"/>
  <c r="I111" i="683" l="1"/>
  <c r="I115" i="683" s="1"/>
  <c r="I178" i="683" s="1"/>
  <c r="I179" i="683" s="1"/>
  <c r="I181" i="683" s="1"/>
  <c r="I118" i="683" s="1"/>
  <c r="I121" i="683" s="1"/>
  <c r="D28" i="685"/>
  <c r="D30" i="539"/>
  <c r="D61" i="498" s="1"/>
  <c r="I104" i="620"/>
  <c r="I111" i="620"/>
  <c r="I115" i="620" s="1"/>
  <c r="I117" i="683" l="1"/>
  <c r="D62" i="498"/>
  <c r="E62" i="248"/>
  <c r="I117" i="620"/>
  <c r="I178" i="620"/>
  <c r="I179" i="620" s="1"/>
  <c r="I181" i="620" s="1"/>
  <c r="I118" i="620" s="1"/>
  <c r="I121" i="620" s="1"/>
  <c r="E63" i="248" l="1"/>
  <c r="D65" i="498"/>
  <c r="D72" i="498" s="1"/>
  <c r="E73" i="248" s="1"/>
  <c r="O11" i="467"/>
  <c r="P13" i="467" s="1"/>
  <c r="P15" i="467" s="1"/>
  <c r="I73" i="1" s="1"/>
  <c r="E11" i="527" l="1"/>
  <c r="E13" i="527" s="1"/>
  <c r="E15" i="527" s="1"/>
  <c r="E66" i="248"/>
  <c r="D81" i="498"/>
  <c r="D86" i="498" s="1"/>
  <c r="E89" i="248" s="1"/>
  <c r="P19" i="467"/>
  <c r="E84" i="248" l="1"/>
  <c r="D87" i="498"/>
  <c r="E90" i="248" s="1"/>
  <c r="R8" i="467"/>
  <c r="R11" i="467" s="1"/>
  <c r="S13" i="467" l="1"/>
  <c r="S15" i="467" s="1"/>
  <c r="H64" i="650"/>
  <c r="F65" i="650"/>
  <c r="B64" i="650"/>
  <c r="C60" i="650"/>
  <c r="C35" i="649" s="1"/>
  <c r="D60" i="650"/>
  <c r="D35" i="649" s="1"/>
  <c r="E62" i="650"/>
  <c r="I63" i="650"/>
  <c r="C64" i="650"/>
  <c r="C39" i="649" s="1"/>
  <c r="B60" i="650"/>
  <c r="H60" i="650"/>
  <c r="I64" i="650"/>
  <c r="I39" i="649" s="1"/>
  <c r="G65" i="650"/>
  <c r="G40" i="649" s="1"/>
  <c r="G64" i="650"/>
  <c r="G39" i="649" s="1"/>
  <c r="F64" i="650"/>
  <c r="F39" i="649" s="1"/>
  <c r="F60" i="650"/>
  <c r="F35" i="649" s="1"/>
  <c r="E65" i="650"/>
  <c r="E40" i="649" s="1"/>
  <c r="D64" i="650"/>
  <c r="B63" i="650"/>
  <c r="B38" i="649" s="1"/>
  <c r="B59" i="650"/>
  <c r="B34" i="649" s="1"/>
  <c r="H63" i="650"/>
  <c r="H38" i="649" s="1"/>
  <c r="H59" i="650"/>
  <c r="H34" i="649" s="1"/>
  <c r="C65" i="650"/>
  <c r="C40" i="649" s="1"/>
  <c r="D65" i="650"/>
  <c r="D40" i="649" s="1"/>
  <c r="C63" i="650"/>
  <c r="C38" i="649" s="1"/>
  <c r="C59" i="650"/>
  <c r="I62" i="650"/>
  <c r="I37" i="649" s="1"/>
  <c r="G63" i="650"/>
  <c r="G38" i="649" s="1"/>
  <c r="G60" i="650"/>
  <c r="G35" i="649" s="1"/>
  <c r="H65" i="650"/>
  <c r="H40" i="649"/>
  <c r="F63" i="650"/>
  <c r="F59" i="650"/>
  <c r="F34" i="649" s="1"/>
  <c r="E64" i="650"/>
  <c r="E39" i="649" s="1"/>
  <c r="E60" i="650"/>
  <c r="E35" i="649" s="1"/>
  <c r="D62" i="650"/>
  <c r="D37" i="649" s="1"/>
  <c r="B62" i="650"/>
  <c r="B37" i="649" s="1"/>
  <c r="H62" i="650"/>
  <c r="E59" i="650"/>
  <c r="E34" i="649" s="1"/>
  <c r="G59" i="650"/>
  <c r="G34" i="649" s="1"/>
  <c r="D38" i="649"/>
  <c r="D63" i="650"/>
  <c r="C62" i="650"/>
  <c r="C37" i="649" s="1"/>
  <c r="I60" i="650"/>
  <c r="I35" i="649" s="1"/>
  <c r="I59" i="650"/>
  <c r="I34" i="649" s="1"/>
  <c r="E63" i="650"/>
  <c r="I65" i="650"/>
  <c r="I40" i="649" s="1"/>
  <c r="G62" i="650"/>
  <c r="G37" i="649" s="1"/>
  <c r="F62" i="650"/>
  <c r="F37" i="649" s="1"/>
  <c r="D57" i="650"/>
  <c r="D59" i="650"/>
  <c r="B65" i="650"/>
  <c r="B40" i="649" s="1"/>
  <c r="J60" i="650"/>
  <c r="C61" i="650" s="1"/>
  <c r="E57" i="650"/>
  <c r="F57" i="650"/>
  <c r="I57" i="650"/>
  <c r="I32" i="649"/>
  <c r="C57" i="650"/>
  <c r="C32" i="649"/>
  <c r="H57" i="650"/>
  <c r="B92" i="650"/>
  <c r="C92" i="650"/>
  <c r="D92" i="650"/>
  <c r="E92" i="650" s="1"/>
  <c r="F92" i="650" s="1"/>
  <c r="G92" i="650" s="1"/>
  <c r="H92" i="650" s="1"/>
  <c r="I92" i="650" s="1"/>
  <c r="G57" i="650"/>
  <c r="B57" i="650"/>
  <c r="B32" i="649"/>
  <c r="C66" i="650" l="1"/>
  <c r="C93" i="650" s="1"/>
  <c r="K73" i="1"/>
  <c r="U8" i="467" s="1"/>
  <c r="U11" i="467" s="1"/>
  <c r="V13" i="467" s="1"/>
  <c r="V15" i="467" s="1"/>
  <c r="S19" i="467"/>
  <c r="C83" i="650"/>
  <c r="C84" i="650"/>
  <c r="F66" i="650"/>
  <c r="F93" i="650" s="1"/>
  <c r="C36" i="649"/>
  <c r="D34" i="649"/>
  <c r="E38" i="649"/>
  <c r="D61" i="650"/>
  <c r="D32" i="649"/>
  <c r="I38" i="649"/>
  <c r="E37" i="649"/>
  <c r="F40" i="649"/>
  <c r="H37" i="649"/>
  <c r="F38" i="649"/>
  <c r="G32" i="649"/>
  <c r="I61" i="650"/>
  <c r="I66" i="650" s="1"/>
  <c r="I93" i="650" s="1"/>
  <c r="D39" i="649"/>
  <c r="H61" i="650"/>
  <c r="H66" i="650" s="1"/>
  <c r="H93" i="650" s="1"/>
  <c r="C41" i="686"/>
  <c r="B35" i="649"/>
  <c r="B61" i="650"/>
  <c r="E32" i="649"/>
  <c r="C34" i="649"/>
  <c r="E61" i="650"/>
  <c r="F61" i="650"/>
  <c r="H35" i="649"/>
  <c r="G61" i="650"/>
  <c r="B39" i="649"/>
  <c r="H32" i="649"/>
  <c r="H39" i="649"/>
  <c r="F32" i="649"/>
  <c r="C41" i="649" l="1"/>
  <c r="M73" i="1"/>
  <c r="V19" i="467"/>
  <c r="H84" i="650"/>
  <c r="H83" i="650"/>
  <c r="I83" i="650"/>
  <c r="I84" i="650"/>
  <c r="F84" i="650"/>
  <c r="F83" i="650"/>
  <c r="G36" i="649"/>
  <c r="G66" i="650"/>
  <c r="G93" i="650" s="1"/>
  <c r="C46" i="649"/>
  <c r="H41" i="686"/>
  <c r="H36" i="649"/>
  <c r="H41" i="649" s="1"/>
  <c r="C45" i="649"/>
  <c r="C85" i="650"/>
  <c r="E41" i="686"/>
  <c r="E36" i="649"/>
  <c r="E41" i="649" s="1"/>
  <c r="E66" i="650"/>
  <c r="E93" i="650" s="1"/>
  <c r="B36" i="649"/>
  <c r="B41" i="649" s="1"/>
  <c r="B41" i="686"/>
  <c r="G41" i="649"/>
  <c r="I41" i="686"/>
  <c r="I36" i="649"/>
  <c r="I41" i="649" s="1"/>
  <c r="D36" i="649"/>
  <c r="D41" i="649" s="1"/>
  <c r="D41" i="686"/>
  <c r="F36" i="649"/>
  <c r="F41" i="649" s="1"/>
  <c r="F41" i="686"/>
  <c r="G41" i="686"/>
  <c r="D66" i="650"/>
  <c r="D93" i="650" s="1"/>
  <c r="B66" i="650"/>
  <c r="B93" i="650" s="1"/>
  <c r="D83" i="650" l="1"/>
  <c r="D84" i="650"/>
  <c r="I46" i="649"/>
  <c r="E84" i="650"/>
  <c r="E83" i="650"/>
  <c r="I45" i="649"/>
  <c r="I47" i="649" s="1"/>
  <c r="I85" i="650"/>
  <c r="G83" i="650"/>
  <c r="G84" i="650"/>
  <c r="I53" i="649"/>
  <c r="I57" i="649" s="1"/>
  <c r="C47" i="686"/>
  <c r="C53" i="686" s="1"/>
  <c r="C57" i="686" s="1"/>
  <c r="C47" i="649"/>
  <c r="C53" i="649" s="1"/>
  <c r="C57" i="649" s="1"/>
  <c r="H85" i="650"/>
  <c r="H45" i="649"/>
  <c r="F46" i="649"/>
  <c r="B84" i="650"/>
  <c r="B83" i="650"/>
  <c r="F85" i="650"/>
  <c r="F45" i="649"/>
  <c r="F47" i="649" s="1"/>
  <c r="F53" i="649" s="1"/>
  <c r="F57" i="649" s="1"/>
  <c r="H46" i="649"/>
  <c r="E46" i="649" l="1"/>
  <c r="H47" i="649"/>
  <c r="H53" i="649" s="1"/>
  <c r="H57" i="649" s="1"/>
  <c r="F47" i="686"/>
  <c r="F53" i="686" s="1"/>
  <c r="F57" i="686" s="1"/>
  <c r="G85" i="650"/>
  <c r="G45" i="649"/>
  <c r="B46" i="649"/>
  <c r="H47" i="686"/>
  <c r="H53" i="686" s="1"/>
  <c r="H57" i="686" s="1"/>
  <c r="D46" i="649"/>
  <c r="E45" i="649"/>
  <c r="E47" i="649" s="1"/>
  <c r="E53" i="649" s="1"/>
  <c r="E57" i="649" s="1"/>
  <c r="E85" i="650"/>
  <c r="E47" i="686"/>
  <c r="E53" i="686" s="1"/>
  <c r="E57" i="686" s="1"/>
  <c r="G46" i="649"/>
  <c r="B47" i="686"/>
  <c r="B53" i="686" s="1"/>
  <c r="B57" i="686" s="1"/>
  <c r="B85" i="650"/>
  <c r="B45" i="649"/>
  <c r="I47" i="686"/>
  <c r="I53" i="686" s="1"/>
  <c r="I57" i="686" s="1"/>
  <c r="D85" i="650"/>
  <c r="D45" i="649"/>
  <c r="D47" i="686"/>
  <c r="D53" i="686" s="1"/>
  <c r="D57" i="686" s="1"/>
  <c r="G47" i="649" l="1"/>
  <c r="G53" i="649" s="1"/>
  <c r="G57" i="649" s="1"/>
  <c r="D47" i="649"/>
  <c r="D53" i="649" s="1"/>
  <c r="D57" i="649" s="1"/>
  <c r="G47" i="686"/>
  <c r="G53" i="686" s="1"/>
  <c r="G57" i="686" s="1"/>
  <c r="J57" i="686" s="1"/>
  <c r="D23" i="685" s="1"/>
  <c r="D30" i="685" s="1"/>
  <c r="D61" i="684" s="1"/>
  <c r="B47" i="649"/>
  <c r="B53" i="649" s="1"/>
  <c r="B57" i="649" s="1"/>
  <c r="J57" i="649" s="1"/>
  <c r="D23" i="629" s="1"/>
  <c r="D30" i="629" s="1"/>
  <c r="D61" i="622" s="1"/>
  <c r="I62" i="248" l="1"/>
  <c r="D62" i="684"/>
  <c r="D65" i="684" s="1"/>
  <c r="H62" i="248"/>
  <c r="G62" i="248"/>
  <c r="D62" i="622"/>
  <c r="D65" i="622" s="1"/>
  <c r="I63" i="248" l="1"/>
  <c r="G63" i="248"/>
  <c r="H63" i="248"/>
  <c r="D72" i="684"/>
  <c r="I73" i="248" s="1"/>
  <c r="D81" i="684"/>
  <c r="I66" i="248"/>
  <c r="E11" i="695"/>
  <c r="E13" i="695" s="1"/>
  <c r="E15" i="695" s="1"/>
  <c r="H66" i="248" l="1"/>
  <c r="G66" i="248"/>
  <c r="I84" i="248"/>
  <c r="D86" i="684"/>
  <c r="I89" i="248" s="1"/>
  <c r="E11" i="627"/>
  <c r="E13" i="627" s="1"/>
  <c r="E15" i="627" s="1"/>
  <c r="D81" i="622"/>
  <c r="D72" i="622"/>
  <c r="H73" i="248" l="1"/>
  <c r="G73" i="248"/>
  <c r="H84" i="248"/>
  <c r="G84" i="248"/>
  <c r="D87" i="684"/>
  <c r="I90" i="248" s="1"/>
  <c r="D86" i="622"/>
  <c r="H89" i="248" l="1"/>
  <c r="G89" i="248"/>
  <c r="D87" i="622"/>
  <c r="H90" i="248" l="1"/>
  <c r="G90" i="248"/>
  <c r="D26" i="635"/>
  <c r="D28" i="635" l="1"/>
  <c r="D24" i="538" s="1"/>
  <c r="D30" i="538" s="1"/>
  <c r="D61" i="497" s="1"/>
  <c r="D62" i="497" s="1"/>
  <c r="D62" i="248" l="1"/>
  <c r="D65" i="497"/>
  <c r="D63" i="248"/>
  <c r="D81" i="497" l="1"/>
  <c r="D72" i="497"/>
  <c r="D73" i="248" s="1"/>
  <c r="E11" i="521"/>
  <c r="E13" i="521" s="1"/>
  <c r="E15" i="521" s="1"/>
  <c r="D66" i="248"/>
  <c r="D86" i="497" l="1"/>
  <c r="D89" i="248" s="1"/>
  <c r="D84" i="248"/>
  <c r="D87" i="497" l="1"/>
  <c r="D90" i="2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Region XIII</author>
  </authors>
  <commentList>
    <comment ref="G17" authorId="0" shapeId="0" xr:uid="{00000000-0006-0000-0700-000001000000}">
      <text>
        <r>
          <rPr>
            <b/>
            <sz val="8"/>
            <color indexed="81"/>
            <rFont val="Tahoma"/>
            <family val="2"/>
          </rPr>
          <t>Region XIII:</t>
        </r>
        <r>
          <rPr>
            <sz val="8"/>
            <color indexed="81"/>
            <rFont val="Tahoma"/>
            <family val="2"/>
          </rPr>
          <t xml:space="preserve">
OR statewide average wealth per wada * .0165, if greater</t>
        </r>
      </text>
    </comment>
    <comment ref="G26" authorId="0" shapeId="0" xr:uid="{00000000-0006-0000-0700-00000200000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m014knm</author>
  </authors>
  <commentList>
    <comment ref="J77" authorId="0" shapeId="0" xr:uid="{00000000-0006-0000-2B00-000001000000}">
      <text>
        <r>
          <rPr>
            <b/>
            <sz val="9"/>
            <color indexed="81"/>
            <rFont val="Tahoma"/>
            <family val="2"/>
          </rPr>
          <t>m014knm:</t>
        </r>
        <r>
          <rPr>
            <sz val="9"/>
            <color indexed="81"/>
            <rFont val="Tahoma"/>
            <family val="2"/>
          </rPr>
          <t xml:space="preserve">
uses 19-20 Level 1 GY</t>
        </r>
      </text>
    </comment>
    <comment ref="K77" authorId="0" shapeId="0" xr:uid="{00000000-0006-0000-2B00-000002000000}">
      <text>
        <r>
          <rPr>
            <b/>
            <sz val="9"/>
            <color indexed="81"/>
            <rFont val="Tahoma"/>
            <family val="2"/>
          </rPr>
          <t>m014knm:</t>
        </r>
        <r>
          <rPr>
            <sz val="9"/>
            <color indexed="81"/>
            <rFont val="Tahoma"/>
            <family val="2"/>
          </rPr>
          <t xml:space="preserve">
uses 15-16 Level 1 GY
</t>
        </r>
      </text>
    </comment>
  </commentList>
</comments>
</file>

<file path=xl/sharedStrings.xml><?xml version="1.0" encoding="utf-8"?>
<sst xmlns="http://schemas.openxmlformats.org/spreadsheetml/2006/main" count="66692" uniqueCount="12627">
  <si>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</si>
  <si>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</si>
  <si>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</si>
  <si>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</si>
  <si>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</si>
  <si>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</si>
  <si>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</si>
  <si>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</si>
  <si>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</si>
  <si>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</si>
  <si>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</si>
  <si>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</si>
  <si>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</si>
  <si>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</si>
  <si>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</si>
  <si>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</si>
  <si>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</si>
  <si>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</si>
  <si>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</si>
  <si>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</si>
  <si>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</si>
  <si>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</si>
  <si>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</si>
  <si>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</si>
  <si>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</si>
  <si>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</si>
  <si>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</si>
  <si>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</si>
  <si>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</si>
  <si>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</si>
  <si>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</si>
  <si>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</si>
  <si>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</si>
  <si>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</si>
  <si>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</si>
  <si>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</si>
  <si>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</si>
  <si>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</si>
  <si>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</si>
  <si>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</si>
  <si>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</si>
  <si>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</si>
  <si>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</si>
  <si>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</si>
  <si>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</si>
  <si>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</si>
  <si>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</si>
  <si>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</si>
  <si>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</si>
  <si>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</si>
  <si>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</si>
  <si>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</si>
  <si>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</si>
  <si>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</si>
  <si>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</si>
  <si>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</si>
  <si>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</si>
  <si>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</si>
  <si>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</si>
  <si>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</si>
  <si>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</si>
  <si>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</si>
  <si>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</si>
  <si>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</si>
  <si>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</si>
  <si>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</si>
  <si>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</si>
  <si>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</si>
  <si>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</si>
  <si>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</si>
  <si>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</si>
  <si>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</si>
  <si>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</si>
  <si>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</si>
  <si>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</si>
  <si>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</si>
  <si>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</si>
  <si>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</si>
  <si>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</si>
  <si>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</si>
  <si>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</si>
  <si>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</si>
  <si>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</si>
  <si>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</si>
  <si>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</si>
  <si>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</si>
  <si>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</si>
  <si>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Other Special Education Allotments:</t>
  </si>
  <si>
    <t xml:space="preserve">   Mainstream Special Education Allotment</t>
  </si>
  <si>
    <t xml:space="preserve">   Residential Care &amp; Treatment Allotment</t>
  </si>
  <si>
    <t>HUNTSVILLE ISD</t>
  </si>
  <si>
    <t>ROYAL ISD</t>
  </si>
  <si>
    <t>Level 3 Guaranteed Yield if @$1.17 in 10-11</t>
  </si>
  <si>
    <t>Level 2 Equalized Wealth Level if @ $1.17</t>
  </si>
  <si>
    <t xml:space="preserve">NOTE:  The EDA entitlement on Line 16 must be </t>
  </si>
  <si>
    <t>Estimated ADA (400 minimum)</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</si>
  <si>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</si>
  <si>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</si>
  <si>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</si>
  <si>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</si>
  <si>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</si>
  <si>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</si>
  <si>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</si>
  <si>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</si>
  <si>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</si>
  <si>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</si>
  <si>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</si>
  <si>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</si>
  <si>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</si>
  <si>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</si>
  <si>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</si>
  <si>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</si>
  <si>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</si>
  <si>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</si>
  <si>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</si>
  <si>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</si>
  <si>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</si>
  <si>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</si>
  <si>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</si>
  <si>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</si>
  <si>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</si>
  <si>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</si>
  <si>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</si>
  <si>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</si>
  <si>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</si>
  <si>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</si>
  <si>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</si>
  <si>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</si>
  <si>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</si>
  <si>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</si>
  <si>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</si>
  <si>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</si>
  <si>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</si>
  <si>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</si>
  <si>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</si>
  <si>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</si>
  <si>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</si>
  <si>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</si>
  <si>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</si>
  <si>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</si>
  <si>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</si>
  <si>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</si>
  <si>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</si>
  <si>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</si>
  <si>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</si>
  <si>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</si>
  <si>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</si>
  <si>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</si>
  <si>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</si>
  <si>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</si>
  <si>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</si>
  <si>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</si>
  <si>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</si>
  <si>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</si>
  <si>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</si>
  <si>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</si>
  <si>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</si>
  <si>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</si>
  <si>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2011-12</t>
  </si>
  <si>
    <t>2012-13</t>
  </si>
  <si>
    <t>2013-14</t>
  </si>
  <si>
    <t>014-905</t>
  </si>
  <si>
    <t>163-904</t>
  </si>
  <si>
    <t>158-902</t>
  </si>
  <si>
    <t>Fund / Revenue Code</t>
  </si>
  <si>
    <t>063-903</t>
  </si>
  <si>
    <t>063-906</t>
  </si>
  <si>
    <t>ROUND TOP-CARMINE ISD</t>
  </si>
  <si>
    <t>020-901</t>
  </si>
  <si>
    <t>112-901</t>
  </si>
  <si>
    <t>112-906</t>
  </si>
  <si>
    <t>112-908</t>
  </si>
  <si>
    <t>112-909</t>
  </si>
  <si>
    <t>071-904</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</si>
  <si>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</si>
  <si>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</si>
  <si>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</si>
  <si>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</si>
  <si>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</si>
  <si>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</si>
  <si>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</si>
  <si>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</si>
  <si>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</si>
  <si>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</si>
  <si>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</si>
  <si>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</si>
  <si>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</si>
  <si>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</si>
  <si>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</si>
  <si>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</si>
  <si>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</si>
  <si>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</si>
  <si>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</si>
  <si>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</si>
  <si>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</si>
  <si>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</si>
  <si>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</si>
  <si>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</si>
  <si>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</si>
  <si>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</si>
  <si>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</si>
  <si>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</si>
  <si>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</si>
  <si>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</si>
  <si>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</si>
  <si>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</si>
  <si>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</si>
  <si>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</si>
  <si>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</si>
  <si>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</si>
  <si>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</si>
  <si>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</si>
  <si>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</si>
  <si>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</si>
  <si>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</si>
  <si>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</si>
  <si>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</si>
  <si>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</si>
  <si>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</si>
  <si>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</si>
  <si>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</si>
  <si>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</si>
  <si>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</si>
  <si>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</si>
  <si>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</si>
  <si>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</si>
  <si>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</si>
  <si>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</si>
  <si>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</si>
  <si>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</si>
  <si>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</si>
  <si>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</si>
  <si>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</si>
  <si>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</si>
  <si>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</si>
  <si>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</si>
  <si>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</si>
  <si>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</si>
  <si>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</si>
  <si>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</si>
  <si>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</si>
  <si>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</si>
  <si>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</si>
  <si>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</si>
  <si>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</si>
  <si>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</si>
  <si>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</si>
  <si>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</si>
  <si>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</si>
  <si>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</si>
  <si>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</si>
  <si>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</si>
  <si>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</si>
  <si>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</si>
  <si>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</si>
  <si>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</si>
  <si>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</si>
  <si>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</si>
  <si>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</si>
  <si>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</si>
  <si>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</si>
  <si>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</si>
  <si>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</si>
  <si>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</si>
  <si>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</si>
  <si>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</si>
  <si>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</si>
  <si>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</si>
  <si>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</si>
  <si>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</si>
  <si>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</si>
  <si>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</si>
  <si>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</si>
  <si>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</si>
  <si>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</si>
  <si>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</si>
  <si>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</si>
  <si>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</si>
  <si>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</si>
  <si>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</si>
  <si>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</si>
  <si>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</si>
  <si>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</si>
  <si>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</si>
  <si>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</si>
  <si>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</si>
  <si>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</si>
  <si>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</si>
  <si>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</si>
  <si>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</si>
  <si>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</si>
  <si>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</si>
  <si>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</si>
  <si>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</si>
  <si>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</si>
  <si>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</si>
  <si>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</si>
  <si>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</si>
  <si>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</si>
  <si>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</si>
  <si>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</si>
  <si>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</si>
  <si>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</si>
  <si>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</si>
  <si>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</si>
  <si>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</si>
  <si>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</si>
  <si>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</si>
  <si>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</si>
  <si>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</si>
  <si>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</si>
  <si>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</si>
  <si>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</si>
  <si>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</si>
  <si>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</si>
  <si>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</si>
  <si>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</si>
  <si>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</si>
  <si>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</si>
  <si>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</si>
  <si>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</si>
  <si>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</si>
  <si>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</si>
  <si>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</si>
  <si>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</si>
  <si>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</si>
  <si>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</si>
  <si>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</si>
  <si>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</si>
  <si>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</si>
  <si>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</si>
  <si>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</si>
  <si>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</si>
  <si>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</si>
  <si>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</si>
  <si>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</si>
  <si>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</si>
  <si>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</si>
  <si>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</si>
  <si>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</si>
  <si>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</si>
  <si>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</si>
  <si>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</si>
  <si>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</si>
  <si>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</si>
  <si>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</si>
  <si>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</si>
  <si>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</si>
  <si>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</si>
  <si>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</si>
  <si>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</si>
  <si>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</si>
  <si>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</si>
  <si>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</si>
  <si>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</si>
  <si>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</si>
  <si>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</si>
  <si>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</si>
  <si>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</si>
  <si>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</si>
  <si>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</si>
  <si>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</si>
  <si>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</si>
  <si>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155-901</t>
  </si>
  <si>
    <t>156-902</t>
  </si>
  <si>
    <t>156-905</t>
  </si>
  <si>
    <t>057-904</t>
  </si>
  <si>
    <t>057-905</t>
  </si>
  <si>
    <t>057-906</t>
  </si>
  <si>
    <t>057-907</t>
  </si>
  <si>
    <t>NAZARETH ISD</t>
  </si>
  <si>
    <t>NEDERLAND ISD</t>
  </si>
  <si>
    <t>054-903</t>
  </si>
  <si>
    <t>137-902</t>
  </si>
  <si>
    <t>137-903</t>
  </si>
  <si>
    <t>137-904</t>
  </si>
  <si>
    <t xml:space="preserve">   Less: Charge for Dist. Share of AP Tests</t>
  </si>
  <si>
    <t>Compensatory Ed Pregnant Allotment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</si>
  <si>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</si>
  <si>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</si>
  <si>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</si>
  <si>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</si>
  <si>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</si>
  <si>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</si>
  <si>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</si>
  <si>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</si>
  <si>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</si>
  <si>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</si>
  <si>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</si>
  <si>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</si>
  <si>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</si>
  <si>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</si>
  <si>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</si>
  <si>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</si>
  <si>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</si>
  <si>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</si>
  <si>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</si>
  <si>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</si>
  <si>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</si>
  <si>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</si>
  <si>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</si>
  <si>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</si>
  <si>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</si>
  <si>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</si>
  <si>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</si>
  <si>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</si>
  <si>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</si>
  <si>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</si>
  <si>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</si>
  <si>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</si>
  <si>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</si>
  <si>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</si>
  <si>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</si>
  <si>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</si>
  <si>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</si>
  <si>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</si>
  <si>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</si>
  <si>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</si>
  <si>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</si>
  <si>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</si>
  <si>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</si>
  <si>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</si>
  <si>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</si>
  <si>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</si>
  <si>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</si>
  <si>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</si>
  <si>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</si>
  <si>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</si>
  <si>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012-901</t>
  </si>
  <si>
    <t>GARRISON ISD</t>
  </si>
  <si>
    <t>GARY ISD</t>
  </si>
  <si>
    <t>028-902</t>
  </si>
  <si>
    <t>092-903</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</si>
  <si>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</si>
  <si>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</si>
  <si>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</si>
  <si>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</si>
  <si>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</si>
  <si>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</si>
  <si>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</si>
  <si>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</si>
  <si>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</si>
  <si>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</si>
  <si>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</si>
  <si>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</si>
  <si>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</si>
  <si>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</si>
  <si>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</si>
  <si>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</si>
  <si>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</si>
  <si>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</si>
  <si>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</si>
  <si>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</si>
  <si>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</si>
  <si>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</si>
  <si>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</si>
  <si>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</si>
  <si>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</si>
  <si>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</si>
  <si>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</si>
  <si>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</si>
  <si>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</si>
  <si>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</si>
  <si>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</si>
  <si>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</si>
  <si>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</si>
  <si>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</si>
  <si>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</si>
  <si>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</si>
  <si>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</si>
  <si>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</si>
  <si>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</si>
  <si>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</si>
  <si>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</si>
  <si>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</si>
  <si>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</si>
  <si>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</si>
  <si>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</si>
  <si>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</si>
  <si>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</si>
  <si>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</si>
  <si>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</si>
  <si>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</si>
  <si>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</si>
  <si>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</si>
  <si>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</si>
  <si>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Tier II Aid </t>
  </si>
  <si>
    <t xml:space="preserve">     Total Taxes Collected</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</si>
  <si>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</si>
  <si>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</si>
  <si>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</si>
  <si>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</si>
  <si>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</si>
  <si>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</si>
  <si>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</si>
  <si>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</si>
  <si>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</si>
  <si>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</si>
  <si>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</si>
  <si>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</si>
  <si>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</si>
  <si>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</si>
  <si>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</si>
  <si>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</si>
  <si>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Mainstream ADA</t>
  </si>
  <si>
    <t>Special Education Instructional Arrangement FTEs:</t>
  </si>
  <si>
    <t>FTEs of Pregnant Students</t>
  </si>
  <si>
    <t>2005-06 Allowed Rate (Lesser of Line 10 or Line 11, or $.29)</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</si>
  <si>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</si>
  <si>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</si>
  <si>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</si>
  <si>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</si>
  <si>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</si>
  <si>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</si>
  <si>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</si>
  <si>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</si>
  <si>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</si>
  <si>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</si>
  <si>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</si>
  <si>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</si>
  <si>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</si>
  <si>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</si>
  <si>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</si>
  <si>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</si>
  <si>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</si>
  <si>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</si>
  <si>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</si>
  <si>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</si>
  <si>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</si>
  <si>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</si>
  <si>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</si>
  <si>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</si>
  <si>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</si>
  <si>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</si>
  <si>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</si>
  <si>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</si>
  <si>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</si>
  <si>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</si>
  <si>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</si>
  <si>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</si>
  <si>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</si>
  <si>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</si>
  <si>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</si>
  <si>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</si>
  <si>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</si>
  <si>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</si>
  <si>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</si>
  <si>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</si>
  <si>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</si>
  <si>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</si>
  <si>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</si>
  <si>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</si>
  <si>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</si>
  <si>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</si>
  <si>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</si>
  <si>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</si>
  <si>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</si>
  <si>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</si>
  <si>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</si>
  <si>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</si>
  <si>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</si>
  <si>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</si>
  <si>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</si>
  <si>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</si>
  <si>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</si>
  <si>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</si>
  <si>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</si>
  <si>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</si>
  <si>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</si>
  <si>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</si>
  <si>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</si>
  <si>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</si>
  <si>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</si>
  <si>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</si>
  <si>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</si>
  <si>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</si>
  <si>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</si>
  <si>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</si>
  <si>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</si>
  <si>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</si>
  <si>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</si>
  <si>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</si>
  <si>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</si>
  <si>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</si>
  <si>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</si>
  <si>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</si>
  <si>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</si>
  <si>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</si>
  <si>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</si>
  <si>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</si>
  <si>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</si>
  <si>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</si>
  <si>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</si>
  <si>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</si>
  <si>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</si>
  <si>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</si>
  <si>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</si>
  <si>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</si>
  <si>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</si>
  <si>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</si>
  <si>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</si>
  <si>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</si>
  <si>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</si>
  <si>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</si>
  <si>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</si>
  <si>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</si>
  <si>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</si>
  <si>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</si>
  <si>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</si>
  <si>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</si>
  <si>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</si>
  <si>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</si>
  <si>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</si>
  <si>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</si>
  <si>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</si>
  <si>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</si>
  <si>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</si>
  <si>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</si>
  <si>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</si>
  <si>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</si>
  <si>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</si>
  <si>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</si>
  <si>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</si>
  <si>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</si>
  <si>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</si>
  <si>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</si>
  <si>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</si>
  <si>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</si>
  <si>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</si>
  <si>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</si>
  <si>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</si>
  <si>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</si>
  <si>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</si>
  <si>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</si>
  <si>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</si>
  <si>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</si>
  <si>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</si>
  <si>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</si>
  <si>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</si>
  <si>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</si>
  <si>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</si>
  <si>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</si>
  <si>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</si>
  <si>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</si>
  <si>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</si>
  <si>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</si>
  <si>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</si>
  <si>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</si>
  <si>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</si>
  <si>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</si>
  <si>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</si>
  <si>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</si>
  <si>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</si>
  <si>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</si>
  <si>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</si>
  <si>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</si>
  <si>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</si>
  <si>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</si>
  <si>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</si>
  <si>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</si>
  <si>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</si>
  <si>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</si>
  <si>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</si>
  <si>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</si>
  <si>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</si>
  <si>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</si>
  <si>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</si>
  <si>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</si>
  <si>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</si>
  <si>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</si>
  <si>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</si>
  <si>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</si>
  <si>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</si>
  <si>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</si>
  <si>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</si>
  <si>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</si>
  <si>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</si>
  <si>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</si>
  <si>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</si>
  <si>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</si>
  <si>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</si>
  <si>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</si>
  <si>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</si>
  <si>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</si>
  <si>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</si>
  <si>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</si>
  <si>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</si>
  <si>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</si>
  <si>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10.j</t>
  </si>
  <si>
    <t xml:space="preserve">     Pay Debt Service (#11.f / #11.g)</t>
  </si>
  <si>
    <t xml:space="preserve">Number of Voter-authorized M&amp;O Pennies </t>
  </si>
  <si>
    <t>Other Programs:</t>
  </si>
  <si>
    <t>TSD Charge</t>
  </si>
  <si>
    <t>TSB Charge</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</si>
  <si>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</si>
  <si>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</si>
  <si>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</si>
  <si>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</si>
  <si>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</si>
  <si>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</si>
  <si>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</si>
  <si>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</si>
  <si>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</si>
  <si>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</si>
  <si>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</si>
  <si>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</si>
  <si>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</si>
  <si>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</si>
  <si>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</si>
  <si>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</si>
  <si>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</si>
  <si>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</si>
  <si>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</si>
  <si>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</si>
  <si>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</si>
  <si>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</si>
  <si>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</si>
  <si>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</si>
  <si>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</si>
  <si>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</si>
  <si>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</si>
  <si>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</si>
  <si>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</si>
  <si>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</si>
  <si>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</si>
  <si>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</si>
  <si>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</si>
  <si>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</si>
  <si>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</si>
  <si>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</si>
  <si>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</si>
  <si>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</si>
  <si>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</si>
  <si>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</si>
  <si>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</si>
  <si>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</si>
  <si>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</si>
  <si>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</si>
  <si>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</si>
  <si>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</si>
  <si>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</si>
  <si>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</si>
  <si>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</si>
  <si>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</si>
  <si>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</si>
  <si>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</si>
  <si>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</si>
  <si>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</si>
  <si>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</si>
  <si>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</si>
  <si>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</si>
  <si>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</si>
  <si>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</si>
  <si>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</si>
  <si>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</si>
  <si>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</si>
  <si>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</si>
  <si>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</si>
  <si>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</si>
  <si>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</si>
  <si>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</si>
  <si>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</si>
  <si>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</si>
  <si>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</si>
  <si>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</si>
  <si>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</si>
  <si>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</si>
  <si>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</si>
  <si>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</si>
  <si>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</si>
  <si>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</si>
  <si>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</si>
  <si>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</si>
  <si>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</si>
  <si>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</si>
  <si>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</si>
  <si>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</si>
  <si>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</si>
  <si>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</si>
  <si>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</si>
  <si>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</si>
  <si>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</si>
  <si>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</si>
  <si>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</si>
  <si>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</si>
  <si>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</si>
  <si>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</si>
  <si>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</si>
  <si>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</si>
  <si>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</si>
  <si>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</si>
  <si>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</si>
  <si>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</si>
  <si>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</si>
  <si>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</si>
  <si>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</si>
  <si>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</si>
  <si>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</si>
  <si>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</si>
  <si>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</si>
  <si>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</si>
  <si>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</si>
  <si>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</si>
  <si>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</si>
  <si>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</si>
  <si>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</si>
  <si>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</si>
  <si>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</si>
  <si>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</si>
  <si>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</si>
  <si>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</si>
  <si>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</si>
  <si>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</si>
  <si>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</si>
  <si>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</si>
  <si>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</si>
  <si>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</si>
  <si>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</si>
  <si>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</si>
  <si>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</si>
  <si>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</si>
  <si>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</si>
  <si>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</si>
  <si>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</si>
  <si>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</si>
  <si>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</si>
  <si>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</si>
  <si>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</si>
  <si>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</si>
  <si>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</si>
  <si>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</si>
  <si>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</si>
  <si>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</si>
  <si>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</si>
  <si>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</si>
  <si>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</si>
  <si>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</si>
  <si>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</si>
  <si>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</si>
  <si>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</si>
  <si>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</si>
  <si>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</si>
  <si>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</si>
  <si>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</si>
  <si>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</si>
  <si>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</si>
  <si>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</si>
  <si>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</si>
  <si>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</si>
  <si>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</si>
  <si>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</si>
  <si>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</si>
  <si>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</si>
  <si>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</si>
  <si>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</si>
  <si>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</si>
  <si>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</si>
  <si>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</si>
  <si>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</si>
  <si>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</si>
  <si>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</si>
  <si>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</si>
  <si>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</si>
  <si>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</si>
  <si>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</si>
  <si>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</si>
  <si>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</si>
  <si>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</si>
  <si>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</si>
  <si>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</si>
  <si>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</si>
  <si>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</si>
  <si>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</si>
  <si>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</si>
  <si>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</si>
  <si>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</si>
  <si>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</si>
  <si>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</si>
  <si>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</si>
  <si>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</si>
  <si>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</si>
  <si>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</si>
  <si>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</si>
  <si>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070-909</t>
  </si>
  <si>
    <t>032-902</t>
  </si>
  <si>
    <t>033-901</t>
  </si>
  <si>
    <t>Weighted ADA (WADA)</t>
  </si>
  <si>
    <t>Public Ed Grant Student ADA</t>
  </si>
  <si>
    <t>Highest Grade Taught</t>
  </si>
  <si>
    <t>2009-10</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</si>
  <si>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</si>
  <si>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</si>
  <si>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</si>
  <si>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</si>
  <si>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</si>
  <si>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</si>
  <si>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</si>
  <si>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</si>
  <si>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</si>
  <si>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</si>
  <si>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</si>
  <si>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</si>
  <si>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</si>
  <si>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</si>
  <si>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</si>
  <si>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</si>
  <si>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</si>
  <si>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</si>
  <si>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</si>
  <si>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</si>
  <si>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</si>
  <si>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</si>
  <si>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</si>
  <si>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</si>
  <si>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</si>
  <si>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</si>
  <si>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</si>
  <si>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</si>
  <si>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</si>
  <si>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</si>
  <si>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</si>
  <si>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</si>
  <si>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</si>
  <si>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</si>
  <si>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</si>
  <si>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</si>
  <si>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</si>
  <si>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</si>
  <si>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</si>
  <si>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</si>
  <si>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</si>
  <si>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</si>
  <si>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</si>
  <si>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</si>
  <si>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</si>
  <si>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</si>
  <si>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</si>
  <si>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</si>
  <si>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</si>
  <si>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</si>
  <si>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</si>
  <si>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</si>
  <si>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</si>
  <si>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</si>
  <si>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</si>
  <si>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</si>
  <si>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</si>
  <si>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</si>
  <si>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</si>
  <si>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</si>
  <si>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</si>
  <si>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</si>
  <si>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</si>
  <si>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</si>
  <si>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</si>
  <si>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</si>
  <si>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</si>
  <si>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Total Revenue per WADA</t>
  </si>
  <si>
    <t>Basic Allotment</t>
  </si>
  <si>
    <t>Level 1 Guaranteed Yield</t>
  </si>
  <si>
    <t>Level 2 Guaranteed Yield</t>
  </si>
  <si>
    <t>ORANGE GROVE ISD</t>
  </si>
  <si>
    <t>ORE CITY ISD</t>
  </si>
  <si>
    <t>GRANGER ISD</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</si>
  <si>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</si>
  <si>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</si>
  <si>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</si>
  <si>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</si>
  <si>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</si>
  <si>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</si>
  <si>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</si>
  <si>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</si>
  <si>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</si>
  <si>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</si>
  <si>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</si>
  <si>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</si>
  <si>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</si>
  <si>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</si>
  <si>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</si>
  <si>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</si>
  <si>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</si>
  <si>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</si>
  <si>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</si>
  <si>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</si>
  <si>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</si>
  <si>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</si>
  <si>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</si>
  <si>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</si>
  <si>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</si>
  <si>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</si>
  <si>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</si>
  <si>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</si>
  <si>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</si>
  <si>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</si>
  <si>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</si>
  <si>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</si>
  <si>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</si>
  <si>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</si>
  <si>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</si>
  <si>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</si>
  <si>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</si>
  <si>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</si>
  <si>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</si>
  <si>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</si>
  <si>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</si>
  <si>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</si>
  <si>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</si>
  <si>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</si>
  <si>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</si>
  <si>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</si>
  <si>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</si>
  <si>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</si>
  <si>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</si>
  <si>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</si>
  <si>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</si>
  <si>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</si>
  <si>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</si>
  <si>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</si>
  <si>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</si>
  <si>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</si>
  <si>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</si>
  <si>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</si>
  <si>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</si>
  <si>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</si>
  <si>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</si>
  <si>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</si>
  <si>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</si>
  <si>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210-902</t>
  </si>
  <si>
    <t>210-904</t>
  </si>
  <si>
    <t>210-905</t>
  </si>
  <si>
    <t>181-908</t>
  </si>
  <si>
    <t>182-901</t>
  </si>
  <si>
    <t>182-902</t>
  </si>
  <si>
    <t>199 / 599 / 5829</t>
  </si>
  <si>
    <t>019-906</t>
  </si>
  <si>
    <t>019-907</t>
  </si>
  <si>
    <t>001-908</t>
  </si>
  <si>
    <t>001-909</t>
  </si>
  <si>
    <t>CORPUS CHRISTI ISD</t>
  </si>
  <si>
    <t>CORSICANA ISD</t>
  </si>
  <si>
    <t>COTULLA ISD</t>
  </si>
  <si>
    <t>(cannot be greater than $1.17)</t>
  </si>
  <si>
    <t>050-902</t>
  </si>
  <si>
    <t>050-909</t>
  </si>
  <si>
    <t>051-901</t>
  </si>
  <si>
    <t>039-901</t>
  </si>
  <si>
    <t>115-903</t>
  </si>
  <si>
    <t>116-902</t>
  </si>
  <si>
    <t>018-903</t>
  </si>
  <si>
    <t>018-904</t>
  </si>
  <si>
    <t>091-905</t>
  </si>
  <si>
    <t>146-905</t>
  </si>
  <si>
    <t>101-913</t>
  </si>
  <si>
    <t>003-904</t>
  </si>
  <si>
    <t>220-916</t>
  </si>
  <si>
    <t>098-903</t>
  </si>
  <si>
    <t>098-904</t>
  </si>
  <si>
    <t>019-908</t>
  </si>
  <si>
    <t>019-912</t>
  </si>
  <si>
    <t>019-913</t>
  </si>
  <si>
    <t>WILLIS ISD</t>
  </si>
  <si>
    <t>WINDTHORST ISD</t>
  </si>
  <si>
    <t>WINTERS ISD</t>
  </si>
  <si>
    <t>WODEN ISD</t>
  </si>
  <si>
    <t>WOLFE CITY ISD</t>
  </si>
  <si>
    <t>WYLIE ISD</t>
  </si>
  <si>
    <t>227-910</t>
  </si>
  <si>
    <t>163-901</t>
  </si>
  <si>
    <t>Please understand that applicable legislation has been signed into law and therefore this template could change.</t>
  </si>
  <si>
    <t>in 2002-03 to meet the local share requirement will have in 2004-05 and 2004-05.</t>
  </si>
  <si>
    <t>Local Revenue Generated by $.01 tax rate (Line 3 / 10,000)</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</si>
  <si>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</si>
  <si>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</si>
  <si>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</si>
  <si>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</si>
  <si>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</si>
  <si>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</si>
  <si>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</si>
  <si>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</si>
  <si>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</si>
  <si>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</si>
  <si>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</si>
  <si>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</si>
  <si>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</si>
  <si>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</si>
  <si>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</si>
  <si>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</si>
  <si>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</si>
  <si>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</si>
  <si>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</si>
  <si>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</si>
  <si>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</si>
  <si>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</si>
  <si>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</si>
  <si>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</si>
  <si>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</si>
  <si>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</si>
  <si>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</si>
  <si>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</si>
  <si>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</si>
  <si>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</si>
  <si>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</si>
  <si>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</si>
  <si>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</si>
  <si>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</si>
  <si>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</si>
  <si>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</si>
  <si>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</si>
  <si>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</si>
  <si>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</si>
  <si>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</si>
  <si>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</si>
  <si>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</si>
  <si>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</si>
  <si>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</si>
  <si>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</si>
  <si>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</si>
  <si>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</si>
  <si>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</si>
  <si>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</si>
  <si>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</si>
  <si>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</si>
  <si>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</si>
  <si>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</si>
  <si>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</si>
  <si>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</si>
  <si>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</si>
  <si>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</si>
  <si>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</si>
  <si>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</si>
  <si>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</si>
  <si>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</si>
  <si>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</si>
  <si>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</si>
  <si>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</si>
  <si>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</si>
  <si>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</si>
  <si>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</si>
  <si>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</si>
  <si>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</si>
  <si>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</si>
  <si>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</si>
  <si>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</si>
  <si>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</si>
  <si>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</si>
  <si>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</si>
  <si>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</si>
  <si>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</si>
  <si>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</si>
  <si>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</si>
  <si>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</si>
  <si>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</si>
  <si>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</si>
  <si>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</si>
  <si>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</si>
  <si>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</si>
  <si>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</si>
  <si>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</si>
  <si>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</si>
  <si>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</si>
  <si>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</si>
  <si>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</si>
  <si>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</si>
  <si>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</si>
  <si>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</si>
  <si>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</si>
  <si>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</si>
  <si>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</si>
  <si>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</si>
  <si>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</si>
  <si>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</si>
  <si>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</si>
  <si>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</si>
  <si>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</si>
  <si>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</si>
  <si>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</si>
  <si>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</si>
  <si>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</si>
  <si>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</si>
  <si>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</si>
  <si>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</si>
  <si>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</si>
  <si>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</si>
  <si>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</si>
  <si>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</si>
  <si>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</si>
  <si>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</si>
  <si>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</si>
  <si>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</si>
  <si>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</si>
  <si>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</si>
  <si>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</si>
  <si>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</si>
  <si>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</si>
  <si>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</si>
  <si>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</si>
  <si>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</si>
  <si>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</si>
  <si>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</si>
  <si>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</si>
  <si>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</si>
  <si>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</si>
  <si>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</si>
  <si>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</si>
  <si>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</si>
  <si>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</si>
  <si>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</si>
  <si>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</si>
  <si>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</si>
  <si>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</si>
  <si>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</si>
  <si>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</si>
  <si>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</si>
  <si>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</si>
  <si>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</si>
  <si>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</si>
  <si>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</si>
  <si>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</si>
  <si>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</si>
  <si>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</si>
  <si>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</si>
  <si>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</si>
  <si>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</si>
  <si>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</si>
  <si>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</si>
  <si>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</si>
  <si>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</si>
  <si>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</si>
  <si>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</si>
  <si>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</si>
  <si>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</si>
  <si>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</si>
  <si>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</si>
  <si>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</si>
  <si>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</si>
  <si>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</si>
  <si>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</si>
  <si>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</si>
  <si>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</si>
  <si>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</si>
  <si>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</si>
  <si>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</si>
  <si>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</si>
  <si>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</si>
  <si>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</si>
  <si>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</si>
  <si>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</si>
  <si>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</si>
  <si>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</si>
  <si>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</si>
  <si>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</si>
  <si>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</si>
  <si>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</si>
  <si>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</si>
  <si>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</si>
  <si>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</si>
  <si>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</si>
  <si>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</si>
  <si>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</si>
  <si>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</si>
  <si>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</si>
  <si>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</si>
  <si>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</si>
  <si>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</si>
  <si>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</si>
  <si>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</si>
  <si>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</si>
  <si>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</si>
  <si>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</si>
  <si>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</si>
  <si>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</si>
  <si>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</si>
  <si>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</si>
  <si>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</si>
  <si>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</si>
  <si>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</si>
  <si>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</si>
  <si>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</si>
  <si>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</si>
  <si>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</si>
  <si>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</si>
  <si>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</si>
  <si>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</si>
  <si>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</si>
  <si>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</si>
  <si>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</si>
  <si>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</si>
  <si>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</si>
  <si>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</si>
  <si>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</si>
  <si>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</si>
  <si>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</si>
  <si>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</si>
  <si>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</si>
  <si>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</si>
  <si>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</si>
  <si>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</si>
  <si>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</si>
  <si>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</si>
  <si>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</si>
  <si>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</si>
  <si>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</si>
  <si>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</si>
  <si>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</si>
  <si>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</si>
  <si>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</si>
  <si>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</si>
  <si>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</si>
  <si>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</si>
  <si>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</si>
  <si>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</si>
  <si>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</si>
  <si>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</si>
  <si>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</si>
  <si>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</si>
  <si>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</si>
  <si>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</si>
  <si>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</si>
  <si>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</si>
  <si>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</si>
  <si>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</si>
  <si>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</si>
  <si>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</si>
  <si>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</si>
  <si>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</si>
  <si>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</si>
  <si>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</si>
  <si>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</si>
  <si>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</si>
  <si>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</si>
  <si>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</si>
  <si>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</si>
  <si>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</si>
  <si>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</si>
  <si>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</si>
  <si>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</si>
  <si>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</si>
  <si>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</si>
  <si>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</si>
  <si>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</si>
  <si>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</si>
  <si>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</si>
  <si>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</si>
  <si>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</si>
  <si>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</si>
  <si>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</si>
  <si>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</si>
  <si>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</si>
  <si>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</si>
  <si>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</si>
  <si>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</si>
  <si>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</si>
  <si>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</si>
  <si>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</si>
  <si>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</si>
  <si>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</si>
  <si>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</si>
  <si>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</si>
  <si>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</si>
  <si>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</si>
  <si>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</si>
  <si>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</si>
  <si>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</si>
  <si>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</si>
  <si>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</si>
  <si>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</si>
  <si>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</si>
  <si>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</si>
  <si>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</si>
  <si>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</si>
  <si>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</si>
  <si>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</si>
  <si>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</si>
  <si>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</si>
  <si>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</si>
  <si>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</si>
  <si>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</si>
  <si>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</si>
  <si>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</si>
  <si>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</si>
  <si>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</si>
  <si>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</si>
  <si>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</si>
  <si>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</si>
  <si>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</si>
  <si>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</si>
  <si>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</si>
  <si>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</si>
  <si>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</si>
  <si>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</si>
  <si>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</si>
  <si>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</si>
  <si>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</si>
  <si>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</si>
  <si>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</si>
  <si>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</si>
  <si>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</si>
  <si>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</si>
  <si>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</si>
  <si>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</si>
  <si>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</si>
  <si>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</si>
  <si>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</si>
  <si>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</si>
  <si>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</si>
  <si>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</si>
  <si>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</si>
  <si>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</si>
  <si>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</si>
  <si>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</si>
  <si>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</si>
  <si>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</si>
  <si>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</si>
  <si>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</si>
  <si>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</si>
  <si>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</si>
  <si>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</si>
  <si>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015-908</t>
  </si>
  <si>
    <t>015-917</t>
  </si>
  <si>
    <t>170-907</t>
  </si>
  <si>
    <t>092-907</t>
  </si>
  <si>
    <t>184-902</t>
  </si>
  <si>
    <t>072-903</t>
  </si>
  <si>
    <t>247-906</t>
  </si>
  <si>
    <t>13.</t>
  </si>
  <si>
    <t>014-909</t>
  </si>
  <si>
    <t>246-912</t>
  </si>
  <si>
    <t>111-903</t>
  </si>
  <si>
    <t>071-908</t>
  </si>
  <si>
    <t>107-907</t>
  </si>
  <si>
    <t>014-910</t>
  </si>
  <si>
    <t>240-903</t>
  </si>
  <si>
    <t>232-903</t>
  </si>
  <si>
    <t>108-916</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</si>
  <si>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</si>
  <si>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</si>
  <si>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</si>
  <si>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</si>
  <si>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</si>
  <si>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</si>
  <si>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</si>
  <si>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</si>
  <si>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</si>
  <si>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</si>
  <si>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</si>
  <si>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</si>
  <si>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</si>
  <si>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</si>
  <si>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</si>
  <si>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</si>
  <si>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</si>
  <si>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</si>
  <si>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</si>
  <si>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</si>
  <si>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</si>
  <si>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</si>
  <si>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</si>
  <si>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</si>
  <si>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</si>
  <si>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</si>
  <si>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</si>
  <si>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</si>
  <si>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</si>
  <si>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</si>
  <si>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</si>
  <si>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</si>
  <si>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</si>
  <si>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</si>
  <si>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</si>
  <si>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</si>
  <si>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</si>
  <si>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</si>
  <si>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</si>
  <si>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</si>
  <si>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</si>
  <si>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</si>
  <si>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</si>
  <si>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</si>
  <si>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</si>
  <si>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</si>
  <si>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</si>
  <si>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</si>
  <si>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</si>
  <si>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</si>
  <si>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</si>
  <si>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</si>
  <si>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</si>
  <si>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</si>
  <si>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</si>
  <si>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</si>
  <si>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</si>
  <si>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</si>
  <si>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</si>
  <si>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</si>
  <si>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</si>
  <si>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</si>
  <si>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</si>
  <si>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</si>
  <si>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</si>
  <si>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</si>
  <si>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</si>
  <si>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</si>
  <si>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</si>
  <si>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</si>
  <si>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</si>
  <si>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</si>
  <si>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</si>
  <si>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</si>
  <si>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</si>
  <si>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</si>
  <si>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</si>
  <si>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</si>
  <si>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</si>
  <si>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</si>
  <si>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</si>
  <si>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</si>
  <si>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</si>
  <si>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</si>
  <si>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</si>
  <si>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</si>
  <si>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</si>
  <si>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</si>
  <si>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</si>
  <si>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</si>
  <si>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</si>
  <si>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</si>
  <si>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</si>
  <si>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</si>
  <si>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</si>
  <si>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</si>
  <si>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</si>
  <si>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</si>
  <si>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</si>
  <si>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</si>
  <si>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</si>
  <si>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</si>
  <si>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</si>
  <si>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</si>
  <si>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</si>
  <si>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</si>
  <si>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</si>
  <si>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</si>
  <si>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</si>
  <si>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</si>
  <si>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</si>
  <si>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</si>
  <si>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</si>
  <si>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</si>
  <si>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</si>
  <si>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</si>
  <si>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</si>
  <si>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</si>
  <si>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</si>
  <si>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</si>
  <si>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</si>
  <si>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</si>
  <si>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</si>
  <si>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</si>
  <si>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</si>
  <si>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</si>
  <si>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</si>
  <si>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</si>
  <si>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</si>
  <si>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</si>
  <si>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</si>
  <si>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</si>
  <si>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</si>
  <si>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</si>
  <si>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</si>
  <si>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</si>
  <si>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</si>
  <si>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</si>
  <si>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</si>
  <si>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</si>
  <si>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</si>
  <si>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</si>
  <si>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</si>
  <si>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</si>
  <si>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</si>
  <si>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</si>
  <si>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</si>
  <si>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</si>
  <si>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</si>
  <si>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</si>
  <si>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</si>
  <si>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</si>
  <si>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</si>
  <si>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</si>
  <si>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</si>
  <si>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</si>
  <si>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</si>
  <si>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</si>
  <si>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</si>
  <si>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</si>
  <si>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</si>
  <si>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</si>
  <si>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</si>
  <si>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</si>
  <si>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</si>
  <si>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</si>
  <si>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</si>
  <si>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</si>
  <si>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</si>
  <si>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</si>
  <si>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</si>
  <si>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</si>
  <si>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</si>
  <si>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</si>
  <si>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</si>
  <si>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</si>
  <si>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</si>
  <si>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</si>
  <si>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</si>
  <si>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</si>
  <si>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</si>
  <si>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</si>
  <si>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</si>
  <si>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</si>
  <si>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</si>
  <si>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</si>
  <si>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</si>
  <si>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</si>
  <si>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</si>
  <si>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</si>
  <si>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</si>
  <si>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</si>
  <si>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</si>
  <si>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</si>
  <si>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</si>
  <si>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</si>
  <si>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</si>
  <si>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</si>
  <si>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</si>
  <si>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</si>
  <si>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</si>
  <si>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</si>
  <si>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</si>
  <si>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</si>
  <si>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</si>
  <si>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</si>
  <si>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</si>
  <si>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</si>
  <si>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</si>
  <si>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</si>
  <si>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</si>
  <si>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</si>
  <si>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</si>
  <si>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</si>
  <si>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</si>
  <si>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</si>
  <si>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</si>
  <si>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</si>
  <si>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</si>
  <si>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</si>
  <si>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</si>
  <si>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</si>
  <si>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</si>
  <si>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</si>
  <si>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</si>
  <si>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</si>
  <si>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</si>
  <si>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</si>
  <si>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</si>
  <si>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</si>
  <si>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</si>
  <si>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</si>
  <si>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</si>
  <si>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</si>
  <si>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</si>
  <si>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</si>
  <si>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</si>
  <si>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</si>
  <si>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</si>
  <si>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</si>
  <si>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</si>
  <si>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</si>
  <si>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</si>
  <si>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</si>
  <si>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</si>
  <si>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</si>
  <si>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</si>
  <si>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</si>
  <si>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</si>
  <si>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</si>
  <si>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</si>
  <si>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</si>
  <si>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</si>
  <si>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</si>
  <si>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</si>
  <si>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</si>
  <si>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</si>
  <si>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</si>
  <si>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</si>
  <si>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</si>
  <si>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</si>
  <si>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</si>
  <si>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</si>
  <si>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</si>
  <si>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</si>
  <si>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114-901</t>
  </si>
  <si>
    <t>126-904</t>
  </si>
  <si>
    <t>246-905</t>
  </si>
  <si>
    <t>211-902</t>
  </si>
  <si>
    <t xml:space="preserve">** NOTE:  The amount budgeted may include (1) I&amp;S taxes to be collected in 2005-06, </t>
  </si>
  <si>
    <t>IF THE LEGISLATURE DOES NOT ROLL FORWARD THE EDA ELIGIBILITY DATE,</t>
  </si>
  <si>
    <t>Small District Adj Weight</t>
  </si>
  <si>
    <t>033-904</t>
  </si>
  <si>
    <t>229-903</t>
  </si>
  <si>
    <t>229-904</t>
  </si>
  <si>
    <t>230-901</t>
  </si>
  <si>
    <t>230-902</t>
  </si>
  <si>
    <t xml:space="preserve">     Unadjusted Cost of Education Index</t>
  </si>
  <si>
    <t>199-902</t>
  </si>
  <si>
    <t>159-901</t>
  </si>
  <si>
    <t>10.i</t>
  </si>
  <si>
    <t>225-905</t>
  </si>
  <si>
    <t>225-907</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</si>
  <si>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</si>
  <si>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</si>
  <si>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</si>
  <si>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</si>
  <si>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</si>
  <si>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</si>
  <si>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</si>
  <si>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</si>
  <si>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</si>
  <si>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</si>
  <si>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</si>
  <si>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</si>
  <si>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</si>
  <si>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073-903</t>
  </si>
  <si>
    <t>161-908</t>
  </si>
  <si>
    <t>234-905</t>
  </si>
  <si>
    <t>161-924</t>
  </si>
  <si>
    <t>061-910</t>
  </si>
  <si>
    <t>062-902</t>
  </si>
  <si>
    <t>062-904</t>
  </si>
  <si>
    <t>002-901</t>
  </si>
  <si>
    <t>073-904</t>
  </si>
  <si>
    <t>110-906</t>
  </si>
  <si>
    <t>116-916</t>
  </si>
  <si>
    <t>223-902</t>
  </si>
  <si>
    <t>220-919</t>
  </si>
  <si>
    <t>220-917</t>
  </si>
  <si>
    <t>Total Adjusted Refined ADA *</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</si>
  <si>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</si>
  <si>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</si>
  <si>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</si>
  <si>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</si>
  <si>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</si>
  <si>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</si>
  <si>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</si>
  <si>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</si>
  <si>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</si>
  <si>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</si>
  <si>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</si>
  <si>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</si>
  <si>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</si>
  <si>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</si>
  <si>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</si>
  <si>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</si>
  <si>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</si>
  <si>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</si>
  <si>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</si>
  <si>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</si>
  <si>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</si>
  <si>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</si>
  <si>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</si>
  <si>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</si>
  <si>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</si>
  <si>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</si>
  <si>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</si>
  <si>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</si>
  <si>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</si>
  <si>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</si>
  <si>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LA FERIA ISD</t>
  </si>
  <si>
    <t>harris co</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</si>
  <si>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</si>
  <si>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</si>
  <si>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</si>
  <si>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</si>
  <si>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</si>
  <si>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</si>
  <si>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</si>
  <si>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</si>
  <si>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</si>
  <si>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</si>
  <si>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</si>
  <si>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</si>
  <si>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</si>
  <si>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</si>
  <si>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</si>
  <si>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</si>
  <si>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</si>
  <si>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</si>
  <si>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</si>
  <si>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</si>
  <si>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</si>
  <si>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</si>
  <si>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</si>
  <si>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</si>
  <si>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</si>
  <si>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</si>
  <si>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</si>
  <si>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</si>
  <si>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</si>
  <si>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</si>
  <si>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</si>
  <si>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</si>
  <si>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</si>
  <si>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</si>
  <si>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</si>
  <si>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</si>
  <si>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</si>
  <si>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</si>
  <si>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</si>
  <si>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</si>
  <si>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</si>
  <si>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</si>
  <si>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</si>
  <si>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</si>
  <si>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</si>
  <si>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</si>
  <si>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</si>
  <si>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</si>
  <si>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</si>
  <si>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</si>
  <si>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</si>
  <si>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</si>
  <si>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</si>
  <si>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</si>
  <si>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</si>
  <si>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</si>
  <si>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</si>
  <si>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</si>
  <si>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</si>
  <si>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</si>
  <si>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</si>
  <si>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</si>
  <si>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</si>
  <si>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</si>
  <si>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</si>
  <si>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</si>
  <si>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</si>
  <si>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</si>
  <si>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</si>
  <si>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</si>
  <si>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</si>
  <si>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</si>
  <si>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</si>
  <si>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</si>
  <si>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</si>
  <si>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</si>
  <si>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</si>
  <si>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</si>
  <si>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</si>
  <si>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</si>
  <si>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</si>
  <si>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</si>
  <si>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</si>
  <si>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</si>
  <si>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</si>
  <si>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</si>
  <si>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</si>
  <si>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</si>
  <si>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</si>
  <si>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</si>
  <si>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</si>
  <si>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</si>
  <si>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</si>
  <si>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</si>
  <si>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</si>
  <si>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</si>
  <si>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</si>
  <si>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</si>
  <si>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</si>
  <si>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</si>
  <si>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</si>
  <si>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</si>
  <si>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</si>
  <si>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</si>
  <si>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</si>
  <si>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</si>
  <si>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</si>
  <si>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</si>
  <si>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</si>
  <si>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</si>
  <si>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</si>
  <si>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</si>
  <si>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</si>
  <si>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</si>
  <si>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</si>
  <si>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</si>
  <si>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</si>
  <si>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</si>
  <si>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</si>
  <si>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</si>
  <si>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</si>
  <si>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</si>
  <si>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</si>
  <si>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</si>
  <si>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</si>
  <si>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</si>
  <si>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</si>
  <si>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</si>
  <si>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</si>
  <si>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</si>
  <si>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</si>
  <si>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</si>
  <si>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</si>
  <si>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</si>
  <si>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</si>
  <si>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</si>
  <si>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</si>
  <si>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</si>
  <si>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</si>
  <si>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</si>
  <si>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</si>
  <si>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</si>
  <si>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</si>
  <si>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</si>
  <si>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</si>
  <si>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</si>
  <si>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</si>
  <si>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</si>
  <si>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</si>
  <si>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</si>
  <si>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</si>
  <si>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</si>
  <si>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</si>
  <si>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</si>
  <si>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</si>
  <si>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</si>
  <si>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</si>
  <si>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</si>
  <si>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</si>
  <si>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</si>
  <si>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</si>
  <si>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</si>
  <si>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</si>
  <si>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</si>
  <si>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</si>
  <si>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</si>
  <si>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</si>
  <si>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</si>
  <si>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</si>
  <si>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</si>
  <si>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</si>
  <si>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</si>
  <si>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</si>
  <si>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</si>
  <si>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</si>
  <si>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</si>
  <si>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</si>
  <si>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</si>
  <si>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</si>
  <si>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</si>
  <si>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</si>
  <si>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</si>
  <si>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</si>
  <si>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</si>
  <si>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</si>
  <si>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</si>
  <si>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</si>
  <si>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</si>
  <si>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</si>
  <si>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</si>
  <si>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</si>
  <si>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</si>
  <si>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</si>
  <si>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</si>
  <si>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</si>
  <si>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</si>
  <si>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</si>
  <si>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OF THE DISTRICT'S EDA STATE ENTITLEMENT BEGINS AT ROW 100 BELOW.</t>
  </si>
  <si>
    <t>245-902</t>
  </si>
  <si>
    <t>007-904</t>
  </si>
  <si>
    <t>154-901</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</si>
  <si>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</si>
  <si>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</si>
  <si>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</si>
  <si>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</si>
  <si>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</si>
  <si>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</si>
  <si>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</si>
  <si>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</si>
  <si>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</si>
  <si>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</si>
  <si>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</si>
  <si>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</si>
  <si>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</si>
  <si>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</si>
  <si>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</si>
  <si>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</si>
  <si>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</si>
  <si>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</si>
  <si>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</si>
  <si>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</si>
  <si>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</si>
  <si>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</si>
  <si>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</si>
  <si>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</si>
  <si>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</si>
  <si>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</si>
  <si>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</si>
  <si>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</si>
  <si>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</si>
  <si>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</si>
  <si>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</si>
  <si>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</si>
  <si>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</si>
  <si>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</si>
  <si>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</si>
  <si>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</si>
  <si>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</si>
  <si>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</si>
  <si>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</si>
  <si>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</si>
  <si>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</si>
  <si>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</si>
  <si>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</si>
  <si>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</si>
  <si>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</si>
  <si>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</si>
  <si>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</si>
  <si>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</si>
  <si>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</si>
  <si>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</si>
  <si>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</si>
  <si>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</si>
  <si>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</si>
  <si>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</si>
  <si>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</si>
  <si>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</si>
  <si>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</si>
  <si>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</si>
  <si>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</si>
  <si>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</si>
  <si>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</si>
  <si>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</si>
  <si>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</si>
  <si>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</si>
  <si>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</si>
  <si>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</si>
  <si>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</si>
  <si>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</si>
  <si>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</si>
  <si>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</si>
  <si>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</si>
  <si>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</si>
  <si>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</si>
  <si>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</si>
  <si>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</si>
  <si>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</si>
  <si>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</si>
  <si>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</si>
  <si>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</si>
  <si>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</si>
  <si>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</si>
  <si>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</si>
  <si>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</si>
  <si>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</si>
  <si>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</si>
  <si>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</si>
  <si>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</si>
  <si>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</si>
  <si>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</si>
  <si>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</si>
  <si>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</si>
  <si>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</si>
  <si>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</si>
  <si>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</si>
  <si>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</si>
  <si>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</si>
  <si>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</si>
  <si>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</si>
  <si>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</si>
  <si>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</si>
  <si>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</si>
  <si>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</si>
  <si>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</si>
  <si>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</si>
  <si>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</si>
  <si>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</si>
  <si>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</si>
  <si>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</si>
  <si>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</si>
  <si>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</si>
  <si>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</si>
  <si>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</si>
  <si>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</si>
  <si>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</si>
  <si>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</si>
  <si>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</si>
  <si>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</si>
  <si>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</si>
  <si>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</si>
  <si>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</si>
  <si>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</si>
  <si>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</si>
  <si>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</si>
  <si>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</si>
  <si>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</si>
  <si>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</si>
  <si>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</si>
  <si>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</si>
  <si>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</si>
  <si>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</si>
  <si>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</si>
  <si>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</si>
  <si>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</si>
  <si>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</si>
  <si>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</si>
  <si>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</si>
  <si>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</si>
  <si>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</si>
  <si>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</si>
  <si>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</si>
  <si>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</si>
  <si>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</si>
  <si>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</si>
  <si>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</si>
  <si>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</si>
  <si>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</si>
  <si>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</si>
  <si>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</si>
  <si>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</si>
  <si>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</si>
  <si>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</si>
  <si>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</si>
  <si>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</si>
  <si>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</si>
  <si>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</si>
  <si>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</si>
  <si>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</si>
  <si>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</si>
  <si>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</si>
  <si>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</si>
  <si>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</si>
  <si>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</si>
  <si>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</si>
  <si>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</si>
  <si>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</si>
  <si>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</si>
  <si>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</si>
  <si>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</si>
  <si>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</si>
  <si>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</si>
  <si>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</si>
  <si>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</si>
  <si>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</si>
  <si>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</si>
  <si>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</si>
  <si>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</si>
  <si>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</si>
  <si>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</si>
  <si>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</si>
  <si>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</si>
  <si>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</si>
  <si>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</si>
  <si>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</si>
  <si>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</si>
  <si>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</si>
  <si>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</si>
  <si>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</si>
  <si>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</si>
  <si>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</si>
  <si>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</si>
  <si>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</si>
  <si>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</si>
  <si>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</si>
  <si>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</si>
  <si>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</si>
  <si>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</si>
  <si>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</si>
  <si>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</si>
  <si>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</si>
  <si>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</si>
  <si>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</si>
  <si>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</si>
  <si>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</si>
  <si>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</si>
  <si>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</si>
  <si>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</si>
  <si>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</si>
  <si>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</si>
  <si>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</si>
  <si>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</si>
  <si>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</si>
  <si>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</si>
  <si>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</si>
  <si>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</si>
  <si>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</si>
  <si>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</si>
  <si>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</si>
  <si>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</si>
  <si>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</si>
  <si>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</si>
  <si>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</si>
  <si>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</si>
  <si>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</si>
  <si>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</si>
  <si>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</si>
  <si>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</si>
  <si>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</si>
  <si>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</si>
  <si>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</si>
  <si>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</si>
  <si>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</si>
  <si>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</si>
  <si>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</si>
  <si>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</si>
  <si>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</si>
  <si>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</si>
  <si>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</si>
  <si>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</si>
  <si>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</si>
  <si>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</si>
  <si>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</si>
  <si>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</si>
  <si>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</si>
  <si>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</si>
  <si>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</si>
  <si>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</si>
  <si>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</si>
  <si>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</si>
  <si>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</si>
  <si>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</si>
  <si>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</si>
  <si>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</si>
  <si>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</si>
  <si>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</si>
  <si>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</si>
  <si>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</si>
  <si>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</si>
  <si>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</si>
  <si>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</si>
  <si>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</si>
  <si>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</si>
  <si>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</si>
  <si>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</si>
  <si>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</si>
  <si>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</si>
  <si>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</si>
  <si>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</si>
  <si>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</si>
  <si>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</si>
  <si>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</si>
  <si>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</si>
  <si>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</si>
  <si>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</si>
  <si>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</si>
  <si>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</si>
  <si>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</si>
  <si>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</si>
  <si>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</si>
  <si>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</si>
  <si>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069-902</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</si>
  <si>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</si>
  <si>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</si>
  <si>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</si>
  <si>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</si>
  <si>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</si>
  <si>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</si>
  <si>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</si>
  <si>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</si>
  <si>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</si>
  <si>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</si>
  <si>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</si>
  <si>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</si>
  <si>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</si>
  <si>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</si>
  <si>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</si>
  <si>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</si>
  <si>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</si>
  <si>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</si>
  <si>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</si>
  <si>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</si>
  <si>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</si>
  <si>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</si>
  <si>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</si>
  <si>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</si>
  <si>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</si>
  <si>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</si>
  <si>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</si>
  <si>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</si>
  <si>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</si>
  <si>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</si>
  <si>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</si>
  <si>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</si>
  <si>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</si>
  <si>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</si>
  <si>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</si>
  <si>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</si>
  <si>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</si>
  <si>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</si>
  <si>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</si>
  <si>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</si>
  <si>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</si>
  <si>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</si>
  <si>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</si>
  <si>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</si>
  <si>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</si>
  <si>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</si>
  <si>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</si>
  <si>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</si>
  <si>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</si>
  <si>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</si>
  <si>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</si>
  <si>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</si>
  <si>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</si>
  <si>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</si>
  <si>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</si>
  <si>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</si>
  <si>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</si>
  <si>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</si>
  <si>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</si>
  <si>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</si>
  <si>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</si>
  <si>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</si>
  <si>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</si>
  <si>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</si>
  <si>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</si>
  <si>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</si>
  <si>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</si>
  <si>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</si>
  <si>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</si>
  <si>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</si>
  <si>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</si>
  <si>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</si>
  <si>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</si>
  <si>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</si>
  <si>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</si>
  <si>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</si>
  <si>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</si>
  <si>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</si>
  <si>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</si>
  <si>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</si>
  <si>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</si>
  <si>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</si>
  <si>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</si>
  <si>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</si>
  <si>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</si>
  <si>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</si>
  <si>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</si>
  <si>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</si>
  <si>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</si>
  <si>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</si>
  <si>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</si>
  <si>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</si>
  <si>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</si>
  <si>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</si>
  <si>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</si>
  <si>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</si>
  <si>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</si>
  <si>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</si>
  <si>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</si>
  <si>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</si>
  <si>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</si>
  <si>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</si>
  <si>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</si>
  <si>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</si>
  <si>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</si>
  <si>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</si>
  <si>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</si>
  <si>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</si>
  <si>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</si>
  <si>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</si>
  <si>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</si>
  <si>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</si>
  <si>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</si>
  <si>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</si>
  <si>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</si>
  <si>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</si>
  <si>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</si>
  <si>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</si>
  <si>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</si>
  <si>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</si>
  <si>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</si>
  <si>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</si>
  <si>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</si>
  <si>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</si>
  <si>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</si>
  <si>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</si>
  <si>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</si>
  <si>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</si>
  <si>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</si>
  <si>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</si>
  <si>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</si>
  <si>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</si>
  <si>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</si>
  <si>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</si>
  <si>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</si>
  <si>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</si>
  <si>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</si>
  <si>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</si>
  <si>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</si>
  <si>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</si>
  <si>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</si>
  <si>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</si>
  <si>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</si>
  <si>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</si>
  <si>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</si>
  <si>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</si>
  <si>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</si>
  <si>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</si>
  <si>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</si>
  <si>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</si>
  <si>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</si>
  <si>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</si>
  <si>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</si>
  <si>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</si>
  <si>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</si>
  <si>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</si>
  <si>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</si>
  <si>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</si>
  <si>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</si>
  <si>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</si>
  <si>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</si>
  <si>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</si>
  <si>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</si>
  <si>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</si>
  <si>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</si>
  <si>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</si>
  <si>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</si>
  <si>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</si>
  <si>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</si>
  <si>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</si>
  <si>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</si>
  <si>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</si>
  <si>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</si>
  <si>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</si>
  <si>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</si>
  <si>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</si>
  <si>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</si>
  <si>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</si>
  <si>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</si>
  <si>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</si>
  <si>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</si>
  <si>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</si>
  <si>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</si>
  <si>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</si>
  <si>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</si>
  <si>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</si>
  <si>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</si>
  <si>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</si>
  <si>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</si>
  <si>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</si>
  <si>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</si>
  <si>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</si>
  <si>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</si>
  <si>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</si>
  <si>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</si>
  <si>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</si>
  <si>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</si>
  <si>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</si>
  <si>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</si>
  <si>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</si>
  <si>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</si>
  <si>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</si>
  <si>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</si>
  <si>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</si>
  <si>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</si>
  <si>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</si>
  <si>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</si>
  <si>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</si>
  <si>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</si>
  <si>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</si>
  <si>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</si>
  <si>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</si>
  <si>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</si>
  <si>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</si>
  <si>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</si>
  <si>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</si>
  <si>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</si>
  <si>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</si>
  <si>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</si>
  <si>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</si>
  <si>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</si>
  <si>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</si>
  <si>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</si>
  <si>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</si>
  <si>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</si>
  <si>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</si>
  <si>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</si>
  <si>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</si>
  <si>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</si>
  <si>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</si>
  <si>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</si>
  <si>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</si>
  <si>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BROWNSVILLE ISD</t>
  </si>
  <si>
    <t>BRYAN ISD</t>
  </si>
  <si>
    <t>BUCKHOLTS ISD</t>
  </si>
  <si>
    <t>019-905</t>
  </si>
  <si>
    <t>092-906</t>
  </si>
  <si>
    <t>092-908</t>
  </si>
  <si>
    <t>093-901</t>
  </si>
  <si>
    <t>093-903</t>
  </si>
  <si>
    <t>093-904</t>
  </si>
  <si>
    <t>VENUS ISD</t>
  </si>
  <si>
    <t>VERIBEST ISD</t>
  </si>
  <si>
    <t>121-902</t>
  </si>
  <si>
    <t>121-906</t>
  </si>
  <si>
    <t>122-901</t>
  </si>
  <si>
    <t>122-902</t>
  </si>
  <si>
    <t>013-902</t>
  </si>
  <si>
    <t>013-903</t>
  </si>
  <si>
    <t>214-901</t>
  </si>
  <si>
    <t>194-903</t>
  </si>
  <si>
    <t>221-905</t>
  </si>
  <si>
    <t>221-911</t>
  </si>
  <si>
    <t>221-912</t>
  </si>
  <si>
    <t>222-901</t>
  </si>
  <si>
    <t>148-905</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</si>
  <si>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</si>
  <si>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</si>
  <si>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</si>
  <si>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</si>
  <si>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</si>
  <si>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</si>
  <si>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</si>
  <si>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</si>
  <si>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</si>
  <si>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</si>
  <si>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</si>
  <si>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</si>
  <si>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</si>
  <si>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</si>
  <si>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</si>
  <si>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</si>
  <si>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</si>
  <si>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</si>
  <si>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</si>
  <si>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</si>
  <si>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</si>
  <si>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</si>
  <si>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</si>
  <si>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</si>
  <si>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</si>
  <si>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</si>
  <si>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</si>
  <si>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</si>
  <si>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</si>
  <si>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</si>
  <si>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</si>
  <si>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</si>
  <si>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</si>
  <si>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</si>
  <si>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</si>
  <si>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</si>
  <si>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</si>
  <si>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</si>
  <si>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</si>
  <si>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7.e</t>
  </si>
  <si>
    <t>Funding Elements</t>
  </si>
  <si>
    <t>Students</t>
  </si>
  <si>
    <t>Refined Average Daily Attendance (ADA)</t>
  </si>
  <si>
    <t>Special Education FTEs</t>
  </si>
  <si>
    <t>From</t>
  </si>
  <si>
    <t>Date Entry</t>
  </si>
  <si>
    <t>Property Values</t>
  </si>
  <si>
    <t>Tax Rates and Collections</t>
  </si>
  <si>
    <t>17.</t>
  </si>
  <si>
    <t>18.</t>
  </si>
  <si>
    <t>19.</t>
  </si>
  <si>
    <t>20.</t>
  </si>
  <si>
    <t>21.</t>
  </si>
  <si>
    <t>22.</t>
  </si>
  <si>
    <t>Funding Components</t>
  </si>
  <si>
    <t>23.</t>
  </si>
  <si>
    <t>24.</t>
  </si>
  <si>
    <t>25.</t>
  </si>
  <si>
    <t>26.</t>
  </si>
  <si>
    <t>27.</t>
  </si>
  <si>
    <t>Per Capita Rate</t>
  </si>
  <si>
    <t>28.</t>
  </si>
  <si>
    <t>29.</t>
  </si>
  <si>
    <t>30.</t>
  </si>
  <si>
    <t>31.</t>
  </si>
  <si>
    <t>32.</t>
  </si>
  <si>
    <t>33.</t>
  </si>
  <si>
    <t>34.</t>
  </si>
  <si>
    <t>35.</t>
  </si>
  <si>
    <t>36.</t>
  </si>
  <si>
    <t>37.</t>
  </si>
  <si>
    <t>38.</t>
  </si>
  <si>
    <t>39.</t>
  </si>
  <si>
    <t>40.</t>
  </si>
  <si>
    <t>41.</t>
  </si>
  <si>
    <t>42.</t>
  </si>
  <si>
    <t>43.</t>
  </si>
  <si>
    <t>44.</t>
  </si>
  <si>
    <t>45.</t>
  </si>
  <si>
    <t>46.</t>
  </si>
  <si>
    <t>Program Intent Codes - Allotments</t>
  </si>
  <si>
    <t>Less: Local Fund Assignment</t>
  </si>
  <si>
    <t>Per Capita Distribution from the Available School Fund (ASF)</t>
  </si>
  <si>
    <t>Total FSP Operating Fund</t>
  </si>
  <si>
    <t>tot sp ed</t>
  </si>
  <si>
    <t>tot c&amp;t</t>
  </si>
  <si>
    <t>tot gt</t>
  </si>
  <si>
    <t>tot comp ed</t>
  </si>
  <si>
    <t>47.</t>
  </si>
  <si>
    <t>48.</t>
  </si>
  <si>
    <t>49.</t>
  </si>
  <si>
    <t>50.</t>
  </si>
  <si>
    <t>51.</t>
  </si>
  <si>
    <t>52.</t>
  </si>
  <si>
    <t>199/5812 - Foundation School Fund</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</si>
  <si>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</si>
  <si>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</si>
  <si>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</si>
  <si>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</si>
  <si>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</si>
  <si>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</si>
  <si>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</si>
  <si>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</si>
  <si>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</si>
  <si>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</si>
  <si>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</si>
  <si>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</si>
  <si>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</si>
  <si>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</si>
  <si>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</si>
  <si>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</si>
  <si>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</si>
  <si>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</si>
  <si>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</si>
  <si>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Data Entry</t>
  </si>
  <si>
    <t>coll -  lp - tif</t>
  </si>
  <si>
    <t>tif</t>
  </si>
  <si>
    <t>Based on</t>
  </si>
  <si>
    <t>Program Name</t>
  </si>
  <si>
    <t>Allotment</t>
  </si>
  <si>
    <t>1. Regular Program</t>
  </si>
  <si>
    <t>Regular Program Allotment</t>
  </si>
  <si>
    <t>Mainstream</t>
  </si>
  <si>
    <t>Residential Care &amp; Treatment</t>
  </si>
  <si>
    <t>Set-Aside)</t>
  </si>
  <si>
    <t>Special Education Allotment</t>
  </si>
  <si>
    <t>ADA or FTE</t>
  </si>
  <si>
    <t>or Enrollment</t>
  </si>
  <si>
    <t>Gifted &amp; Talented Allotment</t>
  </si>
  <si>
    <t>Bilingual Allotment</t>
  </si>
  <si>
    <t>PEG Allotment</t>
  </si>
  <si>
    <t>Tier II Detail Report</t>
  </si>
  <si>
    <t>Tier II Allotment</t>
  </si>
  <si>
    <t>Level 1</t>
  </si>
  <si>
    <t>tot golden</t>
  </si>
  <si>
    <t>Level 2</t>
  </si>
  <si>
    <t>tot silver</t>
  </si>
  <si>
    <t>small</t>
  </si>
  <si>
    <t>mid-size</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</si>
  <si>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</si>
  <si>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</si>
  <si>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</si>
  <si>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</si>
  <si>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</si>
  <si>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</si>
  <si>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</si>
  <si>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</si>
  <si>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</si>
  <si>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53.</t>
  </si>
  <si>
    <t xml:space="preserve">I&amp;S Tax Collections </t>
  </si>
  <si>
    <t>Other Data</t>
  </si>
  <si>
    <t>Supplemental TIF Payment From TEA</t>
  </si>
  <si>
    <t>County Appraisal District (CAD) Cost</t>
  </si>
  <si>
    <t>Unadjusted Cost of Education Index</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</si>
  <si>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</si>
  <si>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</si>
  <si>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</si>
  <si>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</si>
  <si>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</si>
  <si>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</si>
  <si>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</si>
  <si>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</si>
  <si>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</si>
  <si>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</si>
  <si>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</si>
  <si>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</si>
  <si>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</si>
  <si>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</si>
  <si>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</si>
  <si>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</si>
  <si>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</si>
  <si>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</si>
  <si>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</si>
  <si>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</si>
  <si>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</si>
  <si>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</si>
  <si>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</si>
  <si>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</si>
  <si>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(4) Bottom-line: the more students being served in weighted programs, the higher WADA is going to be.</t>
  </si>
  <si>
    <t>appear on other 'Reports' tabs.</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</si>
  <si>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</si>
  <si>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</si>
  <si>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</si>
  <si>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</si>
  <si>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</si>
  <si>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</si>
  <si>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</si>
  <si>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</si>
  <si>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</si>
  <si>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</si>
  <si>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</si>
  <si>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</si>
  <si>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</si>
  <si>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</si>
  <si>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</si>
  <si>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</si>
  <si>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Tax Credit for Tax Code, Chapter 313 Value Limitations</t>
  </si>
  <si>
    <t>Windham Schools</t>
  </si>
  <si>
    <t>Texas School for the Blind and Visually Impaired</t>
  </si>
  <si>
    <t>Texas School for the Deaf</t>
  </si>
  <si>
    <t>Other Program Detail</t>
  </si>
  <si>
    <t>The format of the following report is only somewhat similar to the IFA</t>
  </si>
  <si>
    <t>The format of the following report mirrors (for the most part) the</t>
  </si>
  <si>
    <t xml:space="preserve">report generated by TEA.  </t>
  </si>
  <si>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</si>
  <si>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</si>
  <si>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</si>
  <si>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</si>
  <si>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</si>
  <si>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</si>
  <si>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</si>
  <si>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</si>
  <si>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Total Other Programs (See Note Below)</t>
  </si>
  <si>
    <t>Not Needed</t>
  </si>
  <si>
    <t>NOTE:  If district has a TIF arrangement, the amount paid into the TIF should not be included</t>
  </si>
  <si>
    <t>I&amp;S Adopted Tax Rate</t>
  </si>
  <si>
    <t>&lt;= Enter the district's projected tax collection rate (if 98%, enter .98, etc.….if 100%, enter 1).</t>
  </si>
  <si>
    <t>Pregnancy Related Allotment</t>
  </si>
  <si>
    <t>Compensatory Education Allotment</t>
  </si>
  <si>
    <t>Limitation</t>
  </si>
  <si>
    <t>toll free 1-855-243-5917; (cell 512-565-7005)</t>
  </si>
  <si>
    <t>199/5811 - Available School Fund</t>
  </si>
  <si>
    <t xml:space="preserve">&lt;= Enter the negative amount, if any, determined by TEA - the amount will appear on the Summary of Finances under "Other Programs Detail Report" link. </t>
  </si>
  <si>
    <t>state aid reduction for wada sold</t>
  </si>
  <si>
    <t>ch 313 tax credits</t>
  </si>
  <si>
    <t>other m&amp;o adjustments</t>
  </si>
  <si>
    <t>windham</t>
  </si>
  <si>
    <t>of the maintenance and operations rate as calculated in Tax Code Section 26.08(n)(2)(A) and (B)."</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</si>
  <si>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</si>
  <si>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</si>
  <si>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</si>
  <si>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</si>
  <si>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</si>
  <si>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</si>
  <si>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</si>
  <si>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</si>
  <si>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</si>
  <si>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</si>
  <si>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</si>
  <si>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</si>
  <si>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</si>
  <si>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</si>
  <si>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</si>
  <si>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</si>
  <si>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</si>
  <si>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</si>
  <si>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</si>
  <si>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</si>
  <si>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</si>
  <si>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</si>
  <si>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</si>
  <si>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</si>
  <si>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M&amp;O Tax Rate</t>
  </si>
  <si>
    <t>I&amp;S Tax Collections</t>
  </si>
  <si>
    <t>Tier II</t>
  </si>
  <si>
    <t>Other Programs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</si>
  <si>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</si>
  <si>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</si>
  <si>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</si>
  <si>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</si>
  <si>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</si>
  <si>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</si>
  <si>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</si>
  <si>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</si>
  <si>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</si>
  <si>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</si>
  <si>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</si>
  <si>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</si>
  <si>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ADDITIONAL INFO: (Not on TEA's Summary of Finances)</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</si>
  <si>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</si>
  <si>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</si>
  <si>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</si>
  <si>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</si>
  <si>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</si>
  <si>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</si>
  <si>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</si>
  <si>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</si>
  <si>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</si>
  <si>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</si>
  <si>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</si>
  <si>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</si>
  <si>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</si>
  <si>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</si>
  <si>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</si>
  <si>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</si>
  <si>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</si>
  <si>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</si>
  <si>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</si>
  <si>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</si>
  <si>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</si>
  <si>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</si>
  <si>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</si>
  <si>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</si>
  <si>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</si>
  <si>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</si>
  <si>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</si>
  <si>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</si>
  <si>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</si>
  <si>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</si>
  <si>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</si>
  <si>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</si>
  <si>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</si>
  <si>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</si>
  <si>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REGULAR PROGRAM ALLOTMENT</t>
  </si>
  <si>
    <t>Report-SOF1617</t>
  </si>
  <si>
    <t>2017-18</t>
  </si>
  <si>
    <t>Report-SOF1718</t>
  </si>
  <si>
    <t>Summary of Finances - SB 1 - 83rd</t>
  </si>
  <si>
    <t>Projected Collection Rate for Current Levy (98%=.98; 100%=1, etc.)</t>
  </si>
  <si>
    <t>Chapter 42 Funding Credit Against Recapture</t>
  </si>
  <si>
    <t>54.</t>
  </si>
  <si>
    <t>55.</t>
  </si>
  <si>
    <t>56.</t>
  </si>
  <si>
    <t>57.</t>
  </si>
  <si>
    <t>58.</t>
  </si>
  <si>
    <t>59.</t>
  </si>
  <si>
    <t>60.</t>
  </si>
  <si>
    <t>61.</t>
  </si>
  <si>
    <t>62.</t>
  </si>
  <si>
    <t>63.</t>
  </si>
  <si>
    <t>64.</t>
  </si>
  <si>
    <t>65.</t>
  </si>
  <si>
    <t>66.</t>
  </si>
  <si>
    <t>EDA Eligible (based on bonded debt only)</t>
  </si>
  <si>
    <t>2018-19</t>
  </si>
  <si>
    <t>2019-20</t>
  </si>
  <si>
    <t>2019-20 School Year</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</si>
  <si>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</si>
  <si>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</si>
  <si>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</si>
  <si>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</si>
  <si>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</si>
  <si>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</si>
  <si>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r>
      <t xml:space="preserve">Regular Program ADA  </t>
    </r>
    <r>
      <rPr>
        <sz val="12"/>
        <color indexed="8"/>
        <rFont val="Arial MT"/>
      </rPr>
      <t>(Line 1 - Line 3 - Line 4)</t>
    </r>
    <r>
      <rPr>
        <sz val="12"/>
        <rFont val="Arial MT"/>
      </rPr>
      <t xml:space="preserve">    </t>
    </r>
  </si>
  <si>
    <r>
      <t xml:space="preserve">Weighted ADA (WADA)                                                         </t>
    </r>
    <r>
      <rPr>
        <sz val="12"/>
        <color indexed="10"/>
        <rFont val="Arial MT"/>
      </rPr>
      <t xml:space="preserve"> (Link to Detail Report)</t>
    </r>
  </si>
  <si>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</si>
  <si>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</si>
  <si>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</si>
  <si>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</si>
  <si>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</si>
  <si>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</si>
  <si>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</si>
  <si>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</si>
  <si>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</si>
  <si>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</si>
  <si>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</si>
  <si>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</si>
  <si>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</si>
  <si>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</si>
  <si>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</si>
  <si>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</si>
  <si>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</si>
  <si>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</si>
  <si>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</si>
  <si>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</si>
  <si>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</si>
  <si>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</si>
  <si>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</si>
  <si>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</si>
  <si>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</si>
  <si>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</si>
  <si>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</si>
  <si>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</si>
  <si>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</si>
  <si>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</si>
  <si>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</si>
  <si>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</si>
  <si>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</si>
  <si>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</si>
  <si>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</si>
  <si>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</si>
  <si>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</si>
  <si>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</si>
  <si>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</si>
  <si>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</si>
  <si>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</si>
  <si>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</si>
  <si>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</si>
  <si>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</si>
  <si>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</si>
  <si>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</si>
  <si>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</si>
  <si>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</si>
  <si>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</si>
  <si>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</si>
  <si>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</si>
  <si>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</si>
  <si>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</si>
  <si>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</si>
  <si>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</si>
  <si>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</si>
  <si>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</si>
  <si>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</si>
  <si>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</si>
  <si>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</si>
  <si>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</si>
  <si>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</si>
  <si>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</si>
  <si>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</si>
  <si>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</si>
  <si>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</si>
  <si>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</si>
  <si>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</si>
  <si>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</si>
  <si>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</si>
  <si>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</si>
  <si>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</si>
  <si>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</si>
  <si>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</si>
  <si>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</si>
  <si>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</si>
  <si>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</si>
  <si>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</si>
  <si>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</si>
  <si>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</si>
  <si>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</si>
  <si>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</si>
  <si>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</si>
  <si>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</si>
  <si>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</si>
  <si>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</si>
  <si>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</si>
  <si>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</si>
  <si>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</si>
  <si>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</si>
  <si>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</si>
  <si>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</si>
  <si>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</si>
  <si>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</si>
  <si>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</si>
  <si>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</si>
  <si>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</si>
  <si>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</si>
  <si>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</si>
  <si>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</si>
  <si>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</si>
  <si>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</si>
  <si>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</si>
  <si>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</si>
  <si>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</si>
  <si>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</si>
  <si>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</si>
  <si>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</si>
  <si>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</si>
  <si>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</si>
  <si>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</si>
  <si>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</si>
  <si>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</si>
  <si>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</si>
  <si>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</si>
  <si>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</si>
  <si>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</si>
  <si>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</si>
  <si>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</si>
  <si>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</si>
  <si>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</si>
  <si>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</si>
  <si>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</si>
  <si>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</si>
  <si>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</si>
  <si>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</si>
  <si>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</si>
  <si>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</si>
  <si>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</si>
  <si>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</si>
  <si>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</si>
  <si>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</si>
  <si>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</si>
  <si>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</si>
  <si>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</si>
  <si>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</si>
  <si>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</si>
  <si>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</si>
  <si>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</si>
  <si>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</si>
  <si>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</si>
  <si>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</si>
  <si>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</si>
  <si>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</si>
  <si>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</si>
  <si>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</si>
  <si>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</si>
  <si>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</si>
  <si>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</si>
  <si>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</si>
  <si>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</si>
  <si>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</si>
  <si>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</si>
  <si>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</si>
  <si>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</si>
  <si>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</si>
  <si>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</si>
  <si>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</si>
  <si>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</si>
  <si>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</si>
  <si>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</si>
  <si>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</si>
  <si>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</si>
  <si>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</si>
  <si>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</si>
  <si>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</si>
  <si>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</si>
  <si>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</si>
  <si>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</si>
  <si>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</si>
  <si>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</si>
  <si>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</si>
  <si>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</si>
  <si>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</si>
  <si>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</si>
  <si>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</si>
  <si>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</si>
  <si>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</si>
  <si>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</si>
  <si>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</si>
  <si>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</si>
  <si>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</si>
  <si>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</si>
  <si>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</si>
  <si>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</si>
  <si>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</si>
  <si>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</si>
  <si>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</si>
  <si>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</si>
  <si>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</si>
  <si>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</si>
  <si>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</si>
  <si>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</si>
  <si>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</si>
  <si>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</si>
  <si>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</si>
  <si>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</si>
  <si>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</si>
  <si>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</si>
  <si>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</si>
  <si>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</si>
  <si>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</si>
  <si>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</si>
  <si>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</si>
  <si>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</si>
  <si>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</si>
  <si>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</si>
  <si>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</si>
  <si>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</si>
  <si>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</si>
  <si>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</si>
  <si>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</si>
  <si>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</si>
  <si>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</si>
  <si>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</si>
  <si>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</si>
  <si>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</si>
  <si>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</si>
  <si>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</si>
  <si>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</si>
  <si>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</si>
  <si>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</si>
  <si>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</si>
  <si>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</si>
  <si>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</si>
  <si>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</si>
  <si>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</si>
  <si>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</si>
  <si>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</si>
  <si>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</si>
  <si>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</si>
  <si>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</si>
  <si>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</si>
  <si>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</si>
  <si>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</si>
  <si>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</si>
  <si>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</si>
  <si>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</si>
  <si>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</si>
  <si>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</si>
  <si>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</si>
  <si>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</si>
  <si>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</si>
  <si>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</si>
  <si>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</si>
  <si>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</si>
  <si>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</si>
  <si>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</si>
  <si>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</si>
  <si>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</si>
  <si>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</si>
  <si>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</si>
  <si>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</si>
  <si>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</si>
  <si>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</si>
  <si>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</si>
  <si>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</si>
  <si>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</si>
  <si>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</si>
  <si>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</si>
  <si>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</si>
  <si>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</si>
  <si>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</si>
  <si>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</si>
  <si>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</si>
  <si>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</si>
  <si>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</si>
  <si>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</si>
  <si>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</si>
  <si>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</si>
  <si>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</si>
  <si>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</si>
  <si>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</si>
  <si>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</si>
  <si>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</si>
  <si>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</si>
  <si>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</si>
  <si>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</si>
  <si>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</si>
  <si>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</si>
  <si>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</si>
  <si>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</si>
  <si>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</si>
  <si>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</si>
  <si>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</si>
  <si>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</si>
  <si>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</si>
  <si>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</si>
  <si>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</si>
  <si>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</si>
  <si>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</si>
  <si>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</si>
  <si>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</si>
  <si>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</si>
  <si>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</si>
  <si>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</si>
  <si>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</si>
  <si>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</si>
  <si>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</si>
  <si>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</si>
  <si>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</si>
  <si>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</si>
  <si>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</si>
  <si>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</si>
  <si>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</si>
  <si>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</si>
  <si>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</si>
  <si>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</si>
  <si>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</si>
  <si>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</si>
  <si>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</si>
  <si>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</si>
  <si>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</si>
  <si>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</si>
  <si>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</si>
  <si>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</si>
  <si>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</si>
  <si>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</si>
  <si>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</si>
  <si>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</si>
  <si>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</si>
  <si>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</si>
  <si>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</si>
  <si>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</si>
  <si>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</si>
  <si>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</si>
  <si>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</si>
  <si>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</si>
  <si>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</si>
  <si>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</si>
  <si>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</si>
  <si>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</si>
  <si>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</si>
  <si>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</si>
  <si>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</si>
  <si>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</si>
  <si>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</si>
  <si>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</si>
  <si>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</si>
  <si>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</si>
  <si>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</si>
  <si>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</si>
  <si>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</si>
  <si>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</si>
  <si>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</si>
  <si>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</si>
  <si>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</si>
  <si>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</si>
  <si>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</si>
  <si>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</si>
  <si>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</si>
  <si>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</si>
  <si>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</si>
  <si>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</si>
  <si>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</si>
  <si>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</si>
  <si>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</si>
  <si>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</si>
  <si>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</si>
  <si>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</si>
  <si>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</si>
  <si>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</si>
  <si>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</si>
  <si>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</si>
  <si>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</si>
  <si>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</si>
  <si>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</si>
  <si>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</si>
  <si>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</si>
  <si>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</si>
  <si>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</si>
  <si>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</si>
  <si>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</si>
  <si>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</si>
  <si>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</si>
  <si>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</si>
  <si>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</si>
  <si>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</si>
  <si>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</si>
  <si>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</si>
  <si>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</si>
  <si>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</si>
  <si>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</si>
  <si>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</si>
  <si>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</si>
  <si>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</si>
  <si>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</si>
  <si>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</si>
  <si>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</si>
  <si>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</si>
  <si>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</si>
  <si>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</si>
  <si>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</si>
  <si>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</si>
  <si>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</si>
  <si>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</si>
  <si>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</si>
  <si>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</si>
  <si>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</si>
  <si>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</si>
  <si>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</si>
  <si>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</si>
  <si>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</si>
  <si>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</si>
  <si>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</si>
  <si>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</si>
  <si>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</si>
  <si>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</si>
  <si>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</si>
  <si>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</si>
  <si>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</si>
  <si>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</si>
  <si>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</si>
  <si>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</si>
  <si>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</si>
  <si>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</si>
  <si>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</si>
  <si>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</si>
  <si>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</si>
  <si>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</si>
  <si>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</si>
  <si>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</si>
  <si>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</si>
  <si>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</si>
  <si>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</si>
  <si>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</si>
  <si>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</si>
  <si>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</si>
  <si>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</si>
  <si>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</si>
  <si>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</si>
  <si>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</si>
  <si>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</si>
  <si>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pennies needed to reach max compressed rate</t>
  </si>
  <si>
    <t>copper pennies available to be converted</t>
  </si>
  <si>
    <t>dtr for remaining copper pennies</t>
  </si>
  <si>
    <t>adjusted compressed rate</t>
  </si>
  <si>
    <t>adjusted taxes attributed to copper pennies</t>
  </si>
  <si>
    <t>adjusted collections at compressed rate</t>
  </si>
  <si>
    <t># of Copper Pennies</t>
  </si>
  <si>
    <t>84th Leg</t>
  </si>
  <si>
    <t>New Instructional Facility Allotment (NIFA) ADA</t>
  </si>
  <si>
    <t>New Instructl Facilities Allot (NIFA)</t>
  </si>
  <si>
    <t>SB 945</t>
  </si>
  <si>
    <t>AA</t>
  </si>
  <si>
    <t>lr for remaining copper pennies</t>
  </si>
  <si>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</si>
  <si>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</si>
  <si>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</si>
  <si>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</si>
  <si>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</si>
  <si>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</si>
  <si>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</si>
  <si>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</si>
  <si>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</si>
  <si>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</si>
  <si>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</si>
  <si>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</si>
  <si>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</si>
  <si>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xml:space="preserve">&lt;= Enter the district's adopted I&amp;S tax rate for the applicable year.   </t>
  </si>
  <si>
    <t>State Certified Property Value ("T2" value) @ $25K Exemption</t>
  </si>
  <si>
    <t>pennies above compressed rate after frac adj</t>
  </si>
  <si>
    <t>golden pennies</t>
  </si>
  <si>
    <t>rev from golden pennies</t>
  </si>
  <si>
    <t>LEASE-PUDRCHASE</t>
  </si>
  <si>
    <t>2nd Yr of Biennium</t>
  </si>
  <si>
    <t>Must do SB 945 &gt;</t>
  </si>
  <si>
    <t>Calculation of Hold Harmless Amount</t>
  </si>
  <si>
    <t>Debt Service on Eligible Bonds (as of 9/1/2015)</t>
  </si>
  <si>
    <t>PETROLIA CISD</t>
  </si>
  <si>
    <t>CROCKETT COUNTY CONSOLIDATED CSD</t>
  </si>
  <si>
    <t>ROSCOE COLLEGIATE ISD</t>
  </si>
  <si>
    <t>LITTLE CYPRESS-MAURICEVILLE CISD</t>
  </si>
  <si>
    <t>WEST RUSK COUNTY CONSOLIDATED ISD</t>
  </si>
  <si>
    <t>T2 @ $25K</t>
  </si>
  <si>
    <t>I&amp;S taxes @ $15K</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</si>
  <si>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</si>
  <si>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</si>
  <si>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</si>
  <si>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</si>
  <si>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</si>
  <si>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</si>
  <si>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2020-21 I&amp;S Tax Collections</t>
  </si>
  <si>
    <t>2018-19 M&amp;O Tax Rate</t>
  </si>
  <si>
    <t>Less: NIFA</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</si>
  <si>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</si>
  <si>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</si>
  <si>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</si>
  <si>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</si>
  <si>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</si>
  <si>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</si>
  <si>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</si>
  <si>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</si>
  <si>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</si>
  <si>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</si>
  <si>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</si>
  <si>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</si>
  <si>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</si>
  <si>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</si>
  <si>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</si>
  <si>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DISTRICT_ID</t>
  </si>
  <si>
    <t>IFA_APP_ID</t>
  </si>
  <si>
    <t>REFUNDED_REG_NUM</t>
  </si>
  <si>
    <t>REFUNDING_REG_NUM</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</si>
  <si>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</si>
  <si>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</si>
  <si>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</si>
  <si>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</si>
  <si>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</si>
  <si>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</si>
  <si>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</si>
  <si>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</si>
  <si>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</si>
  <si>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</si>
  <si>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</si>
  <si>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</si>
  <si>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</si>
  <si>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</si>
  <si>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</si>
  <si>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</si>
  <si>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</si>
  <si>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</si>
  <si>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</si>
  <si>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</si>
  <si>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</si>
  <si>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</si>
  <si>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</si>
  <si>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</si>
  <si>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</si>
  <si>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</si>
  <si>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</si>
  <si>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</si>
  <si>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</si>
  <si>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</si>
  <si>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</si>
  <si>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</si>
  <si>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</si>
  <si>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</si>
  <si>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</si>
  <si>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</si>
  <si>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</si>
  <si>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</si>
  <si>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</si>
  <si>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</si>
  <si>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</si>
  <si>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</si>
  <si>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</si>
  <si>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</si>
  <si>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</si>
  <si>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</si>
  <si>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</si>
  <si>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</si>
  <si>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</si>
  <si>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</si>
  <si>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</si>
  <si>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</si>
  <si>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</si>
  <si>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</si>
  <si>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</si>
  <si>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</si>
  <si>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</si>
  <si>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</si>
  <si>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</si>
  <si>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</si>
  <si>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</si>
  <si>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60518</t>
  </si>
  <si>
    <t>60373</t>
  </si>
  <si>
    <t>78839</t>
  </si>
  <si>
    <t>63346</t>
  </si>
  <si>
    <t>73910</t>
  </si>
  <si>
    <t>60388</t>
  </si>
  <si>
    <t>66188</t>
  </si>
  <si>
    <t>77287</t>
  </si>
  <si>
    <t>79771</t>
  </si>
  <si>
    <t>60541</t>
  </si>
  <si>
    <t>73262</t>
  </si>
  <si>
    <t>59920</t>
  </si>
  <si>
    <t>70770</t>
  </si>
  <si>
    <t>79141</t>
  </si>
  <si>
    <t>59512</t>
  </si>
  <si>
    <t>73135</t>
  </si>
  <si>
    <t>81803</t>
  </si>
  <si>
    <t>62247</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</si>
  <si>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</si>
  <si>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</si>
  <si>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</si>
  <si>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</si>
  <si>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</si>
  <si>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</si>
  <si>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</si>
  <si>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</si>
  <si>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</si>
  <si>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</si>
  <si>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</si>
  <si>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</si>
  <si>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</si>
  <si>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</si>
  <si>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</si>
  <si>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</si>
  <si>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</si>
  <si>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</si>
  <si>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</si>
  <si>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</si>
  <si>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</si>
  <si>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</si>
  <si>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</si>
  <si>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</si>
  <si>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</si>
  <si>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</si>
  <si>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</si>
  <si>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</si>
  <si>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</si>
  <si>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</si>
  <si>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</si>
  <si>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</si>
  <si>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</si>
  <si>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</si>
  <si>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</si>
  <si>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</si>
  <si>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</si>
  <si>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</si>
  <si>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</si>
  <si>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</si>
  <si>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</si>
  <si>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</si>
  <si>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</si>
  <si>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</si>
  <si>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</si>
  <si>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</si>
  <si>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</si>
  <si>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</si>
  <si>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62249</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</si>
  <si>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</si>
  <si>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</si>
  <si>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</si>
  <si>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</si>
  <si>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</si>
  <si>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</si>
  <si>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</si>
  <si>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</si>
  <si>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</si>
  <si>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</si>
  <si>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</si>
  <si>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</si>
  <si>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</si>
  <si>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</si>
  <si>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</si>
  <si>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</si>
  <si>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</si>
  <si>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</si>
  <si>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</si>
  <si>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</si>
  <si>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</si>
  <si>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</si>
  <si>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</si>
  <si>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</si>
  <si>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</si>
  <si>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</si>
  <si>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60800</t>
  </si>
  <si>
    <t>63388</t>
  </si>
  <si>
    <t>77717</t>
  </si>
  <si>
    <t>66118</t>
  </si>
  <si>
    <t>79126</t>
  </si>
  <si>
    <t>80318</t>
  </si>
  <si>
    <t>68965</t>
  </si>
  <si>
    <t>83606</t>
  </si>
  <si>
    <t>71790</t>
  </si>
  <si>
    <t>60294</t>
  </si>
  <si>
    <t>72113</t>
  </si>
  <si>
    <t>59332</t>
  </si>
  <si>
    <t>71787</t>
  </si>
  <si>
    <t>77884</t>
  </si>
  <si>
    <t>73258</t>
  </si>
  <si>
    <t>018905</t>
  </si>
  <si>
    <t>65164</t>
  </si>
  <si>
    <t>019901</t>
  </si>
  <si>
    <t>62416</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</si>
  <si>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</si>
  <si>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</si>
  <si>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</si>
  <si>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</si>
  <si>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</si>
  <si>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</si>
  <si>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</si>
  <si>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</si>
  <si>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</si>
  <si>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</si>
  <si>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</si>
  <si>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</si>
  <si>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</si>
  <si>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</si>
  <si>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</si>
  <si>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</si>
  <si>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</si>
  <si>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</si>
  <si>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</si>
  <si>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</si>
  <si>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</si>
  <si>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</si>
  <si>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</si>
  <si>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</si>
  <si>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</si>
  <si>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</si>
  <si>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</si>
  <si>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</si>
  <si>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</si>
  <si>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</si>
  <si>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</si>
  <si>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</si>
  <si>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</si>
  <si>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</si>
  <si>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</si>
  <si>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</si>
  <si>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</si>
  <si>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</si>
  <si>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</si>
  <si>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</si>
  <si>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</si>
  <si>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</si>
  <si>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</si>
  <si>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</si>
  <si>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</si>
  <si>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</si>
  <si>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</si>
  <si>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</si>
  <si>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</si>
  <si>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</si>
  <si>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</si>
  <si>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</si>
  <si>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</si>
  <si>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</si>
  <si>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</si>
  <si>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</si>
  <si>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</si>
  <si>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</si>
  <si>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</si>
  <si>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</si>
  <si>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</si>
  <si>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</si>
  <si>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</si>
  <si>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</si>
  <si>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</si>
  <si>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</si>
  <si>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</si>
  <si>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</si>
  <si>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</si>
  <si>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</si>
  <si>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</si>
  <si>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</si>
  <si>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</si>
  <si>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</si>
  <si>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</si>
  <si>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</si>
  <si>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</si>
  <si>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</si>
  <si>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</si>
  <si>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</si>
  <si>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</si>
  <si>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</si>
  <si>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</si>
  <si>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</si>
  <si>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</si>
  <si>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</si>
  <si>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</si>
  <si>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</si>
  <si>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</si>
  <si>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</si>
  <si>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</si>
  <si>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</si>
  <si>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</si>
  <si>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</si>
  <si>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</si>
  <si>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</si>
  <si>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</si>
  <si>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</si>
  <si>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</si>
  <si>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</si>
  <si>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</si>
  <si>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</si>
  <si>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</si>
  <si>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</si>
  <si>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</si>
  <si>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</si>
  <si>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</si>
  <si>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</si>
  <si>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</si>
  <si>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</si>
  <si>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</si>
  <si>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</si>
  <si>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</si>
  <si>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</si>
  <si>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</si>
  <si>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</si>
  <si>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</si>
  <si>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</si>
  <si>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</si>
  <si>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</si>
  <si>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</si>
  <si>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</si>
  <si>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</si>
  <si>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</si>
  <si>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</si>
  <si>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76755</t>
  </si>
  <si>
    <t>73890</t>
  </si>
  <si>
    <t>60539</t>
  </si>
  <si>
    <t>59526</t>
  </si>
  <si>
    <t>64749</t>
  </si>
  <si>
    <t>77911</t>
  </si>
  <si>
    <t>037908</t>
  </si>
  <si>
    <t>66603</t>
  </si>
  <si>
    <t>60387</t>
  </si>
  <si>
    <t>80012</t>
  </si>
  <si>
    <t>64882</t>
  </si>
  <si>
    <t>63467</t>
  </si>
  <si>
    <t>71061</t>
  </si>
  <si>
    <t>042901</t>
  </si>
  <si>
    <t>60222</t>
  </si>
  <si>
    <t>66167</t>
  </si>
  <si>
    <t>79108</t>
  </si>
  <si>
    <t>59732</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</si>
  <si>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</si>
  <si>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</si>
  <si>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</si>
  <si>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</si>
  <si>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</si>
  <si>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</si>
  <si>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</si>
  <si>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</si>
  <si>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</si>
  <si>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</si>
  <si>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</si>
  <si>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</si>
  <si>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</si>
  <si>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</si>
  <si>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</si>
  <si>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</si>
  <si>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</si>
  <si>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</si>
  <si>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</si>
  <si>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</si>
  <si>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</si>
  <si>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</si>
  <si>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72486</t>
  </si>
  <si>
    <t>75761</t>
  </si>
  <si>
    <t>60363</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</si>
  <si>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</si>
  <si>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</si>
  <si>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</si>
  <si>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</si>
  <si>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</si>
  <si>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</si>
  <si>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</si>
  <si>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</si>
  <si>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</si>
  <si>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</si>
  <si>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</si>
  <si>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</si>
  <si>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</si>
  <si>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</si>
  <si>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</si>
  <si>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</si>
  <si>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</si>
  <si>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</si>
  <si>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</si>
  <si>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</si>
  <si>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</si>
  <si>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</si>
  <si>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</si>
  <si>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</si>
  <si>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</si>
  <si>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</si>
  <si>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</si>
  <si>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</si>
  <si>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</si>
  <si>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</si>
  <si>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71688</t>
  </si>
  <si>
    <t>82820</t>
  </si>
  <si>
    <t>83600</t>
  </si>
  <si>
    <t>72565</t>
  </si>
  <si>
    <t>60292</t>
  </si>
  <si>
    <t>76095</t>
  </si>
  <si>
    <t>65157</t>
  </si>
  <si>
    <t>79699</t>
  </si>
  <si>
    <t>77722</t>
  </si>
  <si>
    <t>59102</t>
  </si>
  <si>
    <t>69282</t>
  </si>
  <si>
    <t>66334</t>
  </si>
  <si>
    <t>78963</t>
  </si>
  <si>
    <t>73068</t>
  </si>
  <si>
    <t>64793</t>
  </si>
  <si>
    <t>59806</t>
  </si>
  <si>
    <t>72965</t>
  </si>
  <si>
    <t>59092</t>
  </si>
  <si>
    <t>59719</t>
  </si>
  <si>
    <t>63459</t>
  </si>
  <si>
    <t>63649</t>
  </si>
  <si>
    <t>65933</t>
  </si>
  <si>
    <t>79255</t>
  </si>
  <si>
    <t>73175</t>
  </si>
  <si>
    <t>59988</t>
  </si>
  <si>
    <t>63355</t>
  </si>
  <si>
    <t>64086</t>
  </si>
  <si>
    <t>69707</t>
  </si>
  <si>
    <t>72478</t>
  </si>
  <si>
    <t>81378</t>
  </si>
  <si>
    <t>73960</t>
  </si>
  <si>
    <t>75837</t>
  </si>
  <si>
    <t>77397</t>
  </si>
  <si>
    <t>77398</t>
  </si>
  <si>
    <t>59450</t>
  </si>
  <si>
    <t>83335</t>
  </si>
  <si>
    <t>59776</t>
  </si>
  <si>
    <t>69481</t>
  </si>
  <si>
    <t>73255</t>
  </si>
  <si>
    <t>65140</t>
  </si>
  <si>
    <t>77306</t>
  </si>
  <si>
    <t>65494</t>
  </si>
  <si>
    <t>75811</t>
  </si>
  <si>
    <t>77305</t>
  </si>
  <si>
    <t>059901</t>
  </si>
  <si>
    <t>60662</t>
  </si>
  <si>
    <t>76373</t>
  </si>
  <si>
    <t>74924</t>
  </si>
  <si>
    <t>64810</t>
  </si>
  <si>
    <t>78479</t>
  </si>
  <si>
    <t>59591</t>
  </si>
  <si>
    <t>60619</t>
  </si>
  <si>
    <t>061903</t>
  </si>
  <si>
    <t>58977</t>
  </si>
  <si>
    <t>62946</t>
  </si>
  <si>
    <t>70325</t>
  </si>
  <si>
    <t>63484</t>
  </si>
  <si>
    <t>67879</t>
  </si>
  <si>
    <t>79992</t>
  </si>
  <si>
    <t>60324</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</si>
  <si>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</si>
  <si>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</si>
  <si>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</si>
  <si>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</si>
  <si>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</si>
  <si>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</si>
  <si>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</si>
  <si>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</si>
  <si>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</si>
  <si>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</si>
  <si>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</si>
  <si>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</si>
  <si>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</si>
  <si>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</si>
  <si>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</si>
  <si>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</si>
  <si>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</si>
  <si>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</si>
  <si>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</si>
  <si>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</si>
  <si>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</si>
  <si>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</si>
  <si>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</si>
  <si>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</si>
  <si>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</si>
  <si>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</si>
  <si>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</si>
  <si>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</si>
  <si>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</si>
  <si>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</si>
  <si>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</si>
  <si>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</si>
  <si>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</si>
  <si>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</si>
  <si>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</si>
  <si>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</si>
  <si>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</si>
  <si>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</si>
  <si>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</si>
  <si>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</si>
  <si>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</si>
  <si>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</si>
  <si>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</si>
  <si>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</si>
  <si>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</si>
  <si>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</si>
  <si>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</si>
  <si>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</si>
  <si>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</si>
  <si>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</si>
  <si>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</si>
  <si>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</si>
  <si>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</si>
  <si>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</si>
  <si>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65529</t>
  </si>
  <si>
    <t>73271</t>
  </si>
  <si>
    <t>74696</t>
  </si>
  <si>
    <t>59783</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</si>
  <si>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</si>
  <si>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</si>
  <si>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</si>
  <si>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</si>
  <si>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</si>
  <si>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</si>
  <si>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</si>
  <si>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</si>
  <si>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</si>
  <si>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</si>
  <si>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</si>
  <si>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</si>
  <si>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</si>
  <si>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</si>
  <si>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</si>
  <si>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</si>
  <si>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</si>
  <si>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</si>
  <si>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</si>
  <si>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</si>
  <si>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</si>
  <si>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</si>
  <si>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</si>
  <si>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</si>
  <si>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</si>
  <si>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</si>
  <si>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</si>
  <si>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</si>
  <si>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</si>
  <si>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</si>
  <si>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</si>
  <si>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</si>
  <si>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</si>
  <si>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</si>
  <si>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</si>
  <si>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</si>
  <si>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</si>
  <si>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</si>
  <si>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</si>
  <si>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</si>
  <si>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</si>
  <si>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</si>
  <si>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</si>
  <si>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</si>
  <si>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</si>
  <si>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</si>
  <si>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</si>
  <si>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</si>
  <si>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</si>
  <si>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</si>
  <si>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</si>
  <si>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</si>
  <si>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</si>
  <si>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</si>
  <si>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</si>
  <si>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</si>
  <si>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</si>
  <si>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64881</t>
  </si>
  <si>
    <t>77797</t>
  </si>
  <si>
    <t>073903</t>
  </si>
  <si>
    <t>60756</t>
  </si>
  <si>
    <t>073904</t>
  </si>
  <si>
    <t>63993</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</si>
  <si>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</si>
  <si>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</si>
  <si>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</si>
  <si>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</si>
  <si>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</si>
  <si>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</si>
  <si>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</si>
  <si>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</si>
  <si>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</si>
  <si>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</si>
  <si>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</si>
  <si>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</si>
  <si>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</si>
  <si>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</si>
  <si>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</si>
  <si>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</si>
  <si>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</si>
  <si>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</si>
  <si>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</si>
  <si>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</si>
  <si>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</si>
  <si>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</si>
  <si>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</si>
  <si>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</si>
  <si>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</si>
  <si>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</si>
  <si>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</si>
  <si>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</si>
  <si>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</si>
  <si>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</si>
  <si>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</si>
  <si>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</si>
  <si>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</si>
  <si>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75400</t>
  </si>
  <si>
    <t>60089</t>
  </si>
  <si>
    <t>60245</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</si>
  <si>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</si>
  <si>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</si>
  <si>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</si>
  <si>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</si>
  <si>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</si>
  <si>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</si>
  <si>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</si>
  <si>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</si>
  <si>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</si>
  <si>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</si>
  <si>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</si>
  <si>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</si>
  <si>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</si>
  <si>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</si>
  <si>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</si>
  <si>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</si>
  <si>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</si>
  <si>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</si>
  <si>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</si>
  <si>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</si>
  <si>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</si>
  <si>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</si>
  <si>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</si>
  <si>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</si>
  <si>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</si>
  <si>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</si>
  <si>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</si>
  <si>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</si>
  <si>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</si>
  <si>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</si>
  <si>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</si>
  <si>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</si>
  <si>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</si>
  <si>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</si>
  <si>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</si>
  <si>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</si>
  <si>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</si>
  <si>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</si>
  <si>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</si>
  <si>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</si>
  <si>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</si>
  <si>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</si>
  <si>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</si>
  <si>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77203</t>
  </si>
  <si>
    <t>82292</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</si>
  <si>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</si>
  <si>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</si>
  <si>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</si>
  <si>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</si>
  <si>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</si>
  <si>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</si>
  <si>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</si>
  <si>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</si>
  <si>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</si>
  <si>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</si>
  <si>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</si>
  <si>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</si>
  <si>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</si>
  <si>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</si>
  <si>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</si>
  <si>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</si>
  <si>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</si>
  <si>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</si>
  <si>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</si>
  <si>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</si>
  <si>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</si>
  <si>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</si>
  <si>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</si>
  <si>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</si>
  <si>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</si>
  <si>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</si>
  <si>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</si>
  <si>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</si>
  <si>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</si>
  <si>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</si>
  <si>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</si>
  <si>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</si>
  <si>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74760</t>
  </si>
  <si>
    <t>75077</t>
  </si>
  <si>
    <t>59366</t>
  </si>
  <si>
    <t>60221</t>
  </si>
  <si>
    <t>61555</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</si>
  <si>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</si>
  <si>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</si>
  <si>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</si>
  <si>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</si>
  <si>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</si>
  <si>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</si>
  <si>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</si>
  <si>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</si>
  <si>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</si>
  <si>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</si>
  <si>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</si>
  <si>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</si>
  <si>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</si>
  <si>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</si>
  <si>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</si>
  <si>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</si>
  <si>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</si>
  <si>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</si>
  <si>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</si>
  <si>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</si>
  <si>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</si>
  <si>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</si>
  <si>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</si>
  <si>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59875</t>
  </si>
  <si>
    <t>58931</t>
  </si>
  <si>
    <t>72723</t>
  </si>
  <si>
    <t>58953</t>
  </si>
  <si>
    <t>69701</t>
  </si>
  <si>
    <t>60170</t>
  </si>
  <si>
    <t>73451</t>
  </si>
  <si>
    <t>74323</t>
  </si>
  <si>
    <t>75308</t>
  </si>
  <si>
    <t>59017</t>
  </si>
  <si>
    <t>70522</t>
  </si>
  <si>
    <t>60071</t>
  </si>
  <si>
    <t>63836</t>
  </si>
  <si>
    <t>74724</t>
  </si>
  <si>
    <t>79962</t>
  </si>
  <si>
    <t>73825</t>
  </si>
  <si>
    <t>76945</t>
  </si>
  <si>
    <t>60736</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</si>
  <si>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</si>
  <si>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</si>
  <si>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</si>
  <si>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</si>
  <si>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</si>
  <si>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</si>
  <si>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</si>
  <si>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</si>
  <si>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</si>
  <si>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</si>
  <si>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</si>
  <si>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</si>
  <si>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</si>
  <si>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</si>
  <si>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</si>
  <si>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</si>
  <si>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</si>
  <si>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</si>
  <si>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</si>
  <si>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</si>
  <si>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</si>
  <si>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</si>
  <si>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</si>
  <si>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</si>
  <si>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</si>
  <si>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</si>
  <si>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</si>
  <si>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</si>
  <si>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</si>
  <si>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</si>
  <si>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</si>
  <si>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</si>
  <si>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</si>
  <si>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</si>
  <si>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</si>
  <si>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</si>
  <si>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</si>
  <si>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</si>
  <si>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</si>
  <si>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</si>
  <si>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</si>
  <si>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</si>
  <si>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</si>
  <si>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</si>
  <si>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</si>
  <si>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</si>
  <si>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</si>
  <si>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</si>
  <si>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</si>
  <si>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</si>
  <si>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</si>
  <si>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</si>
  <si>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</si>
  <si>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</si>
  <si>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</si>
  <si>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</si>
  <si>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60413</t>
  </si>
  <si>
    <t>70291</t>
  </si>
  <si>
    <t>63360</t>
  </si>
  <si>
    <t>66263</t>
  </si>
  <si>
    <t>78397</t>
  </si>
  <si>
    <t>69039</t>
  </si>
  <si>
    <t>80339</t>
  </si>
  <si>
    <t>71952</t>
  </si>
  <si>
    <t>60534</t>
  </si>
  <si>
    <t>69981</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</si>
  <si>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</si>
  <si>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</si>
  <si>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</si>
  <si>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</si>
  <si>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</si>
  <si>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</si>
  <si>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</si>
  <si>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</si>
  <si>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</si>
  <si>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</si>
  <si>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</si>
  <si>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</si>
  <si>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</si>
  <si>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</si>
  <si>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</si>
  <si>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</si>
  <si>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</si>
  <si>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</si>
  <si>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</si>
  <si>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</si>
  <si>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</si>
  <si>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</si>
  <si>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</si>
  <si>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</si>
  <si>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</si>
  <si>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</si>
  <si>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</si>
  <si>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</si>
  <si>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</si>
  <si>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</si>
  <si>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</si>
  <si>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</si>
  <si>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</si>
  <si>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</si>
  <si>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</si>
  <si>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</si>
  <si>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</si>
  <si>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</si>
  <si>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</si>
  <si>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</si>
  <si>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</si>
  <si>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</si>
  <si>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</si>
  <si>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</si>
  <si>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</si>
  <si>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</si>
  <si>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</si>
  <si>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</si>
  <si>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</si>
  <si>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</si>
  <si>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</si>
  <si>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</si>
  <si>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</si>
  <si>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</si>
  <si>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</si>
  <si>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</si>
  <si>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</si>
  <si>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</si>
  <si>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</si>
  <si>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</si>
  <si>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</si>
  <si>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</si>
  <si>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</si>
  <si>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</si>
  <si>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</si>
  <si>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</si>
  <si>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</si>
  <si>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</si>
  <si>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</si>
  <si>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</si>
  <si>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</si>
  <si>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</si>
  <si>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</si>
  <si>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</si>
  <si>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</si>
  <si>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</si>
  <si>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</si>
  <si>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</si>
  <si>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</si>
  <si>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</si>
  <si>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</si>
  <si>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</si>
  <si>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</si>
  <si>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</si>
  <si>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</si>
  <si>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</si>
  <si>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</si>
  <si>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</si>
  <si>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</si>
  <si>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</si>
  <si>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</si>
  <si>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</si>
  <si>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</si>
  <si>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</si>
  <si>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</si>
  <si>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</si>
  <si>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</si>
  <si>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</si>
  <si>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</si>
  <si>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</si>
  <si>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</si>
  <si>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</si>
  <si>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</si>
  <si>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</si>
  <si>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</si>
  <si>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</si>
  <si>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</si>
  <si>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</si>
  <si>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</si>
  <si>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</si>
  <si>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</si>
  <si>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</si>
  <si>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</si>
  <si>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</si>
  <si>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</si>
  <si>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</si>
  <si>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</si>
  <si>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</si>
  <si>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</si>
  <si>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</si>
  <si>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</si>
  <si>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</si>
  <si>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</si>
  <si>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</si>
  <si>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</si>
  <si>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</si>
  <si>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</si>
  <si>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60042</t>
  </si>
  <si>
    <t>60698</t>
  </si>
  <si>
    <t>62279</t>
  </si>
  <si>
    <t>77676</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</si>
  <si>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</si>
  <si>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</si>
  <si>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</si>
  <si>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</si>
  <si>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</si>
  <si>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</si>
  <si>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</si>
  <si>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</si>
  <si>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</si>
  <si>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</si>
  <si>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</si>
  <si>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</si>
  <si>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</si>
  <si>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</si>
  <si>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</si>
  <si>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</si>
  <si>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</si>
  <si>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</si>
  <si>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</si>
  <si>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</si>
  <si>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</si>
  <si>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</si>
  <si>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</si>
  <si>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</si>
  <si>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</si>
  <si>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</si>
  <si>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</si>
  <si>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</si>
  <si>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</si>
  <si>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</si>
  <si>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</si>
  <si>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</si>
  <si>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</si>
  <si>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</si>
  <si>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</si>
  <si>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</si>
  <si>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</si>
  <si>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</si>
  <si>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</si>
  <si>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</si>
  <si>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</si>
  <si>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</si>
  <si>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</si>
  <si>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</si>
  <si>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</si>
  <si>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</si>
  <si>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</si>
  <si>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</si>
  <si>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</si>
  <si>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</si>
  <si>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</si>
  <si>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</si>
  <si>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</si>
  <si>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</si>
  <si>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</si>
  <si>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</si>
  <si>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</si>
  <si>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</si>
  <si>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</si>
  <si>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</si>
  <si>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74304</t>
  </si>
  <si>
    <t>75007</t>
  </si>
  <si>
    <t>77140</t>
  </si>
  <si>
    <t>62578</t>
  </si>
  <si>
    <t>65253</t>
  </si>
  <si>
    <t>72210</t>
  </si>
  <si>
    <t>60217</t>
  </si>
  <si>
    <t>73126</t>
  </si>
  <si>
    <t>60615</t>
  </si>
  <si>
    <t>66166</t>
  </si>
  <si>
    <t>72529</t>
  </si>
  <si>
    <t>81146</t>
  </si>
  <si>
    <t>64838</t>
  </si>
  <si>
    <t>78166</t>
  </si>
  <si>
    <t>66119</t>
  </si>
  <si>
    <t>72161</t>
  </si>
  <si>
    <t>77421</t>
  </si>
  <si>
    <t>73203</t>
  </si>
  <si>
    <t>77575</t>
  </si>
  <si>
    <t>66096</t>
  </si>
  <si>
    <t>59751</t>
  </si>
  <si>
    <t>74823</t>
  </si>
  <si>
    <t>75836</t>
  </si>
  <si>
    <t>66117</t>
  </si>
  <si>
    <t>78389</t>
  </si>
  <si>
    <t>80050</t>
  </si>
  <si>
    <t>140905</t>
  </si>
  <si>
    <t>60521</t>
  </si>
  <si>
    <t>73137</t>
  </si>
  <si>
    <t>81042</t>
  </si>
  <si>
    <t>81671</t>
  </si>
  <si>
    <t>60472</t>
  </si>
  <si>
    <t>76856</t>
  </si>
  <si>
    <t>63843</t>
  </si>
  <si>
    <t>72182</t>
  </si>
  <si>
    <t>72658</t>
  </si>
  <si>
    <t>77807</t>
  </si>
  <si>
    <t>58749</t>
  </si>
  <si>
    <t>74606</t>
  </si>
  <si>
    <t>60154</t>
  </si>
  <si>
    <t>63359</t>
  </si>
  <si>
    <t>76975</t>
  </si>
  <si>
    <t>152901</t>
  </si>
  <si>
    <t>59660</t>
  </si>
  <si>
    <t>64059</t>
  </si>
  <si>
    <t>77168</t>
  </si>
  <si>
    <t>59650</t>
  </si>
  <si>
    <t>60677</t>
  </si>
  <si>
    <t>73034</t>
  </si>
  <si>
    <t>76704</t>
  </si>
  <si>
    <t>60327</t>
  </si>
  <si>
    <t>73143</t>
  </si>
  <si>
    <t>76741</t>
  </si>
  <si>
    <t>64718</t>
  </si>
  <si>
    <t>77467</t>
  </si>
  <si>
    <t>61756</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</si>
  <si>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</si>
  <si>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</si>
  <si>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</si>
  <si>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</si>
  <si>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</si>
  <si>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</si>
  <si>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</si>
  <si>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</si>
  <si>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</si>
  <si>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</si>
  <si>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</si>
  <si>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</si>
  <si>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</si>
  <si>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</si>
  <si>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</si>
  <si>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</si>
  <si>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</si>
  <si>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</si>
  <si>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</si>
  <si>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</si>
  <si>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</si>
  <si>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</si>
  <si>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</si>
  <si>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</si>
  <si>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</si>
  <si>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</si>
  <si>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</si>
  <si>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</si>
  <si>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</si>
  <si>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</si>
  <si>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</si>
  <si>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</si>
  <si>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</si>
  <si>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</si>
  <si>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</si>
  <si>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</si>
  <si>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</si>
  <si>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</si>
  <si>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</si>
  <si>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</si>
  <si>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</si>
  <si>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</si>
  <si>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</si>
  <si>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</si>
  <si>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</si>
  <si>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</si>
  <si>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</si>
  <si>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</si>
  <si>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</si>
  <si>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</si>
  <si>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</si>
  <si>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</si>
  <si>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</si>
  <si>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</si>
  <si>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</si>
  <si>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</si>
  <si>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</si>
  <si>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74881</t>
  </si>
  <si>
    <t>77465</t>
  </si>
  <si>
    <t>66286</t>
  </si>
  <si>
    <t>79559</t>
  </si>
  <si>
    <t>73072</t>
  </si>
  <si>
    <t>63335</t>
  </si>
  <si>
    <t>71800</t>
  </si>
  <si>
    <t>60202</t>
  </si>
  <si>
    <t>70743</t>
  </si>
  <si>
    <t>83074</t>
  </si>
  <si>
    <t>64815</t>
  </si>
  <si>
    <t>73297</t>
  </si>
  <si>
    <t>60357</t>
  </si>
  <si>
    <t>71259</t>
  </si>
  <si>
    <t>77711</t>
  </si>
  <si>
    <t>64797</t>
  </si>
  <si>
    <t>73162</t>
  </si>
  <si>
    <t>59341</t>
  </si>
  <si>
    <t>8256U</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</si>
  <si>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</si>
  <si>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</si>
  <si>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</si>
  <si>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</si>
  <si>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</si>
  <si>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</si>
  <si>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</si>
  <si>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</si>
  <si>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</si>
  <si>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</si>
  <si>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</si>
  <si>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</si>
  <si>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</si>
  <si>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</si>
  <si>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</si>
  <si>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</si>
  <si>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</si>
  <si>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</si>
  <si>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</si>
  <si>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</si>
  <si>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</si>
  <si>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</si>
  <si>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</si>
  <si>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</si>
  <si>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</si>
  <si>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</si>
  <si>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</si>
  <si>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</si>
  <si>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</si>
  <si>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</si>
  <si>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</si>
  <si>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</si>
  <si>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</si>
  <si>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</si>
  <si>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</si>
  <si>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</si>
  <si>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</si>
  <si>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</si>
  <si>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</si>
  <si>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</si>
  <si>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</si>
  <si>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</si>
  <si>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</si>
  <si>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</si>
  <si>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</si>
  <si>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</si>
  <si>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</si>
  <si>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</si>
  <si>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</si>
  <si>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</si>
  <si>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</si>
  <si>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</si>
  <si>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</si>
  <si>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</si>
  <si>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</si>
  <si>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</si>
  <si>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</si>
  <si>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</si>
  <si>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</si>
  <si>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</si>
  <si>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</si>
  <si>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</si>
  <si>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</si>
  <si>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</si>
  <si>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</si>
  <si>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</si>
  <si>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</si>
  <si>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</si>
  <si>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</si>
  <si>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</si>
  <si>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</si>
  <si>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</si>
  <si>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</si>
  <si>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</si>
  <si>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</si>
  <si>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</si>
  <si>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</si>
  <si>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</si>
  <si>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</si>
  <si>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</si>
  <si>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</si>
  <si>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</si>
  <si>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</si>
  <si>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</si>
  <si>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</si>
  <si>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</si>
  <si>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</si>
  <si>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</si>
  <si>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</si>
  <si>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</si>
  <si>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</si>
  <si>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</si>
  <si>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</si>
  <si>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</si>
  <si>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</si>
  <si>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</si>
  <si>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</si>
  <si>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</si>
  <si>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</si>
  <si>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</si>
  <si>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</si>
  <si>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</si>
  <si>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</si>
  <si>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</si>
  <si>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</si>
  <si>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</si>
  <si>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</si>
  <si>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</si>
  <si>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</si>
  <si>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</si>
  <si>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</si>
  <si>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</si>
  <si>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</si>
  <si>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</si>
  <si>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</si>
  <si>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</si>
  <si>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59815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</si>
  <si>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</si>
  <si>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</si>
  <si>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</si>
  <si>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</si>
  <si>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</si>
  <si>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</si>
  <si>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</si>
  <si>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</si>
  <si>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</si>
  <si>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</si>
  <si>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</si>
  <si>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</si>
  <si>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</si>
  <si>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</si>
  <si>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</si>
  <si>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</si>
  <si>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</si>
  <si>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</si>
  <si>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</si>
  <si>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</si>
  <si>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</si>
  <si>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</si>
  <si>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</si>
  <si>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</si>
  <si>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</si>
  <si>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</si>
  <si>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</si>
  <si>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</si>
  <si>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</si>
  <si>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</si>
  <si>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</si>
  <si>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</si>
  <si>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</si>
  <si>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</si>
  <si>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</si>
  <si>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</si>
  <si>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</si>
  <si>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</si>
  <si>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</si>
  <si>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</si>
  <si>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</si>
  <si>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</si>
  <si>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</si>
  <si>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</si>
  <si>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</si>
  <si>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</si>
  <si>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</si>
  <si>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</si>
  <si>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</si>
  <si>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</si>
  <si>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</si>
  <si>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</si>
  <si>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</si>
  <si>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</si>
  <si>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</si>
  <si>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</si>
  <si>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</si>
  <si>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</si>
  <si>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</si>
  <si>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</si>
  <si>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</si>
  <si>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</si>
  <si>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</si>
  <si>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</si>
  <si>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</si>
  <si>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</si>
  <si>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</si>
  <si>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</si>
  <si>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</si>
  <si>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</si>
  <si>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</si>
  <si>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</si>
  <si>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</si>
  <si>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</si>
  <si>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</si>
  <si>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</si>
  <si>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</si>
  <si>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</si>
  <si>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</si>
  <si>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</si>
  <si>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</si>
  <si>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</si>
  <si>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</si>
  <si>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</si>
  <si>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59087</t>
  </si>
  <si>
    <t>72474</t>
  </si>
  <si>
    <t>59570</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</si>
  <si>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</si>
  <si>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</si>
  <si>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</si>
  <si>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</si>
  <si>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</si>
  <si>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</si>
  <si>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</si>
  <si>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</si>
  <si>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</si>
  <si>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</si>
  <si>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</si>
  <si>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</si>
  <si>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</si>
  <si>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</si>
  <si>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</si>
  <si>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</si>
  <si>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</si>
  <si>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</si>
  <si>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</si>
  <si>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</si>
  <si>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77354</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</si>
  <si>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</si>
  <si>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</si>
  <si>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</si>
  <si>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</si>
  <si>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</si>
  <si>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</si>
  <si>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</si>
  <si>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</si>
  <si>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</si>
  <si>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</si>
  <si>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</si>
  <si>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</si>
  <si>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</si>
  <si>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</si>
  <si>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</si>
  <si>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</si>
  <si>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</si>
  <si>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</si>
  <si>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</si>
  <si>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</si>
  <si>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</si>
  <si>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</si>
  <si>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</si>
  <si>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</si>
  <si>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</si>
  <si>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</si>
  <si>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</si>
  <si>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</si>
  <si>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</si>
  <si>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</si>
  <si>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77745</t>
  </si>
  <si>
    <t>74752</t>
  </si>
  <si>
    <t>220919</t>
  </si>
  <si>
    <t>59037</t>
  </si>
  <si>
    <t>59038</t>
  </si>
  <si>
    <t>59127</t>
  </si>
  <si>
    <t>71574</t>
  </si>
  <si>
    <t>81791</t>
  </si>
  <si>
    <t>83451</t>
  </si>
  <si>
    <t>64875</t>
  </si>
  <si>
    <t>78547</t>
  </si>
  <si>
    <t>66088</t>
  </si>
  <si>
    <t>79380</t>
  </si>
  <si>
    <t>71892</t>
  </si>
  <si>
    <t>59507</t>
  </si>
  <si>
    <t>59508</t>
  </si>
  <si>
    <t>70401</t>
  </si>
  <si>
    <t>75418</t>
  </si>
  <si>
    <t>59753</t>
  </si>
  <si>
    <t>70222</t>
  </si>
  <si>
    <t>63407</t>
  </si>
  <si>
    <t>76941</t>
  </si>
  <si>
    <t>64949</t>
  </si>
  <si>
    <t>80983</t>
  </si>
  <si>
    <t>58860</t>
  </si>
  <si>
    <t>60041</t>
  </si>
  <si>
    <t>74336</t>
  </si>
  <si>
    <t>59975</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</si>
  <si>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</si>
  <si>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</si>
  <si>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</si>
  <si>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</si>
  <si>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</si>
  <si>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</si>
  <si>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</si>
  <si>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</si>
  <si>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</si>
  <si>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</si>
  <si>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</si>
  <si>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</si>
  <si>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</si>
  <si>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</si>
  <si>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</si>
  <si>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</si>
  <si>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</si>
  <si>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</si>
  <si>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</si>
  <si>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</si>
  <si>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</si>
  <si>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</si>
  <si>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</si>
  <si>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</si>
  <si>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</si>
  <si>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</si>
  <si>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</si>
  <si>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</si>
  <si>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</si>
  <si>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</si>
  <si>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</si>
  <si>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</si>
  <si>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</si>
  <si>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</si>
  <si>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</si>
  <si>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</si>
  <si>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</si>
  <si>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</si>
  <si>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</si>
  <si>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</si>
  <si>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</si>
  <si>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</si>
  <si>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</si>
  <si>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</si>
  <si>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</si>
  <si>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</si>
  <si>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</si>
  <si>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</si>
  <si>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</si>
  <si>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</si>
  <si>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</si>
  <si>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</si>
  <si>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</si>
  <si>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</si>
  <si>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</si>
  <si>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</si>
  <si>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</si>
  <si>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</si>
  <si>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</si>
  <si>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</si>
  <si>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</si>
  <si>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</si>
  <si>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</si>
  <si>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</si>
  <si>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</si>
  <si>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</si>
  <si>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</si>
  <si>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</si>
  <si>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</si>
  <si>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</si>
  <si>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</si>
  <si>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</si>
  <si>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</si>
  <si>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</si>
  <si>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</si>
  <si>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</si>
  <si>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</si>
  <si>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</si>
  <si>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</si>
  <si>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</si>
  <si>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</si>
  <si>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</si>
  <si>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</si>
  <si>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</si>
  <si>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</si>
  <si>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</si>
  <si>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</si>
  <si>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</si>
  <si>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</si>
  <si>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</si>
  <si>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</si>
  <si>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</si>
  <si>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</si>
  <si>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</si>
  <si>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</si>
  <si>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</si>
  <si>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</si>
  <si>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</si>
  <si>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</si>
  <si>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</si>
  <si>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</si>
  <si>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</si>
  <si>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</si>
  <si>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</si>
  <si>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</si>
  <si>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</si>
  <si>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</si>
  <si>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</si>
  <si>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</si>
  <si>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</si>
  <si>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</si>
  <si>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</si>
  <si>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</si>
  <si>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</si>
  <si>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</si>
  <si>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</si>
  <si>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</si>
  <si>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</si>
  <si>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</si>
  <si>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</si>
  <si>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</si>
  <si>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</si>
  <si>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</si>
  <si>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</si>
  <si>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</si>
  <si>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</si>
  <si>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</si>
  <si>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</si>
  <si>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</si>
  <si>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</si>
  <si>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</si>
  <si>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</si>
  <si>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</si>
  <si>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</si>
  <si>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</si>
  <si>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</si>
  <si>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</si>
  <si>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</si>
  <si>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</si>
  <si>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</si>
  <si>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</si>
  <si>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</si>
  <si>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</si>
  <si>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</si>
  <si>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</si>
  <si>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</si>
  <si>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</si>
  <si>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</si>
  <si>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</si>
  <si>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</si>
  <si>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</si>
  <si>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</si>
  <si>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</si>
  <si>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</si>
  <si>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</si>
  <si>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</si>
  <si>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</si>
  <si>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</si>
  <si>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</si>
  <si>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</si>
  <si>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</si>
  <si>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</si>
  <si>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</si>
  <si>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</si>
  <si>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</si>
  <si>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</si>
  <si>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</si>
  <si>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</si>
  <si>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</si>
  <si>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</si>
  <si>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</si>
  <si>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</si>
  <si>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</si>
  <si>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</si>
  <si>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</si>
  <si>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</si>
  <si>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</si>
  <si>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</si>
  <si>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</si>
  <si>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</si>
  <si>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</si>
  <si>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</si>
  <si>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</si>
  <si>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</si>
  <si>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</si>
  <si>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</si>
  <si>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</si>
  <si>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</si>
  <si>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</si>
  <si>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</si>
  <si>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</si>
  <si>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</si>
  <si>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</si>
  <si>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</si>
  <si>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</si>
  <si>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</si>
  <si>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</si>
  <si>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</si>
  <si>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</si>
  <si>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</si>
  <si>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</si>
  <si>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</si>
  <si>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</si>
  <si>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</si>
  <si>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</si>
  <si>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</si>
  <si>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</si>
  <si>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</si>
  <si>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</si>
  <si>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</si>
  <si>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</si>
  <si>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</si>
  <si>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</si>
  <si>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</si>
  <si>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</si>
  <si>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</si>
  <si>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</si>
  <si>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</si>
  <si>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</si>
  <si>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</si>
  <si>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</si>
  <si>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</si>
  <si>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</si>
  <si>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</si>
  <si>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</si>
  <si>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</si>
  <si>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</si>
  <si>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</si>
  <si>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</si>
  <si>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</si>
  <si>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</si>
  <si>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</si>
  <si>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</si>
  <si>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</si>
  <si>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</si>
  <si>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</si>
  <si>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</si>
  <si>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</si>
  <si>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</si>
  <si>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</si>
  <si>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</si>
  <si>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</si>
  <si>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</si>
  <si>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</si>
  <si>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</si>
  <si>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</si>
  <si>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</si>
  <si>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</si>
  <si>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</si>
  <si>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</si>
  <si>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</si>
  <si>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</si>
  <si>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</si>
  <si>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</si>
  <si>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</si>
  <si>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</si>
  <si>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</si>
  <si>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</si>
  <si>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</si>
  <si>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</si>
  <si>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</si>
  <si>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</si>
  <si>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</si>
  <si>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</si>
  <si>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</si>
  <si>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</si>
  <si>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</si>
  <si>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</si>
  <si>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</si>
  <si>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</si>
  <si>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</si>
  <si>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</si>
  <si>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</si>
  <si>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</si>
  <si>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</si>
  <si>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</si>
  <si>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</si>
  <si>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</si>
  <si>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</si>
  <si>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</si>
  <si>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</si>
  <si>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</si>
  <si>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</si>
  <si>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</si>
  <si>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</si>
  <si>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</si>
  <si>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</si>
  <si>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</si>
  <si>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</si>
  <si>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</si>
  <si>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</si>
  <si>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</si>
  <si>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</si>
  <si>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</si>
  <si>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</si>
  <si>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</si>
  <si>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</si>
  <si>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</si>
  <si>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</si>
  <si>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</si>
  <si>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</si>
  <si>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</si>
  <si>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</si>
  <si>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</si>
  <si>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</si>
  <si>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</si>
  <si>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</si>
  <si>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</si>
  <si>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</si>
  <si>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</si>
  <si>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</si>
  <si>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</si>
  <si>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</si>
  <si>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</si>
  <si>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</si>
  <si>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</si>
  <si>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</si>
  <si>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</si>
  <si>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</si>
  <si>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</si>
  <si>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</si>
  <si>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</si>
  <si>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</si>
  <si>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</si>
  <si>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</si>
  <si>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</si>
  <si>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</si>
  <si>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</si>
  <si>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</si>
  <si>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</si>
  <si>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</si>
  <si>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</si>
  <si>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</si>
  <si>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</si>
  <si>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</si>
  <si>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</si>
  <si>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</si>
  <si>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</si>
  <si>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</si>
  <si>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</si>
  <si>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</si>
  <si>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</si>
  <si>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</si>
  <si>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</si>
  <si>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</si>
  <si>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</si>
  <si>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</si>
  <si>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</si>
  <si>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</si>
  <si>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</si>
  <si>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</si>
  <si>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</si>
  <si>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</si>
  <si>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</si>
  <si>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</si>
  <si>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</si>
  <si>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</si>
  <si>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</si>
  <si>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</si>
  <si>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</si>
  <si>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</si>
  <si>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</si>
  <si>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</si>
  <si>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</si>
  <si>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</si>
  <si>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</si>
  <si>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</si>
  <si>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</si>
  <si>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</si>
  <si>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</si>
  <si>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</si>
  <si>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</si>
  <si>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</si>
  <si>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</si>
  <si>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</si>
  <si>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</si>
  <si>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</si>
  <si>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</si>
  <si>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</si>
  <si>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</si>
  <si>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</si>
  <si>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</si>
  <si>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</si>
  <si>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</si>
  <si>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</si>
  <si>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</si>
  <si>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</si>
  <si>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</si>
  <si>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</si>
  <si>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</si>
  <si>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</si>
  <si>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</si>
  <si>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</si>
  <si>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</si>
  <si>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</si>
  <si>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</si>
  <si>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</si>
  <si>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</si>
  <si>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</si>
  <si>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</si>
  <si>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</si>
  <si>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</si>
  <si>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</si>
  <si>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</si>
  <si>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</si>
  <si>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</si>
  <si>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</si>
  <si>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</si>
  <si>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</si>
  <si>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</si>
  <si>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</si>
  <si>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</si>
  <si>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</si>
  <si>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</si>
  <si>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</si>
  <si>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</si>
  <si>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</si>
  <si>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</si>
  <si>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</si>
  <si>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</si>
  <si>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</si>
  <si>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</si>
  <si>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</si>
  <si>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</si>
  <si>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</si>
  <si>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</si>
  <si>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</si>
  <si>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</si>
  <si>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</si>
  <si>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</si>
  <si>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</si>
  <si>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</si>
  <si>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</si>
  <si>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</si>
  <si>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</si>
  <si>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</si>
  <si>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</si>
  <si>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</si>
  <si>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</si>
  <si>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</si>
  <si>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</si>
  <si>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</si>
  <si>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</si>
  <si>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</si>
  <si>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</si>
  <si>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</si>
  <si>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</si>
  <si>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</si>
  <si>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</si>
  <si>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</si>
  <si>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</si>
  <si>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</si>
  <si>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</si>
  <si>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</si>
  <si>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</si>
  <si>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</si>
  <si>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</si>
  <si>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</si>
  <si>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</si>
  <si>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</si>
  <si>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</si>
  <si>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</si>
  <si>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</si>
  <si>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</si>
  <si>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</si>
  <si>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</si>
  <si>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</si>
  <si>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</si>
  <si>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</si>
  <si>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</si>
  <si>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</si>
  <si>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</si>
  <si>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</si>
  <si>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</si>
  <si>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</si>
  <si>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</si>
  <si>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</si>
  <si>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</si>
  <si>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</si>
  <si>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</si>
  <si>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</si>
  <si>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</si>
  <si>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</si>
  <si>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</si>
  <si>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</si>
  <si>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</si>
  <si>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</si>
  <si>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</si>
  <si>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</si>
  <si>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</si>
  <si>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</si>
  <si>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</si>
  <si>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</si>
  <si>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</si>
  <si>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</si>
  <si>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</si>
  <si>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</si>
  <si>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</si>
  <si>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</si>
  <si>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</si>
  <si>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</si>
  <si>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</si>
  <si>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</si>
  <si>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</si>
  <si>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</si>
  <si>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</si>
  <si>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</si>
  <si>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</si>
  <si>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</si>
  <si>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</si>
  <si>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</si>
  <si>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</si>
  <si>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</si>
  <si>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</si>
  <si>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</si>
  <si>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</si>
  <si>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</si>
  <si>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</si>
  <si>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</si>
  <si>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</si>
  <si>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</si>
  <si>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</si>
  <si>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</si>
  <si>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</si>
  <si>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</si>
  <si>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</si>
  <si>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</si>
  <si>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</si>
  <si>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</si>
  <si>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</si>
  <si>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</si>
  <si>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</si>
  <si>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</si>
  <si>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</si>
  <si>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</si>
  <si>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</si>
  <si>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</si>
  <si>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</si>
  <si>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</si>
  <si>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</si>
  <si>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</si>
  <si>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</si>
  <si>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</si>
  <si>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</si>
  <si>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</si>
  <si>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</si>
  <si>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</si>
  <si>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</si>
  <si>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</si>
  <si>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</si>
  <si>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</si>
  <si>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</si>
  <si>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</si>
  <si>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</si>
  <si>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</si>
  <si>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</si>
  <si>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</si>
  <si>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</si>
  <si>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</si>
  <si>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</si>
  <si>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</si>
  <si>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</si>
  <si>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</si>
  <si>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</si>
  <si>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</si>
  <si>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</si>
  <si>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</si>
  <si>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</si>
  <si>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</si>
  <si>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</si>
  <si>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</si>
  <si>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</si>
  <si>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</si>
  <si>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</si>
  <si>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</si>
  <si>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</si>
  <si>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</si>
  <si>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</si>
  <si>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</si>
  <si>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</si>
  <si>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</si>
  <si>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</si>
  <si>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</si>
  <si>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</si>
  <si>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</si>
  <si>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Amount of M&amp;O Taxes Collected per Penny of Adopted Rate - For ASATR purposes</t>
  </si>
  <si>
    <t>M&amp;O Collections Attributed to Compressed Rate - For ASATR purposes</t>
  </si>
  <si>
    <t>20-21</t>
  </si>
  <si>
    <t>for asatr-no frac</t>
  </si>
  <si>
    <t>for asatr-frac</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</si>
  <si>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</si>
  <si>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</si>
  <si>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</si>
  <si>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</si>
  <si>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</si>
  <si>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</si>
  <si>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</si>
  <si>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M&amp;O Taxes @ Lesser Rate</t>
  </si>
  <si>
    <t>84922</t>
  </si>
  <si>
    <t>80505</t>
  </si>
  <si>
    <t>84288</t>
  </si>
  <si>
    <t>85003</t>
  </si>
  <si>
    <t>85151</t>
  </si>
  <si>
    <t>85218</t>
  </si>
  <si>
    <t>85213</t>
  </si>
  <si>
    <t>84219</t>
  </si>
  <si>
    <t>81138</t>
  </si>
  <si>
    <t>85153</t>
  </si>
  <si>
    <t>83878</t>
  </si>
  <si>
    <t>84689</t>
  </si>
  <si>
    <t>84215</t>
  </si>
  <si>
    <t>85272</t>
  </si>
  <si>
    <t>84109</t>
  </si>
  <si>
    <t>84498</t>
  </si>
  <si>
    <t>85212</t>
  </si>
  <si>
    <t>83842</t>
  </si>
  <si>
    <t>84298</t>
  </si>
  <si>
    <t>85497</t>
  </si>
  <si>
    <t>85317</t>
  </si>
  <si>
    <t>84496</t>
  </si>
  <si>
    <t>81851</t>
  </si>
  <si>
    <t>84205</t>
  </si>
  <si>
    <t>84334</t>
  </si>
  <si>
    <t>84943</t>
  </si>
  <si>
    <t>85349</t>
  </si>
  <si>
    <t>85364</t>
  </si>
  <si>
    <t>84323</t>
  </si>
  <si>
    <t>84517</t>
  </si>
  <si>
    <t>84324</t>
  </si>
  <si>
    <t>84428</t>
  </si>
  <si>
    <t>84346</t>
  </si>
  <si>
    <t>84779</t>
  </si>
  <si>
    <t>84055</t>
  </si>
  <si>
    <t>85303</t>
  </si>
  <si>
    <t>84925</t>
  </si>
  <si>
    <t>84854</t>
  </si>
  <si>
    <t>85080</t>
  </si>
  <si>
    <t>85257</t>
  </si>
  <si>
    <t>84251</t>
  </si>
  <si>
    <t>84360</t>
  </si>
  <si>
    <t>85322</t>
  </si>
  <si>
    <t>84823</t>
  </si>
  <si>
    <t>84540</t>
  </si>
  <si>
    <t>85227</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</si>
  <si>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</si>
  <si>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</si>
  <si>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</si>
  <si>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</si>
  <si>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</si>
  <si>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</si>
  <si>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</si>
  <si>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</si>
  <si>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</si>
  <si>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</si>
  <si>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</si>
  <si>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</si>
  <si>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</si>
  <si>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</si>
  <si>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</si>
  <si>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</si>
  <si>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</si>
  <si>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</si>
  <si>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</si>
  <si>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</si>
  <si>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</si>
  <si>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</si>
  <si>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</si>
  <si>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</si>
  <si>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85507</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</si>
  <si>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</si>
  <si>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</si>
  <si>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</si>
  <si>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</si>
  <si>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</si>
  <si>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</si>
  <si>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</si>
  <si>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</si>
  <si>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</si>
  <si>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</si>
  <si>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</si>
  <si>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</si>
  <si>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</si>
  <si>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</si>
  <si>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</si>
  <si>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</si>
  <si>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</si>
  <si>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</si>
  <si>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</si>
  <si>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</si>
  <si>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</si>
  <si>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</si>
  <si>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</si>
  <si>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</si>
  <si>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</si>
  <si>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</si>
  <si>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</si>
  <si>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</si>
  <si>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</si>
  <si>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</si>
  <si>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</si>
  <si>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</si>
  <si>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</si>
  <si>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</si>
  <si>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</si>
  <si>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</si>
  <si>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</si>
  <si>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</si>
  <si>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</si>
  <si>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</si>
  <si>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</si>
  <si>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</si>
  <si>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</si>
  <si>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</si>
  <si>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</si>
  <si>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</si>
  <si>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</si>
  <si>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</si>
  <si>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</si>
  <si>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</si>
  <si>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</si>
  <si>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</si>
  <si>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</si>
  <si>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</si>
  <si>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</si>
  <si>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</si>
  <si>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</si>
  <si>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</si>
  <si>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</si>
  <si>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</si>
  <si>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</si>
  <si>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</si>
  <si>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</si>
  <si>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</si>
  <si>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</si>
  <si>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</si>
  <si>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</si>
  <si>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</si>
  <si>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</si>
  <si>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</si>
  <si>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</si>
  <si>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</si>
  <si>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</si>
  <si>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</si>
  <si>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</si>
  <si>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</si>
  <si>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</si>
  <si>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</si>
  <si>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</si>
  <si>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</si>
  <si>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</si>
  <si>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</si>
  <si>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</si>
  <si>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</si>
  <si>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</si>
  <si>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</si>
  <si>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</si>
  <si>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</si>
  <si>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</si>
  <si>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</si>
  <si>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</si>
  <si>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</si>
  <si>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</si>
  <si>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</si>
  <si>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</si>
  <si>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</si>
  <si>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</si>
  <si>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</si>
  <si>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</si>
  <si>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</si>
  <si>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83851</t>
  </si>
  <si>
    <t>85355</t>
  </si>
  <si>
    <t>84977</t>
  </si>
  <si>
    <t>85726</t>
  </si>
  <si>
    <t>85380</t>
  </si>
  <si>
    <t>84209</t>
  </si>
  <si>
    <t>85249</t>
  </si>
  <si>
    <t xml:space="preserve">(3) Line 16 does not include the I&amp;S Hold Harmless amount.  That amount, if any, appears </t>
  </si>
  <si>
    <t>2021-22</t>
  </si>
  <si>
    <t xml:space="preserve">    This is the estimated balance of unequalized taxes available for 2019-20:</t>
  </si>
  <si>
    <t>Omar Garcia (ogarcia@bokf.com)</t>
  </si>
  <si>
    <t>previous sessions as well. Thanks go to Region 13 for continuing to allow this template to be posted to their website.</t>
  </si>
  <si>
    <t>T1 @ $15K</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</si>
  <si>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</si>
  <si>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</si>
  <si>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</si>
  <si>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</si>
  <si>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</si>
  <si>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</si>
  <si>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</si>
  <si>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</si>
  <si>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</si>
  <si>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</si>
  <si>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</si>
  <si>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</si>
  <si>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</si>
  <si>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</si>
  <si>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</si>
  <si>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</si>
  <si>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</si>
  <si>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</si>
  <si>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</si>
  <si>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</si>
  <si>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</si>
  <si>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</si>
  <si>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</si>
  <si>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</si>
  <si>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</si>
  <si>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</si>
  <si>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</si>
  <si>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</si>
  <si>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</si>
  <si>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</si>
  <si>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</si>
  <si>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</si>
  <si>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</si>
  <si>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</si>
  <si>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</si>
  <si>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</si>
  <si>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</si>
  <si>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</si>
  <si>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</si>
  <si>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</si>
  <si>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</si>
  <si>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</si>
  <si>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</si>
  <si>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</si>
  <si>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</si>
  <si>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</si>
  <si>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</si>
  <si>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</si>
  <si>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</si>
  <si>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</si>
  <si>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</si>
  <si>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</si>
  <si>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</si>
  <si>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</si>
  <si>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</si>
  <si>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</si>
  <si>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</si>
  <si>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</si>
  <si>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</si>
  <si>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</si>
  <si>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</si>
  <si>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</si>
  <si>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</si>
  <si>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</si>
  <si>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</si>
  <si>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</si>
  <si>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</si>
  <si>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</si>
  <si>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</si>
  <si>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</si>
  <si>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</si>
  <si>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</si>
  <si>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</si>
  <si>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</si>
  <si>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</si>
  <si>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</si>
  <si>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</si>
  <si>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</si>
  <si>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</si>
  <si>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</si>
  <si>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</si>
  <si>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</si>
  <si>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</si>
  <si>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</si>
  <si>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</si>
  <si>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</si>
  <si>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</si>
  <si>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</si>
  <si>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</si>
  <si>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</si>
  <si>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</si>
  <si>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</si>
  <si>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</si>
  <si>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</si>
  <si>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</si>
  <si>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</si>
  <si>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</si>
  <si>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</si>
  <si>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</si>
  <si>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</si>
  <si>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</si>
  <si>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</si>
  <si>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</si>
  <si>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</si>
  <si>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</si>
  <si>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</si>
  <si>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</si>
  <si>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</si>
  <si>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</si>
  <si>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</si>
  <si>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</si>
  <si>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</si>
  <si>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</si>
  <si>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</si>
  <si>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</si>
  <si>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</si>
  <si>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</si>
  <si>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</si>
  <si>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</si>
  <si>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</si>
  <si>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</si>
  <si>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</si>
  <si>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</si>
  <si>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</si>
  <si>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</si>
  <si>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</si>
  <si>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</si>
  <si>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</si>
  <si>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</si>
  <si>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</si>
  <si>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</si>
  <si>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</si>
  <si>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</si>
  <si>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</si>
  <si>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</si>
  <si>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</si>
  <si>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</si>
  <si>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</si>
  <si>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</si>
  <si>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</si>
  <si>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</si>
  <si>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</si>
  <si>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</si>
  <si>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</si>
  <si>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</si>
  <si>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</si>
  <si>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</si>
  <si>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86884</t>
  </si>
  <si>
    <t>87402</t>
  </si>
  <si>
    <t>86031</t>
  </si>
  <si>
    <t>86929</t>
  </si>
  <si>
    <t>86629</t>
  </si>
  <si>
    <t>87281</t>
  </si>
  <si>
    <t>86623</t>
  </si>
  <si>
    <t>86661</t>
  </si>
  <si>
    <t>86231</t>
  </si>
  <si>
    <t>86888</t>
  </si>
  <si>
    <t>87106</t>
  </si>
  <si>
    <t>87167</t>
  </si>
  <si>
    <t>86772</t>
  </si>
  <si>
    <t>87273</t>
  </si>
  <si>
    <t>86407</t>
  </si>
  <si>
    <t>86425</t>
  </si>
  <si>
    <t>87328</t>
  </si>
  <si>
    <t>85th Leg</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</si>
  <si>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</si>
  <si>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</si>
  <si>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</si>
  <si>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</si>
  <si>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</si>
  <si>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</si>
  <si>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</si>
  <si>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</si>
  <si>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</si>
  <si>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</si>
  <si>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</si>
  <si>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</si>
  <si>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</si>
  <si>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</si>
  <si>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</si>
  <si>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</si>
  <si>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</si>
  <si>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</si>
  <si>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</si>
  <si>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</si>
  <si>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T4 @ $25K</t>
  </si>
  <si>
    <t>T10 @ $25K</t>
  </si>
  <si>
    <t>T3 @ $15K</t>
  </si>
  <si>
    <t>T9 @ $15K</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</si>
  <si>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</si>
  <si>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</si>
  <si>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</si>
  <si>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</si>
  <si>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</si>
  <si>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</si>
  <si>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</si>
  <si>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</si>
  <si>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</si>
  <si>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</si>
  <si>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</si>
  <si>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</si>
  <si>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</si>
  <si>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</si>
  <si>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</si>
  <si>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</si>
  <si>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</si>
  <si>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</si>
  <si>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</si>
  <si>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</si>
  <si>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</si>
  <si>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</si>
  <si>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</si>
  <si>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</si>
  <si>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</si>
  <si>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</si>
  <si>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</si>
  <si>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</si>
  <si>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</si>
  <si>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</si>
  <si>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</si>
  <si>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</si>
  <si>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</si>
  <si>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</si>
  <si>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</si>
  <si>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</si>
  <si>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</si>
  <si>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</si>
  <si>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</si>
  <si>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</si>
  <si>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</si>
  <si>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</si>
  <si>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</si>
  <si>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</si>
  <si>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</si>
  <si>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</si>
  <si>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</si>
  <si>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</si>
  <si>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</si>
  <si>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</si>
  <si>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</si>
  <si>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</si>
  <si>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</si>
  <si>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</si>
  <si>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</si>
  <si>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</si>
  <si>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</si>
  <si>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</si>
  <si>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</si>
  <si>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</si>
  <si>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</si>
  <si>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</si>
  <si>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</si>
  <si>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</si>
  <si>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</si>
  <si>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</si>
  <si>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</si>
  <si>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</si>
  <si>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</si>
  <si>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</si>
  <si>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</si>
  <si>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</si>
  <si>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</si>
  <si>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</si>
  <si>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</si>
  <si>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</si>
  <si>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</si>
  <si>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</si>
  <si>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</si>
  <si>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</si>
  <si>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</si>
  <si>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</si>
  <si>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</si>
  <si>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</si>
  <si>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</si>
  <si>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</si>
  <si>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</si>
  <si>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</si>
  <si>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</si>
  <si>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</si>
  <si>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</si>
  <si>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</si>
  <si>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</si>
  <si>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</si>
  <si>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</si>
  <si>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</si>
  <si>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</si>
  <si>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</si>
  <si>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</si>
  <si>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</si>
  <si>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</si>
  <si>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</si>
  <si>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</si>
  <si>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</si>
  <si>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</si>
  <si>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</si>
  <si>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</si>
  <si>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</si>
  <si>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</si>
  <si>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</si>
  <si>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</si>
  <si>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</si>
  <si>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</si>
  <si>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</si>
  <si>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</si>
  <si>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</si>
  <si>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</si>
  <si>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</si>
  <si>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</si>
  <si>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</si>
  <si>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</si>
  <si>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</si>
  <si>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</si>
  <si>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</si>
  <si>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</si>
  <si>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</si>
  <si>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</si>
  <si>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</si>
  <si>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</si>
  <si>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</si>
  <si>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</si>
  <si>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</si>
  <si>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</si>
  <si>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</si>
  <si>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</si>
  <si>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</si>
  <si>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</si>
  <si>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</si>
  <si>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</si>
  <si>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</si>
  <si>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</si>
  <si>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</si>
  <si>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</si>
  <si>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</si>
  <si>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</si>
  <si>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</si>
  <si>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</si>
  <si>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</si>
  <si>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</si>
  <si>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</si>
  <si>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</si>
  <si>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</si>
  <si>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</si>
  <si>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</si>
  <si>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</si>
  <si>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</si>
  <si>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</si>
  <si>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</si>
  <si>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</si>
  <si>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</si>
  <si>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</si>
  <si>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</si>
  <si>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</si>
  <si>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</si>
  <si>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</si>
  <si>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</si>
  <si>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</si>
  <si>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</si>
  <si>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</si>
  <si>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</si>
  <si>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</si>
  <si>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</si>
  <si>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</si>
  <si>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</si>
  <si>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</si>
  <si>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</si>
  <si>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</si>
  <si>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</si>
  <si>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</si>
  <si>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</si>
  <si>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</si>
  <si>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</si>
  <si>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</si>
  <si>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</si>
  <si>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</si>
  <si>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</si>
  <si>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</si>
  <si>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</si>
  <si>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</si>
  <si>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</si>
  <si>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</si>
  <si>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</si>
  <si>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</si>
  <si>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</si>
  <si>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</si>
  <si>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</si>
  <si>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</si>
  <si>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</si>
  <si>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</si>
  <si>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</si>
  <si>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</si>
  <si>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</si>
  <si>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</si>
  <si>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87478</t>
  </si>
  <si>
    <t>87452</t>
  </si>
  <si>
    <t>87449</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</si>
  <si>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</si>
  <si>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</si>
  <si>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</si>
  <si>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</si>
  <si>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</si>
  <si>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</si>
  <si>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</si>
  <si>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</si>
  <si>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</si>
  <si>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</si>
  <si>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</si>
  <si>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</si>
  <si>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</si>
  <si>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</si>
  <si>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</si>
  <si>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2021-22 Summary of Finances</t>
  </si>
  <si>
    <t>2021-22 M&amp;O Tax Rate</t>
  </si>
  <si>
    <t>2021-22 I&amp;S Tax Collections</t>
  </si>
  <si>
    <t>2021-22 Total Tax Collections</t>
  </si>
  <si>
    <t>2021-22 Total Tax Levy</t>
  </si>
  <si>
    <t>TOTAL  2021-22  FSP/ASF  STATE  AID</t>
  </si>
  <si>
    <t>2021-22 Local M&amp;O Collections</t>
  </si>
  <si>
    <t>2021-22 Local Share for IFA Lease Purchase</t>
  </si>
  <si>
    <t>2021-22 Actual Eligible Debt Service Payment</t>
  </si>
  <si>
    <t>2021-22 IFA State/Local Share of IFA Awarded for Bonded Debt</t>
  </si>
  <si>
    <t>2021-22 Total Refined ADA</t>
  </si>
  <si>
    <t>2021-22 Allowed Rate (Lesser of Line 10 or Line 11 or $.29)</t>
  </si>
  <si>
    <t>2021-22 FSP Detail Report</t>
  </si>
  <si>
    <t>21-22 COEI ADJ</t>
  </si>
  <si>
    <t>21-22</t>
  </si>
  <si>
    <t>2021-22 I&amp;S Hold Harmless Calculations:</t>
  </si>
  <si>
    <t>Worksheet for Estimating Instructional Facilities Allotment</t>
  </si>
  <si>
    <t>Worksheet for Estimating Existing Debt Allotment</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</si>
  <si>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</si>
  <si>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</si>
  <si>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</si>
  <si>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</si>
  <si>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</si>
  <si>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2022-23</t>
  </si>
  <si>
    <t>as of this release, only a placeholder</t>
  </si>
  <si>
    <r>
      <t xml:space="preserve">Reg Program ADA </t>
    </r>
    <r>
      <rPr>
        <sz val="12"/>
        <rFont val="Arial MT"/>
      </rPr>
      <t>(Lines 1 - 2 - 3)</t>
    </r>
  </si>
  <si>
    <t xml:space="preserve">         For HH: Using M&amp;O HH taxes:</t>
  </si>
  <si>
    <t xml:space="preserve">           For HH: Using M&amp;O HH taxes:</t>
  </si>
  <si>
    <t>22-23 COEI ADJ</t>
  </si>
  <si>
    <t>22-23</t>
  </si>
  <si>
    <t>2022-23 Summary of Finances</t>
  </si>
  <si>
    <t>2022-23 M&amp;O Tax Rate</t>
  </si>
  <si>
    <t>2022-23 I&amp;S Tax Collections</t>
  </si>
  <si>
    <t>2022-23 Total Tax Collections</t>
  </si>
  <si>
    <t>2022-23 Total Tax Levy</t>
  </si>
  <si>
    <t>TOTAL  2022-23  FSP/ASF  STATE  AID</t>
  </si>
  <si>
    <t>2022-23 Local M&amp;O Collections</t>
  </si>
  <si>
    <t>2022-23 Local Share for IFA Lease Purchase</t>
  </si>
  <si>
    <t>2022-23 Tier II Detail Report</t>
  </si>
  <si>
    <t>DTR_1 (M&amp;O Collections for Level 1 * 100) / 2021 CPTD</t>
  </si>
  <si>
    <t>Less LR (2021 CPTD / 100) * DTR_1</t>
  </si>
  <si>
    <t>DTR_2 (M&amp;O Collections for Level 2 * 100) / 2021 CPTD</t>
  </si>
  <si>
    <t>Less LR (2021 CPTD / 100) * DTR_2</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</si>
  <si>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</si>
  <si>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</si>
  <si>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</si>
  <si>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</si>
  <si>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</si>
  <si>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</si>
  <si>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2020-21 Rate to Determine Max EDA Limit (Line 2 + Line 4) / (Line 9 / 100)</t>
  </si>
  <si>
    <t>2022-23 Allowed Rate (Lesser of Line 10 or Line 11 or $.29)</t>
  </si>
  <si>
    <t>2022-23 FSP Detail Report</t>
  </si>
  <si>
    <r>
      <t xml:space="preserve">Total Cost of Tier I                                                           </t>
    </r>
    <r>
      <rPr>
        <sz val="12"/>
        <color rgb="FFFF0000"/>
        <rFont val="Arial MT"/>
      </rPr>
      <t>(Link to Tier I Detail Report)</t>
    </r>
  </si>
  <si>
    <r>
      <t xml:space="preserve">Other Programs                                                                        </t>
    </r>
    <r>
      <rPr>
        <sz val="12"/>
        <color rgb="FFFF0000"/>
        <rFont val="Arial MT"/>
      </rPr>
      <t>(Link to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</si>
  <si>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</si>
  <si>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</si>
  <si>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</si>
  <si>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</si>
  <si>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</si>
  <si>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</si>
  <si>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</si>
  <si>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</si>
  <si>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</si>
  <si>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</si>
  <si>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</si>
  <si>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</si>
  <si>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</si>
  <si>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</si>
  <si>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</si>
  <si>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</si>
  <si>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</si>
  <si>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</si>
  <si>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</si>
  <si>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</si>
  <si>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</si>
  <si>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</si>
  <si>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</si>
  <si>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</si>
  <si>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</si>
  <si>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</si>
  <si>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</si>
  <si>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</si>
  <si>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</si>
  <si>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</si>
  <si>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</si>
  <si>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</si>
  <si>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</si>
  <si>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</si>
  <si>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</si>
  <si>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</si>
  <si>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</si>
  <si>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</si>
  <si>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</si>
  <si>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</si>
  <si>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</si>
  <si>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</si>
  <si>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</si>
  <si>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</si>
  <si>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</si>
  <si>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</si>
  <si>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</si>
  <si>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</si>
  <si>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</si>
  <si>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</si>
  <si>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</si>
  <si>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</si>
  <si>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</si>
  <si>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</si>
  <si>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</si>
  <si>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</si>
  <si>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</si>
  <si>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</si>
  <si>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</si>
  <si>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</si>
  <si>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</si>
  <si>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</si>
  <si>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</si>
  <si>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</si>
  <si>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</si>
  <si>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</si>
  <si>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</si>
  <si>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</si>
  <si>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</si>
  <si>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</si>
  <si>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</si>
  <si>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</si>
  <si>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</si>
  <si>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</si>
  <si>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</si>
  <si>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</si>
  <si>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</si>
  <si>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</si>
  <si>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</si>
  <si>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</si>
  <si>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</si>
  <si>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</si>
  <si>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</si>
  <si>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</si>
  <si>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</si>
  <si>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</si>
  <si>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</si>
  <si>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</si>
  <si>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</si>
  <si>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</si>
  <si>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</si>
  <si>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</si>
  <si>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</si>
  <si>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</si>
  <si>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</si>
  <si>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</si>
  <si>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</si>
  <si>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</si>
  <si>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</si>
  <si>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</si>
  <si>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</si>
  <si>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</si>
  <si>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</si>
  <si>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</si>
  <si>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</si>
  <si>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</si>
  <si>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</si>
  <si>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</si>
  <si>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</si>
  <si>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</si>
  <si>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</si>
  <si>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</si>
  <si>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</si>
  <si>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</si>
  <si>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</si>
  <si>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</si>
  <si>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</si>
  <si>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</si>
  <si>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</si>
  <si>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</si>
  <si>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</si>
  <si>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</si>
  <si>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</si>
  <si>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</si>
  <si>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</si>
  <si>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</si>
  <si>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</si>
  <si>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</si>
  <si>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</si>
  <si>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</si>
  <si>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</si>
  <si>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</si>
  <si>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</si>
  <si>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</si>
  <si>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</si>
  <si>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</si>
  <si>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</si>
  <si>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</si>
  <si>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</si>
  <si>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</si>
  <si>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</si>
  <si>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</si>
  <si>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</si>
  <si>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</si>
  <si>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</si>
  <si>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</si>
  <si>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</si>
  <si>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</si>
  <si>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</si>
  <si>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</si>
  <si>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</si>
  <si>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</si>
  <si>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</si>
  <si>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</si>
  <si>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</si>
  <si>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</si>
  <si>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</si>
  <si>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</si>
  <si>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</si>
  <si>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</si>
  <si>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</si>
  <si>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</si>
  <si>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</si>
  <si>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</si>
  <si>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</si>
  <si>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</si>
  <si>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</si>
  <si>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</si>
  <si>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</si>
  <si>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</si>
  <si>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</si>
  <si>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</si>
  <si>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</si>
  <si>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</si>
  <si>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</si>
  <si>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</si>
  <si>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</si>
  <si>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</si>
  <si>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</si>
  <si>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</si>
  <si>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</si>
  <si>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</si>
  <si>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</si>
  <si>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</si>
  <si>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</si>
  <si>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</si>
  <si>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</si>
  <si>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</si>
  <si>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</si>
  <si>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</si>
  <si>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</si>
  <si>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</si>
  <si>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</si>
  <si>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</si>
  <si>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</si>
  <si>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</si>
  <si>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</si>
  <si>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</si>
  <si>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</si>
  <si>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</si>
  <si>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</si>
  <si>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</si>
  <si>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</si>
  <si>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</si>
  <si>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</si>
  <si>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</si>
  <si>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</si>
  <si>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</si>
  <si>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</si>
  <si>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</si>
  <si>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</si>
  <si>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</si>
  <si>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</si>
  <si>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</si>
  <si>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</si>
  <si>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</si>
  <si>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</si>
  <si>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</si>
  <si>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</si>
  <si>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</si>
  <si>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</si>
  <si>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</si>
  <si>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</si>
  <si>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Dalhart ISD</t>
  </si>
  <si>
    <t>Texline ISD</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</si>
  <si>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</si>
  <si>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</si>
  <si>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</si>
  <si>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</si>
  <si>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</si>
  <si>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</si>
  <si>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</si>
  <si>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</si>
  <si>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</si>
  <si>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</si>
  <si>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</si>
  <si>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</si>
  <si>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</si>
  <si>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</si>
  <si>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</si>
  <si>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</si>
  <si>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</si>
  <si>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</si>
  <si>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</si>
  <si>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</si>
  <si>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</si>
  <si>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</si>
  <si>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</si>
  <si>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</si>
  <si>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</si>
  <si>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</si>
  <si>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</si>
  <si>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</si>
  <si>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</si>
  <si>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</si>
  <si>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</si>
  <si>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</si>
  <si>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</si>
  <si>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</si>
  <si>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</si>
  <si>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</si>
  <si>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</si>
  <si>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</si>
  <si>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</si>
  <si>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</si>
  <si>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</si>
  <si>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</si>
  <si>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</si>
  <si>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</si>
  <si>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</si>
  <si>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</si>
  <si>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</si>
  <si>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</si>
  <si>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</si>
  <si>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</si>
  <si>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</si>
  <si>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</si>
  <si>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</si>
  <si>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</si>
  <si>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</si>
  <si>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</si>
  <si>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</si>
  <si>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</si>
  <si>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</si>
  <si>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</si>
  <si>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</si>
  <si>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</si>
  <si>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</si>
  <si>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</si>
  <si>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</si>
  <si>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</si>
  <si>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</si>
  <si>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</si>
  <si>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</si>
  <si>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</si>
  <si>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</si>
  <si>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</si>
  <si>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</si>
  <si>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</si>
  <si>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</si>
  <si>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</si>
  <si>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</si>
  <si>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</si>
  <si>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</si>
  <si>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</si>
  <si>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</si>
  <si>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</si>
  <si>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</si>
  <si>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</si>
  <si>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</si>
  <si>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</si>
  <si>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</si>
  <si>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</si>
  <si>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</si>
  <si>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</si>
  <si>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</si>
  <si>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</si>
  <si>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</si>
  <si>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</si>
  <si>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</si>
  <si>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</si>
  <si>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</si>
  <si>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</si>
  <si>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</si>
  <si>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</si>
  <si>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</si>
  <si>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</si>
  <si>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</si>
  <si>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</si>
  <si>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</si>
  <si>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</si>
  <si>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</si>
  <si>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</si>
  <si>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</si>
  <si>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</si>
  <si>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</si>
  <si>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</si>
  <si>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</si>
  <si>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</si>
  <si>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</si>
  <si>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</si>
  <si>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</si>
  <si>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</si>
  <si>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</si>
  <si>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</si>
  <si>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</si>
  <si>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</si>
  <si>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</si>
  <si>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</si>
  <si>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</si>
  <si>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</si>
  <si>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</si>
  <si>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</si>
  <si>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</si>
  <si>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</si>
  <si>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</si>
  <si>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</si>
  <si>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</si>
  <si>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</si>
  <si>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</si>
  <si>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</si>
  <si>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</si>
  <si>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</si>
  <si>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</si>
  <si>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</si>
  <si>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</si>
  <si>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</si>
  <si>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</si>
  <si>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</si>
  <si>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</si>
  <si>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</si>
  <si>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</si>
  <si>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</si>
  <si>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</si>
  <si>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</si>
  <si>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</si>
  <si>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</si>
  <si>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</si>
  <si>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</si>
  <si>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</si>
  <si>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</si>
  <si>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</si>
  <si>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</si>
  <si>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</si>
  <si>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</si>
  <si>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</si>
  <si>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</si>
  <si>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</si>
  <si>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</si>
  <si>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</si>
  <si>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</si>
  <si>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</si>
  <si>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</si>
  <si>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</si>
  <si>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</si>
  <si>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</si>
  <si>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</si>
  <si>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</si>
  <si>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</si>
  <si>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</si>
  <si>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</si>
  <si>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</si>
  <si>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</si>
  <si>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</si>
  <si>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</si>
  <si>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</si>
  <si>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</si>
  <si>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</si>
  <si>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</si>
  <si>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</si>
  <si>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</si>
  <si>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</si>
  <si>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</si>
  <si>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</si>
  <si>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</si>
  <si>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</si>
  <si>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</si>
  <si>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</si>
  <si>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</si>
  <si>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</si>
  <si>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</si>
  <si>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</si>
  <si>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</si>
  <si>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</si>
  <si>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</si>
  <si>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</si>
  <si>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</si>
  <si>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</si>
  <si>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</si>
  <si>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</si>
  <si>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</si>
  <si>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</si>
  <si>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</si>
  <si>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</si>
  <si>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</si>
  <si>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</si>
  <si>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</si>
  <si>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</si>
  <si>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</si>
  <si>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</si>
  <si>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</si>
  <si>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</si>
  <si>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</si>
  <si>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</si>
  <si>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</si>
  <si>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</si>
  <si>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</si>
  <si>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</si>
  <si>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</si>
  <si>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</si>
  <si>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</si>
  <si>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</si>
  <si>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</si>
  <si>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</si>
  <si>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</si>
  <si>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</si>
  <si>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</si>
  <si>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</si>
  <si>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</si>
  <si>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</si>
  <si>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</si>
  <si>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</si>
  <si>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</si>
  <si>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</si>
  <si>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</si>
  <si>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</si>
  <si>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</si>
  <si>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</si>
  <si>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</si>
  <si>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</si>
  <si>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</si>
  <si>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</si>
  <si>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</si>
  <si>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</si>
  <si>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</si>
  <si>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</si>
  <si>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</si>
  <si>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</si>
  <si>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</si>
  <si>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</si>
  <si>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</si>
  <si>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</si>
  <si>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</si>
  <si>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</si>
  <si>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</si>
  <si>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</si>
  <si>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</si>
  <si>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</si>
  <si>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</si>
  <si>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</si>
  <si>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</si>
  <si>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</si>
  <si>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</si>
  <si>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</si>
  <si>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</si>
  <si>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</si>
  <si>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</si>
  <si>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</si>
  <si>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</si>
  <si>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</si>
  <si>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</si>
  <si>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</si>
  <si>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</si>
  <si>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</si>
  <si>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</si>
  <si>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</si>
  <si>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</si>
  <si>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</si>
  <si>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</si>
  <si>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</si>
  <si>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</si>
  <si>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</si>
  <si>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</si>
  <si>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</si>
  <si>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</si>
  <si>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</si>
  <si>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</si>
  <si>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</si>
  <si>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</si>
  <si>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</si>
  <si>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</si>
  <si>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</si>
  <si>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</si>
  <si>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</si>
  <si>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</si>
  <si>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</si>
  <si>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</si>
  <si>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</si>
  <si>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</si>
  <si>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</si>
  <si>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</si>
  <si>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</si>
  <si>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</si>
  <si>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</si>
  <si>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</si>
  <si>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</si>
  <si>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</si>
  <si>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</si>
  <si>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</si>
  <si>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</si>
  <si>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</si>
  <si>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</si>
  <si>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</si>
  <si>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</si>
  <si>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</si>
  <si>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</si>
  <si>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</si>
  <si>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</si>
  <si>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</si>
  <si>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</si>
  <si>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</si>
  <si>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</si>
  <si>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</si>
  <si>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</si>
  <si>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</si>
  <si>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</si>
  <si>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</si>
  <si>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</si>
  <si>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</si>
  <si>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</si>
  <si>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</si>
  <si>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</si>
  <si>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</si>
  <si>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</si>
  <si>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</si>
  <si>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</si>
  <si>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</si>
  <si>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</si>
  <si>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</si>
  <si>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</si>
  <si>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</si>
  <si>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</si>
  <si>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</si>
  <si>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</si>
  <si>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</si>
  <si>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</si>
  <si>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</si>
  <si>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</si>
  <si>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</si>
  <si>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</si>
  <si>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</si>
  <si>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</si>
  <si>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</si>
  <si>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</si>
  <si>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</si>
  <si>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</si>
  <si>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</si>
  <si>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</si>
  <si>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</si>
  <si>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</si>
  <si>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</si>
  <si>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</si>
  <si>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</si>
  <si>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</si>
  <si>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</si>
  <si>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</si>
  <si>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</si>
  <si>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</si>
  <si>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</si>
  <si>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</si>
  <si>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</si>
  <si>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</si>
  <si>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</si>
  <si>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</si>
  <si>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</si>
  <si>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</si>
  <si>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</si>
  <si>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</si>
  <si>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</si>
  <si>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</si>
  <si>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</si>
  <si>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</si>
  <si>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</si>
  <si>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</si>
  <si>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</si>
  <si>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</si>
  <si>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</si>
  <si>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</si>
  <si>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</si>
  <si>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</si>
  <si>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</si>
  <si>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</si>
  <si>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</si>
  <si>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</si>
  <si>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</si>
  <si>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</si>
  <si>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</si>
  <si>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</si>
  <si>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</si>
  <si>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</si>
  <si>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</si>
  <si>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</si>
  <si>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</si>
  <si>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</si>
  <si>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</si>
  <si>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</si>
  <si>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</si>
  <si>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</si>
  <si>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</si>
  <si>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</si>
  <si>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</si>
  <si>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</si>
  <si>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</si>
  <si>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</si>
  <si>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</si>
  <si>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</si>
  <si>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</si>
  <si>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</si>
  <si>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</si>
  <si>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</si>
  <si>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</si>
  <si>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</si>
  <si>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</si>
  <si>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</si>
  <si>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</si>
  <si>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</si>
  <si>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</si>
  <si>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</si>
  <si>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</si>
  <si>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</si>
  <si>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</si>
  <si>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</si>
  <si>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</si>
  <si>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</si>
  <si>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</si>
  <si>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</si>
  <si>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</si>
  <si>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</si>
  <si>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</si>
  <si>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</si>
  <si>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</si>
  <si>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</si>
  <si>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</si>
  <si>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</si>
  <si>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</si>
  <si>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</si>
  <si>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</si>
  <si>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</si>
  <si>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</si>
  <si>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</si>
  <si>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</si>
  <si>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</si>
  <si>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</si>
  <si>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</si>
  <si>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</si>
  <si>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</si>
  <si>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</si>
  <si>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</si>
  <si>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</si>
  <si>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</si>
  <si>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</si>
  <si>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</si>
  <si>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</si>
  <si>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</si>
  <si>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</si>
  <si>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</si>
  <si>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</si>
  <si>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</si>
  <si>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</si>
  <si>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</si>
  <si>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</si>
  <si>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</si>
  <si>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</si>
  <si>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</si>
  <si>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</si>
  <si>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</si>
  <si>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</si>
  <si>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</si>
  <si>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</si>
  <si>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</si>
  <si>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</si>
  <si>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</si>
  <si>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</si>
  <si>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</si>
  <si>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</si>
  <si>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</si>
  <si>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</si>
  <si>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</si>
  <si>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</si>
  <si>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</si>
  <si>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</si>
  <si>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</si>
  <si>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</si>
  <si>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</si>
  <si>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</si>
  <si>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</si>
  <si>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</si>
  <si>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</si>
  <si>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</si>
  <si>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</si>
  <si>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</si>
  <si>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</si>
  <si>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</si>
  <si>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</si>
  <si>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</si>
  <si>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</si>
  <si>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</si>
  <si>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</si>
  <si>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</si>
  <si>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</si>
  <si>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</si>
  <si>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</si>
  <si>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</si>
  <si>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</si>
  <si>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</si>
  <si>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</si>
  <si>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</si>
  <si>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</si>
  <si>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</si>
  <si>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</si>
  <si>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</si>
  <si>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</si>
  <si>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</si>
  <si>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</si>
  <si>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</si>
  <si>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</si>
  <si>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</si>
  <si>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</si>
  <si>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</si>
  <si>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</si>
  <si>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</si>
  <si>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</si>
  <si>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</si>
  <si>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</si>
  <si>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</si>
  <si>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</si>
  <si>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</si>
  <si>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</si>
  <si>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</si>
  <si>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</si>
  <si>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</si>
  <si>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</si>
  <si>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</si>
  <si>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</si>
  <si>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</si>
  <si>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</si>
  <si>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</si>
  <si>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</si>
  <si>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</si>
  <si>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</si>
  <si>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</si>
  <si>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</si>
  <si>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</si>
  <si>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</si>
  <si>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</si>
  <si>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</si>
  <si>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</si>
  <si>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</si>
  <si>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</si>
  <si>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</si>
  <si>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</si>
  <si>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</si>
  <si>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</si>
  <si>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</si>
  <si>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</si>
  <si>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</si>
  <si>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</si>
  <si>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</si>
  <si>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</si>
  <si>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</si>
  <si>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</si>
  <si>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</si>
  <si>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</si>
  <si>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</si>
  <si>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</si>
  <si>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</si>
  <si>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</si>
  <si>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</si>
  <si>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</si>
  <si>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</si>
  <si>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</si>
  <si>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</si>
  <si>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</si>
  <si>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</si>
  <si>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</si>
  <si>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</si>
  <si>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</si>
  <si>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</si>
  <si>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</si>
  <si>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</si>
  <si>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</si>
  <si>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</si>
  <si>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</si>
  <si>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</si>
  <si>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</si>
  <si>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</si>
  <si>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</si>
  <si>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</si>
  <si>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</si>
  <si>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</si>
  <si>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</si>
  <si>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</si>
  <si>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</si>
  <si>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</si>
  <si>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</si>
  <si>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</si>
  <si>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</si>
  <si>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</si>
  <si>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</si>
  <si>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</si>
  <si>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</si>
  <si>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</si>
  <si>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</si>
  <si>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</si>
  <si>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</si>
  <si>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</si>
  <si>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</si>
  <si>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</si>
  <si>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</si>
  <si>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</si>
  <si>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</si>
  <si>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</si>
  <si>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</si>
  <si>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</si>
  <si>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</si>
  <si>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</si>
  <si>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</si>
  <si>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</si>
  <si>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</si>
  <si>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</si>
  <si>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</si>
  <si>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</si>
  <si>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</si>
  <si>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</si>
  <si>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</si>
  <si>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</si>
  <si>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</si>
  <si>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</si>
  <si>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</si>
  <si>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</si>
  <si>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</si>
  <si>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</si>
  <si>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</si>
  <si>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</si>
  <si>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</si>
  <si>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</si>
  <si>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</si>
  <si>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</si>
  <si>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</si>
  <si>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</si>
  <si>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</si>
  <si>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</si>
  <si>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</si>
  <si>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</si>
  <si>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</si>
  <si>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</si>
  <si>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</si>
  <si>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</si>
  <si>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</si>
  <si>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</si>
  <si>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</si>
  <si>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</si>
  <si>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</si>
  <si>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</si>
  <si>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</si>
  <si>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</si>
  <si>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</si>
  <si>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</si>
  <si>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</si>
  <si>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</si>
  <si>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</si>
  <si>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</si>
  <si>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</si>
  <si>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</si>
  <si>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</si>
  <si>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</si>
  <si>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</si>
  <si>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</si>
  <si>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</si>
  <si>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</si>
  <si>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</si>
  <si>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</si>
  <si>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</si>
  <si>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</si>
  <si>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</si>
  <si>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</si>
  <si>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</si>
  <si>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</si>
  <si>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</si>
  <si>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</si>
  <si>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</si>
  <si>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</si>
  <si>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</si>
  <si>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</si>
  <si>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</si>
  <si>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</si>
  <si>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</si>
  <si>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</si>
  <si>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</si>
  <si>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</si>
  <si>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</si>
  <si>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</si>
  <si>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</si>
  <si>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</si>
  <si>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</si>
  <si>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</si>
  <si>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</si>
  <si>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</si>
  <si>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</si>
  <si>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</si>
  <si>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</si>
  <si>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</si>
  <si>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</si>
  <si>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</si>
  <si>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</si>
  <si>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</si>
  <si>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</si>
  <si>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</si>
  <si>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</si>
  <si>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</si>
  <si>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</si>
  <si>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</si>
  <si>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</si>
  <si>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</si>
  <si>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</si>
  <si>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</si>
  <si>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</si>
  <si>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</si>
  <si>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</si>
  <si>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</si>
  <si>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</si>
  <si>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</si>
  <si>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</si>
  <si>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</si>
  <si>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</si>
  <si>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</si>
  <si>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</si>
  <si>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</si>
  <si>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</si>
  <si>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</si>
  <si>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</si>
  <si>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</si>
  <si>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</si>
  <si>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</si>
  <si>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</si>
  <si>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</si>
  <si>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</si>
  <si>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</si>
  <si>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</si>
  <si>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</si>
  <si>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</si>
  <si>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</si>
  <si>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</si>
  <si>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</si>
  <si>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</si>
  <si>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</si>
  <si>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</si>
  <si>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</si>
  <si>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</si>
  <si>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</si>
  <si>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</si>
  <si>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</si>
  <si>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</si>
  <si>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</si>
  <si>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</si>
  <si>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</si>
  <si>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</si>
  <si>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</si>
  <si>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</si>
  <si>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</si>
  <si>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</si>
  <si>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</si>
  <si>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</si>
  <si>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</si>
  <si>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</si>
  <si>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</si>
  <si>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</si>
  <si>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</si>
  <si>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</si>
  <si>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</si>
  <si>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</si>
  <si>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</si>
  <si>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</si>
  <si>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</si>
  <si>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</si>
  <si>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</si>
  <si>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</si>
  <si>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</si>
  <si>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</si>
  <si>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</si>
  <si>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</si>
  <si>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</si>
  <si>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</si>
  <si>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</si>
  <si>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</si>
  <si>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</si>
  <si>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</si>
  <si>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</si>
  <si>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</si>
  <si>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</si>
  <si>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</si>
  <si>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</si>
  <si>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</si>
  <si>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</si>
  <si>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</si>
  <si>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</si>
  <si>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</si>
  <si>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</si>
  <si>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</si>
  <si>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</si>
  <si>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</si>
  <si>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</si>
  <si>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</si>
  <si>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</si>
  <si>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</si>
  <si>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</si>
  <si>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</si>
  <si>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</si>
  <si>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</si>
  <si>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</si>
  <si>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</si>
  <si>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</si>
  <si>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</si>
  <si>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</si>
  <si>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</si>
  <si>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2023-24</t>
  </si>
  <si>
    <t>23-24 COEI ADJ</t>
  </si>
  <si>
    <t>23-24</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</si>
  <si>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</si>
  <si>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</si>
  <si>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</si>
  <si>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</si>
  <si>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</si>
  <si>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</si>
  <si>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</si>
  <si>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</si>
  <si>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</si>
  <si>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M&amp;O Tax Rate</t>
  </si>
  <si>
    <t>2023-24 I&amp;S Tax Collections</t>
  </si>
  <si>
    <t>2023-24 Total Tax Collections</t>
  </si>
  <si>
    <t>2023-24 Total Tax Levy</t>
  </si>
  <si>
    <t>TOTAL  2023-24  FSP/ASF  STATE  AID</t>
  </si>
  <si>
    <t>2023-24 FSP Detail Report</t>
  </si>
  <si>
    <t>2023-24 Tier II Detail Report</t>
  </si>
  <si>
    <t>DTR_1 (M&amp;O Collections for Level 1 * 100) / 2022 CPTD</t>
  </si>
  <si>
    <t>Less LR (2022 CPTD / 100) * DTR_1</t>
  </si>
  <si>
    <t>DTR_2 (M&amp;O Collections for Level 2 * 100) / 2022 CPTD</t>
  </si>
  <si>
    <t>Less LR (2022 CPTD / 100) * DTR_2</t>
  </si>
  <si>
    <t>2023-24 Local M&amp;O Collections</t>
  </si>
  <si>
    <t>2023-24 Local Share for IFA Lease Purchase</t>
  </si>
  <si>
    <r>
      <t xml:space="preserve">Special Education FTEs                                                          </t>
    </r>
    <r>
      <rPr>
        <sz val="12"/>
        <color rgb="FFFF0000"/>
        <rFont val="Arial MT"/>
      </rPr>
      <t>(Link to Detail Report)</t>
    </r>
  </si>
  <si>
    <r>
      <t xml:space="preserve">599/5829 - Existing Debt Allotment (EDA)                            </t>
    </r>
    <r>
      <rPr>
        <sz val="12"/>
        <color rgb="FFFF0000"/>
        <rFont val="Arial MT"/>
      </rPr>
      <t>(Link to Detail Report)</t>
    </r>
  </si>
  <si>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</si>
  <si>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</si>
  <si>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</si>
  <si>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 xml:space="preserve">NOTE: AD91 &amp; AE91 are only used in the </t>
  </si>
  <si>
    <t>HH calcs to  determine recapture</t>
  </si>
  <si>
    <t>LOHE collections</t>
  </si>
  <si>
    <t>no frac-funding</t>
  </si>
  <si>
    <t>frac-funding</t>
  </si>
  <si>
    <t>USING HH M&amp;O TAXES @ $25K &amp; No Frac Funding:</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</si>
  <si>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</si>
  <si>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</si>
  <si>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</si>
  <si>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</si>
  <si>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</si>
  <si>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</si>
  <si>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</si>
  <si>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</si>
  <si>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must be equal to or greater than Line 10 in order for this template to calculate the full state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</si>
  <si>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</si>
  <si>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</si>
  <si>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</si>
  <si>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</si>
  <si>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</si>
  <si>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</si>
  <si>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</si>
  <si>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</si>
  <si>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</si>
  <si>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</si>
  <si>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</si>
  <si>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</si>
  <si>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</si>
  <si>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</si>
  <si>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</si>
  <si>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</si>
  <si>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</si>
  <si>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</si>
  <si>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</si>
  <si>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</si>
  <si>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</si>
  <si>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</si>
  <si>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</si>
  <si>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</si>
  <si>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</si>
  <si>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</si>
  <si>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</si>
  <si>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</si>
  <si>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</si>
  <si>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</si>
  <si>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</si>
  <si>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</si>
  <si>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</si>
  <si>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</si>
  <si>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</si>
  <si>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</si>
  <si>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</si>
  <si>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</si>
  <si>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</si>
  <si>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</si>
  <si>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</si>
  <si>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</si>
  <si>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</si>
  <si>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</si>
  <si>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</si>
  <si>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</si>
  <si>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</si>
  <si>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</si>
  <si>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</si>
  <si>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</si>
  <si>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</si>
  <si>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</si>
  <si>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</si>
  <si>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</si>
  <si>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</si>
  <si>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</si>
  <si>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</si>
  <si>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</si>
  <si>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</si>
  <si>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</si>
  <si>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</si>
  <si>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</si>
  <si>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</si>
  <si>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</si>
  <si>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</si>
  <si>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</si>
  <si>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</si>
  <si>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</si>
  <si>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</si>
  <si>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</si>
  <si>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</si>
  <si>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</si>
  <si>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</si>
  <si>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</si>
  <si>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</si>
  <si>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</si>
  <si>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</si>
  <si>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</si>
  <si>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</si>
  <si>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</si>
  <si>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</si>
  <si>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</si>
  <si>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</si>
  <si>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</si>
  <si>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</si>
  <si>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</si>
  <si>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</si>
  <si>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</si>
  <si>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</si>
  <si>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</si>
  <si>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</si>
  <si>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</si>
  <si>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</si>
  <si>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</si>
  <si>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</si>
  <si>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</si>
  <si>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</si>
  <si>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</si>
  <si>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</si>
  <si>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</si>
  <si>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</si>
  <si>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</si>
  <si>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</si>
  <si>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</si>
  <si>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</si>
  <si>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</si>
  <si>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</si>
  <si>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</si>
  <si>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</si>
  <si>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</si>
  <si>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</si>
  <si>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</si>
  <si>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</si>
  <si>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</si>
  <si>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</si>
  <si>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</si>
  <si>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</si>
  <si>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</si>
  <si>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</si>
  <si>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</si>
  <si>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</si>
  <si>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</si>
  <si>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</si>
  <si>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</si>
  <si>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</si>
  <si>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</si>
  <si>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</si>
  <si>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</si>
  <si>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</si>
  <si>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</si>
  <si>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</si>
  <si>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</si>
  <si>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</si>
  <si>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</si>
  <si>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</si>
  <si>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</si>
  <si>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</si>
  <si>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</si>
  <si>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</si>
  <si>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</si>
  <si>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</si>
  <si>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</si>
  <si>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</si>
  <si>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</si>
  <si>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</si>
  <si>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</si>
  <si>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</si>
  <si>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</si>
  <si>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</si>
  <si>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</si>
  <si>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</si>
  <si>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</si>
  <si>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</si>
  <si>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</si>
  <si>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</si>
  <si>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</si>
  <si>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</si>
  <si>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</si>
  <si>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</si>
  <si>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</si>
  <si>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</si>
  <si>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</si>
  <si>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</si>
  <si>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</si>
  <si>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</si>
  <si>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88312</t>
  </si>
  <si>
    <t>85580</t>
  </si>
  <si>
    <t>88887</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</si>
  <si>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</si>
  <si>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</si>
  <si>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</si>
  <si>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</si>
  <si>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</si>
  <si>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</si>
  <si>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</si>
  <si>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</si>
  <si>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</si>
  <si>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</si>
  <si>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</si>
  <si>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</si>
  <si>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</si>
  <si>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</si>
  <si>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</si>
  <si>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</si>
  <si>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</si>
  <si>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</si>
  <si>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</si>
  <si>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</si>
  <si>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</si>
  <si>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</si>
  <si>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</si>
  <si>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</si>
  <si>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</si>
  <si>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</si>
  <si>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</si>
  <si>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</si>
  <si>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</si>
  <si>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</si>
  <si>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</si>
  <si>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</si>
  <si>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</si>
  <si>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</si>
  <si>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</si>
  <si>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</si>
  <si>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</si>
  <si>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</si>
  <si>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</si>
  <si>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</si>
  <si>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</si>
  <si>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</si>
  <si>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</si>
  <si>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</si>
  <si>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</si>
  <si>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</si>
  <si>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</si>
  <si>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</si>
  <si>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</si>
  <si>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</si>
  <si>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</si>
  <si>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</si>
  <si>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</si>
  <si>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</si>
  <si>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</si>
  <si>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</si>
  <si>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</si>
  <si>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</si>
  <si>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</si>
  <si>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</si>
  <si>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</si>
  <si>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</si>
  <si>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</si>
  <si>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</si>
  <si>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</si>
  <si>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</si>
  <si>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</si>
  <si>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</si>
  <si>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</si>
  <si>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</si>
  <si>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</si>
  <si>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</si>
  <si>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</si>
  <si>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</si>
  <si>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</si>
  <si>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</si>
  <si>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</si>
  <si>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</si>
  <si>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</si>
  <si>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</si>
  <si>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</si>
  <si>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</si>
  <si>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</si>
  <si>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</si>
  <si>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</si>
  <si>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</si>
  <si>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</si>
  <si>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</si>
  <si>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</si>
  <si>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</si>
  <si>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</si>
  <si>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</si>
  <si>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</si>
  <si>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</si>
  <si>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M&amp;O HH collections per penny</t>
  </si>
  <si>
    <t>SB 945 - $15K</t>
  </si>
  <si>
    <t>SB 945 - $25K</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</si>
  <si>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</si>
  <si>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</si>
  <si>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</si>
  <si>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15-16 ada</t>
  </si>
  <si>
    <t>015906</t>
  </si>
  <si>
    <t>015913</t>
  </si>
  <si>
    <t>015914</t>
  </si>
  <si>
    <t>031916</t>
  </si>
  <si>
    <t>SOUTH TEXAS ISD</t>
  </si>
  <si>
    <t>180901</t>
  </si>
  <si>
    <t>BOYS RANCH ISD</t>
  </si>
  <si>
    <t>Campus # 1</t>
  </si>
  <si>
    <t>Campus # 2</t>
  </si>
  <si>
    <t>Campus # 3</t>
  </si>
  <si>
    <t>Campus # 4</t>
  </si>
  <si>
    <t xml:space="preserve">Data For </t>
  </si>
  <si>
    <t>Career &amp; Technical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</si>
  <si>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</si>
  <si>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</si>
  <si>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</si>
  <si>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</si>
  <si>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</si>
  <si>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</si>
  <si>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</si>
  <si>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</si>
  <si>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</si>
  <si>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</si>
  <si>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</si>
  <si>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</si>
  <si>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TOTAL</t>
  </si>
  <si>
    <t>Tier I</t>
  </si>
  <si>
    <t>Golden Pennies</t>
  </si>
  <si>
    <t>Copper Pennies</t>
  </si>
  <si>
    <t>Avg DTRs</t>
  </si>
  <si>
    <t>EDA Allotment (prorated to $60M appropriation)</t>
  </si>
  <si>
    <t>DISTRICT TIER I</t>
  </si>
  <si>
    <t>CAMPUS TIER I</t>
  </si>
  <si>
    <t>CAMPUS TIER II</t>
  </si>
  <si>
    <t>Campus EDA</t>
  </si>
  <si>
    <t>TOTAL CHARTER FUNDING</t>
  </si>
  <si>
    <t>BA</t>
  </si>
  <si>
    <t xml:space="preserve">campus under TEC Section 11.174 may be entitled to additional funding if the charter school would have received more state funds than the district </t>
  </si>
  <si>
    <t xml:space="preserve">for the students enrolled on that campus. </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</si>
  <si>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</si>
  <si>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</si>
  <si>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</si>
  <si>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Golden Penny Entitlement</t>
  </si>
  <si>
    <t>Copper Penny Entitlement</t>
  </si>
  <si>
    <t>Charter School Facilities Funding (12.106(d))</t>
  </si>
  <si>
    <t>Campus #1</t>
  </si>
  <si>
    <t>Weighted Sp Ed FTEs:</t>
  </si>
  <si>
    <t>(as of this release)</t>
  </si>
  <si>
    <t>Campus #2</t>
  </si>
  <si>
    <t>Campus #3</t>
  </si>
  <si>
    <t>Campus #4</t>
  </si>
  <si>
    <t>Limitation on Assistance (from 'IFA_Limits' tab)</t>
  </si>
  <si>
    <t>Tier II State Aid for "Golden" Level</t>
  </si>
  <si>
    <t>TAX YEAR</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</si>
  <si>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</si>
  <si>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</si>
  <si>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</si>
  <si>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</si>
  <si>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</si>
  <si>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</si>
  <si>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</si>
  <si>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</si>
  <si>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</si>
  <si>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</si>
  <si>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</si>
  <si>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</si>
  <si>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</si>
  <si>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</si>
  <si>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</si>
  <si>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</si>
  <si>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</si>
  <si>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</si>
  <si>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</si>
  <si>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</si>
  <si>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</si>
  <si>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</si>
  <si>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</si>
  <si>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Current Law</t>
  </si>
  <si>
    <t>HB 3:</t>
  </si>
  <si>
    <t>Small &amp; Mid-size Dist Allotment:</t>
  </si>
  <si>
    <t>Small/Mid-size Allotment</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</si>
  <si>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</si>
  <si>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</si>
  <si>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</si>
  <si>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</si>
  <si>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</si>
  <si>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</si>
  <si>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</si>
  <si>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</si>
  <si>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</si>
  <si>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Effectiveness Allotment</t>
  </si>
  <si>
    <t>M&amp;O Collections Attributed to # of Copper Pennies</t>
  </si>
  <si>
    <t>HB 3 WADA</t>
  </si>
  <si>
    <t xml:space="preserve">M&amp;O Revenue From State (not including Fund 599) </t>
  </si>
  <si>
    <t>M&amp;O Revenue From Local Taxes Before Recapture</t>
  </si>
  <si>
    <t>Recapture, if any</t>
  </si>
  <si>
    <t>Reg Prog ADA</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</si>
  <si>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</si>
  <si>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</si>
  <si>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</si>
  <si>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</si>
  <si>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</si>
  <si>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</si>
  <si>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</si>
  <si>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</si>
  <si>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</si>
  <si>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</si>
  <si>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</si>
  <si>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</si>
  <si>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</si>
  <si>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</si>
  <si>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</si>
  <si>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 xml:space="preserve">Residential Placement Facility - Ed Disadvantage </t>
  </si>
  <si>
    <t xml:space="preserve">Residential Placement Facility - Not Ed Disadvantage </t>
  </si>
  <si>
    <t>Comp. Ed. Allotment - Res. Placement Facility - Not Ed. Disadvantaged</t>
  </si>
  <si>
    <t>Comp Ed Enrollment if Census Block Data are not Available</t>
  </si>
  <si>
    <t>College Prep Assessment Reimbursement - Not done at this time</t>
  </si>
  <si>
    <t>(1) ADA &lt; 1,600</t>
  </si>
  <si>
    <t>collections for Tier I (collections @ compressed rate)</t>
  </si>
  <si>
    <t>Data for HB 3Transition Grant</t>
  </si>
  <si>
    <t>19-10 HB 3 state aid</t>
  </si>
  <si>
    <t>19-20 HB3 net local revenue</t>
  </si>
  <si>
    <t>total 19-20 revenue per ADA</t>
  </si>
  <si>
    <t>Early Education Allotment (Gr K thru 3)</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</si>
  <si>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</si>
  <si>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</si>
  <si>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</si>
  <si>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</si>
  <si>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</si>
  <si>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</si>
  <si>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</si>
  <si>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</si>
  <si>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</si>
  <si>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</si>
  <si>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</si>
  <si>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</si>
  <si>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</si>
  <si>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</si>
  <si>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</si>
  <si>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Adjusted Gross Recapture - Tier 1</t>
  </si>
  <si>
    <t>Gross Recapture - Copper Penny Level</t>
  </si>
  <si>
    <t>Katy</t>
  </si>
  <si>
    <t>2018-19 Compressed Rate</t>
  </si>
  <si>
    <t>HB 3 Compressed Rate</t>
  </si>
  <si>
    <t>HB 3 Golden Pennies</t>
  </si>
  <si>
    <t>HB 3 Compressed Copper Pennies</t>
  </si>
  <si>
    <t>Max Rate Without TRE</t>
  </si>
  <si>
    <t>SUBCHAP F</t>
  </si>
  <si>
    <t>103% of 18-19 M&amp;O revenue per ADA</t>
  </si>
  <si>
    <t>19-20 Current Law M&amp;O state aid</t>
  </si>
  <si>
    <t>19-20 Statewide avg</t>
  </si>
  <si>
    <t>lesser of district's or 128% of statewide avg</t>
  </si>
  <si>
    <t>19-20 Net Local Revenue</t>
  </si>
  <si>
    <t>District's 19-20 Current Law M&amp;O revenue per ADA</t>
  </si>
  <si>
    <t>1)</t>
  </si>
  <si>
    <t>2)</t>
  </si>
  <si>
    <t xml:space="preserve">(A) </t>
  </si>
  <si>
    <t>(B)</t>
  </si>
  <si>
    <t xml:space="preserve">It reflects my understanding of the school finance provisions contained in HB 3 and the school finance provisions adopted by </t>
  </si>
  <si>
    <t>Plus: Greater of (A) or (B):</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</si>
  <si>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</si>
  <si>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</si>
  <si>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</si>
  <si>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Tier I LFA</t>
  </si>
  <si>
    <t xml:space="preserve">This template is the property of BOK Financial Securities, Inc. and is subject to </t>
  </si>
  <si>
    <t>18-19 M&amp;O rate</t>
  </si>
  <si>
    <t>19-20 golden pennies</t>
  </si>
  <si>
    <t>19-20 copper pennies after compression</t>
  </si>
  <si>
    <t>18-19 remaining enrichment pennies</t>
  </si>
  <si>
    <t>18-19 golden pennies</t>
  </si>
  <si>
    <t>18-19 copper pennies before compression</t>
  </si>
  <si>
    <t>19-20 total compressed rate</t>
  </si>
  <si>
    <t>19-20 copper pennies</t>
  </si>
  <si>
    <t>19-20 compressed rate up to $1.00 of 18-19 M&amp;O rate</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</si>
  <si>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</si>
  <si>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</si>
  <si>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</si>
  <si>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</si>
  <si>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</si>
  <si>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</si>
  <si>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</si>
  <si>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</si>
  <si>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</si>
  <si>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</si>
  <si>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</si>
  <si>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</si>
  <si>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</si>
  <si>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</si>
  <si>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</si>
  <si>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</si>
  <si>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</si>
  <si>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</si>
  <si>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</si>
  <si>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</si>
  <si>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</si>
  <si>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</si>
  <si>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</si>
  <si>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</si>
  <si>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</si>
  <si>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</si>
  <si>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</si>
  <si>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</si>
  <si>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</si>
  <si>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</si>
  <si>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</si>
  <si>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</si>
  <si>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</si>
  <si>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</si>
  <si>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</si>
  <si>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</si>
  <si>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</si>
  <si>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</si>
  <si>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</si>
  <si>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</si>
  <si>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</si>
  <si>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</si>
  <si>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</si>
  <si>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</si>
  <si>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</si>
  <si>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</si>
  <si>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</si>
  <si>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</si>
  <si>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Property values used in formulas</t>
  </si>
  <si>
    <t>Current-Year</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</si>
  <si>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</si>
  <si>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</si>
  <si>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</si>
  <si>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</si>
  <si>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</si>
  <si>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</si>
  <si>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</si>
  <si>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</si>
  <si>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</si>
  <si>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</si>
  <si>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</si>
  <si>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</si>
  <si>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</si>
  <si>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</si>
  <si>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</si>
  <si>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</si>
  <si>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</si>
  <si>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</si>
  <si>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</si>
  <si>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</si>
  <si>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Allows for alternative assessment instrument to be used in lieu of STAAR</t>
  </si>
  <si>
    <t>per educationally disadvantaged student</t>
  </si>
  <si>
    <t>per non-ed disadvantaged student</t>
  </si>
  <si>
    <t>3rd Grade Language Arts Outcomes Bonus (effective 22-23)</t>
  </si>
  <si>
    <t>School Safety Allotment</t>
  </si>
  <si>
    <t>Tier I 'Excess'</t>
  </si>
  <si>
    <t>Recapture (no more Equalized Wealth Levels)</t>
  </si>
  <si>
    <r>
      <t xml:space="preserve">(1) if current-year values - prior-year values &gt; Growth Limit Percentage: </t>
    </r>
    <r>
      <rPr>
        <b/>
        <sz val="10"/>
        <color rgb="FFFF0000"/>
        <rFont val="Arial MT"/>
      </rPr>
      <t/>
    </r>
  </si>
  <si>
    <t>Special Education: ($6,030 + SDA or MDA per student)</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</si>
  <si>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</si>
  <si>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</si>
  <si>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</si>
  <si>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</si>
  <si>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</si>
  <si>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</si>
  <si>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</si>
  <si>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</si>
  <si>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</si>
  <si>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</si>
  <si>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</si>
  <si>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rate subject to .93 compression</t>
  </si>
  <si>
    <t>Greater of State Share of Tier I or Current Law ASF+HS NIFA; or HB3 ASF</t>
  </si>
  <si>
    <t>Teacher Incentive Allotment (not done at this time)</t>
  </si>
  <si>
    <t>Mentor Program Allotment (not done at this time)</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</si>
  <si>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</si>
  <si>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</si>
  <si>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</si>
  <si>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</si>
  <si>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</si>
  <si>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</si>
  <si>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Certification Examination Reimbursement - Not done at this time</t>
  </si>
  <si>
    <t>&lt; not yet computed</t>
  </si>
  <si>
    <t>PS:</t>
  </si>
  <si>
    <t>Early Education Allotment</t>
  </si>
  <si>
    <t>Early Education ADA</t>
  </si>
  <si>
    <t>128% of Statewide  Avg</t>
  </si>
  <si>
    <t>Difference for Transition Purposes</t>
  </si>
  <si>
    <t>19-20 ADA</t>
  </si>
  <si>
    <t>Lesser of 103% or 128%</t>
  </si>
  <si>
    <t>18-19 ADA</t>
  </si>
  <si>
    <t>18-19 state aid</t>
  </si>
  <si>
    <t>18-19 net M&amp;O taxes</t>
  </si>
  <si>
    <t xml:space="preserve">19-20 DPV </t>
  </si>
  <si>
    <t>Rate to Maintain M&amp;O</t>
  </si>
  <si>
    <t>A</t>
  </si>
  <si>
    <t>B</t>
  </si>
  <si>
    <t>C</t>
  </si>
  <si>
    <t>D</t>
  </si>
  <si>
    <t>E</t>
  </si>
  <si>
    <t>F</t>
  </si>
  <si>
    <t>G</t>
  </si>
  <si>
    <t>18-19 state/local revenue (A + B)</t>
  </si>
  <si>
    <t>18-19 total rev per ADA (C / D)</t>
  </si>
  <si>
    <t>H</t>
  </si>
  <si>
    <t>((E x G) / F) x 100</t>
  </si>
  <si>
    <t>Formula Transition Grant Section 48.277 (a)</t>
  </si>
  <si>
    <t>STATE AID - ALL FUNDS (See below for M&amp;O portion)</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</si>
  <si>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</si>
  <si>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</si>
  <si>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</si>
  <si>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</si>
  <si>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</si>
  <si>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</si>
  <si>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</si>
  <si>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</si>
  <si>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</si>
  <si>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</si>
  <si>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</si>
  <si>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</si>
  <si>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</si>
  <si>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</si>
  <si>
    <t xml:space="preserve">Section 48.252.  Under this provision and based on my understanding, a school district that enters into a contract with a charter school to operate a district </t>
  </si>
  <si>
    <t>HB 3 Reg Prog ADA</t>
  </si>
  <si>
    <t>added C&amp;T for grades 7-12</t>
  </si>
  <si>
    <t xml:space="preserve">School Safety Allotment </t>
  </si>
  <si>
    <t>added school safety allotment</t>
  </si>
  <si>
    <t>fixed 103%</t>
  </si>
  <si>
    <t>fixed Ch 41 HH</t>
  </si>
  <si>
    <t>fixed recapture re: ASF</t>
  </si>
  <si>
    <t>in a P-Tech Program + the FTEs of students in a New Tech Network campus (don't know what that is yet).</t>
  </si>
  <si>
    <t>2) a School Safety Allotment has been added - no new data entry cell required….it is estimated to be $9.72 per Total Refined ADA.</t>
  </si>
  <si>
    <t>ROUND 2 - Additions as follows:</t>
  </si>
  <si>
    <t>ROUND 2 - Corrections as follows:</t>
  </si>
  <si>
    <t>address the lingering issues that are still out there (does 30% ring a bell?)….so sit tight - it will all work out……maybe.</t>
  </si>
  <si>
    <t xml:space="preserve">Reportedly, a 'TO THE ADMINISTRATOR ADDRESSED' letter from TEA will be sent out soon (maybe you've already received it) and will hopefully  </t>
  </si>
  <si>
    <t>what goes in Cell J34 is the FTEs of all C&amp;T students in Grades 7-12…..and what goes in J35 is current law Advanced C&amp;T FTEs + the FTEs of students</t>
  </si>
  <si>
    <t>1) 2 new HB 3 C&amp;T data entry cells: J34 for C&amp;T FTES, Grades 7-12 (bill deleted the Grade 7-12 requirement related to students with disabilities), so</t>
  </si>
  <si>
    <t xml:space="preserve">3) a new 18-19 data enter cell (G78) has been added to bring in the portion of a district's 18-19 M&amp;O tax rate that exceeded the district's  </t>
  </si>
  <si>
    <r>
      <t xml:space="preserve">4) this release also contains my 1st shot at the </t>
    </r>
    <r>
      <rPr>
        <b/>
        <i/>
        <sz val="10"/>
        <rFont val="Arial MT"/>
      </rPr>
      <t>Comparison With Proposed Rates to Last Year's Rates</t>
    </r>
    <r>
      <rPr>
        <b/>
        <sz val="10"/>
        <rFont val="Arial MT"/>
      </rPr>
      <t xml:space="preserve"> that is part of the Notice that you have to publish</t>
    </r>
  </si>
  <si>
    <t>18-19 rollback rate due to Harvey...."Harvey" districts were allowed to exceed their rollback rate without triggering a TRE.</t>
  </si>
  <si>
    <t>now set up to recognize tax effort up to and beyond the new "voter-approval" (rollback) rate.</t>
  </si>
  <si>
    <t>I forgot the math I learned in 5th Grade (chalk yet another one up to old age).</t>
  </si>
  <si>
    <t>CAD credit</t>
  </si>
  <si>
    <t>Net Recapture - Tier I</t>
  </si>
  <si>
    <t>Net Recapture - Copper Penny Level</t>
  </si>
  <si>
    <t>5) the CAD credit has been factored in, so now net recapture is calculated.</t>
  </si>
  <si>
    <t xml:space="preserve">6) the amount of Tier I recapture has been recalculated - the amount of ASF was being counted twice and obviously should not have been. </t>
  </si>
  <si>
    <t>7) the Equalized Wealth Transition Grant was not being calculated at all and now it is, if applicable.</t>
  </si>
  <si>
    <t>8) the 103% that is used in determining the Formula Transition Grant was not factored in correctly (Cell H173 on the 'SOF1920-HB3' tab) - seems</t>
  </si>
  <si>
    <t xml:space="preserve">9) for district's that had a 18-19 M&amp;O rate less than $1.00 and therefore got compressed below the $.93 HB 3 compressed rate, the calculations are </t>
  </si>
  <si>
    <t>Adjustments to Gross Recapture in Order to Maintain Revenue, if applicable</t>
  </si>
  <si>
    <t xml:space="preserve">Rate to Maintain / Notice Data </t>
  </si>
  <si>
    <t>HB 3, The Compromise - Release 2 Dated 6/3/19</t>
  </si>
  <si>
    <t>My Commentary: The Rate to Maintain in my opinion can be very misleading, as the 18-19 funding elements</t>
  </si>
  <si>
    <t>are much different from the 19-20 funding elements.  Prior calculations were more of an apples-to-apples</t>
  </si>
  <si>
    <t>comparison, as 18-19 state/local revenue was computed using the 19-20 funding elements.  That is not</t>
  </si>
  <si>
    <t>the case this year.  So what you have here is an apples-to-oranges comparison, which to me is misleading.</t>
  </si>
  <si>
    <t>The Rate to Maintain is maintaining a lower revenue level than what HB 3 revenue is providing (in most cases),</t>
  </si>
  <si>
    <t xml:space="preserve">and therefore, a lower rate is required to maintain that lower level of revenue.  So have fun explaining that to </t>
  </si>
  <si>
    <t>your taxpayers if asked.</t>
  </si>
  <si>
    <t>(see 'Notice1920' tab and my commentary below the Notice).</t>
  </si>
  <si>
    <t>Special Education Transportation Allotment</t>
  </si>
  <si>
    <t>Career &amp; Tech Transportation Allotment</t>
  </si>
  <si>
    <t>Private Transportation Allotment</t>
  </si>
  <si>
    <t>PYDPV</t>
  </si>
  <si>
    <t>PYMCR</t>
  </si>
  <si>
    <t>From HB 3:</t>
  </si>
  <si>
    <t xml:space="preserve">"E" is the expiration of the exclusion of appraised property value </t>
  </si>
  <si>
    <t>following:</t>
  </si>
  <si>
    <t>property value for the current tax year, which is the sum of the</t>
  </si>
  <si>
    <t>(A) property value that is no longer subject to a limitation on</t>
  </si>
  <si>
    <t>appraised value under Chapter 313 Tax Code; and</t>
  </si>
  <si>
    <t>(B) property value under Section 311.013(n), Tax Code,</t>
  </si>
  <si>
    <t>that is no longer excluded from the calculation of "DPV"</t>
  </si>
  <si>
    <t>after September 1, 2019.</t>
  </si>
  <si>
    <t>MCR</t>
  </si>
  <si>
    <t>% OF VALUE GROWTH</t>
  </si>
  <si>
    <t>NOTE: the amount appropriated may</t>
  </si>
  <si>
    <t xml:space="preserve">not be enough to fund at the $1,000 </t>
  </si>
  <si>
    <t xml:space="preserve">3) </t>
  </si>
  <si>
    <t>Compressed Tax Rate</t>
  </si>
  <si>
    <t>Less: 2020-21 # of Copper Pennies Compressed</t>
  </si>
  <si>
    <t>State Compression %</t>
  </si>
  <si>
    <t>for the preceding tax year that is recognized as taxable</t>
  </si>
  <si>
    <t>from the preceding year because of refinancing or renewal</t>
  </si>
  <si>
    <t>SUMMARY OF TOTAL RECAPTURE:</t>
  </si>
  <si>
    <t>Sec 48.255(b): St Compression % = lesser of:</t>
  </si>
  <si>
    <t>OR:</t>
  </si>
  <si>
    <t>SCP = PYCP x 1.025 / (1 + ECPV)</t>
  </si>
  <si>
    <t>PYCP</t>
  </si>
  <si>
    <t>ECPV</t>
  </si>
  <si>
    <t>SCP =</t>
  </si>
  <si>
    <t>Prior-yr %</t>
  </si>
  <si>
    <t>Sec 48.2551(b): Max Compressed Tax Rate: Lesser of (1) or (2)</t>
  </si>
  <si>
    <t xml:space="preserve">          (1) MCR = (1.025 X ((PYDPV+E) X PYMCR)) / DPV</t>
  </si>
  <si>
    <t>MCR if value growth is les than 2.5%</t>
  </si>
  <si>
    <t>MCR if value growth is equal to or exceeds 2.5%</t>
  </si>
  <si>
    <t>OR, (2) State Compression Rate</t>
  </si>
  <si>
    <t>Min MCR or SCR</t>
  </si>
  <si>
    <t>level</t>
  </si>
  <si>
    <t>allotment for one-county district</t>
  </si>
  <si>
    <t>Formula Transition Grant #1</t>
  </si>
  <si>
    <t>M&amp;O Compressed Rate - Old Law</t>
  </si>
  <si>
    <t>M&amp;O Compressed Rate - HB 3</t>
  </si>
  <si>
    <t># Miles Buses Traveled Transporting Regular Eligible Students &amp; Homeless Students</t>
  </si>
  <si>
    <t>21-22 ADA</t>
  </si>
  <si>
    <t>HB3 21-22 Revenue per ADA</t>
  </si>
  <si>
    <t>(d-1) Expired 20-21</t>
  </si>
  <si>
    <t>HB3 22-23 Revenue per ADA</t>
  </si>
  <si>
    <t>22-23 ADA</t>
  </si>
  <si>
    <t>Current Law 21-22</t>
  </si>
  <si>
    <t>ASAHE</t>
  </si>
  <si>
    <t>Tier I Compressed Rate</t>
  </si>
  <si>
    <t>19-20 remaining "enrichment" pennies</t>
  </si>
  <si>
    <t>Copper Pennies After Compression</t>
  </si>
  <si>
    <t># of copper pennies compressed</t>
  </si>
  <si>
    <t>M&amp;O "Voter-Approval" (Rollback) Rate</t>
  </si>
  <si>
    <t>HB 3, The Compromise - Release 3 Dated 6/13/19</t>
  </si>
  <si>
    <t>ROUND 3 - Additions as follows:</t>
  </si>
  <si>
    <t>1) TEA's letter of 6/11/19 re: Salary Increases lays out the methodology for calculating the long-awaited amount that the 30% applies to and has</t>
  </si>
  <si>
    <t xml:space="preserve">been implemented in this release.  As per the letter, districts "should make good faith efforts to estimate funding under HB 3 using any </t>
  </si>
  <si>
    <r>
      <t xml:space="preserve">readily available data" -- in other words, give it your best shot.  </t>
    </r>
    <r>
      <rPr>
        <b/>
        <sz val="10"/>
        <color rgb="FFFF0000"/>
        <rFont val="Arial MT"/>
      </rPr>
      <t>The calculations can be found on a separate tab labeled, what else, 'The30%'</t>
    </r>
    <r>
      <rPr>
        <b/>
        <sz val="10"/>
        <rFont val="Arial MT"/>
      </rPr>
      <t>.</t>
    </r>
  </si>
  <si>
    <t xml:space="preserve">You now know what your actual ADA and other students counts were for 18-19 and you pretty much know what your 18-19 collections are </t>
  </si>
  <si>
    <t>going to be, so use those for your 18-19 data….then give it your best shot at estimating 19-20 data.</t>
  </si>
  <si>
    <t>2) now that the preliminary list of fast growth districts has been made available, those on the list will have their Fast Growth Allotment</t>
  </si>
  <si>
    <t>calculated automatically without having to change the N switch to Y.  If you want to see if you made the cut, the list is included in that same</t>
  </si>
  <si>
    <r>
      <t xml:space="preserve">letter mentioned above - </t>
    </r>
    <r>
      <rPr>
        <b/>
        <sz val="10"/>
        <color rgb="FFFF0000"/>
        <rFont val="Arial MT"/>
      </rPr>
      <t>keep in mind, it is a preliminary list</t>
    </r>
    <r>
      <rPr>
        <b/>
        <sz val="10"/>
        <rFont val="Arial MT"/>
      </rPr>
      <t>.</t>
    </r>
  </si>
  <si>
    <t xml:space="preserve">3) the new rate per mile applies only to Regular Transportation…as I understand it, Sp. Ed., C&amp;T, and Private transportation will work just  </t>
  </si>
  <si>
    <t xml:space="preserve">like they always have…..I have added data entry cells for those 3 allocations, which you can get off of the Transportation Detail Report on </t>
  </si>
  <si>
    <t>your latest TEA Summary of Finances - keep in mind that the 18-19 Summary is still using 17-18 allocations, since the Route Services Report</t>
  </si>
  <si>
    <t>for 18-19 is still in the works.</t>
  </si>
  <si>
    <t>ROUND 3 - Corrections as follows:</t>
  </si>
  <si>
    <t>4) First my apologies to recapture districts - seems I was still not calculating recapture correctly….so it has been fixed yet again and maybe</t>
  </si>
  <si>
    <t>the 3rd time will be THE charm.</t>
  </si>
  <si>
    <t>5) the ASF rate has been changed to $247.587 - I had been using $200 as a placeholder.</t>
  </si>
  <si>
    <t>6) if you are one of the few 'one-county districts' with less than 300 ADA, your Small/Mid-size Allotment has been fixed.</t>
  </si>
  <si>
    <t>PS: some of you have noticed that the "SCE" printout that was linked to the letter mentioned in #1 above displayed the data in reverse</t>
  </si>
  <si>
    <t>order from the way I have displayed it, meaning that Block 1 on that printout displayed data for the highest weighted group and so on</t>
  </si>
  <si>
    <t xml:space="preserve">down to the least weighted group. I grouped the blocks in order of least to greatest based on this language in the bill: </t>
  </si>
  <si>
    <r>
      <t>(</t>
    </r>
    <r>
      <rPr>
        <i/>
        <sz val="12"/>
        <rFont val="Times New Roman"/>
        <family val="1"/>
      </rPr>
      <t>d) The weights assigned to the five tiers of the index</t>
    </r>
  </si>
  <si>
    <t>established under Subsection (c) are, from least to most severe</t>
  </si>
  <si>
    <t>economic disadvantage, 0.225, 0.2375, 0.25, 0.2625, and 0.275.</t>
  </si>
  <si>
    <t>So be careful if you use the data on that printout and make sure you enter that data in the right place.</t>
  </si>
  <si>
    <t>PS2: I have started to work on the 'normal' template (nothing normal about it) that goes thru 23-24…..at the very least, it will have the</t>
  </si>
  <si>
    <t>20-21 calcs as best as I can figure them out.</t>
  </si>
  <si>
    <t xml:space="preserve">&lt;= Enter the district's adopted M&amp;O tax rate for the applicable school year.  </t>
  </si>
  <si>
    <r>
      <t xml:space="preserve">&lt;= Enter the estimated M&amp;O taxes to be collected (including frozen levies) for the applicable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</si>
  <si>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&lt;= Enter the estimated # of miles buses will travel transporting regular eligible students + homeless students.</t>
  </si>
  <si>
    <t>&lt;= Enter the latest allocation (you can use the prior year allocation if the current year's allotment is not known at this time).</t>
  </si>
  <si>
    <t xml:space="preserve">&lt;= change to Y if district is the only district in the county.  </t>
  </si>
  <si>
    <t xml:space="preserve">&lt;= change to Y only if district is classified as rural by TEA.  </t>
  </si>
  <si>
    <t xml:space="preserve">&lt;= This cell is calculated for you. </t>
  </si>
  <si>
    <t>HB3 23-24 Revenue per ADA</t>
  </si>
  <si>
    <t>23-24 ADA</t>
  </si>
  <si>
    <t xml:space="preserve">1) for districts that are relying on the Formula Transition Grant to get them through, Grant #2 has now been computed, hopefully (but no guarantees - at </t>
  </si>
  <si>
    <t>folks that are relying on the #2 Grant from going into shock in 2 years, (d-1) expires at the end of 20-21, so beware.</t>
  </si>
  <si>
    <t xml:space="preserve">least not yet) in accordance with the not-so-easy-to-understand (for me anyway) language in Section 48.277 (d-1) of the bill.  In order to prevent you </t>
  </si>
  <si>
    <t xml:space="preserve">2) you will also notice that this release looks nothing like the previous ones - for you long-range planners out there, you can now determine what </t>
  </si>
  <si>
    <t>happens thru 23-24, which coincidently is when the Formula Transition Grant #1 expires, so for you folks, again beware (remember ASATR?).  Because</t>
  </si>
  <si>
    <t>of Grant #1, old law (before HB 3) has to be calculated each year thru 23-24 and thus, some of the data inputs require both old law and new law entries.</t>
  </si>
  <si>
    <t>PS: the 'Report-SOF' tabs have not been updated yet, since I do not know what TEA's Summary of Finances is going to look like with all the changes</t>
  </si>
  <si>
    <t>brought on by this much simplified system (if any of you believe that, come see me, as I've got some ocean-front property for sale).</t>
  </si>
  <si>
    <t>ROUND 4 - Corrections as follows:</t>
  </si>
  <si>
    <t>ROUND 4 - Additions as follows:</t>
  </si>
  <si>
    <t xml:space="preserve">3) the Formula Transition Grant and the Wealth Equalization Transition Grant have now been added to the district's 19-20 HB 3 revenue on the </t>
  </si>
  <si>
    <t>3) more 2019 "T" values are now required, again because of having to calculate old law thru 23-24.</t>
  </si>
  <si>
    <t>'The30%' tab.</t>
  </si>
  <si>
    <t>That's it for now…..as always, stay tuned for further developments, as there are likely to be some.</t>
  </si>
  <si>
    <t>HB 3, The Compromise - Release 4 Dated 6/27/19</t>
  </si>
  <si>
    <t>19-20 Old Law State/Local Revenue per ADA</t>
  </si>
  <si>
    <t>103% of 19-20 Old Law State/Local Revenue per ADA</t>
  </si>
  <si>
    <t>Estimated Statewide Average Old Law 19-20 State/Local Revenue per ADA</t>
  </si>
  <si>
    <t>128% of Statewide Old Law 19-20 State/Local Revenue per ADA</t>
  </si>
  <si>
    <t>Old Law 19-20 State/Local Revenue per ADA</t>
  </si>
  <si>
    <t>103% of Old Law 19-20 State/Local Revenue per ADA</t>
  </si>
  <si>
    <t>1) on the Calc Data tab, a typo in one of the formulas - instead of typing in G12, I typed G1, which obviously was wrong.</t>
  </si>
  <si>
    <t>HB 3, The Compromise - Release 5 Dated 6/28/19</t>
  </si>
  <si>
    <t>My apologies for the inconvenience - one of these days I will get it right…..maybe……hope nothing else pops up today - have a good 7/4 week.</t>
  </si>
  <si>
    <t>3) for districts that get the sparsity adjustment (less than 130 ADA), corrections have been made - when the 17-18 column was deleted, some of the</t>
  </si>
  <si>
    <t>ROUND 5 - had to correct a some dumb mistakes as follows:</t>
  </si>
  <si>
    <t>2) a wrong cell reference on the SOF2223-HB 3 tab……you have Amanda at Gonzales ISD to thank for 1) &amp; 2).</t>
  </si>
  <si>
    <t>cell references no longer worked, so 18-19 was not calculating…..and you can thank Maggie at Region 3 for this one.</t>
  </si>
  <si>
    <t>College, Career, or Military Readiness Outcomes Bonus</t>
  </si>
  <si>
    <t>Tuition Allotment for Districts Not Offering All Grade Levels</t>
  </si>
  <si>
    <t>Tuition Allotment for Districts Not Offering All Grades</t>
  </si>
  <si>
    <t>Career, College, or Military Readiness - Educationally Disadvantaged Graduates</t>
  </si>
  <si>
    <t>Career, College, or Military Readiness - Non-Educationally Disadvantaged Graduates</t>
  </si>
  <si>
    <t>Career, College, or Military Readiness - Special Ed. Graduates</t>
  </si>
  <si>
    <t>ROUND 6 - Additions as follows:</t>
  </si>
  <si>
    <t>you try to determine your own counts, good luck!</t>
  </si>
  <si>
    <t>1) the College, Career, or Military Readiness Outcomes Bonus has been added, requiring 3 new data entries, only because TEA's template has it</t>
  </si>
  <si>
    <t xml:space="preserve">2) Bilingual ADA has been broken out between old law and new law, again because of the need to calculate old law thru 23-24 for the Formula </t>
  </si>
  <si>
    <t>Transition Grant.</t>
  </si>
  <si>
    <t>ROUND 6 - correcting dumb mistakes continues:</t>
  </si>
  <si>
    <t>4) this only applies to districts that do not offer all grades - your Tuition Allotment has been moved from the Other Program category into Tier I.</t>
  </si>
  <si>
    <t xml:space="preserve">6) various other fixes were needed in the out years, so I won't go into detail - if you're like me, most of you are only focused on the present anyway (old </t>
  </si>
  <si>
    <t>5) old law Local Share of Tier I was using current values instead of prior-year values.</t>
  </si>
  <si>
    <t>included and some of you are comparing that template to this one.  You should probably use their estimated counts of graduates - all I can say, if</t>
  </si>
  <si>
    <t>HB 3, The Compromise - Release 6 Dated 7/9/19</t>
  </si>
  <si>
    <t>folks like me tend not to look ahead - the long and winding road doesn't stretch all that far any more).</t>
  </si>
  <si>
    <t xml:space="preserve">3) the last of the "T" values (T9) has been opened up for data entry - needed it for ASAHE for Facilities under old law, which I think survived (ASAHE for </t>
  </si>
  <si>
    <t>M&amp;O did not).</t>
  </si>
  <si>
    <t>HB 3, The Compromise - Release 7 Dated 7/29/19</t>
  </si>
  <si>
    <t>2) the 18-19 Hardship Grant that several of you got has now been added to your 18-19 revenue for the purpose of the 30%.</t>
  </si>
  <si>
    <t xml:space="preserve">3) on the 'HB3-RollbackRates' tab, beginning with 20-21, corrections have been made to the calculations on Row 8. On that same tab, </t>
  </si>
  <si>
    <t>starting with 21-22, the I&amp;S rates that show up were off by a year, so that's been fixed.</t>
  </si>
  <si>
    <t>1) the 18-19 per capita rate has been updated to reflect TEA's latest rate - it is now $486.231, up from $459.764.</t>
  </si>
  <si>
    <t>ROUND 7 - corrections/updates:</t>
  </si>
  <si>
    <t>Avg Basic Allotment</t>
  </si>
  <si>
    <t>Small/Mid-Size Allotment</t>
  </si>
  <si>
    <t>Compensatory Ed Enrollment - Block 1</t>
  </si>
  <si>
    <t>Compensatory Ed Enrollment - Block 2</t>
  </si>
  <si>
    <t>Compensatory Ed Enrollment - Block 3</t>
  </si>
  <si>
    <t>Compensatory Ed Enrollment - Block 4</t>
  </si>
  <si>
    <t>Compensatory Ed Enrollment - Block 5</t>
  </si>
  <si>
    <t>Bilingual ADA - Not in Dual Language Program</t>
  </si>
  <si>
    <t>Bilingual ADA - In Dual Language Program</t>
  </si>
  <si>
    <t>Bilingual ADA - Not ESL In Dual Language Program</t>
  </si>
  <si>
    <t>Avg Small/Mid-size Factor</t>
  </si>
  <si>
    <t>AVG BA</t>
  </si>
  <si>
    <t>Avg EDA DTR</t>
  </si>
  <si>
    <t>Current Yield</t>
  </si>
  <si>
    <t>4) the tabs labeled 'DistCharter-Data1920' and 'DistCharter-Funding1920' have been updated to reflect HB 3….these tabs only apply</t>
  </si>
  <si>
    <t>if the district contracts with a charter school to operate a campus under TEC Section 11.174.</t>
  </si>
  <si>
    <t xml:space="preserve">5) under the heading of 'COME ON, MAN' (non-ESPN fans will not get it): issues have been raised as to how many decimal places districts </t>
  </si>
  <si>
    <t xml:space="preserve">should carry out the tax rates…3, 4, 5, 6 etc.  From what I understand, districts can carry the rates out to as many decimal places as they </t>
  </si>
  <si>
    <t xml:space="preserve">deem appropriate (probably should consult with your school attorney)……it is not a TEA decision as to how many decimal places rates </t>
  </si>
  <si>
    <t xml:space="preserve">should be carried out to.  For example, a district that was at $1.17 in 18-19 has a rollback rate of $1.06835024...and on and on and on, so </t>
  </si>
  <si>
    <t>where does one stop?  And does it really matter THAT MUCH whether the rate is $1.0683 or $1.06835 or $1.068350. etc. etc.? COME ON, MAN!</t>
  </si>
  <si>
    <t>In effort to appease most (hopefully), I have changed my decimal places from rounding to 4 places to just using 5, period.  If there is some law</t>
  </si>
  <si>
    <t>somewhere that specifies how many decimal places, please enlighten me.</t>
  </si>
  <si>
    <t>Also, some folks that are getting the Formula Transition Grant have noticed that the grant that this template calculates and the one that TEA's</t>
  </si>
  <si>
    <t>data entered are correct).</t>
  </si>
  <si>
    <t xml:space="preserve">template calculates do not match.  TEA is aware of the issue - as far as I know, the grant that this template calculates is correct (assuming the </t>
  </si>
  <si>
    <t>State Certified Property Value ("T8" value) @ $25K Exemption</t>
  </si>
  <si>
    <t>ROUND 8 - corrections/updates:</t>
  </si>
  <si>
    <t>were used for EDA &amp; IFA purposes for districts that have Chapter 313 agreements…..so I am now having to bring in another set of 'T' values, as you</t>
  </si>
  <si>
    <t>will see (T8 &amp; T7)……..for districts that do not have a Ch 313 agreement, the T8 value will be the same as the T2 value and the T7 value will be the</t>
  </si>
  <si>
    <t xml:space="preserve">same as the T1 value…...with these 2 additions, I now have all my 'T's crossed and hopefully have all my 'i's dotted as well, so you don't have to hear </t>
  </si>
  <si>
    <t>from me for a while (I know you're thinking: "yeah right").</t>
  </si>
  <si>
    <t xml:space="preserve">CPTD Value for Applicable Year </t>
  </si>
  <si>
    <t>State Certified Property Value ("T7" value) @ $15K Exemption</t>
  </si>
  <si>
    <t>ASGN T7</t>
  </si>
  <si>
    <t>T7 @ $15K</t>
  </si>
  <si>
    <t>ASGN T8</t>
  </si>
  <si>
    <t>T8 @ $25K</t>
  </si>
  <si>
    <t>ROUND 8 - Additions as follows:</t>
  </si>
  <si>
    <t>1) for those few districts that contracted with a charter school to operate at least one of its campuses during 18-19, those tabs have been resurrected.</t>
  </si>
  <si>
    <t>2) OK, I told you all old age is setting in - can't remember what happened last week much less back to 14-15….that was the last year the "T8" values</t>
  </si>
  <si>
    <t>It has been determined that the revenue the district received for doing so is to be included as part of the 18-19 revenue for the 30%....same goes for</t>
  </si>
  <si>
    <t>HB 3, The Compromise - Release 8 Dated 8/5/19</t>
  </si>
  <si>
    <t xml:space="preserve">3) and in the Carole King's "It's Too Late" category (most of you youngsters are thinking 'who's that'?), it may be too late, but…...on the Notice tab, </t>
  </si>
  <si>
    <t>the Rate to Maintain under the I&amp;S column and the State Revenue per Student column was using prior-year values instead of current-year values for</t>
  </si>
  <si>
    <t>EDA &amp; IFA, so that's why the rates may have looked odd to some…..at least you now know why.</t>
  </si>
  <si>
    <t>the revenue the district will receive for contracting with a charter school in 19-20 - that revenue is now included as part of the revenue for the 30%.</t>
  </si>
  <si>
    <t>2021 Property Value With $25K Homestead Exemption (T8)</t>
  </si>
  <si>
    <t>2021 Property Value With $15K Homestead Exemption (T7)</t>
  </si>
  <si>
    <t>Less: Dropout Recovery</t>
  </si>
  <si>
    <t>Less: College Preg Reimbursement</t>
  </si>
  <si>
    <t>Less: Certificaion Exam Reimb.</t>
  </si>
  <si>
    <t>2020 State Certified Property Value ("T2" value)</t>
  </si>
  <si>
    <t xml:space="preserve">Gross M&amp;O Rev From Local Taxes </t>
  </si>
  <si>
    <t>Tier 1 Recapture</t>
  </si>
  <si>
    <t>Recapture - Copper Penny Level</t>
  </si>
  <si>
    <t>Net M&amp;O Revenue From Local Taxes</t>
  </si>
  <si>
    <t>Tier I Recapture</t>
  </si>
  <si>
    <t xml:space="preserve">Line 10 / Line 11 = </t>
  </si>
  <si>
    <t xml:space="preserve">Adjustment to ABA (1 - Line 12) </t>
  </si>
  <si>
    <t>Adj Total Cost (Line 9 x Line 13)</t>
  </si>
  <si>
    <t>Threshold %</t>
  </si>
  <si>
    <t>Note: Thresholds are estimates from TEA as of 8/9/19</t>
  </si>
  <si>
    <t>Recapture - Copper Penny Tier II Level</t>
  </si>
  <si>
    <t>generated by TEA on the "DPE" side.  "LPE" data/side is not on this report.</t>
  </si>
  <si>
    <t>003801</t>
  </si>
  <si>
    <t>013801</t>
  </si>
  <si>
    <t>014801</t>
  </si>
  <si>
    <t>014803</t>
  </si>
  <si>
    <t>014804</t>
  </si>
  <si>
    <t>015801</t>
  </si>
  <si>
    <t>015802</t>
  </si>
  <si>
    <t>015805</t>
  </si>
  <si>
    <t>015806</t>
  </si>
  <si>
    <t>015807</t>
  </si>
  <si>
    <t>015808</t>
  </si>
  <si>
    <t>015809</t>
  </si>
  <si>
    <t>015814</t>
  </si>
  <si>
    <t>015815</t>
  </si>
  <si>
    <t>015822</t>
  </si>
  <si>
    <t>015825</t>
  </si>
  <si>
    <t>015827</t>
  </si>
  <si>
    <t>015828</t>
  </si>
  <si>
    <t>015830</t>
  </si>
  <si>
    <t>015831</t>
  </si>
  <si>
    <t>015833</t>
  </si>
  <si>
    <t>015834</t>
  </si>
  <si>
    <t>015835</t>
  </si>
  <si>
    <t>015836</t>
  </si>
  <si>
    <t>015838</t>
  </si>
  <si>
    <t>015839</t>
  </si>
  <si>
    <t>021803</t>
  </si>
  <si>
    <t>021805</t>
  </si>
  <si>
    <t>031505</t>
  </si>
  <si>
    <t>UNIVERSITY OF TEXAS RIO GRANDE VALLEY</t>
  </si>
  <si>
    <t>043801</t>
  </si>
  <si>
    <t>043802</t>
  </si>
  <si>
    <t>046802</t>
  </si>
  <si>
    <t>057802</t>
  </si>
  <si>
    <t>057803</t>
  </si>
  <si>
    <t>057804</t>
  </si>
  <si>
    <t>057805</t>
  </si>
  <si>
    <t>057806</t>
  </si>
  <si>
    <t>057807</t>
  </si>
  <si>
    <t>057808</t>
  </si>
  <si>
    <t>057809</t>
  </si>
  <si>
    <t>057810</t>
  </si>
  <si>
    <t>057813</t>
  </si>
  <si>
    <t>057814</t>
  </si>
  <si>
    <t>057816</t>
  </si>
  <si>
    <t>057819</t>
  </si>
  <si>
    <t>057827</t>
  </si>
  <si>
    <t>057828</t>
  </si>
  <si>
    <t>057829</t>
  </si>
  <si>
    <t>057830</t>
  </si>
  <si>
    <t>057831</t>
  </si>
  <si>
    <t>057833</t>
  </si>
  <si>
    <t>057834</t>
  </si>
  <si>
    <t>057835</t>
  </si>
  <si>
    <t>057836</t>
  </si>
  <si>
    <t>057839</t>
  </si>
  <si>
    <t>057840</t>
  </si>
  <si>
    <t>057841</t>
  </si>
  <si>
    <t>057844</t>
  </si>
  <si>
    <t>057845</t>
  </si>
  <si>
    <t>057846</t>
  </si>
  <si>
    <t>057847</t>
  </si>
  <si>
    <t>057848</t>
  </si>
  <si>
    <t>057849</t>
  </si>
  <si>
    <t>057850</t>
  </si>
  <si>
    <t>057851</t>
  </si>
  <si>
    <t>061501</t>
  </si>
  <si>
    <t>UNIVERSITY OF NORTH TEXAS</t>
  </si>
  <si>
    <t>061802</t>
  </si>
  <si>
    <t>061804</t>
  </si>
  <si>
    <t>061805</t>
  </si>
  <si>
    <t>068802</t>
  </si>
  <si>
    <t>068803</t>
  </si>
  <si>
    <t>070801</t>
  </si>
  <si>
    <t>071801</t>
  </si>
  <si>
    <t>071803</t>
  </si>
  <si>
    <t>071804</t>
  </si>
  <si>
    <t>071806</t>
  </si>
  <si>
    <t>071807</t>
  </si>
  <si>
    <t>071809</t>
  </si>
  <si>
    <t>071810</t>
  </si>
  <si>
    <t>072801</t>
  </si>
  <si>
    <t>072802</t>
  </si>
  <si>
    <t>084802</t>
  </si>
  <si>
    <t>084804</t>
  </si>
  <si>
    <t>092801</t>
  </si>
  <si>
    <t>101802</t>
  </si>
  <si>
    <t>101803</t>
  </si>
  <si>
    <t>101804</t>
  </si>
  <si>
    <t>101806</t>
  </si>
  <si>
    <t>101807</t>
  </si>
  <si>
    <t>101810</t>
  </si>
  <si>
    <t>101811</t>
  </si>
  <si>
    <t>101814</t>
  </si>
  <si>
    <t>101815</t>
  </si>
  <si>
    <t>101819</t>
  </si>
  <si>
    <t>101821</t>
  </si>
  <si>
    <t>101828</t>
  </si>
  <si>
    <t>101837</t>
  </si>
  <si>
    <t>101838</t>
  </si>
  <si>
    <t>101840</t>
  </si>
  <si>
    <t>101842</t>
  </si>
  <si>
    <t>101845</t>
  </si>
  <si>
    <t>101846</t>
  </si>
  <si>
    <t>101847</t>
  </si>
  <si>
    <t>101849</t>
  </si>
  <si>
    <t>101853</t>
  </si>
  <si>
    <t>101855</t>
  </si>
  <si>
    <t>101856</t>
  </si>
  <si>
    <t>101858</t>
  </si>
  <si>
    <t>101859</t>
  </si>
  <si>
    <t>101861</t>
  </si>
  <si>
    <t>101862</t>
  </si>
  <si>
    <t>101864</t>
  </si>
  <si>
    <t>101868</t>
  </si>
  <si>
    <t>101870</t>
  </si>
  <si>
    <t>101871</t>
  </si>
  <si>
    <t>101872</t>
  </si>
  <si>
    <t>101873</t>
  </si>
  <si>
    <t>101874</t>
  </si>
  <si>
    <t>101875</t>
  </si>
  <si>
    <t>101876</t>
  </si>
  <si>
    <t>105801</t>
  </si>
  <si>
    <t>105802</t>
  </si>
  <si>
    <t>105803</t>
  </si>
  <si>
    <t>108802</t>
  </si>
  <si>
    <t>108804</t>
  </si>
  <si>
    <t>108807</t>
  </si>
  <si>
    <t>108808</t>
  </si>
  <si>
    <t>108809</t>
  </si>
  <si>
    <t>111801</t>
  </si>
  <si>
    <t>123503</t>
  </si>
  <si>
    <t>TEXAS ACADEMY OF LEADERSHIP IN THE HUMANITIES</t>
  </si>
  <si>
    <t>123803</t>
  </si>
  <si>
    <t>123805</t>
  </si>
  <si>
    <t>123807</t>
  </si>
  <si>
    <t>126801</t>
  </si>
  <si>
    <t>130801</t>
  </si>
  <si>
    <t>152802</t>
  </si>
  <si>
    <t>152803</t>
  </si>
  <si>
    <t>152806</t>
  </si>
  <si>
    <t>161801</t>
  </si>
  <si>
    <t>161802</t>
  </si>
  <si>
    <t>161807</t>
  </si>
  <si>
    <t>165802</t>
  </si>
  <si>
    <t>170801</t>
  </si>
  <si>
    <t>174801</t>
  </si>
  <si>
    <t>178801</t>
  </si>
  <si>
    <t>178807</t>
  </si>
  <si>
    <t>178808</t>
  </si>
  <si>
    <t>183801</t>
  </si>
  <si>
    <t>184801</t>
  </si>
  <si>
    <t>193801</t>
  </si>
  <si>
    <t>212801</t>
  </si>
  <si>
    <t>212804</t>
  </si>
  <si>
    <t>213801</t>
  </si>
  <si>
    <t>220801</t>
  </si>
  <si>
    <t>220802</t>
  </si>
  <si>
    <t>220809</t>
  </si>
  <si>
    <t>220810</t>
  </si>
  <si>
    <t>220811</t>
  </si>
  <si>
    <t>220814</t>
  </si>
  <si>
    <t>220815</t>
  </si>
  <si>
    <t>220817</t>
  </si>
  <si>
    <t>220819</t>
  </si>
  <si>
    <t>221801</t>
  </si>
  <si>
    <t>226801</t>
  </si>
  <si>
    <t>227622</t>
  </si>
  <si>
    <t>TEXAS JUVENILE JUSTICE DEPARTMENT</t>
  </si>
  <si>
    <t>227803</t>
  </si>
  <si>
    <t>227804</t>
  </si>
  <si>
    <t>227805</t>
  </si>
  <si>
    <t>227806</t>
  </si>
  <si>
    <t>227814</t>
  </si>
  <si>
    <t>227816</t>
  </si>
  <si>
    <t>227817</t>
  </si>
  <si>
    <t>227819</t>
  </si>
  <si>
    <t>227820</t>
  </si>
  <si>
    <t>227821</t>
  </si>
  <si>
    <t>227824</t>
  </si>
  <si>
    <t>227825</t>
  </si>
  <si>
    <t>227826</t>
  </si>
  <si>
    <t>227827</t>
  </si>
  <si>
    <t>227828</t>
  </si>
  <si>
    <t>227829</t>
  </si>
  <si>
    <t>227905</t>
  </si>
  <si>
    <t>TEXAS SCH FOR THE BLIND &amp; VISUALLY IMPAIRED</t>
  </si>
  <si>
    <t>227906</t>
  </si>
  <si>
    <t>TEXAS SCH FOR THE DEAF</t>
  </si>
  <si>
    <t>234801</t>
  </si>
  <si>
    <t>236801</t>
  </si>
  <si>
    <t>236802</t>
  </si>
  <si>
    <t>236903</t>
  </si>
  <si>
    <t>WINDHAM SCHOOL DISTRICT</t>
  </si>
  <si>
    <t>240503</t>
  </si>
  <si>
    <t>TEXAS A&amp;M INTERNATIONAL UNIVERSITY ISD</t>
  </si>
  <si>
    <t>240801</t>
  </si>
  <si>
    <t>246801</t>
  </si>
  <si>
    <t>246802</t>
  </si>
  <si>
    <t>HB 3 Chapter 49 (Recapture) Status:</t>
  </si>
  <si>
    <t xml:space="preserve">District Basic Allotment                                                        </t>
  </si>
  <si>
    <t>ASF ADA (Prior-year ADA)</t>
  </si>
  <si>
    <t>Tier I Subchapter B &amp; C  Allotments</t>
  </si>
  <si>
    <t>11-Regular Program Allotment 48.051</t>
  </si>
  <si>
    <t>Small and Mid-size Allotment 48.101</t>
  </si>
  <si>
    <t>23-Total Special Education Adjusted Allotment 48.102 (Spend 55%)</t>
  </si>
  <si>
    <t>24-Total Comp Ed Allotment 48.104 (Spend 55%)</t>
  </si>
  <si>
    <t>25-Total Bilingual Education Allotment 48.105 (Spend 55%)</t>
  </si>
  <si>
    <t>22-Total Career &amp; Technology Allotment 48.106 (Spend 55%)</t>
  </si>
  <si>
    <t>11-Public Education Grant 48.107</t>
  </si>
  <si>
    <t>Fast Growth Allotment 48.111</t>
  </si>
  <si>
    <t>Teacher Incentive Allotment 48.112</t>
  </si>
  <si>
    <t>Mentor Program Allotment 48.114</t>
  </si>
  <si>
    <t>School Safety Allotment 42.168</t>
  </si>
  <si>
    <t>Tier I Subchapter D  Allotments</t>
  </si>
  <si>
    <t>99-Total Transportation Allotment 48.151</t>
  </si>
  <si>
    <t>99-New Instructional Facilities Allotment (NIFA) 48.152</t>
  </si>
  <si>
    <t>Dropout Recovery and Residential Placement Facility Allotment 48.153</t>
  </si>
  <si>
    <t>Tuition Allotment for Districts Not Offering All Grade Levels 48.154</t>
  </si>
  <si>
    <t>College Preparation Assesment Reimbursement 48.155</t>
  </si>
  <si>
    <t>Certification Examination Reimbursement 48.156</t>
  </si>
  <si>
    <t>Foundation School Program (FSP) State Funding</t>
  </si>
  <si>
    <t>State Aid by Fund Code / Object Code - Funding Source</t>
  </si>
  <si>
    <t>M&amp;O State Aid</t>
  </si>
  <si>
    <t>I&amp;S State Aid</t>
  </si>
  <si>
    <t>Local Revenue in Excess of Entitlement</t>
  </si>
  <si>
    <t>Less: Formula Transition Grant Funding Credit Against Recapture (if applicable)</t>
  </si>
  <si>
    <t xml:space="preserve">M&amp;O Rev From State (not including Fund 599 &amp; I&amp;S Hold Harmless) </t>
  </si>
  <si>
    <t>Chapter 41/49 Data</t>
  </si>
  <si>
    <t>Credit Against Recapture</t>
  </si>
  <si>
    <t>&lt; includes Formula Transition Grant &amp; Equalized Wealth Transition Grant</t>
  </si>
  <si>
    <t>Not known yet</t>
  </si>
  <si>
    <t>2021 State Certified Property Value ("T2" value)</t>
  </si>
  <si>
    <t>2021-22 Tier I M&amp;O Tax Rate</t>
  </si>
  <si>
    <t>2021-22 Maximum Compressed Tax Rate</t>
  </si>
  <si>
    <t>2021-22 I&amp;S Tax Rate</t>
  </si>
  <si>
    <t>Net 2021-22 TOTAL STATE/LOCAL M&amp;O REVENUE</t>
  </si>
  <si>
    <t>Total 2021-22 Recapture</t>
  </si>
  <si>
    <t xml:space="preserve">Total 2021-22 Recapture Payments Due TEA </t>
  </si>
  <si>
    <t>2022-23 Tier I M&amp;O Tax Rate</t>
  </si>
  <si>
    <t>2022-23 Maximum Compressed Tax Rate</t>
  </si>
  <si>
    <t>2022-23 I&amp;S Tax Rate</t>
  </si>
  <si>
    <t>Net 2022-23 TOTAL STATE/LOCAL M&amp;O REVENUE</t>
  </si>
  <si>
    <t>Total 2022-23 Recapture</t>
  </si>
  <si>
    <t xml:space="preserve">Total 2022-23 Recapture Payments Due TEA </t>
  </si>
  <si>
    <t>2023-24 Tier I M&amp;O Tax Rate</t>
  </si>
  <si>
    <t>2023-24 Maximum Compressed Tax Rate</t>
  </si>
  <si>
    <t>2023-24 I&amp;S Tax Rate</t>
  </si>
  <si>
    <t>Net 2023-24 TOTAL STATE/LOCAL M&amp;O REVENUE</t>
  </si>
  <si>
    <t>Total 2023-24 Recapture</t>
  </si>
  <si>
    <t xml:space="preserve">Total 2023-24 Recapture Payments Due TEA </t>
  </si>
  <si>
    <t>Enrichment Pennies After Compression</t>
  </si>
  <si>
    <t>WADA (Weighted Average Daily Attendance)</t>
  </si>
  <si>
    <t xml:space="preserve">Total Cost of Tier I </t>
  </si>
  <si>
    <t>Tier II State Aid</t>
  </si>
  <si>
    <t>599/5829- Existing Debt Allotment (EDA)</t>
  </si>
  <si>
    <t>599/5829 - Instructional Facilities Allotment (IFA) - Bonds</t>
  </si>
  <si>
    <t>599/5829 - Instructional Facilities Allotment IFA) - Lease-Purchase</t>
  </si>
  <si>
    <t>ROUND 9 - Additions as follows:</t>
  </si>
  <si>
    <t>1) the final 2018 values have now replaced the preliminary values that were auto-loaded….keep in mind that the only place these values come into</t>
  </si>
  <si>
    <t>play is in the calculation of 19-20 old law revenue that is part of the calculation of the Formula Transition Grant.</t>
  </si>
  <si>
    <t>2) the official list of 19-20 Chapter 49 (recapture) districts has been factored into the recapture calculation…..if you were not on the list, recapture</t>
  </si>
  <si>
    <t xml:space="preserve">will not be calculated regardless of what your data shows….so congratulations to some of you that were seeing recapture calculated on the </t>
  </si>
  <si>
    <t xml:space="preserve">previous SOF1920-HB3 tab that are not on the official list - spend the money that you thought you were going to have to send to the state (a few </t>
  </si>
  <si>
    <t>might have been in the millions of dollars) wisely…..or you can send it to me for safekeeping (just kidding).</t>
  </si>
  <si>
    <t>3) now that TEA has released its initial 19-20 HB 3 Summary of Finances, the long-awaited Report-SOF tabs have been updated along with the 'All Years'</t>
  </si>
  <si>
    <t xml:space="preserve">tab…..the bad news is that most of the Detail Reports are not available yet, so you can't see most of the data that were used in calculating most of </t>
  </si>
  <si>
    <t>the allotments…..so that means you can't compare the template's results to the SOF results just yet…..and it may be a month or so before those</t>
  </si>
  <si>
    <t>ROUND 9 - corrections/updates:</t>
  </si>
  <si>
    <t xml:space="preserve">amount per ADA has been changed to $250 (was using $235); (3) the 19-20 per capita (ASF) rate has been changed to $259.207 (was $247.587); (4) the </t>
  </si>
  <si>
    <t>19-20 old law state average state/local revenue per ADA has been changed to $8,896 (was $8,936) to match the average TEA is currently using…..this</t>
  </si>
  <si>
    <t>average gets increased by 128% (and yes, I remembered my 5th grade math on this one) and is used in the calculation of the Formula Transition Grant.</t>
  </si>
  <si>
    <t>Speaking of the Formula Transition Grant and TEA's new HB 3 Summary of Finances, the Formula Transition Grant and the Equalized Wealth Transition</t>
  </si>
  <si>
    <t>Grant will be part of your 'Other Program' amount on your Summary of Finances….but since you can't see that Detail Report just yet, you may not be</t>
  </si>
  <si>
    <t>able to determine how much you're getting compared to what the template is showing.  For districts that have had significant value growth in 2019</t>
  </si>
  <si>
    <t>and are seeing a significant amount of Formula Transition Grant on the template, you will probably not start receiving that money until the February/</t>
  </si>
  <si>
    <t>March Foundation School Fund payment, since TEA does not know about your value growth yet.  They are going to wait until they get 2019 values and</t>
  </si>
  <si>
    <t xml:space="preserve">And speaking of the Formula Transition Grant (again), part of the calculation takes into account the amount of 19-20 M&amp;O taxes you would have </t>
  </si>
  <si>
    <t>collected at your old tax rate, which is currently a data entry item on the template.  TEA will probably establish a method of calculating that amount and</t>
  </si>
  <si>
    <t xml:space="preserve">that result may be different from what you have entered on the template. So just be aware that the Grant amount will probably change a little from </t>
  </si>
  <si>
    <t>what you are seeing now.  When that methodology is finalized, I will use it and do away with that data entry cell.</t>
  </si>
  <si>
    <t>of the 19-20 District/Charter Funding calculations were not quite right, so they were fixed; (3) on the old law Option Costs tab beginning with the</t>
  </si>
  <si>
    <t>20-21 year, the values being used were current-year values instead of prior-year values (told you I was getting old).</t>
  </si>
  <si>
    <t>19-20 tax rates before they will update their calculation of the Formula Transition Grant. So don't panic just yet - eventually it will all be settled up.</t>
  </si>
  <si>
    <t>or 3 or 4 or……)….I've said this before and I'll say it again - "it ain't (or won't be) over 'till it's over."</t>
  </si>
  <si>
    <t>Please keep in mind that the 'Report-SOF' tabs are not functional yet (nor am I)  - the only one that is  the 'Report-SOF1819' tab.</t>
  </si>
  <si>
    <t xml:space="preserve">If you are on the list, your total recapture amount is shown on Line 56 of the 'Report-SOF1920-HB3' tab and is broken out into Tier I recapture and </t>
  </si>
  <si>
    <t>Less: Tuition Allotment for &lt; 12 Grades</t>
  </si>
  <si>
    <t xml:space="preserve">(1) The "Less" amounts are subtracted from the Total Cost of Tier I because they have no weights.  Only weighted programs are </t>
  </si>
  <si>
    <t>(3) Lines 11 thru 15 basically calculate one-half of the effect that the Cost of Education Index has on the Basic Allotment, as specified in law - only pertains to 18-19</t>
  </si>
  <si>
    <t>2018-19 NOTES:</t>
  </si>
  <si>
    <t>Regular Comp Ed:</t>
  </si>
  <si>
    <t>Res Place Facility - Not Ed Disadv</t>
  </si>
  <si>
    <t>Block 1 Ed Disadvantaged</t>
  </si>
  <si>
    <t>Block 2 Ed Disadvantaged</t>
  </si>
  <si>
    <t>Block 3 Ed Disadvantaged</t>
  </si>
  <si>
    <t>Block 4 Ed Disadvantaged</t>
  </si>
  <si>
    <t>Block 5 Ed Disadvantaged</t>
  </si>
  <si>
    <t>Regular Special Education</t>
  </si>
  <si>
    <t>Regular Program</t>
  </si>
  <si>
    <t>Regular Bilingual</t>
  </si>
  <si>
    <t>Bilingual - Dual Language</t>
  </si>
  <si>
    <t>Non-Bilingual - Dual Language</t>
  </si>
  <si>
    <t>CCMR - Ed Disadv Graduates</t>
  </si>
  <si>
    <t>CCMR - Non-Ed Disadv Graduates</t>
  </si>
  <si>
    <t>CCMR Allotment</t>
  </si>
  <si>
    <t>CCMR - Sp Ed Graduates</t>
  </si>
  <si>
    <t xml:space="preserve">     entered on Row 101 plus the unequalized taxes entered on Row 102 minus the EDA local share</t>
  </si>
  <si>
    <t>4) 2 more data entries have been added to bring in the GT &amp; Sp Ed set-asides under HB 3 - they will be different from the old law set-asides.</t>
  </si>
  <si>
    <t>5) updates first - (1) the 20-21 old law golden penny yield has been changed to $135.92 (was using the same as the 19-20 yield; (2) the 19-20 old law NIFA</t>
  </si>
  <si>
    <t xml:space="preserve">(6) the fixes: (1) the 19-20 Advanced C&amp;T Allotment was not calculating correctly if you entered an FTE that was different from the old law FTE; (2) some  </t>
  </si>
  <si>
    <t>HB 3, The Compromise - Release 9 Dated 9/5/19</t>
  </si>
  <si>
    <t>recapture at the copper penny level starting on Row 91 on that same tab.</t>
  </si>
  <si>
    <t>Detail Reports get built…..so continue being the patient person you are.  I do have some 19-20 Detail links but they are not yet 'official' - just my 1st shot.</t>
  </si>
  <si>
    <t>That's it for now - the initial HB 3 Summary of Finances is a work in progress and as TEA updates it, I probably will need to put out another release (or 2</t>
  </si>
  <si>
    <t>FSP Allocations and Adjustments Report</t>
  </si>
  <si>
    <t>College Preparation Assessment Reimbursement 48.155</t>
  </si>
  <si>
    <t>&lt; latest estimate from TEA</t>
  </si>
  <si>
    <t>reduced if adopted rate is less than .93</t>
  </si>
  <si>
    <t>1) by now most of you have noticed that the Report-SOF1920-HB3 was not quite correct - the Foundation School Fund amount on Line 49 looked way</t>
  </si>
  <si>
    <t>2) on the Assumptions tab, the 19-20 old law Per Capita Rate has been set to equal the new law Per Capita Rate…when the new law rate was changed</t>
  </si>
  <si>
    <t xml:space="preserve">in Release 9, I thought the old law rate might be different (higher) because of the Tax Reduction and Excellence in Education Fund provision in HB 3, </t>
  </si>
  <si>
    <t>HB 3, The Compromise - Release 10 Dated 9/16/19</t>
  </si>
  <si>
    <t>Formula Transition Grant will be excluded from the 30% calculation…so before you folks that get that Grant get too excited, we will have to wait for any</t>
  </si>
  <si>
    <t>ROUND 10 - Additions as follows:</t>
  </si>
  <si>
    <t>ROUND 10 - corrections/updates:</t>
  </si>
  <si>
    <t>I know this will surprise you - no additions!</t>
  </si>
  <si>
    <t>And in the Fleetwood Mac's 'Rumours' category (surely even you youngsters know who they were/are):  rumors coming out of west Texas are that the</t>
  </si>
  <si>
    <t>off in most cases….and it was and has been fixed….it was fixed for the other years as well.</t>
  </si>
  <si>
    <t>I was wrong…again….but remember, old law is only used in the calculation of the Formula Transition Grant, so no impact to most districts.</t>
  </si>
  <si>
    <t>official word from TEA…..but if you want to see what the effect would be compared to what you already did this past summer, assuming those rumors</t>
  </si>
  <si>
    <t xml:space="preserve">which transfers some of the money to that fund that otherwise would get deposited into the Available School Fund, under certain circumstances…..but </t>
  </si>
  <si>
    <t>end (I trust you to not mess anything else up in that formula - I moved that part of the formula to the tail-end to make it easier for you….you're welcome).</t>
  </si>
  <si>
    <r>
      <t>are in fact true, you can go to 'The30%' tab and in the formula for Cell G12, delete the "</t>
    </r>
    <r>
      <rPr>
        <b/>
        <sz val="10"/>
        <color rgb="FFFF0000"/>
        <rFont val="Arial MT"/>
      </rPr>
      <t>+'SOF1920-HB3'!I127</t>
    </r>
    <r>
      <rPr>
        <b/>
        <sz val="10"/>
        <rFont val="Arial MT"/>
      </rPr>
      <t>" portion of that formula located at the tail-</t>
    </r>
  </si>
  <si>
    <t>NOTE: Section 48.2552(b) - basically says that MCR has to be within 90% of all MCRs in the state</t>
  </si>
  <si>
    <t>n</t>
  </si>
  <si>
    <t>use of .93 for PYMCR expires end of 20-21</t>
  </si>
  <si>
    <t>NOTE: HB 3 says PYMCR =1.00 - supposedly that was a "printing error" and it should have been .93.</t>
  </si>
  <si>
    <t>HB 3, The Compromise - Release 11 Dated 9/30/19</t>
  </si>
  <si>
    <t>ROUND 11 - Additions as follows:</t>
  </si>
  <si>
    <t>ROUND 11 - corrections/updates:</t>
  </si>
  <si>
    <t xml:space="preserve">letter (see the note from the previous release) from TEA regarding the Formula Transition Grant and how it may or may not relate to the 30%. </t>
  </si>
  <si>
    <t>1) this one relates to the provision in HB 3 that basically says all Tier I compressed tax rates statewide have to be within 90% of each other, after the</t>
  </si>
  <si>
    <t>2.5% limitation of value growth has been factored into the equation.</t>
  </si>
  <si>
    <t xml:space="preserve">No doubt you have seen from other sources how they think TEA will/should implement that provision, so I thought I'd join the discussion - this release </t>
  </si>
  <si>
    <t>reflects my understanding on how it should work and is based on how TEA is currently implementing it on their latest template.  My calculations can be</t>
  </si>
  <si>
    <t xml:space="preserve">2) and in the "Someday Soon" category (you will win a prize if you know who sang that song - without Googling it): still waiting for that rumored </t>
  </si>
  <si>
    <t>found at the bottom of the 'Calc Data' tab - I'm pretty sure the 20-21 calcs match what TEA is doing on their template but a little less sure about the other</t>
  </si>
  <si>
    <t>out years….maybe someone will enlighten me on those years.  Please keep in mind that TEA is the official source of all this stuff.</t>
  </si>
  <si>
    <t>BOWIE COUNTY</t>
  </si>
  <si>
    <t>HARRIS COUNTY DEPT OF ED</t>
  </si>
  <si>
    <t>37-Dyslexia Allotment 48.103</t>
  </si>
  <si>
    <t>36-Early Education Allotment 48.108</t>
  </si>
  <si>
    <t>38-College, Career, or Military Readiness Outcomes Bonus 48.110</t>
  </si>
  <si>
    <t>Compressed M&amp;O Collections</t>
  </si>
  <si>
    <t>Total M&amp;O Collections (Line 1 + Line 2 + Line 3)</t>
  </si>
  <si>
    <t>Local Revenue in Excess of Entitlement (Tier One)</t>
  </si>
  <si>
    <t>Total Tier One Entitlement</t>
  </si>
  <si>
    <t>ASF Allotment</t>
  </si>
  <si>
    <t>Local Fund Assignment (LFA)</t>
  </si>
  <si>
    <t>Local Revenue in Excess of Entitlement (Tier Two)</t>
  </si>
  <si>
    <t>Excess Local Revenue (Tier Two) = Line 13 - Line 12</t>
  </si>
  <si>
    <t>Total Excess Local Revenue and Final Recapture Cost</t>
  </si>
  <si>
    <t>Total Excess Local Revenue = Line 11 + Line 14</t>
  </si>
  <si>
    <t>Final Discounted Cost = Line 15 - Line 18</t>
  </si>
  <si>
    <t>total golden penny entitlement</t>
  </si>
  <si>
    <t>golden penny local share</t>
  </si>
  <si>
    <t>Percentage of Total Collections Recaptured = Line 15 / Line 4</t>
  </si>
  <si>
    <t>Tier II Level One M&amp;O Collections</t>
  </si>
  <si>
    <t>Tier II Level Two M&amp;O Collections</t>
  </si>
  <si>
    <t>total copper penny entitlement</t>
  </si>
  <si>
    <t>copper penny local share</t>
  </si>
  <si>
    <t>Level 1 (Golden Pennies)</t>
  </si>
  <si>
    <t>Level 2 (Copper Pennies)</t>
  </si>
  <si>
    <t>2020 State Certified Property Value ("T8" value)</t>
  </si>
  <si>
    <t>2021-22 Special Education FTE Detail Report - HB 3</t>
  </si>
  <si>
    <t>2021-22 Tier I Detail Report - HB3</t>
  </si>
  <si>
    <t>2021-22 Tier II Detail Report - HB 3</t>
  </si>
  <si>
    <t>2021-22 EDA Detail Report - HB 3</t>
  </si>
  <si>
    <t>2021 State Certified Property Value ("T8" value)</t>
  </si>
  <si>
    <t>2021-22 IFA Detail Report - HB 3</t>
  </si>
  <si>
    <t>2022-23 Special Education FTE Detail Report - HB 3</t>
  </si>
  <si>
    <t>2022-23 IFA Detail Report - HB 3</t>
  </si>
  <si>
    <t>2022 State Certified Property Value ("T8" value)</t>
  </si>
  <si>
    <t>2022-23 EDA Detail Report - HB 3</t>
  </si>
  <si>
    <r>
      <t xml:space="preserve">FSP Allocations and Adjustments Report                             </t>
    </r>
    <r>
      <rPr>
        <sz val="12"/>
        <color rgb="FFFF0000"/>
        <rFont val="Arial MT"/>
      </rPr>
      <t xml:space="preserve"> (Link to Detail Report)</t>
    </r>
  </si>
  <si>
    <t>2023-24 Special Education FTE Detail Report - HB 3</t>
  </si>
  <si>
    <t>2023-24 Tier I Detail Report - HB3</t>
  </si>
  <si>
    <t>DTR_1 (M&amp;O Collections for Level 1 * 100) / 2023 CPTD</t>
  </si>
  <si>
    <t>Less LR (2023 CPTD / 100) * DTR_1</t>
  </si>
  <si>
    <t>DTR_2 (M&amp;O Collections for Level 2 * 100) / 2023 CPTD</t>
  </si>
  <si>
    <t>Less LR (2023 CPTD / 100) * DTR_2</t>
  </si>
  <si>
    <t>2023-24 IFA Detail Report - HB 3</t>
  </si>
  <si>
    <t>2023-24 EDA Detail Report - HB 3</t>
  </si>
  <si>
    <t>2023 State Certified Property Value ("T8" value)</t>
  </si>
  <si>
    <t>M&amp;O Collections @ Tier One Tax Rate (Line 6 x Line 7 x 100)</t>
  </si>
  <si>
    <t>M&amp;O Rate for Tier Two Level One (Line 5 - Line 7; max = .08)</t>
  </si>
  <si>
    <t>M&amp;O Collections for Tier One Level One (Line 6 x Line 9 x 100)</t>
  </si>
  <si>
    <t>M&amp;O Collections for Tier Two Level Two (Line 4 - Line 8 - Line 10)</t>
  </si>
  <si>
    <t>See Note Below</t>
  </si>
  <si>
    <t>Yield per Penny (Line 4 / Line 5 / 100)</t>
  </si>
  <si>
    <t>2021-22 M&amp;O Collections Detail Report - HB 3</t>
  </si>
  <si>
    <t>2021-22 Payment to Tax Increment Fund (TIF)</t>
  </si>
  <si>
    <t>2021-22 Total M&amp;O Collections (Line 1 - Line 2 - Line 3)</t>
  </si>
  <si>
    <t>2021-22 Tier One M&amp;O Tax Rate (TR)</t>
  </si>
  <si>
    <t>2022-23 M&amp;O Collections Detail Report - HB 3</t>
  </si>
  <si>
    <t>2022-23 Payment to Tax Increment Fund (TIF)</t>
  </si>
  <si>
    <t>2022-23 Total M&amp;O Collections (Line 1 - Line 2 - Line 3)</t>
  </si>
  <si>
    <t>2022-23 Tier One M&amp;O Tax Rate (TR)</t>
  </si>
  <si>
    <t>2023-24 M&amp;O Collections Detail Report - HB 3</t>
  </si>
  <si>
    <t>2023-24 Payment to Tax Increment Fund (TIF)</t>
  </si>
  <si>
    <t>2023-24 Total M&amp;O Collections (Line 1 - Line 2 - Line 3)</t>
  </si>
  <si>
    <t>2023-24 Tier One M&amp;O Tax Rate (TR)</t>
  </si>
  <si>
    <t>Subchapter F Chapter 48 Funding Credit Against Recapture</t>
  </si>
  <si>
    <t>Additional Aid for ESCs and Educational Districts (Ins. Code 1579.251(b))</t>
  </si>
  <si>
    <t>Additional Aid for Partnering to Operate a District Campus (TEC 48.252)</t>
  </si>
  <si>
    <t>Equalized Wealth Transition Grant (TEC 48.278)</t>
  </si>
  <si>
    <t>Interest Refunds Under TEC 48.271(c)</t>
  </si>
  <si>
    <t>Attendance Credits Sold</t>
  </si>
  <si>
    <r>
      <t>Attendance Credits Sold State Aid (Reduction for WADA Sold) - E</t>
    </r>
    <r>
      <rPr>
        <b/>
        <sz val="12"/>
        <rFont val="Arial MT"/>
      </rPr>
      <t>nter as negative #</t>
    </r>
  </si>
  <si>
    <t>&lt;= only applicable to charter schools</t>
  </si>
  <si>
    <t>Interest Refunds Under TEC 28.271(c)</t>
  </si>
  <si>
    <t>&lt;= Enter the amount of interest expense the district had to refund resulting from litigation (i.e., the compressor law suit ruled in favor of the company suing).</t>
  </si>
  <si>
    <t>NOTE: Line 2, 6, 9, 10, and 11 do not apply to school districts, so those values are set to zero.</t>
  </si>
  <si>
    <t>2021-22 Other Programs Detail Report - HB 3</t>
  </si>
  <si>
    <t>&lt;= not applicable this year</t>
  </si>
  <si>
    <t>2022-23 Other Programs Detail Report - HB 3</t>
  </si>
  <si>
    <t>2023-24 Other Programs Detail Report - HB 3</t>
  </si>
  <si>
    <r>
      <t xml:space="preserve">Tier II State Aid                                                              </t>
    </r>
    <r>
      <rPr>
        <sz val="12"/>
        <color rgb="FFFF0000"/>
        <rFont val="Arial MT"/>
      </rPr>
      <t>(Link to Tier II Detail Report)</t>
    </r>
  </si>
  <si>
    <t>HB 3, The Compromise - Release 12 Dated 12/16/19</t>
  </si>
  <si>
    <t>ROUND 12 - Additions as follows:</t>
  </si>
  <si>
    <t>ROUND 12 - corrections/updates:</t>
  </si>
  <si>
    <t>I thought I'd put out another release so you would have something to do over the break! (just kidding)…….hope you have a wonderful holiday season</t>
  </si>
  <si>
    <t>sure the right amounts are being loaded - if not, override the loaded amount(s) and enter the amount(s) being used by TEA.</t>
  </si>
  <si>
    <t>one is an attempt to explain the total weight that a K-3 student can generate for the Early Education Allotment, so hopefully, it will not cause you</t>
  </si>
  <si>
    <t>These begin in 20-21:</t>
  </si>
  <si>
    <t>and by all means, enjoy your time off.  I am typing this left-handed, as old age has now officially set in - tripped over my own 2 feet, fell and fractured</t>
  </si>
  <si>
    <t>a bone in my right arm - no surgery required, but my arm has now been in a sling for 5 weeks and counting (about 4 more to go)….so Ho, Ho, Ho.</t>
  </si>
  <si>
    <t>to be more confused.  When it's all said and done, I think TEA is going to add the ADA of all eligible Bilingual K-3 students and the ADA of all Comp Ed</t>
  </si>
  <si>
    <t xml:space="preserve">K-3 students, and that total K-3 ADA will be multiplied by the $6,160 and by the .1 weight…..so if a K-3 student is in both of those counts of ADA, that  </t>
  </si>
  <si>
    <t>requesting approval to exclude the grant for the 30% calculation….but as of yet, no response.</t>
  </si>
  <si>
    <t>(see the notes on the previous 2 releases)….the commissioner did send a letter to the Governor and the LBB (Lt. Gov &amp; Speaker) dated 10/25/19</t>
  </si>
  <si>
    <t>In the please "Don't Let Me Be Misunderstood" category (you youngsters, think British Invasion, and no, it wasn't a war): a tab to the right of this</t>
  </si>
  <si>
    <t>And in the "I Can't Tell You Why" category (surely you youngsters know this one): still waiting for the official word on the Formula Transition Grant</t>
  </si>
  <si>
    <t>been, so those cells are now back to being data-entry cells, just like always (with the last release exception).</t>
  </si>
  <si>
    <t>These only pertain to or begin in 19-20:</t>
  </si>
  <si>
    <t>essentially means that that student is generating .2 weight for the Early Education Allotment.</t>
  </si>
  <si>
    <t>see Cell K184 on the Data Entry tab (basically only applies to some district that have Ch 313 and/or Ch 311 agreements).</t>
  </si>
  <si>
    <t>be developed by TEA, so the one I made up for you is not yet official.</t>
  </si>
  <si>
    <t>2) the bond payment (cell K120) and eligible debt as of 9/1/15 (Cell K121) have been loaded for you, but please check your Summary of Finances to make</t>
  </si>
  <si>
    <t>3) for you sparsity districts (less than 130 ADA), the sparsity adjustment was not working correctly in some instances and has been fixed.</t>
  </si>
  <si>
    <t xml:space="preserve">4) for some unexplainable reason, the cells where you enter your M&amp;O tax collections were calculated cells on the prior release and should not have </t>
  </si>
  <si>
    <t xml:space="preserve">5) the "E" variable in the formula that calculates the value growth for the 2.5% limitation was not being factored in.  For an explanation of what "E" is,  </t>
  </si>
  <si>
    <t>6) for district that get the Wealth Equalization Transition Grant, the amount of the grant was not being calculated correctly and has been fixed.</t>
  </si>
  <si>
    <t>7) last but not least, I have added most of the detail reports that are on your TEA Summary of Finances - still waiting for the Tier I Detail Report to</t>
  </si>
  <si>
    <t xml:space="preserve">&lt;= Enter the amount, if any, determined by TEA - the amount will appear on the Summary of Finances. </t>
  </si>
  <si>
    <t>Reimbursement programs are now available, so those amounts can now be entered (Cells K110 &amp; K111).</t>
  </si>
  <si>
    <t>1) 2 more data entries have been added - the allotments for the College Preparation Assessment Reimbursement and the Certification Examination</t>
  </si>
  <si>
    <t>(1)</t>
  </si>
  <si>
    <t>(4) Plus Debt Rate</t>
  </si>
  <si>
    <t>(5) Total Maximum Rate Without TRE (#3 + #4)</t>
  </si>
  <si>
    <t xml:space="preserve">FYI: Total Max Rate With TRE Approval: </t>
  </si>
  <si>
    <t>(6) Maximum M&amp;O rate would be: (#1 + $.17)</t>
  </si>
  <si>
    <t>(7) Total Maximum Rate With TRE approval would be: (#6 + #4)</t>
  </si>
  <si>
    <t xml:space="preserve">Beginning with 21-22 and under current law, the $.05 shown in (2)(B) above is permanent and therefore there is no need for a unanimous board vote. </t>
  </si>
  <si>
    <t>Enrichment Tax Rate for Preceding Year</t>
  </si>
  <si>
    <t>M&amp;O Adopted Tax Rate - HB 3 (see HB3-RollbackRates tab for Max M&amp;O rates with a TRE)</t>
  </si>
  <si>
    <t>remaining copper pennies</t>
  </si>
  <si>
    <t>"extra" pennies</t>
  </si>
  <si>
    <t>Harris Co districts</t>
  </si>
  <si>
    <t>Enrichment Pennies</t>
  </si>
  <si>
    <t xml:space="preserve">SEE WARNING ABOVE: Because HB 3 mandates that all Tier I compressed tax rates be within 90% of each other (no rate can be more </t>
  </si>
  <si>
    <t xml:space="preserve">than 10% different than any other rate) and because Comptroller property value data will not be available when you have to set your </t>
  </si>
  <si>
    <t>your Tier I compressed rate. Since your max TRE rate is simply your Tier I compressed rate + $.17, the max rates shown here are not</t>
  </si>
  <si>
    <t>ROUND 13 - Additions as follows:</t>
  </si>
  <si>
    <t>ROUND 13 - corrections/updates:</t>
  </si>
  <si>
    <t>calculated cells based on the methodology that TEA is using (or going to use, I think).</t>
  </si>
  <si>
    <t>…..the lower my Tier I compressed is, the lower my local share of Tier I will be, and thus, the higher my Tier I state aid will be (or the less my recapture</t>
  </si>
  <si>
    <t xml:space="preserve">   b) what your Tier I compressed rate will be (and thus what your overall M&amp;O rate will be) depends on what your 2020 property values will be compared</t>
  </si>
  <si>
    <t>So how does all this relate to the template for 20-21?</t>
  </si>
  <si>
    <t>will be), right?........RIGHT YOU ARE!.....so think about that for a minute, then think about the implications that will have for the state.</t>
  </si>
  <si>
    <r>
      <t xml:space="preserve">   d) TEA plans to use that 4/30 CAD data as the basis for determining your Tier I compressed rate…</t>
    </r>
    <r>
      <rPr>
        <b/>
        <sz val="10"/>
        <color rgb="FFFF0000"/>
        <rFont val="Arial MT"/>
      </rPr>
      <t>that 4/30 CAD data WILL ONLY be used for</t>
    </r>
    <r>
      <rPr>
        <b/>
        <sz val="10"/>
        <rFont val="Arial MT"/>
      </rPr>
      <t xml:space="preserve"> </t>
    </r>
  </si>
  <si>
    <t xml:space="preserve">   e) the only thing known at this point is that your 20-21 Tier I compressed rate will not be more than $.9164 or less than $.8247 - the higher your</t>
  </si>
  <si>
    <t xml:space="preserve">       estimate of your 2020 values that you enter on the data entry tab will be used.</t>
  </si>
  <si>
    <t xml:space="preserve">      aficionados out there may be thinking…….</t>
  </si>
  <si>
    <r>
      <t xml:space="preserve">  g) it is still important to estimate your 2020 "T" values as best you can on the Data Entry tab - </t>
    </r>
    <r>
      <rPr>
        <b/>
        <sz val="10"/>
        <color rgb="FFFF0000"/>
        <rFont val="Arial MT"/>
      </rPr>
      <t>again, the only thing your 4/30 CAD value will be used</t>
    </r>
    <r>
      <rPr>
        <b/>
        <sz val="10"/>
        <rFont val="Arial MT"/>
      </rPr>
      <t xml:space="preserve"> </t>
    </r>
  </si>
  <si>
    <t xml:space="preserve">      for is TEA's calculation of your Tier I compressed rate - everything else will ultimately use the Comptroller's certified 2020 values.</t>
  </si>
  <si>
    <t xml:space="preserve">       will be the April 30 estimates from your CAD (and you know how good those are).</t>
  </si>
  <si>
    <t xml:space="preserve">   a) HB 3 requires all Tier I compressed rates be within 90% of each other (no one district's rate can be more than10% different than any other district's).</t>
  </si>
  <si>
    <t>phased out over the next 4 years was in error….I was pointing to a 19-20 amount instead of the 18-19 amount that is to be phased out.</t>
  </si>
  <si>
    <t>2) for districts formerly known as "Ch 41 hold harmless districts" that are eligible for the Equalized Wealth Transition Grant, the amount that will get</t>
  </si>
  <si>
    <t xml:space="preserve">hope you all have tuned in to TEA's latest video re: tax rates, part 2 released on 1/9/2020….in a nutshell, you are not going to know what your 20-21 </t>
  </si>
  <si>
    <t xml:space="preserve">       to what they were in tax year 2019.</t>
  </si>
  <si>
    <t xml:space="preserve">   c) the only 2020 property value data that will be available with enough time for TEA to gather and utilize before you have to set your 20-21 tax rate</t>
  </si>
  <si>
    <r>
      <t xml:space="preserve">   f) the Tier I compressed rate indicated on the HB3-RollbackRates tab </t>
    </r>
    <r>
      <rPr>
        <b/>
        <sz val="10"/>
        <color rgb="FFFF0000"/>
        <rFont val="Arial MT"/>
      </rPr>
      <t>WILL NOT</t>
    </r>
    <r>
      <rPr>
        <b/>
        <sz val="10"/>
        <rFont val="Arial MT"/>
      </rPr>
      <t xml:space="preserve"> be your actual Tier I compressed rate, nor will the max M&amp;O rate</t>
    </r>
  </si>
  <si>
    <t xml:space="preserve">     with &amp; without a TRE be the actual overall M&amp;O rate - the Tier I compressed rate on this template is calculated based on what you entered as your </t>
  </si>
  <si>
    <r>
      <t xml:space="preserve">     2020 "T2" value - </t>
    </r>
    <r>
      <rPr>
        <b/>
        <sz val="10"/>
        <color rgb="FFFF0000"/>
        <rFont val="Arial MT"/>
      </rPr>
      <t>it will be replaced by TEA's calculated/official rate sometime this summer</t>
    </r>
    <r>
      <rPr>
        <b/>
        <sz val="10"/>
        <rFont val="Arial MT"/>
      </rPr>
      <t xml:space="preserve"> (PS: I have moved the HB3-RollbackRates tab right next</t>
    </r>
  </si>
  <si>
    <t xml:space="preserve">     to the Report-SOF2021-HB3 tab for your convenience).</t>
  </si>
  <si>
    <t>4) on the previous releases, you were having to enter the amount of M&amp;O taxes that would have been collected under old law…..those cells are now</t>
  </si>
  <si>
    <t xml:space="preserve">5) and now in this "Ain't No Fun" (you metal heads will know this one) and in the "Hot Fun in the Summertime" (should be the easy one) categories: </t>
  </si>
  <si>
    <t xml:space="preserve">       property value growth is above 4.01%, the lower that compressed rate will be (until you reach the minimum $.8247)…..so you school finance</t>
  </si>
  <si>
    <t>3) there was a problem with the way I was calculating the number of "enrichment pennies" for some districts, so that has been fixed.</t>
  </si>
  <si>
    <t>the 'official' max rates.  The 'official' rates will be the Tier I compressed rate TEA calculates + $.17, so you won't know your max rate</t>
  </si>
  <si>
    <r>
      <t xml:space="preserve">       </t>
    </r>
    <r>
      <rPr>
        <b/>
        <sz val="10"/>
        <color rgb="FFFF0000"/>
        <rFont val="Arial MT"/>
      </rPr>
      <t>determining your Tier I compressed rate - everything else will ultimately use the Comptroller's 2020 certified values….but in the meantime, your</t>
    </r>
  </si>
  <si>
    <t xml:space="preserve">      so I'm doing the same here.</t>
  </si>
  <si>
    <t>Tier I compressed tax rate is going to be until sometime in June/July (reportedly), and therefore you will not know what your maximum M&amp;O tax rate</t>
  </si>
  <si>
    <t>explanation:</t>
  </si>
  <si>
    <t xml:space="preserve">will be without a TRE nor what your maximum M&amp;O tax rate can be with a TRE until then…what!...why?....glad you asked - here is my Cliffs Notes </t>
  </si>
  <si>
    <t xml:space="preserve">      TEA (I think) will truncate all rates to 4 decimal places….so for example, if you report a tax rate of $.96578, TEA will use $.9657 in the calculations,</t>
  </si>
  <si>
    <t xml:space="preserve">  h) and oh BTW (you youngsters know what that means - in case you old folks like me don't, it means 'by the way' - had to ask my daughter - OMG!), </t>
  </si>
  <si>
    <t>Culberson County-Allamore ISD</t>
  </si>
  <si>
    <t>Carrollton-Farmers Branch ISD</t>
  </si>
  <si>
    <t>Schertz-Cibolo-Universal City ISD</t>
  </si>
  <si>
    <t>Plemons-Stinnett-Phillips CISD</t>
  </si>
  <si>
    <t>Ben Bolt-Palito Blanco ISD</t>
  </si>
  <si>
    <t>Daingerfield-Lone Star ISD</t>
  </si>
  <si>
    <t>Little Cypress-Mauriceville CISD</t>
  </si>
  <si>
    <t>Eagle Mountain-Saginaw ISD</t>
  </si>
  <si>
    <t>Monahans-Wickett-Pyote ISD</t>
  </si>
  <si>
    <t>HB 3, The Compromise - Release 13 Dated 2/06/2020</t>
  </si>
  <si>
    <t>the T1 and a couple of other unused 'T' values loaded just in case…...it's known as CYA.</t>
  </si>
  <si>
    <t>1) in the better-late-than-never category: the Comptroller's re-certified (2/5/2020) preliminary 2019 property values have been loaded……now you can see</t>
  </si>
  <si>
    <t>just how close you were to the estimates you came up with last summer using whichever method of estimating you used (including your crystal ball).</t>
  </si>
  <si>
    <t>the Comptroller's, and it is the T1 value that is wrong…..but no worries, the T1 value is currently not being used anywhere, so you're ok….I only have</t>
  </si>
  <si>
    <t>Some of you may notice that your T1 and T2 values are the same, even though they are not supposed to be….reportedly, the error is your CAD's, not</t>
  </si>
  <si>
    <t>HB 3, The Compromise - Release 14 Dated 2/12/2020</t>
  </si>
  <si>
    <t>ROUND 14 - Additions as follows:</t>
  </si>
  <si>
    <t>ROUND 14 - corrections/updates:</t>
  </si>
  <si>
    <t>None!</t>
  </si>
  <si>
    <t>….until next time.</t>
  </si>
  <si>
    <t>1) in the '3rd time's a charm' category: the Comptroller has re-re-released the re-released certified 2019 preliminary values….hopefully, they won't</t>
  </si>
  <si>
    <t>catch up to me in the number of releases I've had to make….if you want, you can just copy Cells K73 thru K80 over to Release 13 and you'll be fine.</t>
  </si>
  <si>
    <t xml:space="preserve">Only a relative hand-full of districts have the same T values as before, so please check yours…...Sudan ISD takes the prize for the most change, a </t>
  </si>
  <si>
    <t>mere $3.6B less than their T2 value was before (yes, that is a "B" as in billions).</t>
  </si>
  <si>
    <t>Is district a fast-growth district as determined by TEA? (Y=yes; 0=no)</t>
  </si>
  <si>
    <t>HB 3, The Compromise - Release 15 Dated 4/27/2020</t>
  </si>
  <si>
    <t>ROUND 15 - Additions as follows:</t>
  </si>
  <si>
    <t>1) the list of fast growth districts for 20-21 is out and has been incorporated on this release - keep in mind that for 21-22 and beyond, I am continuing</t>
  </si>
  <si>
    <t>been added.</t>
  </si>
  <si>
    <t xml:space="preserve">2) for those few districts that will contract with a charter school to operate at least one of its campuses during 20-21, the calculations for 20-21 have </t>
  </si>
  <si>
    <t xml:space="preserve">3) there was an error for some districts in the number of golden pennies available for 23-24, so that has been fixed. </t>
  </si>
  <si>
    <t>4) the 20-21 Tier II Detail Report had an error on it and that has been fixed….it was just a display error and did not affect the calculations.</t>
  </si>
  <si>
    <t>5) on Release 13, I talked about how TEA was going to use the 4/30/20 CAD values to determine your Tier I compressed rate, and that has now changed</t>
  </si>
  <si>
    <t>template with the rate they calculate for you, and at that point, you will know what your total M&amp;O rate will be.  If you have to publish your notices</t>
  </si>
  <si>
    <t>before TEA computes that Tier I compressed rate, you are advised to use .9164 as your Tier I compressed rate (the highest it can be) in determining</t>
  </si>
  <si>
    <t xml:space="preserve">Since you haven't heard from me in a while, I thought I would bring you up to date just in case you've missed me. As I hope you are, I have been </t>
  </si>
  <si>
    <t xml:space="preserve">your total M&amp;O rate.  That way, if your TEA-calculated rate comes in lower than .9164, which will make your total M&amp;O rate lower, you won't have to </t>
  </si>
  <si>
    <t>republish, as you will be adopting a lower M&amp;O rate than what you published.  If that is the case, on that 'HB3-RollbackRates' tab, you can replace the</t>
  </si>
  <si>
    <t>Tier I compressed rate calculated with the .9164, and that will then show you what your total M&amp;O would be - the one you would be publishing.</t>
  </si>
  <si>
    <t xml:space="preserve">with the same list as the one for 20-21 even though the list of districts that qualify for the fast growth allotment changes every year...so for example, if </t>
  </si>
  <si>
    <t>you qualify in 20-21 but think you may not in 21-22, you will need to change Cell O146 on the data entry tab from a 'Y' to a '0' when calculating 21-22.</t>
  </si>
  <si>
    <t>this template calculates based on what you enter as your 2020 T2 value is not official and therefore will change when TEA calculates it (see Warning on</t>
  </si>
  <si>
    <t>total M&amp;O tax rate will be until sometime in early August.  After TEA computes those rates, I will try and get them and replace the rate calculated on this</t>
  </si>
  <si>
    <t>tab 'labeled 'HB3-RollbackRates' - so what this means is that you will not know what your official Tier I compressed rate will be and therefore what your</t>
  </si>
  <si>
    <t>hunkering down - I've been watching the Groundhog Day movie every day….or have I??  So continue to practice safe stay by wearing a mask!.....</t>
  </si>
  <si>
    <t xml:space="preserve">despite what you may hear, "Fool (If You Think It's Over)" - another prize if you can name the singer without using Google (you youngsters were not </t>
  </si>
  <si>
    <t>"Born in the USA" yet when the song was a hit - and you may be thinking this old man has lost it).</t>
  </si>
  <si>
    <r>
      <t xml:space="preserve">as of last month when it was announced during the TASBO Conference.  TEA is now going to use your </t>
    </r>
    <r>
      <rPr>
        <b/>
        <sz val="10"/>
        <color rgb="FFFF0000"/>
        <rFont val="Arial MT"/>
      </rPr>
      <t>7/25/20</t>
    </r>
    <r>
      <rPr>
        <b/>
        <sz val="10"/>
        <rFont val="Arial MT"/>
      </rPr>
      <t xml:space="preserve"> CAD values instead and will use some of</t>
    </r>
  </si>
  <si>
    <r>
      <t>that data and some of your</t>
    </r>
    <r>
      <rPr>
        <b/>
        <sz val="10"/>
        <color rgb="FFFF0000"/>
        <rFont val="Arial MT"/>
      </rPr>
      <t xml:space="preserve"> 7/25/19</t>
    </r>
    <r>
      <rPr>
        <b/>
        <sz val="10"/>
        <rFont val="Arial MT"/>
      </rPr>
      <t xml:space="preserve"> CAD data to calculate your Tier I compressed rate for 20-21.  I also talked about how the Tier I compressed rate that</t>
    </r>
  </si>
  <si>
    <t>HB 3, The Compromise - Release 16 Dated 5/4/2020</t>
  </si>
  <si>
    <t>ROUND 16 - corrections/updates:</t>
  </si>
  <si>
    <t xml:space="preserve">1) In the "Your Wish Is My Command" category (again, a prize for naming the artist w/o Google), I have heard from several 6/30 districts that have to </t>
  </si>
  <si>
    <t xml:space="preserve">publish soon, so as they have commanded, I have updated the Rate to Maintain and Notice tabs to 20-21……you're welcome.  If you're not a 6/30 district, </t>
  </si>
  <si>
    <t>you don't have to mess with this release, but don't get too excited, your turn is coming one of these days (maybe sooner than you think?).</t>
  </si>
  <si>
    <t>2018-19 HH Benefit to be Phased Out</t>
  </si>
  <si>
    <t>2022 State Certified Property Value ("T2" value)</t>
  </si>
  <si>
    <t>2023 State Certified Property Value ("T2" value)</t>
  </si>
  <si>
    <t>Prior Year State Certified Property Value ("T2" value)</t>
  </si>
  <si>
    <t>Current Year State Certified Property Value ("T2" value)</t>
  </si>
  <si>
    <t>2024-25</t>
  </si>
  <si>
    <t>2024-25 Summary of Finances</t>
  </si>
  <si>
    <t>2024 State Certified Property Value ("T2" value)</t>
  </si>
  <si>
    <r>
      <t xml:space="preserve">2024-25 M&amp;O Tax Collections                                          </t>
    </r>
    <r>
      <rPr>
        <sz val="12"/>
        <color rgb="FFFF0000"/>
        <rFont val="Arial MT"/>
      </rPr>
      <t>(Link to Detail Report)</t>
    </r>
    <r>
      <rPr>
        <sz val="12"/>
        <rFont val="Arial MT"/>
      </rPr>
      <t xml:space="preserve">              </t>
    </r>
  </si>
  <si>
    <t>2024-25 M&amp;O Tax Rate</t>
  </si>
  <si>
    <t>2024-25 Tier I M&amp;O Tax Rate</t>
  </si>
  <si>
    <t>2024-25 Maximum Compressed Tax Rate</t>
  </si>
  <si>
    <t>2024-25 I&amp;S Tax Rate</t>
  </si>
  <si>
    <t>2024-25 I&amp;S Tax Collections</t>
  </si>
  <si>
    <t>2024-25 Total Tax Collections</t>
  </si>
  <si>
    <t>2024-25 Total Tax Levy</t>
  </si>
  <si>
    <t>TOTAL  2024-25  FSP/ASF  STATE  AID</t>
  </si>
  <si>
    <t>Net 2024-25 TOTAL STATE/LOCAL M&amp;O REVENUE</t>
  </si>
  <si>
    <t>Total 2024-25 Recapture</t>
  </si>
  <si>
    <t xml:space="preserve">Total 2024-25 Recapture Payments Due TEA </t>
  </si>
  <si>
    <t>015950</t>
  </si>
  <si>
    <t>019000</t>
  </si>
  <si>
    <t>057950</t>
  </si>
  <si>
    <t>071950</t>
  </si>
  <si>
    <t>092950</t>
  </si>
  <si>
    <t>101000</t>
  </si>
  <si>
    <t>101950</t>
  </si>
  <si>
    <t>108950</t>
  </si>
  <si>
    <t>152950</t>
  </si>
  <si>
    <t>161950</t>
  </si>
  <si>
    <t>165950</t>
  </si>
  <si>
    <t>178950</t>
  </si>
  <si>
    <t>181950</t>
  </si>
  <si>
    <t>188950</t>
  </si>
  <si>
    <t>220950</t>
  </si>
  <si>
    <t>221950</t>
  </si>
  <si>
    <t>225950</t>
  </si>
  <si>
    <t>226950</t>
  </si>
  <si>
    <t>227950</t>
  </si>
  <si>
    <t>235950</t>
  </si>
  <si>
    <t>236950</t>
  </si>
  <si>
    <t>243950</t>
  </si>
  <si>
    <t>ewtg hh amt to be phased out</t>
  </si>
  <si>
    <t>CPTD "T8" Value (current-yr value beginning 19-20)</t>
  </si>
  <si>
    <t>2024-25 Special Education FTE Detail Report - HB 3</t>
  </si>
  <si>
    <t>2024-25 M&amp;O Collections Detail Report - HB 3</t>
  </si>
  <si>
    <t>2024-25 Local M&amp;O Collections</t>
  </si>
  <si>
    <t>2024-25 Local Share for IFA Lease Purchase</t>
  </si>
  <si>
    <t>2024-25 Payment to Tax Increment Fund (TIF)</t>
  </si>
  <si>
    <t>2024-25 Total M&amp;O Collections (Line 1 - Line 2 - Line 3)</t>
  </si>
  <si>
    <t>2024-25 Tier One M&amp;O Tax Rate (TR)</t>
  </si>
  <si>
    <t>2024-25 Tier I Detail Report - HB3</t>
  </si>
  <si>
    <t>2024-25 Tier II Detail Report</t>
  </si>
  <si>
    <t>DTR_1 (M&amp;O Collections for Level 1 * 100) / 2024 CPTD</t>
  </si>
  <si>
    <t>Less LR (2024 CPTD / 100) * DTR_1</t>
  </si>
  <si>
    <t>DTR_2 (M&amp;O Collections for Level 2 * 100) / 2024 CPTD</t>
  </si>
  <si>
    <t>Less LR (2024 CPTD / 100) * DTR_2</t>
  </si>
  <si>
    <t>2024-25 Other Programs Detail Report - HB 3</t>
  </si>
  <si>
    <t>2024-25 EDA Detail Report - HB 3</t>
  </si>
  <si>
    <t>2024-25 Actual Eligible Debt Service Payment</t>
  </si>
  <si>
    <t>2024-25 IFA State/Local Share of IFA Awarded for Bonded Debt</t>
  </si>
  <si>
    <t>2024-25 Total Refined ADA</t>
  </si>
  <si>
    <t>2024 State Certified Property Value ("T8" value)</t>
  </si>
  <si>
    <t>2024-25 Allowed Rate (Lesser of Line 10 or Line 11 or $.29)</t>
  </si>
  <si>
    <t xml:space="preserve">     as a separate allotment on the Report-SOF2021-HB3 tab (Line 54).  The I&amp;S Hold Harmless</t>
  </si>
  <si>
    <t>2024-25 IFA Detail Report - HB 3</t>
  </si>
  <si>
    <t>2024-25 FSP Detail Report</t>
  </si>
  <si>
    <r>
      <t xml:space="preserve">Special Education FTEs                                                         </t>
    </r>
    <r>
      <rPr>
        <sz val="12"/>
        <color rgb="FFFF0000"/>
        <rFont val="Arial MT"/>
      </rPr>
      <t>(Link to Detail Report)</t>
    </r>
    <r>
      <rPr>
        <sz val="12"/>
        <rFont val="Arial MT"/>
      </rPr>
      <t xml:space="preserve">                                                      </t>
    </r>
  </si>
  <si>
    <t>The following I think reflects TEA's methodology used in calculating the I&amp;S hold harmless amount.</t>
  </si>
  <si>
    <t>TEA refers to it as ASAHE for Facilities.</t>
  </si>
  <si>
    <t>91880</t>
  </si>
  <si>
    <t>91263</t>
  </si>
  <si>
    <t>91246</t>
  </si>
  <si>
    <t>91709</t>
  </si>
  <si>
    <t>87551</t>
  </si>
  <si>
    <t>91875</t>
  </si>
  <si>
    <t>91886</t>
  </si>
  <si>
    <t>91889</t>
  </si>
  <si>
    <t>90576</t>
  </si>
  <si>
    <t>90514</t>
  </si>
  <si>
    <t>91911</t>
  </si>
  <si>
    <t>91293</t>
  </si>
  <si>
    <t>90485</t>
  </si>
  <si>
    <t>91879</t>
  </si>
  <si>
    <t>91360</t>
  </si>
  <si>
    <t>91782</t>
  </si>
  <si>
    <t>91825</t>
  </si>
  <si>
    <t>90484</t>
  </si>
  <si>
    <t>90745</t>
  </si>
  <si>
    <t>91634</t>
  </si>
  <si>
    <t>90802</t>
  </si>
  <si>
    <t>90663</t>
  </si>
  <si>
    <t>90692</t>
  </si>
  <si>
    <t>91914</t>
  </si>
  <si>
    <t>91252</t>
  </si>
  <si>
    <t>68687</t>
  </si>
  <si>
    <t>90474</t>
  </si>
  <si>
    <t>90876</t>
  </si>
  <si>
    <t>83759</t>
  </si>
  <si>
    <t>90923</t>
  </si>
  <si>
    <t>90652</t>
  </si>
  <si>
    <t>58922</t>
  </si>
  <si>
    <t>88046</t>
  </si>
  <si>
    <t>89041</t>
  </si>
  <si>
    <t>91899</t>
  </si>
  <si>
    <t>Harvey Pennies</t>
  </si>
  <si>
    <t>&lt;= This cell is completed for you based on TEA's official list of fast-growth districts.</t>
  </si>
  <si>
    <t>As in the past, an old year (2018-19) has been deleted and a new year (2024-25) has been added - those of you who are getting the Formula Transition</t>
  </si>
  <si>
    <t xml:space="preserve">1) in the "(Everything I Do) I Do For You" category (you hipsters should know this one): there are 2 new tabs that you can either use or lose. The </t>
  </si>
  <si>
    <t xml:space="preserve">yes, in case you haven't heard/read, "it's a game of give and take" (lyrics to an oldie covered by who?) - your ESSER funds do not represent any </t>
  </si>
  <si>
    <t>call your COVID-Adjusted ADA) so that 95% of your ESSER funds will replace funds that you would normally get from the Foundation School Fund…and</t>
  </si>
  <si>
    <t>Grant thru 2023-24 when it ends, you now can estimate how deep your cliff will be.  OK, so here goes:</t>
  </si>
  <si>
    <t>what that 5% can be spent on). So in summary, your bottom-line will stay roughly the same even with the ESSER funds, and instead of having 2 Fund</t>
  </si>
  <si>
    <t>ROUND 1 - Additions as follows:</t>
  </si>
  <si>
    <t>ROUND 1 - corrections/updates:</t>
  </si>
  <si>
    <t>2) corrections have been made to the RateToMaintain2021 tab - all relate to the Available School Fund being included as a revenue source in addition</t>
  </si>
  <si>
    <t>to Tier I and Tier II state aid.</t>
  </si>
  <si>
    <t>In the "(Just Like) Starting Over" category (you all should know this one): a new series of releases begins (didn't want to tie my old record of 17).</t>
  </si>
  <si>
    <t>additional funds, unless you consider the remaining 5% that is not used to offset your Foundation School Fund "new" money (there are restrictions on</t>
  </si>
  <si>
    <t>sources of funds, you will now have 3: 2 Fund 199 sources as usual plus 1 Fund 266 source.</t>
  </si>
  <si>
    <t>After TEA calculates your Tier I compressed rate based on some 7/25 data you report to them, I plan on loading all those 'official' Tier I compressed</t>
  </si>
  <si>
    <t>HB 3, The Compromise - Release 1 Dated 6/16/2020</t>
  </si>
  <si>
    <t>panic - just enter your own numbers in those cells in place of the "#DIV/0!" messages and all will work as before.</t>
  </si>
  <si>
    <t>NOTE: if you choose to use the COVID-ADA tab, the results will populate the data entry tab in the appropriate places, but there will still be additional</t>
  </si>
  <si>
    <t xml:space="preserve">rates so that your estimate of your T2 value (and the Comptroller's official T2 value) will not change your TEA computed, official Tier I compressed </t>
  </si>
  <si>
    <t>3) various labeling issues have been fixed, none of which affect any of the calculations.</t>
  </si>
  <si>
    <t>rate on the HB3-RollbackRates tab. So unless I've screwed up something on this release (highly probable), there will not be another one until then.</t>
  </si>
  <si>
    <r>
      <rPr>
        <b/>
        <sz val="10"/>
        <color rgb="FFFF0000"/>
        <rFont val="Arial MT"/>
      </rPr>
      <t>COVID-ADA' tab</t>
    </r>
    <r>
      <rPr>
        <b/>
        <sz val="10"/>
        <rFont val="Arial MT"/>
      </rPr>
      <t xml:space="preserve"> will allow you to convert your 19-20 ADA &amp; FTE counts thru the 1st 4 six weeks to end-of-year ADA &amp; FTE counts based on TEA's</t>
    </r>
  </si>
  <si>
    <r>
      <t xml:space="preserve">methodology (I think).  The </t>
    </r>
    <r>
      <rPr>
        <b/>
        <sz val="10"/>
        <color rgb="FFFF0000"/>
        <rFont val="Arial MT"/>
      </rPr>
      <t>'ESSER-FSF' tab</t>
    </r>
    <r>
      <rPr>
        <b/>
        <sz val="10"/>
        <rFont val="Arial MT"/>
      </rPr>
      <t xml:space="preserve"> will allow you to estimate the amount of ADA that will be reduced from your derived end-of-year ADA (what I </t>
    </r>
  </si>
  <si>
    <t>data entry requirements, so make sure you complete those.</t>
  </si>
  <si>
    <t xml:space="preserve">NOTE2: if you choose not to use the COVID-ADA tab, you will see a bunch of "#DIV/0!" messages in a bunch of cells on the data entry tab, so don't </t>
  </si>
  <si>
    <t>93255</t>
  </si>
  <si>
    <t>92953</t>
  </si>
  <si>
    <t>92801</t>
  </si>
  <si>
    <t>92802</t>
  </si>
  <si>
    <t>92378</t>
  </si>
  <si>
    <t>92811</t>
  </si>
  <si>
    <t>92928</t>
  </si>
  <si>
    <t>92812</t>
  </si>
  <si>
    <t>93113</t>
  </si>
  <si>
    <t>93286</t>
  </si>
  <si>
    <t>92924</t>
  </si>
  <si>
    <t>92911</t>
  </si>
  <si>
    <t>92952</t>
  </si>
  <si>
    <t>93209</t>
  </si>
  <si>
    <t>92260</t>
  </si>
  <si>
    <t>92676</t>
  </si>
  <si>
    <t>93025</t>
  </si>
  <si>
    <t>92282</t>
  </si>
  <si>
    <t>92988</t>
  </si>
  <si>
    <t>92939</t>
  </si>
  <si>
    <t>93059</t>
  </si>
  <si>
    <t>92963</t>
  </si>
  <si>
    <t>93404</t>
  </si>
  <si>
    <t>93079</t>
  </si>
  <si>
    <t>91936</t>
  </si>
  <si>
    <t>92986</t>
  </si>
  <si>
    <t>93321</t>
  </si>
  <si>
    <t>93106</t>
  </si>
  <si>
    <t>93313</t>
  </si>
  <si>
    <t>92916</t>
  </si>
  <si>
    <t>92930</t>
  </si>
  <si>
    <t>93375</t>
  </si>
  <si>
    <t>92907</t>
  </si>
  <si>
    <t>92265</t>
  </si>
  <si>
    <t>92473</t>
  </si>
  <si>
    <t>93352</t>
  </si>
  <si>
    <t>93393</t>
  </si>
  <si>
    <t>93009</t>
  </si>
  <si>
    <t>93212</t>
  </si>
  <si>
    <t>92068</t>
  </si>
  <si>
    <t>93030</t>
  </si>
  <si>
    <t>93381</t>
  </si>
  <si>
    <t>92215</t>
  </si>
  <si>
    <t>92915</t>
  </si>
  <si>
    <t>tax rate now that we have switched to using current-year values, TEA is going to use July 25th CAD values as the basis for calculating</t>
  </si>
  <si>
    <t>until after TEA calculates it, reportedly sometime in the late July/early August timeframe.</t>
  </si>
  <si>
    <t>Homebound (Code 01)</t>
  </si>
  <si>
    <t>Hospital Class (Code 02)</t>
  </si>
  <si>
    <t>Speech Therapy (Code 00)</t>
  </si>
  <si>
    <t>Resource Room (Code 41,42)</t>
  </si>
  <si>
    <t>S/C Mild/Mod/Severe (Code 43, 44, &amp; 45)</t>
  </si>
  <si>
    <t>Off Home Campus (Codes 91-98)</t>
  </si>
  <si>
    <t>VAC (Code 08)</t>
  </si>
  <si>
    <t>State Schools (Code 30)</t>
  </si>
  <si>
    <t>Nonpublic Contracts</t>
  </si>
  <si>
    <t>Res Care &amp; Treatment (Code 81-89)</t>
  </si>
  <si>
    <t>New Instructional Facility Allotment ADA</t>
  </si>
  <si>
    <t xml:space="preserve">     Homebound (Code 01)</t>
  </si>
  <si>
    <t xml:space="preserve">     Hospital Class (Code 02)</t>
  </si>
  <si>
    <t xml:space="preserve">     Speech Therapy (Code 00)</t>
  </si>
  <si>
    <t xml:space="preserve">     Resource Room (Code 41,42)</t>
  </si>
  <si>
    <t xml:space="preserve">     S/C Mild/Mod/Severe (Code 43, 44, &amp; 45)</t>
  </si>
  <si>
    <t xml:space="preserve">     Off Home Campus (Codes 91-98)</t>
  </si>
  <si>
    <t xml:space="preserve">     VAC (Code 08)</t>
  </si>
  <si>
    <t xml:space="preserve">     State Schools (Code 30)</t>
  </si>
  <si>
    <t xml:space="preserve">     Nonpublic Contracts</t>
  </si>
  <si>
    <t xml:space="preserve">     Res Care &amp; Treatment (Code 81-89)</t>
  </si>
  <si>
    <t>Ed Disadvantaged Students Living in Eco Disadvantaged Census Block 1</t>
  </si>
  <si>
    <t>ROUND 2 - Additions as follows: None (surprised?)</t>
  </si>
  <si>
    <t>3) and in the "Life's about changin', Nothin' ever stays the same" category (you C&amp;W fans will know what sad song this comes from):</t>
  </si>
  <si>
    <t xml:space="preserve">   c) and last but not least, the Data Entry tab has been revised - the student count section has been split into 2 parts.  The 1st part auto-loads </t>
  </si>
  <si>
    <t xml:space="preserve">      from the COVID-ADA tab if you chose to use it - if you did not use it, you will see a bunch of "#DIV/0!" messages in those cells that will disappear </t>
  </si>
  <si>
    <t xml:space="preserve">   b) the ESSER-FSF tab no longer has some data illustrated - it is blank awaiting user input if you so choose to use it.</t>
  </si>
  <si>
    <t>HB 3, The Compromise - Release 2 Dated 6/26/2020</t>
  </si>
  <si>
    <t xml:space="preserve">   a) the CONVID-ADA tab has been restructured to hopefully makes it easier to get the 4 six-weeks average of all the other ADA/FTE counts. </t>
  </si>
  <si>
    <t>4) the IFA_Limits tab now reflects updated data from TEA for both 19-20 and 20-21.</t>
  </si>
  <si>
    <t>ROUND 2 - corrections/updates: (not surprised?)</t>
  </si>
  <si>
    <t>2) old law compressed rate was not correct for some districts, so that has been fixed (I think)….only affected the Formula Transition Grant calcs.</t>
  </si>
  <si>
    <t xml:space="preserve">     enrollment/head counts and are not adjusted by the 18-19 ratio like the ADA/FTE counts are…..and yes, I know this messes up your cut &amp; paste</t>
  </si>
  <si>
    <t xml:space="preserve">     when you enter your own data in those cells.  The 2nd part contains the data that still need to be entered, if applicable - these data are </t>
  </si>
  <si>
    <t xml:space="preserve">     routine some of you use - sorry about that - "Life's about changin'….."</t>
  </si>
  <si>
    <t>1) for you "Harvey" districts, the # of Harvey pennies that auto-loaded as a negative # now auto-load as a positive # like they were supposed to be.</t>
  </si>
  <si>
    <t>19-20 adopted rate</t>
  </si>
  <si>
    <t>Less: adjustment for adopting rate less than max rate</t>
  </si>
  <si>
    <t>ADJUSTED STATE/LOCAL M&amp;O REVENUE (prior to FTG &amp; WETG)</t>
  </si>
  <si>
    <t>Formula Transition Grant TEC 48.277(a)</t>
  </si>
  <si>
    <t>Prior Law Total M&amp;O Revenue per ADA</t>
  </si>
  <si>
    <t>Prior Law Statewide Average M&amp;O Revenue per ADA</t>
  </si>
  <si>
    <t>Prior Law M&amp;O Revenue per ADA * 103</t>
  </si>
  <si>
    <t>Prior Law Statewide Average M&amp;O Revenue per ADA * 1.28</t>
  </si>
  <si>
    <t>Link Back to Other Programs Detail Report</t>
  </si>
  <si>
    <t>Old law calculations are not needed as 19-20 data are used for 21-22.</t>
  </si>
  <si>
    <t>Old law calculations are not needed as 19-20 data are used for 23-24.</t>
  </si>
  <si>
    <t>Old law calculations are not needed as 20-21 data are used for 22-23.</t>
  </si>
  <si>
    <t>HB 3, The Compromise - Release 3 Dated 7/30/2020</t>
  </si>
  <si>
    <t xml:space="preserve">1) I was going to wait until I got a file with all Tier I compressed tax rates before putting out this release, but based on the questions that have been </t>
  </si>
  <si>
    <t>popping up these last few days, I changed my mind, so here it is.  A new data entry cell has been added to bring in TEA's approved Tier I compressed</t>
  </si>
  <si>
    <t xml:space="preserve">3) I had not taken into account the scenario where a district would have an adopted M&amp;O rate lower than its max M&amp;O rate, so I've built in the </t>
  </si>
  <si>
    <t xml:space="preserve">   a) was using current-yr values for old law Tier II calculations instead of prior-yr values (only affects Formula Transition Grant districts)</t>
  </si>
  <si>
    <t xml:space="preserve">      into 21-22 and beyond</t>
  </si>
  <si>
    <t xml:space="preserve">   b) I had not taken into account that some districts would be having TREs in 20-21 and those new enrichment pennies were not being carried over</t>
  </si>
  <si>
    <t>REMINDER: Once TEA approves your Tier I compressed tax rate, any change you might make to your estimated 2020 "T2" value used on the template or</t>
  </si>
  <si>
    <t>when the Comptroller certifies your 2020 "T2" value next year, your TEA-approved Tier I compressed tax rate will not change.</t>
  </si>
  <si>
    <t>4) the per capita rates for 19-20 and 20-21 have been updated to TEA's latest rates.</t>
  </si>
  <si>
    <t>tax rate.  The 'HB3-RollbackRates' tab will then display your approved rate and thus will show you what your maximum M&amp;O can be without a TRE.</t>
  </si>
  <si>
    <t>2) I've added a Formula Transition Grant Detail Report that is similar to TEA's - it is linked to the Other Programs Detail Report just like TEA's is.</t>
  </si>
  <si>
    <t>hard admittin'..." (some of the lyrics to that song)…..the good news is "I Can See Clearly Now" (at least out of one eye - the other to soon follow):</t>
  </si>
  <si>
    <t>5) you will notice that I green-shaded some old law cells for years after 20-21, as that data are not needed (and never were - just didn’t blank them out</t>
  </si>
  <si>
    <t xml:space="preserve">6) the following you can chalk up to old age - I don't even remember how/when/why I did what I did!......maybe it's "Quittin' Time" but…...…."it's so  </t>
  </si>
  <si>
    <t>in previous versions).</t>
  </si>
  <si>
    <t>consequences of doing so - one thing TEA is going to do is reduce your old law revenue that is used in the calculation of the Formula Transition Grant,</t>
  </si>
  <si>
    <t>which will either reduce the amount of the Grant of eliminate it altogether.</t>
  </si>
  <si>
    <t>19-20 revenue per ADA (adjusted if 21-22 adopted M&amp;O rate is less than max M&amp;O rate)</t>
  </si>
  <si>
    <t>ROUND 3 - corrections/updates: (not surprised?)</t>
  </si>
  <si>
    <t>ROUND 4 - corrections/updates:</t>
  </si>
  <si>
    <t>maybe).  TEA is going to adjust the old law revenue that is used in the calculation of the Formula Transition Grant in a way that is different from the way</t>
  </si>
  <si>
    <t>I described it/calculated it in Release 3, so if you are thinking about setting a lower rate, you might want to think again. The result of this new way may</t>
  </si>
  <si>
    <t>PS: a minor adjustment to the EDA yield is included in this release - changed from $38.10 to $38.58, TEA's latest estimate….if this release does not</t>
  </si>
  <si>
    <t>produce the same result as it did in Release 3, but you should run this release just in case it doesn't. The new methodology was prompted by one of</t>
  </si>
  <si>
    <t>these 'unintended consequences' that popped up using the previous methodology.</t>
  </si>
  <si>
    <r>
      <t xml:space="preserve">Before you all get too excited, this release </t>
    </r>
    <r>
      <rPr>
        <b/>
        <sz val="10"/>
        <color rgb="FFFF0000"/>
        <rFont val="Arial MT"/>
      </rPr>
      <t>ONLY</t>
    </r>
    <r>
      <rPr>
        <b/>
        <sz val="10"/>
        <rFont val="Arial MT"/>
      </rPr>
      <t xml:space="preserve"> applies to districts that get the Formula Transition Grant</t>
    </r>
    <r>
      <rPr>
        <b/>
        <sz val="10"/>
        <color rgb="FFFF0000"/>
        <rFont val="Arial MT"/>
      </rPr>
      <t xml:space="preserve"> AND </t>
    </r>
    <r>
      <rPr>
        <b/>
        <sz val="10"/>
        <rFont val="Arial MT"/>
      </rPr>
      <t xml:space="preserve">set an M&amp;O tax rate below the max M&amp;O </t>
    </r>
  </si>
  <si>
    <t>HB 3, The Compromise - Release 4 Dated 8/7/2020</t>
  </si>
  <si>
    <t>ROUND 4 - Additions.</t>
  </si>
  <si>
    <t>2) in the "You Should Think About the Consequence" category: (you youngsters might know the song this line comes from - hint: think queen of pop,</t>
  </si>
  <si>
    <t>apply to you, you can unhide the 'Weights' &amp; 'Weights-HB3' tabs and make the changes there if you wish (assuming $.40 is that critical to you).</t>
  </si>
  <si>
    <t>PS2: another release will come out after the Comptroller's final 2019 values get certified.</t>
  </si>
  <si>
    <t>1) have added a 20-21 Formula Transition Grant detail report to go along with the 19-20 one.</t>
  </si>
  <si>
    <t>thinking 'who's that?).</t>
  </si>
  <si>
    <t>rate (the max without a TRE) - only 2 that I've seen, but just so no one will be surprised…..."This One's For You" (a Manilow song - you youngsters are</t>
  </si>
  <si>
    <t>districts that get the Formula Transition Grant.</t>
  </si>
  <si>
    <t>None.</t>
  </si>
  <si>
    <t>ROUND 5 - Additions.</t>
  </si>
  <si>
    <t>ROUND 5 - corrections/updates:</t>
  </si>
  <si>
    <r>
      <t xml:space="preserve">Wish I could tell you there's "No News" but "I'd Be Lying" if I did (you C&amp;W fans will know these), and just as in Release 4, this one </t>
    </r>
    <r>
      <rPr>
        <b/>
        <sz val="10"/>
        <color rgb="FFFF0000"/>
        <rFont val="Arial MT"/>
      </rPr>
      <t>ONLY</t>
    </r>
    <r>
      <rPr>
        <b/>
        <sz val="10"/>
        <rFont val="Arial MT"/>
      </rPr>
      <t xml:space="preserve"> pertains to </t>
    </r>
  </si>
  <si>
    <t>1) in the "….Did you ever have to finally decide, Say yes to one and let the other one ride…" category (had to throw in an oldie but goodie, which you</t>
  </si>
  <si>
    <t>youngsters won't know cause you weren't born yet when these lyrics were first sung by what group?):</t>
  </si>
  <si>
    <t xml:space="preserve">I think the methodology for calculating 20-21 Formula Transition Grant (FTG) has finally been settled….the confusion had to do with the language in </t>
  </si>
  <si>
    <t>HB 3 that dictates how one part of 20-21 FTG is to be calculated - it not only uses 20-21 old law revenue per ADA but also uses the 19-20 FTG</t>
  </si>
  <si>
    <t xml:space="preserve">old law revenue per ADA calculations as well.  Since there are two separate FTG 19-20 calculations made, the issue was which one to use - the prior </t>
  </si>
  <si>
    <t>So "There You Have It" (an oldie C&amp;W tune)….this final interpretation (hopefully) may or may not change the 20-21 FTG result from Release 4 - the</t>
  </si>
  <si>
    <t>best way to tell is to run this release.</t>
  </si>
  <si>
    <t>HB 3, The Compromise - Release 5 Dated 8/14/2020</t>
  </si>
  <si>
    <t>interpretation/release used the greater of the two 19-20 calcs &amp; this final interpretation is that only the 19-20 48.277(a) part (which is referred to as</t>
  </si>
  <si>
    <t>Grant #1 on the SOF1920-HB3 tab) should be used.</t>
  </si>
  <si>
    <t>20-21 MCRs</t>
  </si>
  <si>
    <t>SPECED_HOMEBOUND_FTE</t>
  </si>
  <si>
    <t>SPECED_HOSPITAL_FTE</t>
  </si>
  <si>
    <t>SPECED_SPEECH_FTE</t>
  </si>
  <si>
    <t>SPECED_RESOURCE_FTE</t>
  </si>
  <si>
    <t>SPECED_SELF_CONTAIN_FTE</t>
  </si>
  <si>
    <t>SPECED_SELF_CONT_SV_FTE</t>
  </si>
  <si>
    <t>SPECED_OFF_CAMP_FTE</t>
  </si>
  <si>
    <t>SPECED_ST_SCHOOL_FTE</t>
  </si>
  <si>
    <t>SPECED_NONPUB_FTE</t>
  </si>
  <si>
    <t>SPECED_VAC_FTE</t>
  </si>
  <si>
    <t>PRS_FTE</t>
  </si>
  <si>
    <t>SPECED_RES_CT_FTE</t>
  </si>
  <si>
    <t>SPECED_MAINSTREAM_ADA</t>
  </si>
  <si>
    <t>EARLY_ED_ADA</t>
  </si>
  <si>
    <t>DROPOUT_ADA</t>
  </si>
  <si>
    <t>RES_FAC_ADA</t>
  </si>
  <si>
    <t>227506</t>
  </si>
  <si>
    <t>2019 Tax Year Finals</t>
  </si>
  <si>
    <t>015840</t>
  </si>
  <si>
    <t>015841</t>
  </si>
  <si>
    <t>101877</t>
  </si>
  <si>
    <t>101878</t>
  </si>
  <si>
    <t>ROUND 6 - Additions.</t>
  </si>
  <si>
    <t>1) based on recent news regarding initial student enrollment during the world we now live in, the song "What's Going On" comes to mind, and with</t>
  </si>
  <si>
    <t>ROUND 6 - corrections/updates:</t>
  </si>
  <si>
    <t xml:space="preserve">there were 13 districts that were not included in the file that I got, so if you are one of the 13, zeros will be displayed and you will need to enter values </t>
  </si>
  <si>
    <t>you think may ultimately be certified.</t>
  </si>
  <si>
    <t>labeled 'SOF20-21-HB3' which you will find as you scroll thru the multitude of tabs to the right of your screen.  If an "N" is displayed in Cell I68, you</t>
  </si>
  <si>
    <t>that, I've added yet another tab (labeled 'ADA-HH-2021') that factors in the 20-21 hold harmless (HH) ADA methodology that has been laid out by TEA.</t>
  </si>
  <si>
    <t>If your average ADA for the first 2 six weeks is lower than the HH ADA, the higher HH ADA will auto-load for the first 2 six weeks along with all the other</t>
  </si>
  <si>
    <t>will not have to pay any recapture regardless of what happens data-wise throughout the year.</t>
  </si>
  <si>
    <t>Only_Dist_Flag</t>
  </si>
  <si>
    <t>only district flag</t>
  </si>
  <si>
    <t>Is district the only district in the county? (loaded for you)</t>
  </si>
  <si>
    <t>Dropout ADA</t>
  </si>
  <si>
    <t>NIFA_ADA</t>
  </si>
  <si>
    <t>TRANS_REG_ALLOT</t>
  </si>
  <si>
    <t>TRANS_PRIVATE_ALLOT</t>
  </si>
  <si>
    <t>TRANS_SPECED_ALLOT</t>
  </si>
  <si>
    <t>TRANS_VOCED_ALLOT</t>
  </si>
  <si>
    <t>TIER_1_STU_CNT</t>
  </si>
  <si>
    <t>TIER_2_STU_CNT</t>
  </si>
  <si>
    <t>TIER_3_STU_CNT</t>
  </si>
  <si>
    <t>TIER_4_STU_CNT</t>
  </si>
  <si>
    <t>TIER_5_STU_CNT</t>
  </si>
  <si>
    <t>SCE Block 1</t>
  </si>
  <si>
    <t>SCE Block 2</t>
  </si>
  <si>
    <t>SCE Block 3</t>
  </si>
  <si>
    <t>SCE Block 4</t>
  </si>
  <si>
    <t>SCE Block 5</t>
  </si>
  <si>
    <t>CCMR_ECODIS_ENROLL</t>
  </si>
  <si>
    <t>CCMR_NONECODIS_ENROLL</t>
  </si>
  <si>
    <t>CCMR_SPED_ENROLL</t>
  </si>
  <si>
    <t>CERT_EXAM_REIMB</t>
  </si>
  <si>
    <t>COLLEGE_PREP_REIMB</t>
  </si>
  <si>
    <t>BIL_ADA</t>
  </si>
  <si>
    <t>SCE_RES_FAC_NON_ENROLL</t>
  </si>
  <si>
    <t>DYSLEXIA_ENROLL</t>
  </si>
  <si>
    <t>PEG_ADA</t>
  </si>
  <si>
    <t>BIL_LEP_DUAL_ADA</t>
  </si>
  <si>
    <t>BIL_NONLEP_DUAL_ADA</t>
  </si>
  <si>
    <t xml:space="preserve">Total Tier I Entitlement - ASF </t>
  </si>
  <si>
    <t>Excess Local Revenue (Tier One) = Line 8 - (Line 5 - Line 6)</t>
  </si>
  <si>
    <t>Excess Local Revenue After Adjustment for Collections TEC 48.257(b)</t>
  </si>
  <si>
    <t>Does district retain sufficient local collections after recapture to fund its entitlement</t>
  </si>
  <si>
    <t>Line 1 - Line 9 - (Line 5 - Line 6)</t>
  </si>
  <si>
    <t>Excess Local Revenue After Adjustment for Collections = Max ((Line 9 + Line 10),0)</t>
  </si>
  <si>
    <t>Total Tier II Level Two Entitlement</t>
  </si>
  <si>
    <t>Local Share of Tier II Level Two Entitlement</t>
  </si>
  <si>
    <t>CAD Cost</t>
  </si>
  <si>
    <t>CAD Cost Credit</t>
  </si>
  <si>
    <t xml:space="preserve">2021-22 Cost of Recapture Report </t>
  </si>
  <si>
    <t xml:space="preserve">2022-23 Cost of Recapture Report </t>
  </si>
  <si>
    <t xml:space="preserve">2023-24 Cost of Recapture Report </t>
  </si>
  <si>
    <t xml:space="preserve">2024-25 Cost of Recapture Report </t>
  </si>
  <si>
    <r>
      <rPr>
        <sz val="12"/>
        <rFont val="Arial MT"/>
      </rPr>
      <t xml:space="preserve">Local Revenue in Excess of Entitlement  </t>
    </r>
    <r>
      <rPr>
        <sz val="12"/>
        <color indexed="12"/>
        <rFont val="Arial MT"/>
      </rPr>
      <t xml:space="preserve">              </t>
    </r>
    <r>
      <rPr>
        <sz val="12"/>
        <color rgb="FFFF0000"/>
        <rFont val="Arial MT"/>
      </rPr>
      <t>(Link to Cost of Recapture Report)</t>
    </r>
  </si>
  <si>
    <t>&lt;= Enter the charge for having students enrolled in the TX School for the Deaf - can be found on TEA's Other Programs Detail Report.</t>
  </si>
  <si>
    <t>&lt;= Enter the charge for having students enrolled in the TX School for the Blind &amp; Visually Impaired - can be found on TEA's Other Programs Detail Report.</t>
  </si>
  <si>
    <t>2) In the "Do You Believe in Magic" category (yet another oldie but goodie): the ESSER ADA and the COVID ADA/FTEs that didn't get adjusted by ESSER</t>
  </si>
  <si>
    <t>4) the MCR that you had to enter in the previous release has now been auto-loaded for you.</t>
  </si>
  <si>
    <t>5) the final 2019 Comptroller values have now been auto-loaded and replace the previous preliminary values that were auto-loaded….I was told that</t>
  </si>
  <si>
    <t>6) the official list of Ch 49 (recapture) districts has now been factored in - if you are on that official list, a "Y" will be displayed in Cell I68 on a tab</t>
  </si>
  <si>
    <t>&lt;= Enter the Total Refined ADA that was on your 19-20 Summary of Finance prior to TEA running the first "near final" run - it will be on Line 1 under the "DPE" column.</t>
  </si>
  <si>
    <t>ADA Prior to the 1st 19-20 Near Final Run</t>
  </si>
  <si>
    <t>HB 3, The Compromise - Release 6 Dated 9/21/2020</t>
  </si>
  <si>
    <t>other data for 19-20, mainly your tax rate/collections - these cells are shaded in blue so you have no excuse for not seeing them!</t>
  </si>
  <si>
    <t xml:space="preserve">have been loaded for you, along with some other miscellaneous data - you're welcome…..but before you get too excited, you still have to enter some </t>
  </si>
  <si>
    <t xml:space="preserve">Cells C101 thru C104. </t>
  </si>
  <si>
    <t>Tier I compressed rates - old law</t>
  </si>
  <si>
    <t>MO_RATE_COMPR</t>
  </si>
  <si>
    <t>3) and now that the trade-off between your Foundation School Fund (FSF) and your new ESSER funds has been made for 19-20 (for most districts</t>
  </si>
  <si>
    <t>anyway), I've added yet another tab (labeled 'FSF-ESSER ADJ1920') that will show you the results of the trade-off….this is just an FYI tab and please</t>
  </si>
  <si>
    <t>8) and last but certainly not least, the 20-21 per capita rate has been changed from $476.710 to TEA's latest rate of $411.574….and BTW (in case you</t>
  </si>
  <si>
    <r>
      <t xml:space="preserve">old folks have forgotten that I previously told you what that stands for, it's </t>
    </r>
    <r>
      <rPr>
        <b/>
        <i/>
        <sz val="10"/>
        <rFont val="Arial MT"/>
      </rPr>
      <t>By The Way</t>
    </r>
    <r>
      <rPr>
        <b/>
        <sz val="10"/>
        <rFont val="Arial MT"/>
      </rPr>
      <t xml:space="preserve">), in the "Ball of Confusion" category (another oldie but goodie): </t>
    </r>
  </si>
  <si>
    <t>I'm told that the prior-year ADA that this rate is applied to for 20-21 Available School Fund purposes is the ADA on your last 19-20 Summary of Finances</t>
  </si>
  <si>
    <t>HH ADA/FTE counts, regardless of how your other, actual ADA/FTE counts compare to the ones that auto-load…. hope this FYI tab helps.</t>
  </si>
  <si>
    <t>read the instructions at the top of that new tab….hope this FYI tab helps more than confuses.</t>
  </si>
  <si>
    <t>7) if you are the only district in your county, a "Y" has now been auto-loaded for you.</t>
  </si>
  <si>
    <t>Stay safe, mask up, social distance, wash hands frequently, don't go to any gender-revealing parties, etc, etc….."What's Going On"!!</t>
  </si>
  <si>
    <t xml:space="preserve">created yet another data entry cell (Cell C88) where you will enter that particular ADA.  BTW (I'm getting "Carried Away" now), the use of that particular </t>
  </si>
  <si>
    <t>ADA may change later on in the year if/when the per capita rate changes.</t>
  </si>
  <si>
    <r>
      <rPr>
        <b/>
        <sz val="10"/>
        <color rgb="FFFF0000"/>
        <rFont val="Arial MT"/>
      </rPr>
      <t>prior to</t>
    </r>
    <r>
      <rPr>
        <b/>
        <sz val="10"/>
        <rFont val="Arial MT"/>
      </rPr>
      <t xml:space="preserve"> </t>
    </r>
    <r>
      <rPr>
        <b/>
        <sz val="10"/>
        <color rgb="FFFF0000"/>
        <rFont val="Arial MT"/>
      </rPr>
      <t>the 1st NF run</t>
    </r>
    <r>
      <rPr>
        <b/>
        <sz val="10"/>
        <rFont val="Arial MT"/>
      </rPr>
      <t xml:space="preserve"> (the ADA under the "DPE" column), so you will have to pull up that 19-20 run and enter it somewhere - where you ask? - I've </t>
    </r>
  </si>
  <si>
    <t>have been subject to recapture under old law - there is an issue (I think) related to the CAD credit that TEA will resolve in the near future.</t>
  </si>
  <si>
    <t>Teacher Incentive Allotment (may not be available yet)</t>
  </si>
  <si>
    <t>Mentor Program Allotment (may not be available yet)</t>
  </si>
  <si>
    <t>TIER_I_MO_TAX_RATE</t>
  </si>
  <si>
    <t>Tier I compressed rates - new law</t>
  </si>
  <si>
    <t>Disclaimer: The data loaded are as of 9/17/20 - "near final" runs after that date may have slightly different data, primarily for the set-asides found in</t>
  </si>
  <si>
    <t>To Formula Transition Grant districts: FYI, the amount of the 19-20 Grant calculated on this template may not match TEA's Grant amount if you would</t>
  </si>
  <si>
    <t>HB 3, The Compromise - Release 7 Dated 10/26/2020</t>
  </si>
  <si>
    <t>This is the COVID release.  In case some of you have been wondering why you haven't heard from me lately, I tested positive for COVID 3 weeks ago.</t>
  </si>
  <si>
    <t>ROUND 7 - Additions.</t>
  </si>
  <si>
    <t>the old law fractional-funding adjustment to the old law compressed rate - I loaded the already-adjusted old law compressed rates but did not undo</t>
  </si>
  <si>
    <t>the calculations that the template was doing to calculate the frac-funding adjusted old law compressed rates, so it was adjusting a rate that had already</t>
  </si>
  <si>
    <t>been adjusted….so now you should be able to reconcile, as I have on several districts.</t>
  </si>
  <si>
    <t>ADA was being used as the divisor to get old law revenue per ADA - it was using ESSER-Adjusted ADA instead of COVID(ugh)-Adjusted ADA.</t>
  </si>
  <si>
    <t>1) on the 'ADA-HH-2021' tab, the new 3rd six weeks ADA hold harmless allowance adopted by TEA has been incorporated into the mix.  Please read</t>
  </si>
  <si>
    <t>the notes at the top of that tab that hopefully accurately describe how all this is supposed to work.</t>
  </si>
  <si>
    <t>2) the 1920-21 ADA that you had to enter in Release 6 for Available School Fund purposes has now been loaded for you.</t>
  </si>
  <si>
    <t xml:space="preserve">3) for some of you Formula Transition Grant folks that have been struggling with reconciling the template's results to TEA's, the problem related to </t>
  </si>
  <si>
    <t>4) and also for some Formula Transition Grant districts that get the (d-1) portion of the Grant (the one that expires at the and of 20-21), the wrong</t>
  </si>
  <si>
    <t>It started out with bad flu-like symptoms and went downhill for a while from that point, so much so that I had to go to the ER, then for an overnight stay</t>
  </si>
  <si>
    <t xml:space="preserve">5) and again for Formula Transition Grant districts that adopt an M&amp;O tax rate below its max M&amp;O rate, a change to the methodology being used to </t>
  </si>
  <si>
    <t xml:space="preserve">adjust the old law revenue has been made beginning in 21-22 when the 5th additional golden penny becomes automatic (instead of being </t>
  </si>
  <si>
    <t>that choose to only have the 4 golden pennies, since adopting the 5th one would not change total revenue.</t>
  </si>
  <si>
    <t>dependent on unanimous board vote like it was in 20-21)….the adjustment for setting an M&amp;O rate below the max M&amp;O rate will not kick in for districts</t>
  </si>
  <si>
    <t>that doesn't mean that the following changes are only 80% correct!</t>
  </si>
  <si>
    <t xml:space="preserve">at a hospital, so that fits into the "Hurt So Bad" category (my favorite singer from the old days).  The good news - I'm about 80% recovered, and I hope </t>
  </si>
  <si>
    <t>MCR [Lesser of (1) or (2)]</t>
  </si>
  <si>
    <t>(2) SCP = PYCP x 1.025 / (1 + ECPV)</t>
  </si>
  <si>
    <t>(3) Prior-yr %</t>
  </si>
  <si>
    <t>Sec 48.255(b): St Compression % (SCP) = lesser of:</t>
  </si>
  <si>
    <t>Prior Yr Compression Percentage (PYCP)</t>
  </si>
  <si>
    <t>Prior Yr District Property Value (PYDPV)</t>
  </si>
  <si>
    <t>Sec 48.2551(b): Max Compressed Tax Rate (MCR): Lesser of (1) or (2):</t>
  </si>
  <si>
    <t xml:space="preserve">          (1) MCR = (1.025 X ((PYDPV+E) X PYMCR)) / DPV </t>
  </si>
  <si>
    <t xml:space="preserve">Expiration of Ch 313 or some Ch 311 value limitation (E) </t>
  </si>
  <si>
    <t>District Current Yr Property Value (DPV)</t>
  </si>
  <si>
    <t>SCP [Lesser of (1), (2), or (3)]</t>
  </si>
  <si>
    <t>single out the results of those calculations here in order to draw attention to the importance of MCRs, since they relate to the maximum M&amp;O tax rate</t>
  </si>
  <si>
    <r>
      <rPr>
        <b/>
        <u/>
        <sz val="12"/>
        <color rgb="FFFF0000"/>
        <rFont val="Arial MT"/>
      </rPr>
      <t>This tab is only for display purposes</t>
    </r>
    <r>
      <rPr>
        <b/>
        <sz val="12"/>
        <color rgb="FFFF0000"/>
        <rFont val="Arial MT"/>
      </rPr>
      <t xml:space="preserve"> - the actual calculations can be found towards the bottom of the 'Calc Data' tab.  I thought it was important to</t>
    </r>
  </si>
  <si>
    <t>Estimated Comptroller's Property Value growth (ECPV)</t>
  </si>
  <si>
    <t xml:space="preserve">Prior Yr Maximum Compressed Rate (PYMCR) </t>
  </si>
  <si>
    <t xml:space="preserve">you can set (found on the 'HB3-RollbackRates' tab) without a Voter-Approval Tax Rate (VATR), formally known as a TRE (which is what I still call it).  </t>
  </si>
  <si>
    <t>2020-21 Taxes Collected for TIF</t>
  </si>
  <si>
    <t>Not Available Yet</t>
  </si>
  <si>
    <t>Prior Law Total M&amp;O Collections</t>
  </si>
  <si>
    <t>Prior Law FSP operations funding (adjusted for sale of WADA and netting recapture</t>
  </si>
  <si>
    <t>against state aid)</t>
  </si>
  <si>
    <t>Prior Law ASF Allotment</t>
  </si>
  <si>
    <t>Prior Law recapture</t>
  </si>
  <si>
    <t>Prior Law Total M&amp;O Revenue =  line 1 + line 2 + line 3 - line 4</t>
  </si>
  <si>
    <t>Prior Law M&amp;O Tax Rate</t>
  </si>
  <si>
    <t>Prior Law Expected M&amp;O Tax Rate: min (1) prior law M&amp;O rate, or (2) maximum</t>
  </si>
  <si>
    <t xml:space="preserve">compressed rate; + min (1) prior law M&amp;O rate - 1, or (2) .08;  + min (1) .0583, or </t>
  </si>
  <si>
    <t xml:space="preserve">(2) max (1) 0, or (2) (prior law M&amp;O rate - 1.08)*.64834 </t>
  </si>
  <si>
    <t>Current Law M&amp;O Tax Rate</t>
  </si>
  <si>
    <t xml:space="preserve">Ratio (if current law M&amp;O tax rate &lt; prior law expected M&amp;O tax rate, then </t>
  </si>
  <si>
    <t>ratio = current law M&amp;O tax rate / prior law expected M&amp;O tax rate</t>
  </si>
  <si>
    <t xml:space="preserve">Prior Law Total M&amp;O Revenue adjusted for prior law expected M&amp;O tax rate </t>
  </si>
  <si>
    <t>(line 5 * line 9)</t>
  </si>
  <si>
    <t>Prior Law Refined Average Daily Attendance (ADA)</t>
  </si>
  <si>
    <t>&lt; latest from TEA</t>
  </si>
  <si>
    <t>Prior Law Total M&amp;O Revenue Adjusted for Prior Law Expected Tax Rate (see Column N)</t>
  </si>
  <si>
    <t>Prior Law Total M&amp;O Revenue Excluding 92-93 Hold Harmless (see Column N)</t>
  </si>
  <si>
    <t>19-20 revenue per ADA</t>
  </si>
  <si>
    <t>Expired</t>
  </si>
  <si>
    <t>HB3 M&amp;O Rollback Rate (Max M&amp;O rates allowed without a TRE - Calculated for you)</t>
  </si>
  <si>
    <t xml:space="preserve">&lt;= If the district qualifies for the Formula Transition Grant, enter the amount, if any, from Line 10 on TEA's latest Formula Transition Grant Detail Report (the link is on the Other Programs Detail Report). </t>
  </si>
  <si>
    <t xml:space="preserve">&lt;= If the district qualifies for the Formula Transition Grant, enter the amount, if any, from Line 19 on TEA's latest Formula Transition Grant Detail Report (the link is on the Other Programs Detail Report). </t>
  </si>
  <si>
    <t>See Note</t>
  </si>
  <si>
    <t>HB 3, The Compromise - Release 8 Dated 01/26/2021</t>
  </si>
  <si>
    <t>2019-20: In Cell C97, enter the amount on Line 10 of that 19-20 FTG Detail Report &amp; in Cell C98, enter the amount on Line 19 of that same report.</t>
  </si>
  <si>
    <t>2020-21: In Cell E97, enter the amount on Line 10 of that 20-21 FTG Detail Report &amp; in Cell E98, enter the amount on Line 19 of that same report.</t>
  </si>
  <si>
    <t>ROUND 8 - Additions.</t>
  </si>
  <si>
    <t>which is linked from the Other Programs Detail Report link.  So here's what you need to do:</t>
  </si>
  <si>
    <t>2) I have taken part of the calculations that are done on the Calc Data tab and added yet another tab to display those results.  The new 'MCR_Calcs' tab</t>
  </si>
  <si>
    <t>is intended to emphasize that the Tier I maximum compressed rate (MCR) that the template calculates may or may not be the same "official" MCR that</t>
  </si>
  <si>
    <t>TEA will calculate later this summer.  If you can remember back to last summer (and I barely can), you had to send TEA some data related to your</t>
  </si>
  <si>
    <t>7/25/2019 and 7/25/2020 certified CAD values, and from that, TEA calculated a growth rate, and from that, they calculated your "official" MCR…..so the</t>
  </si>
  <si>
    <t>3) "ch-ch-ch-changes…." (no, I don't stutter, but this singer did on this kinda-now oldie tune, which you youngsters may or may not know)…..you all</t>
  </si>
  <si>
    <t>same process will take place this summer……and because of this, you won't know what your official 21-22 M&amp;O tax rate will be (with or without a TRE),</t>
  </si>
  <si>
    <t>And we can't keep holding on</t>
  </si>
  <si>
    <t>When all we need is some relief…"</t>
  </si>
  <si>
    <t>just like you didn't know what your official 2020-21 M&amp;O rate was going to be until sometime in early August last summer.</t>
  </si>
  <si>
    <r>
      <t>"</t>
    </r>
    <r>
      <rPr>
        <b/>
        <i/>
        <sz val="10"/>
        <color rgb="FF444444"/>
        <rFont val="Arial"/>
        <family val="2"/>
      </rPr>
      <t>...Say goodbye, these days are gone</t>
    </r>
  </si>
  <si>
    <t>Take care and be safe.</t>
  </si>
  <si>
    <t>singer is the same one that sang one of the songs mentioned above), you will win a free review of your templates for life (at least my life anyway) :(</t>
  </si>
  <si>
    <t>Happy Belated New Year!.....will be another year older and probably somewhat shorter! :(</t>
  </si>
  <si>
    <t xml:space="preserve">1) OK, for all you Formula Transition Grant (FTG) districts out there - this applies only to you.  We (and by that I mean you, me, and even TEA I think) </t>
  </si>
  <si>
    <t>the old law data entry requirements (you're welcome).  In doing so, I needed 2 new data entry items that you can get from TEA's FTG Detail Report,</t>
  </si>
  <si>
    <t>have had a heck of a time with this Grant, so in an effort to simplify the reconciliation between this template and TEA's results, I have done away with all</t>
  </si>
  <si>
    <t>In closing, I heard this song the other day &amp; it struck a cord - if you can tell me what song this part comes from (w/o Google) and who sings it (hint - the</t>
  </si>
  <si>
    <t xml:space="preserve">4) some other minor changes were made which you probably won't even notice (although you will notice some of the "T" values are gone), so I won't </t>
  </si>
  <si>
    <t>to be extended, a question I frequently get.</t>
  </si>
  <si>
    <t>mention them……and oh BTW (remember I had to ask my daughter what that meant), I do not know whether the ADA hold harmless provisions are going</t>
  </si>
  <si>
    <t>probably think I'm weird with the songs, but "I'm not crazy, I'm just a little impaired, I know, right now you don't care…." (another one you youngsters</t>
  </si>
  <si>
    <t>might know).  Anywho, related to #2 above, part of those calculations use the Comptroller's estimate of statewide property value growth that will be</t>
  </si>
  <si>
    <t>certified to the Legislature sometime late next month or early the next.  In Cells C13 &amp; D13 on the new MCR_Calcs tab, you will see the Comptroller's</t>
  </si>
  <si>
    <t>estimates as of last October: .29% for 21-22 and 3.92% for 22-23…..if the 'official' certified estimate for 21-22 is close to the .29%, we will have the same</t>
  </si>
  <si>
    <t>.9164 maximum MCR and therefore the same minimum .8247 MCR for the 21-22 school year as we do now for 20-21. Once the 'official' statewide growth</t>
  </si>
  <si>
    <t>rates are known and if different, I may put out another release or just ask you to change the official rates on the Calc Data tab.</t>
  </si>
  <si>
    <t>ROUND 9 - Additions.</t>
  </si>
  <si>
    <t>compressed rate for 20-21, but it will change your 20-21 local shares of Tier I &amp; Tier II….and  may affect the Formula Transition Grant, if applicable.</t>
  </si>
  <si>
    <t>your "official" MCR.</t>
  </si>
  <si>
    <t xml:space="preserve">3) a wrong cell reference was discovered on the Calc Data tab related to the calculation of the MCR for 21-22 and beyond and has been fixed…..the fix  </t>
  </si>
  <si>
    <t xml:space="preserve">TEA's FTG Detail Report in Release 8  was so that you could reconcile the template's results to TEA's…..however, solving that problem created </t>
  </si>
  <si>
    <t>the FTG, in some cases TEA's results were significantly different from the results you were seeing using your own data.</t>
  </si>
  <si>
    <t xml:space="preserve">If this applies to you, you can use Release 7 where old law data were used to get a more reasonable estimate of your FTG. TEA usually updates the DPE </t>
  </si>
  <si>
    <t>estimates. Assuming those estimates are within shouting distance from the estimates you are using, the FTG results in Release 8 and this Release</t>
  </si>
  <si>
    <t xml:space="preserve">2) in the 'no good deed goes unpunished' &amp; 'you can't win for losing' categories: the reason I did away with using old law data and just used data from </t>
  </si>
  <si>
    <t>another, in that you no longer had to ability to see the FTG results using your own data…….and because TEA is currently using LPE data in computing</t>
  </si>
  <si>
    <t xml:space="preserve">data with their estimates of student counts sometime in the February/March timeframe, and thus, the FTG Detail Report should be updated using those </t>
  </si>
  <si>
    <t>should then be better aligned….until then, continue using Release 7 for FTG purposes.</t>
  </si>
  <si>
    <t>may or may not change the MCR from the prior releases….keep in mind that the MCRs that this template calculates is not "official" as TEA will compute</t>
  </si>
  <si>
    <t xml:space="preserve">1) the Comptroller's certified preliminary 2020 values have now been loaded for you….keep in mind that this value is not going to change your Tier I </t>
  </si>
  <si>
    <t>4) fyi: rumors floating around regarding extension of the ADA hold harmless, so IF that happens, expect yet another release…in the meantime,</t>
  </si>
  <si>
    <t>"Keep on Truckin'" (you youngsters won't know this one - your mom &amp; dad may not have been born yet).</t>
  </si>
  <si>
    <t>HB 3, The Compromise - Release10 Dated 03/22/2021</t>
  </si>
  <si>
    <t>ROUND 10 - Additions.</t>
  </si>
  <si>
    <r>
      <rPr>
        <b/>
        <sz val="10"/>
        <color rgb="FFFF0000"/>
        <rFont val="Arial MT"/>
      </rPr>
      <t>'ADA-HH-2021'</t>
    </r>
    <r>
      <rPr>
        <b/>
        <sz val="10"/>
        <rFont val="Arial MT"/>
      </rPr>
      <t xml:space="preserve"> tab has been updated reflecting TEA's methodology/criteria (as of this release). So here goes:  </t>
    </r>
  </si>
  <si>
    <r>
      <t xml:space="preserve">   a) </t>
    </r>
    <r>
      <rPr>
        <b/>
        <u/>
        <sz val="10"/>
        <rFont val="Arial MT"/>
      </rPr>
      <t>the 1st set of questions pertains to the 3rd six-weeks</t>
    </r>
    <r>
      <rPr>
        <b/>
        <sz val="10"/>
        <rFont val="Arial MT"/>
      </rPr>
      <t>: If you were not initially eligible for the ADA HH during this six-weeks, you can now become</t>
    </r>
  </si>
  <si>
    <r>
      <t xml:space="preserve">       the 2 questions.  Again, you will notice that I have assumed that your answer would be </t>
    </r>
    <r>
      <rPr>
        <b/>
        <sz val="10"/>
        <color rgb="FFFF0000"/>
        <rFont val="Arial MT"/>
      </rPr>
      <t>Y</t>
    </r>
    <r>
      <rPr>
        <b/>
        <sz val="10"/>
        <rFont val="Arial MT"/>
      </rPr>
      <t xml:space="preserve">, but if that is not the case, then change the </t>
    </r>
    <r>
      <rPr>
        <b/>
        <sz val="10"/>
        <color rgb="FFFF0000"/>
        <rFont val="Arial MT"/>
      </rPr>
      <t>Y</t>
    </r>
    <r>
      <rPr>
        <b/>
        <sz val="10"/>
        <rFont val="Arial MT"/>
      </rPr>
      <t xml:space="preserve"> to </t>
    </r>
    <r>
      <rPr>
        <b/>
        <sz val="10"/>
        <color rgb="FFFF0000"/>
        <rFont val="Arial MT"/>
      </rPr>
      <t>N</t>
    </r>
    <r>
      <rPr>
        <b/>
        <sz val="10"/>
        <rFont val="Arial MT"/>
      </rPr>
      <t>.</t>
    </r>
  </si>
  <si>
    <t>Obviously, you will not know for sure if you qualify for the additional HH protection until the end of the 6th six-weeks, so for now, you will have to use</t>
  </si>
  <si>
    <t xml:space="preserve">estimates.  If you do qualify based on your estimates, the HH ADA/FTEs will load automatically and the annual averages will populate the cells on the </t>
  </si>
  <si>
    <t>data entry tab.  If you don't qualify, only your actual ADA will load and you will have to enter all the other counts on the data entry tab (you will over-ride</t>
  </si>
  <si>
    <t>School Year 2021-22 Only:</t>
  </si>
  <si>
    <r>
      <t xml:space="preserve">   b) </t>
    </r>
    <r>
      <rPr>
        <b/>
        <u/>
        <sz val="10"/>
        <rFont val="Arial MT"/>
      </rPr>
      <t>the 2nd set of questions pertains to the 2nd semester that may now be eligible for the ADA HH</t>
    </r>
    <r>
      <rPr>
        <b/>
        <sz val="10"/>
        <rFont val="Arial MT"/>
      </rPr>
      <t xml:space="preserve">: you will be eligible if the answer is </t>
    </r>
    <r>
      <rPr>
        <b/>
        <sz val="10"/>
        <color rgb="FFFF0000"/>
        <rFont val="Arial MT"/>
      </rPr>
      <t>Y</t>
    </r>
    <r>
      <rPr>
        <b/>
        <sz val="10"/>
        <rFont val="Arial MT"/>
      </rPr>
      <t xml:space="preserve"> to either of</t>
    </r>
  </si>
  <si>
    <r>
      <t xml:space="preserve">       It is my understanding that districts will be able opt out of the ADA HH protection if needed even if the answers to any of the 2 questions is </t>
    </r>
    <r>
      <rPr>
        <b/>
        <sz val="10"/>
        <color rgb="FFFF0000"/>
        <rFont val="Arial MT"/>
      </rPr>
      <t>Y</t>
    </r>
    <r>
      <rPr>
        <b/>
        <sz val="10"/>
        <rFont val="Arial MT"/>
      </rPr>
      <t xml:space="preserve">.  </t>
    </r>
  </si>
  <si>
    <t>to 4.36% (was 3.92%) for 22-23.  The 1.84% means that we will have the same max MCR of $.9164 and therefore the same min MCR of $.8247 for 21-22.</t>
  </si>
  <si>
    <t>discovering there was a problem.</t>
  </si>
  <si>
    <t>'DistCharter-Funding2122'.</t>
  </si>
  <si>
    <r>
      <t xml:space="preserve">1) for districts that partner with a charter school, the additional allotment for that partnership can now be calculated (see tabs </t>
    </r>
    <r>
      <rPr>
        <b/>
        <sz val="10"/>
        <color rgb="FF0070C0"/>
        <rFont val="Arial MT"/>
      </rPr>
      <t>'DistCharter-Data2122'</t>
    </r>
    <r>
      <rPr>
        <b/>
        <sz val="10"/>
        <rFont val="Arial MT"/>
      </rPr>
      <t xml:space="preserve"> and</t>
    </r>
  </si>
  <si>
    <t xml:space="preserve">2) the "Anticipation" (another oldie) is over (hopefully)….…..by now you all know that the ADA HH has been extended for the 2nd semester, so the </t>
  </si>
  <si>
    <t xml:space="preserve">the formulas in those cells). </t>
  </si>
  <si>
    <t>Also, the 4th, 5th and 6th six-weeks are being treated as one set, so it's "All or Nothing" (bet you don't know this one) - you either qualify or you don't.</t>
  </si>
  <si>
    <t xml:space="preserve">       For example, if actual ADA for the 4th and/or 5th six-weeks is greater than the HH ADA and the 6th six-weeks qualifies for the HH ADA,  the district</t>
  </si>
  <si>
    <t xml:space="preserve">       can opt out of using the HH ADA/FTEs if using actuals is better financially.</t>
  </si>
  <si>
    <t>4) a correction has been made on the 'HB3-RollbackRates' tab that applies to districts that have had or will have a (VA)TRE - shout out to McAllen ISD for</t>
  </si>
  <si>
    <t>5) the Comptroller's official estimates of statewide property value growth for the upcoming biennium have been updated to 1.84% (was .29%) for 21-22 and</t>
  </si>
  <si>
    <t>6) the list of districts eligible for the Fast Growth Allotment in 21-22 has been auto-loaded.</t>
  </si>
  <si>
    <t>Welcome back all you spring-breakers…..while "Everybody's going out and having fun" (opening line to what song?), and hopefully staying safe, I was</t>
  </si>
  <si>
    <t>student counts…..this new rule has been incorporated in this release. Also, the 20-21 data for Blocks 1-5 have been loaded for you that reflects the latest</t>
  </si>
  <si>
    <t>data TEA has.</t>
  </si>
  <si>
    <t>working (well maybe not all the time), and I know some of you were too, as I got a few calls and emails last week….so just to catch up:</t>
  </si>
  <si>
    <r>
      <t xml:space="preserve">       eligible if the answer is </t>
    </r>
    <r>
      <rPr>
        <b/>
        <sz val="10"/>
        <color rgb="FFFF0000"/>
        <rFont val="Arial MT"/>
      </rPr>
      <t>Y</t>
    </r>
    <r>
      <rPr>
        <b/>
        <sz val="10"/>
        <rFont val="Arial MT"/>
      </rPr>
      <t xml:space="preserve"> to any of the 2 applicable questions (there are 3 but one should have an "N/A") that I have built in under this section.  You </t>
    </r>
  </si>
  <si>
    <r>
      <t xml:space="preserve">       will notice that I have assumed that your answer would be </t>
    </r>
    <r>
      <rPr>
        <b/>
        <sz val="10"/>
        <color rgb="FFFF0000"/>
        <rFont val="Arial MT"/>
      </rPr>
      <t>Y</t>
    </r>
    <r>
      <rPr>
        <b/>
        <sz val="10"/>
        <rFont val="Arial MT"/>
      </rPr>
      <t xml:space="preserve">, but if my assumption is wrong, then change the </t>
    </r>
    <r>
      <rPr>
        <b/>
        <sz val="10"/>
        <color rgb="FFFF0000"/>
        <rFont val="Arial MT"/>
      </rPr>
      <t>Y</t>
    </r>
    <r>
      <rPr>
        <b/>
        <sz val="10"/>
        <rFont val="Arial MT"/>
      </rPr>
      <t xml:space="preserve"> to </t>
    </r>
    <r>
      <rPr>
        <b/>
        <sz val="10"/>
        <color rgb="FFFF0000"/>
        <rFont val="Arial MT"/>
      </rPr>
      <t>N</t>
    </r>
    <r>
      <rPr>
        <b/>
        <sz val="10"/>
        <rFont val="Arial MT"/>
      </rPr>
      <t>.</t>
    </r>
  </si>
  <si>
    <t xml:space="preserve">3) an update has been made to the Comp. Ed. Allotment for 20-21: you will now get to use the greater of 19-20 weighted student counts or 20-21 weighted </t>
  </si>
  <si>
    <t xml:space="preserve">By now, this is "Second Hand News" (you youngsters may not know this one), but TEA now has revised guidelines related to the ADA HH (if you don't </t>
  </si>
  <si>
    <t>know what that is, see notes to the previous release that you didn't read).  That is the main focus of this release.</t>
  </si>
  <si>
    <t>ROUND 11 - Additions.</t>
  </si>
  <si>
    <t xml:space="preserve">1) the good news is that TEA is going to determine for you whether or not using their ADA HH methodology is better for you financially, so you don't </t>
  </si>
  <si>
    <t xml:space="preserve">   - Set 1 is the average ADA for the 1st two six-weeks</t>
  </si>
  <si>
    <t xml:space="preserve">   - Set 2 is the ADA for the 3rd six-weeks</t>
  </si>
  <si>
    <t xml:space="preserve">   - Set 1: district gets the ADA HH</t>
  </si>
  <si>
    <t xml:space="preserve">   - Set 2: district gets the ADA HH</t>
  </si>
  <si>
    <t xml:space="preserve">   - Set 3: district gets the ADA HH</t>
  </si>
  <si>
    <t xml:space="preserve">   - Set 3: district does not get the ADA HH</t>
  </si>
  <si>
    <t xml:space="preserve">and a run #2, so if you get "Double Vision" (another oldie), it won't be your fault.  </t>
  </si>
  <si>
    <t xml:space="preserve">   - Set 2: district does not get the ADA HH</t>
  </si>
  <si>
    <t>my logic was illogical.</t>
  </si>
  <si>
    <t>TTFN ( BTW, for those that are not hip, that stands for 'Ta Ta For Now' - OMG, I'm turning into one of those!)</t>
  </si>
  <si>
    <t>HB 3, The Compromise - Release11 Dated 04/19/2021</t>
  </si>
  <si>
    <t>The result of any combination of the 3 sets will be run #1…..probably the most common combinations will be:</t>
  </si>
  <si>
    <t>The tab labeled 'ADA-HH-2021' is essentially run #1 and is comprised of 3 different sets:</t>
  </si>
  <si>
    <t>have to figure that out yourself (unless you want to using this template - more on that later).  So the way it is being described is there will be a run #1</t>
  </si>
  <si>
    <t>fixed.</t>
  </si>
  <si>
    <t>3) if you partner with a charter school to operate at least one of your campuses, the Sp. Ed. weighted FTES were not computing correctly and has been</t>
  </si>
  <si>
    <t>the Total Cost of Tier I.</t>
  </si>
  <si>
    <t>4) if you don't offer all grades and pay tuition to other districts that do, the calculation of WADA was not subtracting out that allotment that you get from</t>
  </si>
  <si>
    <t>Hopefully you get the idea - again, any combination will be run #1 and will be compared to run #2, which will use ACTUAL ADA/FTEs from the PEIMS</t>
  </si>
  <si>
    <t>summer submission.  So if you don't want to wait until "near final" to find out, what you can do is enter the required data on the 'ADA-HH-2021' tab and</t>
  </si>
  <si>
    <t>then complete the rest of the data on the 'Data Entry - SOF' tab…..then go to the 'Report-SOF2021-HB3 tab' to get your total state aid - that is your run #1.</t>
  </si>
  <si>
    <t>2) speaking of the 'ADA-HH-2021' tab, it was not working correctly in a few rare instances, so hopefully it is now fixed for all scenarios - some of</t>
  </si>
  <si>
    <t xml:space="preserve">   - Set 3 is the ADA for the 4th, 5th, and 6th six-weeks</t>
  </si>
  <si>
    <t>For run #2, you will enter your ACTUAL ADA/FTEs instead (there are formulas in many of those cells, so you will be overriding those formulas) along with</t>
  </si>
  <si>
    <t>will get the greater of the two runs. "Dazed and Confused"?? (song, not the dumb &amp; dumber movie) - you are probably not alone.</t>
  </si>
  <si>
    <t>the other required data on the 'Data Entry - SOF' tab….then go to the 'Report-SOF2021-HB3' tab to get your total state aid - that is your run #2….and you</t>
  </si>
  <si>
    <t>'Cause the drinks bring back all the memories</t>
  </si>
  <si>
    <t>Of everything we've been through…..</t>
  </si>
  <si>
    <t>PS: one of these days when I'm sitting in my rocking chair sipping my favorite beverage, these lyrics will come to mind (you hipsters will know this one):</t>
  </si>
  <si>
    <t>C&amp;T Grades 7-12 not in approved program of study</t>
  </si>
  <si>
    <t>C&amp;T Grades 7-12 Levels 1 &amp; 2 in approved program of study</t>
  </si>
  <si>
    <t>C&amp;T Grades 7-12 Levels 3 &amp; 4 in approved program of study</t>
  </si>
  <si>
    <t>greater of (to be added to 6,160 for sp ed only + C&amp;T beginning in 21-22)</t>
  </si>
  <si>
    <t>C&amp;T Allotment - Grades 7-12 not in approved program os study</t>
  </si>
  <si>
    <t>C&amp;T Allotment - Grades 7-12, Levels 3 &amp; 4 in approved program of study</t>
  </si>
  <si>
    <t>C&amp;T Allotment - Grades 7-12, Levels 1 &amp; 2 in approved program of study</t>
  </si>
  <si>
    <t>Fast Growth Allotment beginning with 21-22</t>
  </si>
  <si>
    <t xml:space="preserve">&lt;= This cell is calculated for you - it is the district's possible M&amp;O rollback rate under HB 3 (max rate without TRE) - the official rate will be determined by TEA. </t>
  </si>
  <si>
    <t>P-TECH + New Tech Network Allotments</t>
  </si>
  <si>
    <t>Advanced C&amp;T (19-20 &amp; 20-21) &amp; P-TECH + New Tech Network beginning with 21-22</t>
  </si>
  <si>
    <t>GT beginning 21-22</t>
  </si>
  <si>
    <t>top 40%</t>
  </si>
  <si>
    <t>middle 30%</t>
  </si>
  <si>
    <t>bottom 30%</t>
  </si>
  <si>
    <t>Fast Growth Allotment 19-20 &amp; 20-21 &amp; maybe 24-25?</t>
  </si>
  <si>
    <t>DISTRICT</t>
  </si>
  <si>
    <t>enroll16</t>
  </si>
  <si>
    <t>enroll21</t>
  </si>
  <si>
    <t>growth</t>
  </si>
  <si>
    <t>quartile</t>
  </si>
  <si>
    <t>tier</t>
  </si>
  <si>
    <t>enroll growth over 250</t>
  </si>
  <si>
    <t>Enrollment Growth Differential Last 6 years, less 250 (zero if  growth less 250 or is negative)</t>
  </si>
  <si>
    <t>19-20 Hold Harmess Fast Growth Allotment</t>
  </si>
  <si>
    <t>21-Gifted &amp; Talented Allotment 48.109</t>
  </si>
  <si>
    <t>HB 1525, The "Clean-up" - Release1 Dated 06/2/2021</t>
  </si>
  <si>
    <t>HB 1525</t>
  </si>
  <si>
    <t>Report-SOF2122-HB1525</t>
  </si>
  <si>
    <t>ROUND 1 - Additions.</t>
  </si>
  <si>
    <t>No new tabs (at this time).</t>
  </si>
  <si>
    <t>them into this template (and a whole lot of other stuff/areas that changed things that weren't "dirty", but that is another story).….so here are the changes</t>
  </si>
  <si>
    <t>1) Career &amp; Technology: there are now 3 different weights that replace the 1.35 weight under previous law…the different weights relate to TEA-approved</t>
  </si>
  <si>
    <t>Also, the adjustment to the Basic Allotment when calculating the Special Ed. allotment for small and mid-size districts has now been applied to the C&amp;T</t>
  </si>
  <si>
    <t xml:space="preserve">2) Fast Growth Allotment: there are now also 3 different weights that replace the .04 weight under previous law…..the eligibility criteria has changed and </t>
  </si>
  <si>
    <t xml:space="preserve">those that do qualify are broken out into 3 tiers with a new weight applied to each tier……the calculated enrollment growth and the tier assigned to each </t>
  </si>
  <si>
    <t>4) Homeless Children/Youth: this new allotment carries the same .275 weight as Block #5 under Comp. Ed and therefore has been added to your total</t>
  </si>
  <si>
    <t>Comp. Ed. Allotment shown beginning with the Report-SOF21-22-HB1525 tab…..the enrollment used for this allotment begins in Cell G61 on the data</t>
  </si>
  <si>
    <t>entry tab.</t>
  </si>
  <si>
    <t>5) MCR Adjustment: the calculation of MCR on previous releases resulted in the same .9164 max MCR and therefore the same .8247 min MCR for 21-22 as</t>
  </si>
  <si>
    <t xml:space="preserve">applies to districts that received the Fast Growth Allotment in 19-20….for qualifying districts, the 21-22 allotment can't be less than the 19-20 allotment. </t>
  </si>
  <si>
    <t>qualifying district can be found starting in Row 155 on the data entry tab and came from TEA data.  Also, a hold harmless is in place for 21-22 only and</t>
  </si>
  <si>
    <t>3) Gifted &amp; Talented: it's back, but the weight has been changed from .12 to .07….same 5% of ADA threshold.</t>
  </si>
  <si>
    <t>22-23 Law Cont'd</t>
  </si>
  <si>
    <t>made on this new release…..you noticed that I'm "(Just Like) Starting Over" (most should know this one) with the numbering.</t>
  </si>
  <si>
    <t>I think that is all for now - I probably missed something along the way going thru 64 pages of "clean-up" so stay tuned - taking it one step at a time -</t>
  </si>
  <si>
    <t>instead - those data entry cells are G42 and G43.</t>
  </si>
  <si>
    <t>allotment as well.  In addition, Advanced C&amp;T is now history and that $50 allotment is now applied to enrollment in P-Tech and the New Tech Network</t>
  </si>
  <si>
    <t>don't be surprised if proration takes place.</t>
  </si>
  <si>
    <t>FYI: appropriation limited to $270M for 21-22 and ramps up to $320/year in future years for 3-tier'd system and $40M for 19-20 hold harmless portion, so</t>
  </si>
  <si>
    <t>7) for less-than-K-12 districts, the Tuition Allotment is now history beginning with 21-22.</t>
  </si>
  <si>
    <t xml:space="preserve">Now that the Lege has finished (for now), there are a few "clean-up" things that were adopted that necessitated another release in order to incorporate </t>
  </si>
  <si>
    <r>
      <t xml:space="preserve">6) Formula Transition Grant: no change except appropriation limited to $400M, so again, </t>
    </r>
    <r>
      <rPr>
        <b/>
        <u/>
        <sz val="10"/>
        <rFont val="Arial MT"/>
      </rPr>
      <t>don't be surprised if proration kicks in</t>
    </r>
    <r>
      <rPr>
        <b/>
        <sz val="10"/>
        <rFont val="Arial MT"/>
      </rPr>
      <t>.</t>
    </r>
  </si>
  <si>
    <t>and non-approved programs of study, which to my knowledge, have not been made public…..you will find the data entry cells in Cells G39, G40, and G41.</t>
  </si>
  <si>
    <t>This template is designed to calculate revenue based on the school finance provisions enacted by the 86th &amp; 87th Sessions of the Texas Legislature</t>
  </si>
  <si>
    <t>2022-23 Current Law Continued</t>
  </si>
  <si>
    <t>Gifted &amp; Talented Enrollment</t>
  </si>
  <si>
    <t>Career &amp; Technology FTEs - non-approved programs of study</t>
  </si>
  <si>
    <t>Career &amp; Technology FTEs - levels 1 &amp; 2 approved programs of study</t>
  </si>
  <si>
    <t>Career &amp; Technology FTEs - levels 3 &amp; 4 approved programs of study</t>
  </si>
  <si>
    <t>"Despacito" (you youngsters will probably know what that means based on the song).</t>
  </si>
  <si>
    <t>reduced by .3%, resulting in a new max MCR of .9134 and the therefore a new min of .8220 for 21-22.</t>
  </si>
  <si>
    <t>we had in 20-21…..those have now changed in accordance with a Rider in the Appropriations bill directing that the State Compression Percentage be</t>
  </si>
  <si>
    <t>HB 1525, The "Clean-up" - Release 2 Dated 06/8/2021</t>
  </si>
  <si>
    <t>DIST #</t>
  </si>
  <si>
    <t>growth over 250 (zero if &lt; 250)</t>
  </si>
  <si>
    <t>cumulative growth only for those over 250</t>
  </si>
  <si>
    <t>Initial FGA</t>
  </si>
  <si>
    <t>2021-22 Prorated FGA</t>
  </si>
  <si>
    <t>2019-20 FGA as of 9/1/19</t>
  </si>
  <si>
    <t>Initial 2021-22 HH FGA</t>
  </si>
  <si>
    <t>2021-22 Prorated HH FGA</t>
  </si>
  <si>
    <t>prorated hh</t>
  </si>
  <si>
    <t>fga prorated allotment</t>
  </si>
  <si>
    <t>fga full allotment</t>
  </si>
  <si>
    <t>hh full allotment</t>
  </si>
  <si>
    <t>&lt; FGA:</t>
  </si>
  <si>
    <t>ROUND2 - Additions.</t>
  </si>
  <si>
    <t>ROUND 2 - corrections/updates:</t>
  </si>
  <si>
    <t>2) for non-K-12 districts paying tuition, I mistakenly thought that the Tuition Allotment had gone away (it had but was resurrected at the last minute)…had</t>
  </si>
  <si>
    <t>one of these districts tell me they had a "thank you Jesus" moment when I broke the news that it was back!</t>
  </si>
  <si>
    <t>1) the Fast Growth Allotment was not correct for some districts and issues have been corrected….additional details (comparison of before and after</t>
  </si>
  <si>
    <t>proration) now appear next to the allotment on the 'Report-SOF2122-HB1525' tab….."didn't I tell you, didn't I warn you" (some of you hipsters will know</t>
  </si>
  <si>
    <t>age - wish I could "remember when thirty seemed so old" (one of my faves) but I can't remember that far back.  :(</t>
  </si>
  <si>
    <t>So if you are not Fast Growth or not a less-than-K-12 district, you don't have to mess with this one.</t>
  </si>
  <si>
    <t>OK, here is the beginning of my own "clean-up"…..just "a little bit of this, a little bit of that" (betting most will not know what song that came from):</t>
  </si>
  <si>
    <t>what song that came from) that proration was likely……one of the issues was I had the weights in the wrong order, so chalk yet another one up to old</t>
  </si>
  <si>
    <t>CDN</t>
  </si>
  <si>
    <t>HB 1525, The "Clean-up" - Release 3 Dated 06/18/2021</t>
  </si>
  <si>
    <t>This release can be described as the ESSER II release.</t>
  </si>
  <si>
    <t>ROUND3 - Additions.</t>
  </si>
  <si>
    <t>of the amount of Foundation School Fund (FSF) that will be replaced with federal ESSER II funds…..essentially, if you end up being an ADA HH district</t>
  </si>
  <si>
    <t xml:space="preserve">by TEA), the difference between the higher hold harmless ADA and the district's actual, lower ADA will be funded with ESSER II funds.  Please read the </t>
  </si>
  <si>
    <t>intro at the top of this new tab and proceed accordingly.</t>
  </si>
  <si>
    <t xml:space="preserve">1) in the "…it's a game of give and take…" category (lyrics from what oldie?): a new tab labeled 'ESSERII-FSF' has been added in order to give you an idea </t>
  </si>
  <si>
    <t xml:space="preserve">2) this only pertains to the Fast Growth Allotment beginning with 22-23…..if you so choose, you can now estimate the enrollment growth in excess of 250 </t>
  </si>
  <si>
    <t>that will be enough to fully fund all eligible districts….as you now know, there will not be enough in 21-22 so you are being prorated down to the amount</t>
  </si>
  <si>
    <t>be calculated for the applicable year….keep in mind that there is a specific amount appropriated for this purpose, and at this time, it is not known if</t>
  </si>
  <si>
    <t>made available.</t>
  </si>
  <si>
    <t>(which means the state aid using your actual student counts for 20-21 will be less than the state aid using the hold harmless student counts, as determined</t>
  </si>
  <si>
    <t>&lt;= For 21-22, this cell is completed for you and is based on a file from TEA for 21-22, comparing 15-16 enrollment to 20-21 enrollment, and subtracting 250 from that comparison….beginning with 22-23, you may estimate your growth in excess of 250 moving forward the comparison years.</t>
  </si>
  <si>
    <t>&lt;= For 21-22, this cell is completed for you and is based on a file from TEA for 21-22, comparing 15-16 enrollment to 20-21 enrollment, and subtracting 250 from that comparison….beginning with 22-23, you may enter the tier you might fall into when TEA does it officially.</t>
  </si>
  <si>
    <t xml:space="preserve">that you might have between the applicable years and the tier you might fit into in the applicable cells in Rows 155 thru 158 - a potential allotment will then  </t>
  </si>
  <si>
    <t>Top 40% of Fast Growth Eligible Districts Based on Student Growth ("1" = 1st Tier, else 0) (.45 wght)</t>
  </si>
  <si>
    <t>Middle 30% of Fast Growth Eligible Districts Based on Student Growth ("2" = 2nd Tier, else 0) (.3 wght)</t>
  </si>
  <si>
    <t>Bottom 30% of Fast Growth Eligible Districts Based on Student Growth ("3" = 3rd Tier, else 0) (.15 wght)</t>
  </si>
  <si>
    <t>HB 1525, The "Clean-up" - Release 4 Dated 08/9/2021</t>
  </si>
  <si>
    <t>This release is primarily for the purpose of entering your "official" MCR for 21-22.</t>
  </si>
  <si>
    <t>ROUND4 - Additions.</t>
  </si>
  <si>
    <t>I made that cell a little bigger than the rest and have shaded it differently, so you can't miss it - no excuses. After it is entered, the max M&amp;O rate you</t>
  </si>
  <si>
    <t>can have without voter approval will be displayed right below it in Cell G84.</t>
  </si>
  <si>
    <t xml:space="preserve">2) the per capita rates for 20-21 and 21-22 have been updated: the rate for 20-21 is now $486.922 (it was $411.574) and the rate for 21-22 is now $402.682 </t>
  </si>
  <si>
    <t>(was $200.00 as a placeholder).  The reason the 21-22 rate is much higher than usual relates to the cut that was made to your Instructional Materials</t>
  </si>
  <si>
    <t>Allotment (IMA) - IMA is funded out of the Available School Fund (ASF), and now that your IMA allotment has been significantly reduced, more $$ are</t>
  </si>
  <si>
    <t>"near finals" for 20-21.  It is my understanding that TEA is going to make 2 "near final" runs and use the one that gives you the most state aid -  one run</t>
  </si>
  <si>
    <t>run using actuals is the greater of, there will be no ESSER II supplanting.  If the run using hold harmless counts is the greater of, the difference in state</t>
  </si>
  <si>
    <t>The 'ESSERII-FSF' tab was just a way of ESTIMATING the above process, but it cannot mimic exactly what TEA will do.</t>
  </si>
  <si>
    <t>I heard some lyrics the other day that reminded me of all this offsetting/supplanting going on: "nothin' from nothin leaves nothing…" (another oldie).</t>
  </si>
  <si>
    <t>in certain situations, specifically when the 4th and/or 5th six-weeks is greater than the ADA hold harmless that the 6th six-weeks qualifies for.  I think</t>
  </si>
  <si>
    <t>tier 3.</t>
  </si>
  <si>
    <t>5) the fast growth tier #s have been switched - no change to the allotment itself….what used to be tier 3 is now tier 1 and what used to be tier I is now</t>
  </si>
  <si>
    <t>In closing, some of you have noticed that I limp sometimes and have asked if I'm ok - I am ok (for an old man)…..the reason I limp sometime is that I have</t>
  </si>
  <si>
    <t>will use actual student counts from your summer PEIMS submission, and the other run will use your hold harmless student counts, if applicable. If the</t>
  </si>
  <si>
    <t>1) now that most if not all districts have a TEA-Approved MCR for 21-22, you can now enter that MCR in Cell G83 on the data entry tab - you will notice</t>
  </si>
  <si>
    <t>ASF will be offset by a decrease in your Foundation School Fund (FSF).</t>
  </si>
  <si>
    <t xml:space="preserve">in the ASF for per capita distribution, resulting in the higher rate. For most districts, the higher rate will not change your bottom line, as the increase in </t>
  </si>
  <si>
    <t>aid between the 2 runs is the amount of $$ that get supplanted. TEA will then determine the amount of ADA that needs to be subtracted from your hold</t>
  </si>
  <si>
    <t>harmless ADA &amp; the resulting loss of state aid will equate to the amount of ESSER II funds that will be used to replace FSF.</t>
  </si>
  <si>
    <t>this is one of the cases where the so-called "blended ADA" comes into play…..maybe.</t>
  </si>
  <si>
    <t>arthritic hips, and these "Hips Don't Lie"….(you 'hipsters' (pun intended), will probably know this one).</t>
  </si>
  <si>
    <t>4) and speaking of the hold harmless ADA, I had to make a couple of changes to the 'ADA-HH-2021' tab after it was pointed out to me that it wasn't working</t>
  </si>
  <si>
    <t>3) and speaking of offsets, your ESSER II $$ that are being used to supplant your FSF $$ will be determined sometime in September when TEA runs your</t>
  </si>
  <si>
    <t>2025-26</t>
  </si>
  <si>
    <t>old law</t>
  </si>
  <si>
    <t>24-25</t>
  </si>
  <si>
    <t>25-26</t>
  </si>
  <si>
    <t>2025-26 Summary of Finances</t>
  </si>
  <si>
    <t>2025 State Certified Property Value ("T2" value)</t>
  </si>
  <si>
    <t>2025-26 M&amp;O Tax Rate</t>
  </si>
  <si>
    <t>2025-26 Tier I M&amp;O Tax Rate</t>
  </si>
  <si>
    <t>2025-26 Maximum Compressed Tax Rate</t>
  </si>
  <si>
    <t>2025-26 I&amp;S Tax Rate</t>
  </si>
  <si>
    <t>2025-26 I&amp;S Tax Collections</t>
  </si>
  <si>
    <t>2025-26 Total Tax Collections</t>
  </si>
  <si>
    <t>2025-26 Total Tax Levy</t>
  </si>
  <si>
    <t>TOTAL  2025-26  FSP/ASF  STATE  AID</t>
  </si>
  <si>
    <t>Net 2025-26 TOTAL STATE/LOCAL M&amp;O REVENUE</t>
  </si>
  <si>
    <t>Total 2025-26 Recapture</t>
  </si>
  <si>
    <t xml:space="preserve">Total 2025-26 Recapture Payments Due TEA </t>
  </si>
  <si>
    <t>Greater of 19-20 or 20-21 revenue per ADA</t>
  </si>
  <si>
    <t>19-20 old law revenue per ADA</t>
  </si>
  <si>
    <t>20-21 old law revenue per ADA</t>
  </si>
  <si>
    <t xml:space="preserve">2025-26 Cost of Recapture Report </t>
  </si>
  <si>
    <t>2025-26 EDA Detail Report - HB 3</t>
  </si>
  <si>
    <t>2025-26 Actual Eligible Debt Service Payment</t>
  </si>
  <si>
    <t>2025-26 IFA State/Local Share of IFA Awarded for Bonded Debt</t>
  </si>
  <si>
    <t>2025-26 Total Refined ADA</t>
  </si>
  <si>
    <t>2025-26 IFA Detail Report - HB 3</t>
  </si>
  <si>
    <t>2025-26 FSP Detail Report</t>
  </si>
  <si>
    <t xml:space="preserve">    the I&amp;S taxes entered on Row 90 plus the unequalized taxes entered on Row 91 must be </t>
  </si>
  <si>
    <t>2025-26 Other Programs Detail Report - HB 3</t>
  </si>
  <si>
    <t>2025-26 Tier II Detail Report</t>
  </si>
  <si>
    <t>DTR_1 (M&amp;O Collections for Level 1 * 100) / 2025 CPTD</t>
  </si>
  <si>
    <t>Less LR (2025 CPTD / 100) * DTR_1</t>
  </si>
  <si>
    <t>DTR_2 (M&amp;O Collections for Level 2 * 100) / 2025 CPTD</t>
  </si>
  <si>
    <t>Less LR (2025 CPTD / 100) * DTR_2</t>
  </si>
  <si>
    <t>2025-26 Allowed Rate (Lesser of Line 10 or Line 11 or $.29)</t>
  </si>
  <si>
    <t>2025 State Certified Property Value ("T8" value)</t>
  </si>
  <si>
    <t>2024-25 Rate to Determine Max EDA Limit (Line 2 + Line 4) / (Line 9 / 100)</t>
  </si>
  <si>
    <t>2025-26 Tier I Detail Report - HB3</t>
  </si>
  <si>
    <t>2025-26 M&amp;O Collections Detail Report - HB 3</t>
  </si>
  <si>
    <t>2025-26 Local M&amp;O Collections</t>
  </si>
  <si>
    <t>2025-26 Local Share for IFA Lease Purchase</t>
  </si>
  <si>
    <t>2025-26 Payment to Tax Increment Fund (TIF)</t>
  </si>
  <si>
    <t>2025-26 Total M&amp;O Collections (Line 1 - Line 2 - Line 3)</t>
  </si>
  <si>
    <t>2025-26 Tier One M&amp;O Tax Rate (TR)</t>
  </si>
  <si>
    <t>in the total M&amp;O collections entered on the Data Entry tab, Cell M86.</t>
  </si>
  <si>
    <t>in the total M&amp;O collections entered on the Data Entry tab, Cell K86.</t>
  </si>
  <si>
    <t>in the total M&amp;O collections entered on the Data Entry tab, Cell I86.</t>
  </si>
  <si>
    <t>in the total M&amp;O collections entered on the Data Entry tab, Cell G86.</t>
  </si>
  <si>
    <t>in the total M&amp;O collections entered on the Data Entry tab, Cell E86.</t>
  </si>
  <si>
    <t>2025-26 Special Education FTE Detail Report - HB 3</t>
  </si>
  <si>
    <r>
      <rPr>
        <sz val="12"/>
        <rFont val="Arial MT"/>
      </rPr>
      <t xml:space="preserve">Special Education FTEs </t>
    </r>
    <r>
      <rPr>
        <sz val="10"/>
        <color indexed="12"/>
        <rFont val="Arial MT"/>
      </rPr>
      <t xml:space="preserve">                                                        </t>
    </r>
    <r>
      <rPr>
        <sz val="12"/>
        <color rgb="FFFF0000"/>
        <rFont val="Arial MT"/>
      </rPr>
      <t xml:space="preserve">(Link to Detail Report)   </t>
    </r>
    <r>
      <rPr>
        <sz val="10"/>
        <color indexed="12"/>
        <rFont val="Arial MT"/>
      </rPr>
      <t xml:space="preserve">                                                   </t>
    </r>
  </si>
  <si>
    <r>
      <rPr>
        <sz val="12"/>
        <rFont val="Arial MT"/>
      </rPr>
      <t xml:space="preserve">Weighted ADA (WADA)    </t>
    </r>
    <r>
      <rPr>
        <sz val="12"/>
        <color indexed="12"/>
        <rFont val="Arial MT"/>
      </rPr>
      <t xml:space="preserve">                                                     </t>
    </r>
    <r>
      <rPr>
        <sz val="12"/>
        <color rgb="FFFF0000"/>
        <rFont val="Arial MT"/>
      </rPr>
      <t xml:space="preserve"> (Link to Detail Report)</t>
    </r>
  </si>
  <si>
    <t>(2) The Sp Ed Set-Aside &amp; GT set-aside are added back to the Total Cost of Tier I as specified in law.</t>
  </si>
  <si>
    <r>
      <rPr>
        <sz val="12"/>
        <rFont val="Arial MT"/>
      </rPr>
      <t xml:space="preserve">2025-26 M&amp;O Tax Collections </t>
    </r>
    <r>
      <rPr>
        <sz val="10"/>
        <color indexed="12"/>
        <rFont val="Arial MT"/>
      </rPr>
      <t xml:space="preserve">                                         </t>
    </r>
    <r>
      <rPr>
        <sz val="12"/>
        <color rgb="FFFF0000"/>
        <rFont val="Arial MT"/>
      </rPr>
      <t xml:space="preserve">(Link to Detail Report)   </t>
    </r>
    <r>
      <rPr>
        <sz val="10"/>
        <color indexed="12"/>
        <rFont val="Arial MT"/>
      </rPr>
      <t xml:space="preserve">           </t>
    </r>
  </si>
  <si>
    <r>
      <rPr>
        <sz val="12"/>
        <rFont val="Arial MT"/>
      </rPr>
      <t xml:space="preserve">Total Cost of Tier I </t>
    </r>
    <r>
      <rPr>
        <sz val="10"/>
        <color indexed="12"/>
        <rFont val="Arial MT"/>
      </rPr>
      <t xml:space="preserve">                                                          </t>
    </r>
    <r>
      <rPr>
        <sz val="12"/>
        <color rgb="FFFF0000"/>
        <rFont val="Arial MT"/>
      </rPr>
      <t>(Link to Tier I Detail Report)</t>
    </r>
  </si>
  <si>
    <r>
      <rPr>
        <sz val="12"/>
        <rFont val="Arial MT"/>
      </rPr>
      <t>Tier II State Aid</t>
    </r>
    <r>
      <rPr>
        <sz val="10"/>
        <color indexed="12"/>
        <rFont val="Arial MT"/>
      </rPr>
      <t xml:space="preserve">                                                              </t>
    </r>
    <r>
      <rPr>
        <sz val="12"/>
        <color rgb="FFFF0000"/>
        <rFont val="Arial MT"/>
      </rPr>
      <t>(Link to Tier II Detail Report)</t>
    </r>
  </si>
  <si>
    <r>
      <rPr>
        <sz val="12"/>
        <rFont val="Arial MT"/>
      </rPr>
      <t>Other Programs</t>
    </r>
    <r>
      <rPr>
        <sz val="10"/>
        <color indexed="12"/>
        <rFont val="Arial MT"/>
      </rPr>
      <t xml:space="preserve">                                                                        </t>
    </r>
    <r>
      <rPr>
        <sz val="12"/>
        <color rgb="FFFF0000"/>
        <rFont val="Arial MT"/>
      </rPr>
      <t>(Link to Detail Report)</t>
    </r>
  </si>
  <si>
    <r>
      <rPr>
        <sz val="12"/>
        <rFont val="Arial MT"/>
      </rPr>
      <t xml:space="preserve">599/5829 - Existing Debt Allotment (EDA) </t>
    </r>
    <r>
      <rPr>
        <sz val="10"/>
        <color indexed="12"/>
        <rFont val="Arial MT"/>
      </rPr>
      <t xml:space="preserve">                           </t>
    </r>
    <r>
      <rPr>
        <sz val="12"/>
        <color rgb="FFFF0000"/>
        <rFont val="Arial MT"/>
      </rPr>
      <t>(Link to Detail Report)</t>
    </r>
  </si>
  <si>
    <r>
      <rPr>
        <sz val="12"/>
        <rFont val="Arial MT"/>
      </rPr>
      <t>599/5829 - Instructional Facilities Allotment (IFA) (Bond)</t>
    </r>
    <r>
      <rPr>
        <sz val="10"/>
        <color indexed="12"/>
        <rFont val="Arial MT"/>
      </rPr>
      <t xml:space="preserve">    </t>
    </r>
    <r>
      <rPr>
        <sz val="12"/>
        <color rgb="FFFF0000"/>
        <rFont val="Arial MT"/>
      </rPr>
      <t>(Link to Detail Report)</t>
    </r>
  </si>
  <si>
    <r>
      <rPr>
        <sz val="12"/>
        <rFont val="Arial MT"/>
      </rPr>
      <t>599/5829 - Instructional Facilities Allotment (Lease Purchase)</t>
    </r>
    <r>
      <rPr>
        <sz val="10"/>
        <color indexed="12"/>
        <rFont val="Arial MT"/>
      </rPr>
      <t xml:space="preserve"> </t>
    </r>
    <r>
      <rPr>
        <sz val="12"/>
        <color rgb="FFFF0000"/>
        <rFont val="Arial MT"/>
      </rPr>
      <t xml:space="preserve"> (See Link Above)</t>
    </r>
  </si>
  <si>
    <r>
      <rPr>
        <sz val="12"/>
        <rFont val="Arial MT"/>
      </rPr>
      <t>FSP Allocations and Adjustments Report</t>
    </r>
    <r>
      <rPr>
        <sz val="10"/>
        <color indexed="12"/>
        <rFont val="Arial MT"/>
      </rPr>
      <t xml:space="preserve">                              </t>
    </r>
    <r>
      <rPr>
        <sz val="12"/>
        <color rgb="FFFF0000"/>
        <rFont val="Arial MT"/>
      </rPr>
      <t>(Link to Detail Report)</t>
    </r>
  </si>
  <si>
    <r>
      <t xml:space="preserve">Charge for Having Students at the Tx School for the Deaf </t>
    </r>
    <r>
      <rPr>
        <b/>
        <sz val="12"/>
        <rFont val="Arial MT"/>
      </rPr>
      <t>(found on TEA's Other Prog Detail Report)</t>
    </r>
  </si>
  <si>
    <r>
      <t xml:space="preserve">Charge for Having Students at the Tx School for the Blind &amp; Visually Impaired </t>
    </r>
    <r>
      <rPr>
        <b/>
        <sz val="12"/>
        <rFont val="Arial MT"/>
      </rPr>
      <t>(same place as above)</t>
    </r>
  </si>
  <si>
    <r>
      <t xml:space="preserve">Charge for Adv Placement Tests </t>
    </r>
    <r>
      <rPr>
        <b/>
        <sz val="12"/>
        <rFont val="Arial MT"/>
      </rPr>
      <t>(enter as positive or negative #)</t>
    </r>
  </si>
  <si>
    <r>
      <t xml:space="preserve">Charge for Early Child Intervention </t>
    </r>
    <r>
      <rPr>
        <b/>
        <sz val="12"/>
        <rFont val="Arial MT"/>
      </rPr>
      <t>(enter as positive or negative #)</t>
    </r>
  </si>
  <si>
    <t>TOTAL  FSP/ASF  STATE  AID</t>
  </si>
  <si>
    <t>Net TOTAL STATE/LOCAL M&amp;O REVENUE</t>
  </si>
  <si>
    <t>Total Recapture</t>
  </si>
  <si>
    <t xml:space="preserve">Total Recapture Payments Due TEA </t>
  </si>
  <si>
    <t>Less: Credit Balance Due State (only if Line 55 is less than zero)</t>
  </si>
  <si>
    <t>FSP State Share of Tier I (Line 40 - Line 41 - Line 42)</t>
  </si>
  <si>
    <r>
      <t xml:space="preserve">2021-22 M&amp;O Tax Collections                                          </t>
    </r>
    <r>
      <rPr>
        <sz val="12"/>
        <color rgb="FFFF0000"/>
        <rFont val="Arial MT"/>
      </rPr>
      <t>(Link to Detail Report)</t>
    </r>
    <r>
      <rPr>
        <sz val="12"/>
        <rFont val="Arial MT"/>
      </rPr>
      <t xml:space="preserve">              </t>
    </r>
  </si>
  <si>
    <r>
      <t xml:space="preserve">2022-23 M&amp;O Tax Collections                                          </t>
    </r>
    <r>
      <rPr>
        <sz val="12"/>
        <color rgb="FFFF0000"/>
        <rFont val="Arial MT"/>
      </rPr>
      <t>(Link to Detail Report)</t>
    </r>
    <r>
      <rPr>
        <sz val="12"/>
        <rFont val="Arial MT"/>
      </rPr>
      <t xml:space="preserve">              </t>
    </r>
  </si>
  <si>
    <r>
      <t xml:space="preserve">2023-24 M&amp;O Tax Collections                                          </t>
    </r>
    <r>
      <rPr>
        <sz val="12"/>
        <color rgb="FFFF0000"/>
        <rFont val="Arial MT"/>
      </rPr>
      <t>(Link to Detail Report)</t>
    </r>
    <r>
      <rPr>
        <sz val="12"/>
        <rFont val="Arial MT"/>
      </rPr>
      <t xml:space="preserve">              </t>
    </r>
  </si>
  <si>
    <t>FSP State Share of Tier I (Line 40 - Line 42 - Line 43)</t>
  </si>
  <si>
    <t>Tier I M&amp;O Tax Rate</t>
  </si>
  <si>
    <t>Maximum Compressed Tax Rate</t>
  </si>
  <si>
    <t xml:space="preserve">M&amp;O Tax Collections               </t>
  </si>
  <si>
    <t>I&amp;S Tax Rate</t>
  </si>
  <si>
    <t>Total Tax Collections</t>
  </si>
  <si>
    <r>
      <t xml:space="preserve">and is based on my current understanding of those provisions and of previous laws.  </t>
    </r>
    <r>
      <rPr>
        <b/>
        <u/>
        <sz val="12"/>
        <rFont val="Arial MT"/>
      </rPr>
      <t>TEA is the official source for determining state aid</t>
    </r>
    <r>
      <rPr>
        <b/>
        <sz val="12"/>
        <rFont val="Arial MT"/>
      </rPr>
      <t>.</t>
    </r>
  </si>
  <si>
    <r>
      <t xml:space="preserve">Career &amp; Technology FTEs Grades 7-12 Not in Approved Program of Study - </t>
    </r>
    <r>
      <rPr>
        <b/>
        <sz val="12"/>
        <color rgb="FFFF0000"/>
        <rFont val="Arial MT"/>
      </rPr>
      <t>begins in 21-22</t>
    </r>
  </si>
  <si>
    <r>
      <t xml:space="preserve">Career &amp; Technology FTEs Grades 7-12, Levels 1 &amp; 2 in Approved Program of Study - </t>
    </r>
    <r>
      <rPr>
        <b/>
        <sz val="12"/>
        <color rgb="FFFF0000"/>
        <rFont val="Arial MT"/>
      </rPr>
      <t>begins in 21-22</t>
    </r>
  </si>
  <si>
    <r>
      <t xml:space="preserve">Career &amp; Technology FTEs Grades 7-12, Levels 3 &amp; 4 in Approved Program of Study - </t>
    </r>
    <r>
      <rPr>
        <b/>
        <sz val="12"/>
        <color rgb="FFFF0000"/>
        <rFont val="Arial MT"/>
      </rPr>
      <t>begins in 21-22</t>
    </r>
  </si>
  <si>
    <r>
      <t xml:space="preserve"># Students Enrolled in P-TECH campus - </t>
    </r>
    <r>
      <rPr>
        <b/>
        <sz val="12"/>
        <color rgb="FFFF0000"/>
        <rFont val="Arial MT"/>
      </rPr>
      <t>begins in 21-22</t>
    </r>
  </si>
  <si>
    <r>
      <t xml:space="preserve"># Students Enrolled in campus that is a member of the New Tech Network - </t>
    </r>
    <r>
      <rPr>
        <b/>
        <sz val="12"/>
        <color rgb="FFFF0000"/>
        <rFont val="Arial MT"/>
      </rPr>
      <t>begins in 21-22</t>
    </r>
  </si>
  <si>
    <r>
      <t xml:space="preserve">Career &amp; Technology FTEs Grades 7-12 </t>
    </r>
    <r>
      <rPr>
        <b/>
        <sz val="12"/>
        <color rgb="FFFF0000"/>
        <rFont val="Arial MT"/>
      </rPr>
      <t>(20-21 only)</t>
    </r>
  </si>
  <si>
    <r>
      <t xml:space="preserve">Advanced Career &amp; Technology FTEs </t>
    </r>
    <r>
      <rPr>
        <b/>
        <sz val="12"/>
        <color rgb="FFFF0000"/>
        <rFont val="Arial MT"/>
      </rPr>
      <t>(20-21 only)</t>
    </r>
  </si>
  <si>
    <r>
      <t xml:space="preserve">G &amp; T  Enrollment - </t>
    </r>
    <r>
      <rPr>
        <b/>
        <sz val="12"/>
        <color rgb="FFFF0000"/>
        <rFont val="Arial MT"/>
      </rPr>
      <t>begins in 21-22</t>
    </r>
  </si>
  <si>
    <t>ADA of Students in Dropout Recovery School and Residential Placement Facility</t>
  </si>
  <si>
    <t>Public Ed Grant (PEG) Student ADA</t>
  </si>
  <si>
    <t>Bilingual ADA - see instructions in Column N</t>
  </si>
  <si>
    <r>
      <t xml:space="preserve">2021-22 Formula Transition Grant Detail Report - HB 3: </t>
    </r>
    <r>
      <rPr>
        <b/>
        <sz val="12"/>
        <color rgb="FFFF0000"/>
        <rFont val="Arial MT"/>
      </rPr>
      <t>uses 19-20 old law revenue per ADA</t>
    </r>
  </si>
  <si>
    <t>Formula Transition Target Revenue * ADA:  (line 16 * Line 21)</t>
  </si>
  <si>
    <t>2021-22 HB 3 Total M&amp;O Revenue</t>
  </si>
  <si>
    <t>2021-22 Refined Average Daily Attendance (ADA)</t>
  </si>
  <si>
    <t>OtherDetail2122-HB3</t>
  </si>
  <si>
    <r>
      <t xml:space="preserve">Formula Transition Grant (TEC 48.277)           </t>
    </r>
    <r>
      <rPr>
        <sz val="12"/>
        <color rgb="FFFF0000"/>
        <rFont val="Arial MT"/>
      </rPr>
      <t>(Link to Detail Report)</t>
    </r>
  </si>
  <si>
    <t>revenue per ADA.  Rather than show you all of TEA's 2019-20 old law data, the only</t>
  </si>
  <si>
    <t>data elements needed to calculate 2021-22 FTG are Lines 16 and 20 from TEA's</t>
  </si>
  <si>
    <t>NOTE: The Formula Transition Grant (FTG) for 2021-22 is based on 2019-20 old law</t>
  </si>
  <si>
    <r>
      <t xml:space="preserve">2022-23 Formula Transition Grant Detail Report - HB 3: </t>
    </r>
    <r>
      <rPr>
        <b/>
        <sz val="12"/>
        <color rgb="FFFF0000"/>
        <rFont val="Arial MT"/>
      </rPr>
      <t>uses 19-20 old law revenue per ADA</t>
    </r>
  </si>
  <si>
    <t xml:space="preserve">2019-20 FTG Detail Report.  The max of those 2 lines is displayed on Line 16 below. </t>
  </si>
  <si>
    <t>2022-23 Refined Average Daily Attendance (ADA)</t>
  </si>
  <si>
    <t>2022-23 HB 3 Total M&amp;O Revenue</t>
  </si>
  <si>
    <t>OtherDetail2223-HB3</t>
  </si>
  <si>
    <r>
      <rPr>
        <sz val="12"/>
        <rFont val="Arial MT"/>
      </rPr>
      <t xml:space="preserve">Formula Transition Grant (TEC 48.277) </t>
    </r>
    <r>
      <rPr>
        <sz val="12"/>
        <color indexed="12"/>
        <rFont val="Arial MT"/>
      </rPr>
      <t xml:space="preserve">          </t>
    </r>
    <r>
      <rPr>
        <sz val="12"/>
        <color rgb="FFFF0000"/>
        <rFont val="Arial MT"/>
      </rPr>
      <t>(Link to Detail Report)</t>
    </r>
  </si>
  <si>
    <r>
      <t xml:space="preserve">2023-24 Formula Transition Grant Detail Report - HB 3: </t>
    </r>
    <r>
      <rPr>
        <b/>
        <sz val="12"/>
        <color rgb="FFFF0000"/>
        <rFont val="Arial MT"/>
      </rPr>
      <t>uses 19-20 old law revenue per ADA</t>
    </r>
  </si>
  <si>
    <t>OtherDetail2324-HB3</t>
  </si>
  <si>
    <r>
      <rPr>
        <sz val="12"/>
        <rFont val="Arial MT"/>
      </rPr>
      <t>Formula Transition Grant (TEC 48.277)</t>
    </r>
    <r>
      <rPr>
        <sz val="12"/>
        <color indexed="12"/>
        <rFont val="Arial MT"/>
      </rPr>
      <t xml:space="preserve">           </t>
    </r>
    <r>
      <rPr>
        <sz val="12"/>
        <color rgb="FFFF0000"/>
        <rFont val="Arial MT"/>
      </rPr>
      <t>(Link to Detail Report)</t>
    </r>
  </si>
  <si>
    <t>PY1_MO_RATE_ADOPT</t>
  </si>
  <si>
    <t>DISTRICT NAME</t>
  </si>
  <si>
    <t>STATUS</t>
  </si>
  <si>
    <t>Approved</t>
  </si>
  <si>
    <t>Saved</t>
  </si>
  <si>
    <t>Submitted</t>
  </si>
  <si>
    <t>Returned</t>
  </si>
  <si>
    <t>21-22 MCRs</t>
  </si>
  <si>
    <t>ASAHE_ELIG_FLAG</t>
  </si>
  <si>
    <t>95110</t>
  </si>
  <si>
    <t>93631</t>
  </si>
  <si>
    <t>93938</t>
  </si>
  <si>
    <t>95466</t>
  </si>
  <si>
    <t>95073</t>
  </si>
  <si>
    <t>94598</t>
  </si>
  <si>
    <t>95277</t>
  </si>
  <si>
    <t>94415</t>
  </si>
  <si>
    <t>93862</t>
  </si>
  <si>
    <t>93796</t>
  </si>
  <si>
    <t>94311</t>
  </si>
  <si>
    <t>94686</t>
  </si>
  <si>
    <t>95242</t>
  </si>
  <si>
    <t>95025</t>
  </si>
  <si>
    <t>95026</t>
  </si>
  <si>
    <t>94298</t>
  </si>
  <si>
    <t>94991</t>
  </si>
  <si>
    <t>94878</t>
  </si>
  <si>
    <t>95275</t>
  </si>
  <si>
    <t>94734</t>
  </si>
  <si>
    <t>94730</t>
  </si>
  <si>
    <t>93961</t>
  </si>
  <si>
    <t>94884</t>
  </si>
  <si>
    <t>95019</t>
  </si>
  <si>
    <t>93722</t>
  </si>
  <si>
    <t>95023</t>
  </si>
  <si>
    <t>94100</t>
  </si>
  <si>
    <t>95362</t>
  </si>
  <si>
    <t>95094</t>
  </si>
  <si>
    <t>94098</t>
  </si>
  <si>
    <t>94099</t>
  </si>
  <si>
    <t>93774</t>
  </si>
  <si>
    <t>95264</t>
  </si>
  <si>
    <t>94808</t>
  </si>
  <si>
    <t>94063</t>
  </si>
  <si>
    <t>94061</t>
  </si>
  <si>
    <t>95510</t>
  </si>
  <si>
    <t>95407</t>
  </si>
  <si>
    <t>94152</t>
  </si>
  <si>
    <t>95396</t>
  </si>
  <si>
    <t>95583</t>
  </si>
  <si>
    <t>93709</t>
  </si>
  <si>
    <t>94638</t>
  </si>
  <si>
    <t>94158</t>
  </si>
  <si>
    <t>94166</t>
  </si>
  <si>
    <t>94204</t>
  </si>
  <si>
    <t>95338</t>
  </si>
  <si>
    <t>95339</t>
  </si>
  <si>
    <t>93876</t>
  </si>
  <si>
    <t>94694</t>
  </si>
  <si>
    <t>93864</t>
  </si>
  <si>
    <t>93779</t>
  </si>
  <si>
    <t>95424</t>
  </si>
  <si>
    <t>93770</t>
  </si>
  <si>
    <t>95035</t>
  </si>
  <si>
    <t>85453</t>
  </si>
  <si>
    <t>94404</t>
  </si>
  <si>
    <t>93754</t>
  </si>
  <si>
    <t>95105</t>
  </si>
  <si>
    <t>95066</t>
  </si>
  <si>
    <t>95186</t>
  </si>
  <si>
    <t>93730</t>
  </si>
  <si>
    <t>93634</t>
  </si>
  <si>
    <t>94364</t>
  </si>
  <si>
    <t>94609</t>
  </si>
  <si>
    <t>94860</t>
  </si>
  <si>
    <t>94862</t>
  </si>
  <si>
    <t>93857</t>
  </si>
  <si>
    <t>95054</t>
  </si>
  <si>
    <t>95327</t>
  </si>
  <si>
    <t>94067</t>
  </si>
  <si>
    <t>95781</t>
  </si>
  <si>
    <t>95008</t>
  </si>
  <si>
    <t>95009</t>
  </si>
  <si>
    <t>94010</t>
  </si>
  <si>
    <t>93772</t>
  </si>
  <si>
    <t>94821</t>
  </si>
  <si>
    <t>93650</t>
  </si>
  <si>
    <t>93764</t>
  </si>
  <si>
    <t>94996</t>
  </si>
  <si>
    <t>94518</t>
  </si>
  <si>
    <t>95126</t>
  </si>
  <si>
    <t>95595</t>
  </si>
  <si>
    <t>94338</t>
  </si>
  <si>
    <t>94861</t>
  </si>
  <si>
    <t>95086</t>
  </si>
  <si>
    <t>95063</t>
  </si>
  <si>
    <t>94315</t>
  </si>
  <si>
    <t>95535</t>
  </si>
  <si>
    <t>94432</t>
  </si>
  <si>
    <t>83752</t>
  </si>
  <si>
    <t>94938</t>
  </si>
  <si>
    <t>94146</t>
  </si>
  <si>
    <t>93708</t>
  </si>
  <si>
    <t>95061</t>
  </si>
  <si>
    <t>93762</t>
  </si>
  <si>
    <t>95651</t>
  </si>
  <si>
    <t>93766</t>
  </si>
  <si>
    <t>94704</t>
  </si>
  <si>
    <t>93734</t>
  </si>
  <si>
    <t>94747</t>
  </si>
  <si>
    <t>93711</t>
  </si>
  <si>
    <t>94679</t>
  </si>
  <si>
    <t>95020</t>
  </si>
  <si>
    <t>94198</t>
  </si>
  <si>
    <t>93700</t>
  </si>
  <si>
    <t>94120</t>
  </si>
  <si>
    <t>93958</t>
  </si>
  <si>
    <t>95006</t>
  </si>
  <si>
    <t>93968</t>
  </si>
  <si>
    <t>94746</t>
  </si>
  <si>
    <t>94828</t>
  </si>
  <si>
    <t>94806</t>
  </si>
  <si>
    <t>95758</t>
  </si>
  <si>
    <t>95262</t>
  </si>
  <si>
    <t>95096</t>
  </si>
  <si>
    <t>94149</t>
  </si>
  <si>
    <t>94488</t>
  </si>
  <si>
    <t>94603</t>
  </si>
  <si>
    <t>95276</t>
  </si>
  <si>
    <t>93976</t>
  </si>
  <si>
    <t>95353</t>
  </si>
  <si>
    <t>94830</t>
  </si>
  <si>
    <t>94032</t>
  </si>
  <si>
    <t>93466</t>
  </si>
  <si>
    <t>94330</t>
  </si>
  <si>
    <t>94733</t>
  </si>
  <si>
    <t>95380</t>
  </si>
  <si>
    <t>94485</t>
  </si>
  <si>
    <t>94505</t>
  </si>
  <si>
    <t>93724</t>
  </si>
  <si>
    <t>The data for 20-21 and 21-22 came from a data file from TEA - the data for all the subsequent years are carried over from 21-22.</t>
  </si>
  <si>
    <t>EDA Debt</t>
  </si>
  <si>
    <t>EDA HH Debt</t>
  </si>
  <si>
    <t>curr_yr_elig_debt</t>
  </si>
  <si>
    <t>hh_elig_debt</t>
  </si>
  <si>
    <t>2022-23 Tier I State Aid</t>
  </si>
  <si>
    <t>2022-23 State Share of EDA</t>
  </si>
  <si>
    <t>2022-23 Refined ADA</t>
  </si>
  <si>
    <t>School Year 2022-23 Only:</t>
  </si>
  <si>
    <t>School Year 2023-24 Only:</t>
  </si>
  <si>
    <t>School Year 2024-25 Only:</t>
  </si>
  <si>
    <t>School Year 2025-26 Only:</t>
  </si>
  <si>
    <t>001-902-02</t>
  </si>
  <si>
    <t>001-903-02</t>
  </si>
  <si>
    <t>001-904-02</t>
  </si>
  <si>
    <t>001-906-02</t>
  </si>
  <si>
    <t>001-907-02</t>
  </si>
  <si>
    <t>001-908-02</t>
  </si>
  <si>
    <t>001-909-02</t>
  </si>
  <si>
    <t>003-903-02</t>
  </si>
  <si>
    <t>003-904-02</t>
  </si>
  <si>
    <t>003-905-02</t>
  </si>
  <si>
    <t>003-906-02</t>
  </si>
  <si>
    <t>004-901-02</t>
  </si>
  <si>
    <t>005-902-02</t>
  </si>
  <si>
    <t>005-904-02</t>
  </si>
  <si>
    <t>006-902-02</t>
  </si>
  <si>
    <t>007-901-02</t>
  </si>
  <si>
    <t>007-902-02</t>
  </si>
  <si>
    <t>007-904-02</t>
  </si>
  <si>
    <t>007-905-02</t>
  </si>
  <si>
    <t>007-906-02</t>
  </si>
  <si>
    <t>008-901-02</t>
  </si>
  <si>
    <t>008-902-02</t>
  </si>
  <si>
    <t>008-903-02</t>
  </si>
  <si>
    <t>009-901-02</t>
  </si>
  <si>
    <t>010-901-02</t>
  </si>
  <si>
    <t>010-902-02</t>
  </si>
  <si>
    <t>011-901-02</t>
  </si>
  <si>
    <t>011-902-02</t>
  </si>
  <si>
    <t>011-904-02</t>
  </si>
  <si>
    <t>011-905-02</t>
  </si>
  <si>
    <t>012-901-02</t>
  </si>
  <si>
    <t>013-901-02</t>
  </si>
  <si>
    <t>013-902-02</t>
  </si>
  <si>
    <t>013-903-02</t>
  </si>
  <si>
    <t>013-905-02</t>
  </si>
  <si>
    <t>014-901-02</t>
  </si>
  <si>
    <t>014-902-02</t>
  </si>
  <si>
    <t>014-903-02</t>
  </si>
  <si>
    <t>014-905-02</t>
  </si>
  <si>
    <t>014-906-02</t>
  </si>
  <si>
    <t>014-907-02</t>
  </si>
  <si>
    <t>014-908-02</t>
  </si>
  <si>
    <t>014-909-02</t>
  </si>
  <si>
    <t>015-901-02</t>
  </si>
  <si>
    <t>015-904-02</t>
  </si>
  <si>
    <t>015-905-02</t>
  </si>
  <si>
    <t>015-907-02</t>
  </si>
  <si>
    <t>015-908-02</t>
  </si>
  <si>
    <t>015-909-02</t>
  </si>
  <si>
    <t>015-910-02</t>
  </si>
  <si>
    <t>015-911-02</t>
  </si>
  <si>
    <t>015-912-02</t>
  </si>
  <si>
    <t>015-915-02</t>
  </si>
  <si>
    <t>015-916-02</t>
  </si>
  <si>
    <t>015-917-02</t>
  </si>
  <si>
    <t>016-901-02</t>
  </si>
  <si>
    <t>016-902-02</t>
  </si>
  <si>
    <t>017-901-02</t>
  </si>
  <si>
    <t>018-901-02</t>
  </si>
  <si>
    <t>018-902-02</t>
  </si>
  <si>
    <t>018-903-02</t>
  </si>
  <si>
    <t>018-904-02</t>
  </si>
  <si>
    <t>018-905-02</t>
  </si>
  <si>
    <t>018-906-02</t>
  </si>
  <si>
    <t>018-907-02</t>
  </si>
  <si>
    <t>018-908-02</t>
  </si>
  <si>
    <t>019-901-02</t>
  </si>
  <si>
    <t>019-902-02</t>
  </si>
  <si>
    <t>019-903-02</t>
  </si>
  <si>
    <t>019-905-02</t>
  </si>
  <si>
    <t>019-906-02</t>
  </si>
  <si>
    <t>019-907-02</t>
  </si>
  <si>
    <t>019-908-02</t>
  </si>
  <si>
    <t>019-909-02</t>
  </si>
  <si>
    <t>019-910-02</t>
  </si>
  <si>
    <t>019-911-02</t>
  </si>
  <si>
    <t>019-912-02</t>
  </si>
  <si>
    <t>019-913-02</t>
  </si>
  <si>
    <t>019-914-02</t>
  </si>
  <si>
    <t>020-901-02</t>
  </si>
  <si>
    <t>020-902-02</t>
  </si>
  <si>
    <t>020-904-02</t>
  </si>
  <si>
    <t>020-905-02</t>
  </si>
  <si>
    <t>020-906-02</t>
  </si>
  <si>
    <t>020-907-02</t>
  </si>
  <si>
    <t>020-908-02</t>
  </si>
  <si>
    <t>020-910-02</t>
  </si>
  <si>
    <t>021-901-02</t>
  </si>
  <si>
    <t>021-902-02</t>
  </si>
  <si>
    <t>022-004-02</t>
  </si>
  <si>
    <t>022-901-02</t>
  </si>
  <si>
    <t>022-902-02</t>
  </si>
  <si>
    <t>022-903-02</t>
  </si>
  <si>
    <t>023-902-02</t>
  </si>
  <si>
    <t>024-901-02</t>
  </si>
  <si>
    <t>025-901-02</t>
  </si>
  <si>
    <t>025-904-02</t>
  </si>
  <si>
    <t>025-905-02</t>
  </si>
  <si>
    <t>025-906-02</t>
  </si>
  <si>
    <t>025-909-02</t>
  </si>
  <si>
    <t>026-901-02</t>
  </si>
  <si>
    <t>026-902-02</t>
  </si>
  <si>
    <t>026-903-02</t>
  </si>
  <si>
    <t>027-903-02</t>
  </si>
  <si>
    <t>028-902-02</t>
  </si>
  <si>
    <t>028-903-02</t>
  </si>
  <si>
    <t>028-906-02</t>
  </si>
  <si>
    <t>029-901-02</t>
  </si>
  <si>
    <t>030-901-02</t>
  </si>
  <si>
    <t>030-902-02</t>
  </si>
  <si>
    <t>030-903-02</t>
  </si>
  <si>
    <t>030-906-02</t>
  </si>
  <si>
    <t>031-901-02</t>
  </si>
  <si>
    <t>031-903-02</t>
  </si>
  <si>
    <t>031-905-02</t>
  </si>
  <si>
    <t>031-906-02</t>
  </si>
  <si>
    <t>031-909-02</t>
  </si>
  <si>
    <t>031-911-02</t>
  </si>
  <si>
    <t>031-912-02</t>
  </si>
  <si>
    <t>031-913-02</t>
  </si>
  <si>
    <t>031-914-02</t>
  </si>
  <si>
    <t>032-902-02</t>
  </si>
  <si>
    <t>033-901-02</t>
  </si>
  <si>
    <t>033-904-02</t>
  </si>
  <si>
    <t>034-901-02</t>
  </si>
  <si>
    <t>034-902-02</t>
  </si>
  <si>
    <t>034-903-02</t>
  </si>
  <si>
    <t>034-905-02</t>
  </si>
  <si>
    <t>034-906-02</t>
  </si>
  <si>
    <t>034-907-02</t>
  </si>
  <si>
    <t>034-909-02</t>
  </si>
  <si>
    <t>035-901-02</t>
  </si>
  <si>
    <t>035-902-02</t>
  </si>
  <si>
    <t>035-903-02</t>
  </si>
  <si>
    <t>036-901-02</t>
  </si>
  <si>
    <t>036-902-02</t>
  </si>
  <si>
    <t>036-903-02</t>
  </si>
  <si>
    <t>037-901-02</t>
  </si>
  <si>
    <t>037-908-02</t>
  </si>
  <si>
    <t>037-909-02</t>
  </si>
  <si>
    <t>038-901-02</t>
  </si>
  <si>
    <t>040-901-02</t>
  </si>
  <si>
    <t>040-902-02</t>
  </si>
  <si>
    <t>041-901-02</t>
  </si>
  <si>
    <t>041-902-02</t>
  </si>
  <si>
    <t>042-901-02</t>
  </si>
  <si>
    <t>042-903-02</t>
  </si>
  <si>
    <t>042-905-02</t>
  </si>
  <si>
    <t>043-901-02</t>
  </si>
  <si>
    <t>043-902-02</t>
  </si>
  <si>
    <t>043-903-02</t>
  </si>
  <si>
    <t>043-905-02</t>
  </si>
  <si>
    <t>043-907-02</t>
  </si>
  <si>
    <t>043-908-02</t>
  </si>
  <si>
    <t>043-911-02</t>
  </si>
  <si>
    <t>043-912-02</t>
  </si>
  <si>
    <t>043-914-02</t>
  </si>
  <si>
    <t>043-917-02</t>
  </si>
  <si>
    <t>043-918-02</t>
  </si>
  <si>
    <t>043-919-02</t>
  </si>
  <si>
    <t>044-902-02</t>
  </si>
  <si>
    <t>045-902-02</t>
  </si>
  <si>
    <t>045-903-02</t>
  </si>
  <si>
    <t>045-905-02</t>
  </si>
  <si>
    <t>046-901-02</t>
  </si>
  <si>
    <t>046-902-02</t>
  </si>
  <si>
    <t>047-901-02</t>
  </si>
  <si>
    <t>047-902-02</t>
  </si>
  <si>
    <t>047-903-02</t>
  </si>
  <si>
    <t>047-905-02</t>
  </si>
  <si>
    <t>048-901-02</t>
  </si>
  <si>
    <t>048-903-02</t>
  </si>
  <si>
    <t>049-901-02</t>
  </si>
  <si>
    <t>049-902-02</t>
  </si>
  <si>
    <t>049-905-02</t>
  </si>
  <si>
    <t>049-906-02</t>
  </si>
  <si>
    <t>049-907-02</t>
  </si>
  <si>
    <t>049-908-02</t>
  </si>
  <si>
    <t>049-909-02</t>
  </si>
  <si>
    <t>050-901-02</t>
  </si>
  <si>
    <t>050-902-02</t>
  </si>
  <si>
    <t>050-904-02</t>
  </si>
  <si>
    <t>050-909-02</t>
  </si>
  <si>
    <t>050-910-02</t>
  </si>
  <si>
    <t>051-901-02</t>
  </si>
  <si>
    <t>052-901-02</t>
  </si>
  <si>
    <t>053-001-02</t>
  </si>
  <si>
    <t>054-901-02</t>
  </si>
  <si>
    <t>054-902-02</t>
  </si>
  <si>
    <t>054-903-02</t>
  </si>
  <si>
    <t>055-901-02</t>
  </si>
  <si>
    <t>056-901-02</t>
  </si>
  <si>
    <t>056-902-02</t>
  </si>
  <si>
    <t>057-903-02</t>
  </si>
  <si>
    <t>057-904-02</t>
  </si>
  <si>
    <t>057-906-02</t>
  </si>
  <si>
    <t>057-907-02</t>
  </si>
  <si>
    <t>057-909-02</t>
  </si>
  <si>
    <t>057-910-02</t>
  </si>
  <si>
    <t>057-911-02</t>
  </si>
  <si>
    <t>057-914-02</t>
  </si>
  <si>
    <t>057-919-02</t>
  </si>
  <si>
    <t>057-922-02</t>
  </si>
  <si>
    <t>058-902-02</t>
  </si>
  <si>
    <t>058-906-02</t>
  </si>
  <si>
    <t>059-901-02</t>
  </si>
  <si>
    <t>059-902-02</t>
  </si>
  <si>
    <t>060-902-02</t>
  </si>
  <si>
    <t>060-914-02</t>
  </si>
  <si>
    <t>061-901-02</t>
  </si>
  <si>
    <t>061-902-02</t>
  </si>
  <si>
    <t>061-903-02</t>
  </si>
  <si>
    <t>061-905-02</t>
  </si>
  <si>
    <t>061-906-02</t>
  </si>
  <si>
    <t>061-907-02</t>
  </si>
  <si>
    <t>061-908-02</t>
  </si>
  <si>
    <t>061-910-02</t>
  </si>
  <si>
    <t>061-911-02</t>
  </si>
  <si>
    <t>061-912-02</t>
  </si>
  <si>
    <t>061-914-02</t>
  </si>
  <si>
    <t>062-901-02</t>
  </si>
  <si>
    <t>062-902-02</t>
  </si>
  <si>
    <t>062-903-02</t>
  </si>
  <si>
    <t>062-904-02</t>
  </si>
  <si>
    <t>062-905-02</t>
  </si>
  <si>
    <t>062-906-02</t>
  </si>
  <si>
    <t>063-903-02</t>
  </si>
  <si>
    <t>063-906-02</t>
  </si>
  <si>
    <t>064-903-02</t>
  </si>
  <si>
    <t>065-901-02</t>
  </si>
  <si>
    <t>065-902-02</t>
  </si>
  <si>
    <t>066-005-02</t>
  </si>
  <si>
    <t>066-901-02</t>
  </si>
  <si>
    <t>066-902-02</t>
  </si>
  <si>
    <t>066-903-02</t>
  </si>
  <si>
    <t>067-902-02</t>
  </si>
  <si>
    <t>067-904-02</t>
  </si>
  <si>
    <t>067-907-02</t>
  </si>
  <si>
    <t>067-908-02</t>
  </si>
  <si>
    <t>069-901-02</t>
  </si>
  <si>
    <t>069-902-02</t>
  </si>
  <si>
    <t>070-901-02</t>
  </si>
  <si>
    <t>070-903-02</t>
  </si>
  <si>
    <t>070-905-02</t>
  </si>
  <si>
    <t>070-907-02</t>
  </si>
  <si>
    <t>070-908-02</t>
  </si>
  <si>
    <t>070-909-02</t>
  </si>
  <si>
    <t>070-910-02</t>
  </si>
  <si>
    <t>070-911-02</t>
  </si>
  <si>
    <t>070-912-02</t>
  </si>
  <si>
    <t>071-901-02</t>
  </si>
  <si>
    <t>071-902-02</t>
  </si>
  <si>
    <t>071-903-02</t>
  </si>
  <si>
    <t>071-904-02</t>
  </si>
  <si>
    <t>071-905-02</t>
  </si>
  <si>
    <t>071-906-02</t>
  </si>
  <si>
    <t>071-907-02</t>
  </si>
  <si>
    <t>071-908-02</t>
  </si>
  <si>
    <t>071-909-02</t>
  </si>
  <si>
    <t>072-901-02</t>
  </si>
  <si>
    <t>072-902-02</t>
  </si>
  <si>
    <t>072-903-02</t>
  </si>
  <si>
    <t>072-904-02</t>
  </si>
  <si>
    <t>072-908-02</t>
  </si>
  <si>
    <t>072-909-02</t>
  </si>
  <si>
    <t>072-910-02</t>
  </si>
  <si>
    <t>073-901-02</t>
  </si>
  <si>
    <t>073-903-02</t>
  </si>
  <si>
    <t>073-904-02</t>
  </si>
  <si>
    <t>073-905-02</t>
  </si>
  <si>
    <t>074-903-02</t>
  </si>
  <si>
    <t>074-904-02</t>
  </si>
  <si>
    <t>074-905-02</t>
  </si>
  <si>
    <t>074-907-02</t>
  </si>
  <si>
    <t>074-909-02</t>
  </si>
  <si>
    <t>074-911-02</t>
  </si>
  <si>
    <t>074-912-02</t>
  </si>
  <si>
    <t>074-917-02</t>
  </si>
  <si>
    <t>075-901-02</t>
  </si>
  <si>
    <t>075-902-02</t>
  </si>
  <si>
    <t>075-903-02</t>
  </si>
  <si>
    <t>075-906-02</t>
  </si>
  <si>
    <t>075-908-02</t>
  </si>
  <si>
    <t>076-903-02</t>
  </si>
  <si>
    <t>076-904-02</t>
  </si>
  <si>
    <t>077-901-02</t>
  </si>
  <si>
    <t>077-902-02</t>
  </si>
  <si>
    <t>078-901-02</t>
  </si>
  <si>
    <t>079-901-02</t>
  </si>
  <si>
    <t>079-906-02</t>
  </si>
  <si>
    <t>079-907-02</t>
  </si>
  <si>
    <t>079-910-02</t>
  </si>
  <si>
    <t>080-901-02</t>
  </si>
  <si>
    <t>081-904-02</t>
  </si>
  <si>
    <t>081-906-02</t>
  </si>
  <si>
    <t>082-902-02</t>
  </si>
  <si>
    <t>082-903-02</t>
  </si>
  <si>
    <t>083-901-02</t>
  </si>
  <si>
    <t>083-902-02</t>
  </si>
  <si>
    <t>083-903-02</t>
  </si>
  <si>
    <t>084-901-02</t>
  </si>
  <si>
    <t>084-902-02</t>
  </si>
  <si>
    <t>084-903-02</t>
  </si>
  <si>
    <t>084-906-02</t>
  </si>
  <si>
    <t>084-908-02</t>
  </si>
  <si>
    <t>084-909-02</t>
  </si>
  <si>
    <t>084-910-02</t>
  </si>
  <si>
    <t>084-911-02</t>
  </si>
  <si>
    <t>085-902-02</t>
  </si>
  <si>
    <t>085-903-02</t>
  </si>
  <si>
    <t>086-024-02</t>
  </si>
  <si>
    <t>086-901-02</t>
  </si>
  <si>
    <t>086-902-02</t>
  </si>
  <si>
    <t>088-902-02</t>
  </si>
  <si>
    <t>089-901-02</t>
  </si>
  <si>
    <t>089-903-02</t>
  </si>
  <si>
    <t>089-905-02</t>
  </si>
  <si>
    <t>090-902-02</t>
  </si>
  <si>
    <t>090-903-02</t>
  </si>
  <si>
    <t>090-904-02</t>
  </si>
  <si>
    <t>090-905-02</t>
  </si>
  <si>
    <t>091-901-02</t>
  </si>
  <si>
    <t>091-903-02</t>
  </si>
  <si>
    <t>091-906-02</t>
  </si>
  <si>
    <t>091-907-02</t>
  </si>
  <si>
    <t>091-908-02</t>
  </si>
  <si>
    <t>091-909-02</t>
  </si>
  <si>
    <t>091-910-02</t>
  </si>
  <si>
    <t>091-913-02</t>
  </si>
  <si>
    <t>091-914-02</t>
  </si>
  <si>
    <t>091-918-02</t>
  </si>
  <si>
    <t>092-901-02</t>
  </si>
  <si>
    <t>092-902-02</t>
  </si>
  <si>
    <t>092-903-02</t>
  </si>
  <si>
    <t>092-904-02</t>
  </si>
  <si>
    <t>092-906-02</t>
  </si>
  <si>
    <t>092-907-02</t>
  </si>
  <si>
    <t>092-908-02</t>
  </si>
  <si>
    <t>093-901-02</t>
  </si>
  <si>
    <t>093-903-02</t>
  </si>
  <si>
    <t>093-904-02</t>
  </si>
  <si>
    <t>093-905-02</t>
  </si>
  <si>
    <t>094-901-02</t>
  </si>
  <si>
    <t>094-902-02</t>
  </si>
  <si>
    <t>094-903-02</t>
  </si>
  <si>
    <t>094-904-02</t>
  </si>
  <si>
    <t>095-902-02</t>
  </si>
  <si>
    <t>095-903-02</t>
  </si>
  <si>
    <t>095-905-02</t>
  </si>
  <si>
    <t>096-904-02</t>
  </si>
  <si>
    <t>096-905-02</t>
  </si>
  <si>
    <t>097-902-02</t>
  </si>
  <si>
    <t>097-903-02</t>
  </si>
  <si>
    <t>098-901-02</t>
  </si>
  <si>
    <t>098-903-02</t>
  </si>
  <si>
    <t>098-904-02</t>
  </si>
  <si>
    <t>099-902-02</t>
  </si>
  <si>
    <t>099-903-02</t>
  </si>
  <si>
    <t>100-903-02</t>
  </si>
  <si>
    <t>100-904-02</t>
  </si>
  <si>
    <t>100-905-02</t>
  </si>
  <si>
    <t>100-907-02</t>
  </si>
  <si>
    <t>100-908-02</t>
  </si>
  <si>
    <t>101-902-02</t>
  </si>
  <si>
    <t>101-903-02</t>
  </si>
  <si>
    <t>101-905-02</t>
  </si>
  <si>
    <t>101-906-02</t>
  </si>
  <si>
    <t>101-907-02</t>
  </si>
  <si>
    <t>101-908-02</t>
  </si>
  <si>
    <t>101-910-02</t>
  </si>
  <si>
    <t>101-911-02</t>
  </si>
  <si>
    <t>101-912-02</t>
  </si>
  <si>
    <t>101-913-02</t>
  </si>
  <si>
    <t>101-914-02</t>
  </si>
  <si>
    <t>101-915-02</t>
  </si>
  <si>
    <t>101-916-02</t>
  </si>
  <si>
    <t>101-917-02</t>
  </si>
  <si>
    <t>101-919-02</t>
  </si>
  <si>
    <t>101-920-02</t>
  </si>
  <si>
    <t>101-921-02</t>
  </si>
  <si>
    <t>101-924-02</t>
  </si>
  <si>
    <t>101-925-02</t>
  </si>
  <si>
    <t>102-901-02</t>
  </si>
  <si>
    <t>102-902-02</t>
  </si>
  <si>
    <t>102-903-02</t>
  </si>
  <si>
    <t>102-904-02</t>
  </si>
  <si>
    <t>102-905-02</t>
  </si>
  <si>
    <t>102-906-02</t>
  </si>
  <si>
    <t>103-901-02</t>
  </si>
  <si>
    <t>103-902-02</t>
  </si>
  <si>
    <t>104-901-02</t>
  </si>
  <si>
    <t>104-903-02</t>
  </si>
  <si>
    <t>105-902-02</t>
  </si>
  <si>
    <t>105-904-02</t>
  </si>
  <si>
    <t>105-905-02</t>
  </si>
  <si>
    <t>105-906-02</t>
  </si>
  <si>
    <t>106-901-02</t>
  </si>
  <si>
    <t>107-901-02</t>
  </si>
  <si>
    <t>107-902-02</t>
  </si>
  <si>
    <t>107-907-02</t>
  </si>
  <si>
    <t>107-908-02</t>
  </si>
  <si>
    <t>108-902-02</t>
  </si>
  <si>
    <t>108-903-02</t>
  </si>
  <si>
    <t>108-904-02</t>
  </si>
  <si>
    <t>108-905-02</t>
  </si>
  <si>
    <t>108-906-02</t>
  </si>
  <si>
    <t>108-907-02</t>
  </si>
  <si>
    <t>108-908-02</t>
  </si>
  <si>
    <t>108-909-02</t>
  </si>
  <si>
    <t>108-910-02</t>
  </si>
  <si>
    <t>108-911-02</t>
  </si>
  <si>
    <t>108-912-02</t>
  </si>
  <si>
    <t>108-913-02</t>
  </si>
  <si>
    <t>108-914-02</t>
  </si>
  <si>
    <t>108-915-02</t>
  </si>
  <si>
    <t>108-916-02</t>
  </si>
  <si>
    <t>109-901-02</t>
  </si>
  <si>
    <t>109-902-02</t>
  </si>
  <si>
    <t>109-903-02</t>
  </si>
  <si>
    <t>109-905-02</t>
  </si>
  <si>
    <t>109-907-02</t>
  </si>
  <si>
    <t>109-908-02</t>
  </si>
  <si>
    <t>109-910-02</t>
  </si>
  <si>
    <t>109-911-02</t>
  </si>
  <si>
    <t>109-912-02</t>
  </si>
  <si>
    <t>109-913-02</t>
  </si>
  <si>
    <t>109-914-02</t>
  </si>
  <si>
    <t>110-901-02</t>
  </si>
  <si>
    <t>110-902-02</t>
  </si>
  <si>
    <t>110-905-02</t>
  </si>
  <si>
    <t>110-906-02</t>
  </si>
  <si>
    <t>110-907-02</t>
  </si>
  <si>
    <t>110-908-02</t>
  </si>
  <si>
    <t>111-901-02</t>
  </si>
  <si>
    <t>111-902-02</t>
  </si>
  <si>
    <t>111-903-02</t>
  </si>
  <si>
    <t>112-901-02</t>
  </si>
  <si>
    <t>112-905-02</t>
  </si>
  <si>
    <t>112-906-02</t>
  </si>
  <si>
    <t>112-907-02</t>
  </si>
  <si>
    <t>112-908-02</t>
  </si>
  <si>
    <t>112-909-02</t>
  </si>
  <si>
    <t>112-910-02</t>
  </si>
  <si>
    <t>113-901-02</t>
  </si>
  <si>
    <t>113-902-02</t>
  </si>
  <si>
    <t>113-903-02</t>
  </si>
  <si>
    <t>115-901-02</t>
  </si>
  <si>
    <t>115-902-02</t>
  </si>
  <si>
    <t>115-903-02</t>
  </si>
  <si>
    <t>116-901-02</t>
  </si>
  <si>
    <t>116-902-02</t>
  </si>
  <si>
    <t>116-903-02</t>
  </si>
  <si>
    <t>116-905-02</t>
  </si>
  <si>
    <t>116-906-02</t>
  </si>
  <si>
    <t>116-908-02</t>
  </si>
  <si>
    <t>116-909-02</t>
  </si>
  <si>
    <t>116-910-02</t>
  </si>
  <si>
    <t>116-915-02</t>
  </si>
  <si>
    <t>116-916-02</t>
  </si>
  <si>
    <t>117-901-02</t>
  </si>
  <si>
    <t>117-903-02</t>
  </si>
  <si>
    <t>117-904-02</t>
  </si>
  <si>
    <t>117-907-02</t>
  </si>
  <si>
    <t>118-902-02</t>
  </si>
  <si>
    <t>120-901-02</t>
  </si>
  <si>
    <t>120-902-02</t>
  </si>
  <si>
    <t>120-905-02</t>
  </si>
  <si>
    <t>121-902-02</t>
  </si>
  <si>
    <t>121-903-02</t>
  </si>
  <si>
    <t>121-904-02</t>
  </si>
  <si>
    <t>121-905-02</t>
  </si>
  <si>
    <t>121-906-02</t>
  </si>
  <si>
    <t>122-901-02</t>
  </si>
  <si>
    <t>122-902-02</t>
  </si>
  <si>
    <t>123-905-02</t>
  </si>
  <si>
    <t>123-907-02</t>
  </si>
  <si>
    <t>123-908-02</t>
  </si>
  <si>
    <t>123-910-02</t>
  </si>
  <si>
    <t>123-913-02</t>
  </si>
  <si>
    <t>123-914-02</t>
  </si>
  <si>
    <t>124-901-02</t>
  </si>
  <si>
    <t>125-901-02</t>
  </si>
  <si>
    <t>125-902-02</t>
  </si>
  <si>
    <t>125-903-02</t>
  </si>
  <si>
    <t>125-905-02</t>
  </si>
  <si>
    <t>125-906-02</t>
  </si>
  <si>
    <t>126-901-02</t>
  </si>
  <si>
    <t>126-902-02</t>
  </si>
  <si>
    <t>126-903-02</t>
  </si>
  <si>
    <t>126-904-02</t>
  </si>
  <si>
    <t>126-905-02</t>
  </si>
  <si>
    <t>126-906-02</t>
  </si>
  <si>
    <t>126-907-02</t>
  </si>
  <si>
    <t>126-908-02</t>
  </si>
  <si>
    <t>127-901-02</t>
  </si>
  <si>
    <t>127-903-02</t>
  </si>
  <si>
    <t>127-904-02</t>
  </si>
  <si>
    <t>127-905-02</t>
  </si>
  <si>
    <t>127-906-02</t>
  </si>
  <si>
    <t>128-901-02</t>
  </si>
  <si>
    <t>128-902-02</t>
  </si>
  <si>
    <t>128-903-02</t>
  </si>
  <si>
    <t>128-904-02</t>
  </si>
  <si>
    <t>129-901-02</t>
  </si>
  <si>
    <t>129-902-02</t>
  </si>
  <si>
    <t>129-904-02</t>
  </si>
  <si>
    <t>129-910-02</t>
  </si>
  <si>
    <t>130-901-02</t>
  </si>
  <si>
    <t>130-902-02</t>
  </si>
  <si>
    <t>131-001-02</t>
  </si>
  <si>
    <t>132-902-02</t>
  </si>
  <si>
    <t>133-901-02</t>
  </si>
  <si>
    <t>133-902-02</t>
  </si>
  <si>
    <t>133-903-02</t>
  </si>
  <si>
    <t>133-904-02</t>
  </si>
  <si>
    <t>133-905-02</t>
  </si>
  <si>
    <t>134-901-02</t>
  </si>
  <si>
    <t>135-001-02</t>
  </si>
  <si>
    <t>136-901-02</t>
  </si>
  <si>
    <t>137-901-02</t>
  </si>
  <si>
    <t>137-902-02</t>
  </si>
  <si>
    <t>137-903-02</t>
  </si>
  <si>
    <t>137-904-02</t>
  </si>
  <si>
    <t>138-902-02</t>
  </si>
  <si>
    <t>138-903-02</t>
  </si>
  <si>
    <t>138-904-02</t>
  </si>
  <si>
    <t>139-909-02</t>
  </si>
  <si>
    <t>139-911-02</t>
  </si>
  <si>
    <t>139-912-02</t>
  </si>
  <si>
    <t>140-901-02</t>
  </si>
  <si>
    <t>140-904-02</t>
  </si>
  <si>
    <t>140-905-02</t>
  </si>
  <si>
    <t>140-907-02</t>
  </si>
  <si>
    <t>140-908-02</t>
  </si>
  <si>
    <t>141-902-02</t>
  </si>
  <si>
    <t>142-901-02</t>
  </si>
  <si>
    <t>143-901-02</t>
  </si>
  <si>
    <t>143-902-02</t>
  </si>
  <si>
    <t>143-903-02</t>
  </si>
  <si>
    <t>143-904-02</t>
  </si>
  <si>
    <t>143-905-02</t>
  </si>
  <si>
    <t>143-906-02</t>
  </si>
  <si>
    <t>144-901-02</t>
  </si>
  <si>
    <t>144-902-02</t>
  </si>
  <si>
    <t>144-903-02</t>
  </si>
  <si>
    <t>145-901-02</t>
  </si>
  <si>
    <t>145-906-02</t>
  </si>
  <si>
    <t>145-907-02</t>
  </si>
  <si>
    <t>146-901-02</t>
  </si>
  <si>
    <t>146-902-02</t>
  </si>
  <si>
    <t>146-903-02</t>
  </si>
  <si>
    <t>146-904-02</t>
  </si>
  <si>
    <t>146-905-02</t>
  </si>
  <si>
    <t>146-906-02</t>
  </si>
  <si>
    <t>146-907-02</t>
  </si>
  <si>
    <t>147-901-02</t>
  </si>
  <si>
    <t>148-901-02</t>
  </si>
  <si>
    <t>148-902-02</t>
  </si>
  <si>
    <t>148-905-02</t>
  </si>
  <si>
    <t>149-901-02</t>
  </si>
  <si>
    <t>149-902-02</t>
  </si>
  <si>
    <t>150-901-02</t>
  </si>
  <si>
    <t>152-901-02</t>
  </si>
  <si>
    <t>152-902-02</t>
  </si>
  <si>
    <t>152-903-02</t>
  </si>
  <si>
    <t>152-906-02</t>
  </si>
  <si>
    <t>152-907-02</t>
  </si>
  <si>
    <t>152-908-02</t>
  </si>
  <si>
    <t>152-909-02</t>
  </si>
  <si>
    <t>152-910-02</t>
  </si>
  <si>
    <t>153-903-02</t>
  </si>
  <si>
    <t>153-904-02</t>
  </si>
  <si>
    <t>153-905-02</t>
  </si>
  <si>
    <t>153-907-02</t>
  </si>
  <si>
    <t>154-901-02</t>
  </si>
  <si>
    <t>154-903-02</t>
  </si>
  <si>
    <t>155-901-02</t>
  </si>
  <si>
    <t>157-901-02</t>
  </si>
  <si>
    <t>158-901-02</t>
  </si>
  <si>
    <t>158-902-02</t>
  </si>
  <si>
    <t>158-904-02</t>
  </si>
  <si>
    <t>158-905-02</t>
  </si>
  <si>
    <t>158-906-02</t>
  </si>
  <si>
    <t>159-901-02</t>
  </si>
  <si>
    <t>160-901-02</t>
  </si>
  <si>
    <t>160-904-02</t>
  </si>
  <si>
    <t>160-905-02</t>
  </si>
  <si>
    <t>161-901-02</t>
  </si>
  <si>
    <t>161-903-02</t>
  </si>
  <si>
    <t>161-906-02</t>
  </si>
  <si>
    <t>161-907-02</t>
  </si>
  <si>
    <t>161-908-02</t>
  </si>
  <si>
    <t>161-909-02</t>
  </si>
  <si>
    <t>161-910-02</t>
  </si>
  <si>
    <t>161-914-02</t>
  </si>
  <si>
    <t>161-916-02</t>
  </si>
  <si>
    <t>161-918-02</t>
  </si>
  <si>
    <t>161-919-02</t>
  </si>
  <si>
    <t>161-920-02</t>
  </si>
  <si>
    <t>161-921-02</t>
  </si>
  <si>
    <t>161-922-02</t>
  </si>
  <si>
    <t>161-923-02</t>
  </si>
  <si>
    <t>161-924-02</t>
  </si>
  <si>
    <t>161-925-02</t>
  </si>
  <si>
    <t>162-904-02</t>
  </si>
  <si>
    <t>163-901-02</t>
  </si>
  <si>
    <t>163-902-02</t>
  </si>
  <si>
    <t>163-903-02</t>
  </si>
  <si>
    <t>163-904-02</t>
  </si>
  <si>
    <t>163-908-02</t>
  </si>
  <si>
    <t>164-901-02</t>
  </si>
  <si>
    <t>166-901-02</t>
  </si>
  <si>
    <t>166-902-02</t>
  </si>
  <si>
    <t>166-903-02</t>
  </si>
  <si>
    <t>166-904-02</t>
  </si>
  <si>
    <t>166-905-02</t>
  </si>
  <si>
    <t>166-907-02</t>
  </si>
  <si>
    <t>167-901-02</t>
  </si>
  <si>
    <t>167-902-02</t>
  </si>
  <si>
    <t>167-904-02</t>
  </si>
  <si>
    <t>168-903-02</t>
  </si>
  <si>
    <t>169-902-02</t>
  </si>
  <si>
    <t>169-906-02</t>
  </si>
  <si>
    <t>169-908-02</t>
  </si>
  <si>
    <t>169-909-02</t>
  </si>
  <si>
    <t>169-910-02</t>
  </si>
  <si>
    <t>169-911-02</t>
  </si>
  <si>
    <t>170-902-02</t>
  </si>
  <si>
    <t>170-903-02</t>
  </si>
  <si>
    <t>170-904-02</t>
  </si>
  <si>
    <t>170-906-02</t>
  </si>
  <si>
    <t>170-907-02</t>
  </si>
  <si>
    <t>170-908-02</t>
  </si>
  <si>
    <t>171-901-02</t>
  </si>
  <si>
    <t>171-902-02</t>
  </si>
  <si>
    <t>172-902-02</t>
  </si>
  <si>
    <t>172-905-02</t>
  </si>
  <si>
    <t>173-901-02</t>
  </si>
  <si>
    <t>174-901-02</t>
  </si>
  <si>
    <t>174-903-02</t>
  </si>
  <si>
    <t>174-906-02</t>
  </si>
  <si>
    <t>174-908-02</t>
  </si>
  <si>
    <t>174-909-02</t>
  </si>
  <si>
    <t>174-910-02</t>
  </si>
  <si>
    <t>174-911-02</t>
  </si>
  <si>
    <t>175-902-02</t>
  </si>
  <si>
    <t>175-903-02</t>
  </si>
  <si>
    <t>175-904-02</t>
  </si>
  <si>
    <t>175-905-02</t>
  </si>
  <si>
    <t>175-907-02</t>
  </si>
  <si>
    <t>175-910-02</t>
  </si>
  <si>
    <t>175-911-02</t>
  </si>
  <si>
    <t>176-901-02</t>
  </si>
  <si>
    <t>176-902-02</t>
  </si>
  <si>
    <t>176-903-02</t>
  </si>
  <si>
    <t>177-905-02</t>
  </si>
  <si>
    <t>178-901-02</t>
  </si>
  <si>
    <t>178-902-02</t>
  </si>
  <si>
    <t>178-903-02</t>
  </si>
  <si>
    <t>178-904-02</t>
  </si>
  <si>
    <t>178-905-02</t>
  </si>
  <si>
    <t>178-906-02</t>
  </si>
  <si>
    <t>178-908-02</t>
  </si>
  <si>
    <t>178-909-02</t>
  </si>
  <si>
    <t>178-912-02</t>
  </si>
  <si>
    <t>178-913-02</t>
  </si>
  <si>
    <t>178-914-02</t>
  </si>
  <si>
    <t>178-915-02</t>
  </si>
  <si>
    <t>179-901-02</t>
  </si>
  <si>
    <t>180-902-02</t>
  </si>
  <si>
    <t>180-903-02</t>
  </si>
  <si>
    <t>181-901-02</t>
  </si>
  <si>
    <t>181-905-02</t>
  </si>
  <si>
    <t>181-906-02</t>
  </si>
  <si>
    <t>181-907-02</t>
  </si>
  <si>
    <t>181-908-02</t>
  </si>
  <si>
    <t>182-901-02</t>
  </si>
  <si>
    <t>182-902-02</t>
  </si>
  <si>
    <t>182-903-02</t>
  </si>
  <si>
    <t>182-904-02</t>
  </si>
  <si>
    <t>182-905-02</t>
  </si>
  <si>
    <t>182-906-02</t>
  </si>
  <si>
    <t>183-901-02</t>
  </si>
  <si>
    <t>183-902-02</t>
  </si>
  <si>
    <t>183-904-02</t>
  </si>
  <si>
    <t>184-901-02</t>
  </si>
  <si>
    <t>184-902-02</t>
  </si>
  <si>
    <t>184-903-02</t>
  </si>
  <si>
    <t>184-904-02</t>
  </si>
  <si>
    <t>184-907-02</t>
  </si>
  <si>
    <t>184-908-02</t>
  </si>
  <si>
    <t>184-909-02</t>
  </si>
  <si>
    <t>184-911-02</t>
  </si>
  <si>
    <t>185-901-02</t>
  </si>
  <si>
    <t>185-903-02</t>
  </si>
  <si>
    <t>185-904-02</t>
  </si>
  <si>
    <t>186-901-02</t>
  </si>
  <si>
    <t>186-902-02</t>
  </si>
  <si>
    <t>186-903-02</t>
  </si>
  <si>
    <t>187-901-02</t>
  </si>
  <si>
    <t>187-903-02</t>
  </si>
  <si>
    <t>187-904-02</t>
  </si>
  <si>
    <t>187-906-02</t>
  </si>
  <si>
    <t>187-907-02</t>
  </si>
  <si>
    <t>187-910-02</t>
  </si>
  <si>
    <t>188-901-02</t>
  </si>
  <si>
    <t>188-903-02</t>
  </si>
  <si>
    <t>188-904-02</t>
  </si>
  <si>
    <t>189-901-02</t>
  </si>
  <si>
    <t>189-902-02</t>
  </si>
  <si>
    <t>190-903-02</t>
  </si>
  <si>
    <t>191-901-02</t>
  </si>
  <si>
    <t>193-902-02</t>
  </si>
  <si>
    <t>194-902-02</t>
  </si>
  <si>
    <t>194-903-02</t>
  </si>
  <si>
    <t>194-904-02</t>
  </si>
  <si>
    <t>194-905-02</t>
  </si>
  <si>
    <t>195-902-02</t>
  </si>
  <si>
    <t>196-901-02</t>
  </si>
  <si>
    <t>196-902-02</t>
  </si>
  <si>
    <t>196-903-02</t>
  </si>
  <si>
    <t>197-902-02</t>
  </si>
  <si>
    <t>198-901-02</t>
  </si>
  <si>
    <t>198-902-02</t>
  </si>
  <si>
    <t>198-905-02</t>
  </si>
  <si>
    <t>198-906-02</t>
  </si>
  <si>
    <t>199-901-02</t>
  </si>
  <si>
    <t>199-902-02</t>
  </si>
  <si>
    <t>200-901-02</t>
  </si>
  <si>
    <t>200-902-02</t>
  </si>
  <si>
    <t>200-906-02</t>
  </si>
  <si>
    <t>201-903-02</t>
  </si>
  <si>
    <t>201-904-02</t>
  </si>
  <si>
    <t>201-907-02</t>
  </si>
  <si>
    <t>201-908-02</t>
  </si>
  <si>
    <t>201-913-02</t>
  </si>
  <si>
    <t>201-914-02</t>
  </si>
  <si>
    <t>202-903-02</t>
  </si>
  <si>
    <t>202-905-02</t>
  </si>
  <si>
    <t>203-901-02</t>
  </si>
  <si>
    <t>203-902-02</t>
  </si>
  <si>
    <t>204-901-02</t>
  </si>
  <si>
    <t>204-904-02</t>
  </si>
  <si>
    <t>205-901-02</t>
  </si>
  <si>
    <t>205-902-02</t>
  </si>
  <si>
    <t>205-903-02</t>
  </si>
  <si>
    <t>205-904-02</t>
  </si>
  <si>
    <t>205-905-02</t>
  </si>
  <si>
    <t>205-906-02</t>
  </si>
  <si>
    <t>205-907-02</t>
  </si>
  <si>
    <t>206-901-02</t>
  </si>
  <si>
    <t>206-902-02</t>
  </si>
  <si>
    <t>206-903-02</t>
  </si>
  <si>
    <t>207-901-02</t>
  </si>
  <si>
    <t>209-901-02</t>
  </si>
  <si>
    <t>209-902-02</t>
  </si>
  <si>
    <t>210-901-02</t>
  </si>
  <si>
    <t>210-902-02</t>
  </si>
  <si>
    <t>210-903-02</t>
  </si>
  <si>
    <t>210-904-02</t>
  </si>
  <si>
    <t>210-905-02</t>
  </si>
  <si>
    <t>210-906-02</t>
  </si>
  <si>
    <t>211-901-02</t>
  </si>
  <si>
    <t>211-902-02</t>
  </si>
  <si>
    <t>212-901-02</t>
  </si>
  <si>
    <t>212-902-02</t>
  </si>
  <si>
    <t>212-903-02</t>
  </si>
  <si>
    <t>212-904-02</t>
  </si>
  <si>
    <t>212-906-02</t>
  </si>
  <si>
    <t>212-909-02</t>
  </si>
  <si>
    <t>212-910-02</t>
  </si>
  <si>
    <t>214-901-02</t>
  </si>
  <si>
    <t>214-902-02</t>
  </si>
  <si>
    <t>214-903-02</t>
  </si>
  <si>
    <t>216-901-02</t>
  </si>
  <si>
    <t>217-901-02</t>
  </si>
  <si>
    <t>218-901-02</t>
  </si>
  <si>
    <t>219-901-02</t>
  </si>
  <si>
    <t>220-901-02</t>
  </si>
  <si>
    <t>220-902-02</t>
  </si>
  <si>
    <t>220-904-02</t>
  </si>
  <si>
    <t>220-905-02</t>
  </si>
  <si>
    <t>220-906-02</t>
  </si>
  <si>
    <t>220-907-02</t>
  </si>
  <si>
    <t>220-908-02</t>
  </si>
  <si>
    <t>220-910-02</t>
  </si>
  <si>
    <t>220-912-02</t>
  </si>
  <si>
    <t>220-914-02</t>
  </si>
  <si>
    <t>220-915-02</t>
  </si>
  <si>
    <t>220-916-02</t>
  </si>
  <si>
    <t>220-917-02</t>
  </si>
  <si>
    <t>220-918-02</t>
  </si>
  <si>
    <t>220-919-02</t>
  </si>
  <si>
    <t>220-920-02</t>
  </si>
  <si>
    <t>221-901-02</t>
  </si>
  <si>
    <t>221-904-02</t>
  </si>
  <si>
    <t>221-911-02</t>
  </si>
  <si>
    <t>221-912-02</t>
  </si>
  <si>
    <t>222-901-02</t>
  </si>
  <si>
    <t>223-901-02</t>
  </si>
  <si>
    <t>223-902-02</t>
  </si>
  <si>
    <t>223-904-02</t>
  </si>
  <si>
    <t>224-902-02</t>
  </si>
  <si>
    <t>225-902-02</t>
  </si>
  <si>
    <t>225-906-02</t>
  </si>
  <si>
    <t>225-907-02</t>
  </si>
  <si>
    <t>226-901-02</t>
  </si>
  <si>
    <t>226-903-02</t>
  </si>
  <si>
    <t>226-905-02</t>
  </si>
  <si>
    <t>226-906-02</t>
  </si>
  <si>
    <t>226-907-02</t>
  </si>
  <si>
    <t>226-908-02</t>
  </si>
  <si>
    <t>227-901-02</t>
  </si>
  <si>
    <t>227-904-02</t>
  </si>
  <si>
    <t>227-907-02</t>
  </si>
  <si>
    <t>227-910-02</t>
  </si>
  <si>
    <t>228-901-02</t>
  </si>
  <si>
    <t>228-903-02</t>
  </si>
  <si>
    <t>228-904-02</t>
  </si>
  <si>
    <t>228-905-02</t>
  </si>
  <si>
    <t>229-901-02</t>
  </si>
  <si>
    <t>229-903-02</t>
  </si>
  <si>
    <t>229-904-02</t>
  </si>
  <si>
    <t>229-905-02</t>
  </si>
  <si>
    <t>229-906-02</t>
  </si>
  <si>
    <t>230-901-02</t>
  </si>
  <si>
    <t>230-902-02</t>
  </si>
  <si>
    <t>230-903-02</t>
  </si>
  <si>
    <t>230-904-02</t>
  </si>
  <si>
    <t>230-905-02</t>
  </si>
  <si>
    <t>230-906-02</t>
  </si>
  <si>
    <t>230-908-02</t>
  </si>
  <si>
    <t>231-901-02</t>
  </si>
  <si>
    <t>232-901-02</t>
  </si>
  <si>
    <t>232-902-02</t>
  </si>
  <si>
    <t>232-903-02</t>
  </si>
  <si>
    <t>232-904-02</t>
  </si>
  <si>
    <t>233-901-02</t>
  </si>
  <si>
    <t>233-903-02</t>
  </si>
  <si>
    <t>234-902-02</t>
  </si>
  <si>
    <t>234-903-02</t>
  </si>
  <si>
    <t>234-904-02</t>
  </si>
  <si>
    <t>234-905-02</t>
  </si>
  <si>
    <t>234-906-02</t>
  </si>
  <si>
    <t>234-907-02</t>
  </si>
  <si>
    <t>234-909-02</t>
  </si>
  <si>
    <t>235-901-02</t>
  </si>
  <si>
    <t>235-902-02</t>
  </si>
  <si>
    <t>235-904-02</t>
  </si>
  <si>
    <t>236-901-02</t>
  </si>
  <si>
    <t>236-902-02</t>
  </si>
  <si>
    <t>237-902-02</t>
  </si>
  <si>
    <t>237-904-02</t>
  </si>
  <si>
    <t>238-904-02</t>
  </si>
  <si>
    <t>239-901-02</t>
  </si>
  <si>
    <t>239-903-02</t>
  </si>
  <si>
    <t>240-901-02</t>
  </si>
  <si>
    <t>240-903-02</t>
  </si>
  <si>
    <t>240-904-02</t>
  </si>
  <si>
    <t>241-901-02</t>
  </si>
  <si>
    <t>241-902-02</t>
  </si>
  <si>
    <t>241-903-02</t>
  </si>
  <si>
    <t>241-904-02</t>
  </si>
  <si>
    <t>241-906-02</t>
  </si>
  <si>
    <t>242-902-02</t>
  </si>
  <si>
    <t>242-903-02</t>
  </si>
  <si>
    <t>242-905-02</t>
  </si>
  <si>
    <t>242-906-02</t>
  </si>
  <si>
    <t>243-901-02</t>
  </si>
  <si>
    <t>243-902-02</t>
  </si>
  <si>
    <t>243-903-02</t>
  </si>
  <si>
    <t>243-905-02</t>
  </si>
  <si>
    <t>243-906-02</t>
  </si>
  <si>
    <t>244-905-02</t>
  </si>
  <si>
    <t>245-901-02</t>
  </si>
  <si>
    <t>245-902-02</t>
  </si>
  <si>
    <t>245-903-02</t>
  </si>
  <si>
    <t>245-904-02</t>
  </si>
  <si>
    <t>246-902-02</t>
  </si>
  <si>
    <t>246-904-02</t>
  </si>
  <si>
    <t>246-905-02</t>
  </si>
  <si>
    <t>246-906-02</t>
  </si>
  <si>
    <t>246-907-02</t>
  </si>
  <si>
    <t>246-908-02</t>
  </si>
  <si>
    <t>246-911-02</t>
  </si>
  <si>
    <t>246-914-02</t>
  </si>
  <si>
    <t>247-901-02</t>
  </si>
  <si>
    <t>247-903-02</t>
  </si>
  <si>
    <t>247-904-02</t>
  </si>
  <si>
    <t>247-906-02</t>
  </si>
  <si>
    <t>249-901-02</t>
  </si>
  <si>
    <t>249-902-02</t>
  </si>
  <si>
    <t>249-903-02</t>
  </si>
  <si>
    <t>249-904-02</t>
  </si>
  <si>
    <t>249-905-02</t>
  </si>
  <si>
    <t>249-906-02</t>
  </si>
  <si>
    <t>249-908-02</t>
  </si>
  <si>
    <t>250-902-02</t>
  </si>
  <si>
    <t>250-903-02</t>
  </si>
  <si>
    <t>250-904-02</t>
  </si>
  <si>
    <t>250-905-02</t>
  </si>
  <si>
    <t>250-906-02</t>
  </si>
  <si>
    <t>250-907-02</t>
  </si>
  <si>
    <t>251-901-02</t>
  </si>
  <si>
    <t>251-902-02</t>
  </si>
  <si>
    <t>252-901-02</t>
  </si>
  <si>
    <t>252-902-02</t>
  </si>
  <si>
    <t>252-903-02</t>
  </si>
  <si>
    <t>253-901-02</t>
  </si>
  <si>
    <t>254-901-02</t>
  </si>
  <si>
    <t>254-902-02</t>
  </si>
  <si>
    <t>2020 Tax Year Finals</t>
  </si>
  <si>
    <t>ESTIMATED</t>
  </si>
  <si>
    <t>2022 TAX YEAR</t>
  </si>
  <si>
    <t>2023 TAX YEAR</t>
  </si>
  <si>
    <t>2024 TAX YEAR</t>
  </si>
  <si>
    <t>2025 TAX YEAR</t>
  </si>
  <si>
    <t xml:space="preserve">&lt;= Enter the amount, if any, determined by TEA - the amount will appear on the 20-21 Summary of Finances under "Other Programs Detail Report" link and will be part of the Tier I allotments. </t>
  </si>
  <si>
    <t>&lt;= This cell has been loaded/calculated for you - only 20-21 is the official TEA-approved rate….the other years are based on the estimated T2 values.</t>
  </si>
  <si>
    <t xml:space="preserve">&lt;= Enter the district's share of the statewide cost of the Advanced Placement testing (can be entered as positive or negative amount) - use same charge that appears on the district's latest Summary of Finances. </t>
  </si>
  <si>
    <t xml:space="preserve">&lt;= Enter the district's share of the statewide cost of the Early Childhood Intervention Program (can be entered as positive or negative amount) - use same charge that appears on the district's latest Tier I Detail Report that is linked on TEA's Summary of Finances.  </t>
  </si>
  <si>
    <t>&lt;= This cell is completed for you - the amount may have changed since the data were loaded. Check your latest Summary of Finances for the applicable year to make sure the latest amount loads.  If it has changed, enter the latest amount.</t>
  </si>
  <si>
    <t>Student Counts: most 20-21 student counts are auto-loaded from a file obtained from TEA.</t>
  </si>
  <si>
    <t>district_id</t>
  </si>
  <si>
    <t>THE LIGHT GREEN-SHADED CELLS ARE AUTO-LOADED &amp; SHOULD NOT BE CHANGED UNLESS YOU ARE ABSOLUTELY SURE THE DATA LOADED IS INCORRECT.</t>
  </si>
  <si>
    <t>ADA_TOT_REFINED</t>
  </si>
  <si>
    <t>THE WHITE-SHADED DATA ENTRY CELLS CAN BE LEFT ALONE, BUT CAN BE CHANGED IF SO DESIRED……………….</t>
  </si>
  <si>
    <t>Refined ADA Used for EDA &amp; IFA: 20-21 year only</t>
  </si>
  <si>
    <r>
      <t xml:space="preserve">I&amp;S Hold Harmless (ASAHE for Facilities on TEA's Report) </t>
    </r>
    <r>
      <rPr>
        <sz val="12"/>
        <color rgb="FFFF0000"/>
        <rFont val="Arial MT"/>
      </rPr>
      <t>(Link to HH2122-Calcs tab)</t>
    </r>
  </si>
  <si>
    <r>
      <t xml:space="preserve">I&amp;S Hold Harmless (ASAHE for Facilities on TEA's Report) </t>
    </r>
    <r>
      <rPr>
        <sz val="12"/>
        <color rgb="FFFF0000"/>
        <rFont val="Arial MT"/>
      </rPr>
      <t>(Link to HH2324-Calcs tab)</t>
    </r>
  </si>
  <si>
    <r>
      <t xml:space="preserve">I&amp;S Hold Harmless (ASAHE for Facilities on TEA's Report) </t>
    </r>
    <r>
      <rPr>
        <sz val="12"/>
        <color rgb="FFFF0000"/>
        <rFont val="Arial MT"/>
      </rPr>
      <t>(Link to HH2526-Calcs tab)</t>
    </r>
  </si>
  <si>
    <t>Line 16</t>
  </si>
  <si>
    <t>Line 20</t>
  </si>
  <si>
    <t>FTG Lines 16 &amp; 20: 19-20</t>
  </si>
  <si>
    <t>HB 1525, The "Clean-up" - Release 1 Dated 10/04/2021</t>
  </si>
  <si>
    <t>This release: "It's out with the old and in with the new" (if you're a fan of musicals, you might know this one)…..finally got around to getting rid of</t>
  </si>
  <si>
    <t>the oldest year and adding a new year, so I'm "Starting Over Again" (give-away hint: she has her own theme park, so you don't have to Google)</t>
  </si>
  <si>
    <t>and thus, this is Release 1 of the new series.</t>
  </si>
  <si>
    <t xml:space="preserve">most of what auto-loads, so maybe "the hardest part is over" (hint: lyrics from someone I've used before) with regard to HH ADA, Capped ADA, </t>
  </si>
  <si>
    <t>has gone thru to get a final 20-21 "near final" Summary of Finances is not quite over, but I think it's at a point where I feel comfortable with</t>
  </si>
  <si>
    <t>the 'better of', ESSER II, etc, etc. etc.</t>
  </si>
  <si>
    <t>1) the new: the 25-26 column.</t>
  </si>
  <si>
    <r>
      <t xml:space="preserve">2) when you enter your co-dist #, you will notice that most, </t>
    </r>
    <r>
      <rPr>
        <b/>
        <sz val="10"/>
        <color rgb="FFFF0000"/>
        <rFont val="Arial MT"/>
      </rPr>
      <t>not all</t>
    </r>
    <r>
      <rPr>
        <b/>
        <sz val="10"/>
        <rFont val="Arial MT"/>
      </rPr>
      <t>, of the 20-21 student counts have been loaded for you….the iterations that TEA</t>
    </r>
  </si>
  <si>
    <t>3) the old: the 19-20 column is history.</t>
  </si>
  <si>
    <r>
      <t xml:space="preserve">3) the final 2020 tax year values will load as well - </t>
    </r>
    <r>
      <rPr>
        <b/>
        <sz val="10"/>
        <color rgb="FFFF0000"/>
        <rFont val="Arial MT"/>
      </rPr>
      <t>Exception</t>
    </r>
    <r>
      <rPr>
        <b/>
        <sz val="10"/>
        <rFont val="Arial MT"/>
      </rPr>
      <t>: at the time I got this file, there were about 100 districts that were not on the list</t>
    </r>
  </si>
  <si>
    <t>TEA or the Comptroller's office.</t>
  </si>
  <si>
    <t xml:space="preserve">(did not get certified for some reason), so if you are one of them, complete those cells with whatever the latest data you might have from either </t>
  </si>
  <si>
    <t>That's about it…..these last few months have made me wonder if I still should be doing this and maybe it's time to hang it up….but "You Know</t>
  </si>
  <si>
    <t>Me Better Than That" (had to throw one in for you GS fans).</t>
  </si>
  <si>
    <t>2019-20 Old Law Revenue per ADA (from Cell C153 on data entry tab)</t>
  </si>
  <si>
    <t>015842</t>
  </si>
  <si>
    <t>015843</t>
  </si>
  <si>
    <t>152504</t>
  </si>
  <si>
    <t>ROUND 2 - Additions.</t>
  </si>
  <si>
    <t>purposes.</t>
  </si>
  <si>
    <t>This release: corrects 20-21 Formula Transition Grant (FTG) calculations for some districts (see below) and uses a different 20-21 ADA for 21-22 ASF</t>
  </si>
  <si>
    <t>2) in the "State of Confusion" category (another oldie most of you will not know) - the 20-21 ADA that TEA is now using for 21-22 ASF purposes has been</t>
  </si>
  <si>
    <t>Along these same lines, the 21-22 per capita rate has changed slightly from $402.682 to $402.428…..hardly worth mentioning, but I know some of you</t>
  </si>
  <si>
    <t>loaded for you….it is not your PEIMS ADA, your PEIMS Capped ADA, your "better of" ADA, or your ESSER-Adjusted ADA….it is some other ADA that I</t>
  </si>
  <si>
    <t>won't bother to explain what it is, mainly because I will undoubtedly get you as confused as I am….suffice it to say it will change at some point (probably</t>
  </si>
  <si>
    <t>being used for ASF purposes will not change your bottom-line.</t>
  </si>
  <si>
    <t>will lose sleep unless you can reconcile to the penny! LOL (the 1st one I knew what it meant).</t>
  </si>
  <si>
    <t>know this as 'Grant #1) or the "(d-1") portion, so if the greater of was the "(d-1)" portion, it seemed logical to me that it would carry over into 20-21, which</t>
  </si>
  <si>
    <t>HB 1525, The "Clean-up" - Release 2 Dated 10/26/2021</t>
  </si>
  <si>
    <t xml:space="preserve">uses the greater of 19-20 old law revenue or 20-21 old law revenue, and that's how I had it programmed….but that's what I get for thinking.  The language </t>
  </si>
  <si>
    <t>in HB 3 only allows the 19-20 "(a)" portion to be used when comparing 19-20 old law revenue to 20-21 old law revenue to see which is the greater of amount.</t>
  </si>
  <si>
    <t>For you long-range planners, because 19-20 FTG is used for 21-22 and 23-24 FTG purposes, these 2 years were wrong as well.</t>
  </si>
  <si>
    <t>not until next Summer) and will ultimately be your 20-21 "better of" ADA" (I think).  The somewhat good news for most of you, whatever ADA ends up</t>
  </si>
  <si>
    <t xml:space="preserve">All this to say Release 1 was wrong in 20-21 for FTG districts that received the "(d-1)" portion in 19-20. </t>
  </si>
  <si>
    <t xml:space="preserve">1) in the "Wrong Again" category (you C&amp;W fans should know this one) - districts that received the "(d-1)" portion of the FTG (you may know this as </t>
  </si>
  <si>
    <t>Grant #2) in 19-20 do not get to use that old law revenue per ADA for 20-21 FTG purposes.  In 19-20, you got the greater of the "(a)" portion (you may</t>
  </si>
  <si>
    <t>Change</t>
  </si>
  <si>
    <t>Local Share of Tier I (Local Fund Assignment or 'LFA')</t>
  </si>
  <si>
    <t>State Funding Calculations</t>
  </si>
  <si>
    <t>Tier II Level I Allotment ("Golden" Penny Allotment)</t>
  </si>
  <si>
    <t>Tier II Level II Allotment ("Copper" Penny Allotment)</t>
  </si>
  <si>
    <t>Additional State Aid for Homestead Exemption (ASAHE)</t>
  </si>
  <si>
    <t xml:space="preserve">2022 Tax Year Property Value </t>
  </si>
  <si>
    <t xml:space="preserve">2022-23 Adopted M&amp;O Tax Rate </t>
  </si>
  <si>
    <t xml:space="preserve">2021-22 Adopted M&amp;O Tax Rate </t>
  </si>
  <si>
    <t>Local Revenue Net of Recapture (Line 5 - Line 13)</t>
  </si>
  <si>
    <t>State Aid (Line 9 + Line 10 + Line 11 + Line 12)</t>
  </si>
  <si>
    <t>State and Local Revenue Net of Recapture (Line 14 + Line 15)</t>
  </si>
  <si>
    <t>C&amp;T Allotment - Grades 7-12 not in approved program of study</t>
  </si>
  <si>
    <t>Debt Service on Eligible Bonds (as of 9/1/2021)</t>
  </si>
  <si>
    <t>Percentage Value Lost Due to Additional $15K Homestead Exemption (1 - (Line 1 / Line 2))</t>
  </si>
  <si>
    <t>Debt Service Revenue Lost Due to Additional $15K Homestead Exemption (Line 6 x Line 7)</t>
  </si>
  <si>
    <t>@ $40K</t>
  </si>
  <si>
    <t>ASAHE (M&amp;O Hold Harmless) (Line 16 @ $25K - Line 16 @ $40K)</t>
  </si>
  <si>
    <t>ASF Distribution</t>
  </si>
  <si>
    <t>FSP Share of Tier I (Greater of Line 6 - Line 7 - Line 8) (if less than $0, then Line 9 - $0)</t>
  </si>
  <si>
    <t>Recapture</t>
  </si>
  <si>
    <t>State Certified Property Value ("T2" value) @ $40K Exemption - begins in 22-23</t>
  </si>
  <si>
    <t>State Certified Property Value ("T8" value) @ $40K Exemption - begins in 22-23</t>
  </si>
  <si>
    <t>2022-23 @ $40K</t>
  </si>
  <si>
    <t>2023-24 @ $40K</t>
  </si>
  <si>
    <t>2024-25 @ $40K</t>
  </si>
  <si>
    <t>2025-26 @ $40K</t>
  </si>
  <si>
    <t>2022-23 @ $25K</t>
  </si>
  <si>
    <r>
      <t xml:space="preserve">The following is a </t>
    </r>
    <r>
      <rPr>
        <b/>
        <u/>
        <sz val="12"/>
        <color rgb="FFFF0000"/>
        <rFont val="Arial MT"/>
      </rPr>
      <t>PRELIMINARY</t>
    </r>
    <r>
      <rPr>
        <b/>
        <sz val="12"/>
        <color rgb="FFFF0000"/>
        <rFont val="Arial MT"/>
      </rPr>
      <t xml:space="preserve"> calculation that I think </t>
    </r>
    <r>
      <rPr>
        <b/>
        <u/>
        <sz val="12"/>
        <color rgb="FFFF0000"/>
        <rFont val="Arial MT"/>
      </rPr>
      <t>MIGHT</t>
    </r>
    <r>
      <rPr>
        <b/>
        <sz val="12"/>
        <color rgb="FFFF0000"/>
        <rFont val="Arial MT"/>
      </rPr>
      <t xml:space="preserve"> reflect the methodology TEA will use when calculating both the M&amp;O and I&amp;S hold harmless</t>
    </r>
  </si>
  <si>
    <t>2022 Property Value With $40K Homestead Exemption (T8)</t>
  </si>
  <si>
    <t>IFA State Aid @$40K</t>
  </si>
  <si>
    <t>EDA State Aid @40K</t>
  </si>
  <si>
    <t xml:space="preserve">EDA State Aid @$25K </t>
  </si>
  <si>
    <t>IFA State Aid @$25K</t>
  </si>
  <si>
    <t>@$40K</t>
  </si>
  <si>
    <t>State Share of IFA Lease-Purchase</t>
  </si>
  <si>
    <t>2023-24 @ $25K</t>
  </si>
  <si>
    <t xml:space="preserve">2023 Tax Year Property Value </t>
  </si>
  <si>
    <t xml:space="preserve">2023-24 Adopted M&amp;O Tax Rate </t>
  </si>
  <si>
    <t>2024-25 @ $25K</t>
  </si>
  <si>
    <r>
      <t xml:space="preserve">Local Revenue in Excess of Entitlement                </t>
    </r>
    <r>
      <rPr>
        <sz val="12"/>
        <color rgb="FFFF0000"/>
        <rFont val="Arial MT"/>
      </rPr>
      <t>(Link to Cost of Recapture Report)</t>
    </r>
  </si>
  <si>
    <r>
      <t xml:space="preserve">Local Revenue in Excess of Entitlement               </t>
    </r>
    <r>
      <rPr>
        <sz val="12"/>
        <color rgb="FFFF0000"/>
        <rFont val="Arial MT"/>
      </rPr>
      <t xml:space="preserve"> (Link to Cost of Recapture Report)</t>
    </r>
  </si>
  <si>
    <t>Eligible Debt (as of 9/1/2021) for I&amp;S Hold Harmless Purposes - begins in 22-23</t>
  </si>
  <si>
    <t xml:space="preserve">2024 Tax Year Property Value </t>
  </si>
  <si>
    <t xml:space="preserve">2024-25 Adopted M&amp;O Tax Rate </t>
  </si>
  <si>
    <t>2023 Property Value With $40K Homestead Exemption (T8)</t>
  </si>
  <si>
    <t>2024 Property Value With $40K Homestead Exemption (T8)</t>
  </si>
  <si>
    <t>2024 Property Value With $25K Homestead Exemption (T9)</t>
  </si>
  <si>
    <t xml:space="preserve">2025 Tax Year Property Value </t>
  </si>
  <si>
    <t xml:space="preserve">2025-26 Adopted M&amp;O Tax Rate </t>
  </si>
  <si>
    <t>2025 Property Value With $40K Homestead Exemption (T8)</t>
  </si>
  <si>
    <t>2025 Property Value With $25K Homestead Exemption (T9)</t>
  </si>
  <si>
    <r>
      <t xml:space="preserve">ASAHE (M&amp;O Hold Harmless)           </t>
    </r>
    <r>
      <rPr>
        <sz val="12"/>
        <color rgb="FFFF0000"/>
        <rFont val="Arial MT"/>
      </rPr>
      <t>(Link to Detail Report)</t>
    </r>
  </si>
  <si>
    <t>SB1 22-23</t>
  </si>
  <si>
    <t>SB1 23-24</t>
  </si>
  <si>
    <t>SB1 24-25</t>
  </si>
  <si>
    <t>SB1 25-26</t>
  </si>
  <si>
    <t>SB 1 Carried Forward From 22-23:</t>
  </si>
  <si>
    <r>
      <t xml:space="preserve">M&amp;O Taxes Distributed to TIF Arrangement From M&amp;O Collections in Cell G75 - </t>
    </r>
    <r>
      <rPr>
        <b/>
        <sz val="12"/>
        <color rgb="FFFF0000"/>
        <rFont val="Arial MT"/>
      </rPr>
      <t>begins in 22-23</t>
    </r>
  </si>
  <si>
    <t xml:space="preserve">M&amp;O Tax Collections @ Adopted M&amp;O Rate Prior To Additional $40K Homestead Exemption - calculated </t>
  </si>
  <si>
    <t xml:space="preserve">M&amp;O Tax Collections @ Adopted M&amp;O Rate </t>
  </si>
  <si>
    <t xml:space="preserve">amounts in accordance with SB 1 as passed by the 3rd Called Session of the 87th Legislature.  The M&amp;O methodology used below is the same as what was </t>
  </si>
  <si>
    <t>used back in 2015 when the homestead exemption was increased from $15K to $25K.</t>
  </si>
  <si>
    <r>
      <rPr>
        <b/>
        <sz val="12"/>
        <color rgb="FFFF0000"/>
        <rFont val="Arial MT"/>
      </rPr>
      <t>PRELIMINARY</t>
    </r>
    <r>
      <rPr>
        <b/>
        <sz val="12"/>
        <rFont val="Arial MT"/>
      </rPr>
      <t xml:space="preserve"> 2022-23 M&amp;O Hold Harmless Calculations:</t>
    </r>
  </si>
  <si>
    <t>PRELIMINARY 2023-24 M&amp;O Hold Harmless Calculations:</t>
  </si>
  <si>
    <r>
      <rPr>
        <b/>
        <sz val="12"/>
        <color rgb="FFFF0000"/>
        <rFont val="Arial MT"/>
      </rPr>
      <t>PRELIMINARY</t>
    </r>
    <r>
      <rPr>
        <b/>
        <sz val="12"/>
        <rFont val="Arial MT"/>
      </rPr>
      <t xml:space="preserve"> 2024-25 M&amp;O Hold Harmless Calculations:</t>
    </r>
  </si>
  <si>
    <r>
      <rPr>
        <b/>
        <sz val="12"/>
        <color rgb="FFFF0000"/>
        <rFont val="Arial MT"/>
      </rPr>
      <t>PRELIMINARY</t>
    </r>
    <r>
      <rPr>
        <b/>
        <sz val="12"/>
        <rFont val="Arial MT"/>
      </rPr>
      <t xml:space="preserve"> 2025-26 M&amp;O Hold Harmless Calculations:</t>
    </r>
  </si>
  <si>
    <t>Report-SOF2223-SB1</t>
  </si>
  <si>
    <t>Report-SOF2324-SB1</t>
  </si>
  <si>
    <t>Report-SOF2425-SB1</t>
  </si>
  <si>
    <t>Report-SOF2526-SB1</t>
  </si>
  <si>
    <t xml:space="preserve">The "T" Values With the $25K Homestead Exemption </t>
  </si>
  <si>
    <t>PVS Final Values</t>
  </si>
  <si>
    <t>Estimated 2021</t>
  </si>
  <si>
    <t>Estimated 2022</t>
  </si>
  <si>
    <t>Estimated 2023</t>
  </si>
  <si>
    <t>Estimated 2024</t>
  </si>
  <si>
    <t>Estimated 2025</t>
  </si>
  <si>
    <t>Difference Between Taxable and Limited Value for Chapter 313 Agreement</t>
  </si>
  <si>
    <t>https://comptroller.texas.gov/taxes/property-tax/pvs/</t>
  </si>
  <si>
    <t xml:space="preserve">The Estimated "T" Values With the $40K Homestead Exemption </t>
  </si>
  <si>
    <t>Estimated 2020</t>
  </si>
  <si>
    <t>Estimated Homestead Exemption @ $40K</t>
  </si>
  <si>
    <t>Increase in Homestead Exemption from $25K to $40K</t>
  </si>
  <si>
    <t>Difference between T1 &amp; T2  @ $25K</t>
  </si>
  <si>
    <t>Estimated</t>
  </si>
  <si>
    <t>Tax Year 2021</t>
  </si>
  <si>
    <t>Tax Year 2022</t>
  </si>
  <si>
    <t>Tax Year 2023</t>
  </si>
  <si>
    <t>Tax Year 2024</t>
  </si>
  <si>
    <t>Tax Year 2025</t>
  </si>
  <si>
    <t>20-21 School Yr</t>
  </si>
  <si>
    <t>21-22 School Yr</t>
  </si>
  <si>
    <t>22-23 School Yr</t>
  </si>
  <si>
    <t>23-24 School Yr</t>
  </si>
  <si>
    <t>24-25 School Yr</t>
  </si>
  <si>
    <t>25-26 School Yr</t>
  </si>
  <si>
    <t>1) In the "Do You Remember When" (do you remember this one?) category: SB 1 as passed this past summer increased the homestead exemption from</t>
  </si>
  <si>
    <t>$25K to $40K beginning with the 22-23 school year (next year already!)….some of you might have been around back in 2015 when the homestead exemption</t>
  </si>
  <si>
    <t>just in case you are interested in how they will work, a new tab labeled 'TPAR_ADA_ADJ' has been added that will take you to that process…..again, it</t>
  </si>
  <si>
    <t>is a 'use or lose' tab at this point and won't be actually used until next summer.</t>
  </si>
  <si>
    <t>that they will and have designed those ASAHE calcs as they were back in 2015.  ASAHE is included in Other Programs (like it was before) and on the Other</t>
  </si>
  <si>
    <t xml:space="preserve">to ADA.  However, you won't know whether you qualify until after this school year has ended. Why is that you wonder?.....glad you asked - this new HH </t>
  </si>
  <si>
    <t>2) in the "It's Never Enough" (this one may be a little harder to remember) category: TEA has graciously announced another hold harmless (HH) related</t>
  </si>
  <si>
    <t>provision factors in rates of attendance for the 4th, 5th, and 6th six weeks for this school year, and obviously you don't know what those are yet…..but</t>
  </si>
  <si>
    <t>https://comptroller.texas.gov/economy/local/ch313/agreement-docs.php</t>
  </si>
  <si>
    <t>It's December already!.....so Happy Holidays to all &amp; to all a good night…...I hope you don't hear from me again until next year.</t>
  </si>
  <si>
    <t xml:space="preserve">SB 1 </t>
  </si>
  <si>
    <t>So now this new release not only contains HB 3 and HB 1525, but also now incorporates SB1, which begins in 22-23.</t>
  </si>
  <si>
    <t>increasing by 60%.  At this point, I am not 100% sure that TEA will bring back those exact same 2015 ASAHE calculations but for this release, I have assumed</t>
  </si>
  <si>
    <t>3) in the "Into the Unknown" (you Disney fans will know this one) category: part of the calculation of the State Compression Percentage (SCP) that factors</t>
  </si>
  <si>
    <t>into the calculation of your 22-23 MCR uses the SCP for the prior year.  If you recall .3% was subtracted from the calculated max MCR of .9164 in 21-22 in</t>
  </si>
  <si>
    <t>accordance with a rider in the Appropriations bill, and that is how we got to the max .9134 this past year.  As of this release, it is not yet known whether that</t>
  </si>
  <si>
    <t>2022 Property Value With $25K Homestead Exemption (T7)</t>
  </si>
  <si>
    <t>2023 Property Value With $25K Homestead Exemption (T7)</t>
  </si>
  <si>
    <t>As a result of all this, additional "T" values were needed to implement SB 1 that reflected the $40K values (T2,T8, &amp; T1) and the T7 @ the $25K value was</t>
  </si>
  <si>
    <t xml:space="preserve">needed as well…...So how is one supposed to figure out what those new values might be?....glad you asked - a new tab labeled '$40K_Values' has been </t>
  </si>
  <si>
    <t>added as my way of getting to those needed values - it is a 'use or lose' tab, so you won't hurt my feelings if you don't use it - you may have a better way.</t>
  </si>
  <si>
    <t xml:space="preserve">Yes, your eyes didn't trick you - it's a new series (thus Release 1, when we only got to Release 2 with the previous series) - blame it on the Lege.  </t>
  </si>
  <si>
    <r>
      <t>was increased from $15K to $25K and as a result, ASAHE was implemented and designed to cover the loss of M&amp;O taxes….</t>
    </r>
    <r>
      <rPr>
        <b/>
        <sz val="10"/>
        <color rgb="FFFF0000"/>
        <rFont val="Arial MT"/>
      </rPr>
      <t>only to get repealed in 2019 (just</t>
    </r>
  </si>
  <si>
    <r>
      <rPr>
        <b/>
        <sz val="10"/>
        <color rgb="FFFF0000"/>
        <rFont val="Arial MT"/>
      </rPr>
      <t>a reminder that history repeats itself)</t>
    </r>
    <r>
      <rPr>
        <b/>
        <sz val="10"/>
        <rFont val="Arial MT"/>
      </rPr>
      <t>.  So now ASAHE has been resurrected to cover the loss of M&amp;O taxes resulting from the homestead exemption</t>
    </r>
  </si>
  <si>
    <t>Programs Detail Report, there is a link that will take you to those ASAHE calcs (the ASAHE for Facilities continues as it was back in 2015 except that the</t>
  </si>
  <si>
    <t>eligible debt has moved from 9/1/15 to 9/1/21).</t>
  </si>
  <si>
    <t>T1 @ $25K</t>
  </si>
  <si>
    <t>homestead</t>
  </si>
  <si>
    <t>ch 313</t>
  </si>
  <si>
    <t>T2 value</t>
  </si>
  <si>
    <t>T8 value</t>
  </si>
  <si>
    <t>T1 Value</t>
  </si>
  <si>
    <t>T7 Value</t>
  </si>
  <si>
    <t>Difference between T7 &amp; T2  @ $25K</t>
  </si>
  <si>
    <t>&lt;= For tax year 2020, the appropriate final "T" values as certified by the Comptroller have been loaded for you.  For tax year 2021 (2021-22 school year, you should enter your own estimates of what your "T2" value would be once certified by the Comptroller. For all other years, the estimates come from the '$40K_Values' tab, which are based on ratios between some of the "T"s and the projected growth rate you entered.</t>
  </si>
  <si>
    <t>&lt;= The "T2" value is used to computed the local shares in Tier I &amp; Tier II under SB 1 beginning with 22-23 and reflects the new $40K homestead exemption. This estimate is based on the results on the '$40K_Values' tab.</t>
  </si>
  <si>
    <t>&lt;= The "T8" value is used to computed the local shares of EDA &amp; IFA under SB 1 beginning with 22-23 and reflects the new $40K homestead exemption. This estimate is based on the results on the '$40K_Values' tab.</t>
  </si>
  <si>
    <t>&lt;= The "T1" value is used in the computation of ASAHE under SB 1 beginning with 22-23 and reflects the new $40K homestead exemption. This estimate is based on the results on the '$40K_Values' tab.</t>
  </si>
  <si>
    <t>&lt;= The "T7" value is used in the computation of ASAHE for Facilities under SB 1 beginning with 22-23 and reflects the new $40K homestead exemption. This estimate is based on the results on the '$40K_Values' tab.</t>
  </si>
  <si>
    <t>Estimated T2 value</t>
  </si>
  <si>
    <t>Estimated T8 value</t>
  </si>
  <si>
    <t>Estimated T1 values</t>
  </si>
  <si>
    <t>Estimated T7 values</t>
  </si>
  <si>
    <t>Tax Year 2020</t>
  </si>
  <si>
    <t>This tab only reflects my way of going about estimating what your "T" values will be beginning with the 2022-23 school year (2022 tax year) based on the increase in the</t>
  </si>
  <si>
    <r>
      <t xml:space="preserve">homestead exemption from $25K to $40K in accordance with SB 1 as passed by the 3rd Called Session this past summer.  </t>
    </r>
    <r>
      <rPr>
        <b/>
        <u/>
        <sz val="11"/>
        <color rgb="FFFF0000"/>
        <rFont val="Arial"/>
        <family val="2"/>
      </rPr>
      <t>YOU CAN USE OR LOSE</t>
    </r>
    <r>
      <rPr>
        <b/>
        <sz val="11"/>
        <color rgb="FFFF0000"/>
        <rFont val="Arial"/>
        <family val="2"/>
      </rPr>
      <t xml:space="preserve"> - you may have a </t>
    </r>
  </si>
  <si>
    <t>better way of doing this, but either way, you will need some estimates of these $40K values to complete the template for the 2022-23 and subsequent school years, assuming</t>
  </si>
  <si>
    <t>Total Homestead - State-Mandated Homestead Exemption</t>
  </si>
  <si>
    <t>new tab nor will the T values load on the data entry tab ….if you do have certified 2020 values, the 2020 data on this new tab will load and the results will</t>
  </si>
  <si>
    <t>then be taken over to the data entry tab…..in order for the 21-22 and subsequent years to work, your T2 value for 2021 has to entered on the data entry tab.</t>
  </si>
  <si>
    <t>NOTE: there are 100 or so districts that still do not have certified 2020 values from the Comptroller….if you are one of those, nothing will auto-load on this</t>
  </si>
  <si>
    <t>T2 Growth Rate</t>
  </si>
  <si>
    <t>your own 2020 estimates. There are some instructions in Column H if needed, especially if you are a Ch 313 district.</t>
  </si>
  <si>
    <t>&lt; Enter your projected "T2" property value growth rate - enter as 3.5, 5.0, -2.0 etc. etc. etc.</t>
  </si>
  <si>
    <t>you take it out that far (so you will know when it may be time for you to leave - LOL).  If you choose not to use it, you will have to enter your own estimates on the data entry tab.</t>
  </si>
  <si>
    <r>
      <t xml:space="preserve">The light yellow-shaded cells are data entry cells and the non-shaded cells are not - most are calculated cells. The values for 2020 are auto-loaded - </t>
    </r>
    <r>
      <rPr>
        <b/>
        <u/>
        <sz val="11"/>
        <color rgb="FFFF0000"/>
        <rFont val="Arial"/>
        <family val="2"/>
      </rPr>
      <t>if nothing loads,</t>
    </r>
  </si>
  <si>
    <r>
      <rPr>
        <b/>
        <u/>
        <sz val="11"/>
        <color rgb="FFFF0000"/>
        <rFont val="Arial"/>
        <family val="2"/>
      </rPr>
      <t>it's because there are still over 100 districts that have not been certified by the Comptroller's office and you are one of them</t>
    </r>
    <r>
      <rPr>
        <b/>
        <sz val="11"/>
        <color rgb="FFFF0000"/>
        <rFont val="Arial"/>
        <family val="2"/>
      </rPr>
      <t>, in which case you will have to enter</t>
    </r>
  </si>
  <si>
    <t>SB 1, The "Summertime Blues" bill - Release 1 Dated 12/08/2021</t>
  </si>
  <si>
    <t>HE Growth Rate</t>
  </si>
  <si>
    <t>&lt; HE is short for the state-mandated Homestead Exemption</t>
  </si>
  <si>
    <t>&lt; Enter your projected growth rate in the Homestead Exemption - enter as 3.5, 5.0, -2.0 etc. etc. etc.</t>
  </si>
  <si>
    <t>The values for all to other years are calculated projections based on the growth rates entered.</t>
  </si>
  <si>
    <t>so choose.</t>
  </si>
  <si>
    <t>NOTE: The results here carry over to the data entry tab beginning with 21-22 once the T2 value is entered there in Cell E63.  Those results there can be overwritten if you</t>
  </si>
  <si>
    <t xml:space="preserve">.9134 or the .9164 is to be used as the prior year SCP when calculating the 22-23 MCR, or whether the .003 is to be subtracted again after MCR is calculated.  </t>
  </si>
  <si>
    <t xml:space="preserve">This release uses the .9134 up front; however, it may be decided by the powers that be to use the .9164 and then subtract the .003 from the calculated 22-23 </t>
  </si>
  <si>
    <t xml:space="preserve">max MCR, just like it was in 21-22 . So all this to say the calculated MCR on this release may or may not be correct - it will only make a slight difference </t>
  </si>
  <si>
    <t xml:space="preserve">whichever way it goes….but remember, the calculated MCR here is NOT your OFFICIAL MCR anyway - TEA will calculate your official MCR next summer, </t>
  </si>
  <si>
    <t>just as they have for the last two summers.</t>
  </si>
  <si>
    <t>ST MAN HSTD</t>
  </si>
  <si>
    <t>CHPT 313 VALUE LIMI</t>
  </si>
  <si>
    <t>002-901-02</t>
  </si>
  <si>
    <t>003-902-02</t>
  </si>
  <si>
    <t>003-907-02</t>
  </si>
  <si>
    <t>005-901-02</t>
  </si>
  <si>
    <t>014-910-02</t>
  </si>
  <si>
    <t>025-902-02</t>
  </si>
  <si>
    <t>025-908-02</t>
  </si>
  <si>
    <t>027-904-02</t>
  </si>
  <si>
    <t>033-902-02</t>
  </si>
  <si>
    <t>037-904-02</t>
  </si>
  <si>
    <t>037-907-02</t>
  </si>
  <si>
    <t>039-902-02</t>
  </si>
  <si>
    <t>039-903-02</t>
  </si>
  <si>
    <t>039-904-02</t>
  </si>
  <si>
    <t>039-905-02</t>
  </si>
  <si>
    <t>043-904-02</t>
  </si>
  <si>
    <t>043-910-02</t>
  </si>
  <si>
    <t>049-903-02</t>
  </si>
  <si>
    <t>057-905-02</t>
  </si>
  <si>
    <t>057-912-02</t>
  </si>
  <si>
    <t>057-913-02</t>
  </si>
  <si>
    <t>057-916-02</t>
  </si>
  <si>
    <t>058-905-02</t>
  </si>
  <si>
    <t>058-909-02</t>
  </si>
  <si>
    <t>067-903-02</t>
  </si>
  <si>
    <t>068-901-02</t>
  </si>
  <si>
    <t>070-915-02</t>
  </si>
  <si>
    <t>081-902-02</t>
  </si>
  <si>
    <t>081-905-02</t>
  </si>
  <si>
    <t>087-901-02</t>
  </si>
  <si>
    <t>091-902-02</t>
  </si>
  <si>
    <t>091-905-02</t>
  </si>
  <si>
    <t>091-917-02</t>
  </si>
  <si>
    <t>095-901-02</t>
  </si>
  <si>
    <t>095-904-02</t>
  </si>
  <si>
    <t>104-907-02</t>
  </si>
  <si>
    <t>107-904-02</t>
  </si>
  <si>
    <t>107-905-02</t>
  </si>
  <si>
    <t>107-906-02</t>
  </si>
  <si>
    <t>107-910-02</t>
  </si>
  <si>
    <t>109-904-02</t>
  </si>
  <si>
    <t>113-905-02</t>
  </si>
  <si>
    <t>113-906-02</t>
  </si>
  <si>
    <t>114-901-02</t>
  </si>
  <si>
    <t>114-902-02</t>
  </si>
  <si>
    <t>114-904-02</t>
  </si>
  <si>
    <t>119-901-02</t>
  </si>
  <si>
    <t>119-902-02</t>
  </si>
  <si>
    <t>119-903-02</t>
  </si>
  <si>
    <t>126-911-02</t>
  </si>
  <si>
    <t>129-903-02</t>
  </si>
  <si>
    <t>129-905-02</t>
  </si>
  <si>
    <t>129-906-02</t>
  </si>
  <si>
    <t>139-905-02</t>
  </si>
  <si>
    <t>141-901-02</t>
  </si>
  <si>
    <t>145-902-02</t>
  </si>
  <si>
    <t>145-911-02</t>
  </si>
  <si>
    <t>147-902-02</t>
  </si>
  <si>
    <t>147-903-02</t>
  </si>
  <si>
    <t>156-902-02</t>
  </si>
  <si>
    <t>156-905-02</t>
  </si>
  <si>
    <t>161-912-02</t>
  </si>
  <si>
    <t>165-901-02</t>
  </si>
  <si>
    <t>165-902-02</t>
  </si>
  <si>
    <t>168-901-02</t>
  </si>
  <si>
    <t>168-902-02</t>
  </si>
  <si>
    <t>169-901-02</t>
  </si>
  <si>
    <t>174-902-02</t>
  </si>
  <si>
    <t>174-904-02</t>
  </si>
  <si>
    <t>177-901-02</t>
  </si>
  <si>
    <t>177-902-02</t>
  </si>
  <si>
    <t>177-903-02</t>
  </si>
  <si>
    <t>180-904-02</t>
  </si>
  <si>
    <t>185-902-02</t>
  </si>
  <si>
    <t>188-902-02</t>
  </si>
  <si>
    <t>192-901-02</t>
  </si>
  <si>
    <t>195-901-02</t>
  </si>
  <si>
    <t>198-903-02</t>
  </si>
  <si>
    <t>200-904-02</t>
  </si>
  <si>
    <t>201-902-02</t>
  </si>
  <si>
    <t>201-910-02</t>
  </si>
  <si>
    <t>208-901-02</t>
  </si>
  <si>
    <t>208-902-02</t>
  </si>
  <si>
    <t>208-903-02</t>
  </si>
  <si>
    <t>212-905-02</t>
  </si>
  <si>
    <t>213-901-02</t>
  </si>
  <si>
    <t>215-901-02</t>
  </si>
  <si>
    <t>219-903-02</t>
  </si>
  <si>
    <t>219-905-02</t>
  </si>
  <si>
    <t>221-905-02</t>
  </si>
  <si>
    <t>224-901-02</t>
  </si>
  <si>
    <t>227-909-02</t>
  </si>
  <si>
    <t>227-912-02</t>
  </si>
  <si>
    <t>227-913-02</t>
  </si>
  <si>
    <t>231-902-02</t>
  </si>
  <si>
    <t>237-905-02</t>
  </si>
  <si>
    <t>238-902-02</t>
  </si>
  <si>
    <t>244-901-02</t>
  </si>
  <si>
    <t>244-903-02</t>
  </si>
  <si>
    <t>246-909-02</t>
  </si>
  <si>
    <t>246-912-02</t>
  </si>
  <si>
    <t>246-913-02</t>
  </si>
  <si>
    <t>248-901-02</t>
  </si>
  <si>
    <t>248-902-02</t>
  </si>
  <si>
    <t>Add: GT Set-Aside</t>
  </si>
  <si>
    <t>&lt;= The "T2" value is used to computed the local shares in Tier I &amp; Tier II.  The 2020 tax year value has been entered for you. The 2021 value that you enter is your estimate of what the Comptroller will certify for tax year 2021.  For the other years, the T values come from the '$40K_Values' tab unless you did not complete that tab, in which case, you have to enter your own estimates.</t>
  </si>
  <si>
    <t>&lt;= The "T8" value is used in the computation of EDA &amp; IFA  under HB 11525- this value will only be different from T2 if district has a Ch 313 agreement.  The 2020 value has been loaded for you.  The 2021 T8 value and all other values come from the '$40K_Values' tab unless you did not complete that tab, in which case you have to enter your own estimates.</t>
  </si>
  <si>
    <t>&lt;= The "T7" value is used in the computation of ASAHE for Facilities.  The 2020 value has been loaded for you.  The 2022 T7 value and all other values come from the '$40K_Values' tab unless you did not complete that tab in which  case you have to enter your own estimates.</t>
  </si>
  <si>
    <t>1) In the "Oops, I Did It Again" category (which you youngsters will know)……several fixes were made to the Summary boxes at the bottom of each</t>
  </si>
  <si>
    <t>Report-SOFYRYR- tab, all related to how recapture was being displayed - not calculated, just displayed….chalk those up to old age.  Another fix was</t>
  </si>
  <si>
    <t>reason…..like someone told me, the spreadsheet has gotten so big it's now grown its own set of lungs (lol)!</t>
  </si>
  <si>
    <t>an additional $15K exemption (the additional exemption apparently does not apply to old folks like me).  However, for districts that are getting the Formula</t>
  </si>
  <si>
    <t>Transition Grant (FTG), the ASAHE for M&amp;O state aid will be offset dollar-for-dollar against FTG, resulting in no additional $$ to offset the loss of M&amp;O taxes.</t>
  </si>
  <si>
    <t>It will simply reduce the amount of the FTG.  The prior release was not calculating the offset, so now for FTG districts, we have the new hold harmless being</t>
  </si>
  <si>
    <t>Shout-out to Becky Garcia (no relation, I don't think, or at least she hasn't shown up on my Ancestry list) @ Leander ISD…she was the 1st to point out</t>
  </si>
  <si>
    <t>with Excel know about the 'Replace All' functionality, and when I used it on this particular year, all got replaced except for this one cell for some unknown</t>
  </si>
  <si>
    <t>2) beginning with the 22-23 ASAHE for M&amp;O: this hold harmless is designed to make up the loss of M&amp;O taxes as a result of most homeowners being granted</t>
  </si>
  <si>
    <t>needed on the Calc Data tab on one of the out years…..chalk that one up to "It's A Mystery" (not quite an 'oldie')….those of you who are intimately familiar</t>
  </si>
  <si>
    <t>eaten up by the older one - age before beauty!......so here's what will happen when it's all said and done for you FTG districts - M&amp;O taxes will be less, which</t>
  </si>
  <si>
    <t>classified as an 'oldie').</t>
  </si>
  <si>
    <t>will then cause FTG to increase, then the ASAHE for M&amp;O offset will cause FTG to decrease…."Stuck in the Middle..." comes to mind (now this would be</t>
  </si>
  <si>
    <t>all the errors of my ways, as she usually is.</t>
  </si>
  <si>
    <t>SB 1, The "Summertime Blues" bill - Release 2 Dated 01/17/2022</t>
  </si>
  <si>
    <t>Campus # 5</t>
  </si>
  <si>
    <t>Campus # 6</t>
  </si>
  <si>
    <t>Campus # 7</t>
  </si>
  <si>
    <t>Campus # 8</t>
  </si>
  <si>
    <t>Campus #5</t>
  </si>
  <si>
    <t>Campus #6</t>
  </si>
  <si>
    <t>Campus #7</t>
  </si>
  <si>
    <t>Campus #8</t>
  </si>
  <si>
    <t>If applicable, enter the student counts below. If the district has more than 8 of these campuses, please contact me.</t>
  </si>
  <si>
    <t>DISTRICT TIER II</t>
  </si>
  <si>
    <t>state aid the charter school would have received on its own.  Those amounts can be found on Row 59.</t>
  </si>
  <si>
    <t xml:space="preserve">2021-22 Unadjusted Formula Transition Grant (if Line 19 &lt; Line 18, then Line 20 = </t>
  </si>
  <si>
    <t>Line 18 - Line 19; else Line 20 = 0</t>
  </si>
  <si>
    <t>2021-22 Adjusted Formula Transition Grant (statewide spending cap = $400M)</t>
  </si>
  <si>
    <t>&lt;= prorated amount</t>
  </si>
  <si>
    <r>
      <t>21-Gifted &amp; Talented Allotment 48.109 (Spend 100%) -</t>
    </r>
    <r>
      <rPr>
        <b/>
        <sz val="12"/>
        <rFont val="Arial MT"/>
      </rPr>
      <t xml:space="preserve"> </t>
    </r>
    <r>
      <rPr>
        <b/>
        <sz val="12"/>
        <color rgb="FFFF0000"/>
        <rFont val="Arial MT"/>
      </rPr>
      <t>Subject to proration</t>
    </r>
  </si>
  <si>
    <t>&lt; as of this release, prorated to 85.277% of the $1,000 per ADA allotment</t>
  </si>
  <si>
    <t>min</t>
  </si>
  <si>
    <t>2021 Tax Year Finals</t>
  </si>
  <si>
    <t>SB 1, The "Summertime Blues" bill - Release 3 Dated 02/07/2022</t>
  </si>
  <si>
    <t>ROUND 3 - Additions.</t>
  </si>
  <si>
    <t>ROUND 3 - corrections/updates:</t>
  </si>
  <si>
    <t xml:space="preserve">1) in the "…just a little note…" category (you C&amp;W fans may recognize the lyrics): the Comptroller's 2021 preliminary values have now been loaded and the </t>
  </si>
  <si>
    <t>$40K_Values' tab has been updated accordingly.</t>
  </si>
  <si>
    <t xml:space="preserve">2) there are 21-22 sum-certain appropriations for NIFA, GT, and FTG…and NIFA and FTG have already exceeded their limit, so TEA has prorated those two </t>
  </si>
  <si>
    <t xml:space="preserve">3) for districts that partner with a charter school, the number of partnerships has been expanded from 4 to 8 beginning with the 'DistCharter-Data2122' tab….  </t>
  </si>
  <si>
    <t>you're welcome "Mr. Man of Many Hats" (can you guess who that is?).</t>
  </si>
  <si>
    <t xml:space="preserve">allotments.  The allotments that appear for those two are the prorated amounts and will more than likely change at some point during the year.  </t>
  </si>
  <si>
    <t>For M&amp;O ASAHE:</t>
  </si>
  <si>
    <t>FSP Share of Tier I (Greater of Line 6 - Line 7 - Line 8) (if less than $0, then Line 9 = $0)</t>
  </si>
  <si>
    <t>For M&amp;O HH @25K</t>
  </si>
  <si>
    <t>For M&amp;O HH @40K</t>
  </si>
  <si>
    <t>Using $25K Taxes @ Lower Rate</t>
  </si>
  <si>
    <t>Using $40K Taxes @ Lower Rate</t>
  </si>
  <si>
    <t>2022-23 M&amp;O Collections</t>
  </si>
  <si>
    <t>2022-23 Total M&amp;O Collections @ Lesser M&amp;O Rate</t>
  </si>
  <si>
    <t>2023-24 M&amp;O Collections</t>
  </si>
  <si>
    <t>2023-24 Total M&amp;O Collections @ Lesser M&amp;O Rate</t>
  </si>
  <si>
    <t>2024-25 M&amp;O Collections</t>
  </si>
  <si>
    <t>2024-25 Total M&amp;O Collections @ Lesser M&amp;O Rate</t>
  </si>
  <si>
    <t>2025-26 M&amp;O Collections</t>
  </si>
  <si>
    <t>2025-26 Total M&amp;O Collections @ Lesser M&amp;O Rate</t>
  </si>
  <si>
    <t>2025-26 @ $25K</t>
  </si>
  <si>
    <t>Fast Growth Detail</t>
  </si>
  <si>
    <t>District Basic Allotment</t>
  </si>
  <si>
    <t>Fast Growth Tier</t>
  </si>
  <si>
    <t>Fast Growth Tier Weight</t>
  </si>
  <si>
    <t>District 6-Yr Enrollment Growth Over 250</t>
  </si>
  <si>
    <t>Unadjusted Fast Growth Allotment (Line 1 * Line 3 * Line 4)</t>
  </si>
  <si>
    <t>Statewide Spending Limit Under TEC 48.111 (c-1)</t>
  </si>
  <si>
    <t>Adjusted Fast Growth Allotment to Meet Statewide Spending Limit</t>
  </si>
  <si>
    <t xml:space="preserve"> &lt; prorated to 95.937% of Line 5</t>
  </si>
  <si>
    <t>2019-2020 Fast Growth Allotment</t>
  </si>
  <si>
    <t>Hold Harmless Allotment (if Line 8 &gt; Line 7, then Allotment = Line 8 - Line 7, else 0)</t>
  </si>
  <si>
    <t>Adjusted Hold Harmless Allotment to Meet Statewide Spending Limit of $40M)</t>
  </si>
  <si>
    <t>Total Fast Growth Allotment (Line 7 + Line 10)</t>
  </si>
  <si>
    <t>2021-22 Fast Growth Detail Report</t>
  </si>
  <si>
    <t>&lt;as of this release, no proration - subject to change</t>
  </si>
  <si>
    <t>FGA_Line8</t>
  </si>
  <si>
    <t xml:space="preserve"> &lt; prorated to 27.498% of Line 9</t>
  </si>
  <si>
    <r>
      <rPr>
        <sz val="12"/>
        <color theme="1"/>
        <rFont val="Arial MT"/>
      </rPr>
      <t>Fast Growth Allotment 48.111 -</t>
    </r>
    <r>
      <rPr>
        <sz val="12"/>
        <color indexed="12"/>
        <rFont val="Arial MT"/>
      </rPr>
      <t xml:space="preserve"> </t>
    </r>
    <r>
      <rPr>
        <b/>
        <sz val="12"/>
        <color rgb="FFFF0000"/>
        <rFont val="Arial MT"/>
      </rPr>
      <t>Prorated</t>
    </r>
    <r>
      <rPr>
        <sz val="12"/>
        <color indexed="12"/>
        <rFont val="Arial MT"/>
      </rPr>
      <t xml:space="preserve">     </t>
    </r>
    <r>
      <rPr>
        <sz val="12"/>
        <color rgb="FFFF0000"/>
        <rFont val="Arial MT"/>
      </rPr>
      <t>(Link to FGA Detail Report)</t>
    </r>
  </si>
  <si>
    <t>2. Small &amp; Midsize</t>
  </si>
  <si>
    <t>3. Special Education</t>
  </si>
  <si>
    <t>4. Dyslexia or Related Disorder</t>
  </si>
  <si>
    <t>5. Compensatory Education</t>
  </si>
  <si>
    <t>6. Bilingual Education</t>
  </si>
  <si>
    <t>7. Career &amp; Technology</t>
  </si>
  <si>
    <t>Reg CTE allotment for students not in an approved program of study</t>
  </si>
  <si>
    <t>Reg CTE allotment for students in an approved program of study,</t>
  </si>
  <si>
    <t xml:space="preserve">   levels 1 &amp; 2</t>
  </si>
  <si>
    <t xml:space="preserve">   levels 3 &amp; 4</t>
  </si>
  <si>
    <t>P-Tech Allotment</t>
  </si>
  <si>
    <t>New Tech Network Allotment</t>
  </si>
  <si>
    <t>Total CTE Allotment</t>
  </si>
  <si>
    <t>8. Public Education Grant</t>
  </si>
  <si>
    <t>9. Early Education Program</t>
  </si>
  <si>
    <t>10. Gifted &amp; Talented Program</t>
  </si>
  <si>
    <t xml:space="preserve">Allotment </t>
  </si>
  <si>
    <t>Allotment adjusted for enrollment cap</t>
  </si>
  <si>
    <t>Adjusted allotment to meet statewide spending limit of $100M</t>
  </si>
  <si>
    <t>Less: Gifted &amp; Talented performance standards and MATHCOUNTS</t>
  </si>
  <si>
    <t>(Less: Early Childhood Intervention Set-Aside</t>
  </si>
  <si>
    <t>Adjusted Allotment</t>
  </si>
  <si>
    <t>11. CCMR Outcomes Bonus</t>
  </si>
  <si>
    <t>12. School Safety</t>
  </si>
  <si>
    <t>13. New Instructional Facilities Allotment (NIFA)</t>
  </si>
  <si>
    <t xml:space="preserve">14. Dropout Recovery &amp; Residential </t>
  </si>
  <si>
    <t>Dropout Recovery Allotment</t>
  </si>
  <si>
    <t>Residential Allotment</t>
  </si>
  <si>
    <t>Dropout Recovery &amp; Residential Placement Facility Allotment</t>
  </si>
  <si>
    <t>&lt; no proration as of this release</t>
  </si>
  <si>
    <t>Included Above</t>
  </si>
  <si>
    <t>2022-23 Tier I Detail Report - SB1</t>
  </si>
  <si>
    <t>name</t>
  </si>
  <si>
    <t>enroll17</t>
  </si>
  <si>
    <t>enroll22</t>
  </si>
  <si>
    <t>6-yr growth</t>
  </si>
  <si>
    <t>growth over 250</t>
  </si>
  <si>
    <t>cumulative growth over 250</t>
  </si>
  <si>
    <t>percentile of growth</t>
  </si>
  <si>
    <t>allot (unprorated)</t>
  </si>
  <si>
    <t>allot (prorated)</t>
  </si>
  <si>
    <t>NA</t>
  </si>
  <si>
    <t>before proration</t>
  </si>
  <si>
    <t>after proration</t>
  </si>
  <si>
    <t>Before Proration</t>
  </si>
  <si>
    <t>After Proration</t>
  </si>
  <si>
    <t>ROUND 4 - Additions:</t>
  </si>
  <si>
    <t>2) TEA has now released the districts eligible for the Fast Growth Allotment for 22-23, and those allotments, prorated as they are, now appear on the</t>
  </si>
  <si>
    <t>3) many 'minor' fixes have been made (too many to mention - as I've said before, it's hell getting old), and they all relate to the out years, so some of you</t>
  </si>
  <si>
    <t>may not even be aware of them.</t>
  </si>
  <si>
    <t>40k</t>
  </si>
  <si>
    <t>15k</t>
  </si>
  <si>
    <t>MOE &amp; Equity for Federal Money Related to COVID-19 Pandemic (TEC 48.281)</t>
  </si>
  <si>
    <t xml:space="preserve">&lt;= If applicable, enter the amount the district will receive for MOE related to pandemic - for 21-22, the amount can be found on TEA's Other Programs Detail Report linked on your latest 21-22 Summary of Finances. At this time, the amount for 22-23 is not known. </t>
  </si>
  <si>
    <t xml:space="preserve">&lt;= Enter estimated total refined ADA.  </t>
  </si>
  <si>
    <t xml:space="preserve">&lt;= Enter homebound FTEs.  </t>
  </si>
  <si>
    <t xml:space="preserve">&lt;= Enter hospital class FTEs. </t>
  </si>
  <si>
    <t xml:space="preserve">&lt;= Enter speech therapy FTEs.  </t>
  </si>
  <si>
    <t xml:space="preserve">&lt;= Enter resource room FTEs.  </t>
  </si>
  <si>
    <t xml:space="preserve">&lt;= Enter self-contained mild, moderate, and severe FTEs.  S/C severe has now been lumped into this category.  </t>
  </si>
  <si>
    <t xml:space="preserve">&lt;= Enter off home campus FTEs.  </t>
  </si>
  <si>
    <t xml:space="preserve">&lt;= Enter VAC FTEs.  </t>
  </si>
  <si>
    <t xml:space="preserve">&lt;= Enter state school students ADA.  </t>
  </si>
  <si>
    <t xml:space="preserve">&lt;= Enter non-public residential placement contract FTEs.  </t>
  </si>
  <si>
    <t xml:space="preserve">&lt;= Enter residential care and treatment FTEs. </t>
  </si>
  <si>
    <t xml:space="preserve">&lt;= Enter mainstream ADA. </t>
  </si>
  <si>
    <t xml:space="preserve">&lt;= Enter pregnant students FTEs (must be receiving related services).   </t>
  </si>
  <si>
    <t>&lt;= Enter the FTEs of students enrolled in C&amp;T courses not in an approved program of study, as determined by TEA.</t>
  </si>
  <si>
    <t>&lt;= Enter the FTEs of students enrolled in Levels 1 &amp; 2 in C&amp;T courses in an approved program of study, as determined by TEA.</t>
  </si>
  <si>
    <t>&lt;= Enter the FTEs of students enrolled in Levels 3 &amp; 4 in C&amp;T courses in an approved program of study, as determined by TEA.</t>
  </si>
  <si>
    <t>&lt;= Enter the number of students enrolled in a P-TECH campus.</t>
  </si>
  <si>
    <t>&lt;= Enter the number of students enrolled in a campus that is a member of the New Tech Network.</t>
  </si>
  <si>
    <t>&lt;= Enter bilingual ADA of all LEP students as defined in TEC 29.052, not in a dual language program.</t>
  </si>
  <si>
    <t>&lt;= Enter bilingual ADA of LEP students in a bilingual ed program using a dual language immersion/one-way or two-way program model.</t>
  </si>
  <si>
    <t>&lt;= Enter the ADA of non-LEP students in a bilingual ed program using a dual language immersion/two-way program model.</t>
  </si>
  <si>
    <t>&lt;= Enter the number of students enrolled in the district's GT program in accordance with TEC Subchapter D, Chapter 29.</t>
  </si>
  <si>
    <t>&lt;= Enter the ADA of students residing in a residential placement facility or are enrolled in a dropout recovery school under TEC 39.0548.</t>
  </si>
  <si>
    <t xml:space="preserve">&lt;= Enter the # of students that do not have a disability and are living in a residential placement facility whose parents do not reside in the district.   </t>
  </si>
  <si>
    <t xml:space="preserve">&lt;= # of students in this block to be determined by TEA.   </t>
  </si>
  <si>
    <t>&lt;= Enter the # of educationally disadvantaged graduates that will meet the College, Career or Military Readiness Bonus criteria based on the methodology that TEA has laid out…..or use TEA's estimates found on their template, unless you can figure out this count on your own (good luck with that).</t>
  </si>
  <si>
    <t>&lt;= Enter the # of non-educationally disadvantaged graduates that will meet the College, Career or Military Readiness Bonus criteria based on the methodology that TEA has laid out…..or use TEA's estimates found on their template, unless you can figure out this count on your own (good luck with that).</t>
  </si>
  <si>
    <t>&lt;= Enter the # of graduates that received Sp Ed services that will meet the College, Career or Military Readiness Bonus criteria based on the methodology that TEA has laid out…..or use TEA's estimates found on their template, unless you can figure out this count on your own (good luck with that).</t>
  </si>
  <si>
    <t>&lt;= enter the # of students being served who have been identified as having dyslexia or a related disorder.</t>
  </si>
  <si>
    <r>
      <t xml:space="preserve">&lt;= Enter the combined ADA of students in Grades K-3 that are </t>
    </r>
    <r>
      <rPr>
        <sz val="10"/>
        <color rgb="FFFF0000"/>
        <rFont val="Arial MT"/>
      </rPr>
      <t>either</t>
    </r>
    <r>
      <rPr>
        <sz val="10"/>
        <rFont val="Arial MT"/>
      </rPr>
      <t xml:space="preserve"> educationally disadvantaged </t>
    </r>
    <r>
      <rPr>
        <sz val="10"/>
        <color rgb="FFFF0000"/>
        <rFont val="Arial MT"/>
      </rPr>
      <t>or</t>
    </r>
    <r>
      <rPr>
        <sz val="10"/>
        <rFont val="Arial MT"/>
      </rPr>
      <t xml:space="preserve"> are LEP students being served in a bilingual ed or special language program under TEC Chapter 29, Subchapter B.</t>
    </r>
  </si>
  <si>
    <r>
      <t>&lt;=</t>
    </r>
    <r>
      <rPr>
        <sz val="10"/>
        <rFont val="Arial MT"/>
      </rPr>
      <t xml:space="preserve"> Enter the ADA of students being served thru a Public Education Grant program.  </t>
    </r>
    <r>
      <rPr>
        <b/>
        <sz val="10"/>
        <rFont val="Arial MT"/>
      </rPr>
      <t/>
    </r>
  </si>
  <si>
    <r>
      <t>&lt;=</t>
    </r>
    <r>
      <rPr>
        <sz val="10"/>
        <rFont val="Arial MT"/>
      </rPr>
      <t xml:space="preserve"> Enter the ADA of an eligible (for NIFA) new instructional facility.  If the applicable year is the second year of eligibility, enter the difference between the first and second year ADA.   </t>
    </r>
    <r>
      <rPr>
        <b/>
        <sz val="10"/>
        <rFont val="Arial MT"/>
      </rPr>
      <t/>
    </r>
  </si>
  <si>
    <t>1) in the "Every Little Bit Helps" category (another one for you C&amp;W fans), the 'TPAR_ADA_ADJ' tab has been updated to reflect my understanding of TEA's</t>
  </si>
  <si>
    <t xml:space="preserve">PS: I have rearranged the order of the '$40K_Values' and 'TPAR_ADA_ADJ' tabs - they now appear before the data entry tab….once those 2 tabs are </t>
  </si>
  <si>
    <t>completed, the results of those 2 tabs will then populate the data entry tab.  Not all cells on the data entry tab will be populated, so you still have some work</t>
  </si>
  <si>
    <t xml:space="preserve">PS2: I am getting a new right hip on 4/5, so if I've made mistakes on this release (which is very likely given my past history), it will probably be the following </t>
  </si>
  <si>
    <t>(you youngsters probably didn't think an old man like me would know this song).</t>
  </si>
  <si>
    <t>shake…"</t>
  </si>
  <si>
    <t>week before I can get to them, as I hope to be on some good drugs for the rest of this week……after a few weeks of recovery, hopefully I'll be able to……..</t>
  </si>
  <si>
    <t>SB 1, The "Summertime Blues" bill - Release 4 Dated 4/3/2022</t>
  </si>
  <si>
    <t>weeks is less than its TPAR, an adjustment to the ADA or FTE count will be made.</t>
  </si>
  <si>
    <t xml:space="preserve">recent release of the attendance rate hold harmless methodology. Basically, for most of the 21-22 ADA &amp; FTE counts, the average count of the district's first </t>
  </si>
  <si>
    <t xml:space="preserve">4 six weeks will be compared to the districdt's 19-20 average for the first 4 six weeks (known as TPAR), and if the district's actual average of the first 4 six </t>
  </si>
  <si>
    <t xml:space="preserve">The district's TPAR has been loaded, and the light yellow-shaded cells on that tab require data entry, if applicable.  If the district qualifies for the </t>
  </si>
  <si>
    <t>been entered, the annual average will then be calculated……you're welcome.</t>
  </si>
  <si>
    <t>adjustment, the adjusted average student count of the first 4 six weeks will be made.  After the district's actual counts for the 5th and 6th six weeks have</t>
  </si>
  <si>
    <t>"#DIV!"s on the data entry tab and enter your own numbers in the appropriate cells.</t>
  </si>
  <si>
    <t>to do when completing the data entry tab - the ones that need data entry are still shaded in light yellow.  If those 2 tabs are not completed, disregard the</t>
  </si>
  <si>
    <t>'Report-SOF2223-SB1' tab……you're welcome again.  Just because you are on quality for the Fast Growth Allotment doesn't necessarily mean that you</t>
  </si>
  <si>
    <t>will qualify in subsequent years, so beginning with the 23-24 year, if you think you will qualify, you will have to enter your projected enrollment growth</t>
  </si>
  <si>
    <t>"...shake,</t>
  </si>
  <si>
    <t>shake,</t>
  </si>
  <si>
    <t>over the last 6 years (22-23 being the 6th year) in Cell I128, and then enter the Tier you think you will be in in eithe Cell I129, I130, or I131…..and then those</t>
  </si>
  <si>
    <t>same cells in Column K for 24-25 and Column M for 25-26.</t>
  </si>
  <si>
    <r>
      <t xml:space="preserve">Chapter 48 Funding Credit Against Recapture </t>
    </r>
    <r>
      <rPr>
        <b/>
        <sz val="12"/>
        <rFont val="Arial MT"/>
      </rPr>
      <t xml:space="preserve">(enter as negative #, if applicable) - See Column N </t>
    </r>
  </si>
  <si>
    <t>&lt;= for 20-21 and 21-22, a district subject to recapture may elect to offset some or all of its recapture payment by having TEA reduce its Formula Transition Grant state aid.  Beginning with 22-23, a district subject to recapture may elect to offset some or all of its recapture payment by having TEA reduce it Chapter 48 funding.</t>
  </si>
  <si>
    <t>Less: Chapter 48 Funding Credit Against Recapture (if applicable)</t>
  </si>
  <si>
    <t>&lt;= This count is already included in TEA's SCE Campus Report.</t>
  </si>
  <si>
    <r>
      <t>Residential Placement Facility - Ed Disadvantaged Students (</t>
    </r>
    <r>
      <rPr>
        <b/>
        <sz val="12"/>
        <color rgb="FFFF0000"/>
        <rFont val="Arial MT"/>
      </rPr>
      <t>TEA includes these in Block 5</t>
    </r>
    <r>
      <rPr>
        <sz val="12"/>
        <rFont val="Arial MT"/>
      </rPr>
      <t>)</t>
    </r>
  </si>
  <si>
    <r>
      <t># of Homeless Children or Youth as defined by 42 U.S.C. Section 11434a (</t>
    </r>
    <r>
      <rPr>
        <b/>
        <sz val="12"/>
        <color rgb="FFFF0000"/>
        <rFont val="Arial MT"/>
      </rPr>
      <t>TEA includes these in Block 5</t>
    </r>
    <r>
      <rPr>
        <sz val="12"/>
        <rFont val="Arial MT"/>
      </rPr>
      <t xml:space="preserve">) - </t>
    </r>
    <r>
      <rPr>
        <b/>
        <sz val="12"/>
        <color rgb="FFFF0000"/>
        <rFont val="Arial MT"/>
      </rPr>
      <t>begins in 21-22</t>
    </r>
  </si>
  <si>
    <t>ROUND 5 - Additions:</t>
  </si>
  <si>
    <t>In the "Only You" category (a real oldie), the following only pertains to certain districts:</t>
  </si>
  <si>
    <t xml:space="preserve">1) TEA has made a change to the MCR of districts that adopted a 21-22 M&amp;O tax rate greater than what their max M&amp;O rate was without voter approval.  The </t>
  </si>
  <si>
    <t xml:space="preserve">resulting additional enrichment pennies (most of the time less than $.01) will not carry over into the 22-23 school year.  If somehow you don't know whether </t>
  </si>
  <si>
    <t>you were one of these districts, you can go to the very end of all these tabs (Ctrl &amp; the right arrow that is located in the lower left of your screen will take you</t>
  </si>
  <si>
    <t>2) for you 7/1 fiscal year districts that will need to post soon, a correction to Cell F27 on the 'RateToMaintain2223' tab has been made &amp; on the 'Notice2223'</t>
  </si>
  <si>
    <t>tab, the M&amp;O and I&amp;S rates, both on the Last Year's Rate &amp; the Proposed Rate, were off and have been corrected.</t>
  </si>
  <si>
    <t>In the "All of You" category (a tough one - hint, think Disney - not the one in Florida, lol), the following pertains to all districts:</t>
  </si>
  <si>
    <r>
      <t xml:space="preserve">3) TEA has recently released their 'tax-rate-and-mcr-template' so that you can see what your 22-23 MCR </t>
    </r>
    <r>
      <rPr>
        <b/>
        <u/>
        <sz val="10"/>
        <color rgb="FFFF0000"/>
        <rFont val="Arial MT"/>
      </rPr>
      <t>might</t>
    </r>
    <r>
      <rPr>
        <b/>
        <sz val="10"/>
        <rFont val="Arial MT"/>
      </rPr>
      <t xml:space="preserve"> be…..there are only 2 data items needed </t>
    </r>
  </si>
  <si>
    <t>(besides your CoDist #), the main one being your 7/25/2022 certified CAD value, which obviously you don't  known yet. So just a word of caution - if you use</t>
  </si>
  <si>
    <t>some estimate of what that CAD value might be, make sure it reflects the new $40K homestead exemption that will be in place in 22-23, otherwise, the MCR</t>
  </si>
  <si>
    <t>5) on the 'Calc Data' tab, there was a wrong cell reference in the formula for Cell F12 and has been fixed.</t>
  </si>
  <si>
    <t>deleted in accordance with TEA rule.</t>
  </si>
  <si>
    <t>SB 1, The "Summertime Blues" bill - Release 5 Dated 5/20/2022</t>
  </si>
  <si>
    <t>these districts will also be docked the additional state/local revenue that the "unauthorized" pennies generated.</t>
  </si>
  <si>
    <r>
      <t xml:space="preserve">        </t>
    </r>
    <r>
      <rPr>
        <b/>
        <i/>
        <sz val="10"/>
        <rFont val="Arial MT"/>
      </rPr>
      <t>purposes (T2)</t>
    </r>
    <r>
      <rPr>
        <b/>
        <sz val="10"/>
        <rFont val="Arial MT"/>
      </rPr>
      <t>" in Cell G66 on the data entry tab.</t>
    </r>
  </si>
  <si>
    <r>
      <t xml:space="preserve">     A) from the TEA MCR template, enter the T2 value calculated on the line labeled "</t>
    </r>
    <r>
      <rPr>
        <b/>
        <i/>
        <sz val="10"/>
        <rFont val="Arial MT"/>
      </rPr>
      <t>Estimated TY 2022 Comptroller Certified School District Value for M&amp;O</t>
    </r>
  </si>
  <si>
    <t xml:space="preserve">     B) after doing A, if the calculated MCR shown in Cell G72 on the data entry tab does not match the MCR calculated on TEA's MCR template, go to the  </t>
  </si>
  <si>
    <t xml:space="preserve">        'Calc Data' tab on this template and in Cell F220, enter the MCR from TEA's template.</t>
  </si>
  <si>
    <t>Even after doing the above, keep in mind that your "official" MCR will not be known until it is approved by TEA sometime in early August.</t>
  </si>
  <si>
    <t>there), and on the tab labeled 'MCRs2122' you will see the list of each district's MCR - the ones highlighted in yellow are the affected districts. And BTW (ha),</t>
  </si>
  <si>
    <t xml:space="preserve">that it calculates may not be anywhere close to what it will be after that 7/25/2022 value gets entered.  If your estimate does include the $40K exemption and </t>
  </si>
  <si>
    <t>are wondering how/where to update this template so that the MCR will match TEA's, you can do the following:</t>
  </si>
  <si>
    <t>4) on the data entry tab, Rows 50 &amp; 56 have now been blanked out, as I have learned that TEA already includes these students in Block 5.</t>
  </si>
  <si>
    <t>6) on the 'HH2223-40KCalcs' tab that is linked on Line 52 of the 'Report-SOF2223-SB1' tab, there was a wrong cell reference in Cell D34 that has been fixed.</t>
  </si>
  <si>
    <t>It was using a value that reflected the old $25K homestead exemption instead of the value reflecting the new $40K exemption….same for the other out years.</t>
  </si>
  <si>
    <t xml:space="preserve">7) if you partner with a charter school to run your campus(es), the Fast Growth Allotment is no longer part of the additional aid calculation and has been </t>
  </si>
  <si>
    <t>PS: in case some of you are wondering, my new right hip is working great!....almost ready to "Shake Your (MY) Booty"….some of you were wondering if</t>
  </si>
  <si>
    <t xml:space="preserve">that was the song I was referring to in my notes to Release 4 - it was not…those lyrics were in a TS song (if you don't know who TS is, you are officially old). </t>
  </si>
  <si>
    <t>20-21 Final ADA for 21-22 ASF</t>
  </si>
  <si>
    <t>20-21 Final ADA for 21-22 ASF Purposes</t>
  </si>
  <si>
    <t>ROUND 6 - Additions:</t>
  </si>
  <si>
    <t>instead of the new $40K value (Cells F35, F39, F51, and F55 if you are interested)….maybe I'll get it right "One of These Days" (from one of my favorite</t>
  </si>
  <si>
    <t>2) TEA has revised the 21-22 per capita rate from $402.682 to $510.890……for most of you, this will not result in additional state aid, as that increase in ASF</t>
  </si>
  <si>
    <t>will be offset by a decrease in FSF.  TEA has also updated the prior-year ADA that is used in computing 21-22 ASF - the new/correct ADA can be found in</t>
  </si>
  <si>
    <t>Cell C171 on the data entry tab, if you are interested.</t>
  </si>
  <si>
    <t>SB 1, The "Summertime Blues" bill - Release 6 Dated 6/9/2022</t>
  </si>
  <si>
    <t>1) on the 'RateToMaintain2223' tab there were some reference errors when calculating 22-23 Tier II state/local shares - I was referencing the old $25K value</t>
  </si>
  <si>
    <t>artist back in the 70's - I know, most of you weren't even born yet, so you won't know who that is.….sad!).  For 7/1 fiscal year districts, if you have already</t>
  </si>
  <si>
    <t>posted, you don't need to repost - just "Blame It On Me" (from another one of my favorite artist back in the 70's who is still rockin'….like me, but only I do</t>
  </si>
  <si>
    <t>it in my rockin' chair….sad!).</t>
  </si>
  <si>
    <t>2022 Property Value With $15K Homestead Exemption (T7)</t>
  </si>
  <si>
    <t>2022 Property Value With $25K Homestead Exemption (T8)</t>
  </si>
  <si>
    <t>2022-23 I&amp;S Hold Harmless Calculations Under Old Law ($15K to $25K): To Be Added to Cell C50</t>
  </si>
  <si>
    <t>2022-23 I&amp;S Hold Harmless Calculations Reflecting Increase in Homestead Exemption From $25K to $40K:</t>
  </si>
  <si>
    <t>Eligible Debt (as of 9/1/2015) for I&amp;S Hold Harmless Purposes</t>
  </si>
  <si>
    <t>State Certified Property Value ("T1" value) @ $25K Exemption - begins in 22-23</t>
  </si>
  <si>
    <t>OLD LAW:</t>
  </si>
  <si>
    <t>NEW LAW:</t>
  </si>
  <si>
    <t>PVS</t>
  </si>
  <si>
    <t>?</t>
  </si>
  <si>
    <t>22-23 ASAHE for Facilities:</t>
  </si>
  <si>
    <t>imputed =</t>
  </si>
  <si>
    <t>2022 T7 @ $25K + (2022 T7 @$25K exemption - 2022 T8 @$40K exemption) * 10/15</t>
  </si>
  <si>
    <t xml:space="preserve">2022 T8 @$25K exemption </t>
  </si>
  <si>
    <t>2022 T7 @$15K exemption</t>
  </si>
  <si>
    <t>2022 T8 @$40K exemption</t>
  </si>
  <si>
    <t>2022 T7 @$25K exemption</t>
  </si>
  <si>
    <t>I&amp;S taxes</t>
  </si>
  <si>
    <t>EDA LS</t>
  </si>
  <si>
    <t>IFA LS</t>
  </si>
  <si>
    <t>excess</t>
  </si>
  <si>
    <t>pymt</t>
  </si>
  <si>
    <t>IFA ST/LS</t>
  </si>
  <si>
    <t>ada</t>
  </si>
  <si>
    <t>2nd yr value</t>
  </si>
  <si>
    <t>current value</t>
  </si>
  <si>
    <t>(20-21 2nd)</t>
  </si>
  <si>
    <t>(22-23 2nd)</t>
  </si>
  <si>
    <t>(24-25 2nd)</t>
  </si>
  <si>
    <t>C79</t>
  </si>
  <si>
    <t>I61</t>
  </si>
  <si>
    <t>L79</t>
  </si>
  <si>
    <t>G96</t>
  </si>
  <si>
    <t>J55</t>
  </si>
  <si>
    <t>G19</t>
  </si>
  <si>
    <t>C64</t>
  </si>
  <si>
    <t>K19</t>
  </si>
  <si>
    <t>M19</t>
  </si>
  <si>
    <t>L55</t>
  </si>
  <si>
    <t>N55</t>
  </si>
  <si>
    <t>P55</t>
  </si>
  <si>
    <t>I96</t>
  </si>
  <si>
    <t>K96</t>
  </si>
  <si>
    <t>M96</t>
  </si>
  <si>
    <t>G79</t>
  </si>
  <si>
    <t>K79</t>
  </si>
  <si>
    <t>M61</t>
  </si>
  <si>
    <t>S61</t>
  </si>
  <si>
    <t>R79</t>
  </si>
  <si>
    <t>V79</t>
  </si>
  <si>
    <t>G67</t>
  </si>
  <si>
    <t>I67</t>
  </si>
  <si>
    <t>K67</t>
  </si>
  <si>
    <t>M67</t>
  </si>
  <si>
    <t>I19</t>
  </si>
  <si>
    <t>EDA - $40K</t>
  </si>
  <si>
    <t>IFA - $40K</t>
  </si>
  <si>
    <t>EDA - $25K</t>
  </si>
  <si>
    <t>J61</t>
  </si>
  <si>
    <t>C65</t>
  </si>
  <si>
    <t>G69</t>
  </si>
  <si>
    <t>M79</t>
  </si>
  <si>
    <t>N61</t>
  </si>
  <si>
    <t>S79</t>
  </si>
  <si>
    <t>I69</t>
  </si>
  <si>
    <t>K69</t>
  </si>
  <si>
    <t>T61</t>
  </si>
  <si>
    <t>AA79</t>
  </si>
  <si>
    <t>M69</t>
  </si>
  <si>
    <t>(imputed value)</t>
  </si>
  <si>
    <t>2023-24 I&amp;S Hold Harmless Calculations Reflecting Increase in Homestead Exemption From $25K to $40K:</t>
  </si>
  <si>
    <t>2023-24 I&amp;S Hold Harmless Calculations Under Old Law ($15K to $25K): To Be Added to Cell C50</t>
  </si>
  <si>
    <t>2023 Property Value With $25K Homestead Exemption (T8)</t>
  </si>
  <si>
    <t>2023 Property Value With $15K Homestead Exemption (T7)</t>
  </si>
  <si>
    <t>2024-25 I&amp;S Hold Harmless Calculations Under Old Law ($15K to $25K): To Be Added to Cell C50</t>
  </si>
  <si>
    <t>2024-25 I&amp;S Hold Harmless Calculations Reflecting Increase in Homestead Exemption From $25K to $40K:</t>
  </si>
  <si>
    <t>2024 Property Value With $25K Homestead Exemption (T8)</t>
  </si>
  <si>
    <t>2024 Property Value With $15K Homestead Exemption (T7)</t>
  </si>
  <si>
    <t>2025-26 I&amp;S Hold Harmless Calculations Reflecting Increase in Homestead Exemption From $25K to $40K:</t>
  </si>
  <si>
    <t>2025-26 I&amp;S Hold Harmless Calculations Under Old Law ($15K to $25K): To Be Added to Cell C50</t>
  </si>
  <si>
    <t>2025 Property Value With $25K Homestead Exemption (T8)</t>
  </si>
  <si>
    <t>2025 Property Value With $15K Homestead Exemption (T7)</t>
  </si>
  <si>
    <t>OtherDetail2223-HB3'</t>
  </si>
  <si>
    <r>
      <t xml:space="preserve">I&amp;S Hold Harmless (ASAHE for Facilities on TEA's Report)  </t>
    </r>
    <r>
      <rPr>
        <sz val="12"/>
        <color rgb="FFFF0000"/>
        <rFont val="Arial MT"/>
      </rPr>
      <t>(Link to HH2223-Calcs tab)</t>
    </r>
  </si>
  <si>
    <t>OtherDetail2425-HB3</t>
  </si>
  <si>
    <r>
      <rPr>
        <sz val="12"/>
        <rFont val="Arial MT"/>
      </rPr>
      <t>I&amp;S Hold Harmless (ASAHE for Facilities on TEA's Report)</t>
    </r>
    <r>
      <rPr>
        <sz val="12"/>
        <color indexed="12"/>
        <rFont val="Arial MT"/>
      </rPr>
      <t xml:space="preserve"> </t>
    </r>
    <r>
      <rPr>
        <sz val="12"/>
        <color rgb="FFFF0000"/>
        <rFont val="Arial MT"/>
      </rPr>
      <t>(Link to HH2425-Calcs tab)</t>
    </r>
  </si>
  <si>
    <t>OtherDetail2526-HB3</t>
  </si>
  <si>
    <t>PART 1 OF 2 - See Below</t>
  </si>
  <si>
    <t>PART 2 OF 2</t>
  </si>
  <si>
    <t>TIER ONE M&amp;O TAX RATE</t>
  </si>
  <si>
    <t>21-22 Tier I Comp Rate</t>
  </si>
  <si>
    <t>M&amp;O TAX RATE</t>
  </si>
  <si>
    <t>Enrich</t>
  </si>
  <si>
    <t>21-22 Enrichment</t>
  </si>
  <si>
    <t>&lt;= Enter the number of pennies of additional M&amp;O tax rate the district adopted in 21-22 to recover local expenditures related to winter storm Uri</t>
  </si>
  <si>
    <r>
      <t>Disaster Pennies Adopted in 21-22 (</t>
    </r>
    <r>
      <rPr>
        <i/>
        <sz val="12"/>
        <rFont val="Arial MT"/>
      </rPr>
      <t>i.e.</t>
    </r>
    <r>
      <rPr>
        <sz val="12"/>
        <rFont val="Arial MT"/>
      </rPr>
      <t>, enter as .02, .04, etc.)</t>
    </r>
  </si>
  <si>
    <t>State Certified Property Value ("T7" value) @ $40K Exemption - begins in 22-23</t>
  </si>
  <si>
    <t>Formula Transition Grant (TEC 48.277) N/A - expired in 23-24</t>
  </si>
  <si>
    <t>Formula Transition Grant (TEC 48.277) - N/A - expired in 23-24</t>
  </si>
  <si>
    <t>Equalized Wealth Transition Grant (TEC 48.278) - N/A - expired in 23-24</t>
  </si>
  <si>
    <t>Tier I Compressed Tax Rate (MCR) Approved by TEA (20-21 thru 22-23 are Official - Other Years Are Only Estimates)</t>
  </si>
  <si>
    <t>SB 1, The "Summertime Blues" bill - Release 7 Dated 8/4/2022</t>
  </si>
  <si>
    <t>&lt; as of this release - prelim estimate</t>
  </si>
  <si>
    <t>ROUND 7 - Additions:</t>
  </si>
  <si>
    <t>1) on the 22-23 ASAHE for Facilities Detail Report (link is on Line 52 of the Report-SOF2223-SB1 tab), an old law calculation when the homestead exemption</t>
  </si>
  <si>
    <t>two calculations will be added together and the sum will appear on Line 52.</t>
  </si>
  <si>
    <t>increased from $15K to $25K has been added to the new law calculation, which reflects the increase in the homestead exemption from $25K to $S40K.  The</t>
  </si>
  <si>
    <t>2) in the "Do It Yourself" category (the one I'm thinking about goes back to the disco days - you youngsters are probably wondering what that was all about):</t>
  </si>
  <si>
    <t>on the data entry tab, Cell G72 is now a data entry cell - once you get your TEA-approved 22-23 MCR, enter it there - that is all you have to do, as the other</t>
  </si>
  <si>
    <t xml:space="preserve">cells that use it now point to G72…..at some future point, when all MCRs have been approved, I hope to get a file and will load G72 for you. </t>
  </si>
  <si>
    <t>3) the 22-23 per capita rate has been updated to reflect TEA's preliminary estimate on their preliminary 22-23 Summary of Finances….the placeholder was</t>
  </si>
  <si>
    <t>4) if you partner with a charter school to operate one or more of your campuses, the Basic Allotment used in the calculation of the charter school funding</t>
  </si>
  <si>
    <t>offset by a decrease in your FSF allotment.</t>
  </si>
  <si>
    <t>as it applies to the CTE allotment now includes the same adjustment that is currently used in calculating the Sp. Ed. allotment.</t>
  </si>
  <si>
    <t>$450 and it is now $629.518…..before you get too excited, for most of you, it will not change your bottom-line, as your ASF allotment will increase but will be</t>
  </si>
  <si>
    <t>Chapter 48 Funding Credit Against Recapture</t>
  </si>
  <si>
    <t>Additional State Aid for Certain Ad Valorem Tax Refunds Under TEC 48.2541)</t>
  </si>
  <si>
    <r>
      <t xml:space="preserve">ASAHE (M&amp;O Hold Harmless) (TEC 48.2543)           </t>
    </r>
    <r>
      <rPr>
        <sz val="12"/>
        <color rgb="FFFF0000"/>
        <rFont val="Arial MT"/>
      </rPr>
      <t>(Link to Detail Report)</t>
    </r>
  </si>
  <si>
    <t>Additional Aid for ESC Staff Salary Increases (TEC 48.303)</t>
  </si>
  <si>
    <t>&lt;= only applicable to ESCs</t>
  </si>
  <si>
    <t>&lt;= not applicable to school districts</t>
  </si>
  <si>
    <t>NOTE: Line 2, 6, 9, 10, 11, and 18 do not apply to school districts, so those values are set to zero.</t>
  </si>
  <si>
    <t>&lt; changed to exclude MOE Equity Allotment from total revenue</t>
  </si>
  <si>
    <t>SB 1, The "Summertime Blues" bill - Release 8 Dated 8/17/2022</t>
  </si>
  <si>
    <t>ROUND 8 - Additions:</t>
  </si>
  <si>
    <t xml:space="preserve">anything to that section in Release 7, so I have no explanation as to why/how it got changed…..unless dementia has set in and I just don't remember doing it,  </t>
  </si>
  <si>
    <t>which is entirely possible these days……the out years had the same issue.</t>
  </si>
  <si>
    <t>is calculated), Cell D8 had the wrong cell reference - was referencing G68 instead of G63….what's odd is that it was correct thru Release 6 &amp; I did not do</t>
  </si>
  <si>
    <t>been filed, any $$ that you might get for MOE &amp; Equity for Federal Money Related to COVID-19 Pandemic (Row 106 on the data entry tab) will not be offset by</t>
  </si>
  <si>
    <t>Rio Grande City Grulla ISD</t>
  </si>
  <si>
    <t>FINAL 2021</t>
  </si>
  <si>
    <t>the prelim values still load.</t>
  </si>
  <si>
    <t>2) in the "…there's something happening here, what it is ain't exactly clear…" category (a real oldie): on the tab labeled 'HH2223-40KCalcs' (where ASAHE</t>
  </si>
  <si>
    <t>3) this one only applies to you Formula Transition Grant districts that get MOE &amp; Equity $$: in accordance with a Commissioner's rule that has just recently</t>
  </si>
  <si>
    <t>1) the final 2021 Comptroller values are now available and have been loaded……except for 8 districts (hopefully you know who you are), and for you 8,</t>
  </si>
  <si>
    <t xml:space="preserve">a reduction in your Formula Transition Grant (in other words, you get to actually realize those $$ instead of the Grant eating them up, unlike ASAHE). The </t>
  </si>
  <si>
    <t>PS: if you want to correct Cell D8 on that tab, you can do so and not have to run this release if your values have not changed from the prelim ones.</t>
  </si>
  <si>
    <t>prior release was already doing this, so no need to do anything - just wanted you to be aware that you are getting MOE $$.</t>
  </si>
  <si>
    <t>2026-27</t>
  </si>
  <si>
    <t>2026 TAX YEAR</t>
  </si>
  <si>
    <t>26-27 School Yr</t>
  </si>
  <si>
    <t>Tax Year 2026</t>
  </si>
  <si>
    <t>&lt; The tax year 2020 &amp; 2021 values have been entered for you - both come from the Deduction Detail report that is part of your final Property Value Study (PVS), which is on the Comptroller's website.  If you have Ch 313 agreements, you can get the projections for the other years from the 827B spreadsheet that is part your agreement(s) or ask whomever handles the agreement(s) to get them for you. The amount that gets entered here is the difference between Column H &amp; Column I on the 827B spreadsheet for each year - if you have more than one agreement, you will have to add the differences for each 827B spreadsheet.  The link to the PVS Findings is on the cell right above.  If all else fails, here's the link to the 827B spreadsheet where all the applications are listed.</t>
  </si>
  <si>
    <t>Estimated 2026</t>
  </si>
  <si>
    <t>2026-27 @ $40K</t>
  </si>
  <si>
    <t>26-27</t>
  </si>
  <si>
    <t>SB1 26-27</t>
  </si>
  <si>
    <t>2026-27 @ $25K</t>
  </si>
  <si>
    <r>
      <rPr>
        <b/>
        <sz val="12"/>
        <color rgb="FFFF0000"/>
        <rFont val="Arial MT"/>
      </rPr>
      <t>PRELIMINARY</t>
    </r>
    <r>
      <rPr>
        <b/>
        <sz val="12"/>
        <rFont val="Arial MT"/>
      </rPr>
      <t xml:space="preserve"> 2026-27 M&amp;O Hold Harmless Calculations:</t>
    </r>
  </si>
  <si>
    <t xml:space="preserve">2026-27 Adopted M&amp;O Tax Rate </t>
  </si>
  <si>
    <t>2026-27 M&amp;O Collections</t>
  </si>
  <si>
    <t>2026-27 Total M&amp;O Collections @ Lesser M&amp;O Rate</t>
  </si>
  <si>
    <t>20265-27</t>
  </si>
  <si>
    <t xml:space="preserve">2026 Tax Year Property Value </t>
  </si>
  <si>
    <t>2026-27 I&amp;S Hold Harmless Calculations Reflecting Increase in Homestead Exemption From $25K to $40K:</t>
  </si>
  <si>
    <t>2026 Property Value With $40K Homestead Exemption (T8)</t>
  </si>
  <si>
    <t>2026 Property Value With $25K Homestead Exemption (T9)</t>
  </si>
  <si>
    <t>2026 Property Value With $25K Homestead Exemption (T8)</t>
  </si>
  <si>
    <t>2026 Property Value With $15K Homestead Exemption (T7)</t>
  </si>
  <si>
    <t>2026-27 Summary of Finances</t>
  </si>
  <si>
    <t>2026 State Certified Property Value ("T2" value)</t>
  </si>
  <si>
    <t>2026-27 M&amp;O Tax Rate</t>
  </si>
  <si>
    <t>2026-27 Tier I M&amp;O Tax Rate</t>
  </si>
  <si>
    <t>2026-27 Maximum Compressed Tax Rate</t>
  </si>
  <si>
    <t>2026-27 I&amp;S Tax Rate</t>
  </si>
  <si>
    <t>2026-27 I&amp;S Tax Collections</t>
  </si>
  <si>
    <t>2026-27 Total Tax Collections</t>
  </si>
  <si>
    <t>2026-27 Total Tax Levy</t>
  </si>
  <si>
    <t>TOTAL  2026-27  FSP/ASF  STATE  AID</t>
  </si>
  <si>
    <t>Net 2026-27 TOTAL STATE/LOCAL M&amp;O REVENUE</t>
  </si>
  <si>
    <t>Total 2026-27 Recapture</t>
  </si>
  <si>
    <t xml:space="preserve">Total 2026-27 Recapture Payments Due TEA </t>
  </si>
  <si>
    <t>2026-27 Other Programs Detail Report - HB 3</t>
  </si>
  <si>
    <t>School Year 2026-27 Only:</t>
  </si>
  <si>
    <t>Report-SOF2627-SB1</t>
  </si>
  <si>
    <t xml:space="preserve">2026-27 Cost of Recapture Report </t>
  </si>
  <si>
    <t>Report-SOF2627-SB1'</t>
  </si>
  <si>
    <t>2026-27 M&amp;O Collections Detail Report - HB 3</t>
  </si>
  <si>
    <t>2026-27 Local M&amp;O Collections</t>
  </si>
  <si>
    <t>2026-27 Local Share for IFA Lease Purchase</t>
  </si>
  <si>
    <t>2026-27 Payment to Tax Increment Fund (TIF)</t>
  </si>
  <si>
    <t>2026-27 Total M&amp;O Collections (Line 1 - Line 2 - Line 3)</t>
  </si>
  <si>
    <t>2026-27 Tier One M&amp;O Tax Rate (TR)</t>
  </si>
  <si>
    <r>
      <t xml:space="preserve">2026-27 M&amp;O Tax Collections                                          </t>
    </r>
    <r>
      <rPr>
        <sz val="12"/>
        <color rgb="FFFF0000"/>
        <rFont val="Arial MT"/>
      </rPr>
      <t xml:space="preserve">(Link to Detail Report) </t>
    </r>
    <r>
      <rPr>
        <sz val="12"/>
        <rFont val="Arial MT"/>
      </rPr>
      <t xml:space="preserve">             </t>
    </r>
  </si>
  <si>
    <t>2026-27 Special Education FTE Detail Report - HB 3</t>
  </si>
  <si>
    <t>2026-27 Tier I Detail Report - HB3</t>
  </si>
  <si>
    <t>2026-27 Tier II Detail Report</t>
  </si>
  <si>
    <t>2026-27 EDA Detail Report - HB 3</t>
  </si>
  <si>
    <t>2026-27 Local Share of EDA</t>
  </si>
  <si>
    <t>2026-27 Local Share of IFA Awarded for Bonded Debt</t>
  </si>
  <si>
    <t>2026-27 Excess I&amp;S Tax Collections (Line 1 - Line 2 - Line 3)</t>
  </si>
  <si>
    <t>2026-27 Actual Eligible Debt Service Payment</t>
  </si>
  <si>
    <t>2026-27 IFA State/Local Share of IFA Awarded for Bonded Debt</t>
  </si>
  <si>
    <t>2026-27 Total Refined ADA</t>
  </si>
  <si>
    <t>2026-27 Allowed Rate (Lesser of Line 10 or Line 11 or $.29)</t>
  </si>
  <si>
    <t>2026 State Certified Property Value ("T8" value)</t>
  </si>
  <si>
    <t>2024-25 Local Share of EDA</t>
  </si>
  <si>
    <t>2024-25 Local Share of IFA Awarded for Bonded Debt</t>
  </si>
  <si>
    <t>2024-25 Excess I&amp;S Tax Collections (Line 1 - Line 2 - Line 3)</t>
  </si>
  <si>
    <t>2026-27 IFA Detail Report - HB 3</t>
  </si>
  <si>
    <t>2026-27 FSP Detail Report</t>
  </si>
  <si>
    <r>
      <t xml:space="preserve">Special Education FTEs                                                         </t>
    </r>
    <r>
      <rPr>
        <sz val="12"/>
        <color rgb="FFFF0000"/>
        <rFont val="Arial MT"/>
      </rPr>
      <t xml:space="preserve">(Link to Detail Report) </t>
    </r>
    <r>
      <rPr>
        <sz val="12"/>
        <rFont val="Arial MT"/>
      </rPr>
      <t xml:space="preserve">                                                     </t>
    </r>
  </si>
  <si>
    <r>
      <t xml:space="preserve">599/5829 - Instructional Facilities Allotment (IFA) (Bond)   </t>
    </r>
    <r>
      <rPr>
        <sz val="12"/>
        <color rgb="FFFF0000"/>
        <rFont val="Arial MT"/>
      </rPr>
      <t xml:space="preserve"> (Link to Detail Report)</t>
    </r>
  </si>
  <si>
    <r>
      <t xml:space="preserve">I&amp;S Hold Harmless (ASAHE for Facilities on TEA's Report) </t>
    </r>
    <r>
      <rPr>
        <sz val="12"/>
        <color rgb="FFFF0000"/>
        <rFont val="Arial MT"/>
      </rPr>
      <t>(Link to HH2627-40KCalcs tab)</t>
    </r>
  </si>
  <si>
    <t>OtherDetail2627-HB3</t>
  </si>
  <si>
    <r>
      <t xml:space="preserve">ASAHE (M&amp;O Hold Harmless)           </t>
    </r>
    <r>
      <rPr>
        <sz val="11"/>
        <color rgb="FFFF0000"/>
        <rFont val="Arial MT"/>
      </rPr>
      <t>(Link to Detail Report)</t>
    </r>
  </si>
  <si>
    <t xml:space="preserve">I&amp;S Taxes Collected In 2nd Yr of Biennium (i.e., 20-21 used for 21-22 &amp; 22-23) </t>
  </si>
  <si>
    <t>CPTD Property Value in 2nd Yr of Biennium (20-21 is 2nd yr of 21-22 &amp; 22-23 biennium)</t>
  </si>
  <si>
    <t>GT_ENROLL</t>
  </si>
  <si>
    <t>PY1_IS_COLL</t>
  </si>
  <si>
    <t>PY1_MO_COLL_LOCAL</t>
  </si>
  <si>
    <t>TIA_MAST_TCHR_ALLOT</t>
  </si>
  <si>
    <t>TIA_EXEMP_TCHR_ALLOT</t>
  </si>
  <si>
    <t>TIA_RECOG_TCHR_ALLOT</t>
  </si>
  <si>
    <t>VOCED_FTE_TIER_1</t>
  </si>
  <si>
    <t>VOCED_FTE_TIER_2</t>
  </si>
  <si>
    <t>VOCED_FTE_TIER_3</t>
  </si>
  <si>
    <t>21-22 NF DATA (as of 10/4/22)</t>
  </si>
  <si>
    <t>1-Career &amp; Technology FTEs</t>
  </si>
  <si>
    <t>2-Career &amp; Technology FTEs</t>
  </si>
  <si>
    <t>3-Career &amp; Technology FTEs</t>
  </si>
  <si>
    <t>1-Bilingual ADA</t>
  </si>
  <si>
    <t>2-Bilingual ADA - Dual Language Immersion Students (1-way or 2-way)</t>
  </si>
  <si>
    <t>3-Bilingual ADA - Non-LEP Dual Language Students (2-way)</t>
  </si>
  <si>
    <t>Transportation -Reg</t>
  </si>
  <si>
    <t>Transportation -Sped</t>
  </si>
  <si>
    <t>Transportation -CTE</t>
  </si>
  <si>
    <t>Transportation -Priv</t>
  </si>
  <si>
    <t>M&amp;O Rate</t>
  </si>
  <si>
    <t>M&amp;O Collections</t>
  </si>
  <si>
    <t>I&amp;S Collections</t>
  </si>
  <si>
    <t>CCMR -1</t>
  </si>
  <si>
    <t>CCMR -2</t>
  </si>
  <si>
    <t>CCMR -3</t>
  </si>
  <si>
    <t>Residential Fac ADA</t>
  </si>
  <si>
    <t>Certification Exam Reimb</t>
  </si>
  <si>
    <t>College Prep Reimb</t>
  </si>
  <si>
    <t>Teacher Incentive Allot</t>
  </si>
  <si>
    <t>TIA_FEE_REIMB</t>
  </si>
  <si>
    <t>MENTOR_ALLOT</t>
  </si>
  <si>
    <t>Mentor Allot</t>
  </si>
  <si>
    <t>TSB</t>
  </si>
  <si>
    <t>TSD</t>
  </si>
  <si>
    <t>SCE_Residential Placement Facility - Not Ed Disadvantaged Students</t>
  </si>
  <si>
    <t>SCE_ADA of Students in Res Placement Facility</t>
  </si>
  <si>
    <t>I&amp;S Rate</t>
  </si>
  <si>
    <t>EDA_ELIG_DEBT_SVC_AMT</t>
  </si>
  <si>
    <t>&lt; if zero, it may be that the adopted rate is less than the MCR</t>
  </si>
  <si>
    <t>2022-23 Expected M&amp;O Tax Rate: min (1) prior law M&amp;O rate, or (2) maximum</t>
  </si>
  <si>
    <t>adjusted for Expected Tax Rate Ratio for districts with lowered 2022-23 tax rate</t>
  </si>
  <si>
    <t>Formula Transition Target Revenue * ADA:  ((max: Line 6 or Line 8) * Line 9)</t>
  </si>
  <si>
    <t>2022-23 Unadjusted Formula Transition Grant (if Line 11 &lt; Line 10, then Line 12 = Line 10 - Line 11;</t>
  </si>
  <si>
    <t>else Line 12 = 0</t>
  </si>
  <si>
    <t>2022-23 Adjusted Formula Transition Grant to meet statewide spending limit of $400M</t>
  </si>
  <si>
    <t>2022-23 Adopted M&amp;O Tax Rate</t>
  </si>
  <si>
    <t>ratio = current law M&amp;O tax rate / prior law expected M&amp;O tax rate, else ratio = 1</t>
  </si>
  <si>
    <t>2019-20 Formula Transition Grant Revenue per ADA (from Cell C163 on data entry tab)</t>
  </si>
  <si>
    <t>2020 CPTD "T8" Value</t>
  </si>
  <si>
    <t>2020 CPTD "T7" Value</t>
  </si>
  <si>
    <t>2020 CPTD "T2" Value</t>
  </si>
  <si>
    <t>old law adopted tax rate</t>
  </si>
  <si>
    <t>Old Law M&amp;O Adopted Tax Rate</t>
  </si>
  <si>
    <t>20-21 enrichment pennies</t>
  </si>
  <si>
    <t xml:space="preserve">2020-21 Local Share of EDA </t>
  </si>
  <si>
    <t>2020-21 Local Share Awarded for Bonded Debt</t>
  </si>
  <si>
    <t>2020 CPTD "T1" Value</t>
  </si>
  <si>
    <t>20-21 adopted M&amp;O rate</t>
  </si>
  <si>
    <t>20-21 compressed rate</t>
  </si>
  <si>
    <t>ASF_ADA</t>
  </si>
  <si>
    <t>CH313_TAX_CREDIT</t>
  </si>
  <si>
    <t>CPTD_PROPERTY_VALUE</t>
  </si>
  <si>
    <t>CREDRECAP</t>
  </si>
  <si>
    <t>GT_SETASIDE_P2</t>
  </si>
  <si>
    <t>IFA_BOND_LEASE_STATE</t>
  </si>
  <si>
    <t>IFA_BOND_LOCAL</t>
  </si>
  <si>
    <t>IFA_BOND_STATE</t>
  </si>
  <si>
    <t>IFA_BOND_STATE_LOCAL</t>
  </si>
  <si>
    <t>IFA_LEASE_PURCH_LOCAL</t>
  </si>
  <si>
    <t>IFA_LEASE_PURCH_STATE</t>
  </si>
  <si>
    <t>MO_COLL_LV1</t>
  </si>
  <si>
    <t>MO_COLL_LV2</t>
  </si>
  <si>
    <t>MO_COLL_LV3</t>
  </si>
  <si>
    <t>MO_RATE_LV2</t>
  </si>
  <si>
    <t>OP3_RECAP_AMT_LV1</t>
  </si>
  <si>
    <t>OP3_RECAP_AMT_LV3</t>
  </si>
  <si>
    <t>OTHER_PROGRAMS_AMOUNT</t>
  </si>
  <si>
    <t>PY1_ADA_TOT_REFINED</t>
  </si>
  <si>
    <t>PY1_DPV_LOCAL</t>
  </si>
  <si>
    <t>PY1_TAX_TIF_PAYMENT</t>
  </si>
  <si>
    <t>RECAPTURE</t>
  </si>
  <si>
    <t>REG_PGM_ADJ_FACTOR</t>
  </si>
  <si>
    <t>SCE_ENROLL</t>
  </si>
  <si>
    <t>SPECED_ECI_SETASIDE_P2</t>
  </si>
  <si>
    <t>SPECED_SUM_TOT_FTE</t>
  </si>
  <si>
    <t>SPECED_WEIGHTED_TOT_FTE</t>
  </si>
  <si>
    <t>SUPP_TIF_PAYMENT</t>
  </si>
  <si>
    <t>TOT_STATE_AID</t>
  </si>
  <si>
    <t>TOT_TAX_COLLECTION</t>
  </si>
  <si>
    <t>TRANS_TOT_ALLOT</t>
  </si>
  <si>
    <t>TRANS_TOT_REGULAR_ALLOT</t>
  </si>
  <si>
    <t>TSBVI_FOUNDATION_AMT</t>
  </si>
  <si>
    <t>TSD_FOUNDATION_AMT</t>
  </si>
  <si>
    <t>TUITION_PAID</t>
  </si>
  <si>
    <t>PY2_DPV_ADJ</t>
  </si>
  <si>
    <t>SB1882_TOT_AID</t>
  </si>
  <si>
    <t>TCHR_INCENTIVE_ALLOT</t>
  </si>
  <si>
    <t>MAX_COMPR_RATE</t>
  </si>
  <si>
    <t>FORM_TRANS_GRANT</t>
  </si>
  <si>
    <t>EWTG</t>
  </si>
  <si>
    <t>TOT_TIER_STU_CNT</t>
  </si>
  <si>
    <t>DROPOUT_RES_ADA</t>
  </si>
  <si>
    <t>BILINGUAL_ADA</t>
  </si>
  <si>
    <t>MNL_TIA_CHGNOTE_ID</t>
  </si>
  <si>
    <t>VOCED_ADV_PT_ADA</t>
  </si>
  <si>
    <t>VOCED_ADV_NT_ADA</t>
  </si>
  <si>
    <t>FTG_UNADJ</t>
  </si>
  <si>
    <t>MOQ_ALLOT</t>
  </si>
  <si>
    <t>003-801</t>
  </si>
  <si>
    <t>013-801</t>
  </si>
  <si>
    <t>014-801</t>
  </si>
  <si>
    <t>014-803</t>
  </si>
  <si>
    <t>014-804</t>
  </si>
  <si>
    <t>015-801</t>
  </si>
  <si>
    <t>015-802</t>
  </si>
  <si>
    <t>015-805</t>
  </si>
  <si>
    <t>015-806</t>
  </si>
  <si>
    <t>015-807</t>
  </si>
  <si>
    <t>015-808</t>
  </si>
  <si>
    <t>015-809</t>
  </si>
  <si>
    <t>015-814</t>
  </si>
  <si>
    <t>015-815</t>
  </si>
  <si>
    <t>015-822</t>
  </si>
  <si>
    <t>015-825</t>
  </si>
  <si>
    <t>015-827</t>
  </si>
  <si>
    <t>015-828</t>
  </si>
  <si>
    <t>015-830</t>
  </si>
  <si>
    <t>015-831</t>
  </si>
  <si>
    <t>015-834</t>
  </si>
  <si>
    <t>015-833</t>
  </si>
  <si>
    <t>015-835</t>
  </si>
  <si>
    <t>015-836</t>
  </si>
  <si>
    <t>015-838</t>
  </si>
  <si>
    <t>015-841</t>
  </si>
  <si>
    <t>015-839</t>
  </si>
  <si>
    <t>015-840</t>
  </si>
  <si>
    <t>015-842</t>
  </si>
  <si>
    <t>015-843</t>
  </si>
  <si>
    <t>015-950</t>
  </si>
  <si>
    <t>019-000</t>
  </si>
  <si>
    <t>021-803</t>
  </si>
  <si>
    <t>021-805</t>
  </si>
  <si>
    <t>031-505</t>
  </si>
  <si>
    <t>031-916</t>
  </si>
  <si>
    <t>043-801</t>
  </si>
  <si>
    <t>043-802</t>
  </si>
  <si>
    <t>046-802</t>
  </si>
  <si>
    <t>057-802</t>
  </si>
  <si>
    <t>057-803</t>
  </si>
  <si>
    <t>057-804</t>
  </si>
  <si>
    <t>057-805</t>
  </si>
  <si>
    <t>057-808</t>
  </si>
  <si>
    <t>057-806</t>
  </si>
  <si>
    <t>057-807</t>
  </si>
  <si>
    <t>057-809</t>
  </si>
  <si>
    <t>057-810</t>
  </si>
  <si>
    <t>057-813</t>
  </si>
  <si>
    <t>057-814</t>
  </si>
  <si>
    <t>057-816</t>
  </si>
  <si>
    <t>057-819</t>
  </si>
  <si>
    <t>057-827</t>
  </si>
  <si>
    <t>057-828</t>
  </si>
  <si>
    <t>057-831</t>
  </si>
  <si>
    <t>057-829</t>
  </si>
  <si>
    <t>057-830</t>
  </si>
  <si>
    <t>057-833</t>
  </si>
  <si>
    <t>057-834</t>
  </si>
  <si>
    <t>057-839</t>
  </si>
  <si>
    <t>057-835</t>
  </si>
  <si>
    <t>057-836</t>
  </si>
  <si>
    <t>057-840</t>
  </si>
  <si>
    <t>057-841</t>
  </si>
  <si>
    <t>057-844</t>
  </si>
  <si>
    <t>057-847</t>
  </si>
  <si>
    <t>057-845</t>
  </si>
  <si>
    <t>057-846</t>
  </si>
  <si>
    <t>057-848</t>
  </si>
  <si>
    <t>057-850</t>
  </si>
  <si>
    <t>057-851</t>
  </si>
  <si>
    <t>057-950</t>
  </si>
  <si>
    <t>061-501</t>
  </si>
  <si>
    <t>061-802</t>
  </si>
  <si>
    <t>061-804</t>
  </si>
  <si>
    <t>061-805</t>
  </si>
  <si>
    <t>068-802</t>
  </si>
  <si>
    <t>068-803</t>
  </si>
  <si>
    <t>070-801</t>
  </si>
  <si>
    <t>071-803</t>
  </si>
  <si>
    <t>071-801</t>
  </si>
  <si>
    <t>071-804</t>
  </si>
  <si>
    <t>071-806</t>
  </si>
  <si>
    <t>071-807</t>
  </si>
  <si>
    <t>071-810</t>
  </si>
  <si>
    <t>071-809</t>
  </si>
  <si>
    <t>071-950</t>
  </si>
  <si>
    <t>072-801</t>
  </si>
  <si>
    <t>072-802</t>
  </si>
  <si>
    <t>084-802</t>
  </si>
  <si>
    <t>084-804</t>
  </si>
  <si>
    <t>092-801</t>
  </si>
  <si>
    <t>092-950</t>
  </si>
  <si>
    <t>101-000</t>
  </si>
  <si>
    <t>101-802</t>
  </si>
  <si>
    <t>101-803</t>
  </si>
  <si>
    <t>101-804</t>
  </si>
  <si>
    <t>101-806</t>
  </si>
  <si>
    <t>101-810</t>
  </si>
  <si>
    <t>101-811</t>
  </si>
  <si>
    <t>101-814</t>
  </si>
  <si>
    <t>101-815</t>
  </si>
  <si>
    <t>101-821</t>
  </si>
  <si>
    <t>101-819</t>
  </si>
  <si>
    <t>101-828</t>
  </si>
  <si>
    <t>101-837</t>
  </si>
  <si>
    <t>101-838</t>
  </si>
  <si>
    <t>101-840</t>
  </si>
  <si>
    <t>101-842</t>
  </si>
  <si>
    <t>101-845</t>
  </si>
  <si>
    <t>101-846</t>
  </si>
  <si>
    <t>101-847</t>
  </si>
  <si>
    <t>101-849</t>
  </si>
  <si>
    <t>101-853</t>
  </si>
  <si>
    <t>101-855</t>
  </si>
  <si>
    <t>101-856</t>
  </si>
  <si>
    <t>101-858</t>
  </si>
  <si>
    <t>101-859</t>
  </si>
  <si>
    <t>101-861</t>
  </si>
  <si>
    <t>101-862</t>
  </si>
  <si>
    <t>101-864</t>
  </si>
  <si>
    <t>101-868</t>
  </si>
  <si>
    <t>101-870</t>
  </si>
  <si>
    <t>101-871</t>
  </si>
  <si>
    <t>101-872</t>
  </si>
  <si>
    <t>101-873</t>
  </si>
  <si>
    <t>101-874</t>
  </si>
  <si>
    <t>101-875</t>
  </si>
  <si>
    <t>101-876</t>
  </si>
  <si>
    <t>101-877</t>
  </si>
  <si>
    <t>101-878</t>
  </si>
  <si>
    <t>101-950</t>
  </si>
  <si>
    <t>105-801</t>
  </si>
  <si>
    <t>105-802</t>
  </si>
  <si>
    <t>105-803</t>
  </si>
  <si>
    <t>108-802</t>
  </si>
  <si>
    <t>108-804</t>
  </si>
  <si>
    <t>108-807</t>
  </si>
  <si>
    <t>108-808</t>
  </si>
  <si>
    <t>108-809</t>
  </si>
  <si>
    <t>108-950</t>
  </si>
  <si>
    <t>111-801</t>
  </si>
  <si>
    <t>123-503</t>
  </si>
  <si>
    <t>123-803</t>
  </si>
  <si>
    <t>123-805</t>
  </si>
  <si>
    <t>123-807</t>
  </si>
  <si>
    <t>130-801</t>
  </si>
  <si>
    <t>152-504</t>
  </si>
  <si>
    <t>152-802</t>
  </si>
  <si>
    <t>152-803</t>
  </si>
  <si>
    <t>152-806</t>
  </si>
  <si>
    <t>152-950</t>
  </si>
  <si>
    <t>161-801</t>
  </si>
  <si>
    <t>161-802</t>
  </si>
  <si>
    <t>161-807</t>
  </si>
  <si>
    <t>161-950</t>
  </si>
  <si>
    <t>165-802</t>
  </si>
  <si>
    <t>165-950</t>
  </si>
  <si>
    <t>170-801</t>
  </si>
  <si>
    <t>174-801</t>
  </si>
  <si>
    <t>178-807</t>
  </si>
  <si>
    <t>178-801</t>
  </si>
  <si>
    <t>178-808</t>
  </si>
  <si>
    <t>178-950</t>
  </si>
  <si>
    <t>180-901</t>
  </si>
  <si>
    <t>181-950</t>
  </si>
  <si>
    <t>183-801</t>
  </si>
  <si>
    <t>184-801</t>
  </si>
  <si>
    <t>188-950</t>
  </si>
  <si>
    <t>193-801</t>
  </si>
  <si>
    <t>212-801</t>
  </si>
  <si>
    <t>212-804</t>
  </si>
  <si>
    <t>213-801</t>
  </si>
  <si>
    <t>220-802</t>
  </si>
  <si>
    <t>220-801</t>
  </si>
  <si>
    <t>220-809</t>
  </si>
  <si>
    <t>220-810</t>
  </si>
  <si>
    <t>220-811</t>
  </si>
  <si>
    <t>220-817</t>
  </si>
  <si>
    <t>220-814</t>
  </si>
  <si>
    <t>220-815</t>
  </si>
  <si>
    <t>220-819</t>
  </si>
  <si>
    <t>220-950</t>
  </si>
  <si>
    <t>221-801</t>
  </si>
  <si>
    <t>221-950</t>
  </si>
  <si>
    <t>225-950</t>
  </si>
  <si>
    <t>226-801</t>
  </si>
  <si>
    <t>226-950</t>
  </si>
  <si>
    <t>227-506</t>
  </si>
  <si>
    <t>227-622</t>
  </si>
  <si>
    <t>227-803</t>
  </si>
  <si>
    <t>227-804</t>
  </si>
  <si>
    <t>227-805</t>
  </si>
  <si>
    <t>227-806</t>
  </si>
  <si>
    <t>227-814</t>
  </si>
  <si>
    <t>227-816</t>
  </si>
  <si>
    <t>227-817</t>
  </si>
  <si>
    <t>227-819</t>
  </si>
  <si>
    <t>227-820</t>
  </si>
  <si>
    <t>227-821</t>
  </si>
  <si>
    <t>227-824</t>
  </si>
  <si>
    <t>227-825</t>
  </si>
  <si>
    <t>227-826</t>
  </si>
  <si>
    <t>227-827</t>
  </si>
  <si>
    <t>227-829</t>
  </si>
  <si>
    <t>227-905</t>
  </si>
  <si>
    <t>227-906</t>
  </si>
  <si>
    <t>227-950</t>
  </si>
  <si>
    <t>234-801</t>
  </si>
  <si>
    <t>235-950</t>
  </si>
  <si>
    <t>236-801</t>
  </si>
  <si>
    <t>236-802</t>
  </si>
  <si>
    <t>236-903</t>
  </si>
  <si>
    <t>236-950</t>
  </si>
  <si>
    <t>240-503</t>
  </si>
  <si>
    <t>240-801</t>
  </si>
  <si>
    <t>243-950</t>
  </si>
  <si>
    <t>246-801</t>
  </si>
  <si>
    <t>246-802</t>
  </si>
  <si>
    <t>Career &amp; Tech PT FTEs</t>
  </si>
  <si>
    <t>Career &amp; Tech New Tech FTEs</t>
  </si>
  <si>
    <t>GT Set-aside</t>
  </si>
  <si>
    <t>Sped Set-aside</t>
  </si>
  <si>
    <t>IFA Bonds Local</t>
  </si>
  <si>
    <t>EDA Local Share</t>
  </si>
  <si>
    <t>I&amp;S Coll</t>
  </si>
  <si>
    <t>20-21 I&amp;S Taxes</t>
  </si>
  <si>
    <t>20-21 EDA Local Share</t>
  </si>
  <si>
    <t>20-21 IFA Local Share</t>
  </si>
  <si>
    <t>20-21 M&amp;O Rate</t>
  </si>
  <si>
    <t>Supplemental TIF Payments</t>
  </si>
  <si>
    <t>313 Tax Credits</t>
  </si>
  <si>
    <t>TIF Payment</t>
  </si>
  <si>
    <t>Tuition Allotment</t>
  </si>
  <si>
    <t>Tuition Allot</t>
  </si>
  <si>
    <t>MOE &amp; Equity</t>
  </si>
  <si>
    <t>Disaster Pennies</t>
  </si>
  <si>
    <t>Beginning with the 21-22 school years, the "voter-approval" (rollback) rate would be (under current law):</t>
  </si>
  <si>
    <t>NOTE: the Compressed Tax Rates beginning in 23-24 are based in part on the value growth between current year and prior year and that growth using the T2 values</t>
  </si>
  <si>
    <t>entered on the data entry tab.  TEA will determine your official Compressed Tax Rate using CAD values as of 7/25, so the rate may be different from TEA's official, approved Compressed Tax Rate.</t>
  </si>
  <si>
    <t>&lt; includes Formula Transition Grant &amp; Equalized Wealth Transition Grant &amp; ASAHE for M&amp;O</t>
  </si>
  <si>
    <t>&lt; includes ASAHE for M&amp;O</t>
  </si>
  <si>
    <t>Expiration of Certain Excluded Property (see note in Cell C160 below)</t>
  </si>
  <si>
    <r>
      <t xml:space="preserve">&lt;= The 21-22 amount has been has been auto-loaded from a TEA file - if it does not match the amount on your latest SOF, enter the amount found on Line 5 of the EDA Detail Report.  For all other years,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
    </r>
    <r>
      <rPr>
        <b/>
        <sz val="10"/>
        <color rgb="FFFF0000"/>
        <rFont val="Arial MT"/>
      </rPr>
      <t>Do not include IFA awarded for a lease-purchase</t>
    </r>
    <r>
      <rPr>
        <sz val="10"/>
        <rFont val="Arial MT"/>
      </rPr>
      <t xml:space="preserve">.  Eligible debt is debt for which a payment was made as of 9/1 in the 2nd year of each biennium (example - payment made by 9/1/21 makes the debt eligible in 2021-22 &amp; 2022-23.  </t>
    </r>
  </si>
  <si>
    <t xml:space="preserve">&lt;= The 21-22 amount has been loaded for you but you should check to make sure it matches what TEA is using on your latest SOF (see the ASAHE for Facilities Detail Report) - if not, change the amount loaded to what TEA has.  It represents the amount of eligible debt the district had as of 9/1/15 and is used in the calculation of I&amp;S hold harmless (TEA calls it Additional State Aid for Homestead Exemption (ASAHE) for Facilities).    </t>
  </si>
  <si>
    <t>eligible debt for Line 5</t>
  </si>
  <si>
    <t>eligible debt as of 9/1/15 for ASAHE</t>
  </si>
  <si>
    <t>20-21 FTG old law revenue per ADA</t>
  </si>
  <si>
    <t>LINE_3</t>
  </si>
  <si>
    <r>
      <rPr>
        <sz val="11"/>
        <rFont val="Calibri"/>
        <family val="2"/>
      </rPr>
      <t>ABBOTT ISD</t>
    </r>
  </si>
  <si>
    <r>
      <rPr>
        <sz val="11"/>
        <rFont val="Calibri"/>
        <family val="2"/>
      </rPr>
      <t>ABERNATHY ISD</t>
    </r>
  </si>
  <si>
    <r>
      <rPr>
        <sz val="11"/>
        <rFont val="Calibri"/>
        <family val="2"/>
      </rPr>
      <t>ABILENE ISD</t>
    </r>
  </si>
  <si>
    <r>
      <rPr>
        <sz val="11"/>
        <rFont val="Calibri"/>
        <family val="2"/>
      </rPr>
      <t>ACADEMY ISD</t>
    </r>
  </si>
  <si>
    <r>
      <rPr>
        <sz val="11"/>
        <rFont val="Calibri"/>
        <family val="2"/>
      </rPr>
      <t>ADRIAN ISD</t>
    </r>
  </si>
  <si>
    <r>
      <rPr>
        <sz val="11"/>
        <rFont val="Calibri"/>
        <family val="2"/>
      </rPr>
      <t>AGUA DULCE ISD</t>
    </r>
  </si>
  <si>
    <r>
      <rPr>
        <sz val="11"/>
        <rFont val="Calibri"/>
        <family val="2"/>
      </rPr>
      <t>ALAMO HEIGHTS ISD</t>
    </r>
  </si>
  <si>
    <r>
      <rPr>
        <sz val="11"/>
        <rFont val="Calibri"/>
        <family val="2"/>
      </rPr>
      <t>ALBA-GOLDEN ISD</t>
    </r>
  </si>
  <si>
    <r>
      <rPr>
        <sz val="11"/>
        <rFont val="Calibri"/>
        <family val="2"/>
      </rPr>
      <t>ALBANY ISD</t>
    </r>
  </si>
  <si>
    <r>
      <rPr>
        <sz val="11"/>
        <rFont val="Calibri"/>
        <family val="2"/>
      </rPr>
      <t>ALDINE ISD</t>
    </r>
  </si>
  <si>
    <r>
      <rPr>
        <sz val="11"/>
        <rFont val="Calibri"/>
        <family val="2"/>
      </rPr>
      <t>ALEDO ISD</t>
    </r>
  </si>
  <si>
    <r>
      <rPr>
        <sz val="11"/>
        <rFont val="Calibri"/>
        <family val="2"/>
      </rPr>
      <t>ALICE ISD</t>
    </r>
  </si>
  <si>
    <r>
      <rPr>
        <sz val="11"/>
        <rFont val="Calibri"/>
        <family val="2"/>
      </rPr>
      <t>ALIEF ISD</t>
    </r>
  </si>
  <si>
    <r>
      <rPr>
        <sz val="11"/>
        <rFont val="Calibri"/>
        <family val="2"/>
      </rPr>
      <t>ALLEN ISD</t>
    </r>
  </si>
  <si>
    <r>
      <rPr>
        <sz val="11"/>
        <rFont val="Calibri"/>
        <family val="2"/>
      </rPr>
      <t>ALPINE ISD</t>
    </r>
  </si>
  <si>
    <r>
      <rPr>
        <sz val="11"/>
        <rFont val="Calibri"/>
        <family val="2"/>
      </rPr>
      <t>ALTO ISD</t>
    </r>
  </si>
  <si>
    <r>
      <rPr>
        <sz val="11"/>
        <rFont val="Calibri"/>
        <family val="2"/>
      </rPr>
      <t>ALVARADO ISD</t>
    </r>
  </si>
  <si>
    <r>
      <rPr>
        <sz val="11"/>
        <rFont val="Calibri"/>
        <family val="2"/>
      </rPr>
      <t>ALVIN ISD</t>
    </r>
  </si>
  <si>
    <r>
      <rPr>
        <sz val="11"/>
        <rFont val="Calibri"/>
        <family val="2"/>
      </rPr>
      <t>ALVORD ISD</t>
    </r>
  </si>
  <si>
    <r>
      <rPr>
        <sz val="11"/>
        <rFont val="Calibri"/>
        <family val="2"/>
      </rPr>
      <t>AMARILLO ISD</t>
    </r>
  </si>
  <si>
    <r>
      <rPr>
        <sz val="11"/>
        <rFont val="Calibri"/>
        <family val="2"/>
      </rPr>
      <t>AMHERST ISD</t>
    </r>
  </si>
  <si>
    <r>
      <rPr>
        <sz val="11"/>
        <rFont val="Calibri"/>
        <family val="2"/>
      </rPr>
      <t>ANAHUAC ISD</t>
    </r>
  </si>
  <si>
    <r>
      <rPr>
        <sz val="11"/>
        <rFont val="Calibri"/>
        <family val="2"/>
      </rPr>
      <t>ANDERSON-SHIRO CISD</t>
    </r>
  </si>
  <si>
    <r>
      <rPr>
        <sz val="11"/>
        <rFont val="Calibri"/>
        <family val="2"/>
      </rPr>
      <t>ANDREWS ISD</t>
    </r>
  </si>
  <si>
    <r>
      <rPr>
        <sz val="11"/>
        <rFont val="Calibri"/>
        <family val="2"/>
      </rPr>
      <t>ANGLETON ISD</t>
    </r>
  </si>
  <si>
    <r>
      <rPr>
        <sz val="11"/>
        <rFont val="Calibri"/>
        <family val="2"/>
      </rPr>
      <t>ANNA ISD</t>
    </r>
  </si>
  <si>
    <r>
      <rPr>
        <sz val="11"/>
        <rFont val="Calibri"/>
        <family val="2"/>
      </rPr>
      <t>ANSON ISD</t>
    </r>
  </si>
  <si>
    <r>
      <rPr>
        <sz val="11"/>
        <rFont val="Calibri"/>
        <family val="2"/>
      </rPr>
      <t>ANTHONY ISD</t>
    </r>
  </si>
  <si>
    <r>
      <rPr>
        <sz val="11"/>
        <rFont val="Calibri"/>
        <family val="2"/>
      </rPr>
      <t>ANTON ISD</t>
    </r>
  </si>
  <si>
    <r>
      <rPr>
        <sz val="11"/>
        <rFont val="Calibri"/>
        <family val="2"/>
      </rPr>
      <t>APPLE SPRINGS ISD</t>
    </r>
  </si>
  <si>
    <r>
      <rPr>
        <sz val="11"/>
        <rFont val="Calibri"/>
        <family val="2"/>
      </rPr>
      <t>AQUILLA ISD</t>
    </r>
  </si>
  <si>
    <r>
      <rPr>
        <sz val="11"/>
        <rFont val="Calibri"/>
        <family val="2"/>
      </rPr>
      <t>ARANSAS COUNTY ISD</t>
    </r>
  </si>
  <si>
    <r>
      <rPr>
        <sz val="11"/>
        <rFont val="Calibri"/>
        <family val="2"/>
      </rPr>
      <t>ARANSAS PASS ISD</t>
    </r>
  </si>
  <si>
    <r>
      <rPr>
        <sz val="11"/>
        <rFont val="Calibri"/>
        <family val="2"/>
      </rPr>
      <t>ARCHER CITY ISD</t>
    </r>
  </si>
  <si>
    <r>
      <rPr>
        <sz val="11"/>
        <rFont val="Calibri"/>
        <family val="2"/>
      </rPr>
      <t>ARGYLE ISD</t>
    </r>
  </si>
  <si>
    <r>
      <rPr>
        <sz val="11"/>
        <rFont val="Calibri"/>
        <family val="2"/>
      </rPr>
      <t>ARLINGTON ISD</t>
    </r>
  </si>
  <si>
    <r>
      <rPr>
        <sz val="11"/>
        <rFont val="Calibri"/>
        <family val="2"/>
      </rPr>
      <t>ARP ISD</t>
    </r>
  </si>
  <si>
    <r>
      <rPr>
        <sz val="11"/>
        <rFont val="Calibri"/>
        <family val="2"/>
      </rPr>
      <t>ASPERMONT ISD</t>
    </r>
  </si>
  <si>
    <r>
      <rPr>
        <sz val="11"/>
        <rFont val="Calibri"/>
        <family val="2"/>
      </rPr>
      <t>ATHENS ISD</t>
    </r>
  </si>
  <si>
    <r>
      <rPr>
        <sz val="11"/>
        <rFont val="Calibri"/>
        <family val="2"/>
      </rPr>
      <t>ATLANTA ISD</t>
    </r>
  </si>
  <si>
    <r>
      <rPr>
        <sz val="11"/>
        <rFont val="Calibri"/>
        <family val="2"/>
      </rPr>
      <t>AUBREY ISD</t>
    </r>
  </si>
  <si>
    <r>
      <rPr>
        <sz val="11"/>
        <rFont val="Calibri"/>
        <family val="2"/>
      </rPr>
      <t>AUSTIN ISD</t>
    </r>
  </si>
  <si>
    <r>
      <rPr>
        <sz val="11"/>
        <rFont val="Calibri"/>
        <family val="2"/>
      </rPr>
      <t>AUSTWELL-TIVOLI ISD</t>
    </r>
  </si>
  <si>
    <r>
      <rPr>
        <sz val="11"/>
        <rFont val="Calibri"/>
        <family val="2"/>
      </rPr>
      <t>AVALON ISD</t>
    </r>
  </si>
  <si>
    <r>
      <rPr>
        <sz val="11"/>
        <rFont val="Calibri"/>
        <family val="2"/>
      </rPr>
      <t>AVERY ISD</t>
    </r>
  </si>
  <si>
    <r>
      <rPr>
        <sz val="11"/>
        <rFont val="Calibri"/>
        <family val="2"/>
      </rPr>
      <t>AVINGER ISD</t>
    </r>
  </si>
  <si>
    <r>
      <rPr>
        <sz val="11"/>
        <rFont val="Calibri"/>
        <family val="2"/>
      </rPr>
      <t>AXTELL ISD</t>
    </r>
  </si>
  <si>
    <r>
      <rPr>
        <sz val="11"/>
        <rFont val="Calibri"/>
        <family val="2"/>
      </rPr>
      <t>AZLE ISD</t>
    </r>
  </si>
  <si>
    <r>
      <rPr>
        <sz val="11"/>
        <rFont val="Calibri"/>
        <family val="2"/>
      </rPr>
      <t>BAIRD ISD</t>
    </r>
  </si>
  <si>
    <r>
      <rPr>
        <sz val="11"/>
        <rFont val="Calibri"/>
        <family val="2"/>
      </rPr>
      <t>BALLINGER ISD</t>
    </r>
  </si>
  <si>
    <r>
      <rPr>
        <sz val="11"/>
        <rFont val="Calibri"/>
        <family val="2"/>
      </rPr>
      <t>BALMORHEA ISD</t>
    </r>
  </si>
  <si>
    <r>
      <rPr>
        <sz val="11"/>
        <rFont val="Calibri"/>
        <family val="2"/>
      </rPr>
      <t>BANDERA ISD</t>
    </r>
  </si>
  <si>
    <r>
      <rPr>
        <sz val="11"/>
        <rFont val="Calibri"/>
        <family val="2"/>
      </rPr>
      <t>BANGS ISD</t>
    </r>
  </si>
  <si>
    <r>
      <rPr>
        <sz val="11"/>
        <rFont val="Calibri"/>
        <family val="2"/>
      </rPr>
      <t>BANQUETE ISD</t>
    </r>
  </si>
  <si>
    <r>
      <rPr>
        <sz val="11"/>
        <rFont val="Calibri"/>
        <family val="2"/>
      </rPr>
      <t>BARBERS HILL ISD</t>
    </r>
  </si>
  <si>
    <r>
      <rPr>
        <sz val="11"/>
        <rFont val="Calibri"/>
        <family val="2"/>
      </rPr>
      <t>BARTLETT ISD</t>
    </r>
  </si>
  <si>
    <r>
      <rPr>
        <sz val="11"/>
        <rFont val="Calibri"/>
        <family val="2"/>
      </rPr>
      <t>BASTROP ISD</t>
    </r>
  </si>
  <si>
    <r>
      <rPr>
        <sz val="11"/>
        <rFont val="Calibri"/>
        <family val="2"/>
      </rPr>
      <t>BAY CITY ISD</t>
    </r>
  </si>
  <si>
    <r>
      <rPr>
        <sz val="11"/>
        <rFont val="Calibri"/>
        <family val="2"/>
      </rPr>
      <t>BEAUMONT ISD</t>
    </r>
  </si>
  <si>
    <r>
      <rPr>
        <sz val="11"/>
        <rFont val="Calibri"/>
        <family val="2"/>
      </rPr>
      <t>BECKVILLE ISD</t>
    </r>
  </si>
  <si>
    <r>
      <rPr>
        <sz val="11"/>
        <rFont val="Calibri"/>
        <family val="2"/>
      </rPr>
      <t>BEEVILLE ISD</t>
    </r>
  </si>
  <si>
    <r>
      <rPr>
        <sz val="11"/>
        <rFont val="Calibri"/>
        <family val="2"/>
      </rPr>
      <t>BELLEVUE ISD</t>
    </r>
  </si>
  <si>
    <r>
      <rPr>
        <sz val="11"/>
        <rFont val="Calibri"/>
        <family val="2"/>
      </rPr>
      <t>BELLS ISD</t>
    </r>
  </si>
  <si>
    <r>
      <rPr>
        <sz val="11"/>
        <rFont val="Calibri"/>
        <family val="2"/>
      </rPr>
      <t>BELLVILLE ISD</t>
    </r>
  </si>
  <si>
    <r>
      <rPr>
        <sz val="11"/>
        <rFont val="Calibri"/>
        <family val="2"/>
      </rPr>
      <t>BELTON ISD</t>
    </r>
  </si>
  <si>
    <r>
      <rPr>
        <sz val="11"/>
        <rFont val="Calibri"/>
        <family val="2"/>
      </rPr>
      <t>BEN BOLT-PALITO BLANCO ISD</t>
    </r>
  </si>
  <si>
    <r>
      <rPr>
        <sz val="11"/>
        <rFont val="Calibri"/>
        <family val="2"/>
      </rPr>
      <t>BENAVIDES ISD</t>
    </r>
  </si>
  <si>
    <r>
      <rPr>
        <sz val="11"/>
        <rFont val="Calibri"/>
        <family val="2"/>
      </rPr>
      <t>BENJAMIN ISD</t>
    </r>
  </si>
  <si>
    <r>
      <rPr>
        <sz val="11"/>
        <rFont val="Calibri"/>
        <family val="2"/>
      </rPr>
      <t>BIG SANDY ISD</t>
    </r>
  </si>
  <si>
    <r>
      <rPr>
        <sz val="11"/>
        <rFont val="Calibri"/>
        <family val="2"/>
      </rPr>
      <t>BIG SPRING ISD</t>
    </r>
  </si>
  <si>
    <r>
      <rPr>
        <sz val="11"/>
        <rFont val="Calibri"/>
        <family val="2"/>
      </rPr>
      <t>BIRDVILLE ISD</t>
    </r>
  </si>
  <si>
    <r>
      <rPr>
        <sz val="11"/>
        <rFont val="Calibri"/>
        <family val="2"/>
      </rPr>
      <t>BISHOP CISD</t>
    </r>
  </si>
  <si>
    <r>
      <rPr>
        <sz val="11"/>
        <rFont val="Calibri"/>
        <family val="2"/>
      </rPr>
      <t>BLACKWELL CISD</t>
    </r>
  </si>
  <si>
    <r>
      <rPr>
        <sz val="11"/>
        <rFont val="Calibri"/>
        <family val="2"/>
      </rPr>
      <t>BLANCO ISD</t>
    </r>
  </si>
  <si>
    <r>
      <rPr>
        <sz val="11"/>
        <rFont val="Calibri"/>
        <family val="2"/>
      </rPr>
      <t>BLAND ISD</t>
    </r>
  </si>
  <si>
    <r>
      <rPr>
        <sz val="11"/>
        <rFont val="Calibri"/>
        <family val="2"/>
      </rPr>
      <t>BLANKET ISD</t>
    </r>
  </si>
  <si>
    <r>
      <rPr>
        <sz val="11"/>
        <rFont val="Calibri"/>
        <family val="2"/>
      </rPr>
      <t>BLOOMBURG ISD</t>
    </r>
  </si>
  <si>
    <r>
      <rPr>
        <sz val="11"/>
        <rFont val="Calibri"/>
        <family val="2"/>
      </rPr>
      <t>BLOOMING GROVE ISD</t>
    </r>
  </si>
  <si>
    <r>
      <rPr>
        <sz val="11"/>
        <rFont val="Calibri"/>
        <family val="2"/>
      </rPr>
      <t>BLOOMINGTON ISD</t>
    </r>
  </si>
  <si>
    <r>
      <rPr>
        <sz val="11"/>
        <rFont val="Calibri"/>
        <family val="2"/>
      </rPr>
      <t>BLUE RIDGE ISD</t>
    </r>
  </si>
  <si>
    <r>
      <rPr>
        <sz val="11"/>
        <rFont val="Calibri"/>
        <family val="2"/>
      </rPr>
      <t>BLUFF DALE ISD</t>
    </r>
  </si>
  <si>
    <r>
      <rPr>
        <sz val="11"/>
        <rFont val="Calibri"/>
        <family val="2"/>
      </rPr>
      <t>BLUM ISD</t>
    </r>
  </si>
  <si>
    <r>
      <rPr>
        <sz val="11"/>
        <rFont val="Calibri"/>
        <family val="2"/>
      </rPr>
      <t>BOERNE ISD</t>
    </r>
  </si>
  <si>
    <r>
      <rPr>
        <sz val="11"/>
        <rFont val="Calibri"/>
        <family val="2"/>
      </rPr>
      <t>BOLES ISD</t>
    </r>
  </si>
  <si>
    <r>
      <rPr>
        <sz val="11"/>
        <rFont val="Calibri"/>
        <family val="2"/>
      </rPr>
      <t>BOLING ISD</t>
    </r>
  </si>
  <si>
    <r>
      <rPr>
        <sz val="11"/>
        <rFont val="Calibri"/>
        <family val="2"/>
      </rPr>
      <t>BONHAM ISD</t>
    </r>
  </si>
  <si>
    <r>
      <rPr>
        <sz val="11"/>
        <rFont val="Calibri"/>
        <family val="2"/>
      </rPr>
      <t>BOOKER ISD</t>
    </r>
  </si>
  <si>
    <r>
      <rPr>
        <sz val="11"/>
        <rFont val="Calibri"/>
        <family val="2"/>
      </rPr>
      <t>BORDEN COUNTY ISD</t>
    </r>
  </si>
  <si>
    <r>
      <rPr>
        <sz val="11"/>
        <rFont val="Calibri"/>
        <family val="2"/>
      </rPr>
      <t>BORGER ISD</t>
    </r>
  </si>
  <si>
    <r>
      <rPr>
        <sz val="11"/>
        <rFont val="Calibri"/>
        <family val="2"/>
      </rPr>
      <t>BOSQUEVILLE ISD</t>
    </r>
  </si>
  <si>
    <r>
      <rPr>
        <sz val="11"/>
        <rFont val="Calibri"/>
        <family val="2"/>
      </rPr>
      <t>BOVINA ISD</t>
    </r>
  </si>
  <si>
    <r>
      <rPr>
        <sz val="11"/>
        <rFont val="Calibri"/>
        <family val="2"/>
      </rPr>
      <t>BOWIE ISD</t>
    </r>
  </si>
  <si>
    <r>
      <rPr>
        <sz val="11"/>
        <rFont val="Calibri"/>
        <family val="2"/>
      </rPr>
      <t>BOYD ISD</t>
    </r>
  </si>
  <si>
    <r>
      <rPr>
        <sz val="11"/>
        <rFont val="Calibri"/>
        <family val="2"/>
      </rPr>
      <t>BRACKETT ISD</t>
    </r>
  </si>
  <si>
    <r>
      <rPr>
        <sz val="11"/>
        <rFont val="Calibri"/>
        <family val="2"/>
      </rPr>
      <t>BRADY ISD</t>
    </r>
  </si>
  <si>
    <r>
      <rPr>
        <sz val="11"/>
        <rFont val="Calibri"/>
        <family val="2"/>
      </rPr>
      <t>BRAZOS ISD</t>
    </r>
  </si>
  <si>
    <r>
      <rPr>
        <sz val="11"/>
        <rFont val="Calibri"/>
        <family val="2"/>
      </rPr>
      <t>BRAZOSPORT ISD</t>
    </r>
  </si>
  <si>
    <r>
      <rPr>
        <sz val="11"/>
        <rFont val="Calibri"/>
        <family val="2"/>
      </rPr>
      <t>BRECKENRIDGE ISD</t>
    </r>
  </si>
  <si>
    <r>
      <rPr>
        <sz val="11"/>
        <rFont val="Calibri"/>
        <family val="2"/>
      </rPr>
      <t>BREMOND ISD</t>
    </r>
  </si>
  <si>
    <r>
      <rPr>
        <sz val="11"/>
        <rFont val="Calibri"/>
        <family val="2"/>
      </rPr>
      <t>BRENHAM ISD</t>
    </r>
  </si>
  <si>
    <r>
      <rPr>
        <sz val="11"/>
        <rFont val="Calibri"/>
        <family val="2"/>
      </rPr>
      <t>BRIDGE CITY ISD</t>
    </r>
  </si>
  <si>
    <r>
      <rPr>
        <sz val="11"/>
        <rFont val="Calibri"/>
        <family val="2"/>
      </rPr>
      <t>BRIDGEPORT ISD</t>
    </r>
  </si>
  <si>
    <r>
      <rPr>
        <sz val="11"/>
        <rFont val="Calibri"/>
        <family val="2"/>
      </rPr>
      <t>BROADDUS ISD</t>
    </r>
  </si>
  <si>
    <r>
      <rPr>
        <sz val="11"/>
        <rFont val="Calibri"/>
        <family val="2"/>
      </rPr>
      <t>BROCK ISD</t>
    </r>
  </si>
  <si>
    <r>
      <rPr>
        <sz val="11"/>
        <rFont val="Calibri"/>
        <family val="2"/>
      </rPr>
      <t>BRONTE ISD</t>
    </r>
  </si>
  <si>
    <r>
      <rPr>
        <sz val="11"/>
        <rFont val="Calibri"/>
        <family val="2"/>
      </rPr>
      <t>BROOKELAND ISD</t>
    </r>
  </si>
  <si>
    <r>
      <rPr>
        <sz val="11"/>
        <rFont val="Calibri"/>
        <family val="2"/>
      </rPr>
      <t>BROOKESMITH ISD</t>
    </r>
  </si>
  <si>
    <r>
      <rPr>
        <sz val="11"/>
        <rFont val="Calibri"/>
        <family val="2"/>
      </rPr>
      <t>BROOKS COUNTY ISD</t>
    </r>
  </si>
  <si>
    <r>
      <rPr>
        <sz val="11"/>
        <rFont val="Calibri"/>
        <family val="2"/>
      </rPr>
      <t>BROWNFIELD ISD</t>
    </r>
  </si>
  <si>
    <r>
      <rPr>
        <sz val="11"/>
        <rFont val="Calibri"/>
        <family val="2"/>
      </rPr>
      <t>BROWNSBORO ISD</t>
    </r>
  </si>
  <si>
    <r>
      <rPr>
        <sz val="11"/>
        <rFont val="Calibri"/>
        <family val="2"/>
      </rPr>
      <t>BROWNSVILLE ISD</t>
    </r>
  </si>
  <si>
    <r>
      <rPr>
        <sz val="11"/>
        <rFont val="Calibri"/>
        <family val="2"/>
      </rPr>
      <t>BROWNWOOD ISD</t>
    </r>
  </si>
  <si>
    <r>
      <rPr>
        <sz val="11"/>
        <rFont val="Calibri"/>
        <family val="2"/>
      </rPr>
      <t>BRUCEVILLE-EDDY ISD</t>
    </r>
  </si>
  <si>
    <r>
      <rPr>
        <sz val="11"/>
        <rFont val="Calibri"/>
        <family val="2"/>
      </rPr>
      <t>BRYAN ISD</t>
    </r>
  </si>
  <si>
    <r>
      <rPr>
        <sz val="11"/>
        <rFont val="Calibri"/>
        <family val="2"/>
      </rPr>
      <t>BRYSON ISD</t>
    </r>
  </si>
  <si>
    <r>
      <rPr>
        <sz val="11"/>
        <rFont val="Calibri"/>
        <family val="2"/>
      </rPr>
      <t>BUCKHOLTS ISD</t>
    </r>
  </si>
  <si>
    <r>
      <rPr>
        <sz val="11"/>
        <rFont val="Calibri"/>
        <family val="2"/>
      </rPr>
      <t>BUENA VISTA ISD</t>
    </r>
  </si>
  <si>
    <r>
      <rPr>
        <sz val="11"/>
        <rFont val="Calibri"/>
        <family val="2"/>
      </rPr>
      <t>BUFFALO ISD</t>
    </r>
  </si>
  <si>
    <r>
      <rPr>
        <sz val="11"/>
        <rFont val="Calibri"/>
        <family val="2"/>
      </rPr>
      <t>BULLARD ISD</t>
    </r>
  </si>
  <si>
    <r>
      <rPr>
        <sz val="11"/>
        <rFont val="Calibri"/>
        <family val="2"/>
      </rPr>
      <t>BUNA ISD</t>
    </r>
  </si>
  <si>
    <r>
      <rPr>
        <sz val="11"/>
        <rFont val="Calibri"/>
        <family val="2"/>
      </rPr>
      <t>BURKBURNETT ISD</t>
    </r>
  </si>
  <si>
    <r>
      <rPr>
        <sz val="11"/>
        <rFont val="Calibri"/>
        <family val="2"/>
      </rPr>
      <t>BURKEVILLE ISD</t>
    </r>
  </si>
  <si>
    <r>
      <rPr>
        <sz val="11"/>
        <rFont val="Calibri"/>
        <family val="2"/>
      </rPr>
      <t>BURLESON ISD</t>
    </r>
  </si>
  <si>
    <r>
      <rPr>
        <sz val="11"/>
        <rFont val="Calibri"/>
        <family val="2"/>
      </rPr>
      <t>BURNET CISD</t>
    </r>
  </si>
  <si>
    <r>
      <rPr>
        <sz val="11"/>
        <rFont val="Calibri"/>
        <family val="2"/>
      </rPr>
      <t>BURTON ISD</t>
    </r>
  </si>
  <si>
    <r>
      <rPr>
        <sz val="11"/>
        <rFont val="Calibri"/>
        <family val="2"/>
      </rPr>
      <t>BUSHLAND ISD</t>
    </r>
  </si>
  <si>
    <r>
      <rPr>
        <sz val="11"/>
        <rFont val="Calibri"/>
        <family val="2"/>
      </rPr>
      <t>BYNUM ISD</t>
    </r>
  </si>
  <si>
    <r>
      <rPr>
        <sz val="11"/>
        <rFont val="Calibri"/>
        <family val="2"/>
      </rPr>
      <t>CADDO MILLS ISD</t>
    </r>
  </si>
  <si>
    <r>
      <rPr>
        <sz val="11"/>
        <rFont val="Calibri"/>
        <family val="2"/>
      </rPr>
      <t>CALALLEN ISD</t>
    </r>
  </si>
  <si>
    <r>
      <rPr>
        <sz val="11"/>
        <rFont val="Calibri"/>
        <family val="2"/>
      </rPr>
      <t>CALDWELL ISD</t>
    </r>
  </si>
  <si>
    <r>
      <rPr>
        <sz val="11"/>
        <rFont val="Calibri"/>
        <family val="2"/>
      </rPr>
      <t>CALHOUN COUNTY ISD</t>
    </r>
  </si>
  <si>
    <r>
      <rPr>
        <sz val="11"/>
        <rFont val="Calibri"/>
        <family val="2"/>
      </rPr>
      <t>CALLISBURG ISD</t>
    </r>
  </si>
  <si>
    <r>
      <rPr>
        <sz val="11"/>
        <rFont val="Calibri"/>
        <family val="2"/>
      </rPr>
      <t>CALVERT ISD</t>
    </r>
  </si>
  <si>
    <r>
      <rPr>
        <sz val="11"/>
        <rFont val="Calibri"/>
        <family val="2"/>
      </rPr>
      <t>CAMERON ISD</t>
    </r>
  </si>
  <si>
    <r>
      <rPr>
        <sz val="11"/>
        <rFont val="Calibri"/>
        <family val="2"/>
      </rPr>
      <t>CAMPBELL ISD</t>
    </r>
  </si>
  <si>
    <r>
      <rPr>
        <sz val="11"/>
        <rFont val="Calibri"/>
        <family val="2"/>
      </rPr>
      <t>CANADIAN ISD</t>
    </r>
  </si>
  <si>
    <r>
      <rPr>
        <sz val="11"/>
        <rFont val="Calibri"/>
        <family val="2"/>
      </rPr>
      <t>CANTON ISD</t>
    </r>
  </si>
  <si>
    <r>
      <rPr>
        <sz val="11"/>
        <rFont val="Calibri"/>
        <family val="2"/>
      </rPr>
      <t>CANUTILLO ISD</t>
    </r>
  </si>
  <si>
    <r>
      <rPr>
        <sz val="11"/>
        <rFont val="Calibri"/>
        <family val="2"/>
      </rPr>
      <t>CANYON ISD</t>
    </r>
  </si>
  <si>
    <r>
      <rPr>
        <sz val="11"/>
        <rFont val="Calibri"/>
        <family val="2"/>
      </rPr>
      <t>CARLISLE ISD</t>
    </r>
  </si>
  <si>
    <r>
      <rPr>
        <sz val="11"/>
        <rFont val="Calibri"/>
        <family val="2"/>
      </rPr>
      <t>CARRIZO SPRINGS CISD</t>
    </r>
  </si>
  <si>
    <r>
      <rPr>
        <sz val="11"/>
        <rFont val="Calibri"/>
        <family val="2"/>
      </rPr>
      <t>CARROLL ISD</t>
    </r>
  </si>
  <si>
    <r>
      <rPr>
        <sz val="11"/>
        <rFont val="Calibri"/>
        <family val="2"/>
      </rPr>
      <t>CARROLLTON-FARMERS BRANCH ISD</t>
    </r>
  </si>
  <si>
    <r>
      <rPr>
        <sz val="11"/>
        <rFont val="Calibri"/>
        <family val="2"/>
      </rPr>
      <t>CARTHAGE ISD</t>
    </r>
  </si>
  <si>
    <r>
      <rPr>
        <sz val="11"/>
        <rFont val="Calibri"/>
        <family val="2"/>
      </rPr>
      <t>CASTLEBERRY ISD</t>
    </r>
  </si>
  <si>
    <r>
      <rPr>
        <sz val="11"/>
        <rFont val="Calibri"/>
        <family val="2"/>
      </rPr>
      <t>CAYUGA ISD</t>
    </r>
  </si>
  <si>
    <r>
      <rPr>
        <sz val="11"/>
        <rFont val="Calibri"/>
        <family val="2"/>
      </rPr>
      <t>CEDAR HILL ISD</t>
    </r>
  </si>
  <si>
    <r>
      <rPr>
        <sz val="11"/>
        <rFont val="Calibri"/>
        <family val="2"/>
      </rPr>
      <t>CELESTE ISD</t>
    </r>
  </si>
  <si>
    <r>
      <rPr>
        <sz val="11"/>
        <rFont val="Calibri"/>
        <family val="2"/>
      </rPr>
      <t>CELINA ISD</t>
    </r>
  </si>
  <si>
    <r>
      <rPr>
        <sz val="11"/>
        <rFont val="Calibri"/>
        <family val="2"/>
      </rPr>
      <t>CENTER ISD</t>
    </r>
  </si>
  <si>
    <r>
      <rPr>
        <sz val="11"/>
        <rFont val="Calibri"/>
        <family val="2"/>
      </rPr>
      <t>CENTER POINT ISD</t>
    </r>
  </si>
  <si>
    <r>
      <rPr>
        <sz val="11"/>
        <rFont val="Calibri"/>
        <family val="2"/>
      </rPr>
      <t>CENTERVILLE ISD</t>
    </r>
  </si>
  <si>
    <r>
      <rPr>
        <sz val="11"/>
        <rFont val="Calibri"/>
        <family val="2"/>
      </rPr>
      <t>CENTRAL HEIGHTS ISD</t>
    </r>
  </si>
  <si>
    <r>
      <rPr>
        <sz val="11"/>
        <rFont val="Calibri"/>
        <family val="2"/>
      </rPr>
      <t>CENTRAL ISD</t>
    </r>
  </si>
  <si>
    <r>
      <rPr>
        <sz val="11"/>
        <rFont val="Calibri"/>
        <family val="2"/>
      </rPr>
      <t>CHANNELVIEW ISD</t>
    </r>
  </si>
  <si>
    <r>
      <rPr>
        <sz val="11"/>
        <rFont val="Calibri"/>
        <family val="2"/>
      </rPr>
      <t>CHANNING ISD</t>
    </r>
  </si>
  <si>
    <r>
      <rPr>
        <sz val="11"/>
        <rFont val="Calibri"/>
        <family val="2"/>
      </rPr>
      <t>CHAPEL HILL ISD</t>
    </r>
  </si>
  <si>
    <r>
      <rPr>
        <sz val="11"/>
        <rFont val="Calibri"/>
        <family val="2"/>
      </rPr>
      <t>CHARLOTTE ISD</t>
    </r>
  </si>
  <si>
    <r>
      <rPr>
        <sz val="11"/>
        <rFont val="Calibri"/>
        <family val="2"/>
      </rPr>
      <t>CHEROKEE ISD</t>
    </r>
  </si>
  <si>
    <r>
      <rPr>
        <sz val="11"/>
        <rFont val="Calibri"/>
        <family val="2"/>
      </rPr>
      <t>CHESTER ISD</t>
    </r>
  </si>
  <si>
    <r>
      <rPr>
        <sz val="11"/>
        <rFont val="Calibri"/>
        <family val="2"/>
      </rPr>
      <t>CHICO ISD</t>
    </r>
  </si>
  <si>
    <r>
      <rPr>
        <sz val="11"/>
        <rFont val="Calibri"/>
        <family val="2"/>
      </rPr>
      <t>CHILDRESS ISD</t>
    </r>
  </si>
  <si>
    <r>
      <rPr>
        <sz val="11"/>
        <rFont val="Calibri"/>
        <family val="2"/>
      </rPr>
      <t>CHILLICOTHE ISD</t>
    </r>
  </si>
  <si>
    <r>
      <rPr>
        <sz val="11"/>
        <rFont val="Calibri"/>
        <family val="2"/>
      </rPr>
      <t>CHILTON ISD</t>
    </r>
  </si>
  <si>
    <r>
      <rPr>
        <sz val="11"/>
        <rFont val="Calibri"/>
        <family val="2"/>
      </rPr>
      <t>CHINA SPRING ISD</t>
    </r>
  </si>
  <si>
    <r>
      <rPr>
        <sz val="11"/>
        <rFont val="Calibri"/>
        <family val="2"/>
      </rPr>
      <t>CHIRENO ISD</t>
    </r>
  </si>
  <si>
    <r>
      <rPr>
        <sz val="11"/>
        <rFont val="Calibri"/>
        <family val="2"/>
      </rPr>
      <t>CHISUM ISD</t>
    </r>
  </si>
  <si>
    <r>
      <rPr>
        <sz val="11"/>
        <rFont val="Calibri"/>
        <family val="2"/>
      </rPr>
      <t>CHRISTOVAL ISD</t>
    </r>
  </si>
  <si>
    <r>
      <rPr>
        <sz val="11"/>
        <rFont val="Calibri"/>
        <family val="2"/>
      </rPr>
      <t>CISCO ISD</t>
    </r>
  </si>
  <si>
    <r>
      <rPr>
        <sz val="11"/>
        <rFont val="Calibri"/>
        <family val="2"/>
      </rPr>
      <t>CITY VIEW ISD</t>
    </r>
  </si>
  <si>
    <r>
      <rPr>
        <sz val="11"/>
        <rFont val="Calibri"/>
        <family val="2"/>
      </rPr>
      <t>CLARENDON ISD</t>
    </r>
  </si>
  <si>
    <r>
      <rPr>
        <sz val="11"/>
        <rFont val="Calibri"/>
        <family val="2"/>
      </rPr>
      <t>CLARKSVILLE ISD</t>
    </r>
  </si>
  <si>
    <r>
      <rPr>
        <sz val="11"/>
        <rFont val="Calibri"/>
        <family val="2"/>
      </rPr>
      <t>CLAUDE ISD</t>
    </r>
  </si>
  <si>
    <r>
      <rPr>
        <sz val="11"/>
        <rFont val="Calibri"/>
        <family val="2"/>
      </rPr>
      <t>CLEAR CREEK ISD</t>
    </r>
  </si>
  <si>
    <r>
      <rPr>
        <sz val="11"/>
        <rFont val="Calibri"/>
        <family val="2"/>
      </rPr>
      <t>CLEBURNE ISD</t>
    </r>
  </si>
  <si>
    <r>
      <rPr>
        <sz val="11"/>
        <rFont val="Calibri"/>
        <family val="2"/>
      </rPr>
      <t>CLEVELAND ISD</t>
    </r>
  </si>
  <si>
    <r>
      <rPr>
        <sz val="11"/>
        <rFont val="Calibri"/>
        <family val="2"/>
      </rPr>
      <t>CLIFTON ISD</t>
    </r>
  </si>
  <si>
    <r>
      <rPr>
        <sz val="11"/>
        <rFont val="Calibri"/>
        <family val="2"/>
      </rPr>
      <t>CLINT ISD</t>
    </r>
  </si>
  <si>
    <r>
      <rPr>
        <sz val="11"/>
        <rFont val="Calibri"/>
        <family val="2"/>
      </rPr>
      <t>CLYDE CISD</t>
    </r>
  </si>
  <si>
    <r>
      <rPr>
        <sz val="11"/>
        <rFont val="Calibri"/>
        <family val="2"/>
      </rPr>
      <t>COAHOMA ISD</t>
    </r>
  </si>
  <si>
    <r>
      <rPr>
        <sz val="11"/>
        <rFont val="Calibri"/>
        <family val="2"/>
      </rPr>
      <t>COLDSPRING-OAKHURST CISD</t>
    </r>
  </si>
  <si>
    <r>
      <rPr>
        <sz val="11"/>
        <rFont val="Calibri"/>
        <family val="2"/>
      </rPr>
      <t>COLEMAN ISD</t>
    </r>
  </si>
  <si>
    <r>
      <rPr>
        <sz val="11"/>
        <rFont val="Calibri"/>
        <family val="2"/>
      </rPr>
      <t>COLLEGE STATION ISD</t>
    </r>
  </si>
  <si>
    <r>
      <rPr>
        <sz val="11"/>
        <rFont val="Calibri"/>
        <family val="2"/>
      </rPr>
      <t>COLLINSVILLE ISD</t>
    </r>
  </si>
  <si>
    <r>
      <rPr>
        <sz val="11"/>
        <rFont val="Calibri"/>
        <family val="2"/>
      </rPr>
      <t>COLMESNEIL ISD</t>
    </r>
  </si>
  <si>
    <r>
      <rPr>
        <sz val="11"/>
        <rFont val="Calibri"/>
        <family val="2"/>
      </rPr>
      <t>COLORADO ISD</t>
    </r>
  </si>
  <si>
    <r>
      <rPr>
        <sz val="11"/>
        <rFont val="Calibri"/>
        <family val="2"/>
      </rPr>
      <t>COLUMBIA-BRAZORIA ISD</t>
    </r>
  </si>
  <si>
    <r>
      <rPr>
        <sz val="11"/>
        <rFont val="Calibri"/>
        <family val="2"/>
      </rPr>
      <t>COLUMBUS ISD</t>
    </r>
  </si>
  <si>
    <r>
      <rPr>
        <sz val="11"/>
        <rFont val="Calibri"/>
        <family val="2"/>
      </rPr>
      <t>COMAL ISD</t>
    </r>
  </si>
  <si>
    <r>
      <rPr>
        <sz val="11"/>
        <rFont val="Calibri"/>
        <family val="2"/>
      </rPr>
      <t>COMANCHE ISD</t>
    </r>
  </si>
  <si>
    <r>
      <rPr>
        <sz val="11"/>
        <rFont val="Calibri"/>
        <family val="2"/>
      </rPr>
      <t>COMFORT ISD</t>
    </r>
  </si>
  <si>
    <r>
      <rPr>
        <sz val="11"/>
        <rFont val="Calibri"/>
        <family val="2"/>
      </rPr>
      <t>COMMERCE ISD</t>
    </r>
  </si>
  <si>
    <r>
      <rPr>
        <sz val="11"/>
        <rFont val="Calibri"/>
        <family val="2"/>
      </rPr>
      <t>COMMUNITY ISD</t>
    </r>
  </si>
  <si>
    <r>
      <rPr>
        <sz val="11"/>
        <rFont val="Calibri"/>
        <family val="2"/>
      </rPr>
      <t>COMO-PICKTON CISD</t>
    </r>
  </si>
  <si>
    <r>
      <rPr>
        <sz val="11"/>
        <rFont val="Calibri"/>
        <family val="2"/>
      </rPr>
      <t>COMSTOCK ISD</t>
    </r>
  </si>
  <si>
    <r>
      <rPr>
        <sz val="11"/>
        <rFont val="Calibri"/>
        <family val="2"/>
      </rPr>
      <t>CONNALLY ISD</t>
    </r>
  </si>
  <si>
    <r>
      <rPr>
        <sz val="11"/>
        <rFont val="Calibri"/>
        <family val="2"/>
      </rPr>
      <t>CONROE ISD</t>
    </r>
  </si>
  <si>
    <r>
      <rPr>
        <sz val="11"/>
        <rFont val="Calibri"/>
        <family val="2"/>
      </rPr>
      <t>COOLIDGE ISD</t>
    </r>
  </si>
  <si>
    <r>
      <rPr>
        <sz val="11"/>
        <rFont val="Calibri"/>
        <family val="2"/>
      </rPr>
      <t>COOPER ISD</t>
    </r>
  </si>
  <si>
    <r>
      <rPr>
        <sz val="11"/>
        <rFont val="Calibri"/>
        <family val="2"/>
      </rPr>
      <t>COPPELL ISD</t>
    </r>
  </si>
  <si>
    <r>
      <rPr>
        <sz val="11"/>
        <rFont val="Calibri"/>
        <family val="2"/>
      </rPr>
      <t>COPPERAS COVE ISD</t>
    </r>
  </si>
  <si>
    <r>
      <rPr>
        <sz val="11"/>
        <rFont val="Calibri"/>
        <family val="2"/>
      </rPr>
      <t>CORPUS CHRISTI ISD</t>
    </r>
  </si>
  <si>
    <r>
      <rPr>
        <sz val="11"/>
        <rFont val="Calibri"/>
        <family val="2"/>
      </rPr>
      <t>CORRIGAN-CAMDEN ISD</t>
    </r>
  </si>
  <si>
    <r>
      <rPr>
        <sz val="11"/>
        <rFont val="Calibri"/>
        <family val="2"/>
      </rPr>
      <t>CORSICANA ISD</t>
    </r>
  </si>
  <si>
    <r>
      <rPr>
        <sz val="11"/>
        <rFont val="Calibri"/>
        <family val="2"/>
      </rPr>
      <t>COTTON CENTER ISD</t>
    </r>
  </si>
  <si>
    <r>
      <rPr>
        <sz val="11"/>
        <rFont val="Calibri"/>
        <family val="2"/>
      </rPr>
      <t>COTULLA ISD</t>
    </r>
  </si>
  <si>
    <r>
      <rPr>
        <sz val="11"/>
        <rFont val="Calibri"/>
        <family val="2"/>
      </rPr>
      <t>COUPLAND ISD</t>
    </r>
  </si>
  <si>
    <r>
      <rPr>
        <sz val="11"/>
        <rFont val="Calibri"/>
        <family val="2"/>
      </rPr>
      <t>COVINGTON ISD</t>
    </r>
  </si>
  <si>
    <r>
      <rPr>
        <sz val="11"/>
        <rFont val="Calibri"/>
        <family val="2"/>
      </rPr>
      <t>CRANDALL ISD</t>
    </r>
  </si>
  <si>
    <r>
      <rPr>
        <sz val="11"/>
        <rFont val="Calibri"/>
        <family val="2"/>
      </rPr>
      <t>CRANE ISD</t>
    </r>
  </si>
  <si>
    <r>
      <rPr>
        <sz val="11"/>
        <rFont val="Calibri"/>
        <family val="2"/>
      </rPr>
      <t>CRANFILLS GAP ISD</t>
    </r>
  </si>
  <si>
    <r>
      <rPr>
        <sz val="11"/>
        <rFont val="Calibri"/>
        <family val="2"/>
      </rPr>
      <t>CRAWFORD ISD</t>
    </r>
  </si>
  <si>
    <r>
      <rPr>
        <sz val="11"/>
        <rFont val="Calibri"/>
        <family val="2"/>
      </rPr>
      <t>CROCKETT COUNTY CONSOLIDATED CSD</t>
    </r>
  </si>
  <si>
    <r>
      <rPr>
        <sz val="11"/>
        <rFont val="Calibri"/>
        <family val="2"/>
      </rPr>
      <t>CROCKETT ISD</t>
    </r>
  </si>
  <si>
    <r>
      <rPr>
        <sz val="11"/>
        <rFont val="Calibri"/>
        <family val="2"/>
      </rPr>
      <t>CROSBY ISD</t>
    </r>
  </si>
  <si>
    <r>
      <rPr>
        <sz val="11"/>
        <rFont val="Calibri"/>
        <family val="2"/>
      </rPr>
      <t>CROSBYTON CISD</t>
    </r>
  </si>
  <si>
    <r>
      <rPr>
        <sz val="11"/>
        <rFont val="Calibri"/>
        <family val="2"/>
      </rPr>
      <t>CROSS PLAINS ISD</t>
    </r>
  </si>
  <si>
    <r>
      <rPr>
        <sz val="11"/>
        <rFont val="Calibri"/>
        <family val="2"/>
      </rPr>
      <t>CROSS ROADS ISD</t>
    </r>
  </si>
  <si>
    <r>
      <rPr>
        <sz val="11"/>
        <rFont val="Calibri"/>
        <family val="2"/>
      </rPr>
      <t>CROWELL ISD</t>
    </r>
  </si>
  <si>
    <r>
      <rPr>
        <sz val="11"/>
        <rFont val="Calibri"/>
        <family val="2"/>
      </rPr>
      <t>CROWLEY ISD</t>
    </r>
  </si>
  <si>
    <r>
      <rPr>
        <sz val="11"/>
        <rFont val="Calibri"/>
        <family val="2"/>
      </rPr>
      <t>CRYSTAL CITY ISD</t>
    </r>
  </si>
  <si>
    <r>
      <rPr>
        <sz val="11"/>
        <rFont val="Calibri"/>
        <family val="2"/>
      </rPr>
      <t>CUERO ISD</t>
    </r>
  </si>
  <si>
    <r>
      <rPr>
        <sz val="11"/>
        <rFont val="Calibri"/>
        <family val="2"/>
      </rPr>
      <t>CULBERSON COUNTY-ALLAMOORE ISD</t>
    </r>
  </si>
  <si>
    <r>
      <rPr>
        <sz val="11"/>
        <rFont val="Calibri"/>
        <family val="2"/>
      </rPr>
      <t>CUMBY ISD</t>
    </r>
  </si>
  <si>
    <r>
      <rPr>
        <sz val="11"/>
        <rFont val="Calibri"/>
        <family val="2"/>
      </rPr>
      <t>CUSHING ISD</t>
    </r>
  </si>
  <si>
    <r>
      <rPr>
        <sz val="11"/>
        <rFont val="Calibri"/>
        <family val="2"/>
      </rPr>
      <t>CYPRESS-FAIRBANKS ISD</t>
    </r>
  </si>
  <si>
    <r>
      <rPr>
        <sz val="11"/>
        <rFont val="Calibri"/>
        <family val="2"/>
      </rPr>
      <t>DAINGERFIELD-LONE STAR ISD</t>
    </r>
  </si>
  <si>
    <r>
      <rPr>
        <sz val="11"/>
        <rFont val="Calibri"/>
        <family val="2"/>
      </rPr>
      <t>DALHART ISD</t>
    </r>
  </si>
  <si>
    <r>
      <rPr>
        <sz val="11"/>
        <rFont val="Calibri"/>
        <family val="2"/>
      </rPr>
      <t>DALLAS ISD</t>
    </r>
  </si>
  <si>
    <r>
      <rPr>
        <sz val="11"/>
        <rFont val="Calibri"/>
        <family val="2"/>
      </rPr>
      <t>DAMON ISD</t>
    </r>
  </si>
  <si>
    <r>
      <rPr>
        <sz val="11"/>
        <rFont val="Calibri"/>
        <family val="2"/>
      </rPr>
      <t>DANBURY ISD</t>
    </r>
  </si>
  <si>
    <r>
      <rPr>
        <sz val="11"/>
        <rFont val="Calibri"/>
        <family val="2"/>
      </rPr>
      <t>DARROUZETT ISD</t>
    </r>
  </si>
  <si>
    <r>
      <rPr>
        <sz val="11"/>
        <rFont val="Calibri"/>
        <family val="2"/>
      </rPr>
      <t>DAWSON ISD</t>
    </r>
  </si>
  <si>
    <r>
      <rPr>
        <sz val="11"/>
        <rFont val="Calibri"/>
        <family val="2"/>
      </rPr>
      <t>DAYTON ISD</t>
    </r>
  </si>
  <si>
    <r>
      <rPr>
        <sz val="11"/>
        <rFont val="Calibri"/>
        <family val="2"/>
      </rPr>
      <t>DE LEON ISD</t>
    </r>
  </si>
  <si>
    <r>
      <rPr>
        <sz val="11"/>
        <rFont val="Calibri"/>
        <family val="2"/>
      </rPr>
      <t>DECATUR ISD</t>
    </r>
  </si>
  <si>
    <r>
      <rPr>
        <sz val="11"/>
        <rFont val="Calibri"/>
        <family val="2"/>
      </rPr>
      <t>DEER PARK ISD</t>
    </r>
  </si>
  <si>
    <r>
      <rPr>
        <sz val="11"/>
        <rFont val="Calibri"/>
        <family val="2"/>
      </rPr>
      <t>DEKALB ISD</t>
    </r>
  </si>
  <si>
    <r>
      <rPr>
        <sz val="11"/>
        <rFont val="Calibri"/>
        <family val="2"/>
      </rPr>
      <t>DEL VALLE ISD</t>
    </r>
  </si>
  <si>
    <r>
      <rPr>
        <sz val="11"/>
        <rFont val="Calibri"/>
        <family val="2"/>
      </rPr>
      <t>DELL CITY ISD</t>
    </r>
  </si>
  <si>
    <r>
      <rPr>
        <sz val="11"/>
        <rFont val="Calibri"/>
        <family val="2"/>
      </rPr>
      <t>DENISON ISD</t>
    </r>
  </si>
  <si>
    <r>
      <rPr>
        <sz val="11"/>
        <rFont val="Calibri"/>
        <family val="2"/>
      </rPr>
      <t>DENTON ISD</t>
    </r>
  </si>
  <si>
    <r>
      <rPr>
        <sz val="11"/>
        <rFont val="Calibri"/>
        <family val="2"/>
      </rPr>
      <t>DENVER CITY ISD</t>
    </r>
  </si>
  <si>
    <r>
      <rPr>
        <sz val="11"/>
        <rFont val="Calibri"/>
        <family val="2"/>
      </rPr>
      <t>DESOTO ISD</t>
    </r>
  </si>
  <si>
    <r>
      <rPr>
        <sz val="11"/>
        <rFont val="Calibri"/>
        <family val="2"/>
      </rPr>
      <t>DETROIT ISD</t>
    </r>
  </si>
  <si>
    <r>
      <rPr>
        <sz val="11"/>
        <rFont val="Calibri"/>
        <family val="2"/>
      </rPr>
      <t>DEVERS ISD</t>
    </r>
  </si>
  <si>
    <r>
      <rPr>
        <sz val="11"/>
        <rFont val="Calibri"/>
        <family val="2"/>
      </rPr>
      <t>DEVINE ISD</t>
    </r>
  </si>
  <si>
    <r>
      <rPr>
        <sz val="11"/>
        <rFont val="Calibri"/>
        <family val="2"/>
      </rPr>
      <t>DEW ISD</t>
    </r>
  </si>
  <si>
    <r>
      <rPr>
        <sz val="11"/>
        <rFont val="Calibri"/>
        <family val="2"/>
      </rPr>
      <t>DEWEYVILLE ISD</t>
    </r>
  </si>
  <si>
    <r>
      <rPr>
        <sz val="11"/>
        <rFont val="Calibri"/>
        <family val="2"/>
      </rPr>
      <t>D'HANIS ISD</t>
    </r>
  </si>
  <si>
    <r>
      <rPr>
        <sz val="11"/>
        <rFont val="Calibri"/>
        <family val="2"/>
      </rPr>
      <t>DIBOLL ISD</t>
    </r>
  </si>
  <si>
    <r>
      <rPr>
        <sz val="11"/>
        <rFont val="Calibri"/>
        <family val="2"/>
      </rPr>
      <t>DICKINSON ISD</t>
    </r>
  </si>
  <si>
    <r>
      <rPr>
        <sz val="11"/>
        <rFont val="Calibri"/>
        <family val="2"/>
      </rPr>
      <t>DILLEY ISD</t>
    </r>
  </si>
  <si>
    <r>
      <rPr>
        <sz val="11"/>
        <rFont val="Calibri"/>
        <family val="2"/>
      </rPr>
      <t>DIME BOX ISD</t>
    </r>
  </si>
  <si>
    <r>
      <rPr>
        <sz val="11"/>
        <rFont val="Calibri"/>
        <family val="2"/>
      </rPr>
      <t>DIMMITT ISD</t>
    </r>
  </si>
  <si>
    <r>
      <rPr>
        <sz val="11"/>
        <rFont val="Calibri"/>
        <family val="2"/>
      </rPr>
      <t>DIVIDE ISD</t>
    </r>
  </si>
  <si>
    <r>
      <rPr>
        <sz val="11"/>
        <rFont val="Calibri"/>
        <family val="2"/>
      </rPr>
      <t>DODD CITY ISD</t>
    </r>
  </si>
  <si>
    <r>
      <rPr>
        <sz val="11"/>
        <rFont val="Calibri"/>
        <family val="2"/>
      </rPr>
      <t>DONNA ISD</t>
    </r>
  </si>
  <si>
    <r>
      <rPr>
        <sz val="11"/>
        <rFont val="Calibri"/>
        <family val="2"/>
      </rPr>
      <t>DOSS CONSOLIDATED CSD</t>
    </r>
  </si>
  <si>
    <r>
      <rPr>
        <sz val="11"/>
        <rFont val="Calibri"/>
        <family val="2"/>
      </rPr>
      <t>DOUGLASS ISD</t>
    </r>
  </si>
  <si>
    <r>
      <rPr>
        <sz val="11"/>
        <rFont val="Calibri"/>
        <family val="2"/>
      </rPr>
      <t>DRIPPING SPRINGS ISD</t>
    </r>
  </si>
  <si>
    <r>
      <rPr>
        <sz val="11"/>
        <rFont val="Calibri"/>
        <family val="2"/>
      </rPr>
      <t>DRISCOLL ISD</t>
    </r>
  </si>
  <si>
    <r>
      <rPr>
        <sz val="11"/>
        <rFont val="Calibri"/>
        <family val="2"/>
      </rPr>
      <t>DUBLIN ISD</t>
    </r>
  </si>
  <si>
    <r>
      <rPr>
        <sz val="11"/>
        <rFont val="Calibri"/>
        <family val="2"/>
      </rPr>
      <t>DUMAS ISD</t>
    </r>
  </si>
  <si>
    <r>
      <rPr>
        <sz val="11"/>
        <rFont val="Calibri"/>
        <family val="2"/>
      </rPr>
      <t>DUNCANVILLE ISD</t>
    </r>
  </si>
  <si>
    <r>
      <rPr>
        <sz val="11"/>
        <rFont val="Calibri"/>
        <family val="2"/>
      </rPr>
      <t>EAGLE MT-SAGINAW ISD</t>
    </r>
  </si>
  <si>
    <r>
      <rPr>
        <sz val="11"/>
        <rFont val="Calibri"/>
        <family val="2"/>
      </rPr>
      <t>EAGLE PASS ISD</t>
    </r>
  </si>
  <si>
    <r>
      <rPr>
        <sz val="11"/>
        <rFont val="Calibri"/>
        <family val="2"/>
      </rPr>
      <t>EANES ISD</t>
    </r>
  </si>
  <si>
    <r>
      <rPr>
        <sz val="11"/>
        <rFont val="Calibri"/>
        <family val="2"/>
      </rPr>
      <t>EARLY ISD</t>
    </r>
  </si>
  <si>
    <r>
      <rPr>
        <sz val="11"/>
        <rFont val="Calibri"/>
        <family val="2"/>
      </rPr>
      <t>EAST BERNARD ISD</t>
    </r>
  </si>
  <si>
    <r>
      <rPr>
        <sz val="11"/>
        <rFont val="Calibri"/>
        <family val="2"/>
      </rPr>
      <t>EAST CENTRAL ISD</t>
    </r>
  </si>
  <si>
    <r>
      <rPr>
        <sz val="11"/>
        <rFont val="Calibri"/>
        <family val="2"/>
      </rPr>
      <t>EAST CHAMBERS ISD</t>
    </r>
  </si>
  <si>
    <r>
      <rPr>
        <sz val="11"/>
        <rFont val="Calibri"/>
        <family val="2"/>
      </rPr>
      <t>EASTLAND ISD</t>
    </r>
  </si>
  <si>
    <r>
      <rPr>
        <sz val="11"/>
        <rFont val="Calibri"/>
        <family val="2"/>
      </rPr>
      <t>ECTOR COUNTY ISD</t>
    </r>
  </si>
  <si>
    <r>
      <rPr>
        <sz val="11"/>
        <rFont val="Calibri"/>
        <family val="2"/>
      </rPr>
      <t>ECTOR ISD</t>
    </r>
  </si>
  <si>
    <r>
      <rPr>
        <sz val="11"/>
        <rFont val="Calibri"/>
        <family val="2"/>
      </rPr>
      <t>EDCOUCH-ELSA ISD</t>
    </r>
  </si>
  <si>
    <r>
      <rPr>
        <sz val="11"/>
        <rFont val="Calibri"/>
        <family val="2"/>
      </rPr>
      <t>EDEN CISD</t>
    </r>
  </si>
  <si>
    <r>
      <rPr>
        <sz val="11"/>
        <rFont val="Calibri"/>
        <family val="2"/>
      </rPr>
      <t>EDGEWOOD ISD</t>
    </r>
  </si>
  <si>
    <r>
      <rPr>
        <sz val="11"/>
        <rFont val="Calibri"/>
        <family val="2"/>
      </rPr>
      <t>EDINBURG CISD</t>
    </r>
  </si>
  <si>
    <r>
      <rPr>
        <sz val="11"/>
        <rFont val="Calibri"/>
        <family val="2"/>
      </rPr>
      <t>EDNA ISD</t>
    </r>
  </si>
  <si>
    <r>
      <rPr>
        <sz val="11"/>
        <rFont val="Calibri"/>
        <family val="2"/>
      </rPr>
      <t>EL CAMPO ISD</t>
    </r>
  </si>
  <si>
    <r>
      <rPr>
        <sz val="11"/>
        <rFont val="Calibri"/>
        <family val="2"/>
      </rPr>
      <t>EL PASO ISD</t>
    </r>
  </si>
  <si>
    <r>
      <rPr>
        <sz val="11"/>
        <rFont val="Calibri"/>
        <family val="2"/>
      </rPr>
      <t>ELECTRA ISD</t>
    </r>
  </si>
  <si>
    <r>
      <rPr>
        <sz val="11"/>
        <rFont val="Calibri"/>
        <family val="2"/>
      </rPr>
      <t>ELGIN ISD</t>
    </r>
  </si>
  <si>
    <r>
      <rPr>
        <sz val="11"/>
        <rFont val="Calibri"/>
        <family val="2"/>
      </rPr>
      <t>ELKHART ISD</t>
    </r>
  </si>
  <si>
    <r>
      <rPr>
        <sz val="11"/>
        <rFont val="Calibri"/>
        <family val="2"/>
      </rPr>
      <t>ELYSIAN FIELDS ISD</t>
    </r>
  </si>
  <si>
    <r>
      <rPr>
        <sz val="11"/>
        <rFont val="Calibri"/>
        <family val="2"/>
      </rPr>
      <t>ENNIS ISD</t>
    </r>
  </si>
  <si>
    <r>
      <rPr>
        <sz val="11"/>
        <rFont val="Calibri"/>
        <family val="2"/>
      </rPr>
      <t>ERA ISD</t>
    </r>
  </si>
  <si>
    <r>
      <rPr>
        <sz val="11"/>
        <rFont val="Calibri"/>
        <family val="2"/>
      </rPr>
      <t>EULA ISD</t>
    </r>
  </si>
  <si>
    <r>
      <rPr>
        <sz val="11"/>
        <rFont val="Calibri"/>
        <family val="2"/>
      </rPr>
      <t>EUSTACE ISD</t>
    </r>
  </si>
  <si>
    <r>
      <rPr>
        <sz val="11"/>
        <rFont val="Calibri"/>
        <family val="2"/>
      </rPr>
      <t>EVADALE ISD</t>
    </r>
  </si>
  <si>
    <r>
      <rPr>
        <sz val="11"/>
        <rFont val="Calibri"/>
        <family val="2"/>
      </rPr>
      <t>EVANT ISD</t>
    </r>
  </si>
  <si>
    <r>
      <rPr>
        <sz val="11"/>
        <rFont val="Calibri"/>
        <family val="2"/>
      </rPr>
      <t>EVERMAN ISD</t>
    </r>
  </si>
  <si>
    <r>
      <rPr>
        <sz val="11"/>
        <rFont val="Calibri"/>
        <family val="2"/>
      </rPr>
      <t>EXCELSIOR ISD</t>
    </r>
  </si>
  <si>
    <r>
      <rPr>
        <sz val="11"/>
        <rFont val="Calibri"/>
        <family val="2"/>
      </rPr>
      <t>EZZELL ISD</t>
    </r>
  </si>
  <si>
    <r>
      <rPr>
        <sz val="11"/>
        <rFont val="Calibri"/>
        <family val="2"/>
      </rPr>
      <t>FABENS ISD</t>
    </r>
  </si>
  <si>
    <r>
      <rPr>
        <sz val="11"/>
        <rFont val="Calibri"/>
        <family val="2"/>
      </rPr>
      <t>FAIRFIELD ISD</t>
    </r>
  </si>
  <si>
    <r>
      <rPr>
        <sz val="11"/>
        <rFont val="Calibri"/>
        <family val="2"/>
      </rPr>
      <t>FALLS CITY ISD</t>
    </r>
  </si>
  <si>
    <r>
      <rPr>
        <sz val="11"/>
        <rFont val="Calibri"/>
        <family val="2"/>
      </rPr>
      <t>FANNINDEL ISD</t>
    </r>
  </si>
  <si>
    <r>
      <rPr>
        <sz val="11"/>
        <rFont val="Calibri"/>
        <family val="2"/>
      </rPr>
      <t>FARMERSVILLE ISD</t>
    </r>
  </si>
  <si>
    <r>
      <rPr>
        <sz val="11"/>
        <rFont val="Calibri"/>
        <family val="2"/>
      </rPr>
      <t>FARWELL ISD</t>
    </r>
  </si>
  <si>
    <r>
      <rPr>
        <sz val="11"/>
        <rFont val="Calibri"/>
        <family val="2"/>
      </rPr>
      <t>FAYETTEVILLE ISD</t>
    </r>
  </si>
  <si>
    <r>
      <rPr>
        <sz val="11"/>
        <rFont val="Calibri"/>
        <family val="2"/>
      </rPr>
      <t>FERRIS ISD</t>
    </r>
  </si>
  <si>
    <r>
      <rPr>
        <sz val="11"/>
        <rFont val="Calibri"/>
        <family val="2"/>
      </rPr>
      <t>FLATONIA ISD</t>
    </r>
  </si>
  <si>
    <r>
      <rPr>
        <sz val="11"/>
        <rFont val="Calibri"/>
        <family val="2"/>
      </rPr>
      <t>FLORENCE ISD</t>
    </r>
  </si>
  <si>
    <r>
      <rPr>
        <sz val="11"/>
        <rFont val="Calibri"/>
        <family val="2"/>
      </rPr>
      <t>FLORESVILLE ISD</t>
    </r>
  </si>
  <si>
    <r>
      <rPr>
        <sz val="11"/>
        <rFont val="Calibri"/>
        <family val="2"/>
      </rPr>
      <t>FLOUR BLUFF ISD</t>
    </r>
  </si>
  <si>
    <r>
      <rPr>
        <sz val="11"/>
        <rFont val="Calibri"/>
        <family val="2"/>
      </rPr>
      <t>FLOYDADA ISD</t>
    </r>
  </si>
  <si>
    <r>
      <rPr>
        <sz val="11"/>
        <rFont val="Calibri"/>
        <family val="2"/>
      </rPr>
      <t>FOLLETT ISD</t>
    </r>
  </si>
  <si>
    <r>
      <rPr>
        <sz val="11"/>
        <rFont val="Calibri"/>
        <family val="2"/>
      </rPr>
      <t>FORESTBURG ISD</t>
    </r>
  </si>
  <si>
    <r>
      <rPr>
        <sz val="11"/>
        <rFont val="Calibri"/>
        <family val="2"/>
      </rPr>
      <t>FORNEY ISD</t>
    </r>
  </si>
  <si>
    <r>
      <rPr>
        <sz val="11"/>
        <rFont val="Calibri"/>
        <family val="2"/>
      </rPr>
      <t>FORSAN ISD</t>
    </r>
  </si>
  <si>
    <r>
      <rPr>
        <sz val="11"/>
        <rFont val="Calibri"/>
        <family val="2"/>
      </rPr>
      <t>FORT BEND ISD</t>
    </r>
  </si>
  <si>
    <r>
      <rPr>
        <sz val="11"/>
        <rFont val="Calibri"/>
        <family val="2"/>
      </rPr>
      <t>FORT ELLIOTT CISD</t>
    </r>
  </si>
  <si>
    <r>
      <rPr>
        <sz val="11"/>
        <rFont val="Calibri"/>
        <family val="2"/>
      </rPr>
      <t>FORT STOCKTON ISD</t>
    </r>
  </si>
  <si>
    <r>
      <rPr>
        <sz val="11"/>
        <rFont val="Calibri"/>
        <family val="2"/>
      </rPr>
      <t>FORT WORTH ISD</t>
    </r>
  </si>
  <si>
    <r>
      <rPr>
        <sz val="11"/>
        <rFont val="Calibri"/>
        <family val="2"/>
      </rPr>
      <t>FRANKLIN ISD</t>
    </r>
  </si>
  <si>
    <r>
      <rPr>
        <sz val="11"/>
        <rFont val="Calibri"/>
        <family val="2"/>
      </rPr>
      <t>FRANKSTON ISD</t>
    </r>
  </si>
  <si>
    <r>
      <rPr>
        <sz val="11"/>
        <rFont val="Calibri"/>
        <family val="2"/>
      </rPr>
      <t>FREDERICKSBURG ISD</t>
    </r>
  </si>
  <si>
    <r>
      <rPr>
        <sz val="11"/>
        <rFont val="Calibri"/>
        <family val="2"/>
      </rPr>
      <t>FREER ISD</t>
    </r>
  </si>
  <si>
    <r>
      <rPr>
        <sz val="11"/>
        <rFont val="Calibri"/>
        <family val="2"/>
      </rPr>
      <t>FRENSHIP ISD</t>
    </r>
  </si>
  <si>
    <r>
      <rPr>
        <sz val="11"/>
        <rFont val="Calibri"/>
        <family val="2"/>
      </rPr>
      <t>FRIENDSWOOD ISD</t>
    </r>
  </si>
  <si>
    <r>
      <rPr>
        <sz val="11"/>
        <rFont val="Calibri"/>
        <family val="2"/>
      </rPr>
      <t>FRIONA ISD</t>
    </r>
  </si>
  <si>
    <r>
      <rPr>
        <sz val="11"/>
        <rFont val="Calibri"/>
        <family val="2"/>
      </rPr>
      <t>FRISCO ISD</t>
    </r>
  </si>
  <si>
    <r>
      <rPr>
        <sz val="11"/>
        <rFont val="Calibri"/>
        <family val="2"/>
      </rPr>
      <t>FROST ISD</t>
    </r>
  </si>
  <si>
    <r>
      <rPr>
        <sz val="11"/>
        <rFont val="Calibri"/>
        <family val="2"/>
      </rPr>
      <t>FRUITVALE ISD</t>
    </r>
  </si>
  <si>
    <r>
      <rPr>
        <sz val="11"/>
        <rFont val="Calibri"/>
        <family val="2"/>
      </rPr>
      <t>FT DAVIS ISD</t>
    </r>
  </si>
  <si>
    <r>
      <rPr>
        <sz val="11"/>
        <rFont val="Calibri"/>
        <family val="2"/>
      </rPr>
      <t>FT HANCOCK ISD</t>
    </r>
  </si>
  <si>
    <r>
      <rPr>
        <sz val="11"/>
        <rFont val="Calibri"/>
        <family val="2"/>
      </rPr>
      <t>GAINESVILLE ISD</t>
    </r>
  </si>
  <si>
    <r>
      <rPr>
        <sz val="11"/>
        <rFont val="Calibri"/>
        <family val="2"/>
      </rPr>
      <t>GALENA PARK ISD</t>
    </r>
  </si>
  <si>
    <r>
      <rPr>
        <sz val="11"/>
        <rFont val="Calibri"/>
        <family val="2"/>
      </rPr>
      <t>GALVESTON ISD</t>
    </r>
  </si>
  <si>
    <r>
      <rPr>
        <sz val="11"/>
        <rFont val="Calibri"/>
        <family val="2"/>
      </rPr>
      <t>GANADO ISD</t>
    </r>
  </si>
  <si>
    <r>
      <rPr>
        <sz val="11"/>
        <rFont val="Calibri"/>
        <family val="2"/>
      </rPr>
      <t>GARLAND ISD</t>
    </r>
  </si>
  <si>
    <r>
      <rPr>
        <sz val="11"/>
        <rFont val="Calibri"/>
        <family val="2"/>
      </rPr>
      <t>GARNER ISD</t>
    </r>
  </si>
  <si>
    <r>
      <rPr>
        <sz val="11"/>
        <rFont val="Calibri"/>
        <family val="2"/>
      </rPr>
      <t>GARRISON ISD</t>
    </r>
  </si>
  <si>
    <r>
      <rPr>
        <sz val="11"/>
        <rFont val="Calibri"/>
        <family val="2"/>
      </rPr>
      <t>GARY ISD</t>
    </r>
  </si>
  <si>
    <r>
      <rPr>
        <sz val="11"/>
        <rFont val="Calibri"/>
        <family val="2"/>
      </rPr>
      <t>GATESVILLE ISD</t>
    </r>
  </si>
  <si>
    <r>
      <rPr>
        <sz val="11"/>
        <rFont val="Calibri"/>
        <family val="2"/>
      </rPr>
      <t>GAUSE ISD</t>
    </r>
  </si>
  <si>
    <r>
      <rPr>
        <sz val="11"/>
        <rFont val="Calibri"/>
        <family val="2"/>
      </rPr>
      <t>GEORGE WEST ISD</t>
    </r>
  </si>
  <si>
    <r>
      <rPr>
        <sz val="11"/>
        <rFont val="Calibri"/>
        <family val="2"/>
      </rPr>
      <t>GEORGETOWN ISD</t>
    </r>
  </si>
  <si>
    <r>
      <rPr>
        <sz val="11"/>
        <rFont val="Calibri"/>
        <family val="2"/>
      </rPr>
      <t>GHOLSON ISD</t>
    </r>
  </si>
  <si>
    <r>
      <rPr>
        <sz val="11"/>
        <rFont val="Calibri"/>
        <family val="2"/>
      </rPr>
      <t>GIDDINGS ISD</t>
    </r>
  </si>
  <si>
    <r>
      <rPr>
        <sz val="11"/>
        <rFont val="Calibri"/>
        <family val="2"/>
      </rPr>
      <t>GILMER ISD</t>
    </r>
  </si>
  <si>
    <r>
      <rPr>
        <sz val="11"/>
        <rFont val="Calibri"/>
        <family val="2"/>
      </rPr>
      <t>GLADEWATER ISD</t>
    </r>
  </si>
  <si>
    <r>
      <rPr>
        <sz val="11"/>
        <rFont val="Calibri"/>
        <family val="2"/>
      </rPr>
      <t>GLASSCOCK COUNTY ISD</t>
    </r>
  </si>
  <si>
    <r>
      <rPr>
        <sz val="11"/>
        <rFont val="Calibri"/>
        <family val="2"/>
      </rPr>
      <t>GLEN ROSE ISD</t>
    </r>
  </si>
  <si>
    <r>
      <rPr>
        <sz val="11"/>
        <rFont val="Calibri"/>
        <family val="2"/>
      </rPr>
      <t>GODLEY ISD</t>
    </r>
  </si>
  <si>
    <r>
      <rPr>
        <sz val="11"/>
        <rFont val="Calibri"/>
        <family val="2"/>
      </rPr>
      <t>GOLD BURG ISD</t>
    </r>
  </si>
  <si>
    <r>
      <rPr>
        <sz val="11"/>
        <rFont val="Calibri"/>
        <family val="2"/>
      </rPr>
      <t>GOLDTHWAITE ISD</t>
    </r>
  </si>
  <si>
    <r>
      <rPr>
        <sz val="11"/>
        <rFont val="Calibri"/>
        <family val="2"/>
      </rPr>
      <t>GOLIAD ISD</t>
    </r>
  </si>
  <si>
    <r>
      <rPr>
        <sz val="11"/>
        <rFont val="Calibri"/>
        <family val="2"/>
      </rPr>
      <t>GONZALES ISD</t>
    </r>
  </si>
  <si>
    <r>
      <rPr>
        <sz val="11"/>
        <rFont val="Calibri"/>
        <family val="2"/>
      </rPr>
      <t>GOODRICH ISD</t>
    </r>
  </si>
  <si>
    <r>
      <rPr>
        <sz val="11"/>
        <rFont val="Calibri"/>
        <family val="2"/>
      </rPr>
      <t>GOOSE CREEK CISD</t>
    </r>
  </si>
  <si>
    <r>
      <rPr>
        <sz val="11"/>
        <rFont val="Calibri"/>
        <family val="2"/>
      </rPr>
      <t>GORDON ISD</t>
    </r>
  </si>
  <si>
    <r>
      <rPr>
        <sz val="11"/>
        <rFont val="Calibri"/>
        <family val="2"/>
      </rPr>
      <t>GORMAN ISD</t>
    </r>
  </si>
  <si>
    <r>
      <rPr>
        <sz val="11"/>
        <rFont val="Calibri"/>
        <family val="2"/>
      </rPr>
      <t>GRADY ISD</t>
    </r>
  </si>
  <si>
    <r>
      <rPr>
        <sz val="11"/>
        <rFont val="Calibri"/>
        <family val="2"/>
      </rPr>
      <t>GRAFORD ISD</t>
    </r>
  </si>
  <si>
    <r>
      <rPr>
        <sz val="11"/>
        <rFont val="Calibri"/>
        <family val="2"/>
      </rPr>
      <t>GRAHAM ISD</t>
    </r>
  </si>
  <si>
    <r>
      <rPr>
        <sz val="11"/>
        <rFont val="Calibri"/>
        <family val="2"/>
      </rPr>
      <t>GRANBURY ISD</t>
    </r>
  </si>
  <si>
    <r>
      <rPr>
        <sz val="11"/>
        <rFont val="Calibri"/>
        <family val="2"/>
      </rPr>
      <t>GRAND PRAIRIE ISD</t>
    </r>
  </si>
  <si>
    <r>
      <rPr>
        <sz val="11"/>
        <rFont val="Calibri"/>
        <family val="2"/>
      </rPr>
      <t>GRAND SALINE ISD</t>
    </r>
  </si>
  <si>
    <r>
      <rPr>
        <sz val="11"/>
        <rFont val="Calibri"/>
        <family val="2"/>
      </rPr>
      <t>GRANDFALLS-ROYALTY ISD</t>
    </r>
  </si>
  <si>
    <r>
      <rPr>
        <sz val="11"/>
        <rFont val="Calibri"/>
        <family val="2"/>
      </rPr>
      <t>GRANDVIEW ISD</t>
    </r>
  </si>
  <si>
    <r>
      <rPr>
        <sz val="11"/>
        <rFont val="Calibri"/>
        <family val="2"/>
      </rPr>
      <t>GRANDVIEW-HOPKINS ISD</t>
    </r>
  </si>
  <si>
    <r>
      <rPr>
        <sz val="11"/>
        <rFont val="Calibri"/>
        <family val="2"/>
      </rPr>
      <t>GRANGER ISD</t>
    </r>
  </si>
  <si>
    <r>
      <rPr>
        <sz val="11"/>
        <rFont val="Calibri"/>
        <family val="2"/>
      </rPr>
      <t>GRAPE CREEK ISD</t>
    </r>
  </si>
  <si>
    <r>
      <rPr>
        <sz val="11"/>
        <rFont val="Calibri"/>
        <family val="2"/>
      </rPr>
      <t>GRAPELAND ISD</t>
    </r>
  </si>
  <si>
    <r>
      <rPr>
        <sz val="11"/>
        <rFont val="Calibri"/>
        <family val="2"/>
      </rPr>
      <t>GRAPEVINE-COLLEYVILLE ISD</t>
    </r>
  </si>
  <si>
    <r>
      <rPr>
        <sz val="11"/>
        <rFont val="Calibri"/>
        <family val="2"/>
      </rPr>
      <t>GREENVILLE ISD</t>
    </r>
  </si>
  <si>
    <r>
      <rPr>
        <sz val="11"/>
        <rFont val="Calibri"/>
        <family val="2"/>
      </rPr>
      <t>GREENWOOD ISD</t>
    </r>
  </si>
  <si>
    <r>
      <rPr>
        <sz val="11"/>
        <rFont val="Calibri"/>
        <family val="2"/>
      </rPr>
      <t>GREGORY-PORTLAND ISD</t>
    </r>
  </si>
  <si>
    <r>
      <rPr>
        <sz val="11"/>
        <rFont val="Calibri"/>
        <family val="2"/>
      </rPr>
      <t>GROESBECK ISD</t>
    </r>
  </si>
  <si>
    <r>
      <rPr>
        <sz val="11"/>
        <rFont val="Calibri"/>
        <family val="2"/>
      </rPr>
      <t>GROOM ISD</t>
    </r>
  </si>
  <si>
    <r>
      <rPr>
        <sz val="11"/>
        <rFont val="Calibri"/>
        <family val="2"/>
      </rPr>
      <t>GROVETON ISD</t>
    </r>
  </si>
  <si>
    <r>
      <rPr>
        <sz val="11"/>
        <rFont val="Calibri"/>
        <family val="2"/>
      </rPr>
      <t>GRUVER ISD</t>
    </r>
  </si>
  <si>
    <r>
      <rPr>
        <sz val="11"/>
        <rFont val="Calibri"/>
        <family val="2"/>
      </rPr>
      <t>GUNTER ISD</t>
    </r>
  </si>
  <si>
    <r>
      <rPr>
        <sz val="11"/>
        <rFont val="Calibri"/>
        <family val="2"/>
      </rPr>
      <t>GUSTINE ISD</t>
    </r>
  </si>
  <si>
    <r>
      <rPr>
        <sz val="11"/>
        <rFont val="Calibri"/>
        <family val="2"/>
      </rPr>
      <t>GUTHRIE CSD</t>
    </r>
  </si>
  <si>
    <r>
      <rPr>
        <sz val="11"/>
        <rFont val="Calibri"/>
        <family val="2"/>
      </rPr>
      <t>HALE CENTER ISD</t>
    </r>
  </si>
  <si>
    <r>
      <rPr>
        <sz val="11"/>
        <rFont val="Calibri"/>
        <family val="2"/>
      </rPr>
      <t>HALLETTSVILLE ISD</t>
    </r>
  </si>
  <si>
    <r>
      <rPr>
        <sz val="11"/>
        <rFont val="Calibri"/>
        <family val="2"/>
      </rPr>
      <t>HALLSBURG ISD</t>
    </r>
  </si>
  <si>
    <r>
      <rPr>
        <sz val="11"/>
        <rFont val="Calibri"/>
        <family val="2"/>
      </rPr>
      <t>HALLSVILLE ISD</t>
    </r>
  </si>
  <si>
    <r>
      <rPr>
        <sz val="11"/>
        <rFont val="Calibri"/>
        <family val="2"/>
      </rPr>
      <t>HAMILTON ISD</t>
    </r>
  </si>
  <si>
    <r>
      <rPr>
        <sz val="11"/>
        <rFont val="Calibri"/>
        <family val="2"/>
      </rPr>
      <t>HAMLIN ISD</t>
    </r>
  </si>
  <si>
    <r>
      <rPr>
        <sz val="11"/>
        <rFont val="Calibri"/>
        <family val="2"/>
      </rPr>
      <t>HAMSHIRE-FANNETT ISD</t>
    </r>
  </si>
  <si>
    <r>
      <rPr>
        <sz val="11"/>
        <rFont val="Calibri"/>
        <family val="2"/>
      </rPr>
      <t>HAPPY ISD</t>
    </r>
  </si>
  <si>
    <r>
      <rPr>
        <sz val="11"/>
        <rFont val="Calibri"/>
        <family val="2"/>
      </rPr>
      <t>HARDIN ISD</t>
    </r>
  </si>
  <si>
    <r>
      <rPr>
        <sz val="11"/>
        <rFont val="Calibri"/>
        <family val="2"/>
      </rPr>
      <t>HARDIN-JEFFERSON ISD</t>
    </r>
  </si>
  <si>
    <r>
      <rPr>
        <sz val="11"/>
        <rFont val="Calibri"/>
        <family val="2"/>
      </rPr>
      <t>HARLANDALE ISD</t>
    </r>
  </si>
  <si>
    <r>
      <rPr>
        <sz val="11"/>
        <rFont val="Calibri"/>
        <family val="2"/>
      </rPr>
      <t>HARLETON ISD</t>
    </r>
  </si>
  <si>
    <r>
      <rPr>
        <sz val="11"/>
        <rFont val="Calibri"/>
        <family val="2"/>
      </rPr>
      <t>HARLINGEN CISD</t>
    </r>
  </si>
  <si>
    <r>
      <rPr>
        <sz val="11"/>
        <rFont val="Calibri"/>
        <family val="2"/>
      </rPr>
      <t>HARMONY ISD</t>
    </r>
  </si>
  <si>
    <r>
      <rPr>
        <sz val="11"/>
        <rFont val="Calibri"/>
        <family val="2"/>
      </rPr>
      <t>HARPER ISD</t>
    </r>
  </si>
  <si>
    <r>
      <rPr>
        <sz val="11"/>
        <rFont val="Calibri"/>
        <family val="2"/>
      </rPr>
      <t>HARROLD ISD</t>
    </r>
  </si>
  <si>
    <r>
      <rPr>
        <sz val="11"/>
        <rFont val="Calibri"/>
        <family val="2"/>
      </rPr>
      <t>HART ISD</t>
    </r>
  </si>
  <si>
    <r>
      <rPr>
        <sz val="11"/>
        <rFont val="Calibri"/>
        <family val="2"/>
      </rPr>
      <t>HARTLEY ISD</t>
    </r>
  </si>
  <si>
    <r>
      <rPr>
        <sz val="11"/>
        <rFont val="Calibri"/>
        <family val="2"/>
      </rPr>
      <t>HARTS BLUFF ISD</t>
    </r>
  </si>
  <si>
    <r>
      <rPr>
        <sz val="11"/>
        <rFont val="Calibri"/>
        <family val="2"/>
      </rPr>
      <t>HASKELL CISD</t>
    </r>
  </si>
  <si>
    <r>
      <rPr>
        <sz val="11"/>
        <rFont val="Calibri"/>
        <family val="2"/>
      </rPr>
      <t>HAWKINS ISD</t>
    </r>
  </si>
  <si>
    <r>
      <rPr>
        <sz val="11"/>
        <rFont val="Calibri"/>
        <family val="2"/>
      </rPr>
      <t>HAWLEY ISD</t>
    </r>
  </si>
  <si>
    <r>
      <rPr>
        <sz val="11"/>
        <rFont val="Calibri"/>
        <family val="2"/>
      </rPr>
      <t>HAYS CISD</t>
    </r>
  </si>
  <si>
    <r>
      <rPr>
        <sz val="11"/>
        <rFont val="Calibri"/>
        <family val="2"/>
      </rPr>
      <t>HEARNE ISD</t>
    </r>
  </si>
  <si>
    <r>
      <rPr>
        <sz val="11"/>
        <rFont val="Calibri"/>
        <family val="2"/>
      </rPr>
      <t>HEDLEY ISD</t>
    </r>
  </si>
  <si>
    <r>
      <rPr>
        <sz val="11"/>
        <rFont val="Calibri"/>
        <family val="2"/>
      </rPr>
      <t>HEMPHILL ISD</t>
    </r>
  </si>
  <si>
    <r>
      <rPr>
        <sz val="11"/>
        <rFont val="Calibri"/>
        <family val="2"/>
      </rPr>
      <t>HEMPSTEAD ISD</t>
    </r>
  </si>
  <si>
    <r>
      <rPr>
        <sz val="11"/>
        <rFont val="Calibri"/>
        <family val="2"/>
      </rPr>
      <t>HENDERSON ISD</t>
    </r>
  </si>
  <si>
    <r>
      <rPr>
        <sz val="11"/>
        <rFont val="Calibri"/>
        <family val="2"/>
      </rPr>
      <t>HENRIETTA ISD</t>
    </r>
  </si>
  <si>
    <r>
      <rPr>
        <sz val="11"/>
        <rFont val="Calibri"/>
        <family val="2"/>
      </rPr>
      <t>HEREFORD ISD</t>
    </r>
  </si>
  <si>
    <r>
      <rPr>
        <sz val="11"/>
        <rFont val="Calibri"/>
        <family val="2"/>
      </rPr>
      <t>HERMLEIGH ISD</t>
    </r>
  </si>
  <si>
    <r>
      <rPr>
        <sz val="11"/>
        <rFont val="Calibri"/>
        <family val="2"/>
      </rPr>
      <t>HICO ISD</t>
    </r>
  </si>
  <si>
    <r>
      <rPr>
        <sz val="11"/>
        <rFont val="Calibri"/>
        <family val="2"/>
      </rPr>
      <t>HIDALGO ISD</t>
    </r>
  </si>
  <si>
    <r>
      <rPr>
        <sz val="11"/>
        <rFont val="Calibri"/>
        <family val="2"/>
      </rPr>
      <t>HIGH ISLAND ISD</t>
    </r>
  </si>
  <si>
    <r>
      <rPr>
        <sz val="11"/>
        <rFont val="Calibri"/>
        <family val="2"/>
      </rPr>
      <t>HIGHLAND ISD</t>
    </r>
  </si>
  <si>
    <r>
      <rPr>
        <sz val="11"/>
        <rFont val="Calibri"/>
        <family val="2"/>
      </rPr>
      <t>HIGHLAND PARK ISD</t>
    </r>
  </si>
  <si>
    <r>
      <rPr>
        <sz val="11"/>
        <rFont val="Calibri"/>
        <family val="2"/>
      </rPr>
      <t>HILLSBORO ISD</t>
    </r>
  </si>
  <si>
    <r>
      <rPr>
        <sz val="11"/>
        <rFont val="Calibri"/>
        <family val="2"/>
      </rPr>
      <t>HITCHCOCK ISD</t>
    </r>
  </si>
  <si>
    <r>
      <rPr>
        <sz val="11"/>
        <rFont val="Calibri"/>
        <family val="2"/>
      </rPr>
      <t>HOLLAND ISD</t>
    </r>
  </si>
  <si>
    <r>
      <rPr>
        <sz val="11"/>
        <rFont val="Calibri"/>
        <family val="2"/>
      </rPr>
      <t>HOLLIDAY ISD</t>
    </r>
  </si>
  <si>
    <r>
      <rPr>
        <sz val="11"/>
        <rFont val="Calibri"/>
        <family val="2"/>
      </rPr>
      <t>HONDO ISD</t>
    </r>
  </si>
  <si>
    <r>
      <rPr>
        <sz val="11"/>
        <rFont val="Calibri"/>
        <family val="2"/>
      </rPr>
      <t>HONEY GROVE ISD</t>
    </r>
  </si>
  <si>
    <r>
      <rPr>
        <sz val="11"/>
        <rFont val="Calibri"/>
        <family val="2"/>
      </rPr>
      <t>HOOKS ISD</t>
    </r>
  </si>
  <si>
    <r>
      <rPr>
        <sz val="11"/>
        <rFont val="Calibri"/>
        <family val="2"/>
      </rPr>
      <t>HOUSTON ISD</t>
    </r>
  </si>
  <si>
    <r>
      <rPr>
        <sz val="11"/>
        <rFont val="Calibri"/>
        <family val="2"/>
      </rPr>
      <t>HOWE ISD</t>
    </r>
  </si>
  <si>
    <r>
      <rPr>
        <sz val="11"/>
        <rFont val="Calibri"/>
        <family val="2"/>
      </rPr>
      <t>HUBBARD ISD</t>
    </r>
  </si>
  <si>
    <r>
      <rPr>
        <sz val="11"/>
        <rFont val="Calibri"/>
        <family val="2"/>
      </rPr>
      <t>HUCKABAY ISD</t>
    </r>
  </si>
  <si>
    <r>
      <rPr>
        <sz val="11"/>
        <rFont val="Calibri"/>
        <family val="2"/>
      </rPr>
      <t>HUDSON ISD</t>
    </r>
  </si>
  <si>
    <r>
      <rPr>
        <sz val="11"/>
        <rFont val="Calibri"/>
        <family val="2"/>
      </rPr>
      <t>HUFFMAN ISD</t>
    </r>
  </si>
  <si>
    <r>
      <rPr>
        <sz val="11"/>
        <rFont val="Calibri"/>
        <family val="2"/>
      </rPr>
      <t>HUGHES SPRINGS ISD</t>
    </r>
  </si>
  <si>
    <r>
      <rPr>
        <sz val="11"/>
        <rFont val="Calibri"/>
        <family val="2"/>
      </rPr>
      <t>HULL-DAISETTA ISD</t>
    </r>
  </si>
  <si>
    <r>
      <rPr>
        <sz val="11"/>
        <rFont val="Calibri"/>
        <family val="2"/>
      </rPr>
      <t>HUMBLE ISD</t>
    </r>
  </si>
  <si>
    <r>
      <rPr>
        <sz val="11"/>
        <rFont val="Calibri"/>
        <family val="2"/>
      </rPr>
      <t>HUNT ISD</t>
    </r>
  </si>
  <si>
    <r>
      <rPr>
        <sz val="11"/>
        <rFont val="Calibri"/>
        <family val="2"/>
      </rPr>
      <t>HUNTINGTON ISD</t>
    </r>
  </si>
  <si>
    <r>
      <rPr>
        <sz val="11"/>
        <rFont val="Calibri"/>
        <family val="2"/>
      </rPr>
      <t>HUNTSVILLE ISD</t>
    </r>
  </si>
  <si>
    <r>
      <rPr>
        <sz val="11"/>
        <rFont val="Calibri"/>
        <family val="2"/>
      </rPr>
      <t>HURST-EULESS-BEDFORD ISD</t>
    </r>
  </si>
  <si>
    <r>
      <rPr>
        <sz val="11"/>
        <rFont val="Calibri"/>
        <family val="2"/>
      </rPr>
      <t>HUTTO ISD</t>
    </r>
  </si>
  <si>
    <r>
      <rPr>
        <sz val="11"/>
        <rFont val="Calibri"/>
        <family val="2"/>
      </rPr>
      <t>IDALOU ISD</t>
    </r>
  </si>
  <si>
    <r>
      <rPr>
        <sz val="11"/>
        <rFont val="Calibri"/>
        <family val="2"/>
      </rPr>
      <t>INDUSTRIAL ISD</t>
    </r>
  </si>
  <si>
    <r>
      <rPr>
        <sz val="11"/>
        <rFont val="Calibri"/>
        <family val="2"/>
      </rPr>
      <t>INGLESIDE ISD</t>
    </r>
  </si>
  <si>
    <r>
      <rPr>
        <sz val="11"/>
        <rFont val="Calibri"/>
        <family val="2"/>
      </rPr>
      <t>INGRAM ISD</t>
    </r>
  </si>
  <si>
    <r>
      <rPr>
        <sz val="11"/>
        <rFont val="Calibri"/>
        <family val="2"/>
      </rPr>
      <t>IOLA ISD</t>
    </r>
  </si>
  <si>
    <r>
      <rPr>
        <sz val="11"/>
        <rFont val="Calibri"/>
        <family val="2"/>
      </rPr>
      <t>IOWA PARK CISD</t>
    </r>
  </si>
  <si>
    <r>
      <rPr>
        <sz val="11"/>
        <rFont val="Calibri"/>
        <family val="2"/>
      </rPr>
      <t>IRA ISD</t>
    </r>
  </si>
  <si>
    <r>
      <rPr>
        <sz val="11"/>
        <rFont val="Calibri"/>
        <family val="2"/>
      </rPr>
      <t>IRAAN-SHEFFIELD ISD</t>
    </r>
  </si>
  <si>
    <r>
      <rPr>
        <sz val="11"/>
        <rFont val="Calibri"/>
        <family val="2"/>
      </rPr>
      <t>IREDELL ISD</t>
    </r>
  </si>
  <si>
    <r>
      <rPr>
        <sz val="11"/>
        <rFont val="Calibri"/>
        <family val="2"/>
      </rPr>
      <t>IRION COUNTY ISD</t>
    </r>
  </si>
  <si>
    <r>
      <rPr>
        <sz val="11"/>
        <rFont val="Calibri"/>
        <family val="2"/>
      </rPr>
      <t>IRVING ISD</t>
    </r>
  </si>
  <si>
    <r>
      <rPr>
        <sz val="11"/>
        <rFont val="Calibri"/>
        <family val="2"/>
      </rPr>
      <t>ITALY ISD</t>
    </r>
  </si>
  <si>
    <r>
      <rPr>
        <sz val="11"/>
        <rFont val="Calibri"/>
        <family val="2"/>
      </rPr>
      <t>ITASCA ISD</t>
    </r>
  </si>
  <si>
    <r>
      <rPr>
        <sz val="11"/>
        <rFont val="Calibri"/>
        <family val="2"/>
      </rPr>
      <t>JACKSBORO ISD</t>
    </r>
  </si>
  <si>
    <r>
      <rPr>
        <sz val="11"/>
        <rFont val="Calibri"/>
        <family val="2"/>
      </rPr>
      <t>JACKSONVILLE ISD</t>
    </r>
  </si>
  <si>
    <r>
      <rPr>
        <sz val="11"/>
        <rFont val="Calibri"/>
        <family val="2"/>
      </rPr>
      <t>JARRELL ISD</t>
    </r>
  </si>
  <si>
    <r>
      <rPr>
        <sz val="11"/>
        <rFont val="Calibri"/>
        <family val="2"/>
      </rPr>
      <t>JASPER ISD</t>
    </r>
  </si>
  <si>
    <r>
      <rPr>
        <sz val="11"/>
        <rFont val="Calibri"/>
        <family val="2"/>
      </rPr>
      <t>JAYTON-GIRARD ISD</t>
    </r>
  </si>
  <si>
    <r>
      <rPr>
        <sz val="11"/>
        <rFont val="Calibri"/>
        <family val="2"/>
      </rPr>
      <t>JEFFERSON ISD</t>
    </r>
  </si>
  <si>
    <r>
      <rPr>
        <sz val="11"/>
        <rFont val="Calibri"/>
        <family val="2"/>
      </rPr>
      <t>JIM HOGG COUNTY ISD</t>
    </r>
  </si>
  <si>
    <r>
      <rPr>
        <sz val="11"/>
        <rFont val="Calibri"/>
        <family val="2"/>
      </rPr>
      <t>JIM NED CISD</t>
    </r>
  </si>
  <si>
    <r>
      <rPr>
        <sz val="11"/>
        <rFont val="Calibri"/>
        <family val="2"/>
      </rPr>
      <t>JOAQUIN ISD</t>
    </r>
  </si>
  <si>
    <r>
      <rPr>
        <sz val="11"/>
        <rFont val="Calibri"/>
        <family val="2"/>
      </rPr>
      <t>JOHNSON CITY ISD</t>
    </r>
  </si>
  <si>
    <r>
      <rPr>
        <sz val="11"/>
        <rFont val="Calibri"/>
        <family val="2"/>
      </rPr>
      <t>JONESBORO ISD</t>
    </r>
  </si>
  <si>
    <r>
      <rPr>
        <sz val="11"/>
        <rFont val="Calibri"/>
        <family val="2"/>
      </rPr>
      <t>JOSHUA ISD</t>
    </r>
  </si>
  <si>
    <r>
      <rPr>
        <sz val="11"/>
        <rFont val="Calibri"/>
        <family val="2"/>
      </rPr>
      <t>JOURDANTON ISD</t>
    </r>
  </si>
  <si>
    <r>
      <rPr>
        <sz val="11"/>
        <rFont val="Calibri"/>
        <family val="2"/>
      </rPr>
      <t>JUDSON ISD</t>
    </r>
  </si>
  <si>
    <r>
      <rPr>
        <sz val="11"/>
        <rFont val="Calibri"/>
        <family val="2"/>
      </rPr>
      <t>JUNCTION ISD</t>
    </r>
  </si>
  <si>
    <r>
      <rPr>
        <sz val="11"/>
        <rFont val="Calibri"/>
        <family val="2"/>
      </rPr>
      <t>KARNACK ISD</t>
    </r>
  </si>
  <si>
    <r>
      <rPr>
        <sz val="11"/>
        <rFont val="Calibri"/>
        <family val="2"/>
      </rPr>
      <t>KARNES CITY ISD</t>
    </r>
  </si>
  <si>
    <r>
      <rPr>
        <sz val="11"/>
        <rFont val="Calibri"/>
        <family val="2"/>
      </rPr>
      <t>KATY ISD</t>
    </r>
  </si>
  <si>
    <r>
      <rPr>
        <sz val="11"/>
        <rFont val="Calibri"/>
        <family val="2"/>
      </rPr>
      <t>KAUFMAN ISD</t>
    </r>
  </si>
  <si>
    <r>
      <rPr>
        <sz val="11"/>
        <rFont val="Calibri"/>
        <family val="2"/>
      </rPr>
      <t>KEENE ISD</t>
    </r>
  </si>
  <si>
    <r>
      <rPr>
        <sz val="11"/>
        <rFont val="Calibri"/>
        <family val="2"/>
      </rPr>
      <t>KELLER ISD</t>
    </r>
  </si>
  <si>
    <r>
      <rPr>
        <sz val="11"/>
        <rFont val="Calibri"/>
        <family val="2"/>
      </rPr>
      <t>KELTON ISD</t>
    </r>
  </si>
  <si>
    <r>
      <rPr>
        <sz val="11"/>
        <rFont val="Calibri"/>
        <family val="2"/>
      </rPr>
      <t>KEMP ISD</t>
    </r>
  </si>
  <si>
    <r>
      <rPr>
        <sz val="11"/>
        <rFont val="Calibri"/>
        <family val="2"/>
      </rPr>
      <t>KENEDY COUNTY WIDE CSD</t>
    </r>
  </si>
  <si>
    <r>
      <rPr>
        <sz val="11"/>
        <rFont val="Calibri"/>
        <family val="2"/>
      </rPr>
      <t>KENEDY ISD</t>
    </r>
  </si>
  <si>
    <r>
      <rPr>
        <sz val="11"/>
        <rFont val="Calibri"/>
        <family val="2"/>
      </rPr>
      <t>KENNARD ISD</t>
    </r>
  </si>
  <si>
    <r>
      <rPr>
        <sz val="11"/>
        <rFont val="Calibri"/>
        <family val="2"/>
      </rPr>
      <t>KENNEDALE ISD</t>
    </r>
  </si>
  <si>
    <r>
      <rPr>
        <sz val="11"/>
        <rFont val="Calibri"/>
        <family val="2"/>
      </rPr>
      <t>KERENS ISD</t>
    </r>
  </si>
  <si>
    <r>
      <rPr>
        <sz val="11"/>
        <rFont val="Calibri"/>
        <family val="2"/>
      </rPr>
      <t>KERMIT ISD</t>
    </r>
  </si>
  <si>
    <r>
      <rPr>
        <sz val="11"/>
        <rFont val="Calibri"/>
        <family val="2"/>
      </rPr>
      <t>KERRVILLE ISD</t>
    </r>
  </si>
  <si>
    <r>
      <rPr>
        <sz val="11"/>
        <rFont val="Calibri"/>
        <family val="2"/>
      </rPr>
      <t>KILGORE ISD</t>
    </r>
  </si>
  <si>
    <r>
      <rPr>
        <sz val="11"/>
        <rFont val="Calibri"/>
        <family val="2"/>
      </rPr>
      <t>KILLEEN ISD</t>
    </r>
  </si>
  <si>
    <r>
      <rPr>
        <sz val="11"/>
        <rFont val="Calibri"/>
        <family val="2"/>
      </rPr>
      <t>KINGSVILLE ISD</t>
    </r>
  </si>
  <si>
    <r>
      <rPr>
        <sz val="11"/>
        <rFont val="Calibri"/>
        <family val="2"/>
      </rPr>
      <t>KIRBYVILLE CISD</t>
    </r>
  </si>
  <si>
    <r>
      <rPr>
        <sz val="11"/>
        <rFont val="Calibri"/>
        <family val="2"/>
      </rPr>
      <t>KLEIN ISD</t>
    </r>
  </si>
  <si>
    <r>
      <rPr>
        <sz val="11"/>
        <rFont val="Calibri"/>
        <family val="2"/>
      </rPr>
      <t>KLONDIKE ISD</t>
    </r>
  </si>
  <si>
    <r>
      <rPr>
        <sz val="11"/>
        <rFont val="Calibri"/>
        <family val="2"/>
      </rPr>
      <t>KNIPPA ISD</t>
    </r>
  </si>
  <si>
    <r>
      <rPr>
        <sz val="11"/>
        <rFont val="Calibri"/>
        <family val="2"/>
      </rPr>
      <t>KNOX CITY-O'BRIEN CISD</t>
    </r>
  </si>
  <si>
    <r>
      <rPr>
        <sz val="11"/>
        <rFont val="Calibri"/>
        <family val="2"/>
      </rPr>
      <t>KOPPERL ISD</t>
    </r>
  </si>
  <si>
    <r>
      <rPr>
        <sz val="11"/>
        <rFont val="Calibri"/>
        <family val="2"/>
      </rPr>
      <t>KOUNTZE ISD</t>
    </r>
  </si>
  <si>
    <r>
      <rPr>
        <sz val="11"/>
        <rFont val="Calibri"/>
        <family val="2"/>
      </rPr>
      <t>KRESS ISD</t>
    </r>
  </si>
  <si>
    <r>
      <rPr>
        <sz val="11"/>
        <rFont val="Calibri"/>
        <family val="2"/>
      </rPr>
      <t>KRUM ISD</t>
    </r>
  </si>
  <si>
    <r>
      <rPr>
        <sz val="11"/>
        <rFont val="Calibri"/>
        <family val="2"/>
      </rPr>
      <t>LA FERIA ISD</t>
    </r>
  </si>
  <si>
    <r>
      <rPr>
        <sz val="11"/>
        <rFont val="Calibri"/>
        <family val="2"/>
      </rPr>
      <t>LA GLORIA ISD</t>
    </r>
  </si>
  <si>
    <r>
      <rPr>
        <sz val="11"/>
        <rFont val="Calibri"/>
        <family val="2"/>
      </rPr>
      <t>LA GRANGE ISD</t>
    </r>
  </si>
  <si>
    <r>
      <rPr>
        <sz val="11"/>
        <rFont val="Calibri"/>
        <family val="2"/>
      </rPr>
      <t>LA JOYA ISD</t>
    </r>
  </si>
  <si>
    <r>
      <rPr>
        <sz val="11"/>
        <rFont val="Calibri"/>
        <family val="2"/>
      </rPr>
      <t>LA PORTE ISD</t>
    </r>
  </si>
  <si>
    <r>
      <rPr>
        <sz val="11"/>
        <rFont val="Calibri"/>
        <family val="2"/>
      </rPr>
      <t>LA PRYOR ISD</t>
    </r>
  </si>
  <si>
    <r>
      <rPr>
        <sz val="11"/>
        <rFont val="Calibri"/>
        <family val="2"/>
      </rPr>
      <t>LA VEGA ISD</t>
    </r>
  </si>
  <si>
    <r>
      <rPr>
        <sz val="11"/>
        <rFont val="Calibri"/>
        <family val="2"/>
      </rPr>
      <t>LA VERNIA ISD</t>
    </r>
  </si>
  <si>
    <r>
      <rPr>
        <sz val="11"/>
        <rFont val="Calibri"/>
        <family val="2"/>
      </rPr>
      <t>LA VILLA ISD</t>
    </r>
  </si>
  <si>
    <r>
      <rPr>
        <sz val="11"/>
        <rFont val="Calibri"/>
        <family val="2"/>
      </rPr>
      <t>LAGO VISTA ISD</t>
    </r>
  </si>
  <si>
    <r>
      <rPr>
        <sz val="11"/>
        <rFont val="Calibri"/>
        <family val="2"/>
      </rPr>
      <t>LAKE DALLAS ISD</t>
    </r>
  </si>
  <si>
    <r>
      <rPr>
        <sz val="11"/>
        <rFont val="Calibri"/>
        <family val="2"/>
      </rPr>
      <t>LAKE TRAVIS ISD</t>
    </r>
  </si>
  <si>
    <r>
      <rPr>
        <sz val="11"/>
        <rFont val="Calibri"/>
        <family val="2"/>
      </rPr>
      <t>LAKE WORTH ISD</t>
    </r>
  </si>
  <si>
    <r>
      <rPr>
        <sz val="11"/>
        <rFont val="Calibri"/>
        <family val="2"/>
      </rPr>
      <t>LAMAR CISD</t>
    </r>
  </si>
  <si>
    <r>
      <rPr>
        <sz val="11"/>
        <rFont val="Calibri"/>
        <family val="2"/>
      </rPr>
      <t>LAMESA ISD</t>
    </r>
  </si>
  <si>
    <r>
      <rPr>
        <sz val="11"/>
        <rFont val="Calibri"/>
        <family val="2"/>
      </rPr>
      <t>LAMPASAS ISD</t>
    </r>
  </si>
  <si>
    <r>
      <rPr>
        <sz val="11"/>
        <rFont val="Calibri"/>
        <family val="2"/>
      </rPr>
      <t>LANCASTER ISD</t>
    </r>
  </si>
  <si>
    <r>
      <rPr>
        <sz val="11"/>
        <rFont val="Calibri"/>
        <family val="2"/>
      </rPr>
      <t>LANEVILLE ISD</t>
    </r>
  </si>
  <si>
    <r>
      <rPr>
        <sz val="11"/>
        <rFont val="Calibri"/>
        <family val="2"/>
      </rPr>
      <t>LAPOYNOR ISD</t>
    </r>
  </si>
  <si>
    <r>
      <rPr>
        <sz val="11"/>
        <rFont val="Calibri"/>
        <family val="2"/>
      </rPr>
      <t>LAREDO ISD</t>
    </r>
  </si>
  <si>
    <r>
      <rPr>
        <sz val="11"/>
        <rFont val="Calibri"/>
        <family val="2"/>
      </rPr>
      <t>LASARA ISD</t>
    </r>
  </si>
  <si>
    <r>
      <rPr>
        <sz val="11"/>
        <rFont val="Calibri"/>
        <family val="2"/>
      </rPr>
      <t>LATEXO ISD</t>
    </r>
  </si>
  <si>
    <r>
      <rPr>
        <sz val="11"/>
        <rFont val="Calibri"/>
        <family val="2"/>
      </rPr>
      <t>LAZBUDDIE ISD</t>
    </r>
  </si>
  <si>
    <r>
      <rPr>
        <sz val="11"/>
        <rFont val="Calibri"/>
        <family val="2"/>
      </rPr>
      <t>LEAKEY ISD</t>
    </r>
  </si>
  <si>
    <r>
      <rPr>
        <sz val="11"/>
        <rFont val="Calibri"/>
        <family val="2"/>
      </rPr>
      <t>LEANDER ISD</t>
    </r>
  </si>
  <si>
    <r>
      <rPr>
        <sz val="11"/>
        <rFont val="Calibri"/>
        <family val="2"/>
      </rPr>
      <t>LEARY ISD</t>
    </r>
  </si>
  <si>
    <r>
      <rPr>
        <sz val="11"/>
        <rFont val="Calibri"/>
        <family val="2"/>
      </rPr>
      <t>LEFORS ISD</t>
    </r>
  </si>
  <si>
    <r>
      <rPr>
        <sz val="11"/>
        <rFont val="Calibri"/>
        <family val="2"/>
      </rPr>
      <t>LEGGETT ISD</t>
    </r>
  </si>
  <si>
    <r>
      <rPr>
        <sz val="11"/>
        <rFont val="Calibri"/>
        <family val="2"/>
      </rPr>
      <t>LEON ISD</t>
    </r>
  </si>
  <si>
    <r>
      <rPr>
        <sz val="11"/>
        <rFont val="Calibri"/>
        <family val="2"/>
      </rPr>
      <t>LEONARD ISD</t>
    </r>
  </si>
  <si>
    <r>
      <rPr>
        <sz val="11"/>
        <rFont val="Calibri"/>
        <family val="2"/>
      </rPr>
      <t>LEVELLAND ISD</t>
    </r>
  </si>
  <si>
    <r>
      <rPr>
        <sz val="11"/>
        <rFont val="Calibri"/>
        <family val="2"/>
      </rPr>
      <t>LEVERETTS CHAPEL ISD</t>
    </r>
  </si>
  <si>
    <r>
      <rPr>
        <sz val="11"/>
        <rFont val="Calibri"/>
        <family val="2"/>
      </rPr>
      <t>LEWISVILLE ISD</t>
    </r>
  </si>
  <si>
    <r>
      <rPr>
        <sz val="11"/>
        <rFont val="Calibri"/>
        <family val="2"/>
      </rPr>
      <t>LEXINGTON ISD</t>
    </r>
  </si>
  <si>
    <r>
      <rPr>
        <sz val="11"/>
        <rFont val="Calibri"/>
        <family val="2"/>
      </rPr>
      <t>LIBERTY HILL ISD</t>
    </r>
  </si>
  <si>
    <r>
      <rPr>
        <sz val="11"/>
        <rFont val="Calibri"/>
        <family val="2"/>
      </rPr>
      <t>LIBERTY ISD</t>
    </r>
  </si>
  <si>
    <r>
      <rPr>
        <sz val="11"/>
        <rFont val="Calibri"/>
        <family val="2"/>
      </rPr>
      <t>LIBERTY-EYLAU ISD</t>
    </r>
  </si>
  <si>
    <r>
      <rPr>
        <sz val="11"/>
        <rFont val="Calibri"/>
        <family val="2"/>
      </rPr>
      <t>LINDALE ISD</t>
    </r>
  </si>
  <si>
    <r>
      <rPr>
        <sz val="11"/>
        <rFont val="Calibri"/>
        <family val="2"/>
      </rPr>
      <t>LINDEN-KILDARE CISD</t>
    </r>
  </si>
  <si>
    <r>
      <rPr>
        <sz val="11"/>
        <rFont val="Calibri"/>
        <family val="2"/>
      </rPr>
      <t>LINDSAY ISD</t>
    </r>
  </si>
  <si>
    <r>
      <rPr>
        <sz val="11"/>
        <rFont val="Calibri"/>
        <family val="2"/>
      </rPr>
      <t>LINGLEVILLE ISD</t>
    </r>
  </si>
  <si>
    <r>
      <rPr>
        <sz val="11"/>
        <rFont val="Calibri"/>
        <family val="2"/>
      </rPr>
      <t>LIPAN ISD</t>
    </r>
  </si>
  <si>
    <r>
      <rPr>
        <sz val="11"/>
        <rFont val="Calibri"/>
        <family val="2"/>
      </rPr>
      <t>LITTLE CYPRESS-MAURICEVILLE CISD</t>
    </r>
  </si>
  <si>
    <r>
      <rPr>
        <sz val="11"/>
        <rFont val="Calibri"/>
        <family val="2"/>
      </rPr>
      <t>LITTLE ELM ISD</t>
    </r>
  </si>
  <si>
    <r>
      <rPr>
        <sz val="11"/>
        <rFont val="Calibri"/>
        <family val="2"/>
      </rPr>
      <t>LITTLEFIELD ISD</t>
    </r>
  </si>
  <si>
    <r>
      <rPr>
        <sz val="11"/>
        <rFont val="Calibri"/>
        <family val="2"/>
      </rPr>
      <t>LIVINGSTON ISD</t>
    </r>
  </si>
  <si>
    <r>
      <rPr>
        <sz val="11"/>
        <rFont val="Calibri"/>
        <family val="2"/>
      </rPr>
      <t>LLANO ISD</t>
    </r>
  </si>
  <si>
    <r>
      <rPr>
        <sz val="11"/>
        <rFont val="Calibri"/>
        <family val="2"/>
      </rPr>
      <t>LOCKHART ISD</t>
    </r>
  </si>
  <si>
    <r>
      <rPr>
        <sz val="11"/>
        <rFont val="Calibri"/>
        <family val="2"/>
      </rPr>
      <t>LOCKNEY ISD</t>
    </r>
  </si>
  <si>
    <r>
      <rPr>
        <sz val="11"/>
        <rFont val="Calibri"/>
        <family val="2"/>
      </rPr>
      <t>LOHN ISD</t>
    </r>
  </si>
  <si>
    <r>
      <rPr>
        <sz val="11"/>
        <rFont val="Calibri"/>
        <family val="2"/>
      </rPr>
      <t>LOMETA ISD</t>
    </r>
  </si>
  <si>
    <r>
      <rPr>
        <sz val="11"/>
        <rFont val="Calibri"/>
        <family val="2"/>
      </rPr>
      <t>LONDON ISD</t>
    </r>
  </si>
  <si>
    <r>
      <rPr>
        <sz val="11"/>
        <rFont val="Calibri"/>
        <family val="2"/>
      </rPr>
      <t>LONE OAK ISD</t>
    </r>
  </si>
  <si>
    <r>
      <rPr>
        <sz val="11"/>
        <rFont val="Calibri"/>
        <family val="2"/>
      </rPr>
      <t>LONGVIEW ISD</t>
    </r>
  </si>
  <si>
    <r>
      <rPr>
        <sz val="11"/>
        <rFont val="Calibri"/>
        <family val="2"/>
      </rPr>
      <t>LOOP ISD</t>
    </r>
  </si>
  <si>
    <r>
      <rPr>
        <sz val="11"/>
        <rFont val="Calibri"/>
        <family val="2"/>
      </rPr>
      <t>LORAINE ISD</t>
    </r>
  </si>
  <si>
    <r>
      <rPr>
        <sz val="11"/>
        <rFont val="Calibri"/>
        <family val="2"/>
      </rPr>
      <t>LORENA ISD</t>
    </r>
  </si>
  <si>
    <r>
      <rPr>
        <sz val="11"/>
        <rFont val="Calibri"/>
        <family val="2"/>
      </rPr>
      <t>LORENZO ISD</t>
    </r>
  </si>
  <si>
    <r>
      <rPr>
        <sz val="11"/>
        <rFont val="Calibri"/>
        <family val="2"/>
      </rPr>
      <t>LOS FRESNOS CISD</t>
    </r>
  </si>
  <si>
    <r>
      <rPr>
        <sz val="11"/>
        <rFont val="Calibri"/>
        <family val="2"/>
      </rPr>
      <t>LOUISE ISD</t>
    </r>
  </si>
  <si>
    <r>
      <rPr>
        <sz val="11"/>
        <rFont val="Calibri"/>
        <family val="2"/>
      </rPr>
      <t>LOVEJOY ISD</t>
    </r>
  </si>
  <si>
    <r>
      <rPr>
        <sz val="11"/>
        <rFont val="Calibri"/>
        <family val="2"/>
      </rPr>
      <t>LOVELADY ISD</t>
    </r>
  </si>
  <si>
    <r>
      <rPr>
        <sz val="11"/>
        <rFont val="Calibri"/>
        <family val="2"/>
      </rPr>
      <t>LUBBOCK ISD</t>
    </r>
  </si>
  <si>
    <r>
      <rPr>
        <sz val="11"/>
        <rFont val="Calibri"/>
        <family val="2"/>
      </rPr>
      <t>LUBBOCK-COOPER ISD</t>
    </r>
  </si>
  <si>
    <r>
      <rPr>
        <sz val="11"/>
        <rFont val="Calibri"/>
        <family val="2"/>
      </rPr>
      <t>LUEDERS-AVOCA ISD</t>
    </r>
  </si>
  <si>
    <r>
      <rPr>
        <sz val="11"/>
        <rFont val="Calibri"/>
        <family val="2"/>
      </rPr>
      <t>LUFKIN ISD</t>
    </r>
  </si>
  <si>
    <r>
      <rPr>
        <sz val="11"/>
        <rFont val="Calibri"/>
        <family val="2"/>
      </rPr>
      <t>LULING ISD</t>
    </r>
  </si>
  <si>
    <r>
      <rPr>
        <sz val="11"/>
        <rFont val="Calibri"/>
        <family val="2"/>
      </rPr>
      <t>LUMBERTON ISD</t>
    </r>
  </si>
  <si>
    <r>
      <rPr>
        <sz val="11"/>
        <rFont val="Calibri"/>
        <family val="2"/>
      </rPr>
      <t>LYFORD CISD</t>
    </r>
  </si>
  <si>
    <r>
      <rPr>
        <sz val="11"/>
        <rFont val="Calibri"/>
        <family val="2"/>
      </rPr>
      <t>LYTLE ISD</t>
    </r>
  </si>
  <si>
    <r>
      <rPr>
        <sz val="11"/>
        <rFont val="Calibri"/>
        <family val="2"/>
      </rPr>
      <t>MABANK ISD</t>
    </r>
  </si>
  <si>
    <r>
      <rPr>
        <sz val="11"/>
        <rFont val="Calibri"/>
        <family val="2"/>
      </rPr>
      <t>MADISONVILLE CISD</t>
    </r>
  </si>
  <si>
    <r>
      <rPr>
        <sz val="11"/>
        <rFont val="Calibri"/>
        <family val="2"/>
      </rPr>
      <t>MAGNOLIA ISD</t>
    </r>
  </si>
  <si>
    <r>
      <rPr>
        <sz val="11"/>
        <rFont val="Calibri"/>
        <family val="2"/>
      </rPr>
      <t>MALAKOFF ISD</t>
    </r>
  </si>
  <si>
    <r>
      <rPr>
        <sz val="11"/>
        <rFont val="Calibri"/>
        <family val="2"/>
      </rPr>
      <t>MALONE ISD</t>
    </r>
  </si>
  <si>
    <r>
      <rPr>
        <sz val="11"/>
        <rFont val="Calibri"/>
        <family val="2"/>
      </rPr>
      <t>MALTA ISD</t>
    </r>
  </si>
  <si>
    <r>
      <rPr>
        <sz val="11"/>
        <rFont val="Calibri"/>
        <family val="2"/>
      </rPr>
      <t>MANOR ISD</t>
    </r>
  </si>
  <si>
    <r>
      <rPr>
        <sz val="11"/>
        <rFont val="Calibri"/>
        <family val="2"/>
      </rPr>
      <t>MANSFIELD ISD</t>
    </r>
  </si>
  <si>
    <r>
      <rPr>
        <sz val="11"/>
        <rFont val="Calibri"/>
        <family val="2"/>
      </rPr>
      <t>MARATHON ISD</t>
    </r>
  </si>
  <si>
    <r>
      <rPr>
        <sz val="11"/>
        <rFont val="Calibri"/>
        <family val="2"/>
      </rPr>
      <t>MARBLE FALLS ISD</t>
    </r>
  </si>
  <si>
    <r>
      <rPr>
        <sz val="11"/>
        <rFont val="Calibri"/>
        <family val="2"/>
      </rPr>
      <t>MARFA ISD</t>
    </r>
  </si>
  <si>
    <r>
      <rPr>
        <sz val="11"/>
        <rFont val="Calibri"/>
        <family val="2"/>
      </rPr>
      <t>MARION ISD</t>
    </r>
  </si>
  <si>
    <r>
      <rPr>
        <sz val="11"/>
        <rFont val="Calibri"/>
        <family val="2"/>
      </rPr>
      <t>MARLIN ISD</t>
    </r>
  </si>
  <si>
    <r>
      <rPr>
        <sz val="11"/>
        <rFont val="Calibri"/>
        <family val="2"/>
      </rPr>
      <t>MARSHALL ISD</t>
    </r>
  </si>
  <si>
    <r>
      <rPr>
        <sz val="11"/>
        <rFont val="Calibri"/>
        <family val="2"/>
      </rPr>
      <t>MART ISD</t>
    </r>
  </si>
  <si>
    <r>
      <rPr>
        <sz val="11"/>
        <rFont val="Calibri"/>
        <family val="2"/>
      </rPr>
      <t>MARTINS MILL ISD</t>
    </r>
  </si>
  <si>
    <r>
      <rPr>
        <sz val="11"/>
        <rFont val="Calibri"/>
        <family val="2"/>
      </rPr>
      <t>MARTINSVILLE ISD</t>
    </r>
  </si>
  <si>
    <r>
      <rPr>
        <sz val="11"/>
        <rFont val="Calibri"/>
        <family val="2"/>
      </rPr>
      <t>MASON ISD</t>
    </r>
  </si>
  <si>
    <r>
      <rPr>
        <sz val="11"/>
        <rFont val="Calibri"/>
        <family val="2"/>
      </rPr>
      <t>MATAGORDA ISD</t>
    </r>
  </si>
  <si>
    <r>
      <rPr>
        <sz val="11"/>
        <rFont val="Calibri"/>
        <family val="2"/>
      </rPr>
      <t>MATHIS ISD</t>
    </r>
  </si>
  <si>
    <r>
      <rPr>
        <sz val="11"/>
        <rFont val="Calibri"/>
        <family val="2"/>
      </rPr>
      <t>MAUD ISD</t>
    </r>
  </si>
  <si>
    <r>
      <rPr>
        <sz val="11"/>
        <rFont val="Calibri"/>
        <family val="2"/>
      </rPr>
      <t>MAY ISD</t>
    </r>
  </si>
  <si>
    <r>
      <rPr>
        <sz val="11"/>
        <rFont val="Calibri"/>
        <family val="2"/>
      </rPr>
      <t>MAYPEARL ISD</t>
    </r>
  </si>
  <si>
    <r>
      <rPr>
        <sz val="11"/>
        <rFont val="Calibri"/>
        <family val="2"/>
      </rPr>
      <t>MCALLEN ISD</t>
    </r>
  </si>
  <si>
    <r>
      <rPr>
        <sz val="11"/>
        <rFont val="Calibri"/>
        <family val="2"/>
      </rPr>
      <t>MCCAMEY ISD</t>
    </r>
  </si>
  <si>
    <r>
      <rPr>
        <sz val="11"/>
        <rFont val="Calibri"/>
        <family val="2"/>
      </rPr>
      <t>MCDADE ISD</t>
    </r>
  </si>
  <si>
    <r>
      <rPr>
        <sz val="11"/>
        <rFont val="Calibri"/>
        <family val="2"/>
      </rPr>
      <t>MCGREGOR ISD</t>
    </r>
  </si>
  <si>
    <r>
      <rPr>
        <sz val="11"/>
        <rFont val="Calibri"/>
        <family val="2"/>
      </rPr>
      <t>MCKINNEY ISD</t>
    </r>
  </si>
  <si>
    <r>
      <rPr>
        <sz val="11"/>
        <rFont val="Calibri"/>
        <family val="2"/>
      </rPr>
      <t>MCLEAN ISD</t>
    </r>
  </si>
  <si>
    <r>
      <rPr>
        <sz val="11"/>
        <rFont val="Calibri"/>
        <family val="2"/>
      </rPr>
      <t>MCLEOD ISD</t>
    </r>
  </si>
  <si>
    <r>
      <rPr>
        <sz val="11"/>
        <rFont val="Calibri"/>
        <family val="2"/>
      </rPr>
      <t>MCMULLEN COUNTY ISD</t>
    </r>
  </si>
  <si>
    <r>
      <rPr>
        <sz val="11"/>
        <rFont val="Calibri"/>
        <family val="2"/>
      </rPr>
      <t>MEADOW ISD</t>
    </r>
  </si>
  <si>
    <r>
      <rPr>
        <sz val="11"/>
        <rFont val="Calibri"/>
        <family val="2"/>
      </rPr>
      <t>MEDINA ISD</t>
    </r>
  </si>
  <si>
    <r>
      <rPr>
        <sz val="11"/>
        <rFont val="Calibri"/>
        <family val="2"/>
      </rPr>
      <t>MEDINA VALLEY ISD</t>
    </r>
  </si>
  <si>
    <r>
      <rPr>
        <sz val="11"/>
        <rFont val="Calibri"/>
        <family val="2"/>
      </rPr>
      <t>MELISSA ISD</t>
    </r>
  </si>
  <si>
    <r>
      <rPr>
        <sz val="11"/>
        <rFont val="Calibri"/>
        <family val="2"/>
      </rPr>
      <t>MEMPHIS ISD</t>
    </r>
  </si>
  <si>
    <r>
      <rPr>
        <sz val="11"/>
        <rFont val="Calibri"/>
        <family val="2"/>
      </rPr>
      <t>MENARD ISD</t>
    </r>
  </si>
  <si>
    <r>
      <rPr>
        <sz val="11"/>
        <rFont val="Calibri"/>
        <family val="2"/>
      </rPr>
      <t>MERCEDES ISD</t>
    </r>
  </si>
  <si>
    <r>
      <rPr>
        <sz val="11"/>
        <rFont val="Calibri"/>
        <family val="2"/>
      </rPr>
      <t>MERIDIAN ISD</t>
    </r>
  </si>
  <si>
    <r>
      <rPr>
        <sz val="11"/>
        <rFont val="Calibri"/>
        <family val="2"/>
      </rPr>
      <t>MERKEL ISD</t>
    </r>
  </si>
  <si>
    <r>
      <rPr>
        <sz val="11"/>
        <rFont val="Calibri"/>
        <family val="2"/>
      </rPr>
      <t>MESQUITE ISD</t>
    </r>
  </si>
  <si>
    <r>
      <rPr>
        <sz val="11"/>
        <rFont val="Calibri"/>
        <family val="2"/>
      </rPr>
      <t>MEXIA ISD</t>
    </r>
  </si>
  <si>
    <r>
      <rPr>
        <sz val="11"/>
        <rFont val="Calibri"/>
        <family val="2"/>
      </rPr>
      <t>MEYERSVILLE ISD</t>
    </r>
  </si>
  <si>
    <r>
      <rPr>
        <sz val="11"/>
        <rFont val="Calibri"/>
        <family val="2"/>
      </rPr>
      <t>MIAMI ISD</t>
    </r>
  </si>
  <si>
    <r>
      <rPr>
        <sz val="11"/>
        <rFont val="Calibri"/>
        <family val="2"/>
      </rPr>
      <t>MIDLAND ISD</t>
    </r>
  </si>
  <si>
    <r>
      <rPr>
        <sz val="11"/>
        <rFont val="Calibri"/>
        <family val="2"/>
      </rPr>
      <t>MIDLOTHIAN ISD</t>
    </r>
  </si>
  <si>
    <r>
      <rPr>
        <sz val="11"/>
        <rFont val="Calibri"/>
        <family val="2"/>
      </rPr>
      <t>MIDWAY ISD</t>
    </r>
  </si>
  <si>
    <r>
      <rPr>
        <sz val="11"/>
        <rFont val="Calibri"/>
        <family val="2"/>
      </rPr>
      <t>MILANO ISD</t>
    </r>
  </si>
  <si>
    <r>
      <rPr>
        <sz val="11"/>
        <rFont val="Calibri"/>
        <family val="2"/>
      </rPr>
      <t>MILDRED ISD</t>
    </r>
  </si>
  <si>
    <r>
      <rPr>
        <sz val="11"/>
        <rFont val="Calibri"/>
        <family val="2"/>
      </rPr>
      <t>MILES ISD</t>
    </r>
  </si>
  <si>
    <r>
      <rPr>
        <sz val="11"/>
        <rFont val="Calibri"/>
        <family val="2"/>
      </rPr>
      <t>MILFORD ISD</t>
    </r>
  </si>
  <si>
    <r>
      <rPr>
        <sz val="11"/>
        <rFont val="Calibri"/>
        <family val="2"/>
      </rPr>
      <t>MILLER GROVE ISD</t>
    </r>
  </si>
  <si>
    <r>
      <rPr>
        <sz val="11"/>
        <rFont val="Calibri"/>
        <family val="2"/>
      </rPr>
      <t>MILLSAP ISD</t>
    </r>
  </si>
  <si>
    <r>
      <rPr>
        <sz val="11"/>
        <rFont val="Calibri"/>
        <family val="2"/>
      </rPr>
      <t>MINEOLA ISD</t>
    </r>
  </si>
  <si>
    <r>
      <rPr>
        <sz val="11"/>
        <rFont val="Calibri"/>
        <family val="2"/>
      </rPr>
      <t>MINERAL WELLS ISD</t>
    </r>
  </si>
  <si>
    <r>
      <rPr>
        <sz val="11"/>
        <rFont val="Calibri"/>
        <family val="2"/>
      </rPr>
      <t>MISSION CISD</t>
    </r>
  </si>
  <si>
    <r>
      <rPr>
        <sz val="11"/>
        <rFont val="Calibri"/>
        <family val="2"/>
      </rPr>
      <t>MONAHANS-WICKETT-PYOTE ISD</t>
    </r>
  </si>
  <si>
    <r>
      <rPr>
        <sz val="11"/>
        <rFont val="Calibri"/>
        <family val="2"/>
      </rPr>
      <t>MONTAGUE ISD</t>
    </r>
  </si>
  <si>
    <r>
      <rPr>
        <sz val="11"/>
        <rFont val="Calibri"/>
        <family val="2"/>
      </rPr>
      <t>MONTE ALTO ISD</t>
    </r>
  </si>
  <si>
    <r>
      <rPr>
        <sz val="11"/>
        <rFont val="Calibri"/>
        <family val="2"/>
      </rPr>
      <t>MONTGOMERY ISD</t>
    </r>
  </si>
  <si>
    <r>
      <rPr>
        <sz val="11"/>
        <rFont val="Calibri"/>
        <family val="2"/>
      </rPr>
      <t>MOODY ISD</t>
    </r>
  </si>
  <si>
    <r>
      <rPr>
        <sz val="11"/>
        <rFont val="Calibri"/>
        <family val="2"/>
      </rPr>
      <t>MORAN ISD</t>
    </r>
  </si>
  <si>
    <r>
      <rPr>
        <sz val="11"/>
        <rFont val="Calibri"/>
        <family val="2"/>
      </rPr>
      <t>MORGAN ISD</t>
    </r>
  </si>
  <si>
    <r>
      <rPr>
        <sz val="11"/>
        <rFont val="Calibri"/>
        <family val="2"/>
      </rPr>
      <t>MORGAN MILL ISD</t>
    </r>
  </si>
  <si>
    <r>
      <rPr>
        <sz val="11"/>
        <rFont val="Calibri"/>
        <family val="2"/>
      </rPr>
      <t>MORTON ISD</t>
    </r>
  </si>
  <si>
    <r>
      <rPr>
        <sz val="11"/>
        <rFont val="Calibri"/>
        <family val="2"/>
      </rPr>
      <t>MOTLEY COUNTY ISD</t>
    </r>
  </si>
  <si>
    <r>
      <rPr>
        <sz val="11"/>
        <rFont val="Calibri"/>
        <family val="2"/>
      </rPr>
      <t>MOULTON ISD</t>
    </r>
  </si>
  <si>
    <r>
      <rPr>
        <sz val="11"/>
        <rFont val="Calibri"/>
        <family val="2"/>
      </rPr>
      <t>MOUNT CALM ISD</t>
    </r>
  </si>
  <si>
    <r>
      <rPr>
        <sz val="11"/>
        <rFont val="Calibri"/>
        <family val="2"/>
      </rPr>
      <t>MOUNT ENTERPRISE ISD</t>
    </r>
  </si>
  <si>
    <r>
      <rPr>
        <sz val="11"/>
        <rFont val="Calibri"/>
        <family val="2"/>
      </rPr>
      <t>MOUNT PLEASANT ISD</t>
    </r>
  </si>
  <si>
    <r>
      <rPr>
        <sz val="11"/>
        <rFont val="Calibri"/>
        <family val="2"/>
      </rPr>
      <t>MOUNT VERNON ISD</t>
    </r>
  </si>
  <si>
    <r>
      <rPr>
        <sz val="11"/>
        <rFont val="Calibri"/>
        <family val="2"/>
      </rPr>
      <t>MUENSTER ISD</t>
    </r>
  </si>
  <si>
    <r>
      <rPr>
        <sz val="11"/>
        <rFont val="Calibri"/>
        <family val="2"/>
      </rPr>
      <t>MULESHOE ISD</t>
    </r>
  </si>
  <si>
    <r>
      <rPr>
        <sz val="11"/>
        <rFont val="Calibri"/>
        <family val="2"/>
      </rPr>
      <t>MULLIN ISD</t>
    </r>
  </si>
  <si>
    <r>
      <rPr>
        <sz val="11"/>
        <rFont val="Calibri"/>
        <family val="2"/>
      </rPr>
      <t>MUMFORD ISD</t>
    </r>
  </si>
  <si>
    <r>
      <rPr>
        <sz val="11"/>
        <rFont val="Calibri"/>
        <family val="2"/>
      </rPr>
      <t>MUNDAY CISD</t>
    </r>
  </si>
  <si>
    <r>
      <rPr>
        <sz val="11"/>
        <rFont val="Calibri"/>
        <family val="2"/>
      </rPr>
      <t>MURCHISON ISD</t>
    </r>
  </si>
  <si>
    <r>
      <rPr>
        <sz val="11"/>
        <rFont val="Calibri"/>
        <family val="2"/>
      </rPr>
      <t>NACOGDOCHES ISD</t>
    </r>
  </si>
  <si>
    <r>
      <rPr>
        <sz val="11"/>
        <rFont val="Calibri"/>
        <family val="2"/>
      </rPr>
      <t>NATALIA ISD</t>
    </r>
  </si>
  <si>
    <r>
      <rPr>
        <sz val="11"/>
        <rFont val="Calibri"/>
        <family val="2"/>
      </rPr>
      <t>NAVARRO ISD</t>
    </r>
  </si>
  <si>
    <r>
      <rPr>
        <sz val="11"/>
        <rFont val="Calibri"/>
        <family val="2"/>
      </rPr>
      <t>NAVASOTA ISD</t>
    </r>
  </si>
  <si>
    <r>
      <rPr>
        <sz val="11"/>
        <rFont val="Calibri"/>
        <family val="2"/>
      </rPr>
      <t>NAZARETH ISD</t>
    </r>
  </si>
  <si>
    <r>
      <rPr>
        <sz val="11"/>
        <rFont val="Calibri"/>
        <family val="2"/>
      </rPr>
      <t>NECHES ISD</t>
    </r>
  </si>
  <si>
    <r>
      <rPr>
        <sz val="11"/>
        <rFont val="Calibri"/>
        <family val="2"/>
      </rPr>
      <t>NEDERLAND ISD</t>
    </r>
  </si>
  <si>
    <r>
      <rPr>
        <sz val="11"/>
        <rFont val="Calibri"/>
        <family val="2"/>
      </rPr>
      <t>NEEDVILLE ISD</t>
    </r>
  </si>
  <si>
    <r>
      <rPr>
        <sz val="11"/>
        <rFont val="Calibri"/>
        <family val="2"/>
      </rPr>
      <t>NEW BOSTON ISD</t>
    </r>
  </si>
  <si>
    <r>
      <rPr>
        <sz val="11"/>
        <rFont val="Calibri"/>
        <family val="2"/>
      </rPr>
      <t>NEW BRAUNFELS ISD</t>
    </r>
  </si>
  <si>
    <r>
      <rPr>
        <sz val="11"/>
        <rFont val="Calibri"/>
        <family val="2"/>
      </rPr>
      <t>NEW CANEY ISD</t>
    </r>
  </si>
  <si>
    <r>
      <rPr>
        <sz val="11"/>
        <rFont val="Calibri"/>
        <family val="2"/>
      </rPr>
      <t>NEW DEAL ISD</t>
    </r>
  </si>
  <si>
    <r>
      <rPr>
        <sz val="11"/>
        <rFont val="Calibri"/>
        <family val="2"/>
      </rPr>
      <t>NEW DIANA ISD</t>
    </r>
  </si>
  <si>
    <r>
      <rPr>
        <sz val="11"/>
        <rFont val="Calibri"/>
        <family val="2"/>
      </rPr>
      <t>NEW HOME ISD</t>
    </r>
  </si>
  <si>
    <r>
      <rPr>
        <sz val="11"/>
        <rFont val="Calibri"/>
        <family val="2"/>
      </rPr>
      <t>NEW SUMMERFIELD ISD</t>
    </r>
  </si>
  <si>
    <r>
      <rPr>
        <sz val="11"/>
        <rFont val="Calibri"/>
        <family val="2"/>
      </rPr>
      <t>NEW WAVERLY ISD</t>
    </r>
  </si>
  <si>
    <r>
      <rPr>
        <sz val="11"/>
        <rFont val="Calibri"/>
        <family val="2"/>
      </rPr>
      <t>NEWCASTLE ISD</t>
    </r>
  </si>
  <si>
    <r>
      <rPr>
        <sz val="11"/>
        <rFont val="Calibri"/>
        <family val="2"/>
      </rPr>
      <t>NEWTON ISD</t>
    </r>
  </si>
  <si>
    <r>
      <rPr>
        <sz val="11"/>
        <rFont val="Calibri"/>
        <family val="2"/>
      </rPr>
      <t>NIXON-SMILEY CISD</t>
    </r>
  </si>
  <si>
    <r>
      <rPr>
        <sz val="11"/>
        <rFont val="Calibri"/>
        <family val="2"/>
      </rPr>
      <t>NOCONA ISD</t>
    </r>
  </si>
  <si>
    <r>
      <rPr>
        <sz val="11"/>
        <rFont val="Calibri"/>
        <family val="2"/>
      </rPr>
      <t>NORDHEIM ISD</t>
    </r>
  </si>
  <si>
    <r>
      <rPr>
        <sz val="11"/>
        <rFont val="Calibri"/>
        <family val="2"/>
      </rPr>
      <t>NORMANGEE ISD</t>
    </r>
  </si>
  <si>
    <r>
      <rPr>
        <sz val="11"/>
        <rFont val="Calibri"/>
        <family val="2"/>
      </rPr>
      <t>NORTH EAST ISD</t>
    </r>
  </si>
  <si>
    <r>
      <rPr>
        <sz val="11"/>
        <rFont val="Calibri"/>
        <family val="2"/>
      </rPr>
      <t>NORTH HOPKINS ISD</t>
    </r>
  </si>
  <si>
    <r>
      <rPr>
        <sz val="11"/>
        <rFont val="Calibri"/>
        <family val="2"/>
      </rPr>
      <t>NORTH LAMAR ISD</t>
    </r>
  </si>
  <si>
    <r>
      <rPr>
        <sz val="11"/>
        <rFont val="Calibri"/>
        <family val="2"/>
      </rPr>
      <t>NORTH ZULCH ISD</t>
    </r>
  </si>
  <si>
    <r>
      <rPr>
        <sz val="11"/>
        <rFont val="Calibri"/>
        <family val="2"/>
      </rPr>
      <t>NORTHSIDE ISD</t>
    </r>
  </si>
  <si>
    <r>
      <rPr>
        <sz val="11"/>
        <rFont val="Calibri"/>
        <family val="2"/>
      </rPr>
      <t>NORTHWEST ISD</t>
    </r>
  </si>
  <si>
    <r>
      <rPr>
        <sz val="11"/>
        <rFont val="Calibri"/>
        <family val="2"/>
      </rPr>
      <t>NUECES CANYON CISD</t>
    </r>
  </si>
  <si>
    <r>
      <rPr>
        <sz val="11"/>
        <rFont val="Calibri"/>
        <family val="2"/>
      </rPr>
      <t>NURSERY ISD</t>
    </r>
  </si>
  <si>
    <r>
      <rPr>
        <sz val="11"/>
        <rFont val="Calibri"/>
        <family val="2"/>
      </rPr>
      <t>OAKWOOD ISD</t>
    </r>
  </si>
  <si>
    <r>
      <rPr>
        <sz val="11"/>
        <rFont val="Calibri"/>
        <family val="2"/>
      </rPr>
      <t>ODEM-EDROY ISD</t>
    </r>
  </si>
  <si>
    <r>
      <rPr>
        <sz val="11"/>
        <rFont val="Calibri"/>
        <family val="2"/>
      </rPr>
      <t>O'DONNELL ISD</t>
    </r>
  </si>
  <si>
    <r>
      <rPr>
        <sz val="11"/>
        <rFont val="Calibri"/>
        <family val="2"/>
      </rPr>
      <t>OGLESBY ISD</t>
    </r>
  </si>
  <si>
    <r>
      <rPr>
        <sz val="11"/>
        <rFont val="Calibri"/>
        <family val="2"/>
      </rPr>
      <t>OLFEN ISD</t>
    </r>
  </si>
  <si>
    <r>
      <rPr>
        <sz val="11"/>
        <rFont val="Calibri"/>
        <family val="2"/>
      </rPr>
      <t>OLNEY ISD</t>
    </r>
  </si>
  <si>
    <r>
      <rPr>
        <sz val="11"/>
        <rFont val="Calibri"/>
        <family val="2"/>
      </rPr>
      <t>OLTON ISD</t>
    </r>
  </si>
  <si>
    <r>
      <rPr>
        <sz val="11"/>
        <rFont val="Calibri"/>
        <family val="2"/>
      </rPr>
      <t>ONALASKA ISD</t>
    </r>
  </si>
  <si>
    <r>
      <rPr>
        <sz val="11"/>
        <rFont val="Calibri"/>
        <family val="2"/>
      </rPr>
      <t>ORANGE GROVE ISD</t>
    </r>
  </si>
  <si>
    <r>
      <rPr>
        <sz val="11"/>
        <rFont val="Calibri"/>
        <family val="2"/>
      </rPr>
      <t>ORANGEFIELD ISD</t>
    </r>
  </si>
  <si>
    <r>
      <rPr>
        <sz val="11"/>
        <rFont val="Calibri"/>
        <family val="2"/>
      </rPr>
      <t>ORE CITY ISD</t>
    </r>
  </si>
  <si>
    <r>
      <rPr>
        <sz val="11"/>
        <rFont val="Calibri"/>
        <family val="2"/>
      </rPr>
      <t>OVERTON ISD</t>
    </r>
  </si>
  <si>
    <r>
      <rPr>
        <sz val="11"/>
        <rFont val="Calibri"/>
        <family val="2"/>
      </rPr>
      <t>PADUCAH ISD</t>
    </r>
  </si>
  <si>
    <r>
      <rPr>
        <sz val="11"/>
        <rFont val="Calibri"/>
        <family val="2"/>
      </rPr>
      <t>PAINT CREEK ISD</t>
    </r>
  </si>
  <si>
    <r>
      <rPr>
        <sz val="11"/>
        <rFont val="Calibri"/>
        <family val="2"/>
      </rPr>
      <t>PAINT ROCK ISD</t>
    </r>
  </si>
  <si>
    <r>
      <rPr>
        <sz val="11"/>
        <rFont val="Calibri"/>
        <family val="2"/>
      </rPr>
      <t>PALACIOS ISD</t>
    </r>
  </si>
  <si>
    <r>
      <rPr>
        <sz val="11"/>
        <rFont val="Calibri"/>
        <family val="2"/>
      </rPr>
      <t>PALESTINE ISD</t>
    </r>
  </si>
  <si>
    <r>
      <rPr>
        <sz val="11"/>
        <rFont val="Calibri"/>
        <family val="2"/>
      </rPr>
      <t>PALMER ISD</t>
    </r>
  </si>
  <si>
    <r>
      <rPr>
        <sz val="11"/>
        <rFont val="Calibri"/>
        <family val="2"/>
      </rPr>
      <t>PALO PINTO ISD</t>
    </r>
  </si>
  <si>
    <r>
      <rPr>
        <sz val="11"/>
        <rFont val="Calibri"/>
        <family val="2"/>
      </rPr>
      <t>PAMPA ISD</t>
    </r>
  </si>
  <si>
    <r>
      <rPr>
        <sz val="11"/>
        <rFont val="Calibri"/>
        <family val="2"/>
      </rPr>
      <t>PANHANDLE ISD</t>
    </r>
  </si>
  <si>
    <r>
      <rPr>
        <sz val="11"/>
        <rFont val="Calibri"/>
        <family val="2"/>
      </rPr>
      <t>PANTHER CREEK CISD</t>
    </r>
  </si>
  <si>
    <r>
      <rPr>
        <sz val="11"/>
        <rFont val="Calibri"/>
        <family val="2"/>
      </rPr>
      <t>PARADISE ISD</t>
    </r>
  </si>
  <si>
    <r>
      <rPr>
        <sz val="11"/>
        <rFont val="Calibri"/>
        <family val="2"/>
      </rPr>
      <t>PARIS ISD</t>
    </r>
  </si>
  <si>
    <r>
      <rPr>
        <sz val="11"/>
        <rFont val="Calibri"/>
        <family val="2"/>
      </rPr>
      <t>PASADENA ISD</t>
    </r>
  </si>
  <si>
    <r>
      <rPr>
        <sz val="11"/>
        <rFont val="Calibri"/>
        <family val="2"/>
      </rPr>
      <t>PATTON SPRINGS ISD</t>
    </r>
  </si>
  <si>
    <r>
      <rPr>
        <sz val="11"/>
        <rFont val="Calibri"/>
        <family val="2"/>
      </rPr>
      <t>PAWNEE ISD</t>
    </r>
  </si>
  <si>
    <r>
      <rPr>
        <sz val="11"/>
        <rFont val="Calibri"/>
        <family val="2"/>
      </rPr>
      <t>PEARLAND ISD</t>
    </r>
  </si>
  <si>
    <r>
      <rPr>
        <sz val="11"/>
        <rFont val="Calibri"/>
        <family val="2"/>
      </rPr>
      <t>PEARSALL ISD</t>
    </r>
  </si>
  <si>
    <r>
      <rPr>
        <sz val="11"/>
        <rFont val="Calibri"/>
        <family val="2"/>
      </rPr>
      <t>PEASTER ISD</t>
    </r>
  </si>
  <si>
    <r>
      <rPr>
        <sz val="11"/>
        <rFont val="Calibri"/>
        <family val="2"/>
      </rPr>
      <t>PECOS-BARSTOW-TOYAH ISD</t>
    </r>
  </si>
  <si>
    <r>
      <rPr>
        <sz val="11"/>
        <rFont val="Calibri"/>
        <family val="2"/>
      </rPr>
      <t>PENELOPE ISD</t>
    </r>
  </si>
  <si>
    <r>
      <rPr>
        <sz val="11"/>
        <rFont val="Calibri"/>
        <family val="2"/>
      </rPr>
      <t>PERRIN-WHITT CISD</t>
    </r>
  </si>
  <si>
    <r>
      <rPr>
        <sz val="11"/>
        <rFont val="Calibri"/>
        <family val="2"/>
      </rPr>
      <t>PERRYTON ISD</t>
    </r>
  </si>
  <si>
    <r>
      <rPr>
        <sz val="11"/>
        <rFont val="Calibri"/>
        <family val="2"/>
      </rPr>
      <t>PETERSBURG ISD</t>
    </r>
  </si>
  <si>
    <r>
      <rPr>
        <sz val="11"/>
        <rFont val="Calibri"/>
        <family val="2"/>
      </rPr>
      <t>PETROLIA CISD</t>
    </r>
  </si>
  <si>
    <r>
      <rPr>
        <sz val="11"/>
        <rFont val="Calibri"/>
        <family val="2"/>
      </rPr>
      <t>PETTUS ISD</t>
    </r>
  </si>
  <si>
    <r>
      <rPr>
        <sz val="11"/>
        <rFont val="Calibri"/>
        <family val="2"/>
      </rPr>
      <t>PEWITT CISD</t>
    </r>
  </si>
  <si>
    <r>
      <rPr>
        <sz val="11"/>
        <rFont val="Calibri"/>
        <family val="2"/>
      </rPr>
      <t>PFLUGERVILLE ISD</t>
    </r>
  </si>
  <si>
    <r>
      <rPr>
        <sz val="11"/>
        <rFont val="Calibri"/>
        <family val="2"/>
      </rPr>
      <t>PHARR-SAN JUAN-ALAMO ISD</t>
    </r>
  </si>
  <si>
    <r>
      <rPr>
        <sz val="11"/>
        <rFont val="Calibri"/>
        <family val="2"/>
      </rPr>
      <t>PILOT POINT ISD</t>
    </r>
  </si>
  <si>
    <r>
      <rPr>
        <sz val="11"/>
        <rFont val="Calibri"/>
        <family val="2"/>
      </rPr>
      <t>PINE TREE ISD</t>
    </r>
  </si>
  <si>
    <r>
      <rPr>
        <sz val="11"/>
        <rFont val="Calibri"/>
        <family val="2"/>
      </rPr>
      <t>PITTSBURG ISD</t>
    </r>
  </si>
  <si>
    <r>
      <rPr>
        <sz val="11"/>
        <rFont val="Calibri"/>
        <family val="2"/>
      </rPr>
      <t>PLAINS ISD</t>
    </r>
  </si>
  <si>
    <r>
      <rPr>
        <sz val="11"/>
        <rFont val="Calibri"/>
        <family val="2"/>
      </rPr>
      <t>PLAINVIEW ISD</t>
    </r>
  </si>
  <si>
    <r>
      <rPr>
        <sz val="11"/>
        <rFont val="Calibri"/>
        <family val="2"/>
      </rPr>
      <t>PLANO ISD</t>
    </r>
  </si>
  <si>
    <r>
      <rPr>
        <sz val="11"/>
        <rFont val="Calibri"/>
        <family val="2"/>
      </rPr>
      <t>PLEASANT GROVE ISD</t>
    </r>
  </si>
  <si>
    <r>
      <rPr>
        <sz val="11"/>
        <rFont val="Calibri"/>
        <family val="2"/>
      </rPr>
      <t>PLEASANTON ISD</t>
    </r>
  </si>
  <si>
    <r>
      <rPr>
        <sz val="11"/>
        <rFont val="Calibri"/>
        <family val="2"/>
      </rPr>
      <t>PLEMONS-STINNETT-PHILLIPS CISD</t>
    </r>
  </si>
  <si>
    <r>
      <rPr>
        <sz val="11"/>
        <rFont val="Calibri"/>
        <family val="2"/>
      </rPr>
      <t>POINT ISABEL ISD</t>
    </r>
  </si>
  <si>
    <r>
      <rPr>
        <sz val="11"/>
        <rFont val="Calibri"/>
        <family val="2"/>
      </rPr>
      <t>PONDER ISD</t>
    </r>
  </si>
  <si>
    <r>
      <rPr>
        <sz val="11"/>
        <rFont val="Calibri"/>
        <family val="2"/>
      </rPr>
      <t>POOLVILLE ISD</t>
    </r>
  </si>
  <si>
    <r>
      <rPr>
        <sz val="11"/>
        <rFont val="Calibri"/>
        <family val="2"/>
      </rPr>
      <t>PORT ARANSAS ISD</t>
    </r>
  </si>
  <si>
    <r>
      <rPr>
        <sz val="11"/>
        <rFont val="Calibri"/>
        <family val="2"/>
      </rPr>
      <t>PORT ARTHUR ISD</t>
    </r>
  </si>
  <si>
    <r>
      <rPr>
        <sz val="11"/>
        <rFont val="Calibri"/>
        <family val="2"/>
      </rPr>
      <t>PORT NECHES-GROVES ISD</t>
    </r>
  </si>
  <si>
    <r>
      <rPr>
        <sz val="11"/>
        <rFont val="Calibri"/>
        <family val="2"/>
      </rPr>
      <t>POST ISD</t>
    </r>
  </si>
  <si>
    <r>
      <rPr>
        <sz val="11"/>
        <rFont val="Calibri"/>
        <family val="2"/>
      </rPr>
      <t>POTEET ISD</t>
    </r>
  </si>
  <si>
    <r>
      <rPr>
        <sz val="11"/>
        <rFont val="Calibri"/>
        <family val="2"/>
      </rPr>
      <t>POTH ISD</t>
    </r>
  </si>
  <si>
    <r>
      <rPr>
        <sz val="11"/>
        <rFont val="Calibri"/>
        <family val="2"/>
      </rPr>
      <t>POTTSBORO ISD</t>
    </r>
  </si>
  <si>
    <r>
      <rPr>
        <sz val="11"/>
        <rFont val="Calibri"/>
        <family val="2"/>
      </rPr>
      <t>PRAIRIE LEA ISD</t>
    </r>
  </si>
  <si>
    <r>
      <rPr>
        <sz val="11"/>
        <rFont val="Calibri"/>
        <family val="2"/>
      </rPr>
      <t>PRAIRIE VALLEY ISD</t>
    </r>
  </si>
  <si>
    <r>
      <rPr>
        <sz val="11"/>
        <rFont val="Calibri"/>
        <family val="2"/>
      </rPr>
      <t>PRAIRILAND ISD</t>
    </r>
  </si>
  <si>
    <r>
      <rPr>
        <sz val="11"/>
        <rFont val="Calibri"/>
        <family val="2"/>
      </rPr>
      <t>PREMONT ISD</t>
    </r>
  </si>
  <si>
    <r>
      <rPr>
        <sz val="11"/>
        <rFont val="Calibri"/>
        <family val="2"/>
      </rPr>
      <t>PRESIDIO ISD</t>
    </r>
  </si>
  <si>
    <r>
      <rPr>
        <sz val="11"/>
        <rFont val="Calibri"/>
        <family val="2"/>
      </rPr>
      <t>PRIDDY ISD</t>
    </r>
  </si>
  <si>
    <r>
      <rPr>
        <sz val="11"/>
        <rFont val="Calibri"/>
        <family val="2"/>
      </rPr>
      <t>PRINCETON ISD</t>
    </r>
  </si>
  <si>
    <r>
      <rPr>
        <sz val="11"/>
        <rFont val="Calibri"/>
        <family val="2"/>
      </rPr>
      <t>PRINGLE-MORSE CISD</t>
    </r>
  </si>
  <si>
    <r>
      <rPr>
        <sz val="11"/>
        <rFont val="Calibri"/>
        <family val="2"/>
      </rPr>
      <t>PROGRESO ISD</t>
    </r>
  </si>
  <si>
    <r>
      <rPr>
        <sz val="11"/>
        <rFont val="Calibri"/>
        <family val="2"/>
      </rPr>
      <t>PROSPER ISD</t>
    </r>
  </si>
  <si>
    <r>
      <rPr>
        <sz val="11"/>
        <rFont val="Calibri"/>
        <family val="2"/>
      </rPr>
      <t>QUANAH ISD</t>
    </r>
  </si>
  <si>
    <r>
      <rPr>
        <sz val="11"/>
        <rFont val="Calibri"/>
        <family val="2"/>
      </rPr>
      <t>QUEEN CITY ISD</t>
    </r>
  </si>
  <si>
    <r>
      <rPr>
        <sz val="11"/>
        <rFont val="Calibri"/>
        <family val="2"/>
      </rPr>
      <t>QUINLAN ISD</t>
    </r>
  </si>
  <si>
    <r>
      <rPr>
        <sz val="11"/>
        <rFont val="Calibri"/>
        <family val="2"/>
      </rPr>
      <t>QUITMAN ISD</t>
    </r>
  </si>
  <si>
    <r>
      <rPr>
        <sz val="11"/>
        <rFont val="Calibri"/>
        <family val="2"/>
      </rPr>
      <t>RAINS ISD</t>
    </r>
  </si>
  <si>
    <r>
      <rPr>
        <sz val="11"/>
        <rFont val="Calibri"/>
        <family val="2"/>
      </rPr>
      <t>RALLS ISD</t>
    </r>
  </si>
  <si>
    <r>
      <rPr>
        <sz val="11"/>
        <rFont val="Calibri"/>
        <family val="2"/>
      </rPr>
      <t>RAMIREZ CSD</t>
    </r>
  </si>
  <si>
    <r>
      <rPr>
        <sz val="11"/>
        <rFont val="Calibri"/>
        <family val="2"/>
      </rPr>
      <t>RANGER ISD</t>
    </r>
  </si>
  <si>
    <r>
      <rPr>
        <sz val="11"/>
        <rFont val="Calibri"/>
        <family val="2"/>
      </rPr>
      <t>RANKIN ISD</t>
    </r>
  </si>
  <si>
    <r>
      <rPr>
        <sz val="11"/>
        <rFont val="Calibri"/>
        <family val="2"/>
      </rPr>
      <t>RAYMONDVILLE ISD</t>
    </r>
  </si>
  <si>
    <r>
      <rPr>
        <sz val="11"/>
        <rFont val="Calibri"/>
        <family val="2"/>
      </rPr>
      <t>REAGAN COUNTY ISD</t>
    </r>
  </si>
  <si>
    <r>
      <rPr>
        <sz val="11"/>
        <rFont val="Calibri"/>
        <family val="2"/>
      </rPr>
      <t>RED LICK ISD</t>
    </r>
  </si>
  <si>
    <r>
      <rPr>
        <sz val="11"/>
        <rFont val="Calibri"/>
        <family val="2"/>
      </rPr>
      <t>RED OAK ISD</t>
    </r>
  </si>
  <si>
    <r>
      <rPr>
        <sz val="11"/>
        <rFont val="Calibri"/>
        <family val="2"/>
      </rPr>
      <t>REDWATER ISD</t>
    </r>
  </si>
  <si>
    <r>
      <rPr>
        <sz val="11"/>
        <rFont val="Calibri"/>
        <family val="2"/>
      </rPr>
      <t>REFUGIO ISD</t>
    </r>
  </si>
  <si>
    <r>
      <rPr>
        <sz val="11"/>
        <rFont val="Calibri"/>
        <family val="2"/>
      </rPr>
      <t>RICARDO ISD</t>
    </r>
  </si>
  <si>
    <r>
      <rPr>
        <sz val="11"/>
        <rFont val="Calibri"/>
        <family val="2"/>
      </rPr>
      <t>RICE CISD</t>
    </r>
  </si>
  <si>
    <r>
      <rPr>
        <sz val="11"/>
        <rFont val="Calibri"/>
        <family val="2"/>
      </rPr>
      <t>RICE ISD</t>
    </r>
  </si>
  <si>
    <r>
      <rPr>
        <sz val="11"/>
        <rFont val="Calibri"/>
        <family val="2"/>
      </rPr>
      <t>RICHARDS ISD</t>
    </r>
  </si>
  <si>
    <r>
      <rPr>
        <sz val="11"/>
        <rFont val="Calibri"/>
        <family val="2"/>
      </rPr>
      <t>RICHARDSON ISD</t>
    </r>
  </si>
  <si>
    <r>
      <rPr>
        <sz val="11"/>
        <rFont val="Calibri"/>
        <family val="2"/>
      </rPr>
      <t>RICHLAND SPRINGS ISD</t>
    </r>
  </si>
  <si>
    <r>
      <rPr>
        <sz val="11"/>
        <rFont val="Calibri"/>
        <family val="2"/>
      </rPr>
      <t>RIESEL ISD</t>
    </r>
  </si>
  <si>
    <r>
      <rPr>
        <sz val="11"/>
        <rFont val="Calibri"/>
        <family val="2"/>
      </rPr>
      <t>RIO GRANDE CITY CISD</t>
    </r>
  </si>
  <si>
    <r>
      <rPr>
        <sz val="11"/>
        <rFont val="Calibri"/>
        <family val="2"/>
      </rPr>
      <t>RIO HONDO ISD</t>
    </r>
  </si>
  <si>
    <r>
      <rPr>
        <sz val="11"/>
        <rFont val="Calibri"/>
        <family val="2"/>
      </rPr>
      <t>RIO VISTA ISD</t>
    </r>
  </si>
  <si>
    <r>
      <rPr>
        <sz val="11"/>
        <rFont val="Calibri"/>
        <family val="2"/>
      </rPr>
      <t>RISING STAR ISD</t>
    </r>
  </si>
  <si>
    <r>
      <rPr>
        <sz val="11"/>
        <rFont val="Calibri"/>
        <family val="2"/>
      </rPr>
      <t>RIVER ROAD ISD</t>
    </r>
  </si>
  <si>
    <r>
      <rPr>
        <sz val="11"/>
        <rFont val="Calibri"/>
        <family val="2"/>
      </rPr>
      <t>RIVERCREST ISD</t>
    </r>
  </si>
  <si>
    <r>
      <rPr>
        <sz val="11"/>
        <rFont val="Calibri"/>
        <family val="2"/>
      </rPr>
      <t>RIVIERA ISD</t>
    </r>
  </si>
  <si>
    <r>
      <rPr>
        <sz val="11"/>
        <rFont val="Calibri"/>
        <family val="2"/>
      </rPr>
      <t>ROBERT LEE ISD</t>
    </r>
  </si>
  <si>
    <r>
      <rPr>
        <sz val="11"/>
        <rFont val="Calibri"/>
        <family val="2"/>
      </rPr>
      <t>ROBINSON ISD</t>
    </r>
  </si>
  <si>
    <r>
      <rPr>
        <sz val="11"/>
        <rFont val="Calibri"/>
        <family val="2"/>
      </rPr>
      <t>ROBSTOWN ISD</t>
    </r>
  </si>
  <si>
    <r>
      <rPr>
        <sz val="11"/>
        <rFont val="Calibri"/>
        <family val="2"/>
      </rPr>
      <t>ROBY CISD</t>
    </r>
  </si>
  <si>
    <r>
      <rPr>
        <sz val="11"/>
        <rFont val="Calibri"/>
        <family val="2"/>
      </rPr>
      <t>ROCHELLE ISD</t>
    </r>
  </si>
  <si>
    <r>
      <rPr>
        <sz val="11"/>
        <rFont val="Calibri"/>
        <family val="2"/>
      </rPr>
      <t>ROCKDALE ISD</t>
    </r>
  </si>
  <si>
    <r>
      <rPr>
        <sz val="11"/>
        <rFont val="Calibri"/>
        <family val="2"/>
      </rPr>
      <t>ROCKSPRINGS ISD</t>
    </r>
  </si>
  <si>
    <r>
      <rPr>
        <sz val="11"/>
        <rFont val="Calibri"/>
        <family val="2"/>
      </rPr>
      <t>ROCKWALL ISD</t>
    </r>
  </si>
  <si>
    <r>
      <rPr>
        <sz val="11"/>
        <rFont val="Calibri"/>
        <family val="2"/>
      </rPr>
      <t>ROGERS ISD</t>
    </r>
  </si>
  <si>
    <r>
      <rPr>
        <sz val="11"/>
        <rFont val="Calibri"/>
        <family val="2"/>
      </rPr>
      <t>ROMA ISD</t>
    </r>
  </si>
  <si>
    <r>
      <rPr>
        <sz val="11"/>
        <rFont val="Calibri"/>
        <family val="2"/>
      </rPr>
      <t>ROOSEVELT ISD</t>
    </r>
  </si>
  <si>
    <r>
      <rPr>
        <sz val="11"/>
        <rFont val="Calibri"/>
        <family val="2"/>
      </rPr>
      <t>ROPES ISD</t>
    </r>
  </si>
  <si>
    <r>
      <rPr>
        <sz val="11"/>
        <rFont val="Calibri"/>
        <family val="2"/>
      </rPr>
      <t>ROSCOE COLLEGIATE ISD</t>
    </r>
  </si>
  <si>
    <r>
      <rPr>
        <sz val="11"/>
        <rFont val="Calibri"/>
        <family val="2"/>
      </rPr>
      <t>ROSEBUD-LOTT ISD</t>
    </r>
  </si>
  <si>
    <r>
      <rPr>
        <sz val="11"/>
        <rFont val="Calibri"/>
        <family val="2"/>
      </rPr>
      <t>ROTAN ISD</t>
    </r>
  </si>
  <si>
    <r>
      <rPr>
        <sz val="11"/>
        <rFont val="Calibri"/>
        <family val="2"/>
      </rPr>
      <t>ROUND ROCK ISD</t>
    </r>
  </si>
  <si>
    <r>
      <rPr>
        <sz val="11"/>
        <rFont val="Calibri"/>
        <family val="2"/>
      </rPr>
      <t>ROUND TOP-CARMINE ISD</t>
    </r>
  </si>
  <si>
    <r>
      <rPr>
        <sz val="11"/>
        <rFont val="Calibri"/>
        <family val="2"/>
      </rPr>
      <t>ROYAL ISD</t>
    </r>
  </si>
  <si>
    <r>
      <rPr>
        <sz val="11"/>
        <rFont val="Calibri"/>
        <family val="2"/>
      </rPr>
      <t>ROYSE CITY ISD</t>
    </r>
  </si>
  <si>
    <r>
      <rPr>
        <sz val="11"/>
        <rFont val="Calibri"/>
        <family val="2"/>
      </rPr>
      <t>RULE ISD</t>
    </r>
  </si>
  <si>
    <r>
      <rPr>
        <sz val="11"/>
        <rFont val="Calibri"/>
        <family val="2"/>
      </rPr>
      <t>RUNGE ISD</t>
    </r>
  </si>
  <si>
    <r>
      <rPr>
        <sz val="11"/>
        <rFont val="Calibri"/>
        <family val="2"/>
      </rPr>
      <t>RUSK ISD</t>
    </r>
  </si>
  <si>
    <r>
      <rPr>
        <sz val="11"/>
        <rFont val="Calibri"/>
        <family val="2"/>
      </rPr>
      <t>S AND S CISD</t>
    </r>
  </si>
  <si>
    <r>
      <rPr>
        <sz val="11"/>
        <rFont val="Calibri"/>
        <family val="2"/>
      </rPr>
      <t>SABINAL ISD</t>
    </r>
  </si>
  <si>
    <r>
      <rPr>
        <sz val="11"/>
        <rFont val="Calibri"/>
        <family val="2"/>
      </rPr>
      <t>SABINE ISD</t>
    </r>
  </si>
  <si>
    <r>
      <rPr>
        <sz val="11"/>
        <rFont val="Calibri"/>
        <family val="2"/>
      </rPr>
      <t>SABINE PASS ISD</t>
    </r>
  </si>
  <si>
    <r>
      <rPr>
        <sz val="11"/>
        <rFont val="Calibri"/>
        <family val="2"/>
      </rPr>
      <t>SAINT JO ISD</t>
    </r>
  </si>
  <si>
    <r>
      <rPr>
        <sz val="11"/>
        <rFont val="Calibri"/>
        <family val="2"/>
      </rPr>
      <t>SALADO ISD</t>
    </r>
  </si>
  <si>
    <r>
      <rPr>
        <sz val="11"/>
        <rFont val="Calibri"/>
        <family val="2"/>
      </rPr>
      <t>SALTILLO ISD</t>
    </r>
  </si>
  <si>
    <r>
      <rPr>
        <sz val="11"/>
        <rFont val="Calibri"/>
        <family val="2"/>
      </rPr>
      <t>SAM RAYBURN ISD</t>
    </r>
  </si>
  <si>
    <r>
      <rPr>
        <sz val="11"/>
        <rFont val="Calibri"/>
        <family val="2"/>
      </rPr>
      <t>SAN ANGELO ISD</t>
    </r>
  </si>
  <si>
    <r>
      <rPr>
        <sz val="11"/>
        <rFont val="Calibri"/>
        <family val="2"/>
      </rPr>
      <t>SAN ANTONIO ISD</t>
    </r>
  </si>
  <si>
    <r>
      <rPr>
        <sz val="11"/>
        <rFont val="Calibri"/>
        <family val="2"/>
      </rPr>
      <t>SAN AUGUSTINE ISD</t>
    </r>
  </si>
  <si>
    <r>
      <rPr>
        <sz val="11"/>
        <rFont val="Calibri"/>
        <family val="2"/>
      </rPr>
      <t>SAN BENITO CISD</t>
    </r>
  </si>
  <si>
    <r>
      <rPr>
        <sz val="11"/>
        <rFont val="Calibri"/>
        <family val="2"/>
      </rPr>
      <t>SAN DIEGO ISD</t>
    </r>
  </si>
  <si>
    <r>
      <rPr>
        <sz val="11"/>
        <rFont val="Calibri"/>
        <family val="2"/>
      </rPr>
      <t>SAN ELIZARIO ISD</t>
    </r>
  </si>
  <si>
    <r>
      <rPr>
        <sz val="11"/>
        <rFont val="Calibri"/>
        <family val="2"/>
      </rPr>
      <t>SAN FELIPE-DEL RIO CISD</t>
    </r>
  </si>
  <si>
    <r>
      <rPr>
        <sz val="11"/>
        <rFont val="Calibri"/>
        <family val="2"/>
      </rPr>
      <t>SAN ISIDRO ISD</t>
    </r>
  </si>
  <si>
    <r>
      <rPr>
        <sz val="11"/>
        <rFont val="Calibri"/>
        <family val="2"/>
      </rPr>
      <t>SAN MARCOS CISD</t>
    </r>
  </si>
  <si>
    <r>
      <rPr>
        <sz val="11"/>
        <rFont val="Calibri"/>
        <family val="2"/>
      </rPr>
      <t>SAN PERLITA ISD</t>
    </r>
  </si>
  <si>
    <r>
      <rPr>
        <sz val="11"/>
        <rFont val="Calibri"/>
        <family val="2"/>
      </rPr>
      <t>SAN SABA ISD</t>
    </r>
  </si>
  <si>
    <r>
      <rPr>
        <sz val="11"/>
        <rFont val="Calibri"/>
        <family val="2"/>
      </rPr>
      <t>SAN VICENTE ISD</t>
    </r>
  </si>
  <si>
    <r>
      <rPr>
        <sz val="11"/>
        <rFont val="Calibri"/>
        <family val="2"/>
      </rPr>
      <t>SANDS CISD</t>
    </r>
  </si>
  <si>
    <r>
      <rPr>
        <sz val="11"/>
        <rFont val="Calibri"/>
        <family val="2"/>
      </rPr>
      <t>SANFORD-FRITCH ISD</t>
    </r>
  </si>
  <si>
    <r>
      <rPr>
        <sz val="11"/>
        <rFont val="Calibri"/>
        <family val="2"/>
      </rPr>
      <t>SANGER ISD</t>
    </r>
  </si>
  <si>
    <r>
      <rPr>
        <sz val="11"/>
        <rFont val="Calibri"/>
        <family val="2"/>
      </rPr>
      <t>SANTA ANNA ISD</t>
    </r>
  </si>
  <si>
    <r>
      <rPr>
        <sz val="11"/>
        <rFont val="Calibri"/>
        <family val="2"/>
      </rPr>
      <t>SANTA FE ISD</t>
    </r>
  </si>
  <si>
    <r>
      <rPr>
        <sz val="11"/>
        <rFont val="Calibri"/>
        <family val="2"/>
      </rPr>
      <t>SANTA GERTRUDIS ISD</t>
    </r>
  </si>
  <si>
    <r>
      <rPr>
        <sz val="11"/>
        <rFont val="Calibri"/>
        <family val="2"/>
      </rPr>
      <t>SANTA MARIA ISD</t>
    </r>
  </si>
  <si>
    <r>
      <rPr>
        <sz val="11"/>
        <rFont val="Calibri"/>
        <family val="2"/>
      </rPr>
      <t>SANTA ROSA ISD</t>
    </r>
  </si>
  <si>
    <r>
      <rPr>
        <sz val="11"/>
        <rFont val="Calibri"/>
        <family val="2"/>
      </rPr>
      <t>SANTO ISD</t>
    </r>
  </si>
  <si>
    <r>
      <rPr>
        <sz val="11"/>
        <rFont val="Calibri"/>
        <family val="2"/>
      </rPr>
      <t>SAVOY ISD</t>
    </r>
  </si>
  <si>
    <r>
      <rPr>
        <sz val="11"/>
        <rFont val="Calibri"/>
        <family val="2"/>
      </rPr>
      <t>SCHERTZ-CIBOLO-U CITY ISD</t>
    </r>
  </si>
  <si>
    <r>
      <rPr>
        <sz val="11"/>
        <rFont val="Calibri"/>
        <family val="2"/>
      </rPr>
      <t>SCHLEICHER ISD</t>
    </r>
  </si>
  <si>
    <r>
      <rPr>
        <sz val="11"/>
        <rFont val="Calibri"/>
        <family val="2"/>
      </rPr>
      <t>SCHULENBURG ISD</t>
    </r>
  </si>
  <si>
    <r>
      <rPr>
        <sz val="11"/>
        <rFont val="Calibri"/>
        <family val="2"/>
      </rPr>
      <t>SCURRY-ROSSER ISD</t>
    </r>
  </si>
  <si>
    <r>
      <rPr>
        <sz val="11"/>
        <rFont val="Calibri"/>
        <family val="2"/>
      </rPr>
      <t>SEAGRAVES ISD</t>
    </r>
  </si>
  <si>
    <r>
      <rPr>
        <sz val="11"/>
        <rFont val="Calibri"/>
        <family val="2"/>
      </rPr>
      <t>SEALY ISD</t>
    </r>
  </si>
  <si>
    <r>
      <rPr>
        <sz val="11"/>
        <rFont val="Calibri"/>
        <family val="2"/>
      </rPr>
      <t>SEGUIN ISD</t>
    </r>
  </si>
  <si>
    <r>
      <rPr>
        <sz val="11"/>
        <rFont val="Calibri"/>
        <family val="2"/>
      </rPr>
      <t>SEMINOLE ISD</t>
    </r>
  </si>
  <si>
    <r>
      <rPr>
        <sz val="11"/>
        <rFont val="Calibri"/>
        <family val="2"/>
      </rPr>
      <t>SEYMOUR ISD</t>
    </r>
  </si>
  <si>
    <r>
      <rPr>
        <sz val="11"/>
        <rFont val="Calibri"/>
        <family val="2"/>
      </rPr>
      <t>SHALLOWATER ISD</t>
    </r>
  </si>
  <si>
    <r>
      <rPr>
        <sz val="11"/>
        <rFont val="Calibri"/>
        <family val="2"/>
      </rPr>
      <t>SHAMROCK ISD</t>
    </r>
  </si>
  <si>
    <r>
      <rPr>
        <sz val="11"/>
        <rFont val="Calibri"/>
        <family val="2"/>
      </rPr>
      <t>SHARYLAND ISD</t>
    </r>
  </si>
  <si>
    <r>
      <rPr>
        <sz val="11"/>
        <rFont val="Calibri"/>
        <family val="2"/>
      </rPr>
      <t>SHELBYVILLE ISD</t>
    </r>
  </si>
  <si>
    <r>
      <rPr>
        <sz val="11"/>
        <rFont val="Calibri"/>
        <family val="2"/>
      </rPr>
      <t>SHELDON ISD</t>
    </r>
  </si>
  <si>
    <r>
      <rPr>
        <sz val="11"/>
        <rFont val="Calibri"/>
        <family val="2"/>
      </rPr>
      <t>SHEPHERD ISD</t>
    </r>
  </si>
  <si>
    <r>
      <rPr>
        <sz val="11"/>
        <rFont val="Calibri"/>
        <family val="2"/>
      </rPr>
      <t>SHERMAN ISD</t>
    </r>
  </si>
  <si>
    <r>
      <rPr>
        <sz val="11"/>
        <rFont val="Calibri"/>
        <family val="2"/>
      </rPr>
      <t>SHINER ISD</t>
    </r>
  </si>
  <si>
    <r>
      <rPr>
        <sz val="11"/>
        <rFont val="Calibri"/>
        <family val="2"/>
      </rPr>
      <t>SIDNEY ISD</t>
    </r>
  </si>
  <si>
    <r>
      <rPr>
        <sz val="11"/>
        <rFont val="Calibri"/>
        <family val="2"/>
      </rPr>
      <t>SIERRA BLANCA ISD</t>
    </r>
  </si>
  <si>
    <r>
      <rPr>
        <sz val="11"/>
        <rFont val="Calibri"/>
        <family val="2"/>
      </rPr>
      <t>SILSBEE ISD</t>
    </r>
  </si>
  <si>
    <r>
      <rPr>
        <sz val="11"/>
        <rFont val="Calibri"/>
        <family val="2"/>
      </rPr>
      <t>SILVERTON ISD</t>
    </r>
  </si>
  <si>
    <r>
      <rPr>
        <sz val="11"/>
        <rFont val="Calibri"/>
        <family val="2"/>
      </rPr>
      <t>SIMMS ISD</t>
    </r>
  </si>
  <si>
    <r>
      <rPr>
        <sz val="11"/>
        <rFont val="Calibri"/>
        <family val="2"/>
      </rPr>
      <t>SINTON ISD</t>
    </r>
  </si>
  <si>
    <r>
      <rPr>
        <sz val="11"/>
        <rFont val="Calibri"/>
        <family val="2"/>
      </rPr>
      <t>SIVELLS BEND ISD</t>
    </r>
  </si>
  <si>
    <r>
      <rPr>
        <sz val="11"/>
        <rFont val="Calibri"/>
        <family val="2"/>
      </rPr>
      <t>SKIDMORE-TYNAN ISD</t>
    </r>
  </si>
  <si>
    <r>
      <rPr>
        <sz val="11"/>
        <rFont val="Calibri"/>
        <family val="2"/>
      </rPr>
      <t>SLATON ISD</t>
    </r>
  </si>
  <si>
    <r>
      <rPr>
        <sz val="11"/>
        <rFont val="Calibri"/>
        <family val="2"/>
      </rPr>
      <t>SLIDELL ISD</t>
    </r>
  </si>
  <si>
    <r>
      <rPr>
        <sz val="11"/>
        <rFont val="Calibri"/>
        <family val="2"/>
      </rPr>
      <t>SLOCUM ISD</t>
    </r>
  </si>
  <si>
    <r>
      <rPr>
        <sz val="11"/>
        <rFont val="Calibri"/>
        <family val="2"/>
      </rPr>
      <t>SMITHVILLE ISD</t>
    </r>
  </si>
  <si>
    <r>
      <rPr>
        <sz val="11"/>
        <rFont val="Calibri"/>
        <family val="2"/>
      </rPr>
      <t>SMYER ISD</t>
    </r>
  </si>
  <si>
    <r>
      <rPr>
        <sz val="11"/>
        <rFont val="Calibri"/>
        <family val="2"/>
      </rPr>
      <t>SNOOK ISD</t>
    </r>
  </si>
  <si>
    <r>
      <rPr>
        <sz val="11"/>
        <rFont val="Calibri"/>
        <family val="2"/>
      </rPr>
      <t>SNYDER ISD</t>
    </r>
  </si>
  <si>
    <r>
      <rPr>
        <sz val="11"/>
        <rFont val="Calibri"/>
        <family val="2"/>
      </rPr>
      <t>SOCORRO ISD</t>
    </r>
  </si>
  <si>
    <r>
      <rPr>
        <sz val="11"/>
        <rFont val="Calibri"/>
        <family val="2"/>
      </rPr>
      <t>SOMERSET ISD</t>
    </r>
  </si>
  <si>
    <r>
      <rPr>
        <sz val="11"/>
        <rFont val="Calibri"/>
        <family val="2"/>
      </rPr>
      <t>SOMERVILLE ISD</t>
    </r>
  </si>
  <si>
    <r>
      <rPr>
        <sz val="11"/>
        <rFont val="Calibri"/>
        <family val="2"/>
      </rPr>
      <t>SONORA ISD</t>
    </r>
  </si>
  <si>
    <r>
      <rPr>
        <sz val="11"/>
        <rFont val="Calibri"/>
        <family val="2"/>
      </rPr>
      <t>SOUTH SAN ANTONIO ISD</t>
    </r>
  </si>
  <si>
    <r>
      <rPr>
        <sz val="11"/>
        <rFont val="Calibri"/>
        <family val="2"/>
      </rPr>
      <t>SOUTHLAND ISD</t>
    </r>
  </si>
  <si>
    <r>
      <rPr>
        <sz val="11"/>
        <rFont val="Calibri"/>
        <family val="2"/>
      </rPr>
      <t>SOUTHSIDE ISD</t>
    </r>
  </si>
  <si>
    <r>
      <rPr>
        <sz val="11"/>
        <rFont val="Calibri"/>
        <family val="2"/>
      </rPr>
      <t>SOUTHWEST ISD</t>
    </r>
  </si>
  <si>
    <r>
      <rPr>
        <sz val="11"/>
        <rFont val="Calibri"/>
        <family val="2"/>
      </rPr>
      <t>SPEARMAN ISD</t>
    </r>
  </si>
  <si>
    <r>
      <rPr>
        <sz val="11"/>
        <rFont val="Calibri"/>
        <family val="2"/>
      </rPr>
      <t>SPLENDORA ISD</t>
    </r>
  </si>
  <si>
    <r>
      <rPr>
        <sz val="11"/>
        <rFont val="Calibri"/>
        <family val="2"/>
      </rPr>
      <t>SPRING BRANCH ISD</t>
    </r>
  </si>
  <si>
    <r>
      <rPr>
        <sz val="11"/>
        <rFont val="Calibri"/>
        <family val="2"/>
      </rPr>
      <t>SPRING CREEK ISD</t>
    </r>
  </si>
  <si>
    <r>
      <rPr>
        <sz val="11"/>
        <rFont val="Calibri"/>
        <family val="2"/>
      </rPr>
      <t>SPRING HILL ISD</t>
    </r>
  </si>
  <si>
    <r>
      <rPr>
        <sz val="11"/>
        <rFont val="Calibri"/>
        <family val="2"/>
      </rPr>
      <t>SPRING ISD</t>
    </r>
  </si>
  <si>
    <r>
      <rPr>
        <sz val="11"/>
        <rFont val="Calibri"/>
        <family val="2"/>
      </rPr>
      <t>SPRINGLAKE-EARTH ISD</t>
    </r>
  </si>
  <si>
    <r>
      <rPr>
        <sz val="11"/>
        <rFont val="Calibri"/>
        <family val="2"/>
      </rPr>
      <t>SPRINGTOWN ISD</t>
    </r>
  </si>
  <si>
    <r>
      <rPr>
        <sz val="11"/>
        <rFont val="Calibri"/>
        <family val="2"/>
      </rPr>
      <t>SPUR ISD</t>
    </r>
  </si>
  <si>
    <r>
      <rPr>
        <sz val="11"/>
        <rFont val="Calibri"/>
        <family val="2"/>
      </rPr>
      <t>SPURGER ISD</t>
    </r>
  </si>
  <si>
    <r>
      <rPr>
        <sz val="11"/>
        <rFont val="Calibri"/>
        <family val="2"/>
      </rPr>
      <t>STAFFORD MSD</t>
    </r>
  </si>
  <si>
    <r>
      <rPr>
        <sz val="11"/>
        <rFont val="Calibri"/>
        <family val="2"/>
      </rPr>
      <t>STAMFORD ISD</t>
    </r>
  </si>
  <si>
    <r>
      <rPr>
        <sz val="11"/>
        <rFont val="Calibri"/>
        <family val="2"/>
      </rPr>
      <t>STANTON ISD</t>
    </r>
  </si>
  <si>
    <r>
      <rPr>
        <sz val="11"/>
        <rFont val="Calibri"/>
        <family val="2"/>
      </rPr>
      <t>STEPHENVILLE ISD</t>
    </r>
  </si>
  <si>
    <r>
      <rPr>
        <sz val="11"/>
        <rFont val="Calibri"/>
        <family val="2"/>
      </rPr>
      <t>STERLING CITY ISD</t>
    </r>
  </si>
  <si>
    <r>
      <rPr>
        <sz val="11"/>
        <rFont val="Calibri"/>
        <family val="2"/>
      </rPr>
      <t>STOCKDALE ISD</t>
    </r>
  </si>
  <si>
    <r>
      <rPr>
        <sz val="11"/>
        <rFont val="Calibri"/>
        <family val="2"/>
      </rPr>
      <t>STRATFORD ISD</t>
    </r>
  </si>
  <si>
    <r>
      <rPr>
        <sz val="11"/>
        <rFont val="Calibri"/>
        <family val="2"/>
      </rPr>
      <t>STRAWN ISD</t>
    </r>
  </si>
  <si>
    <r>
      <rPr>
        <sz val="11"/>
        <rFont val="Calibri"/>
        <family val="2"/>
      </rPr>
      <t>SUDAN ISD</t>
    </r>
  </si>
  <si>
    <r>
      <rPr>
        <sz val="11"/>
        <rFont val="Calibri"/>
        <family val="2"/>
      </rPr>
      <t>SULPHUR BLUFF ISD</t>
    </r>
  </si>
  <si>
    <r>
      <rPr>
        <sz val="11"/>
        <rFont val="Calibri"/>
        <family val="2"/>
      </rPr>
      <t>SULPHUR SPRINGS ISD</t>
    </r>
  </si>
  <si>
    <r>
      <rPr>
        <sz val="11"/>
        <rFont val="Calibri"/>
        <family val="2"/>
      </rPr>
      <t>SUNDOWN ISD</t>
    </r>
  </si>
  <si>
    <r>
      <rPr>
        <sz val="11"/>
        <rFont val="Calibri"/>
        <family val="2"/>
      </rPr>
      <t>SUNNYVALE ISD</t>
    </r>
  </si>
  <si>
    <r>
      <rPr>
        <sz val="11"/>
        <rFont val="Calibri"/>
        <family val="2"/>
      </rPr>
      <t>SUNRAY ISD</t>
    </r>
  </si>
  <si>
    <r>
      <rPr>
        <sz val="11"/>
        <rFont val="Calibri"/>
        <family val="2"/>
      </rPr>
      <t>SWEENY ISD</t>
    </r>
  </si>
  <si>
    <r>
      <rPr>
        <sz val="11"/>
        <rFont val="Calibri"/>
        <family val="2"/>
      </rPr>
      <t>SWEET HOME ISD</t>
    </r>
  </si>
  <si>
    <r>
      <rPr>
        <sz val="11"/>
        <rFont val="Calibri"/>
        <family val="2"/>
      </rPr>
      <t>SWEETWATER ISD</t>
    </r>
  </si>
  <si>
    <r>
      <rPr>
        <sz val="11"/>
        <rFont val="Calibri"/>
        <family val="2"/>
      </rPr>
      <t>TAFT ISD</t>
    </r>
  </si>
  <si>
    <r>
      <rPr>
        <sz val="11"/>
        <rFont val="Calibri"/>
        <family val="2"/>
      </rPr>
      <t>TAHOKA ISD</t>
    </r>
  </si>
  <si>
    <r>
      <rPr>
        <sz val="11"/>
        <rFont val="Calibri"/>
        <family val="2"/>
      </rPr>
      <t>TARKINGTON ISD</t>
    </r>
  </si>
  <si>
    <r>
      <rPr>
        <sz val="11"/>
        <rFont val="Calibri"/>
        <family val="2"/>
      </rPr>
      <t>TATUM ISD</t>
    </r>
  </si>
  <si>
    <r>
      <rPr>
        <sz val="11"/>
        <rFont val="Calibri"/>
        <family val="2"/>
      </rPr>
      <t>TAYLOR ISD</t>
    </r>
  </si>
  <si>
    <r>
      <rPr>
        <sz val="11"/>
        <rFont val="Calibri"/>
        <family val="2"/>
      </rPr>
      <t>TEAGUE ISD</t>
    </r>
  </si>
  <si>
    <r>
      <rPr>
        <sz val="11"/>
        <rFont val="Calibri"/>
        <family val="2"/>
      </rPr>
      <t>TEMPLE ISD</t>
    </r>
  </si>
  <si>
    <r>
      <rPr>
        <sz val="11"/>
        <rFont val="Calibri"/>
        <family val="2"/>
      </rPr>
      <t>TENAHA ISD</t>
    </r>
  </si>
  <si>
    <r>
      <rPr>
        <sz val="11"/>
        <rFont val="Calibri"/>
        <family val="2"/>
      </rPr>
      <t>TERLINGUA CSD</t>
    </r>
  </si>
  <si>
    <r>
      <rPr>
        <sz val="11"/>
        <rFont val="Calibri"/>
        <family val="2"/>
      </rPr>
      <t>TERRELL COUNTY ISD</t>
    </r>
  </si>
  <si>
    <r>
      <rPr>
        <sz val="11"/>
        <rFont val="Calibri"/>
        <family val="2"/>
      </rPr>
      <t>TERRELL ISD</t>
    </r>
  </si>
  <si>
    <r>
      <rPr>
        <sz val="11"/>
        <rFont val="Calibri"/>
        <family val="2"/>
      </rPr>
      <t>TEXARKANA ISD</t>
    </r>
  </si>
  <si>
    <r>
      <rPr>
        <sz val="11"/>
        <rFont val="Calibri"/>
        <family val="2"/>
      </rPr>
      <t>TEXAS CITY ISD</t>
    </r>
  </si>
  <si>
    <r>
      <rPr>
        <sz val="11"/>
        <rFont val="Calibri"/>
        <family val="2"/>
      </rPr>
      <t>TEXHOMA ISD</t>
    </r>
  </si>
  <si>
    <r>
      <rPr>
        <sz val="11"/>
        <rFont val="Calibri"/>
        <family val="2"/>
      </rPr>
      <t>TEXLINE ISD</t>
    </r>
  </si>
  <si>
    <r>
      <rPr>
        <sz val="11"/>
        <rFont val="Calibri"/>
        <family val="2"/>
      </rPr>
      <t>THORNDALE ISD</t>
    </r>
  </si>
  <si>
    <r>
      <rPr>
        <sz val="11"/>
        <rFont val="Calibri"/>
        <family val="2"/>
      </rPr>
      <t>THRALL ISD</t>
    </r>
  </si>
  <si>
    <r>
      <rPr>
        <sz val="11"/>
        <rFont val="Calibri"/>
        <family val="2"/>
      </rPr>
      <t>THREE RIVERS ISD</t>
    </r>
  </si>
  <si>
    <r>
      <rPr>
        <sz val="11"/>
        <rFont val="Calibri"/>
        <family val="2"/>
      </rPr>
      <t>THREE WAY ISD</t>
    </r>
  </si>
  <si>
    <r>
      <rPr>
        <sz val="11"/>
        <rFont val="Calibri"/>
        <family val="2"/>
      </rPr>
      <t>THROCKMORTON ISD</t>
    </r>
  </si>
  <si>
    <r>
      <rPr>
        <sz val="11"/>
        <rFont val="Calibri"/>
        <family val="2"/>
      </rPr>
      <t>TIDEHAVEN ISD</t>
    </r>
  </si>
  <si>
    <r>
      <rPr>
        <sz val="11"/>
        <rFont val="Calibri"/>
        <family val="2"/>
      </rPr>
      <t>TIMPSON ISD</t>
    </r>
  </si>
  <si>
    <r>
      <rPr>
        <sz val="11"/>
        <rFont val="Calibri"/>
        <family val="2"/>
      </rPr>
      <t>TIOGA ISD</t>
    </r>
  </si>
  <si>
    <r>
      <rPr>
        <sz val="11"/>
        <rFont val="Calibri"/>
        <family val="2"/>
      </rPr>
      <t>TOLAR ISD</t>
    </r>
  </si>
  <si>
    <r>
      <rPr>
        <sz val="11"/>
        <rFont val="Calibri"/>
        <family val="2"/>
      </rPr>
      <t>TOM BEAN ISD</t>
    </r>
  </si>
  <si>
    <r>
      <rPr>
        <sz val="11"/>
        <rFont val="Calibri"/>
        <family val="2"/>
      </rPr>
      <t>TOMBALL ISD</t>
    </r>
  </si>
  <si>
    <r>
      <rPr>
        <sz val="11"/>
        <rFont val="Calibri"/>
        <family val="2"/>
      </rPr>
      <t>TORNILLO ISD</t>
    </r>
  </si>
  <si>
    <r>
      <rPr>
        <sz val="11"/>
        <rFont val="Calibri"/>
        <family val="2"/>
      </rPr>
      <t>TRENT ISD</t>
    </r>
  </si>
  <si>
    <r>
      <rPr>
        <sz val="11"/>
        <rFont val="Calibri"/>
        <family val="2"/>
      </rPr>
      <t>TRENTON ISD</t>
    </r>
  </si>
  <si>
    <r>
      <rPr>
        <sz val="11"/>
        <rFont val="Calibri"/>
        <family val="2"/>
      </rPr>
      <t>TRINIDAD ISD</t>
    </r>
  </si>
  <si>
    <r>
      <rPr>
        <sz val="11"/>
        <rFont val="Calibri"/>
        <family val="2"/>
      </rPr>
      <t>TRINITY ISD</t>
    </r>
  </si>
  <si>
    <r>
      <rPr>
        <sz val="11"/>
        <rFont val="Calibri"/>
        <family val="2"/>
      </rPr>
      <t>TROUP ISD</t>
    </r>
  </si>
  <si>
    <r>
      <rPr>
        <sz val="11"/>
        <rFont val="Calibri"/>
        <family val="2"/>
      </rPr>
      <t>TROY ISD</t>
    </r>
  </si>
  <si>
    <r>
      <rPr>
        <sz val="11"/>
        <rFont val="Calibri"/>
        <family val="2"/>
      </rPr>
      <t>TULIA ISD</t>
    </r>
  </si>
  <si>
    <r>
      <rPr>
        <sz val="11"/>
        <rFont val="Calibri"/>
        <family val="2"/>
      </rPr>
      <t>TULOSO-MIDWAY ISD</t>
    </r>
  </si>
  <si>
    <r>
      <rPr>
        <sz val="11"/>
        <rFont val="Calibri"/>
        <family val="2"/>
      </rPr>
      <t>TURKEY-QUITAQUE ISD</t>
    </r>
  </si>
  <si>
    <r>
      <rPr>
        <sz val="11"/>
        <rFont val="Calibri"/>
        <family val="2"/>
      </rPr>
      <t>TYLER ISD</t>
    </r>
  </si>
  <si>
    <r>
      <rPr>
        <sz val="11"/>
        <rFont val="Calibri"/>
        <family val="2"/>
      </rPr>
      <t>UNION GROVE ISD</t>
    </r>
  </si>
  <si>
    <r>
      <rPr>
        <sz val="11"/>
        <rFont val="Calibri"/>
        <family val="2"/>
      </rPr>
      <t>UNION HILL ISD</t>
    </r>
  </si>
  <si>
    <r>
      <rPr>
        <sz val="11"/>
        <rFont val="Calibri"/>
        <family val="2"/>
      </rPr>
      <t>UNITED ISD</t>
    </r>
  </si>
  <si>
    <r>
      <rPr>
        <sz val="11"/>
        <rFont val="Calibri"/>
        <family val="2"/>
      </rPr>
      <t>UTOPIA ISD</t>
    </r>
  </si>
  <si>
    <r>
      <rPr>
        <sz val="11"/>
        <rFont val="Calibri"/>
        <family val="2"/>
      </rPr>
      <t>UVALDE CISD</t>
    </r>
  </si>
  <si>
    <r>
      <rPr>
        <sz val="11"/>
        <rFont val="Calibri"/>
        <family val="2"/>
      </rPr>
      <t>VALENTINE ISD</t>
    </r>
  </si>
  <si>
    <r>
      <rPr>
        <sz val="11"/>
        <rFont val="Calibri"/>
        <family val="2"/>
      </rPr>
      <t>VALLEY MILLS ISD</t>
    </r>
  </si>
  <si>
    <r>
      <rPr>
        <sz val="11"/>
        <rFont val="Calibri"/>
        <family val="2"/>
      </rPr>
      <t>VALLEY VIEW ISD</t>
    </r>
  </si>
  <si>
    <r>
      <rPr>
        <sz val="11"/>
        <rFont val="Calibri"/>
        <family val="2"/>
      </rPr>
      <t>VAN ALSTYNE ISD</t>
    </r>
  </si>
  <si>
    <r>
      <rPr>
        <sz val="11"/>
        <rFont val="Calibri"/>
        <family val="2"/>
      </rPr>
      <t>VAN ISD</t>
    </r>
  </si>
  <si>
    <r>
      <rPr>
        <sz val="11"/>
        <rFont val="Calibri"/>
        <family val="2"/>
      </rPr>
      <t>VAN VLECK ISD</t>
    </r>
  </si>
  <si>
    <r>
      <rPr>
        <sz val="11"/>
        <rFont val="Calibri"/>
        <family val="2"/>
      </rPr>
      <t>VEGA ISD</t>
    </r>
  </si>
  <si>
    <r>
      <rPr>
        <sz val="11"/>
        <rFont val="Calibri"/>
        <family val="2"/>
      </rPr>
      <t>VENUS ISD</t>
    </r>
  </si>
  <si>
    <r>
      <rPr>
        <sz val="11"/>
        <rFont val="Calibri"/>
        <family val="2"/>
      </rPr>
      <t>VERIBEST ISD</t>
    </r>
  </si>
  <si>
    <r>
      <rPr>
        <sz val="11"/>
        <rFont val="Calibri"/>
        <family val="2"/>
      </rPr>
      <t>VERNON ISD</t>
    </r>
  </si>
  <si>
    <r>
      <rPr>
        <sz val="11"/>
        <rFont val="Calibri"/>
        <family val="2"/>
      </rPr>
      <t>VICTORIA ISD</t>
    </r>
  </si>
  <si>
    <r>
      <rPr>
        <sz val="11"/>
        <rFont val="Calibri"/>
        <family val="2"/>
      </rPr>
      <t>VIDOR ISD</t>
    </r>
  </si>
  <si>
    <r>
      <rPr>
        <sz val="11"/>
        <rFont val="Calibri"/>
        <family val="2"/>
      </rPr>
      <t>VYSEHRAD ISD</t>
    </r>
  </si>
  <si>
    <r>
      <rPr>
        <sz val="11"/>
        <rFont val="Calibri"/>
        <family val="2"/>
      </rPr>
      <t>WACO ISD</t>
    </r>
  </si>
  <si>
    <r>
      <rPr>
        <sz val="11"/>
        <rFont val="Calibri"/>
        <family val="2"/>
      </rPr>
      <t>WAELDER ISD</t>
    </r>
  </si>
  <si>
    <r>
      <rPr>
        <sz val="11"/>
        <rFont val="Calibri"/>
        <family val="2"/>
      </rPr>
      <t>WALCOTT ISD</t>
    </r>
  </si>
  <si>
    <r>
      <rPr>
        <sz val="11"/>
        <rFont val="Calibri"/>
        <family val="2"/>
      </rPr>
      <t>WALL ISD</t>
    </r>
  </si>
  <si>
    <r>
      <rPr>
        <sz val="11"/>
        <rFont val="Calibri"/>
        <family val="2"/>
      </rPr>
      <t>WALLER ISD</t>
    </r>
  </si>
  <si>
    <r>
      <rPr>
        <sz val="11"/>
        <rFont val="Calibri"/>
        <family val="2"/>
      </rPr>
      <t>WALNUT BEND ISD</t>
    </r>
  </si>
  <si>
    <r>
      <rPr>
        <sz val="11"/>
        <rFont val="Calibri"/>
        <family val="2"/>
      </rPr>
      <t>WALNUT SPRINGS ISD</t>
    </r>
  </si>
  <si>
    <r>
      <rPr>
        <sz val="11"/>
        <rFont val="Calibri"/>
        <family val="2"/>
      </rPr>
      <t>WARREN ISD</t>
    </r>
  </si>
  <si>
    <r>
      <rPr>
        <sz val="11"/>
        <rFont val="Calibri"/>
        <family val="2"/>
      </rPr>
      <t>WASKOM ISD</t>
    </r>
  </si>
  <si>
    <r>
      <rPr>
        <sz val="11"/>
        <rFont val="Calibri"/>
        <family val="2"/>
      </rPr>
      <t>WATER VALLEY ISD</t>
    </r>
  </si>
  <si>
    <r>
      <rPr>
        <sz val="11"/>
        <rFont val="Calibri"/>
        <family val="2"/>
      </rPr>
      <t>WAXAHACHIE ISD</t>
    </r>
  </si>
  <si>
    <r>
      <rPr>
        <sz val="11"/>
        <rFont val="Calibri"/>
        <family val="2"/>
      </rPr>
      <t>WEATHERFORD ISD</t>
    </r>
  </si>
  <si>
    <r>
      <rPr>
        <sz val="11"/>
        <rFont val="Calibri"/>
        <family val="2"/>
      </rPr>
      <t>WEBB CISD</t>
    </r>
  </si>
  <si>
    <r>
      <rPr>
        <sz val="11"/>
        <rFont val="Calibri"/>
        <family val="2"/>
      </rPr>
      <t>WEIMAR ISD</t>
    </r>
  </si>
  <si>
    <r>
      <rPr>
        <sz val="11"/>
        <rFont val="Calibri"/>
        <family val="2"/>
      </rPr>
      <t>WELLINGTON ISD</t>
    </r>
  </si>
  <si>
    <r>
      <rPr>
        <sz val="11"/>
        <rFont val="Calibri"/>
        <family val="2"/>
      </rPr>
      <t>WELLMAN-UNION CISD</t>
    </r>
  </si>
  <si>
    <r>
      <rPr>
        <sz val="11"/>
        <rFont val="Calibri"/>
        <family val="2"/>
      </rPr>
      <t>WELLS ISD</t>
    </r>
  </si>
  <si>
    <r>
      <rPr>
        <sz val="11"/>
        <rFont val="Calibri"/>
        <family val="2"/>
      </rPr>
      <t>WESLACO ISD</t>
    </r>
  </si>
  <si>
    <r>
      <rPr>
        <sz val="11"/>
        <rFont val="Calibri"/>
        <family val="2"/>
      </rPr>
      <t>WEST HARDIN COUNTY CISD</t>
    </r>
  </si>
  <si>
    <r>
      <rPr>
        <sz val="11"/>
        <rFont val="Calibri"/>
        <family val="2"/>
      </rPr>
      <t>WEST ISD</t>
    </r>
  </si>
  <si>
    <r>
      <rPr>
        <sz val="11"/>
        <rFont val="Calibri"/>
        <family val="2"/>
      </rPr>
      <t>WEST ORANGE-COVE CISD</t>
    </r>
  </si>
  <si>
    <r>
      <rPr>
        <sz val="11"/>
        <rFont val="Calibri"/>
        <family val="2"/>
      </rPr>
      <t>WEST OSO ISD</t>
    </r>
  </si>
  <si>
    <r>
      <rPr>
        <sz val="11"/>
        <rFont val="Calibri"/>
        <family val="2"/>
      </rPr>
      <t>WEST RUSK COUNTY CONSOLIDATED ISD</t>
    </r>
  </si>
  <si>
    <r>
      <rPr>
        <sz val="11"/>
        <rFont val="Calibri"/>
        <family val="2"/>
      </rPr>
      <t>WEST SABINE ISD</t>
    </r>
  </si>
  <si>
    <r>
      <rPr>
        <sz val="11"/>
        <rFont val="Calibri"/>
        <family val="2"/>
      </rPr>
      <t>WESTBROOK ISD</t>
    </r>
  </si>
  <si>
    <r>
      <rPr>
        <sz val="11"/>
        <rFont val="Calibri"/>
        <family val="2"/>
      </rPr>
      <t>WESTHOFF ISD</t>
    </r>
  </si>
  <si>
    <r>
      <rPr>
        <sz val="11"/>
        <rFont val="Calibri"/>
        <family val="2"/>
      </rPr>
      <t>WESTPHALIA ISD</t>
    </r>
  </si>
  <si>
    <r>
      <rPr>
        <sz val="11"/>
        <rFont val="Calibri"/>
        <family val="2"/>
      </rPr>
      <t>WESTWOOD ISD</t>
    </r>
  </si>
  <si>
    <r>
      <rPr>
        <sz val="11"/>
        <rFont val="Calibri"/>
        <family val="2"/>
      </rPr>
      <t>WHARTON ISD</t>
    </r>
  </si>
  <si>
    <r>
      <rPr>
        <sz val="11"/>
        <rFont val="Calibri"/>
        <family val="2"/>
      </rPr>
      <t>WHEELER ISD</t>
    </r>
  </si>
  <si>
    <r>
      <rPr>
        <sz val="11"/>
        <rFont val="Calibri"/>
        <family val="2"/>
      </rPr>
      <t>WHITE DEER ISD</t>
    </r>
  </si>
  <si>
    <r>
      <rPr>
        <sz val="11"/>
        <rFont val="Calibri"/>
        <family val="2"/>
      </rPr>
      <t>WHITE OAK ISD</t>
    </r>
  </si>
  <si>
    <r>
      <rPr>
        <sz val="11"/>
        <rFont val="Calibri"/>
        <family val="2"/>
      </rPr>
      <t>WHITE SETTLEMENT ISD</t>
    </r>
  </si>
  <si>
    <r>
      <rPr>
        <sz val="11"/>
        <rFont val="Calibri"/>
        <family val="2"/>
      </rPr>
      <t>WHITEFACE CISD</t>
    </r>
  </si>
  <si>
    <r>
      <rPr>
        <sz val="11"/>
        <rFont val="Calibri"/>
        <family val="2"/>
      </rPr>
      <t>WHITEHOUSE ISD</t>
    </r>
  </si>
  <si>
    <r>
      <rPr>
        <sz val="11"/>
        <rFont val="Calibri"/>
        <family val="2"/>
      </rPr>
      <t>WHITESBORO ISD</t>
    </r>
  </si>
  <si>
    <r>
      <rPr>
        <sz val="11"/>
        <rFont val="Calibri"/>
        <family val="2"/>
      </rPr>
      <t>WHITEWRIGHT ISD</t>
    </r>
  </si>
  <si>
    <r>
      <rPr>
        <sz val="11"/>
        <rFont val="Calibri"/>
        <family val="2"/>
      </rPr>
      <t>WHITHARRAL ISD</t>
    </r>
  </si>
  <si>
    <r>
      <rPr>
        <sz val="11"/>
        <rFont val="Calibri"/>
        <family val="2"/>
      </rPr>
      <t>WHITNEY ISD</t>
    </r>
  </si>
  <si>
    <r>
      <rPr>
        <sz val="11"/>
        <rFont val="Calibri"/>
        <family val="2"/>
      </rPr>
      <t>WICHITA FALLS ISD</t>
    </r>
  </si>
  <si>
    <r>
      <rPr>
        <sz val="11"/>
        <rFont val="Calibri"/>
        <family val="2"/>
      </rPr>
      <t>WILDORADO ISD</t>
    </r>
  </si>
  <si>
    <r>
      <rPr>
        <sz val="11"/>
        <rFont val="Calibri"/>
        <family val="2"/>
      </rPr>
      <t>WILLIS ISD</t>
    </r>
  </si>
  <si>
    <r>
      <rPr>
        <sz val="11"/>
        <rFont val="Calibri"/>
        <family val="2"/>
      </rPr>
      <t>WILLS POINT ISD</t>
    </r>
  </si>
  <si>
    <r>
      <rPr>
        <sz val="11"/>
        <rFont val="Calibri"/>
        <family val="2"/>
      </rPr>
      <t>WILSON ISD</t>
    </r>
  </si>
  <si>
    <r>
      <rPr>
        <sz val="11"/>
        <rFont val="Calibri"/>
        <family val="2"/>
      </rPr>
      <t>WIMBERLEY ISD</t>
    </r>
  </si>
  <si>
    <r>
      <rPr>
        <sz val="11"/>
        <rFont val="Calibri"/>
        <family val="2"/>
      </rPr>
      <t>WINDTHORST ISD</t>
    </r>
  </si>
  <si>
    <r>
      <rPr>
        <sz val="11"/>
        <rFont val="Calibri"/>
        <family val="2"/>
      </rPr>
      <t>WINK-LOVING ISD</t>
    </r>
  </si>
  <si>
    <r>
      <rPr>
        <sz val="11"/>
        <rFont val="Calibri"/>
        <family val="2"/>
      </rPr>
      <t>WINNSBORO ISD</t>
    </r>
  </si>
  <si>
    <r>
      <rPr>
        <sz val="11"/>
        <rFont val="Calibri"/>
        <family val="2"/>
      </rPr>
      <t>WINONA ISD</t>
    </r>
  </si>
  <si>
    <r>
      <rPr>
        <sz val="11"/>
        <rFont val="Calibri"/>
        <family val="2"/>
      </rPr>
      <t>WINTERS ISD</t>
    </r>
  </si>
  <si>
    <r>
      <rPr>
        <sz val="11"/>
        <rFont val="Calibri"/>
        <family val="2"/>
      </rPr>
      <t>WODEN ISD</t>
    </r>
  </si>
  <si>
    <r>
      <rPr>
        <sz val="11"/>
        <rFont val="Calibri"/>
        <family val="2"/>
      </rPr>
      <t>WOLFE CITY ISD</t>
    </r>
  </si>
  <si>
    <r>
      <rPr>
        <sz val="11"/>
        <rFont val="Calibri"/>
        <family val="2"/>
      </rPr>
      <t>WOODSBORO ISD</t>
    </r>
  </si>
  <si>
    <r>
      <rPr>
        <sz val="11"/>
        <rFont val="Calibri"/>
        <family val="2"/>
      </rPr>
      <t>WOODSON ISD</t>
    </r>
  </si>
  <si>
    <r>
      <rPr>
        <sz val="11"/>
        <rFont val="Calibri"/>
        <family val="2"/>
      </rPr>
      <t>WOODVILLE ISD</t>
    </r>
  </si>
  <si>
    <r>
      <rPr>
        <sz val="11"/>
        <rFont val="Calibri"/>
        <family val="2"/>
      </rPr>
      <t>WORTHAM ISD</t>
    </r>
  </si>
  <si>
    <r>
      <rPr>
        <sz val="11"/>
        <rFont val="Calibri"/>
        <family val="2"/>
      </rPr>
      <t>WYLIE ISD</t>
    </r>
  </si>
  <si>
    <r>
      <rPr>
        <sz val="11"/>
        <rFont val="Calibri"/>
        <family val="2"/>
      </rPr>
      <t>YANTIS ISD</t>
    </r>
  </si>
  <si>
    <r>
      <rPr>
        <sz val="11"/>
        <rFont val="Calibri"/>
        <family val="2"/>
      </rPr>
      <t>YOAKUM ISD</t>
    </r>
  </si>
  <si>
    <r>
      <rPr>
        <sz val="11"/>
        <rFont val="Calibri"/>
        <family val="2"/>
      </rPr>
      <t>YORKTOWN ISD</t>
    </r>
  </si>
  <si>
    <r>
      <rPr>
        <sz val="11"/>
        <rFont val="Calibri"/>
        <family val="2"/>
      </rPr>
      <t>YSLETA ISD</t>
    </r>
  </si>
  <si>
    <r>
      <rPr>
        <sz val="11"/>
        <rFont val="Calibri"/>
        <family val="2"/>
      </rPr>
      <t>ZAPATA COUNTY ISD</t>
    </r>
  </si>
  <si>
    <r>
      <rPr>
        <sz val="11"/>
        <rFont val="Calibri"/>
        <family val="2"/>
      </rPr>
      <t>ZAVALLA ISD</t>
    </r>
  </si>
  <si>
    <r>
      <rPr>
        <sz val="11"/>
        <rFont val="Calibri"/>
        <family val="2"/>
      </rPr>
      <t>ZEPHYR ISD</t>
    </r>
  </si>
  <si>
    <t>22-23 MCRs</t>
  </si>
  <si>
    <r>
      <t xml:space="preserve">OR, (2) State Compression Rate </t>
    </r>
    <r>
      <rPr>
        <b/>
        <sz val="10"/>
        <color rgb="FF669900"/>
        <rFont val="Arial MT"/>
      </rPr>
      <t xml:space="preserve">(SCP) - </t>
    </r>
    <r>
      <rPr>
        <b/>
        <sz val="10"/>
        <rFont val="Arial MT"/>
      </rPr>
      <t>this is the max MCR</t>
    </r>
  </si>
  <si>
    <t>this is the min MCR (Row 33 x .9)</t>
  </si>
  <si>
    <t>Template's calculated MCR</t>
  </si>
  <si>
    <t>(Based on T2 values entered on the Data Entry tab)</t>
  </si>
  <si>
    <t>TEA's "official/approved" MCR</t>
  </si>
  <si>
    <t>(Based on their "tax-rate-and-mcr" template - uses CAD values as of 7/25)</t>
  </si>
  <si>
    <t>CHAPTER 48.252</t>
  </si>
  <si>
    <t>CHAPTER 482.252</t>
  </si>
  <si>
    <t>Please note that the template's calculated MCRs are based on the T2 values entered on the data entry tab - the official MCRs will be determined each</t>
  </si>
  <si>
    <t>year by TEA using CAD values as of 7/25.</t>
  </si>
  <si>
    <t>Greater of for FTG</t>
  </si>
  <si>
    <t>&lt; Subject to proration</t>
  </si>
  <si>
    <t>&lt; prorated to 99.449388% as of this release</t>
  </si>
  <si>
    <t>Summary of Finances - All Years 21-22 thru 26-27</t>
  </si>
  <si>
    <t>This report is just a combined Summary of Finances for all years beginning with 21-22, without the links.</t>
  </si>
  <si>
    <t>2023-24 Expected M&amp;O Tax Rate: min (1) prior law M&amp;O rate, or (2) maximum</t>
  </si>
  <si>
    <t>2023-24 Adopted M&amp;O Tax Rate</t>
  </si>
  <si>
    <t>SB 1, The "Summertime Blues" bill - Release 1 Dated 12/01/2022</t>
  </si>
  <si>
    <t>ROUND 1 - Additions:</t>
  </si>
  <si>
    <t>didn’t think this old man knew that one, but remember, I have a soon-to-be 20-yr-old daughter).</t>
  </si>
  <si>
    <t>1) you will immediately notice that 20-21 has disappeared and for those few of you that do long-range planning, you will notice that the 26-27 year has been</t>
  </si>
  <si>
    <t>new series of templates, starting with this Release 1.</t>
  </si>
  <si>
    <t>added at the end…..most, if not all, of the 21-22 data elements have been loaded for you with the latest (as of this release) TEA data…….and so begins a</t>
  </si>
  <si>
    <t>&lt; The tax year 2021 value has been entered for you - it comes from the Deduction Detail report that is part of your final 2021 Property Value Study (PVS), which is on the Comptroller's website:</t>
  </si>
  <si>
    <t>&lt; The 2021 tax year values are carried over from the data entry tab where it auto-loads. The 22-23 and subsequent values are estimates of what your T2 value will be based on the growth rate entered.</t>
  </si>
  <si>
    <t>&lt; The 2021 tax year values are carried over from the data entry tab where it auto-loads. The 22-23 and subsequent values are estimates of what your T8 value will be based on the growth rate entered.</t>
  </si>
  <si>
    <t>&lt; The 2021 tax year values are carried over from the data entry tab where it auto-loads. The 22-23 and subsequent values are estimates of what your T1 value will be based on the growth rate entered.</t>
  </si>
  <si>
    <t>&lt; The 2021 tax year values are carried over from the data entry tab where it auto-loads. The 22-23 and subsequent values are estimates of what your T7 value will be based on the growth rate entered.</t>
  </si>
  <si>
    <t>Now that you have digested your Thanksgiving feast, here's the next release (some of you are thinking "...It's About Damn Time" (you youngsters probably</t>
  </si>
  <si>
    <t>2023-24 ADA</t>
  </si>
  <si>
    <t>2023-24 Total State/Local Revenue Needed to be Maintained (Line 6 x Line 7)</t>
  </si>
  <si>
    <t>2023-24 Tier I Local Share Requirement (includes Tier I recapture)</t>
  </si>
  <si>
    <t>2023-24 Tier I Levy Required for Local Share</t>
  </si>
  <si>
    <t>2023-24 Tier I State Aid</t>
  </si>
  <si>
    <t>2023-24 Tier II Golden Penny DTR Needed to Fund Remaining Balance</t>
  </si>
  <si>
    <t xml:space="preserve">2023-24 Tier II Taxes Collected @ Maximum # of Golden Pennies Allowed </t>
  </si>
  <si>
    <t>2023-24 Tier II Golden Penny DTR @ Maximum Golden Pennies Allowed</t>
  </si>
  <si>
    <t>2023-24 Tier II Golden Penny State/Local Revenue @ Maximum Collections</t>
  </si>
  <si>
    <t>2023-24 Tier II Golden Penny Local Share (LR)</t>
  </si>
  <si>
    <t>2023-24 M&amp;O Levy Needed for Tier II Golden Penny Local Share (LR)</t>
  </si>
  <si>
    <t>2023-24 Tier II Golden Penny State Aid @ Max DTR Allowed</t>
  </si>
  <si>
    <t>2023-24 Remaining Balance Needed (Line 12 - Line 17 - Line 19)</t>
  </si>
  <si>
    <t>2023-24 Tier II Copper Penny DTR Needed to Fund Remaining Balance</t>
  </si>
  <si>
    <t xml:space="preserve">2023-24 Tier II Taxes Collected @ Maximum # of Copper Pennies Allowed </t>
  </si>
  <si>
    <t>2023-24 Tier II Copper Penny DTR @ Maximum Copper Pennies Allowed</t>
  </si>
  <si>
    <t>2023-24 Tier II Copper Penny State/Local Revenue @ Maximum Collections</t>
  </si>
  <si>
    <t>2023-24 Tier II Recapture</t>
  </si>
  <si>
    <t>2023-24 M&amp;O Levy Needed for Tier II Copper Penny Level</t>
  </si>
  <si>
    <t>2023-24 Tier II Copper Penny State Aid @ Max DTR Allowed</t>
  </si>
  <si>
    <t>2023-24 Remaining Net Balance Needed (Line 20 - Line 25 - Line 28)</t>
  </si>
  <si>
    <t>2023-24 Levy Needed for Remaining Balance</t>
  </si>
  <si>
    <t>2023-24 Local Share of IFA for a Lease-Purchase</t>
  </si>
  <si>
    <t>2023-24 Levy Needed for Local Share of IFA Lease-Purchase Local Share</t>
  </si>
  <si>
    <t>2023-24 Total Levy Needed  (Sum of Lines 10, 18, 27, 30, and 33)</t>
  </si>
  <si>
    <t>FOR THE 2023-24 SCHOOL YEAR.</t>
  </si>
  <si>
    <t>NOTE:  The Comptroller's Truth-In-Taxation (publication?) should contain the official rollback tax rate worksheet for 2023-24.</t>
  </si>
  <si>
    <t>2023-24 ($1.50 x 66.67%) + $.04</t>
  </si>
  <si>
    <t>Rate #2 (2023-24 Effective M&amp;O Rate + $.04)</t>
  </si>
  <si>
    <t>2023-24 M&amp;O Rollback Rate (Lesser of Rate #1 or Rate #2)</t>
  </si>
  <si>
    <t>2022-23 Tier II State Aid</t>
  </si>
  <si>
    <t xml:space="preserve">2022-23 M&amp;O Tax Collections, Net of Recapture </t>
  </si>
  <si>
    <t>2022-23 Net Total State/Local Revenue</t>
  </si>
  <si>
    <t xml:space="preserve">2022-23 ADA </t>
  </si>
  <si>
    <t>2022-23 Net Total State/Local Revenue per ADA (Line 5 / Line 6)</t>
  </si>
  <si>
    <t>2023-24 Balance Needed in Order to Maintain 2022-23 Revenue Level</t>
  </si>
  <si>
    <t>THE FOLLOWING WAS THE WAY IT WAS FOR 2022-23.  IT IS ASSUMED NOTHING WILL CHANGE FOR</t>
  </si>
  <si>
    <t>2023 Taxable Value</t>
  </si>
  <si>
    <t>2023 Total Taxable Value</t>
  </si>
  <si>
    <t>2023 Total I&amp;S Taxable Value (for Chapter 313 districts)</t>
  </si>
  <si>
    <t>Certified Excess 2022 Debt Collections</t>
  </si>
  <si>
    <t xml:space="preserve">&lt;= Enter the district's total taxable value for tax year 2023 as it appears on Line 20 of the Comptroller's Effective Tax Rate Worksheet, which is part of the Truth-in-Taxation publication for 2023 (may not be available yet). If not a available, districts should follow the same methodology used in the prior year to get to Line 20 - same for 7/1 fiscal year districts.  </t>
  </si>
  <si>
    <t xml:space="preserve">&lt;= Enter the district's total taxable value for I&amp;S purposes for tax year 2023 only if the district has a Chapter 313 agreement.  </t>
  </si>
  <si>
    <t>&lt;= Enter the amount of excess 2022 debt collections as certified by the Chief Appraiser (may be on Line 29 on the Comptroller's Rollback Tax Rate Worksheet, if available).</t>
  </si>
  <si>
    <t>2023-24 Debt Service Payment From I&amp;S Fund</t>
  </si>
  <si>
    <t>2023-24 State Share of IFA (bonded debt only)</t>
  </si>
  <si>
    <t>2023-24 State Share of EDA</t>
  </si>
  <si>
    <t>2023-24 Net M&amp;O Taxes Needed to Maintain</t>
  </si>
  <si>
    <t>2023-24 Debt Service Payment Needed</t>
  </si>
  <si>
    <t>2023-24 Total Taxes Needed (#8.a + #8.b)</t>
  </si>
  <si>
    <t>2023-24 Refined ADA</t>
  </si>
  <si>
    <t xml:space="preserve">2023-24 Net M&amp;O Taxes Expected to be Collected from the Proposed M&amp;O Rate </t>
  </si>
  <si>
    <t xml:space="preserve">2023-24 I&amp;S Taxes Expected to be Collected from the Proposed I&amp;S Tax Rate </t>
  </si>
  <si>
    <t>2023-24 Total Tax Collections (#9.a + #9.b)</t>
  </si>
  <si>
    <t xml:space="preserve">2023-24 Refined ADA </t>
  </si>
  <si>
    <t xml:space="preserve">2023-24 Total State/Local Revenue Needed to Maintain </t>
  </si>
  <si>
    <t>2023-24 State Share of IFA (for bonds and lease-purchases)</t>
  </si>
  <si>
    <t>2023-24 Total State Revenue Needed to Maintain (Sum of #11.a thru #11.d)</t>
  </si>
  <si>
    <t>2023-24 Tier II State Aid (All Levels)</t>
  </si>
  <si>
    <t>2023-24 Total State Aid (sum of #12.a thru #12.e; cannot be less than ASF-State)</t>
  </si>
  <si>
    <t>2022-23 Net M&amp;O Taxes Collected</t>
  </si>
  <si>
    <t>2022-23 I&amp;S Taxes Collected</t>
  </si>
  <si>
    <t>2022-23 Total Taxes Collected (#7.a + #7.b)</t>
  </si>
  <si>
    <t>2022-23 Taxes Expected to be Collected for a TIF</t>
  </si>
  <si>
    <t>2022-23 Level 1 Tier II State Aid</t>
  </si>
  <si>
    <t xml:space="preserve">2022-23 Level 2 Tier II State Aid </t>
  </si>
  <si>
    <t>2022-23 State Share of IFA (for both bonds and lease-purchases)</t>
  </si>
  <si>
    <t>2022-23 Total State Aid (sum of #10.a thru #10.g; cannot be less than ASF-State)</t>
  </si>
  <si>
    <t>2022-23 Reduction Resulting From $350 Limit</t>
  </si>
  <si>
    <t>2023 Adjusted Taxable Value</t>
  </si>
  <si>
    <t>4) the Comptroller's preliminary estimate of statewide property value growth for the next biennium has been factored into the MCR calculations for</t>
  </si>
  <si>
    <t>sure just yet.</t>
  </si>
  <si>
    <t>2023-24 Rate to Maintain (Line 34 / (Line 35 / 100)) but not less than MCR</t>
  </si>
  <si>
    <t>23-24 and 24-25…..3.82% for 23-24 and 4.56% for 24-25……keep in mind that current 22-23 law has been carried over into these years, so nothing is for</t>
  </si>
  <si>
    <t>home" (from a now-oldie C&amp;W tune), there won't be another release until February, when preliminary 2022 values will be available)……so have a great holiday</t>
  </si>
  <si>
    <t>season, enjoy your time off, and get yourself ready for another fun Legislative Session!</t>
  </si>
  <si>
    <t>Note: unless you discover something terribly wrong with this release, which is entirely possible, as sometimes with me, "….the lights are on, but nobody's</t>
  </si>
  <si>
    <t>3) speaking of proration, your 21-22 GT proration is now about 99.45% (as of the latest NF run) of your entitlement - no proration yet for 22-23.</t>
  </si>
  <si>
    <t xml:space="preserve">2) for you FTG districts, proration has now set in for 22-23…...as of this release, you are only getting about 90% of your entitlement (maybe no proration at </t>
  </si>
  <si>
    <t>the end of the year?)</t>
  </si>
  <si>
    <t>CY_TARGET_REV_PADA</t>
  </si>
  <si>
    <t>PY_TARGET_REV_PADA</t>
  </si>
  <si>
    <t>19-20</t>
  </si>
  <si>
    <t>19-20 FTG old law revenue per ADA</t>
  </si>
  <si>
    <t>19-20 Old Law Revenue per ADA for FTG</t>
  </si>
  <si>
    <t>20-21 Old Law Revenue per ADA for FTG</t>
  </si>
  <si>
    <t>Refined ADA: loaded for 21-22 year only</t>
  </si>
  <si>
    <t>ROUND 2 - Additions:</t>
  </si>
  <si>
    <t>1) this correction applies only to Formula Transition Grant (FTG) districts whose 20-21 old law revenue per ADA was greater than their 19-20 old law revenue</t>
  </si>
  <si>
    <t>per ADA……..I thought I had backed into the 20-21 old law revenue per ADA amount from data I had from TEA, but apparently I have a "Thinkin' Problem" and</t>
  </si>
  <si>
    <t>what I thought would work, didn't (another song that was around when most of you weren't born yet).  Anywho, I think it has now been fixed….maybe.</t>
  </si>
  <si>
    <t>SB 1, The "Summertime Blues" bill - Release 2 Dated 01/04/2023</t>
  </si>
  <si>
    <t>Release 2</t>
  </si>
  <si>
    <t>HAPPY NEW YEAR!!!......this is the "…what a drag it is getting old…" release (most of you weren't born yet when these lyrics were sung).</t>
  </si>
  <si>
    <t>2023-24 Refined Average Daily Attendance (ADA)</t>
  </si>
  <si>
    <t>2023-24 HB 3 Total M&amp;O Revenue</t>
  </si>
  <si>
    <t>&lt; NO PRORATION KNOWN AT THIS TIME</t>
  </si>
  <si>
    <t>2019-20 Formula Transition Grant Revenue per ADA (from Cell C145 on data entry tab)</t>
  </si>
  <si>
    <t>2020-21 Revenue per ADA (from Cell C146 on data entry tab)</t>
  </si>
  <si>
    <t>2020-21 Formula Transition Grant Revenue per ADA (from Cell C146 on data entry tab)</t>
  </si>
  <si>
    <t>Formula Transition Target Revenue * ADA:  (Line 6 * Line 7)</t>
  </si>
  <si>
    <t>2023-24 Unadjusted Formula Transition Grant (if Line 9 &lt; Line 8, then Line 10 = Line 8 - Line 9;</t>
  </si>
  <si>
    <t>else Line 10 = 0</t>
  </si>
  <si>
    <t>2023-24 Adjusted Formula Transition Grant</t>
  </si>
  <si>
    <t>On Release 1, if your 22-23 FTG amount is way off, you are one of these districts that this fix applies to.</t>
  </si>
  <si>
    <t xml:space="preserve">PS: the FTG amount won't match exactly to TEA's amount (using the same data) - it will be a little off since the old law revenue per ADA amounts are rounded </t>
  </si>
  <si>
    <t>to the nearest dollar on TEA's FTG Detail Report and the actual calculations use old law revenue per ADA amounts that are carried out to decimal places. For</t>
  </si>
  <si>
    <t>&lt;Prorated to 94.736% as of this release</t>
  </si>
  <si>
    <t>&lt; Subject to proration: as of this release, now $946.90 instead of $1,000</t>
  </si>
  <si>
    <t>Allotment and the Formula Transition Grant proration percentages have changed a little.</t>
  </si>
  <si>
    <t>2) the amount being prorated on some the allotments has changed - the amount per ADA for NIFA has gone from $1,000 to $946.90 and the Fast Growth</t>
  </si>
  <si>
    <t>3) a couple of other minor fixes have been made but you probably won't notice any difference in your bottom line, so for you non-FTG districts, if you do</t>
  </si>
  <si>
    <t>notice a difference (other than the proration amounts) between Release 1 and this one, please let me know.</t>
  </si>
  <si>
    <t xml:space="preserve">21-22, if you want to reconcile to TEA's amount, on the 21-22 FTG Detail Report, you can divide Line 18 by Line 17 and enter that result (with decimals) in </t>
  </si>
  <si>
    <t>Cell C145 on the data entry tab.  For 22-23, you can divide Line 10 by Line 9 and enter that result in either Cell C145 or Cell C146, whichever is greater.</t>
  </si>
  <si>
    <r>
      <t>Dyslexia Enrollment (</t>
    </r>
    <r>
      <rPr>
        <b/>
        <sz val="12"/>
        <color rgb="FFFF0000"/>
        <rFont val="Arial MT"/>
      </rPr>
      <t>enter the sum of PIC 37 &amp; PIC 43 shown on TEA's Tier I Detail Report</t>
    </r>
    <r>
      <rPr>
        <sz val="12"/>
        <rFont val="Arial MT"/>
      </rPr>
      <t>)</t>
    </r>
  </si>
  <si>
    <t>PS2: the 21-22 data that loads may have changed since October 2022 when I got a data file from TEA, so just fyi.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</si>
</sst>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5" formatCode="&quot;$&quot;#,##0_);\(&quot;$&quot;#,##0\)"/>
    <numFmt numFmtId="6" formatCode="&quot;$&quot;#,##0_);[Red]\(&quot;$&quot;#,##0\)"/>
    <numFmt numFmtId="8" formatCode="&quot;$&quot;#,##0.00_);[Red]\(&quot;$&quot;#,##0.00\)"/>
    <numFmt numFmtId="42" formatCode="_(&quot;$&quot;* #,##0_);_(&quot;$&quot;* \(#,##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0.0000_);[Red]\(#,##0.0000\)"/>
    <numFmt numFmtId="174" formatCode="#,##0.000_);[Red]\(#,##0.000\)"/>
    <numFmt numFmtId="175" formatCode="#,##0.00000_);[Red]\(#,##0.00000\)"/>
    <numFmt numFmtId="176" formatCode="#,##0.0000"/>
    <numFmt numFmtId="177" formatCode="0.00_);[Red]\(0.00\)"/>
    <numFmt numFmtId="178" formatCode="#,##0.000000_);[Red]\(#,##0.000000\)"/>
    <numFmt numFmtId="179" formatCode="#,##0.0_);[Red]\(#,##0.0\)"/>
    <numFmt numFmtId="180" formatCode="&quot;$&quot;#,##0.000_);[Red]\(&quot;$&quot;#,##0.000\)"/>
    <numFmt numFmtId="181" formatCode="0.0000_);[Red]\(0.0000\)"/>
    <numFmt numFmtId="182" formatCode="&quot;$&quot;#,##0.0000_);[Red]\(&quot;$&quot;#,##0.0000\)"/>
    <numFmt numFmtId="183" formatCode="&quot;$&quot;#,##0.0000"/>
    <numFmt numFmtId="184" formatCode="0.0000%"/>
    <numFmt numFmtId="185" formatCode="0.0000"/>
    <numFmt numFmtId="186" formatCode="m/d/yy;@"/>
    <numFmt numFmtId="187" formatCode="&quot;$&quot;#,##0.00"/>
    <numFmt numFmtId="188" formatCode="mm/dd/yy;@"/>
    <numFmt numFmtId="189" formatCode="000000"/>
    <numFmt numFmtId="190" formatCode="&quot;$&quot;#,##0.00000_);[Red]\(&quot;$&quot;#,##0.00000\)"/>
    <numFmt numFmtId="191" formatCode="m/d/yyyy;@"/>
    <numFmt numFmtId="192" formatCode="_(* #,##0_);_(* \(#,##0\);_(* &quot;-&quot;??_);_(@_)"/>
    <numFmt numFmtId="193" formatCode="0_);[Red]\(0\)"/>
    <numFmt numFmtId="194" formatCode="[$-10409]#,##0;\(#,##0\)"/>
  </numFmts>
  <fonts count="181">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b/>
      <sz val="10"/>
      <color indexed="58"/>
      <name val="Arial MT"/>
    </font>
    <font>
      <sz val="11"/>
      <name val="Calibri"/>
      <family val="2"/>
    </font>
    <font>
      <b/>
      <sz val="12"/>
      <name val="Arial MT"/>
    </font>
    <font>
      <sz val="14"/>
      <name val="Arial MT"/>
    </font>
    <font>
      <sz val="8"/>
      <color indexed="81"/>
      <name val="Tahoma"/>
      <family val="2"/>
    </font>
    <font>
      <b/>
      <sz val="8"/>
      <color indexed="81"/>
      <name val="Tahoma"/>
      <family val="2"/>
    </font>
    <font>
      <b/>
      <sz val="10"/>
      <color indexed="60"/>
      <name val="Arial MT"/>
    </font>
    <font>
      <b/>
      <sz val="10"/>
      <color indexed="57"/>
      <name val="Arial MT"/>
    </font>
    <font>
      <b/>
      <sz val="10"/>
      <color indexed="17"/>
      <name val="Arial MT"/>
    </font>
    <font>
      <b/>
      <sz val="10"/>
      <color indexed="10"/>
      <name val="Arial MT"/>
    </font>
    <font>
      <b/>
      <sz val="10"/>
      <color indexed="36"/>
      <name val="Arial MT"/>
    </font>
    <font>
      <b/>
      <i/>
      <sz val="12"/>
      <name val="Arial MT"/>
    </font>
    <font>
      <sz val="12"/>
      <color indexed="30"/>
      <name val="Arial MT"/>
    </font>
    <font>
      <sz val="12"/>
      <color indexed="10"/>
      <name val="Arial MT"/>
    </font>
    <font>
      <sz val="12"/>
      <color indexed="56"/>
      <name val="Arial MT"/>
    </font>
    <font>
      <sz val="12"/>
      <color indexed="12"/>
      <name val="Arial MT"/>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0"/>
      <name val="Arial MT"/>
    </font>
    <font>
      <u/>
      <sz val="12"/>
      <color indexed="10"/>
      <name val="Arial MT"/>
    </font>
    <font>
      <sz val="14"/>
      <color indexed="30"/>
      <name val="Arial MT"/>
    </font>
    <font>
      <b/>
      <sz val="12"/>
      <color indexed="30"/>
      <name val="Arial MT"/>
    </font>
    <font>
      <b/>
      <sz val="10"/>
      <color indexed="12"/>
      <name val="Arial MT"/>
    </font>
    <font>
      <b/>
      <sz val="14"/>
      <color indexed="17"/>
      <name val="Arial MT"/>
    </font>
    <font>
      <b/>
      <sz val="12"/>
      <color indexed="10"/>
      <name val="Arial MT"/>
    </font>
    <font>
      <b/>
      <sz val="10"/>
      <color indexed="60"/>
      <name val="Arial MT"/>
    </font>
    <font>
      <b/>
      <sz val="10"/>
      <color indexed="60"/>
      <name val="Arial MT"/>
    </font>
    <font>
      <b/>
      <sz val="10"/>
      <color indexed="14"/>
      <name val="Arial MT"/>
    </font>
    <font>
      <b/>
      <sz val="14"/>
      <color indexed="10"/>
      <name val="Arial MT"/>
    </font>
    <font>
      <b/>
      <sz val="10"/>
      <color indexed="8"/>
      <name val="Arial MT"/>
    </font>
    <font>
      <sz val="12"/>
      <color indexed="10"/>
      <name val="Arial MT"/>
    </font>
    <font>
      <b/>
      <sz val="10"/>
      <color indexed="62"/>
      <name val="Arial MT"/>
    </font>
    <font>
      <b/>
      <sz val="12"/>
      <color indexed="17"/>
      <name val="Arial MT"/>
    </font>
    <font>
      <b/>
      <sz val="10"/>
      <color indexed="17"/>
      <name val="Arial MT"/>
    </font>
    <font>
      <b/>
      <sz val="12"/>
      <color indexed="9"/>
      <name val="Calibri"/>
      <family val="2"/>
    </font>
    <font>
      <b/>
      <sz val="10"/>
      <color indexed="62"/>
      <name val="Arial MT"/>
    </font>
    <font>
      <b/>
      <sz val="10"/>
      <color indexed="28"/>
      <name val="Arial MT"/>
    </font>
    <font>
      <b/>
      <sz val="18"/>
      <color indexed="28"/>
      <name val="Arial MT"/>
    </font>
    <font>
      <b/>
      <sz val="16"/>
      <color indexed="28"/>
      <name val="Arial MT"/>
    </font>
    <font>
      <sz val="10"/>
      <color indexed="20"/>
      <name val="Arial MT"/>
    </font>
    <font>
      <sz val="18"/>
      <color indexed="20"/>
      <name val="Arial MT"/>
    </font>
    <font>
      <b/>
      <sz val="10"/>
      <color indexed="60"/>
      <name val="Arial MT"/>
    </font>
    <font>
      <b/>
      <sz val="14"/>
      <color indexed="56"/>
      <name val="Arial MT"/>
    </font>
    <font>
      <b/>
      <sz val="10"/>
      <color indexed="10"/>
      <name val="Arial MT"/>
    </font>
    <font>
      <b/>
      <sz val="9"/>
      <color indexed="10"/>
      <name val="Arial MT"/>
    </font>
    <font>
      <b/>
      <sz val="10"/>
      <color indexed="60"/>
      <name val="Arial MT"/>
    </font>
    <font>
      <b/>
      <sz val="16"/>
      <color indexed="60"/>
      <name val="Arial MT"/>
    </font>
    <font>
      <b/>
      <sz val="10"/>
      <color indexed="8"/>
      <name val="Arial MT"/>
    </font>
    <font>
      <b/>
      <sz val="10"/>
      <color indexed="20"/>
      <name val="Arial MT"/>
    </font>
    <font>
      <b/>
      <sz val="10"/>
      <color indexed="62"/>
      <name val="Arial MT"/>
    </font>
    <font>
      <b/>
      <sz val="10"/>
      <color indexed="17"/>
      <name val="Arial MT"/>
    </font>
    <font>
      <b/>
      <sz val="12"/>
      <color indexed="17"/>
      <name val="Arial MT"/>
    </font>
    <font>
      <b/>
      <sz val="10"/>
      <color indexed="14"/>
      <name val="Arial MT"/>
    </font>
    <font>
      <b/>
      <sz val="14"/>
      <color indexed="17"/>
      <name val="Arial MT"/>
    </font>
    <font>
      <b/>
      <sz val="12"/>
      <color indexed="12"/>
      <name val="Arial MT"/>
    </font>
    <font>
      <b/>
      <sz val="10"/>
      <color indexed="12"/>
      <name val="Arial MT"/>
    </font>
    <font>
      <b/>
      <sz val="14"/>
      <color indexed="56"/>
      <name val="Arial MT"/>
    </font>
    <font>
      <b/>
      <sz val="11"/>
      <color theme="0"/>
      <name val="Calibri"/>
      <family val="2"/>
      <scheme val="minor"/>
    </font>
    <font>
      <sz val="12"/>
      <color rgb="FFFF0000"/>
      <name val="Arial MT"/>
    </font>
    <font>
      <b/>
      <sz val="12"/>
      <color rgb="FFFF0000"/>
      <name val="Arial MT"/>
    </font>
    <font>
      <b/>
      <sz val="10"/>
      <color rgb="FFFF0000"/>
      <name val="Arial MT"/>
    </font>
    <font>
      <u/>
      <sz val="12"/>
      <color rgb="FFFF0000"/>
      <name val="Arial MT"/>
    </font>
    <font>
      <sz val="10"/>
      <color theme="9" tint="-0.499984740745262"/>
      <name val="Arial MT"/>
    </font>
    <font>
      <b/>
      <sz val="14"/>
      <color theme="9" tint="-0.499984740745262"/>
      <name val="Arial MT"/>
    </font>
    <font>
      <b/>
      <sz val="10"/>
      <color theme="9" tint="-0.499984740745262"/>
      <name val="Arial MT"/>
    </font>
    <font>
      <b/>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rgb="FFFF0000"/>
      <name val="Arial MT"/>
    </font>
    <font>
      <sz val="12"/>
      <name val="Arial Black"/>
      <family val="2"/>
    </font>
    <font>
      <sz val="10"/>
      <color indexed="62"/>
      <name val="Arial MT"/>
    </font>
    <font>
      <b/>
      <i/>
      <u/>
      <sz val="10"/>
      <name val="Arial"/>
      <family val="2"/>
    </font>
    <font>
      <b/>
      <sz val="12"/>
      <name val="Arial"/>
      <family val="2"/>
    </font>
    <font>
      <b/>
      <sz val="14"/>
      <color indexed="30"/>
      <name val="Arial MT"/>
    </font>
    <font>
      <b/>
      <sz val="10"/>
      <color rgb="FFFF0000"/>
      <name val="Arial"/>
      <family val="2"/>
    </font>
    <font>
      <b/>
      <sz val="12"/>
      <color rgb="FFCC00CC"/>
      <name val="Arial MT"/>
    </font>
    <font>
      <b/>
      <sz val="12"/>
      <color rgb="FFCC3300"/>
      <name val="Arial MT"/>
    </font>
    <font>
      <b/>
      <sz val="12"/>
      <color rgb="FFC00000"/>
      <name val="Arial MT"/>
    </font>
    <font>
      <sz val="11"/>
      <color rgb="FF000000"/>
      <name val="Calibri"/>
      <family val="2"/>
    </font>
    <font>
      <i/>
      <sz val="12"/>
      <name val="Times New Roman"/>
      <family val="1"/>
    </font>
    <font>
      <b/>
      <sz val="11"/>
      <color indexed="8"/>
      <name val="Arial MT"/>
    </font>
    <font>
      <sz val="11"/>
      <name val="Arial MT"/>
    </font>
    <font>
      <b/>
      <sz val="11"/>
      <color indexed="10"/>
      <name val="Arial MT"/>
    </font>
    <font>
      <b/>
      <sz val="11"/>
      <name val="Arial MT"/>
    </font>
    <font>
      <b/>
      <sz val="11"/>
      <color indexed="12"/>
      <name val="Arial MT"/>
    </font>
    <font>
      <b/>
      <sz val="11"/>
      <color rgb="FFFF0000"/>
      <name val="Arial MT"/>
    </font>
    <font>
      <sz val="11"/>
      <color rgb="FFFF0000"/>
      <name val="Arial MT"/>
    </font>
    <font>
      <sz val="11"/>
      <name val="Calibri"/>
      <family val="2"/>
      <scheme val="minor"/>
    </font>
    <font>
      <b/>
      <sz val="10"/>
      <color theme="4" tint="-0.24994659260841701"/>
      <name val="Arial MT"/>
    </font>
    <font>
      <b/>
      <sz val="10"/>
      <color rgb="FF3333FF"/>
      <name val="Arial MT"/>
    </font>
    <font>
      <b/>
      <sz val="14"/>
      <color rgb="FFFF0000"/>
      <name val="Arial MT"/>
    </font>
    <font>
      <b/>
      <u/>
      <sz val="10"/>
      <color rgb="FFFF0000"/>
      <name val="Arial MT"/>
    </font>
    <font>
      <b/>
      <sz val="14"/>
      <color theme="1"/>
      <name val="Arial MT"/>
    </font>
    <font>
      <sz val="11"/>
      <color indexed="8"/>
      <name val="Arial"/>
      <family val="2"/>
    </font>
    <font>
      <b/>
      <sz val="16"/>
      <name val="Arial MT"/>
    </font>
    <font>
      <b/>
      <sz val="10"/>
      <color rgb="FF669900"/>
      <name val="Arial MT"/>
    </font>
    <font>
      <b/>
      <sz val="10"/>
      <color rgb="FF00B050"/>
      <name val="Arial MT"/>
    </font>
    <font>
      <b/>
      <u/>
      <sz val="12"/>
      <color rgb="FFFF0000"/>
      <name val="Arial MT"/>
    </font>
    <font>
      <b/>
      <sz val="10"/>
      <color theme="3" tint="-0.499984740745262"/>
      <name val="Arial MT"/>
    </font>
    <font>
      <b/>
      <sz val="10"/>
      <color rgb="FF444444"/>
      <name val="Arial"/>
      <family val="2"/>
    </font>
    <font>
      <b/>
      <i/>
      <sz val="10"/>
      <color rgb="FF444444"/>
      <name val="Arial"/>
      <family val="2"/>
    </font>
    <font>
      <b/>
      <u/>
      <sz val="10"/>
      <name val="Arial MT"/>
    </font>
    <font>
      <b/>
      <sz val="10"/>
      <color rgb="FF0070C0"/>
      <name val="Arial MT"/>
    </font>
    <font>
      <i/>
      <sz val="12"/>
      <name val="Arial MT"/>
    </font>
    <font>
      <b/>
      <sz val="12"/>
      <color theme="3" tint="-0.499984740745262"/>
      <name val="Arial MT"/>
    </font>
    <font>
      <sz val="12"/>
      <color rgb="FFC00000"/>
      <name val="Arial MT"/>
    </font>
    <font>
      <b/>
      <sz val="12"/>
      <color theme="6" tint="-0.499984740745262"/>
      <name val="Arial MT"/>
    </font>
    <font>
      <sz val="10"/>
      <color theme="6" tint="-0.499984740745262"/>
      <name val="Arial MT"/>
    </font>
    <font>
      <sz val="12"/>
      <color theme="6" tint="-0.499984740745262"/>
      <name val="Arial MT"/>
    </font>
    <font>
      <b/>
      <u/>
      <sz val="12"/>
      <name val="Arial MT"/>
    </font>
    <font>
      <sz val="10"/>
      <name val="Calibri"/>
      <family val="2"/>
    </font>
    <font>
      <sz val="12"/>
      <color theme="1"/>
      <name val="Arial MT"/>
    </font>
    <font>
      <b/>
      <sz val="12"/>
      <color theme="0"/>
      <name val="Calibri"/>
      <family val="2"/>
      <scheme val="minor"/>
    </font>
    <font>
      <b/>
      <sz val="12"/>
      <color theme="0"/>
      <name val="Arial MT"/>
    </font>
    <font>
      <sz val="12"/>
      <color rgb="FF000000"/>
      <name val="Verdana"/>
      <family val="2"/>
    </font>
    <font>
      <sz val="12"/>
      <color theme="1"/>
      <name val="Arial"/>
      <family val="2"/>
    </font>
    <font>
      <b/>
      <sz val="12"/>
      <color theme="1"/>
      <name val="Arial"/>
      <family val="2"/>
    </font>
    <font>
      <b/>
      <sz val="11"/>
      <color rgb="FFFF0000"/>
      <name val="Arial"/>
      <family val="2"/>
    </font>
    <font>
      <b/>
      <sz val="11"/>
      <color theme="5" tint="-0.24994659260841701"/>
      <name val="Arial"/>
      <family val="2"/>
    </font>
    <font>
      <b/>
      <sz val="11"/>
      <color theme="1"/>
      <name val="Arial"/>
      <family val="2"/>
    </font>
    <font>
      <b/>
      <sz val="10"/>
      <color theme="5" tint="-0.24994659260841701"/>
      <name val="Arial"/>
      <family val="2"/>
    </font>
    <font>
      <b/>
      <sz val="11"/>
      <name val="Arial"/>
      <family val="2"/>
    </font>
    <font>
      <b/>
      <sz val="10"/>
      <color theme="1"/>
      <name val="Arial"/>
      <family val="2"/>
    </font>
    <font>
      <u/>
      <sz val="11"/>
      <color theme="5" tint="-0.24994659260841701"/>
      <name val="Calibri"/>
      <family val="2"/>
      <scheme val="minor"/>
    </font>
    <font>
      <b/>
      <sz val="11"/>
      <color rgb="FF008000"/>
      <name val="Arial"/>
      <family val="2"/>
    </font>
    <font>
      <b/>
      <sz val="12"/>
      <color rgb="FF0000FF"/>
      <name val="Arial MT"/>
    </font>
    <font>
      <b/>
      <u/>
      <sz val="11"/>
      <color rgb="FFFF0000"/>
      <name val="Arial"/>
      <family val="2"/>
    </font>
    <font>
      <b/>
      <sz val="8"/>
      <color rgb="FF333333"/>
      <name val="Arial"/>
      <family val="2"/>
    </font>
    <font>
      <sz val="8"/>
      <color rgb="FF000000"/>
      <name val="Arial"/>
      <family val="2"/>
    </font>
    <font>
      <b/>
      <sz val="9"/>
      <name val="Arial MT"/>
    </font>
    <font>
      <b/>
      <sz val="8"/>
      <name val="Arial MT"/>
    </font>
    <font>
      <b/>
      <sz val="12"/>
      <color rgb="FF9900FF"/>
      <name val="Arial MT"/>
    </font>
    <font>
      <sz val="12"/>
      <name val="Calibri"/>
      <family val="2"/>
      <scheme val="minor"/>
    </font>
  </fonts>
  <fills count="59">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FF00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2"/>
        <bgColor indexed="64"/>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3" tint="0.79998168889431442"/>
        <bgColor indexed="64"/>
      </patternFill>
    </fill>
    <fill>
      <patternFill patternType="solid">
        <fgColor theme="2" tint="-9.9948118533890809E-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99CCFF"/>
        <bgColor indexed="64"/>
      </patternFill>
    </fill>
    <fill>
      <patternFill patternType="solid">
        <fgColor rgb="FFFFFFFF"/>
        <bgColor rgb="FFFFFFFF"/>
      </patternFill>
    </fill>
    <fill>
      <patternFill patternType="solid">
        <fgColor rgb="FF336699"/>
        <bgColor indexed="64"/>
      </patternFill>
    </fill>
    <fill>
      <patternFill patternType="solid">
        <fgColor rgb="FFFFFF00"/>
        <bgColor rgb="FFFFFFFF"/>
      </patternFill>
    </fill>
    <fill>
      <patternFill patternType="solid">
        <fgColor rgb="FFF5F5F5"/>
        <bgColor rgb="FFF5F5F5"/>
      </patternFill>
    </fill>
    <fill>
      <patternFill patternType="solid">
        <fgColor rgb="FFFFFF00"/>
        <bgColor rgb="FFF5F5F5"/>
      </patternFill>
    </fill>
    <fill>
      <patternFill patternType="solid">
        <fgColor theme="0"/>
        <bgColor rgb="FFFFFFFF"/>
      </patternFill>
    </fill>
    <fill>
      <patternFill patternType="solid">
        <fgColor theme="0"/>
        <bgColor rgb="FFF5F5F5"/>
      </patternFill>
    </fill>
    <fill>
      <patternFill patternType="solid">
        <fgColor rgb="FFFF99FF"/>
        <bgColor indexed="64"/>
      </patternFill>
    </fill>
  </fills>
  <borders count="363">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thin">
        <color indexed="64"/>
      </right>
      <top/>
      <bottom style="thin">
        <color indexed="8"/>
      </bottom>
      <diagonal/>
    </border>
    <border>
      <left/>
      <right style="thick">
        <color indexed="64"/>
      </right>
      <top/>
      <bottom/>
      <diagonal/>
    </border>
    <border>
      <left style="thin">
        <color indexed="8"/>
      </left>
      <right style="thin">
        <color indexed="8"/>
      </right>
      <top/>
      <bottom style="thin">
        <color indexed="8"/>
      </bottom>
      <diagonal/>
    </border>
    <border>
      <left style="thick">
        <color indexed="64"/>
      </left>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double">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indexed="8"/>
      </left>
      <right/>
      <top style="thin">
        <color indexed="8"/>
      </top>
      <bottom style="thin">
        <color indexed="8"/>
      </bottom>
      <diagonal/>
    </border>
    <border>
      <left style="thin">
        <color indexed="8"/>
      </left>
      <right/>
      <top/>
      <bottom/>
      <diagonal/>
    </border>
    <border>
      <left style="thin">
        <color auto="1"/>
      </left>
      <right/>
      <top/>
      <bottom/>
      <diagonal/>
    </border>
    <border>
      <left style="thin">
        <color auto="1"/>
      </left>
      <right style="thin">
        <color auto="1"/>
      </right>
      <top/>
      <bottom style="thin">
        <color auto="1"/>
      </bottom>
      <diagonal/>
    </border>
    <border>
      <left style="thick">
        <color indexed="64"/>
      </left>
      <right style="thin">
        <color indexed="64"/>
      </right>
      <top style="thick">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thin">
        <color auto="1"/>
      </left>
      <right style="thin">
        <color indexed="64"/>
      </right>
      <top/>
      <bottom style="thin">
        <color auto="1"/>
      </bottom>
      <diagonal/>
    </border>
    <border>
      <left style="thin">
        <color auto="1"/>
      </left>
      <right/>
      <top/>
      <bottom style="thin">
        <color auto="1"/>
      </bottom>
      <diagonal/>
    </border>
    <border>
      <left/>
      <right style="thick">
        <color indexed="64"/>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top style="thick">
        <color indexed="64"/>
      </top>
      <bottom/>
      <diagonal/>
    </border>
    <border>
      <left/>
      <right style="thick">
        <color indexed="64"/>
      </right>
      <top style="thick">
        <color indexed="64"/>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top style="thick">
        <color indexed="64"/>
      </top>
      <bottom/>
      <diagonal/>
    </border>
    <border>
      <left style="thin">
        <color indexed="64"/>
      </left>
      <right style="thin">
        <color auto="1"/>
      </right>
      <top style="thick">
        <color indexed="64"/>
      </top>
      <bottom/>
      <diagonal/>
    </border>
    <border>
      <left/>
      <right style="thin">
        <color indexed="64"/>
      </right>
      <top style="thick">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ck">
        <color indexed="64"/>
      </bottom>
      <diagonal/>
    </border>
    <border>
      <left style="thin">
        <color indexed="64"/>
      </left>
      <right style="thin">
        <color indexed="64"/>
      </right>
      <top style="thin">
        <color auto="1"/>
      </top>
      <bottom style="thin">
        <color auto="1"/>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top/>
      <bottom style="thin">
        <color indexed="64"/>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auto="1"/>
      </left>
      <right style="thin">
        <color indexed="64"/>
      </right>
      <top/>
      <bottom style="thin">
        <color auto="1"/>
      </bottom>
      <diagonal/>
    </border>
    <border>
      <left/>
      <right/>
      <top/>
      <bottom style="thin">
        <color indexed="64"/>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bottom style="thin">
        <color indexed="8"/>
      </bottom>
      <diagonal/>
    </border>
    <border>
      <left/>
      <right style="thick">
        <color indexed="64"/>
      </right>
      <top/>
      <bottom style="thin">
        <color indexed="8"/>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ck">
        <color indexed="64"/>
      </left>
      <right style="thin">
        <color indexed="64"/>
      </right>
      <top style="thin">
        <color auto="1"/>
      </top>
      <bottom/>
      <diagonal/>
    </border>
    <border>
      <left/>
      <right style="thin">
        <color indexed="64"/>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n">
        <color auto="1"/>
      </bottom>
      <diagonal/>
    </border>
    <border>
      <left/>
      <right style="thin">
        <color auto="1"/>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auto="1"/>
      </left>
      <right style="thin">
        <color auto="1"/>
      </right>
      <top style="thin">
        <color auto="1"/>
      </top>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top style="thin">
        <color auto="1"/>
      </top>
      <bottom/>
      <diagonal/>
    </border>
    <border>
      <left/>
      <right style="medium">
        <color auto="1"/>
      </right>
      <top style="thin">
        <color indexed="64"/>
      </top>
      <bottom style="thin">
        <color indexed="64"/>
      </bottom>
      <diagonal/>
    </border>
    <border>
      <left style="medium">
        <color auto="1"/>
      </left>
      <right/>
      <top style="thin">
        <color auto="1"/>
      </top>
      <bottom/>
      <diagonal/>
    </border>
    <border>
      <left/>
      <right style="medium">
        <color auto="1"/>
      </right>
      <top/>
      <bottom/>
      <diagonal/>
    </border>
    <border>
      <left style="medium">
        <color auto="1"/>
      </left>
      <right/>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auto="1"/>
      </left>
      <right style="double">
        <color rgb="FFFF0000"/>
      </right>
      <top/>
      <bottom/>
      <diagonal/>
    </border>
    <border>
      <left style="thin">
        <color indexed="64"/>
      </left>
      <right style="double">
        <color rgb="FFFF0000"/>
      </right>
      <top/>
      <bottom style="thin">
        <color indexed="64"/>
      </bottom>
      <diagonal/>
    </border>
    <border>
      <left/>
      <right style="double">
        <color rgb="FFFF0000"/>
      </right>
      <top style="thin">
        <color auto="1"/>
      </top>
      <bottom style="thin">
        <color auto="1"/>
      </bottom>
      <diagonal/>
    </border>
    <border>
      <left/>
      <right/>
      <top style="thin">
        <color auto="1"/>
      </top>
      <bottom style="double">
        <color rgb="FFFF0000"/>
      </bottom>
      <diagonal/>
    </border>
    <border>
      <left/>
      <right style="thin">
        <color auto="1"/>
      </right>
      <top style="thin">
        <color indexed="64"/>
      </top>
      <bottom style="double">
        <color rgb="FFFF0000"/>
      </bottom>
      <diagonal/>
    </border>
    <border>
      <left style="double">
        <color rgb="FFFF0000"/>
      </left>
      <right/>
      <top style="thin">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right style="thin">
        <color indexed="64"/>
      </right>
      <top style="thin">
        <color indexed="64"/>
      </top>
      <bottom style="thin">
        <color indexed="64"/>
      </bottom>
      <diagonal/>
    </border>
    <border>
      <left/>
      <right/>
      <top style="thin">
        <color rgb="FF000000"/>
      </top>
      <bottom/>
      <diagonal/>
    </border>
    <border>
      <left/>
      <right/>
      <top style="thin">
        <color indexed="64"/>
      </top>
      <bottom style="thin">
        <color indexed="64"/>
      </bottom>
      <diagonal/>
    </border>
    <border>
      <left style="thin">
        <color auto="1"/>
      </left>
      <right style="thin">
        <color auto="1"/>
      </right>
      <top style="thin">
        <color indexed="64"/>
      </top>
      <bottom/>
      <diagonal/>
    </border>
    <border>
      <left style="thin">
        <color auto="1"/>
      </left>
      <right/>
      <top style="thin">
        <color indexed="64"/>
      </top>
      <bottom/>
      <diagonal/>
    </border>
    <border>
      <left style="thick">
        <color auto="1"/>
      </left>
      <right style="thick">
        <color auto="1"/>
      </right>
      <top style="thick">
        <color auto="1"/>
      </top>
      <bottom style="thick">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ck">
        <color indexed="64"/>
      </left>
      <right style="thin">
        <color auto="1"/>
      </right>
      <top/>
      <bottom style="thin">
        <color auto="1"/>
      </bottom>
      <diagonal/>
    </border>
    <border>
      <left/>
      <right/>
      <top style="thin">
        <color rgb="FFDDDDDD"/>
      </top>
      <bottom style="thin">
        <color rgb="FFDDDDDD"/>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rgb="FF3F3F3F"/>
      </top>
      <bottom/>
      <diagonal/>
    </border>
    <border>
      <left/>
      <right style="thin">
        <color auto="1"/>
      </right>
      <top/>
      <bottom style="thin">
        <color auto="1"/>
      </bottom>
      <diagonal/>
    </border>
    <border>
      <left/>
      <right/>
      <top/>
      <bottom style="thin">
        <color indexed="64"/>
      </bottom>
      <diagonal/>
    </border>
    <border>
      <left/>
      <right style="medium">
        <color auto="1"/>
      </right>
      <top style="medium">
        <color auto="1"/>
      </top>
      <bottom style="thin">
        <color indexed="64"/>
      </bottom>
      <diagonal/>
    </border>
    <border>
      <left/>
      <right style="medium">
        <color auto="1"/>
      </right>
      <top style="thin">
        <color indexed="64"/>
      </top>
      <bottom/>
      <diagonal/>
    </border>
    <border>
      <left style="thin">
        <color auto="1"/>
      </left>
      <right style="thin">
        <color auto="1"/>
      </right>
      <top style="thin">
        <color auto="1"/>
      </top>
      <bottom/>
      <diagonal/>
    </border>
    <border>
      <left/>
      <right/>
      <top/>
      <bottom style="thick">
        <color rgb="FFDDDDDD"/>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medium">
        <color indexed="64"/>
      </right>
      <top style="thin">
        <color auto="1"/>
      </top>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auto="1"/>
      </top>
      <bottom/>
      <diagonal/>
    </border>
    <border>
      <left style="medium">
        <color indexed="64"/>
      </left>
      <right style="thick">
        <color indexed="64"/>
      </right>
      <top/>
      <bottom/>
      <diagonal/>
    </border>
    <border>
      <left style="medium">
        <color indexed="64"/>
      </left>
      <right style="thick">
        <color indexed="64"/>
      </right>
      <top style="thin">
        <color indexed="8"/>
      </top>
      <bottom style="thin">
        <color indexed="8"/>
      </bottom>
      <diagonal/>
    </border>
    <border>
      <left style="medium">
        <color indexed="64"/>
      </left>
      <right style="thick">
        <color indexed="64"/>
      </right>
      <top style="thin">
        <color auto="1"/>
      </top>
      <bottom style="thick">
        <color indexed="64"/>
      </bottom>
      <diagonal/>
    </border>
    <border>
      <left/>
      <right/>
      <top style="thin">
        <color indexed="64"/>
      </top>
      <bottom style="thin">
        <color indexed="64"/>
      </bottom>
      <diagonal/>
    </border>
    <border>
      <left/>
      <right/>
      <top style="thin">
        <color indexed="8"/>
      </top>
      <bottom style="thin">
        <color indexed="8"/>
      </bottom>
      <diagonal/>
    </border>
    <border>
      <left/>
      <right/>
      <top style="thin">
        <color auto="1"/>
      </top>
      <bottom style="thick">
        <color indexed="64"/>
      </bottom>
      <diagonal/>
    </border>
    <border>
      <left style="thick">
        <color indexed="64"/>
      </left>
      <right style="medium">
        <color indexed="64"/>
      </right>
      <top style="thick">
        <color auto="1"/>
      </top>
      <bottom style="thin">
        <color auto="1"/>
      </bottom>
      <diagonal/>
    </border>
    <border>
      <left style="thick">
        <color indexed="64"/>
      </left>
      <right style="medium">
        <color indexed="64"/>
      </right>
      <top style="thin">
        <color auto="1"/>
      </top>
      <bottom/>
      <diagonal/>
    </border>
    <border>
      <left style="thick">
        <color indexed="64"/>
      </left>
      <right style="medium">
        <color indexed="64"/>
      </right>
      <top/>
      <bottom/>
      <diagonal/>
    </border>
    <border>
      <left style="thick">
        <color indexed="64"/>
      </left>
      <right style="medium">
        <color indexed="64"/>
      </right>
      <top style="thin">
        <color indexed="8"/>
      </top>
      <bottom style="thin">
        <color indexed="8"/>
      </bottom>
      <diagonal/>
    </border>
    <border>
      <left style="thick">
        <color indexed="64"/>
      </left>
      <right style="medium">
        <color indexed="64"/>
      </right>
      <top style="thin">
        <color auto="1"/>
      </top>
      <bottom style="thin">
        <color auto="1"/>
      </bottom>
      <diagonal/>
    </border>
    <border>
      <left style="thick">
        <color indexed="64"/>
      </left>
      <right style="medium">
        <color indexed="64"/>
      </right>
      <top style="thin">
        <color auto="1"/>
      </top>
      <bottom style="thick">
        <color indexed="64"/>
      </bottom>
      <diagonal/>
    </border>
    <border>
      <left style="thick">
        <color indexed="64"/>
      </left>
      <right/>
      <top style="thin">
        <color auto="1"/>
      </top>
      <bottom style="thin">
        <color auto="1"/>
      </bottom>
      <diagonal/>
    </border>
    <border>
      <left style="thick">
        <color indexed="64"/>
      </left>
      <right/>
      <top style="thin">
        <color auto="1"/>
      </top>
      <bottom/>
      <diagonal/>
    </border>
    <border>
      <left style="thick">
        <color indexed="64"/>
      </left>
      <right/>
      <top style="thin">
        <color indexed="8"/>
      </top>
      <bottom style="thin">
        <color indexed="8"/>
      </bottom>
      <diagonal/>
    </border>
    <border>
      <left style="thick">
        <color indexed="64"/>
      </left>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auto="1"/>
      </top>
      <bottom/>
      <diagonal/>
    </border>
    <border>
      <left/>
      <right style="thick">
        <color indexed="64"/>
      </right>
      <top style="thin">
        <color indexed="8"/>
      </top>
      <bottom style="thin">
        <color indexed="8"/>
      </bottom>
      <diagonal/>
    </border>
    <border>
      <left/>
      <right style="thick">
        <color indexed="64"/>
      </right>
      <top style="thin">
        <color auto="1"/>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auto="1"/>
      </top>
      <bottom style="thick">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8"/>
      </top>
      <bottom style="thin">
        <color indexed="8"/>
      </bottom>
      <diagonal/>
    </border>
    <border>
      <left/>
      <right style="medium">
        <color indexed="64"/>
      </right>
      <top style="thin">
        <color indexed="64"/>
      </top>
      <bottom style="thin">
        <color indexed="64"/>
      </bottom>
      <diagonal/>
    </border>
    <border>
      <left style="thick">
        <color indexed="64"/>
      </left>
      <right style="medium">
        <color indexed="64"/>
      </right>
      <top style="thin">
        <color auto="1"/>
      </top>
      <bottom style="thick">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8"/>
      </top>
      <bottom style="thin">
        <color indexed="8"/>
      </bottom>
      <diagonal/>
    </border>
    <border>
      <left/>
      <right style="medium">
        <color indexed="64"/>
      </right>
      <top style="thin">
        <color indexed="64"/>
      </top>
      <bottom style="thin">
        <color indexed="64"/>
      </bottom>
      <diagonal/>
    </border>
    <border>
      <left style="thick">
        <color indexed="64"/>
      </left>
      <right style="medium">
        <color indexed="64"/>
      </right>
      <top style="thin">
        <color auto="1"/>
      </top>
      <bottom style="thick">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2" borderId="0"/>
    <xf numFmtId="0" fontId="103" fillId="20" borderId="77" applyNumberFormat="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xf numFmtId="0" fontId="7" fillId="2" borderId="0"/>
  </cellStyleXfs>
  <cellXfs count="3234">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0" xfId="0" applyAlignment="1" applyProtection="1">
      <alignment horizontal="left"/>
      <protection locked="0"/>
    </xf>
    <xf numFmtId="0" fontId="1" fillId="2" borderId="0" xfId="0" applyFont="1" applyProtection="1">
      <protection locked="0"/>
    </xf>
    <xf numFmtId="37"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0" fillId="2" borderId="7" xfId="0" applyBorder="1"/>
    <xf numFmtId="0" fontId="1" fillId="2" borderId="0" xfId="0" applyFont="1" applyAlignment="1">
      <alignment horizontal="center"/>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4" xfId="0" applyFont="1" applyBorder="1"/>
    <xf numFmtId="0" fontId="9" fillId="2" borderId="15"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6" xfId="0" applyFont="1" applyBorder="1"/>
    <xf numFmtId="0" fontId="15" fillId="2" borderId="17" xfId="0" applyFont="1" applyBorder="1"/>
    <xf numFmtId="0" fontId="15" fillId="2" borderId="18" xfId="0" applyFont="1" applyBorder="1"/>
    <xf numFmtId="0" fontId="13" fillId="2" borderId="0" xfId="0" applyFont="1"/>
    <xf numFmtId="0" fontId="9" fillId="2" borderId="10" xfId="0" applyFont="1" applyBorder="1"/>
    <xf numFmtId="0" fontId="17" fillId="2" borderId="11" xfId="0" applyFont="1" applyBorder="1"/>
    <xf numFmtId="0" fontId="4" fillId="2" borderId="0" xfId="0" quotePrefix="1" applyFont="1" applyAlignment="1">
      <alignment horizontal="center"/>
    </xf>
    <xf numFmtId="0" fontId="0" fillId="2" borderId="19" xfId="0" applyBorder="1"/>
    <xf numFmtId="0" fontId="0" fillId="2" borderId="13" xfId="0" applyBorder="1"/>
    <xf numFmtId="38" fontId="0" fillId="2" borderId="0" xfId="0" applyNumberFormat="1"/>
    <xf numFmtId="0" fontId="8" fillId="0" borderId="1" xfId="0" applyFont="1" applyFill="1" applyBorder="1" applyAlignment="1">
      <alignment wrapText="1"/>
    </xf>
    <xf numFmtId="174" fontId="0" fillId="2" borderId="0" xfId="0" applyNumberFormat="1"/>
    <xf numFmtId="0" fontId="0" fillId="2" borderId="14" xfId="0" applyBorder="1"/>
    <xf numFmtId="0" fontId="0" fillId="2" borderId="20" xfId="0" applyBorder="1"/>
    <xf numFmtId="0" fontId="0" fillId="2" borderId="21" xfId="0" applyBorder="1"/>
    <xf numFmtId="0" fontId="0" fillId="2" borderId="22" xfId="0" applyBorder="1"/>
    <xf numFmtId="0" fontId="14" fillId="2" borderId="0" xfId="0" applyFont="1"/>
    <xf numFmtId="3" fontId="0" fillId="2" borderId="0" xfId="0" applyNumberFormat="1"/>
    <xf numFmtId="0" fontId="19" fillId="2" borderId="0" xfId="0" applyFont="1"/>
    <xf numFmtId="0" fontId="21" fillId="2" borderId="0" xfId="0" applyFont="1" applyAlignment="1">
      <alignment horizontal="right"/>
    </xf>
    <xf numFmtId="0" fontId="22" fillId="2" borderId="0" xfId="0" quotePrefix="1" applyFont="1"/>
    <xf numFmtId="0" fontId="21" fillId="2" borderId="0" xfId="0" applyFont="1"/>
    <xf numFmtId="0" fontId="23" fillId="2" borderId="0" xfId="0" applyFont="1"/>
    <xf numFmtId="0" fontId="20" fillId="2" borderId="23" xfId="0" applyFont="1" applyBorder="1"/>
    <xf numFmtId="0" fontId="23" fillId="2" borderId="24" xfId="0" applyFont="1" applyBorder="1"/>
    <xf numFmtId="0" fontId="20" fillId="2" borderId="25" xfId="0" applyFont="1" applyBorder="1"/>
    <xf numFmtId="0" fontId="0" fillId="2" borderId="26" xfId="0" applyBorder="1"/>
    <xf numFmtId="0" fontId="0" fillId="2" borderId="27" xfId="0" applyBorder="1"/>
    <xf numFmtId="0" fontId="21" fillId="2" borderId="24" xfId="0" applyFont="1" applyBorder="1" applyAlignment="1">
      <alignment horizontal="right"/>
    </xf>
    <xf numFmtId="0" fontId="22" fillId="2" borderId="24" xfId="0" quotePrefix="1" applyFont="1" applyBorder="1"/>
    <xf numFmtId="0" fontId="21" fillId="2" borderId="24" xfId="0" applyFont="1" applyBorder="1"/>
    <xf numFmtId="0" fontId="20" fillId="2" borderId="26" xfId="0" applyFont="1" applyBorder="1"/>
    <xf numFmtId="0" fontId="21" fillId="2" borderId="27" xfId="0" applyFont="1" applyBorder="1" applyAlignment="1">
      <alignment horizontal="right"/>
    </xf>
    <xf numFmtId="0" fontId="22" fillId="2" borderId="27" xfId="0" quotePrefix="1" applyFont="1" applyBorder="1"/>
    <xf numFmtId="0" fontId="21" fillId="2" borderId="27"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0" fontId="26" fillId="2" borderId="0" xfId="0" applyFont="1"/>
    <xf numFmtId="173" fontId="0" fillId="2" borderId="0" xfId="0" applyNumberFormat="1"/>
    <xf numFmtId="178" fontId="0" fillId="2" borderId="0" xfId="0" applyNumberFormat="1"/>
    <xf numFmtId="40" fontId="0" fillId="2" borderId="0" xfId="0" applyNumberFormat="1"/>
    <xf numFmtId="0" fontId="27" fillId="2" borderId="0" xfId="0" applyFont="1"/>
    <xf numFmtId="0" fontId="29" fillId="2" borderId="0" xfId="0" applyFont="1"/>
    <xf numFmtId="0" fontId="4" fillId="2" borderId="13" xfId="0" applyFont="1" applyBorder="1"/>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78" fontId="4" fillId="4" borderId="0" xfId="0" applyNumberFormat="1" applyFont="1" applyFill="1"/>
    <xf numFmtId="178" fontId="0" fillId="4" borderId="0" xfId="0" applyNumberFormat="1" applyFill="1"/>
    <xf numFmtId="0" fontId="29" fillId="6" borderId="0" xfId="0" applyFont="1" applyFill="1"/>
    <xf numFmtId="0" fontId="16" fillId="2" borderId="0" xfId="2" applyFill="1" applyAlignment="1" applyProtection="1"/>
    <xf numFmtId="0" fontId="27" fillId="4" borderId="0" xfId="0" applyFont="1" applyFill="1"/>
    <xf numFmtId="0" fontId="27" fillId="2" borderId="0" xfId="0" applyFont="1" applyAlignment="1">
      <alignment horizontal="left"/>
    </xf>
    <xf numFmtId="38" fontId="0" fillId="2" borderId="13" xfId="0" applyNumberFormat="1" applyBorder="1"/>
    <xf numFmtId="173" fontId="0" fillId="2" borderId="13" xfId="0" applyNumberFormat="1" applyBorder="1"/>
    <xf numFmtId="0" fontId="27"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7" fillId="2" borderId="13" xfId="0" applyFont="1" applyBorder="1" applyAlignment="1">
      <alignment horizontal="center"/>
    </xf>
    <xf numFmtId="0" fontId="0" fillId="5" borderId="9" xfId="0" applyFill="1" applyBorder="1"/>
    <xf numFmtId="174" fontId="0" fillId="6" borderId="9" xfId="0" applyNumberFormat="1" applyFill="1" applyBorder="1"/>
    <xf numFmtId="38" fontId="0" fillId="6" borderId="9" xfId="0" applyNumberFormat="1" applyFill="1" applyBorder="1"/>
    <xf numFmtId="40" fontId="0" fillId="6" borderId="9" xfId="0" applyNumberFormat="1" applyFill="1" applyBorder="1"/>
    <xf numFmtId="0" fontId="4" fillId="2" borderId="10" xfId="0" applyFont="1" applyBorder="1"/>
    <xf numFmtId="0" fontId="4" fillId="2" borderId="12" xfId="0" applyFont="1" applyBorder="1"/>
    <xf numFmtId="178" fontId="0" fillId="6" borderId="9" xfId="0" applyNumberFormat="1" applyFill="1" applyBorder="1"/>
    <xf numFmtId="37" fontId="0" fillId="6" borderId="9" xfId="0" applyNumberFormat="1" applyFill="1" applyBorder="1"/>
    <xf numFmtId="0" fontId="9" fillId="2" borderId="35" xfId="0" applyFont="1" applyBorder="1"/>
    <xf numFmtId="0" fontId="0" fillId="2" borderId="32" xfId="0" applyBorder="1"/>
    <xf numFmtId="0" fontId="9" fillId="2" borderId="36" xfId="0" applyFont="1" applyBorder="1"/>
    <xf numFmtId="0" fontId="0" fillId="2" borderId="33" xfId="0" applyBorder="1"/>
    <xf numFmtId="0" fontId="9" fillId="2" borderId="37" xfId="0" applyFont="1" applyBorder="1"/>
    <xf numFmtId="0" fontId="0" fillId="2" borderId="34" xfId="0" applyBorder="1"/>
    <xf numFmtId="0" fontId="4" fillId="2" borderId="28" xfId="0" applyFont="1" applyBorder="1"/>
    <xf numFmtId="0" fontId="4" fillId="2" borderId="20" xfId="0" applyFont="1" applyBorder="1"/>
    <xf numFmtId="0" fontId="4" fillId="2" borderId="21" xfId="0" applyFont="1" applyBorder="1"/>
    <xf numFmtId="0" fontId="4" fillId="2" borderId="14" xfId="0" applyFont="1" applyBorder="1"/>
    <xf numFmtId="0" fontId="4" fillId="2" borderId="19" xfId="0" applyFont="1" applyBorder="1"/>
    <xf numFmtId="0" fontId="7" fillId="2" borderId="14" xfId="0" applyFont="1" applyBorder="1"/>
    <xf numFmtId="0" fontId="7" fillId="2" borderId="0" xfId="0" applyFont="1" applyAlignment="1">
      <alignment horizontal="center"/>
    </xf>
    <xf numFmtId="0" fontId="7" fillId="2" borderId="19" xfId="0" applyFont="1" applyBorder="1" applyAlignment="1">
      <alignment horizontal="center"/>
    </xf>
    <xf numFmtId="0" fontId="7" fillId="2" borderId="22" xfId="0" applyFont="1" applyBorder="1" applyAlignment="1">
      <alignment horizontal="center"/>
    </xf>
    <xf numFmtId="175" fontId="7" fillId="2" borderId="0" xfId="0" applyNumberFormat="1" applyFont="1" applyAlignment="1">
      <alignment horizontal="center"/>
    </xf>
    <xf numFmtId="38" fontId="7" fillId="2" borderId="0" xfId="0" applyNumberFormat="1" applyFont="1" applyAlignment="1">
      <alignment horizontal="center"/>
    </xf>
    <xf numFmtId="38" fontId="7" fillId="2" borderId="19" xfId="0" applyNumberFormat="1" applyFont="1" applyBorder="1" applyAlignment="1">
      <alignment horizontal="center"/>
    </xf>
    <xf numFmtId="0" fontId="7" fillId="2" borderId="19" xfId="0" applyFont="1" applyBorder="1"/>
    <xf numFmtId="0" fontId="4" fillId="2" borderId="15" xfId="0" applyFont="1" applyBorder="1"/>
    <xf numFmtId="0" fontId="4" fillId="2" borderId="22" xfId="0" applyFont="1" applyBorder="1"/>
    <xf numFmtId="38" fontId="4" fillId="2" borderId="0" xfId="0" applyNumberFormat="1" applyFont="1" applyAlignment="1">
      <alignment horizontal="center"/>
    </xf>
    <xf numFmtId="0" fontId="31" fillId="9" borderId="35" xfId="0" applyFont="1" applyFill="1" applyBorder="1"/>
    <xf numFmtId="0" fontId="31" fillId="9" borderId="37" xfId="0" applyFont="1" applyFill="1" applyBorder="1"/>
    <xf numFmtId="0" fontId="0" fillId="9" borderId="32" xfId="0" applyFill="1" applyBorder="1"/>
    <xf numFmtId="0" fontId="0" fillId="9" borderId="33" xfId="0" applyFill="1" applyBorder="1"/>
    <xf numFmtId="0" fontId="0" fillId="9" borderId="34" xfId="0" applyFill="1" applyBorder="1"/>
    <xf numFmtId="167" fontId="29" fillId="2" borderId="0" xfId="0" applyNumberFormat="1" applyFont="1"/>
    <xf numFmtId="0" fontId="33" fillId="2" borderId="0" xfId="0" applyFont="1"/>
    <xf numFmtId="167" fontId="33" fillId="2" borderId="0" xfId="0" applyNumberFormat="1" applyFont="1"/>
    <xf numFmtId="0" fontId="35" fillId="2" borderId="14" xfId="0" applyFont="1" applyBorder="1"/>
    <xf numFmtId="0" fontId="35" fillId="4" borderId="0" xfId="0" applyFont="1" applyFill="1"/>
    <xf numFmtId="0" fontId="35" fillId="2" borderId="0" xfId="0" applyFont="1"/>
    <xf numFmtId="0" fontId="0" fillId="4" borderId="0" xfId="0" quotePrefix="1" applyFill="1"/>
    <xf numFmtId="0" fontId="29" fillId="4" borderId="0" xfId="0" applyFont="1" applyFill="1"/>
    <xf numFmtId="0" fontId="9" fillId="9" borderId="28" xfId="0" applyFont="1" applyFill="1" applyBorder="1"/>
    <xf numFmtId="0" fontId="0" fillId="9" borderId="21" xfId="0" applyFill="1" applyBorder="1"/>
    <xf numFmtId="0" fontId="9" fillId="9" borderId="15" xfId="0" applyFont="1" applyFill="1" applyBorder="1"/>
    <xf numFmtId="0" fontId="0" fillId="9" borderId="22" xfId="0" applyFill="1" applyBorder="1"/>
    <xf numFmtId="173" fontId="0" fillId="4" borderId="13" xfId="0" applyNumberFormat="1" applyFill="1" applyBorder="1"/>
    <xf numFmtId="49" fontId="0" fillId="2" borderId="0" xfId="0" applyNumberFormat="1"/>
    <xf numFmtId="173"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3"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0" fontId="37"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3" fontId="13" fillId="2" borderId="0" xfId="0" applyNumberFormat="1" applyFont="1" applyAlignment="1" applyProtection="1">
      <alignment horizontal="right"/>
      <protection locked="0"/>
    </xf>
    <xf numFmtId="0" fontId="38" fillId="2" borderId="0" xfId="0" applyFont="1"/>
    <xf numFmtId="170" fontId="38" fillId="2" borderId="0" xfId="0" applyNumberFormat="1" applyFont="1"/>
    <xf numFmtId="39" fontId="38" fillId="2" borderId="0" xfId="0" applyNumberFormat="1" applyFont="1"/>
    <xf numFmtId="14" fontId="26" fillId="2" borderId="0" xfId="0" applyNumberFormat="1" applyFont="1" applyAlignment="1">
      <alignment horizontal="right"/>
    </xf>
    <xf numFmtId="0" fontId="39" fillId="2" borderId="0" xfId="0" applyFont="1"/>
    <xf numFmtId="38" fontId="39" fillId="2" borderId="0" xfId="0" applyNumberFormat="1" applyFont="1" applyAlignment="1">
      <alignment horizontal="center"/>
    </xf>
    <xf numFmtId="165" fontId="4" fillId="2" borderId="0" xfId="0" quotePrefix="1" applyNumberFormat="1" applyFont="1" applyAlignment="1">
      <alignment horizontal="center"/>
    </xf>
    <xf numFmtId="0" fontId="26" fillId="4" borderId="0" xfId="0" applyFont="1" applyFill="1"/>
    <xf numFmtId="0" fontId="25" fillId="4" borderId="0" xfId="0" applyFont="1" applyFill="1"/>
    <xf numFmtId="40" fontId="4" fillId="2" borderId="0" xfId="0" applyNumberFormat="1" applyFont="1" applyAlignment="1">
      <alignment horizontal="center"/>
    </xf>
    <xf numFmtId="0" fontId="9" fillId="6" borderId="11" xfId="0" applyFont="1" applyFill="1" applyBorder="1"/>
    <xf numFmtId="38" fontId="33" fillId="2" borderId="0" xfId="0" applyNumberFormat="1" applyFont="1" applyAlignment="1">
      <alignment horizontal="center"/>
    </xf>
    <xf numFmtId="38" fontId="29" fillId="2" borderId="0" xfId="0" applyNumberFormat="1" applyFont="1" applyAlignment="1">
      <alignment horizontal="center"/>
    </xf>
    <xf numFmtId="38" fontId="13" fillId="2" borderId="0" xfId="0" applyNumberFormat="1" applyFont="1" applyAlignment="1">
      <alignment horizontal="center"/>
    </xf>
    <xf numFmtId="38" fontId="38" fillId="2" borderId="0" xfId="0" applyNumberFormat="1" applyFont="1" applyAlignment="1">
      <alignment horizontal="center"/>
    </xf>
    <xf numFmtId="38" fontId="26" fillId="2" borderId="0" xfId="0" applyNumberFormat="1" applyFont="1" applyAlignment="1">
      <alignment horizontal="center"/>
    </xf>
    <xf numFmtId="0" fontId="42" fillId="2" borderId="14" xfId="0" applyFont="1" applyBorder="1"/>
    <xf numFmtId="0" fontId="42" fillId="2" borderId="0" xfId="0" applyFont="1"/>
    <xf numFmtId="0" fontId="42" fillId="4" borderId="0" xfId="0" applyFont="1" applyFill="1"/>
    <xf numFmtId="37" fontId="45" fillId="2" borderId="2" xfId="0" applyNumberFormat="1" applyFont="1" applyBorder="1"/>
    <xf numFmtId="0" fontId="46" fillId="2" borderId="0" xfId="0" applyFont="1"/>
    <xf numFmtId="0" fontId="47" fillId="11" borderId="2" xfId="0" applyFont="1" applyFill="1" applyBorder="1" applyAlignment="1">
      <alignment horizontal="center"/>
    </xf>
    <xf numFmtId="38" fontId="47" fillId="9" borderId="41" xfId="0" applyNumberFormat="1" applyFont="1" applyFill="1" applyBorder="1"/>
    <xf numFmtId="37" fontId="47" fillId="2" borderId="2" xfId="0" applyNumberFormat="1" applyFont="1" applyBorder="1"/>
    <xf numFmtId="38" fontId="4" fillId="2" borderId="0" xfId="0" applyNumberFormat="1" applyFont="1" applyAlignment="1" applyProtection="1">
      <alignment horizontal="center"/>
      <protection locked="0"/>
    </xf>
    <xf numFmtId="37" fontId="6" fillId="2" borderId="13" xfId="0" applyNumberFormat="1" applyFont="1" applyBorder="1" applyAlignment="1">
      <alignment horizontal="right"/>
    </xf>
    <xf numFmtId="0" fontId="9" fillId="9" borderId="20" xfId="0" applyFont="1" applyFill="1" applyBorder="1"/>
    <xf numFmtId="0" fontId="9" fillId="9" borderId="13" xfId="0" applyFont="1" applyFill="1" applyBorder="1"/>
    <xf numFmtId="0" fontId="31" fillId="9" borderId="38" xfId="0" applyFont="1" applyFill="1" applyBorder="1"/>
    <xf numFmtId="0" fontId="32" fillId="9" borderId="0" xfId="0" applyFont="1" applyFill="1"/>
    <xf numFmtId="0" fontId="31" fillId="9" borderId="39" xfId="0" applyFont="1" applyFill="1" applyBorder="1"/>
    <xf numFmtId="0" fontId="4" fillId="5" borderId="0" xfId="0" applyFont="1" applyFill="1"/>
    <xf numFmtId="0" fontId="48" fillId="4" borderId="0" xfId="0" applyFont="1" applyFill="1" applyAlignment="1">
      <alignment horizontal="left"/>
    </xf>
    <xf numFmtId="0" fontId="48" fillId="2" borderId="0" xfId="0" applyFont="1" applyAlignment="1">
      <alignment horizontal="left"/>
    </xf>
    <xf numFmtId="0" fontId="10" fillId="2" borderId="0" xfId="0" applyFont="1"/>
    <xf numFmtId="0" fontId="41" fillId="2" borderId="0" xfId="0" applyFont="1"/>
    <xf numFmtId="164" fontId="30" fillId="2" borderId="2" xfId="0" applyNumberFormat="1" applyFont="1" applyBorder="1"/>
    <xf numFmtId="0" fontId="13" fillId="12" borderId="28" xfId="0" applyFont="1" applyFill="1" applyBorder="1" applyAlignment="1">
      <alignment horizontal="right"/>
    </xf>
    <xf numFmtId="38" fontId="13" fillId="12" borderId="14" xfId="0" applyNumberFormat="1" applyFont="1" applyFill="1" applyBorder="1" applyAlignment="1">
      <alignment horizontal="right"/>
    </xf>
    <xf numFmtId="0" fontId="13" fillId="12" borderId="14" xfId="0" applyFont="1" applyFill="1" applyBorder="1" applyAlignment="1">
      <alignment horizontal="right"/>
    </xf>
    <xf numFmtId="37" fontId="13" fillId="12" borderId="14" xfId="0" applyNumberFormat="1" applyFont="1" applyFill="1" applyBorder="1" applyAlignment="1">
      <alignment horizontal="right"/>
    </xf>
    <xf numFmtId="0" fontId="11" fillId="9" borderId="15" xfId="0" applyFont="1" applyFill="1" applyBorder="1"/>
    <xf numFmtId="40" fontId="4" fillId="4" borderId="0" xfId="0" applyNumberFormat="1" applyFont="1" applyFill="1" applyAlignment="1">
      <alignment horizontal="center"/>
    </xf>
    <xf numFmtId="0" fontId="13" fillId="12" borderId="14" xfId="0" applyFont="1" applyFill="1" applyBorder="1" applyAlignment="1">
      <alignment horizontal="left"/>
    </xf>
    <xf numFmtId="0" fontId="0" fillId="12" borderId="0" xfId="0" applyFill="1"/>
    <xf numFmtId="0" fontId="4" fillId="12" borderId="0" xfId="0" applyFont="1" applyFill="1" applyAlignment="1">
      <alignment horizontal="right"/>
    </xf>
    <xf numFmtId="0" fontId="0" fillId="12" borderId="9" xfId="0" applyFill="1" applyBorder="1"/>
    <xf numFmtId="0" fontId="4" fillId="12" borderId="0" xfId="0" applyFont="1" applyFill="1"/>
    <xf numFmtId="0" fontId="59" fillId="2" borderId="0" xfId="0" applyFont="1" applyAlignment="1">
      <alignment horizontal="left"/>
    </xf>
    <xf numFmtId="0" fontId="41" fillId="2" borderId="0" xfId="0" applyFont="1" applyAlignment="1">
      <alignment horizontal="left"/>
    </xf>
    <xf numFmtId="0" fontId="15" fillId="2" borderId="0" xfId="0" applyFont="1"/>
    <xf numFmtId="49" fontId="41" fillId="2" borderId="0" xfId="0" applyNumberFormat="1" applyFont="1" applyAlignment="1">
      <alignment horizontal="left"/>
    </xf>
    <xf numFmtId="0" fontId="41" fillId="2" borderId="9" xfId="0" applyFont="1" applyBorder="1"/>
    <xf numFmtId="0" fontId="15" fillId="2" borderId="9" xfId="0" quotePrefix="1" applyFont="1" applyBorder="1" applyAlignment="1">
      <alignment horizontal="center"/>
    </xf>
    <xf numFmtId="0" fontId="15" fillId="2" borderId="9" xfId="0" applyFont="1" applyBorder="1"/>
    <xf numFmtId="174" fontId="15" fillId="2" borderId="9" xfId="0" applyNumberFormat="1" applyFont="1" applyBorder="1" applyAlignment="1">
      <alignment horizontal="right"/>
    </xf>
    <xf numFmtId="38" fontId="15" fillId="2" borderId="9" xfId="0" applyNumberFormat="1" applyFont="1" applyBorder="1"/>
    <xf numFmtId="173" fontId="15" fillId="2" borderId="9" xfId="0" applyNumberFormat="1" applyFont="1" applyBorder="1"/>
    <xf numFmtId="6" fontId="15" fillId="2" borderId="9" xfId="0" applyNumberFormat="1" applyFont="1" applyBorder="1"/>
    <xf numFmtId="174" fontId="15" fillId="2" borderId="9" xfId="0" applyNumberFormat="1" applyFont="1" applyBorder="1"/>
    <xf numFmtId="180" fontId="15" fillId="2" borderId="9" xfId="0" applyNumberFormat="1" applyFont="1" applyBorder="1"/>
    <xf numFmtId="174" fontId="4" fillId="2" borderId="0" xfId="0" applyNumberFormat="1" applyFont="1" applyAlignment="1">
      <alignment horizontal="center"/>
    </xf>
    <xf numFmtId="0" fontId="15" fillId="2" borderId="0" xfId="0" applyFont="1" applyAlignment="1">
      <alignment horizontal="center"/>
    </xf>
    <xf numFmtId="6" fontId="41" fillId="2" borderId="9" xfId="0" applyNumberFormat="1" applyFont="1" applyBorder="1"/>
    <xf numFmtId="0" fontId="15" fillId="2" borderId="31" xfId="0" applyFont="1" applyBorder="1" applyAlignment="1">
      <alignment horizontal="center"/>
    </xf>
    <xf numFmtId="179" fontId="15" fillId="2" borderId="40" xfId="0" applyNumberFormat="1" applyFont="1" applyBorder="1" applyAlignment="1">
      <alignment horizontal="center"/>
    </xf>
    <xf numFmtId="179" fontId="15" fillId="2" borderId="31" xfId="0" applyNumberFormat="1" applyFont="1" applyBorder="1" applyAlignment="1">
      <alignment horizontal="center"/>
    </xf>
    <xf numFmtId="179" fontId="0" fillId="2" borderId="0" xfId="0" applyNumberFormat="1" applyAlignment="1">
      <alignment horizontal="center"/>
    </xf>
    <xf numFmtId="179" fontId="15" fillId="2" borderId="9" xfId="0" applyNumberFormat="1" applyFont="1" applyBorder="1" applyAlignment="1">
      <alignment horizontal="center"/>
    </xf>
    <xf numFmtId="0" fontId="15" fillId="2" borderId="40" xfId="0" applyFont="1" applyBorder="1"/>
    <xf numFmtId="174" fontId="15" fillId="2" borderId="40" xfId="0" applyNumberFormat="1" applyFont="1" applyBorder="1" applyAlignment="1">
      <alignment horizontal="right"/>
    </xf>
    <xf numFmtId="0" fontId="15" fillId="2" borderId="31" xfId="0" applyFont="1" applyBorder="1"/>
    <xf numFmtId="174" fontId="15" fillId="2" borderId="31" xfId="0" applyNumberFormat="1" applyFont="1" applyBorder="1"/>
    <xf numFmtId="174" fontId="15" fillId="2" borderId="40" xfId="0" applyNumberFormat="1" applyFont="1" applyBorder="1"/>
    <xf numFmtId="0" fontId="50" fillId="2" borderId="0" xfId="0" quotePrefix="1" applyFont="1"/>
    <xf numFmtId="182" fontId="15" fillId="2" borderId="9" xfId="0" applyNumberFormat="1" applyFont="1" applyBorder="1"/>
    <xf numFmtId="0" fontId="15" fillId="2" borderId="9" xfId="0" applyFont="1" applyBorder="1" applyAlignment="1">
      <alignment horizontal="right"/>
    </xf>
    <xf numFmtId="0" fontId="15" fillId="2" borderId="11" xfId="0" applyFont="1" applyBorder="1"/>
    <xf numFmtId="0" fontId="15" fillId="2" borderId="21" xfId="0" applyFont="1" applyBorder="1"/>
    <xf numFmtId="179" fontId="15" fillId="2" borderId="9" xfId="0" applyNumberFormat="1" applyFont="1" applyBorder="1"/>
    <xf numFmtId="6" fontId="15" fillId="2" borderId="22" xfId="0" applyNumberFormat="1" applyFont="1" applyBorder="1"/>
    <xf numFmtId="0" fontId="15" fillId="2" borderId="31" xfId="0" applyFont="1" applyBorder="1" applyAlignment="1">
      <alignment horizontal="right"/>
    </xf>
    <xf numFmtId="40" fontId="15" fillId="2" borderId="9" xfId="0" applyNumberFormat="1" applyFont="1" applyBorder="1"/>
    <xf numFmtId="0" fontId="15" fillId="2" borderId="40" xfId="0" quotePrefix="1" applyFont="1" applyBorder="1" applyAlignment="1">
      <alignment horizontal="center"/>
    </xf>
    <xf numFmtId="6" fontId="15" fillId="2" borderId="49" xfId="0" applyNumberFormat="1" applyFont="1" applyBorder="1"/>
    <xf numFmtId="0" fontId="15" fillId="2" borderId="0" xfId="0" quotePrefix="1" applyFont="1" applyAlignment="1">
      <alignment horizontal="center"/>
    </xf>
    <xf numFmtId="0" fontId="15" fillId="2" borderId="0" xfId="0" quotePrefix="1" applyFont="1"/>
    <xf numFmtId="181" fontId="15" fillId="2" borderId="40" xfId="0" applyNumberFormat="1" applyFont="1" applyBorder="1"/>
    <xf numFmtId="181" fontId="15" fillId="2" borderId="31" xfId="0" applyNumberFormat="1" applyFont="1" applyBorder="1"/>
    <xf numFmtId="181" fontId="15" fillId="2" borderId="9" xfId="0" applyNumberFormat="1" applyFont="1" applyBorder="1"/>
    <xf numFmtId="6" fontId="15" fillId="2" borderId="9" xfId="0" applyNumberFormat="1" applyFont="1" applyBorder="1" applyAlignment="1">
      <alignment horizontal="center"/>
    </xf>
    <xf numFmtId="0" fontId="15" fillId="2" borderId="10" xfId="0" applyFont="1" applyBorder="1"/>
    <xf numFmtId="0" fontId="15" fillId="4" borderId="0" xfId="0" applyFont="1" applyFill="1"/>
    <xf numFmtId="0" fontId="51" fillId="2" borderId="0" xfId="0" applyFont="1"/>
    <xf numFmtId="173" fontId="14" fillId="2" borderId="0" xfId="0" applyNumberFormat="1" applyFont="1"/>
    <xf numFmtId="173" fontId="37" fillId="2" borderId="0" xfId="0" applyNumberFormat="1" applyFont="1" applyProtection="1">
      <protection locked="0"/>
    </xf>
    <xf numFmtId="0" fontId="14" fillId="4" borderId="0" xfId="0" applyFont="1" applyFill="1"/>
    <xf numFmtId="173" fontId="37" fillId="4" borderId="0" xfId="0" applyNumberFormat="1" applyFont="1" applyFill="1"/>
    <xf numFmtId="0" fontId="34" fillId="2" borderId="0" xfId="0" applyFont="1"/>
    <xf numFmtId="38" fontId="14" fillId="2" borderId="0" xfId="0" applyNumberFormat="1" applyFont="1"/>
    <xf numFmtId="38" fontId="37" fillId="2" borderId="0" xfId="0" applyNumberFormat="1" applyFont="1" applyAlignment="1" applyProtection="1">
      <alignment horizontal="right"/>
      <protection locked="0"/>
    </xf>
    <xf numFmtId="0" fontId="15" fillId="2" borderId="15" xfId="0" applyFont="1" applyBorder="1"/>
    <xf numFmtId="0" fontId="15" fillId="2" borderId="13" xfId="0" applyFont="1" applyBorder="1"/>
    <xf numFmtId="0" fontId="41" fillId="4" borderId="0" xfId="0" applyFont="1" applyFill="1"/>
    <xf numFmtId="173" fontId="37"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0" xfId="0" applyFont="1" applyFill="1" applyBorder="1"/>
    <xf numFmtId="0" fontId="41" fillId="2" borderId="11" xfId="0" applyFont="1" applyBorder="1"/>
    <xf numFmtId="0" fontId="15" fillId="4" borderId="13" xfId="0" applyFont="1" applyFill="1" applyBorder="1"/>
    <xf numFmtId="0" fontId="15" fillId="4" borderId="13" xfId="0" quotePrefix="1" applyFont="1" applyFill="1" applyBorder="1"/>
    <xf numFmtId="174" fontId="53" fillId="2" borderId="50" xfId="0" applyNumberFormat="1" applyFont="1" applyBorder="1"/>
    <xf numFmtId="174" fontId="53" fillId="2" borderId="6" xfId="0" applyNumberFormat="1" applyFont="1" applyBorder="1"/>
    <xf numFmtId="174" fontId="15" fillId="2" borderId="6" xfId="0" applyNumberFormat="1" applyFont="1" applyBorder="1"/>
    <xf numFmtId="174" fontId="15" fillId="2" borderId="51"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1" fillId="2" borderId="52" xfId="0" applyNumberFormat="1" applyFont="1" applyBorder="1"/>
    <xf numFmtId="14" fontId="15" fillId="2" borderId="9" xfId="0" quotePrefix="1" applyNumberFormat="1" applyFont="1" applyBorder="1" applyAlignment="1" applyProtection="1">
      <alignment horizontal="left"/>
      <protection locked="0"/>
    </xf>
    <xf numFmtId="0" fontId="64" fillId="2" borderId="0" xfId="0" applyFont="1"/>
    <xf numFmtId="174" fontId="65" fillId="2" borderId="0" xfId="2" applyNumberFormat="1" applyFont="1" applyFill="1" applyAlignment="1" applyProtection="1">
      <alignment horizontal="center"/>
    </xf>
    <xf numFmtId="179" fontId="15" fillId="2" borderId="0" xfId="0" applyNumberFormat="1" applyFont="1" applyAlignment="1">
      <alignment horizontal="center"/>
    </xf>
    <xf numFmtId="0" fontId="64" fillId="2" borderId="0" xfId="0" applyFont="1" applyAlignment="1">
      <alignment horizontal="right"/>
    </xf>
    <xf numFmtId="0" fontId="66" fillId="2" borderId="0" xfId="0" applyFont="1"/>
    <xf numFmtId="0" fontId="59" fillId="2" borderId="0" xfId="0" applyFont="1"/>
    <xf numFmtId="0" fontId="15" fillId="6" borderId="9" xfId="0" applyFont="1" applyFill="1" applyBorder="1" applyProtection="1">
      <protection locked="0"/>
    </xf>
    <xf numFmtId="0" fontId="41" fillId="2" borderId="0" xfId="0" applyFont="1" applyAlignment="1">
      <alignment horizontal="center"/>
    </xf>
    <xf numFmtId="0" fontId="9" fillId="2" borderId="0" xfId="0" applyFont="1" applyAlignment="1">
      <alignment horizontal="left"/>
    </xf>
    <xf numFmtId="6" fontId="0" fillId="2" borderId="0" xfId="0" applyNumberFormat="1"/>
    <xf numFmtId="0" fontId="62"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0" fontId="4" fillId="2" borderId="47" xfId="0" applyFont="1" applyBorder="1"/>
    <xf numFmtId="0" fontId="4" fillId="2" borderId="48" xfId="0" applyFont="1" applyBorder="1"/>
    <xf numFmtId="0" fontId="15" fillId="4" borderId="9" xfId="0" applyFont="1" applyFill="1" applyBorder="1"/>
    <xf numFmtId="0" fontId="31" fillId="9" borderId="36" xfId="0" applyFont="1" applyFill="1" applyBorder="1"/>
    <xf numFmtId="0" fontId="4" fillId="12" borderId="35" xfId="0" applyFont="1" applyFill="1" applyBorder="1"/>
    <xf numFmtId="0" fontId="4" fillId="12" borderId="38" xfId="0" applyFont="1" applyFill="1" applyBorder="1"/>
    <xf numFmtId="0" fontId="0" fillId="12" borderId="32" xfId="0" applyFill="1" applyBorder="1"/>
    <xf numFmtId="0" fontId="4" fillId="12" borderId="37" xfId="0" applyFont="1" applyFill="1" applyBorder="1"/>
    <xf numFmtId="0" fontId="4" fillId="12" borderId="39" xfId="0" applyFont="1" applyFill="1" applyBorder="1"/>
    <xf numFmtId="0" fontId="0" fillId="12" borderId="34" xfId="0" applyFill="1" applyBorder="1"/>
    <xf numFmtId="175"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0" fontId="4" fillId="12" borderId="40" xfId="0" applyFont="1" applyFill="1" applyBorder="1" applyAlignment="1">
      <alignment horizontal="left"/>
    </xf>
    <xf numFmtId="0" fontId="4" fillId="12" borderId="41" xfId="0" applyFont="1" applyFill="1" applyBorder="1" applyAlignment="1">
      <alignment horizontal="left"/>
    </xf>
    <xf numFmtId="0" fontId="4" fillId="12" borderId="31" xfId="0" applyFont="1" applyFill="1" applyBorder="1" applyAlignment="1">
      <alignment horizontal="left"/>
    </xf>
    <xf numFmtId="0" fontId="36" fillId="10" borderId="40" xfId="0" applyFont="1" applyFill="1" applyBorder="1" applyAlignment="1">
      <alignment horizontal="center"/>
    </xf>
    <xf numFmtId="0" fontId="36" fillId="10" borderId="31" xfId="0" applyFont="1" applyFill="1" applyBorder="1" applyAlignment="1">
      <alignment horizontal="center"/>
    </xf>
    <xf numFmtId="0" fontId="41" fillId="10" borderId="40" xfId="0" applyFont="1" applyFill="1" applyBorder="1" applyAlignment="1">
      <alignment horizontal="center"/>
    </xf>
    <xf numFmtId="0" fontId="41" fillId="10" borderId="31" xfId="0" applyFont="1" applyFill="1" applyBorder="1" applyAlignment="1">
      <alignment horizontal="center"/>
    </xf>
    <xf numFmtId="0" fontId="15" fillId="14" borderId="12" xfId="0" applyFont="1" applyFill="1" applyBorder="1"/>
    <xf numFmtId="0" fontId="36" fillId="10" borderId="9" xfId="0" applyFont="1" applyFill="1" applyBorder="1"/>
    <xf numFmtId="0" fontId="36" fillId="10" borderId="9" xfId="0" applyFont="1" applyFill="1" applyBorder="1" applyAlignment="1">
      <alignment horizontal="center"/>
    </xf>
    <xf numFmtId="0" fontId="42" fillId="14" borderId="11" xfId="0" applyFont="1" applyFill="1" applyBorder="1"/>
    <xf numFmtId="0" fontId="0" fillId="10" borderId="9" xfId="0" applyFill="1" applyBorder="1"/>
    <xf numFmtId="0" fontId="15" fillId="2" borderId="31" xfId="0" quotePrefix="1" applyFont="1" applyBorder="1" applyAlignment="1">
      <alignment horizontal="center"/>
    </xf>
    <xf numFmtId="0" fontId="36" fillId="10" borderId="10" xfId="0" applyFont="1" applyFill="1" applyBorder="1" applyAlignment="1">
      <alignment horizontal="left"/>
    </xf>
    <xf numFmtId="0" fontId="36" fillId="10" borderId="10" xfId="0" applyFont="1" applyFill="1" applyBorder="1"/>
    <xf numFmtId="0" fontId="41" fillId="2" borderId="0" xfId="0" quotePrefix="1" applyFont="1"/>
    <xf numFmtId="0" fontId="70" fillId="10" borderId="11" xfId="0" applyFont="1" applyFill="1" applyBorder="1" applyAlignment="1">
      <alignment horizontal="center"/>
    </xf>
    <xf numFmtId="0" fontId="15" fillId="14" borderId="0" xfId="0" applyFont="1" applyFill="1"/>
    <xf numFmtId="0" fontId="15" fillId="10" borderId="10" xfId="0" applyFont="1" applyFill="1" applyBorder="1"/>
    <xf numFmtId="0" fontId="41" fillId="10" borderId="10" xfId="0" applyFont="1" applyFill="1" applyBorder="1"/>
    <xf numFmtId="0" fontId="41" fillId="10" borderId="10" xfId="0" applyFont="1" applyFill="1" applyBorder="1" applyAlignment="1">
      <alignment horizontal="center"/>
    </xf>
    <xf numFmtId="0" fontId="41" fillId="10" borderId="9" xfId="0" applyFont="1" applyFill="1" applyBorder="1" applyAlignment="1">
      <alignment horizontal="center"/>
    </xf>
    <xf numFmtId="0" fontId="41" fillId="10" borderId="11" xfId="0" applyFont="1" applyFill="1" applyBorder="1"/>
    <xf numFmtId="6" fontId="41" fillId="2" borderId="0" xfId="0" applyNumberFormat="1" applyFont="1"/>
    <xf numFmtId="0" fontId="41" fillId="14" borderId="10" xfId="0" applyFont="1" applyFill="1" applyBorder="1"/>
    <xf numFmtId="0" fontId="62" fillId="4" borderId="11" xfId="0" applyFont="1" applyFill="1" applyBorder="1"/>
    <xf numFmtId="38" fontId="15" fillId="2" borderId="0" xfId="0" applyNumberFormat="1" applyFont="1"/>
    <xf numFmtId="0" fontId="4" fillId="12" borderId="36" xfId="0" applyFont="1" applyFill="1" applyBorder="1"/>
    <xf numFmtId="0" fontId="0" fillId="12" borderId="33" xfId="0" applyFill="1" applyBorder="1"/>
    <xf numFmtId="0" fontId="4" fillId="4" borderId="0" xfId="0" applyFont="1" applyFill="1" applyAlignment="1">
      <alignment horizontal="left"/>
    </xf>
    <xf numFmtId="0" fontId="65" fillId="2" borderId="0" xfId="2" quotePrefix="1" applyFont="1" applyFill="1" applyAlignment="1" applyProtection="1">
      <alignment horizontal="center"/>
    </xf>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3" fontId="0" fillId="12" borderId="0" xfId="0" applyNumberFormat="1" applyFill="1"/>
    <xf numFmtId="175" fontId="0" fillId="12" borderId="0" xfId="0" applyNumberFormat="1" applyFill="1"/>
    <xf numFmtId="174" fontId="4" fillId="4" borderId="0" xfId="0" applyNumberFormat="1" applyFont="1" applyFill="1" applyAlignment="1">
      <alignment horizontal="center"/>
    </xf>
    <xf numFmtId="0" fontId="40" fillId="2" borderId="0" xfId="0" applyFont="1"/>
    <xf numFmtId="0" fontId="5" fillId="4" borderId="12" xfId="0" applyFont="1" applyFill="1" applyBorder="1"/>
    <xf numFmtId="0" fontId="15" fillId="2" borderId="55" xfId="0" quotePrefix="1" applyFont="1" applyBorder="1" applyAlignment="1">
      <alignment horizontal="center"/>
    </xf>
    <xf numFmtId="0" fontId="15" fillId="2" borderId="56" xfId="0" quotePrefix="1" applyFont="1" applyBorder="1" applyAlignment="1">
      <alignment horizontal="center"/>
    </xf>
    <xf numFmtId="0" fontId="4" fillId="2" borderId="9" xfId="0" applyFont="1" applyBorder="1"/>
    <xf numFmtId="0" fontId="15" fillId="2" borderId="12" xfId="0" applyFont="1" applyBorder="1" applyAlignment="1">
      <alignment horizontal="left"/>
    </xf>
    <xf numFmtId="0" fontId="41" fillId="2" borderId="31" xfId="0" applyFont="1" applyBorder="1"/>
    <xf numFmtId="0" fontId="5" fillId="2" borderId="9" xfId="0" applyFont="1" applyBorder="1"/>
    <xf numFmtId="0" fontId="15" fillId="2" borderId="9" xfId="0" applyFont="1" applyBorder="1" applyAlignment="1">
      <alignment horizontal="left"/>
    </xf>
    <xf numFmtId="173" fontId="0" fillId="2" borderId="0" xfId="0" applyNumberFormat="1" applyAlignment="1">
      <alignment horizontal="center"/>
    </xf>
    <xf numFmtId="38" fontId="77" fillId="2" borderId="0" xfId="0" applyNumberFormat="1" applyFont="1"/>
    <xf numFmtId="0" fontId="77" fillId="2" borderId="0" xfId="0" applyFont="1"/>
    <xf numFmtId="165" fontId="77" fillId="2" borderId="0" xfId="0" applyNumberFormat="1" applyFont="1" applyAlignment="1">
      <alignment horizontal="right"/>
    </xf>
    <xf numFmtId="173" fontId="77" fillId="2" borderId="0" xfId="0" applyNumberFormat="1" applyFont="1"/>
    <xf numFmtId="0" fontId="77" fillId="2" borderId="0" xfId="0" applyFont="1" applyAlignment="1">
      <alignment horizontal="right"/>
    </xf>
    <xf numFmtId="38" fontId="77" fillId="2" borderId="0" xfId="0" applyNumberFormat="1" applyFont="1" applyProtection="1">
      <protection locked="0"/>
    </xf>
    <xf numFmtId="0" fontId="77" fillId="4" borderId="0" xfId="0" applyFont="1" applyFill="1"/>
    <xf numFmtId="0" fontId="77" fillId="16" borderId="0" xfId="0" applyFont="1" applyFill="1"/>
    <xf numFmtId="0" fontId="12" fillId="2" borderId="0" xfId="2" applyFont="1" applyFill="1" applyAlignment="1" applyProtection="1"/>
    <xf numFmtId="0" fontId="54" fillId="2" borderId="0" xfId="2" applyFont="1" applyFill="1" applyAlignment="1" applyProtection="1"/>
    <xf numFmtId="0" fontId="74" fillId="4" borderId="0" xfId="0" applyFont="1" applyFill="1" applyAlignment="1">
      <alignment horizontal="center"/>
    </xf>
    <xf numFmtId="38" fontId="77" fillId="4" borderId="0" xfId="0" applyNumberFormat="1" applyFont="1" applyFill="1"/>
    <xf numFmtId="165" fontId="77" fillId="4" borderId="0" xfId="0" applyNumberFormat="1" applyFont="1" applyFill="1" applyAlignment="1">
      <alignment horizontal="right"/>
    </xf>
    <xf numFmtId="173" fontId="77" fillId="4" borderId="0" xfId="0" applyNumberFormat="1" applyFont="1" applyFill="1"/>
    <xf numFmtId="0" fontId="77" fillId="4" borderId="0" xfId="0" applyFont="1" applyFill="1" applyAlignment="1">
      <alignment horizontal="right"/>
    </xf>
    <xf numFmtId="38" fontId="77"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6" fontId="15" fillId="2" borderId="0" xfId="0" applyNumberFormat="1" applyFont="1"/>
    <xf numFmtId="0" fontId="15" fillId="2" borderId="9" xfId="2" applyFont="1" applyFill="1" applyBorder="1" applyAlignment="1" applyProtection="1"/>
    <xf numFmtId="0" fontId="15" fillId="2" borderId="0" xfId="2" applyFont="1" applyFill="1" applyAlignment="1" applyProtection="1"/>
    <xf numFmtId="0" fontId="0" fillId="5" borderId="44" xfId="0" applyFill="1" applyBorder="1"/>
    <xf numFmtId="0" fontId="0" fillId="5" borderId="43" xfId="0" applyFill="1" applyBorder="1"/>
    <xf numFmtId="0" fontId="0" fillId="5" borderId="58" xfId="0" applyFill="1" applyBorder="1"/>
    <xf numFmtId="0" fontId="4" fillId="5" borderId="42" xfId="0" applyFont="1" applyFill="1" applyBorder="1"/>
    <xf numFmtId="0" fontId="75" fillId="5" borderId="59" xfId="0" applyFont="1" applyFill="1" applyBorder="1"/>
    <xf numFmtId="0" fontId="9" fillId="5" borderId="60" xfId="0" applyFont="1" applyFill="1" applyBorder="1"/>
    <xf numFmtId="0" fontId="0" fillId="5" borderId="61" xfId="0" applyFill="1" applyBorder="1"/>
    <xf numFmtId="173" fontId="4" fillId="6" borderId="62" xfId="0" applyNumberFormat="1" applyFont="1" applyFill="1" applyBorder="1"/>
    <xf numFmtId="173" fontId="4" fillId="6" borderId="63" xfId="0" applyNumberFormat="1" applyFont="1" applyFill="1" applyBorder="1" applyProtection="1">
      <protection locked="0"/>
    </xf>
    <xf numFmtId="173" fontId="4" fillId="6" borderId="64" xfId="0" applyNumberFormat="1" applyFont="1" applyFill="1" applyBorder="1"/>
    <xf numFmtId="173" fontId="59" fillId="6" borderId="65" xfId="0" applyNumberFormat="1" applyFont="1" applyFill="1" applyBorder="1"/>
    <xf numFmtId="0" fontId="59" fillId="6" borderId="66" xfId="0" applyFont="1" applyFill="1" applyBorder="1"/>
    <xf numFmtId="0" fontId="4" fillId="6" borderId="67" xfId="0" applyFont="1" applyFill="1" applyBorder="1"/>
    <xf numFmtId="0" fontId="4" fillId="6" borderId="7" xfId="0" applyFont="1" applyFill="1" applyBorder="1"/>
    <xf numFmtId="0" fontId="59" fillId="4" borderId="0" xfId="0" applyFont="1" applyFill="1" applyAlignment="1">
      <alignment horizontal="right"/>
    </xf>
    <xf numFmtId="0" fontId="59" fillId="4" borderId="0" xfId="0" applyFont="1" applyFill="1"/>
    <xf numFmtId="0" fontId="48" fillId="4" borderId="0" xfId="0" applyFont="1" applyFill="1" applyAlignment="1">
      <alignment horizontal="right"/>
    </xf>
    <xf numFmtId="173" fontId="4" fillId="5" borderId="69" xfId="0" applyNumberFormat="1" applyFont="1" applyFill="1" applyBorder="1"/>
    <xf numFmtId="0" fontId="4" fillId="4" borderId="9" xfId="0" applyFont="1" applyFill="1" applyBorder="1" applyAlignment="1">
      <alignment horizontal="center"/>
    </xf>
    <xf numFmtId="38" fontId="4" fillId="4" borderId="0" xfId="0" applyNumberFormat="1" applyFont="1" applyFill="1" applyAlignment="1">
      <alignment horizontal="center"/>
    </xf>
    <xf numFmtId="173" fontId="4" fillId="4" borderId="0" xfId="0" applyNumberFormat="1" applyFont="1" applyFill="1" applyAlignment="1">
      <alignment horizontal="center"/>
    </xf>
    <xf numFmtId="0" fontId="63" fillId="12" borderId="10" xfId="0" applyFont="1" applyFill="1" applyBorder="1" applyAlignment="1">
      <alignment horizontal="left"/>
    </xf>
    <xf numFmtId="173" fontId="0" fillId="4" borderId="0" xfId="0" applyNumberFormat="1" applyFill="1"/>
    <xf numFmtId="175" fontId="0" fillId="4" borderId="0" xfId="0" applyNumberFormat="1" applyFill="1"/>
    <xf numFmtId="0" fontId="4" fillId="16" borderId="9" xfId="0" applyFont="1" applyFill="1" applyBorder="1" applyAlignment="1">
      <alignment horizontal="center"/>
    </xf>
    <xf numFmtId="6" fontId="15" fillId="2" borderId="31" xfId="0" applyNumberFormat="1" applyFont="1" applyBorder="1"/>
    <xf numFmtId="0" fontId="80" fillId="18" borderId="70" xfId="1" applyFont="1" applyFill="1" applyBorder="1"/>
    <xf numFmtId="0" fontId="80" fillId="18" borderId="71" xfId="1" applyFont="1" applyFill="1" applyBorder="1" applyAlignment="1">
      <alignment horizontal="left"/>
    </xf>
    <xf numFmtId="0" fontId="80" fillId="18" borderId="0" xfId="1" applyFont="1" applyFill="1" applyBorder="1" applyAlignment="1">
      <alignment horizontal="left"/>
    </xf>
    <xf numFmtId="0" fontId="15" fillId="18" borderId="9" xfId="0" applyFont="1" applyFill="1" applyBorder="1" applyAlignment="1">
      <alignment horizontal="center"/>
    </xf>
    <xf numFmtId="0" fontId="15" fillId="18" borderId="9" xfId="0" applyFont="1" applyFill="1" applyBorder="1"/>
    <xf numFmtId="6" fontId="41" fillId="12" borderId="9" xfId="0" applyNumberFormat="1" applyFont="1" applyFill="1" applyBorder="1"/>
    <xf numFmtId="8" fontId="0" fillId="2" borderId="0" xfId="0" applyNumberFormat="1"/>
    <xf numFmtId="0" fontId="59" fillId="2" borderId="0" xfId="0" applyFont="1" applyAlignment="1">
      <alignment horizontal="center"/>
    </xf>
    <xf numFmtId="0" fontId="59" fillId="2" borderId="0" xfId="0" quotePrefix="1" applyFont="1" applyAlignment="1">
      <alignment horizontal="center"/>
    </xf>
    <xf numFmtId="0" fontId="41" fillId="12" borderId="9" xfId="0" applyFont="1" applyFill="1" applyBorder="1" applyAlignment="1">
      <alignment horizontal="center"/>
    </xf>
    <xf numFmtId="38" fontId="0" fillId="2" borderId="0" xfId="0" applyNumberFormat="1" applyAlignment="1">
      <alignment horizontal="left"/>
    </xf>
    <xf numFmtId="0" fontId="0" fillId="16" borderId="0" xfId="0" applyFill="1"/>
    <xf numFmtId="37" fontId="4" fillId="4" borderId="0" xfId="0" applyNumberFormat="1" applyFont="1" applyFill="1"/>
    <xf numFmtId="0" fontId="0" fillId="2" borderId="11" xfId="0" applyBorder="1" applyAlignment="1">
      <alignment horizontal="center"/>
    </xf>
    <xf numFmtId="0" fontId="1" fillId="2" borderId="12" xfId="0" applyFont="1" applyBorder="1" applyAlignment="1">
      <alignment horizontal="center"/>
    </xf>
    <xf numFmtId="38" fontId="64" fillId="2" borderId="9" xfId="0" applyNumberFormat="1" applyFont="1" applyBorder="1"/>
    <xf numFmtId="0" fontId="41" fillId="6" borderId="9" xfId="0" applyFont="1" applyFill="1" applyBorder="1" applyAlignment="1">
      <alignment horizontal="center"/>
    </xf>
    <xf numFmtId="174" fontId="78" fillId="4" borderId="0" xfId="0" applyNumberFormat="1" applyFont="1" applyFill="1" applyProtection="1">
      <protection locked="0"/>
    </xf>
    <xf numFmtId="174" fontId="78" fillId="4" borderId="0" xfId="0" applyNumberFormat="1" applyFont="1" applyFill="1"/>
    <xf numFmtId="38" fontId="78" fillId="4" borderId="0" xfId="0" applyNumberFormat="1" applyFont="1" applyFill="1" applyProtection="1">
      <protection locked="0"/>
    </xf>
    <xf numFmtId="173" fontId="78" fillId="4" borderId="0" xfId="0" applyNumberFormat="1" applyFont="1" applyFill="1" applyProtection="1">
      <protection locked="0"/>
    </xf>
    <xf numFmtId="0" fontId="79" fillId="4" borderId="0" xfId="0" applyFont="1" applyFill="1"/>
    <xf numFmtId="173" fontId="78" fillId="4" borderId="0" xfId="0" applyNumberFormat="1" applyFont="1" applyFill="1"/>
    <xf numFmtId="37" fontId="78" fillId="4" borderId="0" xfId="0" applyNumberFormat="1" applyFont="1" applyFill="1" applyAlignment="1" applyProtection="1">
      <alignment horizontal="center"/>
      <protection locked="0"/>
    </xf>
    <xf numFmtId="174" fontId="78" fillId="4" borderId="0" xfId="0" applyNumberFormat="1" applyFont="1" applyFill="1" applyAlignment="1">
      <alignment horizontal="right"/>
    </xf>
    <xf numFmtId="0" fontId="82" fillId="2" borderId="0" xfId="0" applyFont="1"/>
    <xf numFmtId="0" fontId="83" fillId="2" borderId="0" xfId="0" applyFont="1"/>
    <xf numFmtId="178" fontId="77" fillId="16"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1" fillId="12" borderId="10" xfId="0" applyFont="1" applyFill="1" applyBorder="1" applyAlignment="1">
      <alignment horizontal="left"/>
    </xf>
    <xf numFmtId="184" fontId="15" fillId="2" borderId="9" xfId="0" applyNumberFormat="1" applyFont="1" applyBorder="1"/>
    <xf numFmtId="0" fontId="58"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38" fontId="0" fillId="12" borderId="0" xfId="0" applyNumberFormat="1" applyFill="1"/>
    <xf numFmtId="0" fontId="4" fillId="14" borderId="0" xfId="0" applyFont="1" applyFill="1"/>
    <xf numFmtId="16" fontId="4" fillId="16" borderId="6" xfId="0" quotePrefix="1" applyNumberFormat="1" applyFont="1" applyFill="1" applyBorder="1" applyAlignment="1">
      <alignment horizontal="center"/>
    </xf>
    <xf numFmtId="16" fontId="4" fillId="17" borderId="6" xfId="0" quotePrefix="1" applyNumberFormat="1" applyFont="1" applyFill="1" applyBorder="1" applyAlignment="1">
      <alignment horizontal="center"/>
    </xf>
    <xf numFmtId="0" fontId="59" fillId="4" borderId="0" xfId="0" quotePrefix="1" applyFont="1" applyFill="1" applyAlignment="1">
      <alignment horizontal="center"/>
    </xf>
    <xf numFmtId="38" fontId="4" fillId="4" borderId="0" xfId="0" applyNumberFormat="1" applyFont="1" applyFill="1"/>
    <xf numFmtId="173" fontId="4" fillId="4" borderId="0" xfId="0" applyNumberFormat="1" applyFont="1" applyFill="1"/>
    <xf numFmtId="0" fontId="60" fillId="17" borderId="0" xfId="0" applyFont="1" applyFill="1"/>
    <xf numFmtId="0" fontId="60" fillId="17" borderId="0" xfId="0" applyFont="1" applyFill="1" applyAlignment="1">
      <alignment horizontal="right"/>
    </xf>
    <xf numFmtId="0" fontId="85" fillId="17" borderId="0" xfId="0" applyFont="1" applyFill="1"/>
    <xf numFmtId="0" fontId="60" fillId="4" borderId="0" xfId="0" quotePrefix="1" applyFont="1" applyFill="1" applyAlignment="1">
      <alignment horizontal="center"/>
    </xf>
    <xf numFmtId="0" fontId="85" fillId="2" borderId="0" xfId="0" applyFont="1"/>
    <xf numFmtId="0" fontId="86" fillId="2" borderId="0" xfId="0" applyFont="1"/>
    <xf numFmtId="0" fontId="60" fillId="16" borderId="0" xfId="0" applyFont="1" applyFill="1"/>
    <xf numFmtId="0" fontId="77" fillId="17" borderId="0" xfId="0" applyFont="1" applyFill="1" applyAlignment="1">
      <alignment horizontal="left"/>
    </xf>
    <xf numFmtId="0" fontId="4" fillId="4" borderId="41" xfId="0" applyFont="1" applyFill="1" applyBorder="1" applyAlignment="1">
      <alignment horizontal="left"/>
    </xf>
    <xf numFmtId="0" fontId="4" fillId="4" borderId="41" xfId="0" applyFont="1" applyFill="1" applyBorder="1"/>
    <xf numFmtId="0" fontId="4" fillId="4" borderId="31" xfId="0" applyFont="1" applyFill="1" applyBorder="1" applyAlignment="1">
      <alignment horizontal="left"/>
    </xf>
    <xf numFmtId="0" fontId="4" fillId="4" borderId="40" xfId="0" applyFont="1" applyFill="1" applyBorder="1" applyAlignment="1">
      <alignment horizontal="left"/>
    </xf>
    <xf numFmtId="0" fontId="0" fillId="2" borderId="11" xfId="0" applyBorder="1" applyAlignment="1">
      <alignment horizontal="right"/>
    </xf>
    <xf numFmtId="0" fontId="0" fillId="2" borderId="4" xfId="0" applyBorder="1" applyAlignment="1">
      <alignment horizontal="right"/>
    </xf>
    <xf numFmtId="0" fontId="59" fillId="2" borderId="0" xfId="0" quotePrefix="1" applyFont="1" applyAlignment="1">
      <alignment horizontal="left"/>
    </xf>
    <xf numFmtId="0" fontId="59" fillId="2" borderId="0" xfId="0" quotePrefix="1" applyFont="1"/>
    <xf numFmtId="49" fontId="4" fillId="2" borderId="0" xfId="0" applyNumberFormat="1" applyFont="1" applyAlignment="1">
      <alignment horizontal="left"/>
    </xf>
    <xf numFmtId="38" fontId="59" fillId="2" borderId="0" xfId="0" quotePrefix="1" applyNumberFormat="1" applyFont="1"/>
    <xf numFmtId="174" fontId="0" fillId="12" borderId="0" xfId="0" applyNumberFormat="1" applyFill="1"/>
    <xf numFmtId="178" fontId="0" fillId="12" borderId="0" xfId="0" applyNumberFormat="1" applyFill="1"/>
    <xf numFmtId="38" fontId="0" fillId="12" borderId="10" xfId="0" applyNumberFormat="1" applyFill="1" applyBorder="1"/>
    <xf numFmtId="0" fontId="4" fillId="12" borderId="14" xfId="0" applyFont="1" applyFill="1" applyBorder="1"/>
    <xf numFmtId="0" fontId="0" fillId="12" borderId="20" xfId="0" applyFill="1" applyBorder="1"/>
    <xf numFmtId="0" fontId="4" fillId="12" borderId="15" xfId="0" applyFont="1" applyFill="1" applyBorder="1"/>
    <xf numFmtId="0" fontId="0" fillId="12" borderId="13" xfId="0" applyFill="1" applyBorder="1"/>
    <xf numFmtId="0" fontId="4" fillId="12" borderId="40" xfId="0" applyFont="1" applyFill="1" applyBorder="1"/>
    <xf numFmtId="0" fontId="4" fillId="12" borderId="21" xfId="0" applyFont="1" applyFill="1" applyBorder="1"/>
    <xf numFmtId="0" fontId="4" fillId="12" borderId="41" xfId="0" applyFont="1" applyFill="1" applyBorder="1"/>
    <xf numFmtId="0" fontId="4" fillId="12" borderId="31" xfId="0" applyFont="1" applyFill="1" applyBorder="1"/>
    <xf numFmtId="178" fontId="4" fillId="12" borderId="10" xfId="0" applyNumberFormat="1" applyFont="1" applyFill="1" applyBorder="1"/>
    <xf numFmtId="38" fontId="0" fillId="12" borderId="11" xfId="0" applyNumberFormat="1" applyFill="1" applyBorder="1"/>
    <xf numFmtId="0" fontId="76" fillId="2" borderId="9" xfId="0" applyFont="1" applyBorder="1"/>
    <xf numFmtId="38" fontId="9" fillId="2" borderId="0" xfId="0" quotePrefix="1" applyNumberFormat="1" applyFont="1"/>
    <xf numFmtId="0" fontId="0" fillId="13" borderId="21" xfId="0" applyFill="1" applyBorder="1"/>
    <xf numFmtId="0" fontId="4" fillId="13" borderId="22" xfId="0" applyFont="1" applyFill="1" applyBorder="1" applyAlignment="1">
      <alignment horizontal="right"/>
    </xf>
    <xf numFmtId="14" fontId="15" fillId="6" borderId="75" xfId="0" applyNumberFormat="1" applyFont="1" applyFill="1" applyBorder="1" applyAlignment="1" applyProtection="1">
      <alignment horizontal="left"/>
      <protection locked="0"/>
    </xf>
    <xf numFmtId="14" fontId="41" fillId="2" borderId="0" xfId="0" applyNumberFormat="1" applyFont="1" applyAlignment="1">
      <alignment horizontal="right"/>
    </xf>
    <xf numFmtId="0" fontId="4" fillId="13" borderId="40" xfId="0" applyFont="1" applyFill="1" applyBorder="1" applyAlignment="1">
      <alignment horizontal="center"/>
    </xf>
    <xf numFmtId="38" fontId="4" fillId="13" borderId="31" xfId="0" applyNumberFormat="1" applyFont="1" applyFill="1" applyBorder="1" applyAlignment="1">
      <alignment horizontal="center"/>
    </xf>
    <xf numFmtId="0" fontId="72" fillId="5" borderId="0" xfId="0" applyFont="1" applyFill="1"/>
    <xf numFmtId="0" fontId="90"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4" fontId="4" fillId="12" borderId="0" xfId="0" applyNumberFormat="1" applyFont="1" applyFill="1" applyAlignment="1">
      <alignment horizontal="center"/>
    </xf>
    <xf numFmtId="0" fontId="96" fillId="2" borderId="0" xfId="0" applyFont="1"/>
    <xf numFmtId="174" fontId="96" fillId="0" borderId="2" xfId="0" applyNumberFormat="1" applyFont="1" applyFill="1" applyBorder="1"/>
    <xf numFmtId="0" fontId="94" fillId="2" borderId="0" xfId="0" applyFont="1"/>
    <xf numFmtId="38" fontId="94" fillId="4" borderId="0" xfId="0" applyNumberFormat="1" applyFont="1" applyFill="1" applyAlignment="1">
      <alignment horizontal="center"/>
    </xf>
    <xf numFmtId="0" fontId="94" fillId="4" borderId="0" xfId="0" applyFont="1" applyFill="1"/>
    <xf numFmtId="0" fontId="98" fillId="2" borderId="0" xfId="0" applyFont="1"/>
    <xf numFmtId="0" fontId="98" fillId="2" borderId="0" xfId="0" applyFont="1" applyAlignment="1">
      <alignment horizontal="center"/>
    </xf>
    <xf numFmtId="173" fontId="98" fillId="2" borderId="2" xfId="0" applyNumberFormat="1" applyFont="1" applyBorder="1"/>
    <xf numFmtId="174" fontId="98" fillId="0" borderId="2" xfId="0" applyNumberFormat="1" applyFont="1" applyFill="1" applyBorder="1"/>
    <xf numFmtId="0" fontId="98" fillId="2" borderId="2" xfId="0" applyFont="1" applyBorder="1"/>
    <xf numFmtId="37" fontId="98" fillId="2" borderId="2" xfId="0" applyNumberFormat="1" applyFont="1" applyBorder="1"/>
    <xf numFmtId="167" fontId="98" fillId="2" borderId="2" xfId="0" applyNumberFormat="1" applyFont="1" applyBorder="1"/>
    <xf numFmtId="167" fontId="98" fillId="8" borderId="2" xfId="0" applyNumberFormat="1" applyFont="1" applyFill="1" applyBorder="1"/>
    <xf numFmtId="38" fontId="98" fillId="2" borderId="2" xfId="0" applyNumberFormat="1" applyFont="1" applyBorder="1"/>
    <xf numFmtId="38" fontId="98" fillId="2" borderId="9" xfId="0" applyNumberFormat="1" applyFont="1" applyBorder="1"/>
    <xf numFmtId="38" fontId="98" fillId="2" borderId="0" xfId="0" applyNumberFormat="1" applyFont="1"/>
    <xf numFmtId="0" fontId="98" fillId="2" borderId="0" xfId="0" applyFont="1" applyAlignment="1">
      <alignment horizontal="right"/>
    </xf>
    <xf numFmtId="170" fontId="98" fillId="2" borderId="0" xfId="0" applyNumberFormat="1" applyFont="1" applyAlignment="1">
      <alignment horizontal="right"/>
    </xf>
    <xf numFmtId="39" fontId="98" fillId="2" borderId="0" xfId="0" applyNumberFormat="1" applyFont="1" applyAlignment="1">
      <alignment horizontal="right"/>
    </xf>
    <xf numFmtId="0" fontId="98" fillId="9" borderId="21" xfId="0" applyFont="1" applyFill="1" applyBorder="1" applyAlignment="1">
      <alignment horizontal="center"/>
    </xf>
    <xf numFmtId="38" fontId="98" fillId="9" borderId="19" xfId="0" applyNumberFormat="1" applyFont="1" applyFill="1" applyBorder="1" applyAlignment="1">
      <alignment horizontal="center"/>
    </xf>
    <xf numFmtId="0" fontId="98" fillId="9" borderId="19" xfId="0" applyFont="1" applyFill="1" applyBorder="1"/>
    <xf numFmtId="38" fontId="98" fillId="9" borderId="22" xfId="0" applyNumberFormat="1" applyFont="1" applyFill="1" applyBorder="1" applyAlignment="1">
      <alignment horizontal="center"/>
    </xf>
    <xf numFmtId="183" fontId="98" fillId="2" borderId="9" xfId="0" applyNumberFormat="1" applyFont="1" applyBorder="1"/>
    <xf numFmtId="38" fontId="98" fillId="4" borderId="9" xfId="0" applyNumberFormat="1" applyFont="1" applyFill="1" applyBorder="1"/>
    <xf numFmtId="38" fontId="98" fillId="14" borderId="9" xfId="0" applyNumberFormat="1" applyFont="1" applyFill="1" applyBorder="1"/>
    <xf numFmtId="173" fontId="98" fillId="4" borderId="9" xfId="0" applyNumberFormat="1" applyFont="1" applyFill="1" applyBorder="1"/>
    <xf numFmtId="0" fontId="98" fillId="15" borderId="9" xfId="0" applyFont="1" applyFill="1" applyBorder="1" applyAlignment="1">
      <alignment horizontal="center"/>
    </xf>
    <xf numFmtId="0" fontId="93" fillId="2" borderId="0" xfId="0" applyFont="1" applyAlignment="1">
      <alignment horizontal="center"/>
    </xf>
    <xf numFmtId="0" fontId="98" fillId="6" borderId="2" xfId="0" applyFont="1" applyFill="1" applyBorder="1" applyAlignment="1">
      <alignment horizontal="center"/>
    </xf>
    <xf numFmtId="164" fontId="97" fillId="12" borderId="2" xfId="0" applyNumberFormat="1" applyFont="1" applyFill="1" applyBorder="1"/>
    <xf numFmtId="38" fontId="98" fillId="4" borderId="2" xfId="0" applyNumberFormat="1" applyFont="1" applyFill="1" applyBorder="1" applyProtection="1">
      <protection locked="0"/>
    </xf>
    <xf numFmtId="173" fontId="98" fillId="4" borderId="2" xfId="0" applyNumberFormat="1" applyFont="1" applyFill="1" applyBorder="1"/>
    <xf numFmtId="173" fontId="98" fillId="12" borderId="2" xfId="0" applyNumberFormat="1" applyFont="1" applyFill="1" applyBorder="1"/>
    <xf numFmtId="38" fontId="98" fillId="12" borderId="9" xfId="0" applyNumberFormat="1" applyFont="1" applyFill="1" applyBorder="1"/>
    <xf numFmtId="38" fontId="94" fillId="4" borderId="41" xfId="0" applyNumberFormat="1" applyFont="1" applyFill="1" applyBorder="1"/>
    <xf numFmtId="37" fontId="98" fillId="12" borderId="2" xfId="0" applyNumberFormat="1" applyFont="1" applyFill="1" applyBorder="1"/>
    <xf numFmtId="0" fontId="89" fillId="2" borderId="2" xfId="0" applyFont="1" applyBorder="1"/>
    <xf numFmtId="0" fontId="89" fillId="4" borderId="9" xfId="0" applyFont="1" applyFill="1" applyBorder="1"/>
    <xf numFmtId="0" fontId="89" fillId="2" borderId="2" xfId="0" applyFont="1" applyBorder="1" applyAlignment="1">
      <alignment horizontal="left"/>
    </xf>
    <xf numFmtId="0" fontId="0" fillId="10" borderId="11" xfId="0" applyFill="1" applyBorder="1"/>
    <xf numFmtId="0" fontId="41" fillId="2" borderId="57" xfId="0" applyFont="1" applyBorder="1"/>
    <xf numFmtId="0" fontId="36" fillId="10" borderId="0" xfId="0" applyFont="1" applyFill="1" applyAlignment="1">
      <alignment horizontal="center"/>
    </xf>
    <xf numFmtId="0" fontId="99" fillId="12" borderId="11" xfId="0" applyFont="1" applyFill="1" applyBorder="1"/>
    <xf numFmtId="38" fontId="100" fillId="6" borderId="31" xfId="0" applyNumberFormat="1" applyFont="1" applyFill="1" applyBorder="1" applyProtection="1">
      <protection locked="0"/>
    </xf>
    <xf numFmtId="37" fontId="100" fillId="2" borderId="9" xfId="0" applyNumberFormat="1" applyFont="1" applyBorder="1" applyAlignment="1" applyProtection="1">
      <alignment horizontal="center"/>
      <protection locked="0"/>
    </xf>
    <xf numFmtId="174" fontId="100" fillId="2" borderId="9" xfId="0" applyNumberFormat="1" applyFont="1" applyBorder="1" applyAlignment="1">
      <alignment horizontal="right"/>
    </xf>
    <xf numFmtId="0" fontId="101" fillId="2" borderId="0" xfId="0" applyFont="1"/>
    <xf numFmtId="0" fontId="101" fillId="2" borderId="0" xfId="0" applyFont="1" applyAlignment="1">
      <alignment horizontal="center"/>
    </xf>
    <xf numFmtId="0" fontId="101" fillId="6" borderId="2" xfId="0" applyFont="1" applyFill="1" applyBorder="1" applyAlignment="1">
      <alignment horizontal="center"/>
    </xf>
    <xf numFmtId="173" fontId="101" fillId="2" borderId="2" xfId="0" applyNumberFormat="1" applyFont="1" applyBorder="1"/>
    <xf numFmtId="174" fontId="101" fillId="0" borderId="2" xfId="0" applyNumberFormat="1" applyFont="1" applyFill="1" applyBorder="1"/>
    <xf numFmtId="0" fontId="101" fillId="2" borderId="2" xfId="0" applyFont="1" applyBorder="1"/>
    <xf numFmtId="37" fontId="101" fillId="2" borderId="2" xfId="0" applyNumberFormat="1" applyFont="1" applyBorder="1"/>
    <xf numFmtId="37" fontId="101" fillId="12" borderId="2" xfId="0" applyNumberFormat="1" applyFont="1" applyFill="1" applyBorder="1"/>
    <xf numFmtId="167" fontId="101" fillId="2" borderId="2" xfId="0" applyNumberFormat="1" applyFont="1" applyBorder="1"/>
    <xf numFmtId="167" fontId="101" fillId="8" borderId="2" xfId="0" applyNumberFormat="1" applyFont="1" applyFill="1" applyBorder="1"/>
    <xf numFmtId="38" fontId="101" fillId="4" borderId="2" xfId="0" applyNumberFormat="1" applyFont="1" applyFill="1" applyBorder="1" applyProtection="1">
      <protection locked="0"/>
    </xf>
    <xf numFmtId="173" fontId="101" fillId="4" borderId="2" xfId="0" applyNumberFormat="1" applyFont="1" applyFill="1" applyBorder="1"/>
    <xf numFmtId="38" fontId="101" fillId="2" borderId="2" xfId="0" applyNumberFormat="1" applyFont="1" applyBorder="1"/>
    <xf numFmtId="173" fontId="101" fillId="12" borderId="2" xfId="0" applyNumberFormat="1" applyFont="1" applyFill="1" applyBorder="1"/>
    <xf numFmtId="38" fontId="101" fillId="12" borderId="9" xfId="0" applyNumberFormat="1" applyFont="1" applyFill="1" applyBorder="1"/>
    <xf numFmtId="38" fontId="101" fillId="2" borderId="0" xfId="0" applyNumberFormat="1" applyFont="1"/>
    <xf numFmtId="0" fontId="101" fillId="2" borderId="0" xfId="0" applyFont="1" applyAlignment="1">
      <alignment horizontal="right"/>
    </xf>
    <xf numFmtId="170" fontId="101" fillId="2" borderId="0" xfId="0" applyNumberFormat="1" applyFont="1" applyAlignment="1">
      <alignment horizontal="right"/>
    </xf>
    <xf numFmtId="39" fontId="101" fillId="2" borderId="0" xfId="0" applyNumberFormat="1" applyFont="1" applyAlignment="1">
      <alignment horizontal="right"/>
    </xf>
    <xf numFmtId="0" fontId="101" fillId="9" borderId="21" xfId="0" applyFont="1" applyFill="1" applyBorder="1" applyAlignment="1">
      <alignment horizontal="center"/>
    </xf>
    <xf numFmtId="38" fontId="101" fillId="9" borderId="19" xfId="0" applyNumberFormat="1" applyFont="1" applyFill="1" applyBorder="1" applyAlignment="1">
      <alignment horizontal="center"/>
    </xf>
    <xf numFmtId="0" fontId="101" fillId="9" borderId="19" xfId="0" applyFont="1" applyFill="1" applyBorder="1"/>
    <xf numFmtId="38" fontId="101" fillId="9" borderId="22" xfId="0" applyNumberFormat="1" applyFont="1" applyFill="1" applyBorder="1" applyAlignment="1">
      <alignment horizontal="center"/>
    </xf>
    <xf numFmtId="183" fontId="101" fillId="2" borderId="9" xfId="0" applyNumberFormat="1" applyFont="1" applyBorder="1"/>
    <xf numFmtId="38" fontId="101" fillId="2" borderId="9" xfId="0" applyNumberFormat="1" applyFont="1" applyBorder="1"/>
    <xf numFmtId="38" fontId="101" fillId="4" borderId="9" xfId="0" applyNumberFormat="1" applyFont="1" applyFill="1" applyBorder="1"/>
    <xf numFmtId="38" fontId="101" fillId="14" borderId="9" xfId="0" applyNumberFormat="1" applyFont="1" applyFill="1" applyBorder="1"/>
    <xf numFmtId="173" fontId="101" fillId="4" borderId="9" xfId="0" applyNumberFormat="1" applyFont="1" applyFill="1" applyBorder="1"/>
    <xf numFmtId="0" fontId="101" fillId="15" borderId="9" xfId="0" applyFont="1" applyFill="1" applyBorder="1" applyAlignment="1">
      <alignment horizontal="center"/>
    </xf>
    <xf numFmtId="38" fontId="100" fillId="6" borderId="41" xfId="0" applyNumberFormat="1" applyFont="1" applyFill="1" applyBorder="1" applyProtection="1">
      <protection locked="0"/>
    </xf>
    <xf numFmtId="0" fontId="15" fillId="2" borderId="28" xfId="0" applyFont="1" applyBorder="1"/>
    <xf numFmtId="0" fontId="64" fillId="4" borderId="12" xfId="0" applyFont="1" applyFill="1" applyBorder="1"/>
    <xf numFmtId="0" fontId="4" fillId="16" borderId="40" xfId="0" applyFont="1" applyFill="1" applyBorder="1" applyAlignment="1">
      <alignment horizontal="center"/>
    </xf>
    <xf numFmtId="0" fontId="0" fillId="16" borderId="21" xfId="0" applyFill="1" applyBorder="1"/>
    <xf numFmtId="38" fontId="4" fillId="16" borderId="31" xfId="0" applyNumberFormat="1" applyFont="1" applyFill="1" applyBorder="1" applyAlignment="1">
      <alignment horizontal="center"/>
    </xf>
    <xf numFmtId="0" fontId="4" fillId="16" borderId="22" xfId="0" applyFont="1" applyFill="1" applyBorder="1" applyAlignment="1">
      <alignment horizontal="right"/>
    </xf>
    <xf numFmtId="0" fontId="36" fillId="21" borderId="10" xfId="0" applyFont="1" applyFill="1" applyBorder="1"/>
    <xf numFmtId="0" fontId="0" fillId="21" borderId="12" xfId="0" applyFill="1" applyBorder="1"/>
    <xf numFmtId="0" fontId="102" fillId="21" borderId="40" xfId="0" applyFont="1" applyFill="1" applyBorder="1" applyAlignment="1">
      <alignment horizontal="center"/>
    </xf>
    <xf numFmtId="0" fontId="102" fillId="21" borderId="31" xfId="0" applyFont="1" applyFill="1" applyBorder="1" applyAlignment="1">
      <alignment horizontal="center"/>
    </xf>
    <xf numFmtId="0" fontId="0" fillId="21" borderId="0" xfId="0" applyFill="1"/>
    <xf numFmtId="0" fontId="0" fillId="21" borderId="9" xfId="0" applyFill="1" applyBorder="1"/>
    <xf numFmtId="0" fontId="36" fillId="21" borderId="9" xfId="0" applyFont="1" applyFill="1" applyBorder="1" applyAlignment="1">
      <alignment horizontal="center"/>
    </xf>
    <xf numFmtId="0" fontId="0" fillId="21" borderId="28" xfId="0" applyFill="1" applyBorder="1"/>
    <xf numFmtId="0" fontId="0" fillId="21" borderId="21" xfId="0" applyFill="1" applyBorder="1"/>
    <xf numFmtId="0" fontId="36" fillId="21" borderId="15" xfId="0" applyFont="1" applyFill="1" applyBorder="1"/>
    <xf numFmtId="0" fontId="0" fillId="21" borderId="22" xfId="0" applyFill="1" applyBorder="1"/>
    <xf numFmtId="0" fontId="36" fillId="21" borderId="0" xfId="0" applyFont="1" applyFill="1"/>
    <xf numFmtId="0" fontId="41" fillId="21" borderId="11" xfId="0" applyFont="1" applyFill="1" applyBorder="1"/>
    <xf numFmtId="0" fontId="0" fillId="21" borderId="11" xfId="0" applyFill="1" applyBorder="1"/>
    <xf numFmtId="0" fontId="36" fillId="21" borderId="11" xfId="0" applyFont="1" applyFill="1" applyBorder="1"/>
    <xf numFmtId="0" fontId="36" fillId="21" borderId="28" xfId="0" applyFont="1" applyFill="1" applyBorder="1"/>
    <xf numFmtId="0" fontId="0" fillId="21" borderId="20" xfId="0" applyFill="1" applyBorder="1"/>
    <xf numFmtId="0" fontId="15" fillId="22" borderId="9" xfId="0" applyFont="1" applyFill="1" applyBorder="1"/>
    <xf numFmtId="0" fontId="41" fillId="21" borderId="9" xfId="0" applyFont="1" applyFill="1" applyBorder="1" applyAlignment="1">
      <alignment horizontal="center"/>
    </xf>
    <xf numFmtId="0" fontId="36" fillId="21" borderId="10" xfId="0" applyFont="1" applyFill="1" applyBorder="1" applyAlignment="1">
      <alignment horizontal="left"/>
    </xf>
    <xf numFmtId="0" fontId="61" fillId="21" borderId="11" xfId="0" applyFont="1" applyFill="1" applyBorder="1" applyAlignment="1">
      <alignment horizontal="center"/>
    </xf>
    <xf numFmtId="0" fontId="4" fillId="23" borderId="0" xfId="0" applyFont="1" applyFill="1"/>
    <xf numFmtId="0" fontId="0" fillId="22" borderId="0" xfId="0" applyFill="1"/>
    <xf numFmtId="0" fontId="4" fillId="21" borderId="0" xfId="0" quotePrefix="1" applyFont="1" applyFill="1" applyAlignment="1">
      <alignment horizontal="center"/>
    </xf>
    <xf numFmtId="0" fontId="4" fillId="21" borderId="0" xfId="0" applyFont="1" applyFill="1" applyAlignment="1">
      <alignment horizontal="center"/>
    </xf>
    <xf numFmtId="0" fontId="82" fillId="21" borderId="0" xfId="0" applyFont="1" applyFill="1"/>
    <xf numFmtId="0" fontId="0" fillId="24" borderId="0" xfId="0" applyFill="1"/>
    <xf numFmtId="3" fontId="4" fillId="21" borderId="0" xfId="0" applyNumberFormat="1" applyFont="1" applyFill="1"/>
    <xf numFmtId="0" fontId="107" fillId="2" borderId="0" xfId="2" quotePrefix="1" applyFont="1" applyFill="1" applyAlignment="1" applyProtection="1">
      <alignment horizontal="center"/>
    </xf>
    <xf numFmtId="0" fontId="54" fillId="2" borderId="9" xfId="2" applyFont="1" applyFill="1" applyBorder="1" applyAlignment="1" applyProtection="1"/>
    <xf numFmtId="0" fontId="9" fillId="23" borderId="0" xfId="0" applyFont="1" applyFill="1" applyAlignment="1">
      <alignment horizontal="right"/>
    </xf>
    <xf numFmtId="0" fontId="4" fillId="23" borderId="0" xfId="0" applyFont="1" applyFill="1" applyAlignment="1">
      <alignment horizontal="right"/>
    </xf>
    <xf numFmtId="0" fontId="4" fillId="21" borderId="0" xfId="0" applyFont="1" applyFill="1"/>
    <xf numFmtId="0" fontId="4" fillId="27" borderId="0" xfId="0" applyFont="1" applyFill="1" applyAlignment="1">
      <alignment horizontal="center"/>
    </xf>
    <xf numFmtId="0" fontId="4" fillId="24" borderId="0" xfId="0" applyFont="1" applyFill="1" applyAlignment="1">
      <alignment horizontal="center"/>
    </xf>
    <xf numFmtId="0" fontId="4" fillId="27" borderId="0" xfId="0" applyFont="1" applyFill="1"/>
    <xf numFmtId="0" fontId="4" fillId="24" borderId="0" xfId="0" applyFont="1" applyFill="1"/>
    <xf numFmtId="3" fontId="4" fillId="27" borderId="0" xfId="0" applyNumberFormat="1" applyFont="1" applyFill="1"/>
    <xf numFmtId="38" fontId="4" fillId="24" borderId="0" xfId="0" applyNumberFormat="1" applyFont="1" applyFill="1"/>
    <xf numFmtId="3" fontId="0" fillId="22" borderId="0" xfId="0" applyNumberFormat="1" applyFill="1"/>
    <xf numFmtId="0" fontId="72" fillId="29" borderId="0" xfId="0" applyFont="1" applyFill="1"/>
    <xf numFmtId="0" fontId="9" fillId="21" borderId="0" xfId="0" quotePrefix="1" applyFont="1" applyFill="1" applyAlignment="1">
      <alignment horizontal="center"/>
    </xf>
    <xf numFmtId="0" fontId="82" fillId="21" borderId="74" xfId="0" applyFont="1" applyFill="1" applyBorder="1" applyAlignment="1">
      <alignment horizontal="right"/>
    </xf>
    <xf numFmtId="14" fontId="82" fillId="21" borderId="74" xfId="0" applyNumberFormat="1" applyFont="1" applyFill="1" applyBorder="1" applyAlignment="1">
      <alignment horizontal="right"/>
    </xf>
    <xf numFmtId="0" fontId="82" fillId="21" borderId="74" xfId="0" applyFont="1" applyFill="1" applyBorder="1"/>
    <xf numFmtId="0" fontId="84" fillId="21" borderId="0" xfId="0" applyFont="1" applyFill="1"/>
    <xf numFmtId="0" fontId="84" fillId="21" borderId="74" xfId="0" applyFont="1" applyFill="1" applyBorder="1"/>
    <xf numFmtId="0" fontId="82" fillId="24" borderId="0" xfId="0" applyFont="1" applyFill="1"/>
    <xf numFmtId="0" fontId="82" fillId="24" borderId="74" xfId="0" applyFont="1" applyFill="1" applyBorder="1" applyAlignment="1">
      <alignment horizontal="right"/>
    </xf>
    <xf numFmtId="14" fontId="82" fillId="24" borderId="74" xfId="0" applyNumberFormat="1" applyFont="1" applyFill="1" applyBorder="1" applyAlignment="1">
      <alignment horizontal="right"/>
    </xf>
    <xf numFmtId="0" fontId="82" fillId="24" borderId="74" xfId="0" applyFont="1" applyFill="1" applyBorder="1"/>
    <xf numFmtId="0" fontId="84" fillId="24" borderId="0" xfId="0" applyFont="1" applyFill="1"/>
    <xf numFmtId="0" fontId="84" fillId="24" borderId="74" xfId="0" applyFont="1" applyFill="1" applyBorder="1"/>
    <xf numFmtId="0" fontId="82" fillId="21" borderId="76" xfId="0" applyFont="1" applyFill="1" applyBorder="1"/>
    <xf numFmtId="14" fontId="4" fillId="23" borderId="0" xfId="0" applyNumberFormat="1" applyFont="1" applyFill="1" applyAlignment="1">
      <alignment horizontal="right"/>
    </xf>
    <xf numFmtId="0" fontId="106" fillId="2" borderId="0" xfId="0" applyFont="1"/>
    <xf numFmtId="38" fontId="0" fillId="22" borderId="9" xfId="0" applyNumberFormat="1" applyFill="1" applyBorder="1" applyProtection="1">
      <protection locked="0"/>
    </xf>
    <xf numFmtId="175" fontId="4" fillId="12" borderId="11" xfId="0" applyNumberFormat="1" applyFont="1" applyFill="1" applyBorder="1"/>
    <xf numFmtId="178" fontId="4" fillId="12" borderId="12" xfId="0" applyNumberFormat="1" applyFont="1" applyFill="1" applyBorder="1"/>
    <xf numFmtId="0" fontId="1" fillId="4" borderId="0" xfId="0" applyFont="1" applyFill="1"/>
    <xf numFmtId="0" fontId="88" fillId="21" borderId="40" xfId="0" applyFont="1" applyFill="1" applyBorder="1" applyAlignment="1">
      <alignment horizontal="center"/>
    </xf>
    <xf numFmtId="0" fontId="108" fillId="21" borderId="9" xfId="0" applyFont="1" applyFill="1" applyBorder="1"/>
    <xf numFmtId="0" fontId="110" fillId="2" borderId="0" xfId="0" applyFont="1"/>
    <xf numFmtId="0" fontId="110" fillId="2" borderId="0" xfId="0" applyFont="1" applyAlignment="1">
      <alignment horizontal="center"/>
    </xf>
    <xf numFmtId="0" fontId="110" fillId="6" borderId="2" xfId="0" applyFont="1" applyFill="1" applyBorder="1" applyAlignment="1">
      <alignment horizontal="center"/>
    </xf>
    <xf numFmtId="173" fontId="110" fillId="2" borderId="2" xfId="0" applyNumberFormat="1" applyFont="1" applyBorder="1"/>
    <xf numFmtId="174" fontId="110" fillId="0" borderId="2" xfId="0" applyNumberFormat="1" applyFont="1" applyFill="1" applyBorder="1"/>
    <xf numFmtId="0" fontId="110" fillId="2" borderId="2" xfId="0" applyFont="1" applyBorder="1"/>
    <xf numFmtId="37" fontId="110" fillId="2" borderId="2" xfId="0" applyNumberFormat="1" applyFont="1" applyBorder="1"/>
    <xf numFmtId="37" fontId="110" fillId="12" borderId="2" xfId="0" applyNumberFormat="1" applyFont="1" applyFill="1" applyBorder="1"/>
    <xf numFmtId="167" fontId="110" fillId="2" borderId="2" xfId="0" applyNumberFormat="1" applyFont="1" applyBorder="1"/>
    <xf numFmtId="167" fontId="110" fillId="8" borderId="2" xfId="0" applyNumberFormat="1" applyFont="1" applyFill="1" applyBorder="1"/>
    <xf numFmtId="38" fontId="110" fillId="4" borderId="2" xfId="0" applyNumberFormat="1" applyFont="1" applyFill="1" applyBorder="1" applyProtection="1">
      <protection locked="0"/>
    </xf>
    <xf numFmtId="173" fontId="110" fillId="4" borderId="2" xfId="0" applyNumberFormat="1" applyFont="1" applyFill="1" applyBorder="1"/>
    <xf numFmtId="38" fontId="110" fillId="2" borderId="2" xfId="0" applyNumberFormat="1" applyFont="1" applyBorder="1"/>
    <xf numFmtId="173" fontId="110" fillId="12" borderId="2" xfId="0" applyNumberFormat="1" applyFont="1" applyFill="1" applyBorder="1"/>
    <xf numFmtId="38" fontId="110" fillId="12" borderId="9" xfId="0" applyNumberFormat="1" applyFont="1" applyFill="1" applyBorder="1"/>
    <xf numFmtId="38" fontId="110" fillId="2" borderId="0" xfId="0" applyNumberFormat="1" applyFont="1"/>
    <xf numFmtId="0" fontId="110" fillId="2" borderId="0" xfId="0" applyFont="1" applyAlignment="1">
      <alignment horizontal="right"/>
    </xf>
    <xf numFmtId="170" fontId="110" fillId="2" borderId="0" xfId="0" applyNumberFormat="1" applyFont="1" applyAlignment="1">
      <alignment horizontal="right"/>
    </xf>
    <xf numFmtId="39" fontId="110" fillId="2" borderId="0" xfId="0" applyNumberFormat="1" applyFont="1" applyAlignment="1">
      <alignment horizontal="right"/>
    </xf>
    <xf numFmtId="0" fontId="110" fillId="9" borderId="21" xfId="0" applyFont="1" applyFill="1" applyBorder="1" applyAlignment="1">
      <alignment horizontal="center"/>
    </xf>
    <xf numFmtId="38" fontId="110" fillId="9" borderId="19" xfId="0" applyNumberFormat="1" applyFont="1" applyFill="1" applyBorder="1" applyAlignment="1">
      <alignment horizontal="center"/>
    </xf>
    <xf numFmtId="0" fontId="110" fillId="9" borderId="19" xfId="0" applyFont="1" applyFill="1" applyBorder="1"/>
    <xf numFmtId="38" fontId="110" fillId="9" borderId="22" xfId="0" applyNumberFormat="1" applyFont="1" applyFill="1" applyBorder="1" applyAlignment="1">
      <alignment horizontal="center"/>
    </xf>
    <xf numFmtId="183" fontId="110" fillId="2" borderId="9" xfId="0" applyNumberFormat="1" applyFont="1" applyBorder="1"/>
    <xf numFmtId="38" fontId="110" fillId="2" borderId="9" xfId="0" applyNumberFormat="1" applyFont="1" applyBorder="1"/>
    <xf numFmtId="38" fontId="110" fillId="4" borderId="9" xfId="0" applyNumberFormat="1" applyFont="1" applyFill="1" applyBorder="1"/>
    <xf numFmtId="38" fontId="110" fillId="14" borderId="9" xfId="0" applyNumberFormat="1" applyFont="1" applyFill="1" applyBorder="1"/>
    <xf numFmtId="173" fontId="110" fillId="4" borderId="9" xfId="0" applyNumberFormat="1" applyFont="1" applyFill="1" applyBorder="1"/>
    <xf numFmtId="0" fontId="110" fillId="15" borderId="9" xfId="0" applyFont="1" applyFill="1" applyBorder="1" applyAlignment="1">
      <alignment horizontal="center"/>
    </xf>
    <xf numFmtId="0" fontId="4" fillId="24" borderId="40" xfId="0" applyFont="1" applyFill="1" applyBorder="1" applyAlignment="1">
      <alignment horizontal="center"/>
    </xf>
    <xf numFmtId="0" fontId="0" fillId="24" borderId="21" xfId="0" applyFill="1" applyBorder="1"/>
    <xf numFmtId="38" fontId="4" fillId="24" borderId="31" xfId="0" applyNumberFormat="1" applyFont="1" applyFill="1" applyBorder="1" applyAlignment="1">
      <alignment horizontal="center"/>
    </xf>
    <xf numFmtId="0" fontId="4" fillId="24" borderId="22" xfId="0" applyFont="1" applyFill="1" applyBorder="1" applyAlignment="1">
      <alignment horizontal="right"/>
    </xf>
    <xf numFmtId="0" fontId="4" fillId="28" borderId="40" xfId="0" applyFont="1" applyFill="1" applyBorder="1" applyAlignment="1">
      <alignment horizontal="center"/>
    </xf>
    <xf numFmtId="0" fontId="0" fillId="28" borderId="21" xfId="0" applyFill="1" applyBorder="1"/>
    <xf numFmtId="38" fontId="4" fillId="28" borderId="31" xfId="0" applyNumberFormat="1" applyFont="1" applyFill="1" applyBorder="1" applyAlignment="1">
      <alignment horizontal="center"/>
    </xf>
    <xf numFmtId="0" fontId="4" fillId="28" borderId="22" xfId="0" applyFont="1" applyFill="1" applyBorder="1" applyAlignment="1">
      <alignment horizontal="right"/>
    </xf>
    <xf numFmtId="38" fontId="0" fillId="28" borderId="31" xfId="0" applyNumberFormat="1" applyFill="1" applyBorder="1"/>
    <xf numFmtId="38" fontId="0" fillId="28" borderId="9" xfId="0" applyNumberFormat="1" applyFill="1" applyBorder="1"/>
    <xf numFmtId="38" fontId="0" fillId="24" borderId="31" xfId="0" applyNumberFormat="1" applyFill="1" applyBorder="1"/>
    <xf numFmtId="38" fontId="0" fillId="24" borderId="9" xfId="0" applyNumberFormat="1" applyFill="1" applyBorder="1"/>
    <xf numFmtId="0" fontId="82" fillId="30" borderId="0" xfId="0" applyFont="1" applyFill="1"/>
    <xf numFmtId="0" fontId="84" fillId="30" borderId="0" xfId="0" applyFont="1" applyFill="1"/>
    <xf numFmtId="0" fontId="72" fillId="31" borderId="0" xfId="0" applyFont="1" applyFill="1"/>
    <xf numFmtId="3" fontId="4" fillId="21" borderId="86" xfId="0" applyNumberFormat="1" applyFont="1" applyFill="1" applyBorder="1"/>
    <xf numFmtId="0" fontId="72" fillId="5" borderId="91" xfId="0" applyFont="1" applyFill="1" applyBorder="1" applyAlignment="1">
      <alignment horizontal="center"/>
    </xf>
    <xf numFmtId="0" fontId="72" fillId="29" borderId="91" xfId="0" applyFont="1" applyFill="1" applyBorder="1" applyAlignment="1">
      <alignment horizontal="center"/>
    </xf>
    <xf numFmtId="0" fontId="72" fillId="31" borderId="91" xfId="0" applyFont="1" applyFill="1" applyBorder="1" applyAlignment="1">
      <alignment horizontal="center"/>
    </xf>
    <xf numFmtId="0" fontId="0" fillId="23" borderId="0" xfId="0" applyFill="1"/>
    <xf numFmtId="0" fontId="4" fillId="22" borderId="0" xfId="0" applyFont="1" applyFill="1"/>
    <xf numFmtId="0" fontId="14" fillId="2" borderId="0" xfId="0" applyFont="1" applyAlignment="1">
      <alignment horizontal="right"/>
    </xf>
    <xf numFmtId="0" fontId="41" fillId="2" borderId="0" xfId="0" applyFont="1" applyAlignment="1">
      <alignment horizontal="right"/>
    </xf>
    <xf numFmtId="0" fontId="96" fillId="23" borderId="0" xfId="0" applyFont="1" applyFill="1"/>
    <xf numFmtId="0" fontId="0" fillId="4" borderId="0" xfId="0" applyFill="1" applyAlignment="1">
      <alignment horizontal="right"/>
    </xf>
    <xf numFmtId="6" fontId="41"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4" fontId="4" fillId="23" borderId="0" xfId="0" applyNumberFormat="1" applyFont="1" applyFill="1" applyAlignment="1">
      <alignment horizontal="center"/>
    </xf>
    <xf numFmtId="0" fontId="0" fillId="22" borderId="0" xfId="0" applyFill="1" applyAlignment="1">
      <alignment horizontal="center"/>
    </xf>
    <xf numFmtId="174" fontId="0" fillId="22" borderId="0" xfId="0" applyNumberFormat="1" applyFill="1"/>
    <xf numFmtId="0" fontId="0" fillId="33" borderId="0" xfId="0" applyFill="1"/>
    <xf numFmtId="0" fontId="64" fillId="23" borderId="0" xfId="0" applyFont="1" applyFill="1"/>
    <xf numFmtId="38" fontId="0" fillId="22" borderId="0" xfId="0" applyNumberFormat="1" applyFill="1"/>
    <xf numFmtId="0" fontId="14" fillId="23" borderId="0" xfId="0" applyFont="1" applyFill="1"/>
    <xf numFmtId="38" fontId="0" fillId="6" borderId="88" xfId="0" applyNumberFormat="1" applyFill="1" applyBorder="1"/>
    <xf numFmtId="0" fontId="71" fillId="33" borderId="0" xfId="0" applyFont="1" applyFill="1"/>
    <xf numFmtId="0" fontId="89" fillId="33" borderId="9" xfId="0" quotePrefix="1" applyFont="1" applyFill="1" applyBorder="1" applyAlignment="1">
      <alignment horizontal="center"/>
    </xf>
    <xf numFmtId="0" fontId="87" fillId="33" borderId="90" xfId="0" applyFont="1" applyFill="1" applyBorder="1" applyAlignment="1">
      <alignment horizontal="center"/>
    </xf>
    <xf numFmtId="0" fontId="72" fillId="33" borderId="90" xfId="0" applyFont="1" applyFill="1" applyBorder="1" applyAlignment="1">
      <alignment horizontal="center"/>
    </xf>
    <xf numFmtId="0" fontId="87" fillId="33" borderId="85" xfId="0" applyFont="1" applyFill="1" applyBorder="1" applyAlignment="1">
      <alignment horizontal="center"/>
    </xf>
    <xf numFmtId="0" fontId="72" fillId="33" borderId="85" xfId="0" applyFont="1" applyFill="1" applyBorder="1" applyAlignment="1">
      <alignment horizontal="center"/>
    </xf>
    <xf numFmtId="0" fontId="87" fillId="33" borderId="31" xfId="0" applyFont="1" applyFill="1" applyBorder="1" applyAlignment="1">
      <alignment horizontal="center"/>
    </xf>
    <xf numFmtId="0" fontId="72" fillId="33" borderId="31" xfId="0" applyFont="1" applyFill="1" applyBorder="1" applyAlignment="1">
      <alignment horizontal="center"/>
    </xf>
    <xf numFmtId="173" fontId="71" fillId="33" borderId="75" xfId="0" applyNumberFormat="1" applyFont="1" applyFill="1" applyBorder="1"/>
    <xf numFmtId="37" fontId="71" fillId="33" borderId="2" xfId="0" applyNumberFormat="1" applyFont="1" applyFill="1" applyBorder="1"/>
    <xf numFmtId="38" fontId="71" fillId="33" borderId="2" xfId="0" applyNumberFormat="1" applyFont="1" applyFill="1" applyBorder="1"/>
    <xf numFmtId="37" fontId="71" fillId="33" borderId="0" xfId="0" applyNumberFormat="1" applyFont="1" applyFill="1"/>
    <xf numFmtId="176" fontId="71" fillId="33" borderId="2" xfId="0" applyNumberFormat="1" applyFont="1" applyFill="1" applyBorder="1"/>
    <xf numFmtId="176" fontId="71" fillId="33" borderId="0" xfId="0" applyNumberFormat="1" applyFont="1" applyFill="1"/>
    <xf numFmtId="37" fontId="71" fillId="33" borderId="9" xfId="0" applyNumberFormat="1" applyFont="1" applyFill="1" applyBorder="1"/>
    <xf numFmtId="0" fontId="71" fillId="33" borderId="0" xfId="0" applyFont="1" applyFill="1" applyAlignment="1">
      <alignment horizontal="left"/>
    </xf>
    <xf numFmtId="37" fontId="71" fillId="33" borderId="0" xfId="0" applyNumberFormat="1" applyFont="1" applyFill="1" applyAlignment="1">
      <alignment horizontal="center"/>
    </xf>
    <xf numFmtId="0" fontId="91" fillId="33" borderId="0" xfId="0" applyFont="1" applyFill="1"/>
    <xf numFmtId="0" fontId="92" fillId="33" borderId="0" xfId="0" applyFont="1" applyFill="1"/>
    <xf numFmtId="0" fontId="91" fillId="33" borderId="9" xfId="0" applyFont="1" applyFill="1" applyBorder="1" applyAlignment="1">
      <alignment horizontal="center"/>
    </xf>
    <xf numFmtId="0" fontId="91" fillId="33" borderId="0" xfId="0" applyFont="1" applyFill="1" applyAlignment="1">
      <alignment horizontal="center"/>
    </xf>
    <xf numFmtId="37" fontId="91" fillId="33" borderId="2" xfId="0" applyNumberFormat="1" applyFont="1" applyFill="1" applyBorder="1" applyProtection="1">
      <protection locked="0"/>
    </xf>
    <xf numFmtId="37" fontId="91" fillId="33" borderId="0" xfId="0" applyNumberFormat="1" applyFont="1" applyFill="1" applyProtection="1">
      <protection locked="0"/>
    </xf>
    <xf numFmtId="37" fontId="91" fillId="33" borderId="2" xfId="0" applyNumberFormat="1" applyFont="1" applyFill="1" applyBorder="1"/>
    <xf numFmtId="37" fontId="91" fillId="33" borderId="9" xfId="0" applyNumberFormat="1" applyFont="1" applyFill="1" applyBorder="1"/>
    <xf numFmtId="167" fontId="91" fillId="33" borderId="2" xfId="0" applyNumberFormat="1" applyFont="1" applyFill="1" applyBorder="1"/>
    <xf numFmtId="173" fontId="91" fillId="33" borderId="9" xfId="0" applyNumberFormat="1" applyFont="1" applyFill="1" applyBorder="1"/>
    <xf numFmtId="173" fontId="91" fillId="33" borderId="0" xfId="0" applyNumberFormat="1" applyFont="1" applyFill="1"/>
    <xf numFmtId="173" fontId="91" fillId="33" borderId="2" xfId="0" applyNumberFormat="1" applyFont="1" applyFill="1" applyBorder="1"/>
    <xf numFmtId="37" fontId="91" fillId="33" borderId="0" xfId="0" applyNumberFormat="1" applyFont="1" applyFill="1"/>
    <xf numFmtId="170" fontId="91" fillId="33" borderId="0" xfId="0" applyNumberFormat="1" applyFont="1" applyFill="1"/>
    <xf numFmtId="0" fontId="0" fillId="33" borderId="87" xfId="0" applyFill="1" applyBorder="1"/>
    <xf numFmtId="0" fontId="0" fillId="33" borderId="89" xfId="0" applyFill="1" applyBorder="1"/>
    <xf numFmtId="0" fontId="4" fillId="33" borderId="0" xfId="0" quotePrefix="1" applyFont="1" applyFill="1" applyAlignment="1">
      <alignment horizontal="center"/>
    </xf>
    <xf numFmtId="0" fontId="59" fillId="33" borderId="0" xfId="0" quotePrefix="1" applyFont="1" applyFill="1" applyAlignment="1">
      <alignment horizontal="center"/>
    </xf>
    <xf numFmtId="0" fontId="4" fillId="33" borderId="0" xfId="0" applyFont="1" applyFill="1" applyAlignment="1">
      <alignment horizontal="center"/>
    </xf>
    <xf numFmtId="38" fontId="49" fillId="33" borderId="68" xfId="0" applyNumberFormat="1" applyFont="1" applyFill="1" applyBorder="1"/>
    <xf numFmtId="0" fontId="0" fillId="33" borderId="0" xfId="0" applyFill="1" applyAlignment="1">
      <alignment horizontal="right"/>
    </xf>
    <xf numFmtId="37" fontId="49" fillId="33" borderId="2" xfId="0" applyNumberFormat="1" applyFont="1" applyFill="1" applyBorder="1"/>
    <xf numFmtId="37" fontId="45" fillId="33" borderId="2" xfId="0" applyNumberFormat="1" applyFont="1" applyFill="1" applyBorder="1"/>
    <xf numFmtId="173" fontId="68" fillId="33" borderId="2" xfId="0" applyNumberFormat="1" applyFont="1" applyFill="1" applyBorder="1"/>
    <xf numFmtId="173" fontId="81" fillId="33" borderId="2" xfId="0" applyNumberFormat="1" applyFont="1" applyFill="1" applyBorder="1"/>
    <xf numFmtId="167" fontId="29" fillId="33" borderId="0" xfId="0" applyNumberFormat="1" applyFont="1" applyFill="1"/>
    <xf numFmtId="0" fontId="81" fillId="33" borderId="2" xfId="0" applyFont="1" applyFill="1" applyBorder="1"/>
    <xf numFmtId="178" fontId="49" fillId="33" borderId="2" xfId="0" applyNumberFormat="1" applyFont="1" applyFill="1" applyBorder="1"/>
    <xf numFmtId="38" fontId="81" fillId="33" borderId="2" xfId="0" applyNumberFormat="1" applyFont="1" applyFill="1" applyBorder="1"/>
    <xf numFmtId="38" fontId="49" fillId="33" borderId="2" xfId="0" applyNumberFormat="1" applyFont="1" applyFill="1" applyBorder="1"/>
    <xf numFmtId="0" fontId="39" fillId="33" borderId="0" xfId="0" applyFont="1" applyFill="1" applyAlignment="1">
      <alignment horizontal="right"/>
    </xf>
    <xf numFmtId="16" fontId="4" fillId="33" borderId="6" xfId="0" quotePrefix="1" applyNumberFormat="1" applyFont="1" applyFill="1" applyBorder="1" applyAlignment="1">
      <alignment horizontal="center"/>
    </xf>
    <xf numFmtId="0" fontId="11" fillId="33" borderId="28" xfId="0" applyFont="1" applyFill="1" applyBorder="1" applyAlignment="1">
      <alignment horizontal="center"/>
    </xf>
    <xf numFmtId="0" fontId="68" fillId="33" borderId="0" xfId="0" applyFont="1" applyFill="1" applyAlignment="1">
      <alignment horizontal="left"/>
    </xf>
    <xf numFmtId="38" fontId="81" fillId="33" borderId="0" xfId="0" applyNumberFormat="1" applyFont="1" applyFill="1"/>
    <xf numFmtId="38" fontId="81" fillId="33" borderId="14" xfId="0" applyNumberFormat="1" applyFont="1" applyFill="1" applyBorder="1"/>
    <xf numFmtId="0" fontId="68" fillId="33" borderId="41" xfId="0" applyFont="1" applyFill="1" applyBorder="1" applyAlignment="1">
      <alignment horizontal="center"/>
    </xf>
    <xf numFmtId="38" fontId="81" fillId="33" borderId="15" xfId="0" applyNumberFormat="1" applyFont="1" applyFill="1" applyBorder="1"/>
    <xf numFmtId="38" fontId="68" fillId="33" borderId="31" xfId="0" applyNumberFormat="1" applyFont="1" applyFill="1" applyBorder="1"/>
    <xf numFmtId="178" fontId="81" fillId="33" borderId="0" xfId="0" applyNumberFormat="1" applyFont="1" applyFill="1"/>
    <xf numFmtId="0" fontId="106" fillId="33" borderId="92" xfId="0" applyFont="1" applyFill="1" applyBorder="1"/>
    <xf numFmtId="0" fontId="106" fillId="33" borderId="93" xfId="0" applyFont="1" applyFill="1" applyBorder="1"/>
    <xf numFmtId="0" fontId="81" fillId="33" borderId="0" xfId="0" applyFont="1" applyFill="1"/>
    <xf numFmtId="0" fontId="106" fillId="33" borderId="94" xfId="0" applyFont="1" applyFill="1" applyBorder="1" applyAlignment="1">
      <alignment horizontal="left"/>
    </xf>
    <xf numFmtId="0" fontId="106" fillId="33" borderId="19" xfId="0" applyFont="1" applyFill="1" applyBorder="1" applyAlignment="1">
      <alignment horizontal="right"/>
    </xf>
    <xf numFmtId="0" fontId="26" fillId="33" borderId="0" xfId="0" applyFont="1" applyFill="1"/>
    <xf numFmtId="0" fontId="106" fillId="33" borderId="19" xfId="0" applyFont="1" applyFill="1" applyBorder="1"/>
    <xf numFmtId="0" fontId="106" fillId="33" borderId="15" xfId="0" applyFont="1" applyFill="1" applyBorder="1" applyAlignment="1">
      <alignment horizontal="left"/>
    </xf>
    <xf numFmtId="0" fontId="106" fillId="33" borderId="22" xfId="0" applyFont="1" applyFill="1" applyBorder="1"/>
    <xf numFmtId="38" fontId="0" fillId="33" borderId="0" xfId="0" applyNumberFormat="1" applyFill="1"/>
    <xf numFmtId="0" fontId="35" fillId="33" borderId="0" xfId="0" applyFont="1" applyFill="1"/>
    <xf numFmtId="0" fontId="42" fillId="33" borderId="0" xfId="0" applyFont="1" applyFill="1" applyAlignment="1">
      <alignment horizontal="right"/>
    </xf>
    <xf numFmtId="173" fontId="42" fillId="33" borderId="0" xfId="0" applyNumberFormat="1" applyFont="1" applyFill="1"/>
    <xf numFmtId="0" fontId="42" fillId="33" borderId="0" xfId="0" applyFont="1" applyFill="1"/>
    <xf numFmtId="0" fontId="4" fillId="33" borderId="0" xfId="0" applyFont="1" applyFill="1" applyAlignment="1">
      <alignment horizontal="right"/>
    </xf>
    <xf numFmtId="0" fontId="59" fillId="33" borderId="0" xfId="0" applyFont="1" applyFill="1" applyAlignment="1">
      <alignment horizontal="center"/>
    </xf>
    <xf numFmtId="38" fontId="60" fillId="33" borderId="68" xfId="0" applyNumberFormat="1" applyFont="1" applyFill="1" applyBorder="1"/>
    <xf numFmtId="37" fontId="60" fillId="33" borderId="72" xfId="0" applyNumberFormat="1" applyFont="1" applyFill="1" applyBorder="1"/>
    <xf numFmtId="173" fontId="60" fillId="33" borderId="72" xfId="0" applyNumberFormat="1" applyFont="1" applyFill="1" applyBorder="1"/>
    <xf numFmtId="0" fontId="59" fillId="33" borderId="72" xfId="0" applyFont="1" applyFill="1" applyBorder="1"/>
    <xf numFmtId="0" fontId="59" fillId="33" borderId="0" xfId="0" applyFont="1" applyFill="1" applyAlignment="1">
      <alignment horizontal="left"/>
    </xf>
    <xf numFmtId="0" fontId="60" fillId="33" borderId="72" xfId="0" applyFont="1" applyFill="1" applyBorder="1"/>
    <xf numFmtId="178" fontId="60" fillId="33" borderId="2" xfId="0" applyNumberFormat="1" applyFont="1" applyFill="1" applyBorder="1"/>
    <xf numFmtId="173" fontId="60" fillId="33" borderId="2" xfId="0" applyNumberFormat="1" applyFont="1" applyFill="1" applyBorder="1"/>
    <xf numFmtId="38" fontId="68" fillId="33" borderId="2" xfId="0" applyNumberFormat="1" applyFont="1" applyFill="1" applyBorder="1"/>
    <xf numFmtId="38" fontId="60" fillId="33" borderId="2" xfId="0" applyNumberFormat="1" applyFont="1" applyFill="1" applyBorder="1"/>
    <xf numFmtId="0" fontId="4" fillId="33" borderId="6" xfId="0" quotePrefix="1" applyFont="1" applyFill="1" applyBorder="1" applyAlignment="1">
      <alignment horizontal="center"/>
    </xf>
    <xf numFmtId="38" fontId="68" fillId="33" borderId="0" xfId="0" applyNumberFormat="1" applyFont="1" applyFill="1"/>
    <xf numFmtId="38" fontId="60" fillId="33" borderId="14" xfId="0" applyNumberFormat="1" applyFont="1" applyFill="1" applyBorder="1"/>
    <xf numFmtId="38" fontId="60" fillId="33" borderId="15" xfId="0" applyNumberFormat="1" applyFont="1" applyFill="1" applyBorder="1"/>
    <xf numFmtId="38" fontId="60" fillId="33" borderId="31" xfId="0" applyNumberFormat="1" applyFont="1" applyFill="1" applyBorder="1"/>
    <xf numFmtId="0" fontId="49" fillId="33" borderId="0" xfId="0" applyFont="1" applyFill="1"/>
    <xf numFmtId="173" fontId="68" fillId="33" borderId="9" xfId="0" applyNumberFormat="1" applyFont="1" applyFill="1" applyBorder="1"/>
    <xf numFmtId="173" fontId="60" fillId="33" borderId="0" xfId="0" applyNumberFormat="1" applyFont="1" applyFill="1"/>
    <xf numFmtId="38" fontId="68" fillId="33" borderId="9" xfId="0" applyNumberFormat="1" applyFont="1" applyFill="1" applyBorder="1" applyAlignment="1">
      <alignment horizontal="right"/>
    </xf>
    <xf numFmtId="0" fontId="68" fillId="33" borderId="9" xfId="0" applyFont="1" applyFill="1" applyBorder="1" applyAlignment="1">
      <alignment horizontal="right"/>
    </xf>
    <xf numFmtId="38" fontId="68" fillId="33" borderId="9" xfId="0" applyNumberFormat="1" applyFont="1" applyFill="1" applyBorder="1"/>
    <xf numFmtId="0" fontId="68" fillId="33" borderId="0" xfId="0" applyFont="1" applyFill="1" applyAlignment="1">
      <alignment horizontal="right"/>
    </xf>
    <xf numFmtId="173" fontId="68" fillId="33" borderId="0" xfId="0" applyNumberFormat="1" applyFont="1" applyFill="1"/>
    <xf numFmtId="0" fontId="81" fillId="33" borderId="0" xfId="0" applyFont="1" applyFill="1" applyAlignment="1">
      <alignment horizontal="center"/>
    </xf>
    <xf numFmtId="38" fontId="4" fillId="9" borderId="68" xfId="0" applyNumberFormat="1" applyFont="1" applyFill="1" applyBorder="1"/>
    <xf numFmtId="178" fontId="4" fillId="16" borderId="2" xfId="0" applyNumberFormat="1" applyFont="1" applyFill="1" applyBorder="1"/>
    <xf numFmtId="173" fontId="4" fillId="16" borderId="2" xfId="0" applyNumberFormat="1" applyFont="1" applyFill="1" applyBorder="1"/>
    <xf numFmtId="38" fontId="4" fillId="16" borderId="2" xfId="0" applyNumberFormat="1" applyFont="1" applyFill="1" applyBorder="1"/>
    <xf numFmtId="0" fontId="59" fillId="23" borderId="0" xfId="0" quotePrefix="1" applyFont="1" applyFill="1" applyAlignment="1">
      <alignment horizontal="center"/>
    </xf>
    <xf numFmtId="0" fontId="4" fillId="23" borderId="0" xfId="0" applyFont="1" applyFill="1" applyAlignment="1">
      <alignment horizontal="center"/>
    </xf>
    <xf numFmtId="0" fontId="82" fillId="23" borderId="0" xfId="0" applyFont="1" applyFill="1"/>
    <xf numFmtId="0" fontId="0" fillId="23" borderId="0" xfId="0" applyFill="1" applyAlignment="1">
      <alignment horizontal="right"/>
    </xf>
    <xf numFmtId="167" fontId="29" fillId="23" borderId="0" xfId="0" applyNumberFormat="1" applyFont="1" applyFill="1"/>
    <xf numFmtId="0" fontId="77" fillId="23" borderId="0" xfId="0" applyFont="1" applyFill="1" applyAlignment="1">
      <alignment horizontal="right"/>
    </xf>
    <xf numFmtId="0" fontId="77" fillId="23" borderId="0" xfId="0" applyFont="1" applyFill="1" applyAlignment="1">
      <alignment horizontal="left"/>
    </xf>
    <xf numFmtId="0" fontId="73" fillId="23" borderId="0" xfId="0" applyFont="1" applyFill="1" applyAlignment="1">
      <alignment horizontal="right"/>
    </xf>
    <xf numFmtId="0" fontId="77" fillId="23" borderId="0" xfId="0" applyFont="1" applyFill="1"/>
    <xf numFmtId="0" fontId="35" fillId="23" borderId="0" xfId="0" applyFont="1" applyFill="1"/>
    <xf numFmtId="0" fontId="83" fillId="23" borderId="0" xfId="0" applyFont="1" applyFill="1"/>
    <xf numFmtId="0" fontId="42" fillId="23" borderId="0" xfId="0" applyFont="1" applyFill="1"/>
    <xf numFmtId="38" fontId="0" fillId="23" borderId="0" xfId="0" applyNumberFormat="1" applyFill="1"/>
    <xf numFmtId="0" fontId="29" fillId="23" borderId="0" xfId="0" applyFont="1" applyFill="1"/>
    <xf numFmtId="173" fontId="82" fillId="23" borderId="0" xfId="0" applyNumberFormat="1" applyFont="1" applyFill="1"/>
    <xf numFmtId="173" fontId="68" fillId="23" borderId="0" xfId="0" applyNumberFormat="1" applyFont="1" applyFill="1"/>
    <xf numFmtId="38" fontId="4" fillId="22" borderId="68" xfId="0" applyNumberFormat="1" applyFont="1" applyFill="1" applyBorder="1"/>
    <xf numFmtId="173" fontId="4" fillId="24" borderId="2" xfId="0" applyNumberFormat="1" applyFont="1" applyFill="1" applyBorder="1"/>
    <xf numFmtId="178" fontId="4" fillId="24" borderId="2" xfId="0" applyNumberFormat="1" applyFont="1" applyFill="1" applyBorder="1"/>
    <xf numFmtId="38" fontId="4" fillId="24" borderId="2" xfId="0" applyNumberFormat="1" applyFont="1" applyFill="1" applyBorder="1"/>
    <xf numFmtId="0" fontId="110" fillId="23" borderId="0" xfId="0" applyFont="1" applyFill="1"/>
    <xf numFmtId="0" fontId="9" fillId="23" borderId="0" xfId="0" quotePrefix="1" applyFont="1" applyFill="1" applyAlignment="1">
      <alignment horizontal="center"/>
    </xf>
    <xf numFmtId="0" fontId="110" fillId="23" borderId="0" xfId="0" quotePrefix="1" applyFont="1" applyFill="1" applyAlignment="1">
      <alignment horizontal="center"/>
    </xf>
    <xf numFmtId="0" fontId="106" fillId="23" borderId="0" xfId="0" applyFont="1" applyFill="1"/>
    <xf numFmtId="0" fontId="106" fillId="33" borderId="96" xfId="0" applyFont="1" applyFill="1" applyBorder="1"/>
    <xf numFmtId="173" fontId="4" fillId="21" borderId="2" xfId="0" applyNumberFormat="1" applyFont="1" applyFill="1" applyBorder="1"/>
    <xf numFmtId="178" fontId="4" fillId="21" borderId="2" xfId="0" applyNumberFormat="1" applyFont="1" applyFill="1" applyBorder="1"/>
    <xf numFmtId="38" fontId="4" fillId="22" borderId="31" xfId="0" applyNumberFormat="1" applyFont="1" applyFill="1" applyBorder="1"/>
    <xf numFmtId="38" fontId="100" fillId="23" borderId="31" xfId="0" applyNumberFormat="1" applyFont="1" applyFill="1" applyBorder="1" applyProtection="1">
      <protection locked="0"/>
    </xf>
    <xf numFmtId="0" fontId="36" fillId="21" borderId="101" xfId="0" applyFont="1" applyFill="1" applyBorder="1" applyAlignment="1">
      <alignment horizontal="center"/>
    </xf>
    <xf numFmtId="0" fontId="4" fillId="24" borderId="0" xfId="0" applyFont="1" applyFill="1" applyAlignment="1">
      <alignment horizontal="left"/>
    </xf>
    <xf numFmtId="0" fontId="39" fillId="23" borderId="0" xfId="0" applyFont="1" applyFill="1"/>
    <xf numFmtId="14" fontId="26" fillId="23" borderId="0" xfId="0" applyNumberFormat="1" applyFont="1" applyFill="1" applyAlignment="1">
      <alignment horizontal="right"/>
    </xf>
    <xf numFmtId="0" fontId="1" fillId="23" borderId="0" xfId="0" applyFont="1" applyFill="1" applyAlignment="1">
      <alignment horizontal="center"/>
    </xf>
    <xf numFmtId="0" fontId="0" fillId="23" borderId="0" xfId="0" applyFill="1" applyAlignment="1">
      <alignment horizontal="center"/>
    </xf>
    <xf numFmtId="0" fontId="0" fillId="23" borderId="0" xfId="0" quotePrefix="1" applyFill="1"/>
    <xf numFmtId="0" fontId="46" fillId="23" borderId="0" xfId="0" applyFont="1" applyFill="1"/>
    <xf numFmtId="0" fontId="110" fillId="6" borderId="104" xfId="0" applyFont="1" applyFill="1" applyBorder="1" applyAlignment="1">
      <alignment horizontal="center"/>
    </xf>
    <xf numFmtId="37" fontId="4" fillId="24" borderId="2" xfId="0" applyNumberFormat="1" applyFont="1" applyFill="1" applyBorder="1"/>
    <xf numFmtId="0" fontId="28" fillId="2" borderId="0" xfId="0" applyFont="1"/>
    <xf numFmtId="0" fontId="87" fillId="33" borderId="0" xfId="0" applyFont="1" applyFill="1" applyAlignment="1">
      <alignment horizontal="center"/>
    </xf>
    <xf numFmtId="0" fontId="4" fillId="4" borderId="0" xfId="0" quotePrefix="1" applyFont="1" applyFill="1" applyAlignment="1">
      <alignment horizontal="center"/>
    </xf>
    <xf numFmtId="37" fontId="4" fillId="16" borderId="2" xfId="0" applyNumberFormat="1" applyFont="1" applyFill="1" applyBorder="1"/>
    <xf numFmtId="0" fontId="4" fillId="16" borderId="2" xfId="0" applyFont="1" applyFill="1" applyBorder="1"/>
    <xf numFmtId="0" fontId="4" fillId="12" borderId="28" xfId="0" applyFont="1" applyFill="1" applyBorder="1" applyAlignment="1">
      <alignment horizontal="center"/>
    </xf>
    <xf numFmtId="38" fontId="4" fillId="16" borderId="0" xfId="0" applyNumberFormat="1" applyFont="1" applyFill="1"/>
    <xf numFmtId="38" fontId="4" fillId="12" borderId="14" xfId="0" applyNumberFormat="1" applyFont="1" applyFill="1" applyBorder="1"/>
    <xf numFmtId="0" fontId="4" fillId="12" borderId="41" xfId="0" applyFont="1" applyFill="1" applyBorder="1" applyAlignment="1">
      <alignment horizontal="center"/>
    </xf>
    <xf numFmtId="38" fontId="4" fillId="12" borderId="15" xfId="0" applyNumberFormat="1" applyFont="1" applyFill="1" applyBorder="1"/>
    <xf numFmtId="38" fontId="4" fillId="12" borderId="31" xfId="0" applyNumberFormat="1" applyFont="1" applyFill="1" applyBorder="1"/>
    <xf numFmtId="178" fontId="4" fillId="16" borderId="0" xfId="0" applyNumberFormat="1" applyFont="1" applyFill="1"/>
    <xf numFmtId="0" fontId="4" fillId="16" borderId="0" xfId="0" applyFont="1" applyFill="1"/>
    <xf numFmtId="0" fontId="4" fillId="16" borderId="0" xfId="0" applyFont="1" applyFill="1" applyAlignment="1">
      <alignment horizontal="left"/>
    </xf>
    <xf numFmtId="173" fontId="4" fillId="17" borderId="2" xfId="0" applyNumberFormat="1" applyFont="1" applyFill="1" applyBorder="1"/>
    <xf numFmtId="0" fontId="4" fillId="17" borderId="2" xfId="0" applyFont="1" applyFill="1" applyBorder="1"/>
    <xf numFmtId="178" fontId="4" fillId="17" borderId="2" xfId="0" applyNumberFormat="1" applyFont="1" applyFill="1" applyBorder="1"/>
    <xf numFmtId="38" fontId="4" fillId="17" borderId="2" xfId="0" applyNumberFormat="1" applyFont="1" applyFill="1" applyBorder="1"/>
    <xf numFmtId="0" fontId="4" fillId="12" borderId="40" xfId="0" applyFont="1" applyFill="1" applyBorder="1" applyAlignment="1">
      <alignment horizontal="right"/>
    </xf>
    <xf numFmtId="38" fontId="4" fillId="17" borderId="0" xfId="0" applyNumberFormat="1" applyFont="1" applyFill="1"/>
    <xf numFmtId="178" fontId="4" fillId="17" borderId="0" xfId="0" applyNumberFormat="1" applyFont="1" applyFill="1"/>
    <xf numFmtId="0" fontId="4" fillId="17" borderId="0" xfId="0" applyFont="1" applyFill="1"/>
    <xf numFmtId="173" fontId="4" fillId="22" borderId="2" xfId="0" applyNumberFormat="1" applyFont="1" applyFill="1" applyBorder="1"/>
    <xf numFmtId="0" fontId="4" fillId="24" borderId="0" xfId="0" quotePrefix="1" applyFont="1" applyFill="1" applyAlignment="1">
      <alignment horizontal="center"/>
    </xf>
    <xf numFmtId="0" fontId="59" fillId="24" borderId="0" xfId="0" quotePrefix="1" applyFont="1" applyFill="1" applyAlignment="1">
      <alignment horizontal="center"/>
    </xf>
    <xf numFmtId="0" fontId="82" fillId="24" borderId="0" xfId="0" applyFont="1" applyFill="1" applyAlignment="1">
      <alignment horizontal="right"/>
    </xf>
    <xf numFmtId="0" fontId="4" fillId="24" borderId="2" xfId="0" applyFont="1" applyFill="1" applyBorder="1"/>
    <xf numFmtId="16" fontId="4" fillId="24" borderId="6" xfId="0" quotePrefix="1" applyNumberFormat="1" applyFont="1" applyFill="1" applyBorder="1" applyAlignment="1">
      <alignment horizontal="center"/>
    </xf>
    <xf numFmtId="178" fontId="4" fillId="24" borderId="0" xfId="0" applyNumberFormat="1" applyFont="1" applyFill="1"/>
    <xf numFmtId="37" fontId="4" fillId="21" borderId="2" xfId="0" applyNumberFormat="1" applyFont="1" applyFill="1" applyBorder="1"/>
    <xf numFmtId="0" fontId="4" fillId="21" borderId="2" xfId="0" applyFont="1" applyFill="1" applyBorder="1"/>
    <xf numFmtId="38" fontId="4" fillId="21" borderId="2" xfId="0" applyNumberFormat="1" applyFont="1" applyFill="1" applyBorder="1"/>
    <xf numFmtId="16" fontId="4" fillId="21" borderId="6" xfId="0" quotePrefix="1" applyNumberFormat="1" applyFont="1" applyFill="1" applyBorder="1" applyAlignment="1">
      <alignment horizontal="center"/>
    </xf>
    <xf numFmtId="0" fontId="4" fillId="21" borderId="0" xfId="0" applyFont="1" applyFill="1" applyAlignment="1">
      <alignment horizontal="left"/>
    </xf>
    <xf numFmtId="0" fontId="4" fillId="22" borderId="28" xfId="0" applyFont="1" applyFill="1" applyBorder="1" applyAlignment="1">
      <alignment horizontal="center"/>
    </xf>
    <xf numFmtId="0" fontId="4" fillId="22" borderId="40" xfId="0" applyFont="1" applyFill="1" applyBorder="1" applyAlignment="1">
      <alignment horizontal="right"/>
    </xf>
    <xf numFmtId="38" fontId="4" fillId="22" borderId="14" xfId="0" applyNumberFormat="1" applyFont="1" applyFill="1" applyBorder="1"/>
    <xf numFmtId="0" fontId="4" fillId="22" borderId="41" xfId="0" applyFont="1" applyFill="1" applyBorder="1" applyAlignment="1">
      <alignment horizontal="center"/>
    </xf>
    <xf numFmtId="38" fontId="4" fillId="22" borderId="15" xfId="0" applyNumberFormat="1" applyFont="1" applyFill="1" applyBorder="1"/>
    <xf numFmtId="0" fontId="4" fillId="22" borderId="80" xfId="0" applyFont="1" applyFill="1" applyBorder="1" applyAlignment="1">
      <alignment horizontal="center"/>
    </xf>
    <xf numFmtId="0" fontId="4" fillId="22" borderId="79" xfId="0" applyFont="1" applyFill="1" applyBorder="1" applyAlignment="1">
      <alignment horizontal="right"/>
    </xf>
    <xf numFmtId="3" fontId="4" fillId="22" borderId="82" xfId="0" applyNumberFormat="1" applyFont="1" applyFill="1" applyBorder="1"/>
    <xf numFmtId="3" fontId="4" fillId="22" borderId="19" xfId="0" applyNumberFormat="1" applyFont="1" applyFill="1" applyBorder="1" applyAlignment="1">
      <alignment horizontal="center"/>
    </xf>
    <xf numFmtId="3" fontId="4" fillId="22" borderId="31" xfId="0" applyNumberFormat="1" applyFont="1" applyFill="1" applyBorder="1"/>
    <xf numFmtId="3" fontId="4" fillId="22" borderId="22" xfId="0" applyNumberFormat="1" applyFont="1" applyFill="1" applyBorder="1"/>
    <xf numFmtId="167" fontId="4" fillId="23" borderId="0" xfId="0" applyNumberFormat="1" applyFont="1" applyFill="1"/>
    <xf numFmtId="0" fontId="4" fillId="23" borderId="0" xfId="0" applyFont="1" applyFill="1" applyAlignment="1">
      <alignment horizontal="left"/>
    </xf>
    <xf numFmtId="0" fontId="4" fillId="27" borderId="0" xfId="0" quotePrefix="1" applyFont="1" applyFill="1" applyAlignment="1">
      <alignment horizontal="center"/>
    </xf>
    <xf numFmtId="37" fontId="4" fillId="27" borderId="2" xfId="0" applyNumberFormat="1" applyFont="1" applyFill="1" applyBorder="1"/>
    <xf numFmtId="173" fontId="4" fillId="27" borderId="2" xfId="0" applyNumberFormat="1" applyFont="1" applyFill="1" applyBorder="1"/>
    <xf numFmtId="0" fontId="4" fillId="27" borderId="2" xfId="0" applyFont="1" applyFill="1" applyBorder="1"/>
    <xf numFmtId="178" fontId="4" fillId="27" borderId="2" xfId="0" applyNumberFormat="1" applyFont="1" applyFill="1" applyBorder="1"/>
    <xf numFmtId="38" fontId="4" fillId="27" borderId="2" xfId="0" applyNumberFormat="1" applyFont="1" applyFill="1" applyBorder="1"/>
    <xf numFmtId="16" fontId="4" fillId="27" borderId="6" xfId="0" quotePrefix="1" applyNumberFormat="1" applyFont="1" applyFill="1" applyBorder="1" applyAlignment="1">
      <alignment horizontal="center"/>
    </xf>
    <xf numFmtId="3" fontId="4" fillId="27" borderId="86" xfId="0" applyNumberFormat="1" applyFont="1" applyFill="1" applyBorder="1"/>
    <xf numFmtId="0" fontId="110" fillId="27" borderId="0" xfId="0" applyFont="1" applyFill="1"/>
    <xf numFmtId="0" fontId="4" fillId="27" borderId="0" xfId="0" applyFont="1" applyFill="1" applyAlignment="1">
      <alignment horizontal="left"/>
    </xf>
    <xf numFmtId="0" fontId="82" fillId="37" borderId="0" xfId="0" applyFont="1" applyFill="1"/>
    <xf numFmtId="37" fontId="4" fillId="37" borderId="2" xfId="0" applyNumberFormat="1" applyFont="1" applyFill="1" applyBorder="1"/>
    <xf numFmtId="173" fontId="4" fillId="37" borderId="2" xfId="0" applyNumberFormat="1" applyFont="1" applyFill="1" applyBorder="1"/>
    <xf numFmtId="0" fontId="4" fillId="37" borderId="2" xfId="0" applyFont="1" applyFill="1" applyBorder="1"/>
    <xf numFmtId="178" fontId="4" fillId="37" borderId="2" xfId="0" applyNumberFormat="1" applyFont="1" applyFill="1" applyBorder="1"/>
    <xf numFmtId="38" fontId="4" fillId="37" borderId="2" xfId="0" applyNumberFormat="1" applyFont="1" applyFill="1" applyBorder="1"/>
    <xf numFmtId="16" fontId="4" fillId="37" borderId="6" xfId="0" quotePrefix="1" applyNumberFormat="1" applyFont="1" applyFill="1" applyBorder="1" applyAlignment="1">
      <alignment horizontal="center"/>
    </xf>
    <xf numFmtId="38" fontId="4" fillId="37" borderId="0" xfId="0" applyNumberFormat="1" applyFont="1" applyFill="1"/>
    <xf numFmtId="178" fontId="4" fillId="37" borderId="0" xfId="0" applyNumberFormat="1" applyFont="1" applyFill="1"/>
    <xf numFmtId="0" fontId="4" fillId="37" borderId="0" xfId="0" applyFont="1" applyFill="1"/>
    <xf numFmtId="0" fontId="4" fillId="37" borderId="0" xfId="0" applyFont="1" applyFill="1" applyAlignment="1">
      <alignment horizontal="left"/>
    </xf>
    <xf numFmtId="0" fontId="82" fillId="37" borderId="0" xfId="0" applyFont="1" applyFill="1" applyAlignment="1">
      <alignment horizontal="right"/>
    </xf>
    <xf numFmtId="14" fontId="48" fillId="4" borderId="0" xfId="0" applyNumberFormat="1" applyFont="1" applyFill="1" applyAlignment="1">
      <alignment horizontal="right"/>
    </xf>
    <xf numFmtId="38" fontId="0" fillId="22" borderId="0" xfId="0" applyNumberFormat="1" applyFill="1" applyAlignment="1">
      <alignment horizontal="center"/>
    </xf>
    <xf numFmtId="38" fontId="0" fillId="22" borderId="9" xfId="0" applyNumberFormat="1" applyFill="1" applyBorder="1"/>
    <xf numFmtId="0" fontId="98" fillId="2" borderId="95" xfId="0" quotePrefix="1" applyFont="1" applyBorder="1" applyAlignment="1">
      <alignment horizontal="center"/>
    </xf>
    <xf numFmtId="0" fontId="101" fillId="2" borderId="95" xfId="0" quotePrefix="1" applyFont="1" applyBorder="1" applyAlignment="1">
      <alignment horizontal="center"/>
    </xf>
    <xf numFmtId="0" fontId="110" fillId="2" borderId="95" xfId="0" quotePrefix="1" applyFont="1" applyBorder="1" applyAlignment="1">
      <alignment horizontal="center"/>
    </xf>
    <xf numFmtId="38" fontId="0" fillId="22" borderId="109" xfId="0" applyNumberFormat="1" applyFill="1" applyBorder="1" applyAlignment="1">
      <alignment horizontal="right"/>
    </xf>
    <xf numFmtId="38" fontId="0" fillId="22" borderId="109" xfId="0" applyNumberFormat="1" applyFill="1" applyBorder="1" applyAlignment="1" applyProtection="1">
      <alignment horizontal="right"/>
      <protection locked="0"/>
    </xf>
    <xf numFmtId="174" fontId="0" fillId="2" borderId="9" xfId="0" applyNumberFormat="1" applyBorder="1" applyAlignment="1">
      <alignment horizontal="right"/>
    </xf>
    <xf numFmtId="174" fontId="0" fillId="22" borderId="9" xfId="0" applyNumberFormat="1" applyFill="1" applyBorder="1" applyAlignment="1">
      <alignment horizontal="right"/>
    </xf>
    <xf numFmtId="38" fontId="0" fillId="22" borderId="95" xfId="0" applyNumberFormat="1" applyFill="1" applyBorder="1" applyAlignment="1">
      <alignment horizontal="right"/>
    </xf>
    <xf numFmtId="173" fontId="0" fillId="22" borderId="95" xfId="0" applyNumberFormat="1" applyFill="1" applyBorder="1" applyAlignment="1">
      <alignment horizontal="right"/>
    </xf>
    <xf numFmtId="173" fontId="0" fillId="22" borderId="0" xfId="0" applyNumberFormat="1" applyFill="1"/>
    <xf numFmtId="40" fontId="0" fillId="22" borderId="0" xfId="0" applyNumberFormat="1" applyFill="1" applyAlignment="1">
      <alignment horizontal="center"/>
    </xf>
    <xf numFmtId="40" fontId="0" fillId="22" borderId="0" xfId="0" applyNumberFormat="1" applyFill="1"/>
    <xf numFmtId="0" fontId="0" fillId="2" borderId="15" xfId="0" applyBorder="1"/>
    <xf numFmtId="174" fontId="15" fillId="25" borderId="78" xfId="0" applyNumberFormat="1" applyFont="1" applyFill="1" applyBorder="1"/>
    <xf numFmtId="0" fontId="111" fillId="21" borderId="100" xfId="0" applyFont="1" applyFill="1" applyBorder="1" applyAlignment="1">
      <alignment horizontal="center"/>
    </xf>
    <xf numFmtId="0" fontId="111" fillId="21" borderId="98" xfId="0" applyFont="1" applyFill="1" applyBorder="1" applyAlignment="1">
      <alignment horizontal="center"/>
    </xf>
    <xf numFmtId="0" fontId="111" fillId="21" borderId="107" xfId="0" applyFont="1" applyFill="1" applyBorder="1" applyAlignment="1">
      <alignment horizontal="center"/>
    </xf>
    <xf numFmtId="0" fontId="111" fillId="21" borderId="102" xfId="0" applyFont="1" applyFill="1" applyBorder="1" applyAlignment="1">
      <alignment horizontal="center"/>
    </xf>
    <xf numFmtId="0" fontId="113" fillId="23" borderId="0" xfId="0" applyFont="1" applyFill="1"/>
    <xf numFmtId="0" fontId="111" fillId="21" borderId="109" xfId="0" applyFont="1" applyFill="1" applyBorder="1" applyAlignment="1">
      <alignment horizontal="center"/>
    </xf>
    <xf numFmtId="0" fontId="111" fillId="21" borderId="110" xfId="0" applyFont="1" applyFill="1" applyBorder="1" applyAlignment="1">
      <alignment horizontal="center"/>
    </xf>
    <xf numFmtId="174" fontId="0" fillId="2" borderId="109" xfId="0" applyNumberFormat="1" applyBorder="1"/>
    <xf numFmtId="38" fontId="0" fillId="2" borderId="109" xfId="0" applyNumberFormat="1" applyBorder="1"/>
    <xf numFmtId="0" fontId="114" fillId="2" borderId="0" xfId="0" applyFont="1"/>
    <xf numFmtId="0" fontId="114" fillId="2" borderId="0" xfId="0" applyFont="1" applyAlignment="1">
      <alignment horizontal="center"/>
    </xf>
    <xf numFmtId="0" fontId="115" fillId="23" borderId="0" xfId="0" applyFont="1" applyFill="1" applyAlignment="1">
      <alignment horizontal="center"/>
    </xf>
    <xf numFmtId="0" fontId="114" fillId="2" borderId="109" xfId="0" applyFont="1" applyBorder="1"/>
    <xf numFmtId="37" fontId="114" fillId="2" borderId="109" xfId="0" applyNumberFormat="1" applyFont="1" applyBorder="1"/>
    <xf numFmtId="173" fontId="114" fillId="22" borderId="85" xfId="0" applyNumberFormat="1" applyFont="1" applyFill="1" applyBorder="1"/>
    <xf numFmtId="173" fontId="114" fillId="22" borderId="107" xfId="0" applyNumberFormat="1" applyFont="1" applyFill="1" applyBorder="1"/>
    <xf numFmtId="38" fontId="114" fillId="2" borderId="109" xfId="0" applyNumberFormat="1" applyFont="1" applyBorder="1"/>
    <xf numFmtId="173" fontId="114" fillId="2" borderId="109" xfId="0" applyNumberFormat="1" applyFont="1" applyBorder="1"/>
    <xf numFmtId="0" fontId="114" fillId="2" borderId="0" xfId="0" applyFont="1" applyAlignment="1">
      <alignment horizontal="right"/>
    </xf>
    <xf numFmtId="0" fontId="15" fillId="22" borderId="107" xfId="0" applyFont="1" applyFill="1" applyBorder="1"/>
    <xf numFmtId="0" fontId="0" fillId="22" borderId="98" xfId="0" applyFill="1" applyBorder="1"/>
    <xf numFmtId="38" fontId="15" fillId="2" borderId="109" xfId="0" applyNumberFormat="1" applyFont="1" applyBorder="1" applyAlignment="1">
      <alignment horizontal="right"/>
    </xf>
    <xf numFmtId="0" fontId="0" fillId="22" borderId="112" xfId="0" applyFill="1" applyBorder="1"/>
    <xf numFmtId="0" fontId="0" fillId="22" borderId="110" xfId="0" applyFill="1" applyBorder="1"/>
    <xf numFmtId="0" fontId="15" fillId="2" borderId="109" xfId="0" applyFont="1" applyBorder="1"/>
    <xf numFmtId="6" fontId="15" fillId="2" borderId="109" xfId="0" applyNumberFormat="1" applyFont="1" applyBorder="1"/>
    <xf numFmtId="0" fontId="111" fillId="22" borderId="100" xfId="0" applyFont="1" applyFill="1" applyBorder="1" applyAlignment="1">
      <alignment horizontal="left"/>
    </xf>
    <xf numFmtId="38" fontId="15" fillId="23" borderId="109" xfId="0" applyNumberFormat="1" applyFont="1" applyFill="1" applyBorder="1" applyAlignment="1">
      <alignment horizontal="right"/>
    </xf>
    <xf numFmtId="38" fontId="0" fillId="23" borderId="28" xfId="0" applyNumberFormat="1" applyFill="1" applyBorder="1"/>
    <xf numFmtId="38" fontId="0" fillId="23" borderId="9" xfId="0" applyNumberFormat="1" applyFill="1" applyBorder="1"/>
    <xf numFmtId="0" fontId="105" fillId="22" borderId="111" xfId="0" applyFont="1" applyFill="1" applyBorder="1"/>
    <xf numFmtId="0" fontId="4" fillId="38" borderId="40" xfId="0" applyFont="1" applyFill="1" applyBorder="1"/>
    <xf numFmtId="0" fontId="0" fillId="22" borderId="113" xfId="0" applyFill="1" applyBorder="1"/>
    <xf numFmtId="178" fontId="15" fillId="2" borderId="9" xfId="0" applyNumberFormat="1" applyFont="1" applyBorder="1"/>
    <xf numFmtId="38" fontId="4" fillId="22" borderId="107" xfId="0" applyNumberFormat="1" applyFont="1" applyFill="1" applyBorder="1"/>
    <xf numFmtId="0" fontId="0" fillId="39" borderId="0" xfId="0" applyFill="1"/>
    <xf numFmtId="0" fontId="4" fillId="39" borderId="0" xfId="0" applyFont="1" applyFill="1"/>
    <xf numFmtId="0" fontId="4" fillId="39" borderId="9" xfId="0" applyFont="1" applyFill="1" applyBorder="1" applyAlignment="1">
      <alignment horizontal="center"/>
    </xf>
    <xf numFmtId="174" fontId="15" fillId="2" borderId="0" xfId="0" applyNumberFormat="1" applyFont="1" applyAlignment="1">
      <alignment horizontal="right"/>
    </xf>
    <xf numFmtId="173" fontId="15" fillId="2" borderId="0" xfId="0" applyNumberFormat="1" applyFont="1"/>
    <xf numFmtId="180" fontId="15" fillId="2" borderId="0" xfId="0" applyNumberFormat="1" applyFont="1"/>
    <xf numFmtId="6" fontId="41" fillId="22" borderId="0" xfId="0" applyNumberFormat="1" applyFont="1" applyFill="1"/>
    <xf numFmtId="6" fontId="15" fillId="2" borderId="0" xfId="0" quotePrefix="1" applyNumberFormat="1" applyFont="1" applyAlignment="1">
      <alignment horizontal="right"/>
    </xf>
    <xf numFmtId="174" fontId="15" fillId="39" borderId="109" xfId="0" applyNumberFormat="1" applyFont="1" applyFill="1" applyBorder="1" applyAlignment="1">
      <alignment horizontal="right"/>
    </xf>
    <xf numFmtId="38" fontId="15" fillId="39" borderId="109" xfId="0" applyNumberFormat="1" applyFont="1" applyFill="1" applyBorder="1"/>
    <xf numFmtId="6" fontId="15" fillId="39" borderId="109" xfId="0" applyNumberFormat="1" applyFont="1" applyFill="1" applyBorder="1"/>
    <xf numFmtId="180" fontId="15" fillId="39" borderId="109" xfId="0" applyNumberFormat="1" applyFont="1" applyFill="1" applyBorder="1"/>
    <xf numFmtId="6" fontId="41" fillId="39" borderId="109" xfId="0" applyNumberFormat="1" applyFont="1" applyFill="1" applyBorder="1"/>
    <xf numFmtId="0" fontId="0" fillId="21" borderId="109" xfId="0" applyFill="1" applyBorder="1"/>
    <xf numFmtId="0" fontId="36" fillId="39" borderId="100" xfId="0" applyFont="1" applyFill="1" applyBorder="1" applyAlignment="1">
      <alignment horizontal="center"/>
    </xf>
    <xf numFmtId="0" fontId="41" fillId="39" borderId="107" xfId="0" applyFont="1" applyFill="1" applyBorder="1" applyAlignment="1">
      <alignment horizontal="center"/>
    </xf>
    <xf numFmtId="0" fontId="0" fillId="21" borderId="100" xfId="0" applyFill="1" applyBorder="1"/>
    <xf numFmtId="0" fontId="9" fillId="4" borderId="0" xfId="0" quotePrefix="1" applyFont="1" applyFill="1" applyAlignment="1">
      <alignment horizontal="center"/>
    </xf>
    <xf numFmtId="38" fontId="4" fillId="9" borderId="115" xfId="0" applyNumberFormat="1" applyFont="1" applyFill="1" applyBorder="1"/>
    <xf numFmtId="37" fontId="4" fillId="17" borderId="116" xfId="0" applyNumberFormat="1" applyFont="1" applyFill="1" applyBorder="1"/>
    <xf numFmtId="0" fontId="4" fillId="4" borderId="117" xfId="0" quotePrefix="1" applyFont="1" applyFill="1" applyBorder="1" applyAlignment="1">
      <alignment horizontal="center"/>
    </xf>
    <xf numFmtId="38" fontId="4" fillId="4" borderId="117" xfId="0" quotePrefix="1" applyNumberFormat="1" applyFont="1" applyFill="1" applyBorder="1" applyAlignment="1">
      <alignment horizontal="center"/>
    </xf>
    <xf numFmtId="0" fontId="77" fillId="39" borderId="0" xfId="0" applyFont="1" applyFill="1"/>
    <xf numFmtId="38" fontId="96" fillId="39" borderId="2" xfId="0" applyNumberFormat="1" applyFont="1" applyFill="1" applyBorder="1"/>
    <xf numFmtId="38" fontId="96" fillId="39" borderId="118" xfId="0" applyNumberFormat="1" applyFont="1" applyFill="1" applyBorder="1"/>
    <xf numFmtId="38" fontId="96" fillId="39" borderId="2" xfId="0" applyNumberFormat="1" applyFont="1" applyFill="1" applyBorder="1" applyProtection="1">
      <protection locked="0"/>
    </xf>
    <xf numFmtId="173" fontId="96" fillId="39" borderId="2" xfId="0" applyNumberFormat="1" applyFont="1" applyFill="1" applyBorder="1"/>
    <xf numFmtId="38" fontId="96" fillId="39" borderId="9" xfId="0" applyNumberFormat="1" applyFont="1" applyFill="1" applyBorder="1"/>
    <xf numFmtId="0" fontId="4" fillId="39" borderId="0" xfId="0" applyFont="1" applyFill="1" applyAlignment="1">
      <alignment horizontal="right"/>
    </xf>
    <xf numFmtId="0" fontId="94" fillId="39" borderId="0" xfId="0" applyFont="1" applyFill="1"/>
    <xf numFmtId="0" fontId="4" fillId="39" borderId="0" xfId="0" applyFont="1" applyFill="1" applyAlignment="1">
      <alignment horizontal="center"/>
    </xf>
    <xf numFmtId="38" fontId="96" fillId="39" borderId="109" xfId="0" applyNumberFormat="1" applyFont="1" applyFill="1" applyBorder="1"/>
    <xf numFmtId="173" fontId="96" fillId="39" borderId="129" xfId="0" applyNumberFormat="1" applyFont="1" applyFill="1" applyBorder="1"/>
    <xf numFmtId="0" fontId="15" fillId="2" borderId="127" xfId="0" applyFont="1" applyBorder="1"/>
    <xf numFmtId="0" fontId="15" fillId="4" borderId="127" xfId="0" applyFont="1" applyFill="1" applyBorder="1"/>
    <xf numFmtId="0" fontId="15" fillId="23" borderId="127" xfId="0" applyFont="1" applyFill="1" applyBorder="1"/>
    <xf numFmtId="0" fontId="0" fillId="21" borderId="127" xfId="0" applyFill="1" applyBorder="1"/>
    <xf numFmtId="0" fontId="4" fillId="39" borderId="100" xfId="0" applyFont="1" applyFill="1" applyBorder="1" applyAlignment="1">
      <alignment horizontal="center"/>
    </xf>
    <xf numFmtId="0" fontId="4" fillId="39" borderId="121" xfId="0" applyFont="1" applyFill="1" applyBorder="1" applyAlignment="1">
      <alignment horizontal="center"/>
    </xf>
    <xf numFmtId="38" fontId="96" fillId="39" borderId="117" xfId="0" applyNumberFormat="1" applyFont="1" applyFill="1" applyBorder="1"/>
    <xf numFmtId="18" fontId="117" fillId="2" borderId="0" xfId="0" applyNumberFormat="1" applyFont="1" applyProtection="1">
      <protection locked="0"/>
    </xf>
    <xf numFmtId="0" fontId="4" fillId="23" borderId="0" xfId="0" applyFont="1" applyFill="1" applyAlignment="1">
      <alignment horizontal="right"/>
    </xf>
    <xf numFmtId="0" fontId="0" fillId="23" borderId="0" xfId="0" applyFill="1"/>
    <xf numFmtId="0" fontId="0" fillId="23" borderId="0" xfId="0" applyFill="1" applyAlignment="1">
      <alignment horizontal="right"/>
    </xf>
    <xf numFmtId="0" fontId="77" fillId="39" borderId="0" xfId="0" applyFont="1" applyFill="1" applyAlignment="1">
      <alignment horizontal="right"/>
    </xf>
    <xf numFmtId="0" fontId="4" fillId="22" borderId="117" xfId="0" applyFont="1" applyFill="1" applyBorder="1" applyAlignment="1">
      <alignment horizontal="center"/>
    </xf>
    <xf numFmtId="173" fontId="4" fillId="2" borderId="0" xfId="0" applyNumberFormat="1" applyFont="1" applyAlignment="1">
      <alignment horizontal="center"/>
    </xf>
    <xf numFmtId="173" fontId="95" fillId="2" borderId="0" xfId="0" applyNumberFormat="1" applyFont="1" applyAlignment="1">
      <alignment horizontal="center"/>
    </xf>
    <xf numFmtId="0" fontId="0" fillId="2" borderId="0" xfId="0" applyFont="1" applyAlignment="1">
      <alignment horizontal="right"/>
    </xf>
    <xf numFmtId="173" fontId="4" fillId="2" borderId="131" xfId="0" applyNumberFormat="1" applyFont="1" applyBorder="1" applyAlignment="1">
      <alignment horizontal="center"/>
    </xf>
    <xf numFmtId="174" fontId="15" fillId="2" borderId="109" xfId="0" applyNumberFormat="1" applyFont="1" applyBorder="1" applyAlignment="1">
      <alignment horizontal="right"/>
    </xf>
    <xf numFmtId="38" fontId="15" fillId="2" borderId="109" xfId="0" applyNumberFormat="1" applyFont="1" applyBorder="1"/>
    <xf numFmtId="180" fontId="15" fillId="2" borderId="109" xfId="0" applyNumberFormat="1" applyFont="1" applyBorder="1"/>
    <xf numFmtId="0" fontId="0" fillId="21" borderId="98" xfId="0" applyFill="1" applyBorder="1"/>
    <xf numFmtId="6" fontId="41" fillId="22" borderId="127" xfId="0" applyNumberFormat="1" applyFont="1" applyFill="1" applyBorder="1"/>
    <xf numFmtId="173" fontId="0" fillId="39" borderId="109" xfId="0" applyNumberFormat="1" applyFont="1" applyFill="1" applyBorder="1" applyAlignment="1">
      <alignment horizontal="right"/>
    </xf>
    <xf numFmtId="0" fontId="4" fillId="22" borderId="133" xfId="0" applyFont="1" applyFill="1" applyBorder="1" applyAlignment="1">
      <alignment horizontal="center"/>
    </xf>
    <xf numFmtId="0" fontId="119" fillId="2" borderId="0" xfId="0" applyFont="1" applyAlignment="1">
      <alignment horizontal="justify" vertical="center"/>
    </xf>
    <xf numFmtId="40" fontId="4" fillId="31" borderId="0" xfId="0" applyNumberFormat="1" applyFont="1" applyFill="1" applyAlignment="1">
      <alignment horizontal="center"/>
    </xf>
    <xf numFmtId="0" fontId="4" fillId="31" borderId="0" xfId="0" applyFont="1" applyFill="1" applyAlignment="1">
      <alignment horizontal="center"/>
    </xf>
    <xf numFmtId="0" fontId="0" fillId="31" borderId="0" xfId="0" applyFill="1"/>
    <xf numFmtId="0" fontId="4" fillId="31" borderId="0" xfId="0" applyFont="1" applyFill="1"/>
    <xf numFmtId="0" fontId="4" fillId="39" borderId="133" xfId="0" applyFont="1" applyFill="1" applyBorder="1" applyAlignment="1">
      <alignment horizontal="center"/>
    </xf>
    <xf numFmtId="38" fontId="4" fillId="39" borderId="100" xfId="0" applyNumberFormat="1" applyFont="1" applyFill="1" applyBorder="1" applyAlignment="1">
      <alignment horizontal="center"/>
    </xf>
    <xf numFmtId="38" fontId="4" fillId="39" borderId="85" xfId="0" applyNumberFormat="1" applyFont="1" applyFill="1" applyBorder="1" applyAlignment="1">
      <alignment horizontal="center"/>
    </xf>
    <xf numFmtId="40" fontId="4" fillId="39" borderId="85" xfId="0" applyNumberFormat="1" applyFont="1" applyFill="1" applyBorder="1" applyAlignment="1">
      <alignment horizontal="center"/>
    </xf>
    <xf numFmtId="176" fontId="4" fillId="23" borderId="0" xfId="0" applyNumberFormat="1" applyFont="1" applyFill="1"/>
    <xf numFmtId="174" fontId="4" fillId="31" borderId="0" xfId="0" applyNumberFormat="1" applyFont="1" applyFill="1" applyAlignment="1">
      <alignment horizontal="center"/>
    </xf>
    <xf numFmtId="3" fontId="4" fillId="31" borderId="0" xfId="0" applyNumberFormat="1" applyFont="1" applyFill="1" applyAlignment="1">
      <alignment horizontal="center"/>
    </xf>
    <xf numFmtId="0" fontId="4" fillId="2" borderId="134" xfId="0" applyFont="1" applyBorder="1" applyAlignment="1">
      <alignment horizontal="center"/>
    </xf>
    <xf numFmtId="0" fontId="4" fillId="2" borderId="106" xfId="0" applyFont="1" applyBorder="1"/>
    <xf numFmtId="0" fontId="0" fillId="2" borderId="106" xfId="0" applyBorder="1"/>
    <xf numFmtId="40" fontId="4" fillId="39" borderId="133" xfId="0" applyNumberFormat="1" applyFont="1" applyFill="1" applyBorder="1" applyAlignment="1">
      <alignment horizontal="center"/>
    </xf>
    <xf numFmtId="0" fontId="0" fillId="23" borderId="0" xfId="0" applyFont="1" applyFill="1"/>
    <xf numFmtId="174" fontId="0" fillId="23" borderId="0" xfId="0" applyNumberFormat="1" applyFont="1" applyFill="1"/>
    <xf numFmtId="0" fontId="4" fillId="22" borderId="9" xfId="0" applyFont="1" applyFill="1" applyBorder="1" applyAlignment="1">
      <alignment horizontal="center"/>
    </xf>
    <xf numFmtId="38" fontId="4" fillId="39" borderId="132" xfId="0" applyNumberFormat="1" applyFont="1" applyFill="1" applyBorder="1" applyAlignment="1">
      <alignment horizontal="right"/>
    </xf>
    <xf numFmtId="0" fontId="4" fillId="22" borderId="0" xfId="0" applyFont="1" applyFill="1" applyAlignment="1">
      <alignment horizontal="right"/>
    </xf>
    <xf numFmtId="0" fontId="106" fillId="2" borderId="0" xfId="0" applyFont="1" applyAlignment="1">
      <alignment horizontal="right"/>
    </xf>
    <xf numFmtId="0" fontId="28" fillId="4" borderId="131" xfId="0" applyFont="1" applyFill="1" applyBorder="1"/>
    <xf numFmtId="0" fontId="28" fillId="2" borderId="131" xfId="0" applyFont="1" applyBorder="1"/>
    <xf numFmtId="174" fontId="0" fillId="2" borderId="13" xfId="0" applyNumberFormat="1" applyBorder="1"/>
    <xf numFmtId="178" fontId="0" fillId="6" borderId="0" xfId="0" applyNumberFormat="1" applyFill="1" applyBorder="1"/>
    <xf numFmtId="0" fontId="0" fillId="5" borderId="0" xfId="0" applyFill="1" applyBorder="1"/>
    <xf numFmtId="38" fontId="0" fillId="6" borderId="0" xfId="0" applyNumberFormat="1" applyFill="1" applyBorder="1"/>
    <xf numFmtId="40" fontId="0" fillId="6" borderId="0" xfId="0" applyNumberFormat="1" applyFill="1" applyBorder="1"/>
    <xf numFmtId="0" fontId="0" fillId="6" borderId="0" xfId="0" applyFill="1" applyBorder="1"/>
    <xf numFmtId="174" fontId="7" fillId="6" borderId="0" xfId="0" applyNumberFormat="1" applyFont="1" applyFill="1" applyBorder="1"/>
    <xf numFmtId="169" fontId="7" fillId="6" borderId="0" xfId="0" applyNumberFormat="1" applyFont="1" applyFill="1" applyBorder="1"/>
    <xf numFmtId="37" fontId="0" fillId="6" borderId="0" xfId="0" applyNumberFormat="1" applyFill="1" applyBorder="1"/>
    <xf numFmtId="174" fontId="0" fillId="6" borderId="0" xfId="0" applyNumberFormat="1" applyFill="1" applyBorder="1"/>
    <xf numFmtId="0" fontId="121" fillId="2" borderId="0" xfId="0" applyFont="1"/>
    <xf numFmtId="0" fontId="36" fillId="2" borderId="0" xfId="0" applyFont="1"/>
    <xf numFmtId="0" fontId="34" fillId="4" borderId="0" xfId="0" applyFont="1" applyFill="1"/>
    <xf numFmtId="0" fontId="33" fillId="5" borderId="0" xfId="0" applyFont="1" applyFill="1"/>
    <xf numFmtId="0" fontId="33" fillId="4" borderId="0" xfId="0" applyFont="1" applyFill="1"/>
    <xf numFmtId="37" fontId="33" fillId="2" borderId="0" xfId="0" applyNumberFormat="1" applyFont="1"/>
    <xf numFmtId="165" fontId="33" fillId="2" borderId="0" xfId="0" applyNumberFormat="1" applyFont="1"/>
    <xf numFmtId="164" fontId="33" fillId="2" borderId="0" xfId="0" applyNumberFormat="1" applyFont="1" applyProtection="1">
      <protection locked="0"/>
    </xf>
    <xf numFmtId="164" fontId="33" fillId="2" borderId="0" xfId="0" applyNumberFormat="1" applyFont="1"/>
    <xf numFmtId="0" fontId="15" fillId="23" borderId="10" xfId="0" applyFont="1" applyFill="1" applyBorder="1"/>
    <xf numFmtId="0" fontId="41" fillId="39" borderId="100" xfId="0" applyFont="1" applyFill="1" applyBorder="1" applyAlignment="1">
      <alignment horizontal="center"/>
    </xf>
    <xf numFmtId="0" fontId="0" fillId="2" borderId="0" xfId="0" applyBorder="1"/>
    <xf numFmtId="0" fontId="4" fillId="2" borderId="0" xfId="0" applyFont="1" applyBorder="1"/>
    <xf numFmtId="0" fontId="0" fillId="2" borderId="99" xfId="0" applyBorder="1"/>
    <xf numFmtId="0" fontId="0" fillId="23" borderId="0" xfId="0" applyFill="1" applyBorder="1"/>
    <xf numFmtId="173" fontId="106" fillId="2" borderId="118" xfId="0" applyNumberFormat="1" applyFont="1" applyBorder="1"/>
    <xf numFmtId="38" fontId="0" fillId="29" borderId="9" xfId="0" applyNumberFormat="1" applyFill="1" applyBorder="1"/>
    <xf numFmtId="0" fontId="48" fillId="4" borderId="100" xfId="0" applyFont="1" applyFill="1" applyBorder="1" applyAlignment="1">
      <alignment horizontal="center"/>
    </xf>
    <xf numFmtId="188" fontId="106" fillId="2" borderId="147" xfId="0" applyNumberFormat="1" applyFont="1" applyBorder="1" applyAlignment="1">
      <alignment horizontal="center"/>
    </xf>
    <xf numFmtId="186" fontId="48" fillId="4" borderId="147" xfId="0" applyNumberFormat="1" applyFont="1" applyFill="1" applyBorder="1" applyAlignment="1">
      <alignment horizontal="center"/>
    </xf>
    <xf numFmtId="0" fontId="122" fillId="4" borderId="123" xfId="0" applyFont="1" applyFill="1" applyBorder="1" applyAlignment="1">
      <alignment horizontal="center"/>
    </xf>
    <xf numFmtId="0" fontId="122" fillId="2" borderId="131" xfId="0" applyFont="1" applyBorder="1"/>
    <xf numFmtId="0" fontId="106" fillId="4" borderId="123" xfId="0" applyFont="1" applyFill="1" applyBorder="1" applyAlignment="1">
      <alignment horizontal="center"/>
    </xf>
    <xf numFmtId="0" fontId="27" fillId="2" borderId="127" xfId="0" applyFont="1" applyBorder="1"/>
    <xf numFmtId="0" fontId="4" fillId="4" borderId="123" xfId="0" applyFont="1" applyFill="1" applyBorder="1" applyAlignment="1">
      <alignment horizontal="center"/>
    </xf>
    <xf numFmtId="0" fontId="4" fillId="4" borderId="127" xfId="0" applyFont="1" applyFill="1" applyBorder="1"/>
    <xf numFmtId="0" fontId="9" fillId="2" borderId="131" xfId="0" applyFont="1" applyBorder="1"/>
    <xf numFmtId="0" fontId="4" fillId="2" borderId="127" xfId="0" applyFont="1" applyBorder="1"/>
    <xf numFmtId="0" fontId="4" fillId="4" borderId="0" xfId="0" applyFont="1" applyFill="1" applyBorder="1" applyAlignment="1">
      <alignment horizontal="center"/>
    </xf>
    <xf numFmtId="0" fontId="28" fillId="2" borderId="0" xfId="0" applyFont="1" applyBorder="1"/>
    <xf numFmtId="0" fontId="0" fillId="4" borderId="127" xfId="0" applyFill="1" applyBorder="1"/>
    <xf numFmtId="0" fontId="28" fillId="4" borderId="127" xfId="0" applyFont="1" applyFill="1" applyBorder="1"/>
    <xf numFmtId="38" fontId="0" fillId="2" borderId="0" xfId="0" applyNumberFormat="1" applyBorder="1"/>
    <xf numFmtId="38" fontId="106" fillId="22" borderId="117" xfId="0" applyNumberFormat="1" applyFont="1" applyFill="1" applyBorder="1"/>
    <xf numFmtId="173" fontId="0" fillId="2" borderId="0" xfId="0" applyNumberFormat="1" applyBorder="1"/>
    <xf numFmtId="38" fontId="9" fillId="12" borderId="117" xfId="0" applyNumberFormat="1" applyFont="1" applyFill="1" applyBorder="1"/>
    <xf numFmtId="0" fontId="15" fillId="23" borderId="12" xfId="0" applyFont="1" applyFill="1" applyBorder="1"/>
    <xf numFmtId="0" fontId="15" fillId="23" borderId="13" xfId="0" applyFont="1" applyFill="1" applyBorder="1"/>
    <xf numFmtId="38" fontId="123" fillId="6" borderId="31" xfId="0" applyNumberFormat="1" applyFont="1" applyFill="1" applyBorder="1" applyProtection="1">
      <protection locked="0"/>
    </xf>
    <xf numFmtId="174" fontId="123" fillId="2" borderId="9" xfId="0" applyNumberFormat="1" applyFont="1" applyBorder="1" applyAlignment="1">
      <alignment horizontal="right"/>
    </xf>
    <xf numFmtId="38" fontId="4" fillId="39" borderId="113" xfId="0" applyNumberFormat="1" applyFont="1" applyFill="1" applyBorder="1" applyAlignment="1">
      <alignment horizontal="center"/>
    </xf>
    <xf numFmtId="40" fontId="4" fillId="2" borderId="113" xfId="0" applyNumberFormat="1" applyFont="1" applyBorder="1" applyAlignment="1">
      <alignment horizontal="center"/>
    </xf>
    <xf numFmtId="38" fontId="4" fillId="2" borderId="113" xfId="0" applyNumberFormat="1" applyFont="1" applyBorder="1" applyAlignment="1">
      <alignment horizontal="center"/>
    </xf>
    <xf numFmtId="175" fontId="4" fillId="23" borderId="0" xfId="0" applyNumberFormat="1" applyFont="1" applyFill="1" applyAlignment="1">
      <alignment horizontal="center"/>
    </xf>
    <xf numFmtId="174" fontId="4" fillId="23" borderId="0" xfId="0" applyNumberFormat="1" applyFont="1" applyFill="1"/>
    <xf numFmtId="0" fontId="4" fillId="12" borderId="100" xfId="0" applyFont="1" applyFill="1" applyBorder="1"/>
    <xf numFmtId="0" fontId="4" fillId="12" borderId="100" xfId="0" applyFont="1" applyFill="1" applyBorder="1" applyAlignment="1">
      <alignment horizontal="left"/>
    </xf>
    <xf numFmtId="0" fontId="4" fillId="12" borderId="113" xfId="0" applyFont="1" applyFill="1" applyBorder="1" applyAlignment="1">
      <alignment horizontal="left"/>
    </xf>
    <xf numFmtId="40" fontId="4" fillId="39" borderId="113" xfId="0" applyNumberFormat="1" applyFont="1" applyFill="1" applyBorder="1" applyAlignment="1">
      <alignment horizontal="center"/>
    </xf>
    <xf numFmtId="174" fontId="4" fillId="39" borderId="31" xfId="0" applyNumberFormat="1" applyFont="1" applyFill="1" applyBorder="1" applyAlignment="1">
      <alignment horizontal="center"/>
    </xf>
    <xf numFmtId="182" fontId="4" fillId="23" borderId="0" xfId="0" applyNumberFormat="1" applyFont="1" applyFill="1" applyBorder="1"/>
    <xf numFmtId="0" fontId="4" fillId="23" borderId="0" xfId="0" applyFont="1" applyFill="1" applyBorder="1"/>
    <xf numFmtId="8" fontId="4" fillId="2" borderId="0" xfId="0" applyNumberFormat="1" applyFont="1" applyAlignment="1">
      <alignment horizontal="left"/>
    </xf>
    <xf numFmtId="0" fontId="4" fillId="22" borderId="135" xfId="0" applyFont="1" applyFill="1" applyBorder="1" applyAlignment="1">
      <alignment horizontal="center"/>
    </xf>
    <xf numFmtId="0" fontId="4" fillId="22" borderId="134" xfId="0" applyFont="1" applyFill="1" applyBorder="1" applyAlignment="1">
      <alignment horizontal="right"/>
    </xf>
    <xf numFmtId="38" fontId="100" fillId="6" borderId="31" xfId="0" applyNumberFormat="1" applyFont="1" applyFill="1" applyBorder="1" applyAlignment="1">
      <alignment horizontal="right"/>
    </xf>
    <xf numFmtId="174" fontId="4" fillId="39" borderId="121" xfId="0" applyNumberFormat="1" applyFont="1" applyFill="1" applyBorder="1" applyAlignment="1">
      <alignment horizontal="center"/>
    </xf>
    <xf numFmtId="0" fontId="106" fillId="2" borderId="0" xfId="0" applyFont="1" applyAlignment="1">
      <alignment horizontal="left"/>
    </xf>
    <xf numFmtId="0" fontId="4" fillId="23" borderId="0" xfId="0" applyFont="1" applyFill="1" applyBorder="1" applyAlignment="1">
      <alignment horizontal="center"/>
    </xf>
    <xf numFmtId="173" fontId="41" fillId="23" borderId="0" xfId="0" applyNumberFormat="1" applyFont="1" applyFill="1" applyBorder="1" applyAlignment="1">
      <alignment horizontal="center"/>
    </xf>
    <xf numFmtId="0" fontId="41" fillId="23" borderId="0" xfId="0" applyFont="1" applyFill="1" applyBorder="1"/>
    <xf numFmtId="0" fontId="15" fillId="2" borderId="117" xfId="0" applyFont="1" applyBorder="1"/>
    <xf numFmtId="6" fontId="15" fillId="2" borderId="117" xfId="0" applyNumberFormat="1" applyFont="1" applyBorder="1"/>
    <xf numFmtId="6" fontId="15" fillId="39" borderId="117" xfId="0" applyNumberFormat="1" applyFont="1" applyFill="1" applyBorder="1"/>
    <xf numFmtId="0" fontId="34" fillId="2" borderId="53" xfId="0" applyFont="1" applyBorder="1"/>
    <xf numFmtId="189" fontId="126" fillId="0" borderId="0" xfId="0" applyNumberFormat="1" applyFont="1" applyFill="1" applyAlignment="1">
      <alignment horizontal="right" vertical="top" indent="1" shrinkToFit="1"/>
    </xf>
    <xf numFmtId="1" fontId="126" fillId="0" borderId="0" xfId="0" applyNumberFormat="1" applyFont="1" applyFill="1" applyAlignment="1">
      <alignment horizontal="right" vertical="top" indent="1" shrinkToFit="1"/>
    </xf>
    <xf numFmtId="0" fontId="0" fillId="0" borderId="0" xfId="0" applyFill="1" applyAlignment="1">
      <alignment horizontal="left" vertical="top"/>
    </xf>
    <xf numFmtId="38" fontId="96" fillId="23" borderId="0" xfId="0" applyNumberFormat="1" applyFont="1" applyFill="1" applyBorder="1"/>
    <xf numFmtId="38" fontId="29" fillId="23" borderId="0" xfId="0" applyNumberFormat="1" applyFont="1" applyFill="1" applyAlignment="1">
      <alignment horizontal="center"/>
    </xf>
    <xf numFmtId="38" fontId="13" fillId="23" borderId="0" xfId="0" applyNumberFormat="1" applyFont="1" applyFill="1" applyAlignment="1">
      <alignment horizontal="center"/>
    </xf>
    <xf numFmtId="38" fontId="38" fillId="23" borderId="0" xfId="0" applyNumberFormat="1" applyFont="1" applyFill="1" applyAlignment="1">
      <alignment horizontal="center"/>
    </xf>
    <xf numFmtId="38" fontId="26" fillId="23" borderId="0" xfId="0" applyNumberFormat="1" applyFont="1" applyFill="1" applyAlignment="1">
      <alignment horizontal="center"/>
    </xf>
    <xf numFmtId="173" fontId="96" fillId="23" borderId="117" xfId="0" applyNumberFormat="1" applyFont="1" applyFill="1" applyBorder="1"/>
    <xf numFmtId="38" fontId="29" fillId="23" borderId="0" xfId="0" applyNumberFormat="1" applyFont="1" applyFill="1" applyBorder="1" applyAlignment="1">
      <alignment horizontal="center"/>
    </xf>
    <xf numFmtId="38" fontId="29" fillId="23" borderId="0" xfId="0" applyNumberFormat="1" applyFont="1" applyFill="1" applyBorder="1" applyAlignment="1">
      <alignment horizontal="right"/>
    </xf>
    <xf numFmtId="0" fontId="29" fillId="23" borderId="0" xfId="0" applyFont="1" applyFill="1" applyAlignment="1">
      <alignment horizontal="right"/>
    </xf>
    <xf numFmtId="173" fontId="98" fillId="23" borderId="117" xfId="0" applyNumberFormat="1" applyFont="1" applyFill="1" applyBorder="1"/>
    <xf numFmtId="173" fontId="98" fillId="23" borderId="0" xfId="0" applyNumberFormat="1" applyFont="1" applyFill="1" applyBorder="1"/>
    <xf numFmtId="0" fontId="106" fillId="23" borderId="0" xfId="0" quotePrefix="1" applyFont="1" applyFill="1" applyAlignment="1">
      <alignment horizontal="right"/>
    </xf>
    <xf numFmtId="173" fontId="96" fillId="23" borderId="109" xfId="0" applyNumberFormat="1" applyFont="1" applyFill="1" applyBorder="1"/>
    <xf numFmtId="173" fontId="96" fillId="23" borderId="109" xfId="0" applyNumberFormat="1" applyFont="1" applyFill="1" applyBorder="1" applyAlignment="1">
      <alignment horizontal="right"/>
    </xf>
    <xf numFmtId="173" fontId="29" fillId="23" borderId="131" xfId="0" applyNumberFormat="1" applyFont="1" applyFill="1" applyBorder="1" applyAlignment="1">
      <alignment horizontal="right"/>
    </xf>
    <xf numFmtId="173" fontId="29" fillId="23" borderId="109" xfId="0" applyNumberFormat="1" applyFont="1" applyFill="1" applyBorder="1" applyAlignment="1">
      <alignment horizontal="right"/>
    </xf>
    <xf numFmtId="173" fontId="29" fillId="23" borderId="0" xfId="0" applyNumberFormat="1" applyFont="1" applyFill="1" applyBorder="1" applyAlignment="1">
      <alignment horizontal="right"/>
    </xf>
    <xf numFmtId="6" fontId="96" fillId="23" borderId="109" xfId="0" applyNumberFormat="1" applyFont="1" applyFill="1" applyBorder="1"/>
    <xf numFmtId="0" fontId="96" fillId="23" borderId="109" xfId="0" applyFont="1" applyFill="1" applyBorder="1"/>
    <xf numFmtId="38" fontId="96" fillId="23" borderId="109" xfId="0" applyNumberFormat="1" applyFont="1" applyFill="1" applyBorder="1"/>
    <xf numFmtId="174" fontId="96" fillId="23" borderId="109" xfId="0" applyNumberFormat="1" applyFont="1" applyFill="1" applyBorder="1"/>
    <xf numFmtId="38" fontId="96" fillId="23" borderId="117" xfId="0" applyNumberFormat="1" applyFont="1" applyFill="1" applyBorder="1"/>
    <xf numFmtId="0" fontId="4" fillId="23" borderId="117" xfId="0" applyFont="1" applyFill="1" applyBorder="1" applyAlignment="1">
      <alignment horizontal="right"/>
    </xf>
    <xf numFmtId="6" fontId="4" fillId="23" borderId="117" xfId="0" applyNumberFormat="1" applyFont="1" applyFill="1" applyBorder="1"/>
    <xf numFmtId="38" fontId="4" fillId="23" borderId="117" xfId="0" applyNumberFormat="1" applyFont="1" applyFill="1" applyBorder="1"/>
    <xf numFmtId="174" fontId="4" fillId="23" borderId="117" xfId="0" applyNumberFormat="1" applyFont="1" applyFill="1" applyBorder="1"/>
    <xf numFmtId="9" fontId="4" fillId="23" borderId="117" xfId="0" applyNumberFormat="1" applyFont="1" applyFill="1" applyBorder="1"/>
    <xf numFmtId="38" fontId="4" fillId="23" borderId="117" xfId="0" applyNumberFormat="1" applyFont="1" applyFill="1" applyBorder="1" applyAlignment="1">
      <alignment horizontal="right"/>
    </xf>
    <xf numFmtId="173" fontId="98" fillId="22" borderId="117" xfId="0" applyNumberFormat="1" applyFont="1" applyFill="1" applyBorder="1"/>
    <xf numFmtId="0" fontId="13" fillId="2" borderId="0" xfId="0" applyFont="1" applyAlignment="1">
      <alignment horizontal="right"/>
    </xf>
    <xf numFmtId="0" fontId="106" fillId="4" borderId="0" xfId="0" applyFont="1" applyFill="1" applyAlignment="1">
      <alignment horizontal="right"/>
    </xf>
    <xf numFmtId="173" fontId="96" fillId="22" borderId="117" xfId="0" applyNumberFormat="1" applyFont="1" applyFill="1" applyBorder="1"/>
    <xf numFmtId="173" fontId="96" fillId="23" borderId="117" xfId="0" applyNumberFormat="1" applyFont="1" applyFill="1" applyBorder="1" applyAlignment="1">
      <alignment horizontal="center"/>
    </xf>
    <xf numFmtId="38" fontId="29" fillId="21" borderId="117" xfId="0" applyNumberFormat="1" applyFont="1" applyFill="1" applyBorder="1" applyAlignment="1">
      <alignment horizontal="center"/>
    </xf>
    <xf numFmtId="38" fontId="4" fillId="2" borderId="100" xfId="0" applyNumberFormat="1" applyFont="1" applyBorder="1" applyAlignment="1">
      <alignment horizontal="center"/>
    </xf>
    <xf numFmtId="174" fontId="4" fillId="2" borderId="147" xfId="0" applyNumberFormat="1" applyFont="1" applyBorder="1" applyAlignment="1">
      <alignment horizontal="center"/>
    </xf>
    <xf numFmtId="0" fontId="91" fillId="33" borderId="0" xfId="0" applyFont="1" applyFill="1" applyBorder="1"/>
    <xf numFmtId="0" fontId="91" fillId="33" borderId="0" xfId="0" applyFont="1" applyFill="1" applyBorder="1" applyAlignment="1">
      <alignment horizontal="center"/>
    </xf>
    <xf numFmtId="37" fontId="91" fillId="33" borderId="0" xfId="0" applyNumberFormat="1" applyFont="1" applyFill="1" applyBorder="1" applyProtection="1">
      <protection locked="0"/>
    </xf>
    <xf numFmtId="173" fontId="91" fillId="33" borderId="0" xfId="0" applyNumberFormat="1" applyFont="1" applyFill="1" applyBorder="1"/>
    <xf numFmtId="37" fontId="91" fillId="33" borderId="0" xfId="0" applyNumberFormat="1" applyFont="1" applyFill="1" applyBorder="1"/>
    <xf numFmtId="170" fontId="91" fillId="33" borderId="0" xfId="0" applyNumberFormat="1" applyFont="1" applyFill="1" applyBorder="1"/>
    <xf numFmtId="0" fontId="71" fillId="33" borderId="0" xfId="0" applyFont="1" applyFill="1" applyBorder="1"/>
    <xf numFmtId="0" fontId="89" fillId="33" borderId="150" xfId="0" quotePrefix="1" applyFont="1" applyFill="1" applyBorder="1" applyAlignment="1">
      <alignment horizontal="center"/>
    </xf>
    <xf numFmtId="173" fontId="71" fillId="33" borderId="151" xfId="0" applyNumberFormat="1" applyFont="1" applyFill="1" applyBorder="1"/>
    <xf numFmtId="37" fontId="71" fillId="33" borderId="151" xfId="0" applyNumberFormat="1" applyFont="1" applyFill="1" applyBorder="1"/>
    <xf numFmtId="38" fontId="71" fillId="33" borderId="151" xfId="0" applyNumberFormat="1" applyFont="1" applyFill="1" applyBorder="1"/>
    <xf numFmtId="176" fontId="71" fillId="33" borderId="151" xfId="0" applyNumberFormat="1" applyFont="1" applyFill="1" applyBorder="1"/>
    <xf numFmtId="176" fontId="71" fillId="33" borderId="0" xfId="0" applyNumberFormat="1" applyFont="1" applyFill="1" applyBorder="1"/>
    <xf numFmtId="37" fontId="71" fillId="33" borderId="150" xfId="0" applyNumberFormat="1" applyFont="1" applyFill="1" applyBorder="1"/>
    <xf numFmtId="0" fontId="71" fillId="33" borderId="0" xfId="0" applyFont="1" applyFill="1" applyBorder="1" applyAlignment="1">
      <alignment horizontal="left"/>
    </xf>
    <xf numFmtId="0" fontId="72" fillId="5" borderId="153" xfId="0" applyFont="1" applyFill="1" applyBorder="1"/>
    <xf numFmtId="0" fontId="72" fillId="5" borderId="74" xfId="0" applyFont="1" applyFill="1" applyBorder="1"/>
    <xf numFmtId="176" fontId="72" fillId="5" borderId="74" xfId="0" applyNumberFormat="1" applyFont="1" applyFill="1" applyBorder="1"/>
    <xf numFmtId="37" fontId="72" fillId="5" borderId="74" xfId="0" applyNumberFormat="1" applyFont="1" applyFill="1" applyBorder="1"/>
    <xf numFmtId="0" fontId="72" fillId="29" borderId="153" xfId="0" applyFont="1" applyFill="1" applyBorder="1"/>
    <xf numFmtId="0" fontId="72" fillId="29" borderId="74" xfId="0" applyFont="1" applyFill="1" applyBorder="1"/>
    <xf numFmtId="176" fontId="72" fillId="29" borderId="74" xfId="0" applyNumberFormat="1" applyFont="1" applyFill="1" applyBorder="1"/>
    <xf numFmtId="37" fontId="72" fillId="29" borderId="74" xfId="0" applyNumberFormat="1" applyFont="1" applyFill="1" applyBorder="1"/>
    <xf numFmtId="0" fontId="72" fillId="31" borderId="153" xfId="0" applyFont="1" applyFill="1" applyBorder="1"/>
    <xf numFmtId="0" fontId="72" fillId="31" borderId="74" xfId="0" applyFont="1" applyFill="1" applyBorder="1"/>
    <xf numFmtId="176" fontId="72" fillId="31" borderId="74" xfId="0" applyNumberFormat="1" applyFont="1" applyFill="1" applyBorder="1"/>
    <xf numFmtId="37" fontId="72" fillId="31" borderId="74" xfId="0" applyNumberFormat="1" applyFont="1" applyFill="1" applyBorder="1"/>
    <xf numFmtId="173" fontId="0" fillId="23" borderId="0" xfId="0" applyNumberFormat="1" applyFill="1"/>
    <xf numFmtId="174" fontId="0" fillId="23" borderId="0" xfId="0" applyNumberFormat="1" applyFill="1"/>
    <xf numFmtId="175" fontId="0" fillId="23" borderId="0" xfId="0" applyNumberFormat="1" applyFill="1"/>
    <xf numFmtId="178" fontId="0" fillId="23" borderId="0" xfId="0" applyNumberFormat="1" applyFill="1"/>
    <xf numFmtId="0" fontId="27" fillId="23" borderId="0" xfId="0" applyFont="1" applyFill="1"/>
    <xf numFmtId="0" fontId="27" fillId="23" borderId="0" xfId="0" quotePrefix="1" applyFont="1" applyFill="1"/>
    <xf numFmtId="0" fontId="120" fillId="23" borderId="0" xfId="0" applyFont="1" applyFill="1"/>
    <xf numFmtId="3" fontId="4" fillId="23" borderId="0" xfId="0" applyNumberFormat="1" applyFont="1" applyFill="1" applyAlignment="1">
      <alignment horizontal="center"/>
    </xf>
    <xf numFmtId="40" fontId="4" fillId="23" borderId="0" xfId="0" applyNumberFormat="1" applyFont="1" applyFill="1" applyAlignment="1">
      <alignment horizontal="center"/>
    </xf>
    <xf numFmtId="0" fontId="106" fillId="23" borderId="0" xfId="0" quotePrefix="1" applyFont="1" applyFill="1"/>
    <xf numFmtId="0" fontId="4" fillId="23" borderId="0" xfId="0" quotePrefix="1" applyFont="1" applyFill="1"/>
    <xf numFmtId="173" fontId="0" fillId="23" borderId="0" xfId="0" applyNumberFormat="1" applyFill="1" applyAlignment="1">
      <alignment horizontal="center"/>
    </xf>
    <xf numFmtId="174" fontId="0" fillId="23" borderId="0" xfId="0" applyNumberFormat="1" applyFill="1" applyAlignment="1">
      <alignment horizontal="center"/>
    </xf>
    <xf numFmtId="38" fontId="0" fillId="23" borderId="0" xfId="0" applyNumberFormat="1" applyFill="1" applyAlignment="1">
      <alignment horizontal="center"/>
    </xf>
    <xf numFmtId="174" fontId="0" fillId="23" borderId="0" xfId="0" applyNumberFormat="1" applyFont="1" applyFill="1" applyAlignment="1">
      <alignment horizontal="center"/>
    </xf>
    <xf numFmtId="176" fontId="4" fillId="23" borderId="0" xfId="0" applyNumberFormat="1" applyFont="1" applyFill="1" applyAlignment="1">
      <alignment horizontal="center"/>
    </xf>
    <xf numFmtId="38" fontId="4" fillId="23" borderId="0" xfId="0" applyNumberFormat="1" applyFont="1" applyFill="1" applyAlignment="1">
      <alignment horizontal="center"/>
    </xf>
    <xf numFmtId="178" fontId="4" fillId="23" borderId="0" xfId="0" applyNumberFormat="1" applyFont="1" applyFill="1" applyAlignment="1">
      <alignment horizontal="center"/>
    </xf>
    <xf numFmtId="173" fontId="4" fillId="23" borderId="0" xfId="0" applyNumberFormat="1" applyFont="1" applyFill="1" applyAlignment="1">
      <alignment horizontal="center"/>
    </xf>
    <xf numFmtId="40" fontId="0" fillId="23" borderId="0" xfId="0" applyNumberFormat="1" applyFill="1" applyAlignment="1">
      <alignment horizontal="center"/>
    </xf>
    <xf numFmtId="187" fontId="4" fillId="23" borderId="0" xfId="0" applyNumberFormat="1" applyFont="1" applyFill="1" applyAlignment="1">
      <alignment horizontal="center"/>
    </xf>
    <xf numFmtId="176" fontId="0" fillId="23" borderId="0" xfId="0" applyNumberFormat="1" applyFont="1" applyFill="1" applyAlignment="1">
      <alignment horizontal="center"/>
    </xf>
    <xf numFmtId="0" fontId="0" fillId="31" borderId="0" xfId="0" applyFill="1" applyAlignment="1">
      <alignment horizontal="center"/>
    </xf>
    <xf numFmtId="174" fontId="0" fillId="2" borderId="0" xfId="0" applyNumberFormat="1" applyAlignment="1">
      <alignment horizontal="center"/>
    </xf>
    <xf numFmtId="176" fontId="0" fillId="2" borderId="0" xfId="0" applyNumberFormat="1" applyAlignment="1">
      <alignment horizontal="center"/>
    </xf>
    <xf numFmtId="38" fontId="0" fillId="23" borderId="0" xfId="0" applyNumberFormat="1" applyFill="1" applyBorder="1" applyAlignment="1">
      <alignment horizontal="center"/>
    </xf>
    <xf numFmtId="178" fontId="4" fillId="12" borderId="12" xfId="0" applyNumberFormat="1" applyFont="1" applyFill="1" applyBorder="1" applyAlignment="1">
      <alignment horizontal="center"/>
    </xf>
    <xf numFmtId="178" fontId="0" fillId="2" borderId="0" xfId="0" applyNumberFormat="1" applyAlignment="1">
      <alignment horizontal="center"/>
    </xf>
    <xf numFmtId="175" fontId="0" fillId="2" borderId="0" xfId="0" applyNumberFormat="1" applyAlignment="1">
      <alignment horizontal="center"/>
    </xf>
    <xf numFmtId="187" fontId="0" fillId="2" borderId="0" xfId="0" applyNumberFormat="1" applyAlignment="1">
      <alignment horizontal="center"/>
    </xf>
    <xf numFmtId="0" fontId="4" fillId="23" borderId="133" xfId="0" applyFont="1" applyFill="1" applyBorder="1" applyAlignment="1">
      <alignment horizontal="center"/>
    </xf>
    <xf numFmtId="0" fontId="4" fillId="23" borderId="121" xfId="0" applyFont="1" applyFill="1" applyBorder="1" applyAlignment="1">
      <alignment horizontal="center"/>
    </xf>
    <xf numFmtId="0" fontId="4" fillId="2" borderId="154" xfId="0" applyFont="1" applyBorder="1" applyAlignment="1">
      <alignment horizontal="center"/>
    </xf>
    <xf numFmtId="40" fontId="4" fillId="23" borderId="154" xfId="0" applyNumberFormat="1" applyFont="1" applyFill="1" applyBorder="1" applyAlignment="1">
      <alignment horizontal="center"/>
    </xf>
    <xf numFmtId="174" fontId="78" fillId="23" borderId="0" xfId="0" applyNumberFormat="1" applyFont="1" applyFill="1" applyProtection="1">
      <protection locked="0"/>
    </xf>
    <xf numFmtId="38" fontId="78" fillId="23" borderId="0" xfId="0" applyNumberFormat="1" applyFont="1" applyFill="1" applyProtection="1">
      <protection locked="0"/>
    </xf>
    <xf numFmtId="38" fontId="29" fillId="39" borderId="155" xfId="0" applyNumberFormat="1" applyFont="1" applyFill="1" applyBorder="1"/>
    <xf numFmtId="0" fontId="29" fillId="4" borderId="154" xfId="0" applyFont="1" applyFill="1" applyBorder="1" applyAlignment="1">
      <alignment horizontal="center"/>
    </xf>
    <xf numFmtId="0" fontId="41" fillId="2" borderId="156" xfId="0" applyFont="1" applyBorder="1"/>
    <xf numFmtId="0" fontId="15" fillId="23" borderId="15" xfId="0" applyFont="1" applyFill="1" applyBorder="1"/>
    <xf numFmtId="0" fontId="15" fillId="4" borderId="28" xfId="0" applyFont="1" applyFill="1" applyBorder="1"/>
    <xf numFmtId="0" fontId="72" fillId="29" borderId="113" xfId="0" applyFont="1" applyFill="1" applyBorder="1" applyAlignment="1">
      <alignment horizontal="center"/>
    </xf>
    <xf numFmtId="0" fontId="72" fillId="5" borderId="98" xfId="0" applyFont="1" applyFill="1" applyBorder="1" applyAlignment="1">
      <alignment horizontal="center"/>
    </xf>
    <xf numFmtId="0" fontId="72" fillId="5" borderId="128" xfId="0" applyFont="1" applyFill="1" applyBorder="1" applyAlignment="1">
      <alignment horizontal="center"/>
    </xf>
    <xf numFmtId="0" fontId="72" fillId="29" borderId="158" xfId="0" applyFont="1" applyFill="1" applyBorder="1"/>
    <xf numFmtId="0" fontId="72" fillId="29" borderId="113" xfId="0" applyFont="1" applyFill="1" applyBorder="1"/>
    <xf numFmtId="176" fontId="72" fillId="29" borderId="113" xfId="0" applyNumberFormat="1" applyFont="1" applyFill="1" applyBorder="1"/>
    <xf numFmtId="37" fontId="72" fillId="29" borderId="113" xfId="0" applyNumberFormat="1" applyFont="1" applyFill="1" applyBorder="1"/>
    <xf numFmtId="0" fontId="82" fillId="30" borderId="74" xfId="0" applyFont="1" applyFill="1" applyBorder="1" applyAlignment="1">
      <alignment horizontal="right"/>
    </xf>
    <xf numFmtId="14" fontId="82" fillId="30" borderId="74" xfId="0" applyNumberFormat="1" applyFont="1" applyFill="1" applyBorder="1" applyAlignment="1">
      <alignment horizontal="right"/>
    </xf>
    <xf numFmtId="0" fontId="82" fillId="30" borderId="74" xfId="0" applyFont="1" applyFill="1" applyBorder="1"/>
    <xf numFmtId="0" fontId="84" fillId="30" borderId="74" xfId="0" applyFont="1" applyFill="1" applyBorder="1"/>
    <xf numFmtId="0" fontId="82" fillId="30" borderId="74" xfId="0" applyFont="1" applyFill="1" applyBorder="1" applyAlignment="1">
      <alignment horizontal="center"/>
    </xf>
    <xf numFmtId="37" fontId="82" fillId="30" borderId="74" xfId="0" applyNumberFormat="1" applyFont="1" applyFill="1" applyBorder="1" applyProtection="1">
      <protection locked="0"/>
    </xf>
    <xf numFmtId="173" fontId="82" fillId="30" borderId="74" xfId="0" applyNumberFormat="1" applyFont="1" applyFill="1" applyBorder="1"/>
    <xf numFmtId="37" fontId="82" fillId="30" borderId="74" xfId="0" applyNumberFormat="1" applyFont="1" applyFill="1" applyBorder="1"/>
    <xf numFmtId="170" fontId="82" fillId="30" borderId="74" xfId="0" applyNumberFormat="1" applyFont="1" applyFill="1" applyBorder="1"/>
    <xf numFmtId="0" fontId="92" fillId="33" borderId="0" xfId="0" applyFont="1" applyFill="1" applyBorder="1"/>
    <xf numFmtId="0" fontId="89" fillId="33" borderId="164" xfId="0" quotePrefix="1" applyFont="1" applyFill="1" applyBorder="1" applyAlignment="1">
      <alignment horizontal="center"/>
    </xf>
    <xf numFmtId="37" fontId="91" fillId="33" borderId="165" xfId="0" applyNumberFormat="1" applyFont="1" applyFill="1" applyBorder="1" applyProtection="1">
      <protection locked="0"/>
    </xf>
    <xf numFmtId="37" fontId="91" fillId="33" borderId="165" xfId="0" applyNumberFormat="1" applyFont="1" applyFill="1" applyBorder="1"/>
    <xf numFmtId="37" fontId="91" fillId="33" borderId="164" xfId="0" applyNumberFormat="1" applyFont="1" applyFill="1" applyBorder="1"/>
    <xf numFmtId="167" fontId="91" fillId="33" borderId="165" xfId="0" applyNumberFormat="1" applyFont="1" applyFill="1" applyBorder="1"/>
    <xf numFmtId="173" fontId="91" fillId="33" borderId="164" xfId="0" applyNumberFormat="1" applyFont="1" applyFill="1" applyBorder="1"/>
    <xf numFmtId="173" fontId="91" fillId="33" borderId="165" xfId="0" applyNumberFormat="1" applyFont="1" applyFill="1" applyBorder="1"/>
    <xf numFmtId="0" fontId="82" fillId="21" borderId="152" xfId="0" applyFont="1" applyFill="1" applyBorder="1"/>
    <xf numFmtId="0" fontId="82" fillId="21" borderId="153" xfId="0" applyFont="1" applyFill="1" applyBorder="1" applyAlignment="1">
      <alignment horizontal="right"/>
    </xf>
    <xf numFmtId="0" fontId="84" fillId="21" borderId="76" xfId="0" applyFont="1" applyFill="1" applyBorder="1"/>
    <xf numFmtId="0" fontId="29" fillId="21" borderId="76" xfId="0" applyFont="1" applyFill="1" applyBorder="1" applyAlignment="1">
      <alignment horizontal="center"/>
    </xf>
    <xf numFmtId="0" fontId="59" fillId="21" borderId="168" xfId="0" quotePrefix="1" applyFont="1" applyFill="1" applyBorder="1" applyAlignment="1">
      <alignment horizontal="center"/>
    </xf>
    <xf numFmtId="0" fontId="59" fillId="21" borderId="169" xfId="0" quotePrefix="1" applyFont="1" applyFill="1" applyBorder="1" applyAlignment="1">
      <alignment horizontal="center"/>
    </xf>
    <xf numFmtId="0" fontId="82" fillId="21" borderId="163" xfId="0" applyFont="1" applyFill="1" applyBorder="1" applyAlignment="1">
      <alignment horizontal="center"/>
    </xf>
    <xf numFmtId="0" fontId="82" fillId="21" borderId="149" xfId="0" applyFont="1" applyFill="1" applyBorder="1" applyAlignment="1">
      <alignment horizontal="center"/>
    </xf>
    <xf numFmtId="0" fontId="82" fillId="21" borderId="91" xfId="0" applyFont="1" applyFill="1" applyBorder="1" applyAlignment="1">
      <alignment horizontal="center"/>
    </xf>
    <xf numFmtId="0" fontId="82" fillId="21" borderId="74" xfId="0" applyFont="1" applyFill="1" applyBorder="1" applyAlignment="1">
      <alignment horizontal="center"/>
    </xf>
    <xf numFmtId="37" fontId="82" fillId="21" borderId="170" xfId="0" applyNumberFormat="1" applyFont="1" applyFill="1" applyBorder="1" applyProtection="1">
      <protection locked="0"/>
    </xf>
    <xf numFmtId="37" fontId="82" fillId="21" borderId="171" xfId="0" applyNumberFormat="1" applyFont="1" applyFill="1" applyBorder="1" applyProtection="1">
      <protection locked="0"/>
    </xf>
    <xf numFmtId="37" fontId="82" fillId="21" borderId="91" xfId="0" applyNumberFormat="1" applyFont="1" applyFill="1" applyBorder="1" applyProtection="1">
      <protection locked="0"/>
    </xf>
    <xf numFmtId="37" fontId="82" fillId="21" borderId="74" xfId="0" applyNumberFormat="1" applyFont="1" applyFill="1" applyBorder="1" applyProtection="1">
      <protection locked="0"/>
    </xf>
    <xf numFmtId="37" fontId="82" fillId="21" borderId="170" xfId="0" applyNumberFormat="1" applyFont="1" applyFill="1" applyBorder="1"/>
    <xf numFmtId="37" fontId="82" fillId="21" borderId="171" xfId="0" applyNumberFormat="1" applyFont="1" applyFill="1" applyBorder="1"/>
    <xf numFmtId="37" fontId="79" fillId="21" borderId="170" xfId="0" applyNumberFormat="1" applyFont="1" applyFill="1" applyBorder="1"/>
    <xf numFmtId="37" fontId="82" fillId="21" borderId="172" xfId="0" applyNumberFormat="1" applyFont="1" applyFill="1" applyBorder="1"/>
    <xf numFmtId="37" fontId="82" fillId="21" borderId="173" xfId="0" applyNumberFormat="1" applyFont="1" applyFill="1" applyBorder="1"/>
    <xf numFmtId="37" fontId="82" fillId="21" borderId="174" xfId="0" applyNumberFormat="1" applyFont="1" applyFill="1" applyBorder="1"/>
    <xf numFmtId="37" fontId="82" fillId="21" borderId="175" xfId="0" applyNumberFormat="1" applyFont="1" applyFill="1" applyBorder="1"/>
    <xf numFmtId="167" fontId="82" fillId="21" borderId="174" xfId="0" applyNumberFormat="1" applyFont="1" applyFill="1" applyBorder="1"/>
    <xf numFmtId="167" fontId="82" fillId="21" borderId="175" xfId="0" applyNumberFormat="1" applyFont="1" applyFill="1" applyBorder="1"/>
    <xf numFmtId="0" fontId="82" fillId="21" borderId="91" xfId="0" applyFont="1" applyFill="1" applyBorder="1"/>
    <xf numFmtId="37" fontId="79" fillId="21" borderId="174" xfId="0" applyNumberFormat="1" applyFont="1" applyFill="1" applyBorder="1"/>
    <xf numFmtId="173" fontId="82" fillId="21" borderId="176" xfId="0" applyNumberFormat="1" applyFont="1" applyFill="1" applyBorder="1"/>
    <xf numFmtId="173" fontId="82" fillId="21" borderId="177" xfId="0" applyNumberFormat="1" applyFont="1" applyFill="1" applyBorder="1"/>
    <xf numFmtId="173" fontId="82" fillId="21" borderId="91" xfId="0" applyNumberFormat="1" applyFont="1" applyFill="1" applyBorder="1"/>
    <xf numFmtId="173" fontId="82" fillId="21" borderId="74" xfId="0" applyNumberFormat="1" applyFont="1" applyFill="1" applyBorder="1"/>
    <xf numFmtId="173" fontId="82" fillId="21" borderId="178" xfId="0" applyNumberFormat="1" applyFont="1" applyFill="1" applyBorder="1"/>
    <xf numFmtId="173" fontId="82" fillId="21" borderId="179" xfId="0" applyNumberFormat="1" applyFont="1" applyFill="1" applyBorder="1"/>
    <xf numFmtId="37" fontId="82" fillId="21" borderId="91" xfId="0" applyNumberFormat="1" applyFont="1" applyFill="1" applyBorder="1"/>
    <xf numFmtId="37" fontId="82" fillId="21" borderId="74" xfId="0" applyNumberFormat="1" applyFont="1" applyFill="1" applyBorder="1"/>
    <xf numFmtId="37" fontId="82" fillId="21" borderId="178" xfId="0" applyNumberFormat="1" applyFont="1" applyFill="1" applyBorder="1"/>
    <xf numFmtId="37" fontId="82" fillId="21" borderId="179" xfId="0" applyNumberFormat="1" applyFont="1" applyFill="1" applyBorder="1"/>
    <xf numFmtId="170" fontId="82" fillId="21" borderId="91" xfId="0" applyNumberFormat="1" applyFont="1" applyFill="1" applyBorder="1"/>
    <xf numFmtId="170" fontId="82" fillId="21" borderId="74" xfId="0" applyNumberFormat="1" applyFont="1" applyFill="1" applyBorder="1"/>
    <xf numFmtId="37" fontId="82" fillId="21" borderId="180" xfId="0" applyNumberFormat="1" applyFont="1" applyFill="1" applyBorder="1"/>
    <xf numFmtId="0" fontId="82" fillId="24" borderId="152" xfId="0" applyFont="1" applyFill="1" applyBorder="1"/>
    <xf numFmtId="0" fontId="82" fillId="24" borderId="153" xfId="0" applyFont="1" applyFill="1" applyBorder="1" applyAlignment="1">
      <alignment horizontal="right"/>
    </xf>
    <xf numFmtId="0" fontId="82" fillId="24" borderId="76" xfId="0" applyFont="1" applyFill="1" applyBorder="1"/>
    <xf numFmtId="0" fontId="84" fillId="24" borderId="76" xfId="0" applyFont="1" applyFill="1" applyBorder="1"/>
    <xf numFmtId="0" fontId="82" fillId="30" borderId="152" xfId="0" applyFont="1" applyFill="1" applyBorder="1"/>
    <xf numFmtId="0" fontId="82" fillId="30" borderId="153" xfId="0" applyFont="1" applyFill="1" applyBorder="1" applyAlignment="1">
      <alignment horizontal="right"/>
    </xf>
    <xf numFmtId="0" fontId="82" fillId="30" borderId="76" xfId="0" applyFont="1" applyFill="1" applyBorder="1"/>
    <xf numFmtId="0" fontId="84" fillId="30" borderId="76" xfId="0" applyFont="1" applyFill="1" applyBorder="1"/>
    <xf numFmtId="0" fontId="75" fillId="30" borderId="181" xfId="0" applyFont="1" applyFill="1" applyBorder="1" applyAlignment="1">
      <alignment horizontal="center"/>
    </xf>
    <xf numFmtId="0" fontId="15" fillId="23" borderId="96" xfId="0" applyFont="1" applyFill="1" applyBorder="1"/>
    <xf numFmtId="0" fontId="15" fillId="23" borderId="103" xfId="0" applyFont="1" applyFill="1" applyBorder="1"/>
    <xf numFmtId="0" fontId="15" fillId="23" borderId="123" xfId="0" applyFont="1" applyFill="1" applyBorder="1"/>
    <xf numFmtId="0" fontId="76" fillId="23" borderId="127" xfId="0" applyFont="1" applyFill="1" applyBorder="1"/>
    <xf numFmtId="0" fontId="105" fillId="22" borderId="190" xfId="0" applyFont="1" applyFill="1" applyBorder="1"/>
    <xf numFmtId="0" fontId="0" fillId="22" borderId="191" xfId="0" applyFill="1" applyBorder="1"/>
    <xf numFmtId="0" fontId="0" fillId="22" borderId="192" xfId="0" applyFill="1" applyBorder="1"/>
    <xf numFmtId="0" fontId="111" fillId="21" borderId="189" xfId="0" applyFont="1" applyFill="1" applyBorder="1" applyAlignment="1">
      <alignment horizontal="center"/>
    </xf>
    <xf numFmtId="0" fontId="111" fillId="21" borderId="192" xfId="0" applyFont="1" applyFill="1" applyBorder="1" applyAlignment="1">
      <alignment horizontal="center"/>
    </xf>
    <xf numFmtId="0" fontId="4" fillId="21" borderId="189" xfId="0" applyFont="1" applyFill="1" applyBorder="1" applyAlignment="1">
      <alignment horizontal="center"/>
    </xf>
    <xf numFmtId="6" fontId="0" fillId="2" borderId="189" xfId="0" applyNumberFormat="1" applyBorder="1"/>
    <xf numFmtId="0" fontId="114" fillId="30" borderId="189" xfId="0" applyFont="1" applyFill="1" applyBorder="1"/>
    <xf numFmtId="0" fontId="114" fillId="22" borderId="193" xfId="0" applyFont="1" applyFill="1" applyBorder="1"/>
    <xf numFmtId="0" fontId="0" fillId="22" borderId="193" xfId="0" applyFill="1" applyBorder="1"/>
    <xf numFmtId="0" fontId="114" fillId="22" borderId="147" xfId="0" applyFont="1" applyFill="1" applyBorder="1"/>
    <xf numFmtId="0" fontId="42" fillId="12" borderId="192" xfId="0" applyFont="1" applyFill="1" applyBorder="1"/>
    <xf numFmtId="0" fontId="29" fillId="22" borderId="194" xfId="0" applyFont="1" applyFill="1" applyBorder="1" applyAlignment="1">
      <alignment horizontal="center"/>
    </xf>
    <xf numFmtId="173" fontId="96" fillId="23" borderId="117" xfId="0" applyNumberFormat="1" applyFont="1" applyFill="1" applyBorder="1" applyAlignment="1">
      <alignment horizontal="right"/>
    </xf>
    <xf numFmtId="173" fontId="110" fillId="23" borderId="154" xfId="0" applyNumberFormat="1" applyFont="1" applyFill="1" applyBorder="1"/>
    <xf numFmtId="173" fontId="110" fillId="23" borderId="0" xfId="0" applyNumberFormat="1" applyFont="1" applyFill="1"/>
    <xf numFmtId="184" fontId="96" fillId="23" borderId="117" xfId="0" applyNumberFormat="1" applyFont="1" applyFill="1" applyBorder="1"/>
    <xf numFmtId="0" fontId="33" fillId="4" borderId="0" xfId="0" applyFont="1" applyFill="1" applyAlignment="1">
      <alignment horizontal="right"/>
    </xf>
    <xf numFmtId="173" fontId="29" fillId="4" borderId="0" xfId="0" applyNumberFormat="1" applyFont="1" applyFill="1"/>
    <xf numFmtId="38" fontId="4" fillId="9" borderId="195" xfId="0" applyNumberFormat="1" applyFont="1" applyFill="1" applyBorder="1"/>
    <xf numFmtId="37" fontId="4" fillId="26" borderId="196" xfId="0" applyNumberFormat="1" applyFont="1" applyFill="1" applyBorder="1"/>
    <xf numFmtId="173" fontId="4" fillId="26" borderId="197" xfId="0" applyNumberFormat="1" applyFont="1" applyFill="1" applyBorder="1"/>
    <xf numFmtId="173" fontId="4" fillId="26" borderId="196" xfId="0" applyNumberFormat="1" applyFont="1" applyFill="1" applyBorder="1"/>
    <xf numFmtId="173" fontId="106" fillId="6" borderId="196" xfId="0" applyNumberFormat="1" applyFont="1" applyFill="1" applyBorder="1"/>
    <xf numFmtId="0" fontId="4" fillId="16" borderId="196" xfId="0" applyFont="1" applyFill="1" applyBorder="1"/>
    <xf numFmtId="173" fontId="4" fillId="16" borderId="196" xfId="0" applyNumberFormat="1" applyFont="1" applyFill="1" applyBorder="1"/>
    <xf numFmtId="173" fontId="4" fillId="16" borderId="197" xfId="0" applyNumberFormat="1" applyFont="1" applyFill="1" applyBorder="1"/>
    <xf numFmtId="38" fontId="4" fillId="26" borderId="197" xfId="0" applyNumberFormat="1" applyFont="1" applyFill="1" applyBorder="1"/>
    <xf numFmtId="6" fontId="9" fillId="4" borderId="0" xfId="0" quotePrefix="1" applyNumberFormat="1" applyFont="1" applyFill="1" applyAlignment="1">
      <alignment horizontal="center"/>
    </xf>
    <xf numFmtId="0" fontId="4" fillId="26" borderId="197" xfId="0" quotePrefix="1" applyFont="1" applyFill="1" applyBorder="1" applyAlignment="1">
      <alignment horizontal="center"/>
    </xf>
    <xf numFmtId="173" fontId="4" fillId="26" borderId="147" xfId="0" applyNumberFormat="1" applyFont="1" applyFill="1" applyBorder="1"/>
    <xf numFmtId="38" fontId="4" fillId="26" borderId="189" xfId="0" applyNumberFormat="1" applyFont="1" applyFill="1" applyBorder="1" applyAlignment="1">
      <alignment horizontal="right"/>
    </xf>
    <xf numFmtId="38" fontId="4" fillId="26" borderId="189" xfId="0" applyNumberFormat="1" applyFont="1" applyFill="1" applyBorder="1"/>
    <xf numFmtId="0" fontId="4" fillId="22" borderId="198" xfId="0" applyFont="1" applyFill="1" applyBorder="1" applyAlignment="1">
      <alignment horizontal="center"/>
    </xf>
    <xf numFmtId="0" fontId="114" fillId="2" borderId="0" xfId="0" applyFont="1" applyAlignment="1">
      <alignment vertical="center"/>
    </xf>
    <xf numFmtId="0" fontId="127" fillId="2" borderId="0" xfId="0" applyFont="1" applyAlignment="1">
      <alignment vertical="center"/>
    </xf>
    <xf numFmtId="182" fontId="4" fillId="23" borderId="0" xfId="0" applyNumberFormat="1" applyFont="1" applyFill="1" applyBorder="1" applyAlignment="1">
      <alignment horizontal="center"/>
    </xf>
    <xf numFmtId="0" fontId="36" fillId="21" borderId="148" xfId="0" applyFont="1" applyFill="1" applyBorder="1"/>
    <xf numFmtId="0" fontId="0" fillId="21" borderId="200" xfId="0" applyFill="1" applyBorder="1"/>
    <xf numFmtId="0" fontId="128" fillId="2" borderId="0" xfId="0" applyFont="1"/>
    <xf numFmtId="0" fontId="129" fillId="2" borderId="0" xfId="0" applyFont="1"/>
    <xf numFmtId="49" fontId="129" fillId="2" borderId="5" xfId="0" applyNumberFormat="1" applyFont="1" applyBorder="1"/>
    <xf numFmtId="0" fontId="129" fillId="4" borderId="19" xfId="0" applyFont="1" applyFill="1" applyBorder="1"/>
    <xf numFmtId="0" fontId="130" fillId="12" borderId="9" xfId="0" applyFont="1" applyFill="1" applyBorder="1" applyAlignment="1">
      <alignment horizontal="right"/>
    </xf>
    <xf numFmtId="0" fontId="128" fillId="2" borderId="0" xfId="0" applyFont="1" applyAlignment="1">
      <alignment horizontal="right"/>
    </xf>
    <xf numFmtId="0" fontId="129" fillId="4" borderId="0" xfId="0" applyFont="1" applyFill="1"/>
    <xf numFmtId="0" fontId="129" fillId="2" borderId="0" xfId="0" applyFont="1" applyAlignment="1">
      <alignment horizontal="right"/>
    </xf>
    <xf numFmtId="0" fontId="129" fillId="2" borderId="5" xfId="0" applyFont="1" applyBorder="1"/>
    <xf numFmtId="15" fontId="129" fillId="2" borderId="5" xfId="0" applyNumberFormat="1" applyFont="1" applyBorder="1" applyAlignment="1">
      <alignment horizontal="left"/>
    </xf>
    <xf numFmtId="14" fontId="131" fillId="2" borderId="0" xfId="0" applyNumberFormat="1" applyFont="1" applyAlignment="1">
      <alignment horizontal="right"/>
    </xf>
    <xf numFmtId="0" fontId="131" fillId="6" borderId="40" xfId="0" applyFont="1" applyFill="1" applyBorder="1" applyAlignment="1">
      <alignment horizontal="center"/>
    </xf>
    <xf numFmtId="0" fontId="131" fillId="6" borderId="31" xfId="0" applyFont="1" applyFill="1" applyBorder="1" applyAlignment="1">
      <alignment horizontal="center"/>
    </xf>
    <xf numFmtId="0" fontId="129" fillId="2" borderId="0" xfId="0" applyFont="1" applyProtection="1">
      <protection locked="0"/>
    </xf>
    <xf numFmtId="167" fontId="128" fillId="2" borderId="0" xfId="0" applyNumberFormat="1" applyFont="1"/>
    <xf numFmtId="164" fontId="128" fillId="2" borderId="0" xfId="0" applyNumberFormat="1" applyFont="1"/>
    <xf numFmtId="37" fontId="128" fillId="2" borderId="0" xfId="0" applyNumberFormat="1" applyFont="1"/>
    <xf numFmtId="39" fontId="128" fillId="2" borderId="0" xfId="0" applyNumberFormat="1" applyFont="1"/>
    <xf numFmtId="0" fontId="128" fillId="2" borderId="4" xfId="0" applyFont="1" applyBorder="1"/>
    <xf numFmtId="0" fontId="129" fillId="2" borderId="4" xfId="0" applyFont="1" applyBorder="1"/>
    <xf numFmtId="0" fontId="131" fillId="39" borderId="100" xfId="0" applyFont="1" applyFill="1" applyBorder="1" applyAlignment="1">
      <alignment horizontal="center"/>
    </xf>
    <xf numFmtId="0" fontId="129" fillId="21" borderId="98" xfId="0" applyFont="1" applyFill="1" applyBorder="1" applyAlignment="1">
      <alignment horizontal="right"/>
    </xf>
    <xf numFmtId="0" fontId="128" fillId="2" borderId="0" xfId="0" applyFont="1" applyAlignment="1">
      <alignment horizontal="center"/>
    </xf>
    <xf numFmtId="0" fontId="132" fillId="2" borderId="0" xfId="0" applyFont="1" applyAlignment="1">
      <alignment horizontal="right"/>
    </xf>
    <xf numFmtId="0" fontId="131" fillId="39" borderId="121" xfId="0" quotePrefix="1" applyFont="1" applyFill="1" applyBorder="1" applyAlignment="1">
      <alignment horizontal="center"/>
    </xf>
    <xf numFmtId="0" fontId="129" fillId="21" borderId="102" xfId="0" applyFont="1" applyFill="1" applyBorder="1" applyAlignment="1">
      <alignment horizontal="right"/>
    </xf>
    <xf numFmtId="38" fontId="129" fillId="21" borderId="83" xfId="0" applyNumberFormat="1" applyFont="1" applyFill="1" applyBorder="1" applyAlignment="1">
      <alignment horizontal="right"/>
    </xf>
    <xf numFmtId="0" fontId="130" fillId="2" borderId="0" xfId="0" applyFont="1"/>
    <xf numFmtId="37" fontId="130" fillId="2" borderId="0" xfId="0" applyNumberFormat="1" applyFont="1"/>
    <xf numFmtId="37" fontId="130" fillId="40" borderId="113" xfId="0" applyNumberFormat="1" applyFont="1" applyFill="1" applyBorder="1"/>
    <xf numFmtId="37" fontId="130" fillId="34" borderId="99" xfId="0" applyNumberFormat="1" applyFont="1" applyFill="1" applyBorder="1"/>
    <xf numFmtId="38" fontId="129" fillId="21" borderId="100" xfId="0" applyNumberFormat="1" applyFont="1" applyFill="1" applyBorder="1"/>
    <xf numFmtId="0" fontId="129" fillId="39" borderId="0" xfId="0" applyFont="1" applyFill="1" applyAlignment="1">
      <alignment horizontal="right"/>
    </xf>
    <xf numFmtId="0" fontId="131" fillId="39" borderId="0" xfId="0" applyFont="1" applyFill="1"/>
    <xf numFmtId="0" fontId="129" fillId="39" borderId="0" xfId="0" applyFont="1" applyFill="1"/>
    <xf numFmtId="37" fontId="130" fillId="39" borderId="0" xfId="0" applyNumberFormat="1" applyFont="1" applyFill="1"/>
    <xf numFmtId="37" fontId="128" fillId="39" borderId="0" xfId="0" applyNumberFormat="1" applyFont="1" applyFill="1"/>
    <xf numFmtId="37" fontId="130" fillId="34" borderId="0" xfId="0" applyNumberFormat="1" applyFont="1" applyFill="1"/>
    <xf numFmtId="38" fontId="129" fillId="21" borderId="113" xfId="0" applyNumberFormat="1" applyFont="1" applyFill="1" applyBorder="1"/>
    <xf numFmtId="37" fontId="128" fillId="34" borderId="106" xfId="0" applyNumberFormat="1" applyFont="1" applyFill="1" applyBorder="1"/>
    <xf numFmtId="37" fontId="128" fillId="40" borderId="113" xfId="0" applyNumberFormat="1" applyFont="1" applyFill="1" applyBorder="1"/>
    <xf numFmtId="37" fontId="128" fillId="34" borderId="0" xfId="0" applyNumberFormat="1" applyFont="1" applyFill="1"/>
    <xf numFmtId="38" fontId="129" fillId="21" borderId="85" xfId="0" applyNumberFormat="1" applyFont="1" applyFill="1" applyBorder="1"/>
    <xf numFmtId="0" fontId="131" fillId="2" borderId="0" xfId="0" applyFont="1"/>
    <xf numFmtId="0" fontId="129" fillId="39" borderId="113" xfId="0" applyFont="1" applyFill="1" applyBorder="1"/>
    <xf numFmtId="0" fontId="129" fillId="22" borderId="0" xfId="0" applyFont="1" applyFill="1"/>
    <xf numFmtId="37" fontId="128" fillId="3" borderId="0" xfId="0" applyNumberFormat="1" applyFont="1" applyFill="1"/>
    <xf numFmtId="37" fontId="128" fillId="41" borderId="113" xfId="0" applyNumberFormat="1" applyFont="1" applyFill="1" applyBorder="1"/>
    <xf numFmtId="37" fontId="128" fillId="35" borderId="0" xfId="0" applyNumberFormat="1" applyFont="1" applyFill="1"/>
    <xf numFmtId="0" fontId="128" fillId="2" borderId="0" xfId="0" applyFont="1" applyAlignment="1">
      <alignment horizontal="left"/>
    </xf>
    <xf numFmtId="37" fontId="129" fillId="22" borderId="0" xfId="0" applyNumberFormat="1" applyFont="1" applyFill="1"/>
    <xf numFmtId="38" fontId="131" fillId="39" borderId="113" xfId="0" applyNumberFormat="1" applyFont="1" applyFill="1" applyBorder="1"/>
    <xf numFmtId="0" fontId="128" fillId="39" borderId="0" xfId="0" applyFont="1" applyFill="1"/>
    <xf numFmtId="37" fontId="131" fillId="2" borderId="0" xfId="0" applyNumberFormat="1" applyFont="1"/>
    <xf numFmtId="38" fontId="128" fillId="40" borderId="113" xfId="0" applyNumberFormat="1" applyFont="1" applyFill="1" applyBorder="1"/>
    <xf numFmtId="37" fontId="132" fillId="2" borderId="0" xfId="0" applyNumberFormat="1" applyFont="1"/>
    <xf numFmtId="38" fontId="131" fillId="22" borderId="113" xfId="0" applyNumberFormat="1" applyFont="1" applyFill="1" applyBorder="1"/>
    <xf numFmtId="37" fontId="128" fillId="2" borderId="5" xfId="0" applyNumberFormat="1" applyFont="1" applyBorder="1"/>
    <xf numFmtId="37" fontId="129" fillId="22" borderId="96" xfId="0" applyNumberFormat="1" applyFont="1" applyFill="1" applyBorder="1"/>
    <xf numFmtId="38" fontId="129" fillId="21" borderId="107" xfId="0" applyNumberFormat="1" applyFont="1" applyFill="1" applyBorder="1"/>
    <xf numFmtId="37" fontId="131" fillId="39" borderId="113" xfId="0" applyNumberFormat="1" applyFont="1" applyFill="1" applyBorder="1"/>
    <xf numFmtId="37" fontId="128" fillId="34" borderId="82" xfId="0" applyNumberFormat="1" applyFont="1" applyFill="1" applyBorder="1"/>
    <xf numFmtId="38" fontId="131" fillId="21" borderId="85" xfId="0" applyNumberFormat="1" applyFont="1" applyFill="1" applyBorder="1"/>
    <xf numFmtId="164" fontId="131" fillId="39" borderId="117" xfId="0" applyNumberFormat="1" applyFont="1" applyFill="1" applyBorder="1"/>
    <xf numFmtId="0" fontId="131" fillId="39" borderId="109" xfId="0" applyFont="1" applyFill="1" applyBorder="1"/>
    <xf numFmtId="37" fontId="128" fillId="2" borderId="5" xfId="0" applyNumberFormat="1" applyFont="1" applyBorder="1" applyAlignment="1">
      <alignment horizontal="right"/>
    </xf>
    <xf numFmtId="37" fontId="128" fillId="2" borderId="0" xfId="0" applyNumberFormat="1" applyFont="1" applyAlignment="1">
      <alignment horizontal="right"/>
    </xf>
    <xf numFmtId="38" fontId="131" fillId="39" borderId="121" xfId="0" applyNumberFormat="1" applyFont="1" applyFill="1" applyBorder="1"/>
    <xf numFmtId="37" fontId="128" fillId="34" borderId="119" xfId="0" applyNumberFormat="1" applyFont="1" applyFill="1" applyBorder="1" applyAlignment="1">
      <alignment horizontal="right"/>
    </xf>
    <xf numFmtId="38" fontId="131" fillId="21" borderId="31" xfId="0" applyNumberFormat="1" applyFont="1" applyFill="1" applyBorder="1"/>
    <xf numFmtId="37" fontId="128" fillId="34" borderId="82" xfId="0" applyNumberFormat="1" applyFont="1" applyFill="1" applyBorder="1" applyAlignment="1">
      <alignment horizontal="right"/>
    </xf>
    <xf numFmtId="0" fontId="129" fillId="22" borderId="82" xfId="0" applyFont="1" applyFill="1" applyBorder="1"/>
    <xf numFmtId="0" fontId="131" fillId="2" borderId="0" xfId="0" quotePrefix="1" applyFont="1"/>
    <xf numFmtId="0" fontId="130" fillId="2" borderId="9" xfId="0" applyFont="1" applyBorder="1"/>
    <xf numFmtId="37" fontId="131" fillId="34" borderId="82" xfId="0" applyNumberFormat="1" applyFont="1" applyFill="1" applyBorder="1"/>
    <xf numFmtId="0" fontId="131" fillId="39" borderId="113" xfId="0" applyFont="1" applyFill="1" applyBorder="1"/>
    <xf numFmtId="0" fontId="129" fillId="21" borderId="82" xfId="0" applyFont="1" applyFill="1" applyBorder="1"/>
    <xf numFmtId="38" fontId="131" fillId="21" borderId="113" xfId="0" applyNumberFormat="1" applyFont="1" applyFill="1" applyBorder="1"/>
    <xf numFmtId="38" fontId="131" fillId="21" borderId="106" xfId="0" applyNumberFormat="1" applyFont="1" applyFill="1" applyBorder="1"/>
    <xf numFmtId="0" fontId="128" fillId="23" borderId="0" xfId="0" applyFont="1" applyFill="1" applyBorder="1"/>
    <xf numFmtId="0" fontId="129" fillId="23" borderId="0" xfId="0" applyFont="1" applyFill="1" applyBorder="1"/>
    <xf numFmtId="0" fontId="129" fillId="23" borderId="114" xfId="0" applyFont="1" applyFill="1" applyBorder="1"/>
    <xf numFmtId="38" fontId="131" fillId="39" borderId="100" xfId="0" applyNumberFormat="1" applyFont="1" applyFill="1" applyBorder="1"/>
    <xf numFmtId="37" fontId="128" fillId="23" borderId="0" xfId="0" applyNumberFormat="1" applyFont="1" applyFill="1" applyBorder="1" applyAlignment="1">
      <alignment horizontal="right"/>
    </xf>
    <xf numFmtId="0" fontId="129" fillId="21" borderId="128" xfId="0" applyFont="1" applyFill="1" applyBorder="1"/>
    <xf numFmtId="0" fontId="128" fillId="39" borderId="123" xfId="0" applyFont="1" applyFill="1" applyBorder="1"/>
    <xf numFmtId="0" fontId="129" fillId="39" borderId="131" xfId="0" applyFont="1" applyFill="1" applyBorder="1"/>
    <xf numFmtId="37" fontId="128" fillId="39" borderId="131" xfId="0" applyNumberFormat="1" applyFont="1" applyFill="1" applyBorder="1" applyAlignment="1">
      <alignment horizontal="right"/>
    </xf>
    <xf numFmtId="38" fontId="131" fillId="39" borderId="117" xfId="0" applyNumberFormat="1" applyFont="1" applyFill="1" applyBorder="1"/>
    <xf numFmtId="37" fontId="128" fillId="39" borderId="113" xfId="0" applyNumberFormat="1" applyFont="1" applyFill="1" applyBorder="1" applyAlignment="1">
      <alignment horizontal="right"/>
    </xf>
    <xf numFmtId="38" fontId="131" fillId="22" borderId="98" xfId="0" applyNumberFormat="1" applyFont="1" applyFill="1" applyBorder="1"/>
    <xf numFmtId="38" fontId="131" fillId="21" borderId="97" xfId="0" applyNumberFormat="1" applyFont="1" applyFill="1" applyBorder="1"/>
    <xf numFmtId="37" fontId="128" fillId="2" borderId="13" xfId="0" applyNumberFormat="1" applyFont="1" applyBorder="1" applyAlignment="1">
      <alignment horizontal="right"/>
    </xf>
    <xf numFmtId="37" fontId="128" fillId="39" borderId="121" xfId="0" applyNumberFormat="1" applyFont="1" applyFill="1" applyBorder="1" applyAlignment="1">
      <alignment horizontal="right"/>
    </xf>
    <xf numFmtId="38" fontId="131" fillId="22" borderId="120" xfId="0" applyNumberFormat="1" applyFont="1" applyFill="1" applyBorder="1"/>
    <xf numFmtId="38" fontId="131" fillId="21" borderId="15" xfId="0" applyNumberFormat="1" applyFont="1" applyFill="1" applyBorder="1"/>
    <xf numFmtId="0" fontId="133" fillId="2" borderId="109" xfId="0" applyFont="1" applyBorder="1"/>
    <xf numFmtId="37" fontId="128" fillId="23" borderId="130" xfId="0" applyNumberFormat="1" applyFont="1" applyFill="1" applyBorder="1" applyAlignment="1">
      <alignment horizontal="right"/>
    </xf>
    <xf numFmtId="37" fontId="128" fillId="39" borderId="0" xfId="0" applyNumberFormat="1" applyFont="1" applyFill="1" applyAlignment="1">
      <alignment horizontal="right"/>
    </xf>
    <xf numFmtId="38" fontId="131" fillId="2" borderId="0" xfId="0" quotePrefix="1" applyNumberFormat="1" applyFont="1"/>
    <xf numFmtId="38" fontId="129" fillId="4" borderId="0" xfId="0" applyNumberFormat="1" applyFont="1" applyFill="1"/>
    <xf numFmtId="38" fontId="129" fillId="2" borderId="0" xfId="0" applyNumberFormat="1" applyFont="1"/>
    <xf numFmtId="38" fontId="128" fillId="2" borderId="0" xfId="0" applyNumberFormat="1" applyFont="1" applyAlignment="1">
      <alignment horizontal="right"/>
    </xf>
    <xf numFmtId="38" fontId="128" fillId="22" borderId="113" xfId="0" applyNumberFormat="1" applyFont="1" applyFill="1" applyBorder="1" applyAlignment="1">
      <alignment horizontal="right"/>
    </xf>
    <xf numFmtId="38" fontId="128" fillId="2" borderId="13" xfId="0" applyNumberFormat="1" applyFont="1" applyBorder="1" applyAlignment="1">
      <alignment horizontal="right"/>
    </xf>
    <xf numFmtId="0" fontId="133" fillId="2" borderId="109" xfId="0" quotePrefix="1" applyFont="1" applyBorder="1"/>
    <xf numFmtId="0" fontId="128" fillId="2" borderId="0" xfId="0" quotePrefix="1" applyFont="1"/>
    <xf numFmtId="37" fontId="128" fillId="2" borderId="0" xfId="0" applyNumberFormat="1" applyFont="1" applyBorder="1" applyAlignment="1">
      <alignment horizontal="right"/>
    </xf>
    <xf numFmtId="0" fontId="129" fillId="2" borderId="97" xfId="0" applyFont="1" applyBorder="1"/>
    <xf numFmtId="0" fontId="129" fillId="2" borderId="99" xfId="0" applyFont="1" applyBorder="1"/>
    <xf numFmtId="0" fontId="128" fillId="2" borderId="99" xfId="0" applyFont="1" applyBorder="1"/>
    <xf numFmtId="0" fontId="129" fillId="2" borderId="136" xfId="0" applyFont="1" applyBorder="1"/>
    <xf numFmtId="37" fontId="128" fillId="2" borderId="99" xfId="0" applyNumberFormat="1" applyFont="1" applyBorder="1" applyAlignment="1">
      <alignment horizontal="right"/>
    </xf>
    <xf numFmtId="0" fontId="131" fillId="39" borderId="100" xfId="0" applyFont="1" applyFill="1" applyBorder="1"/>
    <xf numFmtId="0" fontId="129" fillId="2" borderId="106" xfId="0" applyFont="1" applyBorder="1"/>
    <xf numFmtId="0" fontId="128" fillId="2" borderId="0" xfId="0" applyFont="1" applyBorder="1" applyAlignment="1">
      <alignment horizontal="center"/>
    </xf>
    <xf numFmtId="0" fontId="129" fillId="2" borderId="0" xfId="0" applyFont="1" applyBorder="1"/>
    <xf numFmtId="0" fontId="128" fillId="2" borderId="0" xfId="0" quotePrefix="1" applyFont="1" applyBorder="1"/>
    <xf numFmtId="0" fontId="129" fillId="2" borderId="30" xfId="0" applyFont="1" applyBorder="1"/>
    <xf numFmtId="0" fontId="131" fillId="2" borderId="0" xfId="0" applyFont="1" applyBorder="1"/>
    <xf numFmtId="0" fontId="130" fillId="2" borderId="0" xfId="0" applyFont="1" applyBorder="1"/>
    <xf numFmtId="37" fontId="130" fillId="2" borderId="30" xfId="0" applyNumberFormat="1" applyFont="1" applyBorder="1" applyAlignment="1">
      <alignment horizontal="right"/>
    </xf>
    <xf numFmtId="37" fontId="131" fillId="39" borderId="113" xfId="0" applyNumberFormat="1" applyFont="1" applyFill="1" applyBorder="1" applyAlignment="1">
      <alignment horizontal="right"/>
    </xf>
    <xf numFmtId="0" fontId="132" fillId="2" borderId="0" xfId="0" applyFont="1" applyBorder="1"/>
    <xf numFmtId="37" fontId="132" fillId="2" borderId="30" xfId="0" applyNumberFormat="1" applyFont="1" applyBorder="1"/>
    <xf numFmtId="37" fontId="130" fillId="2" borderId="45" xfId="0" applyNumberFormat="1" applyFont="1" applyBorder="1" applyAlignment="1">
      <alignment horizontal="right"/>
    </xf>
    <xf numFmtId="37" fontId="131" fillId="39" borderId="31" xfId="0" applyNumberFormat="1" applyFont="1" applyFill="1" applyBorder="1"/>
    <xf numFmtId="173" fontId="129" fillId="2" borderId="0" xfId="0" applyNumberFormat="1" applyFont="1"/>
    <xf numFmtId="173" fontId="129" fillId="4" borderId="0" xfId="0" applyNumberFormat="1" applyFont="1" applyFill="1"/>
    <xf numFmtId="37" fontId="130" fillId="2" borderId="46" xfId="0" applyNumberFormat="1" applyFont="1" applyBorder="1" applyAlignment="1">
      <alignment horizontal="right"/>
    </xf>
    <xf numFmtId="38" fontId="131" fillId="39" borderId="31" xfId="0" applyNumberFormat="1" applyFont="1" applyFill="1" applyBorder="1"/>
    <xf numFmtId="0" fontId="128" fillId="2" borderId="0" xfId="0" applyFont="1" applyBorder="1"/>
    <xf numFmtId="0" fontId="129" fillId="2" borderId="103" xfId="0" applyFont="1" applyBorder="1"/>
    <xf numFmtId="0" fontId="129" fillId="2" borderId="96" xfId="0" applyFont="1" applyBorder="1"/>
    <xf numFmtId="0" fontId="128" fillId="2" borderId="96" xfId="0" applyFont="1" applyBorder="1"/>
    <xf numFmtId="0" fontId="129" fillId="39" borderId="31" xfId="0" applyFont="1" applyFill="1" applyBorder="1"/>
    <xf numFmtId="38" fontId="129" fillId="2" borderId="0" xfId="0" applyNumberFormat="1" applyFont="1" applyAlignment="1">
      <alignment horizontal="right"/>
    </xf>
    <xf numFmtId="37" fontId="129" fillId="2" borderId="0" xfId="0" applyNumberFormat="1" applyFont="1"/>
    <xf numFmtId="0" fontId="133" fillId="2" borderId="137" xfId="0" applyFont="1" applyBorder="1"/>
    <xf numFmtId="0" fontId="134" fillId="2" borderId="138" xfId="0" applyFont="1" applyBorder="1"/>
    <xf numFmtId="0" fontId="129" fillId="2" borderId="138" xfId="0" applyFont="1" applyBorder="1"/>
    <xf numFmtId="0" fontId="129" fillId="2" borderId="139" xfId="0" applyFont="1" applyBorder="1"/>
    <xf numFmtId="0" fontId="129" fillId="39" borderId="125" xfId="0" applyFont="1" applyFill="1" applyBorder="1"/>
    <xf numFmtId="0" fontId="129" fillId="2" borderId="140" xfId="0" applyFont="1" applyBorder="1"/>
    <xf numFmtId="0" fontId="129" fillId="2" borderId="29" xfId="0" applyFont="1" applyBorder="1"/>
    <xf numFmtId="0" fontId="129" fillId="39" borderId="126" xfId="0" applyFont="1" applyFill="1" applyBorder="1"/>
    <xf numFmtId="0" fontId="128" fillId="2" borderId="140" xfId="0" applyFont="1" applyBorder="1"/>
    <xf numFmtId="37" fontId="131" fillId="2" borderId="29" xfId="0" applyNumberFormat="1" applyFont="1" applyBorder="1"/>
    <xf numFmtId="37" fontId="131" fillId="39" borderId="126" xfId="0" applyNumberFormat="1" applyFont="1" applyFill="1" applyBorder="1"/>
    <xf numFmtId="0" fontId="128" fillId="4" borderId="140" xfId="0" applyFont="1" applyFill="1" applyBorder="1"/>
    <xf numFmtId="38" fontId="131" fillId="2" borderId="29" xfId="0" applyNumberFormat="1" applyFont="1" applyBorder="1"/>
    <xf numFmtId="38" fontId="131" fillId="39" borderId="126" xfId="0" applyNumberFormat="1" applyFont="1" applyFill="1" applyBorder="1"/>
    <xf numFmtId="38" fontId="131" fillId="2" borderId="141" xfId="0" applyNumberFormat="1" applyFont="1" applyBorder="1"/>
    <xf numFmtId="37" fontId="131" fillId="2" borderId="142" xfId="0" applyNumberFormat="1" applyFont="1" applyBorder="1"/>
    <xf numFmtId="37" fontId="131" fillId="39" borderId="143" xfId="0" applyNumberFormat="1" applyFont="1" applyFill="1" applyBorder="1"/>
    <xf numFmtId="0" fontId="128" fillId="39" borderId="140" xfId="0" applyFont="1" applyFill="1" applyBorder="1"/>
    <xf numFmtId="0" fontId="129" fillId="39" borderId="0" xfId="0" applyFont="1" applyFill="1" applyBorder="1"/>
    <xf numFmtId="38" fontId="131" fillId="39" borderId="141" xfId="0" applyNumberFormat="1" applyFont="1" applyFill="1" applyBorder="1"/>
    <xf numFmtId="38" fontId="131" fillId="39" borderId="29" xfId="0" applyNumberFormat="1" applyFont="1" applyFill="1" applyBorder="1"/>
    <xf numFmtId="0" fontId="128" fillId="23" borderId="140" xfId="0" applyFont="1" applyFill="1" applyBorder="1"/>
    <xf numFmtId="38" fontId="131" fillId="23" borderId="29" xfId="0" applyNumberFormat="1" applyFont="1" applyFill="1" applyBorder="1"/>
    <xf numFmtId="0" fontId="129" fillId="2" borderId="144" xfId="0" applyFont="1" applyBorder="1"/>
    <xf numFmtId="0" fontId="129" fillId="2" borderId="124" xfId="0" applyFont="1" applyBorder="1"/>
    <xf numFmtId="0" fontId="129" fillId="2" borderId="145" xfId="0" applyFont="1" applyBorder="1"/>
    <xf numFmtId="0" fontId="129" fillId="39" borderId="146" xfId="0" applyFont="1" applyFill="1" applyBorder="1"/>
    <xf numFmtId="37" fontId="131" fillId="12" borderId="0" xfId="0" applyNumberFormat="1" applyFont="1" applyFill="1"/>
    <xf numFmtId="0" fontId="129" fillId="12" borderId="0" xfId="0" applyFont="1" applyFill="1"/>
    <xf numFmtId="37" fontId="129" fillId="39" borderId="100" xfId="0" applyNumberFormat="1" applyFont="1" applyFill="1" applyBorder="1"/>
    <xf numFmtId="37" fontId="129" fillId="39" borderId="113" xfId="0" applyNumberFormat="1" applyFont="1" applyFill="1" applyBorder="1"/>
    <xf numFmtId="38" fontId="129" fillId="39" borderId="113" xfId="0" applyNumberFormat="1" applyFont="1" applyFill="1" applyBorder="1"/>
    <xf numFmtId="37" fontId="129" fillId="39" borderId="121" xfId="0" applyNumberFormat="1" applyFont="1" applyFill="1" applyBorder="1"/>
    <xf numFmtId="0" fontId="133" fillId="2" borderId="0" xfId="0" applyFont="1" applyAlignment="1">
      <alignment horizontal="right"/>
    </xf>
    <xf numFmtId="0" fontId="131" fillId="2" borderId="0" xfId="0" applyFont="1" applyAlignment="1">
      <alignment horizontal="right"/>
    </xf>
    <xf numFmtId="38" fontId="131" fillId="2" borderId="100" xfId="0" applyNumberFormat="1" applyFont="1" applyBorder="1"/>
    <xf numFmtId="38" fontId="131" fillId="2" borderId="133" xfId="0" applyNumberFormat="1" applyFont="1" applyBorder="1"/>
    <xf numFmtId="38" fontId="131" fillId="2" borderId="113" xfId="0" applyNumberFormat="1" applyFont="1" applyBorder="1"/>
    <xf numFmtId="38" fontId="131" fillId="21" borderId="133" xfId="0" applyNumberFormat="1" applyFont="1" applyFill="1" applyBorder="1"/>
    <xf numFmtId="38" fontId="131" fillId="21" borderId="154" xfId="0" applyNumberFormat="1" applyFont="1" applyFill="1" applyBorder="1"/>
    <xf numFmtId="38" fontId="131" fillId="21" borderId="117" xfId="0" applyNumberFormat="1" applyFont="1" applyFill="1" applyBorder="1"/>
    <xf numFmtId="0" fontId="131" fillId="2" borderId="0" xfId="0" applyFont="1" applyBorder="1" applyAlignment="1">
      <alignment horizontal="right"/>
    </xf>
    <xf numFmtId="174" fontId="131" fillId="2" borderId="133" xfId="0" applyNumberFormat="1" applyFont="1" applyBorder="1"/>
    <xf numFmtId="38" fontId="131" fillId="39" borderId="133" xfId="0" applyNumberFormat="1" applyFont="1" applyFill="1" applyBorder="1"/>
    <xf numFmtId="0" fontId="129" fillId="2" borderId="0" xfId="0" applyFont="1" applyAlignment="1">
      <alignment horizontal="left"/>
    </xf>
    <xf numFmtId="0" fontId="129" fillId="4" borderId="0" xfId="0" applyFont="1" applyFill="1" applyAlignment="1">
      <alignment horizontal="left"/>
    </xf>
    <xf numFmtId="38" fontId="131" fillId="2" borderId="154" xfId="0" applyNumberFormat="1" applyFont="1" applyBorder="1"/>
    <xf numFmtId="0" fontId="89" fillId="12" borderId="206" xfId="0" quotePrefix="1" applyFont="1" applyFill="1" applyBorder="1" applyAlignment="1">
      <alignment horizontal="center"/>
    </xf>
    <xf numFmtId="0" fontId="72" fillId="5" borderId="207" xfId="0" applyFont="1" applyFill="1" applyBorder="1" applyAlignment="1">
      <alignment horizontal="center"/>
    </xf>
    <xf numFmtId="0" fontId="72" fillId="5" borderId="74" xfId="0" applyFont="1" applyFill="1" applyBorder="1" applyAlignment="1">
      <alignment horizontal="center"/>
    </xf>
    <xf numFmtId="0" fontId="72" fillId="5" borderId="205" xfId="0" applyFont="1" applyFill="1" applyBorder="1" applyAlignment="1">
      <alignment horizontal="center"/>
    </xf>
    <xf numFmtId="173" fontId="72" fillId="5" borderId="208" xfId="0" applyNumberFormat="1" applyFont="1" applyFill="1" applyBorder="1"/>
    <xf numFmtId="37" fontId="72" fillId="5" borderId="208" xfId="0" applyNumberFormat="1" applyFont="1" applyFill="1" applyBorder="1"/>
    <xf numFmtId="176" fontId="72" fillId="5" borderId="208" xfId="0" applyNumberFormat="1" applyFont="1" applyFill="1" applyBorder="1"/>
    <xf numFmtId="37" fontId="72" fillId="5" borderId="206" xfId="0" applyNumberFormat="1" applyFont="1" applyFill="1" applyBorder="1"/>
    <xf numFmtId="37" fontId="72" fillId="5" borderId="209" xfId="0" applyNumberFormat="1" applyFont="1" applyFill="1" applyBorder="1"/>
    <xf numFmtId="0" fontId="72" fillId="5" borderId="108" xfId="0" applyFont="1" applyFill="1" applyBorder="1"/>
    <xf numFmtId="0" fontId="72" fillId="5" borderId="91" xfId="0" applyFont="1" applyFill="1" applyBorder="1"/>
    <xf numFmtId="0" fontId="72" fillId="5" borderId="210" xfId="0" applyFont="1" applyFill="1" applyBorder="1" applyAlignment="1">
      <alignment horizontal="center"/>
    </xf>
    <xf numFmtId="0" fontId="72" fillId="5" borderId="204" xfId="0" applyFont="1" applyFill="1" applyBorder="1" applyAlignment="1">
      <alignment horizontal="center"/>
    </xf>
    <xf numFmtId="37" fontId="72" fillId="5" borderId="91" xfId="0" applyNumberFormat="1" applyFont="1" applyFill="1" applyBorder="1"/>
    <xf numFmtId="176" fontId="72" fillId="5" borderId="91" xfId="0" applyNumberFormat="1" applyFont="1" applyFill="1" applyBorder="1"/>
    <xf numFmtId="37" fontId="72" fillId="5" borderId="91" xfId="0" applyNumberFormat="1" applyFont="1" applyFill="1" applyBorder="1" applyAlignment="1">
      <alignment horizontal="center"/>
    </xf>
    <xf numFmtId="0" fontId="72" fillId="5" borderId="159" xfId="0" applyFont="1" applyFill="1" applyBorder="1"/>
    <xf numFmtId="0" fontId="72" fillId="5" borderId="128" xfId="0" applyFont="1" applyFill="1" applyBorder="1"/>
    <xf numFmtId="0" fontId="9" fillId="12" borderId="211" xfId="0" quotePrefix="1" applyFont="1" applyFill="1" applyBorder="1" applyAlignment="1">
      <alignment horizontal="center"/>
    </xf>
    <xf numFmtId="0" fontId="72" fillId="5" borderId="119" xfId="0" applyFont="1" applyFill="1" applyBorder="1" applyAlignment="1">
      <alignment horizontal="center"/>
    </xf>
    <xf numFmtId="173" fontId="72" fillId="5" borderId="212" xfId="0" applyNumberFormat="1" applyFont="1" applyFill="1" applyBorder="1"/>
    <xf numFmtId="37" fontId="72" fillId="5" borderId="212" xfId="0" applyNumberFormat="1" applyFont="1" applyFill="1" applyBorder="1"/>
    <xf numFmtId="37" fontId="72" fillId="5" borderId="128" xfId="0" applyNumberFormat="1" applyFont="1" applyFill="1" applyBorder="1"/>
    <xf numFmtId="176" fontId="72" fillId="5" borderId="212" xfId="0" applyNumberFormat="1" applyFont="1" applyFill="1" applyBorder="1"/>
    <xf numFmtId="176" fontId="72" fillId="5" borderId="128" xfId="0" applyNumberFormat="1" applyFont="1" applyFill="1" applyBorder="1"/>
    <xf numFmtId="37" fontId="72" fillId="5" borderId="211" xfId="0" applyNumberFormat="1" applyFont="1" applyFill="1" applyBorder="1"/>
    <xf numFmtId="37" fontId="72" fillId="5" borderId="128" xfId="0" applyNumberFormat="1" applyFont="1" applyFill="1" applyBorder="1" applyAlignment="1">
      <alignment horizontal="center"/>
    </xf>
    <xf numFmtId="37" fontId="72" fillId="5" borderId="213" xfId="0" applyNumberFormat="1" applyFont="1" applyFill="1" applyBorder="1"/>
    <xf numFmtId="0" fontId="89" fillId="12" borderId="214" xfId="0" quotePrefix="1" applyFont="1" applyFill="1" applyBorder="1" applyAlignment="1">
      <alignment horizontal="center"/>
    </xf>
    <xf numFmtId="173" fontId="72" fillId="5" borderId="215" xfId="0" applyNumberFormat="1" applyFont="1" applyFill="1" applyBorder="1"/>
    <xf numFmtId="37" fontId="72" fillId="5" borderId="215" xfId="0" applyNumberFormat="1" applyFont="1" applyFill="1" applyBorder="1"/>
    <xf numFmtId="176" fontId="72" fillId="5" borderId="215" xfId="0" applyNumberFormat="1" applyFont="1" applyFill="1" applyBorder="1"/>
    <xf numFmtId="37" fontId="72" fillId="5" borderId="214" xfId="0" applyNumberFormat="1" applyFont="1" applyFill="1" applyBorder="1"/>
    <xf numFmtId="37" fontId="72" fillId="5" borderId="167" xfId="0" applyNumberFormat="1" applyFont="1" applyFill="1" applyBorder="1"/>
    <xf numFmtId="0" fontId="72" fillId="29" borderId="108" xfId="0" applyFont="1" applyFill="1" applyBorder="1"/>
    <xf numFmtId="0" fontId="72" fillId="29" borderId="91" xfId="0" applyFont="1" applyFill="1" applyBorder="1"/>
    <xf numFmtId="0" fontId="25" fillId="29" borderId="210" xfId="0" applyFont="1" applyFill="1" applyBorder="1" applyAlignment="1">
      <alignment horizontal="center"/>
    </xf>
    <xf numFmtId="0" fontId="72" fillId="29" borderId="204" xfId="0" applyFont="1" applyFill="1" applyBorder="1" applyAlignment="1">
      <alignment horizontal="center"/>
    </xf>
    <xf numFmtId="173" fontId="72" fillId="29" borderId="217" xfId="0" applyNumberFormat="1" applyFont="1" applyFill="1" applyBorder="1"/>
    <xf numFmtId="37" fontId="72" fillId="29" borderId="217" xfId="0" applyNumberFormat="1" applyFont="1" applyFill="1" applyBorder="1"/>
    <xf numFmtId="37" fontId="72" fillId="29" borderId="91" xfId="0" applyNumberFormat="1" applyFont="1" applyFill="1" applyBorder="1"/>
    <xf numFmtId="176" fontId="72" fillId="29" borderId="217" xfId="0" applyNumberFormat="1" applyFont="1" applyFill="1" applyBorder="1"/>
    <xf numFmtId="176" fontId="72" fillId="29" borderId="91" xfId="0" applyNumberFormat="1" applyFont="1" applyFill="1" applyBorder="1"/>
    <xf numFmtId="37" fontId="72" fillId="29" borderId="216" xfId="0" applyNumberFormat="1" applyFont="1" applyFill="1" applyBorder="1"/>
    <xf numFmtId="37" fontId="72" fillId="29" borderId="91" xfId="0" applyNumberFormat="1" applyFont="1" applyFill="1" applyBorder="1" applyAlignment="1">
      <alignment horizontal="center"/>
    </xf>
    <xf numFmtId="37" fontId="72" fillId="29" borderId="161" xfId="0" applyNumberFormat="1" applyFont="1" applyFill="1" applyBorder="1"/>
    <xf numFmtId="0" fontId="72" fillId="29" borderId="218" xfId="0" applyFont="1" applyFill="1" applyBorder="1" applyAlignment="1">
      <alignment horizontal="center"/>
    </xf>
    <xf numFmtId="0" fontId="72" fillId="29" borderId="74" xfId="0" applyFont="1" applyFill="1" applyBorder="1" applyAlignment="1">
      <alignment horizontal="center"/>
    </xf>
    <xf numFmtId="0" fontId="72" fillId="29" borderId="205" xfId="0" applyFont="1" applyFill="1" applyBorder="1" applyAlignment="1">
      <alignment horizontal="center"/>
    </xf>
    <xf numFmtId="173" fontId="72" fillId="29" borderId="219" xfId="0" applyNumberFormat="1" applyFont="1" applyFill="1" applyBorder="1"/>
    <xf numFmtId="37" fontId="72" fillId="29" borderId="219" xfId="0" applyNumberFormat="1" applyFont="1" applyFill="1" applyBorder="1"/>
    <xf numFmtId="176" fontId="72" fillId="29" borderId="219" xfId="0" applyNumberFormat="1" applyFont="1" applyFill="1" applyBorder="1"/>
    <xf numFmtId="37" fontId="72" fillId="29" borderId="166" xfId="0" applyNumberFormat="1" applyFont="1" applyFill="1" applyBorder="1"/>
    <xf numFmtId="37" fontId="72" fillId="29" borderId="220" xfId="0" applyNumberFormat="1" applyFont="1" applyFill="1" applyBorder="1"/>
    <xf numFmtId="0" fontId="9" fillId="22" borderId="162" xfId="0" quotePrefix="1" applyFont="1" applyFill="1" applyBorder="1" applyAlignment="1">
      <alignment horizontal="center"/>
    </xf>
    <xf numFmtId="0" fontId="25" fillId="29" borderId="221" xfId="0" applyFont="1" applyFill="1" applyBorder="1" applyAlignment="1">
      <alignment horizontal="center"/>
    </xf>
    <xf numFmtId="0" fontId="72" fillId="29" borderId="73" xfId="0" applyFont="1" applyFill="1" applyBorder="1" applyAlignment="1">
      <alignment horizontal="center"/>
    </xf>
    <xf numFmtId="173" fontId="72" fillId="29" borderId="222" xfId="0" applyNumberFormat="1" applyFont="1" applyFill="1" applyBorder="1"/>
    <xf numFmtId="37" fontId="72" fillId="29" borderId="222" xfId="0" applyNumberFormat="1" applyFont="1" applyFill="1" applyBorder="1"/>
    <xf numFmtId="176" fontId="72" fillId="29" borderId="222" xfId="0" applyNumberFormat="1" applyFont="1" applyFill="1" applyBorder="1"/>
    <xf numFmtId="37" fontId="72" fillId="29" borderId="223" xfId="0" applyNumberFormat="1" applyFont="1" applyFill="1" applyBorder="1"/>
    <xf numFmtId="37" fontId="72" fillId="29" borderId="113" xfId="0" applyNumberFormat="1" applyFont="1" applyFill="1" applyBorder="1" applyAlignment="1">
      <alignment horizontal="center"/>
    </xf>
    <xf numFmtId="37" fontId="72" fillId="29" borderId="224" xfId="0" applyNumberFormat="1" applyFont="1" applyFill="1" applyBorder="1"/>
    <xf numFmtId="0" fontId="9" fillId="22" borderId="225" xfId="0" quotePrefix="1" applyFont="1" applyFill="1" applyBorder="1" applyAlignment="1">
      <alignment horizontal="center"/>
    </xf>
    <xf numFmtId="0" fontId="25" fillId="31" borderId="98" xfId="0" applyFont="1" applyFill="1" applyBorder="1" applyAlignment="1">
      <alignment horizontal="center"/>
    </xf>
    <xf numFmtId="0" fontId="72" fillId="31" borderId="128" xfId="0" applyFont="1" applyFill="1" applyBorder="1" applyAlignment="1">
      <alignment horizontal="center"/>
    </xf>
    <xf numFmtId="0" fontId="72" fillId="31" borderId="119" xfId="0" applyFont="1" applyFill="1" applyBorder="1" applyAlignment="1">
      <alignment horizontal="center"/>
    </xf>
    <xf numFmtId="37" fontId="72" fillId="31" borderId="225" xfId="0" applyNumberFormat="1" applyFont="1" applyFill="1" applyBorder="1"/>
    <xf numFmtId="37" fontId="72" fillId="31" borderId="226" xfId="0" applyNumberFormat="1" applyFont="1" applyFill="1" applyBorder="1"/>
    <xf numFmtId="0" fontId="72" fillId="31" borderId="91" xfId="0" applyFont="1" applyFill="1" applyBorder="1"/>
    <xf numFmtId="0" fontId="25" fillId="31" borderId="228" xfId="0" applyFont="1" applyFill="1" applyBorder="1" applyAlignment="1">
      <alignment horizontal="center"/>
    </xf>
    <xf numFmtId="0" fontId="72" fillId="31" borderId="204" xfId="0" applyFont="1" applyFill="1" applyBorder="1" applyAlignment="1">
      <alignment horizontal="center"/>
    </xf>
    <xf numFmtId="173" fontId="72" fillId="31" borderId="160" xfId="0" applyNumberFormat="1" applyFont="1" applyFill="1" applyBorder="1"/>
    <xf numFmtId="37" fontId="72" fillId="31" borderId="160" xfId="0" applyNumberFormat="1" applyFont="1" applyFill="1" applyBorder="1"/>
    <xf numFmtId="37" fontId="72" fillId="31" borderId="91" xfId="0" applyNumberFormat="1" applyFont="1" applyFill="1" applyBorder="1"/>
    <xf numFmtId="176" fontId="72" fillId="31" borderId="160" xfId="0" applyNumberFormat="1" applyFont="1" applyFill="1" applyBorder="1"/>
    <xf numFmtId="176" fontId="72" fillId="31" borderId="91" xfId="0" applyNumberFormat="1" applyFont="1" applyFill="1" applyBorder="1"/>
    <xf numFmtId="37" fontId="72" fillId="31" borderId="227" xfId="0" applyNumberFormat="1" applyFont="1" applyFill="1" applyBorder="1"/>
    <xf numFmtId="37" fontId="72" fillId="31" borderId="91" xfId="0" applyNumberFormat="1" applyFont="1" applyFill="1" applyBorder="1" applyAlignment="1">
      <alignment horizontal="center"/>
    </xf>
    <xf numFmtId="37" fontId="72" fillId="31" borderId="229" xfId="0" applyNumberFormat="1" applyFont="1" applyFill="1" applyBorder="1"/>
    <xf numFmtId="0" fontId="25" fillId="31" borderId="231" xfId="0" applyFont="1" applyFill="1" applyBorder="1" applyAlignment="1">
      <alignment horizontal="center"/>
    </xf>
    <xf numFmtId="0" fontId="72" fillId="31" borderId="74" xfId="0" applyFont="1" applyFill="1" applyBorder="1" applyAlignment="1">
      <alignment horizontal="center"/>
    </xf>
    <xf numFmtId="0" fontId="72" fillId="31" borderId="205" xfId="0" applyFont="1" applyFill="1" applyBorder="1" applyAlignment="1">
      <alignment horizontal="center"/>
    </xf>
    <xf numFmtId="173" fontId="72" fillId="31" borderId="232" xfId="0" applyNumberFormat="1" applyFont="1" applyFill="1" applyBorder="1"/>
    <xf numFmtId="37" fontId="72" fillId="31" borderId="232" xfId="0" applyNumberFormat="1" applyFont="1" applyFill="1" applyBorder="1"/>
    <xf numFmtId="176" fontId="72" fillId="31" borderId="232" xfId="0" applyNumberFormat="1" applyFont="1" applyFill="1" applyBorder="1"/>
    <xf numFmtId="37" fontId="72" fillId="31" borderId="230" xfId="0" applyNumberFormat="1" applyFont="1" applyFill="1" applyBorder="1"/>
    <xf numFmtId="37" fontId="72" fillId="31" borderId="233" xfId="0" applyNumberFormat="1" applyFont="1" applyFill="1" applyBorder="1"/>
    <xf numFmtId="0" fontId="72" fillId="31" borderId="108" xfId="0" applyFont="1" applyFill="1" applyBorder="1"/>
    <xf numFmtId="0" fontId="72" fillId="31" borderId="128" xfId="0" applyFont="1" applyFill="1" applyBorder="1"/>
    <xf numFmtId="173" fontId="72" fillId="31" borderId="234" xfId="0" applyNumberFormat="1" applyFont="1" applyFill="1" applyBorder="1"/>
    <xf numFmtId="37" fontId="72" fillId="31" borderId="234" xfId="0" applyNumberFormat="1" applyFont="1" applyFill="1" applyBorder="1"/>
    <xf numFmtId="37" fontId="72" fillId="31" borderId="128" xfId="0" applyNumberFormat="1" applyFont="1" applyFill="1" applyBorder="1"/>
    <xf numFmtId="176" fontId="72" fillId="31" borderId="234" xfId="0" applyNumberFormat="1" applyFont="1" applyFill="1" applyBorder="1"/>
    <xf numFmtId="176" fontId="72" fillId="31" borderId="128" xfId="0" applyNumberFormat="1" applyFont="1" applyFill="1" applyBorder="1"/>
    <xf numFmtId="37" fontId="72" fillId="31" borderId="128" xfId="0" applyNumberFormat="1" applyFont="1" applyFill="1" applyBorder="1" applyAlignment="1">
      <alignment horizontal="center"/>
    </xf>
    <xf numFmtId="0" fontId="72" fillId="31" borderId="159" xfId="0" applyFont="1" applyFill="1" applyBorder="1"/>
    <xf numFmtId="175" fontId="29" fillId="4" borderId="0" xfId="0" applyNumberFormat="1" applyFont="1" applyFill="1" applyAlignment="1">
      <alignment horizontal="center"/>
    </xf>
    <xf numFmtId="38" fontId="0" fillId="2" borderId="223" xfId="0" applyNumberFormat="1" applyBorder="1"/>
    <xf numFmtId="0" fontId="0" fillId="2" borderId="235" xfId="0" applyBorder="1"/>
    <xf numFmtId="0" fontId="114" fillId="22" borderId="109" xfId="0" applyFont="1" applyFill="1" applyBorder="1"/>
    <xf numFmtId="0" fontId="114" fillId="22" borderId="223" xfId="0" applyFont="1" applyFill="1" applyBorder="1" applyAlignment="1">
      <alignment horizontal="center"/>
    </xf>
    <xf numFmtId="0" fontId="15" fillId="22" borderId="223" xfId="0" applyFont="1" applyFill="1" applyBorder="1" applyAlignment="1">
      <alignment horizontal="center"/>
    </xf>
    <xf numFmtId="38" fontId="114" fillId="23" borderId="109" xfId="0" applyNumberFormat="1" applyFont="1" applyFill="1" applyBorder="1"/>
    <xf numFmtId="0" fontId="15" fillId="22" borderId="223" xfId="0" applyFont="1" applyFill="1" applyBorder="1"/>
    <xf numFmtId="8" fontId="15" fillId="22" borderId="109" xfId="0" applyNumberFormat="1" applyFont="1" applyFill="1" applyBorder="1"/>
    <xf numFmtId="6" fontId="15" fillId="30" borderId="189" xfId="0" applyNumberFormat="1" applyFont="1" applyFill="1" applyBorder="1"/>
    <xf numFmtId="6" fontId="15" fillId="22" borderId="147" xfId="0" applyNumberFormat="1" applyFont="1" applyFill="1" applyBorder="1"/>
    <xf numFmtId="175" fontId="9" fillId="12" borderId="127" xfId="0" applyNumberFormat="1" applyFont="1" applyFill="1" applyBorder="1"/>
    <xf numFmtId="175" fontId="7" fillId="2" borderId="0" xfId="0" applyNumberFormat="1" applyFont="1"/>
    <xf numFmtId="37" fontId="0" fillId="22" borderId="9" xfId="0" applyNumberFormat="1" applyFill="1" applyBorder="1"/>
    <xf numFmtId="0" fontId="15" fillId="4" borderId="237" xfId="0" applyFont="1" applyFill="1" applyBorder="1"/>
    <xf numFmtId="0" fontId="0" fillId="2" borderId="240" xfId="0" applyBorder="1"/>
    <xf numFmtId="6" fontId="0" fillId="2" borderId="223" xfId="0" applyNumberFormat="1" applyBorder="1"/>
    <xf numFmtId="0" fontId="15" fillId="2" borderId="223" xfId="0" applyFont="1" applyBorder="1"/>
    <xf numFmtId="6" fontId="15" fillId="2" borderId="223" xfId="0" applyNumberFormat="1" applyFont="1" applyBorder="1"/>
    <xf numFmtId="0" fontId="41" fillId="22" borderId="117" xfId="0" applyFont="1" applyFill="1" applyBorder="1" applyAlignment="1">
      <alignment horizontal="center"/>
    </xf>
    <xf numFmtId="40" fontId="15" fillId="2" borderId="9" xfId="0" applyNumberFormat="1" applyFont="1" applyBorder="1" applyAlignment="1">
      <alignment horizontal="center"/>
    </xf>
    <xf numFmtId="188" fontId="4" fillId="39" borderId="31" xfId="0" applyNumberFormat="1" applyFont="1" applyFill="1" applyBorder="1" applyAlignment="1">
      <alignment horizontal="center"/>
    </xf>
    <xf numFmtId="175" fontId="15" fillId="2" borderId="9" xfId="0" applyNumberFormat="1" applyFont="1" applyBorder="1"/>
    <xf numFmtId="0" fontId="5" fillId="4" borderId="241" xfId="0" applyFont="1" applyFill="1" applyBorder="1"/>
    <xf numFmtId="0" fontId="41" fillId="2" borderId="242" xfId="0" applyFont="1" applyBorder="1"/>
    <xf numFmtId="0" fontId="3" fillId="4" borderId="9" xfId="0" applyFont="1" applyFill="1" applyBorder="1"/>
    <xf numFmtId="0" fontId="0" fillId="2" borderId="0" xfId="0" applyFont="1"/>
    <xf numFmtId="5" fontId="15" fillId="2" borderId="9" xfId="0" applyNumberFormat="1" applyFont="1" applyBorder="1" applyAlignment="1">
      <alignment horizontal="center"/>
    </xf>
    <xf numFmtId="0" fontId="4" fillId="22" borderId="0" xfId="0" applyFont="1" applyFill="1" applyAlignment="1">
      <alignment horizontal="center"/>
    </xf>
    <xf numFmtId="0" fontId="40" fillId="22" borderId="0" xfId="0" applyFont="1" applyFill="1"/>
    <xf numFmtId="38" fontId="0" fillId="2" borderId="9" xfId="0" applyNumberFormat="1" applyBorder="1" applyAlignment="1">
      <alignment horizontal="center"/>
    </xf>
    <xf numFmtId="0" fontId="15" fillId="2" borderId="242" xfId="0" applyFont="1" applyBorder="1"/>
    <xf numFmtId="6" fontId="15" fillId="39" borderId="242" xfId="0" applyNumberFormat="1" applyFont="1" applyFill="1" applyBorder="1"/>
    <xf numFmtId="0" fontId="129" fillId="21" borderId="102" xfId="0" applyFont="1" applyFill="1" applyBorder="1" applyAlignment="1">
      <alignment horizontal="center"/>
    </xf>
    <xf numFmtId="38" fontId="15" fillId="39" borderId="242" xfId="0" applyNumberFormat="1" applyFont="1" applyFill="1" applyBorder="1"/>
    <xf numFmtId="0" fontId="15" fillId="2" borderId="0" xfId="0" applyFont="1" applyBorder="1"/>
    <xf numFmtId="173" fontId="15" fillId="39" borderId="242" xfId="0" applyNumberFormat="1" applyFont="1" applyFill="1" applyBorder="1"/>
    <xf numFmtId="6" fontId="15" fillId="2" borderId="242" xfId="0" applyNumberFormat="1" applyFont="1" applyBorder="1"/>
    <xf numFmtId="0" fontId="15" fillId="2" borderId="239" xfId="0" applyFont="1" applyBorder="1"/>
    <xf numFmtId="0" fontId="15" fillId="2" borderId="242" xfId="2" applyFont="1" applyFill="1" applyBorder="1" applyAlignment="1" applyProtection="1"/>
    <xf numFmtId="0" fontId="15" fillId="23" borderId="242" xfId="0" applyFont="1" applyFill="1" applyBorder="1"/>
    <xf numFmtId="0" fontId="15" fillId="23" borderId="117" xfId="0" applyFont="1" applyFill="1" applyBorder="1"/>
    <xf numFmtId="2" fontId="15" fillId="23" borderId="117" xfId="0" applyNumberFormat="1" applyFont="1" applyFill="1" applyBorder="1"/>
    <xf numFmtId="0" fontId="15" fillId="2" borderId="0" xfId="0" quotePrefix="1" applyFont="1" applyBorder="1" applyAlignment="1">
      <alignment horizontal="center"/>
    </xf>
    <xf numFmtId="0" fontId="15" fillId="23" borderId="0" xfId="0" quotePrefix="1" applyFont="1" applyFill="1" applyBorder="1" applyAlignment="1">
      <alignment horizontal="center"/>
    </xf>
    <xf numFmtId="0" fontId="54" fillId="23" borderId="0" xfId="2" applyFont="1" applyFill="1" applyBorder="1" applyAlignment="1" applyProtection="1">
      <alignment horizontal="left"/>
    </xf>
    <xf numFmtId="0" fontId="41" fillId="2" borderId="81" xfId="0" applyFont="1" applyBorder="1" applyAlignment="1">
      <alignment horizontal="left"/>
    </xf>
    <xf numFmtId="0" fontId="15" fillId="2" borderId="81" xfId="0" applyFont="1" applyBorder="1"/>
    <xf numFmtId="0" fontId="67" fillId="2" borderId="243" xfId="0" applyFont="1" applyBorder="1"/>
    <xf numFmtId="0" fontId="41" fillId="2" borderId="239" xfId="0" applyFont="1" applyBorder="1"/>
    <xf numFmtId="0" fontId="41" fillId="2" borderId="54" xfId="0" applyFont="1" applyBorder="1"/>
    <xf numFmtId="0" fontId="5" fillId="2" borderId="242" xfId="0" applyFont="1" applyBorder="1"/>
    <xf numFmtId="0" fontId="4" fillId="2" borderId="120" xfId="0" applyFont="1" applyBorder="1"/>
    <xf numFmtId="0" fontId="41" fillId="2" borderId="238" xfId="0" applyFont="1" applyBorder="1"/>
    <xf numFmtId="6" fontId="15" fillId="2" borderId="246" xfId="0" applyNumberFormat="1" applyFont="1" applyBorder="1"/>
    <xf numFmtId="0" fontId="4" fillId="2" borderId="247" xfId="0" applyFont="1" applyBorder="1"/>
    <xf numFmtId="0" fontId="4" fillId="2" borderId="248" xfId="0" applyFont="1" applyBorder="1"/>
    <xf numFmtId="0" fontId="4" fillId="2" borderId="57" xfId="0" applyFont="1" applyBorder="1"/>
    <xf numFmtId="0" fontId="4" fillId="2" borderId="249" xfId="0" applyFont="1" applyBorder="1"/>
    <xf numFmtId="6" fontId="15" fillId="2" borderId="250" xfId="0" applyNumberFormat="1" applyFont="1" applyBorder="1"/>
    <xf numFmtId="0" fontId="41" fillId="2" borderId="241" xfId="0" applyFont="1" applyBorder="1" applyAlignment="1">
      <alignment horizontal="left"/>
    </xf>
    <xf numFmtId="0" fontId="41" fillId="43" borderId="245" xfId="0" applyFont="1" applyFill="1" applyBorder="1" applyAlignment="1">
      <alignment horizontal="left"/>
    </xf>
    <xf numFmtId="0" fontId="41" fillId="43" borderId="48" xfId="0" applyFont="1" applyFill="1" applyBorder="1"/>
    <xf numFmtId="0" fontId="15" fillId="43" borderId="48" xfId="0" applyFont="1" applyFill="1" applyBorder="1"/>
    <xf numFmtId="0" fontId="15" fillId="43" borderId="244" xfId="0" applyFont="1" applyFill="1" applyBorder="1"/>
    <xf numFmtId="0" fontId="15" fillId="4" borderId="235" xfId="0" applyFont="1" applyFill="1" applyBorder="1"/>
    <xf numFmtId="0" fontId="15" fillId="4" borderId="241" xfId="0" applyFont="1" applyFill="1" applyBorder="1"/>
    <xf numFmtId="38" fontId="129" fillId="39" borderId="239" xfId="0" applyNumberFormat="1" applyFont="1" applyFill="1" applyBorder="1"/>
    <xf numFmtId="190" fontId="15" fillId="2" borderId="242" xfId="0" applyNumberFormat="1" applyFont="1" applyBorder="1"/>
    <xf numFmtId="190" fontId="15" fillId="2" borderId="109" xfId="0" applyNumberFormat="1" applyFont="1" applyBorder="1"/>
    <xf numFmtId="174" fontId="15" fillId="2" borderId="239" xfId="0" applyNumberFormat="1" applyFont="1" applyBorder="1"/>
    <xf numFmtId="6" fontId="15" fillId="2" borderId="54" xfId="0" applyNumberFormat="1" applyFont="1" applyBorder="1"/>
    <xf numFmtId="6" fontId="41" fillId="2" borderId="52" xfId="0" quotePrefix="1" applyNumberFormat="1" applyFont="1" applyBorder="1" applyAlignment="1">
      <alignment horizontal="right"/>
    </xf>
    <xf numFmtId="0" fontId="131" fillId="39" borderId="113" xfId="0" applyFont="1" applyFill="1" applyBorder="1" applyAlignment="1">
      <alignment horizontal="center"/>
    </xf>
    <xf numFmtId="38" fontId="131" fillId="39" borderId="239" xfId="0" applyNumberFormat="1" applyFont="1" applyFill="1" applyBorder="1"/>
    <xf numFmtId="175" fontId="29" fillId="4" borderId="0" xfId="0" applyNumberFormat="1" applyFont="1" applyFill="1"/>
    <xf numFmtId="0" fontId="15" fillId="2" borderId="249" xfId="2" applyFont="1" applyFill="1" applyBorder="1" applyAlignment="1" applyProtection="1"/>
    <xf numFmtId="0" fontId="15" fillId="2" borderId="249" xfId="0" applyFont="1" applyBorder="1"/>
    <xf numFmtId="174" fontId="15" fillId="2" borderId="249" xfId="0" applyNumberFormat="1" applyFont="1" applyBorder="1"/>
    <xf numFmtId="0" fontId="15" fillId="2" borderId="236" xfId="0" applyFont="1" applyBorder="1"/>
    <xf numFmtId="6" fontId="15" fillId="23" borderId="9" xfId="0" applyNumberFormat="1" applyFont="1" applyFill="1" applyBorder="1"/>
    <xf numFmtId="6" fontId="15" fillId="2" borderId="249" xfId="0" applyNumberFormat="1" applyFont="1" applyBorder="1"/>
    <xf numFmtId="6" fontId="41" fillId="2" borderId="57" xfId="0" applyNumberFormat="1" applyFont="1" applyBorder="1"/>
    <xf numFmtId="6" fontId="15" fillId="2" borderId="248" xfId="0" applyNumberFormat="1" applyFont="1" applyBorder="1"/>
    <xf numFmtId="6" fontId="15" fillId="2" borderId="239" xfId="0" applyNumberFormat="1" applyFont="1" applyBorder="1"/>
    <xf numFmtId="6" fontId="15" fillId="2" borderId="251" xfId="0" applyNumberFormat="1" applyFont="1" applyBorder="1"/>
    <xf numFmtId="6" fontId="15" fillId="23" borderId="249" xfId="0" applyNumberFormat="1" applyFont="1" applyFill="1" applyBorder="1"/>
    <xf numFmtId="0" fontId="15" fillId="23" borderId="235" xfId="0" applyFont="1" applyFill="1" applyBorder="1"/>
    <xf numFmtId="0" fontId="106" fillId="2" borderId="252" xfId="0" applyFont="1" applyBorder="1"/>
    <xf numFmtId="0" fontId="106" fillId="2" borderId="113" xfId="0" applyFont="1" applyBorder="1"/>
    <xf numFmtId="0" fontId="106" fillId="2" borderId="239" xfId="0" applyFont="1" applyBorder="1"/>
    <xf numFmtId="40" fontId="15" fillId="2" borderId="249" xfId="0" applyNumberFormat="1" applyFont="1" applyBorder="1"/>
    <xf numFmtId="173" fontId="15" fillId="2" borderId="249" xfId="0" applyNumberFormat="1" applyFont="1" applyBorder="1"/>
    <xf numFmtId="40" fontId="15" fillId="2" borderId="249" xfId="0" applyNumberFormat="1" applyFont="1" applyBorder="1" applyAlignment="1">
      <alignment horizontal="right"/>
    </xf>
    <xf numFmtId="174" fontId="15" fillId="2" borderId="249" xfId="0" applyNumberFormat="1" applyFont="1" applyBorder="1" applyAlignment="1">
      <alignment horizontal="right"/>
    </xf>
    <xf numFmtId="0" fontId="104" fillId="2" borderId="9" xfId="0" applyFont="1" applyBorder="1"/>
    <xf numFmtId="0" fontId="104" fillId="2" borderId="0" xfId="0" applyFont="1"/>
    <xf numFmtId="0" fontId="41" fillId="21" borderId="249" xfId="0" applyFont="1" applyFill="1" applyBorder="1" applyAlignment="1">
      <alignment horizontal="center"/>
    </xf>
    <xf numFmtId="0" fontId="0" fillId="2" borderId="253" xfId="0" applyBorder="1"/>
    <xf numFmtId="0" fontId="15" fillId="2" borderId="241" xfId="0" applyFont="1" applyBorder="1" applyAlignment="1">
      <alignment horizontal="left"/>
    </xf>
    <xf numFmtId="6" fontId="15" fillId="2" borderId="254" xfId="0" applyNumberFormat="1" applyFont="1" applyBorder="1"/>
    <xf numFmtId="0" fontId="15" fillId="2" borderId="255" xfId="0" applyFont="1" applyBorder="1" applyAlignment="1">
      <alignment horizontal="left"/>
    </xf>
    <xf numFmtId="0" fontId="41" fillId="2" borderId="255" xfId="0" applyFont="1" applyBorder="1" applyAlignment="1">
      <alignment horizontal="left"/>
    </xf>
    <xf numFmtId="6" fontId="15" fillId="2" borderId="256" xfId="0" applyNumberFormat="1" applyFont="1" applyBorder="1"/>
    <xf numFmtId="0" fontId="5" fillId="2" borderId="256" xfId="0" applyFont="1" applyBorder="1"/>
    <xf numFmtId="0" fontId="5" fillId="4" borderId="255" xfId="0" applyFont="1" applyFill="1" applyBorder="1"/>
    <xf numFmtId="0" fontId="3" fillId="4" borderId="57" xfId="0" applyFont="1" applyFill="1" applyBorder="1"/>
    <xf numFmtId="0" fontId="36" fillId="44" borderId="10" xfId="0" applyFont="1" applyFill="1" applyBorder="1"/>
    <xf numFmtId="0" fontId="0" fillId="44" borderId="11" xfId="0" applyFill="1" applyBorder="1"/>
    <xf numFmtId="0" fontId="15" fillId="22" borderId="9" xfId="0" quotePrefix="1" applyFont="1" applyFill="1" applyBorder="1" applyAlignment="1">
      <alignment horizontal="center"/>
    </xf>
    <xf numFmtId="0" fontId="135" fillId="22" borderId="0" xfId="0" applyFont="1" applyFill="1" applyAlignment="1">
      <alignment horizontal="center"/>
    </xf>
    <xf numFmtId="0" fontId="136" fillId="2" borderId="0" xfId="0" applyFont="1" applyAlignment="1">
      <alignment horizontal="right"/>
    </xf>
    <xf numFmtId="175" fontId="96" fillId="23" borderId="117" xfId="0" applyNumberFormat="1" applyFont="1" applyFill="1" applyBorder="1" applyAlignment="1">
      <alignment horizontal="center"/>
    </xf>
    <xf numFmtId="0" fontId="15" fillId="2" borderId="256" xfId="0" applyFont="1" applyBorder="1"/>
    <xf numFmtId="0" fontId="36" fillId="45" borderId="257" xfId="0" applyFont="1" applyFill="1" applyBorder="1" applyAlignment="1">
      <alignment horizontal="center"/>
    </xf>
    <xf numFmtId="37" fontId="128" fillId="39" borderId="256" xfId="0" applyNumberFormat="1" applyFont="1" applyFill="1" applyBorder="1" applyAlignment="1">
      <alignment horizontal="right"/>
    </xf>
    <xf numFmtId="0" fontId="15" fillId="2" borderId="256" xfId="2" applyFont="1" applyFill="1" applyBorder="1" applyAlignment="1" applyProtection="1"/>
    <xf numFmtId="37" fontId="128" fillId="22" borderId="256" xfId="0" applyNumberFormat="1" applyFont="1" applyFill="1" applyBorder="1" applyAlignment="1">
      <alignment horizontal="right"/>
    </xf>
    <xf numFmtId="0" fontId="36" fillId="45" borderId="10" xfId="0" applyFont="1" applyFill="1" applyBorder="1"/>
    <xf numFmtId="0" fontId="42" fillId="45" borderId="11" xfId="0" applyFont="1" applyFill="1" applyBorder="1"/>
    <xf numFmtId="0" fontId="42" fillId="45" borderId="12" xfId="0" applyFont="1" applyFill="1" applyBorder="1"/>
    <xf numFmtId="0" fontId="42" fillId="45" borderId="21" xfId="0" applyFont="1" applyFill="1" applyBorder="1"/>
    <xf numFmtId="0" fontId="36" fillId="45" borderId="22" xfId="0" applyFont="1" applyFill="1" applyBorder="1" applyAlignment="1">
      <alignment horizontal="center"/>
    </xf>
    <xf numFmtId="0" fontId="41" fillId="44" borderId="15" xfId="0" applyFont="1" applyFill="1" applyBorder="1"/>
    <xf numFmtId="0" fontId="15" fillId="44" borderId="13" xfId="0" applyFont="1" applyFill="1" applyBorder="1"/>
    <xf numFmtId="0" fontId="15" fillId="44" borderId="22" xfId="0" applyFont="1" applyFill="1" applyBorder="1"/>
    <xf numFmtId="0" fontId="41" fillId="44" borderId="10" xfId="0" applyFont="1" applyFill="1" applyBorder="1"/>
    <xf numFmtId="0" fontId="15" fillId="44" borderId="11" xfId="0" applyFont="1" applyFill="1" applyBorder="1"/>
    <xf numFmtId="0" fontId="15" fillId="44" borderId="12" xfId="0" applyFont="1" applyFill="1" applyBorder="1"/>
    <xf numFmtId="0" fontId="15" fillId="44" borderId="9" xfId="0" applyFont="1" applyFill="1" applyBorder="1"/>
    <xf numFmtId="0" fontId="59" fillId="4" borderId="257" xfId="0" applyFont="1" applyFill="1" applyBorder="1" applyAlignment="1">
      <alignment horizontal="center"/>
    </xf>
    <xf numFmtId="188" fontId="59" fillId="4" borderId="239" xfId="0" applyNumberFormat="1" applyFont="1" applyFill="1" applyBorder="1" applyAlignment="1">
      <alignment horizontal="center"/>
    </xf>
    <xf numFmtId="0" fontId="36" fillId="45" borderId="9" xfId="0" applyFont="1" applyFill="1" applyBorder="1"/>
    <xf numFmtId="0" fontId="0" fillId="45" borderId="9" xfId="0" applyFill="1" applyBorder="1"/>
    <xf numFmtId="0" fontId="36" fillId="45" borderId="9" xfId="0" applyFont="1" applyFill="1" applyBorder="1" applyAlignment="1">
      <alignment horizontal="center"/>
    </xf>
    <xf numFmtId="0" fontId="15" fillId="44" borderId="0" xfId="0" applyFont="1" applyFill="1"/>
    <xf numFmtId="0" fontId="42" fillId="44" borderId="11" xfId="0" applyFont="1" applyFill="1" applyBorder="1"/>
    <xf numFmtId="0" fontId="59" fillId="23" borderId="257" xfId="0" applyFont="1" applyFill="1" applyBorder="1" applyAlignment="1">
      <alignment horizontal="center"/>
    </xf>
    <xf numFmtId="0" fontId="4" fillId="45" borderId="40" xfId="0" applyFont="1" applyFill="1" applyBorder="1"/>
    <xf numFmtId="0" fontId="4" fillId="45" borderId="20" xfId="0" applyFont="1" applyFill="1" applyBorder="1"/>
    <xf numFmtId="0" fontId="36" fillId="45" borderId="40" xfId="0" applyFont="1" applyFill="1" applyBorder="1" applyAlignment="1">
      <alignment horizontal="center"/>
    </xf>
    <xf numFmtId="0" fontId="4" fillId="45" borderId="21" xfId="0" applyFont="1" applyFill="1" applyBorder="1"/>
    <xf numFmtId="0" fontId="36" fillId="45" borderId="31" xfId="0" applyFont="1" applyFill="1" applyBorder="1" applyAlignment="1">
      <alignment horizontal="center"/>
    </xf>
    <xf numFmtId="0" fontId="36" fillId="45" borderId="13" xfId="0" applyFont="1" applyFill="1" applyBorder="1" applyAlignment="1">
      <alignment horizontal="center"/>
    </xf>
    <xf numFmtId="0" fontId="42" fillId="45" borderId="28" xfId="0" applyFont="1" applyFill="1" applyBorder="1"/>
    <xf numFmtId="0" fontId="42" fillId="45" borderId="21" xfId="0" applyFont="1" applyFill="1" applyBorder="1" applyAlignment="1">
      <alignment horizontal="center"/>
    </xf>
    <xf numFmtId="179" fontId="42" fillId="45" borderId="40" xfId="0" applyNumberFormat="1" applyFont="1" applyFill="1" applyBorder="1" applyAlignment="1">
      <alignment horizontal="center"/>
    </xf>
    <xf numFmtId="0" fontId="42" fillId="45" borderId="15" xfId="0" applyFont="1" applyFill="1" applyBorder="1"/>
    <xf numFmtId="179" fontId="36" fillId="45" borderId="31" xfId="0" applyNumberFormat="1" applyFont="1" applyFill="1" applyBorder="1" applyAlignment="1">
      <alignment horizontal="center"/>
    </xf>
    <xf numFmtId="188" fontId="59" fillId="23" borderId="239" xfId="0" applyNumberFormat="1" applyFont="1" applyFill="1" applyBorder="1" applyAlignment="1">
      <alignment horizontal="center"/>
    </xf>
    <xf numFmtId="0" fontId="36" fillId="45" borderId="21" xfId="0" applyFont="1" applyFill="1" applyBorder="1" applyAlignment="1">
      <alignment horizontal="center"/>
    </xf>
    <xf numFmtId="186" fontId="59" fillId="4" borderId="239" xfId="0" applyNumberFormat="1" applyFont="1" applyFill="1" applyBorder="1" applyAlignment="1">
      <alignment horizontal="center"/>
    </xf>
    <xf numFmtId="0" fontId="36" fillId="45" borderId="28" xfId="0" applyFont="1" applyFill="1" applyBorder="1"/>
    <xf numFmtId="0" fontId="0" fillId="45" borderId="21" xfId="0" applyFill="1" applyBorder="1"/>
    <xf numFmtId="0" fontId="0" fillId="45" borderId="40" xfId="0" applyFill="1" applyBorder="1"/>
    <xf numFmtId="0" fontId="36" fillId="45" borderId="15" xfId="0" applyFont="1" applyFill="1" applyBorder="1" applyAlignment="1">
      <alignment horizontal="left"/>
    </xf>
    <xf numFmtId="0" fontId="0" fillId="45" borderId="22" xfId="0" applyFill="1" applyBorder="1"/>
    <xf numFmtId="0" fontId="0" fillId="45" borderId="31" xfId="0" applyFill="1" applyBorder="1"/>
    <xf numFmtId="0" fontId="0" fillId="44" borderId="12" xfId="0" applyFill="1" applyBorder="1"/>
    <xf numFmtId="38" fontId="41" fillId="44" borderId="9" xfId="0" applyNumberFormat="1" applyFont="1" applyFill="1" applyBorder="1"/>
    <xf numFmtId="0" fontId="106" fillId="4" borderId="257" xfId="0" applyFont="1" applyFill="1" applyBorder="1" applyAlignment="1">
      <alignment horizontal="center"/>
    </xf>
    <xf numFmtId="188" fontId="106" fillId="2" borderId="239" xfId="0" applyNumberFormat="1" applyFont="1" applyBorder="1" applyAlignment="1">
      <alignment horizontal="center"/>
    </xf>
    <xf numFmtId="0" fontId="106" fillId="23" borderId="100" xfId="0" applyFont="1" applyFill="1" applyBorder="1" applyAlignment="1">
      <alignment horizontal="center"/>
    </xf>
    <xf numFmtId="188" fontId="106" fillId="23" borderId="31" xfId="0" applyNumberFormat="1" applyFont="1" applyFill="1" applyBorder="1" applyAlignment="1">
      <alignment horizontal="center"/>
    </xf>
    <xf numFmtId="0" fontId="0" fillId="45" borderId="28" xfId="0" applyFill="1" applyBorder="1"/>
    <xf numFmtId="0" fontId="36" fillId="45" borderId="15" xfId="0" applyFont="1" applyFill="1" applyBorder="1"/>
    <xf numFmtId="6" fontId="15" fillId="2" borderId="256" xfId="0" applyNumberFormat="1" applyFont="1" applyBorder="1" applyAlignment="1">
      <alignment horizontal="center"/>
    </xf>
    <xf numFmtId="0" fontId="42" fillId="45" borderId="20" xfId="0" applyFont="1" applyFill="1" applyBorder="1"/>
    <xf numFmtId="0" fontId="42" fillId="45" borderId="40" xfId="0" applyFont="1" applyFill="1" applyBorder="1"/>
    <xf numFmtId="0" fontId="42" fillId="45" borderId="22" xfId="0" applyFont="1" applyFill="1" applyBorder="1"/>
    <xf numFmtId="0" fontId="42" fillId="45" borderId="31" xfId="0" applyFont="1" applyFill="1" applyBorder="1"/>
    <xf numFmtId="6" fontId="41" fillId="2" borderId="256" xfId="0" applyNumberFormat="1" applyFont="1" applyBorder="1"/>
    <xf numFmtId="0" fontId="4" fillId="4" borderId="0" xfId="0" quotePrefix="1" applyFont="1" applyFill="1"/>
    <xf numFmtId="6" fontId="41" fillId="4" borderId="256" xfId="0" applyNumberFormat="1" applyFont="1" applyFill="1" applyBorder="1" applyProtection="1">
      <protection locked="0"/>
    </xf>
    <xf numFmtId="6" fontId="41" fillId="4" borderId="9" xfId="0" applyNumberFormat="1" applyFont="1" applyFill="1" applyBorder="1" applyProtection="1">
      <protection locked="0"/>
    </xf>
    <xf numFmtId="38" fontId="100" fillId="25" borderId="31" xfId="0" applyNumberFormat="1" applyFont="1" applyFill="1" applyBorder="1" applyProtection="1">
      <protection locked="0"/>
    </xf>
    <xf numFmtId="0" fontId="137" fillId="2" borderId="0" xfId="0" applyFont="1"/>
    <xf numFmtId="174" fontId="4" fillId="12" borderId="10" xfId="0" applyNumberFormat="1" applyFont="1" applyFill="1" applyBorder="1"/>
    <xf numFmtId="174" fontId="4" fillId="12" borderId="12" xfId="0" applyNumberFormat="1" applyFont="1" applyFill="1" applyBorder="1"/>
    <xf numFmtId="173" fontId="106" fillId="22" borderId="117" xfId="0" applyNumberFormat="1" applyFont="1" applyFill="1" applyBorder="1"/>
    <xf numFmtId="173" fontId="98" fillId="2" borderId="0" xfId="0" applyNumberFormat="1" applyFont="1"/>
    <xf numFmtId="173" fontId="98" fillId="2" borderId="256" xfId="0" applyNumberFormat="1" applyFont="1" applyBorder="1"/>
    <xf numFmtId="173" fontId="4" fillId="23" borderId="97" xfId="0" applyNumberFormat="1" applyFont="1" applyFill="1" applyBorder="1" applyAlignment="1">
      <alignment horizontal="right"/>
    </xf>
    <xf numFmtId="173" fontId="4" fillId="23" borderId="98" xfId="0" applyNumberFormat="1" applyFont="1" applyFill="1" applyBorder="1" applyAlignment="1">
      <alignment horizontal="center"/>
    </xf>
    <xf numFmtId="173" fontId="4" fillId="23" borderId="106" xfId="0" applyNumberFormat="1" applyFont="1" applyFill="1" applyBorder="1" applyAlignment="1">
      <alignment horizontal="right"/>
    </xf>
    <xf numFmtId="173" fontId="4" fillId="23" borderId="128" xfId="0" applyNumberFormat="1" applyFont="1" applyFill="1" applyBorder="1" applyAlignment="1">
      <alignment horizontal="center"/>
    </xf>
    <xf numFmtId="173" fontId="4" fillId="23" borderId="148" xfId="0" applyNumberFormat="1" applyFont="1" applyFill="1" applyBorder="1" applyAlignment="1">
      <alignment horizontal="right"/>
    </xf>
    <xf numFmtId="173" fontId="4" fillId="22" borderId="123" xfId="0" applyNumberFormat="1" applyFont="1" applyFill="1" applyBorder="1" applyAlignment="1">
      <alignment horizontal="right"/>
    </xf>
    <xf numFmtId="173" fontId="4" fillId="22" borderId="127" xfId="0" applyNumberFormat="1" applyFont="1" applyFill="1" applyBorder="1" applyAlignment="1">
      <alignment horizontal="center"/>
    </xf>
    <xf numFmtId="173" fontId="110" fillId="4" borderId="0" xfId="0" applyNumberFormat="1" applyFont="1" applyFill="1"/>
    <xf numFmtId="173" fontId="110" fillId="2" borderId="0" xfId="0" applyNumberFormat="1" applyFont="1"/>
    <xf numFmtId="173" fontId="106" fillId="23" borderId="117" xfId="0" applyNumberFormat="1" applyFont="1" applyFill="1" applyBorder="1" applyAlignment="1">
      <alignment horizontal="right"/>
    </xf>
    <xf numFmtId="176" fontId="96" fillId="23" borderId="117" xfId="0" applyNumberFormat="1" applyFont="1" applyFill="1" applyBorder="1" applyAlignment="1">
      <alignment horizontal="center"/>
    </xf>
    <xf numFmtId="176" fontId="96" fillId="23" borderId="117" xfId="0" applyNumberFormat="1" applyFont="1" applyFill="1" applyBorder="1"/>
    <xf numFmtId="176" fontId="96" fillId="22" borderId="117" xfId="0" applyNumberFormat="1" applyFont="1" applyFill="1" applyBorder="1"/>
    <xf numFmtId="176" fontId="0" fillId="2" borderId="0" xfId="0" applyNumberFormat="1"/>
    <xf numFmtId="176" fontId="98" fillId="2" borderId="256" xfId="0" applyNumberFormat="1" applyFont="1" applyBorder="1"/>
    <xf numFmtId="173" fontId="123" fillId="6" borderId="147" xfId="0" applyNumberFormat="1" applyFont="1" applyFill="1" applyBorder="1" applyProtection="1">
      <protection locked="0"/>
    </xf>
    <xf numFmtId="173" fontId="100" fillId="23" borderId="147" xfId="0" applyNumberFormat="1" applyFont="1" applyFill="1" applyBorder="1" applyProtection="1">
      <protection locked="0"/>
    </xf>
    <xf numFmtId="173" fontId="100" fillId="6" borderId="147" xfId="0" applyNumberFormat="1" applyFont="1" applyFill="1" applyBorder="1" applyProtection="1">
      <protection locked="0"/>
    </xf>
    <xf numFmtId="173" fontId="34" fillId="23" borderId="0" xfId="0" applyNumberFormat="1" applyFont="1" applyFill="1" applyBorder="1"/>
    <xf numFmtId="173" fontId="34" fillId="2" borderId="0" xfId="0" applyNumberFormat="1" applyFont="1"/>
    <xf numFmtId="173" fontId="41" fillId="2" borderId="0" xfId="0" applyNumberFormat="1" applyFont="1"/>
    <xf numFmtId="173" fontId="34" fillId="4" borderId="0" xfId="0" applyNumberFormat="1" applyFont="1" applyFill="1"/>
    <xf numFmtId="173" fontId="4" fillId="29" borderId="255" xfId="0" applyNumberFormat="1" applyFont="1" applyFill="1" applyBorder="1" applyAlignment="1">
      <alignment horizontal="center"/>
    </xf>
    <xf numFmtId="173" fontId="4" fillId="29" borderId="258" xfId="0" applyNumberFormat="1" applyFont="1" applyFill="1" applyBorder="1" applyAlignment="1">
      <alignment horizontal="right"/>
    </xf>
    <xf numFmtId="173" fontId="4" fillId="23" borderId="0" xfId="0" applyNumberFormat="1" applyFont="1" applyFill="1" applyBorder="1" applyAlignment="1">
      <alignment horizontal="center"/>
    </xf>
    <xf numFmtId="0" fontId="4" fillId="29" borderId="236" xfId="0" applyFont="1" applyFill="1" applyBorder="1"/>
    <xf numFmtId="0" fontId="4" fillId="29" borderId="255" xfId="0" applyFont="1" applyFill="1" applyBorder="1"/>
    <xf numFmtId="0" fontId="4" fillId="29" borderId="258" xfId="0" quotePrefix="1" applyFont="1" applyFill="1" applyBorder="1"/>
    <xf numFmtId="0" fontId="0" fillId="2" borderId="0" xfId="0" applyBorder="1" applyAlignment="1">
      <alignment horizontal="center"/>
    </xf>
    <xf numFmtId="0" fontId="4" fillId="46" borderId="99" xfId="0" applyFont="1" applyFill="1" applyBorder="1"/>
    <xf numFmtId="0" fontId="0" fillId="46" borderId="99" xfId="0" applyFill="1" applyBorder="1"/>
    <xf numFmtId="0" fontId="0" fillId="46" borderId="260" xfId="0" applyFill="1" applyBorder="1" applyAlignment="1">
      <alignment horizontal="right"/>
    </xf>
    <xf numFmtId="0" fontId="0" fillId="46" borderId="98" xfId="0" applyFill="1" applyBorder="1" applyAlignment="1">
      <alignment horizontal="center"/>
    </xf>
    <xf numFmtId="0" fontId="0" fillId="46" borderId="0" xfId="0" applyFill="1" applyBorder="1"/>
    <xf numFmtId="0" fontId="0" fillId="46" borderId="106" xfId="0" applyFill="1" applyBorder="1" applyAlignment="1">
      <alignment horizontal="right"/>
    </xf>
    <xf numFmtId="182" fontId="4" fillId="46" borderId="128" xfId="0" applyNumberFormat="1" applyFont="1" applyFill="1" applyBorder="1" applyAlignment="1">
      <alignment horizontal="center"/>
    </xf>
    <xf numFmtId="0" fontId="0" fillId="46" borderId="259" xfId="0" applyFill="1" applyBorder="1"/>
    <xf numFmtId="182" fontId="4" fillId="46" borderId="255" xfId="0" applyNumberFormat="1" applyFont="1" applyFill="1" applyBorder="1" applyAlignment="1">
      <alignment horizontal="center"/>
    </xf>
    <xf numFmtId="0" fontId="0" fillId="46" borderId="240" xfId="0" applyFill="1" applyBorder="1" applyAlignment="1">
      <alignment horizontal="right"/>
    </xf>
    <xf numFmtId="0" fontId="0" fillId="2" borderId="44" xfId="0" applyBorder="1"/>
    <xf numFmtId="0" fontId="0" fillId="2" borderId="42" xfId="0" applyBorder="1"/>
    <xf numFmtId="0" fontId="4" fillId="46" borderId="262" xfId="0" applyFont="1" applyFill="1" applyBorder="1"/>
    <xf numFmtId="0" fontId="4" fillId="46" borderId="42" xfId="0" quotePrefix="1" applyFont="1" applyFill="1" applyBorder="1"/>
    <xf numFmtId="182" fontId="4" fillId="46" borderId="263" xfId="0" applyNumberFormat="1" applyFont="1" applyFill="1" applyBorder="1" applyAlignment="1">
      <alignment horizontal="center"/>
    </xf>
    <xf numFmtId="0" fontId="4" fillId="46" borderId="264" xfId="0" quotePrefix="1" applyFont="1" applyFill="1" applyBorder="1"/>
    <xf numFmtId="182" fontId="4" fillId="46" borderId="261" xfId="0" applyNumberFormat="1" applyFont="1" applyFill="1" applyBorder="1" applyAlignment="1">
      <alignment horizontal="center"/>
    </xf>
    <xf numFmtId="0" fontId="0" fillId="2" borderId="265" xfId="0" applyBorder="1"/>
    <xf numFmtId="0" fontId="0" fillId="2" borderId="266" xfId="0" applyBorder="1"/>
    <xf numFmtId="0" fontId="0" fillId="2" borderId="266" xfId="0" applyBorder="1" applyAlignment="1">
      <alignment horizontal="center"/>
    </xf>
    <xf numFmtId="0" fontId="0" fillId="2" borderId="266" xfId="0" applyBorder="1" applyAlignment="1">
      <alignment horizontal="right"/>
    </xf>
    <xf numFmtId="173" fontId="106" fillId="42" borderId="117" xfId="0" applyNumberFormat="1" applyFont="1" applyFill="1" applyBorder="1"/>
    <xf numFmtId="185" fontId="78" fillId="4" borderId="0" xfId="0" applyNumberFormat="1" applyFont="1" applyFill="1"/>
    <xf numFmtId="185" fontId="100" fillId="0" borderId="31" xfId="0" applyNumberFormat="1" applyFont="1" applyFill="1" applyBorder="1"/>
    <xf numFmtId="185" fontId="100" fillId="23" borderId="147" xfId="0" applyNumberFormat="1" applyFont="1" applyFill="1" applyBorder="1"/>
    <xf numFmtId="0" fontId="33" fillId="2" borderId="0" xfId="0" applyFont="1" applyAlignment="1">
      <alignment horizontal="right"/>
    </xf>
    <xf numFmtId="0" fontId="137" fillId="2" borderId="0" xfId="0" applyFont="1" applyAlignment="1">
      <alignment horizontal="right"/>
    </xf>
    <xf numFmtId="173" fontId="137" fillId="2" borderId="0" xfId="0" applyNumberFormat="1" applyFont="1" applyAlignment="1">
      <alignment horizontal="center"/>
    </xf>
    <xf numFmtId="173" fontId="29" fillId="4" borderId="0" xfId="0" applyNumberFormat="1" applyFont="1" applyFill="1" applyAlignment="1">
      <alignment horizontal="center"/>
    </xf>
    <xf numFmtId="0" fontId="106" fillId="2" borderId="0" xfId="0" applyFont="1" applyAlignment="1">
      <alignment horizontal="center"/>
    </xf>
    <xf numFmtId="191" fontId="41" fillId="39" borderId="121" xfId="0" applyNumberFormat="1" applyFont="1" applyFill="1" applyBorder="1" applyAlignment="1">
      <alignment horizontal="center"/>
    </xf>
    <xf numFmtId="0" fontId="4" fillId="23" borderId="0" xfId="0" applyFont="1" applyFill="1" applyBorder="1" applyAlignment="1">
      <alignment horizontal="left"/>
    </xf>
    <xf numFmtId="0" fontId="0" fillId="2" borderId="0" xfId="0" applyBorder="1" applyAlignment="1">
      <alignment horizontal="right"/>
    </xf>
    <xf numFmtId="0" fontId="0" fillId="2" borderId="43" xfId="0" applyBorder="1"/>
    <xf numFmtId="0" fontId="0" fillId="2" borderId="43" xfId="0" applyBorder="1" applyAlignment="1">
      <alignment horizontal="center"/>
    </xf>
    <xf numFmtId="0" fontId="4" fillId="2" borderId="43" xfId="0" applyFont="1" applyBorder="1" applyAlignment="1">
      <alignment horizontal="center"/>
    </xf>
    <xf numFmtId="0" fontId="4" fillId="2" borderId="43" xfId="0" applyFont="1" applyBorder="1" applyAlignment="1">
      <alignment horizontal="left"/>
    </xf>
    <xf numFmtId="0" fontId="4" fillId="2" borderId="266" xfId="0" applyFont="1" applyBorder="1" applyAlignment="1">
      <alignment horizontal="left"/>
    </xf>
    <xf numFmtId="0" fontId="138" fillId="21" borderId="40" xfId="0" applyFont="1" applyFill="1" applyBorder="1" applyAlignment="1">
      <alignment horizontal="center"/>
    </xf>
    <xf numFmtId="0" fontId="138" fillId="21" borderId="31" xfId="0" applyFont="1" applyFill="1" applyBorder="1" applyAlignment="1">
      <alignment horizontal="center"/>
    </xf>
    <xf numFmtId="0" fontId="106" fillId="2" borderId="0" xfId="0" quotePrefix="1" applyFont="1"/>
    <xf numFmtId="0" fontId="0" fillId="21" borderId="0" xfId="0" applyFill="1" applyBorder="1" applyAlignment="1">
      <alignment horizontal="center"/>
    </xf>
    <xf numFmtId="0" fontId="0" fillId="21" borderId="0" xfId="0" applyFill="1" applyBorder="1" applyAlignment="1">
      <alignment horizontal="right"/>
    </xf>
    <xf numFmtId="0" fontId="106" fillId="21" borderId="260" xfId="0" applyFont="1" applyFill="1" applyBorder="1" applyAlignment="1">
      <alignment horizontal="left"/>
    </xf>
    <xf numFmtId="0" fontId="0" fillId="21" borderId="99" xfId="0" applyFill="1" applyBorder="1" applyAlignment="1">
      <alignment horizontal="center"/>
    </xf>
    <xf numFmtId="0" fontId="0" fillId="21" borderId="99" xfId="0" applyFill="1" applyBorder="1" applyAlignment="1">
      <alignment horizontal="right"/>
    </xf>
    <xf numFmtId="0" fontId="0" fillId="21" borderId="98" xfId="0" applyFill="1" applyBorder="1" applyAlignment="1">
      <alignment horizontal="center"/>
    </xf>
    <xf numFmtId="0" fontId="106" fillId="21" borderId="106" xfId="0" applyFont="1" applyFill="1" applyBorder="1" applyAlignment="1">
      <alignment horizontal="left"/>
    </xf>
    <xf numFmtId="0" fontId="0" fillId="21" borderId="128" xfId="0" applyFill="1" applyBorder="1" applyAlignment="1">
      <alignment horizontal="center"/>
    </xf>
    <xf numFmtId="0" fontId="106" fillId="21" borderId="240" xfId="0" applyFont="1" applyFill="1" applyBorder="1" applyAlignment="1">
      <alignment horizontal="left"/>
    </xf>
    <xf numFmtId="0" fontId="0" fillId="21" borderId="259" xfId="0" applyFill="1" applyBorder="1" applyAlignment="1">
      <alignment horizontal="center"/>
    </xf>
    <xf numFmtId="0" fontId="0" fillId="21" borderId="259" xfId="0" applyFill="1" applyBorder="1" applyAlignment="1">
      <alignment horizontal="right"/>
    </xf>
    <xf numFmtId="0" fontId="0" fillId="21" borderId="268" xfId="0" applyFill="1" applyBorder="1" applyAlignment="1">
      <alignment horizontal="center"/>
    </xf>
    <xf numFmtId="0" fontId="4" fillId="22" borderId="255" xfId="0" applyFont="1" applyFill="1" applyBorder="1" applyAlignment="1">
      <alignment horizontal="center"/>
    </xf>
    <xf numFmtId="0" fontId="4" fillId="33" borderId="0" xfId="0" quotePrefix="1" applyFont="1" applyFill="1" applyBorder="1" applyAlignment="1">
      <alignment horizontal="center"/>
    </xf>
    <xf numFmtId="0" fontId="11" fillId="33" borderId="106" xfId="0" applyFont="1" applyFill="1" applyBorder="1" applyAlignment="1">
      <alignment horizontal="center"/>
    </xf>
    <xf numFmtId="0" fontId="4" fillId="26" borderId="269" xfId="0" quotePrefix="1" applyFont="1" applyFill="1" applyBorder="1" applyAlignment="1">
      <alignment horizontal="center"/>
    </xf>
    <xf numFmtId="0" fontId="15" fillId="23" borderId="11" xfId="0" applyFont="1" applyFill="1" applyBorder="1"/>
    <xf numFmtId="0" fontId="15" fillId="23" borderId="134" xfId="0" applyFont="1" applyFill="1" applyBorder="1"/>
    <xf numFmtId="0" fontId="3" fillId="23" borderId="131" xfId="0" applyFont="1" applyFill="1" applyBorder="1"/>
    <xf numFmtId="0" fontId="15" fillId="23" borderId="191" xfId="0" applyFont="1" applyFill="1" applyBorder="1"/>
    <xf numFmtId="0" fontId="15" fillId="23" borderId="0" xfId="0" applyFont="1" applyFill="1" applyBorder="1"/>
    <xf numFmtId="0" fontId="15" fillId="23" borderId="202" xfId="0" applyFont="1" applyFill="1" applyBorder="1"/>
    <xf numFmtId="0" fontId="41" fillId="23" borderId="199" xfId="0" applyFont="1" applyFill="1" applyBorder="1"/>
    <xf numFmtId="0" fontId="41" fillId="23" borderId="156" xfId="0" applyFont="1" applyFill="1" applyBorder="1"/>
    <xf numFmtId="0" fontId="15" fillId="23" borderId="156" xfId="0" applyFont="1" applyFill="1" applyBorder="1"/>
    <xf numFmtId="0" fontId="15" fillId="23" borderId="259" xfId="0" applyFont="1" applyFill="1" applyBorder="1"/>
    <xf numFmtId="174" fontId="0" fillId="2" borderId="270" xfId="0" applyNumberFormat="1" applyBorder="1"/>
    <xf numFmtId="14" fontId="41" fillId="2" borderId="0" xfId="0" applyNumberFormat="1" applyFont="1" applyBorder="1" applyAlignment="1">
      <alignment horizontal="right"/>
    </xf>
    <xf numFmtId="174" fontId="105" fillId="0" borderId="31" xfId="0" applyNumberFormat="1" applyFont="1" applyFill="1" applyBorder="1" applyProtection="1">
      <protection locked="0"/>
    </xf>
    <xf numFmtId="38" fontId="105" fillId="6" borderId="31" xfId="0" applyNumberFormat="1" applyFont="1" applyFill="1" applyBorder="1" applyProtection="1">
      <protection locked="0"/>
    </xf>
    <xf numFmtId="38" fontId="105" fillId="6" borderId="31" xfId="0" applyNumberFormat="1" applyFont="1" applyFill="1" applyBorder="1" applyAlignment="1">
      <alignment horizontal="right"/>
    </xf>
    <xf numFmtId="173" fontId="105" fillId="6" borderId="147" xfId="0" applyNumberFormat="1" applyFont="1" applyFill="1" applyBorder="1" applyProtection="1">
      <protection locked="0"/>
    </xf>
    <xf numFmtId="38" fontId="105" fillId="6" borderId="41" xfId="0" applyNumberFormat="1" applyFont="1" applyFill="1" applyBorder="1" applyProtection="1">
      <protection locked="0"/>
    </xf>
    <xf numFmtId="38" fontId="105" fillId="0" borderId="31" xfId="0" applyNumberFormat="1" applyFont="1" applyFill="1" applyBorder="1" applyProtection="1">
      <protection locked="0"/>
    </xf>
    <xf numFmtId="38" fontId="105" fillId="23" borderId="31" xfId="0" applyNumberFormat="1" applyFont="1" applyFill="1" applyBorder="1" applyProtection="1">
      <protection locked="0"/>
    </xf>
    <xf numFmtId="38" fontId="105" fillId="25" borderId="9" xfId="0" applyNumberFormat="1" applyFont="1" applyFill="1" applyBorder="1"/>
    <xf numFmtId="38" fontId="105" fillId="25" borderId="31" xfId="0" applyNumberFormat="1" applyFont="1" applyFill="1" applyBorder="1" applyProtection="1">
      <protection locked="0"/>
    </xf>
    <xf numFmtId="185" fontId="105" fillId="0" borderId="31" xfId="0" applyNumberFormat="1" applyFont="1" applyFill="1" applyBorder="1"/>
    <xf numFmtId="185" fontId="105" fillId="23" borderId="147" xfId="0" applyNumberFormat="1" applyFont="1" applyFill="1" applyBorder="1"/>
    <xf numFmtId="37" fontId="105" fillId="2" borderId="9" xfId="0" applyNumberFormat="1" applyFont="1" applyBorder="1" applyAlignment="1" applyProtection="1">
      <alignment horizontal="center"/>
      <protection locked="0"/>
    </xf>
    <xf numFmtId="174" fontId="105" fillId="2" borderId="9" xfId="0" applyNumberFormat="1" applyFont="1" applyBorder="1" applyAlignment="1">
      <alignment horizontal="right"/>
    </xf>
    <xf numFmtId="0" fontId="106" fillId="6" borderId="2" xfId="0" applyFont="1" applyFill="1" applyBorder="1" applyAlignment="1">
      <alignment horizontal="center"/>
    </xf>
    <xf numFmtId="173" fontId="106" fillId="2" borderId="2" xfId="0" applyNumberFormat="1" applyFont="1" applyBorder="1"/>
    <xf numFmtId="174" fontId="106" fillId="0" borderId="2" xfId="0" applyNumberFormat="1" applyFont="1" applyFill="1" applyBorder="1"/>
    <xf numFmtId="0" fontId="4" fillId="47" borderId="40" xfId="0" applyFont="1" applyFill="1" applyBorder="1" applyAlignment="1">
      <alignment horizontal="center"/>
    </xf>
    <xf numFmtId="0" fontId="0" fillId="47" borderId="21" xfId="0" applyFill="1" applyBorder="1"/>
    <xf numFmtId="38" fontId="4" fillId="47" borderId="31" xfId="0" applyNumberFormat="1" applyFont="1" applyFill="1" applyBorder="1" applyAlignment="1">
      <alignment horizontal="center"/>
    </xf>
    <xf numFmtId="0" fontId="4" fillId="47" borderId="22" xfId="0" applyFont="1" applyFill="1" applyBorder="1" applyAlignment="1">
      <alignment horizontal="right"/>
    </xf>
    <xf numFmtId="0" fontId="72" fillId="30" borderId="108" xfId="0" applyFont="1" applyFill="1" applyBorder="1"/>
    <xf numFmtId="0" fontId="72" fillId="30" borderId="159" xfId="0" applyFont="1" applyFill="1" applyBorder="1"/>
    <xf numFmtId="0" fontId="72" fillId="30" borderId="153" xfId="0" applyFont="1" applyFill="1" applyBorder="1"/>
    <xf numFmtId="0" fontId="72" fillId="30" borderId="91" xfId="0" applyFont="1" applyFill="1" applyBorder="1"/>
    <xf numFmtId="0" fontId="72" fillId="30" borderId="128" xfId="0" applyFont="1" applyFill="1" applyBorder="1"/>
    <xf numFmtId="0" fontId="72" fillId="30" borderId="74" xfId="0" applyFont="1" applyFill="1" applyBorder="1"/>
    <xf numFmtId="0" fontId="9" fillId="30" borderId="225" xfId="0" quotePrefix="1" applyFont="1" applyFill="1" applyBorder="1" applyAlignment="1">
      <alignment horizontal="center"/>
    </xf>
    <xf numFmtId="0" fontId="25" fillId="30" borderId="228" xfId="0" applyFont="1" applyFill="1" applyBorder="1" applyAlignment="1">
      <alignment horizontal="center"/>
    </xf>
    <xf numFmtId="0" fontId="25" fillId="30" borderId="98" xfId="0" applyFont="1" applyFill="1" applyBorder="1" applyAlignment="1">
      <alignment horizontal="center"/>
    </xf>
    <xf numFmtId="0" fontId="25" fillId="30" borderId="231" xfId="0" applyFont="1" applyFill="1" applyBorder="1" applyAlignment="1">
      <alignment horizontal="center"/>
    </xf>
    <xf numFmtId="0" fontId="72" fillId="30" borderId="91" xfId="0" applyFont="1" applyFill="1" applyBorder="1" applyAlignment="1">
      <alignment horizontal="center"/>
    </xf>
    <xf numFmtId="0" fontId="72" fillId="30" borderId="128" xfId="0" applyFont="1" applyFill="1" applyBorder="1" applyAlignment="1">
      <alignment horizontal="center"/>
    </xf>
    <xf numFmtId="0" fontId="72" fillId="30" borderId="74" xfId="0" applyFont="1" applyFill="1" applyBorder="1" applyAlignment="1">
      <alignment horizontal="center"/>
    </xf>
    <xf numFmtId="0" fontId="72" fillId="30" borderId="204" xfId="0" applyFont="1" applyFill="1" applyBorder="1" applyAlignment="1">
      <alignment horizontal="center"/>
    </xf>
    <xf numFmtId="0" fontId="72" fillId="30" borderId="119" xfId="0" applyFont="1" applyFill="1" applyBorder="1" applyAlignment="1">
      <alignment horizontal="center"/>
    </xf>
    <xf numFmtId="0" fontId="72" fillId="30" borderId="205" xfId="0" applyFont="1" applyFill="1" applyBorder="1" applyAlignment="1">
      <alignment horizontal="center"/>
    </xf>
    <xf numFmtId="173" fontId="72" fillId="30" borderId="160" xfId="0" applyNumberFormat="1" applyFont="1" applyFill="1" applyBorder="1"/>
    <xf numFmtId="173" fontId="72" fillId="30" borderId="234" xfId="0" applyNumberFormat="1" applyFont="1" applyFill="1" applyBorder="1"/>
    <xf numFmtId="173" fontId="72" fillId="30" borderId="232" xfId="0" applyNumberFormat="1" applyFont="1" applyFill="1" applyBorder="1"/>
    <xf numFmtId="37" fontId="72" fillId="30" borderId="160" xfId="0" applyNumberFormat="1" applyFont="1" applyFill="1" applyBorder="1"/>
    <xf numFmtId="37" fontId="72" fillId="30" borderId="234" xfId="0" applyNumberFormat="1" applyFont="1" applyFill="1" applyBorder="1"/>
    <xf numFmtId="37" fontId="72" fillId="30" borderId="232" xfId="0" applyNumberFormat="1" applyFont="1" applyFill="1" applyBorder="1"/>
    <xf numFmtId="37" fontId="72" fillId="30" borderId="91" xfId="0" applyNumberFormat="1" applyFont="1" applyFill="1" applyBorder="1"/>
    <xf numFmtId="37" fontId="72" fillId="30" borderId="128" xfId="0" applyNumberFormat="1" applyFont="1" applyFill="1" applyBorder="1"/>
    <xf numFmtId="176" fontId="72" fillId="30" borderId="160" xfId="0" applyNumberFormat="1" applyFont="1" applyFill="1" applyBorder="1"/>
    <xf numFmtId="176" fontId="72" fillId="30" borderId="234" xfId="0" applyNumberFormat="1" applyFont="1" applyFill="1" applyBorder="1"/>
    <xf numFmtId="176" fontId="72" fillId="30" borderId="232" xfId="0" applyNumberFormat="1" applyFont="1" applyFill="1" applyBorder="1"/>
    <xf numFmtId="176" fontId="72" fillId="30" borderId="91" xfId="0" applyNumberFormat="1" applyFont="1" applyFill="1" applyBorder="1"/>
    <xf numFmtId="176" fontId="72" fillId="30" borderId="128" xfId="0" applyNumberFormat="1" applyFont="1" applyFill="1" applyBorder="1"/>
    <xf numFmtId="176" fontId="72" fillId="30" borderId="74" xfId="0" applyNumberFormat="1" applyFont="1" applyFill="1" applyBorder="1"/>
    <xf numFmtId="37" fontId="72" fillId="30" borderId="74" xfId="0" applyNumberFormat="1" applyFont="1" applyFill="1" applyBorder="1"/>
    <xf numFmtId="37" fontId="72" fillId="30" borderId="227" xfId="0" applyNumberFormat="1" applyFont="1" applyFill="1" applyBorder="1"/>
    <xf numFmtId="37" fontId="72" fillId="30" borderId="225" xfId="0" applyNumberFormat="1" applyFont="1" applyFill="1" applyBorder="1"/>
    <xf numFmtId="37" fontId="72" fillId="30" borderId="230" xfId="0" applyNumberFormat="1" applyFont="1" applyFill="1" applyBorder="1"/>
    <xf numFmtId="37" fontId="72" fillId="30" borderId="91" xfId="0" applyNumberFormat="1" applyFont="1" applyFill="1" applyBorder="1" applyAlignment="1">
      <alignment horizontal="center"/>
    </xf>
    <xf numFmtId="37" fontId="72" fillId="30" borderId="128" xfId="0" applyNumberFormat="1" applyFont="1" applyFill="1" applyBorder="1" applyAlignment="1">
      <alignment horizontal="center"/>
    </xf>
    <xf numFmtId="37" fontId="72" fillId="30" borderId="229" xfId="0" applyNumberFormat="1" applyFont="1" applyFill="1" applyBorder="1"/>
    <xf numFmtId="37" fontId="72" fillId="30" borderId="226" xfId="0" applyNumberFormat="1" applyFont="1" applyFill="1" applyBorder="1"/>
    <xf numFmtId="37" fontId="72" fillId="30" borderId="233" xfId="0" applyNumberFormat="1" applyFont="1" applyFill="1" applyBorder="1"/>
    <xf numFmtId="0" fontId="72" fillId="30" borderId="0" xfId="0" applyFont="1" applyFill="1"/>
    <xf numFmtId="0" fontId="82" fillId="37" borderId="152" xfId="0" applyFont="1" applyFill="1" applyBorder="1"/>
    <xf numFmtId="0" fontId="82" fillId="37" borderId="153" xfId="0" applyFont="1" applyFill="1" applyBorder="1" applyAlignment="1">
      <alignment horizontal="right"/>
    </xf>
    <xf numFmtId="0" fontId="82" fillId="37" borderId="76" xfId="0" applyFont="1" applyFill="1" applyBorder="1"/>
    <xf numFmtId="0" fontId="82" fillId="37" borderId="74" xfId="0" applyFont="1" applyFill="1" applyBorder="1" applyAlignment="1">
      <alignment horizontal="right"/>
    </xf>
    <xf numFmtId="14" fontId="82" fillId="37" borderId="74" xfId="0" applyNumberFormat="1" applyFont="1" applyFill="1" applyBorder="1" applyAlignment="1">
      <alignment horizontal="right"/>
    </xf>
    <xf numFmtId="0" fontId="82" fillId="37" borderId="74" xfId="0" applyFont="1" applyFill="1" applyBorder="1"/>
    <xf numFmtId="0" fontId="84" fillId="37" borderId="76" xfId="0" applyFont="1" applyFill="1" applyBorder="1"/>
    <xf numFmtId="0" fontId="84" fillId="37" borderId="74" xfId="0" applyFont="1" applyFill="1" applyBorder="1"/>
    <xf numFmtId="0" fontId="82" fillId="37" borderId="163" xfId="0" applyFont="1" applyFill="1" applyBorder="1" applyAlignment="1">
      <alignment horizontal="center"/>
    </xf>
    <xf numFmtId="0" fontId="82" fillId="37" borderId="91" xfId="0" applyFont="1" applyFill="1" applyBorder="1" applyAlignment="1">
      <alignment horizontal="center"/>
    </xf>
    <xf numFmtId="0" fontId="82" fillId="37" borderId="74" xfId="0" applyFont="1" applyFill="1" applyBorder="1" applyAlignment="1">
      <alignment horizontal="center"/>
    </xf>
    <xf numFmtId="37" fontId="82" fillId="37" borderId="183" xfId="0" applyNumberFormat="1" applyFont="1" applyFill="1" applyBorder="1" applyProtection="1">
      <protection locked="0"/>
    </xf>
    <xf numFmtId="37" fontId="82" fillId="37" borderId="91" xfId="0" applyNumberFormat="1" applyFont="1" applyFill="1" applyBorder="1" applyProtection="1">
      <protection locked="0"/>
    </xf>
    <xf numFmtId="37" fontId="82" fillId="37" borderId="74" xfId="0" applyNumberFormat="1" applyFont="1" applyFill="1" applyBorder="1" applyProtection="1">
      <protection locked="0"/>
    </xf>
    <xf numFmtId="37" fontId="82" fillId="37" borderId="183" xfId="0" applyNumberFormat="1" applyFont="1" applyFill="1" applyBorder="1"/>
    <xf numFmtId="37" fontId="79" fillId="37" borderId="183" xfId="0" applyNumberFormat="1" applyFont="1" applyFill="1" applyBorder="1"/>
    <xf numFmtId="37" fontId="82" fillId="37" borderId="184" xfId="0" applyNumberFormat="1" applyFont="1" applyFill="1" applyBorder="1"/>
    <xf numFmtId="37" fontId="82" fillId="37" borderId="185" xfId="0" applyNumberFormat="1" applyFont="1" applyFill="1" applyBorder="1"/>
    <xf numFmtId="167" fontId="82" fillId="37" borderId="185" xfId="0" applyNumberFormat="1" applyFont="1" applyFill="1" applyBorder="1"/>
    <xf numFmtId="0" fontId="82" fillId="37" borderId="91" xfId="0" applyFont="1" applyFill="1" applyBorder="1"/>
    <xf numFmtId="37" fontId="82" fillId="37" borderId="185" xfId="0" applyNumberFormat="1" applyFont="1" applyFill="1" applyBorder="1" applyProtection="1">
      <protection locked="0"/>
    </xf>
    <xf numFmtId="0" fontId="82" fillId="37" borderId="203" xfId="0" applyFont="1" applyFill="1" applyBorder="1"/>
    <xf numFmtId="173" fontId="82" fillId="37" borderId="186" xfId="0" applyNumberFormat="1" applyFont="1" applyFill="1" applyBorder="1"/>
    <xf numFmtId="173" fontId="82" fillId="37" borderId="91" xfId="0" applyNumberFormat="1" applyFont="1" applyFill="1" applyBorder="1"/>
    <xf numFmtId="173" fontId="82" fillId="37" borderId="74" xfId="0" applyNumberFormat="1" applyFont="1" applyFill="1" applyBorder="1"/>
    <xf numFmtId="173" fontId="82" fillId="37" borderId="187" xfId="0" applyNumberFormat="1" applyFont="1" applyFill="1" applyBorder="1"/>
    <xf numFmtId="37" fontId="82" fillId="37" borderId="91" xfId="0" applyNumberFormat="1" applyFont="1" applyFill="1" applyBorder="1"/>
    <xf numFmtId="37" fontId="82" fillId="37" borderId="74" xfId="0" applyNumberFormat="1" applyFont="1" applyFill="1" applyBorder="1"/>
    <xf numFmtId="37" fontId="82" fillId="37" borderId="187" xfId="0" applyNumberFormat="1" applyFont="1" applyFill="1" applyBorder="1"/>
    <xf numFmtId="170" fontId="82" fillId="37" borderId="91" xfId="0" applyNumberFormat="1" applyFont="1" applyFill="1" applyBorder="1"/>
    <xf numFmtId="170" fontId="82" fillId="37" borderId="74" xfId="0" applyNumberFormat="1" applyFont="1" applyFill="1" applyBorder="1"/>
    <xf numFmtId="37" fontId="82" fillId="37" borderId="188" xfId="0" applyNumberFormat="1" applyFont="1" applyFill="1" applyBorder="1"/>
    <xf numFmtId="0" fontId="84" fillId="37" borderId="0" xfId="0" applyFont="1" applyFill="1"/>
    <xf numFmtId="0" fontId="41" fillId="23" borderId="272" xfId="0" applyFont="1" applyFill="1" applyBorder="1"/>
    <xf numFmtId="40" fontId="0" fillId="22" borderId="95" xfId="0" applyNumberFormat="1" applyFill="1" applyBorder="1" applyAlignment="1">
      <alignment horizontal="right"/>
    </xf>
    <xf numFmtId="0" fontId="0" fillId="48" borderId="0" xfId="0" applyFill="1"/>
    <xf numFmtId="0" fontId="135" fillId="22" borderId="0" xfId="0" applyFont="1" applyFill="1"/>
    <xf numFmtId="0" fontId="107" fillId="2" borderId="0" xfId="2" quotePrefix="1" applyFont="1" applyFill="1" applyAlignment="1" applyProtection="1"/>
    <xf numFmtId="188" fontId="9" fillId="23" borderId="0" xfId="0" applyNumberFormat="1" applyFont="1" applyFill="1" applyAlignment="1">
      <alignment horizontal="right"/>
    </xf>
    <xf numFmtId="0" fontId="105" fillId="2" borderId="0" xfId="0" applyFont="1"/>
    <xf numFmtId="188" fontId="59" fillId="4" borderId="270" xfId="0" applyNumberFormat="1" applyFont="1" applyFill="1" applyBorder="1" applyAlignment="1">
      <alignment horizontal="center"/>
    </xf>
    <xf numFmtId="173" fontId="105" fillId="23" borderId="31" xfId="0" applyNumberFormat="1" applyFont="1" applyFill="1" applyBorder="1" applyProtection="1">
      <protection locked="0"/>
    </xf>
    <xf numFmtId="38" fontId="124" fillId="6" borderId="31" xfId="0" applyNumberFormat="1" applyFont="1" applyFill="1" applyBorder="1" applyProtection="1">
      <protection locked="0"/>
    </xf>
    <xf numFmtId="173" fontId="124" fillId="6" borderId="31" xfId="0" applyNumberFormat="1" applyFont="1" applyFill="1" applyBorder="1" applyProtection="1">
      <protection locked="0"/>
    </xf>
    <xf numFmtId="0" fontId="0" fillId="2" borderId="0" xfId="0" quotePrefix="1"/>
    <xf numFmtId="0" fontId="41" fillId="2" borderId="0" xfId="0" applyFont="1"/>
    <xf numFmtId="0" fontId="15" fillId="2" borderId="0" xfId="0" applyFont="1"/>
    <xf numFmtId="0" fontId="41" fillId="4" borderId="0" xfId="0" applyFont="1" applyFill="1"/>
    <xf numFmtId="0" fontId="0" fillId="2" borderId="0" xfId="0"/>
    <xf numFmtId="38" fontId="0" fillId="2" borderId="0" xfId="0" applyNumberFormat="1"/>
    <xf numFmtId="0" fontId="0" fillId="2" borderId="0" xfId="0" applyFont="1"/>
    <xf numFmtId="0" fontId="0" fillId="23" borderId="0" xfId="0" applyFont="1" applyFill="1" applyBorder="1" applyAlignment="1">
      <alignment horizontal="right"/>
    </xf>
    <xf numFmtId="0" fontId="4" fillId="2" borderId="0" xfId="0" quotePrefix="1" applyFont="1" applyBorder="1"/>
    <xf numFmtId="0" fontId="4" fillId="2" borderId="270" xfId="0" applyFont="1" applyBorder="1" applyAlignment="1">
      <alignment horizontal="right"/>
    </xf>
    <xf numFmtId="0" fontId="4" fillId="2" borderId="276" xfId="0" applyFont="1" applyBorder="1"/>
    <xf numFmtId="0" fontId="4" fillId="2" borderId="277" xfId="0" applyFont="1" applyBorder="1"/>
    <xf numFmtId="0" fontId="4" fillId="2" borderId="278" xfId="0" applyFont="1" applyBorder="1"/>
    <xf numFmtId="0" fontId="140" fillId="21" borderId="271" xfId="0" applyFont="1" applyFill="1" applyBorder="1"/>
    <xf numFmtId="37" fontId="131" fillId="39" borderId="279" xfId="0" applyNumberFormat="1" applyFont="1" applyFill="1" applyBorder="1"/>
    <xf numFmtId="37" fontId="131" fillId="39" borderId="280" xfId="0" applyNumberFormat="1" applyFont="1" applyFill="1" applyBorder="1" applyAlignment="1">
      <alignment horizontal="center"/>
    </xf>
    <xf numFmtId="0" fontId="116" fillId="2" borderId="0" xfId="0" applyFont="1"/>
    <xf numFmtId="0" fontId="42" fillId="45" borderId="240" xfId="0" applyFont="1" applyFill="1" applyBorder="1"/>
    <xf numFmtId="0" fontId="0" fillId="45" borderId="99" xfId="0" applyFill="1" applyBorder="1"/>
    <xf numFmtId="0" fontId="0" fillId="45" borderId="240" xfId="0" applyFill="1" applyBorder="1" applyAlignment="1">
      <alignment horizontal="center"/>
    </xf>
    <xf numFmtId="188" fontId="106" fillId="2" borderId="0" xfId="0" applyNumberFormat="1" applyFont="1" applyAlignment="1">
      <alignment horizontal="center"/>
    </xf>
    <xf numFmtId="0" fontId="36" fillId="45" borderId="268" xfId="0" applyFont="1" applyFill="1" applyBorder="1" applyAlignment="1"/>
    <xf numFmtId="0" fontId="41" fillId="45" borderId="96" xfId="0" applyFont="1" applyFill="1" applyBorder="1"/>
    <xf numFmtId="174" fontId="100" fillId="25" borderId="31" xfId="0" applyNumberFormat="1" applyFont="1" applyFill="1" applyBorder="1" applyProtection="1">
      <protection locked="0"/>
    </xf>
    <xf numFmtId="0" fontId="133" fillId="39" borderId="271" xfId="0" applyFont="1" applyFill="1" applyBorder="1"/>
    <xf numFmtId="0" fontId="129" fillId="39" borderId="275" xfId="0" applyFont="1" applyFill="1" applyBorder="1"/>
    <xf numFmtId="37" fontId="128" fillId="39" borderId="275" xfId="0" applyNumberFormat="1" applyFont="1" applyFill="1" applyBorder="1" applyAlignment="1">
      <alignment horizontal="right"/>
    </xf>
    <xf numFmtId="37" fontId="128" fillId="39" borderId="274" xfId="0" applyNumberFormat="1" applyFont="1" applyFill="1" applyBorder="1"/>
    <xf numFmtId="38" fontId="131" fillId="39" borderId="274" xfId="0" applyNumberFormat="1" applyFont="1" applyFill="1" applyBorder="1"/>
    <xf numFmtId="37" fontId="128" fillId="39" borderId="0" xfId="0" applyNumberFormat="1" applyFont="1" applyFill="1" applyBorder="1"/>
    <xf numFmtId="0" fontId="128" fillId="39" borderId="271" xfId="0" applyFont="1" applyFill="1" applyBorder="1"/>
    <xf numFmtId="37" fontId="128" fillId="39" borderId="274" xfId="0" applyNumberFormat="1" applyFont="1" applyFill="1" applyBorder="1" applyAlignment="1">
      <alignment horizontal="right"/>
    </xf>
    <xf numFmtId="0" fontId="129" fillId="2" borderId="268" xfId="0" applyFont="1" applyBorder="1"/>
    <xf numFmtId="37" fontId="128" fillId="2" borderId="96" xfId="0" applyNumberFormat="1" applyFont="1" applyBorder="1"/>
    <xf numFmtId="37" fontId="133" fillId="39" borderId="281" xfId="0" applyNumberFormat="1" applyFont="1" applyFill="1" applyBorder="1"/>
    <xf numFmtId="0" fontId="134" fillId="2" borderId="275" xfId="0" applyFont="1" applyBorder="1"/>
    <xf numFmtId="37" fontId="133" fillId="2" borderId="275" xfId="0" applyNumberFormat="1" applyFont="1" applyBorder="1"/>
    <xf numFmtId="0" fontId="129" fillId="2" borderId="274" xfId="0" applyFont="1" applyBorder="1"/>
    <xf numFmtId="0" fontId="129" fillId="2" borderId="282" xfId="0" applyFont="1" applyBorder="1"/>
    <xf numFmtId="0" fontId="129" fillId="2" borderId="283" xfId="0" applyFont="1" applyBorder="1"/>
    <xf numFmtId="0" fontId="133" fillId="4" borderId="284" xfId="0" applyFont="1" applyFill="1" applyBorder="1"/>
    <xf numFmtId="0" fontId="131" fillId="39" borderId="128" xfId="0" applyFont="1" applyFill="1" applyBorder="1" applyAlignment="1">
      <alignment horizontal="center"/>
    </xf>
    <xf numFmtId="0" fontId="129" fillId="39" borderId="279" xfId="0" applyFont="1" applyFill="1" applyBorder="1"/>
    <xf numFmtId="38" fontId="131" fillId="39" borderId="279" xfId="0" applyNumberFormat="1" applyFont="1" applyFill="1" applyBorder="1"/>
    <xf numFmtId="38" fontId="131" fillId="2" borderId="285" xfId="0" applyNumberFormat="1" applyFont="1" applyBorder="1"/>
    <xf numFmtId="37" fontId="131" fillId="2" borderId="286" xfId="0" applyNumberFormat="1" applyFont="1" applyBorder="1"/>
    <xf numFmtId="37" fontId="131" fillId="39" borderId="287" xfId="0" applyNumberFormat="1" applyFont="1" applyFill="1" applyBorder="1"/>
    <xf numFmtId="38" fontId="131" fillId="39" borderId="285" xfId="0" applyNumberFormat="1" applyFont="1" applyFill="1" applyBorder="1"/>
    <xf numFmtId="0" fontId="129" fillId="2" borderId="282" xfId="0" applyFont="1" applyBorder="1" applyProtection="1">
      <protection locked="0"/>
    </xf>
    <xf numFmtId="0" fontId="129" fillId="22" borderId="271" xfId="0" applyFont="1" applyFill="1" applyBorder="1"/>
    <xf numFmtId="0" fontId="129" fillId="22" borderId="275" xfId="0" applyFont="1" applyFill="1" applyBorder="1"/>
    <xf numFmtId="0" fontId="131" fillId="22" borderId="275" xfId="0" applyFont="1" applyFill="1" applyBorder="1" applyAlignment="1">
      <alignment horizontal="right"/>
    </xf>
    <xf numFmtId="0" fontId="129" fillId="22" borderId="274" xfId="0" applyFont="1" applyFill="1" applyBorder="1"/>
    <xf numFmtId="0" fontId="131" fillId="22" borderId="274" xfId="0" applyFont="1" applyFill="1" applyBorder="1" applyAlignment="1">
      <alignment horizontal="right"/>
    </xf>
    <xf numFmtId="0" fontId="129" fillId="22" borderId="270" xfId="0" applyFont="1" applyFill="1" applyBorder="1"/>
    <xf numFmtId="0" fontId="131" fillId="22" borderId="0" xfId="0" applyFont="1" applyFill="1"/>
    <xf numFmtId="0" fontId="131" fillId="23" borderId="288" xfId="0" applyFont="1" applyFill="1" applyBorder="1" applyAlignment="1">
      <alignment horizontal="right"/>
    </xf>
    <xf numFmtId="0" fontId="131" fillId="2" borderId="0" xfId="0" applyFont="1" applyBorder="1" applyAlignment="1">
      <alignment horizontal="right"/>
    </xf>
    <xf numFmtId="0" fontId="129" fillId="23" borderId="0" xfId="0" applyFont="1" applyFill="1"/>
    <xf numFmtId="0" fontId="131" fillId="23" borderId="0" xfId="0" applyFont="1" applyFill="1"/>
    <xf numFmtId="189" fontId="141" fillId="2" borderId="0" xfId="0" applyNumberFormat="1" applyFont="1" applyAlignment="1">
      <alignment horizontal="left" vertical="top"/>
    </xf>
    <xf numFmtId="189" fontId="141" fillId="2" borderId="289" xfId="0" applyNumberFormat="1" applyFont="1" applyBorder="1" applyAlignment="1">
      <alignment horizontal="left" vertical="top"/>
    </xf>
    <xf numFmtId="1" fontId="141" fillId="2" borderId="0" xfId="0" applyNumberFormat="1" applyFont="1" applyAlignment="1">
      <alignment horizontal="left" vertical="top"/>
    </xf>
    <xf numFmtId="1" fontId="141" fillId="2" borderId="0" xfId="0" applyNumberFormat="1" applyFont="1" applyBorder="1" applyAlignment="1">
      <alignment horizontal="left" vertical="top"/>
    </xf>
    <xf numFmtId="0" fontId="0" fillId="2" borderId="0" xfId="0" applyAlignment="1"/>
    <xf numFmtId="185" fontId="141" fillId="2" borderId="0" xfId="0" applyNumberFormat="1" applyFont="1" applyAlignment="1">
      <alignment horizontal="right" vertical="top"/>
    </xf>
    <xf numFmtId="185" fontId="141" fillId="2" borderId="289" xfId="0" applyNumberFormat="1" applyFont="1" applyBorder="1" applyAlignment="1">
      <alignment horizontal="right" vertical="top"/>
    </xf>
    <xf numFmtId="185" fontId="141" fillId="2" borderId="0" xfId="0" applyNumberFormat="1" applyFont="1" applyBorder="1" applyAlignment="1">
      <alignment horizontal="right" vertical="top"/>
    </xf>
    <xf numFmtId="0" fontId="0" fillId="23" borderId="0" xfId="0" applyFont="1" applyFill="1" applyBorder="1" applyAlignment="1">
      <alignment horizontal="right" wrapText="1"/>
    </xf>
    <xf numFmtId="0" fontId="138" fillId="21" borderId="288" xfId="0" applyFont="1" applyFill="1" applyBorder="1" applyAlignment="1">
      <alignment horizontal="center"/>
    </xf>
    <xf numFmtId="0" fontId="15" fillId="23" borderId="240" xfId="0" applyFont="1" applyFill="1" applyBorder="1"/>
    <xf numFmtId="0" fontId="41" fillId="23" borderId="123" xfId="0" applyFont="1" applyFill="1" applyBorder="1"/>
    <xf numFmtId="0" fontId="15" fillId="23" borderId="288" xfId="0" applyFont="1" applyFill="1" applyBorder="1"/>
    <xf numFmtId="174" fontId="0" fillId="22" borderId="95" xfId="0" applyNumberFormat="1" applyFill="1" applyBorder="1" applyAlignment="1">
      <alignment horizontal="right"/>
    </xf>
    <xf numFmtId="173" fontId="4" fillId="2" borderId="270" xfId="0" applyNumberFormat="1" applyFont="1" applyBorder="1"/>
    <xf numFmtId="0" fontId="40" fillId="2" borderId="0" xfId="0" applyFont="1" applyAlignment="1">
      <alignment horizontal="center"/>
    </xf>
    <xf numFmtId="38" fontId="0" fillId="2" borderId="9" xfId="0" applyNumberFormat="1" applyBorder="1" applyAlignment="1">
      <alignment horizontal="right"/>
    </xf>
    <xf numFmtId="38" fontId="100" fillId="0" borderId="270" xfId="0" applyNumberFormat="1" applyFont="1" applyFill="1" applyBorder="1" applyAlignment="1" applyProtection="1">
      <alignment horizontal="center"/>
      <protection locked="0"/>
    </xf>
    <xf numFmtId="38" fontId="105" fillId="0" borderId="270" xfId="0" applyNumberFormat="1" applyFont="1" applyFill="1" applyBorder="1" applyAlignment="1" applyProtection="1">
      <alignment horizontal="center"/>
      <protection locked="0"/>
    </xf>
    <xf numFmtId="0" fontId="0" fillId="45" borderId="260" xfId="0" applyFill="1" applyBorder="1"/>
    <xf numFmtId="0" fontId="36" fillId="45" borderId="240" xfId="0" applyFont="1" applyFill="1" applyBorder="1"/>
    <xf numFmtId="0" fontId="0" fillId="45" borderId="96" xfId="0" applyFill="1" applyBorder="1"/>
    <xf numFmtId="0" fontId="36" fillId="45" borderId="273" xfId="0" applyFont="1" applyFill="1" applyBorder="1" applyAlignment="1">
      <alignment horizontal="center"/>
    </xf>
    <xf numFmtId="0" fontId="15" fillId="2" borderId="290" xfId="0" applyFont="1" applyBorder="1"/>
    <xf numFmtId="0" fontId="15" fillId="45" borderId="290" xfId="0" applyFont="1" applyFill="1" applyBorder="1"/>
    <xf numFmtId="0" fontId="41" fillId="45" borderId="271" xfId="0" quotePrefix="1" applyFont="1" applyFill="1" applyBorder="1"/>
    <xf numFmtId="0" fontId="15" fillId="2" borderId="292" xfId="0" applyFont="1" applyBorder="1" applyAlignment="1">
      <alignment wrapText="1"/>
    </xf>
    <xf numFmtId="0" fontId="15" fillId="2" borderId="240" xfId="0" applyFont="1" applyBorder="1"/>
    <xf numFmtId="0" fontId="15" fillId="2" borderId="273" xfId="0" applyFont="1" applyBorder="1"/>
    <xf numFmtId="0" fontId="15" fillId="2" borderId="270" xfId="0" quotePrefix="1" applyFont="1" applyBorder="1" applyAlignment="1">
      <alignment horizontal="center"/>
    </xf>
    <xf numFmtId="0" fontId="15" fillId="2" borderId="291" xfId="0" quotePrefix="1" applyFont="1" applyBorder="1" applyAlignment="1">
      <alignment horizontal="center"/>
    </xf>
    <xf numFmtId="6" fontId="15" fillId="2" borderId="270" xfId="0" applyNumberFormat="1" applyFont="1" applyBorder="1"/>
    <xf numFmtId="6" fontId="15" fillId="2" borderId="291" xfId="0" applyNumberFormat="1" applyFont="1" applyBorder="1"/>
    <xf numFmtId="6" fontId="15" fillId="45" borderId="270" xfId="0" applyNumberFormat="1" applyFont="1" applyFill="1" applyBorder="1"/>
    <xf numFmtId="6" fontId="15" fillId="2" borderId="273" xfId="0" applyNumberFormat="1" applyFont="1" applyBorder="1"/>
    <xf numFmtId="0" fontId="54" fillId="2" borderId="242" xfId="2" applyFont="1" applyFill="1" applyBorder="1" applyAlignment="1" applyProtection="1"/>
    <xf numFmtId="0" fontId="105" fillId="23" borderId="275" xfId="0" applyFont="1" applyFill="1" applyBorder="1"/>
    <xf numFmtId="0" fontId="0" fillId="23" borderId="96" xfId="0" applyFill="1" applyBorder="1"/>
    <xf numFmtId="0" fontId="33" fillId="23" borderId="0" xfId="0" applyFont="1" applyFill="1"/>
    <xf numFmtId="38" fontId="9" fillId="23" borderId="0" xfId="0" applyNumberFormat="1" applyFont="1" applyFill="1"/>
    <xf numFmtId="38" fontId="13" fillId="23" borderId="0" xfId="0" applyNumberFormat="1" applyFont="1" applyFill="1" applyAlignment="1" applyProtection="1">
      <alignment horizontal="right"/>
      <protection locked="0"/>
    </xf>
    <xf numFmtId="173" fontId="106" fillId="42" borderId="271" xfId="0" applyNumberFormat="1" applyFont="1" applyFill="1" applyBorder="1"/>
    <xf numFmtId="173" fontId="98" fillId="23" borderId="271" xfId="0" applyNumberFormat="1" applyFont="1" applyFill="1" applyBorder="1"/>
    <xf numFmtId="0" fontId="143" fillId="2" borderId="0" xfId="0" applyFont="1" applyAlignment="1">
      <alignment horizontal="right"/>
    </xf>
    <xf numFmtId="0" fontId="4" fillId="30" borderId="270" xfId="0" applyFont="1" applyFill="1" applyBorder="1"/>
    <xf numFmtId="0" fontId="144" fillId="2" borderId="0" xfId="0" applyFont="1" applyAlignment="1">
      <alignment horizontal="right"/>
    </xf>
    <xf numFmtId="0" fontId="4" fillId="2" borderId="270" xfId="0" applyFont="1" applyBorder="1"/>
    <xf numFmtId="0" fontId="4" fillId="22" borderId="270" xfId="0" applyFont="1" applyFill="1" applyBorder="1"/>
    <xf numFmtId="0" fontId="4" fillId="21" borderId="270" xfId="0" applyFont="1" applyFill="1" applyBorder="1" applyAlignment="1">
      <alignment horizontal="center"/>
    </xf>
    <xf numFmtId="38" fontId="4" fillId="2" borderId="270" xfId="0" applyNumberFormat="1" applyFont="1" applyBorder="1"/>
    <xf numFmtId="184" fontId="4" fillId="2" borderId="270" xfId="0" applyNumberFormat="1" applyFont="1" applyBorder="1"/>
    <xf numFmtId="173" fontId="4" fillId="2" borderId="270" xfId="0" applyNumberFormat="1" applyFont="1" applyBorder="1" applyAlignment="1">
      <alignment horizontal="right"/>
    </xf>
    <xf numFmtId="173" fontId="4" fillId="30" borderId="270" xfId="0" applyNumberFormat="1" applyFont="1" applyFill="1" applyBorder="1"/>
    <xf numFmtId="173" fontId="4" fillId="22" borderId="270" xfId="0" applyNumberFormat="1" applyFont="1" applyFill="1" applyBorder="1"/>
    <xf numFmtId="0" fontId="4" fillId="27" borderId="271" xfId="0" applyFont="1" applyFill="1" applyBorder="1"/>
    <xf numFmtId="0" fontId="4" fillId="27" borderId="288" xfId="0" applyFont="1" applyFill="1" applyBorder="1"/>
    <xf numFmtId="49" fontId="106" fillId="2" borderId="0" xfId="0" applyNumberFormat="1" applyFont="1" applyAlignment="1">
      <alignment horizontal="right"/>
    </xf>
    <xf numFmtId="0" fontId="143" fillId="4" borderId="0" xfId="0" applyFont="1" applyFill="1" applyAlignment="1">
      <alignment horizontal="right"/>
    </xf>
    <xf numFmtId="0" fontId="143" fillId="23" borderId="0" xfId="0" applyFont="1" applyFill="1" applyAlignment="1">
      <alignment horizontal="right"/>
    </xf>
    <xf numFmtId="38" fontId="146" fillId="23" borderId="117" xfId="0" applyNumberFormat="1" applyFont="1" applyFill="1" applyBorder="1"/>
    <xf numFmtId="0" fontId="48" fillId="4" borderId="291" xfId="0" applyFont="1" applyFill="1" applyBorder="1" applyAlignment="1">
      <alignment horizontal="right"/>
    </xf>
    <xf numFmtId="186" fontId="4" fillId="2" borderId="273" xfId="0" applyNumberFormat="1" applyFont="1" applyBorder="1" applyAlignment="1">
      <alignment horizontal="right"/>
    </xf>
    <xf numFmtId="0" fontId="41" fillId="23" borderId="96" xfId="0" applyFont="1" applyFill="1" applyBorder="1"/>
    <xf numFmtId="174" fontId="78" fillId="23" borderId="0" xfId="0" applyNumberFormat="1" applyFont="1" applyFill="1" applyBorder="1" applyAlignment="1">
      <alignment horizontal="center"/>
    </xf>
    <xf numFmtId="174" fontId="41" fillId="23" borderId="31" xfId="0" applyNumberFormat="1" applyFont="1" applyFill="1" applyBorder="1" applyAlignment="1" applyProtection="1">
      <alignment horizontal="center"/>
      <protection locked="0"/>
    </xf>
    <xf numFmtId="38" fontId="41" fillId="0" borderId="273" xfId="0" applyNumberFormat="1" applyFont="1" applyFill="1" applyBorder="1" applyAlignment="1" applyProtection="1">
      <alignment horizontal="center"/>
      <protection locked="0"/>
    </xf>
    <xf numFmtId="0" fontId="0" fillId="22" borderId="291" xfId="0" applyFill="1" applyBorder="1"/>
    <xf numFmtId="0" fontId="0" fillId="22" borderId="273" xfId="0" applyFill="1" applyBorder="1"/>
    <xf numFmtId="0" fontId="147" fillId="2" borderId="0" xfId="0" applyFont="1"/>
    <xf numFmtId="0" fontId="148" fillId="2" borderId="0" xfId="0" applyFont="1"/>
    <xf numFmtId="10" fontId="0" fillId="2" borderId="0" xfId="0" applyNumberFormat="1"/>
    <xf numFmtId="185" fontId="4" fillId="22" borderId="270" xfId="0" applyNumberFormat="1" applyFont="1" applyFill="1" applyBorder="1"/>
    <xf numFmtId="0" fontId="150" fillId="2" borderId="0" xfId="0" quotePrefix="1" applyFont="1"/>
    <xf numFmtId="0" fontId="148" fillId="2" borderId="0" xfId="0" applyFont="1" applyAlignment="1">
      <alignment vertical="center"/>
    </xf>
    <xf numFmtId="37" fontId="128" fillId="22" borderId="0" xfId="0" applyNumberFormat="1" applyFont="1" applyFill="1"/>
    <xf numFmtId="174" fontId="0" fillId="22" borderId="0" xfId="0" applyNumberFormat="1" applyFill="1" applyAlignment="1">
      <alignment horizontal="center"/>
    </xf>
    <xf numFmtId="0" fontId="128" fillId="22" borderId="0" xfId="0" applyFont="1" applyFill="1"/>
    <xf numFmtId="37" fontId="128" fillId="22" borderId="113" xfId="0" applyNumberFormat="1" applyFont="1" applyFill="1" applyBorder="1"/>
    <xf numFmtId="38" fontId="105" fillId="23" borderId="9" xfId="0" applyNumberFormat="1" applyFont="1" applyFill="1" applyBorder="1"/>
    <xf numFmtId="38" fontId="128" fillId="22" borderId="113" xfId="0" applyNumberFormat="1" applyFont="1" applyFill="1" applyBorder="1"/>
    <xf numFmtId="38" fontId="41" fillId="23" borderId="133" xfId="0" applyNumberFormat="1" applyFont="1" applyFill="1" applyBorder="1" applyAlignment="1" applyProtection="1">
      <alignment horizontal="center"/>
      <protection locked="0"/>
    </xf>
    <xf numFmtId="0" fontId="15" fillId="23" borderId="131" xfId="0" applyFont="1" applyFill="1" applyBorder="1"/>
    <xf numFmtId="0" fontId="15" fillId="23" borderId="10" xfId="0" applyFont="1" applyFill="1" applyBorder="1" applyAlignment="1">
      <alignment horizontal="left"/>
    </xf>
    <xf numFmtId="0" fontId="15" fillId="23" borderId="295" xfId="0" applyFont="1" applyFill="1" applyBorder="1"/>
    <xf numFmtId="0" fontId="15" fillId="23" borderId="290" xfId="0" applyFont="1" applyFill="1" applyBorder="1"/>
    <xf numFmtId="0" fontId="0" fillId="21" borderId="294" xfId="0" applyFill="1" applyBorder="1"/>
    <xf numFmtId="0" fontId="108" fillId="21" borderId="294" xfId="0" applyFont="1" applyFill="1" applyBorder="1"/>
    <xf numFmtId="0" fontId="15" fillId="2" borderId="294" xfId="0" quotePrefix="1" applyFont="1" applyBorder="1" applyAlignment="1">
      <alignment horizontal="center"/>
    </xf>
    <xf numFmtId="0" fontId="15" fillId="2" borderId="294" xfId="0" applyFont="1" applyBorder="1"/>
    <xf numFmtId="6" fontId="15" fillId="2" borderId="294" xfId="0" applyNumberFormat="1" applyFont="1" applyBorder="1"/>
    <xf numFmtId="6" fontId="15" fillId="39" borderId="294" xfId="0" applyNumberFormat="1" applyFont="1" applyFill="1" applyBorder="1"/>
    <xf numFmtId="40" fontId="4" fillId="22" borderId="0" xfId="0" applyNumberFormat="1" applyFont="1" applyFill="1" applyAlignment="1">
      <alignment horizontal="center"/>
    </xf>
    <xf numFmtId="177" fontId="4" fillId="22" borderId="0" xfId="0" applyNumberFormat="1" applyFont="1" applyFill="1" applyAlignment="1">
      <alignment horizontal="center"/>
    </xf>
    <xf numFmtId="0" fontId="129" fillId="22" borderId="0" xfId="0" applyFont="1" applyFill="1" applyAlignment="1">
      <alignment horizontal="right"/>
    </xf>
    <xf numFmtId="0" fontId="0" fillId="2" borderId="0" xfId="0" quotePrefix="1" applyFont="1"/>
    <xf numFmtId="0" fontId="41" fillId="50" borderId="245" xfId="0" applyFont="1" applyFill="1" applyBorder="1" applyAlignment="1">
      <alignment horizontal="left"/>
    </xf>
    <xf numFmtId="0" fontId="4" fillId="50" borderId="248" xfId="0" applyFont="1" applyFill="1" applyBorder="1"/>
    <xf numFmtId="6" fontId="15" fillId="2" borderId="294" xfId="0" applyNumberFormat="1" applyFont="1" applyBorder="1" applyAlignment="1">
      <alignment horizontal="center"/>
    </xf>
    <xf numFmtId="0" fontId="149" fillId="2" borderId="0" xfId="0" applyFont="1"/>
    <xf numFmtId="0" fontId="0" fillId="22" borderId="258" xfId="0" applyFill="1" applyBorder="1" applyAlignment="1">
      <alignment horizontal="right"/>
    </xf>
    <xf numFmtId="0" fontId="4" fillId="22" borderId="261" xfId="0" applyFont="1" applyFill="1" applyBorder="1" applyAlignment="1">
      <alignment horizontal="center"/>
    </xf>
    <xf numFmtId="0" fontId="0" fillId="49" borderId="294" xfId="0" applyFill="1" applyBorder="1" applyAlignment="1">
      <alignment horizontal="center" wrapText="1"/>
    </xf>
    <xf numFmtId="38" fontId="0" fillId="49" borderId="294" xfId="0" applyNumberFormat="1" applyFill="1" applyBorder="1" applyAlignment="1">
      <alignment horizontal="center" wrapText="1"/>
    </xf>
    <xf numFmtId="38" fontId="112" fillId="49" borderId="294" xfId="0" applyNumberFormat="1" applyFont="1" applyFill="1" applyBorder="1" applyAlignment="1">
      <alignment horizontal="center" wrapText="1"/>
    </xf>
    <xf numFmtId="192" fontId="112" fillId="49" borderId="294" xfId="4" applyNumberFormat="1" applyFont="1" applyFill="1" applyBorder="1" applyAlignment="1">
      <alignment horizontal="center" wrapText="1"/>
    </xf>
    <xf numFmtId="178" fontId="0" fillId="49" borderId="294" xfId="0" applyNumberFormat="1" applyFill="1" applyBorder="1" applyAlignment="1">
      <alignment horizontal="center" wrapText="1"/>
    </xf>
    <xf numFmtId="40" fontId="0" fillId="49" borderId="294" xfId="0" applyNumberFormat="1" applyFill="1" applyBorder="1" applyAlignment="1">
      <alignment horizontal="center" wrapText="1"/>
    </xf>
    <xf numFmtId="0" fontId="112" fillId="29" borderId="294" xfId="0" applyFont="1" applyFill="1" applyBorder="1" applyAlignment="1">
      <alignment horizontal="center"/>
    </xf>
    <xf numFmtId="38" fontId="112" fillId="29" borderId="295" xfId="0" applyNumberFormat="1" applyFont="1" applyFill="1" applyBorder="1" applyAlignment="1">
      <alignment horizontal="center" wrapText="1"/>
    </xf>
    <xf numFmtId="38" fontId="112" fillId="32" borderId="294" xfId="0" applyNumberFormat="1" applyFont="1" applyFill="1" applyBorder="1" applyAlignment="1">
      <alignment horizontal="center" wrapText="1"/>
    </xf>
    <xf numFmtId="38" fontId="0" fillId="0" borderId="0" xfId="3" applyNumberFormat="1" applyFont="1"/>
    <xf numFmtId="178" fontId="0" fillId="0" borderId="0" xfId="3" applyNumberFormat="1" applyFont="1"/>
    <xf numFmtId="38" fontId="0" fillId="0" borderId="0" xfId="3" applyNumberFormat="1" applyFont="1" applyAlignment="1">
      <alignment horizontal="center"/>
    </xf>
    <xf numFmtId="38" fontId="0" fillId="22" borderId="0" xfId="3" applyNumberFormat="1" applyFont="1" applyFill="1"/>
    <xf numFmtId="38" fontId="0" fillId="2" borderId="106" xfId="0" applyNumberFormat="1" applyBorder="1"/>
    <xf numFmtId="38" fontId="0" fillId="22" borderId="128" xfId="0" applyNumberFormat="1" applyFill="1" applyBorder="1"/>
    <xf numFmtId="38" fontId="0" fillId="0" borderId="0" xfId="0" applyNumberFormat="1" applyFill="1"/>
    <xf numFmtId="38" fontId="0" fillId="2" borderId="240" xfId="0" applyNumberFormat="1" applyBorder="1"/>
    <xf numFmtId="38" fontId="0" fillId="2" borderId="96" xfId="0" applyNumberFormat="1" applyBorder="1"/>
    <xf numFmtId="38" fontId="0" fillId="22" borderId="268" xfId="0" applyNumberFormat="1" applyFill="1" applyBorder="1"/>
    <xf numFmtId="38" fontId="112" fillId="2" borderId="81" xfId="0" applyNumberFormat="1" applyFont="1" applyBorder="1"/>
    <xf numFmtId="38" fontId="105" fillId="23" borderId="9" xfId="0" applyNumberFormat="1" applyFont="1" applyFill="1" applyBorder="1" applyAlignment="1">
      <alignment horizontal="center"/>
    </xf>
    <xf numFmtId="174" fontId="15" fillId="2" borderId="273" xfId="0" applyNumberFormat="1" applyFont="1" applyBorder="1" applyAlignment="1">
      <alignment horizontal="left"/>
    </xf>
    <xf numFmtId="174" fontId="105" fillId="0" borderId="0" xfId="0" applyNumberFormat="1" applyFont="1" applyFill="1" applyBorder="1" applyProtection="1">
      <protection locked="0"/>
    </xf>
    <xf numFmtId="174" fontId="105" fillId="23" borderId="0" xfId="0" applyNumberFormat="1" applyFont="1" applyFill="1" applyBorder="1" applyProtection="1">
      <protection locked="0"/>
    </xf>
    <xf numFmtId="38" fontId="105" fillId="23" borderId="0" xfId="0" applyNumberFormat="1" applyFont="1" applyFill="1" applyBorder="1" applyProtection="1">
      <protection locked="0"/>
    </xf>
    <xf numFmtId="38" fontId="105" fillId="0" borderId="0" xfId="0" applyNumberFormat="1" applyFont="1" applyFill="1" applyBorder="1" applyProtection="1">
      <protection locked="0"/>
    </xf>
    <xf numFmtId="173" fontId="105" fillId="23" borderId="0" xfId="0" applyNumberFormat="1" applyFont="1" applyFill="1" applyBorder="1" applyProtection="1">
      <protection locked="0"/>
    </xf>
    <xf numFmtId="38" fontId="105" fillId="0" borderId="0" xfId="0" applyNumberFormat="1" applyFont="1" applyFill="1" applyBorder="1" applyAlignment="1" applyProtection="1">
      <alignment horizontal="right"/>
      <protection locked="0"/>
    </xf>
    <xf numFmtId="174" fontId="41" fillId="23" borderId="0" xfId="0" applyNumberFormat="1" applyFont="1" applyFill="1" applyBorder="1" applyAlignment="1" applyProtection="1">
      <alignment horizontal="center"/>
      <protection locked="0"/>
    </xf>
    <xf numFmtId="38" fontId="105" fillId="23" borderId="0" xfId="0" applyNumberFormat="1" applyFont="1" applyFill="1" applyBorder="1"/>
    <xf numFmtId="38" fontId="105" fillId="0" borderId="0" xfId="0" applyNumberFormat="1" applyFont="1" applyFill="1" applyBorder="1" applyAlignment="1" applyProtection="1">
      <alignment horizontal="center"/>
      <protection locked="0"/>
    </xf>
    <xf numFmtId="185" fontId="105" fillId="0" borderId="0" xfId="0" applyNumberFormat="1" applyFont="1" applyFill="1" applyBorder="1"/>
    <xf numFmtId="185" fontId="105" fillId="23" borderId="0" xfId="0" applyNumberFormat="1" applyFont="1" applyFill="1" applyBorder="1"/>
    <xf numFmtId="37" fontId="105" fillId="2" borderId="0" xfId="0" applyNumberFormat="1" applyFont="1" applyBorder="1" applyAlignment="1" applyProtection="1">
      <alignment horizontal="center"/>
      <protection locked="0"/>
    </xf>
    <xf numFmtId="174" fontId="105" fillId="2" borderId="0" xfId="0" applyNumberFormat="1" applyFont="1" applyBorder="1" applyAlignment="1">
      <alignment horizontal="right"/>
    </xf>
    <xf numFmtId="38" fontId="105" fillId="23" borderId="0" xfId="0" applyNumberFormat="1" applyFont="1" applyFill="1" applyBorder="1" applyAlignment="1">
      <alignment horizontal="center"/>
    </xf>
    <xf numFmtId="38" fontId="41" fillId="23" borderId="0" xfId="0" applyNumberFormat="1" applyFont="1" applyFill="1" applyBorder="1" applyAlignment="1" applyProtection="1">
      <alignment horizontal="center"/>
      <protection locked="0"/>
    </xf>
    <xf numFmtId="174" fontId="152" fillId="0" borderId="31" xfId="0" applyNumberFormat="1" applyFont="1" applyFill="1" applyBorder="1" applyProtection="1">
      <protection locked="0"/>
    </xf>
    <xf numFmtId="38" fontId="152" fillId="23" borderId="31" xfId="0" applyNumberFormat="1" applyFont="1" applyFill="1" applyBorder="1" applyProtection="1">
      <protection locked="0"/>
    </xf>
    <xf numFmtId="38" fontId="152" fillId="0" borderId="31" xfId="0" applyNumberFormat="1" applyFont="1" applyFill="1" applyBorder="1" applyProtection="1">
      <protection locked="0"/>
    </xf>
    <xf numFmtId="38" fontId="152" fillId="23" borderId="201" xfId="0" applyNumberFormat="1" applyFont="1" applyFill="1" applyBorder="1" applyProtection="1">
      <protection locked="0"/>
    </xf>
    <xf numFmtId="38" fontId="152" fillId="6" borderId="31" xfId="0" applyNumberFormat="1" applyFont="1" applyFill="1" applyBorder="1" applyProtection="1">
      <protection locked="0"/>
    </xf>
    <xf numFmtId="38" fontId="152" fillId="6" borderId="31" xfId="0" applyNumberFormat="1" applyFont="1" applyFill="1" applyBorder="1" applyAlignment="1">
      <alignment horizontal="right"/>
    </xf>
    <xf numFmtId="173" fontId="152" fillId="23" borderId="31" xfId="0" applyNumberFormat="1" applyFont="1" applyFill="1" applyBorder="1" applyProtection="1">
      <protection locked="0"/>
    </xf>
    <xf numFmtId="173" fontId="152" fillId="6" borderId="147" xfId="0" applyNumberFormat="1" applyFont="1" applyFill="1" applyBorder="1" applyProtection="1">
      <protection locked="0"/>
    </xf>
    <xf numFmtId="173" fontId="152" fillId="6" borderId="31" xfId="0" applyNumberFormat="1" applyFont="1" applyFill="1" applyBorder="1" applyProtection="1">
      <protection locked="0"/>
    </xf>
    <xf numFmtId="38" fontId="152" fillId="6" borderId="41" xfId="0" applyNumberFormat="1" applyFont="1" applyFill="1" applyBorder="1" applyProtection="1">
      <protection locked="0"/>
    </xf>
    <xf numFmtId="38" fontId="152" fillId="25" borderId="9" xfId="0" applyNumberFormat="1" applyFont="1" applyFill="1" applyBorder="1"/>
    <xf numFmtId="38" fontId="152" fillId="23" borderId="9" xfId="0" applyNumberFormat="1" applyFont="1" applyFill="1" applyBorder="1"/>
    <xf numFmtId="38" fontId="152" fillId="25" borderId="31" xfId="0" applyNumberFormat="1" applyFont="1" applyFill="1" applyBorder="1" applyProtection="1">
      <protection locked="0"/>
    </xf>
    <xf numFmtId="0" fontId="146" fillId="21" borderId="9" xfId="0" applyFont="1" applyFill="1" applyBorder="1"/>
    <xf numFmtId="185" fontId="152" fillId="0" borderId="31" xfId="0" applyNumberFormat="1" applyFont="1" applyFill="1" applyBorder="1"/>
    <xf numFmtId="185" fontId="152" fillId="23" borderId="147" xfId="0" applyNumberFormat="1" applyFont="1" applyFill="1" applyBorder="1"/>
    <xf numFmtId="37" fontId="152" fillId="2" borderId="9" xfId="0" applyNumberFormat="1" applyFont="1" applyBorder="1" applyAlignment="1" applyProtection="1">
      <alignment horizontal="center"/>
      <protection locked="0"/>
    </xf>
    <xf numFmtId="174" fontId="152" fillId="2" borderId="9" xfId="0" applyNumberFormat="1" applyFont="1" applyBorder="1" applyAlignment="1">
      <alignment horizontal="right"/>
    </xf>
    <xf numFmtId="38" fontId="152" fillId="23" borderId="9" xfId="0" applyNumberFormat="1" applyFont="1" applyFill="1" applyBorder="1" applyAlignment="1">
      <alignment horizontal="center"/>
    </xf>
    <xf numFmtId="173" fontId="4" fillId="23" borderId="292" xfId="0" applyNumberFormat="1" applyFont="1" applyFill="1" applyBorder="1" applyAlignment="1">
      <alignment horizontal="center"/>
    </xf>
    <xf numFmtId="173" fontId="4" fillId="23" borderId="298" xfId="0" applyNumberFormat="1" applyFont="1" applyFill="1" applyBorder="1" applyAlignment="1">
      <alignment horizontal="center"/>
    </xf>
    <xf numFmtId="173" fontId="4" fillId="23" borderId="106" xfId="0" applyNumberFormat="1" applyFont="1" applyFill="1" applyBorder="1" applyAlignment="1">
      <alignment horizontal="center"/>
    </xf>
    <xf numFmtId="173" fontId="4" fillId="23" borderId="240" xfId="0" applyNumberFormat="1" applyFont="1" applyFill="1" applyBorder="1" applyAlignment="1">
      <alignment horizontal="center"/>
    </xf>
    <xf numFmtId="173" fontId="4" fillId="23" borderId="268" xfId="0" applyNumberFormat="1" applyFont="1" applyFill="1" applyBorder="1" applyAlignment="1">
      <alignment horizontal="center"/>
    </xf>
    <xf numFmtId="0" fontId="146" fillId="6" borderId="2" xfId="0" applyFont="1" applyFill="1" applyBorder="1" applyAlignment="1">
      <alignment horizontal="center"/>
    </xf>
    <xf numFmtId="173" fontId="146" fillId="2" borderId="2" xfId="0" applyNumberFormat="1" applyFont="1" applyBorder="1"/>
    <xf numFmtId="174" fontId="146" fillId="0" borderId="2" xfId="0" applyNumberFormat="1" applyFont="1" applyFill="1" applyBorder="1"/>
    <xf numFmtId="173" fontId="146" fillId="2" borderId="118" xfId="0" applyNumberFormat="1" applyFont="1" applyBorder="1"/>
    <xf numFmtId="0" fontId="146" fillId="2" borderId="2" xfId="0" applyFont="1" applyBorder="1"/>
    <xf numFmtId="37" fontId="146" fillId="2" borderId="2" xfId="0" applyNumberFormat="1" applyFont="1" applyBorder="1"/>
    <xf numFmtId="37" fontId="146" fillId="12" borderId="2" xfId="0" applyNumberFormat="1" applyFont="1" applyFill="1" applyBorder="1"/>
    <xf numFmtId="0" fontId="146" fillId="6" borderId="297" xfId="0" applyFont="1" applyFill="1" applyBorder="1" applyAlignment="1">
      <alignment horizontal="center"/>
    </xf>
    <xf numFmtId="0" fontId="72" fillId="24" borderId="108" xfId="0" applyFont="1" applyFill="1" applyBorder="1"/>
    <xf numFmtId="0" fontId="72" fillId="24" borderId="159" xfId="0" applyFont="1" applyFill="1" applyBorder="1"/>
    <xf numFmtId="0" fontId="72" fillId="24" borderId="153" xfId="0" applyFont="1" applyFill="1" applyBorder="1"/>
    <xf numFmtId="0" fontId="72" fillId="24" borderId="91" xfId="0" applyFont="1" applyFill="1" applyBorder="1"/>
    <xf numFmtId="0" fontId="72" fillId="24" borderId="128" xfId="0" applyFont="1" applyFill="1" applyBorder="1"/>
    <xf numFmtId="0" fontId="72" fillId="24" borderId="74" xfId="0" applyFont="1" applyFill="1" applyBorder="1"/>
    <xf numFmtId="0" fontId="9" fillId="24" borderId="225" xfId="0" quotePrefix="1" applyFont="1" applyFill="1" applyBorder="1" applyAlignment="1">
      <alignment horizontal="center"/>
    </xf>
    <xf numFmtId="0" fontId="25" fillId="24" borderId="228" xfId="0" applyFont="1" applyFill="1" applyBorder="1" applyAlignment="1">
      <alignment horizontal="center"/>
    </xf>
    <xf numFmtId="0" fontId="25" fillId="24" borderId="98" xfId="0" applyFont="1" applyFill="1" applyBorder="1" applyAlignment="1">
      <alignment horizontal="center"/>
    </xf>
    <xf numFmtId="0" fontId="25" fillId="24" borderId="231" xfId="0" applyFont="1" applyFill="1" applyBorder="1" applyAlignment="1">
      <alignment horizontal="center"/>
    </xf>
    <xf numFmtId="0" fontId="72" fillId="24" borderId="91" xfId="0" applyFont="1" applyFill="1" applyBorder="1" applyAlignment="1">
      <alignment horizontal="center"/>
    </xf>
    <xf numFmtId="0" fontId="72" fillId="24" borderId="128" xfId="0" applyFont="1" applyFill="1" applyBorder="1" applyAlignment="1">
      <alignment horizontal="center"/>
    </xf>
    <xf numFmtId="0" fontId="72" fillId="24" borderId="74" xfId="0" applyFont="1" applyFill="1" applyBorder="1" applyAlignment="1">
      <alignment horizontal="center"/>
    </xf>
    <xf numFmtId="0" fontId="72" fillId="24" borderId="204" xfId="0" applyFont="1" applyFill="1" applyBorder="1" applyAlignment="1">
      <alignment horizontal="center"/>
    </xf>
    <xf numFmtId="0" fontId="72" fillId="24" borderId="119" xfId="0" applyFont="1" applyFill="1" applyBorder="1" applyAlignment="1">
      <alignment horizontal="center"/>
    </xf>
    <xf numFmtId="0" fontId="72" fillId="24" borderId="205" xfId="0" applyFont="1" applyFill="1" applyBorder="1" applyAlignment="1">
      <alignment horizontal="center"/>
    </xf>
    <xf numFmtId="173" fontId="72" fillId="24" borderId="160" xfId="0" applyNumberFormat="1" applyFont="1" applyFill="1" applyBorder="1"/>
    <xf numFmtId="173" fontId="72" fillId="24" borderId="234" xfId="0" applyNumberFormat="1" applyFont="1" applyFill="1" applyBorder="1"/>
    <xf numFmtId="173" fontId="72" fillId="24" borderId="232" xfId="0" applyNumberFormat="1" applyFont="1" applyFill="1" applyBorder="1"/>
    <xf numFmtId="37" fontId="72" fillId="24" borderId="160" xfId="0" applyNumberFormat="1" applyFont="1" applyFill="1" applyBorder="1"/>
    <xf numFmtId="37" fontId="72" fillId="24" borderId="234" xfId="0" applyNumberFormat="1" applyFont="1" applyFill="1" applyBorder="1"/>
    <xf numFmtId="37" fontId="72" fillId="24" borderId="232" xfId="0" applyNumberFormat="1" applyFont="1" applyFill="1" applyBorder="1"/>
    <xf numFmtId="37" fontId="72" fillId="24" borderId="91" xfId="0" applyNumberFormat="1" applyFont="1" applyFill="1" applyBorder="1"/>
    <xf numFmtId="37" fontId="72" fillId="24" borderId="128" xfId="0" applyNumberFormat="1" applyFont="1" applyFill="1" applyBorder="1"/>
    <xf numFmtId="176" fontId="72" fillId="24" borderId="160" xfId="0" applyNumberFormat="1" applyFont="1" applyFill="1" applyBorder="1"/>
    <xf numFmtId="176" fontId="72" fillId="24" borderId="234" xfId="0" applyNumberFormat="1" applyFont="1" applyFill="1" applyBorder="1"/>
    <xf numFmtId="176" fontId="72" fillId="24" borderId="232" xfId="0" applyNumberFormat="1" applyFont="1" applyFill="1" applyBorder="1"/>
    <xf numFmtId="176" fontId="72" fillId="24" borderId="91" xfId="0" applyNumberFormat="1" applyFont="1" applyFill="1" applyBorder="1"/>
    <xf numFmtId="176" fontId="72" fillId="24" borderId="128" xfId="0" applyNumberFormat="1" applyFont="1" applyFill="1" applyBorder="1"/>
    <xf numFmtId="176" fontId="72" fillId="24" borderId="74" xfId="0" applyNumberFormat="1" applyFont="1" applyFill="1" applyBorder="1"/>
    <xf numFmtId="37" fontId="72" fillId="24" borderId="74" xfId="0" applyNumberFormat="1" applyFont="1" applyFill="1" applyBorder="1"/>
    <xf numFmtId="37" fontId="72" fillId="24" borderId="227" xfId="0" applyNumberFormat="1" applyFont="1" applyFill="1" applyBorder="1"/>
    <xf numFmtId="37" fontId="72" fillId="24" borderId="225" xfId="0" applyNumberFormat="1" applyFont="1" applyFill="1" applyBorder="1"/>
    <xf numFmtId="37" fontId="72" fillId="24" borderId="230" xfId="0" applyNumberFormat="1" applyFont="1" applyFill="1" applyBorder="1"/>
    <xf numFmtId="37" fontId="72" fillId="24" borderId="91" xfId="0" applyNumberFormat="1" applyFont="1" applyFill="1" applyBorder="1" applyAlignment="1">
      <alignment horizontal="center"/>
    </xf>
    <xf numFmtId="37" fontId="72" fillId="24" borderId="128" xfId="0" applyNumberFormat="1" applyFont="1" applyFill="1" applyBorder="1" applyAlignment="1">
      <alignment horizontal="center"/>
    </xf>
    <xf numFmtId="37" fontId="72" fillId="24" borderId="229" xfId="0" applyNumberFormat="1" applyFont="1" applyFill="1" applyBorder="1"/>
    <xf numFmtId="37" fontId="72" fillId="24" borderId="226" xfId="0" applyNumberFormat="1" applyFont="1" applyFill="1" applyBorder="1"/>
    <xf numFmtId="37" fontId="72" fillId="24" borderId="233" xfId="0" applyNumberFormat="1" applyFont="1" applyFill="1" applyBorder="1"/>
    <xf numFmtId="0" fontId="72" fillId="24" borderId="0" xfId="0" applyFont="1" applyFill="1"/>
    <xf numFmtId="0" fontId="4" fillId="27" borderId="40" xfId="0" applyFont="1" applyFill="1" applyBorder="1" applyAlignment="1">
      <alignment horizontal="center"/>
    </xf>
    <xf numFmtId="0" fontId="0" fillId="27" borderId="21" xfId="0" applyFill="1" applyBorder="1"/>
    <xf numFmtId="38" fontId="4" fillId="27" borderId="31" xfId="0" applyNumberFormat="1" applyFont="1" applyFill="1" applyBorder="1" applyAlignment="1">
      <alignment horizontal="center"/>
    </xf>
    <xf numFmtId="0" fontId="4" fillId="27" borderId="22" xfId="0" applyFont="1" applyFill="1" applyBorder="1" applyAlignment="1">
      <alignment horizontal="right"/>
    </xf>
    <xf numFmtId="0" fontId="75" fillId="21" borderId="181" xfId="0" applyFont="1" applyFill="1" applyBorder="1" applyAlignment="1">
      <alignment horizontal="center"/>
    </xf>
    <xf numFmtId="37" fontId="82" fillId="21" borderId="183" xfId="0" applyNumberFormat="1" applyFont="1" applyFill="1" applyBorder="1" applyProtection="1">
      <protection locked="0"/>
    </xf>
    <xf numFmtId="37" fontId="82" fillId="21" borderId="183" xfId="0" applyNumberFormat="1" applyFont="1" applyFill="1" applyBorder="1"/>
    <xf numFmtId="37" fontId="79" fillId="21" borderId="183" xfId="0" applyNumberFormat="1" applyFont="1" applyFill="1" applyBorder="1"/>
    <xf numFmtId="37" fontId="82" fillId="21" borderId="184" xfId="0" applyNumberFormat="1" applyFont="1" applyFill="1" applyBorder="1"/>
    <xf numFmtId="37" fontId="82" fillId="21" borderId="185" xfId="0" applyNumberFormat="1" applyFont="1" applyFill="1" applyBorder="1"/>
    <xf numFmtId="167" fontId="82" fillId="21" borderId="185" xfId="0" applyNumberFormat="1" applyFont="1" applyFill="1" applyBorder="1"/>
    <xf numFmtId="37" fontId="82" fillId="21" borderId="185" xfId="0" applyNumberFormat="1" applyFont="1" applyFill="1" applyBorder="1" applyProtection="1">
      <protection locked="0"/>
    </xf>
    <xf numFmtId="0" fontId="82" fillId="21" borderId="203" xfId="0" applyFont="1" applyFill="1" applyBorder="1"/>
    <xf numFmtId="173" fontId="82" fillId="21" borderId="186" xfId="0" applyNumberFormat="1" applyFont="1" applyFill="1" applyBorder="1"/>
    <xf numFmtId="173" fontId="82" fillId="21" borderId="187" xfId="0" applyNumberFormat="1" applyFont="1" applyFill="1" applyBorder="1"/>
    <xf numFmtId="37" fontId="82" fillId="21" borderId="187" xfId="0" applyNumberFormat="1" applyFont="1" applyFill="1" applyBorder="1"/>
    <xf numFmtId="37" fontId="82" fillId="21" borderId="188" xfId="0" applyNumberFormat="1" applyFont="1" applyFill="1" applyBorder="1"/>
    <xf numFmtId="0" fontId="1" fillId="37" borderId="293" xfId="0" applyFont="1" applyFill="1" applyBorder="1" applyAlignment="1">
      <alignment horizontal="center"/>
    </xf>
    <xf numFmtId="0" fontId="75" fillId="24" borderId="293" xfId="0" applyFont="1" applyFill="1" applyBorder="1" applyAlignment="1">
      <alignment horizontal="center"/>
    </xf>
    <xf numFmtId="0" fontId="41" fillId="21" borderId="31" xfId="0" applyFont="1" applyFill="1" applyBorder="1" applyAlignment="1">
      <alignment horizontal="center"/>
    </xf>
    <xf numFmtId="0" fontId="29" fillId="2" borderId="0" xfId="0" applyFont="1" applyAlignment="1">
      <alignment horizontal="right"/>
    </xf>
    <xf numFmtId="0" fontId="4" fillId="23" borderId="0" xfId="0" applyFont="1" applyFill="1" applyBorder="1" applyAlignment="1">
      <alignment horizontal="right"/>
    </xf>
    <xf numFmtId="0" fontId="7" fillId="21" borderId="11" xfId="0" applyFont="1" applyFill="1" applyBorder="1"/>
    <xf numFmtId="0" fontId="12" fillId="2" borderId="256" xfId="2" applyFont="1" applyFill="1" applyBorder="1" applyAlignment="1" applyProtection="1"/>
    <xf numFmtId="0" fontId="12" fillId="2" borderId="9" xfId="2" applyFont="1" applyFill="1" applyBorder="1" applyAlignment="1" applyProtection="1"/>
    <xf numFmtId="0" fontId="15" fillId="23" borderId="275" xfId="0" applyFont="1" applyFill="1" applyBorder="1"/>
    <xf numFmtId="0" fontId="0" fillId="23" borderId="296" xfId="0" applyFill="1" applyBorder="1"/>
    <xf numFmtId="0" fontId="106" fillId="23" borderId="296" xfId="0" applyFont="1" applyFill="1" applyBorder="1"/>
    <xf numFmtId="0" fontId="106" fillId="23" borderId="268" xfId="0" applyFont="1" applyFill="1" applyBorder="1"/>
    <xf numFmtId="0" fontId="41" fillId="23" borderId="295" xfId="0" applyFont="1" applyFill="1" applyBorder="1"/>
    <xf numFmtId="0" fontId="15" fillId="23" borderId="271" xfId="0" applyFont="1" applyFill="1" applyBorder="1"/>
    <xf numFmtId="0" fontId="105" fillId="23" borderId="199" xfId="0" applyFont="1" applyFill="1" applyBorder="1"/>
    <xf numFmtId="0" fontId="41" fillId="23" borderId="275" xfId="0" applyFont="1" applyFill="1" applyBorder="1"/>
    <xf numFmtId="0" fontId="41" fillId="23" borderId="290" xfId="0" applyFont="1" applyFill="1" applyBorder="1"/>
    <xf numFmtId="0" fontId="15" fillId="44" borderId="55" xfId="0" quotePrefix="1" applyFont="1" applyFill="1" applyBorder="1" applyAlignment="1">
      <alignment horizontal="center"/>
    </xf>
    <xf numFmtId="0" fontId="15" fillId="44" borderId="9" xfId="2" applyFont="1" applyFill="1" applyBorder="1" applyAlignment="1" applyProtection="1">
      <alignment horizontal="left"/>
    </xf>
    <xf numFmtId="0" fontId="15" fillId="44" borderId="242" xfId="0" applyFont="1" applyFill="1" applyBorder="1"/>
    <xf numFmtId="0" fontId="12" fillId="44" borderId="9" xfId="2" applyFont="1" applyFill="1" applyBorder="1" applyAlignment="1" applyProtection="1">
      <alignment horizontal="left"/>
    </xf>
    <xf numFmtId="0" fontId="36" fillId="21" borderId="294" xfId="0" applyFont="1" applyFill="1" applyBorder="1" applyAlignment="1">
      <alignment horizontal="center"/>
    </xf>
    <xf numFmtId="0" fontId="0" fillId="23" borderId="9" xfId="0" applyFill="1" applyBorder="1"/>
    <xf numFmtId="173" fontId="124" fillId="23" borderId="0" xfId="0" applyNumberFormat="1" applyFont="1" applyFill="1" applyBorder="1" applyProtection="1">
      <protection locked="0"/>
    </xf>
    <xf numFmtId="38" fontId="124" fillId="23" borderId="0" xfId="0" applyNumberFormat="1" applyFont="1" applyFill="1" applyBorder="1" applyProtection="1">
      <protection locked="0"/>
    </xf>
    <xf numFmtId="0" fontId="109" fillId="21" borderId="291" xfId="0" applyFont="1" applyFill="1" applyBorder="1" applyAlignment="1">
      <alignment horizontal="center"/>
    </xf>
    <xf numFmtId="0" fontId="109" fillId="21" borderId="273" xfId="0" applyFont="1" applyFill="1" applyBorder="1" applyAlignment="1">
      <alignment horizontal="center"/>
    </xf>
    <xf numFmtId="38" fontId="105" fillId="23" borderId="0" xfId="0" applyNumberFormat="1" applyFont="1" applyFill="1" applyBorder="1" applyAlignment="1">
      <alignment horizontal="right"/>
    </xf>
    <xf numFmtId="0" fontId="0" fillId="21" borderId="291" xfId="0" applyFill="1" applyBorder="1"/>
    <xf numFmtId="0" fontId="0" fillId="21" borderId="273" xfId="0" applyFill="1" applyBorder="1"/>
    <xf numFmtId="0" fontId="88" fillId="21" borderId="291" xfId="0" applyFont="1" applyFill="1" applyBorder="1" applyAlignment="1">
      <alignment horizontal="center"/>
    </xf>
    <xf numFmtId="0" fontId="102" fillId="21" borderId="273" xfId="0" applyFont="1" applyFill="1" applyBorder="1" applyAlignment="1">
      <alignment horizontal="center"/>
    </xf>
    <xf numFmtId="0" fontId="15" fillId="44" borderId="249" xfId="2" applyFont="1" applyFill="1" applyBorder="1" applyAlignment="1" applyProtection="1">
      <alignment horizontal="left"/>
    </xf>
    <xf numFmtId="0" fontId="0" fillId="44" borderId="241" xfId="0" applyFill="1" applyBorder="1"/>
    <xf numFmtId="0" fontId="69" fillId="12" borderId="11" xfId="0" applyFont="1" applyFill="1" applyBorder="1"/>
    <xf numFmtId="174" fontId="125" fillId="2" borderId="273" xfId="0" applyNumberFormat="1" applyFont="1" applyBorder="1" applyAlignment="1"/>
    <xf numFmtId="38" fontId="125" fillId="23" borderId="9" xfId="0" applyNumberFormat="1" applyFont="1" applyFill="1" applyBorder="1"/>
    <xf numFmtId="174" fontId="125" fillId="23" borderId="9" xfId="0" applyNumberFormat="1" applyFont="1" applyFill="1" applyBorder="1"/>
    <xf numFmtId="0" fontId="153" fillId="4" borderId="294" xfId="0" applyFont="1" applyFill="1" applyBorder="1"/>
    <xf numFmtId="174" fontId="154" fillId="0" borderId="31" xfId="0" applyNumberFormat="1" applyFont="1" applyFill="1" applyBorder="1" applyProtection="1">
      <protection locked="0"/>
    </xf>
    <xf numFmtId="0" fontId="155" fillId="21" borderId="9" xfId="0" applyFont="1" applyFill="1" applyBorder="1"/>
    <xf numFmtId="38" fontId="154" fillId="23" borderId="31" xfId="0" applyNumberFormat="1" applyFont="1" applyFill="1" applyBorder="1" applyProtection="1">
      <protection locked="0"/>
    </xf>
    <xf numFmtId="38" fontId="154" fillId="0" borderId="31" xfId="0" applyNumberFormat="1" applyFont="1" applyFill="1" applyBorder="1" applyProtection="1">
      <protection locked="0"/>
    </xf>
    <xf numFmtId="38" fontId="154" fillId="6" borderId="31" xfId="0" applyNumberFormat="1" applyFont="1" applyFill="1" applyBorder="1" applyProtection="1">
      <protection locked="0"/>
    </xf>
    <xf numFmtId="38" fontId="154" fillId="6" borderId="31" xfId="0" applyNumberFormat="1" applyFont="1" applyFill="1" applyBorder="1" applyAlignment="1">
      <alignment horizontal="right"/>
    </xf>
    <xf numFmtId="173" fontId="154" fillId="23" borderId="147" xfId="0" applyNumberFormat="1" applyFont="1" applyFill="1" applyBorder="1" applyProtection="1">
      <protection locked="0"/>
    </xf>
    <xf numFmtId="173" fontId="154" fillId="6" borderId="147" xfId="0" applyNumberFormat="1" applyFont="1" applyFill="1" applyBorder="1" applyProtection="1">
      <protection locked="0"/>
    </xf>
    <xf numFmtId="173" fontId="154" fillId="6" borderId="31" xfId="0" applyNumberFormat="1" applyFont="1" applyFill="1" applyBorder="1" applyProtection="1">
      <protection locked="0"/>
    </xf>
    <xf numFmtId="38" fontId="154" fillId="6" borderId="41" xfId="0" applyNumberFormat="1" applyFont="1" applyFill="1" applyBorder="1" applyProtection="1">
      <protection locked="0"/>
    </xf>
    <xf numFmtId="38" fontId="154" fillId="23" borderId="9" xfId="0" applyNumberFormat="1" applyFont="1" applyFill="1" applyBorder="1"/>
    <xf numFmtId="38" fontId="154" fillId="25" borderId="9" xfId="0" applyNumberFormat="1" applyFont="1" applyFill="1" applyBorder="1"/>
    <xf numFmtId="38" fontId="154" fillId="0" borderId="270" xfId="0" applyNumberFormat="1" applyFont="1" applyFill="1" applyBorder="1" applyAlignment="1" applyProtection="1">
      <alignment horizontal="center"/>
      <protection locked="0"/>
    </xf>
    <xf numFmtId="38" fontId="154" fillId="25" borderId="31" xfId="0" applyNumberFormat="1" applyFont="1" applyFill="1" applyBorder="1" applyProtection="1">
      <protection locked="0"/>
    </xf>
    <xf numFmtId="185" fontId="154" fillId="0" borderId="31" xfId="0" applyNumberFormat="1" applyFont="1" applyFill="1" applyBorder="1"/>
    <xf numFmtId="185" fontId="154" fillId="23" borderId="147" xfId="0" applyNumberFormat="1" applyFont="1" applyFill="1" applyBorder="1"/>
    <xf numFmtId="37" fontId="154" fillId="2" borderId="9" xfId="0" applyNumberFormat="1" applyFont="1" applyBorder="1" applyAlignment="1" applyProtection="1">
      <alignment horizontal="center"/>
      <protection locked="0"/>
    </xf>
    <xf numFmtId="174" fontId="154" fillId="2" borderId="9" xfId="0" applyNumberFormat="1" applyFont="1" applyBorder="1" applyAlignment="1">
      <alignment horizontal="right"/>
    </xf>
    <xf numFmtId="38" fontId="154" fillId="23" borderId="294" xfId="0" applyNumberFormat="1" applyFont="1" applyFill="1" applyBorder="1" applyAlignment="1">
      <alignment horizontal="center"/>
    </xf>
    <xf numFmtId="0" fontId="156" fillId="2" borderId="0" xfId="0" applyFont="1"/>
    <xf numFmtId="38" fontId="154" fillId="23" borderId="133" xfId="0" applyNumberFormat="1" applyFont="1" applyFill="1" applyBorder="1" applyAlignment="1" applyProtection="1">
      <alignment horizontal="center"/>
      <protection locked="0"/>
    </xf>
    <xf numFmtId="0" fontId="42" fillId="45" borderId="292" xfId="0" applyFont="1" applyFill="1" applyBorder="1"/>
    <xf numFmtId="0" fontId="42" fillId="45" borderId="298" xfId="0" applyFont="1" applyFill="1" applyBorder="1" applyAlignment="1">
      <alignment horizontal="center"/>
    </xf>
    <xf numFmtId="0" fontId="41" fillId="45" borderId="298" xfId="0" applyFont="1" applyFill="1" applyBorder="1" applyAlignment="1">
      <alignment horizontal="center"/>
    </xf>
    <xf numFmtId="0" fontId="41" fillId="45" borderId="268" xfId="0" applyFont="1" applyFill="1" applyBorder="1" applyAlignment="1">
      <alignment horizontal="center"/>
    </xf>
    <xf numFmtId="0" fontId="0" fillId="2" borderId="294" xfId="0" quotePrefix="1" applyBorder="1" applyAlignment="1">
      <alignment horizontal="center"/>
    </xf>
    <xf numFmtId="174" fontId="15" fillId="2" borderId="294" xfId="0" applyNumberFormat="1" applyFont="1" applyBorder="1"/>
    <xf numFmtId="0" fontId="0" fillId="45" borderId="292" xfId="0" applyFill="1" applyBorder="1" applyAlignment="1">
      <alignment horizontal="center"/>
    </xf>
    <xf numFmtId="0" fontId="0" fillId="45" borderId="298" xfId="0" applyFill="1" applyBorder="1"/>
    <xf numFmtId="0" fontId="0" fillId="45" borderId="268" xfId="0" applyFill="1" applyBorder="1"/>
    <xf numFmtId="0" fontId="15" fillId="23" borderId="294" xfId="0" quotePrefix="1" applyFont="1" applyFill="1" applyBorder="1" applyAlignment="1">
      <alignment horizontal="center"/>
    </xf>
    <xf numFmtId="0" fontId="15" fillId="23" borderId="294" xfId="0" applyFont="1" applyFill="1" applyBorder="1"/>
    <xf numFmtId="173" fontId="0" fillId="2" borderId="9" xfId="0" applyNumberFormat="1" applyBorder="1" applyAlignment="1">
      <alignment horizontal="right"/>
    </xf>
    <xf numFmtId="0" fontId="4" fillId="2" borderId="0" xfId="0" applyFont="1" applyBorder="1" applyAlignment="1">
      <alignment horizontal="left"/>
    </xf>
    <xf numFmtId="174" fontId="4" fillId="23" borderId="113" xfId="0" applyNumberFormat="1" applyFont="1" applyFill="1" applyBorder="1" applyAlignment="1">
      <alignment horizontal="center"/>
    </xf>
    <xf numFmtId="0" fontId="4" fillId="2" borderId="96" xfId="0" applyFont="1" applyBorder="1" applyAlignment="1">
      <alignment horizontal="left"/>
    </xf>
    <xf numFmtId="173" fontId="0" fillId="2" borderId="84" xfId="0" applyNumberFormat="1" applyBorder="1" applyAlignment="1">
      <alignment horizontal="center"/>
    </xf>
    <xf numFmtId="38" fontId="78" fillId="4" borderId="113" xfId="0" applyNumberFormat="1" applyFont="1" applyFill="1" applyBorder="1" applyProtection="1">
      <protection locked="0"/>
    </xf>
    <xf numFmtId="0" fontId="158" fillId="0" borderId="0" xfId="0" applyFont="1" applyFill="1" applyBorder="1" applyAlignment="1"/>
    <xf numFmtId="49" fontId="158" fillId="0" borderId="0" xfId="0" applyNumberFormat="1" applyFont="1" applyFill="1" applyBorder="1" applyAlignment="1"/>
    <xf numFmtId="0" fontId="15" fillId="4" borderId="290" xfId="0" applyFont="1" applyFill="1" applyBorder="1"/>
    <xf numFmtId="0" fontId="64" fillId="4" borderId="290" xfId="0" applyFont="1" applyFill="1" applyBorder="1"/>
    <xf numFmtId="38" fontId="123" fillId="6" borderId="273" xfId="0" applyNumberFormat="1" applyFont="1" applyFill="1" applyBorder="1" applyProtection="1">
      <protection locked="0"/>
    </xf>
    <xf numFmtId="0" fontId="0" fillId="21" borderId="268" xfId="0" applyFill="1" applyBorder="1"/>
    <xf numFmtId="0" fontId="88" fillId="21" borderId="31" xfId="0" applyFont="1" applyFill="1" applyBorder="1" applyAlignment="1">
      <alignment horizontal="center"/>
    </xf>
    <xf numFmtId="6" fontId="15" fillId="2" borderId="109" xfId="0" applyNumberFormat="1" applyFont="1" applyBorder="1" applyAlignment="1">
      <alignment horizontal="center"/>
    </xf>
    <xf numFmtId="0" fontId="102" fillId="21" borderId="294" xfId="0" applyFont="1" applyFill="1" applyBorder="1" applyAlignment="1">
      <alignment horizontal="center"/>
    </xf>
    <xf numFmtId="0" fontId="105" fillId="23" borderId="290" xfId="0" applyFont="1" applyFill="1" applyBorder="1" applyAlignment="1">
      <alignment horizontal="right"/>
    </xf>
    <xf numFmtId="0" fontId="3" fillId="23" borderId="11" xfId="0" applyFont="1" applyFill="1" applyBorder="1" applyAlignment="1"/>
    <xf numFmtId="0" fontId="36" fillId="22" borderId="240" xfId="0" applyFont="1" applyFill="1" applyBorder="1" applyAlignment="1">
      <alignment horizontal="left"/>
    </xf>
    <xf numFmtId="0" fontId="142" fillId="22" borderId="268" xfId="0" applyFont="1" applyFill="1" applyBorder="1" applyAlignment="1">
      <alignment horizontal="center"/>
    </xf>
    <xf numFmtId="0" fontId="105" fillId="23" borderId="10" xfId="0" applyFont="1" applyFill="1" applyBorder="1" applyAlignment="1"/>
    <xf numFmtId="174" fontId="124" fillId="24" borderId="273" xfId="0" applyNumberFormat="1" applyFont="1" applyFill="1" applyBorder="1"/>
    <xf numFmtId="38" fontId="124" fillId="24" borderId="273" xfId="0" applyNumberFormat="1" applyFont="1" applyFill="1" applyBorder="1"/>
    <xf numFmtId="173" fontId="124" fillId="24" borderId="9" xfId="0" applyNumberFormat="1" applyFont="1" applyFill="1" applyBorder="1" applyAlignment="1">
      <alignment horizontal="right"/>
    </xf>
    <xf numFmtId="38" fontId="125" fillId="24" borderId="9" xfId="0" applyNumberFormat="1" applyFont="1" applyFill="1" applyBorder="1" applyAlignment="1">
      <alignment horizontal="right"/>
    </xf>
    <xf numFmtId="38" fontId="125" fillId="24" borderId="294" xfId="0" applyNumberFormat="1" applyFont="1" applyFill="1" applyBorder="1" applyAlignment="1">
      <alignment horizontal="center"/>
    </xf>
    <xf numFmtId="174" fontId="125" fillId="24" borderId="31" xfId="0" applyNumberFormat="1" applyFont="1" applyFill="1" applyBorder="1" applyAlignment="1">
      <alignment horizontal="right"/>
    </xf>
    <xf numFmtId="0" fontId="41" fillId="24" borderId="302" xfId="0" applyFont="1" applyFill="1" applyBorder="1"/>
    <xf numFmtId="0" fontId="0" fillId="24" borderId="303" xfId="0" applyFill="1" applyBorder="1"/>
    <xf numFmtId="0" fontId="0" fillId="24" borderId="304" xfId="0" applyFill="1" applyBorder="1"/>
    <xf numFmtId="38" fontId="0" fillId="22" borderId="302" xfId="0" applyNumberFormat="1" applyFill="1" applyBorder="1" applyAlignment="1">
      <alignment horizontal="right"/>
    </xf>
    <xf numFmtId="0" fontId="15" fillId="23" borderId="96" xfId="0" applyFont="1" applyFill="1" applyBorder="1" applyAlignment="1">
      <alignment horizontal="left"/>
    </xf>
    <xf numFmtId="0" fontId="15" fillId="4" borderId="302" xfId="0" applyFont="1" applyFill="1" applyBorder="1"/>
    <xf numFmtId="0" fontId="0" fillId="2" borderId="304" xfId="0" applyBorder="1"/>
    <xf numFmtId="0" fontId="15" fillId="2" borderId="301" xfId="0" applyFont="1" applyBorder="1"/>
    <xf numFmtId="0" fontId="0" fillId="2" borderId="0" xfId="0" applyNumberFormat="1" applyAlignment="1">
      <alignment horizontal="center"/>
    </xf>
    <xf numFmtId="0" fontId="105" fillId="2" borderId="0" xfId="0" applyNumberFormat="1" applyFont="1"/>
    <xf numFmtId="0" fontId="0" fillId="2" borderId="0" xfId="0" applyNumberFormat="1"/>
    <xf numFmtId="0" fontId="41" fillId="2" borderId="0" xfId="0" applyNumberFormat="1" applyFont="1"/>
    <xf numFmtId="0" fontId="41" fillId="2" borderId="0" xfId="0" applyNumberFormat="1" applyFont="1" applyAlignment="1">
      <alignment horizontal="left"/>
    </xf>
    <xf numFmtId="0" fontId="41" fillId="21" borderId="301" xfId="0" applyNumberFormat="1" applyFont="1" applyFill="1" applyBorder="1" applyAlignment="1">
      <alignment horizontal="center"/>
    </xf>
    <xf numFmtId="0" fontId="15" fillId="52" borderId="291" xfId="0" applyNumberFormat="1" applyFont="1" applyFill="1" applyBorder="1" applyAlignment="1">
      <alignment horizontal="center"/>
    </xf>
    <xf numFmtId="0" fontId="160" fillId="52" borderId="305" xfId="1" applyFont="1" applyFill="1" applyBorder="1"/>
    <xf numFmtId="0" fontId="161" fillId="52" borderId="301" xfId="0" quotePrefix="1" applyNumberFormat="1" applyFont="1" applyFill="1" applyBorder="1" applyAlignment="1">
      <alignment horizontal="center"/>
    </xf>
    <xf numFmtId="0" fontId="15" fillId="2" borderId="301" xfId="0" applyFont="1" applyBorder="1" applyAlignment="1">
      <alignment horizontal="center"/>
    </xf>
    <xf numFmtId="6" fontId="15" fillId="2" borderId="301" xfId="0" applyNumberFormat="1" applyFont="1" applyBorder="1"/>
    <xf numFmtId="182" fontId="15" fillId="2" borderId="301" xfId="0" applyNumberFormat="1" applyFont="1" applyBorder="1"/>
    <xf numFmtId="6" fontId="15" fillId="23" borderId="301" xfId="0" applyNumberFormat="1" applyFont="1" applyFill="1" applyBorder="1"/>
    <xf numFmtId="0" fontId="15" fillId="2" borderId="0" xfId="0" applyNumberFormat="1" applyFont="1"/>
    <xf numFmtId="0" fontId="15" fillId="52" borderId="301" xfId="0" applyFont="1" applyFill="1" applyBorder="1" applyAlignment="1">
      <alignment horizontal="center"/>
    </xf>
    <xf numFmtId="0" fontId="160" fillId="52" borderId="301" xfId="1" applyFont="1" applyFill="1" applyBorder="1"/>
    <xf numFmtId="0" fontId="15" fillId="52" borderId="301" xfId="0" applyNumberFormat="1" applyFont="1" applyFill="1" applyBorder="1"/>
    <xf numFmtId="6" fontId="15" fillId="52" borderId="301" xfId="0" applyNumberFormat="1" applyFont="1" applyFill="1" applyBorder="1"/>
    <xf numFmtId="6" fontId="162" fillId="2" borderId="301" xfId="0" applyNumberFormat="1" applyFont="1" applyBorder="1"/>
    <xf numFmtId="0" fontId="163" fillId="2" borderId="301" xfId="0" applyFont="1" applyBorder="1"/>
    <xf numFmtId="0" fontId="15" fillId="22" borderId="301" xfId="0" applyFont="1" applyFill="1" applyBorder="1" applyAlignment="1">
      <alignment horizontal="center"/>
    </xf>
    <xf numFmtId="0" fontId="164" fillId="22" borderId="302" xfId="0" applyFont="1" applyFill="1" applyBorder="1"/>
    <xf numFmtId="0" fontId="15" fillId="22" borderId="304" xfId="0" applyNumberFormat="1" applyFont="1" applyFill="1" applyBorder="1"/>
    <xf numFmtId="6" fontId="41" fillId="22" borderId="301" xfId="0" applyNumberFormat="1" applyFont="1" applyFill="1" applyBorder="1"/>
    <xf numFmtId="0" fontId="15" fillId="23" borderId="298" xfId="0" applyFont="1" applyFill="1" applyBorder="1"/>
    <xf numFmtId="38" fontId="100" fillId="6" borderId="273" xfId="0" applyNumberFormat="1" applyFont="1" applyFill="1" applyBorder="1" applyProtection="1">
      <protection locked="0"/>
    </xf>
    <xf numFmtId="38" fontId="154" fillId="6" borderId="273" xfId="0" applyNumberFormat="1" applyFont="1" applyFill="1" applyBorder="1" applyProtection="1">
      <protection locked="0"/>
    </xf>
    <xf numFmtId="38" fontId="105" fillId="6" borderId="273" xfId="0" applyNumberFormat="1" applyFont="1" applyFill="1" applyBorder="1" applyProtection="1">
      <protection locked="0"/>
    </xf>
    <xf numFmtId="38" fontId="152" fillId="6" borderId="273" xfId="0" applyNumberFormat="1" applyFont="1" applyFill="1" applyBorder="1" applyProtection="1">
      <protection locked="0"/>
    </xf>
    <xf numFmtId="0" fontId="15" fillId="4" borderId="298" xfId="0" applyFont="1" applyFill="1" applyBorder="1"/>
    <xf numFmtId="0" fontId="105" fillId="23" borderId="10" xfId="0" applyFont="1" applyFill="1" applyBorder="1"/>
    <xf numFmtId="0" fontId="105" fillId="4" borderId="28" xfId="0" applyFont="1" applyFill="1" applyBorder="1"/>
    <xf numFmtId="38" fontId="123" fillId="21" borderId="273" xfId="0" applyNumberFormat="1" applyFont="1" applyFill="1" applyBorder="1" applyProtection="1">
      <protection locked="0"/>
    </xf>
    <xf numFmtId="38" fontId="124" fillId="21" borderId="273" xfId="0" applyNumberFormat="1" applyFont="1" applyFill="1" applyBorder="1"/>
    <xf numFmtId="0" fontId="15" fillId="23" borderId="303" xfId="0" applyFont="1" applyFill="1" applyBorder="1"/>
    <xf numFmtId="0" fontId="15" fillId="2" borderId="303" xfId="0" applyNumberFormat="1" applyFont="1" applyBorder="1"/>
    <xf numFmtId="0" fontId="129" fillId="21" borderId="98" xfId="0" applyFont="1" applyFill="1" applyBorder="1" applyAlignment="1">
      <alignment horizontal="center"/>
    </xf>
    <xf numFmtId="38" fontId="131" fillId="22" borderId="121" xfId="0" applyNumberFormat="1" applyFont="1" applyFill="1" applyBorder="1"/>
    <xf numFmtId="0" fontId="129" fillId="22" borderId="128" xfId="0" applyFont="1" applyFill="1" applyBorder="1"/>
    <xf numFmtId="0" fontId="105" fillId="2" borderId="0" xfId="0" applyNumberFormat="1" applyFont="1" applyAlignment="1">
      <alignment horizontal="left"/>
    </xf>
    <xf numFmtId="0" fontId="15" fillId="2" borderId="303" xfId="0" applyFont="1" applyBorder="1"/>
    <xf numFmtId="38" fontId="154" fillId="25" borderId="301" xfId="0" applyNumberFormat="1" applyFont="1" applyFill="1" applyBorder="1"/>
    <xf numFmtId="38" fontId="105" fillId="25" borderId="273" xfId="0" applyNumberFormat="1" applyFont="1" applyFill="1" applyBorder="1"/>
    <xf numFmtId="38" fontId="152" fillId="25" borderId="273" xfId="0" applyNumberFormat="1" applyFont="1" applyFill="1" applyBorder="1"/>
    <xf numFmtId="0" fontId="105" fillId="2" borderId="11" xfId="0" applyFont="1" applyBorder="1"/>
    <xf numFmtId="0" fontId="9" fillId="22" borderId="216" xfId="0" quotePrefix="1" applyFont="1" applyFill="1" applyBorder="1" applyAlignment="1">
      <alignment horizontal="center"/>
    </xf>
    <xf numFmtId="37" fontId="130" fillId="40" borderId="106" xfId="0" applyNumberFormat="1" applyFont="1" applyFill="1" applyBorder="1"/>
    <xf numFmtId="37" fontId="128" fillId="40" borderId="106" xfId="0" applyNumberFormat="1" applyFont="1" applyFill="1" applyBorder="1"/>
    <xf numFmtId="0" fontId="129" fillId="39" borderId="106" xfId="0" applyFont="1" applyFill="1" applyBorder="1"/>
    <xf numFmtId="37" fontId="128" fillId="41" borderId="106" xfId="0" applyNumberFormat="1" applyFont="1" applyFill="1" applyBorder="1"/>
    <xf numFmtId="37" fontId="128" fillId="22" borderId="106" xfId="0" applyNumberFormat="1" applyFont="1" applyFill="1" applyBorder="1"/>
    <xf numFmtId="38" fontId="131" fillId="39" borderId="106" xfId="0" applyNumberFormat="1" applyFont="1" applyFill="1" applyBorder="1"/>
    <xf numFmtId="38" fontId="128" fillId="40" borderId="106" xfId="0" applyNumberFormat="1" applyFont="1" applyFill="1" applyBorder="1"/>
    <xf numFmtId="38" fontId="128" fillId="22" borderId="106" xfId="0" applyNumberFormat="1" applyFont="1" applyFill="1" applyBorder="1"/>
    <xf numFmtId="38" fontId="131" fillId="39" borderId="240" xfId="0" applyNumberFormat="1" applyFont="1" applyFill="1" applyBorder="1"/>
    <xf numFmtId="37" fontId="130" fillId="34" borderId="291" xfId="0" applyNumberFormat="1" applyFont="1" applyFill="1" applyBorder="1"/>
    <xf numFmtId="37" fontId="130" fillId="34" borderId="113" xfId="0" applyNumberFormat="1" applyFont="1" applyFill="1" applyBorder="1"/>
    <xf numFmtId="37" fontId="130" fillId="34" borderId="273" xfId="0" applyNumberFormat="1" applyFont="1" applyFill="1" applyBorder="1"/>
    <xf numFmtId="37" fontId="131" fillId="39" borderId="106" xfId="0" applyNumberFormat="1" applyFont="1" applyFill="1" applyBorder="1"/>
    <xf numFmtId="38" fontId="131" fillId="22" borderId="273" xfId="0" applyNumberFormat="1" applyFont="1" applyFill="1" applyBorder="1"/>
    <xf numFmtId="38" fontId="131" fillId="22" borderId="100" xfId="0" applyNumberFormat="1" applyFont="1" applyFill="1" applyBorder="1"/>
    <xf numFmtId="38" fontId="131" fillId="22" borderId="274" xfId="0" applyNumberFormat="1" applyFont="1" applyFill="1" applyBorder="1"/>
    <xf numFmtId="0" fontId="129" fillId="22" borderId="113" xfId="0" applyFont="1" applyFill="1" applyBorder="1"/>
    <xf numFmtId="37" fontId="128" fillId="22" borderId="113" xfId="0" applyNumberFormat="1" applyFont="1" applyFill="1" applyBorder="1" applyAlignment="1">
      <alignment horizontal="right"/>
    </xf>
    <xf numFmtId="37" fontId="128" fillId="22" borderId="121" xfId="0" applyNumberFormat="1" applyFont="1" applyFill="1" applyBorder="1" applyAlignment="1">
      <alignment horizontal="right"/>
    </xf>
    <xf numFmtId="37" fontId="131" fillId="22" borderId="113" xfId="0" applyNumberFormat="1" applyFont="1" applyFill="1" applyBorder="1"/>
    <xf numFmtId="37" fontId="128" fillId="22" borderId="274" xfId="0" applyNumberFormat="1" applyFont="1" applyFill="1" applyBorder="1" applyAlignment="1">
      <alignment horizontal="right"/>
    </xf>
    <xf numFmtId="38" fontId="129" fillId="22" borderId="239" xfId="0" applyNumberFormat="1" applyFont="1" applyFill="1" applyBorder="1"/>
    <xf numFmtId="0" fontId="131" fillId="22" borderId="113" xfId="0" applyFont="1" applyFill="1" applyBorder="1"/>
    <xf numFmtId="0" fontId="131" fillId="22" borderId="100" xfId="0" applyFont="1" applyFill="1" applyBorder="1"/>
    <xf numFmtId="37" fontId="131" fillId="22" borderId="113" xfId="0" applyNumberFormat="1" applyFont="1" applyFill="1" applyBorder="1" applyAlignment="1">
      <alignment horizontal="right"/>
    </xf>
    <xf numFmtId="37" fontId="131" fillId="22" borderId="31" xfId="0" applyNumberFormat="1" applyFont="1" applyFill="1" applyBorder="1"/>
    <xf numFmtId="38" fontId="131" fillId="22" borderId="31" xfId="0" applyNumberFormat="1" applyFont="1" applyFill="1" applyBorder="1"/>
    <xf numFmtId="0" fontId="129" fillId="22" borderId="31" xfId="0" applyFont="1" applyFill="1" applyBorder="1"/>
    <xf numFmtId="0" fontId="129" fillId="22" borderId="125" xfId="0" applyFont="1" applyFill="1" applyBorder="1"/>
    <xf numFmtId="0" fontId="129" fillId="22" borderId="279" xfId="0" applyFont="1" applyFill="1" applyBorder="1"/>
    <xf numFmtId="37" fontId="131" fillId="22" borderId="279" xfId="0" applyNumberFormat="1" applyFont="1" applyFill="1" applyBorder="1"/>
    <xf numFmtId="38" fontId="131" fillId="22" borderId="279" xfId="0" applyNumberFormat="1" applyFont="1" applyFill="1" applyBorder="1"/>
    <xf numFmtId="37" fontId="131" fillId="22" borderId="287" xfId="0" applyNumberFormat="1" applyFont="1" applyFill="1" applyBorder="1"/>
    <xf numFmtId="37" fontId="131" fillId="22" borderId="280" xfId="0" applyNumberFormat="1" applyFont="1" applyFill="1" applyBorder="1" applyAlignment="1">
      <alignment horizontal="center"/>
    </xf>
    <xf numFmtId="37" fontId="133" fillId="22" borderId="281" xfId="0" applyNumberFormat="1" applyFont="1" applyFill="1" applyBorder="1"/>
    <xf numFmtId="0" fontId="129" fillId="22" borderId="146" xfId="0" applyFont="1" applyFill="1" applyBorder="1"/>
    <xf numFmtId="0" fontId="9" fillId="22" borderId="227" xfId="0" quotePrefix="1" applyFont="1" applyFill="1" applyBorder="1" applyAlignment="1">
      <alignment horizontal="center"/>
    </xf>
    <xf numFmtId="0" fontId="9" fillId="30" borderId="227" xfId="0" quotePrefix="1" applyFont="1" applyFill="1" applyBorder="1" applyAlignment="1">
      <alignment horizontal="center"/>
    </xf>
    <xf numFmtId="0" fontId="9" fillId="30" borderId="230" xfId="0" quotePrefix="1" applyFont="1" applyFill="1" applyBorder="1" applyAlignment="1">
      <alignment horizontal="center"/>
    </xf>
    <xf numFmtId="0" fontId="9" fillId="22" borderId="230" xfId="0" quotePrefix="1" applyFont="1" applyFill="1" applyBorder="1" applyAlignment="1">
      <alignment horizontal="center"/>
    </xf>
    <xf numFmtId="0" fontId="9" fillId="24" borderId="227" xfId="0" quotePrefix="1" applyFont="1" applyFill="1" applyBorder="1" applyAlignment="1">
      <alignment horizontal="center"/>
    </xf>
    <xf numFmtId="0" fontId="9" fillId="24" borderId="230" xfId="0" quotePrefix="1" applyFont="1" applyFill="1" applyBorder="1" applyAlignment="1">
      <alignment horizontal="center"/>
    </xf>
    <xf numFmtId="0" fontId="9" fillId="37" borderId="299" xfId="0" quotePrefix="1" applyFont="1" applyFill="1" applyBorder="1" applyAlignment="1">
      <alignment horizontal="center"/>
    </xf>
    <xf numFmtId="0" fontId="9" fillId="21" borderId="182" xfId="0" quotePrefix="1" applyFont="1" applyFill="1" applyBorder="1" applyAlignment="1">
      <alignment horizontal="center"/>
    </xf>
    <xf numFmtId="0" fontId="9" fillId="22" borderId="166" xfId="0" quotePrefix="1" applyFont="1" applyFill="1" applyBorder="1" applyAlignment="1">
      <alignment horizontal="center"/>
    </xf>
    <xf numFmtId="37" fontId="128" fillId="39" borderId="301" xfId="0" applyNumberFormat="1" applyFont="1" applyFill="1" applyBorder="1"/>
    <xf numFmtId="0" fontId="72" fillId="31" borderId="157" xfId="0" applyFont="1" applyFill="1" applyBorder="1"/>
    <xf numFmtId="0" fontId="72" fillId="31" borderId="0" xfId="0" applyFont="1" applyFill="1" applyBorder="1"/>
    <xf numFmtId="0" fontId="72" fillId="30" borderId="157" xfId="0" applyFont="1" applyFill="1" applyBorder="1"/>
    <xf numFmtId="0" fontId="72" fillId="30" borderId="0" xfId="0" applyFont="1" applyFill="1" applyBorder="1"/>
    <xf numFmtId="6" fontId="15" fillId="4" borderId="301" xfId="0" applyNumberFormat="1" applyFont="1" applyFill="1" applyBorder="1" applyProtection="1">
      <protection locked="0"/>
    </xf>
    <xf numFmtId="0" fontId="15" fillId="2" borderId="301" xfId="2" applyFont="1" applyFill="1" applyBorder="1" applyAlignment="1" applyProtection="1"/>
    <xf numFmtId="38" fontId="96" fillId="24" borderId="2" xfId="0" applyNumberFormat="1" applyFont="1" applyFill="1" applyBorder="1" applyProtection="1">
      <protection locked="0"/>
    </xf>
    <xf numFmtId="173" fontId="96" fillId="24" borderId="2" xfId="0" applyNumberFormat="1" applyFont="1" applyFill="1" applyBorder="1"/>
    <xf numFmtId="38" fontId="96" fillId="24" borderId="2" xfId="0" applyNumberFormat="1" applyFont="1" applyFill="1" applyBorder="1"/>
    <xf numFmtId="38" fontId="96" fillId="24" borderId="9" xfId="0" applyNumberFormat="1" applyFont="1" applyFill="1" applyBorder="1"/>
    <xf numFmtId="173" fontId="96" fillId="24" borderId="129" xfId="0" applyNumberFormat="1" applyFont="1" applyFill="1" applyBorder="1"/>
    <xf numFmtId="38" fontId="96" fillId="24" borderId="117" xfId="0" applyNumberFormat="1" applyFont="1" applyFill="1" applyBorder="1"/>
    <xf numFmtId="173" fontId="98" fillId="24" borderId="0" xfId="0" applyNumberFormat="1" applyFont="1" applyFill="1" applyBorder="1"/>
    <xf numFmtId="0" fontId="4" fillId="24" borderId="117" xfId="0" applyFont="1" applyFill="1" applyBorder="1" applyAlignment="1">
      <alignment horizontal="right"/>
    </xf>
    <xf numFmtId="6" fontId="4" fillId="24" borderId="117" xfId="0" applyNumberFormat="1" applyFont="1" applyFill="1" applyBorder="1"/>
    <xf numFmtId="38" fontId="4" fillId="24" borderId="117" xfId="0" applyNumberFormat="1" applyFont="1" applyFill="1" applyBorder="1"/>
    <xf numFmtId="174" fontId="4" fillId="24" borderId="117" xfId="0" applyNumberFormat="1" applyFont="1" applyFill="1" applyBorder="1"/>
    <xf numFmtId="9" fontId="4" fillId="24" borderId="117" xfId="0" applyNumberFormat="1" applyFont="1" applyFill="1" applyBorder="1"/>
    <xf numFmtId="38" fontId="4" fillId="24" borderId="117" xfId="0" applyNumberFormat="1" applyFont="1" applyFill="1" applyBorder="1" applyAlignment="1">
      <alignment horizontal="right"/>
    </xf>
    <xf numFmtId="173" fontId="106" fillId="24" borderId="117" xfId="0" applyNumberFormat="1" applyFont="1" applyFill="1" applyBorder="1" applyAlignment="1">
      <alignment horizontal="right"/>
    </xf>
    <xf numFmtId="184" fontId="96" fillId="24" borderId="117" xfId="0" applyNumberFormat="1" applyFont="1" applyFill="1" applyBorder="1"/>
    <xf numFmtId="173" fontId="96" fillId="24" borderId="117" xfId="0" applyNumberFormat="1" applyFont="1" applyFill="1" applyBorder="1" applyAlignment="1">
      <alignment horizontal="right"/>
    </xf>
    <xf numFmtId="173" fontId="96" fillId="24" borderId="117" xfId="0" applyNumberFormat="1" applyFont="1" applyFill="1" applyBorder="1" applyAlignment="1">
      <alignment horizontal="center"/>
    </xf>
    <xf numFmtId="173" fontId="96" fillId="24" borderId="117" xfId="0" applyNumberFormat="1" applyFont="1" applyFill="1" applyBorder="1"/>
    <xf numFmtId="173" fontId="0" fillId="24" borderId="0" xfId="0" applyNumberFormat="1" applyFill="1"/>
    <xf numFmtId="173" fontId="98" fillId="24" borderId="256" xfId="0" applyNumberFormat="1" applyFont="1" applyFill="1" applyBorder="1"/>
    <xf numFmtId="0" fontId="4" fillId="21" borderId="301" xfId="0" applyFont="1" applyFill="1" applyBorder="1" applyAlignment="1">
      <alignment horizontal="center"/>
    </xf>
    <xf numFmtId="38" fontId="100" fillId="23" borderId="273" xfId="0" applyNumberFormat="1" applyFont="1" applyFill="1" applyBorder="1" applyProtection="1">
      <protection locked="0"/>
    </xf>
    <xf numFmtId="0" fontId="4" fillId="23" borderId="270" xfId="0" applyFont="1" applyFill="1" applyBorder="1"/>
    <xf numFmtId="0" fontId="0" fillId="22" borderId="292" xfId="0" applyFill="1" applyBorder="1" applyAlignment="1">
      <alignment horizontal="right"/>
    </xf>
    <xf numFmtId="0" fontId="4" fillId="22" borderId="298" xfId="0" applyFont="1" applyFill="1" applyBorder="1" applyAlignment="1">
      <alignment horizontal="center"/>
    </xf>
    <xf numFmtId="0" fontId="0" fillId="46" borderId="128" xfId="0" applyFill="1" applyBorder="1" applyAlignment="1">
      <alignment horizontal="center"/>
    </xf>
    <xf numFmtId="182" fontId="4" fillId="46" borderId="306" xfId="0" applyNumberFormat="1" applyFont="1" applyFill="1" applyBorder="1" applyAlignment="1">
      <alignment horizontal="center"/>
    </xf>
    <xf numFmtId="0" fontId="4" fillId="2" borderId="307" xfId="0" applyFont="1" applyBorder="1" applyAlignment="1">
      <alignment horizontal="left"/>
    </xf>
    <xf numFmtId="0" fontId="0" fillId="22" borderId="302" xfId="0" applyFill="1" applyBorder="1" applyAlignment="1">
      <alignment horizontal="right"/>
    </xf>
    <xf numFmtId="0" fontId="4" fillId="22" borderId="304" xfId="0" applyFont="1" applyFill="1" applyBorder="1" applyAlignment="1">
      <alignment horizontal="center"/>
    </xf>
    <xf numFmtId="0" fontId="0" fillId="46" borderId="292" xfId="0" applyFill="1" applyBorder="1" applyAlignment="1">
      <alignment horizontal="right"/>
    </xf>
    <xf numFmtId="0" fontId="0" fillId="46" borderId="298" xfId="0" applyFill="1" applyBorder="1" applyAlignment="1">
      <alignment horizontal="center"/>
    </xf>
    <xf numFmtId="182" fontId="4" fillId="46" borderId="304" xfId="0" applyNumberFormat="1" applyFont="1" applyFill="1" applyBorder="1" applyAlignment="1">
      <alignment horizontal="center"/>
    </xf>
    <xf numFmtId="0" fontId="0" fillId="2" borderId="307" xfId="0" applyBorder="1" applyAlignment="1">
      <alignment horizontal="center"/>
    </xf>
    <xf numFmtId="0" fontId="0" fillId="2" borderId="99" xfId="0" applyBorder="1" applyAlignment="1">
      <alignment horizontal="center"/>
    </xf>
    <xf numFmtId="0" fontId="0" fillId="2" borderId="308" xfId="0" applyBorder="1" applyAlignment="1">
      <alignment horizontal="center"/>
    </xf>
    <xf numFmtId="0" fontId="0" fillId="46" borderId="309" xfId="0" applyFill="1" applyBorder="1" applyAlignment="1">
      <alignment horizontal="center"/>
    </xf>
    <xf numFmtId="0" fontId="0" fillId="2" borderId="263" xfId="0" applyBorder="1"/>
    <xf numFmtId="0" fontId="0" fillId="2" borderId="267" xfId="0" applyBorder="1"/>
    <xf numFmtId="0" fontId="15" fillId="2" borderId="270" xfId="0" applyNumberFormat="1" applyFont="1" applyBorder="1"/>
    <xf numFmtId="0" fontId="105" fillId="21" borderId="301" xfId="0" applyNumberFormat="1" applyFont="1" applyFill="1" applyBorder="1" applyAlignment="1">
      <alignment horizontal="center"/>
    </xf>
    <xf numFmtId="6" fontId="107" fillId="2" borderId="0" xfId="2" quotePrefix="1" applyNumberFormat="1" applyFont="1" applyFill="1" applyAlignment="1" applyProtection="1">
      <alignment horizontal="center"/>
    </xf>
    <xf numFmtId="0" fontId="165" fillId="23" borderId="0" xfId="0" applyFont="1" applyFill="1"/>
    <xf numFmtId="38" fontId="165" fillId="23" borderId="0" xfId="0" applyNumberFormat="1" applyFont="1" applyFill="1"/>
    <xf numFmtId="0" fontId="166" fillId="23" borderId="0" xfId="0" applyFont="1" applyFill="1"/>
    <xf numFmtId="38" fontId="167" fillId="23" borderId="0" xfId="0" applyNumberFormat="1" applyFont="1" applyFill="1"/>
    <xf numFmtId="0" fontId="167" fillId="23" borderId="0" xfId="0" applyFont="1" applyFill="1"/>
    <xf numFmtId="38" fontId="167" fillId="23" borderId="310" xfId="0" applyNumberFormat="1" applyFont="1" applyFill="1" applyBorder="1"/>
    <xf numFmtId="38" fontId="27" fillId="23" borderId="301" xfId="0" applyNumberFormat="1" applyFont="1" applyFill="1" applyBorder="1" applyAlignment="1">
      <alignment horizontal="center"/>
    </xf>
    <xf numFmtId="0" fontId="27" fillId="23" borderId="0" xfId="0" applyFont="1" applyFill="1" applyAlignment="1">
      <alignment horizontal="center"/>
    </xf>
    <xf numFmtId="38" fontId="27" fillId="23" borderId="113" xfId="0" quotePrefix="1" applyNumberFormat="1" applyFont="1" applyFill="1" applyBorder="1" applyAlignment="1">
      <alignment horizontal="center"/>
    </xf>
    <xf numFmtId="10" fontId="27" fillId="25" borderId="304" xfId="0" applyNumberFormat="1" applyFont="1" applyFill="1" applyBorder="1" applyAlignment="1">
      <alignment horizontal="center"/>
    </xf>
    <xf numFmtId="10" fontId="27" fillId="25" borderId="301" xfId="0" applyNumberFormat="1" applyFont="1" applyFill="1" applyBorder="1" applyAlignment="1">
      <alignment horizontal="center"/>
    </xf>
    <xf numFmtId="0" fontId="27" fillId="23" borderId="0" xfId="0" quotePrefix="1" applyFont="1" applyFill="1" applyAlignment="1">
      <alignment horizontal="left"/>
    </xf>
    <xf numFmtId="0" fontId="168" fillId="23" borderId="0" xfId="0" applyFont="1" applyFill="1" applyAlignment="1">
      <alignment horizontal="center"/>
    </xf>
    <xf numFmtId="193" fontId="27" fillId="23" borderId="273" xfId="0" applyNumberFormat="1" applyFont="1" applyFill="1" applyBorder="1" applyAlignment="1">
      <alignment horizontal="center"/>
    </xf>
    <xf numFmtId="0" fontId="167" fillId="23" borderId="301" xfId="0" applyFont="1" applyFill="1" applyBorder="1"/>
    <xf numFmtId="38" fontId="169" fillId="23" borderId="301" xfId="0" applyNumberFormat="1" applyFont="1" applyFill="1" applyBorder="1"/>
    <xf numFmtId="38" fontId="169" fillId="25" borderId="301" xfId="0" applyNumberFormat="1" applyFont="1" applyFill="1" applyBorder="1"/>
    <xf numFmtId="0" fontId="170" fillId="23" borderId="0" xfId="0" quotePrefix="1" applyFont="1" applyFill="1"/>
    <xf numFmtId="0" fontId="171" fillId="23" borderId="0" xfId="2" applyFont="1" applyFill="1" applyAlignment="1" applyProtection="1"/>
    <xf numFmtId="0" fontId="167" fillId="23" borderId="0" xfId="0" applyFont="1" applyFill="1" applyBorder="1"/>
    <xf numFmtId="38" fontId="169" fillId="23" borderId="0" xfId="0" applyNumberFormat="1" applyFont="1" applyFill="1" applyBorder="1"/>
    <xf numFmtId="0" fontId="16" fillId="23" borderId="0" xfId="2" applyFill="1" applyAlignment="1" applyProtection="1"/>
    <xf numFmtId="38" fontId="167" fillId="23" borderId="301" xfId="0" applyNumberFormat="1" applyFont="1" applyFill="1" applyBorder="1" applyAlignment="1">
      <alignment horizontal="center"/>
    </xf>
    <xf numFmtId="38" fontId="167" fillId="23" borderId="301" xfId="0" applyNumberFormat="1" applyFont="1" applyFill="1" applyBorder="1"/>
    <xf numFmtId="0" fontId="168" fillId="23" borderId="0" xfId="0" applyFont="1" applyFill="1"/>
    <xf numFmtId="0" fontId="27" fillId="23" borderId="0" xfId="0" applyFont="1" applyFill="1" applyBorder="1"/>
    <xf numFmtId="0" fontId="168" fillId="23" borderId="0" xfId="0" applyFont="1" applyFill="1" applyBorder="1"/>
    <xf numFmtId="0" fontId="27" fillId="31" borderId="302" xfId="0" applyFont="1" applyFill="1" applyBorder="1" applyAlignment="1">
      <alignment horizontal="center"/>
    </xf>
    <xf numFmtId="0" fontId="27" fillId="31" borderId="301" xfId="0" applyFont="1" applyFill="1" applyBorder="1" applyAlignment="1">
      <alignment horizontal="center"/>
    </xf>
    <xf numFmtId="38" fontId="27" fillId="23" borderId="128" xfId="0" applyNumberFormat="1" applyFont="1" applyFill="1" applyBorder="1" applyAlignment="1">
      <alignment horizontal="center"/>
    </xf>
    <xf numFmtId="38" fontId="27" fillId="23" borderId="306" xfId="0" applyNumberFormat="1" applyFont="1" applyFill="1" applyBorder="1" applyAlignment="1">
      <alignment horizontal="center"/>
    </xf>
    <xf numFmtId="0" fontId="27" fillId="23" borderId="113" xfId="0" applyFont="1" applyFill="1" applyBorder="1" applyAlignment="1">
      <alignment horizontal="center"/>
    </xf>
    <xf numFmtId="38" fontId="172" fillId="23" borderId="0" xfId="0" applyNumberFormat="1" applyFont="1" applyFill="1" applyAlignment="1">
      <alignment horizontal="center"/>
    </xf>
    <xf numFmtId="38" fontId="169" fillId="22" borderId="301" xfId="0" applyNumberFormat="1" applyFont="1" applyFill="1" applyBorder="1"/>
    <xf numFmtId="0" fontId="0" fillId="22" borderId="0" xfId="0" applyFill="1" applyBorder="1"/>
    <xf numFmtId="38" fontId="169" fillId="23" borderId="304" xfId="0" applyNumberFormat="1" applyFont="1" applyFill="1" applyBorder="1"/>
    <xf numFmtId="38" fontId="131" fillId="23" borderId="273" xfId="0" applyNumberFormat="1" applyFont="1" applyFill="1" applyBorder="1"/>
    <xf numFmtId="0" fontId="169" fillId="23" borderId="301" xfId="0" applyFont="1" applyFill="1" applyBorder="1"/>
    <xf numFmtId="38" fontId="167" fillId="22" borderId="301" xfId="0" applyNumberFormat="1" applyFont="1" applyFill="1" applyBorder="1"/>
    <xf numFmtId="38" fontId="173" fillId="23" borderId="273" xfId="0" applyNumberFormat="1" applyFont="1" applyFill="1" applyBorder="1"/>
    <xf numFmtId="38" fontId="154" fillId="23" borderId="273" xfId="0" applyNumberFormat="1" applyFont="1" applyFill="1" applyBorder="1"/>
    <xf numFmtId="38" fontId="154" fillId="23" borderId="273" xfId="0" applyNumberFormat="1" applyFont="1" applyFill="1" applyBorder="1" applyProtection="1">
      <protection locked="0"/>
    </xf>
    <xf numFmtId="38" fontId="105" fillId="23" borderId="273" xfId="0" applyNumberFormat="1" applyFont="1" applyFill="1" applyBorder="1" applyProtection="1">
      <protection locked="0"/>
    </xf>
    <xf numFmtId="38" fontId="152" fillId="23" borderId="273" xfId="0" applyNumberFormat="1" applyFont="1" applyFill="1" applyBorder="1" applyProtection="1">
      <protection locked="0"/>
    </xf>
    <xf numFmtId="0" fontId="170" fillId="23" borderId="0" xfId="0" applyFont="1" applyFill="1"/>
    <xf numFmtId="0" fontId="169" fillId="22" borderId="301" xfId="0" applyFont="1" applyFill="1" applyBorder="1"/>
    <xf numFmtId="38" fontId="131" fillId="23" borderId="0" xfId="0" applyNumberFormat="1" applyFont="1" applyFill="1" applyBorder="1"/>
    <xf numFmtId="0" fontId="27" fillId="23" borderId="0" xfId="0" quotePrefix="1" applyFont="1" applyFill="1" applyBorder="1"/>
    <xf numFmtId="0" fontId="166" fillId="23" borderId="0" xfId="0" applyFont="1" applyFill="1" applyBorder="1"/>
    <xf numFmtId="0" fontId="171" fillId="23" borderId="0" xfId="2" applyFont="1" applyFill="1" applyBorder="1" applyAlignment="1" applyProtection="1"/>
    <xf numFmtId="0" fontId="170" fillId="23" borderId="0" xfId="0" applyFont="1" applyFill="1" applyBorder="1"/>
    <xf numFmtId="38" fontId="131" fillId="23" borderId="301" xfId="0" applyNumberFormat="1" applyFont="1" applyFill="1" applyBorder="1"/>
    <xf numFmtId="38" fontId="27" fillId="23" borderId="310" xfId="0" applyNumberFormat="1" applyFont="1" applyFill="1" applyBorder="1" applyAlignment="1">
      <alignment horizontal="center"/>
    </xf>
    <xf numFmtId="38" fontId="27" fillId="23" borderId="113" xfId="0" applyNumberFormat="1" applyFont="1" applyFill="1" applyBorder="1" applyAlignment="1">
      <alignment horizontal="center"/>
    </xf>
    <xf numFmtId="38" fontId="27" fillId="23" borderId="273" xfId="0" applyNumberFormat="1" applyFont="1" applyFill="1" applyBorder="1" applyAlignment="1">
      <alignment horizontal="center"/>
    </xf>
    <xf numFmtId="0" fontId="174" fillId="23" borderId="0" xfId="0" applyFont="1" applyFill="1"/>
    <xf numFmtId="0" fontId="0" fillId="22" borderId="310" xfId="0" applyFill="1" applyBorder="1"/>
    <xf numFmtId="6" fontId="41" fillId="22" borderId="273" xfId="0" applyNumberFormat="1" applyFont="1" applyFill="1" applyBorder="1"/>
    <xf numFmtId="0" fontId="0" fillId="21" borderId="0" xfId="0" applyFill="1" applyBorder="1"/>
    <xf numFmtId="6" fontId="41" fillId="22" borderId="147" xfId="0" applyNumberFormat="1" applyFont="1" applyFill="1" applyBorder="1"/>
    <xf numFmtId="0" fontId="0" fillId="2" borderId="10" xfId="0" applyFont="1" applyBorder="1"/>
    <xf numFmtId="6" fontId="41" fillId="2" borderId="301" xfId="0" applyNumberFormat="1" applyFont="1" applyBorder="1"/>
    <xf numFmtId="40" fontId="0" fillId="23" borderId="0" xfId="0" applyNumberFormat="1" applyFill="1" applyBorder="1" applyAlignment="1">
      <alignment horizontal="center"/>
    </xf>
    <xf numFmtId="0" fontId="11" fillId="2" borderId="0" xfId="0" applyFont="1" applyAlignment="1">
      <alignment horizontal="right"/>
    </xf>
    <xf numFmtId="38" fontId="0" fillId="21" borderId="9" xfId="0" applyNumberFormat="1" applyFill="1" applyBorder="1" applyProtection="1">
      <protection locked="0"/>
    </xf>
    <xf numFmtId="0" fontId="175" fillId="22" borderId="311" xfId="0" applyNumberFormat="1" applyFont="1" applyFill="1" applyBorder="1" applyAlignment="1">
      <alignment horizontal="right" vertical="center" wrapText="1" readingOrder="1"/>
    </xf>
    <xf numFmtId="0" fontId="176" fillId="51" borderId="300" xfId="0" applyNumberFormat="1" applyFont="1" applyFill="1" applyBorder="1" applyAlignment="1">
      <alignment horizontal="left" vertical="center" wrapText="1" readingOrder="1"/>
    </xf>
    <xf numFmtId="194" fontId="176" fillId="53" borderId="300" xfId="0" applyNumberFormat="1" applyFont="1" applyFill="1" applyBorder="1" applyAlignment="1">
      <alignment horizontal="right" vertical="center" wrapText="1" readingOrder="1"/>
    </xf>
    <xf numFmtId="0" fontId="176" fillId="54" borderId="300" xfId="0" applyNumberFormat="1" applyFont="1" applyFill="1" applyBorder="1" applyAlignment="1">
      <alignment horizontal="left" vertical="center" wrapText="1" readingOrder="1"/>
    </xf>
    <xf numFmtId="194" fontId="176" fillId="55" borderId="300" xfId="0" applyNumberFormat="1" applyFont="1" applyFill="1" applyBorder="1" applyAlignment="1">
      <alignment horizontal="right" vertical="center" wrapText="1" readingOrder="1"/>
    </xf>
    <xf numFmtId="10" fontId="27" fillId="23" borderId="113" xfId="0" applyNumberFormat="1" applyFont="1" applyFill="1" applyBorder="1" applyAlignment="1">
      <alignment horizontal="center"/>
    </xf>
    <xf numFmtId="6" fontId="15" fillId="23" borderId="0" xfId="0" applyNumberFormat="1" applyFont="1" applyFill="1"/>
    <xf numFmtId="173" fontId="98" fillId="24" borderId="128" xfId="0" applyNumberFormat="1" applyFont="1" applyFill="1" applyBorder="1"/>
    <xf numFmtId="173" fontId="98" fillId="24" borderId="306" xfId="0" applyNumberFormat="1" applyFont="1" applyFill="1" applyBorder="1"/>
    <xf numFmtId="0" fontId="11" fillId="23" borderId="0" xfId="0" applyFont="1" applyFill="1"/>
    <xf numFmtId="0" fontId="106" fillId="23" borderId="0" xfId="0" applyFont="1" applyFill="1" applyAlignment="1">
      <alignment horizontal="right"/>
    </xf>
    <xf numFmtId="0" fontId="0" fillId="23" borderId="122" xfId="0" applyFill="1" applyBorder="1" applyAlignment="1">
      <alignment horizontal="right"/>
    </xf>
    <xf numFmtId="0" fontId="0" fillId="23" borderId="113" xfId="0" applyFill="1" applyBorder="1" applyAlignment="1">
      <alignment horizontal="right"/>
    </xf>
    <xf numFmtId="0" fontId="118" fillId="23" borderId="0" xfId="0" applyFont="1" applyFill="1" applyAlignment="1">
      <alignment horizontal="right"/>
    </xf>
    <xf numFmtId="0" fontId="0" fillId="23" borderId="105" xfId="0" applyFill="1" applyBorder="1" applyAlignment="1">
      <alignment horizontal="right"/>
    </xf>
    <xf numFmtId="0" fontId="0" fillId="23" borderId="106" xfId="0" applyFill="1" applyBorder="1" applyAlignment="1">
      <alignment horizontal="right"/>
    </xf>
    <xf numFmtId="0" fontId="39" fillId="21" borderId="313" xfId="0" applyFont="1" applyFill="1" applyBorder="1"/>
    <xf numFmtId="0" fontId="29" fillId="21" borderId="314" xfId="0" applyFont="1" applyFill="1" applyBorder="1" applyAlignment="1">
      <alignment horizontal="center"/>
    </xf>
    <xf numFmtId="0" fontId="29" fillId="21" borderId="312" xfId="0" applyFont="1" applyFill="1" applyBorder="1" applyAlignment="1">
      <alignment horizontal="center"/>
    </xf>
    <xf numFmtId="0" fontId="29" fillId="21" borderId="194" xfId="0" applyFont="1" applyFill="1" applyBorder="1" applyAlignment="1">
      <alignment horizontal="center"/>
    </xf>
    <xf numFmtId="38" fontId="96" fillId="24" borderId="109" xfId="0" applyNumberFormat="1" applyFont="1" applyFill="1" applyBorder="1"/>
    <xf numFmtId="38" fontId="96" fillId="29" borderId="2" xfId="0" applyNumberFormat="1" applyFont="1" applyFill="1" applyBorder="1" applyProtection="1">
      <protection locked="0"/>
    </xf>
    <xf numFmtId="173" fontId="96" fillId="29" borderId="2" xfId="0" applyNumberFormat="1" applyFont="1" applyFill="1" applyBorder="1"/>
    <xf numFmtId="38" fontId="96" fillId="29" borderId="2" xfId="0" applyNumberFormat="1" applyFont="1" applyFill="1" applyBorder="1"/>
    <xf numFmtId="38" fontId="96" fillId="29" borderId="9" xfId="0" applyNumberFormat="1" applyFont="1" applyFill="1" applyBorder="1"/>
    <xf numFmtId="38" fontId="96" fillId="29" borderId="109" xfId="0" applyNumberFormat="1" applyFont="1" applyFill="1" applyBorder="1"/>
    <xf numFmtId="173" fontId="96" fillId="29" borderId="129" xfId="0" applyNumberFormat="1" applyFont="1" applyFill="1" applyBorder="1"/>
    <xf numFmtId="0" fontId="94" fillId="23" borderId="0" xfId="0" applyFont="1" applyFill="1"/>
    <xf numFmtId="38" fontId="96" fillId="29" borderId="117" xfId="0" applyNumberFormat="1" applyFont="1" applyFill="1" applyBorder="1"/>
    <xf numFmtId="38" fontId="131" fillId="22" borderId="240" xfId="0" applyNumberFormat="1" applyFont="1" applyFill="1" applyBorder="1"/>
    <xf numFmtId="164" fontId="131" fillId="39" borderId="304" xfId="0" applyNumberFormat="1" applyFont="1" applyFill="1" applyBorder="1"/>
    <xf numFmtId="0" fontId="131" fillId="22" borderId="113" xfId="0" applyNumberFormat="1" applyFont="1" applyFill="1" applyBorder="1"/>
    <xf numFmtId="0" fontId="128" fillId="22" borderId="113" xfId="0" applyNumberFormat="1" applyFont="1" applyFill="1" applyBorder="1" applyAlignment="1">
      <alignment horizontal="right"/>
    </xf>
    <xf numFmtId="0" fontId="129" fillId="30" borderId="98" xfId="0" applyFont="1" applyFill="1" applyBorder="1" applyAlignment="1">
      <alignment horizontal="center"/>
    </xf>
    <xf numFmtId="0" fontId="129" fillId="30" borderId="102" xfId="0" applyFont="1" applyFill="1" applyBorder="1" applyAlignment="1">
      <alignment horizontal="center"/>
    </xf>
    <xf numFmtId="37" fontId="4" fillId="30" borderId="310" xfId="0" applyNumberFormat="1" applyFont="1" applyFill="1" applyBorder="1"/>
    <xf numFmtId="0" fontId="131" fillId="30" borderId="113" xfId="0" applyNumberFormat="1" applyFont="1" applyFill="1" applyBorder="1"/>
    <xf numFmtId="37" fontId="128" fillId="30" borderId="113" xfId="0" applyNumberFormat="1" applyFont="1" applyFill="1" applyBorder="1" applyAlignment="1">
      <alignment horizontal="right"/>
    </xf>
    <xf numFmtId="37" fontId="131" fillId="30" borderId="113" xfId="0" applyNumberFormat="1" applyFont="1" applyFill="1" applyBorder="1"/>
    <xf numFmtId="0" fontId="128" fillId="30" borderId="113" xfId="0" applyNumberFormat="1" applyFont="1" applyFill="1" applyBorder="1" applyAlignment="1">
      <alignment horizontal="right"/>
    </xf>
    <xf numFmtId="0" fontId="129" fillId="30" borderId="310" xfId="0" applyFont="1" applyFill="1" applyBorder="1" applyAlignment="1">
      <alignment horizontal="center"/>
    </xf>
    <xf numFmtId="0" fontId="129" fillId="30" borderId="273" xfId="0" applyFont="1" applyFill="1" applyBorder="1" applyAlignment="1">
      <alignment horizontal="center"/>
    </xf>
    <xf numFmtId="0" fontId="0" fillId="30" borderId="113" xfId="0" applyFill="1" applyBorder="1"/>
    <xf numFmtId="0" fontId="4" fillId="30" borderId="113" xfId="0" applyFont="1" applyFill="1" applyBorder="1"/>
    <xf numFmtId="38" fontId="131" fillId="30" borderId="273" xfId="0" applyNumberFormat="1" applyFont="1" applyFill="1" applyBorder="1"/>
    <xf numFmtId="38" fontId="131" fillId="30" borderId="310" xfId="0" applyNumberFormat="1" applyFont="1" applyFill="1" applyBorder="1"/>
    <xf numFmtId="38" fontId="131" fillId="30" borderId="301" xfId="0" applyNumberFormat="1" applyFont="1" applyFill="1" applyBorder="1"/>
    <xf numFmtId="37" fontId="128" fillId="30" borderId="273" xfId="0" applyNumberFormat="1" applyFont="1" applyFill="1" applyBorder="1" applyAlignment="1">
      <alignment horizontal="right"/>
    </xf>
    <xf numFmtId="37" fontId="128" fillId="30" borderId="301" xfId="0" applyNumberFormat="1" applyFont="1" applyFill="1" applyBorder="1" applyAlignment="1">
      <alignment horizontal="right"/>
    </xf>
    <xf numFmtId="0" fontId="0" fillId="30" borderId="310" xfId="0" applyFill="1" applyBorder="1"/>
    <xf numFmtId="173" fontId="98" fillId="29" borderId="0" xfId="0" applyNumberFormat="1" applyFont="1" applyFill="1" applyBorder="1"/>
    <xf numFmtId="173" fontId="98" fillId="29" borderId="128" xfId="0" applyNumberFormat="1" applyFont="1" applyFill="1" applyBorder="1"/>
    <xf numFmtId="173" fontId="98" fillId="29" borderId="306" xfId="0" applyNumberFormat="1" applyFont="1" applyFill="1" applyBorder="1"/>
    <xf numFmtId="173" fontId="110" fillId="29" borderId="301" xfId="0" applyNumberFormat="1" applyFont="1" applyFill="1" applyBorder="1"/>
    <xf numFmtId="173" fontId="110" fillId="29" borderId="106" xfId="0" applyNumberFormat="1" applyFont="1" applyFill="1" applyBorder="1"/>
    <xf numFmtId="173" fontId="110" fillId="29" borderId="0" xfId="0" applyNumberFormat="1" applyFont="1" applyFill="1" applyBorder="1"/>
    <xf numFmtId="0" fontId="39" fillId="29" borderId="0" xfId="0" applyFont="1" applyFill="1" applyBorder="1"/>
    <xf numFmtId="0" fontId="39" fillId="29" borderId="128" xfId="0" applyFont="1" applyFill="1" applyBorder="1"/>
    <xf numFmtId="173" fontId="98" fillId="29" borderId="301" xfId="0" applyNumberFormat="1" applyFont="1" applyFill="1" applyBorder="1"/>
    <xf numFmtId="173" fontId="106" fillId="29" borderId="301" xfId="0" applyNumberFormat="1" applyFont="1" applyFill="1" applyBorder="1"/>
    <xf numFmtId="173" fontId="106" fillId="29" borderId="302" xfId="0" applyNumberFormat="1" applyFont="1" applyFill="1" applyBorder="1"/>
    <xf numFmtId="173" fontId="98" fillId="29" borderId="302" xfId="0" applyNumberFormat="1" applyFont="1" applyFill="1" applyBorder="1"/>
    <xf numFmtId="173" fontId="98" fillId="29" borderId="106" xfId="0" applyNumberFormat="1" applyFont="1" applyFill="1" applyBorder="1"/>
    <xf numFmtId="173" fontId="98" fillId="22" borderId="301" xfId="0" applyNumberFormat="1" applyFont="1" applyFill="1" applyBorder="1"/>
    <xf numFmtId="173" fontId="110" fillId="24" borderId="301" xfId="0" applyNumberFormat="1" applyFont="1" applyFill="1" applyBorder="1"/>
    <xf numFmtId="173" fontId="110" fillId="24" borderId="106" xfId="0" applyNumberFormat="1" applyFont="1" applyFill="1" applyBorder="1"/>
    <xf numFmtId="173" fontId="110" fillId="24" borderId="0" xfId="0" applyNumberFormat="1" applyFont="1" applyFill="1" applyBorder="1"/>
    <xf numFmtId="0" fontId="39" fillId="24" borderId="0" xfId="0" applyFont="1" applyFill="1" applyBorder="1"/>
    <xf numFmtId="0" fontId="39" fillId="24" borderId="128" xfId="0" applyFont="1" applyFill="1" applyBorder="1"/>
    <xf numFmtId="173" fontId="98" fillId="24" borderId="301" xfId="0" applyNumberFormat="1" applyFont="1" applyFill="1" applyBorder="1"/>
    <xf numFmtId="173" fontId="106" fillId="24" borderId="301" xfId="0" applyNumberFormat="1" applyFont="1" applyFill="1" applyBorder="1"/>
    <xf numFmtId="173" fontId="106" fillId="24" borderId="302" xfId="0" applyNumberFormat="1" applyFont="1" applyFill="1" applyBorder="1"/>
    <xf numFmtId="173" fontId="98" fillId="24" borderId="302" xfId="0" applyNumberFormat="1" applyFont="1" applyFill="1" applyBorder="1"/>
    <xf numFmtId="173" fontId="98" fillId="24" borderId="106" xfId="0" applyNumberFormat="1" applyFont="1" applyFill="1" applyBorder="1"/>
    <xf numFmtId="173" fontId="98" fillId="24" borderId="240" xfId="0" applyNumberFormat="1" applyFont="1" applyFill="1" applyBorder="1"/>
    <xf numFmtId="173" fontId="98" fillId="24" borderId="307" xfId="0" applyNumberFormat="1" applyFont="1" applyFill="1" applyBorder="1"/>
    <xf numFmtId="0" fontId="4" fillId="29" borderId="117" xfId="0" applyFont="1" applyFill="1" applyBorder="1" applyAlignment="1">
      <alignment horizontal="right"/>
    </xf>
    <xf numFmtId="6" fontId="4" fillId="29" borderId="117" xfId="0" applyNumberFormat="1" applyFont="1" applyFill="1" applyBorder="1"/>
    <xf numFmtId="38" fontId="4" fillId="29" borderId="117" xfId="0" applyNumberFormat="1" applyFont="1" applyFill="1" applyBorder="1"/>
    <xf numFmtId="174" fontId="4" fillId="29" borderId="117" xfId="0" applyNumberFormat="1" applyFont="1" applyFill="1" applyBorder="1"/>
    <xf numFmtId="9" fontId="4" fillId="29" borderId="117" xfId="0" applyNumberFormat="1" applyFont="1" applyFill="1" applyBorder="1"/>
    <xf numFmtId="38" fontId="4" fillId="29" borderId="117" xfId="0" applyNumberFormat="1" applyFont="1" applyFill="1" applyBorder="1" applyAlignment="1">
      <alignment horizontal="right"/>
    </xf>
    <xf numFmtId="173" fontId="106" fillId="29" borderId="117" xfId="0" applyNumberFormat="1" applyFont="1" applyFill="1" applyBorder="1" applyAlignment="1">
      <alignment horizontal="right"/>
    </xf>
    <xf numFmtId="184" fontId="96" fillId="29" borderId="117" xfId="0" applyNumberFormat="1" applyFont="1" applyFill="1" applyBorder="1"/>
    <xf numFmtId="173" fontId="96" fillId="29" borderId="117" xfId="0" applyNumberFormat="1" applyFont="1" applyFill="1" applyBorder="1" applyAlignment="1">
      <alignment horizontal="right"/>
    </xf>
    <xf numFmtId="173" fontId="96" fillId="29" borderId="117" xfId="0" applyNumberFormat="1" applyFont="1" applyFill="1" applyBorder="1" applyAlignment="1">
      <alignment horizontal="center"/>
    </xf>
    <xf numFmtId="176" fontId="96" fillId="29" borderId="117" xfId="0" applyNumberFormat="1" applyFont="1" applyFill="1" applyBorder="1" applyAlignment="1">
      <alignment horizontal="center"/>
    </xf>
    <xf numFmtId="173" fontId="96" fillId="29" borderId="117" xfId="0" applyNumberFormat="1" applyFont="1" applyFill="1" applyBorder="1"/>
    <xf numFmtId="176" fontId="96" fillId="29" borderId="117" xfId="0" applyNumberFormat="1" applyFont="1" applyFill="1" applyBorder="1"/>
    <xf numFmtId="173" fontId="0" fillId="29" borderId="0" xfId="0" applyNumberFormat="1" applyFill="1"/>
    <xf numFmtId="176" fontId="0" fillId="29" borderId="0" xfId="0" applyNumberFormat="1" applyFill="1"/>
    <xf numFmtId="173" fontId="98" fillId="29" borderId="256" xfId="0" applyNumberFormat="1" applyFont="1" applyFill="1" applyBorder="1"/>
    <xf numFmtId="176" fontId="98" fillId="29" borderId="256" xfId="0" applyNumberFormat="1" applyFont="1" applyFill="1" applyBorder="1"/>
    <xf numFmtId="0" fontId="15" fillId="23" borderId="301" xfId="0" applyFont="1" applyFill="1" applyBorder="1"/>
    <xf numFmtId="0" fontId="9" fillId="23" borderId="310" xfId="0" applyFont="1" applyFill="1" applyBorder="1" applyAlignment="1">
      <alignment horizontal="center"/>
    </xf>
    <xf numFmtId="188" fontId="9" fillId="23" borderId="273" xfId="0" applyNumberFormat="1" applyFont="1" applyFill="1" applyBorder="1" applyAlignment="1">
      <alignment horizontal="center"/>
    </xf>
    <xf numFmtId="0" fontId="36" fillId="44" borderId="301" xfId="0" applyFont="1" applyFill="1" applyBorder="1"/>
    <xf numFmtId="0" fontId="41" fillId="44" borderId="301" xfId="0" applyFont="1" applyFill="1" applyBorder="1"/>
    <xf numFmtId="0" fontId="36" fillId="44" borderId="301" xfId="0" applyFont="1" applyFill="1" applyBorder="1" applyAlignment="1">
      <alignment horizontal="center"/>
    </xf>
    <xf numFmtId="0" fontId="15" fillId="2" borderId="301" xfId="0" quotePrefix="1" applyFont="1" applyBorder="1" applyAlignment="1">
      <alignment horizontal="center"/>
    </xf>
    <xf numFmtId="38" fontId="15" fillId="2" borderId="301" xfId="0" applyNumberFormat="1" applyFont="1" applyBorder="1"/>
    <xf numFmtId="42" fontId="0" fillId="2" borderId="0" xfId="0" applyNumberFormat="1"/>
    <xf numFmtId="38" fontId="159" fillId="23" borderId="273" xfId="0" applyNumberFormat="1" applyFont="1" applyFill="1" applyBorder="1"/>
    <xf numFmtId="0" fontId="54" fillId="23" borderId="117" xfId="2" applyFont="1" applyFill="1" applyBorder="1" applyAlignment="1" applyProtection="1"/>
    <xf numFmtId="0" fontId="105" fillId="2" borderId="0" xfId="0" applyFont="1" applyAlignment="1">
      <alignment horizontal="right"/>
    </xf>
    <xf numFmtId="0" fontId="15" fillId="2" borderId="302" xfId="0" applyFont="1" applyBorder="1"/>
    <xf numFmtId="173" fontId="15" fillId="2" borderId="303" xfId="0" applyNumberFormat="1" applyFont="1" applyBorder="1"/>
    <xf numFmtId="174" fontId="15" fillId="2" borderId="303" xfId="0" applyNumberFormat="1" applyFont="1" applyBorder="1"/>
    <xf numFmtId="6" fontId="15" fillId="2" borderId="304" xfId="0" applyNumberFormat="1" applyFont="1" applyBorder="1"/>
    <xf numFmtId="174" fontId="15" fillId="2" borderId="301" xfId="0" applyNumberFormat="1" applyFont="1" applyBorder="1"/>
    <xf numFmtId="0" fontId="15" fillId="2" borderId="301" xfId="0" quotePrefix="1" applyFont="1" applyBorder="1"/>
    <xf numFmtId="0" fontId="15" fillId="2" borderId="273" xfId="0" quotePrefix="1" applyFont="1" applyBorder="1"/>
    <xf numFmtId="0" fontId="15" fillId="2" borderId="310" xfId="0" applyFont="1" applyBorder="1"/>
    <xf numFmtId="174" fontId="15" fillId="2" borderId="273" xfId="0" applyNumberFormat="1" applyFont="1" applyBorder="1"/>
    <xf numFmtId="40" fontId="15" fillId="2" borderId="310" xfId="0" applyNumberFormat="1" applyFont="1" applyBorder="1"/>
    <xf numFmtId="174" fontId="15" fillId="2" borderId="310" xfId="0" applyNumberFormat="1" applyFont="1" applyBorder="1"/>
    <xf numFmtId="6" fontId="15" fillId="2" borderId="310" xfId="0" applyNumberFormat="1" applyFont="1" applyBorder="1"/>
    <xf numFmtId="0" fontId="0" fillId="2" borderId="273" xfId="0" applyBorder="1"/>
    <xf numFmtId="0" fontId="0" fillId="2" borderId="306" xfId="0" applyBorder="1"/>
    <xf numFmtId="37" fontId="128" fillId="23" borderId="301" xfId="0" applyNumberFormat="1" applyFont="1" applyFill="1" applyBorder="1"/>
    <xf numFmtId="0" fontId="15" fillId="2" borderId="310" xfId="0" applyFont="1" applyBorder="1" applyAlignment="1">
      <alignment horizontal="right"/>
    </xf>
    <xf numFmtId="6" fontId="15" fillId="2" borderId="249" xfId="0" applyNumberFormat="1" applyFont="1" applyBorder="1" applyAlignment="1">
      <alignment horizontal="right"/>
    </xf>
    <xf numFmtId="38" fontId="0" fillId="2" borderId="0" xfId="0" applyNumberFormat="1" applyAlignment="1">
      <alignment horizontal="center" wrapText="1"/>
    </xf>
    <xf numFmtId="0" fontId="0" fillId="2" borderId="0" xfId="0" applyAlignment="1">
      <alignment horizontal="center" wrapText="1"/>
    </xf>
    <xf numFmtId="178" fontId="0" fillId="2" borderId="0" xfId="0" applyNumberFormat="1" applyAlignment="1">
      <alignment horizontal="center" wrapText="1"/>
    </xf>
    <xf numFmtId="178" fontId="0" fillId="22" borderId="0" xfId="0" applyNumberFormat="1" applyFill="1"/>
    <xf numFmtId="38" fontId="173" fillId="23" borderId="9" xfId="0" applyNumberFormat="1" applyFont="1" applyFill="1" applyBorder="1" applyAlignment="1">
      <alignment horizontal="right"/>
    </xf>
    <xf numFmtId="0" fontId="41" fillId="22" borderId="301" xfId="0" applyFont="1" applyFill="1" applyBorder="1" applyAlignment="1">
      <alignment horizontal="center"/>
    </xf>
    <xf numFmtId="0" fontId="41" fillId="22" borderId="301" xfId="0" quotePrefix="1" applyFont="1" applyFill="1" applyBorder="1"/>
    <xf numFmtId="38" fontId="41" fillId="22" borderId="9" xfId="0" applyNumberFormat="1" applyFont="1" applyFill="1" applyBorder="1" applyAlignment="1">
      <alignment horizontal="right"/>
    </xf>
    <xf numFmtId="174" fontId="154" fillId="25" borderId="31" xfId="0" applyNumberFormat="1" applyFont="1" applyFill="1" applyBorder="1" applyProtection="1">
      <protection locked="0"/>
    </xf>
    <xf numFmtId="174" fontId="105" fillId="25" borderId="31" xfId="0" applyNumberFormat="1" applyFont="1" applyFill="1" applyBorder="1" applyProtection="1">
      <protection locked="0"/>
    </xf>
    <xf numFmtId="174" fontId="152" fillId="25" borderId="31" xfId="0" applyNumberFormat="1" applyFont="1" applyFill="1" applyBorder="1" applyProtection="1">
      <protection locked="0"/>
    </xf>
    <xf numFmtId="38" fontId="152" fillId="0" borderId="270" xfId="0" applyNumberFormat="1" applyFont="1" applyFill="1" applyBorder="1" applyAlignment="1" applyProtection="1">
      <alignment horizontal="center"/>
      <protection locked="0"/>
    </xf>
    <xf numFmtId="37" fontId="0" fillId="30" borderId="113" xfId="0" applyNumberFormat="1" applyFill="1" applyBorder="1"/>
    <xf numFmtId="173" fontId="96" fillId="23" borderId="273" xfId="0" applyNumberFormat="1" applyFont="1" applyFill="1" applyBorder="1"/>
    <xf numFmtId="0" fontId="29" fillId="21" borderId="297" xfId="0" applyFont="1" applyFill="1" applyBorder="1" applyAlignment="1">
      <alignment horizontal="center"/>
    </xf>
    <xf numFmtId="37" fontId="0" fillId="30" borderId="273" xfId="0" applyNumberFormat="1" applyFill="1" applyBorder="1"/>
    <xf numFmtId="37" fontId="0" fillId="30" borderId="310" xfId="0" applyNumberFormat="1" applyFill="1" applyBorder="1"/>
    <xf numFmtId="37" fontId="0" fillId="30" borderId="301" xfId="0" applyNumberFormat="1" applyFill="1" applyBorder="1"/>
    <xf numFmtId="37" fontId="131" fillId="39" borderId="310" xfId="0" applyNumberFormat="1" applyFont="1" applyFill="1" applyBorder="1"/>
    <xf numFmtId="38" fontId="131" fillId="30" borderId="113" xfId="0" applyNumberFormat="1" applyFont="1" applyFill="1" applyBorder="1"/>
    <xf numFmtId="38" fontId="100" fillId="25" borderId="239" xfId="0" applyNumberFormat="1" applyFont="1" applyFill="1" applyBorder="1" applyAlignment="1" applyProtection="1">
      <alignment horizontal="right"/>
      <protection locked="0"/>
    </xf>
    <xf numFmtId="38" fontId="154" fillId="25" borderId="239" xfId="0" applyNumberFormat="1" applyFont="1" applyFill="1" applyBorder="1" applyAlignment="1" applyProtection="1">
      <alignment horizontal="right"/>
      <protection locked="0"/>
    </xf>
    <xf numFmtId="38" fontId="105" fillId="25" borderId="239" xfId="0" applyNumberFormat="1" applyFont="1" applyFill="1" applyBorder="1" applyAlignment="1" applyProtection="1">
      <alignment horizontal="right"/>
      <protection locked="0"/>
    </xf>
    <xf numFmtId="38" fontId="152" fillId="25" borderId="239" xfId="0" applyNumberFormat="1" applyFont="1" applyFill="1" applyBorder="1" applyAlignment="1" applyProtection="1">
      <alignment horizontal="right"/>
      <protection locked="0"/>
    </xf>
    <xf numFmtId="173" fontId="106" fillId="4" borderId="0" xfId="0" applyNumberFormat="1" applyFont="1" applyFill="1" applyAlignment="1">
      <alignment horizontal="center"/>
    </xf>
    <xf numFmtId="0" fontId="106" fillId="4" borderId="0" xfId="0" applyFont="1" applyFill="1" applyAlignment="1">
      <alignment horizontal="center"/>
    </xf>
    <xf numFmtId="182" fontId="0" fillId="2" borderId="0" xfId="0" applyNumberFormat="1"/>
    <xf numFmtId="0" fontId="0" fillId="2" borderId="307" xfId="0" applyBorder="1"/>
    <xf numFmtId="173" fontId="29" fillId="22" borderId="297" xfId="0" applyNumberFormat="1" applyFont="1" applyFill="1" applyBorder="1"/>
    <xf numFmtId="173" fontId="0" fillId="22" borderId="294" xfId="0" applyNumberFormat="1" applyFont="1" applyFill="1" applyBorder="1" applyAlignment="1">
      <alignment horizontal="right"/>
    </xf>
    <xf numFmtId="6" fontId="15" fillId="4" borderId="294" xfId="0" applyNumberFormat="1" applyFont="1" applyFill="1" applyBorder="1" applyProtection="1">
      <protection locked="0"/>
    </xf>
    <xf numFmtId="0" fontId="105" fillId="2" borderId="307" xfId="0" applyFont="1" applyBorder="1"/>
    <xf numFmtId="0" fontId="177" fillId="2" borderId="0" xfId="0" applyFont="1"/>
    <xf numFmtId="0" fontId="178" fillId="2" borderId="0" xfId="0" applyFont="1"/>
    <xf numFmtId="6" fontId="41" fillId="2" borderId="254" xfId="0" applyNumberFormat="1" applyFont="1" applyBorder="1"/>
    <xf numFmtId="0" fontId="41" fillId="21" borderId="294" xfId="0" applyFont="1" applyFill="1" applyBorder="1" applyAlignment="1">
      <alignment horizontal="center"/>
    </xf>
    <xf numFmtId="6" fontId="15" fillId="22" borderId="310" xfId="0" applyNumberFormat="1" applyFont="1" applyFill="1" applyBorder="1"/>
    <xf numFmtId="0" fontId="41" fillId="10" borderId="294" xfId="0" applyFont="1" applyFill="1" applyBorder="1" applyAlignment="1">
      <alignment horizontal="center"/>
    </xf>
    <xf numFmtId="0" fontId="0" fillId="0" borderId="0" xfId="0" applyFill="1"/>
    <xf numFmtId="174" fontId="0" fillId="0" borderId="0" xfId="0" applyNumberFormat="1" applyFill="1"/>
    <xf numFmtId="0" fontId="0" fillId="2" borderId="301" xfId="0" applyBorder="1" applyAlignment="1">
      <alignment horizontal="center"/>
    </xf>
    <xf numFmtId="38" fontId="105" fillId="23" borderId="273" xfId="0" applyNumberFormat="1" applyFont="1" applyFill="1" applyBorder="1"/>
    <xf numFmtId="38" fontId="152" fillId="23" borderId="273" xfId="0" applyNumberFormat="1" applyFont="1" applyFill="1" applyBorder="1"/>
    <xf numFmtId="0" fontId="82" fillId="24" borderId="157" xfId="0" applyFont="1" applyFill="1" applyBorder="1" applyAlignment="1">
      <alignment horizontal="right"/>
    </xf>
    <xf numFmtId="0" fontId="82" fillId="24" borderId="0" xfId="0" applyFont="1" applyFill="1" applyBorder="1" applyAlignment="1">
      <alignment horizontal="right"/>
    </xf>
    <xf numFmtId="14" fontId="82" fillId="24" borderId="0" xfId="0" applyNumberFormat="1" applyFont="1" applyFill="1" applyBorder="1" applyAlignment="1">
      <alignment horizontal="right"/>
    </xf>
    <xf numFmtId="0" fontId="82" fillId="24" borderId="0" xfId="0" applyFont="1" applyFill="1" applyBorder="1"/>
    <xf numFmtId="0" fontId="84" fillId="24" borderId="0" xfId="0" applyFont="1" applyFill="1" applyBorder="1"/>
    <xf numFmtId="0" fontId="82" fillId="24" borderId="99" xfId="0" applyFont="1" applyFill="1" applyBorder="1" applyAlignment="1">
      <alignment horizontal="center"/>
    </xf>
    <xf numFmtId="0" fontId="82" fillId="24" borderId="0" xfId="0" applyFont="1" applyFill="1" applyBorder="1" applyAlignment="1">
      <alignment horizontal="center"/>
    </xf>
    <xf numFmtId="37" fontId="82" fillId="24" borderId="0" xfId="0" applyNumberFormat="1" applyFont="1" applyFill="1" applyBorder="1" applyProtection="1">
      <protection locked="0"/>
    </xf>
    <xf numFmtId="173" fontId="82" fillId="24" borderId="0" xfId="0" applyNumberFormat="1" applyFont="1" applyFill="1" applyBorder="1"/>
    <xf numFmtId="37" fontId="82" fillId="24" borderId="0" xfId="0" applyNumberFormat="1" applyFont="1" applyFill="1" applyBorder="1"/>
    <xf numFmtId="170" fontId="82" fillId="24" borderId="0" xfId="0" applyNumberFormat="1" applyFont="1" applyFill="1" applyBorder="1"/>
    <xf numFmtId="0" fontId="59" fillId="24" borderId="316" xfId="0" quotePrefix="1" applyFont="1" applyFill="1" applyBorder="1" applyAlignment="1">
      <alignment horizontal="center"/>
    </xf>
    <xf numFmtId="0" fontId="82" fillId="24" borderId="317" xfId="0" applyFont="1" applyFill="1" applyBorder="1" applyAlignment="1">
      <alignment horizontal="center"/>
    </xf>
    <xf numFmtId="0" fontId="82" fillId="24" borderId="318" xfId="0" applyFont="1" applyFill="1" applyBorder="1" applyAlignment="1">
      <alignment horizontal="center"/>
    </xf>
    <xf numFmtId="37" fontId="82" fillId="24" borderId="319" xfId="0" applyNumberFormat="1" applyFont="1" applyFill="1" applyBorder="1" applyProtection="1">
      <protection locked="0"/>
    </xf>
    <xf numFmtId="37" fontId="82" fillId="24" borderId="318" xfId="0" applyNumberFormat="1" applyFont="1" applyFill="1" applyBorder="1" applyProtection="1">
      <protection locked="0"/>
    </xf>
    <xf numFmtId="37" fontId="82" fillId="24" borderId="319" xfId="0" applyNumberFormat="1" applyFont="1" applyFill="1" applyBorder="1"/>
    <xf numFmtId="37" fontId="82" fillId="24" borderId="316" xfId="0" applyNumberFormat="1" applyFont="1" applyFill="1" applyBorder="1"/>
    <xf numFmtId="167" fontId="82" fillId="24" borderId="319" xfId="0" applyNumberFormat="1" applyFont="1" applyFill="1" applyBorder="1"/>
    <xf numFmtId="0" fontId="82" fillId="24" borderId="318" xfId="0" applyFont="1" applyFill="1" applyBorder="1"/>
    <xf numFmtId="173" fontId="82" fillId="24" borderId="316" xfId="0" applyNumberFormat="1" applyFont="1" applyFill="1" applyBorder="1"/>
    <xf numFmtId="173" fontId="82" fillId="24" borderId="318" xfId="0" applyNumberFormat="1" applyFont="1" applyFill="1" applyBorder="1"/>
    <xf numFmtId="173" fontId="82" fillId="24" borderId="319" xfId="0" applyNumberFormat="1" applyFont="1" applyFill="1" applyBorder="1"/>
    <xf numFmtId="37" fontId="82" fillId="24" borderId="318" xfId="0" applyNumberFormat="1" applyFont="1" applyFill="1" applyBorder="1"/>
    <xf numFmtId="170" fontId="82" fillId="24" borderId="318" xfId="0" applyNumberFormat="1" applyFont="1" applyFill="1" applyBorder="1"/>
    <xf numFmtId="37" fontId="82" fillId="24" borderId="320" xfId="0" applyNumberFormat="1" applyFont="1" applyFill="1" applyBorder="1"/>
    <xf numFmtId="0" fontId="82" fillId="21" borderId="0" xfId="0" applyFont="1" applyFill="1" applyBorder="1"/>
    <xf numFmtId="0" fontId="9" fillId="24" borderId="321" xfId="0" quotePrefix="1" applyFont="1" applyFill="1" applyBorder="1" applyAlignment="1">
      <alignment horizontal="center"/>
    </xf>
    <xf numFmtId="37" fontId="82" fillId="24" borderId="322" xfId="0" applyNumberFormat="1" applyFont="1" applyFill="1" applyBorder="1" applyProtection="1">
      <protection locked="0"/>
    </xf>
    <xf numFmtId="37" fontId="82" fillId="24" borderId="322" xfId="0" applyNumberFormat="1" applyFont="1" applyFill="1" applyBorder="1"/>
    <xf numFmtId="37" fontId="82" fillId="24" borderId="321" xfId="0" applyNumberFormat="1" applyFont="1" applyFill="1" applyBorder="1"/>
    <xf numFmtId="167" fontId="82" fillId="24" borderId="322" xfId="0" applyNumberFormat="1" applyFont="1" applyFill="1" applyBorder="1"/>
    <xf numFmtId="173" fontId="82" fillId="24" borderId="321" xfId="0" applyNumberFormat="1" applyFont="1" applyFill="1" applyBorder="1"/>
    <xf numFmtId="173" fontId="82" fillId="24" borderId="322" xfId="0" applyNumberFormat="1" applyFont="1" applyFill="1" applyBorder="1"/>
    <xf numFmtId="37" fontId="82" fillId="24" borderId="323" xfId="0" applyNumberFormat="1" applyFont="1" applyFill="1" applyBorder="1"/>
    <xf numFmtId="0" fontId="9" fillId="24" borderId="324" xfId="0" quotePrefix="1" applyFont="1" applyFill="1" applyBorder="1" applyAlignment="1">
      <alignment horizontal="center"/>
    </xf>
    <xf numFmtId="0" fontId="82" fillId="24" borderId="325" xfId="0" applyFont="1" applyFill="1" applyBorder="1" applyAlignment="1">
      <alignment horizontal="center"/>
    </xf>
    <xf numFmtId="0" fontId="82" fillId="24" borderId="326" xfId="0" applyFont="1" applyFill="1" applyBorder="1" applyAlignment="1">
      <alignment horizontal="center"/>
    </xf>
    <xf numFmtId="37" fontId="82" fillId="24" borderId="327" xfId="0" applyNumberFormat="1" applyFont="1" applyFill="1" applyBorder="1" applyProtection="1">
      <protection locked="0"/>
    </xf>
    <xf numFmtId="37" fontId="82" fillId="24" borderId="326" xfId="0" applyNumberFormat="1" applyFont="1" applyFill="1" applyBorder="1" applyProtection="1">
      <protection locked="0"/>
    </xf>
    <xf numFmtId="37" fontId="82" fillId="24" borderId="327" xfId="0" applyNumberFormat="1" applyFont="1" applyFill="1" applyBorder="1"/>
    <xf numFmtId="37" fontId="79" fillId="24" borderId="327" xfId="0" applyNumberFormat="1" applyFont="1" applyFill="1" applyBorder="1"/>
    <xf numFmtId="37" fontId="82" fillId="24" borderId="328" xfId="0" applyNumberFormat="1" applyFont="1" applyFill="1" applyBorder="1"/>
    <xf numFmtId="167" fontId="82" fillId="24" borderId="327" xfId="0" applyNumberFormat="1" applyFont="1" applyFill="1" applyBorder="1"/>
    <xf numFmtId="0" fontId="82" fillId="24" borderId="326" xfId="0" applyFont="1" applyFill="1" applyBorder="1"/>
    <xf numFmtId="173" fontId="82" fillId="24" borderId="328" xfId="0" applyNumberFormat="1" applyFont="1" applyFill="1" applyBorder="1"/>
    <xf numFmtId="173" fontId="82" fillId="24" borderId="326" xfId="0" applyNumberFormat="1" applyFont="1" applyFill="1" applyBorder="1"/>
    <xf numFmtId="173" fontId="82" fillId="24" borderId="327" xfId="0" applyNumberFormat="1" applyFont="1" applyFill="1" applyBorder="1"/>
    <xf numFmtId="37" fontId="82" fillId="24" borderId="326" xfId="0" applyNumberFormat="1" applyFont="1" applyFill="1" applyBorder="1"/>
    <xf numFmtId="170" fontId="82" fillId="24" borderId="326" xfId="0" applyNumberFormat="1" applyFont="1" applyFill="1" applyBorder="1"/>
    <xf numFmtId="37" fontId="82" fillId="24" borderId="329" xfId="0" applyNumberFormat="1" applyFont="1" applyFill="1" applyBorder="1"/>
    <xf numFmtId="0" fontId="82" fillId="30" borderId="157" xfId="0" applyFont="1" applyFill="1" applyBorder="1" applyAlignment="1">
      <alignment horizontal="right"/>
    </xf>
    <xf numFmtId="0" fontId="82" fillId="30" borderId="0" xfId="0" applyFont="1" applyFill="1" applyBorder="1" applyAlignment="1">
      <alignment horizontal="right"/>
    </xf>
    <xf numFmtId="14" fontId="82" fillId="30" borderId="0" xfId="0" applyNumberFormat="1" applyFont="1" applyFill="1" applyBorder="1" applyAlignment="1">
      <alignment horizontal="right"/>
    </xf>
    <xf numFmtId="0" fontId="82" fillId="30" borderId="0" xfId="0" applyFont="1" applyFill="1" applyBorder="1"/>
    <xf numFmtId="0" fontId="84" fillId="30" borderId="0" xfId="0" applyFont="1" applyFill="1" applyBorder="1"/>
    <xf numFmtId="0" fontId="9" fillId="30" borderId="330" xfId="0" quotePrefix="1" applyFont="1" applyFill="1" applyBorder="1" applyAlignment="1">
      <alignment horizontal="center"/>
    </xf>
    <xf numFmtId="0" fontId="82" fillId="30" borderId="331" xfId="0" applyFont="1" applyFill="1" applyBorder="1" applyAlignment="1">
      <alignment horizontal="center"/>
    </xf>
    <xf numFmtId="0" fontId="82" fillId="30" borderId="76" xfId="0" applyFont="1" applyFill="1" applyBorder="1" applyAlignment="1">
      <alignment horizontal="center"/>
    </xf>
    <xf numFmtId="37" fontId="82" fillId="30" borderId="332" xfId="0" applyNumberFormat="1" applyFont="1" applyFill="1" applyBorder="1" applyProtection="1">
      <protection locked="0"/>
    </xf>
    <xf numFmtId="37" fontId="82" fillId="30" borderId="76" xfId="0" applyNumberFormat="1" applyFont="1" applyFill="1" applyBorder="1" applyProtection="1">
      <protection locked="0"/>
    </xf>
    <xf numFmtId="37" fontId="82" fillId="30" borderId="332" xfId="0" applyNumberFormat="1" applyFont="1" applyFill="1" applyBorder="1"/>
    <xf numFmtId="37" fontId="79" fillId="30" borderId="332" xfId="0" applyNumberFormat="1" applyFont="1" applyFill="1" applyBorder="1"/>
    <xf numFmtId="37" fontId="82" fillId="30" borderId="330" xfId="0" applyNumberFormat="1" applyFont="1" applyFill="1" applyBorder="1"/>
    <xf numFmtId="167" fontId="82" fillId="30" borderId="332" xfId="0" applyNumberFormat="1" applyFont="1" applyFill="1" applyBorder="1"/>
    <xf numFmtId="0" fontId="82" fillId="30" borderId="332" xfId="0" applyFont="1" applyFill="1" applyBorder="1"/>
    <xf numFmtId="173" fontId="82" fillId="30" borderId="330" xfId="0" applyNumberFormat="1" applyFont="1" applyFill="1" applyBorder="1"/>
    <xf numFmtId="173" fontId="82" fillId="30" borderId="76" xfId="0" applyNumberFormat="1" applyFont="1" applyFill="1" applyBorder="1"/>
    <xf numFmtId="173" fontId="82" fillId="30" borderId="332" xfId="0" applyNumberFormat="1" applyFont="1" applyFill="1" applyBorder="1"/>
    <xf numFmtId="37" fontId="82" fillId="30" borderId="76" xfId="0" applyNumberFormat="1" applyFont="1" applyFill="1" applyBorder="1"/>
    <xf numFmtId="170" fontId="82" fillId="30" borderId="76" xfId="0" applyNumberFormat="1" applyFont="1" applyFill="1" applyBorder="1"/>
    <xf numFmtId="37" fontId="82" fillId="30" borderId="333" xfId="0" applyNumberFormat="1" applyFont="1" applyFill="1" applyBorder="1"/>
    <xf numFmtId="0" fontId="82" fillId="30" borderId="307" xfId="0" applyFont="1" applyFill="1" applyBorder="1"/>
    <xf numFmtId="0" fontId="9" fillId="30" borderId="338" xfId="0" quotePrefix="1" applyFont="1" applyFill="1" applyBorder="1" applyAlignment="1">
      <alignment horizontal="center"/>
    </xf>
    <xf numFmtId="0" fontId="82" fillId="30" borderId="339" xfId="0" applyFont="1" applyFill="1" applyBorder="1" applyAlignment="1">
      <alignment horizontal="center"/>
    </xf>
    <xf numFmtId="0" fontId="82" fillId="30" borderId="69" xfId="0" applyFont="1" applyFill="1" applyBorder="1" applyAlignment="1">
      <alignment horizontal="center"/>
    </xf>
    <xf numFmtId="37" fontId="82" fillId="30" borderId="340" xfId="0" applyNumberFormat="1" applyFont="1" applyFill="1" applyBorder="1" applyProtection="1">
      <protection locked="0"/>
    </xf>
    <xf numFmtId="37" fontId="82" fillId="30" borderId="69" xfId="0" applyNumberFormat="1" applyFont="1" applyFill="1" applyBorder="1" applyProtection="1">
      <protection locked="0"/>
    </xf>
    <xf numFmtId="37" fontId="82" fillId="42" borderId="340" xfId="0" applyNumberFormat="1" applyFont="1" applyFill="1" applyBorder="1"/>
    <xf numFmtId="37" fontId="82" fillId="30" borderId="340" xfId="0" applyNumberFormat="1" applyFont="1" applyFill="1" applyBorder="1"/>
    <xf numFmtId="37" fontId="82" fillId="30" borderId="338" xfId="0" applyNumberFormat="1" applyFont="1" applyFill="1" applyBorder="1"/>
    <xf numFmtId="167" fontId="82" fillId="30" borderId="340" xfId="0" applyNumberFormat="1" applyFont="1" applyFill="1" applyBorder="1"/>
    <xf numFmtId="0" fontId="82" fillId="30" borderId="69" xfId="0" applyFont="1" applyFill="1" applyBorder="1"/>
    <xf numFmtId="173" fontId="82" fillId="30" borderId="338" xfId="0" applyNumberFormat="1" applyFont="1" applyFill="1" applyBorder="1"/>
    <xf numFmtId="173" fontId="82" fillId="30" borderId="69" xfId="0" applyNumberFormat="1" applyFont="1" applyFill="1" applyBorder="1"/>
    <xf numFmtId="173" fontId="82" fillId="30" borderId="340" xfId="0" applyNumberFormat="1" applyFont="1" applyFill="1" applyBorder="1"/>
    <xf numFmtId="37" fontId="82" fillId="30" borderId="69" xfId="0" applyNumberFormat="1" applyFont="1" applyFill="1" applyBorder="1"/>
    <xf numFmtId="170" fontId="82" fillId="30" borderId="69" xfId="0" applyNumberFormat="1" applyFont="1" applyFill="1" applyBorder="1"/>
    <xf numFmtId="37" fontId="82" fillId="30" borderId="341" xfId="0" applyNumberFormat="1" applyFont="1" applyFill="1" applyBorder="1"/>
    <xf numFmtId="0" fontId="59" fillId="30" borderId="334" xfId="0" quotePrefix="1" applyFont="1" applyFill="1" applyBorder="1" applyAlignment="1">
      <alignment horizontal="center"/>
    </xf>
    <xf numFmtId="0" fontId="82" fillId="30" borderId="335" xfId="0" applyFont="1" applyFill="1" applyBorder="1" applyAlignment="1">
      <alignment horizontal="center"/>
    </xf>
    <xf numFmtId="37" fontId="82" fillId="30" borderId="336" xfId="0" applyNumberFormat="1" applyFont="1" applyFill="1" applyBorder="1" applyProtection="1">
      <protection locked="0"/>
    </xf>
    <xf numFmtId="37" fontId="82" fillId="30" borderId="336" xfId="0" applyNumberFormat="1" applyFont="1" applyFill="1" applyBorder="1"/>
    <xf numFmtId="37" fontId="82" fillId="30" borderId="334" xfId="0" applyNumberFormat="1" applyFont="1" applyFill="1" applyBorder="1"/>
    <xf numFmtId="167" fontId="82" fillId="30" borderId="336" xfId="0" applyNumberFormat="1" applyFont="1" applyFill="1" applyBorder="1"/>
    <xf numFmtId="173" fontId="82" fillId="30" borderId="334" xfId="0" applyNumberFormat="1" applyFont="1" applyFill="1" applyBorder="1"/>
    <xf numFmtId="173" fontId="82" fillId="30" borderId="336" xfId="0" applyNumberFormat="1" applyFont="1" applyFill="1" applyBorder="1"/>
    <xf numFmtId="37" fontId="82" fillId="30" borderId="337" xfId="0" applyNumberFormat="1" applyFont="1" applyFill="1" applyBorder="1"/>
    <xf numFmtId="0" fontId="82" fillId="37" borderId="157" xfId="0" applyFont="1" applyFill="1" applyBorder="1" applyAlignment="1">
      <alignment horizontal="right"/>
    </xf>
    <xf numFmtId="0" fontId="82" fillId="37" borderId="0" xfId="0" applyFont="1" applyFill="1" applyBorder="1" applyAlignment="1">
      <alignment horizontal="right"/>
    </xf>
    <xf numFmtId="14" fontId="82" fillId="37" borderId="0" xfId="0" applyNumberFormat="1" applyFont="1" applyFill="1" applyBorder="1" applyAlignment="1">
      <alignment horizontal="right"/>
    </xf>
    <xf numFmtId="0" fontId="82" fillId="37" borderId="0" xfId="0" applyFont="1" applyFill="1" applyBorder="1"/>
    <xf numFmtId="0" fontId="84" fillId="37" borderId="0" xfId="0" applyFont="1" applyFill="1" applyBorder="1"/>
    <xf numFmtId="0" fontId="59" fillId="37" borderId="334" xfId="0" quotePrefix="1" applyFont="1" applyFill="1" applyBorder="1" applyAlignment="1">
      <alignment horizontal="center"/>
    </xf>
    <xf numFmtId="0" fontId="82" fillId="37" borderId="335" xfId="0" applyFont="1" applyFill="1" applyBorder="1" applyAlignment="1">
      <alignment horizontal="center"/>
    </xf>
    <xf numFmtId="37" fontId="82" fillId="37" borderId="336" xfId="0" applyNumberFormat="1" applyFont="1" applyFill="1" applyBorder="1" applyProtection="1">
      <protection locked="0"/>
    </xf>
    <xf numFmtId="37" fontId="82" fillId="37" borderId="336" xfId="0" applyNumberFormat="1" applyFont="1" applyFill="1" applyBorder="1"/>
    <xf numFmtId="37" fontId="82" fillId="37" borderId="334" xfId="0" applyNumberFormat="1" applyFont="1" applyFill="1" applyBorder="1"/>
    <xf numFmtId="167" fontId="82" fillId="37" borderId="336" xfId="0" applyNumberFormat="1" applyFont="1" applyFill="1" applyBorder="1"/>
    <xf numFmtId="173" fontId="82" fillId="37" borderId="334" xfId="0" applyNumberFormat="1" applyFont="1" applyFill="1" applyBorder="1"/>
    <xf numFmtId="173" fontId="82" fillId="37" borderId="336" xfId="0" applyNumberFormat="1" applyFont="1" applyFill="1" applyBorder="1"/>
    <xf numFmtId="37" fontId="82" fillId="37" borderId="337" xfId="0" applyNumberFormat="1" applyFont="1" applyFill="1" applyBorder="1"/>
    <xf numFmtId="0" fontId="59" fillId="21" borderId="334" xfId="0" quotePrefix="1" applyFont="1" applyFill="1" applyBorder="1" applyAlignment="1">
      <alignment horizontal="center"/>
    </xf>
    <xf numFmtId="0" fontId="82" fillId="21" borderId="335" xfId="0" applyFont="1" applyFill="1" applyBorder="1" applyAlignment="1">
      <alignment horizontal="center"/>
    </xf>
    <xf numFmtId="37" fontId="82" fillId="21" borderId="336" xfId="0" applyNumberFormat="1" applyFont="1" applyFill="1" applyBorder="1" applyProtection="1">
      <protection locked="0"/>
    </xf>
    <xf numFmtId="37" fontId="82" fillId="21" borderId="336" xfId="0" applyNumberFormat="1" applyFont="1" applyFill="1" applyBorder="1"/>
    <xf numFmtId="37" fontId="82" fillId="21" borderId="334" xfId="0" applyNumberFormat="1" applyFont="1" applyFill="1" applyBorder="1"/>
    <xf numFmtId="167" fontId="82" fillId="21" borderId="336" xfId="0" applyNumberFormat="1" applyFont="1" applyFill="1" applyBorder="1"/>
    <xf numFmtId="173" fontId="82" fillId="21" borderId="334" xfId="0" applyNumberFormat="1" applyFont="1" applyFill="1" applyBorder="1"/>
    <xf numFmtId="173" fontId="82" fillId="21" borderId="336" xfId="0" applyNumberFormat="1" applyFont="1" applyFill="1" applyBorder="1"/>
    <xf numFmtId="37" fontId="82" fillId="21" borderId="337" xfId="0" applyNumberFormat="1" applyFont="1" applyFill="1" applyBorder="1"/>
    <xf numFmtId="0" fontId="82" fillId="37" borderId="307" xfId="0" applyFont="1" applyFill="1" applyBorder="1"/>
    <xf numFmtId="0" fontId="9" fillId="37" borderId="342" xfId="0" quotePrefix="1" applyFont="1" applyFill="1" applyBorder="1" applyAlignment="1">
      <alignment horizontal="center"/>
    </xf>
    <xf numFmtId="0" fontId="82" fillId="37" borderId="315" xfId="0" applyFont="1" applyFill="1" applyBorder="1" applyAlignment="1">
      <alignment horizontal="center"/>
    </xf>
    <xf numFmtId="0" fontId="82" fillId="37" borderId="263" xfId="0" applyFont="1" applyFill="1" applyBorder="1" applyAlignment="1">
      <alignment horizontal="center"/>
    </xf>
    <xf numFmtId="37" fontId="82" fillId="37" borderId="343" xfId="0" applyNumberFormat="1" applyFont="1" applyFill="1" applyBorder="1" applyProtection="1">
      <protection locked="0"/>
    </xf>
    <xf numFmtId="37" fontId="82" fillId="37" borderId="263" xfId="0" applyNumberFormat="1" applyFont="1" applyFill="1" applyBorder="1" applyProtection="1">
      <protection locked="0"/>
    </xf>
    <xf numFmtId="37" fontId="82" fillId="24" borderId="343" xfId="0" applyNumberFormat="1" applyFont="1" applyFill="1" applyBorder="1"/>
    <xf numFmtId="37" fontId="82" fillId="37" borderId="343" xfId="0" applyNumberFormat="1" applyFont="1" applyFill="1" applyBorder="1"/>
    <xf numFmtId="37" fontId="82" fillId="37" borderId="344" xfId="0" applyNumberFormat="1" applyFont="1" applyFill="1" applyBorder="1"/>
    <xf numFmtId="167" fontId="82" fillId="37" borderId="343" xfId="0" applyNumberFormat="1" applyFont="1" applyFill="1" applyBorder="1"/>
    <xf numFmtId="0" fontId="82" fillId="37" borderId="263" xfId="0" applyFont="1" applyFill="1" applyBorder="1"/>
    <xf numFmtId="173" fontId="82" fillId="37" borderId="344" xfId="0" applyNumberFormat="1" applyFont="1" applyFill="1" applyBorder="1"/>
    <xf numFmtId="173" fontId="82" fillId="37" borderId="263" xfId="0" applyNumberFormat="1" applyFont="1" applyFill="1" applyBorder="1"/>
    <xf numFmtId="173" fontId="82" fillId="37" borderId="343" xfId="0" applyNumberFormat="1" applyFont="1" applyFill="1" applyBorder="1"/>
    <xf numFmtId="37" fontId="82" fillId="37" borderId="263" xfId="0" applyNumberFormat="1" applyFont="1" applyFill="1" applyBorder="1"/>
    <xf numFmtId="170" fontId="82" fillId="37" borderId="263" xfId="0" applyNumberFormat="1" applyFont="1" applyFill="1" applyBorder="1"/>
    <xf numFmtId="37" fontId="82" fillId="37" borderId="345" xfId="0" applyNumberFormat="1" applyFont="1" applyFill="1" applyBorder="1"/>
    <xf numFmtId="0" fontId="82" fillId="21" borderId="157" xfId="0" applyFont="1" applyFill="1" applyBorder="1" applyAlignment="1">
      <alignment horizontal="right"/>
    </xf>
    <xf numFmtId="0" fontId="82" fillId="21" borderId="0" xfId="0" applyFont="1" applyFill="1" applyBorder="1" applyAlignment="1">
      <alignment horizontal="right"/>
    </xf>
    <xf numFmtId="14" fontId="82" fillId="21" borderId="0" xfId="0" applyNumberFormat="1" applyFont="1" applyFill="1" applyBorder="1" applyAlignment="1">
      <alignment horizontal="right"/>
    </xf>
    <xf numFmtId="0" fontId="84" fillId="21" borderId="0" xfId="0" applyFont="1" applyFill="1" applyBorder="1"/>
    <xf numFmtId="0" fontId="82" fillId="21" borderId="307" xfId="0" applyFont="1" applyFill="1" applyBorder="1"/>
    <xf numFmtId="0" fontId="9" fillId="21" borderId="346" xfId="0" quotePrefix="1" applyFont="1" applyFill="1" applyBorder="1" applyAlignment="1">
      <alignment horizontal="center"/>
    </xf>
    <xf numFmtId="0" fontId="82" fillId="21" borderId="315" xfId="0" applyFont="1" applyFill="1" applyBorder="1" applyAlignment="1">
      <alignment horizontal="center"/>
    </xf>
    <xf numFmtId="0" fontId="82" fillId="21" borderId="263" xfId="0" applyFont="1" applyFill="1" applyBorder="1" applyAlignment="1">
      <alignment horizontal="center"/>
    </xf>
    <xf numFmtId="37" fontId="82" fillId="21" borderId="347" xfId="0" applyNumberFormat="1" applyFont="1" applyFill="1" applyBorder="1" applyProtection="1">
      <protection locked="0"/>
    </xf>
    <xf numFmtId="37" fontId="82" fillId="21" borderId="263" xfId="0" applyNumberFormat="1" applyFont="1" applyFill="1" applyBorder="1" applyProtection="1">
      <protection locked="0"/>
    </xf>
    <xf numFmtId="37" fontId="82" fillId="21" borderId="347" xfId="0" applyNumberFormat="1" applyFont="1" applyFill="1" applyBorder="1"/>
    <xf numFmtId="37" fontId="82" fillId="21" borderId="348" xfId="0" applyNumberFormat="1" applyFont="1" applyFill="1" applyBorder="1"/>
    <xf numFmtId="167" fontId="82" fillId="21" borderId="347" xfId="0" applyNumberFormat="1" applyFont="1" applyFill="1" applyBorder="1"/>
    <xf numFmtId="0" fontId="82" fillId="21" borderId="263" xfId="0" applyFont="1" applyFill="1" applyBorder="1"/>
    <xf numFmtId="173" fontId="82" fillId="21" borderId="348" xfId="0" applyNumberFormat="1" applyFont="1" applyFill="1" applyBorder="1"/>
    <xf numFmtId="173" fontId="82" fillId="21" borderId="263" xfId="0" applyNumberFormat="1" applyFont="1" applyFill="1" applyBorder="1"/>
    <xf numFmtId="173" fontId="82" fillId="21" borderId="347" xfId="0" applyNumberFormat="1" applyFont="1" applyFill="1" applyBorder="1"/>
    <xf numFmtId="37" fontId="82" fillId="21" borderId="263" xfId="0" applyNumberFormat="1" applyFont="1" applyFill="1" applyBorder="1"/>
    <xf numFmtId="170" fontId="82" fillId="21" borderId="263" xfId="0" applyNumberFormat="1" applyFont="1" applyFill="1" applyBorder="1"/>
    <xf numFmtId="37" fontId="82" fillId="21" borderId="349" xfId="0" applyNumberFormat="1" applyFont="1" applyFill="1" applyBorder="1"/>
    <xf numFmtId="0" fontId="0" fillId="2" borderId="350" xfId="0" applyBorder="1" applyAlignment="1">
      <alignment horizontal="center"/>
    </xf>
    <xf numFmtId="0" fontId="0" fillId="2" borderId="350" xfId="0" applyBorder="1"/>
    <xf numFmtId="0" fontId="25" fillId="29" borderId="113" xfId="0" applyFont="1" applyFill="1" applyBorder="1" applyAlignment="1">
      <alignment horizontal="center"/>
    </xf>
    <xf numFmtId="0" fontId="9" fillId="25" borderId="162" xfId="0" quotePrefix="1" applyFont="1" applyFill="1" applyBorder="1" applyAlignment="1">
      <alignment horizontal="center"/>
    </xf>
    <xf numFmtId="0" fontId="9" fillId="25" borderId="225" xfId="0" quotePrefix="1" applyFont="1" applyFill="1" applyBorder="1" applyAlignment="1">
      <alignment horizontal="center"/>
    </xf>
    <xf numFmtId="0" fontId="25" fillId="31" borderId="128" xfId="0" applyFont="1" applyFill="1" applyBorder="1" applyAlignment="1">
      <alignment horizontal="center"/>
    </xf>
    <xf numFmtId="0" fontId="25" fillId="30" borderId="128" xfId="0" applyFont="1" applyFill="1" applyBorder="1" applyAlignment="1">
      <alignment horizontal="center"/>
    </xf>
    <xf numFmtId="0" fontId="25" fillId="24" borderId="128" xfId="0" applyFont="1" applyFill="1" applyBorder="1" applyAlignment="1">
      <alignment horizontal="center"/>
    </xf>
    <xf numFmtId="0" fontId="16" fillId="2" borderId="0" xfId="2" quotePrefix="1" applyNumberFormat="1" applyFill="1" applyAlignment="1" applyProtection="1"/>
    <xf numFmtId="185" fontId="0" fillId="2" borderId="0" xfId="0" applyNumberFormat="1" applyAlignment="1">
      <alignment horizontal="center"/>
    </xf>
    <xf numFmtId="190" fontId="15" fillId="23" borderId="273" xfId="0" applyNumberFormat="1" applyFont="1" applyFill="1" applyBorder="1"/>
    <xf numFmtId="173" fontId="4" fillId="23" borderId="106" xfId="0" applyNumberFormat="1" applyFont="1" applyFill="1" applyBorder="1"/>
    <xf numFmtId="6" fontId="4" fillId="2" borderId="0" xfId="0" applyNumberFormat="1" applyFont="1" applyAlignment="1">
      <alignment horizontal="left"/>
    </xf>
    <xf numFmtId="0" fontId="15" fillId="2" borderId="350" xfId="0" applyFont="1" applyBorder="1"/>
    <xf numFmtId="6" fontId="15" fillId="4" borderId="350" xfId="0" applyNumberFormat="1" applyFont="1" applyFill="1" applyBorder="1" applyProtection="1">
      <protection locked="0"/>
    </xf>
    <xf numFmtId="6" fontId="41" fillId="2" borderId="350" xfId="0" applyNumberFormat="1" applyFont="1" applyBorder="1"/>
    <xf numFmtId="0" fontId="15" fillId="2" borderId="307" xfId="0" applyFont="1" applyBorder="1"/>
    <xf numFmtId="0" fontId="105" fillId="2" borderId="256" xfId="0" applyFont="1" applyBorder="1"/>
    <xf numFmtId="0" fontId="159" fillId="2" borderId="0" xfId="0" applyFont="1"/>
    <xf numFmtId="0" fontId="176" fillId="53" borderId="300" xfId="0" applyNumberFormat="1" applyFont="1" applyFill="1" applyBorder="1" applyAlignment="1">
      <alignment horizontal="left" vertical="center" wrapText="1" readingOrder="1"/>
    </xf>
    <xf numFmtId="0" fontId="176" fillId="55" borderId="300" xfId="0" applyNumberFormat="1" applyFont="1" applyFill="1" applyBorder="1" applyAlignment="1">
      <alignment horizontal="left" vertical="center" wrapText="1" readingOrder="1"/>
    </xf>
    <xf numFmtId="0" fontId="0" fillId="2" borderId="0" xfId="0" applyAlignment="1">
      <alignment horizontal="right" readingOrder="1"/>
    </xf>
    <xf numFmtId="0" fontId="176" fillId="56" borderId="300" xfId="0" applyNumberFormat="1" applyFont="1" applyFill="1" applyBorder="1" applyAlignment="1">
      <alignment horizontal="left" vertical="center" wrapText="1" readingOrder="1"/>
    </xf>
    <xf numFmtId="0" fontId="40" fillId="36" borderId="0" xfId="0" applyFont="1" applyFill="1" applyAlignment="1">
      <alignment horizontal="center"/>
    </xf>
    <xf numFmtId="194" fontId="176" fillId="56" borderId="300" xfId="0" applyNumberFormat="1" applyFont="1" applyFill="1" applyBorder="1" applyAlignment="1">
      <alignment horizontal="right" vertical="center" wrapText="1" readingOrder="1"/>
    </xf>
    <xf numFmtId="0" fontId="0" fillId="36" borderId="0" xfId="0" applyFill="1"/>
    <xf numFmtId="194" fontId="176" fillId="57" borderId="300" xfId="0" applyNumberFormat="1" applyFont="1" applyFill="1" applyBorder="1" applyAlignment="1">
      <alignment horizontal="right" vertical="center" wrapText="1" readingOrder="1"/>
    </xf>
    <xf numFmtId="0" fontId="176" fillId="57" borderId="300" xfId="0" applyNumberFormat="1" applyFont="1" applyFill="1" applyBorder="1" applyAlignment="1">
      <alignment horizontal="left" vertical="center" wrapText="1" readingOrder="1"/>
    </xf>
    <xf numFmtId="37" fontId="15" fillId="2" borderId="294" xfId="0" applyNumberFormat="1" applyFont="1" applyBorder="1"/>
    <xf numFmtId="173" fontId="146" fillId="24" borderId="2" xfId="0" applyNumberFormat="1" applyFont="1" applyFill="1" applyBorder="1"/>
    <xf numFmtId="0" fontId="146" fillId="24" borderId="2" xfId="0" applyFont="1" applyFill="1" applyBorder="1"/>
    <xf numFmtId="0" fontId="72" fillId="27" borderId="108" xfId="0" applyFont="1" applyFill="1" applyBorder="1"/>
    <xf numFmtId="0" fontId="72" fillId="27" borderId="159" xfId="0" applyFont="1" applyFill="1" applyBorder="1"/>
    <xf numFmtId="0" fontId="72" fillId="27" borderId="153" xfId="0" applyFont="1" applyFill="1" applyBorder="1"/>
    <xf numFmtId="0" fontId="72" fillId="27" borderId="91" xfId="0" applyFont="1" applyFill="1" applyBorder="1"/>
    <xf numFmtId="0" fontId="72" fillId="27" borderId="128" xfId="0" applyFont="1" applyFill="1" applyBorder="1"/>
    <xf numFmtId="0" fontId="72" fillId="27" borderId="74" xfId="0" applyFont="1" applyFill="1" applyBorder="1"/>
    <xf numFmtId="0" fontId="9" fillId="27" borderId="227" xfId="0" quotePrefix="1" applyFont="1" applyFill="1" applyBorder="1" applyAlignment="1">
      <alignment horizontal="center"/>
    </xf>
    <xf numFmtId="0" fontId="9" fillId="27" borderId="225" xfId="0" quotePrefix="1" applyFont="1" applyFill="1" applyBorder="1" applyAlignment="1">
      <alignment horizontal="center"/>
    </xf>
    <xf numFmtId="0" fontId="9" fillId="27" borderId="230" xfId="0" quotePrefix="1" applyFont="1" applyFill="1" applyBorder="1" applyAlignment="1">
      <alignment horizontal="center"/>
    </xf>
    <xf numFmtId="0" fontId="25" fillId="27" borderId="228" xfId="0" applyFont="1" applyFill="1" applyBorder="1" applyAlignment="1">
      <alignment horizontal="center"/>
    </xf>
    <xf numFmtId="0" fontId="25" fillId="27" borderId="98" xfId="0" applyFont="1" applyFill="1" applyBorder="1" applyAlignment="1">
      <alignment horizontal="center"/>
    </xf>
    <xf numFmtId="0" fontId="25" fillId="27" borderId="231" xfId="0" applyFont="1" applyFill="1" applyBorder="1" applyAlignment="1">
      <alignment horizontal="center"/>
    </xf>
    <xf numFmtId="0" fontId="72" fillId="27" borderId="91" xfId="0" applyFont="1" applyFill="1" applyBorder="1" applyAlignment="1">
      <alignment horizontal="center"/>
    </xf>
    <xf numFmtId="0" fontId="72" fillId="27" borderId="128" xfId="0" applyFont="1" applyFill="1" applyBorder="1" applyAlignment="1">
      <alignment horizontal="center"/>
    </xf>
    <xf numFmtId="0" fontId="72" fillId="27" borderId="74" xfId="0" applyFont="1" applyFill="1" applyBorder="1" applyAlignment="1">
      <alignment horizontal="center"/>
    </xf>
    <xf numFmtId="0" fontId="72" fillId="27" borderId="204" xfId="0" applyFont="1" applyFill="1" applyBorder="1" applyAlignment="1">
      <alignment horizontal="center"/>
    </xf>
    <xf numFmtId="0" fontId="72" fillId="27" borderId="119" xfId="0" applyFont="1" applyFill="1" applyBorder="1" applyAlignment="1">
      <alignment horizontal="center"/>
    </xf>
    <xf numFmtId="0" fontId="72" fillId="27" borderId="205" xfId="0" applyFont="1" applyFill="1" applyBorder="1" applyAlignment="1">
      <alignment horizontal="center"/>
    </xf>
    <xf numFmtId="173" fontId="72" fillId="27" borderId="160" xfId="0" applyNumberFormat="1" applyFont="1" applyFill="1" applyBorder="1"/>
    <xf numFmtId="173" fontId="72" fillId="27" borderId="234" xfId="0" applyNumberFormat="1" applyFont="1" applyFill="1" applyBorder="1"/>
    <xf numFmtId="173" fontId="72" fillId="27" borderId="232" xfId="0" applyNumberFormat="1" applyFont="1" applyFill="1" applyBorder="1"/>
    <xf numFmtId="37" fontId="72" fillId="27" borderId="160" xfId="0" applyNumberFormat="1" applyFont="1" applyFill="1" applyBorder="1"/>
    <xf numFmtId="37" fontId="72" fillId="27" borderId="234" xfId="0" applyNumberFormat="1" applyFont="1" applyFill="1" applyBorder="1"/>
    <xf numFmtId="37" fontId="72" fillId="27" borderId="232" xfId="0" applyNumberFormat="1" applyFont="1" applyFill="1" applyBorder="1"/>
    <xf numFmtId="0" fontId="25" fillId="27" borderId="128" xfId="0" applyFont="1" applyFill="1" applyBorder="1" applyAlignment="1">
      <alignment horizontal="center"/>
    </xf>
    <xf numFmtId="37" fontId="72" fillId="27" borderId="91" xfId="0" applyNumberFormat="1" applyFont="1" applyFill="1" applyBorder="1"/>
    <xf numFmtId="37" fontId="72" fillId="27" borderId="128" xfId="0" applyNumberFormat="1" applyFont="1" applyFill="1" applyBorder="1"/>
    <xf numFmtId="176" fontId="72" fillId="27" borderId="160" xfId="0" applyNumberFormat="1" applyFont="1" applyFill="1" applyBorder="1"/>
    <xf numFmtId="176" fontId="72" fillId="27" borderId="234" xfId="0" applyNumberFormat="1" applyFont="1" applyFill="1" applyBorder="1"/>
    <xf numFmtId="176" fontId="72" fillId="27" borderId="232" xfId="0" applyNumberFormat="1" applyFont="1" applyFill="1" applyBorder="1"/>
    <xf numFmtId="176" fontId="72" fillId="27" borderId="91" xfId="0" applyNumberFormat="1" applyFont="1" applyFill="1" applyBorder="1"/>
    <xf numFmtId="176" fontId="72" fillId="27" borderId="128" xfId="0" applyNumberFormat="1" applyFont="1" applyFill="1" applyBorder="1"/>
    <xf numFmtId="176" fontId="72" fillId="27" borderId="74" xfId="0" applyNumberFormat="1" applyFont="1" applyFill="1" applyBorder="1"/>
    <xf numFmtId="37" fontId="72" fillId="27" borderId="74" xfId="0" applyNumberFormat="1" applyFont="1" applyFill="1" applyBorder="1"/>
    <xf numFmtId="37" fontId="72" fillId="27" borderId="227" xfId="0" applyNumberFormat="1" applyFont="1" applyFill="1" applyBorder="1"/>
    <xf numFmtId="37" fontId="72" fillId="27" borderId="225" xfId="0" applyNumberFormat="1" applyFont="1" applyFill="1" applyBorder="1"/>
    <xf numFmtId="37" fontId="72" fillId="27" borderId="230" xfId="0" applyNumberFormat="1" applyFont="1" applyFill="1" applyBorder="1"/>
    <xf numFmtId="37" fontId="72" fillId="27" borderId="91" xfId="0" applyNumberFormat="1" applyFont="1" applyFill="1" applyBorder="1" applyAlignment="1">
      <alignment horizontal="center"/>
    </xf>
    <xf numFmtId="37" fontId="72" fillId="27" borderId="128" xfId="0" applyNumberFormat="1" applyFont="1" applyFill="1" applyBorder="1" applyAlignment="1">
      <alignment horizontal="center"/>
    </xf>
    <xf numFmtId="37" fontId="72" fillId="27" borderId="229" xfId="0" applyNumberFormat="1" applyFont="1" applyFill="1" applyBorder="1"/>
    <xf numFmtId="37" fontId="72" fillId="27" borderId="226" xfId="0" applyNumberFormat="1" applyFont="1" applyFill="1" applyBorder="1"/>
    <xf numFmtId="37" fontId="72" fillId="27" borderId="233" xfId="0" applyNumberFormat="1" applyFont="1" applyFill="1" applyBorder="1"/>
    <xf numFmtId="0" fontId="72" fillId="27" borderId="0" xfId="0" applyFont="1" applyFill="1"/>
    <xf numFmtId="0" fontId="4" fillId="30" borderId="40" xfId="0" applyFont="1" applyFill="1" applyBorder="1" applyAlignment="1">
      <alignment horizontal="center"/>
    </xf>
    <xf numFmtId="0" fontId="0" fillId="30" borderId="21" xfId="0" applyFill="1" applyBorder="1"/>
    <xf numFmtId="38" fontId="4" fillId="30" borderId="31" xfId="0" applyNumberFormat="1" applyFont="1" applyFill="1" applyBorder="1" applyAlignment="1">
      <alignment horizontal="center"/>
    </xf>
    <xf numFmtId="0" fontId="4" fillId="30" borderId="22" xfId="0" applyFont="1" applyFill="1" applyBorder="1" applyAlignment="1">
      <alignment horizontal="right"/>
    </xf>
    <xf numFmtId="38" fontId="0" fillId="30" borderId="31" xfId="0" applyNumberFormat="1" applyFill="1" applyBorder="1"/>
    <xf numFmtId="38" fontId="0" fillId="30" borderId="9" xfId="0" applyNumberFormat="1" applyFill="1" applyBorder="1"/>
    <xf numFmtId="38" fontId="0" fillId="27" borderId="31" xfId="0" applyNumberFormat="1" applyFill="1" applyBorder="1"/>
    <xf numFmtId="38" fontId="0" fillId="27" borderId="9" xfId="0" applyNumberFormat="1" applyFill="1" applyBorder="1"/>
    <xf numFmtId="38" fontId="0" fillId="26" borderId="31" xfId="0" applyNumberFormat="1" applyFill="1" applyBorder="1"/>
    <xf numFmtId="38" fontId="0" fillId="26" borderId="9" xfId="0" applyNumberFormat="1" applyFill="1" applyBorder="1"/>
    <xf numFmtId="38" fontId="0" fillId="47" borderId="31" xfId="0" applyNumberFormat="1" applyFill="1" applyBorder="1"/>
    <xf numFmtId="38" fontId="0" fillId="47" borderId="9" xfId="0" applyNumberFormat="1" applyFill="1" applyBorder="1"/>
    <xf numFmtId="0" fontId="9" fillId="30" borderId="182" xfId="0" quotePrefix="1" applyFont="1" applyFill="1" applyBorder="1" applyAlignment="1">
      <alignment horizontal="center"/>
    </xf>
    <xf numFmtId="0" fontId="9" fillId="30" borderId="346" xfId="0" quotePrefix="1" applyFont="1" applyFill="1" applyBorder="1" applyAlignment="1">
      <alignment horizontal="center"/>
    </xf>
    <xf numFmtId="0" fontId="82" fillId="30" borderId="163" xfId="0" applyFont="1" applyFill="1" applyBorder="1" applyAlignment="1">
      <alignment horizontal="center"/>
    </xf>
    <xf numFmtId="0" fontId="82" fillId="30" borderId="315" xfId="0" applyFont="1" applyFill="1" applyBorder="1" applyAlignment="1">
      <alignment horizontal="center"/>
    </xf>
    <xf numFmtId="0" fontId="82" fillId="30" borderId="91" xfId="0" applyFont="1" applyFill="1" applyBorder="1" applyAlignment="1">
      <alignment horizontal="center"/>
    </xf>
    <xf numFmtId="0" fontId="82" fillId="30" borderId="263" xfId="0" applyFont="1" applyFill="1" applyBorder="1" applyAlignment="1">
      <alignment horizontal="center"/>
    </xf>
    <xf numFmtId="37" fontId="82" fillId="30" borderId="183" xfId="0" applyNumberFormat="1" applyFont="1" applyFill="1" applyBorder="1" applyProtection="1">
      <protection locked="0"/>
    </xf>
    <xf numFmtId="37" fontId="82" fillId="30" borderId="347" xfId="0" applyNumberFormat="1" applyFont="1" applyFill="1" applyBorder="1" applyProtection="1">
      <protection locked="0"/>
    </xf>
    <xf numFmtId="37" fontId="82" fillId="30" borderId="91" xfId="0" applyNumberFormat="1" applyFont="1" applyFill="1" applyBorder="1" applyProtection="1">
      <protection locked="0"/>
    </xf>
    <xf numFmtId="37" fontId="82" fillId="30" borderId="263" xfId="0" applyNumberFormat="1" applyFont="1" applyFill="1" applyBorder="1" applyProtection="1">
      <protection locked="0"/>
    </xf>
    <xf numFmtId="37" fontId="82" fillId="30" borderId="183" xfId="0" applyNumberFormat="1" applyFont="1" applyFill="1" applyBorder="1"/>
    <xf numFmtId="37" fontId="82" fillId="30" borderId="347" xfId="0" applyNumberFormat="1" applyFont="1" applyFill="1" applyBorder="1"/>
    <xf numFmtId="37" fontId="79" fillId="30" borderId="183" xfId="0" applyNumberFormat="1" applyFont="1" applyFill="1" applyBorder="1"/>
    <xf numFmtId="37" fontId="82" fillId="30" borderId="184" xfId="0" applyNumberFormat="1" applyFont="1" applyFill="1" applyBorder="1"/>
    <xf numFmtId="37" fontId="82" fillId="30" borderId="348" xfId="0" applyNumberFormat="1" applyFont="1" applyFill="1" applyBorder="1"/>
    <xf numFmtId="37" fontId="82" fillId="30" borderId="185" xfId="0" applyNumberFormat="1" applyFont="1" applyFill="1" applyBorder="1"/>
    <xf numFmtId="167" fontId="82" fillId="30" borderId="185" xfId="0" applyNumberFormat="1" applyFont="1" applyFill="1" applyBorder="1"/>
    <xf numFmtId="167" fontId="82" fillId="30" borderId="347" xfId="0" applyNumberFormat="1" applyFont="1" applyFill="1" applyBorder="1"/>
    <xf numFmtId="0" fontId="82" fillId="30" borderId="91" xfId="0" applyFont="1" applyFill="1" applyBorder="1"/>
    <xf numFmtId="0" fontId="82" fillId="30" borderId="263" xfId="0" applyFont="1" applyFill="1" applyBorder="1"/>
    <xf numFmtId="37" fontId="82" fillId="30" borderId="185" xfId="0" applyNumberFormat="1" applyFont="1" applyFill="1" applyBorder="1" applyProtection="1">
      <protection locked="0"/>
    </xf>
    <xf numFmtId="0" fontId="82" fillId="30" borderId="203" xfId="0" applyFont="1" applyFill="1" applyBorder="1"/>
    <xf numFmtId="173" fontId="82" fillId="30" borderId="186" xfId="0" applyNumberFormat="1" applyFont="1" applyFill="1" applyBorder="1"/>
    <xf numFmtId="173" fontId="82" fillId="30" borderId="348" xfId="0" applyNumberFormat="1" applyFont="1" applyFill="1" applyBorder="1"/>
    <xf numFmtId="173" fontId="82" fillId="30" borderId="91" xfId="0" applyNumberFormat="1" applyFont="1" applyFill="1" applyBorder="1"/>
    <xf numFmtId="173" fontId="82" fillId="30" borderId="263" xfId="0" applyNumberFormat="1" applyFont="1" applyFill="1" applyBorder="1"/>
    <xf numFmtId="173" fontId="82" fillId="30" borderId="187" xfId="0" applyNumberFormat="1" applyFont="1" applyFill="1" applyBorder="1"/>
    <xf numFmtId="173" fontId="82" fillId="30" borderId="347" xfId="0" applyNumberFormat="1" applyFont="1" applyFill="1" applyBorder="1"/>
    <xf numFmtId="37" fontId="82" fillId="30" borderId="91" xfId="0" applyNumberFormat="1" applyFont="1" applyFill="1" applyBorder="1"/>
    <xf numFmtId="37" fontId="82" fillId="30" borderId="263" xfId="0" applyNumberFormat="1" applyFont="1" applyFill="1" applyBorder="1"/>
    <xf numFmtId="37" fontId="82" fillId="30" borderId="187" xfId="0" applyNumberFormat="1" applyFont="1" applyFill="1" applyBorder="1"/>
    <xf numFmtId="170" fontId="82" fillId="30" borderId="91" xfId="0" applyNumberFormat="1" applyFont="1" applyFill="1" applyBorder="1"/>
    <xf numFmtId="170" fontId="82" fillId="30" borderId="263" xfId="0" applyNumberFormat="1" applyFont="1" applyFill="1" applyBorder="1"/>
    <xf numFmtId="37" fontId="82" fillId="30" borderId="188" xfId="0" applyNumberFormat="1" applyFont="1" applyFill="1" applyBorder="1"/>
    <xf numFmtId="37" fontId="82" fillId="30" borderId="349" xfId="0" applyNumberFormat="1" applyFont="1" applyFill="1" applyBorder="1"/>
    <xf numFmtId="0" fontId="1" fillId="30" borderId="293" xfId="0" applyFont="1" applyFill="1" applyBorder="1" applyAlignment="1">
      <alignment horizontal="center"/>
    </xf>
    <xf numFmtId="6" fontId="15" fillId="4" borderId="350" xfId="0" applyNumberFormat="1" applyFont="1" applyFill="1" applyBorder="1" applyAlignment="1" applyProtection="1">
      <alignment horizontal="center"/>
      <protection locked="0"/>
    </xf>
    <xf numFmtId="0" fontId="15" fillId="2" borderId="9" xfId="0" applyNumberFormat="1" applyFont="1" applyBorder="1"/>
    <xf numFmtId="8" fontId="107" fillId="2" borderId="0" xfId="2" quotePrefix="1" applyNumberFormat="1" applyFont="1" applyFill="1" applyAlignment="1" applyProtection="1">
      <alignment horizontal="center"/>
    </xf>
    <xf numFmtId="174" fontId="179" fillId="0" borderId="31" xfId="0" applyNumberFormat="1" applyFont="1" applyFill="1" applyBorder="1" applyProtection="1">
      <protection locked="0"/>
    </xf>
    <xf numFmtId="174" fontId="179" fillId="25" borderId="31" xfId="0" applyNumberFormat="1" applyFont="1" applyFill="1" applyBorder="1" applyProtection="1">
      <protection locked="0"/>
    </xf>
    <xf numFmtId="38" fontId="179" fillId="23" borderId="201" xfId="0" applyNumberFormat="1" applyFont="1" applyFill="1" applyBorder="1" applyProtection="1">
      <protection locked="0"/>
    </xf>
    <xf numFmtId="38" fontId="179" fillId="23" borderId="31" xfId="0" applyNumberFormat="1" applyFont="1" applyFill="1" applyBorder="1" applyProtection="1">
      <protection locked="0"/>
    </xf>
    <xf numFmtId="38" fontId="179" fillId="23" borderId="273" xfId="0" applyNumberFormat="1" applyFont="1" applyFill="1" applyBorder="1"/>
    <xf numFmtId="38" fontId="179" fillId="23" borderId="273" xfId="0" applyNumberFormat="1" applyFont="1" applyFill="1" applyBorder="1" applyProtection="1">
      <protection locked="0"/>
    </xf>
    <xf numFmtId="38" fontId="179" fillId="6" borderId="31" xfId="0" applyNumberFormat="1" applyFont="1" applyFill="1" applyBorder="1" applyAlignment="1">
      <alignment horizontal="right"/>
    </xf>
    <xf numFmtId="173" fontId="179" fillId="23" borderId="31" xfId="0" applyNumberFormat="1" applyFont="1" applyFill="1" applyBorder="1" applyProtection="1">
      <protection locked="0"/>
    </xf>
    <xf numFmtId="173" fontId="179" fillId="6" borderId="147" xfId="0" applyNumberFormat="1" applyFont="1" applyFill="1" applyBorder="1" applyProtection="1">
      <protection locked="0"/>
    </xf>
    <xf numFmtId="38" fontId="179" fillId="6" borderId="31" xfId="0" applyNumberFormat="1" applyFont="1" applyFill="1" applyBorder="1" applyProtection="1">
      <protection locked="0"/>
    </xf>
    <xf numFmtId="38" fontId="179" fillId="6" borderId="273" xfId="0" applyNumberFormat="1" applyFont="1" applyFill="1" applyBorder="1" applyProtection="1">
      <protection locked="0"/>
    </xf>
    <xf numFmtId="173" fontId="179" fillId="6" borderId="31" xfId="0" applyNumberFormat="1" applyFont="1" applyFill="1" applyBorder="1" applyProtection="1">
      <protection locked="0"/>
    </xf>
    <xf numFmtId="38" fontId="179" fillId="6" borderId="41" xfId="0" applyNumberFormat="1" applyFont="1" applyFill="1" applyBorder="1" applyProtection="1">
      <protection locked="0"/>
    </xf>
    <xf numFmtId="38" fontId="179" fillId="0" borderId="31" xfId="0" applyNumberFormat="1" applyFont="1" applyFill="1" applyBorder="1" applyProtection="1">
      <protection locked="0"/>
    </xf>
    <xf numFmtId="38" fontId="179" fillId="25" borderId="239" xfId="0" applyNumberFormat="1" applyFont="1" applyFill="1" applyBorder="1" applyAlignment="1" applyProtection="1">
      <alignment horizontal="right"/>
      <protection locked="0"/>
    </xf>
    <xf numFmtId="38" fontId="179" fillId="25" borderId="9" xfId="0" applyNumberFormat="1" applyFont="1" applyFill="1" applyBorder="1"/>
    <xf numFmtId="38" fontId="179" fillId="23" borderId="9" xfId="0" applyNumberFormat="1" applyFont="1" applyFill="1" applyBorder="1"/>
    <xf numFmtId="38" fontId="179" fillId="25" borderId="273" xfId="0" applyNumberFormat="1" applyFont="1" applyFill="1" applyBorder="1"/>
    <xf numFmtId="38" fontId="179" fillId="25" borderId="31" xfId="0" applyNumberFormat="1" applyFont="1" applyFill="1" applyBorder="1" applyProtection="1">
      <protection locked="0"/>
    </xf>
    <xf numFmtId="38" fontId="179" fillId="0" borderId="270" xfId="0" applyNumberFormat="1" applyFont="1" applyFill="1" applyBorder="1" applyAlignment="1" applyProtection="1">
      <alignment horizontal="center"/>
      <protection locked="0"/>
    </xf>
    <xf numFmtId="185" fontId="179" fillId="0" borderId="31" xfId="0" applyNumberFormat="1" applyFont="1" applyFill="1" applyBorder="1"/>
    <xf numFmtId="185" fontId="179" fillId="23" borderId="147" xfId="0" applyNumberFormat="1" applyFont="1" applyFill="1" applyBorder="1"/>
    <xf numFmtId="37" fontId="179" fillId="2" borderId="9" xfId="0" applyNumberFormat="1" applyFont="1" applyBorder="1" applyAlignment="1" applyProtection="1">
      <alignment horizontal="center"/>
      <protection locked="0"/>
    </xf>
    <xf numFmtId="38" fontId="179" fillId="23" borderId="9" xfId="0" applyNumberFormat="1" applyFont="1" applyFill="1" applyBorder="1" applyAlignment="1">
      <alignment horizontal="center"/>
    </xf>
    <xf numFmtId="38" fontId="179" fillId="23" borderId="133" xfId="0" applyNumberFormat="1" applyFont="1" applyFill="1" applyBorder="1" applyAlignment="1" applyProtection="1">
      <alignment horizontal="center"/>
      <protection locked="0"/>
    </xf>
    <xf numFmtId="0" fontId="129" fillId="2" borderId="301" xfId="2" applyFont="1" applyFill="1" applyBorder="1" applyAlignment="1" applyProtection="1"/>
    <xf numFmtId="0" fontId="105" fillId="2" borderId="0" xfId="0" quotePrefix="1" applyFont="1"/>
    <xf numFmtId="0" fontId="9" fillId="22" borderId="0" xfId="0" applyFont="1" applyFill="1"/>
    <xf numFmtId="0" fontId="41" fillId="23" borderId="0" xfId="0" applyFont="1" applyFill="1"/>
    <xf numFmtId="173" fontId="124" fillId="24" borderId="273" xfId="0" applyNumberFormat="1" applyFont="1" applyFill="1" applyBorder="1"/>
    <xf numFmtId="0" fontId="15" fillId="2" borderId="352" xfId="0" quotePrefix="1" applyFont="1" applyBorder="1" applyAlignment="1">
      <alignment horizontal="center"/>
    </xf>
    <xf numFmtId="0" fontId="15" fillId="2" borderId="113" xfId="0" applyFont="1" applyBorder="1"/>
    <xf numFmtId="0" fontId="15" fillId="23" borderId="352" xfId="0" applyFont="1" applyFill="1" applyBorder="1"/>
    <xf numFmtId="0" fontId="15" fillId="2" borderId="352" xfId="0" applyFont="1" applyBorder="1"/>
    <xf numFmtId="0" fontId="15" fillId="2" borderId="273" xfId="0" quotePrefix="1" applyFont="1" applyBorder="1" applyAlignment="1">
      <alignment horizontal="center"/>
    </xf>
    <xf numFmtId="0" fontId="15" fillId="2" borderId="350" xfId="0" quotePrefix="1" applyFont="1" applyBorder="1" applyAlignment="1">
      <alignment horizontal="center"/>
    </xf>
    <xf numFmtId="6" fontId="15" fillId="2" borderId="273" xfId="0" applyNumberFormat="1" applyFont="1" applyBorder="1" applyAlignment="1">
      <alignment horizontal="center"/>
    </xf>
    <xf numFmtId="6" fontId="15" fillId="2" borderId="113" xfId="0" applyNumberFormat="1" applyFont="1" applyBorder="1"/>
    <xf numFmtId="173" fontId="180" fillId="23" borderId="9" xfId="0" applyNumberFormat="1" applyFont="1" applyFill="1" applyBorder="1" applyAlignment="1">
      <alignment horizontal="right"/>
    </xf>
    <xf numFmtId="173" fontId="15" fillId="2" borderId="352" xfId="0" applyNumberFormat="1" applyFont="1" applyBorder="1" applyAlignment="1">
      <alignment horizontal="right"/>
    </xf>
    <xf numFmtId="173" fontId="15" fillId="2" borderId="294" xfId="0" applyNumberFormat="1" applyFont="1" applyBorder="1" applyAlignment="1">
      <alignment horizontal="right"/>
    </xf>
    <xf numFmtId="173" fontId="15" fillId="2" borderId="273" xfId="0" applyNumberFormat="1" applyFont="1" applyBorder="1" applyAlignment="1">
      <alignment horizontal="right"/>
    </xf>
    <xf numFmtId="38" fontId="15" fillId="2" borderId="294" xfId="0" applyNumberFormat="1" applyFont="1" applyBorder="1" applyAlignment="1">
      <alignment horizontal="right"/>
    </xf>
    <xf numFmtId="38" fontId="15" fillId="2" borderId="352" xfId="0" applyNumberFormat="1" applyFont="1" applyBorder="1" applyAlignment="1">
      <alignment horizontal="right"/>
    </xf>
    <xf numFmtId="38" fontId="15" fillId="2" borderId="350" xfId="0" applyNumberFormat="1" applyFont="1" applyBorder="1" applyAlignment="1">
      <alignment horizontal="right"/>
    </xf>
    <xf numFmtId="0" fontId="15" fillId="4" borderId="353" xfId="0" applyFont="1" applyFill="1" applyBorder="1"/>
    <xf numFmtId="0" fontId="0" fillId="2" borderId="354" xfId="0" applyBorder="1"/>
    <xf numFmtId="38" fontId="125" fillId="24" borderId="350" xfId="0" applyNumberFormat="1" applyFont="1" applyFill="1" applyBorder="1" applyAlignment="1">
      <alignment horizontal="right"/>
    </xf>
    <xf numFmtId="0" fontId="15" fillId="23" borderId="271" xfId="0" applyFont="1" applyFill="1" applyBorder="1" applyAlignment="1">
      <alignment horizontal="left"/>
    </xf>
    <xf numFmtId="0" fontId="41" fillId="23" borderId="255" xfId="0" applyFont="1" applyFill="1" applyBorder="1"/>
    <xf numFmtId="0" fontId="15" fillId="23" borderId="274" xfId="0" applyFont="1" applyFill="1" applyBorder="1"/>
    <xf numFmtId="0" fontId="29" fillId="4" borderId="0" xfId="0" applyFont="1" applyFill="1" applyBorder="1" applyAlignment="1">
      <alignment horizontal="center"/>
    </xf>
    <xf numFmtId="0" fontId="15" fillId="23" borderId="353" xfId="0" applyFont="1" applyFill="1" applyBorder="1"/>
    <xf numFmtId="173" fontId="125" fillId="24" borderId="31" xfId="0" applyNumberFormat="1" applyFont="1" applyFill="1" applyBorder="1" applyAlignment="1">
      <alignment horizontal="right"/>
    </xf>
    <xf numFmtId="0" fontId="15" fillId="23" borderId="272" xfId="0" applyFont="1" applyFill="1" applyBorder="1"/>
    <xf numFmtId="38" fontId="125" fillId="23" borderId="0" xfId="0" applyNumberFormat="1" applyFont="1" applyFill="1" applyBorder="1" applyAlignment="1">
      <alignment horizontal="right"/>
    </xf>
    <xf numFmtId="185" fontId="101" fillId="2" borderId="0" xfId="0" applyNumberFormat="1" applyFont="1"/>
    <xf numFmtId="0" fontId="15" fillId="23" borderId="354" xfId="0" applyFont="1" applyFill="1" applyBorder="1"/>
    <xf numFmtId="0" fontId="15" fillId="23" borderId="306" xfId="0" applyFont="1" applyFill="1" applyBorder="1"/>
    <xf numFmtId="0" fontId="8" fillId="0" borderId="355" xfId="0" applyFont="1" applyFill="1" applyBorder="1" applyAlignment="1">
      <alignment wrapText="1"/>
    </xf>
    <xf numFmtId="0" fontId="4" fillId="13" borderId="356" xfId="0" applyFont="1" applyFill="1" applyBorder="1" applyAlignment="1">
      <alignment horizontal="center"/>
    </xf>
    <xf numFmtId="0" fontId="0" fillId="13" borderId="357" xfId="0" applyFill="1" applyBorder="1"/>
    <xf numFmtId="0" fontId="4" fillId="6" borderId="356" xfId="0" applyFont="1" applyFill="1" applyBorder="1" applyAlignment="1">
      <alignment horizontal="center"/>
    </xf>
    <xf numFmtId="0" fontId="0" fillId="6" borderId="357" xfId="0" applyFill="1" applyBorder="1"/>
    <xf numFmtId="0" fontId="4" fillId="19" borderId="356" xfId="0" applyFont="1" applyFill="1" applyBorder="1" applyAlignment="1">
      <alignment horizontal="center"/>
    </xf>
    <xf numFmtId="0" fontId="0" fillId="19" borderId="357" xfId="0" applyFill="1" applyBorder="1"/>
    <xf numFmtId="0" fontId="4" fillId="14" borderId="356" xfId="0" applyFont="1" applyFill="1" applyBorder="1" applyAlignment="1">
      <alignment horizontal="center"/>
    </xf>
    <xf numFmtId="0" fontId="0" fillId="14" borderId="357" xfId="0" applyFill="1" applyBorder="1"/>
    <xf numFmtId="0" fontId="4" fillId="24" borderId="356" xfId="0" applyFont="1" applyFill="1" applyBorder="1" applyAlignment="1">
      <alignment horizontal="center"/>
    </xf>
    <xf numFmtId="0" fontId="0" fillId="24" borderId="357" xfId="0" applyFill="1" applyBorder="1"/>
    <xf numFmtId="0" fontId="4" fillId="16" borderId="356" xfId="0" applyFont="1" applyFill="1" applyBorder="1" applyAlignment="1">
      <alignment horizontal="center"/>
    </xf>
    <xf numFmtId="0" fontId="0" fillId="16" borderId="357" xfId="0" applyFill="1" applyBorder="1"/>
    <xf numFmtId="0" fontId="4" fillId="28" borderId="356" xfId="0" applyFont="1" applyFill="1" applyBorder="1" applyAlignment="1">
      <alignment horizontal="center"/>
    </xf>
    <xf numFmtId="0" fontId="0" fillId="28" borderId="357" xfId="0" applyFill="1" applyBorder="1"/>
    <xf numFmtId="38" fontId="4" fillId="13" borderId="273" xfId="0" applyNumberFormat="1" applyFont="1" applyFill="1" applyBorder="1" applyAlignment="1">
      <alignment horizontal="center"/>
    </xf>
    <xf numFmtId="0" fontId="4" fillId="13" borderId="306" xfId="0" applyFont="1" applyFill="1" applyBorder="1" applyAlignment="1">
      <alignment horizontal="right"/>
    </xf>
    <xf numFmtId="38" fontId="4" fillId="6" borderId="273" xfId="0" applyNumberFormat="1" applyFont="1" applyFill="1" applyBorder="1" applyAlignment="1">
      <alignment horizontal="center"/>
    </xf>
    <xf numFmtId="0" fontId="4" fillId="6" borderId="306" xfId="0" applyFont="1" applyFill="1" applyBorder="1" applyAlignment="1">
      <alignment horizontal="right"/>
    </xf>
    <xf numFmtId="38" fontId="4" fillId="19" borderId="273" xfId="0" applyNumberFormat="1" applyFont="1" applyFill="1" applyBorder="1" applyAlignment="1">
      <alignment horizontal="center"/>
    </xf>
    <xf numFmtId="0" fontId="4" fillId="19" borderId="306" xfId="0" applyFont="1" applyFill="1" applyBorder="1" applyAlignment="1">
      <alignment horizontal="right"/>
    </xf>
    <xf numFmtId="38" fontId="4" fillId="14" borderId="273" xfId="0" applyNumberFormat="1" applyFont="1" applyFill="1" applyBorder="1" applyAlignment="1">
      <alignment horizontal="center"/>
    </xf>
    <xf numFmtId="0" fontId="4" fillId="14" borderId="306" xfId="0" applyFont="1" applyFill="1" applyBorder="1" applyAlignment="1">
      <alignment horizontal="right"/>
    </xf>
    <xf numFmtId="38" fontId="4" fillId="24" borderId="273" xfId="0" applyNumberFormat="1" applyFont="1" applyFill="1" applyBorder="1" applyAlignment="1">
      <alignment horizontal="center"/>
    </xf>
    <xf numFmtId="0" fontId="4" fillId="24" borderId="306" xfId="0" applyFont="1" applyFill="1" applyBorder="1" applyAlignment="1">
      <alignment horizontal="right"/>
    </xf>
    <xf numFmtId="38" fontId="4" fillId="16" borderId="273" xfId="0" applyNumberFormat="1" applyFont="1" applyFill="1" applyBorder="1" applyAlignment="1">
      <alignment horizontal="center"/>
    </xf>
    <xf numFmtId="0" fontId="4" fillId="16" borderId="306" xfId="0" applyFont="1" applyFill="1" applyBorder="1" applyAlignment="1">
      <alignment horizontal="right"/>
    </xf>
    <xf numFmtId="38" fontId="4" fillId="28" borderId="273" xfId="0" applyNumberFormat="1" applyFont="1" applyFill="1" applyBorder="1" applyAlignment="1">
      <alignment horizontal="center"/>
    </xf>
    <xf numFmtId="0" fontId="4" fillId="28" borderId="306" xfId="0" applyFont="1" applyFill="1" applyBorder="1" applyAlignment="1">
      <alignment horizontal="right"/>
    </xf>
    <xf numFmtId="38" fontId="0" fillId="2" borderId="358" xfId="0" applyNumberFormat="1" applyBorder="1"/>
    <xf numFmtId="38" fontId="0" fillId="2" borderId="359" xfId="0" applyNumberFormat="1" applyBorder="1"/>
    <xf numFmtId="0" fontId="0" fillId="12" borderId="359" xfId="0" applyFill="1" applyBorder="1" applyAlignment="1">
      <alignment horizontal="left"/>
    </xf>
    <xf numFmtId="0" fontId="0" fillId="12" borderId="359" xfId="0" applyFill="1" applyBorder="1"/>
    <xf numFmtId="38" fontId="0" fillId="6" borderId="273" xfId="0" applyNumberFormat="1" applyFill="1" applyBorder="1"/>
    <xf numFmtId="38" fontId="0" fillId="7" borderId="273" xfId="0" applyNumberFormat="1" applyFill="1" applyBorder="1"/>
    <xf numFmtId="38" fontId="0" fillId="10" borderId="273" xfId="0" applyNumberFormat="1" applyFill="1" applyBorder="1"/>
    <xf numFmtId="38" fontId="0" fillId="14" borderId="273" xfId="0" applyNumberFormat="1" applyFill="1" applyBorder="1"/>
    <xf numFmtId="38" fontId="0" fillId="24" borderId="273" xfId="0" applyNumberFormat="1" applyFill="1" applyBorder="1"/>
    <xf numFmtId="38" fontId="0" fillId="13" borderId="273" xfId="0" applyNumberFormat="1" applyFill="1" applyBorder="1"/>
    <xf numFmtId="38" fontId="0" fillId="28" borderId="273" xfId="0" applyNumberFormat="1" applyFill="1" applyBorder="1"/>
    <xf numFmtId="38" fontId="0" fillId="6" borderId="359" xfId="0" applyNumberFormat="1" applyFill="1" applyBorder="1"/>
    <xf numFmtId="38" fontId="0" fillId="7" borderId="359" xfId="0" applyNumberFormat="1" applyFill="1" applyBorder="1"/>
    <xf numFmtId="38" fontId="0" fillId="10" borderId="359" xfId="0" applyNumberFormat="1" applyFill="1" applyBorder="1"/>
    <xf numFmtId="38" fontId="0" fillId="14" borderId="359" xfId="0" applyNumberFormat="1" applyFill="1" applyBorder="1"/>
    <xf numFmtId="38" fontId="0" fillId="24" borderId="359" xfId="0" applyNumberFormat="1" applyFill="1" applyBorder="1"/>
    <xf numFmtId="38" fontId="0" fillId="13" borderId="359" xfId="0" applyNumberFormat="1" applyFill="1" applyBorder="1"/>
    <xf numFmtId="38" fontId="0" fillId="28" borderId="359" xfId="0" applyNumberFormat="1" applyFill="1" applyBorder="1"/>
    <xf numFmtId="0" fontId="15" fillId="2" borderId="356" xfId="0" quotePrefix="1" applyFont="1" applyBorder="1" applyAlignment="1">
      <alignment horizontal="center"/>
    </xf>
    <xf numFmtId="0" fontId="0" fillId="23" borderId="290" xfId="0" applyFill="1" applyBorder="1"/>
    <xf numFmtId="38" fontId="123" fillId="24" borderId="31" xfId="0" applyNumberFormat="1" applyFont="1" applyFill="1" applyBorder="1" applyProtection="1">
      <protection locked="0"/>
    </xf>
    <xf numFmtId="0" fontId="105" fillId="2" borderId="0" xfId="0" applyFont="1" applyAlignment="1">
      <alignment horizontal="left"/>
    </xf>
    <xf numFmtId="173" fontId="125" fillId="24" borderId="350" xfId="0" applyNumberFormat="1" applyFont="1" applyFill="1" applyBorder="1" applyAlignment="1">
      <alignment horizontal="right"/>
    </xf>
    <xf numFmtId="173" fontId="123" fillId="22" borderId="147" xfId="0" applyNumberFormat="1" applyFont="1" applyFill="1" applyBorder="1" applyProtection="1">
      <protection locked="0"/>
    </xf>
    <xf numFmtId="38" fontId="123" fillId="22" borderId="31" xfId="0" applyNumberFormat="1" applyFont="1" applyFill="1" applyBorder="1" applyProtection="1">
      <protection locked="0"/>
    </xf>
    <xf numFmtId="0" fontId="15" fillId="23" borderId="351" xfId="0" applyFont="1" applyFill="1" applyBorder="1"/>
    <xf numFmtId="0" fontId="15" fillId="24" borderId="0" xfId="0" applyFont="1" applyFill="1"/>
    <xf numFmtId="185" fontId="125" fillId="24" borderId="147" xfId="0" applyNumberFormat="1" applyFont="1" applyFill="1" applyBorder="1"/>
    <xf numFmtId="38" fontId="125" fillId="24" borderId="294" xfId="0" applyNumberFormat="1" applyFont="1" applyFill="1" applyBorder="1" applyProtection="1">
      <protection locked="0"/>
    </xf>
    <xf numFmtId="38" fontId="125" fillId="24" borderId="31" xfId="0" applyNumberFormat="1" applyFont="1" applyFill="1" applyBorder="1" applyProtection="1">
      <protection locked="0"/>
    </xf>
    <xf numFmtId="38" fontId="125" fillId="24" borderId="273" xfId="0" applyNumberFormat="1" applyFont="1" applyFill="1" applyBorder="1"/>
    <xf numFmtId="173" fontId="125" fillId="24" borderId="273" xfId="0" applyNumberFormat="1" applyFont="1" applyFill="1" applyBorder="1"/>
    <xf numFmtId="173" fontId="125" fillId="24" borderId="147" xfId="0" applyNumberFormat="1" applyFont="1" applyFill="1" applyBorder="1" applyProtection="1">
      <protection locked="0"/>
    </xf>
    <xf numFmtId="38" fontId="125" fillId="22" borderId="31" xfId="0" applyNumberFormat="1" applyFont="1" applyFill="1" applyBorder="1" applyAlignment="1">
      <alignment horizontal="right"/>
    </xf>
    <xf numFmtId="38" fontId="125" fillId="0" borderId="270" xfId="0" applyNumberFormat="1" applyFont="1" applyFill="1" applyBorder="1" applyAlignment="1" applyProtection="1">
      <alignment horizontal="center"/>
      <protection locked="0"/>
    </xf>
    <xf numFmtId="0" fontId="20" fillId="2" borderId="0" xfId="0" applyFont="1"/>
    <xf numFmtId="0" fontId="10" fillId="2" borderId="0" xfId="0" quotePrefix="1" applyNumberFormat="1" applyFont="1" applyProtection="1"/>
    <xf numFmtId="0" fontId="0" fillId="22" borderId="360" xfId="0" applyFill="1" applyBorder="1"/>
    <xf numFmtId="173" fontId="106" fillId="58" borderId="117" xfId="0" applyNumberFormat="1" applyFont="1" applyFill="1" applyBorder="1"/>
    <xf numFmtId="173" fontId="106" fillId="58" borderId="271" xfId="0" applyNumberFormat="1" applyFont="1" applyFill="1" applyBorder="1"/>
    <xf numFmtId="1" fontId="126" fillId="23" borderId="289" xfId="0" applyNumberFormat="1" applyFont="1" applyFill="1" applyBorder="1" applyAlignment="1">
      <alignment vertical="top" shrinkToFit="1"/>
    </xf>
    <xf numFmtId="0" fontId="40" fillId="23" borderId="289" xfId="0" applyFont="1" applyFill="1" applyBorder="1" applyAlignment="1">
      <alignment vertical="top"/>
    </xf>
    <xf numFmtId="185" fontId="126" fillId="23" borderId="289" xfId="0" applyNumberFormat="1" applyFont="1" applyFill="1" applyBorder="1" applyAlignment="1">
      <alignment vertical="top" shrinkToFit="1"/>
    </xf>
    <xf numFmtId="189" fontId="126" fillId="23" borderId="0" xfId="0" applyNumberFormat="1" applyFont="1" applyFill="1" applyBorder="1" applyAlignment="1">
      <alignment vertical="top" shrinkToFit="1"/>
    </xf>
    <xf numFmtId="0" fontId="40" fillId="23" borderId="0" xfId="0" applyFont="1" applyFill="1" applyBorder="1" applyAlignment="1">
      <alignment vertical="top"/>
    </xf>
    <xf numFmtId="185" fontId="126" fillId="23" borderId="0" xfId="0" applyNumberFormat="1" applyFont="1" applyFill="1" applyBorder="1" applyAlignment="1">
      <alignment vertical="top" shrinkToFit="1"/>
    </xf>
    <xf numFmtId="1" fontId="126" fillId="23" borderId="0" xfId="0" applyNumberFormat="1" applyFont="1" applyFill="1" applyBorder="1" applyAlignment="1">
      <alignment vertical="top" shrinkToFit="1"/>
    </xf>
    <xf numFmtId="173" fontId="4" fillId="23" borderId="361" xfId="0" applyNumberFormat="1" applyFont="1" applyFill="1" applyBorder="1"/>
    <xf numFmtId="173" fontId="4" fillId="23" borderId="270" xfId="0" applyNumberFormat="1" applyFont="1" applyFill="1" applyBorder="1"/>
    <xf numFmtId="0" fontId="106" fillId="2" borderId="0" xfId="0" applyFont="1" applyBorder="1" applyAlignment="1">
      <alignment horizontal="right"/>
    </xf>
    <xf numFmtId="0" fontId="106" fillId="2" borderId="0" xfId="0" applyFont="1" applyBorder="1" applyAlignment="1">
      <alignment horizontal="left"/>
    </xf>
    <xf numFmtId="173" fontId="4" fillId="22" borderId="361" xfId="0" applyNumberFormat="1" applyFont="1" applyFill="1" applyBorder="1"/>
    <xf numFmtId="0" fontId="4" fillId="22" borderId="270" xfId="0" applyFont="1" applyFill="1" applyBorder="1" applyAlignment="1">
      <alignment horizontal="center"/>
    </xf>
    <xf numFmtId="173" fontId="173" fillId="23" borderId="273" xfId="0" applyNumberFormat="1" applyFont="1" applyFill="1" applyBorder="1"/>
    <xf numFmtId="0" fontId="145" fillId="2" borderId="0" xfId="0" applyFont="1"/>
    <xf numFmtId="0" fontId="112" fillId="2" borderId="362" xfId="0" applyFont="1" applyBorder="1" applyAlignment="1">
      <alignment horizontal="center" vertical="center"/>
    </xf>
    <xf numFmtId="14" fontId="106" fillId="2" borderId="356" xfId="0" applyNumberFormat="1" applyFont="1" applyBorder="1" applyAlignment="1">
      <alignment horizontal="center"/>
    </xf>
    <xf numFmtId="14" fontId="106" fillId="2" borderId="273" xfId="0" applyNumberFormat="1" applyFont="1" applyBorder="1" applyAlignment="1">
      <alignment horizontal="center"/>
    </xf>
    <xf numFmtId="6" fontId="41" fillId="2" borderId="239" xfId="0" applyNumberFormat="1" applyFont="1" applyBorder="1"/>
    <xf numFmtId="6" fontId="41" fillId="2" borderId="242" xfId="0" applyNumberFormat="1" applyFont="1" applyBorder="1"/>
    <xf numFmtId="38" fontId="125" fillId="24" borderId="9" xfId="0" applyNumberFormat="1" applyFont="1" applyFill="1" applyBorder="1" applyAlignment="1">
      <alignment horizontal="center"/>
    </xf>
    <xf numFmtId="173" fontId="124" fillId="24" borderId="273" xfId="0" applyNumberFormat="1" applyFont="1" applyFill="1" applyBorder="1" applyAlignment="1">
      <alignment horizontal="center"/>
    </xf>
    <xf numFmtId="182" fontId="15" fillId="23" borderId="294" xfId="0" applyNumberFormat="1" applyFont="1" applyFill="1" applyBorder="1"/>
  </cellXfs>
  <cellStyles count="6">
    <cellStyle name="Check Cell" xfId="1" builtinId="23"/>
    <cellStyle name="Comma" xfId="4" builtinId="3"/>
    <cellStyle name="Hyperlink" xfId="2" builtinId="8"/>
    <cellStyle name="Normal" xfId="0" builtinId="0"/>
    <cellStyle name="Normal 4" xfId="5" xr:uid="{00000000-0005-0000-0000-00000400000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00FF"/>
      <color rgb="FF669900"/>
      <color rgb="FFFF99FF"/>
      <color rgb="FFFF00FF"/>
      <color rgb="FF66FF33"/>
      <color rgb="FF9900FF"/>
      <color rgb="FF660066"/>
      <color rgb="FFCCFFFF"/>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gif"/><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587</xdr:row>
      <xdr:rowOff>0</xdr:rowOff>
    </xdr:from>
    <xdr:to>
      <xdr:col>0</xdr:col>
      <xdr:colOff>913765</xdr:colOff>
      <xdr:row>591</xdr:row>
      <xdr:rowOff>48895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1332050"/>
          <a:ext cx="913765" cy="683895"/>
        </a:xfrm>
        <a:prstGeom prst="rect">
          <a:avLst/>
        </a:prstGeom>
      </xdr:spPr>
    </xdr:pic>
    <xdr:clientData/>
  </xdr:twoCellAnchor>
  <xdr:twoCellAnchor editAs="oneCell">
    <xdr:from>
      <xdr:col>0</xdr:col>
      <xdr:colOff>0</xdr:colOff>
      <xdr:row>625</xdr:row>
      <xdr:rowOff>158750</xdr:rowOff>
    </xdr:from>
    <xdr:to>
      <xdr:col>0</xdr:col>
      <xdr:colOff>19050</xdr:colOff>
      <xdr:row>626</xdr:row>
      <xdr:rowOff>9525</xdr:rowOff>
    </xdr:to>
    <xdr:pic>
      <xdr:nvPicPr>
        <xdr:cNvPr id="2" name="Picture 1" descr="Porky Pig Front | Flickr - Photo Shari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97567750"/>
          <a:ext cx="19050" cy="9525"/>
        </a:xfrm>
        <a:prstGeom prst="rect">
          <a:avLst/>
        </a:prstGeom>
      </xdr:spPr>
    </xdr:pic>
    <xdr:clientData/>
  </xdr:twoCellAnchor>
  <xdr:twoCellAnchor editAs="oneCell">
    <xdr:from>
      <xdr:col>0</xdr:col>
      <xdr:colOff>0</xdr:colOff>
      <xdr:row>628</xdr:row>
      <xdr:rowOff>0</xdr:rowOff>
    </xdr:from>
    <xdr:to>
      <xdr:col>0</xdr:col>
      <xdr:colOff>19050</xdr:colOff>
      <xdr:row>628</xdr:row>
      <xdr:rowOff>9525</xdr:rowOff>
    </xdr:to>
    <xdr:pic>
      <xdr:nvPicPr>
        <xdr:cNvPr id="6" name="Picture 5" descr="Porky Pig Front | Flickr - Photo Sharin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0" y="98698050"/>
          <a:ext cx="19050" cy="9525"/>
        </a:xfrm>
        <a:prstGeom prst="rect">
          <a:avLst/>
        </a:prstGeom>
      </xdr:spPr>
    </xdr:pic>
    <xdr:clientData/>
  </xdr:twoCellAnchor>
  <xdr:twoCellAnchor editAs="oneCell">
    <xdr:from>
      <xdr:col>0</xdr:col>
      <xdr:colOff>0</xdr:colOff>
      <xdr:row>617</xdr:row>
      <xdr:rowOff>0</xdr:rowOff>
    </xdr:from>
    <xdr:to>
      <xdr:col>0</xdr:col>
      <xdr:colOff>1365249</xdr:colOff>
      <xdr:row>625</xdr:row>
      <xdr:rowOff>16801</xdr:rowOff>
    </xdr:to>
    <xdr:pic>
      <xdr:nvPicPr>
        <xdr:cNvPr id="8" name="Picture 7" descr="1gb de información: Hacer copias de seguridad en Win 2012 SRV">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39200"/>
          <a:ext cx="1365249" cy="1274101"/>
        </a:xfrm>
        <a:prstGeom prst="rect">
          <a:avLst/>
        </a:prstGeom>
      </xdr:spPr>
    </xdr:pic>
    <xdr:clientData/>
  </xdr:twoCellAnchor>
  <xdr:oneCellAnchor>
    <xdr:from>
      <xdr:col>0</xdr:col>
      <xdr:colOff>0</xdr:colOff>
      <xdr:row>659</xdr:row>
      <xdr:rowOff>0</xdr:rowOff>
    </xdr:from>
    <xdr:ext cx="19050" cy="9525"/>
    <xdr:pic>
      <xdr:nvPicPr>
        <xdr:cNvPr id="7" name="Picture 6" descr="Porky Pig Front | Flickr - Photo Sharing!">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0" y="99479100"/>
          <a:ext cx="19050" cy="9525"/>
        </a:xfrm>
        <a:prstGeom prst="rect">
          <a:avLst/>
        </a:prstGeom>
      </xdr:spPr>
    </xdr:pic>
    <xdr:clientData/>
  </xdr:oneCellAnchor>
  <xdr:oneCellAnchor>
    <xdr:from>
      <xdr:col>0</xdr:col>
      <xdr:colOff>0</xdr:colOff>
      <xdr:row>665</xdr:row>
      <xdr:rowOff>0</xdr:rowOff>
    </xdr:from>
    <xdr:ext cx="19050" cy="9525"/>
    <xdr:pic>
      <xdr:nvPicPr>
        <xdr:cNvPr id="9" name="Picture 8" descr="Porky Pig Front | Flickr - Photo Sharin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stretch>
          <a:fillRect/>
        </a:stretch>
      </xdr:blipFill>
      <xdr:spPr>
        <a:xfrm>
          <a:off x="0" y="104584500"/>
          <a:ext cx="19050" cy="9525"/>
        </a:xfrm>
        <a:prstGeom prst="rect">
          <a:avLst/>
        </a:prstGeom>
      </xdr:spPr>
    </xdr:pic>
    <xdr:clientData/>
  </xdr:oneCellAnchor>
  <xdr:oneCellAnchor>
    <xdr:from>
      <xdr:col>0</xdr:col>
      <xdr:colOff>0</xdr:colOff>
      <xdr:row>695</xdr:row>
      <xdr:rowOff>0</xdr:rowOff>
    </xdr:from>
    <xdr:ext cx="19050" cy="9525"/>
    <xdr:pic>
      <xdr:nvPicPr>
        <xdr:cNvPr id="10" name="Picture 9" descr="Porky Pig Front | Flickr - Photo Sharing!">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0" y="105575100"/>
          <a:ext cx="19050" cy="9525"/>
        </a:xfrm>
        <a:prstGeom prst="rect">
          <a:avLst/>
        </a:prstGeom>
      </xdr:spPr>
    </xdr:pic>
    <xdr:clientData/>
  </xdr:oneCellAnchor>
  <xdr:oneCellAnchor>
    <xdr:from>
      <xdr:col>0</xdr:col>
      <xdr:colOff>0</xdr:colOff>
      <xdr:row>715</xdr:row>
      <xdr:rowOff>0</xdr:rowOff>
    </xdr:from>
    <xdr:ext cx="19050" cy="9525"/>
    <xdr:pic>
      <xdr:nvPicPr>
        <xdr:cNvPr id="11" name="Picture 10" descr="Porky Pig Front | Flickr - Photo Sharing!">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a:off x="0" y="110521750"/>
          <a:ext cx="19050" cy="9525"/>
        </a:xfrm>
        <a:prstGeom prst="rect">
          <a:avLst/>
        </a:prstGeom>
      </xdr:spPr>
    </xdr:pic>
    <xdr:clientData/>
  </xdr:oneCellAnchor>
  <xdr:oneCellAnchor>
    <xdr:from>
      <xdr:col>0</xdr:col>
      <xdr:colOff>0</xdr:colOff>
      <xdr:row>743</xdr:row>
      <xdr:rowOff>0</xdr:rowOff>
    </xdr:from>
    <xdr:ext cx="19050" cy="9525"/>
    <xdr:pic>
      <xdr:nvPicPr>
        <xdr:cNvPr id="12" name="Picture 11" descr="Porky Pig Front | Flickr - Photo Sharing!">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stretch>
          <a:fillRect/>
        </a:stretch>
      </xdr:blipFill>
      <xdr:spPr>
        <a:xfrm>
          <a:off x="0" y="113804700"/>
          <a:ext cx="19050" cy="9525"/>
        </a:xfrm>
        <a:prstGeom prst="rect">
          <a:avLst/>
        </a:prstGeom>
      </xdr:spPr>
    </xdr:pic>
    <xdr:clientData/>
  </xdr:oneCellAnchor>
  <xdr:oneCellAnchor>
    <xdr:from>
      <xdr:col>0</xdr:col>
      <xdr:colOff>0</xdr:colOff>
      <xdr:row>764</xdr:row>
      <xdr:rowOff>0</xdr:rowOff>
    </xdr:from>
    <xdr:ext cx="19050" cy="9525"/>
    <xdr:pic>
      <xdr:nvPicPr>
        <xdr:cNvPr id="13" name="Picture 12" descr="Porky Pig Front | Flickr - Photo Sharing!">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stretch>
          <a:fillRect/>
        </a:stretch>
      </xdr:blipFill>
      <xdr:spPr>
        <a:xfrm>
          <a:off x="0" y="118408450"/>
          <a:ext cx="19050" cy="9525"/>
        </a:xfrm>
        <a:prstGeom prst="rect">
          <a:avLst/>
        </a:prstGeom>
      </xdr:spPr>
    </xdr:pic>
    <xdr:clientData/>
  </xdr:oneCellAnchor>
  <xdr:oneCellAnchor>
    <xdr:from>
      <xdr:col>0</xdr:col>
      <xdr:colOff>0</xdr:colOff>
      <xdr:row>785</xdr:row>
      <xdr:rowOff>0</xdr:rowOff>
    </xdr:from>
    <xdr:ext cx="19050" cy="9525"/>
    <xdr:pic>
      <xdr:nvPicPr>
        <xdr:cNvPr id="14" name="Picture 13" descr="Porky Pig Front | Flickr - Photo Sharing!">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stretch>
          <a:fillRect/>
        </a:stretch>
      </xdr:blipFill>
      <xdr:spPr>
        <a:xfrm>
          <a:off x="0" y="121843800"/>
          <a:ext cx="19050" cy="9525"/>
        </a:xfrm>
        <a:prstGeom prst="rect">
          <a:avLst/>
        </a:prstGeom>
      </xdr:spPr>
    </xdr:pic>
    <xdr:clientData/>
  </xdr:oneCellAnchor>
  <xdr:oneCellAnchor>
    <xdr:from>
      <xdr:col>0</xdr:col>
      <xdr:colOff>0</xdr:colOff>
      <xdr:row>827</xdr:row>
      <xdr:rowOff>0</xdr:rowOff>
    </xdr:from>
    <xdr:ext cx="19050" cy="9525"/>
    <xdr:pic>
      <xdr:nvPicPr>
        <xdr:cNvPr id="15" name="Picture 14" descr="Porky Pig Front | Flickr - Photo Sharing!">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stretch>
          <a:fillRect/>
        </a:stretch>
      </xdr:blipFill>
      <xdr:spPr>
        <a:xfrm>
          <a:off x="0" y="125298200"/>
          <a:ext cx="19050" cy="9525"/>
        </a:xfrm>
        <a:prstGeom prst="rect">
          <a:avLst/>
        </a:prstGeom>
      </xdr:spPr>
    </xdr:pic>
    <xdr:clientData/>
  </xdr:oneCellAnchor>
  <xdr:oneCellAnchor>
    <xdr:from>
      <xdr:col>0</xdr:col>
      <xdr:colOff>0</xdr:colOff>
      <xdr:row>827</xdr:row>
      <xdr:rowOff>0</xdr:rowOff>
    </xdr:from>
    <xdr:ext cx="19050" cy="9525"/>
    <xdr:pic>
      <xdr:nvPicPr>
        <xdr:cNvPr id="16" name="Picture 15" descr="Porky Pig Front | Flickr - Photo Sharin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stretch>
          <a:fillRect/>
        </a:stretch>
      </xdr:blipFill>
      <xdr:spPr>
        <a:xfrm>
          <a:off x="0" y="125298200"/>
          <a:ext cx="19050" cy="9525"/>
        </a:xfrm>
        <a:prstGeom prst="rect">
          <a:avLst/>
        </a:prstGeom>
      </xdr:spPr>
    </xdr:pic>
    <xdr:clientData/>
  </xdr:oneCellAnchor>
  <xdr:oneCellAnchor>
    <xdr:from>
      <xdr:col>0</xdr:col>
      <xdr:colOff>0</xdr:colOff>
      <xdr:row>856</xdr:row>
      <xdr:rowOff>0</xdr:rowOff>
    </xdr:from>
    <xdr:ext cx="19050" cy="9525"/>
    <xdr:pic>
      <xdr:nvPicPr>
        <xdr:cNvPr id="17" name="Picture 16" descr="Porky Pig Front | Flickr - Photo Sharing!">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a:stretch>
          <a:fillRect/>
        </a:stretch>
      </xdr:blipFill>
      <xdr:spPr>
        <a:xfrm>
          <a:off x="0" y="132213350"/>
          <a:ext cx="19050" cy="9525"/>
        </a:xfrm>
        <a:prstGeom prst="rect">
          <a:avLst/>
        </a:prstGeom>
      </xdr:spPr>
    </xdr:pic>
    <xdr:clientData/>
  </xdr:oneCellAnchor>
  <xdr:oneCellAnchor>
    <xdr:from>
      <xdr:col>0</xdr:col>
      <xdr:colOff>0</xdr:colOff>
      <xdr:row>856</xdr:row>
      <xdr:rowOff>0</xdr:rowOff>
    </xdr:from>
    <xdr:ext cx="19050" cy="9525"/>
    <xdr:pic>
      <xdr:nvPicPr>
        <xdr:cNvPr id="18" name="Picture 17" descr="Porky Pig Front | Flickr - Photo Sharing!">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stretch>
          <a:fillRect/>
        </a:stretch>
      </xdr:blipFill>
      <xdr:spPr>
        <a:xfrm>
          <a:off x="0" y="132213350"/>
          <a:ext cx="19050" cy="9525"/>
        </a:xfrm>
        <a:prstGeom prst="rect">
          <a:avLst/>
        </a:prstGeom>
      </xdr:spPr>
    </xdr:pic>
    <xdr:clientData/>
  </xdr:oneCellAnchor>
  <xdr:oneCellAnchor>
    <xdr:from>
      <xdr:col>0</xdr:col>
      <xdr:colOff>0</xdr:colOff>
      <xdr:row>921</xdr:row>
      <xdr:rowOff>0</xdr:rowOff>
    </xdr:from>
    <xdr:ext cx="19050" cy="9525"/>
    <xdr:pic>
      <xdr:nvPicPr>
        <xdr:cNvPr id="19" name="Picture 18" descr="Porky Pig Front | Flickr - Photo Sharing!">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0" name="Picture 19" descr="Porky Pig Front | Flickr - Photo Sharing!">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1" name="Picture 20" descr="Porky Pig Front | Flickr - Photo Sharing!">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2" name="Picture 21" descr="Porky Pig Front | Flickr - Photo Sharing!">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963</xdr:row>
      <xdr:rowOff>0</xdr:rowOff>
    </xdr:from>
    <xdr:ext cx="19050" cy="9525"/>
    <xdr:pic>
      <xdr:nvPicPr>
        <xdr:cNvPr id="23" name="Picture 22" descr="Porky Pig Front | Flickr - Photo Sharing!">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4" name="Picture 23" descr="Porky Pig Front | Flickr - Photo Sharing!">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5" name="Picture 24" descr="Porky Pig Front | Flickr - Photo Sharing!">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6" name="Picture 25" descr="Porky Pig Front | Flickr - Photo Sharing!">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1017</xdr:row>
      <xdr:rowOff>0</xdr:rowOff>
    </xdr:from>
    <xdr:ext cx="19050" cy="9525"/>
    <xdr:pic>
      <xdr:nvPicPr>
        <xdr:cNvPr id="27" name="Picture 26" descr="Porky Pig Front | Flickr - Photo Sharing!">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28" name="Picture 27" descr="Porky Pig Front | Flickr - Photo Sharing!">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29" name="Picture 28" descr="Porky Pig Front | Flickr - Photo Sharing!">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30" name="Picture 29" descr="Porky Pig Front | Flickr - Photo Sharing!">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1058</xdr:row>
      <xdr:rowOff>0</xdr:rowOff>
    </xdr:from>
    <xdr:ext cx="19050" cy="9525"/>
    <xdr:pic>
      <xdr:nvPicPr>
        <xdr:cNvPr id="31" name="Picture 30" descr="Porky Pig Front | Flickr - Photo Sharing!">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2" name="Picture 31" descr="Porky Pig Front | Flickr - Photo Sharing!">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3" name="Picture 32" descr="Porky Pig Front | Flickr - Photo Sharing!">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4" name="Picture 33" descr="Porky Pig Front | Flickr - Photo Sharing!">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1076</xdr:row>
      <xdr:rowOff>0</xdr:rowOff>
    </xdr:from>
    <xdr:ext cx="19050" cy="9525"/>
    <xdr:pic>
      <xdr:nvPicPr>
        <xdr:cNvPr id="35" name="Picture 34" descr="Porky Pig Front | Flickr - Photo Sharing!">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6" name="Picture 35" descr="Porky Pig Front | Flickr - Photo Sharing!">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7" name="Picture 36" descr="Porky Pig Front | Flickr - Photo Sharing!">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8" name="Picture 37" descr="Porky Pig Front | Flickr - Photo Sharing!">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1094</xdr:row>
      <xdr:rowOff>0</xdr:rowOff>
    </xdr:from>
    <xdr:ext cx="19050" cy="9525"/>
    <xdr:pic>
      <xdr:nvPicPr>
        <xdr:cNvPr id="39" name="Picture 38" descr="Porky Pig Front | Flickr - Photo Sharing!">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0" name="Picture 39" descr="Porky Pig Front | Flickr - Photo Sharing!">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1" name="Picture 40" descr="Porky Pig Front | Flickr - Photo Sharing!">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2" name="Picture 41" descr="Porky Pig Front | Flickr - Photo Sharing!">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1132</xdr:row>
      <xdr:rowOff>0</xdr:rowOff>
    </xdr:from>
    <xdr:ext cx="19050" cy="9525"/>
    <xdr:pic>
      <xdr:nvPicPr>
        <xdr:cNvPr id="43" name="Picture 42" descr="Porky Pig Front | Flickr - Photo Sharing!">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4" name="Picture 43" descr="Porky Pig Front | Flickr - Photo Sharing!">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5" name="Picture 44" descr="Porky Pig Front | Flickr - Photo Sharing!">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6" name="Picture 45" descr="Porky Pig Front | Flickr - Photo Sharing!">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1156</xdr:row>
      <xdr:rowOff>0</xdr:rowOff>
    </xdr:from>
    <xdr:ext cx="19050" cy="9525"/>
    <xdr:pic>
      <xdr:nvPicPr>
        <xdr:cNvPr id="47" name="Picture 46" descr="Porky Pig Front | Flickr - Photo Sharing!">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48" name="Picture 47" descr="Porky Pig Front | Flickr - Photo Sharing!">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49" name="Picture 48" descr="Porky Pig Front | Flickr - Photo Sharing!">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50" name="Picture 49" descr="Porky Pig Front | Flickr - Photo Sharing!">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1183</xdr:row>
      <xdr:rowOff>0</xdr:rowOff>
    </xdr:from>
    <xdr:ext cx="19050" cy="9525"/>
    <xdr:pic>
      <xdr:nvPicPr>
        <xdr:cNvPr id="51" name="Picture 50" descr="Porky Pig Front | Flickr - Photo Sharing!">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2" name="Picture 51" descr="Porky Pig Front | Flickr - Photo Sharing!">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3" name="Picture 52" descr="Porky Pig Front | Flickr - Photo Sharing!">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4" name="Picture 53" descr="Porky Pig Front | Flickr - Photo Sharing!">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1226</xdr:row>
      <xdr:rowOff>0</xdr:rowOff>
    </xdr:from>
    <xdr:ext cx="19050" cy="9525"/>
    <xdr:pic>
      <xdr:nvPicPr>
        <xdr:cNvPr id="55" name="Picture 54" descr="Porky Pig Front | Flickr - Photo Sharing!">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6" name="Picture 55" descr="Porky Pig Front | Flickr - Photo Sharing!">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7" name="Picture 56" descr="Porky Pig Front | Flickr - Photo Sharing!">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8" name="Picture 57" descr="Porky Pig Front | Flickr - Photo Sharing!">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1251</xdr:row>
      <xdr:rowOff>0</xdr:rowOff>
    </xdr:from>
    <xdr:ext cx="19050" cy="9525"/>
    <xdr:pic>
      <xdr:nvPicPr>
        <xdr:cNvPr id="59" name="Picture 58" descr="Porky Pig Front | Flickr - Photo Sharing!">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0" name="Picture 59" descr="Porky Pig Front | Flickr - Photo Sharing!">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1" name="Picture 60" descr="Porky Pig Front | Flickr - Photo Sharing!">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2" name="Picture 61" descr="Porky Pig Front | Flickr - Photo Sharing!">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1267</xdr:row>
      <xdr:rowOff>0</xdr:rowOff>
    </xdr:from>
    <xdr:ext cx="19050" cy="9525"/>
    <xdr:pic>
      <xdr:nvPicPr>
        <xdr:cNvPr id="63" name="Picture 62" descr="Porky Pig Front | Flickr - Photo Sharing!">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4" name="Picture 63" descr="Porky Pig Front | Flickr - Photo Sharing!">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5" name="Picture 64" descr="Porky Pig Front | Flickr - Photo Sharing!">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6" name="Picture 65" descr="Porky Pig Front | Flickr - Photo Sharing!">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1306</xdr:row>
      <xdr:rowOff>0</xdr:rowOff>
    </xdr:from>
    <xdr:ext cx="19050" cy="9525"/>
    <xdr:pic>
      <xdr:nvPicPr>
        <xdr:cNvPr id="67" name="Picture 66" descr="Porky Pig Front | Flickr - Photo Sharing!">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68" name="Picture 67" descr="Porky Pig Front | Flickr - Photo Sharing!">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69" name="Picture 68" descr="Porky Pig Front | Flickr - Photo Sharing!">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70" name="Picture 69" descr="Porky Pig Front | Flickr - Photo Sharing!">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1348</xdr:row>
      <xdr:rowOff>0</xdr:rowOff>
    </xdr:from>
    <xdr:ext cx="19050" cy="9525"/>
    <xdr:pic>
      <xdr:nvPicPr>
        <xdr:cNvPr id="71" name="Picture 70" descr="Porky Pig Front | Flickr - Photo Sharing!">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2" name="Picture 71" descr="Porky Pig Front | Flickr - Photo Sharing!">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3" name="Picture 72" descr="Porky Pig Front | Flickr - Photo Sharing!">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4" name="Picture 73" descr="Porky Pig Front | Flickr - Photo Sharing!">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1365</xdr:row>
      <xdr:rowOff>0</xdr:rowOff>
    </xdr:from>
    <xdr:ext cx="19050" cy="9525"/>
    <xdr:pic>
      <xdr:nvPicPr>
        <xdr:cNvPr id="75" name="Picture 74" descr="Porky Pig Front | Flickr - Photo Sharing!">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6" name="Picture 75" descr="Porky Pig Front | Flickr - Photo Sharing!">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7" name="Picture 76" descr="Porky Pig Front | Flickr - Photo Sharing!">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8" name="Picture 77" descr="Porky Pig Front | Flickr - Photo Sharing!">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1385</xdr:row>
      <xdr:rowOff>0</xdr:rowOff>
    </xdr:from>
    <xdr:ext cx="19050" cy="9525"/>
    <xdr:pic>
      <xdr:nvPicPr>
        <xdr:cNvPr id="79" name="Picture 78" descr="Porky Pig Front | Flickr - Photo Sharing!">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0" name="Picture 79" descr="Porky Pig Front | Flickr - Photo Sharing!">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1" name="Picture 80" descr="Porky Pig Front | Flickr - Photo Sharing!">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2" name="Picture 81" descr="Porky Pig Front | Flickr - Photo Sharing!">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1406</xdr:row>
      <xdr:rowOff>0</xdr:rowOff>
    </xdr:from>
    <xdr:ext cx="19050" cy="9525"/>
    <xdr:pic>
      <xdr:nvPicPr>
        <xdr:cNvPr id="83" name="Picture 82" descr="Porky Pig Front | Flickr - Photo Sharing!">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4" name="Picture 83" descr="Porky Pig Front | Flickr - Photo Sharing!">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5" name="Picture 84" descr="Porky Pig Front | Flickr - Photo Sharing!">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6" name="Picture 85" descr="Porky Pig Front | Flickr - Photo Sharing!">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1431</xdr:row>
      <xdr:rowOff>0</xdr:rowOff>
    </xdr:from>
    <xdr:ext cx="19050" cy="9525"/>
    <xdr:pic>
      <xdr:nvPicPr>
        <xdr:cNvPr id="87" name="Picture 86" descr="Porky Pig Front | Flickr - Photo Sharing!">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88" name="Picture 87" descr="Porky Pig Front | Flickr - Photo Sharing!">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89" name="Picture 88" descr="Porky Pig Front | Flickr - Photo Sharing!">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90" name="Picture 89" descr="Porky Pig Front | Flickr - Photo Sharing!">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omptroller.texas.gov/taxes/property-tax/pvs/" TargetMode="External"/><Relationship Id="rId1" Type="http://schemas.openxmlformats.org/officeDocument/2006/relationships/hyperlink" Target="https://urldefense.proofpoint.com/v2/url?u=https-3A__comptroller.texas.gov_economy_local_ch313_agreement-2Ddocs.php&amp;d=DwQFaQ&amp;c=GXh7yUZDdjddpVT9f_U_GEN-s6rDPG0OgFxFoMKY74Y&amp;r=rChouErtBnD9AvLLJGt55ES5hDCcSBm4asnm81GzcXg&amp;m=uVcSlJ1Bsf1uCGqOgZuORyCwsDFTHKU8grmkheIKrHwLTKbHL5MKJ59eylipkiXM&amp;s=ew3d3YPK5YhCJQPrfsZrKMctMNfVqo9ois6S3A9zXn0&amp;e="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5.esc13.net/term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74"/>
  <sheetViews>
    <sheetView workbookViewId="0">
      <selection activeCell="I13" sqref="I13"/>
    </sheetView>
  </sheetViews>
  <sheetFormatPr defaultRowHeight="13"/>
  <cols>
    <col min="1" max="1" width="4.54296875" customWidth="1"/>
    <col min="2" max="2" width="9.54296875" customWidth="1"/>
    <col min="4" max="4" width="11.1796875" customWidth="1"/>
    <col min="5" max="5" width="15.81640625" customWidth="1"/>
    <col min="6" max="6" width="24.1796875" customWidth="1"/>
    <col min="7" max="8" width="20.54296875" style="751" hidden="1" customWidth="1"/>
    <col min="9" max="10" width="20.54296875" style="632" customWidth="1"/>
    <col min="11" max="13" width="20.54296875" style="654" customWidth="1"/>
    <col min="14" max="16" width="20.54296875" style="710" customWidth="1"/>
    <col min="17" max="19" width="20.54296875" style="931" customWidth="1"/>
    <col min="20" max="22" width="20.54296875" style="632" customWidth="1"/>
    <col min="23" max="25" width="20.54296875" style="710" customWidth="1"/>
  </cols>
  <sheetData>
    <row r="1" spans="1:25" ht="13.5" thickTop="1">
      <c r="A1" s="16" t="s">
        <v>64</v>
      </c>
      <c r="D1" s="49" t="str">
        <f>'Data Entry - SOF'!B1</f>
        <v xml:space="preserve"> </v>
      </c>
      <c r="H1" s="1190"/>
      <c r="I1" s="1282"/>
      <c r="J1" s="1283"/>
      <c r="K1" s="1320"/>
      <c r="L1" s="2800"/>
      <c r="M1" s="1321"/>
      <c r="N1" s="1324"/>
      <c r="O1" s="2851"/>
      <c r="P1" s="1325"/>
      <c r="Q1" s="1994"/>
      <c r="R1" s="2898"/>
      <c r="S1" s="1995"/>
      <c r="T1" s="1282"/>
      <c r="U1" s="2938"/>
      <c r="V1" s="1283"/>
      <c r="W1" s="1324"/>
      <c r="X1" s="2851"/>
      <c r="Y1" s="1325"/>
    </row>
    <row r="2" spans="1:25">
      <c r="A2" s="16" t="s">
        <v>1354</v>
      </c>
      <c r="D2" s="50">
        <f>'Data Entry - SOF'!B2</f>
        <v>0</v>
      </c>
      <c r="H2" s="1190"/>
      <c r="I2" s="660"/>
      <c r="J2" s="649"/>
      <c r="K2" s="1322"/>
      <c r="L2" s="2801"/>
      <c r="M2" s="655"/>
      <c r="N2" s="1326"/>
      <c r="O2" s="2852"/>
      <c r="P2" s="1265"/>
      <c r="Q2" s="1996"/>
      <c r="R2" s="2899"/>
      <c r="S2" s="1997"/>
      <c r="T2" s="660"/>
      <c r="U2" s="2939"/>
      <c r="V2" s="649"/>
      <c r="W2" s="1326"/>
      <c r="X2" s="2852"/>
      <c r="Y2" s="1265"/>
    </row>
    <row r="3" spans="1:25">
      <c r="A3" s="16" t="s">
        <v>134</v>
      </c>
      <c r="D3" s="51">
        <f ca="1">'Data Entry - SOF'!B3</f>
        <v>44931.882496064813</v>
      </c>
      <c r="H3" s="1190"/>
      <c r="I3" s="660"/>
      <c r="J3" s="650"/>
      <c r="K3" s="1322"/>
      <c r="L3" s="2802"/>
      <c r="M3" s="656"/>
      <c r="N3" s="1326"/>
      <c r="O3" s="2853"/>
      <c r="P3" s="1266"/>
      <c r="Q3" s="1996"/>
      <c r="R3" s="2900"/>
      <c r="S3" s="1998"/>
      <c r="T3" s="660"/>
      <c r="U3" s="2940"/>
      <c r="V3" s="650"/>
      <c r="W3" s="1326"/>
      <c r="X3" s="2853"/>
      <c r="Y3" s="1266"/>
    </row>
    <row r="4" spans="1:25">
      <c r="H4" s="1190"/>
      <c r="I4" s="660"/>
      <c r="J4" s="651"/>
      <c r="K4" s="1322"/>
      <c r="L4" s="2803"/>
      <c r="M4" s="657"/>
      <c r="N4" s="1326"/>
      <c r="O4" s="2854"/>
      <c r="P4" s="1267"/>
      <c r="Q4" s="1996"/>
      <c r="R4" s="2901"/>
      <c r="S4" s="1999"/>
      <c r="T4" s="660"/>
      <c r="U4" s="2826"/>
      <c r="V4" s="651"/>
      <c r="W4" s="1326"/>
      <c r="X4" s="2854"/>
      <c r="Y4" s="1267"/>
    </row>
    <row r="5" spans="1:25" ht="15.5">
      <c r="A5" s="20" t="s">
        <v>5945</v>
      </c>
      <c r="H5" s="1190"/>
      <c r="I5" s="660"/>
      <c r="J5" s="651"/>
      <c r="K5" s="1322"/>
      <c r="L5" s="2803"/>
      <c r="M5" s="657"/>
      <c r="N5" s="1326"/>
      <c r="O5" s="2854"/>
      <c r="P5" s="1267"/>
      <c r="Q5" s="1996"/>
      <c r="R5" s="2901"/>
      <c r="S5" s="1999"/>
      <c r="T5" s="660"/>
      <c r="U5" s="2826"/>
      <c r="V5" s="651"/>
      <c r="W5" s="1326"/>
      <c r="X5" s="2854"/>
      <c r="Y5" s="1267"/>
    </row>
    <row r="6" spans="1:25" ht="15.5">
      <c r="D6" s="81"/>
      <c r="H6" s="1190"/>
      <c r="I6" s="660"/>
      <c r="J6" s="651"/>
      <c r="K6" s="1322"/>
      <c r="L6" s="2803"/>
      <c r="M6" s="657"/>
      <c r="N6" s="1326"/>
      <c r="O6" s="2854"/>
      <c r="P6" s="1267"/>
      <c r="Q6" s="1996"/>
      <c r="R6" s="2901"/>
      <c r="S6" s="1999"/>
      <c r="T6" s="660"/>
      <c r="U6" s="2826"/>
      <c r="V6" s="651"/>
      <c r="W6" s="1326"/>
      <c r="X6" s="2854"/>
      <c r="Y6" s="1267"/>
    </row>
    <row r="7" spans="1:25" ht="15.5">
      <c r="C7" s="20"/>
      <c r="D7" s="57" t="s">
        <v>912</v>
      </c>
      <c r="H7" s="1190"/>
      <c r="I7" s="660"/>
      <c r="J7" s="651"/>
      <c r="K7" s="1322"/>
      <c r="L7" s="2803"/>
      <c r="M7" s="657"/>
      <c r="N7" s="1326"/>
      <c r="O7" s="2854"/>
      <c r="P7" s="1267"/>
      <c r="Q7" s="1996"/>
      <c r="R7" s="2901"/>
      <c r="S7" s="1999"/>
      <c r="T7" s="660"/>
      <c r="U7" s="2826"/>
      <c r="V7" s="651"/>
      <c r="W7" s="1326"/>
      <c r="X7" s="2854"/>
      <c r="Y7" s="1267"/>
    </row>
    <row r="8" spans="1:25" ht="15.5">
      <c r="A8" s="25" t="s">
        <v>242</v>
      </c>
      <c r="C8" s="20"/>
      <c r="H8" s="1190"/>
      <c r="I8" s="660"/>
      <c r="J8" s="651"/>
      <c r="K8" s="1322"/>
      <c r="L8" s="2803"/>
      <c r="M8" s="657"/>
      <c r="N8" s="1326"/>
      <c r="O8" s="2854"/>
      <c r="P8" s="1267"/>
      <c r="Q8" s="1996"/>
      <c r="R8" s="2901"/>
      <c r="S8" s="1999"/>
      <c r="T8" s="660"/>
      <c r="U8" s="2826"/>
      <c r="V8" s="651"/>
      <c r="W8" s="1326"/>
      <c r="X8" s="2854"/>
      <c r="Y8" s="1267"/>
    </row>
    <row r="9" spans="1:25" ht="15.5">
      <c r="C9" s="20"/>
      <c r="H9" s="1190"/>
      <c r="I9" s="660"/>
      <c r="J9" s="651"/>
      <c r="K9" s="1322"/>
      <c r="L9" s="2803"/>
      <c r="M9" s="657"/>
      <c r="N9" s="1326"/>
      <c r="O9" s="2854"/>
      <c r="P9" s="1267"/>
      <c r="Q9" s="1996"/>
      <c r="R9" s="2901"/>
      <c r="S9" s="1999"/>
      <c r="T9" s="660"/>
      <c r="U9" s="2826"/>
      <c r="V9" s="651"/>
      <c r="W9" s="1326"/>
      <c r="X9" s="2854"/>
      <c r="Y9" s="1267"/>
    </row>
    <row r="10" spans="1:25" ht="15.5">
      <c r="B10" t="s">
        <v>97</v>
      </c>
      <c r="C10" s="26" t="s">
        <v>917</v>
      </c>
      <c r="H10" s="1190"/>
      <c r="I10" s="660"/>
      <c r="J10" s="651"/>
      <c r="K10" s="1322"/>
      <c r="L10" s="2803"/>
      <c r="M10" s="657"/>
      <c r="N10" s="1326"/>
      <c r="O10" s="2854"/>
      <c r="P10" s="1267"/>
      <c r="Q10" s="1996"/>
      <c r="R10" s="2901"/>
      <c r="S10" s="1999"/>
      <c r="T10" s="660"/>
      <c r="U10" s="2826"/>
      <c r="V10" s="651"/>
      <c r="W10" s="1326"/>
      <c r="X10" s="2854"/>
      <c r="Y10" s="1267"/>
    </row>
    <row r="11" spans="1:25" ht="15.5">
      <c r="B11" s="27" t="s">
        <v>868</v>
      </c>
      <c r="C11" s="26" t="s">
        <v>1107</v>
      </c>
      <c r="H11" s="1190"/>
      <c r="I11" s="660"/>
      <c r="J11" s="651"/>
      <c r="K11" s="1322"/>
      <c r="L11" s="2803"/>
      <c r="M11" s="657"/>
      <c r="N11" s="1326"/>
      <c r="O11" s="2854"/>
      <c r="P11" s="1267"/>
      <c r="Q11" s="1996"/>
      <c r="R11" s="2901"/>
      <c r="S11" s="1999"/>
      <c r="T11" s="660"/>
      <c r="U11" s="2826"/>
      <c r="V11" s="651"/>
      <c r="W11" s="1326"/>
      <c r="X11" s="2854"/>
      <c r="Y11" s="1267"/>
    </row>
    <row r="12" spans="1:25" ht="15.5">
      <c r="B12" s="27" t="s">
        <v>243</v>
      </c>
      <c r="C12" s="26" t="s">
        <v>2454</v>
      </c>
      <c r="H12" s="1190"/>
      <c r="I12" s="660"/>
      <c r="J12" s="651"/>
      <c r="K12" s="1322"/>
      <c r="L12" s="2803"/>
      <c r="M12" s="657"/>
      <c r="N12" s="1326"/>
      <c r="O12" s="2854"/>
      <c r="P12" s="1267"/>
      <c r="Q12" s="1996"/>
      <c r="R12" s="2901"/>
      <c r="S12" s="1999"/>
      <c r="T12" s="660"/>
      <c r="U12" s="2826"/>
      <c r="V12" s="651"/>
      <c r="W12" s="1326"/>
      <c r="X12" s="2854"/>
      <c r="Y12" s="1267"/>
    </row>
    <row r="13" spans="1:25" ht="16" thickBot="1">
      <c r="B13" s="27" t="s">
        <v>869</v>
      </c>
      <c r="C13" s="26" t="s">
        <v>1456</v>
      </c>
      <c r="H13" s="1190"/>
      <c r="I13" s="660"/>
      <c r="J13" s="651"/>
      <c r="K13" s="1322"/>
      <c r="L13" s="2803"/>
      <c r="M13" s="657"/>
      <c r="N13" s="1326"/>
      <c r="O13" s="2854"/>
      <c r="P13" s="1267"/>
      <c r="Q13" s="1996"/>
      <c r="R13" s="2901"/>
      <c r="S13" s="1999"/>
      <c r="T13" s="660"/>
      <c r="U13" s="2826"/>
      <c r="V13" s="651"/>
      <c r="W13" s="1326"/>
      <c r="X13" s="2854"/>
      <c r="Y13" s="1267"/>
    </row>
    <row r="14" spans="1:25" ht="16" hidden="1" thickBot="1">
      <c r="B14" s="27"/>
      <c r="C14" s="26"/>
      <c r="H14" s="1190"/>
      <c r="I14" s="660"/>
      <c r="J14" s="651"/>
      <c r="K14" s="1322"/>
      <c r="L14" s="2803"/>
      <c r="M14" s="657"/>
      <c r="N14" s="1326"/>
      <c r="O14" s="2854"/>
      <c r="P14" s="1267"/>
      <c r="Q14" s="1996"/>
      <c r="R14" s="2901"/>
      <c r="S14" s="1999"/>
      <c r="T14" s="660"/>
      <c r="U14" s="2826"/>
      <c r="V14" s="651"/>
      <c r="W14" s="1326"/>
      <c r="X14" s="2854"/>
      <c r="Y14" s="1267"/>
    </row>
    <row r="15" spans="1:25" s="83" customFormat="1" ht="25.4" hidden="1" customHeight="1" thickTop="1">
      <c r="A15" s="88" t="s">
        <v>136</v>
      </c>
      <c r="B15" s="93"/>
      <c r="C15" s="94"/>
      <c r="D15" s="95"/>
      <c r="E15" s="95"/>
      <c r="F15" s="95"/>
      <c r="G15" s="752"/>
      <c r="H15" s="1274"/>
      <c r="I15" s="1284"/>
      <c r="J15" s="653"/>
      <c r="K15" s="1323"/>
      <c r="L15" s="2804"/>
      <c r="M15" s="659"/>
      <c r="N15" s="1327"/>
      <c r="O15" s="2855"/>
      <c r="P15" s="1268"/>
      <c r="Q15" s="2000"/>
      <c r="R15" s="2902"/>
      <c r="S15" s="2001"/>
      <c r="T15" s="1284"/>
      <c r="U15" s="2941"/>
      <c r="V15" s="653"/>
      <c r="W15" s="1327"/>
      <c r="X15" s="2855"/>
      <c r="Y15" s="1268"/>
    </row>
    <row r="16" spans="1:25" s="83" customFormat="1" ht="25.4" hidden="1" customHeight="1">
      <c r="A16" s="90" t="s">
        <v>1772</v>
      </c>
      <c r="B16" s="84"/>
      <c r="C16" s="85"/>
      <c r="D16" s="86"/>
      <c r="E16" s="86"/>
      <c r="F16" s="86"/>
      <c r="G16" s="752"/>
      <c r="H16" s="1274"/>
      <c r="I16" s="1284"/>
      <c r="J16" s="653"/>
      <c r="K16" s="1323"/>
      <c r="L16" s="2804"/>
      <c r="M16" s="659"/>
      <c r="N16" s="1327"/>
      <c r="O16" s="2855"/>
      <c r="P16" s="1268"/>
      <c r="Q16" s="2000"/>
      <c r="R16" s="2902"/>
      <c r="S16" s="2001"/>
      <c r="T16" s="1284"/>
      <c r="U16" s="2941"/>
      <c r="V16" s="653"/>
      <c r="W16" s="1327"/>
      <c r="X16" s="2855"/>
      <c r="Y16" s="1268"/>
    </row>
    <row r="17" spans="1:27" s="83" customFormat="1" ht="25.4" hidden="1" customHeight="1">
      <c r="A17" s="90" t="s">
        <v>18</v>
      </c>
      <c r="B17" s="84"/>
      <c r="C17" s="85"/>
      <c r="D17" s="86"/>
      <c r="E17" s="86"/>
      <c r="F17" s="86"/>
      <c r="G17" s="752"/>
      <c r="H17" s="1274"/>
      <c r="I17" s="1284"/>
      <c r="J17" s="653"/>
      <c r="K17" s="1323"/>
      <c r="L17" s="2804"/>
      <c r="M17" s="659"/>
      <c r="N17" s="1327"/>
      <c r="O17" s="2855"/>
      <c r="P17" s="1268"/>
      <c r="Q17" s="2000"/>
      <c r="R17" s="2902"/>
      <c r="S17" s="2001"/>
      <c r="T17" s="1284"/>
      <c r="U17" s="2941"/>
      <c r="V17" s="653"/>
      <c r="W17" s="1327"/>
      <c r="X17" s="2855"/>
      <c r="Y17" s="1268"/>
    </row>
    <row r="18" spans="1:27" s="83" customFormat="1" ht="25.4" hidden="1" customHeight="1">
      <c r="A18" s="90" t="s">
        <v>1974</v>
      </c>
      <c r="B18" s="84"/>
      <c r="C18" s="85"/>
      <c r="D18" s="86"/>
      <c r="E18" s="86"/>
      <c r="F18" s="86"/>
      <c r="G18" s="752"/>
      <c r="H18" s="1274"/>
      <c r="I18" s="1284"/>
      <c r="J18" s="653"/>
      <c r="K18" s="1323"/>
      <c r="L18" s="2804"/>
      <c r="M18" s="659"/>
      <c r="N18" s="1327"/>
      <c r="O18" s="2855"/>
      <c r="P18" s="1268"/>
      <c r="Q18" s="2000"/>
      <c r="R18" s="2902"/>
      <c r="S18" s="2001"/>
      <c r="T18" s="1284"/>
      <c r="U18" s="2941"/>
      <c r="V18" s="653"/>
      <c r="W18" s="1327"/>
      <c r="X18" s="2855"/>
      <c r="Y18" s="1268"/>
    </row>
    <row r="19" spans="1:27" s="83" customFormat="1" ht="25.4" hidden="1" customHeight="1" thickBot="1">
      <c r="A19" s="96"/>
      <c r="B19" s="97"/>
      <c r="C19" s="98"/>
      <c r="D19" s="99"/>
      <c r="E19" s="99"/>
      <c r="F19" s="99"/>
      <c r="G19" s="752"/>
      <c r="H19" s="1274"/>
      <c r="I19" s="1284"/>
      <c r="J19" s="653"/>
      <c r="K19" s="1323"/>
      <c r="L19" s="2804"/>
      <c r="M19" s="659"/>
      <c r="N19" s="1327"/>
      <c r="O19" s="2855"/>
      <c r="P19" s="1268"/>
      <c r="Q19" s="2000"/>
      <c r="R19" s="2902"/>
      <c r="S19" s="2001"/>
      <c r="T19" s="1284"/>
      <c r="U19" s="2941"/>
      <c r="V19" s="653"/>
      <c r="W19" s="1327"/>
      <c r="X19" s="2855"/>
      <c r="Y19" s="1268"/>
    </row>
    <row r="20" spans="1:27" ht="16.5" thickTop="1" thickBot="1">
      <c r="A20" s="28"/>
      <c r="B20" s="29"/>
      <c r="C20" s="30"/>
      <c r="D20" s="28"/>
      <c r="E20" s="28"/>
      <c r="F20" s="28"/>
      <c r="G20" s="753" t="s">
        <v>3314</v>
      </c>
      <c r="H20" s="1190"/>
      <c r="I20" s="1285"/>
      <c r="J20" s="651"/>
      <c r="K20" s="2326" t="s">
        <v>3314</v>
      </c>
      <c r="L20" s="2803"/>
      <c r="M20" s="657"/>
      <c r="N20" s="1328"/>
      <c r="O20" s="2872"/>
      <c r="P20" s="1267"/>
      <c r="Q20" s="2325" t="s">
        <v>3314</v>
      </c>
      <c r="R20" s="2921"/>
      <c r="S20" s="1999"/>
      <c r="T20" s="2312"/>
      <c r="U20" s="2942"/>
      <c r="V20" s="651"/>
      <c r="W20" s="3079" t="s">
        <v>3314</v>
      </c>
      <c r="X20" s="2872"/>
      <c r="Y20" s="1267"/>
    </row>
    <row r="21" spans="1:27" ht="13.5" thickTop="1">
      <c r="G21" s="735" t="s">
        <v>3296</v>
      </c>
      <c r="H21" s="1275" t="s">
        <v>3297</v>
      </c>
      <c r="I21" s="1286" t="s">
        <v>3296</v>
      </c>
      <c r="J21" s="1287" t="s">
        <v>3297</v>
      </c>
      <c r="K21" s="2835" t="s">
        <v>10438</v>
      </c>
      <c r="L21" s="2827" t="s">
        <v>3296</v>
      </c>
      <c r="M21" s="2811" t="s">
        <v>3297</v>
      </c>
      <c r="N21" s="2856" t="s">
        <v>10438</v>
      </c>
      <c r="O21" s="2873" t="s">
        <v>3296</v>
      </c>
      <c r="P21" s="2889" t="s">
        <v>3297</v>
      </c>
      <c r="Q21" s="2518" t="s">
        <v>10438</v>
      </c>
      <c r="R21" s="2922" t="s">
        <v>3296</v>
      </c>
      <c r="S21" s="2903" t="s">
        <v>3297</v>
      </c>
      <c r="T21" s="2519" t="s">
        <v>10438</v>
      </c>
      <c r="U21" s="2943" t="s">
        <v>3296</v>
      </c>
      <c r="V21" s="2912" t="s">
        <v>3297</v>
      </c>
      <c r="W21" s="3044" t="s">
        <v>10438</v>
      </c>
      <c r="X21" s="3045" t="s">
        <v>3296</v>
      </c>
      <c r="Y21" s="2889" t="s">
        <v>3297</v>
      </c>
      <c r="Z21" s="170"/>
      <c r="AA21" s="170"/>
    </row>
    <row r="22" spans="1:27" ht="15.5">
      <c r="A22" s="24" t="s">
        <v>768</v>
      </c>
      <c r="B22" s="18"/>
      <c r="C22" s="9"/>
      <c r="D22" s="18"/>
      <c r="E22" s="18"/>
      <c r="F22" s="9"/>
      <c r="G22" s="754" t="s">
        <v>2816</v>
      </c>
      <c r="H22" s="1191" t="s">
        <v>2816</v>
      </c>
      <c r="I22" s="1288" t="s">
        <v>5513</v>
      </c>
      <c r="J22" s="1289" t="s">
        <v>5513</v>
      </c>
      <c r="K22" s="2836" t="s">
        <v>5951</v>
      </c>
      <c r="L22" s="2805" t="str">
        <f>K22</f>
        <v>2022-23</v>
      </c>
      <c r="M22" s="2812" t="s">
        <v>5951</v>
      </c>
      <c r="N22" s="2857" t="s">
        <v>7037</v>
      </c>
      <c r="O22" s="2874" t="str">
        <f>N22</f>
        <v>2023-24</v>
      </c>
      <c r="P22" s="2890" t="s">
        <v>7037</v>
      </c>
      <c r="Q22" s="2002" t="s">
        <v>8487</v>
      </c>
      <c r="R22" s="2923" t="str">
        <f>Q22</f>
        <v>2024-25</v>
      </c>
      <c r="S22" s="2904" t="s">
        <v>8487</v>
      </c>
      <c r="T22" s="1288" t="s">
        <v>9171</v>
      </c>
      <c r="U22" s="2944" t="str">
        <f>T22</f>
        <v>2025-26</v>
      </c>
      <c r="V22" s="2913" t="s">
        <v>9171</v>
      </c>
      <c r="W22" s="3046" t="s">
        <v>11049</v>
      </c>
      <c r="X22" s="3047" t="str">
        <f>W22</f>
        <v>2026-27</v>
      </c>
      <c r="Y22" s="2890" t="s">
        <v>9171</v>
      </c>
    </row>
    <row r="23" spans="1:27">
      <c r="A23" s="21"/>
      <c r="G23" s="754" t="s">
        <v>1964</v>
      </c>
      <c r="H23" s="1191" t="s">
        <v>1964</v>
      </c>
      <c r="I23" s="1290" t="s">
        <v>1964</v>
      </c>
      <c r="J23" s="1291" t="s">
        <v>1964</v>
      </c>
      <c r="K23" s="2837" t="s">
        <v>1964</v>
      </c>
      <c r="L23" s="2806" t="s">
        <v>1964</v>
      </c>
      <c r="M23" s="2813" t="s">
        <v>1964</v>
      </c>
      <c r="N23" s="2858" t="s">
        <v>1964</v>
      </c>
      <c r="O23" s="2875" t="s">
        <v>1964</v>
      </c>
      <c r="P23" s="1269" t="s">
        <v>1964</v>
      </c>
      <c r="Q23" s="2003" t="s">
        <v>1964</v>
      </c>
      <c r="R23" s="2924" t="s">
        <v>1964</v>
      </c>
      <c r="S23" s="2004" t="s">
        <v>1964</v>
      </c>
      <c r="T23" s="1290" t="s">
        <v>1964</v>
      </c>
      <c r="U23" s="2945" t="s">
        <v>1964</v>
      </c>
      <c r="V23" s="1291" t="s">
        <v>1964</v>
      </c>
      <c r="W23" s="3048" t="s">
        <v>1964</v>
      </c>
      <c r="X23" s="3049" t="s">
        <v>1964</v>
      </c>
      <c r="Y23" s="1269" t="s">
        <v>1964</v>
      </c>
    </row>
    <row r="24" spans="1:27">
      <c r="A24" s="31" t="s">
        <v>2063</v>
      </c>
      <c r="B24" s="629" t="s">
        <v>11117</v>
      </c>
      <c r="C24" s="629"/>
      <c r="D24" s="629"/>
      <c r="E24" s="629"/>
      <c r="F24" s="629"/>
      <c r="G24" s="755" t="e">
        <f>'Data Entry - SOF'!#REF!</f>
        <v>#REF!</v>
      </c>
      <c r="H24" s="1276" t="e">
        <f>G24</f>
        <v>#REF!</v>
      </c>
      <c r="I24" s="1292">
        <f>'Data Entry - SOF'!C141</f>
        <v>0</v>
      </c>
      <c r="J24" s="1293">
        <f>I24</f>
        <v>0</v>
      </c>
      <c r="K24" s="2838">
        <f>I24</f>
        <v>0</v>
      </c>
      <c r="L24" s="2828">
        <f>K24</f>
        <v>0</v>
      </c>
      <c r="M24" s="2814">
        <f>L24</f>
        <v>0</v>
      </c>
      <c r="N24" s="2859">
        <f>'Data Entry - SOF'!E80</f>
        <v>0</v>
      </c>
      <c r="O24" s="2876">
        <f>N24</f>
        <v>0</v>
      </c>
      <c r="P24" s="2891">
        <f>O24</f>
        <v>0</v>
      </c>
      <c r="Q24" s="2005">
        <f>N24</f>
        <v>0</v>
      </c>
      <c r="R24" s="2925">
        <f>O24</f>
        <v>0</v>
      </c>
      <c r="S24" s="2905">
        <f>R24</f>
        <v>0</v>
      </c>
      <c r="T24" s="2313">
        <f>'Data Entry - SOF'!I80</f>
        <v>0</v>
      </c>
      <c r="U24" s="2946">
        <f>T24</f>
        <v>0</v>
      </c>
      <c r="V24" s="2914">
        <f>U24</f>
        <v>0</v>
      </c>
      <c r="W24" s="3050">
        <f>T24</f>
        <v>0</v>
      </c>
      <c r="X24" s="3051">
        <f>W24</f>
        <v>0</v>
      </c>
      <c r="Y24" s="2891">
        <f>X24</f>
        <v>0</v>
      </c>
    </row>
    <row r="25" spans="1:27">
      <c r="A25" s="31"/>
      <c r="B25" s="3110"/>
      <c r="C25" s="629"/>
      <c r="D25" s="629"/>
      <c r="E25" s="629"/>
      <c r="F25" s="629"/>
      <c r="G25" s="756"/>
      <c r="H25" s="1192"/>
      <c r="I25" s="1294"/>
      <c r="J25" s="1295"/>
      <c r="K25" s="2839"/>
      <c r="L25" s="2807"/>
      <c r="M25" s="2815"/>
      <c r="N25" s="2860"/>
      <c r="O25" s="2877"/>
      <c r="P25" s="1270"/>
      <c r="Q25" s="2006"/>
      <c r="R25" s="2926"/>
      <c r="S25" s="2007"/>
      <c r="T25" s="1294"/>
      <c r="U25" s="2947"/>
      <c r="V25" s="1295"/>
      <c r="W25" s="3052"/>
      <c r="X25" s="3053"/>
      <c r="Y25" s="1270"/>
    </row>
    <row r="26" spans="1:27">
      <c r="A26" s="31" t="s">
        <v>2064</v>
      </c>
      <c r="B26" s="629" t="s">
        <v>2841</v>
      </c>
      <c r="C26" s="629"/>
      <c r="D26" s="629"/>
      <c r="E26" s="629"/>
      <c r="F26" s="629"/>
      <c r="G26" s="757" t="e">
        <f>'Data Entry - SOF'!#REF!</f>
        <v>#REF!</v>
      </c>
      <c r="H26" s="1277" t="e">
        <f>G26</f>
        <v>#REF!</v>
      </c>
      <c r="I26" s="1296">
        <f>'Data Entry - SOF'!C142</f>
        <v>0</v>
      </c>
      <c r="J26" s="1297">
        <f>I26</f>
        <v>0</v>
      </c>
      <c r="K26" s="2840">
        <f>I26</f>
        <v>0</v>
      </c>
      <c r="L26" s="2829">
        <f>J26</f>
        <v>0</v>
      </c>
      <c r="M26" s="2816">
        <f>J26</f>
        <v>0</v>
      </c>
      <c r="N26" s="2861">
        <f>K61</f>
        <v>0</v>
      </c>
      <c r="O26" s="2878">
        <f>L61</f>
        <v>0</v>
      </c>
      <c r="P26" s="2892">
        <f>M26</f>
        <v>0</v>
      </c>
      <c r="Q26" s="2008">
        <f>N26</f>
        <v>0</v>
      </c>
      <c r="R26" s="2927">
        <f>O26</f>
        <v>0</v>
      </c>
      <c r="S26" s="2906">
        <f>P26</f>
        <v>0</v>
      </c>
      <c r="T26" s="2314">
        <f>Q61</f>
        <v>0</v>
      </c>
      <c r="U26" s="2948">
        <f>R61</f>
        <v>0</v>
      </c>
      <c r="V26" s="2915">
        <f>S26</f>
        <v>0</v>
      </c>
      <c r="W26" s="3054">
        <f>T61</f>
        <v>0</v>
      </c>
      <c r="X26" s="3055">
        <f>U61</f>
        <v>0</v>
      </c>
      <c r="Y26" s="2892">
        <f>V26</f>
        <v>0</v>
      </c>
    </row>
    <row r="27" spans="1:27">
      <c r="A27" s="21"/>
      <c r="B27" s="3110"/>
      <c r="C27" s="629"/>
      <c r="D27" s="629"/>
      <c r="E27" s="629"/>
      <c r="F27" s="629"/>
      <c r="G27" s="756"/>
      <c r="H27" s="1192"/>
      <c r="I27" s="1294"/>
      <c r="J27" s="1295"/>
      <c r="K27" s="2839"/>
      <c r="L27" s="2807"/>
      <c r="M27" s="2815"/>
      <c r="N27" s="2860"/>
      <c r="O27" s="2877"/>
      <c r="P27" s="1270"/>
      <c r="Q27" s="2006"/>
      <c r="R27" s="2926"/>
      <c r="S27" s="2007"/>
      <c r="T27" s="1294"/>
      <c r="U27" s="2947"/>
      <c r="V27" s="1295"/>
      <c r="W27" s="3052"/>
      <c r="X27" s="3053"/>
      <c r="Y27" s="1270"/>
    </row>
    <row r="28" spans="1:27">
      <c r="A28" s="31" t="s">
        <v>2065</v>
      </c>
      <c r="B28" s="629" t="s">
        <v>2842</v>
      </c>
      <c r="C28" s="629"/>
      <c r="D28" s="629"/>
      <c r="E28" s="629"/>
      <c r="F28" s="629"/>
      <c r="G28" s="757" t="e">
        <f>'Data Entry - SOF'!#REF!</f>
        <v>#REF!</v>
      </c>
      <c r="H28" s="1277" t="e">
        <f>G28</f>
        <v>#REF!</v>
      </c>
      <c r="I28" s="1298">
        <f>'Data Entry - SOF'!C143</f>
        <v>0</v>
      </c>
      <c r="J28" s="1297">
        <f>I28</f>
        <v>0</v>
      </c>
      <c r="K28" s="2841">
        <f>I28</f>
        <v>0</v>
      </c>
      <c r="L28" s="2829">
        <f>K28</f>
        <v>0</v>
      </c>
      <c r="M28" s="2816">
        <f>L28</f>
        <v>0</v>
      </c>
      <c r="N28" s="2862">
        <f>'IFA-HB3'!O79</f>
        <v>0</v>
      </c>
      <c r="O28" s="2879">
        <f>N28</f>
        <v>0</v>
      </c>
      <c r="P28" s="2892">
        <f>O28</f>
        <v>0</v>
      </c>
      <c r="Q28" s="2009">
        <f>N28</f>
        <v>0</v>
      </c>
      <c r="R28" s="2928">
        <f>Q28</f>
        <v>0</v>
      </c>
      <c r="S28" s="2906">
        <f>R28</f>
        <v>0</v>
      </c>
      <c r="T28" s="2315">
        <f>Q28</f>
        <v>0</v>
      </c>
      <c r="U28" s="2948">
        <f>T28</f>
        <v>0</v>
      </c>
      <c r="V28" s="2915">
        <f>U28</f>
        <v>0</v>
      </c>
      <c r="W28" s="3056">
        <f>T28</f>
        <v>0</v>
      </c>
      <c r="X28" s="3055">
        <f>W28</f>
        <v>0</v>
      </c>
      <c r="Y28" s="2892">
        <f>X28</f>
        <v>0</v>
      </c>
    </row>
    <row r="29" spans="1:27">
      <c r="A29" s="31"/>
      <c r="B29" s="57"/>
      <c r="G29" s="756"/>
      <c r="H29" s="1192"/>
      <c r="I29" s="1294"/>
      <c r="J29" s="1295"/>
      <c r="K29" s="2839"/>
      <c r="L29" s="2807"/>
      <c r="M29" s="2815"/>
      <c r="N29" s="2860"/>
      <c r="O29" s="2877"/>
      <c r="P29" s="1270"/>
      <c r="Q29" s="2006"/>
      <c r="R29" s="2926"/>
      <c r="S29" s="2007"/>
      <c r="T29" s="1294"/>
      <c r="U29" s="2947"/>
      <c r="V29" s="1295"/>
      <c r="W29" s="3052"/>
      <c r="X29" s="3053"/>
      <c r="Y29" s="1270"/>
    </row>
    <row r="30" spans="1:27">
      <c r="A30" s="31" t="s">
        <v>862</v>
      </c>
      <c r="B30" t="s">
        <v>281</v>
      </c>
      <c r="G30" s="758" t="e">
        <f t="shared" ref="G30:P30" si="0">IF(G24-G26-G28&lt;0,0,G24-G26-G28)</f>
        <v>#REF!</v>
      </c>
      <c r="H30" s="1278" t="e">
        <f t="shared" si="0"/>
        <v>#REF!</v>
      </c>
      <c r="I30" s="1299">
        <f t="shared" si="0"/>
        <v>0</v>
      </c>
      <c r="J30" s="1300">
        <f t="shared" si="0"/>
        <v>0</v>
      </c>
      <c r="K30" s="2842">
        <f t="shared" si="0"/>
        <v>0</v>
      </c>
      <c r="L30" s="2830">
        <f t="shared" si="0"/>
        <v>0</v>
      </c>
      <c r="M30" s="2817">
        <f t="shared" ref="M30" si="1">IF(M24-M26-M28&lt;0,0,M24-M26-M28)</f>
        <v>0</v>
      </c>
      <c r="N30" s="2863">
        <f t="shared" si="0"/>
        <v>0</v>
      </c>
      <c r="O30" s="2880">
        <f t="shared" si="0"/>
        <v>0</v>
      </c>
      <c r="P30" s="2893">
        <f t="shared" si="0"/>
        <v>0</v>
      </c>
      <c r="Q30" s="2010">
        <f t="shared" ref="Q30:S30" si="2">IF(Q24-Q26-Q28&lt;0,0,Q24-Q26-Q28)</f>
        <v>0</v>
      </c>
      <c r="R30" s="2929">
        <f t="shared" si="2"/>
        <v>0</v>
      </c>
      <c r="S30" s="2907">
        <f t="shared" si="2"/>
        <v>0</v>
      </c>
      <c r="T30" s="2316">
        <f t="shared" ref="T30:V30" si="3">IF(T24-T26-T28&lt;0,0,T24-T26-T28)</f>
        <v>0</v>
      </c>
      <c r="U30" s="2949">
        <f t="shared" si="3"/>
        <v>0</v>
      </c>
      <c r="V30" s="2916">
        <f t="shared" si="3"/>
        <v>0</v>
      </c>
      <c r="W30" s="3057">
        <f t="shared" ref="W30:Y30" si="4">IF(W24-W26-W28&lt;0,0,W24-W26-W28)</f>
        <v>0</v>
      </c>
      <c r="X30" s="3058">
        <f t="shared" si="4"/>
        <v>0</v>
      </c>
      <c r="Y30" s="2893">
        <f t="shared" si="4"/>
        <v>0</v>
      </c>
    </row>
    <row r="31" spans="1:27">
      <c r="A31" s="31"/>
      <c r="B31" t="s">
        <v>854</v>
      </c>
      <c r="G31" s="756"/>
      <c r="H31" s="1192"/>
      <c r="I31" s="1294"/>
      <c r="J31" s="1295"/>
      <c r="K31" s="2839"/>
      <c r="L31" s="2807"/>
      <c r="M31" s="2815"/>
      <c r="N31" s="2860"/>
      <c r="O31" s="2877"/>
      <c r="P31" s="1270"/>
      <c r="Q31" s="2006"/>
      <c r="R31" s="2926"/>
      <c r="S31" s="2007"/>
      <c r="T31" s="1294"/>
      <c r="U31" s="2947"/>
      <c r="V31" s="1295"/>
      <c r="W31" s="3052"/>
      <c r="X31" s="3053"/>
      <c r="Y31" s="1270"/>
    </row>
    <row r="32" spans="1:27">
      <c r="A32" s="31"/>
      <c r="G32" s="756"/>
      <c r="H32" s="1192"/>
      <c r="I32" s="1294"/>
      <c r="J32" s="1295"/>
      <c r="K32" s="2839"/>
      <c r="L32" s="2807"/>
      <c r="M32" s="2815"/>
      <c r="N32" s="2860"/>
      <c r="O32" s="2877"/>
      <c r="P32" s="1270"/>
      <c r="Q32" s="2006"/>
      <c r="R32" s="2926"/>
      <c r="S32" s="2007"/>
      <c r="T32" s="1294"/>
      <c r="U32" s="2947"/>
      <c r="V32" s="1295"/>
      <c r="W32" s="3052"/>
      <c r="X32" s="3053"/>
      <c r="Y32" s="1270"/>
    </row>
    <row r="33" spans="1:25">
      <c r="A33" s="31" t="s">
        <v>863</v>
      </c>
      <c r="B33" s="68" t="s">
        <v>17</v>
      </c>
      <c r="G33" s="757" t="e">
        <f>'Data Entry - SOF'!#REF!</f>
        <v>#REF!</v>
      </c>
      <c r="H33" s="1277" t="e">
        <f>G33</f>
        <v>#REF!</v>
      </c>
      <c r="I33" s="1301">
        <f>'Data Entry - SOF'!C97</f>
        <v>0</v>
      </c>
      <c r="J33" s="1302">
        <f>I33</f>
        <v>0</v>
      </c>
      <c r="K33" s="2840">
        <f>'Data Entry - SOF'!E97</f>
        <v>0</v>
      </c>
      <c r="L33" s="2829">
        <f>K33</f>
        <v>0</v>
      </c>
      <c r="M33" s="2816">
        <f>L33</f>
        <v>0</v>
      </c>
      <c r="N33" s="2861">
        <f>'Data Entry - SOF'!G97</f>
        <v>0</v>
      </c>
      <c r="O33" s="2879">
        <f>N33</f>
        <v>0</v>
      </c>
      <c r="P33" s="2892">
        <f>O33</f>
        <v>0</v>
      </c>
      <c r="Q33" s="2011">
        <f>'Data Entry - SOF'!I97</f>
        <v>0</v>
      </c>
      <c r="R33" s="2928">
        <f>Q33</f>
        <v>0</v>
      </c>
      <c r="S33" s="2906">
        <f>R33</f>
        <v>0</v>
      </c>
      <c r="T33" s="2317">
        <f>'Data Entry - SOF'!K97</f>
        <v>0</v>
      </c>
      <c r="U33" s="2948">
        <f>T33</f>
        <v>0</v>
      </c>
      <c r="V33" s="2915">
        <f>U33</f>
        <v>0</v>
      </c>
      <c r="W33" s="3059">
        <f>'Data Entry - SOF'!M97</f>
        <v>0</v>
      </c>
      <c r="X33" s="3055">
        <f>W33</f>
        <v>0</v>
      </c>
      <c r="Y33" s="2892">
        <f>X33</f>
        <v>0</v>
      </c>
    </row>
    <row r="34" spans="1:25">
      <c r="A34" s="21"/>
      <c r="B34" s="68" t="s">
        <v>1783</v>
      </c>
      <c r="G34" s="756"/>
      <c r="H34" s="1192"/>
      <c r="I34" s="1294"/>
      <c r="J34" s="1295"/>
      <c r="K34" s="2839"/>
      <c r="L34" s="2807"/>
      <c r="M34" s="2815"/>
      <c r="N34" s="2860"/>
      <c r="O34" s="2877"/>
      <c r="P34" s="1270"/>
      <c r="Q34" s="2006"/>
      <c r="R34" s="2926"/>
      <c r="S34" s="2007"/>
      <c r="T34" s="1294"/>
      <c r="U34" s="2947"/>
      <c r="V34" s="1295"/>
      <c r="W34" s="3052"/>
      <c r="X34" s="3053"/>
      <c r="Y34" s="1270"/>
    </row>
    <row r="35" spans="1:25">
      <c r="A35" s="31" t="s">
        <v>865</v>
      </c>
      <c r="B35" t="s">
        <v>5950</v>
      </c>
      <c r="G35" s="757" t="e">
        <f>#REF!</f>
        <v>#REF!</v>
      </c>
      <c r="H35" s="1277" t="e">
        <f>G35</f>
        <v>#REF!</v>
      </c>
      <c r="I35" s="1301">
        <f>IFA_Limits!F55</f>
        <v>0</v>
      </c>
      <c r="J35" s="1302">
        <f>I35</f>
        <v>0</v>
      </c>
      <c r="K35" s="2840">
        <f>IFA_Limits!H55</f>
        <v>0</v>
      </c>
      <c r="L35" s="2829">
        <f>K35</f>
        <v>0</v>
      </c>
      <c r="M35" s="2816">
        <f>L35</f>
        <v>0</v>
      </c>
      <c r="N35" s="2861">
        <f>IFA_Limits!J55</f>
        <v>0</v>
      </c>
      <c r="O35" s="2879">
        <f>N35</f>
        <v>0</v>
      </c>
      <c r="P35" s="2892">
        <f>O35</f>
        <v>0</v>
      </c>
      <c r="Q35" s="2011">
        <f>IFA_Limits!L55</f>
        <v>0</v>
      </c>
      <c r="R35" s="2928">
        <f>Q35</f>
        <v>0</v>
      </c>
      <c r="S35" s="2906">
        <f>R35</f>
        <v>0</v>
      </c>
      <c r="T35" s="2317">
        <f>IFA_Limits!N55</f>
        <v>0</v>
      </c>
      <c r="U35" s="2948">
        <f>T35</f>
        <v>0</v>
      </c>
      <c r="V35" s="2915">
        <f>U35</f>
        <v>0</v>
      </c>
      <c r="W35" s="3059">
        <f>IFA_Limits!P55</f>
        <v>0</v>
      </c>
      <c r="X35" s="3055">
        <f>W35</f>
        <v>0</v>
      </c>
      <c r="Y35" s="2892">
        <f>X35</f>
        <v>0</v>
      </c>
    </row>
    <row r="36" spans="1:25">
      <c r="A36" s="31"/>
      <c r="G36" s="756"/>
      <c r="H36" s="1192"/>
      <c r="I36" s="1294"/>
      <c r="J36" s="1295"/>
      <c r="K36" s="2839"/>
      <c r="L36" s="2807"/>
      <c r="M36" s="2815"/>
      <c r="N36" s="2860"/>
      <c r="O36" s="2877"/>
      <c r="P36" s="1270"/>
      <c r="Q36" s="2006"/>
      <c r="R36" s="2926"/>
      <c r="S36" s="2007"/>
      <c r="T36" s="1294"/>
      <c r="U36" s="2947"/>
      <c r="V36" s="1295"/>
      <c r="W36" s="3052"/>
      <c r="X36" s="3053"/>
      <c r="Y36" s="1270"/>
    </row>
    <row r="37" spans="1:25">
      <c r="A37" s="31" t="s">
        <v>866</v>
      </c>
      <c r="B37" t="s">
        <v>1895</v>
      </c>
      <c r="G37" s="759" t="e">
        <f>'Data Entry - SOF'!#REF!</f>
        <v>#REF!</v>
      </c>
      <c r="H37" s="1279" t="e">
        <f>G37</f>
        <v>#REF!</v>
      </c>
      <c r="I37" s="1303">
        <f>'Data Entry - SOF'!C19</f>
        <v>0</v>
      </c>
      <c r="J37" s="1304">
        <f>I37</f>
        <v>0</v>
      </c>
      <c r="K37" s="2843">
        <f>'Data Entry - SOF'!E19</f>
        <v>0</v>
      </c>
      <c r="L37" s="2831">
        <f>K37</f>
        <v>0</v>
      </c>
      <c r="M37" s="2818">
        <f>L37</f>
        <v>0</v>
      </c>
      <c r="N37" s="2864">
        <f>'Data Entry - SOF'!G19</f>
        <v>0</v>
      </c>
      <c r="O37" s="2881">
        <f>N37</f>
        <v>0</v>
      </c>
      <c r="P37" s="2894">
        <f>O37</f>
        <v>0</v>
      </c>
      <c r="Q37" s="2012">
        <f>'Data Entry - SOF'!I19</f>
        <v>0</v>
      </c>
      <c r="R37" s="2930">
        <f>Q37</f>
        <v>0</v>
      </c>
      <c r="S37" s="2908">
        <f>R37</f>
        <v>0</v>
      </c>
      <c r="T37" s="2318">
        <f>'Data Entry - SOF'!K19</f>
        <v>0</v>
      </c>
      <c r="U37" s="2950">
        <f>T37</f>
        <v>0</v>
      </c>
      <c r="V37" s="2917">
        <f>U37</f>
        <v>0</v>
      </c>
      <c r="W37" s="3060">
        <f>'Data Entry - SOF'!M19</f>
        <v>0</v>
      </c>
      <c r="X37" s="3061">
        <f>W37</f>
        <v>0</v>
      </c>
      <c r="Y37" s="2894">
        <f>X37</f>
        <v>0</v>
      </c>
    </row>
    <row r="38" spans="1:25">
      <c r="A38" s="21"/>
      <c r="H38" s="1190"/>
      <c r="I38" s="1305"/>
      <c r="J38" s="651"/>
      <c r="K38" s="2844"/>
      <c r="L38" s="2803"/>
      <c r="M38" s="2819"/>
      <c r="N38" s="1326"/>
      <c r="O38" s="2882"/>
      <c r="P38" s="1267"/>
      <c r="Q38" s="2013"/>
      <c r="R38" s="2931"/>
      <c r="S38" s="1999"/>
      <c r="T38" s="1305"/>
      <c r="U38" s="2951"/>
      <c r="V38" s="651"/>
      <c r="W38" s="3062"/>
      <c r="X38" s="3063"/>
      <c r="Y38" s="1267"/>
    </row>
    <row r="39" spans="1:25">
      <c r="A39" s="31" t="s">
        <v>867</v>
      </c>
      <c r="B39" s="629" t="s">
        <v>11118</v>
      </c>
      <c r="C39" s="629"/>
      <c r="D39" s="629"/>
      <c r="E39" s="629"/>
      <c r="F39" s="629"/>
      <c r="G39" s="757" t="e">
        <f>'Data Entry - SOF'!#REF!</f>
        <v>#REF!</v>
      </c>
      <c r="H39" s="1277" t="e">
        <f>G39</f>
        <v>#REF!</v>
      </c>
      <c r="I39" s="1306">
        <f>'Data Entry - SOF'!C140</f>
        <v>0</v>
      </c>
      <c r="J39" s="1302">
        <f>'Data Entry - SOF'!C139</f>
        <v>0</v>
      </c>
      <c r="K39" s="2841">
        <f>I39</f>
        <v>0</v>
      </c>
      <c r="L39" s="2829">
        <f>J39</f>
        <v>0</v>
      </c>
      <c r="M39" s="2816">
        <f>L39</f>
        <v>0</v>
      </c>
      <c r="N39" s="2859">
        <f>'Data Entry - SOF'!E67</f>
        <v>0</v>
      </c>
      <c r="O39" s="2879">
        <f>'Data Entry - SOF'!E69</f>
        <v>0</v>
      </c>
      <c r="P39" s="2879">
        <f>'Data Entry - SOF'!E65</f>
        <v>0</v>
      </c>
      <c r="Q39" s="2014">
        <f>N39</f>
        <v>0</v>
      </c>
      <c r="R39" s="2928">
        <f>O39</f>
        <v>0</v>
      </c>
      <c r="S39" s="2906">
        <f>P39</f>
        <v>0</v>
      </c>
      <c r="T39" s="2319">
        <f>'Data Entry - SOF'!I67</f>
        <v>0</v>
      </c>
      <c r="U39" s="2948">
        <f>'Data Entry - SOF'!I69</f>
        <v>0</v>
      </c>
      <c r="V39" s="2948">
        <f>'Data Entry - SOF'!I65</f>
        <v>0</v>
      </c>
      <c r="W39" s="3064">
        <f>T39</f>
        <v>0</v>
      </c>
      <c r="X39" s="3055">
        <f>U39</f>
        <v>0</v>
      </c>
      <c r="Y39" s="2892">
        <f>V39</f>
        <v>0</v>
      </c>
    </row>
    <row r="40" spans="1:25">
      <c r="A40" s="31"/>
      <c r="G40" s="756"/>
      <c r="H40" s="1192"/>
      <c r="I40" s="1294"/>
      <c r="J40" s="1295"/>
      <c r="K40" s="2839"/>
      <c r="L40" s="2807"/>
      <c r="M40" s="2815"/>
      <c r="N40" s="2865"/>
      <c r="O40" s="2877"/>
      <c r="P40" s="1270"/>
      <c r="Q40" s="2015"/>
      <c r="R40" s="2926"/>
      <c r="S40" s="2007"/>
      <c r="T40" s="2320"/>
      <c r="U40" s="2947"/>
      <c r="V40" s="1295"/>
      <c r="W40" s="3065"/>
      <c r="X40" s="3053"/>
      <c r="Y40" s="1270"/>
    </row>
    <row r="41" spans="1:25">
      <c r="A41" s="31" t="s">
        <v>109</v>
      </c>
      <c r="B41" t="s">
        <v>8525</v>
      </c>
      <c r="G41" s="757" t="e">
        <f>'Data Entry - SOF'!#REF!</f>
        <v>#REF!</v>
      </c>
      <c r="H41" s="1277" t="e">
        <f>'Data Entry - SOF'!#REF!</f>
        <v>#REF!</v>
      </c>
      <c r="I41" s="1301">
        <f>'Data Entry - SOF'!C64</f>
        <v>0</v>
      </c>
      <c r="J41" s="1302">
        <f>'Data Entry - SOF'!C65</f>
        <v>0</v>
      </c>
      <c r="K41" s="2840">
        <f>'Data Entry - SOF'!E67</f>
        <v>0</v>
      </c>
      <c r="L41" s="2829">
        <f>'Data Entry - SOF'!E69</f>
        <v>0</v>
      </c>
      <c r="M41" s="2816">
        <f>'Data Entry - SOF'!E65</f>
        <v>0</v>
      </c>
      <c r="N41" s="2861">
        <f>'Data Entry - SOF'!G67</f>
        <v>0</v>
      </c>
      <c r="O41" s="2879">
        <f>'Data Entry - SOF'!G69</f>
        <v>0</v>
      </c>
      <c r="P41" s="2892">
        <f>'Data Entry - SOF'!G65</f>
        <v>0</v>
      </c>
      <c r="Q41" s="2011">
        <f>'Data Entry - SOF'!I67</f>
        <v>0</v>
      </c>
      <c r="R41" s="2928">
        <f>'Data Entry - SOF'!I69</f>
        <v>0</v>
      </c>
      <c r="S41" s="2906">
        <f>'Data Entry - SOF'!I65</f>
        <v>0</v>
      </c>
      <c r="T41" s="2317">
        <f>'Data Entry - SOF'!K67</f>
        <v>0</v>
      </c>
      <c r="U41" s="2948">
        <f>'Data Entry - SOF'!K69</f>
        <v>0</v>
      </c>
      <c r="V41" s="2915">
        <f>'Data Entry - SOF'!K65</f>
        <v>0</v>
      </c>
      <c r="W41" s="3059">
        <f>'Data Entry - SOF'!M67</f>
        <v>0</v>
      </c>
      <c r="X41" s="3055">
        <f>'Data Entry - SOF'!M69</f>
        <v>0</v>
      </c>
      <c r="Y41" s="2892">
        <f>'Data Entry - SOF'!M65</f>
        <v>0</v>
      </c>
    </row>
    <row r="42" spans="1:25">
      <c r="A42" s="21"/>
      <c r="H42" s="1190"/>
      <c r="I42" s="1305"/>
      <c r="J42" s="651"/>
      <c r="K42" s="2844"/>
      <c r="L42" s="2803"/>
      <c r="M42" s="2819"/>
      <c r="N42" s="1326"/>
      <c r="O42" s="2882"/>
      <c r="P42" s="1267"/>
      <c r="Q42" s="2013"/>
      <c r="R42" s="2931"/>
      <c r="S42" s="1999"/>
      <c r="T42" s="1305"/>
      <c r="U42" s="2951"/>
      <c r="V42" s="651"/>
      <c r="W42" s="3062"/>
      <c r="X42" s="3063"/>
      <c r="Y42" s="1267"/>
    </row>
    <row r="43" spans="1:25" ht="15.5">
      <c r="A43" s="22" t="s">
        <v>861</v>
      </c>
      <c r="H43" s="1190"/>
      <c r="I43" s="1305"/>
      <c r="J43" s="651"/>
      <c r="K43" s="2844"/>
      <c r="L43" s="2803"/>
      <c r="M43" s="2819"/>
      <c r="N43" s="1326"/>
      <c r="O43" s="2882"/>
      <c r="P43" s="1267"/>
      <c r="Q43" s="2013"/>
      <c r="R43" s="2931"/>
      <c r="S43" s="1999"/>
      <c r="T43" s="1305"/>
      <c r="U43" s="2951"/>
      <c r="V43" s="651"/>
      <c r="W43" s="3062"/>
      <c r="X43" s="3063"/>
      <c r="Y43" s="1267"/>
    </row>
    <row r="44" spans="1:25">
      <c r="A44" s="21"/>
      <c r="H44" s="1190"/>
      <c r="I44" s="1305"/>
      <c r="J44" s="651"/>
      <c r="K44" s="2844"/>
      <c r="L44" s="2803"/>
      <c r="M44" s="2819"/>
      <c r="N44" s="1326"/>
      <c r="O44" s="2882"/>
      <c r="P44" s="1267"/>
      <c r="Q44" s="2013"/>
      <c r="R44" s="2931"/>
      <c r="S44" s="1999"/>
      <c r="T44" s="1305"/>
      <c r="U44" s="2951"/>
      <c r="V44" s="651"/>
      <c r="W44" s="3062"/>
      <c r="X44" s="3063"/>
      <c r="Y44" s="1267"/>
    </row>
    <row r="45" spans="1:25" ht="15.5">
      <c r="A45" s="23" t="s">
        <v>96</v>
      </c>
      <c r="B45" s="18"/>
      <c r="C45" s="18"/>
      <c r="D45" s="9"/>
      <c r="H45" s="1190"/>
      <c r="I45" s="1305"/>
      <c r="J45" s="651"/>
      <c r="K45" s="2844"/>
      <c r="L45" s="2803"/>
      <c r="M45" s="2819"/>
      <c r="N45" s="1326"/>
      <c r="O45" s="2882"/>
      <c r="P45" s="1267"/>
      <c r="Q45" s="2013"/>
      <c r="R45" s="2931"/>
      <c r="S45" s="1999"/>
      <c r="T45" s="1305"/>
      <c r="U45" s="2951"/>
      <c r="V45" s="651"/>
      <c r="W45" s="3062"/>
      <c r="X45" s="3063"/>
      <c r="Y45" s="1267"/>
    </row>
    <row r="46" spans="1:25" ht="15.5">
      <c r="A46" s="22"/>
      <c r="H46" s="1190"/>
      <c r="I46" s="1305"/>
      <c r="J46" s="651"/>
      <c r="K46" s="2844"/>
      <c r="L46" s="2803"/>
      <c r="M46" s="2819"/>
      <c r="N46" s="1326"/>
      <c r="O46" s="2882"/>
      <c r="P46" s="1267"/>
      <c r="Q46" s="2013"/>
      <c r="R46" s="2931"/>
      <c r="S46" s="1999"/>
      <c r="T46" s="1305"/>
      <c r="U46" s="2951"/>
      <c r="V46" s="651"/>
      <c r="W46" s="3062"/>
      <c r="X46" s="3063"/>
      <c r="Y46" s="1267"/>
    </row>
    <row r="47" spans="1:25">
      <c r="A47" s="40" t="s">
        <v>110</v>
      </c>
      <c r="B47" t="s">
        <v>1948</v>
      </c>
      <c r="G47" s="760" t="e">
        <f>IF('Data Entry - SOF'!#REF!&lt;=#REF!,0,IF(G24&lt;G26,(G24*100)/G39,((G26+G30)/(G39/100))))</f>
        <v>#REF!</v>
      </c>
      <c r="H47" s="1280" t="e">
        <f>IF('Data Entry - SOF'!#REF!&lt;=#REF!,0,IF(H24&lt;H26,(H24*100)/H39,((H26+H30)/(H39/100))))</f>
        <v>#REF!</v>
      </c>
      <c r="I47" s="1307">
        <f>IF('Data Entry - SOF'!C97&lt;='IFA-HB3'!L65,0,IF(I24&lt;I26,(I24*100)/I39,((I26+I30)/(I39/100))))</f>
        <v>0</v>
      </c>
      <c r="J47" s="1308">
        <f>IF('Data Entry - SOF'!C97&lt;='IFA-HB3'!M65,0,IF(J24&lt;J26,(J24*100)/J39,((J26+J30)/(J39/100))))</f>
        <v>0</v>
      </c>
      <c r="K47" s="2845">
        <f>IF('Data Entry - SOF'!E97&lt;='IFA-HB3'!O65,0,IF(K24&lt;K26,(K24*100)/K39,((K26+K30)/(K39/100))))</f>
        <v>0</v>
      </c>
      <c r="L47" s="2832">
        <f>IF('Data Entry - SOF'!E97&lt;='IFA-HB3'!P65,0,IF(L24&lt;L26,(L24*100)/L39,((L26+L30)/(L39/100))))</f>
        <v>0</v>
      </c>
      <c r="M47" s="2820">
        <f>IF('Data Entry - SOF'!E97&lt;='IFA-HB3'!Q65,0,IF(M24&lt;M26,(M24*100)/M39,((M26+M30)/(M39/100))))</f>
        <v>0</v>
      </c>
      <c r="N47" s="2866">
        <f>IF('Data Entry - SOF'!G97&lt;='IFA-HB3'!T65,0,IF(N24&lt;N26,(N24*100)/N39,((N26+N30)/(N39/100))))</f>
        <v>0</v>
      </c>
      <c r="O47" s="2883">
        <f>IF('Data Entry - SOF'!G97&lt;='IFA-HB3'!U65,0,IF(O24&lt;O26,(O24*100)/O39,((O26+O30)/(O39/100))))</f>
        <v>0</v>
      </c>
      <c r="P47" s="2895">
        <f>IF('Data Entry - SOF'!G97&lt;='IFA-HB3'!V65,0,IF(P24&lt;P26,(P24*100)/P39,((P26+P30)/(P39/100))))</f>
        <v>0</v>
      </c>
      <c r="Q47" s="2016">
        <f>IF('Data Entry - SOF'!I97&lt;='IFA-HB3'!Y65,0,IF(Q24&lt;Q26,(Q24*100)/Q39,((Q26+Q30)/(Q39/100))))</f>
        <v>0</v>
      </c>
      <c r="R47" s="2932">
        <f>IF('Data Entry - SOF'!I97&lt;='IFA-HB3'!Z65,0,IF(R24&lt;R26,(R24*100)/R39,((R26+R30)/(R39/100))))</f>
        <v>0</v>
      </c>
      <c r="S47" s="2909">
        <f>IF('Data Entry - SOF'!I97&lt;='IFA-HB3'!AA65,0,IF(S24&lt;S26,(S24*100)/S39,((S26+S30)/(S39/100))))</f>
        <v>0</v>
      </c>
      <c r="T47" s="2321">
        <f>IF('Data Entry - SOF'!K97&lt;='IFA-HB3'!AD65,0,IF(T24&lt;T26,(T24*100)/T39,((T26+T30)/(T39/100))))</f>
        <v>0</v>
      </c>
      <c r="U47" s="2952">
        <f>IF('Data Entry - SOF'!K97&lt;='IFA-HB3'!AE65,0,IF(U24&lt;U26,(U24*100)/U39,((U26+U30)/(U39/100))))</f>
        <v>0</v>
      </c>
      <c r="V47" s="2918">
        <f>IF('Data Entry - SOF'!K97&lt;='IFA-HB3'!AF65,0,IF(V24&lt;V26,(V24*100)/V39,((V26+V30)/(V39/100))))</f>
        <v>0</v>
      </c>
      <c r="W47" s="3066">
        <f>IF('Data Entry - SOF'!M97&lt;='IFA-HB3'!AI65,0,IF(W24&lt;W26,(W24*100)/W39,((W26+W30)/(W39/100))))</f>
        <v>0</v>
      </c>
      <c r="X47" s="3067">
        <f>IF('Data Entry - SOF'!M97&lt;='IFA-HB3'!AJ65,0,IF(X24&lt;X26,(X24*100)/X39,((X26+X30)/(X39/100))))</f>
        <v>0</v>
      </c>
      <c r="Y47" s="2895">
        <f>IF('Data Entry - SOF'!M97&lt;='IFA-HB3'!AK65,0,IF(Y24&lt;Y26,(Y24*100)/Y39,((Y26+Y30)/(Y39/100))))</f>
        <v>0</v>
      </c>
    </row>
    <row r="48" spans="1:25">
      <c r="A48" s="40"/>
      <c r="B48" t="s">
        <v>2183</v>
      </c>
      <c r="G48" s="761"/>
      <c r="H48" s="1193"/>
      <c r="I48" s="1309"/>
      <c r="J48" s="1310"/>
      <c r="K48" s="2846"/>
      <c r="L48" s="2808"/>
      <c r="M48" s="2821"/>
      <c r="N48" s="2867"/>
      <c r="O48" s="2884"/>
      <c r="P48" s="1271"/>
      <c r="Q48" s="2017"/>
      <c r="R48" s="2933"/>
      <c r="S48" s="2018"/>
      <c r="T48" s="1309"/>
      <c r="U48" s="2953"/>
      <c r="V48" s="1310"/>
      <c r="W48" s="3068"/>
      <c r="X48" s="3069"/>
      <c r="Y48" s="1271"/>
    </row>
    <row r="49" spans="1:25">
      <c r="A49" s="40"/>
      <c r="B49" t="s">
        <v>2843</v>
      </c>
      <c r="G49" s="761"/>
      <c r="H49" s="1193"/>
      <c r="I49" s="1309"/>
      <c r="J49" s="1310"/>
      <c r="K49" s="2846"/>
      <c r="L49" s="2808"/>
      <c r="M49" s="2821"/>
      <c r="N49" s="2867"/>
      <c r="O49" s="2884"/>
      <c r="P49" s="1271"/>
      <c r="Q49" s="2017"/>
      <c r="R49" s="2933"/>
      <c r="S49" s="2018"/>
      <c r="T49" s="1309"/>
      <c r="U49" s="2953"/>
      <c r="V49" s="1310"/>
      <c r="W49" s="3068"/>
      <c r="X49" s="3069"/>
      <c r="Y49" s="1271"/>
    </row>
    <row r="50" spans="1:25" ht="15.5">
      <c r="A50" s="22"/>
      <c r="G50" s="761"/>
      <c r="H50" s="1193"/>
      <c r="I50" s="1309"/>
      <c r="J50" s="1310"/>
      <c r="K50" s="2846"/>
      <c r="L50" s="2808"/>
      <c r="M50" s="2821"/>
      <c r="N50" s="2867"/>
      <c r="O50" s="2884"/>
      <c r="P50" s="1271"/>
      <c r="Q50" s="2017"/>
      <c r="R50" s="2933"/>
      <c r="S50" s="2018"/>
      <c r="T50" s="1309"/>
      <c r="U50" s="2953"/>
      <c r="V50" s="1310"/>
      <c r="W50" s="3068"/>
      <c r="X50" s="3069"/>
      <c r="Y50" s="1271"/>
    </row>
    <row r="51" spans="1:25">
      <c r="A51" s="31" t="s">
        <v>111</v>
      </c>
      <c r="B51" t="s">
        <v>2406</v>
      </c>
      <c r="G51" s="762" t="e">
        <f>IF(G33&lt;=G35,0,((G33-G35)/Weights!H50/G37/100))</f>
        <v>#REF!</v>
      </c>
      <c r="H51" s="1281" t="e">
        <f>IF(H33&lt;=H35,0,((H33-H35)/Weights!H50/H37/100))</f>
        <v>#REF!</v>
      </c>
      <c r="I51" s="1311">
        <f>IF(I33&lt;=I35,0,((I33-I35)/'Weights-HB3'!I157/I37/100))</f>
        <v>0</v>
      </c>
      <c r="J51" s="1312">
        <f>IF(J33&lt;=J35,0,((J33-J35)/35/J37/100))</f>
        <v>0</v>
      </c>
      <c r="K51" s="2847">
        <f>IF(K33&lt;=K35,0,((K33-K35)/'Weights-HB3'!J157/K37/100))</f>
        <v>0</v>
      </c>
      <c r="L51" s="2833">
        <f>IF(L33&lt;=L35,0,((L33-L35)/39.05/L37/100))</f>
        <v>0</v>
      </c>
      <c r="M51" s="2822">
        <f>IF(M33&lt;=M35,0,((M33-M35)/35/M37/100))</f>
        <v>0</v>
      </c>
      <c r="N51" s="2868">
        <f>IF(N33&lt;=N35,0,((N33-N35)/'Weights-HB3'!K157/N37/100))</f>
        <v>0</v>
      </c>
      <c r="O51" s="2885">
        <f>IF(O33&lt;=O35,0,((O33-O35)/39.05/O37/100))</f>
        <v>0</v>
      </c>
      <c r="P51" s="2896">
        <f>IF(P33&lt;=P35,0,((P33-P35)/35/P37/100))</f>
        <v>0</v>
      </c>
      <c r="Q51" s="2019">
        <f>IF(Q33&lt;=Q35,0,((Q33-Q35)/'Weights-HB3'!L157/Q37/100))</f>
        <v>0</v>
      </c>
      <c r="R51" s="2934">
        <f>IF(R33&lt;=R35,0,((R33-R35)/39.05/R37/100))</f>
        <v>0</v>
      </c>
      <c r="S51" s="2910">
        <f>IF(S33&lt;=S35,0,((S33-S35)/35/S37/100))</f>
        <v>0</v>
      </c>
      <c r="T51" s="2322">
        <f>IF(T33&lt;=T35,0,((T33-T35)/'Weights-HB3'!M157/T37/100))</f>
        <v>0</v>
      </c>
      <c r="U51" s="2954">
        <f>IF(U33&lt;=U35,0,((U33-U35)/39.05/U37/100))</f>
        <v>0</v>
      </c>
      <c r="V51" s="2919">
        <f>IF(V33&lt;=V35,0,((V33-V35)/35/V37/100))</f>
        <v>0</v>
      </c>
      <c r="W51" s="3070">
        <f>IF(W33&lt;=W35,0,((W33-W35)/'Weights-HB3'!N157/W37/100))</f>
        <v>0</v>
      </c>
      <c r="X51" s="3071">
        <f>IF(X33&lt;=X35,0,((X33-X35)/39.05/X37/100))</f>
        <v>0</v>
      </c>
      <c r="Y51" s="2896">
        <f>IF(Y33&lt;=Y35,0,((Y33-Y35)/35/Y37/100))</f>
        <v>0</v>
      </c>
    </row>
    <row r="52" spans="1:25">
      <c r="A52" s="31"/>
      <c r="B52" t="s">
        <v>704</v>
      </c>
      <c r="G52" s="761"/>
      <c r="H52" s="1193"/>
      <c r="I52" s="1309"/>
      <c r="J52" s="1310"/>
      <c r="K52" s="2846"/>
      <c r="L52" s="2808"/>
      <c r="M52" s="2821"/>
      <c r="N52" s="2867"/>
      <c r="O52" s="2884"/>
      <c r="P52" s="1271"/>
      <c r="Q52" s="2017"/>
      <c r="R52" s="2933"/>
      <c r="S52" s="2018"/>
      <c r="T52" s="1309"/>
      <c r="U52" s="2953"/>
      <c r="V52" s="1310"/>
      <c r="W52" s="3068"/>
      <c r="X52" s="3069"/>
      <c r="Y52" s="1271"/>
    </row>
    <row r="53" spans="1:25">
      <c r="A53" s="31"/>
      <c r="B53" t="s">
        <v>5949</v>
      </c>
      <c r="G53" s="761"/>
      <c r="H53" s="1193"/>
      <c r="I53" s="1309"/>
      <c r="J53" s="1310"/>
      <c r="K53" s="2846"/>
      <c r="L53" s="2808"/>
      <c r="M53" s="2821"/>
      <c r="N53" s="2867"/>
      <c r="O53" s="2884"/>
      <c r="P53" s="1271"/>
      <c r="Q53" s="2017"/>
      <c r="R53" s="2933"/>
      <c r="S53" s="2018"/>
      <c r="T53" s="1309"/>
      <c r="U53" s="2953"/>
      <c r="V53" s="1310"/>
      <c r="W53" s="3068"/>
      <c r="X53" s="3069"/>
      <c r="Y53" s="1271"/>
    </row>
    <row r="54" spans="1:25">
      <c r="A54" s="21"/>
      <c r="B54" s="520" t="s">
        <v>5947</v>
      </c>
      <c r="G54" s="761"/>
      <c r="H54" s="1193"/>
      <c r="I54" s="1309"/>
      <c r="J54" s="1310"/>
      <c r="K54" s="2846"/>
      <c r="L54" s="2808"/>
      <c r="M54" s="2821"/>
      <c r="N54" s="2867"/>
      <c r="O54" s="2884"/>
      <c r="P54" s="1271"/>
      <c r="Q54" s="2017"/>
      <c r="R54" s="2933"/>
      <c r="S54" s="2018"/>
      <c r="T54" s="1309"/>
      <c r="U54" s="2953"/>
      <c r="V54" s="1310"/>
      <c r="W54" s="3068"/>
      <c r="X54" s="3069"/>
      <c r="Y54" s="1271"/>
    </row>
    <row r="55" spans="1:25">
      <c r="A55" s="31" t="s">
        <v>112</v>
      </c>
      <c r="B55" s="38" t="s">
        <v>686</v>
      </c>
      <c r="G55" s="762" t="e">
        <f t="shared" ref="G55:P55" si="5">IF(MIN(G47,G51)&gt;0.29,0.29,MIN(G47,G51))</f>
        <v>#REF!</v>
      </c>
      <c r="H55" s="1281" t="e">
        <f t="shared" si="5"/>
        <v>#REF!</v>
      </c>
      <c r="I55" s="1311">
        <f t="shared" si="5"/>
        <v>0</v>
      </c>
      <c r="J55" s="1312">
        <f t="shared" si="5"/>
        <v>0</v>
      </c>
      <c r="K55" s="2847">
        <f t="shared" si="5"/>
        <v>0</v>
      </c>
      <c r="L55" s="2833">
        <f t="shared" si="5"/>
        <v>0</v>
      </c>
      <c r="M55" s="2822">
        <f t="shared" ref="M55" si="6">IF(MIN(M47,M51)&gt;0.29,0.29,MIN(M47,M51))</f>
        <v>0</v>
      </c>
      <c r="N55" s="2868">
        <f t="shared" si="5"/>
        <v>0</v>
      </c>
      <c r="O55" s="2885">
        <f t="shared" si="5"/>
        <v>0</v>
      </c>
      <c r="P55" s="2896">
        <f t="shared" si="5"/>
        <v>0</v>
      </c>
      <c r="Q55" s="2019">
        <f t="shared" ref="Q55:S55" si="7">IF(MIN(Q47,Q51)&gt;0.29,0.29,MIN(Q47,Q51))</f>
        <v>0</v>
      </c>
      <c r="R55" s="2934">
        <f t="shared" si="7"/>
        <v>0</v>
      </c>
      <c r="S55" s="2910">
        <f t="shared" si="7"/>
        <v>0</v>
      </c>
      <c r="T55" s="2322">
        <f t="shared" ref="T55:V55" si="8">IF(MIN(T47,T51)&gt;0.29,0.29,MIN(T47,T51))</f>
        <v>0</v>
      </c>
      <c r="U55" s="2954">
        <f t="shared" si="8"/>
        <v>0</v>
      </c>
      <c r="V55" s="2919">
        <f t="shared" si="8"/>
        <v>0</v>
      </c>
      <c r="W55" s="3070">
        <f t="shared" ref="W55:Y55" si="9">IF(MIN(W47,W51)&gt;0.29,0.29,MIN(W47,W51))</f>
        <v>0</v>
      </c>
      <c r="X55" s="3071">
        <f t="shared" si="9"/>
        <v>0</v>
      </c>
      <c r="Y55" s="2896">
        <f t="shared" si="9"/>
        <v>0</v>
      </c>
    </row>
    <row r="56" spans="1:25">
      <c r="A56" s="21"/>
      <c r="G56" s="763"/>
      <c r="H56" s="1194"/>
      <c r="I56" s="1313"/>
      <c r="J56" s="1314"/>
      <c r="K56" s="2848"/>
      <c r="L56" s="2809"/>
      <c r="M56" s="2823"/>
      <c r="N56" s="2869"/>
      <c r="O56" s="2886"/>
      <c r="P56" s="1272"/>
      <c r="Q56" s="2020"/>
      <c r="R56" s="2935"/>
      <c r="S56" s="2021"/>
      <c r="T56" s="1313"/>
      <c r="U56" s="2955"/>
      <c r="V56" s="1314"/>
      <c r="W56" s="3072"/>
      <c r="X56" s="3073"/>
      <c r="Y56" s="1272"/>
    </row>
    <row r="57" spans="1:25" ht="15.5">
      <c r="A57" s="23" t="s">
        <v>864</v>
      </c>
      <c r="B57" s="18"/>
      <c r="C57" s="9"/>
      <c r="D57" s="9"/>
      <c r="G57" s="763"/>
      <c r="H57" s="1194"/>
      <c r="I57" s="1313"/>
      <c r="J57" s="1314"/>
      <c r="K57" s="2848"/>
      <c r="L57" s="2809"/>
      <c r="M57" s="2823"/>
      <c r="N57" s="2869"/>
      <c r="O57" s="2886"/>
      <c r="P57" s="1272"/>
      <c r="Q57" s="2020"/>
      <c r="R57" s="2935"/>
      <c r="S57" s="2021"/>
      <c r="T57" s="1313"/>
      <c r="U57" s="2955"/>
      <c r="V57" s="1314"/>
      <c r="W57" s="3072"/>
      <c r="X57" s="3073"/>
      <c r="Y57" s="1272"/>
    </row>
    <row r="58" spans="1:25">
      <c r="A58" s="21"/>
      <c r="G58" s="763"/>
      <c r="H58" s="1194"/>
      <c r="I58" s="1313"/>
      <c r="J58" s="1314"/>
      <c r="K58" s="2848"/>
      <c r="L58" s="2809"/>
      <c r="M58" s="2823"/>
      <c r="N58" s="2869"/>
      <c r="O58" s="2886"/>
      <c r="P58" s="1272"/>
      <c r="Q58" s="2020"/>
      <c r="R58" s="2935"/>
      <c r="S58" s="2021"/>
      <c r="T58" s="1313"/>
      <c r="U58" s="2955"/>
      <c r="V58" s="1314"/>
      <c r="W58" s="3072"/>
      <c r="X58" s="3073"/>
      <c r="Y58" s="1272"/>
    </row>
    <row r="59" spans="1:25">
      <c r="A59" s="31" t="s">
        <v>1424</v>
      </c>
      <c r="B59" s="59" t="s">
        <v>5946</v>
      </c>
      <c r="G59" s="757" t="e">
        <f>G37*G55*Weights!H50*100</f>
        <v>#REF!</v>
      </c>
      <c r="H59" s="1277" t="e">
        <f>H37*H55*Weights!H50*100</f>
        <v>#REF!</v>
      </c>
      <c r="I59" s="1315">
        <f>I37*I55*'Weights-HB3'!I157*100</f>
        <v>0</v>
      </c>
      <c r="J59" s="1316">
        <f>J37*J55*35*100</f>
        <v>0</v>
      </c>
      <c r="K59" s="2840">
        <f>K37*K55*'Weights-HB3'!J157*100</f>
        <v>0</v>
      </c>
      <c r="L59" s="2829">
        <f>L37*L55*39.05*100</f>
        <v>0</v>
      </c>
      <c r="M59" s="2816">
        <f>M37*M55*35*100</f>
        <v>0</v>
      </c>
      <c r="N59" s="2861">
        <f>N37*N55*'Weights-HB3'!K157*100</f>
        <v>0</v>
      </c>
      <c r="O59" s="2879">
        <f>O37*O55*39.05*100</f>
        <v>0</v>
      </c>
      <c r="P59" s="2892">
        <f>P37*P55*35*100</f>
        <v>0</v>
      </c>
      <c r="Q59" s="2022">
        <f>Q37*Q55*'Weights-HB3'!L157*100</f>
        <v>0</v>
      </c>
      <c r="R59" s="2928">
        <f>R37*R55*39.05*100</f>
        <v>0</v>
      </c>
      <c r="S59" s="2906">
        <f>S37*S55*35*100</f>
        <v>0</v>
      </c>
      <c r="T59" s="2323">
        <f>T37*T55*'Weights-HB3'!M157*100</f>
        <v>0</v>
      </c>
      <c r="U59" s="2948">
        <f>U37*U55*39.05*100</f>
        <v>0</v>
      </c>
      <c r="V59" s="2915">
        <f>V37*V55*35*100</f>
        <v>0</v>
      </c>
      <c r="W59" s="3074">
        <f>W37*W55*'Weights-HB3'!N157*100</f>
        <v>0</v>
      </c>
      <c r="X59" s="3055">
        <f>X37*X55*39.05*100</f>
        <v>0</v>
      </c>
      <c r="Y59" s="2892">
        <f>Y37*Y55*35*100</f>
        <v>0</v>
      </c>
    </row>
    <row r="60" spans="1:25">
      <c r="A60" s="31"/>
      <c r="B60" s="520" t="s">
        <v>5947</v>
      </c>
      <c r="G60" s="763"/>
      <c r="H60" s="763"/>
      <c r="I60" s="1313"/>
      <c r="J60" s="1314"/>
      <c r="K60" s="2848"/>
      <c r="L60" s="2809"/>
      <c r="M60" s="2823"/>
      <c r="N60" s="2869"/>
      <c r="O60" s="2886"/>
      <c r="P60" s="1272"/>
      <c r="Q60" s="2020"/>
      <c r="R60" s="2935"/>
      <c r="S60" s="2021"/>
      <c r="T60" s="1313"/>
      <c r="U60" s="2955"/>
      <c r="V60" s="1314"/>
      <c r="W60" s="3072"/>
      <c r="X60" s="3073"/>
      <c r="Y60" s="1272"/>
    </row>
    <row r="61" spans="1:25">
      <c r="A61" s="31" t="s">
        <v>6</v>
      </c>
      <c r="B61" s="59" t="s">
        <v>1786</v>
      </c>
      <c r="G61" s="757" t="e">
        <f t="shared" ref="G61:P61" si="10">G55*(G41/100)</f>
        <v>#REF!</v>
      </c>
      <c r="H61" s="1277" t="e">
        <f t="shared" si="10"/>
        <v>#REF!</v>
      </c>
      <c r="I61" s="1315">
        <f t="shared" si="10"/>
        <v>0</v>
      </c>
      <c r="J61" s="1316">
        <f t="shared" si="10"/>
        <v>0</v>
      </c>
      <c r="K61" s="2840">
        <f t="shared" si="10"/>
        <v>0</v>
      </c>
      <c r="L61" s="2829">
        <f t="shared" si="10"/>
        <v>0</v>
      </c>
      <c r="M61" s="2816">
        <f t="shared" ref="M61" si="11">M55*(M41/100)</f>
        <v>0</v>
      </c>
      <c r="N61" s="2861">
        <f t="shared" si="10"/>
        <v>0</v>
      </c>
      <c r="O61" s="2879">
        <f t="shared" si="10"/>
        <v>0</v>
      </c>
      <c r="P61" s="2892">
        <f t="shared" si="10"/>
        <v>0</v>
      </c>
      <c r="Q61" s="2022">
        <f t="shared" ref="Q61:S61" si="12">Q55*(Q41/100)</f>
        <v>0</v>
      </c>
      <c r="R61" s="2928">
        <f t="shared" si="12"/>
        <v>0</v>
      </c>
      <c r="S61" s="2906">
        <f t="shared" si="12"/>
        <v>0</v>
      </c>
      <c r="T61" s="2323">
        <f t="shared" ref="T61:V61" si="13">T55*(T41/100)</f>
        <v>0</v>
      </c>
      <c r="U61" s="2948">
        <f t="shared" si="13"/>
        <v>0</v>
      </c>
      <c r="V61" s="2915">
        <f t="shared" si="13"/>
        <v>0</v>
      </c>
      <c r="W61" s="3074">
        <f t="shared" ref="W61:Y61" si="14">W55*(W41/100)</f>
        <v>0</v>
      </c>
      <c r="X61" s="3055">
        <f t="shared" si="14"/>
        <v>0</v>
      </c>
      <c r="Y61" s="2892">
        <f t="shared" si="14"/>
        <v>0</v>
      </c>
    </row>
    <row r="62" spans="1:25">
      <c r="A62" s="31"/>
      <c r="B62" s="57" t="s">
        <v>1785</v>
      </c>
      <c r="H62" s="1190"/>
      <c r="I62" s="1305"/>
      <c r="J62" s="651"/>
      <c r="K62" s="2844"/>
      <c r="L62" s="2803"/>
      <c r="M62" s="2819"/>
      <c r="N62" s="1326"/>
      <c r="O62" s="2882"/>
      <c r="P62" s="1267"/>
      <c r="Q62" s="2013"/>
      <c r="R62" s="2931"/>
      <c r="S62" s="1999"/>
      <c r="T62" s="1305"/>
      <c r="U62" s="2951"/>
      <c r="V62" s="651"/>
      <c r="W62" s="3062"/>
      <c r="X62" s="3063"/>
      <c r="Y62" s="1267"/>
    </row>
    <row r="63" spans="1:25">
      <c r="A63" s="31"/>
      <c r="B63" s="57" t="s">
        <v>1784</v>
      </c>
      <c r="H63" s="1190"/>
      <c r="I63" s="1305"/>
      <c r="J63" s="651"/>
      <c r="K63" s="2844"/>
      <c r="L63" s="2803"/>
      <c r="M63" s="2819"/>
      <c r="N63" s="1326"/>
      <c r="O63" s="2882"/>
      <c r="P63" s="1267"/>
      <c r="Q63" s="2013"/>
      <c r="R63" s="2931"/>
      <c r="S63" s="1999"/>
      <c r="T63" s="1305"/>
      <c r="U63" s="2951"/>
      <c r="V63" s="651"/>
      <c r="W63" s="3062"/>
      <c r="X63" s="3063"/>
      <c r="Y63" s="1267"/>
    </row>
    <row r="64" spans="1:25">
      <c r="A64" s="31"/>
      <c r="B64" s="57"/>
      <c r="H64" s="1190"/>
      <c r="I64" s="1305"/>
      <c r="J64" s="651"/>
      <c r="K64" s="2844"/>
      <c r="L64" s="2803"/>
      <c r="M64" s="2819"/>
      <c r="N64" s="1326"/>
      <c r="O64" s="2882"/>
      <c r="P64" s="1267"/>
      <c r="Q64" s="2013"/>
      <c r="R64" s="2931"/>
      <c r="S64" s="1999"/>
      <c r="T64" s="1305"/>
      <c r="U64" s="2951"/>
      <c r="V64" s="651"/>
      <c r="W64" s="3062"/>
      <c r="X64" s="3063"/>
      <c r="Y64" s="1267"/>
    </row>
    <row r="65" spans="1:25" ht="16" hidden="1" thickBot="1">
      <c r="A65" s="31"/>
      <c r="B65" s="65" t="s">
        <v>1698</v>
      </c>
      <c r="C65" s="66"/>
      <c r="D65" s="66"/>
      <c r="E65" s="66"/>
      <c r="F65" s="67"/>
      <c r="H65" s="1190"/>
      <c r="I65" s="1305"/>
      <c r="J65" s="651"/>
      <c r="K65" s="2844"/>
      <c r="L65" s="2803"/>
      <c r="M65" s="2819"/>
      <c r="N65" s="1326"/>
      <c r="O65" s="2882"/>
      <c r="P65" s="1267"/>
      <c r="Q65" s="2013"/>
      <c r="R65" s="2931"/>
      <c r="S65" s="1999"/>
      <c r="T65" s="1305"/>
      <c r="U65" s="2951"/>
      <c r="V65" s="651"/>
      <c r="W65" s="3062"/>
      <c r="X65" s="3063"/>
      <c r="Y65" s="1267"/>
    </row>
    <row r="66" spans="1:25" hidden="1">
      <c r="A66" s="31"/>
      <c r="B66" s="57"/>
      <c r="H66" s="1190"/>
      <c r="I66" s="1305"/>
      <c r="J66" s="651"/>
      <c r="K66" s="2844"/>
      <c r="L66" s="2803"/>
      <c r="M66" s="2819"/>
      <c r="N66" s="1326"/>
      <c r="O66" s="2882"/>
      <c r="P66" s="1267"/>
      <c r="Q66" s="2013"/>
      <c r="R66" s="2931"/>
      <c r="S66" s="1999"/>
      <c r="T66" s="1305"/>
      <c r="U66" s="2951"/>
      <c r="V66" s="651"/>
      <c r="W66" s="3062"/>
      <c r="X66" s="3063"/>
      <c r="Y66" s="1267"/>
    </row>
    <row r="67" spans="1:25" hidden="1">
      <c r="A67" s="31"/>
      <c r="B67" s="54"/>
      <c r="H67" s="1190"/>
      <c r="I67" s="1305"/>
      <c r="J67" s="651"/>
      <c r="K67" s="2844"/>
      <c r="L67" s="2803"/>
      <c r="M67" s="2819"/>
      <c r="N67" s="1326"/>
      <c r="O67" s="2882"/>
      <c r="P67" s="1267"/>
      <c r="Q67" s="2013"/>
      <c r="R67" s="2931"/>
      <c r="S67" s="1999"/>
      <c r="T67" s="1305"/>
      <c r="U67" s="2951"/>
      <c r="V67" s="651"/>
      <c r="W67" s="3062"/>
      <c r="X67" s="3063"/>
      <c r="Y67" s="1267"/>
    </row>
    <row r="68" spans="1:25" hidden="1">
      <c r="A68" s="31"/>
      <c r="B68" s="54"/>
      <c r="H68" s="1190"/>
      <c r="I68" s="1305"/>
      <c r="J68" s="651"/>
      <c r="K68" s="2844"/>
      <c r="L68" s="2803"/>
      <c r="M68" s="2819"/>
      <c r="N68" s="1326"/>
      <c r="O68" s="2882"/>
      <c r="P68" s="1267"/>
      <c r="Q68" s="2013"/>
      <c r="R68" s="2931"/>
      <c r="S68" s="1999"/>
      <c r="T68" s="1305"/>
      <c r="U68" s="2951"/>
      <c r="V68" s="651"/>
      <c r="W68" s="3062"/>
      <c r="X68" s="3063"/>
      <c r="Y68" s="1267"/>
    </row>
    <row r="69" spans="1:25">
      <c r="A69" s="21"/>
      <c r="H69" s="1190"/>
      <c r="I69" s="1305"/>
      <c r="J69" s="651"/>
      <c r="K69" s="2844"/>
      <c r="L69" s="2803"/>
      <c r="M69" s="2819"/>
      <c r="N69" s="1326"/>
      <c r="O69" s="2882"/>
      <c r="P69" s="1267"/>
      <c r="Q69" s="2013"/>
      <c r="R69" s="2931"/>
      <c r="S69" s="1999"/>
      <c r="T69" s="1305"/>
      <c r="U69" s="2951"/>
      <c r="V69" s="651"/>
      <c r="W69" s="3062"/>
      <c r="X69" s="3063"/>
      <c r="Y69" s="1267"/>
    </row>
    <row r="70" spans="1:25">
      <c r="A70" s="31" t="s">
        <v>2109</v>
      </c>
      <c r="B70" s="59" t="s">
        <v>2152</v>
      </c>
      <c r="G70" s="757" t="e">
        <f t="shared" ref="G70:P70" si="15">IF(G61&gt;=G59,0,G59-G61)</f>
        <v>#REF!</v>
      </c>
      <c r="H70" s="1277" t="e">
        <f t="shared" si="15"/>
        <v>#REF!</v>
      </c>
      <c r="I70" s="1315">
        <f t="shared" si="15"/>
        <v>0</v>
      </c>
      <c r="J70" s="1316">
        <f t="shared" si="15"/>
        <v>0</v>
      </c>
      <c r="K70" s="2840">
        <f t="shared" si="15"/>
        <v>0</v>
      </c>
      <c r="L70" s="2829">
        <f t="shared" si="15"/>
        <v>0</v>
      </c>
      <c r="M70" s="2816">
        <f t="shared" ref="M70" si="16">IF(M61&gt;=M59,0,M59-M61)</f>
        <v>0</v>
      </c>
      <c r="N70" s="2861">
        <f t="shared" si="15"/>
        <v>0</v>
      </c>
      <c r="O70" s="2879">
        <f t="shared" si="15"/>
        <v>0</v>
      </c>
      <c r="P70" s="2892">
        <f t="shared" si="15"/>
        <v>0</v>
      </c>
      <c r="Q70" s="2022">
        <f t="shared" ref="Q70:S70" si="17">IF(Q61&gt;=Q59,0,Q59-Q61)</f>
        <v>0</v>
      </c>
      <c r="R70" s="2928">
        <f t="shared" si="17"/>
        <v>0</v>
      </c>
      <c r="S70" s="2906">
        <f t="shared" si="17"/>
        <v>0</v>
      </c>
      <c r="T70" s="2323">
        <f t="shared" ref="T70:V70" si="18">IF(T61&gt;=T59,0,T59-T61)</f>
        <v>0</v>
      </c>
      <c r="U70" s="2948">
        <f t="shared" si="18"/>
        <v>0</v>
      </c>
      <c r="V70" s="2915">
        <f t="shared" si="18"/>
        <v>0</v>
      </c>
      <c r="W70" s="3074">
        <f t="shared" ref="W70:Y70" si="19">IF(W61&gt;=W59,0,W59-W61)</f>
        <v>0</v>
      </c>
      <c r="X70" s="3055">
        <f t="shared" si="19"/>
        <v>0</v>
      </c>
      <c r="Y70" s="2892">
        <f t="shared" si="19"/>
        <v>0</v>
      </c>
    </row>
    <row r="71" spans="1:25">
      <c r="A71" s="31"/>
      <c r="B71" s="59"/>
      <c r="G71" s="763"/>
      <c r="H71" s="1194"/>
      <c r="I71" s="1313"/>
      <c r="J71" s="1314"/>
      <c r="K71" s="2848"/>
      <c r="L71" s="2809"/>
      <c r="M71" s="2823"/>
      <c r="N71" s="2869"/>
      <c r="O71" s="2886"/>
      <c r="P71" s="1272"/>
      <c r="Q71" s="2020"/>
      <c r="R71" s="2935"/>
      <c r="S71" s="2021"/>
      <c r="T71" s="1313"/>
      <c r="U71" s="2955"/>
      <c r="V71" s="1314"/>
      <c r="W71" s="3072"/>
      <c r="X71" s="3073"/>
      <c r="Y71" s="1272"/>
    </row>
    <row r="72" spans="1:25">
      <c r="A72" s="31"/>
      <c r="B72" s="59"/>
      <c r="G72" s="763"/>
      <c r="H72" s="1194"/>
      <c r="I72" s="1313"/>
      <c r="J72" s="1314"/>
      <c r="K72" s="2848"/>
      <c r="L72" s="2809"/>
      <c r="M72" s="2823"/>
      <c r="N72" s="2869"/>
      <c r="O72" s="2886"/>
      <c r="P72" s="1272"/>
      <c r="Q72" s="2020"/>
      <c r="R72" s="2935"/>
      <c r="S72" s="2021"/>
      <c r="T72" s="1313"/>
      <c r="U72" s="2955"/>
      <c r="V72" s="1314"/>
      <c r="W72" s="3072"/>
      <c r="X72" s="3073"/>
      <c r="Y72" s="1272"/>
    </row>
    <row r="73" spans="1:25">
      <c r="A73" s="21"/>
      <c r="G73" s="764" t="e">
        <f>IF(G74&lt;G70,"See Line 16 Note"," ")</f>
        <v>#REF!</v>
      </c>
      <c r="H73" s="1195"/>
      <c r="I73" s="1317" t="str">
        <f t="shared" ref="I73:P73" si="20">IF(I74&lt;I70,"See Line 16 Note"," ")</f>
        <v xml:space="preserve"> </v>
      </c>
      <c r="J73" s="1318" t="str">
        <f t="shared" si="20"/>
        <v xml:space="preserve"> </v>
      </c>
      <c r="K73" s="2849" t="str">
        <f t="shared" si="20"/>
        <v xml:space="preserve"> </v>
      </c>
      <c r="L73" s="2810" t="str">
        <f t="shared" si="20"/>
        <v xml:space="preserve"> </v>
      </c>
      <c r="M73" s="2824" t="str">
        <f t="shared" ref="M73" si="21">IF(M74&lt;M70,"See Line 16 Note"," ")</f>
        <v xml:space="preserve"> </v>
      </c>
      <c r="N73" s="2870" t="str">
        <f t="shared" si="20"/>
        <v xml:space="preserve"> </v>
      </c>
      <c r="O73" s="2887" t="str">
        <f t="shared" si="20"/>
        <v xml:space="preserve"> </v>
      </c>
      <c r="P73" s="1273" t="str">
        <f t="shared" si="20"/>
        <v xml:space="preserve"> </v>
      </c>
      <c r="Q73" s="2023" t="str">
        <f t="shared" ref="Q73:S73" si="22">IF(Q74&lt;Q70,"See Line 16 Note"," ")</f>
        <v xml:space="preserve"> </v>
      </c>
      <c r="R73" s="2936" t="str">
        <f t="shared" si="22"/>
        <v xml:space="preserve"> </v>
      </c>
      <c r="S73" s="2024" t="str">
        <f t="shared" si="22"/>
        <v xml:space="preserve"> </v>
      </c>
      <c r="T73" s="1317" t="str">
        <f t="shared" ref="T73:V73" si="23">IF(T74&lt;T70,"See Line 16 Note"," ")</f>
        <v xml:space="preserve"> </v>
      </c>
      <c r="U73" s="2956" t="str">
        <f t="shared" si="23"/>
        <v xml:space="preserve"> </v>
      </c>
      <c r="V73" s="1318" t="str">
        <f t="shared" si="23"/>
        <v xml:space="preserve"> </v>
      </c>
      <c r="W73" s="3075" t="str">
        <f t="shared" ref="W73:Y73" si="24">IF(W74&lt;W70,"See Line 16 Note"," ")</f>
        <v xml:space="preserve"> </v>
      </c>
      <c r="X73" s="3076" t="str">
        <f t="shared" si="24"/>
        <v xml:space="preserve"> </v>
      </c>
      <c r="Y73" s="1273" t="str">
        <f t="shared" si="24"/>
        <v xml:space="preserve"> </v>
      </c>
    </row>
    <row r="74" spans="1:25" ht="13.5" thickBot="1">
      <c r="A74" s="31" t="s">
        <v>2110</v>
      </c>
      <c r="B74" s="59" t="s">
        <v>1782</v>
      </c>
      <c r="G74" s="758" t="e">
        <f>IF(G70=0,0,IF('Data Entry - SOF'!#REF!+'Data Entry - SOF'!#REF!&gt;G61,G70,IF('Data Entry - SOF'!#REF!+'Data Entry - SOF'!#REF!&lt;0,0,('Data Entry - SOF'!#REF!+'Data Entry - SOF'!#REF!)/G61*G70)))</f>
        <v>#REF!</v>
      </c>
      <c r="H74" s="1278" t="e">
        <f>IF(H70=0,0,IF(#REF!+'Data Entry - SOF'!#REF!&gt;H61,H70,IF(#REF!+'Data Entry - SOF'!#REF!&lt;0,0,(#REF!+'Data Entry - SOF'!#REF!)/H61*H70)))</f>
        <v>#REF!</v>
      </c>
      <c r="I74" s="1319">
        <f>IF(I70=0,0,IF('Data Entry - SOF'!C80+'Data Entry - SOF'!C81&gt;I61,I70,IF('Data Entry - SOF'!C80+'Data Entry - SOF'!C81&lt;0,0,('Data Entry - SOF'!C80+'Data Entry - SOF'!C81)/I61*I70)))</f>
        <v>0</v>
      </c>
      <c r="J74" s="1319">
        <f>IF(J70=0,0,IF('Data Entry - SOF'!C80+'Data Entry - SOF'!C81&gt;J61,J70,IF('Data Entry - SOF'!C80+'Data Entry - SOF'!C81&lt;0,0,('Data Entry - SOF'!C80+'Data Entry - SOF'!C81)/J61*J70)))</f>
        <v>0</v>
      </c>
      <c r="K74" s="2850">
        <f>IF(K70=0,0,IF('Data Entry - SOF'!E80+'Data Entry - SOF'!E81&gt;K61,K70,IF('Data Entry - SOF'!E80+'Data Entry - SOF'!E81&lt;0,0,('Data Entry - SOF'!E80+'Data Entry - SOF'!E81)/K61*K70)))</f>
        <v>0</v>
      </c>
      <c r="L74" s="2834">
        <f>IF(L70=0,0,IF('Data Entry - SOF'!E80+'Data Entry - SOF'!E81&gt;L61,L70,IF('Data Entry - SOF'!E80+'Data Entry - SOF'!E81&lt;0,0,('Data Entry - SOF'!E80+'Data Entry - SOF'!E81)/L61*L70)))</f>
        <v>0</v>
      </c>
      <c r="M74" s="2825">
        <f>IF(M70=0,0,IF('Data Entry - SOF'!E80+'Data Entry - SOF'!E81&gt;M61,M70,IF('Data Entry - SOF'!E80+'Data Entry - SOF'!E81&lt;0,0,('Data Entry - SOF'!E80+'Data Entry - SOF'!E81)/M61*M70)))</f>
        <v>0</v>
      </c>
      <c r="N74" s="2871">
        <f>IF(N70=0,0,IF('Data Entry - SOF'!G80+'Data Entry - SOF'!G81&gt;N61,N70,IF('Data Entry - SOF'!G80+'Data Entry - SOF'!G81&lt;0,0,('Data Entry - SOF'!G80+'Data Entry - SOF'!G81)/N61*N70)))</f>
        <v>0</v>
      </c>
      <c r="O74" s="2888">
        <f>IF(O70=0,0,IF('Data Entry - SOF'!G80+'Data Entry - SOF'!G81&gt;O61,O70,IF('Data Entry - SOF'!G80+'Data Entry - SOF'!G81&lt;0,0,('Data Entry - SOF'!G80+'Data Entry - SOF'!G81)/O61*O70)))</f>
        <v>0</v>
      </c>
      <c r="P74" s="2897">
        <f>IF(P70=0,0,IF('Data Entry - SOF'!G80+'Data Entry - SOF'!G81&gt;P61,P70,IF('Data Entry - SOF'!G80+'Data Entry - SOF'!G81&lt;0,0,('Data Entry - SOF'!G80+'Data Entry - SOF'!G81)/P61*P70)))</f>
        <v>0</v>
      </c>
      <c r="Q74" s="2025">
        <f>IF(Q70=0,0,IF('Data Entry - SOF'!I80+'Data Entry - SOF'!I81&gt;Q61,Q70,IF('Data Entry - SOF'!I80+'Data Entry - SOF'!I81&lt;0,0,('Data Entry - SOF'!I80+'Data Entry - SOF'!I81)/Q61*Q70)))</f>
        <v>0</v>
      </c>
      <c r="R74" s="2937">
        <f>IF(R70=0,0,IF('Data Entry - SOF'!I80+'Data Entry - SOF'!I81&gt;R61,R70,IF('Data Entry - SOF'!I80+'Data Entry - SOF'!I81&lt;0,0,('Data Entry - SOF'!I80+'Data Entry - SOF'!I81)/R61*R70)))</f>
        <v>0</v>
      </c>
      <c r="S74" s="2911">
        <f>IF(S70=0,0,IF('Data Entry - SOF'!I80+'Data Entry - SOF'!I81&gt;S61,S70,IF('Data Entry - SOF'!I80+'Data Entry - SOF'!I81&lt;0,0,('Data Entry - SOF'!I80+'Data Entry - SOF'!I81)/S61*S70)))</f>
        <v>0</v>
      </c>
      <c r="T74" s="2324">
        <f>IF(T70=0,0,IF('Data Entry - SOF'!K80+'Data Entry - SOF'!K81&gt;T61,T70,IF('Data Entry - SOF'!K80+'Data Entry - SOF'!K81&lt;0,0,('Data Entry - SOF'!K80+'Data Entry - SOF'!K81)/T61*T70)))</f>
        <v>0</v>
      </c>
      <c r="U74" s="2957">
        <f>IF(U70=0,0,IF('Data Entry - SOF'!K80+'Data Entry - SOF'!K81&gt;U61,U70,IF('Data Entry - SOF'!K80+'Data Entry - SOF'!K81&lt;0,0,('Data Entry - SOF'!K80+'Data Entry - SOF'!K81)/U61*U70)))</f>
        <v>0</v>
      </c>
      <c r="V74" s="2920">
        <f>IF(V70=0,0,IF('Data Entry - SOF'!K80+'Data Entry - SOF'!K81&gt;V61,V70,IF('Data Entry - SOF'!K80+'Data Entry - SOF'!K81&lt;0,0,('Data Entry - SOF'!K80+'Data Entry - SOF'!K81)/V61*V70)))</f>
        <v>0</v>
      </c>
      <c r="W74" s="3077">
        <f>IF(W70=0,0,IF('Data Entry - SOF'!M80+'Data Entry - SOF'!M81&gt;W61,W70,IF('Data Entry - SOF'!M80+'Data Entry - SOF'!M81&lt;0,0,('Data Entry - SOF'!M80+'Data Entry - SOF'!M81)/W61*W70)))</f>
        <v>0</v>
      </c>
      <c r="X74" s="3078">
        <f>IF(X70=0,0,IF('Data Entry - SOF'!M80+'Data Entry - SOF'!M81&gt;X61,X70,IF('Data Entry - SOF'!M80+'Data Entry - SOF'!M81&lt;0,0,('Data Entry - SOF'!M80+'Data Entry - SOF'!M81)/X61*X70)))</f>
        <v>0</v>
      </c>
      <c r="Y74" s="2897">
        <f>IF(Y70=0,0,IF('Data Entry - SOF'!M80+'Data Entry - SOF'!M81&gt;Y61,Y70,IF('Data Entry - SOF'!M80+'Data Entry - SOF'!M81&lt;0,0,('Data Entry - SOF'!M80+'Data Entry - SOF'!M81)/Y61*Y70)))</f>
        <v>0</v>
      </c>
    </row>
    <row r="75" spans="1:25" ht="13.5" thickTop="1">
      <c r="A75" s="21"/>
      <c r="B75" s="57" t="s">
        <v>7348</v>
      </c>
    </row>
    <row r="76" spans="1:25">
      <c r="A76" s="21"/>
      <c r="B76" s="55" t="s">
        <v>7349</v>
      </c>
    </row>
    <row r="77" spans="1:25">
      <c r="A77" s="21"/>
      <c r="B77" s="55" t="s">
        <v>5948</v>
      </c>
    </row>
    <row r="78" spans="1:25">
      <c r="A78" s="21"/>
      <c r="B78" s="25"/>
    </row>
    <row r="80" spans="1:25">
      <c r="B80" s="68" t="s">
        <v>2228</v>
      </c>
    </row>
    <row r="81" spans="2:6">
      <c r="B81" s="68" t="s">
        <v>7347</v>
      </c>
    </row>
    <row r="82" spans="2:6">
      <c r="B82" s="68" t="s">
        <v>2844</v>
      </c>
    </row>
    <row r="83" spans="2:6">
      <c r="B83" s="68" t="s">
        <v>2845</v>
      </c>
    </row>
    <row r="84" spans="2:6" hidden="1">
      <c r="B84" s="68" t="s">
        <v>874</v>
      </c>
    </row>
    <row r="85" spans="2:6" hidden="1">
      <c r="B85" s="68" t="s">
        <v>795</v>
      </c>
    </row>
    <row r="86" spans="2:6" hidden="1">
      <c r="B86" s="68" t="s">
        <v>1470</v>
      </c>
    </row>
    <row r="87" spans="2:6" hidden="1">
      <c r="B87" s="68" t="s">
        <v>1843</v>
      </c>
    </row>
    <row r="88" spans="2:6">
      <c r="B88" s="68" t="s">
        <v>2846</v>
      </c>
    </row>
    <row r="89" spans="2:6">
      <c r="B89" s="68"/>
    </row>
    <row r="90" spans="2:6" hidden="1">
      <c r="C90" s="60" t="s">
        <v>1990</v>
      </c>
      <c r="D90" s="57"/>
      <c r="E90" s="57"/>
      <c r="F90" s="57"/>
    </row>
    <row r="91" spans="2:6" hidden="1">
      <c r="C91" s="60" t="s">
        <v>1434</v>
      </c>
      <c r="D91" s="57"/>
      <c r="E91" s="57"/>
      <c r="F91" s="57"/>
    </row>
    <row r="92" spans="2:6" hidden="1">
      <c r="C92" s="60" t="s">
        <v>1069</v>
      </c>
      <c r="D92" s="57"/>
      <c r="E92" s="57"/>
      <c r="F92" s="57"/>
    </row>
    <row r="93" spans="2:6" hidden="1">
      <c r="C93" s="60" t="s">
        <v>953</v>
      </c>
      <c r="D93" s="57"/>
      <c r="E93" s="57"/>
      <c r="F93" s="57"/>
    </row>
    <row r="94" spans="2:6" hidden="1">
      <c r="C94" s="60" t="s">
        <v>954</v>
      </c>
      <c r="D94" s="57"/>
      <c r="E94" s="57"/>
      <c r="F94" s="57"/>
    </row>
    <row r="95" spans="2:6" hidden="1">
      <c r="C95" s="61" t="s">
        <v>1677</v>
      </c>
      <c r="D95" s="62"/>
      <c r="E95" s="62"/>
      <c r="F95" s="62"/>
    </row>
    <row r="96" spans="2:6" hidden="1"/>
    <row r="97" spans="1:25" hidden="1"/>
    <row r="98" spans="1:25" s="83" customFormat="1" ht="25.4" hidden="1" customHeight="1" thickTop="1">
      <c r="A98" s="88" t="s">
        <v>1704</v>
      </c>
      <c r="B98" s="89"/>
      <c r="C98" s="89"/>
      <c r="D98" s="89"/>
      <c r="E98" s="89"/>
      <c r="F98" s="89"/>
      <c r="G98" s="752"/>
      <c r="H98" s="752"/>
      <c r="I98" s="652"/>
      <c r="J98" s="652"/>
      <c r="K98" s="658"/>
      <c r="L98" s="658"/>
      <c r="M98" s="658"/>
      <c r="N98" s="711"/>
      <c r="O98" s="711"/>
      <c r="P98" s="711"/>
      <c r="Q98" s="2026"/>
      <c r="R98" s="2026"/>
      <c r="S98" s="2026"/>
      <c r="T98" s="652"/>
      <c r="U98" s="652"/>
      <c r="V98" s="652"/>
      <c r="W98" s="711"/>
      <c r="X98" s="711"/>
      <c r="Y98" s="711"/>
    </row>
    <row r="99" spans="1:25" s="83" customFormat="1" ht="25.4" hidden="1" customHeight="1">
      <c r="A99" s="90" t="s">
        <v>2259</v>
      </c>
      <c r="B99" s="87"/>
      <c r="C99" s="87"/>
      <c r="D99" s="87"/>
      <c r="E99" s="87"/>
      <c r="F99" s="87"/>
      <c r="G99" s="752"/>
      <c r="H99" s="752"/>
      <c r="I99" s="652"/>
      <c r="J99" s="652"/>
      <c r="K99" s="658"/>
      <c r="L99" s="658"/>
      <c r="M99" s="658"/>
      <c r="N99" s="711"/>
      <c r="O99" s="711"/>
      <c r="P99" s="711"/>
      <c r="Q99" s="2026"/>
      <c r="R99" s="2026"/>
      <c r="S99" s="2026"/>
      <c r="T99" s="652"/>
      <c r="U99" s="652"/>
      <c r="V99" s="652"/>
      <c r="W99" s="711"/>
      <c r="X99" s="711"/>
      <c r="Y99" s="711"/>
    </row>
    <row r="100" spans="1:25" ht="13.5" hidden="1" thickBot="1">
      <c r="A100" s="91"/>
      <c r="B100" s="92"/>
      <c r="C100" s="92"/>
      <c r="D100" s="92"/>
      <c r="E100" s="92"/>
      <c r="F100" s="92"/>
    </row>
    <row r="101" spans="1:25" hidden="1"/>
    <row r="102" spans="1:25" hidden="1">
      <c r="A102" s="59" t="s">
        <v>1697</v>
      </c>
    </row>
    <row r="103" spans="1:25" hidden="1">
      <c r="A103" s="59" t="s">
        <v>328</v>
      </c>
    </row>
    <row r="104" spans="1:25" hidden="1"/>
    <row r="105" spans="1:25" hidden="1">
      <c r="A105" s="57" t="s">
        <v>1399</v>
      </c>
    </row>
    <row r="106" spans="1:25" hidden="1">
      <c r="A106" s="31" t="s">
        <v>2063</v>
      </c>
      <c r="B106" t="s">
        <v>824</v>
      </c>
    </row>
    <row r="107" spans="1:25" hidden="1">
      <c r="A107" s="31"/>
    </row>
    <row r="108" spans="1:25" hidden="1">
      <c r="A108" s="31" t="s">
        <v>2064</v>
      </c>
      <c r="B108" t="s">
        <v>1228</v>
      </c>
    </row>
    <row r="109" spans="1:25" hidden="1">
      <c r="A109" s="21"/>
    </row>
    <row r="110" spans="1:25" hidden="1">
      <c r="A110" s="31" t="s">
        <v>2065</v>
      </c>
      <c r="B110" t="s">
        <v>1229</v>
      </c>
    </row>
    <row r="111" spans="1:25" hidden="1">
      <c r="A111" s="31"/>
    </row>
    <row r="112" spans="1:25" hidden="1">
      <c r="A112" s="31" t="s">
        <v>862</v>
      </c>
      <c r="B112" t="s">
        <v>822</v>
      </c>
    </row>
    <row r="113" spans="1:4" hidden="1">
      <c r="A113" s="31"/>
      <c r="B113" t="s">
        <v>854</v>
      </c>
    </row>
    <row r="114" spans="1:4" hidden="1">
      <c r="A114" s="31"/>
    </row>
    <row r="115" spans="1:4" hidden="1">
      <c r="A115" s="31" t="s">
        <v>863</v>
      </c>
      <c r="B115" s="68" t="s">
        <v>1017</v>
      </c>
    </row>
    <row r="116" spans="1:4" hidden="1">
      <c r="A116" s="21"/>
      <c r="B116" s="68" t="s">
        <v>720</v>
      </c>
    </row>
    <row r="117" spans="1:4" hidden="1">
      <c r="A117" s="31" t="s">
        <v>865</v>
      </c>
      <c r="B117" t="s">
        <v>1018</v>
      </c>
    </row>
    <row r="118" spans="1:4" hidden="1">
      <c r="A118" s="31"/>
    </row>
    <row r="119" spans="1:4" hidden="1">
      <c r="A119" s="31" t="s">
        <v>866</v>
      </c>
      <c r="B119" t="s">
        <v>1019</v>
      </c>
    </row>
    <row r="120" spans="1:4" hidden="1">
      <c r="A120" s="21"/>
    </row>
    <row r="121" spans="1:4" hidden="1">
      <c r="A121" s="31" t="s">
        <v>867</v>
      </c>
      <c r="B121" t="s">
        <v>1020</v>
      </c>
    </row>
    <row r="122" spans="1:4" hidden="1">
      <c r="A122" s="31"/>
    </row>
    <row r="123" spans="1:4" hidden="1">
      <c r="A123" s="31" t="s">
        <v>109</v>
      </c>
      <c r="B123" t="s">
        <v>2166</v>
      </c>
    </row>
    <row r="124" spans="1:4" hidden="1">
      <c r="A124" s="21"/>
    </row>
    <row r="125" spans="1:4" ht="15.5" hidden="1">
      <c r="A125" s="22" t="s">
        <v>861</v>
      </c>
    </row>
    <row r="126" spans="1:4" hidden="1">
      <c r="A126" s="21"/>
    </row>
    <row r="127" spans="1:4" ht="15.5" hidden="1">
      <c r="A127" s="23" t="s">
        <v>96</v>
      </c>
      <c r="B127" s="18"/>
      <c r="C127" s="18"/>
      <c r="D127" s="9"/>
    </row>
    <row r="128" spans="1:4" ht="15.5" hidden="1">
      <c r="A128" s="22"/>
    </row>
    <row r="129" spans="1:4" hidden="1">
      <c r="A129" s="40" t="s">
        <v>110</v>
      </c>
      <c r="B129" t="s">
        <v>823</v>
      </c>
    </row>
    <row r="130" spans="1:4" hidden="1">
      <c r="A130" s="40"/>
      <c r="B130" t="s">
        <v>2183</v>
      </c>
    </row>
    <row r="131" spans="1:4" hidden="1">
      <c r="A131" s="40"/>
      <c r="B131" t="s">
        <v>1143</v>
      </c>
    </row>
    <row r="132" spans="1:4" ht="15.5" hidden="1">
      <c r="A132" s="22"/>
    </row>
    <row r="133" spans="1:4" hidden="1">
      <c r="A133" s="31" t="s">
        <v>111</v>
      </c>
      <c r="B133" t="s">
        <v>2514</v>
      </c>
    </row>
    <row r="134" spans="1:4" hidden="1">
      <c r="A134" s="31"/>
      <c r="B134" t="s">
        <v>704</v>
      </c>
    </row>
    <row r="135" spans="1:4" hidden="1">
      <c r="A135" s="31"/>
      <c r="B135" t="s">
        <v>27</v>
      </c>
    </row>
    <row r="136" spans="1:4" hidden="1">
      <c r="A136" s="21"/>
    </row>
    <row r="137" spans="1:4" hidden="1">
      <c r="A137" s="31" t="s">
        <v>112</v>
      </c>
      <c r="B137" s="38" t="s">
        <v>507</v>
      </c>
    </row>
    <row r="138" spans="1:4" hidden="1">
      <c r="A138" s="21"/>
    </row>
    <row r="139" spans="1:4" ht="15.5" hidden="1">
      <c r="A139" s="23" t="s">
        <v>864</v>
      </c>
      <c r="B139" s="18"/>
      <c r="C139" s="9"/>
      <c r="D139" s="9"/>
    </row>
    <row r="140" spans="1:4" hidden="1">
      <c r="A140" s="21"/>
    </row>
    <row r="141" spans="1:4" hidden="1">
      <c r="A141" s="31" t="s">
        <v>1424</v>
      </c>
      <c r="B141" s="59" t="s">
        <v>1447</v>
      </c>
    </row>
    <row r="142" spans="1:4" hidden="1">
      <c r="A142" s="31"/>
      <c r="B142" s="57"/>
    </row>
    <row r="143" spans="1:4" hidden="1">
      <c r="A143" s="31" t="s">
        <v>6</v>
      </c>
      <c r="B143" s="59" t="s">
        <v>2170</v>
      </c>
    </row>
    <row r="144" spans="1:4" hidden="1">
      <c r="A144" s="31"/>
      <c r="B144" s="57" t="s">
        <v>133</v>
      </c>
    </row>
    <row r="145" spans="1:6" hidden="1">
      <c r="A145" s="31"/>
      <c r="B145" s="57" t="s">
        <v>2488</v>
      </c>
    </row>
    <row r="146" spans="1:6" hidden="1">
      <c r="A146" s="31"/>
      <c r="B146" s="57"/>
    </row>
    <row r="147" spans="1:6" ht="16" hidden="1" thickBot="1">
      <c r="A147" s="31"/>
      <c r="B147" s="65" t="s">
        <v>1698</v>
      </c>
      <c r="C147" s="66"/>
      <c r="D147" s="66"/>
      <c r="E147" s="66"/>
      <c r="F147" s="67"/>
    </row>
    <row r="148" spans="1:6" hidden="1">
      <c r="A148" s="31"/>
      <c r="B148" s="57"/>
    </row>
    <row r="149" spans="1:6" hidden="1">
      <c r="A149" s="31"/>
      <c r="B149" s="54" t="e">
        <f>IF('Data Entry - SOF'!#REF!&lt;#REF!,"WARNING: LOCAL SHARE OF EDA IS MORE THAN I&amp;S TAX COLLECTIONS."," ")</f>
        <v>#REF!</v>
      </c>
    </row>
    <row r="150" spans="1:6" hidden="1">
      <c r="A150" s="31"/>
      <c r="B150" s="54" t="e">
        <f>IF(B149&lt;&gt;" ", "DISTRICT WILL ONLY GET PROPORTIONAL STATE SHARE."," ")</f>
        <v>#REF!</v>
      </c>
    </row>
    <row r="151" spans="1:6" hidden="1">
      <c r="A151" s="21"/>
    </row>
    <row r="152" spans="1:6" hidden="1">
      <c r="A152" s="31" t="s">
        <v>2109</v>
      </c>
      <c r="B152" s="59" t="s">
        <v>2152</v>
      </c>
    </row>
    <row r="153" spans="1:6" hidden="1">
      <c r="A153" s="21"/>
    </row>
    <row r="154" spans="1:6" hidden="1">
      <c r="A154" s="31" t="s">
        <v>2110</v>
      </c>
      <c r="B154" s="59" t="s">
        <v>2180</v>
      </c>
    </row>
    <row r="155" spans="1:6" hidden="1">
      <c r="A155" s="21"/>
      <c r="B155" s="59" t="s">
        <v>475</v>
      </c>
    </row>
    <row r="156" spans="1:6" hidden="1">
      <c r="A156" s="21"/>
      <c r="B156" s="57" t="s">
        <v>94</v>
      </c>
    </row>
    <row r="157" spans="1:6" hidden="1">
      <c r="A157" s="21"/>
      <c r="B157" s="57" t="s">
        <v>1106</v>
      </c>
    </row>
    <row r="158" spans="1:6" hidden="1"/>
    <row r="159" spans="1:6" hidden="1"/>
    <row r="160" spans="1:6" hidden="1">
      <c r="B160" s="68" t="s">
        <v>7</v>
      </c>
    </row>
    <row r="161" spans="2:2" hidden="1">
      <c r="B161" s="68" t="s">
        <v>1168</v>
      </c>
    </row>
    <row r="162" spans="2:2" hidden="1">
      <c r="B162" s="68" t="s">
        <v>8</v>
      </c>
    </row>
    <row r="163" spans="2:2" hidden="1">
      <c r="B163" s="68" t="s">
        <v>1304</v>
      </c>
    </row>
    <row r="164" spans="2:2" hidden="1">
      <c r="B164" s="68" t="s">
        <v>874</v>
      </c>
    </row>
    <row r="165" spans="2:2" hidden="1">
      <c r="B165" s="68" t="s">
        <v>795</v>
      </c>
    </row>
    <row r="166" spans="2:2" hidden="1">
      <c r="B166" s="68" t="s">
        <v>1470</v>
      </c>
    </row>
    <row r="167" spans="2:2" hidden="1">
      <c r="B167" s="68" t="s">
        <v>1843</v>
      </c>
    </row>
    <row r="168" spans="2:2" hidden="1">
      <c r="B168" s="68"/>
    </row>
    <row r="169" spans="2:2" hidden="1">
      <c r="B169" s="25" t="s">
        <v>1703</v>
      </c>
    </row>
    <row r="170" spans="2:2" hidden="1">
      <c r="B170" s="25" t="s">
        <v>1768</v>
      </c>
    </row>
    <row r="171" spans="2:2" hidden="1">
      <c r="B171" s="25" t="s">
        <v>108</v>
      </c>
    </row>
    <row r="172" spans="2:2" hidden="1">
      <c r="B172" s="25" t="s">
        <v>1753</v>
      </c>
    </row>
    <row r="173" spans="2:2" hidden="1"/>
    <row r="174" spans="2:2" hidden="1"/>
  </sheetData>
  <pageMargins left="0.25" right="0.25" top="0.75" bottom="0.75" header="0.3" footer="0.3"/>
  <pageSetup scale="95" fitToWidth="2" fitToHeight="2" orientation="portrait" r:id="rId1"/>
  <headerFooter alignWithMargins="0"/>
  <rowBreaks count="3" manualBreakCount="3">
    <brk id="41" max="11" man="1"/>
    <brk id="77" max="11" man="1"/>
    <brk id="96" max="7"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BS43"/>
  <sheetViews>
    <sheetView workbookViewId="0">
      <selection activeCell="C13" sqref="C13"/>
    </sheetView>
  </sheetViews>
  <sheetFormatPr defaultRowHeight="14"/>
  <cols>
    <col min="1" max="1" width="69.81640625" style="2574" customWidth="1"/>
    <col min="2" max="2" width="18.54296875" style="2573" hidden="1" customWidth="1"/>
    <col min="3" max="8" width="18.54296875" style="2573" customWidth="1"/>
    <col min="9" max="10" width="15.54296875" style="2574" customWidth="1"/>
    <col min="11" max="13" width="8.7265625" style="2574"/>
    <col min="14" max="14" width="14.90625" style="2574" customWidth="1"/>
    <col min="15" max="15" width="8.7265625" style="2572"/>
    <col min="16" max="18" width="8.7265625" style="2574"/>
    <col min="19" max="19" width="11.6328125" style="2574" customWidth="1"/>
    <col min="20" max="20" width="44.54296875" style="2574" customWidth="1"/>
    <col min="21" max="21" width="1.81640625" style="2574" customWidth="1"/>
    <col min="22" max="25" width="8.7265625" style="2574"/>
    <col min="26" max="26" width="12.6328125" style="2574" customWidth="1"/>
    <col min="27" max="68" width="8.7265625" style="2574"/>
    <col min="69" max="69" width="14.54296875" style="2574" customWidth="1"/>
    <col min="70" max="70" width="67.90625" style="2574" customWidth="1"/>
    <col min="71" max="16384" width="8.7265625" style="2574"/>
  </cols>
  <sheetData>
    <row r="1" spans="1:15" s="2570" customFormat="1">
      <c r="A1" s="2570" t="s">
        <v>10545</v>
      </c>
      <c r="B1" s="2571"/>
      <c r="C1" s="2571"/>
      <c r="D1" s="2571"/>
      <c r="E1" s="2571"/>
      <c r="F1" s="2571"/>
      <c r="G1" s="2571"/>
      <c r="H1" s="2571"/>
      <c r="O1" s="2572"/>
    </row>
    <row r="2" spans="1:15" s="2570" customFormat="1">
      <c r="A2" s="2570" t="s">
        <v>10546</v>
      </c>
      <c r="B2" s="2571"/>
      <c r="C2" s="2571"/>
      <c r="D2" s="2571"/>
      <c r="E2" s="2571"/>
      <c r="F2" s="2571"/>
      <c r="G2" s="2571"/>
      <c r="H2" s="2571"/>
      <c r="O2" s="2572"/>
    </row>
    <row r="3" spans="1:15" s="2570" customFormat="1">
      <c r="A3" s="2570" t="s">
        <v>10547</v>
      </c>
      <c r="B3" s="2571"/>
      <c r="C3" s="2571"/>
      <c r="D3" s="2571"/>
      <c r="E3" s="2571"/>
      <c r="F3" s="2571"/>
      <c r="G3" s="2571"/>
      <c r="H3" s="2571"/>
      <c r="O3" s="2572"/>
    </row>
    <row r="4" spans="1:15" s="2570" customFormat="1">
      <c r="A4" s="2570" t="s">
        <v>10555</v>
      </c>
      <c r="B4" s="2571"/>
      <c r="C4" s="2571"/>
      <c r="D4" s="2571"/>
      <c r="E4" s="2571"/>
      <c r="F4" s="2571"/>
      <c r="G4" s="2571"/>
      <c r="H4" s="2571"/>
      <c r="O4" s="2572"/>
    </row>
    <row r="5" spans="1:15" s="2570" customFormat="1">
      <c r="B5" s="2571"/>
      <c r="C5" s="2571"/>
      <c r="D5" s="2571"/>
      <c r="E5" s="2571"/>
      <c r="F5" s="2571"/>
      <c r="G5" s="2571"/>
      <c r="H5" s="2571"/>
      <c r="O5" s="2572"/>
    </row>
    <row r="6" spans="1:15" s="2570" customFormat="1">
      <c r="B6" s="2571"/>
      <c r="C6" s="2571"/>
      <c r="D6" s="2571"/>
      <c r="E6" s="2571"/>
      <c r="F6" s="2571"/>
      <c r="G6" s="2571"/>
      <c r="H6" s="2571"/>
      <c r="O6" s="2572"/>
    </row>
    <row r="7" spans="1:15" s="2570" customFormat="1">
      <c r="A7" s="2570" t="s">
        <v>10556</v>
      </c>
      <c r="B7" s="2571"/>
      <c r="C7" s="2571"/>
      <c r="D7" s="2571"/>
      <c r="E7" s="2571"/>
      <c r="F7" s="2571"/>
      <c r="G7" s="2571"/>
      <c r="H7" s="2571"/>
      <c r="O7" s="2572"/>
    </row>
    <row r="8" spans="1:15">
      <c r="A8" s="2570" t="s">
        <v>10557</v>
      </c>
    </row>
    <row r="9" spans="1:15">
      <c r="A9" s="2570" t="s">
        <v>10553</v>
      </c>
    </row>
    <row r="10" spans="1:15">
      <c r="A10" s="2570"/>
    </row>
    <row r="11" spans="1:15">
      <c r="A11" s="2625" t="s">
        <v>10564</v>
      </c>
    </row>
    <row r="12" spans="1:15">
      <c r="A12" s="2625" t="s">
        <v>10563</v>
      </c>
    </row>
    <row r="13" spans="1:15">
      <c r="A13" s="2570"/>
      <c r="D13" s="2602" t="s">
        <v>10511</v>
      </c>
      <c r="E13" s="2602" t="s">
        <v>10511</v>
      </c>
      <c r="F13" s="2602" t="s">
        <v>10511</v>
      </c>
      <c r="G13" s="2602" t="s">
        <v>10511</v>
      </c>
      <c r="H13" s="2602" t="s">
        <v>10511</v>
      </c>
    </row>
    <row r="14" spans="1:15">
      <c r="A14" s="1221"/>
      <c r="B14" s="2602" t="s">
        <v>10495</v>
      </c>
      <c r="C14" s="2602" t="s">
        <v>10496</v>
      </c>
      <c r="D14" s="2602" t="s">
        <v>10497</v>
      </c>
      <c r="E14" s="2602" t="s">
        <v>10498</v>
      </c>
      <c r="F14" s="2602" t="s">
        <v>10499</v>
      </c>
      <c r="G14" s="2602" t="s">
        <v>10500</v>
      </c>
      <c r="H14" s="2602" t="s">
        <v>11051</v>
      </c>
    </row>
    <row r="15" spans="1:15">
      <c r="B15" s="2575"/>
      <c r="C15" s="2622"/>
      <c r="D15" s="2576" t="s">
        <v>10559</v>
      </c>
      <c r="E15" s="2576" t="s">
        <v>10559</v>
      </c>
      <c r="F15" s="2576" t="s">
        <v>10559</v>
      </c>
      <c r="G15" s="2576" t="s">
        <v>10559</v>
      </c>
      <c r="H15" s="2576" t="s">
        <v>10559</v>
      </c>
      <c r="I15" s="2587" t="s">
        <v>10560</v>
      </c>
    </row>
    <row r="16" spans="1:15" s="2577" customFormat="1" ht="13">
      <c r="B16" s="2601"/>
      <c r="C16" s="2640"/>
      <c r="D16" s="2579">
        <v>0</v>
      </c>
      <c r="E16" s="2580">
        <v>0</v>
      </c>
      <c r="F16" s="2580">
        <v>0</v>
      </c>
      <c r="G16" s="2580">
        <v>0</v>
      </c>
      <c r="H16" s="2580">
        <v>0</v>
      </c>
      <c r="I16" s="2581" t="s">
        <v>10561</v>
      </c>
      <c r="O16" s="2582"/>
    </row>
    <row r="17" spans="1:71" s="2577" customFormat="1" ht="13">
      <c r="B17" s="2578" t="s">
        <v>10544</v>
      </c>
      <c r="C17" s="2578" t="s">
        <v>10490</v>
      </c>
      <c r="D17" s="2599" t="s">
        <v>10489</v>
      </c>
      <c r="E17" s="2599" t="s">
        <v>10489</v>
      </c>
      <c r="F17" s="2599" t="s">
        <v>10489</v>
      </c>
      <c r="G17" s="2599" t="s">
        <v>10489</v>
      </c>
      <c r="H17" s="2599" t="s">
        <v>10489</v>
      </c>
      <c r="I17" s="2581"/>
      <c r="O17" s="2582"/>
    </row>
    <row r="18" spans="1:71" s="2577" customFormat="1" ht="13">
      <c r="A18" s="2597" t="s">
        <v>10475</v>
      </c>
      <c r="B18" s="2583" t="s">
        <v>10476</v>
      </c>
      <c r="C18" s="2583" t="s">
        <v>10476</v>
      </c>
      <c r="D18" s="2600" t="s">
        <v>10491</v>
      </c>
      <c r="E18" s="2600" t="s">
        <v>10492</v>
      </c>
      <c r="F18" s="2600" t="s">
        <v>10493</v>
      </c>
      <c r="G18" s="2600" t="s">
        <v>10494</v>
      </c>
      <c r="H18" s="2600" t="s">
        <v>11052</v>
      </c>
      <c r="O18" s="2582"/>
    </row>
    <row r="19" spans="1:71" ht="14.5">
      <c r="A19" s="2584" t="s">
        <v>10548</v>
      </c>
      <c r="B19" s="2621">
        <f>IF(ISNA('DE1'!N52),0,'DE1'!N52)</f>
        <v>0</v>
      </c>
      <c r="C19" s="2606">
        <f>IF(ISNA('DE1'!R52),0,'DE1'!R52)</f>
        <v>0</v>
      </c>
      <c r="D19" s="2585">
        <f t="shared" ref="D19:H19" si="0">(C19*D16)+C19</f>
        <v>0</v>
      </c>
      <c r="E19" s="2585">
        <f t="shared" si="0"/>
        <v>0</v>
      </c>
      <c r="F19" s="2585">
        <f t="shared" si="0"/>
        <v>0</v>
      </c>
      <c r="G19" s="2585">
        <f t="shared" si="0"/>
        <v>0</v>
      </c>
      <c r="H19" s="2585">
        <f t="shared" si="0"/>
        <v>0</v>
      </c>
      <c r="I19" s="1222" t="s">
        <v>12504</v>
      </c>
      <c r="V19" s="2588" t="s">
        <v>10483</v>
      </c>
      <c r="AA19" s="2614" t="s">
        <v>10562</v>
      </c>
    </row>
    <row r="20" spans="1:71" s="2589" customFormat="1" ht="14.5">
      <c r="B20" s="2616"/>
      <c r="C20" s="2590"/>
      <c r="D20" s="2590"/>
      <c r="E20" s="2590"/>
      <c r="F20" s="2590"/>
      <c r="G20" s="2590"/>
      <c r="H20" s="2590"/>
      <c r="I20" s="2617"/>
      <c r="O20" s="2618"/>
      <c r="V20" s="2619"/>
      <c r="AA20" s="2620"/>
    </row>
    <row r="21" spans="1:71" s="2589" customFormat="1" ht="14.5">
      <c r="B21" s="2616"/>
      <c r="C21" s="2622"/>
      <c r="D21" s="2622" t="s">
        <v>10552</v>
      </c>
      <c r="E21" s="2622" t="s">
        <v>10552</v>
      </c>
      <c r="F21" s="2622" t="s">
        <v>10552</v>
      </c>
      <c r="G21" s="2622" t="s">
        <v>10552</v>
      </c>
      <c r="H21" s="2622" t="s">
        <v>10552</v>
      </c>
      <c r="I21" s="2617"/>
      <c r="O21" s="2618"/>
      <c r="V21" s="2619"/>
      <c r="AA21" s="2620"/>
    </row>
    <row r="22" spans="1:71" s="2589" customFormat="1" ht="14.5">
      <c r="B22" s="2616"/>
      <c r="C22" s="2640"/>
      <c r="D22" s="2580">
        <v>0</v>
      </c>
      <c r="E22" s="2580">
        <v>0</v>
      </c>
      <c r="F22" s="2580">
        <v>0</v>
      </c>
      <c r="G22" s="2580">
        <v>0</v>
      </c>
      <c r="H22" s="2580">
        <v>0</v>
      </c>
      <c r="I22" s="2581" t="s">
        <v>10554</v>
      </c>
      <c r="O22" s="2618"/>
      <c r="V22" s="2619"/>
      <c r="AA22" s="2620"/>
    </row>
    <row r="23" spans="1:71" s="2589" customFormat="1" ht="14.5">
      <c r="B23" s="2616"/>
      <c r="C23" s="2578" t="s">
        <v>10490</v>
      </c>
      <c r="D23" s="2623" t="s">
        <v>10489</v>
      </c>
      <c r="E23" s="2623" t="s">
        <v>10489</v>
      </c>
      <c r="F23" s="2623" t="s">
        <v>10489</v>
      </c>
      <c r="G23" s="2623" t="s">
        <v>10489</v>
      </c>
      <c r="H23" s="2623" t="s">
        <v>10489</v>
      </c>
      <c r="I23" s="2617"/>
      <c r="O23" s="2618"/>
      <c r="V23" s="2619"/>
      <c r="AA23" s="2620"/>
    </row>
    <row r="24" spans="1:71" s="2589" customFormat="1" ht="14.5">
      <c r="B24" s="2616"/>
      <c r="C24" s="2583" t="s">
        <v>10476</v>
      </c>
      <c r="D24" s="2624" t="s">
        <v>10491</v>
      </c>
      <c r="E24" s="2624" t="s">
        <v>10492</v>
      </c>
      <c r="F24" s="2624" t="s">
        <v>10493</v>
      </c>
      <c r="G24" s="2624" t="s">
        <v>10494</v>
      </c>
      <c r="H24" s="2624" t="s">
        <v>11052</v>
      </c>
      <c r="I24" s="2617"/>
      <c r="O24" s="2618"/>
      <c r="V24" s="2619"/>
      <c r="AA24" s="2620"/>
    </row>
    <row r="25" spans="1:71" s="2589" customFormat="1" ht="14.5">
      <c r="A25" s="2584" t="s">
        <v>10482</v>
      </c>
      <c r="B25" s="2621">
        <f>IF(ISNA('DE1'!N53),0,'DE1'!N53)</f>
        <v>0</v>
      </c>
      <c r="C25" s="2606">
        <f>IF(ISNA('DE1'!R53),0,'DE1'!R53)</f>
        <v>0</v>
      </c>
      <c r="D25" s="2586">
        <v>0</v>
      </c>
      <c r="E25" s="2586">
        <v>0</v>
      </c>
      <c r="F25" s="2586">
        <v>0</v>
      </c>
      <c r="G25" s="2586">
        <v>0</v>
      </c>
      <c r="H25" s="2586">
        <v>0</v>
      </c>
      <c r="I25" s="2587" t="s">
        <v>11053</v>
      </c>
      <c r="O25" s="2618"/>
      <c r="V25" s="2619"/>
      <c r="AA25" s="2620"/>
      <c r="BS25" s="123" t="s">
        <v>10509</v>
      </c>
    </row>
    <row r="26" spans="1:71" s="2589" customFormat="1" ht="14.5">
      <c r="A26" s="2607" t="s">
        <v>10530</v>
      </c>
      <c r="B26" s="2605">
        <f>'Data Entry - SOF'!C138</f>
        <v>0</v>
      </c>
      <c r="C26" s="2585">
        <f>'Data Entry - SOF'!C63</f>
        <v>0</v>
      </c>
      <c r="D26" s="2585">
        <f>(D22*C26)+C26</f>
        <v>0</v>
      </c>
      <c r="E26" s="2585">
        <f t="shared" ref="E26:H26" si="1">(E22*D26)+D26</f>
        <v>0</v>
      </c>
      <c r="F26" s="2585">
        <f t="shared" si="1"/>
        <v>0</v>
      </c>
      <c r="G26" s="2585">
        <f t="shared" si="1"/>
        <v>0</v>
      </c>
      <c r="H26" s="2585">
        <f t="shared" si="1"/>
        <v>0</v>
      </c>
      <c r="I26" s="1222" t="s">
        <v>12505</v>
      </c>
      <c r="O26" s="2618"/>
      <c r="V26" s="2619"/>
      <c r="AA26" s="2620"/>
    </row>
    <row r="27" spans="1:71" ht="14.5">
      <c r="A27" s="2607" t="s">
        <v>10531</v>
      </c>
      <c r="B27" s="2605">
        <f>'Data Entry - SOF'!C140</f>
        <v>0</v>
      </c>
      <c r="C27" s="2585">
        <f>'Data Entry - SOF'!C64</f>
        <v>0</v>
      </c>
      <c r="D27" s="2585">
        <f>D25+D26</f>
        <v>0</v>
      </c>
      <c r="E27" s="2585">
        <f>E25+E26</f>
        <v>0</v>
      </c>
      <c r="F27" s="2585">
        <f>F25+F26</f>
        <v>0</v>
      </c>
      <c r="G27" s="2585">
        <f>G25+G26</f>
        <v>0</v>
      </c>
      <c r="H27" s="2585">
        <f>H25+H26</f>
        <v>0</v>
      </c>
      <c r="I27" s="1222" t="s">
        <v>12506</v>
      </c>
      <c r="V27" s="2588"/>
      <c r="AA27" s="2614"/>
    </row>
    <row r="28" spans="1:71">
      <c r="A28" s="2584" t="s">
        <v>10532</v>
      </c>
      <c r="B28" s="2605">
        <f>'Data Entry - SOF'!C137</f>
        <v>0</v>
      </c>
      <c r="C28" s="2606">
        <f>IF(ISNA('DE1'!R51),0,'DE1'!R51)</f>
        <v>0</v>
      </c>
      <c r="D28" s="2585">
        <f>(C28-C26)+D26</f>
        <v>0</v>
      </c>
      <c r="E28" s="2585">
        <f t="shared" ref="E28:H28" si="2">(D28-D26)+E26</f>
        <v>0</v>
      </c>
      <c r="F28" s="2585">
        <f t="shared" si="2"/>
        <v>0</v>
      </c>
      <c r="G28" s="2585">
        <f t="shared" si="2"/>
        <v>0</v>
      </c>
      <c r="H28" s="2585">
        <f t="shared" si="2"/>
        <v>0</v>
      </c>
      <c r="I28" s="1222" t="s">
        <v>12507</v>
      </c>
    </row>
    <row r="29" spans="1:71" s="1221" customFormat="1" ht="14.5">
      <c r="A29" s="2584" t="s">
        <v>10533</v>
      </c>
      <c r="B29" s="2605">
        <f>'Data Entry - SOF'!C139</f>
        <v>0</v>
      </c>
      <c r="C29" s="2585">
        <f>'Data Entry - SOF'!C65</f>
        <v>0</v>
      </c>
      <c r="D29" s="2585">
        <f>(C29-C26)+D26</f>
        <v>0</v>
      </c>
      <c r="E29" s="2585">
        <f>(D29-D26)+E26</f>
        <v>0</v>
      </c>
      <c r="F29" s="2585">
        <f>(E29-E26)+F26</f>
        <v>0</v>
      </c>
      <c r="G29" s="2585">
        <f>(F29-F26)+G26</f>
        <v>0</v>
      </c>
      <c r="H29" s="2585">
        <f>(G29-G26)+H26</f>
        <v>0</v>
      </c>
      <c r="I29" s="1222" t="s">
        <v>12508</v>
      </c>
      <c r="R29" s="2588"/>
    </row>
    <row r="30" spans="1:71" s="1221" customFormat="1" ht="14.5">
      <c r="A30" s="2589"/>
      <c r="B30" s="2590"/>
      <c r="C30" s="2590"/>
      <c r="D30" s="2590"/>
      <c r="E30" s="2590"/>
      <c r="F30" s="2590"/>
      <c r="G30" s="2590"/>
      <c r="H30" s="2590"/>
      <c r="I30" s="2574"/>
      <c r="O30" s="2588"/>
      <c r="R30" s="2574"/>
      <c r="U30" s="2574"/>
    </row>
    <row r="31" spans="1:71" ht="14.5">
      <c r="I31" s="2591"/>
      <c r="O31" s="2588"/>
    </row>
    <row r="32" spans="1:71" ht="14.5">
      <c r="A32" s="2598" t="s">
        <v>10484</v>
      </c>
      <c r="B32" s="2592" t="s">
        <v>10485</v>
      </c>
      <c r="C32" s="2592" t="s">
        <v>10477</v>
      </c>
      <c r="D32" s="2592" t="s">
        <v>10478</v>
      </c>
      <c r="E32" s="2592" t="s">
        <v>10479</v>
      </c>
      <c r="F32" s="2592" t="s">
        <v>10480</v>
      </c>
      <c r="G32" s="2592" t="s">
        <v>10481</v>
      </c>
      <c r="H32" s="2592" t="s">
        <v>11054</v>
      </c>
      <c r="O32" s="2588"/>
    </row>
    <row r="33" spans="1:15">
      <c r="A33" s="2584" t="s">
        <v>10486</v>
      </c>
      <c r="B33" s="2593">
        <f t="shared" ref="B33:G33" si="3">B19*(40/25)</f>
        <v>0</v>
      </c>
      <c r="C33" s="2593">
        <f t="shared" si="3"/>
        <v>0</v>
      </c>
      <c r="D33" s="2593">
        <f t="shared" si="3"/>
        <v>0</v>
      </c>
      <c r="E33" s="2593">
        <f t="shared" si="3"/>
        <v>0</v>
      </c>
      <c r="F33" s="2593">
        <f t="shared" si="3"/>
        <v>0</v>
      </c>
      <c r="G33" s="2593">
        <f t="shared" si="3"/>
        <v>0</v>
      </c>
      <c r="H33" s="2593">
        <f t="shared" ref="H33" si="4">H19*(40/25)</f>
        <v>0</v>
      </c>
    </row>
    <row r="34" spans="1:15">
      <c r="A34" s="2584" t="s">
        <v>10487</v>
      </c>
      <c r="B34" s="2593">
        <f>B33-B19</f>
        <v>0</v>
      </c>
      <c r="C34" s="2593">
        <f>C33-C19</f>
        <v>0</v>
      </c>
      <c r="D34" s="2593">
        <f>(D16*C34)+C34</f>
        <v>0</v>
      </c>
      <c r="E34" s="2593">
        <f>(E16*D34)+D34</f>
        <v>0</v>
      </c>
      <c r="F34" s="2593">
        <f>(F16*E34)+E34</f>
        <v>0</v>
      </c>
      <c r="G34" s="2593">
        <f>(G16*F34)+F34</f>
        <v>0</v>
      </c>
      <c r="H34" s="2593">
        <f>(H16*G34)+G34</f>
        <v>0</v>
      </c>
    </row>
    <row r="35" spans="1:15">
      <c r="A35" s="2615" t="s">
        <v>10540</v>
      </c>
      <c r="B35" s="2603">
        <f t="shared" ref="B35:G35" si="5">B26-B34</f>
        <v>0</v>
      </c>
      <c r="C35" s="2603">
        <f t="shared" si="5"/>
        <v>0</v>
      </c>
      <c r="D35" s="2603">
        <f t="shared" si="5"/>
        <v>0</v>
      </c>
      <c r="E35" s="2603">
        <f t="shared" si="5"/>
        <v>0</v>
      </c>
      <c r="F35" s="2603">
        <f t="shared" si="5"/>
        <v>0</v>
      </c>
      <c r="G35" s="2603">
        <f t="shared" si="5"/>
        <v>0</v>
      </c>
      <c r="H35" s="2603">
        <f t="shared" ref="H35" si="6">H26-H34</f>
        <v>0</v>
      </c>
      <c r="I35" s="1221"/>
    </row>
    <row r="36" spans="1:15">
      <c r="A36" s="2615" t="s">
        <v>10541</v>
      </c>
      <c r="B36" s="2603">
        <f t="shared" ref="B36:G36" si="7">B35+B25</f>
        <v>0</v>
      </c>
      <c r="C36" s="2603">
        <f t="shared" si="7"/>
        <v>0</v>
      </c>
      <c r="D36" s="2603">
        <f t="shared" si="7"/>
        <v>0</v>
      </c>
      <c r="E36" s="2603">
        <f t="shared" si="7"/>
        <v>0</v>
      </c>
      <c r="F36" s="2603">
        <f t="shared" si="7"/>
        <v>0</v>
      </c>
      <c r="G36" s="2603">
        <f t="shared" si="7"/>
        <v>0</v>
      </c>
      <c r="H36" s="2603">
        <f t="shared" ref="H36" si="8">H35+H25</f>
        <v>0</v>
      </c>
      <c r="I36" s="1221"/>
    </row>
    <row r="37" spans="1:15">
      <c r="A37" s="2584" t="s">
        <v>10488</v>
      </c>
      <c r="B37" s="2593">
        <f t="shared" ref="B37:G37" si="9">B28-B26</f>
        <v>0</v>
      </c>
      <c r="C37" s="2593">
        <f t="shared" si="9"/>
        <v>0</v>
      </c>
      <c r="D37" s="2593">
        <f t="shared" si="9"/>
        <v>0</v>
      </c>
      <c r="E37" s="2593">
        <f t="shared" si="9"/>
        <v>0</v>
      </c>
      <c r="F37" s="2593">
        <f t="shared" si="9"/>
        <v>0</v>
      </c>
      <c r="G37" s="2593">
        <f t="shared" si="9"/>
        <v>0</v>
      </c>
      <c r="H37" s="2593">
        <f t="shared" ref="H37" si="10">H28-H26</f>
        <v>0</v>
      </c>
    </row>
    <row r="38" spans="1:15" s="1221" customFormat="1">
      <c r="A38" s="2615" t="s">
        <v>10542</v>
      </c>
      <c r="B38" s="2603">
        <f t="shared" ref="B38:G38" si="11">B35+B37</f>
        <v>0</v>
      </c>
      <c r="C38" s="2603">
        <f t="shared" si="11"/>
        <v>0</v>
      </c>
      <c r="D38" s="2603">
        <f t="shared" si="11"/>
        <v>0</v>
      </c>
      <c r="E38" s="2603">
        <f t="shared" si="11"/>
        <v>0</v>
      </c>
      <c r="F38" s="2603">
        <f t="shared" si="11"/>
        <v>0</v>
      </c>
      <c r="G38" s="2603">
        <f t="shared" si="11"/>
        <v>0</v>
      </c>
      <c r="H38" s="2603">
        <f t="shared" ref="H38" si="12">H35+H37</f>
        <v>0</v>
      </c>
      <c r="I38" s="2595"/>
      <c r="O38" s="2594"/>
    </row>
    <row r="39" spans="1:15" s="1221" customFormat="1">
      <c r="A39" s="2584" t="s">
        <v>10534</v>
      </c>
      <c r="B39" s="2593">
        <f>B29-B26</f>
        <v>0</v>
      </c>
      <c r="C39" s="2593">
        <f>C29-C26</f>
        <v>0</v>
      </c>
      <c r="D39" s="2593">
        <f t="shared" ref="D39:G39" si="13">D29-D26</f>
        <v>0</v>
      </c>
      <c r="E39" s="2593">
        <f t="shared" si="13"/>
        <v>0</v>
      </c>
      <c r="F39" s="2593">
        <f t="shared" si="13"/>
        <v>0</v>
      </c>
      <c r="G39" s="2593">
        <f t="shared" si="13"/>
        <v>0</v>
      </c>
      <c r="H39" s="2593">
        <f t="shared" ref="H39" si="14">H29-H26</f>
        <v>0</v>
      </c>
      <c r="I39" s="2574"/>
      <c r="O39" s="2594"/>
    </row>
    <row r="40" spans="1:15">
      <c r="A40" s="2615" t="s">
        <v>10543</v>
      </c>
      <c r="B40" s="2608">
        <f>B35+B39</f>
        <v>0</v>
      </c>
      <c r="C40" s="2608">
        <f>C35+C39</f>
        <v>0</v>
      </c>
      <c r="D40" s="2608">
        <f t="shared" ref="D40:G40" si="15">D35+D39</f>
        <v>0</v>
      </c>
      <c r="E40" s="2608">
        <f t="shared" si="15"/>
        <v>0</v>
      </c>
      <c r="F40" s="2608">
        <f t="shared" si="15"/>
        <v>0</v>
      </c>
      <c r="G40" s="2608">
        <f t="shared" si="15"/>
        <v>0</v>
      </c>
      <c r="H40" s="2608">
        <f t="shared" ref="H40" si="16">H35+H39</f>
        <v>0</v>
      </c>
    </row>
    <row r="41" spans="1:15" s="2595" customFormat="1" ht="13">
      <c r="O41" s="2596"/>
    </row>
    <row r="42" spans="1:15">
      <c r="B42" s="2574"/>
      <c r="C42" s="2574"/>
      <c r="D42" s="2574"/>
      <c r="E42" s="2574"/>
      <c r="F42" s="2574"/>
      <c r="G42" s="2574"/>
      <c r="H42" s="2574"/>
    </row>
    <row r="43" spans="1:15">
      <c r="B43" s="2574"/>
      <c r="C43" s="2574"/>
      <c r="D43" s="2574"/>
      <c r="E43" s="2574"/>
      <c r="F43" s="2574"/>
      <c r="G43" s="2574"/>
      <c r="H43" s="2574"/>
    </row>
  </sheetData>
  <hyperlinks>
    <hyperlink ref="BS25" r:id="rId1" display="https://urldefense.proofpoint.com/v2/url?u=https-3A__comptroller.texas.gov_economy_local_ch313_agreement-2Ddocs.php&amp;d=DwQFaQ&amp;c=GXh7yUZDdjddpVT9f_U_GEN-s6rDPG0OgFxFoMKY74Y&amp;r=rChouErtBnD9AvLLJGt55ES5hDCcSBm4asnm81GzcXg&amp;m=uVcSlJ1Bsf1uCGqOgZuORyCwsDFTHKU8grmkheIKrHwLTKbHL5MKJ59eylipkiXM&amp;s=ew3d3YPK5YhCJQPrfsZrKMctMNfVqo9ois6S3A9zXn0&amp;e=" xr:uid="{00000000-0004-0000-0900-000000000000}"/>
    <hyperlink ref="V19" r:id="rId2" xr:uid="{00000000-0004-0000-0900-000001000000}"/>
  </hyperlinks>
  <pageMargins left="0.7" right="0.7" top="0.75" bottom="0.75" header="0.3" footer="0.3"/>
  <pageSetup orientation="portrait"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66FF33"/>
  </sheetPr>
  <dimension ref="A1:E51"/>
  <sheetViews>
    <sheetView workbookViewId="0">
      <selection activeCell="E1" sqref="E1"/>
    </sheetView>
  </sheetViews>
  <sheetFormatPr defaultRowHeight="12.5"/>
  <cols>
    <col min="1" max="1" width="5.453125" customWidth="1"/>
    <col min="2" max="2" width="61.81640625" customWidth="1"/>
    <col min="3" max="3" width="5.54296875" customWidth="1"/>
    <col min="4" max="4" width="26.453125" customWidth="1"/>
    <col min="5" max="5" width="22.54296875" customWidth="1"/>
  </cols>
  <sheetData>
    <row r="1" spans="1:5" ht="13">
      <c r="A1" s="245" t="s">
        <v>2715</v>
      </c>
      <c r="E1" s="1784" t="str">
        <f>'Data Entry - SOF'!M1</f>
        <v>Release 2</v>
      </c>
    </row>
    <row r="2" spans="1:5" ht="13">
      <c r="A2" s="245" t="s">
        <v>2654</v>
      </c>
      <c r="E2" s="1785">
        <f>'Data Entry - SOF'!M2</f>
        <v>44930</v>
      </c>
    </row>
    <row r="3" spans="1:5" ht="13">
      <c r="A3" s="52"/>
      <c r="E3" s="47"/>
    </row>
    <row r="4" spans="1:5" ht="15.5">
      <c r="A4" s="246" t="s">
        <v>8298</v>
      </c>
    </row>
    <row r="5" spans="1:5" ht="15.5">
      <c r="A5" s="248" t="str">
        <f>'Data Entry - SOF'!B1</f>
        <v xml:space="preserve"> </v>
      </c>
    </row>
    <row r="6" spans="1:5" ht="15.5">
      <c r="A6" s="246">
        <f>'Data Entry - SOF'!B2</f>
        <v>0</v>
      </c>
    </row>
    <row r="9" spans="1:5" s="214" customFormat="1" ht="18">
      <c r="A9" s="1772" t="s">
        <v>2789</v>
      </c>
      <c r="B9" s="1773"/>
      <c r="C9" s="1773"/>
      <c r="D9" s="1794" t="s">
        <v>2694</v>
      </c>
      <c r="E9" s="1804" t="s">
        <v>2694</v>
      </c>
    </row>
    <row r="10" spans="1:5" s="247" customFormat="1" ht="18">
      <c r="A10" s="1777" t="s">
        <v>2655</v>
      </c>
      <c r="B10" s="1778"/>
      <c r="C10" s="1778"/>
      <c r="D10" s="1796" t="s">
        <v>1622</v>
      </c>
      <c r="E10" s="1776"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'IFA-HB3'!L58</f>
        <v>400</v>
      </c>
      <c r="E12" s="256">
        <f>D12</f>
        <v>400</v>
      </c>
    </row>
    <row r="13" spans="1:5" s="247" customFormat="1" ht="15.5">
      <c r="A13" s="250" t="s">
        <v>2065</v>
      </c>
      <c r="B13" s="251" t="s">
        <v>8297</v>
      </c>
      <c r="C13" s="251"/>
      <c r="D13" s="255">
        <f>'EDADetail2122-HB3'!D18</f>
        <v>0</v>
      </c>
      <c r="E13" s="255">
        <f>D13</f>
        <v>0</v>
      </c>
    </row>
    <row r="14" spans="1:5" s="247" customFormat="1" ht="15.5">
      <c r="A14" s="250" t="s">
        <v>862</v>
      </c>
      <c r="B14" s="251" t="s">
        <v>2697</v>
      </c>
      <c r="C14" s="251"/>
      <c r="D14" s="255">
        <f>'IFA-HB3'!L65</f>
        <v>0</v>
      </c>
      <c r="E14" s="255">
        <f>'IFA-HB3'!N65</f>
        <v>0</v>
      </c>
    </row>
    <row r="15" spans="1:5" s="247" customFormat="1" ht="15.5">
      <c r="A15" s="250" t="s">
        <v>863</v>
      </c>
      <c r="B15" s="251" t="s">
        <v>2698</v>
      </c>
      <c r="C15" s="251"/>
      <c r="D15" s="313">
        <f>'IFA-HB3'!L67</f>
        <v>0</v>
      </c>
      <c r="E15" s="313">
        <f>'IFA-HB3'!N67</f>
        <v>0</v>
      </c>
    </row>
    <row r="16" spans="1:5" s="247" customFormat="1" ht="15.5">
      <c r="A16" s="250" t="s">
        <v>865</v>
      </c>
      <c r="B16" s="251" t="s">
        <v>2699</v>
      </c>
      <c r="C16" s="251"/>
      <c r="D16" s="313">
        <f>'IFA-HB3'!L69</f>
        <v>0</v>
      </c>
      <c r="E16" s="313">
        <f>'IFA-HB3'!N69</f>
        <v>0</v>
      </c>
    </row>
    <row r="17" spans="1:5" s="247" customFormat="1" ht="15.5">
      <c r="A17" s="250" t="s">
        <v>866</v>
      </c>
      <c r="B17" s="251" t="str">
        <f>CONCATENATE("State's Share of $",Weights!K49," per ADA Yield")</f>
        <v>State's Share of $35 per ADA Yield</v>
      </c>
      <c r="C17" s="251"/>
      <c r="D17" s="255">
        <f>'IFA-HB3'!L71</f>
        <v>35</v>
      </c>
      <c r="E17" s="255">
        <f>'IFA-HB3'!N71</f>
        <v>35</v>
      </c>
    </row>
    <row r="18" spans="1:5" s="247" customFormat="1" ht="15.5">
      <c r="A18" s="250" t="s">
        <v>867</v>
      </c>
      <c r="B18" s="251" t="s">
        <v>2700</v>
      </c>
      <c r="C18" s="251"/>
      <c r="D18" s="314">
        <f>'IFA-HB3'!L73</f>
        <v>1</v>
      </c>
      <c r="E18" s="314">
        <f>'IFA-HB3'!N73</f>
        <v>1</v>
      </c>
    </row>
    <row r="19" spans="1:5" s="247" customFormat="1" ht="15.5">
      <c r="A19" s="250" t="s">
        <v>109</v>
      </c>
      <c r="B19" s="251" t="s">
        <v>2701</v>
      </c>
      <c r="C19" s="251"/>
      <c r="D19" s="255">
        <f>'IFA-HB3'!L75</f>
        <v>0</v>
      </c>
      <c r="E19" s="255">
        <f>'IFA-HB3'!N75</f>
        <v>0</v>
      </c>
    </row>
    <row r="20" spans="1:5" s="247" customFormat="1" ht="15.5">
      <c r="A20" s="250" t="s">
        <v>110</v>
      </c>
      <c r="B20" s="251" t="s">
        <v>2702</v>
      </c>
      <c r="C20" s="251"/>
      <c r="D20" s="255">
        <f>'IFA-HB3'!L79</f>
        <v>0</v>
      </c>
      <c r="E20" s="255">
        <f>'IFA-HB3'!N79</f>
        <v>0</v>
      </c>
    </row>
    <row r="21" spans="1:5" s="247" customFormat="1" ht="15.5">
      <c r="A21" s="250" t="s">
        <v>111</v>
      </c>
      <c r="B21" s="249" t="s">
        <v>2703</v>
      </c>
      <c r="C21" s="251"/>
      <c r="D21" s="255">
        <f>'IFA-HB3'!L86</f>
        <v>0</v>
      </c>
      <c r="E21" s="255">
        <f>'IFA-HB3'!N86</f>
        <v>0</v>
      </c>
    </row>
    <row r="22" spans="1:5" s="247" customFormat="1" ht="15.5">
      <c r="B22" s="320" t="s">
        <v>2708</v>
      </c>
      <c r="D22" s="2031" t="s">
        <v>9067</v>
      </c>
    </row>
    <row r="23" spans="1:5" s="247" customFormat="1" ht="15.5"/>
    <row r="24" spans="1:5" s="247" customFormat="1" ht="15.5">
      <c r="B24" s="232" t="s">
        <v>2673</v>
      </c>
    </row>
    <row r="25" spans="1:5" s="247" customFormat="1" ht="15.5">
      <c r="B25" s="232" t="s">
        <v>7077</v>
      </c>
    </row>
    <row r="26" spans="1:5" s="247" customFormat="1" ht="15.5">
      <c r="B26" s="232" t="s">
        <v>7078</v>
      </c>
    </row>
    <row r="27" spans="1:5" s="247" customFormat="1" ht="15.5">
      <c r="B27" s="358" t="s">
        <v>7079</v>
      </c>
    </row>
    <row r="28" spans="1:5" s="247" customFormat="1" ht="15.5"/>
    <row r="29" spans="1:5" s="247" customFormat="1" ht="15.5">
      <c r="B29" s="232" t="s">
        <v>7080</v>
      </c>
    </row>
    <row r="30" spans="1:5" s="247" customFormat="1" ht="15.5">
      <c r="B30" s="358" t="s">
        <v>8225</v>
      </c>
    </row>
    <row r="31" spans="1:5" s="247" customFormat="1" ht="15.5">
      <c r="B31" s="232" t="s">
        <v>7081</v>
      </c>
    </row>
    <row r="32" spans="1:5" s="247" customFormat="1" ht="15.5" hidden="1">
      <c r="B32" s="317" t="s">
        <v>5514</v>
      </c>
      <c r="E32" s="453">
        <f>IF(ISNA('DE1'!D65),0,'DE1'!D65)</f>
        <v>0</v>
      </c>
    </row>
    <row r="33" spans="2:5" s="247" customFormat="1" ht="15.5">
      <c r="B33" s="232"/>
      <c r="D33" s="324" t="s">
        <v>1622</v>
      </c>
    </row>
    <row r="34" spans="2:5" s="247" customFormat="1" ht="15.5">
      <c r="D34" s="324" t="s">
        <v>2733</v>
      </c>
      <c r="E34" s="324" t="s">
        <v>1623</v>
      </c>
    </row>
    <row r="35" spans="2:5" s="247" customFormat="1" ht="15.5">
      <c r="D35" s="723">
        <f>IFA_Limits!F55</f>
        <v>0</v>
      </c>
      <c r="E35" s="324" t="s">
        <v>2733</v>
      </c>
    </row>
    <row r="36" spans="2:5" s="247" customFormat="1" ht="15.5">
      <c r="E36" s="723">
        <f>IFA_Limits!F56</f>
        <v>0</v>
      </c>
    </row>
    <row r="37" spans="2:5" s="247" customFormat="1" ht="15.5">
      <c r="B37" s="720"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122-HB1525'!A1" display="'Report-SOF2122-HB1525'!A1" xr:uid="{00000000-0004-0000-6300-000000000000}"/>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66FF66"/>
  </sheetPr>
  <dimension ref="A1:E51"/>
  <sheetViews>
    <sheetView workbookViewId="0"/>
  </sheetViews>
  <sheetFormatPr defaultRowHeight="12.5"/>
  <cols>
    <col min="1" max="1" width="5.453125" customWidth="1"/>
    <col min="2" max="2" width="61.81640625" customWidth="1"/>
    <col min="3" max="3" width="5.54296875" customWidth="1"/>
    <col min="4" max="4" width="26.81640625" customWidth="1"/>
    <col min="5" max="5" width="22.54296875" customWidth="1"/>
  </cols>
  <sheetData>
    <row r="1" spans="1:5" ht="13">
      <c r="A1" s="245" t="s">
        <v>2715</v>
      </c>
      <c r="E1" s="1784" t="str">
        <f>'IFADetail2122-HB3'!E1</f>
        <v>Release 2</v>
      </c>
    </row>
    <row r="2" spans="1:5" ht="13">
      <c r="A2" s="245" t="s">
        <v>2654</v>
      </c>
      <c r="E2" s="1785">
        <f>'IFADetail2122-HB3'!E2</f>
        <v>44930</v>
      </c>
    </row>
    <row r="3" spans="1:5" ht="13">
      <c r="A3" s="52"/>
      <c r="E3" s="47"/>
    </row>
    <row r="4" spans="1:5" ht="15.5">
      <c r="A4" s="246" t="s">
        <v>8300</v>
      </c>
    </row>
    <row r="5" spans="1:5" ht="15.5">
      <c r="A5" s="248" t="str">
        <f>'Data Entry - SOF'!B1</f>
        <v xml:space="preserve"> </v>
      </c>
    </row>
    <row r="6" spans="1:5" ht="15.5">
      <c r="A6" s="246">
        <f>'Data Entry - SOF'!B2</f>
        <v>0</v>
      </c>
    </row>
    <row r="9" spans="1:5" s="214" customFormat="1" ht="18">
      <c r="A9" s="1772" t="s">
        <v>2789</v>
      </c>
      <c r="B9" s="1773"/>
      <c r="C9" s="1773"/>
      <c r="D9" s="1794" t="s">
        <v>2694</v>
      </c>
      <c r="E9" s="1804" t="s">
        <v>2694</v>
      </c>
    </row>
    <row r="10" spans="1:5" s="247" customFormat="1" ht="18">
      <c r="A10" s="1777" t="s">
        <v>2655</v>
      </c>
      <c r="B10" s="1778"/>
      <c r="C10" s="1778"/>
      <c r="D10" s="1796" t="s">
        <v>1622</v>
      </c>
      <c r="E10" s="1776"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'IFA-HB3'!O58</f>
        <v>400</v>
      </c>
      <c r="E12" s="256">
        <f>D12</f>
        <v>400</v>
      </c>
    </row>
    <row r="13" spans="1:5" s="247" customFormat="1" ht="15.5">
      <c r="A13" s="250" t="s">
        <v>2065</v>
      </c>
      <c r="B13" s="251" t="s">
        <v>8301</v>
      </c>
      <c r="C13" s="251"/>
      <c r="D13" s="255">
        <f>'Data Entry - SOF'!E67</f>
        <v>0</v>
      </c>
      <c r="E13" s="255">
        <f>D13</f>
        <v>0</v>
      </c>
    </row>
    <row r="14" spans="1:5" s="247" customFormat="1" ht="15.5">
      <c r="A14" s="250" t="s">
        <v>862</v>
      </c>
      <c r="B14" s="251" t="s">
        <v>2697</v>
      </c>
      <c r="C14" s="251"/>
      <c r="D14" s="255">
        <f>'IFA-HB3'!O65</f>
        <v>0</v>
      </c>
      <c r="E14" s="255">
        <f>'IFA-HB3'!R65</f>
        <v>0</v>
      </c>
    </row>
    <row r="15" spans="1:5" s="247" customFormat="1" ht="15.5">
      <c r="A15" s="250" t="s">
        <v>863</v>
      </c>
      <c r="B15" s="251" t="s">
        <v>2698</v>
      </c>
      <c r="C15" s="251"/>
      <c r="D15" s="313">
        <f>'IFA-HB3'!O67</f>
        <v>0</v>
      </c>
      <c r="E15" s="313">
        <f>'IFA-HB3'!R67</f>
        <v>0</v>
      </c>
    </row>
    <row r="16" spans="1:5" s="247" customFormat="1" ht="15.5">
      <c r="A16" s="250" t="s">
        <v>865</v>
      </c>
      <c r="B16" s="251" t="s">
        <v>2699</v>
      </c>
      <c r="C16" s="251"/>
      <c r="D16" s="313">
        <f>'IFA-HB3'!O69</f>
        <v>0</v>
      </c>
      <c r="E16" s="313">
        <f>'IFA-HB3'!R69</f>
        <v>0</v>
      </c>
    </row>
    <row r="17" spans="1:5" s="247" customFormat="1" ht="15.5">
      <c r="A17" s="250" t="s">
        <v>866</v>
      </c>
      <c r="B17" s="251" t="str">
        <f>CONCATENATE("State's Share of $",Weights!K49," per ADA Yield")</f>
        <v>State's Share of $35 per ADA Yield</v>
      </c>
      <c r="C17" s="251"/>
      <c r="D17" s="255">
        <f>'IFA-HB3'!O71</f>
        <v>35</v>
      </c>
      <c r="E17" s="255">
        <f>'IFA-HB3'!R71</f>
        <v>35</v>
      </c>
    </row>
    <row r="18" spans="1:5" s="247" customFormat="1" ht="15.5">
      <c r="A18" s="250" t="s">
        <v>867</v>
      </c>
      <c r="B18" s="251" t="s">
        <v>2700</v>
      </c>
      <c r="C18" s="251"/>
      <c r="D18" s="314">
        <f>'IFA-HB3'!O73</f>
        <v>1</v>
      </c>
      <c r="E18" s="314">
        <f>'IFA-HB3'!R73</f>
        <v>1</v>
      </c>
    </row>
    <row r="19" spans="1:5" s="247" customFormat="1" ht="15.5">
      <c r="A19" s="250" t="s">
        <v>109</v>
      </c>
      <c r="B19" s="251" t="s">
        <v>2701</v>
      </c>
      <c r="C19" s="251"/>
      <c r="D19" s="255">
        <f>'IFA-HB3'!O75</f>
        <v>0</v>
      </c>
      <c r="E19" s="255">
        <f>'IFA-HB3'!R75</f>
        <v>0</v>
      </c>
    </row>
    <row r="20" spans="1:5" s="247" customFormat="1" ht="15.5">
      <c r="A20" s="250" t="s">
        <v>110</v>
      </c>
      <c r="B20" s="251" t="s">
        <v>2702</v>
      </c>
      <c r="C20" s="251"/>
      <c r="D20" s="255">
        <f>'IFA-HB3'!O79</f>
        <v>0</v>
      </c>
      <c r="E20" s="255">
        <f>'IFA-HB3'!R79</f>
        <v>0</v>
      </c>
    </row>
    <row r="21" spans="1:5" s="247" customFormat="1" ht="15.5">
      <c r="A21" s="250" t="s">
        <v>111</v>
      </c>
      <c r="B21" s="249" t="s">
        <v>2703</v>
      </c>
      <c r="C21" s="251"/>
      <c r="D21" s="255">
        <f>'IFA-HB3'!O86</f>
        <v>0</v>
      </c>
      <c r="E21" s="255">
        <f>'IFA-HB3'!R86</f>
        <v>0</v>
      </c>
    </row>
    <row r="22" spans="1:5" s="247" customFormat="1" ht="15.5">
      <c r="B22" s="320" t="s">
        <v>2708</v>
      </c>
      <c r="D22" s="635" t="s">
        <v>10471</v>
      </c>
    </row>
    <row r="23" spans="1:5" s="247" customFormat="1" ht="15.5"/>
    <row r="24" spans="1:5" s="247" customFormat="1" ht="15.5">
      <c r="B24" s="232" t="s">
        <v>2673</v>
      </c>
    </row>
    <row r="25" spans="1:5" s="247" customFormat="1" ht="15.5">
      <c r="B25" s="232" t="s">
        <v>7077</v>
      </c>
    </row>
    <row r="26" spans="1:5" s="247" customFormat="1" ht="15.5">
      <c r="B26" s="232" t="s">
        <v>7078</v>
      </c>
    </row>
    <row r="27" spans="1:5" s="247" customFormat="1" ht="15.5">
      <c r="B27" s="358" t="s">
        <v>7079</v>
      </c>
    </row>
    <row r="28" spans="1:5" s="247" customFormat="1" ht="15.5"/>
    <row r="29" spans="1:5" s="247" customFormat="1" ht="15.5">
      <c r="B29" s="232" t="s">
        <v>7080</v>
      </c>
    </row>
    <row r="30" spans="1:5" s="247" customFormat="1" ht="15.5">
      <c r="B30" s="358" t="s">
        <v>8225</v>
      </c>
    </row>
    <row r="31" spans="1:5" s="247" customFormat="1" ht="15.5">
      <c r="B31" s="232" t="s">
        <v>7081</v>
      </c>
    </row>
    <row r="32" spans="1:5" s="247" customFormat="1" ht="15.5" hidden="1">
      <c r="B32" s="317" t="s">
        <v>5514</v>
      </c>
      <c r="E32" s="453">
        <f>IF(ISNA('DE1'!D65),0,'DE1'!D65)</f>
        <v>0</v>
      </c>
    </row>
    <row r="33" spans="2:5" s="247" customFormat="1" ht="15.5">
      <c r="B33" s="232"/>
      <c r="D33" s="324" t="s">
        <v>1622</v>
      </c>
    </row>
    <row r="34" spans="2:5" s="247" customFormat="1" ht="15.5">
      <c r="D34" s="324" t="s">
        <v>2733</v>
      </c>
      <c r="E34" s="324" t="s">
        <v>1623</v>
      </c>
    </row>
    <row r="35" spans="2:5" s="247" customFormat="1" ht="15.5">
      <c r="D35" s="723">
        <f>IFA_Limits!H55</f>
        <v>0</v>
      </c>
      <c r="E35" s="324" t="s">
        <v>2733</v>
      </c>
    </row>
    <row r="36" spans="2:5" s="247" customFormat="1" ht="15.5">
      <c r="E36" s="723">
        <f>IFA_Limits!H56</f>
        <v>0</v>
      </c>
    </row>
    <row r="37" spans="2:5" s="247" customFormat="1" ht="15.5">
      <c r="B37" s="720"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223-SB1'!A1" display="'Report-SOF2223-SB1'!A1" xr:uid="{00000000-0004-0000-6400-000000000000}"/>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66FF33"/>
  </sheetPr>
  <dimension ref="A1:E51"/>
  <sheetViews>
    <sheetView workbookViewId="0">
      <selection activeCell="D13" sqref="D13"/>
    </sheetView>
  </sheetViews>
  <sheetFormatPr defaultRowHeight="12.5"/>
  <cols>
    <col min="1" max="1" width="5.453125" customWidth="1"/>
    <col min="2" max="2" width="61.81640625" customWidth="1"/>
    <col min="3" max="3" width="5.54296875" customWidth="1"/>
    <col min="4" max="4" width="26.453125" customWidth="1"/>
    <col min="5" max="5" width="22.54296875" customWidth="1"/>
  </cols>
  <sheetData>
    <row r="1" spans="1:5" ht="13">
      <c r="A1" s="245" t="s">
        <v>2715</v>
      </c>
      <c r="E1" s="1784" t="str">
        <f>'IFADetail2223-HB3'!E1</f>
        <v>Release 2</v>
      </c>
    </row>
    <row r="2" spans="1:5" ht="13">
      <c r="A2" s="245" t="s">
        <v>2654</v>
      </c>
      <c r="E2" s="1785">
        <f>'IFADetail2223-HB3'!E2</f>
        <v>44930</v>
      </c>
    </row>
    <row r="3" spans="1:5" ht="13">
      <c r="A3" s="52"/>
      <c r="E3" s="47"/>
    </row>
    <row r="4" spans="1:5" ht="15.5">
      <c r="A4" s="246" t="s">
        <v>8310</v>
      </c>
    </row>
    <row r="5" spans="1:5" ht="15.5">
      <c r="A5" s="248" t="str">
        <f>'Data Entry - SOF'!B1</f>
        <v xml:space="preserve"> </v>
      </c>
    </row>
    <row r="6" spans="1:5" ht="15.5">
      <c r="A6" s="246">
        <f>'Data Entry - SOF'!B2</f>
        <v>0</v>
      </c>
    </row>
    <row r="9" spans="1:5" s="214" customFormat="1" ht="18">
      <c r="A9" s="1772" t="s">
        <v>2789</v>
      </c>
      <c r="B9" s="1773"/>
      <c r="C9" s="1773"/>
      <c r="D9" s="1794" t="s">
        <v>2694</v>
      </c>
      <c r="E9" s="1804" t="s">
        <v>2694</v>
      </c>
    </row>
    <row r="10" spans="1:5" s="247" customFormat="1" ht="18">
      <c r="A10" s="1777" t="s">
        <v>2655</v>
      </c>
      <c r="B10" s="1778"/>
      <c r="C10" s="1778"/>
      <c r="D10" s="1796" t="s">
        <v>1622</v>
      </c>
      <c r="E10" s="1776"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'IFA-HB3'!T58</f>
        <v>400</v>
      </c>
      <c r="E12" s="256">
        <f>D12</f>
        <v>400</v>
      </c>
    </row>
    <row r="13" spans="1:5" s="247" customFormat="1" ht="15.5">
      <c r="A13" s="250" t="s">
        <v>2065</v>
      </c>
      <c r="B13" s="251" t="s">
        <v>8312</v>
      </c>
      <c r="C13" s="251"/>
      <c r="D13" s="255">
        <f>'Data Entry - SOF'!G67</f>
        <v>0</v>
      </c>
      <c r="E13" s="255">
        <f>D13</f>
        <v>0</v>
      </c>
    </row>
    <row r="14" spans="1:5" s="247" customFormat="1" ht="15.5">
      <c r="A14" s="250" t="s">
        <v>862</v>
      </c>
      <c r="B14" s="251" t="s">
        <v>2697</v>
      </c>
      <c r="C14" s="251"/>
      <c r="D14" s="255">
        <f>'IFA-HB3'!T65</f>
        <v>0</v>
      </c>
      <c r="E14" s="255">
        <f>'IFA-HB3'!W65</f>
        <v>0</v>
      </c>
    </row>
    <row r="15" spans="1:5" s="247" customFormat="1" ht="15.5">
      <c r="A15" s="250" t="s">
        <v>863</v>
      </c>
      <c r="B15" s="251" t="s">
        <v>2698</v>
      </c>
      <c r="C15" s="251"/>
      <c r="D15" s="313">
        <f>'IFA-HB3'!T67</f>
        <v>0</v>
      </c>
      <c r="E15" s="313">
        <f>'IFA-HB3'!W67</f>
        <v>0</v>
      </c>
    </row>
    <row r="16" spans="1:5" s="247" customFormat="1" ht="15.5">
      <c r="A16" s="250" t="s">
        <v>865</v>
      </c>
      <c r="B16" s="251" t="s">
        <v>2699</v>
      </c>
      <c r="C16" s="251"/>
      <c r="D16" s="313">
        <f>'IFA-HB3'!T69</f>
        <v>0</v>
      </c>
      <c r="E16" s="313">
        <f>'IFA-HB3'!W69</f>
        <v>0</v>
      </c>
    </row>
    <row r="17" spans="1:5" s="247" customFormat="1" ht="15.5">
      <c r="A17" s="250" t="s">
        <v>866</v>
      </c>
      <c r="B17" s="251" t="str">
        <f>CONCATENATE("State's Share of $",Weights!K49," per ADA Yield")</f>
        <v>State's Share of $35 per ADA Yield</v>
      </c>
      <c r="C17" s="251"/>
      <c r="D17" s="255">
        <f>'IFA-HB3'!T71</f>
        <v>35</v>
      </c>
      <c r="E17" s="255">
        <f>'IFA-HB3'!W71</f>
        <v>35</v>
      </c>
    </row>
    <row r="18" spans="1:5" s="247" customFormat="1" ht="15.5">
      <c r="A18" s="250" t="s">
        <v>867</v>
      </c>
      <c r="B18" s="251" t="s">
        <v>2700</v>
      </c>
      <c r="C18" s="251"/>
      <c r="D18" s="314">
        <f>'IFA-HB3'!T73</f>
        <v>1</v>
      </c>
      <c r="E18" s="314">
        <f>'IFA-HB3'!W73</f>
        <v>1</v>
      </c>
    </row>
    <row r="19" spans="1:5" s="247" customFormat="1" ht="15.5">
      <c r="A19" s="250" t="s">
        <v>109</v>
      </c>
      <c r="B19" s="251" t="s">
        <v>2701</v>
      </c>
      <c r="C19" s="251"/>
      <c r="D19" s="255">
        <f>'IFA-HB3'!T75</f>
        <v>0</v>
      </c>
      <c r="E19" s="255">
        <f>'IFA-HB3'!W75</f>
        <v>0</v>
      </c>
    </row>
    <row r="20" spans="1:5" s="247" customFormat="1" ht="15.5">
      <c r="A20" s="250" t="s">
        <v>110</v>
      </c>
      <c r="B20" s="251" t="s">
        <v>2702</v>
      </c>
      <c r="C20" s="251"/>
      <c r="D20" s="255">
        <f>'IFA-HB3'!T79</f>
        <v>0</v>
      </c>
      <c r="E20" s="255">
        <f>'IFA-HB3'!W79</f>
        <v>0</v>
      </c>
    </row>
    <row r="21" spans="1:5" s="247" customFormat="1" ht="15.5">
      <c r="A21" s="250" t="s">
        <v>111</v>
      </c>
      <c r="B21" s="249" t="s">
        <v>2703</v>
      </c>
      <c r="C21" s="251"/>
      <c r="D21" s="255">
        <f>'IFA-HB3'!T86</f>
        <v>0</v>
      </c>
      <c r="E21" s="255">
        <f>'IFA-HB3'!W86</f>
        <v>0</v>
      </c>
    </row>
    <row r="22" spans="1:5" s="247" customFormat="1" ht="15.5">
      <c r="B22" s="320" t="s">
        <v>2708</v>
      </c>
      <c r="D22" s="635" t="s">
        <v>10472</v>
      </c>
    </row>
    <row r="23" spans="1:5" s="247" customFormat="1" ht="15.5"/>
    <row r="24" spans="1:5" s="247" customFormat="1" ht="15.5">
      <c r="B24" s="232" t="s">
        <v>2673</v>
      </c>
    </row>
    <row r="25" spans="1:5" s="247" customFormat="1" ht="15.5">
      <c r="B25" s="232" t="s">
        <v>7077</v>
      </c>
    </row>
    <row r="26" spans="1:5" s="247" customFormat="1" ht="15.5">
      <c r="B26" s="232" t="s">
        <v>7078</v>
      </c>
    </row>
    <row r="27" spans="1:5" s="247" customFormat="1" ht="15.5">
      <c r="B27" s="358" t="s">
        <v>7079</v>
      </c>
    </row>
    <row r="28" spans="1:5" s="247" customFormat="1" ht="15.5"/>
    <row r="29" spans="1:5" s="247" customFormat="1" ht="15.5">
      <c r="B29" s="232" t="s">
        <v>7080</v>
      </c>
    </row>
    <row r="30" spans="1:5" s="247" customFormat="1" ht="15.5">
      <c r="B30" s="358" t="s">
        <v>8225</v>
      </c>
    </row>
    <row r="31" spans="1:5" s="247" customFormat="1" ht="15.5">
      <c r="B31" s="232" t="s">
        <v>7081</v>
      </c>
    </row>
    <row r="32" spans="1:5" s="247" customFormat="1" ht="15.5" hidden="1">
      <c r="B32" s="317" t="s">
        <v>5514</v>
      </c>
      <c r="E32" s="453">
        <f>IF(ISNA('DE1'!D65),0,'DE1'!D65)</f>
        <v>0</v>
      </c>
    </row>
    <row r="33" spans="2:5" s="247" customFormat="1" ht="15.5">
      <c r="B33" s="232"/>
      <c r="D33" s="324" t="s">
        <v>1622</v>
      </c>
    </row>
    <row r="34" spans="2:5" s="247" customFormat="1" ht="15.5">
      <c r="D34" s="324" t="s">
        <v>2733</v>
      </c>
      <c r="E34" s="324" t="s">
        <v>1623</v>
      </c>
    </row>
    <row r="35" spans="2:5" s="247" customFormat="1" ht="15.5">
      <c r="D35" s="723">
        <f>IFA_Limits!J55</f>
        <v>0</v>
      </c>
      <c r="E35" s="324" t="s">
        <v>2733</v>
      </c>
    </row>
    <row r="36" spans="2:5" s="247" customFormat="1" ht="15.5">
      <c r="E36" s="723">
        <f>IFA_Limits!J56</f>
        <v>0</v>
      </c>
    </row>
    <row r="37" spans="2:5" s="247" customFormat="1" ht="15.5">
      <c r="B37" s="720"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324-SB1'!A1" display="'Report-SOF2324-SB1'!A1" xr:uid="{00000000-0004-0000-6500-000000000000}"/>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66FF33"/>
  </sheetPr>
  <dimension ref="A1:E51"/>
  <sheetViews>
    <sheetView workbookViewId="0">
      <selection activeCell="D13" sqref="D13"/>
    </sheetView>
  </sheetViews>
  <sheetFormatPr defaultRowHeight="12.5"/>
  <cols>
    <col min="1" max="1" width="5.453125" customWidth="1"/>
    <col min="2" max="2" width="61.81640625" customWidth="1"/>
    <col min="3" max="3" width="5.54296875" customWidth="1"/>
    <col min="4" max="4" width="26.54296875" customWidth="1"/>
    <col min="5" max="5" width="22.54296875" customWidth="1"/>
  </cols>
  <sheetData>
    <row r="1" spans="1:5" ht="13">
      <c r="A1" s="245" t="s">
        <v>2715</v>
      </c>
      <c r="E1" s="1784" t="str">
        <f>'IFADetail2324-HB3'!E1</f>
        <v>Release 2</v>
      </c>
    </row>
    <row r="2" spans="1:5" ht="13">
      <c r="A2" s="245" t="s">
        <v>2654</v>
      </c>
      <c r="E2" s="1785">
        <f>'IFADetail2324-HB3'!E2</f>
        <v>44930</v>
      </c>
    </row>
    <row r="3" spans="1:5" ht="13">
      <c r="A3" s="52"/>
      <c r="E3" s="47"/>
    </row>
    <row r="4" spans="1:5" ht="15.5">
      <c r="A4" s="246" t="s">
        <v>8547</v>
      </c>
    </row>
    <row r="5" spans="1:5" ht="15.5">
      <c r="A5" s="248" t="str">
        <f>'Data Entry - SOF'!B1</f>
        <v xml:space="preserve"> </v>
      </c>
    </row>
    <row r="6" spans="1:5" ht="15.5">
      <c r="A6" s="246">
        <f>'Data Entry - SOF'!B2</f>
        <v>0</v>
      </c>
    </row>
    <row r="9" spans="1:5" s="214" customFormat="1" ht="18">
      <c r="A9" s="1772" t="s">
        <v>2789</v>
      </c>
      <c r="B9" s="1773"/>
      <c r="C9" s="1773"/>
      <c r="D9" s="1794" t="s">
        <v>2694</v>
      </c>
      <c r="E9" s="1804" t="s">
        <v>2694</v>
      </c>
    </row>
    <row r="10" spans="1:5" s="247" customFormat="1" ht="18">
      <c r="A10" s="1777" t="s">
        <v>2655</v>
      </c>
      <c r="B10" s="1778"/>
      <c r="C10" s="1778"/>
      <c r="D10" s="1796" t="s">
        <v>1622</v>
      </c>
      <c r="E10" s="1776"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'IFA-HB3'!Y58</f>
        <v>400</v>
      </c>
      <c r="E12" s="256">
        <f>D12</f>
        <v>400</v>
      </c>
    </row>
    <row r="13" spans="1:5" s="247" customFormat="1" ht="15.5">
      <c r="A13" s="250" t="s">
        <v>2065</v>
      </c>
      <c r="B13" s="251" t="s">
        <v>8544</v>
      </c>
      <c r="C13" s="251"/>
      <c r="D13" s="255">
        <f>'Data Entry - SOF'!I67</f>
        <v>0</v>
      </c>
      <c r="E13" s="255">
        <f>D13</f>
        <v>0</v>
      </c>
    </row>
    <row r="14" spans="1:5" s="247" customFormat="1" ht="15.5">
      <c r="A14" s="250" t="s">
        <v>862</v>
      </c>
      <c r="B14" s="251" t="s">
        <v>2697</v>
      </c>
      <c r="C14" s="251"/>
      <c r="D14" s="255">
        <f>'IFA-HB3'!Y65</f>
        <v>0</v>
      </c>
      <c r="E14" s="255">
        <f>'IFA-HB3'!AB65</f>
        <v>0</v>
      </c>
    </row>
    <row r="15" spans="1:5" s="247" customFormat="1" ht="15.5">
      <c r="A15" s="250" t="s">
        <v>863</v>
      </c>
      <c r="B15" s="251" t="s">
        <v>2698</v>
      </c>
      <c r="C15" s="251"/>
      <c r="D15" s="313">
        <f>'IFA-HB3'!Y67</f>
        <v>0</v>
      </c>
      <c r="E15" s="313">
        <f>'IFA-HB3'!AB67</f>
        <v>0</v>
      </c>
    </row>
    <row r="16" spans="1:5" s="247" customFormat="1" ht="15.5">
      <c r="A16" s="250" t="s">
        <v>865</v>
      </c>
      <c r="B16" s="251" t="s">
        <v>2699</v>
      </c>
      <c r="C16" s="251"/>
      <c r="D16" s="313">
        <f>'IFA-HB3'!Y69</f>
        <v>0</v>
      </c>
      <c r="E16" s="313">
        <f>'IFA-HB3'!AB69</f>
        <v>0</v>
      </c>
    </row>
    <row r="17" spans="1:5" s="247" customFormat="1" ht="15.5">
      <c r="A17" s="250" t="s">
        <v>866</v>
      </c>
      <c r="B17" s="251" t="str">
        <f>CONCATENATE("State's Share of $",Weights!K49," per ADA Yield")</f>
        <v>State's Share of $35 per ADA Yield</v>
      </c>
      <c r="C17" s="251"/>
      <c r="D17" s="255">
        <f>'IFA-HB3'!Y71</f>
        <v>35</v>
      </c>
      <c r="E17" s="255">
        <f>'IFA-HB3'!AB71</f>
        <v>35</v>
      </c>
    </row>
    <row r="18" spans="1:5" s="247" customFormat="1" ht="15.5">
      <c r="A18" s="250" t="s">
        <v>867</v>
      </c>
      <c r="B18" s="251" t="s">
        <v>2700</v>
      </c>
      <c r="C18" s="251"/>
      <c r="D18" s="314">
        <f>'IFA-HB3'!Y73</f>
        <v>1</v>
      </c>
      <c r="E18" s="314">
        <f>'IFA-HB3'!AB73</f>
        <v>1</v>
      </c>
    </row>
    <row r="19" spans="1:5" s="247" customFormat="1" ht="15.5">
      <c r="A19" s="250" t="s">
        <v>109</v>
      </c>
      <c r="B19" s="251" t="s">
        <v>2701</v>
      </c>
      <c r="C19" s="251"/>
      <c r="D19" s="255">
        <f>'IFA-HB3'!Y75</f>
        <v>0</v>
      </c>
      <c r="E19" s="255">
        <f>'IFA-HB3'!AB75</f>
        <v>0</v>
      </c>
    </row>
    <row r="20" spans="1:5" s="247" customFormat="1" ht="15.5">
      <c r="A20" s="250" t="s">
        <v>110</v>
      </c>
      <c r="B20" s="251" t="s">
        <v>2702</v>
      </c>
      <c r="C20" s="251"/>
      <c r="D20" s="255">
        <f>'IFA-HB3'!Y79</f>
        <v>0</v>
      </c>
      <c r="E20" s="255">
        <f>'IFA-HB3'!AB79</f>
        <v>0</v>
      </c>
    </row>
    <row r="21" spans="1:5" s="247" customFormat="1" ht="15.5">
      <c r="A21" s="250" t="s">
        <v>111</v>
      </c>
      <c r="B21" s="249" t="s">
        <v>2703</v>
      </c>
      <c r="C21" s="251"/>
      <c r="D21" s="255">
        <f>'IFA-HB3'!Y86</f>
        <v>0</v>
      </c>
      <c r="E21" s="255">
        <f>'IFA-HB3'!AB86</f>
        <v>0</v>
      </c>
    </row>
    <row r="22" spans="1:5" s="247" customFormat="1" ht="15.5">
      <c r="B22" s="320" t="s">
        <v>2708</v>
      </c>
      <c r="D22" s="635" t="s">
        <v>10473</v>
      </c>
    </row>
    <row r="23" spans="1:5" s="247" customFormat="1" ht="15.5"/>
    <row r="24" spans="1:5" s="247" customFormat="1" ht="15.5">
      <c r="B24" s="232" t="s">
        <v>2673</v>
      </c>
    </row>
    <row r="25" spans="1:5" s="247" customFormat="1" ht="15.5">
      <c r="B25" s="232" t="s">
        <v>7077</v>
      </c>
    </row>
    <row r="26" spans="1:5" s="247" customFormat="1" ht="15.5">
      <c r="B26" s="232" t="s">
        <v>7078</v>
      </c>
    </row>
    <row r="27" spans="1:5" s="247" customFormat="1" ht="15.5">
      <c r="B27" s="358" t="s">
        <v>7079</v>
      </c>
    </row>
    <row r="28" spans="1:5" s="247" customFormat="1" ht="15.5"/>
    <row r="29" spans="1:5" s="247" customFormat="1" ht="15.5">
      <c r="B29" s="232" t="s">
        <v>7080</v>
      </c>
    </row>
    <row r="30" spans="1:5" s="247" customFormat="1" ht="15.5">
      <c r="B30" s="358" t="s">
        <v>8225</v>
      </c>
    </row>
    <row r="31" spans="1:5" s="247" customFormat="1" ht="15.5">
      <c r="B31" s="232" t="s">
        <v>7081</v>
      </c>
    </row>
    <row r="32" spans="1:5" s="247" customFormat="1" ht="15.5" hidden="1">
      <c r="B32" s="317" t="s">
        <v>5514</v>
      </c>
      <c r="E32" s="453">
        <f>IF(ISNA('DE1'!D65),0,'DE1'!D65)</f>
        <v>0</v>
      </c>
    </row>
    <row r="33" spans="2:5" s="247" customFormat="1" ht="15.5">
      <c r="B33" s="232"/>
      <c r="D33" s="324" t="s">
        <v>1622</v>
      </c>
    </row>
    <row r="34" spans="2:5" s="247" customFormat="1" ht="15.5">
      <c r="D34" s="324" t="s">
        <v>2733</v>
      </c>
      <c r="E34" s="324" t="s">
        <v>1623</v>
      </c>
    </row>
    <row r="35" spans="2:5" s="247" customFormat="1" ht="15.5">
      <c r="D35" s="723">
        <f>IFA_Limits!L55</f>
        <v>0</v>
      </c>
      <c r="E35" s="324" t="s">
        <v>2733</v>
      </c>
    </row>
    <row r="36" spans="2:5" s="247" customFormat="1" ht="15.5">
      <c r="E36" s="723">
        <f>IFA_Limits!L56</f>
        <v>0</v>
      </c>
    </row>
    <row r="37" spans="2:5" s="247" customFormat="1" ht="15.5">
      <c r="B37" s="720"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425-SB1'!A1" display="'Report-SOF2425-SB1'!A1" xr:uid="{00000000-0004-0000-6600-000000000000}"/>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66FF33"/>
  </sheetPr>
  <dimension ref="A1:E51"/>
  <sheetViews>
    <sheetView workbookViewId="0">
      <selection activeCell="D22" sqref="D22"/>
    </sheetView>
  </sheetViews>
  <sheetFormatPr defaultColWidth="8.7265625" defaultRowHeight="12.5"/>
  <cols>
    <col min="1" max="1" width="5.453125" style="2042" customWidth="1"/>
    <col min="2" max="2" width="61.81640625" style="2042" customWidth="1"/>
    <col min="3" max="3" width="5.54296875" style="2042" customWidth="1"/>
    <col min="4" max="4" width="26.54296875" style="2042" customWidth="1"/>
    <col min="5" max="5" width="22.54296875" style="2042" customWidth="1"/>
    <col min="6" max="16384" width="8.7265625" style="2042"/>
  </cols>
  <sheetData>
    <row r="1" spans="1:5" ht="13">
      <c r="A1" s="245" t="s">
        <v>2715</v>
      </c>
      <c r="E1" s="1784" t="str">
        <f>'IFADetail2324-HB3'!E1</f>
        <v>Release 2</v>
      </c>
    </row>
    <row r="2" spans="1:5" ht="13">
      <c r="A2" s="245" t="s">
        <v>2654</v>
      </c>
      <c r="E2" s="1785">
        <f>'IFADetail2324-HB3'!E2</f>
        <v>44930</v>
      </c>
    </row>
    <row r="3" spans="1:5" ht="13">
      <c r="A3" s="52"/>
      <c r="E3" s="47"/>
    </row>
    <row r="4" spans="1:5" ht="15.5">
      <c r="A4" s="246" t="s">
        <v>9196</v>
      </c>
    </row>
    <row r="5" spans="1:5" ht="15.5">
      <c r="A5" s="248" t="str">
        <f>'Data Entry - SOF'!B1</f>
        <v xml:space="preserve"> </v>
      </c>
    </row>
    <row r="6" spans="1:5" ht="15.5">
      <c r="A6" s="246">
        <f>'Data Entry - SOF'!B2</f>
        <v>0</v>
      </c>
    </row>
    <row r="9" spans="1:5" s="214" customFormat="1" ht="18">
      <c r="A9" s="1772" t="s">
        <v>2789</v>
      </c>
      <c r="B9" s="1773"/>
      <c r="C9" s="1773"/>
      <c r="D9" s="1794" t="s">
        <v>2694</v>
      </c>
      <c r="E9" s="1804" t="s">
        <v>2694</v>
      </c>
    </row>
    <row r="10" spans="1:5" s="2040" customFormat="1" ht="18">
      <c r="A10" s="1777" t="s">
        <v>2655</v>
      </c>
      <c r="B10" s="1778"/>
      <c r="C10" s="1778"/>
      <c r="D10" s="1796" t="s">
        <v>1622</v>
      </c>
      <c r="E10" s="1776" t="s">
        <v>1623</v>
      </c>
    </row>
    <row r="11" spans="1:5" s="2040" customFormat="1" ht="15.5">
      <c r="A11" s="250" t="s">
        <v>2063</v>
      </c>
      <c r="B11" s="251" t="s">
        <v>2695</v>
      </c>
      <c r="C11" s="251"/>
      <c r="D11" s="255">
        <f>D35</f>
        <v>0</v>
      </c>
      <c r="E11" s="255">
        <f>E36</f>
        <v>0</v>
      </c>
    </row>
    <row r="12" spans="1:5" s="2040" customFormat="1" ht="15.5">
      <c r="A12" s="250" t="s">
        <v>2064</v>
      </c>
      <c r="B12" s="251" t="s">
        <v>2696</v>
      </c>
      <c r="C12" s="251"/>
      <c r="D12" s="256">
        <f>'IFA-HB3'!AD58</f>
        <v>400</v>
      </c>
      <c r="E12" s="256">
        <f>D12</f>
        <v>400</v>
      </c>
    </row>
    <row r="13" spans="1:5" s="2040" customFormat="1" ht="15.5">
      <c r="A13" s="250" t="s">
        <v>2065</v>
      </c>
      <c r="B13" s="251" t="s">
        <v>9206</v>
      </c>
      <c r="C13" s="251"/>
      <c r="D13" s="255">
        <f>'Data Entry - SOF'!K67</f>
        <v>0</v>
      </c>
      <c r="E13" s="255">
        <f>D13</f>
        <v>0</v>
      </c>
    </row>
    <row r="14" spans="1:5" s="2040" customFormat="1" ht="15.5">
      <c r="A14" s="250" t="s">
        <v>862</v>
      </c>
      <c r="B14" s="251" t="s">
        <v>2697</v>
      </c>
      <c r="C14" s="251"/>
      <c r="D14" s="255">
        <f>'IFA-HB3'!AD65</f>
        <v>0</v>
      </c>
      <c r="E14" s="255">
        <f>'IFA-HB3'!AG65</f>
        <v>0</v>
      </c>
    </row>
    <row r="15" spans="1:5" s="2040" customFormat="1" ht="15.5">
      <c r="A15" s="250" t="s">
        <v>863</v>
      </c>
      <c r="B15" s="251" t="s">
        <v>2698</v>
      </c>
      <c r="C15" s="251"/>
      <c r="D15" s="313">
        <f>'IFA-HB3'!AD67</f>
        <v>0</v>
      </c>
      <c r="E15" s="313">
        <f>'IFA-HB3'!AG67</f>
        <v>0</v>
      </c>
    </row>
    <row r="16" spans="1:5" s="2040" customFormat="1" ht="15.5">
      <c r="A16" s="250" t="s">
        <v>865</v>
      </c>
      <c r="B16" s="251" t="s">
        <v>2699</v>
      </c>
      <c r="C16" s="251"/>
      <c r="D16" s="313">
        <f>'IFA-HB3'!AD69</f>
        <v>0</v>
      </c>
      <c r="E16" s="313">
        <f>'IFA-HB3'!AG69</f>
        <v>0</v>
      </c>
    </row>
    <row r="17" spans="1:5" s="2040" customFormat="1" ht="15.5">
      <c r="A17" s="250" t="s">
        <v>866</v>
      </c>
      <c r="B17" s="251" t="str">
        <f>CONCATENATE("State's Share of $",Weights!L49," per ADA Yield")</f>
        <v>State's Share of $35 per ADA Yield</v>
      </c>
      <c r="C17" s="251"/>
      <c r="D17" s="255">
        <f>'IFA-HB3'!AD71</f>
        <v>35</v>
      </c>
      <c r="E17" s="255">
        <f>'IFA-HB3'!AG71</f>
        <v>35</v>
      </c>
    </row>
    <row r="18" spans="1:5" s="2040" customFormat="1" ht="15.5">
      <c r="A18" s="250" t="s">
        <v>867</v>
      </c>
      <c r="B18" s="251" t="s">
        <v>2700</v>
      </c>
      <c r="C18" s="251"/>
      <c r="D18" s="314">
        <f>'IFA-HB3'!AD73</f>
        <v>1</v>
      </c>
      <c r="E18" s="314">
        <f>'IFA-HB3'!AG73</f>
        <v>1</v>
      </c>
    </row>
    <row r="19" spans="1:5" s="2040" customFormat="1" ht="15.5">
      <c r="A19" s="250" t="s">
        <v>109</v>
      </c>
      <c r="B19" s="251" t="s">
        <v>2701</v>
      </c>
      <c r="C19" s="251"/>
      <c r="D19" s="255">
        <f>'IFA-HB3'!AD75</f>
        <v>0</v>
      </c>
      <c r="E19" s="255">
        <f>'IFA-HB3'!AG75</f>
        <v>0</v>
      </c>
    </row>
    <row r="20" spans="1:5" s="2040" customFormat="1" ht="15.5">
      <c r="A20" s="250" t="s">
        <v>110</v>
      </c>
      <c r="B20" s="251" t="s">
        <v>2702</v>
      </c>
      <c r="C20" s="251"/>
      <c r="D20" s="255">
        <f>'IFA-HB3'!AD79</f>
        <v>0</v>
      </c>
      <c r="E20" s="255">
        <f>'IFA-HB3'!AG79</f>
        <v>0</v>
      </c>
    </row>
    <row r="21" spans="1:5" s="2040" customFormat="1" ht="15.5">
      <c r="A21" s="250" t="s">
        <v>111</v>
      </c>
      <c r="B21" s="249" t="s">
        <v>2703</v>
      </c>
      <c r="C21" s="251"/>
      <c r="D21" s="255">
        <f>'IFA-HB3'!AD86</f>
        <v>0</v>
      </c>
      <c r="E21" s="255">
        <f>'IFA-HB3'!AG86</f>
        <v>0</v>
      </c>
    </row>
    <row r="22" spans="1:5" s="2040" customFormat="1" ht="15.5">
      <c r="B22" s="320" t="s">
        <v>2708</v>
      </c>
      <c r="D22" s="635" t="s">
        <v>10474</v>
      </c>
    </row>
    <row r="23" spans="1:5" s="2040" customFormat="1" ht="15.5"/>
    <row r="24" spans="1:5" s="2040" customFormat="1" ht="15.5">
      <c r="B24" s="2039" t="s">
        <v>2673</v>
      </c>
    </row>
    <row r="25" spans="1:5" s="2040" customFormat="1" ht="15.5">
      <c r="B25" s="2039" t="s">
        <v>7077</v>
      </c>
    </row>
    <row r="26" spans="1:5" s="2040" customFormat="1" ht="15.5">
      <c r="B26" s="2039" t="s">
        <v>7078</v>
      </c>
    </row>
    <row r="27" spans="1:5" s="2040" customFormat="1" ht="15.5">
      <c r="B27" s="358" t="s">
        <v>7079</v>
      </c>
    </row>
    <row r="28" spans="1:5" s="2040" customFormat="1" ht="15.5"/>
    <row r="29" spans="1:5" s="2040" customFormat="1" ht="15.5">
      <c r="B29" s="2039" t="s">
        <v>7080</v>
      </c>
    </row>
    <row r="30" spans="1:5" s="2040" customFormat="1" ht="15.5">
      <c r="B30" s="358" t="s">
        <v>8225</v>
      </c>
    </row>
    <row r="31" spans="1:5" s="2040" customFormat="1" ht="15.5">
      <c r="B31" s="2039" t="s">
        <v>7081</v>
      </c>
    </row>
    <row r="32" spans="1:5" s="2040" customFormat="1" ht="15.5" hidden="1">
      <c r="B32" s="317" t="s">
        <v>5514</v>
      </c>
      <c r="E32" s="453">
        <f>IF(ISNA('DE1'!D65),0,'DE1'!D65)</f>
        <v>0</v>
      </c>
    </row>
    <row r="33" spans="2:5" s="2040" customFormat="1" ht="15.5">
      <c r="B33" s="2039"/>
      <c r="D33" s="324" t="s">
        <v>1622</v>
      </c>
    </row>
    <row r="34" spans="2:5" s="2040" customFormat="1" ht="15.5">
      <c r="D34" s="324" t="s">
        <v>2733</v>
      </c>
      <c r="E34" s="324" t="s">
        <v>1623</v>
      </c>
    </row>
    <row r="35" spans="2:5" s="2040" customFormat="1" ht="15.5">
      <c r="D35" s="723">
        <f>IFA_Limits!N55</f>
        <v>0</v>
      </c>
      <c r="E35" s="324" t="s">
        <v>2733</v>
      </c>
    </row>
    <row r="36" spans="2:5" s="2040" customFormat="1" ht="15.5">
      <c r="E36" s="723">
        <f>IFA_Limits!N56</f>
        <v>0</v>
      </c>
    </row>
    <row r="37" spans="2:5" s="2040" customFormat="1" ht="15.5">
      <c r="B37" s="720" t="s">
        <v>2312</v>
      </c>
      <c r="C37" s="2039"/>
    </row>
    <row r="38" spans="2:5" s="2040" customFormat="1" ht="15.5"/>
    <row r="39" spans="2:5" s="2040" customFormat="1" ht="15.5"/>
    <row r="40" spans="2:5" s="2040" customFormat="1" ht="15.5"/>
    <row r="41" spans="2:5" s="2040" customFormat="1" ht="15.5"/>
    <row r="42" spans="2:5" s="2040" customFormat="1" ht="15.5"/>
    <row r="43" spans="2:5" s="2040" customFormat="1" ht="15.5"/>
    <row r="44" spans="2:5" s="2040" customFormat="1" ht="15.5"/>
    <row r="45" spans="2:5" s="2040" customFormat="1" ht="15.5"/>
    <row r="46" spans="2:5" s="2040" customFormat="1" ht="15.5"/>
    <row r="47" spans="2:5" s="2040" customFormat="1" ht="15.5"/>
    <row r="48" spans="2:5" s="2040" customFormat="1" ht="15.5"/>
    <row r="49" spans="4:4" s="2040" customFormat="1" ht="15.5">
      <c r="D49" s="2042"/>
    </row>
    <row r="50" spans="4:4" s="2040" customFormat="1" ht="15.5">
      <c r="D50" s="2042"/>
    </row>
    <row r="51" spans="4:4" s="2040" customFormat="1" ht="15.5">
      <c r="D51" s="2042"/>
    </row>
  </sheetData>
  <hyperlinks>
    <hyperlink ref="D22" location="'Report-SOF2526-SB1'!A1" display="'Report-SOF2526-SB1'!A1" xr:uid="{00000000-0004-0000-6700-000000000000}"/>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66FF33"/>
  </sheetPr>
  <dimension ref="A1:E51"/>
  <sheetViews>
    <sheetView workbookViewId="0">
      <selection activeCell="E1" sqref="E1"/>
    </sheetView>
  </sheetViews>
  <sheetFormatPr defaultColWidth="8.7265625" defaultRowHeight="12.5"/>
  <cols>
    <col min="1" max="1" width="5.453125" style="2042" customWidth="1"/>
    <col min="2" max="2" width="61.81640625" style="2042" customWidth="1"/>
    <col min="3" max="3" width="5.54296875" style="2042" customWidth="1"/>
    <col min="4" max="4" width="26.54296875" style="2042" customWidth="1"/>
    <col min="5" max="5" width="22.54296875" style="2042" customWidth="1"/>
    <col min="6" max="16384" width="8.7265625" style="2042"/>
  </cols>
  <sheetData>
    <row r="1" spans="1:5" ht="13">
      <c r="A1" s="245" t="s">
        <v>2715</v>
      </c>
      <c r="E1" s="1784" t="str">
        <f>'IFADetail2324-HB3'!E1</f>
        <v>Release 2</v>
      </c>
    </row>
    <row r="2" spans="1:5" ht="13">
      <c r="A2" s="245" t="s">
        <v>2654</v>
      </c>
      <c r="E2" s="1785">
        <f>'IFADetail2324-HB3'!E2</f>
        <v>44930</v>
      </c>
    </row>
    <row r="3" spans="1:5" ht="13">
      <c r="A3" s="52"/>
      <c r="E3" s="47"/>
    </row>
    <row r="4" spans="1:5" ht="15.5">
      <c r="A4" s="246" t="s">
        <v>11110</v>
      </c>
    </row>
    <row r="5" spans="1:5" ht="15.5">
      <c r="A5" s="248" t="str">
        <f>'Data Entry - SOF'!B1</f>
        <v xml:space="preserve"> </v>
      </c>
    </row>
    <row r="6" spans="1:5" ht="15.5">
      <c r="A6" s="246">
        <f>'Data Entry - SOF'!B2</f>
        <v>0</v>
      </c>
    </row>
    <row r="9" spans="1:5" s="214" customFormat="1" ht="18">
      <c r="A9" s="1772" t="s">
        <v>2789</v>
      </c>
      <c r="B9" s="1773"/>
      <c r="C9" s="1773"/>
      <c r="D9" s="1794" t="s">
        <v>2694</v>
      </c>
      <c r="E9" s="1804" t="s">
        <v>2694</v>
      </c>
    </row>
    <row r="10" spans="1:5" s="2040" customFormat="1" ht="18">
      <c r="A10" s="1777" t="s">
        <v>2655</v>
      </c>
      <c r="B10" s="1778"/>
      <c r="C10" s="1778"/>
      <c r="D10" s="1796" t="s">
        <v>1622</v>
      </c>
      <c r="E10" s="1776" t="s">
        <v>1623</v>
      </c>
    </row>
    <row r="11" spans="1:5" s="2040" customFormat="1" ht="15.5">
      <c r="A11" s="250" t="s">
        <v>2063</v>
      </c>
      <c r="B11" s="251" t="s">
        <v>2695</v>
      </c>
      <c r="C11" s="251"/>
      <c r="D11" s="255">
        <f>D35</f>
        <v>0</v>
      </c>
      <c r="E11" s="255">
        <f>E36</f>
        <v>0</v>
      </c>
    </row>
    <row r="12" spans="1:5" s="2040" customFormat="1" ht="15.5">
      <c r="A12" s="250" t="s">
        <v>2064</v>
      </c>
      <c r="B12" s="251" t="s">
        <v>2696</v>
      </c>
      <c r="C12" s="251"/>
      <c r="D12" s="256">
        <f>'IFA-HB3'!AI58</f>
        <v>400</v>
      </c>
      <c r="E12" s="256">
        <f>D12</f>
        <v>400</v>
      </c>
    </row>
    <row r="13" spans="1:5" s="2040" customFormat="1" ht="15.5">
      <c r="A13" s="250" t="s">
        <v>2065</v>
      </c>
      <c r="B13" s="251" t="s">
        <v>11106</v>
      </c>
      <c r="C13" s="251"/>
      <c r="D13" s="255">
        <f>'Data Entry - SOF'!M67</f>
        <v>0</v>
      </c>
      <c r="E13" s="255">
        <f>D13</f>
        <v>0</v>
      </c>
    </row>
    <row r="14" spans="1:5" s="2040" customFormat="1" ht="15.5">
      <c r="A14" s="250" t="s">
        <v>862</v>
      </c>
      <c r="B14" s="251" t="s">
        <v>2697</v>
      </c>
      <c r="C14" s="251"/>
      <c r="D14" s="255">
        <f>'IFA-HB3'!AI65</f>
        <v>0</v>
      </c>
      <c r="E14" s="255">
        <f>'IFA-HB3'!AL65</f>
        <v>0</v>
      </c>
    </row>
    <row r="15" spans="1:5" s="2040" customFormat="1" ht="15.5">
      <c r="A15" s="250" t="s">
        <v>863</v>
      </c>
      <c r="B15" s="251" t="s">
        <v>2698</v>
      </c>
      <c r="C15" s="251"/>
      <c r="D15" s="313">
        <f>'IFA-HB3'!AI67</f>
        <v>0</v>
      </c>
      <c r="E15" s="313">
        <f>'IFA-HB3'!AL67</f>
        <v>0</v>
      </c>
    </row>
    <row r="16" spans="1:5" s="2040" customFormat="1" ht="15.5">
      <c r="A16" s="250" t="s">
        <v>865</v>
      </c>
      <c r="B16" s="251" t="s">
        <v>2699</v>
      </c>
      <c r="C16" s="251"/>
      <c r="D16" s="313">
        <f>'IFA-HB3'!AI69</f>
        <v>0</v>
      </c>
      <c r="E16" s="313">
        <f>'IFA-HB3'!AL69</f>
        <v>0</v>
      </c>
    </row>
    <row r="17" spans="1:5" s="2040" customFormat="1" ht="15.5">
      <c r="A17" s="250" t="s">
        <v>866</v>
      </c>
      <c r="B17" s="251" t="str">
        <f>CONCATENATE("State's Share of $",Weights!L49," per ADA Yield")</f>
        <v>State's Share of $35 per ADA Yield</v>
      </c>
      <c r="C17" s="251"/>
      <c r="D17" s="255">
        <f>'IFA-HB3'!AI71</f>
        <v>35</v>
      </c>
      <c r="E17" s="255">
        <f>'IFA-HB3'!AL71</f>
        <v>35</v>
      </c>
    </row>
    <row r="18" spans="1:5" s="2040" customFormat="1" ht="15.5">
      <c r="A18" s="250" t="s">
        <v>867</v>
      </c>
      <c r="B18" s="251" t="s">
        <v>2700</v>
      </c>
      <c r="C18" s="251"/>
      <c r="D18" s="314">
        <f>'IFA-HB3'!AI73</f>
        <v>1</v>
      </c>
      <c r="E18" s="314">
        <f>'IFA-HB3'!AL73</f>
        <v>1</v>
      </c>
    </row>
    <row r="19" spans="1:5" s="2040" customFormat="1" ht="15.5">
      <c r="A19" s="250" t="s">
        <v>109</v>
      </c>
      <c r="B19" s="251" t="s">
        <v>2701</v>
      </c>
      <c r="C19" s="251"/>
      <c r="D19" s="255">
        <f>'IFA-HB3'!AI75</f>
        <v>0</v>
      </c>
      <c r="E19" s="255">
        <f>'IFA-HB3'!AL75</f>
        <v>0</v>
      </c>
    </row>
    <row r="20" spans="1:5" s="2040" customFormat="1" ht="15.5">
      <c r="A20" s="250" t="s">
        <v>110</v>
      </c>
      <c r="B20" s="251" t="s">
        <v>2702</v>
      </c>
      <c r="C20" s="251"/>
      <c r="D20" s="255">
        <f>'IFA-HB3'!AI79</f>
        <v>0</v>
      </c>
      <c r="E20" s="255">
        <f>'IFA-HB3'!AL79</f>
        <v>0</v>
      </c>
    </row>
    <row r="21" spans="1:5" s="2040" customFormat="1" ht="15.5">
      <c r="A21" s="250" t="s">
        <v>111</v>
      </c>
      <c r="B21" s="249" t="s">
        <v>2703</v>
      </c>
      <c r="C21" s="251"/>
      <c r="D21" s="255">
        <f>'IFA-HB3'!AI86</f>
        <v>0</v>
      </c>
      <c r="E21" s="255">
        <f>'IFA-HB3'!AL86</f>
        <v>0</v>
      </c>
    </row>
    <row r="22" spans="1:5" s="2040" customFormat="1" ht="15.5">
      <c r="B22" s="320" t="s">
        <v>2708</v>
      </c>
      <c r="D22" s="635" t="s">
        <v>11085</v>
      </c>
    </row>
    <row r="23" spans="1:5" s="2040" customFormat="1" ht="15.5"/>
    <row r="24" spans="1:5" s="2040" customFormat="1" ht="15.5">
      <c r="B24" s="2039" t="s">
        <v>2673</v>
      </c>
    </row>
    <row r="25" spans="1:5" s="2040" customFormat="1" ht="15.5">
      <c r="B25" s="2039" t="s">
        <v>7077</v>
      </c>
    </row>
    <row r="26" spans="1:5" s="2040" customFormat="1" ht="15.5">
      <c r="B26" s="2039" t="s">
        <v>7078</v>
      </c>
    </row>
    <row r="27" spans="1:5" s="2040" customFormat="1" ht="15.5">
      <c r="B27" s="358" t="s">
        <v>7079</v>
      </c>
    </row>
    <row r="28" spans="1:5" s="2040" customFormat="1" ht="15.5"/>
    <row r="29" spans="1:5" s="2040" customFormat="1" ht="15.5">
      <c r="B29" s="2039" t="s">
        <v>7080</v>
      </c>
    </row>
    <row r="30" spans="1:5" s="2040" customFormat="1" ht="15.5">
      <c r="B30" s="358" t="s">
        <v>8225</v>
      </c>
    </row>
    <row r="31" spans="1:5" s="2040" customFormat="1" ht="15.5">
      <c r="B31" s="2039" t="s">
        <v>7081</v>
      </c>
    </row>
    <row r="32" spans="1:5" s="2040" customFormat="1" ht="15.5" hidden="1">
      <c r="B32" s="317" t="s">
        <v>5514</v>
      </c>
      <c r="E32" s="453">
        <f>IF(ISNA('DE1'!D65),0,'DE1'!D65)</f>
        <v>0</v>
      </c>
    </row>
    <row r="33" spans="2:5" s="2040" customFormat="1" ht="15.5">
      <c r="B33" s="2039"/>
      <c r="D33" s="324" t="s">
        <v>1622</v>
      </c>
    </row>
    <row r="34" spans="2:5" s="2040" customFormat="1" ht="15.5">
      <c r="D34" s="324" t="s">
        <v>2733</v>
      </c>
      <c r="E34" s="324" t="s">
        <v>1623</v>
      </c>
    </row>
    <row r="35" spans="2:5" s="2040" customFormat="1" ht="15.5">
      <c r="D35" s="723">
        <f>IFA_Limits!P55</f>
        <v>0</v>
      </c>
      <c r="E35" s="324" t="s">
        <v>2733</v>
      </c>
    </row>
    <row r="36" spans="2:5" s="2040" customFormat="1" ht="15.5">
      <c r="E36" s="723">
        <f>IFA_Limits!P56</f>
        <v>0</v>
      </c>
    </row>
    <row r="37" spans="2:5" s="2040" customFormat="1" ht="15.5">
      <c r="B37" s="720" t="s">
        <v>2312</v>
      </c>
      <c r="C37" s="2039"/>
    </row>
    <row r="38" spans="2:5" s="2040" customFormat="1" ht="15.5"/>
    <row r="39" spans="2:5" s="2040" customFormat="1" ht="15.5"/>
    <row r="40" spans="2:5" s="2040" customFormat="1" ht="15.5"/>
    <row r="41" spans="2:5" s="2040" customFormat="1" ht="15.5"/>
    <row r="42" spans="2:5" s="2040" customFormat="1" ht="15.5"/>
    <row r="43" spans="2:5" s="2040" customFormat="1" ht="15.5"/>
    <row r="44" spans="2:5" s="2040" customFormat="1" ht="15.5"/>
    <row r="45" spans="2:5" s="2040" customFormat="1" ht="15.5"/>
    <row r="46" spans="2:5" s="2040" customFormat="1" ht="15.5"/>
    <row r="47" spans="2:5" s="2040" customFormat="1" ht="15.5"/>
    <row r="48" spans="2:5" s="2040" customFormat="1" ht="15.5"/>
    <row r="49" spans="4:4" s="2040" customFormat="1" ht="15.5">
      <c r="D49" s="2042"/>
    </row>
    <row r="50" spans="4:4" s="2040" customFormat="1" ht="15.5">
      <c r="D50" s="2042"/>
    </row>
    <row r="51" spans="4:4" s="2040" customFormat="1" ht="15.5">
      <c r="D51" s="2042"/>
    </row>
  </sheetData>
  <hyperlinks>
    <hyperlink ref="D22" location="'Report-SOF2627-SB1'!A1" display="'Report-SOF2627-SB1'!A1" xr:uid="{00000000-0004-0000-6800-000000000000}"/>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FFFF00"/>
  </sheetPr>
  <dimension ref="A1:E30"/>
  <sheetViews>
    <sheetView workbookViewId="0">
      <selection activeCell="E1" sqref="E1"/>
    </sheetView>
  </sheetViews>
  <sheetFormatPr defaultRowHeight="12.5"/>
  <cols>
    <col min="1" max="1" width="5.453125" customWidth="1"/>
    <col min="2" max="2" width="61.81640625" customWidth="1"/>
    <col min="3" max="3" width="19.54296875" customWidth="1"/>
    <col min="4" max="4" width="3.81640625" customWidth="1"/>
    <col min="5" max="5" width="26.1796875" customWidth="1"/>
  </cols>
  <sheetData>
    <row r="1" spans="1:5" ht="13">
      <c r="A1" s="245" t="s">
        <v>2796</v>
      </c>
      <c r="E1" s="1784" t="str">
        <f>'Data Entry - SOF'!M1</f>
        <v>Release 2</v>
      </c>
    </row>
    <row r="2" spans="1:5" ht="13">
      <c r="A2" s="245" t="s">
        <v>2797</v>
      </c>
      <c r="E2" s="1805">
        <f>'Data Entry - SOF'!M2</f>
        <v>44930</v>
      </c>
    </row>
    <row r="3" spans="1:5" ht="13">
      <c r="A3" s="52"/>
      <c r="E3" s="47"/>
    </row>
    <row r="4" spans="1:5" ht="15.5">
      <c r="A4" s="246" t="s">
        <v>5940</v>
      </c>
    </row>
    <row r="5" spans="1:5" ht="15.5">
      <c r="A5" s="248" t="str">
        <f>'Data Entry - SOF'!B1</f>
        <v xml:space="preserve"> </v>
      </c>
    </row>
    <row r="6" spans="1:5" ht="15.5">
      <c r="A6" s="246">
        <f>'Data Entry - SOF'!B2</f>
        <v>0</v>
      </c>
    </row>
    <row r="8" spans="1:5" ht="18">
      <c r="A8" s="1806" t="s">
        <v>2799</v>
      </c>
      <c r="B8" s="1807"/>
      <c r="C8" s="1794" t="s">
        <v>1967</v>
      </c>
      <c r="D8" s="1808"/>
      <c r="E8" s="1804" t="s">
        <v>2801</v>
      </c>
    </row>
    <row r="9" spans="1:5" ht="18">
      <c r="A9" s="1809" t="s">
        <v>2798</v>
      </c>
      <c r="B9" s="1810"/>
      <c r="C9" s="1796" t="s">
        <v>2800</v>
      </c>
      <c r="D9" s="1811"/>
      <c r="E9" s="1776" t="s">
        <v>2802</v>
      </c>
    </row>
    <row r="10" spans="1:5" ht="15.5">
      <c r="A10" s="1780" t="s">
        <v>2807</v>
      </c>
      <c r="B10" s="1762"/>
      <c r="C10" s="1762"/>
      <c r="D10" s="1762"/>
      <c r="E10" s="1812"/>
    </row>
    <row r="11" spans="1:5" ht="15.5">
      <c r="A11" s="250" t="s">
        <v>2063</v>
      </c>
      <c r="B11" s="251" t="s">
        <v>2803</v>
      </c>
      <c r="C11" s="253">
        <f>'Data Entry - SOF'!C108</f>
        <v>0</v>
      </c>
      <c r="D11" s="251"/>
      <c r="E11" s="253" t="e">
        <f>'Report-SOF2122-HB1525'!D65</f>
        <v>#N/A</v>
      </c>
    </row>
    <row r="12" spans="1:5" ht="15.5">
      <c r="A12" s="250" t="s">
        <v>2064</v>
      </c>
      <c r="B12" s="251" t="s">
        <v>2804</v>
      </c>
      <c r="C12" s="253">
        <f>'Data Entry - SOF'!C109</f>
        <v>0</v>
      </c>
      <c r="D12" s="251"/>
      <c r="E12" s="253">
        <f>C12</f>
        <v>0</v>
      </c>
    </row>
    <row r="13" spans="1:5" ht="15.5">
      <c r="A13" s="250" t="s">
        <v>2065</v>
      </c>
      <c r="B13" s="251" t="s">
        <v>2805</v>
      </c>
      <c r="C13" s="253">
        <f>C11+C12</f>
        <v>0</v>
      </c>
      <c r="D13" s="251"/>
      <c r="E13" s="253" t="e">
        <f>E11+E12</f>
        <v>#N/A</v>
      </c>
    </row>
    <row r="14" spans="1:5" ht="15.5">
      <c r="A14" s="247"/>
      <c r="B14" s="247"/>
      <c r="C14" s="247"/>
      <c r="D14" s="247"/>
      <c r="E14" s="369"/>
    </row>
    <row r="15" spans="1:5" ht="18">
      <c r="A15" s="247"/>
      <c r="B15" s="1761" t="s">
        <v>2808</v>
      </c>
      <c r="C15" s="1781"/>
      <c r="D15" s="1781"/>
      <c r="E15" s="1813" t="e">
        <f>E13-C13</f>
        <v>#N/A</v>
      </c>
    </row>
    <row r="16" spans="1:5" ht="15.5">
      <c r="A16" s="247"/>
      <c r="C16" s="320" t="s">
        <v>2708</v>
      </c>
      <c r="D16" s="247"/>
      <c r="E16" s="2031" t="s">
        <v>9067</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122-HB1525'!A1" display="'Report-SOF2122-HB1525'!A1" xr:uid="{00000000-0004-0000-6900-000000000000}"/>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FFFF00"/>
  </sheetPr>
  <dimension ref="A1:E30"/>
  <sheetViews>
    <sheetView workbookViewId="0">
      <selection activeCell="E17" sqref="E17"/>
    </sheetView>
  </sheetViews>
  <sheetFormatPr defaultRowHeight="12.5"/>
  <cols>
    <col min="1" max="1" width="5.453125" customWidth="1"/>
    <col min="2" max="2" width="61.81640625" customWidth="1"/>
    <col min="3" max="3" width="19.54296875" customWidth="1"/>
    <col min="4" max="4" width="3.81640625" customWidth="1"/>
    <col min="5" max="5" width="26.1796875" customWidth="1"/>
  </cols>
  <sheetData>
    <row r="1" spans="1:5" ht="13">
      <c r="A1" s="245" t="s">
        <v>2796</v>
      </c>
      <c r="E1" s="1784" t="str">
        <f>'FSF2122-HB3'!E1</f>
        <v>Release 2</v>
      </c>
    </row>
    <row r="2" spans="1:5" ht="13">
      <c r="A2" s="245" t="s">
        <v>2797</v>
      </c>
      <c r="E2" s="1805">
        <f>'FSF2122-HB3'!E2</f>
        <v>44930</v>
      </c>
    </row>
    <row r="3" spans="1:5" ht="13">
      <c r="A3" s="52"/>
      <c r="E3" s="47"/>
    </row>
    <row r="4" spans="1:5" ht="15.5">
      <c r="A4" s="246" t="s">
        <v>5979</v>
      </c>
    </row>
    <row r="5" spans="1:5" ht="15.5">
      <c r="A5" s="248" t="str">
        <f>'Data Entry - SOF'!B1</f>
        <v xml:space="preserve"> </v>
      </c>
    </row>
    <row r="6" spans="1:5" ht="15.5">
      <c r="A6" s="246">
        <f>'Data Entry - SOF'!B2</f>
        <v>0</v>
      </c>
    </row>
    <row r="8" spans="1:5" ht="18">
      <c r="A8" s="1806" t="s">
        <v>2799</v>
      </c>
      <c r="B8" s="1807"/>
      <c r="C8" s="1794" t="s">
        <v>1967</v>
      </c>
      <c r="D8" s="1808"/>
      <c r="E8" s="1804" t="s">
        <v>2801</v>
      </c>
    </row>
    <row r="9" spans="1:5" ht="18">
      <c r="A9" s="1809" t="s">
        <v>2798</v>
      </c>
      <c r="B9" s="1810"/>
      <c r="C9" s="1796" t="s">
        <v>2800</v>
      </c>
      <c r="D9" s="1811"/>
      <c r="E9" s="1776" t="s">
        <v>2802</v>
      </c>
    </row>
    <row r="10" spans="1:5" ht="15.5">
      <c r="A10" s="1780" t="s">
        <v>2807</v>
      </c>
      <c r="B10" s="1762"/>
      <c r="C10" s="1762"/>
      <c r="D10" s="1762"/>
      <c r="E10" s="1812"/>
    </row>
    <row r="11" spans="1:5" ht="15.5">
      <c r="A11" s="250" t="s">
        <v>2063</v>
      </c>
      <c r="B11" s="251" t="s">
        <v>2803</v>
      </c>
      <c r="C11" s="253">
        <f>'Data Entry - SOF'!E108</f>
        <v>0</v>
      </c>
      <c r="D11" s="251"/>
      <c r="E11" s="253" t="e">
        <f>'Report-SOF2223-SB1'!D65</f>
        <v>#DIV/0!</v>
      </c>
    </row>
    <row r="12" spans="1:5" ht="15.5">
      <c r="A12" s="250" t="s">
        <v>2064</v>
      </c>
      <c r="B12" s="251" t="s">
        <v>2804</v>
      </c>
      <c r="C12" s="253">
        <f>'Data Entry - SOF'!E109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761" t="s">
        <v>2808</v>
      </c>
      <c r="C15" s="1781"/>
      <c r="D15" s="1781"/>
      <c r="E15" s="1813" t="e">
        <f>E13-C13</f>
        <v>#DIV/0!</v>
      </c>
    </row>
    <row r="16" spans="1:5" ht="15.5">
      <c r="A16" s="247"/>
      <c r="C16" s="320" t="s">
        <v>2708</v>
      </c>
      <c r="D16" s="247"/>
      <c r="E16" s="635" t="s">
        <v>10471</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223-SB1'!A1" display="'Report-SOF2223-SB1'!A1" xr:uid="{00000000-0004-0000-6A00-000000000000}"/>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FF00"/>
  </sheetPr>
  <dimension ref="A1:E30"/>
  <sheetViews>
    <sheetView workbookViewId="0">
      <selection activeCell="E17" sqref="E17"/>
    </sheetView>
  </sheetViews>
  <sheetFormatPr defaultRowHeight="12.5"/>
  <cols>
    <col min="1" max="1" width="5.453125" customWidth="1"/>
    <col min="2" max="2" width="61.81640625" customWidth="1"/>
    <col min="3" max="3" width="19.54296875" customWidth="1"/>
    <col min="4" max="4" width="3.81640625" customWidth="1"/>
    <col min="5" max="5" width="26.453125" customWidth="1"/>
  </cols>
  <sheetData>
    <row r="1" spans="1:5" ht="13">
      <c r="A1" s="245" t="s">
        <v>2796</v>
      </c>
      <c r="E1" s="1784" t="str">
        <f>'FSF2223-HB3'!E1</f>
        <v>Release 2</v>
      </c>
    </row>
    <row r="2" spans="1:5" ht="13">
      <c r="A2" s="245" t="s">
        <v>2797</v>
      </c>
      <c r="E2" s="1805">
        <f>'FSF2223-HB3'!E2</f>
        <v>44930</v>
      </c>
    </row>
    <row r="3" spans="1:5" ht="13">
      <c r="A3" s="52"/>
      <c r="E3" s="47"/>
    </row>
    <row r="4" spans="1:5" ht="15.5">
      <c r="A4" s="246" t="s">
        <v>7054</v>
      </c>
    </row>
    <row r="5" spans="1:5" ht="15.5">
      <c r="A5" s="248" t="str">
        <f>'Data Entry - SOF'!B1</f>
        <v xml:space="preserve"> </v>
      </c>
    </row>
    <row r="6" spans="1:5" ht="15.5">
      <c r="A6" s="246">
        <f>'Data Entry - SOF'!B2</f>
        <v>0</v>
      </c>
    </row>
    <row r="8" spans="1:5" ht="18">
      <c r="A8" s="1806" t="s">
        <v>2799</v>
      </c>
      <c r="B8" s="1807"/>
      <c r="C8" s="1794" t="s">
        <v>1967</v>
      </c>
      <c r="D8" s="1808"/>
      <c r="E8" s="1804" t="s">
        <v>2801</v>
      </c>
    </row>
    <row r="9" spans="1:5" ht="18">
      <c r="A9" s="1809" t="s">
        <v>2798</v>
      </c>
      <c r="B9" s="1810"/>
      <c r="C9" s="1796" t="s">
        <v>2800</v>
      </c>
      <c r="D9" s="1811"/>
      <c r="E9" s="1776" t="s">
        <v>2802</v>
      </c>
    </row>
    <row r="10" spans="1:5" ht="15.5">
      <c r="A10" s="1780" t="s">
        <v>2807</v>
      </c>
      <c r="B10" s="1762"/>
      <c r="C10" s="1762"/>
      <c r="D10" s="1762"/>
      <c r="E10" s="1812"/>
    </row>
    <row r="11" spans="1:5" ht="15.5">
      <c r="A11" s="250" t="s">
        <v>2063</v>
      </c>
      <c r="B11" s="251" t="s">
        <v>2803</v>
      </c>
      <c r="C11" s="253">
        <f>'Data Entry - SOF'!G108</f>
        <v>0</v>
      </c>
      <c r="D11" s="251"/>
      <c r="E11" s="253" t="e">
        <f>'Report-SOF2324-SB1'!D65</f>
        <v>#DIV/0!</v>
      </c>
    </row>
    <row r="12" spans="1:5" ht="15.5">
      <c r="A12" s="250" t="s">
        <v>2064</v>
      </c>
      <c r="B12" s="251" t="s">
        <v>2804</v>
      </c>
      <c r="C12" s="253">
        <f>'Data Entry - SOF'!G109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761" t="s">
        <v>2808</v>
      </c>
      <c r="C15" s="1781"/>
      <c r="D15" s="1781"/>
      <c r="E15" s="1813" t="e">
        <f>E13-C13</f>
        <v>#DIV/0!</v>
      </c>
    </row>
    <row r="16" spans="1:5" ht="15.5">
      <c r="A16" s="247"/>
      <c r="C16" s="320" t="s">
        <v>2708</v>
      </c>
      <c r="D16" s="247"/>
      <c r="E16" s="635" t="s">
        <v>10472</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324-SB1'!A1" display="'Report-SOF2324-SB1'!A1" xr:uid="{00000000-0004-0000-6B00-000000000000}"/>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FFFF00"/>
  </sheetPr>
  <dimension ref="A1:E30"/>
  <sheetViews>
    <sheetView workbookViewId="0">
      <selection activeCell="E17" sqref="E17"/>
    </sheetView>
  </sheetViews>
  <sheetFormatPr defaultRowHeight="12.5"/>
  <cols>
    <col min="1" max="1" width="5.453125" customWidth="1"/>
    <col min="2" max="2" width="61.81640625" customWidth="1"/>
    <col min="3" max="3" width="19.54296875" customWidth="1"/>
    <col min="4" max="4" width="3.81640625" customWidth="1"/>
    <col min="5" max="5" width="26.7265625" customWidth="1"/>
  </cols>
  <sheetData>
    <row r="1" spans="1:5" ht="13">
      <c r="A1" s="245" t="s">
        <v>2796</v>
      </c>
      <c r="E1" s="1784" t="str">
        <f>'FSF2324-HB3'!E1</f>
        <v>Release 2</v>
      </c>
    </row>
    <row r="2" spans="1:5" ht="13">
      <c r="A2" s="245" t="s">
        <v>2797</v>
      </c>
      <c r="E2" s="1805">
        <f>'FSF2324-HB3'!E2</f>
        <v>44930</v>
      </c>
    </row>
    <row r="3" spans="1:5" ht="13">
      <c r="A3" s="52"/>
      <c r="E3" s="47"/>
    </row>
    <row r="4" spans="1:5" ht="15.5">
      <c r="A4" s="246" t="s">
        <v>8548</v>
      </c>
    </row>
    <row r="5" spans="1:5" ht="15.5">
      <c r="A5" s="248" t="str">
        <f>'Data Entry - SOF'!B1</f>
        <v xml:space="preserve"> </v>
      </c>
    </row>
    <row r="6" spans="1:5" ht="15.5">
      <c r="A6" s="246">
        <f>'Data Entry - SOF'!B2</f>
        <v>0</v>
      </c>
    </row>
    <row r="8" spans="1:5" ht="18">
      <c r="A8" s="1806" t="s">
        <v>2799</v>
      </c>
      <c r="B8" s="1807"/>
      <c r="C8" s="1794" t="s">
        <v>1967</v>
      </c>
      <c r="D8" s="1808"/>
      <c r="E8" s="1804" t="s">
        <v>2801</v>
      </c>
    </row>
    <row r="9" spans="1:5" ht="18">
      <c r="A9" s="1809" t="s">
        <v>2798</v>
      </c>
      <c r="B9" s="1810"/>
      <c r="C9" s="1796" t="s">
        <v>2800</v>
      </c>
      <c r="D9" s="1811"/>
      <c r="E9" s="1776" t="s">
        <v>2802</v>
      </c>
    </row>
    <row r="10" spans="1:5" ht="15.5">
      <c r="A10" s="1780" t="s">
        <v>2807</v>
      </c>
      <c r="B10" s="1762"/>
      <c r="C10" s="1762"/>
      <c r="D10" s="1762"/>
      <c r="E10" s="1812"/>
    </row>
    <row r="11" spans="1:5" ht="15.5">
      <c r="A11" s="250" t="s">
        <v>2063</v>
      </c>
      <c r="B11" s="251" t="s">
        <v>2803</v>
      </c>
      <c r="C11" s="253">
        <f>'Data Entry - SOF'!I108</f>
        <v>0</v>
      </c>
      <c r="D11" s="251"/>
      <c r="E11" s="253" t="e">
        <f>'Report-SOF2425-SB1'!D65</f>
        <v>#DIV/0!</v>
      </c>
    </row>
    <row r="12" spans="1:5" ht="15.5">
      <c r="A12" s="250" t="s">
        <v>2064</v>
      </c>
      <c r="B12" s="251" t="s">
        <v>2804</v>
      </c>
      <c r="C12" s="253">
        <f>'Data Entry - SOF'!I109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761" t="s">
        <v>2808</v>
      </c>
      <c r="C15" s="1781"/>
      <c r="D15" s="1781"/>
      <c r="E15" s="1813" t="e">
        <f>E13-C13</f>
        <v>#DIV/0!</v>
      </c>
    </row>
    <row r="16" spans="1:5" ht="15.5">
      <c r="A16" s="247"/>
      <c r="C16" s="320" t="s">
        <v>2708</v>
      </c>
      <c r="D16" s="247"/>
      <c r="E16" s="635" t="s">
        <v>10473</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425-SB1'!A1" display="'Report-SOF2425-SB1'!A1" xr:uid="{00000000-0004-0000-6C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FF66"/>
  </sheetPr>
  <dimension ref="A1:S172"/>
  <sheetViews>
    <sheetView topLeftCell="A37" zoomScale="79" workbookViewId="0">
      <selection activeCell="J48" sqref="J48"/>
    </sheetView>
  </sheetViews>
  <sheetFormatPr defaultRowHeight="13"/>
  <cols>
    <col min="1" max="1" width="82.7265625" customWidth="1"/>
    <col min="2" max="2" width="2.54296875" customWidth="1"/>
    <col min="3" max="6" width="12.54296875" hidden="1" customWidth="1"/>
    <col min="7" max="14" width="15.54296875" style="41" customWidth="1"/>
    <col min="15" max="15" width="33.54296875" style="43" customWidth="1"/>
    <col min="16" max="16" width="10.453125" customWidth="1"/>
    <col min="17" max="17" width="11.54296875" customWidth="1"/>
    <col min="18" max="18" width="19.81640625" customWidth="1"/>
    <col min="19" max="19" width="11.453125" customWidth="1"/>
  </cols>
  <sheetData>
    <row r="1" spans="1:15">
      <c r="G1" s="1051" t="s">
        <v>2839</v>
      </c>
      <c r="H1" s="1051" t="s">
        <v>3325</v>
      </c>
      <c r="I1" s="1247" t="s">
        <v>5513</v>
      </c>
      <c r="J1" s="1247" t="s">
        <v>5951</v>
      </c>
      <c r="K1" s="1247" t="s">
        <v>7037</v>
      </c>
      <c r="L1" s="1247" t="s">
        <v>8487</v>
      </c>
      <c r="M1" s="1247" t="s">
        <v>9171</v>
      </c>
      <c r="N1" s="1247" t="s">
        <v>11049</v>
      </c>
      <c r="O1" s="1132" t="s">
        <v>2778</v>
      </c>
    </row>
    <row r="2" spans="1:15">
      <c r="A2" s="25" t="s">
        <v>2777</v>
      </c>
      <c r="G2" s="1033" t="s">
        <v>7427</v>
      </c>
      <c r="H2" s="1033" t="s">
        <v>7427</v>
      </c>
      <c r="I2" s="1248" t="s">
        <v>9066</v>
      </c>
      <c r="J2" s="1248" t="s">
        <v>1202</v>
      </c>
      <c r="K2" s="1248" t="s">
        <v>1202</v>
      </c>
      <c r="L2" s="1248" t="s">
        <v>1202</v>
      </c>
      <c r="M2" s="1248" t="s">
        <v>1202</v>
      </c>
      <c r="N2" s="1248" t="s">
        <v>1202</v>
      </c>
      <c r="O2" s="1133" t="s">
        <v>2770</v>
      </c>
    </row>
    <row r="3" spans="1:15">
      <c r="C3" s="58" t="s">
        <v>158</v>
      </c>
      <c r="D3" s="58" t="s">
        <v>159</v>
      </c>
      <c r="E3" s="58" t="s">
        <v>160</v>
      </c>
      <c r="F3" s="58" t="s">
        <v>736</v>
      </c>
      <c r="O3" s="1133" t="s">
        <v>2775</v>
      </c>
    </row>
    <row r="4" spans="1:15">
      <c r="A4" s="628" t="s">
        <v>7573</v>
      </c>
      <c r="B4" s="1037"/>
      <c r="C4" s="1037"/>
      <c r="D4" s="1037"/>
      <c r="E4" s="1037"/>
      <c r="F4" s="1037"/>
      <c r="G4" s="1129" t="s">
        <v>7574</v>
      </c>
      <c r="H4" s="1129" t="s">
        <v>7574</v>
      </c>
      <c r="I4" s="1129" t="s">
        <v>7574</v>
      </c>
      <c r="J4" s="1129" t="s">
        <v>7574</v>
      </c>
      <c r="K4" s="1129" t="s">
        <v>7574</v>
      </c>
      <c r="L4" s="1129" t="s">
        <v>7574</v>
      </c>
      <c r="M4" s="1129" t="s">
        <v>7574</v>
      </c>
      <c r="N4" s="1129" t="s">
        <v>7574</v>
      </c>
      <c r="O4" s="1133" t="s">
        <v>2771</v>
      </c>
    </row>
    <row r="5" spans="1:15">
      <c r="A5" s="1037"/>
      <c r="B5" s="1037"/>
      <c r="C5" s="1217"/>
      <c r="D5" s="1217"/>
      <c r="E5" s="1217"/>
      <c r="F5" s="1217"/>
      <c r="G5" s="1228"/>
      <c r="H5" s="389"/>
      <c r="I5" s="389"/>
      <c r="J5" s="389"/>
      <c r="K5" s="389"/>
      <c r="L5" s="389"/>
      <c r="M5" s="389"/>
      <c r="N5" s="389"/>
      <c r="O5" s="345" t="s">
        <v>2772</v>
      </c>
    </row>
    <row r="6" spans="1:15">
      <c r="A6" s="628" t="s">
        <v>7603</v>
      </c>
      <c r="B6" s="1037"/>
      <c r="C6" s="1217"/>
      <c r="D6" s="1217"/>
      <c r="E6" s="1217"/>
      <c r="F6" s="1217"/>
      <c r="G6" s="1228"/>
      <c r="H6" s="389"/>
      <c r="I6" s="389"/>
      <c r="J6" s="389"/>
      <c r="K6" s="389"/>
      <c r="L6" s="389"/>
      <c r="M6" s="389"/>
      <c r="N6" s="389"/>
      <c r="O6"/>
    </row>
    <row r="7" spans="1:15" ht="12.5">
      <c r="A7" s="1037" t="s">
        <v>2611</v>
      </c>
      <c r="B7" s="1037"/>
      <c r="C7" s="1218">
        <v>5</v>
      </c>
      <c r="D7" s="1218">
        <v>5</v>
      </c>
      <c r="E7" s="1218">
        <v>5</v>
      </c>
      <c r="F7" s="1218">
        <v>5</v>
      </c>
      <c r="G7" s="1229">
        <v>5</v>
      </c>
      <c r="H7" s="1240">
        <v>5</v>
      </c>
      <c r="I7" s="1240">
        <v>5</v>
      </c>
      <c r="J7" s="1240">
        <v>5</v>
      </c>
      <c r="K7" s="1240">
        <v>5</v>
      </c>
      <c r="L7" s="1240">
        <v>5</v>
      </c>
      <c r="M7" s="1240">
        <v>5</v>
      </c>
      <c r="N7" s="1240">
        <v>5</v>
      </c>
      <c r="O7"/>
    </row>
    <row r="8" spans="1:15" ht="12.5">
      <c r="A8" s="1037" t="s">
        <v>2612</v>
      </c>
      <c r="B8" s="1037"/>
      <c r="C8" s="1218">
        <v>3</v>
      </c>
      <c r="D8" s="1218">
        <v>3</v>
      </c>
      <c r="E8" s="1218">
        <v>3</v>
      </c>
      <c r="F8" s="1218">
        <v>3</v>
      </c>
      <c r="G8" s="1229">
        <v>3</v>
      </c>
      <c r="H8" s="1240">
        <v>3</v>
      </c>
      <c r="I8" s="1240">
        <v>3</v>
      </c>
      <c r="J8" s="1240">
        <v>3</v>
      </c>
      <c r="K8" s="1240">
        <v>3</v>
      </c>
      <c r="L8" s="1240">
        <v>3</v>
      </c>
      <c r="M8" s="1240">
        <v>3</v>
      </c>
      <c r="N8" s="1240">
        <v>3</v>
      </c>
      <c r="O8"/>
    </row>
    <row r="9" spans="1:15" ht="12.5">
      <c r="A9" s="1037" t="s">
        <v>2613</v>
      </c>
      <c r="B9" s="1037"/>
      <c r="C9" s="1218">
        <v>5</v>
      </c>
      <c r="D9" s="1218">
        <v>5</v>
      </c>
      <c r="E9" s="1218">
        <v>5</v>
      </c>
      <c r="F9" s="1218">
        <v>5</v>
      </c>
      <c r="G9" s="1229">
        <v>5</v>
      </c>
      <c r="H9" s="1240">
        <v>5</v>
      </c>
      <c r="I9" s="1240">
        <v>5</v>
      </c>
      <c r="J9" s="1240">
        <v>5</v>
      </c>
      <c r="K9" s="1240">
        <v>5</v>
      </c>
      <c r="L9" s="1240">
        <v>5</v>
      </c>
      <c r="M9" s="1240">
        <v>5</v>
      </c>
      <c r="N9" s="1240">
        <v>5</v>
      </c>
      <c r="O9"/>
    </row>
    <row r="10" spans="1:15" ht="12.5">
      <c r="A10" s="1037" t="s">
        <v>2614</v>
      </c>
      <c r="B10" s="1037"/>
      <c r="C10" s="1218">
        <v>3</v>
      </c>
      <c r="D10" s="1218">
        <v>3</v>
      </c>
      <c r="E10" s="1218">
        <v>3</v>
      </c>
      <c r="F10" s="1218">
        <v>3</v>
      </c>
      <c r="G10" s="1229">
        <v>3</v>
      </c>
      <c r="H10" s="1240">
        <v>3</v>
      </c>
      <c r="I10" s="1240">
        <v>3</v>
      </c>
      <c r="J10" s="1240">
        <v>3</v>
      </c>
      <c r="K10" s="1240">
        <v>3</v>
      </c>
      <c r="L10" s="1240">
        <v>3</v>
      </c>
      <c r="M10" s="1240">
        <v>3</v>
      </c>
      <c r="N10" s="1240">
        <v>3</v>
      </c>
      <c r="O10"/>
    </row>
    <row r="11" spans="1:15" ht="12.5">
      <c r="A11" s="1037" t="s">
        <v>2742</v>
      </c>
      <c r="B11" s="1037"/>
      <c r="C11" s="1218">
        <v>3</v>
      </c>
      <c r="D11" s="1218">
        <v>3</v>
      </c>
      <c r="E11" s="1218">
        <v>3</v>
      </c>
      <c r="F11" s="1218">
        <v>3</v>
      </c>
      <c r="G11" s="1229">
        <v>3</v>
      </c>
      <c r="H11" s="1240">
        <v>3</v>
      </c>
      <c r="I11" s="1240">
        <v>3</v>
      </c>
      <c r="J11" s="1240">
        <v>3</v>
      </c>
      <c r="K11" s="1240">
        <v>3</v>
      </c>
      <c r="L11" s="1240">
        <v>3</v>
      </c>
      <c r="M11" s="1240">
        <v>3</v>
      </c>
      <c r="N11" s="1240">
        <v>3</v>
      </c>
      <c r="O11"/>
    </row>
    <row r="12" spans="1:15" ht="12.5">
      <c r="A12" s="1037" t="s">
        <v>2617</v>
      </c>
      <c r="B12" s="1037"/>
      <c r="C12" s="1218">
        <v>2.7</v>
      </c>
      <c r="D12" s="1218">
        <v>2.7</v>
      </c>
      <c r="E12" s="1218">
        <v>2.7</v>
      </c>
      <c r="F12" s="1218">
        <v>2.7</v>
      </c>
      <c r="G12" s="1229">
        <v>2.7</v>
      </c>
      <c r="H12" s="1240">
        <v>2.7</v>
      </c>
      <c r="I12" s="1240">
        <v>2.7</v>
      </c>
      <c r="J12" s="1240">
        <v>2.7</v>
      </c>
      <c r="K12" s="1240">
        <v>2.7</v>
      </c>
      <c r="L12" s="1240">
        <v>2.7</v>
      </c>
      <c r="M12" s="1240">
        <v>2.7</v>
      </c>
      <c r="N12" s="1240">
        <v>2.7</v>
      </c>
      <c r="O12"/>
    </row>
    <row r="13" spans="1:15" ht="12.5">
      <c r="A13" s="1037" t="s">
        <v>2743</v>
      </c>
      <c r="B13" s="1037"/>
      <c r="C13" s="1218">
        <v>2.2999999999999998</v>
      </c>
      <c r="D13" s="1218">
        <v>2.2999999999999998</v>
      </c>
      <c r="E13" s="1218">
        <v>2.2999999999999998</v>
      </c>
      <c r="F13" s="1218">
        <v>2.2999999999999998</v>
      </c>
      <c r="G13" s="1229">
        <v>2.2999999999999998</v>
      </c>
      <c r="H13" s="1240">
        <v>2.2999999999999998</v>
      </c>
      <c r="I13" s="1240">
        <v>2.2999999999999998</v>
      </c>
      <c r="J13" s="1240">
        <v>2.2999999999999998</v>
      </c>
      <c r="K13" s="1240">
        <v>2.2999999999999998</v>
      </c>
      <c r="L13" s="1240">
        <v>2.2999999999999998</v>
      </c>
      <c r="M13" s="1240">
        <v>2.2999999999999998</v>
      </c>
      <c r="N13" s="1240">
        <v>2.2999999999999998</v>
      </c>
      <c r="O13"/>
    </row>
    <row r="14" spans="1:15" ht="12.5">
      <c r="A14" s="1037" t="s">
        <v>2619</v>
      </c>
      <c r="B14" s="1037"/>
      <c r="C14" s="1218">
        <v>2.8</v>
      </c>
      <c r="D14" s="1218">
        <v>2.8</v>
      </c>
      <c r="E14" s="1218">
        <v>2.8</v>
      </c>
      <c r="F14" s="1218">
        <v>2.8</v>
      </c>
      <c r="G14" s="1229">
        <v>2.8</v>
      </c>
      <c r="H14" s="1240">
        <v>2.8</v>
      </c>
      <c r="I14" s="1240">
        <v>2.8</v>
      </c>
      <c r="J14" s="1240">
        <v>2.8</v>
      </c>
      <c r="K14" s="1240">
        <v>2.8</v>
      </c>
      <c r="L14" s="1240">
        <v>2.8</v>
      </c>
      <c r="M14" s="1240">
        <v>2.8</v>
      </c>
      <c r="N14" s="1240">
        <v>2.8</v>
      </c>
      <c r="O14"/>
    </row>
    <row r="15" spans="1:15" ht="12.5">
      <c r="A15" s="1037" t="s">
        <v>2744</v>
      </c>
      <c r="B15" s="1037"/>
      <c r="C15" s="1218">
        <v>1.7</v>
      </c>
      <c r="D15" s="1218">
        <v>1.7</v>
      </c>
      <c r="E15" s="1218">
        <v>1.7</v>
      </c>
      <c r="F15" s="1218">
        <v>1.7</v>
      </c>
      <c r="G15" s="1229">
        <v>1.7</v>
      </c>
      <c r="H15" s="1240">
        <v>1.7</v>
      </c>
      <c r="I15" s="1240">
        <v>1.7</v>
      </c>
      <c r="J15" s="1240">
        <v>1.7</v>
      </c>
      <c r="K15" s="1240">
        <v>1.7</v>
      </c>
      <c r="L15" s="1240">
        <v>1.7</v>
      </c>
      <c r="M15" s="1240">
        <v>1.7</v>
      </c>
      <c r="N15" s="1240">
        <v>1.7</v>
      </c>
      <c r="O15"/>
    </row>
    <row r="16" spans="1:15" ht="12.5">
      <c r="A16" s="1037" t="s">
        <v>2745</v>
      </c>
      <c r="B16" s="1037"/>
      <c r="C16" s="1218">
        <v>4</v>
      </c>
      <c r="D16" s="1218">
        <v>4</v>
      </c>
      <c r="E16" s="1218">
        <v>4</v>
      </c>
      <c r="F16" s="1218">
        <v>4</v>
      </c>
      <c r="G16" s="1229">
        <v>4</v>
      </c>
      <c r="H16" s="1240">
        <v>4</v>
      </c>
      <c r="I16" s="1240">
        <v>4</v>
      </c>
      <c r="J16" s="1240">
        <v>4</v>
      </c>
      <c r="K16" s="1240">
        <v>4</v>
      </c>
      <c r="L16" s="1240">
        <v>4</v>
      </c>
      <c r="M16" s="1240">
        <v>4</v>
      </c>
      <c r="N16" s="1240">
        <v>4</v>
      </c>
      <c r="O16"/>
    </row>
    <row r="17" spans="1:15" ht="12.5">
      <c r="A17" s="1037"/>
      <c r="B17" s="1037"/>
      <c r="C17" s="1218"/>
      <c r="D17" s="1218"/>
      <c r="E17" s="1218"/>
      <c r="F17" s="1218"/>
      <c r="G17" s="1229"/>
      <c r="H17" s="1240"/>
      <c r="I17" s="1240"/>
      <c r="J17" s="1240"/>
      <c r="K17" s="1240"/>
      <c r="L17" s="1240"/>
      <c r="M17" s="1240"/>
      <c r="N17" s="1240"/>
      <c r="O17"/>
    </row>
    <row r="18" spans="1:15">
      <c r="A18" s="628" t="s">
        <v>2636</v>
      </c>
      <c r="B18" s="1037"/>
      <c r="C18" s="1218">
        <v>1.1000000000000001</v>
      </c>
      <c r="D18" s="1218">
        <v>1.1000000000000001</v>
      </c>
      <c r="E18" s="1218">
        <v>1.1000000000000001</v>
      </c>
      <c r="F18" s="1218">
        <v>1.1000000000000001</v>
      </c>
      <c r="G18" s="726">
        <v>1.1499999999999999</v>
      </c>
      <c r="H18" s="1240">
        <f t="shared" ref="H18:N18" si="0">G18</f>
        <v>1.1499999999999999</v>
      </c>
      <c r="I18" s="1240">
        <f t="shared" si="0"/>
        <v>1.1499999999999999</v>
      </c>
      <c r="J18" s="1240">
        <f t="shared" si="0"/>
        <v>1.1499999999999999</v>
      </c>
      <c r="K18" s="1240">
        <f t="shared" si="0"/>
        <v>1.1499999999999999</v>
      </c>
      <c r="L18" s="1240">
        <f t="shared" si="0"/>
        <v>1.1499999999999999</v>
      </c>
      <c r="M18" s="1240">
        <f t="shared" si="0"/>
        <v>1.1499999999999999</v>
      </c>
      <c r="N18" s="1240">
        <f t="shared" si="0"/>
        <v>1.1499999999999999</v>
      </c>
      <c r="O18"/>
    </row>
    <row r="19" spans="1:15" ht="12.5">
      <c r="A19" s="1037"/>
      <c r="B19" s="1037"/>
      <c r="C19" s="1218"/>
      <c r="D19" s="1218"/>
      <c r="E19" s="1218"/>
      <c r="F19" s="1218"/>
      <c r="G19" s="1229"/>
      <c r="H19" s="1240"/>
      <c r="I19" s="1240"/>
      <c r="J19" s="1240"/>
      <c r="K19" s="1240"/>
      <c r="L19" s="1240"/>
      <c r="M19" s="1240"/>
      <c r="N19" s="1240"/>
      <c r="O19"/>
    </row>
    <row r="20" spans="1:15">
      <c r="A20" s="628" t="s">
        <v>7605</v>
      </c>
      <c r="B20" s="1037"/>
      <c r="C20" s="1218">
        <v>1.35</v>
      </c>
      <c r="D20" s="1218">
        <v>1.35</v>
      </c>
      <c r="E20" s="1218">
        <v>1.35</v>
      </c>
      <c r="F20" s="1218">
        <v>1.35</v>
      </c>
      <c r="G20" s="1229">
        <v>1.35</v>
      </c>
      <c r="H20" s="1240">
        <v>1.35</v>
      </c>
      <c r="I20" s="1240">
        <v>1.35</v>
      </c>
      <c r="J20" s="1240">
        <v>1.35</v>
      </c>
      <c r="K20" s="1240">
        <v>1.35</v>
      </c>
      <c r="L20" s="1240">
        <v>1.35</v>
      </c>
      <c r="M20" s="1240">
        <v>1.35</v>
      </c>
      <c r="N20" s="1240">
        <v>1.35</v>
      </c>
      <c r="O20"/>
    </row>
    <row r="21" spans="1:15" s="2042" customFormat="1">
      <c r="A21" s="718" t="s">
        <v>9039</v>
      </c>
      <c r="B21" s="629"/>
      <c r="C21" s="728"/>
      <c r="D21" s="728"/>
      <c r="E21" s="728"/>
      <c r="F21" s="728"/>
      <c r="G21" s="2173"/>
      <c r="H21" s="2173"/>
      <c r="I21" s="2173">
        <v>1.1000000000000001</v>
      </c>
      <c r="J21" s="1240">
        <f t="shared" ref="J21:N23" si="1">I21</f>
        <v>1.1000000000000001</v>
      </c>
      <c r="K21" s="1240">
        <f t="shared" si="1"/>
        <v>1.1000000000000001</v>
      </c>
      <c r="L21" s="1240">
        <f t="shared" si="1"/>
        <v>1.1000000000000001</v>
      </c>
      <c r="M21" s="1240">
        <f t="shared" si="1"/>
        <v>1.1000000000000001</v>
      </c>
      <c r="N21" s="1240">
        <f t="shared" si="1"/>
        <v>1.1000000000000001</v>
      </c>
    </row>
    <row r="22" spans="1:15" s="2042" customFormat="1">
      <c r="A22" s="718" t="s">
        <v>9040</v>
      </c>
      <c r="B22" s="629"/>
      <c r="C22" s="728"/>
      <c r="D22" s="728"/>
      <c r="E22" s="728"/>
      <c r="F22" s="728"/>
      <c r="G22" s="2173"/>
      <c r="H22" s="2173"/>
      <c r="I22" s="2173">
        <v>1.28</v>
      </c>
      <c r="J22" s="1240">
        <f t="shared" si="1"/>
        <v>1.28</v>
      </c>
      <c r="K22" s="1240">
        <f t="shared" si="1"/>
        <v>1.28</v>
      </c>
      <c r="L22" s="1240">
        <f t="shared" si="1"/>
        <v>1.28</v>
      </c>
      <c r="M22" s="1240">
        <f t="shared" si="1"/>
        <v>1.28</v>
      </c>
      <c r="N22" s="1240">
        <f t="shared" si="1"/>
        <v>1.28</v>
      </c>
    </row>
    <row r="23" spans="1:15" s="2042" customFormat="1">
      <c r="A23" s="718" t="s">
        <v>9041</v>
      </c>
      <c r="B23" s="629"/>
      <c r="C23" s="728"/>
      <c r="D23" s="728"/>
      <c r="E23" s="728"/>
      <c r="F23" s="728"/>
      <c r="G23" s="2173"/>
      <c r="H23" s="2173"/>
      <c r="I23" s="2173">
        <v>1.47</v>
      </c>
      <c r="J23" s="1240">
        <f t="shared" si="1"/>
        <v>1.47</v>
      </c>
      <c r="K23" s="1240">
        <f t="shared" si="1"/>
        <v>1.47</v>
      </c>
      <c r="L23" s="1240">
        <f t="shared" si="1"/>
        <v>1.47</v>
      </c>
      <c r="M23" s="1240">
        <f t="shared" si="1"/>
        <v>1.47</v>
      </c>
      <c r="N23" s="1240">
        <f t="shared" si="1"/>
        <v>1.47</v>
      </c>
    </row>
    <row r="24" spans="1:15">
      <c r="A24" s="718" t="s">
        <v>9049</v>
      </c>
      <c r="B24" s="1037"/>
      <c r="C24" s="847">
        <v>50</v>
      </c>
      <c r="D24" s="847">
        <v>50</v>
      </c>
      <c r="E24" s="847">
        <v>50</v>
      </c>
      <c r="F24" s="847">
        <v>50</v>
      </c>
      <c r="G24" s="1230">
        <v>50</v>
      </c>
      <c r="H24" s="186">
        <v>50</v>
      </c>
      <c r="I24" s="186">
        <v>50</v>
      </c>
      <c r="J24" s="186">
        <v>50</v>
      </c>
      <c r="K24" s="186">
        <v>50</v>
      </c>
      <c r="L24" s="186">
        <v>50</v>
      </c>
      <c r="M24" s="186">
        <v>50</v>
      </c>
      <c r="N24" s="186">
        <v>50</v>
      </c>
      <c r="O24"/>
    </row>
    <row r="25" spans="1:15" ht="12.5">
      <c r="A25" s="1037"/>
      <c r="B25" s="1037"/>
      <c r="C25" s="1217"/>
      <c r="D25" s="1217"/>
      <c r="E25" s="1217"/>
      <c r="F25" s="1217"/>
      <c r="G25" s="1228"/>
      <c r="H25" s="389"/>
      <c r="I25" s="389"/>
      <c r="J25" s="389"/>
      <c r="K25" s="389"/>
      <c r="L25" s="389"/>
      <c r="M25" s="389"/>
      <c r="N25" s="389"/>
      <c r="O25"/>
    </row>
    <row r="26" spans="1:15" ht="12.5">
      <c r="A26" s="1068" t="s">
        <v>7581</v>
      </c>
      <c r="B26" s="1068"/>
      <c r="C26" s="1069">
        <v>0.1</v>
      </c>
      <c r="D26" s="1069">
        <v>0.1</v>
      </c>
      <c r="E26" s="1069">
        <v>0.1</v>
      </c>
      <c r="F26" s="1069">
        <v>0.1</v>
      </c>
      <c r="G26" s="1231">
        <v>0.1</v>
      </c>
      <c r="H26" s="1240">
        <v>0.1</v>
      </c>
      <c r="I26" s="1240">
        <v>0.1</v>
      </c>
      <c r="J26" s="1240">
        <v>0.1</v>
      </c>
      <c r="K26" s="1240">
        <v>0.1</v>
      </c>
      <c r="L26" s="1240">
        <v>0.1</v>
      </c>
      <c r="M26" s="1240">
        <v>0.1</v>
      </c>
      <c r="N26" s="1240">
        <v>0.1</v>
      </c>
      <c r="O26"/>
    </row>
    <row r="27" spans="1:15">
      <c r="A27" s="628" t="s">
        <v>7556</v>
      </c>
      <c r="B27" s="1037"/>
      <c r="C27" s="1218"/>
      <c r="D27" s="1218"/>
      <c r="E27" s="1218"/>
      <c r="F27" s="1218"/>
      <c r="G27" s="726">
        <v>0.15</v>
      </c>
      <c r="H27" s="726">
        <v>0.15</v>
      </c>
      <c r="I27" s="1240">
        <f t="shared" ref="I27:N28" si="2">H27</f>
        <v>0.15</v>
      </c>
      <c r="J27" s="1240">
        <f t="shared" si="2"/>
        <v>0.15</v>
      </c>
      <c r="K27" s="1240">
        <f t="shared" si="2"/>
        <v>0.15</v>
      </c>
      <c r="L27" s="1240">
        <f t="shared" si="2"/>
        <v>0.15</v>
      </c>
      <c r="M27" s="1240">
        <f t="shared" si="2"/>
        <v>0.15</v>
      </c>
      <c r="N27" s="1240">
        <f t="shared" si="2"/>
        <v>0.15</v>
      </c>
      <c r="O27"/>
    </row>
    <row r="28" spans="1:15">
      <c r="A28" s="628" t="s">
        <v>7453</v>
      </c>
      <c r="B28" s="1037"/>
      <c r="C28" s="1218"/>
      <c r="D28" s="1218"/>
      <c r="E28" s="1218"/>
      <c r="F28" s="1218"/>
      <c r="G28" s="726">
        <v>0.05</v>
      </c>
      <c r="H28" s="726">
        <v>0.05</v>
      </c>
      <c r="I28" s="1240">
        <f t="shared" si="2"/>
        <v>0.05</v>
      </c>
      <c r="J28" s="1240">
        <f t="shared" si="2"/>
        <v>0.05</v>
      </c>
      <c r="K28" s="1240">
        <f t="shared" si="2"/>
        <v>0.05</v>
      </c>
      <c r="L28" s="1240">
        <f t="shared" si="2"/>
        <v>0.05</v>
      </c>
      <c r="M28" s="1240">
        <f t="shared" si="2"/>
        <v>0.05</v>
      </c>
      <c r="N28" s="1240">
        <f t="shared" si="2"/>
        <v>0.05</v>
      </c>
      <c r="O28"/>
    </row>
    <row r="29" spans="1:15" ht="12.5">
      <c r="A29" s="1037"/>
      <c r="B29" s="1037"/>
      <c r="C29" s="1218"/>
      <c r="D29" s="1218"/>
      <c r="E29" s="1218"/>
      <c r="F29" s="1218"/>
      <c r="G29" s="1229"/>
      <c r="H29" s="1240"/>
      <c r="I29" s="1240"/>
      <c r="J29" s="1240"/>
      <c r="K29" s="1240"/>
      <c r="L29" s="1240"/>
      <c r="M29" s="1240"/>
      <c r="N29" s="1240"/>
      <c r="O29"/>
    </row>
    <row r="30" spans="1:15">
      <c r="A30" s="628" t="s">
        <v>2749</v>
      </c>
      <c r="B30" s="1037"/>
      <c r="C30" s="1218">
        <v>0.12</v>
      </c>
      <c r="D30" s="1218">
        <v>0.12</v>
      </c>
      <c r="E30" s="1218">
        <v>0.12</v>
      </c>
      <c r="F30" s="1218">
        <v>0.12</v>
      </c>
      <c r="G30" s="726">
        <v>0</v>
      </c>
      <c r="H30" s="1240">
        <v>0.12</v>
      </c>
      <c r="I30" s="1240">
        <v>0.12</v>
      </c>
      <c r="J30" s="1240">
        <v>0.12</v>
      </c>
      <c r="K30" s="1240">
        <v>0.12</v>
      </c>
      <c r="L30" s="1240">
        <v>0.12</v>
      </c>
      <c r="M30" s="1240">
        <v>0.12</v>
      </c>
      <c r="N30" s="1240">
        <v>0.12</v>
      </c>
      <c r="O30"/>
    </row>
    <row r="31" spans="1:15">
      <c r="A31" s="718" t="s">
        <v>9050</v>
      </c>
      <c r="B31" s="629"/>
      <c r="C31" s="728"/>
      <c r="D31" s="728"/>
      <c r="E31" s="728"/>
      <c r="F31" s="728"/>
      <c r="G31" s="2173"/>
      <c r="H31" s="2173"/>
      <c r="I31" s="2173">
        <v>7.0000000000000007E-2</v>
      </c>
      <c r="J31" s="2173">
        <v>7.0000000000000007E-2</v>
      </c>
      <c r="K31" s="2173">
        <v>7.0000000000000007E-2</v>
      </c>
      <c r="L31" s="2173">
        <v>7.0000000000000007E-2</v>
      </c>
      <c r="M31" s="2173">
        <v>7.0000000000000007E-2</v>
      </c>
      <c r="N31" s="2173">
        <v>7.0000000000000007E-2</v>
      </c>
      <c r="O31"/>
    </row>
    <row r="32" spans="1:15">
      <c r="A32" s="628" t="s">
        <v>2750</v>
      </c>
      <c r="B32" s="1037"/>
      <c r="C32" s="1218">
        <v>0.2</v>
      </c>
      <c r="D32" s="1218">
        <v>0.2</v>
      </c>
      <c r="E32" s="1218">
        <v>0.2</v>
      </c>
      <c r="F32" s="1218">
        <v>0.2</v>
      </c>
      <c r="G32" s="726">
        <v>0</v>
      </c>
      <c r="H32" s="1240">
        <v>0.2</v>
      </c>
      <c r="I32" s="1240">
        <v>0.2</v>
      </c>
      <c r="J32" s="1240">
        <v>0.2</v>
      </c>
      <c r="K32" s="1240">
        <v>0.2</v>
      </c>
      <c r="L32" s="1240">
        <v>0.2</v>
      </c>
      <c r="M32" s="1240">
        <v>0.2</v>
      </c>
      <c r="N32" s="1240">
        <v>0.2</v>
      </c>
      <c r="O32"/>
    </row>
    <row r="33" spans="1:15" ht="12.5">
      <c r="A33" s="1037"/>
      <c r="B33" s="1037"/>
      <c r="C33" s="1037"/>
      <c r="D33" s="1037"/>
      <c r="E33" s="1037"/>
      <c r="F33" s="1037"/>
      <c r="G33" s="869"/>
      <c r="O33"/>
    </row>
    <row r="34" spans="1:15">
      <c r="A34" s="628" t="s">
        <v>7464</v>
      </c>
      <c r="B34" s="1037"/>
      <c r="C34" s="1037"/>
      <c r="D34" s="1037"/>
      <c r="E34" s="1037"/>
      <c r="F34" s="1037"/>
      <c r="G34" s="1232">
        <v>0.2</v>
      </c>
      <c r="H34" s="1241">
        <f t="shared" ref="H34:N34" si="3">G34</f>
        <v>0.2</v>
      </c>
      <c r="I34" s="1241">
        <f t="shared" si="3"/>
        <v>0.2</v>
      </c>
      <c r="J34" s="1241">
        <f t="shared" si="3"/>
        <v>0.2</v>
      </c>
      <c r="K34" s="1241">
        <f t="shared" si="3"/>
        <v>0.2</v>
      </c>
      <c r="L34" s="1241">
        <f t="shared" si="3"/>
        <v>0.2</v>
      </c>
      <c r="M34" s="1241">
        <f t="shared" si="3"/>
        <v>0.2</v>
      </c>
      <c r="N34" s="1241">
        <f t="shared" si="3"/>
        <v>0.2</v>
      </c>
      <c r="O34"/>
    </row>
    <row r="35" spans="1:15">
      <c r="A35" s="628" t="s">
        <v>7463</v>
      </c>
      <c r="B35" s="1037"/>
      <c r="C35" s="1037"/>
      <c r="D35" s="1037"/>
      <c r="E35" s="1037"/>
      <c r="F35" s="1037"/>
      <c r="G35" s="1232">
        <v>0.27500000000000002</v>
      </c>
      <c r="H35" s="1241">
        <f t="shared" ref="H35:N41" si="4">G35</f>
        <v>0.27500000000000002</v>
      </c>
      <c r="I35" s="1241">
        <f t="shared" si="4"/>
        <v>0.27500000000000002</v>
      </c>
      <c r="J35" s="1241">
        <f t="shared" si="4"/>
        <v>0.27500000000000002</v>
      </c>
      <c r="K35" s="1241">
        <f t="shared" si="4"/>
        <v>0.27500000000000002</v>
      </c>
      <c r="L35" s="1241">
        <f t="shared" si="4"/>
        <v>0.27500000000000002</v>
      </c>
      <c r="M35" s="1241">
        <f t="shared" si="4"/>
        <v>0.27500000000000002</v>
      </c>
      <c r="N35" s="1241">
        <f t="shared" si="4"/>
        <v>0.27500000000000002</v>
      </c>
      <c r="O35"/>
    </row>
    <row r="36" spans="1:15">
      <c r="A36" s="628" t="s">
        <v>7475</v>
      </c>
      <c r="B36" s="1037"/>
      <c r="C36" s="1037"/>
      <c r="D36" s="1037"/>
      <c r="E36" s="1037"/>
      <c r="F36" s="1037"/>
      <c r="G36" s="1232">
        <v>0.22500000000000001</v>
      </c>
      <c r="H36" s="1241">
        <f t="shared" si="4"/>
        <v>0.22500000000000001</v>
      </c>
      <c r="I36" s="1241">
        <f t="shared" si="4"/>
        <v>0.22500000000000001</v>
      </c>
      <c r="J36" s="1241">
        <f t="shared" si="4"/>
        <v>0.22500000000000001</v>
      </c>
      <c r="K36" s="1241">
        <f t="shared" si="4"/>
        <v>0.22500000000000001</v>
      </c>
      <c r="L36" s="1241">
        <f t="shared" si="4"/>
        <v>0.22500000000000001</v>
      </c>
      <c r="M36" s="1241">
        <f t="shared" si="4"/>
        <v>0.22500000000000001</v>
      </c>
      <c r="N36" s="1241">
        <f t="shared" si="4"/>
        <v>0.22500000000000001</v>
      </c>
      <c r="O36"/>
    </row>
    <row r="37" spans="1:15">
      <c r="A37" s="628" t="s">
        <v>7476</v>
      </c>
      <c r="B37" s="1037"/>
      <c r="C37" s="1037"/>
      <c r="D37" s="1037"/>
      <c r="E37" s="1037"/>
      <c r="F37" s="1037"/>
      <c r="G37" s="1232">
        <v>0.23749999999999999</v>
      </c>
      <c r="H37" s="1241">
        <f t="shared" si="4"/>
        <v>0.23749999999999999</v>
      </c>
      <c r="I37" s="1241">
        <f t="shared" si="4"/>
        <v>0.23749999999999999</v>
      </c>
      <c r="J37" s="1241">
        <f t="shared" si="4"/>
        <v>0.23749999999999999</v>
      </c>
      <c r="K37" s="1241">
        <f t="shared" si="4"/>
        <v>0.23749999999999999</v>
      </c>
      <c r="L37" s="1241">
        <f t="shared" si="4"/>
        <v>0.23749999999999999</v>
      </c>
      <c r="M37" s="1241">
        <f t="shared" si="4"/>
        <v>0.23749999999999999</v>
      </c>
      <c r="N37" s="1241">
        <f t="shared" si="4"/>
        <v>0.23749999999999999</v>
      </c>
      <c r="O37"/>
    </row>
    <row r="38" spans="1:15">
      <c r="A38" s="628" t="s">
        <v>7477</v>
      </c>
      <c r="B38" s="1037"/>
      <c r="C38" s="1037"/>
      <c r="D38" s="1037"/>
      <c r="E38" s="1037"/>
      <c r="F38" s="1037"/>
      <c r="G38" s="1232">
        <v>0.25</v>
      </c>
      <c r="H38" s="1241">
        <f t="shared" si="4"/>
        <v>0.25</v>
      </c>
      <c r="I38" s="1241">
        <f t="shared" si="4"/>
        <v>0.25</v>
      </c>
      <c r="J38" s="1241">
        <f t="shared" si="4"/>
        <v>0.25</v>
      </c>
      <c r="K38" s="1241">
        <f t="shared" si="4"/>
        <v>0.25</v>
      </c>
      <c r="L38" s="1241">
        <f t="shared" si="4"/>
        <v>0.25</v>
      </c>
      <c r="M38" s="1241">
        <f t="shared" si="4"/>
        <v>0.25</v>
      </c>
      <c r="N38" s="1241">
        <f t="shared" si="4"/>
        <v>0.25</v>
      </c>
      <c r="O38"/>
    </row>
    <row r="39" spans="1:15">
      <c r="A39" s="628" t="s">
        <v>7478</v>
      </c>
      <c r="B39" s="1037"/>
      <c r="C39" s="1037"/>
      <c r="D39" s="1037"/>
      <c r="E39" s="1037"/>
      <c r="F39" s="1037"/>
      <c r="G39" s="1232">
        <v>0.26250000000000001</v>
      </c>
      <c r="H39" s="1241">
        <f t="shared" si="4"/>
        <v>0.26250000000000001</v>
      </c>
      <c r="I39" s="1241">
        <f t="shared" si="4"/>
        <v>0.26250000000000001</v>
      </c>
      <c r="J39" s="1241">
        <f t="shared" si="4"/>
        <v>0.26250000000000001</v>
      </c>
      <c r="K39" s="1241">
        <f t="shared" si="4"/>
        <v>0.26250000000000001</v>
      </c>
      <c r="L39" s="1241">
        <f t="shared" si="4"/>
        <v>0.26250000000000001</v>
      </c>
      <c r="M39" s="1241">
        <f t="shared" si="4"/>
        <v>0.26250000000000001</v>
      </c>
      <c r="N39" s="1241">
        <f t="shared" si="4"/>
        <v>0.26250000000000001</v>
      </c>
      <c r="O39"/>
    </row>
    <row r="40" spans="1:15">
      <c r="A40" s="628" t="s">
        <v>7479</v>
      </c>
      <c r="B40" s="1037"/>
      <c r="C40" s="1037"/>
      <c r="D40" s="1037"/>
      <c r="E40" s="1037"/>
      <c r="F40" s="1037"/>
      <c r="G40" s="1232">
        <v>0.27500000000000002</v>
      </c>
      <c r="H40" s="1241">
        <f t="shared" si="4"/>
        <v>0.27500000000000002</v>
      </c>
      <c r="I40" s="1241">
        <f t="shared" si="4"/>
        <v>0.27500000000000002</v>
      </c>
      <c r="J40" s="1241">
        <f t="shared" si="4"/>
        <v>0.27500000000000002</v>
      </c>
      <c r="K40" s="1241">
        <f t="shared" si="4"/>
        <v>0.27500000000000002</v>
      </c>
      <c r="L40" s="1241">
        <f t="shared" si="4"/>
        <v>0.27500000000000002</v>
      </c>
      <c r="M40" s="1241">
        <f t="shared" si="4"/>
        <v>0.27500000000000002</v>
      </c>
      <c r="N40" s="1241">
        <f t="shared" si="4"/>
        <v>0.27500000000000002</v>
      </c>
      <c r="O40"/>
    </row>
    <row r="41" spans="1:15">
      <c r="A41" s="628" t="s">
        <v>7466</v>
      </c>
      <c r="B41" s="1037"/>
      <c r="C41" s="1037"/>
      <c r="D41" s="1037"/>
      <c r="E41" s="1037"/>
      <c r="F41" s="1037"/>
      <c r="G41" s="1232">
        <v>0.22500000000000001</v>
      </c>
      <c r="H41" s="1241">
        <f t="shared" si="4"/>
        <v>0.22500000000000001</v>
      </c>
      <c r="I41" s="1241">
        <f t="shared" si="4"/>
        <v>0.22500000000000001</v>
      </c>
      <c r="J41" s="1241">
        <f t="shared" si="4"/>
        <v>0.22500000000000001</v>
      </c>
      <c r="K41" s="1241">
        <f t="shared" si="4"/>
        <v>0.22500000000000001</v>
      </c>
      <c r="L41" s="1241">
        <f t="shared" si="4"/>
        <v>0.22500000000000001</v>
      </c>
      <c r="M41" s="1241">
        <f t="shared" si="4"/>
        <v>0.22500000000000001</v>
      </c>
      <c r="N41" s="1241">
        <f t="shared" si="4"/>
        <v>0.22500000000000001</v>
      </c>
      <c r="O41"/>
    </row>
    <row r="42" spans="1:15" ht="12.5">
      <c r="A42" s="1037"/>
      <c r="B42" s="1037"/>
      <c r="C42" s="1218"/>
      <c r="D42" s="1218"/>
      <c r="E42" s="1218"/>
      <c r="F42" s="1218"/>
      <c r="G42" s="1229"/>
      <c r="H42" s="1240"/>
      <c r="I42" s="1240"/>
      <c r="J42" s="1240"/>
      <c r="K42" s="1240"/>
      <c r="L42" s="1240"/>
      <c r="M42" s="1240"/>
      <c r="N42" s="1240"/>
      <c r="O42"/>
    </row>
    <row r="43" spans="1:15" ht="12.5">
      <c r="A43" s="1037" t="s">
        <v>2751</v>
      </c>
      <c r="B43" s="1037"/>
      <c r="C43" s="1218">
        <v>2.41</v>
      </c>
      <c r="D43" s="1218">
        <v>2.41</v>
      </c>
      <c r="E43" s="1218">
        <v>2.41</v>
      </c>
      <c r="F43" s="1218">
        <v>2.41</v>
      </c>
      <c r="G43" s="1229">
        <v>2.41</v>
      </c>
      <c r="H43" s="1240">
        <v>2.41</v>
      </c>
      <c r="I43" s="1240">
        <v>2.41</v>
      </c>
      <c r="J43" s="1240">
        <v>2.41</v>
      </c>
      <c r="K43" s="1240">
        <v>2.41</v>
      </c>
      <c r="L43" s="1240">
        <v>2.41</v>
      </c>
      <c r="M43" s="1240">
        <v>2.41</v>
      </c>
      <c r="N43" s="1240">
        <v>2.41</v>
      </c>
      <c r="O43"/>
    </row>
    <row r="44" spans="1:15" ht="12.5">
      <c r="A44" s="1037"/>
      <c r="B44" s="1037"/>
      <c r="C44" s="1217"/>
      <c r="D44" s="1217"/>
      <c r="E44" s="1217"/>
      <c r="F44" s="1217"/>
      <c r="G44" s="1228"/>
      <c r="H44" s="389"/>
      <c r="I44" s="389"/>
      <c r="J44" s="389"/>
      <c r="K44" s="389"/>
      <c r="L44" s="389"/>
      <c r="M44" s="389"/>
      <c r="N44" s="389"/>
      <c r="O44"/>
    </row>
    <row r="45" spans="1:15">
      <c r="A45" s="628" t="s">
        <v>2753</v>
      </c>
      <c r="B45" s="1037"/>
      <c r="C45" s="847">
        <v>275</v>
      </c>
      <c r="D45" s="847">
        <v>275</v>
      </c>
      <c r="E45" s="847">
        <v>275</v>
      </c>
      <c r="F45" s="847">
        <v>275</v>
      </c>
      <c r="G45" s="1233">
        <v>0</v>
      </c>
      <c r="H45" s="186">
        <v>0</v>
      </c>
      <c r="I45" s="186">
        <v>0</v>
      </c>
      <c r="J45" s="186">
        <v>0</v>
      </c>
      <c r="K45" s="186">
        <v>0</v>
      </c>
      <c r="L45" s="186">
        <v>0</v>
      </c>
      <c r="M45" s="186">
        <v>0</v>
      </c>
      <c r="N45" s="186">
        <v>0</v>
      </c>
      <c r="O45"/>
    </row>
    <row r="46" spans="1:15" ht="12.5">
      <c r="A46" s="1037"/>
      <c r="B46" s="1037"/>
      <c r="C46" s="847"/>
      <c r="D46" s="847"/>
      <c r="E46" s="847"/>
      <c r="F46" s="847"/>
      <c r="G46" s="1230"/>
      <c r="H46" s="186"/>
      <c r="I46" s="186"/>
      <c r="J46" s="186"/>
      <c r="K46" s="186"/>
      <c r="L46" s="186"/>
      <c r="M46" s="186"/>
      <c r="N46" s="186"/>
      <c r="O46"/>
    </row>
    <row r="47" spans="1:15">
      <c r="A47" s="628" t="s">
        <v>7552</v>
      </c>
      <c r="B47" s="1037"/>
      <c r="C47" s="1217"/>
      <c r="D47" s="1217"/>
      <c r="E47" s="1217"/>
      <c r="F47" s="1217"/>
      <c r="G47" s="1233">
        <v>1000</v>
      </c>
      <c r="H47" s="1242">
        <f t="shared" ref="H47:N47" si="5">G47</f>
        <v>1000</v>
      </c>
      <c r="I47" s="2632">
        <v>852.77</v>
      </c>
      <c r="J47" s="2632">
        <v>946.9</v>
      </c>
      <c r="K47" s="2632">
        <f t="shared" si="5"/>
        <v>946.9</v>
      </c>
      <c r="L47" s="2632">
        <f t="shared" si="5"/>
        <v>946.9</v>
      </c>
      <c r="M47" s="2632">
        <f t="shared" si="5"/>
        <v>946.9</v>
      </c>
      <c r="N47" s="2632">
        <f t="shared" si="5"/>
        <v>946.9</v>
      </c>
      <c r="O47" s="1131" t="s">
        <v>7722</v>
      </c>
    </row>
    <row r="48" spans="1:15">
      <c r="A48" s="1037"/>
      <c r="B48" s="1037"/>
      <c r="C48" s="1217"/>
      <c r="D48" s="1217"/>
      <c r="E48" s="1217"/>
      <c r="F48" s="1217"/>
      <c r="G48" s="1228"/>
      <c r="H48" s="389"/>
      <c r="I48" s="389"/>
      <c r="J48" s="389"/>
      <c r="K48" s="389"/>
      <c r="L48" s="389"/>
      <c r="M48" s="389"/>
      <c r="N48" s="389"/>
      <c r="O48" s="507" t="s">
        <v>7723</v>
      </c>
    </row>
    <row r="49" spans="1:17">
      <c r="A49" s="1037" t="s">
        <v>2754</v>
      </c>
      <c r="B49" s="1037"/>
      <c r="C49" s="1218">
        <v>0.1</v>
      </c>
      <c r="D49" s="1218">
        <v>0.1</v>
      </c>
      <c r="E49" s="1218">
        <v>0.1</v>
      </c>
      <c r="F49" s="1218">
        <v>0.1</v>
      </c>
      <c r="G49" s="1229">
        <v>0.1</v>
      </c>
      <c r="H49" s="1240">
        <v>0.1</v>
      </c>
      <c r="I49" s="1240">
        <v>0.1</v>
      </c>
      <c r="J49" s="1240">
        <v>0.1</v>
      </c>
      <c r="K49" s="1240">
        <v>0.1</v>
      </c>
      <c r="L49" s="1240">
        <v>0.1</v>
      </c>
      <c r="M49" s="1240">
        <v>0.1</v>
      </c>
      <c r="N49" s="1240">
        <v>0.1</v>
      </c>
      <c r="O49" s="508" t="s">
        <v>7744</v>
      </c>
    </row>
    <row r="50" spans="1:17">
      <c r="A50" s="628" t="s">
        <v>7609</v>
      </c>
      <c r="B50" s="628"/>
      <c r="C50" s="1130"/>
      <c r="D50" s="1130"/>
      <c r="E50" s="1130"/>
      <c r="F50" s="1130"/>
      <c r="G50" s="1233">
        <v>266</v>
      </c>
      <c r="H50" s="186">
        <f t="shared" ref="H50:N50" si="6">G50</f>
        <v>266</v>
      </c>
      <c r="I50" s="186">
        <f t="shared" si="6"/>
        <v>266</v>
      </c>
      <c r="J50" s="186">
        <f t="shared" si="6"/>
        <v>266</v>
      </c>
      <c r="K50" s="186">
        <f t="shared" si="6"/>
        <v>266</v>
      </c>
      <c r="L50" s="186">
        <f t="shared" si="6"/>
        <v>266</v>
      </c>
      <c r="M50" s="186">
        <f t="shared" si="6"/>
        <v>266</v>
      </c>
      <c r="N50" s="186">
        <f t="shared" si="6"/>
        <v>266</v>
      </c>
      <c r="O50"/>
    </row>
    <row r="51" spans="1:17" ht="12.5">
      <c r="A51" s="1037"/>
      <c r="B51" s="1037"/>
      <c r="C51" s="1218"/>
      <c r="D51" s="1218"/>
      <c r="E51" s="1218"/>
      <c r="F51" s="1218"/>
      <c r="G51" s="869"/>
      <c r="H51" s="1240"/>
      <c r="I51" s="1240"/>
      <c r="J51" s="1240"/>
      <c r="K51" s="1240"/>
      <c r="L51" s="1240"/>
      <c r="M51" s="1240"/>
      <c r="N51" s="1240"/>
      <c r="O51"/>
    </row>
    <row r="52" spans="1:17" ht="12.5">
      <c r="A52" s="1037"/>
      <c r="B52" s="1037"/>
      <c r="C52" s="1217"/>
      <c r="D52" s="1217"/>
      <c r="E52" s="1217"/>
      <c r="F52" s="1217"/>
      <c r="G52" s="1228"/>
      <c r="H52" s="389"/>
      <c r="I52" s="389"/>
      <c r="J52" s="389"/>
      <c r="K52" s="389"/>
      <c r="L52" s="389"/>
      <c r="M52" s="389"/>
      <c r="N52" s="389"/>
      <c r="O52"/>
    </row>
    <row r="53" spans="1:17" hidden="1">
      <c r="A53" s="628" t="s">
        <v>2755</v>
      </c>
      <c r="B53" s="1037"/>
      <c r="C53" s="1219">
        <v>2.5000000000000001E-4</v>
      </c>
      <c r="D53" s="1219">
        <v>2.5000000000000001E-4</v>
      </c>
      <c r="E53" s="1219">
        <v>2.5000000000000001E-4</v>
      </c>
      <c r="F53" s="1219">
        <v>2.5000000000000001E-4</v>
      </c>
      <c r="G53" s="1129">
        <v>0</v>
      </c>
      <c r="H53" s="1243">
        <v>3.2499999999999999E-4</v>
      </c>
      <c r="I53" s="1243">
        <v>3.5E-4</v>
      </c>
      <c r="J53" s="1243">
        <v>3.7500000000000001E-4</v>
      </c>
      <c r="K53" s="1243">
        <v>4.0000000000000002E-4</v>
      </c>
      <c r="L53" s="1243">
        <v>4.0000000000000002E-4</v>
      </c>
      <c r="M53" s="1243">
        <v>4.0000000000000002E-4</v>
      </c>
      <c r="N53" s="1243">
        <v>4.0000000000000002E-4</v>
      </c>
      <c r="O53" s="1054">
        <v>2.9999999999999997E-4</v>
      </c>
      <c r="P53" s="1056" t="s">
        <v>7582</v>
      </c>
      <c r="Q53" s="1056"/>
    </row>
    <row r="54" spans="1:17" hidden="1">
      <c r="A54" s="1037" t="s">
        <v>2762</v>
      </c>
      <c r="B54" s="1037"/>
      <c r="C54" s="1217">
        <v>4.0000000000000002E-4</v>
      </c>
      <c r="D54" s="1217">
        <v>4.0000000000000002E-4</v>
      </c>
      <c r="E54" s="1217">
        <v>4.0000000000000002E-4</v>
      </c>
      <c r="F54" s="1217">
        <v>4.0000000000000002E-4</v>
      </c>
      <c r="G54" s="1228">
        <v>0</v>
      </c>
      <c r="H54" s="389">
        <v>4.0000000000000002E-4</v>
      </c>
      <c r="I54" s="389">
        <v>4.0000000000000002E-4</v>
      </c>
      <c r="J54" s="389">
        <v>4.0000000000000002E-4</v>
      </c>
      <c r="K54" s="389">
        <v>4.0000000000000002E-4</v>
      </c>
      <c r="L54" s="389">
        <v>4.0000000000000002E-4</v>
      </c>
      <c r="M54" s="389">
        <v>4.0000000000000002E-4</v>
      </c>
      <c r="N54" s="389">
        <v>4.0000000000000002E-4</v>
      </c>
      <c r="O54" s="1054"/>
    </row>
    <row r="55" spans="1:17" hidden="1">
      <c r="A55" s="1037"/>
      <c r="B55" s="1037"/>
      <c r="C55" s="1037"/>
      <c r="D55" s="1037"/>
      <c r="E55" s="1037"/>
      <c r="F55" s="1037"/>
      <c r="G55" s="869"/>
      <c r="O55" s="1054">
        <v>4.0000000000000002E-4</v>
      </c>
      <c r="P55" s="1056" t="s">
        <v>7583</v>
      </c>
      <c r="Q55" s="1055"/>
    </row>
    <row r="56" spans="1:17" hidden="1">
      <c r="A56" s="628" t="s">
        <v>2756</v>
      </c>
      <c r="B56" s="1037"/>
      <c r="C56" s="1220">
        <v>2.5000000000000001E-5</v>
      </c>
      <c r="D56" s="1220">
        <v>2.5000000000000001E-5</v>
      </c>
      <c r="E56" s="1220">
        <v>2.5000000000000001E-5</v>
      </c>
      <c r="F56" s="1220">
        <v>2.5000000000000001E-5</v>
      </c>
      <c r="G56" s="1234">
        <v>0</v>
      </c>
      <c r="H56" s="1244">
        <v>2.5000000000000001E-5</v>
      </c>
      <c r="I56" s="1244">
        <v>2.5000000000000001E-5</v>
      </c>
      <c r="J56" s="1244">
        <v>2.5000000000000001E-5</v>
      </c>
      <c r="K56" s="1244">
        <v>2.5000000000000001E-5</v>
      </c>
      <c r="L56" s="1244">
        <v>2.5000000000000001E-5</v>
      </c>
      <c r="M56" s="1244">
        <v>2.5000000000000001E-5</v>
      </c>
      <c r="N56" s="1244">
        <v>2.5000000000000001E-5</v>
      </c>
      <c r="O56" s="1054">
        <v>2.5000000000000001E-5</v>
      </c>
      <c r="P56" s="1056" t="s">
        <v>7428</v>
      </c>
      <c r="Q56" s="1055"/>
    </row>
    <row r="57" spans="1:17" hidden="1">
      <c r="A57" s="1037"/>
      <c r="B57" s="1037"/>
      <c r="C57" s="1037"/>
      <c r="D57" s="1037"/>
      <c r="E57" s="1037"/>
      <c r="F57" s="1037"/>
      <c r="G57" s="869"/>
      <c r="H57" s="1244"/>
      <c r="I57" s="1244"/>
      <c r="J57" s="1244"/>
      <c r="K57" s="1244"/>
      <c r="L57" s="1244"/>
      <c r="M57" s="1244"/>
      <c r="N57" s="1244"/>
      <c r="O57" s="1054"/>
    </row>
    <row r="58" spans="1:17">
      <c r="A58" s="628" t="s">
        <v>7430</v>
      </c>
      <c r="B58" s="1037"/>
      <c r="C58" s="1037"/>
      <c r="D58" s="1037"/>
      <c r="E58" s="1037"/>
      <c r="F58" s="1037"/>
      <c r="G58" s="869"/>
      <c r="H58" s="389"/>
      <c r="I58" s="389"/>
      <c r="J58" s="389"/>
      <c r="K58" s="389"/>
      <c r="L58" s="389"/>
      <c r="M58" s="389"/>
      <c r="N58" s="389"/>
      <c r="O58"/>
    </row>
    <row r="59" spans="1:17">
      <c r="A59" s="628" t="s">
        <v>7468</v>
      </c>
      <c r="B59" s="1037"/>
      <c r="C59" s="1037"/>
      <c r="D59" s="1037"/>
      <c r="E59" s="1037"/>
      <c r="F59" s="1037"/>
      <c r="G59" s="1235">
        <v>4.0000000000000002E-4</v>
      </c>
      <c r="H59" s="389">
        <f t="shared" ref="H59:N59" si="7">G59</f>
        <v>4.0000000000000002E-4</v>
      </c>
      <c r="I59" s="389">
        <f t="shared" si="7"/>
        <v>4.0000000000000002E-4</v>
      </c>
      <c r="J59" s="389">
        <f t="shared" si="7"/>
        <v>4.0000000000000002E-4</v>
      </c>
      <c r="K59" s="389">
        <f t="shared" si="7"/>
        <v>4.0000000000000002E-4</v>
      </c>
      <c r="L59" s="389">
        <f t="shared" si="7"/>
        <v>4.0000000000000002E-4</v>
      </c>
      <c r="M59" s="389">
        <f t="shared" si="7"/>
        <v>4.0000000000000002E-4</v>
      </c>
      <c r="N59" s="389">
        <f t="shared" si="7"/>
        <v>4.0000000000000002E-4</v>
      </c>
      <c r="O59"/>
    </row>
    <row r="60" spans="1:17">
      <c r="A60" s="628" t="s">
        <v>7584</v>
      </c>
      <c r="B60" s="1037"/>
      <c r="C60" s="1037"/>
      <c r="D60" s="1037"/>
      <c r="E60" s="1037"/>
      <c r="F60" s="1037"/>
      <c r="G60" s="1234">
        <v>2.5000000000000001E-5</v>
      </c>
      <c r="H60" s="1244">
        <f>G60</f>
        <v>2.5000000000000001E-5</v>
      </c>
      <c r="I60" s="1244">
        <f>H60</f>
        <v>2.5000000000000001E-5</v>
      </c>
      <c r="J60" s="1244">
        <f t="shared" ref="J60:N60" si="8">I60</f>
        <v>2.5000000000000001E-5</v>
      </c>
      <c r="K60" s="1244">
        <f t="shared" si="8"/>
        <v>2.5000000000000001E-5</v>
      </c>
      <c r="L60" s="1244">
        <f t="shared" si="8"/>
        <v>2.5000000000000001E-5</v>
      </c>
      <c r="M60" s="1244">
        <f t="shared" si="8"/>
        <v>2.5000000000000001E-5</v>
      </c>
      <c r="N60" s="1244">
        <f t="shared" si="8"/>
        <v>2.5000000000000001E-5</v>
      </c>
      <c r="O60"/>
    </row>
    <row r="61" spans="1:17">
      <c r="A61" s="628" t="s">
        <v>7604</v>
      </c>
      <c r="B61" s="1037"/>
      <c r="C61" s="1037"/>
      <c r="D61" s="1037"/>
      <c r="E61" s="1037"/>
      <c r="F61" s="1037"/>
      <c r="G61" s="1129">
        <v>4.6999999999999999E-4</v>
      </c>
      <c r="H61" s="1245">
        <f>G61</f>
        <v>4.6999999999999999E-4</v>
      </c>
      <c r="I61" s="1245">
        <f>H61</f>
        <v>4.6999999999999999E-4</v>
      </c>
      <c r="J61" s="1245">
        <f t="shared" ref="J61:N61" si="9">I61</f>
        <v>4.6999999999999999E-4</v>
      </c>
      <c r="K61" s="1245">
        <f t="shared" si="9"/>
        <v>4.6999999999999999E-4</v>
      </c>
      <c r="L61" s="1245">
        <f t="shared" si="9"/>
        <v>4.6999999999999999E-4</v>
      </c>
      <c r="M61" s="1245">
        <f t="shared" si="9"/>
        <v>4.6999999999999999E-4</v>
      </c>
      <c r="N61" s="1245">
        <f t="shared" si="9"/>
        <v>4.6999999999999999E-4</v>
      </c>
      <c r="O61"/>
    </row>
    <row r="62" spans="1:17" ht="12.5">
      <c r="A62" s="1037"/>
      <c r="B62" s="1037"/>
      <c r="C62" s="1037"/>
      <c r="D62" s="1037"/>
      <c r="E62" s="1037"/>
      <c r="F62" s="1037"/>
      <c r="G62" s="869"/>
      <c r="O62"/>
    </row>
    <row r="63" spans="1:17">
      <c r="A63" s="628" t="s">
        <v>2757</v>
      </c>
      <c r="B63" s="1037"/>
      <c r="C63" s="1037">
        <v>0.71</v>
      </c>
      <c r="D63" s="1037">
        <v>0.71</v>
      </c>
      <c r="E63" s="1037">
        <v>0.71</v>
      </c>
      <c r="F63" s="1037">
        <v>0.71</v>
      </c>
      <c r="G63" s="1225">
        <v>0</v>
      </c>
      <c r="H63" s="41">
        <v>0</v>
      </c>
      <c r="I63" s="41">
        <v>0</v>
      </c>
      <c r="J63" s="41">
        <v>0</v>
      </c>
      <c r="K63" s="41">
        <v>0</v>
      </c>
      <c r="L63" s="41">
        <v>0</v>
      </c>
      <c r="M63" s="41">
        <v>0</v>
      </c>
      <c r="N63" s="41">
        <v>0</v>
      </c>
      <c r="O63"/>
    </row>
    <row r="64" spans="1:17" ht="12.5" hidden="1">
      <c r="A64" s="1037" t="s">
        <v>2763</v>
      </c>
      <c r="B64" s="1037"/>
      <c r="C64" s="1037">
        <v>1.3999999999999999E-4</v>
      </c>
      <c r="D64" s="1037">
        <v>1.3999999999999999E-4</v>
      </c>
      <c r="E64" s="1037">
        <v>1.3999999999999999E-4</v>
      </c>
      <c r="F64" s="1037">
        <v>1.3999999999999999E-4</v>
      </c>
      <c r="G64" s="1236">
        <v>0</v>
      </c>
      <c r="H64" s="41">
        <v>1.3999999999999999E-4</v>
      </c>
      <c r="I64" s="41">
        <v>1.3999999999999999E-4</v>
      </c>
      <c r="J64" s="41">
        <v>1.3999999999999999E-4</v>
      </c>
      <c r="K64" s="41">
        <v>1.3999999999999999E-4</v>
      </c>
      <c r="L64" s="41">
        <v>1.3999999999999999E-4</v>
      </c>
      <c r="M64" s="41">
        <v>1.3999999999999999E-4</v>
      </c>
      <c r="N64" s="41">
        <v>1.3999999999999999E-4</v>
      </c>
      <c r="O64"/>
    </row>
    <row r="65" spans="1:19" ht="12.5">
      <c r="A65" s="1037"/>
      <c r="B65" s="1037"/>
      <c r="C65" s="1037"/>
      <c r="D65" s="1037"/>
      <c r="E65" s="1037"/>
      <c r="F65" s="1037"/>
      <c r="G65" s="869"/>
      <c r="O65"/>
    </row>
    <row r="66" spans="1:19">
      <c r="A66" s="628" t="s">
        <v>2759</v>
      </c>
      <c r="B66" s="1037"/>
      <c r="C66" s="1037">
        <v>0.66669999999999996</v>
      </c>
      <c r="D66" s="1037">
        <v>0.66669999999999996</v>
      </c>
      <c r="E66" s="1037">
        <v>0.66669999999999996</v>
      </c>
      <c r="F66" s="1037">
        <v>0.66669999999999996</v>
      </c>
      <c r="G66" s="1235">
        <v>0.93</v>
      </c>
      <c r="H66" s="389" t="e">
        <f>'Calc Data'!#REF!</f>
        <v>#REF!</v>
      </c>
      <c r="I66" s="389" t="e">
        <f t="shared" ref="I66:N66" si="10">H66</f>
        <v>#REF!</v>
      </c>
      <c r="J66" s="389" t="e">
        <f t="shared" si="10"/>
        <v>#REF!</v>
      </c>
      <c r="K66" s="389" t="e">
        <f t="shared" si="10"/>
        <v>#REF!</v>
      </c>
      <c r="L66" s="389" t="e">
        <f t="shared" si="10"/>
        <v>#REF!</v>
      </c>
      <c r="M66" s="389" t="e">
        <f t="shared" si="10"/>
        <v>#REF!</v>
      </c>
      <c r="N66" s="389" t="e">
        <f t="shared" si="10"/>
        <v>#REF!</v>
      </c>
    </row>
    <row r="67" spans="1:19" ht="12.5">
      <c r="A67" s="1037"/>
      <c r="B67" s="1037"/>
      <c r="C67" s="1037"/>
      <c r="D67" s="1037"/>
      <c r="E67" s="1037"/>
      <c r="F67" s="1037"/>
      <c r="G67" s="869"/>
      <c r="O67"/>
    </row>
    <row r="68" spans="1:19">
      <c r="A68" s="628" t="s">
        <v>7599</v>
      </c>
      <c r="B68" s="1037"/>
      <c r="C68" s="1037"/>
      <c r="D68" s="1037"/>
      <c r="E68" s="1037"/>
      <c r="F68" s="1037"/>
      <c r="G68" s="1237">
        <v>9.7200000000000006</v>
      </c>
      <c r="H68" s="1246">
        <f t="shared" ref="H68:N68" si="11">G68</f>
        <v>9.7200000000000006</v>
      </c>
      <c r="I68" s="1246">
        <f t="shared" si="11"/>
        <v>9.7200000000000006</v>
      </c>
      <c r="J68" s="1246">
        <f t="shared" si="11"/>
        <v>9.7200000000000006</v>
      </c>
      <c r="K68" s="1246">
        <f t="shared" si="11"/>
        <v>9.7200000000000006</v>
      </c>
      <c r="L68" s="1246">
        <f t="shared" si="11"/>
        <v>9.7200000000000006</v>
      </c>
      <c r="M68" s="1246">
        <f t="shared" si="11"/>
        <v>9.7200000000000006</v>
      </c>
      <c r="N68" s="1246">
        <f t="shared" si="11"/>
        <v>9.7200000000000006</v>
      </c>
      <c r="O68"/>
    </row>
    <row r="69" spans="1:19" ht="12.5">
      <c r="A69" s="1037"/>
      <c r="B69" s="1037"/>
      <c r="C69" s="1037"/>
      <c r="D69" s="1037"/>
      <c r="E69" s="1037"/>
      <c r="F69" s="1037"/>
      <c r="G69" s="869"/>
      <c r="O69"/>
    </row>
    <row r="70" spans="1:19">
      <c r="A70" s="628" t="s">
        <v>7575</v>
      </c>
      <c r="B70" s="1037"/>
      <c r="C70" s="1037"/>
      <c r="D70" s="1037"/>
      <c r="E70" s="1037"/>
      <c r="F70" s="1037"/>
      <c r="G70" s="1225">
        <v>1</v>
      </c>
      <c r="H70" s="188">
        <f>G70</f>
        <v>1</v>
      </c>
      <c r="I70" s="188">
        <f t="shared" ref="I70:N70" si="12">H70</f>
        <v>1</v>
      </c>
      <c r="J70" s="188">
        <f t="shared" si="12"/>
        <v>1</v>
      </c>
      <c r="K70" s="188">
        <f t="shared" si="12"/>
        <v>1</v>
      </c>
      <c r="L70" s="188">
        <f t="shared" si="12"/>
        <v>1</v>
      </c>
      <c r="M70" s="188">
        <f t="shared" si="12"/>
        <v>1</v>
      </c>
      <c r="N70" s="188">
        <f t="shared" si="12"/>
        <v>1</v>
      </c>
      <c r="O70"/>
    </row>
    <row r="71" spans="1:19" ht="12.5">
      <c r="A71" s="1037"/>
      <c r="B71" s="1037"/>
      <c r="C71" s="1037"/>
      <c r="D71" s="1037"/>
      <c r="E71" s="1037"/>
      <c r="F71" s="1037"/>
      <c r="G71" s="869"/>
      <c r="O71"/>
    </row>
    <row r="72" spans="1:19">
      <c r="A72" s="628" t="s">
        <v>7558</v>
      </c>
      <c r="B72" s="1037"/>
      <c r="C72" s="1037"/>
      <c r="D72" s="1037"/>
      <c r="E72" s="1037"/>
      <c r="F72" s="1037"/>
      <c r="G72" s="1225">
        <v>0.1</v>
      </c>
      <c r="H72" s="188">
        <f>G72</f>
        <v>0.1</v>
      </c>
      <c r="I72" s="188">
        <f t="shared" ref="I72:N72" si="13">H72</f>
        <v>0.1</v>
      </c>
      <c r="J72" s="188">
        <f t="shared" si="13"/>
        <v>0.1</v>
      </c>
      <c r="K72" s="188">
        <f t="shared" si="13"/>
        <v>0.1</v>
      </c>
      <c r="L72" s="188">
        <f t="shared" si="13"/>
        <v>0.1</v>
      </c>
      <c r="M72" s="188">
        <f t="shared" si="13"/>
        <v>0.1</v>
      </c>
      <c r="N72" s="188">
        <f t="shared" si="13"/>
        <v>0.1</v>
      </c>
      <c r="O72"/>
    </row>
    <row r="73" spans="1:19" ht="12.5">
      <c r="A73" s="1037"/>
      <c r="B73" s="1037"/>
      <c r="C73" s="1037"/>
      <c r="D73" s="1037"/>
      <c r="E73" s="1037"/>
      <c r="F73" s="1037"/>
      <c r="G73" s="869"/>
      <c r="H73" s="869"/>
      <c r="I73" s="869"/>
      <c r="J73" s="869"/>
      <c r="K73" s="869"/>
      <c r="L73" s="869"/>
      <c r="M73" s="869"/>
      <c r="N73" s="869"/>
      <c r="O73"/>
    </row>
    <row r="74" spans="1:19">
      <c r="A74" s="628" t="s">
        <v>7474</v>
      </c>
      <c r="B74" s="1037"/>
      <c r="C74" s="1037"/>
      <c r="D74" s="1037"/>
      <c r="E74" s="1037"/>
      <c r="F74" s="1037"/>
      <c r="G74" s="1225">
        <v>0.1</v>
      </c>
      <c r="H74" s="188">
        <f>G74</f>
        <v>0.1</v>
      </c>
      <c r="I74" s="188">
        <f t="shared" ref="I74:N74" si="14">H74</f>
        <v>0.1</v>
      </c>
      <c r="J74" s="188">
        <f t="shared" si="14"/>
        <v>0.1</v>
      </c>
      <c r="K74" s="188">
        <f t="shared" si="14"/>
        <v>0.1</v>
      </c>
      <c r="L74" s="188">
        <f t="shared" si="14"/>
        <v>0.1</v>
      </c>
      <c r="M74" s="188">
        <f t="shared" si="14"/>
        <v>0.1</v>
      </c>
      <c r="N74" s="188">
        <f t="shared" si="14"/>
        <v>0.1</v>
      </c>
      <c r="O74"/>
    </row>
    <row r="75" spans="1:19">
      <c r="A75" s="1037"/>
      <c r="B75" s="1037"/>
      <c r="C75" s="1037"/>
      <c r="D75" s="1037"/>
      <c r="E75" s="1037"/>
      <c r="F75" s="1037"/>
      <c r="G75" s="1232"/>
      <c r="O75"/>
      <c r="P75" s="628"/>
      <c r="Q75" s="628"/>
      <c r="R75" s="628"/>
    </row>
    <row r="76" spans="1:19" hidden="1">
      <c r="A76" s="628" t="s">
        <v>7553</v>
      </c>
      <c r="B76" s="1037"/>
      <c r="C76" s="1037"/>
      <c r="D76" s="1037"/>
      <c r="E76" s="1037"/>
      <c r="F76" s="1037"/>
      <c r="G76" s="1225">
        <v>0</v>
      </c>
      <c r="O76" s="1053">
        <v>0.1</v>
      </c>
      <c r="P76" s="628"/>
      <c r="Q76" s="628"/>
      <c r="R76" s="628"/>
    </row>
    <row r="77" spans="1:19" hidden="1">
      <c r="A77" s="1037"/>
      <c r="B77" s="1037"/>
      <c r="C77" s="1037"/>
      <c r="D77" s="1037"/>
      <c r="E77" s="1037"/>
      <c r="F77" s="1037"/>
      <c r="G77" s="1232"/>
      <c r="O77" s="1054"/>
      <c r="P77" s="628"/>
      <c r="Q77" s="628"/>
      <c r="R77" s="628"/>
    </row>
    <row r="78" spans="1:19">
      <c r="A78" s="628" t="s">
        <v>7555</v>
      </c>
      <c r="B78" s="628"/>
      <c r="C78" s="628"/>
      <c r="D78" s="628"/>
      <c r="E78" s="628"/>
      <c r="F78" s="628"/>
      <c r="G78" s="1232"/>
      <c r="O78" s="1061"/>
      <c r="P78" s="1061"/>
      <c r="Q78" s="1061"/>
      <c r="R78" s="1061"/>
      <c r="S78" s="1061"/>
    </row>
    <row r="79" spans="1:19">
      <c r="A79" s="1037"/>
      <c r="B79" s="1037"/>
      <c r="C79" s="1037"/>
      <c r="D79" s="1037"/>
      <c r="E79" s="1037"/>
      <c r="F79" s="1037"/>
      <c r="G79" s="1232"/>
      <c r="O79" s="1061"/>
      <c r="P79" s="1061"/>
      <c r="Q79" s="1061"/>
      <c r="R79" s="1061"/>
      <c r="S79" s="1061"/>
    </row>
    <row r="80" spans="1:19">
      <c r="A80" s="628" t="s">
        <v>7557</v>
      </c>
      <c r="B80" s="628"/>
      <c r="C80" s="628"/>
      <c r="D80" s="628"/>
      <c r="E80" s="628"/>
      <c r="F80" s="628"/>
      <c r="G80" s="1232"/>
      <c r="O80" s="1061"/>
      <c r="P80" s="1061"/>
      <c r="Q80" s="1061"/>
      <c r="R80" s="1061"/>
      <c r="S80" s="1061"/>
    </row>
    <row r="81" spans="1:19">
      <c r="A81" s="1037"/>
      <c r="B81" s="1037"/>
      <c r="C81" s="1037"/>
      <c r="D81" s="1037"/>
      <c r="E81" s="1037"/>
      <c r="F81" s="1037"/>
      <c r="G81" s="1232"/>
      <c r="O81" s="1061"/>
      <c r="P81" s="1061"/>
      <c r="Q81" s="1061"/>
      <c r="R81" s="1061"/>
      <c r="S81" s="1061"/>
    </row>
    <row r="82" spans="1:19" hidden="1">
      <c r="A82" s="628" t="s">
        <v>7441</v>
      </c>
      <c r="B82" s="1037"/>
      <c r="C82" s="1037"/>
      <c r="D82" s="1037"/>
      <c r="E82" s="1037"/>
      <c r="F82" s="1037"/>
      <c r="G82" s="836">
        <v>1.2E-2</v>
      </c>
      <c r="O82" s="1054" t="s">
        <v>7546</v>
      </c>
    </row>
    <row r="83" spans="1:19" hidden="1">
      <c r="A83" s="1068"/>
      <c r="B83" s="1068"/>
      <c r="C83" s="1068"/>
      <c r="D83" s="1068"/>
      <c r="E83" s="1068"/>
      <c r="F83" s="1068"/>
      <c r="G83" s="1238"/>
      <c r="O83" s="1054"/>
    </row>
    <row r="84" spans="1:19">
      <c r="A84" s="628" t="s">
        <v>7549</v>
      </c>
      <c r="B84" s="1037"/>
      <c r="C84" s="1037"/>
      <c r="D84" s="1037"/>
      <c r="E84" s="1037"/>
      <c r="F84" s="1037"/>
      <c r="G84" s="869"/>
      <c r="O84"/>
    </row>
    <row r="85" spans="1:19" ht="12.5">
      <c r="A85" s="1068"/>
      <c r="B85" s="1068"/>
      <c r="C85" s="1068"/>
      <c r="D85" s="1068"/>
      <c r="E85" s="1068"/>
      <c r="F85" s="1068"/>
      <c r="G85" s="1238"/>
      <c r="O85"/>
    </row>
    <row r="86" spans="1:19">
      <c r="A86" s="628" t="s">
        <v>7550</v>
      </c>
      <c r="B86" s="628"/>
      <c r="C86" s="628"/>
      <c r="D86" s="628"/>
      <c r="E86" s="628"/>
      <c r="F86" s="628"/>
      <c r="G86" s="836"/>
      <c r="O86"/>
    </row>
    <row r="87" spans="1:19" ht="12.5">
      <c r="A87" s="1068"/>
      <c r="B87" s="1068"/>
      <c r="C87" s="1068"/>
      <c r="D87" s="1068"/>
      <c r="E87" s="1068"/>
      <c r="F87" s="1068"/>
      <c r="G87" s="1238"/>
      <c r="O87"/>
    </row>
    <row r="88" spans="1:19">
      <c r="A88" s="628" t="s">
        <v>7601</v>
      </c>
      <c r="B88" s="628"/>
      <c r="C88" s="628"/>
      <c r="D88" s="628"/>
      <c r="E88" s="628"/>
      <c r="F88" s="628"/>
      <c r="G88" s="836" t="s">
        <v>7600</v>
      </c>
      <c r="H88" s="836" t="s">
        <v>7600</v>
      </c>
      <c r="I88" s="836" t="s">
        <v>7600</v>
      </c>
      <c r="J88" s="836" t="s">
        <v>7600</v>
      </c>
      <c r="K88" s="836" t="s">
        <v>7600</v>
      </c>
      <c r="L88" s="836" t="s">
        <v>7600</v>
      </c>
      <c r="M88" s="836" t="s">
        <v>7600</v>
      </c>
      <c r="N88" s="836" t="s">
        <v>7600</v>
      </c>
      <c r="O88"/>
    </row>
    <row r="89" spans="1:19">
      <c r="A89" s="628"/>
      <c r="B89" s="1037"/>
      <c r="C89" s="1037"/>
      <c r="D89" s="1037"/>
      <c r="E89" s="1037"/>
      <c r="F89" s="1037"/>
      <c r="G89" s="836"/>
      <c r="H89" s="869"/>
      <c r="I89" s="869"/>
      <c r="J89" s="869"/>
      <c r="K89" s="869"/>
      <c r="L89" s="869"/>
      <c r="M89" s="869"/>
      <c r="N89" s="869"/>
      <c r="O89" s="628"/>
    </row>
    <row r="90" spans="1:19" hidden="1">
      <c r="A90" s="628" t="s">
        <v>7591</v>
      </c>
      <c r="B90" s="1037"/>
      <c r="C90" s="1037"/>
      <c r="D90" s="1037"/>
      <c r="E90" s="1037"/>
      <c r="F90" s="1037"/>
      <c r="G90" s="836"/>
      <c r="H90" s="1239"/>
      <c r="I90" s="1239"/>
      <c r="J90" s="1239"/>
      <c r="K90" s="1239"/>
      <c r="L90" s="1239"/>
      <c r="M90" s="1239"/>
      <c r="N90" s="1239"/>
      <c r="O90" s="1062"/>
    </row>
    <row r="91" spans="1:19" hidden="1">
      <c r="A91" s="628" t="s">
        <v>7569</v>
      </c>
      <c r="B91" s="1037"/>
      <c r="C91" s="1037"/>
      <c r="D91" s="1037"/>
      <c r="E91" s="1037"/>
      <c r="F91" s="1037"/>
      <c r="G91" s="836"/>
      <c r="H91" s="1239"/>
      <c r="I91" s="1239"/>
      <c r="J91" s="1239"/>
      <c r="K91" s="1239"/>
      <c r="L91" s="1239"/>
      <c r="M91" s="1239"/>
      <c r="N91" s="1239"/>
      <c r="O91" s="1062"/>
    </row>
    <row r="92" spans="1:19" hidden="1">
      <c r="A92" s="1221" t="s">
        <v>7566</v>
      </c>
      <c r="B92" s="1037"/>
      <c r="C92" s="1037"/>
      <c r="D92" s="1037"/>
      <c r="E92" s="1037"/>
      <c r="F92" s="1037"/>
      <c r="G92" s="836"/>
      <c r="H92" s="1239"/>
      <c r="I92" s="1239"/>
      <c r="J92" s="1239"/>
      <c r="K92" s="1239"/>
      <c r="L92" s="1239"/>
      <c r="M92" s="1239"/>
      <c r="N92" s="1239"/>
      <c r="O92" s="1062"/>
    </row>
    <row r="93" spans="1:19" hidden="1">
      <c r="A93" s="1222" t="s">
        <v>7580</v>
      </c>
      <c r="B93" s="1037"/>
      <c r="C93" s="1037"/>
      <c r="D93" s="1037"/>
      <c r="E93" s="1037"/>
      <c r="F93" s="1037"/>
      <c r="G93" s="836"/>
      <c r="H93" s="1239"/>
      <c r="I93" s="1239"/>
      <c r="J93" s="1239"/>
      <c r="K93" s="1239"/>
      <c r="L93" s="1239"/>
      <c r="M93" s="1239"/>
      <c r="N93" s="1239"/>
      <c r="O93" s="1062"/>
    </row>
    <row r="94" spans="1:19" hidden="1">
      <c r="A94" s="1222" t="s">
        <v>7570</v>
      </c>
      <c r="B94" s="1037"/>
      <c r="C94" s="1037"/>
      <c r="D94" s="1037"/>
      <c r="E94" s="1037"/>
      <c r="F94" s="1037"/>
      <c r="G94" s="836"/>
      <c r="H94" s="1239"/>
      <c r="I94" s="1239"/>
      <c r="J94" s="1239"/>
      <c r="K94" s="1239"/>
      <c r="L94" s="1239"/>
      <c r="M94" s="1239"/>
      <c r="N94" s="1239"/>
      <c r="O94" s="1062"/>
    </row>
    <row r="95" spans="1:19" hidden="1">
      <c r="A95" s="1222" t="s">
        <v>7571</v>
      </c>
      <c r="B95" s="1037"/>
      <c r="C95" s="1037"/>
      <c r="D95" s="1037"/>
      <c r="E95" s="1037"/>
      <c r="F95" s="1037"/>
      <c r="G95" s="836"/>
      <c r="H95" s="1239"/>
      <c r="I95" s="1239"/>
      <c r="J95" s="1239"/>
      <c r="K95" s="1239"/>
      <c r="L95" s="1239"/>
      <c r="M95" s="1239"/>
      <c r="N95" s="1239"/>
      <c r="O95" s="1062"/>
    </row>
    <row r="96" spans="1:19" hidden="1">
      <c r="A96" s="1221" t="s">
        <v>7567</v>
      </c>
      <c r="B96" s="1037"/>
      <c r="C96" s="1037"/>
      <c r="D96" s="1037"/>
      <c r="E96" s="1037"/>
      <c r="F96" s="1037"/>
      <c r="G96" s="836"/>
      <c r="H96" s="1239"/>
      <c r="I96" s="1239"/>
      <c r="J96" s="1239"/>
      <c r="K96" s="1239"/>
      <c r="L96" s="1239"/>
      <c r="M96" s="1239"/>
      <c r="N96" s="1239"/>
      <c r="O96" s="1062"/>
    </row>
    <row r="97" spans="1:16" hidden="1">
      <c r="A97" s="1221"/>
      <c r="B97" s="1037"/>
      <c r="C97" s="1037"/>
      <c r="D97" s="1037"/>
      <c r="E97" s="1037"/>
      <c r="F97" s="1037"/>
      <c r="G97" s="836"/>
      <c r="H97" s="1239"/>
      <c r="I97" s="1239"/>
      <c r="J97" s="1239"/>
      <c r="K97" s="1239"/>
      <c r="L97" s="1239"/>
      <c r="M97" s="1239"/>
      <c r="N97" s="1239"/>
      <c r="O97" s="1062"/>
    </row>
    <row r="98" spans="1:16" hidden="1">
      <c r="A98" s="1221" t="s">
        <v>7568</v>
      </c>
      <c r="B98" s="1037"/>
      <c r="C98" s="1037"/>
      <c r="D98" s="1037"/>
      <c r="E98" s="1037"/>
      <c r="F98" s="1037"/>
      <c r="G98" s="836"/>
      <c r="H98" s="1239"/>
      <c r="I98" s="1239"/>
      <c r="J98" s="1239"/>
      <c r="K98" s="1239"/>
      <c r="L98" s="1239"/>
      <c r="M98" s="1239"/>
      <c r="N98" s="1239"/>
      <c r="O98" s="1062"/>
    </row>
    <row r="99" spans="1:16" ht="15.5" hidden="1">
      <c r="A99" s="1223"/>
      <c r="B99" s="1037"/>
      <c r="C99" s="1037"/>
      <c r="D99" s="1037"/>
      <c r="E99" s="1037"/>
      <c r="F99" s="1037"/>
      <c r="G99" s="836"/>
      <c r="H99" s="1239"/>
      <c r="I99" s="1239"/>
      <c r="J99" s="1239"/>
      <c r="K99" s="1239"/>
      <c r="L99" s="1239"/>
      <c r="M99" s="1239"/>
      <c r="N99" s="1239"/>
      <c r="O99" s="1062"/>
    </row>
    <row r="100" spans="1:16" hidden="1">
      <c r="A100" s="1221" t="s">
        <v>7572</v>
      </c>
      <c r="B100" s="1037"/>
      <c r="C100" s="1037"/>
      <c r="D100" s="1037"/>
      <c r="E100" s="1037"/>
      <c r="F100" s="1037"/>
      <c r="G100" s="836"/>
      <c r="H100" s="1239"/>
      <c r="I100" s="1239"/>
      <c r="J100" s="1239"/>
      <c r="K100" s="1239"/>
      <c r="L100" s="1239"/>
      <c r="M100" s="1239"/>
      <c r="N100" s="1239"/>
      <c r="O100" s="1062"/>
    </row>
    <row r="101" spans="1:16" ht="15.5">
      <c r="A101" s="1223"/>
      <c r="B101" s="1037"/>
      <c r="C101" s="1037"/>
      <c r="D101" s="1037"/>
      <c r="E101" s="1037"/>
      <c r="F101" s="1037"/>
      <c r="G101" s="836"/>
      <c r="H101" s="869"/>
      <c r="I101" s="869"/>
      <c r="J101" s="869"/>
      <c r="K101" s="869"/>
      <c r="L101" s="869"/>
      <c r="M101" s="869"/>
      <c r="N101" s="869"/>
      <c r="O101" s="726"/>
    </row>
    <row r="102" spans="1:16" hidden="1">
      <c r="A102" s="1221" t="s">
        <v>7593</v>
      </c>
      <c r="B102" s="1037"/>
      <c r="C102" s="1037"/>
      <c r="D102" s="1037"/>
      <c r="E102" s="1037"/>
      <c r="F102" s="1037"/>
      <c r="G102" s="836"/>
      <c r="H102" s="1239"/>
      <c r="I102" s="1239"/>
      <c r="J102" s="1239"/>
      <c r="K102" s="1239"/>
      <c r="L102" s="1239"/>
      <c r="M102" s="1239"/>
      <c r="N102" s="1239"/>
      <c r="O102" s="1062"/>
    </row>
    <row r="103" spans="1:16" hidden="1">
      <c r="A103" s="1221" t="s">
        <v>7592</v>
      </c>
      <c r="B103" s="1037"/>
      <c r="C103" s="1037"/>
      <c r="D103" s="1037"/>
      <c r="E103" s="1037"/>
      <c r="F103" s="1037"/>
      <c r="G103" s="836"/>
      <c r="H103" s="1239"/>
      <c r="I103" s="1239"/>
      <c r="J103" s="1239"/>
      <c r="K103" s="1239"/>
      <c r="L103" s="1239"/>
      <c r="M103" s="1239"/>
      <c r="N103" s="1239"/>
      <c r="O103" s="1062"/>
    </row>
    <row r="104" spans="1:16" ht="15.5">
      <c r="A104" s="1223"/>
      <c r="B104" s="1037"/>
      <c r="C104" s="1037"/>
      <c r="D104" s="1037"/>
      <c r="E104" s="1037"/>
      <c r="F104" s="1037"/>
      <c r="G104" s="836"/>
      <c r="H104" s="869"/>
      <c r="I104" s="869"/>
      <c r="J104" s="869"/>
      <c r="K104" s="869"/>
      <c r="L104" s="869"/>
      <c r="M104" s="869"/>
      <c r="N104" s="869"/>
      <c r="O104" s="726"/>
    </row>
    <row r="105" spans="1:16">
      <c r="A105" s="628" t="s">
        <v>7539</v>
      </c>
      <c r="B105" s="628"/>
      <c r="C105" s="628"/>
      <c r="D105" s="628"/>
      <c r="E105" s="628"/>
      <c r="F105" s="628"/>
      <c r="G105" s="836" t="s">
        <v>7540</v>
      </c>
      <c r="H105" s="920" t="s">
        <v>7541</v>
      </c>
      <c r="I105" s="869"/>
      <c r="J105" s="869"/>
      <c r="K105" s="869"/>
      <c r="L105" s="869"/>
      <c r="M105" s="869"/>
      <c r="N105" s="869"/>
    </row>
    <row r="106" spans="1:16">
      <c r="A106" s="628" t="s">
        <v>7547</v>
      </c>
      <c r="B106" s="1037"/>
      <c r="C106" s="1037"/>
      <c r="D106" s="1037"/>
      <c r="E106" s="1037"/>
      <c r="F106" s="1037"/>
      <c r="G106" s="836" t="s">
        <v>7542</v>
      </c>
      <c r="H106" s="920" t="s">
        <v>7543</v>
      </c>
      <c r="I106" s="869"/>
      <c r="J106" s="869"/>
      <c r="K106" s="869"/>
      <c r="L106" s="869"/>
      <c r="M106" s="869"/>
      <c r="N106" s="869"/>
    </row>
    <row r="107" spans="1:16">
      <c r="A107" s="628" t="s">
        <v>7548</v>
      </c>
      <c r="B107" s="1037"/>
      <c r="C107" s="1037"/>
      <c r="D107" s="1037"/>
      <c r="E107" s="1037"/>
      <c r="F107" s="1037"/>
      <c r="G107" s="836" t="s">
        <v>7544</v>
      </c>
      <c r="H107" s="920" t="s">
        <v>7545</v>
      </c>
      <c r="I107" s="869"/>
      <c r="J107" s="869"/>
      <c r="K107" s="869"/>
      <c r="L107" s="869"/>
      <c r="M107" s="869"/>
      <c r="N107" s="869"/>
    </row>
    <row r="108" spans="1:16">
      <c r="A108" s="1037"/>
      <c r="B108" s="1037"/>
      <c r="C108" s="1037"/>
      <c r="D108" s="1037"/>
      <c r="E108" s="1037"/>
      <c r="F108" s="1037"/>
      <c r="G108" s="836"/>
      <c r="I108" s="869"/>
      <c r="J108" s="869"/>
      <c r="K108" s="869"/>
      <c r="L108" s="869"/>
      <c r="M108" s="869"/>
      <c r="N108" s="869"/>
    </row>
    <row r="109" spans="1:16" hidden="1">
      <c r="A109" s="628" t="s">
        <v>7565</v>
      </c>
      <c r="B109" s="1037"/>
      <c r="C109" s="1037"/>
      <c r="D109" s="1037"/>
      <c r="E109" s="1037"/>
      <c r="F109" s="1037"/>
      <c r="G109" s="1224">
        <v>4000</v>
      </c>
      <c r="I109" s="869"/>
      <c r="J109" s="869"/>
      <c r="K109" s="869"/>
      <c r="L109" s="869"/>
      <c r="M109" s="869"/>
      <c r="N109" s="869"/>
      <c r="P109" s="1056" t="s">
        <v>7596</v>
      </c>
    </row>
    <row r="110" spans="1:16" hidden="1">
      <c r="A110" s="1037" t="s">
        <v>7595</v>
      </c>
      <c r="B110" s="1037"/>
      <c r="C110" s="1037"/>
      <c r="D110" s="1037"/>
      <c r="E110" s="1037"/>
      <c r="F110" s="1037"/>
      <c r="G110" s="1224">
        <v>1000</v>
      </c>
      <c r="I110" s="869"/>
      <c r="J110" s="869"/>
      <c r="K110" s="869"/>
      <c r="L110" s="869"/>
      <c r="M110" s="869"/>
      <c r="N110" s="869"/>
      <c r="P110" s="1056" t="s">
        <v>7597</v>
      </c>
    </row>
    <row r="111" spans="1:16" hidden="1">
      <c r="A111" s="1037" t="s">
        <v>7577</v>
      </c>
      <c r="B111" s="1037"/>
      <c r="C111" s="1037"/>
      <c r="D111" s="1037"/>
      <c r="E111" s="1037"/>
      <c r="F111" s="1037"/>
      <c r="G111" s="1224">
        <v>1000</v>
      </c>
      <c r="I111" s="869"/>
      <c r="J111" s="869"/>
      <c r="K111" s="869"/>
      <c r="L111" s="869"/>
      <c r="M111" s="869"/>
      <c r="N111" s="869"/>
      <c r="P111" s="1056" t="s">
        <v>7563</v>
      </c>
    </row>
    <row r="112" spans="1:16">
      <c r="A112" s="1037"/>
      <c r="B112" s="1037"/>
      <c r="C112" s="1037"/>
      <c r="D112" s="1037"/>
      <c r="E112" s="1037"/>
      <c r="F112" s="1037"/>
      <c r="G112" s="869"/>
      <c r="J112" s="869"/>
      <c r="K112" s="869"/>
      <c r="L112" s="869"/>
      <c r="M112" s="869"/>
      <c r="N112" s="869"/>
      <c r="O112" s="43" t="s">
        <v>7914</v>
      </c>
      <c r="P112" s="869"/>
    </row>
    <row r="113" spans="1:16">
      <c r="A113" s="628" t="s">
        <v>7560</v>
      </c>
      <c r="B113" s="1037"/>
      <c r="C113" s="1037"/>
      <c r="D113" s="1037"/>
      <c r="E113" s="1037"/>
      <c r="F113" s="1037"/>
      <c r="G113" s="1224">
        <v>5000</v>
      </c>
      <c r="H113" s="1224">
        <v>5000</v>
      </c>
      <c r="I113" s="1224">
        <v>5000</v>
      </c>
      <c r="J113" s="1224">
        <v>5000</v>
      </c>
      <c r="K113" s="1224">
        <v>5000</v>
      </c>
      <c r="L113" s="1224">
        <v>5000</v>
      </c>
      <c r="M113" s="1224">
        <v>5000</v>
      </c>
      <c r="N113" s="1224">
        <v>5000</v>
      </c>
      <c r="O113" s="43">
        <v>0.09</v>
      </c>
      <c r="P113" s="920" t="s">
        <v>7561</v>
      </c>
    </row>
    <row r="114" spans="1:16">
      <c r="A114" s="858" t="s">
        <v>7915</v>
      </c>
      <c r="B114" s="1037"/>
      <c r="C114" s="1037"/>
      <c r="D114" s="1037"/>
      <c r="E114" s="1037"/>
      <c r="F114" s="1037"/>
      <c r="G114" s="1224">
        <v>3000</v>
      </c>
      <c r="H114" s="1224">
        <v>3000</v>
      </c>
      <c r="I114" s="1224">
        <v>3000</v>
      </c>
      <c r="J114" s="1224">
        <v>3000</v>
      </c>
      <c r="K114" s="1224">
        <v>3000</v>
      </c>
      <c r="L114" s="1224">
        <v>3000</v>
      </c>
      <c r="M114" s="1224">
        <v>3000</v>
      </c>
      <c r="N114" s="1224">
        <v>3000</v>
      </c>
      <c r="O114" s="43">
        <v>0.2</v>
      </c>
      <c r="P114" s="920" t="s">
        <v>7562</v>
      </c>
    </row>
    <row r="115" spans="1:16">
      <c r="A115" s="1037"/>
      <c r="B115" s="1037"/>
      <c r="C115" s="1037"/>
      <c r="D115" s="1037"/>
      <c r="E115" s="1037"/>
      <c r="F115" s="1037"/>
      <c r="G115" s="1224">
        <v>2000</v>
      </c>
      <c r="H115" s="1224">
        <v>2000</v>
      </c>
      <c r="I115" s="1224">
        <v>2000</v>
      </c>
      <c r="J115" s="1224">
        <v>2000</v>
      </c>
      <c r="K115" s="1224">
        <v>2000</v>
      </c>
      <c r="L115" s="1224">
        <v>2000</v>
      </c>
      <c r="M115" s="1224">
        <v>2000</v>
      </c>
      <c r="N115" s="1224">
        <v>2000</v>
      </c>
      <c r="O115" s="43">
        <v>1</v>
      </c>
      <c r="P115" s="920" t="s">
        <v>7564</v>
      </c>
    </row>
    <row r="116" spans="1:16">
      <c r="A116" s="1037"/>
      <c r="B116" s="1037"/>
      <c r="C116" s="1037"/>
      <c r="D116" s="1037"/>
      <c r="E116" s="1037"/>
      <c r="F116" s="1037"/>
      <c r="G116" s="869"/>
      <c r="I116" s="869"/>
      <c r="J116" s="869"/>
      <c r="K116" s="869"/>
      <c r="L116" s="869"/>
      <c r="M116" s="869"/>
      <c r="N116" s="869"/>
    </row>
    <row r="117" spans="1:16">
      <c r="A117" s="628" t="s">
        <v>9054</v>
      </c>
      <c r="B117" s="628"/>
      <c r="C117" s="628"/>
      <c r="D117" s="628"/>
      <c r="E117" s="628"/>
      <c r="F117" s="628"/>
      <c r="G117" s="836">
        <v>0.04</v>
      </c>
      <c r="H117" s="836">
        <v>0.04</v>
      </c>
      <c r="I117" s="836"/>
      <c r="J117" s="836"/>
      <c r="K117" s="836"/>
      <c r="L117" s="836">
        <v>0.04</v>
      </c>
      <c r="M117" s="836">
        <v>0.04</v>
      </c>
      <c r="N117" s="836">
        <v>0.04</v>
      </c>
    </row>
    <row r="118" spans="1:16">
      <c r="A118" s="718" t="s">
        <v>9046</v>
      </c>
      <c r="B118" s="629"/>
      <c r="C118" s="629"/>
      <c r="D118" s="629"/>
      <c r="E118" s="629"/>
      <c r="F118" s="629"/>
      <c r="G118" s="1682"/>
      <c r="H118" s="1682"/>
      <c r="I118" s="1682"/>
      <c r="J118" s="1682"/>
      <c r="K118" s="1682"/>
      <c r="L118" s="1682"/>
      <c r="M118" s="1682"/>
      <c r="N118" s="1682"/>
    </row>
    <row r="119" spans="1:16">
      <c r="A119" s="718" t="s">
        <v>9051</v>
      </c>
      <c r="B119" s="629"/>
      <c r="C119" s="629"/>
      <c r="D119" s="629"/>
      <c r="E119" s="629"/>
      <c r="F119" s="629"/>
      <c r="G119" s="2189"/>
      <c r="H119" s="2189"/>
      <c r="I119" s="2190">
        <v>0.45</v>
      </c>
      <c r="J119" s="2190">
        <v>0.48</v>
      </c>
      <c r="K119" s="2190">
        <f>J119</f>
        <v>0.48</v>
      </c>
      <c r="L119" s="2190">
        <f>K119</f>
        <v>0.48</v>
      </c>
      <c r="M119" s="2190">
        <f>L119</f>
        <v>0.48</v>
      </c>
      <c r="N119" s="2190">
        <f>M119</f>
        <v>0.48</v>
      </c>
    </row>
    <row r="120" spans="1:16" s="2042" customFormat="1">
      <c r="A120" s="718" t="s">
        <v>9052</v>
      </c>
      <c r="B120" s="629"/>
      <c r="C120" s="629"/>
      <c r="D120" s="629"/>
      <c r="E120" s="629"/>
      <c r="F120" s="629"/>
      <c r="G120" s="2189"/>
      <c r="H120" s="2189"/>
      <c r="I120" s="2190">
        <v>0.3</v>
      </c>
      <c r="J120" s="2190">
        <v>0.33</v>
      </c>
      <c r="K120" s="2190">
        <f t="shared" ref="K120:N121" si="15">J120</f>
        <v>0.33</v>
      </c>
      <c r="L120" s="2190">
        <f t="shared" si="15"/>
        <v>0.33</v>
      </c>
      <c r="M120" s="2190">
        <f t="shared" si="15"/>
        <v>0.33</v>
      </c>
      <c r="N120" s="2190">
        <f t="shared" si="15"/>
        <v>0.33</v>
      </c>
      <c r="O120" s="43"/>
    </row>
    <row r="121" spans="1:16" s="2042" customFormat="1">
      <c r="A121" s="718" t="s">
        <v>9053</v>
      </c>
      <c r="B121" s="629"/>
      <c r="C121" s="629"/>
      <c r="D121" s="629"/>
      <c r="E121" s="629"/>
      <c r="F121" s="629"/>
      <c r="G121" s="2189"/>
      <c r="H121" s="2189"/>
      <c r="I121" s="2190">
        <v>0.15</v>
      </c>
      <c r="J121" s="2190">
        <v>0.18</v>
      </c>
      <c r="K121" s="2190">
        <f t="shared" si="15"/>
        <v>0.18</v>
      </c>
      <c r="L121" s="2190">
        <f t="shared" si="15"/>
        <v>0.18</v>
      </c>
      <c r="M121" s="2190">
        <f t="shared" si="15"/>
        <v>0.18</v>
      </c>
      <c r="N121" s="2190">
        <f t="shared" si="15"/>
        <v>0.18</v>
      </c>
      <c r="O121" s="43"/>
    </row>
    <row r="122" spans="1:16">
      <c r="A122" s="1037"/>
      <c r="B122" s="1037"/>
      <c r="C122" s="1037"/>
      <c r="D122" s="1037"/>
      <c r="E122" s="1037"/>
      <c r="F122" s="1037"/>
      <c r="G122" s="836"/>
      <c r="H122" s="836"/>
      <c r="I122" s="869"/>
      <c r="J122" s="869"/>
      <c r="K122" s="869"/>
      <c r="L122" s="869"/>
      <c r="M122" s="869"/>
      <c r="N122" s="869"/>
    </row>
    <row r="123" spans="1:16">
      <c r="A123" s="628" t="s">
        <v>7578</v>
      </c>
      <c r="B123" s="1037"/>
      <c r="C123" s="1037"/>
      <c r="D123" s="1037"/>
      <c r="E123" s="1037"/>
      <c r="F123" s="1037"/>
      <c r="G123" s="1225" t="s">
        <v>7579</v>
      </c>
      <c r="H123" s="1225" t="s">
        <v>7579</v>
      </c>
      <c r="I123" s="1225" t="s">
        <v>7579</v>
      </c>
      <c r="J123" s="1225" t="s">
        <v>7579</v>
      </c>
      <c r="K123" s="1225" t="s">
        <v>7579</v>
      </c>
      <c r="L123" s="1225" t="s">
        <v>7579</v>
      </c>
      <c r="M123" s="1225" t="s">
        <v>7579</v>
      </c>
      <c r="N123" s="1225" t="s">
        <v>7579</v>
      </c>
    </row>
    <row r="124" spans="1:16">
      <c r="A124" s="1037"/>
      <c r="B124" s="1037"/>
      <c r="C124" s="1037"/>
      <c r="D124" s="1037"/>
      <c r="E124" s="1037"/>
      <c r="F124" s="1037"/>
      <c r="G124" s="836"/>
      <c r="H124" s="836"/>
      <c r="I124" s="869"/>
      <c r="J124" s="869"/>
      <c r="K124" s="869"/>
      <c r="L124" s="869"/>
      <c r="M124" s="869"/>
      <c r="N124" s="869"/>
    </row>
    <row r="125" spans="1:16">
      <c r="A125" s="628" t="s">
        <v>7559</v>
      </c>
      <c r="B125" s="1037"/>
      <c r="C125" s="1037"/>
      <c r="D125" s="1037"/>
      <c r="E125" s="1037"/>
      <c r="F125" s="1037"/>
      <c r="G125" s="836">
        <v>275</v>
      </c>
      <c r="H125" s="836">
        <v>275</v>
      </c>
      <c r="I125" s="836">
        <v>275</v>
      </c>
      <c r="J125" s="836">
        <v>275</v>
      </c>
      <c r="K125" s="836">
        <v>275</v>
      </c>
      <c r="L125" s="836">
        <v>275</v>
      </c>
      <c r="M125" s="836">
        <v>275</v>
      </c>
      <c r="N125" s="836">
        <v>275</v>
      </c>
      <c r="O125" s="628" t="s">
        <v>7607</v>
      </c>
      <c r="P125" s="43"/>
    </row>
    <row r="126" spans="1:16">
      <c r="A126" s="1037"/>
      <c r="B126" s="1037"/>
      <c r="C126" s="1037"/>
      <c r="D126" s="1037"/>
      <c r="E126" s="1037"/>
      <c r="F126" s="1037"/>
      <c r="G126" s="836"/>
      <c r="H126" s="836"/>
      <c r="I126" s="869"/>
      <c r="J126" s="869"/>
      <c r="K126" s="869"/>
      <c r="L126" s="869"/>
      <c r="M126" s="869"/>
      <c r="N126" s="869"/>
      <c r="O126" s="628" t="s">
        <v>7606</v>
      </c>
      <c r="P126" s="43"/>
    </row>
    <row r="127" spans="1:16" hidden="1">
      <c r="A127" s="628" t="s">
        <v>7551</v>
      </c>
      <c r="B127" s="628"/>
      <c r="C127" s="628"/>
      <c r="D127" s="628"/>
      <c r="E127" s="628"/>
      <c r="F127" s="628"/>
      <c r="G127" s="836"/>
      <c r="H127" s="836"/>
      <c r="I127" s="869"/>
      <c r="J127" s="869"/>
      <c r="K127" s="869"/>
      <c r="L127" s="869"/>
      <c r="M127" s="869"/>
      <c r="N127" s="869"/>
    </row>
    <row r="128" spans="1:16">
      <c r="A128" s="1037"/>
      <c r="B128" s="1037"/>
      <c r="C128" s="1037"/>
      <c r="D128" s="1037"/>
      <c r="E128" s="1037"/>
      <c r="F128" s="1037"/>
      <c r="G128" s="836"/>
      <c r="H128" s="836"/>
      <c r="I128" s="869"/>
      <c r="J128" s="869"/>
      <c r="K128" s="869"/>
      <c r="L128" s="869"/>
      <c r="M128" s="869"/>
      <c r="N128" s="869"/>
    </row>
    <row r="129" spans="1:14">
      <c r="A129" s="628" t="s">
        <v>7554</v>
      </c>
      <c r="B129" s="1037"/>
      <c r="C129" s="1037"/>
      <c r="D129" s="1037"/>
      <c r="E129" s="1037"/>
      <c r="F129" s="1037"/>
      <c r="G129" s="836"/>
      <c r="H129" s="836"/>
      <c r="I129" s="869"/>
      <c r="J129" s="869"/>
      <c r="K129" s="869"/>
      <c r="L129" s="869"/>
      <c r="M129" s="869"/>
      <c r="N129" s="869"/>
    </row>
    <row r="130" spans="1:14">
      <c r="A130" s="1037"/>
      <c r="B130" s="1037"/>
      <c r="C130" s="1037"/>
      <c r="D130" s="1037"/>
      <c r="E130" s="1037"/>
      <c r="F130" s="1037"/>
      <c r="G130" s="836"/>
      <c r="H130" s="836"/>
      <c r="I130" s="869"/>
      <c r="J130" s="869"/>
      <c r="K130" s="869"/>
      <c r="L130" s="869"/>
      <c r="M130" s="869"/>
      <c r="N130" s="869"/>
    </row>
    <row r="131" spans="1:14">
      <c r="A131" s="628" t="s">
        <v>7576</v>
      </c>
      <c r="B131" s="628"/>
      <c r="C131" s="628"/>
      <c r="D131" s="628"/>
      <c r="E131" s="628"/>
      <c r="F131" s="628"/>
      <c r="G131" s="836"/>
      <c r="H131" s="836"/>
      <c r="I131" s="869"/>
      <c r="J131" s="869"/>
      <c r="K131" s="869"/>
      <c r="L131" s="869"/>
      <c r="M131" s="869"/>
      <c r="N131" s="869"/>
    </row>
    <row r="132" spans="1:14">
      <c r="A132" s="1037"/>
      <c r="B132" s="1037"/>
      <c r="C132" s="1037"/>
      <c r="D132" s="1037"/>
      <c r="E132" s="1037"/>
      <c r="F132" s="1037"/>
      <c r="G132" s="836"/>
    </row>
    <row r="133" spans="1:14" s="25" customFormat="1">
      <c r="A133" s="628" t="s">
        <v>7611</v>
      </c>
      <c r="B133" s="628"/>
      <c r="C133" s="628"/>
      <c r="D133" s="628"/>
      <c r="E133" s="628"/>
      <c r="F133" s="628"/>
      <c r="G133" s="836"/>
      <c r="H133" s="43"/>
      <c r="I133" s="41"/>
      <c r="J133" s="41"/>
      <c r="K133" s="41"/>
      <c r="L133" s="41"/>
      <c r="M133" s="41"/>
      <c r="N133" s="41"/>
    </row>
    <row r="134" spans="1:14" s="25" customFormat="1">
      <c r="A134" s="628" t="s">
        <v>7569</v>
      </c>
      <c r="B134" s="628"/>
      <c r="C134" s="628">
        <v>35</v>
      </c>
      <c r="D134" s="628">
        <v>35</v>
      </c>
      <c r="E134" s="628">
        <v>35</v>
      </c>
      <c r="F134" s="628">
        <v>35</v>
      </c>
      <c r="G134" s="836"/>
      <c r="H134" s="43"/>
      <c r="I134" s="41"/>
      <c r="J134" s="41"/>
      <c r="K134" s="41"/>
      <c r="L134" s="41"/>
      <c r="M134" s="41"/>
      <c r="N134" s="41"/>
    </row>
    <row r="135" spans="1:14" s="25" customFormat="1">
      <c r="A135" s="628" t="s">
        <v>7602</v>
      </c>
      <c r="B135" s="628"/>
      <c r="C135" s="628">
        <v>35</v>
      </c>
      <c r="D135" s="628">
        <v>35</v>
      </c>
      <c r="E135" s="628">
        <v>35</v>
      </c>
      <c r="F135" s="628">
        <v>35</v>
      </c>
      <c r="G135" s="836"/>
      <c r="H135" s="43"/>
      <c r="I135" s="41"/>
      <c r="J135" s="41"/>
      <c r="K135" s="41"/>
      <c r="L135" s="41"/>
      <c r="M135" s="41"/>
      <c r="N135" s="41"/>
    </row>
    <row r="136" spans="1:14">
      <c r="A136" s="1226" t="s">
        <v>7612</v>
      </c>
      <c r="B136" s="1037"/>
      <c r="C136" s="1037"/>
      <c r="D136" s="1037"/>
      <c r="E136" s="1037"/>
      <c r="F136" s="1037"/>
      <c r="G136" s="836"/>
    </row>
    <row r="137" spans="1:14">
      <c r="A137" s="1226"/>
      <c r="B137" s="1037"/>
      <c r="C137" s="1037"/>
      <c r="D137" s="1037"/>
      <c r="E137" s="1037"/>
      <c r="F137" s="1037"/>
      <c r="G137" s="836"/>
    </row>
    <row r="138" spans="1:14">
      <c r="A138" s="628" t="s">
        <v>7585</v>
      </c>
      <c r="B138" s="1037"/>
      <c r="C138" s="1037"/>
      <c r="D138" s="1037"/>
      <c r="E138" s="1037"/>
      <c r="F138" s="1037"/>
      <c r="G138" s="836"/>
    </row>
    <row r="139" spans="1:14">
      <c r="A139" s="628" t="s">
        <v>7586</v>
      </c>
      <c r="B139" s="1037"/>
      <c r="C139" s="1037"/>
      <c r="D139" s="1037"/>
      <c r="E139" s="1037"/>
      <c r="F139" s="1037"/>
      <c r="G139" s="836"/>
    </row>
    <row r="140" spans="1:14">
      <c r="A140" s="1227" t="s">
        <v>7589</v>
      </c>
      <c r="B140" s="1037"/>
      <c r="C140" s="1037"/>
      <c r="D140" s="1037"/>
      <c r="E140" s="1037"/>
      <c r="F140" s="1037"/>
      <c r="G140" s="836"/>
    </row>
    <row r="141" spans="1:14">
      <c r="A141" s="628" t="s">
        <v>7587</v>
      </c>
      <c r="B141" s="1037"/>
      <c r="C141" s="1037"/>
      <c r="D141" s="1037"/>
      <c r="E141" s="1037"/>
      <c r="F141" s="1037"/>
      <c r="G141" s="836"/>
    </row>
    <row r="142" spans="1:14">
      <c r="A142" s="628" t="s">
        <v>7588</v>
      </c>
      <c r="B142" s="1037"/>
      <c r="C142" s="1037"/>
      <c r="D142" s="1037"/>
      <c r="E142" s="1037"/>
      <c r="F142" s="1037"/>
      <c r="G142" s="836"/>
    </row>
    <row r="143" spans="1:14">
      <c r="A143" s="628"/>
      <c r="B143" s="1037"/>
      <c r="C143" s="1037"/>
      <c r="D143" s="1037"/>
      <c r="E143" s="1037"/>
      <c r="F143" s="1037"/>
      <c r="G143" s="836"/>
    </row>
    <row r="144" spans="1:14" s="25" customFormat="1">
      <c r="A144" s="628" t="s">
        <v>7590</v>
      </c>
      <c r="B144" s="628"/>
      <c r="C144" s="628"/>
      <c r="D144" s="628"/>
      <c r="E144" s="628"/>
      <c r="F144" s="628"/>
      <c r="G144" s="836"/>
      <c r="H144" s="43"/>
      <c r="I144" s="41"/>
      <c r="J144" s="41"/>
      <c r="K144" s="41"/>
      <c r="L144" s="41"/>
      <c r="M144" s="41"/>
      <c r="N144" s="41"/>
    </row>
    <row r="145" spans="1:19">
      <c r="A145" s="1226" t="s">
        <v>7613</v>
      </c>
      <c r="B145" s="1037"/>
      <c r="C145" s="1037"/>
      <c r="D145" s="1037"/>
      <c r="E145" s="1037"/>
      <c r="F145" s="1037"/>
      <c r="G145" s="836"/>
    </row>
    <row r="146" spans="1:19">
      <c r="A146" s="1037"/>
      <c r="B146" s="1037"/>
      <c r="C146" s="1037"/>
      <c r="D146" s="1037"/>
      <c r="E146" s="1037"/>
      <c r="F146" s="1037"/>
      <c r="G146" s="836"/>
    </row>
    <row r="147" spans="1:19">
      <c r="A147" s="628" t="s">
        <v>7614</v>
      </c>
      <c r="B147" s="1037"/>
      <c r="C147" s="1037"/>
      <c r="D147" s="1037"/>
      <c r="E147" s="1037"/>
      <c r="F147" s="1037"/>
      <c r="G147" s="836"/>
    </row>
    <row r="148" spans="1:19">
      <c r="A148" s="1037"/>
      <c r="B148" s="1037"/>
      <c r="C148" s="1037"/>
      <c r="D148" s="1037"/>
      <c r="E148" s="1037"/>
      <c r="F148" s="1037"/>
      <c r="G148" s="836"/>
    </row>
    <row r="149" spans="1:19">
      <c r="A149" s="1037"/>
      <c r="B149" s="1037"/>
      <c r="C149" s="1037"/>
      <c r="D149" s="1037"/>
      <c r="E149" s="1037"/>
      <c r="F149" s="1037"/>
      <c r="G149" s="836"/>
    </row>
    <row r="150" spans="1:19">
      <c r="A150" s="628" t="s">
        <v>7594</v>
      </c>
      <c r="B150" s="1037"/>
      <c r="C150" s="1037"/>
      <c r="D150" s="1037"/>
      <c r="E150" s="1037"/>
      <c r="F150" s="1037"/>
      <c r="G150" s="836"/>
    </row>
    <row r="151" spans="1:19">
      <c r="A151" s="1037"/>
      <c r="B151" s="1037"/>
      <c r="C151" s="1037"/>
      <c r="D151" s="1037"/>
      <c r="E151" s="1037"/>
      <c r="F151" s="1037"/>
      <c r="G151" s="836"/>
    </row>
    <row r="152" spans="1:19">
      <c r="A152" s="628" t="s">
        <v>7610</v>
      </c>
      <c r="B152" s="1037"/>
      <c r="C152" s="1037"/>
      <c r="D152" s="1037"/>
      <c r="E152" s="1037"/>
      <c r="F152" s="1037"/>
      <c r="G152" s="836"/>
    </row>
    <row r="154" spans="1:19" hidden="1">
      <c r="A154" s="1056" t="s">
        <v>7598</v>
      </c>
      <c r="B154" s="1055"/>
      <c r="C154" s="1055"/>
      <c r="D154" s="1055"/>
      <c r="E154" s="1055"/>
      <c r="F154" s="1055"/>
      <c r="G154" s="1239"/>
      <c r="H154" s="1239"/>
      <c r="I154" s="1239"/>
      <c r="J154" s="1239"/>
      <c r="K154" s="1239"/>
      <c r="L154" s="1239"/>
      <c r="M154" s="1239"/>
      <c r="N154" s="1239"/>
      <c r="O154" s="1063">
        <v>4000</v>
      </c>
      <c r="P154" s="1056" t="s">
        <v>7596</v>
      </c>
      <c r="Q154" s="1055"/>
      <c r="R154" s="1055"/>
      <c r="S154" s="1055"/>
    </row>
    <row r="155" spans="1:19" hidden="1">
      <c r="A155" s="1055"/>
      <c r="B155" s="1055"/>
      <c r="C155" s="1055"/>
      <c r="D155" s="1055"/>
      <c r="E155" s="1055"/>
      <c r="F155" s="1055"/>
      <c r="G155" s="1239"/>
      <c r="O155" s="1063">
        <v>1000</v>
      </c>
      <c r="P155" s="1056" t="s">
        <v>7597</v>
      </c>
      <c r="Q155" s="1055"/>
      <c r="R155" s="1055"/>
      <c r="S155" s="1055"/>
    </row>
    <row r="156" spans="1:19" hidden="1">
      <c r="A156" s="1055"/>
      <c r="B156" s="1055"/>
      <c r="C156" s="1055"/>
      <c r="D156" s="1055"/>
      <c r="E156" s="1055"/>
      <c r="F156" s="1055"/>
      <c r="G156" s="1239"/>
      <c r="O156" s="1063">
        <v>1000</v>
      </c>
      <c r="P156" s="1056" t="s">
        <v>7563</v>
      </c>
      <c r="Q156" s="1055"/>
      <c r="R156" s="1055"/>
      <c r="S156" s="1055"/>
    </row>
    <row r="157" spans="1:19" s="25" customFormat="1">
      <c r="A157" s="25" t="s">
        <v>2656</v>
      </c>
      <c r="G157" s="206">
        <v>38.68</v>
      </c>
      <c r="H157" s="206">
        <v>39.4</v>
      </c>
      <c r="I157" s="206">
        <v>40</v>
      </c>
      <c r="J157" s="206">
        <f t="shared" ref="J157:N157" si="16">I157</f>
        <v>40</v>
      </c>
      <c r="K157" s="206">
        <f t="shared" si="16"/>
        <v>40</v>
      </c>
      <c r="L157" s="206">
        <f t="shared" si="16"/>
        <v>40</v>
      </c>
      <c r="M157" s="206">
        <f t="shared" si="16"/>
        <v>40</v>
      </c>
      <c r="N157" s="206">
        <f t="shared" si="16"/>
        <v>40</v>
      </c>
      <c r="O157" s="43"/>
    </row>
    <row r="171" spans="1:7">
      <c r="A171" t="s">
        <v>2764</v>
      </c>
      <c r="G171" s="41">
        <v>35</v>
      </c>
    </row>
    <row r="172" spans="1:7">
      <c r="A172" t="s">
        <v>2765</v>
      </c>
      <c r="G172" s="41">
        <v>40</v>
      </c>
    </row>
  </sheetData>
  <pageMargins left="0.45" right="0.45" top="0.5" bottom="0.5" header="0.3" footer="0.3"/>
  <pageSetup scale="8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K1030"/>
  <sheetViews>
    <sheetView topLeftCell="A232" workbookViewId="0">
      <selection activeCell="F250" sqref="F250"/>
    </sheetView>
  </sheetViews>
  <sheetFormatPr defaultRowHeight="12.5"/>
  <cols>
    <col min="1" max="1" width="8.453125" customWidth="1"/>
    <col min="2" max="2" width="23.453125" customWidth="1"/>
    <col min="3" max="3" width="12.54296875" style="629" customWidth="1"/>
    <col min="4" max="4" width="12.54296875" style="731" customWidth="1"/>
    <col min="5" max="6" width="12.54296875" style="629" customWidth="1"/>
    <col min="7" max="7" width="12.54296875" style="957" customWidth="1"/>
    <col min="8" max="10" width="11.54296875" style="629" customWidth="1"/>
    <col min="11" max="11" width="14.54296875" style="629" customWidth="1"/>
  </cols>
  <sheetData>
    <row r="1" spans="1:11" s="41" customFormat="1">
      <c r="A1" s="41">
        <v>1</v>
      </c>
      <c r="B1" s="41">
        <f>A1+1</f>
        <v>2</v>
      </c>
      <c r="C1" s="727">
        <f>B1+1</f>
        <v>3</v>
      </c>
      <c r="D1" s="727">
        <f t="shared" ref="D1:K1" si="0">C1+1</f>
        <v>4</v>
      </c>
      <c r="E1" s="727">
        <f t="shared" si="0"/>
        <v>5</v>
      </c>
      <c r="F1" s="727">
        <f t="shared" si="0"/>
        <v>6</v>
      </c>
      <c r="G1" s="727">
        <f t="shared" si="0"/>
        <v>7</v>
      </c>
      <c r="H1" s="727">
        <f t="shared" si="0"/>
        <v>8</v>
      </c>
      <c r="I1" s="727">
        <f t="shared" si="0"/>
        <v>9</v>
      </c>
      <c r="J1" s="727">
        <f t="shared" si="0"/>
        <v>10</v>
      </c>
      <c r="K1" s="727">
        <f t="shared" si="0"/>
        <v>11</v>
      </c>
    </row>
    <row r="2" spans="1:11">
      <c r="C2" s="629" t="s">
        <v>967</v>
      </c>
      <c r="D2" s="944" t="s">
        <v>634</v>
      </c>
      <c r="E2" s="727" t="s">
        <v>1746</v>
      </c>
      <c r="F2" s="727" t="s">
        <v>1943</v>
      </c>
      <c r="G2" s="956" t="s">
        <v>1944</v>
      </c>
      <c r="H2" s="727" t="s">
        <v>2402</v>
      </c>
      <c r="I2" s="727" t="s">
        <v>1199</v>
      </c>
      <c r="J2" s="727" t="s">
        <v>1200</v>
      </c>
      <c r="K2" s="727" t="s">
        <v>2431</v>
      </c>
    </row>
    <row r="3" spans="1:11">
      <c r="A3" t="s">
        <v>183</v>
      </c>
      <c r="B3" t="s">
        <v>265</v>
      </c>
      <c r="C3" s="629">
        <v>1.04</v>
      </c>
      <c r="D3" s="731">
        <v>3690749</v>
      </c>
      <c r="E3" s="731">
        <v>0</v>
      </c>
      <c r="F3" s="944">
        <v>12</v>
      </c>
      <c r="G3" s="629">
        <v>0</v>
      </c>
      <c r="H3" s="646">
        <v>523485</v>
      </c>
      <c r="I3" s="646">
        <v>2031699</v>
      </c>
      <c r="J3" s="629">
        <v>772</v>
      </c>
      <c r="K3" s="646">
        <v>138548925</v>
      </c>
    </row>
    <row r="4" spans="1:11">
      <c r="A4" t="s">
        <v>1847</v>
      </c>
      <c r="B4" t="s">
        <v>266</v>
      </c>
      <c r="C4" s="629">
        <v>1.17</v>
      </c>
      <c r="D4" s="731">
        <v>2091250</v>
      </c>
      <c r="E4" s="731">
        <v>0</v>
      </c>
      <c r="F4" s="944">
        <v>12</v>
      </c>
      <c r="G4" s="629">
        <v>0</v>
      </c>
    </row>
    <row r="5" spans="1:11">
      <c r="A5" t="s">
        <v>14</v>
      </c>
      <c r="B5" t="s">
        <v>267</v>
      </c>
      <c r="C5" s="629">
        <v>1.04</v>
      </c>
      <c r="D5" s="731">
        <v>2895868</v>
      </c>
      <c r="E5" s="731">
        <v>148299</v>
      </c>
      <c r="F5" s="944">
        <v>12</v>
      </c>
      <c r="G5" s="629">
        <v>0</v>
      </c>
    </row>
    <row r="6" spans="1:11">
      <c r="A6" t="s">
        <v>15</v>
      </c>
      <c r="B6" t="s">
        <v>268</v>
      </c>
      <c r="C6" s="629">
        <v>1.04</v>
      </c>
      <c r="D6" s="731">
        <v>1044940</v>
      </c>
      <c r="E6" s="731">
        <v>0</v>
      </c>
      <c r="F6" s="944">
        <v>12</v>
      </c>
      <c r="G6" s="629">
        <v>0</v>
      </c>
    </row>
    <row r="7" spans="1:11">
      <c r="A7" t="s">
        <v>16</v>
      </c>
      <c r="B7" t="s">
        <v>269</v>
      </c>
      <c r="C7" s="629">
        <v>1.17</v>
      </c>
      <c r="D7" s="731">
        <v>10955209</v>
      </c>
      <c r="E7" s="731">
        <v>938484</v>
      </c>
      <c r="F7" s="944">
        <v>12</v>
      </c>
      <c r="G7" s="629">
        <v>0</v>
      </c>
    </row>
    <row r="8" spans="1:11">
      <c r="A8" t="s">
        <v>1036</v>
      </c>
      <c r="B8" t="s">
        <v>1117</v>
      </c>
      <c r="C8" s="629">
        <v>1.0049999999999999</v>
      </c>
      <c r="D8" s="731">
        <v>3716572</v>
      </c>
      <c r="E8" s="731">
        <v>0</v>
      </c>
      <c r="F8" s="944">
        <v>12</v>
      </c>
      <c r="G8" s="629">
        <v>0</v>
      </c>
    </row>
    <row r="9" spans="1:11">
      <c r="A9" t="s">
        <v>1037</v>
      </c>
      <c r="B9" t="s">
        <v>1118</v>
      </c>
      <c r="C9" s="629">
        <v>0.93799999999999994</v>
      </c>
      <c r="D9" s="731">
        <v>817526</v>
      </c>
      <c r="E9" s="731">
        <v>0</v>
      </c>
      <c r="F9" s="944">
        <v>12</v>
      </c>
      <c r="G9" s="629">
        <v>0</v>
      </c>
    </row>
    <row r="10" spans="1:11">
      <c r="A10" t="s">
        <v>1737</v>
      </c>
      <c r="B10" t="s">
        <v>1119</v>
      </c>
      <c r="C10" s="629">
        <v>1.04</v>
      </c>
      <c r="D10" s="731">
        <v>36691286</v>
      </c>
      <c r="E10" s="731">
        <v>4376334</v>
      </c>
      <c r="F10" s="944">
        <v>12</v>
      </c>
      <c r="G10" s="629">
        <v>0</v>
      </c>
      <c r="H10" s="646">
        <v>7635731</v>
      </c>
      <c r="I10" s="646">
        <v>9529806</v>
      </c>
      <c r="J10" s="646">
        <v>4039</v>
      </c>
      <c r="K10" s="646">
        <v>2443154790</v>
      </c>
    </row>
    <row r="11" spans="1:11">
      <c r="A11" t="s">
        <v>635</v>
      </c>
      <c r="B11" t="s">
        <v>2249</v>
      </c>
      <c r="C11" s="629">
        <v>1.0357000000000001</v>
      </c>
      <c r="D11" s="731">
        <v>2792120</v>
      </c>
      <c r="E11" s="731">
        <v>235654</v>
      </c>
      <c r="F11" s="944">
        <v>12</v>
      </c>
      <c r="G11" s="629">
        <v>0</v>
      </c>
    </row>
    <row r="12" spans="1:11">
      <c r="A12" t="s">
        <v>1367</v>
      </c>
      <c r="B12" t="s">
        <v>1120</v>
      </c>
      <c r="C12" s="629">
        <v>1.04</v>
      </c>
      <c r="D12" s="731">
        <v>20963063</v>
      </c>
      <c r="E12" s="731">
        <v>1421949</v>
      </c>
      <c r="F12" s="944">
        <v>12</v>
      </c>
      <c r="G12" s="629">
        <v>0</v>
      </c>
    </row>
    <row r="13" spans="1:11">
      <c r="A13" t="s">
        <v>1053</v>
      </c>
      <c r="B13" t="s">
        <v>1192</v>
      </c>
      <c r="C13" s="629">
        <v>1.04</v>
      </c>
      <c r="D13" s="731">
        <v>1734636</v>
      </c>
      <c r="E13" s="731">
        <v>194157</v>
      </c>
      <c r="F13" s="944">
        <v>12</v>
      </c>
      <c r="G13" s="629">
        <v>0</v>
      </c>
    </row>
    <row r="14" spans="1:11">
      <c r="A14" t="s">
        <v>320</v>
      </c>
      <c r="B14" t="s">
        <v>1121</v>
      </c>
      <c r="C14" s="629">
        <v>1.04</v>
      </c>
      <c r="D14" s="731">
        <v>3035515</v>
      </c>
      <c r="E14" s="731">
        <v>1821</v>
      </c>
      <c r="F14" s="944">
        <v>12</v>
      </c>
      <c r="G14" s="629">
        <v>0</v>
      </c>
    </row>
    <row r="15" spans="1:11">
      <c r="A15" t="s">
        <v>321</v>
      </c>
      <c r="B15" t="s">
        <v>1122</v>
      </c>
      <c r="C15" s="629">
        <v>1.034</v>
      </c>
      <c r="D15" s="731">
        <v>727380</v>
      </c>
      <c r="E15" s="731">
        <v>44151</v>
      </c>
      <c r="F15" s="944">
        <v>12</v>
      </c>
      <c r="G15" s="629">
        <v>0</v>
      </c>
    </row>
    <row r="16" spans="1:11">
      <c r="A16" t="s">
        <v>322</v>
      </c>
      <c r="B16" t="s">
        <v>1123</v>
      </c>
      <c r="C16" s="629">
        <v>1.04</v>
      </c>
      <c r="D16" s="731">
        <v>1920301</v>
      </c>
      <c r="E16" s="731">
        <v>0</v>
      </c>
      <c r="F16" s="944">
        <v>12</v>
      </c>
      <c r="G16" s="629">
        <v>0</v>
      </c>
    </row>
    <row r="17" spans="1:11">
      <c r="A17" t="s">
        <v>2339</v>
      </c>
      <c r="B17" t="s">
        <v>1124</v>
      </c>
      <c r="C17" s="629">
        <v>1.04</v>
      </c>
      <c r="D17" s="731">
        <v>24752788</v>
      </c>
      <c r="E17" s="731">
        <v>1206244</v>
      </c>
      <c r="F17" s="944">
        <v>12</v>
      </c>
      <c r="G17" s="629">
        <v>0</v>
      </c>
      <c r="H17" s="646">
        <v>3746173</v>
      </c>
      <c r="I17" s="646">
        <v>8198175</v>
      </c>
      <c r="J17" s="646">
        <v>3498</v>
      </c>
      <c r="K17" s="646">
        <v>685116099</v>
      </c>
    </row>
    <row r="18" spans="1:11">
      <c r="A18" t="s">
        <v>2340</v>
      </c>
      <c r="B18" t="s">
        <v>1125</v>
      </c>
      <c r="C18" s="629">
        <v>0.94</v>
      </c>
      <c r="D18" s="731">
        <v>1669691</v>
      </c>
      <c r="E18" s="731">
        <v>121664</v>
      </c>
      <c r="F18" s="944">
        <v>12</v>
      </c>
      <c r="G18" s="629">
        <v>0</v>
      </c>
    </row>
    <row r="19" spans="1:11">
      <c r="A19" t="s">
        <v>2341</v>
      </c>
      <c r="B19" t="s">
        <v>1126</v>
      </c>
      <c r="C19" s="629">
        <v>1.04</v>
      </c>
      <c r="D19" s="731">
        <v>2250490</v>
      </c>
      <c r="E19" s="731">
        <v>421871</v>
      </c>
      <c r="F19" s="944">
        <v>12</v>
      </c>
      <c r="G19" s="629">
        <v>0</v>
      </c>
    </row>
    <row r="20" spans="1:11">
      <c r="A20" t="s">
        <v>1838</v>
      </c>
      <c r="B20" t="s">
        <v>1061</v>
      </c>
      <c r="C20" s="629">
        <v>1.04</v>
      </c>
      <c r="D20" s="731">
        <v>588924</v>
      </c>
      <c r="E20" s="731">
        <v>53926</v>
      </c>
      <c r="F20" s="944">
        <v>12</v>
      </c>
      <c r="G20" s="629">
        <v>0</v>
      </c>
    </row>
    <row r="21" spans="1:11">
      <c r="A21" t="s">
        <v>2343</v>
      </c>
      <c r="B21" t="s">
        <v>1127</v>
      </c>
      <c r="C21" s="629">
        <v>1.01</v>
      </c>
      <c r="D21" s="731">
        <v>901570</v>
      </c>
      <c r="E21" s="731">
        <v>143053</v>
      </c>
      <c r="F21" s="944">
        <v>12</v>
      </c>
      <c r="G21" s="629">
        <v>0</v>
      </c>
    </row>
    <row r="22" spans="1:11">
      <c r="A22" t="s">
        <v>667</v>
      </c>
      <c r="B22" t="s">
        <v>620</v>
      </c>
      <c r="C22" s="629">
        <v>1.04</v>
      </c>
      <c r="D22" s="731">
        <v>911158</v>
      </c>
      <c r="E22" s="731">
        <v>83883</v>
      </c>
      <c r="F22" s="944">
        <v>12</v>
      </c>
      <c r="G22" s="629">
        <v>0</v>
      </c>
    </row>
    <row r="23" spans="1:11">
      <c r="A23" t="s">
        <v>2344</v>
      </c>
      <c r="B23" t="s">
        <v>1128</v>
      </c>
      <c r="C23" s="629">
        <v>1.17</v>
      </c>
      <c r="D23" s="731">
        <v>4809012</v>
      </c>
      <c r="E23" s="731">
        <v>0</v>
      </c>
      <c r="F23" s="944">
        <v>12</v>
      </c>
      <c r="G23" s="629">
        <v>0</v>
      </c>
    </row>
    <row r="24" spans="1:11">
      <c r="A24" t="s">
        <v>1976</v>
      </c>
      <c r="B24" t="s">
        <v>1129</v>
      </c>
      <c r="C24" s="629">
        <v>1.04</v>
      </c>
      <c r="D24" s="731">
        <v>1940817</v>
      </c>
      <c r="E24" s="731">
        <v>353305</v>
      </c>
      <c r="F24" s="944">
        <v>12</v>
      </c>
      <c r="G24" s="629">
        <v>0</v>
      </c>
    </row>
    <row r="25" spans="1:11">
      <c r="A25" t="s">
        <v>199</v>
      </c>
      <c r="B25" t="s">
        <v>947</v>
      </c>
      <c r="C25" s="629">
        <v>1.04</v>
      </c>
      <c r="D25" s="731">
        <v>6183859</v>
      </c>
      <c r="E25" s="731">
        <v>277793</v>
      </c>
      <c r="F25" s="944">
        <v>12</v>
      </c>
      <c r="G25" s="629">
        <v>0</v>
      </c>
    </row>
    <row r="26" spans="1:11">
      <c r="A26" t="s">
        <v>2014</v>
      </c>
      <c r="B26" t="s">
        <v>950</v>
      </c>
      <c r="C26" s="629">
        <v>1.04</v>
      </c>
      <c r="D26" s="731">
        <v>1700713</v>
      </c>
      <c r="E26" s="731">
        <v>147010</v>
      </c>
      <c r="F26" s="944">
        <v>12</v>
      </c>
      <c r="G26" s="629">
        <v>0</v>
      </c>
    </row>
    <row r="27" spans="1:11">
      <c r="A27" t="s">
        <v>2345</v>
      </c>
      <c r="B27" t="s">
        <v>1130</v>
      </c>
      <c r="C27" s="629">
        <v>1.04</v>
      </c>
      <c r="D27" s="731">
        <v>8274111</v>
      </c>
      <c r="E27" s="731">
        <v>1471777</v>
      </c>
      <c r="F27" s="944">
        <v>12</v>
      </c>
      <c r="G27" s="629">
        <v>0</v>
      </c>
    </row>
    <row r="28" spans="1:11">
      <c r="A28" t="s">
        <v>644</v>
      </c>
      <c r="B28" t="s">
        <v>1131</v>
      </c>
      <c r="C28" s="629">
        <v>0.96</v>
      </c>
      <c r="D28" s="731">
        <v>9451571</v>
      </c>
      <c r="E28" s="731">
        <v>1833561</v>
      </c>
      <c r="F28" s="944">
        <v>12</v>
      </c>
      <c r="G28" s="629">
        <v>0</v>
      </c>
    </row>
    <row r="29" spans="1:11">
      <c r="A29" t="s">
        <v>645</v>
      </c>
      <c r="B29" t="s">
        <v>1132</v>
      </c>
      <c r="C29" s="629">
        <v>1.04</v>
      </c>
      <c r="D29" s="731">
        <v>4186644</v>
      </c>
      <c r="E29" s="731">
        <v>561053</v>
      </c>
      <c r="F29" s="944">
        <v>12</v>
      </c>
      <c r="G29" s="629">
        <v>0</v>
      </c>
    </row>
    <row r="30" spans="1:11">
      <c r="A30" t="s">
        <v>646</v>
      </c>
      <c r="B30" t="s">
        <v>1133</v>
      </c>
      <c r="C30" s="629">
        <v>1.04</v>
      </c>
      <c r="D30" s="731">
        <v>2453765</v>
      </c>
      <c r="E30" s="731">
        <v>615668</v>
      </c>
      <c r="F30" s="944">
        <v>12</v>
      </c>
      <c r="G30" s="629">
        <v>0</v>
      </c>
    </row>
    <row r="31" spans="1:11">
      <c r="A31" t="s">
        <v>174</v>
      </c>
      <c r="B31" t="s">
        <v>1134</v>
      </c>
      <c r="C31" s="629">
        <v>0.96</v>
      </c>
      <c r="D31" s="731">
        <v>1598169</v>
      </c>
      <c r="E31" s="731">
        <v>0</v>
      </c>
      <c r="F31" s="944">
        <v>12</v>
      </c>
      <c r="G31" s="629">
        <v>0</v>
      </c>
    </row>
    <row r="32" spans="1:11">
      <c r="A32" t="s">
        <v>1839</v>
      </c>
      <c r="B32" t="s">
        <v>2002</v>
      </c>
      <c r="C32" s="629">
        <v>1.04</v>
      </c>
      <c r="D32" s="731">
        <v>10049168</v>
      </c>
      <c r="E32" s="731">
        <v>1623924</v>
      </c>
      <c r="F32" s="944">
        <v>12</v>
      </c>
      <c r="G32" s="629">
        <v>0</v>
      </c>
    </row>
    <row r="33" spans="1:11">
      <c r="A33" t="s">
        <v>1589</v>
      </c>
      <c r="B33" t="s">
        <v>2004</v>
      </c>
      <c r="C33" s="629">
        <v>1.04</v>
      </c>
      <c r="D33" s="731">
        <v>24858033</v>
      </c>
      <c r="E33" s="731">
        <v>5274019</v>
      </c>
      <c r="F33" s="944">
        <v>12</v>
      </c>
      <c r="G33" s="629">
        <v>0</v>
      </c>
    </row>
    <row r="34" spans="1:11">
      <c r="A34" t="s">
        <v>728</v>
      </c>
      <c r="B34" t="s">
        <v>843</v>
      </c>
      <c r="C34" s="629">
        <v>1.04</v>
      </c>
      <c r="D34" s="731">
        <v>8048152</v>
      </c>
      <c r="E34" s="731">
        <v>1983854</v>
      </c>
      <c r="F34" s="944">
        <v>12</v>
      </c>
      <c r="G34" s="629">
        <v>0</v>
      </c>
    </row>
    <row r="35" spans="1:11">
      <c r="A35" t="s">
        <v>2233</v>
      </c>
      <c r="B35" t="s">
        <v>1821</v>
      </c>
      <c r="C35" s="629">
        <v>1.04</v>
      </c>
      <c r="D35" s="731">
        <v>4743444</v>
      </c>
      <c r="E35" s="731">
        <v>1142711</v>
      </c>
      <c r="F35" s="944">
        <v>12</v>
      </c>
      <c r="G35" s="629">
        <v>0</v>
      </c>
    </row>
    <row r="36" spans="1:11">
      <c r="A36" t="s">
        <v>2015</v>
      </c>
      <c r="B36" t="s">
        <v>772</v>
      </c>
      <c r="C36" s="629">
        <v>1.04</v>
      </c>
      <c r="D36" s="731">
        <v>592234</v>
      </c>
      <c r="E36" s="731">
        <v>41690</v>
      </c>
      <c r="F36" s="944">
        <v>6</v>
      </c>
      <c r="G36" s="629">
        <v>0</v>
      </c>
    </row>
    <row r="37" spans="1:11">
      <c r="A37" t="s">
        <v>428</v>
      </c>
      <c r="B37" t="s">
        <v>1135</v>
      </c>
      <c r="C37" s="629">
        <v>1.04</v>
      </c>
      <c r="D37" s="731">
        <v>1425826</v>
      </c>
      <c r="E37" s="731">
        <v>239808</v>
      </c>
      <c r="F37" s="944">
        <v>12</v>
      </c>
      <c r="G37" s="629">
        <v>0</v>
      </c>
    </row>
    <row r="38" spans="1:11">
      <c r="A38" t="s">
        <v>2234</v>
      </c>
      <c r="B38" t="s">
        <v>2005</v>
      </c>
      <c r="C38" s="629">
        <v>1.04</v>
      </c>
      <c r="D38" s="731">
        <v>5349182</v>
      </c>
      <c r="E38" s="731">
        <v>620126</v>
      </c>
      <c r="F38" s="944">
        <v>12</v>
      </c>
      <c r="G38" s="629">
        <v>0</v>
      </c>
    </row>
    <row r="39" spans="1:11">
      <c r="A39" t="s">
        <v>2505</v>
      </c>
      <c r="B39" t="s">
        <v>1136</v>
      </c>
      <c r="C39" s="629">
        <v>0.91100000000000003</v>
      </c>
      <c r="D39" s="731">
        <v>1600323</v>
      </c>
      <c r="E39" s="731">
        <v>0</v>
      </c>
      <c r="F39" s="944">
        <v>8</v>
      </c>
      <c r="G39" s="629">
        <v>0</v>
      </c>
      <c r="H39" s="646">
        <v>210040</v>
      </c>
      <c r="I39" s="646">
        <v>561877</v>
      </c>
      <c r="J39" s="629">
        <v>226</v>
      </c>
      <c r="K39" s="646">
        <v>51967132</v>
      </c>
    </row>
    <row r="40" spans="1:11">
      <c r="A40" t="s">
        <v>2506</v>
      </c>
      <c r="B40" t="s">
        <v>1137</v>
      </c>
      <c r="C40" s="629">
        <v>1.04</v>
      </c>
      <c r="D40" s="731">
        <v>1500058</v>
      </c>
      <c r="E40" s="731">
        <v>0</v>
      </c>
      <c r="F40" s="944">
        <v>12</v>
      </c>
      <c r="G40" s="629">
        <v>0</v>
      </c>
    </row>
    <row r="41" spans="1:11">
      <c r="A41" t="s">
        <v>1079</v>
      </c>
      <c r="B41" t="s">
        <v>1725</v>
      </c>
      <c r="C41" s="629">
        <v>1.04</v>
      </c>
      <c r="D41" s="731">
        <v>1150718</v>
      </c>
      <c r="E41" s="731">
        <v>71619</v>
      </c>
      <c r="F41" s="944">
        <v>12</v>
      </c>
      <c r="G41" s="629">
        <v>0</v>
      </c>
    </row>
    <row r="42" spans="1:11">
      <c r="A42" t="s">
        <v>2016</v>
      </c>
      <c r="B42" t="s">
        <v>1138</v>
      </c>
      <c r="C42" s="629">
        <v>1.0394000000000001</v>
      </c>
      <c r="D42" s="731">
        <v>1824179</v>
      </c>
      <c r="E42" s="731">
        <v>190774</v>
      </c>
      <c r="F42" s="944">
        <v>12</v>
      </c>
      <c r="G42" s="629">
        <v>0</v>
      </c>
    </row>
    <row r="43" spans="1:11">
      <c r="A43" t="s">
        <v>1588</v>
      </c>
      <c r="B43" t="s">
        <v>2003</v>
      </c>
      <c r="C43" s="629">
        <v>1.04</v>
      </c>
      <c r="D43" s="731">
        <v>736853</v>
      </c>
      <c r="E43" s="731">
        <v>63240</v>
      </c>
      <c r="F43" s="944">
        <v>12</v>
      </c>
      <c r="G43" s="629">
        <v>0</v>
      </c>
    </row>
    <row r="44" spans="1:11">
      <c r="A44" t="s">
        <v>1591</v>
      </c>
      <c r="B44" t="s">
        <v>2533</v>
      </c>
      <c r="C44" s="629">
        <v>1.04</v>
      </c>
      <c r="D44" s="731">
        <v>17357409</v>
      </c>
      <c r="E44" s="731">
        <v>4186991</v>
      </c>
      <c r="F44" s="944">
        <v>12</v>
      </c>
      <c r="G44" s="629">
        <v>0</v>
      </c>
    </row>
    <row r="45" spans="1:11">
      <c r="A45" t="s">
        <v>161</v>
      </c>
      <c r="B45" t="s">
        <v>2244</v>
      </c>
      <c r="C45" s="629">
        <v>1.04</v>
      </c>
      <c r="D45" s="731">
        <v>800256</v>
      </c>
      <c r="E45" s="731">
        <v>110814</v>
      </c>
      <c r="F45" s="944">
        <v>12</v>
      </c>
      <c r="G45" s="629">
        <v>0</v>
      </c>
    </row>
    <row r="46" spans="1:11">
      <c r="A46" t="s">
        <v>51</v>
      </c>
      <c r="B46" t="s">
        <v>2378</v>
      </c>
      <c r="C46" s="629">
        <v>1.0310999999999999</v>
      </c>
      <c r="D46" s="731">
        <v>54638921</v>
      </c>
      <c r="E46" s="731">
        <v>5663302</v>
      </c>
      <c r="F46" s="944">
        <v>12</v>
      </c>
      <c r="G46" s="629">
        <v>0</v>
      </c>
    </row>
    <row r="47" spans="1:11">
      <c r="A47" t="s">
        <v>157</v>
      </c>
      <c r="B47" t="s">
        <v>1317</v>
      </c>
      <c r="C47" s="629">
        <v>1.038</v>
      </c>
      <c r="D47" s="731">
        <v>1391754</v>
      </c>
      <c r="E47" s="731">
        <v>94067</v>
      </c>
      <c r="F47" s="944">
        <v>12</v>
      </c>
      <c r="G47" s="629">
        <v>0</v>
      </c>
    </row>
    <row r="48" spans="1:11">
      <c r="A48" t="s">
        <v>1236</v>
      </c>
      <c r="B48" t="s">
        <v>1912</v>
      </c>
      <c r="C48" s="629">
        <v>1.04</v>
      </c>
      <c r="D48" s="731">
        <v>5542174</v>
      </c>
      <c r="E48" s="731">
        <v>1386089</v>
      </c>
      <c r="F48" s="944">
        <v>12</v>
      </c>
      <c r="G48" s="629">
        <v>0</v>
      </c>
    </row>
    <row r="49" spans="1:11">
      <c r="A49" t="s">
        <v>1425</v>
      </c>
      <c r="B49" t="s">
        <v>566</v>
      </c>
      <c r="C49" s="629">
        <v>1.04</v>
      </c>
      <c r="D49" s="731">
        <v>26487665</v>
      </c>
      <c r="E49" s="731">
        <v>2957744</v>
      </c>
      <c r="F49" s="944">
        <v>12</v>
      </c>
      <c r="G49" s="629">
        <v>0</v>
      </c>
    </row>
    <row r="50" spans="1:11">
      <c r="A50" t="s">
        <v>1430</v>
      </c>
      <c r="B50" t="s">
        <v>2187</v>
      </c>
      <c r="C50" s="629">
        <v>1.0333000000000001</v>
      </c>
      <c r="D50" s="731">
        <v>2260044</v>
      </c>
      <c r="E50" s="731">
        <v>346364</v>
      </c>
      <c r="F50" s="944">
        <v>12</v>
      </c>
      <c r="G50" s="629">
        <v>0</v>
      </c>
    </row>
    <row r="51" spans="1:11">
      <c r="A51" t="s">
        <v>401</v>
      </c>
      <c r="B51" t="s">
        <v>2156</v>
      </c>
      <c r="C51" s="629">
        <v>1.02</v>
      </c>
      <c r="D51" s="731">
        <v>48700278</v>
      </c>
      <c r="E51" s="731">
        <v>5796529</v>
      </c>
      <c r="F51" s="944">
        <v>12</v>
      </c>
      <c r="G51" s="629">
        <v>0</v>
      </c>
      <c r="H51" s="646">
        <v>5987479</v>
      </c>
      <c r="I51" s="646">
        <v>9825807</v>
      </c>
      <c r="J51" s="646">
        <v>4117</v>
      </c>
      <c r="K51" s="646">
        <v>1467461958</v>
      </c>
    </row>
    <row r="52" spans="1:11">
      <c r="A52" t="s">
        <v>1755</v>
      </c>
      <c r="B52" t="s">
        <v>683</v>
      </c>
      <c r="C52" s="629">
        <v>1.04</v>
      </c>
      <c r="D52" s="731">
        <v>12942460</v>
      </c>
      <c r="E52" s="731">
        <v>3391443</v>
      </c>
      <c r="F52" s="944">
        <v>12</v>
      </c>
      <c r="G52" s="629">
        <v>0</v>
      </c>
    </row>
    <row r="53" spans="1:11">
      <c r="A53" t="s">
        <v>726</v>
      </c>
      <c r="B53" t="s">
        <v>841</v>
      </c>
      <c r="C53" s="629">
        <v>1.17</v>
      </c>
      <c r="D53" s="731">
        <v>10512806</v>
      </c>
      <c r="E53" s="731">
        <v>1903941</v>
      </c>
      <c r="F53" s="944">
        <v>12</v>
      </c>
      <c r="G53" s="629">
        <v>0</v>
      </c>
    </row>
    <row r="54" spans="1:11">
      <c r="A54" t="s">
        <v>2224</v>
      </c>
      <c r="B54" t="s">
        <v>968</v>
      </c>
      <c r="C54" s="629">
        <v>0</v>
      </c>
      <c r="D54" s="731">
        <v>0</v>
      </c>
      <c r="E54" s="731">
        <v>0</v>
      </c>
      <c r="F54" s="944">
        <v>12</v>
      </c>
      <c r="G54" s="629">
        <v>0</v>
      </c>
    </row>
    <row r="55" spans="1:11">
      <c r="A55" t="s">
        <v>1238</v>
      </c>
      <c r="B55" t="s">
        <v>1915</v>
      </c>
      <c r="C55" s="629">
        <v>1.04</v>
      </c>
      <c r="D55" s="731">
        <v>115597106</v>
      </c>
      <c r="E55" s="731">
        <v>19783641</v>
      </c>
      <c r="F55" s="944">
        <v>12</v>
      </c>
      <c r="G55" s="629">
        <v>0</v>
      </c>
    </row>
    <row r="56" spans="1:11">
      <c r="A56" t="s">
        <v>1417</v>
      </c>
      <c r="B56" t="s">
        <v>1825</v>
      </c>
      <c r="C56" s="629">
        <v>1.04</v>
      </c>
      <c r="D56" s="731">
        <v>11861473</v>
      </c>
      <c r="E56" s="731">
        <v>3215089</v>
      </c>
      <c r="F56" s="944">
        <v>12</v>
      </c>
      <c r="G56" s="629">
        <v>0</v>
      </c>
    </row>
    <row r="57" spans="1:11">
      <c r="A57" t="s">
        <v>1082</v>
      </c>
      <c r="B57" t="s">
        <v>1824</v>
      </c>
      <c r="C57" s="629">
        <v>1.04</v>
      </c>
      <c r="D57" s="731">
        <v>3360911</v>
      </c>
      <c r="E57" s="731">
        <v>136481</v>
      </c>
      <c r="F57" s="944">
        <v>12</v>
      </c>
      <c r="G57" s="629">
        <v>0</v>
      </c>
    </row>
    <row r="58" spans="1:11">
      <c r="A58" t="s">
        <v>1322</v>
      </c>
      <c r="B58" t="s">
        <v>2163</v>
      </c>
      <c r="C58" s="629">
        <v>1.04</v>
      </c>
      <c r="D58" s="731">
        <v>273641533</v>
      </c>
      <c r="E58" s="731">
        <v>67556732</v>
      </c>
      <c r="F58" s="944">
        <v>12</v>
      </c>
      <c r="G58" s="629">
        <v>0</v>
      </c>
      <c r="H58" s="646">
        <v>36017353</v>
      </c>
      <c r="I58" s="646">
        <v>116008487</v>
      </c>
      <c r="J58" s="646">
        <v>49293</v>
      </c>
      <c r="K58" s="646">
        <v>8925745764</v>
      </c>
    </row>
    <row r="59" spans="1:11">
      <c r="A59" t="s">
        <v>723</v>
      </c>
      <c r="B59" t="s">
        <v>1008</v>
      </c>
      <c r="C59" s="629">
        <v>1.04</v>
      </c>
      <c r="D59" s="731">
        <v>18087581</v>
      </c>
      <c r="E59" s="731">
        <v>2121361</v>
      </c>
      <c r="F59" s="944">
        <v>12</v>
      </c>
      <c r="G59" s="629">
        <v>0</v>
      </c>
    </row>
    <row r="60" spans="1:11">
      <c r="A60" t="s">
        <v>668</v>
      </c>
      <c r="B60" t="s">
        <v>1827</v>
      </c>
      <c r="C60" s="629">
        <v>1.04</v>
      </c>
      <c r="D60" s="731">
        <v>15141651</v>
      </c>
      <c r="E60" s="731">
        <v>1380972</v>
      </c>
      <c r="F60" s="944">
        <v>12</v>
      </c>
      <c r="G60" s="629">
        <v>0</v>
      </c>
    </row>
    <row r="61" spans="1:11">
      <c r="A61" t="s">
        <v>2225</v>
      </c>
      <c r="B61" t="s">
        <v>969</v>
      </c>
      <c r="C61" s="629">
        <v>0</v>
      </c>
      <c r="D61" s="731">
        <v>0</v>
      </c>
      <c r="E61" s="731">
        <v>0</v>
      </c>
      <c r="F61" s="944">
        <v>12</v>
      </c>
      <c r="G61" s="629">
        <v>0</v>
      </c>
    </row>
    <row r="62" spans="1:11">
      <c r="A62" t="s">
        <v>2226</v>
      </c>
      <c r="B62" t="s">
        <v>970</v>
      </c>
      <c r="C62" s="629">
        <v>0</v>
      </c>
      <c r="D62" s="731">
        <v>0</v>
      </c>
      <c r="E62" s="731">
        <v>0</v>
      </c>
      <c r="F62" s="944">
        <v>12</v>
      </c>
      <c r="G62" s="629">
        <v>0</v>
      </c>
    </row>
    <row r="63" spans="1:11">
      <c r="A63" t="s">
        <v>1324</v>
      </c>
      <c r="B63" t="s">
        <v>2165</v>
      </c>
      <c r="C63" s="629">
        <v>1</v>
      </c>
      <c r="D63" s="731">
        <v>286797575</v>
      </c>
      <c r="E63" s="731">
        <v>59547365</v>
      </c>
      <c r="F63" s="944">
        <v>12</v>
      </c>
      <c r="G63" s="629">
        <v>0</v>
      </c>
    </row>
    <row r="64" spans="1:11">
      <c r="A64" t="s">
        <v>44</v>
      </c>
      <c r="B64" t="s">
        <v>386</v>
      </c>
      <c r="C64" s="629">
        <v>1.04</v>
      </c>
      <c r="D64" s="731">
        <v>57776063</v>
      </c>
      <c r="E64" s="731">
        <v>12185612</v>
      </c>
      <c r="F64" s="944">
        <v>12</v>
      </c>
      <c r="G64" s="629">
        <v>0</v>
      </c>
    </row>
    <row r="65" spans="1:11">
      <c r="A65" t="s">
        <v>1418</v>
      </c>
      <c r="B65" t="s">
        <v>1826</v>
      </c>
      <c r="C65" s="629">
        <v>1.04</v>
      </c>
      <c r="D65" s="731">
        <v>4522344</v>
      </c>
      <c r="E65" s="731">
        <v>1130000</v>
      </c>
      <c r="F65" s="944">
        <v>12</v>
      </c>
      <c r="G65" s="629">
        <v>0</v>
      </c>
    </row>
    <row r="66" spans="1:11">
      <c r="A66" t="s">
        <v>1139</v>
      </c>
      <c r="B66" t="s">
        <v>2157</v>
      </c>
      <c r="C66" s="629">
        <v>1.0149999999999999</v>
      </c>
      <c r="D66" s="731">
        <v>5087617</v>
      </c>
      <c r="E66" s="731">
        <v>753551</v>
      </c>
      <c r="F66" s="944">
        <v>12</v>
      </c>
      <c r="G66" s="629">
        <v>0</v>
      </c>
      <c r="H66" s="646">
        <v>95640</v>
      </c>
      <c r="I66" s="646">
        <v>2133267</v>
      </c>
      <c r="J66" s="629">
        <v>880</v>
      </c>
      <c r="K66" s="646">
        <v>111448582</v>
      </c>
    </row>
    <row r="67" spans="1:11">
      <c r="A67" t="s">
        <v>827</v>
      </c>
      <c r="B67" t="s">
        <v>753</v>
      </c>
      <c r="C67" s="629">
        <v>0.9738</v>
      </c>
      <c r="D67" s="731">
        <v>5502406</v>
      </c>
      <c r="E67" s="731">
        <v>696820</v>
      </c>
      <c r="F67" s="944">
        <v>12</v>
      </c>
      <c r="G67" s="629">
        <v>0</v>
      </c>
      <c r="H67" s="646">
        <v>4335</v>
      </c>
      <c r="I67" s="646">
        <v>2769597</v>
      </c>
      <c r="J67" s="646">
        <v>1143</v>
      </c>
      <c r="K67" s="646">
        <v>109479320</v>
      </c>
    </row>
    <row r="68" spans="1:11">
      <c r="A68" t="s">
        <v>1140</v>
      </c>
      <c r="B68" t="s">
        <v>2158</v>
      </c>
      <c r="C68" s="629">
        <v>1.0336000000000001</v>
      </c>
      <c r="D68" s="731">
        <v>7292248</v>
      </c>
      <c r="E68" s="731">
        <v>0</v>
      </c>
      <c r="F68" s="944">
        <v>12</v>
      </c>
      <c r="G68" s="629">
        <v>31</v>
      </c>
      <c r="H68" s="646">
        <v>1586291</v>
      </c>
      <c r="I68" s="646">
        <v>818087</v>
      </c>
      <c r="J68" s="629">
        <v>277.678</v>
      </c>
      <c r="K68" s="646">
        <v>348343768</v>
      </c>
    </row>
    <row r="69" spans="1:11">
      <c r="A69" t="s">
        <v>540</v>
      </c>
      <c r="B69" t="s">
        <v>1095</v>
      </c>
      <c r="C69" s="629">
        <v>1.03</v>
      </c>
      <c r="D69" s="731">
        <v>4322695</v>
      </c>
      <c r="E69" s="731">
        <v>582530</v>
      </c>
      <c r="F69" s="944">
        <v>12</v>
      </c>
      <c r="G69" s="629">
        <v>0</v>
      </c>
    </row>
    <row r="70" spans="1:11">
      <c r="A70" t="s">
        <v>1141</v>
      </c>
      <c r="B70" t="s">
        <v>2535</v>
      </c>
      <c r="C70" s="629">
        <v>0.98550000000000004</v>
      </c>
      <c r="D70" s="731">
        <v>1298761</v>
      </c>
      <c r="E70" s="731">
        <v>447192</v>
      </c>
      <c r="F70" s="944">
        <v>12</v>
      </c>
      <c r="G70" s="629">
        <v>0</v>
      </c>
    </row>
    <row r="71" spans="1:11">
      <c r="A71" t="s">
        <v>1048</v>
      </c>
      <c r="B71" t="s">
        <v>2536</v>
      </c>
      <c r="C71" s="629">
        <v>1.04</v>
      </c>
      <c r="D71" s="731">
        <v>549128</v>
      </c>
      <c r="E71" s="731">
        <v>0</v>
      </c>
      <c r="F71" s="944">
        <v>12</v>
      </c>
      <c r="G71" s="629">
        <v>0</v>
      </c>
    </row>
    <row r="72" spans="1:11">
      <c r="A72" t="s">
        <v>1049</v>
      </c>
      <c r="B72" t="s">
        <v>2537</v>
      </c>
      <c r="C72" s="629">
        <v>1.04</v>
      </c>
      <c r="D72" s="731">
        <v>1820946</v>
      </c>
      <c r="E72" s="731">
        <v>234623</v>
      </c>
      <c r="F72" s="944">
        <v>12</v>
      </c>
      <c r="G72" s="629">
        <v>0</v>
      </c>
    </row>
    <row r="73" spans="1:11">
      <c r="A73" t="s">
        <v>1794</v>
      </c>
      <c r="B73" t="s">
        <v>1911</v>
      </c>
      <c r="C73" s="629">
        <v>0.89990000000000003</v>
      </c>
      <c r="D73" s="731">
        <v>550709</v>
      </c>
      <c r="E73" s="731">
        <v>0</v>
      </c>
      <c r="F73" s="944">
        <v>12</v>
      </c>
      <c r="G73" s="629">
        <v>0</v>
      </c>
    </row>
    <row r="74" spans="1:11">
      <c r="A74" t="s">
        <v>1553</v>
      </c>
      <c r="B74" t="s">
        <v>2538</v>
      </c>
      <c r="C74" s="629">
        <v>1.04</v>
      </c>
      <c r="D74" s="731">
        <v>678628</v>
      </c>
      <c r="E74" s="731">
        <v>69399</v>
      </c>
      <c r="F74" s="944">
        <v>12</v>
      </c>
      <c r="G74" s="629">
        <v>0</v>
      </c>
    </row>
    <row r="75" spans="1:11">
      <c r="A75" t="s">
        <v>1554</v>
      </c>
      <c r="B75" t="s">
        <v>2539</v>
      </c>
      <c r="C75" s="629">
        <v>1.0266999999999999</v>
      </c>
      <c r="D75" s="731">
        <v>986164</v>
      </c>
      <c r="E75" s="731">
        <v>18131</v>
      </c>
      <c r="F75" s="944">
        <v>12</v>
      </c>
      <c r="G75" s="629">
        <v>0</v>
      </c>
    </row>
    <row r="76" spans="1:11">
      <c r="A76" t="s">
        <v>1555</v>
      </c>
      <c r="B76" t="s">
        <v>2540</v>
      </c>
      <c r="C76" s="629">
        <v>1.04</v>
      </c>
      <c r="D76" s="731">
        <v>587038</v>
      </c>
      <c r="E76" s="731">
        <v>0</v>
      </c>
      <c r="F76" s="944">
        <v>12</v>
      </c>
      <c r="G76" s="629">
        <v>0</v>
      </c>
      <c r="H76" s="646">
        <v>93448</v>
      </c>
      <c r="I76" s="646">
        <v>595885</v>
      </c>
      <c r="J76" s="629">
        <v>242</v>
      </c>
      <c r="K76" s="646">
        <v>24779171</v>
      </c>
    </row>
    <row r="77" spans="1:11">
      <c r="A77" t="s">
        <v>838</v>
      </c>
      <c r="B77" t="s">
        <v>2519</v>
      </c>
      <c r="C77" s="629">
        <v>1.17</v>
      </c>
      <c r="D77" s="731">
        <v>1690921</v>
      </c>
      <c r="E77" s="731">
        <v>27571</v>
      </c>
      <c r="F77" s="944">
        <v>12</v>
      </c>
      <c r="G77" s="629">
        <v>0</v>
      </c>
    </row>
    <row r="78" spans="1:11">
      <c r="A78" t="s">
        <v>669</v>
      </c>
      <c r="B78" t="s">
        <v>2246</v>
      </c>
      <c r="C78" s="629">
        <v>1.04</v>
      </c>
      <c r="D78" s="731">
        <v>1277694</v>
      </c>
      <c r="E78" s="731">
        <v>162904</v>
      </c>
      <c r="F78" s="944">
        <v>12</v>
      </c>
      <c r="G78" s="629">
        <v>0</v>
      </c>
    </row>
    <row r="79" spans="1:11">
      <c r="A79" t="s">
        <v>2017</v>
      </c>
      <c r="B79" t="s">
        <v>1954</v>
      </c>
      <c r="C79" s="629">
        <v>1.17</v>
      </c>
      <c r="D79" s="731">
        <v>584530</v>
      </c>
      <c r="E79" s="731">
        <v>24175</v>
      </c>
      <c r="F79" s="944">
        <v>12</v>
      </c>
      <c r="G79" s="629">
        <v>0</v>
      </c>
    </row>
    <row r="80" spans="1:11">
      <c r="A80" t="s">
        <v>2493</v>
      </c>
      <c r="B80" t="s">
        <v>1313</v>
      </c>
      <c r="C80" s="629">
        <v>1.04</v>
      </c>
      <c r="D80" s="731">
        <v>2975064</v>
      </c>
      <c r="E80" s="731">
        <v>182063</v>
      </c>
      <c r="F80" s="944">
        <v>12</v>
      </c>
      <c r="G80" s="629">
        <v>0</v>
      </c>
    </row>
    <row r="81" spans="1:11">
      <c r="A81" t="s">
        <v>1034</v>
      </c>
      <c r="B81" t="s">
        <v>1314</v>
      </c>
      <c r="C81" s="629">
        <v>1.17</v>
      </c>
      <c r="D81" s="731">
        <v>2082327</v>
      </c>
      <c r="E81" s="731">
        <v>152821</v>
      </c>
      <c r="F81" s="944">
        <v>12</v>
      </c>
      <c r="G81" s="629">
        <v>0</v>
      </c>
    </row>
    <row r="82" spans="1:11">
      <c r="A82" t="s">
        <v>1035</v>
      </c>
      <c r="B82" t="s">
        <v>1315</v>
      </c>
      <c r="C82" s="629">
        <v>1.1299999999999999</v>
      </c>
      <c r="D82" s="731">
        <v>20537205</v>
      </c>
      <c r="E82" s="731">
        <v>1763847</v>
      </c>
      <c r="F82" s="944">
        <v>12</v>
      </c>
      <c r="G82" s="629">
        <v>0</v>
      </c>
    </row>
    <row r="83" spans="1:11">
      <c r="A83" t="s">
        <v>1057</v>
      </c>
      <c r="B83" t="s">
        <v>2346</v>
      </c>
      <c r="C83" s="629">
        <v>1.04</v>
      </c>
      <c r="D83" s="731">
        <v>4970208</v>
      </c>
      <c r="E83" s="731">
        <v>406359</v>
      </c>
      <c r="F83" s="944">
        <v>12</v>
      </c>
      <c r="G83" s="629">
        <v>0</v>
      </c>
    </row>
    <row r="84" spans="1:11">
      <c r="A84" t="s">
        <v>2018</v>
      </c>
      <c r="B84" t="s">
        <v>252</v>
      </c>
      <c r="C84" s="629">
        <v>0.98150000000000004</v>
      </c>
      <c r="D84" s="731">
        <v>747877</v>
      </c>
      <c r="E84" s="731">
        <v>36982</v>
      </c>
      <c r="F84" s="944">
        <v>12</v>
      </c>
      <c r="G84" s="629">
        <v>0</v>
      </c>
    </row>
    <row r="85" spans="1:11">
      <c r="A85" t="s">
        <v>931</v>
      </c>
      <c r="B85" t="s">
        <v>274</v>
      </c>
      <c r="C85" s="629">
        <v>1.04</v>
      </c>
      <c r="D85" s="731">
        <v>161355</v>
      </c>
      <c r="E85" s="731">
        <v>6813</v>
      </c>
      <c r="F85" s="944">
        <v>8</v>
      </c>
      <c r="G85" s="629">
        <v>0</v>
      </c>
    </row>
    <row r="86" spans="1:11">
      <c r="A86" t="s">
        <v>796</v>
      </c>
      <c r="B86" t="s">
        <v>2347</v>
      </c>
      <c r="C86" s="629">
        <v>0.9</v>
      </c>
      <c r="D86" s="731">
        <v>1269089</v>
      </c>
      <c r="E86" s="731">
        <v>364262</v>
      </c>
      <c r="F86" s="944">
        <v>8</v>
      </c>
      <c r="G86" s="629">
        <v>0</v>
      </c>
    </row>
    <row r="87" spans="1:11">
      <c r="A87" t="s">
        <v>1058</v>
      </c>
      <c r="B87" t="s">
        <v>2348</v>
      </c>
      <c r="C87" s="629">
        <v>1.04</v>
      </c>
      <c r="D87" s="731">
        <v>7750409</v>
      </c>
      <c r="E87" s="731">
        <v>1269872</v>
      </c>
      <c r="F87" s="944">
        <v>12</v>
      </c>
      <c r="G87" s="629">
        <v>0</v>
      </c>
    </row>
    <row r="88" spans="1:11">
      <c r="A88" t="s">
        <v>1059</v>
      </c>
      <c r="B88" t="s">
        <v>2248</v>
      </c>
      <c r="C88" s="629">
        <v>1.04</v>
      </c>
      <c r="D88" s="731">
        <v>175762</v>
      </c>
      <c r="E88" s="731">
        <v>0</v>
      </c>
      <c r="F88" s="944">
        <v>8</v>
      </c>
      <c r="G88" s="629">
        <v>0</v>
      </c>
    </row>
    <row r="89" spans="1:11">
      <c r="A89" t="s">
        <v>797</v>
      </c>
      <c r="B89" t="s">
        <v>2349</v>
      </c>
      <c r="C89" s="629">
        <v>1.04</v>
      </c>
      <c r="D89" s="731">
        <v>272730</v>
      </c>
      <c r="E89" s="731">
        <v>0</v>
      </c>
      <c r="F89" s="944">
        <v>8</v>
      </c>
      <c r="G89" s="629">
        <v>0</v>
      </c>
    </row>
    <row r="90" spans="1:11">
      <c r="A90" t="s">
        <v>168</v>
      </c>
      <c r="B90" t="s">
        <v>996</v>
      </c>
      <c r="C90" s="629">
        <v>1.04</v>
      </c>
      <c r="D90" s="731">
        <v>29527171</v>
      </c>
      <c r="E90" s="731">
        <v>7459819</v>
      </c>
      <c r="F90" s="944">
        <v>12</v>
      </c>
      <c r="G90" s="629">
        <v>0</v>
      </c>
    </row>
    <row r="91" spans="1:11">
      <c r="A91" t="s">
        <v>871</v>
      </c>
      <c r="B91" t="s">
        <v>2350</v>
      </c>
      <c r="C91" s="629">
        <v>1.04</v>
      </c>
      <c r="D91" s="731">
        <v>26881134</v>
      </c>
      <c r="E91" s="731">
        <v>3822876</v>
      </c>
      <c r="F91" s="944">
        <v>12</v>
      </c>
      <c r="G91" s="629">
        <v>0</v>
      </c>
      <c r="H91" s="646">
        <v>3667716</v>
      </c>
      <c r="I91" s="646">
        <v>16562385</v>
      </c>
      <c r="J91" s="646">
        <v>6878</v>
      </c>
      <c r="K91" s="646">
        <v>1545666972</v>
      </c>
    </row>
    <row r="92" spans="1:11">
      <c r="A92" t="s">
        <v>670</v>
      </c>
      <c r="B92" t="s">
        <v>2515</v>
      </c>
      <c r="C92" s="629">
        <v>1.04</v>
      </c>
      <c r="D92" s="731">
        <v>1717778</v>
      </c>
      <c r="E92" s="731">
        <v>122988</v>
      </c>
      <c r="F92" s="944">
        <v>12</v>
      </c>
      <c r="G92" s="629">
        <v>0</v>
      </c>
    </row>
    <row r="93" spans="1:11">
      <c r="A93" t="s">
        <v>1087</v>
      </c>
      <c r="B93" t="s">
        <v>2351</v>
      </c>
      <c r="C93" s="629">
        <v>0.94840000000000002</v>
      </c>
      <c r="D93" s="731">
        <v>70223037</v>
      </c>
      <c r="E93" s="731">
        <v>12679479</v>
      </c>
      <c r="F93" s="944">
        <v>12</v>
      </c>
      <c r="G93" s="629">
        <v>0</v>
      </c>
      <c r="H93" s="646">
        <v>11737735</v>
      </c>
      <c r="I93" s="646">
        <v>33274683</v>
      </c>
      <c r="J93" s="646">
        <v>13936</v>
      </c>
      <c r="K93" s="646">
        <v>4161293319</v>
      </c>
    </row>
    <row r="94" spans="1:11">
      <c r="A94" t="s">
        <v>1088</v>
      </c>
      <c r="B94" t="s">
        <v>2352</v>
      </c>
      <c r="C94" s="629">
        <v>1.04</v>
      </c>
      <c r="D94" s="731">
        <v>17061963</v>
      </c>
      <c r="E94" s="731">
        <v>2627257</v>
      </c>
      <c r="F94" s="944">
        <v>12</v>
      </c>
      <c r="G94" s="629">
        <v>0</v>
      </c>
      <c r="H94" s="646">
        <v>3179151</v>
      </c>
      <c r="I94" s="646">
        <v>5835681</v>
      </c>
      <c r="J94" s="646">
        <v>2393</v>
      </c>
      <c r="K94" s="646">
        <v>852560200</v>
      </c>
    </row>
    <row r="95" spans="1:11">
      <c r="A95" t="s">
        <v>1350</v>
      </c>
      <c r="B95" t="s">
        <v>1458</v>
      </c>
      <c r="C95" s="629">
        <v>1.04</v>
      </c>
      <c r="D95" s="731">
        <v>8342175</v>
      </c>
      <c r="E95" s="731">
        <v>1676488</v>
      </c>
      <c r="F95" s="944">
        <v>12</v>
      </c>
      <c r="G95" s="629">
        <v>0</v>
      </c>
    </row>
    <row r="96" spans="1:11">
      <c r="A96" t="s">
        <v>193</v>
      </c>
      <c r="B96" t="s">
        <v>259</v>
      </c>
      <c r="C96" s="629">
        <v>1.04</v>
      </c>
      <c r="D96" s="731">
        <v>57726045</v>
      </c>
      <c r="E96" s="731">
        <v>14078590</v>
      </c>
      <c r="F96" s="944">
        <v>12</v>
      </c>
      <c r="G96" s="629">
        <v>0</v>
      </c>
    </row>
    <row r="97" spans="1:11">
      <c r="A97" t="s">
        <v>1089</v>
      </c>
      <c r="B97" t="s">
        <v>2353</v>
      </c>
      <c r="C97" s="629">
        <v>1.04</v>
      </c>
      <c r="D97" s="731">
        <v>432631</v>
      </c>
      <c r="E97" s="731">
        <v>0</v>
      </c>
      <c r="F97" s="944">
        <v>8</v>
      </c>
      <c r="G97" s="629">
        <v>0</v>
      </c>
    </row>
    <row r="98" spans="1:11">
      <c r="A98" t="s">
        <v>543</v>
      </c>
      <c r="B98" t="s">
        <v>1099</v>
      </c>
      <c r="C98" s="629">
        <v>1</v>
      </c>
      <c r="D98" s="731">
        <v>51435132</v>
      </c>
      <c r="E98" s="731">
        <v>6663113</v>
      </c>
      <c r="F98" s="944">
        <v>12</v>
      </c>
      <c r="G98" s="629">
        <v>0</v>
      </c>
      <c r="H98" s="646">
        <v>5654772</v>
      </c>
      <c r="I98" s="646">
        <v>14515795</v>
      </c>
      <c r="J98" s="646">
        <v>6236</v>
      </c>
      <c r="K98" s="646">
        <v>1256466289</v>
      </c>
    </row>
    <row r="99" spans="1:11">
      <c r="A99" t="s">
        <v>835</v>
      </c>
      <c r="B99" t="s">
        <v>2491</v>
      </c>
      <c r="C99" s="629">
        <v>1.04</v>
      </c>
      <c r="D99" s="731">
        <v>42234981</v>
      </c>
      <c r="E99" s="731">
        <v>9427085</v>
      </c>
      <c r="F99" s="944">
        <v>12</v>
      </c>
      <c r="G99" s="629">
        <v>0</v>
      </c>
    </row>
    <row r="100" spans="1:11">
      <c r="A100" t="s">
        <v>2408</v>
      </c>
      <c r="B100" t="s">
        <v>2354</v>
      </c>
      <c r="C100" s="629">
        <v>1.04</v>
      </c>
      <c r="D100" s="731">
        <v>694557</v>
      </c>
      <c r="E100" s="731">
        <v>0</v>
      </c>
      <c r="F100" s="944">
        <v>12</v>
      </c>
      <c r="G100" s="629">
        <v>31</v>
      </c>
    </row>
    <row r="101" spans="1:11">
      <c r="A101" t="s">
        <v>378</v>
      </c>
      <c r="B101" t="s">
        <v>2355</v>
      </c>
      <c r="C101" s="629">
        <v>1.04</v>
      </c>
      <c r="D101" s="731">
        <v>3201104</v>
      </c>
      <c r="E101" s="731">
        <v>316200</v>
      </c>
      <c r="F101" s="944">
        <v>12</v>
      </c>
      <c r="G101" s="629">
        <v>0</v>
      </c>
    </row>
    <row r="102" spans="1:11">
      <c r="A102" t="s">
        <v>379</v>
      </c>
      <c r="B102" t="s">
        <v>1498</v>
      </c>
      <c r="C102" s="629">
        <v>1.04</v>
      </c>
      <c r="D102" s="731">
        <v>555711</v>
      </c>
      <c r="E102" s="731">
        <v>0</v>
      </c>
      <c r="F102" s="944">
        <v>12</v>
      </c>
      <c r="G102" s="629">
        <v>31</v>
      </c>
    </row>
    <row r="103" spans="1:11">
      <c r="A103" t="s">
        <v>380</v>
      </c>
      <c r="B103" t="s">
        <v>1499</v>
      </c>
      <c r="C103" s="629">
        <v>1.04</v>
      </c>
      <c r="D103" s="731">
        <v>66573</v>
      </c>
      <c r="E103" s="731">
        <v>0</v>
      </c>
      <c r="F103" s="944">
        <v>8</v>
      </c>
      <c r="G103" s="629">
        <v>31</v>
      </c>
    </row>
    <row r="104" spans="1:11">
      <c r="A104" t="s">
        <v>381</v>
      </c>
      <c r="B104" t="s">
        <v>1500</v>
      </c>
      <c r="C104" s="629">
        <v>1.04</v>
      </c>
      <c r="D104" s="731">
        <v>529200</v>
      </c>
      <c r="E104" s="731">
        <v>0</v>
      </c>
      <c r="F104" s="944">
        <v>12</v>
      </c>
      <c r="G104" s="629">
        <v>0</v>
      </c>
    </row>
    <row r="105" spans="1:11">
      <c r="A105" t="s">
        <v>628</v>
      </c>
      <c r="B105" t="s">
        <v>1501</v>
      </c>
      <c r="C105" s="629">
        <v>1.0139</v>
      </c>
      <c r="D105" s="731">
        <v>9439851</v>
      </c>
      <c r="E105" s="731">
        <v>286373</v>
      </c>
      <c r="F105" s="944">
        <v>12</v>
      </c>
      <c r="G105" s="629">
        <v>0</v>
      </c>
      <c r="H105" s="646">
        <v>1017233</v>
      </c>
      <c r="I105" s="646">
        <v>5897214</v>
      </c>
      <c r="J105" s="646">
        <v>2426</v>
      </c>
      <c r="K105" s="646">
        <v>354681739</v>
      </c>
    </row>
    <row r="106" spans="1:11">
      <c r="A106" t="s">
        <v>629</v>
      </c>
      <c r="B106" t="s">
        <v>1502</v>
      </c>
      <c r="C106" s="629">
        <v>1.1200000000000001</v>
      </c>
      <c r="D106" s="731">
        <v>2420491</v>
      </c>
      <c r="E106" s="731">
        <v>227845</v>
      </c>
      <c r="F106" s="944">
        <v>12</v>
      </c>
      <c r="G106" s="629">
        <v>0</v>
      </c>
    </row>
    <row r="107" spans="1:11">
      <c r="A107" t="s">
        <v>630</v>
      </c>
      <c r="B107" t="s">
        <v>1503</v>
      </c>
      <c r="C107" s="629">
        <v>1.04</v>
      </c>
      <c r="D107" s="731">
        <v>10483551</v>
      </c>
      <c r="E107" s="731">
        <v>2443302</v>
      </c>
      <c r="F107" s="944">
        <v>12</v>
      </c>
      <c r="G107" s="629">
        <v>0</v>
      </c>
    </row>
    <row r="108" spans="1:11">
      <c r="A108" t="s">
        <v>829</v>
      </c>
      <c r="B108" t="s">
        <v>1267</v>
      </c>
      <c r="C108" s="629">
        <v>1.0900000000000001</v>
      </c>
      <c r="D108" s="731">
        <v>378357</v>
      </c>
      <c r="E108" s="731">
        <v>20999</v>
      </c>
      <c r="F108" s="944">
        <v>12</v>
      </c>
      <c r="G108" s="629">
        <v>0</v>
      </c>
    </row>
    <row r="109" spans="1:11">
      <c r="A109" t="s">
        <v>2387</v>
      </c>
      <c r="B109" t="s">
        <v>1955</v>
      </c>
      <c r="C109" s="629">
        <v>1.04</v>
      </c>
      <c r="D109" s="731">
        <v>1058655</v>
      </c>
      <c r="E109" s="731">
        <v>127486</v>
      </c>
      <c r="F109" s="944">
        <v>12</v>
      </c>
      <c r="G109" s="629">
        <v>0</v>
      </c>
    </row>
    <row r="110" spans="1:11">
      <c r="A110" t="s">
        <v>1116</v>
      </c>
      <c r="B110" t="s">
        <v>2528</v>
      </c>
      <c r="C110" s="629">
        <v>1.04</v>
      </c>
      <c r="D110" s="731">
        <v>316958</v>
      </c>
      <c r="E110" s="731">
        <v>9970</v>
      </c>
      <c r="F110" s="944">
        <v>12</v>
      </c>
      <c r="G110" s="629">
        <v>0</v>
      </c>
    </row>
    <row r="111" spans="1:11">
      <c r="A111" t="s">
        <v>671</v>
      </c>
      <c r="B111" t="s">
        <v>2278</v>
      </c>
      <c r="C111" s="629">
        <v>1.04</v>
      </c>
      <c r="D111" s="731">
        <v>442403</v>
      </c>
      <c r="E111" s="731">
        <v>45785</v>
      </c>
      <c r="F111" s="944">
        <v>12</v>
      </c>
      <c r="G111" s="629">
        <v>0</v>
      </c>
    </row>
    <row r="112" spans="1:11">
      <c r="A112" t="s">
        <v>724</v>
      </c>
      <c r="B112" t="s">
        <v>1007</v>
      </c>
      <c r="C112" s="629">
        <v>1.04</v>
      </c>
      <c r="D112" s="731">
        <v>2129251</v>
      </c>
      <c r="E112" s="731">
        <v>52974</v>
      </c>
      <c r="F112" s="944">
        <v>12</v>
      </c>
      <c r="G112" s="629">
        <v>0</v>
      </c>
    </row>
    <row r="113" spans="1:11">
      <c r="A113" t="s">
        <v>631</v>
      </c>
      <c r="B113" t="s">
        <v>1504</v>
      </c>
      <c r="C113" s="629">
        <v>1.04</v>
      </c>
      <c r="D113" s="731">
        <v>6704432</v>
      </c>
      <c r="E113" s="731">
        <v>564626</v>
      </c>
      <c r="F113" s="944">
        <v>12</v>
      </c>
      <c r="G113" s="629">
        <v>0</v>
      </c>
    </row>
    <row r="114" spans="1:11">
      <c r="A114" t="s">
        <v>632</v>
      </c>
      <c r="B114" t="s">
        <v>1505</v>
      </c>
      <c r="C114" s="629">
        <v>1.04</v>
      </c>
      <c r="D114" s="731">
        <v>1922442</v>
      </c>
      <c r="E114" s="731">
        <v>165948</v>
      </c>
      <c r="F114" s="944">
        <v>12</v>
      </c>
      <c r="G114" s="629">
        <v>0</v>
      </c>
    </row>
    <row r="115" spans="1:11">
      <c r="A115" t="s">
        <v>633</v>
      </c>
      <c r="B115" t="s">
        <v>1506</v>
      </c>
      <c r="C115" s="629">
        <v>1.04</v>
      </c>
      <c r="D115" s="731">
        <v>1553313</v>
      </c>
      <c r="E115" s="731">
        <v>0</v>
      </c>
      <c r="F115" s="944">
        <v>12</v>
      </c>
      <c r="G115" s="629">
        <v>0</v>
      </c>
    </row>
    <row r="116" spans="1:11">
      <c r="A116" t="s">
        <v>1778</v>
      </c>
      <c r="B116" t="s">
        <v>124</v>
      </c>
      <c r="C116" s="629">
        <v>1.04</v>
      </c>
      <c r="D116" s="731">
        <v>14679928</v>
      </c>
      <c r="E116" s="731">
        <v>3017579</v>
      </c>
      <c r="F116" s="944">
        <v>12</v>
      </c>
      <c r="G116" s="629">
        <v>0</v>
      </c>
    </row>
    <row r="117" spans="1:11">
      <c r="A117" t="s">
        <v>331</v>
      </c>
      <c r="B117" t="s">
        <v>276</v>
      </c>
      <c r="C117" s="629">
        <v>1.04</v>
      </c>
      <c r="D117" s="731">
        <v>24404361</v>
      </c>
      <c r="E117" s="731">
        <v>2631507</v>
      </c>
      <c r="F117" s="944">
        <v>12</v>
      </c>
      <c r="G117" s="629">
        <v>0</v>
      </c>
      <c r="H117" s="646">
        <v>1434573</v>
      </c>
      <c r="I117" s="646">
        <v>6994048</v>
      </c>
      <c r="J117" s="646">
        <v>2870</v>
      </c>
      <c r="K117" s="646">
        <v>523865020</v>
      </c>
    </row>
    <row r="118" spans="1:11">
      <c r="A118" t="s">
        <v>431</v>
      </c>
      <c r="B118" t="s">
        <v>2104</v>
      </c>
      <c r="C118" s="629">
        <v>1.04</v>
      </c>
      <c r="D118" s="731">
        <v>8342020</v>
      </c>
      <c r="E118" s="731">
        <v>1278021</v>
      </c>
      <c r="F118" s="944">
        <v>12</v>
      </c>
      <c r="G118" s="629">
        <v>0</v>
      </c>
    </row>
    <row r="119" spans="1:11">
      <c r="A119" t="s">
        <v>1084</v>
      </c>
      <c r="B119" t="s">
        <v>792</v>
      </c>
      <c r="C119" s="629">
        <v>0.9</v>
      </c>
      <c r="D119" s="731">
        <v>2678060</v>
      </c>
      <c r="E119" s="731">
        <v>155979</v>
      </c>
      <c r="F119" s="944">
        <v>12</v>
      </c>
      <c r="G119" s="629">
        <v>0</v>
      </c>
    </row>
    <row r="120" spans="1:11">
      <c r="A120" t="s">
        <v>2181</v>
      </c>
      <c r="B120" t="s">
        <v>1507</v>
      </c>
      <c r="C120" s="629">
        <v>0.9</v>
      </c>
      <c r="D120" s="731">
        <v>826798</v>
      </c>
      <c r="E120" s="731">
        <v>0</v>
      </c>
      <c r="F120" s="944">
        <v>12</v>
      </c>
      <c r="G120" s="629">
        <v>0</v>
      </c>
    </row>
    <row r="121" spans="1:11">
      <c r="A121" t="s">
        <v>1283</v>
      </c>
      <c r="B121" t="s">
        <v>971</v>
      </c>
      <c r="C121" s="629">
        <v>1.0266999999999999</v>
      </c>
      <c r="D121" s="731">
        <v>43212254</v>
      </c>
      <c r="E121" s="731">
        <v>3181</v>
      </c>
      <c r="F121" s="944">
        <v>12</v>
      </c>
      <c r="G121" s="629">
        <v>0</v>
      </c>
      <c r="H121" s="646">
        <v>6328074</v>
      </c>
      <c r="I121" s="646">
        <v>11649071</v>
      </c>
      <c r="J121" s="646">
        <v>4897</v>
      </c>
      <c r="K121" s="646">
        <v>1641078677</v>
      </c>
    </row>
    <row r="122" spans="1:11">
      <c r="A122" t="s">
        <v>2216</v>
      </c>
      <c r="B122" t="s">
        <v>1509</v>
      </c>
      <c r="C122" s="629">
        <v>0.9</v>
      </c>
      <c r="D122" s="731">
        <v>755598</v>
      </c>
      <c r="E122" s="731">
        <v>57813</v>
      </c>
      <c r="F122" s="944">
        <v>12</v>
      </c>
      <c r="G122" s="629">
        <v>0</v>
      </c>
    </row>
    <row r="123" spans="1:11">
      <c r="A123" t="s">
        <v>672</v>
      </c>
      <c r="B123" t="s">
        <v>29</v>
      </c>
      <c r="C123" s="629">
        <v>1.04</v>
      </c>
      <c r="D123" s="731">
        <v>3266661</v>
      </c>
      <c r="E123" s="731">
        <v>226026</v>
      </c>
      <c r="F123" s="944">
        <v>12</v>
      </c>
      <c r="G123" s="629">
        <v>0</v>
      </c>
    </row>
    <row r="124" spans="1:11">
      <c r="A124" t="s">
        <v>139</v>
      </c>
      <c r="B124" t="s">
        <v>1510</v>
      </c>
      <c r="C124" s="629">
        <v>1.17</v>
      </c>
      <c r="D124" s="731">
        <v>1057086</v>
      </c>
      <c r="E124" s="731">
        <v>0</v>
      </c>
      <c r="F124" s="944">
        <v>12</v>
      </c>
      <c r="G124" s="629">
        <v>0</v>
      </c>
    </row>
    <row r="125" spans="1:11">
      <c r="A125" t="s">
        <v>1726</v>
      </c>
      <c r="B125" t="s">
        <v>1511</v>
      </c>
      <c r="C125" s="629">
        <v>1.17</v>
      </c>
      <c r="D125" s="731">
        <v>1963067</v>
      </c>
      <c r="E125" s="731">
        <v>305006</v>
      </c>
      <c r="F125" s="944">
        <v>12</v>
      </c>
      <c r="G125" s="629">
        <v>0</v>
      </c>
    </row>
    <row r="126" spans="1:11">
      <c r="A126" t="s">
        <v>834</v>
      </c>
      <c r="B126" t="s">
        <v>2490</v>
      </c>
      <c r="C126" s="629">
        <v>1.0190999999999999</v>
      </c>
      <c r="D126" s="731">
        <v>48925643</v>
      </c>
      <c r="E126" s="731">
        <v>3685228</v>
      </c>
      <c r="F126" s="944">
        <v>12</v>
      </c>
      <c r="G126" s="629">
        <v>0</v>
      </c>
    </row>
    <row r="127" spans="1:11">
      <c r="A127" t="s">
        <v>1756</v>
      </c>
      <c r="B127" t="s">
        <v>32</v>
      </c>
      <c r="C127" s="629">
        <v>1.04</v>
      </c>
      <c r="D127" s="731">
        <v>30373731</v>
      </c>
      <c r="E127" s="731">
        <v>2258146</v>
      </c>
      <c r="F127" s="944">
        <v>12</v>
      </c>
      <c r="G127" s="629">
        <v>0</v>
      </c>
    </row>
    <row r="128" spans="1:11">
      <c r="A128" t="s">
        <v>55</v>
      </c>
      <c r="B128" t="s">
        <v>1775</v>
      </c>
      <c r="C128" s="629">
        <v>1.04</v>
      </c>
      <c r="D128" s="731">
        <v>3376148</v>
      </c>
      <c r="E128" s="731">
        <v>639680</v>
      </c>
      <c r="F128" s="944">
        <v>12</v>
      </c>
      <c r="G128" s="629">
        <v>0</v>
      </c>
    </row>
    <row r="129" spans="1:11">
      <c r="A129" t="s">
        <v>2159</v>
      </c>
      <c r="B129" t="s">
        <v>34</v>
      </c>
      <c r="C129" s="629">
        <v>1.04</v>
      </c>
      <c r="D129" s="731">
        <v>11413957</v>
      </c>
      <c r="E129" s="731">
        <v>1112133</v>
      </c>
      <c r="F129" s="944">
        <v>12</v>
      </c>
      <c r="G129" s="629">
        <v>0</v>
      </c>
    </row>
    <row r="130" spans="1:11">
      <c r="A130" t="s">
        <v>1585</v>
      </c>
      <c r="B130" t="s">
        <v>1512</v>
      </c>
      <c r="C130" s="629">
        <v>0.95179999999999998</v>
      </c>
      <c r="D130" s="731">
        <v>31210425</v>
      </c>
      <c r="E130" s="731">
        <v>2945281</v>
      </c>
      <c r="F130" s="944">
        <v>12</v>
      </c>
      <c r="G130" s="629">
        <v>0</v>
      </c>
      <c r="H130" s="646">
        <v>496644</v>
      </c>
      <c r="I130" s="646">
        <v>6420495</v>
      </c>
      <c r="J130" s="646">
        <v>2732</v>
      </c>
      <c r="K130" s="646">
        <v>849419677</v>
      </c>
    </row>
    <row r="131" spans="1:11">
      <c r="A131" t="s">
        <v>673</v>
      </c>
      <c r="B131" t="s">
        <v>2547</v>
      </c>
      <c r="C131" s="629">
        <v>1.04</v>
      </c>
      <c r="D131" s="731">
        <v>1980301</v>
      </c>
      <c r="E131" s="731">
        <v>419123</v>
      </c>
      <c r="F131" s="944">
        <v>12</v>
      </c>
      <c r="G131" s="629">
        <v>0</v>
      </c>
    </row>
    <row r="132" spans="1:11">
      <c r="A132" t="s">
        <v>1239</v>
      </c>
      <c r="B132" t="s">
        <v>37</v>
      </c>
      <c r="C132" s="629">
        <v>1.04</v>
      </c>
      <c r="D132" s="731">
        <v>7568439</v>
      </c>
      <c r="E132" s="731">
        <v>968471</v>
      </c>
      <c r="F132" s="944">
        <v>12</v>
      </c>
      <c r="G132" s="629">
        <v>0</v>
      </c>
    </row>
    <row r="133" spans="1:11">
      <c r="A133" t="s">
        <v>674</v>
      </c>
      <c r="B133" t="s">
        <v>84</v>
      </c>
      <c r="C133" s="629">
        <v>1.04</v>
      </c>
      <c r="D133" s="731">
        <v>392057</v>
      </c>
      <c r="E133" s="731">
        <v>64088</v>
      </c>
      <c r="F133" s="944">
        <v>8</v>
      </c>
      <c r="G133" s="629">
        <v>0</v>
      </c>
    </row>
    <row r="134" spans="1:11">
      <c r="A134" t="s">
        <v>464</v>
      </c>
      <c r="B134" t="s">
        <v>85</v>
      </c>
      <c r="C134" s="629">
        <v>1.04</v>
      </c>
      <c r="D134" s="731">
        <v>638912</v>
      </c>
      <c r="E134" s="731">
        <v>84399</v>
      </c>
      <c r="F134" s="944">
        <v>12</v>
      </c>
      <c r="G134" s="629">
        <v>0</v>
      </c>
    </row>
    <row r="135" spans="1:11">
      <c r="A135" t="s">
        <v>884</v>
      </c>
      <c r="B135" t="s">
        <v>1513</v>
      </c>
      <c r="C135" s="629">
        <v>1.04</v>
      </c>
      <c r="D135" s="731">
        <v>6594741</v>
      </c>
      <c r="E135" s="731">
        <v>399726</v>
      </c>
      <c r="F135" s="944">
        <v>12</v>
      </c>
      <c r="G135" s="629">
        <v>0</v>
      </c>
    </row>
    <row r="136" spans="1:11">
      <c r="A136" t="s">
        <v>885</v>
      </c>
      <c r="B136" t="s">
        <v>1514</v>
      </c>
      <c r="C136" s="629">
        <v>1.04</v>
      </c>
      <c r="D136" s="731">
        <v>704833</v>
      </c>
      <c r="E136" s="731">
        <v>59891</v>
      </c>
      <c r="F136" s="944">
        <v>12</v>
      </c>
      <c r="G136" s="629">
        <v>0</v>
      </c>
    </row>
    <row r="137" spans="1:11">
      <c r="A137" t="s">
        <v>731</v>
      </c>
      <c r="B137" t="s">
        <v>2047</v>
      </c>
      <c r="C137" s="629">
        <v>1.04</v>
      </c>
      <c r="D137" s="731">
        <v>4100426</v>
      </c>
      <c r="E137" s="731">
        <v>0</v>
      </c>
      <c r="F137" s="944">
        <v>12</v>
      </c>
      <c r="G137" s="629">
        <v>0</v>
      </c>
      <c r="H137" s="646">
        <v>967104</v>
      </c>
      <c r="I137" s="646">
        <v>2855860</v>
      </c>
      <c r="J137" s="646">
        <v>1207</v>
      </c>
      <c r="K137" s="646">
        <v>280499416</v>
      </c>
    </row>
    <row r="138" spans="1:11">
      <c r="A138" t="s">
        <v>1706</v>
      </c>
      <c r="B138" t="s">
        <v>2048</v>
      </c>
      <c r="C138" s="629">
        <v>1.04</v>
      </c>
      <c r="D138" s="731">
        <v>4043509</v>
      </c>
      <c r="E138" s="731">
        <v>518</v>
      </c>
      <c r="F138" s="944">
        <v>12</v>
      </c>
      <c r="G138" s="629">
        <v>0</v>
      </c>
      <c r="H138" s="646">
        <v>834333</v>
      </c>
      <c r="I138" s="646">
        <v>1579005</v>
      </c>
      <c r="J138" s="629">
        <v>682</v>
      </c>
      <c r="K138" s="646">
        <v>202446540</v>
      </c>
    </row>
    <row r="139" spans="1:11">
      <c r="A139" t="s">
        <v>1629</v>
      </c>
      <c r="B139" t="s">
        <v>2049</v>
      </c>
      <c r="C139" s="629">
        <v>1.04</v>
      </c>
      <c r="D139" s="731">
        <v>3892125</v>
      </c>
      <c r="E139" s="731">
        <v>194985</v>
      </c>
      <c r="F139" s="944">
        <v>12</v>
      </c>
      <c r="G139" s="629">
        <v>0</v>
      </c>
    </row>
    <row r="140" spans="1:11">
      <c r="A140" t="s">
        <v>1630</v>
      </c>
      <c r="B140" t="s">
        <v>2050</v>
      </c>
      <c r="C140" s="629">
        <v>1.04</v>
      </c>
      <c r="D140" s="731">
        <v>480344</v>
      </c>
      <c r="E140" s="731">
        <v>150</v>
      </c>
      <c r="F140" s="944">
        <v>12</v>
      </c>
      <c r="G140" s="629">
        <v>0</v>
      </c>
    </row>
    <row r="141" spans="1:11">
      <c r="A141" t="s">
        <v>700</v>
      </c>
      <c r="B141" t="s">
        <v>2051</v>
      </c>
      <c r="C141" s="629">
        <v>1.17</v>
      </c>
      <c r="D141" s="731">
        <v>4107739</v>
      </c>
      <c r="E141" s="731">
        <v>143937</v>
      </c>
      <c r="F141" s="944">
        <v>12</v>
      </c>
      <c r="G141" s="629">
        <v>0</v>
      </c>
    </row>
    <row r="142" spans="1:11">
      <c r="A142" t="s">
        <v>701</v>
      </c>
      <c r="B142" t="s">
        <v>972</v>
      </c>
      <c r="C142" s="629">
        <v>1.17</v>
      </c>
      <c r="D142" s="731">
        <v>2153223</v>
      </c>
      <c r="E142" s="731">
        <v>0</v>
      </c>
      <c r="F142" s="944">
        <v>12</v>
      </c>
      <c r="G142" s="629">
        <v>0</v>
      </c>
    </row>
    <row r="143" spans="1:11">
      <c r="A143" t="s">
        <v>1771</v>
      </c>
      <c r="B143" t="s">
        <v>775</v>
      </c>
      <c r="C143" s="629">
        <v>1.04</v>
      </c>
      <c r="D143" s="731">
        <v>287480</v>
      </c>
      <c r="E143" s="731">
        <v>0</v>
      </c>
      <c r="F143" s="944">
        <v>12</v>
      </c>
      <c r="G143" s="629">
        <v>0</v>
      </c>
    </row>
    <row r="144" spans="1:11">
      <c r="A144" t="s">
        <v>702</v>
      </c>
      <c r="B144" t="s">
        <v>1610</v>
      </c>
      <c r="C144" s="629">
        <v>1.04</v>
      </c>
      <c r="D144" s="731">
        <v>3622359</v>
      </c>
      <c r="E144" s="731">
        <v>332011</v>
      </c>
      <c r="F144" s="944">
        <v>12</v>
      </c>
      <c r="G144" s="629">
        <v>0</v>
      </c>
    </row>
    <row r="145" spans="1:11">
      <c r="A145" t="s">
        <v>1845</v>
      </c>
      <c r="B145" t="s">
        <v>1612</v>
      </c>
      <c r="C145" s="629">
        <v>1.17</v>
      </c>
      <c r="D145" s="731">
        <v>374070</v>
      </c>
      <c r="E145" s="731">
        <v>0</v>
      </c>
      <c r="F145" s="944">
        <v>12</v>
      </c>
      <c r="G145" s="629">
        <v>0</v>
      </c>
    </row>
    <row r="146" spans="1:11">
      <c r="A146" t="s">
        <v>1846</v>
      </c>
      <c r="B146" t="s">
        <v>1613</v>
      </c>
      <c r="C146" s="629">
        <v>1.04</v>
      </c>
      <c r="D146" s="731">
        <v>1945602</v>
      </c>
      <c r="E146" s="731">
        <v>0</v>
      </c>
      <c r="F146" s="944">
        <v>12</v>
      </c>
      <c r="G146" s="629">
        <v>0</v>
      </c>
    </row>
    <row r="147" spans="1:11">
      <c r="A147" t="s">
        <v>2292</v>
      </c>
      <c r="B147" t="s">
        <v>1614</v>
      </c>
      <c r="C147" s="629">
        <v>1.04</v>
      </c>
      <c r="D147" s="731">
        <v>615717</v>
      </c>
      <c r="E147" s="731">
        <v>0</v>
      </c>
      <c r="F147" s="944">
        <v>12</v>
      </c>
      <c r="G147" s="629">
        <v>0</v>
      </c>
    </row>
    <row r="148" spans="1:11">
      <c r="A148" t="s">
        <v>2398</v>
      </c>
      <c r="B148" t="s">
        <v>370</v>
      </c>
      <c r="C148" s="629">
        <v>1.17</v>
      </c>
      <c r="D148" s="731">
        <v>305447</v>
      </c>
      <c r="E148" s="731">
        <v>38133</v>
      </c>
      <c r="F148" s="944">
        <v>12</v>
      </c>
      <c r="G148" s="629">
        <v>0</v>
      </c>
    </row>
    <row r="149" spans="1:11">
      <c r="A149" t="s">
        <v>1548</v>
      </c>
      <c r="B149" t="s">
        <v>999</v>
      </c>
      <c r="C149" s="629">
        <v>1.04</v>
      </c>
      <c r="D149" s="731">
        <v>2843553</v>
      </c>
      <c r="E149" s="731">
        <v>303328</v>
      </c>
      <c r="F149" s="944">
        <v>12</v>
      </c>
      <c r="G149" s="629">
        <v>0</v>
      </c>
    </row>
    <row r="150" spans="1:11">
      <c r="A150" t="s">
        <v>2293</v>
      </c>
      <c r="B150" t="s">
        <v>1615</v>
      </c>
      <c r="C150" s="629">
        <v>1.04</v>
      </c>
      <c r="D150" s="731">
        <v>32676304</v>
      </c>
      <c r="E150" s="731">
        <v>6991493</v>
      </c>
      <c r="F150" s="944">
        <v>12</v>
      </c>
      <c r="G150" s="629">
        <v>0</v>
      </c>
      <c r="H150" s="646">
        <v>5182564</v>
      </c>
      <c r="I150" s="646">
        <v>5097093</v>
      </c>
      <c r="J150" s="646">
        <v>2011</v>
      </c>
      <c r="K150" s="646">
        <v>1541436839</v>
      </c>
    </row>
    <row r="151" spans="1:11">
      <c r="A151" t="s">
        <v>270</v>
      </c>
      <c r="B151" t="s">
        <v>2236</v>
      </c>
      <c r="C151" s="629">
        <v>1.04</v>
      </c>
      <c r="D151" s="731">
        <v>2594485</v>
      </c>
      <c r="E151" s="731">
        <v>0</v>
      </c>
      <c r="F151" s="944">
        <v>12</v>
      </c>
      <c r="G151" s="629">
        <v>0</v>
      </c>
    </row>
    <row r="152" spans="1:11">
      <c r="A152" t="s">
        <v>1383</v>
      </c>
      <c r="B152" t="s">
        <v>1411</v>
      </c>
      <c r="C152" s="629">
        <v>1.04</v>
      </c>
      <c r="D152" s="731">
        <v>1379133</v>
      </c>
      <c r="E152" s="731">
        <v>61995</v>
      </c>
      <c r="F152" s="944">
        <v>12</v>
      </c>
      <c r="G152" s="629">
        <v>0</v>
      </c>
    </row>
    <row r="153" spans="1:11">
      <c r="A153" t="s">
        <v>41</v>
      </c>
      <c r="B153" t="s">
        <v>383</v>
      </c>
      <c r="C153" s="629">
        <v>1.04</v>
      </c>
      <c r="D153" s="731">
        <v>9165492</v>
      </c>
      <c r="E153" s="731">
        <v>605183</v>
      </c>
      <c r="F153" s="944">
        <v>12</v>
      </c>
      <c r="G153" s="629">
        <v>0</v>
      </c>
    </row>
    <row r="154" spans="1:11">
      <c r="A154" t="s">
        <v>1235</v>
      </c>
      <c r="B154" t="s">
        <v>577</v>
      </c>
      <c r="C154" s="629">
        <v>1.04</v>
      </c>
      <c r="D154" s="731">
        <v>3525900</v>
      </c>
      <c r="E154" s="731">
        <v>206290</v>
      </c>
      <c r="F154" s="944">
        <v>12</v>
      </c>
      <c r="G154" s="629">
        <v>0</v>
      </c>
    </row>
    <row r="155" spans="1:11">
      <c r="A155" t="s">
        <v>2401</v>
      </c>
      <c r="B155" t="s">
        <v>1073</v>
      </c>
      <c r="C155" s="629">
        <v>1.04</v>
      </c>
      <c r="D155" s="731">
        <v>383440</v>
      </c>
      <c r="E155" s="731">
        <v>0</v>
      </c>
      <c r="F155" s="944">
        <v>12</v>
      </c>
      <c r="G155" s="629">
        <v>0</v>
      </c>
    </row>
    <row r="156" spans="1:11">
      <c r="A156" t="s">
        <v>1384</v>
      </c>
      <c r="B156" t="s">
        <v>23</v>
      </c>
      <c r="C156" s="629">
        <v>1.04</v>
      </c>
      <c r="D156" s="731">
        <v>492783</v>
      </c>
      <c r="E156" s="731">
        <v>32</v>
      </c>
      <c r="F156" s="944">
        <v>12</v>
      </c>
      <c r="G156" s="629">
        <v>0</v>
      </c>
    </row>
    <row r="157" spans="1:11">
      <c r="A157" t="s">
        <v>69</v>
      </c>
      <c r="B157" t="s">
        <v>2062</v>
      </c>
      <c r="C157" s="629">
        <v>1.04</v>
      </c>
      <c r="D157" s="731">
        <v>1819796</v>
      </c>
      <c r="E157" s="731">
        <v>137340</v>
      </c>
      <c r="F157" s="944">
        <v>12</v>
      </c>
      <c r="G157" s="629">
        <v>0</v>
      </c>
    </row>
    <row r="158" spans="1:11">
      <c r="A158" t="s">
        <v>1045</v>
      </c>
      <c r="B158" t="s">
        <v>24</v>
      </c>
      <c r="C158" s="629">
        <v>1.17</v>
      </c>
      <c r="D158" s="731">
        <v>250394</v>
      </c>
      <c r="E158" s="731">
        <v>17748</v>
      </c>
      <c r="F158" s="944">
        <v>12</v>
      </c>
      <c r="G158" s="629">
        <v>0</v>
      </c>
    </row>
    <row r="159" spans="1:11">
      <c r="A159" t="s">
        <v>2045</v>
      </c>
      <c r="B159" t="s">
        <v>1813</v>
      </c>
      <c r="C159" s="629">
        <v>1.04</v>
      </c>
      <c r="D159" s="731">
        <v>3163129</v>
      </c>
      <c r="E159" s="731">
        <v>746090</v>
      </c>
      <c r="F159" s="944">
        <v>12</v>
      </c>
      <c r="G159" s="629">
        <v>0</v>
      </c>
    </row>
    <row r="160" spans="1:11">
      <c r="A160" t="s">
        <v>675</v>
      </c>
      <c r="B160" t="s">
        <v>943</v>
      </c>
      <c r="C160" s="629">
        <v>1.04</v>
      </c>
      <c r="D160" s="731">
        <v>862005</v>
      </c>
      <c r="E160" s="731">
        <v>152961</v>
      </c>
      <c r="F160" s="944">
        <v>12</v>
      </c>
      <c r="G160" s="629">
        <v>0</v>
      </c>
    </row>
    <row r="161" spans="1:11">
      <c r="A161" t="s">
        <v>2046</v>
      </c>
      <c r="B161" t="s">
        <v>1814</v>
      </c>
      <c r="C161" s="629">
        <v>1.04</v>
      </c>
      <c r="D161" s="731">
        <v>418910</v>
      </c>
      <c r="E161" s="731">
        <v>0</v>
      </c>
      <c r="F161" s="944">
        <v>12</v>
      </c>
      <c r="G161" s="629">
        <v>0</v>
      </c>
    </row>
    <row r="162" spans="1:11">
      <c r="A162" t="s">
        <v>1576</v>
      </c>
      <c r="B162" t="s">
        <v>1815</v>
      </c>
      <c r="C162" s="629">
        <v>1.04</v>
      </c>
      <c r="D162" s="731">
        <v>764823</v>
      </c>
      <c r="E162" s="731">
        <v>0</v>
      </c>
      <c r="F162" s="944">
        <v>12</v>
      </c>
      <c r="G162" s="629">
        <v>0</v>
      </c>
    </row>
    <row r="163" spans="1:11">
      <c r="A163" t="s">
        <v>1577</v>
      </c>
      <c r="B163" t="s">
        <v>2035</v>
      </c>
      <c r="C163" s="629">
        <v>1.04</v>
      </c>
      <c r="D163" s="731">
        <v>615763</v>
      </c>
      <c r="E163" s="731">
        <v>0</v>
      </c>
      <c r="F163" s="944">
        <v>12</v>
      </c>
      <c r="G163" s="629">
        <v>0</v>
      </c>
    </row>
    <row r="164" spans="1:11">
      <c r="A164" t="s">
        <v>750</v>
      </c>
      <c r="B164" t="s">
        <v>973</v>
      </c>
      <c r="C164" s="629">
        <v>1.04</v>
      </c>
      <c r="D164" s="731">
        <v>7186980</v>
      </c>
      <c r="E164" s="731">
        <v>0</v>
      </c>
      <c r="F164" s="944">
        <v>12</v>
      </c>
      <c r="G164" s="629">
        <v>0</v>
      </c>
      <c r="H164" s="646">
        <v>1893247</v>
      </c>
      <c r="I164" s="646">
        <v>1695740</v>
      </c>
      <c r="J164" s="629">
        <v>596</v>
      </c>
      <c r="K164" s="646">
        <v>684649946</v>
      </c>
    </row>
    <row r="165" spans="1:11">
      <c r="A165" t="s">
        <v>751</v>
      </c>
      <c r="B165" t="s">
        <v>2037</v>
      </c>
      <c r="C165" s="629">
        <v>1.04</v>
      </c>
      <c r="D165" s="731">
        <v>848308</v>
      </c>
      <c r="E165" s="731">
        <v>0</v>
      </c>
      <c r="F165" s="944">
        <v>12</v>
      </c>
      <c r="G165" s="629">
        <v>0</v>
      </c>
    </row>
    <row r="166" spans="1:11">
      <c r="A166" t="s">
        <v>769</v>
      </c>
      <c r="B166" t="s">
        <v>2038</v>
      </c>
      <c r="C166" s="629">
        <v>1.04</v>
      </c>
      <c r="D166" s="731">
        <v>1707690</v>
      </c>
      <c r="E166" s="731">
        <v>0</v>
      </c>
      <c r="F166" s="944">
        <v>12</v>
      </c>
      <c r="G166" s="629">
        <v>0</v>
      </c>
      <c r="H166" s="646">
        <v>354245</v>
      </c>
      <c r="I166" s="646">
        <v>1493630</v>
      </c>
      <c r="J166" s="629">
        <v>599</v>
      </c>
      <c r="K166" s="646">
        <v>132487225</v>
      </c>
    </row>
    <row r="167" spans="1:11">
      <c r="A167" t="s">
        <v>542</v>
      </c>
      <c r="B167" t="s">
        <v>1098</v>
      </c>
      <c r="C167" s="629">
        <v>1.04</v>
      </c>
      <c r="D167" s="731">
        <v>1096878</v>
      </c>
      <c r="E167" s="731">
        <v>188314</v>
      </c>
      <c r="F167" s="944">
        <v>12</v>
      </c>
      <c r="G167" s="629">
        <v>0</v>
      </c>
    </row>
    <row r="168" spans="1:11">
      <c r="A168" t="s">
        <v>2235</v>
      </c>
      <c r="B168" t="s">
        <v>82</v>
      </c>
      <c r="C168" s="629">
        <v>1.04</v>
      </c>
      <c r="D168" s="731">
        <v>544333</v>
      </c>
      <c r="E168" s="731">
        <v>29224</v>
      </c>
      <c r="F168" s="944">
        <v>12</v>
      </c>
      <c r="G168" s="629">
        <v>0</v>
      </c>
    </row>
    <row r="169" spans="1:11">
      <c r="A169" t="s">
        <v>770</v>
      </c>
      <c r="B169" t="s">
        <v>974</v>
      </c>
      <c r="C169" s="629">
        <v>1.17</v>
      </c>
      <c r="D169" s="731">
        <v>803341</v>
      </c>
      <c r="E169" s="731">
        <v>239</v>
      </c>
      <c r="F169" s="944">
        <v>12</v>
      </c>
      <c r="G169" s="629">
        <v>0</v>
      </c>
    </row>
    <row r="170" spans="1:11">
      <c r="A170" t="s">
        <v>1640</v>
      </c>
      <c r="B170" t="s">
        <v>2040</v>
      </c>
      <c r="C170" s="629">
        <v>1.17</v>
      </c>
      <c r="D170" s="731">
        <v>478969</v>
      </c>
      <c r="E170" s="731">
        <v>0</v>
      </c>
      <c r="F170" s="944">
        <v>12</v>
      </c>
      <c r="G170" s="629">
        <v>0</v>
      </c>
    </row>
    <row r="171" spans="1:11">
      <c r="A171" t="s">
        <v>547</v>
      </c>
      <c r="B171" t="s">
        <v>1850</v>
      </c>
      <c r="C171" s="629">
        <v>1.04</v>
      </c>
      <c r="D171" s="731">
        <v>66296160</v>
      </c>
      <c r="E171" s="731">
        <v>22425319</v>
      </c>
      <c r="F171" s="944">
        <v>12</v>
      </c>
      <c r="G171" s="629">
        <v>0</v>
      </c>
    </row>
    <row r="172" spans="1:11">
      <c r="A172" t="s">
        <v>1549</v>
      </c>
      <c r="B172" t="s">
        <v>1000</v>
      </c>
      <c r="C172" s="629">
        <v>1.01</v>
      </c>
      <c r="D172" s="731">
        <v>5124099</v>
      </c>
      <c r="E172" s="731">
        <v>1816537</v>
      </c>
      <c r="F172" s="944">
        <v>12</v>
      </c>
      <c r="G172" s="629">
        <v>0</v>
      </c>
    </row>
    <row r="173" spans="1:11">
      <c r="A173" t="s">
        <v>2362</v>
      </c>
      <c r="B173" t="s">
        <v>617</v>
      </c>
      <c r="C173" s="629">
        <v>1.04</v>
      </c>
      <c r="D173" s="731">
        <v>6143931</v>
      </c>
      <c r="E173" s="731">
        <v>1843279</v>
      </c>
      <c r="F173" s="944">
        <v>12</v>
      </c>
      <c r="G173" s="629">
        <v>0</v>
      </c>
    </row>
    <row r="174" spans="1:11">
      <c r="A174" t="s">
        <v>1593</v>
      </c>
      <c r="B174" t="s">
        <v>99</v>
      </c>
      <c r="C174" s="629">
        <v>1.04</v>
      </c>
      <c r="D174" s="731">
        <v>3250382</v>
      </c>
      <c r="E174" s="731">
        <v>852915</v>
      </c>
      <c r="F174" s="944">
        <v>12</v>
      </c>
      <c r="G174" s="629">
        <v>0</v>
      </c>
    </row>
    <row r="175" spans="1:11">
      <c r="A175" t="s">
        <v>1340</v>
      </c>
      <c r="B175" t="s">
        <v>1389</v>
      </c>
      <c r="C175" s="629">
        <v>0.96</v>
      </c>
      <c r="D175" s="731">
        <v>138092815</v>
      </c>
      <c r="E175" s="731">
        <v>42326080</v>
      </c>
      <c r="F175" s="944">
        <v>12</v>
      </c>
      <c r="G175" s="629">
        <v>0</v>
      </c>
      <c r="H175" s="646">
        <v>1080423</v>
      </c>
      <c r="I175" s="646">
        <v>4510547</v>
      </c>
      <c r="J175" s="646">
        <v>1923</v>
      </c>
      <c r="K175" s="646">
        <v>353788610</v>
      </c>
    </row>
    <row r="176" spans="1:11">
      <c r="A176" t="s">
        <v>2389</v>
      </c>
      <c r="B176" t="s">
        <v>774</v>
      </c>
      <c r="C176" s="629">
        <v>1.04</v>
      </c>
      <c r="D176" s="731">
        <v>91178954</v>
      </c>
      <c r="E176" s="731">
        <v>35201970</v>
      </c>
      <c r="F176" s="944">
        <v>12</v>
      </c>
      <c r="G176" s="629">
        <v>0</v>
      </c>
    </row>
    <row r="177" spans="1:11">
      <c r="A177" t="s">
        <v>608</v>
      </c>
      <c r="B177" t="s">
        <v>2076</v>
      </c>
      <c r="C177" s="629">
        <v>1.04</v>
      </c>
      <c r="D177" s="731">
        <v>4178804</v>
      </c>
      <c r="E177" s="731">
        <v>1318191</v>
      </c>
      <c r="F177" s="944">
        <v>12</v>
      </c>
      <c r="G177" s="629">
        <v>0</v>
      </c>
    </row>
    <row r="178" spans="1:11">
      <c r="A178" t="s">
        <v>609</v>
      </c>
      <c r="B178" t="s">
        <v>2077</v>
      </c>
      <c r="C178" s="629">
        <v>1.02</v>
      </c>
      <c r="D178" s="731">
        <v>343739106</v>
      </c>
      <c r="E178" s="731">
        <v>76974208</v>
      </c>
      <c r="F178" s="944">
        <v>12</v>
      </c>
      <c r="G178" s="629">
        <v>0</v>
      </c>
      <c r="H178" s="646">
        <v>46048437</v>
      </c>
      <c r="I178" s="646">
        <v>83008623</v>
      </c>
      <c r="J178" s="646">
        <v>35265</v>
      </c>
      <c r="K178" s="646">
        <v>10954270318</v>
      </c>
    </row>
    <row r="179" spans="1:11">
      <c r="A179" t="s">
        <v>204</v>
      </c>
      <c r="B179" t="s">
        <v>72</v>
      </c>
      <c r="C179" s="629">
        <v>1.04</v>
      </c>
      <c r="D179" s="731">
        <v>5116465</v>
      </c>
      <c r="E179" s="731">
        <v>1240046</v>
      </c>
      <c r="F179" s="944">
        <v>12</v>
      </c>
      <c r="G179" s="629">
        <v>0</v>
      </c>
    </row>
    <row r="180" spans="1:11">
      <c r="A180" t="s">
        <v>1492</v>
      </c>
      <c r="B180" t="s">
        <v>74</v>
      </c>
      <c r="C180" s="629">
        <v>1.17</v>
      </c>
      <c r="D180" s="731">
        <v>16711398</v>
      </c>
      <c r="E180" s="731">
        <v>4598272</v>
      </c>
      <c r="F180" s="944">
        <v>12</v>
      </c>
      <c r="G180" s="629">
        <v>0</v>
      </c>
      <c r="H180" s="646">
        <v>131400</v>
      </c>
      <c r="I180" s="646">
        <v>2038513</v>
      </c>
      <c r="J180" s="629">
        <v>866</v>
      </c>
      <c r="K180" s="646">
        <v>102770793</v>
      </c>
    </row>
    <row r="181" spans="1:11">
      <c r="A181" t="s">
        <v>1113</v>
      </c>
      <c r="B181" t="s">
        <v>1065</v>
      </c>
      <c r="C181" s="629">
        <v>1.04</v>
      </c>
      <c r="D181" s="731">
        <v>30514367</v>
      </c>
      <c r="E181" s="731">
        <v>8120264</v>
      </c>
      <c r="F181" s="944">
        <v>12</v>
      </c>
      <c r="G181" s="629">
        <v>0</v>
      </c>
    </row>
    <row r="182" spans="1:11">
      <c r="A182" t="s">
        <v>831</v>
      </c>
      <c r="B182" t="s">
        <v>1269</v>
      </c>
      <c r="C182" s="629">
        <v>1.17</v>
      </c>
      <c r="D182" s="731">
        <v>1404017</v>
      </c>
      <c r="E182" s="731">
        <v>434243</v>
      </c>
      <c r="F182" s="944">
        <v>12</v>
      </c>
      <c r="G182" s="629">
        <v>0</v>
      </c>
    </row>
    <row r="183" spans="1:11">
      <c r="A183" t="s">
        <v>1353</v>
      </c>
      <c r="B183" t="s">
        <v>1461</v>
      </c>
      <c r="C183" s="629">
        <v>1.04</v>
      </c>
      <c r="D183" s="731">
        <v>4291193</v>
      </c>
      <c r="E183" s="731">
        <v>575361</v>
      </c>
      <c r="F183" s="944">
        <v>12</v>
      </c>
      <c r="G183" s="629">
        <v>0</v>
      </c>
    </row>
    <row r="184" spans="1:11">
      <c r="A184" t="s">
        <v>239</v>
      </c>
      <c r="B184" t="s">
        <v>2078</v>
      </c>
      <c r="C184" s="629">
        <v>1.04</v>
      </c>
      <c r="D184" s="731">
        <v>14410708</v>
      </c>
      <c r="E184" s="731">
        <v>3825005</v>
      </c>
      <c r="F184" s="944">
        <v>12</v>
      </c>
      <c r="G184" s="629">
        <v>0</v>
      </c>
      <c r="H184" s="646">
        <v>851612</v>
      </c>
      <c r="I184" s="646">
        <v>1490540</v>
      </c>
      <c r="J184" s="646">
        <v>1204</v>
      </c>
      <c r="K184" s="646">
        <v>186182509</v>
      </c>
    </row>
    <row r="185" spans="1:11">
      <c r="A185" t="s">
        <v>240</v>
      </c>
      <c r="B185" t="s">
        <v>2079</v>
      </c>
      <c r="C185" s="629">
        <v>1.02</v>
      </c>
      <c r="D185" s="731">
        <v>819396</v>
      </c>
      <c r="E185" s="731">
        <v>0</v>
      </c>
      <c r="F185" s="944">
        <v>12</v>
      </c>
      <c r="G185" s="629">
        <v>0</v>
      </c>
    </row>
    <row r="186" spans="1:11">
      <c r="A186" t="s">
        <v>551</v>
      </c>
      <c r="B186" t="s">
        <v>2080</v>
      </c>
      <c r="C186" s="629">
        <v>1.03</v>
      </c>
      <c r="D186" s="731">
        <v>386179</v>
      </c>
      <c r="E186" s="731">
        <v>0</v>
      </c>
      <c r="F186" s="944">
        <v>12</v>
      </c>
      <c r="G186" s="629">
        <v>0</v>
      </c>
    </row>
    <row r="187" spans="1:11">
      <c r="A187" t="s">
        <v>1351</v>
      </c>
      <c r="B187" t="s">
        <v>1459</v>
      </c>
      <c r="C187" s="629">
        <v>0.99</v>
      </c>
      <c r="D187" s="731">
        <v>6413298</v>
      </c>
      <c r="E187" s="731">
        <v>1272829</v>
      </c>
      <c r="F187" s="944">
        <v>12</v>
      </c>
      <c r="G187" s="629">
        <v>0</v>
      </c>
    </row>
    <row r="188" spans="1:11">
      <c r="A188" t="s">
        <v>552</v>
      </c>
      <c r="B188" t="s">
        <v>975</v>
      </c>
      <c r="C188" s="629">
        <v>1.04</v>
      </c>
      <c r="D188" s="731">
        <v>6463513</v>
      </c>
      <c r="E188" s="731">
        <v>402176</v>
      </c>
      <c r="F188" s="944">
        <v>12</v>
      </c>
      <c r="G188" s="629">
        <v>0</v>
      </c>
    </row>
    <row r="189" spans="1:11">
      <c r="A189" t="s">
        <v>25</v>
      </c>
      <c r="B189" t="s">
        <v>2082</v>
      </c>
      <c r="C189" s="629">
        <v>1.04</v>
      </c>
      <c r="D189" s="731">
        <v>2519395</v>
      </c>
      <c r="E189" s="731">
        <v>507949</v>
      </c>
      <c r="F189" s="944">
        <v>12</v>
      </c>
      <c r="G189" s="629">
        <v>0</v>
      </c>
    </row>
    <row r="190" spans="1:11">
      <c r="A190" t="s">
        <v>26</v>
      </c>
      <c r="B190" t="s">
        <v>2083</v>
      </c>
      <c r="C190" s="629">
        <v>1.0193000000000001</v>
      </c>
      <c r="D190" s="731">
        <v>26265842</v>
      </c>
      <c r="E190" s="731">
        <v>6839775</v>
      </c>
      <c r="F190" s="944">
        <v>12</v>
      </c>
      <c r="G190" s="629">
        <v>0</v>
      </c>
    </row>
    <row r="191" spans="1:11">
      <c r="A191" t="s">
        <v>1191</v>
      </c>
      <c r="B191" t="s">
        <v>2084</v>
      </c>
      <c r="C191" s="629">
        <v>1.04</v>
      </c>
      <c r="D191" s="731">
        <v>90793123</v>
      </c>
      <c r="E191" s="731">
        <v>27796637</v>
      </c>
      <c r="F191" s="944">
        <v>12</v>
      </c>
      <c r="G191" s="629">
        <v>0</v>
      </c>
      <c r="H191" s="646">
        <v>6364680</v>
      </c>
      <c r="I191" s="646">
        <v>18512358</v>
      </c>
      <c r="J191" s="646">
        <v>7655</v>
      </c>
      <c r="K191" s="646">
        <v>1656586283</v>
      </c>
    </row>
    <row r="192" spans="1:11">
      <c r="A192" t="s">
        <v>2190</v>
      </c>
      <c r="B192" t="s">
        <v>2085</v>
      </c>
      <c r="C192" s="629">
        <v>0.88</v>
      </c>
      <c r="D192" s="731">
        <v>2175930</v>
      </c>
      <c r="E192" s="731">
        <v>218</v>
      </c>
      <c r="F192" s="944">
        <v>12</v>
      </c>
      <c r="G192" s="629">
        <v>0</v>
      </c>
    </row>
    <row r="193" spans="1:11">
      <c r="A193" t="s">
        <v>2271</v>
      </c>
      <c r="B193" t="s">
        <v>2518</v>
      </c>
      <c r="C193" s="629">
        <v>0.96299999999999997</v>
      </c>
      <c r="D193" s="731">
        <v>1412654</v>
      </c>
      <c r="E193" s="731">
        <v>38433</v>
      </c>
      <c r="F193" s="944">
        <v>12</v>
      </c>
      <c r="G193" s="629">
        <v>0</v>
      </c>
    </row>
    <row r="194" spans="1:11">
      <c r="A194" t="s">
        <v>2217</v>
      </c>
      <c r="B194" t="s">
        <v>1637</v>
      </c>
      <c r="C194" s="629">
        <v>1.04</v>
      </c>
      <c r="D194" s="731">
        <v>416500</v>
      </c>
      <c r="E194" s="731">
        <v>24069</v>
      </c>
      <c r="F194" s="944">
        <v>12</v>
      </c>
      <c r="G194" s="629">
        <v>0</v>
      </c>
    </row>
    <row r="195" spans="1:11">
      <c r="A195" t="s">
        <v>2191</v>
      </c>
      <c r="B195" t="s">
        <v>2086</v>
      </c>
      <c r="C195" s="629">
        <v>1.04</v>
      </c>
      <c r="D195" s="731">
        <v>203078</v>
      </c>
      <c r="E195" s="731">
        <v>0</v>
      </c>
      <c r="F195" s="944">
        <v>12</v>
      </c>
      <c r="G195" s="629">
        <v>0</v>
      </c>
    </row>
    <row r="196" spans="1:11">
      <c r="A196" t="s">
        <v>2192</v>
      </c>
      <c r="B196" t="s">
        <v>976</v>
      </c>
      <c r="C196" s="629">
        <v>1.04</v>
      </c>
      <c r="D196" s="731">
        <v>1546259</v>
      </c>
      <c r="E196" s="731">
        <v>0</v>
      </c>
      <c r="F196" s="944">
        <v>12</v>
      </c>
      <c r="G196" s="629">
        <v>0</v>
      </c>
    </row>
    <row r="197" spans="1:11">
      <c r="A197" t="s">
        <v>283</v>
      </c>
      <c r="B197" t="s">
        <v>2088</v>
      </c>
      <c r="C197" s="629">
        <v>1.04</v>
      </c>
      <c r="D197" s="731">
        <v>636900</v>
      </c>
      <c r="E197" s="731">
        <v>0</v>
      </c>
      <c r="F197" s="944">
        <v>12</v>
      </c>
      <c r="G197" s="629">
        <v>0</v>
      </c>
    </row>
    <row r="198" spans="1:11">
      <c r="A198" t="s">
        <v>1342</v>
      </c>
      <c r="B198" t="s">
        <v>1391</v>
      </c>
      <c r="C198" s="629">
        <v>1.04</v>
      </c>
      <c r="D198" s="731">
        <v>8534854</v>
      </c>
      <c r="E198" s="731">
        <v>2352483</v>
      </c>
      <c r="F198" s="944">
        <v>12</v>
      </c>
      <c r="G198" s="629">
        <v>0</v>
      </c>
    </row>
    <row r="199" spans="1:11">
      <c r="A199" t="s">
        <v>284</v>
      </c>
      <c r="B199" t="s">
        <v>2089</v>
      </c>
      <c r="C199" s="629">
        <v>1.04</v>
      </c>
      <c r="D199" s="731">
        <v>2544967</v>
      </c>
      <c r="E199" s="731">
        <v>229752</v>
      </c>
      <c r="F199" s="944">
        <v>12</v>
      </c>
      <c r="G199" s="629">
        <v>0</v>
      </c>
    </row>
    <row r="200" spans="1:11">
      <c r="A200" t="s">
        <v>2363</v>
      </c>
      <c r="B200" t="s">
        <v>2231</v>
      </c>
      <c r="C200" s="629">
        <v>1.04</v>
      </c>
      <c r="D200" s="731">
        <v>1724430</v>
      </c>
      <c r="E200" s="731">
        <v>120916</v>
      </c>
      <c r="F200" s="944">
        <v>12</v>
      </c>
      <c r="G200" s="629">
        <v>0</v>
      </c>
    </row>
    <row r="201" spans="1:11">
      <c r="A201" t="s">
        <v>285</v>
      </c>
      <c r="B201" t="s">
        <v>2090</v>
      </c>
      <c r="C201" s="629">
        <v>1.04</v>
      </c>
      <c r="D201" s="731">
        <v>5196786</v>
      </c>
      <c r="E201" s="731">
        <v>282286</v>
      </c>
      <c r="F201" s="944">
        <v>12</v>
      </c>
      <c r="G201" s="629">
        <v>0</v>
      </c>
      <c r="H201" s="646">
        <v>630015</v>
      </c>
      <c r="I201" s="646">
        <v>2876463</v>
      </c>
      <c r="J201" s="646">
        <v>1172</v>
      </c>
      <c r="K201" s="646">
        <v>122356914</v>
      </c>
    </row>
    <row r="202" spans="1:11">
      <c r="A202" t="s">
        <v>286</v>
      </c>
      <c r="B202" t="s">
        <v>2091</v>
      </c>
      <c r="C202" s="629">
        <v>1.04</v>
      </c>
      <c r="D202" s="731">
        <v>945961</v>
      </c>
      <c r="E202" s="731">
        <v>64332</v>
      </c>
      <c r="F202" s="944">
        <v>12</v>
      </c>
      <c r="G202" s="629">
        <v>0</v>
      </c>
    </row>
    <row r="203" spans="1:11">
      <c r="A203" t="s">
        <v>287</v>
      </c>
      <c r="B203" t="s">
        <v>2092</v>
      </c>
      <c r="C203" s="629">
        <v>0.95669999999999999</v>
      </c>
      <c r="D203" s="731">
        <v>1664160</v>
      </c>
      <c r="E203" s="731">
        <v>92563</v>
      </c>
      <c r="F203" s="944">
        <v>12</v>
      </c>
      <c r="G203" s="629">
        <v>0</v>
      </c>
    </row>
    <row r="204" spans="1:11">
      <c r="A204" t="s">
        <v>1646</v>
      </c>
      <c r="B204" t="s">
        <v>2093</v>
      </c>
      <c r="C204" s="629">
        <v>1.04</v>
      </c>
      <c r="D204" s="731">
        <v>214049</v>
      </c>
      <c r="E204" s="731">
        <v>0</v>
      </c>
      <c r="F204" s="944">
        <v>8</v>
      </c>
      <c r="G204" s="629">
        <v>0</v>
      </c>
    </row>
    <row r="205" spans="1:11">
      <c r="A205" t="s">
        <v>1647</v>
      </c>
      <c r="B205" t="s">
        <v>2094</v>
      </c>
      <c r="C205" s="629">
        <v>0.88670000000000004</v>
      </c>
      <c r="D205" s="731">
        <v>890440</v>
      </c>
      <c r="E205" s="731">
        <v>0</v>
      </c>
      <c r="F205" s="944">
        <v>8</v>
      </c>
      <c r="G205" s="629">
        <v>0</v>
      </c>
      <c r="H205" s="646">
        <v>43839</v>
      </c>
      <c r="I205" s="646">
        <v>335448</v>
      </c>
      <c r="J205" s="629">
        <v>224</v>
      </c>
      <c r="K205" s="646">
        <v>29783777</v>
      </c>
    </row>
    <row r="206" spans="1:11">
      <c r="A206" t="s">
        <v>1240</v>
      </c>
      <c r="B206" t="s">
        <v>2095</v>
      </c>
      <c r="C206" s="629">
        <v>1.01</v>
      </c>
      <c r="D206" s="731">
        <v>733041</v>
      </c>
      <c r="E206" s="731">
        <v>0</v>
      </c>
      <c r="F206" s="944">
        <v>12</v>
      </c>
      <c r="G206" s="629">
        <v>0</v>
      </c>
    </row>
    <row r="207" spans="1:11">
      <c r="A207" t="s">
        <v>1042</v>
      </c>
      <c r="B207" t="s">
        <v>2096</v>
      </c>
      <c r="C207" s="629">
        <v>1.04</v>
      </c>
      <c r="D207" s="731">
        <v>5464672</v>
      </c>
      <c r="E207" s="731">
        <v>324927</v>
      </c>
      <c r="F207" s="944">
        <v>12</v>
      </c>
      <c r="G207" s="629">
        <v>0</v>
      </c>
    </row>
    <row r="208" spans="1:11">
      <c r="A208" t="s">
        <v>2029</v>
      </c>
      <c r="B208" t="s">
        <v>247</v>
      </c>
      <c r="C208" s="629">
        <v>1.04</v>
      </c>
      <c r="D208" s="731">
        <v>338941</v>
      </c>
      <c r="E208" s="731">
        <v>20158</v>
      </c>
      <c r="F208" s="944">
        <v>12</v>
      </c>
      <c r="G208" s="629">
        <v>0</v>
      </c>
    </row>
    <row r="209" spans="1:11">
      <c r="A209" t="s">
        <v>1043</v>
      </c>
      <c r="B209" t="s">
        <v>2097</v>
      </c>
      <c r="C209" s="629">
        <v>1.0397000000000001</v>
      </c>
      <c r="D209" s="731">
        <v>527025</v>
      </c>
      <c r="E209" s="731">
        <v>0</v>
      </c>
      <c r="F209" s="944">
        <v>12</v>
      </c>
      <c r="G209" s="629">
        <v>0</v>
      </c>
    </row>
    <row r="210" spans="1:11">
      <c r="A210" t="s">
        <v>2260</v>
      </c>
      <c r="B210" t="s">
        <v>2430</v>
      </c>
      <c r="C210" s="629">
        <v>1.04</v>
      </c>
      <c r="D210" s="731">
        <v>11701033</v>
      </c>
      <c r="E210" s="731">
        <v>1315336</v>
      </c>
      <c r="F210" s="944">
        <v>12</v>
      </c>
      <c r="G210" s="629">
        <v>0</v>
      </c>
    </row>
    <row r="211" spans="1:11">
      <c r="A211" t="s">
        <v>1044</v>
      </c>
      <c r="B211" t="s">
        <v>2098</v>
      </c>
      <c r="C211" s="629">
        <v>1.04</v>
      </c>
      <c r="D211" s="731">
        <v>1318828</v>
      </c>
      <c r="E211" s="731">
        <v>0</v>
      </c>
      <c r="F211" s="944">
        <v>12</v>
      </c>
      <c r="G211" s="629">
        <v>0</v>
      </c>
    </row>
    <row r="212" spans="1:11">
      <c r="A212" t="s">
        <v>640</v>
      </c>
      <c r="B212" t="s">
        <v>2099</v>
      </c>
      <c r="C212" s="629">
        <v>1.04</v>
      </c>
      <c r="D212" s="731">
        <v>19858444</v>
      </c>
      <c r="E212" s="731">
        <v>0</v>
      </c>
      <c r="F212" s="944">
        <v>12</v>
      </c>
      <c r="G212" s="629">
        <v>0</v>
      </c>
      <c r="H212" s="646">
        <v>4915084</v>
      </c>
      <c r="I212" s="646">
        <v>3835670</v>
      </c>
      <c r="J212" s="646">
        <v>1610</v>
      </c>
      <c r="K212" s="646">
        <v>1165505626</v>
      </c>
    </row>
    <row r="213" spans="1:11">
      <c r="A213" t="s">
        <v>641</v>
      </c>
      <c r="B213" t="s">
        <v>977</v>
      </c>
      <c r="C213" s="629">
        <v>1.04</v>
      </c>
      <c r="D213" s="731">
        <v>21373399</v>
      </c>
      <c r="E213" s="731">
        <v>0</v>
      </c>
      <c r="F213" s="944">
        <v>12</v>
      </c>
      <c r="G213" s="629">
        <v>0</v>
      </c>
      <c r="H213" s="646">
        <v>769121</v>
      </c>
      <c r="I213" s="646">
        <v>3382916</v>
      </c>
      <c r="J213" s="646">
        <v>1441</v>
      </c>
      <c r="K213" s="646">
        <v>544270659</v>
      </c>
    </row>
    <row r="214" spans="1:11">
      <c r="A214" t="s">
        <v>642</v>
      </c>
      <c r="B214" t="s">
        <v>978</v>
      </c>
      <c r="C214" s="629">
        <v>1.04</v>
      </c>
      <c r="D214" s="731">
        <v>652245</v>
      </c>
      <c r="E214" s="731">
        <v>0</v>
      </c>
      <c r="F214" s="944">
        <v>12</v>
      </c>
      <c r="G214" s="629">
        <v>0</v>
      </c>
    </row>
    <row r="215" spans="1:11">
      <c r="A215" t="s">
        <v>643</v>
      </c>
      <c r="B215" t="s">
        <v>623</v>
      </c>
      <c r="C215" s="629">
        <v>1.0106999999999999</v>
      </c>
      <c r="D215" s="731">
        <v>933865</v>
      </c>
      <c r="E215" s="731">
        <v>0</v>
      </c>
      <c r="F215" s="944">
        <v>12</v>
      </c>
      <c r="G215" s="629">
        <v>0</v>
      </c>
    </row>
    <row r="216" spans="1:11">
      <c r="A216" t="s">
        <v>372</v>
      </c>
      <c r="B216" t="s">
        <v>624</v>
      </c>
      <c r="C216" s="629">
        <v>1.0039</v>
      </c>
      <c r="D216" s="731">
        <v>868258</v>
      </c>
      <c r="E216" s="731">
        <v>0</v>
      </c>
      <c r="F216" s="944">
        <v>12</v>
      </c>
      <c r="G216" s="629">
        <v>0</v>
      </c>
    </row>
    <row r="217" spans="1:11">
      <c r="A217" t="s">
        <v>2418</v>
      </c>
      <c r="B217" t="s">
        <v>113</v>
      </c>
      <c r="C217" s="629">
        <v>1.04</v>
      </c>
      <c r="D217" s="731">
        <v>2968461</v>
      </c>
      <c r="E217" s="731">
        <v>141141</v>
      </c>
      <c r="F217" s="944">
        <v>12</v>
      </c>
      <c r="G217" s="629">
        <v>0</v>
      </c>
    </row>
    <row r="218" spans="1:11">
      <c r="A218" t="s">
        <v>2419</v>
      </c>
      <c r="B218" t="s">
        <v>114</v>
      </c>
      <c r="C218" s="629">
        <v>1.04</v>
      </c>
      <c r="D218" s="731">
        <v>5113966</v>
      </c>
      <c r="E218" s="731">
        <v>1152540</v>
      </c>
      <c r="F218" s="944">
        <v>12</v>
      </c>
      <c r="G218" s="629">
        <v>0</v>
      </c>
    </row>
    <row r="219" spans="1:11">
      <c r="A219" t="s">
        <v>2420</v>
      </c>
      <c r="B219" t="s">
        <v>115</v>
      </c>
      <c r="C219" s="629">
        <v>1.17</v>
      </c>
      <c r="D219" s="731">
        <v>987905</v>
      </c>
      <c r="E219" s="731">
        <v>0</v>
      </c>
      <c r="F219" s="944">
        <v>12</v>
      </c>
      <c r="G219" s="629">
        <v>0</v>
      </c>
    </row>
    <row r="220" spans="1:11">
      <c r="A220" t="s">
        <v>1550</v>
      </c>
      <c r="B220" t="s">
        <v>116</v>
      </c>
      <c r="C220" s="629">
        <v>1.04</v>
      </c>
      <c r="D220" s="731">
        <v>153840306</v>
      </c>
      <c r="E220" s="731">
        <v>43885152</v>
      </c>
      <c r="F220" s="944">
        <v>12</v>
      </c>
      <c r="G220" s="629">
        <v>0</v>
      </c>
      <c r="H220" s="646">
        <v>22563591</v>
      </c>
      <c r="I220" s="646">
        <v>46513607</v>
      </c>
      <c r="J220" s="646">
        <v>19724</v>
      </c>
      <c r="K220" s="646">
        <v>7462785448</v>
      </c>
    </row>
    <row r="221" spans="1:11">
      <c r="A221" t="s">
        <v>366</v>
      </c>
      <c r="B221" t="s">
        <v>117</v>
      </c>
      <c r="C221" s="629">
        <v>1.04</v>
      </c>
      <c r="D221" s="731">
        <v>31040096</v>
      </c>
      <c r="E221" s="731">
        <v>9486366</v>
      </c>
      <c r="F221" s="944">
        <v>12</v>
      </c>
      <c r="G221" s="629">
        <v>0</v>
      </c>
    </row>
    <row r="222" spans="1:11">
      <c r="A222" t="s">
        <v>367</v>
      </c>
      <c r="B222" t="s">
        <v>118</v>
      </c>
      <c r="C222" s="629">
        <v>1.04</v>
      </c>
      <c r="D222" s="731">
        <v>846967665</v>
      </c>
      <c r="E222" s="731">
        <v>113671580</v>
      </c>
      <c r="F222" s="944">
        <v>12</v>
      </c>
      <c r="G222" s="629">
        <v>0</v>
      </c>
      <c r="H222" s="646">
        <v>117664387</v>
      </c>
      <c r="I222" s="646">
        <v>386855829</v>
      </c>
      <c r="J222" s="646">
        <v>163908</v>
      </c>
      <c r="K222" s="646">
        <v>41330652324</v>
      </c>
    </row>
    <row r="223" spans="1:11">
      <c r="A223" t="s">
        <v>368</v>
      </c>
      <c r="B223" t="s">
        <v>119</v>
      </c>
      <c r="C223" s="629">
        <v>1.04</v>
      </c>
      <c r="D223" s="731">
        <v>25909179</v>
      </c>
      <c r="E223" s="731">
        <v>8376684</v>
      </c>
      <c r="F223" s="944">
        <v>12</v>
      </c>
      <c r="G223" s="629">
        <v>0</v>
      </c>
    </row>
    <row r="224" spans="1:11">
      <c r="A224" t="s">
        <v>369</v>
      </c>
      <c r="B224" t="s">
        <v>120</v>
      </c>
      <c r="C224" s="629">
        <v>1.04</v>
      </c>
      <c r="D224" s="731">
        <v>38471897</v>
      </c>
      <c r="E224" s="731">
        <v>11636191</v>
      </c>
      <c r="F224" s="944">
        <v>12</v>
      </c>
      <c r="G224" s="629">
        <v>0</v>
      </c>
    </row>
    <row r="225" spans="1:11">
      <c r="A225" t="s">
        <v>2435</v>
      </c>
      <c r="B225" t="s">
        <v>1394</v>
      </c>
      <c r="C225" s="629">
        <v>1.04</v>
      </c>
      <c r="D225" s="731">
        <v>150784374</v>
      </c>
      <c r="E225" s="731">
        <v>27212709</v>
      </c>
      <c r="F225" s="944">
        <v>12</v>
      </c>
      <c r="G225" s="629">
        <v>0</v>
      </c>
    </row>
    <row r="226" spans="1:11">
      <c r="A226" t="s">
        <v>625</v>
      </c>
      <c r="B226" t="s">
        <v>816</v>
      </c>
      <c r="C226" s="629">
        <v>1.04</v>
      </c>
      <c r="D226" s="731">
        <v>51025156</v>
      </c>
      <c r="E226" s="731">
        <v>11377619</v>
      </c>
      <c r="F226" s="944">
        <v>12</v>
      </c>
      <c r="G226" s="629">
        <v>0</v>
      </c>
    </row>
    <row r="227" spans="1:11">
      <c r="A227" t="s">
        <v>500</v>
      </c>
      <c r="B227" t="s">
        <v>121</v>
      </c>
      <c r="C227" s="629">
        <v>0.97670000000000001</v>
      </c>
      <c r="D227" s="731">
        <v>115269807</v>
      </c>
      <c r="E227" s="731">
        <v>5958579</v>
      </c>
      <c r="F227" s="944">
        <v>12</v>
      </c>
      <c r="G227" s="629">
        <v>0</v>
      </c>
      <c r="H227" s="646">
        <v>12045245</v>
      </c>
      <c r="I227" s="646">
        <v>10678308</v>
      </c>
      <c r="J227" s="646">
        <v>4630</v>
      </c>
      <c r="K227" s="646">
        <v>3633130182</v>
      </c>
    </row>
    <row r="228" spans="1:11">
      <c r="A228" t="s">
        <v>39</v>
      </c>
      <c r="B228" t="s">
        <v>1195</v>
      </c>
      <c r="C228" s="629">
        <v>1</v>
      </c>
      <c r="D228" s="731">
        <v>99529028</v>
      </c>
      <c r="E228" s="731">
        <v>26750198</v>
      </c>
      <c r="F228" s="944">
        <v>12</v>
      </c>
      <c r="G228" s="629">
        <v>0</v>
      </c>
    </row>
    <row r="229" spans="1:11">
      <c r="A229" t="s">
        <v>1693</v>
      </c>
      <c r="B229" t="s">
        <v>122</v>
      </c>
      <c r="C229" s="629">
        <v>1.0146999999999999</v>
      </c>
      <c r="D229" s="731">
        <v>17974519</v>
      </c>
      <c r="E229" s="731">
        <v>5748627</v>
      </c>
      <c r="F229" s="944">
        <v>12</v>
      </c>
      <c r="G229" s="629">
        <v>0</v>
      </c>
    </row>
    <row r="230" spans="1:11">
      <c r="A230" t="s">
        <v>2392</v>
      </c>
      <c r="B230" t="s">
        <v>2112</v>
      </c>
      <c r="C230" s="629">
        <v>1.0066999999999999</v>
      </c>
      <c r="D230" s="731">
        <v>69814170</v>
      </c>
      <c r="E230" s="731">
        <v>21817823</v>
      </c>
      <c r="F230" s="944">
        <v>12</v>
      </c>
      <c r="G230" s="629">
        <v>0</v>
      </c>
    </row>
    <row r="231" spans="1:11">
      <c r="A231" t="s">
        <v>1694</v>
      </c>
      <c r="B231" t="s">
        <v>2466</v>
      </c>
      <c r="C231" s="629">
        <v>1.04</v>
      </c>
      <c r="D231" s="731">
        <v>185514074</v>
      </c>
      <c r="E231" s="731">
        <v>47361225</v>
      </c>
      <c r="F231" s="944">
        <v>12</v>
      </c>
      <c r="G231" s="629">
        <v>0</v>
      </c>
      <c r="H231" s="646">
        <v>42999082</v>
      </c>
      <c r="I231" s="646">
        <v>84493156</v>
      </c>
      <c r="J231" s="646">
        <v>36330</v>
      </c>
      <c r="K231" s="646">
        <v>11351545374</v>
      </c>
    </row>
    <row r="232" spans="1:11">
      <c r="A232" t="s">
        <v>2541</v>
      </c>
      <c r="B232" t="s">
        <v>2467</v>
      </c>
      <c r="C232" s="629">
        <v>1.004</v>
      </c>
      <c r="D232" s="731">
        <v>5896051</v>
      </c>
      <c r="E232" s="731">
        <v>1008497</v>
      </c>
      <c r="F232" s="944">
        <v>8</v>
      </c>
      <c r="G232" s="629">
        <v>0</v>
      </c>
      <c r="H232" s="646">
        <v>558369</v>
      </c>
      <c r="I232" s="646">
        <v>1108739</v>
      </c>
      <c r="J232" s="629">
        <v>640</v>
      </c>
      <c r="K232" s="646">
        <v>184959495</v>
      </c>
    </row>
    <row r="233" spans="1:11">
      <c r="A233" t="s">
        <v>235</v>
      </c>
      <c r="B233" t="s">
        <v>2468</v>
      </c>
      <c r="C233" s="629">
        <v>1.04</v>
      </c>
      <c r="D233" s="731">
        <v>81090651</v>
      </c>
      <c r="E233" s="731">
        <v>14767314</v>
      </c>
      <c r="F233" s="944">
        <v>12</v>
      </c>
      <c r="G233" s="629">
        <v>0</v>
      </c>
      <c r="H233" s="646">
        <v>6202354</v>
      </c>
      <c r="I233" s="646">
        <v>10815351</v>
      </c>
      <c r="J233" s="646">
        <v>4598</v>
      </c>
      <c r="K233" s="646">
        <v>1888361123</v>
      </c>
    </row>
    <row r="234" spans="1:11">
      <c r="A234" t="s">
        <v>236</v>
      </c>
      <c r="B234" t="s">
        <v>2516</v>
      </c>
      <c r="C234" s="629">
        <v>1.04</v>
      </c>
      <c r="D234" s="731">
        <v>2286184</v>
      </c>
      <c r="E234" s="731">
        <v>620</v>
      </c>
      <c r="F234" s="944">
        <v>12</v>
      </c>
      <c r="G234" s="629">
        <v>0</v>
      </c>
      <c r="H234" s="646">
        <v>517588</v>
      </c>
      <c r="I234" s="646">
        <v>683603</v>
      </c>
      <c r="J234" s="629">
        <v>230</v>
      </c>
      <c r="K234" s="646">
        <v>236018956</v>
      </c>
    </row>
    <row r="235" spans="1:11">
      <c r="A235" t="s">
        <v>237</v>
      </c>
      <c r="B235" t="s">
        <v>2469</v>
      </c>
      <c r="C235" s="629">
        <v>1.04</v>
      </c>
      <c r="D235" s="731">
        <v>3664103</v>
      </c>
      <c r="E235" s="731">
        <v>0</v>
      </c>
      <c r="F235" s="944">
        <v>12</v>
      </c>
      <c r="G235" s="629">
        <v>0</v>
      </c>
      <c r="H235" s="646">
        <v>705140</v>
      </c>
      <c r="I235" s="646">
        <v>1033305</v>
      </c>
      <c r="J235" s="629">
        <v>382</v>
      </c>
      <c r="K235" s="646">
        <v>202734718</v>
      </c>
    </row>
    <row r="236" spans="1:11">
      <c r="A236" t="s">
        <v>238</v>
      </c>
      <c r="B236" t="s">
        <v>2470</v>
      </c>
      <c r="C236" s="629">
        <v>1.04</v>
      </c>
      <c r="D236" s="731">
        <v>3886362</v>
      </c>
      <c r="E236" s="731">
        <v>0</v>
      </c>
      <c r="F236" s="944">
        <v>12</v>
      </c>
      <c r="G236" s="629">
        <v>0</v>
      </c>
    </row>
    <row r="237" spans="1:11">
      <c r="A237" t="s">
        <v>355</v>
      </c>
      <c r="B237" t="s">
        <v>2471</v>
      </c>
      <c r="C237" s="629">
        <v>1.04</v>
      </c>
      <c r="D237" s="731">
        <v>1839825</v>
      </c>
      <c r="E237" s="731">
        <v>0</v>
      </c>
      <c r="F237" s="944">
        <v>12</v>
      </c>
      <c r="G237" s="629">
        <v>0</v>
      </c>
      <c r="H237" s="646">
        <v>183938</v>
      </c>
      <c r="I237" s="646">
        <v>800053</v>
      </c>
      <c r="J237" s="629">
        <v>286</v>
      </c>
      <c r="K237" s="646">
        <v>84669572</v>
      </c>
    </row>
    <row r="238" spans="1:11">
      <c r="A238" t="s">
        <v>1760</v>
      </c>
      <c r="B238" t="s">
        <v>2239</v>
      </c>
      <c r="C238" s="629">
        <v>1.04</v>
      </c>
      <c r="D238" s="731">
        <v>7981217</v>
      </c>
      <c r="E238" s="731">
        <v>0</v>
      </c>
      <c r="F238" s="944">
        <v>12</v>
      </c>
      <c r="G238" s="629">
        <v>0</v>
      </c>
    </row>
    <row r="239" spans="1:11">
      <c r="A239" t="s">
        <v>1012</v>
      </c>
      <c r="B239" t="s">
        <v>2472</v>
      </c>
      <c r="C239" s="629">
        <v>0.72499999999999998</v>
      </c>
      <c r="D239" s="731">
        <v>231929</v>
      </c>
      <c r="E239" s="731">
        <v>0</v>
      </c>
      <c r="F239" s="944">
        <v>8</v>
      </c>
      <c r="G239" s="629">
        <v>31</v>
      </c>
    </row>
    <row r="240" spans="1:11">
      <c r="A240" t="s">
        <v>1013</v>
      </c>
      <c r="B240" t="s">
        <v>2473</v>
      </c>
      <c r="C240" s="629">
        <v>1.17</v>
      </c>
      <c r="D240" s="731">
        <v>1748396</v>
      </c>
      <c r="E240" s="731">
        <v>160864</v>
      </c>
      <c r="F240" s="944">
        <v>12</v>
      </c>
      <c r="G240" s="629">
        <v>0</v>
      </c>
    </row>
    <row r="241" spans="1:11">
      <c r="A241" t="s">
        <v>603</v>
      </c>
      <c r="B241" t="s">
        <v>98</v>
      </c>
      <c r="C241" s="629">
        <v>1.04</v>
      </c>
      <c r="D241" s="731">
        <v>484857</v>
      </c>
      <c r="E241" s="731">
        <v>55417</v>
      </c>
      <c r="F241" s="944">
        <v>12</v>
      </c>
      <c r="G241" s="629">
        <v>0</v>
      </c>
    </row>
    <row r="242" spans="1:11">
      <c r="A242" t="s">
        <v>1014</v>
      </c>
      <c r="B242" t="s">
        <v>2474</v>
      </c>
      <c r="C242" s="629">
        <v>1.04</v>
      </c>
      <c r="D242" s="731">
        <v>92617520</v>
      </c>
      <c r="E242" s="731">
        <v>30355045</v>
      </c>
      <c r="F242" s="944">
        <v>12</v>
      </c>
      <c r="G242" s="629">
        <v>0</v>
      </c>
      <c r="H242" s="646">
        <v>7523388</v>
      </c>
      <c r="I242" s="646">
        <v>29904013</v>
      </c>
      <c r="J242" s="646">
        <v>12405</v>
      </c>
      <c r="K242" s="646">
        <v>2242103646</v>
      </c>
    </row>
    <row r="243" spans="1:11">
      <c r="A243" t="s">
        <v>1673</v>
      </c>
      <c r="B243" t="s">
        <v>2327</v>
      </c>
      <c r="C243" s="629">
        <v>1.04</v>
      </c>
      <c r="D243" s="731">
        <v>235599618</v>
      </c>
      <c r="E243" s="731">
        <v>60695025</v>
      </c>
      <c r="F243" s="944">
        <v>12</v>
      </c>
      <c r="G243" s="629">
        <v>0</v>
      </c>
      <c r="H243" s="646">
        <v>8302442</v>
      </c>
      <c r="I243" s="646">
        <v>59438607</v>
      </c>
      <c r="J243" s="646">
        <v>25036</v>
      </c>
      <c r="K243" s="646">
        <v>4347145101</v>
      </c>
    </row>
    <row r="244" spans="1:11">
      <c r="A244" t="s">
        <v>198</v>
      </c>
      <c r="B244" t="s">
        <v>946</v>
      </c>
      <c r="C244" s="629">
        <v>1.04</v>
      </c>
      <c r="D244" s="731">
        <v>5090040</v>
      </c>
      <c r="E244" s="731">
        <v>1088090</v>
      </c>
      <c r="F244" s="944">
        <v>12</v>
      </c>
      <c r="G244" s="629">
        <v>0</v>
      </c>
    </row>
    <row r="245" spans="1:11">
      <c r="A245" t="s">
        <v>676</v>
      </c>
      <c r="B245" t="s">
        <v>1598</v>
      </c>
      <c r="C245" s="629">
        <v>1.04</v>
      </c>
      <c r="D245" s="731">
        <v>7607575</v>
      </c>
      <c r="E245" s="731">
        <v>1609157</v>
      </c>
      <c r="F245" s="944">
        <v>12</v>
      </c>
      <c r="G245" s="629">
        <v>0</v>
      </c>
      <c r="H245" s="629">
        <v>0</v>
      </c>
      <c r="I245" s="646">
        <v>2754878</v>
      </c>
      <c r="J245" s="646">
        <v>1160</v>
      </c>
      <c r="K245" s="646">
        <v>78179861</v>
      </c>
    </row>
    <row r="246" spans="1:11">
      <c r="A246" t="s">
        <v>200</v>
      </c>
      <c r="B246" t="s">
        <v>948</v>
      </c>
      <c r="C246" s="629">
        <v>1.04</v>
      </c>
      <c r="D246" s="731">
        <v>8774079</v>
      </c>
      <c r="E246" s="731">
        <v>1594906</v>
      </c>
      <c r="F246" s="944">
        <v>12</v>
      </c>
      <c r="G246" s="629">
        <v>0</v>
      </c>
      <c r="H246" s="646">
        <v>13529</v>
      </c>
      <c r="I246" s="646">
        <v>1389534</v>
      </c>
      <c r="J246" s="629">
        <v>573</v>
      </c>
      <c r="K246" s="646">
        <v>48614520</v>
      </c>
    </row>
    <row r="247" spans="1:11">
      <c r="A247" t="s">
        <v>1586</v>
      </c>
      <c r="B247" t="s">
        <v>1997</v>
      </c>
      <c r="C247" s="629">
        <v>1.04</v>
      </c>
      <c r="D247" s="731">
        <v>5443793</v>
      </c>
      <c r="E247" s="731">
        <v>1261513</v>
      </c>
      <c r="F247" s="944">
        <v>12</v>
      </c>
      <c r="G247" s="629">
        <v>0</v>
      </c>
    </row>
    <row r="248" spans="1:11">
      <c r="A248" t="s">
        <v>462</v>
      </c>
      <c r="B248" t="s">
        <v>1947</v>
      </c>
      <c r="C248" s="629">
        <v>1.04</v>
      </c>
      <c r="D248" s="731">
        <v>6948629</v>
      </c>
      <c r="E248" s="731">
        <v>1759073</v>
      </c>
      <c r="F248" s="944">
        <v>12</v>
      </c>
      <c r="G248" s="629">
        <v>0</v>
      </c>
    </row>
    <row r="249" spans="1:11">
      <c r="A249" t="s">
        <v>1734</v>
      </c>
      <c r="B249" t="s">
        <v>2475</v>
      </c>
      <c r="C249" s="629">
        <v>1.04</v>
      </c>
      <c r="D249" s="731">
        <v>9790483</v>
      </c>
      <c r="E249" s="731">
        <v>3188824</v>
      </c>
      <c r="F249" s="944">
        <v>12</v>
      </c>
      <c r="G249" s="629">
        <v>0</v>
      </c>
      <c r="H249" s="646">
        <v>760096</v>
      </c>
      <c r="I249" s="646">
        <v>1830649</v>
      </c>
      <c r="J249" s="629">
        <v>859</v>
      </c>
      <c r="K249" s="646">
        <v>158522582</v>
      </c>
    </row>
    <row r="250" spans="1:11">
      <c r="A250" t="s">
        <v>1325</v>
      </c>
      <c r="B250" t="s">
        <v>1182</v>
      </c>
      <c r="C250" s="629">
        <v>1</v>
      </c>
      <c r="D250" s="731">
        <v>86446166</v>
      </c>
      <c r="E250" s="731">
        <v>25585545</v>
      </c>
      <c r="F250" s="944">
        <v>12</v>
      </c>
      <c r="G250" s="629">
        <v>0</v>
      </c>
      <c r="H250" s="646">
        <v>2643176</v>
      </c>
      <c r="I250" s="646">
        <v>10020125</v>
      </c>
      <c r="J250" s="646">
        <v>4119</v>
      </c>
      <c r="K250" s="646">
        <v>604993424</v>
      </c>
    </row>
    <row r="251" spans="1:11">
      <c r="A251" t="s">
        <v>59</v>
      </c>
      <c r="B251" t="s">
        <v>2176</v>
      </c>
      <c r="C251" s="629">
        <v>1.04</v>
      </c>
      <c r="D251" s="731">
        <v>13464902</v>
      </c>
      <c r="E251" s="731">
        <v>4791570</v>
      </c>
      <c r="F251" s="944">
        <v>12</v>
      </c>
      <c r="G251" s="629">
        <v>0</v>
      </c>
    </row>
    <row r="252" spans="1:11">
      <c r="A252" t="s">
        <v>604</v>
      </c>
      <c r="B252" t="s">
        <v>1476</v>
      </c>
      <c r="C252" s="629">
        <v>1.03</v>
      </c>
      <c r="D252" s="731">
        <v>15102972</v>
      </c>
      <c r="E252" s="731">
        <v>4870724</v>
      </c>
      <c r="F252" s="944">
        <v>12</v>
      </c>
      <c r="G252" s="629">
        <v>0</v>
      </c>
    </row>
    <row r="253" spans="1:11">
      <c r="A253" t="s">
        <v>2364</v>
      </c>
      <c r="B253" t="s">
        <v>399</v>
      </c>
      <c r="C253" s="629">
        <v>1.1122000000000001</v>
      </c>
      <c r="D253" s="731">
        <v>4389991</v>
      </c>
      <c r="E253" s="731">
        <v>541772</v>
      </c>
      <c r="F253" s="944">
        <v>12</v>
      </c>
      <c r="G253" s="629">
        <v>0</v>
      </c>
    </row>
    <row r="254" spans="1:11">
      <c r="A254" t="s">
        <v>1735</v>
      </c>
      <c r="B254" t="s">
        <v>2476</v>
      </c>
      <c r="C254" s="629">
        <v>1.0720000000000001</v>
      </c>
      <c r="D254" s="731">
        <v>797758</v>
      </c>
      <c r="E254" s="731">
        <v>83633</v>
      </c>
      <c r="F254" s="944">
        <v>12</v>
      </c>
      <c r="G254" s="629">
        <v>0</v>
      </c>
      <c r="H254" s="646">
        <v>190340</v>
      </c>
      <c r="I254" s="646">
        <v>498001</v>
      </c>
      <c r="J254" s="629">
        <v>231</v>
      </c>
      <c r="K254" s="646">
        <v>35157098</v>
      </c>
    </row>
    <row r="255" spans="1:11">
      <c r="A255" t="s">
        <v>1114</v>
      </c>
      <c r="B255" t="s">
        <v>2073</v>
      </c>
      <c r="C255" s="629">
        <v>1.04</v>
      </c>
      <c r="D255" s="731">
        <v>3519412</v>
      </c>
      <c r="E255" s="731">
        <v>483244</v>
      </c>
      <c r="F255" s="944">
        <v>12</v>
      </c>
      <c r="G255" s="629">
        <v>0</v>
      </c>
    </row>
    <row r="256" spans="1:11">
      <c r="A256" t="s">
        <v>1736</v>
      </c>
      <c r="B256" t="s">
        <v>2477</v>
      </c>
      <c r="C256" s="629">
        <v>1.04</v>
      </c>
      <c r="D256" s="731">
        <v>1288063</v>
      </c>
      <c r="E256" s="731">
        <v>0</v>
      </c>
      <c r="F256" s="944">
        <v>12</v>
      </c>
      <c r="G256" s="629">
        <v>0</v>
      </c>
    </row>
    <row r="257" spans="1:11">
      <c r="A257" t="s">
        <v>657</v>
      </c>
      <c r="B257" t="s">
        <v>2478</v>
      </c>
      <c r="C257" s="629">
        <v>0.95130000000000003</v>
      </c>
      <c r="D257" s="731">
        <v>193303</v>
      </c>
      <c r="E257" s="731">
        <v>23738</v>
      </c>
      <c r="F257" s="944">
        <v>8</v>
      </c>
      <c r="G257" s="629">
        <v>0</v>
      </c>
    </row>
    <row r="258" spans="1:11">
      <c r="A258" t="s">
        <v>282</v>
      </c>
      <c r="B258" t="s">
        <v>2479</v>
      </c>
      <c r="C258" s="629">
        <v>1.04</v>
      </c>
      <c r="D258" s="731">
        <v>778872</v>
      </c>
      <c r="E258" s="731">
        <v>0</v>
      </c>
      <c r="F258" s="944">
        <v>8</v>
      </c>
      <c r="G258" s="629">
        <v>0</v>
      </c>
      <c r="H258" s="646">
        <v>228291</v>
      </c>
      <c r="I258" s="646">
        <v>572430</v>
      </c>
      <c r="J258" s="629">
        <v>314</v>
      </c>
      <c r="K258" s="646">
        <v>53590410</v>
      </c>
    </row>
    <row r="259" spans="1:11">
      <c r="A259" t="s">
        <v>165</v>
      </c>
      <c r="B259" t="s">
        <v>2480</v>
      </c>
      <c r="C259" s="629">
        <v>1.04</v>
      </c>
      <c r="D259" s="731">
        <v>2587958</v>
      </c>
      <c r="E259" s="731">
        <v>0</v>
      </c>
      <c r="F259" s="944">
        <v>12</v>
      </c>
      <c r="G259" s="629">
        <v>0</v>
      </c>
      <c r="H259" s="646">
        <v>203594</v>
      </c>
      <c r="I259" s="646">
        <v>1730495</v>
      </c>
      <c r="J259" s="629">
        <v>737</v>
      </c>
      <c r="K259" s="646">
        <v>63577611</v>
      </c>
    </row>
    <row r="260" spans="1:11">
      <c r="A260" t="s">
        <v>166</v>
      </c>
      <c r="B260" t="s">
        <v>2481</v>
      </c>
      <c r="C260" s="629">
        <v>1.04</v>
      </c>
      <c r="D260" s="731">
        <v>245678</v>
      </c>
      <c r="E260" s="731">
        <v>0</v>
      </c>
      <c r="F260" s="944">
        <v>12</v>
      </c>
      <c r="G260" s="629">
        <v>0</v>
      </c>
    </row>
    <row r="261" spans="1:11">
      <c r="A261" t="s">
        <v>677</v>
      </c>
      <c r="B261" t="s">
        <v>28</v>
      </c>
      <c r="C261" s="629">
        <v>1.17</v>
      </c>
      <c r="D261" s="731">
        <v>5265723</v>
      </c>
      <c r="E261" s="731">
        <v>244902</v>
      </c>
      <c r="F261" s="944">
        <v>12</v>
      </c>
      <c r="G261" s="629">
        <v>0</v>
      </c>
    </row>
    <row r="262" spans="1:11">
      <c r="A262" t="s">
        <v>2485</v>
      </c>
      <c r="B262" t="s">
        <v>1851</v>
      </c>
      <c r="C262" s="629">
        <v>1.04</v>
      </c>
      <c r="D262" s="731">
        <v>1187154</v>
      </c>
      <c r="E262" s="731">
        <v>0</v>
      </c>
      <c r="F262" s="944">
        <v>12</v>
      </c>
      <c r="G262" s="629">
        <v>0</v>
      </c>
    </row>
    <row r="263" spans="1:11">
      <c r="A263" t="s">
        <v>1465</v>
      </c>
      <c r="B263" t="s">
        <v>2237</v>
      </c>
      <c r="C263" s="629">
        <v>1</v>
      </c>
      <c r="D263" s="731">
        <v>374500</v>
      </c>
      <c r="E263" s="731">
        <v>20771</v>
      </c>
      <c r="F263" s="944">
        <v>12</v>
      </c>
      <c r="G263" s="629">
        <v>0</v>
      </c>
    </row>
    <row r="264" spans="1:11">
      <c r="A264" t="s">
        <v>2486</v>
      </c>
      <c r="B264" t="s">
        <v>1852</v>
      </c>
      <c r="C264" s="629">
        <v>1.04</v>
      </c>
      <c r="D264" s="731">
        <v>271494</v>
      </c>
      <c r="E264" s="731">
        <v>0</v>
      </c>
      <c r="F264" s="944">
        <v>6</v>
      </c>
      <c r="G264" s="629">
        <v>31</v>
      </c>
    </row>
    <row r="265" spans="1:11">
      <c r="A265" t="s">
        <v>2487</v>
      </c>
      <c r="B265" t="s">
        <v>1853</v>
      </c>
      <c r="C265" s="629">
        <v>1.04</v>
      </c>
      <c r="D265" s="731">
        <v>3173383</v>
      </c>
      <c r="E265" s="731">
        <v>597519</v>
      </c>
      <c r="F265" s="944">
        <v>12</v>
      </c>
      <c r="G265" s="629">
        <v>0</v>
      </c>
      <c r="H265" s="646">
        <v>1483000</v>
      </c>
      <c r="I265" s="646">
        <v>2646508</v>
      </c>
      <c r="J265" s="646">
        <v>1023</v>
      </c>
      <c r="K265" s="646">
        <v>184230219</v>
      </c>
    </row>
    <row r="266" spans="1:11">
      <c r="A266" t="s">
        <v>678</v>
      </c>
      <c r="B266" t="s">
        <v>1917</v>
      </c>
      <c r="C266" s="629">
        <v>1.04</v>
      </c>
      <c r="D266" s="731">
        <v>1334544</v>
      </c>
      <c r="E266" s="731">
        <v>477566</v>
      </c>
      <c r="F266" s="944">
        <v>12</v>
      </c>
      <c r="G266" s="629">
        <v>0</v>
      </c>
    </row>
    <row r="267" spans="1:11">
      <c r="A267" t="s">
        <v>637</v>
      </c>
      <c r="B267" t="s">
        <v>1854</v>
      </c>
      <c r="C267" s="629">
        <v>1.04</v>
      </c>
      <c r="D267" s="731">
        <v>3541356</v>
      </c>
      <c r="E267" s="731">
        <v>0</v>
      </c>
      <c r="F267" s="944">
        <v>12</v>
      </c>
      <c r="G267" s="629">
        <v>0</v>
      </c>
    </row>
    <row r="268" spans="1:11">
      <c r="A268" t="s">
        <v>2030</v>
      </c>
      <c r="B268" t="s">
        <v>2032</v>
      </c>
      <c r="C268" s="629">
        <v>1.0337000000000001</v>
      </c>
      <c r="D268" s="731">
        <v>4181476</v>
      </c>
      <c r="E268" s="731">
        <v>0</v>
      </c>
      <c r="F268" s="944">
        <v>12</v>
      </c>
      <c r="G268" s="629">
        <v>0</v>
      </c>
    </row>
    <row r="269" spans="1:11">
      <c r="A269" t="s">
        <v>2173</v>
      </c>
      <c r="B269" t="s">
        <v>1855</v>
      </c>
      <c r="C269" s="629">
        <v>1.0166999999999999</v>
      </c>
      <c r="D269" s="731">
        <v>3079546</v>
      </c>
      <c r="E269" s="731">
        <v>0</v>
      </c>
      <c r="F269" s="944">
        <v>12</v>
      </c>
      <c r="G269" s="629">
        <v>0</v>
      </c>
    </row>
    <row r="270" spans="1:11">
      <c r="A270" t="s">
        <v>1691</v>
      </c>
      <c r="B270" t="s">
        <v>1856</v>
      </c>
      <c r="C270" s="629">
        <v>1.04</v>
      </c>
      <c r="D270" s="731">
        <v>514488</v>
      </c>
      <c r="E270" s="731">
        <v>0</v>
      </c>
      <c r="F270" s="944">
        <v>12</v>
      </c>
      <c r="G270" s="629">
        <v>0</v>
      </c>
    </row>
    <row r="271" spans="1:11">
      <c r="A271" t="s">
        <v>579</v>
      </c>
      <c r="B271" t="s">
        <v>1857</v>
      </c>
      <c r="C271" s="629">
        <v>1.04</v>
      </c>
      <c r="D271" s="731">
        <v>789538</v>
      </c>
      <c r="E271" s="731">
        <v>0</v>
      </c>
      <c r="F271" s="944">
        <v>12</v>
      </c>
      <c r="G271" s="629">
        <v>0</v>
      </c>
    </row>
    <row r="272" spans="1:11">
      <c r="A272" t="s">
        <v>870</v>
      </c>
      <c r="B272" t="s">
        <v>1858</v>
      </c>
      <c r="C272" s="629">
        <v>1.17</v>
      </c>
      <c r="D272" s="731">
        <v>379640</v>
      </c>
      <c r="E272" s="731">
        <v>0</v>
      </c>
      <c r="F272" s="944">
        <v>12</v>
      </c>
      <c r="G272" s="629">
        <v>0</v>
      </c>
    </row>
    <row r="273" spans="1:11">
      <c r="A273" t="s">
        <v>2013</v>
      </c>
      <c r="B273" t="s">
        <v>1859</v>
      </c>
      <c r="C273" s="629">
        <v>1.03</v>
      </c>
      <c r="D273" s="731">
        <v>84772877</v>
      </c>
      <c r="E273" s="731">
        <v>5129362</v>
      </c>
      <c r="F273" s="944">
        <v>12</v>
      </c>
      <c r="G273" s="629">
        <v>0</v>
      </c>
    </row>
    <row r="274" spans="1:11">
      <c r="A274" t="s">
        <v>2438</v>
      </c>
      <c r="B274" t="s">
        <v>1860</v>
      </c>
      <c r="C274" s="629">
        <v>1.04</v>
      </c>
      <c r="D274" s="731">
        <v>3252049</v>
      </c>
      <c r="E274" s="731">
        <v>0</v>
      </c>
      <c r="F274" s="944">
        <v>12</v>
      </c>
      <c r="G274" s="629">
        <v>0</v>
      </c>
      <c r="H274" s="646">
        <v>11353</v>
      </c>
      <c r="I274" s="646">
        <v>2111238</v>
      </c>
      <c r="J274" s="629">
        <v>862</v>
      </c>
      <c r="K274" s="646">
        <v>102729157</v>
      </c>
    </row>
    <row r="275" spans="1:11">
      <c r="A275" t="s">
        <v>2257</v>
      </c>
      <c r="B275" t="s">
        <v>1861</v>
      </c>
      <c r="C275" s="629">
        <v>1.04</v>
      </c>
      <c r="D275" s="731">
        <v>1644293</v>
      </c>
      <c r="E275" s="731">
        <v>9146</v>
      </c>
      <c r="F275" s="944">
        <v>12</v>
      </c>
      <c r="G275" s="629">
        <v>0</v>
      </c>
    </row>
    <row r="276" spans="1:11">
      <c r="A276" t="s">
        <v>232</v>
      </c>
      <c r="B276" t="s">
        <v>1998</v>
      </c>
      <c r="C276" s="629">
        <v>1.04</v>
      </c>
      <c r="D276" s="731">
        <v>331287</v>
      </c>
      <c r="E276" s="731">
        <v>20332</v>
      </c>
      <c r="F276" s="944">
        <v>12</v>
      </c>
      <c r="G276" s="629">
        <v>0</v>
      </c>
    </row>
    <row r="277" spans="1:11">
      <c r="A277" t="s">
        <v>1320</v>
      </c>
      <c r="B277" t="s">
        <v>1862</v>
      </c>
      <c r="C277" s="629">
        <v>1.03</v>
      </c>
      <c r="D277" s="731">
        <v>16789399</v>
      </c>
      <c r="E277" s="731">
        <v>3337060</v>
      </c>
      <c r="F277" s="944">
        <v>12</v>
      </c>
      <c r="G277" s="629">
        <v>0</v>
      </c>
    </row>
    <row r="278" spans="1:11">
      <c r="A278" t="s">
        <v>1321</v>
      </c>
      <c r="B278" t="s">
        <v>1863</v>
      </c>
      <c r="C278" s="629">
        <v>1.04</v>
      </c>
      <c r="D278" s="731">
        <v>3029020</v>
      </c>
      <c r="E278" s="731">
        <v>620508</v>
      </c>
      <c r="F278" s="944">
        <v>12</v>
      </c>
      <c r="G278" s="629">
        <v>0</v>
      </c>
    </row>
    <row r="279" spans="1:11">
      <c r="A279" t="s">
        <v>679</v>
      </c>
      <c r="B279" t="s">
        <v>1196</v>
      </c>
      <c r="C279" s="629">
        <v>1.04</v>
      </c>
      <c r="D279" s="731">
        <v>974899</v>
      </c>
      <c r="E279" s="731">
        <v>54326</v>
      </c>
      <c r="F279" s="944">
        <v>12</v>
      </c>
      <c r="G279" s="629">
        <v>0</v>
      </c>
    </row>
    <row r="280" spans="1:11">
      <c r="A280" t="s">
        <v>1316</v>
      </c>
      <c r="B280" t="s">
        <v>1864</v>
      </c>
      <c r="C280" s="629">
        <v>1.04</v>
      </c>
      <c r="D280" s="731">
        <v>25017730</v>
      </c>
      <c r="E280" s="731">
        <v>8774296</v>
      </c>
      <c r="F280" s="944">
        <v>12</v>
      </c>
      <c r="G280" s="629">
        <v>0</v>
      </c>
    </row>
    <row r="281" spans="1:11">
      <c r="A281" t="s">
        <v>883</v>
      </c>
      <c r="B281" t="s">
        <v>1865</v>
      </c>
      <c r="C281" s="629">
        <v>1.04</v>
      </c>
      <c r="D281" s="731">
        <v>559626</v>
      </c>
      <c r="E281" s="731">
        <v>56299</v>
      </c>
      <c r="F281" s="944">
        <v>12</v>
      </c>
      <c r="G281" s="629">
        <v>0</v>
      </c>
    </row>
    <row r="282" spans="1:11">
      <c r="A282" t="s">
        <v>233</v>
      </c>
      <c r="B282" t="s">
        <v>1287</v>
      </c>
      <c r="C282" s="629">
        <v>1.04</v>
      </c>
      <c r="D282" s="731">
        <v>2279684</v>
      </c>
      <c r="E282" s="731">
        <v>213889</v>
      </c>
      <c r="F282" s="944">
        <v>12</v>
      </c>
      <c r="G282" s="629">
        <v>0</v>
      </c>
    </row>
    <row r="283" spans="1:11">
      <c r="A283" t="s">
        <v>1971</v>
      </c>
      <c r="B283" t="s">
        <v>77</v>
      </c>
      <c r="C283" s="629">
        <v>1.04</v>
      </c>
      <c r="D283" s="731">
        <v>12232349</v>
      </c>
      <c r="E283" s="731">
        <v>1400216</v>
      </c>
      <c r="F283" s="944">
        <v>12</v>
      </c>
      <c r="G283" s="629">
        <v>0</v>
      </c>
    </row>
    <row r="284" spans="1:11">
      <c r="A284" t="s">
        <v>326</v>
      </c>
      <c r="B284" t="s">
        <v>130</v>
      </c>
      <c r="C284" s="629">
        <v>1.04</v>
      </c>
      <c r="D284" s="731">
        <v>26347547</v>
      </c>
      <c r="E284" s="731">
        <v>5433256</v>
      </c>
      <c r="F284" s="944">
        <v>12</v>
      </c>
      <c r="G284" s="629">
        <v>0</v>
      </c>
    </row>
    <row r="285" spans="1:11">
      <c r="A285" t="s">
        <v>680</v>
      </c>
      <c r="B285" t="s">
        <v>1879</v>
      </c>
      <c r="C285" s="629">
        <v>1.04</v>
      </c>
      <c r="D285" s="731">
        <v>2010648</v>
      </c>
      <c r="E285" s="731">
        <v>494183</v>
      </c>
      <c r="F285" s="944">
        <v>12</v>
      </c>
      <c r="G285" s="629">
        <v>0</v>
      </c>
    </row>
    <row r="286" spans="1:11">
      <c r="A286" t="s">
        <v>541</v>
      </c>
      <c r="B286" t="s">
        <v>1096</v>
      </c>
      <c r="C286" s="629">
        <v>1.04</v>
      </c>
      <c r="D286" s="731">
        <v>8685571</v>
      </c>
      <c r="E286" s="731">
        <v>1954653</v>
      </c>
      <c r="F286" s="944">
        <v>12</v>
      </c>
      <c r="G286" s="629">
        <v>0</v>
      </c>
    </row>
    <row r="287" spans="1:11">
      <c r="A287" t="s">
        <v>2275</v>
      </c>
      <c r="B287" t="s">
        <v>1866</v>
      </c>
      <c r="C287" s="629">
        <v>1.04</v>
      </c>
      <c r="D287" s="731">
        <v>142188316</v>
      </c>
      <c r="E287" s="731">
        <v>18032948</v>
      </c>
      <c r="F287" s="944">
        <v>12</v>
      </c>
      <c r="G287" s="629">
        <v>0</v>
      </c>
    </row>
    <row r="288" spans="1:11">
      <c r="A288" t="s">
        <v>730</v>
      </c>
      <c r="B288" t="s">
        <v>845</v>
      </c>
      <c r="C288" s="629">
        <v>1.04</v>
      </c>
      <c r="D288" s="731">
        <v>1331927</v>
      </c>
      <c r="E288" s="731">
        <v>163553</v>
      </c>
      <c r="F288" s="944">
        <v>12</v>
      </c>
      <c r="G288" s="629">
        <v>0</v>
      </c>
    </row>
    <row r="289" spans="1:11">
      <c r="A289" t="s">
        <v>173</v>
      </c>
      <c r="B289" t="s">
        <v>1918</v>
      </c>
      <c r="C289" s="629">
        <v>1.04</v>
      </c>
      <c r="D289" s="731">
        <v>1350289</v>
      </c>
      <c r="E289" s="731">
        <v>89801</v>
      </c>
      <c r="F289" s="944">
        <v>12</v>
      </c>
      <c r="G289" s="629">
        <v>0</v>
      </c>
    </row>
    <row r="290" spans="1:11">
      <c r="A290" t="s">
        <v>1115</v>
      </c>
      <c r="B290" t="s">
        <v>716</v>
      </c>
      <c r="C290" s="629">
        <v>1.17</v>
      </c>
      <c r="D290" s="731">
        <v>70850462</v>
      </c>
      <c r="E290" s="731">
        <v>10135714</v>
      </c>
      <c r="F290" s="944">
        <v>12</v>
      </c>
      <c r="G290" s="629">
        <v>0</v>
      </c>
    </row>
    <row r="291" spans="1:11">
      <c r="A291" t="s">
        <v>1979</v>
      </c>
      <c r="B291" t="s">
        <v>123</v>
      </c>
      <c r="C291" s="629">
        <v>1.04</v>
      </c>
      <c r="D291" s="731">
        <v>1302201</v>
      </c>
      <c r="E291" s="731">
        <v>182958</v>
      </c>
      <c r="F291" s="944">
        <v>12</v>
      </c>
      <c r="G291" s="629">
        <v>0</v>
      </c>
    </row>
    <row r="292" spans="1:11">
      <c r="A292" t="s">
        <v>1781</v>
      </c>
      <c r="B292" t="s">
        <v>612</v>
      </c>
      <c r="C292" s="629">
        <v>1.04</v>
      </c>
      <c r="D292" s="731">
        <v>10898501</v>
      </c>
      <c r="E292" s="731">
        <v>2623434</v>
      </c>
      <c r="F292" s="944">
        <v>12</v>
      </c>
      <c r="G292" s="629">
        <v>0</v>
      </c>
    </row>
    <row r="293" spans="1:11">
      <c r="A293" t="s">
        <v>1428</v>
      </c>
      <c r="B293" t="s">
        <v>569</v>
      </c>
      <c r="C293" s="629">
        <v>1.0900000000000001</v>
      </c>
      <c r="D293" s="731">
        <v>491994</v>
      </c>
      <c r="E293" s="731">
        <v>114719</v>
      </c>
      <c r="F293" s="944">
        <v>12</v>
      </c>
      <c r="G293" s="629">
        <v>0</v>
      </c>
    </row>
    <row r="294" spans="1:11">
      <c r="A294" t="s">
        <v>1081</v>
      </c>
      <c r="B294" t="s">
        <v>1823</v>
      </c>
      <c r="C294" s="629">
        <v>0.94550000000000001</v>
      </c>
      <c r="D294" s="731">
        <v>57755569</v>
      </c>
      <c r="E294" s="731">
        <v>12068779</v>
      </c>
      <c r="F294" s="944">
        <v>12</v>
      </c>
      <c r="G294" s="629">
        <v>0</v>
      </c>
    </row>
    <row r="295" spans="1:11">
      <c r="A295" t="s">
        <v>2276</v>
      </c>
      <c r="B295" t="s">
        <v>1867</v>
      </c>
      <c r="C295" s="629">
        <v>1.04</v>
      </c>
      <c r="D295" s="731">
        <v>369843</v>
      </c>
      <c r="E295" s="731">
        <v>0</v>
      </c>
      <c r="F295" s="944">
        <v>8</v>
      </c>
      <c r="G295" s="629">
        <v>0</v>
      </c>
    </row>
    <row r="296" spans="1:11">
      <c r="A296" t="s">
        <v>2277</v>
      </c>
      <c r="B296" t="s">
        <v>1868</v>
      </c>
      <c r="C296" s="629">
        <v>1.03</v>
      </c>
      <c r="D296" s="731">
        <v>2731239</v>
      </c>
      <c r="E296" s="731">
        <v>227024</v>
      </c>
      <c r="F296" s="944">
        <v>12</v>
      </c>
      <c r="G296" s="629">
        <v>0</v>
      </c>
    </row>
    <row r="297" spans="1:11">
      <c r="A297" t="s">
        <v>1422</v>
      </c>
      <c r="B297" t="s">
        <v>1833</v>
      </c>
      <c r="C297" s="629">
        <v>1.04</v>
      </c>
      <c r="D297" s="731">
        <v>12476468</v>
      </c>
      <c r="E297" s="731">
        <v>1502302</v>
      </c>
      <c r="F297" s="944">
        <v>12</v>
      </c>
      <c r="G297" s="629">
        <v>0</v>
      </c>
    </row>
    <row r="298" spans="1:11">
      <c r="A298" t="s">
        <v>1727</v>
      </c>
      <c r="B298" t="s">
        <v>1869</v>
      </c>
      <c r="C298" s="629">
        <v>1.04</v>
      </c>
      <c r="D298" s="731">
        <v>1168874</v>
      </c>
      <c r="E298" s="731">
        <v>64705</v>
      </c>
      <c r="F298" s="944">
        <v>8</v>
      </c>
      <c r="G298" s="629">
        <v>0</v>
      </c>
      <c r="H298" s="646">
        <v>16052</v>
      </c>
      <c r="I298" s="646">
        <v>289796</v>
      </c>
      <c r="J298" s="629">
        <v>191</v>
      </c>
      <c r="K298" s="646">
        <v>16831293</v>
      </c>
    </row>
    <row r="299" spans="1:11">
      <c r="A299" t="s">
        <v>1728</v>
      </c>
      <c r="B299" t="s">
        <v>1870</v>
      </c>
      <c r="C299" s="629">
        <v>1.04</v>
      </c>
      <c r="D299" s="731">
        <v>1033776</v>
      </c>
      <c r="E299" s="731">
        <v>0</v>
      </c>
      <c r="F299" s="944">
        <v>12</v>
      </c>
      <c r="G299" s="629">
        <v>0</v>
      </c>
    </row>
    <row r="300" spans="1:11">
      <c r="A300" t="s">
        <v>1160</v>
      </c>
      <c r="B300" t="s">
        <v>2329</v>
      </c>
      <c r="C300" s="629">
        <v>1.04</v>
      </c>
      <c r="D300" s="731">
        <v>695071</v>
      </c>
      <c r="E300" s="731">
        <v>36674</v>
      </c>
      <c r="F300" s="944">
        <v>12</v>
      </c>
      <c r="G300" s="629">
        <v>0</v>
      </c>
    </row>
    <row r="301" spans="1:11">
      <c r="A301" t="s">
        <v>1729</v>
      </c>
      <c r="B301" t="s">
        <v>1871</v>
      </c>
      <c r="C301" s="629">
        <v>1.04</v>
      </c>
      <c r="D301" s="731">
        <v>591640</v>
      </c>
      <c r="E301" s="731">
        <v>0</v>
      </c>
      <c r="F301" s="944">
        <v>8</v>
      </c>
      <c r="G301" s="629">
        <v>0</v>
      </c>
      <c r="H301" s="646">
        <v>6518</v>
      </c>
      <c r="I301" s="646">
        <v>301130</v>
      </c>
      <c r="J301" s="629">
        <v>194</v>
      </c>
      <c r="K301" s="646">
        <v>24975013</v>
      </c>
    </row>
    <row r="302" spans="1:11">
      <c r="A302" t="s">
        <v>187</v>
      </c>
      <c r="B302" t="s">
        <v>979</v>
      </c>
      <c r="C302" s="629">
        <v>1.0333000000000001</v>
      </c>
      <c r="D302" s="731">
        <v>467111</v>
      </c>
      <c r="E302" s="731">
        <v>36960</v>
      </c>
      <c r="F302" s="944">
        <v>12</v>
      </c>
      <c r="G302" s="629">
        <v>0</v>
      </c>
    </row>
    <row r="303" spans="1:11">
      <c r="A303" t="s">
        <v>1730</v>
      </c>
      <c r="B303" t="s">
        <v>1950</v>
      </c>
      <c r="C303" s="629">
        <v>1.04</v>
      </c>
      <c r="D303" s="731">
        <v>1815199</v>
      </c>
      <c r="E303" s="731">
        <v>184337</v>
      </c>
      <c r="F303" s="944">
        <v>12</v>
      </c>
      <c r="G303" s="629">
        <v>0</v>
      </c>
    </row>
    <row r="304" spans="1:11">
      <c r="A304" t="s">
        <v>1738</v>
      </c>
      <c r="B304" t="s">
        <v>1256</v>
      </c>
      <c r="C304" s="629">
        <v>0.9</v>
      </c>
      <c r="D304" s="731">
        <v>123488</v>
      </c>
      <c r="E304" s="731">
        <v>0</v>
      </c>
      <c r="F304" s="944">
        <v>8</v>
      </c>
      <c r="G304" s="629">
        <v>0</v>
      </c>
    </row>
    <row r="305" spans="1:11">
      <c r="A305" t="s">
        <v>188</v>
      </c>
      <c r="B305" t="s">
        <v>1873</v>
      </c>
      <c r="C305" s="629">
        <v>0.74060000000000004</v>
      </c>
      <c r="D305" s="731">
        <v>828130</v>
      </c>
      <c r="E305" s="731">
        <v>0</v>
      </c>
      <c r="F305" s="944">
        <v>12</v>
      </c>
      <c r="G305" s="629">
        <v>0</v>
      </c>
    </row>
    <row r="306" spans="1:11">
      <c r="A306" t="s">
        <v>189</v>
      </c>
      <c r="B306" t="s">
        <v>1</v>
      </c>
      <c r="C306" s="629">
        <v>1.04</v>
      </c>
      <c r="D306" s="731">
        <v>4591240</v>
      </c>
      <c r="E306" s="731">
        <v>348414</v>
      </c>
      <c r="F306" s="944">
        <v>12</v>
      </c>
      <c r="G306" s="629">
        <v>0</v>
      </c>
    </row>
    <row r="307" spans="1:11">
      <c r="A307" t="s">
        <v>1161</v>
      </c>
      <c r="B307" t="s">
        <v>2058</v>
      </c>
      <c r="C307" s="629">
        <v>1.04</v>
      </c>
      <c r="D307" s="731">
        <v>329547</v>
      </c>
      <c r="E307" s="731">
        <v>20040</v>
      </c>
      <c r="F307" s="944">
        <v>12</v>
      </c>
      <c r="G307" s="629">
        <v>0</v>
      </c>
    </row>
    <row r="308" spans="1:11">
      <c r="A308" t="s">
        <v>681</v>
      </c>
      <c r="B308" t="s">
        <v>1009</v>
      </c>
      <c r="C308" s="629">
        <v>1.04</v>
      </c>
      <c r="D308" s="731">
        <v>305069</v>
      </c>
      <c r="E308" s="731">
        <v>35878</v>
      </c>
      <c r="F308" s="944">
        <v>12</v>
      </c>
      <c r="G308" s="629">
        <v>0</v>
      </c>
    </row>
    <row r="309" spans="1:11">
      <c r="A309" t="s">
        <v>190</v>
      </c>
      <c r="B309" t="s">
        <v>2</v>
      </c>
      <c r="C309" s="629">
        <v>0.98699999999999999</v>
      </c>
      <c r="D309" s="731">
        <v>1142706</v>
      </c>
      <c r="E309" s="731">
        <v>106058</v>
      </c>
      <c r="F309" s="944">
        <v>12</v>
      </c>
      <c r="G309" s="629">
        <v>0</v>
      </c>
    </row>
    <row r="310" spans="1:11">
      <c r="A310" t="s">
        <v>191</v>
      </c>
      <c r="B310" t="s">
        <v>3</v>
      </c>
      <c r="C310" s="629">
        <v>1.17</v>
      </c>
      <c r="D310" s="731">
        <v>1367896</v>
      </c>
      <c r="E310" s="731">
        <v>104426</v>
      </c>
      <c r="F310" s="944">
        <v>12</v>
      </c>
      <c r="G310" s="629">
        <v>0</v>
      </c>
    </row>
    <row r="311" spans="1:11">
      <c r="A311" t="s">
        <v>1644</v>
      </c>
      <c r="B311" t="s">
        <v>4</v>
      </c>
      <c r="C311" s="629">
        <v>1.04</v>
      </c>
      <c r="D311" s="731">
        <v>859338</v>
      </c>
      <c r="E311" s="731">
        <v>164015</v>
      </c>
      <c r="F311" s="944">
        <v>12</v>
      </c>
      <c r="G311" s="629">
        <v>0</v>
      </c>
    </row>
    <row r="312" spans="1:11">
      <c r="A312" t="s">
        <v>1645</v>
      </c>
      <c r="B312" t="s">
        <v>5</v>
      </c>
      <c r="C312" s="629">
        <v>1.04</v>
      </c>
      <c r="D312" s="731">
        <v>1274418</v>
      </c>
      <c r="E312" s="731">
        <v>159458</v>
      </c>
      <c r="F312" s="944">
        <v>12</v>
      </c>
      <c r="G312" s="629">
        <v>0</v>
      </c>
    </row>
    <row r="313" spans="1:11">
      <c r="A313" t="s">
        <v>1162</v>
      </c>
      <c r="B313" t="s">
        <v>1913</v>
      </c>
      <c r="C313" s="629">
        <v>1.17</v>
      </c>
      <c r="D313" s="731">
        <v>864796</v>
      </c>
      <c r="E313" s="731">
        <v>51744</v>
      </c>
      <c r="F313" s="944">
        <v>12</v>
      </c>
      <c r="G313" s="629">
        <v>0</v>
      </c>
    </row>
    <row r="314" spans="1:11">
      <c r="A314" t="s">
        <v>2428</v>
      </c>
      <c r="B314" t="s">
        <v>434</v>
      </c>
      <c r="C314" s="629">
        <v>1.17</v>
      </c>
      <c r="D314" s="731">
        <v>2509707</v>
      </c>
      <c r="E314" s="731">
        <v>180145</v>
      </c>
      <c r="F314" s="944">
        <v>12</v>
      </c>
      <c r="G314" s="629">
        <v>0</v>
      </c>
    </row>
    <row r="315" spans="1:11">
      <c r="A315" t="s">
        <v>1601</v>
      </c>
      <c r="B315" t="s">
        <v>435</v>
      </c>
      <c r="C315" s="629">
        <v>1.04</v>
      </c>
      <c r="D315" s="731">
        <v>9340626</v>
      </c>
      <c r="E315" s="731">
        <v>272050</v>
      </c>
      <c r="F315" s="944">
        <v>12</v>
      </c>
      <c r="G315" s="629">
        <v>0</v>
      </c>
      <c r="H315" s="646">
        <v>1616039</v>
      </c>
      <c r="I315" s="646">
        <v>5245316</v>
      </c>
      <c r="J315" s="646">
        <v>2215</v>
      </c>
      <c r="K315" s="646">
        <v>408542329</v>
      </c>
    </row>
    <row r="316" spans="1:11">
      <c r="A316" t="s">
        <v>1602</v>
      </c>
      <c r="B316" t="s">
        <v>436</v>
      </c>
      <c r="C316" s="629">
        <v>1.04</v>
      </c>
      <c r="D316" s="731">
        <v>3163614</v>
      </c>
      <c r="E316" s="731">
        <v>530049</v>
      </c>
      <c r="F316" s="944">
        <v>12</v>
      </c>
      <c r="G316" s="629">
        <v>0</v>
      </c>
    </row>
    <row r="317" spans="1:11">
      <c r="A317" t="s">
        <v>873</v>
      </c>
      <c r="B317" t="s">
        <v>437</v>
      </c>
      <c r="C317" s="629">
        <v>1.04</v>
      </c>
      <c r="D317" s="731">
        <v>1727392</v>
      </c>
      <c r="E317" s="731">
        <v>0</v>
      </c>
      <c r="F317" s="944">
        <v>12</v>
      </c>
      <c r="G317" s="629">
        <v>0</v>
      </c>
      <c r="H317" s="646">
        <v>176308</v>
      </c>
      <c r="I317" s="646">
        <v>772119</v>
      </c>
      <c r="J317" s="629">
        <v>305</v>
      </c>
      <c r="K317" s="646">
        <v>44368711</v>
      </c>
    </row>
    <row r="318" spans="1:11">
      <c r="A318" t="s">
        <v>63</v>
      </c>
      <c r="B318" t="s">
        <v>167</v>
      </c>
      <c r="C318" s="629">
        <v>1.04</v>
      </c>
      <c r="D318" s="731">
        <v>3429312</v>
      </c>
      <c r="E318" s="731">
        <v>143155</v>
      </c>
      <c r="F318" s="944">
        <v>12</v>
      </c>
      <c r="G318" s="629">
        <v>0</v>
      </c>
      <c r="H318" s="646">
        <v>346771</v>
      </c>
      <c r="I318" s="646">
        <v>818739</v>
      </c>
      <c r="J318" s="629">
        <v>331</v>
      </c>
      <c r="K318" s="646">
        <v>144888134</v>
      </c>
    </row>
    <row r="319" spans="1:11">
      <c r="A319" t="s">
        <v>710</v>
      </c>
      <c r="B319" t="s">
        <v>980</v>
      </c>
      <c r="C319" s="629">
        <v>1.04</v>
      </c>
      <c r="D319" s="731">
        <v>647215</v>
      </c>
      <c r="E319" s="731">
        <v>44789</v>
      </c>
      <c r="F319" s="944">
        <v>12</v>
      </c>
      <c r="G319" s="629">
        <v>0</v>
      </c>
    </row>
    <row r="320" spans="1:11">
      <c r="A320" t="s">
        <v>2365</v>
      </c>
      <c r="B320" t="s">
        <v>573</v>
      </c>
      <c r="C320" s="629">
        <v>1.04</v>
      </c>
      <c r="D320" s="731">
        <v>654915</v>
      </c>
      <c r="E320" s="731">
        <v>22949</v>
      </c>
      <c r="F320" s="944">
        <v>12</v>
      </c>
      <c r="G320" s="629">
        <v>0</v>
      </c>
    </row>
    <row r="321" spans="1:11">
      <c r="A321" t="s">
        <v>590</v>
      </c>
      <c r="B321" t="s">
        <v>801</v>
      </c>
      <c r="C321" s="629">
        <v>1.04</v>
      </c>
      <c r="D321" s="731">
        <v>1418510</v>
      </c>
      <c r="E321" s="731">
        <v>0</v>
      </c>
      <c r="F321" s="944">
        <v>12</v>
      </c>
      <c r="G321" s="629">
        <v>0</v>
      </c>
    </row>
    <row r="322" spans="1:11">
      <c r="A322" t="s">
        <v>591</v>
      </c>
      <c r="B322" t="s">
        <v>802</v>
      </c>
      <c r="C322" s="629">
        <v>1.1399999999999999</v>
      </c>
      <c r="D322" s="731">
        <v>958889</v>
      </c>
      <c r="E322" s="731">
        <v>0</v>
      </c>
      <c r="F322" s="944">
        <v>12</v>
      </c>
      <c r="G322" s="629">
        <v>0</v>
      </c>
    </row>
    <row r="323" spans="1:11">
      <c r="A323" t="s">
        <v>592</v>
      </c>
      <c r="B323" t="s">
        <v>803</v>
      </c>
      <c r="C323" s="629">
        <v>1.17</v>
      </c>
      <c r="D323" s="731">
        <v>819830</v>
      </c>
      <c r="E323" s="731">
        <v>0</v>
      </c>
      <c r="F323" s="944">
        <v>12</v>
      </c>
      <c r="G323" s="629">
        <v>0</v>
      </c>
    </row>
    <row r="324" spans="1:11">
      <c r="A324" t="s">
        <v>593</v>
      </c>
      <c r="B324" t="s">
        <v>981</v>
      </c>
      <c r="C324" s="629">
        <v>1</v>
      </c>
      <c r="D324" s="731">
        <v>89666384</v>
      </c>
      <c r="E324" s="731">
        <v>15095421</v>
      </c>
      <c r="F324" s="944">
        <v>12</v>
      </c>
      <c r="G324" s="629">
        <v>0</v>
      </c>
    </row>
    <row r="325" spans="1:11">
      <c r="A325" t="s">
        <v>2400</v>
      </c>
      <c r="B325" t="s">
        <v>847</v>
      </c>
      <c r="C325" s="629">
        <v>1.04</v>
      </c>
      <c r="D325" s="731">
        <v>5659172</v>
      </c>
      <c r="E325" s="731">
        <v>701444</v>
      </c>
      <c r="F325" s="944">
        <v>12</v>
      </c>
      <c r="G325" s="629">
        <v>0</v>
      </c>
    </row>
    <row r="326" spans="1:11">
      <c r="A326" t="s">
        <v>1337</v>
      </c>
      <c r="B326" t="s">
        <v>103</v>
      </c>
      <c r="C326" s="629">
        <v>1.04</v>
      </c>
      <c r="D326" s="731">
        <v>214482185</v>
      </c>
      <c r="E326" s="731">
        <v>38580861</v>
      </c>
      <c r="F326" s="944">
        <v>12</v>
      </c>
      <c r="G326" s="629">
        <v>0</v>
      </c>
    </row>
    <row r="327" spans="1:11">
      <c r="A327" t="s">
        <v>594</v>
      </c>
      <c r="B327" t="s">
        <v>805</v>
      </c>
      <c r="C327" s="629">
        <v>1.04</v>
      </c>
      <c r="D327" s="731">
        <v>464489</v>
      </c>
      <c r="E327" s="731">
        <v>76667</v>
      </c>
      <c r="F327" s="944">
        <v>6</v>
      </c>
      <c r="G327" s="629">
        <v>0</v>
      </c>
    </row>
    <row r="328" spans="1:11">
      <c r="A328" t="s">
        <v>2193</v>
      </c>
      <c r="B328" t="s">
        <v>982</v>
      </c>
      <c r="C328" s="629">
        <v>1.0338000000000001</v>
      </c>
      <c r="D328" s="731">
        <v>20421356</v>
      </c>
      <c r="E328" s="731">
        <v>2967334</v>
      </c>
      <c r="F328" s="944">
        <v>12</v>
      </c>
      <c r="G328" s="629">
        <v>0</v>
      </c>
      <c r="H328" s="646">
        <v>1475284</v>
      </c>
      <c r="I328" s="646">
        <v>4824891</v>
      </c>
      <c r="J328" s="646">
        <v>1990</v>
      </c>
      <c r="K328" s="646">
        <v>655145179</v>
      </c>
    </row>
    <row r="329" spans="1:11">
      <c r="A329" t="s">
        <v>1900</v>
      </c>
      <c r="B329" t="s">
        <v>807</v>
      </c>
      <c r="C329" s="629">
        <v>0.99019999999999997</v>
      </c>
      <c r="D329" s="731">
        <v>8221161</v>
      </c>
      <c r="E329" s="731">
        <v>769</v>
      </c>
      <c r="F329" s="944">
        <v>12</v>
      </c>
      <c r="G329" s="629">
        <v>0</v>
      </c>
      <c r="H329" s="646">
        <v>410094</v>
      </c>
      <c r="I329" s="646">
        <v>3833481</v>
      </c>
      <c r="J329" s="646">
        <v>1657</v>
      </c>
      <c r="K329" s="646">
        <v>290351874</v>
      </c>
    </row>
    <row r="330" spans="1:11">
      <c r="A330" t="s">
        <v>1227</v>
      </c>
      <c r="B330" t="s">
        <v>808</v>
      </c>
      <c r="C330" s="629">
        <v>1.04</v>
      </c>
      <c r="D330" s="731">
        <v>24622292</v>
      </c>
      <c r="E330" s="731">
        <v>2020314</v>
      </c>
      <c r="F330" s="944">
        <v>12</v>
      </c>
      <c r="G330" s="629">
        <v>0</v>
      </c>
      <c r="H330" s="646">
        <v>919201</v>
      </c>
      <c r="I330" s="646">
        <v>4549718</v>
      </c>
      <c r="J330" s="646">
        <v>1902</v>
      </c>
      <c r="K330" s="646">
        <v>536298051</v>
      </c>
    </row>
    <row r="331" spans="1:11">
      <c r="A331" t="s">
        <v>1812</v>
      </c>
      <c r="B331" t="s">
        <v>809</v>
      </c>
      <c r="C331" s="629">
        <v>1.04</v>
      </c>
      <c r="D331" s="731">
        <v>16117414</v>
      </c>
      <c r="E331" s="731">
        <v>197653</v>
      </c>
      <c r="F331" s="944">
        <v>12</v>
      </c>
      <c r="G331" s="629">
        <v>0</v>
      </c>
      <c r="H331" s="646">
        <v>829371</v>
      </c>
      <c r="I331" s="646">
        <v>3235404</v>
      </c>
      <c r="J331" s="646">
        <v>1350</v>
      </c>
      <c r="K331" s="646">
        <v>380294864</v>
      </c>
    </row>
    <row r="332" spans="1:11">
      <c r="A332" t="s">
        <v>1817</v>
      </c>
      <c r="B332" t="s">
        <v>810</v>
      </c>
      <c r="C332" s="629">
        <v>1.04</v>
      </c>
      <c r="D332" s="731">
        <v>1291064</v>
      </c>
      <c r="E332" s="731">
        <v>58904</v>
      </c>
      <c r="F332" s="944">
        <v>12</v>
      </c>
      <c r="G332" s="629">
        <v>0</v>
      </c>
    </row>
    <row r="333" spans="1:11">
      <c r="A333" t="s">
        <v>1818</v>
      </c>
      <c r="B333" t="s">
        <v>811</v>
      </c>
      <c r="C333" s="629">
        <v>0.90669999999999995</v>
      </c>
      <c r="D333" s="731">
        <v>4378398</v>
      </c>
      <c r="E333" s="731">
        <v>0</v>
      </c>
      <c r="F333" s="944">
        <v>6</v>
      </c>
      <c r="G333" s="629">
        <v>0</v>
      </c>
      <c r="H333" s="646">
        <v>109899</v>
      </c>
      <c r="I333" s="646">
        <v>242631</v>
      </c>
      <c r="J333" s="629">
        <v>172</v>
      </c>
      <c r="K333" s="646">
        <v>27975404</v>
      </c>
    </row>
    <row r="334" spans="1:11">
      <c r="A334" t="s">
        <v>1163</v>
      </c>
      <c r="B334" t="s">
        <v>2057</v>
      </c>
      <c r="C334" s="629">
        <v>1.17</v>
      </c>
      <c r="D334" s="731">
        <v>1187146</v>
      </c>
      <c r="E334" s="731">
        <v>81261</v>
      </c>
      <c r="F334" s="944">
        <v>12</v>
      </c>
      <c r="G334" s="629">
        <v>0</v>
      </c>
    </row>
    <row r="335" spans="1:11">
      <c r="A335" t="s">
        <v>2366</v>
      </c>
      <c r="B335" t="s">
        <v>2448</v>
      </c>
      <c r="C335" s="629">
        <v>1.17</v>
      </c>
      <c r="D335" s="731">
        <v>4352235</v>
      </c>
      <c r="E335" s="731">
        <v>413369</v>
      </c>
      <c r="F335" s="944">
        <v>12</v>
      </c>
      <c r="G335" s="629">
        <v>0</v>
      </c>
    </row>
    <row r="336" spans="1:11">
      <c r="A336" t="s">
        <v>1819</v>
      </c>
      <c r="B336" t="s">
        <v>812</v>
      </c>
      <c r="C336" s="629">
        <v>0.95650000000000002</v>
      </c>
      <c r="D336" s="731">
        <v>1997982</v>
      </c>
      <c r="E336" s="731">
        <v>0</v>
      </c>
      <c r="F336" s="944">
        <v>12</v>
      </c>
      <c r="G336" s="629">
        <v>0</v>
      </c>
    </row>
    <row r="337" spans="1:11">
      <c r="A337" t="s">
        <v>1991</v>
      </c>
      <c r="B337" t="s">
        <v>498</v>
      </c>
      <c r="C337" s="629">
        <v>0.84</v>
      </c>
      <c r="D337" s="731">
        <v>3729226</v>
      </c>
      <c r="E337" s="731">
        <v>367999</v>
      </c>
      <c r="F337" s="944">
        <v>12</v>
      </c>
      <c r="G337" s="629">
        <v>0</v>
      </c>
      <c r="H337" s="646">
        <v>910830</v>
      </c>
      <c r="I337" s="646">
        <v>565575</v>
      </c>
      <c r="J337" s="629">
        <v>242.755</v>
      </c>
      <c r="K337" s="646">
        <v>302151921</v>
      </c>
    </row>
    <row r="338" spans="1:11">
      <c r="A338" t="s">
        <v>2053</v>
      </c>
      <c r="B338" t="s">
        <v>499</v>
      </c>
      <c r="C338" s="629">
        <v>0.72</v>
      </c>
      <c r="D338" s="731">
        <v>29897170</v>
      </c>
      <c r="E338" s="731">
        <v>1313757</v>
      </c>
      <c r="F338" s="944">
        <v>12</v>
      </c>
      <c r="G338" s="629">
        <v>0</v>
      </c>
      <c r="H338" s="646">
        <v>6590227</v>
      </c>
      <c r="I338" s="646">
        <v>6438445</v>
      </c>
      <c r="J338" s="646">
        <v>2494</v>
      </c>
      <c r="K338" s="646">
        <v>3513141454</v>
      </c>
    </row>
    <row r="339" spans="1:11">
      <c r="A339" t="s">
        <v>1880</v>
      </c>
      <c r="B339" t="s">
        <v>345</v>
      </c>
      <c r="C339" s="629">
        <v>1.04</v>
      </c>
      <c r="D339" s="731">
        <v>22641678</v>
      </c>
      <c r="E339" s="731">
        <v>6933015</v>
      </c>
      <c r="F339" s="944">
        <v>12</v>
      </c>
      <c r="G339" s="629">
        <v>0</v>
      </c>
    </row>
    <row r="340" spans="1:11">
      <c r="A340" t="s">
        <v>2108</v>
      </c>
      <c r="B340" t="s">
        <v>346</v>
      </c>
      <c r="C340" s="629">
        <v>1.04</v>
      </c>
      <c r="D340" s="731">
        <v>50721094</v>
      </c>
      <c r="E340" s="731">
        <v>6380979</v>
      </c>
      <c r="F340" s="944">
        <v>12</v>
      </c>
      <c r="G340" s="629">
        <v>0</v>
      </c>
      <c r="H340" s="646">
        <v>10790350</v>
      </c>
      <c r="I340" s="646">
        <v>29443627</v>
      </c>
      <c r="J340" s="646">
        <v>12360</v>
      </c>
      <c r="K340" s="646">
        <v>2200339956</v>
      </c>
    </row>
    <row r="341" spans="1:11">
      <c r="A341" t="s">
        <v>1762</v>
      </c>
      <c r="B341" t="s">
        <v>2242</v>
      </c>
      <c r="C341" s="629">
        <v>1.17</v>
      </c>
      <c r="D341" s="731">
        <v>1506135</v>
      </c>
      <c r="E341" s="731">
        <v>157082</v>
      </c>
      <c r="F341" s="944">
        <v>12</v>
      </c>
      <c r="G341" s="629">
        <v>0</v>
      </c>
      <c r="H341" s="646">
        <v>356061</v>
      </c>
      <c r="I341" s="646">
        <v>1151091</v>
      </c>
      <c r="J341" s="629">
        <v>269</v>
      </c>
      <c r="K341" s="646">
        <v>69178176</v>
      </c>
    </row>
    <row r="342" spans="1:11">
      <c r="A342" t="s">
        <v>717</v>
      </c>
      <c r="B342" t="s">
        <v>347</v>
      </c>
      <c r="C342" s="629">
        <v>1.04</v>
      </c>
      <c r="D342" s="731">
        <v>15854450</v>
      </c>
      <c r="E342" s="731">
        <v>2785771</v>
      </c>
      <c r="F342" s="944">
        <v>12</v>
      </c>
      <c r="G342" s="629">
        <v>0</v>
      </c>
    </row>
    <row r="343" spans="1:11">
      <c r="A343" t="s">
        <v>718</v>
      </c>
      <c r="B343" t="s">
        <v>348</v>
      </c>
      <c r="C343" s="629">
        <v>1.04</v>
      </c>
      <c r="D343" s="731">
        <v>44320693</v>
      </c>
      <c r="E343" s="731">
        <v>2896555</v>
      </c>
      <c r="F343" s="944">
        <v>12</v>
      </c>
      <c r="G343" s="629">
        <v>0</v>
      </c>
      <c r="H343" s="646">
        <v>9366681</v>
      </c>
      <c r="I343" s="646">
        <v>15881944</v>
      </c>
      <c r="J343" s="646">
        <v>6710</v>
      </c>
      <c r="K343" s="646">
        <v>2818421929</v>
      </c>
    </row>
    <row r="344" spans="1:11">
      <c r="A344" t="s">
        <v>2319</v>
      </c>
      <c r="B344" t="s">
        <v>349</v>
      </c>
      <c r="C344" s="629">
        <v>1.04</v>
      </c>
      <c r="D344" s="731">
        <v>5324030</v>
      </c>
      <c r="E344" s="731">
        <v>818366</v>
      </c>
      <c r="F344" s="944">
        <v>12</v>
      </c>
      <c r="G344" s="629">
        <v>0</v>
      </c>
    </row>
    <row r="345" spans="1:11">
      <c r="A345" t="s">
        <v>463</v>
      </c>
      <c r="B345" t="s">
        <v>83</v>
      </c>
      <c r="C345" s="629">
        <v>1.04</v>
      </c>
      <c r="D345" s="731">
        <v>9748187</v>
      </c>
      <c r="E345" s="731">
        <v>1012089</v>
      </c>
      <c r="F345" s="944">
        <v>12</v>
      </c>
      <c r="G345" s="629">
        <v>0</v>
      </c>
    </row>
    <row r="346" spans="1:11">
      <c r="A346" t="s">
        <v>2320</v>
      </c>
      <c r="B346" t="s">
        <v>350</v>
      </c>
      <c r="C346" s="629">
        <v>1</v>
      </c>
      <c r="D346" s="731">
        <v>145230162</v>
      </c>
      <c r="E346" s="731">
        <v>37819292</v>
      </c>
      <c r="F346" s="944">
        <v>12</v>
      </c>
      <c r="G346" s="629">
        <v>0</v>
      </c>
      <c r="H346" s="646">
        <v>22938534</v>
      </c>
      <c r="I346" s="646">
        <v>60035110</v>
      </c>
      <c r="J346" s="646">
        <v>25162</v>
      </c>
      <c r="K346" s="646">
        <v>6435702225</v>
      </c>
    </row>
    <row r="347" spans="1:11">
      <c r="A347" t="s">
        <v>1339</v>
      </c>
      <c r="B347" t="s">
        <v>1388</v>
      </c>
      <c r="C347" s="629">
        <v>1.04</v>
      </c>
      <c r="D347" s="731">
        <v>20919765</v>
      </c>
      <c r="E347" s="731">
        <v>2446382</v>
      </c>
      <c r="F347" s="944">
        <v>12</v>
      </c>
      <c r="G347" s="629">
        <v>0</v>
      </c>
    </row>
    <row r="348" spans="1:11">
      <c r="A348" t="s">
        <v>1574</v>
      </c>
      <c r="B348" t="s">
        <v>351</v>
      </c>
      <c r="C348" s="629">
        <v>0.98240000000000005</v>
      </c>
      <c r="D348" s="731">
        <v>6458367</v>
      </c>
      <c r="E348" s="731">
        <v>0</v>
      </c>
      <c r="F348" s="944">
        <v>12</v>
      </c>
      <c r="G348" s="629">
        <v>0</v>
      </c>
      <c r="H348" s="646">
        <v>1861894</v>
      </c>
      <c r="I348" s="646">
        <v>3605449</v>
      </c>
      <c r="J348" s="646">
        <v>1552</v>
      </c>
      <c r="K348" s="646">
        <v>403106664</v>
      </c>
    </row>
    <row r="349" spans="1:11">
      <c r="A349" t="s">
        <v>1575</v>
      </c>
      <c r="B349" t="s">
        <v>352</v>
      </c>
      <c r="C349" s="629">
        <v>1.04</v>
      </c>
      <c r="D349" s="731">
        <v>626950</v>
      </c>
      <c r="E349" s="731">
        <v>0</v>
      </c>
      <c r="F349" s="944">
        <v>12</v>
      </c>
      <c r="G349" s="629">
        <v>0</v>
      </c>
    </row>
    <row r="350" spans="1:11">
      <c r="A350" t="s">
        <v>1769</v>
      </c>
      <c r="B350" t="s">
        <v>983</v>
      </c>
      <c r="C350" s="629">
        <v>0.92669999999999997</v>
      </c>
      <c r="D350" s="731">
        <v>253451</v>
      </c>
      <c r="E350" s="731">
        <v>0</v>
      </c>
      <c r="F350" s="944">
        <v>8</v>
      </c>
      <c r="G350" s="629">
        <v>31</v>
      </c>
    </row>
    <row r="351" spans="1:11">
      <c r="A351" t="s">
        <v>1366</v>
      </c>
      <c r="B351" t="s">
        <v>354</v>
      </c>
      <c r="C351" s="629">
        <v>1.04</v>
      </c>
      <c r="D351" s="731">
        <v>21733142</v>
      </c>
      <c r="E351" s="731">
        <v>2057958</v>
      </c>
      <c r="F351" s="944">
        <v>12</v>
      </c>
      <c r="G351" s="629">
        <v>0</v>
      </c>
      <c r="H351" s="646">
        <v>2250097</v>
      </c>
      <c r="I351" s="646">
        <v>6906197</v>
      </c>
      <c r="J351" s="646">
        <v>2931</v>
      </c>
      <c r="K351" s="646">
        <v>471731276</v>
      </c>
    </row>
    <row r="352" spans="1:11">
      <c r="A352" t="s">
        <v>2041</v>
      </c>
      <c r="B352" t="s">
        <v>1688</v>
      </c>
      <c r="C352" s="629">
        <v>1.04</v>
      </c>
      <c r="D352" s="731">
        <v>2905014</v>
      </c>
      <c r="E352" s="731">
        <v>0</v>
      </c>
      <c r="F352" s="944">
        <v>12</v>
      </c>
      <c r="G352" s="629">
        <v>0</v>
      </c>
    </row>
    <row r="353" spans="1:11">
      <c r="A353" t="s">
        <v>2042</v>
      </c>
      <c r="B353" t="s">
        <v>1689</v>
      </c>
      <c r="C353" s="629">
        <v>1.0173000000000001</v>
      </c>
      <c r="D353" s="731">
        <v>8247139</v>
      </c>
      <c r="E353" s="731">
        <v>666084</v>
      </c>
      <c r="F353" s="944">
        <v>12</v>
      </c>
      <c r="G353" s="629">
        <v>0</v>
      </c>
      <c r="H353" s="646">
        <v>931941</v>
      </c>
      <c r="I353" s="646">
        <v>1794100</v>
      </c>
      <c r="J353" s="629">
        <v>672</v>
      </c>
      <c r="K353" s="646">
        <v>336225484</v>
      </c>
    </row>
    <row r="354" spans="1:11">
      <c r="A354" t="s">
        <v>2298</v>
      </c>
      <c r="B354" t="s">
        <v>1690</v>
      </c>
      <c r="C354" s="629">
        <v>1.0149999999999999</v>
      </c>
      <c r="D354" s="731">
        <v>11707016</v>
      </c>
      <c r="E354" s="731">
        <v>1101251</v>
      </c>
      <c r="F354" s="944">
        <v>12</v>
      </c>
      <c r="G354" s="629">
        <v>0</v>
      </c>
      <c r="H354" s="646">
        <v>945546</v>
      </c>
      <c r="I354" s="646">
        <v>4400587</v>
      </c>
      <c r="J354" s="646">
        <v>1760</v>
      </c>
      <c r="K354" s="646">
        <v>401520956</v>
      </c>
    </row>
    <row r="355" spans="1:11">
      <c r="A355" t="s">
        <v>859</v>
      </c>
      <c r="B355" t="s">
        <v>814</v>
      </c>
      <c r="C355" s="629">
        <v>0.93569999999999998</v>
      </c>
      <c r="D355" s="731">
        <v>4728360</v>
      </c>
      <c r="E355" s="731">
        <v>291296</v>
      </c>
      <c r="F355" s="944">
        <v>12</v>
      </c>
      <c r="G355" s="629">
        <v>0</v>
      </c>
    </row>
    <row r="356" spans="1:11">
      <c r="A356" t="s">
        <v>2299</v>
      </c>
      <c r="B356" t="s">
        <v>984</v>
      </c>
      <c r="C356" s="629">
        <v>0.995</v>
      </c>
      <c r="D356" s="731">
        <v>1600165</v>
      </c>
      <c r="E356" s="731">
        <v>44827</v>
      </c>
      <c r="F356" s="944">
        <v>12</v>
      </c>
      <c r="G356" s="629">
        <v>0</v>
      </c>
    </row>
    <row r="357" spans="1:11">
      <c r="A357" t="s">
        <v>2300</v>
      </c>
      <c r="B357" t="s">
        <v>1356</v>
      </c>
      <c r="C357" s="629">
        <v>1.0133000000000001</v>
      </c>
      <c r="D357" s="731">
        <v>1068891</v>
      </c>
      <c r="E357" s="731">
        <v>0</v>
      </c>
      <c r="F357" s="944">
        <v>12</v>
      </c>
      <c r="G357" s="629">
        <v>0</v>
      </c>
    </row>
    <row r="358" spans="1:11">
      <c r="A358" t="s">
        <v>1748</v>
      </c>
      <c r="B358" t="s">
        <v>1357</v>
      </c>
      <c r="C358" s="629">
        <v>1.04</v>
      </c>
      <c r="D358" s="731">
        <v>1367173</v>
      </c>
      <c r="E358" s="731">
        <v>0</v>
      </c>
      <c r="F358" s="944">
        <v>12</v>
      </c>
      <c r="G358" s="629">
        <v>0</v>
      </c>
      <c r="H358" s="646">
        <v>526166</v>
      </c>
      <c r="I358" s="646">
        <v>566242</v>
      </c>
      <c r="J358" s="629">
        <v>236</v>
      </c>
      <c r="K358" s="646">
        <v>124593922</v>
      </c>
    </row>
    <row r="359" spans="1:11">
      <c r="A359" t="s">
        <v>1749</v>
      </c>
      <c r="B359" t="s">
        <v>1358</v>
      </c>
      <c r="C359" s="629">
        <v>1.04</v>
      </c>
      <c r="D359" s="731">
        <v>1518261</v>
      </c>
      <c r="E359" s="731">
        <v>0</v>
      </c>
      <c r="F359" s="944">
        <v>12</v>
      </c>
      <c r="G359" s="629">
        <v>0</v>
      </c>
      <c r="H359" s="646">
        <v>254644</v>
      </c>
      <c r="I359" s="646">
        <v>788352</v>
      </c>
      <c r="J359" s="629">
        <v>301</v>
      </c>
      <c r="K359" s="646">
        <v>55660682</v>
      </c>
    </row>
    <row r="360" spans="1:11">
      <c r="A360" t="s">
        <v>1908</v>
      </c>
      <c r="B360" t="s">
        <v>1288</v>
      </c>
      <c r="C360" s="629">
        <v>1.04</v>
      </c>
      <c r="D360" s="731">
        <v>10726428</v>
      </c>
      <c r="E360" s="731">
        <v>590834</v>
      </c>
      <c r="F360" s="944">
        <v>12</v>
      </c>
      <c r="G360" s="629">
        <v>0</v>
      </c>
    </row>
    <row r="361" spans="1:11">
      <c r="A361" t="s">
        <v>1920</v>
      </c>
      <c r="B361" t="s">
        <v>1359</v>
      </c>
      <c r="C361" s="629">
        <v>1.04</v>
      </c>
      <c r="D361" s="731">
        <v>1177394</v>
      </c>
      <c r="E361" s="731">
        <v>0</v>
      </c>
      <c r="F361" s="944">
        <v>6</v>
      </c>
      <c r="G361" s="629">
        <v>0</v>
      </c>
      <c r="H361" s="646">
        <v>326633</v>
      </c>
      <c r="I361" s="646">
        <v>119831</v>
      </c>
      <c r="J361" s="629">
        <v>62</v>
      </c>
      <c r="K361" s="646">
        <v>80544098</v>
      </c>
    </row>
    <row r="362" spans="1:11">
      <c r="A362" t="s">
        <v>1590</v>
      </c>
      <c r="B362" t="s">
        <v>1469</v>
      </c>
      <c r="C362" s="629">
        <v>1.17</v>
      </c>
      <c r="D362" s="731">
        <v>1511686</v>
      </c>
      <c r="E362" s="731">
        <v>151800</v>
      </c>
      <c r="F362" s="944">
        <v>12</v>
      </c>
      <c r="G362" s="629">
        <v>0</v>
      </c>
    </row>
    <row r="363" spans="1:11">
      <c r="A363" t="s">
        <v>928</v>
      </c>
      <c r="B363" t="s">
        <v>1360</v>
      </c>
      <c r="C363" s="629">
        <v>1.04</v>
      </c>
      <c r="D363" s="731">
        <v>1198280</v>
      </c>
      <c r="E363" s="731">
        <v>78123</v>
      </c>
      <c r="F363" s="944">
        <v>12</v>
      </c>
      <c r="G363" s="629">
        <v>0</v>
      </c>
    </row>
    <row r="364" spans="1:11">
      <c r="A364" t="s">
        <v>929</v>
      </c>
      <c r="B364" t="s">
        <v>1361</v>
      </c>
      <c r="C364" s="629">
        <v>1.04</v>
      </c>
      <c r="D364" s="731">
        <v>11898915</v>
      </c>
      <c r="E364" s="731">
        <v>1075912</v>
      </c>
      <c r="F364" s="944">
        <v>12</v>
      </c>
      <c r="G364" s="629">
        <v>0</v>
      </c>
    </row>
    <row r="365" spans="1:11">
      <c r="A365" t="s">
        <v>1050</v>
      </c>
      <c r="B365" t="s">
        <v>2247</v>
      </c>
      <c r="C365" s="629">
        <v>1.04</v>
      </c>
      <c r="D365" s="731">
        <v>1918845</v>
      </c>
      <c r="E365" s="731">
        <v>475598</v>
      </c>
      <c r="F365" s="944">
        <v>12</v>
      </c>
      <c r="G365" s="629">
        <v>0</v>
      </c>
    </row>
    <row r="366" spans="1:11">
      <c r="A366" t="s">
        <v>748</v>
      </c>
      <c r="B366" t="s">
        <v>1556</v>
      </c>
      <c r="C366" s="629">
        <v>1.04</v>
      </c>
      <c r="D366" s="731">
        <v>21594828</v>
      </c>
      <c r="E366" s="731">
        <v>4814977</v>
      </c>
      <c r="F366" s="944">
        <v>12</v>
      </c>
      <c r="G366" s="629">
        <v>0</v>
      </c>
    </row>
    <row r="367" spans="1:11">
      <c r="A367" t="s">
        <v>749</v>
      </c>
      <c r="B367" t="s">
        <v>1557</v>
      </c>
      <c r="C367" s="629">
        <v>1.04</v>
      </c>
      <c r="D367" s="731">
        <v>672684</v>
      </c>
      <c r="E367" s="731">
        <v>212766</v>
      </c>
      <c r="F367" s="944">
        <v>8</v>
      </c>
      <c r="G367" s="629">
        <v>0</v>
      </c>
    </row>
    <row r="368" spans="1:11">
      <c r="A368" t="s">
        <v>1164</v>
      </c>
      <c r="B368" t="s">
        <v>2232</v>
      </c>
      <c r="C368" s="629">
        <v>1.04</v>
      </c>
      <c r="D368" s="731">
        <v>3690191</v>
      </c>
      <c r="E368" s="731">
        <v>1025198</v>
      </c>
      <c r="F368" s="944">
        <v>12</v>
      </c>
      <c r="G368" s="629">
        <v>0</v>
      </c>
    </row>
    <row r="369" spans="1:11">
      <c r="A369" t="s">
        <v>1165</v>
      </c>
      <c r="B369" t="s">
        <v>1259</v>
      </c>
      <c r="C369" s="629">
        <v>1.17</v>
      </c>
      <c r="D369" s="731">
        <v>4440083</v>
      </c>
      <c r="E369" s="731">
        <v>564289</v>
      </c>
      <c r="F369" s="944">
        <v>12</v>
      </c>
      <c r="G369" s="629">
        <v>0</v>
      </c>
    </row>
    <row r="370" spans="1:11">
      <c r="A370" t="s">
        <v>1377</v>
      </c>
      <c r="B370" t="s">
        <v>1558</v>
      </c>
      <c r="C370" s="629">
        <v>1.1399999999999999</v>
      </c>
      <c r="D370" s="731">
        <v>1544119</v>
      </c>
      <c r="E370" s="731">
        <v>290048</v>
      </c>
      <c r="F370" s="944">
        <v>12</v>
      </c>
      <c r="G370" s="629">
        <v>0</v>
      </c>
    </row>
    <row r="371" spans="1:11">
      <c r="A371" t="s">
        <v>201</v>
      </c>
      <c r="B371" t="s">
        <v>1981</v>
      </c>
      <c r="C371" s="629">
        <v>1.04</v>
      </c>
      <c r="D371" s="731">
        <v>6177630</v>
      </c>
      <c r="E371" s="731">
        <v>1100541</v>
      </c>
      <c r="F371" s="944">
        <v>12</v>
      </c>
      <c r="G371" s="629">
        <v>0</v>
      </c>
      <c r="H371" s="646">
        <v>304077</v>
      </c>
      <c r="I371" s="646">
        <v>3390093</v>
      </c>
      <c r="J371" s="646">
        <v>1408</v>
      </c>
      <c r="K371" s="646">
        <v>223170818</v>
      </c>
    </row>
    <row r="372" spans="1:11">
      <c r="A372" t="s">
        <v>2439</v>
      </c>
      <c r="B372" t="s">
        <v>985</v>
      </c>
      <c r="C372" s="629">
        <v>1.0347</v>
      </c>
      <c r="D372" s="731">
        <v>3348370</v>
      </c>
      <c r="E372" s="731">
        <v>617969</v>
      </c>
      <c r="F372" s="944">
        <v>12</v>
      </c>
      <c r="G372" s="629">
        <v>0</v>
      </c>
    </row>
    <row r="373" spans="1:11">
      <c r="A373" t="s">
        <v>1232</v>
      </c>
      <c r="B373" t="s">
        <v>1636</v>
      </c>
      <c r="C373" s="629">
        <v>1.04</v>
      </c>
      <c r="D373" s="731">
        <v>1716232</v>
      </c>
      <c r="E373" s="731">
        <v>585847</v>
      </c>
      <c r="F373" s="944">
        <v>12</v>
      </c>
      <c r="G373" s="629">
        <v>0</v>
      </c>
    </row>
    <row r="374" spans="1:11">
      <c r="A374" t="s">
        <v>1211</v>
      </c>
      <c r="B374" t="s">
        <v>208</v>
      </c>
      <c r="C374" s="629">
        <v>1.04</v>
      </c>
      <c r="D374" s="731">
        <v>1423217</v>
      </c>
      <c r="E374" s="731">
        <v>160119</v>
      </c>
      <c r="F374" s="944">
        <v>12</v>
      </c>
      <c r="G374" s="629">
        <v>0</v>
      </c>
    </row>
    <row r="375" spans="1:11">
      <c r="A375" t="s">
        <v>1212</v>
      </c>
      <c r="B375" t="s">
        <v>209</v>
      </c>
      <c r="C375" s="629">
        <v>1.04</v>
      </c>
      <c r="D375" s="731">
        <v>5376117</v>
      </c>
      <c r="E375" s="731">
        <v>156154</v>
      </c>
      <c r="F375" s="944">
        <v>12</v>
      </c>
      <c r="G375" s="629">
        <v>0</v>
      </c>
    </row>
    <row r="376" spans="1:11">
      <c r="A376" t="s">
        <v>1213</v>
      </c>
      <c r="B376" t="s">
        <v>210</v>
      </c>
      <c r="C376" s="629">
        <v>1.04</v>
      </c>
      <c r="D376" s="731">
        <v>14042938</v>
      </c>
      <c r="E376" s="731">
        <v>1053912</v>
      </c>
      <c r="F376" s="944">
        <v>12</v>
      </c>
      <c r="G376" s="629">
        <v>0</v>
      </c>
    </row>
    <row r="377" spans="1:11">
      <c r="A377" t="s">
        <v>432</v>
      </c>
      <c r="B377" t="s">
        <v>2007</v>
      </c>
      <c r="C377" s="629">
        <v>1.04</v>
      </c>
      <c r="D377" s="731">
        <v>36232304</v>
      </c>
      <c r="E377" s="731">
        <v>2989590</v>
      </c>
      <c r="F377" s="944">
        <v>12</v>
      </c>
      <c r="G377" s="629">
        <v>0</v>
      </c>
      <c r="H377" s="646">
        <v>3883372</v>
      </c>
      <c r="I377" s="646">
        <v>22991400</v>
      </c>
      <c r="J377" s="646">
        <v>9816</v>
      </c>
      <c r="K377" s="646">
        <v>1557044786</v>
      </c>
    </row>
    <row r="378" spans="1:11">
      <c r="A378" t="s">
        <v>2066</v>
      </c>
      <c r="B378" t="s">
        <v>211</v>
      </c>
      <c r="C378" s="629">
        <v>1.04</v>
      </c>
      <c r="D378" s="731">
        <v>16297616</v>
      </c>
      <c r="E378" s="731">
        <v>3213276</v>
      </c>
      <c r="F378" s="944">
        <v>12</v>
      </c>
      <c r="G378" s="629">
        <v>0</v>
      </c>
    </row>
    <row r="379" spans="1:11">
      <c r="A379" t="s">
        <v>2494</v>
      </c>
      <c r="B379" t="s">
        <v>212</v>
      </c>
      <c r="C379" s="629">
        <v>1.04</v>
      </c>
      <c r="D379" s="731">
        <v>3241433</v>
      </c>
      <c r="E379" s="731">
        <v>0</v>
      </c>
      <c r="F379" s="944">
        <v>12</v>
      </c>
      <c r="G379" s="629">
        <v>0</v>
      </c>
    </row>
    <row r="380" spans="1:11">
      <c r="A380" t="s">
        <v>1420</v>
      </c>
      <c r="B380" t="s">
        <v>1829</v>
      </c>
      <c r="C380" s="629">
        <v>1.04</v>
      </c>
      <c r="D380" s="731">
        <v>4064530</v>
      </c>
      <c r="E380" s="731">
        <v>449031</v>
      </c>
      <c r="F380" s="944">
        <v>12</v>
      </c>
      <c r="G380" s="629">
        <v>0</v>
      </c>
    </row>
    <row r="381" spans="1:11">
      <c r="A381" t="s">
        <v>2495</v>
      </c>
      <c r="B381" t="s">
        <v>213</v>
      </c>
      <c r="C381" s="629">
        <v>1.04</v>
      </c>
      <c r="D381" s="731">
        <v>3477357</v>
      </c>
      <c r="E381" s="731">
        <v>212964</v>
      </c>
      <c r="F381" s="944">
        <v>12</v>
      </c>
      <c r="G381" s="629">
        <v>0</v>
      </c>
    </row>
    <row r="382" spans="1:11">
      <c r="A382" t="s">
        <v>2496</v>
      </c>
      <c r="B382" t="s">
        <v>986</v>
      </c>
      <c r="C382" s="629">
        <v>1.04</v>
      </c>
      <c r="D382" s="731">
        <v>4175475</v>
      </c>
      <c r="E382" s="731">
        <v>279438</v>
      </c>
      <c r="F382" s="944">
        <v>12</v>
      </c>
      <c r="G382" s="629">
        <v>0</v>
      </c>
      <c r="H382" s="646">
        <v>184885</v>
      </c>
      <c r="I382" s="646">
        <v>1665169</v>
      </c>
      <c r="J382" s="629">
        <v>654</v>
      </c>
      <c r="K382" s="646">
        <v>115502904</v>
      </c>
    </row>
    <row r="383" spans="1:11">
      <c r="A383" t="s">
        <v>2497</v>
      </c>
      <c r="B383" t="s">
        <v>215</v>
      </c>
      <c r="C383" s="629">
        <v>1.04</v>
      </c>
      <c r="D383" s="731">
        <v>1169267</v>
      </c>
      <c r="E383" s="731">
        <v>0</v>
      </c>
      <c r="F383" s="944">
        <v>12</v>
      </c>
      <c r="G383" s="629">
        <v>0</v>
      </c>
    </row>
    <row r="384" spans="1:11">
      <c r="A384" t="s">
        <v>2498</v>
      </c>
      <c r="B384" t="s">
        <v>216</v>
      </c>
      <c r="C384" s="629">
        <v>1.04</v>
      </c>
      <c r="D384" s="731">
        <v>10412214</v>
      </c>
      <c r="E384" s="731">
        <v>1860012</v>
      </c>
      <c r="F384" s="944">
        <v>12</v>
      </c>
      <c r="G384" s="629">
        <v>0</v>
      </c>
    </row>
    <row r="385" spans="1:11">
      <c r="A385" t="s">
        <v>2023</v>
      </c>
      <c r="B385" t="s">
        <v>217</v>
      </c>
      <c r="C385" s="629">
        <v>1.04</v>
      </c>
      <c r="D385" s="731">
        <v>1095969</v>
      </c>
      <c r="E385" s="731">
        <v>0</v>
      </c>
      <c r="F385" s="944">
        <v>12</v>
      </c>
      <c r="G385" s="629">
        <v>0</v>
      </c>
      <c r="H385" s="646">
        <v>91250</v>
      </c>
      <c r="I385" s="646">
        <v>569086</v>
      </c>
      <c r="J385" s="629">
        <v>271</v>
      </c>
      <c r="K385" s="646">
        <v>26479877</v>
      </c>
    </row>
    <row r="386" spans="1:11">
      <c r="A386" t="s">
        <v>467</v>
      </c>
      <c r="B386" t="s">
        <v>1175</v>
      </c>
      <c r="C386" s="629">
        <v>1.04</v>
      </c>
      <c r="D386" s="731">
        <v>23921804</v>
      </c>
      <c r="E386" s="731">
        <v>3184175</v>
      </c>
      <c r="F386" s="944">
        <v>12</v>
      </c>
      <c r="G386" s="629">
        <v>0</v>
      </c>
    </row>
    <row r="387" spans="1:11">
      <c r="A387" t="s">
        <v>465</v>
      </c>
      <c r="B387" t="s">
        <v>1173</v>
      </c>
      <c r="C387" s="629">
        <v>1.04</v>
      </c>
      <c r="D387" s="731">
        <v>30970020</v>
      </c>
      <c r="E387" s="731">
        <v>5676481</v>
      </c>
      <c r="F387" s="944">
        <v>12</v>
      </c>
      <c r="G387" s="629">
        <v>0</v>
      </c>
    </row>
    <row r="388" spans="1:11">
      <c r="A388" t="s">
        <v>2024</v>
      </c>
      <c r="B388" t="s">
        <v>218</v>
      </c>
      <c r="C388" s="629">
        <v>1.1200000000000001</v>
      </c>
      <c r="D388" s="731">
        <v>5317204</v>
      </c>
      <c r="E388" s="731">
        <v>1277637</v>
      </c>
      <c r="F388" s="944">
        <v>12</v>
      </c>
      <c r="G388" s="629">
        <v>0</v>
      </c>
    </row>
    <row r="389" spans="1:11">
      <c r="A389" t="s">
        <v>332</v>
      </c>
      <c r="B389" t="s">
        <v>278</v>
      </c>
      <c r="C389" s="629">
        <v>1.04</v>
      </c>
      <c r="D389" s="731">
        <v>4389277</v>
      </c>
      <c r="E389" s="731">
        <v>608080</v>
      </c>
      <c r="F389" s="944">
        <v>12</v>
      </c>
      <c r="G389" s="629">
        <v>0</v>
      </c>
    </row>
    <row r="390" spans="1:11">
      <c r="A390" t="s">
        <v>2025</v>
      </c>
      <c r="B390" t="s">
        <v>219</v>
      </c>
      <c r="C390" s="629">
        <v>1.17</v>
      </c>
      <c r="D390" s="731">
        <v>4422652</v>
      </c>
      <c r="E390" s="731">
        <v>0</v>
      </c>
      <c r="F390" s="944">
        <v>12</v>
      </c>
      <c r="G390" s="629">
        <v>0</v>
      </c>
    </row>
    <row r="391" spans="1:11">
      <c r="A391" t="s">
        <v>2026</v>
      </c>
      <c r="B391" t="s">
        <v>220</v>
      </c>
      <c r="C391" s="629">
        <v>1.17</v>
      </c>
      <c r="D391" s="731">
        <v>351071</v>
      </c>
      <c r="E391" s="731">
        <v>0</v>
      </c>
      <c r="F391" s="944">
        <v>12</v>
      </c>
      <c r="G391" s="629">
        <v>0</v>
      </c>
    </row>
    <row r="392" spans="1:11">
      <c r="A392" t="s">
        <v>476</v>
      </c>
      <c r="B392" t="s">
        <v>221</v>
      </c>
      <c r="C392" s="629">
        <v>1.04</v>
      </c>
      <c r="D392" s="731">
        <v>666179</v>
      </c>
      <c r="E392" s="731">
        <v>0</v>
      </c>
      <c r="F392" s="944">
        <v>12</v>
      </c>
      <c r="G392" s="629">
        <v>0</v>
      </c>
    </row>
    <row r="393" spans="1:11">
      <c r="A393" t="s">
        <v>1848</v>
      </c>
      <c r="B393" t="s">
        <v>222</v>
      </c>
      <c r="C393" s="629">
        <v>1.17</v>
      </c>
      <c r="D393" s="731">
        <v>561650</v>
      </c>
      <c r="E393" s="731">
        <v>29024</v>
      </c>
      <c r="F393" s="944">
        <v>12</v>
      </c>
      <c r="G393" s="629">
        <v>0</v>
      </c>
    </row>
    <row r="394" spans="1:11">
      <c r="A394" t="s">
        <v>1959</v>
      </c>
      <c r="B394" t="s">
        <v>223</v>
      </c>
      <c r="C394" s="629">
        <v>1.04</v>
      </c>
      <c r="D394" s="731">
        <v>10619496</v>
      </c>
      <c r="E394" s="731">
        <v>0</v>
      </c>
      <c r="F394" s="944">
        <v>12</v>
      </c>
      <c r="G394" s="629">
        <v>0</v>
      </c>
    </row>
    <row r="395" spans="1:11">
      <c r="A395" t="s">
        <v>1960</v>
      </c>
      <c r="B395" t="s">
        <v>224</v>
      </c>
      <c r="C395" s="629">
        <v>1.04</v>
      </c>
      <c r="D395" s="731">
        <v>1130082</v>
      </c>
      <c r="E395" s="731">
        <v>0</v>
      </c>
      <c r="F395" s="944">
        <v>12</v>
      </c>
      <c r="G395" s="629">
        <v>0</v>
      </c>
    </row>
    <row r="396" spans="1:11">
      <c r="A396" t="s">
        <v>137</v>
      </c>
      <c r="B396" t="s">
        <v>225</v>
      </c>
      <c r="C396" s="629">
        <v>1.04</v>
      </c>
      <c r="D396" s="731">
        <v>426158</v>
      </c>
      <c r="E396" s="731">
        <v>0</v>
      </c>
      <c r="F396" s="944">
        <v>12</v>
      </c>
      <c r="G396" s="629">
        <v>0</v>
      </c>
    </row>
    <row r="397" spans="1:11">
      <c r="A397" t="s">
        <v>138</v>
      </c>
      <c r="B397" t="s">
        <v>987</v>
      </c>
      <c r="C397" s="629">
        <v>1.04</v>
      </c>
      <c r="D397" s="731">
        <v>2552175</v>
      </c>
      <c r="E397" s="731">
        <v>285656</v>
      </c>
      <c r="F397" s="944">
        <v>12</v>
      </c>
      <c r="G397" s="629">
        <v>0</v>
      </c>
    </row>
    <row r="398" spans="1:11">
      <c r="A398" t="s">
        <v>2367</v>
      </c>
      <c r="B398" t="s">
        <v>2240</v>
      </c>
      <c r="C398" s="629">
        <v>1.04</v>
      </c>
      <c r="D398" s="731">
        <v>1431233</v>
      </c>
      <c r="E398" s="731">
        <v>146212</v>
      </c>
      <c r="F398" s="944">
        <v>12</v>
      </c>
      <c r="G398" s="629">
        <v>0</v>
      </c>
    </row>
    <row r="399" spans="1:11">
      <c r="A399" t="s">
        <v>2218</v>
      </c>
      <c r="B399" t="s">
        <v>227</v>
      </c>
      <c r="C399" s="629">
        <v>1.04</v>
      </c>
      <c r="D399" s="731">
        <v>4899131</v>
      </c>
      <c r="E399" s="731">
        <v>0</v>
      </c>
      <c r="F399" s="944">
        <v>12</v>
      </c>
      <c r="G399" s="629">
        <v>0</v>
      </c>
      <c r="H399" s="646">
        <v>495562</v>
      </c>
      <c r="I399" s="646">
        <v>2059144</v>
      </c>
      <c r="J399" s="629">
        <v>843</v>
      </c>
      <c r="K399" s="646">
        <v>232163856</v>
      </c>
    </row>
    <row r="400" spans="1:11">
      <c r="A400" t="s">
        <v>1055</v>
      </c>
      <c r="B400" t="s">
        <v>988</v>
      </c>
      <c r="C400" s="629">
        <v>1.04</v>
      </c>
      <c r="D400" s="731">
        <v>1916186</v>
      </c>
      <c r="E400" s="731">
        <v>0</v>
      </c>
      <c r="F400" s="944">
        <v>8</v>
      </c>
      <c r="G400" s="629">
        <v>0</v>
      </c>
      <c r="H400" s="646">
        <v>335359</v>
      </c>
      <c r="I400" s="646">
        <v>412336</v>
      </c>
      <c r="J400" s="629">
        <v>147</v>
      </c>
      <c r="K400" s="646">
        <v>98099866</v>
      </c>
    </row>
    <row r="401" spans="1:11">
      <c r="A401" t="s">
        <v>1056</v>
      </c>
      <c r="B401" t="s">
        <v>2452</v>
      </c>
      <c r="C401" s="629">
        <v>1.04</v>
      </c>
      <c r="D401" s="731">
        <v>3947594</v>
      </c>
      <c r="E401" s="731">
        <v>781296</v>
      </c>
      <c r="F401" s="944">
        <v>12</v>
      </c>
      <c r="G401" s="629">
        <v>0</v>
      </c>
      <c r="H401" s="646">
        <v>534136</v>
      </c>
      <c r="I401" s="646">
        <v>2792885</v>
      </c>
      <c r="J401" s="646">
        <v>1166</v>
      </c>
      <c r="K401" s="646">
        <v>259968190</v>
      </c>
    </row>
    <row r="402" spans="1:11">
      <c r="A402" t="s">
        <v>1987</v>
      </c>
      <c r="B402" t="s">
        <v>448</v>
      </c>
      <c r="C402" s="629">
        <v>1.04</v>
      </c>
      <c r="D402" s="731">
        <v>1123303</v>
      </c>
      <c r="E402" s="731">
        <v>0</v>
      </c>
      <c r="F402" s="944">
        <v>12</v>
      </c>
      <c r="G402" s="629">
        <v>0</v>
      </c>
      <c r="H402" s="646">
        <v>210319</v>
      </c>
      <c r="I402" s="646">
        <v>982685</v>
      </c>
      <c r="J402" s="629">
        <v>447</v>
      </c>
      <c r="K402" s="646">
        <v>97979770</v>
      </c>
    </row>
    <row r="403" spans="1:11">
      <c r="A403" t="s">
        <v>1988</v>
      </c>
      <c r="B403" t="s">
        <v>449</v>
      </c>
      <c r="C403" s="629">
        <v>1.04</v>
      </c>
      <c r="D403" s="731">
        <v>2167086</v>
      </c>
      <c r="E403" s="731">
        <v>0</v>
      </c>
      <c r="F403" s="944">
        <v>12</v>
      </c>
      <c r="G403" s="629">
        <v>0</v>
      </c>
    </row>
    <row r="404" spans="1:11">
      <c r="A404" t="s">
        <v>964</v>
      </c>
      <c r="B404" t="s">
        <v>450</v>
      </c>
      <c r="C404" s="629">
        <v>1.04</v>
      </c>
      <c r="D404" s="731">
        <v>2589143</v>
      </c>
      <c r="E404" s="731">
        <v>776915</v>
      </c>
      <c r="F404" s="944">
        <v>12</v>
      </c>
      <c r="G404" s="629">
        <v>0</v>
      </c>
    </row>
    <row r="405" spans="1:11">
      <c r="A405" t="s">
        <v>1078</v>
      </c>
      <c r="B405" t="s">
        <v>1406</v>
      </c>
      <c r="C405" s="629">
        <v>1.17</v>
      </c>
      <c r="D405" s="731">
        <v>7059829</v>
      </c>
      <c r="E405" s="731">
        <v>927570</v>
      </c>
      <c r="F405" s="944">
        <v>12</v>
      </c>
      <c r="G405" s="629">
        <v>0</v>
      </c>
    </row>
    <row r="406" spans="1:11">
      <c r="A406" t="s">
        <v>362</v>
      </c>
      <c r="B406" t="s">
        <v>451</v>
      </c>
      <c r="C406" s="629">
        <v>1.04</v>
      </c>
      <c r="D406" s="731">
        <v>9159563</v>
      </c>
      <c r="E406" s="731">
        <v>442215</v>
      </c>
      <c r="F406" s="944">
        <v>12</v>
      </c>
      <c r="G406" s="629">
        <v>0</v>
      </c>
      <c r="H406" s="646">
        <v>923877</v>
      </c>
      <c r="I406" s="646">
        <v>5953970</v>
      </c>
      <c r="J406" s="646">
        <v>2430</v>
      </c>
      <c r="K406" s="646">
        <v>279820206</v>
      </c>
    </row>
    <row r="407" spans="1:11">
      <c r="A407" t="s">
        <v>2161</v>
      </c>
      <c r="B407" t="s">
        <v>793</v>
      </c>
      <c r="C407" s="629">
        <v>1.04</v>
      </c>
      <c r="D407" s="731">
        <v>7252603</v>
      </c>
      <c r="E407" s="731">
        <v>680850</v>
      </c>
      <c r="F407" s="944">
        <v>12</v>
      </c>
      <c r="G407" s="629">
        <v>0</v>
      </c>
    </row>
    <row r="408" spans="1:11">
      <c r="A408" t="s">
        <v>1108</v>
      </c>
      <c r="B408" t="s">
        <v>280</v>
      </c>
      <c r="C408" s="629">
        <v>1.04</v>
      </c>
      <c r="D408" s="731">
        <v>1357862</v>
      </c>
      <c r="E408" s="731">
        <v>190649</v>
      </c>
      <c r="F408" s="944">
        <v>12</v>
      </c>
      <c r="G408" s="629">
        <v>0</v>
      </c>
    </row>
    <row r="409" spans="1:11">
      <c r="A409" t="s">
        <v>548</v>
      </c>
      <c r="B409" t="s">
        <v>658</v>
      </c>
      <c r="C409" s="629">
        <v>1.1333</v>
      </c>
      <c r="D409" s="731">
        <v>144038776</v>
      </c>
      <c r="E409" s="731">
        <v>11345528</v>
      </c>
      <c r="F409" s="944">
        <v>12</v>
      </c>
      <c r="G409" s="629">
        <v>0</v>
      </c>
    </row>
    <row r="410" spans="1:11">
      <c r="A410" t="s">
        <v>180</v>
      </c>
      <c r="B410" t="s">
        <v>1874</v>
      </c>
      <c r="C410" s="629">
        <v>1.04</v>
      </c>
      <c r="D410" s="731">
        <v>124124899</v>
      </c>
      <c r="E410" s="731">
        <v>21463319</v>
      </c>
      <c r="F410" s="944">
        <v>12</v>
      </c>
      <c r="G410" s="629">
        <v>0</v>
      </c>
    </row>
    <row r="411" spans="1:11">
      <c r="A411" t="s">
        <v>2188</v>
      </c>
      <c r="B411" t="s">
        <v>452</v>
      </c>
      <c r="C411" s="629">
        <v>1.0219</v>
      </c>
      <c r="D411" s="731">
        <v>23807603</v>
      </c>
      <c r="E411" s="731">
        <v>5938716</v>
      </c>
      <c r="F411" s="944">
        <v>12</v>
      </c>
      <c r="G411" s="629">
        <v>0</v>
      </c>
    </row>
    <row r="412" spans="1:11">
      <c r="A412" t="s">
        <v>2266</v>
      </c>
      <c r="B412" t="s">
        <v>396</v>
      </c>
      <c r="C412" s="629">
        <v>1.04</v>
      </c>
      <c r="D412" s="731">
        <v>11499640</v>
      </c>
      <c r="E412" s="731">
        <v>3020397</v>
      </c>
      <c r="F412" s="944">
        <v>12</v>
      </c>
      <c r="G412" s="629">
        <v>0</v>
      </c>
    </row>
    <row r="413" spans="1:11">
      <c r="A413" t="s">
        <v>2189</v>
      </c>
      <c r="B413" t="s">
        <v>453</v>
      </c>
      <c r="C413" s="629">
        <v>1.024</v>
      </c>
      <c r="D413" s="731">
        <v>330897674</v>
      </c>
      <c r="E413" s="731">
        <v>73470557</v>
      </c>
      <c r="F413" s="944">
        <v>12</v>
      </c>
      <c r="G413" s="629">
        <v>0</v>
      </c>
    </row>
    <row r="414" spans="1:11">
      <c r="A414" t="s">
        <v>2044</v>
      </c>
      <c r="B414" t="s">
        <v>454</v>
      </c>
      <c r="C414" s="629">
        <v>1.1067</v>
      </c>
      <c r="D414" s="731">
        <v>92821853</v>
      </c>
      <c r="E414" s="731">
        <v>14336537</v>
      </c>
      <c r="F414" s="944">
        <v>12</v>
      </c>
      <c r="G414" s="629">
        <v>0</v>
      </c>
      <c r="H414" s="646">
        <v>17733284</v>
      </c>
      <c r="I414" s="646">
        <v>27169337</v>
      </c>
      <c r="J414" s="646">
        <v>11427</v>
      </c>
      <c r="K414" s="646">
        <v>5671945194</v>
      </c>
    </row>
    <row r="415" spans="1:11">
      <c r="A415" t="s">
        <v>1323</v>
      </c>
      <c r="B415" t="s">
        <v>2164</v>
      </c>
      <c r="C415" s="629">
        <v>1.04</v>
      </c>
      <c r="D415" s="731">
        <v>17102061</v>
      </c>
      <c r="E415" s="731">
        <v>2273281</v>
      </c>
      <c r="F415" s="944">
        <v>12</v>
      </c>
      <c r="G415" s="629">
        <v>0</v>
      </c>
    </row>
    <row r="416" spans="1:11">
      <c r="A416" t="s">
        <v>1343</v>
      </c>
      <c r="B416" t="s">
        <v>1392</v>
      </c>
      <c r="C416" s="629">
        <v>1.1834</v>
      </c>
      <c r="D416" s="731">
        <v>63150175</v>
      </c>
      <c r="E416" s="731">
        <v>10382148</v>
      </c>
      <c r="F416" s="944">
        <v>12</v>
      </c>
      <c r="G416" s="629">
        <v>0</v>
      </c>
    </row>
    <row r="417" spans="1:11">
      <c r="A417" t="s">
        <v>1907</v>
      </c>
      <c r="B417" t="s">
        <v>455</v>
      </c>
      <c r="C417" s="629">
        <v>1</v>
      </c>
      <c r="D417" s="731">
        <v>96335761</v>
      </c>
      <c r="E417" s="731">
        <v>22651917</v>
      </c>
      <c r="F417" s="944">
        <v>12</v>
      </c>
      <c r="G417" s="629">
        <v>0</v>
      </c>
      <c r="H417" s="646">
        <v>23350869</v>
      </c>
      <c r="I417" s="646">
        <v>47491873</v>
      </c>
      <c r="J417" s="646">
        <v>19706</v>
      </c>
      <c r="K417" s="646">
        <v>4816764713</v>
      </c>
    </row>
    <row r="418" spans="1:11">
      <c r="A418" t="s">
        <v>2411</v>
      </c>
      <c r="B418" t="s">
        <v>456</v>
      </c>
      <c r="C418" s="629">
        <v>1.0066999999999999</v>
      </c>
      <c r="D418" s="731">
        <v>0</v>
      </c>
      <c r="E418" s="731">
        <v>124102516</v>
      </c>
      <c r="F418" s="944">
        <v>12</v>
      </c>
      <c r="G418" s="629">
        <v>0</v>
      </c>
      <c r="H418" s="646">
        <v>159980884</v>
      </c>
      <c r="I418" s="646">
        <v>578617240</v>
      </c>
      <c r="J418" s="646">
        <v>238950</v>
      </c>
      <c r="K418" s="646">
        <v>47350142901</v>
      </c>
    </row>
    <row r="419" spans="1:11">
      <c r="A419" t="s">
        <v>1052</v>
      </c>
      <c r="B419" t="s">
        <v>2252</v>
      </c>
      <c r="C419" s="629">
        <v>1.04</v>
      </c>
      <c r="D419" s="731">
        <v>96846709</v>
      </c>
      <c r="E419" s="731">
        <v>22152127</v>
      </c>
      <c r="F419" s="944">
        <v>12</v>
      </c>
      <c r="G419" s="629">
        <v>0</v>
      </c>
    </row>
    <row r="420" spans="1:11">
      <c r="A420" t="s">
        <v>46</v>
      </c>
      <c r="B420" t="s">
        <v>388</v>
      </c>
      <c r="C420" s="629">
        <v>1.1266</v>
      </c>
      <c r="D420" s="731">
        <v>186205669</v>
      </c>
      <c r="E420" s="731">
        <v>45519321</v>
      </c>
      <c r="F420" s="944">
        <v>12</v>
      </c>
      <c r="G420" s="629">
        <v>0</v>
      </c>
    </row>
    <row r="421" spans="1:11">
      <c r="A421" t="s">
        <v>53</v>
      </c>
      <c r="B421" t="s">
        <v>2442</v>
      </c>
      <c r="C421" s="629">
        <v>1.04</v>
      </c>
      <c r="D421" s="731">
        <v>126152237</v>
      </c>
      <c r="E421" s="731">
        <v>21213439</v>
      </c>
      <c r="F421" s="944">
        <v>12</v>
      </c>
      <c r="G421" s="629">
        <v>0</v>
      </c>
    </row>
    <row r="422" spans="1:11">
      <c r="A422" t="s">
        <v>2412</v>
      </c>
      <c r="B422" t="s">
        <v>457</v>
      </c>
      <c r="C422" s="629">
        <v>1.04</v>
      </c>
      <c r="D422" s="731">
        <v>61187242</v>
      </c>
      <c r="E422" s="731">
        <v>12983705</v>
      </c>
      <c r="F422" s="944">
        <v>12</v>
      </c>
      <c r="G422" s="629">
        <v>0</v>
      </c>
      <c r="H422" s="646">
        <v>14927545</v>
      </c>
      <c r="I422" s="646">
        <v>19417505</v>
      </c>
      <c r="J422" s="646">
        <v>8212</v>
      </c>
      <c r="K422" s="646">
        <v>2950398018</v>
      </c>
    </row>
    <row r="423" spans="1:11">
      <c r="A423" t="s">
        <v>192</v>
      </c>
      <c r="B423" t="s">
        <v>258</v>
      </c>
      <c r="C423" s="629">
        <v>1.07</v>
      </c>
      <c r="D423" s="731">
        <v>111473818</v>
      </c>
      <c r="E423" s="731">
        <v>23558495</v>
      </c>
      <c r="F423" s="944">
        <v>12</v>
      </c>
      <c r="G423" s="629">
        <v>0</v>
      </c>
    </row>
    <row r="424" spans="1:11">
      <c r="A424" t="s">
        <v>627</v>
      </c>
      <c r="B424" t="s">
        <v>458</v>
      </c>
      <c r="C424" s="629">
        <v>1.04</v>
      </c>
      <c r="D424" s="731">
        <v>84763898</v>
      </c>
      <c r="E424" s="731">
        <v>28882704</v>
      </c>
      <c r="F424" s="944">
        <v>12</v>
      </c>
      <c r="G424" s="629">
        <v>0</v>
      </c>
    </row>
    <row r="425" spans="1:11">
      <c r="A425" t="s">
        <v>765</v>
      </c>
      <c r="B425" t="s">
        <v>2067</v>
      </c>
      <c r="C425" s="629">
        <v>1.0900000000000001</v>
      </c>
      <c r="D425" s="731">
        <v>191424089</v>
      </c>
      <c r="E425" s="731">
        <v>26881641</v>
      </c>
      <c r="F425" s="944">
        <v>12</v>
      </c>
      <c r="G425" s="629">
        <v>0</v>
      </c>
      <c r="H425" s="646">
        <v>42721088</v>
      </c>
      <c r="I425" s="646">
        <v>73982388</v>
      </c>
      <c r="J425" s="646">
        <v>30862</v>
      </c>
      <c r="K425" s="646">
        <v>8425709245</v>
      </c>
    </row>
    <row r="426" spans="1:11">
      <c r="A426" t="s">
        <v>1840</v>
      </c>
      <c r="B426" t="s">
        <v>2068</v>
      </c>
      <c r="C426" s="629">
        <v>1</v>
      </c>
      <c r="D426" s="731">
        <v>43730888</v>
      </c>
      <c r="E426" s="731">
        <v>10704612</v>
      </c>
      <c r="F426" s="944">
        <v>12</v>
      </c>
      <c r="G426" s="629">
        <v>0</v>
      </c>
      <c r="H426" s="646">
        <v>6173947</v>
      </c>
      <c r="I426" s="646">
        <v>13780497</v>
      </c>
      <c r="J426" s="646">
        <v>5597</v>
      </c>
      <c r="K426" s="646">
        <v>1528041262</v>
      </c>
    </row>
    <row r="427" spans="1:11">
      <c r="A427" t="s">
        <v>1841</v>
      </c>
      <c r="B427" t="s">
        <v>2069</v>
      </c>
      <c r="C427" s="629">
        <v>1.04</v>
      </c>
      <c r="D427" s="731">
        <v>37049481</v>
      </c>
      <c r="E427" s="731">
        <v>6854595</v>
      </c>
      <c r="F427" s="944">
        <v>12</v>
      </c>
      <c r="G427" s="629">
        <v>0</v>
      </c>
      <c r="H427" s="646">
        <v>4844480</v>
      </c>
      <c r="I427" s="646">
        <v>11225403</v>
      </c>
      <c r="J427" s="646">
        <v>4633</v>
      </c>
      <c r="K427" s="646">
        <v>1503188464</v>
      </c>
    </row>
    <row r="428" spans="1:11">
      <c r="A428" t="s">
        <v>820</v>
      </c>
      <c r="B428" t="s">
        <v>2250</v>
      </c>
      <c r="C428" s="629">
        <v>1.04</v>
      </c>
      <c r="D428" s="731">
        <v>7896729</v>
      </c>
      <c r="E428" s="731">
        <v>1448518</v>
      </c>
      <c r="F428" s="944">
        <v>12</v>
      </c>
      <c r="G428" s="629">
        <v>0</v>
      </c>
    </row>
    <row r="429" spans="1:11">
      <c r="A429" t="s">
        <v>1842</v>
      </c>
      <c r="B429" t="s">
        <v>2070</v>
      </c>
      <c r="C429" s="629">
        <v>1.04</v>
      </c>
      <c r="D429" s="731">
        <v>1678217</v>
      </c>
      <c r="E429" s="731">
        <v>0</v>
      </c>
      <c r="F429" s="944">
        <v>12</v>
      </c>
      <c r="G429" s="629">
        <v>0</v>
      </c>
      <c r="H429" s="646">
        <v>107193</v>
      </c>
      <c r="I429" s="646">
        <v>1737567</v>
      </c>
      <c r="J429" s="629">
        <v>751</v>
      </c>
      <c r="K429" s="646">
        <v>73630928</v>
      </c>
    </row>
    <row r="430" spans="1:11">
      <c r="A430" t="s">
        <v>1412</v>
      </c>
      <c r="B430" t="s">
        <v>2071</v>
      </c>
      <c r="C430" s="629">
        <v>1.04</v>
      </c>
      <c r="D430" s="731">
        <v>27734354</v>
      </c>
      <c r="E430" s="731">
        <v>0</v>
      </c>
      <c r="F430" s="944">
        <v>12</v>
      </c>
      <c r="G430" s="629">
        <v>0</v>
      </c>
      <c r="H430" s="646">
        <v>1664664</v>
      </c>
      <c r="I430" s="646">
        <v>17407803</v>
      </c>
      <c r="J430" s="646">
        <v>7427</v>
      </c>
      <c r="K430" s="646">
        <v>1048587247</v>
      </c>
    </row>
    <row r="431" spans="1:11">
      <c r="A431" t="s">
        <v>1413</v>
      </c>
      <c r="B431" t="s">
        <v>2072</v>
      </c>
      <c r="C431" s="629">
        <v>1.04</v>
      </c>
      <c r="D431" s="731">
        <v>4019721</v>
      </c>
      <c r="E431" s="731">
        <v>572673</v>
      </c>
      <c r="F431" s="944">
        <v>12</v>
      </c>
      <c r="G431" s="629">
        <v>0</v>
      </c>
      <c r="H431" s="646">
        <v>414545</v>
      </c>
      <c r="I431" s="646">
        <v>2611214</v>
      </c>
      <c r="J431" s="646">
        <v>1089</v>
      </c>
      <c r="K431" s="646">
        <v>157005199</v>
      </c>
    </row>
    <row r="432" spans="1:11">
      <c r="A432" t="s">
        <v>1414</v>
      </c>
      <c r="B432" t="s">
        <v>1961</v>
      </c>
      <c r="C432" s="629">
        <v>1.02</v>
      </c>
      <c r="D432" s="731">
        <v>26362814</v>
      </c>
      <c r="E432" s="731">
        <v>2076388</v>
      </c>
      <c r="F432" s="944">
        <v>12</v>
      </c>
      <c r="G432" s="629">
        <v>0</v>
      </c>
      <c r="H432" s="646">
        <v>3644685</v>
      </c>
      <c r="I432" s="646">
        <v>8421511</v>
      </c>
      <c r="J432" s="646">
        <v>3536</v>
      </c>
      <c r="K432" s="646">
        <v>1022448393</v>
      </c>
    </row>
    <row r="433" spans="1:11">
      <c r="A433" t="s">
        <v>1477</v>
      </c>
      <c r="B433" t="s">
        <v>1962</v>
      </c>
      <c r="C433" s="629">
        <v>1.17</v>
      </c>
      <c r="D433" s="731">
        <v>1809681</v>
      </c>
      <c r="E433" s="731">
        <v>97194</v>
      </c>
      <c r="F433" s="944">
        <v>12</v>
      </c>
      <c r="G433" s="629">
        <v>0</v>
      </c>
    </row>
    <row r="434" spans="1:11">
      <c r="A434" t="s">
        <v>1478</v>
      </c>
      <c r="B434" t="s">
        <v>147</v>
      </c>
      <c r="C434" s="629">
        <v>1.03</v>
      </c>
      <c r="D434" s="731">
        <v>3867519</v>
      </c>
      <c r="E434" s="731">
        <v>432565</v>
      </c>
      <c r="F434" s="944">
        <v>12</v>
      </c>
      <c r="G434" s="629">
        <v>0</v>
      </c>
      <c r="H434" s="646">
        <v>131022</v>
      </c>
      <c r="I434" s="646">
        <v>3105117</v>
      </c>
      <c r="J434" s="646">
        <v>1309</v>
      </c>
      <c r="K434" s="646">
        <v>194309125</v>
      </c>
    </row>
    <row r="435" spans="1:11">
      <c r="A435" t="s">
        <v>469</v>
      </c>
      <c r="B435" t="s">
        <v>148</v>
      </c>
      <c r="C435" s="629">
        <v>1.04</v>
      </c>
      <c r="D435" s="731">
        <v>1395683</v>
      </c>
      <c r="E435" s="731">
        <v>0</v>
      </c>
      <c r="F435" s="944">
        <v>12</v>
      </c>
      <c r="G435" s="629">
        <v>0</v>
      </c>
      <c r="H435" s="646">
        <v>159966</v>
      </c>
      <c r="I435" s="646">
        <v>680283</v>
      </c>
      <c r="J435" s="629">
        <v>274</v>
      </c>
      <c r="K435" s="646">
        <v>75441711</v>
      </c>
    </row>
    <row r="436" spans="1:11">
      <c r="A436" t="s">
        <v>438</v>
      </c>
      <c r="B436" t="s">
        <v>149</v>
      </c>
      <c r="C436" s="629">
        <v>1.04</v>
      </c>
      <c r="D436" s="731">
        <v>999149</v>
      </c>
      <c r="E436" s="731">
        <v>76159</v>
      </c>
      <c r="F436" s="944">
        <v>12</v>
      </c>
      <c r="G436" s="629">
        <v>0</v>
      </c>
    </row>
    <row r="437" spans="1:11">
      <c r="A437" t="s">
        <v>439</v>
      </c>
      <c r="B437" t="s">
        <v>782</v>
      </c>
      <c r="C437" s="629">
        <v>1.17</v>
      </c>
      <c r="D437" s="731">
        <v>1374573</v>
      </c>
      <c r="E437" s="731">
        <v>0</v>
      </c>
      <c r="F437" s="944" t="s">
        <v>67</v>
      </c>
      <c r="G437" s="629">
        <v>0</v>
      </c>
    </row>
    <row r="438" spans="1:11">
      <c r="A438" t="s">
        <v>440</v>
      </c>
      <c r="B438" t="s">
        <v>150</v>
      </c>
      <c r="C438" s="629">
        <v>1.17</v>
      </c>
      <c r="D438" s="731">
        <v>336224</v>
      </c>
      <c r="E438" s="731">
        <v>0</v>
      </c>
      <c r="F438" s="944">
        <v>12</v>
      </c>
      <c r="G438" s="629">
        <v>0</v>
      </c>
    </row>
    <row r="439" spans="1:11">
      <c r="A439" t="s">
        <v>441</v>
      </c>
      <c r="B439" t="s">
        <v>151</v>
      </c>
      <c r="C439" s="629">
        <v>1.17</v>
      </c>
      <c r="D439" s="731">
        <v>435522</v>
      </c>
      <c r="E439" s="731">
        <v>0</v>
      </c>
      <c r="F439" s="944">
        <v>12</v>
      </c>
      <c r="G439" s="629">
        <v>0</v>
      </c>
    </row>
    <row r="440" spans="1:11">
      <c r="A440" t="s">
        <v>1071</v>
      </c>
      <c r="B440" t="s">
        <v>989</v>
      </c>
      <c r="C440" s="629">
        <v>1.04</v>
      </c>
      <c r="D440" s="731">
        <v>32631066</v>
      </c>
      <c r="E440" s="731">
        <v>9046178</v>
      </c>
      <c r="F440" s="944">
        <v>12</v>
      </c>
      <c r="G440" s="629">
        <v>0</v>
      </c>
      <c r="H440" s="646">
        <v>2420777</v>
      </c>
      <c r="I440" s="646">
        <v>17750187</v>
      </c>
      <c r="J440" s="646">
        <v>7499</v>
      </c>
      <c r="K440" s="646">
        <v>822227254</v>
      </c>
    </row>
    <row r="441" spans="1:11">
      <c r="A441" t="s">
        <v>1400</v>
      </c>
      <c r="B441" t="s">
        <v>1005</v>
      </c>
      <c r="C441" s="629">
        <v>1.04</v>
      </c>
      <c r="D441" s="731">
        <v>22631199</v>
      </c>
      <c r="E441" s="731">
        <v>5411037</v>
      </c>
      <c r="F441" s="944">
        <v>12</v>
      </c>
      <c r="G441" s="629">
        <v>0</v>
      </c>
      <c r="H441" s="646">
        <v>706015</v>
      </c>
      <c r="I441" s="646">
        <v>5411708</v>
      </c>
      <c r="J441" s="646">
        <v>2182</v>
      </c>
      <c r="K441" s="646">
        <v>281890545</v>
      </c>
    </row>
    <row r="442" spans="1:11">
      <c r="A442" t="s">
        <v>1217</v>
      </c>
      <c r="B442" t="s">
        <v>153</v>
      </c>
      <c r="C442" s="629">
        <v>1.04</v>
      </c>
      <c r="D442" s="731">
        <v>13151256</v>
      </c>
      <c r="E442" s="731">
        <v>1890834</v>
      </c>
      <c r="F442" s="944">
        <v>12</v>
      </c>
      <c r="G442" s="629">
        <v>0</v>
      </c>
      <c r="H442" s="646">
        <v>1046947</v>
      </c>
      <c r="I442" s="646">
        <v>3488602</v>
      </c>
      <c r="J442" s="646">
        <v>1446</v>
      </c>
      <c r="K442" s="646">
        <v>279022770</v>
      </c>
    </row>
    <row r="443" spans="1:11">
      <c r="A443" t="s">
        <v>1759</v>
      </c>
      <c r="B443" t="s">
        <v>33</v>
      </c>
      <c r="C443" s="629">
        <v>1.04</v>
      </c>
      <c r="D443" s="731">
        <v>33447789</v>
      </c>
      <c r="E443" s="731">
        <v>10920921</v>
      </c>
      <c r="F443" s="944">
        <v>12</v>
      </c>
      <c r="G443" s="629">
        <v>0</v>
      </c>
    </row>
    <row r="444" spans="1:11">
      <c r="A444" t="s">
        <v>1607</v>
      </c>
      <c r="B444" t="s">
        <v>154</v>
      </c>
      <c r="C444" s="629">
        <v>0.92</v>
      </c>
      <c r="D444" s="731">
        <v>12246532</v>
      </c>
      <c r="E444" s="731">
        <v>1925884</v>
      </c>
      <c r="F444" s="944">
        <v>12</v>
      </c>
      <c r="G444" s="629">
        <v>0</v>
      </c>
      <c r="H444" s="646">
        <v>2310311</v>
      </c>
      <c r="I444" s="646">
        <v>2911127</v>
      </c>
      <c r="J444" s="646">
        <v>1189</v>
      </c>
      <c r="K444" s="646">
        <v>578777790</v>
      </c>
    </row>
    <row r="445" spans="1:11">
      <c r="A445" t="s">
        <v>1608</v>
      </c>
      <c r="B445" t="s">
        <v>1273</v>
      </c>
      <c r="C445" s="629">
        <v>1.0373000000000001</v>
      </c>
      <c r="D445" s="731">
        <v>10836288</v>
      </c>
      <c r="E445" s="731">
        <v>1071106</v>
      </c>
      <c r="F445" s="944">
        <v>12</v>
      </c>
      <c r="G445" s="629">
        <v>0</v>
      </c>
    </row>
    <row r="446" spans="1:11">
      <c r="A446" t="s">
        <v>2403</v>
      </c>
      <c r="B446" t="s">
        <v>1274</v>
      </c>
      <c r="C446" s="629">
        <v>1.04</v>
      </c>
      <c r="D446" s="731">
        <v>6285429</v>
      </c>
      <c r="E446" s="731">
        <v>503805</v>
      </c>
      <c r="F446" s="944">
        <v>12</v>
      </c>
      <c r="G446" s="629">
        <v>0</v>
      </c>
    </row>
    <row r="447" spans="1:11">
      <c r="A447" t="s">
        <v>2379</v>
      </c>
      <c r="B447" t="s">
        <v>1275</v>
      </c>
      <c r="C447" s="629">
        <v>1.0249999999999999</v>
      </c>
      <c r="D447" s="731">
        <v>2731899</v>
      </c>
      <c r="E447" s="731">
        <v>410045</v>
      </c>
      <c r="F447" s="944">
        <v>12</v>
      </c>
      <c r="G447" s="629">
        <v>0</v>
      </c>
    </row>
    <row r="448" spans="1:11">
      <c r="A448" t="s">
        <v>1894</v>
      </c>
      <c r="B448" t="s">
        <v>1276</v>
      </c>
      <c r="C448" s="629">
        <v>1.04</v>
      </c>
      <c r="D448" s="731">
        <v>4591308</v>
      </c>
      <c r="E448" s="731">
        <v>752037</v>
      </c>
      <c r="F448" s="944">
        <v>12</v>
      </c>
      <c r="G448" s="629">
        <v>0</v>
      </c>
    </row>
    <row r="449" spans="1:11">
      <c r="A449" t="s">
        <v>61</v>
      </c>
      <c r="B449" t="s">
        <v>2455</v>
      </c>
      <c r="C449" s="629">
        <v>1.03</v>
      </c>
      <c r="D449" s="731">
        <v>8662260</v>
      </c>
      <c r="E449" s="731">
        <v>1030390</v>
      </c>
      <c r="F449" s="944">
        <v>12</v>
      </c>
      <c r="G449" s="629">
        <v>0</v>
      </c>
      <c r="H449" s="646">
        <v>430200</v>
      </c>
      <c r="I449" s="646">
        <v>3524413</v>
      </c>
      <c r="J449" s="646">
        <v>1586</v>
      </c>
      <c r="K449" s="646">
        <v>279022964</v>
      </c>
    </row>
    <row r="450" spans="1:11">
      <c r="A450" t="s">
        <v>1429</v>
      </c>
      <c r="B450" t="s">
        <v>570</v>
      </c>
      <c r="C450" s="629">
        <v>1.04</v>
      </c>
      <c r="D450" s="731">
        <v>384255</v>
      </c>
      <c r="E450" s="731">
        <v>79514</v>
      </c>
      <c r="F450" s="944">
        <v>12</v>
      </c>
      <c r="G450" s="629">
        <v>0</v>
      </c>
    </row>
    <row r="451" spans="1:11">
      <c r="A451" t="s">
        <v>821</v>
      </c>
      <c r="B451" t="s">
        <v>1986</v>
      </c>
      <c r="C451" s="629">
        <v>1.04</v>
      </c>
      <c r="D451" s="731">
        <v>394991</v>
      </c>
      <c r="E451" s="731">
        <v>0</v>
      </c>
      <c r="F451" s="944">
        <v>8</v>
      </c>
      <c r="G451" s="629">
        <v>0</v>
      </c>
    </row>
    <row r="452" spans="1:11">
      <c r="A452" t="s">
        <v>62</v>
      </c>
      <c r="B452" t="s">
        <v>2456</v>
      </c>
      <c r="C452" s="629">
        <v>1.04</v>
      </c>
      <c r="D452" s="731">
        <v>4354147</v>
      </c>
      <c r="E452" s="731">
        <v>200039</v>
      </c>
      <c r="F452" s="944">
        <v>12</v>
      </c>
      <c r="G452" s="629">
        <v>0</v>
      </c>
      <c r="H452" s="646">
        <v>524288</v>
      </c>
      <c r="I452" s="646">
        <v>1600662</v>
      </c>
      <c r="J452" s="629">
        <v>629</v>
      </c>
      <c r="K452" s="646">
        <v>175539061</v>
      </c>
    </row>
    <row r="453" spans="1:11">
      <c r="A453" t="s">
        <v>2008</v>
      </c>
      <c r="B453" t="s">
        <v>30</v>
      </c>
      <c r="C453" s="629">
        <v>1.04</v>
      </c>
      <c r="D453" s="731">
        <v>7335562</v>
      </c>
      <c r="E453" s="731">
        <v>1131706</v>
      </c>
      <c r="F453" s="944">
        <v>12</v>
      </c>
      <c r="G453" s="629">
        <v>0</v>
      </c>
    </row>
    <row r="454" spans="1:11">
      <c r="A454" t="s">
        <v>725</v>
      </c>
      <c r="B454" t="s">
        <v>1010</v>
      </c>
      <c r="C454" s="629">
        <v>1.04</v>
      </c>
      <c r="D454" s="731">
        <v>1773129</v>
      </c>
      <c r="E454" s="731">
        <v>360047</v>
      </c>
      <c r="F454" s="944">
        <v>12</v>
      </c>
      <c r="G454" s="629">
        <v>0</v>
      </c>
    </row>
    <row r="455" spans="1:11">
      <c r="A455" t="s">
        <v>727</v>
      </c>
      <c r="B455" t="s">
        <v>31</v>
      </c>
      <c r="C455" s="629">
        <v>1.04</v>
      </c>
      <c r="D455" s="731">
        <v>52811668</v>
      </c>
      <c r="E455" s="731">
        <v>3240710</v>
      </c>
      <c r="F455" s="944">
        <v>12</v>
      </c>
      <c r="G455" s="629">
        <v>0</v>
      </c>
    </row>
    <row r="456" spans="1:11">
      <c r="A456" t="s">
        <v>1761</v>
      </c>
      <c r="B456" t="s">
        <v>2241</v>
      </c>
      <c r="C456" s="629">
        <v>1.04</v>
      </c>
      <c r="D456" s="731">
        <v>4145123</v>
      </c>
      <c r="E456" s="731">
        <v>579805</v>
      </c>
      <c r="F456" s="944">
        <v>12</v>
      </c>
      <c r="G456" s="629">
        <v>0</v>
      </c>
    </row>
    <row r="457" spans="1:11">
      <c r="A457" t="s">
        <v>2388</v>
      </c>
      <c r="B457" t="s">
        <v>771</v>
      </c>
      <c r="C457" s="629">
        <v>1.04</v>
      </c>
      <c r="D457" s="731">
        <v>62926235</v>
      </c>
      <c r="E457" s="731">
        <v>5295164</v>
      </c>
      <c r="F457" s="944">
        <v>12</v>
      </c>
      <c r="G457" s="629">
        <v>0</v>
      </c>
    </row>
    <row r="458" spans="1:11">
      <c r="A458" t="s">
        <v>2391</v>
      </c>
      <c r="B458" t="s">
        <v>2111</v>
      </c>
      <c r="C458" s="629">
        <v>1.04</v>
      </c>
      <c r="D458" s="731">
        <v>3443075</v>
      </c>
      <c r="E458" s="731">
        <v>449730</v>
      </c>
      <c r="F458" s="944">
        <v>12</v>
      </c>
      <c r="G458" s="629">
        <v>0</v>
      </c>
    </row>
    <row r="459" spans="1:11">
      <c r="A459" t="s">
        <v>2397</v>
      </c>
      <c r="B459" t="s">
        <v>36</v>
      </c>
      <c r="C459" s="629">
        <v>1.04</v>
      </c>
      <c r="D459" s="731">
        <v>15836757</v>
      </c>
      <c r="E459" s="731">
        <v>1491587</v>
      </c>
      <c r="F459" s="944">
        <v>12</v>
      </c>
      <c r="G459" s="629">
        <v>0</v>
      </c>
    </row>
    <row r="460" spans="1:11">
      <c r="A460" t="s">
        <v>197</v>
      </c>
      <c r="B460" t="s">
        <v>945</v>
      </c>
      <c r="C460" s="629">
        <v>1.04</v>
      </c>
      <c r="D460" s="731">
        <v>30888172</v>
      </c>
      <c r="E460" s="731">
        <v>3863235</v>
      </c>
      <c r="F460" s="944">
        <v>12</v>
      </c>
      <c r="G460" s="629">
        <v>0</v>
      </c>
    </row>
    <row r="461" spans="1:11">
      <c r="A461" t="s">
        <v>1011</v>
      </c>
      <c r="B461" t="s">
        <v>73</v>
      </c>
      <c r="C461" s="629">
        <v>1.04</v>
      </c>
      <c r="D461" s="731">
        <v>1036073</v>
      </c>
      <c r="E461" s="731">
        <v>201493</v>
      </c>
      <c r="F461" s="944">
        <v>12</v>
      </c>
      <c r="G461" s="629">
        <v>0</v>
      </c>
    </row>
    <row r="462" spans="1:11">
      <c r="A462" t="s">
        <v>1471</v>
      </c>
      <c r="B462" t="s">
        <v>2458</v>
      </c>
      <c r="C462" s="629">
        <v>1.04</v>
      </c>
      <c r="D462" s="731">
        <v>24961445</v>
      </c>
      <c r="E462" s="731">
        <v>3273783</v>
      </c>
      <c r="F462" s="944">
        <v>12</v>
      </c>
      <c r="G462" s="629">
        <v>0</v>
      </c>
    </row>
    <row r="463" spans="1:11">
      <c r="A463" t="s">
        <v>56</v>
      </c>
      <c r="B463" t="s">
        <v>1790</v>
      </c>
      <c r="C463" s="629">
        <v>1.04</v>
      </c>
      <c r="D463" s="731">
        <v>19344056</v>
      </c>
      <c r="E463" s="731">
        <v>3528234</v>
      </c>
      <c r="F463" s="944">
        <v>12</v>
      </c>
      <c r="G463" s="629">
        <v>0</v>
      </c>
    </row>
    <row r="464" spans="1:11">
      <c r="A464" t="s">
        <v>682</v>
      </c>
      <c r="B464" t="s">
        <v>132</v>
      </c>
      <c r="C464" s="629">
        <v>1.0106999999999999</v>
      </c>
      <c r="D464" s="731">
        <v>15355010</v>
      </c>
      <c r="E464" s="731">
        <v>841068</v>
      </c>
      <c r="F464" s="944">
        <v>12</v>
      </c>
      <c r="G464" s="629">
        <v>0</v>
      </c>
    </row>
    <row r="465" spans="1:7">
      <c r="A465" t="s">
        <v>58</v>
      </c>
      <c r="B465" t="s">
        <v>2175</v>
      </c>
      <c r="C465" s="629">
        <v>1.0338000000000001</v>
      </c>
      <c r="D465" s="731">
        <v>763303</v>
      </c>
      <c r="E465" s="731">
        <v>98881</v>
      </c>
      <c r="F465" s="944">
        <v>12</v>
      </c>
      <c r="G465" s="629">
        <v>0</v>
      </c>
    </row>
    <row r="466" spans="1:7">
      <c r="A466" t="s">
        <v>483</v>
      </c>
      <c r="B466" t="s">
        <v>2119</v>
      </c>
      <c r="C466" s="629">
        <v>1.04</v>
      </c>
      <c r="D466" s="731">
        <v>495454</v>
      </c>
      <c r="E466" s="731">
        <v>62924</v>
      </c>
      <c r="F466" s="944">
        <v>8</v>
      </c>
      <c r="G466" s="629">
        <v>0</v>
      </c>
    </row>
    <row r="467" spans="1:7">
      <c r="A467" t="s">
        <v>1433</v>
      </c>
      <c r="B467" t="s">
        <v>2231</v>
      </c>
      <c r="C467" s="629">
        <v>1.04</v>
      </c>
      <c r="D467" s="731">
        <v>3472911</v>
      </c>
      <c r="E467" s="731">
        <v>631132</v>
      </c>
      <c r="F467" s="944">
        <v>12</v>
      </c>
      <c r="G467" s="629">
        <v>0</v>
      </c>
    </row>
    <row r="468" spans="1:7">
      <c r="A468" t="s">
        <v>140</v>
      </c>
      <c r="B468" t="s">
        <v>2031</v>
      </c>
      <c r="C468" s="629">
        <v>1.1114999999999999</v>
      </c>
      <c r="D468" s="731">
        <v>527684</v>
      </c>
      <c r="E468" s="731">
        <v>16108</v>
      </c>
      <c r="F468" s="944">
        <v>12</v>
      </c>
      <c r="G468" s="629">
        <v>0</v>
      </c>
    </row>
    <row r="469" spans="1:7">
      <c r="A469" t="s">
        <v>2369</v>
      </c>
      <c r="B469" t="s">
        <v>851</v>
      </c>
      <c r="C469" s="629">
        <v>1.04</v>
      </c>
      <c r="D469" s="731">
        <v>386275</v>
      </c>
      <c r="E469" s="731">
        <v>20074</v>
      </c>
      <c r="F469" s="944">
        <v>12</v>
      </c>
      <c r="G469" s="629">
        <v>0</v>
      </c>
    </row>
    <row r="470" spans="1:7">
      <c r="A470" t="s">
        <v>2264</v>
      </c>
      <c r="B470" t="s">
        <v>626</v>
      </c>
      <c r="C470" s="629">
        <v>1.04</v>
      </c>
      <c r="D470" s="731">
        <v>495943</v>
      </c>
      <c r="E470" s="731">
        <v>81735</v>
      </c>
      <c r="F470" s="944">
        <v>12</v>
      </c>
      <c r="G470" s="629">
        <v>0</v>
      </c>
    </row>
    <row r="471" spans="1:7">
      <c r="A471" t="s">
        <v>1763</v>
      </c>
      <c r="B471" t="s">
        <v>2243</v>
      </c>
      <c r="C471" s="629">
        <v>1.1499999999999999</v>
      </c>
      <c r="D471" s="731">
        <v>5187096</v>
      </c>
      <c r="E471" s="731">
        <v>1172453</v>
      </c>
      <c r="F471" s="944">
        <v>12</v>
      </c>
      <c r="G471" s="629">
        <v>0</v>
      </c>
    </row>
    <row r="472" spans="1:7">
      <c r="A472" t="s">
        <v>484</v>
      </c>
      <c r="B472" t="s">
        <v>2248</v>
      </c>
      <c r="C472" s="629">
        <v>1.04</v>
      </c>
      <c r="D472" s="731">
        <v>658525</v>
      </c>
      <c r="E472" s="731">
        <v>94189</v>
      </c>
      <c r="F472" s="944">
        <v>12</v>
      </c>
      <c r="G472" s="629">
        <v>0</v>
      </c>
    </row>
    <row r="473" spans="1:7">
      <c r="A473" t="s">
        <v>40</v>
      </c>
      <c r="B473" t="s">
        <v>382</v>
      </c>
      <c r="C473" s="629">
        <v>1.1422000000000001</v>
      </c>
      <c r="D473" s="731">
        <v>1641060</v>
      </c>
      <c r="E473" s="731">
        <v>96196</v>
      </c>
      <c r="F473" s="944">
        <v>12</v>
      </c>
      <c r="G473" s="629">
        <v>0</v>
      </c>
    </row>
    <row r="474" spans="1:7">
      <c r="A474" t="s">
        <v>141</v>
      </c>
      <c r="B474" t="s">
        <v>2033</v>
      </c>
      <c r="C474" s="629">
        <v>1.04</v>
      </c>
      <c r="D474" s="731">
        <v>230336</v>
      </c>
      <c r="E474" s="731">
        <v>0</v>
      </c>
      <c r="F474" s="944">
        <v>8</v>
      </c>
      <c r="G474" s="629">
        <v>0</v>
      </c>
    </row>
    <row r="475" spans="1:7">
      <c r="A475" t="s">
        <v>488</v>
      </c>
      <c r="B475" t="s">
        <v>2120</v>
      </c>
      <c r="C475" s="629">
        <v>1.17</v>
      </c>
      <c r="D475" s="731">
        <v>242536</v>
      </c>
      <c r="E475" s="731">
        <v>0</v>
      </c>
      <c r="F475" s="944">
        <v>8</v>
      </c>
      <c r="G475" s="629">
        <v>0</v>
      </c>
    </row>
    <row r="476" spans="1:7">
      <c r="A476" t="s">
        <v>1472</v>
      </c>
      <c r="B476" t="s">
        <v>2459</v>
      </c>
      <c r="C476" s="629">
        <v>1.04</v>
      </c>
      <c r="D476" s="731">
        <v>5127745</v>
      </c>
      <c r="E476" s="731">
        <v>571362</v>
      </c>
      <c r="F476" s="944">
        <v>12</v>
      </c>
      <c r="G476" s="629">
        <v>0</v>
      </c>
    </row>
    <row r="477" spans="1:7">
      <c r="A477" t="s">
        <v>489</v>
      </c>
      <c r="B477" t="s">
        <v>2281</v>
      </c>
      <c r="C477" s="629">
        <v>1.17</v>
      </c>
      <c r="D477" s="731">
        <v>547724</v>
      </c>
      <c r="E477" s="731">
        <v>25277</v>
      </c>
      <c r="F477" s="944">
        <v>12</v>
      </c>
      <c r="G477" s="629">
        <v>0</v>
      </c>
    </row>
    <row r="478" spans="1:7">
      <c r="A478" t="s">
        <v>1450</v>
      </c>
      <c r="B478" t="s">
        <v>1270</v>
      </c>
      <c r="C478" s="629">
        <v>1.17</v>
      </c>
      <c r="D478" s="731">
        <v>902905</v>
      </c>
      <c r="E478" s="731">
        <v>109944</v>
      </c>
      <c r="F478" s="944">
        <v>12</v>
      </c>
      <c r="G478" s="629">
        <v>0</v>
      </c>
    </row>
    <row r="479" spans="1:7">
      <c r="A479" t="s">
        <v>490</v>
      </c>
      <c r="B479" t="s">
        <v>2450</v>
      </c>
      <c r="C479" s="629">
        <v>1.17</v>
      </c>
      <c r="D479" s="731">
        <v>238202</v>
      </c>
      <c r="E479" s="731">
        <v>0</v>
      </c>
      <c r="F479" s="944">
        <v>12</v>
      </c>
      <c r="G479" s="629">
        <v>0</v>
      </c>
    </row>
    <row r="480" spans="1:7">
      <c r="A480" t="s">
        <v>1473</v>
      </c>
      <c r="B480" t="s">
        <v>2460</v>
      </c>
      <c r="C480" s="629">
        <v>1.04</v>
      </c>
      <c r="D480" s="731">
        <v>1002131</v>
      </c>
      <c r="E480" s="731">
        <v>0</v>
      </c>
      <c r="F480" s="944">
        <v>12</v>
      </c>
      <c r="G480" s="629">
        <v>0</v>
      </c>
    </row>
    <row r="481" spans="1:11">
      <c r="A481" t="s">
        <v>1474</v>
      </c>
      <c r="B481" t="s">
        <v>2461</v>
      </c>
      <c r="C481" s="629">
        <v>1.04</v>
      </c>
      <c r="D481" s="731">
        <v>13968284</v>
      </c>
      <c r="E481" s="731">
        <v>1562505</v>
      </c>
      <c r="F481" s="944">
        <v>12</v>
      </c>
      <c r="G481" s="629">
        <v>0</v>
      </c>
      <c r="H481" s="646">
        <v>3880822</v>
      </c>
      <c r="I481" s="646">
        <v>10672166</v>
      </c>
      <c r="J481" s="646">
        <v>4638</v>
      </c>
      <c r="K481" s="646">
        <v>1136684238</v>
      </c>
    </row>
    <row r="482" spans="1:11">
      <c r="A482" t="s">
        <v>1169</v>
      </c>
      <c r="B482" t="s">
        <v>2462</v>
      </c>
      <c r="C482" s="629">
        <v>1.04</v>
      </c>
      <c r="D482" s="731">
        <v>685237</v>
      </c>
      <c r="E482" s="731">
        <v>0</v>
      </c>
      <c r="F482" s="944">
        <v>12</v>
      </c>
      <c r="G482" s="629">
        <v>0</v>
      </c>
    </row>
    <row r="483" spans="1:11">
      <c r="A483" t="s">
        <v>1739</v>
      </c>
      <c r="B483" t="s">
        <v>1822</v>
      </c>
      <c r="C483" s="629">
        <v>1.17</v>
      </c>
      <c r="D483" s="731">
        <v>1044018</v>
      </c>
      <c r="E483" s="731">
        <v>0</v>
      </c>
      <c r="F483" s="944">
        <v>12</v>
      </c>
      <c r="G483" s="629">
        <v>0</v>
      </c>
    </row>
    <row r="484" spans="1:11">
      <c r="A484" t="s">
        <v>1170</v>
      </c>
      <c r="B484" t="s">
        <v>2463</v>
      </c>
      <c r="C484" s="629">
        <v>1.04</v>
      </c>
      <c r="D484" s="731">
        <v>13820361</v>
      </c>
      <c r="E484" s="731">
        <v>0</v>
      </c>
      <c r="F484" s="944">
        <v>12</v>
      </c>
      <c r="G484" s="629">
        <v>0</v>
      </c>
      <c r="H484" s="646">
        <v>4111717</v>
      </c>
      <c r="I484" s="646">
        <v>2003770</v>
      </c>
      <c r="J484" s="629">
        <v>819</v>
      </c>
      <c r="K484" s="646">
        <v>859622353</v>
      </c>
    </row>
    <row r="485" spans="1:11">
      <c r="A485" t="s">
        <v>1171</v>
      </c>
      <c r="B485" t="s">
        <v>2464</v>
      </c>
      <c r="C485" s="629">
        <v>1.04</v>
      </c>
      <c r="D485" s="731">
        <v>719819</v>
      </c>
      <c r="E485" s="731">
        <v>0</v>
      </c>
      <c r="F485" s="944">
        <v>12</v>
      </c>
      <c r="G485" s="629">
        <v>0</v>
      </c>
    </row>
    <row r="486" spans="1:11">
      <c r="A486" t="s">
        <v>1172</v>
      </c>
      <c r="B486" t="s">
        <v>205</v>
      </c>
      <c r="C486" s="629">
        <v>1.0061</v>
      </c>
      <c r="D486" s="731">
        <v>36324287</v>
      </c>
      <c r="E486" s="731">
        <v>4720465</v>
      </c>
      <c r="F486" s="944">
        <v>12</v>
      </c>
      <c r="G486" s="629">
        <v>0</v>
      </c>
      <c r="H486" s="646">
        <v>1185383</v>
      </c>
      <c r="I486" s="646">
        <v>14139043</v>
      </c>
      <c r="J486" s="646">
        <v>5887</v>
      </c>
      <c r="K486" s="646">
        <v>937864049</v>
      </c>
    </row>
    <row r="487" spans="1:11">
      <c r="A487" t="s">
        <v>1675</v>
      </c>
      <c r="B487" t="s">
        <v>1475</v>
      </c>
      <c r="C487" s="629">
        <v>1.04</v>
      </c>
      <c r="D487" s="731">
        <v>993501</v>
      </c>
      <c r="E487" s="731">
        <v>179039</v>
      </c>
      <c r="F487" s="944">
        <v>12</v>
      </c>
      <c r="G487" s="629">
        <v>0</v>
      </c>
    </row>
    <row r="488" spans="1:11">
      <c r="A488" t="s">
        <v>1427</v>
      </c>
      <c r="B488" t="s">
        <v>568</v>
      </c>
      <c r="C488" s="629">
        <v>1.04</v>
      </c>
      <c r="D488" s="731">
        <v>1481227</v>
      </c>
      <c r="E488" s="731">
        <v>223728</v>
      </c>
      <c r="F488" s="944">
        <v>12</v>
      </c>
      <c r="G488" s="629">
        <v>0</v>
      </c>
    </row>
    <row r="489" spans="1:11">
      <c r="A489" t="s">
        <v>169</v>
      </c>
      <c r="B489" t="s">
        <v>206</v>
      </c>
      <c r="C489" s="629">
        <v>1.04</v>
      </c>
      <c r="D489" s="731">
        <v>10803163</v>
      </c>
      <c r="E489" s="731">
        <v>1030058</v>
      </c>
      <c r="F489" s="944">
        <v>12</v>
      </c>
      <c r="G489" s="629">
        <v>0</v>
      </c>
    </row>
    <row r="490" spans="1:11">
      <c r="A490" t="s">
        <v>1409</v>
      </c>
      <c r="B490" t="s">
        <v>400</v>
      </c>
      <c r="C490" s="629">
        <v>1.04</v>
      </c>
      <c r="D490" s="731">
        <v>577701</v>
      </c>
      <c r="E490" s="731">
        <v>71078</v>
      </c>
      <c r="F490" s="944">
        <v>12</v>
      </c>
      <c r="G490" s="629">
        <v>0</v>
      </c>
    </row>
    <row r="491" spans="1:11">
      <c r="A491" t="s">
        <v>170</v>
      </c>
      <c r="B491" t="s">
        <v>207</v>
      </c>
      <c r="C491" s="629">
        <v>0.97460000000000002</v>
      </c>
      <c r="D491" s="731">
        <v>756110</v>
      </c>
      <c r="E491" s="731">
        <v>54355</v>
      </c>
      <c r="F491" s="944">
        <v>12</v>
      </c>
      <c r="G491" s="629">
        <v>0</v>
      </c>
    </row>
    <row r="492" spans="1:11">
      <c r="A492" t="s">
        <v>1836</v>
      </c>
      <c r="B492" t="s">
        <v>2115</v>
      </c>
      <c r="C492" s="629">
        <v>1.04</v>
      </c>
      <c r="D492" s="731">
        <v>431789</v>
      </c>
      <c r="E492" s="731">
        <v>56665</v>
      </c>
      <c r="F492" s="944">
        <v>12</v>
      </c>
      <c r="G492" s="629">
        <v>0</v>
      </c>
    </row>
    <row r="493" spans="1:11">
      <c r="A493" t="s">
        <v>171</v>
      </c>
      <c r="B493" t="s">
        <v>595</v>
      </c>
      <c r="C493" s="629">
        <v>1.0317000000000001</v>
      </c>
      <c r="D493" s="731">
        <v>1317802</v>
      </c>
      <c r="E493" s="731">
        <v>0</v>
      </c>
      <c r="F493" s="944">
        <v>12</v>
      </c>
      <c r="G493" s="629">
        <v>0</v>
      </c>
    </row>
    <row r="494" spans="1:11">
      <c r="A494" t="s">
        <v>172</v>
      </c>
      <c r="B494" t="s">
        <v>596</v>
      </c>
      <c r="C494" s="629">
        <v>1.04</v>
      </c>
      <c r="D494" s="731">
        <v>358180</v>
      </c>
      <c r="E494" s="731">
        <v>0</v>
      </c>
      <c r="F494" s="944">
        <v>12</v>
      </c>
      <c r="G494" s="629">
        <v>0</v>
      </c>
    </row>
    <row r="495" spans="1:11">
      <c r="A495" t="s">
        <v>1410</v>
      </c>
      <c r="B495" t="s">
        <v>1835</v>
      </c>
      <c r="C495" s="629">
        <v>1.04</v>
      </c>
      <c r="D495" s="731">
        <v>521790</v>
      </c>
      <c r="E495" s="731">
        <v>82898</v>
      </c>
      <c r="F495" s="944">
        <v>12</v>
      </c>
      <c r="G495" s="629">
        <v>0</v>
      </c>
    </row>
    <row r="496" spans="1:11">
      <c r="A496" t="s">
        <v>1336</v>
      </c>
      <c r="B496" t="s">
        <v>597</v>
      </c>
      <c r="C496" s="629">
        <v>1.04</v>
      </c>
      <c r="D496" s="731">
        <v>3515278</v>
      </c>
      <c r="E496" s="731">
        <v>471101</v>
      </c>
      <c r="F496" s="944">
        <v>12</v>
      </c>
      <c r="G496" s="629">
        <v>0</v>
      </c>
    </row>
    <row r="497" spans="1:11">
      <c r="A497" t="s">
        <v>1187</v>
      </c>
      <c r="B497" t="s">
        <v>2043</v>
      </c>
      <c r="C497" s="629">
        <v>1.04</v>
      </c>
      <c r="D497" s="731">
        <v>2575160</v>
      </c>
      <c r="E497" s="731">
        <v>386731</v>
      </c>
      <c r="F497" s="944">
        <v>12</v>
      </c>
      <c r="G497" s="629">
        <v>0</v>
      </c>
    </row>
    <row r="498" spans="1:11">
      <c r="A498" t="s">
        <v>925</v>
      </c>
      <c r="B498" t="s">
        <v>2380</v>
      </c>
      <c r="C498" s="629">
        <v>1.04</v>
      </c>
      <c r="D498" s="731">
        <v>1949357</v>
      </c>
      <c r="E498" s="731">
        <v>0</v>
      </c>
      <c r="F498" s="944">
        <v>12</v>
      </c>
      <c r="G498" s="629">
        <v>0</v>
      </c>
    </row>
    <row r="499" spans="1:11">
      <c r="A499" t="s">
        <v>926</v>
      </c>
      <c r="B499" t="s">
        <v>1479</v>
      </c>
      <c r="C499" s="629">
        <v>1.04</v>
      </c>
      <c r="D499" s="731">
        <v>1287582</v>
      </c>
      <c r="E499" s="731">
        <v>142698</v>
      </c>
      <c r="F499" s="944">
        <v>12</v>
      </c>
      <c r="G499" s="629">
        <v>0</v>
      </c>
    </row>
    <row r="500" spans="1:11">
      <c r="A500" t="s">
        <v>852</v>
      </c>
      <c r="B500" t="s">
        <v>1480</v>
      </c>
      <c r="C500" s="629">
        <v>1.04</v>
      </c>
      <c r="D500" s="731">
        <v>1534916</v>
      </c>
      <c r="E500" s="731">
        <v>53765</v>
      </c>
      <c r="F500" s="944">
        <v>12</v>
      </c>
      <c r="G500" s="629">
        <v>0</v>
      </c>
    </row>
    <row r="501" spans="1:11">
      <c r="A501" t="s">
        <v>1699</v>
      </c>
      <c r="B501" t="s">
        <v>1481</v>
      </c>
      <c r="C501" s="629">
        <v>1.04</v>
      </c>
      <c r="D501" s="731">
        <v>11941017</v>
      </c>
      <c r="E501" s="731">
        <v>457762</v>
      </c>
      <c r="F501" s="944">
        <v>12</v>
      </c>
      <c r="G501" s="629">
        <v>0</v>
      </c>
    </row>
    <row r="502" spans="1:11">
      <c r="A502" t="s">
        <v>2530</v>
      </c>
      <c r="B502" t="s">
        <v>1482</v>
      </c>
      <c r="C502" s="629">
        <v>1.04</v>
      </c>
      <c r="D502" s="731">
        <v>3281434</v>
      </c>
      <c r="E502" s="731">
        <v>0</v>
      </c>
      <c r="F502" s="944">
        <v>12</v>
      </c>
      <c r="G502" s="629">
        <v>0</v>
      </c>
    </row>
    <row r="503" spans="1:11">
      <c r="A503" t="s">
        <v>2531</v>
      </c>
      <c r="B503" t="s">
        <v>1483</v>
      </c>
      <c r="C503" s="629">
        <v>1.04</v>
      </c>
      <c r="D503" s="731">
        <v>4235674</v>
      </c>
      <c r="E503" s="731">
        <v>442075</v>
      </c>
      <c r="F503" s="944">
        <v>12</v>
      </c>
      <c r="G503" s="629">
        <v>0</v>
      </c>
      <c r="H503" s="646">
        <v>794800</v>
      </c>
      <c r="I503" s="646">
        <v>1980716</v>
      </c>
      <c r="J503" s="629">
        <v>698</v>
      </c>
      <c r="K503" s="646">
        <v>340360555</v>
      </c>
    </row>
    <row r="504" spans="1:11">
      <c r="A504" t="s">
        <v>1255</v>
      </c>
      <c r="B504" t="s">
        <v>1484</v>
      </c>
      <c r="C504" s="629">
        <v>0.9</v>
      </c>
      <c r="D504" s="731">
        <v>1224980</v>
      </c>
      <c r="E504" s="731">
        <v>81099</v>
      </c>
      <c r="F504" s="944">
        <v>12</v>
      </c>
      <c r="G504" s="629">
        <v>0</v>
      </c>
    </row>
    <row r="505" spans="1:11">
      <c r="A505" t="s">
        <v>2055</v>
      </c>
      <c r="B505" t="s">
        <v>1485</v>
      </c>
      <c r="C505" s="629">
        <v>1.04</v>
      </c>
      <c r="D505" s="731">
        <v>701279</v>
      </c>
      <c r="E505" s="731">
        <v>0</v>
      </c>
      <c r="F505" s="944">
        <v>12</v>
      </c>
      <c r="G505" s="629">
        <v>0</v>
      </c>
    </row>
    <row r="506" spans="1:11">
      <c r="A506" t="s">
        <v>1046</v>
      </c>
      <c r="B506" t="s">
        <v>1486</v>
      </c>
      <c r="C506" s="629">
        <v>1.0266999999999999</v>
      </c>
      <c r="D506" s="731">
        <v>560690</v>
      </c>
      <c r="E506" s="731">
        <v>0</v>
      </c>
      <c r="F506" s="944">
        <v>12</v>
      </c>
      <c r="G506" s="629">
        <v>31</v>
      </c>
    </row>
    <row r="507" spans="1:11">
      <c r="A507" t="s">
        <v>1779</v>
      </c>
      <c r="B507" t="s">
        <v>610</v>
      </c>
      <c r="C507" s="629">
        <v>1.04</v>
      </c>
      <c r="D507" s="731">
        <v>3090935</v>
      </c>
      <c r="E507" s="731">
        <v>686173</v>
      </c>
      <c r="F507" s="944">
        <v>12</v>
      </c>
      <c r="G507" s="629">
        <v>0</v>
      </c>
    </row>
    <row r="508" spans="1:11">
      <c r="A508" t="s">
        <v>1047</v>
      </c>
      <c r="B508" t="s">
        <v>1487</v>
      </c>
      <c r="C508" s="629">
        <v>1.04</v>
      </c>
      <c r="D508" s="731">
        <v>735683</v>
      </c>
      <c r="E508" s="731">
        <v>39361</v>
      </c>
      <c r="F508" s="944">
        <v>12</v>
      </c>
      <c r="G508" s="629">
        <v>0</v>
      </c>
    </row>
    <row r="509" spans="1:11">
      <c r="A509" t="s">
        <v>1352</v>
      </c>
      <c r="B509" t="s">
        <v>1460</v>
      </c>
      <c r="C509" s="629">
        <v>1.04</v>
      </c>
      <c r="D509" s="731">
        <v>4584718</v>
      </c>
      <c r="E509" s="731">
        <v>850833</v>
      </c>
      <c r="F509" s="944">
        <v>12</v>
      </c>
      <c r="G509" s="629">
        <v>0</v>
      </c>
    </row>
    <row r="510" spans="1:11">
      <c r="A510" t="s">
        <v>1002</v>
      </c>
      <c r="B510" t="s">
        <v>1488</v>
      </c>
      <c r="C510" s="629">
        <v>1.04</v>
      </c>
      <c r="D510" s="731">
        <v>13307673</v>
      </c>
      <c r="E510" s="731">
        <v>1697501</v>
      </c>
      <c r="F510" s="944">
        <v>12</v>
      </c>
      <c r="G510" s="629">
        <v>0</v>
      </c>
    </row>
    <row r="511" spans="1:11">
      <c r="A511" t="s">
        <v>1837</v>
      </c>
      <c r="B511" t="s">
        <v>2006</v>
      </c>
      <c r="C511" s="629">
        <v>1.0389999999999999</v>
      </c>
      <c r="D511" s="731">
        <v>2055856</v>
      </c>
      <c r="E511" s="731">
        <v>376964</v>
      </c>
      <c r="F511" s="944">
        <v>12</v>
      </c>
      <c r="G511" s="629">
        <v>0</v>
      </c>
    </row>
    <row r="512" spans="1:11">
      <c r="A512" t="s">
        <v>1493</v>
      </c>
      <c r="B512" t="s">
        <v>75</v>
      </c>
      <c r="C512" s="629">
        <v>1.04</v>
      </c>
      <c r="D512" s="731">
        <v>5904806</v>
      </c>
      <c r="E512" s="731">
        <v>1020456</v>
      </c>
      <c r="F512" s="944">
        <v>12</v>
      </c>
      <c r="G512" s="629">
        <v>0</v>
      </c>
    </row>
    <row r="513" spans="1:11">
      <c r="A513" t="s">
        <v>231</v>
      </c>
      <c r="B513" t="s">
        <v>1064</v>
      </c>
      <c r="C513" s="629">
        <v>1.1259999999999999</v>
      </c>
      <c r="D513" s="731">
        <v>893247</v>
      </c>
      <c r="E513" s="731">
        <v>138631</v>
      </c>
      <c r="F513" s="944">
        <v>12</v>
      </c>
      <c r="G513" s="629">
        <v>0</v>
      </c>
    </row>
    <row r="514" spans="1:11">
      <c r="A514" t="s">
        <v>1003</v>
      </c>
      <c r="B514" t="s">
        <v>1489</v>
      </c>
      <c r="C514" s="629">
        <v>1.04</v>
      </c>
      <c r="D514" s="731">
        <v>647510</v>
      </c>
      <c r="E514" s="731">
        <v>53960</v>
      </c>
      <c r="F514" s="944">
        <v>12</v>
      </c>
      <c r="G514" s="629">
        <v>0</v>
      </c>
    </row>
    <row r="515" spans="1:11">
      <c r="A515" t="s">
        <v>828</v>
      </c>
      <c r="B515" t="s">
        <v>754</v>
      </c>
      <c r="C515" s="629">
        <v>1.04</v>
      </c>
      <c r="D515" s="731">
        <v>1028214</v>
      </c>
      <c r="E515" s="731">
        <v>40670</v>
      </c>
      <c r="F515" s="944">
        <v>12</v>
      </c>
      <c r="G515" s="629">
        <v>0</v>
      </c>
    </row>
    <row r="516" spans="1:11">
      <c r="A516" t="s">
        <v>1740</v>
      </c>
      <c r="B516" t="s">
        <v>1271</v>
      </c>
      <c r="C516" s="629">
        <v>1.17</v>
      </c>
      <c r="D516" s="731">
        <v>176359</v>
      </c>
      <c r="E516" s="731">
        <v>12207</v>
      </c>
      <c r="F516" s="944">
        <v>12</v>
      </c>
      <c r="G516" s="629">
        <v>0</v>
      </c>
    </row>
    <row r="517" spans="1:11">
      <c r="A517" t="s">
        <v>1004</v>
      </c>
      <c r="B517" t="s">
        <v>1490</v>
      </c>
      <c r="C517" s="629">
        <v>1.04</v>
      </c>
      <c r="D517" s="731">
        <v>5240883</v>
      </c>
      <c r="E517" s="731">
        <v>1292421</v>
      </c>
      <c r="F517" s="944">
        <v>12</v>
      </c>
      <c r="G517" s="629">
        <v>0</v>
      </c>
    </row>
    <row r="518" spans="1:11">
      <c r="A518" t="s">
        <v>2021</v>
      </c>
      <c r="B518" t="s">
        <v>990</v>
      </c>
      <c r="C518" s="629">
        <v>1.0071000000000001</v>
      </c>
      <c r="D518" s="731">
        <v>1577530</v>
      </c>
      <c r="E518" s="731">
        <v>213424</v>
      </c>
      <c r="F518" s="944">
        <v>12</v>
      </c>
      <c r="G518" s="629">
        <v>0</v>
      </c>
    </row>
    <row r="519" spans="1:11">
      <c r="A519" t="s">
        <v>2022</v>
      </c>
      <c r="B519" t="s">
        <v>991</v>
      </c>
      <c r="C519" s="629">
        <v>1.0035000000000001</v>
      </c>
      <c r="D519" s="731">
        <v>15456267</v>
      </c>
      <c r="E519" s="731">
        <v>879120</v>
      </c>
      <c r="F519" s="944">
        <v>12</v>
      </c>
      <c r="G519" s="629">
        <v>0</v>
      </c>
      <c r="H519" s="646">
        <v>2262833</v>
      </c>
      <c r="I519" s="646">
        <v>3141160</v>
      </c>
      <c r="J519" s="646">
        <v>1250</v>
      </c>
      <c r="K519" s="646">
        <v>690635754</v>
      </c>
    </row>
    <row r="520" spans="1:11">
      <c r="A520" t="s">
        <v>1185</v>
      </c>
      <c r="B520" t="s">
        <v>2384</v>
      </c>
      <c r="C520" s="629">
        <v>0.9103</v>
      </c>
      <c r="D520" s="731">
        <v>302958</v>
      </c>
      <c r="E520" s="731">
        <v>0</v>
      </c>
      <c r="F520" s="944">
        <v>12</v>
      </c>
      <c r="G520" s="629">
        <v>0</v>
      </c>
    </row>
    <row r="521" spans="1:11">
      <c r="A521" t="s">
        <v>1186</v>
      </c>
      <c r="B521" t="s">
        <v>992</v>
      </c>
      <c r="C521" s="629">
        <v>1.04</v>
      </c>
      <c r="D521" s="731">
        <v>5283270</v>
      </c>
      <c r="E521" s="731">
        <v>0</v>
      </c>
      <c r="F521" s="944">
        <v>12</v>
      </c>
      <c r="G521" s="629">
        <v>0</v>
      </c>
      <c r="H521" s="646">
        <v>918246</v>
      </c>
      <c r="I521" s="646">
        <v>1442987</v>
      </c>
      <c r="J521" s="629">
        <v>604</v>
      </c>
      <c r="K521" s="646">
        <v>255942255</v>
      </c>
    </row>
    <row r="522" spans="1:11">
      <c r="A522" t="s">
        <v>875</v>
      </c>
      <c r="B522" t="s">
        <v>2323</v>
      </c>
      <c r="C522" s="629">
        <v>1.04</v>
      </c>
      <c r="D522" s="731">
        <v>1143240</v>
      </c>
      <c r="E522" s="731">
        <v>65531</v>
      </c>
      <c r="F522" s="944">
        <v>12</v>
      </c>
      <c r="G522" s="629">
        <v>0</v>
      </c>
    </row>
    <row r="523" spans="1:11">
      <c r="A523" t="s">
        <v>876</v>
      </c>
      <c r="B523" t="s">
        <v>2324</v>
      </c>
      <c r="C523" s="629">
        <v>1.04</v>
      </c>
      <c r="D523" s="731">
        <v>6274449</v>
      </c>
      <c r="E523" s="731">
        <v>1580222</v>
      </c>
      <c r="F523" s="944">
        <v>12</v>
      </c>
      <c r="G523" s="629">
        <v>0</v>
      </c>
      <c r="H523" s="646">
        <v>776083</v>
      </c>
      <c r="I523" s="646">
        <v>3560131</v>
      </c>
      <c r="J523" s="646">
        <v>1444</v>
      </c>
      <c r="K523" s="646">
        <v>225598839</v>
      </c>
    </row>
    <row r="524" spans="1:11">
      <c r="A524" t="s">
        <v>877</v>
      </c>
      <c r="B524" t="s">
        <v>993</v>
      </c>
      <c r="C524" s="629">
        <v>1.04</v>
      </c>
      <c r="D524" s="731">
        <v>1539707</v>
      </c>
      <c r="E524" s="731">
        <v>176675</v>
      </c>
      <c r="F524" s="944">
        <v>12</v>
      </c>
      <c r="G524" s="629">
        <v>0</v>
      </c>
    </row>
    <row r="525" spans="1:11">
      <c r="A525" t="s">
        <v>878</v>
      </c>
      <c r="B525" t="s">
        <v>583</v>
      </c>
      <c r="C525" s="629">
        <v>1.04</v>
      </c>
      <c r="D525" s="731">
        <v>4475100</v>
      </c>
      <c r="E525" s="731">
        <v>1052671</v>
      </c>
      <c r="F525" s="944">
        <v>12</v>
      </c>
      <c r="G525" s="629">
        <v>0</v>
      </c>
    </row>
    <row r="526" spans="1:11">
      <c r="A526" t="s">
        <v>2434</v>
      </c>
      <c r="B526" t="s">
        <v>1393</v>
      </c>
      <c r="C526" s="629">
        <v>1.04</v>
      </c>
      <c r="D526" s="731">
        <v>1489078</v>
      </c>
      <c r="E526" s="731">
        <v>70624</v>
      </c>
      <c r="F526" s="944">
        <v>12</v>
      </c>
      <c r="G526" s="629">
        <v>0</v>
      </c>
    </row>
    <row r="527" spans="1:11">
      <c r="A527" t="s">
        <v>474</v>
      </c>
      <c r="B527" t="s">
        <v>584</v>
      </c>
      <c r="C527" s="629">
        <v>1.04</v>
      </c>
      <c r="D527" s="731">
        <v>5985993</v>
      </c>
      <c r="E527" s="731">
        <v>1143968</v>
      </c>
      <c r="F527" s="944">
        <v>12</v>
      </c>
      <c r="G527" s="629">
        <v>0</v>
      </c>
      <c r="H527" s="646">
        <v>448396</v>
      </c>
      <c r="I527" s="646">
        <v>3109433</v>
      </c>
      <c r="J527" s="646">
        <v>1259</v>
      </c>
      <c r="K527" s="646">
        <v>186984128</v>
      </c>
    </row>
    <row r="528" spans="1:11">
      <c r="A528" t="s">
        <v>2501</v>
      </c>
      <c r="B528" t="s">
        <v>2359</v>
      </c>
      <c r="C528" s="629">
        <v>1.04</v>
      </c>
      <c r="D528" s="731">
        <v>1371981</v>
      </c>
      <c r="E528" s="731">
        <v>0</v>
      </c>
      <c r="F528" s="944">
        <v>12</v>
      </c>
      <c r="G528" s="629">
        <v>0</v>
      </c>
    </row>
    <row r="529" spans="1:11">
      <c r="A529" t="s">
        <v>836</v>
      </c>
      <c r="B529" t="s">
        <v>1362</v>
      </c>
      <c r="C529" s="629">
        <v>1.04</v>
      </c>
      <c r="D529" s="731">
        <v>2270789</v>
      </c>
      <c r="E529" s="731">
        <v>382927</v>
      </c>
      <c r="F529" s="944">
        <v>12</v>
      </c>
      <c r="G529" s="629">
        <v>0</v>
      </c>
    </row>
    <row r="530" spans="1:11">
      <c r="A530" t="s">
        <v>42</v>
      </c>
      <c r="B530" t="s">
        <v>384</v>
      </c>
      <c r="C530" s="629">
        <v>1.17</v>
      </c>
      <c r="D530" s="731">
        <v>6402980</v>
      </c>
      <c r="E530" s="731">
        <v>773162</v>
      </c>
      <c r="F530" s="944">
        <v>12</v>
      </c>
      <c r="G530" s="629">
        <v>0</v>
      </c>
    </row>
    <row r="531" spans="1:11">
      <c r="A531" t="s">
        <v>52</v>
      </c>
      <c r="B531" t="s">
        <v>1904</v>
      </c>
      <c r="C531" s="629">
        <v>1.04</v>
      </c>
      <c r="D531" s="731">
        <v>1547261</v>
      </c>
      <c r="E531" s="731">
        <v>157518</v>
      </c>
      <c r="F531" s="944">
        <v>12</v>
      </c>
      <c r="G531" s="629">
        <v>0</v>
      </c>
    </row>
    <row r="532" spans="1:11">
      <c r="A532" t="s">
        <v>2502</v>
      </c>
      <c r="B532" t="s">
        <v>2360</v>
      </c>
      <c r="C532" s="629">
        <v>1.04</v>
      </c>
      <c r="D532" s="731">
        <v>4180603</v>
      </c>
      <c r="E532" s="731">
        <v>296063</v>
      </c>
      <c r="F532" s="944">
        <v>12</v>
      </c>
      <c r="G532" s="629">
        <v>0</v>
      </c>
      <c r="H532" s="646">
        <v>1312063</v>
      </c>
      <c r="I532" s="646">
        <v>1390398</v>
      </c>
      <c r="J532" s="629">
        <v>524</v>
      </c>
      <c r="K532" s="646">
        <v>339344792</v>
      </c>
    </row>
    <row r="533" spans="1:11">
      <c r="A533" t="s">
        <v>2503</v>
      </c>
      <c r="B533" t="s">
        <v>2361</v>
      </c>
      <c r="C533" s="629">
        <v>1.02</v>
      </c>
      <c r="D533" s="731">
        <v>1514820</v>
      </c>
      <c r="E533" s="731">
        <v>0</v>
      </c>
      <c r="F533" s="944">
        <v>12</v>
      </c>
      <c r="G533" s="629">
        <v>0</v>
      </c>
    </row>
    <row r="534" spans="1:11">
      <c r="A534" t="s">
        <v>2504</v>
      </c>
      <c r="B534" t="s">
        <v>2171</v>
      </c>
      <c r="C534" s="629">
        <v>0.9133</v>
      </c>
      <c r="D534" s="731">
        <v>299202</v>
      </c>
      <c r="E534" s="731">
        <v>0</v>
      </c>
      <c r="F534" s="944">
        <v>12</v>
      </c>
      <c r="G534" s="629">
        <v>31</v>
      </c>
    </row>
    <row r="535" spans="1:11">
      <c r="A535" t="s">
        <v>2399</v>
      </c>
      <c r="B535" t="s">
        <v>371</v>
      </c>
      <c r="C535" s="629">
        <v>1.04</v>
      </c>
      <c r="D535" s="731">
        <v>16674958</v>
      </c>
      <c r="E535" s="731">
        <v>1047444</v>
      </c>
      <c r="F535" s="944">
        <v>12</v>
      </c>
      <c r="G535" s="629">
        <v>0</v>
      </c>
    </row>
    <row r="536" spans="1:11">
      <c r="A536" t="s">
        <v>2168</v>
      </c>
      <c r="B536" t="s">
        <v>2172</v>
      </c>
      <c r="C536" s="629">
        <v>1.04</v>
      </c>
      <c r="D536" s="731">
        <v>46237045</v>
      </c>
      <c r="E536" s="731">
        <v>4049898</v>
      </c>
      <c r="F536" s="944">
        <v>12</v>
      </c>
      <c r="G536" s="629">
        <v>0</v>
      </c>
      <c r="H536" s="646">
        <v>13044858</v>
      </c>
      <c r="I536" s="646">
        <v>33615751</v>
      </c>
      <c r="J536" s="646">
        <v>14149</v>
      </c>
      <c r="K536" s="646">
        <v>2721854092</v>
      </c>
    </row>
    <row r="537" spans="1:11">
      <c r="A537" t="s">
        <v>2169</v>
      </c>
      <c r="B537" t="s">
        <v>2543</v>
      </c>
      <c r="C537" s="629">
        <v>1.04</v>
      </c>
      <c r="D537" s="731">
        <v>33322673</v>
      </c>
      <c r="E537" s="731">
        <v>3008044</v>
      </c>
      <c r="F537" s="944">
        <v>12</v>
      </c>
      <c r="G537" s="629">
        <v>0</v>
      </c>
      <c r="H537" s="646">
        <v>5347619</v>
      </c>
      <c r="I537" s="646">
        <v>13614738</v>
      </c>
      <c r="J537" s="646">
        <v>5825</v>
      </c>
      <c r="K537" s="646">
        <v>1187183072</v>
      </c>
    </row>
    <row r="538" spans="1:11">
      <c r="A538" t="s">
        <v>1249</v>
      </c>
      <c r="B538" t="s">
        <v>2544</v>
      </c>
      <c r="C538" s="629">
        <v>1.04</v>
      </c>
      <c r="D538" s="731">
        <v>88826510</v>
      </c>
      <c r="E538" s="731">
        <v>4168675</v>
      </c>
      <c r="F538" s="944">
        <v>12</v>
      </c>
      <c r="G538" s="629">
        <v>0</v>
      </c>
      <c r="H538" s="646">
        <v>20503088</v>
      </c>
      <c r="I538" s="646">
        <v>57848344</v>
      </c>
      <c r="J538" s="646">
        <v>24102</v>
      </c>
      <c r="K538" s="646">
        <v>4816460704</v>
      </c>
    </row>
    <row r="539" spans="1:11">
      <c r="A539" t="s">
        <v>1250</v>
      </c>
      <c r="B539" t="s">
        <v>2545</v>
      </c>
      <c r="C539" s="629">
        <v>1.04</v>
      </c>
      <c r="D539" s="731">
        <v>5511502</v>
      </c>
      <c r="E539" s="731">
        <v>760362</v>
      </c>
      <c r="F539" s="944">
        <v>12</v>
      </c>
      <c r="G539" s="629">
        <v>0</v>
      </c>
      <c r="H539" s="646">
        <v>1031146</v>
      </c>
      <c r="I539" s="646">
        <v>860193</v>
      </c>
      <c r="J539" s="629">
        <v>350</v>
      </c>
      <c r="K539" s="646">
        <v>311364499</v>
      </c>
    </row>
    <row r="540" spans="1:11">
      <c r="A540" t="s">
        <v>1233</v>
      </c>
      <c r="B540" t="s">
        <v>1638</v>
      </c>
      <c r="C540" s="629">
        <v>1.17</v>
      </c>
      <c r="D540" s="731">
        <v>7145196</v>
      </c>
      <c r="E540" s="731">
        <v>1054358</v>
      </c>
      <c r="F540" s="944">
        <v>12</v>
      </c>
      <c r="G540" s="629">
        <v>0</v>
      </c>
    </row>
    <row r="541" spans="1:11">
      <c r="A541" t="s">
        <v>1251</v>
      </c>
      <c r="B541" t="s">
        <v>1641</v>
      </c>
      <c r="C541" s="629">
        <v>1.04</v>
      </c>
      <c r="D541" s="731">
        <v>4735391</v>
      </c>
      <c r="E541" s="731">
        <v>417336</v>
      </c>
      <c r="F541" s="944">
        <v>12</v>
      </c>
      <c r="G541" s="629">
        <v>0</v>
      </c>
    </row>
    <row r="542" spans="1:11">
      <c r="A542" t="s">
        <v>1906</v>
      </c>
      <c r="B542" t="s">
        <v>660</v>
      </c>
      <c r="C542" s="629">
        <v>1.04</v>
      </c>
      <c r="D542" s="731">
        <v>10180956</v>
      </c>
      <c r="E542" s="731">
        <v>1403023</v>
      </c>
      <c r="F542" s="944">
        <v>12</v>
      </c>
      <c r="G542" s="629">
        <v>0</v>
      </c>
    </row>
    <row r="543" spans="1:11">
      <c r="A543" t="s">
        <v>2198</v>
      </c>
      <c r="B543" t="s">
        <v>2534</v>
      </c>
      <c r="C543" s="629">
        <v>1.04</v>
      </c>
      <c r="D543" s="731">
        <v>538693</v>
      </c>
      <c r="E543" s="731">
        <v>73640</v>
      </c>
      <c r="F543" s="944">
        <v>12</v>
      </c>
      <c r="G543" s="629">
        <v>0</v>
      </c>
    </row>
    <row r="544" spans="1:11">
      <c r="A544" t="s">
        <v>1328</v>
      </c>
      <c r="B544" t="s">
        <v>961</v>
      </c>
      <c r="C544" s="629">
        <v>1.04</v>
      </c>
      <c r="D544" s="731">
        <v>1454381</v>
      </c>
      <c r="E544" s="731">
        <v>184185</v>
      </c>
      <c r="F544" s="944">
        <v>12</v>
      </c>
      <c r="G544" s="629">
        <v>0</v>
      </c>
    </row>
    <row r="545" spans="1:11">
      <c r="A545" t="s">
        <v>202</v>
      </c>
      <c r="B545" t="s">
        <v>1983</v>
      </c>
      <c r="C545" s="629">
        <v>1.04</v>
      </c>
      <c r="D545" s="731">
        <v>1298452</v>
      </c>
      <c r="E545" s="731">
        <v>173349</v>
      </c>
      <c r="F545" s="944">
        <v>12</v>
      </c>
      <c r="G545" s="629">
        <v>0</v>
      </c>
    </row>
    <row r="546" spans="1:11">
      <c r="A546" t="s">
        <v>1252</v>
      </c>
      <c r="B546" t="s">
        <v>1642</v>
      </c>
      <c r="C546" s="629">
        <v>1.04</v>
      </c>
      <c r="D546" s="731">
        <v>344264</v>
      </c>
      <c r="E546" s="731">
        <v>0</v>
      </c>
      <c r="F546" s="944">
        <v>6</v>
      </c>
      <c r="G546" s="629">
        <v>0</v>
      </c>
    </row>
    <row r="547" spans="1:11">
      <c r="A547" t="s">
        <v>181</v>
      </c>
      <c r="B547" t="s">
        <v>995</v>
      </c>
      <c r="C547" s="629">
        <v>1.04</v>
      </c>
      <c r="D547" s="731">
        <v>9088907</v>
      </c>
      <c r="E547" s="731">
        <v>1742202</v>
      </c>
      <c r="F547" s="944">
        <v>12</v>
      </c>
      <c r="G547" s="629">
        <v>0</v>
      </c>
    </row>
    <row r="548" spans="1:11">
      <c r="A548" t="s">
        <v>1777</v>
      </c>
      <c r="B548" t="s">
        <v>1364</v>
      </c>
      <c r="C548" s="629">
        <v>1.04</v>
      </c>
      <c r="D548" s="731">
        <v>25941327</v>
      </c>
      <c r="E548" s="731">
        <v>4722642</v>
      </c>
      <c r="F548" s="944">
        <v>12</v>
      </c>
      <c r="G548" s="629">
        <v>0</v>
      </c>
    </row>
    <row r="549" spans="1:11">
      <c r="A549" t="s">
        <v>539</v>
      </c>
      <c r="B549" t="s">
        <v>1093</v>
      </c>
      <c r="C549" s="629">
        <v>1.04</v>
      </c>
      <c r="D549" s="731">
        <v>25174327</v>
      </c>
      <c r="E549" s="731">
        <v>3943604</v>
      </c>
      <c r="F549" s="944">
        <v>12</v>
      </c>
      <c r="G549" s="629">
        <v>0</v>
      </c>
    </row>
    <row r="550" spans="1:11">
      <c r="A550" t="s">
        <v>1700</v>
      </c>
      <c r="B550" t="s">
        <v>818</v>
      </c>
      <c r="C550" s="629">
        <v>1.04</v>
      </c>
      <c r="D550" s="731">
        <v>2631241</v>
      </c>
      <c r="E550" s="731">
        <v>183411</v>
      </c>
      <c r="F550" s="944">
        <v>12</v>
      </c>
      <c r="G550" s="629">
        <v>0</v>
      </c>
    </row>
    <row r="551" spans="1:11">
      <c r="A551" t="s">
        <v>43</v>
      </c>
      <c r="B551" t="s">
        <v>385</v>
      </c>
      <c r="C551" s="629">
        <v>1.04</v>
      </c>
      <c r="D551" s="731">
        <v>10648885</v>
      </c>
      <c r="E551" s="731">
        <v>1594167</v>
      </c>
      <c r="F551" s="944">
        <v>12</v>
      </c>
      <c r="G551" s="629">
        <v>0</v>
      </c>
    </row>
    <row r="552" spans="1:11">
      <c r="A552" t="s">
        <v>1253</v>
      </c>
      <c r="B552" t="s">
        <v>1921</v>
      </c>
      <c r="C552" s="629">
        <v>1.04</v>
      </c>
      <c r="D552" s="731">
        <v>1436221</v>
      </c>
      <c r="E552" s="731">
        <v>2204</v>
      </c>
      <c r="F552" s="944">
        <v>12</v>
      </c>
      <c r="G552" s="629">
        <v>0</v>
      </c>
    </row>
    <row r="553" spans="1:11">
      <c r="A553" t="s">
        <v>2199</v>
      </c>
      <c r="B553" t="s">
        <v>2548</v>
      </c>
      <c r="C553" s="629">
        <v>1.04</v>
      </c>
      <c r="D553" s="731">
        <v>2019258</v>
      </c>
      <c r="E553" s="731">
        <v>202790</v>
      </c>
      <c r="F553" s="944">
        <v>12</v>
      </c>
      <c r="G553" s="629">
        <v>0</v>
      </c>
    </row>
    <row r="554" spans="1:11">
      <c r="A554" t="s">
        <v>241</v>
      </c>
      <c r="B554" t="s">
        <v>2499</v>
      </c>
      <c r="C554" s="629">
        <v>1.04</v>
      </c>
      <c r="D554" s="731">
        <v>2714427</v>
      </c>
      <c r="E554" s="731">
        <v>208855</v>
      </c>
      <c r="F554" s="944">
        <v>12</v>
      </c>
      <c r="G554" s="629">
        <v>0</v>
      </c>
    </row>
    <row r="555" spans="1:11">
      <c r="A555" t="s">
        <v>1189</v>
      </c>
      <c r="B555" t="s">
        <v>2197</v>
      </c>
      <c r="C555" s="629">
        <v>0.92149999999999999</v>
      </c>
      <c r="D555" s="731">
        <v>7131888</v>
      </c>
      <c r="E555" s="731">
        <v>580469</v>
      </c>
      <c r="F555" s="944">
        <v>12</v>
      </c>
      <c r="G555" s="629">
        <v>0</v>
      </c>
      <c r="H555" s="646">
        <v>135114</v>
      </c>
      <c r="I555" s="646">
        <v>2375985</v>
      </c>
      <c r="J555" s="629">
        <v>984</v>
      </c>
      <c r="K555" s="646">
        <v>55813682</v>
      </c>
    </row>
    <row r="556" spans="1:11">
      <c r="A556" t="s">
        <v>1978</v>
      </c>
      <c r="B556" t="s">
        <v>2279</v>
      </c>
      <c r="C556" s="629">
        <v>1.04</v>
      </c>
      <c r="D556" s="731">
        <v>1034554</v>
      </c>
      <c r="E556" s="731">
        <v>0</v>
      </c>
      <c r="F556" s="944">
        <v>12</v>
      </c>
      <c r="G556" s="629">
        <v>0</v>
      </c>
    </row>
    <row r="557" spans="1:11">
      <c r="A557" t="s">
        <v>1254</v>
      </c>
      <c r="B557" t="s">
        <v>1922</v>
      </c>
      <c r="C557" s="629">
        <v>1.17</v>
      </c>
      <c r="D557" s="731">
        <v>1001990</v>
      </c>
      <c r="E557" s="731">
        <v>85290</v>
      </c>
      <c r="F557" s="944">
        <v>12</v>
      </c>
      <c r="G557" s="629">
        <v>0</v>
      </c>
    </row>
    <row r="558" spans="1:11">
      <c r="A558" t="s">
        <v>1758</v>
      </c>
      <c r="B558" t="s">
        <v>783</v>
      </c>
      <c r="C558" s="629">
        <v>1.04</v>
      </c>
      <c r="D558" s="731">
        <v>703050</v>
      </c>
      <c r="E558" s="731">
        <v>0</v>
      </c>
      <c r="F558" s="944">
        <v>12</v>
      </c>
      <c r="G558" s="629">
        <v>0</v>
      </c>
    </row>
    <row r="559" spans="1:11">
      <c r="A559" t="s">
        <v>2370</v>
      </c>
      <c r="B559" t="s">
        <v>135</v>
      </c>
      <c r="C559" s="629">
        <v>1.17</v>
      </c>
      <c r="D559" s="731">
        <v>557696</v>
      </c>
      <c r="E559" s="731">
        <v>27635</v>
      </c>
      <c r="F559" s="944">
        <v>12</v>
      </c>
      <c r="G559" s="629">
        <v>0</v>
      </c>
    </row>
    <row r="560" spans="1:11">
      <c r="A560" t="s">
        <v>245</v>
      </c>
      <c r="B560" t="s">
        <v>1832</v>
      </c>
      <c r="C560" s="629">
        <v>1.17</v>
      </c>
      <c r="D560" s="731">
        <v>835496</v>
      </c>
      <c r="E560" s="731">
        <v>47130</v>
      </c>
      <c r="F560" s="944">
        <v>12</v>
      </c>
      <c r="G560" s="629">
        <v>0</v>
      </c>
    </row>
    <row r="561" spans="1:11">
      <c r="A561" t="s">
        <v>45</v>
      </c>
      <c r="B561" t="s">
        <v>387</v>
      </c>
      <c r="C561" s="629">
        <v>1.04</v>
      </c>
      <c r="D561" s="731">
        <v>2154927</v>
      </c>
      <c r="E561" s="731">
        <v>56431</v>
      </c>
      <c r="F561" s="944">
        <v>12</v>
      </c>
      <c r="G561" s="629">
        <v>0</v>
      </c>
    </row>
    <row r="562" spans="1:11">
      <c r="A562" t="s">
        <v>2371</v>
      </c>
      <c r="B562" t="s">
        <v>392</v>
      </c>
      <c r="C562" s="629">
        <v>1.04</v>
      </c>
      <c r="D562" s="731">
        <v>1170723</v>
      </c>
      <c r="E562" s="731">
        <v>90084</v>
      </c>
      <c r="F562" s="944">
        <v>12</v>
      </c>
      <c r="G562" s="629">
        <v>0</v>
      </c>
    </row>
    <row r="563" spans="1:11">
      <c r="A563" t="s">
        <v>1083</v>
      </c>
      <c r="B563" t="s">
        <v>1923</v>
      </c>
      <c r="C563" s="629">
        <v>1.04</v>
      </c>
      <c r="D563" s="731">
        <v>590306</v>
      </c>
      <c r="E563" s="731">
        <v>0</v>
      </c>
      <c r="F563" s="944">
        <v>12</v>
      </c>
      <c r="G563" s="629">
        <v>0</v>
      </c>
    </row>
    <row r="564" spans="1:11">
      <c r="A564" t="s">
        <v>1592</v>
      </c>
      <c r="B564" t="s">
        <v>846</v>
      </c>
      <c r="C564" s="629">
        <v>1.04</v>
      </c>
      <c r="D564" s="731">
        <v>602571</v>
      </c>
      <c r="E564" s="731">
        <v>90214</v>
      </c>
      <c r="F564" s="944">
        <v>12</v>
      </c>
      <c r="G564" s="629">
        <v>0</v>
      </c>
    </row>
    <row r="565" spans="1:11">
      <c r="A565" t="s">
        <v>2265</v>
      </c>
      <c r="B565" t="s">
        <v>394</v>
      </c>
      <c r="C565" s="629">
        <v>1.04</v>
      </c>
      <c r="D565" s="731">
        <v>4968042</v>
      </c>
      <c r="E565" s="731">
        <v>1077094</v>
      </c>
      <c r="F565" s="944">
        <v>12</v>
      </c>
      <c r="G565" s="629">
        <v>0</v>
      </c>
    </row>
    <row r="566" spans="1:11">
      <c r="A566" t="s">
        <v>1263</v>
      </c>
      <c r="B566" t="s">
        <v>102</v>
      </c>
      <c r="C566" s="629">
        <v>1.04</v>
      </c>
      <c r="D566" s="731">
        <v>24233844</v>
      </c>
      <c r="E566" s="731">
        <v>5097898</v>
      </c>
      <c r="F566" s="944">
        <v>12</v>
      </c>
      <c r="G566" s="629">
        <v>0</v>
      </c>
    </row>
    <row r="567" spans="1:11">
      <c r="A567" t="s">
        <v>47</v>
      </c>
      <c r="B567" t="s">
        <v>389</v>
      </c>
      <c r="C567" s="629">
        <v>1.04</v>
      </c>
      <c r="D567" s="731">
        <v>6755162</v>
      </c>
      <c r="E567" s="731">
        <v>1214677</v>
      </c>
      <c r="F567" s="944">
        <v>12</v>
      </c>
      <c r="G567" s="629">
        <v>0</v>
      </c>
    </row>
    <row r="568" spans="1:11">
      <c r="A568" t="s">
        <v>49</v>
      </c>
      <c r="B568" t="s">
        <v>391</v>
      </c>
      <c r="C568" s="629">
        <v>1.04</v>
      </c>
      <c r="D568" s="731">
        <v>3047086</v>
      </c>
      <c r="E568" s="731">
        <v>225726</v>
      </c>
      <c r="F568" s="944">
        <v>12</v>
      </c>
      <c r="G568" s="629">
        <v>0</v>
      </c>
    </row>
    <row r="569" spans="1:11">
      <c r="A569" t="s">
        <v>2413</v>
      </c>
      <c r="B569" t="s">
        <v>1924</v>
      </c>
      <c r="C569" s="629">
        <v>1.04</v>
      </c>
      <c r="D569" s="731">
        <v>9456591</v>
      </c>
      <c r="E569" s="731">
        <v>2652556</v>
      </c>
      <c r="F569" s="944">
        <v>12</v>
      </c>
      <c r="G569" s="629">
        <v>0</v>
      </c>
    </row>
    <row r="570" spans="1:11">
      <c r="A570" t="s">
        <v>2414</v>
      </c>
      <c r="B570" t="s">
        <v>1925</v>
      </c>
      <c r="C570" s="629">
        <v>1.04</v>
      </c>
      <c r="D570" s="731">
        <v>14651144</v>
      </c>
      <c r="E570" s="731">
        <v>3281534</v>
      </c>
      <c r="F570" s="944">
        <v>12</v>
      </c>
      <c r="G570" s="629">
        <v>0</v>
      </c>
    </row>
    <row r="571" spans="1:11">
      <c r="A571" t="s">
        <v>466</v>
      </c>
      <c r="B571" t="s">
        <v>1174</v>
      </c>
      <c r="C571" s="629">
        <v>1.04</v>
      </c>
      <c r="D571" s="731">
        <v>1698167</v>
      </c>
      <c r="E571" s="731">
        <v>324436</v>
      </c>
      <c r="F571" s="944">
        <v>12</v>
      </c>
      <c r="G571" s="629">
        <v>0</v>
      </c>
    </row>
    <row r="572" spans="1:11">
      <c r="A572" t="s">
        <v>2415</v>
      </c>
      <c r="B572" t="s">
        <v>1926</v>
      </c>
      <c r="C572" s="629">
        <v>1.04</v>
      </c>
      <c r="D572" s="731">
        <v>39281983</v>
      </c>
      <c r="E572" s="731">
        <v>8752107</v>
      </c>
      <c r="F572" s="944">
        <v>12</v>
      </c>
      <c r="G572" s="629">
        <v>0</v>
      </c>
      <c r="H572" s="646">
        <v>965795</v>
      </c>
      <c r="I572" s="646">
        <v>8964643</v>
      </c>
      <c r="J572" s="646">
        <v>3722</v>
      </c>
      <c r="K572" s="646">
        <v>607266090</v>
      </c>
    </row>
    <row r="573" spans="1:11">
      <c r="A573" t="s">
        <v>1449</v>
      </c>
      <c r="B573" t="s">
        <v>1927</v>
      </c>
      <c r="C573" s="629">
        <v>0.94499999999999995</v>
      </c>
      <c r="D573" s="731">
        <v>5299922</v>
      </c>
      <c r="E573" s="731">
        <v>640930</v>
      </c>
      <c r="F573" s="944">
        <v>12</v>
      </c>
      <c r="G573" s="629">
        <v>0</v>
      </c>
    </row>
    <row r="574" spans="1:11">
      <c r="A574" t="s">
        <v>2542</v>
      </c>
      <c r="B574" t="s">
        <v>1928</v>
      </c>
      <c r="C574" s="629">
        <v>1.04</v>
      </c>
      <c r="D574" s="731">
        <v>5174476</v>
      </c>
      <c r="E574" s="731">
        <v>324081</v>
      </c>
      <c r="F574" s="944">
        <v>6</v>
      </c>
      <c r="G574" s="629">
        <v>0</v>
      </c>
      <c r="H574" s="646">
        <v>751817</v>
      </c>
      <c r="I574" s="646">
        <v>255831</v>
      </c>
      <c r="J574" s="629">
        <v>311</v>
      </c>
      <c r="K574" s="646">
        <v>245765979</v>
      </c>
    </row>
    <row r="575" spans="1:11">
      <c r="A575" t="s">
        <v>2195</v>
      </c>
      <c r="B575" t="s">
        <v>1929</v>
      </c>
      <c r="C575" s="629">
        <v>1.0066999999999999</v>
      </c>
      <c r="D575" s="731">
        <v>5380625</v>
      </c>
      <c r="E575" s="731">
        <v>381811</v>
      </c>
      <c r="F575" s="944">
        <v>12</v>
      </c>
      <c r="G575" s="629">
        <v>0</v>
      </c>
      <c r="H575" s="646">
        <v>1218857</v>
      </c>
      <c r="I575" s="646">
        <v>804643</v>
      </c>
      <c r="J575" s="629">
        <v>306</v>
      </c>
      <c r="K575" s="646">
        <v>878446646</v>
      </c>
    </row>
    <row r="576" spans="1:11">
      <c r="A576" t="s">
        <v>1451</v>
      </c>
      <c r="B576" t="s">
        <v>618</v>
      </c>
      <c r="C576" s="629">
        <v>1.04</v>
      </c>
      <c r="D576" s="731">
        <v>1936907</v>
      </c>
      <c r="E576" s="731">
        <v>119686</v>
      </c>
      <c r="F576" s="944">
        <v>12</v>
      </c>
      <c r="G576" s="629">
        <v>0</v>
      </c>
    </row>
    <row r="577" spans="1:11">
      <c r="A577" t="s">
        <v>2404</v>
      </c>
      <c r="B577" t="s">
        <v>1930</v>
      </c>
      <c r="C577" s="629">
        <v>1.04</v>
      </c>
      <c r="D577" s="731">
        <v>2661252</v>
      </c>
      <c r="E577" s="731">
        <v>0</v>
      </c>
      <c r="F577" s="944">
        <v>6</v>
      </c>
      <c r="G577" s="629">
        <v>0</v>
      </c>
      <c r="H577" s="646">
        <v>409058</v>
      </c>
      <c r="I577" s="646">
        <v>416261</v>
      </c>
      <c r="J577" s="629">
        <v>317</v>
      </c>
      <c r="K577" s="646">
        <v>82816199</v>
      </c>
    </row>
    <row r="578" spans="1:11">
      <c r="A578" t="s">
        <v>2405</v>
      </c>
      <c r="B578" t="s">
        <v>1931</v>
      </c>
      <c r="C578" s="629">
        <v>0.99</v>
      </c>
      <c r="D578" s="731">
        <v>19835518</v>
      </c>
      <c r="E578" s="731">
        <v>3159314</v>
      </c>
      <c r="F578" s="944">
        <v>12</v>
      </c>
      <c r="G578" s="629">
        <v>0</v>
      </c>
      <c r="H578" s="646">
        <v>1251808</v>
      </c>
      <c r="I578" s="646">
        <v>11378286</v>
      </c>
      <c r="J578" s="646">
        <v>4929</v>
      </c>
      <c r="K578" s="646">
        <v>782416129</v>
      </c>
    </row>
    <row r="579" spans="1:11">
      <c r="A579" t="s">
        <v>459</v>
      </c>
      <c r="B579" t="s">
        <v>1932</v>
      </c>
      <c r="C579" s="629">
        <v>1.04</v>
      </c>
      <c r="D579" s="731">
        <v>3820665</v>
      </c>
      <c r="E579" s="731">
        <v>254371</v>
      </c>
      <c r="F579" s="944">
        <v>12</v>
      </c>
      <c r="G579" s="629">
        <v>0</v>
      </c>
    </row>
    <row r="580" spans="1:11">
      <c r="A580" t="s">
        <v>2154</v>
      </c>
      <c r="B580" t="s">
        <v>1933</v>
      </c>
      <c r="C580" s="629">
        <v>0.74299999999999999</v>
      </c>
      <c r="D580" s="731">
        <v>369311</v>
      </c>
      <c r="E580" s="731">
        <v>0</v>
      </c>
      <c r="F580" s="944">
        <v>6</v>
      </c>
      <c r="G580" s="629">
        <v>31</v>
      </c>
      <c r="H580" s="646">
        <v>75689</v>
      </c>
      <c r="I580" s="646">
        <v>47577</v>
      </c>
      <c r="J580" s="629">
        <v>25</v>
      </c>
      <c r="K580" s="646">
        <v>16311697</v>
      </c>
    </row>
    <row r="581" spans="1:11">
      <c r="A581" t="s">
        <v>2155</v>
      </c>
      <c r="B581" t="s">
        <v>1934</v>
      </c>
      <c r="C581" s="629">
        <v>0.95</v>
      </c>
      <c r="D581" s="731">
        <v>2551556</v>
      </c>
      <c r="E581" s="731">
        <v>0</v>
      </c>
      <c r="F581" s="944">
        <v>12</v>
      </c>
      <c r="G581" s="629">
        <v>0</v>
      </c>
    </row>
    <row r="582" spans="1:11">
      <c r="A582" t="s">
        <v>1444</v>
      </c>
      <c r="B582" t="s">
        <v>1935</v>
      </c>
      <c r="C582" s="629">
        <v>0.98</v>
      </c>
      <c r="D582" s="731">
        <v>2807759</v>
      </c>
      <c r="E582" s="731">
        <v>0</v>
      </c>
      <c r="F582" s="944">
        <v>12</v>
      </c>
      <c r="G582" s="629">
        <v>0</v>
      </c>
      <c r="H582" s="646">
        <v>1021933</v>
      </c>
      <c r="I582" s="646">
        <v>658181</v>
      </c>
      <c r="J582" s="629">
        <v>199</v>
      </c>
      <c r="K582" s="646">
        <v>492054151</v>
      </c>
    </row>
    <row r="583" spans="1:11">
      <c r="A583" t="s">
        <v>1445</v>
      </c>
      <c r="B583" t="s">
        <v>1936</v>
      </c>
      <c r="C583" s="629">
        <v>0.97</v>
      </c>
      <c r="D583" s="731">
        <v>1369882</v>
      </c>
      <c r="E583" s="731">
        <v>0</v>
      </c>
      <c r="F583" s="944">
        <v>12</v>
      </c>
      <c r="G583" s="629">
        <v>0</v>
      </c>
    </row>
    <row r="584" spans="1:11">
      <c r="A584" t="s">
        <v>2372</v>
      </c>
      <c r="B584" t="s">
        <v>1903</v>
      </c>
      <c r="C584" s="629">
        <v>1.04</v>
      </c>
      <c r="D584" s="731">
        <v>7552077</v>
      </c>
      <c r="E584" s="731">
        <v>562540</v>
      </c>
      <c r="F584" s="944">
        <v>12</v>
      </c>
      <c r="G584" s="629">
        <v>0</v>
      </c>
    </row>
    <row r="585" spans="1:11">
      <c r="A585" t="s">
        <v>373</v>
      </c>
      <c r="B585" t="s">
        <v>1937</v>
      </c>
      <c r="C585" s="629">
        <v>1.17</v>
      </c>
      <c r="D585" s="731">
        <v>1515688</v>
      </c>
      <c r="E585" s="731">
        <v>0</v>
      </c>
      <c r="F585" s="944">
        <v>8</v>
      </c>
      <c r="G585" s="629">
        <v>0</v>
      </c>
    </row>
    <row r="586" spans="1:11">
      <c r="A586" t="s">
        <v>374</v>
      </c>
      <c r="B586" t="s">
        <v>1938</v>
      </c>
      <c r="C586" s="629">
        <v>1.04</v>
      </c>
      <c r="D586" s="731">
        <v>2672921</v>
      </c>
      <c r="E586" s="731">
        <v>0</v>
      </c>
      <c r="F586" s="944">
        <v>12</v>
      </c>
      <c r="G586" s="629">
        <v>0</v>
      </c>
    </row>
    <row r="587" spans="1:11">
      <c r="A587" t="s">
        <v>375</v>
      </c>
      <c r="B587" t="s">
        <v>1939</v>
      </c>
      <c r="C587" s="629">
        <v>1.04</v>
      </c>
      <c r="D587" s="731">
        <v>2242195</v>
      </c>
      <c r="E587" s="731">
        <v>0</v>
      </c>
      <c r="F587" s="944">
        <v>12</v>
      </c>
      <c r="G587" s="629">
        <v>0</v>
      </c>
      <c r="H587" s="646">
        <v>736815</v>
      </c>
      <c r="I587" s="646">
        <v>357233</v>
      </c>
      <c r="J587" s="629">
        <v>144</v>
      </c>
      <c r="K587" s="646">
        <v>174817600</v>
      </c>
    </row>
    <row r="588" spans="1:11">
      <c r="A588" t="s">
        <v>2373</v>
      </c>
      <c r="B588" t="s">
        <v>994</v>
      </c>
      <c r="C588" s="629">
        <v>1.17</v>
      </c>
      <c r="D588" s="731">
        <v>762693</v>
      </c>
      <c r="E588" s="731">
        <v>37640</v>
      </c>
      <c r="F588" s="944">
        <v>12</v>
      </c>
      <c r="G588" s="629">
        <v>0</v>
      </c>
    </row>
    <row r="589" spans="1:11">
      <c r="A589" t="s">
        <v>228</v>
      </c>
      <c r="B589" t="s">
        <v>1940</v>
      </c>
      <c r="C589" s="629">
        <v>1.17</v>
      </c>
      <c r="D589" s="731">
        <v>544486</v>
      </c>
      <c r="E589" s="731">
        <v>0</v>
      </c>
      <c r="F589" s="944">
        <v>12</v>
      </c>
      <c r="G589" s="629">
        <v>0</v>
      </c>
    </row>
    <row r="590" spans="1:11">
      <c r="A590" t="s">
        <v>229</v>
      </c>
      <c r="B590" t="s">
        <v>1941</v>
      </c>
      <c r="C590" s="629">
        <v>1.17</v>
      </c>
      <c r="D590" s="731">
        <v>289376</v>
      </c>
      <c r="E590" s="731">
        <v>0</v>
      </c>
      <c r="F590" s="944">
        <v>12</v>
      </c>
      <c r="G590" s="629">
        <v>0</v>
      </c>
    </row>
    <row r="591" spans="1:11">
      <c r="A591" t="s">
        <v>230</v>
      </c>
      <c r="B591" t="s">
        <v>1942</v>
      </c>
      <c r="C591" s="629">
        <v>1.04</v>
      </c>
      <c r="D591" s="731">
        <v>5879507</v>
      </c>
      <c r="E591" s="731">
        <v>832782</v>
      </c>
      <c r="F591" s="944">
        <v>12</v>
      </c>
      <c r="G591" s="629">
        <v>0</v>
      </c>
      <c r="H591" s="646">
        <v>93337</v>
      </c>
      <c r="I591" s="646">
        <v>2597190</v>
      </c>
      <c r="J591" s="629">
        <v>819</v>
      </c>
      <c r="K591" s="646">
        <v>214182194</v>
      </c>
    </row>
    <row r="592" spans="1:11">
      <c r="A592" t="s">
        <v>2200</v>
      </c>
      <c r="B592" t="s">
        <v>575</v>
      </c>
      <c r="C592" s="629">
        <v>1.04</v>
      </c>
      <c r="D592" s="731">
        <v>319372</v>
      </c>
      <c r="E592" s="731">
        <v>36445</v>
      </c>
      <c r="F592" s="944">
        <v>12</v>
      </c>
      <c r="G592" s="629">
        <v>0</v>
      </c>
    </row>
    <row r="593" spans="1:11">
      <c r="A593" t="s">
        <v>1910</v>
      </c>
      <c r="B593" t="s">
        <v>184</v>
      </c>
      <c r="C593" s="629">
        <v>1.04</v>
      </c>
      <c r="D593" s="731">
        <v>6785225</v>
      </c>
      <c r="E593" s="731">
        <v>490286</v>
      </c>
      <c r="F593" s="944">
        <v>12</v>
      </c>
      <c r="G593" s="629">
        <v>0</v>
      </c>
    </row>
    <row r="594" spans="1:11">
      <c r="A594" t="s">
        <v>1963</v>
      </c>
      <c r="B594" t="s">
        <v>2290</v>
      </c>
      <c r="C594" s="629">
        <v>1.04</v>
      </c>
      <c r="D594" s="731">
        <v>8109985</v>
      </c>
      <c r="E594" s="731">
        <v>600166</v>
      </c>
      <c r="F594" s="944">
        <v>12</v>
      </c>
      <c r="G594" s="629">
        <v>0</v>
      </c>
    </row>
    <row r="595" spans="1:11">
      <c r="A595" t="s">
        <v>2374</v>
      </c>
      <c r="B595" t="s">
        <v>1982</v>
      </c>
      <c r="C595" s="629">
        <v>1.04</v>
      </c>
      <c r="D595" s="731">
        <v>1248528</v>
      </c>
      <c r="E595" s="731">
        <v>194553</v>
      </c>
      <c r="F595" s="944">
        <v>12</v>
      </c>
      <c r="G595" s="629">
        <v>0</v>
      </c>
    </row>
    <row r="596" spans="1:11">
      <c r="A596" t="s">
        <v>1466</v>
      </c>
      <c r="B596" t="s">
        <v>2291</v>
      </c>
      <c r="C596" s="629">
        <v>1.04</v>
      </c>
      <c r="D596" s="731">
        <v>386651</v>
      </c>
      <c r="E596" s="731">
        <v>0</v>
      </c>
      <c r="F596" s="944">
        <v>12</v>
      </c>
      <c r="G596" s="629">
        <v>0</v>
      </c>
    </row>
    <row r="597" spans="1:11">
      <c r="A597" t="s">
        <v>1467</v>
      </c>
      <c r="B597" t="s">
        <v>890</v>
      </c>
      <c r="C597" s="629">
        <v>1.04</v>
      </c>
      <c r="D597" s="731">
        <v>2163326</v>
      </c>
      <c r="E597" s="731">
        <v>0</v>
      </c>
      <c r="F597" s="944">
        <v>12</v>
      </c>
      <c r="G597" s="629">
        <v>0</v>
      </c>
    </row>
    <row r="598" spans="1:11">
      <c r="A598" t="s">
        <v>1327</v>
      </c>
      <c r="B598" t="s">
        <v>780</v>
      </c>
      <c r="C598" s="629">
        <v>1.04</v>
      </c>
      <c r="D598" s="731">
        <v>1049595</v>
      </c>
      <c r="E598" s="731">
        <v>53295</v>
      </c>
      <c r="F598" s="944">
        <v>12</v>
      </c>
      <c r="G598" s="629">
        <v>0</v>
      </c>
    </row>
    <row r="599" spans="1:11">
      <c r="A599" t="s">
        <v>2138</v>
      </c>
      <c r="B599" t="s">
        <v>892</v>
      </c>
      <c r="C599" s="629">
        <v>1.0266999999999999</v>
      </c>
      <c r="D599" s="731">
        <v>544274</v>
      </c>
      <c r="E599" s="731">
        <v>0</v>
      </c>
      <c r="F599" s="944">
        <v>12</v>
      </c>
      <c r="G599" s="629">
        <v>0</v>
      </c>
    </row>
    <row r="600" spans="1:11">
      <c r="A600" t="s">
        <v>2139</v>
      </c>
      <c r="B600" t="s">
        <v>893</v>
      </c>
      <c r="C600" s="629">
        <v>0.91</v>
      </c>
      <c r="D600" s="731">
        <v>3508004</v>
      </c>
      <c r="E600" s="731">
        <v>326498</v>
      </c>
      <c r="F600" s="944">
        <v>12</v>
      </c>
      <c r="G600" s="629">
        <v>0</v>
      </c>
      <c r="H600" s="646">
        <v>1836642</v>
      </c>
      <c r="I600" s="646">
        <v>2063208</v>
      </c>
      <c r="J600" s="629">
        <v>794</v>
      </c>
      <c r="K600" s="646">
        <v>564395797</v>
      </c>
    </row>
    <row r="601" spans="1:11">
      <c r="A601" t="s">
        <v>2140</v>
      </c>
      <c r="B601" t="s">
        <v>894</v>
      </c>
      <c r="C601" s="629">
        <v>1.04</v>
      </c>
      <c r="D601" s="731">
        <v>8924974</v>
      </c>
      <c r="E601" s="731">
        <v>375042</v>
      </c>
      <c r="F601" s="944">
        <v>12</v>
      </c>
      <c r="G601" s="629">
        <v>0</v>
      </c>
    </row>
    <row r="602" spans="1:11">
      <c r="A602" t="s">
        <v>2141</v>
      </c>
      <c r="B602" t="s">
        <v>895</v>
      </c>
      <c r="C602" s="629">
        <v>1.04</v>
      </c>
      <c r="D602" s="731">
        <v>763928</v>
      </c>
      <c r="E602" s="731">
        <v>0</v>
      </c>
      <c r="F602" s="944">
        <v>12</v>
      </c>
      <c r="G602" s="629">
        <v>0</v>
      </c>
    </row>
    <row r="603" spans="1:11">
      <c r="A603" t="s">
        <v>2263</v>
      </c>
      <c r="B603" t="s">
        <v>1040</v>
      </c>
      <c r="C603" s="629">
        <v>1.17</v>
      </c>
      <c r="D603" s="731">
        <v>4843939</v>
      </c>
      <c r="E603" s="731">
        <v>232833</v>
      </c>
      <c r="F603" s="944">
        <v>12</v>
      </c>
      <c r="G603" s="629">
        <v>0</v>
      </c>
    </row>
    <row r="604" spans="1:11">
      <c r="A604" t="s">
        <v>2142</v>
      </c>
      <c r="B604" t="s">
        <v>896</v>
      </c>
      <c r="C604" s="629">
        <v>0.98170000000000002</v>
      </c>
      <c r="D604" s="731">
        <v>7543426</v>
      </c>
      <c r="E604" s="731">
        <v>0</v>
      </c>
      <c r="F604" s="944">
        <v>12</v>
      </c>
      <c r="G604" s="629">
        <v>0</v>
      </c>
      <c r="H604" s="646">
        <v>117852</v>
      </c>
      <c r="I604" s="646">
        <v>3728490</v>
      </c>
      <c r="J604" s="646">
        <v>1465</v>
      </c>
      <c r="K604" s="646">
        <v>247974601</v>
      </c>
    </row>
    <row r="605" spans="1:11">
      <c r="A605" t="s">
        <v>2143</v>
      </c>
      <c r="B605" t="s">
        <v>897</v>
      </c>
      <c r="C605" s="629">
        <v>1.04</v>
      </c>
      <c r="D605" s="731">
        <v>744992</v>
      </c>
      <c r="E605" s="731">
        <v>18147</v>
      </c>
      <c r="F605" s="944">
        <v>12</v>
      </c>
      <c r="G605" s="629">
        <v>0</v>
      </c>
    </row>
    <row r="606" spans="1:11">
      <c r="A606" t="s">
        <v>2144</v>
      </c>
      <c r="B606" t="s">
        <v>898</v>
      </c>
      <c r="C606" s="629">
        <v>1.04</v>
      </c>
      <c r="D606" s="731">
        <v>1921392</v>
      </c>
      <c r="E606" s="731">
        <v>0</v>
      </c>
      <c r="F606" s="944">
        <v>12</v>
      </c>
      <c r="G606" s="629">
        <v>0</v>
      </c>
    </row>
    <row r="607" spans="1:11">
      <c r="A607" t="s">
        <v>2145</v>
      </c>
      <c r="B607" t="s">
        <v>899</v>
      </c>
      <c r="C607" s="629">
        <v>0.9</v>
      </c>
      <c r="D607" s="731">
        <v>581194</v>
      </c>
      <c r="E607" s="731">
        <v>0</v>
      </c>
      <c r="F607" s="944">
        <v>8</v>
      </c>
      <c r="G607" s="629">
        <v>0</v>
      </c>
      <c r="H607" s="646">
        <v>21250</v>
      </c>
      <c r="I607" s="646">
        <v>317939</v>
      </c>
      <c r="J607" s="629">
        <v>220</v>
      </c>
      <c r="K607" s="646">
        <v>36063330</v>
      </c>
    </row>
    <row r="608" spans="1:11">
      <c r="A608" t="s">
        <v>2146</v>
      </c>
      <c r="B608" t="s">
        <v>900</v>
      </c>
      <c r="C608" s="629">
        <v>1.04</v>
      </c>
      <c r="D608" s="731">
        <v>372789</v>
      </c>
      <c r="E608" s="731">
        <v>0</v>
      </c>
      <c r="F608" s="944">
        <v>8</v>
      </c>
      <c r="G608" s="629">
        <v>0</v>
      </c>
    </row>
    <row r="609" spans="1:11">
      <c r="A609" t="s">
        <v>2443</v>
      </c>
      <c r="B609" t="s">
        <v>901</v>
      </c>
      <c r="C609" s="629">
        <v>0.97070000000000001</v>
      </c>
      <c r="D609" s="731">
        <v>1680365</v>
      </c>
      <c r="E609" s="731">
        <v>0</v>
      </c>
      <c r="F609" s="944">
        <v>8</v>
      </c>
      <c r="G609" s="629">
        <v>0</v>
      </c>
      <c r="H609" s="646">
        <v>40444</v>
      </c>
      <c r="I609" s="646">
        <v>344495</v>
      </c>
      <c r="J609" s="629">
        <v>189</v>
      </c>
      <c r="K609" s="646">
        <v>50140654</v>
      </c>
    </row>
    <row r="610" spans="1:11">
      <c r="A610" t="s">
        <v>2444</v>
      </c>
      <c r="B610" t="s">
        <v>902</v>
      </c>
      <c r="C610" s="629">
        <v>1.04</v>
      </c>
      <c r="D610" s="731">
        <v>7652462</v>
      </c>
      <c r="E610" s="731">
        <v>602236</v>
      </c>
      <c r="F610" s="944">
        <v>12</v>
      </c>
      <c r="G610" s="629">
        <v>0</v>
      </c>
    </row>
    <row r="611" spans="1:11">
      <c r="A611" t="s">
        <v>2445</v>
      </c>
      <c r="B611" t="s">
        <v>903</v>
      </c>
      <c r="C611" s="629">
        <v>1.04</v>
      </c>
      <c r="D611" s="731">
        <v>2924147</v>
      </c>
      <c r="E611" s="731">
        <v>186852</v>
      </c>
      <c r="F611" s="944">
        <v>12</v>
      </c>
      <c r="G611" s="629">
        <v>0</v>
      </c>
    </row>
    <row r="612" spans="1:11">
      <c r="A612" t="s">
        <v>2446</v>
      </c>
      <c r="B612" t="s">
        <v>904</v>
      </c>
      <c r="C612" s="629">
        <v>1.04</v>
      </c>
      <c r="D612" s="731">
        <v>1630097</v>
      </c>
      <c r="E612" s="731">
        <v>0</v>
      </c>
      <c r="F612" s="944">
        <v>12</v>
      </c>
      <c r="G612" s="629">
        <v>0</v>
      </c>
      <c r="H612" s="646">
        <v>98135</v>
      </c>
      <c r="I612" s="646">
        <v>827726</v>
      </c>
      <c r="J612" s="629">
        <v>330</v>
      </c>
      <c r="K612" s="646">
        <v>72142539</v>
      </c>
    </row>
    <row r="613" spans="1:11">
      <c r="A613" t="s">
        <v>2447</v>
      </c>
      <c r="B613" t="s">
        <v>905</v>
      </c>
      <c r="C613" s="629">
        <v>1.04</v>
      </c>
      <c r="D613" s="731">
        <v>4121481</v>
      </c>
      <c r="E613" s="731">
        <v>224385</v>
      </c>
      <c r="F613" s="944">
        <v>12</v>
      </c>
      <c r="G613" s="629">
        <v>0</v>
      </c>
      <c r="H613" s="646">
        <v>89864</v>
      </c>
      <c r="I613" s="646">
        <v>2511931</v>
      </c>
      <c r="J613" s="646">
        <v>1068</v>
      </c>
      <c r="K613" s="646">
        <v>93755244</v>
      </c>
    </row>
    <row r="614" spans="1:11">
      <c r="A614" t="s">
        <v>1305</v>
      </c>
      <c r="B614" t="s">
        <v>1721</v>
      </c>
      <c r="C614" s="629">
        <v>1.04</v>
      </c>
      <c r="D614" s="731">
        <v>2543113</v>
      </c>
      <c r="E614" s="731">
        <v>125698</v>
      </c>
      <c r="F614" s="944">
        <v>12</v>
      </c>
      <c r="G614" s="629">
        <v>0</v>
      </c>
    </row>
    <row r="615" spans="1:11">
      <c r="A615" t="s">
        <v>1306</v>
      </c>
      <c r="B615" t="s">
        <v>1722</v>
      </c>
      <c r="C615" s="629">
        <v>1.04</v>
      </c>
      <c r="D615" s="731">
        <v>1768674</v>
      </c>
      <c r="E615" s="731">
        <v>281846</v>
      </c>
      <c r="F615" s="944">
        <v>12</v>
      </c>
      <c r="G615" s="629">
        <v>0</v>
      </c>
    </row>
    <row r="616" spans="1:11">
      <c r="A616" t="s">
        <v>2288</v>
      </c>
      <c r="B616" t="s">
        <v>1723</v>
      </c>
      <c r="C616" s="629">
        <v>1.04</v>
      </c>
      <c r="D616" s="731">
        <v>1355757</v>
      </c>
      <c r="E616" s="731">
        <v>0</v>
      </c>
      <c r="F616" s="944">
        <v>12</v>
      </c>
      <c r="G616" s="629">
        <v>0</v>
      </c>
      <c r="H616" s="646">
        <v>144558</v>
      </c>
      <c r="I616" s="646">
        <v>1232021</v>
      </c>
      <c r="J616" s="629">
        <v>505</v>
      </c>
      <c r="K616" s="646">
        <v>80414933</v>
      </c>
    </row>
    <row r="617" spans="1:11">
      <c r="A617" t="s">
        <v>1992</v>
      </c>
      <c r="B617" t="s">
        <v>1892</v>
      </c>
      <c r="C617" s="629">
        <v>0.85929999999999995</v>
      </c>
      <c r="D617" s="731">
        <v>9106454</v>
      </c>
      <c r="E617" s="731">
        <v>324217</v>
      </c>
      <c r="F617" s="944">
        <v>12</v>
      </c>
      <c r="G617" s="629">
        <v>0</v>
      </c>
      <c r="H617" s="646">
        <v>288850</v>
      </c>
      <c r="I617" s="646">
        <v>2391142</v>
      </c>
      <c r="J617" s="646">
        <v>1010</v>
      </c>
      <c r="K617" s="646">
        <v>364902994</v>
      </c>
    </row>
    <row r="618" spans="1:11">
      <c r="A618" t="s">
        <v>2489</v>
      </c>
      <c r="B618" t="s">
        <v>1094</v>
      </c>
      <c r="C618" s="629">
        <v>1.04</v>
      </c>
      <c r="D618" s="731">
        <v>6297539</v>
      </c>
      <c r="E618" s="731">
        <v>1475319</v>
      </c>
      <c r="F618" s="944">
        <v>12</v>
      </c>
      <c r="G618" s="629">
        <v>0</v>
      </c>
    </row>
    <row r="619" spans="1:11">
      <c r="A619" t="s">
        <v>2270</v>
      </c>
      <c r="B619" t="s">
        <v>2517</v>
      </c>
      <c r="C619" s="629">
        <v>1.04</v>
      </c>
      <c r="D619" s="731">
        <v>12657260</v>
      </c>
      <c r="E619" s="731">
        <v>1791760</v>
      </c>
      <c r="F619" s="944">
        <v>12</v>
      </c>
      <c r="G619" s="629">
        <v>0</v>
      </c>
    </row>
    <row r="620" spans="1:11">
      <c r="A620" t="s">
        <v>1993</v>
      </c>
      <c r="B620" t="s">
        <v>1893</v>
      </c>
      <c r="C620" s="629">
        <v>0.96</v>
      </c>
      <c r="D620" s="731">
        <v>5329722</v>
      </c>
      <c r="E620" s="731">
        <v>156610</v>
      </c>
      <c r="F620" s="944">
        <v>8</v>
      </c>
      <c r="G620" s="629">
        <v>0</v>
      </c>
      <c r="H620" s="646">
        <v>570682</v>
      </c>
      <c r="I620" s="646">
        <v>390571</v>
      </c>
      <c r="J620" s="629">
        <v>240</v>
      </c>
      <c r="K620" s="646">
        <v>102834898</v>
      </c>
    </row>
    <row r="621" spans="1:11">
      <c r="A621" t="s">
        <v>2375</v>
      </c>
      <c r="B621" t="s">
        <v>1639</v>
      </c>
      <c r="C621" s="629">
        <v>1.04</v>
      </c>
      <c r="D621" s="731">
        <v>3015900</v>
      </c>
      <c r="E621" s="731">
        <v>0</v>
      </c>
      <c r="F621" s="944">
        <v>12</v>
      </c>
      <c r="G621" s="629">
        <v>0</v>
      </c>
    </row>
    <row r="622" spans="1:11">
      <c r="A622" t="s">
        <v>1051</v>
      </c>
      <c r="B622" t="s">
        <v>2251</v>
      </c>
      <c r="C622" s="629">
        <v>1.04</v>
      </c>
      <c r="D622" s="731">
        <v>2382555</v>
      </c>
      <c r="E622" s="731">
        <v>157858</v>
      </c>
      <c r="F622" s="944">
        <v>12</v>
      </c>
      <c r="G622" s="629">
        <v>0</v>
      </c>
    </row>
    <row r="623" spans="1:11">
      <c r="A623" t="s">
        <v>1994</v>
      </c>
      <c r="B623" t="s">
        <v>508</v>
      </c>
      <c r="C623" s="629">
        <v>1.04</v>
      </c>
      <c r="D623" s="731">
        <v>8461263</v>
      </c>
      <c r="E623" s="731">
        <v>1027595</v>
      </c>
      <c r="F623" s="944">
        <v>12</v>
      </c>
      <c r="G623" s="629">
        <v>0</v>
      </c>
    </row>
    <row r="624" spans="1:11">
      <c r="A624" t="s">
        <v>1995</v>
      </c>
      <c r="B624" t="s">
        <v>509</v>
      </c>
      <c r="C624" s="629">
        <v>1.04</v>
      </c>
      <c r="D624" s="731">
        <v>3068196</v>
      </c>
      <c r="E624" s="731">
        <v>400685</v>
      </c>
      <c r="F624" s="944">
        <v>12</v>
      </c>
      <c r="G624" s="629">
        <v>0</v>
      </c>
    </row>
    <row r="625" spans="1:11">
      <c r="A625" t="s">
        <v>914</v>
      </c>
      <c r="B625" t="s">
        <v>1464</v>
      </c>
      <c r="C625" s="629">
        <v>1.04</v>
      </c>
      <c r="D625" s="731">
        <v>305640</v>
      </c>
      <c r="E625" s="731">
        <v>42119</v>
      </c>
      <c r="F625" s="944">
        <v>12</v>
      </c>
      <c r="G625" s="629">
        <v>0</v>
      </c>
    </row>
    <row r="626" spans="1:11">
      <c r="A626" t="s">
        <v>1261</v>
      </c>
      <c r="B626" t="s">
        <v>510</v>
      </c>
      <c r="C626" s="629">
        <v>0.98499999999999999</v>
      </c>
      <c r="D626" s="731">
        <v>20509816</v>
      </c>
      <c r="E626" s="731">
        <v>0</v>
      </c>
      <c r="F626" s="944">
        <v>12</v>
      </c>
      <c r="G626" s="629">
        <v>0</v>
      </c>
      <c r="H626" s="646">
        <v>4295603</v>
      </c>
      <c r="I626" s="646">
        <v>4745688</v>
      </c>
      <c r="J626" s="646">
        <v>1920</v>
      </c>
      <c r="K626" s="646">
        <v>1127023221</v>
      </c>
    </row>
    <row r="627" spans="1:11">
      <c r="A627" t="s">
        <v>1595</v>
      </c>
      <c r="B627" t="s">
        <v>511</v>
      </c>
      <c r="C627" s="629">
        <v>1.04</v>
      </c>
      <c r="D627" s="731">
        <v>3440922</v>
      </c>
      <c r="E627" s="731">
        <v>244848</v>
      </c>
      <c r="F627" s="944">
        <v>12</v>
      </c>
      <c r="G627" s="629">
        <v>0</v>
      </c>
    </row>
    <row r="628" spans="1:11">
      <c r="A628" t="s">
        <v>1596</v>
      </c>
      <c r="B628" t="s">
        <v>512</v>
      </c>
      <c r="C628" s="629">
        <v>1.04</v>
      </c>
      <c r="D628" s="731">
        <v>2231147</v>
      </c>
      <c r="E628" s="731">
        <v>48081</v>
      </c>
      <c r="F628" s="944">
        <v>12</v>
      </c>
      <c r="G628" s="629">
        <v>0</v>
      </c>
    </row>
    <row r="629" spans="1:11">
      <c r="A629" t="s">
        <v>2416</v>
      </c>
      <c r="B629" t="s">
        <v>513</v>
      </c>
      <c r="C629" s="629">
        <v>1.04</v>
      </c>
      <c r="D629" s="731">
        <v>2602143</v>
      </c>
      <c r="E629" s="731">
        <v>137042</v>
      </c>
      <c r="F629" s="944">
        <v>12</v>
      </c>
      <c r="G629" s="629">
        <v>0</v>
      </c>
      <c r="H629" s="646">
        <v>477637</v>
      </c>
      <c r="I629" s="646">
        <v>620347</v>
      </c>
      <c r="J629" s="629">
        <v>221</v>
      </c>
      <c r="K629" s="646">
        <v>80732630</v>
      </c>
    </row>
    <row r="630" spans="1:11">
      <c r="A630" t="s">
        <v>2417</v>
      </c>
      <c r="B630" t="s">
        <v>514</v>
      </c>
      <c r="C630" s="629">
        <v>1.04</v>
      </c>
      <c r="D630" s="731">
        <v>2520433</v>
      </c>
      <c r="E630" s="731">
        <v>0</v>
      </c>
      <c r="F630" s="944">
        <v>12</v>
      </c>
      <c r="G630" s="629">
        <v>0</v>
      </c>
      <c r="H630" s="646">
        <v>287295</v>
      </c>
      <c r="I630" s="646">
        <v>514448</v>
      </c>
      <c r="J630" s="629">
        <v>216</v>
      </c>
      <c r="K630" s="646">
        <v>47677328</v>
      </c>
    </row>
    <row r="631" spans="1:11">
      <c r="A631" t="s">
        <v>2513</v>
      </c>
      <c r="B631" t="s">
        <v>515</v>
      </c>
      <c r="C631" s="629">
        <v>1.02</v>
      </c>
      <c r="D631" s="731">
        <v>2075724</v>
      </c>
      <c r="E631" s="731">
        <v>175132</v>
      </c>
      <c r="F631" s="944">
        <v>12</v>
      </c>
      <c r="G631" s="629">
        <v>0</v>
      </c>
      <c r="H631" s="646">
        <v>481715</v>
      </c>
      <c r="I631" s="646">
        <v>297759</v>
      </c>
      <c r="J631" s="629">
        <v>184</v>
      </c>
      <c r="K631" s="646">
        <v>78930972</v>
      </c>
    </row>
    <row r="632" spans="1:11">
      <c r="A632" t="s">
        <v>791</v>
      </c>
      <c r="B632" t="s">
        <v>516</v>
      </c>
      <c r="C632" s="629">
        <v>1.04</v>
      </c>
      <c r="D632" s="731">
        <v>5076929</v>
      </c>
      <c r="E632" s="731">
        <v>0</v>
      </c>
      <c r="F632" s="944">
        <v>12</v>
      </c>
      <c r="G632" s="629">
        <v>0</v>
      </c>
    </row>
    <row r="633" spans="1:11">
      <c r="A633" t="s">
        <v>80</v>
      </c>
      <c r="B633" t="s">
        <v>517</v>
      </c>
      <c r="C633" s="629">
        <v>1.04</v>
      </c>
      <c r="D633" s="731">
        <v>5219188</v>
      </c>
      <c r="E633" s="731">
        <v>223330</v>
      </c>
      <c r="F633" s="944">
        <v>12</v>
      </c>
      <c r="G633" s="629">
        <v>0</v>
      </c>
      <c r="H633" s="646">
        <v>941572</v>
      </c>
      <c r="I633" s="646">
        <v>2988275</v>
      </c>
      <c r="J633" s="646">
        <v>1222</v>
      </c>
      <c r="K633" s="646">
        <v>271009440</v>
      </c>
    </row>
    <row r="634" spans="1:11">
      <c r="A634" t="s">
        <v>81</v>
      </c>
      <c r="B634" t="s">
        <v>518</v>
      </c>
      <c r="C634" s="629">
        <v>1.04</v>
      </c>
      <c r="D634" s="731">
        <v>25659777</v>
      </c>
      <c r="E634" s="731">
        <v>1990715</v>
      </c>
      <c r="F634" s="944">
        <v>12</v>
      </c>
      <c r="G634" s="629">
        <v>0</v>
      </c>
      <c r="H634" s="646">
        <v>808796</v>
      </c>
      <c r="I634" s="646">
        <v>4279715</v>
      </c>
      <c r="J634" s="646">
        <v>1817</v>
      </c>
      <c r="K634" s="646">
        <v>683404510</v>
      </c>
    </row>
    <row r="635" spans="1:11">
      <c r="A635" t="s">
        <v>2160</v>
      </c>
      <c r="B635" t="s">
        <v>549</v>
      </c>
      <c r="C635" s="629">
        <v>1.04</v>
      </c>
      <c r="D635" s="731">
        <v>86369180</v>
      </c>
      <c r="E635" s="731">
        <v>14293006</v>
      </c>
      <c r="F635" s="944">
        <v>12</v>
      </c>
      <c r="G635" s="629">
        <v>0</v>
      </c>
    </row>
    <row r="636" spans="1:11">
      <c r="A636" t="s">
        <v>2272</v>
      </c>
      <c r="B636" t="s">
        <v>519</v>
      </c>
      <c r="C636" s="629">
        <v>1.17</v>
      </c>
      <c r="D636" s="731">
        <v>1947412</v>
      </c>
      <c r="E636" s="731">
        <v>0</v>
      </c>
      <c r="F636" s="944">
        <v>12</v>
      </c>
      <c r="G636" s="629">
        <v>0</v>
      </c>
    </row>
    <row r="637" spans="1:11">
      <c r="A637" t="s">
        <v>2273</v>
      </c>
      <c r="B637" t="s">
        <v>520</v>
      </c>
      <c r="C637" s="629">
        <v>1.04</v>
      </c>
      <c r="D637" s="731">
        <v>2676152</v>
      </c>
      <c r="E637" s="731">
        <v>230533</v>
      </c>
      <c r="F637" s="944">
        <v>12</v>
      </c>
      <c r="G637" s="629">
        <v>0</v>
      </c>
    </row>
    <row r="638" spans="1:11">
      <c r="A638" t="s">
        <v>1985</v>
      </c>
      <c r="B638" t="s">
        <v>550</v>
      </c>
      <c r="C638" s="629">
        <v>1.04</v>
      </c>
      <c r="D638" s="731">
        <v>12135854</v>
      </c>
      <c r="E638" s="731">
        <v>2592077</v>
      </c>
      <c r="F638" s="944">
        <v>12</v>
      </c>
      <c r="G638" s="629">
        <v>0</v>
      </c>
    </row>
    <row r="639" spans="1:11">
      <c r="A639" t="s">
        <v>1338</v>
      </c>
      <c r="B639" t="s">
        <v>2179</v>
      </c>
      <c r="C639" s="629">
        <v>1.04</v>
      </c>
      <c r="D639" s="731">
        <v>21017040</v>
      </c>
      <c r="E639" s="731">
        <v>4710216</v>
      </c>
      <c r="F639" s="944">
        <v>12</v>
      </c>
      <c r="G639" s="629">
        <v>0</v>
      </c>
    </row>
    <row r="640" spans="1:11">
      <c r="A640" t="s">
        <v>2274</v>
      </c>
      <c r="B640" t="s">
        <v>521</v>
      </c>
      <c r="C640" s="629">
        <v>1.04</v>
      </c>
      <c r="D640" s="731">
        <v>1951860</v>
      </c>
      <c r="E640" s="731">
        <v>308045</v>
      </c>
      <c r="F640" s="944">
        <v>12</v>
      </c>
      <c r="G640" s="629">
        <v>0</v>
      </c>
    </row>
    <row r="641" spans="1:11">
      <c r="A641" t="s">
        <v>468</v>
      </c>
      <c r="B641" t="s">
        <v>1176</v>
      </c>
      <c r="C641" s="629">
        <v>1.17</v>
      </c>
      <c r="D641" s="731">
        <v>2222900</v>
      </c>
      <c r="E641" s="731">
        <v>463206</v>
      </c>
      <c r="F641" s="944">
        <v>12</v>
      </c>
      <c r="G641" s="629">
        <v>0</v>
      </c>
    </row>
    <row r="642" spans="1:11">
      <c r="A642" t="s">
        <v>636</v>
      </c>
      <c r="B642" t="s">
        <v>522</v>
      </c>
      <c r="C642" s="629">
        <v>1.17</v>
      </c>
      <c r="D642" s="731">
        <v>2148654</v>
      </c>
      <c r="E642" s="731">
        <v>161304</v>
      </c>
      <c r="F642" s="944">
        <v>12</v>
      </c>
      <c r="G642" s="629">
        <v>0</v>
      </c>
    </row>
    <row r="643" spans="1:11">
      <c r="A643" t="s">
        <v>2221</v>
      </c>
      <c r="B643" t="s">
        <v>2482</v>
      </c>
      <c r="C643" s="629">
        <v>1.0129999999999999</v>
      </c>
      <c r="D643" s="731">
        <v>933563</v>
      </c>
      <c r="E643" s="731">
        <v>79050</v>
      </c>
      <c r="F643" s="944">
        <v>12</v>
      </c>
      <c r="G643" s="629">
        <v>0</v>
      </c>
    </row>
    <row r="644" spans="1:11">
      <c r="A644" t="s">
        <v>2222</v>
      </c>
      <c r="B644" t="s">
        <v>524</v>
      </c>
      <c r="C644" s="629">
        <v>1.04</v>
      </c>
      <c r="D644" s="731">
        <v>1005258</v>
      </c>
      <c r="E644" s="731">
        <v>0</v>
      </c>
      <c r="F644" s="944">
        <v>12</v>
      </c>
      <c r="G644" s="629">
        <v>0</v>
      </c>
    </row>
    <row r="645" spans="1:11">
      <c r="A645" t="s">
        <v>2223</v>
      </c>
      <c r="B645" t="s">
        <v>525</v>
      </c>
      <c r="C645" s="629">
        <v>1.17</v>
      </c>
      <c r="D645" s="731">
        <v>492604</v>
      </c>
      <c r="E645" s="731">
        <v>31447</v>
      </c>
      <c r="F645" s="944">
        <v>12</v>
      </c>
      <c r="G645" s="629">
        <v>0</v>
      </c>
    </row>
    <row r="646" spans="1:11">
      <c r="A646" t="s">
        <v>1378</v>
      </c>
      <c r="B646" t="s">
        <v>526</v>
      </c>
      <c r="C646" s="629">
        <v>1.04</v>
      </c>
      <c r="D646" s="731">
        <v>396609</v>
      </c>
      <c r="E646" s="731">
        <v>21059</v>
      </c>
      <c r="F646" s="944">
        <v>12</v>
      </c>
      <c r="G646" s="629">
        <v>0</v>
      </c>
    </row>
    <row r="647" spans="1:11">
      <c r="A647" t="s">
        <v>1977</v>
      </c>
      <c r="B647" t="s">
        <v>35</v>
      </c>
      <c r="C647" s="629">
        <v>1.04</v>
      </c>
      <c r="D647" s="731">
        <v>4499068</v>
      </c>
      <c r="E647" s="731">
        <v>699400</v>
      </c>
      <c r="F647" s="944">
        <v>12</v>
      </c>
      <c r="G647" s="629">
        <v>0</v>
      </c>
    </row>
    <row r="648" spans="1:11">
      <c r="A648" t="s">
        <v>1379</v>
      </c>
      <c r="B648" t="s">
        <v>527</v>
      </c>
      <c r="C648" s="629">
        <v>1.0369999999999999</v>
      </c>
      <c r="D648" s="731">
        <v>1255144</v>
      </c>
      <c r="E648" s="731">
        <v>210616</v>
      </c>
      <c r="F648" s="944">
        <v>12</v>
      </c>
      <c r="G648" s="629">
        <v>0</v>
      </c>
    </row>
    <row r="649" spans="1:11">
      <c r="A649" t="s">
        <v>363</v>
      </c>
      <c r="B649" t="s">
        <v>528</v>
      </c>
      <c r="C649" s="629">
        <v>0.98</v>
      </c>
      <c r="D649" s="731">
        <v>5532810</v>
      </c>
      <c r="E649" s="731">
        <v>495324</v>
      </c>
      <c r="F649" s="944">
        <v>12</v>
      </c>
      <c r="G649" s="629">
        <v>0</v>
      </c>
    </row>
    <row r="650" spans="1:11">
      <c r="A650" t="s">
        <v>364</v>
      </c>
      <c r="B650" t="s">
        <v>529</v>
      </c>
      <c r="C650" s="629">
        <v>0.99</v>
      </c>
      <c r="D650" s="731">
        <v>4253962</v>
      </c>
      <c r="E650" s="731">
        <v>0</v>
      </c>
      <c r="F650" s="944">
        <v>12</v>
      </c>
      <c r="G650" s="629">
        <v>0</v>
      </c>
      <c r="H650" s="646">
        <v>704660</v>
      </c>
      <c r="I650" s="646">
        <v>3196402</v>
      </c>
      <c r="J650" s="646">
        <v>1346</v>
      </c>
      <c r="K650" s="646">
        <v>167935161</v>
      </c>
    </row>
    <row r="651" spans="1:11">
      <c r="A651" t="s">
        <v>365</v>
      </c>
      <c r="B651" t="s">
        <v>530</v>
      </c>
      <c r="C651" s="629">
        <v>0.9</v>
      </c>
      <c r="D651" s="731">
        <v>3866088</v>
      </c>
      <c r="E651" s="731">
        <v>0</v>
      </c>
      <c r="F651" s="944">
        <v>12</v>
      </c>
      <c r="G651" s="629">
        <v>0</v>
      </c>
      <c r="H651" s="646">
        <v>674270</v>
      </c>
      <c r="I651" s="646">
        <v>868029</v>
      </c>
      <c r="J651" s="629">
        <v>314</v>
      </c>
      <c r="K651" s="646">
        <v>211481140</v>
      </c>
    </row>
    <row r="652" spans="1:11">
      <c r="A652" t="s">
        <v>1561</v>
      </c>
      <c r="B652" t="s">
        <v>531</v>
      </c>
      <c r="C652" s="629">
        <v>1.04</v>
      </c>
      <c r="D652" s="731">
        <v>2219567</v>
      </c>
      <c r="E652" s="731">
        <v>114049</v>
      </c>
      <c r="F652" s="944">
        <v>12</v>
      </c>
      <c r="G652" s="629">
        <v>0</v>
      </c>
    </row>
    <row r="653" spans="1:11">
      <c r="A653" t="s">
        <v>1562</v>
      </c>
      <c r="B653" t="s">
        <v>532</v>
      </c>
      <c r="C653" s="629">
        <v>1.17</v>
      </c>
      <c r="D653" s="731">
        <v>11915437</v>
      </c>
      <c r="E653" s="731">
        <v>1427310</v>
      </c>
      <c r="F653" s="944">
        <v>12</v>
      </c>
      <c r="G653" s="629">
        <v>0</v>
      </c>
    </row>
    <row r="654" spans="1:11">
      <c r="A654" t="s">
        <v>163</v>
      </c>
      <c r="B654" t="s">
        <v>1648</v>
      </c>
      <c r="C654" s="629">
        <v>0.93620000000000003</v>
      </c>
      <c r="D654" s="731">
        <v>5378194</v>
      </c>
      <c r="E654" s="731">
        <v>0</v>
      </c>
      <c r="F654" s="944">
        <v>12</v>
      </c>
      <c r="G654" s="629">
        <v>0</v>
      </c>
      <c r="H654" s="646">
        <v>297605</v>
      </c>
      <c r="I654" s="646">
        <v>3665699</v>
      </c>
      <c r="J654" s="646">
        <v>1511</v>
      </c>
      <c r="K654" s="646">
        <v>218702564</v>
      </c>
    </row>
    <row r="655" spans="1:11">
      <c r="A655" t="s">
        <v>2009</v>
      </c>
      <c r="B655" t="s">
        <v>1649</v>
      </c>
      <c r="C655" s="629">
        <v>0.97330000000000005</v>
      </c>
      <c r="D655" s="731">
        <v>2195653</v>
      </c>
      <c r="E655" s="731">
        <v>0</v>
      </c>
      <c r="F655" s="944">
        <v>8</v>
      </c>
      <c r="G655" s="629">
        <v>0</v>
      </c>
      <c r="H655" s="646">
        <v>243419</v>
      </c>
      <c r="I655" s="646">
        <v>360495</v>
      </c>
      <c r="J655" s="629">
        <v>250</v>
      </c>
      <c r="K655" s="646">
        <v>65997238</v>
      </c>
    </row>
    <row r="656" spans="1:11">
      <c r="A656" t="s">
        <v>2010</v>
      </c>
      <c r="B656" t="s">
        <v>1650</v>
      </c>
      <c r="C656" s="629">
        <v>0.98</v>
      </c>
      <c r="D656" s="731">
        <v>14342860</v>
      </c>
      <c r="E656" s="731">
        <v>588199</v>
      </c>
      <c r="F656" s="944">
        <v>12</v>
      </c>
      <c r="G656" s="629">
        <v>0</v>
      </c>
      <c r="H656" s="646">
        <v>3298140</v>
      </c>
      <c r="I656" s="646">
        <v>4761581</v>
      </c>
      <c r="J656" s="646">
        <v>1961</v>
      </c>
      <c r="K656" s="646">
        <v>2813259306</v>
      </c>
    </row>
    <row r="657" spans="1:11">
      <c r="A657" t="s">
        <v>2011</v>
      </c>
      <c r="B657" t="s">
        <v>1651</v>
      </c>
      <c r="C657" s="629">
        <v>0.98</v>
      </c>
      <c r="D657" s="731">
        <v>4614865</v>
      </c>
      <c r="E657" s="731">
        <v>0</v>
      </c>
      <c r="F657" s="944">
        <v>12</v>
      </c>
      <c r="G657" s="629">
        <v>0</v>
      </c>
    </row>
    <row r="658" spans="1:11">
      <c r="A658" t="s">
        <v>1713</v>
      </c>
      <c r="B658" t="s">
        <v>1006</v>
      </c>
      <c r="C658" s="629">
        <v>1.17</v>
      </c>
      <c r="D658" s="731">
        <v>16943905</v>
      </c>
      <c r="E658" s="731">
        <v>923753</v>
      </c>
      <c r="F658" s="944">
        <v>12</v>
      </c>
      <c r="G658" s="629">
        <v>0</v>
      </c>
    </row>
    <row r="659" spans="1:11">
      <c r="A659" t="s">
        <v>833</v>
      </c>
      <c r="B659" t="s">
        <v>1750</v>
      </c>
      <c r="C659" s="629">
        <v>1.04</v>
      </c>
      <c r="D659" s="731">
        <v>2851771</v>
      </c>
      <c r="E659" s="731">
        <v>382935</v>
      </c>
      <c r="F659" s="944">
        <v>12</v>
      </c>
      <c r="G659" s="629">
        <v>0</v>
      </c>
    </row>
    <row r="660" spans="1:11">
      <c r="A660" t="s">
        <v>1318</v>
      </c>
      <c r="B660" t="s">
        <v>1652</v>
      </c>
      <c r="C660" s="629">
        <v>1.04</v>
      </c>
      <c r="D660" s="731">
        <v>380651</v>
      </c>
      <c r="E660" s="731">
        <v>0</v>
      </c>
      <c r="F660" s="944">
        <v>12</v>
      </c>
      <c r="G660" s="629">
        <v>0</v>
      </c>
    </row>
    <row r="661" spans="1:11">
      <c r="A661" t="s">
        <v>1875</v>
      </c>
      <c r="B661" t="s">
        <v>2105</v>
      </c>
      <c r="C661" s="629">
        <v>1.04</v>
      </c>
      <c r="D661" s="731">
        <v>193144</v>
      </c>
      <c r="E661" s="731">
        <v>12150</v>
      </c>
      <c r="F661" s="944">
        <v>12</v>
      </c>
      <c r="G661" s="629">
        <v>0</v>
      </c>
    </row>
    <row r="662" spans="1:11">
      <c r="A662" t="s">
        <v>915</v>
      </c>
      <c r="B662" t="s">
        <v>395</v>
      </c>
      <c r="C662" s="629">
        <v>1.04</v>
      </c>
      <c r="D662" s="731">
        <v>1264141</v>
      </c>
      <c r="E662" s="731">
        <v>140543</v>
      </c>
      <c r="F662" s="944">
        <v>12</v>
      </c>
      <c r="G662" s="629">
        <v>0</v>
      </c>
    </row>
    <row r="663" spans="1:11">
      <c r="A663" t="s">
        <v>853</v>
      </c>
      <c r="B663" t="s">
        <v>1815</v>
      </c>
      <c r="C663" s="629">
        <v>1.04</v>
      </c>
      <c r="D663" s="731">
        <v>31334671</v>
      </c>
      <c r="E663" s="731">
        <v>6787880</v>
      </c>
      <c r="F663" s="944">
        <v>12</v>
      </c>
      <c r="G663" s="629">
        <v>0</v>
      </c>
      <c r="H663" s="646">
        <v>2784647</v>
      </c>
      <c r="I663" s="646">
        <v>12985591</v>
      </c>
      <c r="J663" s="646">
        <v>5763</v>
      </c>
      <c r="K663" s="646">
        <v>963803773</v>
      </c>
    </row>
    <row r="664" spans="1:11">
      <c r="A664" t="s">
        <v>661</v>
      </c>
      <c r="B664" t="s">
        <v>1792</v>
      </c>
      <c r="C664" s="629">
        <v>1.04</v>
      </c>
      <c r="D664" s="731">
        <v>5286817</v>
      </c>
      <c r="E664" s="731">
        <v>737146</v>
      </c>
      <c r="F664" s="944">
        <v>12</v>
      </c>
      <c r="G664" s="629">
        <v>0</v>
      </c>
    </row>
    <row r="665" spans="1:11">
      <c r="A665" t="s">
        <v>916</v>
      </c>
      <c r="B665" t="s">
        <v>1183</v>
      </c>
      <c r="C665" s="629">
        <v>1.04</v>
      </c>
      <c r="D665" s="731">
        <v>3355154</v>
      </c>
      <c r="E665" s="731">
        <v>616487</v>
      </c>
      <c r="F665" s="944">
        <v>12</v>
      </c>
      <c r="G665" s="629">
        <v>0</v>
      </c>
    </row>
    <row r="666" spans="1:11">
      <c r="A666" t="s">
        <v>1731</v>
      </c>
      <c r="B666" t="s">
        <v>1951</v>
      </c>
      <c r="C666" s="629">
        <v>1.04</v>
      </c>
      <c r="D666" s="731">
        <v>750329</v>
      </c>
      <c r="E666" s="731">
        <v>109301</v>
      </c>
      <c r="F666" s="944">
        <v>12</v>
      </c>
      <c r="G666" s="629">
        <v>0</v>
      </c>
    </row>
    <row r="667" spans="1:11">
      <c r="A667" t="s">
        <v>1452</v>
      </c>
      <c r="B667" t="s">
        <v>773</v>
      </c>
      <c r="C667" s="629">
        <v>1.04</v>
      </c>
      <c r="D667" s="731">
        <v>2697396</v>
      </c>
      <c r="E667" s="731">
        <v>361802</v>
      </c>
      <c r="F667" s="944">
        <v>12</v>
      </c>
      <c r="G667" s="629">
        <v>0</v>
      </c>
    </row>
    <row r="668" spans="1:11">
      <c r="A668" t="s">
        <v>104</v>
      </c>
      <c r="B668" t="s">
        <v>1653</v>
      </c>
      <c r="C668" s="629">
        <v>0.98670000000000002</v>
      </c>
      <c r="D668" s="731">
        <v>1166798</v>
      </c>
      <c r="E668" s="731">
        <v>0</v>
      </c>
      <c r="F668" s="944">
        <v>12</v>
      </c>
      <c r="G668" s="629">
        <v>0</v>
      </c>
    </row>
    <row r="669" spans="1:11">
      <c r="A669" t="s">
        <v>1973</v>
      </c>
      <c r="B669" t="s">
        <v>1643</v>
      </c>
      <c r="C669" s="629">
        <v>1.04</v>
      </c>
      <c r="D669" s="731">
        <v>882292</v>
      </c>
      <c r="E669" s="731">
        <v>96200</v>
      </c>
      <c r="F669" s="944">
        <v>12</v>
      </c>
      <c r="G669" s="629">
        <v>0</v>
      </c>
    </row>
    <row r="670" spans="1:11">
      <c r="A670" t="s">
        <v>324</v>
      </c>
      <c r="B670" t="s">
        <v>127</v>
      </c>
      <c r="C670" s="629">
        <v>1.04</v>
      </c>
      <c r="D670" s="731">
        <v>36003532</v>
      </c>
      <c r="E670" s="731">
        <v>3739731</v>
      </c>
      <c r="F670" s="944">
        <v>12</v>
      </c>
      <c r="G670" s="629">
        <v>0</v>
      </c>
    </row>
    <row r="671" spans="1:11">
      <c r="A671" t="s">
        <v>327</v>
      </c>
      <c r="B671" t="s">
        <v>1345</v>
      </c>
      <c r="C671" s="629">
        <v>1.04</v>
      </c>
      <c r="D671" s="731">
        <v>2892327</v>
      </c>
      <c r="E671" s="731">
        <v>465526</v>
      </c>
      <c r="F671" s="944">
        <v>12</v>
      </c>
      <c r="G671" s="629">
        <v>0</v>
      </c>
    </row>
    <row r="672" spans="1:11">
      <c r="A672" t="s">
        <v>2321</v>
      </c>
      <c r="B672" t="s">
        <v>1654</v>
      </c>
      <c r="C672" s="629">
        <v>1.17</v>
      </c>
      <c r="D672" s="731">
        <v>981366</v>
      </c>
      <c r="E672" s="731">
        <v>0</v>
      </c>
      <c r="F672" s="944">
        <v>12</v>
      </c>
      <c r="G672" s="629">
        <v>0</v>
      </c>
    </row>
    <row r="673" spans="1:11">
      <c r="A673" t="s">
        <v>2322</v>
      </c>
      <c r="B673" t="s">
        <v>1655</v>
      </c>
      <c r="C673" s="629">
        <v>1.17</v>
      </c>
      <c r="D673" s="731">
        <v>1492284</v>
      </c>
      <c r="E673" s="731">
        <v>0</v>
      </c>
      <c r="F673" s="944">
        <v>12</v>
      </c>
      <c r="G673" s="629">
        <v>0</v>
      </c>
    </row>
    <row r="674" spans="1:11">
      <c r="A674" t="s">
        <v>70</v>
      </c>
      <c r="B674" t="s">
        <v>1090</v>
      </c>
      <c r="C674" s="629">
        <v>1</v>
      </c>
      <c r="D674" s="731">
        <v>4631725</v>
      </c>
      <c r="E674" s="731">
        <v>708087</v>
      </c>
      <c r="F674" s="944">
        <v>12</v>
      </c>
      <c r="G674" s="629">
        <v>0</v>
      </c>
    </row>
    <row r="675" spans="1:11">
      <c r="A675" t="s">
        <v>2185</v>
      </c>
      <c r="B675" t="s">
        <v>1462</v>
      </c>
      <c r="C675" s="629">
        <v>1.04</v>
      </c>
      <c r="D675" s="731">
        <v>5118983</v>
      </c>
      <c r="E675" s="731">
        <v>637713</v>
      </c>
      <c r="F675" s="944">
        <v>12</v>
      </c>
      <c r="G675" s="629">
        <v>0</v>
      </c>
    </row>
    <row r="676" spans="1:11">
      <c r="A676" t="s">
        <v>155</v>
      </c>
      <c r="B676" t="s">
        <v>2551</v>
      </c>
      <c r="C676" s="629">
        <v>1.04</v>
      </c>
      <c r="D676" s="731">
        <v>4225038</v>
      </c>
      <c r="E676" s="731">
        <v>498118</v>
      </c>
      <c r="F676" s="944">
        <v>12</v>
      </c>
      <c r="G676" s="629">
        <v>0</v>
      </c>
    </row>
    <row r="677" spans="1:11">
      <c r="A677" t="s">
        <v>832</v>
      </c>
      <c r="B677" t="s">
        <v>1272</v>
      </c>
      <c r="C677" s="629">
        <v>1.1442000000000001</v>
      </c>
      <c r="D677" s="731">
        <v>1216648</v>
      </c>
      <c r="E677" s="731">
        <v>83020</v>
      </c>
      <c r="F677" s="944">
        <v>12</v>
      </c>
      <c r="G677" s="629">
        <v>0</v>
      </c>
    </row>
    <row r="678" spans="1:11">
      <c r="A678" t="s">
        <v>1733</v>
      </c>
      <c r="B678" t="s">
        <v>1656</v>
      </c>
      <c r="C678" s="629">
        <v>1.04</v>
      </c>
      <c r="D678" s="731">
        <v>743510</v>
      </c>
      <c r="E678" s="731">
        <v>0</v>
      </c>
      <c r="F678" s="944">
        <v>6</v>
      </c>
      <c r="G678" s="629">
        <v>0</v>
      </c>
      <c r="H678" s="646">
        <v>217248</v>
      </c>
      <c r="I678" s="646">
        <v>439721</v>
      </c>
      <c r="J678" s="629">
        <v>323</v>
      </c>
      <c r="K678" s="646">
        <v>83081627</v>
      </c>
    </row>
    <row r="679" spans="1:11">
      <c r="A679" t="s">
        <v>244</v>
      </c>
      <c r="B679" t="s">
        <v>1657</v>
      </c>
      <c r="C679" s="629">
        <v>1.04</v>
      </c>
      <c r="D679" s="731">
        <v>325389</v>
      </c>
      <c r="E679" s="731">
        <v>0</v>
      </c>
      <c r="F679" s="944">
        <v>8</v>
      </c>
      <c r="G679" s="629">
        <v>0</v>
      </c>
    </row>
    <row r="680" spans="1:11">
      <c r="A680" t="s">
        <v>1494</v>
      </c>
      <c r="B680" t="s">
        <v>1658</v>
      </c>
      <c r="C680" s="629">
        <v>0.97</v>
      </c>
      <c r="D680" s="731">
        <v>4407056</v>
      </c>
      <c r="E680" s="731">
        <v>370580</v>
      </c>
      <c r="F680" s="944">
        <v>12</v>
      </c>
      <c r="G680" s="629">
        <v>0</v>
      </c>
      <c r="H680" s="646">
        <v>1073067</v>
      </c>
      <c r="I680" s="646">
        <v>804965</v>
      </c>
      <c r="J680" s="629">
        <v>296</v>
      </c>
      <c r="K680" s="646">
        <v>373909329</v>
      </c>
    </row>
    <row r="681" spans="1:11">
      <c r="A681" t="s">
        <v>1067</v>
      </c>
      <c r="B681" t="s">
        <v>2522</v>
      </c>
      <c r="C681" s="629">
        <v>1.17</v>
      </c>
      <c r="D681" s="731">
        <v>3060559</v>
      </c>
      <c r="E681" s="731">
        <v>69806</v>
      </c>
      <c r="F681" s="944">
        <v>12</v>
      </c>
      <c r="G681" s="629">
        <v>0</v>
      </c>
    </row>
    <row r="682" spans="1:11">
      <c r="A682" t="s">
        <v>1876</v>
      </c>
      <c r="B682" t="s">
        <v>2483</v>
      </c>
      <c r="C682" s="629">
        <v>0.98670000000000002</v>
      </c>
      <c r="D682" s="731">
        <v>783380</v>
      </c>
      <c r="E682" s="731">
        <v>45867</v>
      </c>
      <c r="F682" s="944">
        <v>12</v>
      </c>
      <c r="G682" s="629">
        <v>0</v>
      </c>
    </row>
    <row r="683" spans="1:11">
      <c r="A683" t="s">
        <v>872</v>
      </c>
      <c r="B683" t="s">
        <v>2121</v>
      </c>
      <c r="C683" s="629">
        <v>1.0189999999999999</v>
      </c>
      <c r="D683" s="731">
        <v>1274511</v>
      </c>
      <c r="E683" s="731">
        <v>171726</v>
      </c>
      <c r="F683" s="944">
        <v>12</v>
      </c>
      <c r="G683" s="629">
        <v>0</v>
      </c>
    </row>
    <row r="684" spans="1:11">
      <c r="A684" t="s">
        <v>162</v>
      </c>
      <c r="B684" t="s">
        <v>2245</v>
      </c>
      <c r="C684" s="629">
        <v>1.04</v>
      </c>
      <c r="D684" s="731">
        <v>3809507</v>
      </c>
      <c r="E684" s="731">
        <v>286078</v>
      </c>
      <c r="F684" s="944">
        <v>12</v>
      </c>
      <c r="G684" s="629">
        <v>0</v>
      </c>
    </row>
    <row r="685" spans="1:11">
      <c r="A685" t="s">
        <v>2390</v>
      </c>
      <c r="B685" t="s">
        <v>777</v>
      </c>
      <c r="C685" s="629">
        <v>1.04</v>
      </c>
      <c r="D685" s="731">
        <v>8091091</v>
      </c>
      <c r="E685" s="731">
        <v>920449</v>
      </c>
      <c r="F685" s="944">
        <v>12</v>
      </c>
      <c r="G685" s="629">
        <v>0</v>
      </c>
    </row>
    <row r="686" spans="1:11">
      <c r="A686" t="s">
        <v>2440</v>
      </c>
      <c r="B686" t="s">
        <v>1659</v>
      </c>
      <c r="C686" s="629">
        <v>1.04</v>
      </c>
      <c r="D686" s="731">
        <v>1135242</v>
      </c>
      <c r="E686" s="731">
        <v>0</v>
      </c>
      <c r="F686" s="944">
        <v>12</v>
      </c>
      <c r="G686" s="629">
        <v>0</v>
      </c>
    </row>
    <row r="687" spans="1:11">
      <c r="A687" t="s">
        <v>2393</v>
      </c>
      <c r="B687" t="s">
        <v>2113</v>
      </c>
      <c r="C687" s="629">
        <v>1</v>
      </c>
      <c r="D687" s="731">
        <v>84514487</v>
      </c>
      <c r="E687" s="731">
        <v>8505973</v>
      </c>
      <c r="F687" s="944">
        <v>12</v>
      </c>
      <c r="G687" s="629">
        <v>0</v>
      </c>
      <c r="H687" s="646">
        <v>11213576</v>
      </c>
      <c r="I687" s="646">
        <v>57953599</v>
      </c>
      <c r="J687" s="646">
        <v>24409</v>
      </c>
      <c r="K687" s="646">
        <v>3490156662</v>
      </c>
    </row>
    <row r="688" spans="1:11">
      <c r="A688" t="s">
        <v>1225</v>
      </c>
      <c r="B688" t="s">
        <v>1660</v>
      </c>
      <c r="C688" s="629">
        <v>1.04</v>
      </c>
      <c r="D688" s="731">
        <v>5925007</v>
      </c>
      <c r="E688" s="731">
        <v>564081</v>
      </c>
      <c r="F688" s="944">
        <v>12</v>
      </c>
      <c r="G688" s="629">
        <v>0</v>
      </c>
    </row>
    <row r="689" spans="1:11">
      <c r="A689" t="s">
        <v>1780</v>
      </c>
      <c r="B689" t="s">
        <v>611</v>
      </c>
      <c r="C689" s="629">
        <v>1.04</v>
      </c>
      <c r="D689" s="731">
        <v>2787162</v>
      </c>
      <c r="E689" s="731">
        <v>735521</v>
      </c>
      <c r="F689" s="944">
        <v>12</v>
      </c>
      <c r="G689" s="629">
        <v>0</v>
      </c>
    </row>
    <row r="690" spans="1:11">
      <c r="A690" t="s">
        <v>1284</v>
      </c>
      <c r="B690" t="s">
        <v>1661</v>
      </c>
      <c r="C690" s="629">
        <v>1.04</v>
      </c>
      <c r="D690" s="731">
        <v>821386</v>
      </c>
      <c r="E690" s="731">
        <v>130</v>
      </c>
      <c r="F690" s="944">
        <v>8</v>
      </c>
      <c r="G690" s="629">
        <v>0</v>
      </c>
      <c r="H690" s="646">
        <v>25114</v>
      </c>
      <c r="I690" s="646">
        <v>396319</v>
      </c>
      <c r="J690" s="629">
        <v>208</v>
      </c>
      <c r="K690" s="646">
        <v>13407807</v>
      </c>
    </row>
    <row r="691" spans="1:11">
      <c r="A691" t="s">
        <v>2394</v>
      </c>
      <c r="B691" t="s">
        <v>1662</v>
      </c>
      <c r="C691" s="629">
        <v>1.04</v>
      </c>
      <c r="D691" s="731">
        <v>765182</v>
      </c>
      <c r="E691" s="731">
        <v>196299</v>
      </c>
      <c r="F691" s="944">
        <v>12</v>
      </c>
      <c r="G691" s="629">
        <v>0</v>
      </c>
    </row>
    <row r="692" spans="1:11">
      <c r="A692" t="s">
        <v>2074</v>
      </c>
      <c r="B692" t="s">
        <v>1663</v>
      </c>
      <c r="C692" s="629">
        <v>1.04</v>
      </c>
      <c r="D692" s="731">
        <v>7915397</v>
      </c>
      <c r="E692" s="731">
        <v>0</v>
      </c>
      <c r="F692" s="944">
        <v>12</v>
      </c>
      <c r="G692" s="629">
        <v>0</v>
      </c>
    </row>
    <row r="693" spans="1:11">
      <c r="A693" t="s">
        <v>882</v>
      </c>
      <c r="B693" t="s">
        <v>1664</v>
      </c>
      <c r="C693" s="629">
        <v>1.17</v>
      </c>
      <c r="D693" s="731">
        <v>1215097</v>
      </c>
      <c r="E693" s="731">
        <v>143712</v>
      </c>
      <c r="F693" s="944">
        <v>12</v>
      </c>
      <c r="G693" s="629">
        <v>0</v>
      </c>
    </row>
    <row r="694" spans="1:11">
      <c r="A694" t="s">
        <v>356</v>
      </c>
      <c r="B694" t="s">
        <v>2492</v>
      </c>
      <c r="C694" s="629">
        <v>1.03</v>
      </c>
      <c r="D694" s="731">
        <v>281072</v>
      </c>
      <c r="E694" s="731">
        <v>0</v>
      </c>
      <c r="F694" s="944">
        <v>12</v>
      </c>
      <c r="G694" s="629">
        <v>0</v>
      </c>
    </row>
    <row r="695" spans="1:11">
      <c r="A695" t="s">
        <v>1190</v>
      </c>
      <c r="B695" t="s">
        <v>813</v>
      </c>
      <c r="C695" s="629">
        <v>1.04</v>
      </c>
      <c r="D695" s="731">
        <v>1388372</v>
      </c>
      <c r="E695" s="731">
        <v>87968</v>
      </c>
      <c r="F695" s="944">
        <v>12</v>
      </c>
      <c r="G695" s="629">
        <v>0</v>
      </c>
    </row>
    <row r="696" spans="1:11">
      <c r="A696" t="s">
        <v>2524</v>
      </c>
      <c r="B696" t="s">
        <v>1665</v>
      </c>
      <c r="C696" s="629">
        <v>0.99670000000000003</v>
      </c>
      <c r="D696" s="731">
        <v>486991</v>
      </c>
      <c r="E696" s="731">
        <v>0</v>
      </c>
      <c r="F696" s="944">
        <v>12</v>
      </c>
      <c r="G696" s="629">
        <v>0</v>
      </c>
    </row>
    <row r="697" spans="1:11">
      <c r="A697" t="s">
        <v>2525</v>
      </c>
      <c r="B697" t="s">
        <v>1666</v>
      </c>
      <c r="C697" s="629">
        <v>0.9</v>
      </c>
      <c r="D697" s="731">
        <v>232946</v>
      </c>
      <c r="E697" s="731">
        <v>0</v>
      </c>
      <c r="F697" s="944">
        <v>12</v>
      </c>
      <c r="G697" s="629">
        <v>0</v>
      </c>
    </row>
    <row r="698" spans="1:11">
      <c r="A698" t="s">
        <v>1877</v>
      </c>
      <c r="B698" t="s">
        <v>71</v>
      </c>
      <c r="C698" s="629">
        <v>1.04</v>
      </c>
      <c r="D698" s="731">
        <v>194423</v>
      </c>
      <c r="E698" s="731">
        <v>7415</v>
      </c>
      <c r="F698" s="944">
        <v>12</v>
      </c>
      <c r="G698" s="629">
        <v>0</v>
      </c>
    </row>
    <row r="699" spans="1:11">
      <c r="A699" t="s">
        <v>2526</v>
      </c>
      <c r="B699" t="s">
        <v>1667</v>
      </c>
      <c r="C699" s="629">
        <v>1.17</v>
      </c>
      <c r="D699" s="731">
        <v>2897353</v>
      </c>
      <c r="E699" s="731">
        <v>0</v>
      </c>
      <c r="F699" s="944">
        <v>12</v>
      </c>
      <c r="G699" s="629">
        <v>0</v>
      </c>
    </row>
    <row r="700" spans="1:11">
      <c r="A700" t="s">
        <v>2527</v>
      </c>
      <c r="B700" t="s">
        <v>1668</v>
      </c>
      <c r="C700" s="629">
        <v>1.17</v>
      </c>
      <c r="D700" s="731">
        <v>325614</v>
      </c>
      <c r="E700" s="731">
        <v>0</v>
      </c>
      <c r="F700" s="944">
        <v>12</v>
      </c>
      <c r="G700" s="629">
        <v>0</v>
      </c>
    </row>
    <row r="701" spans="1:11">
      <c r="A701" t="s">
        <v>1398</v>
      </c>
      <c r="B701" t="s">
        <v>1669</v>
      </c>
      <c r="C701" s="629">
        <v>1</v>
      </c>
      <c r="D701" s="731">
        <v>3358021</v>
      </c>
      <c r="E701" s="731">
        <v>0</v>
      </c>
      <c r="F701" s="944">
        <v>12</v>
      </c>
      <c r="G701" s="629">
        <v>0</v>
      </c>
      <c r="H701" s="646">
        <v>1008659</v>
      </c>
      <c r="I701" s="646">
        <v>546232</v>
      </c>
      <c r="J701" s="629">
        <v>193</v>
      </c>
      <c r="K701" s="646">
        <v>177538470</v>
      </c>
    </row>
    <row r="702" spans="1:11">
      <c r="A702" t="s">
        <v>1242</v>
      </c>
      <c r="B702" t="s">
        <v>1290</v>
      </c>
      <c r="C702" s="629">
        <v>1.02</v>
      </c>
      <c r="D702" s="731">
        <v>5052579</v>
      </c>
      <c r="E702" s="731">
        <v>0</v>
      </c>
      <c r="F702" s="944">
        <v>12</v>
      </c>
      <c r="G702" s="629">
        <v>0</v>
      </c>
    </row>
    <row r="703" spans="1:11">
      <c r="A703" t="s">
        <v>1347</v>
      </c>
      <c r="B703" t="s">
        <v>1291</v>
      </c>
      <c r="C703" s="629">
        <v>1.04</v>
      </c>
      <c r="D703" s="731">
        <v>1726005</v>
      </c>
      <c r="E703" s="731">
        <v>0</v>
      </c>
      <c r="F703" s="944">
        <v>12</v>
      </c>
      <c r="G703" s="629">
        <v>0</v>
      </c>
    </row>
    <row r="704" spans="1:11">
      <c r="A704" t="s">
        <v>758</v>
      </c>
      <c r="B704" t="s">
        <v>1292</v>
      </c>
      <c r="C704" s="629">
        <v>1.04</v>
      </c>
      <c r="D704" s="731">
        <v>606998</v>
      </c>
      <c r="E704" s="731">
        <v>111091</v>
      </c>
      <c r="F704" s="944">
        <v>12</v>
      </c>
      <c r="G704" s="629">
        <v>0</v>
      </c>
    </row>
    <row r="705" spans="1:11">
      <c r="A705" t="s">
        <v>1407</v>
      </c>
      <c r="B705" t="s">
        <v>2122</v>
      </c>
      <c r="C705" s="629">
        <v>1.04</v>
      </c>
      <c r="D705" s="731">
        <v>254343</v>
      </c>
      <c r="E705" s="731">
        <v>0</v>
      </c>
      <c r="F705" s="944">
        <v>8</v>
      </c>
      <c r="G705" s="629">
        <v>0</v>
      </c>
    </row>
    <row r="706" spans="1:11">
      <c r="A706" t="s">
        <v>1408</v>
      </c>
      <c r="B706" t="s">
        <v>2123</v>
      </c>
      <c r="C706" s="629">
        <v>1.04</v>
      </c>
      <c r="D706" s="731">
        <v>1063708</v>
      </c>
      <c r="E706" s="731">
        <v>0</v>
      </c>
      <c r="F706" s="944">
        <v>12</v>
      </c>
      <c r="G706" s="629">
        <v>0</v>
      </c>
      <c r="H706" s="646">
        <v>101626</v>
      </c>
      <c r="I706" s="646">
        <v>599035</v>
      </c>
      <c r="J706" s="629">
        <v>186</v>
      </c>
      <c r="K706" s="646">
        <v>31812935</v>
      </c>
    </row>
    <row r="707" spans="1:11">
      <c r="A707" t="s">
        <v>1198</v>
      </c>
      <c r="B707" t="s">
        <v>2124</v>
      </c>
      <c r="C707" s="629">
        <v>1.04</v>
      </c>
      <c r="D707" s="731">
        <v>521775</v>
      </c>
      <c r="E707" s="731">
        <v>43239</v>
      </c>
      <c r="F707" s="944">
        <v>12</v>
      </c>
      <c r="G707" s="629">
        <v>0</v>
      </c>
    </row>
    <row r="708" spans="1:11">
      <c r="A708" t="s">
        <v>1441</v>
      </c>
      <c r="B708" t="s">
        <v>2125</v>
      </c>
      <c r="C708" s="629">
        <v>1.17</v>
      </c>
      <c r="D708" s="731">
        <v>1297699</v>
      </c>
      <c r="E708" s="731">
        <v>141525</v>
      </c>
      <c r="F708" s="944">
        <v>12</v>
      </c>
      <c r="G708" s="629">
        <v>0</v>
      </c>
    </row>
    <row r="709" spans="1:11">
      <c r="A709" t="s">
        <v>2186</v>
      </c>
      <c r="B709" t="s">
        <v>1463</v>
      </c>
      <c r="C709" s="629">
        <v>1.03</v>
      </c>
      <c r="D709" s="731">
        <v>178845612</v>
      </c>
      <c r="E709" s="731">
        <v>40675630</v>
      </c>
      <c r="F709" s="944">
        <v>12</v>
      </c>
      <c r="G709" s="629">
        <v>0</v>
      </c>
    </row>
    <row r="710" spans="1:11">
      <c r="A710" t="s">
        <v>1442</v>
      </c>
      <c r="B710" t="s">
        <v>2126</v>
      </c>
      <c r="C710" s="629">
        <v>1.04</v>
      </c>
      <c r="D710" s="731">
        <v>31093567</v>
      </c>
      <c r="E710" s="731">
        <v>5227443</v>
      </c>
      <c r="F710" s="944">
        <v>12</v>
      </c>
      <c r="G710" s="629">
        <v>0</v>
      </c>
      <c r="H710" s="646">
        <v>3682795</v>
      </c>
      <c r="I710" s="646">
        <v>6043017</v>
      </c>
      <c r="J710" s="646">
        <v>2385</v>
      </c>
      <c r="K710" s="646">
        <v>609617338</v>
      </c>
    </row>
    <row r="711" spans="1:11">
      <c r="A711" t="s">
        <v>1111</v>
      </c>
      <c r="B711" t="s">
        <v>1060</v>
      </c>
      <c r="C711" s="629">
        <v>1.026</v>
      </c>
      <c r="D711" s="731">
        <v>18099290</v>
      </c>
      <c r="E711" s="731">
        <v>3695561</v>
      </c>
      <c r="F711" s="944">
        <v>12</v>
      </c>
      <c r="G711" s="629">
        <v>0</v>
      </c>
    </row>
    <row r="712" spans="1:11">
      <c r="A712" t="s">
        <v>329</v>
      </c>
      <c r="B712" t="s">
        <v>273</v>
      </c>
      <c r="C712" s="629">
        <v>1.04</v>
      </c>
      <c r="D712" s="731">
        <v>29480551</v>
      </c>
      <c r="E712" s="731">
        <v>7667704</v>
      </c>
      <c r="F712" s="944">
        <v>12</v>
      </c>
      <c r="G712" s="629">
        <v>0</v>
      </c>
    </row>
    <row r="713" spans="1:11">
      <c r="A713" t="s">
        <v>1419</v>
      </c>
      <c r="B713" t="s">
        <v>1828</v>
      </c>
      <c r="C713" s="629">
        <v>1.04</v>
      </c>
      <c r="D713" s="731">
        <v>3298509</v>
      </c>
      <c r="E713" s="731">
        <v>466053</v>
      </c>
      <c r="F713" s="944">
        <v>12</v>
      </c>
      <c r="G713" s="629">
        <v>0</v>
      </c>
    </row>
    <row r="714" spans="1:11">
      <c r="A714" t="s">
        <v>662</v>
      </c>
      <c r="B714" t="s">
        <v>1072</v>
      </c>
      <c r="C714" s="629">
        <v>1.04</v>
      </c>
      <c r="D714" s="731">
        <v>17650109</v>
      </c>
      <c r="E714" s="731">
        <v>3791711</v>
      </c>
      <c r="F714" s="944">
        <v>12</v>
      </c>
      <c r="G714" s="629">
        <v>0</v>
      </c>
    </row>
    <row r="715" spans="1:11">
      <c r="A715" t="s">
        <v>1764</v>
      </c>
      <c r="B715" t="s">
        <v>2127</v>
      </c>
      <c r="C715" s="629">
        <v>1.04</v>
      </c>
      <c r="D715" s="731">
        <v>19260804</v>
      </c>
      <c r="E715" s="731">
        <v>546288</v>
      </c>
      <c r="F715" s="944">
        <v>12</v>
      </c>
      <c r="G715" s="629">
        <v>0</v>
      </c>
      <c r="H715" s="646">
        <v>3224913</v>
      </c>
      <c r="I715" s="646">
        <v>9714972</v>
      </c>
      <c r="J715" s="646">
        <v>4193</v>
      </c>
      <c r="K715" s="646">
        <v>1157095395</v>
      </c>
    </row>
    <row r="716" spans="1:11">
      <c r="A716" t="s">
        <v>1765</v>
      </c>
      <c r="B716" t="s">
        <v>2128</v>
      </c>
      <c r="C716" s="629">
        <v>1.04</v>
      </c>
      <c r="D716" s="731">
        <v>3531321</v>
      </c>
      <c r="E716" s="731">
        <v>358482</v>
      </c>
      <c r="F716" s="944">
        <v>12</v>
      </c>
      <c r="G716" s="629">
        <v>0</v>
      </c>
      <c r="H716" s="646">
        <v>845268</v>
      </c>
      <c r="I716" s="646">
        <v>1868922</v>
      </c>
      <c r="J716" s="629">
        <v>804</v>
      </c>
      <c r="K716" s="646">
        <v>184924650</v>
      </c>
    </row>
    <row r="717" spans="1:11">
      <c r="A717" t="s">
        <v>1766</v>
      </c>
      <c r="B717" t="s">
        <v>2129</v>
      </c>
      <c r="C717" s="629">
        <v>1.04</v>
      </c>
      <c r="D717" s="731">
        <v>8622141</v>
      </c>
      <c r="E717" s="731">
        <v>850349</v>
      </c>
      <c r="F717" s="944">
        <v>12</v>
      </c>
      <c r="G717" s="629">
        <v>0</v>
      </c>
      <c r="H717" s="646">
        <v>3186454</v>
      </c>
      <c r="I717" s="646">
        <v>5386091</v>
      </c>
      <c r="J717" s="646">
        <v>2280</v>
      </c>
      <c r="K717" s="646">
        <v>665015929</v>
      </c>
    </row>
    <row r="718" spans="1:11">
      <c r="A718" t="s">
        <v>1767</v>
      </c>
      <c r="B718" t="s">
        <v>2484</v>
      </c>
      <c r="C718" s="629">
        <v>1.04</v>
      </c>
      <c r="D718" s="731">
        <v>1834132</v>
      </c>
      <c r="E718" s="731">
        <v>215605</v>
      </c>
      <c r="F718" s="944">
        <v>12</v>
      </c>
      <c r="G718" s="629">
        <v>0</v>
      </c>
    </row>
    <row r="719" spans="1:11">
      <c r="A719" t="s">
        <v>2227</v>
      </c>
      <c r="B719" t="s">
        <v>2131</v>
      </c>
      <c r="C719" s="629">
        <v>1.17</v>
      </c>
      <c r="D719" s="731">
        <v>838300</v>
      </c>
      <c r="E719" s="731">
        <v>0</v>
      </c>
      <c r="F719" s="944">
        <v>12</v>
      </c>
      <c r="G719" s="629">
        <v>0</v>
      </c>
    </row>
    <row r="720" spans="1:11">
      <c r="A720" t="s">
        <v>663</v>
      </c>
      <c r="B720" t="s">
        <v>1091</v>
      </c>
      <c r="C720" s="629">
        <v>1.04</v>
      </c>
      <c r="D720" s="731">
        <v>436327</v>
      </c>
      <c r="E720" s="731">
        <v>23155</v>
      </c>
      <c r="F720" s="944">
        <v>12</v>
      </c>
      <c r="G720" s="629">
        <v>0</v>
      </c>
    </row>
    <row r="721" spans="1:11">
      <c r="A721" t="s">
        <v>491</v>
      </c>
      <c r="B721" t="s">
        <v>2132</v>
      </c>
      <c r="C721" s="629">
        <v>1.04</v>
      </c>
      <c r="D721" s="731">
        <v>4340001</v>
      </c>
      <c r="E721" s="731">
        <v>0</v>
      </c>
      <c r="F721" s="944">
        <v>12</v>
      </c>
      <c r="G721" s="629">
        <v>0</v>
      </c>
      <c r="H721" s="646">
        <v>597062</v>
      </c>
      <c r="I721" s="646">
        <v>1621229</v>
      </c>
      <c r="J721" s="629">
        <v>688</v>
      </c>
      <c r="K721" s="646">
        <v>159652072</v>
      </c>
    </row>
    <row r="722" spans="1:11">
      <c r="A722" t="s">
        <v>664</v>
      </c>
      <c r="B722" t="s">
        <v>429</v>
      </c>
      <c r="C722" s="629">
        <v>0.99329999999999996</v>
      </c>
      <c r="D722" s="731">
        <v>2438535</v>
      </c>
      <c r="E722" s="731">
        <v>141653</v>
      </c>
      <c r="F722" s="944">
        <v>12</v>
      </c>
      <c r="G722" s="629">
        <v>0</v>
      </c>
    </row>
    <row r="723" spans="1:11">
      <c r="A723" t="s">
        <v>492</v>
      </c>
      <c r="B723" t="s">
        <v>2133</v>
      </c>
      <c r="C723" s="629">
        <v>1.17</v>
      </c>
      <c r="D723" s="731">
        <v>19461747</v>
      </c>
      <c r="E723" s="731">
        <v>3118246</v>
      </c>
      <c r="F723" s="944">
        <v>12</v>
      </c>
      <c r="G723" s="629">
        <v>0</v>
      </c>
    </row>
    <row r="724" spans="1:11">
      <c r="A724" t="s">
        <v>357</v>
      </c>
      <c r="B724" t="s">
        <v>1063</v>
      </c>
      <c r="C724" s="629">
        <v>1.04</v>
      </c>
      <c r="D724" s="731">
        <v>1148857</v>
      </c>
      <c r="E724" s="731">
        <v>26036</v>
      </c>
      <c r="F724" s="944">
        <v>12</v>
      </c>
      <c r="G724" s="629">
        <v>0</v>
      </c>
    </row>
    <row r="725" spans="1:11">
      <c r="A725" t="s">
        <v>493</v>
      </c>
      <c r="B725" t="s">
        <v>2134</v>
      </c>
      <c r="C725" s="629">
        <v>1.04</v>
      </c>
      <c r="D725" s="731">
        <v>1007225</v>
      </c>
      <c r="E725" s="731">
        <v>0</v>
      </c>
      <c r="F725" s="944">
        <v>12</v>
      </c>
      <c r="G725" s="629">
        <v>0</v>
      </c>
    </row>
    <row r="726" spans="1:11">
      <c r="A726" t="s">
        <v>494</v>
      </c>
      <c r="B726" t="s">
        <v>2135</v>
      </c>
      <c r="C726" s="629">
        <v>1.04</v>
      </c>
      <c r="D726" s="731">
        <v>531685</v>
      </c>
      <c r="E726" s="731">
        <v>33797</v>
      </c>
      <c r="F726" s="944">
        <v>12</v>
      </c>
      <c r="G726" s="629">
        <v>0</v>
      </c>
    </row>
    <row r="727" spans="1:11">
      <c r="A727" t="s">
        <v>729</v>
      </c>
      <c r="B727" t="s">
        <v>844</v>
      </c>
      <c r="C727" s="629">
        <v>1.04</v>
      </c>
      <c r="D727" s="731">
        <v>402097</v>
      </c>
      <c r="E727" s="731">
        <v>0</v>
      </c>
      <c r="F727" s="944">
        <v>8</v>
      </c>
      <c r="G727" s="629">
        <v>0</v>
      </c>
    </row>
    <row r="728" spans="1:11">
      <c r="A728" t="s">
        <v>495</v>
      </c>
      <c r="B728" t="s">
        <v>2136</v>
      </c>
      <c r="C728" s="629">
        <v>1.04</v>
      </c>
      <c r="D728" s="731">
        <v>1904353</v>
      </c>
      <c r="E728" s="731">
        <v>0</v>
      </c>
      <c r="F728" s="944">
        <v>12</v>
      </c>
      <c r="G728" s="629">
        <v>0</v>
      </c>
      <c r="H728" s="629">
        <v>0</v>
      </c>
      <c r="I728" s="646">
        <v>961029</v>
      </c>
      <c r="J728" s="629">
        <v>355</v>
      </c>
      <c r="K728" s="646">
        <v>34374367</v>
      </c>
    </row>
    <row r="729" spans="1:11">
      <c r="A729" t="s">
        <v>496</v>
      </c>
      <c r="B729" t="s">
        <v>290</v>
      </c>
      <c r="C729" s="629">
        <v>1.04</v>
      </c>
      <c r="D729" s="731">
        <v>1161154</v>
      </c>
      <c r="E729" s="731">
        <v>80205</v>
      </c>
      <c r="F729" s="944">
        <v>12</v>
      </c>
      <c r="G729" s="629">
        <v>0</v>
      </c>
    </row>
    <row r="730" spans="1:11">
      <c r="A730" t="s">
        <v>2262</v>
      </c>
      <c r="B730" t="s">
        <v>1039</v>
      </c>
      <c r="C730" s="629">
        <v>1.04</v>
      </c>
      <c r="D730" s="731">
        <v>13628700</v>
      </c>
      <c r="E730" s="731">
        <v>2344944</v>
      </c>
      <c r="F730" s="944">
        <v>12</v>
      </c>
      <c r="G730" s="629">
        <v>0</v>
      </c>
    </row>
    <row r="731" spans="1:11">
      <c r="A731" t="s">
        <v>2269</v>
      </c>
      <c r="B731" t="s">
        <v>2516</v>
      </c>
      <c r="C731" s="629">
        <v>1.04</v>
      </c>
      <c r="D731" s="731">
        <v>822884</v>
      </c>
      <c r="E731" s="731">
        <v>188110</v>
      </c>
      <c r="F731" s="944">
        <v>12</v>
      </c>
      <c r="G731" s="629">
        <v>0</v>
      </c>
    </row>
    <row r="732" spans="1:11">
      <c r="A732" t="s">
        <v>19</v>
      </c>
      <c r="B732" t="s">
        <v>291</v>
      </c>
      <c r="C732" s="629">
        <v>1.04</v>
      </c>
      <c r="D732" s="731">
        <v>608531</v>
      </c>
      <c r="E732" s="731">
        <v>45911</v>
      </c>
      <c r="F732" s="944">
        <v>12</v>
      </c>
      <c r="G732" s="629">
        <v>0</v>
      </c>
    </row>
    <row r="733" spans="1:11">
      <c r="A733" t="s">
        <v>665</v>
      </c>
      <c r="B733" t="s">
        <v>2377</v>
      </c>
      <c r="C733" s="629">
        <v>1.03</v>
      </c>
      <c r="D733" s="731">
        <v>1706692</v>
      </c>
      <c r="E733" s="731">
        <v>92073</v>
      </c>
      <c r="F733" s="944">
        <v>12</v>
      </c>
      <c r="G733" s="629">
        <v>0</v>
      </c>
    </row>
    <row r="734" spans="1:11">
      <c r="A734" t="s">
        <v>20</v>
      </c>
      <c r="B734" t="s">
        <v>292</v>
      </c>
      <c r="C734" s="629">
        <v>0.92469999999999997</v>
      </c>
      <c r="D734" s="731">
        <v>2924377</v>
      </c>
      <c r="E734" s="731">
        <v>225290</v>
      </c>
      <c r="F734" s="944">
        <v>12</v>
      </c>
      <c r="G734" s="629">
        <v>0</v>
      </c>
    </row>
    <row r="735" spans="1:11">
      <c r="A735" t="s">
        <v>1972</v>
      </c>
      <c r="B735" t="s">
        <v>78</v>
      </c>
      <c r="C735" s="629">
        <v>1.04</v>
      </c>
      <c r="D735" s="731">
        <v>726276</v>
      </c>
      <c r="E735" s="731">
        <v>105897</v>
      </c>
      <c r="F735" s="944">
        <v>12</v>
      </c>
      <c r="G735" s="629">
        <v>0</v>
      </c>
    </row>
    <row r="736" spans="1:11">
      <c r="A736" t="s">
        <v>21</v>
      </c>
      <c r="B736" t="s">
        <v>293</v>
      </c>
      <c r="C736" s="629">
        <v>1.04</v>
      </c>
      <c r="D736" s="731">
        <v>1489715</v>
      </c>
      <c r="E736" s="731">
        <v>247328</v>
      </c>
      <c r="F736" s="944">
        <v>12</v>
      </c>
      <c r="G736" s="629">
        <v>0</v>
      </c>
    </row>
    <row r="737" spans="1:11">
      <c r="A737" t="s">
        <v>965</v>
      </c>
      <c r="B737" t="s">
        <v>2162</v>
      </c>
      <c r="C737" s="629">
        <v>0.99119999999999997</v>
      </c>
      <c r="D737" s="731">
        <v>2151687</v>
      </c>
      <c r="E737" s="731">
        <v>331363</v>
      </c>
      <c r="F737" s="944">
        <v>12</v>
      </c>
      <c r="G737" s="629">
        <v>0</v>
      </c>
    </row>
    <row r="738" spans="1:11">
      <c r="A738" t="s">
        <v>1878</v>
      </c>
      <c r="B738" t="s">
        <v>2523</v>
      </c>
      <c r="C738" s="629">
        <v>1.04</v>
      </c>
      <c r="D738" s="731">
        <v>3989523</v>
      </c>
      <c r="E738" s="731">
        <v>660876</v>
      </c>
      <c r="F738" s="944">
        <v>12</v>
      </c>
      <c r="G738" s="629">
        <v>0</v>
      </c>
      <c r="H738" s="646">
        <v>533218</v>
      </c>
      <c r="I738" s="646">
        <v>2390303</v>
      </c>
      <c r="J738" s="646">
        <v>1069</v>
      </c>
      <c r="K738" s="646">
        <v>105825093</v>
      </c>
    </row>
    <row r="739" spans="1:11">
      <c r="A739" t="s">
        <v>1453</v>
      </c>
      <c r="B739" t="s">
        <v>572</v>
      </c>
      <c r="C739" s="629">
        <v>1.17</v>
      </c>
      <c r="D739" s="731">
        <v>762061</v>
      </c>
      <c r="E739" s="731">
        <v>52877</v>
      </c>
      <c r="F739" s="944">
        <v>12</v>
      </c>
      <c r="G739" s="629">
        <v>0</v>
      </c>
    </row>
    <row r="740" spans="1:11">
      <c r="A740" t="s">
        <v>1774</v>
      </c>
      <c r="B740" t="s">
        <v>294</v>
      </c>
      <c r="C740" s="629">
        <v>1.04</v>
      </c>
      <c r="D740" s="731">
        <v>4675528</v>
      </c>
      <c r="E740" s="731">
        <v>397763</v>
      </c>
      <c r="F740" s="944">
        <v>12</v>
      </c>
      <c r="G740" s="629">
        <v>0</v>
      </c>
    </row>
    <row r="741" spans="1:11">
      <c r="A741" t="s">
        <v>2184</v>
      </c>
      <c r="B741" t="s">
        <v>2203</v>
      </c>
      <c r="C741" s="629">
        <v>1.04</v>
      </c>
      <c r="D741" s="731">
        <v>9119445</v>
      </c>
      <c r="E741" s="731">
        <v>327426</v>
      </c>
      <c r="F741" s="944">
        <v>12</v>
      </c>
      <c r="G741" s="629">
        <v>0</v>
      </c>
      <c r="H741" s="646">
        <v>450262</v>
      </c>
      <c r="I741" s="646">
        <v>788366</v>
      </c>
      <c r="J741" s="629">
        <v>337</v>
      </c>
      <c r="K741" s="646">
        <v>87310462</v>
      </c>
    </row>
    <row r="742" spans="1:11">
      <c r="A742" t="s">
        <v>402</v>
      </c>
      <c r="B742" t="s">
        <v>296</v>
      </c>
      <c r="C742" s="629">
        <v>1.1599999999999999</v>
      </c>
      <c r="D742" s="731">
        <v>1954073</v>
      </c>
      <c r="E742" s="731">
        <v>97638</v>
      </c>
      <c r="F742" s="944">
        <v>12</v>
      </c>
      <c r="G742" s="629">
        <v>0</v>
      </c>
      <c r="H742" s="646">
        <v>317533</v>
      </c>
      <c r="I742" s="646">
        <v>619584</v>
      </c>
      <c r="J742" s="629">
        <v>143</v>
      </c>
      <c r="K742" s="646">
        <v>44286780</v>
      </c>
    </row>
    <row r="743" spans="1:11">
      <c r="A743" t="s">
        <v>2358</v>
      </c>
      <c r="B743" t="s">
        <v>297</v>
      </c>
      <c r="C743" s="629">
        <v>1.04</v>
      </c>
      <c r="D743" s="731">
        <v>1108518</v>
      </c>
      <c r="E743" s="731">
        <v>214529</v>
      </c>
      <c r="F743" s="944">
        <v>12</v>
      </c>
      <c r="G743" s="629">
        <v>0</v>
      </c>
    </row>
    <row r="744" spans="1:11">
      <c r="A744" t="s">
        <v>1102</v>
      </c>
      <c r="B744" t="s">
        <v>2204</v>
      </c>
      <c r="C744" s="629">
        <v>1.0266999999999999</v>
      </c>
      <c r="D744" s="731">
        <v>5073365</v>
      </c>
      <c r="E744" s="731">
        <v>741982</v>
      </c>
      <c r="F744" s="944">
        <v>12</v>
      </c>
      <c r="G744" s="629">
        <v>0</v>
      </c>
    </row>
    <row r="745" spans="1:11">
      <c r="A745" t="s">
        <v>1103</v>
      </c>
      <c r="B745" t="s">
        <v>299</v>
      </c>
      <c r="C745" s="629">
        <v>1.04</v>
      </c>
      <c r="D745" s="731">
        <v>12368543</v>
      </c>
      <c r="E745" s="731">
        <v>651961</v>
      </c>
      <c r="F745" s="944">
        <v>12</v>
      </c>
      <c r="G745" s="629">
        <v>0</v>
      </c>
    </row>
    <row r="746" spans="1:11">
      <c r="A746" t="s">
        <v>2261</v>
      </c>
      <c r="B746" t="s">
        <v>1038</v>
      </c>
      <c r="C746" s="629">
        <v>1.04</v>
      </c>
      <c r="D746" s="731">
        <v>106002501</v>
      </c>
      <c r="E746" s="731">
        <v>10004755</v>
      </c>
      <c r="F746" s="944">
        <v>12</v>
      </c>
      <c r="G746" s="629">
        <v>0</v>
      </c>
    </row>
    <row r="747" spans="1:11">
      <c r="A747" t="s">
        <v>535</v>
      </c>
      <c r="B747" t="s">
        <v>300</v>
      </c>
      <c r="C747" s="629">
        <v>1.04</v>
      </c>
      <c r="D747" s="731">
        <v>1278090</v>
      </c>
      <c r="E747" s="731">
        <v>313689</v>
      </c>
      <c r="F747" s="944">
        <v>8</v>
      </c>
      <c r="G747" s="629">
        <v>0</v>
      </c>
    </row>
    <row r="748" spans="1:11">
      <c r="A748" t="s">
        <v>544</v>
      </c>
      <c r="B748" t="s">
        <v>301</v>
      </c>
      <c r="C748" s="629">
        <v>0.9</v>
      </c>
      <c r="D748" s="731">
        <v>1919889</v>
      </c>
      <c r="E748" s="731">
        <v>229156</v>
      </c>
      <c r="F748" s="944">
        <v>8</v>
      </c>
      <c r="G748" s="629">
        <v>0</v>
      </c>
      <c r="H748" s="646">
        <v>256431</v>
      </c>
      <c r="I748" s="646">
        <v>536081</v>
      </c>
      <c r="J748" s="629">
        <v>121</v>
      </c>
      <c r="K748" s="646">
        <v>41075069</v>
      </c>
    </row>
    <row r="749" spans="1:11">
      <c r="A749" t="s">
        <v>545</v>
      </c>
      <c r="B749" t="s">
        <v>302</v>
      </c>
      <c r="C749" s="629">
        <v>1.0133000000000001</v>
      </c>
      <c r="D749" s="731">
        <v>17477758</v>
      </c>
      <c r="E749" s="731">
        <v>800801</v>
      </c>
      <c r="F749" s="944">
        <v>12</v>
      </c>
      <c r="G749" s="629">
        <v>0</v>
      </c>
      <c r="H749" s="646">
        <v>1072009</v>
      </c>
      <c r="I749" s="646">
        <v>1501927</v>
      </c>
      <c r="J749" s="629">
        <v>647</v>
      </c>
      <c r="K749" s="646">
        <v>348789017</v>
      </c>
    </row>
    <row r="750" spans="1:11">
      <c r="A750" t="s">
        <v>156</v>
      </c>
      <c r="B750" t="s">
        <v>2552</v>
      </c>
      <c r="C750" s="629">
        <v>1.04</v>
      </c>
      <c r="D750" s="731">
        <v>2956075</v>
      </c>
      <c r="E750" s="731">
        <v>529957</v>
      </c>
      <c r="F750" s="944">
        <v>12</v>
      </c>
      <c r="G750" s="629">
        <v>0</v>
      </c>
    </row>
    <row r="751" spans="1:11">
      <c r="A751" t="s">
        <v>722</v>
      </c>
      <c r="B751" t="s">
        <v>303</v>
      </c>
      <c r="C751" s="629">
        <v>1.04</v>
      </c>
      <c r="D751" s="731">
        <v>14423299</v>
      </c>
      <c r="E751" s="731">
        <v>2788345</v>
      </c>
      <c r="F751" s="944">
        <v>12</v>
      </c>
      <c r="G751" s="629">
        <v>0</v>
      </c>
    </row>
    <row r="752" spans="1:11">
      <c r="A752" t="s">
        <v>911</v>
      </c>
      <c r="B752" t="s">
        <v>304</v>
      </c>
      <c r="C752" s="629">
        <v>1.04</v>
      </c>
      <c r="D752" s="731">
        <v>2122595</v>
      </c>
      <c r="E752" s="731">
        <v>538259</v>
      </c>
      <c r="F752" s="944">
        <v>12</v>
      </c>
      <c r="G752" s="629">
        <v>0</v>
      </c>
    </row>
    <row r="753" spans="1:11">
      <c r="A753" t="s">
        <v>2019</v>
      </c>
      <c r="B753" t="s">
        <v>305</v>
      </c>
      <c r="C753" s="629">
        <v>1.04</v>
      </c>
      <c r="D753" s="731">
        <v>21690840</v>
      </c>
      <c r="E753" s="731">
        <v>513423</v>
      </c>
      <c r="F753" s="944">
        <v>12</v>
      </c>
      <c r="G753" s="629">
        <v>0</v>
      </c>
    </row>
    <row r="754" spans="1:11">
      <c r="A754" t="s">
        <v>2020</v>
      </c>
      <c r="B754" t="s">
        <v>306</v>
      </c>
      <c r="C754" s="629">
        <v>1.04</v>
      </c>
      <c r="D754" s="731">
        <v>5234823</v>
      </c>
      <c r="E754" s="731">
        <v>1051272</v>
      </c>
      <c r="F754" s="944">
        <v>12</v>
      </c>
      <c r="G754" s="629">
        <v>0</v>
      </c>
    </row>
    <row r="755" spans="1:11">
      <c r="A755" t="s">
        <v>195</v>
      </c>
      <c r="B755" t="s">
        <v>942</v>
      </c>
      <c r="C755" s="629">
        <v>1.04</v>
      </c>
      <c r="D755" s="731">
        <v>8402747</v>
      </c>
      <c r="E755" s="731">
        <v>440550</v>
      </c>
      <c r="F755" s="944">
        <v>12</v>
      </c>
      <c r="G755" s="629">
        <v>0</v>
      </c>
    </row>
    <row r="756" spans="1:11">
      <c r="A756" t="s">
        <v>918</v>
      </c>
      <c r="B756" t="s">
        <v>307</v>
      </c>
      <c r="C756" s="629">
        <v>1.04</v>
      </c>
      <c r="D756" s="731">
        <v>1074441</v>
      </c>
      <c r="E756" s="731">
        <v>0</v>
      </c>
      <c r="F756" s="944">
        <v>12</v>
      </c>
      <c r="G756" s="629">
        <v>0</v>
      </c>
    </row>
    <row r="757" spans="1:11">
      <c r="A757" t="s">
        <v>919</v>
      </c>
      <c r="B757" t="s">
        <v>308</v>
      </c>
      <c r="C757" s="629">
        <v>1.04</v>
      </c>
      <c r="D757" s="731">
        <v>387405</v>
      </c>
      <c r="E757" s="731">
        <v>0</v>
      </c>
      <c r="F757" s="944">
        <v>12</v>
      </c>
      <c r="G757" s="629">
        <v>0</v>
      </c>
    </row>
    <row r="758" spans="1:11">
      <c r="A758" t="s">
        <v>920</v>
      </c>
      <c r="B758" t="s">
        <v>309</v>
      </c>
      <c r="C758" s="629">
        <v>1.04</v>
      </c>
      <c r="D758" s="731">
        <v>367423</v>
      </c>
      <c r="E758" s="731">
        <v>0</v>
      </c>
      <c r="F758" s="944">
        <v>6</v>
      </c>
      <c r="G758" s="629">
        <v>0</v>
      </c>
    </row>
    <row r="759" spans="1:11">
      <c r="A759" t="s">
        <v>1844</v>
      </c>
      <c r="B759" t="s">
        <v>1751</v>
      </c>
      <c r="C759" s="629">
        <v>1.04</v>
      </c>
      <c r="D759" s="731">
        <v>7510004</v>
      </c>
      <c r="E759" s="731">
        <v>1167158</v>
      </c>
      <c r="F759" s="944">
        <v>12</v>
      </c>
      <c r="G759" s="629">
        <v>0</v>
      </c>
    </row>
    <row r="760" spans="1:11">
      <c r="A760" t="s">
        <v>921</v>
      </c>
      <c r="B760" t="s">
        <v>310</v>
      </c>
      <c r="C760" s="629">
        <v>1.04</v>
      </c>
      <c r="D760" s="731">
        <v>3462146</v>
      </c>
      <c r="E760" s="731">
        <v>346377</v>
      </c>
      <c r="F760" s="944">
        <v>12</v>
      </c>
      <c r="G760" s="629">
        <v>0</v>
      </c>
    </row>
    <row r="761" spans="1:11">
      <c r="A761" t="s">
        <v>922</v>
      </c>
      <c r="B761" t="s">
        <v>2205</v>
      </c>
      <c r="C761" s="629">
        <v>1.04</v>
      </c>
      <c r="D761" s="731">
        <v>16218124</v>
      </c>
      <c r="E761" s="731">
        <v>1214178</v>
      </c>
      <c r="F761" s="944">
        <v>12</v>
      </c>
      <c r="G761" s="629">
        <v>0</v>
      </c>
      <c r="H761" s="646">
        <v>6703706</v>
      </c>
      <c r="I761" s="646">
        <v>10197068</v>
      </c>
      <c r="J761" s="646">
        <v>4379</v>
      </c>
      <c r="K761" s="646">
        <v>1373978114</v>
      </c>
    </row>
    <row r="762" spans="1:11">
      <c r="A762" t="s">
        <v>1380</v>
      </c>
      <c r="B762" t="s">
        <v>126</v>
      </c>
      <c r="C762" s="629">
        <v>1.125</v>
      </c>
      <c r="D762" s="731">
        <v>7598465</v>
      </c>
      <c r="E762" s="731">
        <v>593772</v>
      </c>
      <c r="F762" s="944">
        <v>12</v>
      </c>
      <c r="G762" s="629">
        <v>0</v>
      </c>
    </row>
    <row r="763" spans="1:11">
      <c r="A763" t="s">
        <v>1030</v>
      </c>
      <c r="B763" t="s">
        <v>312</v>
      </c>
      <c r="C763" s="629">
        <v>1.04</v>
      </c>
      <c r="D763" s="731">
        <v>8210577</v>
      </c>
      <c r="E763" s="731">
        <v>883182</v>
      </c>
      <c r="F763" s="944">
        <v>12</v>
      </c>
      <c r="G763" s="629">
        <v>0</v>
      </c>
    </row>
    <row r="764" spans="1:11">
      <c r="A764" t="s">
        <v>1031</v>
      </c>
      <c r="B764" t="s">
        <v>313</v>
      </c>
      <c r="C764" s="629">
        <v>1.04</v>
      </c>
      <c r="D764" s="731">
        <v>967351</v>
      </c>
      <c r="E764" s="731">
        <v>71817</v>
      </c>
      <c r="F764" s="944">
        <v>12</v>
      </c>
      <c r="G764" s="629">
        <v>0</v>
      </c>
    </row>
    <row r="765" spans="1:11">
      <c r="A765" t="s">
        <v>1032</v>
      </c>
      <c r="B765" t="s">
        <v>314</v>
      </c>
      <c r="C765" s="629">
        <v>1.04</v>
      </c>
      <c r="D765" s="731">
        <v>5094588</v>
      </c>
      <c r="E765" s="731">
        <v>238169</v>
      </c>
      <c r="F765" s="944">
        <v>12</v>
      </c>
      <c r="G765" s="629">
        <v>0</v>
      </c>
      <c r="H765" s="646">
        <v>591010</v>
      </c>
      <c r="I765" s="646">
        <v>1294144</v>
      </c>
      <c r="J765" s="629">
        <v>492</v>
      </c>
      <c r="K765" s="646">
        <v>124357588</v>
      </c>
    </row>
    <row r="766" spans="1:11">
      <c r="A766" t="s">
        <v>2396</v>
      </c>
      <c r="B766" t="s">
        <v>2117</v>
      </c>
      <c r="C766" s="629">
        <v>1.04</v>
      </c>
      <c r="D766" s="731">
        <v>6655987</v>
      </c>
      <c r="E766" s="731">
        <v>1336260</v>
      </c>
      <c r="F766" s="944">
        <v>12</v>
      </c>
      <c r="G766" s="629">
        <v>0</v>
      </c>
    </row>
    <row r="767" spans="1:11">
      <c r="A767" t="s">
        <v>1277</v>
      </c>
      <c r="B767" t="s">
        <v>315</v>
      </c>
      <c r="C767" s="629">
        <v>1.04</v>
      </c>
      <c r="D767" s="731">
        <v>2196331</v>
      </c>
      <c r="E767" s="731">
        <v>328612</v>
      </c>
      <c r="F767" s="944">
        <v>12</v>
      </c>
      <c r="G767" s="629">
        <v>0</v>
      </c>
    </row>
    <row r="768" spans="1:11">
      <c r="A768" t="s">
        <v>1278</v>
      </c>
      <c r="B768" t="s">
        <v>316</v>
      </c>
      <c r="C768" s="629">
        <v>1.04</v>
      </c>
      <c r="D768" s="731">
        <v>745825</v>
      </c>
      <c r="E768" s="731">
        <v>0</v>
      </c>
      <c r="F768" s="944">
        <v>12</v>
      </c>
      <c r="G768" s="629">
        <v>0</v>
      </c>
    </row>
    <row r="769" spans="1:11">
      <c r="A769" t="s">
        <v>1279</v>
      </c>
      <c r="B769" t="s">
        <v>409</v>
      </c>
      <c r="C769" s="629">
        <v>1.04</v>
      </c>
      <c r="D769" s="731">
        <v>3775096</v>
      </c>
      <c r="E769" s="731">
        <v>86052</v>
      </c>
      <c r="F769" s="944">
        <v>6</v>
      </c>
      <c r="G769" s="629">
        <v>0</v>
      </c>
      <c r="H769" s="646">
        <v>82396</v>
      </c>
      <c r="I769" s="646">
        <v>253060</v>
      </c>
      <c r="J769" s="629">
        <v>153</v>
      </c>
      <c r="K769" s="646">
        <v>69480117</v>
      </c>
    </row>
    <row r="770" spans="1:11">
      <c r="A770" t="s">
        <v>1280</v>
      </c>
      <c r="B770" t="s">
        <v>410</v>
      </c>
      <c r="C770" s="629">
        <v>1.04</v>
      </c>
      <c r="D770" s="731">
        <v>7707525</v>
      </c>
      <c r="E770" s="731">
        <v>587976</v>
      </c>
      <c r="F770" s="944">
        <v>12</v>
      </c>
      <c r="G770" s="629">
        <v>0</v>
      </c>
      <c r="H770" s="646">
        <v>596267</v>
      </c>
      <c r="I770" s="646">
        <v>1683301</v>
      </c>
      <c r="J770" s="629">
        <v>781</v>
      </c>
      <c r="K770" s="646">
        <v>255996995</v>
      </c>
    </row>
    <row r="771" spans="1:11">
      <c r="A771" t="s">
        <v>1281</v>
      </c>
      <c r="B771" t="s">
        <v>411</v>
      </c>
      <c r="C771" s="629">
        <v>1.04</v>
      </c>
      <c r="D771" s="731">
        <v>33266505</v>
      </c>
      <c r="E771" s="731">
        <v>4059817</v>
      </c>
      <c r="F771" s="944">
        <v>12</v>
      </c>
      <c r="G771" s="629">
        <v>0</v>
      </c>
      <c r="H771" s="646">
        <v>3833612</v>
      </c>
      <c r="I771" s="646">
        <v>9112942</v>
      </c>
      <c r="J771" s="646">
        <v>3731</v>
      </c>
      <c r="K771" s="646">
        <v>1138295124</v>
      </c>
    </row>
    <row r="772" spans="1:11">
      <c r="A772" t="s">
        <v>2436</v>
      </c>
      <c r="B772" t="s">
        <v>430</v>
      </c>
      <c r="C772" s="629">
        <v>0.95989999999999998</v>
      </c>
      <c r="D772" s="731">
        <v>2323700</v>
      </c>
      <c r="E772" s="731">
        <v>163732</v>
      </c>
      <c r="F772" s="944">
        <v>12</v>
      </c>
      <c r="G772" s="629">
        <v>0</v>
      </c>
      <c r="H772" s="646">
        <v>144580</v>
      </c>
      <c r="I772" s="646">
        <v>885476</v>
      </c>
      <c r="J772" s="629">
        <v>400</v>
      </c>
      <c r="K772" s="646">
        <v>58002076</v>
      </c>
    </row>
    <row r="773" spans="1:11">
      <c r="A773" t="s">
        <v>666</v>
      </c>
      <c r="B773" t="s">
        <v>949</v>
      </c>
      <c r="C773" s="629">
        <v>1.04</v>
      </c>
      <c r="D773" s="731">
        <v>1412401</v>
      </c>
      <c r="E773" s="731">
        <v>267695</v>
      </c>
      <c r="F773" s="944">
        <v>12</v>
      </c>
      <c r="G773" s="629">
        <v>0</v>
      </c>
    </row>
    <row r="774" spans="1:11">
      <c r="A774" t="s">
        <v>1421</v>
      </c>
      <c r="B774" t="s">
        <v>1830</v>
      </c>
      <c r="C774" s="629">
        <v>1.04</v>
      </c>
      <c r="D774" s="731">
        <v>7397839</v>
      </c>
      <c r="E774" s="731">
        <v>1120100</v>
      </c>
      <c r="F774" s="944">
        <v>12</v>
      </c>
      <c r="G774" s="629">
        <v>0</v>
      </c>
    </row>
    <row r="775" spans="1:11">
      <c r="A775" t="s">
        <v>1381</v>
      </c>
      <c r="B775" t="s">
        <v>131</v>
      </c>
      <c r="C775" s="629">
        <v>1.04</v>
      </c>
      <c r="D775" s="731">
        <v>30144725</v>
      </c>
      <c r="E775" s="731">
        <v>7547450</v>
      </c>
      <c r="F775" s="944">
        <v>12</v>
      </c>
      <c r="G775" s="629">
        <v>0</v>
      </c>
      <c r="H775" s="646">
        <v>419064</v>
      </c>
      <c r="I775" s="646">
        <v>14919953</v>
      </c>
      <c r="J775" s="646">
        <v>6365</v>
      </c>
      <c r="K775" s="646">
        <v>724573221</v>
      </c>
    </row>
    <row r="776" spans="1:11">
      <c r="A776" t="s">
        <v>2395</v>
      </c>
      <c r="B776" t="s">
        <v>2116</v>
      </c>
      <c r="C776" s="629">
        <v>1.04</v>
      </c>
      <c r="D776" s="731">
        <v>2461990</v>
      </c>
      <c r="E776" s="731">
        <v>467644</v>
      </c>
      <c r="F776" s="944">
        <v>12</v>
      </c>
      <c r="G776" s="629">
        <v>0</v>
      </c>
    </row>
    <row r="777" spans="1:11">
      <c r="A777" t="s">
        <v>1307</v>
      </c>
      <c r="B777" t="s">
        <v>412</v>
      </c>
      <c r="C777" s="629">
        <v>1.04</v>
      </c>
      <c r="D777" s="731">
        <v>20614874</v>
      </c>
      <c r="E777" s="731">
        <v>4683475</v>
      </c>
      <c r="F777" s="944">
        <v>12</v>
      </c>
      <c r="G777" s="629">
        <v>0</v>
      </c>
      <c r="H777" s="646">
        <v>646425</v>
      </c>
      <c r="I777" s="646">
        <v>5050101</v>
      </c>
      <c r="J777" s="646">
        <v>2047</v>
      </c>
      <c r="K777" s="646">
        <v>266585078</v>
      </c>
    </row>
    <row r="778" spans="1:11">
      <c r="A778" t="s">
        <v>194</v>
      </c>
      <c r="B778" t="s">
        <v>2449</v>
      </c>
      <c r="C778" s="629">
        <v>1.04</v>
      </c>
      <c r="D778" s="731">
        <v>2568095</v>
      </c>
      <c r="E778" s="731">
        <v>435837</v>
      </c>
      <c r="F778" s="944">
        <v>12</v>
      </c>
      <c r="G778" s="629">
        <v>0</v>
      </c>
    </row>
    <row r="779" spans="1:11">
      <c r="A779" t="s">
        <v>1773</v>
      </c>
      <c r="B779" t="s">
        <v>1752</v>
      </c>
      <c r="C779" s="629">
        <v>1.04</v>
      </c>
      <c r="D779" s="731">
        <v>3210580</v>
      </c>
      <c r="E779" s="731">
        <v>339083</v>
      </c>
      <c r="F779" s="944">
        <v>12</v>
      </c>
      <c r="G779" s="629">
        <v>0</v>
      </c>
    </row>
    <row r="780" spans="1:11">
      <c r="A780" t="s">
        <v>1542</v>
      </c>
      <c r="B780" t="s">
        <v>413</v>
      </c>
      <c r="C780" s="629">
        <v>1.04</v>
      </c>
      <c r="D780" s="731">
        <v>1911540</v>
      </c>
      <c r="E780" s="731">
        <v>107623</v>
      </c>
      <c r="F780" s="944">
        <v>8</v>
      </c>
      <c r="G780" s="629">
        <v>0</v>
      </c>
      <c r="H780" s="646">
        <v>126925</v>
      </c>
      <c r="I780" s="646">
        <v>687638</v>
      </c>
      <c r="J780" s="629">
        <v>304</v>
      </c>
      <c r="K780" s="646">
        <v>46935174</v>
      </c>
    </row>
    <row r="781" spans="1:11">
      <c r="A781" t="s">
        <v>1543</v>
      </c>
      <c r="B781" t="s">
        <v>414</v>
      </c>
      <c r="C781" s="629">
        <v>0.97660000000000002</v>
      </c>
      <c r="D781" s="731">
        <v>643899</v>
      </c>
      <c r="E781" s="731">
        <v>0</v>
      </c>
      <c r="F781" s="944">
        <v>12</v>
      </c>
      <c r="G781" s="629">
        <v>0</v>
      </c>
    </row>
    <row r="782" spans="1:11">
      <c r="A782" t="s">
        <v>1544</v>
      </c>
      <c r="B782" t="s">
        <v>415</v>
      </c>
      <c r="C782" s="629">
        <v>1.04</v>
      </c>
      <c r="D782" s="731">
        <v>1116760</v>
      </c>
      <c r="E782" s="731">
        <v>67375</v>
      </c>
      <c r="F782" s="944">
        <v>12</v>
      </c>
      <c r="G782" s="629">
        <v>0</v>
      </c>
    </row>
    <row r="783" spans="1:11">
      <c r="A783" t="s">
        <v>1545</v>
      </c>
      <c r="B783" t="s">
        <v>416</v>
      </c>
      <c r="C783" s="629">
        <v>0.85</v>
      </c>
      <c r="D783" s="731">
        <v>2402825</v>
      </c>
      <c r="E783" s="731">
        <v>0</v>
      </c>
      <c r="F783" s="944">
        <v>12</v>
      </c>
      <c r="G783" s="629">
        <v>0</v>
      </c>
    </row>
    <row r="784" spans="1:11">
      <c r="A784" t="s">
        <v>1546</v>
      </c>
      <c r="B784" t="s">
        <v>417</v>
      </c>
      <c r="C784" s="629">
        <v>1.17</v>
      </c>
      <c r="D784" s="731">
        <v>621505</v>
      </c>
      <c r="E784" s="731">
        <v>746</v>
      </c>
      <c r="F784" s="944">
        <v>12</v>
      </c>
      <c r="G784" s="629">
        <v>0</v>
      </c>
    </row>
    <row r="785" spans="1:11">
      <c r="A785" t="s">
        <v>1770</v>
      </c>
      <c r="B785" t="s">
        <v>418</v>
      </c>
      <c r="C785" s="629">
        <v>1.04</v>
      </c>
      <c r="D785" s="731">
        <v>2577112</v>
      </c>
      <c r="E785" s="731">
        <v>0</v>
      </c>
      <c r="F785" s="944">
        <v>12</v>
      </c>
      <c r="G785" s="629">
        <v>0</v>
      </c>
      <c r="H785" s="646">
        <v>509308</v>
      </c>
      <c r="I785" s="646">
        <v>726409</v>
      </c>
      <c r="J785" s="629">
        <v>251</v>
      </c>
      <c r="K785" s="646">
        <v>141218190</v>
      </c>
    </row>
    <row r="786" spans="1:11">
      <c r="A786" t="s">
        <v>2178</v>
      </c>
      <c r="B786" t="s">
        <v>2206</v>
      </c>
      <c r="C786" s="629">
        <v>1.04</v>
      </c>
      <c r="D786" s="731">
        <v>18192599</v>
      </c>
      <c r="E786" s="731">
        <v>1303393</v>
      </c>
      <c r="F786" s="944">
        <v>12</v>
      </c>
      <c r="G786" s="629">
        <v>0</v>
      </c>
      <c r="H786" s="646">
        <v>5945093</v>
      </c>
      <c r="I786" s="646">
        <v>8721840</v>
      </c>
      <c r="J786" s="646">
        <v>3635</v>
      </c>
      <c r="K786" s="646">
        <v>1425250759</v>
      </c>
    </row>
    <row r="787" spans="1:11">
      <c r="A787" t="s">
        <v>2167</v>
      </c>
      <c r="B787" t="s">
        <v>420</v>
      </c>
      <c r="C787" s="629">
        <v>1.04</v>
      </c>
      <c r="D787" s="731">
        <v>14063767</v>
      </c>
      <c r="E787" s="731">
        <v>498</v>
      </c>
      <c r="F787" s="944">
        <v>12</v>
      </c>
      <c r="G787" s="629">
        <v>0</v>
      </c>
      <c r="H787" s="646">
        <v>2166598</v>
      </c>
      <c r="I787" s="646">
        <v>2166717</v>
      </c>
      <c r="J787" s="629">
        <v>881</v>
      </c>
      <c r="K787" s="646">
        <v>1635508501</v>
      </c>
    </row>
    <row r="788" spans="1:11">
      <c r="A788" t="s">
        <v>1226</v>
      </c>
      <c r="B788" t="s">
        <v>421</v>
      </c>
      <c r="C788" s="629">
        <v>1.04</v>
      </c>
      <c r="D788" s="731">
        <v>3130049</v>
      </c>
      <c r="E788" s="731">
        <v>227643</v>
      </c>
      <c r="F788" s="944">
        <v>12</v>
      </c>
      <c r="G788" s="629">
        <v>0</v>
      </c>
      <c r="H788" s="646">
        <v>3619</v>
      </c>
      <c r="I788" s="646">
        <v>1464673</v>
      </c>
      <c r="J788" s="629">
        <v>626</v>
      </c>
      <c r="K788" s="646">
        <v>62115640</v>
      </c>
    </row>
    <row r="789" spans="1:11">
      <c r="A789" t="s">
        <v>651</v>
      </c>
      <c r="B789" t="s">
        <v>422</v>
      </c>
      <c r="C789" s="629">
        <v>1.04</v>
      </c>
      <c r="D789" s="731">
        <v>865230</v>
      </c>
      <c r="E789" s="731">
        <v>0</v>
      </c>
      <c r="F789" s="944">
        <v>12</v>
      </c>
      <c r="G789" s="629">
        <v>0</v>
      </c>
    </row>
    <row r="790" spans="1:11">
      <c r="A790" t="s">
        <v>2407</v>
      </c>
      <c r="B790" t="s">
        <v>423</v>
      </c>
      <c r="C790" s="629">
        <v>1.0316000000000001</v>
      </c>
      <c r="D790" s="731">
        <v>2267340</v>
      </c>
      <c r="E790" s="731">
        <v>286837</v>
      </c>
      <c r="F790" s="944">
        <v>12</v>
      </c>
      <c r="G790" s="629">
        <v>0</v>
      </c>
    </row>
    <row r="791" spans="1:11">
      <c r="A791" t="s">
        <v>652</v>
      </c>
      <c r="B791" t="s">
        <v>424</v>
      </c>
      <c r="C791" s="629">
        <v>1.04</v>
      </c>
      <c r="D791" s="731">
        <v>1029989</v>
      </c>
      <c r="E791" s="731">
        <v>129537</v>
      </c>
      <c r="F791" s="944">
        <v>12</v>
      </c>
      <c r="G791" s="629">
        <v>0</v>
      </c>
    </row>
    <row r="792" spans="1:11">
      <c r="A792" t="s">
        <v>1676</v>
      </c>
      <c r="B792" t="s">
        <v>2103</v>
      </c>
      <c r="C792" s="629">
        <v>1.04</v>
      </c>
      <c r="D792" s="731">
        <v>10292981</v>
      </c>
      <c r="E792" s="731">
        <v>604464</v>
      </c>
      <c r="F792" s="944">
        <v>12</v>
      </c>
      <c r="G792" s="629">
        <v>0</v>
      </c>
    </row>
    <row r="793" spans="1:11">
      <c r="A793" t="s">
        <v>1142</v>
      </c>
      <c r="B793" t="s">
        <v>425</v>
      </c>
      <c r="C793" s="629">
        <v>1.04</v>
      </c>
      <c r="D793" s="731">
        <v>2864344</v>
      </c>
      <c r="E793" s="731">
        <v>471490</v>
      </c>
      <c r="F793" s="944">
        <v>8</v>
      </c>
      <c r="G793" s="629">
        <v>0</v>
      </c>
    </row>
    <row r="794" spans="1:11">
      <c r="A794" t="s">
        <v>1547</v>
      </c>
      <c r="B794" t="s">
        <v>998</v>
      </c>
      <c r="C794" s="629">
        <v>1.04</v>
      </c>
      <c r="D794" s="731">
        <v>72034406</v>
      </c>
      <c r="E794" s="731">
        <v>8922220</v>
      </c>
      <c r="F794" s="944">
        <v>12</v>
      </c>
      <c r="G794" s="629">
        <v>0</v>
      </c>
    </row>
    <row r="795" spans="1:11">
      <c r="A795" t="s">
        <v>185</v>
      </c>
      <c r="B795" t="s">
        <v>2549</v>
      </c>
      <c r="C795" s="629">
        <v>1.04</v>
      </c>
      <c r="D795" s="731">
        <v>2345701</v>
      </c>
      <c r="E795" s="731">
        <v>574565</v>
      </c>
      <c r="F795" s="944">
        <v>12</v>
      </c>
      <c r="G795" s="629">
        <v>0</v>
      </c>
    </row>
    <row r="796" spans="1:11">
      <c r="A796" t="s">
        <v>537</v>
      </c>
      <c r="B796" t="s">
        <v>121</v>
      </c>
      <c r="C796" s="629">
        <v>1.04</v>
      </c>
      <c r="D796" s="731">
        <v>8669114</v>
      </c>
      <c r="E796" s="731">
        <v>1404168</v>
      </c>
      <c r="F796" s="944">
        <v>12</v>
      </c>
      <c r="G796" s="629">
        <v>0</v>
      </c>
      <c r="H796" s="646">
        <v>1451112</v>
      </c>
      <c r="I796" s="646">
        <v>2217113</v>
      </c>
      <c r="J796" s="629">
        <v>887</v>
      </c>
      <c r="K796" s="646">
        <v>679735276</v>
      </c>
    </row>
    <row r="797" spans="1:11">
      <c r="A797" t="s">
        <v>2059</v>
      </c>
      <c r="B797" t="s">
        <v>426</v>
      </c>
      <c r="C797" s="629">
        <v>1.04</v>
      </c>
      <c r="D797" s="731">
        <v>8271000</v>
      </c>
      <c r="E797" s="731">
        <v>1006700</v>
      </c>
      <c r="F797" s="944">
        <v>12</v>
      </c>
      <c r="G797" s="629">
        <v>0</v>
      </c>
      <c r="H797" s="646">
        <v>698773</v>
      </c>
      <c r="I797" s="646">
        <v>1331285</v>
      </c>
      <c r="J797" s="629">
        <v>732</v>
      </c>
      <c r="K797" s="646">
        <v>320295290</v>
      </c>
    </row>
    <row r="798" spans="1:11">
      <c r="A798" t="s">
        <v>1382</v>
      </c>
      <c r="B798" t="s">
        <v>277</v>
      </c>
      <c r="C798" s="629">
        <v>1.04</v>
      </c>
      <c r="D798" s="731">
        <v>1272408</v>
      </c>
      <c r="E798" s="731">
        <v>95841</v>
      </c>
      <c r="F798" s="944">
        <v>12</v>
      </c>
      <c r="G798" s="629">
        <v>0</v>
      </c>
    </row>
    <row r="799" spans="1:11">
      <c r="A799" t="s">
        <v>203</v>
      </c>
      <c r="B799" t="s">
        <v>1984</v>
      </c>
      <c r="C799" s="629">
        <v>1.17</v>
      </c>
      <c r="D799" s="731">
        <v>899218</v>
      </c>
      <c r="E799" s="731">
        <v>147011</v>
      </c>
      <c r="F799" s="944">
        <v>12</v>
      </c>
      <c r="G799" s="629">
        <v>0</v>
      </c>
    </row>
    <row r="800" spans="1:11">
      <c r="A800" t="s">
        <v>1214</v>
      </c>
      <c r="B800" t="s">
        <v>427</v>
      </c>
      <c r="C800" s="629">
        <v>1.04</v>
      </c>
      <c r="D800" s="731">
        <v>4708711</v>
      </c>
      <c r="E800" s="731">
        <v>237258</v>
      </c>
      <c r="F800" s="944">
        <v>12</v>
      </c>
      <c r="G800" s="629">
        <v>0</v>
      </c>
    </row>
    <row r="801" spans="1:11">
      <c r="A801" t="s">
        <v>1215</v>
      </c>
      <c r="B801" t="s">
        <v>2207</v>
      </c>
      <c r="C801" s="629">
        <v>1.04</v>
      </c>
      <c r="D801" s="731">
        <v>26733060</v>
      </c>
      <c r="E801" s="731">
        <v>4068414</v>
      </c>
      <c r="F801" s="944">
        <v>12</v>
      </c>
      <c r="G801" s="629">
        <v>0</v>
      </c>
    </row>
    <row r="802" spans="1:11">
      <c r="A802" t="s">
        <v>2381</v>
      </c>
      <c r="B802" t="s">
        <v>145</v>
      </c>
      <c r="C802" s="629">
        <v>0.92</v>
      </c>
      <c r="D802" s="731">
        <v>12818524</v>
      </c>
      <c r="E802" s="731">
        <v>1775352</v>
      </c>
      <c r="F802" s="944">
        <v>12</v>
      </c>
      <c r="G802" s="629">
        <v>0</v>
      </c>
      <c r="H802" s="646">
        <v>1404710</v>
      </c>
      <c r="I802" s="646">
        <v>4186474</v>
      </c>
      <c r="J802" s="646">
        <v>1807</v>
      </c>
      <c r="K802" s="646">
        <v>394987929</v>
      </c>
    </row>
    <row r="803" spans="1:11">
      <c r="A803" t="s">
        <v>747</v>
      </c>
      <c r="B803" t="s">
        <v>146</v>
      </c>
      <c r="C803" s="629">
        <v>1</v>
      </c>
      <c r="D803" s="731">
        <v>2051495</v>
      </c>
      <c r="E803" s="731">
        <v>0</v>
      </c>
      <c r="F803" s="944">
        <v>12</v>
      </c>
      <c r="G803" s="629">
        <v>0</v>
      </c>
      <c r="H803" s="646">
        <v>44666</v>
      </c>
      <c r="I803" s="646">
        <v>1113305</v>
      </c>
      <c r="J803" s="629">
        <v>457</v>
      </c>
      <c r="K803" s="646">
        <v>85932391</v>
      </c>
    </row>
    <row r="804" spans="1:11">
      <c r="A804" t="s">
        <v>105</v>
      </c>
      <c r="B804" t="s">
        <v>1999</v>
      </c>
      <c r="C804" s="629">
        <v>1</v>
      </c>
      <c r="D804" s="731">
        <v>409042</v>
      </c>
      <c r="E804" s="731">
        <v>0</v>
      </c>
      <c r="F804" s="944">
        <v>12</v>
      </c>
      <c r="G804" s="629">
        <v>0</v>
      </c>
    </row>
    <row r="805" spans="1:11">
      <c r="A805" t="s">
        <v>2508</v>
      </c>
      <c r="B805" t="s">
        <v>2550</v>
      </c>
      <c r="C805" s="629">
        <v>1.02</v>
      </c>
      <c r="D805" s="731">
        <v>1529307</v>
      </c>
      <c r="E805" s="731">
        <v>272706</v>
      </c>
      <c r="F805" s="944">
        <v>12</v>
      </c>
      <c r="G805" s="629">
        <v>0</v>
      </c>
    </row>
    <row r="806" spans="1:11">
      <c r="A806" t="s">
        <v>2151</v>
      </c>
      <c r="B806" t="s">
        <v>1530</v>
      </c>
      <c r="C806" s="629">
        <v>0.96589999999999998</v>
      </c>
      <c r="D806" s="731">
        <v>1774249</v>
      </c>
      <c r="E806" s="731">
        <v>0</v>
      </c>
      <c r="F806" s="944">
        <v>12</v>
      </c>
      <c r="G806" s="629">
        <v>0</v>
      </c>
    </row>
    <row r="807" spans="1:11">
      <c r="A807" t="s">
        <v>358</v>
      </c>
      <c r="B807" t="s">
        <v>2521</v>
      </c>
      <c r="C807" s="629">
        <v>1.1698999999999999</v>
      </c>
      <c r="D807" s="731">
        <v>602016</v>
      </c>
      <c r="E807" s="731">
        <v>81476</v>
      </c>
      <c r="F807" s="944">
        <v>12</v>
      </c>
      <c r="G807" s="629">
        <v>0</v>
      </c>
    </row>
    <row r="808" spans="1:11">
      <c r="A808" t="s">
        <v>932</v>
      </c>
      <c r="B808" t="s">
        <v>1531</v>
      </c>
      <c r="C808" s="629">
        <v>1.04</v>
      </c>
      <c r="D808" s="731">
        <v>8845062</v>
      </c>
      <c r="E808" s="731">
        <v>0</v>
      </c>
      <c r="F808" s="944">
        <v>12</v>
      </c>
      <c r="G808" s="629">
        <v>0</v>
      </c>
    </row>
    <row r="809" spans="1:11">
      <c r="A809" t="s">
        <v>1620</v>
      </c>
      <c r="B809" t="s">
        <v>2001</v>
      </c>
      <c r="C809" s="629">
        <v>1.04</v>
      </c>
      <c r="D809" s="731">
        <v>353435</v>
      </c>
      <c r="E809" s="731">
        <v>19573</v>
      </c>
      <c r="F809" s="944">
        <v>12</v>
      </c>
      <c r="G809" s="629">
        <v>31</v>
      </c>
    </row>
    <row r="810" spans="1:11">
      <c r="A810" t="s">
        <v>654</v>
      </c>
      <c r="B810" t="s">
        <v>1532</v>
      </c>
      <c r="C810" s="629">
        <v>0.98870000000000002</v>
      </c>
      <c r="D810" s="731">
        <v>4200128</v>
      </c>
      <c r="E810" s="731">
        <v>94877</v>
      </c>
      <c r="F810" s="944">
        <v>12</v>
      </c>
      <c r="G810" s="629">
        <v>0</v>
      </c>
      <c r="H810" s="646">
        <v>752430</v>
      </c>
      <c r="I810" s="646">
        <v>717970</v>
      </c>
      <c r="J810" s="629">
        <v>293</v>
      </c>
      <c r="K810" s="646">
        <v>189769978</v>
      </c>
    </row>
    <row r="811" spans="1:11">
      <c r="A811" t="s">
        <v>655</v>
      </c>
      <c r="B811" t="s">
        <v>1533</v>
      </c>
      <c r="C811" s="629">
        <v>1.04</v>
      </c>
      <c r="D811" s="731">
        <v>1223838</v>
      </c>
      <c r="E811" s="731">
        <v>454185</v>
      </c>
      <c r="F811" s="944">
        <v>12</v>
      </c>
      <c r="G811" s="629">
        <v>0</v>
      </c>
    </row>
    <row r="812" spans="1:11">
      <c r="A812" t="s">
        <v>656</v>
      </c>
      <c r="B812" t="s">
        <v>1534</v>
      </c>
      <c r="C812" s="629">
        <v>1.04</v>
      </c>
      <c r="D812" s="731">
        <v>5243881</v>
      </c>
      <c r="E812" s="731">
        <v>505351</v>
      </c>
      <c r="F812" s="944">
        <v>12</v>
      </c>
      <c r="G812" s="629">
        <v>0</v>
      </c>
      <c r="H812" s="646">
        <v>1473297</v>
      </c>
      <c r="I812" s="646">
        <v>2975202</v>
      </c>
      <c r="J812" s="646">
        <v>1266</v>
      </c>
      <c r="K812" s="646">
        <v>476488160</v>
      </c>
    </row>
    <row r="813" spans="1:11">
      <c r="A813" t="s">
        <v>1371</v>
      </c>
      <c r="B813" t="s">
        <v>1535</v>
      </c>
      <c r="C813" s="629">
        <v>1.04</v>
      </c>
      <c r="D813" s="731">
        <v>7325910</v>
      </c>
      <c r="E813" s="731">
        <v>687</v>
      </c>
      <c r="F813" s="944">
        <v>12</v>
      </c>
      <c r="G813" s="629">
        <v>0</v>
      </c>
      <c r="H813" s="646">
        <v>458394</v>
      </c>
      <c r="I813" s="646">
        <v>881991</v>
      </c>
      <c r="J813" s="629">
        <v>353</v>
      </c>
      <c r="K813" s="646">
        <v>215291740</v>
      </c>
    </row>
    <row r="814" spans="1:11">
      <c r="A814" t="s">
        <v>1372</v>
      </c>
      <c r="B814" t="s">
        <v>1536</v>
      </c>
      <c r="C814" s="629">
        <v>1.04</v>
      </c>
      <c r="D814" s="731">
        <v>5686934</v>
      </c>
      <c r="E814" s="731">
        <v>590275</v>
      </c>
      <c r="F814" s="944">
        <v>12</v>
      </c>
      <c r="G814" s="629">
        <v>0</v>
      </c>
      <c r="H814" s="646">
        <v>1478650</v>
      </c>
      <c r="I814" s="646">
        <v>1166063</v>
      </c>
      <c r="J814" s="629">
        <v>460</v>
      </c>
      <c r="K814" s="646">
        <v>623963224</v>
      </c>
    </row>
    <row r="815" spans="1:11">
      <c r="A815" t="s">
        <v>1373</v>
      </c>
      <c r="B815" t="s">
        <v>1537</v>
      </c>
      <c r="C815" s="629">
        <v>1.03</v>
      </c>
      <c r="D815" s="731">
        <v>482649</v>
      </c>
      <c r="E815" s="731">
        <v>0</v>
      </c>
      <c r="F815" s="944">
        <v>12</v>
      </c>
      <c r="G815" s="629">
        <v>0</v>
      </c>
    </row>
    <row r="816" spans="1:11">
      <c r="A816" t="s">
        <v>1374</v>
      </c>
      <c r="B816" t="s">
        <v>1538</v>
      </c>
      <c r="C816" s="629">
        <v>0.91200000000000003</v>
      </c>
      <c r="D816" s="731">
        <v>13297530</v>
      </c>
      <c r="E816" s="731">
        <v>2759410</v>
      </c>
      <c r="F816" s="944">
        <v>12</v>
      </c>
      <c r="G816" s="629">
        <v>0</v>
      </c>
      <c r="H816" s="646">
        <v>490710</v>
      </c>
      <c r="I816" s="646">
        <v>2978790</v>
      </c>
      <c r="J816" s="646">
        <v>1231</v>
      </c>
      <c r="K816" s="646">
        <v>229619715</v>
      </c>
    </row>
    <row r="817" spans="1:11">
      <c r="A817" t="s">
        <v>1375</v>
      </c>
      <c r="B817" t="s">
        <v>1539</v>
      </c>
      <c r="C817" s="629">
        <v>1.04</v>
      </c>
      <c r="D817" s="731">
        <v>2928005</v>
      </c>
      <c r="E817" s="731">
        <v>721984</v>
      </c>
      <c r="F817" s="944">
        <v>12</v>
      </c>
      <c r="G817" s="629">
        <v>0</v>
      </c>
    </row>
    <row r="818" spans="1:11">
      <c r="A818" t="s">
        <v>1376</v>
      </c>
      <c r="B818" t="s">
        <v>923</v>
      </c>
      <c r="C818" s="629">
        <v>0.96</v>
      </c>
      <c r="D818" s="731">
        <v>597761</v>
      </c>
      <c r="E818" s="731">
        <v>0</v>
      </c>
      <c r="F818" s="944">
        <v>8</v>
      </c>
      <c r="G818" s="629">
        <v>0</v>
      </c>
    </row>
    <row r="819" spans="1:11">
      <c r="A819" t="s">
        <v>1578</v>
      </c>
      <c r="B819" t="s">
        <v>924</v>
      </c>
      <c r="C819" s="629">
        <v>1.04</v>
      </c>
      <c r="D819" s="731">
        <v>56820648</v>
      </c>
      <c r="E819" s="731">
        <v>18045928</v>
      </c>
      <c r="F819" s="944">
        <v>12</v>
      </c>
      <c r="G819" s="629">
        <v>0</v>
      </c>
      <c r="H819" s="646">
        <v>2137880</v>
      </c>
      <c r="I819" s="646">
        <v>12776367</v>
      </c>
      <c r="J819" s="646">
        <v>5311</v>
      </c>
      <c r="K819" s="646">
        <v>1077190337</v>
      </c>
    </row>
    <row r="820" spans="1:11">
      <c r="A820" t="s">
        <v>1712</v>
      </c>
      <c r="B820" t="s">
        <v>576</v>
      </c>
      <c r="C820" s="629">
        <v>1.04</v>
      </c>
      <c r="D820" s="731">
        <v>9419622</v>
      </c>
      <c r="E820" s="731">
        <v>2301019</v>
      </c>
      <c r="F820" s="944">
        <v>12</v>
      </c>
      <c r="G820" s="629">
        <v>0</v>
      </c>
    </row>
    <row r="821" spans="1:11">
      <c r="A821" t="s">
        <v>1579</v>
      </c>
      <c r="B821" t="s">
        <v>1787</v>
      </c>
      <c r="C821" s="629">
        <v>1.17</v>
      </c>
      <c r="D821" s="731">
        <v>2303103</v>
      </c>
      <c r="E821" s="731">
        <v>2613</v>
      </c>
      <c r="F821" s="944">
        <v>12</v>
      </c>
      <c r="G821" s="629">
        <v>0</v>
      </c>
    </row>
    <row r="822" spans="1:11">
      <c r="A822" t="s">
        <v>359</v>
      </c>
      <c r="B822" t="s">
        <v>2114</v>
      </c>
      <c r="C822" s="629">
        <v>1.17</v>
      </c>
      <c r="D822" s="731">
        <v>610007</v>
      </c>
      <c r="E822" s="731">
        <v>32779</v>
      </c>
      <c r="F822" s="944">
        <v>12</v>
      </c>
      <c r="G822" s="629">
        <v>0</v>
      </c>
    </row>
    <row r="823" spans="1:11">
      <c r="A823" t="s">
        <v>1112</v>
      </c>
      <c r="B823" t="s">
        <v>2208</v>
      </c>
      <c r="C823" s="629">
        <v>1.04</v>
      </c>
      <c r="D823" s="731">
        <v>1755400</v>
      </c>
      <c r="E823" s="731">
        <v>0</v>
      </c>
      <c r="F823" s="944">
        <v>12</v>
      </c>
      <c r="G823" s="629">
        <v>0</v>
      </c>
    </row>
    <row r="824" spans="1:11">
      <c r="A824" t="s">
        <v>360</v>
      </c>
      <c r="B824" t="s">
        <v>248</v>
      </c>
      <c r="C824" s="629">
        <v>1.17</v>
      </c>
      <c r="D824" s="731">
        <v>50871</v>
      </c>
      <c r="E824" s="731">
        <v>1873</v>
      </c>
      <c r="F824" s="944">
        <v>8</v>
      </c>
      <c r="G824" s="629">
        <v>0</v>
      </c>
    </row>
    <row r="825" spans="1:11">
      <c r="A825" t="s">
        <v>1580</v>
      </c>
      <c r="B825" t="s">
        <v>1788</v>
      </c>
      <c r="C825" s="629">
        <v>1.04</v>
      </c>
      <c r="D825" s="731">
        <v>16771229</v>
      </c>
      <c r="E825" s="731">
        <v>1228175</v>
      </c>
      <c r="F825" s="944">
        <v>12</v>
      </c>
      <c r="G825" s="629">
        <v>0</v>
      </c>
      <c r="H825" s="646">
        <v>1142158</v>
      </c>
      <c r="I825" s="646">
        <v>10154694</v>
      </c>
      <c r="J825" s="646">
        <v>4406</v>
      </c>
      <c r="K825" s="646">
        <v>523557424</v>
      </c>
    </row>
    <row r="826" spans="1:11">
      <c r="A826" t="s">
        <v>1581</v>
      </c>
      <c r="B826" t="s">
        <v>1435</v>
      </c>
      <c r="C826" s="629">
        <v>1.04</v>
      </c>
      <c r="D826" s="731">
        <v>818164</v>
      </c>
      <c r="E826" s="731">
        <v>0</v>
      </c>
      <c r="F826" s="944">
        <v>12</v>
      </c>
      <c r="G826" s="629">
        <v>0</v>
      </c>
    </row>
    <row r="827" spans="1:11">
      <c r="A827" t="s">
        <v>1582</v>
      </c>
      <c r="B827" t="s">
        <v>1436</v>
      </c>
      <c r="C827" s="629">
        <v>1.2518</v>
      </c>
      <c r="D827" s="731">
        <v>465931</v>
      </c>
      <c r="E827" s="731">
        <v>0</v>
      </c>
      <c r="F827" s="944">
        <v>12</v>
      </c>
      <c r="G827" s="629">
        <v>0</v>
      </c>
    </row>
    <row r="828" spans="1:11">
      <c r="A828" t="s">
        <v>2330</v>
      </c>
      <c r="B828" t="s">
        <v>2034</v>
      </c>
      <c r="C828" s="629">
        <v>1.04</v>
      </c>
      <c r="D828" s="731">
        <v>523988</v>
      </c>
      <c r="E828" s="731">
        <v>0</v>
      </c>
      <c r="F828" s="944">
        <v>12</v>
      </c>
      <c r="G828" s="629">
        <v>0</v>
      </c>
    </row>
    <row r="829" spans="1:11">
      <c r="A829" t="s">
        <v>2331</v>
      </c>
      <c r="B829" t="s">
        <v>1286</v>
      </c>
      <c r="C829" s="629">
        <v>1.04</v>
      </c>
      <c r="D829" s="731">
        <v>643102</v>
      </c>
      <c r="E829" s="731">
        <v>79806</v>
      </c>
      <c r="F829" s="944">
        <v>12</v>
      </c>
      <c r="G829" s="629">
        <v>0</v>
      </c>
    </row>
    <row r="830" spans="1:11">
      <c r="A830" t="s">
        <v>1583</v>
      </c>
      <c r="B830" t="s">
        <v>1437</v>
      </c>
      <c r="C830" s="629">
        <v>0.75</v>
      </c>
      <c r="D830" s="731">
        <v>14473989</v>
      </c>
      <c r="E830" s="731">
        <v>2555999</v>
      </c>
      <c r="F830" s="944">
        <v>12</v>
      </c>
      <c r="G830" s="629">
        <v>0</v>
      </c>
      <c r="H830" s="646">
        <v>1135415</v>
      </c>
      <c r="I830" s="646">
        <v>3549056</v>
      </c>
      <c r="J830" s="646">
        <v>1434</v>
      </c>
      <c r="K830" s="646">
        <v>750020440</v>
      </c>
    </row>
    <row r="831" spans="1:11">
      <c r="A831" t="s">
        <v>176</v>
      </c>
      <c r="B831" t="s">
        <v>613</v>
      </c>
      <c r="C831" s="629">
        <v>1.17</v>
      </c>
      <c r="D831" s="731">
        <v>1036344</v>
      </c>
      <c r="E831" s="731">
        <v>97106</v>
      </c>
      <c r="F831" s="944">
        <v>12</v>
      </c>
      <c r="G831" s="629">
        <v>0</v>
      </c>
    </row>
    <row r="832" spans="1:11">
      <c r="A832" t="s">
        <v>1584</v>
      </c>
      <c r="B832" t="s">
        <v>1438</v>
      </c>
      <c r="C832" s="629">
        <v>1.04</v>
      </c>
      <c r="D832" s="731">
        <v>4524716</v>
      </c>
      <c r="E832" s="731">
        <v>768361</v>
      </c>
      <c r="F832" s="944">
        <v>12</v>
      </c>
      <c r="G832" s="629">
        <v>0</v>
      </c>
      <c r="H832" s="646">
        <v>2055512</v>
      </c>
      <c r="I832" s="646">
        <v>3575918</v>
      </c>
      <c r="J832" s="646">
        <v>1502</v>
      </c>
      <c r="K832" s="646">
        <v>319558103</v>
      </c>
    </row>
    <row r="833" spans="1:11">
      <c r="A833" t="s">
        <v>1310</v>
      </c>
      <c r="B833" t="s">
        <v>1439</v>
      </c>
      <c r="C833" s="629">
        <v>0.99739999999999995</v>
      </c>
      <c r="D833" s="731">
        <v>2836352</v>
      </c>
      <c r="E833" s="731">
        <v>0</v>
      </c>
      <c r="F833" s="944">
        <v>12</v>
      </c>
      <c r="G833" s="629">
        <v>0</v>
      </c>
    </row>
    <row r="834" spans="1:11">
      <c r="A834" t="s">
        <v>1311</v>
      </c>
      <c r="B834" t="s">
        <v>1440</v>
      </c>
      <c r="C834" s="629">
        <v>0.996</v>
      </c>
      <c r="D834" s="731">
        <v>959172</v>
      </c>
      <c r="E834" s="731">
        <v>0</v>
      </c>
      <c r="F834" s="944">
        <v>12</v>
      </c>
      <c r="G834" s="629">
        <v>0</v>
      </c>
    </row>
    <row r="835" spans="1:11">
      <c r="A835" t="s">
        <v>1312</v>
      </c>
      <c r="B835" t="s">
        <v>1957</v>
      </c>
      <c r="C835" s="629">
        <v>1.04</v>
      </c>
      <c r="D835" s="731">
        <v>1349035</v>
      </c>
      <c r="E835" s="731">
        <v>0</v>
      </c>
      <c r="F835" s="944">
        <v>12</v>
      </c>
      <c r="G835" s="629">
        <v>0</v>
      </c>
    </row>
    <row r="836" spans="1:11">
      <c r="A836" t="s">
        <v>1540</v>
      </c>
      <c r="B836" t="s">
        <v>1958</v>
      </c>
      <c r="C836" s="629">
        <v>1.04</v>
      </c>
      <c r="D836" s="731">
        <v>677027</v>
      </c>
      <c r="E836" s="731">
        <v>0</v>
      </c>
      <c r="F836" s="944">
        <v>12</v>
      </c>
      <c r="G836" s="629">
        <v>0</v>
      </c>
    </row>
    <row r="837" spans="1:11">
      <c r="A837" t="s">
        <v>1541</v>
      </c>
      <c r="B837" t="s">
        <v>2209</v>
      </c>
      <c r="C837" s="629">
        <v>1.02</v>
      </c>
      <c r="D837" s="731">
        <v>6872162</v>
      </c>
      <c r="E837" s="731">
        <v>537683</v>
      </c>
      <c r="F837" s="944">
        <v>12</v>
      </c>
      <c r="G837" s="629">
        <v>0</v>
      </c>
    </row>
    <row r="838" spans="1:11">
      <c r="A838" t="s">
        <v>2294</v>
      </c>
      <c r="B838" t="s">
        <v>334</v>
      </c>
      <c r="C838" s="629">
        <v>0.99</v>
      </c>
      <c r="D838" s="731">
        <v>2399668</v>
      </c>
      <c r="E838" s="731">
        <v>172889</v>
      </c>
      <c r="F838" s="944">
        <v>12</v>
      </c>
      <c r="G838" s="629">
        <v>0</v>
      </c>
    </row>
    <row r="839" spans="1:11">
      <c r="A839" t="s">
        <v>1144</v>
      </c>
      <c r="B839" t="s">
        <v>2282</v>
      </c>
      <c r="C839" s="629">
        <v>1.0313000000000001</v>
      </c>
      <c r="D839" s="731">
        <v>6695982</v>
      </c>
      <c r="E839" s="731">
        <v>444890</v>
      </c>
      <c r="F839" s="944">
        <v>12</v>
      </c>
      <c r="G839" s="629">
        <v>0</v>
      </c>
    </row>
    <row r="840" spans="1:11">
      <c r="A840" t="s">
        <v>2295</v>
      </c>
      <c r="B840" t="s">
        <v>335</v>
      </c>
      <c r="C840" s="629">
        <v>1.04</v>
      </c>
      <c r="D840" s="731">
        <v>10995394</v>
      </c>
      <c r="E840" s="731">
        <v>2110705</v>
      </c>
      <c r="F840" s="944">
        <v>12</v>
      </c>
      <c r="G840" s="629">
        <v>0</v>
      </c>
    </row>
    <row r="841" spans="1:11">
      <c r="A841" t="s">
        <v>1368</v>
      </c>
      <c r="B841" t="s">
        <v>336</v>
      </c>
      <c r="C841" s="629">
        <v>1.04</v>
      </c>
      <c r="D841" s="731">
        <v>12119212</v>
      </c>
      <c r="E841" s="731">
        <v>1238303</v>
      </c>
      <c r="F841" s="944">
        <v>12</v>
      </c>
      <c r="G841" s="629">
        <v>0</v>
      </c>
      <c r="H841" s="646">
        <v>2143034</v>
      </c>
      <c r="I841" s="646">
        <v>4337680</v>
      </c>
      <c r="J841" s="646">
        <v>1772</v>
      </c>
      <c r="K841" s="646">
        <v>492306146</v>
      </c>
    </row>
    <row r="842" spans="1:11">
      <c r="A842" t="s">
        <v>2386</v>
      </c>
      <c r="B842" t="s">
        <v>1953</v>
      </c>
      <c r="C842" s="629">
        <v>1.17</v>
      </c>
      <c r="D842" s="731">
        <v>2693184</v>
      </c>
      <c r="E842" s="731">
        <v>151827</v>
      </c>
      <c r="F842" s="944">
        <v>12</v>
      </c>
      <c r="G842" s="629">
        <v>0</v>
      </c>
    </row>
    <row r="843" spans="1:11">
      <c r="A843" t="s">
        <v>1326</v>
      </c>
      <c r="B843" t="s">
        <v>246</v>
      </c>
      <c r="C843" s="629">
        <v>1.17</v>
      </c>
      <c r="D843" s="731">
        <v>2451673</v>
      </c>
      <c r="E843" s="731">
        <v>234593</v>
      </c>
      <c r="F843" s="944">
        <v>12</v>
      </c>
      <c r="G843" s="629">
        <v>0</v>
      </c>
    </row>
    <row r="844" spans="1:11">
      <c r="A844" t="s">
        <v>1241</v>
      </c>
      <c r="B844" t="s">
        <v>253</v>
      </c>
      <c r="C844" s="629">
        <v>1.17</v>
      </c>
      <c r="D844" s="731">
        <v>3445835</v>
      </c>
      <c r="E844" s="731">
        <v>188279</v>
      </c>
      <c r="F844" s="944">
        <v>12</v>
      </c>
      <c r="G844" s="629">
        <v>0</v>
      </c>
    </row>
    <row r="845" spans="1:11">
      <c r="A845" t="s">
        <v>177</v>
      </c>
      <c r="B845" t="s">
        <v>564</v>
      </c>
      <c r="C845" s="629">
        <v>1.04</v>
      </c>
      <c r="D845" s="731">
        <v>2668985</v>
      </c>
      <c r="E845" s="731">
        <v>28926</v>
      </c>
      <c r="F845" s="944">
        <v>12</v>
      </c>
      <c r="G845" s="629">
        <v>0</v>
      </c>
    </row>
    <row r="846" spans="1:11">
      <c r="A846" t="s">
        <v>461</v>
      </c>
      <c r="B846" t="s">
        <v>1319</v>
      </c>
      <c r="C846" s="629">
        <v>1.04</v>
      </c>
      <c r="D846" s="731">
        <v>1550944</v>
      </c>
      <c r="E846" s="731">
        <v>122108</v>
      </c>
      <c r="F846" s="944">
        <v>12</v>
      </c>
      <c r="G846" s="629">
        <v>0</v>
      </c>
    </row>
    <row r="847" spans="1:11">
      <c r="A847" t="s">
        <v>1369</v>
      </c>
      <c r="B847" t="s">
        <v>337</v>
      </c>
      <c r="C847" s="629">
        <v>1.04</v>
      </c>
      <c r="D847" s="731">
        <v>496487</v>
      </c>
      <c r="E847" s="731">
        <v>0</v>
      </c>
      <c r="F847" s="944">
        <v>12</v>
      </c>
      <c r="G847" s="629">
        <v>0</v>
      </c>
    </row>
    <row r="848" spans="1:11">
      <c r="A848" t="s">
        <v>1370</v>
      </c>
      <c r="B848" t="s">
        <v>338</v>
      </c>
      <c r="C848" s="629">
        <v>1.04</v>
      </c>
      <c r="D848" s="731">
        <v>375462</v>
      </c>
      <c r="E848" s="731">
        <v>0</v>
      </c>
      <c r="F848" s="944">
        <v>12</v>
      </c>
      <c r="G848" s="629">
        <v>0</v>
      </c>
    </row>
    <row r="849" spans="1:11">
      <c r="A849" t="s">
        <v>1301</v>
      </c>
      <c r="B849" t="s">
        <v>339</v>
      </c>
      <c r="C849" s="629">
        <v>1.17</v>
      </c>
      <c r="D849" s="731">
        <v>4241537</v>
      </c>
      <c r="E849" s="731">
        <v>0</v>
      </c>
      <c r="F849" s="944">
        <v>12</v>
      </c>
      <c r="G849" s="629">
        <v>0</v>
      </c>
      <c r="H849" s="646">
        <v>507214</v>
      </c>
      <c r="I849" s="646">
        <v>2834027</v>
      </c>
      <c r="J849" s="646">
        <v>1178</v>
      </c>
      <c r="K849" s="646">
        <v>193121396</v>
      </c>
    </row>
    <row r="850" spans="1:11">
      <c r="A850" t="s">
        <v>1302</v>
      </c>
      <c r="B850" t="s">
        <v>340</v>
      </c>
      <c r="C850" s="629">
        <v>1.04</v>
      </c>
      <c r="D850" s="731">
        <v>585246</v>
      </c>
      <c r="E850" s="731">
        <v>0</v>
      </c>
      <c r="F850" s="944">
        <v>12</v>
      </c>
      <c r="G850" s="629">
        <v>0</v>
      </c>
    </row>
    <row r="851" spans="1:11">
      <c r="A851" t="s">
        <v>1303</v>
      </c>
      <c r="B851" t="s">
        <v>341</v>
      </c>
      <c r="C851" s="629">
        <v>1.04</v>
      </c>
      <c r="D851" s="731">
        <v>25107378</v>
      </c>
      <c r="E851" s="731">
        <v>1760171</v>
      </c>
      <c r="F851" s="944">
        <v>12</v>
      </c>
      <c r="G851" s="629">
        <v>0</v>
      </c>
      <c r="H851" s="646">
        <v>2934028</v>
      </c>
      <c r="I851" s="646">
        <v>9522241</v>
      </c>
      <c r="J851" s="646">
        <v>4084</v>
      </c>
      <c r="K851" s="646">
        <v>731572850</v>
      </c>
    </row>
    <row r="852" spans="1:11">
      <c r="A852" t="s">
        <v>1387</v>
      </c>
      <c r="B852" t="s">
        <v>342</v>
      </c>
      <c r="C852" s="629">
        <v>1.04</v>
      </c>
      <c r="D852" s="731">
        <v>2031706</v>
      </c>
      <c r="E852" s="731">
        <v>0</v>
      </c>
      <c r="F852" s="944">
        <v>12</v>
      </c>
      <c r="G852" s="629">
        <v>0</v>
      </c>
      <c r="H852" s="646">
        <v>537233</v>
      </c>
      <c r="I852" s="646">
        <v>770878</v>
      </c>
      <c r="J852" s="629">
        <v>254</v>
      </c>
      <c r="K852" s="646">
        <v>118791802</v>
      </c>
    </row>
    <row r="853" spans="1:11">
      <c r="A853" t="s">
        <v>908</v>
      </c>
      <c r="B853" t="s">
        <v>343</v>
      </c>
      <c r="C853" s="629">
        <v>1.0304</v>
      </c>
      <c r="D853" s="731">
        <v>2395838</v>
      </c>
      <c r="E853" s="731">
        <v>200715</v>
      </c>
      <c r="F853" s="944">
        <v>12</v>
      </c>
      <c r="G853" s="629">
        <v>0</v>
      </c>
    </row>
    <row r="854" spans="1:11">
      <c r="A854" t="s">
        <v>909</v>
      </c>
      <c r="B854" t="s">
        <v>344</v>
      </c>
      <c r="C854" s="629">
        <v>1.04</v>
      </c>
      <c r="D854" s="731">
        <v>509320</v>
      </c>
      <c r="E854" s="731">
        <v>0</v>
      </c>
      <c r="F854" s="944">
        <v>12</v>
      </c>
      <c r="G854" s="629">
        <v>0</v>
      </c>
    </row>
    <row r="855" spans="1:11">
      <c r="A855" t="s">
        <v>910</v>
      </c>
      <c r="B855" t="s">
        <v>1679</v>
      </c>
      <c r="C855" s="629">
        <v>1.04</v>
      </c>
      <c r="D855" s="731">
        <v>3978962</v>
      </c>
      <c r="E855" s="731">
        <v>539245</v>
      </c>
      <c r="F855" s="944">
        <v>12</v>
      </c>
      <c r="G855" s="629">
        <v>0</v>
      </c>
    </row>
    <row r="856" spans="1:11">
      <c r="A856" t="s">
        <v>1027</v>
      </c>
      <c r="B856" t="s">
        <v>1680</v>
      </c>
      <c r="C856" s="629">
        <v>1.0229999999999999</v>
      </c>
      <c r="D856" s="731">
        <v>2599713</v>
      </c>
      <c r="E856" s="731">
        <v>203893</v>
      </c>
      <c r="F856" s="944">
        <v>12</v>
      </c>
      <c r="G856" s="629">
        <v>0</v>
      </c>
    </row>
    <row r="857" spans="1:11">
      <c r="A857" t="s">
        <v>178</v>
      </c>
      <c r="B857" t="s">
        <v>1177</v>
      </c>
      <c r="C857" s="629">
        <v>1.1100000000000001</v>
      </c>
      <c r="D857" s="731">
        <v>2290193</v>
      </c>
      <c r="E857" s="731">
        <v>189779</v>
      </c>
      <c r="F857" s="944">
        <v>12</v>
      </c>
      <c r="G857" s="629">
        <v>0</v>
      </c>
    </row>
    <row r="858" spans="1:11">
      <c r="A858" t="s">
        <v>1028</v>
      </c>
      <c r="B858" t="s">
        <v>1681</v>
      </c>
      <c r="C858" s="629">
        <v>1.04</v>
      </c>
      <c r="D858" s="731">
        <v>712615</v>
      </c>
      <c r="E858" s="731">
        <v>0</v>
      </c>
      <c r="F858" s="944">
        <v>12</v>
      </c>
      <c r="G858" s="629">
        <v>0</v>
      </c>
    </row>
    <row r="859" spans="1:11">
      <c r="A859" t="s">
        <v>1029</v>
      </c>
      <c r="B859" t="s">
        <v>1682</v>
      </c>
      <c r="C859" s="629">
        <v>1.04</v>
      </c>
      <c r="D859" s="731">
        <v>1582922</v>
      </c>
      <c r="E859" s="731">
        <v>117605</v>
      </c>
      <c r="F859" s="944">
        <v>12</v>
      </c>
      <c r="G859" s="629">
        <v>0</v>
      </c>
    </row>
    <row r="860" spans="1:11">
      <c r="A860" t="s">
        <v>1166</v>
      </c>
      <c r="B860" t="s">
        <v>1683</v>
      </c>
      <c r="C860" s="629">
        <v>1.17</v>
      </c>
      <c r="D860" s="731">
        <v>156405</v>
      </c>
      <c r="E860" s="731">
        <v>0</v>
      </c>
      <c r="F860" s="944">
        <v>8</v>
      </c>
      <c r="G860" s="629">
        <v>0</v>
      </c>
    </row>
    <row r="861" spans="1:11">
      <c r="A861" t="s">
        <v>1167</v>
      </c>
      <c r="B861" t="s">
        <v>1684</v>
      </c>
      <c r="C861" s="629">
        <v>1.04</v>
      </c>
      <c r="D861" s="731">
        <v>1696968</v>
      </c>
      <c r="E861" s="731">
        <v>0</v>
      </c>
      <c r="F861" s="944">
        <v>12</v>
      </c>
      <c r="G861" s="629">
        <v>0</v>
      </c>
      <c r="H861" s="646">
        <v>106951</v>
      </c>
      <c r="I861" s="646">
        <v>290943</v>
      </c>
      <c r="J861" s="629">
        <v>114</v>
      </c>
      <c r="K861" s="646">
        <v>114512519</v>
      </c>
    </row>
    <row r="862" spans="1:11">
      <c r="A862" t="s">
        <v>1702</v>
      </c>
      <c r="B862" t="s">
        <v>1881</v>
      </c>
      <c r="C862" s="629">
        <v>1.04</v>
      </c>
      <c r="D862" s="731">
        <v>4031526</v>
      </c>
      <c r="E862" s="731">
        <v>237580</v>
      </c>
      <c r="F862" s="944">
        <v>12</v>
      </c>
      <c r="G862" s="629">
        <v>0</v>
      </c>
      <c r="H862" s="646">
        <v>586659</v>
      </c>
      <c r="I862" s="646">
        <v>2073457</v>
      </c>
      <c r="J862" s="629">
        <v>828</v>
      </c>
      <c r="K862" s="646">
        <v>240431113</v>
      </c>
    </row>
    <row r="863" spans="1:11">
      <c r="A863" t="s">
        <v>260</v>
      </c>
      <c r="B863" t="s">
        <v>1996</v>
      </c>
      <c r="C863" s="629">
        <v>1.04</v>
      </c>
      <c r="D863" s="731">
        <v>4723932</v>
      </c>
      <c r="E863" s="731">
        <v>814960</v>
      </c>
      <c r="F863" s="944">
        <v>12</v>
      </c>
      <c r="G863" s="629">
        <v>0</v>
      </c>
      <c r="H863" s="629">
        <v>0</v>
      </c>
      <c r="I863" s="646">
        <v>2438201</v>
      </c>
      <c r="J863" s="646">
        <v>1103</v>
      </c>
      <c r="K863" s="646">
        <v>99669019</v>
      </c>
    </row>
    <row r="864" spans="1:11">
      <c r="A864" t="s">
        <v>1631</v>
      </c>
      <c r="B864" t="s">
        <v>1882</v>
      </c>
      <c r="C864" s="629">
        <v>1.04</v>
      </c>
      <c r="D864" s="731">
        <v>6597281</v>
      </c>
      <c r="E864" s="731">
        <v>1012522</v>
      </c>
      <c r="F864" s="944">
        <v>12</v>
      </c>
      <c r="G864" s="629">
        <v>0</v>
      </c>
    </row>
    <row r="865" spans="1:11">
      <c r="A865" t="s">
        <v>1632</v>
      </c>
      <c r="B865" t="s">
        <v>1883</v>
      </c>
      <c r="C865" s="629">
        <v>1.04</v>
      </c>
      <c r="D865" s="731">
        <v>10722938</v>
      </c>
      <c r="E865" s="731">
        <v>1994007</v>
      </c>
      <c r="F865" s="944">
        <v>12</v>
      </c>
      <c r="G865" s="629">
        <v>0</v>
      </c>
    </row>
    <row r="866" spans="1:11">
      <c r="A866" t="s">
        <v>952</v>
      </c>
      <c r="B866" t="s">
        <v>1884</v>
      </c>
      <c r="C866" s="629">
        <v>0.94330000000000003</v>
      </c>
      <c r="D866" s="731">
        <v>4131652</v>
      </c>
      <c r="E866" s="731">
        <v>415213</v>
      </c>
      <c r="F866" s="944">
        <v>12</v>
      </c>
      <c r="G866" s="629">
        <v>0</v>
      </c>
    </row>
    <row r="867" spans="1:11">
      <c r="A867" t="s">
        <v>175</v>
      </c>
      <c r="B867" t="s">
        <v>1885</v>
      </c>
      <c r="C867" s="629">
        <v>1.0297000000000001</v>
      </c>
      <c r="D867" s="731">
        <v>70686490</v>
      </c>
      <c r="E867" s="731">
        <v>10991658</v>
      </c>
      <c r="F867" s="944">
        <v>12</v>
      </c>
      <c r="G867" s="629">
        <v>0</v>
      </c>
    </row>
    <row r="868" spans="1:11">
      <c r="A868" t="s">
        <v>1110</v>
      </c>
      <c r="B868" t="s">
        <v>1258</v>
      </c>
      <c r="C868" s="629">
        <v>1.04</v>
      </c>
      <c r="D868" s="731">
        <v>15771388</v>
      </c>
      <c r="E868" s="731">
        <v>972690</v>
      </c>
      <c r="F868" s="944">
        <v>12</v>
      </c>
      <c r="G868" s="629">
        <v>0</v>
      </c>
    </row>
    <row r="869" spans="1:11">
      <c r="A869" t="s">
        <v>1264</v>
      </c>
      <c r="B869" t="s">
        <v>619</v>
      </c>
      <c r="C869" s="629">
        <v>1.04</v>
      </c>
      <c r="D869" s="731">
        <v>10132475</v>
      </c>
      <c r="E869" s="731">
        <v>942034</v>
      </c>
      <c r="F869" s="944">
        <v>12</v>
      </c>
      <c r="G869" s="629">
        <v>0</v>
      </c>
    </row>
    <row r="870" spans="1:11">
      <c r="A870" t="s">
        <v>1265</v>
      </c>
      <c r="B870" t="s">
        <v>1886</v>
      </c>
      <c r="C870" s="629">
        <v>1.04</v>
      </c>
      <c r="D870" s="731">
        <v>3402210</v>
      </c>
      <c r="E870" s="731">
        <v>194380</v>
      </c>
      <c r="F870" s="944">
        <v>12</v>
      </c>
      <c r="G870" s="629">
        <v>0</v>
      </c>
    </row>
    <row r="871" spans="1:11">
      <c r="A871" t="s">
        <v>1266</v>
      </c>
      <c r="B871" t="s">
        <v>1887</v>
      </c>
      <c r="C871" s="629">
        <v>0.8054</v>
      </c>
      <c r="D871" s="731">
        <v>23654829</v>
      </c>
      <c r="E871" s="731">
        <v>1387068</v>
      </c>
      <c r="F871" s="944">
        <v>12</v>
      </c>
      <c r="G871" s="629">
        <v>0</v>
      </c>
      <c r="H871" s="646">
        <v>8589456</v>
      </c>
      <c r="I871" s="646">
        <v>3744526</v>
      </c>
      <c r="J871" s="646">
        <v>1556</v>
      </c>
      <c r="K871" s="646">
        <v>6885019427</v>
      </c>
    </row>
    <row r="872" spans="1:11">
      <c r="A872" t="s">
        <v>2507</v>
      </c>
      <c r="B872" t="s">
        <v>2546</v>
      </c>
      <c r="C872" s="629">
        <v>1.17</v>
      </c>
      <c r="D872" s="731">
        <v>11896600</v>
      </c>
      <c r="E872" s="731">
        <v>2202231</v>
      </c>
      <c r="F872" s="944">
        <v>12</v>
      </c>
      <c r="G872" s="629">
        <v>0</v>
      </c>
    </row>
    <row r="873" spans="1:11">
      <c r="A873" t="s">
        <v>1633</v>
      </c>
      <c r="B873" t="s">
        <v>1888</v>
      </c>
      <c r="C873" s="629">
        <v>1.04</v>
      </c>
      <c r="D873" s="731">
        <v>3010223</v>
      </c>
      <c r="E873" s="731">
        <v>0</v>
      </c>
      <c r="F873" s="944">
        <v>12</v>
      </c>
      <c r="G873" s="629">
        <v>0</v>
      </c>
      <c r="H873" s="646">
        <v>632405</v>
      </c>
      <c r="I873" s="646">
        <v>1402649</v>
      </c>
      <c r="J873" s="629">
        <v>517</v>
      </c>
      <c r="K873" s="646">
        <v>140325468</v>
      </c>
    </row>
    <row r="874" spans="1:11">
      <c r="A874" t="s">
        <v>179</v>
      </c>
      <c r="B874" t="s">
        <v>571</v>
      </c>
      <c r="C874" s="629">
        <v>1.04</v>
      </c>
      <c r="D874" s="731">
        <v>4305067</v>
      </c>
      <c r="E874" s="731">
        <v>630517</v>
      </c>
      <c r="F874" s="944">
        <v>12</v>
      </c>
      <c r="G874" s="629">
        <v>0</v>
      </c>
    </row>
    <row r="875" spans="1:11">
      <c r="A875" t="s">
        <v>1634</v>
      </c>
      <c r="B875" t="s">
        <v>1889</v>
      </c>
      <c r="C875" s="629">
        <v>1.04</v>
      </c>
      <c r="D875" s="731">
        <v>6331352</v>
      </c>
      <c r="E875" s="731">
        <v>697439</v>
      </c>
      <c r="F875" s="944">
        <v>12</v>
      </c>
      <c r="G875" s="629">
        <v>0</v>
      </c>
    </row>
    <row r="876" spans="1:11">
      <c r="A876" t="s">
        <v>2441</v>
      </c>
      <c r="B876" t="s">
        <v>2421</v>
      </c>
      <c r="C876" s="629">
        <v>1.04</v>
      </c>
      <c r="D876" s="731">
        <v>6215309</v>
      </c>
      <c r="E876" s="731">
        <v>334056</v>
      </c>
      <c r="F876" s="944">
        <v>12</v>
      </c>
      <c r="G876" s="629">
        <v>0</v>
      </c>
      <c r="H876" s="646">
        <v>778030</v>
      </c>
      <c r="I876" s="646">
        <v>1585480</v>
      </c>
      <c r="J876" s="629">
        <v>656</v>
      </c>
      <c r="K876" s="646">
        <v>361919809</v>
      </c>
    </row>
    <row r="877" spans="1:11">
      <c r="A877" t="s">
        <v>706</v>
      </c>
      <c r="B877" t="s">
        <v>2422</v>
      </c>
      <c r="C877" s="629">
        <v>1.04</v>
      </c>
      <c r="D877" s="731">
        <v>1609333</v>
      </c>
      <c r="E877" s="731">
        <v>0</v>
      </c>
      <c r="F877" s="944">
        <v>12</v>
      </c>
      <c r="G877" s="629">
        <v>0</v>
      </c>
      <c r="H877" s="646">
        <v>770781</v>
      </c>
      <c r="I877" s="646">
        <v>1646135</v>
      </c>
      <c r="J877" s="629">
        <v>673</v>
      </c>
      <c r="K877" s="646">
        <v>234545550</v>
      </c>
    </row>
    <row r="878" spans="1:11">
      <c r="A878" t="s">
        <v>707</v>
      </c>
      <c r="B878" t="s">
        <v>2423</v>
      </c>
      <c r="C878" s="629">
        <v>1.04</v>
      </c>
      <c r="D878" s="731">
        <v>15404301</v>
      </c>
      <c r="E878" s="731">
        <v>1152670</v>
      </c>
      <c r="F878" s="944">
        <v>12</v>
      </c>
      <c r="G878" s="629">
        <v>0</v>
      </c>
      <c r="H878" s="646">
        <v>1095493</v>
      </c>
      <c r="I878" s="646">
        <v>3504762</v>
      </c>
      <c r="J878" s="646">
        <v>1466</v>
      </c>
      <c r="K878" s="646">
        <v>408403721</v>
      </c>
    </row>
    <row r="879" spans="1:11">
      <c r="A879" t="s">
        <v>756</v>
      </c>
      <c r="B879" t="s">
        <v>2424</v>
      </c>
      <c r="C879" s="629">
        <v>1.008</v>
      </c>
      <c r="D879" s="731">
        <v>619424</v>
      </c>
      <c r="E879" s="731">
        <v>0</v>
      </c>
      <c r="F879" s="944">
        <v>12</v>
      </c>
      <c r="G879" s="629">
        <v>0</v>
      </c>
    </row>
    <row r="880" spans="1:11">
      <c r="A880" t="s">
        <v>533</v>
      </c>
      <c r="B880" t="s">
        <v>2425</v>
      </c>
      <c r="C880" s="629">
        <v>1.1599999999999999</v>
      </c>
      <c r="D880" s="731">
        <v>1561549</v>
      </c>
      <c r="E880" s="731">
        <v>0</v>
      </c>
      <c r="F880" s="944">
        <v>12</v>
      </c>
      <c r="G880" s="629">
        <v>0</v>
      </c>
    </row>
    <row r="881" spans="1:11">
      <c r="A881" t="s">
        <v>534</v>
      </c>
      <c r="B881" t="s">
        <v>2426</v>
      </c>
      <c r="C881" s="629">
        <v>1.17</v>
      </c>
      <c r="D881" s="731">
        <v>587020</v>
      </c>
      <c r="E881" s="731">
        <v>3108</v>
      </c>
      <c r="F881" s="944">
        <v>12</v>
      </c>
      <c r="G881" s="629">
        <v>0</v>
      </c>
    </row>
    <row r="882" spans="1:11">
      <c r="A882" t="s">
        <v>2174</v>
      </c>
      <c r="B882" t="s">
        <v>2283</v>
      </c>
      <c r="C882" s="629">
        <v>1.04</v>
      </c>
      <c r="D882" s="731">
        <v>212879449</v>
      </c>
      <c r="E882" s="731">
        <v>44835023</v>
      </c>
      <c r="F882" s="944">
        <v>12</v>
      </c>
      <c r="G882" s="629">
        <v>0</v>
      </c>
    </row>
    <row r="883" spans="1:11">
      <c r="A883" t="s">
        <v>826</v>
      </c>
      <c r="B883" t="s">
        <v>752</v>
      </c>
      <c r="C883" s="629">
        <v>1.04</v>
      </c>
      <c r="D883" s="731">
        <v>74111324</v>
      </c>
      <c r="E883" s="731">
        <v>14605246</v>
      </c>
      <c r="F883" s="944">
        <v>12</v>
      </c>
      <c r="G883" s="629">
        <v>0</v>
      </c>
    </row>
    <row r="884" spans="1:11">
      <c r="A884" t="s">
        <v>1745</v>
      </c>
      <c r="B884" t="s">
        <v>2427</v>
      </c>
      <c r="C884" s="629">
        <v>1.04</v>
      </c>
      <c r="D884" s="731">
        <v>10510941</v>
      </c>
      <c r="E884" s="731">
        <v>786152</v>
      </c>
      <c r="F884" s="944">
        <v>12</v>
      </c>
      <c r="G884" s="629">
        <v>0</v>
      </c>
    </row>
    <row r="885" spans="1:11">
      <c r="A885" t="s">
        <v>1905</v>
      </c>
      <c r="B885" t="s">
        <v>1203</v>
      </c>
      <c r="C885" s="629">
        <v>1.04</v>
      </c>
      <c r="D885" s="731">
        <v>251093328</v>
      </c>
      <c r="E885" s="731">
        <v>30579156</v>
      </c>
      <c r="F885" s="944">
        <v>12</v>
      </c>
      <c r="G885" s="629">
        <v>0</v>
      </c>
    </row>
    <row r="886" spans="1:11">
      <c r="A886" t="s">
        <v>2060</v>
      </c>
      <c r="B886" t="s">
        <v>1204</v>
      </c>
      <c r="C886" s="629">
        <v>1.04</v>
      </c>
      <c r="D886" s="731">
        <v>101326182</v>
      </c>
      <c r="E886" s="731">
        <v>22562584</v>
      </c>
      <c r="F886" s="944">
        <v>12</v>
      </c>
      <c r="G886" s="629">
        <v>0</v>
      </c>
      <c r="H886" s="646">
        <v>6885776</v>
      </c>
      <c r="I886" s="646">
        <v>26394237</v>
      </c>
      <c r="J886" s="646">
        <v>11161</v>
      </c>
      <c r="K886" s="646">
        <v>3615945336</v>
      </c>
    </row>
    <row r="887" spans="1:11">
      <c r="A887" t="s">
        <v>48</v>
      </c>
      <c r="B887" t="s">
        <v>390</v>
      </c>
      <c r="C887" s="629">
        <v>1.04</v>
      </c>
      <c r="D887" s="731">
        <v>102799492</v>
      </c>
      <c r="E887" s="731">
        <v>24856614</v>
      </c>
      <c r="F887" s="944">
        <v>12</v>
      </c>
      <c r="G887" s="629">
        <v>0</v>
      </c>
    </row>
    <row r="888" spans="1:11">
      <c r="A888" t="s">
        <v>330</v>
      </c>
      <c r="B888" t="s">
        <v>275</v>
      </c>
      <c r="C888" s="629">
        <v>1.04</v>
      </c>
      <c r="D888" s="731">
        <v>86330943</v>
      </c>
      <c r="E888" s="731">
        <v>27546810</v>
      </c>
      <c r="F888" s="944">
        <v>12</v>
      </c>
      <c r="G888" s="629">
        <v>0</v>
      </c>
    </row>
    <row r="889" spans="1:11">
      <c r="A889" t="s">
        <v>1670</v>
      </c>
      <c r="B889" t="s">
        <v>2177</v>
      </c>
      <c r="C889" s="629">
        <v>1.04</v>
      </c>
      <c r="D889" s="731">
        <v>8006247</v>
      </c>
      <c r="E889" s="731">
        <v>2493467</v>
      </c>
      <c r="F889" s="944">
        <v>12</v>
      </c>
      <c r="G889" s="629">
        <v>0</v>
      </c>
    </row>
    <row r="890" spans="1:11">
      <c r="A890" t="s">
        <v>2267</v>
      </c>
      <c r="B890" t="s">
        <v>397</v>
      </c>
      <c r="C890" s="629">
        <v>1.04</v>
      </c>
      <c r="D890" s="731">
        <v>48635190</v>
      </c>
      <c r="E890" s="731">
        <v>11597324</v>
      </c>
      <c r="F890" s="944">
        <v>12</v>
      </c>
      <c r="G890" s="629">
        <v>0</v>
      </c>
    </row>
    <row r="891" spans="1:11">
      <c r="A891" t="s">
        <v>50</v>
      </c>
      <c r="B891" t="s">
        <v>2376</v>
      </c>
      <c r="C891" s="629">
        <v>1.04</v>
      </c>
      <c r="D891" s="731">
        <v>9735992</v>
      </c>
      <c r="E891" s="731">
        <v>2889658</v>
      </c>
      <c r="F891" s="944">
        <v>12</v>
      </c>
      <c r="G891" s="629">
        <v>0</v>
      </c>
    </row>
    <row r="892" spans="1:11">
      <c r="A892" t="s">
        <v>1587</v>
      </c>
      <c r="B892" t="s">
        <v>2000</v>
      </c>
      <c r="C892" s="629">
        <v>1.04</v>
      </c>
      <c r="D892" s="731">
        <v>20458535</v>
      </c>
      <c r="E892" s="731">
        <v>2520510</v>
      </c>
      <c r="F892" s="944">
        <v>12</v>
      </c>
      <c r="G892" s="629">
        <v>0</v>
      </c>
    </row>
    <row r="893" spans="1:11">
      <c r="A893" t="s">
        <v>1054</v>
      </c>
      <c r="B893" t="s">
        <v>1193</v>
      </c>
      <c r="C893" s="629">
        <v>1.04</v>
      </c>
      <c r="D893" s="731">
        <v>89728087</v>
      </c>
      <c r="E893" s="731">
        <v>19443922</v>
      </c>
      <c r="F893" s="944">
        <v>12</v>
      </c>
      <c r="G893" s="629">
        <v>0</v>
      </c>
      <c r="H893" s="646">
        <v>16042235</v>
      </c>
      <c r="I893" s="646">
        <v>47299387</v>
      </c>
      <c r="J893" s="646">
        <v>20240</v>
      </c>
      <c r="K893" s="646">
        <v>4639269247</v>
      </c>
    </row>
    <row r="894" spans="1:11">
      <c r="A894" t="s">
        <v>1743</v>
      </c>
      <c r="B894" t="s">
        <v>616</v>
      </c>
      <c r="C894" s="629">
        <v>1.04</v>
      </c>
      <c r="D894" s="731">
        <v>4950342</v>
      </c>
      <c r="E894" s="731">
        <v>697246</v>
      </c>
      <c r="F894" s="944">
        <v>12</v>
      </c>
      <c r="G894" s="629">
        <v>0</v>
      </c>
    </row>
    <row r="895" spans="1:11">
      <c r="A895" t="s">
        <v>2100</v>
      </c>
      <c r="B895" t="s">
        <v>1205</v>
      </c>
      <c r="C895" s="629">
        <v>0.94010000000000005</v>
      </c>
      <c r="D895" s="731">
        <v>54593664</v>
      </c>
      <c r="E895" s="731">
        <v>17044103</v>
      </c>
      <c r="F895" s="944">
        <v>12</v>
      </c>
      <c r="G895" s="629">
        <v>0</v>
      </c>
      <c r="H895" s="646">
        <v>2989824</v>
      </c>
      <c r="I895" s="646">
        <v>12447466</v>
      </c>
      <c r="J895" s="646">
        <v>5221</v>
      </c>
      <c r="K895" s="646">
        <v>1088280377</v>
      </c>
    </row>
    <row r="896" spans="1:11">
      <c r="A896" t="s">
        <v>1742</v>
      </c>
      <c r="B896" t="s">
        <v>615</v>
      </c>
      <c r="C896" s="629">
        <v>1.04</v>
      </c>
      <c r="D896" s="731">
        <v>50492957</v>
      </c>
      <c r="E896" s="731">
        <v>18128021</v>
      </c>
      <c r="F896" s="944">
        <v>12</v>
      </c>
      <c r="G896" s="629">
        <v>0</v>
      </c>
      <c r="H896" s="646">
        <v>3366665</v>
      </c>
      <c r="I896" s="646">
        <v>6067868</v>
      </c>
      <c r="J896" s="646">
        <v>2525</v>
      </c>
      <c r="K896" s="646">
        <v>837019969</v>
      </c>
    </row>
    <row r="897" spans="1:11">
      <c r="A897" t="s">
        <v>1109</v>
      </c>
      <c r="B897" t="s">
        <v>1257</v>
      </c>
      <c r="C897" s="629">
        <v>1.04</v>
      </c>
      <c r="D897" s="731">
        <v>14122119</v>
      </c>
      <c r="E897" s="731">
        <v>4471173</v>
      </c>
      <c r="F897" s="944">
        <v>12</v>
      </c>
      <c r="G897" s="629">
        <v>0</v>
      </c>
    </row>
    <row r="898" spans="1:11">
      <c r="A898" t="s">
        <v>2101</v>
      </c>
      <c r="B898" t="s">
        <v>1206</v>
      </c>
      <c r="C898" s="629">
        <v>1.04</v>
      </c>
      <c r="D898" s="731">
        <v>37836677</v>
      </c>
      <c r="E898" s="731">
        <v>3703298</v>
      </c>
      <c r="F898" s="944">
        <v>12</v>
      </c>
      <c r="G898" s="629">
        <v>0</v>
      </c>
    </row>
    <row r="899" spans="1:11">
      <c r="A899" t="s">
        <v>2102</v>
      </c>
      <c r="B899" t="s">
        <v>1207</v>
      </c>
      <c r="C899" s="629">
        <v>1.04</v>
      </c>
      <c r="D899" s="731">
        <v>3747066</v>
      </c>
      <c r="E899" s="731">
        <v>48021</v>
      </c>
      <c r="F899" s="944">
        <v>12</v>
      </c>
      <c r="G899" s="629">
        <v>0</v>
      </c>
    </row>
    <row r="900" spans="1:11">
      <c r="A900" t="s">
        <v>2509</v>
      </c>
      <c r="B900" t="s">
        <v>1208</v>
      </c>
      <c r="C900" s="629">
        <v>1.04</v>
      </c>
      <c r="D900" s="731">
        <v>1031740</v>
      </c>
      <c r="E900" s="731">
        <v>384845</v>
      </c>
      <c r="F900" s="944">
        <v>12</v>
      </c>
      <c r="G900" s="629">
        <v>0</v>
      </c>
      <c r="H900" s="646">
        <v>232905</v>
      </c>
      <c r="I900" s="646">
        <v>693940</v>
      </c>
      <c r="J900" s="629">
        <v>248</v>
      </c>
      <c r="K900" s="646">
        <v>33371934</v>
      </c>
    </row>
    <row r="901" spans="1:11">
      <c r="A901" t="s">
        <v>2510</v>
      </c>
      <c r="B901" t="s">
        <v>2210</v>
      </c>
      <c r="C901" s="629">
        <v>1.04</v>
      </c>
      <c r="D901" s="731">
        <v>4900276</v>
      </c>
      <c r="E901" s="731">
        <v>191519</v>
      </c>
      <c r="F901" s="944">
        <v>12</v>
      </c>
      <c r="G901" s="629">
        <v>0</v>
      </c>
    </row>
    <row r="902" spans="1:11">
      <c r="A902" t="s">
        <v>2511</v>
      </c>
      <c r="B902" t="s">
        <v>1065</v>
      </c>
      <c r="C902" s="629">
        <v>0.97</v>
      </c>
      <c r="D902" s="731">
        <v>10655940</v>
      </c>
      <c r="E902" s="731">
        <v>1193000</v>
      </c>
      <c r="F902" s="944">
        <v>12</v>
      </c>
      <c r="G902" s="629">
        <v>0</v>
      </c>
    </row>
    <row r="903" spans="1:11">
      <c r="A903" t="s">
        <v>2512</v>
      </c>
      <c r="B903" t="s">
        <v>1210</v>
      </c>
      <c r="C903" s="629">
        <v>1.0215000000000001</v>
      </c>
      <c r="D903" s="731">
        <v>10102319</v>
      </c>
      <c r="E903" s="731">
        <v>340188</v>
      </c>
      <c r="F903" s="944">
        <v>12</v>
      </c>
      <c r="G903" s="629">
        <v>0</v>
      </c>
      <c r="H903" s="646">
        <v>393879</v>
      </c>
      <c r="I903" s="646">
        <v>1372381</v>
      </c>
      <c r="J903" s="629">
        <v>547</v>
      </c>
      <c r="K903" s="646">
        <v>147385072</v>
      </c>
    </row>
    <row r="904" spans="1:11">
      <c r="A904" t="s">
        <v>1100</v>
      </c>
      <c r="B904" t="s">
        <v>288</v>
      </c>
      <c r="C904" s="629">
        <v>1.04</v>
      </c>
      <c r="D904" s="731">
        <v>6564948</v>
      </c>
      <c r="E904" s="731">
        <v>523510</v>
      </c>
      <c r="F904" s="944">
        <v>12</v>
      </c>
      <c r="G904" s="629">
        <v>0</v>
      </c>
    </row>
    <row r="905" spans="1:11">
      <c r="A905" t="s">
        <v>1741</v>
      </c>
      <c r="B905" t="s">
        <v>776</v>
      </c>
      <c r="C905" s="629">
        <v>1.04</v>
      </c>
      <c r="D905" s="731">
        <v>653670</v>
      </c>
      <c r="E905" s="731">
        <v>37307</v>
      </c>
      <c r="F905" s="944">
        <v>12</v>
      </c>
      <c r="G905" s="629">
        <v>0</v>
      </c>
    </row>
    <row r="906" spans="1:11">
      <c r="A906" t="s">
        <v>1101</v>
      </c>
      <c r="B906" t="s">
        <v>2211</v>
      </c>
      <c r="C906" s="629">
        <v>1.04</v>
      </c>
      <c r="D906" s="731">
        <v>1435397</v>
      </c>
      <c r="E906" s="731">
        <v>0</v>
      </c>
      <c r="F906" s="944">
        <v>12</v>
      </c>
      <c r="G906" s="629">
        <v>0</v>
      </c>
      <c r="H906" s="646">
        <v>477028</v>
      </c>
      <c r="I906" s="646">
        <v>620837</v>
      </c>
      <c r="J906" s="629">
        <v>208</v>
      </c>
      <c r="K906" s="646">
        <v>133587389</v>
      </c>
    </row>
    <row r="907" spans="1:11">
      <c r="A907" t="s">
        <v>1495</v>
      </c>
      <c r="B907" t="s">
        <v>599</v>
      </c>
      <c r="C907" s="629">
        <v>1.04</v>
      </c>
      <c r="D907" s="731">
        <v>1165102</v>
      </c>
      <c r="E907" s="731">
        <v>0</v>
      </c>
      <c r="F907" s="944">
        <v>12</v>
      </c>
      <c r="G907" s="629">
        <v>0</v>
      </c>
    </row>
    <row r="908" spans="1:11">
      <c r="A908" t="s">
        <v>1496</v>
      </c>
      <c r="B908" t="s">
        <v>600</v>
      </c>
      <c r="C908" s="629">
        <v>1.17</v>
      </c>
      <c r="D908" s="731">
        <v>373183</v>
      </c>
      <c r="E908" s="731">
        <v>0</v>
      </c>
      <c r="F908" s="944">
        <v>12</v>
      </c>
      <c r="G908" s="629">
        <v>0</v>
      </c>
    </row>
    <row r="909" spans="1:11">
      <c r="A909" t="s">
        <v>1497</v>
      </c>
      <c r="B909" t="s">
        <v>601</v>
      </c>
      <c r="C909" s="629">
        <v>1.04</v>
      </c>
      <c r="D909" s="731">
        <v>20786335</v>
      </c>
      <c r="E909" s="731">
        <v>1401041</v>
      </c>
      <c r="F909" s="944">
        <v>12</v>
      </c>
      <c r="G909" s="629">
        <v>0</v>
      </c>
    </row>
    <row r="910" spans="1:11">
      <c r="A910" t="s">
        <v>1715</v>
      </c>
      <c r="B910" t="s">
        <v>1571</v>
      </c>
      <c r="C910" s="629">
        <v>1.04</v>
      </c>
      <c r="D910" s="731">
        <v>490282</v>
      </c>
      <c r="E910" s="731">
        <v>0</v>
      </c>
      <c r="F910" s="944">
        <v>8</v>
      </c>
      <c r="G910" s="629">
        <v>0</v>
      </c>
    </row>
    <row r="911" spans="1:11">
      <c r="A911" t="s">
        <v>261</v>
      </c>
      <c r="B911" t="s">
        <v>619</v>
      </c>
      <c r="C911" s="629">
        <v>1.04</v>
      </c>
      <c r="D911" s="731">
        <v>952517</v>
      </c>
      <c r="E911" s="731">
        <v>95548</v>
      </c>
      <c r="F911" s="944">
        <v>8</v>
      </c>
      <c r="G911" s="629">
        <v>0</v>
      </c>
    </row>
    <row r="912" spans="1:11">
      <c r="A912" t="s">
        <v>1716</v>
      </c>
      <c r="B912" t="s">
        <v>1572</v>
      </c>
      <c r="C912" s="629">
        <v>1.04</v>
      </c>
      <c r="D912" s="731">
        <v>1163477</v>
      </c>
      <c r="E912" s="731">
        <v>0</v>
      </c>
      <c r="F912" s="944">
        <v>8</v>
      </c>
      <c r="G912" s="629">
        <v>0</v>
      </c>
    </row>
    <row r="913" spans="1:11">
      <c r="A913" t="s">
        <v>2301</v>
      </c>
      <c r="B913" t="s">
        <v>1799</v>
      </c>
      <c r="C913" s="629">
        <v>1.04</v>
      </c>
      <c r="D913" s="731">
        <v>1284993</v>
      </c>
      <c r="E913" s="731">
        <v>100472</v>
      </c>
      <c r="F913" s="944">
        <v>12</v>
      </c>
      <c r="G913" s="629">
        <v>0</v>
      </c>
    </row>
    <row r="914" spans="1:11">
      <c r="A914" t="s">
        <v>1237</v>
      </c>
      <c r="B914" t="s">
        <v>1914</v>
      </c>
      <c r="C914" s="629">
        <v>1.04</v>
      </c>
      <c r="D914" s="731">
        <v>32042422</v>
      </c>
      <c r="E914" s="731">
        <v>1785810</v>
      </c>
      <c r="F914" s="944">
        <v>12</v>
      </c>
      <c r="G914" s="629">
        <v>0</v>
      </c>
    </row>
    <row r="915" spans="1:11">
      <c r="A915" t="s">
        <v>2289</v>
      </c>
      <c r="B915" t="s">
        <v>1800</v>
      </c>
      <c r="C915" s="629">
        <v>1.04</v>
      </c>
      <c r="D915" s="731">
        <v>1198287</v>
      </c>
      <c r="E915" s="731">
        <v>213445</v>
      </c>
      <c r="F915" s="944">
        <v>12</v>
      </c>
      <c r="G915" s="629">
        <v>0</v>
      </c>
    </row>
    <row r="916" spans="1:11">
      <c r="A916" t="s">
        <v>325</v>
      </c>
      <c r="B916" t="s">
        <v>128</v>
      </c>
      <c r="C916" s="629">
        <v>1.04</v>
      </c>
      <c r="D916" s="731">
        <v>1900490</v>
      </c>
      <c r="E916" s="731">
        <v>105993</v>
      </c>
      <c r="F916" s="944">
        <v>12</v>
      </c>
      <c r="G916" s="629">
        <v>0</v>
      </c>
    </row>
    <row r="917" spans="1:11">
      <c r="A917" t="s">
        <v>1231</v>
      </c>
      <c r="B917" t="s">
        <v>1635</v>
      </c>
      <c r="C917" s="629">
        <v>1.17</v>
      </c>
      <c r="D917" s="731">
        <v>1335540</v>
      </c>
      <c r="E917" s="731">
        <v>198838</v>
      </c>
      <c r="F917" s="944">
        <v>12</v>
      </c>
      <c r="G917" s="629">
        <v>0</v>
      </c>
    </row>
    <row r="918" spans="1:11">
      <c r="A918" t="s">
        <v>1179</v>
      </c>
      <c r="B918" t="s">
        <v>2500</v>
      </c>
      <c r="C918" s="629">
        <v>1.17</v>
      </c>
      <c r="D918" s="731">
        <v>791824</v>
      </c>
      <c r="E918" s="731">
        <v>75154</v>
      </c>
      <c r="F918" s="944">
        <v>10</v>
      </c>
      <c r="G918" s="629">
        <v>0</v>
      </c>
    </row>
    <row r="919" spans="1:11">
      <c r="A919" t="s">
        <v>249</v>
      </c>
      <c r="B919" t="s">
        <v>1801</v>
      </c>
      <c r="C919" s="629">
        <v>1.04</v>
      </c>
      <c r="D919" s="731">
        <v>567515646</v>
      </c>
      <c r="E919" s="731">
        <v>57507125</v>
      </c>
      <c r="F919" s="944">
        <v>12</v>
      </c>
      <c r="G919" s="629">
        <v>0</v>
      </c>
      <c r="H919" s="646">
        <v>67682077</v>
      </c>
      <c r="I919" s="646">
        <v>195434372</v>
      </c>
      <c r="J919" s="646">
        <v>82685</v>
      </c>
      <c r="K919" s="646">
        <v>16517525236</v>
      </c>
    </row>
    <row r="920" spans="1:11">
      <c r="A920" t="s">
        <v>196</v>
      </c>
      <c r="B920" t="s">
        <v>944</v>
      </c>
      <c r="C920" s="629">
        <v>1.04</v>
      </c>
      <c r="D920" s="731">
        <v>71346317</v>
      </c>
      <c r="E920" s="731">
        <v>18713063</v>
      </c>
      <c r="F920" s="944">
        <v>12</v>
      </c>
      <c r="G920" s="629">
        <v>0</v>
      </c>
    </row>
    <row r="921" spans="1:11">
      <c r="A921" t="s">
        <v>250</v>
      </c>
      <c r="B921" t="s">
        <v>1802</v>
      </c>
      <c r="C921" s="629">
        <v>1.02</v>
      </c>
      <c r="D921" s="731">
        <v>25134208</v>
      </c>
      <c r="E921" s="731">
        <v>8094456</v>
      </c>
      <c r="F921" s="944">
        <v>12</v>
      </c>
      <c r="G921" s="629">
        <v>0</v>
      </c>
      <c r="H921" s="646">
        <v>1523594</v>
      </c>
      <c r="I921" s="646">
        <v>5044625</v>
      </c>
      <c r="J921" s="646">
        <v>2070</v>
      </c>
      <c r="K921" s="646">
        <v>405189225</v>
      </c>
    </row>
    <row r="922" spans="1:11">
      <c r="A922" t="s">
        <v>251</v>
      </c>
      <c r="B922" t="s">
        <v>1803</v>
      </c>
      <c r="C922" s="629">
        <v>1.04</v>
      </c>
      <c r="D922" s="731">
        <v>91270469</v>
      </c>
      <c r="E922" s="731">
        <v>14316330</v>
      </c>
      <c r="F922" s="944">
        <v>12</v>
      </c>
      <c r="G922" s="629">
        <v>0</v>
      </c>
      <c r="H922" s="646">
        <v>10858341</v>
      </c>
      <c r="I922" s="646">
        <v>15220266</v>
      </c>
      <c r="J922" s="646">
        <v>6354</v>
      </c>
      <c r="K922" s="646">
        <v>1804437963</v>
      </c>
    </row>
    <row r="923" spans="1:11">
      <c r="A923" t="s">
        <v>1066</v>
      </c>
      <c r="B923" t="s">
        <v>2520</v>
      </c>
      <c r="C923" s="629">
        <v>1.04</v>
      </c>
      <c r="D923" s="731">
        <v>31449765</v>
      </c>
      <c r="E923" s="731">
        <v>8966182</v>
      </c>
      <c r="F923" s="944">
        <v>12</v>
      </c>
      <c r="G923" s="629">
        <v>0</v>
      </c>
    </row>
    <row r="924" spans="1:11">
      <c r="A924" t="s">
        <v>2307</v>
      </c>
      <c r="B924" t="s">
        <v>1804</v>
      </c>
      <c r="C924" s="629">
        <v>1.04</v>
      </c>
      <c r="D924" s="731">
        <v>12495224</v>
      </c>
      <c r="E924" s="731">
        <v>1818358</v>
      </c>
      <c r="F924" s="944">
        <v>12</v>
      </c>
      <c r="G924" s="629">
        <v>0</v>
      </c>
      <c r="H924" s="646">
        <v>760465</v>
      </c>
      <c r="I924" s="646">
        <v>1817443</v>
      </c>
      <c r="J924" s="629">
        <v>765</v>
      </c>
      <c r="K924" s="646">
        <v>245341709</v>
      </c>
    </row>
    <row r="925" spans="1:11">
      <c r="A925" t="s">
        <v>1244</v>
      </c>
      <c r="B925" t="s">
        <v>1805</v>
      </c>
      <c r="C925" s="629">
        <v>1.04</v>
      </c>
      <c r="D925" s="731">
        <v>62279745</v>
      </c>
      <c r="E925" s="731">
        <v>10943079</v>
      </c>
      <c r="F925" s="944">
        <v>12</v>
      </c>
      <c r="G925" s="629">
        <v>0</v>
      </c>
      <c r="H925" s="646">
        <v>2553918</v>
      </c>
      <c r="I925" s="646">
        <v>5657555</v>
      </c>
      <c r="J925" s="646">
        <v>2294</v>
      </c>
      <c r="K925" s="646">
        <v>758073253</v>
      </c>
    </row>
    <row r="926" spans="1:11">
      <c r="A926" t="s">
        <v>1245</v>
      </c>
      <c r="B926" t="s">
        <v>1806</v>
      </c>
      <c r="C926" s="629">
        <v>1.04</v>
      </c>
      <c r="D926" s="731">
        <v>1387693</v>
      </c>
      <c r="E926" s="731">
        <v>0</v>
      </c>
      <c r="F926" s="944">
        <v>12</v>
      </c>
      <c r="G926" s="629">
        <v>0</v>
      </c>
    </row>
    <row r="927" spans="1:11">
      <c r="A927" t="s">
        <v>1246</v>
      </c>
      <c r="B927" t="s">
        <v>1807</v>
      </c>
      <c r="C927" s="629">
        <v>1.04</v>
      </c>
      <c r="D927" s="731">
        <v>2144938</v>
      </c>
      <c r="E927" s="731">
        <v>241560</v>
      </c>
      <c r="F927" s="944">
        <v>12</v>
      </c>
      <c r="G927" s="629">
        <v>0</v>
      </c>
    </row>
    <row r="928" spans="1:11">
      <c r="A928" t="s">
        <v>1247</v>
      </c>
      <c r="B928" t="s">
        <v>1721</v>
      </c>
      <c r="C928" s="629">
        <v>1.04</v>
      </c>
      <c r="D928" s="731">
        <v>263629</v>
      </c>
      <c r="E928" s="731">
        <v>0</v>
      </c>
      <c r="F928" s="944">
        <v>12</v>
      </c>
      <c r="G928" s="629">
        <v>0</v>
      </c>
    </row>
    <row r="929" spans="1:11">
      <c r="A929" t="s">
        <v>1248</v>
      </c>
      <c r="B929" t="s">
        <v>1808</v>
      </c>
      <c r="C929" s="629">
        <v>1.04</v>
      </c>
      <c r="D929" s="731">
        <v>239554</v>
      </c>
      <c r="E929" s="731">
        <v>0</v>
      </c>
      <c r="F929" s="944">
        <v>12</v>
      </c>
      <c r="G929" s="629">
        <v>0</v>
      </c>
    </row>
    <row r="930" spans="1:11">
      <c r="A930" t="s">
        <v>1349</v>
      </c>
      <c r="B930" t="s">
        <v>1457</v>
      </c>
      <c r="C930" s="629">
        <v>1.04</v>
      </c>
      <c r="D930" s="731">
        <v>935719</v>
      </c>
      <c r="E930" s="731">
        <v>0</v>
      </c>
      <c r="F930" s="944">
        <v>12</v>
      </c>
      <c r="G930" s="629">
        <v>0</v>
      </c>
    </row>
    <row r="931" spans="1:11">
      <c r="A931" t="s">
        <v>1707</v>
      </c>
      <c r="B931" t="s">
        <v>1809</v>
      </c>
      <c r="C931" s="629">
        <v>1.04</v>
      </c>
      <c r="D931" s="731">
        <v>7507748</v>
      </c>
      <c r="E931" s="731">
        <v>463743</v>
      </c>
      <c r="F931" s="944">
        <v>12</v>
      </c>
      <c r="G931" s="629">
        <v>0</v>
      </c>
      <c r="H931" s="646">
        <v>590199</v>
      </c>
      <c r="I931" s="646">
        <v>5074899</v>
      </c>
      <c r="J931" s="646">
        <v>2013</v>
      </c>
      <c r="K931" s="646">
        <v>202525814</v>
      </c>
    </row>
    <row r="932" spans="1:11">
      <c r="A932" t="s">
        <v>1708</v>
      </c>
      <c r="B932" t="s">
        <v>1810</v>
      </c>
      <c r="C932" s="629">
        <v>1.04</v>
      </c>
      <c r="D932" s="731">
        <v>2139810</v>
      </c>
      <c r="E932" s="731">
        <v>0</v>
      </c>
      <c r="F932" s="944">
        <v>12</v>
      </c>
      <c r="G932" s="629">
        <v>0</v>
      </c>
    </row>
    <row r="933" spans="1:11">
      <c r="A933" t="s">
        <v>1180</v>
      </c>
      <c r="B933" t="s">
        <v>1831</v>
      </c>
      <c r="C933" s="629">
        <v>1.04</v>
      </c>
      <c r="D933" s="731">
        <v>537862</v>
      </c>
      <c r="E933" s="731">
        <v>53904</v>
      </c>
      <c r="F933" s="944">
        <v>12</v>
      </c>
      <c r="G933" s="629">
        <v>0</v>
      </c>
    </row>
    <row r="934" spans="1:11">
      <c r="A934" t="s">
        <v>68</v>
      </c>
      <c r="B934" t="s">
        <v>2061</v>
      </c>
      <c r="C934" s="629">
        <v>1.04</v>
      </c>
      <c r="D934" s="731">
        <v>540545</v>
      </c>
      <c r="E934" s="731">
        <v>18939</v>
      </c>
      <c r="F934" s="944">
        <v>12</v>
      </c>
      <c r="G934" s="629">
        <v>0</v>
      </c>
    </row>
    <row r="935" spans="1:11">
      <c r="A935" t="s">
        <v>1709</v>
      </c>
      <c r="B935" t="s">
        <v>421</v>
      </c>
      <c r="C935" s="629">
        <v>1.04</v>
      </c>
      <c r="D935" s="731">
        <v>1683410</v>
      </c>
      <c r="E935" s="731">
        <v>84629</v>
      </c>
      <c r="F935" s="944">
        <v>12</v>
      </c>
      <c r="G935" s="629">
        <v>0</v>
      </c>
    </row>
    <row r="936" spans="1:11">
      <c r="A936" t="s">
        <v>1710</v>
      </c>
      <c r="B936" t="s">
        <v>1811</v>
      </c>
      <c r="C936" s="629">
        <v>1.04</v>
      </c>
      <c r="D936" s="731">
        <v>8946826</v>
      </c>
      <c r="E936" s="731">
        <v>1282215</v>
      </c>
      <c r="F936" s="944">
        <v>12</v>
      </c>
      <c r="G936" s="629">
        <v>0</v>
      </c>
    </row>
    <row r="937" spans="1:11">
      <c r="A937" t="s">
        <v>1329</v>
      </c>
      <c r="B937" t="s">
        <v>962</v>
      </c>
      <c r="C937" s="629">
        <v>1.04</v>
      </c>
      <c r="D937" s="731">
        <v>1350316</v>
      </c>
      <c r="E937" s="731">
        <v>82737</v>
      </c>
      <c r="F937" s="944">
        <v>12</v>
      </c>
      <c r="G937" s="629">
        <v>0</v>
      </c>
    </row>
    <row r="938" spans="1:11">
      <c r="A938" t="s">
        <v>1021</v>
      </c>
      <c r="B938" t="s">
        <v>732</v>
      </c>
      <c r="C938" s="629">
        <v>1.04</v>
      </c>
      <c r="D938" s="731">
        <v>892169</v>
      </c>
      <c r="E938" s="731">
        <v>0</v>
      </c>
      <c r="F938" s="944">
        <v>12</v>
      </c>
      <c r="G938" s="629">
        <v>0</v>
      </c>
    </row>
    <row r="939" spans="1:11">
      <c r="A939" t="s">
        <v>1757</v>
      </c>
      <c r="B939" t="s">
        <v>781</v>
      </c>
      <c r="C939" s="629">
        <v>1.04</v>
      </c>
      <c r="D939" s="731">
        <v>3976337</v>
      </c>
      <c r="E939" s="731">
        <v>251997</v>
      </c>
      <c r="F939" s="944">
        <v>12</v>
      </c>
      <c r="G939" s="629">
        <v>0</v>
      </c>
    </row>
    <row r="940" spans="1:11">
      <c r="A940" t="s">
        <v>1022</v>
      </c>
      <c r="B940" t="s">
        <v>1446</v>
      </c>
      <c r="C940" s="629">
        <v>1.04</v>
      </c>
      <c r="D940" s="731">
        <v>1470956</v>
      </c>
      <c r="E940" s="731">
        <v>156216</v>
      </c>
      <c r="F940" s="944">
        <v>12</v>
      </c>
      <c r="G940" s="629">
        <v>0</v>
      </c>
    </row>
    <row r="941" spans="1:11">
      <c r="A941" t="s">
        <v>1023</v>
      </c>
      <c r="B941" t="s">
        <v>733</v>
      </c>
      <c r="C941" s="629">
        <v>1.17</v>
      </c>
      <c r="D941" s="731">
        <v>2545341</v>
      </c>
      <c r="E941" s="731">
        <v>166226</v>
      </c>
      <c r="F941" s="944">
        <v>12</v>
      </c>
      <c r="G941" s="629">
        <v>0</v>
      </c>
    </row>
    <row r="942" spans="1:11">
      <c r="A942" t="s">
        <v>1024</v>
      </c>
      <c r="B942" t="s">
        <v>734</v>
      </c>
      <c r="C942" s="629">
        <v>1.04</v>
      </c>
      <c r="D942" s="731">
        <v>15478486</v>
      </c>
      <c r="E942" s="731">
        <v>423309</v>
      </c>
      <c r="F942" s="944">
        <v>12</v>
      </c>
      <c r="G942" s="629">
        <v>0</v>
      </c>
      <c r="H942" s="646">
        <v>1316524</v>
      </c>
      <c r="I942" s="646">
        <v>2832321</v>
      </c>
      <c r="J942" s="646">
        <v>1172</v>
      </c>
      <c r="K942" s="646">
        <v>352647406</v>
      </c>
    </row>
    <row r="943" spans="1:11">
      <c r="A943" t="s">
        <v>1025</v>
      </c>
      <c r="B943" t="s">
        <v>735</v>
      </c>
      <c r="C943" s="629">
        <v>1.04</v>
      </c>
      <c r="D943" s="731">
        <v>15335351</v>
      </c>
      <c r="E943" s="731">
        <v>574258</v>
      </c>
      <c r="F943" s="944">
        <v>12</v>
      </c>
      <c r="G943" s="629">
        <v>0</v>
      </c>
      <c r="H943" s="646">
        <v>1186291</v>
      </c>
      <c r="I943" s="646">
        <v>1676154</v>
      </c>
      <c r="J943" s="629">
        <v>629</v>
      </c>
      <c r="K943" s="646">
        <v>299766142</v>
      </c>
    </row>
    <row r="944" spans="1:11">
      <c r="A944" t="s">
        <v>54</v>
      </c>
      <c r="B944" t="s">
        <v>2332</v>
      </c>
      <c r="C944" s="629">
        <v>1.01</v>
      </c>
      <c r="D944" s="731">
        <v>453335</v>
      </c>
      <c r="E944" s="731">
        <v>29017</v>
      </c>
      <c r="F944" s="944">
        <v>12</v>
      </c>
      <c r="G944" s="629">
        <v>0</v>
      </c>
    </row>
    <row r="945" spans="1:11">
      <c r="A945" t="s">
        <v>1454</v>
      </c>
      <c r="B945" t="s">
        <v>578</v>
      </c>
      <c r="C945" s="629">
        <v>0.82199999999999995</v>
      </c>
      <c r="D945" s="731">
        <v>1352755</v>
      </c>
      <c r="E945" s="731">
        <v>104187</v>
      </c>
      <c r="F945" s="944">
        <v>12</v>
      </c>
      <c r="G945" s="629">
        <v>0</v>
      </c>
    </row>
    <row r="946" spans="1:11">
      <c r="A946" t="s">
        <v>1432</v>
      </c>
      <c r="B946" t="s">
        <v>279</v>
      </c>
      <c r="C946" s="629">
        <v>1.04</v>
      </c>
      <c r="D946" s="731">
        <v>7696460</v>
      </c>
      <c r="E946" s="731">
        <v>1196203</v>
      </c>
      <c r="F946" s="944">
        <v>12</v>
      </c>
      <c r="G946" s="629">
        <v>0</v>
      </c>
    </row>
    <row r="947" spans="1:11">
      <c r="A947" t="s">
        <v>1243</v>
      </c>
      <c r="B947" t="s">
        <v>585</v>
      </c>
      <c r="C947" s="629">
        <v>1.04</v>
      </c>
      <c r="D947" s="731">
        <v>1425683</v>
      </c>
      <c r="E947" s="731">
        <v>0</v>
      </c>
      <c r="F947" s="944">
        <v>12</v>
      </c>
      <c r="G947" s="629">
        <v>0</v>
      </c>
      <c r="H947" s="646">
        <v>105737</v>
      </c>
      <c r="I947" s="646">
        <v>714171</v>
      </c>
      <c r="J947" s="629">
        <v>283</v>
      </c>
      <c r="K947" s="646">
        <v>64384826</v>
      </c>
    </row>
    <row r="948" spans="1:11">
      <c r="A948" t="s">
        <v>460</v>
      </c>
      <c r="B948" t="s">
        <v>2027</v>
      </c>
      <c r="C948" s="629">
        <v>1.04</v>
      </c>
      <c r="D948" s="731">
        <v>12840542</v>
      </c>
      <c r="E948" s="731">
        <v>1130509</v>
      </c>
      <c r="F948" s="944">
        <v>12</v>
      </c>
      <c r="G948" s="629">
        <v>0</v>
      </c>
    </row>
    <row r="949" spans="1:11">
      <c r="A949" t="s">
        <v>785</v>
      </c>
      <c r="B949" t="s">
        <v>586</v>
      </c>
      <c r="C949" s="629">
        <v>1.04</v>
      </c>
      <c r="D949" s="731">
        <v>1700450</v>
      </c>
      <c r="E949" s="731">
        <v>296733</v>
      </c>
      <c r="F949" s="944">
        <v>12</v>
      </c>
      <c r="G949" s="629">
        <v>0</v>
      </c>
      <c r="H949" s="646">
        <v>114003</v>
      </c>
      <c r="I949" s="646">
        <v>720480</v>
      </c>
      <c r="J949" s="629">
        <v>263</v>
      </c>
      <c r="K949" s="646">
        <v>61059757</v>
      </c>
    </row>
    <row r="950" spans="1:11">
      <c r="A950" t="s">
        <v>787</v>
      </c>
      <c r="B950" t="s">
        <v>1076</v>
      </c>
      <c r="C950" s="629">
        <v>1.04</v>
      </c>
      <c r="D950" s="731">
        <v>5799800</v>
      </c>
      <c r="E950" s="731">
        <v>1145745</v>
      </c>
      <c r="F950" s="944">
        <v>12</v>
      </c>
      <c r="G950" s="629">
        <v>0</v>
      </c>
    </row>
    <row r="951" spans="1:11">
      <c r="A951" t="s">
        <v>788</v>
      </c>
      <c r="B951" t="s">
        <v>841</v>
      </c>
      <c r="C951" s="629">
        <v>0.97330000000000005</v>
      </c>
      <c r="D951" s="731">
        <v>1922832</v>
      </c>
      <c r="E951" s="731">
        <v>304105</v>
      </c>
      <c r="F951" s="944">
        <v>12</v>
      </c>
      <c r="G951" s="629">
        <v>0</v>
      </c>
    </row>
    <row r="952" spans="1:11">
      <c r="A952" t="s">
        <v>1443</v>
      </c>
      <c r="B952" t="s">
        <v>817</v>
      </c>
      <c r="C952" s="629">
        <v>0.9133</v>
      </c>
      <c r="D952" s="731">
        <v>1967934</v>
      </c>
      <c r="E952" s="731">
        <v>272808</v>
      </c>
      <c r="F952" s="944">
        <v>12</v>
      </c>
      <c r="G952" s="629">
        <v>0</v>
      </c>
    </row>
    <row r="953" spans="1:11">
      <c r="A953" t="s">
        <v>1732</v>
      </c>
      <c r="B953" t="s">
        <v>1952</v>
      </c>
      <c r="C953" s="629">
        <v>1.04</v>
      </c>
      <c r="D953" s="731">
        <v>873063</v>
      </c>
      <c r="E953" s="731">
        <v>77713</v>
      </c>
      <c r="F953" s="944">
        <v>12</v>
      </c>
      <c r="G953" s="629">
        <v>0</v>
      </c>
    </row>
    <row r="954" spans="1:11">
      <c r="A954" t="s">
        <v>789</v>
      </c>
      <c r="B954" t="s">
        <v>1077</v>
      </c>
      <c r="C954" s="629">
        <v>1.04</v>
      </c>
      <c r="D954" s="731">
        <v>5368672</v>
      </c>
      <c r="E954" s="731">
        <v>678921</v>
      </c>
      <c r="F954" s="944">
        <v>12</v>
      </c>
      <c r="G954" s="629">
        <v>0</v>
      </c>
    </row>
    <row r="955" spans="1:11">
      <c r="A955" t="s">
        <v>790</v>
      </c>
      <c r="B955" t="s">
        <v>1968</v>
      </c>
      <c r="C955" s="629">
        <v>1.04</v>
      </c>
      <c r="D955" s="731">
        <v>4779893</v>
      </c>
      <c r="E955" s="731">
        <v>310906</v>
      </c>
      <c r="F955" s="944">
        <v>12</v>
      </c>
      <c r="G955" s="629">
        <v>0</v>
      </c>
    </row>
    <row r="956" spans="1:11">
      <c r="A956" t="s">
        <v>1341</v>
      </c>
      <c r="B956" t="s">
        <v>1390</v>
      </c>
      <c r="C956" s="629">
        <v>1.04</v>
      </c>
      <c r="D956" s="731">
        <v>591762</v>
      </c>
      <c r="E956" s="731">
        <v>34219</v>
      </c>
      <c r="F956" s="944">
        <v>12</v>
      </c>
      <c r="G956" s="629">
        <v>0</v>
      </c>
    </row>
    <row r="957" spans="1:11">
      <c r="A957" t="s">
        <v>830</v>
      </c>
      <c r="B957" t="s">
        <v>1268</v>
      </c>
      <c r="C957" s="629">
        <v>1.04</v>
      </c>
      <c r="D957" s="731">
        <v>1395368</v>
      </c>
      <c r="E957" s="731">
        <v>166372</v>
      </c>
      <c r="F957" s="944">
        <v>12</v>
      </c>
      <c r="G957" s="629">
        <v>0</v>
      </c>
    </row>
    <row r="958" spans="1:11">
      <c r="A958" t="s">
        <v>323</v>
      </c>
      <c r="B958" t="s">
        <v>125</v>
      </c>
      <c r="C958" s="629">
        <v>1.03</v>
      </c>
      <c r="D958" s="731">
        <v>41932522</v>
      </c>
      <c r="E958" s="731">
        <v>3468582</v>
      </c>
      <c r="F958" s="944">
        <v>12</v>
      </c>
      <c r="G958" s="629">
        <v>0</v>
      </c>
    </row>
    <row r="959" spans="1:11">
      <c r="A959" t="s">
        <v>2453</v>
      </c>
      <c r="B959" t="s">
        <v>1969</v>
      </c>
      <c r="C959" s="629">
        <v>1.0001</v>
      </c>
      <c r="D959" s="731">
        <v>1749059</v>
      </c>
      <c r="E959" s="731">
        <v>0</v>
      </c>
      <c r="F959" s="944">
        <v>5</v>
      </c>
      <c r="G959" s="629">
        <v>0</v>
      </c>
      <c r="H959" s="646">
        <v>104889</v>
      </c>
      <c r="I959" s="646">
        <v>315665</v>
      </c>
      <c r="J959" s="629">
        <v>270</v>
      </c>
      <c r="K959" s="646">
        <v>33519031</v>
      </c>
    </row>
    <row r="960" spans="1:11">
      <c r="A960" t="s">
        <v>966</v>
      </c>
      <c r="B960" t="s">
        <v>1074</v>
      </c>
      <c r="C960" s="629">
        <v>0.97330000000000005</v>
      </c>
      <c r="D960" s="731">
        <v>1750269</v>
      </c>
      <c r="E960" s="731">
        <v>318352</v>
      </c>
      <c r="F960" s="944">
        <v>12</v>
      </c>
      <c r="G960" s="629">
        <v>0</v>
      </c>
    </row>
    <row r="961" spans="1:11">
      <c r="A961" t="s">
        <v>1086</v>
      </c>
      <c r="B961" t="s">
        <v>90</v>
      </c>
      <c r="C961" s="629">
        <v>1.04</v>
      </c>
      <c r="D961" s="731">
        <v>16565253</v>
      </c>
      <c r="E961" s="731">
        <v>2350511</v>
      </c>
      <c r="F961" s="944">
        <v>12</v>
      </c>
      <c r="G961" s="629">
        <v>0</v>
      </c>
    </row>
    <row r="962" spans="1:11">
      <c r="A962" t="s">
        <v>262</v>
      </c>
      <c r="B962" t="s">
        <v>2238</v>
      </c>
      <c r="C962" s="629">
        <v>1.04</v>
      </c>
      <c r="D962" s="731">
        <v>3789189</v>
      </c>
      <c r="E962" s="731">
        <v>733332</v>
      </c>
      <c r="F962" s="944">
        <v>12</v>
      </c>
      <c r="G962" s="629">
        <v>0</v>
      </c>
    </row>
    <row r="963" spans="1:11">
      <c r="A963" t="s">
        <v>263</v>
      </c>
      <c r="B963" t="s">
        <v>129</v>
      </c>
      <c r="C963" s="629">
        <v>1.04</v>
      </c>
      <c r="D963" s="731">
        <v>14840997</v>
      </c>
      <c r="E963" s="731">
        <v>3933863</v>
      </c>
      <c r="F963" s="944">
        <v>12</v>
      </c>
      <c r="G963" s="629">
        <v>0</v>
      </c>
    </row>
    <row r="964" spans="1:11">
      <c r="A964" t="s">
        <v>587</v>
      </c>
      <c r="B964" t="s">
        <v>91</v>
      </c>
      <c r="C964" s="629">
        <v>1.04</v>
      </c>
      <c r="D964" s="731">
        <v>6252021</v>
      </c>
      <c r="E964" s="731">
        <v>780244</v>
      </c>
      <c r="F964" s="944">
        <v>12</v>
      </c>
      <c r="G964" s="629">
        <v>0</v>
      </c>
    </row>
    <row r="965" spans="1:11">
      <c r="A965" t="s">
        <v>588</v>
      </c>
      <c r="B965" t="s">
        <v>840</v>
      </c>
      <c r="C965" s="629">
        <v>1.04</v>
      </c>
      <c r="D965" s="731">
        <v>13514131</v>
      </c>
      <c r="E965" s="731">
        <v>2390986</v>
      </c>
      <c r="F965" s="944">
        <v>12</v>
      </c>
      <c r="G965" s="629">
        <v>0</v>
      </c>
      <c r="H965" s="646">
        <v>3849711</v>
      </c>
      <c r="I965" s="646">
        <v>7239863</v>
      </c>
      <c r="J965" s="646">
        <v>3116</v>
      </c>
      <c r="K965" s="646">
        <v>900862047</v>
      </c>
    </row>
    <row r="966" spans="1:11">
      <c r="A966" t="s">
        <v>589</v>
      </c>
      <c r="B966" t="s">
        <v>1145</v>
      </c>
      <c r="C966" s="629">
        <v>1.04</v>
      </c>
      <c r="D966" s="731">
        <v>1775659</v>
      </c>
      <c r="E966" s="731">
        <v>81237</v>
      </c>
      <c r="F966" s="944">
        <v>12</v>
      </c>
      <c r="G966" s="629">
        <v>0</v>
      </c>
      <c r="H966" s="646">
        <v>506284</v>
      </c>
      <c r="I966" s="646">
        <v>746387</v>
      </c>
      <c r="J966" s="629">
        <v>303</v>
      </c>
      <c r="K966" s="646">
        <v>83506818</v>
      </c>
    </row>
    <row r="967" spans="1:11">
      <c r="A967" t="s">
        <v>2214</v>
      </c>
      <c r="B967" t="s">
        <v>1146</v>
      </c>
      <c r="C967" s="629">
        <v>0.97340000000000004</v>
      </c>
      <c r="D967" s="731">
        <v>17505641</v>
      </c>
      <c r="E967" s="731">
        <v>2394703</v>
      </c>
      <c r="F967" s="944">
        <v>12</v>
      </c>
      <c r="G967" s="629">
        <v>0</v>
      </c>
    </row>
    <row r="968" spans="1:11">
      <c r="A968" t="s">
        <v>2215</v>
      </c>
      <c r="B968" t="s">
        <v>1147</v>
      </c>
      <c r="C968" s="629">
        <v>1.04</v>
      </c>
      <c r="D968" s="731">
        <v>3153768</v>
      </c>
      <c r="E968" s="731">
        <v>84551</v>
      </c>
      <c r="F968" s="944">
        <v>12</v>
      </c>
      <c r="G968" s="629">
        <v>0</v>
      </c>
      <c r="H968" s="646">
        <v>167215</v>
      </c>
      <c r="I968" s="646">
        <v>1714434</v>
      </c>
      <c r="J968" s="629">
        <v>733</v>
      </c>
      <c r="K968" s="646">
        <v>101040009</v>
      </c>
    </row>
    <row r="969" spans="1:11">
      <c r="A969" t="s">
        <v>1671</v>
      </c>
      <c r="B969" t="s">
        <v>2219</v>
      </c>
      <c r="C969" s="629">
        <v>1.04</v>
      </c>
      <c r="D969" s="731">
        <v>21319591</v>
      </c>
      <c r="E969" s="731">
        <v>4277648</v>
      </c>
      <c r="F969" s="944">
        <v>12</v>
      </c>
      <c r="G969" s="629">
        <v>0</v>
      </c>
    </row>
    <row r="970" spans="1:11">
      <c r="A970" t="s">
        <v>1431</v>
      </c>
      <c r="B970" t="s">
        <v>2229</v>
      </c>
      <c r="C970" s="629">
        <v>1.03</v>
      </c>
      <c r="D970" s="731">
        <v>91220270</v>
      </c>
      <c r="E970" s="731">
        <v>16272633</v>
      </c>
      <c r="F970" s="944">
        <v>12</v>
      </c>
      <c r="G970" s="629">
        <v>0</v>
      </c>
    </row>
    <row r="971" spans="1:11">
      <c r="A971" t="s">
        <v>879</v>
      </c>
      <c r="B971" t="s">
        <v>2212</v>
      </c>
      <c r="C971" s="629">
        <v>0.80669999999999997</v>
      </c>
      <c r="D971" s="731">
        <v>12733315</v>
      </c>
      <c r="E971" s="731">
        <v>617221</v>
      </c>
      <c r="F971" s="944">
        <v>12</v>
      </c>
      <c r="G971" s="629">
        <v>0</v>
      </c>
      <c r="H971" s="646">
        <v>3347099</v>
      </c>
      <c r="I971" s="646">
        <v>2047587</v>
      </c>
      <c r="J971" s="629">
        <v>800</v>
      </c>
      <c r="K971" s="646">
        <v>452687842</v>
      </c>
    </row>
    <row r="972" spans="1:11">
      <c r="A972" t="s">
        <v>880</v>
      </c>
      <c r="B972" t="s">
        <v>1149</v>
      </c>
      <c r="C972" s="629">
        <v>1.04</v>
      </c>
      <c r="D972" s="731">
        <v>1854330</v>
      </c>
      <c r="E972" s="731">
        <v>0</v>
      </c>
      <c r="F972" s="944">
        <v>12</v>
      </c>
      <c r="G972" s="629">
        <v>0</v>
      </c>
    </row>
    <row r="973" spans="1:11">
      <c r="A973" t="s">
        <v>881</v>
      </c>
      <c r="B973" t="s">
        <v>1150</v>
      </c>
      <c r="C973" s="629">
        <v>1.04</v>
      </c>
      <c r="D973" s="731">
        <v>3024528</v>
      </c>
      <c r="E973" s="731">
        <v>315758</v>
      </c>
      <c r="F973" s="944">
        <v>12</v>
      </c>
      <c r="G973" s="629">
        <v>0</v>
      </c>
    </row>
    <row r="974" spans="1:11">
      <c r="A974" t="s">
        <v>536</v>
      </c>
      <c r="B974" t="s">
        <v>1151</v>
      </c>
      <c r="C974" s="629">
        <v>1.04</v>
      </c>
      <c r="D974" s="731">
        <v>11773250</v>
      </c>
      <c r="E974" s="731">
        <v>1679665</v>
      </c>
      <c r="F974" s="944">
        <v>12</v>
      </c>
      <c r="G974" s="629">
        <v>0</v>
      </c>
    </row>
    <row r="975" spans="1:11">
      <c r="A975" t="s">
        <v>855</v>
      </c>
      <c r="B975" t="s">
        <v>1152</v>
      </c>
      <c r="C975" s="629">
        <v>1.04</v>
      </c>
      <c r="D975" s="731">
        <v>7208673</v>
      </c>
      <c r="E975" s="731">
        <v>1181496</v>
      </c>
      <c r="F975" s="944">
        <v>12</v>
      </c>
      <c r="G975" s="629">
        <v>0</v>
      </c>
    </row>
    <row r="976" spans="1:11">
      <c r="A976" t="s">
        <v>856</v>
      </c>
      <c r="B976" t="s">
        <v>1153</v>
      </c>
      <c r="C976" s="629">
        <v>1.04</v>
      </c>
      <c r="D976" s="731">
        <v>1677914</v>
      </c>
      <c r="E976" s="731">
        <v>233674</v>
      </c>
      <c r="F976" s="944">
        <v>12</v>
      </c>
      <c r="G976" s="629">
        <v>0</v>
      </c>
    </row>
    <row r="977" spans="1:11">
      <c r="A977" t="s">
        <v>857</v>
      </c>
      <c r="B977" t="s">
        <v>1154</v>
      </c>
      <c r="C977" s="629">
        <v>1.04</v>
      </c>
      <c r="D977" s="731">
        <v>1431201</v>
      </c>
      <c r="E977" s="731">
        <v>0</v>
      </c>
      <c r="F977" s="944">
        <v>12</v>
      </c>
      <c r="G977" s="629">
        <v>0</v>
      </c>
    </row>
    <row r="978" spans="1:11">
      <c r="A978" t="s">
        <v>858</v>
      </c>
      <c r="B978" t="s">
        <v>1155</v>
      </c>
      <c r="C978" s="629">
        <v>1.04</v>
      </c>
      <c r="D978" s="731">
        <v>2018861</v>
      </c>
      <c r="E978" s="731">
        <v>0</v>
      </c>
      <c r="F978" s="944">
        <v>12</v>
      </c>
      <c r="G978" s="629">
        <v>0</v>
      </c>
      <c r="H978" s="646">
        <v>311217</v>
      </c>
      <c r="I978" s="646">
        <v>1508412</v>
      </c>
      <c r="J978" s="629">
        <v>626</v>
      </c>
      <c r="K978" s="646">
        <v>115140885</v>
      </c>
    </row>
    <row r="979" spans="1:11">
      <c r="A979" t="s">
        <v>1628</v>
      </c>
      <c r="B979" t="s">
        <v>1156</v>
      </c>
      <c r="C979" s="629">
        <v>0.7</v>
      </c>
      <c r="D979" s="731">
        <v>3153106</v>
      </c>
      <c r="E979" s="731">
        <v>0</v>
      </c>
      <c r="F979" s="944">
        <v>12</v>
      </c>
      <c r="G979" s="629">
        <v>0</v>
      </c>
      <c r="H979" s="646">
        <v>369317</v>
      </c>
      <c r="I979" s="646">
        <v>278784</v>
      </c>
      <c r="J979" s="629">
        <v>98</v>
      </c>
      <c r="K979" s="646">
        <v>96998265</v>
      </c>
    </row>
    <row r="980" spans="1:11">
      <c r="A980" t="s">
        <v>2194</v>
      </c>
      <c r="B980" t="s">
        <v>1157</v>
      </c>
      <c r="C980" s="629">
        <v>0.78669999999999995</v>
      </c>
      <c r="D980" s="731">
        <v>10823329</v>
      </c>
      <c r="E980" s="731">
        <v>160973</v>
      </c>
      <c r="F980" s="944">
        <v>12</v>
      </c>
      <c r="G980" s="629">
        <v>0</v>
      </c>
      <c r="H980" s="646">
        <v>1360925</v>
      </c>
      <c r="I980" s="646">
        <v>873380</v>
      </c>
      <c r="J980" s="629">
        <v>349</v>
      </c>
      <c r="K980" s="646">
        <v>385109571</v>
      </c>
    </row>
    <row r="981" spans="1:11">
      <c r="A981" t="s">
        <v>837</v>
      </c>
      <c r="B981" t="s">
        <v>1363</v>
      </c>
      <c r="C981" s="629">
        <v>1.17</v>
      </c>
      <c r="D981" s="731">
        <v>8602181</v>
      </c>
      <c r="E981" s="731">
        <v>857258</v>
      </c>
      <c r="F981" s="944">
        <v>12</v>
      </c>
      <c r="G981" s="629">
        <v>0</v>
      </c>
    </row>
    <row r="982" spans="1:11">
      <c r="A982" t="s">
        <v>1181</v>
      </c>
      <c r="B982" t="s">
        <v>1515</v>
      </c>
      <c r="C982" s="629">
        <v>1.04</v>
      </c>
      <c r="D982" s="731">
        <v>2184076</v>
      </c>
      <c r="E982" s="731">
        <v>176385</v>
      </c>
      <c r="F982" s="944">
        <v>12</v>
      </c>
      <c r="G982" s="629">
        <v>0</v>
      </c>
    </row>
    <row r="983" spans="1:11">
      <c r="A983" t="s">
        <v>605</v>
      </c>
      <c r="B983" t="s">
        <v>2213</v>
      </c>
      <c r="C983" s="629">
        <v>1.04</v>
      </c>
      <c r="D983" s="731">
        <v>5188528</v>
      </c>
      <c r="E983" s="731">
        <v>398497</v>
      </c>
      <c r="F983" s="944">
        <v>12</v>
      </c>
      <c r="G983" s="629">
        <v>0</v>
      </c>
    </row>
    <row r="984" spans="1:11">
      <c r="A984" t="s">
        <v>1724</v>
      </c>
      <c r="B984" t="s">
        <v>1517</v>
      </c>
      <c r="C984" s="629">
        <v>1.04</v>
      </c>
      <c r="D984" s="731">
        <v>41034161</v>
      </c>
      <c r="E984" s="731">
        <v>2284079</v>
      </c>
      <c r="F984" s="944">
        <v>12</v>
      </c>
      <c r="G984" s="629">
        <v>0</v>
      </c>
    </row>
    <row r="985" spans="1:11">
      <c r="A985" t="s">
        <v>538</v>
      </c>
      <c r="B985" t="s">
        <v>1092</v>
      </c>
      <c r="C985" s="629">
        <v>1.04</v>
      </c>
      <c r="D985" s="731">
        <v>1739196</v>
      </c>
      <c r="E985" s="731">
        <v>348258</v>
      </c>
      <c r="F985" s="944">
        <v>8</v>
      </c>
      <c r="G985" s="629">
        <v>0</v>
      </c>
    </row>
    <row r="986" spans="1:11">
      <c r="A986" t="s">
        <v>1282</v>
      </c>
      <c r="B986" t="s">
        <v>1518</v>
      </c>
      <c r="C986" s="629">
        <v>1.04</v>
      </c>
      <c r="D986" s="731">
        <v>481953</v>
      </c>
      <c r="E986" s="731">
        <v>0</v>
      </c>
      <c r="F986" s="944">
        <v>12</v>
      </c>
      <c r="G986" s="629">
        <v>0</v>
      </c>
    </row>
    <row r="987" spans="1:11">
      <c r="A987" t="s">
        <v>9</v>
      </c>
      <c r="B987" t="s">
        <v>1519</v>
      </c>
      <c r="C987" s="629">
        <v>1.04</v>
      </c>
      <c r="D987" s="731">
        <v>8672727</v>
      </c>
      <c r="E987" s="731">
        <v>-66143</v>
      </c>
      <c r="F987" s="944">
        <v>12</v>
      </c>
      <c r="G987" s="629">
        <v>0</v>
      </c>
    </row>
    <row r="988" spans="1:11">
      <c r="A988" t="s">
        <v>10</v>
      </c>
      <c r="B988" t="s">
        <v>2165</v>
      </c>
      <c r="C988" s="629">
        <v>1.04</v>
      </c>
      <c r="D988" s="731">
        <v>227967</v>
      </c>
      <c r="E988" s="731">
        <v>17168</v>
      </c>
      <c r="F988" s="944">
        <v>12</v>
      </c>
      <c r="G988" s="629">
        <v>0</v>
      </c>
    </row>
    <row r="989" spans="1:11">
      <c r="A989" t="s">
        <v>1415</v>
      </c>
      <c r="B989" t="s">
        <v>2220</v>
      </c>
      <c r="C989" s="629">
        <v>1.04</v>
      </c>
      <c r="D989" s="731">
        <v>417033</v>
      </c>
      <c r="E989" s="731">
        <v>81224</v>
      </c>
      <c r="F989" s="944">
        <v>8</v>
      </c>
      <c r="G989" s="629">
        <v>0</v>
      </c>
    </row>
    <row r="990" spans="1:11">
      <c r="A990" t="s">
        <v>1975</v>
      </c>
      <c r="B990" t="s">
        <v>794</v>
      </c>
      <c r="C990" s="629">
        <v>1.04</v>
      </c>
      <c r="D990" s="731">
        <v>1772732</v>
      </c>
      <c r="E990" s="731">
        <v>126573</v>
      </c>
      <c r="F990" s="944">
        <v>12</v>
      </c>
      <c r="G990" s="629">
        <v>0</v>
      </c>
    </row>
    <row r="991" spans="1:11">
      <c r="A991" t="s">
        <v>403</v>
      </c>
      <c r="B991" t="s">
        <v>76</v>
      </c>
      <c r="C991" s="629">
        <v>1.04</v>
      </c>
      <c r="D991" s="731">
        <v>3519003</v>
      </c>
      <c r="E991" s="731">
        <v>355757</v>
      </c>
      <c r="F991" s="944">
        <v>12</v>
      </c>
      <c r="G991" s="629">
        <v>0</v>
      </c>
    </row>
    <row r="992" spans="1:11">
      <c r="A992" t="s">
        <v>264</v>
      </c>
      <c r="B992" t="s">
        <v>501</v>
      </c>
      <c r="C992" s="629">
        <v>1.04</v>
      </c>
      <c r="D992" s="731">
        <v>583079</v>
      </c>
      <c r="E992" s="731">
        <v>39184</v>
      </c>
      <c r="F992" s="944">
        <v>12</v>
      </c>
      <c r="G992" s="629">
        <v>0</v>
      </c>
    </row>
    <row r="993" spans="1:11">
      <c r="A993" t="s">
        <v>1262</v>
      </c>
      <c r="B993" t="s">
        <v>100</v>
      </c>
      <c r="C993" s="629">
        <v>1.04</v>
      </c>
      <c r="D993" s="731">
        <v>2358434</v>
      </c>
      <c r="E993" s="731">
        <v>430151</v>
      </c>
      <c r="F993" s="944">
        <v>12</v>
      </c>
      <c r="G993" s="629">
        <v>0</v>
      </c>
    </row>
    <row r="994" spans="1:11">
      <c r="A994" t="s">
        <v>2437</v>
      </c>
      <c r="B994" t="s">
        <v>2196</v>
      </c>
      <c r="C994" s="629">
        <v>1.04</v>
      </c>
      <c r="D994" s="731">
        <v>48293075</v>
      </c>
      <c r="E994" s="731">
        <v>10094926</v>
      </c>
      <c r="F994" s="944">
        <v>12</v>
      </c>
      <c r="G994" s="629">
        <v>0</v>
      </c>
      <c r="H994" s="646">
        <v>1747322</v>
      </c>
      <c r="I994" s="646">
        <v>14414703</v>
      </c>
      <c r="J994" s="646">
        <v>6090</v>
      </c>
      <c r="K994" s="646">
        <v>681532257</v>
      </c>
    </row>
    <row r="995" spans="1:11">
      <c r="A995" t="s">
        <v>1701</v>
      </c>
      <c r="B995" t="s">
        <v>963</v>
      </c>
      <c r="C995" s="629">
        <v>1.02</v>
      </c>
      <c r="D995" s="731">
        <v>975542</v>
      </c>
      <c r="E995" s="731">
        <v>57174</v>
      </c>
      <c r="F995" s="944">
        <v>12</v>
      </c>
      <c r="G995" s="629">
        <v>0</v>
      </c>
    </row>
    <row r="996" spans="1:11">
      <c r="A996" t="s">
        <v>38</v>
      </c>
      <c r="B996" t="s">
        <v>1194</v>
      </c>
      <c r="C996" s="629">
        <v>1.04</v>
      </c>
      <c r="D996" s="731">
        <v>12723260</v>
      </c>
      <c r="E996" s="731">
        <v>3360334</v>
      </c>
      <c r="F996" s="944">
        <v>12</v>
      </c>
      <c r="G996" s="629">
        <v>0</v>
      </c>
    </row>
    <row r="997" spans="1:11">
      <c r="A997" t="s">
        <v>11</v>
      </c>
      <c r="B997" t="s">
        <v>1520</v>
      </c>
      <c r="C997" s="629">
        <v>1.04</v>
      </c>
      <c r="D997" s="731">
        <v>5757834</v>
      </c>
      <c r="E997" s="731">
        <v>1165278</v>
      </c>
      <c r="F997" s="944">
        <v>12</v>
      </c>
      <c r="G997" s="629">
        <v>0</v>
      </c>
      <c r="H997" s="646">
        <v>156831</v>
      </c>
      <c r="I997" s="646">
        <v>1567371</v>
      </c>
      <c r="J997" s="629">
        <v>639</v>
      </c>
      <c r="K997" s="646">
        <v>32322518</v>
      </c>
    </row>
    <row r="998" spans="1:11">
      <c r="A998" t="s">
        <v>1674</v>
      </c>
      <c r="B998" t="s">
        <v>2328</v>
      </c>
      <c r="C998" s="629">
        <v>1.04</v>
      </c>
      <c r="D998" s="731">
        <v>9097362</v>
      </c>
      <c r="E998" s="731">
        <v>1886353</v>
      </c>
      <c r="F998" s="944">
        <v>12</v>
      </c>
      <c r="G998" s="629">
        <v>0</v>
      </c>
    </row>
    <row r="999" spans="1:11">
      <c r="A999" t="s">
        <v>1234</v>
      </c>
      <c r="B999" t="s">
        <v>574</v>
      </c>
      <c r="C999" s="629">
        <v>1.0169999999999999</v>
      </c>
      <c r="D999" s="731">
        <v>199998218</v>
      </c>
      <c r="E999" s="731">
        <v>49996234</v>
      </c>
      <c r="F999" s="944">
        <v>12</v>
      </c>
      <c r="G999" s="629">
        <v>0</v>
      </c>
      <c r="H999" s="646">
        <v>12992040</v>
      </c>
      <c r="I999" s="646">
        <v>57736183</v>
      </c>
      <c r="J999" s="646">
        <v>24421</v>
      </c>
      <c r="K999" s="646">
        <v>3097311693</v>
      </c>
    </row>
    <row r="1000" spans="1:11">
      <c r="A1000" t="s">
        <v>1455</v>
      </c>
      <c r="B1000" t="s">
        <v>565</v>
      </c>
      <c r="C1000" s="629">
        <v>1.04</v>
      </c>
      <c r="D1000" s="731">
        <v>8140063</v>
      </c>
      <c r="E1000" s="731">
        <v>1190412</v>
      </c>
      <c r="F1000" s="944">
        <v>12</v>
      </c>
      <c r="G1000" s="629">
        <v>0</v>
      </c>
    </row>
    <row r="1001" spans="1:11">
      <c r="A1001" t="s">
        <v>1426</v>
      </c>
      <c r="B1001" t="s">
        <v>567</v>
      </c>
      <c r="C1001" s="629">
        <v>1.04</v>
      </c>
      <c r="D1001" s="731">
        <v>1435019</v>
      </c>
      <c r="E1001" s="731">
        <v>158688</v>
      </c>
      <c r="F1001" s="944">
        <v>12</v>
      </c>
      <c r="G1001" s="629">
        <v>0</v>
      </c>
    </row>
    <row r="1002" spans="1:11">
      <c r="A1002" t="s">
        <v>1672</v>
      </c>
      <c r="B1002" t="s">
        <v>2326</v>
      </c>
      <c r="C1002" s="629">
        <v>1.0058</v>
      </c>
      <c r="D1002" s="731">
        <v>116690083</v>
      </c>
      <c r="E1002" s="731">
        <v>29184751</v>
      </c>
      <c r="F1002" s="944">
        <v>12</v>
      </c>
      <c r="G1002" s="629">
        <v>0</v>
      </c>
      <c r="H1002" s="646">
        <v>3269958</v>
      </c>
      <c r="I1002" s="646">
        <v>18082919</v>
      </c>
      <c r="J1002" s="646">
        <v>7448</v>
      </c>
      <c r="K1002" s="646">
        <v>1098941496</v>
      </c>
    </row>
    <row r="1003" spans="1:11">
      <c r="A1003" t="s">
        <v>12</v>
      </c>
      <c r="B1003" t="s">
        <v>1521</v>
      </c>
      <c r="C1003" s="629">
        <v>1.04</v>
      </c>
      <c r="D1003" s="731">
        <v>528142</v>
      </c>
      <c r="E1003" s="731">
        <v>0</v>
      </c>
      <c r="F1003" s="944">
        <v>8</v>
      </c>
      <c r="G1003" s="629">
        <v>0</v>
      </c>
      <c r="H1003" s="646">
        <v>149901</v>
      </c>
      <c r="I1003" s="646">
        <v>387037</v>
      </c>
      <c r="J1003" s="629">
        <v>210</v>
      </c>
      <c r="K1003" s="646">
        <v>18561485</v>
      </c>
    </row>
    <row r="1004" spans="1:11">
      <c r="A1004" t="s">
        <v>2316</v>
      </c>
      <c r="B1004" t="s">
        <v>101</v>
      </c>
      <c r="C1004" s="629">
        <v>1.04</v>
      </c>
      <c r="D1004" s="731">
        <v>8023628</v>
      </c>
      <c r="E1004" s="731">
        <v>948470</v>
      </c>
      <c r="F1004" s="944">
        <v>12</v>
      </c>
      <c r="G1004" s="629">
        <v>0</v>
      </c>
    </row>
    <row r="1005" spans="1:11">
      <c r="A1005" t="s">
        <v>57</v>
      </c>
      <c r="B1005" t="s">
        <v>1793</v>
      </c>
      <c r="C1005" s="629">
        <v>1.04</v>
      </c>
      <c r="D1005" s="731">
        <v>5899308</v>
      </c>
      <c r="E1005" s="731">
        <v>664782</v>
      </c>
      <c r="F1005" s="944">
        <v>12</v>
      </c>
      <c r="G1005" s="629">
        <v>0</v>
      </c>
    </row>
    <row r="1006" spans="1:11">
      <c r="A1006" t="s">
        <v>2317</v>
      </c>
      <c r="B1006" t="s">
        <v>951</v>
      </c>
      <c r="C1006" s="629">
        <v>1.0333000000000001</v>
      </c>
      <c r="D1006" s="731">
        <v>1407534</v>
      </c>
      <c r="E1006" s="731">
        <v>687</v>
      </c>
      <c r="F1006" s="944">
        <v>12</v>
      </c>
      <c r="G1006" s="629">
        <v>0</v>
      </c>
    </row>
    <row r="1007" spans="1:11">
      <c r="A1007" t="s">
        <v>1423</v>
      </c>
      <c r="B1007" t="s">
        <v>1834</v>
      </c>
      <c r="C1007" s="629">
        <v>1.0269999999999999</v>
      </c>
      <c r="D1007" s="731">
        <v>1440315</v>
      </c>
      <c r="E1007" s="731">
        <v>70537</v>
      </c>
      <c r="F1007" s="944">
        <v>12</v>
      </c>
      <c r="G1007" s="629">
        <v>0</v>
      </c>
    </row>
    <row r="1008" spans="1:11">
      <c r="A1008" t="s">
        <v>1104</v>
      </c>
      <c r="B1008" t="s">
        <v>1522</v>
      </c>
      <c r="C1008" s="629">
        <v>1.04</v>
      </c>
      <c r="D1008" s="731">
        <v>7181294</v>
      </c>
      <c r="E1008" s="731">
        <v>0</v>
      </c>
      <c r="F1008" s="944">
        <v>12</v>
      </c>
      <c r="G1008" s="629">
        <v>0</v>
      </c>
      <c r="H1008" s="646">
        <v>834758</v>
      </c>
      <c r="I1008" s="646">
        <v>5214972</v>
      </c>
      <c r="J1008" s="646">
        <v>2258</v>
      </c>
      <c r="K1008" s="646">
        <v>377516858</v>
      </c>
    </row>
    <row r="1009" spans="1:11">
      <c r="A1009" t="s">
        <v>1105</v>
      </c>
      <c r="B1009" t="s">
        <v>1523</v>
      </c>
      <c r="C1009" s="629">
        <v>1.04</v>
      </c>
      <c r="D1009" s="731">
        <v>13195744</v>
      </c>
      <c r="E1009" s="731">
        <v>0</v>
      </c>
      <c r="F1009" s="944">
        <v>12</v>
      </c>
      <c r="G1009" s="629">
        <v>0</v>
      </c>
      <c r="H1009" s="646">
        <v>2260386</v>
      </c>
      <c r="I1009" s="646">
        <v>1543119</v>
      </c>
      <c r="J1009" s="629">
        <v>583</v>
      </c>
      <c r="K1009" s="646">
        <v>445727302</v>
      </c>
    </row>
    <row r="1010" spans="1:11">
      <c r="A1010" t="s">
        <v>182</v>
      </c>
      <c r="B1010" t="s">
        <v>997</v>
      </c>
      <c r="C1010" s="629">
        <v>1.04</v>
      </c>
      <c r="D1010" s="731">
        <v>2275491</v>
      </c>
      <c r="E1010" s="731">
        <v>260850</v>
      </c>
      <c r="F1010" s="944">
        <v>12</v>
      </c>
      <c r="G1010" s="629">
        <v>0</v>
      </c>
    </row>
    <row r="1011" spans="1:11">
      <c r="A1011" t="s">
        <v>755</v>
      </c>
      <c r="B1011" t="s">
        <v>1524</v>
      </c>
      <c r="C1011" s="629">
        <v>1.04</v>
      </c>
      <c r="D1011" s="731">
        <v>6582522</v>
      </c>
      <c r="E1011" s="731">
        <v>410123</v>
      </c>
      <c r="F1011" s="944">
        <v>12</v>
      </c>
      <c r="G1011" s="629">
        <v>0</v>
      </c>
      <c r="H1011" s="646">
        <v>289666</v>
      </c>
      <c r="I1011" s="646">
        <v>3260385</v>
      </c>
      <c r="J1011" s="646">
        <v>1364</v>
      </c>
      <c r="K1011" s="646">
        <v>121284731</v>
      </c>
    </row>
    <row r="1012" spans="1:11">
      <c r="A1012" t="s">
        <v>2054</v>
      </c>
      <c r="B1012" t="s">
        <v>1525</v>
      </c>
      <c r="C1012" s="629">
        <v>1.04</v>
      </c>
      <c r="D1012" s="731">
        <v>12106877</v>
      </c>
      <c r="E1012" s="731">
        <v>1893774</v>
      </c>
      <c r="F1012" s="944">
        <v>12</v>
      </c>
      <c r="G1012" s="629">
        <v>0</v>
      </c>
      <c r="H1012" s="646">
        <v>537743</v>
      </c>
      <c r="I1012" s="646">
        <v>4739507</v>
      </c>
      <c r="J1012" s="646">
        <v>2016</v>
      </c>
      <c r="K1012" s="646">
        <v>307481396</v>
      </c>
    </row>
    <row r="1013" spans="1:11">
      <c r="A1013" t="s">
        <v>2286</v>
      </c>
      <c r="B1013" t="s">
        <v>1526</v>
      </c>
      <c r="C1013" s="629">
        <v>1.04</v>
      </c>
      <c r="D1013" s="731">
        <v>4877003</v>
      </c>
      <c r="E1013" s="731">
        <v>292320</v>
      </c>
      <c r="F1013" s="944">
        <v>12</v>
      </c>
      <c r="G1013" s="629">
        <v>0</v>
      </c>
      <c r="H1013" s="646">
        <v>202114</v>
      </c>
      <c r="I1013" s="646">
        <v>2042073</v>
      </c>
      <c r="J1013" s="629">
        <v>820</v>
      </c>
      <c r="K1013" s="646">
        <v>134229603</v>
      </c>
    </row>
    <row r="1014" spans="1:11">
      <c r="A1014" t="s">
        <v>2287</v>
      </c>
      <c r="B1014" t="s">
        <v>1527</v>
      </c>
      <c r="C1014" s="629">
        <v>1.03</v>
      </c>
      <c r="D1014" s="731">
        <v>18235377</v>
      </c>
      <c r="E1014" s="731">
        <v>3751518</v>
      </c>
      <c r="F1014" s="944">
        <v>12</v>
      </c>
      <c r="G1014" s="629">
        <v>0</v>
      </c>
      <c r="H1014" s="646">
        <v>1517971</v>
      </c>
      <c r="I1014" s="646">
        <v>4733647</v>
      </c>
      <c r="J1014" s="646">
        <v>1936</v>
      </c>
      <c r="K1014" s="646">
        <v>285097120</v>
      </c>
    </row>
    <row r="1015" spans="1:11">
      <c r="A1015" t="s">
        <v>1909</v>
      </c>
      <c r="B1015" t="s">
        <v>1289</v>
      </c>
      <c r="C1015" s="629">
        <v>1.04</v>
      </c>
      <c r="D1015" s="731">
        <v>2858819</v>
      </c>
      <c r="E1015" s="731">
        <v>437048</v>
      </c>
      <c r="F1015" s="944">
        <v>12</v>
      </c>
      <c r="G1015" s="629">
        <v>0</v>
      </c>
    </row>
    <row r="1016" spans="1:11">
      <c r="A1016" t="s">
        <v>1080</v>
      </c>
      <c r="B1016" t="s">
        <v>1820</v>
      </c>
      <c r="C1016" s="629">
        <v>1.01</v>
      </c>
      <c r="D1016" s="731">
        <v>1806451</v>
      </c>
      <c r="E1016" s="731">
        <v>212315</v>
      </c>
      <c r="F1016" s="944">
        <v>12</v>
      </c>
      <c r="G1016" s="629">
        <v>0</v>
      </c>
      <c r="H1016" s="646">
        <v>136632</v>
      </c>
      <c r="I1016" s="646">
        <v>859671</v>
      </c>
      <c r="J1016" s="629">
        <v>363</v>
      </c>
      <c r="K1016" s="646">
        <v>28732533</v>
      </c>
    </row>
    <row r="1017" spans="1:11">
      <c r="A1017" t="s">
        <v>2106</v>
      </c>
      <c r="B1017" t="s">
        <v>1528</v>
      </c>
      <c r="C1017" s="629">
        <v>0.98</v>
      </c>
      <c r="D1017" s="731">
        <v>6344035</v>
      </c>
      <c r="E1017" s="731">
        <v>1062306</v>
      </c>
      <c r="F1017" s="944">
        <v>12</v>
      </c>
      <c r="G1017" s="629">
        <v>0</v>
      </c>
      <c r="H1017" s="646">
        <v>1887192</v>
      </c>
      <c r="I1017" s="646">
        <v>2682840</v>
      </c>
      <c r="J1017" s="646">
        <v>1156</v>
      </c>
      <c r="K1017" s="646">
        <v>530818058</v>
      </c>
    </row>
    <row r="1018" spans="1:11">
      <c r="A1018" t="s">
        <v>2107</v>
      </c>
      <c r="B1018" t="s">
        <v>1529</v>
      </c>
      <c r="C1018" s="629">
        <v>1.17</v>
      </c>
      <c r="D1018" s="731">
        <v>4946410</v>
      </c>
      <c r="E1018" s="731">
        <v>0</v>
      </c>
      <c r="F1018" s="944">
        <v>12</v>
      </c>
      <c r="G1018" s="629">
        <v>0</v>
      </c>
    </row>
    <row r="1019" spans="1:11">
      <c r="A1019" t="s">
        <v>2432</v>
      </c>
      <c r="B1019" t="s">
        <v>22</v>
      </c>
      <c r="C1019" s="629">
        <v>1.04</v>
      </c>
      <c r="D1019" s="731">
        <v>4156508</v>
      </c>
      <c r="E1019" s="731">
        <v>321391</v>
      </c>
      <c r="F1019" s="944">
        <v>12</v>
      </c>
      <c r="G1019" s="629">
        <v>0</v>
      </c>
    </row>
    <row r="1020" spans="1:11">
      <c r="A1020" t="s">
        <v>2433</v>
      </c>
      <c r="B1020" t="s">
        <v>1294</v>
      </c>
      <c r="C1020" s="629">
        <v>1.04</v>
      </c>
      <c r="D1020" s="731">
        <v>2476899</v>
      </c>
      <c r="E1020" s="731">
        <v>273260</v>
      </c>
      <c r="F1020" s="944">
        <v>12</v>
      </c>
      <c r="G1020" s="629">
        <v>0</v>
      </c>
      <c r="H1020" s="646">
        <v>192482</v>
      </c>
      <c r="I1020" s="646">
        <v>1147645</v>
      </c>
      <c r="J1020" s="629">
        <v>479</v>
      </c>
      <c r="K1020" s="646">
        <v>75418096</v>
      </c>
    </row>
    <row r="1021" spans="1:11">
      <c r="A1021" t="s">
        <v>598</v>
      </c>
      <c r="B1021" t="s">
        <v>1295</v>
      </c>
      <c r="C1021" s="629">
        <v>1.04</v>
      </c>
      <c r="D1021" s="731">
        <v>2323229</v>
      </c>
      <c r="E1021" s="731">
        <v>160364</v>
      </c>
      <c r="F1021" s="944">
        <v>12</v>
      </c>
      <c r="G1021" s="629">
        <v>0</v>
      </c>
    </row>
    <row r="1022" spans="1:11">
      <c r="A1022" t="s">
        <v>638</v>
      </c>
      <c r="B1022" t="s">
        <v>1296</v>
      </c>
      <c r="C1022" s="629">
        <v>1.04</v>
      </c>
      <c r="D1022" s="731">
        <v>4179588</v>
      </c>
      <c r="E1022" s="731">
        <v>204</v>
      </c>
      <c r="F1022" s="944">
        <v>12</v>
      </c>
      <c r="G1022" s="629">
        <v>0</v>
      </c>
    </row>
    <row r="1023" spans="1:11">
      <c r="A1023" t="s">
        <v>639</v>
      </c>
      <c r="B1023" t="s">
        <v>1297</v>
      </c>
      <c r="C1023" s="629">
        <v>1.04</v>
      </c>
      <c r="D1023" s="731">
        <v>27403566</v>
      </c>
      <c r="E1023" s="731">
        <v>1799135</v>
      </c>
      <c r="F1023" s="944">
        <v>12</v>
      </c>
      <c r="G1023" s="629">
        <v>0</v>
      </c>
      <c r="H1023" s="646">
        <v>5151413</v>
      </c>
      <c r="I1023" s="646">
        <v>5362796</v>
      </c>
      <c r="J1023" s="646">
        <v>2031</v>
      </c>
      <c r="K1023" s="646">
        <v>2012148981</v>
      </c>
    </row>
    <row r="1024" spans="1:11">
      <c r="A1024" t="s">
        <v>1385</v>
      </c>
      <c r="B1024" t="s">
        <v>1298</v>
      </c>
      <c r="C1024" s="629">
        <v>0.9909</v>
      </c>
      <c r="D1024" s="731">
        <v>8138506</v>
      </c>
      <c r="E1024" s="731">
        <v>0</v>
      </c>
      <c r="F1024" s="944">
        <v>12</v>
      </c>
      <c r="G1024" s="629">
        <v>0</v>
      </c>
      <c r="H1024" s="646">
        <v>1660252</v>
      </c>
      <c r="I1024" s="646">
        <v>2253690</v>
      </c>
      <c r="J1024" s="629">
        <v>963</v>
      </c>
      <c r="K1024" s="646">
        <v>791629153</v>
      </c>
    </row>
    <row r="1025" spans="1:11">
      <c r="A1025" t="s">
        <v>860</v>
      </c>
      <c r="B1025" t="s">
        <v>815</v>
      </c>
      <c r="C1025" s="629">
        <v>1.0314000000000001</v>
      </c>
      <c r="D1025" s="731">
        <v>6251922</v>
      </c>
      <c r="E1025" s="731">
        <v>367641</v>
      </c>
      <c r="F1025" s="944">
        <v>12</v>
      </c>
      <c r="G1025" s="629">
        <v>0</v>
      </c>
    </row>
    <row r="1026" spans="1:11">
      <c r="A1026" t="s">
        <v>1386</v>
      </c>
      <c r="B1026" t="s">
        <v>1299</v>
      </c>
      <c r="C1026" s="629">
        <v>1.17</v>
      </c>
      <c r="D1026" s="731">
        <v>516501</v>
      </c>
      <c r="E1026" s="731">
        <v>0</v>
      </c>
      <c r="F1026" s="944">
        <v>12</v>
      </c>
      <c r="G1026" s="629">
        <v>0</v>
      </c>
    </row>
    <row r="1027" spans="1:11">
      <c r="A1027" t="s">
        <v>1416</v>
      </c>
      <c r="B1027" t="s">
        <v>779</v>
      </c>
      <c r="C1027" s="629">
        <v>1.17</v>
      </c>
      <c r="D1027" s="731">
        <v>1920430</v>
      </c>
      <c r="E1027" s="731">
        <v>306023</v>
      </c>
      <c r="F1027" s="944">
        <v>12</v>
      </c>
      <c r="G1027" s="629">
        <v>0</v>
      </c>
    </row>
    <row r="1028" spans="1:11">
      <c r="A1028" t="s">
        <v>485</v>
      </c>
      <c r="B1028" t="s">
        <v>1300</v>
      </c>
      <c r="C1028" s="629">
        <v>1.04</v>
      </c>
      <c r="D1028" s="731">
        <v>33434451</v>
      </c>
      <c r="E1028" s="731">
        <v>3583990</v>
      </c>
      <c r="F1028" s="944">
        <v>12</v>
      </c>
      <c r="G1028" s="629">
        <v>0</v>
      </c>
      <c r="H1028" s="646">
        <v>3510178</v>
      </c>
      <c r="I1028" s="646">
        <v>8244404</v>
      </c>
      <c r="J1028" s="646">
        <v>3414</v>
      </c>
      <c r="K1028" s="646">
        <v>850632146</v>
      </c>
    </row>
    <row r="1029" spans="1:11">
      <c r="A1029" t="s">
        <v>2268</v>
      </c>
      <c r="B1029" t="s">
        <v>398</v>
      </c>
      <c r="C1029" s="629">
        <v>1.17</v>
      </c>
      <c r="D1029" s="731">
        <v>2750305</v>
      </c>
      <c r="E1029" s="731">
        <v>327429</v>
      </c>
      <c r="F1029" s="944">
        <v>12</v>
      </c>
      <c r="G1029" s="629">
        <v>0</v>
      </c>
    </row>
    <row r="1030" spans="1:11">
      <c r="A1030" t="s">
        <v>1594</v>
      </c>
      <c r="B1030" t="s">
        <v>1791</v>
      </c>
      <c r="C1030" s="629">
        <v>1.17</v>
      </c>
      <c r="D1030" s="731">
        <v>467764</v>
      </c>
      <c r="E1030" s="731">
        <v>39508</v>
      </c>
      <c r="F1030" s="944">
        <v>12</v>
      </c>
      <c r="G1030" s="629">
        <v>0</v>
      </c>
    </row>
  </sheetData>
  <phoneticPr fontId="24" type="noConversion"/>
  <pageMargins left="0.75" right="0.75" top="1" bottom="1" header="0.5" footer="0.5"/>
  <pageSetup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FFFF00"/>
  </sheetPr>
  <dimension ref="A1:E30"/>
  <sheetViews>
    <sheetView workbookViewId="0">
      <selection activeCell="E1" sqref="E1"/>
    </sheetView>
  </sheetViews>
  <sheetFormatPr defaultColWidth="8.7265625" defaultRowHeight="12.5"/>
  <cols>
    <col min="1" max="1" width="5.453125" style="2042" customWidth="1"/>
    <col min="2" max="2" width="61.81640625" style="2042" customWidth="1"/>
    <col min="3" max="3" width="19.54296875" style="2042" customWidth="1"/>
    <col min="4" max="4" width="3.81640625" style="2042" customWidth="1"/>
    <col min="5" max="5" width="26.7265625" style="2042" customWidth="1"/>
    <col min="6" max="16384" width="8.7265625" style="2042"/>
  </cols>
  <sheetData>
    <row r="1" spans="1:5" ht="13">
      <c r="A1" s="245" t="s">
        <v>2796</v>
      </c>
      <c r="E1" s="1784" t="str">
        <f>'FSF2324-HB3'!E1</f>
        <v>Release 2</v>
      </c>
    </row>
    <row r="2" spans="1:5" ht="13">
      <c r="A2" s="245" t="s">
        <v>2797</v>
      </c>
      <c r="E2" s="1805">
        <f>'FSF2324-HB3'!E2</f>
        <v>44930</v>
      </c>
    </row>
    <row r="3" spans="1:5" ht="13">
      <c r="A3" s="52"/>
      <c r="E3" s="47"/>
    </row>
    <row r="4" spans="1:5" ht="15.5">
      <c r="A4" s="246" t="s">
        <v>9197</v>
      </c>
    </row>
    <row r="5" spans="1:5" ht="15.5">
      <c r="A5" s="248" t="str">
        <f>'Data Entry - SOF'!B1</f>
        <v xml:space="preserve"> </v>
      </c>
    </row>
    <row r="6" spans="1:5" ht="15.5">
      <c r="A6" s="246">
        <f>'Data Entry - SOF'!B2</f>
        <v>0</v>
      </c>
    </row>
    <row r="8" spans="1:5" ht="18">
      <c r="A8" s="1806" t="s">
        <v>2799</v>
      </c>
      <c r="B8" s="1807"/>
      <c r="C8" s="1794" t="s">
        <v>1967</v>
      </c>
      <c r="D8" s="1808"/>
      <c r="E8" s="1804" t="s">
        <v>2801</v>
      </c>
    </row>
    <row r="9" spans="1:5" ht="18">
      <c r="A9" s="1809" t="s">
        <v>2798</v>
      </c>
      <c r="B9" s="1810"/>
      <c r="C9" s="1796" t="s">
        <v>2800</v>
      </c>
      <c r="D9" s="1811"/>
      <c r="E9" s="1776" t="s">
        <v>2802</v>
      </c>
    </row>
    <row r="10" spans="1:5" ht="15.5">
      <c r="A10" s="1780" t="s">
        <v>2807</v>
      </c>
      <c r="B10" s="1762"/>
      <c r="C10" s="1762"/>
      <c r="D10" s="1762"/>
      <c r="E10" s="1812"/>
    </row>
    <row r="11" spans="1:5" ht="15.5">
      <c r="A11" s="250" t="s">
        <v>2063</v>
      </c>
      <c r="B11" s="251" t="s">
        <v>2803</v>
      </c>
      <c r="C11" s="253">
        <f>'Data Entry - SOF'!K108</f>
        <v>0</v>
      </c>
      <c r="D11" s="251"/>
      <c r="E11" s="253" t="e">
        <f>'Report-SOF2526-SB1'!D65</f>
        <v>#DIV/0!</v>
      </c>
    </row>
    <row r="12" spans="1:5" ht="15.5">
      <c r="A12" s="250" t="s">
        <v>2064</v>
      </c>
      <c r="B12" s="251" t="s">
        <v>2804</v>
      </c>
      <c r="C12" s="253">
        <f>'Data Entry - SOF'!K109</f>
        <v>0</v>
      </c>
      <c r="D12" s="251"/>
      <c r="E12" s="253">
        <f>C12</f>
        <v>0</v>
      </c>
    </row>
    <row r="13" spans="1:5" ht="15.5">
      <c r="A13" s="250" t="s">
        <v>2065</v>
      </c>
      <c r="B13" s="251" t="s">
        <v>2805</v>
      </c>
      <c r="C13" s="253">
        <f>C11+C12</f>
        <v>0</v>
      </c>
      <c r="D13" s="251"/>
      <c r="E13" s="253" t="e">
        <f>E11+E12</f>
        <v>#DIV/0!</v>
      </c>
    </row>
    <row r="14" spans="1:5" ht="15.5">
      <c r="A14" s="2040"/>
      <c r="B14" s="2040"/>
      <c r="C14" s="2040"/>
      <c r="D14" s="2040"/>
      <c r="E14" s="369"/>
    </row>
    <row r="15" spans="1:5" ht="18">
      <c r="A15" s="2040"/>
      <c r="B15" s="1761" t="s">
        <v>2808</v>
      </c>
      <c r="C15" s="1781"/>
      <c r="D15" s="1781"/>
      <c r="E15" s="1813" t="e">
        <f>E13-C13</f>
        <v>#DIV/0!</v>
      </c>
    </row>
    <row r="16" spans="1:5" ht="15.5">
      <c r="A16" s="2040"/>
      <c r="C16" s="320" t="s">
        <v>2708</v>
      </c>
      <c r="D16" s="2040"/>
      <c r="E16" s="635" t="s">
        <v>10474</v>
      </c>
    </row>
    <row r="17" spans="1:5" ht="15.5">
      <c r="A17" s="2040"/>
      <c r="C17" s="320"/>
      <c r="D17" s="2040"/>
      <c r="E17" s="2040"/>
    </row>
    <row r="18" spans="1:5" ht="15.5">
      <c r="A18" s="2040"/>
      <c r="B18" s="2040"/>
      <c r="C18" s="2040"/>
      <c r="D18" s="2040"/>
      <c r="E18" s="2040"/>
    </row>
    <row r="19" spans="1:5" ht="15.5">
      <c r="A19" s="2040"/>
      <c r="B19" s="2039" t="s">
        <v>2806</v>
      </c>
      <c r="C19" s="2040"/>
      <c r="D19" s="2040"/>
    </row>
    <row r="20" spans="1:5" ht="15.5">
      <c r="A20" s="2040"/>
      <c r="B20" s="2039" t="s">
        <v>2811</v>
      </c>
      <c r="C20" s="2040"/>
      <c r="D20" s="2040"/>
    </row>
    <row r="21" spans="1:5" ht="15.5">
      <c r="A21" s="2040"/>
      <c r="B21" s="2039" t="s">
        <v>2812</v>
      </c>
      <c r="C21" s="2040"/>
      <c r="D21" s="2040"/>
    </row>
    <row r="22" spans="1:5" ht="15.5">
      <c r="A22" s="2040"/>
      <c r="B22" s="2039" t="s">
        <v>2813</v>
      </c>
    </row>
    <row r="23" spans="1:5" ht="15.5">
      <c r="A23" s="2040"/>
      <c r="B23" s="2039"/>
    </row>
    <row r="24" spans="1:5" ht="15.5">
      <c r="A24" s="2040"/>
      <c r="B24" s="2039" t="s">
        <v>2809</v>
      </c>
    </row>
    <row r="25" spans="1:5" ht="15.5">
      <c r="A25" s="2040"/>
      <c r="B25" s="2039" t="s">
        <v>2810</v>
      </c>
    </row>
    <row r="26" spans="1:5" ht="15.5">
      <c r="A26" s="2040"/>
    </row>
    <row r="27" spans="1:5" ht="15.5">
      <c r="A27" s="2040"/>
    </row>
    <row r="28" spans="1:5" ht="15.5">
      <c r="A28" s="2040"/>
    </row>
    <row r="29" spans="1:5" ht="15.5">
      <c r="A29" s="2040"/>
    </row>
    <row r="30" spans="1:5" ht="15.5">
      <c r="A30" s="2040"/>
    </row>
  </sheetData>
  <hyperlinks>
    <hyperlink ref="E16" location="'Report-SOF2526-SB1'!A1" display="'Report-SOF2526-SB1'!A1" xr:uid="{00000000-0004-0000-6E00-000000000000}"/>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FF00"/>
  </sheetPr>
  <dimension ref="A1:E30"/>
  <sheetViews>
    <sheetView workbookViewId="0">
      <selection activeCell="E16" sqref="E16"/>
    </sheetView>
  </sheetViews>
  <sheetFormatPr defaultColWidth="8.7265625" defaultRowHeight="12.5"/>
  <cols>
    <col min="1" max="1" width="5.453125" style="2042" customWidth="1"/>
    <col min="2" max="2" width="61.81640625" style="2042" customWidth="1"/>
    <col min="3" max="3" width="19.54296875" style="2042" customWidth="1"/>
    <col min="4" max="4" width="3.81640625" style="2042" customWidth="1"/>
    <col min="5" max="5" width="26.7265625" style="2042" customWidth="1"/>
    <col min="6" max="16384" width="8.7265625" style="2042"/>
  </cols>
  <sheetData>
    <row r="1" spans="1:5" ht="13">
      <c r="A1" s="245" t="s">
        <v>2796</v>
      </c>
      <c r="E1" s="1784" t="str">
        <f>'FSF2324-HB3'!E1</f>
        <v>Release 2</v>
      </c>
    </row>
    <row r="2" spans="1:5" ht="13">
      <c r="A2" s="245" t="s">
        <v>2797</v>
      </c>
      <c r="E2" s="1805">
        <f>'FSF2324-HB3'!E2</f>
        <v>44930</v>
      </c>
    </row>
    <row r="3" spans="1:5" ht="13">
      <c r="A3" s="52"/>
      <c r="E3" s="47"/>
    </row>
    <row r="4" spans="1:5" ht="15.5">
      <c r="A4" s="246" t="s">
        <v>11111</v>
      </c>
    </row>
    <row r="5" spans="1:5" ht="15.5">
      <c r="A5" s="248" t="str">
        <f>'Data Entry - SOF'!B1</f>
        <v xml:space="preserve"> </v>
      </c>
    </row>
    <row r="6" spans="1:5" ht="15.5">
      <c r="A6" s="246">
        <f>'Data Entry - SOF'!B2</f>
        <v>0</v>
      </c>
    </row>
    <row r="8" spans="1:5" ht="18">
      <c r="A8" s="1806" t="s">
        <v>2799</v>
      </c>
      <c r="B8" s="1807"/>
      <c r="C8" s="1794" t="s">
        <v>1967</v>
      </c>
      <c r="D8" s="1808"/>
      <c r="E8" s="1804" t="s">
        <v>2801</v>
      </c>
    </row>
    <row r="9" spans="1:5" ht="18">
      <c r="A9" s="1809" t="s">
        <v>2798</v>
      </c>
      <c r="B9" s="1810"/>
      <c r="C9" s="1796" t="s">
        <v>2800</v>
      </c>
      <c r="D9" s="1811"/>
      <c r="E9" s="1776" t="s">
        <v>2802</v>
      </c>
    </row>
    <row r="10" spans="1:5" ht="15.5">
      <c r="A10" s="1780" t="s">
        <v>2807</v>
      </c>
      <c r="B10" s="1762"/>
      <c r="C10" s="1762"/>
      <c r="D10" s="1762"/>
      <c r="E10" s="1812"/>
    </row>
    <row r="11" spans="1:5" ht="15.5">
      <c r="A11" s="250" t="s">
        <v>2063</v>
      </c>
      <c r="B11" s="251" t="s">
        <v>2803</v>
      </c>
      <c r="C11" s="253">
        <f>'Data Entry - SOF'!M108</f>
        <v>0</v>
      </c>
      <c r="D11" s="251"/>
      <c r="E11" s="253" t="e">
        <f>'Report-SOF2627-SB1'!D65</f>
        <v>#DIV/0!</v>
      </c>
    </row>
    <row r="12" spans="1:5" ht="15.5">
      <c r="A12" s="250" t="s">
        <v>2064</v>
      </c>
      <c r="B12" s="251" t="s">
        <v>2804</v>
      </c>
      <c r="C12" s="253">
        <f>'Data Entry - SOF'!M109</f>
        <v>0</v>
      </c>
      <c r="D12" s="251"/>
      <c r="E12" s="253">
        <f>C12</f>
        <v>0</v>
      </c>
    </row>
    <row r="13" spans="1:5" ht="15.5">
      <c r="A13" s="250" t="s">
        <v>2065</v>
      </c>
      <c r="B13" s="251" t="s">
        <v>2805</v>
      </c>
      <c r="C13" s="253">
        <f>C11+C12</f>
        <v>0</v>
      </c>
      <c r="D13" s="251"/>
      <c r="E13" s="253" t="e">
        <f>E11+E12</f>
        <v>#DIV/0!</v>
      </c>
    </row>
    <row r="14" spans="1:5" ht="15.5">
      <c r="A14" s="2040"/>
      <c r="B14" s="2040"/>
      <c r="C14" s="2040"/>
      <c r="D14" s="2040"/>
      <c r="E14" s="369"/>
    </row>
    <row r="15" spans="1:5" ht="18">
      <c r="A15" s="2040"/>
      <c r="B15" s="1761" t="s">
        <v>2808</v>
      </c>
      <c r="C15" s="1781"/>
      <c r="D15" s="1781"/>
      <c r="E15" s="1813" t="e">
        <f>E13-C13</f>
        <v>#DIV/0!</v>
      </c>
    </row>
    <row r="16" spans="1:5" ht="15.5">
      <c r="A16" s="2040"/>
      <c r="C16" s="320" t="s">
        <v>2708</v>
      </c>
      <c r="D16" s="2040"/>
      <c r="E16" s="635" t="s">
        <v>11085</v>
      </c>
    </row>
    <row r="17" spans="1:5" ht="15.5">
      <c r="A17" s="2040"/>
      <c r="C17" s="320"/>
      <c r="D17" s="2040"/>
      <c r="E17" s="2040"/>
    </row>
    <row r="18" spans="1:5" ht="15.5">
      <c r="A18" s="2040"/>
      <c r="B18" s="2040"/>
      <c r="C18" s="2040"/>
      <c r="D18" s="2040"/>
      <c r="E18" s="2040"/>
    </row>
    <row r="19" spans="1:5" ht="15.5">
      <c r="A19" s="2040"/>
      <c r="B19" s="2039" t="s">
        <v>2806</v>
      </c>
      <c r="C19" s="2040"/>
      <c r="D19" s="2040"/>
    </row>
    <row r="20" spans="1:5" ht="15.5">
      <c r="A20" s="2040"/>
      <c r="B20" s="2039" t="s">
        <v>2811</v>
      </c>
      <c r="C20" s="2040"/>
      <c r="D20" s="2040"/>
    </row>
    <row r="21" spans="1:5" ht="15.5">
      <c r="A21" s="2040"/>
      <c r="B21" s="2039" t="s">
        <v>2812</v>
      </c>
      <c r="C21" s="2040"/>
      <c r="D21" s="2040"/>
    </row>
    <row r="22" spans="1:5" ht="15.5">
      <c r="A22" s="2040"/>
      <c r="B22" s="2039" t="s">
        <v>2813</v>
      </c>
    </row>
    <row r="23" spans="1:5" ht="15.5">
      <c r="A23" s="2040"/>
      <c r="B23" s="2039"/>
    </row>
    <row r="24" spans="1:5" ht="15.5">
      <c r="A24" s="2040"/>
      <c r="B24" s="2039" t="s">
        <v>2809</v>
      </c>
    </row>
    <row r="25" spans="1:5" ht="15.5">
      <c r="A25" s="2040"/>
      <c r="B25" s="2039" t="s">
        <v>2810</v>
      </c>
    </row>
    <row r="26" spans="1:5" ht="15.5">
      <c r="A26" s="2040"/>
    </row>
    <row r="27" spans="1:5" ht="15.5">
      <c r="A27" s="2040"/>
    </row>
    <row r="28" spans="1:5" ht="15.5">
      <c r="A28" s="2040"/>
    </row>
    <row r="29" spans="1:5" ht="15.5">
      <c r="A29" s="2040"/>
    </row>
    <row r="30" spans="1:5" ht="15.5">
      <c r="A30" s="2040"/>
    </row>
  </sheetData>
  <hyperlinks>
    <hyperlink ref="E16" location="'Report-SOF2627-SB1'!A1" display="'Report-SOF2627-SB1'!A1" xr:uid="{00000000-0004-0000-6F00-000000000000}"/>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93"/>
  <sheetViews>
    <sheetView workbookViewId="0">
      <selection activeCell="D1" sqref="D1"/>
    </sheetView>
  </sheetViews>
  <sheetFormatPr defaultRowHeight="12.5"/>
  <cols>
    <col min="3" max="3" width="14.453125" customWidth="1"/>
    <col min="4" max="4" width="15.54296875" customWidth="1"/>
  </cols>
  <sheetData>
    <row r="1" spans="1:4" ht="14.5">
      <c r="A1" s="380" t="e">
        <f>CONCATENATE(LEFT(RIGHT(CONCATENATE("000",#REF!),6),3),"-",(RIGHT(RIGHT(CONCATENATE("000",#REF!),6),3)))</f>
        <v>#REF!</v>
      </c>
      <c r="B1" s="380" t="e">
        <f>CONCATENATE(LEFT(RIGHT(CONCATENATE("000",#REF!),6),3),"-",(RIGHT(RIGHT(CONCATENATE("000",#REF!),6),3)))</f>
        <v>#REF!</v>
      </c>
      <c r="C1" s="380">
        <v>240901</v>
      </c>
      <c r="D1" s="380" t="e">
        <f ca="1">_xludf.CONCAT(LEFT(RIGHT(_xludf.CONCAT("000",C1),6),3),"-",(RIGHT(RIGHT(_xludf.CONCAT("000",C1),6),3)))</f>
        <v>#NAME?</v>
      </c>
    </row>
    <row r="2" spans="1:4" ht="14.5">
      <c r="A2" s="380" t="e">
        <f>CONCATENATE(LEFT(RIGHT(CONCATENATE("000",#REF!),6),3),"-",(RIGHT(RIGHT(CONCATENATE("000",#REF!),6),3)))</f>
        <v>#REF!</v>
      </c>
      <c r="B2" s="380" t="e">
        <f>CONCATENATE(LEFT(RIGHT(CONCATENATE("000",#REF!),6),3),"-",(RIGHT(RIGHT(CONCATENATE("000",#REF!),6),3)))</f>
        <v>#REF!</v>
      </c>
    </row>
    <row r="3" spans="1:4" ht="14.5">
      <c r="A3" s="380" t="e">
        <f>CONCATENATE(LEFT(RIGHT(CONCATENATE("000",#REF!),6),3),"-",(RIGHT(RIGHT(CONCATENATE("000",#REF!),6),3)))</f>
        <v>#REF!</v>
      </c>
      <c r="B3" s="380" t="e">
        <f>CONCATENATE(LEFT(RIGHT(CONCATENATE("000",#REF!),6),3),"-",(RIGHT(RIGHT(CONCATENATE("000",#REF!),6),3)))</f>
        <v>#REF!</v>
      </c>
    </row>
    <row r="4" spans="1:4" ht="14.5">
      <c r="A4" s="380" t="e">
        <f>CONCATENATE(LEFT(RIGHT(CONCATENATE("000",#REF!),6),3),"-",(RIGHT(RIGHT(CONCATENATE("000",#REF!),6),3)))</f>
        <v>#REF!</v>
      </c>
      <c r="B4" s="380" t="e">
        <f>CONCATENATE(LEFT(RIGHT(CONCATENATE("000",#REF!),6),3),"-",(RIGHT(RIGHT(CONCATENATE("000",#REF!),6),3)))</f>
        <v>#REF!</v>
      </c>
    </row>
    <row r="5" spans="1:4" ht="14.5">
      <c r="A5" s="380" t="e">
        <f>CONCATENATE(LEFT(RIGHT(CONCATENATE("000",#REF!),6),3),"-",(RIGHT(RIGHT(CONCATENATE("000",#REF!),6),3)))</f>
        <v>#REF!</v>
      </c>
      <c r="B5" s="380" t="e">
        <f>CONCATENATE(LEFT(RIGHT(CONCATENATE("000",#REF!),6),3),"-",(RIGHT(RIGHT(CONCATENATE("000",#REF!),6),3)))</f>
        <v>#REF!</v>
      </c>
    </row>
    <row r="6" spans="1:4" ht="14.5">
      <c r="A6" s="380" t="e">
        <f>CONCATENATE(LEFT(RIGHT(CONCATENATE("000",#REF!),6),3),"-",(RIGHT(RIGHT(CONCATENATE("000",#REF!),6),3)))</f>
        <v>#REF!</v>
      </c>
      <c r="B6" s="380" t="e">
        <f>CONCATENATE(LEFT(RIGHT(CONCATENATE("000",#REF!),6),3),"-",(RIGHT(RIGHT(CONCATENATE("000",#REF!),6),3)))</f>
        <v>#REF!</v>
      </c>
    </row>
    <row r="7" spans="1:4" ht="14.5">
      <c r="A7" s="380" t="e">
        <f>CONCATENATE(LEFT(RIGHT(CONCATENATE("000",#REF!),6),3),"-",(RIGHT(RIGHT(CONCATENATE("000",#REF!),6),3)))</f>
        <v>#REF!</v>
      </c>
      <c r="B7" s="380" t="e">
        <f>CONCATENATE(LEFT(RIGHT(CONCATENATE("000",#REF!),6),3),"-",(RIGHT(RIGHT(CONCATENATE("000",#REF!),6),3)))</f>
        <v>#REF!</v>
      </c>
    </row>
    <row r="8" spans="1:4" ht="14.5">
      <c r="A8" s="380" t="e">
        <f>CONCATENATE(LEFT(RIGHT(CONCATENATE("000",#REF!),6),3),"-",(RIGHT(RIGHT(CONCATENATE("000",#REF!),6),3)))</f>
        <v>#REF!</v>
      </c>
      <c r="B8" s="380" t="e">
        <f>CONCATENATE(LEFT(RIGHT(CONCATENATE("000",#REF!),6),3),"-",(RIGHT(RIGHT(CONCATENATE("000",#REF!),6),3)))</f>
        <v>#REF!</v>
      </c>
    </row>
    <row r="9" spans="1:4" ht="14.5">
      <c r="A9" s="380" t="e">
        <f>CONCATENATE(LEFT(RIGHT(CONCATENATE("000",#REF!),6),3),"-",(RIGHT(RIGHT(CONCATENATE("000",#REF!),6),3)))</f>
        <v>#REF!</v>
      </c>
      <c r="B9" s="380" t="e">
        <f>CONCATENATE(LEFT(RIGHT(CONCATENATE("000",#REF!),6),3),"-",(RIGHT(RIGHT(CONCATENATE("000",#REF!),6),3)))</f>
        <v>#REF!</v>
      </c>
    </row>
    <row r="10" spans="1:4" ht="14.5">
      <c r="A10" s="380" t="e">
        <f>CONCATENATE(LEFT(RIGHT(CONCATENATE("000",#REF!),6),3),"-",(RIGHT(RIGHT(CONCATENATE("000",#REF!),6),3)))</f>
        <v>#REF!</v>
      </c>
      <c r="B10" s="380" t="e">
        <f>CONCATENATE(LEFT(RIGHT(CONCATENATE("000",#REF!),6),3),"-",(RIGHT(RIGHT(CONCATENATE("000",#REF!),6),3)))</f>
        <v>#REF!</v>
      </c>
    </row>
    <row r="11" spans="1:4" ht="14.5">
      <c r="A11" s="380" t="e">
        <f>CONCATENATE(LEFT(RIGHT(CONCATENATE("000",#REF!),6),3),"-",(RIGHT(RIGHT(CONCATENATE("000",#REF!),6),3)))</f>
        <v>#REF!</v>
      </c>
      <c r="B11" s="380" t="e">
        <f>CONCATENATE(LEFT(RIGHT(CONCATENATE("000",#REF!),6),3),"-",(RIGHT(RIGHT(CONCATENATE("000",#REF!),6),3)))</f>
        <v>#REF!</v>
      </c>
    </row>
    <row r="12" spans="1:4" ht="14.5">
      <c r="A12" s="380" t="e">
        <f>CONCATENATE(LEFT(RIGHT(CONCATENATE("000",#REF!),6),3),"-",(RIGHT(RIGHT(CONCATENATE("000",#REF!),6),3)))</f>
        <v>#REF!</v>
      </c>
      <c r="B12" s="380" t="e">
        <f>CONCATENATE(LEFT(RIGHT(CONCATENATE("000",#REF!),6),3),"-",(RIGHT(RIGHT(CONCATENATE("000",#REF!),6),3)))</f>
        <v>#REF!</v>
      </c>
    </row>
    <row r="13" spans="1:4" ht="14.5">
      <c r="A13" s="380" t="e">
        <f>CONCATENATE(LEFT(RIGHT(CONCATENATE("000",#REF!),6),3),"-",(RIGHT(RIGHT(CONCATENATE("000",#REF!),6),3)))</f>
        <v>#REF!</v>
      </c>
      <c r="B13" s="380" t="e">
        <f>CONCATENATE(LEFT(RIGHT(CONCATENATE("000",#REF!),6),3),"-",(RIGHT(RIGHT(CONCATENATE("000",#REF!),6),3)))</f>
        <v>#REF!</v>
      </c>
    </row>
    <row r="14" spans="1:4" ht="14.5">
      <c r="A14" s="380" t="e">
        <f>CONCATENATE(LEFT(RIGHT(CONCATENATE("000",#REF!),6),3),"-",(RIGHT(RIGHT(CONCATENATE("000",#REF!),6),3)))</f>
        <v>#REF!</v>
      </c>
      <c r="B14" s="380" t="e">
        <f>CONCATENATE(LEFT(RIGHT(CONCATENATE("000",#REF!),6),3),"-",(RIGHT(RIGHT(CONCATENATE("000",#REF!),6),3)))</f>
        <v>#REF!</v>
      </c>
    </row>
    <row r="15" spans="1:4" ht="14.5">
      <c r="A15" s="380" t="e">
        <f>CONCATENATE(LEFT(RIGHT(CONCATENATE("000",#REF!),6),3),"-",(RIGHT(RIGHT(CONCATENATE("000",#REF!),6),3)))</f>
        <v>#REF!</v>
      </c>
      <c r="B15" s="380" t="e">
        <f>CONCATENATE(LEFT(RIGHT(CONCATENATE("000",#REF!),6),3),"-",(RIGHT(RIGHT(CONCATENATE("000",#REF!),6),3)))</f>
        <v>#REF!</v>
      </c>
    </row>
    <row r="16" spans="1:4" ht="14.5">
      <c r="A16" s="380" t="e">
        <f>CONCATENATE(LEFT(RIGHT(CONCATENATE("000",#REF!),6),3),"-",(RIGHT(RIGHT(CONCATENATE("000",#REF!),6),3)))</f>
        <v>#REF!</v>
      </c>
      <c r="B16" s="380" t="e">
        <f>CONCATENATE(LEFT(RIGHT(CONCATENATE("000",#REF!),6),3),"-",(RIGHT(RIGHT(CONCATENATE("000",#REF!),6),3)))</f>
        <v>#REF!</v>
      </c>
    </row>
    <row r="17" spans="1:2" ht="14.5">
      <c r="A17" s="380" t="e">
        <f>CONCATENATE(LEFT(RIGHT(CONCATENATE("000",#REF!),6),3),"-",(RIGHT(RIGHT(CONCATENATE("000",#REF!),6),3)))</f>
        <v>#REF!</v>
      </c>
      <c r="B17" s="380" t="e">
        <f>CONCATENATE(LEFT(RIGHT(CONCATENATE("000",#REF!),6),3),"-",(RIGHT(RIGHT(CONCATENATE("000",#REF!),6),3)))</f>
        <v>#REF!</v>
      </c>
    </row>
    <row r="18" spans="1:2" ht="14.5">
      <c r="A18" s="380" t="e">
        <f>CONCATENATE(LEFT(RIGHT(CONCATENATE("000",#REF!),6),3),"-",(RIGHT(RIGHT(CONCATENATE("000",#REF!),6),3)))</f>
        <v>#REF!</v>
      </c>
      <c r="B18" s="380" t="e">
        <f>CONCATENATE(LEFT(RIGHT(CONCATENATE("000",#REF!),6),3),"-",(RIGHT(RIGHT(CONCATENATE("000",#REF!),6),3)))</f>
        <v>#REF!</v>
      </c>
    </row>
    <row r="19" spans="1:2" ht="14.5">
      <c r="A19" s="380" t="e">
        <f>CONCATENATE(LEFT(RIGHT(CONCATENATE("000",#REF!),6),3),"-",(RIGHT(RIGHT(CONCATENATE("000",#REF!),6),3)))</f>
        <v>#REF!</v>
      </c>
      <c r="B19" s="380" t="e">
        <f>CONCATENATE(LEFT(RIGHT(CONCATENATE("000",#REF!),6),3),"-",(RIGHT(RIGHT(CONCATENATE("000",#REF!),6),3)))</f>
        <v>#REF!</v>
      </c>
    </row>
    <row r="20" spans="1:2" ht="14.5">
      <c r="A20" s="380" t="e">
        <f>CONCATENATE(LEFT(RIGHT(CONCATENATE("000",#REF!),6),3),"-",(RIGHT(RIGHT(CONCATENATE("000",#REF!),6),3)))</f>
        <v>#REF!</v>
      </c>
      <c r="B20" s="380" t="e">
        <f>CONCATENATE(LEFT(RIGHT(CONCATENATE("000",#REF!),6),3),"-",(RIGHT(RIGHT(CONCATENATE("000",#REF!),6),3)))</f>
        <v>#REF!</v>
      </c>
    </row>
    <row r="21" spans="1:2" ht="14.5">
      <c r="A21" s="380" t="e">
        <f>CONCATENATE(LEFT(RIGHT(CONCATENATE("000",#REF!),6),3),"-",(RIGHT(RIGHT(CONCATENATE("000",#REF!),6),3)))</f>
        <v>#REF!</v>
      </c>
      <c r="B21" s="380" t="e">
        <f>CONCATENATE(LEFT(RIGHT(CONCATENATE("000",#REF!),6),3),"-",(RIGHT(RIGHT(CONCATENATE("000",#REF!),6),3)))</f>
        <v>#REF!</v>
      </c>
    </row>
    <row r="22" spans="1:2" ht="14.5">
      <c r="A22" s="380" t="e">
        <f>CONCATENATE(LEFT(RIGHT(CONCATENATE("000",#REF!),6),3),"-",(RIGHT(RIGHT(CONCATENATE("000",#REF!),6),3)))</f>
        <v>#REF!</v>
      </c>
      <c r="B22" s="380" t="e">
        <f>CONCATENATE(LEFT(RIGHT(CONCATENATE("000",#REF!),6),3),"-",(RIGHT(RIGHT(CONCATENATE("000",#REF!),6),3)))</f>
        <v>#REF!</v>
      </c>
    </row>
    <row r="23" spans="1:2" ht="14.5">
      <c r="A23" s="380" t="e">
        <f>CONCATENATE(LEFT(RIGHT(CONCATENATE("000",#REF!),6),3),"-",(RIGHT(RIGHT(CONCATENATE("000",#REF!),6),3)))</f>
        <v>#REF!</v>
      </c>
      <c r="B23" s="380" t="e">
        <f>CONCATENATE(LEFT(RIGHT(CONCATENATE("000",#REF!),6),3),"-",(RIGHT(RIGHT(CONCATENATE("000",#REF!),6),3)))</f>
        <v>#REF!</v>
      </c>
    </row>
    <row r="24" spans="1:2" ht="14.5">
      <c r="A24" s="380" t="e">
        <f>CONCATENATE(LEFT(RIGHT(CONCATENATE("000",#REF!),6),3),"-",(RIGHT(RIGHT(CONCATENATE("000",#REF!),6),3)))</f>
        <v>#REF!</v>
      </c>
      <c r="B24" s="380" t="e">
        <f>CONCATENATE(LEFT(RIGHT(CONCATENATE("000",#REF!),6),3),"-",(RIGHT(RIGHT(CONCATENATE("000",#REF!),6),3)))</f>
        <v>#REF!</v>
      </c>
    </row>
    <row r="25" spans="1:2" ht="14.5">
      <c r="A25" s="380" t="e">
        <f>CONCATENATE(LEFT(RIGHT(CONCATENATE("000",#REF!),6),3),"-",(RIGHT(RIGHT(CONCATENATE("000",#REF!),6),3)))</f>
        <v>#REF!</v>
      </c>
      <c r="B25" s="380" t="e">
        <f>CONCATENATE(LEFT(RIGHT(CONCATENATE("000",#REF!),6),3),"-",(RIGHT(RIGHT(CONCATENATE("000",#REF!),6),3)))</f>
        <v>#REF!</v>
      </c>
    </row>
    <row r="26" spans="1:2" ht="14.5">
      <c r="A26" s="380" t="e">
        <f>CONCATENATE(LEFT(RIGHT(CONCATENATE("000",#REF!),6),3),"-",(RIGHT(RIGHT(CONCATENATE("000",#REF!),6),3)))</f>
        <v>#REF!</v>
      </c>
      <c r="B26" s="380" t="e">
        <f>CONCATENATE(LEFT(RIGHT(CONCATENATE("000",#REF!),6),3),"-",(RIGHT(RIGHT(CONCATENATE("000",#REF!),6),3)))</f>
        <v>#REF!</v>
      </c>
    </row>
    <row r="27" spans="1:2" ht="14.5">
      <c r="A27" s="380" t="e">
        <f>CONCATENATE(LEFT(RIGHT(CONCATENATE("000",#REF!),6),3),"-",(RIGHT(RIGHT(CONCATENATE("000",#REF!),6),3)))</f>
        <v>#REF!</v>
      </c>
      <c r="B27" s="380" t="e">
        <f>CONCATENATE(LEFT(RIGHT(CONCATENATE("000",#REF!),6),3),"-",(RIGHT(RIGHT(CONCATENATE("000",#REF!),6),3)))</f>
        <v>#REF!</v>
      </c>
    </row>
    <row r="28" spans="1:2" ht="14.5">
      <c r="A28" s="380" t="e">
        <f>CONCATENATE(LEFT(RIGHT(CONCATENATE("000",#REF!),6),3),"-",(RIGHT(RIGHT(CONCATENATE("000",#REF!),6),3)))</f>
        <v>#REF!</v>
      </c>
      <c r="B28" s="380" t="e">
        <f>CONCATENATE(LEFT(RIGHT(CONCATENATE("000",#REF!),6),3),"-",(RIGHT(RIGHT(CONCATENATE("000",#REF!),6),3)))</f>
        <v>#REF!</v>
      </c>
    </row>
    <row r="29" spans="1:2" ht="14.5">
      <c r="A29" s="380" t="e">
        <f>CONCATENATE(LEFT(RIGHT(CONCATENATE("000",#REF!),6),3),"-",(RIGHT(RIGHT(CONCATENATE("000",#REF!),6),3)))</f>
        <v>#REF!</v>
      </c>
      <c r="B29" s="380" t="e">
        <f>CONCATENATE(LEFT(RIGHT(CONCATENATE("000",#REF!),6),3),"-",(RIGHT(RIGHT(CONCATENATE("000",#REF!),6),3)))</f>
        <v>#REF!</v>
      </c>
    </row>
    <row r="30" spans="1:2" ht="14.5">
      <c r="A30" s="380" t="e">
        <f>CONCATENATE(LEFT(RIGHT(CONCATENATE("000",#REF!),6),3),"-",(RIGHT(RIGHT(CONCATENATE("000",#REF!),6),3)))</f>
        <v>#REF!</v>
      </c>
      <c r="B30" s="380" t="e">
        <f>CONCATENATE(LEFT(RIGHT(CONCATENATE("000",#REF!),6),3),"-",(RIGHT(RIGHT(CONCATENATE("000",#REF!),6),3)))</f>
        <v>#REF!</v>
      </c>
    </row>
    <row r="31" spans="1:2" ht="14.5">
      <c r="A31" s="380" t="e">
        <f>CONCATENATE(LEFT(RIGHT(CONCATENATE("000",#REF!),6),3),"-",(RIGHT(RIGHT(CONCATENATE("000",#REF!),6),3)))</f>
        <v>#REF!</v>
      </c>
      <c r="B31" s="380" t="e">
        <f>CONCATENATE(LEFT(RIGHT(CONCATENATE("000",#REF!),6),3),"-",(RIGHT(RIGHT(CONCATENATE("000",#REF!),6),3)))</f>
        <v>#REF!</v>
      </c>
    </row>
    <row r="32" spans="1:2" ht="14.5">
      <c r="A32" s="380" t="e">
        <f>CONCATENATE(LEFT(RIGHT(CONCATENATE("000",#REF!),6),3),"-",(RIGHT(RIGHT(CONCATENATE("000",#REF!),6),3)))</f>
        <v>#REF!</v>
      </c>
      <c r="B32" s="380" t="e">
        <f>CONCATENATE(LEFT(RIGHT(CONCATENATE("000",#REF!),6),3),"-",(RIGHT(RIGHT(CONCATENATE("000",#REF!),6),3)))</f>
        <v>#REF!</v>
      </c>
    </row>
    <row r="33" spans="1:2" ht="14.5">
      <c r="A33" s="380" t="e">
        <f>CONCATENATE(LEFT(RIGHT(CONCATENATE("000",#REF!),6),3),"-",(RIGHT(RIGHT(CONCATENATE("000",#REF!),6),3)))</f>
        <v>#REF!</v>
      </c>
      <c r="B33" s="380" t="e">
        <f>CONCATENATE(LEFT(RIGHT(CONCATENATE("000",#REF!),6),3),"-",(RIGHT(RIGHT(CONCATENATE("000",#REF!),6),3)))</f>
        <v>#REF!</v>
      </c>
    </row>
    <row r="34" spans="1:2" ht="14.5">
      <c r="A34" s="380" t="e">
        <f>CONCATENATE(LEFT(RIGHT(CONCATENATE("000",#REF!),6),3),"-",(RIGHT(RIGHT(CONCATENATE("000",#REF!),6),3)))</f>
        <v>#REF!</v>
      </c>
      <c r="B34" s="380" t="e">
        <f>CONCATENATE(LEFT(RIGHT(CONCATENATE("000",#REF!),6),3),"-",(RIGHT(RIGHT(CONCATENATE("000",#REF!),6),3)))</f>
        <v>#REF!</v>
      </c>
    </row>
    <row r="35" spans="1:2" ht="14.5">
      <c r="A35" s="380" t="e">
        <f>CONCATENATE(LEFT(RIGHT(CONCATENATE("000",#REF!),6),3),"-",(RIGHT(RIGHT(CONCATENATE("000",#REF!),6),3)))</f>
        <v>#REF!</v>
      </c>
      <c r="B35" s="380" t="e">
        <f>CONCATENATE(LEFT(RIGHT(CONCATENATE("000",#REF!),6),3),"-",(RIGHT(RIGHT(CONCATENATE("000",#REF!),6),3)))</f>
        <v>#REF!</v>
      </c>
    </row>
    <row r="36" spans="1:2" ht="14.5">
      <c r="A36" s="380" t="e">
        <f>CONCATENATE(LEFT(RIGHT(CONCATENATE("000",#REF!),6),3),"-",(RIGHT(RIGHT(CONCATENATE("000",#REF!),6),3)))</f>
        <v>#REF!</v>
      </c>
      <c r="B36" s="380" t="e">
        <f>CONCATENATE(LEFT(RIGHT(CONCATENATE("000",#REF!),6),3),"-",(RIGHT(RIGHT(CONCATENATE("000",#REF!),6),3)))</f>
        <v>#REF!</v>
      </c>
    </row>
    <row r="37" spans="1:2" ht="14.5">
      <c r="A37" s="380" t="e">
        <f>CONCATENATE(LEFT(RIGHT(CONCATENATE("000",#REF!),6),3),"-",(RIGHT(RIGHT(CONCATENATE("000",#REF!),6),3)))</f>
        <v>#REF!</v>
      </c>
      <c r="B37" s="380" t="e">
        <f>CONCATENATE(LEFT(RIGHT(CONCATENATE("000",#REF!),6),3),"-",(RIGHT(RIGHT(CONCATENATE("000",#REF!),6),3)))</f>
        <v>#REF!</v>
      </c>
    </row>
    <row r="38" spans="1:2" ht="14.5">
      <c r="A38" s="380" t="e">
        <f>CONCATENATE(LEFT(RIGHT(CONCATENATE("000",#REF!),6),3),"-",(RIGHT(RIGHT(CONCATENATE("000",#REF!),6),3)))</f>
        <v>#REF!</v>
      </c>
      <c r="B38" s="380" t="e">
        <f>CONCATENATE(LEFT(RIGHT(CONCATENATE("000",#REF!),6),3),"-",(RIGHT(RIGHT(CONCATENATE("000",#REF!),6),3)))</f>
        <v>#REF!</v>
      </c>
    </row>
    <row r="39" spans="1:2" ht="14.5">
      <c r="A39" s="380" t="e">
        <f>CONCATENATE(LEFT(RIGHT(CONCATENATE("000",#REF!),6),3),"-",(RIGHT(RIGHT(CONCATENATE("000",#REF!),6),3)))</f>
        <v>#REF!</v>
      </c>
      <c r="B39" s="380" t="e">
        <f>CONCATENATE(LEFT(RIGHT(CONCATENATE("000",#REF!),6),3),"-",(RIGHT(RIGHT(CONCATENATE("000",#REF!),6),3)))</f>
        <v>#REF!</v>
      </c>
    </row>
    <row r="40" spans="1:2" ht="14.5">
      <c r="A40" s="380" t="e">
        <f>CONCATENATE(LEFT(RIGHT(CONCATENATE("000",#REF!),6),3),"-",(RIGHT(RIGHT(CONCATENATE("000",#REF!),6),3)))</f>
        <v>#REF!</v>
      </c>
      <c r="B40" s="380" t="e">
        <f>CONCATENATE(LEFT(RIGHT(CONCATENATE("000",#REF!),6),3),"-",(RIGHT(RIGHT(CONCATENATE("000",#REF!),6),3)))</f>
        <v>#REF!</v>
      </c>
    </row>
    <row r="41" spans="1:2" ht="14.5">
      <c r="A41" s="380" t="e">
        <f>CONCATENATE(LEFT(RIGHT(CONCATENATE("000",#REF!),6),3),"-",(RIGHT(RIGHT(CONCATENATE("000",#REF!),6),3)))</f>
        <v>#REF!</v>
      </c>
      <c r="B41" s="380" t="e">
        <f>CONCATENATE(LEFT(RIGHT(CONCATENATE("000",#REF!),6),3),"-",(RIGHT(RIGHT(CONCATENATE("000",#REF!),6),3)))</f>
        <v>#REF!</v>
      </c>
    </row>
    <row r="42" spans="1:2" ht="14.5">
      <c r="A42" s="380" t="e">
        <f>CONCATENATE(LEFT(RIGHT(CONCATENATE("000",#REF!),6),3),"-",(RIGHT(RIGHT(CONCATENATE("000",#REF!),6),3)))</f>
        <v>#REF!</v>
      </c>
      <c r="B42" s="380" t="e">
        <f>CONCATENATE(LEFT(RIGHT(CONCATENATE("000",#REF!),6),3),"-",(RIGHT(RIGHT(CONCATENATE("000",#REF!),6),3)))</f>
        <v>#REF!</v>
      </c>
    </row>
    <row r="43" spans="1:2" ht="14.5">
      <c r="A43" s="380" t="e">
        <f>CONCATENATE(LEFT(RIGHT(CONCATENATE("000",#REF!),6),3),"-",(RIGHT(RIGHT(CONCATENATE("000",#REF!),6),3)))</f>
        <v>#REF!</v>
      </c>
      <c r="B43" s="380" t="e">
        <f>CONCATENATE(LEFT(RIGHT(CONCATENATE("000",#REF!),6),3),"-",(RIGHT(RIGHT(CONCATENATE("000",#REF!),6),3)))</f>
        <v>#REF!</v>
      </c>
    </row>
    <row r="44" spans="1:2" ht="14.5">
      <c r="A44" s="380" t="e">
        <f>CONCATENATE(LEFT(RIGHT(CONCATENATE("000",#REF!),6),3),"-",(RIGHT(RIGHT(CONCATENATE("000",#REF!),6),3)))</f>
        <v>#REF!</v>
      </c>
      <c r="B44" s="380" t="e">
        <f>CONCATENATE(LEFT(RIGHT(CONCATENATE("000",#REF!),6),3),"-",(RIGHT(RIGHT(CONCATENATE("000",#REF!),6),3)))</f>
        <v>#REF!</v>
      </c>
    </row>
    <row r="45" spans="1:2" ht="14.5">
      <c r="A45" s="380" t="e">
        <f>CONCATENATE(LEFT(RIGHT(CONCATENATE("000",#REF!),6),3),"-",(RIGHT(RIGHT(CONCATENATE("000",#REF!),6),3)))</f>
        <v>#REF!</v>
      </c>
      <c r="B45" s="380" t="e">
        <f>CONCATENATE(LEFT(RIGHT(CONCATENATE("000",#REF!),6),3),"-",(RIGHT(RIGHT(CONCATENATE("000",#REF!),6),3)))</f>
        <v>#REF!</v>
      </c>
    </row>
    <row r="46" spans="1:2" ht="14.5">
      <c r="A46" s="380" t="e">
        <f>CONCATENATE(LEFT(RIGHT(CONCATENATE("000",#REF!),6),3),"-",(RIGHT(RIGHT(CONCATENATE("000",#REF!),6),3)))</f>
        <v>#REF!</v>
      </c>
      <c r="B46" s="380" t="e">
        <f>CONCATENATE(LEFT(RIGHT(CONCATENATE("000",#REF!),6),3),"-",(RIGHT(RIGHT(CONCATENATE("000",#REF!),6),3)))</f>
        <v>#REF!</v>
      </c>
    </row>
    <row r="47" spans="1:2" ht="14.5">
      <c r="A47" s="380" t="e">
        <f>CONCATENATE(LEFT(RIGHT(CONCATENATE("000",#REF!),6),3),"-",(RIGHT(RIGHT(CONCATENATE("000",#REF!),6),3)))</f>
        <v>#REF!</v>
      </c>
      <c r="B47" s="380" t="e">
        <f>CONCATENATE(LEFT(RIGHT(CONCATENATE("000",#REF!),6),3),"-",(RIGHT(RIGHT(CONCATENATE("000",#REF!),6),3)))</f>
        <v>#REF!</v>
      </c>
    </row>
    <row r="48" spans="1:2" ht="14.5">
      <c r="A48" s="380" t="e">
        <f>CONCATENATE(LEFT(RIGHT(CONCATENATE("000",#REF!),6),3),"-",(RIGHT(RIGHT(CONCATENATE("000",#REF!),6),3)))</f>
        <v>#REF!</v>
      </c>
      <c r="B48" s="380" t="e">
        <f>CONCATENATE(LEFT(RIGHT(CONCATENATE("000",#REF!),6),3),"-",(RIGHT(RIGHT(CONCATENATE("000",#REF!),6),3)))</f>
        <v>#REF!</v>
      </c>
    </row>
    <row r="49" spans="1:2" ht="14.5">
      <c r="A49" s="380" t="e">
        <f>CONCATENATE(LEFT(RIGHT(CONCATENATE("000",#REF!),6),3),"-",(RIGHT(RIGHT(CONCATENATE("000",#REF!),6),3)))</f>
        <v>#REF!</v>
      </c>
      <c r="B49" s="380" t="e">
        <f>CONCATENATE(LEFT(RIGHT(CONCATENATE("000",#REF!),6),3),"-",(RIGHT(RIGHT(CONCATENATE("000",#REF!),6),3)))</f>
        <v>#REF!</v>
      </c>
    </row>
    <row r="50" spans="1:2" ht="14.5">
      <c r="A50" s="380" t="e">
        <f>CONCATENATE(LEFT(RIGHT(CONCATENATE("000",#REF!),6),3),"-",(RIGHT(RIGHT(CONCATENATE("000",#REF!),6),3)))</f>
        <v>#REF!</v>
      </c>
      <c r="B50" s="380" t="e">
        <f>CONCATENATE(LEFT(RIGHT(CONCATENATE("000",#REF!),6),3),"-",(RIGHT(RIGHT(CONCATENATE("000",#REF!),6),3)))</f>
        <v>#REF!</v>
      </c>
    </row>
    <row r="51" spans="1:2" ht="14.5">
      <c r="A51" s="380" t="e">
        <f>CONCATENATE(LEFT(RIGHT(CONCATENATE("000",#REF!),6),3),"-",(RIGHT(RIGHT(CONCATENATE("000",#REF!),6),3)))</f>
        <v>#REF!</v>
      </c>
      <c r="B51" s="380" t="e">
        <f>CONCATENATE(LEFT(RIGHT(CONCATENATE("000",#REF!),6),3),"-",(RIGHT(RIGHT(CONCATENATE("000",#REF!),6),3)))</f>
        <v>#REF!</v>
      </c>
    </row>
    <row r="52" spans="1:2" ht="14.5">
      <c r="A52" s="380" t="e">
        <f>CONCATENATE(LEFT(RIGHT(CONCATENATE("000",#REF!),6),3),"-",(RIGHT(RIGHT(CONCATENATE("000",#REF!),6),3)))</f>
        <v>#REF!</v>
      </c>
      <c r="B52" s="380" t="e">
        <f>CONCATENATE(LEFT(RIGHT(CONCATENATE("000",#REF!),6),3),"-",(RIGHT(RIGHT(CONCATENATE("000",#REF!),6),3)))</f>
        <v>#REF!</v>
      </c>
    </row>
    <row r="53" spans="1:2" ht="14.5">
      <c r="A53" s="380" t="e">
        <f>CONCATENATE(LEFT(RIGHT(CONCATENATE("000",#REF!),6),3),"-",(RIGHT(RIGHT(CONCATENATE("000",#REF!),6),3)))</f>
        <v>#REF!</v>
      </c>
      <c r="B53" s="380" t="e">
        <f>CONCATENATE(LEFT(RIGHT(CONCATENATE("000",#REF!),6),3),"-",(RIGHT(RIGHT(CONCATENATE("000",#REF!),6),3)))</f>
        <v>#REF!</v>
      </c>
    </row>
    <row r="54" spans="1:2" ht="14.5">
      <c r="A54" s="380" t="e">
        <f>CONCATENATE(LEFT(RIGHT(CONCATENATE("000",#REF!),6),3),"-",(RIGHT(RIGHT(CONCATENATE("000",#REF!),6),3)))</f>
        <v>#REF!</v>
      </c>
      <c r="B54" s="380" t="e">
        <f>CONCATENATE(LEFT(RIGHT(CONCATENATE("000",#REF!),6),3),"-",(RIGHT(RIGHT(CONCATENATE("000",#REF!),6),3)))</f>
        <v>#REF!</v>
      </c>
    </row>
    <row r="55" spans="1:2" ht="14.5">
      <c r="A55" s="380" t="e">
        <f>CONCATENATE(LEFT(RIGHT(CONCATENATE("000",#REF!),6),3),"-",(RIGHT(RIGHT(CONCATENATE("000",#REF!),6),3)))</f>
        <v>#REF!</v>
      </c>
      <c r="B55" s="380" t="e">
        <f>CONCATENATE(LEFT(RIGHT(CONCATENATE("000",#REF!),6),3),"-",(RIGHT(RIGHT(CONCATENATE("000",#REF!),6),3)))</f>
        <v>#REF!</v>
      </c>
    </row>
    <row r="56" spans="1:2" ht="14.5">
      <c r="A56" s="380" t="e">
        <f>CONCATENATE(LEFT(RIGHT(CONCATENATE("000",#REF!),6),3),"-",(RIGHT(RIGHT(CONCATENATE("000",#REF!),6),3)))</f>
        <v>#REF!</v>
      </c>
      <c r="B56" s="380" t="e">
        <f>CONCATENATE(LEFT(RIGHT(CONCATENATE("000",#REF!),6),3),"-",(RIGHT(RIGHT(CONCATENATE("000",#REF!),6),3)))</f>
        <v>#REF!</v>
      </c>
    </row>
    <row r="57" spans="1:2" ht="14.5">
      <c r="A57" s="380" t="e">
        <f>CONCATENATE(LEFT(RIGHT(CONCATENATE("000",#REF!),6),3),"-",(RIGHT(RIGHT(CONCATENATE("000",#REF!),6),3)))</f>
        <v>#REF!</v>
      </c>
      <c r="B57" s="380" t="e">
        <f>CONCATENATE(LEFT(RIGHT(CONCATENATE("000",#REF!),6),3),"-",(RIGHT(RIGHT(CONCATENATE("000",#REF!),6),3)))</f>
        <v>#REF!</v>
      </c>
    </row>
    <row r="58" spans="1:2" ht="14.5">
      <c r="A58" s="380" t="e">
        <f>CONCATENATE(LEFT(RIGHT(CONCATENATE("000",#REF!),6),3),"-",(RIGHT(RIGHT(CONCATENATE("000",#REF!),6),3)))</f>
        <v>#REF!</v>
      </c>
      <c r="B58" s="380" t="e">
        <f>CONCATENATE(LEFT(RIGHT(CONCATENATE("000",#REF!),6),3),"-",(RIGHT(RIGHT(CONCATENATE("000",#REF!),6),3)))</f>
        <v>#REF!</v>
      </c>
    </row>
    <row r="59" spans="1:2" ht="14.5">
      <c r="A59" s="380" t="e">
        <f>CONCATENATE(LEFT(RIGHT(CONCATENATE("000",#REF!),6),3),"-",(RIGHT(RIGHT(CONCATENATE("000",#REF!),6),3)))</f>
        <v>#REF!</v>
      </c>
      <c r="B59" s="380" t="e">
        <f>CONCATENATE(LEFT(RIGHT(CONCATENATE("000",#REF!),6),3),"-",(RIGHT(RIGHT(CONCATENATE("000",#REF!),6),3)))</f>
        <v>#REF!</v>
      </c>
    </row>
    <row r="60" spans="1:2" ht="14.5">
      <c r="A60" s="380" t="e">
        <f>CONCATENATE(LEFT(RIGHT(CONCATENATE("000",#REF!),6),3),"-",(RIGHT(RIGHT(CONCATENATE("000",#REF!),6),3)))</f>
        <v>#REF!</v>
      </c>
      <c r="B60" s="380" t="e">
        <f>CONCATENATE(LEFT(RIGHT(CONCATENATE("000",#REF!),6),3),"-",(RIGHT(RIGHT(CONCATENATE("000",#REF!),6),3)))</f>
        <v>#REF!</v>
      </c>
    </row>
    <row r="61" spans="1:2" ht="14.5">
      <c r="A61" s="380" t="e">
        <f>CONCATENATE(LEFT(RIGHT(CONCATENATE("000",#REF!),6),3),"-",(RIGHT(RIGHT(CONCATENATE("000",#REF!),6),3)))</f>
        <v>#REF!</v>
      </c>
      <c r="B61" s="380" t="e">
        <f>CONCATENATE(LEFT(RIGHT(CONCATENATE("000",#REF!),6),3),"-",(RIGHT(RIGHT(CONCATENATE("000",#REF!),6),3)))</f>
        <v>#REF!</v>
      </c>
    </row>
    <row r="62" spans="1:2" ht="14.5">
      <c r="A62" s="380" t="e">
        <f>CONCATENATE(LEFT(RIGHT(CONCATENATE("000",#REF!),6),3),"-",(RIGHT(RIGHT(CONCATENATE("000",#REF!),6),3)))</f>
        <v>#REF!</v>
      </c>
      <c r="B62" s="380" t="e">
        <f>CONCATENATE(LEFT(RIGHT(CONCATENATE("000",#REF!),6),3),"-",(RIGHT(RIGHT(CONCATENATE("000",#REF!),6),3)))</f>
        <v>#REF!</v>
      </c>
    </row>
    <row r="63" spans="1:2" ht="14.5">
      <c r="A63" s="380" t="e">
        <f>CONCATENATE(LEFT(RIGHT(CONCATENATE("000",#REF!),6),3),"-",(RIGHT(RIGHT(CONCATENATE("000",#REF!),6),3)))</f>
        <v>#REF!</v>
      </c>
      <c r="B63" s="380" t="e">
        <f>CONCATENATE(LEFT(RIGHT(CONCATENATE("000",#REF!),6),3),"-",(RIGHT(RIGHT(CONCATENATE("000",#REF!),6),3)))</f>
        <v>#REF!</v>
      </c>
    </row>
    <row r="64" spans="1:2" ht="14.5">
      <c r="A64" s="380" t="e">
        <f>CONCATENATE(LEFT(RIGHT(CONCATENATE("000",#REF!),6),3),"-",(RIGHT(RIGHT(CONCATENATE("000",#REF!),6),3)))</f>
        <v>#REF!</v>
      </c>
      <c r="B64" s="380" t="e">
        <f>CONCATENATE(LEFT(RIGHT(CONCATENATE("000",#REF!),6),3),"-",(RIGHT(RIGHT(CONCATENATE("000",#REF!),6),3)))</f>
        <v>#REF!</v>
      </c>
    </row>
    <row r="65" spans="1:2" ht="14.5">
      <c r="A65" s="380" t="e">
        <f>CONCATENATE(LEFT(RIGHT(CONCATENATE("000",#REF!),6),3),"-",(RIGHT(RIGHT(CONCATENATE("000",#REF!),6),3)))</f>
        <v>#REF!</v>
      </c>
      <c r="B65" s="380" t="e">
        <f>CONCATENATE(LEFT(RIGHT(CONCATENATE("000",#REF!),6),3),"-",(RIGHT(RIGHT(CONCATENATE("000",#REF!),6),3)))</f>
        <v>#REF!</v>
      </c>
    </row>
    <row r="66" spans="1:2" ht="14.5">
      <c r="A66" s="380" t="e">
        <f>CONCATENATE(LEFT(RIGHT(CONCATENATE("000",#REF!),6),3),"-",(RIGHT(RIGHT(CONCATENATE("000",#REF!),6),3)))</f>
        <v>#REF!</v>
      </c>
      <c r="B66" s="380" t="e">
        <f>CONCATENATE(LEFT(RIGHT(CONCATENATE("000",#REF!),6),3),"-",(RIGHT(RIGHT(CONCATENATE("000",#REF!),6),3)))</f>
        <v>#REF!</v>
      </c>
    </row>
    <row r="67" spans="1:2" ht="14.5">
      <c r="A67" s="380" t="e">
        <f>CONCATENATE(LEFT(RIGHT(CONCATENATE("000",#REF!),6),3),"-",(RIGHT(RIGHT(CONCATENATE("000",#REF!),6),3)))</f>
        <v>#REF!</v>
      </c>
      <c r="B67" s="380" t="e">
        <f>CONCATENATE(LEFT(RIGHT(CONCATENATE("000",#REF!),6),3),"-",(RIGHT(RIGHT(CONCATENATE("000",#REF!),6),3)))</f>
        <v>#REF!</v>
      </c>
    </row>
    <row r="68" spans="1:2" ht="14.5">
      <c r="A68" s="380" t="e">
        <f>CONCATENATE(LEFT(RIGHT(CONCATENATE("000",#REF!),6),3),"-",(RIGHT(RIGHT(CONCATENATE("000",#REF!),6),3)))</f>
        <v>#REF!</v>
      </c>
      <c r="B68" s="380" t="e">
        <f>CONCATENATE(LEFT(RIGHT(CONCATENATE("000",#REF!),6),3),"-",(RIGHT(RIGHT(CONCATENATE("000",#REF!),6),3)))</f>
        <v>#REF!</v>
      </c>
    </row>
    <row r="69" spans="1:2" ht="14.5">
      <c r="A69" s="380" t="e">
        <f>CONCATENATE(LEFT(RIGHT(CONCATENATE("000",#REF!),6),3),"-",(RIGHT(RIGHT(CONCATENATE("000",#REF!),6),3)))</f>
        <v>#REF!</v>
      </c>
      <c r="B69" s="380" t="e">
        <f>CONCATENATE(LEFT(RIGHT(CONCATENATE("000",#REF!),6),3),"-",(RIGHT(RIGHT(CONCATENATE("000",#REF!),6),3)))</f>
        <v>#REF!</v>
      </c>
    </row>
    <row r="70" spans="1:2" ht="14.5">
      <c r="A70" s="380" t="e">
        <f>CONCATENATE(LEFT(RIGHT(CONCATENATE("000",#REF!),6),3),"-",(RIGHT(RIGHT(CONCATENATE("000",#REF!),6),3)))</f>
        <v>#REF!</v>
      </c>
      <c r="B70" s="380" t="e">
        <f>CONCATENATE(LEFT(RIGHT(CONCATENATE("000",#REF!),6),3),"-",(RIGHT(RIGHT(CONCATENATE("000",#REF!),6),3)))</f>
        <v>#REF!</v>
      </c>
    </row>
    <row r="71" spans="1:2" ht="14.5">
      <c r="A71" s="380" t="e">
        <f>CONCATENATE(LEFT(RIGHT(CONCATENATE("000",#REF!),6),3),"-",(RIGHT(RIGHT(CONCATENATE("000",#REF!),6),3)))</f>
        <v>#REF!</v>
      </c>
      <c r="B71" s="380" t="e">
        <f>CONCATENATE(LEFT(RIGHT(CONCATENATE("000",#REF!),6),3),"-",(RIGHT(RIGHT(CONCATENATE("000",#REF!),6),3)))</f>
        <v>#REF!</v>
      </c>
    </row>
    <row r="72" spans="1:2" ht="14.5">
      <c r="A72" s="380" t="e">
        <f>CONCATENATE(LEFT(RIGHT(CONCATENATE("000",#REF!),6),3),"-",(RIGHT(RIGHT(CONCATENATE("000",#REF!),6),3)))</f>
        <v>#REF!</v>
      </c>
      <c r="B72" s="380" t="e">
        <f>CONCATENATE(LEFT(RIGHT(CONCATENATE("000",#REF!),6),3),"-",(RIGHT(RIGHT(CONCATENATE("000",#REF!),6),3)))</f>
        <v>#REF!</v>
      </c>
    </row>
    <row r="73" spans="1:2" ht="14.5">
      <c r="A73" s="380" t="e">
        <f>CONCATENATE(LEFT(RIGHT(CONCATENATE("000",#REF!),6),3),"-",(RIGHT(RIGHT(CONCATENATE("000",#REF!),6),3)))</f>
        <v>#REF!</v>
      </c>
      <c r="B73" s="380" t="e">
        <f>CONCATENATE(LEFT(RIGHT(CONCATENATE("000",#REF!),6),3),"-",(RIGHT(RIGHT(CONCATENATE("000",#REF!),6),3)))</f>
        <v>#REF!</v>
      </c>
    </row>
    <row r="74" spans="1:2" ht="14.5">
      <c r="A74" s="380" t="e">
        <f>CONCATENATE(LEFT(RIGHT(CONCATENATE("000",#REF!),6),3),"-",(RIGHT(RIGHT(CONCATENATE("000",#REF!),6),3)))</f>
        <v>#REF!</v>
      </c>
      <c r="B74" s="380" t="e">
        <f>CONCATENATE(LEFT(RIGHT(CONCATENATE("000",#REF!),6),3),"-",(RIGHT(RIGHT(CONCATENATE("000",#REF!),6),3)))</f>
        <v>#REF!</v>
      </c>
    </row>
    <row r="75" spans="1:2" ht="14.5">
      <c r="A75" s="380" t="e">
        <f>CONCATENATE(LEFT(RIGHT(CONCATENATE("000",#REF!),6),3),"-",(RIGHT(RIGHT(CONCATENATE("000",#REF!),6),3)))</f>
        <v>#REF!</v>
      </c>
      <c r="B75" s="380" t="e">
        <f>CONCATENATE(LEFT(RIGHT(CONCATENATE("000",#REF!),6),3),"-",(RIGHT(RIGHT(CONCATENATE("000",#REF!),6),3)))</f>
        <v>#REF!</v>
      </c>
    </row>
    <row r="76" spans="1:2" ht="14.5">
      <c r="A76" s="380" t="e">
        <f>CONCATENATE(LEFT(RIGHT(CONCATENATE("000",#REF!),6),3),"-",(RIGHT(RIGHT(CONCATENATE("000",#REF!),6),3)))</f>
        <v>#REF!</v>
      </c>
      <c r="B76" s="380" t="e">
        <f>CONCATENATE(LEFT(RIGHT(CONCATENATE("000",#REF!),6),3),"-",(RIGHT(RIGHT(CONCATENATE("000",#REF!),6),3)))</f>
        <v>#REF!</v>
      </c>
    </row>
    <row r="77" spans="1:2" ht="14.5">
      <c r="A77" s="380" t="e">
        <f>CONCATENATE(LEFT(RIGHT(CONCATENATE("000",#REF!),6),3),"-",(RIGHT(RIGHT(CONCATENATE("000",#REF!),6),3)))</f>
        <v>#REF!</v>
      </c>
      <c r="B77" s="380" t="e">
        <f>CONCATENATE(LEFT(RIGHT(CONCATENATE("000",#REF!),6),3),"-",(RIGHT(RIGHT(CONCATENATE("000",#REF!),6),3)))</f>
        <v>#REF!</v>
      </c>
    </row>
    <row r="78" spans="1:2" ht="14.5">
      <c r="A78" s="380" t="e">
        <f>CONCATENATE(LEFT(RIGHT(CONCATENATE("000",#REF!),6),3),"-",(RIGHT(RIGHT(CONCATENATE("000",#REF!),6),3)))</f>
        <v>#REF!</v>
      </c>
      <c r="B78" s="380" t="e">
        <f>CONCATENATE(LEFT(RIGHT(CONCATENATE("000",#REF!),6),3),"-",(RIGHT(RIGHT(CONCATENATE("000",#REF!),6),3)))</f>
        <v>#REF!</v>
      </c>
    </row>
    <row r="79" spans="1:2" ht="14.5">
      <c r="A79" s="380" t="e">
        <f>CONCATENATE(LEFT(RIGHT(CONCATENATE("000",#REF!),6),3),"-",(RIGHT(RIGHT(CONCATENATE("000",#REF!),6),3)))</f>
        <v>#REF!</v>
      </c>
      <c r="B79" s="380" t="e">
        <f>CONCATENATE(LEFT(RIGHT(CONCATENATE("000",#REF!),6),3),"-",(RIGHT(RIGHT(CONCATENATE("000",#REF!),6),3)))</f>
        <v>#REF!</v>
      </c>
    </row>
    <row r="80" spans="1:2" ht="14.5">
      <c r="A80" s="380" t="e">
        <f>CONCATENATE(LEFT(RIGHT(CONCATENATE("000",#REF!),6),3),"-",(RIGHT(RIGHT(CONCATENATE("000",#REF!),6),3)))</f>
        <v>#REF!</v>
      </c>
      <c r="B80" s="380" t="e">
        <f>CONCATENATE(LEFT(RIGHT(CONCATENATE("000",#REF!),6),3),"-",(RIGHT(RIGHT(CONCATENATE("000",#REF!),6),3)))</f>
        <v>#REF!</v>
      </c>
    </row>
    <row r="81" spans="1:2" ht="14.5">
      <c r="A81" s="380" t="e">
        <f>CONCATENATE(LEFT(RIGHT(CONCATENATE("000",#REF!),6),3),"-",(RIGHT(RIGHT(CONCATENATE("000",#REF!),6),3)))</f>
        <v>#REF!</v>
      </c>
      <c r="B81" s="380" t="e">
        <f>CONCATENATE(LEFT(RIGHT(CONCATENATE("000",#REF!),6),3),"-",(RIGHT(RIGHT(CONCATENATE("000",#REF!),6),3)))</f>
        <v>#REF!</v>
      </c>
    </row>
    <row r="82" spans="1:2" ht="14.5">
      <c r="A82" s="380" t="e">
        <f>CONCATENATE(LEFT(RIGHT(CONCATENATE("000",#REF!),6),3),"-",(RIGHT(RIGHT(CONCATENATE("000",#REF!),6),3)))</f>
        <v>#REF!</v>
      </c>
      <c r="B82" s="380" t="e">
        <f>CONCATENATE(LEFT(RIGHT(CONCATENATE("000",#REF!),6),3),"-",(RIGHT(RIGHT(CONCATENATE("000",#REF!),6),3)))</f>
        <v>#REF!</v>
      </c>
    </row>
    <row r="83" spans="1:2" ht="14.5">
      <c r="A83" s="380" t="e">
        <f>CONCATENATE(LEFT(RIGHT(CONCATENATE("000",#REF!),6),3),"-",(RIGHT(RIGHT(CONCATENATE("000",#REF!),6),3)))</f>
        <v>#REF!</v>
      </c>
      <c r="B83" s="380" t="e">
        <f>CONCATENATE(LEFT(RIGHT(CONCATENATE("000",#REF!),6),3),"-",(RIGHT(RIGHT(CONCATENATE("000",#REF!),6),3)))</f>
        <v>#REF!</v>
      </c>
    </row>
    <row r="84" spans="1:2" ht="14.5">
      <c r="A84" s="380" t="e">
        <f>CONCATENATE(LEFT(RIGHT(CONCATENATE("000",#REF!),6),3),"-",(RIGHT(RIGHT(CONCATENATE("000",#REF!),6),3)))</f>
        <v>#REF!</v>
      </c>
      <c r="B84" s="380" t="e">
        <f>CONCATENATE(LEFT(RIGHT(CONCATENATE("000",#REF!),6),3),"-",(RIGHT(RIGHT(CONCATENATE("000",#REF!),6),3)))</f>
        <v>#REF!</v>
      </c>
    </row>
    <row r="85" spans="1:2" ht="14.5">
      <c r="B85" s="380" t="e">
        <f>CONCATENATE(LEFT(RIGHT(CONCATENATE("000",#REF!),6),3),"-",(RIGHT(RIGHT(CONCATENATE("000",#REF!),6),3)))</f>
        <v>#REF!</v>
      </c>
    </row>
    <row r="86" spans="1:2" ht="14.5">
      <c r="B86" s="380" t="e">
        <f>CONCATENATE(LEFT(RIGHT(CONCATENATE("000",#REF!),6),3),"-",(RIGHT(RIGHT(CONCATENATE("000",#REF!),6),3)))</f>
        <v>#REF!</v>
      </c>
    </row>
    <row r="87" spans="1:2" ht="14.5">
      <c r="B87" s="380" t="e">
        <f>CONCATENATE(LEFT(RIGHT(CONCATENATE("000",#REF!),6),3),"-",(RIGHT(RIGHT(CONCATENATE("000",#REF!),6),3)))</f>
        <v>#REF!</v>
      </c>
    </row>
    <row r="88" spans="1:2" ht="14.5">
      <c r="B88" s="380" t="e">
        <f>CONCATENATE(LEFT(RIGHT(CONCATENATE("000",#REF!),6),3),"-",(RIGHT(RIGHT(CONCATENATE("000",#REF!),6),3)))</f>
        <v>#REF!</v>
      </c>
    </row>
    <row r="89" spans="1:2" ht="14.5">
      <c r="B89" s="380" t="e">
        <f>CONCATENATE(LEFT(RIGHT(CONCATENATE("000",#REF!),6),3),"-",(RIGHT(RIGHT(CONCATENATE("000",#REF!),6),3)))</f>
        <v>#REF!</v>
      </c>
    </row>
    <row r="90" spans="1:2" ht="14.5">
      <c r="B90" s="380" t="e">
        <f>CONCATENATE(LEFT(RIGHT(CONCATENATE("000",#REF!),6),3),"-",(RIGHT(RIGHT(CONCATENATE("000",#REF!),6),3)))</f>
        <v>#REF!</v>
      </c>
    </row>
    <row r="91" spans="1:2" ht="14.5">
      <c r="B91" s="380" t="e">
        <f>CONCATENATE(LEFT(RIGHT(CONCATENATE("000",#REF!),6),3),"-",(RIGHT(RIGHT(CONCATENATE("000",#REF!),6),3)))</f>
        <v>#REF!</v>
      </c>
    </row>
    <row r="92" spans="1:2" ht="14.5">
      <c r="B92" s="380" t="e">
        <f>CONCATENATE(LEFT(RIGHT(CONCATENATE("000",#REF!),6),3),"-",(RIGHT(RIGHT(CONCATENATE("000",#REF!),6),3)))</f>
        <v>#REF!</v>
      </c>
    </row>
    <row r="93" spans="1:2" ht="14.5">
      <c r="B93" s="380" t="e">
        <f>CONCATENATE(LEFT(RIGHT(CONCATENATE("000",#REF!),6),3),"-",(RIGHT(RIGHT(CONCATENATE("000",#REF!),6),3)))</f>
        <v>#REF!</v>
      </c>
    </row>
  </sheetData>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C1016"/>
  <sheetViews>
    <sheetView topLeftCell="A321" workbookViewId="0">
      <selection activeCell="C329" sqref="C329"/>
    </sheetView>
  </sheetViews>
  <sheetFormatPr defaultRowHeight="12.5"/>
  <cols>
    <col min="3" max="3" width="13.7265625" customWidth="1"/>
    <col min="5" max="5" width="8.7265625" customWidth="1"/>
  </cols>
  <sheetData>
    <row r="1" spans="1:3" ht="14.5">
      <c r="A1" s="74" t="s">
        <v>5748</v>
      </c>
      <c r="B1" s="380" t="str">
        <f>CONCATENATE(LEFT(RIGHT(CONCATENATE("000",A1),6),3),"-",(RIGHT(RIGHT(CONCATENATE("000",A1),6),3)))</f>
        <v>001-902</v>
      </c>
      <c r="C1" s="731">
        <v>0</v>
      </c>
    </row>
    <row r="2" spans="1:3" ht="14.5">
      <c r="A2" s="74" t="s">
        <v>2849</v>
      </c>
      <c r="B2" s="380" t="str">
        <f t="shared" ref="B2:B65" si="0">CONCATENATE(LEFT(RIGHT(CONCATENATE("000",A2),6),3),"-",(RIGHT(RIGHT(CONCATENATE("000",A2),6),3)))</f>
        <v>001-903</v>
      </c>
      <c r="C2" s="731">
        <v>0</v>
      </c>
    </row>
    <row r="3" spans="1:3" ht="14.5">
      <c r="A3" s="74" t="s">
        <v>4918</v>
      </c>
      <c r="B3" s="380" t="str">
        <f t="shared" si="0"/>
        <v>001-904</v>
      </c>
      <c r="C3" s="731">
        <v>0</v>
      </c>
    </row>
    <row r="4" spans="1:3" ht="14.5">
      <c r="A4" s="74" t="s">
        <v>4919</v>
      </c>
      <c r="B4" s="380" t="str">
        <f t="shared" si="0"/>
        <v>001-906</v>
      </c>
      <c r="C4" s="731">
        <v>0</v>
      </c>
    </row>
    <row r="5" spans="1:3" ht="14.5">
      <c r="A5" s="74" t="s">
        <v>2850</v>
      </c>
      <c r="B5" s="380" t="str">
        <f t="shared" si="0"/>
        <v>001-907</v>
      </c>
      <c r="C5" s="731">
        <v>0</v>
      </c>
    </row>
    <row r="6" spans="1:3" ht="14.5">
      <c r="A6" s="74" t="s">
        <v>5749</v>
      </c>
      <c r="B6" s="380" t="str">
        <f t="shared" si="0"/>
        <v>001-908</v>
      </c>
      <c r="C6" s="731">
        <v>0</v>
      </c>
    </row>
    <row r="7" spans="1:3" ht="14.5">
      <c r="A7" s="74" t="s">
        <v>4920</v>
      </c>
      <c r="B7" s="380" t="str">
        <f t="shared" si="0"/>
        <v>001-909</v>
      </c>
      <c r="C7" s="731">
        <v>0</v>
      </c>
    </row>
    <row r="8" spans="1:3" ht="14.5">
      <c r="A8" s="74" t="s">
        <v>4921</v>
      </c>
      <c r="B8" s="380" t="str">
        <f t="shared" si="0"/>
        <v>002-901</v>
      </c>
      <c r="C8" s="731">
        <v>0</v>
      </c>
    </row>
    <row r="9" spans="1:3" ht="14.5">
      <c r="A9" s="74" t="s">
        <v>2851</v>
      </c>
      <c r="B9" s="380" t="str">
        <f t="shared" si="0"/>
        <v>003-902</v>
      </c>
      <c r="C9" s="731">
        <v>0</v>
      </c>
    </row>
    <row r="10" spans="1:3" ht="14.5">
      <c r="A10" s="74" t="s">
        <v>4922</v>
      </c>
      <c r="B10" s="380" t="str">
        <f t="shared" si="0"/>
        <v>003-903</v>
      </c>
      <c r="C10" s="731">
        <v>0</v>
      </c>
    </row>
    <row r="11" spans="1:3" ht="14.5">
      <c r="A11" s="74" t="s">
        <v>2852</v>
      </c>
      <c r="B11" s="380" t="str">
        <f t="shared" si="0"/>
        <v>003-904</v>
      </c>
      <c r="C11" s="731">
        <v>0</v>
      </c>
    </row>
    <row r="12" spans="1:3" ht="14.5">
      <c r="A12" s="74" t="s">
        <v>2853</v>
      </c>
      <c r="B12" s="380" t="str">
        <f t="shared" si="0"/>
        <v>003-905</v>
      </c>
      <c r="C12" s="731">
        <v>0</v>
      </c>
    </row>
    <row r="13" spans="1:3" ht="14.5">
      <c r="A13" s="74" t="s">
        <v>4923</v>
      </c>
      <c r="B13" s="380" t="str">
        <f t="shared" si="0"/>
        <v>003-906</v>
      </c>
      <c r="C13" s="731">
        <v>0</v>
      </c>
    </row>
    <row r="14" spans="1:3" ht="14.5">
      <c r="A14" s="74" t="s">
        <v>2854</v>
      </c>
      <c r="B14" s="380" t="str">
        <f t="shared" si="0"/>
        <v>003-907</v>
      </c>
      <c r="C14" s="731">
        <v>0</v>
      </c>
    </row>
    <row r="15" spans="1:3" ht="14.5">
      <c r="A15" s="74" t="s">
        <v>4924</v>
      </c>
      <c r="B15" s="380" t="str">
        <f t="shared" si="0"/>
        <v>004-901</v>
      </c>
      <c r="C15" s="731">
        <v>0</v>
      </c>
    </row>
    <row r="16" spans="1:3" ht="14.5">
      <c r="A16" s="74" t="s">
        <v>4925</v>
      </c>
      <c r="B16" s="380" t="str">
        <f t="shared" si="0"/>
        <v>005-901</v>
      </c>
      <c r="C16" s="731">
        <v>0</v>
      </c>
    </row>
    <row r="17" spans="1:3" ht="14.5">
      <c r="A17" s="74" t="s">
        <v>4926</v>
      </c>
      <c r="B17" s="380" t="str">
        <f t="shared" si="0"/>
        <v>005-902</v>
      </c>
      <c r="C17" s="731">
        <v>0</v>
      </c>
    </row>
    <row r="18" spans="1:3" ht="14.5">
      <c r="A18" s="74" t="s">
        <v>2855</v>
      </c>
      <c r="B18" s="380" t="str">
        <f t="shared" si="0"/>
        <v>005-904</v>
      </c>
      <c r="C18" s="731">
        <v>0</v>
      </c>
    </row>
    <row r="19" spans="1:3" ht="14.5">
      <c r="A19" s="74" t="s">
        <v>4927</v>
      </c>
      <c r="B19" s="380" t="str">
        <f t="shared" si="0"/>
        <v>006-902</v>
      </c>
      <c r="C19" s="731">
        <v>0</v>
      </c>
    </row>
    <row r="20" spans="1:3" ht="14.5">
      <c r="A20" s="74" t="s">
        <v>2856</v>
      </c>
      <c r="B20" s="380" t="str">
        <f t="shared" si="0"/>
        <v>007-901</v>
      </c>
      <c r="C20" s="731">
        <v>0</v>
      </c>
    </row>
    <row r="21" spans="1:3" ht="14.5">
      <c r="A21" s="74" t="s">
        <v>5750</v>
      </c>
      <c r="B21" s="380" t="str">
        <f t="shared" si="0"/>
        <v>007-902</v>
      </c>
      <c r="C21" s="731">
        <v>0</v>
      </c>
    </row>
    <row r="22" spans="1:3" ht="14.5">
      <c r="A22" s="74" t="s">
        <v>2857</v>
      </c>
      <c r="B22" s="380" t="str">
        <f t="shared" si="0"/>
        <v>007-904</v>
      </c>
      <c r="C22" s="731">
        <v>0</v>
      </c>
    </row>
    <row r="23" spans="1:3" ht="14.5">
      <c r="A23" s="74" t="s">
        <v>2858</v>
      </c>
      <c r="B23" s="380" t="str">
        <f t="shared" si="0"/>
        <v>007-905</v>
      </c>
      <c r="C23" s="731">
        <v>0</v>
      </c>
    </row>
    <row r="24" spans="1:3" ht="14.5">
      <c r="A24" s="74" t="s">
        <v>2859</v>
      </c>
      <c r="B24" s="380" t="str">
        <f t="shared" si="0"/>
        <v>007-906</v>
      </c>
      <c r="C24" s="731">
        <v>0</v>
      </c>
    </row>
    <row r="25" spans="1:3" ht="14.5">
      <c r="A25" s="74" t="s">
        <v>4928</v>
      </c>
      <c r="B25" s="380" t="str">
        <f t="shared" si="0"/>
        <v>008-901</v>
      </c>
      <c r="C25" s="731">
        <v>0</v>
      </c>
    </row>
    <row r="26" spans="1:3" ht="14.5">
      <c r="A26" s="74" t="s">
        <v>4929</v>
      </c>
      <c r="B26" s="380" t="str">
        <f t="shared" si="0"/>
        <v>008-902</v>
      </c>
      <c r="C26" s="731">
        <v>0</v>
      </c>
    </row>
    <row r="27" spans="1:3" ht="14.5">
      <c r="A27" s="74" t="s">
        <v>4930</v>
      </c>
      <c r="B27" s="380" t="str">
        <f t="shared" si="0"/>
        <v>008-903</v>
      </c>
      <c r="C27" s="731">
        <v>0</v>
      </c>
    </row>
    <row r="28" spans="1:3" ht="14.5">
      <c r="A28" s="74" t="s">
        <v>2860</v>
      </c>
      <c r="B28" s="380" t="str">
        <f t="shared" si="0"/>
        <v>009-901</v>
      </c>
      <c r="C28" s="731">
        <v>0</v>
      </c>
    </row>
    <row r="29" spans="1:3" ht="14.5">
      <c r="A29" s="74" t="s">
        <v>5751</v>
      </c>
      <c r="B29" s="380" t="str">
        <f t="shared" si="0"/>
        <v>010-901</v>
      </c>
      <c r="C29" s="731">
        <v>0</v>
      </c>
    </row>
    <row r="30" spans="1:3" ht="14.5">
      <c r="A30" s="74" t="s">
        <v>2861</v>
      </c>
      <c r="B30" s="380" t="str">
        <f t="shared" si="0"/>
        <v>010-902</v>
      </c>
      <c r="C30" s="731">
        <v>0</v>
      </c>
    </row>
    <row r="31" spans="1:3" ht="14.5">
      <c r="A31" s="74" t="s">
        <v>2862</v>
      </c>
      <c r="B31" s="380" t="str">
        <f t="shared" si="0"/>
        <v>011-901</v>
      </c>
      <c r="C31" s="731">
        <v>0</v>
      </c>
    </row>
    <row r="32" spans="1:3" ht="14.5">
      <c r="A32" s="74" t="s">
        <v>2863</v>
      </c>
      <c r="B32" s="380" t="str">
        <f t="shared" si="0"/>
        <v>011-902</v>
      </c>
      <c r="C32" s="731">
        <v>0</v>
      </c>
    </row>
    <row r="33" spans="1:3" ht="14.5">
      <c r="A33" s="74" t="s">
        <v>2864</v>
      </c>
      <c r="B33" s="380" t="str">
        <f t="shared" si="0"/>
        <v>011-904</v>
      </c>
      <c r="C33" s="731">
        <v>0</v>
      </c>
    </row>
    <row r="34" spans="1:3" ht="14.5">
      <c r="A34" s="74" t="s">
        <v>2865</v>
      </c>
      <c r="B34" s="380" t="str">
        <f t="shared" si="0"/>
        <v>011-905</v>
      </c>
      <c r="C34" s="731">
        <v>0</v>
      </c>
    </row>
    <row r="35" spans="1:3" ht="14.5">
      <c r="A35" s="74" t="s">
        <v>5752</v>
      </c>
      <c r="B35" s="380" t="str">
        <f t="shared" si="0"/>
        <v>012-901</v>
      </c>
      <c r="C35" s="731">
        <v>0</v>
      </c>
    </row>
    <row r="36" spans="1:3" ht="14.5">
      <c r="A36" s="74" t="s">
        <v>2866</v>
      </c>
      <c r="B36" s="380" t="str">
        <f t="shared" si="0"/>
        <v>013-901</v>
      </c>
      <c r="C36" s="731">
        <v>0</v>
      </c>
    </row>
    <row r="37" spans="1:3" ht="14.5">
      <c r="A37" s="74" t="s">
        <v>4931</v>
      </c>
      <c r="B37" s="380" t="str">
        <f t="shared" si="0"/>
        <v>013-902</v>
      </c>
      <c r="C37" s="731">
        <v>0</v>
      </c>
    </row>
    <row r="38" spans="1:3" ht="14.5">
      <c r="A38" s="74" t="s">
        <v>4932</v>
      </c>
      <c r="B38" s="380" t="str">
        <f t="shared" si="0"/>
        <v>013-903</v>
      </c>
      <c r="C38" s="731">
        <v>0</v>
      </c>
    </row>
    <row r="39" spans="1:3" ht="14.5">
      <c r="A39" s="74" t="s">
        <v>2867</v>
      </c>
      <c r="B39" s="380" t="str">
        <f t="shared" si="0"/>
        <v>013-905</v>
      </c>
      <c r="C39" s="731">
        <v>0</v>
      </c>
    </row>
    <row r="40" spans="1:3" ht="14.5">
      <c r="A40" s="74" t="s">
        <v>4933</v>
      </c>
      <c r="B40" s="380" t="str">
        <f t="shared" si="0"/>
        <v>014-901</v>
      </c>
      <c r="C40" s="731">
        <v>0</v>
      </c>
    </row>
    <row r="41" spans="1:3" ht="14.5">
      <c r="A41" s="74" t="s">
        <v>2868</v>
      </c>
      <c r="B41" s="380" t="str">
        <f t="shared" si="0"/>
        <v>014-902</v>
      </c>
      <c r="C41" s="731">
        <v>0</v>
      </c>
    </row>
    <row r="42" spans="1:3" ht="14.5">
      <c r="A42" s="74" t="s">
        <v>2869</v>
      </c>
      <c r="B42" s="380" t="str">
        <f t="shared" si="0"/>
        <v>014-903</v>
      </c>
      <c r="C42" s="731">
        <v>0</v>
      </c>
    </row>
    <row r="43" spans="1:3" ht="14.5">
      <c r="A43" s="74" t="s">
        <v>2870</v>
      </c>
      <c r="B43" s="380" t="str">
        <f t="shared" si="0"/>
        <v>014-905</v>
      </c>
      <c r="C43" s="731">
        <v>0</v>
      </c>
    </row>
    <row r="44" spans="1:3" ht="14.5">
      <c r="A44" s="74" t="s">
        <v>2871</v>
      </c>
      <c r="B44" s="380" t="str">
        <f t="shared" si="0"/>
        <v>014-906</v>
      </c>
      <c r="C44" s="731">
        <v>0</v>
      </c>
    </row>
    <row r="45" spans="1:3" ht="14.5">
      <c r="A45" s="74" t="s">
        <v>2872</v>
      </c>
      <c r="B45" s="380" t="str">
        <f t="shared" si="0"/>
        <v>014-907</v>
      </c>
      <c r="C45" s="731">
        <v>0</v>
      </c>
    </row>
    <row r="46" spans="1:3" ht="14.5">
      <c r="A46" s="74" t="s">
        <v>2873</v>
      </c>
      <c r="B46" s="380" t="str">
        <f t="shared" si="0"/>
        <v>014-908</v>
      </c>
      <c r="C46" s="731">
        <v>0</v>
      </c>
    </row>
    <row r="47" spans="1:3" ht="14.5">
      <c r="A47" s="74" t="s">
        <v>2874</v>
      </c>
      <c r="B47" s="380" t="str">
        <f t="shared" si="0"/>
        <v>014-909</v>
      </c>
      <c r="C47" s="731">
        <v>0</v>
      </c>
    </row>
    <row r="48" spans="1:3" ht="14.5">
      <c r="A48" s="74" t="s">
        <v>2875</v>
      </c>
      <c r="B48" s="380" t="str">
        <f t="shared" si="0"/>
        <v>014-910</v>
      </c>
      <c r="C48" s="731">
        <v>0</v>
      </c>
    </row>
    <row r="49" spans="1:3" ht="14.5">
      <c r="A49" s="74" t="s">
        <v>4934</v>
      </c>
      <c r="B49" s="380" t="str">
        <f t="shared" si="0"/>
        <v>015-901</v>
      </c>
      <c r="C49" s="731">
        <v>0</v>
      </c>
    </row>
    <row r="50" spans="1:3" ht="14.5">
      <c r="A50" s="74" t="s">
        <v>2876</v>
      </c>
      <c r="B50" s="380" t="str">
        <f t="shared" si="0"/>
        <v>015-904</v>
      </c>
      <c r="C50" s="731">
        <v>0</v>
      </c>
    </row>
    <row r="51" spans="1:3" ht="14.5">
      <c r="A51" s="74" t="s">
        <v>2877</v>
      </c>
      <c r="B51" s="380" t="str">
        <f t="shared" si="0"/>
        <v>015-905</v>
      </c>
      <c r="C51" s="731">
        <v>0</v>
      </c>
    </row>
    <row r="52" spans="1:3" ht="14.5">
      <c r="A52" s="74" t="s">
        <v>2878</v>
      </c>
      <c r="B52" s="380" t="str">
        <f t="shared" si="0"/>
        <v>015-907</v>
      </c>
      <c r="C52" s="731">
        <v>0</v>
      </c>
    </row>
    <row r="53" spans="1:3" ht="14.5">
      <c r="A53" s="74" t="s">
        <v>2879</v>
      </c>
      <c r="B53" s="380" t="str">
        <f t="shared" si="0"/>
        <v>015-908</v>
      </c>
      <c r="C53" s="731">
        <v>0</v>
      </c>
    </row>
    <row r="54" spans="1:3" ht="14.5">
      <c r="A54" s="74" t="s">
        <v>2880</v>
      </c>
      <c r="B54" s="380" t="str">
        <f t="shared" si="0"/>
        <v>015-909</v>
      </c>
      <c r="C54" s="731">
        <v>0</v>
      </c>
    </row>
    <row r="55" spans="1:3" ht="14.5">
      <c r="A55" s="74" t="s">
        <v>2881</v>
      </c>
      <c r="B55" s="380" t="str">
        <f t="shared" si="0"/>
        <v>015-910</v>
      </c>
      <c r="C55" s="731">
        <v>0</v>
      </c>
    </row>
    <row r="56" spans="1:3" ht="14.5">
      <c r="A56" s="74" t="s">
        <v>2882</v>
      </c>
      <c r="B56" s="380" t="str">
        <f t="shared" si="0"/>
        <v>015-911</v>
      </c>
      <c r="C56" s="731">
        <v>0</v>
      </c>
    </row>
    <row r="57" spans="1:3" ht="14.5">
      <c r="A57" s="74" t="s">
        <v>2883</v>
      </c>
      <c r="B57" s="380" t="str">
        <f t="shared" si="0"/>
        <v>015-912</v>
      </c>
      <c r="C57" s="731">
        <v>0</v>
      </c>
    </row>
    <row r="58" spans="1:3" ht="14.5">
      <c r="A58" s="74" t="s">
        <v>2884</v>
      </c>
      <c r="B58" s="380" t="str">
        <f t="shared" si="0"/>
        <v>015-915</v>
      </c>
      <c r="C58" s="731">
        <v>0</v>
      </c>
    </row>
    <row r="59" spans="1:3" ht="14.5">
      <c r="A59" s="74" t="s">
        <v>2885</v>
      </c>
      <c r="B59" s="380" t="str">
        <f t="shared" si="0"/>
        <v>015-916</v>
      </c>
      <c r="C59" s="731">
        <v>0</v>
      </c>
    </row>
    <row r="60" spans="1:3" ht="14.5">
      <c r="A60" s="74" t="s">
        <v>2886</v>
      </c>
      <c r="B60" s="380" t="str">
        <f t="shared" si="0"/>
        <v>015-917</v>
      </c>
      <c r="C60" s="731">
        <v>0</v>
      </c>
    </row>
    <row r="61" spans="1:3" ht="14.5">
      <c r="A61" s="74" t="s">
        <v>4935</v>
      </c>
      <c r="B61" s="380" t="str">
        <f t="shared" si="0"/>
        <v>016-901</v>
      </c>
      <c r="C61" s="731">
        <v>0</v>
      </c>
    </row>
    <row r="62" spans="1:3" ht="14.5">
      <c r="A62" s="74" t="s">
        <v>2887</v>
      </c>
      <c r="B62" s="380" t="str">
        <f t="shared" si="0"/>
        <v>016-902</v>
      </c>
      <c r="C62" s="731">
        <v>0</v>
      </c>
    </row>
    <row r="63" spans="1:3" ht="14.5">
      <c r="A63" s="74" t="s">
        <v>4936</v>
      </c>
      <c r="B63" s="380" t="str">
        <f t="shared" si="0"/>
        <v>017-901</v>
      </c>
      <c r="C63" s="731">
        <v>2524025</v>
      </c>
    </row>
    <row r="64" spans="1:3" ht="14.5">
      <c r="A64" s="74" t="s">
        <v>2888</v>
      </c>
      <c r="B64" s="380" t="str">
        <f t="shared" si="0"/>
        <v>018-901</v>
      </c>
      <c r="C64" s="731">
        <v>0</v>
      </c>
    </row>
    <row r="65" spans="1:3" ht="14.5">
      <c r="A65" s="74" t="s">
        <v>2889</v>
      </c>
      <c r="B65" s="380" t="str">
        <f t="shared" si="0"/>
        <v>018-902</v>
      </c>
      <c r="C65" s="731">
        <v>0</v>
      </c>
    </row>
    <row r="66" spans="1:3" ht="14.5">
      <c r="A66" s="74" t="s">
        <v>5753</v>
      </c>
      <c r="B66" s="380" t="str">
        <f t="shared" ref="B66:B129" si="1">CONCATENATE(LEFT(RIGHT(CONCATENATE("000",A66),6),3),"-",(RIGHT(RIGHT(CONCATENATE("000",A66),6),3)))</f>
        <v>018-903</v>
      </c>
      <c r="C66" s="731">
        <v>0</v>
      </c>
    </row>
    <row r="67" spans="1:3" ht="14.5">
      <c r="A67" s="74" t="s">
        <v>2890</v>
      </c>
      <c r="B67" s="380" t="str">
        <f t="shared" si="1"/>
        <v>018-904</v>
      </c>
      <c r="C67" s="731">
        <v>0</v>
      </c>
    </row>
    <row r="68" spans="1:3" ht="14.5">
      <c r="A68" s="74" t="s">
        <v>3522</v>
      </c>
      <c r="B68" s="380" t="str">
        <f t="shared" si="1"/>
        <v>018-905</v>
      </c>
      <c r="C68" s="731">
        <v>0</v>
      </c>
    </row>
    <row r="69" spans="1:3" ht="14.5">
      <c r="A69" s="74" t="s">
        <v>4937</v>
      </c>
      <c r="B69" s="380" t="str">
        <f t="shared" si="1"/>
        <v>018-906</v>
      </c>
      <c r="C69" s="731">
        <v>0</v>
      </c>
    </row>
    <row r="70" spans="1:3" ht="14.5">
      <c r="A70" s="74" t="s">
        <v>4938</v>
      </c>
      <c r="B70" s="380" t="str">
        <f t="shared" si="1"/>
        <v>018-907</v>
      </c>
      <c r="C70" s="731">
        <v>0</v>
      </c>
    </row>
    <row r="71" spans="1:3" ht="14.5">
      <c r="A71" s="74" t="s">
        <v>5754</v>
      </c>
      <c r="B71" s="380" t="str">
        <f t="shared" si="1"/>
        <v>018-908</v>
      </c>
      <c r="C71" s="731">
        <v>0</v>
      </c>
    </row>
    <row r="72" spans="1:3" ht="14.5">
      <c r="A72" s="74" t="s">
        <v>3524</v>
      </c>
      <c r="B72" s="380" t="str">
        <f t="shared" si="1"/>
        <v>019-901</v>
      </c>
      <c r="C72" s="731">
        <v>0</v>
      </c>
    </row>
    <row r="73" spans="1:3" ht="14.5">
      <c r="A73" s="74" t="s">
        <v>2891</v>
      </c>
      <c r="B73" s="380" t="str">
        <f t="shared" si="1"/>
        <v>019-902</v>
      </c>
      <c r="C73" s="731">
        <v>0</v>
      </c>
    </row>
    <row r="74" spans="1:3" ht="14.5">
      <c r="A74" s="74" t="s">
        <v>2892</v>
      </c>
      <c r="B74" s="380" t="str">
        <f t="shared" si="1"/>
        <v>019-903</v>
      </c>
      <c r="C74" s="731">
        <v>0</v>
      </c>
    </row>
    <row r="75" spans="1:3" ht="14.5">
      <c r="A75" s="74" t="s">
        <v>2893</v>
      </c>
      <c r="B75" s="380" t="str">
        <f t="shared" si="1"/>
        <v>019-905</v>
      </c>
      <c r="C75" s="731">
        <v>0</v>
      </c>
    </row>
    <row r="76" spans="1:3" ht="14.5">
      <c r="A76" s="74" t="s">
        <v>4939</v>
      </c>
      <c r="B76" s="380" t="str">
        <f t="shared" si="1"/>
        <v>019-906</v>
      </c>
      <c r="C76" s="731">
        <v>0</v>
      </c>
    </row>
    <row r="77" spans="1:3" ht="14.5">
      <c r="A77" s="74" t="s">
        <v>4940</v>
      </c>
      <c r="B77" s="380" t="str">
        <f t="shared" si="1"/>
        <v>019-907</v>
      </c>
      <c r="C77" s="731">
        <v>0</v>
      </c>
    </row>
    <row r="78" spans="1:3" ht="14.5">
      <c r="A78" s="74" t="s">
        <v>4941</v>
      </c>
      <c r="B78" s="380" t="str">
        <f t="shared" si="1"/>
        <v>019-908</v>
      </c>
      <c r="C78" s="731">
        <v>0</v>
      </c>
    </row>
    <row r="79" spans="1:3" ht="14.5">
      <c r="A79" s="74" t="s">
        <v>2894</v>
      </c>
      <c r="B79" s="380" t="str">
        <f t="shared" si="1"/>
        <v>019-909</v>
      </c>
      <c r="C79" s="731">
        <v>0</v>
      </c>
    </row>
    <row r="80" spans="1:3" ht="14.5">
      <c r="A80" s="74" t="s">
        <v>2895</v>
      </c>
      <c r="B80" s="380" t="str">
        <f t="shared" si="1"/>
        <v>019-910</v>
      </c>
      <c r="C80" s="731">
        <v>0</v>
      </c>
    </row>
    <row r="81" spans="1:3" ht="14.5">
      <c r="A81" s="74" t="s">
        <v>4942</v>
      </c>
      <c r="B81" s="380" t="str">
        <f t="shared" si="1"/>
        <v>019-911</v>
      </c>
      <c r="C81" s="731">
        <v>0</v>
      </c>
    </row>
    <row r="82" spans="1:3" ht="14.5">
      <c r="A82" s="74" t="s">
        <v>4943</v>
      </c>
      <c r="B82" s="380" t="str">
        <f t="shared" si="1"/>
        <v>019-912</v>
      </c>
      <c r="C82" s="731">
        <v>0</v>
      </c>
    </row>
    <row r="83" spans="1:3" ht="14.5">
      <c r="A83" s="74" t="s">
        <v>5755</v>
      </c>
      <c r="B83" s="380" t="str">
        <f t="shared" si="1"/>
        <v>019-913</v>
      </c>
      <c r="C83" s="731">
        <v>0</v>
      </c>
    </row>
    <row r="84" spans="1:3" ht="14.5">
      <c r="A84" s="74" t="s">
        <v>5756</v>
      </c>
      <c r="B84" s="380" t="str">
        <f t="shared" si="1"/>
        <v>019-914</v>
      </c>
      <c r="C84" s="731">
        <v>0</v>
      </c>
    </row>
    <row r="85" spans="1:3" ht="14.5">
      <c r="A85" s="74" t="s">
        <v>2896</v>
      </c>
      <c r="B85" s="380" t="str">
        <f t="shared" si="1"/>
        <v>020-901</v>
      </c>
      <c r="C85" s="731">
        <v>0</v>
      </c>
    </row>
    <row r="86" spans="1:3" ht="14.5">
      <c r="A86" s="74" t="s">
        <v>4944</v>
      </c>
      <c r="B86" s="380" t="str">
        <f t="shared" si="1"/>
        <v>020-902</v>
      </c>
      <c r="C86" s="731">
        <v>0</v>
      </c>
    </row>
    <row r="87" spans="1:3" ht="14.5">
      <c r="A87" s="74" t="s">
        <v>2897</v>
      </c>
      <c r="B87" s="380" t="str">
        <f t="shared" si="1"/>
        <v>020-904</v>
      </c>
      <c r="C87" s="731">
        <v>0</v>
      </c>
    </row>
    <row r="88" spans="1:3" ht="14.5">
      <c r="A88" s="74" t="s">
        <v>4945</v>
      </c>
      <c r="B88" s="380" t="str">
        <f t="shared" si="1"/>
        <v>020-905</v>
      </c>
      <c r="C88" s="731">
        <v>0</v>
      </c>
    </row>
    <row r="89" spans="1:3" ht="14.5">
      <c r="A89" s="74" t="s">
        <v>4946</v>
      </c>
      <c r="B89" s="380" t="str">
        <f t="shared" si="1"/>
        <v>020-906</v>
      </c>
      <c r="C89" s="731">
        <v>0</v>
      </c>
    </row>
    <row r="90" spans="1:3" ht="14.5">
      <c r="A90" s="74" t="s">
        <v>2898</v>
      </c>
      <c r="B90" s="380" t="str">
        <f t="shared" si="1"/>
        <v>020-907</v>
      </c>
      <c r="C90" s="731">
        <v>0</v>
      </c>
    </row>
    <row r="91" spans="1:3" ht="14.5">
      <c r="A91" s="74" t="s">
        <v>2899</v>
      </c>
      <c r="B91" s="380" t="str">
        <f t="shared" si="1"/>
        <v>020-908</v>
      </c>
      <c r="C91" s="731">
        <v>0</v>
      </c>
    </row>
    <row r="92" spans="1:3" ht="14.5">
      <c r="A92" s="74" t="s">
        <v>2900</v>
      </c>
      <c r="B92" s="380" t="str">
        <f t="shared" si="1"/>
        <v>020-910</v>
      </c>
      <c r="C92" s="731">
        <v>0</v>
      </c>
    </row>
    <row r="93" spans="1:3" ht="14.5">
      <c r="A93" s="74" t="s">
        <v>2901</v>
      </c>
      <c r="B93" s="380" t="str">
        <f t="shared" si="1"/>
        <v>021-901</v>
      </c>
      <c r="C93" s="731">
        <v>0</v>
      </c>
    </row>
    <row r="94" spans="1:3" ht="14.5">
      <c r="A94" s="74" t="s">
        <v>2902</v>
      </c>
      <c r="B94" s="380" t="str">
        <f t="shared" si="1"/>
        <v>021-902</v>
      </c>
      <c r="C94" s="731">
        <v>0</v>
      </c>
    </row>
    <row r="95" spans="1:3" ht="14.5">
      <c r="A95" s="74" t="s">
        <v>5757</v>
      </c>
      <c r="B95" s="380" t="str">
        <f t="shared" si="1"/>
        <v>022-004</v>
      </c>
      <c r="C95" s="731">
        <v>0</v>
      </c>
    </row>
    <row r="96" spans="1:3" ht="14.5">
      <c r="A96" s="74" t="s">
        <v>4947</v>
      </c>
      <c r="B96" s="380" t="str">
        <f t="shared" si="1"/>
        <v>022-901</v>
      </c>
      <c r="C96" s="731">
        <v>0</v>
      </c>
    </row>
    <row r="97" spans="1:3" ht="14.5">
      <c r="A97" s="74" t="s">
        <v>5758</v>
      </c>
      <c r="B97" s="380" t="str">
        <f t="shared" si="1"/>
        <v>022-902</v>
      </c>
      <c r="C97" s="731">
        <v>0</v>
      </c>
    </row>
    <row r="98" spans="1:3" ht="14.5">
      <c r="A98" s="74" t="s">
        <v>5759</v>
      </c>
      <c r="B98" s="380" t="str">
        <f t="shared" si="1"/>
        <v>022-903</v>
      </c>
      <c r="C98" s="731">
        <v>0</v>
      </c>
    </row>
    <row r="99" spans="1:3" ht="14.5">
      <c r="A99" s="74" t="s">
        <v>5760</v>
      </c>
      <c r="B99" s="380" t="str">
        <f t="shared" si="1"/>
        <v>023-902</v>
      </c>
      <c r="C99" s="731">
        <v>0</v>
      </c>
    </row>
    <row r="100" spans="1:3" ht="14.5">
      <c r="A100" s="74" t="s">
        <v>4948</v>
      </c>
      <c r="B100" s="380" t="str">
        <f t="shared" si="1"/>
        <v>024-901</v>
      </c>
      <c r="C100" s="731">
        <v>0</v>
      </c>
    </row>
    <row r="101" spans="1:3" ht="14.5">
      <c r="A101" s="74" t="s">
        <v>4949</v>
      </c>
      <c r="B101" s="380" t="str">
        <f t="shared" si="1"/>
        <v>025-901</v>
      </c>
      <c r="C101" s="731">
        <v>0</v>
      </c>
    </row>
    <row r="102" spans="1:3" ht="14.5">
      <c r="A102" s="74" t="s">
        <v>4950</v>
      </c>
      <c r="B102" s="380" t="str">
        <f t="shared" si="1"/>
        <v>025-902</v>
      </c>
      <c r="C102" s="731">
        <v>0</v>
      </c>
    </row>
    <row r="103" spans="1:3" ht="14.5">
      <c r="A103" s="74" t="s">
        <v>2903</v>
      </c>
      <c r="B103" s="380" t="str">
        <f t="shared" si="1"/>
        <v>025-904</v>
      </c>
      <c r="C103" s="731">
        <v>0</v>
      </c>
    </row>
    <row r="104" spans="1:3" ht="14.5">
      <c r="A104" s="74" t="s">
        <v>2904</v>
      </c>
      <c r="B104" s="380" t="str">
        <f t="shared" si="1"/>
        <v>025-905</v>
      </c>
      <c r="C104" s="731">
        <v>0</v>
      </c>
    </row>
    <row r="105" spans="1:3" ht="14.5">
      <c r="A105" s="74" t="s">
        <v>2905</v>
      </c>
      <c r="B105" s="380" t="str">
        <f t="shared" si="1"/>
        <v>025-906</v>
      </c>
      <c r="C105" s="731">
        <v>0</v>
      </c>
    </row>
    <row r="106" spans="1:3" ht="14.5">
      <c r="A106" s="74" t="s">
        <v>2906</v>
      </c>
      <c r="B106" s="380" t="str">
        <f t="shared" si="1"/>
        <v>025-908</v>
      </c>
      <c r="C106" s="731">
        <v>0</v>
      </c>
    </row>
    <row r="107" spans="1:3" ht="14.5">
      <c r="A107" s="74" t="s">
        <v>2907</v>
      </c>
      <c r="B107" s="380" t="str">
        <f t="shared" si="1"/>
        <v>025-909</v>
      </c>
      <c r="C107" s="731">
        <v>0</v>
      </c>
    </row>
    <row r="108" spans="1:3" ht="14.5">
      <c r="A108" s="74" t="s">
        <v>4951</v>
      </c>
      <c r="B108" s="380" t="str">
        <f t="shared" si="1"/>
        <v>026-901</v>
      </c>
      <c r="C108" s="731">
        <v>0</v>
      </c>
    </row>
    <row r="109" spans="1:3" ht="14.5">
      <c r="A109" s="74" t="s">
        <v>4952</v>
      </c>
      <c r="B109" s="380" t="str">
        <f t="shared" si="1"/>
        <v>026-902</v>
      </c>
      <c r="C109" s="731">
        <v>0</v>
      </c>
    </row>
    <row r="110" spans="1:3" ht="14.5">
      <c r="A110" s="74" t="s">
        <v>2908</v>
      </c>
      <c r="B110" s="380" t="str">
        <f t="shared" si="1"/>
        <v>026-903</v>
      </c>
      <c r="C110" s="731">
        <v>0</v>
      </c>
    </row>
    <row r="111" spans="1:3" ht="14.5">
      <c r="A111" s="74" t="s">
        <v>2909</v>
      </c>
      <c r="B111" s="380" t="str">
        <f t="shared" si="1"/>
        <v>027-903</v>
      </c>
      <c r="C111" s="731">
        <v>0</v>
      </c>
    </row>
    <row r="112" spans="1:3" ht="14.5">
      <c r="A112" s="74" t="s">
        <v>3582</v>
      </c>
      <c r="B112" s="380" t="str">
        <f t="shared" si="1"/>
        <v>027-904</v>
      </c>
      <c r="C112" s="731">
        <v>0</v>
      </c>
    </row>
    <row r="113" spans="1:3" ht="14.5">
      <c r="A113" s="74" t="s">
        <v>2910</v>
      </c>
      <c r="B113" s="380" t="str">
        <f t="shared" si="1"/>
        <v>028-902</v>
      </c>
      <c r="C113" s="731">
        <v>0</v>
      </c>
    </row>
    <row r="114" spans="1:3" ht="14.5">
      <c r="A114" s="74" t="s">
        <v>2911</v>
      </c>
      <c r="B114" s="380" t="str">
        <f t="shared" si="1"/>
        <v>028-903</v>
      </c>
      <c r="C114" s="731">
        <v>0</v>
      </c>
    </row>
    <row r="115" spans="1:3" ht="14.5">
      <c r="A115" s="74" t="s">
        <v>5761</v>
      </c>
      <c r="B115" s="380" t="str">
        <f t="shared" si="1"/>
        <v>028-906</v>
      </c>
      <c r="C115" s="731">
        <v>0</v>
      </c>
    </row>
    <row r="116" spans="1:3" ht="14.5">
      <c r="A116" s="74" t="s">
        <v>4953</v>
      </c>
      <c r="B116" s="380" t="str">
        <f t="shared" si="1"/>
        <v>029-901</v>
      </c>
      <c r="C116" s="731">
        <v>0</v>
      </c>
    </row>
    <row r="117" spans="1:3" ht="14.5">
      <c r="A117" s="74" t="s">
        <v>5762</v>
      </c>
      <c r="B117" s="380" t="str">
        <f t="shared" si="1"/>
        <v>030-901</v>
      </c>
      <c r="C117" s="731">
        <v>0</v>
      </c>
    </row>
    <row r="118" spans="1:3" ht="14.5">
      <c r="A118" s="74" t="s">
        <v>2912</v>
      </c>
      <c r="B118" s="380" t="str">
        <f t="shared" si="1"/>
        <v>030-902</v>
      </c>
      <c r="C118" s="731">
        <v>0</v>
      </c>
    </row>
    <row r="119" spans="1:3" ht="14.5">
      <c r="A119" s="74" t="s">
        <v>2913</v>
      </c>
      <c r="B119" s="380" t="str">
        <f t="shared" si="1"/>
        <v>030-903</v>
      </c>
      <c r="C119" s="731">
        <v>0</v>
      </c>
    </row>
    <row r="120" spans="1:3" ht="14.5">
      <c r="A120" s="74" t="s">
        <v>4954</v>
      </c>
      <c r="B120" s="380" t="str">
        <f t="shared" si="1"/>
        <v>030-906</v>
      </c>
      <c r="C120" s="731">
        <v>0</v>
      </c>
    </row>
    <row r="121" spans="1:3" ht="14.5">
      <c r="A121" s="74" t="s">
        <v>2914</v>
      </c>
      <c r="B121" s="380" t="str">
        <f t="shared" si="1"/>
        <v>031-901</v>
      </c>
      <c r="C121" s="731">
        <v>0</v>
      </c>
    </row>
    <row r="122" spans="1:3" ht="14.5">
      <c r="A122" s="74" t="s">
        <v>2915</v>
      </c>
      <c r="B122" s="380" t="str">
        <f t="shared" si="1"/>
        <v>031-903</v>
      </c>
      <c r="C122" s="731">
        <v>0</v>
      </c>
    </row>
    <row r="123" spans="1:3" ht="14.5">
      <c r="A123" s="74" t="s">
        <v>2916</v>
      </c>
      <c r="B123" s="380" t="str">
        <f t="shared" si="1"/>
        <v>031-905</v>
      </c>
      <c r="C123" s="731">
        <v>0</v>
      </c>
    </row>
    <row r="124" spans="1:3" ht="14.5">
      <c r="A124" s="74" t="s">
        <v>2917</v>
      </c>
      <c r="B124" s="380" t="str">
        <f t="shared" si="1"/>
        <v>031-906</v>
      </c>
      <c r="C124" s="731">
        <v>0</v>
      </c>
    </row>
    <row r="125" spans="1:3" ht="14.5">
      <c r="A125" s="74" t="s">
        <v>4955</v>
      </c>
      <c r="B125" s="380" t="str">
        <f t="shared" si="1"/>
        <v>031-909</v>
      </c>
      <c r="C125" s="731">
        <v>0</v>
      </c>
    </row>
    <row r="126" spans="1:3" ht="14.5">
      <c r="A126" s="74" t="s">
        <v>2918</v>
      </c>
      <c r="B126" s="380" t="str">
        <f t="shared" si="1"/>
        <v>031-911</v>
      </c>
      <c r="C126" s="731">
        <v>0</v>
      </c>
    </row>
    <row r="127" spans="1:3" ht="14.5">
      <c r="A127" s="74" t="s">
        <v>2919</v>
      </c>
      <c r="B127" s="380" t="str">
        <f t="shared" si="1"/>
        <v>031-912</v>
      </c>
      <c r="C127" s="731">
        <v>0</v>
      </c>
    </row>
    <row r="128" spans="1:3" ht="14.5">
      <c r="A128" s="74" t="s">
        <v>2920</v>
      </c>
      <c r="B128" s="380" t="str">
        <f t="shared" si="1"/>
        <v>031-913</v>
      </c>
      <c r="C128" s="731">
        <v>0</v>
      </c>
    </row>
    <row r="129" spans="1:3" ht="14.5">
      <c r="A129" s="74" t="s">
        <v>2921</v>
      </c>
      <c r="B129" s="380" t="str">
        <f t="shared" si="1"/>
        <v>031-914</v>
      </c>
      <c r="C129" s="731">
        <v>0</v>
      </c>
    </row>
    <row r="130" spans="1:3" ht="14.5">
      <c r="A130" s="74" t="s">
        <v>4956</v>
      </c>
      <c r="B130" s="380" t="str">
        <f t="shared" ref="B130:B193" si="2">CONCATENATE(LEFT(RIGHT(CONCATENATE("000",A130),6),3),"-",(RIGHT(RIGHT(CONCATENATE("000",A130),6),3)))</f>
        <v>032-902</v>
      </c>
      <c r="C130" s="731">
        <v>0</v>
      </c>
    </row>
    <row r="131" spans="1:3" ht="14.5">
      <c r="A131" s="74" t="s">
        <v>4957</v>
      </c>
      <c r="B131" s="380" t="str">
        <f t="shared" si="2"/>
        <v>033-901</v>
      </c>
      <c r="C131" s="731">
        <v>0</v>
      </c>
    </row>
    <row r="132" spans="1:3" ht="14.5">
      <c r="A132" s="74" t="s">
        <v>4958</v>
      </c>
      <c r="B132" s="380" t="str">
        <f t="shared" si="2"/>
        <v>033-902</v>
      </c>
      <c r="C132" s="731">
        <v>0</v>
      </c>
    </row>
    <row r="133" spans="1:3" ht="14.5">
      <c r="A133" s="74" t="s">
        <v>4959</v>
      </c>
      <c r="B133" s="380" t="str">
        <f t="shared" si="2"/>
        <v>033-904</v>
      </c>
      <c r="C133" s="731">
        <v>0</v>
      </c>
    </row>
    <row r="134" spans="1:3" ht="14.5">
      <c r="A134" s="74" t="s">
        <v>4960</v>
      </c>
      <c r="B134" s="380" t="str">
        <f t="shared" si="2"/>
        <v>034-901</v>
      </c>
      <c r="C134" s="731">
        <v>0</v>
      </c>
    </row>
    <row r="135" spans="1:3" ht="14.5">
      <c r="A135" s="74" t="s">
        <v>5763</v>
      </c>
      <c r="B135" s="380" t="str">
        <f t="shared" si="2"/>
        <v>034-902</v>
      </c>
      <c r="C135" s="731">
        <v>0</v>
      </c>
    </row>
    <row r="136" spans="1:3" ht="14.5">
      <c r="A136" s="74" t="s">
        <v>4961</v>
      </c>
      <c r="B136" s="380" t="str">
        <f t="shared" si="2"/>
        <v>034-903</v>
      </c>
      <c r="C136" s="731">
        <v>0</v>
      </c>
    </row>
    <row r="137" spans="1:3" ht="14.5">
      <c r="A137" s="74" t="s">
        <v>5764</v>
      </c>
      <c r="B137" s="380" t="str">
        <f t="shared" si="2"/>
        <v>034-905</v>
      </c>
      <c r="C137" s="731">
        <v>0</v>
      </c>
    </row>
    <row r="138" spans="1:3" ht="14.5">
      <c r="A138" s="74" t="s">
        <v>3647</v>
      </c>
      <c r="B138" s="380" t="str">
        <f t="shared" si="2"/>
        <v>034-906</v>
      </c>
      <c r="C138" s="731">
        <v>0</v>
      </c>
    </row>
    <row r="139" spans="1:3" ht="14.5">
      <c r="A139" s="74" t="s">
        <v>4962</v>
      </c>
      <c r="B139" s="380" t="str">
        <f t="shared" si="2"/>
        <v>034-907</v>
      </c>
      <c r="C139" s="731">
        <v>0</v>
      </c>
    </row>
    <row r="140" spans="1:3" ht="14.5">
      <c r="A140" s="74" t="s">
        <v>4963</v>
      </c>
      <c r="B140" s="380" t="str">
        <f t="shared" si="2"/>
        <v>034-909</v>
      </c>
      <c r="C140" s="731">
        <v>0</v>
      </c>
    </row>
    <row r="141" spans="1:3" ht="14.5">
      <c r="A141" s="74" t="s">
        <v>4964</v>
      </c>
      <c r="B141" s="380" t="str">
        <f t="shared" si="2"/>
        <v>035-901</v>
      </c>
      <c r="C141" s="731">
        <v>0</v>
      </c>
    </row>
    <row r="142" spans="1:3" ht="14.5">
      <c r="A142" s="74" t="s">
        <v>5765</v>
      </c>
      <c r="B142" s="380" t="str">
        <f t="shared" si="2"/>
        <v>035-902</v>
      </c>
      <c r="C142" s="731">
        <v>0</v>
      </c>
    </row>
    <row r="143" spans="1:3" ht="14.5">
      <c r="A143" s="74" t="s">
        <v>2922</v>
      </c>
      <c r="B143" s="380" t="str">
        <f t="shared" si="2"/>
        <v>035-903</v>
      </c>
      <c r="C143" s="731">
        <v>0</v>
      </c>
    </row>
    <row r="144" spans="1:3" ht="14.5">
      <c r="A144" s="74" t="s">
        <v>2923</v>
      </c>
      <c r="B144" s="380" t="str">
        <f t="shared" si="2"/>
        <v>036-901</v>
      </c>
      <c r="C144" s="731">
        <v>0</v>
      </c>
    </row>
    <row r="145" spans="1:3" ht="14.5">
      <c r="A145" s="74" t="s">
        <v>4965</v>
      </c>
      <c r="B145" s="380" t="str">
        <f t="shared" si="2"/>
        <v>036-902</v>
      </c>
      <c r="C145" s="731">
        <v>2584965</v>
      </c>
    </row>
    <row r="146" spans="1:3" ht="14.5">
      <c r="A146" s="74" t="s">
        <v>2924</v>
      </c>
      <c r="B146" s="380" t="str">
        <f t="shared" si="2"/>
        <v>036-903</v>
      </c>
      <c r="C146" s="731">
        <v>0</v>
      </c>
    </row>
    <row r="147" spans="1:3" ht="14.5">
      <c r="A147" s="74" t="s">
        <v>4966</v>
      </c>
      <c r="B147" s="380" t="str">
        <f t="shared" si="2"/>
        <v>037-901</v>
      </c>
      <c r="C147" s="731">
        <v>0</v>
      </c>
    </row>
    <row r="148" spans="1:3" ht="14.5">
      <c r="A148" s="74" t="s">
        <v>2925</v>
      </c>
      <c r="B148" s="380" t="str">
        <f t="shared" si="2"/>
        <v>037-904</v>
      </c>
      <c r="C148" s="731">
        <v>0</v>
      </c>
    </row>
    <row r="149" spans="1:3" ht="14.5">
      <c r="A149" s="74" t="s">
        <v>2926</v>
      </c>
      <c r="B149" s="380" t="str">
        <f t="shared" si="2"/>
        <v>037-907</v>
      </c>
      <c r="C149" s="731">
        <v>0</v>
      </c>
    </row>
    <row r="150" spans="1:3" ht="14.5">
      <c r="A150" s="74" t="s">
        <v>3657</v>
      </c>
      <c r="B150" s="380" t="str">
        <f t="shared" si="2"/>
        <v>037-908</v>
      </c>
      <c r="C150" s="731">
        <v>0</v>
      </c>
    </row>
    <row r="151" spans="1:3" ht="14.5">
      <c r="A151" s="74" t="s">
        <v>4967</v>
      </c>
      <c r="B151" s="380" t="str">
        <f t="shared" si="2"/>
        <v>037-909</v>
      </c>
      <c r="C151" s="731">
        <v>0</v>
      </c>
    </row>
    <row r="152" spans="1:3" ht="14.5">
      <c r="A152" s="74" t="s">
        <v>2927</v>
      </c>
      <c r="B152" s="380" t="str">
        <f t="shared" si="2"/>
        <v>038-901</v>
      </c>
      <c r="C152" s="731">
        <v>0</v>
      </c>
    </row>
    <row r="153" spans="1:3" ht="14.5">
      <c r="A153" s="74" t="s">
        <v>4968</v>
      </c>
      <c r="B153" s="380" t="str">
        <f t="shared" si="2"/>
        <v>039-902</v>
      </c>
      <c r="C153" s="731">
        <v>0</v>
      </c>
    </row>
    <row r="154" spans="1:3" ht="14.5">
      <c r="A154" s="74" t="s">
        <v>2928</v>
      </c>
      <c r="B154" s="380" t="str">
        <f t="shared" si="2"/>
        <v>039-903</v>
      </c>
      <c r="C154" s="731">
        <v>0</v>
      </c>
    </row>
    <row r="155" spans="1:3" ht="14.5">
      <c r="A155" s="74" t="s">
        <v>5766</v>
      </c>
      <c r="B155" s="380" t="str">
        <f t="shared" si="2"/>
        <v>039-904</v>
      </c>
      <c r="C155" s="731">
        <v>0</v>
      </c>
    </row>
    <row r="156" spans="1:3" ht="14.5">
      <c r="A156" s="74" t="s">
        <v>5767</v>
      </c>
      <c r="B156" s="380" t="str">
        <f t="shared" si="2"/>
        <v>039-905</v>
      </c>
      <c r="C156" s="731">
        <v>0</v>
      </c>
    </row>
    <row r="157" spans="1:3" ht="14.5">
      <c r="A157" s="74" t="s">
        <v>5768</v>
      </c>
      <c r="B157" s="380" t="str">
        <f t="shared" si="2"/>
        <v>040-901</v>
      </c>
      <c r="C157" s="731">
        <v>0</v>
      </c>
    </row>
    <row r="158" spans="1:3" ht="14.5">
      <c r="A158" s="74" t="s">
        <v>4969</v>
      </c>
      <c r="B158" s="380" t="str">
        <f t="shared" si="2"/>
        <v>040-902</v>
      </c>
      <c r="C158" s="731">
        <v>397875</v>
      </c>
    </row>
    <row r="159" spans="1:3" ht="14.5">
      <c r="A159" s="74" t="s">
        <v>5769</v>
      </c>
      <c r="B159" s="380" t="str">
        <f t="shared" si="2"/>
        <v>041-901</v>
      </c>
      <c r="C159" s="731">
        <v>0</v>
      </c>
    </row>
    <row r="160" spans="1:3" ht="14.5">
      <c r="A160" s="74" t="s">
        <v>4970</v>
      </c>
      <c r="B160" s="380" t="str">
        <f t="shared" si="2"/>
        <v>041-902</v>
      </c>
      <c r="C160" s="731">
        <v>0</v>
      </c>
    </row>
    <row r="161" spans="1:3" ht="14.5">
      <c r="A161" s="74" t="s">
        <v>3664</v>
      </c>
      <c r="B161" s="380" t="str">
        <f t="shared" si="2"/>
        <v>042-901</v>
      </c>
      <c r="C161" s="731">
        <v>0</v>
      </c>
    </row>
    <row r="162" spans="1:3" ht="14.5">
      <c r="A162" s="74" t="s">
        <v>2929</v>
      </c>
      <c r="B162" s="380" t="str">
        <f t="shared" si="2"/>
        <v>042-903</v>
      </c>
      <c r="C162" s="731">
        <v>0</v>
      </c>
    </row>
    <row r="163" spans="1:3" ht="14.5">
      <c r="A163" s="74" t="s">
        <v>4971</v>
      </c>
      <c r="B163" s="380" t="str">
        <f t="shared" si="2"/>
        <v>042-905</v>
      </c>
      <c r="C163" s="731">
        <v>0</v>
      </c>
    </row>
    <row r="164" spans="1:3" ht="14.5">
      <c r="A164" s="74" t="s">
        <v>2930</v>
      </c>
      <c r="B164" s="380" t="str">
        <f t="shared" si="2"/>
        <v>043-901</v>
      </c>
      <c r="C164" s="731">
        <v>0</v>
      </c>
    </row>
    <row r="165" spans="1:3" ht="14.5">
      <c r="A165" s="74" t="s">
        <v>2931</v>
      </c>
      <c r="B165" s="380" t="str">
        <f t="shared" si="2"/>
        <v>043-902</v>
      </c>
      <c r="C165" s="731">
        <v>0</v>
      </c>
    </row>
    <row r="166" spans="1:3" ht="14.5">
      <c r="A166" s="74" t="s">
        <v>2932</v>
      </c>
      <c r="B166" s="380" t="str">
        <f t="shared" si="2"/>
        <v>043-903</v>
      </c>
      <c r="C166" s="731">
        <v>0</v>
      </c>
    </row>
    <row r="167" spans="1:3" ht="14.5">
      <c r="A167" s="74" t="s">
        <v>2933</v>
      </c>
      <c r="B167" s="380" t="str">
        <f t="shared" si="2"/>
        <v>043-904</v>
      </c>
      <c r="C167" s="731">
        <v>0</v>
      </c>
    </row>
    <row r="168" spans="1:3" ht="14.5">
      <c r="A168" s="74" t="s">
        <v>2934</v>
      </c>
      <c r="B168" s="380" t="str">
        <f t="shared" si="2"/>
        <v>043-905</v>
      </c>
      <c r="C168" s="731">
        <v>0</v>
      </c>
    </row>
    <row r="169" spans="1:3" ht="14.5">
      <c r="A169" s="74" t="s">
        <v>2935</v>
      </c>
      <c r="B169" s="380" t="str">
        <f t="shared" si="2"/>
        <v>043-907</v>
      </c>
      <c r="C169" s="731">
        <v>0</v>
      </c>
    </row>
    <row r="170" spans="1:3" ht="14.5">
      <c r="A170" s="74" t="s">
        <v>2936</v>
      </c>
      <c r="B170" s="380" t="str">
        <f t="shared" si="2"/>
        <v>043-908</v>
      </c>
      <c r="C170" s="731">
        <v>0</v>
      </c>
    </row>
    <row r="171" spans="1:3" ht="14.5">
      <c r="A171" s="74" t="s">
        <v>4972</v>
      </c>
      <c r="B171" s="380" t="str">
        <f t="shared" si="2"/>
        <v>043-910</v>
      </c>
      <c r="C171" s="731">
        <v>0</v>
      </c>
    </row>
    <row r="172" spans="1:3" ht="14.5">
      <c r="A172" s="74" t="s">
        <v>2937</v>
      </c>
      <c r="B172" s="380" t="str">
        <f t="shared" si="2"/>
        <v>043-911</v>
      </c>
      <c r="C172" s="731">
        <v>0</v>
      </c>
    </row>
    <row r="173" spans="1:3" ht="14.5">
      <c r="A173" s="74" t="s">
        <v>2938</v>
      </c>
      <c r="B173" s="380" t="str">
        <f t="shared" si="2"/>
        <v>043-912</v>
      </c>
      <c r="C173" s="731">
        <v>0</v>
      </c>
    </row>
    <row r="174" spans="1:3" ht="14.5">
      <c r="A174" s="74" t="s">
        <v>2939</v>
      </c>
      <c r="B174" s="380" t="str">
        <f t="shared" si="2"/>
        <v>043-914</v>
      </c>
      <c r="C174" s="731">
        <v>0</v>
      </c>
    </row>
    <row r="175" spans="1:3" ht="14.5">
      <c r="A175" s="74" t="s">
        <v>2940</v>
      </c>
      <c r="B175" s="380" t="str">
        <f t="shared" si="2"/>
        <v>043-917</v>
      </c>
      <c r="C175" s="731">
        <v>0</v>
      </c>
    </row>
    <row r="176" spans="1:3" ht="14.5">
      <c r="A176" s="74" t="s">
        <v>2941</v>
      </c>
      <c r="B176" s="380" t="str">
        <f t="shared" si="2"/>
        <v>043-918</v>
      </c>
      <c r="C176" s="731">
        <v>0</v>
      </c>
    </row>
    <row r="177" spans="1:3" ht="14.5">
      <c r="A177" s="74" t="s">
        <v>4973</v>
      </c>
      <c r="B177" s="380" t="str">
        <f t="shared" si="2"/>
        <v>043-919</v>
      </c>
      <c r="C177" s="731">
        <v>0</v>
      </c>
    </row>
    <row r="178" spans="1:3" ht="14.5">
      <c r="A178" s="74" t="s">
        <v>5770</v>
      </c>
      <c r="B178" s="380" t="str">
        <f t="shared" si="2"/>
        <v>044-902</v>
      </c>
      <c r="C178" s="731">
        <v>0</v>
      </c>
    </row>
    <row r="179" spans="1:3" ht="14.5">
      <c r="A179" s="74" t="s">
        <v>2942</v>
      </c>
      <c r="B179" s="380" t="str">
        <f t="shared" si="2"/>
        <v>045-902</v>
      </c>
      <c r="C179" s="731">
        <v>0</v>
      </c>
    </row>
    <row r="180" spans="1:3" ht="14.5">
      <c r="A180" s="74" t="s">
        <v>4974</v>
      </c>
      <c r="B180" s="380" t="str">
        <f t="shared" si="2"/>
        <v>045-903</v>
      </c>
      <c r="C180" s="731">
        <v>0</v>
      </c>
    </row>
    <row r="181" spans="1:3" ht="14.5">
      <c r="A181" s="74" t="s">
        <v>4975</v>
      </c>
      <c r="B181" s="380" t="str">
        <f t="shared" si="2"/>
        <v>045-905</v>
      </c>
      <c r="C181" s="731">
        <v>0</v>
      </c>
    </row>
    <row r="182" spans="1:3" ht="14.5">
      <c r="A182" s="74" t="s">
        <v>2943</v>
      </c>
      <c r="B182" s="380" t="str">
        <f t="shared" si="2"/>
        <v>046-901</v>
      </c>
      <c r="C182" s="731">
        <v>0</v>
      </c>
    </row>
    <row r="183" spans="1:3" ht="14.5">
      <c r="A183" s="74" t="s">
        <v>4976</v>
      </c>
      <c r="B183" s="380" t="str">
        <f t="shared" si="2"/>
        <v>046-902</v>
      </c>
      <c r="C183" s="731">
        <v>0</v>
      </c>
    </row>
    <row r="184" spans="1:3" ht="14.5">
      <c r="A184" s="74" t="s">
        <v>2944</v>
      </c>
      <c r="B184" s="380" t="str">
        <f t="shared" si="2"/>
        <v>047-901</v>
      </c>
      <c r="C184" s="731">
        <v>0</v>
      </c>
    </row>
    <row r="185" spans="1:3" ht="14.5">
      <c r="A185" s="74" t="s">
        <v>2945</v>
      </c>
      <c r="B185" s="380" t="str">
        <f t="shared" si="2"/>
        <v>047-902</v>
      </c>
      <c r="C185" s="731">
        <v>0</v>
      </c>
    </row>
    <row r="186" spans="1:3" ht="14.5">
      <c r="A186" s="74" t="s">
        <v>2946</v>
      </c>
      <c r="B186" s="380" t="str">
        <f t="shared" si="2"/>
        <v>047-903</v>
      </c>
      <c r="C186" s="731">
        <v>0</v>
      </c>
    </row>
    <row r="187" spans="1:3" ht="14.5">
      <c r="A187" s="74" t="s">
        <v>2947</v>
      </c>
      <c r="B187" s="380" t="str">
        <f t="shared" si="2"/>
        <v>047-905</v>
      </c>
      <c r="C187" s="731">
        <v>0</v>
      </c>
    </row>
    <row r="188" spans="1:3" ht="14.5">
      <c r="A188" s="74" t="s">
        <v>5771</v>
      </c>
      <c r="B188" s="380" t="str">
        <f t="shared" si="2"/>
        <v>048-901</v>
      </c>
      <c r="C188" s="731">
        <v>0</v>
      </c>
    </row>
    <row r="189" spans="1:3" ht="14.5">
      <c r="A189" s="74" t="s">
        <v>4977</v>
      </c>
      <c r="B189" s="380" t="str">
        <f t="shared" si="2"/>
        <v>048-903</v>
      </c>
      <c r="C189" s="731">
        <v>0</v>
      </c>
    </row>
    <row r="190" spans="1:3" ht="14.5">
      <c r="A190" s="74" t="s">
        <v>2948</v>
      </c>
      <c r="B190" s="380" t="str">
        <f t="shared" si="2"/>
        <v>049-901</v>
      </c>
      <c r="C190" s="731">
        <v>0</v>
      </c>
    </row>
    <row r="191" spans="1:3" ht="14.5">
      <c r="A191" s="74" t="s">
        <v>4978</v>
      </c>
      <c r="B191" s="380" t="str">
        <f t="shared" si="2"/>
        <v>049-902</v>
      </c>
      <c r="C191" s="731">
        <v>0</v>
      </c>
    </row>
    <row r="192" spans="1:3" ht="14.5">
      <c r="A192" s="74" t="s">
        <v>2949</v>
      </c>
      <c r="B192" s="380" t="str">
        <f t="shared" si="2"/>
        <v>049-903</v>
      </c>
      <c r="C192" s="731">
        <v>0</v>
      </c>
    </row>
    <row r="193" spans="1:3" ht="14.5">
      <c r="A193" s="74" t="s">
        <v>4979</v>
      </c>
      <c r="B193" s="380" t="str">
        <f t="shared" si="2"/>
        <v>049-905</v>
      </c>
      <c r="C193" s="731">
        <v>0</v>
      </c>
    </row>
    <row r="194" spans="1:3" ht="14.5">
      <c r="A194" s="74" t="s">
        <v>2950</v>
      </c>
      <c r="B194" s="380" t="str">
        <f t="shared" ref="B194:B257" si="3">CONCATENATE(LEFT(RIGHT(CONCATENATE("000",A194),6),3),"-",(RIGHT(RIGHT(CONCATENATE("000",A194),6),3)))</f>
        <v>049-906</v>
      </c>
      <c r="C194" s="731">
        <v>0</v>
      </c>
    </row>
    <row r="195" spans="1:3" ht="14.5">
      <c r="A195" s="74" t="s">
        <v>4980</v>
      </c>
      <c r="B195" s="380" t="str">
        <f t="shared" si="3"/>
        <v>049-907</v>
      </c>
      <c r="C195" s="731">
        <v>0</v>
      </c>
    </row>
    <row r="196" spans="1:3" ht="14.5">
      <c r="A196" s="74" t="s">
        <v>5772</v>
      </c>
      <c r="B196" s="380" t="str">
        <f t="shared" si="3"/>
        <v>049-908</v>
      </c>
      <c r="C196" s="731">
        <v>0</v>
      </c>
    </row>
    <row r="197" spans="1:3" ht="14.5">
      <c r="A197" s="74" t="s">
        <v>5773</v>
      </c>
      <c r="B197" s="380" t="str">
        <f t="shared" si="3"/>
        <v>049-909</v>
      </c>
      <c r="C197" s="731">
        <v>0</v>
      </c>
    </row>
    <row r="198" spans="1:3" ht="14.5">
      <c r="A198" s="74" t="s">
        <v>5774</v>
      </c>
      <c r="B198" s="380" t="str">
        <f t="shared" si="3"/>
        <v>050-901</v>
      </c>
      <c r="C198" s="731">
        <v>0</v>
      </c>
    </row>
    <row r="199" spans="1:3" ht="14.5">
      <c r="A199" s="74" t="s">
        <v>4981</v>
      </c>
      <c r="B199" s="380" t="str">
        <f t="shared" si="3"/>
        <v>050-902</v>
      </c>
      <c r="C199" s="731">
        <v>0</v>
      </c>
    </row>
    <row r="200" spans="1:3" ht="14.5">
      <c r="A200" s="74" t="s">
        <v>2951</v>
      </c>
      <c r="B200" s="380" t="str">
        <f t="shared" si="3"/>
        <v>050-904</v>
      </c>
      <c r="C200" s="731">
        <v>0</v>
      </c>
    </row>
    <row r="201" spans="1:3" ht="14.5">
      <c r="A201" s="74" t="s">
        <v>4982</v>
      </c>
      <c r="B201" s="380" t="str">
        <f t="shared" si="3"/>
        <v>050-909</v>
      </c>
      <c r="C201" s="731">
        <v>0</v>
      </c>
    </row>
    <row r="202" spans="1:3" ht="14.5">
      <c r="A202" s="74" t="s">
        <v>2952</v>
      </c>
      <c r="B202" s="380" t="str">
        <f t="shared" si="3"/>
        <v>050-910</v>
      </c>
      <c r="C202" s="731">
        <v>0</v>
      </c>
    </row>
    <row r="203" spans="1:3" ht="14.5">
      <c r="A203" s="74" t="s">
        <v>5775</v>
      </c>
      <c r="B203" s="380" t="str">
        <f t="shared" si="3"/>
        <v>051-901</v>
      </c>
      <c r="C203" s="731">
        <v>0</v>
      </c>
    </row>
    <row r="204" spans="1:3" ht="14.5">
      <c r="A204" s="74" t="s">
        <v>4983</v>
      </c>
      <c r="B204" s="380" t="str">
        <f t="shared" si="3"/>
        <v>052-901</v>
      </c>
      <c r="C204" s="731">
        <v>153713</v>
      </c>
    </row>
    <row r="205" spans="1:3" ht="14.5">
      <c r="A205" s="74" t="s">
        <v>5776</v>
      </c>
      <c r="B205" s="380" t="str">
        <f t="shared" si="3"/>
        <v>053-001</v>
      </c>
      <c r="C205" s="731">
        <v>0</v>
      </c>
    </row>
    <row r="206" spans="1:3" ht="14.5">
      <c r="A206" s="74" t="s">
        <v>5777</v>
      </c>
      <c r="B206" s="380" t="str">
        <f t="shared" si="3"/>
        <v>054-901</v>
      </c>
      <c r="C206" s="731">
        <v>0</v>
      </c>
    </row>
    <row r="207" spans="1:3" ht="14.5">
      <c r="A207" s="74" t="s">
        <v>5778</v>
      </c>
      <c r="B207" s="380" t="str">
        <f t="shared" si="3"/>
        <v>054-902</v>
      </c>
      <c r="C207" s="731">
        <v>0</v>
      </c>
    </row>
    <row r="208" spans="1:3" ht="14.5">
      <c r="A208" s="74" t="s">
        <v>5779</v>
      </c>
      <c r="B208" s="380" t="str">
        <f t="shared" si="3"/>
        <v>054-903</v>
      </c>
      <c r="C208" s="731">
        <v>0</v>
      </c>
    </row>
    <row r="209" spans="1:3" ht="14.5">
      <c r="A209" s="74" t="s">
        <v>4984</v>
      </c>
      <c r="B209" s="380" t="str">
        <f t="shared" si="3"/>
        <v>055-901</v>
      </c>
      <c r="C209" s="731">
        <v>0</v>
      </c>
    </row>
    <row r="210" spans="1:3" ht="14.5">
      <c r="A210" s="74" t="s">
        <v>4985</v>
      </c>
      <c r="B210" s="380" t="str">
        <f t="shared" si="3"/>
        <v>056-901</v>
      </c>
      <c r="C210" s="731">
        <v>0</v>
      </c>
    </row>
    <row r="211" spans="1:3" ht="14.5">
      <c r="A211" s="74" t="s">
        <v>5780</v>
      </c>
      <c r="B211" s="380" t="str">
        <f t="shared" si="3"/>
        <v>056-902</v>
      </c>
      <c r="C211" s="731">
        <v>0</v>
      </c>
    </row>
    <row r="212" spans="1:3" ht="14.5">
      <c r="A212" s="74" t="s">
        <v>4986</v>
      </c>
      <c r="B212" s="380" t="str">
        <f t="shared" si="3"/>
        <v>057-903</v>
      </c>
      <c r="C212" s="731">
        <v>0</v>
      </c>
    </row>
    <row r="213" spans="1:3" ht="14.5">
      <c r="A213" s="74" t="s">
        <v>4987</v>
      </c>
      <c r="B213" s="380" t="str">
        <f t="shared" si="3"/>
        <v>057-904</v>
      </c>
      <c r="C213" s="731">
        <v>0</v>
      </c>
    </row>
    <row r="214" spans="1:3" ht="14.5">
      <c r="A214" s="74" t="s">
        <v>4988</v>
      </c>
      <c r="B214" s="380" t="str">
        <f t="shared" si="3"/>
        <v>057-905</v>
      </c>
      <c r="C214" s="731">
        <v>0</v>
      </c>
    </row>
    <row r="215" spans="1:3" ht="14.5">
      <c r="A215" s="74" t="s">
        <v>2953</v>
      </c>
      <c r="B215" s="380" t="str">
        <f t="shared" si="3"/>
        <v>057-906</v>
      </c>
      <c r="C215" s="731">
        <v>0</v>
      </c>
    </row>
    <row r="216" spans="1:3" ht="14.5">
      <c r="A216" s="74" t="s">
        <v>4989</v>
      </c>
      <c r="B216" s="380" t="str">
        <f t="shared" si="3"/>
        <v>057-907</v>
      </c>
      <c r="C216" s="731">
        <v>0</v>
      </c>
    </row>
    <row r="217" spans="1:3" ht="14.5">
      <c r="A217" s="74" t="s">
        <v>2954</v>
      </c>
      <c r="B217" s="380" t="str">
        <f t="shared" si="3"/>
        <v>057-909</v>
      </c>
      <c r="C217" s="731">
        <v>0</v>
      </c>
    </row>
    <row r="218" spans="1:3" ht="14.5">
      <c r="A218" s="74" t="s">
        <v>2955</v>
      </c>
      <c r="B218" s="380" t="str">
        <f t="shared" si="3"/>
        <v>057-910</v>
      </c>
      <c r="C218" s="731">
        <v>0</v>
      </c>
    </row>
    <row r="219" spans="1:3" ht="14.5">
      <c r="A219" s="74" t="s">
        <v>4990</v>
      </c>
      <c r="B219" s="380" t="str">
        <f t="shared" si="3"/>
        <v>057-911</v>
      </c>
      <c r="C219" s="731">
        <v>392454</v>
      </c>
    </row>
    <row r="220" spans="1:3" ht="14.5">
      <c r="A220" s="74" t="s">
        <v>2956</v>
      </c>
      <c r="B220" s="380" t="str">
        <f t="shared" si="3"/>
        <v>057-912</v>
      </c>
      <c r="C220" s="731">
        <v>0</v>
      </c>
    </row>
    <row r="221" spans="1:3" ht="14.5">
      <c r="A221" s="74" t="s">
        <v>4991</v>
      </c>
      <c r="B221" s="380" t="str">
        <f t="shared" si="3"/>
        <v>057-913</v>
      </c>
      <c r="C221" s="731">
        <v>0</v>
      </c>
    </row>
    <row r="222" spans="1:3" ht="14.5">
      <c r="A222" s="74" t="s">
        <v>2957</v>
      </c>
      <c r="B222" s="380" t="str">
        <f t="shared" si="3"/>
        <v>057-914</v>
      </c>
      <c r="C222" s="731">
        <v>0</v>
      </c>
    </row>
    <row r="223" spans="1:3" ht="14.5">
      <c r="A223" s="74" t="s">
        <v>4992</v>
      </c>
      <c r="B223" s="380" t="str">
        <f t="shared" si="3"/>
        <v>057-916</v>
      </c>
      <c r="C223" s="731">
        <v>0</v>
      </c>
    </row>
    <row r="224" spans="1:3" ht="14.5">
      <c r="A224" s="74" t="s">
        <v>4993</v>
      </c>
      <c r="B224" s="380" t="str">
        <f t="shared" si="3"/>
        <v>057-919</v>
      </c>
      <c r="C224" s="731">
        <v>0</v>
      </c>
    </row>
    <row r="225" spans="1:3" ht="14.5">
      <c r="A225" s="74" t="s">
        <v>4994</v>
      </c>
      <c r="B225" s="380" t="str">
        <f t="shared" si="3"/>
        <v>057-922</v>
      </c>
      <c r="C225" s="731">
        <v>0</v>
      </c>
    </row>
    <row r="226" spans="1:3" ht="14.5">
      <c r="A226" s="74" t="s">
        <v>5781</v>
      </c>
      <c r="B226" s="380" t="str">
        <f t="shared" si="3"/>
        <v>058-902</v>
      </c>
      <c r="C226" s="731">
        <v>13102</v>
      </c>
    </row>
    <row r="227" spans="1:3" ht="14.5">
      <c r="A227" s="74" t="s">
        <v>4995</v>
      </c>
      <c r="B227" s="380" t="str">
        <f t="shared" si="3"/>
        <v>058-905</v>
      </c>
      <c r="C227" s="731">
        <v>67374</v>
      </c>
    </row>
    <row r="228" spans="1:3" ht="14.5">
      <c r="A228" s="74" t="s">
        <v>5782</v>
      </c>
      <c r="B228" s="380" t="str">
        <f t="shared" si="3"/>
        <v>058-906</v>
      </c>
      <c r="C228" s="731">
        <v>0</v>
      </c>
    </row>
    <row r="229" spans="1:3" ht="14.5">
      <c r="A229" s="74" t="s">
        <v>4996</v>
      </c>
      <c r="B229" s="380" t="str">
        <f t="shared" si="3"/>
        <v>058-909</v>
      </c>
      <c r="C229" s="731">
        <v>0</v>
      </c>
    </row>
    <row r="230" spans="1:3" ht="14.5">
      <c r="A230" s="74" t="s">
        <v>3768</v>
      </c>
      <c r="B230" s="380" t="str">
        <f t="shared" si="3"/>
        <v>059-901</v>
      </c>
      <c r="C230" s="731">
        <v>0</v>
      </c>
    </row>
    <row r="231" spans="1:3" ht="14.5">
      <c r="A231" s="74" t="s">
        <v>5783</v>
      </c>
      <c r="B231" s="380" t="str">
        <f t="shared" si="3"/>
        <v>059-902</v>
      </c>
      <c r="C231" s="731">
        <v>0</v>
      </c>
    </row>
    <row r="232" spans="1:3" ht="14.5">
      <c r="A232" s="74" t="s">
        <v>2958</v>
      </c>
      <c r="B232" s="380" t="str">
        <f t="shared" si="3"/>
        <v>060-902</v>
      </c>
      <c r="C232" s="731">
        <v>0</v>
      </c>
    </row>
    <row r="233" spans="1:3" ht="14.5">
      <c r="A233" s="74" t="s">
        <v>2959</v>
      </c>
      <c r="B233" s="380" t="str">
        <f t="shared" si="3"/>
        <v>060-914</v>
      </c>
      <c r="C233" s="731">
        <v>0</v>
      </c>
    </row>
    <row r="234" spans="1:3" ht="14.5">
      <c r="A234" s="74" t="s">
        <v>4997</v>
      </c>
      <c r="B234" s="380" t="str">
        <f t="shared" si="3"/>
        <v>061-901</v>
      </c>
      <c r="C234" s="731">
        <v>0</v>
      </c>
    </row>
    <row r="235" spans="1:3" ht="14.5">
      <c r="A235" s="74" t="s">
        <v>2960</v>
      </c>
      <c r="B235" s="380" t="str">
        <f t="shared" si="3"/>
        <v>061-902</v>
      </c>
      <c r="C235" s="731">
        <v>0</v>
      </c>
    </row>
    <row r="236" spans="1:3" ht="14.5">
      <c r="A236" s="74" t="s">
        <v>3776</v>
      </c>
      <c r="B236" s="380" t="str">
        <f t="shared" si="3"/>
        <v>061-903</v>
      </c>
      <c r="C236" s="731">
        <v>0</v>
      </c>
    </row>
    <row r="237" spans="1:3" ht="14.5">
      <c r="A237" s="74" t="s">
        <v>2961</v>
      </c>
      <c r="B237" s="380" t="str">
        <f t="shared" si="3"/>
        <v>061-905</v>
      </c>
      <c r="C237" s="731">
        <v>0</v>
      </c>
    </row>
    <row r="238" spans="1:3" ht="14.5">
      <c r="A238" s="74" t="s">
        <v>2962</v>
      </c>
      <c r="B238" s="380" t="str">
        <f t="shared" si="3"/>
        <v>061-906</v>
      </c>
      <c r="C238" s="731">
        <v>0</v>
      </c>
    </row>
    <row r="239" spans="1:3" ht="14.5">
      <c r="A239" s="74" t="s">
        <v>2963</v>
      </c>
      <c r="B239" s="380" t="str">
        <f t="shared" si="3"/>
        <v>061-907</v>
      </c>
      <c r="C239" s="731">
        <v>0</v>
      </c>
    </row>
    <row r="240" spans="1:3" ht="14.5">
      <c r="A240" s="74" t="s">
        <v>2964</v>
      </c>
      <c r="B240" s="380" t="str">
        <f t="shared" si="3"/>
        <v>061-908</v>
      </c>
      <c r="C240" s="731">
        <v>0</v>
      </c>
    </row>
    <row r="241" spans="1:3" ht="14.5">
      <c r="A241" s="74" t="s">
        <v>4998</v>
      </c>
      <c r="B241" s="380" t="str">
        <f t="shared" si="3"/>
        <v>061-910</v>
      </c>
      <c r="C241" s="731">
        <v>0</v>
      </c>
    </row>
    <row r="242" spans="1:3" ht="14.5">
      <c r="A242" s="74" t="s">
        <v>2965</v>
      </c>
      <c r="B242" s="380" t="str">
        <f t="shared" si="3"/>
        <v>061-911</v>
      </c>
      <c r="C242" s="731">
        <v>0</v>
      </c>
    </row>
    <row r="243" spans="1:3" ht="14.5">
      <c r="A243" s="74" t="s">
        <v>2966</v>
      </c>
      <c r="B243" s="380" t="str">
        <f t="shared" si="3"/>
        <v>061-912</v>
      </c>
      <c r="C243" s="731">
        <v>0</v>
      </c>
    </row>
    <row r="244" spans="1:3" ht="14.5">
      <c r="A244" s="74" t="s">
        <v>2967</v>
      </c>
      <c r="B244" s="380" t="str">
        <f t="shared" si="3"/>
        <v>061-914</v>
      </c>
      <c r="C244" s="731">
        <v>0</v>
      </c>
    </row>
    <row r="245" spans="1:3" ht="14.5">
      <c r="A245" s="74" t="s">
        <v>2968</v>
      </c>
      <c r="B245" s="380" t="str">
        <f t="shared" si="3"/>
        <v>062-901</v>
      </c>
      <c r="C245" s="731">
        <v>0</v>
      </c>
    </row>
    <row r="246" spans="1:3" ht="14.5">
      <c r="A246" s="74" t="s">
        <v>4999</v>
      </c>
      <c r="B246" s="380" t="str">
        <f t="shared" si="3"/>
        <v>062-902</v>
      </c>
      <c r="C246" s="731">
        <v>0</v>
      </c>
    </row>
    <row r="247" spans="1:3" ht="14.5">
      <c r="A247" s="74" t="s">
        <v>2969</v>
      </c>
      <c r="B247" s="380" t="str">
        <f t="shared" si="3"/>
        <v>062-903</v>
      </c>
      <c r="C247" s="731">
        <v>0</v>
      </c>
    </row>
    <row r="248" spans="1:3" ht="14.5">
      <c r="A248" s="74" t="s">
        <v>5000</v>
      </c>
      <c r="B248" s="380" t="str">
        <f t="shared" si="3"/>
        <v>062-904</v>
      </c>
      <c r="C248" s="731">
        <v>0</v>
      </c>
    </row>
    <row r="249" spans="1:3" ht="14.5">
      <c r="A249" s="74" t="s">
        <v>5784</v>
      </c>
      <c r="B249" s="380" t="str">
        <f t="shared" si="3"/>
        <v>062-905</v>
      </c>
      <c r="C249" s="731">
        <v>0</v>
      </c>
    </row>
    <row r="250" spans="1:3" ht="14.5">
      <c r="A250" s="74" t="s">
        <v>5785</v>
      </c>
      <c r="B250" s="380" t="str">
        <f t="shared" si="3"/>
        <v>062-906</v>
      </c>
      <c r="C250" s="731">
        <v>0</v>
      </c>
    </row>
    <row r="251" spans="1:3" ht="14.5">
      <c r="A251" s="74" t="s">
        <v>5001</v>
      </c>
      <c r="B251" s="380" t="str">
        <f t="shared" si="3"/>
        <v>063-903</v>
      </c>
      <c r="C251" s="731">
        <v>0</v>
      </c>
    </row>
    <row r="252" spans="1:3" ht="14.5">
      <c r="A252" s="74" t="s">
        <v>5786</v>
      </c>
      <c r="B252" s="380" t="str">
        <f t="shared" si="3"/>
        <v>063-906</v>
      </c>
      <c r="C252" s="731">
        <v>0</v>
      </c>
    </row>
    <row r="253" spans="1:3" ht="14.5">
      <c r="A253" s="74" t="s">
        <v>2970</v>
      </c>
      <c r="B253" s="380" t="str">
        <f t="shared" si="3"/>
        <v>064-903</v>
      </c>
      <c r="C253" s="731">
        <v>0</v>
      </c>
    </row>
    <row r="254" spans="1:3" ht="14.5">
      <c r="A254" s="74" t="s">
        <v>5787</v>
      </c>
      <c r="B254" s="380" t="str">
        <f t="shared" si="3"/>
        <v>065-901</v>
      </c>
      <c r="C254" s="731">
        <v>0</v>
      </c>
    </row>
    <row r="255" spans="1:3" ht="14.5">
      <c r="A255" s="74" t="s">
        <v>2971</v>
      </c>
      <c r="B255" s="380" t="str">
        <f t="shared" si="3"/>
        <v>065-902</v>
      </c>
      <c r="C255" s="731">
        <v>0</v>
      </c>
    </row>
    <row r="256" spans="1:3" ht="14.5">
      <c r="A256" s="74" t="s">
        <v>5788</v>
      </c>
      <c r="B256" s="380" t="str">
        <f t="shared" si="3"/>
        <v>066-005</v>
      </c>
      <c r="C256" s="731">
        <v>0</v>
      </c>
    </row>
    <row r="257" spans="1:3" ht="14.5">
      <c r="A257" s="74" t="s">
        <v>5002</v>
      </c>
      <c r="B257" s="380" t="str">
        <f t="shared" si="3"/>
        <v>066-901</v>
      </c>
      <c r="C257" s="731">
        <v>0</v>
      </c>
    </row>
    <row r="258" spans="1:3" ht="14.5">
      <c r="A258" s="74" t="s">
        <v>2972</v>
      </c>
      <c r="B258" s="380" t="str">
        <f t="shared" ref="B258:B321" si="4">CONCATENATE(LEFT(RIGHT(CONCATENATE("000",A258),6),3),"-",(RIGHT(RIGHT(CONCATENATE("000",A258),6),3)))</f>
        <v>066-902</v>
      </c>
      <c r="C258" s="731">
        <v>0</v>
      </c>
    </row>
    <row r="259" spans="1:3" ht="14.5">
      <c r="A259" s="74" t="s">
        <v>5003</v>
      </c>
      <c r="B259" s="380" t="str">
        <f t="shared" si="4"/>
        <v>066-903</v>
      </c>
      <c r="C259" s="731">
        <v>0</v>
      </c>
    </row>
    <row r="260" spans="1:3" ht="14.5">
      <c r="A260" s="74" t="s">
        <v>3827</v>
      </c>
      <c r="B260" s="380" t="str">
        <f t="shared" si="4"/>
        <v>067-902</v>
      </c>
      <c r="C260" s="731">
        <v>0</v>
      </c>
    </row>
    <row r="261" spans="1:3" ht="14.5">
      <c r="A261" s="74" t="s">
        <v>5789</v>
      </c>
      <c r="B261" s="380" t="str">
        <f t="shared" si="4"/>
        <v>067-903</v>
      </c>
      <c r="C261" s="731">
        <v>0</v>
      </c>
    </row>
    <row r="262" spans="1:3" ht="14.5">
      <c r="A262" s="74" t="s">
        <v>5004</v>
      </c>
      <c r="B262" s="380" t="str">
        <f t="shared" si="4"/>
        <v>067-904</v>
      </c>
      <c r="C262" s="731">
        <v>0</v>
      </c>
    </row>
    <row r="263" spans="1:3" ht="14.5">
      <c r="A263" s="74" t="s">
        <v>5790</v>
      </c>
      <c r="B263" s="380" t="str">
        <f t="shared" si="4"/>
        <v>067-907</v>
      </c>
      <c r="C263" s="731">
        <v>0</v>
      </c>
    </row>
    <row r="264" spans="1:3" ht="14.5">
      <c r="A264" s="74" t="s">
        <v>5791</v>
      </c>
      <c r="B264" s="380" t="str">
        <f t="shared" si="4"/>
        <v>067-908</v>
      </c>
      <c r="C264" s="731">
        <v>0</v>
      </c>
    </row>
    <row r="265" spans="1:3" ht="14.5">
      <c r="A265" s="74" t="s">
        <v>5005</v>
      </c>
      <c r="B265" s="380" t="str">
        <f t="shared" si="4"/>
        <v>068-901</v>
      </c>
      <c r="C265" s="731">
        <v>0</v>
      </c>
    </row>
    <row r="266" spans="1:3" ht="14.5">
      <c r="A266" s="74" t="s">
        <v>5006</v>
      </c>
      <c r="B266" s="380" t="str">
        <f t="shared" si="4"/>
        <v>069-901</v>
      </c>
      <c r="C266" s="731">
        <v>0</v>
      </c>
    </row>
    <row r="267" spans="1:3" ht="14.5">
      <c r="A267" s="74" t="s">
        <v>5792</v>
      </c>
      <c r="B267" s="380" t="str">
        <f t="shared" si="4"/>
        <v>069-902</v>
      </c>
      <c r="C267" s="731">
        <v>0</v>
      </c>
    </row>
    <row r="268" spans="1:3" ht="14.5">
      <c r="A268" s="74" t="s">
        <v>2973</v>
      </c>
      <c r="B268" s="380" t="str">
        <f t="shared" si="4"/>
        <v>070-901</v>
      </c>
      <c r="C268" s="731">
        <v>0</v>
      </c>
    </row>
    <row r="269" spans="1:3" ht="14.5">
      <c r="A269" s="74" t="s">
        <v>5007</v>
      </c>
      <c r="B269" s="380" t="str">
        <f t="shared" si="4"/>
        <v>070-903</v>
      </c>
      <c r="C269" s="731">
        <v>0</v>
      </c>
    </row>
    <row r="270" spans="1:3" ht="14.5">
      <c r="A270" s="74" t="s">
        <v>2974</v>
      </c>
      <c r="B270" s="380" t="str">
        <f t="shared" si="4"/>
        <v>070-905</v>
      </c>
      <c r="C270" s="731">
        <v>0</v>
      </c>
    </row>
    <row r="271" spans="1:3" ht="14.5">
      <c r="A271" s="74" t="s">
        <v>2975</v>
      </c>
      <c r="B271" s="380" t="str">
        <f t="shared" si="4"/>
        <v>070-907</v>
      </c>
      <c r="C271" s="731">
        <v>0</v>
      </c>
    </row>
    <row r="272" spans="1:3" ht="14.5">
      <c r="A272" s="74" t="s">
        <v>5008</v>
      </c>
      <c r="B272" s="380" t="str">
        <f t="shared" si="4"/>
        <v>070-908</v>
      </c>
      <c r="C272" s="731">
        <v>0</v>
      </c>
    </row>
    <row r="273" spans="1:3" ht="14.5">
      <c r="A273" s="74" t="s">
        <v>5793</v>
      </c>
      <c r="B273" s="380" t="str">
        <f t="shared" si="4"/>
        <v>070-909</v>
      </c>
      <c r="C273" s="731">
        <v>0</v>
      </c>
    </row>
    <row r="274" spans="1:3" ht="14.5">
      <c r="A274" s="74" t="s">
        <v>2976</v>
      </c>
      <c r="B274" s="380" t="str">
        <f t="shared" si="4"/>
        <v>070-910</v>
      </c>
      <c r="C274" s="731">
        <v>0</v>
      </c>
    </row>
    <row r="275" spans="1:3" ht="14.5">
      <c r="A275" s="74" t="s">
        <v>2977</v>
      </c>
      <c r="B275" s="380" t="str">
        <f t="shared" si="4"/>
        <v>070-911</v>
      </c>
      <c r="C275" s="731">
        <v>0</v>
      </c>
    </row>
    <row r="276" spans="1:3" ht="14.5">
      <c r="A276" s="74" t="s">
        <v>2978</v>
      </c>
      <c r="B276" s="380" t="str">
        <f t="shared" si="4"/>
        <v>070-912</v>
      </c>
      <c r="C276" s="731">
        <v>0</v>
      </c>
    </row>
    <row r="277" spans="1:3" ht="14.5">
      <c r="A277" s="74" t="s">
        <v>2979</v>
      </c>
      <c r="B277" s="380" t="str">
        <f t="shared" si="4"/>
        <v>070-915</v>
      </c>
      <c r="C277" s="731">
        <v>0</v>
      </c>
    </row>
    <row r="278" spans="1:3" ht="14.5">
      <c r="A278" s="74" t="s">
        <v>2980</v>
      </c>
      <c r="B278" s="380" t="str">
        <f t="shared" si="4"/>
        <v>071-901</v>
      </c>
      <c r="C278" s="731">
        <v>0</v>
      </c>
    </row>
    <row r="279" spans="1:3" ht="14.5">
      <c r="A279" s="74" t="s">
        <v>2981</v>
      </c>
      <c r="B279" s="380" t="str">
        <f t="shared" si="4"/>
        <v>071-902</v>
      </c>
      <c r="C279" s="731">
        <v>0</v>
      </c>
    </row>
    <row r="280" spans="1:3" ht="14.5">
      <c r="A280" s="74" t="s">
        <v>2982</v>
      </c>
      <c r="B280" s="380" t="str">
        <f t="shared" si="4"/>
        <v>071-903</v>
      </c>
      <c r="C280" s="731">
        <v>0</v>
      </c>
    </row>
    <row r="281" spans="1:3" ht="14.5">
      <c r="A281" s="74" t="s">
        <v>3862</v>
      </c>
      <c r="B281" s="380" t="str">
        <f t="shared" si="4"/>
        <v>071-904</v>
      </c>
      <c r="C281" s="731">
        <v>0</v>
      </c>
    </row>
    <row r="282" spans="1:3" ht="14.5">
      <c r="A282" s="74" t="s">
        <v>3867</v>
      </c>
      <c r="B282" s="380" t="str">
        <f t="shared" si="4"/>
        <v>071-905</v>
      </c>
      <c r="C282" s="731">
        <v>0</v>
      </c>
    </row>
    <row r="283" spans="1:3" ht="14.5">
      <c r="A283" s="74" t="s">
        <v>2983</v>
      </c>
      <c r="B283" s="380" t="str">
        <f t="shared" si="4"/>
        <v>071-906</v>
      </c>
      <c r="C283" s="731">
        <v>0</v>
      </c>
    </row>
    <row r="284" spans="1:3" ht="14.5">
      <c r="A284" s="74" t="s">
        <v>2984</v>
      </c>
      <c r="B284" s="380" t="str">
        <f t="shared" si="4"/>
        <v>071-907</v>
      </c>
      <c r="C284" s="731">
        <v>0</v>
      </c>
    </row>
    <row r="285" spans="1:3" ht="14.5">
      <c r="A285" s="74" t="s">
        <v>2985</v>
      </c>
      <c r="B285" s="380" t="str">
        <f t="shared" si="4"/>
        <v>071-908</v>
      </c>
      <c r="C285" s="731">
        <v>0</v>
      </c>
    </row>
    <row r="286" spans="1:3" ht="14.5">
      <c r="A286" s="74" t="s">
        <v>2986</v>
      </c>
      <c r="B286" s="380" t="str">
        <f t="shared" si="4"/>
        <v>071-909</v>
      </c>
      <c r="C286" s="731">
        <v>0</v>
      </c>
    </row>
    <row r="287" spans="1:3" ht="14.5">
      <c r="A287" s="74" t="s">
        <v>5794</v>
      </c>
      <c r="B287" s="380" t="str">
        <f t="shared" si="4"/>
        <v>072-901</v>
      </c>
      <c r="C287" s="731">
        <v>0</v>
      </c>
    </row>
    <row r="288" spans="1:3" ht="14.5">
      <c r="A288" s="74" t="s">
        <v>5009</v>
      </c>
      <c r="B288" s="380" t="str">
        <f t="shared" si="4"/>
        <v>072-902</v>
      </c>
      <c r="C288" s="731">
        <v>0</v>
      </c>
    </row>
    <row r="289" spans="1:3" ht="14.5">
      <c r="A289" s="74" t="s">
        <v>2987</v>
      </c>
      <c r="B289" s="380" t="str">
        <f t="shared" si="4"/>
        <v>072-903</v>
      </c>
      <c r="C289" s="731">
        <v>0</v>
      </c>
    </row>
    <row r="290" spans="1:3" ht="14.5">
      <c r="A290" s="74" t="s">
        <v>5010</v>
      </c>
      <c r="B290" s="380" t="str">
        <f t="shared" si="4"/>
        <v>072-904</v>
      </c>
      <c r="C290" s="731">
        <v>0</v>
      </c>
    </row>
    <row r="291" spans="1:3" ht="14.5">
      <c r="A291" s="74" t="s">
        <v>5795</v>
      </c>
      <c r="B291" s="380" t="str">
        <f t="shared" si="4"/>
        <v>072-908</v>
      </c>
      <c r="C291" s="731">
        <v>0</v>
      </c>
    </row>
    <row r="292" spans="1:3" ht="14.5">
      <c r="A292" s="74" t="s">
        <v>2988</v>
      </c>
      <c r="B292" s="380" t="str">
        <f t="shared" si="4"/>
        <v>072-909</v>
      </c>
      <c r="C292" s="731">
        <v>0</v>
      </c>
    </row>
    <row r="293" spans="1:3" ht="14.5">
      <c r="A293" s="74" t="s">
        <v>5796</v>
      </c>
      <c r="B293" s="380" t="str">
        <f t="shared" si="4"/>
        <v>072-910</v>
      </c>
      <c r="C293" s="731">
        <v>0</v>
      </c>
    </row>
    <row r="294" spans="1:3" ht="14.5">
      <c r="A294" s="74" t="s">
        <v>5011</v>
      </c>
      <c r="B294" s="380" t="str">
        <f t="shared" si="4"/>
        <v>073-901</v>
      </c>
      <c r="C294" s="731">
        <v>0</v>
      </c>
    </row>
    <row r="295" spans="1:3" ht="14.5">
      <c r="A295" s="74" t="s">
        <v>3901</v>
      </c>
      <c r="B295" s="380" t="str">
        <f t="shared" si="4"/>
        <v>073-903</v>
      </c>
      <c r="C295" s="731">
        <v>0</v>
      </c>
    </row>
    <row r="296" spans="1:3" ht="14.5">
      <c r="A296" s="74" t="s">
        <v>3903</v>
      </c>
      <c r="B296" s="380" t="str">
        <f t="shared" si="4"/>
        <v>073-904</v>
      </c>
      <c r="C296" s="731">
        <v>0</v>
      </c>
    </row>
    <row r="297" spans="1:3" ht="14.5">
      <c r="A297" s="74" t="s">
        <v>5797</v>
      </c>
      <c r="B297" s="380" t="str">
        <f t="shared" si="4"/>
        <v>073-905</v>
      </c>
      <c r="C297" s="731">
        <v>0</v>
      </c>
    </row>
    <row r="298" spans="1:3" ht="14.5">
      <c r="A298" s="74" t="s">
        <v>5012</v>
      </c>
      <c r="B298" s="380" t="str">
        <f t="shared" si="4"/>
        <v>074-903</v>
      </c>
      <c r="C298" s="731">
        <v>0</v>
      </c>
    </row>
    <row r="299" spans="1:3" ht="14.5">
      <c r="A299" s="74" t="s">
        <v>2989</v>
      </c>
      <c r="B299" s="380" t="str">
        <f t="shared" si="4"/>
        <v>074-904</v>
      </c>
      <c r="C299" s="731">
        <v>0</v>
      </c>
    </row>
    <row r="300" spans="1:3" ht="14.5">
      <c r="A300" s="74" t="s">
        <v>2990</v>
      </c>
      <c r="B300" s="380" t="str">
        <f t="shared" si="4"/>
        <v>074-905</v>
      </c>
      <c r="C300" s="731">
        <v>0</v>
      </c>
    </row>
    <row r="301" spans="1:3" ht="14.5">
      <c r="A301" s="74" t="s">
        <v>2991</v>
      </c>
      <c r="B301" s="380" t="str">
        <f t="shared" si="4"/>
        <v>074-907</v>
      </c>
      <c r="C301" s="731">
        <v>0</v>
      </c>
    </row>
    <row r="302" spans="1:3" ht="14.5">
      <c r="A302" s="74" t="s">
        <v>5013</v>
      </c>
      <c r="B302" s="380" t="str">
        <f t="shared" si="4"/>
        <v>074-909</v>
      </c>
      <c r="C302" s="731">
        <v>0</v>
      </c>
    </row>
    <row r="303" spans="1:3" ht="14.5">
      <c r="A303" s="74" t="s">
        <v>5014</v>
      </c>
      <c r="B303" s="380" t="str">
        <f t="shared" si="4"/>
        <v>074-911</v>
      </c>
      <c r="C303" s="731">
        <v>0</v>
      </c>
    </row>
    <row r="304" spans="1:3" ht="14.5">
      <c r="A304" s="74" t="s">
        <v>2992</v>
      </c>
      <c r="B304" s="380" t="str">
        <f t="shared" si="4"/>
        <v>074-912</v>
      </c>
      <c r="C304" s="731">
        <v>0</v>
      </c>
    </row>
    <row r="305" spans="1:3" ht="14.5">
      <c r="A305" s="74" t="s">
        <v>2993</v>
      </c>
      <c r="B305" s="380" t="str">
        <f t="shared" si="4"/>
        <v>074-917</v>
      </c>
      <c r="C305" s="731">
        <v>0</v>
      </c>
    </row>
    <row r="306" spans="1:3" ht="14.5">
      <c r="A306" s="74" t="s">
        <v>5015</v>
      </c>
      <c r="B306" s="380" t="str">
        <f t="shared" si="4"/>
        <v>075-901</v>
      </c>
      <c r="C306" s="731">
        <v>0</v>
      </c>
    </row>
    <row r="307" spans="1:3" ht="14.5">
      <c r="A307" s="74" t="s">
        <v>5798</v>
      </c>
      <c r="B307" s="380" t="str">
        <f t="shared" si="4"/>
        <v>075-902</v>
      </c>
      <c r="C307" s="731">
        <v>0</v>
      </c>
    </row>
    <row r="308" spans="1:3" ht="14.5">
      <c r="A308" s="74" t="s">
        <v>5016</v>
      </c>
      <c r="B308" s="380" t="str">
        <f t="shared" si="4"/>
        <v>075-903</v>
      </c>
      <c r="C308" s="731">
        <v>0</v>
      </c>
    </row>
    <row r="309" spans="1:3" ht="14.5">
      <c r="A309" s="74" t="s">
        <v>5799</v>
      </c>
      <c r="B309" s="380" t="str">
        <f t="shared" si="4"/>
        <v>075-906</v>
      </c>
      <c r="C309" s="731">
        <v>0</v>
      </c>
    </row>
    <row r="310" spans="1:3" ht="14.5">
      <c r="A310" s="74" t="s">
        <v>5017</v>
      </c>
      <c r="B310" s="380" t="str">
        <f t="shared" si="4"/>
        <v>075-908</v>
      </c>
      <c r="C310" s="731">
        <v>0</v>
      </c>
    </row>
    <row r="311" spans="1:3" ht="14.5">
      <c r="A311" s="74" t="s">
        <v>5800</v>
      </c>
      <c r="B311" s="380" t="str">
        <f t="shared" si="4"/>
        <v>076-903</v>
      </c>
      <c r="C311" s="731">
        <v>0</v>
      </c>
    </row>
    <row r="312" spans="1:3" ht="14.5">
      <c r="A312" s="74" t="s">
        <v>2994</v>
      </c>
      <c r="B312" s="380" t="str">
        <f t="shared" si="4"/>
        <v>076-904</v>
      </c>
      <c r="C312" s="731">
        <v>0</v>
      </c>
    </row>
    <row r="313" spans="1:3" ht="14.5">
      <c r="A313" s="74" t="s">
        <v>5018</v>
      </c>
      <c r="B313" s="380" t="str">
        <f t="shared" si="4"/>
        <v>077-901</v>
      </c>
      <c r="C313" s="731">
        <v>0</v>
      </c>
    </row>
    <row r="314" spans="1:3" ht="14.5">
      <c r="A314" s="74" t="s">
        <v>5801</v>
      </c>
      <c r="B314" s="380" t="str">
        <f t="shared" si="4"/>
        <v>077-902</v>
      </c>
      <c r="C314" s="731">
        <v>0</v>
      </c>
    </row>
    <row r="315" spans="1:3" ht="14.5">
      <c r="A315" s="74" t="s">
        <v>5802</v>
      </c>
      <c r="B315" s="380" t="str">
        <f t="shared" si="4"/>
        <v>078-901</v>
      </c>
      <c r="C315" s="731">
        <v>0</v>
      </c>
    </row>
    <row r="316" spans="1:3" ht="14.5">
      <c r="A316" s="74" t="s">
        <v>5019</v>
      </c>
      <c r="B316" s="380" t="str">
        <f t="shared" si="4"/>
        <v>079-901</v>
      </c>
      <c r="C316" s="731">
        <v>0</v>
      </c>
    </row>
    <row r="317" spans="1:3" ht="14.5">
      <c r="A317" s="74" t="s">
        <v>2995</v>
      </c>
      <c r="B317" s="380" t="str">
        <f t="shared" si="4"/>
        <v>079-906</v>
      </c>
      <c r="C317" s="731">
        <v>0</v>
      </c>
    </row>
    <row r="318" spans="1:3" ht="14.5">
      <c r="A318" s="74" t="s">
        <v>2996</v>
      </c>
      <c r="B318" s="380" t="str">
        <f t="shared" si="4"/>
        <v>079-907</v>
      </c>
      <c r="C318" s="731">
        <v>0</v>
      </c>
    </row>
    <row r="319" spans="1:3" ht="14.5">
      <c r="A319" s="74" t="s">
        <v>5020</v>
      </c>
      <c r="B319" s="380" t="str">
        <f t="shared" si="4"/>
        <v>079-910</v>
      </c>
      <c r="C319" s="731">
        <v>0</v>
      </c>
    </row>
    <row r="320" spans="1:3" ht="14.5">
      <c r="A320" s="74" t="s">
        <v>5021</v>
      </c>
      <c r="B320" s="380" t="str">
        <f t="shared" si="4"/>
        <v>080-901</v>
      </c>
      <c r="C320" s="731">
        <v>0</v>
      </c>
    </row>
    <row r="321" spans="1:3" ht="14.5">
      <c r="A321" s="74" t="s">
        <v>5022</v>
      </c>
      <c r="B321" s="380" t="str">
        <f t="shared" si="4"/>
        <v>081-902</v>
      </c>
      <c r="C321" s="731">
        <v>0</v>
      </c>
    </row>
    <row r="322" spans="1:3" ht="14.5">
      <c r="A322" s="74" t="s">
        <v>5023</v>
      </c>
      <c r="B322" s="380" t="str">
        <f t="shared" ref="B322:B385" si="5">CONCATENATE(LEFT(RIGHT(CONCATENATE("000",A322),6),3),"-",(RIGHT(RIGHT(CONCATENATE("000",A322),6),3)))</f>
        <v>081-904</v>
      </c>
      <c r="C322" s="731">
        <v>0</v>
      </c>
    </row>
    <row r="323" spans="1:3" ht="14.5">
      <c r="A323" s="74" t="s">
        <v>5024</v>
      </c>
      <c r="B323" s="380" t="str">
        <f t="shared" si="5"/>
        <v>081-905</v>
      </c>
      <c r="C323" s="731">
        <v>0</v>
      </c>
    </row>
    <row r="324" spans="1:3" ht="14.5">
      <c r="A324" s="74" t="s">
        <v>5025</v>
      </c>
      <c r="B324" s="380" t="str">
        <f t="shared" si="5"/>
        <v>081-906</v>
      </c>
      <c r="C324" s="731">
        <v>0</v>
      </c>
    </row>
    <row r="325" spans="1:3" ht="14.5">
      <c r="A325" s="74" t="s">
        <v>2997</v>
      </c>
      <c r="B325" s="380" t="str">
        <f t="shared" si="5"/>
        <v>082-902</v>
      </c>
      <c r="C325" s="731">
        <v>0</v>
      </c>
    </row>
    <row r="326" spans="1:3" ht="14.5">
      <c r="A326" s="74" t="s">
        <v>2998</v>
      </c>
      <c r="B326" s="380" t="str">
        <f t="shared" si="5"/>
        <v>082-903</v>
      </c>
      <c r="C326" s="731">
        <v>0</v>
      </c>
    </row>
    <row r="327" spans="1:3" ht="14.5">
      <c r="A327" s="74" t="s">
        <v>5026</v>
      </c>
      <c r="B327" s="380" t="str">
        <f t="shared" si="5"/>
        <v>083-901</v>
      </c>
      <c r="C327" s="731">
        <v>0</v>
      </c>
    </row>
    <row r="328" spans="1:3" ht="14.5">
      <c r="A328" s="74" t="s">
        <v>5027</v>
      </c>
      <c r="B328" s="380" t="str">
        <f t="shared" si="5"/>
        <v>083-902</v>
      </c>
      <c r="C328" s="731">
        <v>508291</v>
      </c>
    </row>
    <row r="329" spans="1:3" ht="14.5">
      <c r="A329" s="74" t="s">
        <v>5028</v>
      </c>
      <c r="B329" s="380" t="str">
        <f t="shared" si="5"/>
        <v>083-903</v>
      </c>
      <c r="C329" s="731">
        <v>1866752</v>
      </c>
    </row>
    <row r="330" spans="1:3" ht="14.5">
      <c r="A330" s="74" t="s">
        <v>5029</v>
      </c>
      <c r="B330" s="380" t="str">
        <f t="shared" si="5"/>
        <v>084-901</v>
      </c>
      <c r="C330" s="731">
        <v>0</v>
      </c>
    </row>
    <row r="331" spans="1:3" ht="14.5">
      <c r="A331" s="74" t="s">
        <v>5030</v>
      </c>
      <c r="B331" s="380" t="str">
        <f t="shared" si="5"/>
        <v>084-902</v>
      </c>
      <c r="C331" s="731">
        <v>0</v>
      </c>
    </row>
    <row r="332" spans="1:3" ht="14.5">
      <c r="A332" s="74" t="s">
        <v>5031</v>
      </c>
      <c r="B332" s="380" t="str">
        <f t="shared" si="5"/>
        <v>084-903</v>
      </c>
      <c r="C332" s="731">
        <v>22857</v>
      </c>
    </row>
    <row r="333" spans="1:3" ht="14.5">
      <c r="A333" s="74" t="s">
        <v>5032</v>
      </c>
      <c r="B333" s="380" t="str">
        <f t="shared" si="5"/>
        <v>084-906</v>
      </c>
      <c r="C333" s="731">
        <v>0</v>
      </c>
    </row>
    <row r="334" spans="1:3" ht="14.5">
      <c r="A334" s="74" t="s">
        <v>5033</v>
      </c>
      <c r="B334" s="380" t="str">
        <f t="shared" si="5"/>
        <v>084-908</v>
      </c>
      <c r="C334" s="731">
        <v>0</v>
      </c>
    </row>
    <row r="335" spans="1:3" ht="14.5">
      <c r="A335" s="74" t="s">
        <v>2999</v>
      </c>
      <c r="B335" s="380" t="str">
        <f t="shared" si="5"/>
        <v>084-909</v>
      </c>
      <c r="C335" s="731">
        <v>0</v>
      </c>
    </row>
    <row r="336" spans="1:3" ht="14.5">
      <c r="A336" s="74" t="s">
        <v>5034</v>
      </c>
      <c r="B336" s="380" t="str">
        <f t="shared" si="5"/>
        <v>084-910</v>
      </c>
      <c r="C336" s="731">
        <v>0</v>
      </c>
    </row>
    <row r="337" spans="1:3" ht="14.5">
      <c r="A337" s="74" t="s">
        <v>3000</v>
      </c>
      <c r="B337" s="380" t="str">
        <f t="shared" si="5"/>
        <v>084-911</v>
      </c>
      <c r="C337" s="731">
        <v>0</v>
      </c>
    </row>
    <row r="338" spans="1:3" ht="14.5">
      <c r="A338" s="74" t="s">
        <v>5035</v>
      </c>
      <c r="B338" s="380" t="str">
        <f t="shared" si="5"/>
        <v>085-902</v>
      </c>
      <c r="C338" s="731">
        <v>0</v>
      </c>
    </row>
    <row r="339" spans="1:3" ht="14.5">
      <c r="A339" s="74" t="s">
        <v>5803</v>
      </c>
      <c r="B339" s="380" t="str">
        <f t="shared" si="5"/>
        <v>085-903</v>
      </c>
      <c r="C339" s="731">
        <v>0</v>
      </c>
    </row>
    <row r="340" spans="1:3" ht="14.5">
      <c r="A340" s="74" t="s">
        <v>5804</v>
      </c>
      <c r="B340" s="380" t="str">
        <f t="shared" si="5"/>
        <v>086-024</v>
      </c>
      <c r="C340" s="731">
        <v>0</v>
      </c>
    </row>
    <row r="341" spans="1:3" ht="14.5">
      <c r="A341" s="74" t="s">
        <v>5036</v>
      </c>
      <c r="B341" s="380" t="str">
        <f t="shared" si="5"/>
        <v>086-901</v>
      </c>
      <c r="C341" s="731">
        <v>0</v>
      </c>
    </row>
    <row r="342" spans="1:3" ht="14.5">
      <c r="A342" s="74" t="s">
        <v>5805</v>
      </c>
      <c r="B342" s="380" t="str">
        <f t="shared" si="5"/>
        <v>086-902</v>
      </c>
      <c r="C342" s="731">
        <v>0</v>
      </c>
    </row>
    <row r="343" spans="1:3" ht="14.5">
      <c r="A343" s="74" t="s">
        <v>5037</v>
      </c>
      <c r="B343" s="380" t="str">
        <f t="shared" si="5"/>
        <v>087-901</v>
      </c>
      <c r="C343" s="731">
        <v>0</v>
      </c>
    </row>
    <row r="344" spans="1:3" ht="14.5">
      <c r="A344" s="74" t="s">
        <v>5038</v>
      </c>
      <c r="B344" s="380" t="str">
        <f t="shared" si="5"/>
        <v>088-902</v>
      </c>
      <c r="C344" s="731">
        <v>0</v>
      </c>
    </row>
    <row r="345" spans="1:3" ht="14.5">
      <c r="A345" s="74" t="s">
        <v>3001</v>
      </c>
      <c r="B345" s="380" t="str">
        <f t="shared" si="5"/>
        <v>089-901</v>
      </c>
      <c r="C345" s="731">
        <v>0</v>
      </c>
    </row>
    <row r="346" spans="1:3" ht="14.5">
      <c r="A346" s="74" t="s">
        <v>5039</v>
      </c>
      <c r="B346" s="380" t="str">
        <f t="shared" si="5"/>
        <v>089-903</v>
      </c>
      <c r="C346" s="731">
        <v>0</v>
      </c>
    </row>
    <row r="347" spans="1:3" ht="14.5">
      <c r="A347" s="74" t="s">
        <v>5040</v>
      </c>
      <c r="B347" s="380" t="str">
        <f t="shared" si="5"/>
        <v>089-905</v>
      </c>
      <c r="C347" s="731">
        <v>0</v>
      </c>
    </row>
    <row r="348" spans="1:3" ht="14.5">
      <c r="A348" s="74" t="s">
        <v>5041</v>
      </c>
      <c r="B348" s="380" t="str">
        <f t="shared" si="5"/>
        <v>090-902</v>
      </c>
      <c r="C348" s="731">
        <v>0</v>
      </c>
    </row>
    <row r="349" spans="1:3" ht="14.5">
      <c r="A349" s="74" t="s">
        <v>5042</v>
      </c>
      <c r="B349" s="380" t="str">
        <f t="shared" si="5"/>
        <v>090-903</v>
      </c>
      <c r="C349" s="731">
        <v>0</v>
      </c>
    </row>
    <row r="350" spans="1:3" ht="14.5">
      <c r="A350" s="74" t="s">
        <v>3002</v>
      </c>
      <c r="B350" s="380" t="str">
        <f t="shared" si="5"/>
        <v>090-904</v>
      </c>
      <c r="C350" s="731">
        <v>0</v>
      </c>
    </row>
    <row r="351" spans="1:3" ht="14.5">
      <c r="A351" s="74" t="s">
        <v>5043</v>
      </c>
      <c r="B351" s="380" t="str">
        <f t="shared" si="5"/>
        <v>090-905</v>
      </c>
      <c r="C351" s="731">
        <v>245121</v>
      </c>
    </row>
    <row r="352" spans="1:3" ht="14.5">
      <c r="A352" s="74" t="s">
        <v>3003</v>
      </c>
      <c r="B352" s="380" t="str">
        <f t="shared" si="5"/>
        <v>091-901</v>
      </c>
      <c r="C352" s="731">
        <v>0</v>
      </c>
    </row>
    <row r="353" spans="1:3" ht="14.5">
      <c r="A353" s="74" t="s">
        <v>3948</v>
      </c>
      <c r="B353" s="380" t="str">
        <f t="shared" si="5"/>
        <v>091-902</v>
      </c>
      <c r="C353" s="731">
        <v>0</v>
      </c>
    </row>
    <row r="354" spans="1:3" ht="14.5">
      <c r="A354" s="74" t="s">
        <v>5044</v>
      </c>
      <c r="B354" s="380" t="str">
        <f t="shared" si="5"/>
        <v>091-903</v>
      </c>
      <c r="C354" s="731">
        <v>0</v>
      </c>
    </row>
    <row r="355" spans="1:3" ht="14.5">
      <c r="A355" s="74" t="s">
        <v>3004</v>
      </c>
      <c r="B355" s="380" t="str">
        <f t="shared" si="5"/>
        <v>091-905</v>
      </c>
      <c r="C355" s="731">
        <v>0</v>
      </c>
    </row>
    <row r="356" spans="1:3" ht="14.5">
      <c r="A356" s="74" t="s">
        <v>3005</v>
      </c>
      <c r="B356" s="380" t="str">
        <f t="shared" si="5"/>
        <v>091-906</v>
      </c>
      <c r="C356" s="731">
        <v>0</v>
      </c>
    </row>
    <row r="357" spans="1:3" ht="14.5">
      <c r="A357" s="74" t="s">
        <v>5045</v>
      </c>
      <c r="B357" s="380" t="str">
        <f t="shared" si="5"/>
        <v>091-907</v>
      </c>
      <c r="C357" s="731">
        <v>0</v>
      </c>
    </row>
    <row r="358" spans="1:3" ht="14.5">
      <c r="A358" s="74" t="s">
        <v>3006</v>
      </c>
      <c r="B358" s="380" t="str">
        <f t="shared" si="5"/>
        <v>091-908</v>
      </c>
      <c r="C358" s="731">
        <v>0</v>
      </c>
    </row>
    <row r="359" spans="1:3" ht="14.5">
      <c r="A359" s="74" t="s">
        <v>3007</v>
      </c>
      <c r="B359" s="380" t="str">
        <f t="shared" si="5"/>
        <v>091-909</v>
      </c>
      <c r="C359" s="731">
        <v>0</v>
      </c>
    </row>
    <row r="360" spans="1:3" ht="14.5">
      <c r="A360" s="74" t="s">
        <v>5046</v>
      </c>
      <c r="B360" s="380" t="str">
        <f t="shared" si="5"/>
        <v>091-910</v>
      </c>
      <c r="C360" s="731">
        <v>0</v>
      </c>
    </row>
    <row r="361" spans="1:3" ht="14.5">
      <c r="A361" s="74" t="s">
        <v>3008</v>
      </c>
      <c r="B361" s="380" t="str">
        <f t="shared" si="5"/>
        <v>091-913</v>
      </c>
      <c r="C361" s="731">
        <v>0</v>
      </c>
    </row>
    <row r="362" spans="1:3" ht="14.5">
      <c r="A362" s="74" t="s">
        <v>5047</v>
      </c>
      <c r="B362" s="380" t="str">
        <f t="shared" si="5"/>
        <v>091-914</v>
      </c>
      <c r="C362" s="731">
        <v>0</v>
      </c>
    </row>
    <row r="363" spans="1:3" ht="14.5">
      <c r="A363" s="74" t="s">
        <v>3009</v>
      </c>
      <c r="B363" s="380" t="str">
        <f t="shared" si="5"/>
        <v>091-917</v>
      </c>
      <c r="C363" s="731">
        <v>0</v>
      </c>
    </row>
    <row r="364" spans="1:3" ht="14.5">
      <c r="A364" s="74" t="s">
        <v>5048</v>
      </c>
      <c r="B364" s="380" t="str">
        <f t="shared" si="5"/>
        <v>091-918</v>
      </c>
      <c r="C364" s="731">
        <v>0</v>
      </c>
    </row>
    <row r="365" spans="1:3" ht="14.5">
      <c r="A365" s="74" t="s">
        <v>5049</v>
      </c>
      <c r="B365" s="380" t="str">
        <f t="shared" si="5"/>
        <v>092-901</v>
      </c>
      <c r="C365" s="731">
        <v>0</v>
      </c>
    </row>
    <row r="366" spans="1:3" ht="14.5">
      <c r="A366" s="74" t="s">
        <v>5050</v>
      </c>
      <c r="B366" s="380" t="str">
        <f t="shared" si="5"/>
        <v>092-902</v>
      </c>
      <c r="C366" s="731">
        <v>0</v>
      </c>
    </row>
    <row r="367" spans="1:3" ht="14.5">
      <c r="A367" s="74" t="s">
        <v>3969</v>
      </c>
      <c r="B367" s="380" t="str">
        <f t="shared" si="5"/>
        <v>092-903</v>
      </c>
      <c r="C367" s="731">
        <v>0</v>
      </c>
    </row>
    <row r="368" spans="1:3" ht="14.5">
      <c r="A368" s="74" t="s">
        <v>5051</v>
      </c>
      <c r="B368" s="380" t="str">
        <f t="shared" si="5"/>
        <v>092-904</v>
      </c>
      <c r="C368" s="731">
        <v>0</v>
      </c>
    </row>
    <row r="369" spans="1:3" ht="14.5">
      <c r="A369" s="74" t="s">
        <v>5052</v>
      </c>
      <c r="B369" s="380" t="str">
        <f t="shared" si="5"/>
        <v>092-906</v>
      </c>
      <c r="C369" s="731">
        <v>0</v>
      </c>
    </row>
    <row r="370" spans="1:3" ht="14.5">
      <c r="A370" s="74" t="s">
        <v>3010</v>
      </c>
      <c r="B370" s="380" t="str">
        <f t="shared" si="5"/>
        <v>092-907</v>
      </c>
      <c r="C370" s="731">
        <v>0</v>
      </c>
    </row>
    <row r="371" spans="1:3" ht="14.5">
      <c r="A371" s="74" t="s">
        <v>5053</v>
      </c>
      <c r="B371" s="380" t="str">
        <f t="shared" si="5"/>
        <v>092-908</v>
      </c>
      <c r="C371" s="731">
        <v>0</v>
      </c>
    </row>
    <row r="372" spans="1:3" ht="14.5">
      <c r="A372" s="74" t="s">
        <v>5054</v>
      </c>
      <c r="B372" s="380" t="str">
        <f t="shared" si="5"/>
        <v>093-901</v>
      </c>
      <c r="C372" s="731">
        <v>0</v>
      </c>
    </row>
    <row r="373" spans="1:3" ht="14.5">
      <c r="A373" s="74" t="s">
        <v>3011</v>
      </c>
      <c r="B373" s="380" t="str">
        <f t="shared" si="5"/>
        <v>093-903</v>
      </c>
      <c r="C373" s="731">
        <v>0</v>
      </c>
    </row>
    <row r="374" spans="1:3" ht="14.5">
      <c r="A374" s="74" t="s">
        <v>5055</v>
      </c>
      <c r="B374" s="380" t="str">
        <f t="shared" si="5"/>
        <v>093-904</v>
      </c>
      <c r="C374" s="731">
        <v>0</v>
      </c>
    </row>
    <row r="375" spans="1:3" ht="14.5">
      <c r="A375" s="74" t="s">
        <v>5806</v>
      </c>
      <c r="B375" s="380" t="str">
        <f t="shared" si="5"/>
        <v>093-905</v>
      </c>
      <c r="C375" s="731">
        <v>0</v>
      </c>
    </row>
    <row r="376" spans="1:3" ht="14.5">
      <c r="A376" s="74" t="s">
        <v>3012</v>
      </c>
      <c r="B376" s="380" t="str">
        <f t="shared" si="5"/>
        <v>094-901</v>
      </c>
      <c r="C376" s="731">
        <v>0</v>
      </c>
    </row>
    <row r="377" spans="1:3" ht="14.5">
      <c r="A377" s="74" t="s">
        <v>3013</v>
      </c>
      <c r="B377" s="380" t="str">
        <f t="shared" si="5"/>
        <v>094-902</v>
      </c>
      <c r="C377" s="731">
        <v>0</v>
      </c>
    </row>
    <row r="378" spans="1:3" ht="14.5">
      <c r="A378" s="74" t="s">
        <v>3014</v>
      </c>
      <c r="B378" s="380" t="str">
        <f t="shared" si="5"/>
        <v>094-903</v>
      </c>
      <c r="C378" s="731">
        <v>0</v>
      </c>
    </row>
    <row r="379" spans="1:3" ht="14.5">
      <c r="A379" s="74" t="s">
        <v>3993</v>
      </c>
      <c r="B379" s="380" t="str">
        <f t="shared" si="5"/>
        <v>094-904</v>
      </c>
      <c r="C379" s="731">
        <v>0</v>
      </c>
    </row>
    <row r="380" spans="1:3" ht="14.5">
      <c r="A380" s="74" t="s">
        <v>5056</v>
      </c>
      <c r="B380" s="380" t="str">
        <f t="shared" si="5"/>
        <v>095-901</v>
      </c>
      <c r="C380" s="731">
        <v>0</v>
      </c>
    </row>
    <row r="381" spans="1:3" ht="14.5">
      <c r="A381" s="74" t="s">
        <v>5807</v>
      </c>
      <c r="B381" s="380" t="str">
        <f t="shared" si="5"/>
        <v>095-902</v>
      </c>
      <c r="C381" s="731">
        <v>0</v>
      </c>
    </row>
    <row r="382" spans="1:3" ht="14.5">
      <c r="A382" s="74" t="s">
        <v>5057</v>
      </c>
      <c r="B382" s="380" t="str">
        <f t="shared" si="5"/>
        <v>095-903</v>
      </c>
      <c r="C382" s="731">
        <v>0</v>
      </c>
    </row>
    <row r="383" spans="1:3" ht="14.5">
      <c r="A383" s="74" t="s">
        <v>5808</v>
      </c>
      <c r="B383" s="380" t="str">
        <f t="shared" si="5"/>
        <v>095-904</v>
      </c>
      <c r="C383" s="731">
        <v>0</v>
      </c>
    </row>
    <row r="384" spans="1:3" ht="14.5">
      <c r="A384" s="74" t="s">
        <v>5809</v>
      </c>
      <c r="B384" s="380" t="str">
        <f t="shared" si="5"/>
        <v>095-905</v>
      </c>
      <c r="C384" s="731">
        <v>0</v>
      </c>
    </row>
    <row r="385" spans="1:3" ht="14.5">
      <c r="A385" s="74" t="s">
        <v>5810</v>
      </c>
      <c r="B385" s="380" t="str">
        <f t="shared" si="5"/>
        <v>096-904</v>
      </c>
      <c r="C385" s="731">
        <v>0</v>
      </c>
    </row>
    <row r="386" spans="1:3" ht="14.5">
      <c r="A386" s="74" t="s">
        <v>5058</v>
      </c>
      <c r="B386" s="380" t="str">
        <f t="shared" ref="B386:B449" si="6">CONCATENATE(LEFT(RIGHT(CONCATENATE("000",A386),6),3),"-",(RIGHT(RIGHT(CONCATENATE("000",A386),6),3)))</f>
        <v>096-905</v>
      </c>
      <c r="C386" s="731">
        <v>0</v>
      </c>
    </row>
    <row r="387" spans="1:3" ht="14.5">
      <c r="A387" s="74" t="s">
        <v>5059</v>
      </c>
      <c r="B387" s="380" t="str">
        <f t="shared" si="6"/>
        <v>097-902</v>
      </c>
      <c r="C387" s="731">
        <v>0</v>
      </c>
    </row>
    <row r="388" spans="1:3" ht="14.5">
      <c r="A388" s="74" t="s">
        <v>3015</v>
      </c>
      <c r="B388" s="380" t="str">
        <f t="shared" si="6"/>
        <v>097-903</v>
      </c>
      <c r="C388" s="731">
        <v>0</v>
      </c>
    </row>
    <row r="389" spans="1:3" ht="14.5">
      <c r="A389" s="74" t="s">
        <v>5060</v>
      </c>
      <c r="B389" s="380" t="str">
        <f t="shared" si="6"/>
        <v>098-901</v>
      </c>
      <c r="C389" s="731">
        <v>0</v>
      </c>
    </row>
    <row r="390" spans="1:3" ht="14.5">
      <c r="A390" s="74" t="s">
        <v>5061</v>
      </c>
      <c r="B390" s="380" t="str">
        <f t="shared" si="6"/>
        <v>098-903</v>
      </c>
      <c r="C390" s="731">
        <v>0</v>
      </c>
    </row>
    <row r="391" spans="1:3" ht="14.5">
      <c r="A391" s="74" t="s">
        <v>5062</v>
      </c>
      <c r="B391" s="380" t="str">
        <f t="shared" si="6"/>
        <v>098-904</v>
      </c>
      <c r="C391" s="731">
        <v>0</v>
      </c>
    </row>
    <row r="392" spans="1:3" ht="14.5">
      <c r="A392" s="74" t="s">
        <v>5063</v>
      </c>
      <c r="B392" s="380" t="str">
        <f t="shared" si="6"/>
        <v>099-902</v>
      </c>
      <c r="C392" s="731">
        <v>0</v>
      </c>
    </row>
    <row r="393" spans="1:3" ht="14.5">
      <c r="A393" s="74" t="s">
        <v>5811</v>
      </c>
      <c r="B393" s="380" t="str">
        <f t="shared" si="6"/>
        <v>099-903</v>
      </c>
      <c r="C393" s="731">
        <v>0</v>
      </c>
    </row>
    <row r="394" spans="1:3" ht="14.5">
      <c r="A394" s="74" t="s">
        <v>5064</v>
      </c>
      <c r="B394" s="380" t="str">
        <f t="shared" si="6"/>
        <v>100-903</v>
      </c>
      <c r="C394" s="731">
        <v>0</v>
      </c>
    </row>
    <row r="395" spans="1:3" ht="14.5">
      <c r="A395" s="74" t="s">
        <v>3016</v>
      </c>
      <c r="B395" s="380" t="str">
        <f t="shared" si="6"/>
        <v>100-904</v>
      </c>
      <c r="C395" s="731">
        <v>0</v>
      </c>
    </row>
    <row r="396" spans="1:3" ht="14.5">
      <c r="A396" s="74" t="s">
        <v>5065</v>
      </c>
      <c r="B396" s="380" t="str">
        <f t="shared" si="6"/>
        <v>100-905</v>
      </c>
      <c r="C396" s="731">
        <v>0</v>
      </c>
    </row>
    <row r="397" spans="1:3" ht="14.5">
      <c r="A397" s="74" t="s">
        <v>3017</v>
      </c>
      <c r="B397" s="380" t="str">
        <f t="shared" si="6"/>
        <v>100-907</v>
      </c>
      <c r="C397" s="731">
        <v>0</v>
      </c>
    </row>
    <row r="398" spans="1:3" ht="14.5">
      <c r="A398" s="74" t="s">
        <v>3018</v>
      </c>
      <c r="B398" s="380" t="str">
        <f t="shared" si="6"/>
        <v>100-908</v>
      </c>
      <c r="C398" s="731">
        <v>0</v>
      </c>
    </row>
    <row r="399" spans="1:3" ht="14.5">
      <c r="A399" s="74" t="s">
        <v>3019</v>
      </c>
      <c r="B399" s="380" t="str">
        <f t="shared" si="6"/>
        <v>101-902</v>
      </c>
      <c r="C399" s="731">
        <v>0</v>
      </c>
    </row>
    <row r="400" spans="1:3" ht="14.5">
      <c r="A400" s="74" t="s">
        <v>3020</v>
      </c>
      <c r="B400" s="380" t="str">
        <f t="shared" si="6"/>
        <v>101-903</v>
      </c>
      <c r="C400" s="731">
        <v>0</v>
      </c>
    </row>
    <row r="401" spans="1:3" ht="14.5">
      <c r="A401" s="74" t="s">
        <v>3021</v>
      </c>
      <c r="B401" s="380" t="str">
        <f t="shared" si="6"/>
        <v>101-905</v>
      </c>
      <c r="C401" s="731">
        <v>0</v>
      </c>
    </row>
    <row r="402" spans="1:3" ht="14.5">
      <c r="A402" s="74" t="s">
        <v>3022</v>
      </c>
      <c r="B402" s="380" t="str">
        <f t="shared" si="6"/>
        <v>101-906</v>
      </c>
      <c r="C402" s="731">
        <v>0</v>
      </c>
    </row>
    <row r="403" spans="1:3" ht="14.5">
      <c r="A403" s="74" t="s">
        <v>5066</v>
      </c>
      <c r="B403" s="380" t="str">
        <f t="shared" si="6"/>
        <v>101-907</v>
      </c>
      <c r="C403" s="731">
        <v>0</v>
      </c>
    </row>
    <row r="404" spans="1:3" ht="14.5">
      <c r="A404" s="74" t="s">
        <v>5067</v>
      </c>
      <c r="B404" s="380" t="str">
        <f t="shared" si="6"/>
        <v>101-908</v>
      </c>
      <c r="C404" s="731">
        <v>0</v>
      </c>
    </row>
    <row r="405" spans="1:3" ht="14.5">
      <c r="A405" s="74" t="s">
        <v>3023</v>
      </c>
      <c r="B405" s="380" t="str">
        <f t="shared" si="6"/>
        <v>101-910</v>
      </c>
      <c r="C405" s="731">
        <v>0</v>
      </c>
    </row>
    <row r="406" spans="1:3" ht="14.5">
      <c r="A406" s="74" t="s">
        <v>5068</v>
      </c>
      <c r="B406" s="380" t="str">
        <f t="shared" si="6"/>
        <v>101-911</v>
      </c>
      <c r="C406" s="731">
        <v>0</v>
      </c>
    </row>
    <row r="407" spans="1:3" ht="14.5">
      <c r="A407" s="74" t="s">
        <v>5069</v>
      </c>
      <c r="B407" s="380" t="str">
        <f t="shared" si="6"/>
        <v>101-912</v>
      </c>
      <c r="C407" s="731">
        <v>0</v>
      </c>
    </row>
    <row r="408" spans="1:3" ht="14.5">
      <c r="A408" s="74" t="s">
        <v>3024</v>
      </c>
      <c r="B408" s="380" t="str">
        <f t="shared" si="6"/>
        <v>101-913</v>
      </c>
      <c r="C408" s="731">
        <v>0</v>
      </c>
    </row>
    <row r="409" spans="1:3" ht="14.5">
      <c r="A409" s="74" t="s">
        <v>3025</v>
      </c>
      <c r="B409" s="380" t="str">
        <f t="shared" si="6"/>
        <v>101-914</v>
      </c>
      <c r="C409" s="731">
        <v>0</v>
      </c>
    </row>
    <row r="410" spans="1:3" ht="14.5">
      <c r="A410" s="74" t="s">
        <v>3026</v>
      </c>
      <c r="B410" s="380" t="str">
        <f t="shared" si="6"/>
        <v>101-915</v>
      </c>
      <c r="C410" s="731">
        <v>0</v>
      </c>
    </row>
    <row r="411" spans="1:3" ht="14.5">
      <c r="A411" s="74" t="s">
        <v>5070</v>
      </c>
      <c r="B411" s="380" t="str">
        <f t="shared" si="6"/>
        <v>101-916</v>
      </c>
      <c r="C411" s="731">
        <v>0</v>
      </c>
    </row>
    <row r="412" spans="1:3" ht="14.5">
      <c r="A412" s="74" t="s">
        <v>3027</v>
      </c>
      <c r="B412" s="380" t="str">
        <f t="shared" si="6"/>
        <v>101-917</v>
      </c>
      <c r="C412" s="731">
        <v>0</v>
      </c>
    </row>
    <row r="413" spans="1:3" ht="14.5">
      <c r="A413" s="74" t="s">
        <v>5071</v>
      </c>
      <c r="B413" s="380" t="str">
        <f t="shared" si="6"/>
        <v>101-919</v>
      </c>
      <c r="C413" s="731">
        <v>0</v>
      </c>
    </row>
    <row r="414" spans="1:3" ht="14.5">
      <c r="A414" s="74" t="s">
        <v>5072</v>
      </c>
      <c r="B414" s="380" t="str">
        <f t="shared" si="6"/>
        <v>101-920</v>
      </c>
      <c r="C414" s="731">
        <v>0</v>
      </c>
    </row>
    <row r="415" spans="1:3" ht="14.5">
      <c r="A415" s="74" t="s">
        <v>5073</v>
      </c>
      <c r="B415" s="380" t="str">
        <f t="shared" si="6"/>
        <v>101-921</v>
      </c>
      <c r="C415" s="731">
        <v>0</v>
      </c>
    </row>
    <row r="416" spans="1:3" ht="14.5">
      <c r="A416" s="74" t="s">
        <v>5074</v>
      </c>
      <c r="B416" s="380" t="str">
        <f t="shared" si="6"/>
        <v>101-924</v>
      </c>
      <c r="C416" s="731">
        <v>0</v>
      </c>
    </row>
    <row r="417" spans="1:3" ht="14.5">
      <c r="A417" s="74" t="s">
        <v>3028</v>
      </c>
      <c r="B417" s="380" t="str">
        <f t="shared" si="6"/>
        <v>101-925</v>
      </c>
      <c r="C417" s="731">
        <v>0</v>
      </c>
    </row>
    <row r="418" spans="1:3" ht="14.5">
      <c r="A418" s="74" t="s">
        <v>5812</v>
      </c>
      <c r="B418" s="380" t="str">
        <f t="shared" si="6"/>
        <v>102-901</v>
      </c>
      <c r="C418" s="731">
        <v>0</v>
      </c>
    </row>
    <row r="419" spans="1:3" ht="14.5">
      <c r="A419" s="74" t="s">
        <v>5075</v>
      </c>
      <c r="B419" s="380" t="str">
        <f t="shared" si="6"/>
        <v>102-902</v>
      </c>
      <c r="C419" s="731">
        <v>0</v>
      </c>
    </row>
    <row r="420" spans="1:3" ht="14.5">
      <c r="A420" s="74" t="s">
        <v>5076</v>
      </c>
      <c r="B420" s="380" t="str">
        <f t="shared" si="6"/>
        <v>102-903</v>
      </c>
      <c r="C420" s="731">
        <v>0</v>
      </c>
    </row>
    <row r="421" spans="1:3" ht="14.5">
      <c r="A421" s="74" t="s">
        <v>5077</v>
      </c>
      <c r="B421" s="380" t="str">
        <f t="shared" si="6"/>
        <v>102-904</v>
      </c>
      <c r="C421" s="731">
        <v>0</v>
      </c>
    </row>
    <row r="422" spans="1:3" ht="14.5">
      <c r="A422" s="74" t="s">
        <v>5078</v>
      </c>
      <c r="B422" s="380" t="str">
        <f t="shared" si="6"/>
        <v>102-905</v>
      </c>
      <c r="C422" s="731">
        <v>0</v>
      </c>
    </row>
    <row r="423" spans="1:3" ht="14.5">
      <c r="A423" s="74" t="s">
        <v>5079</v>
      </c>
      <c r="B423" s="380" t="str">
        <f t="shared" si="6"/>
        <v>102-906</v>
      </c>
      <c r="C423" s="731">
        <v>0</v>
      </c>
    </row>
    <row r="424" spans="1:3" ht="14.5">
      <c r="A424" s="74" t="s">
        <v>5080</v>
      </c>
      <c r="B424" s="380" t="str">
        <f t="shared" si="6"/>
        <v>103-901</v>
      </c>
      <c r="C424" s="731">
        <v>0</v>
      </c>
    </row>
    <row r="425" spans="1:3" ht="14.5">
      <c r="A425" s="74" t="s">
        <v>5081</v>
      </c>
      <c r="B425" s="380" t="str">
        <f t="shared" si="6"/>
        <v>103-902</v>
      </c>
      <c r="C425" s="731">
        <v>0</v>
      </c>
    </row>
    <row r="426" spans="1:3" ht="14.5">
      <c r="A426" s="74" t="s">
        <v>3029</v>
      </c>
      <c r="B426" s="380" t="str">
        <f t="shared" si="6"/>
        <v>104-901</v>
      </c>
      <c r="C426" s="731">
        <v>0</v>
      </c>
    </row>
    <row r="427" spans="1:3" ht="14.5">
      <c r="A427" s="74" t="s">
        <v>5813</v>
      </c>
      <c r="B427" s="380" t="str">
        <f t="shared" si="6"/>
        <v>104-903</v>
      </c>
      <c r="C427" s="731">
        <v>0</v>
      </c>
    </row>
    <row r="428" spans="1:3" ht="14.5">
      <c r="A428" s="74" t="s">
        <v>5082</v>
      </c>
      <c r="B428" s="380" t="str">
        <f t="shared" si="6"/>
        <v>104-907</v>
      </c>
      <c r="C428" s="731">
        <v>192150</v>
      </c>
    </row>
    <row r="429" spans="1:3" ht="14.5">
      <c r="A429" s="74" t="s">
        <v>5083</v>
      </c>
      <c r="B429" s="380" t="str">
        <f t="shared" si="6"/>
        <v>105-902</v>
      </c>
      <c r="C429" s="731">
        <v>0</v>
      </c>
    </row>
    <row r="430" spans="1:3" ht="14.5">
      <c r="A430" s="74" t="s">
        <v>3030</v>
      </c>
      <c r="B430" s="380" t="str">
        <f t="shared" si="6"/>
        <v>105-904</v>
      </c>
      <c r="C430" s="731">
        <v>0</v>
      </c>
    </row>
    <row r="431" spans="1:3" ht="14.5">
      <c r="A431" s="74" t="s">
        <v>5084</v>
      </c>
      <c r="B431" s="380" t="str">
        <f t="shared" si="6"/>
        <v>105-905</v>
      </c>
      <c r="C431" s="731">
        <v>0</v>
      </c>
    </row>
    <row r="432" spans="1:3" ht="14.5">
      <c r="A432" s="74" t="s">
        <v>3031</v>
      </c>
      <c r="B432" s="380" t="str">
        <f t="shared" si="6"/>
        <v>105-906</v>
      </c>
      <c r="C432" s="731">
        <v>0</v>
      </c>
    </row>
    <row r="433" spans="1:3" ht="14.5">
      <c r="A433" s="74" t="s">
        <v>5085</v>
      </c>
      <c r="B433" s="380" t="str">
        <f t="shared" si="6"/>
        <v>106-901</v>
      </c>
      <c r="C433" s="731">
        <v>0</v>
      </c>
    </row>
    <row r="434" spans="1:3" ht="14.5">
      <c r="A434" s="74" t="s">
        <v>5086</v>
      </c>
      <c r="B434" s="380" t="str">
        <f t="shared" si="6"/>
        <v>107-901</v>
      </c>
      <c r="C434" s="731">
        <v>0</v>
      </c>
    </row>
    <row r="435" spans="1:3" ht="14.5">
      <c r="A435" s="74" t="s">
        <v>5087</v>
      </c>
      <c r="B435" s="380" t="str">
        <f t="shared" si="6"/>
        <v>107-902</v>
      </c>
      <c r="C435" s="731">
        <v>0</v>
      </c>
    </row>
    <row r="436" spans="1:3" ht="14.5">
      <c r="A436" s="74" t="s">
        <v>5088</v>
      </c>
      <c r="B436" s="380" t="str">
        <f t="shared" si="6"/>
        <v>107-904</v>
      </c>
      <c r="C436" s="731">
        <v>0</v>
      </c>
    </row>
    <row r="437" spans="1:3" ht="14.5">
      <c r="A437" s="74" t="s">
        <v>5089</v>
      </c>
      <c r="B437" s="380" t="str">
        <f t="shared" si="6"/>
        <v>107-905</v>
      </c>
      <c r="C437" s="731">
        <v>0</v>
      </c>
    </row>
    <row r="438" spans="1:3" ht="14.5">
      <c r="A438" s="74" t="s">
        <v>5090</v>
      </c>
      <c r="B438" s="380" t="str">
        <f t="shared" si="6"/>
        <v>107-906</v>
      </c>
      <c r="C438" s="731">
        <v>0</v>
      </c>
    </row>
    <row r="439" spans="1:3" ht="14.5">
      <c r="A439" s="74" t="s">
        <v>3032</v>
      </c>
      <c r="B439" s="380" t="str">
        <f t="shared" si="6"/>
        <v>107-907</v>
      </c>
      <c r="C439" s="731">
        <v>0</v>
      </c>
    </row>
    <row r="440" spans="1:3" ht="14.5">
      <c r="A440" s="74" t="s">
        <v>4087</v>
      </c>
      <c r="B440" s="380" t="str">
        <f t="shared" si="6"/>
        <v>107-908</v>
      </c>
      <c r="C440" s="731">
        <v>0</v>
      </c>
    </row>
    <row r="441" spans="1:3" ht="14.5">
      <c r="A441" s="74" t="s">
        <v>5091</v>
      </c>
      <c r="B441" s="380" t="str">
        <f t="shared" si="6"/>
        <v>107-910</v>
      </c>
      <c r="C441" s="731">
        <v>0</v>
      </c>
    </row>
    <row r="442" spans="1:3" ht="14.5">
      <c r="A442" s="74" t="s">
        <v>3033</v>
      </c>
      <c r="B442" s="380" t="str">
        <f t="shared" si="6"/>
        <v>108-902</v>
      </c>
      <c r="C442" s="731">
        <v>0</v>
      </c>
    </row>
    <row r="443" spans="1:3" ht="14.5">
      <c r="A443" s="74" t="s">
        <v>3034</v>
      </c>
      <c r="B443" s="380" t="str">
        <f t="shared" si="6"/>
        <v>108-903</v>
      </c>
      <c r="C443" s="731">
        <v>0</v>
      </c>
    </row>
    <row r="444" spans="1:3" ht="14.5">
      <c r="A444" s="74" t="s">
        <v>3035</v>
      </c>
      <c r="B444" s="380" t="str">
        <f t="shared" si="6"/>
        <v>108-904</v>
      </c>
      <c r="C444" s="731">
        <v>0</v>
      </c>
    </row>
    <row r="445" spans="1:3" ht="14.5">
      <c r="A445" s="74" t="s">
        <v>3036</v>
      </c>
      <c r="B445" s="380" t="str">
        <f t="shared" si="6"/>
        <v>108-905</v>
      </c>
      <c r="C445" s="731">
        <v>0</v>
      </c>
    </row>
    <row r="446" spans="1:3" ht="14.5">
      <c r="A446" s="74" t="s">
        <v>3037</v>
      </c>
      <c r="B446" s="380" t="str">
        <f t="shared" si="6"/>
        <v>108-906</v>
      </c>
      <c r="C446" s="731">
        <v>0</v>
      </c>
    </row>
    <row r="447" spans="1:3" ht="14.5">
      <c r="A447" s="74" t="s">
        <v>3038</v>
      </c>
      <c r="B447" s="380" t="str">
        <f t="shared" si="6"/>
        <v>108-907</v>
      </c>
      <c r="C447" s="731">
        <v>0</v>
      </c>
    </row>
    <row r="448" spans="1:3" ht="14.5">
      <c r="A448" s="74" t="s">
        <v>3039</v>
      </c>
      <c r="B448" s="380" t="str">
        <f t="shared" si="6"/>
        <v>108-908</v>
      </c>
      <c r="C448" s="731">
        <v>0</v>
      </c>
    </row>
    <row r="449" spans="1:3" ht="14.5">
      <c r="A449" s="74" t="s">
        <v>3040</v>
      </c>
      <c r="B449" s="380" t="str">
        <f t="shared" si="6"/>
        <v>108-909</v>
      </c>
      <c r="C449" s="731">
        <v>0</v>
      </c>
    </row>
    <row r="450" spans="1:3" ht="14.5">
      <c r="A450" s="74" t="s">
        <v>3041</v>
      </c>
      <c r="B450" s="380" t="str">
        <f t="shared" ref="B450:B513" si="7">CONCATENATE(LEFT(RIGHT(CONCATENATE("000",A450),6),3),"-",(RIGHT(RIGHT(CONCATENATE("000",A450),6),3)))</f>
        <v>108-910</v>
      </c>
      <c r="C450" s="731">
        <v>0</v>
      </c>
    </row>
    <row r="451" spans="1:3" ht="14.5">
      <c r="A451" s="74" t="s">
        <v>3042</v>
      </c>
      <c r="B451" s="380" t="str">
        <f t="shared" si="7"/>
        <v>108-911</v>
      </c>
      <c r="C451" s="731">
        <v>0</v>
      </c>
    </row>
    <row r="452" spans="1:3" ht="14.5">
      <c r="A452" s="74" t="s">
        <v>3043</v>
      </c>
      <c r="B452" s="380" t="str">
        <f t="shared" si="7"/>
        <v>108-912</v>
      </c>
      <c r="C452" s="731">
        <v>0</v>
      </c>
    </row>
    <row r="453" spans="1:3" ht="14.5">
      <c r="A453" s="74" t="s">
        <v>3044</v>
      </c>
      <c r="B453" s="380" t="str">
        <f t="shared" si="7"/>
        <v>108-913</v>
      </c>
      <c r="C453" s="731">
        <v>0</v>
      </c>
    </row>
    <row r="454" spans="1:3" ht="14.5">
      <c r="A454" s="74" t="s">
        <v>3045</v>
      </c>
      <c r="B454" s="380" t="str">
        <f t="shared" si="7"/>
        <v>108-914</v>
      </c>
      <c r="C454" s="731">
        <v>0</v>
      </c>
    </row>
    <row r="455" spans="1:3" ht="14.5">
      <c r="A455" s="74" t="s">
        <v>3046</v>
      </c>
      <c r="B455" s="380" t="str">
        <f t="shared" si="7"/>
        <v>108-915</v>
      </c>
      <c r="C455" s="731">
        <v>0</v>
      </c>
    </row>
    <row r="456" spans="1:3" ht="14.5">
      <c r="A456" s="74" t="s">
        <v>3047</v>
      </c>
      <c r="B456" s="380" t="str">
        <f t="shared" si="7"/>
        <v>108-916</v>
      </c>
      <c r="C456" s="731">
        <v>0</v>
      </c>
    </row>
    <row r="457" spans="1:3" ht="14.5">
      <c r="A457" s="74" t="s">
        <v>3048</v>
      </c>
      <c r="B457" s="380" t="str">
        <f t="shared" si="7"/>
        <v>109-901</v>
      </c>
      <c r="C457" s="731">
        <v>0</v>
      </c>
    </row>
    <row r="458" spans="1:3" ht="14.5">
      <c r="A458" s="74" t="s">
        <v>3049</v>
      </c>
      <c r="B458" s="380" t="str">
        <f t="shared" si="7"/>
        <v>109-902</v>
      </c>
      <c r="C458" s="731">
        <v>0</v>
      </c>
    </row>
    <row r="459" spans="1:3" ht="14.5">
      <c r="A459" s="74" t="s">
        <v>4185</v>
      </c>
      <c r="B459" s="380" t="str">
        <f t="shared" si="7"/>
        <v>109-903</v>
      </c>
      <c r="C459" s="731">
        <v>0</v>
      </c>
    </row>
    <row r="460" spans="1:3" ht="14.5">
      <c r="A460" s="74" t="s">
        <v>3050</v>
      </c>
      <c r="B460" s="380" t="str">
        <f t="shared" si="7"/>
        <v>109-904</v>
      </c>
      <c r="C460" s="731">
        <v>0</v>
      </c>
    </row>
    <row r="461" spans="1:3" ht="14.5">
      <c r="A461" s="74" t="s">
        <v>3051</v>
      </c>
      <c r="B461" s="380" t="str">
        <f t="shared" si="7"/>
        <v>109-905</v>
      </c>
      <c r="C461" s="731">
        <v>0</v>
      </c>
    </row>
    <row r="462" spans="1:3" ht="14.5">
      <c r="A462" s="74" t="s">
        <v>3052</v>
      </c>
      <c r="B462" s="380" t="str">
        <f t="shared" si="7"/>
        <v>109-907</v>
      </c>
      <c r="C462" s="731">
        <v>0</v>
      </c>
    </row>
    <row r="463" spans="1:3" ht="14.5">
      <c r="A463" s="74" t="s">
        <v>3053</v>
      </c>
      <c r="B463" s="380" t="str">
        <f t="shared" si="7"/>
        <v>109-908</v>
      </c>
      <c r="C463" s="731">
        <v>0</v>
      </c>
    </row>
    <row r="464" spans="1:3" ht="14.5">
      <c r="A464" s="74" t="s">
        <v>3054</v>
      </c>
      <c r="B464" s="380" t="str">
        <f t="shared" si="7"/>
        <v>109-910</v>
      </c>
      <c r="C464" s="731">
        <v>0</v>
      </c>
    </row>
    <row r="465" spans="1:3" ht="14.5">
      <c r="A465" s="74" t="s">
        <v>5092</v>
      </c>
      <c r="B465" s="380" t="str">
        <f t="shared" si="7"/>
        <v>109-911</v>
      </c>
      <c r="C465" s="731">
        <v>0</v>
      </c>
    </row>
    <row r="466" spans="1:3" ht="14.5">
      <c r="A466" s="74" t="s">
        <v>3055</v>
      </c>
      <c r="B466" s="380" t="str">
        <f t="shared" si="7"/>
        <v>109-912</v>
      </c>
      <c r="C466" s="731">
        <v>0</v>
      </c>
    </row>
    <row r="467" spans="1:3" ht="14.5">
      <c r="A467" s="74" t="s">
        <v>4203</v>
      </c>
      <c r="B467" s="380" t="str">
        <f t="shared" si="7"/>
        <v>109-913</v>
      </c>
      <c r="C467" s="731">
        <v>0</v>
      </c>
    </row>
    <row r="468" spans="1:3" ht="14.5">
      <c r="A468" s="74" t="s">
        <v>4205</v>
      </c>
      <c r="B468" s="380" t="str">
        <f t="shared" si="7"/>
        <v>109-914</v>
      </c>
      <c r="C468" s="731">
        <v>0</v>
      </c>
    </row>
    <row r="469" spans="1:3" ht="14.5">
      <c r="A469" s="74" t="s">
        <v>5814</v>
      </c>
      <c r="B469" s="380" t="str">
        <f t="shared" si="7"/>
        <v>110-901</v>
      </c>
      <c r="C469" s="731">
        <v>0</v>
      </c>
    </row>
    <row r="470" spans="1:3" ht="14.5">
      <c r="A470" s="74" t="s">
        <v>5093</v>
      </c>
      <c r="B470" s="380" t="str">
        <f t="shared" si="7"/>
        <v>110-902</v>
      </c>
      <c r="C470" s="731">
        <v>0</v>
      </c>
    </row>
    <row r="471" spans="1:3" ht="14.5">
      <c r="A471" s="74" t="s">
        <v>5094</v>
      </c>
      <c r="B471" s="380" t="str">
        <f t="shared" si="7"/>
        <v>110-905</v>
      </c>
      <c r="C471" s="731">
        <v>0</v>
      </c>
    </row>
    <row r="472" spans="1:3" ht="14.5">
      <c r="A472" s="74" t="s">
        <v>3056</v>
      </c>
      <c r="B472" s="380" t="str">
        <f t="shared" si="7"/>
        <v>110-906</v>
      </c>
      <c r="C472" s="731">
        <v>0</v>
      </c>
    </row>
    <row r="473" spans="1:3" ht="14.5">
      <c r="A473" s="74" t="s">
        <v>5815</v>
      </c>
      <c r="B473" s="380" t="str">
        <f t="shared" si="7"/>
        <v>110-907</v>
      </c>
      <c r="C473" s="731">
        <v>2800162</v>
      </c>
    </row>
    <row r="474" spans="1:3" ht="14.5">
      <c r="A474" s="74" t="s">
        <v>5816</v>
      </c>
      <c r="B474" s="380" t="str">
        <f t="shared" si="7"/>
        <v>110-908</v>
      </c>
      <c r="C474" s="731">
        <v>0</v>
      </c>
    </row>
    <row r="475" spans="1:3" ht="14.5">
      <c r="A475" s="74" t="s">
        <v>5095</v>
      </c>
      <c r="B475" s="380" t="str">
        <f t="shared" si="7"/>
        <v>111-901</v>
      </c>
      <c r="C475" s="731">
        <v>0</v>
      </c>
    </row>
    <row r="476" spans="1:3" ht="14.5">
      <c r="A476" s="74" t="s">
        <v>3057</v>
      </c>
      <c r="B476" s="380" t="str">
        <f t="shared" si="7"/>
        <v>111-902</v>
      </c>
      <c r="C476" s="731">
        <v>0</v>
      </c>
    </row>
    <row r="477" spans="1:3" ht="14.5">
      <c r="A477" s="74" t="s">
        <v>3058</v>
      </c>
      <c r="B477" s="380" t="str">
        <f t="shared" si="7"/>
        <v>111-903</v>
      </c>
      <c r="C477" s="731">
        <v>0</v>
      </c>
    </row>
    <row r="478" spans="1:3" ht="14.5">
      <c r="A478" s="74" t="s">
        <v>3059</v>
      </c>
      <c r="B478" s="380" t="str">
        <f t="shared" si="7"/>
        <v>112-901</v>
      </c>
      <c r="C478" s="731">
        <v>0</v>
      </c>
    </row>
    <row r="479" spans="1:3" ht="14.5">
      <c r="A479" s="74" t="s">
        <v>3060</v>
      </c>
      <c r="B479" s="380" t="str">
        <f t="shared" si="7"/>
        <v>112-905</v>
      </c>
      <c r="C479" s="731">
        <v>0</v>
      </c>
    </row>
    <row r="480" spans="1:3" ht="14.5">
      <c r="A480" s="74" t="s">
        <v>5096</v>
      </c>
      <c r="B480" s="380" t="str">
        <f t="shared" si="7"/>
        <v>112-906</v>
      </c>
      <c r="C480" s="731">
        <v>0</v>
      </c>
    </row>
    <row r="481" spans="1:3" ht="14.5">
      <c r="A481" s="74" t="s">
        <v>3061</v>
      </c>
      <c r="B481" s="380" t="str">
        <f t="shared" si="7"/>
        <v>112-907</v>
      </c>
      <c r="C481" s="731">
        <v>0</v>
      </c>
    </row>
    <row r="482" spans="1:3" ht="14.5">
      <c r="A482" s="74" t="s">
        <v>5817</v>
      </c>
      <c r="B482" s="380" t="str">
        <f t="shared" si="7"/>
        <v>112-908</v>
      </c>
      <c r="C482" s="731">
        <v>0</v>
      </c>
    </row>
    <row r="483" spans="1:3" ht="14.5">
      <c r="A483" s="74" t="s">
        <v>5818</v>
      </c>
      <c r="B483" s="380" t="str">
        <f t="shared" si="7"/>
        <v>112-909</v>
      </c>
      <c r="C483" s="731">
        <v>0</v>
      </c>
    </row>
    <row r="484" spans="1:3" ht="14.5">
      <c r="A484" s="74" t="s">
        <v>3062</v>
      </c>
      <c r="B484" s="380" t="str">
        <f t="shared" si="7"/>
        <v>112-910</v>
      </c>
      <c r="C484" s="731">
        <v>0</v>
      </c>
    </row>
    <row r="485" spans="1:3" ht="14.5">
      <c r="A485" s="74" t="s">
        <v>5097</v>
      </c>
      <c r="B485" s="380" t="str">
        <f t="shared" si="7"/>
        <v>113-901</v>
      </c>
      <c r="C485" s="731">
        <v>0</v>
      </c>
    </row>
    <row r="486" spans="1:3" ht="14.5">
      <c r="A486" s="74" t="s">
        <v>5098</v>
      </c>
      <c r="B486" s="380" t="str">
        <f t="shared" si="7"/>
        <v>113-902</v>
      </c>
      <c r="C486" s="731">
        <v>0</v>
      </c>
    </row>
    <row r="487" spans="1:3" ht="14.5">
      <c r="A487" s="74" t="s">
        <v>5819</v>
      </c>
      <c r="B487" s="380" t="str">
        <f t="shared" si="7"/>
        <v>113-903</v>
      </c>
      <c r="C487" s="731">
        <v>0</v>
      </c>
    </row>
    <row r="488" spans="1:3" ht="14.5">
      <c r="A488" s="74" t="s">
        <v>5099</v>
      </c>
      <c r="B488" s="380" t="str">
        <f t="shared" si="7"/>
        <v>113-905</v>
      </c>
      <c r="C488" s="731">
        <v>0</v>
      </c>
    </row>
    <row r="489" spans="1:3" ht="14.5">
      <c r="A489" s="74" t="s">
        <v>5820</v>
      </c>
      <c r="B489" s="380" t="str">
        <f t="shared" si="7"/>
        <v>113-906</v>
      </c>
      <c r="C489" s="731">
        <v>0</v>
      </c>
    </row>
    <row r="490" spans="1:3" ht="14.5">
      <c r="A490" s="74" t="s">
        <v>3063</v>
      </c>
      <c r="B490" s="380" t="str">
        <f t="shared" si="7"/>
        <v>114-901</v>
      </c>
      <c r="C490" s="731">
        <v>0</v>
      </c>
    </row>
    <row r="491" spans="1:3" ht="14.5">
      <c r="A491" s="74" t="s">
        <v>5100</v>
      </c>
      <c r="B491" s="380" t="str">
        <f t="shared" si="7"/>
        <v>114-902</v>
      </c>
      <c r="C491" s="731">
        <v>0</v>
      </c>
    </row>
    <row r="492" spans="1:3" ht="14.5">
      <c r="A492" s="74" t="s">
        <v>5101</v>
      </c>
      <c r="B492" s="380" t="str">
        <f t="shared" si="7"/>
        <v>114-904</v>
      </c>
      <c r="C492" s="731">
        <v>0</v>
      </c>
    </row>
    <row r="493" spans="1:3" ht="14.5">
      <c r="A493" s="74" t="s">
        <v>5102</v>
      </c>
      <c r="B493" s="380" t="str">
        <f t="shared" si="7"/>
        <v>115-901</v>
      </c>
      <c r="C493" s="731">
        <v>0</v>
      </c>
    </row>
    <row r="494" spans="1:3" ht="14.5">
      <c r="A494" s="74" t="s">
        <v>5821</v>
      </c>
      <c r="B494" s="380" t="str">
        <f t="shared" si="7"/>
        <v>115-902</v>
      </c>
      <c r="C494" s="731">
        <v>0</v>
      </c>
    </row>
    <row r="495" spans="1:3" ht="14.5">
      <c r="A495" s="74" t="s">
        <v>5822</v>
      </c>
      <c r="B495" s="380" t="str">
        <f t="shared" si="7"/>
        <v>115-903</v>
      </c>
      <c r="C495" s="731">
        <v>0</v>
      </c>
    </row>
    <row r="496" spans="1:3" ht="14.5">
      <c r="A496" s="74" t="s">
        <v>3064</v>
      </c>
      <c r="B496" s="380" t="str">
        <f t="shared" si="7"/>
        <v>116-901</v>
      </c>
      <c r="C496" s="731">
        <v>0</v>
      </c>
    </row>
    <row r="497" spans="1:3" ht="14.5">
      <c r="A497" s="74" t="s">
        <v>3065</v>
      </c>
      <c r="B497" s="380" t="str">
        <f t="shared" si="7"/>
        <v>116-902</v>
      </c>
      <c r="C497" s="731">
        <v>0</v>
      </c>
    </row>
    <row r="498" spans="1:3" ht="14.5">
      <c r="A498" s="74" t="s">
        <v>3066</v>
      </c>
      <c r="B498" s="380" t="str">
        <f t="shared" si="7"/>
        <v>116-903</v>
      </c>
      <c r="C498" s="731">
        <v>0</v>
      </c>
    </row>
    <row r="499" spans="1:3" ht="14.5">
      <c r="A499" s="74" t="s">
        <v>5103</v>
      </c>
      <c r="B499" s="380" t="str">
        <f t="shared" si="7"/>
        <v>116-905</v>
      </c>
      <c r="C499" s="731">
        <v>0</v>
      </c>
    </row>
    <row r="500" spans="1:3" ht="14.5">
      <c r="A500" s="74" t="s">
        <v>3067</v>
      </c>
      <c r="B500" s="380" t="str">
        <f t="shared" si="7"/>
        <v>116-906</v>
      </c>
      <c r="C500" s="731">
        <v>0</v>
      </c>
    </row>
    <row r="501" spans="1:3" ht="14.5">
      <c r="A501" s="74" t="s">
        <v>3068</v>
      </c>
      <c r="B501" s="380" t="str">
        <f t="shared" si="7"/>
        <v>116-908</v>
      </c>
      <c r="C501" s="731">
        <v>0</v>
      </c>
    </row>
    <row r="502" spans="1:3" ht="14.5">
      <c r="A502" s="74" t="s">
        <v>3069</v>
      </c>
      <c r="B502" s="380" t="str">
        <f t="shared" si="7"/>
        <v>116-909</v>
      </c>
      <c r="C502" s="731">
        <v>0</v>
      </c>
    </row>
    <row r="503" spans="1:3" ht="14.5">
      <c r="A503" s="74" t="s">
        <v>5104</v>
      </c>
      <c r="B503" s="380" t="str">
        <f t="shared" si="7"/>
        <v>116-910</v>
      </c>
      <c r="C503" s="731">
        <v>0</v>
      </c>
    </row>
    <row r="504" spans="1:3" ht="14.5">
      <c r="A504" s="74" t="s">
        <v>3070</v>
      </c>
      <c r="B504" s="380" t="str">
        <f t="shared" si="7"/>
        <v>116-915</v>
      </c>
      <c r="C504" s="731">
        <v>0</v>
      </c>
    </row>
    <row r="505" spans="1:3" ht="14.5">
      <c r="A505" s="74" t="s">
        <v>3071</v>
      </c>
      <c r="B505" s="380" t="str">
        <f t="shared" si="7"/>
        <v>116-916</v>
      </c>
      <c r="C505" s="731">
        <v>0</v>
      </c>
    </row>
    <row r="506" spans="1:3" ht="14.5">
      <c r="A506" s="74" t="s">
        <v>5105</v>
      </c>
      <c r="B506" s="380" t="str">
        <f t="shared" si="7"/>
        <v>117-901</v>
      </c>
      <c r="C506" s="731">
        <v>0</v>
      </c>
    </row>
    <row r="507" spans="1:3" ht="14.5">
      <c r="A507" s="74" t="s">
        <v>5106</v>
      </c>
      <c r="B507" s="380" t="str">
        <f t="shared" si="7"/>
        <v>117-903</v>
      </c>
      <c r="C507" s="731">
        <v>0</v>
      </c>
    </row>
    <row r="508" spans="1:3" ht="14.5">
      <c r="A508" s="74" t="s">
        <v>5107</v>
      </c>
      <c r="B508" s="380" t="str">
        <f t="shared" si="7"/>
        <v>117-904</v>
      </c>
      <c r="C508" s="731">
        <v>0</v>
      </c>
    </row>
    <row r="509" spans="1:3" ht="14.5">
      <c r="A509" s="74" t="s">
        <v>5823</v>
      </c>
      <c r="B509" s="380" t="str">
        <f t="shared" si="7"/>
        <v>117-907</v>
      </c>
      <c r="C509" s="731">
        <v>0</v>
      </c>
    </row>
    <row r="510" spans="1:3" ht="14.5">
      <c r="A510" s="74" t="s">
        <v>5108</v>
      </c>
      <c r="B510" s="380" t="str">
        <f t="shared" si="7"/>
        <v>118-902</v>
      </c>
      <c r="C510" s="731">
        <v>0</v>
      </c>
    </row>
    <row r="511" spans="1:3" ht="14.5">
      <c r="A511" s="74" t="s">
        <v>5109</v>
      </c>
      <c r="B511" s="380" t="str">
        <f t="shared" si="7"/>
        <v>119-901</v>
      </c>
      <c r="C511" s="731">
        <v>0</v>
      </c>
    </row>
    <row r="512" spans="1:3" ht="14.5">
      <c r="A512" s="74" t="s">
        <v>5110</v>
      </c>
      <c r="B512" s="380" t="str">
        <f t="shared" si="7"/>
        <v>119-902</v>
      </c>
      <c r="C512" s="731">
        <v>0</v>
      </c>
    </row>
    <row r="513" spans="1:3" ht="14.5">
      <c r="A513" s="74" t="s">
        <v>5111</v>
      </c>
      <c r="B513" s="380" t="str">
        <f t="shared" si="7"/>
        <v>119-903</v>
      </c>
      <c r="C513" s="731">
        <v>0</v>
      </c>
    </row>
    <row r="514" spans="1:3" ht="14.5">
      <c r="A514" s="74" t="s">
        <v>5112</v>
      </c>
      <c r="B514" s="380" t="str">
        <f t="shared" ref="B514:B577" si="8">CONCATENATE(LEFT(RIGHT(CONCATENATE("000",A514),6),3),"-",(RIGHT(RIGHT(CONCATENATE("000",A514),6),3)))</f>
        <v>120-901</v>
      </c>
      <c r="C514" s="731">
        <v>0</v>
      </c>
    </row>
    <row r="515" spans="1:3" ht="14.5">
      <c r="A515" s="74" t="s">
        <v>3072</v>
      </c>
      <c r="B515" s="380" t="str">
        <f t="shared" si="8"/>
        <v>120-902</v>
      </c>
      <c r="C515" s="731">
        <v>0</v>
      </c>
    </row>
    <row r="516" spans="1:3" ht="14.5">
      <c r="A516" s="74" t="s">
        <v>5113</v>
      </c>
      <c r="B516" s="380" t="str">
        <f t="shared" si="8"/>
        <v>120-905</v>
      </c>
      <c r="C516" s="731">
        <v>0</v>
      </c>
    </row>
    <row r="517" spans="1:3" ht="14.5">
      <c r="A517" s="74" t="s">
        <v>5824</v>
      </c>
      <c r="B517" s="380" t="str">
        <f t="shared" si="8"/>
        <v>121-902</v>
      </c>
      <c r="C517" s="731">
        <v>0</v>
      </c>
    </row>
    <row r="518" spans="1:3" ht="14.5">
      <c r="A518" s="74" t="s">
        <v>3073</v>
      </c>
      <c r="B518" s="380" t="str">
        <f t="shared" si="8"/>
        <v>121-903</v>
      </c>
      <c r="C518" s="731">
        <v>0</v>
      </c>
    </row>
    <row r="519" spans="1:3" ht="14.5">
      <c r="A519" s="74" t="s">
        <v>3074</v>
      </c>
      <c r="B519" s="380" t="str">
        <f t="shared" si="8"/>
        <v>121-904</v>
      </c>
      <c r="C519" s="731">
        <v>0</v>
      </c>
    </row>
    <row r="520" spans="1:3" ht="14.5">
      <c r="A520" s="74" t="s">
        <v>3075</v>
      </c>
      <c r="B520" s="380" t="str">
        <f t="shared" si="8"/>
        <v>121-905</v>
      </c>
      <c r="C520" s="731">
        <v>0</v>
      </c>
    </row>
    <row r="521" spans="1:3" ht="14.5">
      <c r="A521" s="74" t="s">
        <v>5114</v>
      </c>
      <c r="B521" s="380" t="str">
        <f t="shared" si="8"/>
        <v>121-906</v>
      </c>
      <c r="C521" s="731">
        <v>43854</v>
      </c>
    </row>
    <row r="522" spans="1:3" ht="14.5">
      <c r="A522" s="74" t="s">
        <v>5825</v>
      </c>
      <c r="B522" s="380" t="str">
        <f t="shared" si="8"/>
        <v>122-901</v>
      </c>
      <c r="C522" s="731">
        <v>0</v>
      </c>
    </row>
    <row r="523" spans="1:3" ht="14.5">
      <c r="A523" s="74" t="s">
        <v>5826</v>
      </c>
      <c r="B523" s="380" t="str">
        <f t="shared" si="8"/>
        <v>122-902</v>
      </c>
      <c r="C523" s="731">
        <v>0</v>
      </c>
    </row>
    <row r="524" spans="1:3" ht="14.5">
      <c r="A524" s="74" t="s">
        <v>3076</v>
      </c>
      <c r="B524" s="380" t="str">
        <f t="shared" si="8"/>
        <v>123-905</v>
      </c>
      <c r="C524" s="731">
        <v>0</v>
      </c>
    </row>
    <row r="525" spans="1:3" ht="14.5">
      <c r="A525" s="74" t="s">
        <v>5115</v>
      </c>
      <c r="B525" s="380" t="str">
        <f t="shared" si="8"/>
        <v>123-907</v>
      </c>
      <c r="C525" s="731">
        <v>0</v>
      </c>
    </row>
    <row r="526" spans="1:3" ht="14.5">
      <c r="A526" s="74" t="s">
        <v>5116</v>
      </c>
      <c r="B526" s="380" t="str">
        <f t="shared" si="8"/>
        <v>123-908</v>
      </c>
      <c r="C526" s="731">
        <v>0</v>
      </c>
    </row>
    <row r="527" spans="1:3" ht="14.5">
      <c r="A527" s="74" t="s">
        <v>5117</v>
      </c>
      <c r="B527" s="380" t="str">
        <f t="shared" si="8"/>
        <v>123-910</v>
      </c>
      <c r="C527" s="731">
        <v>0</v>
      </c>
    </row>
    <row r="528" spans="1:3" ht="14.5">
      <c r="A528" s="74" t="s">
        <v>5118</v>
      </c>
      <c r="B528" s="380" t="str">
        <f t="shared" si="8"/>
        <v>123-913</v>
      </c>
      <c r="C528" s="731">
        <v>828599</v>
      </c>
    </row>
    <row r="529" spans="1:3" ht="14.5">
      <c r="A529" s="74" t="s">
        <v>3077</v>
      </c>
      <c r="B529" s="380" t="str">
        <f t="shared" si="8"/>
        <v>123-914</v>
      </c>
      <c r="C529" s="731">
        <v>0</v>
      </c>
    </row>
    <row r="530" spans="1:3" ht="14.5">
      <c r="A530" s="74" t="s">
        <v>5119</v>
      </c>
      <c r="B530" s="380" t="str">
        <f t="shared" si="8"/>
        <v>124-901</v>
      </c>
      <c r="C530" s="731">
        <v>0</v>
      </c>
    </row>
    <row r="531" spans="1:3" ht="14.5">
      <c r="A531" s="74" t="s">
        <v>3078</v>
      </c>
      <c r="B531" s="380" t="str">
        <f t="shared" si="8"/>
        <v>125-901</v>
      </c>
      <c r="C531" s="731">
        <v>0</v>
      </c>
    </row>
    <row r="532" spans="1:3" ht="14.5">
      <c r="A532" s="74" t="s">
        <v>3079</v>
      </c>
      <c r="B532" s="380" t="str">
        <f t="shared" si="8"/>
        <v>125-902</v>
      </c>
      <c r="C532" s="731">
        <v>0</v>
      </c>
    </row>
    <row r="533" spans="1:3" ht="14.5">
      <c r="A533" s="74" t="s">
        <v>3080</v>
      </c>
      <c r="B533" s="380" t="str">
        <f t="shared" si="8"/>
        <v>125-903</v>
      </c>
      <c r="C533" s="731">
        <v>0</v>
      </c>
    </row>
    <row r="534" spans="1:3" ht="14.5">
      <c r="A534" s="74" t="s">
        <v>3081</v>
      </c>
      <c r="B534" s="380" t="str">
        <f t="shared" si="8"/>
        <v>125-905</v>
      </c>
      <c r="C534" s="731">
        <v>0</v>
      </c>
    </row>
    <row r="535" spans="1:3" ht="14.5">
      <c r="A535" s="74" t="s">
        <v>5827</v>
      </c>
      <c r="B535" s="380" t="str">
        <f t="shared" si="8"/>
        <v>125-906</v>
      </c>
      <c r="C535" s="731">
        <v>0</v>
      </c>
    </row>
    <row r="536" spans="1:3" ht="14.5">
      <c r="A536" s="74" t="s">
        <v>3082</v>
      </c>
      <c r="B536" s="380" t="str">
        <f t="shared" si="8"/>
        <v>126-901</v>
      </c>
      <c r="C536" s="731">
        <v>0</v>
      </c>
    </row>
    <row r="537" spans="1:3" ht="14.5">
      <c r="A537" s="74" t="s">
        <v>3083</v>
      </c>
      <c r="B537" s="380" t="str">
        <f t="shared" si="8"/>
        <v>126-902</v>
      </c>
      <c r="C537" s="731">
        <v>0</v>
      </c>
    </row>
    <row r="538" spans="1:3" ht="14.5">
      <c r="A538" s="74" t="s">
        <v>5120</v>
      </c>
      <c r="B538" s="380" t="str">
        <f t="shared" si="8"/>
        <v>126-903</v>
      </c>
      <c r="C538" s="731">
        <v>0</v>
      </c>
    </row>
    <row r="539" spans="1:3" ht="14.5">
      <c r="A539" s="74" t="s">
        <v>4285</v>
      </c>
      <c r="B539" s="380" t="str">
        <f t="shared" si="8"/>
        <v>126-904</v>
      </c>
      <c r="C539" s="731">
        <v>0</v>
      </c>
    </row>
    <row r="540" spans="1:3" ht="14.5">
      <c r="A540" s="74" t="s">
        <v>3084</v>
      </c>
      <c r="B540" s="380" t="str">
        <f t="shared" si="8"/>
        <v>126-905</v>
      </c>
      <c r="C540" s="731">
        <v>0</v>
      </c>
    </row>
    <row r="541" spans="1:3" ht="14.5">
      <c r="A541" s="74" t="s">
        <v>3085</v>
      </c>
      <c r="B541" s="380" t="str">
        <f t="shared" si="8"/>
        <v>126-906</v>
      </c>
      <c r="C541" s="731">
        <v>0</v>
      </c>
    </row>
    <row r="542" spans="1:3" ht="14.5">
      <c r="A542" s="74" t="s">
        <v>3086</v>
      </c>
      <c r="B542" s="380" t="str">
        <f t="shared" si="8"/>
        <v>126-907</v>
      </c>
      <c r="C542" s="731">
        <v>0</v>
      </c>
    </row>
    <row r="543" spans="1:3" ht="14.5">
      <c r="A543" s="74" t="s">
        <v>3087</v>
      </c>
      <c r="B543" s="380" t="str">
        <f t="shared" si="8"/>
        <v>126-908</v>
      </c>
      <c r="C543" s="731">
        <v>0</v>
      </c>
    </row>
    <row r="544" spans="1:3" ht="14.5">
      <c r="A544" s="74" t="s">
        <v>3088</v>
      </c>
      <c r="B544" s="380" t="str">
        <f t="shared" si="8"/>
        <v>126-911</v>
      </c>
      <c r="C544" s="731">
        <v>0</v>
      </c>
    </row>
    <row r="545" spans="1:3" ht="14.5">
      <c r="A545" s="74" t="s">
        <v>5121</v>
      </c>
      <c r="B545" s="380" t="str">
        <f t="shared" si="8"/>
        <v>127-901</v>
      </c>
      <c r="C545" s="731">
        <v>0</v>
      </c>
    </row>
    <row r="546" spans="1:3" ht="14.5">
      <c r="A546" s="74" t="s">
        <v>5122</v>
      </c>
      <c r="B546" s="380" t="str">
        <f t="shared" si="8"/>
        <v>127-903</v>
      </c>
      <c r="C546" s="731">
        <v>0</v>
      </c>
    </row>
    <row r="547" spans="1:3" ht="14.5">
      <c r="A547" s="74" t="s">
        <v>5123</v>
      </c>
      <c r="B547" s="380" t="str">
        <f t="shared" si="8"/>
        <v>127-904</v>
      </c>
      <c r="C547" s="731">
        <v>0</v>
      </c>
    </row>
    <row r="548" spans="1:3" ht="14.5">
      <c r="A548" s="74" t="s">
        <v>3089</v>
      </c>
      <c r="B548" s="380" t="str">
        <f t="shared" si="8"/>
        <v>127-905</v>
      </c>
      <c r="C548" s="731">
        <v>0</v>
      </c>
    </row>
    <row r="549" spans="1:3" ht="14.5">
      <c r="A549" s="74" t="s">
        <v>3090</v>
      </c>
      <c r="B549" s="380" t="str">
        <f t="shared" si="8"/>
        <v>127-906</v>
      </c>
      <c r="C549" s="731">
        <v>0</v>
      </c>
    </row>
    <row r="550" spans="1:3" ht="14.5">
      <c r="A550" s="74" t="s">
        <v>4305</v>
      </c>
      <c r="B550" s="380" t="str">
        <f t="shared" si="8"/>
        <v>128-901</v>
      </c>
      <c r="C550" s="731">
        <v>0</v>
      </c>
    </row>
    <row r="551" spans="1:3" ht="14.5">
      <c r="A551" s="74" t="s">
        <v>3091</v>
      </c>
      <c r="B551" s="380" t="str">
        <f t="shared" si="8"/>
        <v>128-902</v>
      </c>
      <c r="C551" s="731">
        <v>0</v>
      </c>
    </row>
    <row r="552" spans="1:3" ht="14.5">
      <c r="A552" s="74" t="s">
        <v>5124</v>
      </c>
      <c r="B552" s="380" t="str">
        <f t="shared" si="8"/>
        <v>128-903</v>
      </c>
      <c r="C552" s="731">
        <v>0</v>
      </c>
    </row>
    <row r="553" spans="1:3" ht="14.5">
      <c r="A553" s="74" t="s">
        <v>3092</v>
      </c>
      <c r="B553" s="380" t="str">
        <f t="shared" si="8"/>
        <v>128-904</v>
      </c>
      <c r="C553" s="731">
        <v>0</v>
      </c>
    </row>
    <row r="554" spans="1:3" ht="14.5">
      <c r="A554" s="74" t="s">
        <v>3093</v>
      </c>
      <c r="B554" s="380" t="str">
        <f t="shared" si="8"/>
        <v>129-901</v>
      </c>
      <c r="C554" s="731">
        <v>0</v>
      </c>
    </row>
    <row r="555" spans="1:3" ht="14.5">
      <c r="A555" s="74" t="s">
        <v>3094</v>
      </c>
      <c r="B555" s="380" t="str">
        <f t="shared" si="8"/>
        <v>129-902</v>
      </c>
      <c r="C555" s="731">
        <v>0</v>
      </c>
    </row>
    <row r="556" spans="1:3" ht="14.5">
      <c r="A556" s="74" t="s">
        <v>3095</v>
      </c>
      <c r="B556" s="380" t="str">
        <f t="shared" si="8"/>
        <v>129-903</v>
      </c>
      <c r="C556" s="731">
        <v>0</v>
      </c>
    </row>
    <row r="557" spans="1:3" ht="14.5">
      <c r="A557" s="74" t="s">
        <v>3096</v>
      </c>
      <c r="B557" s="380" t="str">
        <f t="shared" si="8"/>
        <v>129-904</v>
      </c>
      <c r="C557" s="731">
        <v>0</v>
      </c>
    </row>
    <row r="558" spans="1:3" ht="14.5">
      <c r="A558" s="74" t="s">
        <v>5125</v>
      </c>
      <c r="B558" s="380" t="str">
        <f t="shared" si="8"/>
        <v>129-905</v>
      </c>
      <c r="C558" s="731">
        <v>0</v>
      </c>
    </row>
    <row r="559" spans="1:3" ht="14.5">
      <c r="A559" s="74" t="s">
        <v>5126</v>
      </c>
      <c r="B559" s="380" t="str">
        <f t="shared" si="8"/>
        <v>129-906</v>
      </c>
      <c r="C559" s="731">
        <v>0</v>
      </c>
    </row>
    <row r="560" spans="1:3" ht="14.5">
      <c r="A560" s="74" t="s">
        <v>3097</v>
      </c>
      <c r="B560" s="380" t="str">
        <f t="shared" si="8"/>
        <v>129-910</v>
      </c>
      <c r="C560" s="731">
        <v>0</v>
      </c>
    </row>
    <row r="561" spans="1:3" ht="14.5">
      <c r="A561" s="74" t="s">
        <v>5127</v>
      </c>
      <c r="B561" s="380" t="str">
        <f t="shared" si="8"/>
        <v>130-901</v>
      </c>
      <c r="C561" s="731">
        <v>0</v>
      </c>
    </row>
    <row r="562" spans="1:3" ht="14.5">
      <c r="A562" s="74" t="s">
        <v>5128</v>
      </c>
      <c r="B562" s="380" t="str">
        <f t="shared" si="8"/>
        <v>130-902</v>
      </c>
      <c r="C562" s="731">
        <v>0</v>
      </c>
    </row>
    <row r="563" spans="1:3" ht="14.5">
      <c r="A563" s="74" t="s">
        <v>5129</v>
      </c>
      <c r="B563" s="380" t="str">
        <f t="shared" si="8"/>
        <v>131-001</v>
      </c>
      <c r="C563" s="731">
        <v>0</v>
      </c>
    </row>
    <row r="564" spans="1:3" ht="14.5">
      <c r="A564" s="74" t="s">
        <v>5828</v>
      </c>
      <c r="B564" s="380" t="str">
        <f t="shared" si="8"/>
        <v>132-902</v>
      </c>
      <c r="C564" s="731">
        <v>533454</v>
      </c>
    </row>
    <row r="565" spans="1:3" ht="14.5">
      <c r="A565" s="74" t="s">
        <v>3098</v>
      </c>
      <c r="B565" s="380" t="str">
        <f t="shared" si="8"/>
        <v>133-901</v>
      </c>
      <c r="C565" s="731">
        <v>0</v>
      </c>
    </row>
    <row r="566" spans="1:3" ht="14.5">
      <c r="A566" s="74" t="s">
        <v>5130</v>
      </c>
      <c r="B566" s="380" t="str">
        <f t="shared" si="8"/>
        <v>133-902</v>
      </c>
      <c r="C566" s="731">
        <v>0</v>
      </c>
    </row>
    <row r="567" spans="1:3" ht="14.5">
      <c r="A567" s="74" t="s">
        <v>5131</v>
      </c>
      <c r="B567" s="380" t="str">
        <f t="shared" si="8"/>
        <v>133-903</v>
      </c>
      <c r="C567" s="731">
        <v>0</v>
      </c>
    </row>
    <row r="568" spans="1:3" ht="14.5">
      <c r="A568" s="74" t="s">
        <v>5132</v>
      </c>
      <c r="B568" s="380" t="str">
        <f t="shared" si="8"/>
        <v>133-904</v>
      </c>
      <c r="C568" s="731">
        <v>0</v>
      </c>
    </row>
    <row r="569" spans="1:3" ht="14.5">
      <c r="A569" s="74" t="s">
        <v>5829</v>
      </c>
      <c r="B569" s="380" t="str">
        <f t="shared" si="8"/>
        <v>133-905</v>
      </c>
      <c r="C569" s="731">
        <v>6140</v>
      </c>
    </row>
    <row r="570" spans="1:3" ht="14.5">
      <c r="A570" s="74" t="s">
        <v>5830</v>
      </c>
      <c r="B570" s="380" t="str">
        <f t="shared" si="8"/>
        <v>134-901</v>
      </c>
      <c r="C570" s="731">
        <v>0</v>
      </c>
    </row>
    <row r="571" spans="1:3" ht="14.5">
      <c r="A571" s="74" t="s">
        <v>5133</v>
      </c>
      <c r="B571" s="380" t="str">
        <f t="shared" si="8"/>
        <v>135-001</v>
      </c>
      <c r="C571" s="731">
        <v>406993</v>
      </c>
    </row>
    <row r="572" spans="1:3" ht="14.5">
      <c r="A572" s="74" t="s">
        <v>5831</v>
      </c>
      <c r="B572" s="380" t="str">
        <f t="shared" si="8"/>
        <v>136-901</v>
      </c>
      <c r="C572" s="731">
        <v>0</v>
      </c>
    </row>
    <row r="573" spans="1:3" ht="14.5">
      <c r="A573" s="74" t="s">
        <v>3099</v>
      </c>
      <c r="B573" s="380" t="str">
        <f t="shared" si="8"/>
        <v>137-901</v>
      </c>
      <c r="C573" s="731">
        <v>0</v>
      </c>
    </row>
    <row r="574" spans="1:3" ht="14.5">
      <c r="A574" s="74" t="s">
        <v>5832</v>
      </c>
      <c r="B574" s="380" t="str">
        <f t="shared" si="8"/>
        <v>137-902</v>
      </c>
      <c r="C574" s="731">
        <v>0</v>
      </c>
    </row>
    <row r="575" spans="1:3" ht="14.5">
      <c r="A575" s="74" t="s">
        <v>5833</v>
      </c>
      <c r="B575" s="380" t="str">
        <f t="shared" si="8"/>
        <v>137-903</v>
      </c>
      <c r="C575" s="731">
        <v>0</v>
      </c>
    </row>
    <row r="576" spans="1:3" ht="14.5">
      <c r="A576" s="74" t="s">
        <v>5134</v>
      </c>
      <c r="B576" s="380" t="str">
        <f t="shared" si="8"/>
        <v>137-904</v>
      </c>
      <c r="C576" s="731">
        <v>0</v>
      </c>
    </row>
    <row r="577" spans="1:3" ht="14.5">
      <c r="A577" s="74" t="s">
        <v>3100</v>
      </c>
      <c r="B577" s="380" t="str">
        <f t="shared" si="8"/>
        <v>138-902</v>
      </c>
      <c r="C577" s="731">
        <v>0</v>
      </c>
    </row>
    <row r="578" spans="1:3" ht="14.5">
      <c r="A578" s="74" t="s">
        <v>5834</v>
      </c>
      <c r="B578" s="380" t="str">
        <f t="shared" ref="B578:B641" si="9">CONCATENATE(LEFT(RIGHT(CONCATENATE("000",A578),6),3),"-",(RIGHT(RIGHT(CONCATENATE("000",A578),6),3)))</f>
        <v>138-903</v>
      </c>
      <c r="C578" s="731">
        <v>0</v>
      </c>
    </row>
    <row r="579" spans="1:3" ht="14.5">
      <c r="A579" s="74" t="s">
        <v>5835</v>
      </c>
      <c r="B579" s="380" t="str">
        <f t="shared" si="9"/>
        <v>138-904</v>
      </c>
      <c r="C579" s="731">
        <v>0</v>
      </c>
    </row>
    <row r="580" spans="1:3" ht="14.5">
      <c r="A580" s="74" t="s">
        <v>5135</v>
      </c>
      <c r="B580" s="380" t="str">
        <f t="shared" si="9"/>
        <v>139-905</v>
      </c>
      <c r="C580" s="731">
        <v>0</v>
      </c>
    </row>
    <row r="581" spans="1:3" ht="14.5">
      <c r="A581" s="74" t="s">
        <v>3102</v>
      </c>
      <c r="B581" s="380" t="str">
        <f t="shared" si="9"/>
        <v>139-909</v>
      </c>
      <c r="C581" s="731">
        <v>0</v>
      </c>
    </row>
    <row r="582" spans="1:3" ht="14.5">
      <c r="A582" s="74" t="s">
        <v>5136</v>
      </c>
      <c r="B582" s="380" t="str">
        <f t="shared" si="9"/>
        <v>139-911</v>
      </c>
      <c r="C582" s="731">
        <v>0</v>
      </c>
    </row>
    <row r="583" spans="1:3" ht="14.5">
      <c r="A583" s="74" t="s">
        <v>3103</v>
      </c>
      <c r="B583" s="380" t="str">
        <f t="shared" si="9"/>
        <v>139-912</v>
      </c>
      <c r="C583" s="731">
        <v>0</v>
      </c>
    </row>
    <row r="584" spans="1:3" ht="14.5">
      <c r="A584" s="74" t="s">
        <v>5836</v>
      </c>
      <c r="B584" s="380" t="str">
        <f t="shared" si="9"/>
        <v>140-901</v>
      </c>
      <c r="C584" s="731">
        <v>0</v>
      </c>
    </row>
    <row r="585" spans="1:3" ht="14.5">
      <c r="A585" s="74" t="s">
        <v>5837</v>
      </c>
      <c r="B585" s="380" t="str">
        <f t="shared" si="9"/>
        <v>140-904</v>
      </c>
      <c r="C585" s="731">
        <v>0</v>
      </c>
    </row>
    <row r="586" spans="1:3" ht="14.5">
      <c r="A586" s="74" t="s">
        <v>4347</v>
      </c>
      <c r="B586" s="380" t="str">
        <f t="shared" si="9"/>
        <v>140-905</v>
      </c>
      <c r="C586" s="731">
        <v>0</v>
      </c>
    </row>
    <row r="587" spans="1:3" ht="14.5">
      <c r="A587" s="74" t="s">
        <v>5838</v>
      </c>
      <c r="B587" s="380" t="str">
        <f t="shared" si="9"/>
        <v>140-907</v>
      </c>
      <c r="C587" s="731">
        <v>0</v>
      </c>
    </row>
    <row r="588" spans="1:3" ht="14.5">
      <c r="A588" s="74" t="s">
        <v>5137</v>
      </c>
      <c r="B588" s="380" t="str">
        <f t="shared" si="9"/>
        <v>140-908</v>
      </c>
      <c r="C588" s="731">
        <v>182698</v>
      </c>
    </row>
    <row r="589" spans="1:3" ht="14.5">
      <c r="A589" s="74" t="s">
        <v>3104</v>
      </c>
      <c r="B589" s="380" t="str">
        <f t="shared" si="9"/>
        <v>141-901</v>
      </c>
      <c r="C589" s="731">
        <v>0</v>
      </c>
    </row>
    <row r="590" spans="1:3" ht="14.5">
      <c r="A590" s="74" t="s">
        <v>5138</v>
      </c>
      <c r="B590" s="380" t="str">
        <f t="shared" si="9"/>
        <v>141-902</v>
      </c>
      <c r="C590" s="731">
        <v>0</v>
      </c>
    </row>
    <row r="591" spans="1:3" ht="14.5">
      <c r="A591" s="74" t="s">
        <v>3105</v>
      </c>
      <c r="B591" s="380" t="str">
        <f t="shared" si="9"/>
        <v>142-901</v>
      </c>
      <c r="C591" s="731">
        <v>0</v>
      </c>
    </row>
    <row r="592" spans="1:3" ht="14.5">
      <c r="A592" s="74" t="s">
        <v>5139</v>
      </c>
      <c r="B592" s="380" t="str">
        <f t="shared" si="9"/>
        <v>143-901</v>
      </c>
      <c r="C592" s="731">
        <v>0</v>
      </c>
    </row>
    <row r="593" spans="1:3" ht="14.5">
      <c r="A593" s="74" t="s">
        <v>5839</v>
      </c>
      <c r="B593" s="380" t="str">
        <f t="shared" si="9"/>
        <v>143-902</v>
      </c>
      <c r="C593" s="731">
        <v>0</v>
      </c>
    </row>
    <row r="594" spans="1:3" ht="14.5">
      <c r="A594" s="74" t="s">
        <v>5840</v>
      </c>
      <c r="B594" s="380" t="str">
        <f t="shared" si="9"/>
        <v>143-903</v>
      </c>
      <c r="C594" s="731">
        <v>0</v>
      </c>
    </row>
    <row r="595" spans="1:3" ht="14.5">
      <c r="A595" s="74" t="s">
        <v>5841</v>
      </c>
      <c r="B595" s="380" t="str">
        <f t="shared" si="9"/>
        <v>143-904</v>
      </c>
      <c r="C595" s="731">
        <v>0</v>
      </c>
    </row>
    <row r="596" spans="1:3" ht="14.5">
      <c r="A596" s="74" t="s">
        <v>5842</v>
      </c>
      <c r="B596" s="380" t="str">
        <f t="shared" si="9"/>
        <v>143-905</v>
      </c>
      <c r="C596" s="731">
        <v>0</v>
      </c>
    </row>
    <row r="597" spans="1:3" ht="14.5">
      <c r="A597" s="74" t="s">
        <v>5140</v>
      </c>
      <c r="B597" s="380" t="str">
        <f t="shared" si="9"/>
        <v>143-906</v>
      </c>
      <c r="C597" s="731">
        <v>0</v>
      </c>
    </row>
    <row r="598" spans="1:3" ht="14.5">
      <c r="A598" s="74" t="s">
        <v>5141</v>
      </c>
      <c r="B598" s="380" t="str">
        <f t="shared" si="9"/>
        <v>144-901</v>
      </c>
      <c r="C598" s="731">
        <v>0</v>
      </c>
    </row>
    <row r="599" spans="1:3" ht="14.5">
      <c r="A599" s="74" t="s">
        <v>5142</v>
      </c>
      <c r="B599" s="380" t="str">
        <f t="shared" si="9"/>
        <v>144-902</v>
      </c>
      <c r="C599" s="731">
        <v>0</v>
      </c>
    </row>
    <row r="600" spans="1:3" ht="14.5">
      <c r="A600" s="74" t="s">
        <v>5843</v>
      </c>
      <c r="B600" s="380" t="str">
        <f t="shared" si="9"/>
        <v>144-903</v>
      </c>
      <c r="C600" s="731">
        <v>0</v>
      </c>
    </row>
    <row r="601" spans="1:3" ht="14.5">
      <c r="A601" s="74" t="s">
        <v>5143</v>
      </c>
      <c r="B601" s="380" t="str">
        <f t="shared" si="9"/>
        <v>145-901</v>
      </c>
      <c r="C601" s="731">
        <v>0</v>
      </c>
    </row>
    <row r="602" spans="1:3" ht="14.5">
      <c r="A602" s="74" t="s">
        <v>5144</v>
      </c>
      <c r="B602" s="380" t="str">
        <f t="shared" si="9"/>
        <v>145-902</v>
      </c>
      <c r="C602" s="731">
        <v>0</v>
      </c>
    </row>
    <row r="603" spans="1:3" ht="14.5">
      <c r="A603" s="74" t="s">
        <v>5145</v>
      </c>
      <c r="B603" s="380" t="str">
        <f t="shared" si="9"/>
        <v>145-906</v>
      </c>
      <c r="C603" s="731">
        <v>0</v>
      </c>
    </row>
    <row r="604" spans="1:3" ht="14.5">
      <c r="A604" s="74" t="s">
        <v>5146</v>
      </c>
      <c r="B604" s="380" t="str">
        <f t="shared" si="9"/>
        <v>145-907</v>
      </c>
      <c r="C604" s="731">
        <v>0</v>
      </c>
    </row>
    <row r="605" spans="1:3" ht="14.5">
      <c r="A605" s="74" t="s">
        <v>5147</v>
      </c>
      <c r="B605" s="380" t="str">
        <f t="shared" si="9"/>
        <v>145-911</v>
      </c>
      <c r="C605" s="731">
        <v>0</v>
      </c>
    </row>
    <row r="606" spans="1:3" ht="14.5">
      <c r="A606" s="74" t="s">
        <v>3106</v>
      </c>
      <c r="B606" s="380" t="str">
        <f t="shared" si="9"/>
        <v>146-901</v>
      </c>
      <c r="C606" s="731">
        <v>0</v>
      </c>
    </row>
    <row r="607" spans="1:3" ht="14.5">
      <c r="A607" s="74" t="s">
        <v>3107</v>
      </c>
      <c r="B607" s="380" t="str">
        <f t="shared" si="9"/>
        <v>146-902</v>
      </c>
      <c r="C607" s="731">
        <v>0</v>
      </c>
    </row>
    <row r="608" spans="1:3" ht="14.5">
      <c r="A608" s="74" t="s">
        <v>5148</v>
      </c>
      <c r="B608" s="380" t="str">
        <f t="shared" si="9"/>
        <v>146-903</v>
      </c>
      <c r="C608" s="731">
        <v>0</v>
      </c>
    </row>
    <row r="609" spans="1:3" ht="14.5">
      <c r="A609" s="74" t="s">
        <v>3108</v>
      </c>
      <c r="B609" s="380" t="str">
        <f t="shared" si="9"/>
        <v>146-904</v>
      </c>
      <c r="C609" s="731">
        <v>0</v>
      </c>
    </row>
    <row r="610" spans="1:3" ht="14.5">
      <c r="A610" s="74" t="s">
        <v>3109</v>
      </c>
      <c r="B610" s="380" t="str">
        <f t="shared" si="9"/>
        <v>146-905</v>
      </c>
      <c r="C610" s="731">
        <v>0</v>
      </c>
    </row>
    <row r="611" spans="1:3" ht="14.5">
      <c r="A611" s="74" t="s">
        <v>5149</v>
      </c>
      <c r="B611" s="380" t="str">
        <f t="shared" si="9"/>
        <v>146-906</v>
      </c>
      <c r="C611" s="731">
        <v>0</v>
      </c>
    </row>
    <row r="612" spans="1:3" ht="14.5">
      <c r="A612" s="74" t="s">
        <v>5150</v>
      </c>
      <c r="B612" s="380" t="str">
        <f t="shared" si="9"/>
        <v>146-907</v>
      </c>
      <c r="C612" s="731">
        <v>0</v>
      </c>
    </row>
    <row r="613" spans="1:3" ht="14.5">
      <c r="A613" s="74" t="s">
        <v>3110</v>
      </c>
      <c r="B613" s="380" t="str">
        <f t="shared" si="9"/>
        <v>147-901</v>
      </c>
      <c r="C613" s="731">
        <v>0</v>
      </c>
    </row>
    <row r="614" spans="1:3" ht="14.5">
      <c r="A614" s="74" t="s">
        <v>5151</v>
      </c>
      <c r="B614" s="380" t="str">
        <f t="shared" si="9"/>
        <v>147-902</v>
      </c>
      <c r="C614" s="731">
        <v>0</v>
      </c>
    </row>
    <row r="615" spans="1:3" ht="14.5">
      <c r="A615" s="74" t="s">
        <v>5152</v>
      </c>
      <c r="B615" s="380" t="str">
        <f t="shared" si="9"/>
        <v>147-903</v>
      </c>
      <c r="C615" s="731">
        <v>0</v>
      </c>
    </row>
    <row r="616" spans="1:3" ht="14.5">
      <c r="A616" s="74" t="s">
        <v>5153</v>
      </c>
      <c r="B616" s="380" t="str">
        <f t="shared" si="9"/>
        <v>148-901</v>
      </c>
      <c r="C616" s="731">
        <v>0</v>
      </c>
    </row>
    <row r="617" spans="1:3" ht="14.5">
      <c r="A617" s="74" t="s">
        <v>5154</v>
      </c>
      <c r="B617" s="380" t="str">
        <f t="shared" si="9"/>
        <v>148-902</v>
      </c>
      <c r="C617" s="731">
        <v>62004</v>
      </c>
    </row>
    <row r="618" spans="1:3" ht="14.5">
      <c r="A618" s="74" t="s">
        <v>5155</v>
      </c>
      <c r="B618" s="380" t="str">
        <f t="shared" si="9"/>
        <v>148-903</v>
      </c>
      <c r="C618" s="731">
        <v>0</v>
      </c>
    </row>
    <row r="619" spans="1:3" ht="14.5">
      <c r="A619" s="74" t="s">
        <v>5156</v>
      </c>
      <c r="B619" s="380" t="str">
        <f t="shared" si="9"/>
        <v>148-905</v>
      </c>
      <c r="C619" s="731">
        <v>0</v>
      </c>
    </row>
    <row r="620" spans="1:3" ht="14.5">
      <c r="A620" s="74" t="s">
        <v>5157</v>
      </c>
      <c r="B620" s="380" t="str">
        <f t="shared" si="9"/>
        <v>149-901</v>
      </c>
      <c r="C620" s="731">
        <v>0</v>
      </c>
    </row>
    <row r="621" spans="1:3" ht="14.5">
      <c r="A621" s="74" t="s">
        <v>5158</v>
      </c>
      <c r="B621" s="380" t="str">
        <f t="shared" si="9"/>
        <v>149-902</v>
      </c>
      <c r="C621" s="731">
        <v>0</v>
      </c>
    </row>
    <row r="622" spans="1:3" ht="14.5">
      <c r="A622" s="74" t="s">
        <v>5159</v>
      </c>
      <c r="B622" s="380" t="str">
        <f t="shared" si="9"/>
        <v>150-901</v>
      </c>
      <c r="C622" s="731">
        <v>0</v>
      </c>
    </row>
    <row r="623" spans="1:3" ht="14.5">
      <c r="A623" s="74" t="s">
        <v>4363</v>
      </c>
      <c r="B623" s="380" t="str">
        <f t="shared" si="9"/>
        <v>152-901</v>
      </c>
      <c r="C623" s="731">
        <v>0</v>
      </c>
    </row>
    <row r="624" spans="1:3" ht="14.5">
      <c r="A624" s="74" t="s">
        <v>5844</v>
      </c>
      <c r="B624" s="380" t="str">
        <f t="shared" si="9"/>
        <v>152-902</v>
      </c>
      <c r="C624" s="731">
        <v>0</v>
      </c>
    </row>
    <row r="625" spans="1:3" ht="14.5">
      <c r="A625" s="74" t="s">
        <v>5160</v>
      </c>
      <c r="B625" s="380" t="str">
        <f t="shared" si="9"/>
        <v>152-903</v>
      </c>
      <c r="C625" s="731">
        <v>0</v>
      </c>
    </row>
    <row r="626" spans="1:3" ht="14.5">
      <c r="A626" s="74" t="s">
        <v>3111</v>
      </c>
      <c r="B626" s="380" t="str">
        <f t="shared" si="9"/>
        <v>152-906</v>
      </c>
      <c r="C626" s="731">
        <v>0</v>
      </c>
    </row>
    <row r="627" spans="1:3" ht="14.5">
      <c r="A627" s="74" t="s">
        <v>3112</v>
      </c>
      <c r="B627" s="380" t="str">
        <f t="shared" si="9"/>
        <v>152-907</v>
      </c>
      <c r="C627" s="731">
        <v>0</v>
      </c>
    </row>
    <row r="628" spans="1:3" ht="14.5">
      <c r="A628" s="74" t="s">
        <v>5161</v>
      </c>
      <c r="B628" s="380" t="str">
        <f t="shared" si="9"/>
        <v>152-908</v>
      </c>
      <c r="C628" s="731">
        <v>0</v>
      </c>
    </row>
    <row r="629" spans="1:3" ht="14.5">
      <c r="A629" s="74" t="s">
        <v>3113</v>
      </c>
      <c r="B629" s="380" t="str">
        <f t="shared" si="9"/>
        <v>152-909</v>
      </c>
      <c r="C629" s="731">
        <v>0</v>
      </c>
    </row>
    <row r="630" spans="1:3" ht="14.5">
      <c r="A630" s="74" t="s">
        <v>3114</v>
      </c>
      <c r="B630" s="380" t="str">
        <f t="shared" si="9"/>
        <v>152-910</v>
      </c>
      <c r="C630" s="731">
        <v>0</v>
      </c>
    </row>
    <row r="631" spans="1:3" ht="14.5">
      <c r="A631" s="74" t="s">
        <v>5162</v>
      </c>
      <c r="B631" s="380" t="str">
        <f t="shared" si="9"/>
        <v>153-903</v>
      </c>
      <c r="C631" s="731">
        <v>0</v>
      </c>
    </row>
    <row r="632" spans="1:3" ht="14.5">
      <c r="A632" s="74" t="s">
        <v>5845</v>
      </c>
      <c r="B632" s="380" t="str">
        <f t="shared" si="9"/>
        <v>153-904</v>
      </c>
      <c r="C632" s="731">
        <v>0</v>
      </c>
    </row>
    <row r="633" spans="1:3" ht="14.5">
      <c r="A633" s="74" t="s">
        <v>5163</v>
      </c>
      <c r="B633" s="380" t="str">
        <f t="shared" si="9"/>
        <v>153-905</v>
      </c>
      <c r="C633" s="731">
        <v>0</v>
      </c>
    </row>
    <row r="634" spans="1:3" ht="14.5">
      <c r="A634" s="74" t="s">
        <v>5846</v>
      </c>
      <c r="B634" s="380" t="str">
        <f t="shared" si="9"/>
        <v>153-907</v>
      </c>
      <c r="C634" s="731">
        <v>0</v>
      </c>
    </row>
    <row r="635" spans="1:3" ht="14.5">
      <c r="A635" s="74" t="s">
        <v>3115</v>
      </c>
      <c r="B635" s="380" t="str">
        <f t="shared" si="9"/>
        <v>154-901</v>
      </c>
      <c r="C635" s="731">
        <v>0</v>
      </c>
    </row>
    <row r="636" spans="1:3" ht="14.5">
      <c r="A636" s="74" t="s">
        <v>3116</v>
      </c>
      <c r="B636" s="380" t="str">
        <f t="shared" si="9"/>
        <v>154-903</v>
      </c>
      <c r="C636" s="731">
        <v>0</v>
      </c>
    </row>
    <row r="637" spans="1:3" ht="14.5">
      <c r="A637" s="74" t="s">
        <v>5164</v>
      </c>
      <c r="B637" s="380" t="str">
        <f t="shared" si="9"/>
        <v>155-901</v>
      </c>
      <c r="C637" s="731">
        <v>0</v>
      </c>
    </row>
    <row r="638" spans="1:3" ht="14.5">
      <c r="A638" s="74" t="s">
        <v>5165</v>
      </c>
      <c r="B638" s="380" t="str">
        <f t="shared" si="9"/>
        <v>156-902</v>
      </c>
      <c r="C638" s="731">
        <v>0</v>
      </c>
    </row>
    <row r="639" spans="1:3" ht="14.5">
      <c r="A639" s="74" t="s">
        <v>5166</v>
      </c>
      <c r="B639" s="380" t="str">
        <f t="shared" si="9"/>
        <v>156-905</v>
      </c>
      <c r="C639" s="731">
        <v>132628</v>
      </c>
    </row>
    <row r="640" spans="1:3" ht="14.5">
      <c r="A640" s="74" t="s">
        <v>5167</v>
      </c>
      <c r="B640" s="380" t="str">
        <f t="shared" si="9"/>
        <v>157-901</v>
      </c>
      <c r="C640" s="731">
        <v>0</v>
      </c>
    </row>
    <row r="641" spans="1:3" ht="14.5">
      <c r="A641" s="74" t="s">
        <v>5168</v>
      </c>
      <c r="B641" s="380" t="str">
        <f t="shared" si="9"/>
        <v>158-901</v>
      </c>
      <c r="C641" s="731">
        <v>0</v>
      </c>
    </row>
    <row r="642" spans="1:3" ht="14.5">
      <c r="A642" s="74" t="s">
        <v>5169</v>
      </c>
      <c r="B642" s="380" t="str">
        <f t="shared" ref="B642:B705" si="10">CONCATENATE(LEFT(RIGHT(CONCATENATE("000",A642),6),3),"-",(RIGHT(RIGHT(CONCATENATE("000",A642),6),3)))</f>
        <v>158-902</v>
      </c>
      <c r="C642" s="731">
        <v>0</v>
      </c>
    </row>
    <row r="643" spans="1:3" ht="14.5">
      <c r="A643" s="74" t="s">
        <v>5170</v>
      </c>
      <c r="B643" s="380" t="str">
        <f t="shared" si="10"/>
        <v>158-904</v>
      </c>
      <c r="C643" s="731">
        <v>0</v>
      </c>
    </row>
    <row r="644" spans="1:3" ht="14.5">
      <c r="A644" s="74" t="s">
        <v>5171</v>
      </c>
      <c r="B644" s="380" t="str">
        <f t="shared" si="10"/>
        <v>158-905</v>
      </c>
      <c r="C644" s="731">
        <v>0</v>
      </c>
    </row>
    <row r="645" spans="1:3" ht="14.5">
      <c r="A645" s="74" t="s">
        <v>5847</v>
      </c>
      <c r="B645" s="380" t="str">
        <f t="shared" si="10"/>
        <v>158-906</v>
      </c>
      <c r="C645" s="731">
        <v>0</v>
      </c>
    </row>
    <row r="646" spans="1:3" ht="14.5">
      <c r="A646" s="74" t="s">
        <v>3117</v>
      </c>
      <c r="B646" s="380" t="str">
        <f t="shared" si="10"/>
        <v>159-901</v>
      </c>
      <c r="C646" s="731">
        <v>0</v>
      </c>
    </row>
    <row r="647" spans="1:3" ht="14.5">
      <c r="A647" s="74" t="s">
        <v>3118</v>
      </c>
      <c r="B647" s="380" t="str">
        <f t="shared" si="10"/>
        <v>160-901</v>
      </c>
      <c r="C647" s="731">
        <v>0</v>
      </c>
    </row>
    <row r="648" spans="1:3" ht="14.5">
      <c r="A648" s="74" t="s">
        <v>5848</v>
      </c>
      <c r="B648" s="380" t="str">
        <f t="shared" si="10"/>
        <v>160-904</v>
      </c>
      <c r="C648" s="731">
        <v>0</v>
      </c>
    </row>
    <row r="649" spans="1:3" ht="14.5">
      <c r="A649" s="74" t="s">
        <v>3119</v>
      </c>
      <c r="B649" s="380" t="str">
        <f t="shared" si="10"/>
        <v>160-905</v>
      </c>
      <c r="C649" s="731">
        <v>0</v>
      </c>
    </row>
    <row r="650" spans="1:3" ht="14.5">
      <c r="A650" s="74" t="s">
        <v>3120</v>
      </c>
      <c r="B650" s="380" t="str">
        <f t="shared" si="10"/>
        <v>161-901</v>
      </c>
      <c r="C650" s="731">
        <v>0</v>
      </c>
    </row>
    <row r="651" spans="1:3" ht="14.5">
      <c r="A651" s="74" t="s">
        <v>5172</v>
      </c>
      <c r="B651" s="380" t="str">
        <f t="shared" si="10"/>
        <v>161-903</v>
      </c>
      <c r="C651" s="731">
        <v>0</v>
      </c>
    </row>
    <row r="652" spans="1:3" ht="14.5">
      <c r="A652" s="74" t="s">
        <v>3121</v>
      </c>
      <c r="B652" s="380" t="str">
        <f t="shared" si="10"/>
        <v>161-906</v>
      </c>
      <c r="C652" s="731">
        <v>0</v>
      </c>
    </row>
    <row r="653" spans="1:3" ht="14.5">
      <c r="A653" s="74" t="s">
        <v>3122</v>
      </c>
      <c r="B653" s="380" t="str">
        <f t="shared" si="10"/>
        <v>161-907</v>
      </c>
      <c r="C653" s="731">
        <v>0</v>
      </c>
    </row>
    <row r="654" spans="1:3" ht="14.5">
      <c r="A654" s="74" t="s">
        <v>3123</v>
      </c>
      <c r="B654" s="380" t="str">
        <f t="shared" si="10"/>
        <v>161-908</v>
      </c>
      <c r="C654" s="731">
        <v>0</v>
      </c>
    </row>
    <row r="655" spans="1:3" ht="14.5">
      <c r="A655" s="74" t="s">
        <v>3124</v>
      </c>
      <c r="B655" s="380" t="str">
        <f t="shared" si="10"/>
        <v>161-909</v>
      </c>
      <c r="C655" s="731">
        <v>0</v>
      </c>
    </row>
    <row r="656" spans="1:3" ht="14.5">
      <c r="A656" s="74" t="s">
        <v>3125</v>
      </c>
      <c r="B656" s="380" t="str">
        <f t="shared" si="10"/>
        <v>161-910</v>
      </c>
      <c r="C656" s="731">
        <v>0</v>
      </c>
    </row>
    <row r="657" spans="1:3" ht="14.5">
      <c r="A657" s="74" t="s">
        <v>3126</v>
      </c>
      <c r="B657" s="380" t="str">
        <f t="shared" si="10"/>
        <v>161-912</v>
      </c>
      <c r="C657" s="731">
        <v>0</v>
      </c>
    </row>
    <row r="658" spans="1:3" ht="14.5">
      <c r="A658" s="74" t="s">
        <v>3127</v>
      </c>
      <c r="B658" s="380" t="str">
        <f t="shared" si="10"/>
        <v>161-914</v>
      </c>
      <c r="C658" s="731">
        <v>0</v>
      </c>
    </row>
    <row r="659" spans="1:3" ht="14.5">
      <c r="A659" s="74" t="s">
        <v>3128</v>
      </c>
      <c r="B659" s="380" t="str">
        <f t="shared" si="10"/>
        <v>161-916</v>
      </c>
      <c r="C659" s="731">
        <v>0</v>
      </c>
    </row>
    <row r="660" spans="1:3" ht="14.5">
      <c r="A660" s="74" t="s">
        <v>5849</v>
      </c>
      <c r="B660" s="380" t="str">
        <f t="shared" si="10"/>
        <v>161-918</v>
      </c>
      <c r="C660" s="731">
        <v>0</v>
      </c>
    </row>
    <row r="661" spans="1:3" ht="14.5">
      <c r="A661" s="74" t="s">
        <v>3129</v>
      </c>
      <c r="B661" s="380" t="str">
        <f t="shared" si="10"/>
        <v>161-919</v>
      </c>
      <c r="C661" s="731">
        <v>0</v>
      </c>
    </row>
    <row r="662" spans="1:3" ht="14.5">
      <c r="A662" s="74" t="s">
        <v>3130</v>
      </c>
      <c r="B662" s="380" t="str">
        <f t="shared" si="10"/>
        <v>161-920</v>
      </c>
      <c r="C662" s="731">
        <v>0</v>
      </c>
    </row>
    <row r="663" spans="1:3" ht="14.5">
      <c r="A663" s="74" t="s">
        <v>3131</v>
      </c>
      <c r="B663" s="380" t="str">
        <f t="shared" si="10"/>
        <v>161-921</v>
      </c>
      <c r="C663" s="731">
        <v>0</v>
      </c>
    </row>
    <row r="664" spans="1:3" ht="14.5">
      <c r="A664" s="74" t="s">
        <v>3132</v>
      </c>
      <c r="B664" s="380" t="str">
        <f t="shared" si="10"/>
        <v>161-922</v>
      </c>
      <c r="C664" s="731">
        <v>0</v>
      </c>
    </row>
    <row r="665" spans="1:3" ht="14.5">
      <c r="A665" s="74" t="s">
        <v>3133</v>
      </c>
      <c r="B665" s="380" t="str">
        <f t="shared" si="10"/>
        <v>161-923</v>
      </c>
      <c r="C665" s="731">
        <v>0</v>
      </c>
    </row>
    <row r="666" spans="1:3" ht="14.5">
      <c r="A666" s="74" t="s">
        <v>5173</v>
      </c>
      <c r="B666" s="380" t="str">
        <f t="shared" si="10"/>
        <v>161-924</v>
      </c>
      <c r="C666" s="731">
        <v>0</v>
      </c>
    </row>
    <row r="667" spans="1:3" ht="14.5">
      <c r="A667" s="74" t="s">
        <v>5850</v>
      </c>
      <c r="B667" s="380" t="str">
        <f t="shared" si="10"/>
        <v>161-925</v>
      </c>
      <c r="C667" s="731">
        <v>0</v>
      </c>
    </row>
    <row r="668" spans="1:3" ht="14.5">
      <c r="A668" s="74" t="s">
        <v>5174</v>
      </c>
      <c r="B668" s="380" t="str">
        <f t="shared" si="10"/>
        <v>162-904</v>
      </c>
      <c r="C668" s="731">
        <v>705299</v>
      </c>
    </row>
    <row r="669" spans="1:3" ht="14.5">
      <c r="A669" s="74" t="s">
        <v>3134</v>
      </c>
      <c r="B669" s="380" t="str">
        <f t="shared" si="10"/>
        <v>163-901</v>
      </c>
      <c r="C669" s="731">
        <v>0</v>
      </c>
    </row>
    <row r="670" spans="1:3" ht="14.5">
      <c r="A670" s="74" t="s">
        <v>3135</v>
      </c>
      <c r="B670" s="380" t="str">
        <f t="shared" si="10"/>
        <v>163-902</v>
      </c>
      <c r="C670" s="731">
        <v>0</v>
      </c>
    </row>
    <row r="671" spans="1:3" ht="14.5">
      <c r="A671" s="74" t="s">
        <v>3136</v>
      </c>
      <c r="B671" s="380" t="str">
        <f t="shared" si="10"/>
        <v>163-903</v>
      </c>
      <c r="C671" s="731">
        <v>0</v>
      </c>
    </row>
    <row r="672" spans="1:3" ht="14.5">
      <c r="A672" s="74" t="s">
        <v>3137</v>
      </c>
      <c r="B672" s="380" t="str">
        <f t="shared" si="10"/>
        <v>163-904</v>
      </c>
      <c r="C672" s="731">
        <v>0</v>
      </c>
    </row>
    <row r="673" spans="1:3" ht="14.5">
      <c r="A673" s="74" t="s">
        <v>3138</v>
      </c>
      <c r="B673" s="380" t="str">
        <f t="shared" si="10"/>
        <v>163-908</v>
      </c>
      <c r="C673" s="731">
        <v>0</v>
      </c>
    </row>
    <row r="674" spans="1:3" ht="14.5">
      <c r="A674" s="74" t="s">
        <v>5851</v>
      </c>
      <c r="B674" s="380" t="str">
        <f t="shared" si="10"/>
        <v>164-901</v>
      </c>
      <c r="C674" s="731">
        <v>0</v>
      </c>
    </row>
    <row r="675" spans="1:3" ht="14.5">
      <c r="A675" s="74" t="s">
        <v>3139</v>
      </c>
      <c r="B675" s="380" t="str">
        <f t="shared" si="10"/>
        <v>165-901</v>
      </c>
      <c r="C675" s="731">
        <v>0</v>
      </c>
    </row>
    <row r="676" spans="1:3" ht="14.5">
      <c r="A676" s="74" t="s">
        <v>5175</v>
      </c>
      <c r="B676" s="380" t="str">
        <f t="shared" si="10"/>
        <v>165-902</v>
      </c>
      <c r="C676" s="731">
        <v>0</v>
      </c>
    </row>
    <row r="677" spans="1:3" ht="14.5">
      <c r="A677" s="74" t="s">
        <v>3140</v>
      </c>
      <c r="B677" s="380" t="str">
        <f t="shared" si="10"/>
        <v>166-901</v>
      </c>
      <c r="C677" s="731">
        <v>0</v>
      </c>
    </row>
    <row r="678" spans="1:3" ht="14.5">
      <c r="A678" s="74" t="s">
        <v>5852</v>
      </c>
      <c r="B678" s="380" t="str">
        <f t="shared" si="10"/>
        <v>166-902</v>
      </c>
      <c r="C678" s="731">
        <v>0</v>
      </c>
    </row>
    <row r="679" spans="1:3" ht="14.5">
      <c r="A679" s="74" t="s">
        <v>5176</v>
      </c>
      <c r="B679" s="380" t="str">
        <f t="shared" si="10"/>
        <v>166-903</v>
      </c>
      <c r="C679" s="731">
        <v>0</v>
      </c>
    </row>
    <row r="680" spans="1:3" ht="14.5">
      <c r="A680" s="74" t="s">
        <v>5177</v>
      </c>
      <c r="B680" s="380" t="str">
        <f t="shared" si="10"/>
        <v>166-904</v>
      </c>
      <c r="C680" s="731">
        <v>0</v>
      </c>
    </row>
    <row r="681" spans="1:3" ht="14.5">
      <c r="A681" s="74" t="s">
        <v>5178</v>
      </c>
      <c r="B681" s="380" t="str">
        <f t="shared" si="10"/>
        <v>166-905</v>
      </c>
      <c r="C681" s="731">
        <v>0</v>
      </c>
    </row>
    <row r="682" spans="1:3" ht="14.5">
      <c r="A682" s="74" t="s">
        <v>3141</v>
      </c>
      <c r="B682" s="380" t="str">
        <f t="shared" si="10"/>
        <v>166-907</v>
      </c>
      <c r="C682" s="731">
        <v>0</v>
      </c>
    </row>
    <row r="683" spans="1:3" ht="14.5">
      <c r="A683" s="74" t="s">
        <v>3142</v>
      </c>
      <c r="B683" s="380" t="str">
        <f t="shared" si="10"/>
        <v>167-901</v>
      </c>
      <c r="C683" s="731">
        <v>0</v>
      </c>
    </row>
    <row r="684" spans="1:3" ht="14.5">
      <c r="A684" s="74" t="s">
        <v>5853</v>
      </c>
      <c r="B684" s="380" t="str">
        <f t="shared" si="10"/>
        <v>167-902</v>
      </c>
      <c r="C684" s="731">
        <v>0</v>
      </c>
    </row>
    <row r="685" spans="1:3" ht="14.5">
      <c r="A685" s="74" t="s">
        <v>3143</v>
      </c>
      <c r="B685" s="380" t="str">
        <f t="shared" si="10"/>
        <v>167-904</v>
      </c>
      <c r="C685" s="731">
        <v>0</v>
      </c>
    </row>
    <row r="686" spans="1:3" ht="14.5">
      <c r="A686" s="74" t="s">
        <v>5179</v>
      </c>
      <c r="B686" s="380" t="str">
        <f t="shared" si="10"/>
        <v>168-901</v>
      </c>
      <c r="C686" s="731">
        <v>0</v>
      </c>
    </row>
    <row r="687" spans="1:3" ht="14.5">
      <c r="A687" s="74" t="s">
        <v>5180</v>
      </c>
      <c r="B687" s="380" t="str">
        <f t="shared" si="10"/>
        <v>168-902</v>
      </c>
      <c r="C687" s="731">
        <v>0</v>
      </c>
    </row>
    <row r="688" spans="1:3" ht="14.5">
      <c r="A688" s="74" t="s">
        <v>5854</v>
      </c>
      <c r="B688" s="380" t="str">
        <f t="shared" si="10"/>
        <v>168-903</v>
      </c>
      <c r="C688" s="731">
        <v>478105</v>
      </c>
    </row>
    <row r="689" spans="1:3" ht="14.5">
      <c r="A689" s="74" t="s">
        <v>3144</v>
      </c>
      <c r="B689" s="380" t="str">
        <f t="shared" si="10"/>
        <v>169-901</v>
      </c>
      <c r="C689" s="731">
        <v>0</v>
      </c>
    </row>
    <row r="690" spans="1:3" ht="14.5">
      <c r="A690" s="74" t="s">
        <v>5855</v>
      </c>
      <c r="B690" s="380" t="str">
        <f t="shared" si="10"/>
        <v>169-902</v>
      </c>
      <c r="C690" s="731">
        <v>0</v>
      </c>
    </row>
    <row r="691" spans="1:3" ht="14.5">
      <c r="A691" s="74" t="s">
        <v>5181</v>
      </c>
      <c r="B691" s="380" t="str">
        <f t="shared" si="10"/>
        <v>169-906</v>
      </c>
      <c r="C691" s="731">
        <v>0</v>
      </c>
    </row>
    <row r="692" spans="1:3" ht="14.5">
      <c r="A692" s="74" t="s">
        <v>5856</v>
      </c>
      <c r="B692" s="380" t="str">
        <f t="shared" si="10"/>
        <v>169-908</v>
      </c>
      <c r="C692" s="731">
        <v>0</v>
      </c>
    </row>
    <row r="693" spans="1:3" ht="14.5">
      <c r="A693" s="74" t="s">
        <v>5857</v>
      </c>
      <c r="B693" s="380" t="str">
        <f t="shared" si="10"/>
        <v>169-909</v>
      </c>
      <c r="C693" s="731">
        <v>0</v>
      </c>
    </row>
    <row r="694" spans="1:3" ht="14.5">
      <c r="A694" s="74" t="s">
        <v>5182</v>
      </c>
      <c r="B694" s="380" t="str">
        <f t="shared" si="10"/>
        <v>169-910</v>
      </c>
      <c r="C694" s="731">
        <v>0</v>
      </c>
    </row>
    <row r="695" spans="1:3" ht="14.5">
      <c r="A695" s="74" t="s">
        <v>5183</v>
      </c>
      <c r="B695" s="380" t="str">
        <f t="shared" si="10"/>
        <v>169-911</v>
      </c>
      <c r="C695" s="731">
        <v>0</v>
      </c>
    </row>
    <row r="696" spans="1:3" ht="14.5">
      <c r="A696" s="74" t="s">
        <v>3145</v>
      </c>
      <c r="B696" s="380" t="str">
        <f t="shared" si="10"/>
        <v>170-902</v>
      </c>
      <c r="C696" s="731">
        <v>0</v>
      </c>
    </row>
    <row r="697" spans="1:3" ht="14.5">
      <c r="A697" s="74" t="s">
        <v>5184</v>
      </c>
      <c r="B697" s="380" t="str">
        <f t="shared" si="10"/>
        <v>170-903</v>
      </c>
      <c r="C697" s="731">
        <v>0</v>
      </c>
    </row>
    <row r="698" spans="1:3" ht="14.5">
      <c r="A698" s="74" t="s">
        <v>3146</v>
      </c>
      <c r="B698" s="380" t="str">
        <f t="shared" si="10"/>
        <v>170-904</v>
      </c>
      <c r="C698" s="731">
        <v>0</v>
      </c>
    </row>
    <row r="699" spans="1:3" ht="14.5">
      <c r="A699" s="74" t="s">
        <v>3147</v>
      </c>
      <c r="B699" s="380" t="str">
        <f t="shared" si="10"/>
        <v>170-906</v>
      </c>
      <c r="C699" s="731">
        <v>0</v>
      </c>
    </row>
    <row r="700" spans="1:3" ht="14.5">
      <c r="A700" s="74" t="s">
        <v>3148</v>
      </c>
      <c r="B700" s="380" t="str">
        <f t="shared" si="10"/>
        <v>170-907</v>
      </c>
      <c r="C700" s="731">
        <v>0</v>
      </c>
    </row>
    <row r="701" spans="1:3" ht="14.5">
      <c r="A701" s="74" t="s">
        <v>3149</v>
      </c>
      <c r="B701" s="380" t="str">
        <f t="shared" si="10"/>
        <v>170-908</v>
      </c>
      <c r="C701" s="731">
        <v>0</v>
      </c>
    </row>
    <row r="702" spans="1:3" ht="14.5">
      <c r="A702" s="74" t="s">
        <v>5185</v>
      </c>
      <c r="B702" s="380" t="str">
        <f t="shared" si="10"/>
        <v>171-901</v>
      </c>
      <c r="C702" s="731">
        <v>0</v>
      </c>
    </row>
    <row r="703" spans="1:3" ht="14.5">
      <c r="A703" s="74" t="s">
        <v>5186</v>
      </c>
      <c r="B703" s="380" t="str">
        <f t="shared" si="10"/>
        <v>171-902</v>
      </c>
      <c r="C703" s="731">
        <v>0</v>
      </c>
    </row>
    <row r="704" spans="1:3" ht="14.5">
      <c r="A704" s="74" t="s">
        <v>5187</v>
      </c>
      <c r="B704" s="380" t="str">
        <f t="shared" si="10"/>
        <v>172-902</v>
      </c>
      <c r="C704" s="731">
        <v>0</v>
      </c>
    </row>
    <row r="705" spans="1:3" ht="14.5">
      <c r="A705" s="74" t="s">
        <v>5188</v>
      </c>
      <c r="B705" s="380" t="str">
        <f t="shared" si="10"/>
        <v>172-905</v>
      </c>
      <c r="C705" s="731">
        <v>0</v>
      </c>
    </row>
    <row r="706" spans="1:3" ht="14.5">
      <c r="A706" s="74" t="s">
        <v>5858</v>
      </c>
      <c r="B706" s="380" t="str">
        <f t="shared" ref="B706:B769" si="11">CONCATENATE(LEFT(RIGHT(CONCATENATE("000",A706),6),3),"-",(RIGHT(RIGHT(CONCATENATE("000",A706),6),3)))</f>
        <v>173-901</v>
      </c>
      <c r="C706" s="731">
        <v>0</v>
      </c>
    </row>
    <row r="707" spans="1:3" ht="14.5">
      <c r="A707" s="74" t="s">
        <v>3150</v>
      </c>
      <c r="B707" s="380" t="str">
        <f t="shared" si="11"/>
        <v>174-901</v>
      </c>
      <c r="C707" s="731">
        <v>0</v>
      </c>
    </row>
    <row r="708" spans="1:3" ht="14.5">
      <c r="A708" s="74" t="s">
        <v>5189</v>
      </c>
      <c r="B708" s="380" t="str">
        <f t="shared" si="11"/>
        <v>174-902</v>
      </c>
      <c r="C708" s="731">
        <v>0</v>
      </c>
    </row>
    <row r="709" spans="1:3" ht="14.5">
      <c r="A709" s="74" t="s">
        <v>3151</v>
      </c>
      <c r="B709" s="380" t="str">
        <f t="shared" si="11"/>
        <v>174-903</v>
      </c>
      <c r="C709" s="731">
        <v>0</v>
      </c>
    </row>
    <row r="710" spans="1:3" ht="14.5">
      <c r="A710" s="74" t="s">
        <v>5190</v>
      </c>
      <c r="B710" s="380" t="str">
        <f t="shared" si="11"/>
        <v>174-904</v>
      </c>
      <c r="C710" s="731">
        <v>0</v>
      </c>
    </row>
    <row r="711" spans="1:3" ht="14.5">
      <c r="A711" s="74" t="s">
        <v>3152</v>
      </c>
      <c r="B711" s="380" t="str">
        <f t="shared" si="11"/>
        <v>174-906</v>
      </c>
      <c r="C711" s="731">
        <v>0</v>
      </c>
    </row>
    <row r="712" spans="1:3" ht="14.5">
      <c r="A712" s="74" t="s">
        <v>3153</v>
      </c>
      <c r="B712" s="380" t="str">
        <f t="shared" si="11"/>
        <v>174-908</v>
      </c>
      <c r="C712" s="731">
        <v>0</v>
      </c>
    </row>
    <row r="713" spans="1:3" ht="14.5">
      <c r="A713" s="74" t="s">
        <v>4500</v>
      </c>
      <c r="B713" s="380" t="str">
        <f t="shared" si="11"/>
        <v>174-909</v>
      </c>
      <c r="C713" s="731">
        <v>0</v>
      </c>
    </row>
    <row r="714" spans="1:3" ht="14.5">
      <c r="A714" s="74" t="s">
        <v>5191</v>
      </c>
      <c r="B714" s="380" t="str">
        <f t="shared" si="11"/>
        <v>174-910</v>
      </c>
      <c r="C714" s="731">
        <v>0</v>
      </c>
    </row>
    <row r="715" spans="1:3" ht="14.5">
      <c r="A715" s="74" t="s">
        <v>5859</v>
      </c>
      <c r="B715" s="380" t="str">
        <f t="shared" si="11"/>
        <v>174-911</v>
      </c>
      <c r="C715" s="731">
        <v>0</v>
      </c>
    </row>
    <row r="716" spans="1:3" ht="14.5">
      <c r="A716" s="74" t="s">
        <v>5192</v>
      </c>
      <c r="B716" s="380" t="str">
        <f t="shared" si="11"/>
        <v>175-902</v>
      </c>
      <c r="C716" s="731">
        <v>0</v>
      </c>
    </row>
    <row r="717" spans="1:3" ht="14.5">
      <c r="A717" s="74" t="s">
        <v>3154</v>
      </c>
      <c r="B717" s="380" t="str">
        <f t="shared" si="11"/>
        <v>175-903</v>
      </c>
      <c r="C717" s="731">
        <v>0</v>
      </c>
    </row>
    <row r="718" spans="1:3" ht="14.5">
      <c r="A718" s="74" t="s">
        <v>3155</v>
      </c>
      <c r="B718" s="380" t="str">
        <f t="shared" si="11"/>
        <v>175-904</v>
      </c>
      <c r="C718" s="731">
        <v>0</v>
      </c>
    </row>
    <row r="719" spans="1:3" ht="14.5">
      <c r="A719" s="74" t="s">
        <v>5193</v>
      </c>
      <c r="B719" s="380" t="str">
        <f t="shared" si="11"/>
        <v>175-905</v>
      </c>
      <c r="C719" s="731">
        <v>0</v>
      </c>
    </row>
    <row r="720" spans="1:3" ht="14.5">
      <c r="A720" s="74" t="s">
        <v>3156</v>
      </c>
      <c r="B720" s="380" t="str">
        <f t="shared" si="11"/>
        <v>175-907</v>
      </c>
      <c r="C720" s="731">
        <v>0</v>
      </c>
    </row>
    <row r="721" spans="1:3" ht="14.5">
      <c r="A721" s="74" t="s">
        <v>5194</v>
      </c>
      <c r="B721" s="380" t="str">
        <f t="shared" si="11"/>
        <v>175-910</v>
      </c>
      <c r="C721" s="731">
        <v>0</v>
      </c>
    </row>
    <row r="722" spans="1:3" ht="14.5">
      <c r="A722" s="74" t="s">
        <v>3157</v>
      </c>
      <c r="B722" s="380" t="str">
        <f t="shared" si="11"/>
        <v>175-911</v>
      </c>
      <c r="C722" s="731">
        <v>0</v>
      </c>
    </row>
    <row r="723" spans="1:3" ht="14.5">
      <c r="A723" s="74" t="s">
        <v>5195</v>
      </c>
      <c r="B723" s="380" t="str">
        <f t="shared" si="11"/>
        <v>176-901</v>
      </c>
      <c r="C723" s="731">
        <v>0</v>
      </c>
    </row>
    <row r="724" spans="1:3" ht="14.5">
      <c r="A724" s="74" t="s">
        <v>3158</v>
      </c>
      <c r="B724" s="380" t="str">
        <f t="shared" si="11"/>
        <v>176-902</v>
      </c>
      <c r="C724" s="731">
        <v>0</v>
      </c>
    </row>
    <row r="725" spans="1:3" ht="14.5">
      <c r="A725" s="74" t="s">
        <v>3159</v>
      </c>
      <c r="B725" s="380" t="str">
        <f t="shared" si="11"/>
        <v>176-903</v>
      </c>
      <c r="C725" s="731">
        <v>0</v>
      </c>
    </row>
    <row r="726" spans="1:3" ht="14.5">
      <c r="A726" s="74" t="s">
        <v>3160</v>
      </c>
      <c r="B726" s="380" t="str">
        <f t="shared" si="11"/>
        <v>177-901</v>
      </c>
      <c r="C726" s="731">
        <v>0</v>
      </c>
    </row>
    <row r="727" spans="1:3" ht="14.5">
      <c r="A727" s="74" t="s">
        <v>5196</v>
      </c>
      <c r="B727" s="380" t="str">
        <f t="shared" si="11"/>
        <v>177-902</v>
      </c>
      <c r="C727" s="731">
        <v>0</v>
      </c>
    </row>
    <row r="728" spans="1:3" ht="14.5">
      <c r="A728" s="74" t="s">
        <v>5197</v>
      </c>
      <c r="B728" s="380" t="str">
        <f t="shared" si="11"/>
        <v>177-903</v>
      </c>
      <c r="C728" s="731">
        <v>0</v>
      </c>
    </row>
    <row r="729" spans="1:3" ht="14.5">
      <c r="A729" s="74" t="s">
        <v>5198</v>
      </c>
      <c r="B729" s="380" t="str">
        <f t="shared" si="11"/>
        <v>177-905</v>
      </c>
      <c r="C729" s="731">
        <v>778674</v>
      </c>
    </row>
    <row r="730" spans="1:3" ht="14.5">
      <c r="A730" s="74" t="s">
        <v>5199</v>
      </c>
      <c r="B730" s="380" t="str">
        <f t="shared" si="11"/>
        <v>178-901</v>
      </c>
      <c r="C730" s="731">
        <v>0</v>
      </c>
    </row>
    <row r="731" spans="1:3" ht="14.5">
      <c r="A731" s="74" t="s">
        <v>5200</v>
      </c>
      <c r="B731" s="380" t="str">
        <f t="shared" si="11"/>
        <v>178-902</v>
      </c>
      <c r="C731" s="731">
        <v>0</v>
      </c>
    </row>
    <row r="732" spans="1:3" ht="14.5">
      <c r="A732" s="74" t="s">
        <v>5201</v>
      </c>
      <c r="B732" s="380" t="str">
        <f t="shared" si="11"/>
        <v>178-903</v>
      </c>
      <c r="C732" s="731">
        <v>0</v>
      </c>
    </row>
    <row r="733" spans="1:3" ht="14.5">
      <c r="A733" s="74" t="s">
        <v>3161</v>
      </c>
      <c r="B733" s="380" t="str">
        <f t="shared" si="11"/>
        <v>178-904</v>
      </c>
      <c r="C733" s="731">
        <v>0</v>
      </c>
    </row>
    <row r="734" spans="1:3" ht="14.5">
      <c r="A734" s="74" t="s">
        <v>5202</v>
      </c>
      <c r="B734" s="380" t="str">
        <f t="shared" si="11"/>
        <v>178-905</v>
      </c>
      <c r="C734" s="731">
        <v>0</v>
      </c>
    </row>
    <row r="735" spans="1:3" ht="14.5">
      <c r="A735" s="74" t="s">
        <v>5203</v>
      </c>
      <c r="B735" s="380" t="str">
        <f t="shared" si="11"/>
        <v>178-906</v>
      </c>
      <c r="C735" s="731">
        <v>0</v>
      </c>
    </row>
    <row r="736" spans="1:3" ht="14.5">
      <c r="A736" s="74" t="s">
        <v>5204</v>
      </c>
      <c r="B736" s="380" t="str">
        <f t="shared" si="11"/>
        <v>178-908</v>
      </c>
      <c r="C736" s="731">
        <v>0</v>
      </c>
    </row>
    <row r="737" spans="1:3" ht="14.5">
      <c r="A737" s="74" t="s">
        <v>3162</v>
      </c>
      <c r="B737" s="380" t="str">
        <f t="shared" si="11"/>
        <v>178-909</v>
      </c>
      <c r="C737" s="731">
        <v>0</v>
      </c>
    </row>
    <row r="738" spans="1:3" ht="14.5">
      <c r="A738" s="74" t="s">
        <v>5205</v>
      </c>
      <c r="B738" s="380" t="str">
        <f t="shared" si="11"/>
        <v>178-912</v>
      </c>
      <c r="C738" s="731">
        <v>0</v>
      </c>
    </row>
    <row r="739" spans="1:3" ht="14.5">
      <c r="A739" s="74" t="s">
        <v>3163</v>
      </c>
      <c r="B739" s="380" t="str">
        <f t="shared" si="11"/>
        <v>178-913</v>
      </c>
      <c r="C739" s="731">
        <v>0</v>
      </c>
    </row>
    <row r="740" spans="1:3" ht="14.5">
      <c r="A740" s="74" t="s">
        <v>5206</v>
      </c>
      <c r="B740" s="380" t="str">
        <f t="shared" si="11"/>
        <v>178-914</v>
      </c>
      <c r="C740" s="731">
        <v>0</v>
      </c>
    </row>
    <row r="741" spans="1:3" ht="14.5">
      <c r="A741" s="74" t="s">
        <v>3164</v>
      </c>
      <c r="B741" s="380" t="str">
        <f t="shared" si="11"/>
        <v>178-915</v>
      </c>
      <c r="C741" s="731">
        <v>0</v>
      </c>
    </row>
    <row r="742" spans="1:3" ht="14.5">
      <c r="A742" s="74" t="s">
        <v>3165</v>
      </c>
      <c r="B742" s="380" t="str">
        <f t="shared" si="11"/>
        <v>179-901</v>
      </c>
      <c r="C742" s="731">
        <v>0</v>
      </c>
    </row>
    <row r="743" spans="1:3" ht="14.5">
      <c r="A743" s="74" t="s">
        <v>5207</v>
      </c>
      <c r="B743" s="380" t="str">
        <f t="shared" si="11"/>
        <v>180-902</v>
      </c>
      <c r="C743" s="731">
        <v>0</v>
      </c>
    </row>
    <row r="744" spans="1:3" ht="14.5">
      <c r="A744" s="74" t="s">
        <v>5860</v>
      </c>
      <c r="B744" s="380" t="str">
        <f t="shared" si="11"/>
        <v>180-903</v>
      </c>
      <c r="C744" s="731">
        <v>0</v>
      </c>
    </row>
    <row r="745" spans="1:3" ht="14.5">
      <c r="A745" s="74" t="s">
        <v>5208</v>
      </c>
      <c r="B745" s="380" t="str">
        <f t="shared" si="11"/>
        <v>180-904</v>
      </c>
      <c r="C745" s="731">
        <v>0</v>
      </c>
    </row>
    <row r="746" spans="1:3" ht="14.5">
      <c r="A746" s="74" t="s">
        <v>3166</v>
      </c>
      <c r="B746" s="380" t="str">
        <f t="shared" si="11"/>
        <v>181-901</v>
      </c>
      <c r="C746" s="731">
        <v>0</v>
      </c>
    </row>
    <row r="747" spans="1:3" ht="14.5">
      <c r="A747" s="74" t="s">
        <v>5209</v>
      </c>
      <c r="B747" s="380" t="str">
        <f t="shared" si="11"/>
        <v>181-905</v>
      </c>
      <c r="C747" s="731">
        <v>0</v>
      </c>
    </row>
    <row r="748" spans="1:3" ht="14.5">
      <c r="A748" s="74" t="s">
        <v>5210</v>
      </c>
      <c r="B748" s="380" t="str">
        <f t="shared" si="11"/>
        <v>181-906</v>
      </c>
      <c r="C748" s="731">
        <v>0</v>
      </c>
    </row>
    <row r="749" spans="1:3" ht="14.5">
      <c r="A749" s="74" t="s">
        <v>3167</v>
      </c>
      <c r="B749" s="380" t="str">
        <f t="shared" si="11"/>
        <v>181-907</v>
      </c>
      <c r="C749" s="731">
        <v>0</v>
      </c>
    </row>
    <row r="750" spans="1:3" ht="14.5">
      <c r="A750" s="74" t="s">
        <v>5211</v>
      </c>
      <c r="B750" s="380" t="str">
        <f t="shared" si="11"/>
        <v>181-908</v>
      </c>
      <c r="C750" s="731">
        <v>0</v>
      </c>
    </row>
    <row r="751" spans="1:3" ht="14.5">
      <c r="A751" s="74" t="s">
        <v>5212</v>
      </c>
      <c r="B751" s="380" t="str">
        <f t="shared" si="11"/>
        <v>182-901</v>
      </c>
      <c r="C751" s="731">
        <v>0</v>
      </c>
    </row>
    <row r="752" spans="1:3" ht="14.5">
      <c r="A752" s="74" t="s">
        <v>5213</v>
      </c>
      <c r="B752" s="380" t="str">
        <f t="shared" si="11"/>
        <v>182-902</v>
      </c>
      <c r="C752" s="731">
        <v>0</v>
      </c>
    </row>
    <row r="753" spans="1:3" ht="14.5">
      <c r="A753" s="74" t="s">
        <v>3168</v>
      </c>
      <c r="B753" s="380" t="str">
        <f t="shared" si="11"/>
        <v>182-903</v>
      </c>
      <c r="C753" s="731">
        <v>0</v>
      </c>
    </row>
    <row r="754" spans="1:3" ht="14.5">
      <c r="A754" s="74" t="s">
        <v>5214</v>
      </c>
      <c r="B754" s="380" t="str">
        <f t="shared" si="11"/>
        <v>182-904</v>
      </c>
      <c r="C754" s="731">
        <v>0</v>
      </c>
    </row>
    <row r="755" spans="1:3" ht="14.5">
      <c r="A755" s="74" t="s">
        <v>5861</v>
      </c>
      <c r="B755" s="380" t="str">
        <f t="shared" si="11"/>
        <v>182-905</v>
      </c>
      <c r="C755" s="731">
        <v>0</v>
      </c>
    </row>
    <row r="756" spans="1:3" ht="14.5">
      <c r="A756" s="74" t="s">
        <v>5215</v>
      </c>
      <c r="B756" s="380" t="str">
        <f t="shared" si="11"/>
        <v>182-906</v>
      </c>
      <c r="C756" s="731">
        <v>0</v>
      </c>
    </row>
    <row r="757" spans="1:3" ht="14.5">
      <c r="A757" s="74" t="s">
        <v>5216</v>
      </c>
      <c r="B757" s="380" t="str">
        <f t="shared" si="11"/>
        <v>183-901</v>
      </c>
      <c r="C757" s="731">
        <v>0</v>
      </c>
    </row>
    <row r="758" spans="1:3" ht="14.5">
      <c r="A758" s="74" t="s">
        <v>5217</v>
      </c>
      <c r="B758" s="380" t="str">
        <f t="shared" si="11"/>
        <v>183-902</v>
      </c>
      <c r="C758" s="731">
        <v>0</v>
      </c>
    </row>
    <row r="759" spans="1:3" ht="14.5">
      <c r="A759" s="74" t="s">
        <v>3169</v>
      </c>
      <c r="B759" s="380" t="str">
        <f t="shared" si="11"/>
        <v>183-904</v>
      </c>
      <c r="C759" s="731">
        <v>0</v>
      </c>
    </row>
    <row r="760" spans="1:3" ht="14.5">
      <c r="A760" s="74" t="s">
        <v>3170</v>
      </c>
      <c r="B760" s="380" t="str">
        <f t="shared" si="11"/>
        <v>184-901</v>
      </c>
      <c r="C760" s="731">
        <v>0</v>
      </c>
    </row>
    <row r="761" spans="1:3" ht="14.5">
      <c r="A761" s="74" t="s">
        <v>3171</v>
      </c>
      <c r="B761" s="380" t="str">
        <f t="shared" si="11"/>
        <v>184-902</v>
      </c>
      <c r="C761" s="731">
        <v>0</v>
      </c>
    </row>
    <row r="762" spans="1:3" ht="14.5">
      <c r="A762" s="74" t="s">
        <v>3172</v>
      </c>
      <c r="B762" s="380" t="str">
        <f t="shared" si="11"/>
        <v>184-903</v>
      </c>
      <c r="C762" s="731">
        <v>0</v>
      </c>
    </row>
    <row r="763" spans="1:3" ht="14.5">
      <c r="A763" s="74" t="s">
        <v>3173</v>
      </c>
      <c r="B763" s="380" t="str">
        <f t="shared" si="11"/>
        <v>184-904</v>
      </c>
      <c r="C763" s="731">
        <v>0</v>
      </c>
    </row>
    <row r="764" spans="1:3" ht="14.5">
      <c r="A764" s="74" t="s">
        <v>5218</v>
      </c>
      <c r="B764" s="380" t="str">
        <f t="shared" si="11"/>
        <v>184-907</v>
      </c>
      <c r="C764" s="731">
        <v>0</v>
      </c>
    </row>
    <row r="765" spans="1:3" ht="14.5">
      <c r="A765" s="74" t="s">
        <v>3174</v>
      </c>
      <c r="B765" s="380" t="str">
        <f t="shared" si="11"/>
        <v>184-908</v>
      </c>
      <c r="C765" s="731">
        <v>0</v>
      </c>
    </row>
    <row r="766" spans="1:3" ht="14.5">
      <c r="A766" s="74" t="s">
        <v>3175</v>
      </c>
      <c r="B766" s="380" t="str">
        <f t="shared" si="11"/>
        <v>184-909</v>
      </c>
      <c r="C766" s="731">
        <v>0</v>
      </c>
    </row>
    <row r="767" spans="1:3" ht="14.5">
      <c r="A767" s="74" t="s">
        <v>5219</v>
      </c>
      <c r="B767" s="380" t="str">
        <f t="shared" si="11"/>
        <v>184-911</v>
      </c>
      <c r="C767" s="731">
        <v>0</v>
      </c>
    </row>
    <row r="768" spans="1:3" ht="14.5">
      <c r="A768" s="74" t="s">
        <v>5862</v>
      </c>
      <c r="B768" s="380" t="str">
        <f t="shared" si="11"/>
        <v>185-901</v>
      </c>
      <c r="C768" s="731">
        <v>0</v>
      </c>
    </row>
    <row r="769" spans="1:3" ht="14.5">
      <c r="A769" s="74" t="s">
        <v>5863</v>
      </c>
      <c r="B769" s="380" t="str">
        <f t="shared" si="11"/>
        <v>185-902</v>
      </c>
      <c r="C769" s="731">
        <v>0</v>
      </c>
    </row>
    <row r="770" spans="1:3" ht="14.5">
      <c r="A770" s="74" t="s">
        <v>5220</v>
      </c>
      <c r="B770" s="380" t="str">
        <f t="shared" ref="B770:B833" si="12">CONCATENATE(LEFT(RIGHT(CONCATENATE("000",A770),6),3),"-",(RIGHT(RIGHT(CONCATENATE("000",A770),6),3)))</f>
        <v>185-903</v>
      </c>
      <c r="C770" s="731">
        <v>0</v>
      </c>
    </row>
    <row r="771" spans="1:3" ht="14.5">
      <c r="A771" s="74" t="s">
        <v>5864</v>
      </c>
      <c r="B771" s="380" t="str">
        <f t="shared" si="12"/>
        <v>185-904</v>
      </c>
      <c r="C771" s="731">
        <v>0</v>
      </c>
    </row>
    <row r="772" spans="1:3" ht="14.5">
      <c r="A772" s="74" t="s">
        <v>5221</v>
      </c>
      <c r="B772" s="380" t="str">
        <f t="shared" si="12"/>
        <v>186-901</v>
      </c>
      <c r="C772" s="731">
        <v>153242</v>
      </c>
    </row>
    <row r="773" spans="1:3" ht="14.5">
      <c r="A773" s="74" t="s">
        <v>5222</v>
      </c>
      <c r="B773" s="380" t="str">
        <f t="shared" si="12"/>
        <v>186-902</v>
      </c>
      <c r="C773" s="731">
        <v>0</v>
      </c>
    </row>
    <row r="774" spans="1:3" ht="14.5">
      <c r="A774" s="74" t="s">
        <v>5223</v>
      </c>
      <c r="B774" s="380" t="str">
        <f t="shared" si="12"/>
        <v>186-903</v>
      </c>
      <c r="C774" s="731">
        <v>193214</v>
      </c>
    </row>
    <row r="775" spans="1:3" ht="14.5">
      <c r="A775" s="74" t="s">
        <v>5224</v>
      </c>
      <c r="B775" s="380" t="str">
        <f t="shared" si="12"/>
        <v>187-901</v>
      </c>
      <c r="C775" s="731">
        <v>0</v>
      </c>
    </row>
    <row r="776" spans="1:3" ht="14.5">
      <c r="A776" s="74" t="s">
        <v>5865</v>
      </c>
      <c r="B776" s="380" t="str">
        <f t="shared" si="12"/>
        <v>187-903</v>
      </c>
      <c r="C776" s="731">
        <v>0</v>
      </c>
    </row>
    <row r="777" spans="1:3" ht="14.5">
      <c r="A777" s="74" t="s">
        <v>5225</v>
      </c>
      <c r="B777" s="380" t="str">
        <f t="shared" si="12"/>
        <v>187-904</v>
      </c>
      <c r="C777" s="731">
        <v>0</v>
      </c>
    </row>
    <row r="778" spans="1:3" ht="14.5">
      <c r="A778" s="74" t="s">
        <v>5226</v>
      </c>
      <c r="B778" s="380" t="str">
        <f t="shared" si="12"/>
        <v>187-906</v>
      </c>
      <c r="C778" s="731">
        <v>0</v>
      </c>
    </row>
    <row r="779" spans="1:3" ht="14.5">
      <c r="A779" s="74" t="s">
        <v>3176</v>
      </c>
      <c r="B779" s="380" t="str">
        <f t="shared" si="12"/>
        <v>187-907</v>
      </c>
      <c r="C779" s="731">
        <v>0</v>
      </c>
    </row>
    <row r="780" spans="1:3" ht="14.5">
      <c r="A780" s="74" t="s">
        <v>5227</v>
      </c>
      <c r="B780" s="380" t="str">
        <f t="shared" si="12"/>
        <v>187-910</v>
      </c>
      <c r="C780" s="731">
        <v>0</v>
      </c>
    </row>
    <row r="781" spans="1:3" ht="14.5">
      <c r="A781" s="74" t="s">
        <v>3177</v>
      </c>
      <c r="B781" s="380" t="str">
        <f t="shared" si="12"/>
        <v>188-901</v>
      </c>
      <c r="C781" s="731">
        <v>0</v>
      </c>
    </row>
    <row r="782" spans="1:3" ht="14.5">
      <c r="A782" s="74" t="s">
        <v>3178</v>
      </c>
      <c r="B782" s="380" t="str">
        <f t="shared" si="12"/>
        <v>188-902</v>
      </c>
      <c r="C782" s="731">
        <v>0</v>
      </c>
    </row>
    <row r="783" spans="1:3" ht="14.5">
      <c r="A783" s="74" t="s">
        <v>5228</v>
      </c>
      <c r="B783" s="380" t="str">
        <f t="shared" si="12"/>
        <v>188-903</v>
      </c>
      <c r="C783" s="731">
        <v>0</v>
      </c>
    </row>
    <row r="784" spans="1:3" ht="14.5">
      <c r="A784" s="74" t="s">
        <v>5229</v>
      </c>
      <c r="B784" s="380" t="str">
        <f t="shared" si="12"/>
        <v>188-904</v>
      </c>
      <c r="C784" s="731">
        <v>0</v>
      </c>
    </row>
    <row r="785" spans="1:3" ht="14.5">
      <c r="A785" s="74" t="s">
        <v>3179</v>
      </c>
      <c r="B785" s="380" t="str">
        <f t="shared" si="12"/>
        <v>189-901</v>
      </c>
      <c r="C785" s="731">
        <v>0</v>
      </c>
    </row>
    <row r="786" spans="1:3" ht="14.5">
      <c r="A786" s="74" t="s">
        <v>3180</v>
      </c>
      <c r="B786" s="380" t="str">
        <f t="shared" si="12"/>
        <v>189-902</v>
      </c>
      <c r="C786" s="731">
        <v>0</v>
      </c>
    </row>
    <row r="787" spans="1:3" ht="14.5">
      <c r="A787" s="74" t="s">
        <v>5230</v>
      </c>
      <c r="B787" s="380" t="str">
        <f t="shared" si="12"/>
        <v>190-903</v>
      </c>
      <c r="C787" s="731">
        <v>0</v>
      </c>
    </row>
    <row r="788" spans="1:3" ht="14.5">
      <c r="A788" s="74" t="s">
        <v>5231</v>
      </c>
      <c r="B788" s="380" t="str">
        <f t="shared" si="12"/>
        <v>191-901</v>
      </c>
      <c r="C788" s="731">
        <v>0</v>
      </c>
    </row>
    <row r="789" spans="1:3" ht="14.5">
      <c r="A789" s="74" t="s">
        <v>5232</v>
      </c>
      <c r="B789" s="380" t="str">
        <f t="shared" si="12"/>
        <v>192-901</v>
      </c>
      <c r="C789" s="731">
        <v>0</v>
      </c>
    </row>
    <row r="790" spans="1:3" ht="14.5">
      <c r="A790" s="74" t="s">
        <v>5233</v>
      </c>
      <c r="B790" s="380" t="str">
        <f t="shared" si="12"/>
        <v>193-902</v>
      </c>
      <c r="C790" s="731">
        <v>0</v>
      </c>
    </row>
    <row r="791" spans="1:3" ht="14.5">
      <c r="A791" s="74" t="s">
        <v>5866</v>
      </c>
      <c r="B791" s="380" t="str">
        <f t="shared" si="12"/>
        <v>194-902</v>
      </c>
      <c r="C791" s="731">
        <v>0</v>
      </c>
    </row>
    <row r="792" spans="1:3" ht="14.5">
      <c r="A792" s="74" t="s">
        <v>3181</v>
      </c>
      <c r="B792" s="380" t="str">
        <f t="shared" si="12"/>
        <v>194-903</v>
      </c>
      <c r="C792" s="731">
        <v>0</v>
      </c>
    </row>
    <row r="793" spans="1:3" ht="14.5">
      <c r="A793" s="74" t="s">
        <v>5867</v>
      </c>
      <c r="B793" s="380" t="str">
        <f t="shared" si="12"/>
        <v>194-904</v>
      </c>
      <c r="C793" s="731">
        <v>0</v>
      </c>
    </row>
    <row r="794" spans="1:3" ht="14.5">
      <c r="A794" s="74" t="s">
        <v>3182</v>
      </c>
      <c r="B794" s="380" t="str">
        <f t="shared" si="12"/>
        <v>194-905</v>
      </c>
      <c r="C794" s="731">
        <v>0</v>
      </c>
    </row>
    <row r="795" spans="1:3" ht="14.5">
      <c r="A795" s="74" t="s">
        <v>5234</v>
      </c>
      <c r="B795" s="380" t="str">
        <f t="shared" si="12"/>
        <v>195-901</v>
      </c>
      <c r="C795" s="731">
        <v>0</v>
      </c>
    </row>
    <row r="796" spans="1:3" ht="14.5">
      <c r="A796" s="74" t="s">
        <v>3183</v>
      </c>
      <c r="B796" s="380" t="str">
        <f t="shared" si="12"/>
        <v>195-902</v>
      </c>
      <c r="C796" s="731">
        <v>0</v>
      </c>
    </row>
    <row r="797" spans="1:3" ht="14.5">
      <c r="A797" s="74" t="s">
        <v>5235</v>
      </c>
      <c r="B797" s="380" t="str">
        <f t="shared" si="12"/>
        <v>196-901</v>
      </c>
      <c r="C797" s="731">
        <v>162472</v>
      </c>
    </row>
    <row r="798" spans="1:3" ht="14.5">
      <c r="A798" s="74" t="s">
        <v>5236</v>
      </c>
      <c r="B798" s="380" t="str">
        <f t="shared" si="12"/>
        <v>196-902</v>
      </c>
      <c r="C798" s="731">
        <v>0</v>
      </c>
    </row>
    <row r="799" spans="1:3" ht="14.5">
      <c r="A799" s="74" t="s">
        <v>5237</v>
      </c>
      <c r="B799" s="380" t="str">
        <f t="shared" si="12"/>
        <v>196-903</v>
      </c>
      <c r="C799" s="731">
        <v>0</v>
      </c>
    </row>
    <row r="800" spans="1:3" ht="14.5">
      <c r="A800" s="74" t="s">
        <v>5238</v>
      </c>
      <c r="B800" s="380" t="str">
        <f t="shared" si="12"/>
        <v>197-902</v>
      </c>
      <c r="C800" s="731">
        <v>0</v>
      </c>
    </row>
    <row r="801" spans="1:3" ht="14.5">
      <c r="A801" s="74" t="s">
        <v>5239</v>
      </c>
      <c r="B801" s="380" t="str">
        <f t="shared" si="12"/>
        <v>198-901</v>
      </c>
      <c r="C801" s="731">
        <v>0</v>
      </c>
    </row>
    <row r="802" spans="1:3" ht="14.5">
      <c r="A802" s="74" t="s">
        <v>5868</v>
      </c>
      <c r="B802" s="380" t="str">
        <f t="shared" si="12"/>
        <v>198-902</v>
      </c>
      <c r="C802" s="731">
        <v>0</v>
      </c>
    </row>
    <row r="803" spans="1:3" ht="14.5">
      <c r="A803" s="74" t="s">
        <v>5240</v>
      </c>
      <c r="B803" s="380" t="str">
        <f t="shared" si="12"/>
        <v>198-903</v>
      </c>
      <c r="C803" s="731">
        <v>0</v>
      </c>
    </row>
    <row r="804" spans="1:3" ht="14.5">
      <c r="A804" s="74" t="s">
        <v>5241</v>
      </c>
      <c r="B804" s="380" t="str">
        <f t="shared" si="12"/>
        <v>198-905</v>
      </c>
      <c r="C804" s="731">
        <v>0</v>
      </c>
    </row>
    <row r="805" spans="1:3" ht="14.5">
      <c r="A805" s="74" t="s">
        <v>5869</v>
      </c>
      <c r="B805" s="380" t="str">
        <f t="shared" si="12"/>
        <v>198-906</v>
      </c>
      <c r="C805" s="731">
        <v>0</v>
      </c>
    </row>
    <row r="806" spans="1:3" ht="14.5">
      <c r="A806" s="74" t="s">
        <v>5242</v>
      </c>
      <c r="B806" s="380" t="str">
        <f t="shared" si="12"/>
        <v>199-901</v>
      </c>
      <c r="C806" s="731">
        <v>0</v>
      </c>
    </row>
    <row r="807" spans="1:3" ht="14.5">
      <c r="A807" s="74" t="s">
        <v>3184</v>
      </c>
      <c r="B807" s="380" t="str">
        <f t="shared" si="12"/>
        <v>199-902</v>
      </c>
      <c r="C807" s="731">
        <v>0</v>
      </c>
    </row>
    <row r="808" spans="1:3" ht="14.5">
      <c r="A808" s="74" t="s">
        <v>5870</v>
      </c>
      <c r="B808" s="380" t="str">
        <f t="shared" si="12"/>
        <v>200-901</v>
      </c>
      <c r="C808" s="731">
        <v>0</v>
      </c>
    </row>
    <row r="809" spans="1:3" ht="14.5">
      <c r="A809" s="74" t="s">
        <v>3185</v>
      </c>
      <c r="B809" s="380" t="str">
        <f t="shared" si="12"/>
        <v>200-902</v>
      </c>
      <c r="C809" s="731">
        <v>0</v>
      </c>
    </row>
    <row r="810" spans="1:3" ht="14.5">
      <c r="A810" s="74" t="s">
        <v>4591</v>
      </c>
      <c r="B810" s="380" t="str">
        <f t="shared" si="12"/>
        <v>200-904</v>
      </c>
      <c r="C810" s="731">
        <v>0</v>
      </c>
    </row>
    <row r="811" spans="1:3" ht="14.5">
      <c r="A811" s="74" t="s">
        <v>3186</v>
      </c>
      <c r="B811" s="380" t="str">
        <f t="shared" si="12"/>
        <v>200-906</v>
      </c>
      <c r="C811" s="731">
        <v>0</v>
      </c>
    </row>
    <row r="812" spans="1:3" ht="14.5">
      <c r="A812" s="74" t="s">
        <v>5243</v>
      </c>
      <c r="B812" s="380" t="str">
        <f t="shared" si="12"/>
        <v>201-902</v>
      </c>
      <c r="C812" s="731">
        <v>0</v>
      </c>
    </row>
    <row r="813" spans="1:3" ht="14.5">
      <c r="A813" s="74" t="s">
        <v>5871</v>
      </c>
      <c r="B813" s="380" t="str">
        <f t="shared" si="12"/>
        <v>201-903</v>
      </c>
      <c r="C813" s="731">
        <v>0</v>
      </c>
    </row>
    <row r="814" spans="1:3" ht="14.5">
      <c r="A814" s="74" t="s">
        <v>5872</v>
      </c>
      <c r="B814" s="380" t="str">
        <f t="shared" si="12"/>
        <v>201-904</v>
      </c>
      <c r="C814" s="731">
        <v>0</v>
      </c>
    </row>
    <row r="815" spans="1:3" ht="14.5">
      <c r="A815" s="74" t="s">
        <v>4595</v>
      </c>
      <c r="B815" s="380" t="str">
        <f t="shared" si="12"/>
        <v>201-907</v>
      </c>
      <c r="C815" s="731">
        <v>0</v>
      </c>
    </row>
    <row r="816" spans="1:3" ht="14.5">
      <c r="A816" s="74" t="s">
        <v>3187</v>
      </c>
      <c r="B816" s="380" t="str">
        <f t="shared" si="12"/>
        <v>201-908</v>
      </c>
      <c r="C816" s="731">
        <v>0</v>
      </c>
    </row>
    <row r="817" spans="1:3" ht="14.5">
      <c r="A817" s="74" t="s">
        <v>5244</v>
      </c>
      <c r="B817" s="380" t="str">
        <f t="shared" si="12"/>
        <v>201-910</v>
      </c>
      <c r="C817" s="731">
        <v>0</v>
      </c>
    </row>
    <row r="818" spans="1:3" ht="14.5">
      <c r="A818" s="74" t="s">
        <v>3188</v>
      </c>
      <c r="B818" s="380" t="str">
        <f t="shared" si="12"/>
        <v>201-913</v>
      </c>
      <c r="C818" s="731">
        <v>0</v>
      </c>
    </row>
    <row r="819" spans="1:3" ht="14.5">
      <c r="A819" s="74" t="s">
        <v>5245</v>
      </c>
      <c r="B819" s="380" t="str">
        <f t="shared" si="12"/>
        <v>201-914</v>
      </c>
      <c r="C819" s="731">
        <v>0</v>
      </c>
    </row>
    <row r="820" spans="1:3" ht="14.5">
      <c r="A820" s="74" t="s">
        <v>5873</v>
      </c>
      <c r="B820" s="380" t="str">
        <f t="shared" si="12"/>
        <v>202-903</v>
      </c>
      <c r="C820" s="731">
        <v>0</v>
      </c>
    </row>
    <row r="821" spans="1:3" ht="14.5">
      <c r="A821" s="74" t="s">
        <v>3189</v>
      </c>
      <c r="B821" s="380" t="str">
        <f t="shared" si="12"/>
        <v>202-905</v>
      </c>
      <c r="C821" s="731">
        <v>0</v>
      </c>
    </row>
    <row r="822" spans="1:3" ht="14.5">
      <c r="A822" s="74" t="s">
        <v>3190</v>
      </c>
      <c r="B822" s="380" t="str">
        <f t="shared" si="12"/>
        <v>203-901</v>
      </c>
      <c r="C822" s="731">
        <v>0</v>
      </c>
    </row>
    <row r="823" spans="1:3" ht="14.5">
      <c r="A823" s="74" t="s">
        <v>5874</v>
      </c>
      <c r="B823" s="380" t="str">
        <f t="shared" si="12"/>
        <v>203-902</v>
      </c>
      <c r="C823" s="731">
        <v>0</v>
      </c>
    </row>
    <row r="824" spans="1:3" ht="14.5">
      <c r="A824" s="74" t="s">
        <v>5246</v>
      </c>
      <c r="B824" s="380" t="str">
        <f t="shared" si="12"/>
        <v>204-901</v>
      </c>
      <c r="C824" s="731">
        <v>0</v>
      </c>
    </row>
    <row r="825" spans="1:3" ht="14.5">
      <c r="A825" s="74" t="s">
        <v>3191</v>
      </c>
      <c r="B825" s="380" t="str">
        <f t="shared" si="12"/>
        <v>204-904</v>
      </c>
      <c r="C825" s="731">
        <v>0</v>
      </c>
    </row>
    <row r="826" spans="1:3" ht="14.5">
      <c r="A826" s="74" t="s">
        <v>3192</v>
      </c>
      <c r="B826" s="380" t="str">
        <f t="shared" si="12"/>
        <v>205-901</v>
      </c>
      <c r="C826" s="731">
        <v>0</v>
      </c>
    </row>
    <row r="827" spans="1:3" ht="14.5">
      <c r="A827" s="74" t="s">
        <v>5247</v>
      </c>
      <c r="B827" s="380" t="str">
        <f t="shared" si="12"/>
        <v>205-902</v>
      </c>
      <c r="C827" s="731">
        <v>0</v>
      </c>
    </row>
    <row r="828" spans="1:3" ht="14.5">
      <c r="A828" s="74" t="s">
        <v>5248</v>
      </c>
      <c r="B828" s="380" t="str">
        <f t="shared" si="12"/>
        <v>205-903</v>
      </c>
      <c r="C828" s="731">
        <v>0</v>
      </c>
    </row>
    <row r="829" spans="1:3" ht="14.5">
      <c r="A829" s="74" t="s">
        <v>3193</v>
      </c>
      <c r="B829" s="380" t="str">
        <f t="shared" si="12"/>
        <v>205-904</v>
      </c>
      <c r="C829" s="731">
        <v>0</v>
      </c>
    </row>
    <row r="830" spans="1:3" ht="14.5">
      <c r="A830" s="74" t="s">
        <v>3194</v>
      </c>
      <c r="B830" s="380" t="str">
        <f t="shared" si="12"/>
        <v>205-905</v>
      </c>
      <c r="C830" s="731">
        <v>0</v>
      </c>
    </row>
    <row r="831" spans="1:3" ht="14.5">
      <c r="A831" s="74" t="s">
        <v>3195</v>
      </c>
      <c r="B831" s="380" t="str">
        <f t="shared" si="12"/>
        <v>205-906</v>
      </c>
      <c r="C831" s="731">
        <v>0</v>
      </c>
    </row>
    <row r="832" spans="1:3" ht="14.5">
      <c r="A832" s="74" t="s">
        <v>3196</v>
      </c>
      <c r="B832" s="380" t="str">
        <f t="shared" si="12"/>
        <v>205-907</v>
      </c>
      <c r="C832" s="731">
        <v>0</v>
      </c>
    </row>
    <row r="833" spans="1:3" ht="14.5">
      <c r="A833" s="74" t="s">
        <v>3197</v>
      </c>
      <c r="B833" s="380" t="str">
        <f t="shared" si="12"/>
        <v>206-901</v>
      </c>
      <c r="C833" s="731">
        <v>0</v>
      </c>
    </row>
    <row r="834" spans="1:3" ht="14.5">
      <c r="A834" s="74" t="s">
        <v>5875</v>
      </c>
      <c r="B834" s="380" t="str">
        <f t="shared" ref="B834:B897" si="13">CONCATENATE(LEFT(RIGHT(CONCATENATE("000",A834),6),3),"-",(RIGHT(RIGHT(CONCATENATE("000",A834),6),3)))</f>
        <v>206-902</v>
      </c>
      <c r="C834" s="731">
        <v>0</v>
      </c>
    </row>
    <row r="835" spans="1:3" ht="14.5">
      <c r="A835" s="74" t="s">
        <v>5876</v>
      </c>
      <c r="B835" s="380" t="str">
        <f t="shared" si="13"/>
        <v>206-903</v>
      </c>
      <c r="C835" s="731">
        <v>0</v>
      </c>
    </row>
    <row r="836" spans="1:3" ht="14.5">
      <c r="A836" s="74" t="s">
        <v>5877</v>
      </c>
      <c r="B836" s="380" t="str">
        <f t="shared" si="13"/>
        <v>207-901</v>
      </c>
      <c r="C836" s="731">
        <v>0</v>
      </c>
    </row>
    <row r="837" spans="1:3" ht="14.5">
      <c r="A837" s="74" t="s">
        <v>5249</v>
      </c>
      <c r="B837" s="380" t="str">
        <f t="shared" si="13"/>
        <v>208-901</v>
      </c>
      <c r="C837" s="731">
        <v>0</v>
      </c>
    </row>
    <row r="838" spans="1:3" ht="14.5">
      <c r="A838" s="74" t="s">
        <v>5250</v>
      </c>
      <c r="B838" s="380" t="str">
        <f t="shared" si="13"/>
        <v>208-902</v>
      </c>
      <c r="C838" s="731">
        <v>0</v>
      </c>
    </row>
    <row r="839" spans="1:3" ht="14.5">
      <c r="A839" s="74" t="s">
        <v>5251</v>
      </c>
      <c r="B839" s="380" t="str">
        <f t="shared" si="13"/>
        <v>208-903</v>
      </c>
      <c r="C839" s="731">
        <v>0</v>
      </c>
    </row>
    <row r="840" spans="1:3" ht="14.5">
      <c r="A840" s="74" t="s">
        <v>5878</v>
      </c>
      <c r="B840" s="380" t="str">
        <f t="shared" si="13"/>
        <v>209-901</v>
      </c>
      <c r="C840" s="731">
        <v>0</v>
      </c>
    </row>
    <row r="841" spans="1:3" ht="14.5">
      <c r="A841" s="74" t="s">
        <v>5879</v>
      </c>
      <c r="B841" s="380" t="str">
        <f t="shared" si="13"/>
        <v>209-902</v>
      </c>
      <c r="C841" s="731">
        <v>0</v>
      </c>
    </row>
    <row r="842" spans="1:3" ht="14.5">
      <c r="A842" s="74" t="s">
        <v>3198</v>
      </c>
      <c r="B842" s="380" t="str">
        <f t="shared" si="13"/>
        <v>210-901</v>
      </c>
      <c r="C842" s="731">
        <v>0</v>
      </c>
    </row>
    <row r="843" spans="1:3" ht="14.5">
      <c r="A843" s="74" t="s">
        <v>5252</v>
      </c>
      <c r="B843" s="380" t="str">
        <f t="shared" si="13"/>
        <v>210-902</v>
      </c>
      <c r="C843" s="731">
        <v>0</v>
      </c>
    </row>
    <row r="844" spans="1:3" ht="14.5">
      <c r="A844" s="74" t="s">
        <v>3199</v>
      </c>
      <c r="B844" s="380" t="str">
        <f t="shared" si="13"/>
        <v>210-903</v>
      </c>
      <c r="C844" s="731">
        <v>0</v>
      </c>
    </row>
    <row r="845" spans="1:3" ht="14.5">
      <c r="A845" s="74" t="s">
        <v>5253</v>
      </c>
      <c r="B845" s="380" t="str">
        <f t="shared" si="13"/>
        <v>210-904</v>
      </c>
      <c r="C845" s="731">
        <v>0</v>
      </c>
    </row>
    <row r="846" spans="1:3" ht="14.5">
      <c r="A846" s="74" t="s">
        <v>5880</v>
      </c>
      <c r="B846" s="380" t="str">
        <f t="shared" si="13"/>
        <v>210-905</v>
      </c>
      <c r="C846" s="731">
        <v>0</v>
      </c>
    </row>
    <row r="847" spans="1:3" ht="14.5">
      <c r="A847" s="74" t="s">
        <v>5881</v>
      </c>
      <c r="B847" s="380" t="str">
        <f t="shared" si="13"/>
        <v>210-906</v>
      </c>
      <c r="C847" s="731">
        <v>0</v>
      </c>
    </row>
    <row r="848" spans="1:3" ht="14.5">
      <c r="A848" s="74" t="s">
        <v>5254</v>
      </c>
      <c r="B848" s="380" t="str">
        <f t="shared" si="13"/>
        <v>211-901</v>
      </c>
      <c r="C848" s="731">
        <v>0</v>
      </c>
    </row>
    <row r="849" spans="1:3" ht="14.5">
      <c r="A849" s="74" t="s">
        <v>5882</v>
      </c>
      <c r="B849" s="380" t="str">
        <f t="shared" si="13"/>
        <v>211-902</v>
      </c>
      <c r="C849" s="731">
        <v>0</v>
      </c>
    </row>
    <row r="850" spans="1:3" ht="14.5">
      <c r="A850" s="74" t="s">
        <v>3200</v>
      </c>
      <c r="B850" s="380" t="str">
        <f t="shared" si="13"/>
        <v>212-901</v>
      </c>
      <c r="C850" s="731">
        <v>0</v>
      </c>
    </row>
    <row r="851" spans="1:3" ht="14.5">
      <c r="A851" s="74" t="s">
        <v>5255</v>
      </c>
      <c r="B851" s="380" t="str">
        <f t="shared" si="13"/>
        <v>212-902</v>
      </c>
      <c r="C851" s="731">
        <v>0</v>
      </c>
    </row>
    <row r="852" spans="1:3" ht="14.5">
      <c r="A852" s="74" t="s">
        <v>3201</v>
      </c>
      <c r="B852" s="380" t="str">
        <f t="shared" si="13"/>
        <v>212-903</v>
      </c>
      <c r="C852" s="731">
        <v>0</v>
      </c>
    </row>
    <row r="853" spans="1:3" ht="14.5">
      <c r="A853" s="74" t="s">
        <v>5256</v>
      </c>
      <c r="B853" s="380" t="str">
        <f t="shared" si="13"/>
        <v>212-904</v>
      </c>
      <c r="C853" s="731">
        <v>0</v>
      </c>
    </row>
    <row r="854" spans="1:3" ht="14.5">
      <c r="A854" s="74" t="s">
        <v>5257</v>
      </c>
      <c r="B854" s="380" t="str">
        <f t="shared" si="13"/>
        <v>212-905</v>
      </c>
      <c r="C854" s="731">
        <v>0</v>
      </c>
    </row>
    <row r="855" spans="1:3" ht="14.5">
      <c r="A855" s="74" t="s">
        <v>3202</v>
      </c>
      <c r="B855" s="380" t="str">
        <f t="shared" si="13"/>
        <v>212-906</v>
      </c>
      <c r="C855" s="731">
        <v>0</v>
      </c>
    </row>
    <row r="856" spans="1:3" ht="14.5">
      <c r="A856" s="74" t="s">
        <v>3203</v>
      </c>
      <c r="B856" s="380" t="str">
        <f t="shared" si="13"/>
        <v>212-909</v>
      </c>
      <c r="C856" s="731">
        <v>0</v>
      </c>
    </row>
    <row r="857" spans="1:3" ht="14.5">
      <c r="A857" s="74" t="s">
        <v>5258</v>
      </c>
      <c r="B857" s="380" t="str">
        <f t="shared" si="13"/>
        <v>212-910</v>
      </c>
      <c r="C857" s="731">
        <v>0</v>
      </c>
    </row>
    <row r="858" spans="1:3" ht="14.5">
      <c r="A858" s="74" t="s">
        <v>5259</v>
      </c>
      <c r="B858" s="380" t="str">
        <f t="shared" si="13"/>
        <v>213-901</v>
      </c>
      <c r="C858" s="731">
        <v>5775060</v>
      </c>
    </row>
    <row r="859" spans="1:3" ht="14.5">
      <c r="A859" s="74" t="s">
        <v>3204</v>
      </c>
      <c r="B859" s="380" t="str">
        <f t="shared" si="13"/>
        <v>214-901</v>
      </c>
      <c r="C859" s="731">
        <v>0</v>
      </c>
    </row>
    <row r="860" spans="1:3" ht="14.5">
      <c r="A860" s="74" t="s">
        <v>5260</v>
      </c>
      <c r="B860" s="380" t="str">
        <f t="shared" si="13"/>
        <v>214-902</v>
      </c>
      <c r="C860" s="731">
        <v>0</v>
      </c>
    </row>
    <row r="861" spans="1:3" ht="14.5">
      <c r="A861" s="74" t="s">
        <v>3205</v>
      </c>
      <c r="B861" s="380" t="str">
        <f t="shared" si="13"/>
        <v>214-903</v>
      </c>
      <c r="C861" s="731">
        <v>0</v>
      </c>
    </row>
    <row r="862" spans="1:3" ht="14.5">
      <c r="A862" s="74" t="s">
        <v>5261</v>
      </c>
      <c r="B862" s="380" t="str">
        <f t="shared" si="13"/>
        <v>215-901</v>
      </c>
      <c r="C862" s="731">
        <v>0</v>
      </c>
    </row>
    <row r="863" spans="1:3" ht="14.5">
      <c r="A863" s="74" t="s">
        <v>5262</v>
      </c>
      <c r="B863" s="380" t="str">
        <f t="shared" si="13"/>
        <v>216-901</v>
      </c>
      <c r="C863" s="731">
        <v>0</v>
      </c>
    </row>
    <row r="864" spans="1:3" ht="14.5">
      <c r="A864" s="74" t="s">
        <v>5263</v>
      </c>
      <c r="B864" s="380" t="str">
        <f t="shared" si="13"/>
        <v>217-901</v>
      </c>
      <c r="C864" s="731">
        <v>0</v>
      </c>
    </row>
    <row r="865" spans="1:3" ht="14.5">
      <c r="A865" s="74" t="s">
        <v>5264</v>
      </c>
      <c r="B865" s="380" t="str">
        <f t="shared" si="13"/>
        <v>218-901</v>
      </c>
      <c r="C865" s="731">
        <v>0</v>
      </c>
    </row>
    <row r="866" spans="1:3" ht="14.5">
      <c r="A866" s="74" t="s">
        <v>5883</v>
      </c>
      <c r="B866" s="380" t="str">
        <f t="shared" si="13"/>
        <v>219-901</v>
      </c>
      <c r="C866" s="731">
        <v>0</v>
      </c>
    </row>
    <row r="867" spans="1:3" ht="14.5">
      <c r="A867" s="74" t="s">
        <v>5884</v>
      </c>
      <c r="B867" s="380" t="str">
        <f t="shared" si="13"/>
        <v>219-903</v>
      </c>
      <c r="C867" s="731">
        <v>0</v>
      </c>
    </row>
    <row r="868" spans="1:3" ht="14.5">
      <c r="A868" s="74" t="s">
        <v>5265</v>
      </c>
      <c r="B868" s="380" t="str">
        <f t="shared" si="13"/>
        <v>219-905</v>
      </c>
      <c r="C868" s="731">
        <v>0</v>
      </c>
    </row>
    <row r="869" spans="1:3" ht="14.5">
      <c r="A869" s="74" t="s">
        <v>3206</v>
      </c>
      <c r="B869" s="380" t="str">
        <f t="shared" si="13"/>
        <v>220-901</v>
      </c>
      <c r="C869" s="731">
        <v>0</v>
      </c>
    </row>
    <row r="870" spans="1:3" ht="14.5">
      <c r="A870" s="74" t="s">
        <v>3207</v>
      </c>
      <c r="B870" s="380" t="str">
        <f t="shared" si="13"/>
        <v>220-902</v>
      </c>
      <c r="C870" s="731">
        <v>0</v>
      </c>
    </row>
    <row r="871" spans="1:3" ht="14.5">
      <c r="A871" s="74" t="s">
        <v>3208</v>
      </c>
      <c r="B871" s="380" t="str">
        <f t="shared" si="13"/>
        <v>220-904</v>
      </c>
      <c r="C871" s="731">
        <v>0</v>
      </c>
    </row>
    <row r="872" spans="1:3" ht="14.5">
      <c r="A872" s="74" t="s">
        <v>5266</v>
      </c>
      <c r="B872" s="380" t="str">
        <f t="shared" si="13"/>
        <v>220-905</v>
      </c>
      <c r="C872" s="731">
        <v>0</v>
      </c>
    </row>
    <row r="873" spans="1:3" ht="14.5">
      <c r="A873" s="74" t="s">
        <v>5267</v>
      </c>
      <c r="B873" s="380" t="str">
        <f t="shared" si="13"/>
        <v>220-906</v>
      </c>
      <c r="C873" s="731">
        <v>0</v>
      </c>
    </row>
    <row r="874" spans="1:3" ht="14.5">
      <c r="A874" s="74" t="s">
        <v>3209</v>
      </c>
      <c r="B874" s="380" t="str">
        <f t="shared" si="13"/>
        <v>220-907</v>
      </c>
      <c r="C874" s="731">
        <v>0</v>
      </c>
    </row>
    <row r="875" spans="1:3" ht="14.5">
      <c r="A875" s="74" t="s">
        <v>3210</v>
      </c>
      <c r="B875" s="380" t="str">
        <f t="shared" si="13"/>
        <v>220-908</v>
      </c>
      <c r="C875" s="731">
        <v>0</v>
      </c>
    </row>
    <row r="876" spans="1:3" ht="14.5">
      <c r="A876" s="74" t="s">
        <v>3211</v>
      </c>
      <c r="B876" s="380" t="str">
        <f t="shared" si="13"/>
        <v>220-910</v>
      </c>
      <c r="C876" s="731">
        <v>0</v>
      </c>
    </row>
    <row r="877" spans="1:3" ht="14.5">
      <c r="A877" s="74" t="s">
        <v>3212</v>
      </c>
      <c r="B877" s="380" t="str">
        <f t="shared" si="13"/>
        <v>220-912</v>
      </c>
      <c r="C877" s="731">
        <v>0</v>
      </c>
    </row>
    <row r="878" spans="1:3" ht="14.5">
      <c r="A878" s="74" t="s">
        <v>3213</v>
      </c>
      <c r="B878" s="380" t="str">
        <f t="shared" si="13"/>
        <v>220-914</v>
      </c>
      <c r="C878" s="731">
        <v>0</v>
      </c>
    </row>
    <row r="879" spans="1:3" ht="14.5">
      <c r="A879" s="74" t="s">
        <v>3214</v>
      </c>
      <c r="B879" s="380" t="str">
        <f t="shared" si="13"/>
        <v>220-915</v>
      </c>
      <c r="C879" s="731">
        <v>0</v>
      </c>
    </row>
    <row r="880" spans="1:3" ht="14.5">
      <c r="A880" s="74" t="s">
        <v>3215</v>
      </c>
      <c r="B880" s="380" t="str">
        <f t="shared" si="13"/>
        <v>220-916</v>
      </c>
      <c r="C880" s="731">
        <v>0</v>
      </c>
    </row>
    <row r="881" spans="1:3" ht="14.5">
      <c r="A881" s="74" t="s">
        <v>3216</v>
      </c>
      <c r="B881" s="380" t="str">
        <f t="shared" si="13"/>
        <v>220-917</v>
      </c>
      <c r="C881" s="731">
        <v>0</v>
      </c>
    </row>
    <row r="882" spans="1:3" ht="14.5">
      <c r="A882" s="74" t="s">
        <v>3217</v>
      </c>
      <c r="B882" s="380" t="str">
        <f t="shared" si="13"/>
        <v>220-918</v>
      </c>
      <c r="C882" s="731">
        <v>0</v>
      </c>
    </row>
    <row r="883" spans="1:3" ht="14.5">
      <c r="A883" s="74" t="s">
        <v>4710</v>
      </c>
      <c r="B883" s="380" t="str">
        <f t="shared" si="13"/>
        <v>220-919</v>
      </c>
      <c r="C883" s="731">
        <v>0</v>
      </c>
    </row>
    <row r="884" spans="1:3" ht="14.5">
      <c r="A884" s="74" t="s">
        <v>3218</v>
      </c>
      <c r="B884" s="380" t="str">
        <f t="shared" si="13"/>
        <v>220-920</v>
      </c>
      <c r="C884" s="731">
        <v>0</v>
      </c>
    </row>
    <row r="885" spans="1:3" ht="14.5">
      <c r="A885" s="74" t="s">
        <v>5268</v>
      </c>
      <c r="B885" s="380" t="str">
        <f t="shared" si="13"/>
        <v>221-901</v>
      </c>
      <c r="C885" s="731">
        <v>0</v>
      </c>
    </row>
    <row r="886" spans="1:3" ht="14.5">
      <c r="A886" s="74" t="s">
        <v>5269</v>
      </c>
      <c r="B886" s="380" t="str">
        <f t="shared" si="13"/>
        <v>221-904</v>
      </c>
      <c r="C886" s="731">
        <v>0</v>
      </c>
    </row>
    <row r="887" spans="1:3" ht="14.5">
      <c r="A887" s="74" t="s">
        <v>5270</v>
      </c>
      <c r="B887" s="380" t="str">
        <f t="shared" si="13"/>
        <v>221-905</v>
      </c>
      <c r="C887" s="731">
        <v>0</v>
      </c>
    </row>
    <row r="888" spans="1:3" ht="14.5">
      <c r="A888" s="74" t="s">
        <v>5271</v>
      </c>
      <c r="B888" s="380" t="str">
        <f t="shared" si="13"/>
        <v>221-911</v>
      </c>
      <c r="C888" s="731">
        <v>0</v>
      </c>
    </row>
    <row r="889" spans="1:3" ht="14.5">
      <c r="A889" s="74" t="s">
        <v>5272</v>
      </c>
      <c r="B889" s="380" t="str">
        <f t="shared" si="13"/>
        <v>221-912</v>
      </c>
      <c r="C889" s="731">
        <v>0</v>
      </c>
    </row>
    <row r="890" spans="1:3" ht="14.5">
      <c r="A890" s="74" t="s">
        <v>5273</v>
      </c>
      <c r="B890" s="380" t="str">
        <f t="shared" si="13"/>
        <v>222-901</v>
      </c>
      <c r="C890" s="731">
        <v>0</v>
      </c>
    </row>
    <row r="891" spans="1:3" ht="14.5">
      <c r="A891" s="74" t="s">
        <v>5274</v>
      </c>
      <c r="B891" s="380" t="str">
        <f t="shared" si="13"/>
        <v>223-901</v>
      </c>
      <c r="C891" s="731">
        <v>0</v>
      </c>
    </row>
    <row r="892" spans="1:3" ht="14.5">
      <c r="A892" s="74" t="s">
        <v>3219</v>
      </c>
      <c r="B892" s="380" t="str">
        <f t="shared" si="13"/>
        <v>223-902</v>
      </c>
      <c r="C892" s="731">
        <v>0</v>
      </c>
    </row>
    <row r="893" spans="1:3" ht="14.5">
      <c r="A893" s="74" t="s">
        <v>5275</v>
      </c>
      <c r="B893" s="380" t="str">
        <f t="shared" si="13"/>
        <v>223-904</v>
      </c>
      <c r="C893" s="731">
        <v>7373</v>
      </c>
    </row>
    <row r="894" spans="1:3" ht="14.5">
      <c r="A894" s="74" t="s">
        <v>5885</v>
      </c>
      <c r="B894" s="380" t="str">
        <f t="shared" si="13"/>
        <v>224-901</v>
      </c>
      <c r="C894" s="731">
        <v>0</v>
      </c>
    </row>
    <row r="895" spans="1:3" ht="14.5">
      <c r="A895" s="74" t="s">
        <v>5886</v>
      </c>
      <c r="B895" s="380" t="str">
        <f t="shared" si="13"/>
        <v>224-902</v>
      </c>
      <c r="C895" s="731">
        <v>0</v>
      </c>
    </row>
    <row r="896" spans="1:3" ht="14.5">
      <c r="A896" s="74" t="s">
        <v>5276</v>
      </c>
      <c r="B896" s="380" t="str">
        <f t="shared" si="13"/>
        <v>225-902</v>
      </c>
      <c r="C896" s="731">
        <v>0</v>
      </c>
    </row>
    <row r="897" spans="1:3" ht="14.5">
      <c r="A897" s="74" t="s">
        <v>3220</v>
      </c>
      <c r="B897" s="380" t="str">
        <f t="shared" si="13"/>
        <v>225-906</v>
      </c>
      <c r="C897" s="731">
        <v>0</v>
      </c>
    </row>
    <row r="898" spans="1:3" ht="14.5">
      <c r="A898" s="74" t="s">
        <v>5887</v>
      </c>
      <c r="B898" s="380" t="str">
        <f t="shared" ref="B898:B961" si="14">CONCATENATE(LEFT(RIGHT(CONCATENATE("000",A898),6),3),"-",(RIGHT(RIGHT(CONCATENATE("000",A898),6),3)))</f>
        <v>225-907</v>
      </c>
      <c r="C898" s="731">
        <v>0</v>
      </c>
    </row>
    <row r="899" spans="1:3" ht="14.5">
      <c r="A899" s="74" t="s">
        <v>5277</v>
      </c>
      <c r="B899" s="380" t="str">
        <f t="shared" si="14"/>
        <v>226-901</v>
      </c>
      <c r="C899" s="731">
        <v>0</v>
      </c>
    </row>
    <row r="900" spans="1:3" ht="14.5">
      <c r="A900" s="74" t="s">
        <v>3221</v>
      </c>
      <c r="B900" s="380" t="str">
        <f t="shared" si="14"/>
        <v>226-903</v>
      </c>
      <c r="C900" s="731">
        <v>0</v>
      </c>
    </row>
    <row r="901" spans="1:3" ht="14.5">
      <c r="A901" s="74" t="s">
        <v>5278</v>
      </c>
      <c r="B901" s="380" t="str">
        <f t="shared" si="14"/>
        <v>226-905</v>
      </c>
      <c r="C901" s="731">
        <v>0</v>
      </c>
    </row>
    <row r="902" spans="1:3" ht="14.5">
      <c r="A902" s="74" t="s">
        <v>3222</v>
      </c>
      <c r="B902" s="380" t="str">
        <f t="shared" si="14"/>
        <v>226-906</v>
      </c>
      <c r="C902" s="731">
        <v>0</v>
      </c>
    </row>
    <row r="903" spans="1:3" ht="14.5">
      <c r="A903" s="74" t="s">
        <v>3223</v>
      </c>
      <c r="B903" s="380" t="str">
        <f t="shared" si="14"/>
        <v>226-907</v>
      </c>
      <c r="C903" s="731">
        <v>0</v>
      </c>
    </row>
    <row r="904" spans="1:3" ht="14.5">
      <c r="A904" s="74" t="s">
        <v>3224</v>
      </c>
      <c r="B904" s="380" t="str">
        <f t="shared" si="14"/>
        <v>226-908</v>
      </c>
      <c r="C904" s="731">
        <v>0</v>
      </c>
    </row>
    <row r="905" spans="1:3" ht="14.5">
      <c r="A905" s="74" t="s">
        <v>5279</v>
      </c>
      <c r="B905" s="380" t="str">
        <f t="shared" si="14"/>
        <v>227-901</v>
      </c>
      <c r="C905" s="731">
        <v>0</v>
      </c>
    </row>
    <row r="906" spans="1:3" ht="14.5">
      <c r="A906" s="74" t="s">
        <v>3225</v>
      </c>
      <c r="B906" s="380" t="str">
        <f t="shared" si="14"/>
        <v>227-904</v>
      </c>
      <c r="C906" s="731">
        <v>0</v>
      </c>
    </row>
    <row r="907" spans="1:3" ht="14.5">
      <c r="A907" s="74" t="s">
        <v>5280</v>
      </c>
      <c r="B907" s="380" t="str">
        <f t="shared" si="14"/>
        <v>227-907</v>
      </c>
      <c r="C907" s="731">
        <v>0</v>
      </c>
    </row>
    <row r="908" spans="1:3" ht="14.5">
      <c r="A908" s="74" t="s">
        <v>5281</v>
      </c>
      <c r="B908" s="380" t="str">
        <f t="shared" si="14"/>
        <v>227-909</v>
      </c>
      <c r="C908" s="731">
        <v>0</v>
      </c>
    </row>
    <row r="909" spans="1:3" ht="14.5">
      <c r="A909" s="74" t="s">
        <v>3226</v>
      </c>
      <c r="B909" s="380" t="str">
        <f t="shared" si="14"/>
        <v>227-910</v>
      </c>
      <c r="C909" s="731">
        <v>0</v>
      </c>
    </row>
    <row r="910" spans="1:3" ht="14.5">
      <c r="A910" s="74" t="s">
        <v>5282</v>
      </c>
      <c r="B910" s="380" t="str">
        <f t="shared" si="14"/>
        <v>227-912</v>
      </c>
      <c r="C910" s="731">
        <v>0</v>
      </c>
    </row>
    <row r="911" spans="1:3" ht="14.5">
      <c r="A911" s="74" t="s">
        <v>5283</v>
      </c>
      <c r="B911" s="380" t="str">
        <f t="shared" si="14"/>
        <v>227-913</v>
      </c>
      <c r="C911" s="731">
        <v>0</v>
      </c>
    </row>
    <row r="912" spans="1:3" ht="14.5">
      <c r="A912" s="74" t="s">
        <v>5888</v>
      </c>
      <c r="B912" s="380" t="str">
        <f t="shared" si="14"/>
        <v>228-901</v>
      </c>
      <c r="C912" s="731">
        <v>0</v>
      </c>
    </row>
    <row r="913" spans="1:3" ht="14.5">
      <c r="A913" s="74" t="s">
        <v>5284</v>
      </c>
      <c r="B913" s="380" t="str">
        <f t="shared" si="14"/>
        <v>228-903</v>
      </c>
      <c r="C913" s="731">
        <v>0</v>
      </c>
    </row>
    <row r="914" spans="1:3" ht="14.5">
      <c r="A914" s="74" t="s">
        <v>5889</v>
      </c>
      <c r="B914" s="380" t="str">
        <f t="shared" si="14"/>
        <v>228-904</v>
      </c>
      <c r="C914" s="731">
        <v>0</v>
      </c>
    </row>
    <row r="915" spans="1:3" ht="14.5">
      <c r="A915" s="74" t="s">
        <v>5890</v>
      </c>
      <c r="B915" s="380" t="str">
        <f t="shared" si="14"/>
        <v>228-905</v>
      </c>
      <c r="C915" s="731">
        <v>0</v>
      </c>
    </row>
    <row r="916" spans="1:3" ht="14.5">
      <c r="A916" s="74" t="s">
        <v>4736</v>
      </c>
      <c r="B916" s="380" t="str">
        <f t="shared" si="14"/>
        <v>229-901</v>
      </c>
      <c r="C916" s="731">
        <v>0</v>
      </c>
    </row>
    <row r="917" spans="1:3" ht="14.5">
      <c r="A917" s="74" t="s">
        <v>5285</v>
      </c>
      <c r="B917" s="380" t="str">
        <f t="shared" si="14"/>
        <v>229-903</v>
      </c>
      <c r="C917" s="731">
        <v>0</v>
      </c>
    </row>
    <row r="918" spans="1:3" ht="14.5">
      <c r="A918" s="74" t="s">
        <v>3227</v>
      </c>
      <c r="B918" s="380" t="str">
        <f t="shared" si="14"/>
        <v>229-904</v>
      </c>
      <c r="C918" s="731">
        <v>0</v>
      </c>
    </row>
    <row r="919" spans="1:3" ht="14.5">
      <c r="A919" s="74" t="s">
        <v>3228</v>
      </c>
      <c r="B919" s="380" t="str">
        <f t="shared" si="14"/>
        <v>229-905</v>
      </c>
      <c r="C919" s="731">
        <v>0</v>
      </c>
    </row>
    <row r="920" spans="1:3" ht="14.5">
      <c r="A920" s="74" t="s">
        <v>3229</v>
      </c>
      <c r="B920" s="380" t="str">
        <f t="shared" si="14"/>
        <v>229-906</v>
      </c>
      <c r="C920" s="731">
        <v>0</v>
      </c>
    </row>
    <row r="921" spans="1:3" ht="14.5">
      <c r="A921" s="74" t="s">
        <v>5286</v>
      </c>
      <c r="B921" s="380" t="str">
        <f t="shared" si="14"/>
        <v>230-901</v>
      </c>
      <c r="C921" s="731">
        <v>0</v>
      </c>
    </row>
    <row r="922" spans="1:3" ht="14.5">
      <c r="A922" s="74" t="s">
        <v>5287</v>
      </c>
      <c r="B922" s="380" t="str">
        <f t="shared" si="14"/>
        <v>230-902</v>
      </c>
      <c r="C922" s="731">
        <v>0</v>
      </c>
    </row>
    <row r="923" spans="1:3" ht="14.5">
      <c r="A923" s="74" t="s">
        <v>3230</v>
      </c>
      <c r="B923" s="380" t="str">
        <f t="shared" si="14"/>
        <v>230-903</v>
      </c>
      <c r="C923" s="731">
        <v>0</v>
      </c>
    </row>
    <row r="924" spans="1:3" ht="14.5">
      <c r="A924" s="74" t="s">
        <v>5891</v>
      </c>
      <c r="B924" s="380" t="str">
        <f t="shared" si="14"/>
        <v>230-904</v>
      </c>
      <c r="C924" s="731">
        <v>0</v>
      </c>
    </row>
    <row r="925" spans="1:3" ht="14.5">
      <c r="A925" s="74" t="s">
        <v>3231</v>
      </c>
      <c r="B925" s="380" t="str">
        <f t="shared" si="14"/>
        <v>230-905</v>
      </c>
      <c r="C925" s="731">
        <v>0</v>
      </c>
    </row>
    <row r="926" spans="1:3" ht="14.5">
      <c r="A926" s="74" t="s">
        <v>3232</v>
      </c>
      <c r="B926" s="380" t="str">
        <f t="shared" si="14"/>
        <v>230-906</v>
      </c>
      <c r="C926" s="731">
        <v>0</v>
      </c>
    </row>
    <row r="927" spans="1:3" ht="14.5">
      <c r="A927" s="74" t="s">
        <v>5288</v>
      </c>
      <c r="B927" s="380" t="str">
        <f t="shared" si="14"/>
        <v>230-908</v>
      </c>
      <c r="C927" s="731">
        <v>0</v>
      </c>
    </row>
    <row r="928" spans="1:3" ht="14.5">
      <c r="A928" s="74" t="s">
        <v>5892</v>
      </c>
      <c r="B928" s="380" t="str">
        <f t="shared" si="14"/>
        <v>231-901</v>
      </c>
      <c r="C928" s="731">
        <v>0</v>
      </c>
    </row>
    <row r="929" spans="1:3" ht="14.5">
      <c r="A929" s="74" t="s">
        <v>5289</v>
      </c>
      <c r="B929" s="380" t="str">
        <f t="shared" si="14"/>
        <v>231-902</v>
      </c>
      <c r="C929" s="731">
        <v>0</v>
      </c>
    </row>
    <row r="930" spans="1:3" ht="14.5">
      <c r="A930" s="74" t="s">
        <v>3233</v>
      </c>
      <c r="B930" s="380" t="str">
        <f t="shared" si="14"/>
        <v>232-901</v>
      </c>
      <c r="C930" s="731">
        <v>0</v>
      </c>
    </row>
    <row r="931" spans="1:3" ht="14.5">
      <c r="A931" s="74" t="s">
        <v>3234</v>
      </c>
      <c r="B931" s="380" t="str">
        <f t="shared" si="14"/>
        <v>232-902</v>
      </c>
      <c r="C931" s="731">
        <v>0</v>
      </c>
    </row>
    <row r="932" spans="1:3" ht="14.5">
      <c r="A932" s="74" t="s">
        <v>3235</v>
      </c>
      <c r="B932" s="380" t="str">
        <f t="shared" si="14"/>
        <v>232-903</v>
      </c>
      <c r="C932" s="731">
        <v>0</v>
      </c>
    </row>
    <row r="933" spans="1:3" ht="14.5">
      <c r="A933" s="74" t="s">
        <v>5893</v>
      </c>
      <c r="B933" s="380" t="str">
        <f t="shared" si="14"/>
        <v>232-904</v>
      </c>
      <c r="C933" s="731">
        <v>0</v>
      </c>
    </row>
    <row r="934" spans="1:3" ht="14.5">
      <c r="A934" s="74" t="s">
        <v>3236</v>
      </c>
      <c r="B934" s="380" t="str">
        <f t="shared" si="14"/>
        <v>233-901</v>
      </c>
      <c r="C934" s="731">
        <v>0</v>
      </c>
    </row>
    <row r="935" spans="1:3" ht="14.5">
      <c r="A935" s="74" t="s">
        <v>5290</v>
      </c>
      <c r="B935" s="380" t="str">
        <f t="shared" si="14"/>
        <v>233-903</v>
      </c>
      <c r="C935" s="731">
        <v>0</v>
      </c>
    </row>
    <row r="936" spans="1:3" ht="14.5">
      <c r="A936" s="74" t="s">
        <v>3237</v>
      </c>
      <c r="B936" s="380" t="str">
        <f t="shared" si="14"/>
        <v>234-902</v>
      </c>
      <c r="C936" s="731">
        <v>0</v>
      </c>
    </row>
    <row r="937" spans="1:3" ht="14.5">
      <c r="A937" s="74" t="s">
        <v>5291</v>
      </c>
      <c r="B937" s="380" t="str">
        <f t="shared" si="14"/>
        <v>234-903</v>
      </c>
      <c r="C937" s="731">
        <v>0</v>
      </c>
    </row>
    <row r="938" spans="1:3" ht="14.5">
      <c r="A938" s="74" t="s">
        <v>3238</v>
      </c>
      <c r="B938" s="380" t="str">
        <f t="shared" si="14"/>
        <v>234-904</v>
      </c>
      <c r="C938" s="731">
        <v>0</v>
      </c>
    </row>
    <row r="939" spans="1:3" ht="14.5">
      <c r="A939" s="74" t="s">
        <v>3239</v>
      </c>
      <c r="B939" s="380" t="str">
        <f t="shared" si="14"/>
        <v>234-905</v>
      </c>
      <c r="C939" s="731">
        <v>0</v>
      </c>
    </row>
    <row r="940" spans="1:3" ht="14.5">
      <c r="A940" s="74" t="s">
        <v>3240</v>
      </c>
      <c r="B940" s="380" t="str">
        <f t="shared" si="14"/>
        <v>234-906</v>
      </c>
      <c r="C940" s="731">
        <v>0</v>
      </c>
    </row>
    <row r="941" spans="1:3" ht="14.5">
      <c r="A941" s="74" t="s">
        <v>5292</v>
      </c>
      <c r="B941" s="380" t="str">
        <f t="shared" si="14"/>
        <v>234-907</v>
      </c>
      <c r="C941" s="731">
        <v>0</v>
      </c>
    </row>
    <row r="942" spans="1:3" ht="14.5">
      <c r="A942" s="74" t="s">
        <v>3241</v>
      </c>
      <c r="B942" s="380" t="str">
        <f t="shared" si="14"/>
        <v>234-909</v>
      </c>
      <c r="C942" s="731">
        <v>0</v>
      </c>
    </row>
    <row r="943" spans="1:3" ht="14.5">
      <c r="A943" s="74" t="s">
        <v>3242</v>
      </c>
      <c r="B943" s="380" t="str">
        <f t="shared" si="14"/>
        <v>235-901</v>
      </c>
      <c r="C943" s="731">
        <v>0</v>
      </c>
    </row>
    <row r="944" spans="1:3" ht="14.5">
      <c r="A944" s="74" t="s">
        <v>3243</v>
      </c>
      <c r="B944" s="380" t="str">
        <f t="shared" si="14"/>
        <v>235-902</v>
      </c>
      <c r="C944" s="731">
        <v>0</v>
      </c>
    </row>
    <row r="945" spans="1:3" ht="14.5">
      <c r="A945" s="74" t="s">
        <v>5293</v>
      </c>
      <c r="B945" s="380" t="str">
        <f t="shared" si="14"/>
        <v>235-904</v>
      </c>
      <c r="C945" s="731">
        <v>0</v>
      </c>
    </row>
    <row r="946" spans="1:3" ht="14.5">
      <c r="A946" s="74" t="s">
        <v>3244</v>
      </c>
      <c r="B946" s="380" t="str">
        <f t="shared" si="14"/>
        <v>236-901</v>
      </c>
      <c r="C946" s="731">
        <v>0</v>
      </c>
    </row>
    <row r="947" spans="1:3" ht="14.5">
      <c r="A947" s="74" t="s">
        <v>3245</v>
      </c>
      <c r="B947" s="380" t="str">
        <f t="shared" si="14"/>
        <v>236-902</v>
      </c>
      <c r="C947" s="731">
        <v>0</v>
      </c>
    </row>
    <row r="948" spans="1:3" ht="14.5">
      <c r="A948" s="74" t="s">
        <v>3246</v>
      </c>
      <c r="B948" s="380" t="str">
        <f t="shared" si="14"/>
        <v>237-902</v>
      </c>
      <c r="C948" s="731">
        <v>0</v>
      </c>
    </row>
    <row r="949" spans="1:3" ht="14.5">
      <c r="A949" s="74" t="s">
        <v>3247</v>
      </c>
      <c r="B949" s="380" t="str">
        <f t="shared" si="14"/>
        <v>237-904</v>
      </c>
      <c r="C949" s="731">
        <v>0</v>
      </c>
    </row>
    <row r="950" spans="1:3" ht="14.5">
      <c r="A950" s="74" t="s">
        <v>3248</v>
      </c>
      <c r="B950" s="380" t="str">
        <f t="shared" si="14"/>
        <v>237-905</v>
      </c>
      <c r="C950" s="731">
        <v>0</v>
      </c>
    </row>
    <row r="951" spans="1:3" ht="14.5">
      <c r="A951" s="74" t="s">
        <v>5294</v>
      </c>
      <c r="B951" s="380" t="str">
        <f t="shared" si="14"/>
        <v>238-902</v>
      </c>
      <c r="C951" s="731">
        <v>0</v>
      </c>
    </row>
    <row r="952" spans="1:3" ht="14.5">
      <c r="A952" s="74" t="s">
        <v>5894</v>
      </c>
      <c r="B952" s="380" t="str">
        <f t="shared" si="14"/>
        <v>238-904</v>
      </c>
      <c r="C952" s="731">
        <v>0</v>
      </c>
    </row>
    <row r="953" spans="1:3" ht="14.5">
      <c r="A953" s="74" t="s">
        <v>5295</v>
      </c>
      <c r="B953" s="380" t="str">
        <f t="shared" si="14"/>
        <v>239-901</v>
      </c>
      <c r="C953" s="731">
        <v>0</v>
      </c>
    </row>
    <row r="954" spans="1:3" ht="14.5">
      <c r="A954" s="74" t="s">
        <v>5296</v>
      </c>
      <c r="B954" s="380" t="str">
        <f t="shared" si="14"/>
        <v>239-903</v>
      </c>
      <c r="C954" s="731">
        <v>0</v>
      </c>
    </row>
    <row r="955" spans="1:3" ht="14.5">
      <c r="A955" s="74" t="s">
        <v>3249</v>
      </c>
      <c r="B955" s="380" t="str">
        <f t="shared" si="14"/>
        <v>240-901</v>
      </c>
      <c r="C955" s="731">
        <v>0</v>
      </c>
    </row>
    <row r="956" spans="1:3" ht="14.5">
      <c r="A956" s="74" t="s">
        <v>3250</v>
      </c>
      <c r="B956" s="380" t="str">
        <f t="shared" si="14"/>
        <v>240-903</v>
      </c>
      <c r="C956" s="731">
        <v>0</v>
      </c>
    </row>
    <row r="957" spans="1:3" ht="14.5">
      <c r="A957" s="74" t="s">
        <v>5297</v>
      </c>
      <c r="B957" s="380" t="str">
        <f t="shared" si="14"/>
        <v>240-904</v>
      </c>
      <c r="C957" s="731">
        <v>831981</v>
      </c>
    </row>
    <row r="958" spans="1:3" ht="14.5">
      <c r="A958" s="74" t="s">
        <v>5895</v>
      </c>
      <c r="B958" s="380" t="str">
        <f t="shared" si="14"/>
        <v>241-901</v>
      </c>
      <c r="C958" s="731">
        <v>0</v>
      </c>
    </row>
    <row r="959" spans="1:3" ht="14.5">
      <c r="A959" s="74" t="s">
        <v>5298</v>
      </c>
      <c r="B959" s="380" t="str">
        <f t="shared" si="14"/>
        <v>241-902</v>
      </c>
      <c r="C959" s="731">
        <v>0</v>
      </c>
    </row>
    <row r="960" spans="1:3" ht="14.5">
      <c r="A960" s="74" t="s">
        <v>5299</v>
      </c>
      <c r="B960" s="380" t="str">
        <f t="shared" si="14"/>
        <v>241-903</v>
      </c>
      <c r="C960" s="731">
        <v>0</v>
      </c>
    </row>
    <row r="961" spans="1:3" ht="14.5">
      <c r="A961" s="74" t="s">
        <v>5300</v>
      </c>
      <c r="B961" s="380" t="str">
        <f t="shared" si="14"/>
        <v>241-904</v>
      </c>
      <c r="C961" s="731">
        <v>0</v>
      </c>
    </row>
    <row r="962" spans="1:3" ht="14.5">
      <c r="A962" s="74" t="s">
        <v>5301</v>
      </c>
      <c r="B962" s="380" t="str">
        <f t="shared" ref="B962:B1016" si="15">CONCATENATE(LEFT(RIGHT(CONCATENATE("000",A962),6),3),"-",(RIGHT(RIGHT(CONCATENATE("000",A962),6),3)))</f>
        <v>241-906</v>
      </c>
      <c r="C962" s="731">
        <v>0</v>
      </c>
    </row>
    <row r="963" spans="1:3" ht="14.5">
      <c r="A963" s="74" t="s">
        <v>5896</v>
      </c>
      <c r="B963" s="380" t="str">
        <f t="shared" si="15"/>
        <v>242-902</v>
      </c>
      <c r="C963" s="731">
        <v>0</v>
      </c>
    </row>
    <row r="964" spans="1:3" ht="14.5">
      <c r="A964" s="74" t="s">
        <v>5302</v>
      </c>
      <c r="B964" s="380" t="str">
        <f t="shared" si="15"/>
        <v>242-903</v>
      </c>
      <c r="C964" s="731">
        <v>0</v>
      </c>
    </row>
    <row r="965" spans="1:3" ht="14.5">
      <c r="A965" s="74" t="s">
        <v>5897</v>
      </c>
      <c r="B965" s="380" t="str">
        <f t="shared" si="15"/>
        <v>242-905</v>
      </c>
      <c r="C965" s="731">
        <v>420409</v>
      </c>
    </row>
    <row r="966" spans="1:3" ht="14.5">
      <c r="A966" s="74" t="s">
        <v>5303</v>
      </c>
      <c r="B966" s="380" t="str">
        <f t="shared" si="15"/>
        <v>242-906</v>
      </c>
      <c r="C966" s="731">
        <v>456479</v>
      </c>
    </row>
    <row r="967" spans="1:3" ht="14.5">
      <c r="A967" s="74" t="s">
        <v>3251</v>
      </c>
      <c r="B967" s="380" t="str">
        <f t="shared" si="15"/>
        <v>243-901</v>
      </c>
      <c r="C967" s="731">
        <v>0</v>
      </c>
    </row>
    <row r="968" spans="1:3" ht="14.5">
      <c r="A968" s="74" t="s">
        <v>5304</v>
      </c>
      <c r="B968" s="380" t="str">
        <f t="shared" si="15"/>
        <v>243-902</v>
      </c>
      <c r="C968" s="731">
        <v>0</v>
      </c>
    </row>
    <row r="969" spans="1:3" ht="14.5">
      <c r="A969" s="74" t="s">
        <v>5305</v>
      </c>
      <c r="B969" s="380" t="str">
        <f t="shared" si="15"/>
        <v>243-903</v>
      </c>
      <c r="C969" s="731">
        <v>0</v>
      </c>
    </row>
    <row r="970" spans="1:3" ht="14.5">
      <c r="A970" s="74" t="s">
        <v>3252</v>
      </c>
      <c r="B970" s="380" t="str">
        <f t="shared" si="15"/>
        <v>243-905</v>
      </c>
      <c r="C970" s="731">
        <v>0</v>
      </c>
    </row>
    <row r="971" spans="1:3" ht="14.5">
      <c r="A971" s="74" t="s">
        <v>3253</v>
      </c>
      <c r="B971" s="380" t="str">
        <f t="shared" si="15"/>
        <v>243-906</v>
      </c>
      <c r="C971" s="731">
        <v>0</v>
      </c>
    </row>
    <row r="972" spans="1:3" ht="14.5">
      <c r="A972" s="74" t="s">
        <v>5898</v>
      </c>
      <c r="B972" s="380" t="str">
        <f t="shared" si="15"/>
        <v>244-901</v>
      </c>
      <c r="C972" s="731">
        <v>0</v>
      </c>
    </row>
    <row r="973" spans="1:3" ht="14.5">
      <c r="A973" s="74" t="s">
        <v>5306</v>
      </c>
      <c r="B973" s="380" t="str">
        <f t="shared" si="15"/>
        <v>244-903</v>
      </c>
      <c r="C973" s="731">
        <v>0</v>
      </c>
    </row>
    <row r="974" spans="1:3" ht="14.5">
      <c r="A974" s="74" t="s">
        <v>3254</v>
      </c>
      <c r="B974" s="380" t="str">
        <f t="shared" si="15"/>
        <v>244-905</v>
      </c>
      <c r="C974" s="731">
        <v>0</v>
      </c>
    </row>
    <row r="975" spans="1:3" ht="14.5">
      <c r="A975" s="74" t="s">
        <v>3255</v>
      </c>
      <c r="B975" s="380" t="str">
        <f t="shared" si="15"/>
        <v>245-901</v>
      </c>
      <c r="C975" s="731">
        <v>0</v>
      </c>
    </row>
    <row r="976" spans="1:3" ht="14.5">
      <c r="A976" s="74" t="s">
        <v>3256</v>
      </c>
      <c r="B976" s="380" t="str">
        <f t="shared" si="15"/>
        <v>245-902</v>
      </c>
      <c r="C976" s="731">
        <v>0</v>
      </c>
    </row>
    <row r="977" spans="1:3" ht="14.5">
      <c r="A977" s="74" t="s">
        <v>3257</v>
      </c>
      <c r="B977" s="380" t="str">
        <f t="shared" si="15"/>
        <v>245-903</v>
      </c>
      <c r="C977" s="731">
        <v>0</v>
      </c>
    </row>
    <row r="978" spans="1:3" ht="14.5">
      <c r="A978" s="74" t="s">
        <v>3258</v>
      </c>
      <c r="B978" s="380" t="str">
        <f t="shared" si="15"/>
        <v>245-904</v>
      </c>
      <c r="C978" s="731">
        <v>0</v>
      </c>
    </row>
    <row r="979" spans="1:3" ht="14.5">
      <c r="A979" s="74" t="s">
        <v>3259</v>
      </c>
      <c r="B979" s="380" t="str">
        <f t="shared" si="15"/>
        <v>246-902</v>
      </c>
      <c r="C979" s="731">
        <v>0</v>
      </c>
    </row>
    <row r="980" spans="1:3" ht="14.5">
      <c r="A980" s="74" t="s">
        <v>3260</v>
      </c>
      <c r="B980" s="380" t="str">
        <f t="shared" si="15"/>
        <v>246-904</v>
      </c>
      <c r="C980" s="731">
        <v>0</v>
      </c>
    </row>
    <row r="981" spans="1:3" ht="14.5">
      <c r="A981" s="74" t="s">
        <v>3261</v>
      </c>
      <c r="B981" s="380" t="str">
        <f t="shared" si="15"/>
        <v>246-905</v>
      </c>
      <c r="C981" s="731">
        <v>0</v>
      </c>
    </row>
    <row r="982" spans="1:3" ht="14.5">
      <c r="A982" s="74" t="s">
        <v>3262</v>
      </c>
      <c r="B982" s="380" t="str">
        <f t="shared" si="15"/>
        <v>246-906</v>
      </c>
      <c r="C982" s="731">
        <v>0</v>
      </c>
    </row>
    <row r="983" spans="1:3" ht="14.5">
      <c r="A983" s="74" t="s">
        <v>5307</v>
      </c>
      <c r="B983" s="380" t="str">
        <f t="shared" si="15"/>
        <v>246-907</v>
      </c>
      <c r="C983" s="731">
        <v>0</v>
      </c>
    </row>
    <row r="984" spans="1:3" ht="14.5">
      <c r="A984" s="74" t="s">
        <v>3263</v>
      </c>
      <c r="B984" s="380" t="str">
        <f t="shared" si="15"/>
        <v>246-908</v>
      </c>
      <c r="C984" s="731">
        <v>0</v>
      </c>
    </row>
    <row r="985" spans="1:3" ht="14.5">
      <c r="A985" s="74" t="s">
        <v>4857</v>
      </c>
      <c r="B985" s="380" t="str">
        <f t="shared" si="15"/>
        <v>246-909</v>
      </c>
      <c r="C985" s="731">
        <v>0</v>
      </c>
    </row>
    <row r="986" spans="1:3" ht="14.5">
      <c r="A986" s="74" t="s">
        <v>3264</v>
      </c>
      <c r="B986" s="380" t="str">
        <f t="shared" si="15"/>
        <v>246-911</v>
      </c>
      <c r="C986" s="731">
        <v>0</v>
      </c>
    </row>
    <row r="987" spans="1:3" ht="14.5">
      <c r="A987" s="74" t="s">
        <v>3265</v>
      </c>
      <c r="B987" s="380" t="str">
        <f t="shared" si="15"/>
        <v>246-912</v>
      </c>
      <c r="C987" s="731">
        <v>0</v>
      </c>
    </row>
    <row r="988" spans="1:3" ht="14.5">
      <c r="A988" s="74" t="s">
        <v>3266</v>
      </c>
      <c r="B988" s="380" t="str">
        <f t="shared" si="15"/>
        <v>246-913</v>
      </c>
      <c r="C988" s="731">
        <v>0</v>
      </c>
    </row>
    <row r="989" spans="1:3" ht="14.5">
      <c r="A989" s="74" t="s">
        <v>5899</v>
      </c>
      <c r="B989" s="380" t="str">
        <f t="shared" si="15"/>
        <v>246-914</v>
      </c>
      <c r="C989" s="731">
        <v>0</v>
      </c>
    </row>
    <row r="990" spans="1:3" ht="14.5">
      <c r="A990" s="74" t="s">
        <v>3267</v>
      </c>
      <c r="B990" s="380" t="str">
        <f t="shared" si="15"/>
        <v>247-901</v>
      </c>
      <c r="C990" s="731">
        <v>0</v>
      </c>
    </row>
    <row r="991" spans="1:3" ht="14.5">
      <c r="A991" s="74" t="s">
        <v>3268</v>
      </c>
      <c r="B991" s="380" t="str">
        <f t="shared" si="15"/>
        <v>247-903</v>
      </c>
      <c r="C991" s="731">
        <v>0</v>
      </c>
    </row>
    <row r="992" spans="1:3" ht="14.5">
      <c r="A992" s="74" t="s">
        <v>3269</v>
      </c>
      <c r="B992" s="380" t="str">
        <f t="shared" si="15"/>
        <v>247-904</v>
      </c>
      <c r="C992" s="731">
        <v>0</v>
      </c>
    </row>
    <row r="993" spans="1:3" ht="14.5">
      <c r="A993" s="74" t="s">
        <v>3270</v>
      </c>
      <c r="B993" s="380" t="str">
        <f t="shared" si="15"/>
        <v>247-906</v>
      </c>
      <c r="C993" s="731">
        <v>0</v>
      </c>
    </row>
    <row r="994" spans="1:3" ht="14.5">
      <c r="A994" s="74" t="s">
        <v>5308</v>
      </c>
      <c r="B994" s="380" t="str">
        <f t="shared" si="15"/>
        <v>248-901</v>
      </c>
      <c r="C994" s="731">
        <v>0</v>
      </c>
    </row>
    <row r="995" spans="1:3" ht="14.5">
      <c r="A995" s="74" t="s">
        <v>5309</v>
      </c>
      <c r="B995" s="380" t="str">
        <f t="shared" si="15"/>
        <v>248-902</v>
      </c>
      <c r="C995" s="731">
        <v>2612166</v>
      </c>
    </row>
    <row r="996" spans="1:3" ht="14.5">
      <c r="A996" s="74" t="s">
        <v>3271</v>
      </c>
      <c r="B996" s="380" t="str">
        <f t="shared" si="15"/>
        <v>249-901</v>
      </c>
      <c r="C996" s="731">
        <v>0</v>
      </c>
    </row>
    <row r="997" spans="1:3" ht="14.5">
      <c r="A997" s="74" t="s">
        <v>5310</v>
      </c>
      <c r="B997" s="380" t="str">
        <f t="shared" si="15"/>
        <v>249-902</v>
      </c>
      <c r="C997" s="731">
        <v>0</v>
      </c>
    </row>
    <row r="998" spans="1:3" ht="14.5">
      <c r="A998" s="74" t="s">
        <v>5311</v>
      </c>
      <c r="B998" s="380" t="str">
        <f t="shared" si="15"/>
        <v>249-903</v>
      </c>
      <c r="C998" s="731">
        <v>0</v>
      </c>
    </row>
    <row r="999" spans="1:3" ht="14.5">
      <c r="A999" s="74" t="s">
        <v>5312</v>
      </c>
      <c r="B999" s="380" t="str">
        <f t="shared" si="15"/>
        <v>249-904</v>
      </c>
      <c r="C999" s="731">
        <v>0</v>
      </c>
    </row>
    <row r="1000" spans="1:3" ht="14.5">
      <c r="A1000" s="74" t="s">
        <v>5313</v>
      </c>
      <c r="B1000" s="380" t="str">
        <f t="shared" si="15"/>
        <v>249-905</v>
      </c>
      <c r="C1000" s="731">
        <v>0</v>
      </c>
    </row>
    <row r="1001" spans="1:3" ht="14.5">
      <c r="A1001" s="74" t="s">
        <v>3272</v>
      </c>
      <c r="B1001" s="380" t="str">
        <f t="shared" si="15"/>
        <v>249-906</v>
      </c>
      <c r="C1001" s="731">
        <v>0</v>
      </c>
    </row>
    <row r="1002" spans="1:3" ht="14.5">
      <c r="A1002" s="74" t="s">
        <v>3273</v>
      </c>
      <c r="B1002" s="380" t="str">
        <f t="shared" si="15"/>
        <v>249-908</v>
      </c>
      <c r="C1002" s="731">
        <v>0</v>
      </c>
    </row>
    <row r="1003" spans="1:3" ht="14.5">
      <c r="A1003" s="74" t="s">
        <v>5314</v>
      </c>
      <c r="B1003" s="380" t="str">
        <f t="shared" si="15"/>
        <v>250-902</v>
      </c>
      <c r="C1003" s="731">
        <v>0</v>
      </c>
    </row>
    <row r="1004" spans="1:3" ht="14.5">
      <c r="A1004" s="74" t="s">
        <v>5900</v>
      </c>
      <c r="B1004" s="380" t="str">
        <f t="shared" si="15"/>
        <v>250-903</v>
      </c>
      <c r="C1004" s="731">
        <v>0</v>
      </c>
    </row>
    <row r="1005" spans="1:3" ht="14.5">
      <c r="A1005" s="74" t="s">
        <v>5315</v>
      </c>
      <c r="B1005" s="380" t="str">
        <f t="shared" si="15"/>
        <v>250-904</v>
      </c>
      <c r="C1005" s="731">
        <v>0</v>
      </c>
    </row>
    <row r="1006" spans="1:3" ht="14.5">
      <c r="A1006" s="74" t="s">
        <v>5316</v>
      </c>
      <c r="B1006" s="380" t="str">
        <f t="shared" si="15"/>
        <v>250-905</v>
      </c>
      <c r="C1006" s="731">
        <v>0</v>
      </c>
    </row>
    <row r="1007" spans="1:3" ht="14.5">
      <c r="A1007" s="74" t="s">
        <v>5317</v>
      </c>
      <c r="B1007" s="380" t="str">
        <f t="shared" si="15"/>
        <v>250-906</v>
      </c>
      <c r="C1007" s="731">
        <v>0</v>
      </c>
    </row>
    <row r="1008" spans="1:3" ht="14.5">
      <c r="A1008" s="74" t="s">
        <v>5901</v>
      </c>
      <c r="B1008" s="380" t="str">
        <f t="shared" si="15"/>
        <v>250-907</v>
      </c>
      <c r="C1008" s="731">
        <v>0</v>
      </c>
    </row>
    <row r="1009" spans="1:3" ht="14.5">
      <c r="A1009" s="74" t="s">
        <v>5318</v>
      </c>
      <c r="B1009" s="380" t="str">
        <f t="shared" si="15"/>
        <v>251-901</v>
      </c>
      <c r="C1009" s="731">
        <v>979612</v>
      </c>
    </row>
    <row r="1010" spans="1:3" ht="14.5">
      <c r="A1010" s="74" t="s">
        <v>5319</v>
      </c>
      <c r="B1010" s="380" t="str">
        <f t="shared" si="15"/>
        <v>251-902</v>
      </c>
      <c r="C1010" s="731">
        <v>0</v>
      </c>
    </row>
    <row r="1011" spans="1:3" ht="14.5">
      <c r="A1011" s="74" t="s">
        <v>3274</v>
      </c>
      <c r="B1011" s="380" t="str">
        <f t="shared" si="15"/>
        <v>252-901</v>
      </c>
      <c r="C1011" s="731">
        <v>0</v>
      </c>
    </row>
    <row r="1012" spans="1:3" ht="14.5">
      <c r="A1012" s="74" t="s">
        <v>5320</v>
      </c>
      <c r="B1012" s="380" t="str">
        <f t="shared" si="15"/>
        <v>252-902</v>
      </c>
      <c r="C1012" s="731">
        <v>0</v>
      </c>
    </row>
    <row r="1013" spans="1:3" ht="14.5">
      <c r="A1013" s="74" t="s">
        <v>3275</v>
      </c>
      <c r="B1013" s="380" t="str">
        <f t="shared" si="15"/>
        <v>252-903</v>
      </c>
      <c r="C1013" s="731">
        <v>0</v>
      </c>
    </row>
    <row r="1014" spans="1:3" ht="14.5">
      <c r="A1014" s="74" t="s">
        <v>5902</v>
      </c>
      <c r="B1014" s="380" t="str">
        <f t="shared" si="15"/>
        <v>253-901</v>
      </c>
      <c r="C1014" s="731">
        <v>0</v>
      </c>
    </row>
    <row r="1015" spans="1:3" ht="14.5">
      <c r="A1015" s="74" t="s">
        <v>3276</v>
      </c>
      <c r="B1015" s="380" t="str">
        <f t="shared" si="15"/>
        <v>254-901</v>
      </c>
      <c r="C1015" s="731">
        <v>0</v>
      </c>
    </row>
    <row r="1016" spans="1:3" ht="14.5">
      <c r="A1016" s="74" t="s">
        <v>3277</v>
      </c>
      <c r="B1016" s="380" t="str">
        <f t="shared" si="15"/>
        <v>254-902</v>
      </c>
      <c r="C1016" s="731">
        <v>0</v>
      </c>
    </row>
  </sheetData>
  <sortState ref="A1:B1017">
    <sortCondition ref="A1:A1017"/>
  </sortState>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228"/>
  <sheetViews>
    <sheetView topLeftCell="A25" workbookViewId="0">
      <selection activeCell="B1" sqref="B1"/>
    </sheetView>
  </sheetViews>
  <sheetFormatPr defaultRowHeight="12.5"/>
  <sheetData>
    <row r="1" spans="1:4" ht="14.5">
      <c r="A1" t="s">
        <v>5748</v>
      </c>
      <c r="B1" s="1683" t="str">
        <f>CONCATENATE(LEFT(RIGHT(CONCATENATE("000",A1),6),3),"-",(RIGHT(RIGHT(CONCATENATE("000",A1),6),3)))</f>
        <v>001-902</v>
      </c>
      <c r="C1">
        <v>0</v>
      </c>
      <c r="D1">
        <f>C1*-1</f>
        <v>0</v>
      </c>
    </row>
    <row r="2" spans="1:4" ht="14.5">
      <c r="A2" t="s">
        <v>2849</v>
      </c>
      <c r="B2" s="1683" t="str">
        <f t="shared" ref="B2:B65" si="0">CONCATENATE(LEFT(RIGHT(CONCATENATE("000",A2),6),3),"-",(RIGHT(RIGHT(CONCATENATE("000",A2),6),3)))</f>
        <v>001-903</v>
      </c>
      <c r="C2">
        <v>0</v>
      </c>
      <c r="D2">
        <f t="shared" ref="D2:D65" si="1">C2*-1</f>
        <v>0</v>
      </c>
    </row>
    <row r="3" spans="1:4" ht="14.5">
      <c r="A3" t="s">
        <v>4918</v>
      </c>
      <c r="B3" s="1683" t="str">
        <f t="shared" si="0"/>
        <v>001-904</v>
      </c>
      <c r="C3">
        <v>0</v>
      </c>
      <c r="D3">
        <f t="shared" si="1"/>
        <v>0</v>
      </c>
    </row>
    <row r="4" spans="1:4" ht="14.5">
      <c r="A4" t="s">
        <v>4919</v>
      </c>
      <c r="B4" s="1683" t="str">
        <f t="shared" si="0"/>
        <v>001-906</v>
      </c>
      <c r="C4">
        <v>0</v>
      </c>
      <c r="D4">
        <f t="shared" si="1"/>
        <v>0</v>
      </c>
    </row>
    <row r="5" spans="1:4" ht="14.5">
      <c r="A5" t="s">
        <v>2850</v>
      </c>
      <c r="B5" s="1683" t="str">
        <f t="shared" si="0"/>
        <v>001-907</v>
      </c>
      <c r="C5">
        <v>0</v>
      </c>
      <c r="D5">
        <f t="shared" si="1"/>
        <v>0</v>
      </c>
    </row>
    <row r="6" spans="1:4" ht="14.5">
      <c r="A6" t="s">
        <v>5749</v>
      </c>
      <c r="B6" s="1683" t="str">
        <f t="shared" si="0"/>
        <v>001-908</v>
      </c>
      <c r="C6">
        <v>0</v>
      </c>
      <c r="D6">
        <f t="shared" si="1"/>
        <v>0</v>
      </c>
    </row>
    <row r="7" spans="1:4" ht="14.5">
      <c r="A7" t="s">
        <v>4920</v>
      </c>
      <c r="B7" s="1683" t="str">
        <f t="shared" si="0"/>
        <v>001-909</v>
      </c>
      <c r="C7">
        <v>0</v>
      </c>
      <c r="D7">
        <f t="shared" si="1"/>
        <v>0</v>
      </c>
    </row>
    <row r="8" spans="1:4" ht="14.5">
      <c r="A8" t="s">
        <v>4921</v>
      </c>
      <c r="B8" s="1683" t="str">
        <f t="shared" si="0"/>
        <v>002-901</v>
      </c>
      <c r="C8">
        <v>0</v>
      </c>
      <c r="D8">
        <f t="shared" si="1"/>
        <v>0</v>
      </c>
    </row>
    <row r="9" spans="1:4" ht="14.5">
      <c r="A9" t="s">
        <v>7918</v>
      </c>
      <c r="B9" s="1683" t="str">
        <f t="shared" si="0"/>
        <v>003-801</v>
      </c>
      <c r="C9">
        <v>0</v>
      </c>
      <c r="D9">
        <f t="shared" si="1"/>
        <v>0</v>
      </c>
    </row>
    <row r="10" spans="1:4" ht="14.5">
      <c r="A10" t="s">
        <v>2851</v>
      </c>
      <c r="B10" s="1683" t="str">
        <f t="shared" si="0"/>
        <v>003-902</v>
      </c>
      <c r="C10">
        <v>0</v>
      </c>
      <c r="D10">
        <f t="shared" si="1"/>
        <v>0</v>
      </c>
    </row>
    <row r="11" spans="1:4" ht="14.5">
      <c r="A11" t="s">
        <v>4922</v>
      </c>
      <c r="B11" s="1683" t="str">
        <f t="shared" si="0"/>
        <v>003-903</v>
      </c>
      <c r="C11">
        <v>0</v>
      </c>
      <c r="D11">
        <f t="shared" si="1"/>
        <v>0</v>
      </c>
    </row>
    <row r="12" spans="1:4" ht="14.5">
      <c r="A12" t="s">
        <v>2852</v>
      </c>
      <c r="B12" s="1683" t="str">
        <f t="shared" si="0"/>
        <v>003-904</v>
      </c>
      <c r="C12">
        <v>0</v>
      </c>
      <c r="D12">
        <f t="shared" si="1"/>
        <v>0</v>
      </c>
    </row>
    <row r="13" spans="1:4" ht="14.5">
      <c r="A13" t="s">
        <v>2853</v>
      </c>
      <c r="B13" s="1683" t="str">
        <f t="shared" si="0"/>
        <v>003-905</v>
      </c>
      <c r="C13">
        <v>0</v>
      </c>
      <c r="D13">
        <f t="shared" si="1"/>
        <v>0</v>
      </c>
    </row>
    <row r="14" spans="1:4" ht="14.5">
      <c r="A14" t="s">
        <v>4923</v>
      </c>
      <c r="B14" s="1683" t="str">
        <f t="shared" si="0"/>
        <v>003-906</v>
      </c>
      <c r="C14">
        <v>0</v>
      </c>
      <c r="D14">
        <f t="shared" si="1"/>
        <v>0</v>
      </c>
    </row>
    <row r="15" spans="1:4" ht="14.5">
      <c r="A15" t="s">
        <v>2854</v>
      </c>
      <c r="B15" s="1683" t="str">
        <f t="shared" si="0"/>
        <v>003-907</v>
      </c>
      <c r="C15">
        <v>0</v>
      </c>
      <c r="D15">
        <f t="shared" si="1"/>
        <v>0</v>
      </c>
    </row>
    <row r="16" spans="1:4" ht="14.5">
      <c r="A16" t="s">
        <v>4924</v>
      </c>
      <c r="B16" s="1683" t="str">
        <f t="shared" si="0"/>
        <v>004-901</v>
      </c>
      <c r="C16">
        <v>0</v>
      </c>
      <c r="D16">
        <f t="shared" si="1"/>
        <v>0</v>
      </c>
    </row>
    <row r="17" spans="1:4" ht="14.5">
      <c r="A17" t="s">
        <v>4925</v>
      </c>
      <c r="B17" s="1683" t="str">
        <f t="shared" si="0"/>
        <v>005-901</v>
      </c>
      <c r="C17">
        <v>0</v>
      </c>
      <c r="D17">
        <f t="shared" si="1"/>
        <v>0</v>
      </c>
    </row>
    <row r="18" spans="1:4" ht="14.5">
      <c r="A18" t="s">
        <v>4926</v>
      </c>
      <c r="B18" s="1683" t="str">
        <f t="shared" si="0"/>
        <v>005-902</v>
      </c>
      <c r="C18">
        <v>0</v>
      </c>
      <c r="D18">
        <f t="shared" si="1"/>
        <v>0</v>
      </c>
    </row>
    <row r="19" spans="1:4" ht="14.5">
      <c r="A19" t="s">
        <v>2855</v>
      </c>
      <c r="B19" s="1683" t="str">
        <f t="shared" si="0"/>
        <v>005-904</v>
      </c>
      <c r="C19">
        <v>0</v>
      </c>
      <c r="D19">
        <f t="shared" si="1"/>
        <v>0</v>
      </c>
    </row>
    <row r="20" spans="1:4" ht="14.5">
      <c r="A20" t="s">
        <v>4927</v>
      </c>
      <c r="B20" s="1683" t="str">
        <f t="shared" si="0"/>
        <v>006-902</v>
      </c>
      <c r="C20">
        <v>0</v>
      </c>
      <c r="D20">
        <f t="shared" si="1"/>
        <v>0</v>
      </c>
    </row>
    <row r="21" spans="1:4" ht="14.5">
      <c r="A21" t="s">
        <v>2856</v>
      </c>
      <c r="B21" s="1683" t="str">
        <f t="shared" si="0"/>
        <v>007-901</v>
      </c>
      <c r="C21">
        <v>0</v>
      </c>
      <c r="D21">
        <f t="shared" si="1"/>
        <v>0</v>
      </c>
    </row>
    <row r="22" spans="1:4" ht="14.5">
      <c r="A22" t="s">
        <v>5750</v>
      </c>
      <c r="B22" s="1683" t="str">
        <f t="shared" si="0"/>
        <v>007-902</v>
      </c>
      <c r="C22">
        <v>0</v>
      </c>
      <c r="D22">
        <f t="shared" si="1"/>
        <v>0</v>
      </c>
    </row>
    <row r="23" spans="1:4" ht="14.5">
      <c r="A23" t="s">
        <v>2857</v>
      </c>
      <c r="B23" s="1683" t="str">
        <f t="shared" si="0"/>
        <v>007-904</v>
      </c>
      <c r="C23">
        <v>0</v>
      </c>
      <c r="D23">
        <f t="shared" si="1"/>
        <v>0</v>
      </c>
    </row>
    <row r="24" spans="1:4" ht="14.5">
      <c r="A24" t="s">
        <v>2858</v>
      </c>
      <c r="B24" s="1683" t="str">
        <f t="shared" si="0"/>
        <v>007-905</v>
      </c>
      <c r="C24">
        <v>0</v>
      </c>
      <c r="D24">
        <f t="shared" si="1"/>
        <v>0</v>
      </c>
    </row>
    <row r="25" spans="1:4" ht="14.5">
      <c r="A25" t="s">
        <v>2859</v>
      </c>
      <c r="B25" s="1683" t="str">
        <f t="shared" si="0"/>
        <v>007-906</v>
      </c>
      <c r="C25">
        <v>0</v>
      </c>
      <c r="D25">
        <f t="shared" si="1"/>
        <v>0</v>
      </c>
    </row>
    <row r="26" spans="1:4" ht="14.5">
      <c r="A26" t="s">
        <v>4928</v>
      </c>
      <c r="B26" s="1683" t="str">
        <f t="shared" si="0"/>
        <v>008-901</v>
      </c>
      <c r="C26">
        <v>0</v>
      </c>
      <c r="D26">
        <f t="shared" si="1"/>
        <v>0</v>
      </c>
    </row>
    <row r="27" spans="1:4" ht="14.5">
      <c r="A27" t="s">
        <v>4929</v>
      </c>
      <c r="B27" s="1683" t="str">
        <f t="shared" si="0"/>
        <v>008-902</v>
      </c>
      <c r="C27">
        <v>-7.0000000000000104E-2</v>
      </c>
      <c r="D27">
        <f t="shared" si="1"/>
        <v>7.0000000000000104E-2</v>
      </c>
    </row>
    <row r="28" spans="1:4" ht="14.5">
      <c r="A28" t="s">
        <v>4930</v>
      </c>
      <c r="B28" s="1683" t="str">
        <f t="shared" si="0"/>
        <v>008-903</v>
      </c>
      <c r="C28">
        <v>0</v>
      </c>
      <c r="D28">
        <f t="shared" si="1"/>
        <v>0</v>
      </c>
    </row>
    <row r="29" spans="1:4" ht="14.5">
      <c r="A29" t="s">
        <v>2860</v>
      </c>
      <c r="B29" s="1683" t="str">
        <f t="shared" si="0"/>
        <v>009-901</v>
      </c>
      <c r="C29">
        <v>0</v>
      </c>
      <c r="D29">
        <f t="shared" si="1"/>
        <v>0</v>
      </c>
    </row>
    <row r="30" spans="1:4" ht="14.5">
      <c r="A30" t="s">
        <v>5751</v>
      </c>
      <c r="B30" s="1683" t="str">
        <f t="shared" si="0"/>
        <v>010-901</v>
      </c>
      <c r="C30">
        <v>0</v>
      </c>
      <c r="D30">
        <f t="shared" si="1"/>
        <v>0</v>
      </c>
    </row>
    <row r="31" spans="1:4" ht="14.5">
      <c r="A31" t="s">
        <v>2861</v>
      </c>
      <c r="B31" s="1683" t="str">
        <f t="shared" si="0"/>
        <v>010-902</v>
      </c>
      <c r="C31">
        <v>0</v>
      </c>
      <c r="D31">
        <f t="shared" si="1"/>
        <v>0</v>
      </c>
    </row>
    <row r="32" spans="1:4" ht="14.5">
      <c r="A32" t="s">
        <v>2862</v>
      </c>
      <c r="B32" s="1683" t="str">
        <f t="shared" si="0"/>
        <v>011-901</v>
      </c>
      <c r="C32">
        <v>0</v>
      </c>
      <c r="D32">
        <f t="shared" si="1"/>
        <v>0</v>
      </c>
    </row>
    <row r="33" spans="1:4" ht="14.5">
      <c r="A33" t="s">
        <v>2863</v>
      </c>
      <c r="B33" s="1683" t="str">
        <f t="shared" si="0"/>
        <v>011-902</v>
      </c>
      <c r="C33">
        <v>0</v>
      </c>
      <c r="D33">
        <f t="shared" si="1"/>
        <v>0</v>
      </c>
    </row>
    <row r="34" spans="1:4" ht="14.5">
      <c r="A34" t="s">
        <v>2864</v>
      </c>
      <c r="B34" s="1683" t="str">
        <f t="shared" si="0"/>
        <v>011-904</v>
      </c>
      <c r="C34">
        <v>0</v>
      </c>
      <c r="D34">
        <f t="shared" si="1"/>
        <v>0</v>
      </c>
    </row>
    <row r="35" spans="1:4" ht="14.5">
      <c r="A35" t="s">
        <v>2865</v>
      </c>
      <c r="B35" s="1683" t="str">
        <f t="shared" si="0"/>
        <v>011-905</v>
      </c>
      <c r="C35">
        <v>0</v>
      </c>
      <c r="D35">
        <f t="shared" si="1"/>
        <v>0</v>
      </c>
    </row>
    <row r="36" spans="1:4" ht="14.5">
      <c r="A36" t="s">
        <v>5752</v>
      </c>
      <c r="B36" s="1683" t="str">
        <f t="shared" si="0"/>
        <v>012-901</v>
      </c>
      <c r="C36">
        <v>0</v>
      </c>
      <c r="D36">
        <f t="shared" si="1"/>
        <v>0</v>
      </c>
    </row>
    <row r="37" spans="1:4" ht="14.5">
      <c r="A37" t="s">
        <v>7919</v>
      </c>
      <c r="B37" s="1683" t="str">
        <f t="shared" si="0"/>
        <v>013-801</v>
      </c>
      <c r="C37">
        <v>0</v>
      </c>
      <c r="D37">
        <f t="shared" si="1"/>
        <v>0</v>
      </c>
    </row>
    <row r="38" spans="1:4" ht="14.5">
      <c r="A38" t="s">
        <v>2866</v>
      </c>
      <c r="B38" s="1683" t="str">
        <f t="shared" si="0"/>
        <v>013-901</v>
      </c>
      <c r="C38">
        <v>0</v>
      </c>
      <c r="D38">
        <f t="shared" si="1"/>
        <v>0</v>
      </c>
    </row>
    <row r="39" spans="1:4" ht="14.5">
      <c r="A39" t="s">
        <v>4931</v>
      </c>
      <c r="B39" s="1683" t="str">
        <f t="shared" si="0"/>
        <v>013-902</v>
      </c>
      <c r="C39">
        <v>0</v>
      </c>
      <c r="D39">
        <f t="shared" si="1"/>
        <v>0</v>
      </c>
    </row>
    <row r="40" spans="1:4" ht="14.5">
      <c r="A40" t="s">
        <v>4932</v>
      </c>
      <c r="B40" s="1683" t="str">
        <f t="shared" si="0"/>
        <v>013-903</v>
      </c>
      <c r="C40">
        <v>0</v>
      </c>
      <c r="D40">
        <f t="shared" si="1"/>
        <v>0</v>
      </c>
    </row>
    <row r="41" spans="1:4" ht="14.5">
      <c r="A41" t="s">
        <v>2867</v>
      </c>
      <c r="B41" s="1683" t="str">
        <f t="shared" si="0"/>
        <v>013-905</v>
      </c>
      <c r="C41">
        <v>0</v>
      </c>
      <c r="D41">
        <f t="shared" si="1"/>
        <v>0</v>
      </c>
    </row>
    <row r="42" spans="1:4" ht="14.5">
      <c r="A42" t="s">
        <v>7920</v>
      </c>
      <c r="B42" s="1683" t="str">
        <f t="shared" si="0"/>
        <v>014-801</v>
      </c>
      <c r="C42">
        <v>0</v>
      </c>
      <c r="D42">
        <f t="shared" si="1"/>
        <v>0</v>
      </c>
    </row>
    <row r="43" spans="1:4" ht="14.5">
      <c r="A43" t="s">
        <v>7921</v>
      </c>
      <c r="B43" s="1683" t="str">
        <f t="shared" si="0"/>
        <v>014-803</v>
      </c>
      <c r="C43">
        <v>0</v>
      </c>
      <c r="D43">
        <f t="shared" si="1"/>
        <v>0</v>
      </c>
    </row>
    <row r="44" spans="1:4" ht="14.5">
      <c r="A44" t="s">
        <v>7922</v>
      </c>
      <c r="B44" s="1683" t="str">
        <f t="shared" si="0"/>
        <v>014-804</v>
      </c>
      <c r="C44">
        <v>0</v>
      </c>
      <c r="D44">
        <f t="shared" si="1"/>
        <v>0</v>
      </c>
    </row>
    <row r="45" spans="1:4" ht="14.5">
      <c r="A45" t="s">
        <v>4933</v>
      </c>
      <c r="B45" s="1683" t="str">
        <f t="shared" si="0"/>
        <v>014-901</v>
      </c>
      <c r="C45">
        <v>0</v>
      </c>
      <c r="D45">
        <f t="shared" si="1"/>
        <v>0</v>
      </c>
    </row>
    <row r="46" spans="1:4" ht="14.5">
      <c r="A46" t="s">
        <v>2868</v>
      </c>
      <c r="B46" s="1683" t="str">
        <f t="shared" si="0"/>
        <v>014-902</v>
      </c>
      <c r="C46">
        <v>0</v>
      </c>
      <c r="D46">
        <f t="shared" si="1"/>
        <v>0</v>
      </c>
    </row>
    <row r="47" spans="1:4" ht="14.5">
      <c r="A47" t="s">
        <v>2869</v>
      </c>
      <c r="B47" s="1683" t="str">
        <f t="shared" si="0"/>
        <v>014-903</v>
      </c>
      <c r="C47">
        <v>0</v>
      </c>
      <c r="D47">
        <f t="shared" si="1"/>
        <v>0</v>
      </c>
    </row>
    <row r="48" spans="1:4" ht="14.5">
      <c r="A48" t="s">
        <v>2870</v>
      </c>
      <c r="B48" s="1683" t="str">
        <f t="shared" si="0"/>
        <v>014-905</v>
      </c>
      <c r="C48">
        <v>0</v>
      </c>
      <c r="D48">
        <f t="shared" si="1"/>
        <v>0</v>
      </c>
    </row>
    <row r="49" spans="1:4" ht="14.5">
      <c r="A49" t="s">
        <v>2871</v>
      </c>
      <c r="B49" s="1683" t="str">
        <f t="shared" si="0"/>
        <v>014-906</v>
      </c>
      <c r="C49">
        <v>0</v>
      </c>
      <c r="D49">
        <f t="shared" si="1"/>
        <v>0</v>
      </c>
    </row>
    <row r="50" spans="1:4" ht="14.5">
      <c r="A50" t="s">
        <v>2872</v>
      </c>
      <c r="B50" s="1683" t="str">
        <f t="shared" si="0"/>
        <v>014-907</v>
      </c>
      <c r="C50">
        <v>0</v>
      </c>
      <c r="D50">
        <f t="shared" si="1"/>
        <v>0</v>
      </c>
    </row>
    <row r="51" spans="1:4" ht="14.5">
      <c r="A51" t="s">
        <v>2873</v>
      </c>
      <c r="B51" s="1683" t="str">
        <f t="shared" si="0"/>
        <v>014-908</v>
      </c>
      <c r="C51">
        <v>0</v>
      </c>
      <c r="D51">
        <f t="shared" si="1"/>
        <v>0</v>
      </c>
    </row>
    <row r="52" spans="1:4" ht="14.5">
      <c r="A52" t="s">
        <v>2874</v>
      </c>
      <c r="B52" s="1683" t="str">
        <f t="shared" si="0"/>
        <v>014-909</v>
      </c>
      <c r="C52">
        <v>0</v>
      </c>
      <c r="D52">
        <f t="shared" si="1"/>
        <v>0</v>
      </c>
    </row>
    <row r="53" spans="1:4" ht="14.5">
      <c r="A53" t="s">
        <v>2875</v>
      </c>
      <c r="B53" s="1683" t="str">
        <f t="shared" si="0"/>
        <v>014-910</v>
      </c>
      <c r="C53">
        <v>0</v>
      </c>
      <c r="D53">
        <f t="shared" si="1"/>
        <v>0</v>
      </c>
    </row>
    <row r="54" spans="1:4" ht="14.5">
      <c r="A54" t="s">
        <v>7923</v>
      </c>
      <c r="B54" s="1683" t="str">
        <f t="shared" si="0"/>
        <v>015-801</v>
      </c>
      <c r="C54">
        <v>0</v>
      </c>
      <c r="D54">
        <f t="shared" si="1"/>
        <v>0</v>
      </c>
    </row>
    <row r="55" spans="1:4" ht="14.5">
      <c r="A55" t="s">
        <v>7924</v>
      </c>
      <c r="B55" s="1683" t="str">
        <f t="shared" si="0"/>
        <v>015-802</v>
      </c>
      <c r="C55">
        <v>0</v>
      </c>
      <c r="D55">
        <f t="shared" si="1"/>
        <v>0</v>
      </c>
    </row>
    <row r="56" spans="1:4" ht="14.5">
      <c r="A56" t="s">
        <v>7925</v>
      </c>
      <c r="B56" s="1683" t="str">
        <f t="shared" si="0"/>
        <v>015-805</v>
      </c>
      <c r="C56">
        <v>0</v>
      </c>
      <c r="D56">
        <f t="shared" si="1"/>
        <v>0</v>
      </c>
    </row>
    <row r="57" spans="1:4" ht="14.5">
      <c r="A57" t="s">
        <v>7926</v>
      </c>
      <c r="B57" s="1683" t="str">
        <f t="shared" si="0"/>
        <v>015-806</v>
      </c>
      <c r="C57">
        <v>0</v>
      </c>
      <c r="D57">
        <f t="shared" si="1"/>
        <v>0</v>
      </c>
    </row>
    <row r="58" spans="1:4" ht="14.5">
      <c r="A58" t="s">
        <v>7927</v>
      </c>
      <c r="B58" s="1683" t="str">
        <f t="shared" si="0"/>
        <v>015-807</v>
      </c>
      <c r="C58">
        <v>0</v>
      </c>
      <c r="D58">
        <f t="shared" si="1"/>
        <v>0</v>
      </c>
    </row>
    <row r="59" spans="1:4" ht="14.5">
      <c r="A59" t="s">
        <v>7928</v>
      </c>
      <c r="B59" s="1683" t="str">
        <f t="shared" si="0"/>
        <v>015-808</v>
      </c>
      <c r="C59">
        <v>0</v>
      </c>
      <c r="D59">
        <f t="shared" si="1"/>
        <v>0</v>
      </c>
    </row>
    <row r="60" spans="1:4" ht="14.5">
      <c r="A60" t="s">
        <v>7929</v>
      </c>
      <c r="B60" s="1683" t="str">
        <f t="shared" si="0"/>
        <v>015-809</v>
      </c>
      <c r="C60">
        <v>0</v>
      </c>
      <c r="D60">
        <f t="shared" si="1"/>
        <v>0</v>
      </c>
    </row>
    <row r="61" spans="1:4" ht="14.5">
      <c r="A61" t="s">
        <v>7930</v>
      </c>
      <c r="B61" s="1683" t="str">
        <f t="shared" si="0"/>
        <v>015-814</v>
      </c>
      <c r="C61">
        <v>0</v>
      </c>
      <c r="D61">
        <f t="shared" si="1"/>
        <v>0</v>
      </c>
    </row>
    <row r="62" spans="1:4" ht="14.5">
      <c r="A62" t="s">
        <v>7931</v>
      </c>
      <c r="B62" s="1683" t="str">
        <f t="shared" si="0"/>
        <v>015-815</v>
      </c>
      <c r="C62">
        <v>0</v>
      </c>
      <c r="D62">
        <f t="shared" si="1"/>
        <v>0</v>
      </c>
    </row>
    <row r="63" spans="1:4" ht="14.5">
      <c r="A63" t="s">
        <v>7932</v>
      </c>
      <c r="B63" s="1683" t="str">
        <f t="shared" si="0"/>
        <v>015-822</v>
      </c>
      <c r="C63">
        <v>0</v>
      </c>
      <c r="D63">
        <f t="shared" si="1"/>
        <v>0</v>
      </c>
    </row>
    <row r="64" spans="1:4" ht="14.5">
      <c r="A64" t="s">
        <v>7933</v>
      </c>
      <c r="B64" s="1683" t="str">
        <f t="shared" si="0"/>
        <v>015-825</v>
      </c>
      <c r="C64">
        <v>0</v>
      </c>
      <c r="D64">
        <f t="shared" si="1"/>
        <v>0</v>
      </c>
    </row>
    <row r="65" spans="1:4" ht="14.5">
      <c r="A65" t="s">
        <v>7934</v>
      </c>
      <c r="B65" s="1683" t="str">
        <f t="shared" si="0"/>
        <v>015-827</v>
      </c>
      <c r="C65">
        <v>0</v>
      </c>
      <c r="D65">
        <f t="shared" si="1"/>
        <v>0</v>
      </c>
    </row>
    <row r="66" spans="1:4" ht="14.5">
      <c r="A66" t="s">
        <v>7935</v>
      </c>
      <c r="B66" s="1683" t="str">
        <f t="shared" ref="B66:B129" si="2">CONCATENATE(LEFT(RIGHT(CONCATENATE("000",A66),6),3),"-",(RIGHT(RIGHT(CONCATENATE("000",A66),6),3)))</f>
        <v>015-828</v>
      </c>
      <c r="C66">
        <v>0</v>
      </c>
      <c r="D66">
        <f t="shared" ref="D66:D128" si="3">C66*-1</f>
        <v>0</v>
      </c>
    </row>
    <row r="67" spans="1:4" ht="14.5">
      <c r="A67" t="s">
        <v>7936</v>
      </c>
      <c r="B67" s="1683" t="str">
        <f t="shared" si="2"/>
        <v>015-830</v>
      </c>
      <c r="C67">
        <v>0</v>
      </c>
      <c r="D67">
        <f t="shared" si="3"/>
        <v>0</v>
      </c>
    </row>
    <row r="68" spans="1:4" ht="14.5">
      <c r="A68" t="s">
        <v>7937</v>
      </c>
      <c r="B68" s="1683" t="str">
        <f t="shared" si="2"/>
        <v>015-831</v>
      </c>
      <c r="C68">
        <v>0</v>
      </c>
      <c r="D68">
        <f t="shared" si="3"/>
        <v>0</v>
      </c>
    </row>
    <row r="69" spans="1:4" ht="14.5">
      <c r="A69" t="s">
        <v>7938</v>
      </c>
      <c r="B69" s="1683" t="str">
        <f t="shared" si="2"/>
        <v>015-833</v>
      </c>
      <c r="C69">
        <v>0</v>
      </c>
      <c r="D69">
        <f t="shared" si="3"/>
        <v>0</v>
      </c>
    </row>
    <row r="70" spans="1:4" ht="14.5">
      <c r="A70" t="s">
        <v>7939</v>
      </c>
      <c r="B70" s="1683" t="str">
        <f t="shared" si="2"/>
        <v>015-834</v>
      </c>
      <c r="C70">
        <v>0</v>
      </c>
      <c r="D70">
        <f t="shared" si="3"/>
        <v>0</v>
      </c>
    </row>
    <row r="71" spans="1:4" ht="14.5">
      <c r="A71" t="s">
        <v>7940</v>
      </c>
      <c r="B71" s="1683" t="str">
        <f t="shared" si="2"/>
        <v>015-835</v>
      </c>
      <c r="C71">
        <v>0</v>
      </c>
      <c r="D71">
        <f t="shared" si="3"/>
        <v>0</v>
      </c>
    </row>
    <row r="72" spans="1:4" ht="14.5">
      <c r="A72" t="s">
        <v>7941</v>
      </c>
      <c r="B72" s="1683" t="str">
        <f t="shared" si="2"/>
        <v>015-836</v>
      </c>
      <c r="C72">
        <v>0</v>
      </c>
      <c r="D72">
        <f t="shared" si="3"/>
        <v>0</v>
      </c>
    </row>
    <row r="73" spans="1:4" ht="14.5">
      <c r="A73" t="s">
        <v>7942</v>
      </c>
      <c r="B73" s="1683" t="str">
        <f t="shared" si="2"/>
        <v>015-838</v>
      </c>
      <c r="C73">
        <v>0</v>
      </c>
      <c r="D73">
        <f t="shared" si="3"/>
        <v>0</v>
      </c>
    </row>
    <row r="74" spans="1:4" ht="14.5">
      <c r="A74" t="s">
        <v>4934</v>
      </c>
      <c r="B74" s="1683" t="str">
        <f t="shared" si="2"/>
        <v>015-901</v>
      </c>
      <c r="C74">
        <v>0</v>
      </c>
      <c r="D74">
        <f t="shared" si="3"/>
        <v>0</v>
      </c>
    </row>
    <row r="75" spans="1:4" ht="14.5">
      <c r="A75" t="s">
        <v>2876</v>
      </c>
      <c r="B75" s="1683" t="str">
        <f t="shared" si="2"/>
        <v>015-904</v>
      </c>
      <c r="C75">
        <v>0</v>
      </c>
      <c r="D75">
        <f t="shared" si="3"/>
        <v>0</v>
      </c>
    </row>
    <row r="76" spans="1:4" ht="14.5">
      <c r="A76" t="s">
        <v>2877</v>
      </c>
      <c r="B76" s="1683" t="str">
        <f t="shared" si="2"/>
        <v>015-905</v>
      </c>
      <c r="C76">
        <v>0</v>
      </c>
      <c r="D76">
        <f t="shared" si="3"/>
        <v>0</v>
      </c>
    </row>
    <row r="77" spans="1:4" ht="14.5">
      <c r="A77" t="s">
        <v>7351</v>
      </c>
      <c r="B77" s="1683" t="str">
        <f t="shared" si="2"/>
        <v>015-906</v>
      </c>
      <c r="C77">
        <v>0</v>
      </c>
      <c r="D77">
        <f t="shared" si="3"/>
        <v>0</v>
      </c>
    </row>
    <row r="78" spans="1:4" ht="14.5">
      <c r="A78" t="s">
        <v>2878</v>
      </c>
      <c r="B78" s="1683" t="str">
        <f t="shared" si="2"/>
        <v>015-907</v>
      </c>
      <c r="C78">
        <v>0</v>
      </c>
      <c r="D78">
        <f t="shared" si="3"/>
        <v>0</v>
      </c>
    </row>
    <row r="79" spans="1:4" ht="14.5">
      <c r="A79" t="s">
        <v>2879</v>
      </c>
      <c r="B79" s="1683" t="str">
        <f t="shared" si="2"/>
        <v>015-908</v>
      </c>
      <c r="C79">
        <v>0</v>
      </c>
      <c r="D79">
        <f t="shared" si="3"/>
        <v>0</v>
      </c>
    </row>
    <row r="80" spans="1:4" ht="14.5">
      <c r="A80" t="s">
        <v>2880</v>
      </c>
      <c r="B80" s="1683" t="str">
        <f t="shared" si="2"/>
        <v>015-909</v>
      </c>
      <c r="C80">
        <v>0</v>
      </c>
      <c r="D80">
        <f t="shared" si="3"/>
        <v>0</v>
      </c>
    </row>
    <row r="81" spans="1:4" ht="14.5">
      <c r="A81" t="s">
        <v>2881</v>
      </c>
      <c r="B81" s="1683" t="str">
        <f t="shared" si="2"/>
        <v>015-910</v>
      </c>
      <c r="C81">
        <v>0</v>
      </c>
      <c r="D81">
        <f t="shared" si="3"/>
        <v>0</v>
      </c>
    </row>
    <row r="82" spans="1:4" ht="14.5">
      <c r="A82" t="s">
        <v>2882</v>
      </c>
      <c r="B82" s="1683" t="str">
        <f t="shared" si="2"/>
        <v>015-911</v>
      </c>
      <c r="C82">
        <v>0</v>
      </c>
      <c r="D82">
        <f t="shared" si="3"/>
        <v>0</v>
      </c>
    </row>
    <row r="83" spans="1:4" ht="14.5">
      <c r="A83" t="s">
        <v>2883</v>
      </c>
      <c r="B83" s="1683" t="str">
        <f t="shared" si="2"/>
        <v>015-912</v>
      </c>
      <c r="C83">
        <v>0</v>
      </c>
      <c r="D83">
        <f t="shared" si="3"/>
        <v>0</v>
      </c>
    </row>
    <row r="84" spans="1:4" ht="14.5">
      <c r="A84" t="s">
        <v>7352</v>
      </c>
      <c r="B84" s="1683" t="str">
        <f t="shared" si="2"/>
        <v>015-913</v>
      </c>
      <c r="C84">
        <v>0</v>
      </c>
      <c r="D84">
        <f t="shared" si="3"/>
        <v>0</v>
      </c>
    </row>
    <row r="85" spans="1:4" ht="14.5">
      <c r="A85" t="s">
        <v>7353</v>
      </c>
      <c r="B85" s="1683" t="str">
        <f t="shared" si="2"/>
        <v>015-914</v>
      </c>
      <c r="C85">
        <v>0</v>
      </c>
      <c r="D85">
        <f t="shared" si="3"/>
        <v>0</v>
      </c>
    </row>
    <row r="86" spans="1:4" ht="14.5">
      <c r="A86" t="s">
        <v>2884</v>
      </c>
      <c r="B86" s="1683" t="str">
        <f t="shared" si="2"/>
        <v>015-915</v>
      </c>
      <c r="C86">
        <v>0</v>
      </c>
      <c r="D86">
        <f t="shared" si="3"/>
        <v>0</v>
      </c>
    </row>
    <row r="87" spans="1:4" ht="14.5">
      <c r="A87" t="s">
        <v>2885</v>
      </c>
      <c r="B87" s="1683" t="str">
        <f t="shared" si="2"/>
        <v>015-916</v>
      </c>
      <c r="C87">
        <v>0</v>
      </c>
      <c r="D87">
        <f t="shared" si="3"/>
        <v>0</v>
      </c>
    </row>
    <row r="88" spans="1:4" ht="14.5">
      <c r="A88" t="s">
        <v>2886</v>
      </c>
      <c r="B88" s="1683" t="str">
        <f t="shared" si="2"/>
        <v>015-917</v>
      </c>
      <c r="C88">
        <v>0</v>
      </c>
      <c r="D88">
        <f t="shared" si="3"/>
        <v>0</v>
      </c>
    </row>
    <row r="89" spans="1:4" ht="14.5">
      <c r="A89" t="s">
        <v>8502</v>
      </c>
      <c r="B89" s="1683" t="str">
        <f t="shared" si="2"/>
        <v>015-950</v>
      </c>
      <c r="C89">
        <v>0</v>
      </c>
      <c r="D89">
        <f t="shared" si="3"/>
        <v>0</v>
      </c>
    </row>
    <row r="90" spans="1:4" ht="14.5">
      <c r="A90" t="s">
        <v>4935</v>
      </c>
      <c r="B90" s="1683" t="str">
        <f t="shared" si="2"/>
        <v>016-901</v>
      </c>
      <c r="C90">
        <v>0</v>
      </c>
      <c r="D90">
        <f t="shared" si="3"/>
        <v>0</v>
      </c>
    </row>
    <row r="91" spans="1:4" ht="14.5">
      <c r="A91" t="s">
        <v>2887</v>
      </c>
      <c r="B91" s="1683" t="str">
        <f t="shared" si="2"/>
        <v>016-902</v>
      </c>
      <c r="C91">
        <v>0</v>
      </c>
      <c r="D91">
        <f t="shared" si="3"/>
        <v>0</v>
      </c>
    </row>
    <row r="92" spans="1:4" ht="14.5">
      <c r="A92" t="s">
        <v>4936</v>
      </c>
      <c r="B92" s="1683" t="str">
        <f t="shared" si="2"/>
        <v>017-901</v>
      </c>
      <c r="C92">
        <v>0</v>
      </c>
      <c r="D92">
        <f t="shared" si="3"/>
        <v>0</v>
      </c>
    </row>
    <row r="93" spans="1:4" ht="14.5">
      <c r="A93" t="s">
        <v>2888</v>
      </c>
      <c r="B93" s="1683" t="str">
        <f t="shared" si="2"/>
        <v>018-901</v>
      </c>
      <c r="C93">
        <v>0</v>
      </c>
      <c r="D93">
        <f t="shared" si="3"/>
        <v>0</v>
      </c>
    </row>
    <row r="94" spans="1:4" ht="14.5">
      <c r="A94" t="s">
        <v>2889</v>
      </c>
      <c r="B94" s="1683" t="str">
        <f t="shared" si="2"/>
        <v>018-902</v>
      </c>
      <c r="C94">
        <v>0</v>
      </c>
      <c r="D94">
        <f t="shared" si="3"/>
        <v>0</v>
      </c>
    </row>
    <row r="95" spans="1:4" ht="14.5">
      <c r="A95" t="s">
        <v>5753</v>
      </c>
      <c r="B95" s="1683" t="str">
        <f t="shared" si="2"/>
        <v>018-903</v>
      </c>
      <c r="C95">
        <v>0</v>
      </c>
      <c r="D95">
        <f t="shared" si="3"/>
        <v>0</v>
      </c>
    </row>
    <row r="96" spans="1:4" ht="14.5">
      <c r="A96" t="s">
        <v>2890</v>
      </c>
      <c r="B96" s="1683" t="str">
        <f t="shared" si="2"/>
        <v>018-904</v>
      </c>
      <c r="C96">
        <v>0</v>
      </c>
      <c r="D96">
        <f t="shared" si="3"/>
        <v>0</v>
      </c>
    </row>
    <row r="97" spans="1:4" ht="14.5">
      <c r="A97" t="s">
        <v>3522</v>
      </c>
      <c r="B97" s="1683" t="str">
        <f t="shared" si="2"/>
        <v>018-905</v>
      </c>
      <c r="C97">
        <v>0</v>
      </c>
      <c r="D97">
        <f t="shared" si="3"/>
        <v>0</v>
      </c>
    </row>
    <row r="98" spans="1:4" ht="14.5">
      <c r="A98" t="s">
        <v>4937</v>
      </c>
      <c r="B98" s="1683" t="str">
        <f t="shared" si="2"/>
        <v>018-906</v>
      </c>
      <c r="C98">
        <v>0</v>
      </c>
      <c r="D98">
        <f t="shared" si="3"/>
        <v>0</v>
      </c>
    </row>
    <row r="99" spans="1:4" ht="14.5">
      <c r="A99" t="s">
        <v>4938</v>
      </c>
      <c r="B99" s="1683" t="str">
        <f t="shared" si="2"/>
        <v>018-907</v>
      </c>
      <c r="C99">
        <v>0</v>
      </c>
      <c r="D99">
        <f t="shared" si="3"/>
        <v>0</v>
      </c>
    </row>
    <row r="100" spans="1:4" ht="14.5">
      <c r="A100" t="s">
        <v>5754</v>
      </c>
      <c r="B100" s="1683" t="str">
        <f t="shared" si="2"/>
        <v>018-908</v>
      </c>
      <c r="C100">
        <v>0</v>
      </c>
      <c r="D100">
        <f t="shared" si="3"/>
        <v>0</v>
      </c>
    </row>
    <row r="101" spans="1:4" ht="14.5">
      <c r="A101" t="s">
        <v>8503</v>
      </c>
      <c r="B101" s="1683" t="str">
        <f t="shared" si="2"/>
        <v>019-000</v>
      </c>
      <c r="C101">
        <v>0</v>
      </c>
      <c r="D101">
        <f t="shared" si="3"/>
        <v>0</v>
      </c>
    </row>
    <row r="102" spans="1:4" ht="14.5">
      <c r="A102" t="s">
        <v>3524</v>
      </c>
      <c r="B102" s="1683" t="str">
        <f t="shared" si="2"/>
        <v>019-901</v>
      </c>
      <c r="C102">
        <v>0</v>
      </c>
      <c r="D102">
        <f t="shared" si="3"/>
        <v>0</v>
      </c>
    </row>
    <row r="103" spans="1:4" ht="14.5">
      <c r="A103" t="s">
        <v>2891</v>
      </c>
      <c r="B103" s="1683" t="str">
        <f t="shared" si="2"/>
        <v>019-902</v>
      </c>
      <c r="C103">
        <v>0</v>
      </c>
      <c r="D103">
        <f t="shared" si="3"/>
        <v>0</v>
      </c>
    </row>
    <row r="104" spans="1:4" ht="14.5">
      <c r="A104" t="s">
        <v>2892</v>
      </c>
      <c r="B104" s="1683" t="str">
        <f t="shared" si="2"/>
        <v>019-903</v>
      </c>
      <c r="C104">
        <v>0</v>
      </c>
      <c r="D104">
        <f t="shared" si="3"/>
        <v>0</v>
      </c>
    </row>
    <row r="105" spans="1:4" ht="14.5">
      <c r="A105" t="s">
        <v>2893</v>
      </c>
      <c r="B105" s="1683" t="str">
        <f t="shared" si="2"/>
        <v>019-905</v>
      </c>
      <c r="C105">
        <v>0</v>
      </c>
      <c r="D105">
        <f t="shared" si="3"/>
        <v>0</v>
      </c>
    </row>
    <row r="106" spans="1:4" ht="14.5">
      <c r="A106" t="s">
        <v>4939</v>
      </c>
      <c r="B106" s="1683" t="str">
        <f t="shared" si="2"/>
        <v>019-906</v>
      </c>
      <c r="C106">
        <v>0</v>
      </c>
      <c r="D106">
        <f t="shared" si="3"/>
        <v>0</v>
      </c>
    </row>
    <row r="107" spans="1:4" ht="14.5">
      <c r="A107" t="s">
        <v>4940</v>
      </c>
      <c r="B107" s="1683" t="str">
        <f t="shared" si="2"/>
        <v>019-907</v>
      </c>
      <c r="C107">
        <v>0</v>
      </c>
      <c r="D107">
        <f t="shared" si="3"/>
        <v>0</v>
      </c>
    </row>
    <row r="108" spans="1:4" ht="14.5">
      <c r="A108" t="s">
        <v>4941</v>
      </c>
      <c r="B108" s="1683" t="str">
        <f t="shared" si="2"/>
        <v>019-908</v>
      </c>
      <c r="C108">
        <v>0</v>
      </c>
      <c r="D108">
        <f t="shared" si="3"/>
        <v>0</v>
      </c>
    </row>
    <row r="109" spans="1:4" ht="14.5">
      <c r="A109" t="s">
        <v>2894</v>
      </c>
      <c r="B109" s="1683" t="str">
        <f t="shared" si="2"/>
        <v>019-909</v>
      </c>
      <c r="C109">
        <v>0</v>
      </c>
      <c r="D109">
        <f t="shared" si="3"/>
        <v>0</v>
      </c>
    </row>
    <row r="110" spans="1:4" ht="14.5">
      <c r="A110" t="s">
        <v>2895</v>
      </c>
      <c r="B110" s="1683" t="str">
        <f t="shared" si="2"/>
        <v>019-910</v>
      </c>
      <c r="C110">
        <v>0</v>
      </c>
      <c r="D110">
        <f t="shared" si="3"/>
        <v>0</v>
      </c>
    </row>
    <row r="111" spans="1:4" ht="14.5">
      <c r="A111" t="s">
        <v>4942</v>
      </c>
      <c r="B111" s="1683" t="str">
        <f t="shared" si="2"/>
        <v>019-911</v>
      </c>
      <c r="C111">
        <v>0</v>
      </c>
      <c r="D111">
        <f t="shared" si="3"/>
        <v>0</v>
      </c>
    </row>
    <row r="112" spans="1:4" ht="14.5">
      <c r="A112" t="s">
        <v>4943</v>
      </c>
      <c r="B112" s="1683" t="str">
        <f t="shared" si="2"/>
        <v>019-912</v>
      </c>
      <c r="C112">
        <v>0</v>
      </c>
      <c r="D112">
        <f t="shared" si="3"/>
        <v>0</v>
      </c>
    </row>
    <row r="113" spans="1:4" ht="14.5">
      <c r="A113" t="s">
        <v>5755</v>
      </c>
      <c r="B113" s="1683" t="str">
        <f t="shared" si="2"/>
        <v>019-913</v>
      </c>
      <c r="C113">
        <v>0</v>
      </c>
      <c r="D113">
        <f t="shared" si="3"/>
        <v>0</v>
      </c>
    </row>
    <row r="114" spans="1:4" ht="14.5">
      <c r="A114" t="s">
        <v>5756</v>
      </c>
      <c r="B114" s="1683" t="str">
        <f t="shared" si="2"/>
        <v>019-914</v>
      </c>
      <c r="C114">
        <v>0</v>
      </c>
      <c r="D114">
        <f t="shared" si="3"/>
        <v>0</v>
      </c>
    </row>
    <row r="115" spans="1:4" ht="14.5">
      <c r="A115" t="s">
        <v>2896</v>
      </c>
      <c r="B115" s="1683" t="str">
        <f t="shared" si="2"/>
        <v>020-901</v>
      </c>
      <c r="C115">
        <v>0</v>
      </c>
      <c r="D115">
        <f t="shared" si="3"/>
        <v>0</v>
      </c>
    </row>
    <row r="116" spans="1:4" ht="14.5">
      <c r="A116" t="s">
        <v>4944</v>
      </c>
      <c r="B116" s="1683" t="str">
        <f t="shared" si="2"/>
        <v>020-902</v>
      </c>
      <c r="C116">
        <v>0</v>
      </c>
      <c r="D116">
        <f t="shared" si="3"/>
        <v>0</v>
      </c>
    </row>
    <row r="117" spans="1:4" ht="14.5">
      <c r="A117" t="s">
        <v>2897</v>
      </c>
      <c r="B117" s="1683" t="str">
        <f t="shared" si="2"/>
        <v>020-904</v>
      </c>
      <c r="C117">
        <v>0</v>
      </c>
      <c r="D117">
        <f t="shared" si="3"/>
        <v>0</v>
      </c>
    </row>
    <row r="118" spans="1:4" ht="14.5">
      <c r="A118" t="s">
        <v>4945</v>
      </c>
      <c r="B118" s="1683" t="str">
        <f t="shared" si="2"/>
        <v>020-905</v>
      </c>
      <c r="C118">
        <v>0</v>
      </c>
      <c r="D118">
        <f t="shared" si="3"/>
        <v>0</v>
      </c>
    </row>
    <row r="119" spans="1:4" ht="14.5">
      <c r="A119" t="s">
        <v>4946</v>
      </c>
      <c r="B119" s="1683" t="str">
        <f t="shared" si="2"/>
        <v>020-906</v>
      </c>
      <c r="C119">
        <v>0</v>
      </c>
      <c r="D119">
        <f t="shared" si="3"/>
        <v>0</v>
      </c>
    </row>
    <row r="120" spans="1:4" ht="14.5">
      <c r="A120" t="s">
        <v>2898</v>
      </c>
      <c r="B120" s="1683" t="str">
        <f t="shared" si="2"/>
        <v>020-907</v>
      </c>
      <c r="C120">
        <v>0</v>
      </c>
      <c r="D120">
        <f t="shared" si="3"/>
        <v>0</v>
      </c>
    </row>
    <row r="121" spans="1:4" ht="14.5">
      <c r="A121" t="s">
        <v>2899</v>
      </c>
      <c r="B121" s="1683" t="str">
        <f t="shared" si="2"/>
        <v>020-908</v>
      </c>
      <c r="C121">
        <v>-0.02</v>
      </c>
      <c r="D121">
        <f t="shared" si="3"/>
        <v>0.02</v>
      </c>
    </row>
    <row r="122" spans="1:4" ht="14.5">
      <c r="A122" t="s">
        <v>2900</v>
      </c>
      <c r="B122" s="1683" t="str">
        <f t="shared" si="2"/>
        <v>020-910</v>
      </c>
      <c r="C122">
        <v>0</v>
      </c>
      <c r="D122">
        <f t="shared" si="3"/>
        <v>0</v>
      </c>
    </row>
    <row r="123" spans="1:4" ht="14.5">
      <c r="A123" t="s">
        <v>7944</v>
      </c>
      <c r="B123" s="1683" t="str">
        <f t="shared" si="2"/>
        <v>021-803</v>
      </c>
      <c r="C123">
        <v>0</v>
      </c>
      <c r="D123">
        <f t="shared" si="3"/>
        <v>0</v>
      </c>
    </row>
    <row r="124" spans="1:4" ht="14.5">
      <c r="A124" t="s">
        <v>7945</v>
      </c>
      <c r="B124" s="1683" t="str">
        <f t="shared" si="2"/>
        <v>021-805</v>
      </c>
      <c r="C124">
        <v>0</v>
      </c>
      <c r="D124">
        <f t="shared" si="3"/>
        <v>0</v>
      </c>
    </row>
    <row r="125" spans="1:4" ht="14.5">
      <c r="A125" t="s">
        <v>2901</v>
      </c>
      <c r="B125" s="1683" t="str">
        <f t="shared" si="2"/>
        <v>021-901</v>
      </c>
      <c r="C125">
        <v>0</v>
      </c>
      <c r="D125">
        <f t="shared" si="3"/>
        <v>0</v>
      </c>
    </row>
    <row r="126" spans="1:4" ht="14.5">
      <c r="A126" t="s">
        <v>2902</v>
      </c>
      <c r="B126" s="1683" t="str">
        <f t="shared" si="2"/>
        <v>021-902</v>
      </c>
      <c r="C126">
        <v>0</v>
      </c>
      <c r="D126">
        <f t="shared" si="3"/>
        <v>0</v>
      </c>
    </row>
    <row r="127" spans="1:4" ht="14.5">
      <c r="A127" t="s">
        <v>5757</v>
      </c>
      <c r="B127" s="1683" t="str">
        <f t="shared" si="2"/>
        <v>022-004</v>
      </c>
      <c r="C127">
        <v>0</v>
      </c>
      <c r="D127">
        <f t="shared" si="3"/>
        <v>0</v>
      </c>
    </row>
    <row r="128" spans="1:4" ht="14.5">
      <c r="A128" t="s">
        <v>4947</v>
      </c>
      <c r="B128" s="1683" t="str">
        <f t="shared" si="2"/>
        <v>022-901</v>
      </c>
      <c r="C128">
        <v>0</v>
      </c>
      <c r="D128">
        <f t="shared" si="3"/>
        <v>0</v>
      </c>
    </row>
    <row r="129" spans="1:4" ht="14.5">
      <c r="A129" t="s">
        <v>5758</v>
      </c>
      <c r="B129" s="1683" t="str">
        <f t="shared" si="2"/>
        <v>022-902</v>
      </c>
      <c r="C129">
        <v>0</v>
      </c>
      <c r="D129">
        <f t="shared" ref="D129:D192" si="4">C129*-1</f>
        <v>0</v>
      </c>
    </row>
    <row r="130" spans="1:4" ht="14.5">
      <c r="A130" t="s">
        <v>5759</v>
      </c>
      <c r="B130" s="1683" t="str">
        <f t="shared" ref="B130:B193" si="5">CONCATENATE(LEFT(RIGHT(CONCATENATE("000",A130),6),3),"-",(RIGHT(RIGHT(CONCATENATE("000",A130),6),3)))</f>
        <v>022-903</v>
      </c>
      <c r="C130">
        <v>0</v>
      </c>
      <c r="D130">
        <f t="shared" si="4"/>
        <v>0</v>
      </c>
    </row>
    <row r="131" spans="1:4" ht="14.5">
      <c r="A131" t="s">
        <v>5760</v>
      </c>
      <c r="B131" s="1683" t="str">
        <f t="shared" si="5"/>
        <v>023-902</v>
      </c>
      <c r="C131">
        <v>0</v>
      </c>
      <c r="D131">
        <f t="shared" si="4"/>
        <v>0</v>
      </c>
    </row>
    <row r="132" spans="1:4" ht="14.5">
      <c r="A132" t="s">
        <v>4948</v>
      </c>
      <c r="B132" s="1683" t="str">
        <f t="shared" si="5"/>
        <v>024-901</v>
      </c>
      <c r="C132">
        <v>0</v>
      </c>
      <c r="D132">
        <f t="shared" si="4"/>
        <v>0</v>
      </c>
    </row>
    <row r="133" spans="1:4" ht="14.5">
      <c r="A133" t="s">
        <v>4949</v>
      </c>
      <c r="B133" s="1683" t="str">
        <f t="shared" si="5"/>
        <v>025-901</v>
      </c>
      <c r="C133">
        <v>0</v>
      </c>
      <c r="D133">
        <f t="shared" si="4"/>
        <v>0</v>
      </c>
    </row>
    <row r="134" spans="1:4" ht="14.5">
      <c r="A134" t="s">
        <v>4950</v>
      </c>
      <c r="B134" s="1683" t="str">
        <f t="shared" si="5"/>
        <v>025-902</v>
      </c>
      <c r="C134">
        <v>0</v>
      </c>
      <c r="D134">
        <f t="shared" si="4"/>
        <v>0</v>
      </c>
    </row>
    <row r="135" spans="1:4" ht="14.5">
      <c r="A135" t="s">
        <v>2903</v>
      </c>
      <c r="B135" s="1683" t="str">
        <f t="shared" si="5"/>
        <v>025-904</v>
      </c>
      <c r="C135">
        <v>0</v>
      </c>
      <c r="D135">
        <f t="shared" si="4"/>
        <v>0</v>
      </c>
    </row>
    <row r="136" spans="1:4" ht="14.5">
      <c r="A136" t="s">
        <v>2904</v>
      </c>
      <c r="B136" s="1683" t="str">
        <f t="shared" si="5"/>
        <v>025-905</v>
      </c>
      <c r="C136">
        <v>0</v>
      </c>
      <c r="D136">
        <f t="shared" si="4"/>
        <v>0</v>
      </c>
    </row>
    <row r="137" spans="1:4" ht="14.5">
      <c r="A137" t="s">
        <v>2905</v>
      </c>
      <c r="B137" s="1683" t="str">
        <f t="shared" si="5"/>
        <v>025-906</v>
      </c>
      <c r="C137">
        <v>0</v>
      </c>
      <c r="D137">
        <f t="shared" si="4"/>
        <v>0</v>
      </c>
    </row>
    <row r="138" spans="1:4" ht="14.5">
      <c r="A138" t="s">
        <v>2906</v>
      </c>
      <c r="B138" s="1683" t="str">
        <f t="shared" si="5"/>
        <v>025-908</v>
      </c>
      <c r="C138">
        <v>0</v>
      </c>
      <c r="D138">
        <f t="shared" si="4"/>
        <v>0</v>
      </c>
    </row>
    <row r="139" spans="1:4" ht="14.5">
      <c r="A139" t="s">
        <v>2907</v>
      </c>
      <c r="B139" s="1683" t="str">
        <f t="shared" si="5"/>
        <v>025-909</v>
      </c>
      <c r="C139">
        <v>0</v>
      </c>
      <c r="D139">
        <f t="shared" si="4"/>
        <v>0</v>
      </c>
    </row>
    <row r="140" spans="1:4" ht="14.5">
      <c r="A140" t="s">
        <v>4951</v>
      </c>
      <c r="B140" s="1683" t="str">
        <f t="shared" si="5"/>
        <v>026-901</v>
      </c>
      <c r="C140">
        <v>0</v>
      </c>
      <c r="D140">
        <f t="shared" si="4"/>
        <v>0</v>
      </c>
    </row>
    <row r="141" spans="1:4" ht="14.5">
      <c r="A141" t="s">
        <v>4952</v>
      </c>
      <c r="B141" s="1683" t="str">
        <f t="shared" si="5"/>
        <v>026-902</v>
      </c>
      <c r="C141">
        <v>0</v>
      </c>
      <c r="D141">
        <f t="shared" si="4"/>
        <v>0</v>
      </c>
    </row>
    <row r="142" spans="1:4" ht="14.5">
      <c r="A142" t="s">
        <v>2908</v>
      </c>
      <c r="B142" s="1683" t="str">
        <f t="shared" si="5"/>
        <v>026-903</v>
      </c>
      <c r="C142">
        <v>0</v>
      </c>
      <c r="D142">
        <f t="shared" si="4"/>
        <v>0</v>
      </c>
    </row>
    <row r="143" spans="1:4" ht="14.5">
      <c r="A143" t="s">
        <v>2909</v>
      </c>
      <c r="B143" s="1683" t="str">
        <f t="shared" si="5"/>
        <v>027-903</v>
      </c>
      <c r="C143">
        <v>0</v>
      </c>
      <c r="D143">
        <f t="shared" si="4"/>
        <v>0</v>
      </c>
    </row>
    <row r="144" spans="1:4" ht="14.5">
      <c r="A144" t="s">
        <v>3582</v>
      </c>
      <c r="B144" s="1683" t="str">
        <f t="shared" si="5"/>
        <v>027-904</v>
      </c>
      <c r="C144">
        <v>0</v>
      </c>
      <c r="D144">
        <f t="shared" si="4"/>
        <v>0</v>
      </c>
    </row>
    <row r="145" spans="1:4" ht="14.5">
      <c r="A145" t="s">
        <v>2910</v>
      </c>
      <c r="B145" s="1683" t="str">
        <f t="shared" si="5"/>
        <v>028-902</v>
      </c>
      <c r="C145">
        <v>0</v>
      </c>
      <c r="D145">
        <f t="shared" si="4"/>
        <v>0</v>
      </c>
    </row>
    <row r="146" spans="1:4" ht="14.5">
      <c r="A146" t="s">
        <v>2911</v>
      </c>
      <c r="B146" s="1683" t="str">
        <f t="shared" si="5"/>
        <v>028-903</v>
      </c>
      <c r="C146">
        <v>0</v>
      </c>
      <c r="D146">
        <f t="shared" si="4"/>
        <v>0</v>
      </c>
    </row>
    <row r="147" spans="1:4" ht="14.5">
      <c r="A147" t="s">
        <v>5761</v>
      </c>
      <c r="B147" s="1683" t="str">
        <f t="shared" si="5"/>
        <v>028-906</v>
      </c>
      <c r="C147">
        <v>0</v>
      </c>
      <c r="D147">
        <f t="shared" si="4"/>
        <v>0</v>
      </c>
    </row>
    <row r="148" spans="1:4" ht="14.5">
      <c r="A148" t="s">
        <v>4953</v>
      </c>
      <c r="B148" s="1683" t="str">
        <f t="shared" si="5"/>
        <v>029-901</v>
      </c>
      <c r="C148">
        <v>0</v>
      </c>
      <c r="D148">
        <f t="shared" si="4"/>
        <v>0</v>
      </c>
    </row>
    <row r="149" spans="1:4" ht="14.5">
      <c r="A149" t="s">
        <v>5762</v>
      </c>
      <c r="B149" s="1683" t="str">
        <f t="shared" si="5"/>
        <v>030-901</v>
      </c>
      <c r="C149">
        <v>0</v>
      </c>
      <c r="D149">
        <f t="shared" si="4"/>
        <v>0</v>
      </c>
    </row>
    <row r="150" spans="1:4" ht="14.5">
      <c r="A150" t="s">
        <v>2912</v>
      </c>
      <c r="B150" s="1683" t="str">
        <f t="shared" si="5"/>
        <v>030-902</v>
      </c>
      <c r="C150">
        <v>0</v>
      </c>
      <c r="D150">
        <f t="shared" si="4"/>
        <v>0</v>
      </c>
    </row>
    <row r="151" spans="1:4" ht="14.5">
      <c r="A151" t="s">
        <v>2913</v>
      </c>
      <c r="B151" s="1683" t="str">
        <f t="shared" si="5"/>
        <v>030-903</v>
      </c>
      <c r="C151">
        <v>0</v>
      </c>
      <c r="D151">
        <f t="shared" si="4"/>
        <v>0</v>
      </c>
    </row>
    <row r="152" spans="1:4" ht="14.5">
      <c r="A152" t="s">
        <v>4954</v>
      </c>
      <c r="B152" s="1683" t="str">
        <f t="shared" si="5"/>
        <v>030-906</v>
      </c>
      <c r="C152">
        <v>0</v>
      </c>
      <c r="D152">
        <f t="shared" si="4"/>
        <v>0</v>
      </c>
    </row>
    <row r="153" spans="1:4" ht="14.5">
      <c r="A153" t="s">
        <v>7946</v>
      </c>
      <c r="B153" s="1683" t="str">
        <f t="shared" si="5"/>
        <v>031-505</v>
      </c>
      <c r="C153">
        <v>0</v>
      </c>
      <c r="D153">
        <f t="shared" si="4"/>
        <v>0</v>
      </c>
    </row>
    <row r="154" spans="1:4" ht="14.5">
      <c r="A154" t="s">
        <v>2914</v>
      </c>
      <c r="B154" s="1683" t="str">
        <f t="shared" si="5"/>
        <v>031-901</v>
      </c>
      <c r="C154">
        <v>0</v>
      </c>
      <c r="D154">
        <f t="shared" si="4"/>
        <v>0</v>
      </c>
    </row>
    <row r="155" spans="1:4" ht="14.5">
      <c r="A155" t="s">
        <v>2915</v>
      </c>
      <c r="B155" s="1683" t="str">
        <f t="shared" si="5"/>
        <v>031-903</v>
      </c>
      <c r="C155">
        <v>0</v>
      </c>
      <c r="D155">
        <f t="shared" si="4"/>
        <v>0</v>
      </c>
    </row>
    <row r="156" spans="1:4" ht="14.5">
      <c r="A156" t="s">
        <v>2916</v>
      </c>
      <c r="B156" s="1683" t="str">
        <f t="shared" si="5"/>
        <v>031-905</v>
      </c>
      <c r="C156">
        <v>0</v>
      </c>
      <c r="D156">
        <f t="shared" si="4"/>
        <v>0</v>
      </c>
    </row>
    <row r="157" spans="1:4" ht="14.5">
      <c r="A157" t="s">
        <v>2917</v>
      </c>
      <c r="B157" s="1683" t="str">
        <f t="shared" si="5"/>
        <v>031-906</v>
      </c>
      <c r="C157">
        <v>0</v>
      </c>
      <c r="D157">
        <f t="shared" si="4"/>
        <v>0</v>
      </c>
    </row>
    <row r="158" spans="1:4" ht="14.5">
      <c r="A158" t="s">
        <v>4955</v>
      </c>
      <c r="B158" s="1683" t="str">
        <f t="shared" si="5"/>
        <v>031-909</v>
      </c>
      <c r="C158">
        <v>0</v>
      </c>
      <c r="D158">
        <f t="shared" si="4"/>
        <v>0</v>
      </c>
    </row>
    <row r="159" spans="1:4" ht="14.5">
      <c r="A159" t="s">
        <v>2918</v>
      </c>
      <c r="B159" s="1683" t="str">
        <f t="shared" si="5"/>
        <v>031-911</v>
      </c>
      <c r="C159">
        <v>0</v>
      </c>
      <c r="D159">
        <f t="shared" si="4"/>
        <v>0</v>
      </c>
    </row>
    <row r="160" spans="1:4" ht="14.5">
      <c r="A160" t="s">
        <v>2919</v>
      </c>
      <c r="B160" s="1683" t="str">
        <f t="shared" si="5"/>
        <v>031-912</v>
      </c>
      <c r="C160">
        <v>0</v>
      </c>
      <c r="D160">
        <f t="shared" si="4"/>
        <v>0</v>
      </c>
    </row>
    <row r="161" spans="1:4" ht="14.5">
      <c r="A161" t="s">
        <v>2920</v>
      </c>
      <c r="B161" s="1683" t="str">
        <f t="shared" si="5"/>
        <v>031-913</v>
      </c>
      <c r="C161">
        <v>0</v>
      </c>
      <c r="D161">
        <f t="shared" si="4"/>
        <v>0</v>
      </c>
    </row>
    <row r="162" spans="1:4" ht="14.5">
      <c r="A162" t="s">
        <v>2921</v>
      </c>
      <c r="B162" s="1683" t="str">
        <f t="shared" si="5"/>
        <v>031-914</v>
      </c>
      <c r="C162">
        <v>0</v>
      </c>
      <c r="D162">
        <f t="shared" si="4"/>
        <v>0</v>
      </c>
    </row>
    <row r="163" spans="1:4" ht="14.5">
      <c r="A163" t="s">
        <v>7354</v>
      </c>
      <c r="B163" s="1683" t="str">
        <f t="shared" si="5"/>
        <v>031-916</v>
      </c>
      <c r="C163">
        <v>0</v>
      </c>
      <c r="D163">
        <f t="shared" si="4"/>
        <v>0</v>
      </c>
    </row>
    <row r="164" spans="1:4" ht="14.5">
      <c r="A164" t="s">
        <v>4956</v>
      </c>
      <c r="B164" s="1683" t="str">
        <f t="shared" si="5"/>
        <v>032-902</v>
      </c>
      <c r="C164">
        <v>0</v>
      </c>
      <c r="D164">
        <f t="shared" si="4"/>
        <v>0</v>
      </c>
    </row>
    <row r="165" spans="1:4" ht="14.5">
      <c r="A165" t="s">
        <v>4957</v>
      </c>
      <c r="B165" s="1683" t="str">
        <f t="shared" si="5"/>
        <v>033-901</v>
      </c>
      <c r="C165">
        <v>0</v>
      </c>
      <c r="D165">
        <f t="shared" si="4"/>
        <v>0</v>
      </c>
    </row>
    <row r="166" spans="1:4" ht="14.5">
      <c r="A166" t="s">
        <v>4958</v>
      </c>
      <c r="B166" s="1683" t="str">
        <f t="shared" si="5"/>
        <v>033-902</v>
      </c>
      <c r="C166">
        <v>0</v>
      </c>
      <c r="D166">
        <f t="shared" si="4"/>
        <v>0</v>
      </c>
    </row>
    <row r="167" spans="1:4" ht="14.5">
      <c r="A167" t="s">
        <v>4959</v>
      </c>
      <c r="B167" s="1683" t="str">
        <f t="shared" si="5"/>
        <v>033-904</v>
      </c>
      <c r="C167">
        <v>0</v>
      </c>
      <c r="D167">
        <f t="shared" si="4"/>
        <v>0</v>
      </c>
    </row>
    <row r="168" spans="1:4" ht="14.5">
      <c r="A168" t="s">
        <v>4960</v>
      </c>
      <c r="B168" s="1683" t="str">
        <f t="shared" si="5"/>
        <v>034-901</v>
      </c>
      <c r="C168">
        <v>0</v>
      </c>
      <c r="D168">
        <f t="shared" si="4"/>
        <v>0</v>
      </c>
    </row>
    <row r="169" spans="1:4" ht="14.5">
      <c r="A169" t="s">
        <v>5763</v>
      </c>
      <c r="B169" s="1683" t="str">
        <f t="shared" si="5"/>
        <v>034-902</v>
      </c>
      <c r="C169">
        <v>0</v>
      </c>
      <c r="D169">
        <f t="shared" si="4"/>
        <v>0</v>
      </c>
    </row>
    <row r="170" spans="1:4" ht="14.5">
      <c r="A170" t="s">
        <v>4961</v>
      </c>
      <c r="B170" s="1683" t="str">
        <f t="shared" si="5"/>
        <v>034-903</v>
      </c>
      <c r="C170">
        <v>0</v>
      </c>
      <c r="D170">
        <f t="shared" si="4"/>
        <v>0</v>
      </c>
    </row>
    <row r="171" spans="1:4" ht="14.5">
      <c r="A171" t="s">
        <v>5764</v>
      </c>
      <c r="B171" s="1683" t="str">
        <f t="shared" si="5"/>
        <v>034-905</v>
      </c>
      <c r="C171">
        <v>0</v>
      </c>
      <c r="D171">
        <f t="shared" si="4"/>
        <v>0</v>
      </c>
    </row>
    <row r="172" spans="1:4" ht="14.5">
      <c r="A172" t="s">
        <v>3647</v>
      </c>
      <c r="B172" s="1683" t="str">
        <f t="shared" si="5"/>
        <v>034-906</v>
      </c>
      <c r="C172">
        <v>0</v>
      </c>
      <c r="D172">
        <f t="shared" si="4"/>
        <v>0</v>
      </c>
    </row>
    <row r="173" spans="1:4" ht="14.5">
      <c r="A173" t="s">
        <v>4962</v>
      </c>
      <c r="B173" s="1683" t="str">
        <f t="shared" si="5"/>
        <v>034-907</v>
      </c>
      <c r="C173">
        <v>0</v>
      </c>
      <c r="D173">
        <f t="shared" si="4"/>
        <v>0</v>
      </c>
    </row>
    <row r="174" spans="1:4" ht="14.5">
      <c r="A174" t="s">
        <v>4963</v>
      </c>
      <c r="B174" s="1683" t="str">
        <f t="shared" si="5"/>
        <v>034-909</v>
      </c>
      <c r="C174">
        <v>0</v>
      </c>
      <c r="D174">
        <f t="shared" si="4"/>
        <v>0</v>
      </c>
    </row>
    <row r="175" spans="1:4" ht="14.5">
      <c r="A175" t="s">
        <v>4964</v>
      </c>
      <c r="B175" s="1683" t="str">
        <f t="shared" si="5"/>
        <v>035-901</v>
      </c>
      <c r="C175">
        <v>0</v>
      </c>
      <c r="D175">
        <f t="shared" si="4"/>
        <v>0</v>
      </c>
    </row>
    <row r="176" spans="1:4" ht="14.5">
      <c r="A176" t="s">
        <v>5765</v>
      </c>
      <c r="B176" s="1683" t="str">
        <f t="shared" si="5"/>
        <v>035-902</v>
      </c>
      <c r="C176">
        <v>0</v>
      </c>
      <c r="D176">
        <f t="shared" si="4"/>
        <v>0</v>
      </c>
    </row>
    <row r="177" spans="1:4" ht="14.5">
      <c r="A177" t="s">
        <v>2922</v>
      </c>
      <c r="B177" s="1683" t="str">
        <f t="shared" si="5"/>
        <v>035-903</v>
      </c>
      <c r="C177">
        <v>0</v>
      </c>
      <c r="D177">
        <f t="shared" si="4"/>
        <v>0</v>
      </c>
    </row>
    <row r="178" spans="1:4" ht="14.5">
      <c r="A178" t="s">
        <v>2923</v>
      </c>
      <c r="B178" s="1683" t="str">
        <f t="shared" si="5"/>
        <v>036-901</v>
      </c>
      <c r="C178">
        <v>0</v>
      </c>
      <c r="D178">
        <f t="shared" si="4"/>
        <v>0</v>
      </c>
    </row>
    <row r="179" spans="1:4" ht="14.5">
      <c r="A179" t="s">
        <v>4965</v>
      </c>
      <c r="B179" s="1683" t="str">
        <f t="shared" si="5"/>
        <v>036-902</v>
      </c>
      <c r="C179">
        <v>0</v>
      </c>
      <c r="D179">
        <f t="shared" si="4"/>
        <v>0</v>
      </c>
    </row>
    <row r="180" spans="1:4" ht="14.5">
      <c r="A180" t="s">
        <v>2924</v>
      </c>
      <c r="B180" s="1683" t="str">
        <f t="shared" si="5"/>
        <v>036-903</v>
      </c>
      <c r="C180">
        <v>0</v>
      </c>
      <c r="D180">
        <f t="shared" si="4"/>
        <v>0</v>
      </c>
    </row>
    <row r="181" spans="1:4" ht="14.5">
      <c r="A181" t="s">
        <v>4966</v>
      </c>
      <c r="B181" s="1683" t="str">
        <f t="shared" si="5"/>
        <v>037-901</v>
      </c>
      <c r="C181">
        <v>0</v>
      </c>
      <c r="D181">
        <f t="shared" si="4"/>
        <v>0</v>
      </c>
    </row>
    <row r="182" spans="1:4" ht="14.5">
      <c r="A182" t="s">
        <v>2925</v>
      </c>
      <c r="B182" s="1683" t="str">
        <f t="shared" si="5"/>
        <v>037-904</v>
      </c>
      <c r="C182">
        <v>0</v>
      </c>
      <c r="D182">
        <f t="shared" si="4"/>
        <v>0</v>
      </c>
    </row>
    <row r="183" spans="1:4" ht="14.5">
      <c r="A183" t="s">
        <v>2926</v>
      </c>
      <c r="B183" s="1683" t="str">
        <f t="shared" si="5"/>
        <v>037-907</v>
      </c>
      <c r="C183">
        <v>0</v>
      </c>
      <c r="D183">
        <f t="shared" si="4"/>
        <v>0</v>
      </c>
    </row>
    <row r="184" spans="1:4" ht="14.5">
      <c r="A184" t="s">
        <v>3657</v>
      </c>
      <c r="B184" s="1683" t="str">
        <f t="shared" si="5"/>
        <v>037-908</v>
      </c>
      <c r="C184">
        <v>0</v>
      </c>
      <c r="D184">
        <f t="shared" si="4"/>
        <v>0</v>
      </c>
    </row>
    <row r="185" spans="1:4" ht="14.5">
      <c r="A185" t="s">
        <v>4967</v>
      </c>
      <c r="B185" s="1683" t="str">
        <f t="shared" si="5"/>
        <v>037-909</v>
      </c>
      <c r="C185">
        <v>0</v>
      </c>
      <c r="D185">
        <f t="shared" si="4"/>
        <v>0</v>
      </c>
    </row>
    <row r="186" spans="1:4" ht="14.5">
      <c r="A186" t="s">
        <v>2927</v>
      </c>
      <c r="B186" s="1683" t="str">
        <f t="shared" si="5"/>
        <v>038-901</v>
      </c>
      <c r="C186">
        <v>0</v>
      </c>
      <c r="D186">
        <f t="shared" si="4"/>
        <v>0</v>
      </c>
    </row>
    <row r="187" spans="1:4" ht="14.5">
      <c r="A187" t="s">
        <v>4968</v>
      </c>
      <c r="B187" s="1683" t="str">
        <f t="shared" si="5"/>
        <v>039-902</v>
      </c>
      <c r="C187">
        <v>0</v>
      </c>
      <c r="D187">
        <f t="shared" si="4"/>
        <v>0</v>
      </c>
    </row>
    <row r="188" spans="1:4" ht="14.5">
      <c r="A188" t="s">
        <v>2928</v>
      </c>
      <c r="B188" s="1683" t="str">
        <f t="shared" si="5"/>
        <v>039-903</v>
      </c>
      <c r="C188">
        <v>0</v>
      </c>
      <c r="D188">
        <f t="shared" si="4"/>
        <v>0</v>
      </c>
    </row>
    <row r="189" spans="1:4" ht="14.5">
      <c r="A189" t="s">
        <v>5766</v>
      </c>
      <c r="B189" s="1683" t="str">
        <f t="shared" si="5"/>
        <v>039-904</v>
      </c>
      <c r="C189">
        <v>0</v>
      </c>
      <c r="D189">
        <f t="shared" si="4"/>
        <v>0</v>
      </c>
    </row>
    <row r="190" spans="1:4" ht="14.5">
      <c r="A190" t="s">
        <v>5767</v>
      </c>
      <c r="B190" s="1683" t="str">
        <f t="shared" si="5"/>
        <v>039-905</v>
      </c>
      <c r="C190">
        <v>0</v>
      </c>
      <c r="D190">
        <f t="shared" si="4"/>
        <v>0</v>
      </c>
    </row>
    <row r="191" spans="1:4" ht="14.5">
      <c r="A191" t="s">
        <v>5768</v>
      </c>
      <c r="B191" s="1683" t="str">
        <f t="shared" si="5"/>
        <v>040-901</v>
      </c>
      <c r="C191">
        <v>0</v>
      </c>
      <c r="D191">
        <f t="shared" si="4"/>
        <v>0</v>
      </c>
    </row>
    <row r="192" spans="1:4" ht="14.5">
      <c r="A192" t="s">
        <v>4969</v>
      </c>
      <c r="B192" s="1683" t="str">
        <f t="shared" si="5"/>
        <v>040-902</v>
      </c>
      <c r="C192">
        <v>0</v>
      </c>
      <c r="D192">
        <f t="shared" si="4"/>
        <v>0</v>
      </c>
    </row>
    <row r="193" spans="1:4" ht="14.5">
      <c r="A193" t="s">
        <v>5769</v>
      </c>
      <c r="B193" s="1683" t="str">
        <f t="shared" si="5"/>
        <v>041-901</v>
      </c>
      <c r="C193">
        <v>0</v>
      </c>
      <c r="D193">
        <f t="shared" ref="D193:D256" si="6">C193*-1</f>
        <v>0</v>
      </c>
    </row>
    <row r="194" spans="1:4" ht="14.5">
      <c r="A194" t="s">
        <v>4970</v>
      </c>
      <c r="B194" s="1683" t="str">
        <f t="shared" ref="B194:B257" si="7">CONCATENATE(LEFT(RIGHT(CONCATENATE("000",A194),6),3),"-",(RIGHT(RIGHT(CONCATENATE("000",A194),6),3)))</f>
        <v>041-902</v>
      </c>
      <c r="C194">
        <v>0</v>
      </c>
      <c r="D194">
        <f t="shared" si="6"/>
        <v>0</v>
      </c>
    </row>
    <row r="195" spans="1:4" ht="14.5">
      <c r="A195" t="s">
        <v>3664</v>
      </c>
      <c r="B195" s="1683" t="str">
        <f t="shared" si="7"/>
        <v>042-901</v>
      </c>
      <c r="C195">
        <v>0</v>
      </c>
      <c r="D195">
        <f t="shared" si="6"/>
        <v>0</v>
      </c>
    </row>
    <row r="196" spans="1:4" ht="14.5">
      <c r="A196" t="s">
        <v>2929</v>
      </c>
      <c r="B196" s="1683" t="str">
        <f t="shared" si="7"/>
        <v>042-903</v>
      </c>
      <c r="C196">
        <v>0</v>
      </c>
      <c r="D196">
        <f t="shared" si="6"/>
        <v>0</v>
      </c>
    </row>
    <row r="197" spans="1:4" ht="14.5">
      <c r="A197" t="s">
        <v>4971</v>
      </c>
      <c r="B197" s="1683" t="str">
        <f t="shared" si="7"/>
        <v>042-905</v>
      </c>
      <c r="C197">
        <v>0</v>
      </c>
      <c r="D197">
        <f t="shared" si="6"/>
        <v>0</v>
      </c>
    </row>
    <row r="198" spans="1:4" ht="14.5">
      <c r="A198" t="s">
        <v>7948</v>
      </c>
      <c r="B198" s="1683" t="str">
        <f t="shared" si="7"/>
        <v>043-801</v>
      </c>
      <c r="C198">
        <v>0</v>
      </c>
      <c r="D198">
        <f t="shared" si="6"/>
        <v>0</v>
      </c>
    </row>
    <row r="199" spans="1:4" ht="14.5">
      <c r="A199" t="s">
        <v>7949</v>
      </c>
      <c r="B199" s="1683" t="str">
        <f t="shared" si="7"/>
        <v>043-802</v>
      </c>
      <c r="C199">
        <v>0</v>
      </c>
      <c r="D199">
        <f t="shared" si="6"/>
        <v>0</v>
      </c>
    </row>
    <row r="200" spans="1:4" ht="14.5">
      <c r="A200" t="s">
        <v>2930</v>
      </c>
      <c r="B200" s="1683" t="str">
        <f t="shared" si="7"/>
        <v>043-901</v>
      </c>
      <c r="C200">
        <v>0</v>
      </c>
      <c r="D200">
        <f t="shared" si="6"/>
        <v>0</v>
      </c>
    </row>
    <row r="201" spans="1:4" ht="14.5">
      <c r="A201" t="s">
        <v>2931</v>
      </c>
      <c r="B201" s="1683" t="str">
        <f t="shared" si="7"/>
        <v>043-902</v>
      </c>
      <c r="C201">
        <v>0</v>
      </c>
      <c r="D201">
        <f t="shared" si="6"/>
        <v>0</v>
      </c>
    </row>
    <row r="202" spans="1:4" ht="14.5">
      <c r="A202" t="s">
        <v>2932</v>
      </c>
      <c r="B202" s="1683" t="str">
        <f t="shared" si="7"/>
        <v>043-903</v>
      </c>
      <c r="C202">
        <v>0</v>
      </c>
      <c r="D202">
        <f t="shared" si="6"/>
        <v>0</v>
      </c>
    </row>
    <row r="203" spans="1:4" ht="14.5">
      <c r="A203" t="s">
        <v>2933</v>
      </c>
      <c r="B203" s="1683" t="str">
        <f t="shared" si="7"/>
        <v>043-904</v>
      </c>
      <c r="C203">
        <v>0</v>
      </c>
      <c r="D203">
        <f t="shared" si="6"/>
        <v>0</v>
      </c>
    </row>
    <row r="204" spans="1:4" ht="14.5">
      <c r="A204" t="s">
        <v>2934</v>
      </c>
      <c r="B204" s="1683" t="str">
        <f t="shared" si="7"/>
        <v>043-905</v>
      </c>
      <c r="C204">
        <v>0</v>
      </c>
      <c r="D204">
        <f t="shared" si="6"/>
        <v>0</v>
      </c>
    </row>
    <row r="205" spans="1:4" ht="14.5">
      <c r="A205" t="s">
        <v>2935</v>
      </c>
      <c r="B205" s="1683" t="str">
        <f t="shared" si="7"/>
        <v>043-907</v>
      </c>
      <c r="C205">
        <v>0</v>
      </c>
      <c r="D205">
        <f t="shared" si="6"/>
        <v>0</v>
      </c>
    </row>
    <row r="206" spans="1:4" ht="14.5">
      <c r="A206" t="s">
        <v>2936</v>
      </c>
      <c r="B206" s="1683" t="str">
        <f t="shared" si="7"/>
        <v>043-908</v>
      </c>
      <c r="C206">
        <v>0</v>
      </c>
      <c r="D206">
        <f t="shared" si="6"/>
        <v>0</v>
      </c>
    </row>
    <row r="207" spans="1:4" ht="14.5">
      <c r="A207" t="s">
        <v>4972</v>
      </c>
      <c r="B207" s="1683" t="str">
        <f t="shared" si="7"/>
        <v>043-910</v>
      </c>
      <c r="C207">
        <v>0</v>
      </c>
      <c r="D207">
        <f t="shared" si="6"/>
        <v>0</v>
      </c>
    </row>
    <row r="208" spans="1:4" ht="14.5">
      <c r="A208" t="s">
        <v>2937</v>
      </c>
      <c r="B208" s="1683" t="str">
        <f t="shared" si="7"/>
        <v>043-911</v>
      </c>
      <c r="C208">
        <v>0</v>
      </c>
      <c r="D208">
        <f t="shared" si="6"/>
        <v>0</v>
      </c>
    </row>
    <row r="209" spans="1:4" ht="14.5">
      <c r="A209" t="s">
        <v>2938</v>
      </c>
      <c r="B209" s="1683" t="str">
        <f t="shared" si="7"/>
        <v>043-912</v>
      </c>
      <c r="C209">
        <v>0</v>
      </c>
      <c r="D209">
        <f t="shared" si="6"/>
        <v>0</v>
      </c>
    </row>
    <row r="210" spans="1:4" ht="14.5">
      <c r="A210" t="s">
        <v>2939</v>
      </c>
      <c r="B210" s="1683" t="str">
        <f t="shared" si="7"/>
        <v>043-914</v>
      </c>
      <c r="C210">
        <v>0</v>
      </c>
      <c r="D210">
        <f t="shared" si="6"/>
        <v>0</v>
      </c>
    </row>
    <row r="211" spans="1:4" ht="14.5">
      <c r="A211" t="s">
        <v>2940</v>
      </c>
      <c r="B211" s="1683" t="str">
        <f t="shared" si="7"/>
        <v>043-917</v>
      </c>
      <c r="C211">
        <v>0</v>
      </c>
      <c r="D211">
        <f t="shared" si="6"/>
        <v>0</v>
      </c>
    </row>
    <row r="212" spans="1:4" ht="14.5">
      <c r="A212" t="s">
        <v>2941</v>
      </c>
      <c r="B212" s="1683" t="str">
        <f t="shared" si="7"/>
        <v>043-918</v>
      </c>
      <c r="C212">
        <v>0</v>
      </c>
      <c r="D212">
        <f t="shared" si="6"/>
        <v>0</v>
      </c>
    </row>
    <row r="213" spans="1:4" ht="14.5">
      <c r="A213" t="s">
        <v>4973</v>
      </c>
      <c r="B213" s="1683" t="str">
        <f t="shared" si="7"/>
        <v>043-919</v>
      </c>
      <c r="C213">
        <v>0</v>
      </c>
      <c r="D213">
        <f t="shared" si="6"/>
        <v>0</v>
      </c>
    </row>
    <row r="214" spans="1:4" ht="14.5">
      <c r="A214" t="s">
        <v>5770</v>
      </c>
      <c r="B214" s="1683" t="str">
        <f t="shared" si="7"/>
        <v>044-902</v>
      </c>
      <c r="C214">
        <v>0</v>
      </c>
      <c r="D214">
        <f t="shared" si="6"/>
        <v>0</v>
      </c>
    </row>
    <row r="215" spans="1:4" ht="14.5">
      <c r="A215" t="s">
        <v>2942</v>
      </c>
      <c r="B215" s="1683" t="str">
        <f t="shared" si="7"/>
        <v>045-902</v>
      </c>
      <c r="C215">
        <v>0</v>
      </c>
      <c r="D215">
        <f t="shared" si="6"/>
        <v>0</v>
      </c>
    </row>
    <row r="216" spans="1:4" ht="14.5">
      <c r="A216" t="s">
        <v>4974</v>
      </c>
      <c r="B216" s="1683" t="str">
        <f t="shared" si="7"/>
        <v>045-903</v>
      </c>
      <c r="C216">
        <v>0</v>
      </c>
      <c r="D216">
        <f t="shared" si="6"/>
        <v>0</v>
      </c>
    </row>
    <row r="217" spans="1:4" ht="14.5">
      <c r="A217" t="s">
        <v>4975</v>
      </c>
      <c r="B217" s="1683" t="str">
        <f t="shared" si="7"/>
        <v>045-905</v>
      </c>
      <c r="C217">
        <v>0</v>
      </c>
      <c r="D217">
        <f t="shared" si="6"/>
        <v>0</v>
      </c>
    </row>
    <row r="218" spans="1:4" ht="14.5">
      <c r="A218" t="s">
        <v>7950</v>
      </c>
      <c r="B218" s="1683" t="str">
        <f t="shared" si="7"/>
        <v>046-802</v>
      </c>
      <c r="C218">
        <v>0</v>
      </c>
      <c r="D218">
        <f t="shared" si="6"/>
        <v>0</v>
      </c>
    </row>
    <row r="219" spans="1:4" ht="14.5">
      <c r="A219" t="s">
        <v>2943</v>
      </c>
      <c r="B219" s="1683" t="str">
        <f t="shared" si="7"/>
        <v>046-901</v>
      </c>
      <c r="C219">
        <v>0</v>
      </c>
      <c r="D219">
        <f t="shared" si="6"/>
        <v>0</v>
      </c>
    </row>
    <row r="220" spans="1:4" ht="14.5">
      <c r="A220" t="s">
        <v>4976</v>
      </c>
      <c r="B220" s="1683" t="str">
        <f t="shared" si="7"/>
        <v>046-902</v>
      </c>
      <c r="C220">
        <v>0</v>
      </c>
      <c r="D220">
        <f t="shared" si="6"/>
        <v>0</v>
      </c>
    </row>
    <row r="221" spans="1:4" ht="14.5">
      <c r="A221" t="s">
        <v>2944</v>
      </c>
      <c r="B221" s="1683" t="str">
        <f t="shared" si="7"/>
        <v>047-901</v>
      </c>
      <c r="C221">
        <v>0</v>
      </c>
      <c r="D221">
        <f t="shared" si="6"/>
        <v>0</v>
      </c>
    </row>
    <row r="222" spans="1:4" ht="14.5">
      <c r="A222" t="s">
        <v>2945</v>
      </c>
      <c r="B222" s="1683" t="str">
        <f t="shared" si="7"/>
        <v>047-902</v>
      </c>
      <c r="C222">
        <v>0</v>
      </c>
      <c r="D222">
        <f t="shared" si="6"/>
        <v>0</v>
      </c>
    </row>
    <row r="223" spans="1:4" ht="14.5">
      <c r="A223" t="s">
        <v>2946</v>
      </c>
      <c r="B223" s="1683" t="str">
        <f t="shared" si="7"/>
        <v>047-903</v>
      </c>
      <c r="C223">
        <v>0</v>
      </c>
      <c r="D223">
        <f t="shared" si="6"/>
        <v>0</v>
      </c>
    </row>
    <row r="224" spans="1:4" ht="14.5">
      <c r="A224" t="s">
        <v>2947</v>
      </c>
      <c r="B224" s="1683" t="str">
        <f t="shared" si="7"/>
        <v>047-905</v>
      </c>
      <c r="C224">
        <v>0</v>
      </c>
      <c r="D224">
        <f t="shared" si="6"/>
        <v>0</v>
      </c>
    </row>
    <row r="225" spans="1:4" ht="14.5">
      <c r="A225" t="s">
        <v>5771</v>
      </c>
      <c r="B225" s="1683" t="str">
        <f t="shared" si="7"/>
        <v>048-901</v>
      </c>
      <c r="C225">
        <v>0</v>
      </c>
      <c r="D225">
        <f t="shared" si="6"/>
        <v>0</v>
      </c>
    </row>
    <row r="226" spans="1:4" ht="14.5">
      <c r="A226" t="s">
        <v>4977</v>
      </c>
      <c r="B226" s="1683" t="str">
        <f t="shared" si="7"/>
        <v>048-903</v>
      </c>
      <c r="C226">
        <v>0</v>
      </c>
      <c r="D226">
        <f t="shared" si="6"/>
        <v>0</v>
      </c>
    </row>
    <row r="227" spans="1:4" ht="14.5">
      <c r="A227" t="s">
        <v>2948</v>
      </c>
      <c r="B227" s="1683" t="str">
        <f t="shared" si="7"/>
        <v>049-901</v>
      </c>
      <c r="C227">
        <v>0</v>
      </c>
      <c r="D227">
        <f t="shared" si="6"/>
        <v>0</v>
      </c>
    </row>
    <row r="228" spans="1:4" ht="14.5">
      <c r="A228" t="s">
        <v>4978</v>
      </c>
      <c r="B228" s="1683" t="str">
        <f t="shared" si="7"/>
        <v>049-902</v>
      </c>
      <c r="C228">
        <v>0</v>
      </c>
      <c r="D228">
        <f t="shared" si="6"/>
        <v>0</v>
      </c>
    </row>
    <row r="229" spans="1:4" ht="14.5">
      <c r="A229" t="s">
        <v>2949</v>
      </c>
      <c r="B229" s="1683" t="str">
        <f t="shared" si="7"/>
        <v>049-903</v>
      </c>
      <c r="C229">
        <v>0</v>
      </c>
      <c r="D229">
        <f t="shared" si="6"/>
        <v>0</v>
      </c>
    </row>
    <row r="230" spans="1:4" ht="14.5">
      <c r="A230" t="s">
        <v>4979</v>
      </c>
      <c r="B230" s="1683" t="str">
        <f t="shared" si="7"/>
        <v>049-905</v>
      </c>
      <c r="C230">
        <v>0</v>
      </c>
      <c r="D230">
        <f t="shared" si="6"/>
        <v>0</v>
      </c>
    </row>
    <row r="231" spans="1:4" ht="14.5">
      <c r="A231" t="s">
        <v>2950</v>
      </c>
      <c r="B231" s="1683" t="str">
        <f t="shared" si="7"/>
        <v>049-906</v>
      </c>
      <c r="C231">
        <v>0</v>
      </c>
      <c r="D231">
        <f t="shared" si="6"/>
        <v>0</v>
      </c>
    </row>
    <row r="232" spans="1:4" ht="14.5">
      <c r="A232" t="s">
        <v>4980</v>
      </c>
      <c r="B232" s="1683" t="str">
        <f t="shared" si="7"/>
        <v>049-907</v>
      </c>
      <c r="C232">
        <v>0</v>
      </c>
      <c r="D232">
        <f t="shared" si="6"/>
        <v>0</v>
      </c>
    </row>
    <row r="233" spans="1:4" ht="14.5">
      <c r="A233" t="s">
        <v>5772</v>
      </c>
      <c r="B233" s="1683" t="str">
        <f t="shared" si="7"/>
        <v>049-908</v>
      </c>
      <c r="C233">
        <v>0</v>
      </c>
      <c r="D233">
        <f t="shared" si="6"/>
        <v>0</v>
      </c>
    </row>
    <row r="234" spans="1:4" ht="14.5">
      <c r="A234" t="s">
        <v>5773</v>
      </c>
      <c r="B234" s="1683" t="str">
        <f t="shared" si="7"/>
        <v>049-909</v>
      </c>
      <c r="C234">
        <v>0</v>
      </c>
      <c r="D234">
        <f t="shared" si="6"/>
        <v>0</v>
      </c>
    </row>
    <row r="235" spans="1:4" ht="14.5">
      <c r="A235" t="s">
        <v>5774</v>
      </c>
      <c r="B235" s="1683" t="str">
        <f t="shared" si="7"/>
        <v>050-901</v>
      </c>
      <c r="C235">
        <v>0</v>
      </c>
      <c r="D235">
        <f t="shared" si="6"/>
        <v>0</v>
      </c>
    </row>
    <row r="236" spans="1:4" ht="14.5">
      <c r="A236" t="s">
        <v>4981</v>
      </c>
      <c r="B236" s="1683" t="str">
        <f t="shared" si="7"/>
        <v>050-902</v>
      </c>
      <c r="C236">
        <v>0</v>
      </c>
      <c r="D236">
        <f t="shared" si="6"/>
        <v>0</v>
      </c>
    </row>
    <row r="237" spans="1:4" ht="14.5">
      <c r="A237" t="s">
        <v>2951</v>
      </c>
      <c r="B237" s="1683" t="str">
        <f t="shared" si="7"/>
        <v>050-904</v>
      </c>
      <c r="C237">
        <v>0</v>
      </c>
      <c r="D237">
        <f t="shared" si="6"/>
        <v>0</v>
      </c>
    </row>
    <row r="238" spans="1:4" ht="14.5">
      <c r="A238" t="s">
        <v>4982</v>
      </c>
      <c r="B238" s="1683" t="str">
        <f t="shared" si="7"/>
        <v>050-909</v>
      </c>
      <c r="C238">
        <v>0</v>
      </c>
      <c r="D238">
        <f t="shared" si="6"/>
        <v>0</v>
      </c>
    </row>
    <row r="239" spans="1:4" ht="14.5">
      <c r="A239" t="s">
        <v>2952</v>
      </c>
      <c r="B239" s="1683" t="str">
        <f t="shared" si="7"/>
        <v>050-910</v>
      </c>
      <c r="C239">
        <v>0</v>
      </c>
      <c r="D239">
        <f t="shared" si="6"/>
        <v>0</v>
      </c>
    </row>
    <row r="240" spans="1:4" ht="14.5">
      <c r="A240" t="s">
        <v>5775</v>
      </c>
      <c r="B240" s="1683" t="str">
        <f t="shared" si="7"/>
        <v>051-901</v>
      </c>
      <c r="C240">
        <v>0</v>
      </c>
      <c r="D240">
        <f t="shared" si="6"/>
        <v>0</v>
      </c>
    </row>
    <row r="241" spans="1:4" ht="14.5">
      <c r="A241" t="s">
        <v>4983</v>
      </c>
      <c r="B241" s="1683" t="str">
        <f t="shared" si="7"/>
        <v>052-901</v>
      </c>
      <c r="C241">
        <v>0</v>
      </c>
      <c r="D241">
        <f t="shared" si="6"/>
        <v>0</v>
      </c>
    </row>
    <row r="242" spans="1:4" ht="14.5">
      <c r="A242" t="s">
        <v>5776</v>
      </c>
      <c r="B242" s="1683" t="str">
        <f t="shared" si="7"/>
        <v>053-001</v>
      </c>
      <c r="C242">
        <v>0</v>
      </c>
      <c r="D242">
        <f t="shared" si="6"/>
        <v>0</v>
      </c>
    </row>
    <row r="243" spans="1:4" ht="14.5">
      <c r="A243" t="s">
        <v>5777</v>
      </c>
      <c r="B243" s="1683" t="str">
        <f t="shared" si="7"/>
        <v>054-901</v>
      </c>
      <c r="C243">
        <v>0</v>
      </c>
      <c r="D243">
        <f t="shared" si="6"/>
        <v>0</v>
      </c>
    </row>
    <row r="244" spans="1:4" ht="14.5">
      <c r="A244" t="s">
        <v>5778</v>
      </c>
      <c r="B244" s="1683" t="str">
        <f t="shared" si="7"/>
        <v>054-902</v>
      </c>
      <c r="C244">
        <v>0</v>
      </c>
      <c r="D244">
        <f t="shared" si="6"/>
        <v>0</v>
      </c>
    </row>
    <row r="245" spans="1:4" ht="14.5">
      <c r="A245" t="s">
        <v>5779</v>
      </c>
      <c r="B245" s="1683" t="str">
        <f t="shared" si="7"/>
        <v>054-903</v>
      </c>
      <c r="C245">
        <v>0</v>
      </c>
      <c r="D245">
        <f t="shared" si="6"/>
        <v>0</v>
      </c>
    </row>
    <row r="246" spans="1:4" ht="14.5">
      <c r="A246" t="s">
        <v>4984</v>
      </c>
      <c r="B246" s="1683" t="str">
        <f t="shared" si="7"/>
        <v>055-901</v>
      </c>
      <c r="C246">
        <v>0</v>
      </c>
      <c r="D246">
        <f t="shared" si="6"/>
        <v>0</v>
      </c>
    </row>
    <row r="247" spans="1:4" ht="14.5">
      <c r="A247" t="s">
        <v>4985</v>
      </c>
      <c r="B247" s="1683" t="str">
        <f t="shared" si="7"/>
        <v>056-901</v>
      </c>
      <c r="C247">
        <v>0</v>
      </c>
      <c r="D247">
        <f t="shared" si="6"/>
        <v>0</v>
      </c>
    </row>
    <row r="248" spans="1:4" ht="14.5">
      <c r="A248" t="s">
        <v>5780</v>
      </c>
      <c r="B248" s="1683" t="str">
        <f t="shared" si="7"/>
        <v>056-902</v>
      </c>
      <c r="C248">
        <v>0</v>
      </c>
      <c r="D248">
        <f t="shared" si="6"/>
        <v>0</v>
      </c>
    </row>
    <row r="249" spans="1:4" ht="14.5">
      <c r="A249" t="s">
        <v>7951</v>
      </c>
      <c r="B249" s="1683" t="str">
        <f t="shared" si="7"/>
        <v>057-802</v>
      </c>
      <c r="C249">
        <v>0</v>
      </c>
      <c r="D249">
        <f t="shared" si="6"/>
        <v>0</v>
      </c>
    </row>
    <row r="250" spans="1:4" ht="14.5">
      <c r="A250" t="s">
        <v>7952</v>
      </c>
      <c r="B250" s="1683" t="str">
        <f t="shared" si="7"/>
        <v>057-803</v>
      </c>
      <c r="C250">
        <v>0</v>
      </c>
      <c r="D250">
        <f t="shared" si="6"/>
        <v>0</v>
      </c>
    </row>
    <row r="251" spans="1:4" ht="14.5">
      <c r="A251" t="s">
        <v>7953</v>
      </c>
      <c r="B251" s="1683" t="str">
        <f t="shared" si="7"/>
        <v>057-804</v>
      </c>
      <c r="C251">
        <v>0</v>
      </c>
      <c r="D251">
        <f t="shared" si="6"/>
        <v>0</v>
      </c>
    </row>
    <row r="252" spans="1:4" ht="14.5">
      <c r="A252" t="s">
        <v>7954</v>
      </c>
      <c r="B252" s="1683" t="str">
        <f t="shared" si="7"/>
        <v>057-805</v>
      </c>
      <c r="C252">
        <v>0</v>
      </c>
      <c r="D252">
        <f t="shared" si="6"/>
        <v>0</v>
      </c>
    </row>
    <row r="253" spans="1:4" ht="14.5">
      <c r="A253" t="s">
        <v>7955</v>
      </c>
      <c r="B253" s="1683" t="str">
        <f t="shared" si="7"/>
        <v>057-806</v>
      </c>
      <c r="C253">
        <v>0</v>
      </c>
      <c r="D253">
        <f t="shared" si="6"/>
        <v>0</v>
      </c>
    </row>
    <row r="254" spans="1:4" ht="14.5">
      <c r="A254" t="s">
        <v>7956</v>
      </c>
      <c r="B254" s="1683" t="str">
        <f t="shared" si="7"/>
        <v>057-807</v>
      </c>
      <c r="C254">
        <v>0</v>
      </c>
      <c r="D254">
        <f t="shared" si="6"/>
        <v>0</v>
      </c>
    </row>
    <row r="255" spans="1:4" ht="14.5">
      <c r="A255" t="s">
        <v>7957</v>
      </c>
      <c r="B255" s="1683" t="str">
        <f t="shared" si="7"/>
        <v>057-808</v>
      </c>
      <c r="C255">
        <v>0</v>
      </c>
      <c r="D255">
        <f t="shared" si="6"/>
        <v>0</v>
      </c>
    </row>
    <row r="256" spans="1:4" ht="14.5">
      <c r="A256" t="s">
        <v>7958</v>
      </c>
      <c r="B256" s="1683" t="str">
        <f t="shared" si="7"/>
        <v>057-809</v>
      </c>
      <c r="C256">
        <v>0</v>
      </c>
      <c r="D256">
        <f t="shared" si="6"/>
        <v>0</v>
      </c>
    </row>
    <row r="257" spans="1:4" ht="14.5">
      <c r="A257" t="s">
        <v>7959</v>
      </c>
      <c r="B257" s="1683" t="str">
        <f t="shared" si="7"/>
        <v>057-810</v>
      </c>
      <c r="C257">
        <v>0</v>
      </c>
      <c r="D257">
        <f t="shared" ref="D257:D320" si="8">C257*-1</f>
        <v>0</v>
      </c>
    </row>
    <row r="258" spans="1:4" ht="14.5">
      <c r="A258" t="s">
        <v>7960</v>
      </c>
      <c r="B258" s="1683" t="str">
        <f t="shared" ref="B258:B321" si="9">CONCATENATE(LEFT(RIGHT(CONCATENATE("000",A258),6),3),"-",(RIGHT(RIGHT(CONCATENATE("000",A258),6),3)))</f>
        <v>057-813</v>
      </c>
      <c r="C258">
        <v>0</v>
      </c>
      <c r="D258">
        <f t="shared" si="8"/>
        <v>0</v>
      </c>
    </row>
    <row r="259" spans="1:4" ht="14.5">
      <c r="A259" t="s">
        <v>7961</v>
      </c>
      <c r="B259" s="1683" t="str">
        <f t="shared" si="9"/>
        <v>057-814</v>
      </c>
      <c r="C259">
        <v>0</v>
      </c>
      <c r="D259">
        <f t="shared" si="8"/>
        <v>0</v>
      </c>
    </row>
    <row r="260" spans="1:4" ht="14.5">
      <c r="A260" t="s">
        <v>7962</v>
      </c>
      <c r="B260" s="1683" t="str">
        <f t="shared" si="9"/>
        <v>057-816</v>
      </c>
      <c r="C260">
        <v>0</v>
      </c>
      <c r="D260">
        <f t="shared" si="8"/>
        <v>0</v>
      </c>
    </row>
    <row r="261" spans="1:4" ht="14.5">
      <c r="A261" t="s">
        <v>7963</v>
      </c>
      <c r="B261" s="1683" t="str">
        <f t="shared" si="9"/>
        <v>057-819</v>
      </c>
      <c r="C261">
        <v>0</v>
      </c>
      <c r="D261">
        <f t="shared" si="8"/>
        <v>0</v>
      </c>
    </row>
    <row r="262" spans="1:4" ht="14.5">
      <c r="A262" t="s">
        <v>7964</v>
      </c>
      <c r="B262" s="1683" t="str">
        <f t="shared" si="9"/>
        <v>057-827</v>
      </c>
      <c r="C262">
        <v>0</v>
      </c>
      <c r="D262">
        <f t="shared" si="8"/>
        <v>0</v>
      </c>
    </row>
    <row r="263" spans="1:4" ht="14.5">
      <c r="A263" t="s">
        <v>7965</v>
      </c>
      <c r="B263" s="1683" t="str">
        <f t="shared" si="9"/>
        <v>057-828</v>
      </c>
      <c r="C263">
        <v>0</v>
      </c>
      <c r="D263">
        <f t="shared" si="8"/>
        <v>0</v>
      </c>
    </row>
    <row r="264" spans="1:4" ht="14.5">
      <c r="A264" t="s">
        <v>7966</v>
      </c>
      <c r="B264" s="1683" t="str">
        <f t="shared" si="9"/>
        <v>057-829</v>
      </c>
      <c r="C264">
        <v>0</v>
      </c>
      <c r="D264">
        <f t="shared" si="8"/>
        <v>0</v>
      </c>
    </row>
    <row r="265" spans="1:4" ht="14.5">
      <c r="A265" t="s">
        <v>7967</v>
      </c>
      <c r="B265" s="1683" t="str">
        <f t="shared" si="9"/>
        <v>057-830</v>
      </c>
      <c r="C265">
        <v>0</v>
      </c>
      <c r="D265">
        <f t="shared" si="8"/>
        <v>0</v>
      </c>
    </row>
    <row r="266" spans="1:4" ht="14.5">
      <c r="A266" t="s">
        <v>7968</v>
      </c>
      <c r="B266" s="1683" t="str">
        <f t="shared" si="9"/>
        <v>057-831</v>
      </c>
      <c r="C266">
        <v>0</v>
      </c>
      <c r="D266">
        <f t="shared" si="8"/>
        <v>0</v>
      </c>
    </row>
    <row r="267" spans="1:4" ht="14.5">
      <c r="A267" t="s">
        <v>7969</v>
      </c>
      <c r="B267" s="1683" t="str">
        <f t="shared" si="9"/>
        <v>057-833</v>
      </c>
      <c r="C267">
        <v>0</v>
      </c>
      <c r="D267">
        <f t="shared" si="8"/>
        <v>0</v>
      </c>
    </row>
    <row r="268" spans="1:4" ht="14.5">
      <c r="A268" t="s">
        <v>7970</v>
      </c>
      <c r="B268" s="1683" t="str">
        <f t="shared" si="9"/>
        <v>057-834</v>
      </c>
      <c r="C268">
        <v>0</v>
      </c>
      <c r="D268">
        <f t="shared" si="8"/>
        <v>0</v>
      </c>
    </row>
    <row r="269" spans="1:4" ht="14.5">
      <c r="A269" t="s">
        <v>7971</v>
      </c>
      <c r="B269" s="1683" t="str">
        <f t="shared" si="9"/>
        <v>057-835</v>
      </c>
      <c r="C269">
        <v>0</v>
      </c>
      <c r="D269">
        <f t="shared" si="8"/>
        <v>0</v>
      </c>
    </row>
    <row r="270" spans="1:4" ht="14.5">
      <c r="A270" t="s">
        <v>7972</v>
      </c>
      <c r="B270" s="1683" t="str">
        <f t="shared" si="9"/>
        <v>057-836</v>
      </c>
      <c r="C270">
        <v>0</v>
      </c>
      <c r="D270">
        <f t="shared" si="8"/>
        <v>0</v>
      </c>
    </row>
    <row r="271" spans="1:4" ht="14.5">
      <c r="A271" t="s">
        <v>7973</v>
      </c>
      <c r="B271" s="1683" t="str">
        <f t="shared" si="9"/>
        <v>057-839</v>
      </c>
      <c r="C271">
        <v>0</v>
      </c>
      <c r="D271">
        <f t="shared" si="8"/>
        <v>0</v>
      </c>
    </row>
    <row r="272" spans="1:4" ht="14.5">
      <c r="A272" t="s">
        <v>7974</v>
      </c>
      <c r="B272" s="1683" t="str">
        <f t="shared" si="9"/>
        <v>057-840</v>
      </c>
      <c r="C272">
        <v>0</v>
      </c>
      <c r="D272">
        <f t="shared" si="8"/>
        <v>0</v>
      </c>
    </row>
    <row r="273" spans="1:4" ht="14.5">
      <c r="A273" t="s">
        <v>7975</v>
      </c>
      <c r="B273" s="1683" t="str">
        <f t="shared" si="9"/>
        <v>057-841</v>
      </c>
      <c r="C273">
        <v>0</v>
      </c>
      <c r="D273">
        <f t="shared" si="8"/>
        <v>0</v>
      </c>
    </row>
    <row r="274" spans="1:4" ht="14.5">
      <c r="A274" t="s">
        <v>7976</v>
      </c>
      <c r="B274" s="1683" t="str">
        <f t="shared" si="9"/>
        <v>057-844</v>
      </c>
      <c r="C274">
        <v>0</v>
      </c>
      <c r="D274">
        <f t="shared" si="8"/>
        <v>0</v>
      </c>
    </row>
    <row r="275" spans="1:4" ht="14.5">
      <c r="A275" t="s">
        <v>7977</v>
      </c>
      <c r="B275" s="1683" t="str">
        <f t="shared" si="9"/>
        <v>057-845</v>
      </c>
      <c r="C275">
        <v>0</v>
      </c>
      <c r="D275">
        <f t="shared" si="8"/>
        <v>0</v>
      </c>
    </row>
    <row r="276" spans="1:4" ht="14.5">
      <c r="A276" t="s">
        <v>7978</v>
      </c>
      <c r="B276" s="1683" t="str">
        <f t="shared" si="9"/>
        <v>057-846</v>
      </c>
      <c r="C276">
        <v>0</v>
      </c>
      <c r="D276">
        <f t="shared" si="8"/>
        <v>0</v>
      </c>
    </row>
    <row r="277" spans="1:4" ht="14.5">
      <c r="A277" t="s">
        <v>7979</v>
      </c>
      <c r="B277" s="1683" t="str">
        <f t="shared" si="9"/>
        <v>057-847</v>
      </c>
      <c r="C277">
        <v>0</v>
      </c>
      <c r="D277">
        <f t="shared" si="8"/>
        <v>0</v>
      </c>
    </row>
    <row r="278" spans="1:4" ht="14.5">
      <c r="A278" t="s">
        <v>7980</v>
      </c>
      <c r="B278" s="1683" t="str">
        <f t="shared" si="9"/>
        <v>057-848</v>
      </c>
      <c r="C278">
        <v>0</v>
      </c>
      <c r="D278">
        <f t="shared" si="8"/>
        <v>0</v>
      </c>
    </row>
    <row r="279" spans="1:4" ht="14.5">
      <c r="A279" t="s">
        <v>7982</v>
      </c>
      <c r="B279" s="1683" t="str">
        <f t="shared" si="9"/>
        <v>057-850</v>
      </c>
      <c r="C279">
        <v>0</v>
      </c>
      <c r="D279">
        <f t="shared" si="8"/>
        <v>0</v>
      </c>
    </row>
    <row r="280" spans="1:4" ht="14.5">
      <c r="A280" t="s">
        <v>7983</v>
      </c>
      <c r="B280" s="1683" t="str">
        <f t="shared" si="9"/>
        <v>057-851</v>
      </c>
      <c r="C280">
        <v>0</v>
      </c>
      <c r="D280">
        <f t="shared" si="8"/>
        <v>0</v>
      </c>
    </row>
    <row r="281" spans="1:4" ht="14.5">
      <c r="A281" t="s">
        <v>4986</v>
      </c>
      <c r="B281" s="1683" t="str">
        <f t="shared" si="9"/>
        <v>057-903</v>
      </c>
      <c r="C281">
        <v>0</v>
      </c>
      <c r="D281">
        <f t="shared" si="8"/>
        <v>0</v>
      </c>
    </row>
    <row r="282" spans="1:4" ht="14.5">
      <c r="A282" t="s">
        <v>4987</v>
      </c>
      <c r="B282" s="1683" t="str">
        <f t="shared" si="9"/>
        <v>057-904</v>
      </c>
      <c r="C282">
        <v>0</v>
      </c>
      <c r="D282">
        <f t="shared" si="8"/>
        <v>0</v>
      </c>
    </row>
    <row r="283" spans="1:4" ht="14.5">
      <c r="A283" t="s">
        <v>4988</v>
      </c>
      <c r="B283" s="1683" t="str">
        <f t="shared" si="9"/>
        <v>057-905</v>
      </c>
      <c r="C283">
        <v>0</v>
      </c>
      <c r="D283">
        <f t="shared" si="8"/>
        <v>0</v>
      </c>
    </row>
    <row r="284" spans="1:4" ht="14.5">
      <c r="A284" t="s">
        <v>2953</v>
      </c>
      <c r="B284" s="1683" t="str">
        <f t="shared" si="9"/>
        <v>057-906</v>
      </c>
      <c r="C284">
        <v>0</v>
      </c>
      <c r="D284">
        <f t="shared" si="8"/>
        <v>0</v>
      </c>
    </row>
    <row r="285" spans="1:4" ht="14.5">
      <c r="A285" t="s">
        <v>4989</v>
      </c>
      <c r="B285" s="1683" t="str">
        <f t="shared" si="9"/>
        <v>057-907</v>
      </c>
      <c r="C285">
        <v>0</v>
      </c>
      <c r="D285">
        <f t="shared" si="8"/>
        <v>0</v>
      </c>
    </row>
    <row r="286" spans="1:4" ht="14.5">
      <c r="A286" t="s">
        <v>2954</v>
      </c>
      <c r="B286" s="1683" t="str">
        <f t="shared" si="9"/>
        <v>057-909</v>
      </c>
      <c r="C286">
        <v>0</v>
      </c>
      <c r="D286">
        <f t="shared" si="8"/>
        <v>0</v>
      </c>
    </row>
    <row r="287" spans="1:4" ht="14.5">
      <c r="A287" t="s">
        <v>2955</v>
      </c>
      <c r="B287" s="1683" t="str">
        <f t="shared" si="9"/>
        <v>057-910</v>
      </c>
      <c r="C287">
        <v>0</v>
      </c>
      <c r="D287">
        <f t="shared" si="8"/>
        <v>0</v>
      </c>
    </row>
    <row r="288" spans="1:4" ht="14.5">
      <c r="A288" t="s">
        <v>4990</v>
      </c>
      <c r="B288" s="1683" t="str">
        <f t="shared" si="9"/>
        <v>057-911</v>
      </c>
      <c r="C288">
        <v>0</v>
      </c>
      <c r="D288">
        <f t="shared" si="8"/>
        <v>0</v>
      </c>
    </row>
    <row r="289" spans="1:4" ht="14.5">
      <c r="A289" t="s">
        <v>2956</v>
      </c>
      <c r="B289" s="1683" t="str">
        <f t="shared" si="9"/>
        <v>057-912</v>
      </c>
      <c r="C289">
        <v>0</v>
      </c>
      <c r="D289">
        <f t="shared" si="8"/>
        <v>0</v>
      </c>
    </row>
    <row r="290" spans="1:4" ht="14.5">
      <c r="A290" t="s">
        <v>4991</v>
      </c>
      <c r="B290" s="1683" t="str">
        <f t="shared" si="9"/>
        <v>057-913</v>
      </c>
      <c r="C290">
        <v>0</v>
      </c>
      <c r="D290">
        <f t="shared" si="8"/>
        <v>0</v>
      </c>
    </row>
    <row r="291" spans="1:4" ht="14.5">
      <c r="A291" t="s">
        <v>2957</v>
      </c>
      <c r="B291" s="1683" t="str">
        <f t="shared" si="9"/>
        <v>057-914</v>
      </c>
      <c r="C291">
        <v>0</v>
      </c>
      <c r="D291">
        <f t="shared" si="8"/>
        <v>0</v>
      </c>
    </row>
    <row r="292" spans="1:4" ht="14.5">
      <c r="A292" t="s">
        <v>4992</v>
      </c>
      <c r="B292" s="1683" t="str">
        <f t="shared" si="9"/>
        <v>057-916</v>
      </c>
      <c r="C292">
        <v>0</v>
      </c>
      <c r="D292">
        <f t="shared" si="8"/>
        <v>0</v>
      </c>
    </row>
    <row r="293" spans="1:4" ht="14.5">
      <c r="A293" t="s">
        <v>4993</v>
      </c>
      <c r="B293" s="1683" t="str">
        <f t="shared" si="9"/>
        <v>057-919</v>
      </c>
      <c r="C293">
        <v>0</v>
      </c>
      <c r="D293">
        <f t="shared" si="8"/>
        <v>0</v>
      </c>
    </row>
    <row r="294" spans="1:4" ht="14.5">
      <c r="A294" t="s">
        <v>4994</v>
      </c>
      <c r="B294" s="1683" t="str">
        <f t="shared" si="9"/>
        <v>057-922</v>
      </c>
      <c r="C294">
        <v>0</v>
      </c>
      <c r="D294">
        <f t="shared" si="8"/>
        <v>0</v>
      </c>
    </row>
    <row r="295" spans="1:4" ht="14.5">
      <c r="A295" t="s">
        <v>8504</v>
      </c>
      <c r="B295" s="1683" t="str">
        <f t="shared" si="9"/>
        <v>057-950</v>
      </c>
      <c r="C295">
        <v>0</v>
      </c>
      <c r="D295">
        <f t="shared" si="8"/>
        <v>0</v>
      </c>
    </row>
    <row r="296" spans="1:4" ht="14.5">
      <c r="A296" t="s">
        <v>5781</v>
      </c>
      <c r="B296" s="1683" t="str">
        <f t="shared" si="9"/>
        <v>058-902</v>
      </c>
      <c r="C296">
        <v>0</v>
      </c>
      <c r="D296">
        <f t="shared" si="8"/>
        <v>0</v>
      </c>
    </row>
    <row r="297" spans="1:4" ht="14.5">
      <c r="A297" t="s">
        <v>4995</v>
      </c>
      <c r="B297" s="1683" t="str">
        <f t="shared" si="9"/>
        <v>058-905</v>
      </c>
      <c r="C297">
        <v>0</v>
      </c>
      <c r="D297">
        <f t="shared" si="8"/>
        <v>0</v>
      </c>
    </row>
    <row r="298" spans="1:4" ht="14.5">
      <c r="A298" t="s">
        <v>5782</v>
      </c>
      <c r="B298" s="1683" t="str">
        <f t="shared" si="9"/>
        <v>058-906</v>
      </c>
      <c r="C298">
        <v>0</v>
      </c>
      <c r="D298">
        <f t="shared" si="8"/>
        <v>0</v>
      </c>
    </row>
    <row r="299" spans="1:4" ht="14.5">
      <c r="A299" t="s">
        <v>4996</v>
      </c>
      <c r="B299" s="1683" t="str">
        <f t="shared" si="9"/>
        <v>058-909</v>
      </c>
      <c r="C299">
        <v>0</v>
      </c>
      <c r="D299">
        <f t="shared" si="8"/>
        <v>0</v>
      </c>
    </row>
    <row r="300" spans="1:4" ht="14.5">
      <c r="A300" t="s">
        <v>3768</v>
      </c>
      <c r="B300" s="1683" t="str">
        <f t="shared" si="9"/>
        <v>059-901</v>
      </c>
      <c r="C300">
        <v>0</v>
      </c>
      <c r="D300">
        <f t="shared" si="8"/>
        <v>0</v>
      </c>
    </row>
    <row r="301" spans="1:4" ht="14.5">
      <c r="A301" t="s">
        <v>5783</v>
      </c>
      <c r="B301" s="1683" t="str">
        <f t="shared" si="9"/>
        <v>059-902</v>
      </c>
      <c r="C301">
        <v>0</v>
      </c>
      <c r="D301">
        <f t="shared" si="8"/>
        <v>0</v>
      </c>
    </row>
    <row r="302" spans="1:4" ht="14.5">
      <c r="A302" t="s">
        <v>2958</v>
      </c>
      <c r="B302" s="1683" t="str">
        <f t="shared" si="9"/>
        <v>060-902</v>
      </c>
      <c r="C302">
        <v>0</v>
      </c>
      <c r="D302">
        <f t="shared" si="8"/>
        <v>0</v>
      </c>
    </row>
    <row r="303" spans="1:4" ht="14.5">
      <c r="A303" t="s">
        <v>2959</v>
      </c>
      <c r="B303" s="1683" t="str">
        <f t="shared" si="9"/>
        <v>060-914</v>
      </c>
      <c r="C303">
        <v>0</v>
      </c>
      <c r="D303">
        <f t="shared" si="8"/>
        <v>0</v>
      </c>
    </row>
    <row r="304" spans="1:4" ht="14.5">
      <c r="A304" t="s">
        <v>7984</v>
      </c>
      <c r="B304" s="1683" t="str">
        <f t="shared" si="9"/>
        <v>061-501</v>
      </c>
      <c r="C304">
        <v>0</v>
      </c>
      <c r="D304">
        <f t="shared" si="8"/>
        <v>0</v>
      </c>
    </row>
    <row r="305" spans="1:4" ht="14.5">
      <c r="A305" t="s">
        <v>7986</v>
      </c>
      <c r="B305" s="1683" t="str">
        <f t="shared" si="9"/>
        <v>061-802</v>
      </c>
      <c r="C305">
        <v>0</v>
      </c>
      <c r="D305">
        <f t="shared" si="8"/>
        <v>0</v>
      </c>
    </row>
    <row r="306" spans="1:4" ht="14.5">
      <c r="A306" t="s">
        <v>7987</v>
      </c>
      <c r="B306" s="1683" t="str">
        <f t="shared" si="9"/>
        <v>061-804</v>
      </c>
      <c r="C306">
        <v>0</v>
      </c>
      <c r="D306">
        <f t="shared" si="8"/>
        <v>0</v>
      </c>
    </row>
    <row r="307" spans="1:4" ht="14.5">
      <c r="A307" t="s">
        <v>7988</v>
      </c>
      <c r="B307" s="1683" t="str">
        <f t="shared" si="9"/>
        <v>061-805</v>
      </c>
      <c r="C307">
        <v>0</v>
      </c>
      <c r="D307">
        <f t="shared" si="8"/>
        <v>0</v>
      </c>
    </row>
    <row r="308" spans="1:4" ht="14.5">
      <c r="A308" t="s">
        <v>4997</v>
      </c>
      <c r="B308" s="1683" t="str">
        <f t="shared" si="9"/>
        <v>061-901</v>
      </c>
      <c r="C308">
        <v>0</v>
      </c>
      <c r="D308">
        <f t="shared" si="8"/>
        <v>0</v>
      </c>
    </row>
    <row r="309" spans="1:4" ht="14.5">
      <c r="A309" t="s">
        <v>2960</v>
      </c>
      <c r="B309" s="1683" t="str">
        <f t="shared" si="9"/>
        <v>061-902</v>
      </c>
      <c r="C309">
        <v>0</v>
      </c>
      <c r="D309">
        <f t="shared" si="8"/>
        <v>0</v>
      </c>
    </row>
    <row r="310" spans="1:4" ht="14.5">
      <c r="A310" t="s">
        <v>3776</v>
      </c>
      <c r="B310" s="1683" t="str">
        <f t="shared" si="9"/>
        <v>061-903</v>
      </c>
      <c r="C310">
        <v>0</v>
      </c>
      <c r="D310">
        <f t="shared" si="8"/>
        <v>0</v>
      </c>
    </row>
    <row r="311" spans="1:4" ht="14.5">
      <c r="A311" t="s">
        <v>2961</v>
      </c>
      <c r="B311" s="1683" t="str">
        <f t="shared" si="9"/>
        <v>061-905</v>
      </c>
      <c r="C311">
        <v>0</v>
      </c>
      <c r="D311">
        <f t="shared" si="8"/>
        <v>0</v>
      </c>
    </row>
    <row r="312" spans="1:4" ht="14.5">
      <c r="A312" t="s">
        <v>2962</v>
      </c>
      <c r="B312" s="1683" t="str">
        <f t="shared" si="9"/>
        <v>061-906</v>
      </c>
      <c r="C312">
        <v>0</v>
      </c>
      <c r="D312">
        <f t="shared" si="8"/>
        <v>0</v>
      </c>
    </row>
    <row r="313" spans="1:4" ht="14.5">
      <c r="A313" t="s">
        <v>2963</v>
      </c>
      <c r="B313" s="1683" t="str">
        <f t="shared" si="9"/>
        <v>061-907</v>
      </c>
      <c r="C313">
        <v>0</v>
      </c>
      <c r="D313">
        <f t="shared" si="8"/>
        <v>0</v>
      </c>
    </row>
    <row r="314" spans="1:4" ht="14.5">
      <c r="A314" t="s">
        <v>2964</v>
      </c>
      <c r="B314" s="1683" t="str">
        <f t="shared" si="9"/>
        <v>061-908</v>
      </c>
      <c r="C314">
        <v>0</v>
      </c>
      <c r="D314">
        <f t="shared" si="8"/>
        <v>0</v>
      </c>
    </row>
    <row r="315" spans="1:4" ht="14.5">
      <c r="A315" t="s">
        <v>4998</v>
      </c>
      <c r="B315" s="1683" t="str">
        <f t="shared" si="9"/>
        <v>061-910</v>
      </c>
      <c r="C315">
        <v>0</v>
      </c>
      <c r="D315">
        <f t="shared" si="8"/>
        <v>0</v>
      </c>
    </row>
    <row r="316" spans="1:4" ht="14.5">
      <c r="A316" t="s">
        <v>2965</v>
      </c>
      <c r="B316" s="1683" t="str">
        <f t="shared" si="9"/>
        <v>061-911</v>
      </c>
      <c r="C316">
        <v>0</v>
      </c>
      <c r="D316">
        <f t="shared" si="8"/>
        <v>0</v>
      </c>
    </row>
    <row r="317" spans="1:4" ht="14.5">
      <c r="A317" t="s">
        <v>2966</v>
      </c>
      <c r="B317" s="1683" t="str">
        <f t="shared" si="9"/>
        <v>061-912</v>
      </c>
      <c r="C317">
        <v>0</v>
      </c>
      <c r="D317">
        <f t="shared" si="8"/>
        <v>0</v>
      </c>
    </row>
    <row r="318" spans="1:4" ht="14.5">
      <c r="A318" t="s">
        <v>2967</v>
      </c>
      <c r="B318" s="1683" t="str">
        <f t="shared" si="9"/>
        <v>061-914</v>
      </c>
      <c r="C318">
        <v>0</v>
      </c>
      <c r="D318">
        <f t="shared" si="8"/>
        <v>0</v>
      </c>
    </row>
    <row r="319" spans="1:4" ht="14.5">
      <c r="A319" t="s">
        <v>2968</v>
      </c>
      <c r="B319" s="1683" t="str">
        <f t="shared" si="9"/>
        <v>062-901</v>
      </c>
      <c r="C319">
        <v>-8.0000000000000099E-2</v>
      </c>
      <c r="D319">
        <f t="shared" si="8"/>
        <v>8.0000000000000099E-2</v>
      </c>
    </row>
    <row r="320" spans="1:4" ht="14.5">
      <c r="A320" t="s">
        <v>4999</v>
      </c>
      <c r="B320" s="1683" t="str">
        <f t="shared" si="9"/>
        <v>062-902</v>
      </c>
      <c r="C320">
        <v>0</v>
      </c>
      <c r="D320">
        <f t="shared" si="8"/>
        <v>0</v>
      </c>
    </row>
    <row r="321" spans="1:4" ht="14.5">
      <c r="A321" t="s">
        <v>2969</v>
      </c>
      <c r="B321" s="1683" t="str">
        <f t="shared" si="9"/>
        <v>062-903</v>
      </c>
      <c r="C321">
        <v>0</v>
      </c>
      <c r="D321">
        <f t="shared" ref="D321:D384" si="10">C321*-1</f>
        <v>0</v>
      </c>
    </row>
    <row r="322" spans="1:4" ht="14.5">
      <c r="A322" t="s">
        <v>5000</v>
      </c>
      <c r="B322" s="1683" t="str">
        <f t="shared" ref="B322:B385" si="11">CONCATENATE(LEFT(RIGHT(CONCATENATE("000",A322),6),3),"-",(RIGHT(RIGHT(CONCATENATE("000",A322),6),3)))</f>
        <v>062-904</v>
      </c>
      <c r="C322">
        <v>0</v>
      </c>
      <c r="D322">
        <f t="shared" si="10"/>
        <v>0</v>
      </c>
    </row>
    <row r="323" spans="1:4" ht="14.5">
      <c r="A323" t="s">
        <v>5784</v>
      </c>
      <c r="B323" s="1683" t="str">
        <f t="shared" si="11"/>
        <v>062-905</v>
      </c>
      <c r="C323">
        <v>0</v>
      </c>
      <c r="D323">
        <f t="shared" si="10"/>
        <v>0</v>
      </c>
    </row>
    <row r="324" spans="1:4" ht="14.5">
      <c r="A324" t="s">
        <v>5785</v>
      </c>
      <c r="B324" s="1683" t="str">
        <f t="shared" si="11"/>
        <v>062-906</v>
      </c>
      <c r="C324">
        <v>0</v>
      </c>
      <c r="D324">
        <f t="shared" si="10"/>
        <v>0</v>
      </c>
    </row>
    <row r="325" spans="1:4" ht="14.5">
      <c r="A325" t="s">
        <v>5001</v>
      </c>
      <c r="B325" s="1683" t="str">
        <f t="shared" si="11"/>
        <v>063-903</v>
      </c>
      <c r="C325">
        <v>0</v>
      </c>
      <c r="D325">
        <f t="shared" si="10"/>
        <v>0</v>
      </c>
    </row>
    <row r="326" spans="1:4" ht="14.5">
      <c r="A326" t="s">
        <v>5786</v>
      </c>
      <c r="B326" s="1683" t="str">
        <f t="shared" si="11"/>
        <v>063-906</v>
      </c>
      <c r="C326">
        <v>0</v>
      </c>
      <c r="D326">
        <f t="shared" si="10"/>
        <v>0</v>
      </c>
    </row>
    <row r="327" spans="1:4" ht="14.5">
      <c r="A327" t="s">
        <v>2970</v>
      </c>
      <c r="B327" s="1683" t="str">
        <f t="shared" si="11"/>
        <v>064-903</v>
      </c>
      <c r="C327">
        <v>0</v>
      </c>
      <c r="D327">
        <f t="shared" si="10"/>
        <v>0</v>
      </c>
    </row>
    <row r="328" spans="1:4" ht="14.5">
      <c r="A328" t="s">
        <v>5787</v>
      </c>
      <c r="B328" s="1683" t="str">
        <f t="shared" si="11"/>
        <v>065-901</v>
      </c>
      <c r="C328">
        <v>0</v>
      </c>
      <c r="D328">
        <f t="shared" si="10"/>
        <v>0</v>
      </c>
    </row>
    <row r="329" spans="1:4" ht="14.5">
      <c r="A329" t="s">
        <v>2971</v>
      </c>
      <c r="B329" s="1683" t="str">
        <f t="shared" si="11"/>
        <v>065-902</v>
      </c>
      <c r="C329">
        <v>0</v>
      </c>
      <c r="D329">
        <f t="shared" si="10"/>
        <v>0</v>
      </c>
    </row>
    <row r="330" spans="1:4" ht="14.5">
      <c r="A330" t="s">
        <v>5788</v>
      </c>
      <c r="B330" s="1683" t="str">
        <f t="shared" si="11"/>
        <v>066-005</v>
      </c>
      <c r="C330">
        <v>0</v>
      </c>
      <c r="D330">
        <f t="shared" si="10"/>
        <v>0</v>
      </c>
    </row>
    <row r="331" spans="1:4" ht="14.5">
      <c r="A331" t="s">
        <v>5002</v>
      </c>
      <c r="B331" s="1683" t="str">
        <f t="shared" si="11"/>
        <v>066-901</v>
      </c>
      <c r="C331">
        <v>0</v>
      </c>
      <c r="D331">
        <f t="shared" si="10"/>
        <v>0</v>
      </c>
    </row>
    <row r="332" spans="1:4" ht="14.5">
      <c r="A332" t="s">
        <v>2972</v>
      </c>
      <c r="B332" s="1683" t="str">
        <f t="shared" si="11"/>
        <v>066-902</v>
      </c>
      <c r="C332">
        <v>0</v>
      </c>
      <c r="D332">
        <f t="shared" si="10"/>
        <v>0</v>
      </c>
    </row>
    <row r="333" spans="1:4" ht="14.5">
      <c r="A333" t="s">
        <v>5003</v>
      </c>
      <c r="B333" s="1683" t="str">
        <f t="shared" si="11"/>
        <v>066-903</v>
      </c>
      <c r="C333">
        <v>0</v>
      </c>
      <c r="D333">
        <f t="shared" si="10"/>
        <v>0</v>
      </c>
    </row>
    <row r="334" spans="1:4" ht="14.5">
      <c r="A334" t="s">
        <v>3827</v>
      </c>
      <c r="B334" s="1683" t="str">
        <f t="shared" si="11"/>
        <v>067-902</v>
      </c>
      <c r="C334">
        <v>0</v>
      </c>
      <c r="D334">
        <f t="shared" si="10"/>
        <v>0</v>
      </c>
    </row>
    <row r="335" spans="1:4" ht="14.5">
      <c r="A335" t="s">
        <v>5789</v>
      </c>
      <c r="B335" s="1683" t="str">
        <f t="shared" si="11"/>
        <v>067-903</v>
      </c>
      <c r="C335">
        <v>0</v>
      </c>
      <c r="D335">
        <f t="shared" si="10"/>
        <v>0</v>
      </c>
    </row>
    <row r="336" spans="1:4" ht="14.5">
      <c r="A336" t="s">
        <v>5004</v>
      </c>
      <c r="B336" s="1683" t="str">
        <f t="shared" si="11"/>
        <v>067-904</v>
      </c>
      <c r="C336">
        <v>0</v>
      </c>
      <c r="D336">
        <f t="shared" si="10"/>
        <v>0</v>
      </c>
    </row>
    <row r="337" spans="1:4" ht="14.5">
      <c r="A337" t="s">
        <v>5790</v>
      </c>
      <c r="B337" s="1683" t="str">
        <f t="shared" si="11"/>
        <v>067-907</v>
      </c>
      <c r="C337">
        <v>0</v>
      </c>
      <c r="D337">
        <f t="shared" si="10"/>
        <v>0</v>
      </c>
    </row>
    <row r="338" spans="1:4" ht="14.5">
      <c r="A338" t="s">
        <v>5791</v>
      </c>
      <c r="B338" s="1683" t="str">
        <f t="shared" si="11"/>
        <v>067-908</v>
      </c>
      <c r="C338">
        <v>0</v>
      </c>
      <c r="D338">
        <f t="shared" si="10"/>
        <v>0</v>
      </c>
    </row>
    <row r="339" spans="1:4" ht="14.5">
      <c r="A339" t="s">
        <v>7989</v>
      </c>
      <c r="B339" s="1683" t="str">
        <f t="shared" si="11"/>
        <v>068-802</v>
      </c>
      <c r="C339">
        <v>0</v>
      </c>
      <c r="D339">
        <f t="shared" si="10"/>
        <v>0</v>
      </c>
    </row>
    <row r="340" spans="1:4" ht="14.5">
      <c r="A340" t="s">
        <v>7990</v>
      </c>
      <c r="B340" s="1683" t="str">
        <f t="shared" si="11"/>
        <v>068-803</v>
      </c>
      <c r="C340">
        <v>0</v>
      </c>
      <c r="D340">
        <f t="shared" si="10"/>
        <v>0</v>
      </c>
    </row>
    <row r="341" spans="1:4" ht="14.5">
      <c r="A341" t="s">
        <v>5005</v>
      </c>
      <c r="B341" s="1683" t="str">
        <f t="shared" si="11"/>
        <v>068-901</v>
      </c>
      <c r="C341">
        <v>0</v>
      </c>
      <c r="D341">
        <f t="shared" si="10"/>
        <v>0</v>
      </c>
    </row>
    <row r="342" spans="1:4" ht="14.5">
      <c r="A342" t="s">
        <v>5006</v>
      </c>
      <c r="B342" s="1683" t="str">
        <f t="shared" si="11"/>
        <v>069-901</v>
      </c>
      <c r="C342">
        <v>0</v>
      </c>
      <c r="D342">
        <f t="shared" si="10"/>
        <v>0</v>
      </c>
    </row>
    <row r="343" spans="1:4" ht="14.5">
      <c r="A343" t="s">
        <v>5792</v>
      </c>
      <c r="B343" s="1683" t="str">
        <f t="shared" si="11"/>
        <v>069-902</v>
      </c>
      <c r="C343">
        <v>0</v>
      </c>
      <c r="D343">
        <f t="shared" si="10"/>
        <v>0</v>
      </c>
    </row>
    <row r="344" spans="1:4" ht="14.5">
      <c r="A344" t="s">
        <v>7991</v>
      </c>
      <c r="B344" s="1683" t="str">
        <f t="shared" si="11"/>
        <v>070-801</v>
      </c>
      <c r="C344">
        <v>0</v>
      </c>
      <c r="D344">
        <f t="shared" si="10"/>
        <v>0</v>
      </c>
    </row>
    <row r="345" spans="1:4" ht="14.5">
      <c r="A345" t="s">
        <v>2973</v>
      </c>
      <c r="B345" s="1683" t="str">
        <f t="shared" si="11"/>
        <v>070-901</v>
      </c>
      <c r="C345">
        <v>0</v>
      </c>
      <c r="D345">
        <f t="shared" si="10"/>
        <v>0</v>
      </c>
    </row>
    <row r="346" spans="1:4" ht="14.5">
      <c r="A346" t="s">
        <v>5007</v>
      </c>
      <c r="B346" s="1683" t="str">
        <f t="shared" si="11"/>
        <v>070-903</v>
      </c>
      <c r="C346">
        <v>0</v>
      </c>
      <c r="D346">
        <f t="shared" si="10"/>
        <v>0</v>
      </c>
    </row>
    <row r="347" spans="1:4" ht="14.5">
      <c r="A347" t="s">
        <v>2974</v>
      </c>
      <c r="B347" s="1683" t="str">
        <f t="shared" si="11"/>
        <v>070-905</v>
      </c>
      <c r="C347">
        <v>0</v>
      </c>
      <c r="D347">
        <f t="shared" si="10"/>
        <v>0</v>
      </c>
    </row>
    <row r="348" spans="1:4" ht="14.5">
      <c r="A348" t="s">
        <v>2975</v>
      </c>
      <c r="B348" s="1683" t="str">
        <f t="shared" si="11"/>
        <v>070-907</v>
      </c>
      <c r="C348">
        <v>0</v>
      </c>
      <c r="D348">
        <f t="shared" si="10"/>
        <v>0</v>
      </c>
    </row>
    <row r="349" spans="1:4" ht="14.5">
      <c r="A349" t="s">
        <v>5008</v>
      </c>
      <c r="B349" s="1683" t="str">
        <f t="shared" si="11"/>
        <v>070-908</v>
      </c>
      <c r="C349">
        <v>0</v>
      </c>
      <c r="D349">
        <f t="shared" si="10"/>
        <v>0</v>
      </c>
    </row>
    <row r="350" spans="1:4" ht="14.5">
      <c r="A350" t="s">
        <v>5793</v>
      </c>
      <c r="B350" s="1683" t="str">
        <f t="shared" si="11"/>
        <v>070-909</v>
      </c>
      <c r="C350">
        <v>0</v>
      </c>
      <c r="D350">
        <f t="shared" si="10"/>
        <v>0</v>
      </c>
    </row>
    <row r="351" spans="1:4" ht="14.5">
      <c r="A351" t="s">
        <v>2976</v>
      </c>
      <c r="B351" s="1683" t="str">
        <f t="shared" si="11"/>
        <v>070-910</v>
      </c>
      <c r="C351">
        <v>0</v>
      </c>
      <c r="D351">
        <f t="shared" si="10"/>
        <v>0</v>
      </c>
    </row>
    <row r="352" spans="1:4" ht="14.5">
      <c r="A352" t="s">
        <v>2977</v>
      </c>
      <c r="B352" s="1683" t="str">
        <f t="shared" si="11"/>
        <v>070-911</v>
      </c>
      <c r="C352">
        <v>0</v>
      </c>
      <c r="D352">
        <f t="shared" si="10"/>
        <v>0</v>
      </c>
    </row>
    <row r="353" spans="1:4" ht="14.5">
      <c r="A353" t="s">
        <v>2978</v>
      </c>
      <c r="B353" s="1683" t="str">
        <f t="shared" si="11"/>
        <v>070-912</v>
      </c>
      <c r="C353">
        <v>0</v>
      </c>
      <c r="D353">
        <f t="shared" si="10"/>
        <v>0</v>
      </c>
    </row>
    <row r="354" spans="1:4" ht="14.5">
      <c r="A354" t="s">
        <v>2979</v>
      </c>
      <c r="B354" s="1683" t="str">
        <f t="shared" si="11"/>
        <v>070-915</v>
      </c>
      <c r="C354">
        <v>0</v>
      </c>
      <c r="D354">
        <f t="shared" si="10"/>
        <v>0</v>
      </c>
    </row>
    <row r="355" spans="1:4" ht="14.5">
      <c r="A355" t="s">
        <v>7992</v>
      </c>
      <c r="B355" s="1683" t="str">
        <f t="shared" si="11"/>
        <v>071-801</v>
      </c>
      <c r="C355">
        <v>0</v>
      </c>
      <c r="D355">
        <f t="shared" si="10"/>
        <v>0</v>
      </c>
    </row>
    <row r="356" spans="1:4" ht="14.5">
      <c r="A356" t="s">
        <v>7993</v>
      </c>
      <c r="B356" s="1683" t="str">
        <f t="shared" si="11"/>
        <v>071-803</v>
      </c>
      <c r="C356">
        <v>0</v>
      </c>
      <c r="D356">
        <f t="shared" si="10"/>
        <v>0</v>
      </c>
    </row>
    <row r="357" spans="1:4" ht="14.5">
      <c r="A357" t="s">
        <v>7994</v>
      </c>
      <c r="B357" s="1683" t="str">
        <f t="shared" si="11"/>
        <v>071-804</v>
      </c>
      <c r="C357">
        <v>0</v>
      </c>
      <c r="D357">
        <f t="shared" si="10"/>
        <v>0</v>
      </c>
    </row>
    <row r="358" spans="1:4" ht="14.5">
      <c r="A358" t="s">
        <v>7995</v>
      </c>
      <c r="B358" s="1683" t="str">
        <f t="shared" si="11"/>
        <v>071-806</v>
      </c>
      <c r="C358">
        <v>0</v>
      </c>
      <c r="D358">
        <f t="shared" si="10"/>
        <v>0</v>
      </c>
    </row>
    <row r="359" spans="1:4" ht="14.5">
      <c r="A359" t="s">
        <v>7996</v>
      </c>
      <c r="B359" s="1683" t="str">
        <f t="shared" si="11"/>
        <v>071-807</v>
      </c>
      <c r="C359">
        <v>0</v>
      </c>
      <c r="D359">
        <f t="shared" si="10"/>
        <v>0</v>
      </c>
    </row>
    <row r="360" spans="1:4" ht="14.5">
      <c r="A360" t="s">
        <v>7997</v>
      </c>
      <c r="B360" s="1683" t="str">
        <f t="shared" si="11"/>
        <v>071-809</v>
      </c>
      <c r="C360">
        <v>0</v>
      </c>
      <c r="D360">
        <f t="shared" si="10"/>
        <v>0</v>
      </c>
    </row>
    <row r="361" spans="1:4" ht="14.5">
      <c r="A361" t="s">
        <v>7998</v>
      </c>
      <c r="B361" s="1683" t="str">
        <f t="shared" si="11"/>
        <v>071-810</v>
      </c>
      <c r="C361">
        <v>0</v>
      </c>
      <c r="D361">
        <f t="shared" si="10"/>
        <v>0</v>
      </c>
    </row>
    <row r="362" spans="1:4" ht="14.5">
      <c r="A362" t="s">
        <v>2980</v>
      </c>
      <c r="B362" s="1683" t="str">
        <f t="shared" si="11"/>
        <v>071-901</v>
      </c>
      <c r="C362">
        <v>0</v>
      </c>
      <c r="D362">
        <f t="shared" si="10"/>
        <v>0</v>
      </c>
    </row>
    <row r="363" spans="1:4" ht="14.5">
      <c r="A363" t="s">
        <v>2981</v>
      </c>
      <c r="B363" s="1683" t="str">
        <f t="shared" si="11"/>
        <v>071-902</v>
      </c>
      <c r="C363">
        <v>0</v>
      </c>
      <c r="D363">
        <f t="shared" si="10"/>
        <v>0</v>
      </c>
    </row>
    <row r="364" spans="1:4" ht="14.5">
      <c r="A364" t="s">
        <v>2982</v>
      </c>
      <c r="B364" s="1683" t="str">
        <f t="shared" si="11"/>
        <v>071-903</v>
      </c>
      <c r="C364">
        <v>0</v>
      </c>
      <c r="D364">
        <f t="shared" si="10"/>
        <v>0</v>
      </c>
    </row>
    <row r="365" spans="1:4" ht="14.5">
      <c r="A365" t="s">
        <v>3862</v>
      </c>
      <c r="B365" s="1683" t="str">
        <f t="shared" si="11"/>
        <v>071-904</v>
      </c>
      <c r="C365">
        <v>0</v>
      </c>
      <c r="D365">
        <f t="shared" si="10"/>
        <v>0</v>
      </c>
    </row>
    <row r="366" spans="1:4" ht="14.5">
      <c r="A366" t="s">
        <v>3867</v>
      </c>
      <c r="B366" s="1683" t="str">
        <f t="shared" si="11"/>
        <v>071-905</v>
      </c>
      <c r="C366">
        <v>0</v>
      </c>
      <c r="D366">
        <f t="shared" si="10"/>
        <v>0</v>
      </c>
    </row>
    <row r="367" spans="1:4" ht="14.5">
      <c r="A367" t="s">
        <v>2983</v>
      </c>
      <c r="B367" s="1683" t="str">
        <f t="shared" si="11"/>
        <v>071-906</v>
      </c>
      <c r="C367">
        <v>0</v>
      </c>
      <c r="D367">
        <f t="shared" si="10"/>
        <v>0</v>
      </c>
    </row>
    <row r="368" spans="1:4" ht="14.5">
      <c r="A368" t="s">
        <v>2984</v>
      </c>
      <c r="B368" s="1683" t="str">
        <f t="shared" si="11"/>
        <v>071-907</v>
      </c>
      <c r="C368">
        <v>0</v>
      </c>
      <c r="D368">
        <f t="shared" si="10"/>
        <v>0</v>
      </c>
    </row>
    <row r="369" spans="1:4" ht="14.5">
      <c r="A369" t="s">
        <v>2985</v>
      </c>
      <c r="B369" s="1683" t="str">
        <f t="shared" si="11"/>
        <v>071-908</v>
      </c>
      <c r="C369">
        <v>0</v>
      </c>
      <c r="D369">
        <f t="shared" si="10"/>
        <v>0</v>
      </c>
    </row>
    <row r="370" spans="1:4" ht="14.5">
      <c r="A370" t="s">
        <v>2986</v>
      </c>
      <c r="B370" s="1683" t="str">
        <f t="shared" si="11"/>
        <v>071-909</v>
      </c>
      <c r="C370">
        <v>0</v>
      </c>
      <c r="D370">
        <f t="shared" si="10"/>
        <v>0</v>
      </c>
    </row>
    <row r="371" spans="1:4" ht="14.5">
      <c r="A371" t="s">
        <v>8505</v>
      </c>
      <c r="B371" s="1683" t="str">
        <f t="shared" si="11"/>
        <v>071-950</v>
      </c>
      <c r="C371">
        <v>0</v>
      </c>
      <c r="D371">
        <f t="shared" si="10"/>
        <v>0</v>
      </c>
    </row>
    <row r="372" spans="1:4" ht="14.5">
      <c r="A372" t="s">
        <v>7999</v>
      </c>
      <c r="B372" s="1683" t="str">
        <f t="shared" si="11"/>
        <v>072-801</v>
      </c>
      <c r="C372">
        <v>0</v>
      </c>
      <c r="D372">
        <f t="shared" si="10"/>
        <v>0</v>
      </c>
    </row>
    <row r="373" spans="1:4" ht="14.5">
      <c r="A373" t="s">
        <v>8000</v>
      </c>
      <c r="B373" s="1683" t="str">
        <f t="shared" si="11"/>
        <v>072-802</v>
      </c>
      <c r="C373">
        <v>0</v>
      </c>
      <c r="D373">
        <f t="shared" si="10"/>
        <v>0</v>
      </c>
    </row>
    <row r="374" spans="1:4" ht="14.5">
      <c r="A374" t="s">
        <v>5794</v>
      </c>
      <c r="B374" s="1683" t="str">
        <f t="shared" si="11"/>
        <v>072-901</v>
      </c>
      <c r="C374">
        <v>0</v>
      </c>
      <c r="D374">
        <f t="shared" si="10"/>
        <v>0</v>
      </c>
    </row>
    <row r="375" spans="1:4" ht="14.5">
      <c r="A375" t="s">
        <v>5009</v>
      </c>
      <c r="B375" s="1683" t="str">
        <f t="shared" si="11"/>
        <v>072-902</v>
      </c>
      <c r="C375">
        <v>0</v>
      </c>
      <c r="D375">
        <f t="shared" si="10"/>
        <v>0</v>
      </c>
    </row>
    <row r="376" spans="1:4" ht="14.5">
      <c r="A376" t="s">
        <v>2987</v>
      </c>
      <c r="B376" s="1683" t="str">
        <f t="shared" si="11"/>
        <v>072-903</v>
      </c>
      <c r="C376">
        <v>0</v>
      </c>
      <c r="D376">
        <f t="shared" si="10"/>
        <v>0</v>
      </c>
    </row>
    <row r="377" spans="1:4" ht="14.5">
      <c r="A377" t="s">
        <v>5010</v>
      </c>
      <c r="B377" s="1683" t="str">
        <f t="shared" si="11"/>
        <v>072-904</v>
      </c>
      <c r="C377">
        <v>0</v>
      </c>
      <c r="D377">
        <f t="shared" si="10"/>
        <v>0</v>
      </c>
    </row>
    <row r="378" spans="1:4" ht="14.5">
      <c r="A378" t="s">
        <v>5795</v>
      </c>
      <c r="B378" s="1683" t="str">
        <f t="shared" si="11"/>
        <v>072-908</v>
      </c>
      <c r="C378">
        <v>0</v>
      </c>
      <c r="D378">
        <f t="shared" si="10"/>
        <v>0</v>
      </c>
    </row>
    <row r="379" spans="1:4" ht="14.5">
      <c r="A379" t="s">
        <v>2988</v>
      </c>
      <c r="B379" s="1683" t="str">
        <f t="shared" si="11"/>
        <v>072-909</v>
      </c>
      <c r="C379">
        <v>0</v>
      </c>
      <c r="D379">
        <f t="shared" si="10"/>
        <v>0</v>
      </c>
    </row>
    <row r="380" spans="1:4" ht="14.5">
      <c r="A380" t="s">
        <v>5796</v>
      </c>
      <c r="B380" s="1683" t="str">
        <f t="shared" si="11"/>
        <v>072-910</v>
      </c>
      <c r="C380">
        <v>0</v>
      </c>
      <c r="D380">
        <f t="shared" si="10"/>
        <v>0</v>
      </c>
    </row>
    <row r="381" spans="1:4" ht="14.5">
      <c r="A381" t="s">
        <v>5011</v>
      </c>
      <c r="B381" s="1683" t="str">
        <f t="shared" si="11"/>
        <v>073-901</v>
      </c>
      <c r="C381">
        <v>0</v>
      </c>
      <c r="D381">
        <f t="shared" si="10"/>
        <v>0</v>
      </c>
    </row>
    <row r="382" spans="1:4" ht="14.5">
      <c r="A382" t="s">
        <v>3901</v>
      </c>
      <c r="B382" s="1683" t="str">
        <f t="shared" si="11"/>
        <v>073-903</v>
      </c>
      <c r="C382">
        <v>0</v>
      </c>
      <c r="D382">
        <f t="shared" si="10"/>
        <v>0</v>
      </c>
    </row>
    <row r="383" spans="1:4" ht="14.5">
      <c r="A383" t="s">
        <v>3903</v>
      </c>
      <c r="B383" s="1683" t="str">
        <f t="shared" si="11"/>
        <v>073-904</v>
      </c>
      <c r="C383">
        <v>0</v>
      </c>
      <c r="D383">
        <f t="shared" si="10"/>
        <v>0</v>
      </c>
    </row>
    <row r="384" spans="1:4" ht="14.5">
      <c r="A384" t="s">
        <v>5797</v>
      </c>
      <c r="B384" s="1683" t="str">
        <f t="shared" si="11"/>
        <v>073-905</v>
      </c>
      <c r="C384">
        <v>0</v>
      </c>
      <c r="D384">
        <f t="shared" si="10"/>
        <v>0</v>
      </c>
    </row>
    <row r="385" spans="1:4" ht="14.5">
      <c r="A385" t="s">
        <v>5012</v>
      </c>
      <c r="B385" s="1683" t="str">
        <f t="shared" si="11"/>
        <v>074-903</v>
      </c>
      <c r="C385">
        <v>0</v>
      </c>
      <c r="D385">
        <f t="shared" ref="D385:D448" si="12">C385*-1</f>
        <v>0</v>
      </c>
    </row>
    <row r="386" spans="1:4" ht="14.5">
      <c r="A386" t="s">
        <v>2989</v>
      </c>
      <c r="B386" s="1683" t="str">
        <f t="shared" ref="B386:B449" si="13">CONCATENATE(LEFT(RIGHT(CONCATENATE("000",A386),6),3),"-",(RIGHT(RIGHT(CONCATENATE("000",A386),6),3)))</f>
        <v>074-904</v>
      </c>
      <c r="C386">
        <v>0</v>
      </c>
      <c r="D386">
        <f t="shared" si="12"/>
        <v>0</v>
      </c>
    </row>
    <row r="387" spans="1:4" ht="14.5">
      <c r="A387" t="s">
        <v>2990</v>
      </c>
      <c r="B387" s="1683" t="str">
        <f t="shared" si="13"/>
        <v>074-905</v>
      </c>
      <c r="C387">
        <v>0</v>
      </c>
      <c r="D387">
        <f t="shared" si="12"/>
        <v>0</v>
      </c>
    </row>
    <row r="388" spans="1:4" ht="14.5">
      <c r="A388" t="s">
        <v>2991</v>
      </c>
      <c r="B388" s="1683" t="str">
        <f t="shared" si="13"/>
        <v>074-907</v>
      </c>
      <c r="C388">
        <v>0</v>
      </c>
      <c r="D388">
        <f t="shared" si="12"/>
        <v>0</v>
      </c>
    </row>
    <row r="389" spans="1:4" ht="14.5">
      <c r="A389" t="s">
        <v>5013</v>
      </c>
      <c r="B389" s="1683" t="str">
        <f t="shared" si="13"/>
        <v>074-909</v>
      </c>
      <c r="C389">
        <v>0</v>
      </c>
      <c r="D389">
        <f t="shared" si="12"/>
        <v>0</v>
      </c>
    </row>
    <row r="390" spans="1:4" ht="14.5">
      <c r="A390" t="s">
        <v>5014</v>
      </c>
      <c r="B390" s="1683" t="str">
        <f t="shared" si="13"/>
        <v>074-911</v>
      </c>
      <c r="C390">
        <v>0</v>
      </c>
      <c r="D390">
        <f t="shared" si="12"/>
        <v>0</v>
      </c>
    </row>
    <row r="391" spans="1:4" ht="14.5">
      <c r="A391" t="s">
        <v>2992</v>
      </c>
      <c r="B391" s="1683" t="str">
        <f t="shared" si="13"/>
        <v>074-912</v>
      </c>
      <c r="C391">
        <v>0</v>
      </c>
      <c r="D391">
        <f t="shared" si="12"/>
        <v>0</v>
      </c>
    </row>
    <row r="392" spans="1:4" ht="14.5">
      <c r="A392" t="s">
        <v>2993</v>
      </c>
      <c r="B392" s="1683" t="str">
        <f t="shared" si="13"/>
        <v>074-917</v>
      </c>
      <c r="C392">
        <v>0</v>
      </c>
      <c r="D392">
        <f t="shared" si="12"/>
        <v>0</v>
      </c>
    </row>
    <row r="393" spans="1:4" ht="14.5">
      <c r="A393" t="s">
        <v>5015</v>
      </c>
      <c r="B393" s="1683" t="str">
        <f t="shared" si="13"/>
        <v>075-901</v>
      </c>
      <c r="C393">
        <v>0</v>
      </c>
      <c r="D393">
        <f t="shared" si="12"/>
        <v>0</v>
      </c>
    </row>
    <row r="394" spans="1:4" ht="14.5">
      <c r="A394" t="s">
        <v>5798</v>
      </c>
      <c r="B394" s="1683" t="str">
        <f t="shared" si="13"/>
        <v>075-902</v>
      </c>
      <c r="C394">
        <v>0</v>
      </c>
      <c r="D394">
        <f t="shared" si="12"/>
        <v>0</v>
      </c>
    </row>
    <row r="395" spans="1:4" ht="14.5">
      <c r="A395" t="s">
        <v>5016</v>
      </c>
      <c r="B395" s="1683" t="str">
        <f t="shared" si="13"/>
        <v>075-903</v>
      </c>
      <c r="C395">
        <v>0</v>
      </c>
      <c r="D395">
        <f t="shared" si="12"/>
        <v>0</v>
      </c>
    </row>
    <row r="396" spans="1:4" ht="14.5">
      <c r="A396" t="s">
        <v>5799</v>
      </c>
      <c r="B396" s="1683" t="str">
        <f t="shared" si="13"/>
        <v>075-906</v>
      </c>
      <c r="C396">
        <v>0</v>
      </c>
      <c r="D396">
        <f t="shared" si="12"/>
        <v>0</v>
      </c>
    </row>
    <row r="397" spans="1:4" ht="14.5">
      <c r="A397" t="s">
        <v>5017</v>
      </c>
      <c r="B397" s="1683" t="str">
        <f t="shared" si="13"/>
        <v>075-908</v>
      </c>
      <c r="C397">
        <v>0</v>
      </c>
      <c r="D397">
        <f t="shared" si="12"/>
        <v>0</v>
      </c>
    </row>
    <row r="398" spans="1:4" ht="14.5">
      <c r="A398" t="s">
        <v>5800</v>
      </c>
      <c r="B398" s="1683" t="str">
        <f t="shared" si="13"/>
        <v>076-903</v>
      </c>
      <c r="C398">
        <v>0</v>
      </c>
      <c r="D398">
        <f t="shared" si="12"/>
        <v>0</v>
      </c>
    </row>
    <row r="399" spans="1:4" ht="14.5">
      <c r="A399" t="s">
        <v>2994</v>
      </c>
      <c r="B399" s="1683" t="str">
        <f t="shared" si="13"/>
        <v>076-904</v>
      </c>
      <c r="C399">
        <v>0</v>
      </c>
      <c r="D399">
        <f t="shared" si="12"/>
        <v>0</v>
      </c>
    </row>
    <row r="400" spans="1:4" ht="14.5">
      <c r="A400" t="s">
        <v>5018</v>
      </c>
      <c r="B400" s="1683" t="str">
        <f t="shared" si="13"/>
        <v>077-901</v>
      </c>
      <c r="C400">
        <v>0</v>
      </c>
      <c r="D400">
        <f t="shared" si="12"/>
        <v>0</v>
      </c>
    </row>
    <row r="401" spans="1:4" ht="14.5">
      <c r="A401" t="s">
        <v>5801</v>
      </c>
      <c r="B401" s="1683" t="str">
        <f t="shared" si="13"/>
        <v>077-902</v>
      </c>
      <c r="C401">
        <v>0</v>
      </c>
      <c r="D401">
        <f t="shared" si="12"/>
        <v>0</v>
      </c>
    </row>
    <row r="402" spans="1:4" ht="14.5">
      <c r="A402" t="s">
        <v>5802</v>
      </c>
      <c r="B402" s="1683" t="str">
        <f t="shared" si="13"/>
        <v>078-901</v>
      </c>
      <c r="C402">
        <v>0</v>
      </c>
      <c r="D402">
        <f t="shared" si="12"/>
        <v>0</v>
      </c>
    </row>
    <row r="403" spans="1:4" ht="14.5">
      <c r="A403" t="s">
        <v>5019</v>
      </c>
      <c r="B403" s="1683" t="str">
        <f t="shared" si="13"/>
        <v>079-901</v>
      </c>
      <c r="C403">
        <v>-0.02</v>
      </c>
      <c r="D403">
        <f t="shared" si="12"/>
        <v>0.02</v>
      </c>
    </row>
    <row r="404" spans="1:4" ht="14.5">
      <c r="A404" t="s">
        <v>2995</v>
      </c>
      <c r="B404" s="1683" t="str">
        <f t="shared" si="13"/>
        <v>079-906</v>
      </c>
      <c r="C404">
        <v>0</v>
      </c>
      <c r="D404">
        <f t="shared" si="12"/>
        <v>0</v>
      </c>
    </row>
    <row r="405" spans="1:4" ht="14.5">
      <c r="A405" t="s">
        <v>2996</v>
      </c>
      <c r="B405" s="1683" t="str">
        <f t="shared" si="13"/>
        <v>079-907</v>
      </c>
      <c r="C405">
        <v>0</v>
      </c>
      <c r="D405">
        <f t="shared" si="12"/>
        <v>0</v>
      </c>
    </row>
    <row r="406" spans="1:4" ht="14.5">
      <c r="A406" t="s">
        <v>5020</v>
      </c>
      <c r="B406" s="1683" t="str">
        <f t="shared" si="13"/>
        <v>079-910</v>
      </c>
      <c r="C406">
        <v>-0.01</v>
      </c>
      <c r="D406">
        <f t="shared" si="12"/>
        <v>0.01</v>
      </c>
    </row>
    <row r="407" spans="1:4" ht="14.5">
      <c r="A407" t="s">
        <v>5021</v>
      </c>
      <c r="B407" s="1683" t="str">
        <f t="shared" si="13"/>
        <v>080-901</v>
      </c>
      <c r="C407">
        <v>0</v>
      </c>
      <c r="D407">
        <f t="shared" si="12"/>
        <v>0</v>
      </c>
    </row>
    <row r="408" spans="1:4" ht="14.5">
      <c r="A408" t="s">
        <v>5022</v>
      </c>
      <c r="B408" s="1683" t="str">
        <f t="shared" si="13"/>
        <v>081-902</v>
      </c>
      <c r="C408">
        <v>0</v>
      </c>
      <c r="D408">
        <f t="shared" si="12"/>
        <v>0</v>
      </c>
    </row>
    <row r="409" spans="1:4" ht="14.5">
      <c r="A409" t="s">
        <v>5023</v>
      </c>
      <c r="B409" s="1683" t="str">
        <f t="shared" si="13"/>
        <v>081-904</v>
      </c>
      <c r="C409">
        <v>0</v>
      </c>
      <c r="D409">
        <f t="shared" si="12"/>
        <v>0</v>
      </c>
    </row>
    <row r="410" spans="1:4" ht="14.5">
      <c r="A410" t="s">
        <v>5024</v>
      </c>
      <c r="B410" s="1683" t="str">
        <f t="shared" si="13"/>
        <v>081-905</v>
      </c>
      <c r="C410">
        <v>0</v>
      </c>
      <c r="D410">
        <f t="shared" si="12"/>
        <v>0</v>
      </c>
    </row>
    <row r="411" spans="1:4" ht="14.5">
      <c r="A411" t="s">
        <v>5025</v>
      </c>
      <c r="B411" s="1683" t="str">
        <f t="shared" si="13"/>
        <v>081-906</v>
      </c>
      <c r="C411">
        <v>0</v>
      </c>
      <c r="D411">
        <f t="shared" si="12"/>
        <v>0</v>
      </c>
    </row>
    <row r="412" spans="1:4" ht="14.5">
      <c r="A412" t="s">
        <v>2997</v>
      </c>
      <c r="B412" s="1683" t="str">
        <f t="shared" si="13"/>
        <v>082-902</v>
      </c>
      <c r="C412">
        <v>0</v>
      </c>
      <c r="D412">
        <f t="shared" si="12"/>
        <v>0</v>
      </c>
    </row>
    <row r="413" spans="1:4" ht="14.5">
      <c r="A413" t="s">
        <v>2998</v>
      </c>
      <c r="B413" s="1683" t="str">
        <f t="shared" si="13"/>
        <v>082-903</v>
      </c>
      <c r="C413">
        <v>0</v>
      </c>
      <c r="D413">
        <f t="shared" si="12"/>
        <v>0</v>
      </c>
    </row>
    <row r="414" spans="1:4" ht="14.5">
      <c r="A414" t="s">
        <v>5026</v>
      </c>
      <c r="B414" s="1683" t="str">
        <f t="shared" si="13"/>
        <v>083-901</v>
      </c>
      <c r="C414">
        <v>0</v>
      </c>
      <c r="D414">
        <f t="shared" si="12"/>
        <v>0</v>
      </c>
    </row>
    <row r="415" spans="1:4" ht="14.5">
      <c r="A415" t="s">
        <v>5027</v>
      </c>
      <c r="B415" s="1683" t="str">
        <f t="shared" si="13"/>
        <v>083-902</v>
      </c>
      <c r="C415">
        <v>0</v>
      </c>
      <c r="D415">
        <f t="shared" si="12"/>
        <v>0</v>
      </c>
    </row>
    <row r="416" spans="1:4" ht="14.5">
      <c r="A416" t="s">
        <v>5028</v>
      </c>
      <c r="B416" s="1683" t="str">
        <f t="shared" si="13"/>
        <v>083-903</v>
      </c>
      <c r="C416">
        <v>0</v>
      </c>
      <c r="D416">
        <f t="shared" si="12"/>
        <v>0</v>
      </c>
    </row>
    <row r="417" spans="1:4" ht="14.5">
      <c r="A417" t="s">
        <v>8001</v>
      </c>
      <c r="B417" s="1683" t="str">
        <f t="shared" si="13"/>
        <v>084-802</v>
      </c>
      <c r="C417">
        <v>0</v>
      </c>
      <c r="D417">
        <f t="shared" si="12"/>
        <v>0</v>
      </c>
    </row>
    <row r="418" spans="1:4" ht="14.5">
      <c r="A418" t="s">
        <v>8002</v>
      </c>
      <c r="B418" s="1683" t="str">
        <f t="shared" si="13"/>
        <v>084-804</v>
      </c>
      <c r="C418">
        <v>0</v>
      </c>
      <c r="D418">
        <f t="shared" si="12"/>
        <v>0</v>
      </c>
    </row>
    <row r="419" spans="1:4" ht="14.5">
      <c r="A419" t="s">
        <v>5029</v>
      </c>
      <c r="B419" s="1683" t="str">
        <f t="shared" si="13"/>
        <v>084-901</v>
      </c>
      <c r="C419">
        <v>-0.02</v>
      </c>
      <c r="D419">
        <f t="shared" si="12"/>
        <v>0.02</v>
      </c>
    </row>
    <row r="420" spans="1:4" ht="14.5">
      <c r="A420" t="s">
        <v>5030</v>
      </c>
      <c r="B420" s="1683" t="str">
        <f t="shared" si="13"/>
        <v>084-902</v>
      </c>
      <c r="C420">
        <v>0</v>
      </c>
      <c r="D420">
        <f t="shared" si="12"/>
        <v>0</v>
      </c>
    </row>
    <row r="421" spans="1:4" ht="14.5">
      <c r="A421" t="s">
        <v>5031</v>
      </c>
      <c r="B421" s="1683" t="str">
        <f t="shared" si="13"/>
        <v>084-903</v>
      </c>
      <c r="C421">
        <v>0</v>
      </c>
      <c r="D421">
        <f t="shared" si="12"/>
        <v>0</v>
      </c>
    </row>
    <row r="422" spans="1:4" ht="14.5">
      <c r="A422" t="s">
        <v>5032</v>
      </c>
      <c r="B422" s="1683" t="str">
        <f t="shared" si="13"/>
        <v>084-906</v>
      </c>
      <c r="C422">
        <v>0</v>
      </c>
      <c r="D422">
        <f t="shared" si="12"/>
        <v>0</v>
      </c>
    </row>
    <row r="423" spans="1:4" ht="14.5">
      <c r="A423" t="s">
        <v>5033</v>
      </c>
      <c r="B423" s="1683" t="str">
        <f t="shared" si="13"/>
        <v>084-908</v>
      </c>
      <c r="C423">
        <v>0</v>
      </c>
      <c r="D423">
        <f t="shared" si="12"/>
        <v>0</v>
      </c>
    </row>
    <row r="424" spans="1:4" ht="14.5">
      <c r="A424" t="s">
        <v>2999</v>
      </c>
      <c r="B424" s="1683" t="str">
        <f t="shared" si="13"/>
        <v>084-909</v>
      </c>
      <c r="C424">
        <v>0</v>
      </c>
      <c r="D424">
        <f t="shared" si="12"/>
        <v>0</v>
      </c>
    </row>
    <row r="425" spans="1:4" ht="14.5">
      <c r="A425" t="s">
        <v>5034</v>
      </c>
      <c r="B425" s="1683" t="str">
        <f t="shared" si="13"/>
        <v>084-910</v>
      </c>
      <c r="C425">
        <v>-0.02</v>
      </c>
      <c r="D425">
        <f t="shared" si="12"/>
        <v>0.02</v>
      </c>
    </row>
    <row r="426" spans="1:4" ht="14.5">
      <c r="A426" t="s">
        <v>3000</v>
      </c>
      <c r="B426" s="1683" t="str">
        <f t="shared" si="13"/>
        <v>084-911</v>
      </c>
      <c r="C426">
        <v>-3.99999999999998E-2</v>
      </c>
      <c r="D426">
        <f t="shared" si="12"/>
        <v>3.99999999999998E-2</v>
      </c>
    </row>
    <row r="427" spans="1:4" ht="14.5">
      <c r="A427" t="s">
        <v>5035</v>
      </c>
      <c r="B427" s="1683" t="str">
        <f t="shared" si="13"/>
        <v>085-902</v>
      </c>
      <c r="C427">
        <v>0</v>
      </c>
      <c r="D427">
        <f t="shared" si="12"/>
        <v>0</v>
      </c>
    </row>
    <row r="428" spans="1:4" ht="14.5">
      <c r="A428" t="s">
        <v>5803</v>
      </c>
      <c r="B428" s="1683" t="str">
        <f t="shared" si="13"/>
        <v>085-903</v>
      </c>
      <c r="C428">
        <v>0</v>
      </c>
      <c r="D428">
        <f t="shared" si="12"/>
        <v>0</v>
      </c>
    </row>
    <row r="429" spans="1:4" ht="14.5">
      <c r="A429" t="s">
        <v>5804</v>
      </c>
      <c r="B429" s="1683" t="str">
        <f t="shared" si="13"/>
        <v>086-024</v>
      </c>
      <c r="C429">
        <v>0</v>
      </c>
      <c r="D429">
        <f t="shared" si="12"/>
        <v>0</v>
      </c>
    </row>
    <row r="430" spans="1:4" ht="14.5">
      <c r="A430" t="s">
        <v>5036</v>
      </c>
      <c r="B430" s="1683" t="str">
        <f t="shared" si="13"/>
        <v>086-901</v>
      </c>
      <c r="C430">
        <v>0</v>
      </c>
      <c r="D430">
        <f t="shared" si="12"/>
        <v>0</v>
      </c>
    </row>
    <row r="431" spans="1:4" ht="14.5">
      <c r="A431" t="s">
        <v>5805</v>
      </c>
      <c r="B431" s="1683" t="str">
        <f t="shared" si="13"/>
        <v>086-902</v>
      </c>
      <c r="C431">
        <v>0</v>
      </c>
      <c r="D431">
        <f t="shared" si="12"/>
        <v>0</v>
      </c>
    </row>
    <row r="432" spans="1:4" ht="14.5">
      <c r="A432" t="s">
        <v>5037</v>
      </c>
      <c r="B432" s="1683" t="str">
        <f t="shared" si="13"/>
        <v>087-901</v>
      </c>
      <c r="C432">
        <v>0</v>
      </c>
      <c r="D432">
        <f t="shared" si="12"/>
        <v>0</v>
      </c>
    </row>
    <row r="433" spans="1:4" ht="14.5">
      <c r="A433" t="s">
        <v>5038</v>
      </c>
      <c r="B433" s="1683" t="str">
        <f t="shared" si="13"/>
        <v>088-902</v>
      </c>
      <c r="C433">
        <v>0</v>
      </c>
      <c r="D433">
        <f t="shared" si="12"/>
        <v>0</v>
      </c>
    </row>
    <row r="434" spans="1:4" ht="14.5">
      <c r="A434" t="s">
        <v>3001</v>
      </c>
      <c r="B434" s="1683" t="str">
        <f t="shared" si="13"/>
        <v>089-901</v>
      </c>
      <c r="C434">
        <v>0</v>
      </c>
      <c r="D434">
        <f t="shared" si="12"/>
        <v>0</v>
      </c>
    </row>
    <row r="435" spans="1:4" ht="14.5">
      <c r="A435" t="s">
        <v>5039</v>
      </c>
      <c r="B435" s="1683" t="str">
        <f t="shared" si="13"/>
        <v>089-903</v>
      </c>
      <c r="C435">
        <v>0</v>
      </c>
      <c r="D435">
        <f t="shared" si="12"/>
        <v>0</v>
      </c>
    </row>
    <row r="436" spans="1:4" ht="14.5">
      <c r="A436" t="s">
        <v>5040</v>
      </c>
      <c r="B436" s="1683" t="str">
        <f t="shared" si="13"/>
        <v>089-905</v>
      </c>
      <c r="C436">
        <v>0</v>
      </c>
      <c r="D436">
        <f t="shared" si="12"/>
        <v>0</v>
      </c>
    </row>
    <row r="437" spans="1:4" ht="14.5">
      <c r="A437" t="s">
        <v>5041</v>
      </c>
      <c r="B437" s="1683" t="str">
        <f t="shared" si="13"/>
        <v>090-902</v>
      </c>
      <c r="C437">
        <v>0</v>
      </c>
      <c r="D437">
        <f t="shared" si="12"/>
        <v>0</v>
      </c>
    </row>
    <row r="438" spans="1:4" ht="14.5">
      <c r="A438" t="s">
        <v>5042</v>
      </c>
      <c r="B438" s="1683" t="str">
        <f t="shared" si="13"/>
        <v>090-903</v>
      </c>
      <c r="C438">
        <v>0</v>
      </c>
      <c r="D438">
        <f t="shared" si="12"/>
        <v>0</v>
      </c>
    </row>
    <row r="439" spans="1:4" ht="14.5">
      <c r="A439" t="s">
        <v>3002</v>
      </c>
      <c r="B439" s="1683" t="str">
        <f t="shared" si="13"/>
        <v>090-904</v>
      </c>
      <c r="C439">
        <v>0</v>
      </c>
      <c r="D439">
        <f t="shared" si="12"/>
        <v>0</v>
      </c>
    </row>
    <row r="440" spans="1:4" ht="14.5">
      <c r="A440" t="s">
        <v>5043</v>
      </c>
      <c r="B440" s="1683" t="str">
        <f t="shared" si="13"/>
        <v>090-905</v>
      </c>
      <c r="C440">
        <v>0</v>
      </c>
      <c r="D440">
        <f t="shared" si="12"/>
        <v>0</v>
      </c>
    </row>
    <row r="441" spans="1:4" ht="14.5">
      <c r="A441" t="s">
        <v>3003</v>
      </c>
      <c r="B441" s="1683" t="str">
        <f t="shared" si="13"/>
        <v>091-901</v>
      </c>
      <c r="C441">
        <v>0</v>
      </c>
      <c r="D441">
        <f t="shared" si="12"/>
        <v>0</v>
      </c>
    </row>
    <row r="442" spans="1:4" ht="14.5">
      <c r="A442" t="s">
        <v>3948</v>
      </c>
      <c r="B442" s="1683" t="str">
        <f t="shared" si="13"/>
        <v>091-902</v>
      </c>
      <c r="C442">
        <v>0</v>
      </c>
      <c r="D442">
        <f t="shared" si="12"/>
        <v>0</v>
      </c>
    </row>
    <row r="443" spans="1:4" ht="14.5">
      <c r="A443" t="s">
        <v>5044</v>
      </c>
      <c r="B443" s="1683" t="str">
        <f t="shared" si="13"/>
        <v>091-903</v>
      </c>
      <c r="C443">
        <v>0</v>
      </c>
      <c r="D443">
        <f t="shared" si="12"/>
        <v>0</v>
      </c>
    </row>
    <row r="444" spans="1:4" ht="14.5">
      <c r="A444" t="s">
        <v>3004</v>
      </c>
      <c r="B444" s="1683" t="str">
        <f t="shared" si="13"/>
        <v>091-905</v>
      </c>
      <c r="C444">
        <v>0</v>
      </c>
      <c r="D444">
        <f t="shared" si="12"/>
        <v>0</v>
      </c>
    </row>
    <row r="445" spans="1:4" ht="14.5">
      <c r="A445" t="s">
        <v>3005</v>
      </c>
      <c r="B445" s="1683" t="str">
        <f t="shared" si="13"/>
        <v>091-906</v>
      </c>
      <c r="C445">
        <v>0</v>
      </c>
      <c r="D445">
        <f t="shared" si="12"/>
        <v>0</v>
      </c>
    </row>
    <row r="446" spans="1:4" ht="14.5">
      <c r="A446" t="s">
        <v>5045</v>
      </c>
      <c r="B446" s="1683" t="str">
        <f t="shared" si="13"/>
        <v>091-907</v>
      </c>
      <c r="C446">
        <v>0</v>
      </c>
      <c r="D446">
        <f t="shared" si="12"/>
        <v>0</v>
      </c>
    </row>
    <row r="447" spans="1:4" ht="14.5">
      <c r="A447" t="s">
        <v>3006</v>
      </c>
      <c r="B447" s="1683" t="str">
        <f t="shared" si="13"/>
        <v>091-908</v>
      </c>
      <c r="C447">
        <v>0</v>
      </c>
      <c r="D447">
        <f t="shared" si="12"/>
        <v>0</v>
      </c>
    </row>
    <row r="448" spans="1:4" ht="14.5">
      <c r="A448" t="s">
        <v>3007</v>
      </c>
      <c r="B448" s="1683" t="str">
        <f t="shared" si="13"/>
        <v>091-909</v>
      </c>
      <c r="C448">
        <v>0</v>
      </c>
      <c r="D448">
        <f t="shared" si="12"/>
        <v>0</v>
      </c>
    </row>
    <row r="449" spans="1:4" ht="14.5">
      <c r="A449" t="s">
        <v>5046</v>
      </c>
      <c r="B449" s="1683" t="str">
        <f t="shared" si="13"/>
        <v>091-910</v>
      </c>
      <c r="C449">
        <v>0</v>
      </c>
      <c r="D449">
        <f t="shared" ref="D449:D512" si="14">C449*-1</f>
        <v>0</v>
      </c>
    </row>
    <row r="450" spans="1:4" ht="14.5">
      <c r="A450" t="s">
        <v>3008</v>
      </c>
      <c r="B450" s="1683" t="str">
        <f t="shared" ref="B450:B513" si="15">CONCATENATE(LEFT(RIGHT(CONCATENATE("000",A450),6),3),"-",(RIGHT(RIGHT(CONCATENATE("000",A450),6),3)))</f>
        <v>091-913</v>
      </c>
      <c r="C450">
        <v>0</v>
      </c>
      <c r="D450">
        <f t="shared" si="14"/>
        <v>0</v>
      </c>
    </row>
    <row r="451" spans="1:4" ht="14.5">
      <c r="A451" t="s">
        <v>5047</v>
      </c>
      <c r="B451" s="1683" t="str">
        <f t="shared" si="15"/>
        <v>091-914</v>
      </c>
      <c r="C451">
        <v>0</v>
      </c>
      <c r="D451">
        <f t="shared" si="14"/>
        <v>0</v>
      </c>
    </row>
    <row r="452" spans="1:4" ht="14.5">
      <c r="A452" t="s">
        <v>3009</v>
      </c>
      <c r="B452" s="1683" t="str">
        <f t="shared" si="15"/>
        <v>091-917</v>
      </c>
      <c r="C452">
        <v>0</v>
      </c>
      <c r="D452">
        <f t="shared" si="14"/>
        <v>0</v>
      </c>
    </row>
    <row r="453" spans="1:4" ht="14.5">
      <c r="A453" t="s">
        <v>5048</v>
      </c>
      <c r="B453" s="1683" t="str">
        <f t="shared" si="15"/>
        <v>091-918</v>
      </c>
      <c r="C453">
        <v>0</v>
      </c>
      <c r="D453">
        <f t="shared" si="14"/>
        <v>0</v>
      </c>
    </row>
    <row r="454" spans="1:4" ht="14.5">
      <c r="A454" t="s">
        <v>8003</v>
      </c>
      <c r="B454" s="1683" t="str">
        <f t="shared" si="15"/>
        <v>092-801</v>
      </c>
      <c r="C454">
        <v>0</v>
      </c>
      <c r="D454">
        <f t="shared" si="14"/>
        <v>0</v>
      </c>
    </row>
    <row r="455" spans="1:4" ht="14.5">
      <c r="A455" t="s">
        <v>5049</v>
      </c>
      <c r="B455" s="1683" t="str">
        <f t="shared" si="15"/>
        <v>092-901</v>
      </c>
      <c r="C455">
        <v>0</v>
      </c>
      <c r="D455">
        <f t="shared" si="14"/>
        <v>0</v>
      </c>
    </row>
    <row r="456" spans="1:4" ht="14.5">
      <c r="A456" t="s">
        <v>5050</v>
      </c>
      <c r="B456" s="1683" t="str">
        <f t="shared" si="15"/>
        <v>092-902</v>
      </c>
      <c r="C456">
        <v>0</v>
      </c>
      <c r="D456">
        <f t="shared" si="14"/>
        <v>0</v>
      </c>
    </row>
    <row r="457" spans="1:4" ht="14.5">
      <c r="A457" t="s">
        <v>3969</v>
      </c>
      <c r="B457" s="1683" t="str">
        <f t="shared" si="15"/>
        <v>092-903</v>
      </c>
      <c r="C457">
        <v>0</v>
      </c>
      <c r="D457">
        <f t="shared" si="14"/>
        <v>0</v>
      </c>
    </row>
    <row r="458" spans="1:4" ht="14.5">
      <c r="A458" t="s">
        <v>5051</v>
      </c>
      <c r="B458" s="1683" t="str">
        <f t="shared" si="15"/>
        <v>092-904</v>
      </c>
      <c r="C458">
        <v>0</v>
      </c>
      <c r="D458">
        <f t="shared" si="14"/>
        <v>0</v>
      </c>
    </row>
    <row r="459" spans="1:4" ht="14.5">
      <c r="A459" t="s">
        <v>5052</v>
      </c>
      <c r="B459" s="1683" t="str">
        <f t="shared" si="15"/>
        <v>092-906</v>
      </c>
      <c r="C459">
        <v>0</v>
      </c>
      <c r="D459">
        <f t="shared" si="14"/>
        <v>0</v>
      </c>
    </row>
    <row r="460" spans="1:4" ht="14.5">
      <c r="A460" t="s">
        <v>3010</v>
      </c>
      <c r="B460" s="1683" t="str">
        <f t="shared" si="15"/>
        <v>092-907</v>
      </c>
      <c r="C460">
        <v>0</v>
      </c>
      <c r="D460">
        <f t="shared" si="14"/>
        <v>0</v>
      </c>
    </row>
    <row r="461" spans="1:4" ht="14.5">
      <c r="A461" t="s">
        <v>5053</v>
      </c>
      <c r="B461" s="1683" t="str">
        <f t="shared" si="15"/>
        <v>092-908</v>
      </c>
      <c r="C461">
        <v>0</v>
      </c>
      <c r="D461">
        <f t="shared" si="14"/>
        <v>0</v>
      </c>
    </row>
    <row r="462" spans="1:4" ht="14.5">
      <c r="A462" t="s">
        <v>8506</v>
      </c>
      <c r="B462" s="1683" t="str">
        <f t="shared" si="15"/>
        <v>092-950</v>
      </c>
      <c r="C462">
        <v>0</v>
      </c>
      <c r="D462">
        <f t="shared" si="14"/>
        <v>0</v>
      </c>
    </row>
    <row r="463" spans="1:4" ht="14.5">
      <c r="A463" t="s">
        <v>5054</v>
      </c>
      <c r="B463" s="1683" t="str">
        <f t="shared" si="15"/>
        <v>093-901</v>
      </c>
      <c r="C463">
        <v>0</v>
      </c>
      <c r="D463">
        <f t="shared" si="14"/>
        <v>0</v>
      </c>
    </row>
    <row r="464" spans="1:4" ht="14.5">
      <c r="A464" t="s">
        <v>3011</v>
      </c>
      <c r="B464" s="1683" t="str">
        <f t="shared" si="15"/>
        <v>093-903</v>
      </c>
      <c r="C464">
        <v>0</v>
      </c>
      <c r="D464">
        <f t="shared" si="14"/>
        <v>0</v>
      </c>
    </row>
    <row r="465" spans="1:4" ht="14.5">
      <c r="A465" t="s">
        <v>5055</v>
      </c>
      <c r="B465" s="1683" t="str">
        <f t="shared" si="15"/>
        <v>093-904</v>
      </c>
      <c r="C465">
        <v>0</v>
      </c>
      <c r="D465">
        <f t="shared" si="14"/>
        <v>0</v>
      </c>
    </row>
    <row r="466" spans="1:4" ht="14.5">
      <c r="A466" t="s">
        <v>5806</v>
      </c>
      <c r="B466" s="1683" t="str">
        <f t="shared" si="15"/>
        <v>093-905</v>
      </c>
      <c r="C466">
        <v>0</v>
      </c>
      <c r="D466">
        <f t="shared" si="14"/>
        <v>0</v>
      </c>
    </row>
    <row r="467" spans="1:4" ht="14.5">
      <c r="A467" t="s">
        <v>3012</v>
      </c>
      <c r="B467" s="1683" t="str">
        <f t="shared" si="15"/>
        <v>094-901</v>
      </c>
      <c r="C467">
        <v>0</v>
      </c>
      <c r="D467">
        <f t="shared" si="14"/>
        <v>0</v>
      </c>
    </row>
    <row r="468" spans="1:4" ht="14.5">
      <c r="A468" t="s">
        <v>3013</v>
      </c>
      <c r="B468" s="1683" t="str">
        <f t="shared" si="15"/>
        <v>094-902</v>
      </c>
      <c r="C468">
        <v>0</v>
      </c>
      <c r="D468">
        <f t="shared" si="14"/>
        <v>0</v>
      </c>
    </row>
    <row r="469" spans="1:4" ht="14.5">
      <c r="A469" t="s">
        <v>3014</v>
      </c>
      <c r="B469" s="1683" t="str">
        <f t="shared" si="15"/>
        <v>094-903</v>
      </c>
      <c r="C469">
        <v>0</v>
      </c>
      <c r="D469">
        <f t="shared" si="14"/>
        <v>0</v>
      </c>
    </row>
    <row r="470" spans="1:4" ht="14.5">
      <c r="A470" t="s">
        <v>3993</v>
      </c>
      <c r="B470" s="1683" t="str">
        <f t="shared" si="15"/>
        <v>094-904</v>
      </c>
      <c r="C470">
        <v>0</v>
      </c>
      <c r="D470">
        <f t="shared" si="14"/>
        <v>0</v>
      </c>
    </row>
    <row r="471" spans="1:4" ht="14.5">
      <c r="A471" t="s">
        <v>5056</v>
      </c>
      <c r="B471" s="1683" t="str">
        <f t="shared" si="15"/>
        <v>095-901</v>
      </c>
      <c r="C471">
        <v>0</v>
      </c>
      <c r="D471">
        <f t="shared" si="14"/>
        <v>0</v>
      </c>
    </row>
    <row r="472" spans="1:4" ht="14.5">
      <c r="A472" t="s">
        <v>5807</v>
      </c>
      <c r="B472" s="1683" t="str">
        <f t="shared" si="15"/>
        <v>095-902</v>
      </c>
      <c r="C472">
        <v>0</v>
      </c>
      <c r="D472">
        <f t="shared" si="14"/>
        <v>0</v>
      </c>
    </row>
    <row r="473" spans="1:4" ht="14.5">
      <c r="A473" t="s">
        <v>5057</v>
      </c>
      <c r="B473" s="1683" t="str">
        <f t="shared" si="15"/>
        <v>095-903</v>
      </c>
      <c r="C473">
        <v>0</v>
      </c>
      <c r="D473">
        <f t="shared" si="14"/>
        <v>0</v>
      </c>
    </row>
    <row r="474" spans="1:4" ht="14.5">
      <c r="A474" t="s">
        <v>5808</v>
      </c>
      <c r="B474" s="1683" t="str">
        <f t="shared" si="15"/>
        <v>095-904</v>
      </c>
      <c r="C474">
        <v>0</v>
      </c>
      <c r="D474">
        <f t="shared" si="14"/>
        <v>0</v>
      </c>
    </row>
    <row r="475" spans="1:4" ht="14.5">
      <c r="A475" t="s">
        <v>5809</v>
      </c>
      <c r="B475" s="1683" t="str">
        <f t="shared" si="15"/>
        <v>095-905</v>
      </c>
      <c r="C475">
        <v>0</v>
      </c>
      <c r="D475">
        <f t="shared" si="14"/>
        <v>0</v>
      </c>
    </row>
    <row r="476" spans="1:4" ht="14.5">
      <c r="A476" t="s">
        <v>5810</v>
      </c>
      <c r="B476" s="1683" t="str">
        <f t="shared" si="15"/>
        <v>096-904</v>
      </c>
      <c r="C476">
        <v>0</v>
      </c>
      <c r="D476">
        <f t="shared" si="14"/>
        <v>0</v>
      </c>
    </row>
    <row r="477" spans="1:4" ht="14.5">
      <c r="A477" t="s">
        <v>5058</v>
      </c>
      <c r="B477" s="1683" t="str">
        <f t="shared" si="15"/>
        <v>096-905</v>
      </c>
      <c r="C477">
        <v>0</v>
      </c>
      <c r="D477">
        <f t="shared" si="14"/>
        <v>0</v>
      </c>
    </row>
    <row r="478" spans="1:4" ht="14.5">
      <c r="A478" t="s">
        <v>5059</v>
      </c>
      <c r="B478" s="1683" t="str">
        <f t="shared" si="15"/>
        <v>097-902</v>
      </c>
      <c r="C478">
        <v>0</v>
      </c>
      <c r="D478">
        <f t="shared" si="14"/>
        <v>0</v>
      </c>
    </row>
    <row r="479" spans="1:4" ht="14.5">
      <c r="A479" t="s">
        <v>3015</v>
      </c>
      <c r="B479" s="1683" t="str">
        <f t="shared" si="15"/>
        <v>097-903</v>
      </c>
      <c r="C479">
        <v>0</v>
      </c>
      <c r="D479">
        <f t="shared" si="14"/>
        <v>0</v>
      </c>
    </row>
    <row r="480" spans="1:4" ht="14.5">
      <c r="A480" t="s">
        <v>5060</v>
      </c>
      <c r="B480" s="1683" t="str">
        <f t="shared" si="15"/>
        <v>098-901</v>
      </c>
      <c r="C480">
        <v>0</v>
      </c>
      <c r="D480">
        <f t="shared" si="14"/>
        <v>0</v>
      </c>
    </row>
    <row r="481" spans="1:4" ht="14.5">
      <c r="A481" t="s">
        <v>5061</v>
      </c>
      <c r="B481" s="1683" t="str">
        <f t="shared" si="15"/>
        <v>098-903</v>
      </c>
      <c r="C481">
        <v>0</v>
      </c>
      <c r="D481">
        <f t="shared" si="14"/>
        <v>0</v>
      </c>
    </row>
    <row r="482" spans="1:4" ht="14.5">
      <c r="A482" t="s">
        <v>5062</v>
      </c>
      <c r="B482" s="1683" t="str">
        <f t="shared" si="15"/>
        <v>098-904</v>
      </c>
      <c r="C482">
        <v>0</v>
      </c>
      <c r="D482">
        <f t="shared" si="14"/>
        <v>0</v>
      </c>
    </row>
    <row r="483" spans="1:4" ht="14.5">
      <c r="A483" t="s">
        <v>5063</v>
      </c>
      <c r="B483" s="1683" t="str">
        <f t="shared" si="15"/>
        <v>099-902</v>
      </c>
      <c r="C483">
        <v>0</v>
      </c>
      <c r="D483">
        <f t="shared" si="14"/>
        <v>0</v>
      </c>
    </row>
    <row r="484" spans="1:4" ht="14.5">
      <c r="A484" t="s">
        <v>5811</v>
      </c>
      <c r="B484" s="1683" t="str">
        <f t="shared" si="15"/>
        <v>099-903</v>
      </c>
      <c r="C484">
        <v>0</v>
      </c>
      <c r="D484">
        <f t="shared" si="14"/>
        <v>0</v>
      </c>
    </row>
    <row r="485" spans="1:4" ht="14.5">
      <c r="A485" t="s">
        <v>5064</v>
      </c>
      <c r="B485" s="1683" t="str">
        <f t="shared" si="15"/>
        <v>100-903</v>
      </c>
      <c r="C485">
        <v>0</v>
      </c>
      <c r="D485">
        <f t="shared" si="14"/>
        <v>0</v>
      </c>
    </row>
    <row r="486" spans="1:4" ht="14.5">
      <c r="A486" t="s">
        <v>3016</v>
      </c>
      <c r="B486" s="1683" t="str">
        <f t="shared" si="15"/>
        <v>100-904</v>
      </c>
      <c r="C486">
        <v>0</v>
      </c>
      <c r="D486">
        <f t="shared" si="14"/>
        <v>0</v>
      </c>
    </row>
    <row r="487" spans="1:4" ht="14.5">
      <c r="A487" t="s">
        <v>5065</v>
      </c>
      <c r="B487" s="1683" t="str">
        <f t="shared" si="15"/>
        <v>100-905</v>
      </c>
      <c r="C487">
        <v>0</v>
      </c>
      <c r="D487">
        <f t="shared" si="14"/>
        <v>0</v>
      </c>
    </row>
    <row r="488" spans="1:4" ht="14.5">
      <c r="A488" t="s">
        <v>3017</v>
      </c>
      <c r="B488" s="1683" t="str">
        <f t="shared" si="15"/>
        <v>100-907</v>
      </c>
      <c r="C488">
        <v>0</v>
      </c>
      <c r="D488">
        <f t="shared" si="14"/>
        <v>0</v>
      </c>
    </row>
    <row r="489" spans="1:4" ht="14.5">
      <c r="A489" t="s">
        <v>3018</v>
      </c>
      <c r="B489" s="1683" t="str">
        <f t="shared" si="15"/>
        <v>100-908</v>
      </c>
      <c r="C489">
        <v>0</v>
      </c>
      <c r="D489">
        <f t="shared" si="14"/>
        <v>0</v>
      </c>
    </row>
    <row r="490" spans="1:4" ht="14.5">
      <c r="A490" t="s">
        <v>8507</v>
      </c>
      <c r="B490" s="1683" t="str">
        <f t="shared" si="15"/>
        <v>101-000</v>
      </c>
      <c r="C490">
        <v>0</v>
      </c>
      <c r="D490">
        <f t="shared" si="14"/>
        <v>0</v>
      </c>
    </row>
    <row r="491" spans="1:4" ht="14.5">
      <c r="A491" t="s">
        <v>8004</v>
      </c>
      <c r="B491" s="1683" t="str">
        <f t="shared" si="15"/>
        <v>101-802</v>
      </c>
      <c r="C491">
        <v>0</v>
      </c>
      <c r="D491">
        <f t="shared" si="14"/>
        <v>0</v>
      </c>
    </row>
    <row r="492" spans="1:4" ht="14.5">
      <c r="A492" t="s">
        <v>8005</v>
      </c>
      <c r="B492" s="1683" t="str">
        <f t="shared" si="15"/>
        <v>101-803</v>
      </c>
      <c r="C492">
        <v>0</v>
      </c>
      <c r="D492">
        <f t="shared" si="14"/>
        <v>0</v>
      </c>
    </row>
    <row r="493" spans="1:4" ht="14.5">
      <c r="A493" t="s">
        <v>8006</v>
      </c>
      <c r="B493" s="1683" t="str">
        <f t="shared" si="15"/>
        <v>101-804</v>
      </c>
      <c r="C493">
        <v>0</v>
      </c>
      <c r="D493">
        <f t="shared" si="14"/>
        <v>0</v>
      </c>
    </row>
    <row r="494" spans="1:4" ht="14.5">
      <c r="A494" t="s">
        <v>8007</v>
      </c>
      <c r="B494" s="1683" t="str">
        <f t="shared" si="15"/>
        <v>101-806</v>
      </c>
      <c r="C494">
        <v>0</v>
      </c>
      <c r="D494">
        <f t="shared" si="14"/>
        <v>0</v>
      </c>
    </row>
    <row r="495" spans="1:4" ht="14.5">
      <c r="A495" t="s">
        <v>8008</v>
      </c>
      <c r="B495" s="1683" t="str">
        <f t="shared" si="15"/>
        <v>101-807</v>
      </c>
      <c r="C495">
        <v>0</v>
      </c>
      <c r="D495">
        <f t="shared" si="14"/>
        <v>0</v>
      </c>
    </row>
    <row r="496" spans="1:4" ht="14.5">
      <c r="A496" t="s">
        <v>8009</v>
      </c>
      <c r="B496" s="1683" t="str">
        <f t="shared" si="15"/>
        <v>101-810</v>
      </c>
      <c r="C496">
        <v>0</v>
      </c>
      <c r="D496">
        <f t="shared" si="14"/>
        <v>0</v>
      </c>
    </row>
    <row r="497" spans="1:4" ht="14.5">
      <c r="A497" t="s">
        <v>8010</v>
      </c>
      <c r="B497" s="1683" t="str">
        <f t="shared" si="15"/>
        <v>101-811</v>
      </c>
      <c r="C497">
        <v>0</v>
      </c>
      <c r="D497">
        <f t="shared" si="14"/>
        <v>0</v>
      </c>
    </row>
    <row r="498" spans="1:4" ht="14.5">
      <c r="A498" t="s">
        <v>8011</v>
      </c>
      <c r="B498" s="1683" t="str">
        <f t="shared" si="15"/>
        <v>101-814</v>
      </c>
      <c r="C498">
        <v>0</v>
      </c>
      <c r="D498">
        <f t="shared" si="14"/>
        <v>0</v>
      </c>
    </row>
    <row r="499" spans="1:4" ht="14.5">
      <c r="A499" t="s">
        <v>8012</v>
      </c>
      <c r="B499" s="1683" t="str">
        <f t="shared" si="15"/>
        <v>101-815</v>
      </c>
      <c r="C499">
        <v>0</v>
      </c>
      <c r="D499">
        <f t="shared" si="14"/>
        <v>0</v>
      </c>
    </row>
    <row r="500" spans="1:4" ht="14.5">
      <c r="A500" t="s">
        <v>8013</v>
      </c>
      <c r="B500" s="1683" t="str">
        <f t="shared" si="15"/>
        <v>101-819</v>
      </c>
      <c r="C500">
        <v>0</v>
      </c>
      <c r="D500">
        <f t="shared" si="14"/>
        <v>0</v>
      </c>
    </row>
    <row r="501" spans="1:4" ht="14.5">
      <c r="A501" t="s">
        <v>8014</v>
      </c>
      <c r="B501" s="1683" t="str">
        <f t="shared" si="15"/>
        <v>101-821</v>
      </c>
      <c r="C501">
        <v>0</v>
      </c>
      <c r="D501">
        <f t="shared" si="14"/>
        <v>0</v>
      </c>
    </row>
    <row r="502" spans="1:4" ht="14.5">
      <c r="A502" t="s">
        <v>8015</v>
      </c>
      <c r="B502" s="1683" t="str">
        <f t="shared" si="15"/>
        <v>101-828</v>
      </c>
      <c r="C502">
        <v>0</v>
      </c>
      <c r="D502">
        <f t="shared" si="14"/>
        <v>0</v>
      </c>
    </row>
    <row r="503" spans="1:4" ht="14.5">
      <c r="A503" t="s">
        <v>8016</v>
      </c>
      <c r="B503" s="1683" t="str">
        <f t="shared" si="15"/>
        <v>101-837</v>
      </c>
      <c r="C503">
        <v>0</v>
      </c>
      <c r="D503">
        <f t="shared" si="14"/>
        <v>0</v>
      </c>
    </row>
    <row r="504" spans="1:4" ht="14.5">
      <c r="A504" t="s">
        <v>8017</v>
      </c>
      <c r="B504" s="1683" t="str">
        <f t="shared" si="15"/>
        <v>101-838</v>
      </c>
      <c r="C504">
        <v>0</v>
      </c>
      <c r="D504">
        <f t="shared" si="14"/>
        <v>0</v>
      </c>
    </row>
    <row r="505" spans="1:4" ht="14.5">
      <c r="A505" t="s">
        <v>8018</v>
      </c>
      <c r="B505" s="1683" t="str">
        <f t="shared" si="15"/>
        <v>101-840</v>
      </c>
      <c r="C505">
        <v>0</v>
      </c>
      <c r="D505">
        <f t="shared" si="14"/>
        <v>0</v>
      </c>
    </row>
    <row r="506" spans="1:4" ht="14.5">
      <c r="A506" t="s">
        <v>8019</v>
      </c>
      <c r="B506" s="1683" t="str">
        <f t="shared" si="15"/>
        <v>101-842</v>
      </c>
      <c r="C506">
        <v>0</v>
      </c>
      <c r="D506">
        <f t="shared" si="14"/>
        <v>0</v>
      </c>
    </row>
    <row r="507" spans="1:4" ht="14.5">
      <c r="A507" t="s">
        <v>8020</v>
      </c>
      <c r="B507" s="1683" t="str">
        <f t="shared" si="15"/>
        <v>101-845</v>
      </c>
      <c r="C507">
        <v>0</v>
      </c>
      <c r="D507">
        <f t="shared" si="14"/>
        <v>0</v>
      </c>
    </row>
    <row r="508" spans="1:4" ht="14.5">
      <c r="A508" t="s">
        <v>8021</v>
      </c>
      <c r="B508" s="1683" t="str">
        <f t="shared" si="15"/>
        <v>101-846</v>
      </c>
      <c r="C508">
        <v>0</v>
      </c>
      <c r="D508">
        <f t="shared" si="14"/>
        <v>0</v>
      </c>
    </row>
    <row r="509" spans="1:4" ht="14.5">
      <c r="A509" t="s">
        <v>8022</v>
      </c>
      <c r="B509" s="1683" t="str">
        <f t="shared" si="15"/>
        <v>101-847</v>
      </c>
      <c r="C509">
        <v>0</v>
      </c>
      <c r="D509">
        <f t="shared" si="14"/>
        <v>0</v>
      </c>
    </row>
    <row r="510" spans="1:4" ht="14.5">
      <c r="A510" t="s">
        <v>8023</v>
      </c>
      <c r="B510" s="1683" t="str">
        <f t="shared" si="15"/>
        <v>101-849</v>
      </c>
      <c r="C510">
        <v>0</v>
      </c>
      <c r="D510">
        <f t="shared" si="14"/>
        <v>0</v>
      </c>
    </row>
    <row r="511" spans="1:4" ht="14.5">
      <c r="A511" t="s">
        <v>8024</v>
      </c>
      <c r="B511" s="1683" t="str">
        <f t="shared" si="15"/>
        <v>101-853</v>
      </c>
      <c r="C511">
        <v>0</v>
      </c>
      <c r="D511">
        <f t="shared" si="14"/>
        <v>0</v>
      </c>
    </row>
    <row r="512" spans="1:4" ht="14.5">
      <c r="A512" t="s">
        <v>8025</v>
      </c>
      <c r="B512" s="1683" t="str">
        <f t="shared" si="15"/>
        <v>101-855</v>
      </c>
      <c r="C512">
        <v>0</v>
      </c>
      <c r="D512">
        <f t="shared" si="14"/>
        <v>0</v>
      </c>
    </row>
    <row r="513" spans="1:4" ht="14.5">
      <c r="A513" t="s">
        <v>8026</v>
      </c>
      <c r="B513" s="1683" t="str">
        <f t="shared" si="15"/>
        <v>101-856</v>
      </c>
      <c r="C513">
        <v>0</v>
      </c>
      <c r="D513">
        <f t="shared" ref="D513:D574" si="16">C513*-1</f>
        <v>0</v>
      </c>
    </row>
    <row r="514" spans="1:4" ht="14.5">
      <c r="A514" t="s">
        <v>8027</v>
      </c>
      <c r="B514" s="1683" t="str">
        <f t="shared" ref="B514:B577" si="17">CONCATENATE(LEFT(RIGHT(CONCATENATE("000",A514),6),3),"-",(RIGHT(RIGHT(CONCATENATE("000",A514),6),3)))</f>
        <v>101-858</v>
      </c>
      <c r="C514">
        <v>0</v>
      </c>
      <c r="D514">
        <f t="shared" si="16"/>
        <v>0</v>
      </c>
    </row>
    <row r="515" spans="1:4" ht="14.5">
      <c r="A515" t="s">
        <v>8028</v>
      </c>
      <c r="B515" s="1683" t="str">
        <f t="shared" si="17"/>
        <v>101-859</v>
      </c>
      <c r="C515">
        <v>0</v>
      </c>
      <c r="D515">
        <f t="shared" si="16"/>
        <v>0</v>
      </c>
    </row>
    <row r="516" spans="1:4" ht="14.5">
      <c r="A516" t="s">
        <v>8029</v>
      </c>
      <c r="B516" s="1683" t="str">
        <f t="shared" si="17"/>
        <v>101-861</v>
      </c>
      <c r="C516">
        <v>0</v>
      </c>
      <c r="D516">
        <f t="shared" si="16"/>
        <v>0</v>
      </c>
    </row>
    <row r="517" spans="1:4" ht="14.5">
      <c r="A517" t="s">
        <v>8030</v>
      </c>
      <c r="B517" s="1683" t="str">
        <f t="shared" si="17"/>
        <v>101-862</v>
      </c>
      <c r="C517">
        <v>0</v>
      </c>
      <c r="D517">
        <f t="shared" si="16"/>
        <v>0</v>
      </c>
    </row>
    <row r="518" spans="1:4" ht="14.5">
      <c r="A518" t="s">
        <v>8031</v>
      </c>
      <c r="B518" s="1683" t="str">
        <f t="shared" si="17"/>
        <v>101-864</v>
      </c>
      <c r="C518">
        <v>0</v>
      </c>
      <c r="D518">
        <f t="shared" si="16"/>
        <v>0</v>
      </c>
    </row>
    <row r="519" spans="1:4" ht="14.5">
      <c r="A519" t="s">
        <v>8032</v>
      </c>
      <c r="B519" s="1683" t="str">
        <f t="shared" si="17"/>
        <v>101-868</v>
      </c>
      <c r="C519">
        <v>0</v>
      </c>
      <c r="D519">
        <f t="shared" si="16"/>
        <v>0</v>
      </c>
    </row>
    <row r="520" spans="1:4" ht="14.5">
      <c r="A520" t="s">
        <v>8033</v>
      </c>
      <c r="B520" s="1683" t="str">
        <f t="shared" si="17"/>
        <v>101-870</v>
      </c>
      <c r="C520">
        <v>0</v>
      </c>
      <c r="D520">
        <f t="shared" si="16"/>
        <v>0</v>
      </c>
    </row>
    <row r="521" spans="1:4" ht="14.5">
      <c r="A521" t="s">
        <v>8034</v>
      </c>
      <c r="B521" s="1683" t="str">
        <f t="shared" si="17"/>
        <v>101-871</v>
      </c>
      <c r="C521">
        <v>0</v>
      </c>
      <c r="D521">
        <f t="shared" si="16"/>
        <v>0</v>
      </c>
    </row>
    <row r="522" spans="1:4" ht="14.5">
      <c r="A522" t="s">
        <v>8035</v>
      </c>
      <c r="B522" s="1683" t="str">
        <f t="shared" si="17"/>
        <v>101-872</v>
      </c>
      <c r="C522">
        <v>0</v>
      </c>
      <c r="D522">
        <f t="shared" si="16"/>
        <v>0</v>
      </c>
    </row>
    <row r="523" spans="1:4" ht="14.5">
      <c r="A523" t="s">
        <v>8036</v>
      </c>
      <c r="B523" s="1683" t="str">
        <f t="shared" si="17"/>
        <v>101-873</v>
      </c>
      <c r="C523">
        <v>0</v>
      </c>
      <c r="D523">
        <f t="shared" si="16"/>
        <v>0</v>
      </c>
    </row>
    <row r="524" spans="1:4" ht="14.5">
      <c r="A524" t="s">
        <v>8037</v>
      </c>
      <c r="B524" s="1683" t="str">
        <f t="shared" si="17"/>
        <v>101-874</v>
      </c>
      <c r="C524">
        <v>0</v>
      </c>
      <c r="D524">
        <f t="shared" si="16"/>
        <v>0</v>
      </c>
    </row>
    <row r="525" spans="1:4" ht="14.5">
      <c r="A525" t="s">
        <v>3019</v>
      </c>
      <c r="B525" s="1683" t="str">
        <f t="shared" si="17"/>
        <v>101-902</v>
      </c>
      <c r="C525">
        <v>-0.02</v>
      </c>
      <c r="D525">
        <f t="shared" si="16"/>
        <v>0.02</v>
      </c>
    </row>
    <row r="526" spans="1:4" ht="14.5">
      <c r="A526" t="s">
        <v>3020</v>
      </c>
      <c r="B526" s="1683" t="str">
        <f t="shared" si="17"/>
        <v>101-903</v>
      </c>
      <c r="C526">
        <v>0</v>
      </c>
      <c r="D526">
        <f t="shared" si="16"/>
        <v>0</v>
      </c>
    </row>
    <row r="527" spans="1:4" ht="14.5">
      <c r="A527" t="s">
        <v>3021</v>
      </c>
      <c r="B527" s="1683" t="str">
        <f t="shared" si="17"/>
        <v>101-905</v>
      </c>
      <c r="C527">
        <v>0</v>
      </c>
      <c r="D527">
        <f t="shared" si="16"/>
        <v>0</v>
      </c>
    </row>
    <row r="528" spans="1:4" ht="14.5">
      <c r="A528" t="s">
        <v>3022</v>
      </c>
      <c r="B528" s="1683" t="str">
        <f t="shared" si="17"/>
        <v>101-906</v>
      </c>
      <c r="C528">
        <v>0</v>
      </c>
      <c r="D528">
        <f t="shared" si="16"/>
        <v>0</v>
      </c>
    </row>
    <row r="529" spans="1:4" ht="14.5">
      <c r="A529" t="s">
        <v>5066</v>
      </c>
      <c r="B529" s="1683" t="str">
        <f t="shared" si="17"/>
        <v>101-907</v>
      </c>
      <c r="C529">
        <v>-0.02</v>
      </c>
      <c r="D529">
        <f t="shared" si="16"/>
        <v>0.02</v>
      </c>
    </row>
    <row r="530" spans="1:4" ht="14.5">
      <c r="A530" t="s">
        <v>5067</v>
      </c>
      <c r="B530" s="1683" t="str">
        <f t="shared" si="17"/>
        <v>101-908</v>
      </c>
      <c r="C530">
        <v>0</v>
      </c>
      <c r="D530">
        <f t="shared" si="16"/>
        <v>0</v>
      </c>
    </row>
    <row r="531" spans="1:4" ht="14.5">
      <c r="A531" t="s">
        <v>3023</v>
      </c>
      <c r="B531" s="1683" t="str">
        <f t="shared" si="17"/>
        <v>101-910</v>
      </c>
      <c r="C531">
        <v>0</v>
      </c>
      <c r="D531">
        <f t="shared" si="16"/>
        <v>0</v>
      </c>
    </row>
    <row r="532" spans="1:4" ht="14.5">
      <c r="A532" t="s">
        <v>5068</v>
      </c>
      <c r="B532" s="1683" t="str">
        <f t="shared" si="17"/>
        <v>101-911</v>
      </c>
      <c r="C532">
        <v>0</v>
      </c>
      <c r="D532">
        <f t="shared" si="16"/>
        <v>0</v>
      </c>
    </row>
    <row r="533" spans="1:4" ht="14.5">
      <c r="A533" t="s">
        <v>5069</v>
      </c>
      <c r="B533" s="1683" t="str">
        <f t="shared" si="17"/>
        <v>101-912</v>
      </c>
      <c r="C533">
        <v>0</v>
      </c>
      <c r="D533">
        <f t="shared" si="16"/>
        <v>0</v>
      </c>
    </row>
    <row r="534" spans="1:4" ht="14.5">
      <c r="A534" t="s">
        <v>3024</v>
      </c>
      <c r="B534" s="1683" t="str">
        <f t="shared" si="17"/>
        <v>101-913</v>
      </c>
      <c r="C534">
        <v>0</v>
      </c>
      <c r="D534">
        <f t="shared" si="16"/>
        <v>0</v>
      </c>
    </row>
    <row r="535" spans="1:4" ht="14.5">
      <c r="A535" t="s">
        <v>3025</v>
      </c>
      <c r="B535" s="1683" t="str">
        <f t="shared" si="17"/>
        <v>101-914</v>
      </c>
      <c r="C535">
        <v>0</v>
      </c>
      <c r="D535">
        <f t="shared" si="16"/>
        <v>0</v>
      </c>
    </row>
    <row r="536" spans="1:4" ht="14.5">
      <c r="A536" t="s">
        <v>3026</v>
      </c>
      <c r="B536" s="1683" t="str">
        <f t="shared" si="17"/>
        <v>101-915</v>
      </c>
      <c r="C536">
        <v>-0.02</v>
      </c>
      <c r="D536">
        <f t="shared" si="16"/>
        <v>0.02</v>
      </c>
    </row>
    <row r="537" spans="1:4" ht="14.5">
      <c r="A537" t="s">
        <v>5070</v>
      </c>
      <c r="B537" s="1683" t="str">
        <f t="shared" si="17"/>
        <v>101-916</v>
      </c>
      <c r="C537">
        <v>-0.13</v>
      </c>
      <c r="D537">
        <f t="shared" si="16"/>
        <v>0.13</v>
      </c>
    </row>
    <row r="538" spans="1:4" ht="14.5">
      <c r="A538" t="s">
        <v>3027</v>
      </c>
      <c r="B538" s="1683" t="str">
        <f t="shared" si="17"/>
        <v>101-917</v>
      </c>
      <c r="C538">
        <v>0</v>
      </c>
      <c r="D538">
        <f t="shared" si="16"/>
        <v>0</v>
      </c>
    </row>
    <row r="539" spans="1:4" ht="14.5">
      <c r="A539" t="s">
        <v>5071</v>
      </c>
      <c r="B539" s="1683" t="str">
        <f t="shared" si="17"/>
        <v>101-919</v>
      </c>
      <c r="C539">
        <v>-0.02</v>
      </c>
      <c r="D539">
        <f t="shared" si="16"/>
        <v>0.02</v>
      </c>
    </row>
    <row r="540" spans="1:4" ht="14.5">
      <c r="A540" t="s">
        <v>5072</v>
      </c>
      <c r="B540" s="1683" t="str">
        <f t="shared" si="17"/>
        <v>101-920</v>
      </c>
      <c r="C540">
        <v>-0.02</v>
      </c>
      <c r="D540">
        <f t="shared" si="16"/>
        <v>0.02</v>
      </c>
    </row>
    <row r="541" spans="1:4" ht="14.5">
      <c r="A541" t="s">
        <v>5073</v>
      </c>
      <c r="B541" s="1683" t="str">
        <f t="shared" si="17"/>
        <v>101-921</v>
      </c>
      <c r="C541">
        <v>0</v>
      </c>
      <c r="D541">
        <f t="shared" si="16"/>
        <v>0</v>
      </c>
    </row>
    <row r="542" spans="1:4" ht="14.5">
      <c r="A542" t="s">
        <v>5074</v>
      </c>
      <c r="B542" s="1683" t="str">
        <f t="shared" si="17"/>
        <v>101-924</v>
      </c>
      <c r="C542">
        <v>0</v>
      </c>
      <c r="D542">
        <f t="shared" si="16"/>
        <v>0</v>
      </c>
    </row>
    <row r="543" spans="1:4" ht="14.5">
      <c r="A543" t="s">
        <v>3028</v>
      </c>
      <c r="B543" s="1683" t="str">
        <f t="shared" si="17"/>
        <v>101-925</v>
      </c>
      <c r="C543">
        <v>0</v>
      </c>
      <c r="D543">
        <f t="shared" si="16"/>
        <v>0</v>
      </c>
    </row>
    <row r="544" spans="1:4" ht="14.5">
      <c r="A544" t="s">
        <v>8508</v>
      </c>
      <c r="B544" s="1683" t="str">
        <f t="shared" si="17"/>
        <v>101-950</v>
      </c>
      <c r="C544">
        <v>0</v>
      </c>
      <c r="D544">
        <f t="shared" si="16"/>
        <v>0</v>
      </c>
    </row>
    <row r="545" spans="1:4" ht="14.5">
      <c r="A545" t="s">
        <v>5812</v>
      </c>
      <c r="B545" s="1683" t="str">
        <f t="shared" si="17"/>
        <v>102-901</v>
      </c>
      <c r="C545">
        <v>0</v>
      </c>
      <c r="D545">
        <f t="shared" si="16"/>
        <v>0</v>
      </c>
    </row>
    <row r="546" spans="1:4" ht="14.5">
      <c r="A546" t="s">
        <v>5075</v>
      </c>
      <c r="B546" s="1683" t="str">
        <f t="shared" si="17"/>
        <v>102-902</v>
      </c>
      <c r="C546">
        <v>0</v>
      </c>
      <c r="D546">
        <f t="shared" si="16"/>
        <v>0</v>
      </c>
    </row>
    <row r="547" spans="1:4" ht="14.5">
      <c r="A547" t="s">
        <v>5076</v>
      </c>
      <c r="B547" s="1683" t="str">
        <f t="shared" si="17"/>
        <v>102-903</v>
      </c>
      <c r="C547">
        <v>0</v>
      </c>
      <c r="D547">
        <f t="shared" si="16"/>
        <v>0</v>
      </c>
    </row>
    <row r="548" spans="1:4" ht="14.5">
      <c r="A548" t="s">
        <v>5077</v>
      </c>
      <c r="B548" s="1683" t="str">
        <f t="shared" si="17"/>
        <v>102-904</v>
      </c>
      <c r="C548">
        <v>0</v>
      </c>
      <c r="D548">
        <f t="shared" si="16"/>
        <v>0</v>
      </c>
    </row>
    <row r="549" spans="1:4" ht="14.5">
      <c r="A549" t="s">
        <v>5078</v>
      </c>
      <c r="B549" s="1683" t="str">
        <f t="shared" si="17"/>
        <v>102-905</v>
      </c>
      <c r="C549">
        <v>0</v>
      </c>
      <c r="D549">
        <f t="shared" si="16"/>
        <v>0</v>
      </c>
    </row>
    <row r="550" spans="1:4" ht="14.5">
      <c r="A550" t="s">
        <v>5079</v>
      </c>
      <c r="B550" s="1683" t="str">
        <f t="shared" si="17"/>
        <v>102-906</v>
      </c>
      <c r="C550">
        <v>0</v>
      </c>
      <c r="D550">
        <f t="shared" si="16"/>
        <v>0</v>
      </c>
    </row>
    <row r="551" spans="1:4" ht="14.5">
      <c r="A551" t="s">
        <v>5080</v>
      </c>
      <c r="B551" s="1683" t="str">
        <f t="shared" si="17"/>
        <v>103-901</v>
      </c>
      <c r="C551">
        <v>0</v>
      </c>
      <c r="D551">
        <f t="shared" si="16"/>
        <v>0</v>
      </c>
    </row>
    <row r="552" spans="1:4" ht="14.5">
      <c r="A552" t="s">
        <v>5081</v>
      </c>
      <c r="B552" s="1683" t="str">
        <f t="shared" si="17"/>
        <v>103-902</v>
      </c>
      <c r="C552">
        <v>0</v>
      </c>
      <c r="D552">
        <f t="shared" si="16"/>
        <v>0</v>
      </c>
    </row>
    <row r="553" spans="1:4" ht="14.5">
      <c r="A553" t="s">
        <v>3029</v>
      </c>
      <c r="B553" s="1683" t="str">
        <f t="shared" si="17"/>
        <v>104-901</v>
      </c>
      <c r="C553">
        <v>0</v>
      </c>
      <c r="D553">
        <f t="shared" si="16"/>
        <v>0</v>
      </c>
    </row>
    <row r="554" spans="1:4" ht="14.5">
      <c r="A554" t="s">
        <v>5813</v>
      </c>
      <c r="B554" s="1683" t="str">
        <f t="shared" si="17"/>
        <v>104-903</v>
      </c>
      <c r="C554">
        <v>0</v>
      </c>
      <c r="D554">
        <f t="shared" si="16"/>
        <v>0</v>
      </c>
    </row>
    <row r="555" spans="1:4" ht="14.5">
      <c r="A555" t="s">
        <v>5082</v>
      </c>
      <c r="B555" s="1683" t="str">
        <f t="shared" si="17"/>
        <v>104-907</v>
      </c>
      <c r="C555">
        <v>0</v>
      </c>
      <c r="D555">
        <f t="shared" si="16"/>
        <v>0</v>
      </c>
    </row>
    <row r="556" spans="1:4" ht="14.5">
      <c r="A556" t="s">
        <v>8040</v>
      </c>
      <c r="B556" s="1683" t="str">
        <f t="shared" si="17"/>
        <v>105-801</v>
      </c>
      <c r="C556">
        <v>0</v>
      </c>
      <c r="D556">
        <f t="shared" si="16"/>
        <v>0</v>
      </c>
    </row>
    <row r="557" spans="1:4" ht="14.5">
      <c r="A557" t="s">
        <v>8041</v>
      </c>
      <c r="B557" s="1683" t="str">
        <f t="shared" si="17"/>
        <v>105-802</v>
      </c>
      <c r="C557">
        <v>0</v>
      </c>
      <c r="D557">
        <f t="shared" si="16"/>
        <v>0</v>
      </c>
    </row>
    <row r="558" spans="1:4" ht="14.5">
      <c r="A558" t="s">
        <v>8042</v>
      </c>
      <c r="B558" s="1683" t="str">
        <f t="shared" si="17"/>
        <v>105-803</v>
      </c>
      <c r="C558">
        <v>0</v>
      </c>
      <c r="D558">
        <f t="shared" si="16"/>
        <v>0</v>
      </c>
    </row>
    <row r="559" spans="1:4" ht="14.5">
      <c r="A559" t="s">
        <v>5083</v>
      </c>
      <c r="B559" s="1683" t="str">
        <f t="shared" si="17"/>
        <v>105-902</v>
      </c>
      <c r="C559">
        <v>0</v>
      </c>
      <c r="D559">
        <f t="shared" si="16"/>
        <v>0</v>
      </c>
    </row>
    <row r="560" spans="1:4" ht="14.5">
      <c r="A560" t="s">
        <v>3030</v>
      </c>
      <c r="B560" s="1683" t="str">
        <f t="shared" si="17"/>
        <v>105-904</v>
      </c>
      <c r="C560">
        <v>0</v>
      </c>
      <c r="D560">
        <f t="shared" si="16"/>
        <v>0</v>
      </c>
    </row>
    <row r="561" spans="1:4" ht="14.5">
      <c r="A561" t="s">
        <v>5084</v>
      </c>
      <c r="B561" s="1683" t="str">
        <f t="shared" si="17"/>
        <v>105-905</v>
      </c>
      <c r="C561">
        <v>0</v>
      </c>
      <c r="D561">
        <f t="shared" si="16"/>
        <v>0</v>
      </c>
    </row>
    <row r="562" spans="1:4" ht="14.5">
      <c r="A562" t="s">
        <v>3031</v>
      </c>
      <c r="B562" s="1683" t="str">
        <f t="shared" si="17"/>
        <v>105-906</v>
      </c>
      <c r="C562">
        <v>0</v>
      </c>
      <c r="D562">
        <f t="shared" si="16"/>
        <v>0</v>
      </c>
    </row>
    <row r="563" spans="1:4" ht="14.5">
      <c r="A563" t="s">
        <v>5085</v>
      </c>
      <c r="B563" s="1683" t="str">
        <f t="shared" si="17"/>
        <v>106-901</v>
      </c>
      <c r="C563">
        <v>0</v>
      </c>
      <c r="D563">
        <f t="shared" si="16"/>
        <v>0</v>
      </c>
    </row>
    <row r="564" spans="1:4" ht="14.5">
      <c r="A564" t="s">
        <v>5086</v>
      </c>
      <c r="B564" s="1683" t="str">
        <f t="shared" si="17"/>
        <v>107-901</v>
      </c>
      <c r="C564">
        <v>0</v>
      </c>
      <c r="D564">
        <f t="shared" si="16"/>
        <v>0</v>
      </c>
    </row>
    <row r="565" spans="1:4" ht="14.5">
      <c r="A565" t="s">
        <v>5087</v>
      </c>
      <c r="B565" s="1683" t="str">
        <f t="shared" si="17"/>
        <v>107-902</v>
      </c>
      <c r="C565">
        <v>0</v>
      </c>
      <c r="D565">
        <f t="shared" si="16"/>
        <v>0</v>
      </c>
    </row>
    <row r="566" spans="1:4" ht="14.5">
      <c r="A566" t="s">
        <v>5088</v>
      </c>
      <c r="B566" s="1683" t="str">
        <f t="shared" si="17"/>
        <v>107-904</v>
      </c>
      <c r="C566">
        <v>0</v>
      </c>
      <c r="D566">
        <f t="shared" si="16"/>
        <v>0</v>
      </c>
    </row>
    <row r="567" spans="1:4" ht="14.5">
      <c r="A567" t="s">
        <v>5089</v>
      </c>
      <c r="B567" s="1683" t="str">
        <f t="shared" si="17"/>
        <v>107-905</v>
      </c>
      <c r="C567">
        <v>0</v>
      </c>
      <c r="D567">
        <f t="shared" si="16"/>
        <v>0</v>
      </c>
    </row>
    <row r="568" spans="1:4" ht="14.5">
      <c r="A568" t="s">
        <v>5090</v>
      </c>
      <c r="B568" s="1683" t="str">
        <f t="shared" si="17"/>
        <v>107-906</v>
      </c>
      <c r="C568">
        <v>0</v>
      </c>
      <c r="D568">
        <f t="shared" si="16"/>
        <v>0</v>
      </c>
    </row>
    <row r="569" spans="1:4" ht="14.5">
      <c r="A569" t="s">
        <v>3032</v>
      </c>
      <c r="B569" s="1683" t="str">
        <f t="shared" si="17"/>
        <v>107-907</v>
      </c>
      <c r="C569">
        <v>0</v>
      </c>
      <c r="D569">
        <f t="shared" si="16"/>
        <v>0</v>
      </c>
    </row>
    <row r="570" spans="1:4" ht="14.5">
      <c r="A570" t="s">
        <v>4087</v>
      </c>
      <c r="B570" s="1683" t="str">
        <f t="shared" si="17"/>
        <v>107-908</v>
      </c>
      <c r="C570">
        <v>0</v>
      </c>
      <c r="D570">
        <f t="shared" si="16"/>
        <v>0</v>
      </c>
    </row>
    <row r="571" spans="1:4" ht="14.5">
      <c r="A571" t="s">
        <v>5091</v>
      </c>
      <c r="B571" s="1683" t="str">
        <f t="shared" si="17"/>
        <v>107-910</v>
      </c>
      <c r="C571">
        <v>0</v>
      </c>
      <c r="D571">
        <f t="shared" si="16"/>
        <v>0</v>
      </c>
    </row>
    <row r="572" spans="1:4" ht="14.5">
      <c r="A572" t="s">
        <v>8043</v>
      </c>
      <c r="B572" s="1683" t="str">
        <f t="shared" si="17"/>
        <v>108-802</v>
      </c>
      <c r="C572">
        <v>0</v>
      </c>
      <c r="D572">
        <f t="shared" si="16"/>
        <v>0</v>
      </c>
    </row>
    <row r="573" spans="1:4" ht="14.5">
      <c r="A573" t="s">
        <v>8044</v>
      </c>
      <c r="B573" s="1683" t="str">
        <f t="shared" si="17"/>
        <v>108-804</v>
      </c>
      <c r="C573">
        <v>0</v>
      </c>
      <c r="D573">
        <f t="shared" si="16"/>
        <v>0</v>
      </c>
    </row>
    <row r="574" spans="1:4" ht="14.5">
      <c r="A574" t="s">
        <v>8045</v>
      </c>
      <c r="B574" s="1683" t="str">
        <f t="shared" si="17"/>
        <v>108-807</v>
      </c>
      <c r="C574">
        <v>0</v>
      </c>
      <c r="D574">
        <f t="shared" si="16"/>
        <v>0</v>
      </c>
    </row>
    <row r="575" spans="1:4" ht="14.5">
      <c r="A575" t="s">
        <v>8046</v>
      </c>
      <c r="B575" s="1683" t="str">
        <f t="shared" si="17"/>
        <v>108-808</v>
      </c>
      <c r="C575">
        <v>0</v>
      </c>
      <c r="D575">
        <f t="shared" ref="D575:D638" si="18">C575*-1</f>
        <v>0</v>
      </c>
    </row>
    <row r="576" spans="1:4" ht="14.5">
      <c r="A576" t="s">
        <v>8047</v>
      </c>
      <c r="B576" s="1683" t="str">
        <f t="shared" si="17"/>
        <v>108-809</v>
      </c>
      <c r="C576">
        <v>0</v>
      </c>
      <c r="D576">
        <f t="shared" si="18"/>
        <v>0</v>
      </c>
    </row>
    <row r="577" spans="1:4" ht="14.5">
      <c r="A577" t="s">
        <v>3033</v>
      </c>
      <c r="B577" s="1683" t="str">
        <f t="shared" si="17"/>
        <v>108-902</v>
      </c>
      <c r="C577">
        <v>0</v>
      </c>
      <c r="D577">
        <f t="shared" si="18"/>
        <v>0</v>
      </c>
    </row>
    <row r="578" spans="1:4" ht="14.5">
      <c r="A578" t="s">
        <v>3034</v>
      </c>
      <c r="B578" s="1683" t="str">
        <f t="shared" ref="B578:B641" si="19">CONCATENATE(LEFT(RIGHT(CONCATENATE("000",A578),6),3),"-",(RIGHT(RIGHT(CONCATENATE("000",A578),6),3)))</f>
        <v>108-903</v>
      </c>
      <c r="C578">
        <v>0</v>
      </c>
      <c r="D578">
        <f t="shared" si="18"/>
        <v>0</v>
      </c>
    </row>
    <row r="579" spans="1:4" ht="14.5">
      <c r="A579" t="s">
        <v>3035</v>
      </c>
      <c r="B579" s="1683" t="str">
        <f t="shared" si="19"/>
        <v>108-904</v>
      </c>
      <c r="C579">
        <v>0</v>
      </c>
      <c r="D579">
        <f t="shared" si="18"/>
        <v>0</v>
      </c>
    </row>
    <row r="580" spans="1:4" ht="14.5">
      <c r="A580" t="s">
        <v>3036</v>
      </c>
      <c r="B580" s="1683" t="str">
        <f t="shared" si="19"/>
        <v>108-905</v>
      </c>
      <c r="C580">
        <v>0</v>
      </c>
      <c r="D580">
        <f t="shared" si="18"/>
        <v>0</v>
      </c>
    </row>
    <row r="581" spans="1:4" ht="14.5">
      <c r="A581" t="s">
        <v>3037</v>
      </c>
      <c r="B581" s="1683" t="str">
        <f t="shared" si="19"/>
        <v>108-906</v>
      </c>
      <c r="C581">
        <v>0</v>
      </c>
      <c r="D581">
        <f t="shared" si="18"/>
        <v>0</v>
      </c>
    </row>
    <row r="582" spans="1:4" ht="14.5">
      <c r="A582" t="s">
        <v>3038</v>
      </c>
      <c r="B582" s="1683" t="str">
        <f t="shared" si="19"/>
        <v>108-907</v>
      </c>
      <c r="C582">
        <v>0</v>
      </c>
      <c r="D582">
        <f t="shared" si="18"/>
        <v>0</v>
      </c>
    </row>
    <row r="583" spans="1:4" ht="14.5">
      <c r="A583" t="s">
        <v>3039</v>
      </c>
      <c r="B583" s="1683" t="str">
        <f t="shared" si="19"/>
        <v>108-908</v>
      </c>
      <c r="C583">
        <v>0</v>
      </c>
      <c r="D583">
        <f t="shared" si="18"/>
        <v>0</v>
      </c>
    </row>
    <row r="584" spans="1:4" ht="14.5">
      <c r="A584" t="s">
        <v>3040</v>
      </c>
      <c r="B584" s="1683" t="str">
        <f t="shared" si="19"/>
        <v>108-909</v>
      </c>
      <c r="C584">
        <v>0</v>
      </c>
      <c r="D584">
        <f t="shared" si="18"/>
        <v>0</v>
      </c>
    </row>
    <row r="585" spans="1:4" ht="14.5">
      <c r="A585" t="s">
        <v>3041</v>
      </c>
      <c r="B585" s="1683" t="str">
        <f t="shared" si="19"/>
        <v>108-910</v>
      </c>
      <c r="C585">
        <v>0</v>
      </c>
      <c r="D585">
        <f t="shared" si="18"/>
        <v>0</v>
      </c>
    </row>
    <row r="586" spans="1:4" ht="14.5">
      <c r="A586" t="s">
        <v>3042</v>
      </c>
      <c r="B586" s="1683" t="str">
        <f t="shared" si="19"/>
        <v>108-911</v>
      </c>
      <c r="C586">
        <v>0</v>
      </c>
      <c r="D586">
        <f t="shared" si="18"/>
        <v>0</v>
      </c>
    </row>
    <row r="587" spans="1:4" ht="14.5">
      <c r="A587" t="s">
        <v>3043</v>
      </c>
      <c r="B587" s="1683" t="str">
        <f t="shared" si="19"/>
        <v>108-912</v>
      </c>
      <c r="C587">
        <v>0</v>
      </c>
      <c r="D587">
        <f t="shared" si="18"/>
        <v>0</v>
      </c>
    </row>
    <row r="588" spans="1:4" ht="14.5">
      <c r="A588" t="s">
        <v>3044</v>
      </c>
      <c r="B588" s="1683" t="str">
        <f t="shared" si="19"/>
        <v>108-913</v>
      </c>
      <c r="C588">
        <v>0</v>
      </c>
      <c r="D588">
        <f t="shared" si="18"/>
        <v>0</v>
      </c>
    </row>
    <row r="589" spans="1:4" ht="14.5">
      <c r="A589" t="s">
        <v>3045</v>
      </c>
      <c r="B589" s="1683" t="str">
        <f t="shared" si="19"/>
        <v>108-914</v>
      </c>
      <c r="C589">
        <v>0</v>
      </c>
      <c r="D589">
        <f t="shared" si="18"/>
        <v>0</v>
      </c>
    </row>
    <row r="590" spans="1:4" ht="14.5">
      <c r="A590" t="s">
        <v>3046</v>
      </c>
      <c r="B590" s="1683" t="str">
        <f t="shared" si="19"/>
        <v>108-915</v>
      </c>
      <c r="C590">
        <v>0</v>
      </c>
      <c r="D590">
        <f t="shared" si="18"/>
        <v>0</v>
      </c>
    </row>
    <row r="591" spans="1:4" ht="14.5">
      <c r="A591" t="s">
        <v>3047</v>
      </c>
      <c r="B591" s="1683" t="str">
        <f t="shared" si="19"/>
        <v>108-916</v>
      </c>
      <c r="C591">
        <v>0</v>
      </c>
      <c r="D591">
        <f t="shared" si="18"/>
        <v>0</v>
      </c>
    </row>
    <row r="592" spans="1:4" ht="14.5">
      <c r="A592" t="s">
        <v>8509</v>
      </c>
      <c r="B592" s="1683" t="str">
        <f t="shared" si="19"/>
        <v>108-950</v>
      </c>
      <c r="C592">
        <v>0</v>
      </c>
      <c r="D592">
        <f t="shared" si="18"/>
        <v>0</v>
      </c>
    </row>
    <row r="593" spans="1:4" ht="14.5">
      <c r="A593" t="s">
        <v>3048</v>
      </c>
      <c r="B593" s="1683" t="str">
        <f t="shared" si="19"/>
        <v>109-901</v>
      </c>
      <c r="C593">
        <v>0</v>
      </c>
      <c r="D593">
        <f t="shared" si="18"/>
        <v>0</v>
      </c>
    </row>
    <row r="594" spans="1:4" ht="14.5">
      <c r="A594" t="s">
        <v>3049</v>
      </c>
      <c r="B594" s="1683" t="str">
        <f t="shared" si="19"/>
        <v>109-902</v>
      </c>
      <c r="C594">
        <v>0</v>
      </c>
      <c r="D594">
        <f t="shared" si="18"/>
        <v>0</v>
      </c>
    </row>
    <row r="595" spans="1:4" ht="14.5">
      <c r="A595" t="s">
        <v>4185</v>
      </c>
      <c r="B595" s="1683" t="str">
        <f t="shared" si="19"/>
        <v>109-903</v>
      </c>
      <c r="C595">
        <v>0</v>
      </c>
      <c r="D595">
        <f t="shared" si="18"/>
        <v>0</v>
      </c>
    </row>
    <row r="596" spans="1:4" ht="14.5">
      <c r="A596" t="s">
        <v>3050</v>
      </c>
      <c r="B596" s="1683" t="str">
        <f t="shared" si="19"/>
        <v>109-904</v>
      </c>
      <c r="C596">
        <v>0</v>
      </c>
      <c r="D596">
        <f t="shared" si="18"/>
        <v>0</v>
      </c>
    </row>
    <row r="597" spans="1:4" ht="14.5">
      <c r="A597" t="s">
        <v>3051</v>
      </c>
      <c r="B597" s="1683" t="str">
        <f t="shared" si="19"/>
        <v>109-905</v>
      </c>
      <c r="C597">
        <v>0</v>
      </c>
      <c r="D597">
        <f t="shared" si="18"/>
        <v>0</v>
      </c>
    </row>
    <row r="598" spans="1:4" ht="14.5">
      <c r="A598" t="s">
        <v>3052</v>
      </c>
      <c r="B598" s="1683" t="str">
        <f t="shared" si="19"/>
        <v>109-907</v>
      </c>
      <c r="C598">
        <v>0</v>
      </c>
      <c r="D598">
        <f t="shared" si="18"/>
        <v>0</v>
      </c>
    </row>
    <row r="599" spans="1:4" ht="14.5">
      <c r="A599" t="s">
        <v>3053</v>
      </c>
      <c r="B599" s="1683" t="str">
        <f t="shared" si="19"/>
        <v>109-908</v>
      </c>
      <c r="C599">
        <v>0</v>
      </c>
      <c r="D599">
        <f t="shared" si="18"/>
        <v>0</v>
      </c>
    </row>
    <row r="600" spans="1:4" ht="14.5">
      <c r="A600" t="s">
        <v>3054</v>
      </c>
      <c r="B600" s="1683" t="str">
        <f t="shared" si="19"/>
        <v>109-910</v>
      </c>
      <c r="C600">
        <v>0</v>
      </c>
      <c r="D600">
        <f t="shared" si="18"/>
        <v>0</v>
      </c>
    </row>
    <row r="601" spans="1:4" ht="14.5">
      <c r="A601" t="s">
        <v>5092</v>
      </c>
      <c r="B601" s="1683" t="str">
        <f t="shared" si="19"/>
        <v>109-911</v>
      </c>
      <c r="C601">
        <v>0</v>
      </c>
      <c r="D601">
        <f t="shared" si="18"/>
        <v>0</v>
      </c>
    </row>
    <row r="602" spans="1:4" ht="14.5">
      <c r="A602" t="s">
        <v>3055</v>
      </c>
      <c r="B602" s="1683" t="str">
        <f t="shared" si="19"/>
        <v>109-912</v>
      </c>
      <c r="C602">
        <v>0</v>
      </c>
      <c r="D602">
        <f t="shared" si="18"/>
        <v>0</v>
      </c>
    </row>
    <row r="603" spans="1:4" ht="14.5">
      <c r="A603" t="s">
        <v>4203</v>
      </c>
      <c r="B603" s="1683" t="str">
        <f t="shared" si="19"/>
        <v>109-913</v>
      </c>
      <c r="C603">
        <v>0</v>
      </c>
      <c r="D603">
        <f t="shared" si="18"/>
        <v>0</v>
      </c>
    </row>
    <row r="604" spans="1:4" ht="14.5">
      <c r="A604" t="s">
        <v>4205</v>
      </c>
      <c r="B604" s="1683" t="str">
        <f t="shared" si="19"/>
        <v>109-914</v>
      </c>
      <c r="C604">
        <v>0</v>
      </c>
      <c r="D604">
        <f t="shared" si="18"/>
        <v>0</v>
      </c>
    </row>
    <row r="605" spans="1:4" ht="14.5">
      <c r="A605" t="s">
        <v>5814</v>
      </c>
      <c r="B605" s="1683" t="str">
        <f t="shared" si="19"/>
        <v>110-901</v>
      </c>
      <c r="C605">
        <v>0</v>
      </c>
      <c r="D605">
        <f t="shared" si="18"/>
        <v>0</v>
      </c>
    </row>
    <row r="606" spans="1:4" ht="14.5">
      <c r="A606" t="s">
        <v>5093</v>
      </c>
      <c r="B606" s="1683" t="str">
        <f t="shared" si="19"/>
        <v>110-902</v>
      </c>
      <c r="C606">
        <v>0</v>
      </c>
      <c r="D606">
        <f t="shared" si="18"/>
        <v>0</v>
      </c>
    </row>
    <row r="607" spans="1:4" ht="14.5">
      <c r="A607" t="s">
        <v>5094</v>
      </c>
      <c r="B607" s="1683" t="str">
        <f t="shared" si="19"/>
        <v>110-905</v>
      </c>
      <c r="C607">
        <v>0</v>
      </c>
      <c r="D607">
        <f t="shared" si="18"/>
        <v>0</v>
      </c>
    </row>
    <row r="608" spans="1:4" ht="14.5">
      <c r="A608" t="s">
        <v>3056</v>
      </c>
      <c r="B608" s="1683" t="str">
        <f t="shared" si="19"/>
        <v>110-906</v>
      </c>
      <c r="C608">
        <v>0</v>
      </c>
      <c r="D608">
        <f t="shared" si="18"/>
        <v>0</v>
      </c>
    </row>
    <row r="609" spans="1:4" ht="14.5">
      <c r="A609" t="s">
        <v>5815</v>
      </c>
      <c r="B609" s="1683" t="str">
        <f t="shared" si="19"/>
        <v>110-907</v>
      </c>
      <c r="C609">
        <v>0</v>
      </c>
      <c r="D609">
        <f t="shared" si="18"/>
        <v>0</v>
      </c>
    </row>
    <row r="610" spans="1:4" ht="14.5">
      <c r="A610" t="s">
        <v>5816</v>
      </c>
      <c r="B610" s="1683" t="str">
        <f t="shared" si="19"/>
        <v>110-908</v>
      </c>
      <c r="C610">
        <v>0</v>
      </c>
      <c r="D610">
        <f t="shared" si="18"/>
        <v>0</v>
      </c>
    </row>
    <row r="611" spans="1:4" ht="14.5">
      <c r="A611" t="s">
        <v>8048</v>
      </c>
      <c r="B611" s="1683" t="str">
        <f t="shared" si="19"/>
        <v>111-801</v>
      </c>
      <c r="C611">
        <v>0</v>
      </c>
      <c r="D611">
        <f t="shared" si="18"/>
        <v>0</v>
      </c>
    </row>
    <row r="612" spans="1:4" ht="14.5">
      <c r="A612" t="s">
        <v>5095</v>
      </c>
      <c r="B612" s="1683" t="str">
        <f t="shared" si="19"/>
        <v>111-901</v>
      </c>
      <c r="C612">
        <v>0</v>
      </c>
      <c r="D612">
        <f t="shared" si="18"/>
        <v>0</v>
      </c>
    </row>
    <row r="613" spans="1:4" ht="14.5">
      <c r="A613" t="s">
        <v>3057</v>
      </c>
      <c r="B613" s="1683" t="str">
        <f t="shared" si="19"/>
        <v>111-902</v>
      </c>
      <c r="C613">
        <v>0</v>
      </c>
      <c r="D613">
        <f t="shared" si="18"/>
        <v>0</v>
      </c>
    </row>
    <row r="614" spans="1:4" ht="14.5">
      <c r="A614" t="s">
        <v>3058</v>
      </c>
      <c r="B614" s="1683" t="str">
        <f t="shared" si="19"/>
        <v>111-903</v>
      </c>
      <c r="C614">
        <v>0</v>
      </c>
      <c r="D614">
        <f t="shared" si="18"/>
        <v>0</v>
      </c>
    </row>
    <row r="615" spans="1:4" ht="14.5">
      <c r="A615" t="s">
        <v>3059</v>
      </c>
      <c r="B615" s="1683" t="str">
        <f t="shared" si="19"/>
        <v>112-901</v>
      </c>
      <c r="C615">
        <v>0</v>
      </c>
      <c r="D615">
        <f t="shared" si="18"/>
        <v>0</v>
      </c>
    </row>
    <row r="616" spans="1:4" ht="14.5">
      <c r="A616" t="s">
        <v>3060</v>
      </c>
      <c r="B616" s="1683" t="str">
        <f t="shared" si="19"/>
        <v>112-905</v>
      </c>
      <c r="C616">
        <v>0</v>
      </c>
      <c r="D616">
        <f t="shared" si="18"/>
        <v>0</v>
      </c>
    </row>
    <row r="617" spans="1:4" ht="14.5">
      <c r="A617" t="s">
        <v>5096</v>
      </c>
      <c r="B617" s="1683" t="str">
        <f t="shared" si="19"/>
        <v>112-906</v>
      </c>
      <c r="C617">
        <v>0</v>
      </c>
      <c r="D617">
        <f t="shared" si="18"/>
        <v>0</v>
      </c>
    </row>
    <row r="618" spans="1:4" ht="14.5">
      <c r="A618" t="s">
        <v>3061</v>
      </c>
      <c r="B618" s="1683" t="str">
        <f t="shared" si="19"/>
        <v>112-907</v>
      </c>
      <c r="C618">
        <v>0</v>
      </c>
      <c r="D618">
        <f t="shared" si="18"/>
        <v>0</v>
      </c>
    </row>
    <row r="619" spans="1:4" ht="14.5">
      <c r="A619" t="s">
        <v>5817</v>
      </c>
      <c r="B619" s="1683" t="str">
        <f t="shared" si="19"/>
        <v>112-908</v>
      </c>
      <c r="C619">
        <v>0</v>
      </c>
      <c r="D619">
        <f t="shared" si="18"/>
        <v>0</v>
      </c>
    </row>
    <row r="620" spans="1:4" ht="14.5">
      <c r="A620" t="s">
        <v>5818</v>
      </c>
      <c r="B620" s="1683" t="str">
        <f t="shared" si="19"/>
        <v>112-909</v>
      </c>
      <c r="C620">
        <v>0</v>
      </c>
      <c r="D620">
        <f t="shared" si="18"/>
        <v>0</v>
      </c>
    </row>
    <row r="621" spans="1:4" ht="14.5">
      <c r="A621" t="s">
        <v>3062</v>
      </c>
      <c r="B621" s="1683" t="str">
        <f t="shared" si="19"/>
        <v>112-910</v>
      </c>
      <c r="C621">
        <v>0</v>
      </c>
      <c r="D621">
        <f t="shared" si="18"/>
        <v>0</v>
      </c>
    </row>
    <row r="622" spans="1:4" ht="14.5">
      <c r="A622" t="s">
        <v>5097</v>
      </c>
      <c r="B622" s="1683" t="str">
        <f t="shared" si="19"/>
        <v>113-901</v>
      </c>
      <c r="C622">
        <v>0</v>
      </c>
      <c r="D622">
        <f t="shared" si="18"/>
        <v>0</v>
      </c>
    </row>
    <row r="623" spans="1:4" ht="14.5">
      <c r="A623" t="s">
        <v>5098</v>
      </c>
      <c r="B623" s="1683" t="str">
        <f t="shared" si="19"/>
        <v>113-902</v>
      </c>
      <c r="C623">
        <v>0</v>
      </c>
      <c r="D623">
        <f t="shared" si="18"/>
        <v>0</v>
      </c>
    </row>
    <row r="624" spans="1:4" ht="14.5">
      <c r="A624" t="s">
        <v>5819</v>
      </c>
      <c r="B624" s="1683" t="str">
        <f t="shared" si="19"/>
        <v>113-903</v>
      </c>
      <c r="C624">
        <v>0</v>
      </c>
      <c r="D624">
        <f t="shared" si="18"/>
        <v>0</v>
      </c>
    </row>
    <row r="625" spans="1:4" ht="14.5">
      <c r="A625" t="s">
        <v>5099</v>
      </c>
      <c r="B625" s="1683" t="str">
        <f t="shared" si="19"/>
        <v>113-905</v>
      </c>
      <c r="C625">
        <v>0</v>
      </c>
      <c r="D625">
        <f t="shared" si="18"/>
        <v>0</v>
      </c>
    </row>
    <row r="626" spans="1:4" ht="14.5">
      <c r="A626" t="s">
        <v>5820</v>
      </c>
      <c r="B626" s="1683" t="str">
        <f t="shared" si="19"/>
        <v>113-906</v>
      </c>
      <c r="C626">
        <v>0</v>
      </c>
      <c r="D626">
        <f t="shared" si="18"/>
        <v>0</v>
      </c>
    </row>
    <row r="627" spans="1:4" ht="14.5">
      <c r="A627" t="s">
        <v>3063</v>
      </c>
      <c r="B627" s="1683" t="str">
        <f t="shared" si="19"/>
        <v>114-901</v>
      </c>
      <c r="C627">
        <v>0</v>
      </c>
      <c r="D627">
        <f t="shared" si="18"/>
        <v>0</v>
      </c>
    </row>
    <row r="628" spans="1:4" ht="14.5">
      <c r="A628" t="s">
        <v>5100</v>
      </c>
      <c r="B628" s="1683" t="str">
        <f t="shared" si="19"/>
        <v>114-902</v>
      </c>
      <c r="C628">
        <v>0</v>
      </c>
      <c r="D628">
        <f t="shared" si="18"/>
        <v>0</v>
      </c>
    </row>
    <row r="629" spans="1:4" ht="14.5">
      <c r="A629" t="s">
        <v>5101</v>
      </c>
      <c r="B629" s="1683" t="str">
        <f t="shared" si="19"/>
        <v>114-904</v>
      </c>
      <c r="C629">
        <v>0</v>
      </c>
      <c r="D629">
        <f t="shared" si="18"/>
        <v>0</v>
      </c>
    </row>
    <row r="630" spans="1:4" ht="14.5">
      <c r="A630" t="s">
        <v>5102</v>
      </c>
      <c r="B630" s="1683" t="str">
        <f t="shared" si="19"/>
        <v>115-901</v>
      </c>
      <c r="C630">
        <v>0</v>
      </c>
      <c r="D630">
        <f t="shared" si="18"/>
        <v>0</v>
      </c>
    </row>
    <row r="631" spans="1:4" ht="14.5">
      <c r="A631" t="s">
        <v>5821</v>
      </c>
      <c r="B631" s="1683" t="str">
        <f t="shared" si="19"/>
        <v>115-902</v>
      </c>
      <c r="C631">
        <v>0</v>
      </c>
      <c r="D631">
        <f t="shared" si="18"/>
        <v>0</v>
      </c>
    </row>
    <row r="632" spans="1:4" ht="14.5">
      <c r="A632" t="s">
        <v>5822</v>
      </c>
      <c r="B632" s="1683" t="str">
        <f t="shared" si="19"/>
        <v>115-903</v>
      </c>
      <c r="C632">
        <v>0</v>
      </c>
      <c r="D632">
        <f t="shared" si="18"/>
        <v>0</v>
      </c>
    </row>
    <row r="633" spans="1:4" ht="14.5">
      <c r="A633" t="s">
        <v>3064</v>
      </c>
      <c r="B633" s="1683" t="str">
        <f t="shared" si="19"/>
        <v>116-901</v>
      </c>
      <c r="C633">
        <v>0</v>
      </c>
      <c r="D633">
        <f t="shared" si="18"/>
        <v>0</v>
      </c>
    </row>
    <row r="634" spans="1:4" ht="14.5">
      <c r="A634" t="s">
        <v>3065</v>
      </c>
      <c r="B634" s="1683" t="str">
        <f t="shared" si="19"/>
        <v>116-902</v>
      </c>
      <c r="C634">
        <v>0</v>
      </c>
      <c r="D634">
        <f t="shared" si="18"/>
        <v>0</v>
      </c>
    </row>
    <row r="635" spans="1:4" ht="14.5">
      <c r="A635" t="s">
        <v>3066</v>
      </c>
      <c r="B635" s="1683" t="str">
        <f t="shared" si="19"/>
        <v>116-903</v>
      </c>
      <c r="C635">
        <v>0</v>
      </c>
      <c r="D635">
        <f t="shared" si="18"/>
        <v>0</v>
      </c>
    </row>
    <row r="636" spans="1:4" ht="14.5">
      <c r="A636" t="s">
        <v>5103</v>
      </c>
      <c r="B636" s="1683" t="str">
        <f t="shared" si="19"/>
        <v>116-905</v>
      </c>
      <c r="C636">
        <v>0</v>
      </c>
      <c r="D636">
        <f t="shared" si="18"/>
        <v>0</v>
      </c>
    </row>
    <row r="637" spans="1:4" ht="14.5">
      <c r="A637" t="s">
        <v>3067</v>
      </c>
      <c r="B637" s="1683" t="str">
        <f t="shared" si="19"/>
        <v>116-906</v>
      </c>
      <c r="C637">
        <v>0</v>
      </c>
      <c r="D637">
        <f t="shared" si="18"/>
        <v>0</v>
      </c>
    </row>
    <row r="638" spans="1:4" ht="14.5">
      <c r="A638" t="s">
        <v>3068</v>
      </c>
      <c r="B638" s="1683" t="str">
        <f t="shared" si="19"/>
        <v>116-908</v>
      </c>
      <c r="C638">
        <v>0</v>
      </c>
      <c r="D638">
        <f t="shared" si="18"/>
        <v>0</v>
      </c>
    </row>
    <row r="639" spans="1:4" ht="14.5">
      <c r="A639" t="s">
        <v>3069</v>
      </c>
      <c r="B639" s="1683" t="str">
        <f t="shared" si="19"/>
        <v>116-909</v>
      </c>
      <c r="C639">
        <v>0</v>
      </c>
      <c r="D639">
        <f t="shared" ref="D639:D702" si="20">C639*-1</f>
        <v>0</v>
      </c>
    </row>
    <row r="640" spans="1:4" ht="14.5">
      <c r="A640" t="s">
        <v>5104</v>
      </c>
      <c r="B640" s="1683" t="str">
        <f t="shared" si="19"/>
        <v>116-910</v>
      </c>
      <c r="C640">
        <v>0</v>
      </c>
      <c r="D640">
        <f t="shared" si="20"/>
        <v>0</v>
      </c>
    </row>
    <row r="641" spans="1:4" ht="14.5">
      <c r="A641" t="s">
        <v>3070</v>
      </c>
      <c r="B641" s="1683" t="str">
        <f t="shared" si="19"/>
        <v>116-915</v>
      </c>
      <c r="C641">
        <v>0</v>
      </c>
      <c r="D641">
        <f t="shared" si="20"/>
        <v>0</v>
      </c>
    </row>
    <row r="642" spans="1:4" ht="14.5">
      <c r="A642" t="s">
        <v>3071</v>
      </c>
      <c r="B642" s="1683" t="str">
        <f t="shared" ref="B642:B705" si="21">CONCATENATE(LEFT(RIGHT(CONCATENATE("000",A642),6),3),"-",(RIGHT(RIGHT(CONCATENATE("000",A642),6),3)))</f>
        <v>116-916</v>
      </c>
      <c r="C642">
        <v>0</v>
      </c>
      <c r="D642">
        <f t="shared" si="20"/>
        <v>0</v>
      </c>
    </row>
    <row r="643" spans="1:4" ht="14.5">
      <c r="A643" t="s">
        <v>5105</v>
      </c>
      <c r="B643" s="1683" t="str">
        <f t="shared" si="21"/>
        <v>117-901</v>
      </c>
      <c r="C643">
        <v>0</v>
      </c>
      <c r="D643">
        <f t="shared" si="20"/>
        <v>0</v>
      </c>
    </row>
    <row r="644" spans="1:4" ht="14.5">
      <c r="A644" t="s">
        <v>5106</v>
      </c>
      <c r="B644" s="1683" t="str">
        <f t="shared" si="21"/>
        <v>117-903</v>
      </c>
      <c r="C644">
        <v>0</v>
      </c>
      <c r="D644">
        <f t="shared" si="20"/>
        <v>0</v>
      </c>
    </row>
    <row r="645" spans="1:4" ht="14.5">
      <c r="A645" t="s">
        <v>5107</v>
      </c>
      <c r="B645" s="1683" t="str">
        <f t="shared" si="21"/>
        <v>117-904</v>
      </c>
      <c r="C645">
        <v>0</v>
      </c>
      <c r="D645">
        <f t="shared" si="20"/>
        <v>0</v>
      </c>
    </row>
    <row r="646" spans="1:4" ht="14.5">
      <c r="A646" t="s">
        <v>5823</v>
      </c>
      <c r="B646" s="1683" t="str">
        <f t="shared" si="21"/>
        <v>117-907</v>
      </c>
      <c r="C646">
        <v>0</v>
      </c>
      <c r="D646">
        <f t="shared" si="20"/>
        <v>0</v>
      </c>
    </row>
    <row r="647" spans="1:4" ht="14.5">
      <c r="A647" t="s">
        <v>5108</v>
      </c>
      <c r="B647" s="1683" t="str">
        <f t="shared" si="21"/>
        <v>118-902</v>
      </c>
      <c r="C647">
        <v>0</v>
      </c>
      <c r="D647">
        <f t="shared" si="20"/>
        <v>0</v>
      </c>
    </row>
    <row r="648" spans="1:4" ht="14.5">
      <c r="A648" t="s">
        <v>5109</v>
      </c>
      <c r="B648" s="1683" t="str">
        <f t="shared" si="21"/>
        <v>119-901</v>
      </c>
      <c r="C648">
        <v>0</v>
      </c>
      <c r="D648">
        <f t="shared" si="20"/>
        <v>0</v>
      </c>
    </row>
    <row r="649" spans="1:4" ht="14.5">
      <c r="A649" t="s">
        <v>5110</v>
      </c>
      <c r="B649" s="1683" t="str">
        <f t="shared" si="21"/>
        <v>119-902</v>
      </c>
      <c r="C649">
        <v>0</v>
      </c>
      <c r="D649">
        <f t="shared" si="20"/>
        <v>0</v>
      </c>
    </row>
    <row r="650" spans="1:4" ht="14.5">
      <c r="A650" t="s">
        <v>5111</v>
      </c>
      <c r="B650" s="1683" t="str">
        <f t="shared" si="21"/>
        <v>119-903</v>
      </c>
      <c r="C650">
        <v>0</v>
      </c>
      <c r="D650">
        <f t="shared" si="20"/>
        <v>0</v>
      </c>
    </row>
    <row r="651" spans="1:4" ht="14.5">
      <c r="A651" t="s">
        <v>5112</v>
      </c>
      <c r="B651" s="1683" t="str">
        <f t="shared" si="21"/>
        <v>120-901</v>
      </c>
      <c r="C651">
        <v>-0.02</v>
      </c>
      <c r="D651">
        <f t="shared" si="20"/>
        <v>0.02</v>
      </c>
    </row>
    <row r="652" spans="1:4" ht="14.5">
      <c r="A652" t="s">
        <v>3072</v>
      </c>
      <c r="B652" s="1683" t="str">
        <f t="shared" si="21"/>
        <v>120-902</v>
      </c>
      <c r="C652">
        <v>0</v>
      </c>
      <c r="D652">
        <f t="shared" si="20"/>
        <v>0</v>
      </c>
    </row>
    <row r="653" spans="1:4" ht="14.5">
      <c r="A653" t="s">
        <v>5113</v>
      </c>
      <c r="B653" s="1683" t="str">
        <f t="shared" si="21"/>
        <v>120-905</v>
      </c>
      <c r="C653">
        <v>0</v>
      </c>
      <c r="D653">
        <f t="shared" si="20"/>
        <v>0</v>
      </c>
    </row>
    <row r="654" spans="1:4" ht="14.5">
      <c r="A654" t="s">
        <v>5824</v>
      </c>
      <c r="B654" s="1683" t="str">
        <f t="shared" si="21"/>
        <v>121-902</v>
      </c>
      <c r="C654">
        <v>0</v>
      </c>
      <c r="D654">
        <f t="shared" si="20"/>
        <v>0</v>
      </c>
    </row>
    <row r="655" spans="1:4" ht="14.5">
      <c r="A655" t="s">
        <v>3073</v>
      </c>
      <c r="B655" s="1683" t="str">
        <f t="shared" si="21"/>
        <v>121-903</v>
      </c>
      <c r="C655">
        <v>0</v>
      </c>
      <c r="D655">
        <f t="shared" si="20"/>
        <v>0</v>
      </c>
    </row>
    <row r="656" spans="1:4" ht="14.5">
      <c r="A656" t="s">
        <v>3074</v>
      </c>
      <c r="B656" s="1683" t="str">
        <f t="shared" si="21"/>
        <v>121-904</v>
      </c>
      <c r="C656">
        <v>0</v>
      </c>
      <c r="D656">
        <f t="shared" si="20"/>
        <v>0</v>
      </c>
    </row>
    <row r="657" spans="1:4" ht="14.5">
      <c r="A657" t="s">
        <v>3075</v>
      </c>
      <c r="B657" s="1683" t="str">
        <f t="shared" si="21"/>
        <v>121-905</v>
      </c>
      <c r="C657">
        <v>-0.13</v>
      </c>
      <c r="D657">
        <f t="shared" si="20"/>
        <v>0.13</v>
      </c>
    </row>
    <row r="658" spans="1:4" ht="14.5">
      <c r="A658" t="s">
        <v>5114</v>
      </c>
      <c r="B658" s="1683" t="str">
        <f t="shared" si="21"/>
        <v>121-906</v>
      </c>
      <c r="C658">
        <v>0</v>
      </c>
      <c r="D658">
        <f t="shared" si="20"/>
        <v>0</v>
      </c>
    </row>
    <row r="659" spans="1:4" ht="14.5">
      <c r="A659" t="s">
        <v>5825</v>
      </c>
      <c r="B659" s="1683" t="str">
        <f t="shared" si="21"/>
        <v>122-901</v>
      </c>
      <c r="C659">
        <v>0</v>
      </c>
      <c r="D659">
        <f t="shared" si="20"/>
        <v>0</v>
      </c>
    </row>
    <row r="660" spans="1:4" ht="14.5">
      <c r="A660" t="s">
        <v>5826</v>
      </c>
      <c r="B660" s="1683" t="str">
        <f t="shared" si="21"/>
        <v>122-902</v>
      </c>
      <c r="C660">
        <v>0</v>
      </c>
      <c r="D660">
        <f t="shared" si="20"/>
        <v>0</v>
      </c>
    </row>
    <row r="661" spans="1:4" ht="14.5">
      <c r="A661" t="s">
        <v>8049</v>
      </c>
      <c r="B661" s="1683" t="str">
        <f t="shared" si="21"/>
        <v>123-503</v>
      </c>
      <c r="C661">
        <v>0</v>
      </c>
      <c r="D661">
        <f t="shared" si="20"/>
        <v>0</v>
      </c>
    </row>
    <row r="662" spans="1:4" ht="14.5">
      <c r="A662" t="s">
        <v>8051</v>
      </c>
      <c r="B662" s="1683" t="str">
        <f t="shared" si="21"/>
        <v>123-803</v>
      </c>
      <c r="C662">
        <v>0</v>
      </c>
      <c r="D662">
        <f t="shared" si="20"/>
        <v>0</v>
      </c>
    </row>
    <row r="663" spans="1:4" ht="14.5">
      <c r="A663" t="s">
        <v>8052</v>
      </c>
      <c r="B663" s="1683" t="str">
        <f t="shared" si="21"/>
        <v>123-805</v>
      </c>
      <c r="C663">
        <v>0</v>
      </c>
      <c r="D663">
        <f t="shared" si="20"/>
        <v>0</v>
      </c>
    </row>
    <row r="664" spans="1:4" ht="14.5">
      <c r="A664" t="s">
        <v>8053</v>
      </c>
      <c r="B664" s="1683" t="str">
        <f t="shared" si="21"/>
        <v>123-807</v>
      </c>
      <c r="C664">
        <v>0</v>
      </c>
      <c r="D664">
        <f t="shared" si="20"/>
        <v>0</v>
      </c>
    </row>
    <row r="665" spans="1:4" ht="14.5">
      <c r="A665" t="s">
        <v>3076</v>
      </c>
      <c r="B665" s="1683" t="str">
        <f t="shared" si="21"/>
        <v>123-905</v>
      </c>
      <c r="C665">
        <v>-0.02</v>
      </c>
      <c r="D665">
        <f t="shared" si="20"/>
        <v>0.02</v>
      </c>
    </row>
    <row r="666" spans="1:4" ht="14.5">
      <c r="A666" t="s">
        <v>5115</v>
      </c>
      <c r="B666" s="1683" t="str">
        <f t="shared" si="21"/>
        <v>123-907</v>
      </c>
      <c r="C666">
        <v>0</v>
      </c>
      <c r="D666">
        <f t="shared" si="20"/>
        <v>0</v>
      </c>
    </row>
    <row r="667" spans="1:4" ht="14.5">
      <c r="A667" t="s">
        <v>5116</v>
      </c>
      <c r="B667" s="1683" t="str">
        <f t="shared" si="21"/>
        <v>123-908</v>
      </c>
      <c r="C667">
        <v>0</v>
      </c>
      <c r="D667">
        <f t="shared" si="20"/>
        <v>0</v>
      </c>
    </row>
    <row r="668" spans="1:4" ht="14.5">
      <c r="A668" t="s">
        <v>5117</v>
      </c>
      <c r="B668" s="1683" t="str">
        <f t="shared" si="21"/>
        <v>123-910</v>
      </c>
      <c r="C668">
        <v>0</v>
      </c>
      <c r="D668">
        <f t="shared" si="20"/>
        <v>0</v>
      </c>
    </row>
    <row r="669" spans="1:4" ht="14.5">
      <c r="A669" t="s">
        <v>5118</v>
      </c>
      <c r="B669" s="1683" t="str">
        <f t="shared" si="21"/>
        <v>123-913</v>
      </c>
      <c r="C669">
        <v>0</v>
      </c>
      <c r="D669">
        <f t="shared" si="20"/>
        <v>0</v>
      </c>
    </row>
    <row r="670" spans="1:4" ht="14.5">
      <c r="A670" t="s">
        <v>3077</v>
      </c>
      <c r="B670" s="1683" t="str">
        <f t="shared" si="21"/>
        <v>123-914</v>
      </c>
      <c r="C670">
        <v>0</v>
      </c>
      <c r="D670">
        <f t="shared" si="20"/>
        <v>0</v>
      </c>
    </row>
    <row r="671" spans="1:4" ht="14.5">
      <c r="A671" t="s">
        <v>5119</v>
      </c>
      <c r="B671" s="1683" t="str">
        <f t="shared" si="21"/>
        <v>124-901</v>
      </c>
      <c r="C671">
        <v>0</v>
      </c>
      <c r="D671">
        <f t="shared" si="20"/>
        <v>0</v>
      </c>
    </row>
    <row r="672" spans="1:4" ht="14.5">
      <c r="A672" t="s">
        <v>3078</v>
      </c>
      <c r="B672" s="1683" t="str">
        <f t="shared" si="21"/>
        <v>125-901</v>
      </c>
      <c r="C672">
        <v>0</v>
      </c>
      <c r="D672">
        <f t="shared" si="20"/>
        <v>0</v>
      </c>
    </row>
    <row r="673" spans="1:4" ht="14.5">
      <c r="A673" t="s">
        <v>3079</v>
      </c>
      <c r="B673" s="1683" t="str">
        <f t="shared" si="21"/>
        <v>125-902</v>
      </c>
      <c r="C673">
        <v>0</v>
      </c>
      <c r="D673">
        <f t="shared" si="20"/>
        <v>0</v>
      </c>
    </row>
    <row r="674" spans="1:4" ht="14.5">
      <c r="A674" t="s">
        <v>3080</v>
      </c>
      <c r="B674" s="1683" t="str">
        <f t="shared" si="21"/>
        <v>125-903</v>
      </c>
      <c r="C674">
        <v>0</v>
      </c>
      <c r="D674">
        <f t="shared" si="20"/>
        <v>0</v>
      </c>
    </row>
    <row r="675" spans="1:4" ht="14.5">
      <c r="A675" t="s">
        <v>3081</v>
      </c>
      <c r="B675" s="1683" t="str">
        <f t="shared" si="21"/>
        <v>125-905</v>
      </c>
      <c r="C675">
        <v>0</v>
      </c>
      <c r="D675">
        <f t="shared" si="20"/>
        <v>0</v>
      </c>
    </row>
    <row r="676" spans="1:4" ht="14.5">
      <c r="A676" t="s">
        <v>5827</v>
      </c>
      <c r="B676" s="1683" t="str">
        <f t="shared" si="21"/>
        <v>125-906</v>
      </c>
      <c r="C676">
        <v>0</v>
      </c>
      <c r="D676">
        <f t="shared" si="20"/>
        <v>0</v>
      </c>
    </row>
    <row r="677" spans="1:4" ht="14.5">
      <c r="A677" t="s">
        <v>3082</v>
      </c>
      <c r="B677" s="1683" t="str">
        <f t="shared" si="21"/>
        <v>126-901</v>
      </c>
      <c r="C677">
        <v>0</v>
      </c>
      <c r="D677">
        <f t="shared" si="20"/>
        <v>0</v>
      </c>
    </row>
    <row r="678" spans="1:4" ht="14.5">
      <c r="A678" t="s">
        <v>3083</v>
      </c>
      <c r="B678" s="1683" t="str">
        <f t="shared" si="21"/>
        <v>126-902</v>
      </c>
      <c r="C678">
        <v>0</v>
      </c>
      <c r="D678">
        <f t="shared" si="20"/>
        <v>0</v>
      </c>
    </row>
    <row r="679" spans="1:4" ht="14.5">
      <c r="A679" t="s">
        <v>5120</v>
      </c>
      <c r="B679" s="1683" t="str">
        <f t="shared" si="21"/>
        <v>126-903</v>
      </c>
      <c r="C679">
        <v>0</v>
      </c>
      <c r="D679">
        <f t="shared" si="20"/>
        <v>0</v>
      </c>
    </row>
    <row r="680" spans="1:4" ht="14.5">
      <c r="A680" t="s">
        <v>4285</v>
      </c>
      <c r="B680" s="1683" t="str">
        <f t="shared" si="21"/>
        <v>126-904</v>
      </c>
      <c r="C680">
        <v>0</v>
      </c>
      <c r="D680">
        <f t="shared" si="20"/>
        <v>0</v>
      </c>
    </row>
    <row r="681" spans="1:4" ht="14.5">
      <c r="A681" t="s">
        <v>3084</v>
      </c>
      <c r="B681" s="1683" t="str">
        <f t="shared" si="21"/>
        <v>126-905</v>
      </c>
      <c r="C681">
        <v>0</v>
      </c>
      <c r="D681">
        <f t="shared" si="20"/>
        <v>0</v>
      </c>
    </row>
    <row r="682" spans="1:4" ht="14.5">
      <c r="A682" t="s">
        <v>3085</v>
      </c>
      <c r="B682" s="1683" t="str">
        <f t="shared" si="21"/>
        <v>126-906</v>
      </c>
      <c r="C682">
        <v>0</v>
      </c>
      <c r="D682">
        <f t="shared" si="20"/>
        <v>0</v>
      </c>
    </row>
    <row r="683" spans="1:4" ht="14.5">
      <c r="A683" t="s">
        <v>3086</v>
      </c>
      <c r="B683" s="1683" t="str">
        <f t="shared" si="21"/>
        <v>126-907</v>
      </c>
      <c r="C683">
        <v>0</v>
      </c>
      <c r="D683">
        <f t="shared" si="20"/>
        <v>0</v>
      </c>
    </row>
    <row r="684" spans="1:4" ht="14.5">
      <c r="A684" t="s">
        <v>3087</v>
      </c>
      <c r="B684" s="1683" t="str">
        <f t="shared" si="21"/>
        <v>126-908</v>
      </c>
      <c r="C684">
        <v>0</v>
      </c>
      <c r="D684">
        <f t="shared" si="20"/>
        <v>0</v>
      </c>
    </row>
    <row r="685" spans="1:4" ht="14.5">
      <c r="A685" t="s">
        <v>3088</v>
      </c>
      <c r="B685" s="1683" t="str">
        <f t="shared" si="21"/>
        <v>126-911</v>
      </c>
      <c r="C685">
        <v>0</v>
      </c>
      <c r="D685">
        <f t="shared" si="20"/>
        <v>0</v>
      </c>
    </row>
    <row r="686" spans="1:4" ht="14.5">
      <c r="A686" t="s">
        <v>5121</v>
      </c>
      <c r="B686" s="1683" t="str">
        <f t="shared" si="21"/>
        <v>127-901</v>
      </c>
      <c r="C686">
        <v>0</v>
      </c>
      <c r="D686">
        <f t="shared" si="20"/>
        <v>0</v>
      </c>
    </row>
    <row r="687" spans="1:4" ht="14.5">
      <c r="A687" t="s">
        <v>5122</v>
      </c>
      <c r="B687" s="1683" t="str">
        <f t="shared" si="21"/>
        <v>127-903</v>
      </c>
      <c r="C687">
        <v>0</v>
      </c>
      <c r="D687">
        <f t="shared" si="20"/>
        <v>0</v>
      </c>
    </row>
    <row r="688" spans="1:4" ht="14.5">
      <c r="A688" t="s">
        <v>5123</v>
      </c>
      <c r="B688" s="1683" t="str">
        <f t="shared" si="21"/>
        <v>127-904</v>
      </c>
      <c r="C688">
        <v>0</v>
      </c>
      <c r="D688">
        <f t="shared" si="20"/>
        <v>0</v>
      </c>
    </row>
    <row r="689" spans="1:4" ht="14.5">
      <c r="A689" t="s">
        <v>3089</v>
      </c>
      <c r="B689" s="1683" t="str">
        <f t="shared" si="21"/>
        <v>127-905</v>
      </c>
      <c r="C689">
        <v>0</v>
      </c>
      <c r="D689">
        <f t="shared" si="20"/>
        <v>0</v>
      </c>
    </row>
    <row r="690" spans="1:4" ht="14.5">
      <c r="A690" t="s">
        <v>3090</v>
      </c>
      <c r="B690" s="1683" t="str">
        <f t="shared" si="21"/>
        <v>127-906</v>
      </c>
      <c r="C690">
        <v>0</v>
      </c>
      <c r="D690">
        <f t="shared" si="20"/>
        <v>0</v>
      </c>
    </row>
    <row r="691" spans="1:4" ht="14.5">
      <c r="A691" t="s">
        <v>4305</v>
      </c>
      <c r="B691" s="1683" t="str">
        <f t="shared" si="21"/>
        <v>128-901</v>
      </c>
      <c r="C691">
        <v>0</v>
      </c>
      <c r="D691">
        <f t="shared" si="20"/>
        <v>0</v>
      </c>
    </row>
    <row r="692" spans="1:4" ht="14.5">
      <c r="A692" t="s">
        <v>3091</v>
      </c>
      <c r="B692" s="1683" t="str">
        <f t="shared" si="21"/>
        <v>128-902</v>
      </c>
      <c r="C692">
        <v>0</v>
      </c>
      <c r="D692">
        <f t="shared" si="20"/>
        <v>0</v>
      </c>
    </row>
    <row r="693" spans="1:4" ht="14.5">
      <c r="A693" t="s">
        <v>5124</v>
      </c>
      <c r="B693" s="1683" t="str">
        <f t="shared" si="21"/>
        <v>128-903</v>
      </c>
      <c r="C693">
        <v>0</v>
      </c>
      <c r="D693">
        <f t="shared" si="20"/>
        <v>0</v>
      </c>
    </row>
    <row r="694" spans="1:4" ht="14.5">
      <c r="A694" t="s">
        <v>3092</v>
      </c>
      <c r="B694" s="1683" t="str">
        <f t="shared" si="21"/>
        <v>128-904</v>
      </c>
      <c r="C694">
        <v>0</v>
      </c>
      <c r="D694">
        <f t="shared" si="20"/>
        <v>0</v>
      </c>
    </row>
    <row r="695" spans="1:4" ht="14.5">
      <c r="A695" t="s">
        <v>3093</v>
      </c>
      <c r="B695" s="1683" t="str">
        <f t="shared" si="21"/>
        <v>129-901</v>
      </c>
      <c r="C695">
        <v>0</v>
      </c>
      <c r="D695">
        <f t="shared" si="20"/>
        <v>0</v>
      </c>
    </row>
    <row r="696" spans="1:4" ht="14.5">
      <c r="A696" t="s">
        <v>3094</v>
      </c>
      <c r="B696" s="1683" t="str">
        <f t="shared" si="21"/>
        <v>129-902</v>
      </c>
      <c r="C696">
        <v>0</v>
      </c>
      <c r="D696">
        <f t="shared" si="20"/>
        <v>0</v>
      </c>
    </row>
    <row r="697" spans="1:4" ht="14.5">
      <c r="A697" t="s">
        <v>3095</v>
      </c>
      <c r="B697" s="1683" t="str">
        <f t="shared" si="21"/>
        <v>129-903</v>
      </c>
      <c r="C697">
        <v>0</v>
      </c>
      <c r="D697">
        <f t="shared" si="20"/>
        <v>0</v>
      </c>
    </row>
    <row r="698" spans="1:4" ht="14.5">
      <c r="A698" t="s">
        <v>3096</v>
      </c>
      <c r="B698" s="1683" t="str">
        <f t="shared" si="21"/>
        <v>129-904</v>
      </c>
      <c r="C698">
        <v>0</v>
      </c>
      <c r="D698">
        <f t="shared" si="20"/>
        <v>0</v>
      </c>
    </row>
    <row r="699" spans="1:4" ht="14.5">
      <c r="A699" t="s">
        <v>5125</v>
      </c>
      <c r="B699" s="1683" t="str">
        <f t="shared" si="21"/>
        <v>129-905</v>
      </c>
      <c r="C699">
        <v>0</v>
      </c>
      <c r="D699">
        <f t="shared" si="20"/>
        <v>0</v>
      </c>
    </row>
    <row r="700" spans="1:4" ht="14.5">
      <c r="A700" t="s">
        <v>5126</v>
      </c>
      <c r="B700" s="1683" t="str">
        <f t="shared" si="21"/>
        <v>129-906</v>
      </c>
      <c r="C700">
        <v>0</v>
      </c>
      <c r="D700">
        <f t="shared" si="20"/>
        <v>0</v>
      </c>
    </row>
    <row r="701" spans="1:4" ht="14.5">
      <c r="A701" t="s">
        <v>3097</v>
      </c>
      <c r="B701" s="1683" t="str">
        <f t="shared" si="21"/>
        <v>129-910</v>
      </c>
      <c r="C701">
        <v>0</v>
      </c>
      <c r="D701">
        <f t="shared" si="20"/>
        <v>0</v>
      </c>
    </row>
    <row r="702" spans="1:4" ht="14.5">
      <c r="A702" t="s">
        <v>8055</v>
      </c>
      <c r="B702" s="1683" t="str">
        <f t="shared" si="21"/>
        <v>130-801</v>
      </c>
      <c r="C702">
        <v>0</v>
      </c>
      <c r="D702">
        <f t="shared" si="20"/>
        <v>0</v>
      </c>
    </row>
    <row r="703" spans="1:4" ht="14.5">
      <c r="A703" t="s">
        <v>5127</v>
      </c>
      <c r="B703" s="1683" t="str">
        <f t="shared" si="21"/>
        <v>130-901</v>
      </c>
      <c r="C703">
        <v>0</v>
      </c>
      <c r="D703">
        <f t="shared" ref="D703:D766" si="22">C703*-1</f>
        <v>0</v>
      </c>
    </row>
    <row r="704" spans="1:4" ht="14.5">
      <c r="A704" t="s">
        <v>5128</v>
      </c>
      <c r="B704" s="1683" t="str">
        <f t="shared" si="21"/>
        <v>130-902</v>
      </c>
      <c r="C704">
        <v>0</v>
      </c>
      <c r="D704">
        <f t="shared" si="22"/>
        <v>0</v>
      </c>
    </row>
    <row r="705" spans="1:4" ht="14.5">
      <c r="A705" t="s">
        <v>5129</v>
      </c>
      <c r="B705" s="1683" t="str">
        <f t="shared" si="21"/>
        <v>131-001</v>
      </c>
      <c r="C705">
        <v>0</v>
      </c>
      <c r="D705">
        <f t="shared" si="22"/>
        <v>0</v>
      </c>
    </row>
    <row r="706" spans="1:4" ht="14.5">
      <c r="A706" t="s">
        <v>5828</v>
      </c>
      <c r="B706" s="1683" t="str">
        <f t="shared" ref="B706:B769" si="23">CONCATENATE(LEFT(RIGHT(CONCATENATE("000",A706),6),3),"-",(RIGHT(RIGHT(CONCATENATE("000",A706),6),3)))</f>
        <v>132-902</v>
      </c>
      <c r="C706">
        <v>0</v>
      </c>
      <c r="D706">
        <f t="shared" si="22"/>
        <v>0</v>
      </c>
    </row>
    <row r="707" spans="1:4" ht="14.5">
      <c r="A707" t="s">
        <v>3098</v>
      </c>
      <c r="B707" s="1683" t="str">
        <f t="shared" si="23"/>
        <v>133-901</v>
      </c>
      <c r="C707">
        <v>0</v>
      </c>
      <c r="D707">
        <f t="shared" si="22"/>
        <v>0</v>
      </c>
    </row>
    <row r="708" spans="1:4" ht="14.5">
      <c r="A708" t="s">
        <v>5130</v>
      </c>
      <c r="B708" s="1683" t="str">
        <f t="shared" si="23"/>
        <v>133-902</v>
      </c>
      <c r="C708">
        <v>0</v>
      </c>
      <c r="D708">
        <f t="shared" si="22"/>
        <v>0</v>
      </c>
    </row>
    <row r="709" spans="1:4" ht="14.5">
      <c r="A709" t="s">
        <v>5131</v>
      </c>
      <c r="B709" s="1683" t="str">
        <f t="shared" si="23"/>
        <v>133-903</v>
      </c>
      <c r="C709">
        <v>0</v>
      </c>
      <c r="D709">
        <f t="shared" si="22"/>
        <v>0</v>
      </c>
    </row>
    <row r="710" spans="1:4" ht="14.5">
      <c r="A710" t="s">
        <v>5132</v>
      </c>
      <c r="B710" s="1683" t="str">
        <f t="shared" si="23"/>
        <v>133-904</v>
      </c>
      <c r="C710">
        <v>0</v>
      </c>
      <c r="D710">
        <f t="shared" si="22"/>
        <v>0</v>
      </c>
    </row>
    <row r="711" spans="1:4" ht="14.5">
      <c r="A711" t="s">
        <v>5829</v>
      </c>
      <c r="B711" s="1683" t="str">
        <f t="shared" si="23"/>
        <v>133-905</v>
      </c>
      <c r="C711">
        <v>0</v>
      </c>
      <c r="D711">
        <f t="shared" si="22"/>
        <v>0</v>
      </c>
    </row>
    <row r="712" spans="1:4" ht="14.5">
      <c r="A712" t="s">
        <v>5830</v>
      </c>
      <c r="B712" s="1683" t="str">
        <f t="shared" si="23"/>
        <v>134-901</v>
      </c>
      <c r="C712">
        <v>0</v>
      </c>
      <c r="D712">
        <f t="shared" si="22"/>
        <v>0</v>
      </c>
    </row>
    <row r="713" spans="1:4" ht="14.5">
      <c r="A713" t="s">
        <v>5133</v>
      </c>
      <c r="B713" s="1683" t="str">
        <f t="shared" si="23"/>
        <v>135-001</v>
      </c>
      <c r="C713">
        <v>0</v>
      </c>
      <c r="D713">
        <f t="shared" si="22"/>
        <v>0</v>
      </c>
    </row>
    <row r="714" spans="1:4" ht="14.5">
      <c r="A714" t="s">
        <v>5831</v>
      </c>
      <c r="B714" s="1683" t="str">
        <f t="shared" si="23"/>
        <v>136-901</v>
      </c>
      <c r="C714">
        <v>0</v>
      </c>
      <c r="D714">
        <f t="shared" si="22"/>
        <v>0</v>
      </c>
    </row>
    <row r="715" spans="1:4" ht="14.5">
      <c r="A715" t="s">
        <v>3099</v>
      </c>
      <c r="B715" s="1683" t="str">
        <f t="shared" si="23"/>
        <v>137-901</v>
      </c>
      <c r="C715">
        <v>0</v>
      </c>
      <c r="D715">
        <f t="shared" si="22"/>
        <v>0</v>
      </c>
    </row>
    <row r="716" spans="1:4" ht="14.5">
      <c r="A716" t="s">
        <v>5832</v>
      </c>
      <c r="B716" s="1683" t="str">
        <f t="shared" si="23"/>
        <v>137-902</v>
      </c>
      <c r="C716">
        <v>0</v>
      </c>
      <c r="D716">
        <f t="shared" si="22"/>
        <v>0</v>
      </c>
    </row>
    <row r="717" spans="1:4" ht="14.5">
      <c r="A717" t="s">
        <v>5833</v>
      </c>
      <c r="B717" s="1683" t="str">
        <f t="shared" si="23"/>
        <v>137-903</v>
      </c>
      <c r="C717">
        <v>0</v>
      </c>
      <c r="D717">
        <f t="shared" si="22"/>
        <v>0</v>
      </c>
    </row>
    <row r="718" spans="1:4" ht="14.5">
      <c r="A718" t="s">
        <v>5134</v>
      </c>
      <c r="B718" s="1683" t="str">
        <f t="shared" si="23"/>
        <v>137-904</v>
      </c>
      <c r="C718">
        <v>0</v>
      </c>
      <c r="D718">
        <f t="shared" si="22"/>
        <v>0</v>
      </c>
    </row>
    <row r="719" spans="1:4" ht="14.5">
      <c r="A719" t="s">
        <v>3100</v>
      </c>
      <c r="B719" s="1683" t="str">
        <f t="shared" si="23"/>
        <v>138-902</v>
      </c>
      <c r="C719">
        <v>0</v>
      </c>
      <c r="D719">
        <f t="shared" si="22"/>
        <v>0</v>
      </c>
    </row>
    <row r="720" spans="1:4" ht="14.5">
      <c r="A720" t="s">
        <v>5834</v>
      </c>
      <c r="B720" s="1683" t="str">
        <f t="shared" si="23"/>
        <v>138-903</v>
      </c>
      <c r="C720">
        <v>0</v>
      </c>
      <c r="D720">
        <f t="shared" si="22"/>
        <v>0</v>
      </c>
    </row>
    <row r="721" spans="1:4" ht="14.5">
      <c r="A721" t="s">
        <v>5835</v>
      </c>
      <c r="B721" s="1683" t="str">
        <f t="shared" si="23"/>
        <v>138-904</v>
      </c>
      <c r="C721">
        <v>0</v>
      </c>
      <c r="D721">
        <f t="shared" si="22"/>
        <v>0</v>
      </c>
    </row>
    <row r="722" spans="1:4" ht="14.5">
      <c r="A722" t="s">
        <v>5135</v>
      </c>
      <c r="B722" s="1683" t="str">
        <f t="shared" si="23"/>
        <v>139-905</v>
      </c>
      <c r="C722">
        <v>0</v>
      </c>
      <c r="D722">
        <f t="shared" si="22"/>
        <v>0</v>
      </c>
    </row>
    <row r="723" spans="1:4" ht="14.5">
      <c r="A723" t="s">
        <v>3102</v>
      </c>
      <c r="B723" s="1683" t="str">
        <f t="shared" si="23"/>
        <v>139-909</v>
      </c>
      <c r="C723">
        <v>0</v>
      </c>
      <c r="D723">
        <f t="shared" si="22"/>
        <v>0</v>
      </c>
    </row>
    <row r="724" spans="1:4" ht="14.5">
      <c r="A724" t="s">
        <v>5136</v>
      </c>
      <c r="B724" s="1683" t="str">
        <f t="shared" si="23"/>
        <v>139-911</v>
      </c>
      <c r="C724">
        <v>0</v>
      </c>
      <c r="D724">
        <f t="shared" si="22"/>
        <v>0</v>
      </c>
    </row>
    <row r="725" spans="1:4" ht="14.5">
      <c r="A725" t="s">
        <v>3103</v>
      </c>
      <c r="B725" s="1683" t="str">
        <f t="shared" si="23"/>
        <v>139-912</v>
      </c>
      <c r="C725">
        <v>0</v>
      </c>
      <c r="D725">
        <f t="shared" si="22"/>
        <v>0</v>
      </c>
    </row>
    <row r="726" spans="1:4" ht="14.5">
      <c r="A726" t="s">
        <v>5836</v>
      </c>
      <c r="B726" s="1683" t="str">
        <f t="shared" si="23"/>
        <v>140-901</v>
      </c>
      <c r="C726">
        <v>0</v>
      </c>
      <c r="D726">
        <f t="shared" si="22"/>
        <v>0</v>
      </c>
    </row>
    <row r="727" spans="1:4" ht="14.5">
      <c r="A727" t="s">
        <v>5837</v>
      </c>
      <c r="B727" s="1683" t="str">
        <f t="shared" si="23"/>
        <v>140-904</v>
      </c>
      <c r="C727">
        <v>0</v>
      </c>
      <c r="D727">
        <f t="shared" si="22"/>
        <v>0</v>
      </c>
    </row>
    <row r="728" spans="1:4" ht="14.5">
      <c r="A728" t="s">
        <v>4347</v>
      </c>
      <c r="B728" s="1683" t="str">
        <f t="shared" si="23"/>
        <v>140-905</v>
      </c>
      <c r="C728">
        <v>0</v>
      </c>
      <c r="D728">
        <f t="shared" si="22"/>
        <v>0</v>
      </c>
    </row>
    <row r="729" spans="1:4" ht="14.5">
      <c r="A729" t="s">
        <v>5838</v>
      </c>
      <c r="B729" s="1683" t="str">
        <f t="shared" si="23"/>
        <v>140-907</v>
      </c>
      <c r="C729">
        <v>0</v>
      </c>
      <c r="D729">
        <f t="shared" si="22"/>
        <v>0</v>
      </c>
    </row>
    <row r="730" spans="1:4" ht="14.5">
      <c r="A730" t="s">
        <v>5137</v>
      </c>
      <c r="B730" s="1683" t="str">
        <f t="shared" si="23"/>
        <v>140-908</v>
      </c>
      <c r="C730">
        <v>0</v>
      </c>
      <c r="D730">
        <f t="shared" si="22"/>
        <v>0</v>
      </c>
    </row>
    <row r="731" spans="1:4" ht="14.5">
      <c r="A731" t="s">
        <v>3104</v>
      </c>
      <c r="B731" s="1683" t="str">
        <f t="shared" si="23"/>
        <v>141-901</v>
      </c>
      <c r="C731">
        <v>0</v>
      </c>
      <c r="D731">
        <f t="shared" si="22"/>
        <v>0</v>
      </c>
    </row>
    <row r="732" spans="1:4" ht="14.5">
      <c r="A732" t="s">
        <v>5138</v>
      </c>
      <c r="B732" s="1683" t="str">
        <f t="shared" si="23"/>
        <v>141-902</v>
      </c>
      <c r="C732">
        <v>0</v>
      </c>
      <c r="D732">
        <f t="shared" si="22"/>
        <v>0</v>
      </c>
    </row>
    <row r="733" spans="1:4" ht="14.5">
      <c r="A733" t="s">
        <v>3105</v>
      </c>
      <c r="B733" s="1683" t="str">
        <f t="shared" si="23"/>
        <v>142-901</v>
      </c>
      <c r="C733">
        <v>0</v>
      </c>
      <c r="D733">
        <f t="shared" si="22"/>
        <v>0</v>
      </c>
    </row>
    <row r="734" spans="1:4" ht="14.5">
      <c r="A734" t="s">
        <v>5139</v>
      </c>
      <c r="B734" s="1683" t="str">
        <f t="shared" si="23"/>
        <v>143-901</v>
      </c>
      <c r="C734">
        <v>0</v>
      </c>
      <c r="D734">
        <f t="shared" si="22"/>
        <v>0</v>
      </c>
    </row>
    <row r="735" spans="1:4" ht="14.5">
      <c r="A735" t="s">
        <v>5839</v>
      </c>
      <c r="B735" s="1683" t="str">
        <f t="shared" si="23"/>
        <v>143-902</v>
      </c>
      <c r="C735">
        <v>0</v>
      </c>
      <c r="D735">
        <f t="shared" si="22"/>
        <v>0</v>
      </c>
    </row>
    <row r="736" spans="1:4" ht="14.5">
      <c r="A736" t="s">
        <v>5840</v>
      </c>
      <c r="B736" s="1683" t="str">
        <f t="shared" si="23"/>
        <v>143-903</v>
      </c>
      <c r="C736">
        <v>0</v>
      </c>
      <c r="D736">
        <f t="shared" si="22"/>
        <v>0</v>
      </c>
    </row>
    <row r="737" spans="1:4" ht="14.5">
      <c r="A737" t="s">
        <v>5841</v>
      </c>
      <c r="B737" s="1683" t="str">
        <f t="shared" si="23"/>
        <v>143-904</v>
      </c>
      <c r="C737">
        <v>0</v>
      </c>
      <c r="D737">
        <f t="shared" si="22"/>
        <v>0</v>
      </c>
    </row>
    <row r="738" spans="1:4" ht="14.5">
      <c r="A738" t="s">
        <v>5842</v>
      </c>
      <c r="B738" s="1683" t="str">
        <f t="shared" si="23"/>
        <v>143-905</v>
      </c>
      <c r="C738">
        <v>0</v>
      </c>
      <c r="D738">
        <f t="shared" si="22"/>
        <v>0</v>
      </c>
    </row>
    <row r="739" spans="1:4" ht="14.5">
      <c r="A739" t="s">
        <v>5140</v>
      </c>
      <c r="B739" s="1683" t="str">
        <f t="shared" si="23"/>
        <v>143-906</v>
      </c>
      <c r="C739">
        <v>0</v>
      </c>
      <c r="D739">
        <f t="shared" si="22"/>
        <v>0</v>
      </c>
    </row>
    <row r="740" spans="1:4" ht="14.5">
      <c r="A740" t="s">
        <v>5141</v>
      </c>
      <c r="B740" s="1683" t="str">
        <f t="shared" si="23"/>
        <v>144-901</v>
      </c>
      <c r="C740">
        <v>0</v>
      </c>
      <c r="D740">
        <f t="shared" si="22"/>
        <v>0</v>
      </c>
    </row>
    <row r="741" spans="1:4" ht="14.5">
      <c r="A741" t="s">
        <v>5142</v>
      </c>
      <c r="B741" s="1683" t="str">
        <f t="shared" si="23"/>
        <v>144-902</v>
      </c>
      <c r="C741">
        <v>0</v>
      </c>
      <c r="D741">
        <f t="shared" si="22"/>
        <v>0</v>
      </c>
    </row>
    <row r="742" spans="1:4" ht="14.5">
      <c r="A742" t="s">
        <v>5843</v>
      </c>
      <c r="B742" s="1683" t="str">
        <f t="shared" si="23"/>
        <v>144-903</v>
      </c>
      <c r="C742">
        <v>0</v>
      </c>
      <c r="D742">
        <f t="shared" si="22"/>
        <v>0</v>
      </c>
    </row>
    <row r="743" spans="1:4" ht="14.5">
      <c r="A743" t="s">
        <v>5143</v>
      </c>
      <c r="B743" s="1683" t="str">
        <f t="shared" si="23"/>
        <v>145-901</v>
      </c>
      <c r="C743">
        <v>0</v>
      </c>
      <c r="D743">
        <f t="shared" si="22"/>
        <v>0</v>
      </c>
    </row>
    <row r="744" spans="1:4" ht="14.5">
      <c r="A744" t="s">
        <v>5144</v>
      </c>
      <c r="B744" s="1683" t="str">
        <f t="shared" si="23"/>
        <v>145-902</v>
      </c>
      <c r="C744">
        <v>0</v>
      </c>
      <c r="D744">
        <f t="shared" si="22"/>
        <v>0</v>
      </c>
    </row>
    <row r="745" spans="1:4" ht="14.5">
      <c r="A745" t="s">
        <v>5145</v>
      </c>
      <c r="B745" s="1683" t="str">
        <f t="shared" si="23"/>
        <v>145-906</v>
      </c>
      <c r="C745">
        <v>0</v>
      </c>
      <c r="D745">
        <f t="shared" si="22"/>
        <v>0</v>
      </c>
    </row>
    <row r="746" spans="1:4" ht="14.5">
      <c r="A746" t="s">
        <v>5146</v>
      </c>
      <c r="B746" s="1683" t="str">
        <f t="shared" si="23"/>
        <v>145-907</v>
      </c>
      <c r="C746">
        <v>0</v>
      </c>
      <c r="D746">
        <f t="shared" si="22"/>
        <v>0</v>
      </c>
    </row>
    <row r="747" spans="1:4" ht="14.5">
      <c r="A747" t="s">
        <v>5147</v>
      </c>
      <c r="B747" s="1683" t="str">
        <f t="shared" si="23"/>
        <v>145-911</v>
      </c>
      <c r="C747">
        <v>0</v>
      </c>
      <c r="D747">
        <f t="shared" si="22"/>
        <v>0</v>
      </c>
    </row>
    <row r="748" spans="1:4" ht="14.5">
      <c r="A748" t="s">
        <v>3106</v>
      </c>
      <c r="B748" s="1683" t="str">
        <f t="shared" si="23"/>
        <v>146-901</v>
      </c>
      <c r="C748">
        <v>0</v>
      </c>
      <c r="D748">
        <f t="shared" si="22"/>
        <v>0</v>
      </c>
    </row>
    <row r="749" spans="1:4" ht="14.5">
      <c r="A749" t="s">
        <v>3107</v>
      </c>
      <c r="B749" s="1683" t="str">
        <f t="shared" si="23"/>
        <v>146-902</v>
      </c>
      <c r="C749">
        <v>0</v>
      </c>
      <c r="D749">
        <f t="shared" si="22"/>
        <v>0</v>
      </c>
    </row>
    <row r="750" spans="1:4" ht="14.5">
      <c r="A750" t="s">
        <v>5148</v>
      </c>
      <c r="B750" s="1683" t="str">
        <f t="shared" si="23"/>
        <v>146-903</v>
      </c>
      <c r="C750">
        <v>-0.13</v>
      </c>
      <c r="D750">
        <f t="shared" si="22"/>
        <v>0.13</v>
      </c>
    </row>
    <row r="751" spans="1:4" ht="14.5">
      <c r="A751" t="s">
        <v>3108</v>
      </c>
      <c r="B751" s="1683" t="str">
        <f t="shared" si="23"/>
        <v>146-904</v>
      </c>
      <c r="C751">
        <v>0</v>
      </c>
      <c r="D751">
        <f t="shared" si="22"/>
        <v>0</v>
      </c>
    </row>
    <row r="752" spans="1:4" ht="14.5">
      <c r="A752" t="s">
        <v>3109</v>
      </c>
      <c r="B752" s="1683" t="str">
        <f t="shared" si="23"/>
        <v>146-905</v>
      </c>
      <c r="C752">
        <v>0</v>
      </c>
      <c r="D752">
        <f t="shared" si="22"/>
        <v>0</v>
      </c>
    </row>
    <row r="753" spans="1:4" ht="14.5">
      <c r="A753" t="s">
        <v>5149</v>
      </c>
      <c r="B753" s="1683" t="str">
        <f t="shared" si="23"/>
        <v>146-906</v>
      </c>
      <c r="C753">
        <v>0</v>
      </c>
      <c r="D753">
        <f t="shared" si="22"/>
        <v>0</v>
      </c>
    </row>
    <row r="754" spans="1:4" ht="14.5">
      <c r="A754" t="s">
        <v>5150</v>
      </c>
      <c r="B754" s="1683" t="str">
        <f t="shared" si="23"/>
        <v>146-907</v>
      </c>
      <c r="C754">
        <v>-0.11</v>
      </c>
      <c r="D754">
        <f t="shared" si="22"/>
        <v>0.11</v>
      </c>
    </row>
    <row r="755" spans="1:4" ht="14.5">
      <c r="A755" t="s">
        <v>3110</v>
      </c>
      <c r="B755" s="1683" t="str">
        <f t="shared" si="23"/>
        <v>147-901</v>
      </c>
      <c r="C755">
        <v>0</v>
      </c>
      <c r="D755">
        <f t="shared" si="22"/>
        <v>0</v>
      </c>
    </row>
    <row r="756" spans="1:4" ht="14.5">
      <c r="A756" t="s">
        <v>5151</v>
      </c>
      <c r="B756" s="1683" t="str">
        <f t="shared" si="23"/>
        <v>147-902</v>
      </c>
      <c r="C756">
        <v>0</v>
      </c>
      <c r="D756">
        <f t="shared" si="22"/>
        <v>0</v>
      </c>
    </row>
    <row r="757" spans="1:4" ht="14.5">
      <c r="A757" t="s">
        <v>5152</v>
      </c>
      <c r="B757" s="1683" t="str">
        <f t="shared" si="23"/>
        <v>147-903</v>
      </c>
      <c r="C757">
        <v>0</v>
      </c>
      <c r="D757">
        <f t="shared" si="22"/>
        <v>0</v>
      </c>
    </row>
    <row r="758" spans="1:4" ht="14.5">
      <c r="A758" t="s">
        <v>5153</v>
      </c>
      <c r="B758" s="1683" t="str">
        <f t="shared" si="23"/>
        <v>148-901</v>
      </c>
      <c r="C758">
        <v>0</v>
      </c>
      <c r="D758">
        <f t="shared" si="22"/>
        <v>0</v>
      </c>
    </row>
    <row r="759" spans="1:4" ht="14.5">
      <c r="A759" t="s">
        <v>5154</v>
      </c>
      <c r="B759" s="1683" t="str">
        <f t="shared" si="23"/>
        <v>148-902</v>
      </c>
      <c r="C759">
        <v>0</v>
      </c>
      <c r="D759">
        <f t="shared" si="22"/>
        <v>0</v>
      </c>
    </row>
    <row r="760" spans="1:4" ht="14.5">
      <c r="A760" t="s">
        <v>5155</v>
      </c>
      <c r="B760" s="1683" t="str">
        <f t="shared" si="23"/>
        <v>148-903</v>
      </c>
      <c r="C760">
        <v>0</v>
      </c>
      <c r="D760">
        <f t="shared" si="22"/>
        <v>0</v>
      </c>
    </row>
    <row r="761" spans="1:4" ht="14.5">
      <c r="A761" t="s">
        <v>5156</v>
      </c>
      <c r="B761" s="1683" t="str">
        <f t="shared" si="23"/>
        <v>148-905</v>
      </c>
      <c r="C761">
        <v>0</v>
      </c>
      <c r="D761">
        <f t="shared" si="22"/>
        <v>0</v>
      </c>
    </row>
    <row r="762" spans="1:4" ht="14.5">
      <c r="A762" t="s">
        <v>5157</v>
      </c>
      <c r="B762" s="1683" t="str">
        <f t="shared" si="23"/>
        <v>149-901</v>
      </c>
      <c r="C762">
        <v>0</v>
      </c>
      <c r="D762">
        <f t="shared" si="22"/>
        <v>0</v>
      </c>
    </row>
    <row r="763" spans="1:4" ht="14.5">
      <c r="A763" t="s">
        <v>5158</v>
      </c>
      <c r="B763" s="1683" t="str">
        <f t="shared" si="23"/>
        <v>149-902</v>
      </c>
      <c r="C763">
        <v>0</v>
      </c>
      <c r="D763">
        <f t="shared" si="22"/>
        <v>0</v>
      </c>
    </row>
    <row r="764" spans="1:4" ht="14.5">
      <c r="A764" t="s">
        <v>5159</v>
      </c>
      <c r="B764" s="1683" t="str">
        <f t="shared" si="23"/>
        <v>150-901</v>
      </c>
      <c r="C764">
        <v>0</v>
      </c>
      <c r="D764">
        <f t="shared" si="22"/>
        <v>0</v>
      </c>
    </row>
    <row r="765" spans="1:4" ht="14.5">
      <c r="A765" t="s">
        <v>8056</v>
      </c>
      <c r="B765" s="1683" t="str">
        <f t="shared" si="23"/>
        <v>152-802</v>
      </c>
      <c r="C765">
        <v>0</v>
      </c>
      <c r="D765">
        <f t="shared" si="22"/>
        <v>0</v>
      </c>
    </row>
    <row r="766" spans="1:4" ht="14.5">
      <c r="A766" t="s">
        <v>8057</v>
      </c>
      <c r="B766" s="1683" t="str">
        <f t="shared" si="23"/>
        <v>152-803</v>
      </c>
      <c r="C766">
        <v>0</v>
      </c>
      <c r="D766">
        <f t="shared" si="22"/>
        <v>0</v>
      </c>
    </row>
    <row r="767" spans="1:4" ht="14.5">
      <c r="A767" t="s">
        <v>4363</v>
      </c>
      <c r="B767" s="1683" t="str">
        <f t="shared" si="23"/>
        <v>152-901</v>
      </c>
      <c r="C767">
        <v>0</v>
      </c>
      <c r="D767">
        <f t="shared" ref="D767:D829" si="24">C767*-1</f>
        <v>0</v>
      </c>
    </row>
    <row r="768" spans="1:4" ht="14.5">
      <c r="A768" t="s">
        <v>5844</v>
      </c>
      <c r="B768" s="1683" t="str">
        <f t="shared" si="23"/>
        <v>152-902</v>
      </c>
      <c r="C768">
        <v>0</v>
      </c>
      <c r="D768">
        <f t="shared" si="24"/>
        <v>0</v>
      </c>
    </row>
    <row r="769" spans="1:4" ht="14.5">
      <c r="A769" t="s">
        <v>5160</v>
      </c>
      <c r="B769" s="1683" t="str">
        <f t="shared" si="23"/>
        <v>152-903</v>
      </c>
      <c r="C769">
        <v>0</v>
      </c>
      <c r="D769">
        <f t="shared" si="24"/>
        <v>0</v>
      </c>
    </row>
    <row r="770" spans="1:4" ht="14.5">
      <c r="A770" t="s">
        <v>3111</v>
      </c>
      <c r="B770" s="1683" t="str">
        <f t="shared" ref="B770:B833" si="25">CONCATENATE(LEFT(RIGHT(CONCATENATE("000",A770),6),3),"-",(RIGHT(RIGHT(CONCATENATE("000",A770),6),3)))</f>
        <v>152-906</v>
      </c>
      <c r="C770">
        <v>0</v>
      </c>
      <c r="D770">
        <f t="shared" si="24"/>
        <v>0</v>
      </c>
    </row>
    <row r="771" spans="1:4" ht="14.5">
      <c r="A771" t="s">
        <v>3112</v>
      </c>
      <c r="B771" s="1683" t="str">
        <f t="shared" si="25"/>
        <v>152-907</v>
      </c>
      <c r="C771">
        <v>0</v>
      </c>
      <c r="D771">
        <f t="shared" si="24"/>
        <v>0</v>
      </c>
    </row>
    <row r="772" spans="1:4" ht="14.5">
      <c r="A772" t="s">
        <v>5161</v>
      </c>
      <c r="B772" s="1683" t="str">
        <f t="shared" si="25"/>
        <v>152-908</v>
      </c>
      <c r="C772">
        <v>0</v>
      </c>
      <c r="D772">
        <f t="shared" si="24"/>
        <v>0</v>
      </c>
    </row>
    <row r="773" spans="1:4" ht="14.5">
      <c r="A773" t="s">
        <v>3113</v>
      </c>
      <c r="B773" s="1683" t="str">
        <f t="shared" si="25"/>
        <v>152-909</v>
      </c>
      <c r="C773">
        <v>0</v>
      </c>
      <c r="D773">
        <f t="shared" si="24"/>
        <v>0</v>
      </c>
    </row>
    <row r="774" spans="1:4" ht="14.5">
      <c r="A774" t="s">
        <v>3114</v>
      </c>
      <c r="B774" s="1683" t="str">
        <f t="shared" si="25"/>
        <v>152-910</v>
      </c>
      <c r="C774">
        <v>0</v>
      </c>
      <c r="D774">
        <f t="shared" si="24"/>
        <v>0</v>
      </c>
    </row>
    <row r="775" spans="1:4" ht="14.5">
      <c r="A775" t="s">
        <v>8510</v>
      </c>
      <c r="B775" s="1683" t="str">
        <f t="shared" si="25"/>
        <v>152-950</v>
      </c>
      <c r="C775">
        <v>0</v>
      </c>
      <c r="D775">
        <f t="shared" si="24"/>
        <v>0</v>
      </c>
    </row>
    <row r="776" spans="1:4" ht="14.5">
      <c r="A776" t="s">
        <v>5162</v>
      </c>
      <c r="B776" s="1683" t="str">
        <f t="shared" si="25"/>
        <v>153-903</v>
      </c>
      <c r="C776">
        <v>0</v>
      </c>
      <c r="D776">
        <f t="shared" si="24"/>
        <v>0</v>
      </c>
    </row>
    <row r="777" spans="1:4" ht="14.5">
      <c r="A777" t="s">
        <v>5845</v>
      </c>
      <c r="B777" s="1683" t="str">
        <f t="shared" si="25"/>
        <v>153-904</v>
      </c>
      <c r="C777">
        <v>0</v>
      </c>
      <c r="D777">
        <f t="shared" si="24"/>
        <v>0</v>
      </c>
    </row>
    <row r="778" spans="1:4" ht="14.5">
      <c r="A778" t="s">
        <v>5163</v>
      </c>
      <c r="B778" s="1683" t="str">
        <f t="shared" si="25"/>
        <v>153-905</v>
      </c>
      <c r="C778">
        <v>0</v>
      </c>
      <c r="D778">
        <f t="shared" si="24"/>
        <v>0</v>
      </c>
    </row>
    <row r="779" spans="1:4" ht="14.5">
      <c r="A779" t="s">
        <v>5846</v>
      </c>
      <c r="B779" s="1683" t="str">
        <f t="shared" si="25"/>
        <v>153-907</v>
      </c>
      <c r="C779">
        <v>0</v>
      </c>
      <c r="D779">
        <f t="shared" si="24"/>
        <v>0</v>
      </c>
    </row>
    <row r="780" spans="1:4" ht="14.5">
      <c r="A780" t="s">
        <v>3115</v>
      </c>
      <c r="B780" s="1683" t="str">
        <f t="shared" si="25"/>
        <v>154-901</v>
      </c>
      <c r="C780">
        <v>0</v>
      </c>
      <c r="D780">
        <f t="shared" si="24"/>
        <v>0</v>
      </c>
    </row>
    <row r="781" spans="1:4" ht="14.5">
      <c r="A781" t="s">
        <v>3116</v>
      </c>
      <c r="B781" s="1683" t="str">
        <f t="shared" si="25"/>
        <v>154-903</v>
      </c>
      <c r="C781">
        <v>0</v>
      </c>
      <c r="D781">
        <f t="shared" si="24"/>
        <v>0</v>
      </c>
    </row>
    <row r="782" spans="1:4" ht="14.5">
      <c r="A782" t="s">
        <v>5164</v>
      </c>
      <c r="B782" s="1683" t="str">
        <f t="shared" si="25"/>
        <v>155-901</v>
      </c>
      <c r="C782">
        <v>0</v>
      </c>
      <c r="D782">
        <f t="shared" si="24"/>
        <v>0</v>
      </c>
    </row>
    <row r="783" spans="1:4" ht="14.5">
      <c r="A783" t="s">
        <v>5165</v>
      </c>
      <c r="B783" s="1683" t="str">
        <f t="shared" si="25"/>
        <v>156-902</v>
      </c>
      <c r="C783">
        <v>0</v>
      </c>
      <c r="D783">
        <f t="shared" si="24"/>
        <v>0</v>
      </c>
    </row>
    <row r="784" spans="1:4" ht="14.5">
      <c r="A784" t="s">
        <v>5166</v>
      </c>
      <c r="B784" s="1683" t="str">
        <f t="shared" si="25"/>
        <v>156-905</v>
      </c>
      <c r="C784">
        <v>0</v>
      </c>
      <c r="D784">
        <f t="shared" si="24"/>
        <v>0</v>
      </c>
    </row>
    <row r="785" spans="1:4" ht="14.5">
      <c r="A785" t="s">
        <v>5167</v>
      </c>
      <c r="B785" s="1683" t="str">
        <f t="shared" si="25"/>
        <v>157-901</v>
      </c>
      <c r="C785">
        <v>0</v>
      </c>
      <c r="D785">
        <f t="shared" si="24"/>
        <v>0</v>
      </c>
    </row>
    <row r="786" spans="1:4" ht="14.5">
      <c r="A786" t="s">
        <v>5168</v>
      </c>
      <c r="B786" s="1683" t="str">
        <f t="shared" si="25"/>
        <v>158-901</v>
      </c>
      <c r="C786">
        <v>0</v>
      </c>
      <c r="D786">
        <f t="shared" si="24"/>
        <v>0</v>
      </c>
    </row>
    <row r="787" spans="1:4" ht="14.5">
      <c r="A787" t="s">
        <v>5169</v>
      </c>
      <c r="B787" s="1683" t="str">
        <f t="shared" si="25"/>
        <v>158-902</v>
      </c>
      <c r="C787">
        <v>0</v>
      </c>
      <c r="D787">
        <f t="shared" si="24"/>
        <v>0</v>
      </c>
    </row>
    <row r="788" spans="1:4" ht="14.5">
      <c r="A788" t="s">
        <v>5170</v>
      </c>
      <c r="B788" s="1683" t="str">
        <f t="shared" si="25"/>
        <v>158-904</v>
      </c>
      <c r="C788">
        <v>0</v>
      </c>
      <c r="D788">
        <f t="shared" si="24"/>
        <v>0</v>
      </c>
    </row>
    <row r="789" spans="1:4" ht="14.5">
      <c r="A789" t="s">
        <v>5171</v>
      </c>
      <c r="B789" s="1683" t="str">
        <f t="shared" si="25"/>
        <v>158-905</v>
      </c>
      <c r="C789">
        <v>0</v>
      </c>
      <c r="D789">
        <f t="shared" si="24"/>
        <v>0</v>
      </c>
    </row>
    <row r="790" spans="1:4" ht="14.5">
      <c r="A790" t="s">
        <v>5847</v>
      </c>
      <c r="B790" s="1683" t="str">
        <f t="shared" si="25"/>
        <v>158-906</v>
      </c>
      <c r="C790">
        <v>0</v>
      </c>
      <c r="D790">
        <f t="shared" si="24"/>
        <v>0</v>
      </c>
    </row>
    <row r="791" spans="1:4" ht="14.5">
      <c r="A791" t="s">
        <v>3117</v>
      </c>
      <c r="B791" s="1683" t="str">
        <f t="shared" si="25"/>
        <v>159-901</v>
      </c>
      <c r="C791">
        <v>0</v>
      </c>
      <c r="D791">
        <f t="shared" si="24"/>
        <v>0</v>
      </c>
    </row>
    <row r="792" spans="1:4" ht="14.5">
      <c r="A792" t="s">
        <v>3118</v>
      </c>
      <c r="B792" s="1683" t="str">
        <f t="shared" si="25"/>
        <v>160-901</v>
      </c>
      <c r="C792">
        <v>0</v>
      </c>
      <c r="D792">
        <f t="shared" si="24"/>
        <v>0</v>
      </c>
    </row>
    <row r="793" spans="1:4" ht="14.5">
      <c r="A793" t="s">
        <v>5848</v>
      </c>
      <c r="B793" s="1683" t="str">
        <f t="shared" si="25"/>
        <v>160-904</v>
      </c>
      <c r="C793">
        <v>0</v>
      </c>
      <c r="D793">
        <f t="shared" si="24"/>
        <v>0</v>
      </c>
    </row>
    <row r="794" spans="1:4" ht="14.5">
      <c r="A794" t="s">
        <v>3119</v>
      </c>
      <c r="B794" s="1683" t="str">
        <f t="shared" si="25"/>
        <v>160-905</v>
      </c>
      <c r="C794">
        <v>0</v>
      </c>
      <c r="D794">
        <f t="shared" si="24"/>
        <v>0</v>
      </c>
    </row>
    <row r="795" spans="1:4" ht="14.5">
      <c r="A795" t="s">
        <v>8059</v>
      </c>
      <c r="B795" s="1683" t="str">
        <f t="shared" si="25"/>
        <v>161-801</v>
      </c>
      <c r="C795">
        <v>0</v>
      </c>
      <c r="D795">
        <f t="shared" si="24"/>
        <v>0</v>
      </c>
    </row>
    <row r="796" spans="1:4" ht="14.5">
      <c r="A796" t="s">
        <v>8060</v>
      </c>
      <c r="B796" s="1683" t="str">
        <f t="shared" si="25"/>
        <v>161-802</v>
      </c>
      <c r="C796">
        <v>0</v>
      </c>
      <c r="D796">
        <f t="shared" si="24"/>
        <v>0</v>
      </c>
    </row>
    <row r="797" spans="1:4" ht="14.5">
      <c r="A797" t="s">
        <v>8061</v>
      </c>
      <c r="B797" s="1683" t="str">
        <f t="shared" si="25"/>
        <v>161-807</v>
      </c>
      <c r="C797">
        <v>0</v>
      </c>
      <c r="D797">
        <f t="shared" si="24"/>
        <v>0</v>
      </c>
    </row>
    <row r="798" spans="1:4" ht="14.5">
      <c r="A798" t="s">
        <v>3120</v>
      </c>
      <c r="B798" s="1683" t="str">
        <f t="shared" si="25"/>
        <v>161-901</v>
      </c>
      <c r="C798">
        <v>0</v>
      </c>
      <c r="D798">
        <f t="shared" si="24"/>
        <v>0</v>
      </c>
    </row>
    <row r="799" spans="1:4" ht="14.5">
      <c r="A799" t="s">
        <v>5172</v>
      </c>
      <c r="B799" s="1683" t="str">
        <f t="shared" si="25"/>
        <v>161-903</v>
      </c>
      <c r="C799">
        <v>0</v>
      </c>
      <c r="D799">
        <f t="shared" si="24"/>
        <v>0</v>
      </c>
    </row>
    <row r="800" spans="1:4" ht="14.5">
      <c r="A800" t="s">
        <v>3121</v>
      </c>
      <c r="B800" s="1683" t="str">
        <f t="shared" si="25"/>
        <v>161-906</v>
      </c>
      <c r="C800">
        <v>0</v>
      </c>
      <c r="D800">
        <f t="shared" si="24"/>
        <v>0</v>
      </c>
    </row>
    <row r="801" spans="1:4" ht="14.5">
      <c r="A801" t="s">
        <v>3122</v>
      </c>
      <c r="B801" s="1683" t="str">
        <f t="shared" si="25"/>
        <v>161-907</v>
      </c>
      <c r="C801">
        <v>0</v>
      </c>
      <c r="D801">
        <f t="shared" si="24"/>
        <v>0</v>
      </c>
    </row>
    <row r="802" spans="1:4" ht="14.5">
      <c r="A802" t="s">
        <v>3123</v>
      </c>
      <c r="B802" s="1683" t="str">
        <f t="shared" si="25"/>
        <v>161-908</v>
      </c>
      <c r="C802">
        <v>0</v>
      </c>
      <c r="D802">
        <f t="shared" si="24"/>
        <v>0</v>
      </c>
    </row>
    <row r="803" spans="1:4" ht="14.5">
      <c r="A803" t="s">
        <v>3124</v>
      </c>
      <c r="B803" s="1683" t="str">
        <f t="shared" si="25"/>
        <v>161-909</v>
      </c>
      <c r="C803">
        <v>0</v>
      </c>
      <c r="D803">
        <f t="shared" si="24"/>
        <v>0</v>
      </c>
    </row>
    <row r="804" spans="1:4" ht="14.5">
      <c r="A804" t="s">
        <v>3125</v>
      </c>
      <c r="B804" s="1683" t="str">
        <f t="shared" si="25"/>
        <v>161-910</v>
      </c>
      <c r="C804">
        <v>0</v>
      </c>
      <c r="D804">
        <f t="shared" si="24"/>
        <v>0</v>
      </c>
    </row>
    <row r="805" spans="1:4" ht="14.5">
      <c r="A805" t="s">
        <v>3126</v>
      </c>
      <c r="B805" s="1683" t="str">
        <f t="shared" si="25"/>
        <v>161-912</v>
      </c>
      <c r="C805">
        <v>0</v>
      </c>
      <c r="D805">
        <f t="shared" si="24"/>
        <v>0</v>
      </c>
    </row>
    <row r="806" spans="1:4" ht="14.5">
      <c r="A806" t="s">
        <v>3127</v>
      </c>
      <c r="B806" s="1683" t="str">
        <f t="shared" si="25"/>
        <v>161-914</v>
      </c>
      <c r="C806">
        <v>0</v>
      </c>
      <c r="D806">
        <f t="shared" si="24"/>
        <v>0</v>
      </c>
    </row>
    <row r="807" spans="1:4" ht="14.5">
      <c r="A807" t="s">
        <v>3128</v>
      </c>
      <c r="B807" s="1683" t="str">
        <f t="shared" si="25"/>
        <v>161-916</v>
      </c>
      <c r="C807">
        <v>0</v>
      </c>
      <c r="D807">
        <f t="shared" si="24"/>
        <v>0</v>
      </c>
    </row>
    <row r="808" spans="1:4" ht="14.5">
      <c r="A808" t="s">
        <v>5849</v>
      </c>
      <c r="B808" s="1683" t="str">
        <f t="shared" si="25"/>
        <v>161-918</v>
      </c>
      <c r="C808">
        <v>0</v>
      </c>
      <c r="D808">
        <f t="shared" si="24"/>
        <v>0</v>
      </c>
    </row>
    <row r="809" spans="1:4" ht="14.5">
      <c r="A809" t="s">
        <v>3129</v>
      </c>
      <c r="B809" s="1683" t="str">
        <f t="shared" si="25"/>
        <v>161-919</v>
      </c>
      <c r="C809">
        <v>0</v>
      </c>
      <c r="D809">
        <f t="shared" si="24"/>
        <v>0</v>
      </c>
    </row>
    <row r="810" spans="1:4" ht="14.5">
      <c r="A810" t="s">
        <v>3130</v>
      </c>
      <c r="B810" s="1683" t="str">
        <f t="shared" si="25"/>
        <v>161-920</v>
      </c>
      <c r="C810">
        <v>0</v>
      </c>
      <c r="D810">
        <f t="shared" si="24"/>
        <v>0</v>
      </c>
    </row>
    <row r="811" spans="1:4" ht="14.5">
      <c r="A811" t="s">
        <v>3131</v>
      </c>
      <c r="B811" s="1683" t="str">
        <f t="shared" si="25"/>
        <v>161-921</v>
      </c>
      <c r="C811">
        <v>0</v>
      </c>
      <c r="D811">
        <f t="shared" si="24"/>
        <v>0</v>
      </c>
    </row>
    <row r="812" spans="1:4" ht="14.5">
      <c r="A812" t="s">
        <v>3132</v>
      </c>
      <c r="B812" s="1683" t="str">
        <f t="shared" si="25"/>
        <v>161-922</v>
      </c>
      <c r="C812">
        <v>0</v>
      </c>
      <c r="D812">
        <f t="shared" si="24"/>
        <v>0</v>
      </c>
    </row>
    <row r="813" spans="1:4" ht="14.5">
      <c r="A813" t="s">
        <v>3133</v>
      </c>
      <c r="B813" s="1683" t="str">
        <f t="shared" si="25"/>
        <v>161-923</v>
      </c>
      <c r="C813">
        <v>0</v>
      </c>
      <c r="D813">
        <f t="shared" si="24"/>
        <v>0</v>
      </c>
    </row>
    <row r="814" spans="1:4" ht="14.5">
      <c r="A814" t="s">
        <v>5173</v>
      </c>
      <c r="B814" s="1683" t="str">
        <f t="shared" si="25"/>
        <v>161-924</v>
      </c>
      <c r="C814">
        <v>0</v>
      </c>
      <c r="D814">
        <f t="shared" si="24"/>
        <v>0</v>
      </c>
    </row>
    <row r="815" spans="1:4" ht="14.5">
      <c r="A815" t="s">
        <v>5850</v>
      </c>
      <c r="B815" s="1683" t="str">
        <f t="shared" si="25"/>
        <v>161-925</v>
      </c>
      <c r="C815">
        <v>0</v>
      </c>
      <c r="D815">
        <f t="shared" si="24"/>
        <v>0</v>
      </c>
    </row>
    <row r="816" spans="1:4" ht="14.5">
      <c r="A816" t="s">
        <v>8511</v>
      </c>
      <c r="B816" s="1683" t="str">
        <f t="shared" si="25"/>
        <v>161-950</v>
      </c>
      <c r="C816">
        <v>0</v>
      </c>
      <c r="D816">
        <f t="shared" si="24"/>
        <v>0</v>
      </c>
    </row>
    <row r="817" spans="1:4" ht="14.5">
      <c r="A817" t="s">
        <v>5174</v>
      </c>
      <c r="B817" s="1683" t="str">
        <f t="shared" si="25"/>
        <v>162-904</v>
      </c>
      <c r="C817">
        <v>0</v>
      </c>
      <c r="D817">
        <f t="shared" si="24"/>
        <v>0</v>
      </c>
    </row>
    <row r="818" spans="1:4" ht="14.5">
      <c r="A818" t="s">
        <v>3134</v>
      </c>
      <c r="B818" s="1683" t="str">
        <f t="shared" si="25"/>
        <v>163-901</v>
      </c>
      <c r="C818">
        <v>0</v>
      </c>
      <c r="D818">
        <f t="shared" si="24"/>
        <v>0</v>
      </c>
    </row>
    <row r="819" spans="1:4" ht="14.5">
      <c r="A819" t="s">
        <v>3135</v>
      </c>
      <c r="B819" s="1683" t="str">
        <f t="shared" si="25"/>
        <v>163-902</v>
      </c>
      <c r="C819">
        <v>0</v>
      </c>
      <c r="D819">
        <f t="shared" si="24"/>
        <v>0</v>
      </c>
    </row>
    <row r="820" spans="1:4" ht="14.5">
      <c r="A820" t="s">
        <v>3136</v>
      </c>
      <c r="B820" s="1683" t="str">
        <f t="shared" si="25"/>
        <v>163-903</v>
      </c>
      <c r="C820">
        <v>0</v>
      </c>
      <c r="D820">
        <f t="shared" si="24"/>
        <v>0</v>
      </c>
    </row>
    <row r="821" spans="1:4" ht="14.5">
      <c r="A821" t="s">
        <v>3137</v>
      </c>
      <c r="B821" s="1683" t="str">
        <f t="shared" si="25"/>
        <v>163-904</v>
      </c>
      <c r="C821">
        <v>0</v>
      </c>
      <c r="D821">
        <f t="shared" si="24"/>
        <v>0</v>
      </c>
    </row>
    <row r="822" spans="1:4" ht="14.5">
      <c r="A822" t="s">
        <v>3138</v>
      </c>
      <c r="B822" s="1683" t="str">
        <f t="shared" si="25"/>
        <v>163-908</v>
      </c>
      <c r="C822">
        <v>0</v>
      </c>
      <c r="D822">
        <f t="shared" si="24"/>
        <v>0</v>
      </c>
    </row>
    <row r="823" spans="1:4" ht="14.5">
      <c r="A823" t="s">
        <v>5851</v>
      </c>
      <c r="B823" s="1683" t="str">
        <f t="shared" si="25"/>
        <v>164-901</v>
      </c>
      <c r="C823">
        <v>0</v>
      </c>
      <c r="D823">
        <f t="shared" si="24"/>
        <v>0</v>
      </c>
    </row>
    <row r="824" spans="1:4" ht="14.5">
      <c r="A824" t="s">
        <v>8062</v>
      </c>
      <c r="B824" s="1683" t="str">
        <f t="shared" si="25"/>
        <v>165-802</v>
      </c>
      <c r="C824">
        <v>0</v>
      </c>
      <c r="D824">
        <f t="shared" si="24"/>
        <v>0</v>
      </c>
    </row>
    <row r="825" spans="1:4" ht="14.5">
      <c r="A825" t="s">
        <v>3139</v>
      </c>
      <c r="B825" s="1683" t="str">
        <f t="shared" si="25"/>
        <v>165-901</v>
      </c>
      <c r="C825">
        <v>0</v>
      </c>
      <c r="D825">
        <f t="shared" si="24"/>
        <v>0</v>
      </c>
    </row>
    <row r="826" spans="1:4" ht="14.5">
      <c r="A826" t="s">
        <v>5175</v>
      </c>
      <c r="B826" s="1683" t="str">
        <f t="shared" si="25"/>
        <v>165-902</v>
      </c>
      <c r="C826">
        <v>0</v>
      </c>
      <c r="D826">
        <f t="shared" si="24"/>
        <v>0</v>
      </c>
    </row>
    <row r="827" spans="1:4" ht="14.5">
      <c r="A827" t="s">
        <v>8512</v>
      </c>
      <c r="B827" s="1683" t="str">
        <f t="shared" si="25"/>
        <v>165-950</v>
      </c>
      <c r="C827">
        <v>0</v>
      </c>
      <c r="D827">
        <f t="shared" si="24"/>
        <v>0</v>
      </c>
    </row>
    <row r="828" spans="1:4" ht="14.5">
      <c r="A828" t="s">
        <v>3140</v>
      </c>
      <c r="B828" s="1683" t="str">
        <f t="shared" si="25"/>
        <v>166-901</v>
      </c>
      <c r="C828">
        <v>0</v>
      </c>
      <c r="D828">
        <f t="shared" si="24"/>
        <v>0</v>
      </c>
    </row>
    <row r="829" spans="1:4" ht="14.5">
      <c r="A829" t="s">
        <v>5852</v>
      </c>
      <c r="B829" s="1683" t="str">
        <f t="shared" si="25"/>
        <v>166-902</v>
      </c>
      <c r="C829">
        <v>0</v>
      </c>
      <c r="D829">
        <f t="shared" si="24"/>
        <v>0</v>
      </c>
    </row>
    <row r="830" spans="1:4" ht="14.5">
      <c r="A830" t="s">
        <v>5176</v>
      </c>
      <c r="B830" s="1683" t="str">
        <f t="shared" si="25"/>
        <v>166-903</v>
      </c>
      <c r="C830">
        <v>0</v>
      </c>
      <c r="D830">
        <f t="shared" ref="D830:D893" si="26">C830*-1</f>
        <v>0</v>
      </c>
    </row>
    <row r="831" spans="1:4" ht="14.5">
      <c r="A831" t="s">
        <v>5177</v>
      </c>
      <c r="B831" s="1683" t="str">
        <f t="shared" si="25"/>
        <v>166-904</v>
      </c>
      <c r="C831">
        <v>0</v>
      </c>
      <c r="D831">
        <f t="shared" si="26"/>
        <v>0</v>
      </c>
    </row>
    <row r="832" spans="1:4" ht="14.5">
      <c r="A832" t="s">
        <v>5178</v>
      </c>
      <c r="B832" s="1683" t="str">
        <f t="shared" si="25"/>
        <v>166-905</v>
      </c>
      <c r="C832">
        <v>0</v>
      </c>
      <c r="D832">
        <f t="shared" si="26"/>
        <v>0</v>
      </c>
    </row>
    <row r="833" spans="1:4" ht="14.5">
      <c r="A833" t="s">
        <v>3141</v>
      </c>
      <c r="B833" s="1683" t="str">
        <f t="shared" si="25"/>
        <v>166-907</v>
      </c>
      <c r="C833">
        <v>0</v>
      </c>
      <c r="D833">
        <f t="shared" si="26"/>
        <v>0</v>
      </c>
    </row>
    <row r="834" spans="1:4" ht="14.5">
      <c r="A834" t="s">
        <v>3142</v>
      </c>
      <c r="B834" s="1683" t="str">
        <f t="shared" ref="B834:B897" si="27">CONCATENATE(LEFT(RIGHT(CONCATENATE("000",A834),6),3),"-",(RIGHT(RIGHT(CONCATENATE("000",A834),6),3)))</f>
        <v>167-901</v>
      </c>
      <c r="C834">
        <v>0</v>
      </c>
      <c r="D834">
        <f t="shared" si="26"/>
        <v>0</v>
      </c>
    </row>
    <row r="835" spans="1:4" ht="14.5">
      <c r="A835" t="s">
        <v>5853</v>
      </c>
      <c r="B835" s="1683" t="str">
        <f t="shared" si="27"/>
        <v>167-902</v>
      </c>
      <c r="C835">
        <v>0</v>
      </c>
      <c r="D835">
        <f t="shared" si="26"/>
        <v>0</v>
      </c>
    </row>
    <row r="836" spans="1:4" ht="14.5">
      <c r="A836" t="s">
        <v>3143</v>
      </c>
      <c r="B836" s="1683" t="str">
        <f t="shared" si="27"/>
        <v>167-904</v>
      </c>
      <c r="C836">
        <v>0</v>
      </c>
      <c r="D836">
        <f t="shared" si="26"/>
        <v>0</v>
      </c>
    </row>
    <row r="837" spans="1:4" ht="14.5">
      <c r="A837" t="s">
        <v>5179</v>
      </c>
      <c r="B837" s="1683" t="str">
        <f t="shared" si="27"/>
        <v>168-901</v>
      </c>
      <c r="C837">
        <v>0</v>
      </c>
      <c r="D837">
        <f t="shared" si="26"/>
        <v>0</v>
      </c>
    </row>
    <row r="838" spans="1:4" ht="14.5">
      <c r="A838" t="s">
        <v>5180</v>
      </c>
      <c r="B838" s="1683" t="str">
        <f t="shared" si="27"/>
        <v>168-902</v>
      </c>
      <c r="C838">
        <v>0</v>
      </c>
      <c r="D838">
        <f t="shared" si="26"/>
        <v>0</v>
      </c>
    </row>
    <row r="839" spans="1:4" ht="14.5">
      <c r="A839" t="s">
        <v>5854</v>
      </c>
      <c r="B839" s="1683" t="str">
        <f t="shared" si="27"/>
        <v>168-903</v>
      </c>
      <c r="C839">
        <v>0</v>
      </c>
      <c r="D839">
        <f t="shared" si="26"/>
        <v>0</v>
      </c>
    </row>
    <row r="840" spans="1:4" ht="14.5">
      <c r="A840" t="s">
        <v>3144</v>
      </c>
      <c r="B840" s="1683" t="str">
        <f t="shared" si="27"/>
        <v>169-901</v>
      </c>
      <c r="C840">
        <v>0</v>
      </c>
      <c r="D840">
        <f t="shared" si="26"/>
        <v>0</v>
      </c>
    </row>
    <row r="841" spans="1:4" ht="14.5">
      <c r="A841" t="s">
        <v>5855</v>
      </c>
      <c r="B841" s="1683" t="str">
        <f t="shared" si="27"/>
        <v>169-902</v>
      </c>
      <c r="C841">
        <v>0</v>
      </c>
      <c r="D841">
        <f t="shared" si="26"/>
        <v>0</v>
      </c>
    </row>
    <row r="842" spans="1:4" ht="14.5">
      <c r="A842" t="s">
        <v>5181</v>
      </c>
      <c r="B842" s="1683" t="str">
        <f t="shared" si="27"/>
        <v>169-906</v>
      </c>
      <c r="C842">
        <v>0</v>
      </c>
      <c r="D842">
        <f t="shared" si="26"/>
        <v>0</v>
      </c>
    </row>
    <row r="843" spans="1:4" ht="14.5">
      <c r="A843" t="s">
        <v>5856</v>
      </c>
      <c r="B843" s="1683" t="str">
        <f t="shared" si="27"/>
        <v>169-908</v>
      </c>
      <c r="C843">
        <v>0</v>
      </c>
      <c r="D843">
        <f t="shared" si="26"/>
        <v>0</v>
      </c>
    </row>
    <row r="844" spans="1:4" ht="14.5">
      <c r="A844" t="s">
        <v>5857</v>
      </c>
      <c r="B844" s="1683" t="str">
        <f t="shared" si="27"/>
        <v>169-909</v>
      </c>
      <c r="C844">
        <v>0</v>
      </c>
      <c r="D844">
        <f t="shared" si="26"/>
        <v>0</v>
      </c>
    </row>
    <row r="845" spans="1:4" ht="14.5">
      <c r="A845" t="s">
        <v>5182</v>
      </c>
      <c r="B845" s="1683" t="str">
        <f t="shared" si="27"/>
        <v>169-910</v>
      </c>
      <c r="C845">
        <v>0</v>
      </c>
      <c r="D845">
        <f t="shared" si="26"/>
        <v>0</v>
      </c>
    </row>
    <row r="846" spans="1:4" ht="14.5">
      <c r="A846" t="s">
        <v>5183</v>
      </c>
      <c r="B846" s="1683" t="str">
        <f t="shared" si="27"/>
        <v>169-911</v>
      </c>
      <c r="C846">
        <v>0</v>
      </c>
      <c r="D846">
        <f t="shared" si="26"/>
        <v>0</v>
      </c>
    </row>
    <row r="847" spans="1:4" ht="14.5">
      <c r="A847" t="s">
        <v>8063</v>
      </c>
      <c r="B847" s="1683" t="str">
        <f t="shared" si="27"/>
        <v>170-801</v>
      </c>
      <c r="C847">
        <v>0</v>
      </c>
      <c r="D847">
        <f t="shared" si="26"/>
        <v>0</v>
      </c>
    </row>
    <row r="848" spans="1:4" ht="14.5">
      <c r="A848" t="s">
        <v>3145</v>
      </c>
      <c r="B848" s="1683" t="str">
        <f t="shared" si="27"/>
        <v>170-902</v>
      </c>
      <c r="C848">
        <v>-0.02</v>
      </c>
      <c r="D848">
        <f t="shared" si="26"/>
        <v>0.02</v>
      </c>
    </row>
    <row r="849" spans="1:4" ht="14.5">
      <c r="A849" t="s">
        <v>5184</v>
      </c>
      <c r="B849" s="1683" t="str">
        <f t="shared" si="27"/>
        <v>170-903</v>
      </c>
      <c r="C849">
        <v>0</v>
      </c>
      <c r="D849">
        <f t="shared" si="26"/>
        <v>0</v>
      </c>
    </row>
    <row r="850" spans="1:4" ht="14.5">
      <c r="A850" t="s">
        <v>3146</v>
      </c>
      <c r="B850" s="1683" t="str">
        <f t="shared" si="27"/>
        <v>170-904</v>
      </c>
      <c r="C850">
        <v>-0.03</v>
      </c>
      <c r="D850">
        <f t="shared" si="26"/>
        <v>0.03</v>
      </c>
    </row>
    <row r="851" spans="1:4" ht="14.5">
      <c r="A851" t="s">
        <v>3147</v>
      </c>
      <c r="B851" s="1683" t="str">
        <f t="shared" si="27"/>
        <v>170-906</v>
      </c>
      <c r="C851">
        <v>0</v>
      </c>
      <c r="D851">
        <f t="shared" si="26"/>
        <v>0</v>
      </c>
    </row>
    <row r="852" spans="1:4" ht="14.5">
      <c r="A852" t="s">
        <v>3148</v>
      </c>
      <c r="B852" s="1683" t="str">
        <f t="shared" si="27"/>
        <v>170-907</v>
      </c>
      <c r="C852">
        <v>0</v>
      </c>
      <c r="D852">
        <f t="shared" si="26"/>
        <v>0</v>
      </c>
    </row>
    <row r="853" spans="1:4" ht="14.5">
      <c r="A853" t="s">
        <v>3149</v>
      </c>
      <c r="B853" s="1683" t="str">
        <f t="shared" si="27"/>
        <v>170-908</v>
      </c>
      <c r="C853">
        <v>0</v>
      </c>
      <c r="D853">
        <f t="shared" si="26"/>
        <v>0</v>
      </c>
    </row>
    <row r="854" spans="1:4" ht="14.5">
      <c r="A854" t="s">
        <v>5185</v>
      </c>
      <c r="B854" s="1683" t="str">
        <f t="shared" si="27"/>
        <v>171-901</v>
      </c>
      <c r="C854">
        <v>0</v>
      </c>
      <c r="D854">
        <f t="shared" si="26"/>
        <v>0</v>
      </c>
    </row>
    <row r="855" spans="1:4" ht="14.5">
      <c r="A855" t="s">
        <v>5186</v>
      </c>
      <c r="B855" s="1683" t="str">
        <f t="shared" si="27"/>
        <v>171-902</v>
      </c>
      <c r="C855">
        <v>0</v>
      </c>
      <c r="D855">
        <f t="shared" si="26"/>
        <v>0</v>
      </c>
    </row>
    <row r="856" spans="1:4" ht="14.5">
      <c r="A856" t="s">
        <v>5187</v>
      </c>
      <c r="B856" s="1683" t="str">
        <f t="shared" si="27"/>
        <v>172-902</v>
      </c>
      <c r="C856">
        <v>0</v>
      </c>
      <c r="D856">
        <f t="shared" si="26"/>
        <v>0</v>
      </c>
    </row>
    <row r="857" spans="1:4" ht="14.5">
      <c r="A857" t="s">
        <v>5188</v>
      </c>
      <c r="B857" s="1683" t="str">
        <f t="shared" si="27"/>
        <v>172-905</v>
      </c>
      <c r="C857">
        <v>0</v>
      </c>
      <c r="D857">
        <f t="shared" si="26"/>
        <v>0</v>
      </c>
    </row>
    <row r="858" spans="1:4" ht="14.5">
      <c r="A858" t="s">
        <v>5858</v>
      </c>
      <c r="B858" s="1683" t="str">
        <f t="shared" si="27"/>
        <v>173-901</v>
      </c>
      <c r="C858">
        <v>0</v>
      </c>
      <c r="D858">
        <f t="shared" si="26"/>
        <v>0</v>
      </c>
    </row>
    <row r="859" spans="1:4" ht="14.5">
      <c r="A859" t="s">
        <v>8064</v>
      </c>
      <c r="B859" s="1683" t="str">
        <f t="shared" si="27"/>
        <v>174-801</v>
      </c>
      <c r="C859">
        <v>0</v>
      </c>
      <c r="D859">
        <f t="shared" si="26"/>
        <v>0</v>
      </c>
    </row>
    <row r="860" spans="1:4" ht="14.5">
      <c r="A860" t="s">
        <v>3150</v>
      </c>
      <c r="B860" s="1683" t="str">
        <f t="shared" si="27"/>
        <v>174-901</v>
      </c>
      <c r="C860">
        <v>0</v>
      </c>
      <c r="D860">
        <f t="shared" si="26"/>
        <v>0</v>
      </c>
    </row>
    <row r="861" spans="1:4" ht="14.5">
      <c r="A861" t="s">
        <v>5189</v>
      </c>
      <c r="B861" s="1683" t="str">
        <f t="shared" si="27"/>
        <v>174-902</v>
      </c>
      <c r="C861">
        <v>0</v>
      </c>
      <c r="D861">
        <f t="shared" si="26"/>
        <v>0</v>
      </c>
    </row>
    <row r="862" spans="1:4" ht="14.5">
      <c r="A862" t="s">
        <v>3151</v>
      </c>
      <c r="B862" s="1683" t="str">
        <f t="shared" si="27"/>
        <v>174-903</v>
      </c>
      <c r="C862">
        <v>0</v>
      </c>
      <c r="D862">
        <f t="shared" si="26"/>
        <v>0</v>
      </c>
    </row>
    <row r="863" spans="1:4" ht="14.5">
      <c r="A863" t="s">
        <v>5190</v>
      </c>
      <c r="B863" s="1683" t="str">
        <f t="shared" si="27"/>
        <v>174-904</v>
      </c>
      <c r="C863">
        <v>0</v>
      </c>
      <c r="D863">
        <f t="shared" si="26"/>
        <v>0</v>
      </c>
    </row>
    <row r="864" spans="1:4" ht="14.5">
      <c r="A864" t="s">
        <v>3152</v>
      </c>
      <c r="B864" s="1683" t="str">
        <f t="shared" si="27"/>
        <v>174-906</v>
      </c>
      <c r="C864">
        <v>0</v>
      </c>
      <c r="D864">
        <f t="shared" si="26"/>
        <v>0</v>
      </c>
    </row>
    <row r="865" spans="1:4" ht="14.5">
      <c r="A865" t="s">
        <v>3153</v>
      </c>
      <c r="B865" s="1683" t="str">
        <f t="shared" si="27"/>
        <v>174-908</v>
      </c>
      <c r="C865">
        <v>0</v>
      </c>
      <c r="D865">
        <f t="shared" si="26"/>
        <v>0</v>
      </c>
    </row>
    <row r="866" spans="1:4" ht="14.5">
      <c r="A866" t="s">
        <v>4500</v>
      </c>
      <c r="B866" s="1683" t="str">
        <f t="shared" si="27"/>
        <v>174-909</v>
      </c>
      <c r="C866">
        <v>0</v>
      </c>
      <c r="D866">
        <f t="shared" si="26"/>
        <v>0</v>
      </c>
    </row>
    <row r="867" spans="1:4" ht="14.5">
      <c r="A867" t="s">
        <v>5191</v>
      </c>
      <c r="B867" s="1683" t="str">
        <f t="shared" si="27"/>
        <v>174-910</v>
      </c>
      <c r="C867">
        <v>0</v>
      </c>
      <c r="D867">
        <f t="shared" si="26"/>
        <v>0</v>
      </c>
    </row>
    <row r="868" spans="1:4" ht="14.5">
      <c r="A868" t="s">
        <v>5859</v>
      </c>
      <c r="B868" s="1683" t="str">
        <f t="shared" si="27"/>
        <v>174-911</v>
      </c>
      <c r="C868">
        <v>0</v>
      </c>
      <c r="D868">
        <f t="shared" si="26"/>
        <v>0</v>
      </c>
    </row>
    <row r="869" spans="1:4" ht="14.5">
      <c r="A869" t="s">
        <v>5192</v>
      </c>
      <c r="B869" s="1683" t="str">
        <f t="shared" si="27"/>
        <v>175-902</v>
      </c>
      <c r="C869">
        <v>0</v>
      </c>
      <c r="D869">
        <f t="shared" si="26"/>
        <v>0</v>
      </c>
    </row>
    <row r="870" spans="1:4" ht="14.5">
      <c r="A870" t="s">
        <v>3154</v>
      </c>
      <c r="B870" s="1683" t="str">
        <f t="shared" si="27"/>
        <v>175-903</v>
      </c>
      <c r="C870">
        <v>0</v>
      </c>
      <c r="D870">
        <f t="shared" si="26"/>
        <v>0</v>
      </c>
    </row>
    <row r="871" spans="1:4" ht="14.5">
      <c r="A871" t="s">
        <v>3155</v>
      </c>
      <c r="B871" s="1683" t="str">
        <f t="shared" si="27"/>
        <v>175-904</v>
      </c>
      <c r="C871">
        <v>0</v>
      </c>
      <c r="D871">
        <f t="shared" si="26"/>
        <v>0</v>
      </c>
    </row>
    <row r="872" spans="1:4" ht="14.5">
      <c r="A872" t="s">
        <v>5193</v>
      </c>
      <c r="B872" s="1683" t="str">
        <f t="shared" si="27"/>
        <v>175-905</v>
      </c>
      <c r="C872">
        <v>0</v>
      </c>
      <c r="D872">
        <f t="shared" si="26"/>
        <v>0</v>
      </c>
    </row>
    <row r="873" spans="1:4" ht="14.5">
      <c r="A873" t="s">
        <v>3156</v>
      </c>
      <c r="B873" s="1683" t="str">
        <f t="shared" si="27"/>
        <v>175-907</v>
      </c>
      <c r="C873">
        <v>0</v>
      </c>
      <c r="D873">
        <f t="shared" si="26"/>
        <v>0</v>
      </c>
    </row>
    <row r="874" spans="1:4" ht="14.5">
      <c r="A874" t="s">
        <v>5194</v>
      </c>
      <c r="B874" s="1683" t="str">
        <f t="shared" si="27"/>
        <v>175-910</v>
      </c>
      <c r="C874">
        <v>0</v>
      </c>
      <c r="D874">
        <f t="shared" si="26"/>
        <v>0</v>
      </c>
    </row>
    <row r="875" spans="1:4" ht="14.5">
      <c r="A875" t="s">
        <v>3157</v>
      </c>
      <c r="B875" s="1683" t="str">
        <f t="shared" si="27"/>
        <v>175-911</v>
      </c>
      <c r="C875">
        <v>0</v>
      </c>
      <c r="D875">
        <f t="shared" si="26"/>
        <v>0</v>
      </c>
    </row>
    <row r="876" spans="1:4" ht="14.5">
      <c r="A876" t="s">
        <v>5195</v>
      </c>
      <c r="B876" s="1683" t="str">
        <f t="shared" si="27"/>
        <v>176-901</v>
      </c>
      <c r="C876">
        <v>0</v>
      </c>
      <c r="D876">
        <f t="shared" si="26"/>
        <v>0</v>
      </c>
    </row>
    <row r="877" spans="1:4" ht="14.5">
      <c r="A877" t="s">
        <v>3158</v>
      </c>
      <c r="B877" s="1683" t="str">
        <f t="shared" si="27"/>
        <v>176-902</v>
      </c>
      <c r="C877">
        <v>0</v>
      </c>
      <c r="D877">
        <f t="shared" si="26"/>
        <v>0</v>
      </c>
    </row>
    <row r="878" spans="1:4" ht="14.5">
      <c r="A878" t="s">
        <v>3159</v>
      </c>
      <c r="B878" s="1683" t="str">
        <f t="shared" si="27"/>
        <v>176-903</v>
      </c>
      <c r="C878">
        <v>0</v>
      </c>
      <c r="D878">
        <f t="shared" si="26"/>
        <v>0</v>
      </c>
    </row>
    <row r="879" spans="1:4" ht="14.5">
      <c r="A879" t="s">
        <v>3160</v>
      </c>
      <c r="B879" s="1683" t="str">
        <f t="shared" si="27"/>
        <v>177-901</v>
      </c>
      <c r="C879">
        <v>0</v>
      </c>
      <c r="D879">
        <f t="shared" si="26"/>
        <v>0</v>
      </c>
    </row>
    <row r="880" spans="1:4" ht="14.5">
      <c r="A880" t="s">
        <v>5196</v>
      </c>
      <c r="B880" s="1683" t="str">
        <f t="shared" si="27"/>
        <v>177-902</v>
      </c>
      <c r="C880">
        <v>0</v>
      </c>
      <c r="D880">
        <f t="shared" si="26"/>
        <v>0</v>
      </c>
    </row>
    <row r="881" spans="1:4" ht="14.5">
      <c r="A881" t="s">
        <v>5197</v>
      </c>
      <c r="B881" s="1683" t="str">
        <f t="shared" si="27"/>
        <v>177-903</v>
      </c>
      <c r="C881">
        <v>0</v>
      </c>
      <c r="D881">
        <f t="shared" si="26"/>
        <v>0</v>
      </c>
    </row>
    <row r="882" spans="1:4" ht="14.5">
      <c r="A882" t="s">
        <v>5198</v>
      </c>
      <c r="B882" s="1683" t="str">
        <f t="shared" si="27"/>
        <v>177-905</v>
      </c>
      <c r="C882">
        <v>0</v>
      </c>
      <c r="D882">
        <f t="shared" si="26"/>
        <v>0</v>
      </c>
    </row>
    <row r="883" spans="1:4" ht="14.5">
      <c r="A883" t="s">
        <v>8065</v>
      </c>
      <c r="B883" s="1683" t="str">
        <f t="shared" si="27"/>
        <v>178-801</v>
      </c>
      <c r="C883">
        <v>0</v>
      </c>
      <c r="D883">
        <f t="shared" si="26"/>
        <v>0</v>
      </c>
    </row>
    <row r="884" spans="1:4" ht="14.5">
      <c r="A884" t="s">
        <v>8066</v>
      </c>
      <c r="B884" s="1683" t="str">
        <f t="shared" si="27"/>
        <v>178-807</v>
      </c>
      <c r="C884">
        <v>0</v>
      </c>
      <c r="D884">
        <f t="shared" si="26"/>
        <v>0</v>
      </c>
    </row>
    <row r="885" spans="1:4" ht="14.5">
      <c r="A885" t="s">
        <v>8067</v>
      </c>
      <c r="B885" s="1683" t="str">
        <f t="shared" si="27"/>
        <v>178-808</v>
      </c>
      <c r="C885">
        <v>0</v>
      </c>
      <c r="D885">
        <f t="shared" si="26"/>
        <v>0</v>
      </c>
    </row>
    <row r="886" spans="1:4" ht="14.5">
      <c r="A886" t="s">
        <v>5199</v>
      </c>
      <c r="B886" s="1683" t="str">
        <f t="shared" si="27"/>
        <v>178-901</v>
      </c>
      <c r="C886">
        <v>0</v>
      </c>
      <c r="D886">
        <f t="shared" si="26"/>
        <v>0</v>
      </c>
    </row>
    <row r="887" spans="1:4" ht="14.5">
      <c r="A887" t="s">
        <v>5200</v>
      </c>
      <c r="B887" s="1683" t="str">
        <f t="shared" si="27"/>
        <v>178-902</v>
      </c>
      <c r="C887">
        <v>0</v>
      </c>
      <c r="D887">
        <f t="shared" si="26"/>
        <v>0</v>
      </c>
    </row>
    <row r="888" spans="1:4" ht="14.5">
      <c r="A888" t="s">
        <v>5201</v>
      </c>
      <c r="B888" s="1683" t="str">
        <f t="shared" si="27"/>
        <v>178-903</v>
      </c>
      <c r="C888">
        <v>0</v>
      </c>
      <c r="D888">
        <f t="shared" si="26"/>
        <v>0</v>
      </c>
    </row>
    <row r="889" spans="1:4" ht="14.5">
      <c r="A889" t="s">
        <v>3161</v>
      </c>
      <c r="B889" s="1683" t="str">
        <f t="shared" si="27"/>
        <v>178-904</v>
      </c>
      <c r="C889">
        <v>0</v>
      </c>
      <c r="D889">
        <f t="shared" si="26"/>
        <v>0</v>
      </c>
    </row>
    <row r="890" spans="1:4" ht="14.5">
      <c r="A890" t="s">
        <v>5202</v>
      </c>
      <c r="B890" s="1683" t="str">
        <f t="shared" si="27"/>
        <v>178-905</v>
      </c>
      <c r="C890">
        <v>-0.02</v>
      </c>
      <c r="D890">
        <f t="shared" si="26"/>
        <v>0.02</v>
      </c>
    </row>
    <row r="891" spans="1:4" ht="14.5">
      <c r="A891" t="s">
        <v>5203</v>
      </c>
      <c r="B891" s="1683" t="str">
        <f t="shared" si="27"/>
        <v>178-906</v>
      </c>
      <c r="C891">
        <v>0</v>
      </c>
      <c r="D891">
        <f t="shared" si="26"/>
        <v>0</v>
      </c>
    </row>
    <row r="892" spans="1:4" ht="14.5">
      <c r="A892" t="s">
        <v>5204</v>
      </c>
      <c r="B892" s="1683" t="str">
        <f t="shared" si="27"/>
        <v>178-908</v>
      </c>
      <c r="C892">
        <v>0</v>
      </c>
      <c r="D892">
        <f t="shared" si="26"/>
        <v>0</v>
      </c>
    </row>
    <row r="893" spans="1:4" ht="14.5">
      <c r="A893" t="s">
        <v>3162</v>
      </c>
      <c r="B893" s="1683" t="str">
        <f t="shared" si="27"/>
        <v>178-909</v>
      </c>
      <c r="C893">
        <v>0</v>
      </c>
      <c r="D893">
        <f t="shared" si="26"/>
        <v>0</v>
      </c>
    </row>
    <row r="894" spans="1:4" ht="14.5">
      <c r="A894" t="s">
        <v>5205</v>
      </c>
      <c r="B894" s="1683" t="str">
        <f t="shared" si="27"/>
        <v>178-912</v>
      </c>
      <c r="C894">
        <v>0</v>
      </c>
      <c r="D894">
        <f t="shared" ref="D894:D957" si="28">C894*-1</f>
        <v>0</v>
      </c>
    </row>
    <row r="895" spans="1:4" ht="14.5">
      <c r="A895" t="s">
        <v>3163</v>
      </c>
      <c r="B895" s="1683" t="str">
        <f t="shared" si="27"/>
        <v>178-913</v>
      </c>
      <c r="C895">
        <v>0</v>
      </c>
      <c r="D895">
        <f t="shared" si="28"/>
        <v>0</v>
      </c>
    </row>
    <row r="896" spans="1:4" ht="14.5">
      <c r="A896" t="s">
        <v>5206</v>
      </c>
      <c r="B896" s="1683" t="str">
        <f t="shared" si="27"/>
        <v>178-914</v>
      </c>
      <c r="C896">
        <v>-0.02</v>
      </c>
      <c r="D896">
        <f t="shared" si="28"/>
        <v>0.02</v>
      </c>
    </row>
    <row r="897" spans="1:4" ht="14.5">
      <c r="A897" t="s">
        <v>3164</v>
      </c>
      <c r="B897" s="1683" t="str">
        <f t="shared" si="27"/>
        <v>178-915</v>
      </c>
      <c r="C897">
        <v>0</v>
      </c>
      <c r="D897">
        <f t="shared" si="28"/>
        <v>0</v>
      </c>
    </row>
    <row r="898" spans="1:4" ht="14.5">
      <c r="A898" t="s">
        <v>8513</v>
      </c>
      <c r="B898" s="1683" t="str">
        <f t="shared" ref="B898:B961" si="29">CONCATENATE(LEFT(RIGHT(CONCATENATE("000",A898),6),3),"-",(RIGHT(RIGHT(CONCATENATE("000",A898),6),3)))</f>
        <v>178-950</v>
      </c>
      <c r="C898">
        <v>0</v>
      </c>
      <c r="D898">
        <f t="shared" si="28"/>
        <v>0</v>
      </c>
    </row>
    <row r="899" spans="1:4" ht="14.5">
      <c r="A899" t="s">
        <v>3165</v>
      </c>
      <c r="B899" s="1683" t="str">
        <f t="shared" si="29"/>
        <v>179-901</v>
      </c>
      <c r="C899">
        <v>0</v>
      </c>
      <c r="D899">
        <f t="shared" si="28"/>
        <v>0</v>
      </c>
    </row>
    <row r="900" spans="1:4" ht="14.5">
      <c r="A900" t="s">
        <v>7356</v>
      </c>
      <c r="B900" s="1683" t="str">
        <f t="shared" si="29"/>
        <v>180-901</v>
      </c>
      <c r="C900">
        <v>0</v>
      </c>
      <c r="D900">
        <f t="shared" si="28"/>
        <v>0</v>
      </c>
    </row>
    <row r="901" spans="1:4" ht="14.5">
      <c r="A901" t="s">
        <v>5207</v>
      </c>
      <c r="B901" s="1683" t="str">
        <f t="shared" si="29"/>
        <v>180-902</v>
      </c>
      <c r="C901">
        <v>0</v>
      </c>
      <c r="D901">
        <f t="shared" si="28"/>
        <v>0</v>
      </c>
    </row>
    <row r="902" spans="1:4" ht="14.5">
      <c r="A902" t="s">
        <v>5860</v>
      </c>
      <c r="B902" s="1683" t="str">
        <f t="shared" si="29"/>
        <v>180-903</v>
      </c>
      <c r="C902">
        <v>0</v>
      </c>
      <c r="D902">
        <f t="shared" si="28"/>
        <v>0</v>
      </c>
    </row>
    <row r="903" spans="1:4" ht="14.5">
      <c r="A903" t="s">
        <v>5208</v>
      </c>
      <c r="B903" s="1683" t="str">
        <f t="shared" si="29"/>
        <v>180-904</v>
      </c>
      <c r="C903">
        <v>0</v>
      </c>
      <c r="D903">
        <f t="shared" si="28"/>
        <v>0</v>
      </c>
    </row>
    <row r="904" spans="1:4" ht="14.5">
      <c r="A904" t="s">
        <v>3166</v>
      </c>
      <c r="B904" s="1683" t="str">
        <f t="shared" si="29"/>
        <v>181-901</v>
      </c>
      <c r="C904">
        <v>0</v>
      </c>
      <c r="D904">
        <f t="shared" si="28"/>
        <v>0</v>
      </c>
    </row>
    <row r="905" spans="1:4" ht="14.5">
      <c r="A905" t="s">
        <v>5209</v>
      </c>
      <c r="B905" s="1683" t="str">
        <f t="shared" si="29"/>
        <v>181-905</v>
      </c>
      <c r="C905">
        <v>0</v>
      </c>
      <c r="D905">
        <f t="shared" si="28"/>
        <v>0</v>
      </c>
    </row>
    <row r="906" spans="1:4" ht="14.5">
      <c r="A906" t="s">
        <v>5210</v>
      </c>
      <c r="B906" s="1683" t="str">
        <f t="shared" si="29"/>
        <v>181-906</v>
      </c>
      <c r="C906">
        <v>0</v>
      </c>
      <c r="D906">
        <f t="shared" si="28"/>
        <v>0</v>
      </c>
    </row>
    <row r="907" spans="1:4" ht="14.5">
      <c r="A907" t="s">
        <v>3167</v>
      </c>
      <c r="B907" s="1683" t="str">
        <f t="shared" si="29"/>
        <v>181-907</v>
      </c>
      <c r="C907">
        <v>0</v>
      </c>
      <c r="D907">
        <f t="shared" si="28"/>
        <v>0</v>
      </c>
    </row>
    <row r="908" spans="1:4" ht="14.5">
      <c r="A908" t="s">
        <v>5211</v>
      </c>
      <c r="B908" s="1683" t="str">
        <f t="shared" si="29"/>
        <v>181-908</v>
      </c>
      <c r="C908">
        <v>-0.13</v>
      </c>
      <c r="D908">
        <f t="shared" si="28"/>
        <v>0.13</v>
      </c>
    </row>
    <row r="909" spans="1:4" ht="14.5">
      <c r="A909" t="s">
        <v>8514</v>
      </c>
      <c r="B909" s="1683" t="str">
        <f t="shared" si="29"/>
        <v>181-950</v>
      </c>
      <c r="C909">
        <v>0</v>
      </c>
      <c r="D909">
        <f t="shared" si="28"/>
        <v>0</v>
      </c>
    </row>
    <row r="910" spans="1:4" ht="14.5">
      <c r="A910" t="s">
        <v>5212</v>
      </c>
      <c r="B910" s="1683" t="str">
        <f t="shared" si="29"/>
        <v>182-901</v>
      </c>
      <c r="C910">
        <v>0</v>
      </c>
      <c r="D910">
        <f t="shared" si="28"/>
        <v>0</v>
      </c>
    </row>
    <row r="911" spans="1:4" ht="14.5">
      <c r="A911" t="s">
        <v>5213</v>
      </c>
      <c r="B911" s="1683" t="str">
        <f t="shared" si="29"/>
        <v>182-902</v>
      </c>
      <c r="C911">
        <v>0</v>
      </c>
      <c r="D911">
        <f t="shared" si="28"/>
        <v>0</v>
      </c>
    </row>
    <row r="912" spans="1:4" ht="14.5">
      <c r="A912" t="s">
        <v>3168</v>
      </c>
      <c r="B912" s="1683" t="str">
        <f t="shared" si="29"/>
        <v>182-903</v>
      </c>
      <c r="C912">
        <v>0</v>
      </c>
      <c r="D912">
        <f t="shared" si="28"/>
        <v>0</v>
      </c>
    </row>
    <row r="913" spans="1:4" ht="14.5">
      <c r="A913" t="s">
        <v>5214</v>
      </c>
      <c r="B913" s="1683" t="str">
        <f t="shared" si="29"/>
        <v>182-904</v>
      </c>
      <c r="C913">
        <v>0</v>
      </c>
      <c r="D913">
        <f t="shared" si="28"/>
        <v>0</v>
      </c>
    </row>
    <row r="914" spans="1:4" ht="14.5">
      <c r="A914" t="s">
        <v>5861</v>
      </c>
      <c r="B914" s="1683" t="str">
        <f t="shared" si="29"/>
        <v>182-905</v>
      </c>
      <c r="C914">
        <v>0</v>
      </c>
      <c r="D914">
        <f t="shared" si="28"/>
        <v>0</v>
      </c>
    </row>
    <row r="915" spans="1:4" ht="14.5">
      <c r="A915" t="s">
        <v>5215</v>
      </c>
      <c r="B915" s="1683" t="str">
        <f t="shared" si="29"/>
        <v>182-906</v>
      </c>
      <c r="C915">
        <v>0</v>
      </c>
      <c r="D915">
        <f t="shared" si="28"/>
        <v>0</v>
      </c>
    </row>
    <row r="916" spans="1:4" ht="14.5">
      <c r="A916" t="s">
        <v>8068</v>
      </c>
      <c r="B916" s="1683" t="str">
        <f t="shared" si="29"/>
        <v>183-801</v>
      </c>
      <c r="C916">
        <v>0</v>
      </c>
      <c r="D916">
        <f t="shared" si="28"/>
        <v>0</v>
      </c>
    </row>
    <row r="917" spans="1:4" ht="14.5">
      <c r="A917" t="s">
        <v>5216</v>
      </c>
      <c r="B917" s="1683" t="str">
        <f t="shared" si="29"/>
        <v>183-901</v>
      </c>
      <c r="C917">
        <v>0</v>
      </c>
      <c r="D917">
        <f t="shared" si="28"/>
        <v>0</v>
      </c>
    </row>
    <row r="918" spans="1:4" ht="14.5">
      <c r="A918" t="s">
        <v>5217</v>
      </c>
      <c r="B918" s="1683" t="str">
        <f t="shared" si="29"/>
        <v>183-902</v>
      </c>
      <c r="C918">
        <v>0</v>
      </c>
      <c r="D918">
        <f t="shared" si="28"/>
        <v>0</v>
      </c>
    </row>
    <row r="919" spans="1:4" ht="14.5">
      <c r="A919" t="s">
        <v>3169</v>
      </c>
      <c r="B919" s="1683" t="str">
        <f t="shared" si="29"/>
        <v>183-904</v>
      </c>
      <c r="C919">
        <v>0</v>
      </c>
      <c r="D919">
        <f t="shared" si="28"/>
        <v>0</v>
      </c>
    </row>
    <row r="920" spans="1:4" ht="14.5">
      <c r="A920" t="s">
        <v>8069</v>
      </c>
      <c r="B920" s="1683" t="str">
        <f t="shared" si="29"/>
        <v>184-801</v>
      </c>
      <c r="C920">
        <v>0</v>
      </c>
      <c r="D920">
        <f t="shared" si="28"/>
        <v>0</v>
      </c>
    </row>
    <row r="921" spans="1:4" ht="14.5">
      <c r="A921" t="s">
        <v>3170</v>
      </c>
      <c r="B921" s="1683" t="str">
        <f t="shared" si="29"/>
        <v>184-901</v>
      </c>
      <c r="C921">
        <v>0</v>
      </c>
      <c r="D921">
        <f t="shared" si="28"/>
        <v>0</v>
      </c>
    </row>
    <row r="922" spans="1:4" ht="14.5">
      <c r="A922" t="s">
        <v>3171</v>
      </c>
      <c r="B922" s="1683" t="str">
        <f t="shared" si="29"/>
        <v>184-902</v>
      </c>
      <c r="C922">
        <v>0</v>
      </c>
      <c r="D922">
        <f t="shared" si="28"/>
        <v>0</v>
      </c>
    </row>
    <row r="923" spans="1:4" ht="14.5">
      <c r="A923" t="s">
        <v>3172</v>
      </c>
      <c r="B923" s="1683" t="str">
        <f t="shared" si="29"/>
        <v>184-903</v>
      </c>
      <c r="C923">
        <v>0</v>
      </c>
      <c r="D923">
        <f t="shared" si="28"/>
        <v>0</v>
      </c>
    </row>
    <row r="924" spans="1:4" ht="14.5">
      <c r="A924" t="s">
        <v>3173</v>
      </c>
      <c r="B924" s="1683" t="str">
        <f t="shared" si="29"/>
        <v>184-904</v>
      </c>
      <c r="C924">
        <v>0</v>
      </c>
      <c r="D924">
        <f t="shared" si="28"/>
        <v>0</v>
      </c>
    </row>
    <row r="925" spans="1:4" ht="14.5">
      <c r="A925" t="s">
        <v>5218</v>
      </c>
      <c r="B925" s="1683" t="str">
        <f t="shared" si="29"/>
        <v>184-907</v>
      </c>
      <c r="C925">
        <v>0</v>
      </c>
      <c r="D925">
        <f t="shared" si="28"/>
        <v>0</v>
      </c>
    </row>
    <row r="926" spans="1:4" ht="14.5">
      <c r="A926" t="s">
        <v>3174</v>
      </c>
      <c r="B926" s="1683" t="str">
        <f t="shared" si="29"/>
        <v>184-908</v>
      </c>
      <c r="C926">
        <v>0</v>
      </c>
      <c r="D926">
        <f t="shared" si="28"/>
        <v>0</v>
      </c>
    </row>
    <row r="927" spans="1:4" ht="14.5">
      <c r="A927" t="s">
        <v>3175</v>
      </c>
      <c r="B927" s="1683" t="str">
        <f t="shared" si="29"/>
        <v>184-909</v>
      </c>
      <c r="C927">
        <v>0</v>
      </c>
      <c r="D927">
        <f t="shared" si="28"/>
        <v>0</v>
      </c>
    </row>
    <row r="928" spans="1:4" ht="14.5">
      <c r="A928" t="s">
        <v>5219</v>
      </c>
      <c r="B928" s="1683" t="str">
        <f t="shared" si="29"/>
        <v>184-911</v>
      </c>
      <c r="C928">
        <v>0</v>
      </c>
      <c r="D928">
        <f t="shared" si="28"/>
        <v>0</v>
      </c>
    </row>
    <row r="929" spans="1:4" ht="14.5">
      <c r="A929" t="s">
        <v>5862</v>
      </c>
      <c r="B929" s="1683" t="str">
        <f t="shared" si="29"/>
        <v>185-901</v>
      </c>
      <c r="C929">
        <v>0</v>
      </c>
      <c r="D929">
        <f t="shared" si="28"/>
        <v>0</v>
      </c>
    </row>
    <row r="930" spans="1:4" ht="14.5">
      <c r="A930" t="s">
        <v>5863</v>
      </c>
      <c r="B930" s="1683" t="str">
        <f t="shared" si="29"/>
        <v>185-902</v>
      </c>
      <c r="C930">
        <v>0</v>
      </c>
      <c r="D930">
        <f t="shared" si="28"/>
        <v>0</v>
      </c>
    </row>
    <row r="931" spans="1:4" ht="14.5">
      <c r="A931" t="s">
        <v>5220</v>
      </c>
      <c r="B931" s="1683" t="str">
        <f t="shared" si="29"/>
        <v>185-903</v>
      </c>
      <c r="C931">
        <v>0</v>
      </c>
      <c r="D931">
        <f t="shared" si="28"/>
        <v>0</v>
      </c>
    </row>
    <row r="932" spans="1:4" ht="14.5">
      <c r="A932" t="s">
        <v>5864</v>
      </c>
      <c r="B932" s="1683" t="str">
        <f t="shared" si="29"/>
        <v>185-904</v>
      </c>
      <c r="C932">
        <v>0</v>
      </c>
      <c r="D932">
        <f t="shared" si="28"/>
        <v>0</v>
      </c>
    </row>
    <row r="933" spans="1:4" ht="14.5">
      <c r="A933" t="s">
        <v>5221</v>
      </c>
      <c r="B933" s="1683" t="str">
        <f t="shared" si="29"/>
        <v>186-901</v>
      </c>
      <c r="C933">
        <v>0</v>
      </c>
      <c r="D933">
        <f t="shared" si="28"/>
        <v>0</v>
      </c>
    </row>
    <row r="934" spans="1:4" ht="14.5">
      <c r="A934" t="s">
        <v>5222</v>
      </c>
      <c r="B934" s="1683" t="str">
        <f t="shared" si="29"/>
        <v>186-902</v>
      </c>
      <c r="C934">
        <v>0</v>
      </c>
      <c r="D934">
        <f t="shared" si="28"/>
        <v>0</v>
      </c>
    </row>
    <row r="935" spans="1:4" ht="14.5">
      <c r="A935" t="s">
        <v>5223</v>
      </c>
      <c r="B935" s="1683" t="str">
        <f t="shared" si="29"/>
        <v>186-903</v>
      </c>
      <c r="C935">
        <v>0</v>
      </c>
      <c r="D935">
        <f t="shared" si="28"/>
        <v>0</v>
      </c>
    </row>
    <row r="936" spans="1:4" ht="14.5">
      <c r="A936" t="s">
        <v>5224</v>
      </c>
      <c r="B936" s="1683" t="str">
        <f t="shared" si="29"/>
        <v>187-901</v>
      </c>
      <c r="C936">
        <v>0</v>
      </c>
      <c r="D936">
        <f t="shared" si="28"/>
        <v>0</v>
      </c>
    </row>
    <row r="937" spans="1:4" ht="14.5">
      <c r="A937" t="s">
        <v>5865</v>
      </c>
      <c r="B937" s="1683" t="str">
        <f t="shared" si="29"/>
        <v>187-903</v>
      </c>
      <c r="C937">
        <v>0</v>
      </c>
      <c r="D937">
        <f t="shared" si="28"/>
        <v>0</v>
      </c>
    </row>
    <row r="938" spans="1:4" ht="14.5">
      <c r="A938" t="s">
        <v>5225</v>
      </c>
      <c r="B938" s="1683" t="str">
        <f t="shared" si="29"/>
        <v>187-904</v>
      </c>
      <c r="C938">
        <v>0</v>
      </c>
      <c r="D938">
        <f t="shared" si="28"/>
        <v>0</v>
      </c>
    </row>
    <row r="939" spans="1:4" ht="14.5">
      <c r="A939" t="s">
        <v>5226</v>
      </c>
      <c r="B939" s="1683" t="str">
        <f t="shared" si="29"/>
        <v>187-906</v>
      </c>
      <c r="C939">
        <v>0</v>
      </c>
      <c r="D939">
        <f t="shared" si="28"/>
        <v>0</v>
      </c>
    </row>
    <row r="940" spans="1:4" ht="14.5">
      <c r="A940" t="s">
        <v>3176</v>
      </c>
      <c r="B940" s="1683" t="str">
        <f t="shared" si="29"/>
        <v>187-907</v>
      </c>
      <c r="C940">
        <v>0</v>
      </c>
      <c r="D940">
        <f t="shared" si="28"/>
        <v>0</v>
      </c>
    </row>
    <row r="941" spans="1:4" ht="14.5">
      <c r="A941" t="s">
        <v>5227</v>
      </c>
      <c r="B941" s="1683" t="str">
        <f t="shared" si="29"/>
        <v>187-910</v>
      </c>
      <c r="C941">
        <v>0</v>
      </c>
      <c r="D941">
        <f t="shared" si="28"/>
        <v>0</v>
      </c>
    </row>
    <row r="942" spans="1:4" ht="14.5">
      <c r="A942" t="s">
        <v>3177</v>
      </c>
      <c r="B942" s="1683" t="str">
        <f t="shared" si="29"/>
        <v>188-901</v>
      </c>
      <c r="C942">
        <v>0</v>
      </c>
      <c r="D942">
        <f t="shared" si="28"/>
        <v>0</v>
      </c>
    </row>
    <row r="943" spans="1:4" ht="14.5">
      <c r="A943" t="s">
        <v>3178</v>
      </c>
      <c r="B943" s="1683" t="str">
        <f t="shared" si="29"/>
        <v>188-902</v>
      </c>
      <c r="C943">
        <v>0</v>
      </c>
      <c r="D943">
        <f t="shared" si="28"/>
        <v>0</v>
      </c>
    </row>
    <row r="944" spans="1:4" ht="14.5">
      <c r="A944" t="s">
        <v>5228</v>
      </c>
      <c r="B944" s="1683" t="str">
        <f t="shared" si="29"/>
        <v>188-903</v>
      </c>
      <c r="C944">
        <v>0</v>
      </c>
      <c r="D944">
        <f t="shared" si="28"/>
        <v>0</v>
      </c>
    </row>
    <row r="945" spans="1:4" ht="14.5">
      <c r="A945" t="s">
        <v>5229</v>
      </c>
      <c r="B945" s="1683" t="str">
        <f t="shared" si="29"/>
        <v>188-904</v>
      </c>
      <c r="C945">
        <v>0</v>
      </c>
      <c r="D945">
        <f t="shared" si="28"/>
        <v>0</v>
      </c>
    </row>
    <row r="946" spans="1:4" ht="14.5">
      <c r="A946" t="s">
        <v>8515</v>
      </c>
      <c r="B946" s="1683" t="str">
        <f t="shared" si="29"/>
        <v>188-950</v>
      </c>
      <c r="C946">
        <v>0</v>
      </c>
      <c r="D946">
        <f t="shared" si="28"/>
        <v>0</v>
      </c>
    </row>
    <row r="947" spans="1:4" ht="14.5">
      <c r="A947" t="s">
        <v>3179</v>
      </c>
      <c r="B947" s="1683" t="str">
        <f t="shared" si="29"/>
        <v>189-901</v>
      </c>
      <c r="C947">
        <v>0</v>
      </c>
      <c r="D947">
        <f t="shared" si="28"/>
        <v>0</v>
      </c>
    </row>
    <row r="948" spans="1:4" ht="14.5">
      <c r="A948" t="s">
        <v>3180</v>
      </c>
      <c r="B948" s="1683" t="str">
        <f t="shared" si="29"/>
        <v>189-902</v>
      </c>
      <c r="C948">
        <v>0</v>
      </c>
      <c r="D948">
        <f t="shared" si="28"/>
        <v>0</v>
      </c>
    </row>
    <row r="949" spans="1:4" ht="14.5">
      <c r="A949" t="s">
        <v>5230</v>
      </c>
      <c r="B949" s="1683" t="str">
        <f t="shared" si="29"/>
        <v>190-903</v>
      </c>
      <c r="C949">
        <v>0</v>
      </c>
      <c r="D949">
        <f t="shared" si="28"/>
        <v>0</v>
      </c>
    </row>
    <row r="950" spans="1:4" ht="14.5">
      <c r="A950" t="s">
        <v>5231</v>
      </c>
      <c r="B950" s="1683" t="str">
        <f t="shared" si="29"/>
        <v>191-901</v>
      </c>
      <c r="C950">
        <v>0</v>
      </c>
      <c r="D950">
        <f t="shared" si="28"/>
        <v>0</v>
      </c>
    </row>
    <row r="951" spans="1:4" ht="14.5">
      <c r="A951" t="s">
        <v>5232</v>
      </c>
      <c r="B951" s="1683" t="str">
        <f t="shared" si="29"/>
        <v>192-901</v>
      </c>
      <c r="C951">
        <v>0</v>
      </c>
      <c r="D951">
        <f t="shared" si="28"/>
        <v>0</v>
      </c>
    </row>
    <row r="952" spans="1:4" ht="14.5">
      <c r="A952" t="s">
        <v>8070</v>
      </c>
      <c r="B952" s="1683" t="str">
        <f t="shared" si="29"/>
        <v>193-801</v>
      </c>
      <c r="C952">
        <v>0</v>
      </c>
      <c r="D952">
        <f t="shared" si="28"/>
        <v>0</v>
      </c>
    </row>
    <row r="953" spans="1:4" ht="14.5">
      <c r="A953" t="s">
        <v>5233</v>
      </c>
      <c r="B953" s="1683" t="str">
        <f t="shared" si="29"/>
        <v>193-902</v>
      </c>
      <c r="C953">
        <v>0</v>
      </c>
      <c r="D953">
        <f t="shared" si="28"/>
        <v>0</v>
      </c>
    </row>
    <row r="954" spans="1:4" ht="14.5">
      <c r="A954" t="s">
        <v>5866</v>
      </c>
      <c r="B954" s="1683" t="str">
        <f t="shared" si="29"/>
        <v>194-902</v>
      </c>
      <c r="C954">
        <v>0</v>
      </c>
      <c r="D954">
        <f t="shared" si="28"/>
        <v>0</v>
      </c>
    </row>
    <row r="955" spans="1:4" ht="14.5">
      <c r="A955" t="s">
        <v>3181</v>
      </c>
      <c r="B955" s="1683" t="str">
        <f t="shared" si="29"/>
        <v>194-903</v>
      </c>
      <c r="C955">
        <v>0</v>
      </c>
      <c r="D955">
        <f t="shared" si="28"/>
        <v>0</v>
      </c>
    </row>
    <row r="956" spans="1:4" ht="14.5">
      <c r="A956" t="s">
        <v>5867</v>
      </c>
      <c r="B956" s="1683" t="str">
        <f t="shared" si="29"/>
        <v>194-904</v>
      </c>
      <c r="C956">
        <v>0</v>
      </c>
      <c r="D956">
        <f t="shared" si="28"/>
        <v>0</v>
      </c>
    </row>
    <row r="957" spans="1:4" ht="14.5">
      <c r="A957" t="s">
        <v>3182</v>
      </c>
      <c r="B957" s="1683" t="str">
        <f t="shared" si="29"/>
        <v>194-905</v>
      </c>
      <c r="C957">
        <v>0</v>
      </c>
      <c r="D957">
        <f t="shared" si="28"/>
        <v>0</v>
      </c>
    </row>
    <row r="958" spans="1:4" ht="14.5">
      <c r="A958" t="s">
        <v>5234</v>
      </c>
      <c r="B958" s="1683" t="str">
        <f t="shared" si="29"/>
        <v>195-901</v>
      </c>
      <c r="C958">
        <v>0</v>
      </c>
      <c r="D958">
        <f t="shared" ref="D958:D1021" si="30">C958*-1</f>
        <v>0</v>
      </c>
    </row>
    <row r="959" spans="1:4" ht="14.5">
      <c r="A959" t="s">
        <v>3183</v>
      </c>
      <c r="B959" s="1683" t="str">
        <f t="shared" si="29"/>
        <v>195-902</v>
      </c>
      <c r="C959">
        <v>0</v>
      </c>
      <c r="D959">
        <f t="shared" si="30"/>
        <v>0</v>
      </c>
    </row>
    <row r="960" spans="1:4" ht="14.5">
      <c r="A960" t="s">
        <v>5235</v>
      </c>
      <c r="B960" s="1683" t="str">
        <f t="shared" si="29"/>
        <v>196-901</v>
      </c>
      <c r="C960">
        <v>0</v>
      </c>
      <c r="D960">
        <f t="shared" si="30"/>
        <v>0</v>
      </c>
    </row>
    <row r="961" spans="1:4" ht="14.5">
      <c r="A961" t="s">
        <v>5236</v>
      </c>
      <c r="B961" s="1683" t="str">
        <f t="shared" si="29"/>
        <v>196-902</v>
      </c>
      <c r="C961">
        <v>0</v>
      </c>
      <c r="D961">
        <f t="shared" si="30"/>
        <v>0</v>
      </c>
    </row>
    <row r="962" spans="1:4" ht="14.5">
      <c r="A962" t="s">
        <v>5237</v>
      </c>
      <c r="B962" s="1683" t="str">
        <f t="shared" ref="B962:B1025" si="31">CONCATENATE(LEFT(RIGHT(CONCATENATE("000",A962),6),3),"-",(RIGHT(RIGHT(CONCATENATE("000",A962),6),3)))</f>
        <v>196-903</v>
      </c>
      <c r="C962">
        <v>-0.13</v>
      </c>
      <c r="D962">
        <f t="shared" si="30"/>
        <v>0.13</v>
      </c>
    </row>
    <row r="963" spans="1:4" ht="14.5">
      <c r="A963" t="s">
        <v>5238</v>
      </c>
      <c r="B963" s="1683" t="str">
        <f t="shared" si="31"/>
        <v>197-902</v>
      </c>
      <c r="C963">
        <v>0</v>
      </c>
      <c r="D963">
        <f t="shared" si="30"/>
        <v>0</v>
      </c>
    </row>
    <row r="964" spans="1:4" ht="14.5">
      <c r="A964" t="s">
        <v>5239</v>
      </c>
      <c r="B964" s="1683" t="str">
        <f t="shared" si="31"/>
        <v>198-901</v>
      </c>
      <c r="C964">
        <v>0</v>
      </c>
      <c r="D964">
        <f t="shared" si="30"/>
        <v>0</v>
      </c>
    </row>
    <row r="965" spans="1:4" ht="14.5">
      <c r="A965" t="s">
        <v>5868</v>
      </c>
      <c r="B965" s="1683" t="str">
        <f t="shared" si="31"/>
        <v>198-902</v>
      </c>
      <c r="C965">
        <v>0</v>
      </c>
      <c r="D965">
        <f t="shared" si="30"/>
        <v>0</v>
      </c>
    </row>
    <row r="966" spans="1:4" ht="14.5">
      <c r="A966" t="s">
        <v>5240</v>
      </c>
      <c r="B966" s="1683" t="str">
        <f t="shared" si="31"/>
        <v>198-903</v>
      </c>
      <c r="C966">
        <v>0</v>
      </c>
      <c r="D966">
        <f t="shared" si="30"/>
        <v>0</v>
      </c>
    </row>
    <row r="967" spans="1:4" ht="14.5">
      <c r="A967" t="s">
        <v>5241</v>
      </c>
      <c r="B967" s="1683" t="str">
        <f t="shared" si="31"/>
        <v>198-905</v>
      </c>
      <c r="C967">
        <v>0</v>
      </c>
      <c r="D967">
        <f t="shared" si="30"/>
        <v>0</v>
      </c>
    </row>
    <row r="968" spans="1:4" ht="14.5">
      <c r="A968" t="s">
        <v>5869</v>
      </c>
      <c r="B968" s="1683" t="str">
        <f t="shared" si="31"/>
        <v>198-906</v>
      </c>
      <c r="C968">
        <v>0</v>
      </c>
      <c r="D968">
        <f t="shared" si="30"/>
        <v>0</v>
      </c>
    </row>
    <row r="969" spans="1:4" ht="14.5">
      <c r="A969" t="s">
        <v>5242</v>
      </c>
      <c r="B969" s="1683" t="str">
        <f t="shared" si="31"/>
        <v>199-901</v>
      </c>
      <c r="C969">
        <v>0</v>
      </c>
      <c r="D969">
        <f t="shared" si="30"/>
        <v>0</v>
      </c>
    </row>
    <row r="970" spans="1:4" ht="14.5">
      <c r="A970" t="s">
        <v>3184</v>
      </c>
      <c r="B970" s="1683" t="str">
        <f t="shared" si="31"/>
        <v>199-902</v>
      </c>
      <c r="C970">
        <v>0</v>
      </c>
      <c r="D970">
        <f t="shared" si="30"/>
        <v>0</v>
      </c>
    </row>
    <row r="971" spans="1:4" ht="14.5">
      <c r="A971" t="s">
        <v>5870</v>
      </c>
      <c r="B971" s="1683" t="str">
        <f t="shared" si="31"/>
        <v>200-901</v>
      </c>
      <c r="C971">
        <v>0</v>
      </c>
      <c r="D971">
        <f t="shared" si="30"/>
        <v>0</v>
      </c>
    </row>
    <row r="972" spans="1:4" ht="14.5">
      <c r="A972" t="s">
        <v>3185</v>
      </c>
      <c r="B972" s="1683" t="str">
        <f t="shared" si="31"/>
        <v>200-902</v>
      </c>
      <c r="C972">
        <v>0</v>
      </c>
      <c r="D972">
        <f t="shared" si="30"/>
        <v>0</v>
      </c>
    </row>
    <row r="973" spans="1:4" ht="14.5">
      <c r="A973" t="s">
        <v>4591</v>
      </c>
      <c r="B973" s="1683" t="str">
        <f t="shared" si="31"/>
        <v>200-904</v>
      </c>
      <c r="C973">
        <v>0</v>
      </c>
      <c r="D973">
        <f t="shared" si="30"/>
        <v>0</v>
      </c>
    </row>
    <row r="974" spans="1:4" ht="14.5">
      <c r="A974" t="s">
        <v>3186</v>
      </c>
      <c r="B974" s="1683" t="str">
        <f t="shared" si="31"/>
        <v>200-906</v>
      </c>
      <c r="C974">
        <v>0</v>
      </c>
      <c r="D974">
        <f t="shared" si="30"/>
        <v>0</v>
      </c>
    </row>
    <row r="975" spans="1:4" ht="14.5">
      <c r="A975" t="s">
        <v>5243</v>
      </c>
      <c r="B975" s="1683" t="str">
        <f t="shared" si="31"/>
        <v>201-902</v>
      </c>
      <c r="C975">
        <v>0</v>
      </c>
      <c r="D975">
        <f t="shared" si="30"/>
        <v>0</v>
      </c>
    </row>
    <row r="976" spans="1:4" ht="14.5">
      <c r="A976" t="s">
        <v>5871</v>
      </c>
      <c r="B976" s="1683" t="str">
        <f t="shared" si="31"/>
        <v>201-903</v>
      </c>
      <c r="C976">
        <v>0</v>
      </c>
      <c r="D976">
        <f t="shared" si="30"/>
        <v>0</v>
      </c>
    </row>
    <row r="977" spans="1:4" ht="14.5">
      <c r="A977" t="s">
        <v>5872</v>
      </c>
      <c r="B977" s="1683" t="str">
        <f t="shared" si="31"/>
        <v>201-904</v>
      </c>
      <c r="C977">
        <v>0</v>
      </c>
      <c r="D977">
        <f t="shared" si="30"/>
        <v>0</v>
      </c>
    </row>
    <row r="978" spans="1:4" ht="14.5">
      <c r="A978" t="s">
        <v>4595</v>
      </c>
      <c r="B978" s="1683" t="str">
        <f t="shared" si="31"/>
        <v>201-907</v>
      </c>
      <c r="C978">
        <v>0</v>
      </c>
      <c r="D978">
        <f t="shared" si="30"/>
        <v>0</v>
      </c>
    </row>
    <row r="979" spans="1:4" ht="14.5">
      <c r="A979" t="s">
        <v>3187</v>
      </c>
      <c r="B979" s="1683" t="str">
        <f t="shared" si="31"/>
        <v>201-908</v>
      </c>
      <c r="C979">
        <v>0</v>
      </c>
      <c r="D979">
        <f t="shared" si="30"/>
        <v>0</v>
      </c>
    </row>
    <row r="980" spans="1:4" ht="14.5">
      <c r="A980" t="s">
        <v>5244</v>
      </c>
      <c r="B980" s="1683" t="str">
        <f t="shared" si="31"/>
        <v>201-910</v>
      </c>
      <c r="C980">
        <v>0</v>
      </c>
      <c r="D980">
        <f t="shared" si="30"/>
        <v>0</v>
      </c>
    </row>
    <row r="981" spans="1:4" ht="14.5">
      <c r="A981" t="s">
        <v>3188</v>
      </c>
      <c r="B981" s="1683" t="str">
        <f t="shared" si="31"/>
        <v>201-913</v>
      </c>
      <c r="C981">
        <v>0</v>
      </c>
      <c r="D981">
        <f t="shared" si="30"/>
        <v>0</v>
      </c>
    </row>
    <row r="982" spans="1:4" ht="14.5">
      <c r="A982" t="s">
        <v>5245</v>
      </c>
      <c r="B982" s="1683" t="str">
        <f t="shared" si="31"/>
        <v>201-914</v>
      </c>
      <c r="C982">
        <v>0</v>
      </c>
      <c r="D982">
        <f t="shared" si="30"/>
        <v>0</v>
      </c>
    </row>
    <row r="983" spans="1:4" ht="14.5">
      <c r="A983" t="s">
        <v>5873</v>
      </c>
      <c r="B983" s="1683" t="str">
        <f t="shared" si="31"/>
        <v>202-903</v>
      </c>
      <c r="C983">
        <v>0</v>
      </c>
      <c r="D983">
        <f t="shared" si="30"/>
        <v>0</v>
      </c>
    </row>
    <row r="984" spans="1:4" ht="14.5">
      <c r="A984" t="s">
        <v>3189</v>
      </c>
      <c r="B984" s="1683" t="str">
        <f t="shared" si="31"/>
        <v>202-905</v>
      </c>
      <c r="C984">
        <v>0</v>
      </c>
      <c r="D984">
        <f t="shared" si="30"/>
        <v>0</v>
      </c>
    </row>
    <row r="985" spans="1:4" ht="14.5">
      <c r="A985" t="s">
        <v>3190</v>
      </c>
      <c r="B985" s="1683" t="str">
        <f t="shared" si="31"/>
        <v>203-901</v>
      </c>
      <c r="C985">
        <v>0</v>
      </c>
      <c r="D985">
        <f t="shared" si="30"/>
        <v>0</v>
      </c>
    </row>
    <row r="986" spans="1:4" ht="14.5">
      <c r="A986" t="s">
        <v>5874</v>
      </c>
      <c r="B986" s="1683" t="str">
        <f t="shared" si="31"/>
        <v>203-902</v>
      </c>
      <c r="C986">
        <v>0</v>
      </c>
      <c r="D986">
        <f t="shared" si="30"/>
        <v>0</v>
      </c>
    </row>
    <row r="987" spans="1:4" ht="14.5">
      <c r="A987" t="s">
        <v>5246</v>
      </c>
      <c r="B987" s="1683" t="str">
        <f t="shared" si="31"/>
        <v>204-901</v>
      </c>
      <c r="C987">
        <v>0</v>
      </c>
      <c r="D987">
        <f t="shared" si="30"/>
        <v>0</v>
      </c>
    </row>
    <row r="988" spans="1:4" ht="14.5">
      <c r="A988" t="s">
        <v>3191</v>
      </c>
      <c r="B988" s="1683" t="str">
        <f t="shared" si="31"/>
        <v>204-904</v>
      </c>
      <c r="C988">
        <v>0</v>
      </c>
      <c r="D988">
        <f t="shared" si="30"/>
        <v>0</v>
      </c>
    </row>
    <row r="989" spans="1:4" ht="14.5">
      <c r="A989" t="s">
        <v>3192</v>
      </c>
      <c r="B989" s="1683" t="str">
        <f t="shared" si="31"/>
        <v>205-901</v>
      </c>
      <c r="C989">
        <v>-0.13800000000000001</v>
      </c>
      <c r="D989">
        <f t="shared" si="30"/>
        <v>0.13800000000000001</v>
      </c>
    </row>
    <row r="990" spans="1:4" ht="14.5">
      <c r="A990" t="s">
        <v>5247</v>
      </c>
      <c r="B990" s="1683" t="str">
        <f t="shared" si="31"/>
        <v>205-902</v>
      </c>
      <c r="C990">
        <v>0</v>
      </c>
      <c r="D990">
        <f t="shared" si="30"/>
        <v>0</v>
      </c>
    </row>
    <row r="991" spans="1:4" ht="14.5">
      <c r="A991" t="s">
        <v>5248</v>
      </c>
      <c r="B991" s="1683" t="str">
        <f t="shared" si="31"/>
        <v>205-903</v>
      </c>
      <c r="C991">
        <v>0</v>
      </c>
      <c r="D991">
        <f t="shared" si="30"/>
        <v>0</v>
      </c>
    </row>
    <row r="992" spans="1:4" ht="14.5">
      <c r="A992" t="s">
        <v>3193</v>
      </c>
      <c r="B992" s="1683" t="str">
        <f t="shared" si="31"/>
        <v>205-904</v>
      </c>
      <c r="C992">
        <v>0</v>
      </c>
      <c r="D992">
        <f t="shared" si="30"/>
        <v>0</v>
      </c>
    </row>
    <row r="993" spans="1:4" ht="14.5">
      <c r="A993" t="s">
        <v>3194</v>
      </c>
      <c r="B993" s="1683" t="str">
        <f t="shared" si="31"/>
        <v>205-905</v>
      </c>
      <c r="C993">
        <v>0</v>
      </c>
      <c r="D993">
        <f t="shared" si="30"/>
        <v>0</v>
      </c>
    </row>
    <row r="994" spans="1:4" ht="14.5">
      <c r="A994" t="s">
        <v>3195</v>
      </c>
      <c r="B994" s="1683" t="str">
        <f t="shared" si="31"/>
        <v>205-906</v>
      </c>
      <c r="C994">
        <v>0</v>
      </c>
      <c r="D994">
        <f t="shared" si="30"/>
        <v>0</v>
      </c>
    </row>
    <row r="995" spans="1:4" ht="14.5">
      <c r="A995" t="s">
        <v>3196</v>
      </c>
      <c r="B995" s="1683" t="str">
        <f t="shared" si="31"/>
        <v>205-907</v>
      </c>
      <c r="C995">
        <v>0</v>
      </c>
      <c r="D995">
        <f t="shared" si="30"/>
        <v>0</v>
      </c>
    </row>
    <row r="996" spans="1:4" ht="14.5">
      <c r="A996" t="s">
        <v>3197</v>
      </c>
      <c r="B996" s="1683" t="str">
        <f t="shared" si="31"/>
        <v>206-901</v>
      </c>
      <c r="C996">
        <v>0</v>
      </c>
      <c r="D996">
        <f t="shared" si="30"/>
        <v>0</v>
      </c>
    </row>
    <row r="997" spans="1:4" ht="14.5">
      <c r="A997" t="s">
        <v>5875</v>
      </c>
      <c r="B997" s="1683" t="str">
        <f t="shared" si="31"/>
        <v>206-902</v>
      </c>
      <c r="C997">
        <v>0</v>
      </c>
      <c r="D997">
        <f t="shared" si="30"/>
        <v>0</v>
      </c>
    </row>
    <row r="998" spans="1:4" ht="14.5">
      <c r="A998" t="s">
        <v>5876</v>
      </c>
      <c r="B998" s="1683" t="str">
        <f t="shared" si="31"/>
        <v>206-903</v>
      </c>
      <c r="C998">
        <v>0</v>
      </c>
      <c r="D998">
        <f t="shared" si="30"/>
        <v>0</v>
      </c>
    </row>
    <row r="999" spans="1:4" ht="14.5">
      <c r="A999" t="s">
        <v>5877</v>
      </c>
      <c r="B999" s="1683" t="str">
        <f t="shared" si="31"/>
        <v>207-901</v>
      </c>
      <c r="C999">
        <v>0</v>
      </c>
      <c r="D999">
        <f t="shared" si="30"/>
        <v>0</v>
      </c>
    </row>
    <row r="1000" spans="1:4" ht="14.5">
      <c r="A1000" t="s">
        <v>5249</v>
      </c>
      <c r="B1000" s="1683" t="str">
        <f t="shared" si="31"/>
        <v>208-901</v>
      </c>
      <c r="C1000">
        <v>0</v>
      </c>
      <c r="D1000">
        <f t="shared" si="30"/>
        <v>0</v>
      </c>
    </row>
    <row r="1001" spans="1:4" ht="14.5">
      <c r="A1001" t="s">
        <v>5250</v>
      </c>
      <c r="B1001" s="1683" t="str">
        <f t="shared" si="31"/>
        <v>208-902</v>
      </c>
      <c r="C1001">
        <v>0</v>
      </c>
      <c r="D1001">
        <f t="shared" si="30"/>
        <v>0</v>
      </c>
    </row>
    <row r="1002" spans="1:4" ht="14.5">
      <c r="A1002" t="s">
        <v>5251</v>
      </c>
      <c r="B1002" s="1683" t="str">
        <f t="shared" si="31"/>
        <v>208-903</v>
      </c>
      <c r="C1002">
        <v>0</v>
      </c>
      <c r="D1002">
        <f t="shared" si="30"/>
        <v>0</v>
      </c>
    </row>
    <row r="1003" spans="1:4" ht="14.5">
      <c r="A1003" t="s">
        <v>5878</v>
      </c>
      <c r="B1003" s="1683" t="str">
        <f t="shared" si="31"/>
        <v>209-901</v>
      </c>
      <c r="C1003">
        <v>0</v>
      </c>
      <c r="D1003">
        <f t="shared" si="30"/>
        <v>0</v>
      </c>
    </row>
    <row r="1004" spans="1:4" ht="14.5">
      <c r="A1004" t="s">
        <v>5879</v>
      </c>
      <c r="B1004" s="1683" t="str">
        <f t="shared" si="31"/>
        <v>209-902</v>
      </c>
      <c r="C1004">
        <v>0</v>
      </c>
      <c r="D1004">
        <f t="shared" si="30"/>
        <v>0</v>
      </c>
    </row>
    <row r="1005" spans="1:4" ht="14.5">
      <c r="A1005" t="s">
        <v>3198</v>
      </c>
      <c r="B1005" s="1683" t="str">
        <f t="shared" si="31"/>
        <v>210-901</v>
      </c>
      <c r="C1005">
        <v>0</v>
      </c>
      <c r="D1005">
        <f t="shared" si="30"/>
        <v>0</v>
      </c>
    </row>
    <row r="1006" spans="1:4" ht="14.5">
      <c r="A1006" t="s">
        <v>5252</v>
      </c>
      <c r="B1006" s="1683" t="str">
        <f t="shared" si="31"/>
        <v>210-902</v>
      </c>
      <c r="C1006">
        <v>0</v>
      </c>
      <c r="D1006">
        <f t="shared" si="30"/>
        <v>0</v>
      </c>
    </row>
    <row r="1007" spans="1:4" ht="14.5">
      <c r="A1007" t="s">
        <v>3199</v>
      </c>
      <c r="B1007" s="1683" t="str">
        <f t="shared" si="31"/>
        <v>210-903</v>
      </c>
      <c r="C1007">
        <v>0</v>
      </c>
      <c r="D1007">
        <f t="shared" si="30"/>
        <v>0</v>
      </c>
    </row>
    <row r="1008" spans="1:4" ht="14.5">
      <c r="A1008" t="s">
        <v>5253</v>
      </c>
      <c r="B1008" s="1683" t="str">
        <f t="shared" si="31"/>
        <v>210-904</v>
      </c>
      <c r="C1008">
        <v>0</v>
      </c>
      <c r="D1008">
        <f t="shared" si="30"/>
        <v>0</v>
      </c>
    </row>
    <row r="1009" spans="1:4" ht="14.5">
      <c r="A1009" t="s">
        <v>5880</v>
      </c>
      <c r="B1009" s="1683" t="str">
        <f t="shared" si="31"/>
        <v>210-905</v>
      </c>
      <c r="C1009">
        <v>0</v>
      </c>
      <c r="D1009">
        <f t="shared" si="30"/>
        <v>0</v>
      </c>
    </row>
    <row r="1010" spans="1:4" ht="14.5">
      <c r="A1010" t="s">
        <v>5881</v>
      </c>
      <c r="B1010" s="1683" t="str">
        <f t="shared" si="31"/>
        <v>210-906</v>
      </c>
      <c r="C1010">
        <v>0</v>
      </c>
      <c r="D1010">
        <f t="shared" si="30"/>
        <v>0</v>
      </c>
    </row>
    <row r="1011" spans="1:4" ht="14.5">
      <c r="A1011" t="s">
        <v>5254</v>
      </c>
      <c r="B1011" s="1683" t="str">
        <f t="shared" si="31"/>
        <v>211-901</v>
      </c>
      <c r="C1011">
        <v>0</v>
      </c>
      <c r="D1011">
        <f t="shared" si="30"/>
        <v>0</v>
      </c>
    </row>
    <row r="1012" spans="1:4" ht="14.5">
      <c r="A1012" t="s">
        <v>5882</v>
      </c>
      <c r="B1012" s="1683" t="str">
        <f t="shared" si="31"/>
        <v>211-902</v>
      </c>
      <c r="C1012">
        <v>0</v>
      </c>
      <c r="D1012">
        <f t="shared" si="30"/>
        <v>0</v>
      </c>
    </row>
    <row r="1013" spans="1:4" ht="14.5">
      <c r="A1013" t="s">
        <v>8071</v>
      </c>
      <c r="B1013" s="1683" t="str">
        <f t="shared" si="31"/>
        <v>212-801</v>
      </c>
      <c r="C1013">
        <v>0</v>
      </c>
      <c r="D1013">
        <f t="shared" si="30"/>
        <v>0</v>
      </c>
    </row>
    <row r="1014" spans="1:4" ht="14.5">
      <c r="A1014" t="s">
        <v>8072</v>
      </c>
      <c r="B1014" s="1683" t="str">
        <f t="shared" si="31"/>
        <v>212-804</v>
      </c>
      <c r="C1014">
        <v>0</v>
      </c>
      <c r="D1014">
        <f t="shared" si="30"/>
        <v>0</v>
      </c>
    </row>
    <row r="1015" spans="1:4" ht="14.5">
      <c r="A1015" t="s">
        <v>3200</v>
      </c>
      <c r="B1015" s="1683" t="str">
        <f t="shared" si="31"/>
        <v>212-901</v>
      </c>
      <c r="C1015">
        <v>0</v>
      </c>
      <c r="D1015">
        <f t="shared" si="30"/>
        <v>0</v>
      </c>
    </row>
    <row r="1016" spans="1:4" ht="14.5">
      <c r="A1016" t="s">
        <v>5255</v>
      </c>
      <c r="B1016" s="1683" t="str">
        <f t="shared" si="31"/>
        <v>212-902</v>
      </c>
      <c r="C1016">
        <v>0</v>
      </c>
      <c r="D1016">
        <f t="shared" si="30"/>
        <v>0</v>
      </c>
    </row>
    <row r="1017" spans="1:4" ht="14.5">
      <c r="A1017" t="s">
        <v>3201</v>
      </c>
      <c r="B1017" s="1683" t="str">
        <f t="shared" si="31"/>
        <v>212-903</v>
      </c>
      <c r="C1017">
        <v>0</v>
      </c>
      <c r="D1017">
        <f t="shared" si="30"/>
        <v>0</v>
      </c>
    </row>
    <row r="1018" spans="1:4" ht="14.5">
      <c r="A1018" t="s">
        <v>5256</v>
      </c>
      <c r="B1018" s="1683" t="str">
        <f t="shared" si="31"/>
        <v>212-904</v>
      </c>
      <c r="C1018">
        <v>0</v>
      </c>
      <c r="D1018">
        <f t="shared" si="30"/>
        <v>0</v>
      </c>
    </row>
    <row r="1019" spans="1:4" ht="14.5">
      <c r="A1019" t="s">
        <v>5257</v>
      </c>
      <c r="B1019" s="1683" t="str">
        <f t="shared" si="31"/>
        <v>212-905</v>
      </c>
      <c r="C1019">
        <v>0</v>
      </c>
      <c r="D1019">
        <f t="shared" si="30"/>
        <v>0</v>
      </c>
    </row>
    <row r="1020" spans="1:4" ht="14.5">
      <c r="A1020" t="s">
        <v>3202</v>
      </c>
      <c r="B1020" s="1683" t="str">
        <f t="shared" si="31"/>
        <v>212-906</v>
      </c>
      <c r="C1020">
        <v>0</v>
      </c>
      <c r="D1020">
        <f t="shared" si="30"/>
        <v>0</v>
      </c>
    </row>
    <row r="1021" spans="1:4" ht="14.5">
      <c r="A1021" t="s">
        <v>3203</v>
      </c>
      <c r="B1021" s="1683" t="str">
        <f t="shared" si="31"/>
        <v>212-909</v>
      </c>
      <c r="C1021">
        <v>0</v>
      </c>
      <c r="D1021">
        <f t="shared" si="30"/>
        <v>0</v>
      </c>
    </row>
    <row r="1022" spans="1:4" ht="14.5">
      <c r="A1022" t="s">
        <v>5258</v>
      </c>
      <c r="B1022" s="1683" t="str">
        <f t="shared" si="31"/>
        <v>212-910</v>
      </c>
      <c r="C1022">
        <v>0</v>
      </c>
      <c r="D1022">
        <f t="shared" ref="D1022:D1085" si="32">C1022*-1</f>
        <v>0</v>
      </c>
    </row>
    <row r="1023" spans="1:4" ht="14.5">
      <c r="A1023" t="s">
        <v>8073</v>
      </c>
      <c r="B1023" s="1683" t="str">
        <f t="shared" si="31"/>
        <v>213-801</v>
      </c>
      <c r="C1023">
        <v>0</v>
      </c>
      <c r="D1023">
        <f t="shared" si="32"/>
        <v>0</v>
      </c>
    </row>
    <row r="1024" spans="1:4" ht="14.5">
      <c r="A1024" t="s">
        <v>5259</v>
      </c>
      <c r="B1024" s="1683" t="str">
        <f t="shared" si="31"/>
        <v>213-901</v>
      </c>
      <c r="C1024">
        <v>0</v>
      </c>
      <c r="D1024">
        <f t="shared" si="32"/>
        <v>0</v>
      </c>
    </row>
    <row r="1025" spans="1:4" ht="14.5">
      <c r="A1025" t="s">
        <v>3204</v>
      </c>
      <c r="B1025" s="1683" t="str">
        <f t="shared" si="31"/>
        <v>214-901</v>
      </c>
      <c r="C1025">
        <v>0</v>
      </c>
      <c r="D1025">
        <f t="shared" si="32"/>
        <v>0</v>
      </c>
    </row>
    <row r="1026" spans="1:4" ht="14.5">
      <c r="A1026" t="s">
        <v>5260</v>
      </c>
      <c r="B1026" s="1683" t="str">
        <f t="shared" ref="B1026:B1089" si="33">CONCATENATE(LEFT(RIGHT(CONCATENATE("000",A1026),6),3),"-",(RIGHT(RIGHT(CONCATENATE("000",A1026),6),3)))</f>
        <v>214-902</v>
      </c>
      <c r="C1026">
        <v>0</v>
      </c>
      <c r="D1026">
        <f t="shared" si="32"/>
        <v>0</v>
      </c>
    </row>
    <row r="1027" spans="1:4" ht="14.5">
      <c r="A1027" t="s">
        <v>3205</v>
      </c>
      <c r="B1027" s="1683" t="str">
        <f t="shared" si="33"/>
        <v>214-903</v>
      </c>
      <c r="C1027">
        <v>0</v>
      </c>
      <c r="D1027">
        <f t="shared" si="32"/>
        <v>0</v>
      </c>
    </row>
    <row r="1028" spans="1:4" ht="14.5">
      <c r="A1028" t="s">
        <v>5261</v>
      </c>
      <c r="B1028" s="1683" t="str">
        <f t="shared" si="33"/>
        <v>215-901</v>
      </c>
      <c r="C1028">
        <v>0</v>
      </c>
      <c r="D1028">
        <f t="shared" si="32"/>
        <v>0</v>
      </c>
    </row>
    <row r="1029" spans="1:4" ht="14.5">
      <c r="A1029" t="s">
        <v>5262</v>
      </c>
      <c r="B1029" s="1683" t="str">
        <f t="shared" si="33"/>
        <v>216-901</v>
      </c>
      <c r="C1029">
        <v>0</v>
      </c>
      <c r="D1029">
        <f t="shared" si="32"/>
        <v>0</v>
      </c>
    </row>
    <row r="1030" spans="1:4" ht="14.5">
      <c r="A1030" t="s">
        <v>5263</v>
      </c>
      <c r="B1030" s="1683" t="str">
        <f t="shared" si="33"/>
        <v>217-901</v>
      </c>
      <c r="C1030">
        <v>0</v>
      </c>
      <c r="D1030">
        <f t="shared" si="32"/>
        <v>0</v>
      </c>
    </row>
    <row r="1031" spans="1:4" ht="14.5">
      <c r="A1031" t="s">
        <v>5264</v>
      </c>
      <c r="B1031" s="1683" t="str">
        <f t="shared" si="33"/>
        <v>218-901</v>
      </c>
      <c r="C1031">
        <v>0</v>
      </c>
      <c r="D1031">
        <f t="shared" si="32"/>
        <v>0</v>
      </c>
    </row>
    <row r="1032" spans="1:4" ht="14.5">
      <c r="A1032" t="s">
        <v>5883</v>
      </c>
      <c r="B1032" s="1683" t="str">
        <f t="shared" si="33"/>
        <v>219-901</v>
      </c>
      <c r="C1032">
        <v>0</v>
      </c>
      <c r="D1032">
        <f t="shared" si="32"/>
        <v>0</v>
      </c>
    </row>
    <row r="1033" spans="1:4" ht="14.5">
      <c r="A1033" t="s">
        <v>5884</v>
      </c>
      <c r="B1033" s="1683" t="str">
        <f t="shared" si="33"/>
        <v>219-903</v>
      </c>
      <c r="C1033">
        <v>0</v>
      </c>
      <c r="D1033">
        <f t="shared" si="32"/>
        <v>0</v>
      </c>
    </row>
    <row r="1034" spans="1:4" ht="14.5">
      <c r="A1034" t="s">
        <v>5265</v>
      </c>
      <c r="B1034" s="1683" t="str">
        <f t="shared" si="33"/>
        <v>219-905</v>
      </c>
      <c r="C1034">
        <v>0</v>
      </c>
      <c r="D1034">
        <f t="shared" si="32"/>
        <v>0</v>
      </c>
    </row>
    <row r="1035" spans="1:4" ht="14.5">
      <c r="A1035" t="s">
        <v>8074</v>
      </c>
      <c r="B1035" s="1683" t="str">
        <f t="shared" si="33"/>
        <v>220-801</v>
      </c>
      <c r="C1035">
        <v>0</v>
      </c>
      <c r="D1035">
        <f t="shared" si="32"/>
        <v>0</v>
      </c>
    </row>
    <row r="1036" spans="1:4" ht="14.5">
      <c r="A1036" t="s">
        <v>8075</v>
      </c>
      <c r="B1036" s="1683" t="str">
        <f t="shared" si="33"/>
        <v>220-802</v>
      </c>
      <c r="C1036">
        <v>0</v>
      </c>
      <c r="D1036">
        <f t="shared" si="32"/>
        <v>0</v>
      </c>
    </row>
    <row r="1037" spans="1:4" ht="14.5">
      <c r="A1037" t="s">
        <v>8076</v>
      </c>
      <c r="B1037" s="1683" t="str">
        <f t="shared" si="33"/>
        <v>220-809</v>
      </c>
      <c r="C1037">
        <v>0</v>
      </c>
      <c r="D1037">
        <f t="shared" si="32"/>
        <v>0</v>
      </c>
    </row>
    <row r="1038" spans="1:4" ht="14.5">
      <c r="A1038" t="s">
        <v>8077</v>
      </c>
      <c r="B1038" s="1683" t="str">
        <f t="shared" si="33"/>
        <v>220-810</v>
      </c>
      <c r="C1038">
        <v>0</v>
      </c>
      <c r="D1038">
        <f t="shared" si="32"/>
        <v>0</v>
      </c>
    </row>
    <row r="1039" spans="1:4" ht="14.5">
      <c r="A1039" t="s">
        <v>8078</v>
      </c>
      <c r="B1039" s="1683" t="str">
        <f t="shared" si="33"/>
        <v>220-811</v>
      </c>
      <c r="C1039">
        <v>0</v>
      </c>
      <c r="D1039">
        <f t="shared" si="32"/>
        <v>0</v>
      </c>
    </row>
    <row r="1040" spans="1:4" ht="14.5">
      <c r="A1040" t="s">
        <v>8079</v>
      </c>
      <c r="B1040" s="1683" t="str">
        <f t="shared" si="33"/>
        <v>220-814</v>
      </c>
      <c r="C1040">
        <v>0</v>
      </c>
      <c r="D1040">
        <f t="shared" si="32"/>
        <v>0</v>
      </c>
    </row>
    <row r="1041" spans="1:4" ht="14.5">
      <c r="A1041" t="s">
        <v>8080</v>
      </c>
      <c r="B1041" s="1683" t="str">
        <f t="shared" si="33"/>
        <v>220-815</v>
      </c>
      <c r="C1041">
        <v>0</v>
      </c>
      <c r="D1041">
        <f t="shared" si="32"/>
        <v>0</v>
      </c>
    </row>
    <row r="1042" spans="1:4" ht="14.5">
      <c r="A1042" t="s">
        <v>8081</v>
      </c>
      <c r="B1042" s="1683" t="str">
        <f t="shared" si="33"/>
        <v>220-817</v>
      </c>
      <c r="C1042">
        <v>0</v>
      </c>
      <c r="D1042">
        <f t="shared" si="32"/>
        <v>0</v>
      </c>
    </row>
    <row r="1043" spans="1:4" ht="14.5">
      <c r="A1043" t="s">
        <v>8082</v>
      </c>
      <c r="B1043" s="1683" t="str">
        <f t="shared" si="33"/>
        <v>220-819</v>
      </c>
      <c r="C1043">
        <v>0</v>
      </c>
      <c r="D1043">
        <f t="shared" si="32"/>
        <v>0</v>
      </c>
    </row>
    <row r="1044" spans="1:4" ht="14.5">
      <c r="A1044" t="s">
        <v>3206</v>
      </c>
      <c r="B1044" s="1683" t="str">
        <f t="shared" si="33"/>
        <v>220-901</v>
      </c>
      <c r="C1044">
        <v>0</v>
      </c>
      <c r="D1044">
        <f t="shared" si="32"/>
        <v>0</v>
      </c>
    </row>
    <row r="1045" spans="1:4" ht="14.5">
      <c r="A1045" t="s">
        <v>3207</v>
      </c>
      <c r="B1045" s="1683" t="str">
        <f t="shared" si="33"/>
        <v>220-902</v>
      </c>
      <c r="C1045">
        <v>0</v>
      </c>
      <c r="D1045">
        <f t="shared" si="32"/>
        <v>0</v>
      </c>
    </row>
    <row r="1046" spans="1:4" ht="14.5">
      <c r="A1046" t="s">
        <v>3208</v>
      </c>
      <c r="B1046" s="1683" t="str">
        <f t="shared" si="33"/>
        <v>220-904</v>
      </c>
      <c r="C1046">
        <v>0</v>
      </c>
      <c r="D1046">
        <f t="shared" si="32"/>
        <v>0</v>
      </c>
    </row>
    <row r="1047" spans="1:4" ht="14.5">
      <c r="A1047" t="s">
        <v>5266</v>
      </c>
      <c r="B1047" s="1683" t="str">
        <f t="shared" si="33"/>
        <v>220-905</v>
      </c>
      <c r="C1047">
        <v>0</v>
      </c>
      <c r="D1047">
        <f t="shared" si="32"/>
        <v>0</v>
      </c>
    </row>
    <row r="1048" spans="1:4" ht="14.5">
      <c r="A1048" t="s">
        <v>5267</v>
      </c>
      <c r="B1048" s="1683" t="str">
        <f t="shared" si="33"/>
        <v>220-906</v>
      </c>
      <c r="C1048">
        <v>0</v>
      </c>
      <c r="D1048">
        <f t="shared" si="32"/>
        <v>0</v>
      </c>
    </row>
    <row r="1049" spans="1:4" ht="14.5">
      <c r="A1049" t="s">
        <v>3209</v>
      </c>
      <c r="B1049" s="1683" t="str">
        <f t="shared" si="33"/>
        <v>220-907</v>
      </c>
      <c r="C1049">
        <v>0</v>
      </c>
      <c r="D1049">
        <f t="shared" si="32"/>
        <v>0</v>
      </c>
    </row>
    <row r="1050" spans="1:4" ht="14.5">
      <c r="A1050" t="s">
        <v>3210</v>
      </c>
      <c r="B1050" s="1683" t="str">
        <f t="shared" si="33"/>
        <v>220-908</v>
      </c>
      <c r="C1050">
        <v>0</v>
      </c>
      <c r="D1050">
        <f t="shared" si="32"/>
        <v>0</v>
      </c>
    </row>
    <row r="1051" spans="1:4" ht="14.5">
      <c r="A1051" t="s">
        <v>3211</v>
      </c>
      <c r="B1051" s="1683" t="str">
        <f t="shared" si="33"/>
        <v>220-910</v>
      </c>
      <c r="C1051">
        <v>0</v>
      </c>
      <c r="D1051">
        <f t="shared" si="32"/>
        <v>0</v>
      </c>
    </row>
    <row r="1052" spans="1:4" ht="14.5">
      <c r="A1052" t="s">
        <v>3212</v>
      </c>
      <c r="B1052" s="1683" t="str">
        <f t="shared" si="33"/>
        <v>220-912</v>
      </c>
      <c r="C1052">
        <v>0</v>
      </c>
      <c r="D1052">
        <f t="shared" si="32"/>
        <v>0</v>
      </c>
    </row>
    <row r="1053" spans="1:4" ht="14.5">
      <c r="A1053" t="s">
        <v>3213</v>
      </c>
      <c r="B1053" s="1683" t="str">
        <f t="shared" si="33"/>
        <v>220-914</v>
      </c>
      <c r="C1053">
        <v>0</v>
      </c>
      <c r="D1053">
        <f t="shared" si="32"/>
        <v>0</v>
      </c>
    </row>
    <row r="1054" spans="1:4" ht="14.5">
      <c r="A1054" t="s">
        <v>3214</v>
      </c>
      <c r="B1054" s="1683" t="str">
        <f t="shared" si="33"/>
        <v>220-915</v>
      </c>
      <c r="C1054">
        <v>0</v>
      </c>
      <c r="D1054">
        <f t="shared" si="32"/>
        <v>0</v>
      </c>
    </row>
    <row r="1055" spans="1:4" ht="14.5">
      <c r="A1055" t="s">
        <v>3215</v>
      </c>
      <c r="B1055" s="1683" t="str">
        <f t="shared" si="33"/>
        <v>220-916</v>
      </c>
      <c r="C1055">
        <v>0</v>
      </c>
      <c r="D1055">
        <f t="shared" si="32"/>
        <v>0</v>
      </c>
    </row>
    <row r="1056" spans="1:4" ht="14.5">
      <c r="A1056" t="s">
        <v>3216</v>
      </c>
      <c r="B1056" s="1683" t="str">
        <f t="shared" si="33"/>
        <v>220-917</v>
      </c>
      <c r="C1056">
        <v>0</v>
      </c>
      <c r="D1056">
        <f t="shared" si="32"/>
        <v>0</v>
      </c>
    </row>
    <row r="1057" spans="1:4" ht="14.5">
      <c r="A1057" t="s">
        <v>3217</v>
      </c>
      <c r="B1057" s="1683" t="str">
        <f t="shared" si="33"/>
        <v>220-918</v>
      </c>
      <c r="C1057">
        <v>0</v>
      </c>
      <c r="D1057">
        <f t="shared" si="32"/>
        <v>0</v>
      </c>
    </row>
    <row r="1058" spans="1:4" ht="14.5">
      <c r="A1058" t="s">
        <v>4710</v>
      </c>
      <c r="B1058" s="1683" t="str">
        <f t="shared" si="33"/>
        <v>220-919</v>
      </c>
      <c r="C1058">
        <v>0</v>
      </c>
      <c r="D1058">
        <f t="shared" si="32"/>
        <v>0</v>
      </c>
    </row>
    <row r="1059" spans="1:4" ht="14.5">
      <c r="A1059" t="s">
        <v>3218</v>
      </c>
      <c r="B1059" s="1683" t="str">
        <f t="shared" si="33"/>
        <v>220-920</v>
      </c>
      <c r="C1059">
        <v>0</v>
      </c>
      <c r="D1059">
        <f t="shared" si="32"/>
        <v>0</v>
      </c>
    </row>
    <row r="1060" spans="1:4" ht="14.5">
      <c r="A1060" t="s">
        <v>8516</v>
      </c>
      <c r="B1060" s="1683" t="str">
        <f t="shared" si="33"/>
        <v>220-950</v>
      </c>
      <c r="C1060">
        <v>0</v>
      </c>
      <c r="D1060">
        <f t="shared" si="32"/>
        <v>0</v>
      </c>
    </row>
    <row r="1061" spans="1:4" ht="14.5">
      <c r="A1061" t="s">
        <v>8083</v>
      </c>
      <c r="B1061" s="1683" t="str">
        <f t="shared" si="33"/>
        <v>221-801</v>
      </c>
      <c r="C1061">
        <v>0</v>
      </c>
      <c r="D1061">
        <f t="shared" si="32"/>
        <v>0</v>
      </c>
    </row>
    <row r="1062" spans="1:4" ht="14.5">
      <c r="A1062" t="s">
        <v>5268</v>
      </c>
      <c r="B1062" s="1683" t="str">
        <f t="shared" si="33"/>
        <v>221-901</v>
      </c>
      <c r="C1062">
        <v>0</v>
      </c>
      <c r="D1062">
        <f t="shared" si="32"/>
        <v>0</v>
      </c>
    </row>
    <row r="1063" spans="1:4" ht="14.5">
      <c r="A1063" t="s">
        <v>5269</v>
      </c>
      <c r="B1063" s="1683" t="str">
        <f t="shared" si="33"/>
        <v>221-904</v>
      </c>
      <c r="C1063">
        <v>0</v>
      </c>
      <c r="D1063">
        <f t="shared" si="32"/>
        <v>0</v>
      </c>
    </row>
    <row r="1064" spans="1:4" ht="14.5">
      <c r="A1064" t="s">
        <v>5270</v>
      </c>
      <c r="B1064" s="1683" t="str">
        <f t="shared" si="33"/>
        <v>221-905</v>
      </c>
      <c r="C1064">
        <v>0</v>
      </c>
      <c r="D1064">
        <f t="shared" si="32"/>
        <v>0</v>
      </c>
    </row>
    <row r="1065" spans="1:4" ht="14.5">
      <c r="A1065" t="s">
        <v>5271</v>
      </c>
      <c r="B1065" s="1683" t="str">
        <f t="shared" si="33"/>
        <v>221-911</v>
      </c>
      <c r="C1065">
        <v>0</v>
      </c>
      <c r="D1065">
        <f t="shared" si="32"/>
        <v>0</v>
      </c>
    </row>
    <row r="1066" spans="1:4" ht="14.5">
      <c r="A1066" t="s">
        <v>5272</v>
      </c>
      <c r="B1066" s="1683" t="str">
        <f t="shared" si="33"/>
        <v>221-912</v>
      </c>
      <c r="C1066">
        <v>0</v>
      </c>
      <c r="D1066">
        <f t="shared" si="32"/>
        <v>0</v>
      </c>
    </row>
    <row r="1067" spans="1:4" ht="14.5">
      <c r="A1067" t="s">
        <v>8517</v>
      </c>
      <c r="B1067" s="1683" t="str">
        <f t="shared" si="33"/>
        <v>221-950</v>
      </c>
      <c r="C1067">
        <v>0</v>
      </c>
      <c r="D1067">
        <f t="shared" si="32"/>
        <v>0</v>
      </c>
    </row>
    <row r="1068" spans="1:4" ht="14.5">
      <c r="A1068" t="s">
        <v>5273</v>
      </c>
      <c r="B1068" s="1683" t="str">
        <f t="shared" si="33"/>
        <v>222-901</v>
      </c>
      <c r="C1068">
        <v>0</v>
      </c>
      <c r="D1068">
        <f t="shared" si="32"/>
        <v>0</v>
      </c>
    </row>
    <row r="1069" spans="1:4" ht="14.5">
      <c r="A1069" t="s">
        <v>5274</v>
      </c>
      <c r="B1069" s="1683" t="str">
        <f t="shared" si="33"/>
        <v>223-901</v>
      </c>
      <c r="C1069">
        <v>0</v>
      </c>
      <c r="D1069">
        <f t="shared" si="32"/>
        <v>0</v>
      </c>
    </row>
    <row r="1070" spans="1:4" ht="14.5">
      <c r="A1070" t="s">
        <v>3219</v>
      </c>
      <c r="B1070" s="1683" t="str">
        <f t="shared" si="33"/>
        <v>223-902</v>
      </c>
      <c r="C1070">
        <v>0</v>
      </c>
      <c r="D1070">
        <f t="shared" si="32"/>
        <v>0</v>
      </c>
    </row>
    <row r="1071" spans="1:4" ht="14.5">
      <c r="A1071" t="s">
        <v>5275</v>
      </c>
      <c r="B1071" s="1683" t="str">
        <f t="shared" si="33"/>
        <v>223-904</v>
      </c>
      <c r="C1071">
        <v>0</v>
      </c>
      <c r="D1071">
        <f t="shared" si="32"/>
        <v>0</v>
      </c>
    </row>
    <row r="1072" spans="1:4" ht="14.5">
      <c r="A1072" t="s">
        <v>5885</v>
      </c>
      <c r="B1072" s="1683" t="str">
        <f t="shared" si="33"/>
        <v>224-901</v>
      </c>
      <c r="C1072">
        <v>0</v>
      </c>
      <c r="D1072">
        <f t="shared" si="32"/>
        <v>0</v>
      </c>
    </row>
    <row r="1073" spans="1:4" ht="14.5">
      <c r="A1073" t="s">
        <v>5886</v>
      </c>
      <c r="B1073" s="1683" t="str">
        <f t="shared" si="33"/>
        <v>224-902</v>
      </c>
      <c r="C1073">
        <v>0</v>
      </c>
      <c r="D1073">
        <f t="shared" si="32"/>
        <v>0</v>
      </c>
    </row>
    <row r="1074" spans="1:4" ht="14.5">
      <c r="A1074" t="s">
        <v>5276</v>
      </c>
      <c r="B1074" s="1683" t="str">
        <f t="shared" si="33"/>
        <v>225-902</v>
      </c>
      <c r="C1074">
        <v>0</v>
      </c>
      <c r="D1074">
        <f t="shared" si="32"/>
        <v>0</v>
      </c>
    </row>
    <row r="1075" spans="1:4" ht="14.5">
      <c r="A1075" t="s">
        <v>3220</v>
      </c>
      <c r="B1075" s="1683" t="str">
        <f t="shared" si="33"/>
        <v>225-906</v>
      </c>
      <c r="C1075">
        <v>0</v>
      </c>
      <c r="D1075">
        <f t="shared" si="32"/>
        <v>0</v>
      </c>
    </row>
    <row r="1076" spans="1:4" ht="14.5">
      <c r="A1076" t="s">
        <v>5887</v>
      </c>
      <c r="B1076" s="1683" t="str">
        <f t="shared" si="33"/>
        <v>225-907</v>
      </c>
      <c r="C1076">
        <v>0</v>
      </c>
      <c r="D1076">
        <f t="shared" si="32"/>
        <v>0</v>
      </c>
    </row>
    <row r="1077" spans="1:4" ht="14.5">
      <c r="A1077" t="s">
        <v>8518</v>
      </c>
      <c r="B1077" s="1683" t="str">
        <f t="shared" si="33"/>
        <v>225-950</v>
      </c>
      <c r="C1077">
        <v>0</v>
      </c>
      <c r="D1077">
        <f t="shared" si="32"/>
        <v>0</v>
      </c>
    </row>
    <row r="1078" spans="1:4" ht="14.5">
      <c r="A1078" t="s">
        <v>8084</v>
      </c>
      <c r="B1078" s="1683" t="str">
        <f t="shared" si="33"/>
        <v>226-801</v>
      </c>
      <c r="C1078">
        <v>0</v>
      </c>
      <c r="D1078">
        <f t="shared" si="32"/>
        <v>0</v>
      </c>
    </row>
    <row r="1079" spans="1:4" ht="14.5">
      <c r="A1079" t="s">
        <v>5277</v>
      </c>
      <c r="B1079" s="1683" t="str">
        <f t="shared" si="33"/>
        <v>226-901</v>
      </c>
      <c r="C1079">
        <v>0</v>
      </c>
      <c r="D1079">
        <f t="shared" si="32"/>
        <v>0</v>
      </c>
    </row>
    <row r="1080" spans="1:4" ht="14.5">
      <c r="A1080" t="s">
        <v>3221</v>
      </c>
      <c r="B1080" s="1683" t="str">
        <f t="shared" si="33"/>
        <v>226-903</v>
      </c>
      <c r="C1080">
        <v>0</v>
      </c>
      <c r="D1080">
        <f t="shared" si="32"/>
        <v>0</v>
      </c>
    </row>
    <row r="1081" spans="1:4" ht="14.5">
      <c r="A1081" t="s">
        <v>5278</v>
      </c>
      <c r="B1081" s="1683" t="str">
        <f t="shared" si="33"/>
        <v>226-905</v>
      </c>
      <c r="C1081">
        <v>0</v>
      </c>
      <c r="D1081">
        <f t="shared" si="32"/>
        <v>0</v>
      </c>
    </row>
    <row r="1082" spans="1:4" ht="14.5">
      <c r="A1082" t="s">
        <v>3222</v>
      </c>
      <c r="B1082" s="1683" t="str">
        <f t="shared" si="33"/>
        <v>226-906</v>
      </c>
      <c r="C1082">
        <v>0</v>
      </c>
      <c r="D1082">
        <f t="shared" si="32"/>
        <v>0</v>
      </c>
    </row>
    <row r="1083" spans="1:4" ht="14.5">
      <c r="A1083" t="s">
        <v>3223</v>
      </c>
      <c r="B1083" s="1683" t="str">
        <f t="shared" si="33"/>
        <v>226-907</v>
      </c>
      <c r="C1083">
        <v>0</v>
      </c>
      <c r="D1083">
        <f t="shared" si="32"/>
        <v>0</v>
      </c>
    </row>
    <row r="1084" spans="1:4" ht="14.5">
      <c r="A1084" t="s">
        <v>3224</v>
      </c>
      <c r="B1084" s="1683" t="str">
        <f t="shared" si="33"/>
        <v>226-908</v>
      </c>
      <c r="C1084">
        <v>0</v>
      </c>
      <c r="D1084">
        <f t="shared" si="32"/>
        <v>0</v>
      </c>
    </row>
    <row r="1085" spans="1:4" ht="14.5">
      <c r="A1085" t="s">
        <v>8519</v>
      </c>
      <c r="B1085" s="1683" t="str">
        <f t="shared" si="33"/>
        <v>226-950</v>
      </c>
      <c r="C1085">
        <v>0</v>
      </c>
      <c r="D1085">
        <f t="shared" si="32"/>
        <v>0</v>
      </c>
    </row>
    <row r="1086" spans="1:4" ht="14.5">
      <c r="A1086" t="s">
        <v>8085</v>
      </c>
      <c r="B1086" s="1683" t="str">
        <f t="shared" si="33"/>
        <v>227-622</v>
      </c>
      <c r="C1086">
        <v>0</v>
      </c>
      <c r="D1086">
        <f t="shared" ref="D1086:D1149" si="34">C1086*-1</f>
        <v>0</v>
      </c>
    </row>
    <row r="1087" spans="1:4" ht="14.5">
      <c r="A1087" t="s">
        <v>8087</v>
      </c>
      <c r="B1087" s="1683" t="str">
        <f t="shared" si="33"/>
        <v>227-803</v>
      </c>
      <c r="C1087">
        <v>0</v>
      </c>
      <c r="D1087">
        <f t="shared" si="34"/>
        <v>0</v>
      </c>
    </row>
    <row r="1088" spans="1:4" ht="14.5">
      <c r="A1088" t="s">
        <v>8088</v>
      </c>
      <c r="B1088" s="1683" t="str">
        <f t="shared" si="33"/>
        <v>227-804</v>
      </c>
      <c r="C1088">
        <v>0</v>
      </c>
      <c r="D1088">
        <f t="shared" si="34"/>
        <v>0</v>
      </c>
    </row>
    <row r="1089" spans="1:4" ht="14.5">
      <c r="A1089" t="s">
        <v>8089</v>
      </c>
      <c r="B1089" s="1683" t="str">
        <f t="shared" si="33"/>
        <v>227-805</v>
      </c>
      <c r="C1089">
        <v>0</v>
      </c>
      <c r="D1089">
        <f t="shared" si="34"/>
        <v>0</v>
      </c>
    </row>
    <row r="1090" spans="1:4" ht="14.5">
      <c r="A1090" t="s">
        <v>8090</v>
      </c>
      <c r="B1090" s="1683" t="str">
        <f t="shared" ref="B1090:B1153" si="35">CONCATENATE(LEFT(RIGHT(CONCATENATE("000",A1090),6),3),"-",(RIGHT(RIGHT(CONCATENATE("000",A1090),6),3)))</f>
        <v>227-806</v>
      </c>
      <c r="C1090">
        <v>0</v>
      </c>
      <c r="D1090">
        <f t="shared" si="34"/>
        <v>0</v>
      </c>
    </row>
    <row r="1091" spans="1:4" ht="14.5">
      <c r="A1091" t="s">
        <v>8091</v>
      </c>
      <c r="B1091" s="1683" t="str">
        <f t="shared" si="35"/>
        <v>227-814</v>
      </c>
      <c r="C1091">
        <v>0</v>
      </c>
      <c r="D1091">
        <f t="shared" si="34"/>
        <v>0</v>
      </c>
    </row>
    <row r="1092" spans="1:4" ht="14.5">
      <c r="A1092" t="s">
        <v>8092</v>
      </c>
      <c r="B1092" s="1683" t="str">
        <f t="shared" si="35"/>
        <v>227-816</v>
      </c>
      <c r="C1092">
        <v>0</v>
      </c>
      <c r="D1092">
        <f t="shared" si="34"/>
        <v>0</v>
      </c>
    </row>
    <row r="1093" spans="1:4" ht="14.5">
      <c r="A1093" t="s">
        <v>8093</v>
      </c>
      <c r="B1093" s="1683" t="str">
        <f t="shared" si="35"/>
        <v>227-817</v>
      </c>
      <c r="C1093">
        <v>0</v>
      </c>
      <c r="D1093">
        <f t="shared" si="34"/>
        <v>0</v>
      </c>
    </row>
    <row r="1094" spans="1:4" ht="14.5">
      <c r="A1094" t="s">
        <v>8094</v>
      </c>
      <c r="B1094" s="1683" t="str">
        <f t="shared" si="35"/>
        <v>227-819</v>
      </c>
      <c r="C1094">
        <v>0</v>
      </c>
      <c r="D1094">
        <f t="shared" si="34"/>
        <v>0</v>
      </c>
    </row>
    <row r="1095" spans="1:4" ht="14.5">
      <c r="A1095" t="s">
        <v>8095</v>
      </c>
      <c r="B1095" s="1683" t="str">
        <f t="shared" si="35"/>
        <v>227-820</v>
      </c>
      <c r="C1095">
        <v>0</v>
      </c>
      <c r="D1095">
        <f t="shared" si="34"/>
        <v>0</v>
      </c>
    </row>
    <row r="1096" spans="1:4" ht="14.5">
      <c r="A1096" t="s">
        <v>8096</v>
      </c>
      <c r="B1096" s="1683" t="str">
        <f t="shared" si="35"/>
        <v>227-821</v>
      </c>
      <c r="C1096">
        <v>0</v>
      </c>
      <c r="D1096">
        <f t="shared" si="34"/>
        <v>0</v>
      </c>
    </row>
    <row r="1097" spans="1:4" ht="14.5">
      <c r="A1097" t="s">
        <v>8097</v>
      </c>
      <c r="B1097" s="1683" t="str">
        <f t="shared" si="35"/>
        <v>227-824</v>
      </c>
      <c r="C1097">
        <v>0</v>
      </c>
      <c r="D1097">
        <f t="shared" si="34"/>
        <v>0</v>
      </c>
    </row>
    <row r="1098" spans="1:4" ht="14.5">
      <c r="A1098" t="s">
        <v>8098</v>
      </c>
      <c r="B1098" s="1683" t="str">
        <f t="shared" si="35"/>
        <v>227-825</v>
      </c>
      <c r="C1098">
        <v>0</v>
      </c>
      <c r="D1098">
        <f t="shared" si="34"/>
        <v>0</v>
      </c>
    </row>
    <row r="1099" spans="1:4" ht="14.5">
      <c r="A1099" t="s">
        <v>8099</v>
      </c>
      <c r="B1099" s="1683" t="str">
        <f t="shared" si="35"/>
        <v>227-826</v>
      </c>
      <c r="C1099">
        <v>0</v>
      </c>
      <c r="D1099">
        <f t="shared" si="34"/>
        <v>0</v>
      </c>
    </row>
    <row r="1100" spans="1:4" ht="14.5">
      <c r="A1100" t="s">
        <v>8100</v>
      </c>
      <c r="B1100" s="1683" t="str">
        <f t="shared" si="35"/>
        <v>227-827</v>
      </c>
      <c r="C1100">
        <v>0</v>
      </c>
      <c r="D1100">
        <f t="shared" si="34"/>
        <v>0</v>
      </c>
    </row>
    <row r="1101" spans="1:4" ht="14.5">
      <c r="A1101" t="s">
        <v>8101</v>
      </c>
      <c r="B1101" s="1683" t="str">
        <f t="shared" si="35"/>
        <v>227-828</v>
      </c>
      <c r="C1101">
        <v>0</v>
      </c>
      <c r="D1101">
        <f t="shared" si="34"/>
        <v>0</v>
      </c>
    </row>
    <row r="1102" spans="1:4" ht="14.5">
      <c r="A1102" t="s">
        <v>8102</v>
      </c>
      <c r="B1102" s="1683" t="str">
        <f t="shared" si="35"/>
        <v>227-829</v>
      </c>
      <c r="C1102">
        <v>0</v>
      </c>
      <c r="D1102">
        <f t="shared" si="34"/>
        <v>0</v>
      </c>
    </row>
    <row r="1103" spans="1:4" ht="14.5">
      <c r="A1103" t="s">
        <v>5279</v>
      </c>
      <c r="B1103" s="1683" t="str">
        <f t="shared" si="35"/>
        <v>227-901</v>
      </c>
      <c r="C1103">
        <v>0</v>
      </c>
      <c r="D1103">
        <f t="shared" si="34"/>
        <v>0</v>
      </c>
    </row>
    <row r="1104" spans="1:4" ht="14.5">
      <c r="A1104" t="s">
        <v>3225</v>
      </c>
      <c r="B1104" s="1683" t="str">
        <f t="shared" si="35"/>
        <v>227-904</v>
      </c>
      <c r="C1104">
        <v>0</v>
      </c>
      <c r="D1104">
        <f t="shared" si="34"/>
        <v>0</v>
      </c>
    </row>
    <row r="1105" spans="1:4" ht="14.5">
      <c r="A1105" t="s">
        <v>8103</v>
      </c>
      <c r="B1105" s="1683" t="str">
        <f t="shared" si="35"/>
        <v>227-905</v>
      </c>
      <c r="C1105">
        <v>0</v>
      </c>
      <c r="D1105">
        <f t="shared" si="34"/>
        <v>0</v>
      </c>
    </row>
    <row r="1106" spans="1:4" ht="14.5">
      <c r="A1106" t="s">
        <v>8105</v>
      </c>
      <c r="B1106" s="1683" t="str">
        <f t="shared" si="35"/>
        <v>227-906</v>
      </c>
      <c r="C1106">
        <v>0</v>
      </c>
      <c r="D1106">
        <f t="shared" si="34"/>
        <v>0</v>
      </c>
    </row>
    <row r="1107" spans="1:4" ht="14.5">
      <c r="A1107" t="s">
        <v>5280</v>
      </c>
      <c r="B1107" s="1683" t="str">
        <f t="shared" si="35"/>
        <v>227-907</v>
      </c>
      <c r="C1107">
        <v>0</v>
      </c>
      <c r="D1107">
        <f t="shared" si="34"/>
        <v>0</v>
      </c>
    </row>
    <row r="1108" spans="1:4" ht="14.5">
      <c r="A1108" t="s">
        <v>5281</v>
      </c>
      <c r="B1108" s="1683" t="str">
        <f t="shared" si="35"/>
        <v>227-909</v>
      </c>
      <c r="C1108">
        <v>0</v>
      </c>
      <c r="D1108">
        <f t="shared" si="34"/>
        <v>0</v>
      </c>
    </row>
    <row r="1109" spans="1:4" ht="14.5">
      <c r="A1109" t="s">
        <v>3226</v>
      </c>
      <c r="B1109" s="1683" t="str">
        <f t="shared" si="35"/>
        <v>227-910</v>
      </c>
      <c r="C1109">
        <v>0</v>
      </c>
      <c r="D1109">
        <f t="shared" si="34"/>
        <v>0</v>
      </c>
    </row>
    <row r="1110" spans="1:4" ht="14.5">
      <c r="A1110" t="s">
        <v>5282</v>
      </c>
      <c r="B1110" s="1683" t="str">
        <f t="shared" si="35"/>
        <v>227-912</v>
      </c>
      <c r="C1110">
        <v>0</v>
      </c>
      <c r="D1110">
        <f t="shared" si="34"/>
        <v>0</v>
      </c>
    </row>
    <row r="1111" spans="1:4" ht="14.5">
      <c r="A1111" t="s">
        <v>5283</v>
      </c>
      <c r="B1111" s="1683" t="str">
        <f t="shared" si="35"/>
        <v>227-913</v>
      </c>
      <c r="C1111">
        <v>0</v>
      </c>
      <c r="D1111">
        <f t="shared" si="34"/>
        <v>0</v>
      </c>
    </row>
    <row r="1112" spans="1:4" ht="14.5">
      <c r="A1112" t="s">
        <v>8520</v>
      </c>
      <c r="B1112" s="1683" t="str">
        <f t="shared" si="35"/>
        <v>227-950</v>
      </c>
      <c r="C1112">
        <v>0</v>
      </c>
      <c r="D1112">
        <f t="shared" si="34"/>
        <v>0</v>
      </c>
    </row>
    <row r="1113" spans="1:4" ht="14.5">
      <c r="A1113" t="s">
        <v>5888</v>
      </c>
      <c r="B1113" s="1683" t="str">
        <f t="shared" si="35"/>
        <v>228-901</v>
      </c>
      <c r="C1113">
        <v>0</v>
      </c>
      <c r="D1113">
        <f t="shared" si="34"/>
        <v>0</v>
      </c>
    </row>
    <row r="1114" spans="1:4" ht="14.5">
      <c r="A1114" t="s">
        <v>5284</v>
      </c>
      <c r="B1114" s="1683" t="str">
        <f t="shared" si="35"/>
        <v>228-903</v>
      </c>
      <c r="C1114">
        <v>0</v>
      </c>
      <c r="D1114">
        <f t="shared" si="34"/>
        <v>0</v>
      </c>
    </row>
    <row r="1115" spans="1:4" ht="14.5">
      <c r="A1115" t="s">
        <v>5889</v>
      </c>
      <c r="B1115" s="1683" t="str">
        <f t="shared" si="35"/>
        <v>228-904</v>
      </c>
      <c r="C1115">
        <v>0</v>
      </c>
      <c r="D1115">
        <f t="shared" si="34"/>
        <v>0</v>
      </c>
    </row>
    <row r="1116" spans="1:4" ht="14.5">
      <c r="A1116" t="s">
        <v>5890</v>
      </c>
      <c r="B1116" s="1683" t="str">
        <f t="shared" si="35"/>
        <v>228-905</v>
      </c>
      <c r="C1116">
        <v>0</v>
      </c>
      <c r="D1116">
        <f t="shared" si="34"/>
        <v>0</v>
      </c>
    </row>
    <row r="1117" spans="1:4" ht="14.5">
      <c r="A1117" t="s">
        <v>4736</v>
      </c>
      <c r="B1117" s="1683" t="str">
        <f t="shared" si="35"/>
        <v>229-901</v>
      </c>
      <c r="C1117">
        <v>0</v>
      </c>
      <c r="D1117">
        <f t="shared" si="34"/>
        <v>0</v>
      </c>
    </row>
    <row r="1118" spans="1:4" ht="14.5">
      <c r="A1118" t="s">
        <v>5285</v>
      </c>
      <c r="B1118" s="1683" t="str">
        <f t="shared" si="35"/>
        <v>229-903</v>
      </c>
      <c r="C1118">
        <v>-0.115</v>
      </c>
      <c r="D1118">
        <f t="shared" si="34"/>
        <v>0.115</v>
      </c>
    </row>
    <row r="1119" spans="1:4" ht="14.5">
      <c r="A1119" t="s">
        <v>3227</v>
      </c>
      <c r="B1119" s="1683" t="str">
        <f t="shared" si="35"/>
        <v>229-904</v>
      </c>
      <c r="C1119">
        <v>0</v>
      </c>
      <c r="D1119">
        <f t="shared" si="34"/>
        <v>0</v>
      </c>
    </row>
    <row r="1120" spans="1:4" ht="14.5">
      <c r="A1120" t="s">
        <v>3228</v>
      </c>
      <c r="B1120" s="1683" t="str">
        <f t="shared" si="35"/>
        <v>229-905</v>
      </c>
      <c r="C1120">
        <v>0</v>
      </c>
      <c r="D1120">
        <f t="shared" si="34"/>
        <v>0</v>
      </c>
    </row>
    <row r="1121" spans="1:4" ht="14.5">
      <c r="A1121" t="s">
        <v>3229</v>
      </c>
      <c r="B1121" s="1683" t="str">
        <f t="shared" si="35"/>
        <v>229-906</v>
      </c>
      <c r="C1121">
        <v>0</v>
      </c>
      <c r="D1121">
        <f t="shared" si="34"/>
        <v>0</v>
      </c>
    </row>
    <row r="1122" spans="1:4" ht="14.5">
      <c r="A1122" t="s">
        <v>5286</v>
      </c>
      <c r="B1122" s="1683" t="str">
        <f t="shared" si="35"/>
        <v>230-901</v>
      </c>
      <c r="C1122">
        <v>0</v>
      </c>
      <c r="D1122">
        <f t="shared" si="34"/>
        <v>0</v>
      </c>
    </row>
    <row r="1123" spans="1:4" ht="14.5">
      <c r="A1123" t="s">
        <v>5287</v>
      </c>
      <c r="B1123" s="1683" t="str">
        <f t="shared" si="35"/>
        <v>230-902</v>
      </c>
      <c r="C1123">
        <v>0</v>
      </c>
      <c r="D1123">
        <f t="shared" si="34"/>
        <v>0</v>
      </c>
    </row>
    <row r="1124" spans="1:4" ht="14.5">
      <c r="A1124" t="s">
        <v>3230</v>
      </c>
      <c r="B1124" s="1683" t="str">
        <f t="shared" si="35"/>
        <v>230-903</v>
      </c>
      <c r="C1124">
        <v>0</v>
      </c>
      <c r="D1124">
        <f t="shared" si="34"/>
        <v>0</v>
      </c>
    </row>
    <row r="1125" spans="1:4" ht="14.5">
      <c r="A1125" t="s">
        <v>5891</v>
      </c>
      <c r="B1125" s="1683" t="str">
        <f t="shared" si="35"/>
        <v>230-904</v>
      </c>
      <c r="C1125">
        <v>0</v>
      </c>
      <c r="D1125">
        <f t="shared" si="34"/>
        <v>0</v>
      </c>
    </row>
    <row r="1126" spans="1:4" ht="14.5">
      <c r="A1126" t="s">
        <v>3231</v>
      </c>
      <c r="B1126" s="1683" t="str">
        <f t="shared" si="35"/>
        <v>230-905</v>
      </c>
      <c r="C1126">
        <v>0</v>
      </c>
      <c r="D1126">
        <f t="shared" si="34"/>
        <v>0</v>
      </c>
    </row>
    <row r="1127" spans="1:4" ht="14.5">
      <c r="A1127" t="s">
        <v>3232</v>
      </c>
      <c r="B1127" s="1683" t="str">
        <f t="shared" si="35"/>
        <v>230-906</v>
      </c>
      <c r="C1127">
        <v>0</v>
      </c>
      <c r="D1127">
        <f t="shared" si="34"/>
        <v>0</v>
      </c>
    </row>
    <row r="1128" spans="1:4" ht="14.5">
      <c r="A1128" t="s">
        <v>5288</v>
      </c>
      <c r="B1128" s="1683" t="str">
        <f t="shared" si="35"/>
        <v>230-908</v>
      </c>
      <c r="C1128">
        <v>0</v>
      </c>
      <c r="D1128">
        <f t="shared" si="34"/>
        <v>0</v>
      </c>
    </row>
    <row r="1129" spans="1:4" ht="14.5">
      <c r="A1129" t="s">
        <v>5892</v>
      </c>
      <c r="B1129" s="1683" t="str">
        <f t="shared" si="35"/>
        <v>231-901</v>
      </c>
      <c r="C1129">
        <v>0</v>
      </c>
      <c r="D1129">
        <f t="shared" si="34"/>
        <v>0</v>
      </c>
    </row>
    <row r="1130" spans="1:4" ht="14.5">
      <c r="A1130" t="s">
        <v>5289</v>
      </c>
      <c r="B1130" s="1683" t="str">
        <f t="shared" si="35"/>
        <v>231-902</v>
      </c>
      <c r="C1130">
        <v>0</v>
      </c>
      <c r="D1130">
        <f t="shared" si="34"/>
        <v>0</v>
      </c>
    </row>
    <row r="1131" spans="1:4" ht="14.5">
      <c r="A1131" t="s">
        <v>3233</v>
      </c>
      <c r="B1131" s="1683" t="str">
        <f t="shared" si="35"/>
        <v>232-901</v>
      </c>
      <c r="C1131">
        <v>0</v>
      </c>
      <c r="D1131">
        <f t="shared" si="34"/>
        <v>0</v>
      </c>
    </row>
    <row r="1132" spans="1:4" ht="14.5">
      <c r="A1132" t="s">
        <v>3234</v>
      </c>
      <c r="B1132" s="1683" t="str">
        <f t="shared" si="35"/>
        <v>232-902</v>
      </c>
      <c r="C1132">
        <v>0</v>
      </c>
      <c r="D1132">
        <f t="shared" si="34"/>
        <v>0</v>
      </c>
    </row>
    <row r="1133" spans="1:4" ht="14.5">
      <c r="A1133" t="s">
        <v>3235</v>
      </c>
      <c r="B1133" s="1683" t="str">
        <f t="shared" si="35"/>
        <v>232-903</v>
      </c>
      <c r="C1133">
        <v>0</v>
      </c>
      <c r="D1133">
        <f t="shared" si="34"/>
        <v>0</v>
      </c>
    </row>
    <row r="1134" spans="1:4" ht="14.5">
      <c r="A1134" t="s">
        <v>5893</v>
      </c>
      <c r="B1134" s="1683" t="str">
        <f t="shared" si="35"/>
        <v>232-904</v>
      </c>
      <c r="C1134">
        <v>0</v>
      </c>
      <c r="D1134">
        <f t="shared" si="34"/>
        <v>0</v>
      </c>
    </row>
    <row r="1135" spans="1:4" ht="14.5">
      <c r="A1135" t="s">
        <v>3236</v>
      </c>
      <c r="B1135" s="1683" t="str">
        <f t="shared" si="35"/>
        <v>233-901</v>
      </c>
      <c r="C1135">
        <v>0</v>
      </c>
      <c r="D1135">
        <f t="shared" si="34"/>
        <v>0</v>
      </c>
    </row>
    <row r="1136" spans="1:4" ht="14.5">
      <c r="A1136" t="s">
        <v>5290</v>
      </c>
      <c r="B1136" s="1683" t="str">
        <f t="shared" si="35"/>
        <v>233-903</v>
      </c>
      <c r="C1136">
        <v>0</v>
      </c>
      <c r="D1136">
        <f t="shared" si="34"/>
        <v>0</v>
      </c>
    </row>
    <row r="1137" spans="1:4" ht="14.5">
      <c r="A1137" t="s">
        <v>8107</v>
      </c>
      <c r="B1137" s="1683" t="str">
        <f t="shared" si="35"/>
        <v>234-801</v>
      </c>
      <c r="C1137">
        <v>0</v>
      </c>
      <c r="D1137">
        <f t="shared" si="34"/>
        <v>0</v>
      </c>
    </row>
    <row r="1138" spans="1:4" ht="14.5">
      <c r="A1138" t="s">
        <v>3237</v>
      </c>
      <c r="B1138" s="1683" t="str">
        <f t="shared" si="35"/>
        <v>234-902</v>
      </c>
      <c r="C1138">
        <v>0</v>
      </c>
      <c r="D1138">
        <f t="shared" si="34"/>
        <v>0</v>
      </c>
    </row>
    <row r="1139" spans="1:4" ht="14.5">
      <c r="A1139" t="s">
        <v>5291</v>
      </c>
      <c r="B1139" s="1683" t="str">
        <f t="shared" si="35"/>
        <v>234-903</v>
      </c>
      <c r="C1139">
        <v>0</v>
      </c>
      <c r="D1139">
        <f t="shared" si="34"/>
        <v>0</v>
      </c>
    </row>
    <row r="1140" spans="1:4" ht="14.5">
      <c r="A1140" t="s">
        <v>3238</v>
      </c>
      <c r="B1140" s="1683" t="str">
        <f t="shared" si="35"/>
        <v>234-904</v>
      </c>
      <c r="C1140">
        <v>0</v>
      </c>
      <c r="D1140">
        <f t="shared" si="34"/>
        <v>0</v>
      </c>
    </row>
    <row r="1141" spans="1:4" ht="14.5">
      <c r="A1141" t="s">
        <v>3239</v>
      </c>
      <c r="B1141" s="1683" t="str">
        <f t="shared" si="35"/>
        <v>234-905</v>
      </c>
      <c r="C1141">
        <v>0</v>
      </c>
      <c r="D1141">
        <f t="shared" si="34"/>
        <v>0</v>
      </c>
    </row>
    <row r="1142" spans="1:4" ht="14.5">
      <c r="A1142" t="s">
        <v>3240</v>
      </c>
      <c r="B1142" s="1683" t="str">
        <f t="shared" si="35"/>
        <v>234-906</v>
      </c>
      <c r="C1142">
        <v>0</v>
      </c>
      <c r="D1142">
        <f t="shared" si="34"/>
        <v>0</v>
      </c>
    </row>
    <row r="1143" spans="1:4" ht="14.5">
      <c r="A1143" t="s">
        <v>5292</v>
      </c>
      <c r="B1143" s="1683" t="str">
        <f t="shared" si="35"/>
        <v>234-907</v>
      </c>
      <c r="C1143">
        <v>0</v>
      </c>
      <c r="D1143">
        <f t="shared" si="34"/>
        <v>0</v>
      </c>
    </row>
    <row r="1144" spans="1:4" ht="14.5">
      <c r="A1144" t="s">
        <v>3241</v>
      </c>
      <c r="B1144" s="1683" t="str">
        <f t="shared" si="35"/>
        <v>234-909</v>
      </c>
      <c r="C1144">
        <v>0</v>
      </c>
      <c r="D1144">
        <f t="shared" si="34"/>
        <v>0</v>
      </c>
    </row>
    <row r="1145" spans="1:4" ht="14.5">
      <c r="A1145" t="s">
        <v>3242</v>
      </c>
      <c r="B1145" s="1683" t="str">
        <f t="shared" si="35"/>
        <v>235-901</v>
      </c>
      <c r="C1145">
        <v>0</v>
      </c>
      <c r="D1145">
        <f t="shared" si="34"/>
        <v>0</v>
      </c>
    </row>
    <row r="1146" spans="1:4" ht="14.5">
      <c r="A1146" t="s">
        <v>3243</v>
      </c>
      <c r="B1146" s="1683" t="str">
        <f t="shared" si="35"/>
        <v>235-902</v>
      </c>
      <c r="C1146">
        <v>-0.11</v>
      </c>
      <c r="D1146">
        <f t="shared" si="34"/>
        <v>0.11</v>
      </c>
    </row>
    <row r="1147" spans="1:4" ht="14.5">
      <c r="A1147" t="s">
        <v>5293</v>
      </c>
      <c r="B1147" s="1683" t="str">
        <f t="shared" si="35"/>
        <v>235-904</v>
      </c>
      <c r="C1147">
        <v>0</v>
      </c>
      <c r="D1147">
        <f t="shared" si="34"/>
        <v>0</v>
      </c>
    </row>
    <row r="1148" spans="1:4" ht="14.5">
      <c r="A1148" t="s">
        <v>8521</v>
      </c>
      <c r="B1148" s="1683" t="str">
        <f t="shared" si="35"/>
        <v>235-950</v>
      </c>
      <c r="C1148">
        <v>0</v>
      </c>
      <c r="D1148">
        <f t="shared" si="34"/>
        <v>0</v>
      </c>
    </row>
    <row r="1149" spans="1:4" ht="14.5">
      <c r="A1149" t="s">
        <v>8108</v>
      </c>
      <c r="B1149" s="1683" t="str">
        <f t="shared" si="35"/>
        <v>236-801</v>
      </c>
      <c r="C1149">
        <v>0</v>
      </c>
      <c r="D1149">
        <f t="shared" si="34"/>
        <v>0</v>
      </c>
    </row>
    <row r="1150" spans="1:4" ht="14.5">
      <c r="A1150" t="s">
        <v>8109</v>
      </c>
      <c r="B1150" s="1683" t="str">
        <f t="shared" si="35"/>
        <v>236-802</v>
      </c>
      <c r="C1150">
        <v>0</v>
      </c>
      <c r="D1150">
        <f t="shared" ref="D1150:D1213" si="36">C1150*-1</f>
        <v>0</v>
      </c>
    </row>
    <row r="1151" spans="1:4" ht="14.5">
      <c r="A1151" t="s">
        <v>3244</v>
      </c>
      <c r="B1151" s="1683" t="str">
        <f t="shared" si="35"/>
        <v>236-901</v>
      </c>
      <c r="C1151">
        <v>0</v>
      </c>
      <c r="D1151">
        <f t="shared" si="36"/>
        <v>0</v>
      </c>
    </row>
    <row r="1152" spans="1:4" ht="14.5">
      <c r="A1152" t="s">
        <v>3245</v>
      </c>
      <c r="B1152" s="1683" t="str">
        <f t="shared" si="35"/>
        <v>236-902</v>
      </c>
      <c r="C1152">
        <v>0</v>
      </c>
      <c r="D1152">
        <f t="shared" si="36"/>
        <v>0</v>
      </c>
    </row>
    <row r="1153" spans="1:4" ht="14.5">
      <c r="A1153" t="s">
        <v>8110</v>
      </c>
      <c r="B1153" s="1683" t="str">
        <f t="shared" si="35"/>
        <v>236-903</v>
      </c>
      <c r="C1153">
        <v>0</v>
      </c>
      <c r="D1153">
        <f t="shared" si="36"/>
        <v>0</v>
      </c>
    </row>
    <row r="1154" spans="1:4" ht="14.5">
      <c r="A1154" t="s">
        <v>8522</v>
      </c>
      <c r="B1154" s="1683" t="str">
        <f t="shared" ref="B1154:B1217" si="37">CONCATENATE(LEFT(RIGHT(CONCATENATE("000",A1154),6),3),"-",(RIGHT(RIGHT(CONCATENATE("000",A1154),6),3)))</f>
        <v>236-950</v>
      </c>
      <c r="C1154">
        <v>0</v>
      </c>
      <c r="D1154">
        <f t="shared" si="36"/>
        <v>0</v>
      </c>
    </row>
    <row r="1155" spans="1:4" ht="14.5">
      <c r="A1155" t="s">
        <v>3246</v>
      </c>
      <c r="B1155" s="1683" t="str">
        <f t="shared" si="37"/>
        <v>237-902</v>
      </c>
      <c r="C1155">
        <v>0</v>
      </c>
      <c r="D1155">
        <f t="shared" si="36"/>
        <v>0</v>
      </c>
    </row>
    <row r="1156" spans="1:4" ht="14.5">
      <c r="A1156" t="s">
        <v>3247</v>
      </c>
      <c r="B1156" s="1683" t="str">
        <f t="shared" si="37"/>
        <v>237-904</v>
      </c>
      <c r="C1156">
        <v>0</v>
      </c>
      <c r="D1156">
        <f t="shared" si="36"/>
        <v>0</v>
      </c>
    </row>
    <row r="1157" spans="1:4" ht="14.5">
      <c r="A1157" t="s">
        <v>3248</v>
      </c>
      <c r="B1157" s="1683" t="str">
        <f t="shared" si="37"/>
        <v>237-905</v>
      </c>
      <c r="C1157">
        <v>0</v>
      </c>
      <c r="D1157">
        <f t="shared" si="36"/>
        <v>0</v>
      </c>
    </row>
    <row r="1158" spans="1:4" ht="14.5">
      <c r="A1158" t="s">
        <v>5294</v>
      </c>
      <c r="B1158" s="1683" t="str">
        <f t="shared" si="37"/>
        <v>238-902</v>
      </c>
      <c r="C1158">
        <v>0</v>
      </c>
      <c r="D1158">
        <f t="shared" si="36"/>
        <v>0</v>
      </c>
    </row>
    <row r="1159" spans="1:4" ht="14.5">
      <c r="A1159" t="s">
        <v>5894</v>
      </c>
      <c r="B1159" s="1683" t="str">
        <f t="shared" si="37"/>
        <v>238-904</v>
      </c>
      <c r="C1159">
        <v>0</v>
      </c>
      <c r="D1159">
        <f t="shared" si="36"/>
        <v>0</v>
      </c>
    </row>
    <row r="1160" spans="1:4" ht="14.5">
      <c r="A1160" t="s">
        <v>5295</v>
      </c>
      <c r="B1160" s="1683" t="str">
        <f t="shared" si="37"/>
        <v>239-901</v>
      </c>
      <c r="C1160">
        <v>0</v>
      </c>
      <c r="D1160">
        <f t="shared" si="36"/>
        <v>0</v>
      </c>
    </row>
    <row r="1161" spans="1:4" ht="14.5">
      <c r="A1161" t="s">
        <v>5296</v>
      </c>
      <c r="B1161" s="1683" t="str">
        <f t="shared" si="37"/>
        <v>239-903</v>
      </c>
      <c r="C1161">
        <v>0</v>
      </c>
      <c r="D1161">
        <f t="shared" si="36"/>
        <v>0</v>
      </c>
    </row>
    <row r="1162" spans="1:4" ht="14.5">
      <c r="A1162" t="s">
        <v>8112</v>
      </c>
      <c r="B1162" s="1683" t="str">
        <f t="shared" si="37"/>
        <v>240-503</v>
      </c>
      <c r="C1162">
        <v>0</v>
      </c>
      <c r="D1162">
        <f t="shared" si="36"/>
        <v>0</v>
      </c>
    </row>
    <row r="1163" spans="1:4" ht="14.5">
      <c r="A1163" t="s">
        <v>8114</v>
      </c>
      <c r="B1163" s="1683" t="str">
        <f t="shared" si="37"/>
        <v>240-801</v>
      </c>
      <c r="C1163">
        <v>0</v>
      </c>
      <c r="D1163">
        <f t="shared" si="36"/>
        <v>0</v>
      </c>
    </row>
    <row r="1164" spans="1:4" ht="14.5">
      <c r="A1164" t="s">
        <v>3249</v>
      </c>
      <c r="B1164" s="1683" t="str">
        <f t="shared" si="37"/>
        <v>240-901</v>
      </c>
      <c r="C1164">
        <v>0</v>
      </c>
      <c r="D1164">
        <f t="shared" si="36"/>
        <v>0</v>
      </c>
    </row>
    <row r="1165" spans="1:4" ht="14.5">
      <c r="A1165" t="s">
        <v>3250</v>
      </c>
      <c r="B1165" s="1683" t="str">
        <f t="shared" si="37"/>
        <v>240-903</v>
      </c>
      <c r="C1165">
        <v>0</v>
      </c>
      <c r="D1165">
        <f t="shared" si="36"/>
        <v>0</v>
      </c>
    </row>
    <row r="1166" spans="1:4" ht="14.5">
      <c r="A1166" t="s">
        <v>5297</v>
      </c>
      <c r="B1166" s="1683" t="str">
        <f t="shared" si="37"/>
        <v>240-904</v>
      </c>
      <c r="C1166">
        <v>0</v>
      </c>
      <c r="D1166">
        <f t="shared" si="36"/>
        <v>0</v>
      </c>
    </row>
    <row r="1167" spans="1:4" ht="14.5">
      <c r="A1167" t="s">
        <v>5895</v>
      </c>
      <c r="B1167" s="1683" t="str">
        <f t="shared" si="37"/>
        <v>241-901</v>
      </c>
      <c r="C1167">
        <v>0</v>
      </c>
      <c r="D1167">
        <f t="shared" si="36"/>
        <v>0</v>
      </c>
    </row>
    <row r="1168" spans="1:4" ht="14.5">
      <c r="A1168" t="s">
        <v>5298</v>
      </c>
      <c r="B1168" s="1683" t="str">
        <f t="shared" si="37"/>
        <v>241-902</v>
      </c>
      <c r="C1168">
        <v>0</v>
      </c>
      <c r="D1168">
        <f t="shared" si="36"/>
        <v>0</v>
      </c>
    </row>
    <row r="1169" spans="1:4" ht="14.5">
      <c r="A1169" t="s">
        <v>5299</v>
      </c>
      <c r="B1169" s="1683" t="str">
        <f t="shared" si="37"/>
        <v>241-903</v>
      </c>
      <c r="C1169">
        <v>0</v>
      </c>
      <c r="D1169">
        <f t="shared" si="36"/>
        <v>0</v>
      </c>
    </row>
    <row r="1170" spans="1:4" ht="14.5">
      <c r="A1170" t="s">
        <v>5300</v>
      </c>
      <c r="B1170" s="1683" t="str">
        <f t="shared" si="37"/>
        <v>241-904</v>
      </c>
      <c r="C1170">
        <v>0</v>
      </c>
      <c r="D1170">
        <f t="shared" si="36"/>
        <v>0</v>
      </c>
    </row>
    <row r="1171" spans="1:4" ht="14.5">
      <c r="A1171" t="s">
        <v>5301</v>
      </c>
      <c r="B1171" s="1683" t="str">
        <f t="shared" si="37"/>
        <v>241-906</v>
      </c>
      <c r="C1171">
        <v>0</v>
      </c>
      <c r="D1171">
        <f t="shared" si="36"/>
        <v>0</v>
      </c>
    </row>
    <row r="1172" spans="1:4" ht="14.5">
      <c r="A1172" t="s">
        <v>5896</v>
      </c>
      <c r="B1172" s="1683" t="str">
        <f t="shared" si="37"/>
        <v>242-902</v>
      </c>
      <c r="C1172">
        <v>0</v>
      </c>
      <c r="D1172">
        <f t="shared" si="36"/>
        <v>0</v>
      </c>
    </row>
    <row r="1173" spans="1:4" ht="14.5">
      <c r="A1173" t="s">
        <v>5302</v>
      </c>
      <c r="B1173" s="1683" t="str">
        <f t="shared" si="37"/>
        <v>242-903</v>
      </c>
      <c r="C1173">
        <v>0</v>
      </c>
      <c r="D1173">
        <f t="shared" si="36"/>
        <v>0</v>
      </c>
    </row>
    <row r="1174" spans="1:4" ht="14.5">
      <c r="A1174" t="s">
        <v>5897</v>
      </c>
      <c r="B1174" s="1683" t="str">
        <f t="shared" si="37"/>
        <v>242-905</v>
      </c>
      <c r="C1174">
        <v>0</v>
      </c>
      <c r="D1174">
        <f t="shared" si="36"/>
        <v>0</v>
      </c>
    </row>
    <row r="1175" spans="1:4" ht="14.5">
      <c r="A1175" t="s">
        <v>5303</v>
      </c>
      <c r="B1175" s="1683" t="str">
        <f t="shared" si="37"/>
        <v>242-906</v>
      </c>
      <c r="C1175">
        <v>0</v>
      </c>
      <c r="D1175">
        <f t="shared" si="36"/>
        <v>0</v>
      </c>
    </row>
    <row r="1176" spans="1:4" ht="14.5">
      <c r="A1176" t="s">
        <v>3251</v>
      </c>
      <c r="B1176" s="1683" t="str">
        <f t="shared" si="37"/>
        <v>243-901</v>
      </c>
      <c r="C1176">
        <v>0</v>
      </c>
      <c r="D1176">
        <f t="shared" si="36"/>
        <v>0</v>
      </c>
    </row>
    <row r="1177" spans="1:4" ht="14.5">
      <c r="A1177" t="s">
        <v>5304</v>
      </c>
      <c r="B1177" s="1683" t="str">
        <f t="shared" si="37"/>
        <v>243-902</v>
      </c>
      <c r="C1177">
        <v>0</v>
      </c>
      <c r="D1177">
        <f t="shared" si="36"/>
        <v>0</v>
      </c>
    </row>
    <row r="1178" spans="1:4" ht="14.5">
      <c r="A1178" t="s">
        <v>5305</v>
      </c>
      <c r="B1178" s="1683" t="str">
        <f t="shared" si="37"/>
        <v>243-903</v>
      </c>
      <c r="C1178">
        <v>0</v>
      </c>
      <c r="D1178">
        <f t="shared" si="36"/>
        <v>0</v>
      </c>
    </row>
    <row r="1179" spans="1:4" ht="14.5">
      <c r="A1179" t="s">
        <v>3252</v>
      </c>
      <c r="B1179" s="1683" t="str">
        <f t="shared" si="37"/>
        <v>243-905</v>
      </c>
      <c r="C1179">
        <v>0</v>
      </c>
      <c r="D1179">
        <f t="shared" si="36"/>
        <v>0</v>
      </c>
    </row>
    <row r="1180" spans="1:4" ht="14.5">
      <c r="A1180" t="s">
        <v>3253</v>
      </c>
      <c r="B1180" s="1683" t="str">
        <f t="shared" si="37"/>
        <v>243-906</v>
      </c>
      <c r="C1180">
        <v>0</v>
      </c>
      <c r="D1180">
        <f t="shared" si="36"/>
        <v>0</v>
      </c>
    </row>
    <row r="1181" spans="1:4" ht="14.5">
      <c r="A1181" t="s">
        <v>8523</v>
      </c>
      <c r="B1181" s="1683" t="str">
        <f t="shared" si="37"/>
        <v>243-950</v>
      </c>
      <c r="C1181">
        <v>0</v>
      </c>
      <c r="D1181">
        <f t="shared" si="36"/>
        <v>0</v>
      </c>
    </row>
    <row r="1182" spans="1:4" ht="14.5">
      <c r="A1182" t="s">
        <v>5898</v>
      </c>
      <c r="B1182" s="1683" t="str">
        <f t="shared" si="37"/>
        <v>244-901</v>
      </c>
      <c r="C1182">
        <v>0</v>
      </c>
      <c r="D1182">
        <f t="shared" si="36"/>
        <v>0</v>
      </c>
    </row>
    <row r="1183" spans="1:4" ht="14.5">
      <c r="A1183" t="s">
        <v>5306</v>
      </c>
      <c r="B1183" s="1683" t="str">
        <f t="shared" si="37"/>
        <v>244-903</v>
      </c>
      <c r="C1183">
        <v>0</v>
      </c>
      <c r="D1183">
        <f t="shared" si="36"/>
        <v>0</v>
      </c>
    </row>
    <row r="1184" spans="1:4" ht="14.5">
      <c r="A1184" t="s">
        <v>3254</v>
      </c>
      <c r="B1184" s="1683" t="str">
        <f t="shared" si="37"/>
        <v>244-905</v>
      </c>
      <c r="C1184">
        <v>0</v>
      </c>
      <c r="D1184">
        <f t="shared" si="36"/>
        <v>0</v>
      </c>
    </row>
    <row r="1185" spans="1:4" ht="14.5">
      <c r="A1185" t="s">
        <v>3255</v>
      </c>
      <c r="B1185" s="1683" t="str">
        <f t="shared" si="37"/>
        <v>245-901</v>
      </c>
      <c r="C1185">
        <v>0</v>
      </c>
      <c r="D1185">
        <f t="shared" si="36"/>
        <v>0</v>
      </c>
    </row>
    <row r="1186" spans="1:4" ht="14.5">
      <c r="A1186" t="s">
        <v>3256</v>
      </c>
      <c r="B1186" s="1683" t="str">
        <f t="shared" si="37"/>
        <v>245-902</v>
      </c>
      <c r="C1186">
        <v>0</v>
      </c>
      <c r="D1186">
        <f t="shared" si="36"/>
        <v>0</v>
      </c>
    </row>
    <row r="1187" spans="1:4" ht="14.5">
      <c r="A1187" t="s">
        <v>3257</v>
      </c>
      <c r="B1187" s="1683" t="str">
        <f t="shared" si="37"/>
        <v>245-903</v>
      </c>
      <c r="C1187">
        <v>0</v>
      </c>
      <c r="D1187">
        <f t="shared" si="36"/>
        <v>0</v>
      </c>
    </row>
    <row r="1188" spans="1:4" ht="14.5">
      <c r="A1188" t="s">
        <v>3258</v>
      </c>
      <c r="B1188" s="1683" t="str">
        <f t="shared" si="37"/>
        <v>245-904</v>
      </c>
      <c r="C1188">
        <v>0</v>
      </c>
      <c r="D1188">
        <f t="shared" si="36"/>
        <v>0</v>
      </c>
    </row>
    <row r="1189" spans="1:4" ht="14.5">
      <c r="A1189" t="s">
        <v>8115</v>
      </c>
      <c r="B1189" s="1683" t="str">
        <f t="shared" si="37"/>
        <v>246-801</v>
      </c>
      <c r="C1189">
        <v>0</v>
      </c>
      <c r="D1189">
        <f t="shared" si="36"/>
        <v>0</v>
      </c>
    </row>
    <row r="1190" spans="1:4" ht="14.5">
      <c r="A1190" t="s">
        <v>8116</v>
      </c>
      <c r="B1190" s="1683" t="str">
        <f t="shared" si="37"/>
        <v>246-802</v>
      </c>
      <c r="C1190">
        <v>0</v>
      </c>
      <c r="D1190">
        <f t="shared" si="36"/>
        <v>0</v>
      </c>
    </row>
    <row r="1191" spans="1:4" ht="14.5">
      <c r="A1191" t="s">
        <v>3259</v>
      </c>
      <c r="B1191" s="1683" t="str">
        <f t="shared" si="37"/>
        <v>246-902</v>
      </c>
      <c r="C1191">
        <v>0</v>
      </c>
      <c r="D1191">
        <f t="shared" si="36"/>
        <v>0</v>
      </c>
    </row>
    <row r="1192" spans="1:4" ht="14.5">
      <c r="A1192" t="s">
        <v>3260</v>
      </c>
      <c r="B1192" s="1683" t="str">
        <f t="shared" si="37"/>
        <v>246-904</v>
      </c>
      <c r="C1192">
        <v>0</v>
      </c>
      <c r="D1192">
        <f t="shared" si="36"/>
        <v>0</v>
      </c>
    </row>
    <row r="1193" spans="1:4" ht="14.5">
      <c r="A1193" t="s">
        <v>3261</v>
      </c>
      <c r="B1193" s="1683" t="str">
        <f t="shared" si="37"/>
        <v>246-905</v>
      </c>
      <c r="C1193">
        <v>0</v>
      </c>
      <c r="D1193">
        <f t="shared" si="36"/>
        <v>0</v>
      </c>
    </row>
    <row r="1194" spans="1:4" ht="14.5">
      <c r="A1194" t="s">
        <v>3262</v>
      </c>
      <c r="B1194" s="1683" t="str">
        <f t="shared" si="37"/>
        <v>246-906</v>
      </c>
      <c r="C1194">
        <v>0</v>
      </c>
      <c r="D1194">
        <f t="shared" si="36"/>
        <v>0</v>
      </c>
    </row>
    <row r="1195" spans="1:4" ht="14.5">
      <c r="A1195" t="s">
        <v>5307</v>
      </c>
      <c r="B1195" s="1683" t="str">
        <f t="shared" si="37"/>
        <v>246-907</v>
      </c>
      <c r="C1195">
        <v>0</v>
      </c>
      <c r="D1195">
        <f t="shared" si="36"/>
        <v>0</v>
      </c>
    </row>
    <row r="1196" spans="1:4" ht="14.5">
      <c r="A1196" t="s">
        <v>3263</v>
      </c>
      <c r="B1196" s="1683" t="str">
        <f t="shared" si="37"/>
        <v>246-908</v>
      </c>
      <c r="C1196">
        <v>0</v>
      </c>
      <c r="D1196">
        <f t="shared" si="36"/>
        <v>0</v>
      </c>
    </row>
    <row r="1197" spans="1:4" ht="14.5">
      <c r="A1197" t="s">
        <v>4857</v>
      </c>
      <c r="B1197" s="1683" t="str">
        <f t="shared" si="37"/>
        <v>246-909</v>
      </c>
      <c r="C1197">
        <v>0</v>
      </c>
      <c r="D1197">
        <f t="shared" si="36"/>
        <v>0</v>
      </c>
    </row>
    <row r="1198" spans="1:4" ht="14.5">
      <c r="A1198" t="s">
        <v>3264</v>
      </c>
      <c r="B1198" s="1683" t="str">
        <f t="shared" si="37"/>
        <v>246-911</v>
      </c>
      <c r="C1198">
        <v>0</v>
      </c>
      <c r="D1198">
        <f t="shared" si="36"/>
        <v>0</v>
      </c>
    </row>
    <row r="1199" spans="1:4" ht="14.5">
      <c r="A1199" t="s">
        <v>3265</v>
      </c>
      <c r="B1199" s="1683" t="str">
        <f t="shared" si="37"/>
        <v>246-912</v>
      </c>
      <c r="C1199">
        <v>0</v>
      </c>
      <c r="D1199">
        <f t="shared" si="36"/>
        <v>0</v>
      </c>
    </row>
    <row r="1200" spans="1:4" ht="14.5">
      <c r="A1200" t="s">
        <v>3266</v>
      </c>
      <c r="B1200" s="1683" t="str">
        <f t="shared" si="37"/>
        <v>246-913</v>
      </c>
      <c r="C1200">
        <v>0</v>
      </c>
      <c r="D1200">
        <f t="shared" si="36"/>
        <v>0</v>
      </c>
    </row>
    <row r="1201" spans="1:4" ht="14.5">
      <c r="A1201" t="s">
        <v>5899</v>
      </c>
      <c r="B1201" s="1683" t="str">
        <f t="shared" si="37"/>
        <v>246-914</v>
      </c>
      <c r="C1201">
        <v>0</v>
      </c>
      <c r="D1201">
        <f t="shared" si="36"/>
        <v>0</v>
      </c>
    </row>
    <row r="1202" spans="1:4" ht="14.5">
      <c r="A1202" t="s">
        <v>3267</v>
      </c>
      <c r="B1202" s="1683" t="str">
        <f t="shared" si="37"/>
        <v>247-901</v>
      </c>
      <c r="C1202">
        <v>0</v>
      </c>
      <c r="D1202">
        <f t="shared" si="36"/>
        <v>0</v>
      </c>
    </row>
    <row r="1203" spans="1:4" ht="14.5">
      <c r="A1203" t="s">
        <v>3268</v>
      </c>
      <c r="B1203" s="1683" t="str">
        <f t="shared" si="37"/>
        <v>247-903</v>
      </c>
      <c r="C1203">
        <v>0</v>
      </c>
      <c r="D1203">
        <f t="shared" si="36"/>
        <v>0</v>
      </c>
    </row>
    <row r="1204" spans="1:4" ht="14.5">
      <c r="A1204" t="s">
        <v>3269</v>
      </c>
      <c r="B1204" s="1683" t="str">
        <f t="shared" si="37"/>
        <v>247-904</v>
      </c>
      <c r="C1204">
        <v>0</v>
      </c>
      <c r="D1204">
        <f t="shared" si="36"/>
        <v>0</v>
      </c>
    </row>
    <row r="1205" spans="1:4" ht="14.5">
      <c r="A1205" t="s">
        <v>3270</v>
      </c>
      <c r="B1205" s="1683" t="str">
        <f t="shared" si="37"/>
        <v>247-906</v>
      </c>
      <c r="C1205">
        <v>0</v>
      </c>
      <c r="D1205">
        <f t="shared" si="36"/>
        <v>0</v>
      </c>
    </row>
    <row r="1206" spans="1:4" ht="14.5">
      <c r="A1206" t="s">
        <v>5308</v>
      </c>
      <c r="B1206" s="1683" t="str">
        <f t="shared" si="37"/>
        <v>248-901</v>
      </c>
      <c r="C1206">
        <v>0</v>
      </c>
      <c r="D1206">
        <f t="shared" si="36"/>
        <v>0</v>
      </c>
    </row>
    <row r="1207" spans="1:4" ht="14.5">
      <c r="A1207" t="s">
        <v>5309</v>
      </c>
      <c r="B1207" s="1683" t="str">
        <f t="shared" si="37"/>
        <v>248-902</v>
      </c>
      <c r="C1207">
        <v>0</v>
      </c>
      <c r="D1207">
        <f t="shared" si="36"/>
        <v>0</v>
      </c>
    </row>
    <row r="1208" spans="1:4" ht="14.5">
      <c r="A1208" t="s">
        <v>3271</v>
      </c>
      <c r="B1208" s="1683" t="str">
        <f t="shared" si="37"/>
        <v>249-901</v>
      </c>
      <c r="C1208">
        <v>0</v>
      </c>
      <c r="D1208">
        <f t="shared" si="36"/>
        <v>0</v>
      </c>
    </row>
    <row r="1209" spans="1:4" ht="14.5">
      <c r="A1209" t="s">
        <v>5310</v>
      </c>
      <c r="B1209" s="1683" t="str">
        <f t="shared" si="37"/>
        <v>249-902</v>
      </c>
      <c r="C1209">
        <v>0</v>
      </c>
      <c r="D1209">
        <f t="shared" si="36"/>
        <v>0</v>
      </c>
    </row>
    <row r="1210" spans="1:4" ht="14.5">
      <c r="A1210" t="s">
        <v>5311</v>
      </c>
      <c r="B1210" s="1683" t="str">
        <f t="shared" si="37"/>
        <v>249-903</v>
      </c>
      <c r="C1210">
        <v>0</v>
      </c>
      <c r="D1210">
        <f t="shared" si="36"/>
        <v>0</v>
      </c>
    </row>
    <row r="1211" spans="1:4" ht="14.5">
      <c r="A1211" t="s">
        <v>5312</v>
      </c>
      <c r="B1211" s="1683" t="str">
        <f t="shared" si="37"/>
        <v>249-904</v>
      </c>
      <c r="C1211">
        <v>0</v>
      </c>
      <c r="D1211">
        <f t="shared" si="36"/>
        <v>0</v>
      </c>
    </row>
    <row r="1212" spans="1:4" ht="14.5">
      <c r="A1212" t="s">
        <v>5313</v>
      </c>
      <c r="B1212" s="1683" t="str">
        <f t="shared" si="37"/>
        <v>249-905</v>
      </c>
      <c r="C1212">
        <v>0</v>
      </c>
      <c r="D1212">
        <f t="shared" si="36"/>
        <v>0</v>
      </c>
    </row>
    <row r="1213" spans="1:4" ht="14.5">
      <c r="A1213" t="s">
        <v>3272</v>
      </c>
      <c r="B1213" s="1683" t="str">
        <f t="shared" si="37"/>
        <v>249-906</v>
      </c>
      <c r="C1213">
        <v>0</v>
      </c>
      <c r="D1213">
        <f t="shared" si="36"/>
        <v>0</v>
      </c>
    </row>
    <row r="1214" spans="1:4" ht="14.5">
      <c r="A1214" t="s">
        <v>3273</v>
      </c>
      <c r="B1214" s="1683" t="str">
        <f t="shared" si="37"/>
        <v>249-908</v>
      </c>
      <c r="C1214">
        <v>0</v>
      </c>
      <c r="D1214">
        <f t="shared" ref="D1214:D1228" si="38">C1214*-1</f>
        <v>0</v>
      </c>
    </row>
    <row r="1215" spans="1:4" ht="14.5">
      <c r="A1215" t="s">
        <v>5314</v>
      </c>
      <c r="B1215" s="1683" t="str">
        <f t="shared" si="37"/>
        <v>250-902</v>
      </c>
      <c r="C1215">
        <v>0</v>
      </c>
      <c r="D1215">
        <f t="shared" si="38"/>
        <v>0</v>
      </c>
    </row>
    <row r="1216" spans="1:4" ht="14.5">
      <c r="A1216" t="s">
        <v>5900</v>
      </c>
      <c r="B1216" s="1683" t="str">
        <f t="shared" si="37"/>
        <v>250-903</v>
      </c>
      <c r="C1216">
        <v>0</v>
      </c>
      <c r="D1216">
        <f t="shared" si="38"/>
        <v>0</v>
      </c>
    </row>
    <row r="1217" spans="1:4" ht="14.5">
      <c r="A1217" t="s">
        <v>5315</v>
      </c>
      <c r="B1217" s="1683" t="str">
        <f t="shared" si="37"/>
        <v>250-904</v>
      </c>
      <c r="C1217">
        <v>0</v>
      </c>
      <c r="D1217">
        <f t="shared" si="38"/>
        <v>0</v>
      </c>
    </row>
    <row r="1218" spans="1:4" ht="14.5">
      <c r="A1218" t="s">
        <v>5316</v>
      </c>
      <c r="B1218" s="1683" t="str">
        <f t="shared" ref="B1218:B1228" si="39">CONCATENATE(LEFT(RIGHT(CONCATENATE("000",A1218),6),3),"-",(RIGHT(RIGHT(CONCATENATE("000",A1218),6),3)))</f>
        <v>250-905</v>
      </c>
      <c r="C1218">
        <v>0</v>
      </c>
      <c r="D1218">
        <f t="shared" si="38"/>
        <v>0</v>
      </c>
    </row>
    <row r="1219" spans="1:4" ht="14.5">
      <c r="A1219" t="s">
        <v>5317</v>
      </c>
      <c r="B1219" s="1683" t="str">
        <f t="shared" si="39"/>
        <v>250-906</v>
      </c>
      <c r="C1219">
        <v>0</v>
      </c>
      <c r="D1219">
        <f t="shared" si="38"/>
        <v>0</v>
      </c>
    </row>
    <row r="1220" spans="1:4" ht="14.5">
      <c r="A1220" t="s">
        <v>5901</v>
      </c>
      <c r="B1220" s="1683" t="str">
        <f t="shared" si="39"/>
        <v>250-907</v>
      </c>
      <c r="C1220">
        <v>0</v>
      </c>
      <c r="D1220">
        <f t="shared" si="38"/>
        <v>0</v>
      </c>
    </row>
    <row r="1221" spans="1:4" ht="14.5">
      <c r="A1221" t="s">
        <v>5318</v>
      </c>
      <c r="B1221" s="1683" t="str">
        <f t="shared" si="39"/>
        <v>251-901</v>
      </c>
      <c r="C1221">
        <v>0</v>
      </c>
      <c r="D1221">
        <f t="shared" si="38"/>
        <v>0</v>
      </c>
    </row>
    <row r="1222" spans="1:4" ht="14.5">
      <c r="A1222" t="s">
        <v>5319</v>
      </c>
      <c r="B1222" s="1683" t="str">
        <f t="shared" si="39"/>
        <v>251-902</v>
      </c>
      <c r="C1222">
        <v>0</v>
      </c>
      <c r="D1222">
        <f t="shared" si="38"/>
        <v>0</v>
      </c>
    </row>
    <row r="1223" spans="1:4" ht="14.5">
      <c r="A1223" t="s">
        <v>3274</v>
      </c>
      <c r="B1223" s="1683" t="str">
        <f t="shared" si="39"/>
        <v>252-901</v>
      </c>
      <c r="C1223">
        <v>0</v>
      </c>
      <c r="D1223">
        <f t="shared" si="38"/>
        <v>0</v>
      </c>
    </row>
    <row r="1224" spans="1:4" ht="14.5">
      <c r="A1224" t="s">
        <v>5320</v>
      </c>
      <c r="B1224" s="1683" t="str">
        <f t="shared" si="39"/>
        <v>252-902</v>
      </c>
      <c r="C1224">
        <v>0</v>
      </c>
      <c r="D1224">
        <f t="shared" si="38"/>
        <v>0</v>
      </c>
    </row>
    <row r="1225" spans="1:4" ht="14.5">
      <c r="A1225" t="s">
        <v>3275</v>
      </c>
      <c r="B1225" s="1683" t="str">
        <f t="shared" si="39"/>
        <v>252-903</v>
      </c>
      <c r="C1225">
        <v>0</v>
      </c>
      <c r="D1225">
        <f t="shared" si="38"/>
        <v>0</v>
      </c>
    </row>
    <row r="1226" spans="1:4" ht="14.5">
      <c r="A1226" t="s">
        <v>5902</v>
      </c>
      <c r="B1226" s="1683" t="str">
        <f t="shared" si="39"/>
        <v>253-901</v>
      </c>
      <c r="C1226">
        <v>0</v>
      </c>
      <c r="D1226">
        <f t="shared" si="38"/>
        <v>0</v>
      </c>
    </row>
    <row r="1227" spans="1:4" ht="14.5">
      <c r="A1227" t="s">
        <v>3276</v>
      </c>
      <c r="B1227" s="1683" t="str">
        <f t="shared" si="39"/>
        <v>254-901</v>
      </c>
      <c r="C1227">
        <v>0</v>
      </c>
      <c r="D1227">
        <f t="shared" si="38"/>
        <v>0</v>
      </c>
    </row>
    <row r="1228" spans="1:4" ht="14.5">
      <c r="A1228" t="s">
        <v>3277</v>
      </c>
      <c r="B1228" s="1683" t="str">
        <f t="shared" si="39"/>
        <v>254-902</v>
      </c>
      <c r="C1228">
        <v>0</v>
      </c>
      <c r="D1228">
        <f t="shared" si="38"/>
        <v>0</v>
      </c>
    </row>
  </sheetData>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C1201"/>
  <sheetViews>
    <sheetView topLeftCell="A1112" workbookViewId="0">
      <selection activeCell="B1" sqref="B1"/>
    </sheetView>
  </sheetViews>
  <sheetFormatPr defaultRowHeight="12.5"/>
  <sheetData>
    <row r="1" spans="1:3" ht="14.5">
      <c r="A1" t="s">
        <v>5748</v>
      </c>
      <c r="B1" s="380" t="str">
        <f>CONCATENATE(LEFT(RIGHT(CONCATENATE("000",A1),6),3),"-",(RIGHT(RIGHT(CONCATENATE("000",A1),6),3)))</f>
        <v>001-902</v>
      </c>
      <c r="C1" s="2030">
        <v>1.17</v>
      </c>
    </row>
    <row r="2" spans="1:3" ht="14.5">
      <c r="A2" t="s">
        <v>2849</v>
      </c>
      <c r="B2" s="380" t="str">
        <f t="shared" ref="B2:B65" si="0">CONCATENATE(LEFT(RIGHT(CONCATENATE("000",A2),6),3),"-",(RIGHT(RIGHT(CONCATENATE("000",A2),6),3)))</f>
        <v>001-903</v>
      </c>
      <c r="C2" s="2030">
        <v>1.17</v>
      </c>
    </row>
    <row r="3" spans="1:3" ht="14.5">
      <c r="A3" t="s">
        <v>4918</v>
      </c>
      <c r="B3" s="380" t="str">
        <f t="shared" si="0"/>
        <v>001-904</v>
      </c>
      <c r="C3" s="2030">
        <v>1.17</v>
      </c>
    </row>
    <row r="4" spans="1:3" ht="14.5">
      <c r="A4" t="s">
        <v>4919</v>
      </c>
      <c r="B4" s="380" t="str">
        <f t="shared" si="0"/>
        <v>001-906</v>
      </c>
      <c r="C4" s="2030">
        <v>1.17</v>
      </c>
    </row>
    <row r="5" spans="1:3" ht="14.5">
      <c r="A5" t="s">
        <v>2850</v>
      </c>
      <c r="B5" s="380" t="str">
        <f t="shared" si="0"/>
        <v>001-907</v>
      </c>
      <c r="C5" s="2030">
        <v>1.17</v>
      </c>
    </row>
    <row r="6" spans="1:3" ht="14.5">
      <c r="A6" t="s">
        <v>5749</v>
      </c>
      <c r="B6" s="380" t="str">
        <f t="shared" si="0"/>
        <v>001-908</v>
      </c>
      <c r="C6" s="2030">
        <v>1.17</v>
      </c>
    </row>
    <row r="7" spans="1:3" ht="14.5">
      <c r="A7" t="s">
        <v>4920</v>
      </c>
      <c r="B7" s="380" t="str">
        <f t="shared" si="0"/>
        <v>001-909</v>
      </c>
      <c r="C7" s="2030">
        <v>1.17</v>
      </c>
    </row>
    <row r="8" spans="1:3" ht="14.5">
      <c r="A8" t="s">
        <v>4921</v>
      </c>
      <c r="B8" s="380" t="str">
        <f t="shared" si="0"/>
        <v>002-901</v>
      </c>
      <c r="C8" s="2030">
        <v>1.06</v>
      </c>
    </row>
    <row r="9" spans="1:3" ht="14.5">
      <c r="A9" t="s">
        <v>7918</v>
      </c>
      <c r="B9" s="380" t="str">
        <f t="shared" si="0"/>
        <v>003-801</v>
      </c>
      <c r="C9" s="2030">
        <v>0</v>
      </c>
    </row>
    <row r="10" spans="1:3" ht="14.5">
      <c r="A10" t="s">
        <v>2851</v>
      </c>
      <c r="B10" s="380" t="str">
        <f t="shared" si="0"/>
        <v>003-902</v>
      </c>
      <c r="C10" s="2030">
        <v>1.17</v>
      </c>
    </row>
    <row r="11" spans="1:3" ht="14.5">
      <c r="A11" t="s">
        <v>4922</v>
      </c>
      <c r="B11" s="380" t="str">
        <f t="shared" si="0"/>
        <v>003-903</v>
      </c>
      <c r="C11" s="2030">
        <v>1.17</v>
      </c>
    </row>
    <row r="12" spans="1:3" ht="14.5">
      <c r="A12" t="s">
        <v>2852</v>
      </c>
      <c r="B12" s="380" t="str">
        <f t="shared" si="0"/>
        <v>003-904</v>
      </c>
      <c r="C12" s="2030">
        <v>1.17</v>
      </c>
    </row>
    <row r="13" spans="1:3" ht="14.5">
      <c r="A13" t="s">
        <v>2853</v>
      </c>
      <c r="B13" s="380" t="str">
        <f t="shared" si="0"/>
        <v>003-905</v>
      </c>
      <c r="C13" s="2030">
        <v>1.17</v>
      </c>
    </row>
    <row r="14" spans="1:3" ht="14.5">
      <c r="A14" t="s">
        <v>4923</v>
      </c>
      <c r="B14" s="380" t="str">
        <f t="shared" si="0"/>
        <v>003-906</v>
      </c>
      <c r="C14" s="2030">
        <v>1.17</v>
      </c>
    </row>
    <row r="15" spans="1:3" ht="14.5">
      <c r="A15" t="s">
        <v>2854</v>
      </c>
      <c r="B15" s="380" t="str">
        <f t="shared" si="0"/>
        <v>003-907</v>
      </c>
      <c r="C15" s="2030">
        <v>1.17</v>
      </c>
    </row>
    <row r="16" spans="1:3" ht="14.5">
      <c r="A16" t="s">
        <v>4924</v>
      </c>
      <c r="B16" s="380" t="str">
        <f t="shared" si="0"/>
        <v>004-901</v>
      </c>
      <c r="C16" s="2030">
        <v>1.06</v>
      </c>
    </row>
    <row r="17" spans="1:3" ht="14.5">
      <c r="A17" t="s">
        <v>4925</v>
      </c>
      <c r="B17" s="380" t="str">
        <f t="shared" si="0"/>
        <v>005-901</v>
      </c>
      <c r="C17" s="2030">
        <v>1.04</v>
      </c>
    </row>
    <row r="18" spans="1:3" ht="14.5">
      <c r="A18" t="s">
        <v>4926</v>
      </c>
      <c r="B18" s="380" t="str">
        <f t="shared" si="0"/>
        <v>005-902</v>
      </c>
      <c r="C18" s="2030">
        <v>1.17</v>
      </c>
    </row>
    <row r="19" spans="1:3" ht="14.5">
      <c r="A19" t="s">
        <v>2855</v>
      </c>
      <c r="B19" s="380" t="str">
        <f t="shared" si="0"/>
        <v>005-904</v>
      </c>
      <c r="C19" s="2030">
        <v>1.17</v>
      </c>
    </row>
    <row r="20" spans="1:3" ht="14.5">
      <c r="A20" t="s">
        <v>4927</v>
      </c>
      <c r="B20" s="380" t="str">
        <f t="shared" si="0"/>
        <v>006-902</v>
      </c>
      <c r="C20" s="2030">
        <v>1.04</v>
      </c>
    </row>
    <row r="21" spans="1:3" ht="14.5">
      <c r="A21" t="s">
        <v>2856</v>
      </c>
      <c r="B21" s="380" t="str">
        <f t="shared" si="0"/>
        <v>007-901</v>
      </c>
      <c r="C21" s="2030">
        <v>1.17</v>
      </c>
    </row>
    <row r="22" spans="1:3" ht="14.5">
      <c r="A22" t="s">
        <v>5750</v>
      </c>
      <c r="B22" s="380" t="str">
        <f t="shared" si="0"/>
        <v>007-902</v>
      </c>
      <c r="C22" s="2030">
        <v>1.17</v>
      </c>
    </row>
    <row r="23" spans="1:3" ht="14.5">
      <c r="A23" t="s">
        <v>2857</v>
      </c>
      <c r="B23" s="380" t="str">
        <f t="shared" si="0"/>
        <v>007-904</v>
      </c>
      <c r="C23" s="2030">
        <v>1.17</v>
      </c>
    </row>
    <row r="24" spans="1:3" ht="14.5">
      <c r="A24" t="s">
        <v>2858</v>
      </c>
      <c r="B24" s="380" t="str">
        <f t="shared" si="0"/>
        <v>007-905</v>
      </c>
      <c r="C24" s="2030">
        <v>1.17</v>
      </c>
    </row>
    <row r="25" spans="1:3" ht="14.5">
      <c r="A25" t="s">
        <v>2859</v>
      </c>
      <c r="B25" s="380" t="str">
        <f t="shared" si="0"/>
        <v>007-906</v>
      </c>
      <c r="C25" s="2030">
        <v>1.1696</v>
      </c>
    </row>
    <row r="26" spans="1:3" ht="14.5">
      <c r="A26" t="s">
        <v>4928</v>
      </c>
      <c r="B26" s="380" t="str">
        <f t="shared" si="0"/>
        <v>008-901</v>
      </c>
      <c r="C26" s="2030">
        <v>1.1200000000000001</v>
      </c>
    </row>
    <row r="27" spans="1:3" ht="14.5">
      <c r="A27" t="s">
        <v>4929</v>
      </c>
      <c r="B27" s="380" t="str">
        <f t="shared" si="0"/>
        <v>008-902</v>
      </c>
      <c r="C27" s="2030">
        <v>1.1100000000000001</v>
      </c>
    </row>
    <row r="28" spans="1:3" ht="14.5">
      <c r="A28" t="s">
        <v>4930</v>
      </c>
      <c r="B28" s="380" t="str">
        <f t="shared" si="0"/>
        <v>008-903</v>
      </c>
      <c r="C28" s="2030">
        <v>1.04</v>
      </c>
    </row>
    <row r="29" spans="1:3" ht="14.5">
      <c r="A29" t="s">
        <v>2860</v>
      </c>
      <c r="B29" s="380" t="str">
        <f t="shared" si="0"/>
        <v>009-901</v>
      </c>
      <c r="C29" s="2030">
        <v>1.17</v>
      </c>
    </row>
    <row r="30" spans="1:3" ht="14.5">
      <c r="A30" t="s">
        <v>5751</v>
      </c>
      <c r="B30" s="380" t="str">
        <f t="shared" si="0"/>
        <v>010-901</v>
      </c>
      <c r="C30" s="2030">
        <v>1.04</v>
      </c>
    </row>
    <row r="31" spans="1:3" ht="14.5">
      <c r="A31" t="s">
        <v>2861</v>
      </c>
      <c r="B31" s="380" t="str">
        <f t="shared" si="0"/>
        <v>010-902</v>
      </c>
      <c r="C31" s="2030">
        <v>1.04</v>
      </c>
    </row>
    <row r="32" spans="1:3" ht="14.5">
      <c r="A32" t="s">
        <v>2862</v>
      </c>
      <c r="B32" s="380" t="str">
        <f t="shared" si="0"/>
        <v>011-901</v>
      </c>
      <c r="C32" s="2030">
        <v>1.04</v>
      </c>
    </row>
    <row r="33" spans="1:3" ht="14.5">
      <c r="A33" t="s">
        <v>2863</v>
      </c>
      <c r="B33" s="380" t="str">
        <f t="shared" si="0"/>
        <v>011-902</v>
      </c>
      <c r="C33" s="2030">
        <v>1.17</v>
      </c>
    </row>
    <row r="34" spans="1:3" ht="14.5">
      <c r="A34" t="s">
        <v>2864</v>
      </c>
      <c r="B34" s="380" t="str">
        <f t="shared" si="0"/>
        <v>011-904</v>
      </c>
      <c r="C34" s="2030">
        <v>1.17</v>
      </c>
    </row>
    <row r="35" spans="1:3" ht="14.5">
      <c r="A35" t="s">
        <v>2865</v>
      </c>
      <c r="B35" s="380" t="str">
        <f t="shared" si="0"/>
        <v>011-905</v>
      </c>
      <c r="C35" s="2030">
        <v>1.04</v>
      </c>
    </row>
    <row r="36" spans="1:3" ht="14.5">
      <c r="A36" t="s">
        <v>5752</v>
      </c>
      <c r="B36" s="380" t="str">
        <f t="shared" si="0"/>
        <v>012-901</v>
      </c>
      <c r="C36" s="2030">
        <v>1.04</v>
      </c>
    </row>
    <row r="37" spans="1:3" ht="14.5">
      <c r="A37" t="s">
        <v>7919</v>
      </c>
      <c r="B37" s="380" t="str">
        <f t="shared" si="0"/>
        <v>013-801</v>
      </c>
      <c r="C37" s="2030">
        <v>0</v>
      </c>
    </row>
    <row r="38" spans="1:3" ht="14.5">
      <c r="A38" t="s">
        <v>2866</v>
      </c>
      <c r="B38" s="380" t="str">
        <f t="shared" si="0"/>
        <v>013-901</v>
      </c>
      <c r="C38" s="2030">
        <v>1.17</v>
      </c>
    </row>
    <row r="39" spans="1:3" ht="14.5">
      <c r="A39" t="s">
        <v>4931</v>
      </c>
      <c r="B39" s="380" t="str">
        <f t="shared" si="0"/>
        <v>013-902</v>
      </c>
      <c r="C39" s="2030">
        <v>1.0375000000000003</v>
      </c>
    </row>
    <row r="40" spans="1:3" ht="14.5">
      <c r="A40" t="s">
        <v>4932</v>
      </c>
      <c r="B40" s="380" t="str">
        <f t="shared" si="0"/>
        <v>013-903</v>
      </c>
      <c r="C40" s="2030">
        <v>1.0927</v>
      </c>
    </row>
    <row r="41" spans="1:3" ht="14.5">
      <c r="A41" t="s">
        <v>2867</v>
      </c>
      <c r="B41" s="380" t="str">
        <f t="shared" si="0"/>
        <v>013-905</v>
      </c>
      <c r="C41" s="2030">
        <v>1.17</v>
      </c>
    </row>
    <row r="42" spans="1:3" ht="14.5">
      <c r="A42" t="s">
        <v>7920</v>
      </c>
      <c r="B42" s="380" t="str">
        <f t="shared" si="0"/>
        <v>014-801</v>
      </c>
      <c r="C42" s="2030">
        <v>0</v>
      </c>
    </row>
    <row r="43" spans="1:3" ht="14.5">
      <c r="A43" t="s">
        <v>7921</v>
      </c>
      <c r="B43" s="380" t="str">
        <f t="shared" si="0"/>
        <v>014-803</v>
      </c>
      <c r="C43" s="2030">
        <v>0</v>
      </c>
    </row>
    <row r="44" spans="1:3" ht="14.5">
      <c r="A44" t="s">
        <v>7922</v>
      </c>
      <c r="B44" s="380" t="str">
        <f t="shared" si="0"/>
        <v>014-804</v>
      </c>
      <c r="C44" s="2030">
        <v>0</v>
      </c>
    </row>
    <row r="45" spans="1:3" ht="14.5">
      <c r="A45" t="s">
        <v>4933</v>
      </c>
      <c r="B45" s="380" t="str">
        <f t="shared" si="0"/>
        <v>014-901</v>
      </c>
      <c r="C45" s="2030">
        <v>1.04</v>
      </c>
    </row>
    <row r="46" spans="1:3" ht="14.5">
      <c r="A46" t="s">
        <v>2868</v>
      </c>
      <c r="B46" s="380" t="str">
        <f t="shared" si="0"/>
        <v>014-902</v>
      </c>
      <c r="C46" s="2030">
        <v>1.04</v>
      </c>
    </row>
    <row r="47" spans="1:3" ht="14.5">
      <c r="A47" t="s">
        <v>2869</v>
      </c>
      <c r="B47" s="380" t="str">
        <f t="shared" si="0"/>
        <v>014-903</v>
      </c>
      <c r="C47" s="2030">
        <v>1.17</v>
      </c>
    </row>
    <row r="48" spans="1:3" ht="14.5">
      <c r="A48" t="s">
        <v>2870</v>
      </c>
      <c r="B48" s="380" t="str">
        <f t="shared" si="0"/>
        <v>014-905</v>
      </c>
      <c r="C48" s="2030">
        <v>1.04</v>
      </c>
    </row>
    <row r="49" spans="1:3" ht="14.5">
      <c r="A49" t="s">
        <v>2871</v>
      </c>
      <c r="B49" s="380" t="str">
        <f t="shared" si="0"/>
        <v>014-906</v>
      </c>
      <c r="C49" s="2030">
        <v>1.04</v>
      </c>
    </row>
    <row r="50" spans="1:3" ht="14.5">
      <c r="A50" t="s">
        <v>2872</v>
      </c>
      <c r="B50" s="380" t="str">
        <f t="shared" si="0"/>
        <v>014-907</v>
      </c>
      <c r="C50" s="2030">
        <v>1.04</v>
      </c>
    </row>
    <row r="51" spans="1:3" ht="14.5">
      <c r="A51" t="s">
        <v>2873</v>
      </c>
      <c r="B51" s="380" t="str">
        <f t="shared" si="0"/>
        <v>014-908</v>
      </c>
      <c r="C51" s="2030">
        <v>1.04</v>
      </c>
    </row>
    <row r="52" spans="1:3" ht="14.5">
      <c r="A52" t="s">
        <v>2874</v>
      </c>
      <c r="B52" s="380" t="str">
        <f t="shared" si="0"/>
        <v>014-909</v>
      </c>
      <c r="C52" s="2030">
        <v>1.1200000000000001</v>
      </c>
    </row>
    <row r="53" spans="1:3" ht="14.5">
      <c r="A53" t="s">
        <v>2875</v>
      </c>
      <c r="B53" s="380" t="str">
        <f t="shared" si="0"/>
        <v>014-910</v>
      </c>
      <c r="C53" s="2030">
        <v>1.04</v>
      </c>
    </row>
    <row r="54" spans="1:3" ht="14.5">
      <c r="A54" t="s">
        <v>7923</v>
      </c>
      <c r="B54" s="380" t="str">
        <f t="shared" si="0"/>
        <v>015-801</v>
      </c>
      <c r="C54" s="2030">
        <v>0</v>
      </c>
    </row>
    <row r="55" spans="1:3" ht="14.5">
      <c r="A55" t="s">
        <v>7924</v>
      </c>
      <c r="B55" s="380" t="str">
        <f t="shared" si="0"/>
        <v>015-802</v>
      </c>
      <c r="C55" s="2030">
        <v>0</v>
      </c>
    </row>
    <row r="56" spans="1:3" ht="14.5">
      <c r="A56" t="s">
        <v>7925</v>
      </c>
      <c r="B56" s="380" t="str">
        <f t="shared" si="0"/>
        <v>015-805</v>
      </c>
      <c r="C56" s="2030">
        <v>0</v>
      </c>
    </row>
    <row r="57" spans="1:3" ht="14.5">
      <c r="A57" t="s">
        <v>7926</v>
      </c>
      <c r="B57" s="380" t="str">
        <f t="shared" si="0"/>
        <v>015-806</v>
      </c>
      <c r="C57" s="2030">
        <v>0</v>
      </c>
    </row>
    <row r="58" spans="1:3" ht="14.5">
      <c r="A58" t="s">
        <v>7927</v>
      </c>
      <c r="B58" s="380" t="str">
        <f t="shared" si="0"/>
        <v>015-807</v>
      </c>
      <c r="C58" s="2030">
        <v>0</v>
      </c>
    </row>
    <row r="59" spans="1:3" ht="14.5">
      <c r="A59" t="s">
        <v>7928</v>
      </c>
      <c r="B59" s="380" t="str">
        <f t="shared" si="0"/>
        <v>015-808</v>
      </c>
      <c r="C59" s="2030">
        <v>0</v>
      </c>
    </row>
    <row r="60" spans="1:3" ht="14.5">
      <c r="A60" t="s">
        <v>7929</v>
      </c>
      <c r="B60" s="380" t="str">
        <f t="shared" si="0"/>
        <v>015-809</v>
      </c>
      <c r="C60" s="2030">
        <v>0</v>
      </c>
    </row>
    <row r="61" spans="1:3" ht="14.5">
      <c r="A61" t="s">
        <v>7930</v>
      </c>
      <c r="B61" s="380" t="str">
        <f t="shared" si="0"/>
        <v>015-814</v>
      </c>
      <c r="C61" s="2030">
        <v>0</v>
      </c>
    </row>
    <row r="62" spans="1:3" ht="14.5">
      <c r="A62" t="s">
        <v>7931</v>
      </c>
      <c r="B62" s="380" t="str">
        <f t="shared" si="0"/>
        <v>015-815</v>
      </c>
      <c r="C62" s="2030">
        <v>0</v>
      </c>
    </row>
    <row r="63" spans="1:3" ht="14.5">
      <c r="A63" t="s">
        <v>7932</v>
      </c>
      <c r="B63" s="380" t="str">
        <f t="shared" si="0"/>
        <v>015-822</v>
      </c>
      <c r="C63" s="2030">
        <v>0</v>
      </c>
    </row>
    <row r="64" spans="1:3" ht="14.5">
      <c r="A64" t="s">
        <v>7933</v>
      </c>
      <c r="B64" s="380" t="str">
        <f t="shared" si="0"/>
        <v>015-825</v>
      </c>
      <c r="C64" s="2030">
        <v>0</v>
      </c>
    </row>
    <row r="65" spans="1:3" ht="14.5">
      <c r="A65" t="s">
        <v>7934</v>
      </c>
      <c r="B65" s="380" t="str">
        <f t="shared" si="0"/>
        <v>015-827</v>
      </c>
      <c r="C65" s="2030">
        <v>0</v>
      </c>
    </row>
    <row r="66" spans="1:3" ht="14.5">
      <c r="A66" t="s">
        <v>7935</v>
      </c>
      <c r="B66" s="380" t="str">
        <f t="shared" ref="B66:B129" si="1">CONCATENATE(LEFT(RIGHT(CONCATENATE("000",A66),6),3),"-",(RIGHT(RIGHT(CONCATENATE("000",A66),6),3)))</f>
        <v>015-828</v>
      </c>
      <c r="C66" s="2030">
        <v>0</v>
      </c>
    </row>
    <row r="67" spans="1:3" ht="14.5">
      <c r="A67" t="s">
        <v>7936</v>
      </c>
      <c r="B67" s="380" t="str">
        <f t="shared" si="1"/>
        <v>015-830</v>
      </c>
      <c r="C67" s="2030">
        <v>0</v>
      </c>
    </row>
    <row r="68" spans="1:3" ht="14.5">
      <c r="A68" t="s">
        <v>7937</v>
      </c>
      <c r="B68" s="380" t="str">
        <f t="shared" si="1"/>
        <v>015-831</v>
      </c>
      <c r="C68" s="2030">
        <v>0</v>
      </c>
    </row>
    <row r="69" spans="1:3" ht="14.5">
      <c r="A69" t="s">
        <v>7938</v>
      </c>
      <c r="B69" s="380" t="str">
        <f t="shared" si="1"/>
        <v>015-833</v>
      </c>
      <c r="C69" s="2030">
        <v>0</v>
      </c>
    </row>
    <row r="70" spans="1:3" ht="14.5">
      <c r="A70" t="s">
        <v>7939</v>
      </c>
      <c r="B70" s="380" t="str">
        <f t="shared" si="1"/>
        <v>015-834</v>
      </c>
      <c r="C70" s="2030">
        <v>0</v>
      </c>
    </row>
    <row r="71" spans="1:3" ht="14.5">
      <c r="A71" t="s">
        <v>7940</v>
      </c>
      <c r="B71" s="380" t="str">
        <f t="shared" si="1"/>
        <v>015-835</v>
      </c>
      <c r="C71" s="2030">
        <v>0</v>
      </c>
    </row>
    <row r="72" spans="1:3" ht="14.5">
      <c r="A72" t="s">
        <v>7941</v>
      </c>
      <c r="B72" s="380" t="str">
        <f t="shared" si="1"/>
        <v>015-836</v>
      </c>
      <c r="C72" s="2030">
        <v>0</v>
      </c>
    </row>
    <row r="73" spans="1:3" ht="14.5">
      <c r="A73" t="s">
        <v>7942</v>
      </c>
      <c r="B73" s="380" t="str">
        <f t="shared" si="1"/>
        <v>015-838</v>
      </c>
      <c r="C73" s="2030">
        <v>0</v>
      </c>
    </row>
    <row r="74" spans="1:3" ht="14.5">
      <c r="A74" t="s">
        <v>4934</v>
      </c>
      <c r="B74" s="380" t="str">
        <f t="shared" si="1"/>
        <v>015-901</v>
      </c>
      <c r="C74" s="2030">
        <v>1.06</v>
      </c>
    </row>
    <row r="75" spans="1:3" ht="14.5">
      <c r="A75" t="s">
        <v>2876</v>
      </c>
      <c r="B75" s="380" t="str">
        <f t="shared" si="1"/>
        <v>015-904</v>
      </c>
      <c r="C75" s="2030">
        <v>1.17</v>
      </c>
    </row>
    <row r="76" spans="1:3" ht="14.5">
      <c r="A76" s="2029" t="s">
        <v>2877</v>
      </c>
      <c r="B76" s="380" t="str">
        <f t="shared" si="1"/>
        <v>015-905</v>
      </c>
      <c r="C76" s="2030">
        <v>1.17</v>
      </c>
    </row>
    <row r="77" spans="1:3" ht="14.5">
      <c r="A77" t="s">
        <v>7351</v>
      </c>
      <c r="B77" s="380" t="str">
        <f t="shared" si="1"/>
        <v>015-906</v>
      </c>
      <c r="C77" s="2030">
        <v>0</v>
      </c>
    </row>
    <row r="78" spans="1:3" ht="14.5">
      <c r="A78" t="s">
        <v>2878</v>
      </c>
      <c r="B78" s="380" t="str">
        <f t="shared" si="1"/>
        <v>015-907</v>
      </c>
      <c r="C78" s="2030">
        <v>1.17</v>
      </c>
    </row>
    <row r="79" spans="1:3" ht="14.5">
      <c r="A79" t="s">
        <v>2879</v>
      </c>
      <c r="B79" s="380" t="str">
        <f t="shared" si="1"/>
        <v>015-908</v>
      </c>
      <c r="C79" s="2030">
        <v>1.04</v>
      </c>
    </row>
    <row r="80" spans="1:3" ht="14.5">
      <c r="A80" t="s">
        <v>2880</v>
      </c>
      <c r="B80" s="380" t="str">
        <f t="shared" si="1"/>
        <v>015-909</v>
      </c>
      <c r="C80" s="2030">
        <v>1.17</v>
      </c>
    </row>
    <row r="81" spans="1:3" ht="14.5">
      <c r="A81" t="s">
        <v>2881</v>
      </c>
      <c r="B81" s="380" t="str">
        <f t="shared" si="1"/>
        <v>015-910</v>
      </c>
      <c r="C81" s="2030">
        <v>1.04</v>
      </c>
    </row>
    <row r="82" spans="1:3" ht="14.5">
      <c r="A82" t="s">
        <v>2882</v>
      </c>
      <c r="B82" s="380" t="str">
        <f t="shared" si="1"/>
        <v>015-911</v>
      </c>
      <c r="C82" s="2030">
        <v>1.04</v>
      </c>
    </row>
    <row r="83" spans="1:3" ht="14.5">
      <c r="A83" t="s">
        <v>2883</v>
      </c>
      <c r="B83" s="380" t="str">
        <f t="shared" si="1"/>
        <v>015-912</v>
      </c>
      <c r="C83" s="2030">
        <v>1.1184000000000001</v>
      </c>
    </row>
    <row r="84" spans="1:3" ht="14.5">
      <c r="A84" t="s">
        <v>7352</v>
      </c>
      <c r="B84" s="380" t="str">
        <f t="shared" si="1"/>
        <v>015-913</v>
      </c>
      <c r="C84" s="2030">
        <v>0</v>
      </c>
    </row>
    <row r="85" spans="1:3" ht="14.5">
      <c r="A85" t="s">
        <v>7353</v>
      </c>
      <c r="B85" s="380" t="str">
        <f t="shared" si="1"/>
        <v>015-914</v>
      </c>
      <c r="C85" s="2030">
        <v>0</v>
      </c>
    </row>
    <row r="86" spans="1:3" ht="14.5">
      <c r="A86" t="s">
        <v>2884</v>
      </c>
      <c r="B86" s="380" t="str">
        <f t="shared" si="1"/>
        <v>015-915</v>
      </c>
      <c r="C86" s="2030">
        <v>1.04</v>
      </c>
    </row>
    <row r="87" spans="1:3" ht="14.5">
      <c r="A87" t="s">
        <v>2885</v>
      </c>
      <c r="B87" s="380" t="str">
        <f t="shared" si="1"/>
        <v>015-916</v>
      </c>
      <c r="C87" s="2030">
        <v>1.04</v>
      </c>
    </row>
    <row r="88" spans="1:3" ht="14.5">
      <c r="A88" t="s">
        <v>2886</v>
      </c>
      <c r="B88" s="380" t="str">
        <f t="shared" si="1"/>
        <v>015-917</v>
      </c>
      <c r="C88" s="2030">
        <v>1.17</v>
      </c>
    </row>
    <row r="89" spans="1:3" ht="14.5">
      <c r="A89" t="s">
        <v>4935</v>
      </c>
      <c r="B89" s="380" t="str">
        <f t="shared" si="1"/>
        <v>016-901</v>
      </c>
      <c r="C89" s="2030">
        <v>1.04</v>
      </c>
    </row>
    <row r="90" spans="1:3" ht="14.5">
      <c r="A90" t="s">
        <v>2887</v>
      </c>
      <c r="B90" s="380" t="str">
        <f t="shared" si="1"/>
        <v>016-902</v>
      </c>
      <c r="C90" s="2030">
        <v>1.06</v>
      </c>
    </row>
    <row r="91" spans="1:3" ht="14.5">
      <c r="A91" t="s">
        <v>4936</v>
      </c>
      <c r="B91" s="380" t="str">
        <f t="shared" si="1"/>
        <v>017-901</v>
      </c>
      <c r="C91" s="2030">
        <v>1.04</v>
      </c>
    </row>
    <row r="92" spans="1:3" ht="14.5">
      <c r="A92" t="s">
        <v>2888</v>
      </c>
      <c r="B92" s="380" t="str">
        <f t="shared" si="1"/>
        <v>018-901</v>
      </c>
      <c r="C92" s="2030">
        <v>1.04</v>
      </c>
    </row>
    <row r="93" spans="1:3" ht="14.5">
      <c r="A93" t="s">
        <v>2889</v>
      </c>
      <c r="B93" s="380" t="str">
        <f t="shared" si="1"/>
        <v>018-902</v>
      </c>
      <c r="C93" s="2030">
        <v>1.04</v>
      </c>
    </row>
    <row r="94" spans="1:3" ht="14.5">
      <c r="A94" t="s">
        <v>5753</v>
      </c>
      <c r="B94" s="380" t="str">
        <f t="shared" si="1"/>
        <v>018-903</v>
      </c>
      <c r="C94" s="2030">
        <v>1.04</v>
      </c>
    </row>
    <row r="95" spans="1:3" ht="14.5">
      <c r="A95" t="s">
        <v>2890</v>
      </c>
      <c r="B95" s="380" t="str">
        <f t="shared" si="1"/>
        <v>018-904</v>
      </c>
      <c r="C95" s="2030">
        <v>1.04</v>
      </c>
    </row>
    <row r="96" spans="1:3" ht="14.5">
      <c r="A96" t="s">
        <v>3522</v>
      </c>
      <c r="B96" s="380" t="str">
        <f t="shared" si="1"/>
        <v>018-905</v>
      </c>
      <c r="C96" s="2030">
        <v>0.94990000000000019</v>
      </c>
    </row>
    <row r="97" spans="1:3" ht="14.5">
      <c r="A97" t="s">
        <v>4937</v>
      </c>
      <c r="B97" s="380" t="str">
        <f t="shared" si="1"/>
        <v>018-906</v>
      </c>
      <c r="C97" s="2030">
        <v>1.04</v>
      </c>
    </row>
    <row r="98" spans="1:3" ht="14.5">
      <c r="A98" t="s">
        <v>4938</v>
      </c>
      <c r="B98" s="380" t="str">
        <f t="shared" si="1"/>
        <v>018-907</v>
      </c>
      <c r="C98" s="2030">
        <v>1.04</v>
      </c>
    </row>
    <row r="99" spans="1:3" ht="14.5">
      <c r="A99" t="s">
        <v>5754</v>
      </c>
      <c r="B99" s="380" t="str">
        <f t="shared" si="1"/>
        <v>018-908</v>
      </c>
      <c r="C99" s="2030">
        <v>1.04</v>
      </c>
    </row>
    <row r="100" spans="1:3" ht="14.5">
      <c r="A100" t="s">
        <v>3524</v>
      </c>
      <c r="B100" s="380" t="str">
        <f t="shared" si="1"/>
        <v>019-901</v>
      </c>
      <c r="C100" s="2030">
        <v>1.17</v>
      </c>
    </row>
    <row r="101" spans="1:3" ht="14.5">
      <c r="A101" t="s">
        <v>2891</v>
      </c>
      <c r="B101" s="380" t="str">
        <f t="shared" si="1"/>
        <v>019-902</v>
      </c>
      <c r="C101" s="2030">
        <v>1.17</v>
      </c>
    </row>
    <row r="102" spans="1:3" ht="14.5">
      <c r="A102" t="s">
        <v>2892</v>
      </c>
      <c r="B102" s="380" t="str">
        <f t="shared" si="1"/>
        <v>019-903</v>
      </c>
      <c r="C102" s="2030">
        <v>1.17</v>
      </c>
    </row>
    <row r="103" spans="1:3" ht="14.5">
      <c r="A103" t="s">
        <v>2893</v>
      </c>
      <c r="B103" s="380" t="str">
        <f t="shared" si="1"/>
        <v>019-905</v>
      </c>
      <c r="C103" s="2030">
        <v>1.17</v>
      </c>
    </row>
    <row r="104" spans="1:3" ht="14.5">
      <c r="A104" t="s">
        <v>4939</v>
      </c>
      <c r="B104" s="380" t="str">
        <f t="shared" si="1"/>
        <v>019-906</v>
      </c>
      <c r="C104" s="2030">
        <v>1.17</v>
      </c>
    </row>
    <row r="105" spans="1:3" ht="14.5">
      <c r="A105" t="s">
        <v>4940</v>
      </c>
      <c r="B105" s="380" t="str">
        <f t="shared" si="1"/>
        <v>019-907</v>
      </c>
      <c r="C105" s="2030">
        <v>1.17</v>
      </c>
    </row>
    <row r="106" spans="1:3" ht="14.5">
      <c r="A106" t="s">
        <v>4941</v>
      </c>
      <c r="B106" s="380" t="str">
        <f t="shared" si="1"/>
        <v>019-908</v>
      </c>
      <c r="C106" s="2030">
        <v>1.17</v>
      </c>
    </row>
    <row r="107" spans="1:3" ht="14.5">
      <c r="A107" t="s">
        <v>2894</v>
      </c>
      <c r="B107" s="380" t="str">
        <f t="shared" si="1"/>
        <v>019-909</v>
      </c>
      <c r="C107" s="2030">
        <v>1.17</v>
      </c>
    </row>
    <row r="108" spans="1:3" ht="14.5">
      <c r="A108" t="s">
        <v>2895</v>
      </c>
      <c r="B108" s="380" t="str">
        <f t="shared" si="1"/>
        <v>019-910</v>
      </c>
      <c r="C108" s="2030">
        <v>1.04</v>
      </c>
    </row>
    <row r="109" spans="1:3" ht="14.5">
      <c r="A109" t="s">
        <v>4942</v>
      </c>
      <c r="B109" s="380" t="str">
        <f t="shared" si="1"/>
        <v>019-911</v>
      </c>
      <c r="C109" s="2030">
        <v>1.04</v>
      </c>
    </row>
    <row r="110" spans="1:3" ht="14.5">
      <c r="A110" t="s">
        <v>4943</v>
      </c>
      <c r="B110" s="380" t="str">
        <f t="shared" si="1"/>
        <v>019-912</v>
      </c>
      <c r="C110" s="2030">
        <v>1.0900000000000001</v>
      </c>
    </row>
    <row r="111" spans="1:3" ht="14.5">
      <c r="A111" t="s">
        <v>5755</v>
      </c>
      <c r="B111" s="380" t="str">
        <f t="shared" si="1"/>
        <v>019-913</v>
      </c>
      <c r="C111" s="2030">
        <v>1.04</v>
      </c>
    </row>
    <row r="112" spans="1:3" ht="14.5">
      <c r="A112" t="s">
        <v>5756</v>
      </c>
      <c r="B112" s="380" t="str">
        <f t="shared" si="1"/>
        <v>019-914</v>
      </c>
      <c r="C112" s="2030">
        <v>1.04</v>
      </c>
    </row>
    <row r="113" spans="1:3" ht="14.5">
      <c r="A113" t="s">
        <v>2896</v>
      </c>
      <c r="B113" s="380" t="str">
        <f t="shared" si="1"/>
        <v>020-901</v>
      </c>
      <c r="C113" s="2030">
        <v>1.17</v>
      </c>
    </row>
    <row r="114" spans="1:3" ht="14.5">
      <c r="A114" t="s">
        <v>4944</v>
      </c>
      <c r="B114" s="380" t="str">
        <f t="shared" si="1"/>
        <v>020-902</v>
      </c>
      <c r="C114" s="2030">
        <v>1.04</v>
      </c>
    </row>
    <row r="115" spans="1:3" ht="14.5">
      <c r="A115" t="s">
        <v>2897</v>
      </c>
      <c r="B115" s="380" t="str">
        <f t="shared" si="1"/>
        <v>020-904</v>
      </c>
      <c r="C115" s="2030">
        <v>1.17</v>
      </c>
    </row>
    <row r="116" spans="1:3" ht="14.5">
      <c r="A116" t="s">
        <v>4945</v>
      </c>
      <c r="B116" s="380" t="str">
        <f t="shared" si="1"/>
        <v>020-905</v>
      </c>
      <c r="C116" s="2030">
        <v>1.04</v>
      </c>
    </row>
    <row r="117" spans="1:3" ht="14.5">
      <c r="A117" t="s">
        <v>4946</v>
      </c>
      <c r="B117" s="380" t="str">
        <f t="shared" si="1"/>
        <v>020-906</v>
      </c>
      <c r="C117" s="2030">
        <v>1.06</v>
      </c>
    </row>
    <row r="118" spans="1:3" ht="14.5">
      <c r="A118" t="s">
        <v>2898</v>
      </c>
      <c r="B118" s="380" t="str">
        <f t="shared" si="1"/>
        <v>020-907</v>
      </c>
      <c r="C118" s="2030">
        <v>1.04</v>
      </c>
    </row>
    <row r="119" spans="1:3" ht="14.5">
      <c r="A119" t="s">
        <v>2899</v>
      </c>
      <c r="B119" s="380" t="str">
        <f t="shared" si="1"/>
        <v>020-908</v>
      </c>
      <c r="C119" s="2030">
        <v>1.06</v>
      </c>
    </row>
    <row r="120" spans="1:3" ht="14.5">
      <c r="A120" t="s">
        <v>2900</v>
      </c>
      <c r="B120" s="380" t="str">
        <f t="shared" si="1"/>
        <v>020-910</v>
      </c>
      <c r="C120" s="2030">
        <v>1.17</v>
      </c>
    </row>
    <row r="121" spans="1:3" ht="14.5">
      <c r="A121" t="s">
        <v>7944</v>
      </c>
      <c r="B121" s="380" t="str">
        <f t="shared" si="1"/>
        <v>021-803</v>
      </c>
      <c r="C121" s="2030">
        <v>0</v>
      </c>
    </row>
    <row r="122" spans="1:3" ht="14.5">
      <c r="A122" t="s">
        <v>7945</v>
      </c>
      <c r="B122" s="380" t="str">
        <f t="shared" si="1"/>
        <v>021-805</v>
      </c>
      <c r="C122" s="2030">
        <v>0</v>
      </c>
    </row>
    <row r="123" spans="1:3" ht="14.5">
      <c r="A123" t="s">
        <v>2901</v>
      </c>
      <c r="B123" s="380" t="str">
        <f t="shared" si="1"/>
        <v>021-901</v>
      </c>
      <c r="C123" s="2030">
        <v>1.04</v>
      </c>
    </row>
    <row r="124" spans="1:3" ht="14.5">
      <c r="A124" t="s">
        <v>2902</v>
      </c>
      <c r="B124" s="380" t="str">
        <f t="shared" si="1"/>
        <v>021-902</v>
      </c>
      <c r="C124" s="2030">
        <v>1.06</v>
      </c>
    </row>
    <row r="125" spans="1:3" ht="14.5">
      <c r="A125" t="s">
        <v>5757</v>
      </c>
      <c r="B125" s="380" t="str">
        <f t="shared" si="1"/>
        <v>022-004</v>
      </c>
      <c r="C125" s="2030">
        <v>1.04</v>
      </c>
    </row>
    <row r="126" spans="1:3" ht="14.5">
      <c r="A126" t="s">
        <v>4947</v>
      </c>
      <c r="B126" s="380" t="str">
        <f t="shared" si="1"/>
        <v>022-901</v>
      </c>
      <c r="C126" s="2030">
        <v>1.17</v>
      </c>
    </row>
    <row r="127" spans="1:3" ht="14.5">
      <c r="A127" t="s">
        <v>5758</v>
      </c>
      <c r="B127" s="380" t="str">
        <f t="shared" si="1"/>
        <v>022-902</v>
      </c>
      <c r="C127" s="2030">
        <v>1.17</v>
      </c>
    </row>
    <row r="128" spans="1:3" ht="14.5">
      <c r="A128" t="s">
        <v>5759</v>
      </c>
      <c r="B128" s="380" t="str">
        <f t="shared" si="1"/>
        <v>022-903</v>
      </c>
      <c r="C128" s="2030">
        <v>1.04</v>
      </c>
    </row>
    <row r="129" spans="1:3" ht="14.5">
      <c r="A129" t="s">
        <v>5760</v>
      </c>
      <c r="B129" s="380" t="str">
        <f t="shared" si="1"/>
        <v>023-902</v>
      </c>
      <c r="C129" s="2030">
        <v>1.04</v>
      </c>
    </row>
    <row r="130" spans="1:3" ht="14.5">
      <c r="A130" t="s">
        <v>4948</v>
      </c>
      <c r="B130" s="380" t="str">
        <f t="shared" ref="B130:B193" si="2">CONCATENATE(LEFT(RIGHT(CONCATENATE("000",A130),6),3),"-",(RIGHT(RIGHT(CONCATENATE("000",A130),6),3)))</f>
        <v>024-901</v>
      </c>
      <c r="C130" s="2030">
        <v>1.17</v>
      </c>
    </row>
    <row r="131" spans="1:3" ht="14.5">
      <c r="A131" t="s">
        <v>4949</v>
      </c>
      <c r="B131" s="380" t="str">
        <f t="shared" si="2"/>
        <v>025-901</v>
      </c>
      <c r="C131" s="2030">
        <v>1.04</v>
      </c>
    </row>
    <row r="132" spans="1:3" ht="14.5">
      <c r="A132" t="s">
        <v>4950</v>
      </c>
      <c r="B132" s="380" t="str">
        <f t="shared" si="2"/>
        <v>025-902</v>
      </c>
      <c r="C132" s="2030">
        <v>1.04</v>
      </c>
    </row>
    <row r="133" spans="1:3" ht="14.5">
      <c r="A133" t="s">
        <v>2903</v>
      </c>
      <c r="B133" s="380" t="str">
        <f t="shared" si="2"/>
        <v>025-904</v>
      </c>
      <c r="C133" s="2030">
        <v>1.04</v>
      </c>
    </row>
    <row r="134" spans="1:3" ht="14.5">
      <c r="A134" t="s">
        <v>2904</v>
      </c>
      <c r="B134" s="380" t="str">
        <f t="shared" si="2"/>
        <v>025-905</v>
      </c>
      <c r="C134" s="2030">
        <v>1.04</v>
      </c>
    </row>
    <row r="135" spans="1:3" ht="14.5">
      <c r="A135" t="s">
        <v>2905</v>
      </c>
      <c r="B135" s="380" t="str">
        <f t="shared" si="2"/>
        <v>025-906</v>
      </c>
      <c r="C135" s="2030">
        <v>1.04</v>
      </c>
    </row>
    <row r="136" spans="1:3" ht="14.5">
      <c r="A136" t="s">
        <v>2906</v>
      </c>
      <c r="B136" s="380" t="str">
        <f t="shared" si="2"/>
        <v>025-908</v>
      </c>
      <c r="C136" s="2030">
        <v>1.17</v>
      </c>
    </row>
    <row r="137" spans="1:3" ht="14.5">
      <c r="A137" t="s">
        <v>2907</v>
      </c>
      <c r="B137" s="380" t="str">
        <f t="shared" si="2"/>
        <v>025-909</v>
      </c>
      <c r="C137" s="2030">
        <v>1.17</v>
      </c>
    </row>
    <row r="138" spans="1:3" ht="14.5">
      <c r="A138" t="s">
        <v>4951</v>
      </c>
      <c r="B138" s="380" t="str">
        <f t="shared" si="2"/>
        <v>026-901</v>
      </c>
      <c r="C138" s="2030">
        <v>1.1267</v>
      </c>
    </row>
    <row r="139" spans="1:3" ht="14.5">
      <c r="A139" t="s">
        <v>4952</v>
      </c>
      <c r="B139" s="380" t="str">
        <f t="shared" si="2"/>
        <v>026-902</v>
      </c>
      <c r="C139" s="2030">
        <v>1.04</v>
      </c>
    </row>
    <row r="140" spans="1:3" ht="14.5">
      <c r="A140" t="s">
        <v>2908</v>
      </c>
      <c r="B140" s="380" t="str">
        <f t="shared" si="2"/>
        <v>026-903</v>
      </c>
      <c r="C140" s="2030">
        <v>1.17</v>
      </c>
    </row>
    <row r="141" spans="1:3" ht="14.5">
      <c r="A141" t="s">
        <v>2909</v>
      </c>
      <c r="B141" s="380" t="str">
        <f t="shared" si="2"/>
        <v>027-903</v>
      </c>
      <c r="C141" s="2030">
        <v>1.06</v>
      </c>
    </row>
    <row r="142" spans="1:3" ht="14.5">
      <c r="A142" t="s">
        <v>3582</v>
      </c>
      <c r="B142" s="380" t="str">
        <f t="shared" si="2"/>
        <v>027-904</v>
      </c>
      <c r="C142" s="2030">
        <v>1.0533000000000001</v>
      </c>
    </row>
    <row r="143" spans="1:3" ht="14.5">
      <c r="A143" t="s">
        <v>2910</v>
      </c>
      <c r="B143" s="380" t="str">
        <f t="shared" si="2"/>
        <v>028-902</v>
      </c>
      <c r="C143" s="2030">
        <v>1.04</v>
      </c>
    </row>
    <row r="144" spans="1:3" ht="14.5">
      <c r="A144" t="s">
        <v>2911</v>
      </c>
      <c r="B144" s="380" t="str">
        <f t="shared" si="2"/>
        <v>028-903</v>
      </c>
      <c r="C144" s="2030">
        <v>1.0390000000000001</v>
      </c>
    </row>
    <row r="145" spans="1:3" ht="14.5">
      <c r="A145" t="s">
        <v>5761</v>
      </c>
      <c r="B145" s="380" t="str">
        <f t="shared" si="2"/>
        <v>028-906</v>
      </c>
      <c r="C145" s="2030">
        <v>1.02</v>
      </c>
    </row>
    <row r="146" spans="1:3" ht="14.5">
      <c r="A146" t="s">
        <v>4953</v>
      </c>
      <c r="B146" s="380" t="str">
        <f t="shared" si="2"/>
        <v>029-901</v>
      </c>
      <c r="C146" s="2030">
        <v>1.04</v>
      </c>
    </row>
    <row r="147" spans="1:3" ht="14.5">
      <c r="A147" t="s">
        <v>5762</v>
      </c>
      <c r="B147" s="380" t="str">
        <f t="shared" si="2"/>
        <v>030-901</v>
      </c>
      <c r="C147" s="2030">
        <v>1.17</v>
      </c>
    </row>
    <row r="148" spans="1:3" ht="14.5">
      <c r="A148" t="s">
        <v>2912</v>
      </c>
      <c r="B148" s="380" t="str">
        <f t="shared" si="2"/>
        <v>030-902</v>
      </c>
      <c r="C148" s="2030">
        <v>1.04</v>
      </c>
    </row>
    <row r="149" spans="1:3" ht="14.5">
      <c r="A149" t="s">
        <v>2913</v>
      </c>
      <c r="B149" s="380" t="str">
        <f t="shared" si="2"/>
        <v>030-903</v>
      </c>
      <c r="C149" s="2030">
        <v>1.17</v>
      </c>
    </row>
    <row r="150" spans="1:3" ht="14.5">
      <c r="A150" t="s">
        <v>4954</v>
      </c>
      <c r="B150" s="380" t="str">
        <f t="shared" si="2"/>
        <v>030-906</v>
      </c>
      <c r="C150" s="2030">
        <v>1.17</v>
      </c>
    </row>
    <row r="151" spans="1:3" ht="14.5">
      <c r="A151" t="s">
        <v>2914</v>
      </c>
      <c r="B151" s="380" t="str">
        <f t="shared" si="2"/>
        <v>031-901</v>
      </c>
      <c r="C151" s="2030">
        <v>1.1525000000000003</v>
      </c>
    </row>
    <row r="152" spans="1:3" ht="14.5">
      <c r="A152" t="s">
        <v>2915</v>
      </c>
      <c r="B152" s="380" t="str">
        <f t="shared" si="2"/>
        <v>031-903</v>
      </c>
      <c r="C152" s="2030">
        <v>1.17</v>
      </c>
    </row>
    <row r="153" spans="1:3" ht="14.5">
      <c r="A153" t="s">
        <v>2916</v>
      </c>
      <c r="B153" s="380" t="str">
        <f t="shared" si="2"/>
        <v>031-905</v>
      </c>
      <c r="C153" s="2030">
        <v>1.17</v>
      </c>
    </row>
    <row r="154" spans="1:3" ht="14.5">
      <c r="A154" t="s">
        <v>2917</v>
      </c>
      <c r="B154" s="380" t="str">
        <f t="shared" si="2"/>
        <v>031-906</v>
      </c>
      <c r="C154" s="2030">
        <v>1.17</v>
      </c>
    </row>
    <row r="155" spans="1:3" ht="14.5">
      <c r="A155" t="s">
        <v>4955</v>
      </c>
      <c r="B155" s="380" t="str">
        <f t="shared" si="2"/>
        <v>031-909</v>
      </c>
      <c r="C155" s="2030">
        <v>1.0401</v>
      </c>
    </row>
    <row r="156" spans="1:3" ht="14.5">
      <c r="A156" t="s">
        <v>2918</v>
      </c>
      <c r="B156" s="380" t="str">
        <f t="shared" si="2"/>
        <v>031-911</v>
      </c>
      <c r="C156" s="2030">
        <v>1.17</v>
      </c>
    </row>
    <row r="157" spans="1:3" ht="14.5">
      <c r="A157" t="s">
        <v>2919</v>
      </c>
      <c r="B157" s="380" t="str">
        <f t="shared" si="2"/>
        <v>031-912</v>
      </c>
      <c r="C157" s="2030">
        <v>1.17</v>
      </c>
    </row>
    <row r="158" spans="1:3" ht="14.5">
      <c r="A158" t="s">
        <v>2920</v>
      </c>
      <c r="B158" s="380" t="str">
        <f t="shared" si="2"/>
        <v>031-913</v>
      </c>
      <c r="C158" s="2030">
        <v>1.17</v>
      </c>
    </row>
    <row r="159" spans="1:3" ht="14.5">
      <c r="A159" t="s">
        <v>2921</v>
      </c>
      <c r="B159" s="380" t="str">
        <f t="shared" si="2"/>
        <v>031-914</v>
      </c>
      <c r="C159" s="2030">
        <v>1.17</v>
      </c>
    </row>
    <row r="160" spans="1:3" ht="14.5">
      <c r="A160" t="s">
        <v>7354</v>
      </c>
      <c r="B160" s="380" t="str">
        <f t="shared" si="2"/>
        <v>031-916</v>
      </c>
      <c r="C160" s="2030">
        <v>0</v>
      </c>
    </row>
    <row r="161" spans="1:3" ht="14.5">
      <c r="A161" t="s">
        <v>4956</v>
      </c>
      <c r="B161" s="380" t="str">
        <f t="shared" si="2"/>
        <v>032-902</v>
      </c>
      <c r="C161" s="2030">
        <v>1.04</v>
      </c>
    </row>
    <row r="162" spans="1:3" ht="14.5">
      <c r="A162" t="s">
        <v>4957</v>
      </c>
      <c r="B162" s="380" t="str">
        <f t="shared" si="2"/>
        <v>033-901</v>
      </c>
      <c r="C162" s="2030">
        <v>1.06</v>
      </c>
    </row>
    <row r="163" spans="1:3" ht="14.5">
      <c r="A163" t="s">
        <v>4958</v>
      </c>
      <c r="B163" s="380" t="str">
        <f t="shared" si="2"/>
        <v>033-902</v>
      </c>
      <c r="C163" s="2030">
        <v>1.04</v>
      </c>
    </row>
    <row r="164" spans="1:3" ht="14.5">
      <c r="A164" t="s">
        <v>4959</v>
      </c>
      <c r="B164" s="380" t="str">
        <f t="shared" si="2"/>
        <v>033-904</v>
      </c>
      <c r="C164" s="2030">
        <v>1.04</v>
      </c>
    </row>
    <row r="165" spans="1:3" ht="14.5">
      <c r="A165" t="s">
        <v>4960</v>
      </c>
      <c r="B165" s="380" t="str">
        <f t="shared" si="2"/>
        <v>034-901</v>
      </c>
      <c r="C165" s="2030">
        <v>1.17</v>
      </c>
    </row>
    <row r="166" spans="1:3" ht="14.5">
      <c r="A166" t="s">
        <v>5763</v>
      </c>
      <c r="B166" s="380" t="str">
        <f t="shared" si="2"/>
        <v>034-902</v>
      </c>
      <c r="C166" s="2030">
        <v>1.17</v>
      </c>
    </row>
    <row r="167" spans="1:3" ht="14.5">
      <c r="A167" t="s">
        <v>4961</v>
      </c>
      <c r="B167" s="380" t="str">
        <f t="shared" si="2"/>
        <v>034-903</v>
      </c>
      <c r="C167" s="2030">
        <v>1.119</v>
      </c>
    </row>
    <row r="168" spans="1:3" ht="14.5">
      <c r="A168" t="s">
        <v>5764</v>
      </c>
      <c r="B168" s="380" t="str">
        <f t="shared" si="2"/>
        <v>034-905</v>
      </c>
      <c r="C168" s="2030">
        <v>1.17</v>
      </c>
    </row>
    <row r="169" spans="1:3" ht="14.5">
      <c r="A169" t="s">
        <v>3647</v>
      </c>
      <c r="B169" s="380" t="str">
        <f t="shared" si="2"/>
        <v>034-906</v>
      </c>
      <c r="C169" s="2030">
        <v>1.0401</v>
      </c>
    </row>
    <row r="170" spans="1:3" ht="14.5">
      <c r="A170" t="s">
        <v>4962</v>
      </c>
      <c r="B170" s="380" t="str">
        <f t="shared" si="2"/>
        <v>034-907</v>
      </c>
      <c r="C170" s="2030">
        <v>1.17</v>
      </c>
    </row>
    <row r="171" spans="1:3" ht="14.5">
      <c r="A171" t="s">
        <v>4963</v>
      </c>
      <c r="B171" s="380" t="str">
        <f t="shared" si="2"/>
        <v>034-909</v>
      </c>
      <c r="C171" s="2030">
        <v>1.17</v>
      </c>
    </row>
    <row r="172" spans="1:3" ht="14.5">
      <c r="A172" t="s">
        <v>4964</v>
      </c>
      <c r="B172" s="380" t="str">
        <f t="shared" si="2"/>
        <v>035-901</v>
      </c>
      <c r="C172" s="2030">
        <v>1.04</v>
      </c>
    </row>
    <row r="173" spans="1:3" ht="14.5">
      <c r="A173" t="s">
        <v>5765</v>
      </c>
      <c r="B173" s="380" t="str">
        <f t="shared" si="2"/>
        <v>035-902</v>
      </c>
      <c r="C173" s="2030">
        <v>1.17</v>
      </c>
    </row>
    <row r="174" spans="1:3" ht="14.5">
      <c r="A174" t="s">
        <v>2922</v>
      </c>
      <c r="B174" s="380" t="str">
        <f t="shared" si="2"/>
        <v>035-903</v>
      </c>
      <c r="C174" s="2030">
        <v>1.17</v>
      </c>
    </row>
    <row r="175" spans="1:3" ht="14.5">
      <c r="A175" t="s">
        <v>2923</v>
      </c>
      <c r="B175" s="380" t="str">
        <f t="shared" si="2"/>
        <v>036-901</v>
      </c>
      <c r="C175" s="2030">
        <v>1.06</v>
      </c>
    </row>
    <row r="176" spans="1:3" ht="14.5">
      <c r="A176" t="s">
        <v>4965</v>
      </c>
      <c r="B176" s="380" t="str">
        <f t="shared" si="2"/>
        <v>036-902</v>
      </c>
      <c r="C176" s="2030">
        <v>1.06</v>
      </c>
    </row>
    <row r="177" spans="1:3" ht="14.5">
      <c r="A177" t="s">
        <v>2924</v>
      </c>
      <c r="B177" s="380" t="str">
        <f t="shared" si="2"/>
        <v>036-903</v>
      </c>
      <c r="C177" s="2030">
        <v>1.17</v>
      </c>
    </row>
    <row r="178" spans="1:3" ht="14.5">
      <c r="A178" t="s">
        <v>4966</v>
      </c>
      <c r="B178" s="380" t="str">
        <f t="shared" si="2"/>
        <v>037-901</v>
      </c>
      <c r="C178" s="2030">
        <v>1.04</v>
      </c>
    </row>
    <row r="179" spans="1:3" ht="14.5">
      <c r="A179" t="s">
        <v>2925</v>
      </c>
      <c r="B179" s="380" t="str">
        <f t="shared" si="2"/>
        <v>037-904</v>
      </c>
      <c r="C179" s="2030">
        <v>1.04</v>
      </c>
    </row>
    <row r="180" spans="1:3" ht="14.5">
      <c r="A180" t="s">
        <v>2926</v>
      </c>
      <c r="B180" s="380" t="str">
        <f t="shared" si="2"/>
        <v>037-907</v>
      </c>
      <c r="C180" s="2030">
        <v>1.04</v>
      </c>
    </row>
    <row r="181" spans="1:3" ht="14.5">
      <c r="A181" t="s">
        <v>3657</v>
      </c>
      <c r="B181" s="380" t="str">
        <f t="shared" si="2"/>
        <v>037-908</v>
      </c>
      <c r="C181" s="2030">
        <v>1.17</v>
      </c>
    </row>
    <row r="182" spans="1:3" ht="14.5">
      <c r="A182" t="s">
        <v>4967</v>
      </c>
      <c r="B182" s="380" t="str">
        <f t="shared" si="2"/>
        <v>037-909</v>
      </c>
      <c r="C182" s="2030">
        <v>1.17</v>
      </c>
    </row>
    <row r="183" spans="1:3" ht="14.5">
      <c r="A183" t="s">
        <v>2927</v>
      </c>
      <c r="B183" s="380" t="str">
        <f t="shared" si="2"/>
        <v>038-901</v>
      </c>
      <c r="C183" s="2030">
        <v>1.04</v>
      </c>
    </row>
    <row r="184" spans="1:3" ht="14.5">
      <c r="A184" t="s">
        <v>4968</v>
      </c>
      <c r="B184" s="380" t="str">
        <f t="shared" si="2"/>
        <v>039-902</v>
      </c>
      <c r="C184" s="2030">
        <v>1.04</v>
      </c>
    </row>
    <row r="185" spans="1:3" ht="14.5">
      <c r="A185" t="s">
        <v>2928</v>
      </c>
      <c r="B185" s="380" t="str">
        <f t="shared" si="2"/>
        <v>039-903</v>
      </c>
      <c r="C185" s="2030">
        <v>1.17</v>
      </c>
    </row>
    <row r="186" spans="1:3" ht="14.5">
      <c r="A186" t="s">
        <v>5766</v>
      </c>
      <c r="B186" s="380" t="str">
        <f t="shared" si="2"/>
        <v>039-904</v>
      </c>
      <c r="C186" s="2030">
        <v>1.17</v>
      </c>
    </row>
    <row r="187" spans="1:3" ht="14.5">
      <c r="A187" t="s">
        <v>5767</v>
      </c>
      <c r="B187" s="380" t="str">
        <f t="shared" si="2"/>
        <v>039-905</v>
      </c>
      <c r="C187" s="2030">
        <v>1.04</v>
      </c>
    </row>
    <row r="188" spans="1:3" ht="14.5">
      <c r="A188" t="s">
        <v>5768</v>
      </c>
      <c r="B188" s="380" t="str">
        <f t="shared" si="2"/>
        <v>040-901</v>
      </c>
      <c r="C188" s="2030">
        <v>1.04</v>
      </c>
    </row>
    <row r="189" spans="1:3" ht="14.5">
      <c r="A189" t="s">
        <v>4969</v>
      </c>
      <c r="B189" s="380" t="str">
        <f t="shared" si="2"/>
        <v>040-902</v>
      </c>
      <c r="C189" s="2030">
        <v>1.04</v>
      </c>
    </row>
    <row r="190" spans="1:3" ht="14.5">
      <c r="A190" t="s">
        <v>5769</v>
      </c>
      <c r="B190" s="380" t="str">
        <f t="shared" si="2"/>
        <v>041-901</v>
      </c>
      <c r="C190" s="2030">
        <v>1.08</v>
      </c>
    </row>
    <row r="191" spans="1:3" ht="14.5">
      <c r="A191" t="s">
        <v>4970</v>
      </c>
      <c r="B191" s="380" t="str">
        <f t="shared" si="2"/>
        <v>041-902</v>
      </c>
      <c r="C191" s="2030">
        <v>1.04</v>
      </c>
    </row>
    <row r="192" spans="1:3" ht="14.5">
      <c r="A192" t="s">
        <v>3664</v>
      </c>
      <c r="B192" s="380" t="str">
        <f t="shared" si="2"/>
        <v>042-901</v>
      </c>
      <c r="C192" s="2030">
        <v>1.17</v>
      </c>
    </row>
    <row r="193" spans="1:3" ht="14.5">
      <c r="A193" t="s">
        <v>2929</v>
      </c>
      <c r="B193" s="380" t="str">
        <f t="shared" si="2"/>
        <v>042-903</v>
      </c>
      <c r="C193" s="2030">
        <v>1.04</v>
      </c>
    </row>
    <row r="194" spans="1:3" ht="14.5">
      <c r="A194" t="s">
        <v>4971</v>
      </c>
      <c r="B194" s="380" t="str">
        <f t="shared" ref="B194:B257" si="3">CONCATENATE(LEFT(RIGHT(CONCATENATE("000",A194),6),3),"-",(RIGHT(RIGHT(CONCATENATE("000",A194),6),3)))</f>
        <v>042-905</v>
      </c>
      <c r="C194" s="2030">
        <v>1.17</v>
      </c>
    </row>
    <row r="195" spans="1:3" ht="14.5">
      <c r="A195" t="s">
        <v>7948</v>
      </c>
      <c r="B195" s="380" t="str">
        <f t="shared" si="3"/>
        <v>043-801</v>
      </c>
      <c r="C195" s="2030">
        <v>0</v>
      </c>
    </row>
    <row r="196" spans="1:3" ht="14.5">
      <c r="A196" t="s">
        <v>7949</v>
      </c>
      <c r="B196" s="380" t="str">
        <f t="shared" si="3"/>
        <v>043-802</v>
      </c>
      <c r="C196" s="2030">
        <v>0</v>
      </c>
    </row>
    <row r="197" spans="1:3" ht="14.5">
      <c r="A197" t="s">
        <v>2930</v>
      </c>
      <c r="B197" s="380" t="str">
        <f t="shared" si="3"/>
        <v>043-901</v>
      </c>
      <c r="C197" s="2030">
        <v>1.1400000000000001</v>
      </c>
    </row>
    <row r="198" spans="1:3" ht="14.5">
      <c r="A198" t="s">
        <v>2931</v>
      </c>
      <c r="B198" s="380" t="str">
        <f t="shared" si="3"/>
        <v>043-902</v>
      </c>
      <c r="C198" s="2030">
        <v>1.17</v>
      </c>
    </row>
    <row r="199" spans="1:3" ht="14.5">
      <c r="A199" t="s">
        <v>2932</v>
      </c>
      <c r="B199" s="380" t="str">
        <f t="shared" si="3"/>
        <v>043-903</v>
      </c>
      <c r="C199" s="2030">
        <v>1.1400000000000001</v>
      </c>
    </row>
    <row r="200" spans="1:3" ht="14.5">
      <c r="A200" t="s">
        <v>2933</v>
      </c>
      <c r="B200" s="380" t="str">
        <f t="shared" si="3"/>
        <v>043-904</v>
      </c>
      <c r="C200" s="2030">
        <v>1.17</v>
      </c>
    </row>
    <row r="201" spans="1:3" ht="14.5">
      <c r="A201" t="s">
        <v>2934</v>
      </c>
      <c r="B201" s="380" t="str">
        <f t="shared" si="3"/>
        <v>043-905</v>
      </c>
      <c r="C201" s="2030">
        <v>1.17</v>
      </c>
    </row>
    <row r="202" spans="1:3" ht="14.5">
      <c r="A202" t="s">
        <v>2935</v>
      </c>
      <c r="B202" s="380" t="str">
        <f t="shared" si="3"/>
        <v>043-907</v>
      </c>
      <c r="C202" s="2030">
        <v>1.17</v>
      </c>
    </row>
    <row r="203" spans="1:3" ht="14.5">
      <c r="A203" t="s">
        <v>2936</v>
      </c>
      <c r="B203" s="380" t="str">
        <f t="shared" si="3"/>
        <v>043-908</v>
      </c>
      <c r="C203" s="2030">
        <v>1.17</v>
      </c>
    </row>
    <row r="204" spans="1:3" ht="14.5">
      <c r="A204" t="s">
        <v>4972</v>
      </c>
      <c r="B204" s="380" t="str">
        <f t="shared" si="3"/>
        <v>043-910</v>
      </c>
      <c r="C204" s="2030">
        <v>1.17</v>
      </c>
    </row>
    <row r="205" spans="1:3" ht="14.5">
      <c r="A205" t="s">
        <v>2937</v>
      </c>
      <c r="B205" s="380" t="str">
        <f t="shared" si="3"/>
        <v>043-911</v>
      </c>
      <c r="C205" s="2030">
        <v>1.17</v>
      </c>
    </row>
    <row r="206" spans="1:3" ht="14.5">
      <c r="A206" t="s">
        <v>2938</v>
      </c>
      <c r="B206" s="380" t="str">
        <f t="shared" si="3"/>
        <v>043-912</v>
      </c>
      <c r="C206" s="2030">
        <v>1.17</v>
      </c>
    </row>
    <row r="207" spans="1:3" ht="14.5">
      <c r="A207" t="s">
        <v>2939</v>
      </c>
      <c r="B207" s="380" t="str">
        <f t="shared" si="3"/>
        <v>043-914</v>
      </c>
      <c r="C207" s="2030">
        <v>1.17</v>
      </c>
    </row>
    <row r="208" spans="1:3" ht="14.5">
      <c r="A208" t="s">
        <v>2940</v>
      </c>
      <c r="B208" s="380" t="str">
        <f t="shared" si="3"/>
        <v>043-917</v>
      </c>
      <c r="C208" s="2030">
        <v>1.17</v>
      </c>
    </row>
    <row r="209" spans="1:3" ht="14.5">
      <c r="A209" t="s">
        <v>2941</v>
      </c>
      <c r="B209" s="380" t="str">
        <f t="shared" si="3"/>
        <v>043-918</v>
      </c>
      <c r="C209" s="2030">
        <v>1.17</v>
      </c>
    </row>
    <row r="210" spans="1:3" ht="14.5">
      <c r="A210" t="s">
        <v>4973</v>
      </c>
      <c r="B210" s="380" t="str">
        <f t="shared" si="3"/>
        <v>043-919</v>
      </c>
      <c r="C210" s="2030">
        <v>1.17</v>
      </c>
    </row>
    <row r="211" spans="1:3" ht="14.5">
      <c r="A211" t="s">
        <v>5770</v>
      </c>
      <c r="B211" s="380" t="str">
        <f t="shared" si="3"/>
        <v>044-902</v>
      </c>
      <c r="C211" s="2030">
        <v>1.04</v>
      </c>
    </row>
    <row r="212" spans="1:3" ht="14.5">
      <c r="A212" t="s">
        <v>2942</v>
      </c>
      <c r="B212" s="380" t="str">
        <f t="shared" si="3"/>
        <v>045-902</v>
      </c>
      <c r="C212" s="2030">
        <v>1.04</v>
      </c>
    </row>
    <row r="213" spans="1:3" ht="14.5">
      <c r="A213" t="s">
        <v>4974</v>
      </c>
      <c r="B213" s="380" t="str">
        <f t="shared" si="3"/>
        <v>045-903</v>
      </c>
      <c r="C213" s="2030">
        <v>1.04</v>
      </c>
    </row>
    <row r="214" spans="1:3" ht="14.5">
      <c r="A214" t="s">
        <v>4975</v>
      </c>
      <c r="B214" s="380" t="str">
        <f t="shared" si="3"/>
        <v>045-905</v>
      </c>
      <c r="C214" s="2030">
        <v>1.04</v>
      </c>
    </row>
    <row r="215" spans="1:3" ht="14.5">
      <c r="A215" t="s">
        <v>7950</v>
      </c>
      <c r="B215" s="380" t="str">
        <f t="shared" si="3"/>
        <v>046-802</v>
      </c>
      <c r="C215" s="2030">
        <v>0</v>
      </c>
    </row>
    <row r="216" spans="1:3" ht="14.5">
      <c r="A216" t="s">
        <v>2943</v>
      </c>
      <c r="B216" s="380" t="str">
        <f t="shared" si="3"/>
        <v>046-901</v>
      </c>
      <c r="C216" s="2030">
        <v>1.04</v>
      </c>
    </row>
    <row r="217" spans="1:3" ht="14.5">
      <c r="A217" t="s">
        <v>4976</v>
      </c>
      <c r="B217" s="380" t="str">
        <f t="shared" si="3"/>
        <v>046-902</v>
      </c>
      <c r="C217" s="2030">
        <v>1.04</v>
      </c>
    </row>
    <row r="218" spans="1:3" ht="14.5">
      <c r="A218" t="s">
        <v>2944</v>
      </c>
      <c r="B218" s="380" t="str">
        <f t="shared" si="3"/>
        <v>047-901</v>
      </c>
      <c r="C218" s="2030">
        <v>1.17</v>
      </c>
    </row>
    <row r="219" spans="1:3" ht="14.5">
      <c r="A219" t="s">
        <v>2945</v>
      </c>
      <c r="B219" s="380" t="str">
        <f t="shared" si="3"/>
        <v>047-902</v>
      </c>
      <c r="C219" s="2030">
        <v>1.1300000000000001</v>
      </c>
    </row>
    <row r="220" spans="1:3" ht="14.5">
      <c r="A220" t="s">
        <v>2946</v>
      </c>
      <c r="B220" s="380" t="str">
        <f t="shared" si="3"/>
        <v>047-903</v>
      </c>
      <c r="C220" s="2030">
        <v>1.17</v>
      </c>
    </row>
    <row r="221" spans="1:3" ht="14.5">
      <c r="A221" t="s">
        <v>2947</v>
      </c>
      <c r="B221" s="380" t="str">
        <f t="shared" si="3"/>
        <v>047-905</v>
      </c>
      <c r="C221" s="2030">
        <v>1.04</v>
      </c>
    </row>
    <row r="222" spans="1:3" ht="14.5">
      <c r="A222" t="s">
        <v>5771</v>
      </c>
      <c r="B222" s="380" t="str">
        <f t="shared" si="3"/>
        <v>048-901</v>
      </c>
      <c r="C222" s="2030">
        <v>1.04</v>
      </c>
    </row>
    <row r="223" spans="1:3" ht="14.5">
      <c r="A223" t="s">
        <v>4977</v>
      </c>
      <c r="B223" s="380" t="str">
        <f t="shared" si="3"/>
        <v>048-903</v>
      </c>
      <c r="C223" s="2030">
        <v>1.1599999999999997</v>
      </c>
    </row>
    <row r="224" spans="1:3" ht="14.5">
      <c r="A224" t="s">
        <v>2948</v>
      </c>
      <c r="B224" s="380" t="str">
        <f t="shared" si="3"/>
        <v>049-901</v>
      </c>
      <c r="C224" s="2030">
        <v>1.17</v>
      </c>
    </row>
    <row r="225" spans="1:3" ht="14.5">
      <c r="A225" t="s">
        <v>4978</v>
      </c>
      <c r="B225" s="380" t="str">
        <f t="shared" si="3"/>
        <v>049-902</v>
      </c>
      <c r="C225" s="2030">
        <v>1.04</v>
      </c>
    </row>
    <row r="226" spans="1:3" ht="14.5">
      <c r="A226" t="s">
        <v>2949</v>
      </c>
      <c r="B226" s="380" t="str">
        <f t="shared" si="3"/>
        <v>049-903</v>
      </c>
      <c r="C226" s="2030">
        <v>1.1200000000000001</v>
      </c>
    </row>
    <row r="227" spans="1:3" ht="14.5">
      <c r="A227" t="s">
        <v>4979</v>
      </c>
      <c r="B227" s="380" t="str">
        <f t="shared" si="3"/>
        <v>049-905</v>
      </c>
      <c r="C227" s="2030">
        <v>1.04</v>
      </c>
    </row>
    <row r="228" spans="1:3" ht="14.5">
      <c r="A228" t="s">
        <v>2950</v>
      </c>
      <c r="B228" s="380" t="str">
        <f t="shared" si="3"/>
        <v>049-906</v>
      </c>
      <c r="C228" s="2030">
        <v>1.04</v>
      </c>
    </row>
    <row r="229" spans="1:3" ht="14.5">
      <c r="A229" t="s">
        <v>4980</v>
      </c>
      <c r="B229" s="380" t="str">
        <f t="shared" si="3"/>
        <v>049-907</v>
      </c>
      <c r="C229" s="2030">
        <v>1.04</v>
      </c>
    </row>
    <row r="230" spans="1:3" ht="14.5">
      <c r="A230" t="s">
        <v>5772</v>
      </c>
      <c r="B230" s="380" t="str">
        <f t="shared" si="3"/>
        <v>049-908</v>
      </c>
      <c r="C230" s="2030">
        <v>1.04</v>
      </c>
    </row>
    <row r="231" spans="1:3" ht="14.5">
      <c r="A231" t="s">
        <v>5773</v>
      </c>
      <c r="B231" s="380" t="str">
        <f t="shared" si="3"/>
        <v>049-909</v>
      </c>
      <c r="C231" s="2030">
        <v>1.04</v>
      </c>
    </row>
    <row r="232" spans="1:3" ht="14.5">
      <c r="A232" t="s">
        <v>5774</v>
      </c>
      <c r="B232" s="380" t="str">
        <f t="shared" si="3"/>
        <v>050-901</v>
      </c>
      <c r="C232" s="2030">
        <v>1.04</v>
      </c>
    </row>
    <row r="233" spans="1:3" ht="14.5">
      <c r="A233" t="s">
        <v>4981</v>
      </c>
      <c r="B233" s="380" t="str">
        <f t="shared" si="3"/>
        <v>050-902</v>
      </c>
      <c r="C233" s="2030">
        <v>1.04</v>
      </c>
    </row>
    <row r="234" spans="1:3" ht="14.5">
      <c r="A234" t="s">
        <v>2951</v>
      </c>
      <c r="B234" s="380" t="str">
        <f t="shared" si="3"/>
        <v>050-904</v>
      </c>
      <c r="C234" s="2030">
        <v>1.17</v>
      </c>
    </row>
    <row r="235" spans="1:3" ht="14.5">
      <c r="A235" t="s">
        <v>4982</v>
      </c>
      <c r="B235" s="380" t="str">
        <f t="shared" si="3"/>
        <v>050-909</v>
      </c>
      <c r="C235" s="2030">
        <v>1.17</v>
      </c>
    </row>
    <row r="236" spans="1:3" ht="14.5">
      <c r="A236" t="s">
        <v>2952</v>
      </c>
      <c r="B236" s="380" t="str">
        <f t="shared" si="3"/>
        <v>050-910</v>
      </c>
      <c r="C236" s="2030">
        <v>1.17</v>
      </c>
    </row>
    <row r="237" spans="1:3" ht="14.5">
      <c r="A237" t="s">
        <v>5775</v>
      </c>
      <c r="B237" s="380" t="str">
        <f t="shared" si="3"/>
        <v>051-901</v>
      </c>
      <c r="C237" s="2030">
        <v>1.04</v>
      </c>
    </row>
    <row r="238" spans="1:3" ht="14.5">
      <c r="A238" t="s">
        <v>4983</v>
      </c>
      <c r="B238" s="380" t="str">
        <f t="shared" si="3"/>
        <v>052-901</v>
      </c>
      <c r="C238" s="2030">
        <v>1.06</v>
      </c>
    </row>
    <row r="239" spans="1:3" ht="14.5">
      <c r="A239" t="s">
        <v>5776</v>
      </c>
      <c r="B239" s="380" t="str">
        <f t="shared" si="3"/>
        <v>053-001</v>
      </c>
      <c r="C239" s="2030">
        <v>1.06</v>
      </c>
    </row>
    <row r="240" spans="1:3" ht="14.5">
      <c r="A240" t="s">
        <v>5777</v>
      </c>
      <c r="B240" s="380" t="str">
        <f t="shared" si="3"/>
        <v>054-901</v>
      </c>
      <c r="C240" s="2030">
        <v>1.08</v>
      </c>
    </row>
    <row r="241" spans="1:3" ht="14.5">
      <c r="A241" t="s">
        <v>5778</v>
      </c>
      <c r="B241" s="380" t="str">
        <f t="shared" si="3"/>
        <v>054-902</v>
      </c>
      <c r="C241" s="2030">
        <v>1.0271000000000001</v>
      </c>
    </row>
    <row r="242" spans="1:3" ht="14.5">
      <c r="A242" t="s">
        <v>5779</v>
      </c>
      <c r="B242" s="380" t="str">
        <f t="shared" si="3"/>
        <v>054-903</v>
      </c>
      <c r="C242" s="2030">
        <v>1.04</v>
      </c>
    </row>
    <row r="243" spans="1:3" ht="14.5">
      <c r="A243" t="s">
        <v>4984</v>
      </c>
      <c r="B243" s="380" t="str">
        <f t="shared" si="3"/>
        <v>055-901</v>
      </c>
      <c r="C243" s="2030">
        <v>1.04</v>
      </c>
    </row>
    <row r="244" spans="1:3" ht="14.5">
      <c r="A244" t="s">
        <v>4985</v>
      </c>
      <c r="B244" s="380" t="str">
        <f t="shared" si="3"/>
        <v>056-901</v>
      </c>
      <c r="C244" s="2030">
        <v>1.04</v>
      </c>
    </row>
    <row r="245" spans="1:3" ht="14.5">
      <c r="A245" t="s">
        <v>5780</v>
      </c>
      <c r="B245" s="380" t="str">
        <f t="shared" si="3"/>
        <v>056-902</v>
      </c>
      <c r="C245" s="2030">
        <v>1.17</v>
      </c>
    </row>
    <row r="246" spans="1:3" ht="14.5">
      <c r="A246" t="s">
        <v>7951</v>
      </c>
      <c r="B246" s="380" t="str">
        <f t="shared" si="3"/>
        <v>057-802</v>
      </c>
      <c r="C246" s="2030">
        <v>0</v>
      </c>
    </row>
    <row r="247" spans="1:3" ht="14.5">
      <c r="A247" t="s">
        <v>7952</v>
      </c>
      <c r="B247" s="380" t="str">
        <f t="shared" si="3"/>
        <v>057-803</v>
      </c>
      <c r="C247" s="2030">
        <v>0</v>
      </c>
    </row>
    <row r="248" spans="1:3" ht="14.5">
      <c r="A248" t="s">
        <v>7953</v>
      </c>
      <c r="B248" s="380" t="str">
        <f t="shared" si="3"/>
        <v>057-804</v>
      </c>
      <c r="C248" s="2030">
        <v>0</v>
      </c>
    </row>
    <row r="249" spans="1:3" ht="14.5">
      <c r="A249" t="s">
        <v>7954</v>
      </c>
      <c r="B249" s="380" t="str">
        <f t="shared" si="3"/>
        <v>057-805</v>
      </c>
      <c r="C249" s="2030">
        <v>0</v>
      </c>
    </row>
    <row r="250" spans="1:3" ht="14.5">
      <c r="A250" t="s">
        <v>7955</v>
      </c>
      <c r="B250" s="380" t="str">
        <f t="shared" si="3"/>
        <v>057-806</v>
      </c>
      <c r="C250" s="2030">
        <v>0</v>
      </c>
    </row>
    <row r="251" spans="1:3" ht="14.5">
      <c r="A251" t="s">
        <v>7956</v>
      </c>
      <c r="B251" s="380" t="str">
        <f t="shared" si="3"/>
        <v>057-807</v>
      </c>
      <c r="C251" s="2030">
        <v>0</v>
      </c>
    </row>
    <row r="252" spans="1:3" ht="14.5">
      <c r="A252" t="s">
        <v>7957</v>
      </c>
      <c r="B252" s="380" t="str">
        <f t="shared" si="3"/>
        <v>057-808</v>
      </c>
      <c r="C252" s="2030">
        <v>0</v>
      </c>
    </row>
    <row r="253" spans="1:3" ht="14.5">
      <c r="A253" t="s">
        <v>7958</v>
      </c>
      <c r="B253" s="380" t="str">
        <f t="shared" si="3"/>
        <v>057-809</v>
      </c>
      <c r="C253" s="2030">
        <v>0</v>
      </c>
    </row>
    <row r="254" spans="1:3" ht="14.5">
      <c r="A254" t="s">
        <v>7959</v>
      </c>
      <c r="B254" s="380" t="str">
        <f t="shared" si="3"/>
        <v>057-810</v>
      </c>
      <c r="C254" s="2030">
        <v>0</v>
      </c>
    </row>
    <row r="255" spans="1:3" ht="14.5">
      <c r="A255" t="s">
        <v>7960</v>
      </c>
      <c r="B255" s="380" t="str">
        <f t="shared" si="3"/>
        <v>057-813</v>
      </c>
      <c r="C255" s="2030">
        <v>0</v>
      </c>
    </row>
    <row r="256" spans="1:3" ht="14.5">
      <c r="A256" t="s">
        <v>7961</v>
      </c>
      <c r="B256" s="380" t="str">
        <f t="shared" si="3"/>
        <v>057-814</v>
      </c>
      <c r="C256" s="2030">
        <v>0</v>
      </c>
    </row>
    <row r="257" spans="1:3" ht="14.5">
      <c r="A257" t="s">
        <v>7962</v>
      </c>
      <c r="B257" s="380" t="str">
        <f t="shared" si="3"/>
        <v>057-816</v>
      </c>
      <c r="C257" s="2030">
        <v>0</v>
      </c>
    </row>
    <row r="258" spans="1:3" ht="14.5">
      <c r="A258" t="s">
        <v>7963</v>
      </c>
      <c r="B258" s="380" t="str">
        <f t="shared" ref="B258:B321" si="4">CONCATENATE(LEFT(RIGHT(CONCATENATE("000",A258),6),3),"-",(RIGHT(RIGHT(CONCATENATE("000",A258),6),3)))</f>
        <v>057-819</v>
      </c>
      <c r="C258" s="2030">
        <v>0</v>
      </c>
    </row>
    <row r="259" spans="1:3" ht="14.5">
      <c r="A259" t="s">
        <v>7964</v>
      </c>
      <c r="B259" s="380" t="str">
        <f t="shared" si="4"/>
        <v>057-827</v>
      </c>
      <c r="C259" s="2030">
        <v>0</v>
      </c>
    </row>
    <row r="260" spans="1:3" ht="14.5">
      <c r="A260" t="s">
        <v>7965</v>
      </c>
      <c r="B260" s="380" t="str">
        <f t="shared" si="4"/>
        <v>057-828</v>
      </c>
      <c r="C260" s="2030">
        <v>0</v>
      </c>
    </row>
    <row r="261" spans="1:3" ht="14.5">
      <c r="A261" t="s">
        <v>7966</v>
      </c>
      <c r="B261" s="380" t="str">
        <f t="shared" si="4"/>
        <v>057-829</v>
      </c>
      <c r="C261" s="2030">
        <v>0</v>
      </c>
    </row>
    <row r="262" spans="1:3" ht="14.5">
      <c r="A262" t="s">
        <v>7967</v>
      </c>
      <c r="B262" s="380" t="str">
        <f t="shared" si="4"/>
        <v>057-830</v>
      </c>
      <c r="C262" s="2030">
        <v>0</v>
      </c>
    </row>
    <row r="263" spans="1:3" ht="14.5">
      <c r="A263" t="s">
        <v>7968</v>
      </c>
      <c r="B263" s="380" t="str">
        <f t="shared" si="4"/>
        <v>057-831</v>
      </c>
      <c r="C263" s="2030">
        <v>0</v>
      </c>
    </row>
    <row r="264" spans="1:3" ht="14.5">
      <c r="A264" t="s">
        <v>7969</v>
      </c>
      <c r="B264" s="380" t="str">
        <f t="shared" si="4"/>
        <v>057-833</v>
      </c>
      <c r="C264" s="2030">
        <v>0</v>
      </c>
    </row>
    <row r="265" spans="1:3" ht="14.5">
      <c r="A265" t="s">
        <v>7970</v>
      </c>
      <c r="B265" s="380" t="str">
        <f t="shared" si="4"/>
        <v>057-834</v>
      </c>
      <c r="C265" s="2030">
        <v>0</v>
      </c>
    </row>
    <row r="266" spans="1:3" ht="14.5">
      <c r="A266" t="s">
        <v>7971</v>
      </c>
      <c r="B266" s="380" t="str">
        <f t="shared" si="4"/>
        <v>057-835</v>
      </c>
      <c r="C266" s="2030">
        <v>0</v>
      </c>
    </row>
    <row r="267" spans="1:3" ht="14.5">
      <c r="A267" t="s">
        <v>7972</v>
      </c>
      <c r="B267" s="380" t="str">
        <f t="shared" si="4"/>
        <v>057-836</v>
      </c>
      <c r="C267" s="2030">
        <v>0</v>
      </c>
    </row>
    <row r="268" spans="1:3" ht="14.5">
      <c r="A268" t="s">
        <v>7973</v>
      </c>
      <c r="B268" s="380" t="str">
        <f t="shared" si="4"/>
        <v>057-839</v>
      </c>
      <c r="C268" s="2030">
        <v>0</v>
      </c>
    </row>
    <row r="269" spans="1:3" ht="14.5">
      <c r="A269" t="s">
        <v>7974</v>
      </c>
      <c r="B269" s="380" t="str">
        <f t="shared" si="4"/>
        <v>057-840</v>
      </c>
      <c r="C269" s="2030">
        <v>0</v>
      </c>
    </row>
    <row r="270" spans="1:3" ht="14.5">
      <c r="A270" t="s">
        <v>7975</v>
      </c>
      <c r="B270" s="380" t="str">
        <f t="shared" si="4"/>
        <v>057-841</v>
      </c>
      <c r="C270" s="2030">
        <v>0</v>
      </c>
    </row>
    <row r="271" spans="1:3" ht="14.5">
      <c r="A271" t="s">
        <v>7976</v>
      </c>
      <c r="B271" s="380" t="str">
        <f t="shared" si="4"/>
        <v>057-844</v>
      </c>
      <c r="C271" s="2030">
        <v>0</v>
      </c>
    </row>
    <row r="272" spans="1:3" ht="14.5">
      <c r="A272" t="s">
        <v>7977</v>
      </c>
      <c r="B272" s="380" t="str">
        <f t="shared" si="4"/>
        <v>057-845</v>
      </c>
      <c r="C272" s="2030">
        <v>0</v>
      </c>
    </row>
    <row r="273" spans="1:3" ht="14.5">
      <c r="A273" t="s">
        <v>7978</v>
      </c>
      <c r="B273" s="380" t="str">
        <f t="shared" si="4"/>
        <v>057-846</v>
      </c>
      <c r="C273" s="2030">
        <v>0</v>
      </c>
    </row>
    <row r="274" spans="1:3" ht="14.5">
      <c r="A274" t="s">
        <v>7979</v>
      </c>
      <c r="B274" s="380" t="str">
        <f t="shared" si="4"/>
        <v>057-847</v>
      </c>
      <c r="C274" s="2030">
        <v>0</v>
      </c>
    </row>
    <row r="275" spans="1:3" ht="14.5">
      <c r="A275" t="s">
        <v>7980</v>
      </c>
      <c r="B275" s="380" t="str">
        <f t="shared" si="4"/>
        <v>057-848</v>
      </c>
      <c r="C275" s="2030">
        <v>0</v>
      </c>
    </row>
    <row r="276" spans="1:3" ht="14.5">
      <c r="A276" t="s">
        <v>7981</v>
      </c>
      <c r="B276" s="380" t="str">
        <f t="shared" si="4"/>
        <v>057-849</v>
      </c>
      <c r="C276" s="2030">
        <v>0</v>
      </c>
    </row>
    <row r="277" spans="1:3" ht="14.5">
      <c r="A277" t="s">
        <v>7982</v>
      </c>
      <c r="B277" s="380" t="str">
        <f t="shared" si="4"/>
        <v>057-850</v>
      </c>
      <c r="C277" s="2030">
        <v>0</v>
      </c>
    </row>
    <row r="278" spans="1:3" ht="14.5">
      <c r="A278" t="s">
        <v>7983</v>
      </c>
      <c r="B278" s="380" t="str">
        <f t="shared" si="4"/>
        <v>057-851</v>
      </c>
      <c r="C278" s="2030">
        <v>0</v>
      </c>
    </row>
    <row r="279" spans="1:3" ht="14.5">
      <c r="A279" t="s">
        <v>4986</v>
      </c>
      <c r="B279" s="380" t="str">
        <f t="shared" si="4"/>
        <v>057-903</v>
      </c>
      <c r="C279" s="2030">
        <v>1.17</v>
      </c>
    </row>
    <row r="280" spans="1:3" ht="14.5">
      <c r="A280" t="s">
        <v>4987</v>
      </c>
      <c r="B280" s="380" t="str">
        <f t="shared" si="4"/>
        <v>057-904</v>
      </c>
      <c r="C280" s="2030">
        <v>1.04</v>
      </c>
    </row>
    <row r="281" spans="1:3" ht="14.5">
      <c r="A281" t="s">
        <v>4988</v>
      </c>
      <c r="B281" s="380" t="str">
        <f t="shared" si="4"/>
        <v>057-905</v>
      </c>
      <c r="C281" s="2030">
        <v>1.17</v>
      </c>
    </row>
    <row r="282" spans="1:3" ht="14.5">
      <c r="A282" t="s">
        <v>2953</v>
      </c>
      <c r="B282" s="380" t="str">
        <f t="shared" si="4"/>
        <v>057-906</v>
      </c>
      <c r="C282" s="2030">
        <v>1.17</v>
      </c>
    </row>
    <row r="283" spans="1:3" ht="14.5">
      <c r="A283" t="s">
        <v>4989</v>
      </c>
      <c r="B283" s="380" t="str">
        <f t="shared" si="4"/>
        <v>057-907</v>
      </c>
      <c r="C283" s="2030">
        <v>1.17</v>
      </c>
    </row>
    <row r="284" spans="1:3" ht="14.5">
      <c r="A284" t="s">
        <v>2954</v>
      </c>
      <c r="B284" s="380" t="str">
        <f t="shared" si="4"/>
        <v>057-909</v>
      </c>
      <c r="C284" s="2030">
        <v>1.04</v>
      </c>
    </row>
    <row r="285" spans="1:3" ht="14.5">
      <c r="A285" t="s">
        <v>2955</v>
      </c>
      <c r="B285" s="380" t="str">
        <f t="shared" si="4"/>
        <v>057-910</v>
      </c>
      <c r="C285" s="2030">
        <v>1.17</v>
      </c>
    </row>
    <row r="286" spans="1:3" ht="14.5">
      <c r="A286" t="s">
        <v>4990</v>
      </c>
      <c r="B286" s="380" t="str">
        <f t="shared" si="4"/>
        <v>057-911</v>
      </c>
      <c r="C286" s="2030">
        <v>1.04</v>
      </c>
    </row>
    <row r="287" spans="1:3" ht="14.5">
      <c r="A287" t="s">
        <v>2956</v>
      </c>
      <c r="B287" s="380" t="str">
        <f t="shared" si="4"/>
        <v>057-912</v>
      </c>
      <c r="C287" s="2030">
        <v>1.17</v>
      </c>
    </row>
    <row r="288" spans="1:3" ht="14.5">
      <c r="A288" t="s">
        <v>4991</v>
      </c>
      <c r="B288" s="380" t="str">
        <f t="shared" si="4"/>
        <v>057-913</v>
      </c>
      <c r="C288" s="2030">
        <v>1.17</v>
      </c>
    </row>
    <row r="289" spans="1:3" ht="14.5">
      <c r="A289" t="s">
        <v>2957</v>
      </c>
      <c r="B289" s="380" t="str">
        <f t="shared" si="4"/>
        <v>057-914</v>
      </c>
      <c r="C289" s="2030">
        <v>1.04</v>
      </c>
    </row>
    <row r="290" spans="1:3" ht="14.5">
      <c r="A290" t="s">
        <v>4992</v>
      </c>
      <c r="B290" s="380" t="str">
        <f t="shared" si="4"/>
        <v>057-916</v>
      </c>
      <c r="C290" s="2030">
        <v>1.17</v>
      </c>
    </row>
    <row r="291" spans="1:3" ht="14.5">
      <c r="A291" t="s">
        <v>4993</v>
      </c>
      <c r="B291" s="380" t="str">
        <f t="shared" si="4"/>
        <v>057-919</v>
      </c>
      <c r="C291" s="2030">
        <v>1.04</v>
      </c>
    </row>
    <row r="292" spans="1:3" ht="14.5">
      <c r="A292" t="s">
        <v>4994</v>
      </c>
      <c r="B292" s="380" t="str">
        <f t="shared" si="4"/>
        <v>057-922</v>
      </c>
      <c r="C292" s="2030">
        <v>1.17</v>
      </c>
    </row>
    <row r="293" spans="1:3" ht="14.5">
      <c r="A293" t="s">
        <v>5781</v>
      </c>
      <c r="B293" s="380" t="str">
        <f t="shared" si="4"/>
        <v>058-902</v>
      </c>
      <c r="C293" s="2030">
        <v>1.17</v>
      </c>
    </row>
    <row r="294" spans="1:3" ht="14.5">
      <c r="A294" t="s">
        <v>4995</v>
      </c>
      <c r="B294" s="380" t="str">
        <f t="shared" si="4"/>
        <v>058-905</v>
      </c>
      <c r="C294" s="2030">
        <v>1.17</v>
      </c>
    </row>
    <row r="295" spans="1:3" ht="14.5">
      <c r="A295" t="s">
        <v>5782</v>
      </c>
      <c r="B295" s="380" t="str">
        <f t="shared" si="4"/>
        <v>058-906</v>
      </c>
      <c r="C295" s="2030">
        <v>1.17</v>
      </c>
    </row>
    <row r="296" spans="1:3" ht="14.5">
      <c r="A296" t="s">
        <v>4996</v>
      </c>
      <c r="B296" s="380" t="str">
        <f t="shared" si="4"/>
        <v>058-909</v>
      </c>
      <c r="C296" s="2030">
        <v>1.04</v>
      </c>
    </row>
    <row r="297" spans="1:3" ht="14.5">
      <c r="A297" t="s">
        <v>3768</v>
      </c>
      <c r="B297" s="380" t="str">
        <f t="shared" si="4"/>
        <v>059-901</v>
      </c>
      <c r="C297" s="2030">
        <v>1.04</v>
      </c>
    </row>
    <row r="298" spans="1:3" ht="14.5">
      <c r="A298" t="s">
        <v>5783</v>
      </c>
      <c r="B298" s="380" t="str">
        <f t="shared" si="4"/>
        <v>059-902</v>
      </c>
      <c r="C298" s="2030">
        <v>0.84210000000000018</v>
      </c>
    </row>
    <row r="299" spans="1:3" ht="14.5">
      <c r="A299" t="s">
        <v>2958</v>
      </c>
      <c r="B299" s="380" t="str">
        <f t="shared" si="4"/>
        <v>060-902</v>
      </c>
      <c r="C299" s="2030">
        <v>1.17</v>
      </c>
    </row>
    <row r="300" spans="1:3" ht="14.5">
      <c r="A300" t="s">
        <v>2959</v>
      </c>
      <c r="B300" s="380" t="str">
        <f t="shared" si="4"/>
        <v>060-914</v>
      </c>
      <c r="C300" s="2030">
        <v>1.17</v>
      </c>
    </row>
    <row r="301" spans="1:3" ht="14.5">
      <c r="A301" t="s">
        <v>7986</v>
      </c>
      <c r="B301" s="380" t="str">
        <f t="shared" si="4"/>
        <v>061-802</v>
      </c>
      <c r="C301" s="2030">
        <v>0</v>
      </c>
    </row>
    <row r="302" spans="1:3" ht="14.5">
      <c r="A302" t="s">
        <v>7987</v>
      </c>
      <c r="B302" s="380" t="str">
        <f t="shared" si="4"/>
        <v>061-804</v>
      </c>
      <c r="C302" s="2030">
        <v>0</v>
      </c>
    </row>
    <row r="303" spans="1:3" ht="14.5">
      <c r="A303" t="s">
        <v>7988</v>
      </c>
      <c r="B303" s="380" t="str">
        <f t="shared" si="4"/>
        <v>061-805</v>
      </c>
      <c r="C303" s="2030">
        <v>0</v>
      </c>
    </row>
    <row r="304" spans="1:3" ht="14.5">
      <c r="A304" t="s">
        <v>4997</v>
      </c>
      <c r="B304" s="380" t="str">
        <f t="shared" si="4"/>
        <v>061-901</v>
      </c>
      <c r="C304" s="2030">
        <v>1.06</v>
      </c>
    </row>
    <row r="305" spans="1:3" ht="14.5">
      <c r="A305" t="s">
        <v>2960</v>
      </c>
      <c r="B305" s="380" t="str">
        <f t="shared" si="4"/>
        <v>061-902</v>
      </c>
      <c r="C305" s="2030">
        <v>1.04</v>
      </c>
    </row>
    <row r="306" spans="1:3" ht="14.5">
      <c r="A306" t="s">
        <v>3776</v>
      </c>
      <c r="B306" s="380" t="str">
        <f t="shared" si="4"/>
        <v>061-903</v>
      </c>
      <c r="C306" s="2030">
        <v>1.17</v>
      </c>
    </row>
    <row r="307" spans="1:3" ht="14.5">
      <c r="A307" t="s">
        <v>2961</v>
      </c>
      <c r="B307" s="380" t="str">
        <f t="shared" si="4"/>
        <v>061-905</v>
      </c>
      <c r="C307" s="2030">
        <v>1.17</v>
      </c>
    </row>
    <row r="308" spans="1:3" ht="14.5">
      <c r="A308" t="s">
        <v>2962</v>
      </c>
      <c r="B308" s="380" t="str">
        <f t="shared" si="4"/>
        <v>061-906</v>
      </c>
      <c r="C308" s="2030">
        <v>1.04</v>
      </c>
    </row>
    <row r="309" spans="1:3" ht="14.5">
      <c r="A309" t="s">
        <v>2963</v>
      </c>
      <c r="B309" s="380" t="str">
        <f t="shared" si="4"/>
        <v>061-907</v>
      </c>
      <c r="C309" s="2030">
        <v>1.17</v>
      </c>
    </row>
    <row r="310" spans="1:3" ht="14.5">
      <c r="A310" t="s">
        <v>2964</v>
      </c>
      <c r="B310" s="380" t="str">
        <f t="shared" si="4"/>
        <v>061-908</v>
      </c>
      <c r="C310" s="2030">
        <v>1.17</v>
      </c>
    </row>
    <row r="311" spans="1:3" ht="14.5">
      <c r="A311" t="s">
        <v>4998</v>
      </c>
      <c r="B311" s="380" t="str">
        <f t="shared" si="4"/>
        <v>061-910</v>
      </c>
      <c r="C311" s="2030">
        <v>1.1001000000000001</v>
      </c>
    </row>
    <row r="312" spans="1:3" ht="14.5">
      <c r="A312" t="s">
        <v>2965</v>
      </c>
      <c r="B312" s="380" t="str">
        <f t="shared" si="4"/>
        <v>061-911</v>
      </c>
      <c r="C312" s="2030">
        <v>1.04</v>
      </c>
    </row>
    <row r="313" spans="1:3" ht="14.5">
      <c r="A313" t="s">
        <v>2966</v>
      </c>
      <c r="B313" s="380" t="str">
        <f t="shared" si="4"/>
        <v>061-912</v>
      </c>
      <c r="C313" s="2030">
        <v>1.17</v>
      </c>
    </row>
    <row r="314" spans="1:3" ht="14.5">
      <c r="A314" t="s">
        <v>2967</v>
      </c>
      <c r="B314" s="380" t="str">
        <f t="shared" si="4"/>
        <v>061-914</v>
      </c>
      <c r="C314" s="2030">
        <v>1.17</v>
      </c>
    </row>
    <row r="315" spans="1:3" ht="14.5">
      <c r="A315" t="s">
        <v>2968</v>
      </c>
      <c r="B315" s="380" t="str">
        <f t="shared" si="4"/>
        <v>062-901</v>
      </c>
      <c r="C315" s="2030">
        <v>1.1200000000000001</v>
      </c>
    </row>
    <row r="316" spans="1:3" ht="14.5">
      <c r="A316" t="s">
        <v>4999</v>
      </c>
      <c r="B316" s="380" t="str">
        <f t="shared" si="4"/>
        <v>062-902</v>
      </c>
      <c r="C316" s="2030">
        <v>1.17</v>
      </c>
    </row>
    <row r="317" spans="1:3" ht="14.5">
      <c r="A317" t="s">
        <v>2969</v>
      </c>
      <c r="B317" s="380" t="str">
        <f t="shared" si="4"/>
        <v>062-903</v>
      </c>
      <c r="C317" s="2030">
        <v>1.04</v>
      </c>
    </row>
    <row r="318" spans="1:3" ht="14.5">
      <c r="A318" t="s">
        <v>5000</v>
      </c>
      <c r="B318" s="380" t="str">
        <f t="shared" si="4"/>
        <v>062-904</v>
      </c>
      <c r="C318" s="2030">
        <v>0.96</v>
      </c>
    </row>
    <row r="319" spans="1:3" ht="14.5">
      <c r="A319" t="s">
        <v>5784</v>
      </c>
      <c r="B319" s="380" t="str">
        <f t="shared" si="4"/>
        <v>062-905</v>
      </c>
      <c r="C319" s="2030">
        <v>1.04</v>
      </c>
    </row>
    <row r="320" spans="1:3" ht="14.5">
      <c r="A320" t="s">
        <v>5785</v>
      </c>
      <c r="B320" s="380" t="str">
        <f t="shared" si="4"/>
        <v>062-906</v>
      </c>
      <c r="C320" s="2030">
        <v>1.04</v>
      </c>
    </row>
    <row r="321" spans="1:3" ht="14.5">
      <c r="A321" t="s">
        <v>5001</v>
      </c>
      <c r="B321" s="380" t="str">
        <f t="shared" si="4"/>
        <v>063-903</v>
      </c>
      <c r="C321" s="2030">
        <v>1.04</v>
      </c>
    </row>
    <row r="322" spans="1:3" ht="14.5">
      <c r="A322" t="s">
        <v>5786</v>
      </c>
      <c r="B322" s="380" t="str">
        <f t="shared" ref="B322:B385" si="5">CONCATENATE(LEFT(RIGHT(CONCATENATE("000",A322),6),3),"-",(RIGHT(RIGHT(CONCATENATE("000",A322),6),3)))</f>
        <v>063-906</v>
      </c>
      <c r="C322" s="2030">
        <v>1.17</v>
      </c>
    </row>
    <row r="323" spans="1:3" ht="14.5">
      <c r="A323" t="s">
        <v>2970</v>
      </c>
      <c r="B323" s="380" t="str">
        <f t="shared" si="5"/>
        <v>064-903</v>
      </c>
      <c r="C323" s="2030">
        <v>1.06</v>
      </c>
    </row>
    <row r="324" spans="1:3" ht="14.5">
      <c r="A324" t="s">
        <v>5787</v>
      </c>
      <c r="B324" s="380" t="str">
        <f t="shared" si="5"/>
        <v>065-901</v>
      </c>
      <c r="C324" s="2030">
        <v>1.17</v>
      </c>
    </row>
    <row r="325" spans="1:3" ht="14.5">
      <c r="A325" t="s">
        <v>2971</v>
      </c>
      <c r="B325" s="380" t="str">
        <f t="shared" si="5"/>
        <v>065-902</v>
      </c>
      <c r="C325" s="2030">
        <v>1.04</v>
      </c>
    </row>
    <row r="326" spans="1:3" ht="14.5">
      <c r="A326" t="s">
        <v>5788</v>
      </c>
      <c r="B326" s="380" t="str">
        <f t="shared" si="5"/>
        <v>066-005</v>
      </c>
      <c r="C326" s="2030">
        <v>1.04</v>
      </c>
    </row>
    <row r="327" spans="1:3" ht="14.5">
      <c r="A327" t="s">
        <v>5002</v>
      </c>
      <c r="B327" s="380" t="str">
        <f t="shared" si="5"/>
        <v>066-901</v>
      </c>
      <c r="C327" s="2030">
        <v>1.04</v>
      </c>
    </row>
    <row r="328" spans="1:3" ht="14.5">
      <c r="A328" t="s">
        <v>2972</v>
      </c>
      <c r="B328" s="380" t="str">
        <f t="shared" si="5"/>
        <v>066-902</v>
      </c>
      <c r="C328" s="2030">
        <v>1.04</v>
      </c>
    </row>
    <row r="329" spans="1:3" ht="14.5">
      <c r="A329" t="s">
        <v>5003</v>
      </c>
      <c r="B329" s="380" t="str">
        <f t="shared" si="5"/>
        <v>066-903</v>
      </c>
      <c r="C329" s="2030">
        <v>1.17</v>
      </c>
    </row>
    <row r="330" spans="1:3" ht="14.5">
      <c r="A330" t="s">
        <v>3827</v>
      </c>
      <c r="B330" s="380" t="str">
        <f t="shared" si="5"/>
        <v>067-902</v>
      </c>
      <c r="C330" s="2030">
        <v>1.0733000000000001</v>
      </c>
    </row>
    <row r="331" spans="1:3" ht="14.5">
      <c r="A331" t="s">
        <v>5789</v>
      </c>
      <c r="B331" s="380" t="str">
        <f t="shared" si="5"/>
        <v>067-903</v>
      </c>
      <c r="C331" s="2030">
        <v>1.04</v>
      </c>
    </row>
    <row r="332" spans="1:3" ht="14.5">
      <c r="A332" t="s">
        <v>5004</v>
      </c>
      <c r="B332" s="380" t="str">
        <f t="shared" si="5"/>
        <v>067-904</v>
      </c>
      <c r="C332" s="2030">
        <v>1.04</v>
      </c>
    </row>
    <row r="333" spans="1:3" ht="14.5">
      <c r="A333" t="s">
        <v>5790</v>
      </c>
      <c r="B333" s="380" t="str">
        <f t="shared" si="5"/>
        <v>067-907</v>
      </c>
      <c r="C333" s="2030">
        <v>1.04</v>
      </c>
    </row>
    <row r="334" spans="1:3" ht="14.5">
      <c r="A334" t="s">
        <v>5791</v>
      </c>
      <c r="B334" s="380" t="str">
        <f t="shared" si="5"/>
        <v>067-908</v>
      </c>
      <c r="C334" s="2030">
        <v>1.17</v>
      </c>
    </row>
    <row r="335" spans="1:3" ht="14.5">
      <c r="A335" t="s">
        <v>7989</v>
      </c>
      <c r="B335" s="380" t="str">
        <f t="shared" si="5"/>
        <v>068-802</v>
      </c>
      <c r="C335" s="2030">
        <v>0</v>
      </c>
    </row>
    <row r="336" spans="1:3" ht="14.5">
      <c r="A336" t="s">
        <v>7990</v>
      </c>
      <c r="B336" s="380" t="str">
        <f t="shared" si="5"/>
        <v>068-803</v>
      </c>
      <c r="C336" s="2030">
        <v>0</v>
      </c>
    </row>
    <row r="337" spans="1:3" ht="14.5">
      <c r="A337" t="s">
        <v>5005</v>
      </c>
      <c r="B337" s="380" t="str">
        <f t="shared" si="5"/>
        <v>068-901</v>
      </c>
      <c r="C337" s="2030">
        <v>1.17</v>
      </c>
    </row>
    <row r="338" spans="1:3" ht="14.5">
      <c r="A338" t="s">
        <v>5006</v>
      </c>
      <c r="B338" s="380" t="str">
        <f t="shared" si="5"/>
        <v>069-901</v>
      </c>
      <c r="C338" s="2030">
        <v>1.04</v>
      </c>
    </row>
    <row r="339" spans="1:3" ht="14.5">
      <c r="A339" t="s">
        <v>5792</v>
      </c>
      <c r="B339" s="380" t="str">
        <f t="shared" si="5"/>
        <v>069-902</v>
      </c>
      <c r="C339" s="2030">
        <v>1.17</v>
      </c>
    </row>
    <row r="340" spans="1:3" ht="14.5">
      <c r="A340" t="s">
        <v>7991</v>
      </c>
      <c r="B340" s="380" t="str">
        <f t="shared" si="5"/>
        <v>070-801</v>
      </c>
      <c r="C340" s="2030">
        <v>0</v>
      </c>
    </row>
    <row r="341" spans="1:3" ht="14.5">
      <c r="A341" t="s">
        <v>2973</v>
      </c>
      <c r="B341" s="380" t="str">
        <f t="shared" si="5"/>
        <v>070-901</v>
      </c>
      <c r="C341" s="2030">
        <v>1.17</v>
      </c>
    </row>
    <row r="342" spans="1:3" ht="14.5">
      <c r="A342" t="s">
        <v>5007</v>
      </c>
      <c r="B342" s="380" t="str">
        <f t="shared" si="5"/>
        <v>070-903</v>
      </c>
      <c r="C342" s="2030">
        <v>1.17</v>
      </c>
    </row>
    <row r="343" spans="1:3" ht="14.5">
      <c r="A343" t="s">
        <v>2974</v>
      </c>
      <c r="B343" s="380" t="str">
        <f t="shared" si="5"/>
        <v>070-905</v>
      </c>
      <c r="C343" s="2030">
        <v>1.17</v>
      </c>
    </row>
    <row r="344" spans="1:3" ht="14.5">
      <c r="A344" t="s">
        <v>2975</v>
      </c>
      <c r="B344" s="380" t="str">
        <f t="shared" si="5"/>
        <v>070-907</v>
      </c>
      <c r="C344" s="2030">
        <v>1.17</v>
      </c>
    </row>
    <row r="345" spans="1:3" ht="14.5">
      <c r="A345" t="s">
        <v>5008</v>
      </c>
      <c r="B345" s="380" t="str">
        <f t="shared" si="5"/>
        <v>070-908</v>
      </c>
      <c r="C345" s="2030">
        <v>1.04</v>
      </c>
    </row>
    <row r="346" spans="1:3" ht="14.5">
      <c r="A346" t="s">
        <v>5793</v>
      </c>
      <c r="B346" s="380" t="str">
        <f t="shared" si="5"/>
        <v>070-909</v>
      </c>
      <c r="C346" s="2030">
        <v>1.17</v>
      </c>
    </row>
    <row r="347" spans="1:3" ht="14.5">
      <c r="A347" t="s">
        <v>2976</v>
      </c>
      <c r="B347" s="380" t="str">
        <f t="shared" si="5"/>
        <v>070-910</v>
      </c>
      <c r="C347" s="2030">
        <v>1.17</v>
      </c>
    </row>
    <row r="348" spans="1:3" ht="14.5">
      <c r="A348" t="s">
        <v>2977</v>
      </c>
      <c r="B348" s="380" t="str">
        <f t="shared" si="5"/>
        <v>070-911</v>
      </c>
      <c r="C348" s="2030">
        <v>1.17</v>
      </c>
    </row>
    <row r="349" spans="1:3" ht="14.5">
      <c r="A349" t="s">
        <v>2978</v>
      </c>
      <c r="B349" s="380" t="str">
        <f t="shared" si="5"/>
        <v>070-912</v>
      </c>
      <c r="C349" s="2030">
        <v>1.17</v>
      </c>
    </row>
    <row r="350" spans="1:3" ht="14.5">
      <c r="A350" t="s">
        <v>2979</v>
      </c>
      <c r="B350" s="380" t="str">
        <f t="shared" si="5"/>
        <v>070-915</v>
      </c>
      <c r="C350" s="2030">
        <v>1.04</v>
      </c>
    </row>
    <row r="351" spans="1:3" ht="14.5">
      <c r="A351" t="s">
        <v>7992</v>
      </c>
      <c r="B351" s="380" t="str">
        <f t="shared" si="5"/>
        <v>071-801</v>
      </c>
      <c r="C351" s="2030">
        <v>0</v>
      </c>
    </row>
    <row r="352" spans="1:3" ht="14.5">
      <c r="A352" t="s">
        <v>7993</v>
      </c>
      <c r="B352" s="380" t="str">
        <f t="shared" si="5"/>
        <v>071-803</v>
      </c>
      <c r="C352" s="2030">
        <v>0</v>
      </c>
    </row>
    <row r="353" spans="1:3" ht="14.5">
      <c r="A353" t="s">
        <v>7994</v>
      </c>
      <c r="B353" s="380" t="str">
        <f t="shared" si="5"/>
        <v>071-804</v>
      </c>
      <c r="C353" s="2030">
        <v>0</v>
      </c>
    </row>
    <row r="354" spans="1:3" ht="14.5">
      <c r="A354" t="s">
        <v>7995</v>
      </c>
      <c r="B354" s="380" t="str">
        <f t="shared" si="5"/>
        <v>071-806</v>
      </c>
      <c r="C354" s="2030">
        <v>0</v>
      </c>
    </row>
    <row r="355" spans="1:3" ht="14.5">
      <c r="A355" t="s">
        <v>7996</v>
      </c>
      <c r="B355" s="380" t="str">
        <f t="shared" si="5"/>
        <v>071-807</v>
      </c>
      <c r="C355" s="2030">
        <v>0</v>
      </c>
    </row>
    <row r="356" spans="1:3" ht="14.5">
      <c r="A356" t="s">
        <v>7997</v>
      </c>
      <c r="B356" s="380" t="str">
        <f t="shared" si="5"/>
        <v>071-809</v>
      </c>
      <c r="C356" s="2030">
        <v>0</v>
      </c>
    </row>
    <row r="357" spans="1:3" ht="14.5">
      <c r="A357" t="s">
        <v>7998</v>
      </c>
      <c r="B357" s="380" t="str">
        <f t="shared" si="5"/>
        <v>071-810</v>
      </c>
      <c r="C357" s="2030">
        <v>0</v>
      </c>
    </row>
    <row r="358" spans="1:3" ht="14.5">
      <c r="A358" t="s">
        <v>2980</v>
      </c>
      <c r="B358" s="380" t="str">
        <f t="shared" si="5"/>
        <v>071-901</v>
      </c>
      <c r="C358" s="2030">
        <v>1.17</v>
      </c>
    </row>
    <row r="359" spans="1:3" ht="14.5">
      <c r="A359" t="s">
        <v>2981</v>
      </c>
      <c r="B359" s="380" t="str">
        <f t="shared" si="5"/>
        <v>071-902</v>
      </c>
      <c r="C359" s="2030">
        <v>1.17</v>
      </c>
    </row>
    <row r="360" spans="1:3" ht="14.5">
      <c r="A360" t="s">
        <v>2982</v>
      </c>
      <c r="B360" s="380" t="str">
        <f t="shared" si="5"/>
        <v>071-903</v>
      </c>
      <c r="C360" s="2030">
        <v>1.17</v>
      </c>
    </row>
    <row r="361" spans="1:3" ht="14.5">
      <c r="A361" t="s">
        <v>3862</v>
      </c>
      <c r="B361" s="380" t="str">
        <f t="shared" si="5"/>
        <v>071-904</v>
      </c>
      <c r="C361" s="2030">
        <v>1.1089</v>
      </c>
    </row>
    <row r="362" spans="1:3" ht="14.5">
      <c r="A362" t="s">
        <v>3867</v>
      </c>
      <c r="B362" s="380" t="str">
        <f t="shared" si="5"/>
        <v>071-905</v>
      </c>
      <c r="C362" s="2030">
        <v>1.17</v>
      </c>
    </row>
    <row r="363" spans="1:3" ht="14.5">
      <c r="A363" t="s">
        <v>2983</v>
      </c>
      <c r="B363" s="380" t="str">
        <f t="shared" si="5"/>
        <v>071-906</v>
      </c>
      <c r="C363" s="2030">
        <v>1.04</v>
      </c>
    </row>
    <row r="364" spans="1:3" ht="14.5">
      <c r="A364" t="s">
        <v>2984</v>
      </c>
      <c r="B364" s="380" t="str">
        <f t="shared" si="5"/>
        <v>071-907</v>
      </c>
      <c r="C364" s="2030">
        <v>1.17</v>
      </c>
    </row>
    <row r="365" spans="1:3" ht="14.5">
      <c r="A365" t="s">
        <v>2985</v>
      </c>
      <c r="B365" s="380" t="str">
        <f t="shared" si="5"/>
        <v>071-908</v>
      </c>
      <c r="C365" s="2030">
        <v>1.0901000000000001</v>
      </c>
    </row>
    <row r="366" spans="1:3" ht="14.5">
      <c r="A366" t="s">
        <v>2986</v>
      </c>
      <c r="B366" s="380" t="str">
        <f t="shared" si="5"/>
        <v>071-909</v>
      </c>
      <c r="C366" s="2030">
        <v>0.98160000000000003</v>
      </c>
    </row>
    <row r="367" spans="1:3" ht="14.5">
      <c r="A367" t="s">
        <v>7999</v>
      </c>
      <c r="B367" s="380" t="str">
        <f t="shared" si="5"/>
        <v>072-801</v>
      </c>
      <c r="C367" s="2030">
        <v>0</v>
      </c>
    </row>
    <row r="368" spans="1:3" ht="14.5">
      <c r="A368" t="s">
        <v>8000</v>
      </c>
      <c r="B368" s="380" t="str">
        <f t="shared" si="5"/>
        <v>072-802</v>
      </c>
      <c r="C368" s="2030">
        <v>0</v>
      </c>
    </row>
    <row r="369" spans="1:3" ht="14.5">
      <c r="A369" t="s">
        <v>5794</v>
      </c>
      <c r="B369" s="380" t="str">
        <f t="shared" si="5"/>
        <v>072-901</v>
      </c>
      <c r="C369" s="2030">
        <v>1.04</v>
      </c>
    </row>
    <row r="370" spans="1:3" ht="14.5">
      <c r="A370" t="s">
        <v>5009</v>
      </c>
      <c r="B370" s="380" t="str">
        <f t="shared" si="5"/>
        <v>072-902</v>
      </c>
      <c r="C370" s="2030">
        <v>1.17</v>
      </c>
    </row>
    <row r="371" spans="1:3" ht="14.5">
      <c r="A371" t="s">
        <v>2987</v>
      </c>
      <c r="B371" s="380" t="str">
        <f t="shared" si="5"/>
        <v>072-903</v>
      </c>
      <c r="C371" s="2030">
        <v>1.06</v>
      </c>
    </row>
    <row r="372" spans="1:3" ht="14.5">
      <c r="A372" t="s">
        <v>5010</v>
      </c>
      <c r="B372" s="380" t="str">
        <f t="shared" si="5"/>
        <v>072-904</v>
      </c>
      <c r="C372" s="2030">
        <v>1.17</v>
      </c>
    </row>
    <row r="373" spans="1:3" ht="14.5">
      <c r="A373" t="s">
        <v>5795</v>
      </c>
      <c r="B373" s="380" t="str">
        <f t="shared" si="5"/>
        <v>072-908</v>
      </c>
      <c r="C373" s="2030">
        <v>1.04</v>
      </c>
    </row>
    <row r="374" spans="1:3" ht="14.5">
      <c r="A374" t="s">
        <v>2988</v>
      </c>
      <c r="B374" s="380" t="str">
        <f t="shared" si="5"/>
        <v>072-909</v>
      </c>
      <c r="C374" s="2030">
        <v>1.04</v>
      </c>
    </row>
    <row r="375" spans="1:3" ht="14.5">
      <c r="A375" t="s">
        <v>5796</v>
      </c>
      <c r="B375" s="380" t="str">
        <f t="shared" si="5"/>
        <v>072-910</v>
      </c>
      <c r="C375" s="2030">
        <v>1.04</v>
      </c>
    </row>
    <row r="376" spans="1:3" ht="14.5">
      <c r="A376" t="s">
        <v>5011</v>
      </c>
      <c r="B376" s="380" t="str">
        <f t="shared" si="5"/>
        <v>073-901</v>
      </c>
      <c r="C376" s="2030">
        <v>1.04</v>
      </c>
    </row>
    <row r="377" spans="1:3" ht="14.5">
      <c r="A377" t="s">
        <v>3901</v>
      </c>
      <c r="B377" s="380" t="str">
        <f t="shared" si="5"/>
        <v>073-903</v>
      </c>
      <c r="C377" s="2030">
        <v>1.155</v>
      </c>
    </row>
    <row r="378" spans="1:3" ht="14.5">
      <c r="A378" t="s">
        <v>3903</v>
      </c>
      <c r="B378" s="380" t="str">
        <f t="shared" si="5"/>
        <v>073-904</v>
      </c>
      <c r="C378" s="2030">
        <v>1.04</v>
      </c>
    </row>
    <row r="379" spans="1:3" ht="14.5">
      <c r="A379" t="s">
        <v>5797</v>
      </c>
      <c r="B379" s="380" t="str">
        <f t="shared" si="5"/>
        <v>073-905</v>
      </c>
      <c r="C379" s="2030">
        <v>1.0374000000000001</v>
      </c>
    </row>
    <row r="380" spans="1:3" ht="14.5">
      <c r="A380" t="s">
        <v>5012</v>
      </c>
      <c r="B380" s="380" t="str">
        <f t="shared" si="5"/>
        <v>074-903</v>
      </c>
      <c r="C380" s="2030">
        <v>1.0401</v>
      </c>
    </row>
    <row r="381" spans="1:3" ht="14.5">
      <c r="A381" t="s">
        <v>2989</v>
      </c>
      <c r="B381" s="380" t="str">
        <f t="shared" si="5"/>
        <v>074-904</v>
      </c>
      <c r="C381" s="2030">
        <v>1.04</v>
      </c>
    </row>
    <row r="382" spans="1:3" ht="14.5">
      <c r="A382" t="s">
        <v>2990</v>
      </c>
      <c r="B382" s="380" t="str">
        <f t="shared" si="5"/>
        <v>074-905</v>
      </c>
      <c r="C382" s="2030">
        <v>1.17</v>
      </c>
    </row>
    <row r="383" spans="1:3" ht="14.5">
      <c r="A383" t="s">
        <v>2991</v>
      </c>
      <c r="B383" s="380" t="str">
        <f t="shared" si="5"/>
        <v>074-907</v>
      </c>
      <c r="C383" s="2030">
        <v>1.04</v>
      </c>
    </row>
    <row r="384" spans="1:3" ht="14.5">
      <c r="A384" t="s">
        <v>5013</v>
      </c>
      <c r="B384" s="380" t="str">
        <f t="shared" si="5"/>
        <v>074-909</v>
      </c>
      <c r="C384" s="2030">
        <v>1.17</v>
      </c>
    </row>
    <row r="385" spans="1:3" ht="14.5">
      <c r="A385" t="s">
        <v>5014</v>
      </c>
      <c r="B385" s="380" t="str">
        <f t="shared" si="5"/>
        <v>074-911</v>
      </c>
      <c r="C385" s="2030">
        <v>1.17</v>
      </c>
    </row>
    <row r="386" spans="1:3" ht="14.5">
      <c r="A386" t="s">
        <v>2992</v>
      </c>
      <c r="B386" s="380" t="str">
        <f t="shared" ref="B386:B449" si="6">CONCATENATE(LEFT(RIGHT(CONCATENATE("000",A386),6),3),"-",(RIGHT(RIGHT(CONCATENATE("000",A386),6),3)))</f>
        <v>074-912</v>
      </c>
      <c r="C386" s="2030">
        <v>1.17</v>
      </c>
    </row>
    <row r="387" spans="1:3" ht="14.5">
      <c r="A387" t="s">
        <v>2993</v>
      </c>
      <c r="B387" s="380" t="str">
        <f t="shared" si="6"/>
        <v>074-917</v>
      </c>
      <c r="C387" s="2030">
        <v>1.17</v>
      </c>
    </row>
    <row r="388" spans="1:3" ht="14.5">
      <c r="A388" t="s">
        <v>5015</v>
      </c>
      <c r="B388" s="380" t="str">
        <f t="shared" si="6"/>
        <v>075-901</v>
      </c>
      <c r="C388" s="2030">
        <v>1.17</v>
      </c>
    </row>
    <row r="389" spans="1:3" ht="14.5">
      <c r="A389" t="s">
        <v>5798</v>
      </c>
      <c r="B389" s="380" t="str">
        <f t="shared" si="6"/>
        <v>075-902</v>
      </c>
      <c r="C389" s="2030">
        <v>1.04</v>
      </c>
    </row>
    <row r="390" spans="1:3" ht="14.5">
      <c r="A390" t="s">
        <v>5016</v>
      </c>
      <c r="B390" s="380" t="str">
        <f t="shared" si="6"/>
        <v>075-903</v>
      </c>
      <c r="C390" s="2030">
        <v>1.04</v>
      </c>
    </row>
    <row r="391" spans="1:3" ht="14.5">
      <c r="A391" t="s">
        <v>5799</v>
      </c>
      <c r="B391" s="380" t="str">
        <f t="shared" si="6"/>
        <v>075-906</v>
      </c>
      <c r="C391" s="2030">
        <v>1.04</v>
      </c>
    </row>
    <row r="392" spans="1:3" ht="14.5">
      <c r="A392" t="s">
        <v>5017</v>
      </c>
      <c r="B392" s="380" t="str">
        <f t="shared" si="6"/>
        <v>075-908</v>
      </c>
      <c r="C392" s="2030">
        <v>1.06</v>
      </c>
    </row>
    <row r="393" spans="1:3" ht="14.5">
      <c r="A393" t="s">
        <v>5800</v>
      </c>
      <c r="B393" s="380" t="str">
        <f t="shared" si="6"/>
        <v>076-903</v>
      </c>
      <c r="C393" s="2030">
        <v>1.17</v>
      </c>
    </row>
    <row r="394" spans="1:3" ht="14.5">
      <c r="A394" t="s">
        <v>2994</v>
      </c>
      <c r="B394" s="380" t="str">
        <f t="shared" si="6"/>
        <v>076-904</v>
      </c>
      <c r="C394" s="2030">
        <v>1.17</v>
      </c>
    </row>
    <row r="395" spans="1:3" ht="14.5">
      <c r="A395" t="s">
        <v>5018</v>
      </c>
      <c r="B395" s="380" t="str">
        <f t="shared" si="6"/>
        <v>077-901</v>
      </c>
      <c r="C395" s="2030">
        <v>1.17</v>
      </c>
    </row>
    <row r="396" spans="1:3" ht="14.5">
      <c r="A396" t="s">
        <v>5801</v>
      </c>
      <c r="B396" s="380" t="str">
        <f t="shared" si="6"/>
        <v>077-902</v>
      </c>
      <c r="C396" s="2030">
        <v>1.1400000000000001</v>
      </c>
    </row>
    <row r="397" spans="1:3" ht="14.5">
      <c r="A397" t="s">
        <v>5802</v>
      </c>
      <c r="B397" s="380" t="str">
        <f t="shared" si="6"/>
        <v>078-901</v>
      </c>
      <c r="C397" s="2030">
        <v>1.17</v>
      </c>
    </row>
    <row r="398" spans="1:3" ht="14.5">
      <c r="A398" t="s">
        <v>5019</v>
      </c>
      <c r="B398" s="380" t="str">
        <f t="shared" si="6"/>
        <v>079-901</v>
      </c>
      <c r="C398" s="2030">
        <v>1.06</v>
      </c>
    </row>
    <row r="399" spans="1:3" ht="14.5">
      <c r="A399" t="s">
        <v>2995</v>
      </c>
      <c r="B399" s="380" t="str">
        <f t="shared" si="6"/>
        <v>079-906</v>
      </c>
      <c r="C399" s="2030">
        <v>1.17</v>
      </c>
    </row>
    <row r="400" spans="1:3" ht="14.5">
      <c r="A400" t="s">
        <v>2996</v>
      </c>
      <c r="B400" s="380" t="str">
        <f t="shared" si="6"/>
        <v>079-907</v>
      </c>
      <c r="C400" s="2030">
        <v>1.06</v>
      </c>
    </row>
    <row r="401" spans="1:3" ht="14.5">
      <c r="A401" t="s">
        <v>5020</v>
      </c>
      <c r="B401" s="380" t="str">
        <f t="shared" si="6"/>
        <v>079-910</v>
      </c>
      <c r="C401" s="2030">
        <v>1.0533000000000001</v>
      </c>
    </row>
    <row r="402" spans="1:3" ht="14.5">
      <c r="A402" t="s">
        <v>5021</v>
      </c>
      <c r="B402" s="380" t="str">
        <f t="shared" si="6"/>
        <v>080-901</v>
      </c>
      <c r="C402" s="2030">
        <v>1.0401</v>
      </c>
    </row>
    <row r="403" spans="1:3" ht="14.5">
      <c r="A403" t="s">
        <v>5022</v>
      </c>
      <c r="B403" s="380" t="str">
        <f t="shared" si="6"/>
        <v>081-902</v>
      </c>
      <c r="C403" s="2030">
        <v>1.1367</v>
      </c>
    </row>
    <row r="404" spans="1:3" ht="14.5">
      <c r="A404" t="s">
        <v>5023</v>
      </c>
      <c r="B404" s="380" t="str">
        <f t="shared" si="6"/>
        <v>081-904</v>
      </c>
      <c r="C404" s="2030">
        <v>1.04</v>
      </c>
    </row>
    <row r="405" spans="1:3" ht="14.5">
      <c r="A405" t="s">
        <v>5024</v>
      </c>
      <c r="B405" s="380" t="str">
        <f t="shared" si="6"/>
        <v>081-905</v>
      </c>
      <c r="C405" s="2030">
        <v>1.04</v>
      </c>
    </row>
    <row r="406" spans="1:3" ht="14.5">
      <c r="A406" t="s">
        <v>5025</v>
      </c>
      <c r="B406" s="380" t="str">
        <f t="shared" si="6"/>
        <v>081-906</v>
      </c>
      <c r="C406" s="2030">
        <v>1.17</v>
      </c>
    </row>
    <row r="407" spans="1:3" ht="14.5">
      <c r="A407" t="s">
        <v>2997</v>
      </c>
      <c r="B407" s="380" t="str">
        <f t="shared" si="6"/>
        <v>082-902</v>
      </c>
      <c r="C407" s="2030">
        <v>1.1639000000000002</v>
      </c>
    </row>
    <row r="408" spans="1:3" ht="14.5">
      <c r="A408" t="s">
        <v>2998</v>
      </c>
      <c r="B408" s="380" t="str">
        <f t="shared" si="6"/>
        <v>082-903</v>
      </c>
      <c r="C408" s="2030">
        <v>1.17</v>
      </c>
    </row>
    <row r="409" spans="1:3" ht="14.5">
      <c r="A409" t="s">
        <v>5026</v>
      </c>
      <c r="B409" s="380" t="str">
        <f t="shared" si="6"/>
        <v>083-901</v>
      </c>
      <c r="C409" s="2030">
        <v>1.04</v>
      </c>
    </row>
    <row r="410" spans="1:3" ht="14.5">
      <c r="A410" t="s">
        <v>5027</v>
      </c>
      <c r="B410" s="380" t="str">
        <f t="shared" si="6"/>
        <v>083-902</v>
      </c>
      <c r="C410" s="2030">
        <v>1.17</v>
      </c>
    </row>
    <row r="411" spans="1:3" ht="14.5">
      <c r="A411" t="s">
        <v>5028</v>
      </c>
      <c r="B411" s="380" t="str">
        <f t="shared" si="6"/>
        <v>083-903</v>
      </c>
      <c r="C411" s="2030">
        <v>1.04</v>
      </c>
    </row>
    <row r="412" spans="1:3" ht="14.5">
      <c r="A412" t="s">
        <v>8001</v>
      </c>
      <c r="B412" s="380" t="str">
        <f t="shared" si="6"/>
        <v>084-802</v>
      </c>
      <c r="C412" s="2030">
        <v>0</v>
      </c>
    </row>
    <row r="413" spans="1:3" ht="14.5">
      <c r="A413" t="s">
        <v>8002</v>
      </c>
      <c r="B413" s="380" t="str">
        <f t="shared" si="6"/>
        <v>084-804</v>
      </c>
      <c r="C413" s="2030">
        <v>0</v>
      </c>
    </row>
    <row r="414" spans="1:3" ht="14.5">
      <c r="A414" t="s">
        <v>5029</v>
      </c>
      <c r="B414" s="380" t="str">
        <f t="shared" si="6"/>
        <v>084-901</v>
      </c>
      <c r="C414" s="2030">
        <v>1.06</v>
      </c>
    </row>
    <row r="415" spans="1:3" ht="14.5">
      <c r="A415" t="s">
        <v>5030</v>
      </c>
      <c r="B415" s="380" t="str">
        <f t="shared" si="6"/>
        <v>084-902</v>
      </c>
      <c r="C415" s="2030">
        <v>1.06</v>
      </c>
    </row>
    <row r="416" spans="1:3" ht="14.5">
      <c r="A416" t="s">
        <v>5031</v>
      </c>
      <c r="B416" s="380" t="str">
        <f t="shared" si="6"/>
        <v>084-903</v>
      </c>
      <c r="C416" s="2030">
        <v>1.17</v>
      </c>
    </row>
    <row r="417" spans="1:3" ht="14.5">
      <c r="A417" t="s">
        <v>5032</v>
      </c>
      <c r="B417" s="380" t="str">
        <f t="shared" si="6"/>
        <v>084-906</v>
      </c>
      <c r="C417" s="2030">
        <v>1.17</v>
      </c>
    </row>
    <row r="418" spans="1:3" ht="14.5">
      <c r="A418" t="s">
        <v>5033</v>
      </c>
      <c r="B418" s="380" t="str">
        <f t="shared" si="6"/>
        <v>084-908</v>
      </c>
      <c r="C418" s="2030">
        <v>1.04</v>
      </c>
    </row>
    <row r="419" spans="1:3" ht="14.5">
      <c r="A419" t="s">
        <v>2999</v>
      </c>
      <c r="B419" s="380" t="str">
        <f t="shared" si="6"/>
        <v>084-909</v>
      </c>
      <c r="C419" s="2030">
        <v>1.04</v>
      </c>
    </row>
    <row r="420" spans="1:3" ht="14.5">
      <c r="A420" t="s">
        <v>5034</v>
      </c>
      <c r="B420" s="380" t="str">
        <f t="shared" si="6"/>
        <v>084-910</v>
      </c>
      <c r="C420" s="2030">
        <v>1.06</v>
      </c>
    </row>
    <row r="421" spans="1:3" ht="14.5">
      <c r="A421" t="s">
        <v>3000</v>
      </c>
      <c r="B421" s="380" t="str">
        <f t="shared" si="6"/>
        <v>084-911</v>
      </c>
      <c r="C421" s="2030">
        <v>1.17</v>
      </c>
    </row>
    <row r="422" spans="1:3" ht="14.5">
      <c r="A422" t="s">
        <v>5035</v>
      </c>
      <c r="B422" s="380" t="str">
        <f t="shared" si="6"/>
        <v>085-902</v>
      </c>
      <c r="C422" s="2030">
        <v>1.0401</v>
      </c>
    </row>
    <row r="423" spans="1:3" ht="14.5">
      <c r="A423" t="s">
        <v>5803</v>
      </c>
      <c r="B423" s="380" t="str">
        <f t="shared" si="6"/>
        <v>085-903</v>
      </c>
      <c r="C423" s="2030">
        <v>1.17</v>
      </c>
    </row>
    <row r="424" spans="1:3" ht="14.5">
      <c r="A424" t="s">
        <v>5804</v>
      </c>
      <c r="B424" s="380" t="str">
        <f t="shared" si="6"/>
        <v>086-024</v>
      </c>
      <c r="C424" s="2030">
        <v>0.92670000000000019</v>
      </c>
    </row>
    <row r="425" spans="1:3" ht="14.5">
      <c r="A425" t="s">
        <v>5036</v>
      </c>
      <c r="B425" s="380" t="str">
        <f t="shared" si="6"/>
        <v>086-901</v>
      </c>
      <c r="C425" s="2030">
        <v>1.04</v>
      </c>
    </row>
    <row r="426" spans="1:3" ht="14.5">
      <c r="A426" t="s">
        <v>5805</v>
      </c>
      <c r="B426" s="380" t="str">
        <f t="shared" si="6"/>
        <v>086-902</v>
      </c>
      <c r="C426" s="2030">
        <v>1.04</v>
      </c>
    </row>
    <row r="427" spans="1:3" ht="14.5">
      <c r="A427" t="s">
        <v>5037</v>
      </c>
      <c r="B427" s="380" t="str">
        <f t="shared" si="6"/>
        <v>087-901</v>
      </c>
      <c r="C427" s="2030">
        <v>1.04</v>
      </c>
    </row>
    <row r="428" spans="1:3" ht="14.5">
      <c r="A428" t="s">
        <v>5038</v>
      </c>
      <c r="B428" s="380" t="str">
        <f t="shared" si="6"/>
        <v>088-902</v>
      </c>
      <c r="C428" s="2030">
        <v>1.04</v>
      </c>
    </row>
    <row r="429" spans="1:3" ht="14.5">
      <c r="A429" t="s">
        <v>3001</v>
      </c>
      <c r="B429" s="380" t="str">
        <f t="shared" si="6"/>
        <v>089-901</v>
      </c>
      <c r="C429" s="2030">
        <v>1.1324000000000001</v>
      </c>
    </row>
    <row r="430" spans="1:3" ht="14.5">
      <c r="A430" t="s">
        <v>5039</v>
      </c>
      <c r="B430" s="380" t="str">
        <f t="shared" si="6"/>
        <v>089-903</v>
      </c>
      <c r="C430" s="2030">
        <v>1.06</v>
      </c>
    </row>
    <row r="431" spans="1:3" ht="14.5">
      <c r="A431" t="s">
        <v>5040</v>
      </c>
      <c r="B431" s="380" t="str">
        <f t="shared" si="6"/>
        <v>089-905</v>
      </c>
      <c r="C431" s="2030">
        <v>1.04</v>
      </c>
    </row>
    <row r="432" spans="1:3" ht="14.5">
      <c r="A432" t="s">
        <v>5041</v>
      </c>
      <c r="B432" s="380" t="str">
        <f t="shared" si="6"/>
        <v>090-902</v>
      </c>
      <c r="C432" s="2030">
        <v>1.04</v>
      </c>
    </row>
    <row r="433" spans="1:3" ht="14.5">
      <c r="A433" t="s">
        <v>5042</v>
      </c>
      <c r="B433" s="380" t="str">
        <f t="shared" si="6"/>
        <v>090-903</v>
      </c>
      <c r="C433" s="2030">
        <v>1.04</v>
      </c>
    </row>
    <row r="434" spans="1:3" ht="14.5">
      <c r="A434" t="s">
        <v>3002</v>
      </c>
      <c r="B434" s="380" t="str">
        <f t="shared" si="6"/>
        <v>090-904</v>
      </c>
      <c r="C434" s="2030">
        <v>1.06</v>
      </c>
    </row>
    <row r="435" spans="1:3" ht="14.5">
      <c r="A435" t="s">
        <v>5043</v>
      </c>
      <c r="B435" s="380" t="str">
        <f t="shared" si="6"/>
        <v>090-905</v>
      </c>
      <c r="C435" s="2030">
        <v>0.97</v>
      </c>
    </row>
    <row r="436" spans="1:3" ht="14.5">
      <c r="A436" t="s">
        <v>3003</v>
      </c>
      <c r="B436" s="380" t="str">
        <f t="shared" si="6"/>
        <v>091-901</v>
      </c>
      <c r="C436" s="2030">
        <v>1.17</v>
      </c>
    </row>
    <row r="437" spans="1:3" ht="14.5">
      <c r="A437" t="s">
        <v>3948</v>
      </c>
      <c r="B437" s="380" t="str">
        <f t="shared" si="6"/>
        <v>091-902</v>
      </c>
      <c r="C437" s="2030">
        <v>1.17</v>
      </c>
    </row>
    <row r="438" spans="1:3" ht="14.5">
      <c r="A438" t="s">
        <v>5044</v>
      </c>
      <c r="B438" s="380" t="str">
        <f t="shared" si="6"/>
        <v>091-903</v>
      </c>
      <c r="C438" s="2030">
        <v>1.17</v>
      </c>
    </row>
    <row r="439" spans="1:3" ht="14.5">
      <c r="A439" t="s">
        <v>3004</v>
      </c>
      <c r="B439" s="380" t="str">
        <f t="shared" si="6"/>
        <v>091-905</v>
      </c>
      <c r="C439" s="2030">
        <v>1.17</v>
      </c>
    </row>
    <row r="440" spans="1:3" ht="14.5">
      <c r="A440" t="s">
        <v>3005</v>
      </c>
      <c r="B440" s="380" t="str">
        <f t="shared" si="6"/>
        <v>091-906</v>
      </c>
      <c r="C440" s="2030">
        <v>1.17</v>
      </c>
    </row>
    <row r="441" spans="1:3" ht="14.5">
      <c r="A441" t="s">
        <v>5045</v>
      </c>
      <c r="B441" s="380" t="str">
        <f t="shared" si="6"/>
        <v>091-907</v>
      </c>
      <c r="C441" s="2030">
        <v>1.17</v>
      </c>
    </row>
    <row r="442" spans="1:3" ht="14.5">
      <c r="A442" t="s">
        <v>3006</v>
      </c>
      <c r="B442" s="380" t="str">
        <f t="shared" si="6"/>
        <v>091-908</v>
      </c>
      <c r="C442" s="2030">
        <v>1.1200000000000001</v>
      </c>
    </row>
    <row r="443" spans="1:3" ht="14.5">
      <c r="A443" t="s">
        <v>3007</v>
      </c>
      <c r="B443" s="380" t="str">
        <f t="shared" si="6"/>
        <v>091-909</v>
      </c>
      <c r="C443" s="2030">
        <v>1.17</v>
      </c>
    </row>
    <row r="444" spans="1:3" ht="14.5">
      <c r="A444" t="s">
        <v>5046</v>
      </c>
      <c r="B444" s="380" t="str">
        <f t="shared" si="6"/>
        <v>091-910</v>
      </c>
      <c r="C444" s="2030">
        <v>1.17</v>
      </c>
    </row>
    <row r="445" spans="1:3" ht="14.5">
      <c r="A445" t="s">
        <v>3008</v>
      </c>
      <c r="B445" s="380" t="str">
        <f t="shared" si="6"/>
        <v>091-913</v>
      </c>
      <c r="C445" s="2030">
        <v>1.04</v>
      </c>
    </row>
    <row r="446" spans="1:3" ht="14.5">
      <c r="A446" t="s">
        <v>5047</v>
      </c>
      <c r="B446" s="380" t="str">
        <f t="shared" si="6"/>
        <v>091-914</v>
      </c>
      <c r="C446" s="2030">
        <v>1.17</v>
      </c>
    </row>
    <row r="447" spans="1:3" ht="14.5">
      <c r="A447" t="s">
        <v>3009</v>
      </c>
      <c r="B447" s="380" t="str">
        <f t="shared" si="6"/>
        <v>091-917</v>
      </c>
      <c r="C447" s="2030">
        <v>1.17</v>
      </c>
    </row>
    <row r="448" spans="1:3" ht="14.5">
      <c r="A448" t="s">
        <v>5048</v>
      </c>
      <c r="B448" s="380" t="str">
        <f t="shared" si="6"/>
        <v>091-918</v>
      </c>
      <c r="C448" s="2030">
        <v>1.17</v>
      </c>
    </row>
    <row r="449" spans="1:3" ht="14.5">
      <c r="A449" t="s">
        <v>8003</v>
      </c>
      <c r="B449" s="380" t="str">
        <f t="shared" si="6"/>
        <v>092-801</v>
      </c>
      <c r="C449" s="2030">
        <v>0</v>
      </c>
    </row>
    <row r="450" spans="1:3" ht="14.5">
      <c r="A450" t="s">
        <v>5049</v>
      </c>
      <c r="B450" s="380" t="str">
        <f t="shared" ref="B450:B513" si="7">CONCATENATE(LEFT(RIGHT(CONCATENATE("000",A450),6),3),"-",(RIGHT(RIGHT(CONCATENATE("000",A450),6),3)))</f>
        <v>092-901</v>
      </c>
      <c r="C450" s="2030">
        <v>1.17</v>
      </c>
    </row>
    <row r="451" spans="1:3" ht="14.5">
      <c r="A451" t="s">
        <v>5050</v>
      </c>
      <c r="B451" s="380" t="str">
        <f t="shared" si="7"/>
        <v>092-902</v>
      </c>
      <c r="C451" s="2030">
        <v>1.04</v>
      </c>
    </row>
    <row r="452" spans="1:3" ht="14.5">
      <c r="A452" t="s">
        <v>3969</v>
      </c>
      <c r="B452" s="380" t="str">
        <f t="shared" si="7"/>
        <v>092-903</v>
      </c>
      <c r="C452" s="2030">
        <v>1.04</v>
      </c>
    </row>
    <row r="453" spans="1:3" ht="14.5">
      <c r="A453" t="s">
        <v>5051</v>
      </c>
      <c r="B453" s="380" t="str">
        <f t="shared" si="7"/>
        <v>092-904</v>
      </c>
      <c r="C453" s="2030">
        <v>1.17</v>
      </c>
    </row>
    <row r="454" spans="1:3" ht="14.5">
      <c r="A454" t="s">
        <v>5052</v>
      </c>
      <c r="B454" s="380" t="str">
        <f t="shared" si="7"/>
        <v>092-906</v>
      </c>
      <c r="C454" s="2030">
        <v>1.04</v>
      </c>
    </row>
    <row r="455" spans="1:3" ht="14.5">
      <c r="A455" t="s">
        <v>3010</v>
      </c>
      <c r="B455" s="380" t="str">
        <f t="shared" si="7"/>
        <v>092-907</v>
      </c>
      <c r="C455" s="2030">
        <v>1.17</v>
      </c>
    </row>
    <row r="456" spans="1:3" ht="14.5">
      <c r="A456" t="s">
        <v>5053</v>
      </c>
      <c r="B456" s="380" t="str">
        <f t="shared" si="7"/>
        <v>092-908</v>
      </c>
      <c r="C456" s="2030">
        <v>1.17</v>
      </c>
    </row>
    <row r="457" spans="1:3" ht="14.5">
      <c r="A457" t="s">
        <v>5054</v>
      </c>
      <c r="B457" s="380" t="str">
        <f t="shared" si="7"/>
        <v>093-901</v>
      </c>
      <c r="C457" s="2030">
        <v>1.04</v>
      </c>
    </row>
    <row r="458" spans="1:3" ht="14.5">
      <c r="A458" t="s">
        <v>3011</v>
      </c>
      <c r="B458" s="380" t="str">
        <f t="shared" si="7"/>
        <v>093-903</v>
      </c>
      <c r="C458" s="2030">
        <v>1.04</v>
      </c>
    </row>
    <row r="459" spans="1:3" ht="14.5">
      <c r="A459" t="s">
        <v>5055</v>
      </c>
      <c r="B459" s="380" t="str">
        <f t="shared" si="7"/>
        <v>093-904</v>
      </c>
      <c r="C459" s="2030">
        <v>1.04</v>
      </c>
    </row>
    <row r="460" spans="1:3" ht="14.5">
      <c r="A460" t="s">
        <v>5806</v>
      </c>
      <c r="B460" s="380" t="str">
        <f t="shared" si="7"/>
        <v>093-905</v>
      </c>
      <c r="C460" s="2030">
        <v>1.06</v>
      </c>
    </row>
    <row r="461" spans="1:3" ht="14.5">
      <c r="A461" t="s">
        <v>3012</v>
      </c>
      <c r="B461" s="380" t="str">
        <f t="shared" si="7"/>
        <v>094-901</v>
      </c>
      <c r="C461" s="2030">
        <v>1.06</v>
      </c>
    </row>
    <row r="462" spans="1:3" ht="14.5">
      <c r="A462" t="s">
        <v>3013</v>
      </c>
      <c r="B462" s="380" t="str">
        <f t="shared" si="7"/>
        <v>094-902</v>
      </c>
      <c r="C462" s="2030">
        <v>1.04</v>
      </c>
    </row>
    <row r="463" spans="1:3" ht="14.5">
      <c r="A463" t="s">
        <v>3014</v>
      </c>
      <c r="B463" s="380" t="str">
        <f t="shared" si="7"/>
        <v>094-903</v>
      </c>
      <c r="C463" s="2030">
        <v>1.1200000000000001</v>
      </c>
    </row>
    <row r="464" spans="1:3" ht="14.5">
      <c r="A464" t="s">
        <v>3993</v>
      </c>
      <c r="B464" s="380" t="str">
        <f t="shared" si="7"/>
        <v>094-904</v>
      </c>
      <c r="C464" s="2030">
        <v>1.17</v>
      </c>
    </row>
    <row r="465" spans="1:3" ht="14.5">
      <c r="A465" t="s">
        <v>5056</v>
      </c>
      <c r="B465" s="380" t="str">
        <f t="shared" si="7"/>
        <v>095-901</v>
      </c>
      <c r="C465" s="2030">
        <v>1.17</v>
      </c>
    </row>
    <row r="466" spans="1:3" ht="14.5">
      <c r="A466" t="s">
        <v>5807</v>
      </c>
      <c r="B466" s="380" t="str">
        <f t="shared" si="7"/>
        <v>095-902</v>
      </c>
      <c r="C466" s="2030">
        <v>1.1532</v>
      </c>
    </row>
    <row r="467" spans="1:3" ht="14.5">
      <c r="A467" t="s">
        <v>5057</v>
      </c>
      <c r="B467" s="380" t="str">
        <f t="shared" si="7"/>
        <v>095-903</v>
      </c>
      <c r="C467" s="2030">
        <v>1.17</v>
      </c>
    </row>
    <row r="468" spans="1:3" ht="14.5">
      <c r="A468" t="s">
        <v>5808</v>
      </c>
      <c r="B468" s="380" t="str">
        <f t="shared" si="7"/>
        <v>095-904</v>
      </c>
      <c r="C468" s="2030">
        <v>1.17</v>
      </c>
    </row>
    <row r="469" spans="1:3" ht="14.5">
      <c r="A469" t="s">
        <v>5809</v>
      </c>
      <c r="B469" s="380" t="str">
        <f t="shared" si="7"/>
        <v>095-905</v>
      </c>
      <c r="C469" s="2030">
        <v>1.17</v>
      </c>
    </row>
    <row r="470" spans="1:3" ht="14.5">
      <c r="A470" t="s">
        <v>5810</v>
      </c>
      <c r="B470" s="380" t="str">
        <f t="shared" si="7"/>
        <v>096-904</v>
      </c>
      <c r="C470" s="2030">
        <v>1.17</v>
      </c>
    </row>
    <row r="471" spans="1:3" ht="14.5">
      <c r="A471" t="s">
        <v>5058</v>
      </c>
      <c r="B471" s="380" t="str">
        <f t="shared" si="7"/>
        <v>096-905</v>
      </c>
      <c r="C471" s="2030">
        <v>1.04</v>
      </c>
    </row>
    <row r="472" spans="1:3" ht="14.5">
      <c r="A472" t="s">
        <v>5059</v>
      </c>
      <c r="B472" s="380" t="str">
        <f t="shared" si="7"/>
        <v>097-902</v>
      </c>
      <c r="C472" s="2030">
        <v>1.17</v>
      </c>
    </row>
    <row r="473" spans="1:3" ht="14.5">
      <c r="A473" t="s">
        <v>3015</v>
      </c>
      <c r="B473" s="380" t="str">
        <f t="shared" si="7"/>
        <v>097-903</v>
      </c>
      <c r="C473" s="2030">
        <v>1.17</v>
      </c>
    </row>
    <row r="474" spans="1:3" ht="14.5">
      <c r="A474" t="s">
        <v>5060</v>
      </c>
      <c r="B474" s="380" t="str">
        <f t="shared" si="7"/>
        <v>098-901</v>
      </c>
      <c r="C474" s="2030">
        <v>1.06</v>
      </c>
    </row>
    <row r="475" spans="1:3" ht="14.5">
      <c r="A475" t="s">
        <v>5061</v>
      </c>
      <c r="B475" s="380" t="str">
        <f t="shared" si="7"/>
        <v>098-903</v>
      </c>
      <c r="C475" s="2030">
        <v>1.04</v>
      </c>
    </row>
    <row r="476" spans="1:3" ht="14.5">
      <c r="A476" t="s">
        <v>5062</v>
      </c>
      <c r="B476" s="380" t="str">
        <f t="shared" si="7"/>
        <v>098-904</v>
      </c>
      <c r="C476" s="2030">
        <v>1.17</v>
      </c>
    </row>
    <row r="477" spans="1:3" ht="14.5">
      <c r="A477" t="s">
        <v>5063</v>
      </c>
      <c r="B477" s="380" t="str">
        <f t="shared" si="7"/>
        <v>099-902</v>
      </c>
      <c r="C477" s="2030">
        <v>1.04</v>
      </c>
    </row>
    <row r="478" spans="1:3" ht="14.5">
      <c r="A478" t="s">
        <v>5811</v>
      </c>
      <c r="B478" s="380" t="str">
        <f t="shared" si="7"/>
        <v>099-903</v>
      </c>
      <c r="C478" s="2030">
        <v>1.04</v>
      </c>
    </row>
    <row r="479" spans="1:3" ht="14.5">
      <c r="A479" t="s">
        <v>5064</v>
      </c>
      <c r="B479" s="380" t="str">
        <f t="shared" si="7"/>
        <v>100-903</v>
      </c>
      <c r="C479" s="2030">
        <v>1.17</v>
      </c>
    </row>
    <row r="480" spans="1:3" ht="14.5">
      <c r="A480" t="s">
        <v>3016</v>
      </c>
      <c r="B480" s="380" t="str">
        <f t="shared" si="7"/>
        <v>100-904</v>
      </c>
      <c r="C480" s="2030">
        <v>1.17</v>
      </c>
    </row>
    <row r="481" spans="1:3" ht="14.5">
      <c r="A481" t="s">
        <v>5065</v>
      </c>
      <c r="B481" s="380" t="str">
        <f t="shared" si="7"/>
        <v>100-905</v>
      </c>
      <c r="C481" s="2030">
        <v>1.04</v>
      </c>
    </row>
    <row r="482" spans="1:3" ht="14.5">
      <c r="A482" t="s">
        <v>3017</v>
      </c>
      <c r="B482" s="380" t="str">
        <f t="shared" si="7"/>
        <v>100-907</v>
      </c>
      <c r="C482" s="2030">
        <v>1.04</v>
      </c>
    </row>
    <row r="483" spans="1:3" ht="14.5">
      <c r="A483" t="s">
        <v>3018</v>
      </c>
      <c r="B483" s="380" t="str">
        <f t="shared" si="7"/>
        <v>100-908</v>
      </c>
      <c r="C483" s="2030">
        <v>1.17</v>
      </c>
    </row>
    <row r="484" spans="1:3" ht="14.5">
      <c r="A484" t="s">
        <v>8004</v>
      </c>
      <c r="B484" s="380" t="str">
        <f t="shared" si="7"/>
        <v>101-802</v>
      </c>
      <c r="C484" s="2030">
        <v>0</v>
      </c>
    </row>
    <row r="485" spans="1:3" ht="14.5">
      <c r="A485" t="s">
        <v>8005</v>
      </c>
      <c r="B485" s="380" t="str">
        <f t="shared" si="7"/>
        <v>101-803</v>
      </c>
      <c r="C485" s="2030">
        <v>0</v>
      </c>
    </row>
    <row r="486" spans="1:3" ht="14.5">
      <c r="A486" t="s">
        <v>8006</v>
      </c>
      <c r="B486" s="380" t="str">
        <f t="shared" si="7"/>
        <v>101-804</v>
      </c>
      <c r="C486" s="2030">
        <v>0</v>
      </c>
    </row>
    <row r="487" spans="1:3" ht="14.5">
      <c r="A487" t="s">
        <v>8007</v>
      </c>
      <c r="B487" s="380" t="str">
        <f t="shared" si="7"/>
        <v>101-806</v>
      </c>
      <c r="C487" s="2030">
        <v>0</v>
      </c>
    </row>
    <row r="488" spans="1:3" ht="14.5">
      <c r="A488" t="s">
        <v>8008</v>
      </c>
      <c r="B488" s="380" t="str">
        <f t="shared" si="7"/>
        <v>101-807</v>
      </c>
      <c r="C488" s="2030">
        <v>0</v>
      </c>
    </row>
    <row r="489" spans="1:3" ht="14.5">
      <c r="A489" t="s">
        <v>8009</v>
      </c>
      <c r="B489" s="380" t="str">
        <f t="shared" si="7"/>
        <v>101-810</v>
      </c>
      <c r="C489" s="2030">
        <v>0</v>
      </c>
    </row>
    <row r="490" spans="1:3" ht="14.5">
      <c r="A490" t="s">
        <v>8010</v>
      </c>
      <c r="B490" s="380" t="str">
        <f t="shared" si="7"/>
        <v>101-811</v>
      </c>
      <c r="C490" s="2030">
        <v>0</v>
      </c>
    </row>
    <row r="491" spans="1:3" ht="14.5">
      <c r="A491" t="s">
        <v>8011</v>
      </c>
      <c r="B491" s="380" t="str">
        <f t="shared" si="7"/>
        <v>101-814</v>
      </c>
      <c r="C491" s="2030">
        <v>0</v>
      </c>
    </row>
    <row r="492" spans="1:3" ht="14.5">
      <c r="A492" t="s">
        <v>8012</v>
      </c>
      <c r="B492" s="380" t="str">
        <f t="shared" si="7"/>
        <v>101-815</v>
      </c>
      <c r="C492" s="2030">
        <v>0</v>
      </c>
    </row>
    <row r="493" spans="1:3" ht="14.5">
      <c r="A493" t="s">
        <v>8013</v>
      </c>
      <c r="B493" s="380" t="str">
        <f t="shared" si="7"/>
        <v>101-819</v>
      </c>
      <c r="C493" s="2030">
        <v>0</v>
      </c>
    </row>
    <row r="494" spans="1:3" ht="14.5">
      <c r="A494" t="s">
        <v>8014</v>
      </c>
      <c r="B494" s="380" t="str">
        <f t="shared" si="7"/>
        <v>101-821</v>
      </c>
      <c r="C494" s="2030">
        <v>0</v>
      </c>
    </row>
    <row r="495" spans="1:3" ht="14.5">
      <c r="A495" t="s">
        <v>8015</v>
      </c>
      <c r="B495" s="380" t="str">
        <f t="shared" si="7"/>
        <v>101-828</v>
      </c>
      <c r="C495" s="2030">
        <v>0</v>
      </c>
    </row>
    <row r="496" spans="1:3" ht="14.5">
      <c r="A496" t="s">
        <v>8016</v>
      </c>
      <c r="B496" s="380" t="str">
        <f t="shared" si="7"/>
        <v>101-837</v>
      </c>
      <c r="C496" s="2030">
        <v>0</v>
      </c>
    </row>
    <row r="497" spans="1:3" ht="14.5">
      <c r="A497" t="s">
        <v>8017</v>
      </c>
      <c r="B497" s="380" t="str">
        <f t="shared" si="7"/>
        <v>101-838</v>
      </c>
      <c r="C497" s="2030">
        <v>0</v>
      </c>
    </row>
    <row r="498" spans="1:3" ht="14.5">
      <c r="A498" t="s">
        <v>8018</v>
      </c>
      <c r="B498" s="380" t="str">
        <f t="shared" si="7"/>
        <v>101-840</v>
      </c>
      <c r="C498" s="2030">
        <v>0</v>
      </c>
    </row>
    <row r="499" spans="1:3" ht="14.5">
      <c r="A499" t="s">
        <v>8019</v>
      </c>
      <c r="B499" s="380" t="str">
        <f t="shared" si="7"/>
        <v>101-842</v>
      </c>
      <c r="C499" s="2030">
        <v>0</v>
      </c>
    </row>
    <row r="500" spans="1:3" ht="14.5">
      <c r="A500" t="s">
        <v>8020</v>
      </c>
      <c r="B500" s="380" t="str">
        <f t="shared" si="7"/>
        <v>101-845</v>
      </c>
      <c r="C500" s="2030">
        <v>0</v>
      </c>
    </row>
    <row r="501" spans="1:3" ht="14.5">
      <c r="A501" t="s">
        <v>8021</v>
      </c>
      <c r="B501" s="380" t="str">
        <f t="shared" si="7"/>
        <v>101-846</v>
      </c>
      <c r="C501" s="2030">
        <v>0</v>
      </c>
    </row>
    <row r="502" spans="1:3" ht="14.5">
      <c r="A502" t="s">
        <v>8022</v>
      </c>
      <c r="B502" s="380" t="str">
        <f t="shared" si="7"/>
        <v>101-847</v>
      </c>
      <c r="C502" s="2030">
        <v>0</v>
      </c>
    </row>
    <row r="503" spans="1:3" ht="14.5">
      <c r="A503" t="s">
        <v>8023</v>
      </c>
      <c r="B503" s="380" t="str">
        <f t="shared" si="7"/>
        <v>101-849</v>
      </c>
      <c r="C503" s="2030">
        <v>0</v>
      </c>
    </row>
    <row r="504" spans="1:3" ht="14.5">
      <c r="A504" t="s">
        <v>8024</v>
      </c>
      <c r="B504" s="380" t="str">
        <f t="shared" si="7"/>
        <v>101-853</v>
      </c>
      <c r="C504" s="2030">
        <v>0</v>
      </c>
    </row>
    <row r="505" spans="1:3" ht="14.5">
      <c r="A505" t="s">
        <v>8025</v>
      </c>
      <c r="B505" s="380" t="str">
        <f t="shared" si="7"/>
        <v>101-855</v>
      </c>
      <c r="C505" s="2030">
        <v>0</v>
      </c>
    </row>
    <row r="506" spans="1:3" ht="14.5">
      <c r="A506" t="s">
        <v>8026</v>
      </c>
      <c r="B506" s="380" t="str">
        <f t="shared" si="7"/>
        <v>101-856</v>
      </c>
      <c r="C506" s="2030">
        <v>0</v>
      </c>
    </row>
    <row r="507" spans="1:3" ht="14.5">
      <c r="A507" t="s">
        <v>8027</v>
      </c>
      <c r="B507" s="380" t="str">
        <f t="shared" si="7"/>
        <v>101-858</v>
      </c>
      <c r="C507" s="2030">
        <v>0</v>
      </c>
    </row>
    <row r="508" spans="1:3" ht="14.5">
      <c r="A508" t="s">
        <v>8028</v>
      </c>
      <c r="B508" s="380" t="str">
        <f t="shared" si="7"/>
        <v>101-859</v>
      </c>
      <c r="C508" s="2030">
        <v>0</v>
      </c>
    </row>
    <row r="509" spans="1:3" ht="14.5">
      <c r="A509" t="s">
        <v>8029</v>
      </c>
      <c r="B509" s="380" t="str">
        <f t="shared" si="7"/>
        <v>101-861</v>
      </c>
      <c r="C509" s="2030">
        <v>0</v>
      </c>
    </row>
    <row r="510" spans="1:3" ht="14.5">
      <c r="A510" t="s">
        <v>8030</v>
      </c>
      <c r="B510" s="380" t="str">
        <f t="shared" si="7"/>
        <v>101-862</v>
      </c>
      <c r="C510" s="2030">
        <v>0</v>
      </c>
    </row>
    <row r="511" spans="1:3" ht="14.5">
      <c r="A511" t="s">
        <v>8031</v>
      </c>
      <c r="B511" s="380" t="str">
        <f t="shared" si="7"/>
        <v>101-864</v>
      </c>
      <c r="C511" s="2030">
        <v>0</v>
      </c>
    </row>
    <row r="512" spans="1:3" ht="14.5">
      <c r="A512" t="s">
        <v>8032</v>
      </c>
      <c r="B512" s="380" t="str">
        <f t="shared" si="7"/>
        <v>101-868</v>
      </c>
      <c r="C512" s="2030">
        <v>0</v>
      </c>
    </row>
    <row r="513" spans="1:3" ht="14.5">
      <c r="A513" t="s">
        <v>8033</v>
      </c>
      <c r="B513" s="380" t="str">
        <f t="shared" si="7"/>
        <v>101-870</v>
      </c>
      <c r="C513" s="2030">
        <v>0</v>
      </c>
    </row>
    <row r="514" spans="1:3" ht="14.5">
      <c r="A514" t="s">
        <v>8034</v>
      </c>
      <c r="B514" s="380" t="str">
        <f t="shared" ref="B514:B577" si="8">CONCATENATE(LEFT(RIGHT(CONCATENATE("000",A514),6),3),"-",(RIGHT(RIGHT(CONCATENATE("000",A514),6),3)))</f>
        <v>101-871</v>
      </c>
      <c r="C514" s="2030">
        <v>0</v>
      </c>
    </row>
    <row r="515" spans="1:3" ht="14.5">
      <c r="A515" t="s">
        <v>8035</v>
      </c>
      <c r="B515" s="380" t="str">
        <f t="shared" si="8"/>
        <v>101-872</v>
      </c>
      <c r="C515" s="2030">
        <v>0</v>
      </c>
    </row>
    <row r="516" spans="1:3" ht="14.5">
      <c r="A516" t="s">
        <v>8036</v>
      </c>
      <c r="B516" s="380" t="str">
        <f t="shared" si="8"/>
        <v>101-873</v>
      </c>
      <c r="C516" s="2030">
        <v>0</v>
      </c>
    </row>
    <row r="517" spans="1:3" ht="14.5">
      <c r="A517" t="s">
        <v>8037</v>
      </c>
      <c r="B517" s="380" t="str">
        <f t="shared" si="8"/>
        <v>101-874</v>
      </c>
      <c r="C517" s="2030">
        <v>0</v>
      </c>
    </row>
    <row r="518" spans="1:3" ht="14.5">
      <c r="A518" t="s">
        <v>3019</v>
      </c>
      <c r="B518" s="380" t="str">
        <f t="shared" si="8"/>
        <v>101-902</v>
      </c>
      <c r="C518" s="2030">
        <v>1.1534</v>
      </c>
    </row>
    <row r="519" spans="1:3" ht="14.5">
      <c r="A519" t="s">
        <v>3020</v>
      </c>
      <c r="B519" s="380" t="str">
        <f t="shared" si="8"/>
        <v>101-903</v>
      </c>
      <c r="C519" s="2030">
        <v>1.125</v>
      </c>
    </row>
    <row r="520" spans="1:3" ht="14.5">
      <c r="A520" t="s">
        <v>3021</v>
      </c>
      <c r="B520" s="380" t="str">
        <f t="shared" si="8"/>
        <v>101-905</v>
      </c>
      <c r="C520" s="2030">
        <v>1.04</v>
      </c>
    </row>
    <row r="521" spans="1:3" ht="14.5">
      <c r="A521" t="s">
        <v>3022</v>
      </c>
      <c r="B521" s="380" t="str">
        <f t="shared" si="8"/>
        <v>101-906</v>
      </c>
      <c r="C521" s="2030">
        <v>1.17</v>
      </c>
    </row>
    <row r="522" spans="1:3" ht="14.5">
      <c r="A522" t="s">
        <v>5066</v>
      </c>
      <c r="B522" s="380" t="str">
        <f t="shared" si="8"/>
        <v>101-907</v>
      </c>
      <c r="C522" s="2030">
        <v>1.06</v>
      </c>
    </row>
    <row r="523" spans="1:3" ht="14.5">
      <c r="A523" t="s">
        <v>5067</v>
      </c>
      <c r="B523" s="380" t="str">
        <f t="shared" si="8"/>
        <v>101-908</v>
      </c>
      <c r="C523" s="2030">
        <v>1.2367000000000001</v>
      </c>
    </row>
    <row r="524" spans="1:3" ht="14.5">
      <c r="A524" t="s">
        <v>3023</v>
      </c>
      <c r="B524" s="380" t="str">
        <f t="shared" si="8"/>
        <v>101-910</v>
      </c>
      <c r="C524" s="2030">
        <v>1.2433000000000001</v>
      </c>
    </row>
    <row r="525" spans="1:3" ht="14.5">
      <c r="A525" t="s">
        <v>5068</v>
      </c>
      <c r="B525" s="380" t="str">
        <f t="shared" si="8"/>
        <v>101-911</v>
      </c>
      <c r="C525" s="2030">
        <v>1.17</v>
      </c>
    </row>
    <row r="526" spans="1:3" ht="14.5">
      <c r="A526" t="s">
        <v>5069</v>
      </c>
      <c r="B526" s="380" t="str">
        <f t="shared" si="8"/>
        <v>101-912</v>
      </c>
      <c r="C526" s="2030">
        <v>1.04</v>
      </c>
    </row>
    <row r="527" spans="1:3" ht="14.5">
      <c r="A527" t="s">
        <v>3024</v>
      </c>
      <c r="B527" s="380" t="str">
        <f t="shared" si="8"/>
        <v>101-913</v>
      </c>
      <c r="C527" s="2030">
        <v>1.17</v>
      </c>
    </row>
    <row r="528" spans="1:3" ht="14.5">
      <c r="A528" t="s">
        <v>3025</v>
      </c>
      <c r="B528" s="380" t="str">
        <f t="shared" si="8"/>
        <v>101-914</v>
      </c>
      <c r="C528" s="2030">
        <v>1.1466000000000001</v>
      </c>
    </row>
    <row r="529" spans="1:3" ht="14.5">
      <c r="A529" t="s">
        <v>3026</v>
      </c>
      <c r="B529" s="380" t="str">
        <f t="shared" si="8"/>
        <v>101-915</v>
      </c>
      <c r="C529" s="2030">
        <v>1.06</v>
      </c>
    </row>
    <row r="530" spans="1:3" ht="14.5">
      <c r="A530" t="s">
        <v>5070</v>
      </c>
      <c r="B530" s="380" t="str">
        <f t="shared" si="8"/>
        <v>101-916</v>
      </c>
      <c r="C530" s="2030">
        <v>1.17</v>
      </c>
    </row>
    <row r="531" spans="1:3" ht="14.5">
      <c r="A531" t="s">
        <v>3027</v>
      </c>
      <c r="B531" s="380" t="str">
        <f t="shared" si="8"/>
        <v>101-917</v>
      </c>
      <c r="C531" s="2030">
        <v>1.2</v>
      </c>
    </row>
    <row r="532" spans="1:3" ht="14.5">
      <c r="A532" t="s">
        <v>5071</v>
      </c>
      <c r="B532" s="380" t="str">
        <f t="shared" si="8"/>
        <v>101-919</v>
      </c>
      <c r="C532" s="2030">
        <v>1.06</v>
      </c>
    </row>
    <row r="533" spans="1:3" ht="14.5">
      <c r="A533" t="s">
        <v>5072</v>
      </c>
      <c r="B533" s="380" t="str">
        <f t="shared" si="8"/>
        <v>101-920</v>
      </c>
      <c r="C533" s="2030">
        <v>1.1100000000000001</v>
      </c>
    </row>
    <row r="534" spans="1:3" ht="14.5">
      <c r="A534" t="s">
        <v>5073</v>
      </c>
      <c r="B534" s="380" t="str">
        <f t="shared" si="8"/>
        <v>101-921</v>
      </c>
      <c r="C534" s="2030">
        <v>1.04</v>
      </c>
    </row>
    <row r="535" spans="1:3" ht="14.5">
      <c r="A535" t="s">
        <v>5074</v>
      </c>
      <c r="B535" s="380" t="str">
        <f t="shared" si="8"/>
        <v>101-924</v>
      </c>
      <c r="C535" s="2030">
        <v>1.17</v>
      </c>
    </row>
    <row r="536" spans="1:3" ht="14.5">
      <c r="A536" t="s">
        <v>3028</v>
      </c>
      <c r="B536" s="380" t="str">
        <f t="shared" si="8"/>
        <v>101-925</v>
      </c>
      <c r="C536" s="2030">
        <v>1.04</v>
      </c>
    </row>
    <row r="537" spans="1:3" ht="14.5">
      <c r="A537" t="s">
        <v>5812</v>
      </c>
      <c r="B537" s="380" t="str">
        <f t="shared" si="8"/>
        <v>102-901</v>
      </c>
      <c r="C537" s="2030">
        <v>1.04</v>
      </c>
    </row>
    <row r="538" spans="1:3" ht="14.5">
      <c r="A538" t="s">
        <v>5075</v>
      </c>
      <c r="B538" s="380" t="str">
        <f t="shared" si="8"/>
        <v>102-902</v>
      </c>
      <c r="C538" s="2030">
        <v>1.04</v>
      </c>
    </row>
    <row r="539" spans="1:3" ht="14.5">
      <c r="A539" t="s">
        <v>5076</v>
      </c>
      <c r="B539" s="380" t="str">
        <f t="shared" si="8"/>
        <v>102-903</v>
      </c>
      <c r="C539" s="2030">
        <v>1.04</v>
      </c>
    </row>
    <row r="540" spans="1:3" ht="14.5">
      <c r="A540" t="s">
        <v>5077</v>
      </c>
      <c r="B540" s="380" t="str">
        <f t="shared" si="8"/>
        <v>102-904</v>
      </c>
      <c r="C540" s="2030">
        <v>1.04</v>
      </c>
    </row>
    <row r="541" spans="1:3" ht="14.5">
      <c r="A541" t="s">
        <v>5078</v>
      </c>
      <c r="B541" s="380" t="str">
        <f t="shared" si="8"/>
        <v>102-905</v>
      </c>
      <c r="C541" s="2030">
        <v>1.17</v>
      </c>
    </row>
    <row r="542" spans="1:3" ht="14.5">
      <c r="A542" t="s">
        <v>5079</v>
      </c>
      <c r="B542" s="380" t="str">
        <f t="shared" si="8"/>
        <v>102-906</v>
      </c>
      <c r="C542" s="2030">
        <v>1.04</v>
      </c>
    </row>
    <row r="543" spans="1:3" ht="14.5">
      <c r="A543" t="s">
        <v>5080</v>
      </c>
      <c r="B543" s="380" t="str">
        <f t="shared" si="8"/>
        <v>103-901</v>
      </c>
      <c r="C543" s="2030">
        <v>1.04</v>
      </c>
    </row>
    <row r="544" spans="1:3" ht="14.5">
      <c r="A544" t="s">
        <v>5081</v>
      </c>
      <c r="B544" s="380" t="str">
        <f t="shared" si="8"/>
        <v>103-902</v>
      </c>
      <c r="C544" s="2030">
        <v>1.04</v>
      </c>
    </row>
    <row r="545" spans="1:3" ht="14.5">
      <c r="A545" t="s">
        <v>3029</v>
      </c>
      <c r="B545" s="380" t="str">
        <f t="shared" si="8"/>
        <v>104-901</v>
      </c>
      <c r="C545" s="2030">
        <v>1.0417000000000001</v>
      </c>
    </row>
    <row r="546" spans="1:3" ht="14.5">
      <c r="A546" t="s">
        <v>5813</v>
      </c>
      <c r="B546" s="380" t="str">
        <f t="shared" si="8"/>
        <v>104-903</v>
      </c>
      <c r="C546" s="2030">
        <v>1.17</v>
      </c>
    </row>
    <row r="547" spans="1:3" ht="14.5">
      <c r="A547" t="s">
        <v>5082</v>
      </c>
      <c r="B547" s="380" t="str">
        <f t="shared" si="8"/>
        <v>104-907</v>
      </c>
      <c r="C547" s="2030">
        <v>1.04</v>
      </c>
    </row>
    <row r="548" spans="1:3" ht="14.5">
      <c r="A548" t="s">
        <v>8040</v>
      </c>
      <c r="B548" s="380" t="str">
        <f t="shared" si="8"/>
        <v>105-801</v>
      </c>
      <c r="C548" s="2030">
        <v>0</v>
      </c>
    </row>
    <row r="549" spans="1:3" ht="14.5">
      <c r="A549" t="s">
        <v>8041</v>
      </c>
      <c r="B549" s="380" t="str">
        <f t="shared" si="8"/>
        <v>105-802</v>
      </c>
      <c r="C549" s="2030">
        <v>0</v>
      </c>
    </row>
    <row r="550" spans="1:3" ht="14.5">
      <c r="A550" t="s">
        <v>8042</v>
      </c>
      <c r="B550" s="380" t="str">
        <f t="shared" si="8"/>
        <v>105-803</v>
      </c>
      <c r="C550" s="2030">
        <v>0</v>
      </c>
    </row>
    <row r="551" spans="1:3" ht="14.5">
      <c r="A551" t="s">
        <v>5083</v>
      </c>
      <c r="B551" s="380" t="str">
        <f t="shared" si="8"/>
        <v>105-902</v>
      </c>
      <c r="C551" s="2030">
        <v>1.06</v>
      </c>
    </row>
    <row r="552" spans="1:3" ht="14.5">
      <c r="A552" t="s">
        <v>3030</v>
      </c>
      <c r="B552" s="380" t="str">
        <f t="shared" si="8"/>
        <v>105-904</v>
      </c>
      <c r="C552" s="2030">
        <v>1.17</v>
      </c>
    </row>
    <row r="553" spans="1:3" ht="14.5">
      <c r="A553" t="s">
        <v>5084</v>
      </c>
      <c r="B553" s="380" t="str">
        <f t="shared" si="8"/>
        <v>105-905</v>
      </c>
      <c r="C553" s="2030">
        <v>1.0900000000000001</v>
      </c>
    </row>
    <row r="554" spans="1:3" ht="14.5">
      <c r="A554" t="s">
        <v>3031</v>
      </c>
      <c r="B554" s="380" t="str">
        <f t="shared" si="8"/>
        <v>105-906</v>
      </c>
      <c r="C554" s="2030">
        <v>1.04</v>
      </c>
    </row>
    <row r="555" spans="1:3" ht="14.5">
      <c r="A555" t="s">
        <v>5085</v>
      </c>
      <c r="B555" s="380" t="str">
        <f t="shared" si="8"/>
        <v>106-901</v>
      </c>
      <c r="C555" s="2030">
        <v>0.93980000000000019</v>
      </c>
    </row>
    <row r="556" spans="1:3" ht="14.5">
      <c r="A556" t="s">
        <v>5086</v>
      </c>
      <c r="B556" s="380" t="str">
        <f t="shared" si="8"/>
        <v>107-901</v>
      </c>
      <c r="C556" s="2030">
        <v>1.0374000000000001</v>
      </c>
    </row>
    <row r="557" spans="1:3" ht="14.5">
      <c r="A557" t="s">
        <v>5087</v>
      </c>
      <c r="B557" s="380" t="str">
        <f t="shared" si="8"/>
        <v>107-902</v>
      </c>
      <c r="C557" s="2030">
        <v>1.17</v>
      </c>
    </row>
    <row r="558" spans="1:3" ht="14.5">
      <c r="A558" t="s">
        <v>5088</v>
      </c>
      <c r="B558" s="380" t="str">
        <f t="shared" si="8"/>
        <v>107-904</v>
      </c>
      <c r="C558" s="2030">
        <v>1.17</v>
      </c>
    </row>
    <row r="559" spans="1:3" ht="14.5">
      <c r="A559" t="s">
        <v>5089</v>
      </c>
      <c r="B559" s="380" t="str">
        <f t="shared" si="8"/>
        <v>107-905</v>
      </c>
      <c r="C559" s="2030">
        <v>1.04</v>
      </c>
    </row>
    <row r="560" spans="1:3" ht="14.5">
      <c r="A560" t="s">
        <v>5090</v>
      </c>
      <c r="B560" s="380" t="str">
        <f t="shared" si="8"/>
        <v>107-906</v>
      </c>
      <c r="C560" s="2030">
        <v>1.04</v>
      </c>
    </row>
    <row r="561" spans="1:3" ht="14.5">
      <c r="A561" t="s">
        <v>3032</v>
      </c>
      <c r="B561" s="380" t="str">
        <f t="shared" si="8"/>
        <v>107-907</v>
      </c>
      <c r="C561" s="2030">
        <v>1.17</v>
      </c>
    </row>
    <row r="562" spans="1:3" ht="14.5">
      <c r="A562" t="s">
        <v>4087</v>
      </c>
      <c r="B562" s="380" t="str">
        <f t="shared" si="8"/>
        <v>107-908</v>
      </c>
      <c r="C562" s="2030">
        <v>1.04</v>
      </c>
    </row>
    <row r="563" spans="1:3" ht="14.5">
      <c r="A563" t="s">
        <v>5091</v>
      </c>
      <c r="B563" s="380" t="str">
        <f t="shared" si="8"/>
        <v>107-910</v>
      </c>
      <c r="C563" s="2030">
        <v>1.04</v>
      </c>
    </row>
    <row r="564" spans="1:3" ht="14.5">
      <c r="A564" t="s">
        <v>8043</v>
      </c>
      <c r="B564" s="380" t="str">
        <f t="shared" si="8"/>
        <v>108-802</v>
      </c>
      <c r="C564" s="2030">
        <v>0</v>
      </c>
    </row>
    <row r="565" spans="1:3" ht="14.5">
      <c r="A565" t="s">
        <v>8044</v>
      </c>
      <c r="B565" s="380" t="str">
        <f t="shared" si="8"/>
        <v>108-804</v>
      </c>
      <c r="C565" s="2030">
        <v>0</v>
      </c>
    </row>
    <row r="566" spans="1:3" ht="14.5">
      <c r="A566" t="s">
        <v>8045</v>
      </c>
      <c r="B566" s="380" t="str">
        <f t="shared" si="8"/>
        <v>108-807</v>
      </c>
      <c r="C566" s="2030">
        <v>0</v>
      </c>
    </row>
    <row r="567" spans="1:3" ht="14.5">
      <c r="A567" t="s">
        <v>8046</v>
      </c>
      <c r="B567" s="380" t="str">
        <f t="shared" si="8"/>
        <v>108-808</v>
      </c>
      <c r="C567" s="2030">
        <v>0</v>
      </c>
    </row>
    <row r="568" spans="1:3" ht="14.5">
      <c r="A568" t="s">
        <v>8047</v>
      </c>
      <c r="B568" s="380" t="str">
        <f t="shared" si="8"/>
        <v>108-809</v>
      </c>
      <c r="C568" s="2030">
        <v>0</v>
      </c>
    </row>
    <row r="569" spans="1:3" ht="14.5">
      <c r="A569" t="s">
        <v>3033</v>
      </c>
      <c r="B569" s="380" t="str">
        <f t="shared" si="8"/>
        <v>108-902</v>
      </c>
      <c r="C569" s="2030">
        <v>1.17</v>
      </c>
    </row>
    <row r="570" spans="1:3" ht="14.5">
      <c r="A570" t="s">
        <v>3034</v>
      </c>
      <c r="B570" s="380" t="str">
        <f t="shared" si="8"/>
        <v>108-903</v>
      </c>
      <c r="C570" s="2030">
        <v>1.17</v>
      </c>
    </row>
    <row r="571" spans="1:3" ht="14.5">
      <c r="A571" t="s">
        <v>3035</v>
      </c>
      <c r="B571" s="380" t="str">
        <f t="shared" si="8"/>
        <v>108-904</v>
      </c>
      <c r="C571" s="2030">
        <v>1.17</v>
      </c>
    </row>
    <row r="572" spans="1:3" ht="14.5">
      <c r="A572" t="s">
        <v>3036</v>
      </c>
      <c r="B572" s="380" t="str">
        <f t="shared" si="8"/>
        <v>108-905</v>
      </c>
      <c r="C572" s="2030">
        <v>1.17</v>
      </c>
    </row>
    <row r="573" spans="1:3" ht="14.5">
      <c r="A573" t="s">
        <v>3037</v>
      </c>
      <c r="B573" s="380" t="str">
        <f t="shared" si="8"/>
        <v>108-906</v>
      </c>
      <c r="C573" s="2030">
        <v>1.155</v>
      </c>
    </row>
    <row r="574" spans="1:3" ht="14.5">
      <c r="A574" t="s">
        <v>3038</v>
      </c>
      <c r="B574" s="380" t="str">
        <f t="shared" si="8"/>
        <v>108-907</v>
      </c>
      <c r="C574" s="2030">
        <v>1.17</v>
      </c>
    </row>
    <row r="575" spans="1:3" ht="14.5">
      <c r="A575" t="s">
        <v>3039</v>
      </c>
      <c r="B575" s="380" t="str">
        <f t="shared" si="8"/>
        <v>108-908</v>
      </c>
      <c r="C575" s="2030">
        <v>1.17</v>
      </c>
    </row>
    <row r="576" spans="1:3" ht="14.5">
      <c r="A576" t="s">
        <v>3040</v>
      </c>
      <c r="B576" s="380" t="str">
        <f t="shared" si="8"/>
        <v>108-909</v>
      </c>
      <c r="C576" s="2030">
        <v>1.17</v>
      </c>
    </row>
    <row r="577" spans="1:3" ht="14.5">
      <c r="A577" t="s">
        <v>3041</v>
      </c>
      <c r="B577" s="380" t="str">
        <f t="shared" si="8"/>
        <v>108-910</v>
      </c>
      <c r="C577" s="2030">
        <v>1.04</v>
      </c>
    </row>
    <row r="578" spans="1:3" ht="14.5">
      <c r="A578" t="s">
        <v>3042</v>
      </c>
      <c r="B578" s="380" t="str">
        <f t="shared" ref="B578:B641" si="9">CONCATENATE(LEFT(RIGHT(CONCATENATE("000",A578),6),3),"-",(RIGHT(RIGHT(CONCATENATE("000",A578),6),3)))</f>
        <v>108-911</v>
      </c>
      <c r="C578" s="2030">
        <v>1.17</v>
      </c>
    </row>
    <row r="579" spans="1:3" ht="14.5">
      <c r="A579" t="s">
        <v>3043</v>
      </c>
      <c r="B579" s="380" t="str">
        <f t="shared" si="9"/>
        <v>108-912</v>
      </c>
      <c r="C579" s="2030">
        <v>1.17</v>
      </c>
    </row>
    <row r="580" spans="1:3" ht="14.5">
      <c r="A580" t="s">
        <v>3044</v>
      </c>
      <c r="B580" s="380" t="str">
        <f t="shared" si="9"/>
        <v>108-913</v>
      </c>
      <c r="C580" s="2030">
        <v>1.1397000000000002</v>
      </c>
    </row>
    <row r="581" spans="1:3" ht="14.5">
      <c r="A581" t="s">
        <v>3045</v>
      </c>
      <c r="B581" s="380" t="str">
        <f t="shared" si="9"/>
        <v>108-914</v>
      </c>
      <c r="C581" s="2030">
        <v>1.17</v>
      </c>
    </row>
    <row r="582" spans="1:3" ht="14.5">
      <c r="A582" t="s">
        <v>3046</v>
      </c>
      <c r="B582" s="380" t="str">
        <f t="shared" si="9"/>
        <v>108-915</v>
      </c>
      <c r="C582" s="2030">
        <v>1.17</v>
      </c>
    </row>
    <row r="583" spans="1:3" ht="14.5">
      <c r="A583" t="s">
        <v>3047</v>
      </c>
      <c r="B583" s="380" t="str">
        <f t="shared" si="9"/>
        <v>108-916</v>
      </c>
      <c r="C583" s="2030">
        <v>1.17</v>
      </c>
    </row>
    <row r="584" spans="1:3" ht="14.5">
      <c r="A584" t="s">
        <v>3048</v>
      </c>
      <c r="B584" s="380" t="str">
        <f t="shared" si="9"/>
        <v>109-901</v>
      </c>
      <c r="C584" s="2030">
        <v>1.1115000000000002</v>
      </c>
    </row>
    <row r="585" spans="1:3" ht="14.5">
      <c r="A585" t="s">
        <v>3049</v>
      </c>
      <c r="B585" s="380" t="str">
        <f t="shared" si="9"/>
        <v>109-902</v>
      </c>
      <c r="C585" s="2030">
        <v>1.17</v>
      </c>
    </row>
    <row r="586" spans="1:3" ht="14.5">
      <c r="A586" t="s">
        <v>4185</v>
      </c>
      <c r="B586" s="380" t="str">
        <f t="shared" si="9"/>
        <v>109-903</v>
      </c>
      <c r="C586" s="2030">
        <v>1.17</v>
      </c>
    </row>
    <row r="587" spans="1:3" ht="14.5">
      <c r="A587" t="s">
        <v>3050</v>
      </c>
      <c r="B587" s="380" t="str">
        <f t="shared" si="9"/>
        <v>109-904</v>
      </c>
      <c r="C587" s="2030">
        <v>1.1500000000000001</v>
      </c>
    </row>
    <row r="588" spans="1:3" ht="14.5">
      <c r="A588" t="s">
        <v>3051</v>
      </c>
      <c r="B588" s="380" t="str">
        <f t="shared" si="9"/>
        <v>109-905</v>
      </c>
      <c r="C588" s="2030">
        <v>1.17</v>
      </c>
    </row>
    <row r="589" spans="1:3" ht="14.5">
      <c r="A589" t="s">
        <v>3052</v>
      </c>
      <c r="B589" s="380" t="str">
        <f t="shared" si="9"/>
        <v>109-907</v>
      </c>
      <c r="C589" s="2030">
        <v>1.17</v>
      </c>
    </row>
    <row r="590" spans="1:3" ht="14.5">
      <c r="A590" t="s">
        <v>3053</v>
      </c>
      <c r="B590" s="380" t="str">
        <f t="shared" si="9"/>
        <v>109-908</v>
      </c>
      <c r="C590" s="2030">
        <v>1.17</v>
      </c>
    </row>
    <row r="591" spans="1:3" ht="14.5">
      <c r="A591" t="s">
        <v>3054</v>
      </c>
      <c r="B591" s="380" t="str">
        <f t="shared" si="9"/>
        <v>109-910</v>
      </c>
      <c r="C591" s="2030">
        <v>1.17</v>
      </c>
    </row>
    <row r="592" spans="1:3" ht="14.5">
      <c r="A592" t="s">
        <v>5092</v>
      </c>
      <c r="B592" s="380" t="str">
        <f t="shared" si="9"/>
        <v>109-911</v>
      </c>
      <c r="C592" s="2030">
        <v>1.17</v>
      </c>
    </row>
    <row r="593" spans="1:3" ht="14.5">
      <c r="A593" t="s">
        <v>3055</v>
      </c>
      <c r="B593" s="380" t="str">
        <f t="shared" si="9"/>
        <v>109-912</v>
      </c>
      <c r="C593" s="2030">
        <v>1.17</v>
      </c>
    </row>
    <row r="594" spans="1:3" ht="14.5">
      <c r="A594" t="s">
        <v>4203</v>
      </c>
      <c r="B594" s="380" t="str">
        <f t="shared" si="9"/>
        <v>109-913</v>
      </c>
      <c r="C594" s="2030">
        <v>1.17</v>
      </c>
    </row>
    <row r="595" spans="1:3" ht="14.5">
      <c r="A595" t="s">
        <v>4205</v>
      </c>
      <c r="B595" s="380" t="str">
        <f t="shared" si="9"/>
        <v>109-914</v>
      </c>
      <c r="C595" s="2030">
        <v>1.17</v>
      </c>
    </row>
    <row r="596" spans="1:3" ht="14.5">
      <c r="A596" t="s">
        <v>5814</v>
      </c>
      <c r="B596" s="380" t="str">
        <f t="shared" si="9"/>
        <v>110-901</v>
      </c>
      <c r="C596" s="2030">
        <v>1.0995000000000001</v>
      </c>
    </row>
    <row r="597" spans="1:3" ht="14.5">
      <c r="A597" t="s">
        <v>5093</v>
      </c>
      <c r="B597" s="380" t="str">
        <f t="shared" si="9"/>
        <v>110-902</v>
      </c>
      <c r="C597" s="2030">
        <v>1.06</v>
      </c>
    </row>
    <row r="598" spans="1:3" ht="14.5">
      <c r="A598" t="s">
        <v>5094</v>
      </c>
      <c r="B598" s="380" t="str">
        <f t="shared" si="9"/>
        <v>110-905</v>
      </c>
      <c r="C598" s="2030">
        <v>1.17</v>
      </c>
    </row>
    <row r="599" spans="1:3" ht="14.5">
      <c r="A599" t="s">
        <v>3056</v>
      </c>
      <c r="B599" s="380" t="str">
        <f t="shared" si="9"/>
        <v>110-906</v>
      </c>
      <c r="C599" s="2030">
        <v>1.1599999999999997</v>
      </c>
    </row>
    <row r="600" spans="1:3" ht="14.5">
      <c r="A600" t="s">
        <v>5815</v>
      </c>
      <c r="B600" s="380" t="str">
        <f t="shared" si="9"/>
        <v>110-907</v>
      </c>
      <c r="C600" s="2030">
        <v>1.04</v>
      </c>
    </row>
    <row r="601" spans="1:3" ht="14.5">
      <c r="A601" t="s">
        <v>5816</v>
      </c>
      <c r="B601" s="380" t="str">
        <f t="shared" si="9"/>
        <v>110-908</v>
      </c>
      <c r="C601" s="2030">
        <v>1.17</v>
      </c>
    </row>
    <row r="602" spans="1:3" ht="14.5">
      <c r="A602" t="s">
        <v>8048</v>
      </c>
      <c r="B602" s="380" t="str">
        <f t="shared" si="9"/>
        <v>111-801</v>
      </c>
      <c r="C602" s="2030">
        <v>0</v>
      </c>
    </row>
    <row r="603" spans="1:3" ht="14.5">
      <c r="A603" t="s">
        <v>5095</v>
      </c>
      <c r="B603" s="380" t="str">
        <f t="shared" si="9"/>
        <v>111-901</v>
      </c>
      <c r="C603" s="2030">
        <v>1.04</v>
      </c>
    </row>
    <row r="604" spans="1:3" ht="14.5">
      <c r="A604" t="s">
        <v>3057</v>
      </c>
      <c r="B604" s="380" t="str">
        <f t="shared" si="9"/>
        <v>111-902</v>
      </c>
      <c r="C604" s="2030">
        <v>1.17</v>
      </c>
    </row>
    <row r="605" spans="1:3" ht="14.5">
      <c r="A605" t="s">
        <v>3058</v>
      </c>
      <c r="B605" s="380" t="str">
        <f t="shared" si="9"/>
        <v>111-903</v>
      </c>
      <c r="C605" s="2030">
        <v>1.04</v>
      </c>
    </row>
    <row r="606" spans="1:3" ht="14.5">
      <c r="A606" t="s">
        <v>3059</v>
      </c>
      <c r="B606" s="380" t="str">
        <f t="shared" si="9"/>
        <v>112-901</v>
      </c>
      <c r="C606" s="2030">
        <v>1.04</v>
      </c>
    </row>
    <row r="607" spans="1:3" ht="14.5">
      <c r="A607" t="s">
        <v>3060</v>
      </c>
      <c r="B607" s="380" t="str">
        <f t="shared" si="9"/>
        <v>112-905</v>
      </c>
      <c r="C607" s="2030">
        <v>1.17</v>
      </c>
    </row>
    <row r="608" spans="1:3" ht="14.5">
      <c r="A608" t="s">
        <v>5096</v>
      </c>
      <c r="B608" s="380" t="str">
        <f t="shared" si="9"/>
        <v>112-906</v>
      </c>
      <c r="C608" s="2030">
        <v>1.17</v>
      </c>
    </row>
    <row r="609" spans="1:3" ht="14.5">
      <c r="A609" t="s">
        <v>3061</v>
      </c>
      <c r="B609" s="380" t="str">
        <f t="shared" si="9"/>
        <v>112-907</v>
      </c>
      <c r="C609" s="2030">
        <v>1.17</v>
      </c>
    </row>
    <row r="610" spans="1:3" ht="14.5">
      <c r="A610" t="s">
        <v>5817</v>
      </c>
      <c r="B610" s="380" t="str">
        <f t="shared" si="9"/>
        <v>112-908</v>
      </c>
      <c r="C610" s="2030">
        <v>1.04</v>
      </c>
    </row>
    <row r="611" spans="1:3" ht="14.5">
      <c r="A611" t="s">
        <v>5818</v>
      </c>
      <c r="B611" s="380" t="str">
        <f t="shared" si="9"/>
        <v>112-909</v>
      </c>
      <c r="C611" s="2030">
        <v>1.04</v>
      </c>
    </row>
    <row r="612" spans="1:3" ht="14.5">
      <c r="A612" t="s">
        <v>3062</v>
      </c>
      <c r="B612" s="380" t="str">
        <f t="shared" si="9"/>
        <v>112-910</v>
      </c>
      <c r="C612" s="2030">
        <v>1.17</v>
      </c>
    </row>
    <row r="613" spans="1:3" ht="14.5">
      <c r="A613" t="s">
        <v>5097</v>
      </c>
      <c r="B613" s="380" t="str">
        <f t="shared" si="9"/>
        <v>113-901</v>
      </c>
      <c r="C613" s="2030">
        <v>1.04</v>
      </c>
    </row>
    <row r="614" spans="1:3" ht="14.5">
      <c r="A614" t="s">
        <v>5098</v>
      </c>
      <c r="B614" s="380" t="str">
        <f t="shared" si="9"/>
        <v>113-902</v>
      </c>
      <c r="C614" s="2030">
        <v>1.04</v>
      </c>
    </row>
    <row r="615" spans="1:3" ht="14.5">
      <c r="A615" t="s">
        <v>5819</v>
      </c>
      <c r="B615" s="380" t="str">
        <f t="shared" si="9"/>
        <v>113-903</v>
      </c>
      <c r="C615" s="2030">
        <v>1.04</v>
      </c>
    </row>
    <row r="616" spans="1:3" ht="14.5">
      <c r="A616" t="s">
        <v>5099</v>
      </c>
      <c r="B616" s="380" t="str">
        <f t="shared" si="9"/>
        <v>113-905</v>
      </c>
      <c r="C616" s="2030">
        <v>1.04</v>
      </c>
    </row>
    <row r="617" spans="1:3" ht="14.5">
      <c r="A617" t="s">
        <v>5820</v>
      </c>
      <c r="B617" s="380" t="str">
        <f t="shared" si="9"/>
        <v>113-906</v>
      </c>
      <c r="C617" s="2030">
        <v>1.04</v>
      </c>
    </row>
    <row r="618" spans="1:3" ht="14.5">
      <c r="A618" t="s">
        <v>3063</v>
      </c>
      <c r="B618" s="380" t="str">
        <f t="shared" si="9"/>
        <v>114-901</v>
      </c>
      <c r="C618" s="2030">
        <v>1.04</v>
      </c>
    </row>
    <row r="619" spans="1:3" ht="14.5">
      <c r="A619" t="s">
        <v>5100</v>
      </c>
      <c r="B619" s="380" t="str">
        <f t="shared" si="9"/>
        <v>114-902</v>
      </c>
      <c r="C619" s="2030">
        <v>1.04</v>
      </c>
    </row>
    <row r="620" spans="1:3" ht="14.5">
      <c r="A620" t="s">
        <v>5101</v>
      </c>
      <c r="B620" s="380" t="str">
        <f t="shared" si="9"/>
        <v>114-904</v>
      </c>
      <c r="C620" s="2030">
        <v>1.04</v>
      </c>
    </row>
    <row r="621" spans="1:3" ht="14.5">
      <c r="A621" t="s">
        <v>5102</v>
      </c>
      <c r="B621" s="380" t="str">
        <f t="shared" si="9"/>
        <v>115-901</v>
      </c>
      <c r="C621" s="2030">
        <v>0.98329999999999995</v>
      </c>
    </row>
    <row r="622" spans="1:3" ht="14.5">
      <c r="A622" t="s">
        <v>5821</v>
      </c>
      <c r="B622" s="380" t="str">
        <f t="shared" si="9"/>
        <v>115-902</v>
      </c>
      <c r="C622" s="2030">
        <v>1.06</v>
      </c>
    </row>
    <row r="623" spans="1:3" ht="14.5">
      <c r="A623" t="s">
        <v>5822</v>
      </c>
      <c r="B623" s="380" t="str">
        <f t="shared" si="9"/>
        <v>115-903</v>
      </c>
      <c r="C623" s="2030">
        <v>1.0401</v>
      </c>
    </row>
    <row r="624" spans="1:3" ht="14.5">
      <c r="A624" t="s">
        <v>3064</v>
      </c>
      <c r="B624" s="380" t="str">
        <f t="shared" si="9"/>
        <v>116-901</v>
      </c>
      <c r="C624" s="2030">
        <v>1.17</v>
      </c>
    </row>
    <row r="625" spans="1:3" ht="14.5">
      <c r="A625" t="s">
        <v>3065</v>
      </c>
      <c r="B625" s="380" t="str">
        <f t="shared" si="9"/>
        <v>116-902</v>
      </c>
      <c r="C625" s="2030">
        <v>1.17</v>
      </c>
    </row>
    <row r="626" spans="1:3" ht="14.5">
      <c r="A626" t="s">
        <v>3066</v>
      </c>
      <c r="B626" s="380" t="str">
        <f t="shared" si="9"/>
        <v>116-903</v>
      </c>
      <c r="C626" s="2030">
        <v>1.17</v>
      </c>
    </row>
    <row r="627" spans="1:3" ht="14.5">
      <c r="A627" t="s">
        <v>5103</v>
      </c>
      <c r="B627" s="380" t="str">
        <f t="shared" si="9"/>
        <v>116-905</v>
      </c>
      <c r="C627" s="2030">
        <v>1.06</v>
      </c>
    </row>
    <row r="628" spans="1:3" ht="14.5">
      <c r="A628" t="s">
        <v>3067</v>
      </c>
      <c r="B628" s="380" t="str">
        <f t="shared" si="9"/>
        <v>116-906</v>
      </c>
      <c r="C628" s="2030">
        <v>1.04</v>
      </c>
    </row>
    <row r="629" spans="1:3" ht="14.5">
      <c r="A629" t="s">
        <v>3068</v>
      </c>
      <c r="B629" s="380" t="str">
        <f t="shared" si="9"/>
        <v>116-908</v>
      </c>
      <c r="C629" s="2030">
        <v>1.17</v>
      </c>
    </row>
    <row r="630" spans="1:3" ht="14.5">
      <c r="A630" t="s">
        <v>3069</v>
      </c>
      <c r="B630" s="380" t="str">
        <f t="shared" si="9"/>
        <v>116-909</v>
      </c>
      <c r="C630" s="2030">
        <v>1.1260000000000001</v>
      </c>
    </row>
    <row r="631" spans="1:3" ht="14.5">
      <c r="A631" t="s">
        <v>5104</v>
      </c>
      <c r="B631" s="380" t="str">
        <f t="shared" si="9"/>
        <v>116-910</v>
      </c>
      <c r="C631" s="2030">
        <v>1.04</v>
      </c>
    </row>
    <row r="632" spans="1:3" ht="14.5">
      <c r="A632" t="s">
        <v>3070</v>
      </c>
      <c r="B632" s="380" t="str">
        <f t="shared" si="9"/>
        <v>116-915</v>
      </c>
      <c r="C632" s="2030">
        <v>1.04</v>
      </c>
    </row>
    <row r="633" spans="1:3" ht="14.5">
      <c r="A633" t="s">
        <v>3071</v>
      </c>
      <c r="B633" s="380" t="str">
        <f t="shared" si="9"/>
        <v>116-916</v>
      </c>
      <c r="C633" s="2030">
        <v>1.17</v>
      </c>
    </row>
    <row r="634" spans="1:3" ht="14.5">
      <c r="A634" t="s">
        <v>5105</v>
      </c>
      <c r="B634" s="380" t="str">
        <f t="shared" si="9"/>
        <v>117-901</v>
      </c>
      <c r="C634" s="2030">
        <v>1.04</v>
      </c>
    </row>
    <row r="635" spans="1:3" ht="14.5">
      <c r="A635" t="s">
        <v>5106</v>
      </c>
      <c r="B635" s="380" t="str">
        <f t="shared" si="9"/>
        <v>117-903</v>
      </c>
      <c r="C635" s="2030">
        <v>1.1400000000000001</v>
      </c>
    </row>
    <row r="636" spans="1:3" ht="14.5">
      <c r="A636" t="s">
        <v>5107</v>
      </c>
      <c r="B636" s="380" t="str">
        <f t="shared" si="9"/>
        <v>117-904</v>
      </c>
      <c r="C636" s="2030">
        <v>1.04</v>
      </c>
    </row>
    <row r="637" spans="1:3" ht="14.5">
      <c r="A637" t="s">
        <v>5823</v>
      </c>
      <c r="B637" s="380" t="str">
        <f t="shared" si="9"/>
        <v>117-907</v>
      </c>
      <c r="C637" s="2030">
        <v>1.1200000000000001</v>
      </c>
    </row>
    <row r="638" spans="1:3" ht="14.5">
      <c r="A638" t="s">
        <v>5108</v>
      </c>
      <c r="B638" s="380" t="str">
        <f t="shared" si="9"/>
        <v>118-902</v>
      </c>
      <c r="C638" s="2030">
        <v>1.04</v>
      </c>
    </row>
    <row r="639" spans="1:3" ht="14.5">
      <c r="A639" t="s">
        <v>5109</v>
      </c>
      <c r="B639" s="380" t="str">
        <f t="shared" si="9"/>
        <v>119-901</v>
      </c>
      <c r="C639" s="2030">
        <v>1.04</v>
      </c>
    </row>
    <row r="640" spans="1:3" ht="14.5">
      <c r="A640" t="s">
        <v>5110</v>
      </c>
      <c r="B640" s="380" t="str">
        <f t="shared" si="9"/>
        <v>119-902</v>
      </c>
      <c r="C640" s="2030">
        <v>1.04</v>
      </c>
    </row>
    <row r="641" spans="1:3" ht="14.5">
      <c r="A641" t="s">
        <v>5111</v>
      </c>
      <c r="B641" s="380" t="str">
        <f t="shared" si="9"/>
        <v>119-903</v>
      </c>
      <c r="C641" s="2030">
        <v>1.04</v>
      </c>
    </row>
    <row r="642" spans="1:3" ht="14.5">
      <c r="A642" t="s">
        <v>5112</v>
      </c>
      <c r="B642" s="380" t="str">
        <f t="shared" ref="B642:B705" si="10">CONCATENATE(LEFT(RIGHT(CONCATENATE("000",A642),6),3),"-",(RIGHT(RIGHT(CONCATENATE("000",A642),6),3)))</f>
        <v>120-901</v>
      </c>
      <c r="C642" s="2030">
        <v>1.06</v>
      </c>
    </row>
    <row r="643" spans="1:3" ht="14.5">
      <c r="A643" t="s">
        <v>3072</v>
      </c>
      <c r="B643" s="380" t="str">
        <f t="shared" si="10"/>
        <v>120-902</v>
      </c>
      <c r="C643" s="2030">
        <v>1.04</v>
      </c>
    </row>
    <row r="644" spans="1:3" ht="14.5">
      <c r="A644" t="s">
        <v>5113</v>
      </c>
      <c r="B644" s="380" t="str">
        <f t="shared" si="10"/>
        <v>120-905</v>
      </c>
      <c r="C644" s="2030">
        <v>1.0900000000000001</v>
      </c>
    </row>
    <row r="645" spans="1:3" ht="14.5">
      <c r="A645" t="s">
        <v>5824</v>
      </c>
      <c r="B645" s="380" t="str">
        <f t="shared" si="10"/>
        <v>121-902</v>
      </c>
      <c r="C645" s="2030">
        <v>1.04</v>
      </c>
    </row>
    <row r="646" spans="1:3" ht="14.5">
      <c r="A646" t="s">
        <v>3073</v>
      </c>
      <c r="B646" s="380" t="str">
        <f t="shared" si="10"/>
        <v>121-903</v>
      </c>
      <c r="C646" s="2030">
        <v>1.17</v>
      </c>
    </row>
    <row r="647" spans="1:3" ht="14.5">
      <c r="A647" t="s">
        <v>3074</v>
      </c>
      <c r="B647" s="380" t="str">
        <f t="shared" si="10"/>
        <v>121-904</v>
      </c>
      <c r="C647" s="2030">
        <v>1.17</v>
      </c>
    </row>
    <row r="648" spans="1:3" ht="14.5">
      <c r="A648" t="s">
        <v>3075</v>
      </c>
      <c r="B648" s="380" t="str">
        <f t="shared" si="10"/>
        <v>121-905</v>
      </c>
      <c r="C648" s="2030">
        <v>1.17</v>
      </c>
    </row>
    <row r="649" spans="1:3" ht="14.5">
      <c r="A649" t="s">
        <v>5114</v>
      </c>
      <c r="B649" s="380" t="str">
        <f t="shared" si="10"/>
        <v>121-906</v>
      </c>
      <c r="C649" s="2030">
        <v>1.17</v>
      </c>
    </row>
    <row r="650" spans="1:3" ht="14.5">
      <c r="A650" t="s">
        <v>5825</v>
      </c>
      <c r="B650" s="380" t="str">
        <f t="shared" si="10"/>
        <v>122-901</v>
      </c>
      <c r="C650" s="2030">
        <v>1.17</v>
      </c>
    </row>
    <row r="651" spans="1:3" ht="14.5">
      <c r="A651" t="s">
        <v>5826</v>
      </c>
      <c r="B651" s="380" t="str">
        <f t="shared" si="10"/>
        <v>122-902</v>
      </c>
      <c r="C651" s="2030">
        <v>1.04</v>
      </c>
    </row>
    <row r="652" spans="1:3" ht="14.5">
      <c r="A652" t="s">
        <v>8051</v>
      </c>
      <c r="B652" s="380" t="str">
        <f t="shared" si="10"/>
        <v>123-803</v>
      </c>
      <c r="C652" s="2030">
        <v>0</v>
      </c>
    </row>
    <row r="653" spans="1:3" ht="14.5">
      <c r="A653" t="s">
        <v>8052</v>
      </c>
      <c r="B653" s="380" t="str">
        <f t="shared" si="10"/>
        <v>123-805</v>
      </c>
      <c r="C653" s="2030">
        <v>0</v>
      </c>
    </row>
    <row r="654" spans="1:3" ht="14.5">
      <c r="A654" t="s">
        <v>8053</v>
      </c>
      <c r="B654" s="380" t="str">
        <f t="shared" si="10"/>
        <v>123-807</v>
      </c>
      <c r="C654" s="2030">
        <v>0</v>
      </c>
    </row>
    <row r="655" spans="1:3" ht="14.5">
      <c r="A655" t="s">
        <v>3076</v>
      </c>
      <c r="B655" s="380" t="str">
        <f t="shared" si="10"/>
        <v>123-905</v>
      </c>
      <c r="C655" s="2030">
        <v>1.06</v>
      </c>
    </row>
    <row r="656" spans="1:3" ht="14.5">
      <c r="A656" t="s">
        <v>5115</v>
      </c>
      <c r="B656" s="380" t="str">
        <f t="shared" si="10"/>
        <v>123-907</v>
      </c>
      <c r="C656" s="2030">
        <v>1.17</v>
      </c>
    </row>
    <row r="657" spans="1:3" ht="14.5">
      <c r="A657" t="s">
        <v>5116</v>
      </c>
      <c r="B657" s="380" t="str">
        <f t="shared" si="10"/>
        <v>123-908</v>
      </c>
      <c r="C657" s="2030">
        <v>1.17</v>
      </c>
    </row>
    <row r="658" spans="1:3" ht="14.5">
      <c r="A658" t="s">
        <v>5117</v>
      </c>
      <c r="B658" s="380" t="str">
        <f t="shared" si="10"/>
        <v>123-910</v>
      </c>
      <c r="C658" s="2030">
        <v>1.04</v>
      </c>
    </row>
    <row r="659" spans="1:3" ht="14.5">
      <c r="A659" t="s">
        <v>5118</v>
      </c>
      <c r="B659" s="380" t="str">
        <f t="shared" si="10"/>
        <v>123-913</v>
      </c>
      <c r="C659" s="2030">
        <v>1.17</v>
      </c>
    </row>
    <row r="660" spans="1:3" ht="14.5">
      <c r="A660" t="s">
        <v>3077</v>
      </c>
      <c r="B660" s="380" t="str">
        <f t="shared" si="10"/>
        <v>123-914</v>
      </c>
      <c r="C660" s="2030">
        <v>1.17</v>
      </c>
    </row>
    <row r="661" spans="1:3" ht="14.5">
      <c r="A661" t="s">
        <v>5119</v>
      </c>
      <c r="B661" s="380" t="str">
        <f t="shared" si="10"/>
        <v>124-901</v>
      </c>
      <c r="C661" s="2030">
        <v>1.0401</v>
      </c>
    </row>
    <row r="662" spans="1:3" ht="14.5">
      <c r="A662" t="s">
        <v>3078</v>
      </c>
      <c r="B662" s="380" t="str">
        <f t="shared" si="10"/>
        <v>125-901</v>
      </c>
      <c r="C662" s="2030">
        <v>1.1000000000000003</v>
      </c>
    </row>
    <row r="663" spans="1:3" ht="14.5">
      <c r="A663" t="s">
        <v>3079</v>
      </c>
      <c r="B663" s="380" t="str">
        <f t="shared" si="10"/>
        <v>125-902</v>
      </c>
      <c r="C663" s="2030">
        <v>1.17</v>
      </c>
    </row>
    <row r="664" spans="1:3" ht="14.5">
      <c r="A664" t="s">
        <v>3080</v>
      </c>
      <c r="B664" s="380" t="str">
        <f t="shared" si="10"/>
        <v>125-903</v>
      </c>
      <c r="C664" s="2030">
        <v>1.06</v>
      </c>
    </row>
    <row r="665" spans="1:3" ht="14.5">
      <c r="A665" t="s">
        <v>3081</v>
      </c>
      <c r="B665" s="380" t="str">
        <f t="shared" si="10"/>
        <v>125-905</v>
      </c>
      <c r="C665" s="2030">
        <v>1.17</v>
      </c>
    </row>
    <row r="666" spans="1:3" ht="14.5">
      <c r="A666" t="s">
        <v>5827</v>
      </c>
      <c r="B666" s="380" t="str">
        <f t="shared" si="10"/>
        <v>125-906</v>
      </c>
      <c r="C666" s="2030">
        <v>1.04</v>
      </c>
    </row>
    <row r="667" spans="1:3" ht="14.5">
      <c r="A667" t="s">
        <v>8054</v>
      </c>
      <c r="B667" s="380" t="str">
        <f t="shared" si="10"/>
        <v>126-801</v>
      </c>
      <c r="C667" s="2030">
        <v>0</v>
      </c>
    </row>
    <row r="668" spans="1:3" ht="14.5">
      <c r="A668" t="s">
        <v>3082</v>
      </c>
      <c r="B668" s="380" t="str">
        <f t="shared" si="10"/>
        <v>126-901</v>
      </c>
      <c r="C668" s="2030">
        <v>1.04</v>
      </c>
    </row>
    <row r="669" spans="1:3" ht="14.5">
      <c r="A669" t="s">
        <v>3083</v>
      </c>
      <c r="B669" s="380" t="str">
        <f t="shared" si="10"/>
        <v>126-902</v>
      </c>
      <c r="C669" s="2030">
        <v>1.17</v>
      </c>
    </row>
    <row r="670" spans="1:3" ht="14.5">
      <c r="A670" t="s">
        <v>5120</v>
      </c>
      <c r="B670" s="380" t="str">
        <f t="shared" si="10"/>
        <v>126-903</v>
      </c>
      <c r="C670" s="2030">
        <v>1.17</v>
      </c>
    </row>
    <row r="671" spans="1:3" ht="14.5">
      <c r="A671" t="s">
        <v>4285</v>
      </c>
      <c r="B671" s="380" t="str">
        <f t="shared" si="10"/>
        <v>126-904</v>
      </c>
      <c r="C671" s="2030">
        <v>1.04</v>
      </c>
    </row>
    <row r="672" spans="1:3" ht="14.5">
      <c r="A672" t="s">
        <v>3084</v>
      </c>
      <c r="B672" s="380" t="str">
        <f t="shared" si="10"/>
        <v>126-905</v>
      </c>
      <c r="C672" s="2030">
        <v>1.17</v>
      </c>
    </row>
    <row r="673" spans="1:3" ht="14.5">
      <c r="A673" t="s">
        <v>3085</v>
      </c>
      <c r="B673" s="380" t="str">
        <f t="shared" si="10"/>
        <v>126-906</v>
      </c>
      <c r="C673" s="2030">
        <v>1.17</v>
      </c>
    </row>
    <row r="674" spans="1:3" ht="14.5">
      <c r="A674" t="s">
        <v>3086</v>
      </c>
      <c r="B674" s="380" t="str">
        <f t="shared" si="10"/>
        <v>126-907</v>
      </c>
      <c r="C674" s="2030">
        <v>1.17</v>
      </c>
    </row>
    <row r="675" spans="1:3" ht="14.5">
      <c r="A675" t="s">
        <v>3087</v>
      </c>
      <c r="B675" s="380" t="str">
        <f t="shared" si="10"/>
        <v>126-908</v>
      </c>
      <c r="C675" s="2030">
        <v>1.1595</v>
      </c>
    </row>
    <row r="676" spans="1:3" ht="14.5">
      <c r="A676" t="s">
        <v>3088</v>
      </c>
      <c r="B676" s="380" t="str">
        <f t="shared" si="10"/>
        <v>126-911</v>
      </c>
      <c r="C676" s="2030">
        <v>1.04</v>
      </c>
    </row>
    <row r="677" spans="1:3" ht="14.5">
      <c r="A677" t="s">
        <v>5121</v>
      </c>
      <c r="B677" s="380" t="str">
        <f t="shared" si="10"/>
        <v>127-901</v>
      </c>
      <c r="C677" s="2030">
        <v>1.17</v>
      </c>
    </row>
    <row r="678" spans="1:3" ht="14.5">
      <c r="A678" t="s">
        <v>5122</v>
      </c>
      <c r="B678" s="380" t="str">
        <f t="shared" si="10"/>
        <v>127-903</v>
      </c>
      <c r="C678" s="2030">
        <v>1.17</v>
      </c>
    </row>
    <row r="679" spans="1:3" ht="14.5">
      <c r="A679" t="s">
        <v>5123</v>
      </c>
      <c r="B679" s="380" t="str">
        <f t="shared" si="10"/>
        <v>127-904</v>
      </c>
      <c r="C679" s="2030">
        <v>1.17</v>
      </c>
    </row>
    <row r="680" spans="1:3" ht="14.5">
      <c r="A680" t="s">
        <v>3089</v>
      </c>
      <c r="B680" s="380" t="str">
        <f t="shared" si="10"/>
        <v>127-905</v>
      </c>
      <c r="C680" s="2030">
        <v>1.17</v>
      </c>
    </row>
    <row r="681" spans="1:3" ht="14.5">
      <c r="A681" t="s">
        <v>3090</v>
      </c>
      <c r="B681" s="380" t="str">
        <f t="shared" si="10"/>
        <v>127-906</v>
      </c>
      <c r="C681" s="2030">
        <v>1.17</v>
      </c>
    </row>
    <row r="682" spans="1:3" ht="14.5">
      <c r="A682" t="s">
        <v>4305</v>
      </c>
      <c r="B682" s="380" t="str">
        <f t="shared" si="10"/>
        <v>128-901</v>
      </c>
      <c r="C682" s="2030">
        <v>1.04</v>
      </c>
    </row>
    <row r="683" spans="1:3" ht="14.5">
      <c r="A683" t="s">
        <v>3091</v>
      </c>
      <c r="B683" s="380" t="str">
        <f t="shared" si="10"/>
        <v>128-902</v>
      </c>
      <c r="C683" s="2030">
        <v>1.04</v>
      </c>
    </row>
    <row r="684" spans="1:3" ht="14.5">
      <c r="A684" t="s">
        <v>5124</v>
      </c>
      <c r="B684" s="380" t="str">
        <f t="shared" si="10"/>
        <v>128-903</v>
      </c>
      <c r="C684" s="2030">
        <v>1.04</v>
      </c>
    </row>
    <row r="685" spans="1:3" ht="14.5">
      <c r="A685" t="s">
        <v>3092</v>
      </c>
      <c r="B685" s="380" t="str">
        <f t="shared" si="10"/>
        <v>128-904</v>
      </c>
      <c r="C685" s="2030">
        <v>1.06</v>
      </c>
    </row>
    <row r="686" spans="1:3" ht="14.5">
      <c r="A686" t="s">
        <v>3093</v>
      </c>
      <c r="B686" s="380" t="str">
        <f t="shared" si="10"/>
        <v>129-901</v>
      </c>
      <c r="C686" s="2030">
        <v>1.04</v>
      </c>
    </row>
    <row r="687" spans="1:3" ht="14.5">
      <c r="A687" t="s">
        <v>3094</v>
      </c>
      <c r="B687" s="380" t="str">
        <f t="shared" si="10"/>
        <v>129-902</v>
      </c>
      <c r="C687" s="2030">
        <v>1.04</v>
      </c>
    </row>
    <row r="688" spans="1:3" ht="14.5">
      <c r="A688" t="s">
        <v>3095</v>
      </c>
      <c r="B688" s="380" t="str">
        <f t="shared" si="10"/>
        <v>129-903</v>
      </c>
      <c r="C688" s="2030">
        <v>1.17</v>
      </c>
    </row>
    <row r="689" spans="1:3" ht="14.5">
      <c r="A689" t="s">
        <v>3096</v>
      </c>
      <c r="B689" s="380" t="str">
        <f t="shared" si="10"/>
        <v>129-904</v>
      </c>
      <c r="C689" s="2030">
        <v>1.17</v>
      </c>
    </row>
    <row r="690" spans="1:3" ht="14.5">
      <c r="A690" t="s">
        <v>5125</v>
      </c>
      <c r="B690" s="380" t="str">
        <f t="shared" si="10"/>
        <v>129-905</v>
      </c>
      <c r="C690" s="2030">
        <v>1.04</v>
      </c>
    </row>
    <row r="691" spans="1:3" ht="14.5">
      <c r="A691" t="s">
        <v>5126</v>
      </c>
      <c r="B691" s="380" t="str">
        <f t="shared" si="10"/>
        <v>129-906</v>
      </c>
      <c r="C691" s="2030">
        <v>1.17</v>
      </c>
    </row>
    <row r="692" spans="1:3" ht="14.5">
      <c r="A692" t="s">
        <v>3097</v>
      </c>
      <c r="B692" s="380" t="str">
        <f t="shared" si="10"/>
        <v>129-910</v>
      </c>
      <c r="C692" s="2030">
        <v>1.17</v>
      </c>
    </row>
    <row r="693" spans="1:3" ht="14.5">
      <c r="A693" t="s">
        <v>8055</v>
      </c>
      <c r="B693" s="380" t="str">
        <f t="shared" si="10"/>
        <v>130-801</v>
      </c>
      <c r="C693" s="2030">
        <v>0</v>
      </c>
    </row>
    <row r="694" spans="1:3" ht="14.5">
      <c r="A694" t="s">
        <v>5127</v>
      </c>
      <c r="B694" s="380" t="str">
        <f t="shared" si="10"/>
        <v>130-901</v>
      </c>
      <c r="C694" s="2030">
        <v>1.04</v>
      </c>
    </row>
    <row r="695" spans="1:3" ht="14.5">
      <c r="A695" t="s">
        <v>5128</v>
      </c>
      <c r="B695" s="380" t="str">
        <f t="shared" si="10"/>
        <v>130-902</v>
      </c>
      <c r="C695" s="2030">
        <v>1.04</v>
      </c>
    </row>
    <row r="696" spans="1:3" ht="14.5">
      <c r="A696" t="s">
        <v>5129</v>
      </c>
      <c r="B696" s="380" t="str">
        <f t="shared" si="10"/>
        <v>131-001</v>
      </c>
      <c r="C696" s="2030">
        <v>1.06</v>
      </c>
    </row>
    <row r="697" spans="1:3" ht="14.5">
      <c r="A697" t="s">
        <v>5828</v>
      </c>
      <c r="B697" s="380" t="str">
        <f t="shared" si="10"/>
        <v>132-902</v>
      </c>
      <c r="C697" s="2030">
        <v>1.04</v>
      </c>
    </row>
    <row r="698" spans="1:3" ht="14.5">
      <c r="A698" t="s">
        <v>3098</v>
      </c>
      <c r="B698" s="380" t="str">
        <f t="shared" si="10"/>
        <v>133-901</v>
      </c>
      <c r="C698" s="2030">
        <v>1.04</v>
      </c>
    </row>
    <row r="699" spans="1:3" ht="14.5">
      <c r="A699" t="s">
        <v>5130</v>
      </c>
      <c r="B699" s="380" t="str">
        <f t="shared" si="10"/>
        <v>133-902</v>
      </c>
      <c r="C699" s="2030">
        <v>1.04</v>
      </c>
    </row>
    <row r="700" spans="1:3" ht="14.5">
      <c r="A700" t="s">
        <v>5131</v>
      </c>
      <c r="B700" s="380" t="str">
        <f t="shared" si="10"/>
        <v>133-903</v>
      </c>
      <c r="C700" s="2030">
        <v>1.04</v>
      </c>
    </row>
    <row r="701" spans="1:3" ht="14.5">
      <c r="A701" t="s">
        <v>5132</v>
      </c>
      <c r="B701" s="380" t="str">
        <f t="shared" si="10"/>
        <v>133-904</v>
      </c>
      <c r="C701" s="2030">
        <v>1.04</v>
      </c>
    </row>
    <row r="702" spans="1:3" ht="14.5">
      <c r="A702" t="s">
        <v>5829</v>
      </c>
      <c r="B702" s="380" t="str">
        <f t="shared" si="10"/>
        <v>133-905</v>
      </c>
      <c r="C702" s="2030">
        <v>0.87</v>
      </c>
    </row>
    <row r="703" spans="1:3" ht="14.5">
      <c r="A703" t="s">
        <v>5830</v>
      </c>
      <c r="B703" s="380" t="str">
        <f t="shared" si="10"/>
        <v>134-901</v>
      </c>
      <c r="C703" s="2030">
        <v>1.0333000000000001</v>
      </c>
    </row>
    <row r="704" spans="1:3" ht="14.5">
      <c r="A704" t="s">
        <v>5133</v>
      </c>
      <c r="B704" s="380" t="str">
        <f t="shared" si="10"/>
        <v>135-001</v>
      </c>
      <c r="C704" s="2030">
        <v>1.04</v>
      </c>
    </row>
    <row r="705" spans="1:3" ht="14.5">
      <c r="A705" t="s">
        <v>5831</v>
      </c>
      <c r="B705" s="380" t="str">
        <f t="shared" si="10"/>
        <v>136-901</v>
      </c>
      <c r="C705" s="2030">
        <v>1.04</v>
      </c>
    </row>
    <row r="706" spans="1:3" ht="14.5">
      <c r="A706" t="s">
        <v>3099</v>
      </c>
      <c r="B706" s="380" t="str">
        <f t="shared" ref="B706:B769" si="11">CONCATENATE(LEFT(RIGHT(CONCATENATE("000",A706),6),3),"-",(RIGHT(RIGHT(CONCATENATE("000",A706),6),3)))</f>
        <v>137-901</v>
      </c>
      <c r="C706" s="2030">
        <v>1.17</v>
      </c>
    </row>
    <row r="707" spans="1:3" ht="14.5">
      <c r="A707" t="s">
        <v>5832</v>
      </c>
      <c r="B707" s="380" t="str">
        <f t="shared" si="11"/>
        <v>137-902</v>
      </c>
      <c r="C707" s="2030">
        <v>1.17</v>
      </c>
    </row>
    <row r="708" spans="1:3" ht="14.5">
      <c r="A708" t="s">
        <v>5833</v>
      </c>
      <c r="B708" s="380" t="str">
        <f t="shared" si="11"/>
        <v>137-903</v>
      </c>
      <c r="C708" s="2030">
        <v>1.17</v>
      </c>
    </row>
    <row r="709" spans="1:3" ht="14.5">
      <c r="A709" t="s">
        <v>5134</v>
      </c>
      <c r="B709" s="380" t="str">
        <f t="shared" si="11"/>
        <v>137-904</v>
      </c>
      <c r="C709" s="2030">
        <v>1.04</v>
      </c>
    </row>
    <row r="710" spans="1:3" ht="14.5">
      <c r="A710" t="s">
        <v>3100</v>
      </c>
      <c r="B710" s="380" t="str">
        <f t="shared" si="11"/>
        <v>138-902</v>
      </c>
      <c r="C710" s="2030">
        <v>1.17</v>
      </c>
    </row>
    <row r="711" spans="1:3" ht="14.5">
      <c r="A711" t="s">
        <v>5834</v>
      </c>
      <c r="B711" s="380" t="str">
        <f t="shared" si="11"/>
        <v>138-903</v>
      </c>
      <c r="C711" s="2030">
        <v>1.17</v>
      </c>
    </row>
    <row r="712" spans="1:3" ht="14.5">
      <c r="A712" t="s">
        <v>5835</v>
      </c>
      <c r="B712" s="380" t="str">
        <f t="shared" si="11"/>
        <v>138-904</v>
      </c>
      <c r="C712" s="2030">
        <v>1.17</v>
      </c>
    </row>
    <row r="713" spans="1:3" ht="14.5">
      <c r="A713" t="s">
        <v>5135</v>
      </c>
      <c r="B713" s="380" t="str">
        <f t="shared" si="11"/>
        <v>139-905</v>
      </c>
      <c r="C713" s="2030">
        <v>1.04</v>
      </c>
    </row>
    <row r="714" spans="1:3" ht="14.5">
      <c r="A714" t="s">
        <v>3101</v>
      </c>
      <c r="B714" s="380" t="str">
        <f t="shared" si="11"/>
        <v>139-908</v>
      </c>
      <c r="C714" s="2030">
        <v>1.17</v>
      </c>
    </row>
    <row r="715" spans="1:3" ht="14.5">
      <c r="A715" t="s">
        <v>3102</v>
      </c>
      <c r="B715" s="380" t="str">
        <f t="shared" si="11"/>
        <v>139-909</v>
      </c>
      <c r="C715" s="2030">
        <v>1.17</v>
      </c>
    </row>
    <row r="716" spans="1:3" ht="14.5">
      <c r="A716" t="s">
        <v>5136</v>
      </c>
      <c r="B716" s="380" t="str">
        <f t="shared" si="11"/>
        <v>139-911</v>
      </c>
      <c r="C716" s="2030">
        <v>1.04</v>
      </c>
    </row>
    <row r="717" spans="1:3" ht="14.5">
      <c r="A717" t="s">
        <v>3103</v>
      </c>
      <c r="B717" s="380" t="str">
        <f t="shared" si="11"/>
        <v>139-912</v>
      </c>
      <c r="C717" s="2030">
        <v>1.04</v>
      </c>
    </row>
    <row r="718" spans="1:3" ht="14.5">
      <c r="A718" t="s">
        <v>5836</v>
      </c>
      <c r="B718" s="380" t="str">
        <f t="shared" si="11"/>
        <v>140-901</v>
      </c>
      <c r="C718" s="2030">
        <v>1.17</v>
      </c>
    </row>
    <row r="719" spans="1:3" ht="14.5">
      <c r="A719" t="s">
        <v>5837</v>
      </c>
      <c r="B719" s="380" t="str">
        <f t="shared" si="11"/>
        <v>140-904</v>
      </c>
      <c r="C719" s="2030">
        <v>1.04</v>
      </c>
    </row>
    <row r="720" spans="1:3" ht="14.5">
      <c r="A720" t="s">
        <v>4347</v>
      </c>
      <c r="B720" s="380" t="str">
        <f t="shared" si="11"/>
        <v>140-905</v>
      </c>
      <c r="C720" s="2030">
        <v>1.1200000000000001</v>
      </c>
    </row>
    <row r="721" spans="1:3" ht="14.5">
      <c r="A721" t="s">
        <v>5838</v>
      </c>
      <c r="B721" s="380" t="str">
        <f t="shared" si="11"/>
        <v>140-907</v>
      </c>
      <c r="C721" s="2030">
        <v>1.04</v>
      </c>
    </row>
    <row r="722" spans="1:3" ht="14.5">
      <c r="A722" t="s">
        <v>5137</v>
      </c>
      <c r="B722" s="380" t="str">
        <f t="shared" si="11"/>
        <v>140-908</v>
      </c>
      <c r="C722" s="2030">
        <v>1.04</v>
      </c>
    </row>
    <row r="723" spans="1:3" ht="14.5">
      <c r="A723" t="s">
        <v>3104</v>
      </c>
      <c r="B723" s="380" t="str">
        <f t="shared" si="11"/>
        <v>141-901</v>
      </c>
      <c r="C723" s="2030">
        <v>1.17</v>
      </c>
    </row>
    <row r="724" spans="1:3" ht="14.5">
      <c r="A724" t="s">
        <v>5138</v>
      </c>
      <c r="B724" s="380" t="str">
        <f t="shared" si="11"/>
        <v>141-902</v>
      </c>
      <c r="C724" s="2030">
        <v>1.04</v>
      </c>
    </row>
    <row r="725" spans="1:3" ht="14.5">
      <c r="A725" t="s">
        <v>3105</v>
      </c>
      <c r="B725" s="380" t="str">
        <f t="shared" si="11"/>
        <v>142-901</v>
      </c>
      <c r="C725" s="2030">
        <v>1.06</v>
      </c>
    </row>
    <row r="726" spans="1:3" ht="14.5">
      <c r="A726" t="s">
        <v>5139</v>
      </c>
      <c r="B726" s="380" t="str">
        <f t="shared" si="11"/>
        <v>143-901</v>
      </c>
      <c r="C726" s="2030">
        <v>1.04</v>
      </c>
    </row>
    <row r="727" spans="1:3" ht="14.5">
      <c r="A727" t="s">
        <v>5839</v>
      </c>
      <c r="B727" s="380" t="str">
        <f t="shared" si="11"/>
        <v>143-902</v>
      </c>
      <c r="C727" s="2030">
        <v>0.99</v>
      </c>
    </row>
    <row r="728" spans="1:3" ht="14.5">
      <c r="A728" t="s">
        <v>5840</v>
      </c>
      <c r="B728" s="380" t="str">
        <f t="shared" si="11"/>
        <v>143-903</v>
      </c>
      <c r="C728" s="2030">
        <v>1.04</v>
      </c>
    </row>
    <row r="729" spans="1:3" ht="14.5">
      <c r="A729" t="s">
        <v>5841</v>
      </c>
      <c r="B729" s="380" t="str">
        <f t="shared" si="11"/>
        <v>143-904</v>
      </c>
      <c r="C729" s="2030">
        <v>1.04</v>
      </c>
    </row>
    <row r="730" spans="1:3" ht="14.5">
      <c r="A730" t="s">
        <v>5842</v>
      </c>
      <c r="B730" s="380" t="str">
        <f t="shared" si="11"/>
        <v>143-905</v>
      </c>
      <c r="C730" s="2030">
        <v>1.04</v>
      </c>
    </row>
    <row r="731" spans="1:3" ht="14.5">
      <c r="A731" t="s">
        <v>5140</v>
      </c>
      <c r="B731" s="380" t="str">
        <f t="shared" si="11"/>
        <v>143-906</v>
      </c>
      <c r="C731" s="2030">
        <v>0.997</v>
      </c>
    </row>
    <row r="732" spans="1:3" ht="14.5">
      <c r="A732" t="s">
        <v>5141</v>
      </c>
      <c r="B732" s="380" t="str">
        <f t="shared" si="11"/>
        <v>144-901</v>
      </c>
      <c r="C732" s="2030">
        <v>1.1000000000000003</v>
      </c>
    </row>
    <row r="733" spans="1:3" ht="14.5">
      <c r="A733" t="s">
        <v>5142</v>
      </c>
      <c r="B733" s="380" t="str">
        <f t="shared" si="11"/>
        <v>144-902</v>
      </c>
      <c r="C733" s="2030">
        <v>1.17</v>
      </c>
    </row>
    <row r="734" spans="1:3" ht="14.5">
      <c r="A734" t="s">
        <v>5843</v>
      </c>
      <c r="B734" s="380" t="str">
        <f t="shared" si="11"/>
        <v>144-903</v>
      </c>
      <c r="C734" s="2030">
        <v>1.17</v>
      </c>
    </row>
    <row r="735" spans="1:3" ht="14.5">
      <c r="A735" t="s">
        <v>5143</v>
      </c>
      <c r="B735" s="380" t="str">
        <f t="shared" si="11"/>
        <v>145-901</v>
      </c>
      <c r="C735" s="2030">
        <v>1.17</v>
      </c>
    </row>
    <row r="736" spans="1:3" ht="14.5">
      <c r="A736" t="s">
        <v>5144</v>
      </c>
      <c r="B736" s="380" t="str">
        <f t="shared" si="11"/>
        <v>145-902</v>
      </c>
      <c r="C736" s="2030">
        <v>1.04</v>
      </c>
    </row>
    <row r="737" spans="1:3" ht="14.5">
      <c r="A737" t="s">
        <v>5145</v>
      </c>
      <c r="B737" s="380" t="str">
        <f t="shared" si="11"/>
        <v>145-906</v>
      </c>
      <c r="C737" s="2030">
        <v>1.04</v>
      </c>
    </row>
    <row r="738" spans="1:3" ht="14.5">
      <c r="A738" t="s">
        <v>5146</v>
      </c>
      <c r="B738" s="380" t="str">
        <f t="shared" si="11"/>
        <v>145-907</v>
      </c>
      <c r="C738" s="2030">
        <v>1.06</v>
      </c>
    </row>
    <row r="739" spans="1:3" ht="14.5">
      <c r="A739" t="s">
        <v>5147</v>
      </c>
      <c r="B739" s="380" t="str">
        <f t="shared" si="11"/>
        <v>145-911</v>
      </c>
      <c r="C739" s="2030">
        <v>1.04</v>
      </c>
    </row>
    <row r="740" spans="1:3" ht="14.5">
      <c r="A740" t="s">
        <v>3106</v>
      </c>
      <c r="B740" s="380" t="str">
        <f t="shared" si="11"/>
        <v>146-901</v>
      </c>
      <c r="C740" s="2030">
        <v>1.04</v>
      </c>
    </row>
    <row r="741" spans="1:3" ht="14.5">
      <c r="A741" t="s">
        <v>3107</v>
      </c>
      <c r="B741" s="380" t="str">
        <f t="shared" si="11"/>
        <v>146-902</v>
      </c>
      <c r="C741" s="2030">
        <v>1.04</v>
      </c>
    </row>
    <row r="742" spans="1:3" ht="14.5">
      <c r="A742" t="s">
        <v>5148</v>
      </c>
      <c r="B742" s="380" t="str">
        <f t="shared" si="11"/>
        <v>146-903</v>
      </c>
      <c r="C742" s="2030">
        <v>1.17</v>
      </c>
    </row>
    <row r="743" spans="1:3" ht="14.5">
      <c r="A743" t="s">
        <v>3108</v>
      </c>
      <c r="B743" s="380" t="str">
        <f t="shared" si="11"/>
        <v>146-904</v>
      </c>
      <c r="C743" s="2030">
        <v>1.04</v>
      </c>
    </row>
    <row r="744" spans="1:3" ht="14.5">
      <c r="A744" t="s">
        <v>3109</v>
      </c>
      <c r="B744" s="380" t="str">
        <f t="shared" si="11"/>
        <v>146-905</v>
      </c>
      <c r="C744" s="2030">
        <v>1.17</v>
      </c>
    </row>
    <row r="745" spans="1:3" ht="14.5">
      <c r="A745" t="s">
        <v>5149</v>
      </c>
      <c r="B745" s="380" t="str">
        <f t="shared" si="11"/>
        <v>146-906</v>
      </c>
      <c r="C745" s="2030">
        <v>1.06</v>
      </c>
    </row>
    <row r="746" spans="1:3" ht="14.5">
      <c r="A746" t="s">
        <v>5150</v>
      </c>
      <c r="B746" s="380" t="str">
        <f t="shared" si="11"/>
        <v>146-907</v>
      </c>
      <c r="C746" s="2030">
        <v>1.1500000000000001</v>
      </c>
    </row>
    <row r="747" spans="1:3" ht="14.5">
      <c r="A747" t="s">
        <v>3110</v>
      </c>
      <c r="B747" s="380" t="str">
        <f t="shared" si="11"/>
        <v>147-901</v>
      </c>
      <c r="C747" s="2030">
        <v>1.17</v>
      </c>
    </row>
    <row r="748" spans="1:3" ht="14.5">
      <c r="A748" t="s">
        <v>5151</v>
      </c>
      <c r="B748" s="380" t="str">
        <f t="shared" si="11"/>
        <v>147-902</v>
      </c>
      <c r="C748" s="2030">
        <v>1.04</v>
      </c>
    </row>
    <row r="749" spans="1:3" ht="14.5">
      <c r="A749" t="s">
        <v>5152</v>
      </c>
      <c r="B749" s="380" t="str">
        <f t="shared" si="11"/>
        <v>147-903</v>
      </c>
      <c r="C749" s="2030">
        <v>1.17</v>
      </c>
    </row>
    <row r="750" spans="1:3" ht="14.5">
      <c r="A750" t="s">
        <v>5153</v>
      </c>
      <c r="B750" s="380" t="str">
        <f t="shared" si="11"/>
        <v>148-901</v>
      </c>
      <c r="C750" s="2030">
        <v>1.17</v>
      </c>
    </row>
    <row r="751" spans="1:3" ht="14.5">
      <c r="A751" t="s">
        <v>5154</v>
      </c>
      <c r="B751" s="380" t="str">
        <f t="shared" si="11"/>
        <v>148-902</v>
      </c>
      <c r="C751" s="2030">
        <v>1.04</v>
      </c>
    </row>
    <row r="752" spans="1:3" ht="14.5">
      <c r="A752" t="s">
        <v>5155</v>
      </c>
      <c r="B752" s="380" t="str">
        <f t="shared" si="11"/>
        <v>148-903</v>
      </c>
      <c r="C752" s="2030">
        <v>1.17</v>
      </c>
    </row>
    <row r="753" spans="1:3" ht="14.5">
      <c r="A753" t="s">
        <v>5156</v>
      </c>
      <c r="B753" s="380" t="str">
        <f t="shared" si="11"/>
        <v>148-905</v>
      </c>
      <c r="C753" s="2030">
        <v>1.0401</v>
      </c>
    </row>
    <row r="754" spans="1:3" ht="14.5">
      <c r="A754" t="s">
        <v>5157</v>
      </c>
      <c r="B754" s="380" t="str">
        <f t="shared" si="11"/>
        <v>149-901</v>
      </c>
      <c r="C754" s="2030">
        <v>1.04</v>
      </c>
    </row>
    <row r="755" spans="1:3" ht="14.5">
      <c r="A755" t="s">
        <v>5158</v>
      </c>
      <c r="B755" s="380" t="str">
        <f t="shared" si="11"/>
        <v>149-902</v>
      </c>
      <c r="C755" s="2030">
        <v>1.04</v>
      </c>
    </row>
    <row r="756" spans="1:3" ht="14.5">
      <c r="A756" t="s">
        <v>5159</v>
      </c>
      <c r="B756" s="380" t="str">
        <f t="shared" si="11"/>
        <v>150-901</v>
      </c>
      <c r="C756" s="2030">
        <v>1.04</v>
      </c>
    </row>
    <row r="757" spans="1:3" ht="14.5">
      <c r="A757" t="s">
        <v>8056</v>
      </c>
      <c r="B757" s="380" t="str">
        <f t="shared" si="11"/>
        <v>152-802</v>
      </c>
      <c r="C757" s="2030">
        <v>0</v>
      </c>
    </row>
    <row r="758" spans="1:3" ht="14.5">
      <c r="A758" t="s">
        <v>8057</v>
      </c>
      <c r="B758" s="380" t="str">
        <f t="shared" si="11"/>
        <v>152-803</v>
      </c>
      <c r="C758" s="2030">
        <v>0</v>
      </c>
    </row>
    <row r="759" spans="1:3" ht="14.5">
      <c r="A759" t="s">
        <v>4363</v>
      </c>
      <c r="B759" s="380" t="str">
        <f t="shared" si="11"/>
        <v>152-901</v>
      </c>
      <c r="C759" s="2030">
        <v>1.06</v>
      </c>
    </row>
    <row r="760" spans="1:3" ht="14.5">
      <c r="A760" t="s">
        <v>5844</v>
      </c>
      <c r="B760" s="380" t="str">
        <f t="shared" si="11"/>
        <v>152-902</v>
      </c>
      <c r="C760" s="2030">
        <v>1.17</v>
      </c>
    </row>
    <row r="761" spans="1:3" ht="14.5">
      <c r="A761" t="s">
        <v>5160</v>
      </c>
      <c r="B761" s="380" t="str">
        <f t="shared" si="11"/>
        <v>152-903</v>
      </c>
      <c r="C761" s="2030">
        <v>1.17</v>
      </c>
    </row>
    <row r="762" spans="1:3" ht="14.5">
      <c r="A762" t="s">
        <v>3111</v>
      </c>
      <c r="B762" s="380" t="str">
        <f t="shared" si="11"/>
        <v>152-906</v>
      </c>
      <c r="C762" s="2030">
        <v>1.04</v>
      </c>
    </row>
    <row r="763" spans="1:3" ht="14.5">
      <c r="A763" t="s">
        <v>3112</v>
      </c>
      <c r="B763" s="380" t="str">
        <f t="shared" si="11"/>
        <v>152-907</v>
      </c>
      <c r="C763" s="2030">
        <v>1.06</v>
      </c>
    </row>
    <row r="764" spans="1:3" ht="14.5">
      <c r="A764" t="s">
        <v>5161</v>
      </c>
      <c r="B764" s="380" t="str">
        <f t="shared" si="11"/>
        <v>152-908</v>
      </c>
      <c r="C764" s="2030">
        <v>1.17</v>
      </c>
    </row>
    <row r="765" spans="1:3" ht="14.5">
      <c r="A765" t="s">
        <v>3113</v>
      </c>
      <c r="B765" s="380" t="str">
        <f t="shared" si="11"/>
        <v>152-909</v>
      </c>
      <c r="C765" s="2030">
        <v>1.17</v>
      </c>
    </row>
    <row r="766" spans="1:3" ht="14.5">
      <c r="A766" t="s">
        <v>3114</v>
      </c>
      <c r="B766" s="380" t="str">
        <f t="shared" si="11"/>
        <v>152-910</v>
      </c>
      <c r="C766" s="2030">
        <v>1.17</v>
      </c>
    </row>
    <row r="767" spans="1:3" ht="14.5">
      <c r="A767" t="s">
        <v>5162</v>
      </c>
      <c r="B767" s="380" t="str">
        <f t="shared" si="11"/>
        <v>153-903</v>
      </c>
      <c r="C767" s="2030">
        <v>1.0878000000000001</v>
      </c>
    </row>
    <row r="768" spans="1:3" ht="14.5">
      <c r="A768" t="s">
        <v>5845</v>
      </c>
      <c r="B768" s="380" t="str">
        <f t="shared" si="11"/>
        <v>153-904</v>
      </c>
      <c r="C768" s="2030">
        <v>1.17</v>
      </c>
    </row>
    <row r="769" spans="1:3" ht="14.5">
      <c r="A769" t="s">
        <v>5163</v>
      </c>
      <c r="B769" s="380" t="str">
        <f t="shared" si="11"/>
        <v>153-905</v>
      </c>
      <c r="C769" s="2030">
        <v>1.17</v>
      </c>
    </row>
    <row r="770" spans="1:3" ht="14.5">
      <c r="A770" t="s">
        <v>5846</v>
      </c>
      <c r="B770" s="380" t="str">
        <f t="shared" ref="B770:B833" si="12">CONCATENATE(LEFT(RIGHT(CONCATENATE("000",A770),6),3),"-",(RIGHT(RIGHT(CONCATENATE("000",A770),6),3)))</f>
        <v>153-907</v>
      </c>
      <c r="C770" s="2030">
        <v>1.17</v>
      </c>
    </row>
    <row r="771" spans="1:3" ht="14.5">
      <c r="A771" t="s">
        <v>3115</v>
      </c>
      <c r="B771" s="380" t="str">
        <f t="shared" si="12"/>
        <v>154-901</v>
      </c>
      <c r="C771" s="2030">
        <v>1.17</v>
      </c>
    </row>
    <row r="772" spans="1:3" ht="14.5">
      <c r="A772" t="s">
        <v>3116</v>
      </c>
      <c r="B772" s="380" t="str">
        <f t="shared" si="12"/>
        <v>154-903</v>
      </c>
      <c r="C772" s="2030">
        <v>1.1000000000000003</v>
      </c>
    </row>
    <row r="773" spans="1:3" ht="14.5">
      <c r="A773" t="s">
        <v>5164</v>
      </c>
      <c r="B773" s="380" t="str">
        <f t="shared" si="12"/>
        <v>155-901</v>
      </c>
      <c r="C773" s="2030">
        <v>1.04</v>
      </c>
    </row>
    <row r="774" spans="1:3" ht="14.5">
      <c r="A774" t="s">
        <v>5165</v>
      </c>
      <c r="B774" s="380" t="str">
        <f t="shared" si="12"/>
        <v>156-902</v>
      </c>
      <c r="C774" s="2030">
        <v>1.04</v>
      </c>
    </row>
    <row r="775" spans="1:3" ht="14.5">
      <c r="A775" t="s">
        <v>5166</v>
      </c>
      <c r="B775" s="380" t="str">
        <f t="shared" si="12"/>
        <v>156-905</v>
      </c>
      <c r="C775" s="2030">
        <v>1.04</v>
      </c>
    </row>
    <row r="776" spans="1:3" ht="14.5">
      <c r="A776" t="s">
        <v>5167</v>
      </c>
      <c r="B776" s="380" t="str">
        <f t="shared" si="12"/>
        <v>157-901</v>
      </c>
      <c r="C776" s="2030">
        <v>1.1375</v>
      </c>
    </row>
    <row r="777" spans="1:3" ht="14.5">
      <c r="A777" t="s">
        <v>5168</v>
      </c>
      <c r="B777" s="380" t="str">
        <f t="shared" si="12"/>
        <v>158-901</v>
      </c>
      <c r="C777" s="2030">
        <v>1.1473</v>
      </c>
    </row>
    <row r="778" spans="1:3" ht="14.5">
      <c r="A778" t="s">
        <v>5169</v>
      </c>
      <c r="B778" s="380" t="str">
        <f t="shared" si="12"/>
        <v>158-902</v>
      </c>
      <c r="C778" s="2030">
        <v>1.0050000000000001</v>
      </c>
    </row>
    <row r="779" spans="1:3" ht="14.5">
      <c r="A779" t="s">
        <v>5170</v>
      </c>
      <c r="B779" s="380" t="str">
        <f t="shared" si="12"/>
        <v>158-904</v>
      </c>
      <c r="C779" s="2030">
        <v>1.02</v>
      </c>
    </row>
    <row r="780" spans="1:3" ht="14.5">
      <c r="A780" t="s">
        <v>5171</v>
      </c>
      <c r="B780" s="380" t="str">
        <f t="shared" si="12"/>
        <v>158-905</v>
      </c>
      <c r="C780" s="2030">
        <v>1.04</v>
      </c>
    </row>
    <row r="781" spans="1:3" ht="14.5">
      <c r="A781" t="s">
        <v>5847</v>
      </c>
      <c r="B781" s="380" t="str">
        <f t="shared" si="12"/>
        <v>158-906</v>
      </c>
      <c r="C781" s="2030">
        <v>1.04</v>
      </c>
    </row>
    <row r="782" spans="1:3" ht="14.5">
      <c r="A782" t="s">
        <v>3117</v>
      </c>
      <c r="B782" s="380" t="str">
        <f t="shared" si="12"/>
        <v>159-901</v>
      </c>
      <c r="C782" s="2030">
        <v>1.1701000000000001</v>
      </c>
    </row>
    <row r="783" spans="1:3" ht="14.5">
      <c r="A783" t="s">
        <v>3118</v>
      </c>
      <c r="B783" s="380" t="str">
        <f t="shared" si="12"/>
        <v>160-901</v>
      </c>
      <c r="C783" s="2030">
        <v>1.04</v>
      </c>
    </row>
    <row r="784" spans="1:3" ht="14.5">
      <c r="A784" t="s">
        <v>5848</v>
      </c>
      <c r="B784" s="380" t="str">
        <f t="shared" si="12"/>
        <v>160-904</v>
      </c>
      <c r="C784" s="2030">
        <v>1.04</v>
      </c>
    </row>
    <row r="785" spans="1:3" ht="14.5">
      <c r="A785" t="s">
        <v>3119</v>
      </c>
      <c r="B785" s="380" t="str">
        <f t="shared" si="12"/>
        <v>160-905</v>
      </c>
      <c r="C785" s="2030">
        <v>1.1200000000000001</v>
      </c>
    </row>
    <row r="786" spans="1:3" ht="14.5">
      <c r="A786" t="s">
        <v>8059</v>
      </c>
      <c r="B786" s="380" t="str">
        <f t="shared" si="12"/>
        <v>161-801</v>
      </c>
      <c r="C786" s="2030">
        <v>0</v>
      </c>
    </row>
    <row r="787" spans="1:3" ht="14.5">
      <c r="A787" t="s">
        <v>8060</v>
      </c>
      <c r="B787" s="380" t="str">
        <f t="shared" si="12"/>
        <v>161-802</v>
      </c>
      <c r="C787" s="2030">
        <v>0</v>
      </c>
    </row>
    <row r="788" spans="1:3" ht="14.5">
      <c r="A788" t="s">
        <v>8061</v>
      </c>
      <c r="B788" s="380" t="str">
        <f t="shared" si="12"/>
        <v>161-807</v>
      </c>
      <c r="C788" s="2030">
        <v>0</v>
      </c>
    </row>
    <row r="789" spans="1:3" ht="14.5">
      <c r="A789" t="s">
        <v>3120</v>
      </c>
      <c r="B789" s="380" t="str">
        <f t="shared" si="12"/>
        <v>161-901</v>
      </c>
      <c r="C789" s="2030">
        <v>1.17</v>
      </c>
    </row>
    <row r="790" spans="1:3" ht="14.5">
      <c r="A790" t="s">
        <v>5172</v>
      </c>
      <c r="B790" s="380" t="str">
        <f t="shared" si="12"/>
        <v>161-903</v>
      </c>
      <c r="C790" s="2030">
        <v>1.04</v>
      </c>
    </row>
    <row r="791" spans="1:3" ht="14.5">
      <c r="A791" t="s">
        <v>3121</v>
      </c>
      <c r="B791" s="380" t="str">
        <f t="shared" si="12"/>
        <v>161-906</v>
      </c>
      <c r="C791" s="2030">
        <v>1.17</v>
      </c>
    </row>
    <row r="792" spans="1:3" ht="14.5">
      <c r="A792" t="s">
        <v>3122</v>
      </c>
      <c r="B792" s="380" t="str">
        <f t="shared" si="12"/>
        <v>161-907</v>
      </c>
      <c r="C792" s="2030">
        <v>1.17</v>
      </c>
    </row>
    <row r="793" spans="1:3" ht="14.5">
      <c r="A793" t="s">
        <v>3123</v>
      </c>
      <c r="B793" s="380" t="str">
        <f t="shared" si="12"/>
        <v>161-908</v>
      </c>
      <c r="C793" s="2030">
        <v>1.04</v>
      </c>
    </row>
    <row r="794" spans="1:3" ht="14.5">
      <c r="A794" t="s">
        <v>3124</v>
      </c>
      <c r="B794" s="380" t="str">
        <f t="shared" si="12"/>
        <v>161-909</v>
      </c>
      <c r="C794" s="2030">
        <v>1.04</v>
      </c>
    </row>
    <row r="795" spans="1:3" ht="14.5">
      <c r="A795" t="s">
        <v>3125</v>
      </c>
      <c r="B795" s="380" t="str">
        <f t="shared" si="12"/>
        <v>161-910</v>
      </c>
      <c r="C795" s="2030">
        <v>1.17</v>
      </c>
    </row>
    <row r="796" spans="1:3" ht="14.5">
      <c r="A796" t="s">
        <v>3126</v>
      </c>
      <c r="B796" s="380" t="str">
        <f t="shared" si="12"/>
        <v>161-912</v>
      </c>
      <c r="C796" s="2030">
        <v>1.04</v>
      </c>
    </row>
    <row r="797" spans="1:3" ht="14.5">
      <c r="A797" t="s">
        <v>3127</v>
      </c>
      <c r="B797" s="380" t="str">
        <f t="shared" si="12"/>
        <v>161-914</v>
      </c>
      <c r="C797" s="2030">
        <v>1.17</v>
      </c>
    </row>
    <row r="798" spans="1:3" ht="14.5">
      <c r="A798" t="s">
        <v>3128</v>
      </c>
      <c r="B798" s="380" t="str">
        <f t="shared" si="12"/>
        <v>161-916</v>
      </c>
      <c r="C798" s="2030">
        <v>1.04</v>
      </c>
    </row>
    <row r="799" spans="1:3" ht="14.5">
      <c r="A799" t="s">
        <v>5849</v>
      </c>
      <c r="B799" s="380" t="str">
        <f t="shared" si="12"/>
        <v>161-918</v>
      </c>
      <c r="C799" s="2030">
        <v>1.17</v>
      </c>
    </row>
    <row r="800" spans="1:3" ht="14.5">
      <c r="A800" t="s">
        <v>3129</v>
      </c>
      <c r="B800" s="380" t="str">
        <f t="shared" si="12"/>
        <v>161-919</v>
      </c>
      <c r="C800" s="2030">
        <v>1.17</v>
      </c>
    </row>
    <row r="801" spans="1:3" ht="14.5">
      <c r="A801" t="s">
        <v>3130</v>
      </c>
      <c r="B801" s="380" t="str">
        <f t="shared" si="12"/>
        <v>161-920</v>
      </c>
      <c r="C801" s="2030">
        <v>1.04</v>
      </c>
    </row>
    <row r="802" spans="1:3" ht="14.5">
      <c r="A802" t="s">
        <v>3131</v>
      </c>
      <c r="B802" s="380" t="str">
        <f t="shared" si="12"/>
        <v>161-921</v>
      </c>
      <c r="C802" s="2030">
        <v>1.17</v>
      </c>
    </row>
    <row r="803" spans="1:3" ht="14.5">
      <c r="A803" t="s">
        <v>3132</v>
      </c>
      <c r="B803" s="380" t="str">
        <f t="shared" si="12"/>
        <v>161-922</v>
      </c>
      <c r="C803" s="2030">
        <v>1.17</v>
      </c>
    </row>
    <row r="804" spans="1:3" ht="14.5">
      <c r="A804" t="s">
        <v>3133</v>
      </c>
      <c r="B804" s="380" t="str">
        <f t="shared" si="12"/>
        <v>161-923</v>
      </c>
      <c r="C804" s="2030">
        <v>1.17</v>
      </c>
    </row>
    <row r="805" spans="1:3" ht="14.5">
      <c r="A805" t="s">
        <v>5173</v>
      </c>
      <c r="B805" s="380" t="str">
        <f t="shared" si="12"/>
        <v>161-924</v>
      </c>
      <c r="C805" s="2030">
        <v>1.04</v>
      </c>
    </row>
    <row r="806" spans="1:3" ht="14.5">
      <c r="A806" t="s">
        <v>5850</v>
      </c>
      <c r="B806" s="380" t="str">
        <f t="shared" si="12"/>
        <v>161-925</v>
      </c>
      <c r="C806" s="2030">
        <v>1.04</v>
      </c>
    </row>
    <row r="807" spans="1:3" ht="14.5">
      <c r="A807" t="s">
        <v>5174</v>
      </c>
      <c r="B807" s="380" t="str">
        <f t="shared" si="12"/>
        <v>162-904</v>
      </c>
      <c r="C807" s="2030">
        <v>0.99330000000000018</v>
      </c>
    </row>
    <row r="808" spans="1:3" ht="14.5">
      <c r="A808" t="s">
        <v>3134</v>
      </c>
      <c r="B808" s="380" t="str">
        <f t="shared" si="12"/>
        <v>163-901</v>
      </c>
      <c r="C808" s="2030">
        <v>1.17</v>
      </c>
    </row>
    <row r="809" spans="1:3" ht="14.5">
      <c r="A809" t="s">
        <v>3135</v>
      </c>
      <c r="B809" s="380" t="str">
        <f t="shared" si="12"/>
        <v>163-902</v>
      </c>
      <c r="C809" s="2030">
        <v>1.0401</v>
      </c>
    </row>
    <row r="810" spans="1:3" ht="14.5">
      <c r="A810" t="s">
        <v>3136</v>
      </c>
      <c r="B810" s="380" t="str">
        <f t="shared" si="12"/>
        <v>163-903</v>
      </c>
      <c r="C810" s="2030">
        <v>1.17</v>
      </c>
    </row>
    <row r="811" spans="1:3" ht="14.5">
      <c r="A811" t="s">
        <v>3137</v>
      </c>
      <c r="B811" s="380" t="str">
        <f t="shared" si="12"/>
        <v>163-904</v>
      </c>
      <c r="C811" s="2030">
        <v>1.04</v>
      </c>
    </row>
    <row r="812" spans="1:3" ht="14.5">
      <c r="A812" t="s">
        <v>3138</v>
      </c>
      <c r="B812" s="380" t="str">
        <f t="shared" si="12"/>
        <v>163-908</v>
      </c>
      <c r="C812" s="2030">
        <v>1.04</v>
      </c>
    </row>
    <row r="813" spans="1:3" ht="14.5">
      <c r="A813" t="s">
        <v>5851</v>
      </c>
      <c r="B813" s="380" t="str">
        <f t="shared" si="12"/>
        <v>164-901</v>
      </c>
      <c r="C813" s="2030">
        <v>1.04</v>
      </c>
    </row>
    <row r="814" spans="1:3" ht="14.5">
      <c r="A814" t="s">
        <v>8062</v>
      </c>
      <c r="B814" s="380" t="str">
        <f t="shared" si="12"/>
        <v>165-802</v>
      </c>
      <c r="C814" s="2030">
        <v>0</v>
      </c>
    </row>
    <row r="815" spans="1:3" ht="14.5">
      <c r="A815" t="s">
        <v>3139</v>
      </c>
      <c r="B815" s="380" t="str">
        <f t="shared" si="12"/>
        <v>165-901</v>
      </c>
      <c r="C815" s="2030">
        <v>1.0401</v>
      </c>
    </row>
    <row r="816" spans="1:3" ht="14.5">
      <c r="A816" t="s">
        <v>5175</v>
      </c>
      <c r="B816" s="380" t="str">
        <f t="shared" si="12"/>
        <v>165-902</v>
      </c>
      <c r="C816" s="2030">
        <v>1.1637</v>
      </c>
    </row>
    <row r="817" spans="1:3" ht="14.5">
      <c r="A817" t="s">
        <v>3140</v>
      </c>
      <c r="B817" s="380" t="str">
        <f t="shared" si="12"/>
        <v>166-901</v>
      </c>
      <c r="C817" s="2030">
        <v>1.04</v>
      </c>
    </row>
    <row r="818" spans="1:3" ht="14.5">
      <c r="A818" t="s">
        <v>5852</v>
      </c>
      <c r="B818" s="380" t="str">
        <f t="shared" si="12"/>
        <v>166-902</v>
      </c>
      <c r="C818" s="2030">
        <v>1.04</v>
      </c>
    </row>
    <row r="819" spans="1:3" ht="14.5">
      <c r="A819" t="s">
        <v>5176</v>
      </c>
      <c r="B819" s="380" t="str">
        <f t="shared" si="12"/>
        <v>166-903</v>
      </c>
      <c r="C819" s="2030">
        <v>1.17</v>
      </c>
    </row>
    <row r="820" spans="1:3" ht="14.5">
      <c r="A820" t="s">
        <v>5177</v>
      </c>
      <c r="B820" s="380" t="str">
        <f t="shared" si="12"/>
        <v>166-904</v>
      </c>
      <c r="C820" s="2030">
        <v>1.17</v>
      </c>
    </row>
    <row r="821" spans="1:3" ht="14.5">
      <c r="A821" t="s">
        <v>5178</v>
      </c>
      <c r="B821" s="380" t="str">
        <f t="shared" si="12"/>
        <v>166-905</v>
      </c>
      <c r="C821" s="2030">
        <v>1.17</v>
      </c>
    </row>
    <row r="822" spans="1:3" ht="14.5">
      <c r="A822" t="s">
        <v>3141</v>
      </c>
      <c r="B822" s="380" t="str">
        <f t="shared" si="12"/>
        <v>166-907</v>
      </c>
      <c r="C822" s="2030">
        <v>1.04</v>
      </c>
    </row>
    <row r="823" spans="1:3" ht="14.5">
      <c r="A823" t="s">
        <v>3142</v>
      </c>
      <c r="B823" s="380" t="str">
        <f t="shared" si="12"/>
        <v>167-901</v>
      </c>
      <c r="C823" s="2030">
        <v>1.04</v>
      </c>
    </row>
    <row r="824" spans="1:3" ht="14.5">
      <c r="A824" t="s">
        <v>5853</v>
      </c>
      <c r="B824" s="380" t="str">
        <f t="shared" si="12"/>
        <v>167-902</v>
      </c>
      <c r="C824" s="2030">
        <v>1.04</v>
      </c>
    </row>
    <row r="825" spans="1:3" ht="14.5">
      <c r="A825" t="s">
        <v>3143</v>
      </c>
      <c r="B825" s="380" t="str">
        <f t="shared" si="12"/>
        <v>167-904</v>
      </c>
      <c r="C825" s="2030">
        <v>0.89</v>
      </c>
    </row>
    <row r="826" spans="1:3" ht="14.5">
      <c r="A826" t="s">
        <v>5179</v>
      </c>
      <c r="B826" s="380" t="str">
        <f t="shared" si="12"/>
        <v>168-901</v>
      </c>
      <c r="C826" s="2030">
        <v>1.17</v>
      </c>
    </row>
    <row r="827" spans="1:3" ht="14.5">
      <c r="A827" t="s">
        <v>5180</v>
      </c>
      <c r="B827" s="380" t="str">
        <f t="shared" si="12"/>
        <v>168-902</v>
      </c>
      <c r="C827" s="2030">
        <v>1.04</v>
      </c>
    </row>
    <row r="828" spans="1:3" ht="14.5">
      <c r="A828" t="s">
        <v>5854</v>
      </c>
      <c r="B828" s="380" t="str">
        <f t="shared" si="12"/>
        <v>168-903</v>
      </c>
      <c r="C828" s="2030">
        <v>1.04</v>
      </c>
    </row>
    <row r="829" spans="1:3" ht="14.5">
      <c r="A829" t="s">
        <v>3144</v>
      </c>
      <c r="B829" s="380" t="str">
        <f t="shared" si="12"/>
        <v>169-901</v>
      </c>
      <c r="C829" s="2030">
        <v>1.04</v>
      </c>
    </row>
    <row r="830" spans="1:3" ht="14.5">
      <c r="A830" t="s">
        <v>5855</v>
      </c>
      <c r="B830" s="380" t="str">
        <f t="shared" si="12"/>
        <v>169-902</v>
      </c>
      <c r="C830" s="2030">
        <v>1.04</v>
      </c>
    </row>
    <row r="831" spans="1:3" ht="14.5">
      <c r="A831" t="s">
        <v>5181</v>
      </c>
      <c r="B831" s="380" t="str">
        <f t="shared" si="12"/>
        <v>169-906</v>
      </c>
      <c r="C831" s="2030">
        <v>1.04</v>
      </c>
    </row>
    <row r="832" spans="1:3" ht="14.5">
      <c r="A832" t="s">
        <v>5856</v>
      </c>
      <c r="B832" s="380" t="str">
        <f t="shared" si="12"/>
        <v>169-908</v>
      </c>
      <c r="C832" s="2030">
        <v>1.17</v>
      </c>
    </row>
    <row r="833" spans="1:3" ht="14.5">
      <c r="A833" t="s">
        <v>5857</v>
      </c>
      <c r="B833" s="380" t="str">
        <f t="shared" si="12"/>
        <v>169-909</v>
      </c>
      <c r="C833" s="2030">
        <v>1.04</v>
      </c>
    </row>
    <row r="834" spans="1:3" ht="14.5">
      <c r="A834" t="s">
        <v>5182</v>
      </c>
      <c r="B834" s="380" t="str">
        <f t="shared" ref="B834:B897" si="13">CONCATENATE(LEFT(RIGHT(CONCATENATE("000",A834),6),3),"-",(RIGHT(RIGHT(CONCATENATE("000",A834),6),3)))</f>
        <v>169-910</v>
      </c>
      <c r="C834" s="2030">
        <v>1.04</v>
      </c>
    </row>
    <row r="835" spans="1:3" ht="14.5">
      <c r="A835" t="s">
        <v>5183</v>
      </c>
      <c r="B835" s="380" t="str">
        <f t="shared" si="13"/>
        <v>169-911</v>
      </c>
      <c r="C835" s="2030">
        <v>1.17</v>
      </c>
    </row>
    <row r="836" spans="1:3" ht="14.5">
      <c r="A836" t="s">
        <v>8063</v>
      </c>
      <c r="B836" s="380" t="str">
        <f t="shared" si="13"/>
        <v>170-801</v>
      </c>
      <c r="C836" s="2030">
        <v>0</v>
      </c>
    </row>
    <row r="837" spans="1:3" ht="14.5">
      <c r="A837" t="s">
        <v>3145</v>
      </c>
      <c r="B837" s="380" t="str">
        <f t="shared" si="13"/>
        <v>170-902</v>
      </c>
      <c r="C837" s="2030">
        <v>1.06</v>
      </c>
    </row>
    <row r="838" spans="1:3" ht="14.5">
      <c r="A838" t="s">
        <v>5184</v>
      </c>
      <c r="B838" s="380" t="str">
        <f t="shared" si="13"/>
        <v>170-903</v>
      </c>
      <c r="C838" s="2030">
        <v>1.04</v>
      </c>
    </row>
    <row r="839" spans="1:3" ht="14.5">
      <c r="A839" t="s">
        <v>3146</v>
      </c>
      <c r="B839" s="380" t="str">
        <f t="shared" si="13"/>
        <v>170-904</v>
      </c>
      <c r="C839" s="2030">
        <v>1.07</v>
      </c>
    </row>
    <row r="840" spans="1:3" ht="14.5">
      <c r="A840" t="s">
        <v>3147</v>
      </c>
      <c r="B840" s="380" t="str">
        <f t="shared" si="13"/>
        <v>170-906</v>
      </c>
      <c r="C840" s="2030">
        <v>1.04</v>
      </c>
    </row>
    <row r="841" spans="1:3" ht="14.5">
      <c r="A841" t="s">
        <v>3148</v>
      </c>
      <c r="B841" s="380" t="str">
        <f t="shared" si="13"/>
        <v>170-907</v>
      </c>
      <c r="C841" s="2030">
        <v>1.17</v>
      </c>
    </row>
    <row r="842" spans="1:3" ht="14.5">
      <c r="A842" t="s">
        <v>3149</v>
      </c>
      <c r="B842" s="380" t="str">
        <f t="shared" si="13"/>
        <v>170-908</v>
      </c>
      <c r="C842" s="2030">
        <v>1.17</v>
      </c>
    </row>
    <row r="843" spans="1:3" ht="14.5">
      <c r="A843" t="s">
        <v>5185</v>
      </c>
      <c r="B843" s="380" t="str">
        <f t="shared" si="13"/>
        <v>171-901</v>
      </c>
      <c r="C843" s="2030">
        <v>1.04</v>
      </c>
    </row>
    <row r="844" spans="1:3" ht="14.5">
      <c r="A844" t="s">
        <v>5186</v>
      </c>
      <c r="B844" s="380" t="str">
        <f t="shared" si="13"/>
        <v>171-902</v>
      </c>
      <c r="C844" s="2030">
        <v>1.04</v>
      </c>
    </row>
    <row r="845" spans="1:3" ht="14.5">
      <c r="A845" t="s">
        <v>5187</v>
      </c>
      <c r="B845" s="380" t="str">
        <f t="shared" si="13"/>
        <v>172-902</v>
      </c>
      <c r="C845" s="2030">
        <v>1.04</v>
      </c>
    </row>
    <row r="846" spans="1:3" ht="14.5">
      <c r="A846" t="s">
        <v>5188</v>
      </c>
      <c r="B846" s="380" t="str">
        <f t="shared" si="13"/>
        <v>172-905</v>
      </c>
      <c r="C846" s="2030">
        <v>1.04</v>
      </c>
    </row>
    <row r="847" spans="1:3" ht="14.5">
      <c r="A847" t="s">
        <v>5858</v>
      </c>
      <c r="B847" s="380" t="str">
        <f t="shared" si="13"/>
        <v>173-901</v>
      </c>
      <c r="C847" s="2030">
        <v>1.17</v>
      </c>
    </row>
    <row r="848" spans="1:3" ht="14.5">
      <c r="A848" t="s">
        <v>8064</v>
      </c>
      <c r="B848" s="380" t="str">
        <f t="shared" si="13"/>
        <v>174-801</v>
      </c>
      <c r="C848" s="2030">
        <v>0</v>
      </c>
    </row>
    <row r="849" spans="1:3" ht="14.5">
      <c r="A849" t="s">
        <v>3150</v>
      </c>
      <c r="B849" s="380" t="str">
        <f t="shared" si="13"/>
        <v>174-901</v>
      </c>
      <c r="C849" s="2030">
        <v>1.1117000000000001</v>
      </c>
    </row>
    <row r="850" spans="1:3" ht="14.5">
      <c r="A850" t="s">
        <v>5189</v>
      </c>
      <c r="B850" s="380" t="str">
        <f t="shared" si="13"/>
        <v>174-902</v>
      </c>
      <c r="C850" s="2030">
        <v>1.04</v>
      </c>
    </row>
    <row r="851" spans="1:3" ht="14.5">
      <c r="A851" t="s">
        <v>3151</v>
      </c>
      <c r="B851" s="380" t="str">
        <f t="shared" si="13"/>
        <v>174-903</v>
      </c>
      <c r="C851" s="2030">
        <v>1.17</v>
      </c>
    </row>
    <row r="852" spans="1:3" ht="14.5">
      <c r="A852" t="s">
        <v>5190</v>
      </c>
      <c r="B852" s="380" t="str">
        <f t="shared" si="13"/>
        <v>174-904</v>
      </c>
      <c r="C852" s="2030">
        <v>1.17</v>
      </c>
    </row>
    <row r="853" spans="1:3" ht="14.5">
      <c r="A853" t="s">
        <v>3152</v>
      </c>
      <c r="B853" s="380" t="str">
        <f t="shared" si="13"/>
        <v>174-906</v>
      </c>
      <c r="C853" s="2030">
        <v>1.109</v>
      </c>
    </row>
    <row r="854" spans="1:3" ht="14.5">
      <c r="A854" t="s">
        <v>3153</v>
      </c>
      <c r="B854" s="380" t="str">
        <f t="shared" si="13"/>
        <v>174-908</v>
      </c>
      <c r="C854" s="2030">
        <v>1.04</v>
      </c>
    </row>
    <row r="855" spans="1:3" ht="14.5">
      <c r="A855" t="s">
        <v>4500</v>
      </c>
      <c r="B855" s="380" t="str">
        <f t="shared" si="13"/>
        <v>174-909</v>
      </c>
      <c r="C855" s="2030">
        <v>1.17</v>
      </c>
    </row>
    <row r="856" spans="1:3" ht="14.5">
      <c r="A856" t="s">
        <v>5191</v>
      </c>
      <c r="B856" s="380" t="str">
        <f t="shared" si="13"/>
        <v>174-910</v>
      </c>
      <c r="C856" s="2030">
        <v>1.17</v>
      </c>
    </row>
    <row r="857" spans="1:3" ht="14.5">
      <c r="A857" t="s">
        <v>5859</v>
      </c>
      <c r="B857" s="380" t="str">
        <f t="shared" si="13"/>
        <v>174-911</v>
      </c>
      <c r="C857" s="2030">
        <v>1.04</v>
      </c>
    </row>
    <row r="858" spans="1:3" ht="14.5">
      <c r="A858" t="s">
        <v>5192</v>
      </c>
      <c r="B858" s="380" t="str">
        <f t="shared" si="13"/>
        <v>175-902</v>
      </c>
      <c r="C858" s="2030">
        <v>1.08</v>
      </c>
    </row>
    <row r="859" spans="1:3" ht="14.5">
      <c r="A859" t="s">
        <v>3154</v>
      </c>
      <c r="B859" s="380" t="str">
        <f t="shared" si="13"/>
        <v>175-903</v>
      </c>
      <c r="C859" s="2030">
        <v>1.04</v>
      </c>
    </row>
    <row r="860" spans="1:3" ht="14.5">
      <c r="A860" t="s">
        <v>3155</v>
      </c>
      <c r="B860" s="380" t="str">
        <f t="shared" si="13"/>
        <v>175-904</v>
      </c>
      <c r="C860" s="2030">
        <v>1.06</v>
      </c>
    </row>
    <row r="861" spans="1:3" ht="14.5">
      <c r="A861" t="s">
        <v>5193</v>
      </c>
      <c r="B861" s="380" t="str">
        <f t="shared" si="13"/>
        <v>175-905</v>
      </c>
      <c r="C861" s="2030">
        <v>1.17</v>
      </c>
    </row>
    <row r="862" spans="1:3" ht="14.5">
      <c r="A862" t="s">
        <v>3156</v>
      </c>
      <c r="B862" s="380" t="str">
        <f t="shared" si="13"/>
        <v>175-907</v>
      </c>
      <c r="C862" s="2030">
        <v>1.04</v>
      </c>
    </row>
    <row r="863" spans="1:3" ht="14.5">
      <c r="A863" t="s">
        <v>5194</v>
      </c>
      <c r="B863" s="380" t="str">
        <f t="shared" si="13"/>
        <v>175-910</v>
      </c>
      <c r="C863" s="2030">
        <v>1.0401</v>
      </c>
    </row>
    <row r="864" spans="1:3" ht="14.5">
      <c r="A864" t="s">
        <v>3157</v>
      </c>
      <c r="B864" s="380" t="str">
        <f t="shared" si="13"/>
        <v>175-911</v>
      </c>
      <c r="C864" s="2030">
        <v>1.17</v>
      </c>
    </row>
    <row r="865" spans="1:3" ht="14.5">
      <c r="A865" t="s">
        <v>5195</v>
      </c>
      <c r="B865" s="380" t="str">
        <f t="shared" si="13"/>
        <v>176-901</v>
      </c>
      <c r="C865" s="2030">
        <v>1.17</v>
      </c>
    </row>
    <row r="866" spans="1:3" ht="14.5">
      <c r="A866" t="s">
        <v>3158</v>
      </c>
      <c r="B866" s="380" t="str">
        <f t="shared" si="13"/>
        <v>176-902</v>
      </c>
      <c r="C866" s="2030">
        <v>1.17</v>
      </c>
    </row>
    <row r="867" spans="1:3" ht="14.5">
      <c r="A867" t="s">
        <v>3159</v>
      </c>
      <c r="B867" s="380" t="str">
        <f t="shared" si="13"/>
        <v>176-903</v>
      </c>
      <c r="C867" s="2030">
        <v>1.04</v>
      </c>
    </row>
    <row r="868" spans="1:3" ht="14.5">
      <c r="A868" t="s">
        <v>3160</v>
      </c>
      <c r="B868" s="380" t="str">
        <f t="shared" si="13"/>
        <v>177-901</v>
      </c>
      <c r="C868" s="2030">
        <v>1.17</v>
      </c>
    </row>
    <row r="869" spans="1:3" ht="14.5">
      <c r="A869" t="s">
        <v>5196</v>
      </c>
      <c r="B869" s="380" t="str">
        <f t="shared" si="13"/>
        <v>177-902</v>
      </c>
      <c r="C869" s="2030">
        <v>1.095</v>
      </c>
    </row>
    <row r="870" spans="1:3" ht="14.5">
      <c r="A870" t="s">
        <v>5197</v>
      </c>
      <c r="B870" s="380" t="str">
        <f t="shared" si="13"/>
        <v>177-903</v>
      </c>
      <c r="C870" s="2030">
        <v>1.04</v>
      </c>
    </row>
    <row r="871" spans="1:3" ht="14.5">
      <c r="A871" t="s">
        <v>5198</v>
      </c>
      <c r="B871" s="380" t="str">
        <f t="shared" si="13"/>
        <v>177-905</v>
      </c>
      <c r="C871" s="2030">
        <v>1.1599999999999997</v>
      </c>
    </row>
    <row r="872" spans="1:3" ht="14.5">
      <c r="A872" t="s">
        <v>8065</v>
      </c>
      <c r="B872" s="380" t="str">
        <f t="shared" si="13"/>
        <v>178-801</v>
      </c>
      <c r="C872" s="2030">
        <v>0</v>
      </c>
    </row>
    <row r="873" spans="1:3" ht="14.5">
      <c r="A873" t="s">
        <v>8066</v>
      </c>
      <c r="B873" s="380" t="str">
        <f t="shared" si="13"/>
        <v>178-807</v>
      </c>
      <c r="C873" s="2030">
        <v>0</v>
      </c>
    </row>
    <row r="874" spans="1:3" ht="14.5">
      <c r="A874" t="s">
        <v>8067</v>
      </c>
      <c r="B874" s="380" t="str">
        <f t="shared" si="13"/>
        <v>178-808</v>
      </c>
      <c r="C874" s="2030">
        <v>0</v>
      </c>
    </row>
    <row r="875" spans="1:3" ht="14.5">
      <c r="A875" t="s">
        <v>5199</v>
      </c>
      <c r="B875" s="380" t="str">
        <f t="shared" si="13"/>
        <v>178-901</v>
      </c>
      <c r="C875" s="2030">
        <v>1.17</v>
      </c>
    </row>
    <row r="876" spans="1:3" ht="14.5">
      <c r="A876" t="s">
        <v>5200</v>
      </c>
      <c r="B876" s="380" t="str">
        <f t="shared" si="13"/>
        <v>178-902</v>
      </c>
      <c r="C876" s="2030">
        <v>1.0392000000000001</v>
      </c>
    </row>
    <row r="877" spans="1:3" ht="14.5">
      <c r="A877" t="s">
        <v>5201</v>
      </c>
      <c r="B877" s="380" t="str">
        <f t="shared" si="13"/>
        <v>178-903</v>
      </c>
      <c r="C877" s="2030">
        <v>1.17</v>
      </c>
    </row>
    <row r="878" spans="1:3" ht="14.5">
      <c r="A878" t="s">
        <v>3161</v>
      </c>
      <c r="B878" s="380" t="str">
        <f t="shared" si="13"/>
        <v>178-904</v>
      </c>
      <c r="C878" s="2030">
        <v>1.1051</v>
      </c>
    </row>
    <row r="879" spans="1:3" ht="14.5">
      <c r="A879" t="s">
        <v>5202</v>
      </c>
      <c r="B879" s="380" t="str">
        <f t="shared" si="13"/>
        <v>178-905</v>
      </c>
      <c r="C879" s="2030">
        <v>1.06</v>
      </c>
    </row>
    <row r="880" spans="1:3" ht="14.5">
      <c r="A880" t="s">
        <v>5203</v>
      </c>
      <c r="B880" s="380" t="str">
        <f t="shared" si="13"/>
        <v>178-906</v>
      </c>
      <c r="C880" s="2030">
        <v>0.92510000000000003</v>
      </c>
    </row>
    <row r="881" spans="1:3" ht="14.5">
      <c r="A881" t="s">
        <v>5204</v>
      </c>
      <c r="B881" s="380" t="str">
        <f t="shared" si="13"/>
        <v>178-908</v>
      </c>
      <c r="C881" s="2030">
        <v>1.0333000000000001</v>
      </c>
    </row>
    <row r="882" spans="1:3" ht="14.5">
      <c r="A882" t="s">
        <v>3162</v>
      </c>
      <c r="B882" s="380" t="str">
        <f t="shared" si="13"/>
        <v>178-909</v>
      </c>
      <c r="C882" s="2030">
        <v>1.17</v>
      </c>
    </row>
    <row r="883" spans="1:3" ht="14.5">
      <c r="A883" t="s">
        <v>5205</v>
      </c>
      <c r="B883" s="380" t="str">
        <f t="shared" si="13"/>
        <v>178-912</v>
      </c>
      <c r="C883" s="2030">
        <v>1.17</v>
      </c>
    </row>
    <row r="884" spans="1:3" ht="14.5">
      <c r="A884" t="s">
        <v>3163</v>
      </c>
      <c r="B884" s="380" t="str">
        <f t="shared" si="13"/>
        <v>178-913</v>
      </c>
      <c r="C884" s="2030">
        <v>1.17</v>
      </c>
    </row>
    <row r="885" spans="1:3" ht="14.5">
      <c r="A885" t="s">
        <v>5206</v>
      </c>
      <c r="B885" s="380" t="str">
        <f t="shared" si="13"/>
        <v>178-914</v>
      </c>
      <c r="C885" s="2030">
        <v>1.06</v>
      </c>
    </row>
    <row r="886" spans="1:3" ht="14.5">
      <c r="A886" t="s">
        <v>3164</v>
      </c>
      <c r="B886" s="380" t="str">
        <f t="shared" si="13"/>
        <v>178-915</v>
      </c>
      <c r="C886" s="2030">
        <v>1.17</v>
      </c>
    </row>
    <row r="887" spans="1:3" ht="14.5">
      <c r="A887" t="s">
        <v>3165</v>
      </c>
      <c r="B887" s="380" t="str">
        <f t="shared" si="13"/>
        <v>179-901</v>
      </c>
      <c r="C887" s="2030">
        <v>1.04</v>
      </c>
    </row>
    <row r="888" spans="1:3" ht="14.5">
      <c r="A888" t="s">
        <v>7356</v>
      </c>
      <c r="B888" s="380" t="str">
        <f t="shared" si="13"/>
        <v>180-901</v>
      </c>
      <c r="C888" s="2030">
        <v>0</v>
      </c>
    </row>
    <row r="889" spans="1:3" ht="14.5">
      <c r="A889" t="s">
        <v>5207</v>
      </c>
      <c r="B889" s="380" t="str">
        <f t="shared" si="13"/>
        <v>180-902</v>
      </c>
      <c r="C889" s="2030">
        <v>1.04</v>
      </c>
    </row>
    <row r="890" spans="1:3" ht="14.5">
      <c r="A890" t="s">
        <v>5860</v>
      </c>
      <c r="B890" s="380" t="str">
        <f t="shared" si="13"/>
        <v>180-903</v>
      </c>
      <c r="C890" s="2030">
        <v>1.04</v>
      </c>
    </row>
    <row r="891" spans="1:3" ht="14.5">
      <c r="A891" t="s">
        <v>5208</v>
      </c>
      <c r="B891" s="380" t="str">
        <f t="shared" si="13"/>
        <v>180-904</v>
      </c>
      <c r="C891" s="2030">
        <v>1.04</v>
      </c>
    </row>
    <row r="892" spans="1:3" ht="14.5">
      <c r="A892" t="s">
        <v>3166</v>
      </c>
      <c r="B892" s="380" t="str">
        <f t="shared" si="13"/>
        <v>181-901</v>
      </c>
      <c r="C892" s="2030">
        <v>1.04</v>
      </c>
    </row>
    <row r="893" spans="1:3" ht="14.5">
      <c r="A893" t="s">
        <v>5209</v>
      </c>
      <c r="B893" s="380" t="str">
        <f t="shared" si="13"/>
        <v>181-905</v>
      </c>
      <c r="C893" s="2030">
        <v>1.17</v>
      </c>
    </row>
    <row r="894" spans="1:3" ht="14.5">
      <c r="A894" t="s">
        <v>5210</v>
      </c>
      <c r="B894" s="380" t="str">
        <f t="shared" si="13"/>
        <v>181-906</v>
      </c>
      <c r="C894" s="2030">
        <v>1.17</v>
      </c>
    </row>
    <row r="895" spans="1:3" ht="14.5">
      <c r="A895" t="s">
        <v>3167</v>
      </c>
      <c r="B895" s="380" t="str">
        <f t="shared" si="13"/>
        <v>181-907</v>
      </c>
      <c r="C895" s="2030">
        <v>1.125</v>
      </c>
    </row>
    <row r="896" spans="1:3" ht="14.5">
      <c r="A896" t="s">
        <v>5211</v>
      </c>
      <c r="B896" s="380" t="str">
        <f t="shared" si="13"/>
        <v>181-908</v>
      </c>
      <c r="C896" s="2030">
        <v>1.17</v>
      </c>
    </row>
    <row r="897" spans="1:3" ht="14.5">
      <c r="A897" t="s">
        <v>5212</v>
      </c>
      <c r="B897" s="380" t="str">
        <f t="shared" si="13"/>
        <v>182-901</v>
      </c>
      <c r="C897" s="2030">
        <v>1.04</v>
      </c>
    </row>
    <row r="898" spans="1:3" ht="14.5">
      <c r="A898" t="s">
        <v>5213</v>
      </c>
      <c r="B898" s="380" t="str">
        <f t="shared" ref="B898:B961" si="14">CONCATENATE(LEFT(RIGHT(CONCATENATE("000",A898),6),3),"-",(RIGHT(RIGHT(CONCATENATE("000",A898),6),3)))</f>
        <v>182-902</v>
      </c>
      <c r="C898" s="2030">
        <v>1.0401</v>
      </c>
    </row>
    <row r="899" spans="1:3" ht="14.5">
      <c r="A899" t="s">
        <v>3168</v>
      </c>
      <c r="B899" s="380" t="str">
        <f t="shared" si="14"/>
        <v>182-903</v>
      </c>
      <c r="C899" s="2030">
        <v>1.17</v>
      </c>
    </row>
    <row r="900" spans="1:3" ht="14.5">
      <c r="A900" t="s">
        <v>5214</v>
      </c>
      <c r="B900" s="380" t="str">
        <f t="shared" si="14"/>
        <v>182-904</v>
      </c>
      <c r="C900" s="2030">
        <v>1.17</v>
      </c>
    </row>
    <row r="901" spans="1:3" ht="14.5">
      <c r="A901" t="s">
        <v>5861</v>
      </c>
      <c r="B901" s="380" t="str">
        <f t="shared" si="14"/>
        <v>182-905</v>
      </c>
      <c r="C901" s="2030">
        <v>1.17</v>
      </c>
    </row>
    <row r="902" spans="1:3" ht="14.5">
      <c r="A902" t="s">
        <v>5215</v>
      </c>
      <c r="B902" s="380" t="str">
        <f t="shared" si="14"/>
        <v>182-906</v>
      </c>
      <c r="C902" s="2030">
        <v>1.06</v>
      </c>
    </row>
    <row r="903" spans="1:3" ht="14.5">
      <c r="A903" t="s">
        <v>8068</v>
      </c>
      <c r="B903" s="380" t="str">
        <f t="shared" si="14"/>
        <v>183-801</v>
      </c>
      <c r="C903" s="2030">
        <v>0</v>
      </c>
    </row>
    <row r="904" spans="1:3" ht="14.5">
      <c r="A904" t="s">
        <v>5216</v>
      </c>
      <c r="B904" s="380" t="str">
        <f t="shared" si="14"/>
        <v>183-901</v>
      </c>
      <c r="C904" s="2030">
        <v>1.04</v>
      </c>
    </row>
    <row r="905" spans="1:3" ht="14.5">
      <c r="A905" t="s">
        <v>5217</v>
      </c>
      <c r="B905" s="380" t="str">
        <f t="shared" si="14"/>
        <v>183-902</v>
      </c>
      <c r="C905" s="2030">
        <v>1.04</v>
      </c>
    </row>
    <row r="906" spans="1:3" ht="14.5">
      <c r="A906" t="s">
        <v>3169</v>
      </c>
      <c r="B906" s="380" t="str">
        <f t="shared" si="14"/>
        <v>183-904</v>
      </c>
      <c r="C906" s="2030">
        <v>1.04</v>
      </c>
    </row>
    <row r="907" spans="1:3" ht="14.5">
      <c r="A907" t="s">
        <v>8069</v>
      </c>
      <c r="B907" s="380" t="str">
        <f t="shared" si="14"/>
        <v>184-801</v>
      </c>
      <c r="C907" s="2030">
        <v>0</v>
      </c>
    </row>
    <row r="908" spans="1:3" ht="14.5">
      <c r="A908" t="s">
        <v>3170</v>
      </c>
      <c r="B908" s="380" t="str">
        <f t="shared" si="14"/>
        <v>184-901</v>
      </c>
      <c r="C908" s="2030">
        <v>1.17</v>
      </c>
    </row>
    <row r="909" spans="1:3" ht="14.5">
      <c r="A909" t="s">
        <v>3171</v>
      </c>
      <c r="B909" s="380" t="str">
        <f t="shared" si="14"/>
        <v>184-902</v>
      </c>
      <c r="C909" s="2030">
        <v>1.17</v>
      </c>
    </row>
    <row r="910" spans="1:3" ht="14.5">
      <c r="A910" t="s">
        <v>3172</v>
      </c>
      <c r="B910" s="380" t="str">
        <f t="shared" si="14"/>
        <v>184-903</v>
      </c>
      <c r="C910" s="2030">
        <v>1.17</v>
      </c>
    </row>
    <row r="911" spans="1:3" ht="14.5">
      <c r="A911" t="s">
        <v>3173</v>
      </c>
      <c r="B911" s="380" t="str">
        <f t="shared" si="14"/>
        <v>184-904</v>
      </c>
      <c r="C911" s="2030">
        <v>1.17</v>
      </c>
    </row>
    <row r="912" spans="1:3" ht="14.5">
      <c r="A912" t="s">
        <v>5218</v>
      </c>
      <c r="B912" s="380" t="str">
        <f t="shared" si="14"/>
        <v>184-907</v>
      </c>
      <c r="C912" s="2030">
        <v>1.17</v>
      </c>
    </row>
    <row r="913" spans="1:3" ht="14.5">
      <c r="A913" t="s">
        <v>3174</v>
      </c>
      <c r="B913" s="380" t="str">
        <f t="shared" si="14"/>
        <v>184-908</v>
      </c>
      <c r="C913" s="2030">
        <v>1.04</v>
      </c>
    </row>
    <row r="914" spans="1:3" ht="14.5">
      <c r="A914" t="s">
        <v>3175</v>
      </c>
      <c r="B914" s="380" t="str">
        <f t="shared" si="14"/>
        <v>184-909</v>
      </c>
      <c r="C914" s="2030">
        <v>1.17</v>
      </c>
    </row>
    <row r="915" spans="1:3" ht="14.5">
      <c r="A915" t="s">
        <v>5219</v>
      </c>
      <c r="B915" s="380" t="str">
        <f t="shared" si="14"/>
        <v>184-911</v>
      </c>
      <c r="C915" s="2030">
        <v>1.04</v>
      </c>
    </row>
    <row r="916" spans="1:3" ht="14.5">
      <c r="A916" t="s">
        <v>5862</v>
      </c>
      <c r="B916" s="380" t="str">
        <f t="shared" si="14"/>
        <v>185-901</v>
      </c>
      <c r="C916" s="2030">
        <v>1.04</v>
      </c>
    </row>
    <row r="917" spans="1:3" ht="14.5">
      <c r="A917" t="s">
        <v>5863</v>
      </c>
      <c r="B917" s="380" t="str">
        <f t="shared" si="14"/>
        <v>185-902</v>
      </c>
      <c r="C917" s="2030">
        <v>1.17</v>
      </c>
    </row>
    <row r="918" spans="1:3" ht="14.5">
      <c r="A918" t="s">
        <v>5220</v>
      </c>
      <c r="B918" s="380" t="str">
        <f t="shared" si="14"/>
        <v>185-903</v>
      </c>
      <c r="C918" s="2030">
        <v>1.04</v>
      </c>
    </row>
    <row r="919" spans="1:3" ht="14.5">
      <c r="A919" t="s">
        <v>5864</v>
      </c>
      <c r="B919" s="380" t="str">
        <f t="shared" si="14"/>
        <v>185-904</v>
      </c>
      <c r="C919" s="2030">
        <v>1.1194</v>
      </c>
    </row>
    <row r="920" spans="1:3" ht="14.5">
      <c r="A920" t="s">
        <v>5221</v>
      </c>
      <c r="B920" s="380" t="str">
        <f t="shared" si="14"/>
        <v>186-901</v>
      </c>
      <c r="C920" s="2030">
        <v>1.04</v>
      </c>
    </row>
    <row r="921" spans="1:3" ht="14.5">
      <c r="A921" t="s">
        <v>5222</v>
      </c>
      <c r="B921" s="380" t="str">
        <f t="shared" si="14"/>
        <v>186-902</v>
      </c>
      <c r="C921" s="2030">
        <v>1.04</v>
      </c>
    </row>
    <row r="922" spans="1:3" ht="14.5">
      <c r="A922" t="s">
        <v>5223</v>
      </c>
      <c r="B922" s="380" t="str">
        <f t="shared" si="14"/>
        <v>186-903</v>
      </c>
      <c r="C922" s="2030">
        <v>1.06</v>
      </c>
    </row>
    <row r="923" spans="1:3" ht="14.5">
      <c r="A923" t="s">
        <v>5224</v>
      </c>
      <c r="B923" s="380" t="str">
        <f t="shared" si="14"/>
        <v>187-901</v>
      </c>
      <c r="C923" s="2030">
        <v>1.17</v>
      </c>
    </row>
    <row r="924" spans="1:3" ht="14.5">
      <c r="A924" t="s">
        <v>5865</v>
      </c>
      <c r="B924" s="380" t="str">
        <f t="shared" si="14"/>
        <v>187-903</v>
      </c>
      <c r="C924" s="2030">
        <v>1.17</v>
      </c>
    </row>
    <row r="925" spans="1:3" ht="14.5">
      <c r="A925" t="s">
        <v>5225</v>
      </c>
      <c r="B925" s="380" t="str">
        <f t="shared" si="14"/>
        <v>187-904</v>
      </c>
      <c r="C925" s="2030">
        <v>1.04</v>
      </c>
    </row>
    <row r="926" spans="1:3" ht="14.5">
      <c r="A926" t="s">
        <v>5226</v>
      </c>
      <c r="B926" s="380" t="str">
        <f t="shared" si="14"/>
        <v>187-906</v>
      </c>
      <c r="C926" s="2030">
        <v>1.04</v>
      </c>
    </row>
    <row r="927" spans="1:3" ht="14.5">
      <c r="A927" t="s">
        <v>3176</v>
      </c>
      <c r="B927" s="380" t="str">
        <f t="shared" si="14"/>
        <v>187-907</v>
      </c>
      <c r="C927" s="2030">
        <v>1.17</v>
      </c>
    </row>
    <row r="928" spans="1:3" ht="14.5">
      <c r="A928" t="s">
        <v>5227</v>
      </c>
      <c r="B928" s="380" t="str">
        <f t="shared" si="14"/>
        <v>187-910</v>
      </c>
      <c r="C928" s="2030">
        <v>1.06</v>
      </c>
    </row>
    <row r="929" spans="1:3" ht="14.5">
      <c r="A929" t="s">
        <v>3177</v>
      </c>
      <c r="B929" s="380" t="str">
        <f t="shared" si="14"/>
        <v>188-901</v>
      </c>
      <c r="C929" s="2030">
        <v>1.08</v>
      </c>
    </row>
    <row r="930" spans="1:3" ht="14.5">
      <c r="A930" t="s">
        <v>3178</v>
      </c>
      <c r="B930" s="380" t="str">
        <f t="shared" si="14"/>
        <v>188-902</v>
      </c>
      <c r="C930" s="2030">
        <v>1.0900000000000001</v>
      </c>
    </row>
    <row r="931" spans="1:3" ht="14.5">
      <c r="A931" t="s">
        <v>5228</v>
      </c>
      <c r="B931" s="380" t="str">
        <f t="shared" si="14"/>
        <v>188-903</v>
      </c>
      <c r="C931" s="2030">
        <v>1.04</v>
      </c>
    </row>
    <row r="932" spans="1:3" ht="14.5">
      <c r="A932" t="s">
        <v>5229</v>
      </c>
      <c r="B932" s="380" t="str">
        <f t="shared" si="14"/>
        <v>188-904</v>
      </c>
      <c r="C932" s="2030">
        <v>1.04</v>
      </c>
    </row>
    <row r="933" spans="1:3" ht="14.5">
      <c r="A933" t="s">
        <v>3179</v>
      </c>
      <c r="B933" s="380" t="str">
        <f t="shared" si="14"/>
        <v>189-901</v>
      </c>
      <c r="C933" s="2030">
        <v>1.04</v>
      </c>
    </row>
    <row r="934" spans="1:3" ht="14.5">
      <c r="A934" t="s">
        <v>3180</v>
      </c>
      <c r="B934" s="380" t="str">
        <f t="shared" si="14"/>
        <v>189-902</v>
      </c>
      <c r="C934" s="2030">
        <v>1.17</v>
      </c>
    </row>
    <row r="935" spans="1:3" ht="14.5">
      <c r="A935" t="s">
        <v>5230</v>
      </c>
      <c r="B935" s="380" t="str">
        <f t="shared" si="14"/>
        <v>190-903</v>
      </c>
      <c r="C935" s="2030">
        <v>1.04</v>
      </c>
    </row>
    <row r="936" spans="1:3" ht="14.5">
      <c r="A936" t="s">
        <v>5231</v>
      </c>
      <c r="B936" s="380" t="str">
        <f t="shared" si="14"/>
        <v>191-901</v>
      </c>
      <c r="C936" s="2030">
        <v>1.04</v>
      </c>
    </row>
    <row r="937" spans="1:3" ht="14.5">
      <c r="A937" t="s">
        <v>5232</v>
      </c>
      <c r="B937" s="380" t="str">
        <f t="shared" si="14"/>
        <v>192-901</v>
      </c>
      <c r="C937" s="2030">
        <v>1.1500000000000001</v>
      </c>
    </row>
    <row r="938" spans="1:3" ht="14.5">
      <c r="A938" t="s">
        <v>8070</v>
      </c>
      <c r="B938" s="380" t="str">
        <f t="shared" si="14"/>
        <v>193-801</v>
      </c>
      <c r="C938" s="2030">
        <v>0</v>
      </c>
    </row>
    <row r="939" spans="1:3" ht="14.5">
      <c r="A939" t="s">
        <v>5233</v>
      </c>
      <c r="B939" s="380" t="str">
        <f t="shared" si="14"/>
        <v>193-902</v>
      </c>
      <c r="C939" s="2030">
        <v>1.04</v>
      </c>
    </row>
    <row r="940" spans="1:3" ht="14.5">
      <c r="A940" t="s">
        <v>5866</v>
      </c>
      <c r="B940" s="380" t="str">
        <f t="shared" si="14"/>
        <v>194-902</v>
      </c>
      <c r="C940" s="2030">
        <v>1.17</v>
      </c>
    </row>
    <row r="941" spans="1:3" ht="14.5">
      <c r="A941" t="s">
        <v>3181</v>
      </c>
      <c r="B941" s="380" t="str">
        <f t="shared" si="14"/>
        <v>194-903</v>
      </c>
      <c r="C941" s="2030">
        <v>1.17</v>
      </c>
    </row>
    <row r="942" spans="1:3" ht="14.5">
      <c r="A942" t="s">
        <v>5867</v>
      </c>
      <c r="B942" s="380" t="str">
        <f t="shared" si="14"/>
        <v>194-904</v>
      </c>
      <c r="C942" s="2030">
        <v>1.04</v>
      </c>
    </row>
    <row r="943" spans="1:3" ht="14.5">
      <c r="A943" t="s">
        <v>3182</v>
      </c>
      <c r="B943" s="380" t="str">
        <f t="shared" si="14"/>
        <v>194-905</v>
      </c>
      <c r="C943" s="2030">
        <v>1.17</v>
      </c>
    </row>
    <row r="944" spans="1:3" ht="14.5">
      <c r="A944" t="s">
        <v>5234</v>
      </c>
      <c r="B944" s="380" t="str">
        <f t="shared" si="14"/>
        <v>195-901</v>
      </c>
      <c r="C944" s="2030">
        <v>1.04</v>
      </c>
    </row>
    <row r="945" spans="1:3" ht="14.5">
      <c r="A945" t="s">
        <v>3183</v>
      </c>
      <c r="B945" s="380" t="str">
        <f t="shared" si="14"/>
        <v>195-902</v>
      </c>
      <c r="C945" s="2030">
        <v>1.17</v>
      </c>
    </row>
    <row r="946" spans="1:3" ht="14.5">
      <c r="A946" t="s">
        <v>5235</v>
      </c>
      <c r="B946" s="380" t="str">
        <f t="shared" si="14"/>
        <v>196-901</v>
      </c>
      <c r="C946" s="2030">
        <v>1.17</v>
      </c>
    </row>
    <row r="947" spans="1:3" ht="14.5">
      <c r="A947" t="s">
        <v>5236</v>
      </c>
      <c r="B947" s="380" t="str">
        <f t="shared" si="14"/>
        <v>196-902</v>
      </c>
      <c r="C947" s="2030">
        <v>1.17</v>
      </c>
    </row>
    <row r="948" spans="1:3" ht="14.5">
      <c r="A948" t="s">
        <v>5237</v>
      </c>
      <c r="B948" s="380" t="str">
        <f t="shared" si="14"/>
        <v>196-903</v>
      </c>
      <c r="C948" s="2030">
        <v>1.17</v>
      </c>
    </row>
    <row r="949" spans="1:3" ht="14.5">
      <c r="A949" t="s">
        <v>5238</v>
      </c>
      <c r="B949" s="380" t="str">
        <f t="shared" si="14"/>
        <v>197-902</v>
      </c>
      <c r="C949" s="2030">
        <v>1.06</v>
      </c>
    </row>
    <row r="950" spans="1:3" ht="14.5">
      <c r="A950" t="s">
        <v>5239</v>
      </c>
      <c r="B950" s="380" t="str">
        <f t="shared" si="14"/>
        <v>198-901</v>
      </c>
      <c r="C950" s="2030">
        <v>1.04</v>
      </c>
    </row>
    <row r="951" spans="1:3" ht="14.5">
      <c r="A951" t="s">
        <v>5868</v>
      </c>
      <c r="B951" s="380" t="str">
        <f t="shared" si="14"/>
        <v>198-902</v>
      </c>
      <c r="C951" s="2030">
        <v>1.1599999999999997</v>
      </c>
    </row>
    <row r="952" spans="1:3" ht="14.5">
      <c r="A952" t="s">
        <v>5240</v>
      </c>
      <c r="B952" s="380" t="str">
        <f t="shared" si="14"/>
        <v>198-903</v>
      </c>
      <c r="C952" s="2030">
        <v>1.04</v>
      </c>
    </row>
    <row r="953" spans="1:3" ht="14.5">
      <c r="A953" t="s">
        <v>5241</v>
      </c>
      <c r="B953" s="380" t="str">
        <f t="shared" si="14"/>
        <v>198-905</v>
      </c>
      <c r="C953" s="2030">
        <v>1.04</v>
      </c>
    </row>
    <row r="954" spans="1:3" ht="14.5">
      <c r="A954" t="s">
        <v>5869</v>
      </c>
      <c r="B954" s="380" t="str">
        <f t="shared" si="14"/>
        <v>198-906</v>
      </c>
      <c r="C954" s="2030">
        <v>1.04</v>
      </c>
    </row>
    <row r="955" spans="1:3" ht="14.5">
      <c r="A955" t="s">
        <v>5242</v>
      </c>
      <c r="B955" s="380" t="str">
        <f t="shared" si="14"/>
        <v>199-901</v>
      </c>
      <c r="C955" s="2030">
        <v>1.04</v>
      </c>
    </row>
    <row r="956" spans="1:3" ht="14.5">
      <c r="A956" t="s">
        <v>3184</v>
      </c>
      <c r="B956" s="380" t="str">
        <f t="shared" si="14"/>
        <v>199-902</v>
      </c>
      <c r="C956" s="2030">
        <v>1.17</v>
      </c>
    </row>
    <row r="957" spans="1:3" ht="14.5">
      <c r="A957" t="s">
        <v>5870</v>
      </c>
      <c r="B957" s="380" t="str">
        <f t="shared" si="14"/>
        <v>200-901</v>
      </c>
      <c r="C957" s="2030">
        <v>1.17</v>
      </c>
    </row>
    <row r="958" spans="1:3" ht="14.5">
      <c r="A958" t="s">
        <v>3185</v>
      </c>
      <c r="B958" s="380" t="str">
        <f t="shared" si="14"/>
        <v>200-902</v>
      </c>
      <c r="C958" s="2030">
        <v>1.17</v>
      </c>
    </row>
    <row r="959" spans="1:3" ht="14.5">
      <c r="A959" t="s">
        <v>4591</v>
      </c>
      <c r="B959" s="380" t="str">
        <f t="shared" si="14"/>
        <v>200-904</v>
      </c>
      <c r="C959" s="2030">
        <v>1.04</v>
      </c>
    </row>
    <row r="960" spans="1:3" ht="14.5">
      <c r="A960" t="s">
        <v>3186</v>
      </c>
      <c r="B960" s="380" t="str">
        <f t="shared" si="14"/>
        <v>200-906</v>
      </c>
      <c r="C960" s="2030">
        <v>1.17</v>
      </c>
    </row>
    <row r="961" spans="1:3" ht="14.5">
      <c r="A961" t="s">
        <v>5243</v>
      </c>
      <c r="B961" s="380" t="str">
        <f t="shared" si="14"/>
        <v>201-902</v>
      </c>
      <c r="C961" s="2030">
        <v>1.04</v>
      </c>
    </row>
    <row r="962" spans="1:3" ht="14.5">
      <c r="A962" t="s">
        <v>5871</v>
      </c>
      <c r="B962" s="380" t="str">
        <f t="shared" ref="B962:B1025" si="15">CONCATENATE(LEFT(RIGHT(CONCATENATE("000",A962),6),3),"-",(RIGHT(RIGHT(CONCATENATE("000",A962),6),3)))</f>
        <v>201-903</v>
      </c>
      <c r="C962" s="2030">
        <v>1.17</v>
      </c>
    </row>
    <row r="963" spans="1:3" ht="14.5">
      <c r="A963" t="s">
        <v>5872</v>
      </c>
      <c r="B963" s="380" t="str">
        <f t="shared" si="15"/>
        <v>201-904</v>
      </c>
      <c r="C963" s="2030">
        <v>1.17</v>
      </c>
    </row>
    <row r="964" spans="1:3" ht="14.5">
      <c r="A964" t="s">
        <v>4595</v>
      </c>
      <c r="B964" s="380" t="str">
        <f t="shared" si="15"/>
        <v>201-907</v>
      </c>
      <c r="C964" s="2030">
        <v>1.17</v>
      </c>
    </row>
    <row r="965" spans="1:3" ht="14.5">
      <c r="A965" t="s">
        <v>3187</v>
      </c>
      <c r="B965" s="380" t="str">
        <f t="shared" si="15"/>
        <v>201-908</v>
      </c>
      <c r="C965" s="2030">
        <v>1.17</v>
      </c>
    </row>
    <row r="966" spans="1:3" ht="14.5">
      <c r="A966" t="s">
        <v>5244</v>
      </c>
      <c r="B966" s="380" t="str">
        <f t="shared" si="15"/>
        <v>201-910</v>
      </c>
      <c r="C966" s="2030">
        <v>1.04</v>
      </c>
    </row>
    <row r="967" spans="1:3" ht="14.5">
      <c r="A967" t="s">
        <v>3188</v>
      </c>
      <c r="B967" s="380" t="str">
        <f t="shared" si="15"/>
        <v>201-913</v>
      </c>
      <c r="C967" s="2030">
        <v>1.17</v>
      </c>
    </row>
    <row r="968" spans="1:3" ht="14.5">
      <c r="A968" t="s">
        <v>5245</v>
      </c>
      <c r="B968" s="380" t="str">
        <f t="shared" si="15"/>
        <v>201-914</v>
      </c>
      <c r="C968" s="2030">
        <v>1.04</v>
      </c>
    </row>
    <row r="969" spans="1:3" ht="14.5">
      <c r="A969" t="s">
        <v>5873</v>
      </c>
      <c r="B969" s="380" t="str">
        <f t="shared" si="15"/>
        <v>202-903</v>
      </c>
      <c r="C969" s="2030">
        <v>1.04</v>
      </c>
    </row>
    <row r="970" spans="1:3" ht="14.5">
      <c r="A970" t="s">
        <v>3189</v>
      </c>
      <c r="B970" s="380" t="str">
        <f t="shared" si="15"/>
        <v>202-905</v>
      </c>
      <c r="C970" s="2030">
        <v>1.04</v>
      </c>
    </row>
    <row r="971" spans="1:3" ht="14.5">
      <c r="A971" t="s">
        <v>3190</v>
      </c>
      <c r="B971" s="380" t="str">
        <f t="shared" si="15"/>
        <v>203-901</v>
      </c>
      <c r="C971" s="2030">
        <v>1.06</v>
      </c>
    </row>
    <row r="972" spans="1:3" ht="14.5">
      <c r="A972" t="s">
        <v>5874</v>
      </c>
      <c r="B972" s="380" t="str">
        <f t="shared" si="15"/>
        <v>203-902</v>
      </c>
      <c r="C972" s="2030">
        <v>1.1000000000000003</v>
      </c>
    </row>
    <row r="973" spans="1:3" ht="14.5">
      <c r="A973" t="s">
        <v>5246</v>
      </c>
      <c r="B973" s="380" t="str">
        <f t="shared" si="15"/>
        <v>204-901</v>
      </c>
      <c r="C973" s="2030">
        <v>1.04</v>
      </c>
    </row>
    <row r="974" spans="1:3" ht="14.5">
      <c r="A974" t="s">
        <v>3191</v>
      </c>
      <c r="B974" s="380" t="str">
        <f t="shared" si="15"/>
        <v>204-904</v>
      </c>
      <c r="C974" s="2030">
        <v>1.17</v>
      </c>
    </row>
    <row r="975" spans="1:3" ht="14.5">
      <c r="A975" t="s">
        <v>3192</v>
      </c>
      <c r="B975" s="380" t="str">
        <f t="shared" si="15"/>
        <v>205-901</v>
      </c>
      <c r="C975" s="2030">
        <v>1.17</v>
      </c>
    </row>
    <row r="976" spans="1:3" ht="14.5">
      <c r="A976" t="s">
        <v>5247</v>
      </c>
      <c r="B976" s="380" t="str">
        <f t="shared" si="15"/>
        <v>205-902</v>
      </c>
      <c r="C976" s="2030">
        <v>1.17</v>
      </c>
    </row>
    <row r="977" spans="1:3" ht="14.5">
      <c r="A977" t="s">
        <v>5248</v>
      </c>
      <c r="B977" s="380" t="str">
        <f t="shared" si="15"/>
        <v>205-903</v>
      </c>
      <c r="C977" s="2030">
        <v>1.04</v>
      </c>
    </row>
    <row r="978" spans="1:3" ht="14.5">
      <c r="A978" t="s">
        <v>3193</v>
      </c>
      <c r="B978" s="380" t="str">
        <f t="shared" si="15"/>
        <v>205-904</v>
      </c>
      <c r="C978" s="2030">
        <v>1.17</v>
      </c>
    </row>
    <row r="979" spans="1:3" ht="14.5">
      <c r="A979" t="s">
        <v>3194</v>
      </c>
      <c r="B979" s="380" t="str">
        <f t="shared" si="15"/>
        <v>205-905</v>
      </c>
      <c r="C979" s="2030">
        <v>1.17</v>
      </c>
    </row>
    <row r="980" spans="1:3" ht="14.5">
      <c r="A980" t="s">
        <v>3195</v>
      </c>
      <c r="B980" s="380" t="str">
        <f t="shared" si="15"/>
        <v>205-906</v>
      </c>
      <c r="C980" s="2030">
        <v>1.17</v>
      </c>
    </row>
    <row r="981" spans="1:3" ht="14.5">
      <c r="A981" t="s">
        <v>3196</v>
      </c>
      <c r="B981" s="380" t="str">
        <f t="shared" si="15"/>
        <v>205-907</v>
      </c>
      <c r="C981" s="2030">
        <v>1.17</v>
      </c>
    </row>
    <row r="982" spans="1:3" ht="14.5">
      <c r="A982" t="s">
        <v>3197</v>
      </c>
      <c r="B982" s="380" t="str">
        <f t="shared" si="15"/>
        <v>206-901</v>
      </c>
      <c r="C982" s="2030">
        <v>1.04</v>
      </c>
    </row>
    <row r="983" spans="1:3" ht="14.5">
      <c r="A983" t="s">
        <v>5875</v>
      </c>
      <c r="B983" s="380" t="str">
        <f t="shared" si="15"/>
        <v>206-902</v>
      </c>
      <c r="C983" s="2030">
        <v>1.1273</v>
      </c>
    </row>
    <row r="984" spans="1:3" ht="14.5">
      <c r="A984" t="s">
        <v>5876</v>
      </c>
      <c r="B984" s="380" t="str">
        <f t="shared" si="15"/>
        <v>206-903</v>
      </c>
      <c r="C984" s="2030">
        <v>1.17</v>
      </c>
    </row>
    <row r="985" spans="1:3" ht="14.5">
      <c r="A985" t="s">
        <v>5877</v>
      </c>
      <c r="B985" s="380" t="str">
        <f t="shared" si="15"/>
        <v>207-901</v>
      </c>
      <c r="C985" s="2030">
        <v>1.17</v>
      </c>
    </row>
    <row r="986" spans="1:3" ht="14.5">
      <c r="A986" t="s">
        <v>5249</v>
      </c>
      <c r="B986" s="380" t="str">
        <f t="shared" si="15"/>
        <v>208-901</v>
      </c>
      <c r="C986" s="2030">
        <v>1.04</v>
      </c>
    </row>
    <row r="987" spans="1:3" ht="14.5">
      <c r="A987" t="s">
        <v>5250</v>
      </c>
      <c r="B987" s="380" t="str">
        <f t="shared" si="15"/>
        <v>208-902</v>
      </c>
      <c r="C987" s="2030">
        <v>1.04</v>
      </c>
    </row>
    <row r="988" spans="1:3" ht="14.5">
      <c r="A988" t="s">
        <v>5251</v>
      </c>
      <c r="B988" s="380" t="str">
        <f t="shared" si="15"/>
        <v>208-903</v>
      </c>
      <c r="C988" s="2030">
        <v>1.04</v>
      </c>
    </row>
    <row r="989" spans="1:3" ht="14.5">
      <c r="A989" t="s">
        <v>5878</v>
      </c>
      <c r="B989" s="380" t="str">
        <f t="shared" si="15"/>
        <v>209-901</v>
      </c>
      <c r="C989" s="2030">
        <v>1.04</v>
      </c>
    </row>
    <row r="990" spans="1:3" ht="14.5">
      <c r="A990" t="s">
        <v>5879</v>
      </c>
      <c r="B990" s="380" t="str">
        <f t="shared" si="15"/>
        <v>209-902</v>
      </c>
      <c r="C990" s="2030">
        <v>1.04</v>
      </c>
    </row>
    <row r="991" spans="1:3" ht="14.5">
      <c r="A991" t="s">
        <v>3198</v>
      </c>
      <c r="B991" s="380" t="str">
        <f t="shared" si="15"/>
        <v>210-901</v>
      </c>
      <c r="C991" s="2030">
        <v>1.17</v>
      </c>
    </row>
    <row r="992" spans="1:3" ht="14.5">
      <c r="A992" t="s">
        <v>5252</v>
      </c>
      <c r="B992" s="380" t="str">
        <f t="shared" si="15"/>
        <v>210-902</v>
      </c>
      <c r="C992" s="2030">
        <v>1.17</v>
      </c>
    </row>
    <row r="993" spans="1:3" ht="14.5">
      <c r="A993" t="s">
        <v>3199</v>
      </c>
      <c r="B993" s="380" t="str">
        <f t="shared" si="15"/>
        <v>210-903</v>
      </c>
      <c r="C993" s="2030">
        <v>1.1100000000000001</v>
      </c>
    </row>
    <row r="994" spans="1:3" ht="14.5">
      <c r="A994" t="s">
        <v>5253</v>
      </c>
      <c r="B994" s="380" t="str">
        <f t="shared" si="15"/>
        <v>210-904</v>
      </c>
      <c r="C994" s="2030">
        <v>1.04</v>
      </c>
    </row>
    <row r="995" spans="1:3" ht="14.5">
      <c r="A995" t="s">
        <v>5880</v>
      </c>
      <c r="B995" s="380" t="str">
        <f t="shared" si="15"/>
        <v>210-905</v>
      </c>
      <c r="C995" s="2030">
        <v>1.17</v>
      </c>
    </row>
    <row r="996" spans="1:3" ht="14.5">
      <c r="A996" t="s">
        <v>5881</v>
      </c>
      <c r="B996" s="380" t="str">
        <f t="shared" si="15"/>
        <v>210-906</v>
      </c>
      <c r="C996" s="2030">
        <v>1.17</v>
      </c>
    </row>
    <row r="997" spans="1:3" ht="14.5">
      <c r="A997" t="s">
        <v>5254</v>
      </c>
      <c r="B997" s="380" t="str">
        <f t="shared" si="15"/>
        <v>211-901</v>
      </c>
      <c r="C997" s="2030">
        <v>1.04</v>
      </c>
    </row>
    <row r="998" spans="1:3" ht="14.5">
      <c r="A998" t="s">
        <v>5882</v>
      </c>
      <c r="B998" s="380" t="str">
        <f t="shared" si="15"/>
        <v>211-902</v>
      </c>
      <c r="C998" s="2030">
        <v>1.17</v>
      </c>
    </row>
    <row r="999" spans="1:3" ht="14.5">
      <c r="A999" t="s">
        <v>8071</v>
      </c>
      <c r="B999" s="380" t="str">
        <f t="shared" si="15"/>
        <v>212-801</v>
      </c>
      <c r="C999" s="2030">
        <v>0</v>
      </c>
    </row>
    <row r="1000" spans="1:3" ht="14.5">
      <c r="A1000" t="s">
        <v>8072</v>
      </c>
      <c r="B1000" s="380" t="str">
        <f t="shared" si="15"/>
        <v>212-804</v>
      </c>
      <c r="C1000" s="2030">
        <v>0</v>
      </c>
    </row>
    <row r="1001" spans="1:3" ht="14.5">
      <c r="A1001" t="s">
        <v>3200</v>
      </c>
      <c r="B1001" s="380" t="str">
        <f t="shared" si="15"/>
        <v>212-901</v>
      </c>
      <c r="C1001" s="2030">
        <v>1.17</v>
      </c>
    </row>
    <row r="1002" spans="1:3" ht="14.5">
      <c r="A1002" t="s">
        <v>5255</v>
      </c>
      <c r="B1002" s="380" t="str">
        <f t="shared" si="15"/>
        <v>212-902</v>
      </c>
      <c r="C1002" s="2030">
        <v>1.17</v>
      </c>
    </row>
    <row r="1003" spans="1:3" ht="14.5">
      <c r="A1003" t="s">
        <v>3201</v>
      </c>
      <c r="B1003" s="380" t="str">
        <f t="shared" si="15"/>
        <v>212-903</v>
      </c>
      <c r="C1003" s="2030">
        <v>1.08</v>
      </c>
    </row>
    <row r="1004" spans="1:3" ht="14.5">
      <c r="A1004" t="s">
        <v>5256</v>
      </c>
      <c r="B1004" s="380" t="str">
        <f t="shared" si="15"/>
        <v>212-904</v>
      </c>
      <c r="C1004" s="2030">
        <v>1.17</v>
      </c>
    </row>
    <row r="1005" spans="1:3" ht="14.5">
      <c r="A1005" t="s">
        <v>5257</v>
      </c>
      <c r="B1005" s="380" t="str">
        <f t="shared" si="15"/>
        <v>212-905</v>
      </c>
      <c r="C1005" s="2030">
        <v>1.04</v>
      </c>
    </row>
    <row r="1006" spans="1:3" ht="14.5">
      <c r="A1006" t="s">
        <v>3202</v>
      </c>
      <c r="B1006" s="380" t="str">
        <f t="shared" si="15"/>
        <v>212-906</v>
      </c>
      <c r="C1006" s="2030">
        <v>1.06</v>
      </c>
    </row>
    <row r="1007" spans="1:3" ht="14.5">
      <c r="A1007" t="s">
        <v>3203</v>
      </c>
      <c r="B1007" s="380" t="str">
        <f t="shared" si="15"/>
        <v>212-909</v>
      </c>
      <c r="C1007" s="2030">
        <v>1.1200000000000001</v>
      </c>
    </row>
    <row r="1008" spans="1:3" ht="14.5">
      <c r="A1008" t="s">
        <v>5258</v>
      </c>
      <c r="B1008" s="380" t="str">
        <f t="shared" si="15"/>
        <v>212-910</v>
      </c>
      <c r="C1008" s="2030">
        <v>1.04</v>
      </c>
    </row>
    <row r="1009" spans="1:3" ht="14.5">
      <c r="A1009" t="s">
        <v>8073</v>
      </c>
      <c r="B1009" s="380" t="str">
        <f t="shared" si="15"/>
        <v>213-801</v>
      </c>
      <c r="C1009" s="2030">
        <v>0</v>
      </c>
    </row>
    <row r="1010" spans="1:3" ht="14.5">
      <c r="A1010" t="s">
        <v>5259</v>
      </c>
      <c r="B1010" s="380" t="str">
        <f t="shared" si="15"/>
        <v>213-901</v>
      </c>
      <c r="C1010" s="2030">
        <v>0.9</v>
      </c>
    </row>
    <row r="1011" spans="1:3" ht="14.5">
      <c r="A1011" t="s">
        <v>3204</v>
      </c>
      <c r="B1011" s="380" t="str">
        <f t="shared" si="15"/>
        <v>214-901</v>
      </c>
      <c r="C1011" s="2030">
        <v>1.0839000000000003</v>
      </c>
    </row>
    <row r="1012" spans="1:3" ht="14.5">
      <c r="A1012" t="s">
        <v>5260</v>
      </c>
      <c r="B1012" s="380" t="str">
        <f t="shared" si="15"/>
        <v>214-902</v>
      </c>
      <c r="C1012" s="2030">
        <v>1.17</v>
      </c>
    </row>
    <row r="1013" spans="1:3" ht="14.5">
      <c r="A1013" t="s">
        <v>3205</v>
      </c>
      <c r="B1013" s="380" t="str">
        <f t="shared" si="15"/>
        <v>214-903</v>
      </c>
      <c r="C1013" s="2030">
        <v>1.17</v>
      </c>
    </row>
    <row r="1014" spans="1:3" ht="14.5">
      <c r="A1014" t="s">
        <v>5261</v>
      </c>
      <c r="B1014" s="380" t="str">
        <f t="shared" si="15"/>
        <v>215-901</v>
      </c>
      <c r="C1014" s="2030">
        <v>1.17</v>
      </c>
    </row>
    <row r="1015" spans="1:3" ht="14.5">
      <c r="A1015" t="s">
        <v>5262</v>
      </c>
      <c r="B1015" s="380" t="str">
        <f t="shared" si="15"/>
        <v>216-901</v>
      </c>
      <c r="C1015" s="2030">
        <v>1.04</v>
      </c>
    </row>
    <row r="1016" spans="1:3" ht="14.5">
      <c r="A1016" t="s">
        <v>5263</v>
      </c>
      <c r="B1016" s="380" t="str">
        <f t="shared" si="15"/>
        <v>217-901</v>
      </c>
      <c r="C1016" s="2030">
        <v>1.04</v>
      </c>
    </row>
    <row r="1017" spans="1:3" ht="14.5">
      <c r="A1017" t="s">
        <v>5264</v>
      </c>
      <c r="B1017" s="380" t="str">
        <f t="shared" si="15"/>
        <v>218-901</v>
      </c>
      <c r="C1017" s="2030">
        <v>1.06</v>
      </c>
    </row>
    <row r="1018" spans="1:3" ht="14.5">
      <c r="A1018" t="s">
        <v>5883</v>
      </c>
      <c r="B1018" s="380" t="str">
        <f t="shared" si="15"/>
        <v>219-901</v>
      </c>
      <c r="C1018" s="2030">
        <v>1.04</v>
      </c>
    </row>
    <row r="1019" spans="1:3" ht="14.5">
      <c r="A1019" t="s">
        <v>5884</v>
      </c>
      <c r="B1019" s="380" t="str">
        <f t="shared" si="15"/>
        <v>219-903</v>
      </c>
      <c r="C1019" s="2030">
        <v>1.1599999999999997</v>
      </c>
    </row>
    <row r="1020" spans="1:3" ht="14.5">
      <c r="A1020" t="s">
        <v>5265</v>
      </c>
      <c r="B1020" s="380" t="str">
        <f t="shared" si="15"/>
        <v>219-905</v>
      </c>
      <c r="C1020" s="2030">
        <v>1.17</v>
      </c>
    </row>
    <row r="1021" spans="1:3" ht="14.5">
      <c r="A1021" t="s">
        <v>8074</v>
      </c>
      <c r="B1021" s="380" t="str">
        <f t="shared" si="15"/>
        <v>220-801</v>
      </c>
      <c r="C1021" s="2030">
        <v>0</v>
      </c>
    </row>
    <row r="1022" spans="1:3" ht="14.5">
      <c r="A1022" t="s">
        <v>8075</v>
      </c>
      <c r="B1022" s="380" t="str">
        <f t="shared" si="15"/>
        <v>220-802</v>
      </c>
      <c r="C1022" s="2030">
        <v>0</v>
      </c>
    </row>
    <row r="1023" spans="1:3" ht="14.5">
      <c r="A1023" t="s">
        <v>8076</v>
      </c>
      <c r="B1023" s="380" t="str">
        <f t="shared" si="15"/>
        <v>220-809</v>
      </c>
      <c r="C1023" s="2030">
        <v>0</v>
      </c>
    </row>
    <row r="1024" spans="1:3" ht="14.5">
      <c r="A1024" t="s">
        <v>8077</v>
      </c>
      <c r="B1024" s="380" t="str">
        <f t="shared" si="15"/>
        <v>220-810</v>
      </c>
      <c r="C1024" s="2030">
        <v>0</v>
      </c>
    </row>
    <row r="1025" spans="1:3" ht="14.5">
      <c r="A1025" t="s">
        <v>8078</v>
      </c>
      <c r="B1025" s="380" t="str">
        <f t="shared" si="15"/>
        <v>220-811</v>
      </c>
      <c r="C1025" s="2030">
        <v>0</v>
      </c>
    </row>
    <row r="1026" spans="1:3" ht="14.5">
      <c r="A1026" t="s">
        <v>8079</v>
      </c>
      <c r="B1026" s="380" t="str">
        <f t="shared" ref="B1026:B1089" si="16">CONCATENATE(LEFT(RIGHT(CONCATENATE("000",A1026),6),3),"-",(RIGHT(RIGHT(CONCATENATE("000",A1026),6),3)))</f>
        <v>220-814</v>
      </c>
      <c r="C1026" s="2030">
        <v>0</v>
      </c>
    </row>
    <row r="1027" spans="1:3" ht="14.5">
      <c r="A1027" t="s">
        <v>8080</v>
      </c>
      <c r="B1027" s="380" t="str">
        <f t="shared" si="16"/>
        <v>220-815</v>
      </c>
      <c r="C1027" s="2030">
        <v>0</v>
      </c>
    </row>
    <row r="1028" spans="1:3" ht="14.5">
      <c r="A1028" t="s">
        <v>8081</v>
      </c>
      <c r="B1028" s="380" t="str">
        <f t="shared" si="16"/>
        <v>220-817</v>
      </c>
      <c r="C1028" s="2030">
        <v>0</v>
      </c>
    </row>
    <row r="1029" spans="1:3" ht="14.5">
      <c r="A1029" t="s">
        <v>8082</v>
      </c>
      <c r="B1029" s="380" t="str">
        <f t="shared" si="16"/>
        <v>220-819</v>
      </c>
      <c r="C1029" s="2030">
        <v>0</v>
      </c>
    </row>
    <row r="1030" spans="1:3" ht="14.5">
      <c r="A1030" t="s">
        <v>3206</v>
      </c>
      <c r="B1030" s="380" t="str">
        <f t="shared" si="16"/>
        <v>220-901</v>
      </c>
      <c r="C1030" s="2030">
        <v>1.04</v>
      </c>
    </row>
    <row r="1031" spans="1:3" ht="14.5">
      <c r="A1031" t="s">
        <v>3207</v>
      </c>
      <c r="B1031" s="380" t="str">
        <f t="shared" si="16"/>
        <v>220-902</v>
      </c>
      <c r="C1031" s="2030">
        <v>1.04</v>
      </c>
    </row>
    <row r="1032" spans="1:3" ht="14.5">
      <c r="A1032" t="s">
        <v>3208</v>
      </c>
      <c r="B1032" s="380" t="str">
        <f t="shared" si="16"/>
        <v>220-904</v>
      </c>
      <c r="C1032" s="2030">
        <v>1.17</v>
      </c>
    </row>
    <row r="1033" spans="1:3" ht="14.5">
      <c r="A1033" t="s">
        <v>5266</v>
      </c>
      <c r="B1033" s="380" t="str">
        <f t="shared" si="16"/>
        <v>220-905</v>
      </c>
      <c r="C1033" s="2030">
        <v>1.06</v>
      </c>
    </row>
    <row r="1034" spans="1:3" ht="14.5">
      <c r="A1034" t="s">
        <v>5267</v>
      </c>
      <c r="B1034" s="380" t="str">
        <f t="shared" si="16"/>
        <v>220-906</v>
      </c>
      <c r="C1034" s="2030">
        <v>1.04</v>
      </c>
    </row>
    <row r="1035" spans="1:3" ht="14.5">
      <c r="A1035" t="s">
        <v>3209</v>
      </c>
      <c r="B1035" s="380" t="str">
        <f t="shared" si="16"/>
        <v>220-907</v>
      </c>
      <c r="C1035" s="2030">
        <v>1.17</v>
      </c>
    </row>
    <row r="1036" spans="1:3" ht="14.5">
      <c r="A1036" t="s">
        <v>3210</v>
      </c>
      <c r="B1036" s="380" t="str">
        <f t="shared" si="16"/>
        <v>220-908</v>
      </c>
      <c r="C1036" s="2030">
        <v>1.04</v>
      </c>
    </row>
    <row r="1037" spans="1:3" ht="14.5">
      <c r="A1037" t="s">
        <v>3211</v>
      </c>
      <c r="B1037" s="380" t="str">
        <f t="shared" si="16"/>
        <v>220-910</v>
      </c>
      <c r="C1037" s="2030">
        <v>1.17</v>
      </c>
    </row>
    <row r="1038" spans="1:3" ht="14.5">
      <c r="A1038" t="s">
        <v>3212</v>
      </c>
      <c r="B1038" s="380" t="str">
        <f t="shared" si="16"/>
        <v>220-912</v>
      </c>
      <c r="C1038" s="2030">
        <v>1.17</v>
      </c>
    </row>
    <row r="1039" spans="1:3" ht="14.5">
      <c r="A1039" t="s">
        <v>3213</v>
      </c>
      <c r="B1039" s="380" t="str">
        <f t="shared" si="16"/>
        <v>220-914</v>
      </c>
      <c r="C1039" s="2030">
        <v>1.17</v>
      </c>
    </row>
    <row r="1040" spans="1:3" ht="14.5">
      <c r="A1040" t="s">
        <v>3214</v>
      </c>
      <c r="B1040" s="380" t="str">
        <f t="shared" si="16"/>
        <v>220-915</v>
      </c>
      <c r="C1040" s="2030">
        <v>1.17</v>
      </c>
    </row>
    <row r="1041" spans="1:3" ht="14.5">
      <c r="A1041" t="s">
        <v>3215</v>
      </c>
      <c r="B1041" s="380" t="str">
        <f t="shared" si="16"/>
        <v>220-916</v>
      </c>
      <c r="C1041" s="2030">
        <v>1.04</v>
      </c>
    </row>
    <row r="1042" spans="1:3" ht="14.5">
      <c r="A1042" t="s">
        <v>3216</v>
      </c>
      <c r="B1042" s="380" t="str">
        <f t="shared" si="16"/>
        <v>220-917</v>
      </c>
      <c r="C1042" s="2030">
        <v>1.17</v>
      </c>
    </row>
    <row r="1043" spans="1:3" ht="14.5">
      <c r="A1043" t="s">
        <v>3217</v>
      </c>
      <c r="B1043" s="380" t="str">
        <f t="shared" si="16"/>
        <v>220-918</v>
      </c>
      <c r="C1043" s="2030">
        <v>1.17</v>
      </c>
    </row>
    <row r="1044" spans="1:3" ht="14.5">
      <c r="A1044" t="s">
        <v>4710</v>
      </c>
      <c r="B1044" s="380" t="str">
        <f t="shared" si="16"/>
        <v>220-919</v>
      </c>
      <c r="C1044" s="2030">
        <v>1.04</v>
      </c>
    </row>
    <row r="1045" spans="1:3" ht="14.5">
      <c r="A1045" t="s">
        <v>3218</v>
      </c>
      <c r="B1045" s="380" t="str">
        <f t="shared" si="16"/>
        <v>220-920</v>
      </c>
      <c r="C1045" s="2030">
        <v>1.04</v>
      </c>
    </row>
    <row r="1046" spans="1:3" ht="14.5">
      <c r="A1046" t="s">
        <v>8083</v>
      </c>
      <c r="B1046" s="380" t="str">
        <f t="shared" si="16"/>
        <v>221-801</v>
      </c>
      <c r="C1046" s="2030">
        <v>0</v>
      </c>
    </row>
    <row r="1047" spans="1:3" ht="14.5">
      <c r="A1047" t="s">
        <v>5268</v>
      </c>
      <c r="B1047" s="380" t="str">
        <f t="shared" si="16"/>
        <v>221-901</v>
      </c>
      <c r="C1047" s="2030">
        <v>1.04</v>
      </c>
    </row>
    <row r="1048" spans="1:3" ht="14.5">
      <c r="A1048" t="s">
        <v>5269</v>
      </c>
      <c r="B1048" s="380" t="str">
        <f t="shared" si="16"/>
        <v>221-904</v>
      </c>
      <c r="C1048" s="2030">
        <v>1.04</v>
      </c>
    </row>
    <row r="1049" spans="1:3" ht="14.5">
      <c r="A1049" t="s">
        <v>5270</v>
      </c>
      <c r="B1049" s="380" t="str">
        <f t="shared" si="16"/>
        <v>221-905</v>
      </c>
      <c r="C1049" s="2030">
        <v>1.17</v>
      </c>
    </row>
    <row r="1050" spans="1:3" ht="14.5">
      <c r="A1050" t="s">
        <v>5271</v>
      </c>
      <c r="B1050" s="380" t="str">
        <f t="shared" si="16"/>
        <v>221-911</v>
      </c>
      <c r="C1050" s="2030">
        <v>1.04</v>
      </c>
    </row>
    <row r="1051" spans="1:3" ht="14.5">
      <c r="A1051" t="s">
        <v>5272</v>
      </c>
      <c r="B1051" s="380" t="str">
        <f t="shared" si="16"/>
        <v>221-912</v>
      </c>
      <c r="C1051" s="2030">
        <v>1.04</v>
      </c>
    </row>
    <row r="1052" spans="1:3" ht="14.5">
      <c r="A1052" t="s">
        <v>5273</v>
      </c>
      <c r="B1052" s="380" t="str">
        <f t="shared" si="16"/>
        <v>222-901</v>
      </c>
      <c r="C1052" s="2030">
        <v>1.04</v>
      </c>
    </row>
    <row r="1053" spans="1:3" ht="14.5">
      <c r="A1053" t="s">
        <v>5274</v>
      </c>
      <c r="B1053" s="380" t="str">
        <f t="shared" si="16"/>
        <v>223-901</v>
      </c>
      <c r="C1053" s="2030">
        <v>1.17</v>
      </c>
    </row>
    <row r="1054" spans="1:3" ht="14.5">
      <c r="A1054" t="s">
        <v>3219</v>
      </c>
      <c r="B1054" s="380" t="str">
        <f t="shared" si="16"/>
        <v>223-902</v>
      </c>
      <c r="C1054" s="2030">
        <v>1.1500000000000001</v>
      </c>
    </row>
    <row r="1055" spans="1:3" ht="14.5">
      <c r="A1055" t="s">
        <v>5275</v>
      </c>
      <c r="B1055" s="380" t="str">
        <f t="shared" si="16"/>
        <v>223-904</v>
      </c>
      <c r="C1055" s="2030">
        <v>1.0781000000000001</v>
      </c>
    </row>
    <row r="1056" spans="1:3" ht="14.5">
      <c r="A1056" t="s">
        <v>5885</v>
      </c>
      <c r="B1056" s="380" t="str">
        <f t="shared" si="16"/>
        <v>224-901</v>
      </c>
      <c r="C1056" s="2030">
        <v>1.17</v>
      </c>
    </row>
    <row r="1057" spans="1:3" ht="14.5">
      <c r="A1057" t="s">
        <v>5886</v>
      </c>
      <c r="B1057" s="380" t="str">
        <f t="shared" si="16"/>
        <v>224-902</v>
      </c>
      <c r="C1057" s="2030">
        <v>1.17</v>
      </c>
    </row>
    <row r="1058" spans="1:3" ht="14.5">
      <c r="A1058" t="s">
        <v>5276</v>
      </c>
      <c r="B1058" s="380" t="str">
        <f t="shared" si="16"/>
        <v>225-902</v>
      </c>
      <c r="C1058" s="2030">
        <v>1.04</v>
      </c>
    </row>
    <row r="1059" spans="1:3" ht="14.5">
      <c r="A1059" t="s">
        <v>3220</v>
      </c>
      <c r="B1059" s="380" t="str">
        <f t="shared" si="16"/>
        <v>225-906</v>
      </c>
      <c r="C1059" s="2030">
        <v>1.1459000000000001</v>
      </c>
    </row>
    <row r="1060" spans="1:3" ht="14.5">
      <c r="A1060" t="s">
        <v>5887</v>
      </c>
      <c r="B1060" s="380" t="str">
        <f t="shared" si="16"/>
        <v>225-907</v>
      </c>
      <c r="C1060" s="2030">
        <v>1.04</v>
      </c>
    </row>
    <row r="1061" spans="1:3" ht="14.5">
      <c r="A1061" t="s">
        <v>8084</v>
      </c>
      <c r="B1061" s="380" t="str">
        <f t="shared" si="16"/>
        <v>226-801</v>
      </c>
      <c r="C1061" s="2030">
        <v>0</v>
      </c>
    </row>
    <row r="1062" spans="1:3" ht="14.5">
      <c r="A1062" t="s">
        <v>5277</v>
      </c>
      <c r="B1062" s="380" t="str">
        <f t="shared" si="16"/>
        <v>226-901</v>
      </c>
      <c r="C1062" s="2030">
        <v>1.17</v>
      </c>
    </row>
    <row r="1063" spans="1:3" ht="14.5">
      <c r="A1063" t="s">
        <v>3221</v>
      </c>
      <c r="B1063" s="380" t="str">
        <f t="shared" si="16"/>
        <v>226-903</v>
      </c>
      <c r="C1063" s="2030">
        <v>1.04</v>
      </c>
    </row>
    <row r="1064" spans="1:3" ht="14.5">
      <c r="A1064" t="s">
        <v>5278</v>
      </c>
      <c r="B1064" s="380" t="str">
        <f t="shared" si="16"/>
        <v>226-905</v>
      </c>
      <c r="C1064" s="2030">
        <v>1.17</v>
      </c>
    </row>
    <row r="1065" spans="1:3" ht="14.5">
      <c r="A1065" t="s">
        <v>3222</v>
      </c>
      <c r="B1065" s="380" t="str">
        <f t="shared" si="16"/>
        <v>226-906</v>
      </c>
      <c r="C1065" s="2030">
        <v>1.04</v>
      </c>
    </row>
    <row r="1066" spans="1:3" ht="14.5">
      <c r="A1066" t="s">
        <v>3223</v>
      </c>
      <c r="B1066" s="380" t="str">
        <f t="shared" si="16"/>
        <v>226-907</v>
      </c>
      <c r="C1066" s="2030">
        <v>1.17</v>
      </c>
    </row>
    <row r="1067" spans="1:3" ht="14.5">
      <c r="A1067" t="s">
        <v>3224</v>
      </c>
      <c r="B1067" s="380" t="str">
        <f t="shared" si="16"/>
        <v>226-908</v>
      </c>
      <c r="C1067" s="2030">
        <v>1.17</v>
      </c>
    </row>
    <row r="1068" spans="1:3" ht="14.5">
      <c r="A1068" t="s">
        <v>8087</v>
      </c>
      <c r="B1068" s="380" t="str">
        <f t="shared" si="16"/>
        <v>227-803</v>
      </c>
      <c r="C1068" s="2030">
        <v>0</v>
      </c>
    </row>
    <row r="1069" spans="1:3" ht="14.5">
      <c r="A1069" t="s">
        <v>8088</v>
      </c>
      <c r="B1069" s="380" t="str">
        <f t="shared" si="16"/>
        <v>227-804</v>
      </c>
      <c r="C1069" s="2030">
        <v>0</v>
      </c>
    </row>
    <row r="1070" spans="1:3" ht="14.5">
      <c r="A1070" t="s">
        <v>8089</v>
      </c>
      <c r="B1070" s="380" t="str">
        <f t="shared" si="16"/>
        <v>227-805</v>
      </c>
      <c r="C1070" s="2030">
        <v>0</v>
      </c>
    </row>
    <row r="1071" spans="1:3" ht="14.5">
      <c r="A1071" t="s">
        <v>8090</v>
      </c>
      <c r="B1071" s="380" t="str">
        <f t="shared" si="16"/>
        <v>227-806</v>
      </c>
      <c r="C1071" s="2030">
        <v>0</v>
      </c>
    </row>
    <row r="1072" spans="1:3" ht="14.5">
      <c r="A1072" t="s">
        <v>8091</v>
      </c>
      <c r="B1072" s="380" t="str">
        <f t="shared" si="16"/>
        <v>227-814</v>
      </c>
      <c r="C1072" s="2030">
        <v>0</v>
      </c>
    </row>
    <row r="1073" spans="1:3" ht="14.5">
      <c r="A1073" t="s">
        <v>8092</v>
      </c>
      <c r="B1073" s="380" t="str">
        <f t="shared" si="16"/>
        <v>227-816</v>
      </c>
      <c r="C1073" s="2030">
        <v>0</v>
      </c>
    </row>
    <row r="1074" spans="1:3" ht="14.5">
      <c r="A1074" t="s">
        <v>8093</v>
      </c>
      <c r="B1074" s="380" t="str">
        <f t="shared" si="16"/>
        <v>227-817</v>
      </c>
      <c r="C1074" s="2030">
        <v>0</v>
      </c>
    </row>
    <row r="1075" spans="1:3" ht="14.5">
      <c r="A1075" t="s">
        <v>8094</v>
      </c>
      <c r="B1075" s="380" t="str">
        <f t="shared" si="16"/>
        <v>227-819</v>
      </c>
      <c r="C1075" s="2030">
        <v>0</v>
      </c>
    </row>
    <row r="1076" spans="1:3" ht="14.5">
      <c r="A1076" t="s">
        <v>8095</v>
      </c>
      <c r="B1076" s="380" t="str">
        <f t="shared" si="16"/>
        <v>227-820</v>
      </c>
      <c r="C1076" s="2030">
        <v>0</v>
      </c>
    </row>
    <row r="1077" spans="1:3" ht="14.5">
      <c r="A1077" t="s">
        <v>8096</v>
      </c>
      <c r="B1077" s="380" t="str">
        <f t="shared" si="16"/>
        <v>227-821</v>
      </c>
      <c r="C1077" s="2030">
        <v>0</v>
      </c>
    </row>
    <row r="1078" spans="1:3" ht="14.5">
      <c r="A1078" t="s">
        <v>8097</v>
      </c>
      <c r="B1078" s="380" t="str">
        <f t="shared" si="16"/>
        <v>227-824</v>
      </c>
      <c r="C1078" s="2030">
        <v>0</v>
      </c>
    </row>
    <row r="1079" spans="1:3" ht="14.5">
      <c r="A1079" t="s">
        <v>8098</v>
      </c>
      <c r="B1079" s="380" t="str">
        <f t="shared" si="16"/>
        <v>227-825</v>
      </c>
      <c r="C1079" s="2030">
        <v>0</v>
      </c>
    </row>
    <row r="1080" spans="1:3" ht="14.5">
      <c r="A1080" t="s">
        <v>8099</v>
      </c>
      <c r="B1080" s="380" t="str">
        <f t="shared" si="16"/>
        <v>227-826</v>
      </c>
      <c r="C1080" s="2030">
        <v>0</v>
      </c>
    </row>
    <row r="1081" spans="1:3" ht="14.5">
      <c r="A1081" t="s">
        <v>8100</v>
      </c>
      <c r="B1081" s="380" t="str">
        <f t="shared" si="16"/>
        <v>227-827</v>
      </c>
      <c r="C1081" s="2030">
        <v>0</v>
      </c>
    </row>
    <row r="1082" spans="1:3" ht="14.5">
      <c r="A1082" t="s">
        <v>8101</v>
      </c>
      <c r="B1082" s="380" t="str">
        <f t="shared" si="16"/>
        <v>227-828</v>
      </c>
      <c r="C1082" s="2030">
        <v>0</v>
      </c>
    </row>
    <row r="1083" spans="1:3" ht="14.5">
      <c r="A1083" t="s">
        <v>8102</v>
      </c>
      <c r="B1083" s="380" t="str">
        <f t="shared" si="16"/>
        <v>227-829</v>
      </c>
      <c r="C1083" s="2030">
        <v>0</v>
      </c>
    </row>
    <row r="1084" spans="1:3" ht="14.5">
      <c r="A1084" t="s">
        <v>5279</v>
      </c>
      <c r="B1084" s="380" t="str">
        <f t="shared" si="16"/>
        <v>227-901</v>
      </c>
      <c r="C1084" s="2030">
        <v>1.079</v>
      </c>
    </row>
    <row r="1085" spans="1:3" ht="14.5">
      <c r="A1085" t="s">
        <v>3225</v>
      </c>
      <c r="B1085" s="380" t="str">
        <f t="shared" si="16"/>
        <v>227-904</v>
      </c>
      <c r="C1085" s="2030">
        <v>1.06</v>
      </c>
    </row>
    <row r="1086" spans="1:3" ht="14.5">
      <c r="A1086" t="s">
        <v>5280</v>
      </c>
      <c r="B1086" s="380" t="str">
        <f t="shared" si="16"/>
        <v>227-907</v>
      </c>
      <c r="C1086" s="2030">
        <v>1.04</v>
      </c>
    </row>
    <row r="1087" spans="1:3" ht="14.5">
      <c r="A1087" t="s">
        <v>5281</v>
      </c>
      <c r="B1087" s="380" t="str">
        <f t="shared" si="16"/>
        <v>227-909</v>
      </c>
      <c r="C1087" s="2030">
        <v>1.06</v>
      </c>
    </row>
    <row r="1088" spans="1:3" ht="14.5">
      <c r="A1088" t="s">
        <v>3226</v>
      </c>
      <c r="B1088" s="380" t="str">
        <f t="shared" si="16"/>
        <v>227-910</v>
      </c>
      <c r="C1088" s="2030">
        <v>1.04</v>
      </c>
    </row>
    <row r="1089" spans="1:3" ht="14.5">
      <c r="A1089" t="s">
        <v>5282</v>
      </c>
      <c r="B1089" s="380" t="str">
        <f t="shared" si="16"/>
        <v>227-912</v>
      </c>
      <c r="C1089" s="2030">
        <v>1.06</v>
      </c>
    </row>
    <row r="1090" spans="1:3" ht="14.5">
      <c r="A1090" t="s">
        <v>5283</v>
      </c>
      <c r="B1090" s="380" t="str">
        <f t="shared" ref="B1090:B1153" si="17">CONCATENATE(LEFT(RIGHT(CONCATENATE("000",A1090),6),3),"-",(RIGHT(RIGHT(CONCATENATE("000",A1090),6),3)))</f>
        <v>227-913</v>
      </c>
      <c r="C1090" s="2030">
        <v>1.06</v>
      </c>
    </row>
    <row r="1091" spans="1:3" ht="14.5">
      <c r="A1091" t="s">
        <v>5888</v>
      </c>
      <c r="B1091" s="380" t="str">
        <f t="shared" si="17"/>
        <v>228-901</v>
      </c>
      <c r="C1091" s="2030">
        <v>1.04</v>
      </c>
    </row>
    <row r="1092" spans="1:3" ht="14.5">
      <c r="A1092" t="s">
        <v>5284</v>
      </c>
      <c r="B1092" s="380" t="str">
        <f t="shared" si="17"/>
        <v>228-903</v>
      </c>
      <c r="C1092" s="2030">
        <v>1.17</v>
      </c>
    </row>
    <row r="1093" spans="1:3" ht="14.5">
      <c r="A1093" t="s">
        <v>5889</v>
      </c>
      <c r="B1093" s="380" t="str">
        <f t="shared" si="17"/>
        <v>228-904</v>
      </c>
      <c r="C1093" s="2030">
        <v>1.17</v>
      </c>
    </row>
    <row r="1094" spans="1:3" ht="14.5">
      <c r="A1094" t="s">
        <v>5890</v>
      </c>
      <c r="B1094" s="380" t="str">
        <f t="shared" si="17"/>
        <v>228-905</v>
      </c>
      <c r="C1094" s="2030">
        <v>1.04</v>
      </c>
    </row>
    <row r="1095" spans="1:3" ht="14.5">
      <c r="A1095" t="s">
        <v>4736</v>
      </c>
      <c r="B1095" s="380" t="str">
        <f t="shared" si="17"/>
        <v>229-901</v>
      </c>
      <c r="C1095" s="2030">
        <v>1.1200000000000001</v>
      </c>
    </row>
    <row r="1096" spans="1:3" ht="14.5">
      <c r="A1096" t="s">
        <v>5285</v>
      </c>
      <c r="B1096" s="380" t="str">
        <f t="shared" si="17"/>
        <v>229-903</v>
      </c>
      <c r="C1096" s="2030">
        <v>1.155</v>
      </c>
    </row>
    <row r="1097" spans="1:3" ht="14.5">
      <c r="A1097" t="s">
        <v>3227</v>
      </c>
      <c r="B1097" s="380" t="str">
        <f t="shared" si="17"/>
        <v>229-904</v>
      </c>
      <c r="C1097" s="2030">
        <v>1.17</v>
      </c>
    </row>
    <row r="1098" spans="1:3" ht="14.5">
      <c r="A1098" t="s">
        <v>3228</v>
      </c>
      <c r="B1098" s="380" t="str">
        <f t="shared" si="17"/>
        <v>229-905</v>
      </c>
      <c r="C1098" s="2030">
        <v>1.17</v>
      </c>
    </row>
    <row r="1099" spans="1:3" ht="14.5">
      <c r="A1099" t="s">
        <v>3229</v>
      </c>
      <c r="B1099" s="380" t="str">
        <f t="shared" si="17"/>
        <v>229-906</v>
      </c>
      <c r="C1099" s="2030">
        <v>1.17</v>
      </c>
    </row>
    <row r="1100" spans="1:3" ht="14.5">
      <c r="A1100" t="s">
        <v>5286</v>
      </c>
      <c r="B1100" s="380" t="str">
        <f t="shared" si="17"/>
        <v>230-901</v>
      </c>
      <c r="C1100" s="2030">
        <v>1.04</v>
      </c>
    </row>
    <row r="1101" spans="1:3" ht="14.5">
      <c r="A1101" t="s">
        <v>5287</v>
      </c>
      <c r="B1101" s="380" t="str">
        <f t="shared" si="17"/>
        <v>230-902</v>
      </c>
      <c r="C1101" s="2030">
        <v>1.17</v>
      </c>
    </row>
    <row r="1102" spans="1:3" ht="14.5">
      <c r="A1102" t="s">
        <v>3230</v>
      </c>
      <c r="B1102" s="380" t="str">
        <f t="shared" si="17"/>
        <v>230-903</v>
      </c>
      <c r="C1102" s="2030">
        <v>1.17</v>
      </c>
    </row>
    <row r="1103" spans="1:3" ht="14.5">
      <c r="A1103" t="s">
        <v>5891</v>
      </c>
      <c r="B1103" s="380" t="str">
        <f t="shared" si="17"/>
        <v>230-904</v>
      </c>
      <c r="C1103" s="2030">
        <v>1.17</v>
      </c>
    </row>
    <row r="1104" spans="1:3" ht="14.5">
      <c r="A1104" t="s">
        <v>3231</v>
      </c>
      <c r="B1104" s="380" t="str">
        <f t="shared" si="17"/>
        <v>230-905</v>
      </c>
      <c r="C1104" s="2030">
        <v>1.17</v>
      </c>
    </row>
    <row r="1105" spans="1:3" ht="14.5">
      <c r="A1105" t="s">
        <v>3232</v>
      </c>
      <c r="B1105" s="380" t="str">
        <f t="shared" si="17"/>
        <v>230-906</v>
      </c>
      <c r="C1105" s="2030">
        <v>1.1100000000000001</v>
      </c>
    </row>
    <row r="1106" spans="1:3" ht="14.5">
      <c r="A1106" t="s">
        <v>5288</v>
      </c>
      <c r="B1106" s="380" t="str">
        <f t="shared" si="17"/>
        <v>230-908</v>
      </c>
      <c r="C1106" s="2030">
        <v>1.17</v>
      </c>
    </row>
    <row r="1107" spans="1:3" ht="14.5">
      <c r="A1107" t="s">
        <v>5892</v>
      </c>
      <c r="B1107" s="380" t="str">
        <f t="shared" si="17"/>
        <v>231-901</v>
      </c>
      <c r="C1107" s="2030">
        <v>1.04</v>
      </c>
    </row>
    <row r="1108" spans="1:3" ht="14.5">
      <c r="A1108" t="s">
        <v>5289</v>
      </c>
      <c r="B1108" s="380" t="str">
        <f t="shared" si="17"/>
        <v>231-902</v>
      </c>
      <c r="C1108" s="2030">
        <v>1.0363</v>
      </c>
    </row>
    <row r="1109" spans="1:3" ht="14.5">
      <c r="A1109" t="s">
        <v>3233</v>
      </c>
      <c r="B1109" s="380" t="str">
        <f t="shared" si="17"/>
        <v>232-901</v>
      </c>
      <c r="C1109" s="2030">
        <v>1.17</v>
      </c>
    </row>
    <row r="1110" spans="1:3" ht="14.5">
      <c r="A1110" t="s">
        <v>3234</v>
      </c>
      <c r="B1110" s="380" t="str">
        <f t="shared" si="17"/>
        <v>232-902</v>
      </c>
      <c r="C1110" s="2030">
        <v>1.04</v>
      </c>
    </row>
    <row r="1111" spans="1:3" ht="14.5">
      <c r="A1111" t="s">
        <v>3235</v>
      </c>
      <c r="B1111" s="380" t="str">
        <f t="shared" si="17"/>
        <v>232-903</v>
      </c>
      <c r="C1111" s="2030">
        <v>1.0823</v>
      </c>
    </row>
    <row r="1112" spans="1:3" ht="14.5">
      <c r="A1112" t="s">
        <v>5893</v>
      </c>
      <c r="B1112" s="380" t="str">
        <f t="shared" si="17"/>
        <v>232-904</v>
      </c>
      <c r="C1112" s="2030">
        <v>1.04</v>
      </c>
    </row>
    <row r="1113" spans="1:3" ht="14.5">
      <c r="A1113" t="s">
        <v>3236</v>
      </c>
      <c r="B1113" s="380" t="str">
        <f t="shared" si="17"/>
        <v>233-901</v>
      </c>
      <c r="C1113" s="2030">
        <v>1.1598000000000002</v>
      </c>
    </row>
    <row r="1114" spans="1:3" ht="14.5">
      <c r="A1114" t="s">
        <v>5290</v>
      </c>
      <c r="B1114" s="380" t="str">
        <f t="shared" si="17"/>
        <v>233-903</v>
      </c>
      <c r="C1114" s="2030">
        <v>1.165</v>
      </c>
    </row>
    <row r="1115" spans="1:3" ht="14.5">
      <c r="A1115" t="s">
        <v>8107</v>
      </c>
      <c r="B1115" s="380" t="str">
        <f t="shared" si="17"/>
        <v>234-801</v>
      </c>
      <c r="C1115" s="2030">
        <v>0</v>
      </c>
    </row>
    <row r="1116" spans="1:3" ht="14.5">
      <c r="A1116" t="s">
        <v>3237</v>
      </c>
      <c r="B1116" s="380" t="str">
        <f t="shared" si="17"/>
        <v>234-902</v>
      </c>
      <c r="C1116" s="2030">
        <v>1.04</v>
      </c>
    </row>
    <row r="1117" spans="1:3" ht="14.5">
      <c r="A1117" t="s">
        <v>5291</v>
      </c>
      <c r="B1117" s="380" t="str">
        <f t="shared" si="17"/>
        <v>234-903</v>
      </c>
      <c r="C1117" s="2030">
        <v>1.17</v>
      </c>
    </row>
    <row r="1118" spans="1:3" ht="14.5">
      <c r="A1118" t="s">
        <v>3238</v>
      </c>
      <c r="B1118" s="380" t="str">
        <f t="shared" si="17"/>
        <v>234-904</v>
      </c>
      <c r="C1118" s="2030">
        <v>1.17</v>
      </c>
    </row>
    <row r="1119" spans="1:3" ht="14.5">
      <c r="A1119" t="s">
        <v>3239</v>
      </c>
      <c r="B1119" s="380" t="str">
        <f t="shared" si="17"/>
        <v>234-905</v>
      </c>
      <c r="C1119" s="2030">
        <v>1.04</v>
      </c>
    </row>
    <row r="1120" spans="1:3" ht="14.5">
      <c r="A1120" t="s">
        <v>3240</v>
      </c>
      <c r="B1120" s="380" t="str">
        <f t="shared" si="17"/>
        <v>234-906</v>
      </c>
      <c r="C1120" s="2030">
        <v>1.17</v>
      </c>
    </row>
    <row r="1121" spans="1:3" ht="14.5">
      <c r="A1121" t="s">
        <v>5292</v>
      </c>
      <c r="B1121" s="380" t="str">
        <f t="shared" si="17"/>
        <v>234-907</v>
      </c>
      <c r="C1121" s="2030">
        <v>1.1371</v>
      </c>
    </row>
    <row r="1122" spans="1:3" ht="14.5">
      <c r="A1122" t="s">
        <v>3241</v>
      </c>
      <c r="B1122" s="380" t="str">
        <f t="shared" si="17"/>
        <v>234-909</v>
      </c>
      <c r="C1122" s="2030">
        <v>1.17</v>
      </c>
    </row>
    <row r="1123" spans="1:3" ht="14.5">
      <c r="A1123" t="s">
        <v>3242</v>
      </c>
      <c r="B1123" s="380" t="str">
        <f t="shared" si="17"/>
        <v>235-901</v>
      </c>
      <c r="C1123" s="2030">
        <v>1.04</v>
      </c>
    </row>
    <row r="1124" spans="1:3" ht="14.5">
      <c r="A1124" t="s">
        <v>3243</v>
      </c>
      <c r="B1124" s="380" t="str">
        <f t="shared" si="17"/>
        <v>235-902</v>
      </c>
      <c r="C1124" s="2030">
        <v>1.1500000000000001</v>
      </c>
    </row>
    <row r="1125" spans="1:3" ht="14.5">
      <c r="A1125" t="s">
        <v>5293</v>
      </c>
      <c r="B1125" s="380" t="str">
        <f t="shared" si="17"/>
        <v>235-904</v>
      </c>
      <c r="C1125" s="2030">
        <v>1.01</v>
      </c>
    </row>
    <row r="1126" spans="1:3" ht="14.5">
      <c r="A1126" t="s">
        <v>8108</v>
      </c>
      <c r="B1126" s="380" t="str">
        <f t="shared" si="17"/>
        <v>236-801</v>
      </c>
      <c r="C1126" s="2030">
        <v>0</v>
      </c>
    </row>
    <row r="1127" spans="1:3" ht="14.5">
      <c r="A1127" t="s">
        <v>8109</v>
      </c>
      <c r="B1127" s="380" t="str">
        <f t="shared" si="17"/>
        <v>236-802</v>
      </c>
      <c r="C1127" s="2030">
        <v>0</v>
      </c>
    </row>
    <row r="1128" spans="1:3" ht="14.5">
      <c r="A1128" t="s">
        <v>3244</v>
      </c>
      <c r="B1128" s="380" t="str">
        <f t="shared" si="17"/>
        <v>236-901</v>
      </c>
      <c r="C1128" s="2030">
        <v>1.17</v>
      </c>
    </row>
    <row r="1129" spans="1:3" ht="14.5">
      <c r="A1129" t="s">
        <v>3245</v>
      </c>
      <c r="B1129" s="380" t="str">
        <f t="shared" si="17"/>
        <v>236-902</v>
      </c>
      <c r="C1129" s="2030">
        <v>1.1000000000000003</v>
      </c>
    </row>
    <row r="1130" spans="1:3" ht="14.5">
      <c r="A1130" t="s">
        <v>3246</v>
      </c>
      <c r="B1130" s="380" t="str">
        <f t="shared" si="17"/>
        <v>237-902</v>
      </c>
      <c r="C1130" s="2030">
        <v>1.17</v>
      </c>
    </row>
    <row r="1131" spans="1:3" ht="14.5">
      <c r="A1131" t="s">
        <v>3247</v>
      </c>
      <c r="B1131" s="380" t="str">
        <f t="shared" si="17"/>
        <v>237-904</v>
      </c>
      <c r="C1131" s="2030">
        <v>1.04</v>
      </c>
    </row>
    <row r="1132" spans="1:3" ht="14.5">
      <c r="A1132" t="s">
        <v>3248</v>
      </c>
      <c r="B1132" s="380" t="str">
        <f t="shared" si="17"/>
        <v>237-905</v>
      </c>
      <c r="C1132" s="2030">
        <v>1.17</v>
      </c>
    </row>
    <row r="1133" spans="1:3" ht="14.5">
      <c r="A1133" t="s">
        <v>5294</v>
      </c>
      <c r="B1133" s="380" t="str">
        <f t="shared" si="17"/>
        <v>238-902</v>
      </c>
      <c r="C1133" s="2030">
        <v>0.97330000000000005</v>
      </c>
    </row>
    <row r="1134" spans="1:3" ht="14.5">
      <c r="A1134" t="s">
        <v>5894</v>
      </c>
      <c r="B1134" s="380" t="str">
        <f t="shared" si="17"/>
        <v>238-904</v>
      </c>
      <c r="C1134" s="2030">
        <v>1.04</v>
      </c>
    </row>
    <row r="1135" spans="1:3" ht="14.5">
      <c r="A1135" t="s">
        <v>5295</v>
      </c>
      <c r="B1135" s="380" t="str">
        <f t="shared" si="17"/>
        <v>239-901</v>
      </c>
      <c r="C1135" s="2030">
        <v>1.04</v>
      </c>
    </row>
    <row r="1136" spans="1:3" ht="14.5">
      <c r="A1136" t="s">
        <v>5296</v>
      </c>
      <c r="B1136" s="380" t="str">
        <f t="shared" si="17"/>
        <v>239-903</v>
      </c>
      <c r="C1136" s="2030">
        <v>1.04</v>
      </c>
    </row>
    <row r="1137" spans="1:3" ht="14.5">
      <c r="A1137" t="s">
        <v>8114</v>
      </c>
      <c r="B1137" s="380" t="str">
        <f t="shared" si="17"/>
        <v>240-801</v>
      </c>
      <c r="C1137" s="2030">
        <v>0</v>
      </c>
    </row>
    <row r="1138" spans="1:3" ht="14.5">
      <c r="A1138" t="s">
        <v>3249</v>
      </c>
      <c r="B1138" s="380" t="str">
        <f t="shared" si="17"/>
        <v>240-901</v>
      </c>
      <c r="C1138" s="2030">
        <v>1.04</v>
      </c>
    </row>
    <row r="1139" spans="1:3" ht="14.5">
      <c r="A1139" t="s">
        <v>3250</v>
      </c>
      <c r="B1139" s="380" t="str">
        <f t="shared" si="17"/>
        <v>240-903</v>
      </c>
      <c r="C1139" s="2030">
        <v>1.04</v>
      </c>
    </row>
    <row r="1140" spans="1:3" ht="14.5">
      <c r="A1140" t="s">
        <v>5297</v>
      </c>
      <c r="B1140" s="380" t="str">
        <f t="shared" si="17"/>
        <v>240-904</v>
      </c>
      <c r="C1140" s="2030">
        <v>1</v>
      </c>
    </row>
    <row r="1141" spans="1:3" ht="14.5">
      <c r="A1141" t="s">
        <v>5895</v>
      </c>
      <c r="B1141" s="380" t="str">
        <f t="shared" si="17"/>
        <v>241-901</v>
      </c>
      <c r="C1141" s="2030">
        <v>1.04</v>
      </c>
    </row>
    <row r="1142" spans="1:3" ht="14.5">
      <c r="A1142" t="s">
        <v>5298</v>
      </c>
      <c r="B1142" s="380" t="str">
        <f t="shared" si="17"/>
        <v>241-902</v>
      </c>
      <c r="C1142" s="2030">
        <v>1.17</v>
      </c>
    </row>
    <row r="1143" spans="1:3" ht="14.5">
      <c r="A1143" t="s">
        <v>5299</v>
      </c>
      <c r="B1143" s="380" t="str">
        <f t="shared" si="17"/>
        <v>241-903</v>
      </c>
      <c r="C1143" s="2030">
        <v>1.17</v>
      </c>
    </row>
    <row r="1144" spans="1:3" ht="14.5">
      <c r="A1144" t="s">
        <v>5300</v>
      </c>
      <c r="B1144" s="380" t="str">
        <f t="shared" si="17"/>
        <v>241-904</v>
      </c>
      <c r="C1144" s="2030">
        <v>1.0900000000000001</v>
      </c>
    </row>
    <row r="1145" spans="1:3" ht="14.5">
      <c r="A1145" t="s">
        <v>5301</v>
      </c>
      <c r="B1145" s="380" t="str">
        <f t="shared" si="17"/>
        <v>241-906</v>
      </c>
      <c r="C1145" s="2030">
        <v>1.17</v>
      </c>
    </row>
    <row r="1146" spans="1:3" ht="14.5">
      <c r="A1146" t="s">
        <v>5896</v>
      </c>
      <c r="B1146" s="380" t="str">
        <f t="shared" si="17"/>
        <v>242-902</v>
      </c>
      <c r="C1146" s="2030">
        <v>1.04</v>
      </c>
    </row>
    <row r="1147" spans="1:3" ht="14.5">
      <c r="A1147" t="s">
        <v>5302</v>
      </c>
      <c r="B1147" s="380" t="str">
        <f t="shared" si="17"/>
        <v>242-903</v>
      </c>
      <c r="C1147" s="2030">
        <v>1.04</v>
      </c>
    </row>
    <row r="1148" spans="1:3" ht="14.5">
      <c r="A1148" t="s">
        <v>5897</v>
      </c>
      <c r="B1148" s="380" t="str">
        <f t="shared" si="17"/>
        <v>242-905</v>
      </c>
      <c r="C1148" s="2030">
        <v>0.70660000000000001</v>
      </c>
    </row>
    <row r="1149" spans="1:3" ht="14.5">
      <c r="A1149" t="s">
        <v>5303</v>
      </c>
      <c r="B1149" s="380" t="str">
        <f t="shared" si="17"/>
        <v>242-906</v>
      </c>
      <c r="C1149" s="2030">
        <v>1.04</v>
      </c>
    </row>
    <row r="1150" spans="1:3" ht="14.5">
      <c r="A1150" t="s">
        <v>3251</v>
      </c>
      <c r="B1150" s="380" t="str">
        <f t="shared" si="17"/>
        <v>243-901</v>
      </c>
      <c r="C1150" s="2030">
        <v>1.17</v>
      </c>
    </row>
    <row r="1151" spans="1:3" ht="14.5">
      <c r="A1151" t="s">
        <v>5304</v>
      </c>
      <c r="B1151" s="380" t="str">
        <f t="shared" si="17"/>
        <v>243-902</v>
      </c>
      <c r="C1151" s="2030">
        <v>1.17</v>
      </c>
    </row>
    <row r="1152" spans="1:3" ht="14.5">
      <c r="A1152" t="s">
        <v>5305</v>
      </c>
      <c r="B1152" s="380" t="str">
        <f t="shared" si="17"/>
        <v>243-903</v>
      </c>
      <c r="C1152" s="2030">
        <v>1.17</v>
      </c>
    </row>
    <row r="1153" spans="1:3" ht="14.5">
      <c r="A1153" t="s">
        <v>3252</v>
      </c>
      <c r="B1153" s="380" t="str">
        <f t="shared" si="17"/>
        <v>243-905</v>
      </c>
      <c r="C1153" s="2030">
        <v>1.04</v>
      </c>
    </row>
    <row r="1154" spans="1:3" ht="14.5">
      <c r="A1154" t="s">
        <v>3253</v>
      </c>
      <c r="B1154" s="380" t="str">
        <f t="shared" ref="B1154:B1201" si="18">CONCATENATE(LEFT(RIGHT(CONCATENATE("000",A1154),6),3),"-",(RIGHT(RIGHT(CONCATENATE("000",A1154),6),3)))</f>
        <v>243-906</v>
      </c>
      <c r="C1154" s="2030">
        <v>1.17</v>
      </c>
    </row>
    <row r="1155" spans="1:3" ht="14.5">
      <c r="A1155" t="s">
        <v>5898</v>
      </c>
      <c r="B1155" s="380" t="str">
        <f t="shared" si="18"/>
        <v>244-901</v>
      </c>
      <c r="C1155" s="2030">
        <v>1.17</v>
      </c>
    </row>
    <row r="1156" spans="1:3" ht="14.5">
      <c r="A1156" t="s">
        <v>5306</v>
      </c>
      <c r="B1156" s="380" t="str">
        <f t="shared" si="18"/>
        <v>244-903</v>
      </c>
      <c r="C1156" s="2030">
        <v>1.04</v>
      </c>
    </row>
    <row r="1157" spans="1:3" ht="14.5">
      <c r="A1157" t="s">
        <v>3254</v>
      </c>
      <c r="B1157" s="380" t="str">
        <f t="shared" si="18"/>
        <v>244-905</v>
      </c>
      <c r="C1157" s="2030">
        <v>1.1422000000000001</v>
      </c>
    </row>
    <row r="1158" spans="1:3" ht="14.5">
      <c r="A1158" t="s">
        <v>3255</v>
      </c>
      <c r="B1158" s="380" t="str">
        <f t="shared" si="18"/>
        <v>245-901</v>
      </c>
      <c r="C1158" s="2030">
        <v>1.17</v>
      </c>
    </row>
    <row r="1159" spans="1:3" ht="14.5">
      <c r="A1159" t="s">
        <v>3256</v>
      </c>
      <c r="B1159" s="380" t="str">
        <f t="shared" si="18"/>
        <v>245-902</v>
      </c>
      <c r="C1159" s="2030">
        <v>1.17</v>
      </c>
    </row>
    <row r="1160" spans="1:3" ht="14.5">
      <c r="A1160" t="s">
        <v>3257</v>
      </c>
      <c r="B1160" s="380" t="str">
        <f t="shared" si="18"/>
        <v>245-903</v>
      </c>
      <c r="C1160" s="2030">
        <v>1.17</v>
      </c>
    </row>
    <row r="1161" spans="1:3" ht="14.5">
      <c r="A1161" t="s">
        <v>3258</v>
      </c>
      <c r="B1161" s="380" t="str">
        <f t="shared" si="18"/>
        <v>245-904</v>
      </c>
      <c r="C1161" s="2030">
        <v>1.0900000000000001</v>
      </c>
    </row>
    <row r="1162" spans="1:3" ht="14.5">
      <c r="A1162" t="s">
        <v>8115</v>
      </c>
      <c r="B1162" s="380" t="str">
        <f t="shared" si="18"/>
        <v>246-801</v>
      </c>
      <c r="C1162" s="2030">
        <v>0</v>
      </c>
    </row>
    <row r="1163" spans="1:3" ht="14.5">
      <c r="A1163" t="s">
        <v>8116</v>
      </c>
      <c r="B1163" s="380" t="str">
        <f t="shared" si="18"/>
        <v>246-802</v>
      </c>
      <c r="C1163" s="2030">
        <v>0</v>
      </c>
    </row>
    <row r="1164" spans="1:3" ht="14.5">
      <c r="A1164" t="s">
        <v>3259</v>
      </c>
      <c r="B1164" s="380" t="str">
        <f t="shared" si="18"/>
        <v>246-902</v>
      </c>
      <c r="C1164" s="2030">
        <v>1.17</v>
      </c>
    </row>
    <row r="1165" spans="1:3" ht="14.5">
      <c r="A1165" t="s">
        <v>3260</v>
      </c>
      <c r="B1165" s="380" t="str">
        <f t="shared" si="18"/>
        <v>246-904</v>
      </c>
      <c r="C1165" s="2030">
        <v>1.08</v>
      </c>
    </row>
    <row r="1166" spans="1:3" ht="14.5">
      <c r="A1166" t="s">
        <v>3261</v>
      </c>
      <c r="B1166" s="380" t="str">
        <f t="shared" si="18"/>
        <v>246-905</v>
      </c>
      <c r="C1166" s="2030">
        <v>1.105</v>
      </c>
    </row>
    <row r="1167" spans="1:3" ht="14.5">
      <c r="A1167" t="s">
        <v>3262</v>
      </c>
      <c r="B1167" s="380" t="str">
        <f t="shared" si="18"/>
        <v>246-906</v>
      </c>
      <c r="C1167" s="2030">
        <v>1.17</v>
      </c>
    </row>
    <row r="1168" spans="1:3" ht="14.5">
      <c r="A1168" t="s">
        <v>5307</v>
      </c>
      <c r="B1168" s="380" t="str">
        <f t="shared" si="18"/>
        <v>246-907</v>
      </c>
      <c r="C1168" s="2030">
        <v>1.04</v>
      </c>
    </row>
    <row r="1169" spans="1:3" ht="14.5">
      <c r="A1169" t="s">
        <v>3263</v>
      </c>
      <c r="B1169" s="380" t="str">
        <f t="shared" si="18"/>
        <v>246-908</v>
      </c>
      <c r="C1169" s="2030">
        <v>1.04</v>
      </c>
    </row>
    <row r="1170" spans="1:3" ht="14.5">
      <c r="A1170" t="s">
        <v>4857</v>
      </c>
      <c r="B1170" s="380" t="str">
        <f t="shared" si="18"/>
        <v>246-909</v>
      </c>
      <c r="C1170" s="2030">
        <v>1.04</v>
      </c>
    </row>
    <row r="1171" spans="1:3" ht="14.5">
      <c r="A1171" t="s">
        <v>3264</v>
      </c>
      <c r="B1171" s="380" t="str">
        <f t="shared" si="18"/>
        <v>246-911</v>
      </c>
      <c r="C1171" s="2030">
        <v>1.17</v>
      </c>
    </row>
    <row r="1172" spans="1:3" ht="14.5">
      <c r="A1172" t="s">
        <v>3265</v>
      </c>
      <c r="B1172" s="380" t="str">
        <f t="shared" si="18"/>
        <v>246-912</v>
      </c>
      <c r="C1172" s="2030">
        <v>1.17</v>
      </c>
    </row>
    <row r="1173" spans="1:3" ht="14.5">
      <c r="A1173" t="s">
        <v>3266</v>
      </c>
      <c r="B1173" s="380" t="str">
        <f t="shared" si="18"/>
        <v>246-913</v>
      </c>
      <c r="C1173" s="2030">
        <v>1.04</v>
      </c>
    </row>
    <row r="1174" spans="1:3" ht="14.5">
      <c r="A1174" t="s">
        <v>5899</v>
      </c>
      <c r="B1174" s="380" t="str">
        <f t="shared" si="18"/>
        <v>246-914</v>
      </c>
      <c r="C1174" s="2030">
        <v>1.0401</v>
      </c>
    </row>
    <row r="1175" spans="1:3" ht="14.5">
      <c r="A1175" t="s">
        <v>3267</v>
      </c>
      <c r="B1175" s="380" t="str">
        <f t="shared" si="18"/>
        <v>247-901</v>
      </c>
      <c r="C1175" s="2030">
        <v>1.04</v>
      </c>
    </row>
    <row r="1176" spans="1:3" ht="14.5">
      <c r="A1176" t="s">
        <v>3268</v>
      </c>
      <c r="B1176" s="380" t="str">
        <f t="shared" si="18"/>
        <v>247-903</v>
      </c>
      <c r="C1176" s="2030">
        <v>1.04</v>
      </c>
    </row>
    <row r="1177" spans="1:3" ht="14.5">
      <c r="A1177" t="s">
        <v>3269</v>
      </c>
      <c r="B1177" s="380" t="str">
        <f t="shared" si="18"/>
        <v>247-904</v>
      </c>
      <c r="C1177" s="2030">
        <v>1.04</v>
      </c>
    </row>
    <row r="1178" spans="1:3" ht="14.5">
      <c r="A1178" t="s">
        <v>3270</v>
      </c>
      <c r="B1178" s="380" t="str">
        <f t="shared" si="18"/>
        <v>247-906</v>
      </c>
      <c r="C1178" s="2030">
        <v>1.04</v>
      </c>
    </row>
    <row r="1179" spans="1:3" ht="14.5">
      <c r="A1179" t="s">
        <v>5308</v>
      </c>
      <c r="B1179" s="380" t="str">
        <f t="shared" si="18"/>
        <v>248-901</v>
      </c>
      <c r="C1179" s="2030">
        <v>1.0927</v>
      </c>
    </row>
    <row r="1180" spans="1:3" ht="14.5">
      <c r="A1180" t="s">
        <v>5309</v>
      </c>
      <c r="B1180" s="380" t="str">
        <f t="shared" si="18"/>
        <v>248-902</v>
      </c>
      <c r="C1180" s="2030">
        <v>1.04</v>
      </c>
    </row>
    <row r="1181" spans="1:3" ht="14.5">
      <c r="A1181" t="s">
        <v>3271</v>
      </c>
      <c r="B1181" s="380" t="str">
        <f t="shared" si="18"/>
        <v>249-901</v>
      </c>
      <c r="C1181" s="2030">
        <v>1.17</v>
      </c>
    </row>
    <row r="1182" spans="1:3" ht="14.5">
      <c r="A1182" t="s">
        <v>5310</v>
      </c>
      <c r="B1182" s="380" t="str">
        <f t="shared" si="18"/>
        <v>249-902</v>
      </c>
      <c r="C1182" s="2030">
        <v>1.04</v>
      </c>
    </row>
    <row r="1183" spans="1:3" ht="14.5">
      <c r="A1183" t="s">
        <v>5311</v>
      </c>
      <c r="B1183" s="380" t="str">
        <f t="shared" si="18"/>
        <v>249-903</v>
      </c>
      <c r="C1183" s="2030">
        <v>1.04</v>
      </c>
    </row>
    <row r="1184" spans="1:3" ht="14.5">
      <c r="A1184" t="s">
        <v>5312</v>
      </c>
      <c r="B1184" s="380" t="str">
        <f t="shared" si="18"/>
        <v>249-904</v>
      </c>
      <c r="C1184" s="2030">
        <v>1.04</v>
      </c>
    </row>
    <row r="1185" spans="1:3" ht="14.5">
      <c r="A1185" t="s">
        <v>5313</v>
      </c>
      <c r="B1185" s="380" t="str">
        <f t="shared" si="18"/>
        <v>249-905</v>
      </c>
      <c r="C1185" s="2030">
        <v>1.04</v>
      </c>
    </row>
    <row r="1186" spans="1:3" ht="14.5">
      <c r="A1186" t="s">
        <v>3272</v>
      </c>
      <c r="B1186" s="380" t="str">
        <f t="shared" si="18"/>
        <v>249-906</v>
      </c>
      <c r="C1186" s="2030">
        <v>1.04</v>
      </c>
    </row>
    <row r="1187" spans="1:3" ht="14.5">
      <c r="A1187" t="s">
        <v>3273</v>
      </c>
      <c r="B1187" s="380" t="str">
        <f t="shared" si="18"/>
        <v>249-908</v>
      </c>
      <c r="C1187" s="2030">
        <v>1.06</v>
      </c>
    </row>
    <row r="1188" spans="1:3" ht="14.5">
      <c r="A1188" t="s">
        <v>5314</v>
      </c>
      <c r="B1188" s="380" t="str">
        <f t="shared" si="18"/>
        <v>250-902</v>
      </c>
      <c r="C1188" s="2030">
        <v>1.04</v>
      </c>
    </row>
    <row r="1189" spans="1:3" ht="14.5">
      <c r="A1189" t="s">
        <v>5900</v>
      </c>
      <c r="B1189" s="380" t="str">
        <f t="shared" si="18"/>
        <v>250-903</v>
      </c>
      <c r="C1189" s="2030">
        <v>1.17</v>
      </c>
    </row>
    <row r="1190" spans="1:3" ht="14.5">
      <c r="A1190" t="s">
        <v>5315</v>
      </c>
      <c r="B1190" s="380" t="str">
        <f t="shared" si="18"/>
        <v>250-904</v>
      </c>
      <c r="C1190" s="2030">
        <v>1.17</v>
      </c>
    </row>
    <row r="1191" spans="1:3" ht="14.5">
      <c r="A1191" t="s">
        <v>5316</v>
      </c>
      <c r="B1191" s="380" t="str">
        <f t="shared" si="18"/>
        <v>250-905</v>
      </c>
      <c r="C1191" s="2030">
        <v>1.04</v>
      </c>
    </row>
    <row r="1192" spans="1:3" ht="14.5">
      <c r="A1192" t="s">
        <v>5317</v>
      </c>
      <c r="B1192" s="380" t="str">
        <f t="shared" si="18"/>
        <v>250-906</v>
      </c>
      <c r="C1192" s="2030">
        <v>1.17</v>
      </c>
    </row>
    <row r="1193" spans="1:3" ht="14.5">
      <c r="A1193" t="s">
        <v>5901</v>
      </c>
      <c r="B1193" s="380" t="str">
        <f t="shared" si="18"/>
        <v>250-907</v>
      </c>
      <c r="C1193" s="2030">
        <v>1.17</v>
      </c>
    </row>
    <row r="1194" spans="1:3" ht="14.5">
      <c r="A1194" t="s">
        <v>5318</v>
      </c>
      <c r="B1194" s="380" t="str">
        <f t="shared" si="18"/>
        <v>251-901</v>
      </c>
      <c r="C1194" s="2030">
        <v>1.04</v>
      </c>
    </row>
    <row r="1195" spans="1:3" ht="14.5">
      <c r="A1195" t="s">
        <v>5319</v>
      </c>
      <c r="B1195" s="380" t="str">
        <f t="shared" si="18"/>
        <v>251-902</v>
      </c>
      <c r="C1195" s="2030">
        <v>1.04</v>
      </c>
    </row>
    <row r="1196" spans="1:3" ht="14.5">
      <c r="A1196" t="s">
        <v>3274</v>
      </c>
      <c r="B1196" s="380" t="str">
        <f t="shared" si="18"/>
        <v>252-901</v>
      </c>
      <c r="C1196" s="2030">
        <v>1.04</v>
      </c>
    </row>
    <row r="1197" spans="1:3" ht="14.5">
      <c r="A1197" t="s">
        <v>5320</v>
      </c>
      <c r="B1197" s="380" t="str">
        <f t="shared" si="18"/>
        <v>252-902</v>
      </c>
      <c r="C1197" s="2030">
        <v>1.17</v>
      </c>
    </row>
    <row r="1198" spans="1:3" ht="14.5">
      <c r="A1198" t="s">
        <v>3275</v>
      </c>
      <c r="B1198" s="380" t="str">
        <f t="shared" si="18"/>
        <v>252-903</v>
      </c>
      <c r="C1198" s="2030">
        <v>1.17</v>
      </c>
    </row>
    <row r="1199" spans="1:3" ht="14.5">
      <c r="A1199" t="s">
        <v>5902</v>
      </c>
      <c r="B1199" s="380" t="str">
        <f t="shared" si="18"/>
        <v>253-901</v>
      </c>
      <c r="C1199" s="2030">
        <v>1.04</v>
      </c>
    </row>
    <row r="1200" spans="1:3" ht="14.5">
      <c r="A1200" t="s">
        <v>3276</v>
      </c>
      <c r="B1200" s="380" t="str">
        <f t="shared" si="18"/>
        <v>254-901</v>
      </c>
      <c r="C1200" s="2030">
        <v>1.04</v>
      </c>
    </row>
    <row r="1201" spans="1:3" ht="14.5">
      <c r="A1201" t="s">
        <v>3277</v>
      </c>
      <c r="B1201" s="380" t="str">
        <f t="shared" si="18"/>
        <v>254-902</v>
      </c>
      <c r="C1201" s="2030">
        <v>1.17</v>
      </c>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C1015"/>
  <sheetViews>
    <sheetView workbookViewId="0">
      <selection sqref="A1:B1048576"/>
    </sheetView>
  </sheetViews>
  <sheetFormatPr defaultRowHeight="12.5"/>
  <cols>
    <col min="1" max="1" width="15.1796875" style="2102" bestFit="1" customWidth="1"/>
    <col min="2" max="2" width="15.1796875" style="2102" customWidth="1"/>
    <col min="3" max="3" width="17.453125" style="2102" bestFit="1" customWidth="1"/>
  </cols>
  <sheetData>
    <row r="1" spans="1:3" ht="14.5">
      <c r="A1" s="2098">
        <v>1902</v>
      </c>
      <c r="B1" s="380" t="str">
        <f t="shared" ref="B1:B64" si="0">CONCATENATE(LEFT(RIGHT(CONCATENATE("000",A1),6),3),"-",(RIGHT(RIGHT(CONCATENATE("000",A1),6),3)))</f>
        <v>001-902</v>
      </c>
      <c r="C1" s="2103">
        <v>0.91639999999999999</v>
      </c>
    </row>
    <row r="2" spans="1:3" ht="14.5">
      <c r="A2" s="2098">
        <v>1903</v>
      </c>
      <c r="B2" s="380" t="str">
        <f t="shared" si="0"/>
        <v>001-903</v>
      </c>
      <c r="C2" s="2103">
        <v>0.91600000000000004</v>
      </c>
    </row>
    <row r="3" spans="1:3" ht="14.5">
      <c r="A3" s="2098">
        <v>1904</v>
      </c>
      <c r="B3" s="380" t="str">
        <f t="shared" si="0"/>
        <v>001-904</v>
      </c>
      <c r="C3" s="2103">
        <v>0.91639999999999999</v>
      </c>
    </row>
    <row r="4" spans="1:3" ht="14.5">
      <c r="A4" s="2098">
        <v>1906</v>
      </c>
      <c r="B4" s="380" t="str">
        <f t="shared" si="0"/>
        <v>001-906</v>
      </c>
      <c r="C4" s="2103">
        <v>0.91639999999999999</v>
      </c>
    </row>
    <row r="5" spans="1:3" ht="14.5">
      <c r="A5" s="2098">
        <v>1907</v>
      </c>
      <c r="B5" s="380" t="str">
        <f t="shared" si="0"/>
        <v>001-907</v>
      </c>
      <c r="C5" s="2103">
        <v>0.91639999999999999</v>
      </c>
    </row>
    <row r="6" spans="1:3" ht="14.5">
      <c r="A6" s="2098">
        <v>1908</v>
      </c>
      <c r="B6" s="380" t="str">
        <f t="shared" si="0"/>
        <v>001-908</v>
      </c>
      <c r="C6" s="2103">
        <v>0.91439999999999999</v>
      </c>
    </row>
    <row r="7" spans="1:3" ht="14.5">
      <c r="A7" s="2098">
        <v>1909</v>
      </c>
      <c r="B7" s="380" t="str">
        <f t="shared" si="0"/>
        <v>001-909</v>
      </c>
      <c r="C7" s="2103">
        <v>0.91239999999999999</v>
      </c>
    </row>
    <row r="8" spans="1:3" ht="14.5">
      <c r="A8" s="2098">
        <v>2901</v>
      </c>
      <c r="B8" s="380" t="str">
        <f t="shared" si="0"/>
        <v>002-901</v>
      </c>
      <c r="C8" s="2103">
        <v>0.91639999999999999</v>
      </c>
    </row>
    <row r="9" spans="1:3" ht="14.5">
      <c r="A9" s="2098">
        <v>3902</v>
      </c>
      <c r="B9" s="380" t="str">
        <f t="shared" si="0"/>
        <v>003-902</v>
      </c>
      <c r="C9" s="2103">
        <v>0.88770000000000004</v>
      </c>
    </row>
    <row r="10" spans="1:3" ht="14.5">
      <c r="A10" s="2098">
        <v>3903</v>
      </c>
      <c r="B10" s="380" t="str">
        <f t="shared" si="0"/>
        <v>003-903</v>
      </c>
      <c r="C10" s="2103">
        <v>0.89980000000000004</v>
      </c>
    </row>
    <row r="11" spans="1:3" ht="14.5">
      <c r="A11" s="2098">
        <v>3904</v>
      </c>
      <c r="B11" s="380" t="str">
        <f t="shared" si="0"/>
        <v>003-904</v>
      </c>
      <c r="C11" s="2103">
        <v>0.9093</v>
      </c>
    </row>
    <row r="12" spans="1:3" ht="14.5">
      <c r="A12" s="2098">
        <v>3905</v>
      </c>
      <c r="B12" s="380" t="str">
        <f t="shared" si="0"/>
        <v>003-905</v>
      </c>
      <c r="C12" s="2103">
        <v>0.91639999999999999</v>
      </c>
    </row>
    <row r="13" spans="1:3" ht="14.5">
      <c r="A13" s="2098">
        <v>3906</v>
      </c>
      <c r="B13" s="380" t="str">
        <f t="shared" si="0"/>
        <v>003-906</v>
      </c>
      <c r="C13" s="2103">
        <v>0.91639999999999999</v>
      </c>
    </row>
    <row r="14" spans="1:3" ht="14.5">
      <c r="A14" s="2098">
        <v>3907</v>
      </c>
      <c r="B14" s="380" t="str">
        <f t="shared" si="0"/>
        <v>003-907</v>
      </c>
      <c r="C14" s="2103">
        <v>0.91639999999999999</v>
      </c>
    </row>
    <row r="15" spans="1:3" ht="14.5">
      <c r="A15" s="2098">
        <v>4901</v>
      </c>
      <c r="B15" s="380" t="str">
        <f t="shared" si="0"/>
        <v>004-901</v>
      </c>
      <c r="C15" s="2103">
        <v>0.87009999999999998</v>
      </c>
    </row>
    <row r="16" spans="1:3" ht="14.5">
      <c r="A16" s="2098">
        <v>5901</v>
      </c>
      <c r="B16" s="380" t="str">
        <f t="shared" si="0"/>
        <v>005-901</v>
      </c>
      <c r="C16" s="2103">
        <v>0.8821</v>
      </c>
    </row>
    <row r="17" spans="1:3" ht="14.5">
      <c r="A17" s="2098">
        <v>5902</v>
      </c>
      <c r="B17" s="380" t="str">
        <f t="shared" si="0"/>
        <v>005-902</v>
      </c>
      <c r="C17" s="2103">
        <v>0.87949999999999995</v>
      </c>
    </row>
    <row r="18" spans="1:3" ht="14.5">
      <c r="A18" s="2098">
        <v>5904</v>
      </c>
      <c r="B18" s="380" t="str">
        <f t="shared" si="0"/>
        <v>005-904</v>
      </c>
      <c r="C18" s="2103">
        <v>0.91639999999999999</v>
      </c>
    </row>
    <row r="19" spans="1:3" ht="14.5">
      <c r="A19" s="2098">
        <v>6902</v>
      </c>
      <c r="B19" s="380" t="str">
        <f t="shared" si="0"/>
        <v>006-902</v>
      </c>
      <c r="C19" s="2103">
        <v>0.91639999999999999</v>
      </c>
    </row>
    <row r="20" spans="1:3" ht="14.5">
      <c r="A20" s="2098">
        <v>7901</v>
      </c>
      <c r="B20" s="380" t="str">
        <f t="shared" si="0"/>
        <v>007-901</v>
      </c>
      <c r="C20" s="2103">
        <v>0.91639999999999999</v>
      </c>
    </row>
    <row r="21" spans="1:3" ht="14.5">
      <c r="A21" s="2098">
        <v>7902</v>
      </c>
      <c r="B21" s="380" t="str">
        <f t="shared" si="0"/>
        <v>007-902</v>
      </c>
      <c r="C21" s="2103">
        <v>0.91639999999999999</v>
      </c>
    </row>
    <row r="22" spans="1:3" ht="14.5">
      <c r="A22" s="2098">
        <v>7904</v>
      </c>
      <c r="B22" s="380" t="str">
        <f t="shared" si="0"/>
        <v>007-904</v>
      </c>
      <c r="C22" s="2103">
        <v>0.91639999999999999</v>
      </c>
    </row>
    <row r="23" spans="1:3" ht="14.5">
      <c r="A23" s="2098">
        <v>7905</v>
      </c>
      <c r="B23" s="380" t="str">
        <f t="shared" si="0"/>
        <v>007-905</v>
      </c>
      <c r="C23" s="2103">
        <v>0.91639999999999999</v>
      </c>
    </row>
    <row r="24" spans="1:3" ht="14.5">
      <c r="A24" s="2098">
        <v>7906</v>
      </c>
      <c r="B24" s="380" t="str">
        <f t="shared" si="0"/>
        <v>007-906</v>
      </c>
      <c r="C24" s="2103">
        <v>0.91639999999999999</v>
      </c>
    </row>
    <row r="25" spans="1:3" ht="14.5">
      <c r="A25" s="2098">
        <v>8901</v>
      </c>
      <c r="B25" s="380" t="str">
        <f t="shared" si="0"/>
        <v>008-901</v>
      </c>
      <c r="C25" s="2103">
        <v>0.88929999999999998</v>
      </c>
    </row>
    <row r="26" spans="1:3" ht="14.5">
      <c r="A26" s="2098">
        <v>8902</v>
      </c>
      <c r="B26" s="380" t="str">
        <f t="shared" si="0"/>
        <v>008-902</v>
      </c>
      <c r="C26" s="2103">
        <v>0.91639999999999999</v>
      </c>
    </row>
    <row r="27" spans="1:3" ht="14.5">
      <c r="A27" s="2098">
        <v>8903</v>
      </c>
      <c r="B27" s="380" t="str">
        <f t="shared" si="0"/>
        <v>008-903</v>
      </c>
      <c r="C27" s="2103">
        <v>0.87209999999999999</v>
      </c>
    </row>
    <row r="28" spans="1:3" ht="14.5">
      <c r="A28" s="2098">
        <v>9901</v>
      </c>
      <c r="B28" s="380" t="str">
        <f t="shared" si="0"/>
        <v>009-901</v>
      </c>
      <c r="C28" s="2103">
        <v>0.90539999999999998</v>
      </c>
    </row>
    <row r="29" spans="1:3" ht="14.5">
      <c r="A29" s="2098">
        <v>10901</v>
      </c>
      <c r="B29" s="380" t="str">
        <f t="shared" si="0"/>
        <v>010-901</v>
      </c>
      <c r="C29" s="2103">
        <v>0.91639999999999999</v>
      </c>
    </row>
    <row r="30" spans="1:3" ht="14.5">
      <c r="A30" s="2098">
        <v>10902</v>
      </c>
      <c r="B30" s="380" t="str">
        <f t="shared" si="0"/>
        <v>010-902</v>
      </c>
      <c r="C30" s="2103">
        <v>0.91639999999999999</v>
      </c>
    </row>
    <row r="31" spans="1:3" ht="14.5">
      <c r="A31" s="2098">
        <v>11901</v>
      </c>
      <c r="B31" s="380" t="str">
        <f t="shared" si="0"/>
        <v>011-901</v>
      </c>
      <c r="C31" s="2103">
        <v>0.87</v>
      </c>
    </row>
    <row r="32" spans="1:3" ht="14.5">
      <c r="A32" s="2098">
        <v>11902</v>
      </c>
      <c r="B32" s="380" t="str">
        <f t="shared" si="0"/>
        <v>011-902</v>
      </c>
      <c r="C32" s="2103">
        <v>0.87419999999999998</v>
      </c>
    </row>
    <row r="33" spans="1:3" ht="14.5">
      <c r="A33" s="2098">
        <v>11904</v>
      </c>
      <c r="B33" s="380" t="str">
        <f t="shared" si="0"/>
        <v>011-904</v>
      </c>
      <c r="C33" s="2103">
        <v>0.88700000000000001</v>
      </c>
    </row>
    <row r="34" spans="1:3" ht="14.5">
      <c r="A34" s="2098">
        <v>11905</v>
      </c>
      <c r="B34" s="380" t="str">
        <f t="shared" si="0"/>
        <v>011-905</v>
      </c>
      <c r="C34" s="2103">
        <v>0.88529999999999998</v>
      </c>
    </row>
    <row r="35" spans="1:3" ht="14.5">
      <c r="A35" s="2098">
        <v>12901</v>
      </c>
      <c r="B35" s="380" t="str">
        <f t="shared" si="0"/>
        <v>012-901</v>
      </c>
      <c r="C35" s="2103">
        <v>0.82469999999999999</v>
      </c>
    </row>
    <row r="36" spans="1:3" ht="14.5">
      <c r="A36" s="2098">
        <v>13901</v>
      </c>
      <c r="B36" s="380" t="str">
        <f t="shared" si="0"/>
        <v>013-901</v>
      </c>
      <c r="C36" s="2103">
        <v>0.91639999999999999</v>
      </c>
    </row>
    <row r="37" spans="1:3" ht="14.5">
      <c r="A37" s="2098">
        <v>13902</v>
      </c>
      <c r="B37" s="380" t="str">
        <f t="shared" si="0"/>
        <v>013-902</v>
      </c>
      <c r="C37" s="2103">
        <v>0.91639999999999999</v>
      </c>
    </row>
    <row r="38" spans="1:3" ht="14.5">
      <c r="A38" s="2098">
        <v>13903</v>
      </c>
      <c r="B38" s="380" t="str">
        <f t="shared" si="0"/>
        <v>013-903</v>
      </c>
      <c r="C38" s="2103">
        <v>0.91639999999999999</v>
      </c>
    </row>
    <row r="39" spans="1:3" ht="14.5">
      <c r="A39" s="2098">
        <v>13905</v>
      </c>
      <c r="B39" s="380" t="str">
        <f t="shared" si="0"/>
        <v>013-905</v>
      </c>
      <c r="C39" s="2103">
        <v>0.82469999999999999</v>
      </c>
    </row>
    <row r="40" spans="1:3" ht="14.5">
      <c r="A40" s="2098">
        <v>14901</v>
      </c>
      <c r="B40" s="380" t="str">
        <f t="shared" si="0"/>
        <v>014-901</v>
      </c>
      <c r="C40" s="2103">
        <v>0.82469999999999999</v>
      </c>
    </row>
    <row r="41" spans="1:3" ht="14.5">
      <c r="A41" s="2098">
        <v>14902</v>
      </c>
      <c r="B41" s="380" t="str">
        <f t="shared" si="0"/>
        <v>014-902</v>
      </c>
      <c r="C41" s="2103">
        <v>0.91639999999999999</v>
      </c>
    </row>
    <row r="42" spans="1:3" ht="14.5">
      <c r="A42" s="2098">
        <v>14903</v>
      </c>
      <c r="B42" s="380" t="str">
        <f t="shared" si="0"/>
        <v>014-903</v>
      </c>
      <c r="C42" s="2103">
        <v>0.83</v>
      </c>
    </row>
    <row r="43" spans="1:3" ht="14.5">
      <c r="A43" s="2098">
        <v>14905</v>
      </c>
      <c r="B43" s="380" t="str">
        <f t="shared" si="0"/>
        <v>014-905</v>
      </c>
      <c r="C43" s="2103">
        <v>0.83409999999999995</v>
      </c>
    </row>
    <row r="44" spans="1:3" ht="14.5">
      <c r="A44" s="2098">
        <v>14906</v>
      </c>
      <c r="B44" s="380" t="str">
        <f t="shared" si="0"/>
        <v>014-906</v>
      </c>
      <c r="C44" s="2103">
        <v>0.87009999999999998</v>
      </c>
    </row>
    <row r="45" spans="1:3" ht="14.5">
      <c r="A45" s="2098">
        <v>14907</v>
      </c>
      <c r="B45" s="380" t="str">
        <f t="shared" si="0"/>
        <v>014-907</v>
      </c>
      <c r="C45" s="2103">
        <v>0.91639999999999999</v>
      </c>
    </row>
    <row r="46" spans="1:3" ht="14.5">
      <c r="A46" s="2098">
        <v>14908</v>
      </c>
      <c r="B46" s="380" t="str">
        <f t="shared" si="0"/>
        <v>014-908</v>
      </c>
      <c r="C46" s="2103">
        <v>0.82469999999999999</v>
      </c>
    </row>
    <row r="47" spans="1:3" ht="14.5">
      <c r="A47" s="2098">
        <v>14909</v>
      </c>
      <c r="B47" s="380" t="str">
        <f t="shared" si="0"/>
        <v>014-909</v>
      </c>
      <c r="C47" s="2103">
        <v>0.8579</v>
      </c>
    </row>
    <row r="48" spans="1:3" ht="14.5">
      <c r="A48" s="2098">
        <v>14910</v>
      </c>
      <c r="B48" s="380" t="str">
        <f t="shared" si="0"/>
        <v>014-910</v>
      </c>
      <c r="C48" s="2103">
        <v>0.82469999999999999</v>
      </c>
    </row>
    <row r="49" spans="1:3" ht="14.5">
      <c r="A49" s="2098">
        <v>15901</v>
      </c>
      <c r="B49" s="380" t="str">
        <f t="shared" si="0"/>
        <v>015-901</v>
      </c>
      <c r="C49" s="2103">
        <v>0.91639999999999999</v>
      </c>
    </row>
    <row r="50" spans="1:3" ht="14.5">
      <c r="A50" s="2098">
        <v>15904</v>
      </c>
      <c r="B50" s="380" t="str">
        <f t="shared" si="0"/>
        <v>015-904</v>
      </c>
      <c r="C50" s="2103">
        <v>0.85929999999999995</v>
      </c>
    </row>
    <row r="51" spans="1:3" ht="14.5">
      <c r="A51" s="2098">
        <v>15905</v>
      </c>
      <c r="B51" s="380" t="str">
        <f t="shared" si="0"/>
        <v>015-905</v>
      </c>
      <c r="C51" s="2103">
        <v>0.89300000000000002</v>
      </c>
    </row>
    <row r="52" spans="1:3" ht="14.5">
      <c r="A52" s="2098">
        <v>15907</v>
      </c>
      <c r="B52" s="380" t="str">
        <f t="shared" si="0"/>
        <v>015-907</v>
      </c>
      <c r="C52" s="2103">
        <v>0.88270000000000004</v>
      </c>
    </row>
    <row r="53" spans="1:3" ht="14.5">
      <c r="A53" s="2098">
        <v>15908</v>
      </c>
      <c r="B53" s="380" t="str">
        <f t="shared" si="0"/>
        <v>015-908</v>
      </c>
      <c r="C53" s="2103">
        <v>0.86119999999999997</v>
      </c>
    </row>
    <row r="54" spans="1:3" ht="14.5">
      <c r="A54" s="2098">
        <v>15909</v>
      </c>
      <c r="B54" s="380" t="str">
        <f t="shared" si="0"/>
        <v>015-909</v>
      </c>
      <c r="C54" s="2103">
        <v>0.87390000000000001</v>
      </c>
    </row>
    <row r="55" spans="1:3" ht="14.5">
      <c r="A55" s="2098">
        <v>15910</v>
      </c>
      <c r="B55" s="380" t="str">
        <f t="shared" si="0"/>
        <v>015-910</v>
      </c>
      <c r="C55" s="2103">
        <v>0.91339999999999999</v>
      </c>
    </row>
    <row r="56" spans="1:3" ht="14.5">
      <c r="A56" s="2098">
        <v>15911</v>
      </c>
      <c r="B56" s="380" t="str">
        <f t="shared" si="0"/>
        <v>015-911</v>
      </c>
      <c r="C56" s="2103">
        <v>0.87670000000000003</v>
      </c>
    </row>
    <row r="57" spans="1:3" ht="14.5">
      <c r="A57" s="2098">
        <v>15912</v>
      </c>
      <c r="B57" s="380" t="str">
        <f t="shared" si="0"/>
        <v>015-912</v>
      </c>
      <c r="C57" s="2103">
        <v>0.89510000000000001</v>
      </c>
    </row>
    <row r="58" spans="1:3" ht="14.5">
      <c r="A58" s="2098">
        <v>15915</v>
      </c>
      <c r="B58" s="380" t="str">
        <f t="shared" si="0"/>
        <v>015-915</v>
      </c>
      <c r="C58" s="2103">
        <v>0.9002</v>
      </c>
    </row>
    <row r="59" spans="1:3" ht="14.5">
      <c r="A59" s="2098">
        <v>15916</v>
      </c>
      <c r="B59" s="380" t="str">
        <f t="shared" si="0"/>
        <v>015-916</v>
      </c>
      <c r="C59" s="2103">
        <v>0.86209999999999998</v>
      </c>
    </row>
    <row r="60" spans="1:3" ht="14.5">
      <c r="A60" s="2098">
        <v>15917</v>
      </c>
      <c r="B60" s="380" t="str">
        <f t="shared" si="0"/>
        <v>015-917</v>
      </c>
      <c r="C60" s="2103">
        <v>0.91459999999999997</v>
      </c>
    </row>
    <row r="61" spans="1:3" ht="14.5">
      <c r="A61" s="2098">
        <v>16901</v>
      </c>
      <c r="B61" s="380" t="str">
        <f t="shared" si="0"/>
        <v>016-901</v>
      </c>
      <c r="C61" s="2103">
        <v>0.89990000000000003</v>
      </c>
    </row>
    <row r="62" spans="1:3" ht="14.5">
      <c r="A62" s="2098">
        <v>16902</v>
      </c>
      <c r="B62" s="380" t="str">
        <f t="shared" si="0"/>
        <v>016-902</v>
      </c>
      <c r="C62" s="2103">
        <v>0.84730000000000005</v>
      </c>
    </row>
    <row r="63" spans="1:3" ht="14.5">
      <c r="A63" s="2098">
        <v>17901</v>
      </c>
      <c r="B63" s="380" t="str">
        <f t="shared" si="0"/>
        <v>017-901</v>
      </c>
      <c r="C63" s="2103">
        <v>0.91639999999999999</v>
      </c>
    </row>
    <row r="64" spans="1:3" ht="14.5">
      <c r="A64" s="2098">
        <v>18901</v>
      </c>
      <c r="B64" s="380" t="str">
        <f t="shared" si="0"/>
        <v>018-901</v>
      </c>
      <c r="C64" s="2103">
        <v>0.87770000000000004</v>
      </c>
    </row>
    <row r="65" spans="1:3" ht="14.5">
      <c r="A65" s="2098">
        <v>18902</v>
      </c>
      <c r="B65" s="380" t="str">
        <f t="shared" ref="B65:B128" si="1">CONCATENATE(LEFT(RIGHT(CONCATENATE("000",A65),6),3),"-",(RIGHT(RIGHT(CONCATENATE("000",A65),6),3)))</f>
        <v>018-902</v>
      </c>
      <c r="C65" s="2103">
        <v>0.89380000000000004</v>
      </c>
    </row>
    <row r="66" spans="1:3" ht="14.5">
      <c r="A66" s="2098">
        <v>18903</v>
      </c>
      <c r="B66" s="380" t="str">
        <f t="shared" si="1"/>
        <v>018-903</v>
      </c>
      <c r="C66" s="2103">
        <v>0.8639</v>
      </c>
    </row>
    <row r="67" spans="1:3" ht="14.5">
      <c r="A67" s="2098">
        <v>18904</v>
      </c>
      <c r="B67" s="380" t="str">
        <f t="shared" si="1"/>
        <v>018-904</v>
      </c>
      <c r="C67" s="2103">
        <v>0.8831</v>
      </c>
    </row>
    <row r="68" spans="1:3" ht="14.5">
      <c r="A68" s="2098">
        <v>18905</v>
      </c>
      <c r="B68" s="380" t="str">
        <f t="shared" si="1"/>
        <v>018-905</v>
      </c>
      <c r="C68" s="2103">
        <v>0.82469999999999999</v>
      </c>
    </row>
    <row r="69" spans="1:3" ht="14.5">
      <c r="A69" s="2098">
        <v>18906</v>
      </c>
      <c r="B69" s="380" t="str">
        <f t="shared" si="1"/>
        <v>018-906</v>
      </c>
      <c r="C69" s="2103">
        <v>0.83399999999999996</v>
      </c>
    </row>
    <row r="70" spans="1:3" ht="14.5">
      <c r="A70" s="2098">
        <v>18907</v>
      </c>
      <c r="B70" s="380" t="str">
        <f t="shared" si="1"/>
        <v>018-907</v>
      </c>
      <c r="C70" s="2103">
        <v>0.83789999999999998</v>
      </c>
    </row>
    <row r="71" spans="1:3" ht="14.5">
      <c r="A71" s="2098">
        <v>18908</v>
      </c>
      <c r="B71" s="380" t="str">
        <f t="shared" si="1"/>
        <v>018-908</v>
      </c>
      <c r="C71" s="2103">
        <v>0.88959999999999995</v>
      </c>
    </row>
    <row r="72" spans="1:3" ht="14.5">
      <c r="A72" s="2098">
        <v>19901</v>
      </c>
      <c r="B72" s="380" t="str">
        <f t="shared" si="1"/>
        <v>019-901</v>
      </c>
      <c r="C72" s="2103">
        <v>0.91639999999999999</v>
      </c>
    </row>
    <row r="73" spans="1:3" ht="14.5">
      <c r="A73" s="2098">
        <v>19902</v>
      </c>
      <c r="B73" s="380" t="str">
        <f t="shared" si="1"/>
        <v>019-902</v>
      </c>
      <c r="C73" s="2103">
        <v>0.91639999999999999</v>
      </c>
    </row>
    <row r="74" spans="1:3" ht="14.5">
      <c r="A74" s="2098">
        <v>19903</v>
      </c>
      <c r="B74" s="380" t="str">
        <f t="shared" si="1"/>
        <v>019-903</v>
      </c>
      <c r="C74" s="2103">
        <v>0.89090000000000003</v>
      </c>
    </row>
    <row r="75" spans="1:3" ht="14.5">
      <c r="A75" s="2098">
        <v>19905</v>
      </c>
      <c r="B75" s="380" t="str">
        <f t="shared" si="1"/>
        <v>019-905</v>
      </c>
      <c r="C75" s="2103">
        <v>0.91639999999999999</v>
      </c>
    </row>
    <row r="76" spans="1:3" ht="14.5">
      <c r="A76" s="2098">
        <v>19906</v>
      </c>
      <c r="B76" s="380" t="str">
        <f t="shared" si="1"/>
        <v>019-906</v>
      </c>
      <c r="C76" s="2103">
        <v>0.88660000000000005</v>
      </c>
    </row>
    <row r="77" spans="1:3" ht="14.5">
      <c r="A77" s="2098">
        <v>19907</v>
      </c>
      <c r="B77" s="380" t="str">
        <f t="shared" si="1"/>
        <v>019-907</v>
      </c>
      <c r="C77" s="2103">
        <v>0.91639999999999999</v>
      </c>
    </row>
    <row r="78" spans="1:3" ht="14.5">
      <c r="A78" s="2098">
        <v>19908</v>
      </c>
      <c r="B78" s="380" t="str">
        <f t="shared" si="1"/>
        <v>019-908</v>
      </c>
      <c r="C78" s="2103">
        <v>0.91639999999999999</v>
      </c>
    </row>
    <row r="79" spans="1:3" ht="14.5">
      <c r="A79" s="2098">
        <v>19909</v>
      </c>
      <c r="B79" s="380" t="str">
        <f t="shared" si="1"/>
        <v>019-909</v>
      </c>
      <c r="C79" s="2103">
        <v>0.89019999999999999</v>
      </c>
    </row>
    <row r="80" spans="1:3" ht="14.5">
      <c r="A80" s="2098">
        <v>19910</v>
      </c>
      <c r="B80" s="380" t="str">
        <f t="shared" si="1"/>
        <v>019-910</v>
      </c>
      <c r="C80" s="2103">
        <v>0.84740000000000004</v>
      </c>
    </row>
    <row r="81" spans="1:3" ht="14.5">
      <c r="A81" s="2098">
        <v>19911</v>
      </c>
      <c r="B81" s="380" t="str">
        <f t="shared" si="1"/>
        <v>019-911</v>
      </c>
      <c r="C81" s="2103">
        <v>0.9012</v>
      </c>
    </row>
    <row r="82" spans="1:3" ht="14.5">
      <c r="A82" s="2098">
        <v>19912</v>
      </c>
      <c r="B82" s="380" t="str">
        <f t="shared" si="1"/>
        <v>019-912</v>
      </c>
      <c r="C82" s="2103">
        <v>0.91639999999999999</v>
      </c>
    </row>
    <row r="83" spans="1:3" ht="14.5">
      <c r="A83" s="2098">
        <v>19913</v>
      </c>
      <c r="B83" s="380" t="str">
        <f t="shared" si="1"/>
        <v>019-913</v>
      </c>
      <c r="C83" s="2103">
        <v>0.90269999999999995</v>
      </c>
    </row>
    <row r="84" spans="1:3" ht="14.5">
      <c r="A84" s="2098">
        <v>19914</v>
      </c>
      <c r="B84" s="380" t="str">
        <f t="shared" si="1"/>
        <v>019-914</v>
      </c>
      <c r="C84" s="2103">
        <v>0.90039999999999998</v>
      </c>
    </row>
    <row r="85" spans="1:3" ht="14.5">
      <c r="A85" s="2098">
        <v>20901</v>
      </c>
      <c r="B85" s="380" t="str">
        <f t="shared" si="1"/>
        <v>020-901</v>
      </c>
      <c r="C85" s="2103">
        <v>0.8669</v>
      </c>
    </row>
    <row r="86" spans="1:3" ht="14.5">
      <c r="A86" s="2098">
        <v>20902</v>
      </c>
      <c r="B86" s="380" t="str">
        <f t="shared" si="1"/>
        <v>020-902</v>
      </c>
      <c r="C86" s="2103">
        <v>0.86609999999999998</v>
      </c>
    </row>
    <row r="87" spans="1:3" ht="14.5">
      <c r="A87" s="2098">
        <v>20904</v>
      </c>
      <c r="B87" s="380" t="str">
        <f t="shared" si="1"/>
        <v>020-904</v>
      </c>
      <c r="C87" s="2103">
        <v>0.86460000000000004</v>
      </c>
    </row>
    <row r="88" spans="1:3" ht="14.5">
      <c r="A88" s="2098">
        <v>20905</v>
      </c>
      <c r="B88" s="380" t="str">
        <f t="shared" si="1"/>
        <v>020-905</v>
      </c>
      <c r="C88" s="2103">
        <v>0.91639999999999999</v>
      </c>
    </row>
    <row r="89" spans="1:3" ht="14.5">
      <c r="A89" s="2098">
        <v>20906</v>
      </c>
      <c r="B89" s="380" t="str">
        <f t="shared" si="1"/>
        <v>020-906</v>
      </c>
      <c r="C89" s="2103">
        <v>0.82469999999999999</v>
      </c>
    </row>
    <row r="90" spans="1:3" ht="14.5">
      <c r="A90" s="2098">
        <v>20907</v>
      </c>
      <c r="B90" s="380" t="str">
        <f t="shared" si="1"/>
        <v>020-907</v>
      </c>
      <c r="C90" s="2103">
        <v>0.83779999999999999</v>
      </c>
    </row>
    <row r="91" spans="1:3" ht="14.5">
      <c r="A91" s="2098">
        <v>20908</v>
      </c>
      <c r="B91" s="380" t="str">
        <f t="shared" si="1"/>
        <v>020-908</v>
      </c>
      <c r="C91" s="2103">
        <v>0.85289999999999999</v>
      </c>
    </row>
    <row r="92" spans="1:3" ht="14.5">
      <c r="A92" s="2098">
        <v>20910</v>
      </c>
      <c r="B92" s="380" t="str">
        <f t="shared" si="1"/>
        <v>020-910</v>
      </c>
      <c r="C92" s="2103">
        <v>0.82469999999999999</v>
      </c>
    </row>
    <row r="93" spans="1:3" ht="14.5">
      <c r="A93" s="2098">
        <v>21901</v>
      </c>
      <c r="B93" s="380" t="str">
        <f t="shared" si="1"/>
        <v>021-901</v>
      </c>
      <c r="C93" s="2103">
        <v>0.91639999999999999</v>
      </c>
    </row>
    <row r="94" spans="1:3" ht="14.5">
      <c r="A94" s="2098">
        <v>21902</v>
      </c>
      <c r="B94" s="380" t="str">
        <f t="shared" si="1"/>
        <v>021-902</v>
      </c>
      <c r="C94" s="2103">
        <v>0.89249999999999996</v>
      </c>
    </row>
    <row r="95" spans="1:3" ht="14.5">
      <c r="A95" s="2098">
        <v>22004</v>
      </c>
      <c r="B95" s="380" t="str">
        <f t="shared" si="1"/>
        <v>022-004</v>
      </c>
      <c r="C95" s="2103">
        <v>0.91639999999999999</v>
      </c>
    </row>
    <row r="96" spans="1:3" ht="14.5">
      <c r="A96" s="2098">
        <v>22901</v>
      </c>
      <c r="B96" s="380" t="str">
        <f t="shared" si="1"/>
        <v>022-901</v>
      </c>
      <c r="C96" s="2103">
        <v>0.91639999999999999</v>
      </c>
    </row>
    <row r="97" spans="1:3" ht="14.5">
      <c r="A97" s="2098">
        <v>22902</v>
      </c>
      <c r="B97" s="380" t="str">
        <f t="shared" si="1"/>
        <v>022-902</v>
      </c>
      <c r="C97" s="2103">
        <v>0.9133</v>
      </c>
    </row>
    <row r="98" spans="1:3" ht="14.5">
      <c r="A98" s="2098">
        <v>22903</v>
      </c>
      <c r="B98" s="380" t="str">
        <f t="shared" si="1"/>
        <v>022-903</v>
      </c>
      <c r="C98" s="2103">
        <v>0.91639999999999999</v>
      </c>
    </row>
    <row r="99" spans="1:3" ht="14.5">
      <c r="A99" s="2098">
        <v>23902</v>
      </c>
      <c r="B99" s="380" t="str">
        <f t="shared" si="1"/>
        <v>023-902</v>
      </c>
      <c r="C99" s="2103">
        <v>0.90149999999999997</v>
      </c>
    </row>
    <row r="100" spans="1:3" ht="14.5">
      <c r="A100" s="2098">
        <v>24901</v>
      </c>
      <c r="B100" s="380" t="str">
        <f t="shared" si="1"/>
        <v>024-901</v>
      </c>
      <c r="C100" s="2103">
        <v>0.91639999999999999</v>
      </c>
    </row>
    <row r="101" spans="1:3" ht="14.5">
      <c r="A101" s="2098">
        <v>25901</v>
      </c>
      <c r="B101" s="380" t="str">
        <f t="shared" si="1"/>
        <v>025-901</v>
      </c>
      <c r="C101" s="2103">
        <v>0.87370000000000003</v>
      </c>
    </row>
    <row r="102" spans="1:3" ht="14.5">
      <c r="A102" s="2098">
        <v>25902</v>
      </c>
      <c r="B102" s="380" t="str">
        <f t="shared" si="1"/>
        <v>025-902</v>
      </c>
      <c r="C102" s="2103">
        <v>0.91639999999999999</v>
      </c>
    </row>
    <row r="103" spans="1:3" ht="14.5">
      <c r="A103" s="2098">
        <v>25904</v>
      </c>
      <c r="B103" s="380" t="str">
        <f t="shared" si="1"/>
        <v>025-904</v>
      </c>
      <c r="C103" s="2103">
        <v>0.91639999999999999</v>
      </c>
    </row>
    <row r="104" spans="1:3" ht="14.5">
      <c r="A104" s="2098">
        <v>25905</v>
      </c>
      <c r="B104" s="380" t="str">
        <f t="shared" si="1"/>
        <v>025-905</v>
      </c>
      <c r="C104" s="2103">
        <v>0.88349999999999995</v>
      </c>
    </row>
    <row r="105" spans="1:3" ht="14.5">
      <c r="A105" s="2098">
        <v>25906</v>
      </c>
      <c r="B105" s="380" t="str">
        <f t="shared" si="1"/>
        <v>025-906</v>
      </c>
      <c r="C105" s="2103">
        <v>0.87390000000000001</v>
      </c>
    </row>
    <row r="106" spans="1:3" ht="14.5">
      <c r="A106" s="2098">
        <v>25908</v>
      </c>
      <c r="B106" s="380" t="str">
        <f t="shared" si="1"/>
        <v>025-908</v>
      </c>
      <c r="C106" s="2103">
        <v>0.91639999999999999</v>
      </c>
    </row>
    <row r="107" spans="1:3" ht="14.5">
      <c r="A107" s="2098">
        <v>25909</v>
      </c>
      <c r="B107" s="380" t="str">
        <f t="shared" si="1"/>
        <v>025-909</v>
      </c>
      <c r="C107" s="2103">
        <v>0.89929999999999999</v>
      </c>
    </row>
    <row r="108" spans="1:3" ht="14.5">
      <c r="A108" s="2098">
        <v>26901</v>
      </c>
      <c r="B108" s="380" t="str">
        <f t="shared" si="1"/>
        <v>026-901</v>
      </c>
      <c r="C108" s="2103">
        <v>0.82469999999999999</v>
      </c>
    </row>
    <row r="109" spans="1:3" ht="14.5">
      <c r="A109" s="2098">
        <v>26902</v>
      </c>
      <c r="B109" s="380" t="str">
        <f t="shared" si="1"/>
        <v>026-902</v>
      </c>
      <c r="C109" s="2103">
        <v>0.91639999999999999</v>
      </c>
    </row>
    <row r="110" spans="1:3" ht="14.5">
      <c r="A110" s="2098">
        <v>26903</v>
      </c>
      <c r="B110" s="380" t="str">
        <f t="shared" si="1"/>
        <v>026-903</v>
      </c>
      <c r="C110" s="2103">
        <v>0.91639999999999999</v>
      </c>
    </row>
    <row r="111" spans="1:3" ht="14.5">
      <c r="A111" s="2098">
        <v>27903</v>
      </c>
      <c r="B111" s="380" t="str">
        <f t="shared" si="1"/>
        <v>027-903</v>
      </c>
      <c r="C111" s="2103">
        <v>0.89129999999999998</v>
      </c>
    </row>
    <row r="112" spans="1:3" ht="14.5">
      <c r="A112" s="2098">
        <v>27904</v>
      </c>
      <c r="B112" s="380" t="str">
        <f t="shared" si="1"/>
        <v>027-904</v>
      </c>
      <c r="C112" s="2103">
        <v>0.91639999999999999</v>
      </c>
    </row>
    <row r="113" spans="1:3" ht="14.5">
      <c r="A113" s="2098">
        <v>28902</v>
      </c>
      <c r="B113" s="380" t="str">
        <f t="shared" si="1"/>
        <v>028-902</v>
      </c>
      <c r="C113" s="2103">
        <v>0.85940000000000005</v>
      </c>
    </row>
    <row r="114" spans="1:3" ht="14.5">
      <c r="A114" s="2098">
        <v>28903</v>
      </c>
      <c r="B114" s="380" t="str">
        <f t="shared" si="1"/>
        <v>028-903</v>
      </c>
      <c r="C114" s="2103">
        <v>0.89910000000000001</v>
      </c>
    </row>
    <row r="115" spans="1:3" ht="14.5">
      <c r="A115" s="2098">
        <v>28906</v>
      </c>
      <c r="B115" s="380" t="str">
        <f t="shared" si="1"/>
        <v>028-906</v>
      </c>
      <c r="C115" s="2103">
        <v>0.91639999999999999</v>
      </c>
    </row>
    <row r="116" spans="1:3" ht="14.5">
      <c r="A116" s="2098">
        <v>29901</v>
      </c>
      <c r="B116" s="380" t="str">
        <f t="shared" si="1"/>
        <v>029-901</v>
      </c>
      <c r="C116" s="2103">
        <v>0.91639999999999999</v>
      </c>
    </row>
    <row r="117" spans="1:3" ht="14.5">
      <c r="A117" s="2098">
        <v>30901</v>
      </c>
      <c r="B117" s="380" t="str">
        <f t="shared" si="1"/>
        <v>030-901</v>
      </c>
      <c r="C117" s="2103">
        <v>0.87570000000000003</v>
      </c>
    </row>
    <row r="118" spans="1:3" ht="14.5">
      <c r="A118" s="2098">
        <v>30902</v>
      </c>
      <c r="B118" s="380" t="str">
        <f t="shared" si="1"/>
        <v>030-902</v>
      </c>
      <c r="C118" s="2103">
        <v>0.91639999999999999</v>
      </c>
    </row>
    <row r="119" spans="1:3" ht="14.5">
      <c r="A119" s="2098">
        <v>30903</v>
      </c>
      <c r="B119" s="380" t="str">
        <f t="shared" si="1"/>
        <v>030-903</v>
      </c>
      <c r="C119" s="2103">
        <v>0.88329999999999997</v>
      </c>
    </row>
    <row r="120" spans="1:3" ht="14.5">
      <c r="A120" s="2098">
        <v>30906</v>
      </c>
      <c r="B120" s="380" t="str">
        <f t="shared" si="1"/>
        <v>030-906</v>
      </c>
      <c r="C120" s="2103">
        <v>0.90800000000000003</v>
      </c>
    </row>
    <row r="121" spans="1:3" ht="14.5">
      <c r="A121" s="2098">
        <v>31901</v>
      </c>
      <c r="B121" s="380" t="str">
        <f t="shared" si="1"/>
        <v>031-901</v>
      </c>
      <c r="C121" s="2103">
        <v>0.89839999999999998</v>
      </c>
    </row>
    <row r="122" spans="1:3" ht="14.5">
      <c r="A122" s="2098">
        <v>31903</v>
      </c>
      <c r="B122" s="380" t="str">
        <f t="shared" si="1"/>
        <v>031-903</v>
      </c>
      <c r="C122" s="2103">
        <v>0.88600000000000001</v>
      </c>
    </row>
    <row r="123" spans="1:3" ht="14.5">
      <c r="A123" s="2098">
        <v>31905</v>
      </c>
      <c r="B123" s="380" t="str">
        <f t="shared" si="1"/>
        <v>031-905</v>
      </c>
      <c r="C123" s="2103">
        <v>0.89239999999999997</v>
      </c>
    </row>
    <row r="124" spans="1:3" ht="14.5">
      <c r="A124" s="2098">
        <v>31906</v>
      </c>
      <c r="B124" s="380" t="str">
        <f t="shared" si="1"/>
        <v>031-906</v>
      </c>
      <c r="C124" s="2103">
        <v>0.90339999999999998</v>
      </c>
    </row>
    <row r="125" spans="1:3" ht="14.5">
      <c r="A125" s="2098">
        <v>31909</v>
      </c>
      <c r="B125" s="380" t="str">
        <f t="shared" si="1"/>
        <v>031-909</v>
      </c>
      <c r="C125" s="2103">
        <v>0.91639999999999999</v>
      </c>
    </row>
    <row r="126" spans="1:3" ht="14.5">
      <c r="A126" s="2098">
        <v>31911</v>
      </c>
      <c r="B126" s="380" t="str">
        <f t="shared" si="1"/>
        <v>031-911</v>
      </c>
      <c r="C126" s="2103">
        <v>0.91639999999999999</v>
      </c>
    </row>
    <row r="127" spans="1:3" ht="14.5">
      <c r="A127" s="2098">
        <v>31912</v>
      </c>
      <c r="B127" s="380" t="str">
        <f t="shared" si="1"/>
        <v>031-912</v>
      </c>
      <c r="C127" s="2103">
        <v>0.89500000000000002</v>
      </c>
    </row>
    <row r="128" spans="1:3" ht="14.5">
      <c r="A128" s="2098">
        <v>31913</v>
      </c>
      <c r="B128" s="380" t="str">
        <f t="shared" si="1"/>
        <v>031-913</v>
      </c>
      <c r="C128" s="2103">
        <v>0.91639999999999999</v>
      </c>
    </row>
    <row r="129" spans="1:3" ht="14.5">
      <c r="A129" s="2098">
        <v>31914</v>
      </c>
      <c r="B129" s="380" t="str">
        <f t="shared" ref="B129:B192" si="2">CONCATENATE(LEFT(RIGHT(CONCATENATE("000",A129),6),3),"-",(RIGHT(RIGHT(CONCATENATE("000",A129),6),3)))</f>
        <v>031-914</v>
      </c>
      <c r="C129" s="2103">
        <v>0.90049999999999997</v>
      </c>
    </row>
    <row r="130" spans="1:3" ht="14.5">
      <c r="A130" s="2098">
        <v>32902</v>
      </c>
      <c r="B130" s="380" t="str">
        <f t="shared" si="2"/>
        <v>032-902</v>
      </c>
      <c r="C130" s="2103">
        <v>0.89370000000000005</v>
      </c>
    </row>
    <row r="131" spans="1:3" ht="14.5">
      <c r="A131" s="2098">
        <v>33901</v>
      </c>
      <c r="B131" s="380" t="str">
        <f t="shared" si="2"/>
        <v>033-901</v>
      </c>
      <c r="C131" s="2103">
        <v>0.91639999999999999</v>
      </c>
    </row>
    <row r="132" spans="1:3" ht="14.5">
      <c r="A132" s="2098">
        <v>33902</v>
      </c>
      <c r="B132" s="380" t="str">
        <f t="shared" si="2"/>
        <v>033-902</v>
      </c>
      <c r="C132" s="2103">
        <v>0.91639999999999999</v>
      </c>
    </row>
    <row r="133" spans="1:3" ht="14.5">
      <c r="A133" s="2098">
        <v>33904</v>
      </c>
      <c r="B133" s="380" t="str">
        <f t="shared" si="2"/>
        <v>033-904</v>
      </c>
      <c r="C133" s="2103">
        <v>0.91639999999999999</v>
      </c>
    </row>
    <row r="134" spans="1:3" ht="14.5">
      <c r="A134" s="2098">
        <v>34901</v>
      </c>
      <c r="B134" s="380" t="str">
        <f t="shared" si="2"/>
        <v>034-901</v>
      </c>
      <c r="C134" s="2103">
        <v>0.91639999999999999</v>
      </c>
    </row>
    <row r="135" spans="1:3" ht="14.5">
      <c r="A135" s="2098">
        <v>34902</v>
      </c>
      <c r="B135" s="380" t="str">
        <f t="shared" si="2"/>
        <v>034-902</v>
      </c>
      <c r="C135" s="2103">
        <v>0.88780000000000003</v>
      </c>
    </row>
    <row r="136" spans="1:3" ht="14.5">
      <c r="A136" s="2098">
        <v>34903</v>
      </c>
      <c r="B136" s="380" t="str">
        <f t="shared" si="2"/>
        <v>034-903</v>
      </c>
      <c r="C136" s="2103">
        <v>0.91639999999999999</v>
      </c>
    </row>
    <row r="137" spans="1:3" ht="14.5">
      <c r="A137" s="2098">
        <v>34905</v>
      </c>
      <c r="B137" s="380" t="str">
        <f t="shared" si="2"/>
        <v>034-905</v>
      </c>
      <c r="C137" s="2103">
        <v>0.91639999999999999</v>
      </c>
    </row>
    <row r="138" spans="1:3" ht="14.5">
      <c r="A138" s="2098">
        <v>34906</v>
      </c>
      <c r="B138" s="380" t="str">
        <f t="shared" si="2"/>
        <v>034-906</v>
      </c>
      <c r="C138" s="2103">
        <v>0.91639999999999999</v>
      </c>
    </row>
    <row r="139" spans="1:3" ht="14.5">
      <c r="A139" s="2098">
        <v>34907</v>
      </c>
      <c r="B139" s="380" t="str">
        <f t="shared" si="2"/>
        <v>034-907</v>
      </c>
      <c r="C139" s="2103">
        <v>0.90839999999999999</v>
      </c>
    </row>
    <row r="140" spans="1:3" ht="14.5">
      <c r="A140" s="2098">
        <v>34909</v>
      </c>
      <c r="B140" s="380" t="str">
        <f t="shared" si="2"/>
        <v>034-909</v>
      </c>
      <c r="C140" s="2103">
        <v>0.90200000000000002</v>
      </c>
    </row>
    <row r="141" spans="1:3" ht="14.5">
      <c r="A141" s="2098">
        <v>35901</v>
      </c>
      <c r="B141" s="380" t="str">
        <f t="shared" si="2"/>
        <v>035-901</v>
      </c>
      <c r="C141" s="2103">
        <v>0.91639999999999999</v>
      </c>
    </row>
    <row r="142" spans="1:3" ht="14.5">
      <c r="A142" s="2098">
        <v>35902</v>
      </c>
      <c r="B142" s="380" t="str">
        <f t="shared" si="2"/>
        <v>035-902</v>
      </c>
      <c r="C142" s="2103">
        <v>0.91639999999999999</v>
      </c>
    </row>
    <row r="143" spans="1:3" ht="14.5">
      <c r="A143" s="2098">
        <v>35903</v>
      </c>
      <c r="B143" s="380" t="str">
        <f t="shared" si="2"/>
        <v>035-903</v>
      </c>
      <c r="C143" s="2103">
        <v>0.91639999999999999</v>
      </c>
    </row>
    <row r="144" spans="1:3" ht="14.5">
      <c r="A144" s="2098">
        <v>36901</v>
      </c>
      <c r="B144" s="380" t="str">
        <f t="shared" si="2"/>
        <v>036-901</v>
      </c>
      <c r="C144" s="2103">
        <v>0.91639999999999999</v>
      </c>
    </row>
    <row r="145" spans="1:3" ht="14.5">
      <c r="A145" s="2098">
        <v>36902</v>
      </c>
      <c r="B145" s="380" t="str">
        <f t="shared" si="2"/>
        <v>036-902</v>
      </c>
      <c r="C145" s="2103">
        <v>0.82469999999999999</v>
      </c>
    </row>
    <row r="146" spans="1:3" ht="14.5">
      <c r="A146" s="2098">
        <v>36903</v>
      </c>
      <c r="B146" s="380" t="str">
        <f t="shared" si="2"/>
        <v>036-903</v>
      </c>
      <c r="C146" s="2103">
        <v>0.91639999999999999</v>
      </c>
    </row>
    <row r="147" spans="1:3" ht="14.5">
      <c r="A147" s="2098">
        <v>37901</v>
      </c>
      <c r="B147" s="380" t="str">
        <f t="shared" si="2"/>
        <v>037-901</v>
      </c>
      <c r="C147" s="2103">
        <v>0.89449999999999996</v>
      </c>
    </row>
    <row r="148" spans="1:3" ht="14.5">
      <c r="A148" s="2098">
        <v>37904</v>
      </c>
      <c r="B148" s="380" t="str">
        <f t="shared" si="2"/>
        <v>037-904</v>
      </c>
      <c r="C148" s="2103">
        <v>0.91349999999999998</v>
      </c>
    </row>
    <row r="149" spans="1:3" ht="14.5">
      <c r="A149" s="2098">
        <v>37907</v>
      </c>
      <c r="B149" s="380" t="str">
        <f t="shared" si="2"/>
        <v>037-907</v>
      </c>
      <c r="C149" s="2103">
        <v>0.91639999999999999</v>
      </c>
    </row>
    <row r="150" spans="1:3" ht="14.5">
      <c r="A150" s="2098">
        <v>37908</v>
      </c>
      <c r="B150" s="380" t="str">
        <f t="shared" si="2"/>
        <v>037-908</v>
      </c>
      <c r="C150" s="2103">
        <v>0.89029999999999998</v>
      </c>
    </row>
    <row r="151" spans="1:3" ht="14.5">
      <c r="A151" s="2098">
        <v>37909</v>
      </c>
      <c r="B151" s="380" t="str">
        <f t="shared" si="2"/>
        <v>037-909</v>
      </c>
      <c r="C151" s="2103">
        <v>0.91639999999999999</v>
      </c>
    </row>
    <row r="152" spans="1:3" ht="14.5">
      <c r="A152" s="2098">
        <v>38901</v>
      </c>
      <c r="B152" s="380" t="str">
        <f t="shared" si="2"/>
        <v>038-901</v>
      </c>
      <c r="C152" s="2103">
        <v>0.87319999999999998</v>
      </c>
    </row>
    <row r="153" spans="1:3" ht="14.5">
      <c r="A153" s="2098">
        <v>39902</v>
      </c>
      <c r="B153" s="380" t="str">
        <f t="shared" si="2"/>
        <v>039-902</v>
      </c>
      <c r="C153" s="2103">
        <v>0.91639999999999999</v>
      </c>
    </row>
    <row r="154" spans="1:3" ht="14.5">
      <c r="A154" s="2098">
        <v>39903</v>
      </c>
      <c r="B154" s="380" t="str">
        <f t="shared" si="2"/>
        <v>039-903</v>
      </c>
      <c r="C154" s="2103">
        <v>0.88029999999999997</v>
      </c>
    </row>
    <row r="155" spans="1:3" ht="14.5">
      <c r="A155" s="2098">
        <v>39904</v>
      </c>
      <c r="B155" s="380" t="str">
        <f t="shared" si="2"/>
        <v>039-904</v>
      </c>
      <c r="C155" s="2103">
        <v>0.91639999999999999</v>
      </c>
    </row>
    <row r="156" spans="1:3" ht="14.5">
      <c r="A156" s="2098">
        <v>39905</v>
      </c>
      <c r="B156" s="380" t="str">
        <f t="shared" si="2"/>
        <v>039-905</v>
      </c>
      <c r="C156" s="2103">
        <v>0.91639999999999999</v>
      </c>
    </row>
    <row r="157" spans="1:3" ht="14.5">
      <c r="A157" s="2098">
        <v>40901</v>
      </c>
      <c r="B157" s="380" t="str">
        <f t="shared" si="2"/>
        <v>040-901</v>
      </c>
      <c r="C157" s="2103">
        <v>0.91639999999999999</v>
      </c>
    </row>
    <row r="158" spans="1:3" ht="14.5">
      <c r="A158" s="2098">
        <v>40902</v>
      </c>
      <c r="B158" s="380" t="str">
        <f t="shared" si="2"/>
        <v>040-902</v>
      </c>
      <c r="C158" s="2103">
        <v>0.91639999999999999</v>
      </c>
    </row>
    <row r="159" spans="1:3" ht="14.5">
      <c r="A159" s="2098">
        <v>41901</v>
      </c>
      <c r="B159" s="380" t="str">
        <f t="shared" si="2"/>
        <v>041-901</v>
      </c>
      <c r="C159" s="2103">
        <v>0.91639999999999999</v>
      </c>
    </row>
    <row r="160" spans="1:3" ht="14.5">
      <c r="A160" s="2098">
        <v>41902</v>
      </c>
      <c r="B160" s="380" t="str">
        <f t="shared" si="2"/>
        <v>041-902</v>
      </c>
      <c r="C160" s="2103">
        <v>0.91639999999999999</v>
      </c>
    </row>
    <row r="161" spans="1:3" ht="14.5">
      <c r="A161" s="2098">
        <v>42901</v>
      </c>
      <c r="B161" s="380" t="str">
        <f t="shared" si="2"/>
        <v>042-901</v>
      </c>
      <c r="C161" s="2103">
        <v>0.91639999999999999</v>
      </c>
    </row>
    <row r="162" spans="1:3" ht="14.5">
      <c r="A162" s="2098">
        <v>42903</v>
      </c>
      <c r="B162" s="380" t="str">
        <f t="shared" si="2"/>
        <v>042-903</v>
      </c>
      <c r="C162" s="2103">
        <v>0.91639999999999999</v>
      </c>
    </row>
    <row r="163" spans="1:3" ht="14.5">
      <c r="A163" s="2098">
        <v>42905</v>
      </c>
      <c r="B163" s="380" t="str">
        <f t="shared" si="2"/>
        <v>042-905</v>
      </c>
      <c r="C163" s="2103">
        <v>0.91639999999999999</v>
      </c>
    </row>
    <row r="164" spans="1:3" ht="14.5">
      <c r="A164" s="2098">
        <v>43901</v>
      </c>
      <c r="B164" s="380" t="str">
        <f t="shared" si="2"/>
        <v>043-901</v>
      </c>
      <c r="C164" s="2103">
        <v>0.90359999999999996</v>
      </c>
    </row>
    <row r="165" spans="1:3" ht="14.5">
      <c r="A165" s="2098">
        <v>43902</v>
      </c>
      <c r="B165" s="380" t="str">
        <f t="shared" si="2"/>
        <v>043-902</v>
      </c>
      <c r="C165" s="2103">
        <v>0.83630000000000004</v>
      </c>
    </row>
    <row r="166" spans="1:3" ht="14.5">
      <c r="A166" s="2098">
        <v>43903</v>
      </c>
      <c r="B166" s="380" t="str">
        <f t="shared" si="2"/>
        <v>043-903</v>
      </c>
      <c r="C166" s="2103">
        <v>0.86429999999999996</v>
      </c>
    </row>
    <row r="167" spans="1:3" ht="14.5">
      <c r="A167" s="2098">
        <v>43904</v>
      </c>
      <c r="B167" s="380" t="str">
        <f t="shared" si="2"/>
        <v>043-904</v>
      </c>
      <c r="C167" s="2103">
        <v>0.86360000000000003</v>
      </c>
    </row>
    <row r="168" spans="1:3" ht="14.5">
      <c r="A168" s="2098">
        <v>43905</v>
      </c>
      <c r="B168" s="380" t="str">
        <f t="shared" si="2"/>
        <v>043-905</v>
      </c>
      <c r="C168" s="2103">
        <v>0.90190000000000003</v>
      </c>
    </row>
    <row r="169" spans="1:3" ht="14.5">
      <c r="A169" s="2098">
        <v>43907</v>
      </c>
      <c r="B169" s="380" t="str">
        <f t="shared" si="2"/>
        <v>043-907</v>
      </c>
      <c r="C169" s="2103">
        <v>0.91639999999999999</v>
      </c>
    </row>
    <row r="170" spans="1:3" ht="14.5">
      <c r="A170" s="2098">
        <v>43908</v>
      </c>
      <c r="B170" s="380" t="str">
        <f t="shared" si="2"/>
        <v>043-908</v>
      </c>
      <c r="C170" s="2103">
        <v>0.82469999999999999</v>
      </c>
    </row>
    <row r="171" spans="1:3" ht="14.5">
      <c r="A171" s="2098">
        <v>43910</v>
      </c>
      <c r="B171" s="380" t="str">
        <f t="shared" si="2"/>
        <v>043-910</v>
      </c>
      <c r="C171" s="2103">
        <v>0.91639999999999999</v>
      </c>
    </row>
    <row r="172" spans="1:3" ht="14.5">
      <c r="A172" s="2098">
        <v>43911</v>
      </c>
      <c r="B172" s="380" t="str">
        <f t="shared" si="2"/>
        <v>043-911</v>
      </c>
      <c r="C172" s="2103">
        <v>0.83150000000000002</v>
      </c>
    </row>
    <row r="173" spans="1:3" ht="14.5">
      <c r="A173" s="2098">
        <v>43912</v>
      </c>
      <c r="B173" s="380" t="str">
        <f t="shared" si="2"/>
        <v>043-912</v>
      </c>
      <c r="C173" s="2103">
        <v>0.85440000000000005</v>
      </c>
    </row>
    <row r="174" spans="1:3" ht="14.5">
      <c r="A174" s="2098">
        <v>43914</v>
      </c>
      <c r="B174" s="380" t="str">
        <f t="shared" si="2"/>
        <v>043-914</v>
      </c>
      <c r="C174" s="2103">
        <v>0.91220000000000001</v>
      </c>
    </row>
    <row r="175" spans="1:3" ht="14.5">
      <c r="A175" s="2098">
        <v>43917</v>
      </c>
      <c r="B175" s="380" t="str">
        <f t="shared" si="2"/>
        <v>043-917</v>
      </c>
      <c r="C175" s="2103">
        <v>0.88570000000000004</v>
      </c>
    </row>
    <row r="176" spans="1:3" ht="14.5">
      <c r="A176" s="2098">
        <v>43918</v>
      </c>
      <c r="B176" s="380" t="str">
        <f t="shared" si="2"/>
        <v>043-918</v>
      </c>
      <c r="C176" s="2103">
        <v>0.84789999999999999</v>
      </c>
    </row>
    <row r="177" spans="1:3" ht="14.5">
      <c r="A177" s="2098">
        <v>43919</v>
      </c>
      <c r="B177" s="380" t="str">
        <f t="shared" si="2"/>
        <v>043-919</v>
      </c>
      <c r="C177" s="2103">
        <v>0.91639999999999999</v>
      </c>
    </row>
    <row r="178" spans="1:3" ht="14.5">
      <c r="A178" s="2098">
        <v>44902</v>
      </c>
      <c r="B178" s="380" t="str">
        <f t="shared" si="2"/>
        <v>044-902</v>
      </c>
      <c r="C178" s="2103">
        <v>0.89539999999999997</v>
      </c>
    </row>
    <row r="179" spans="1:3" ht="14.5">
      <c r="A179" s="2098">
        <v>45902</v>
      </c>
      <c r="B179" s="380" t="str">
        <f t="shared" si="2"/>
        <v>045-902</v>
      </c>
      <c r="C179" s="2103">
        <v>0.9103</v>
      </c>
    </row>
    <row r="180" spans="1:3" ht="14.5">
      <c r="A180" s="2098">
        <v>45903</v>
      </c>
      <c r="B180" s="380" t="str">
        <f t="shared" si="2"/>
        <v>045-903</v>
      </c>
      <c r="C180" s="2103">
        <v>0.91639999999999999</v>
      </c>
    </row>
    <row r="181" spans="1:3" ht="14.5">
      <c r="A181" s="2098">
        <v>45905</v>
      </c>
      <c r="B181" s="380" t="str">
        <f t="shared" si="2"/>
        <v>045-905</v>
      </c>
      <c r="C181" s="2103">
        <v>0.90359999999999996</v>
      </c>
    </row>
    <row r="182" spans="1:3" ht="14.5">
      <c r="A182" s="2098">
        <v>46901</v>
      </c>
      <c r="B182" s="380" t="str">
        <f t="shared" si="2"/>
        <v>046-901</v>
      </c>
      <c r="C182" s="2103">
        <v>0.84750000000000003</v>
      </c>
    </row>
    <row r="183" spans="1:3" ht="14.5">
      <c r="A183" s="2098">
        <v>46902</v>
      </c>
      <c r="B183" s="380" t="str">
        <f t="shared" si="2"/>
        <v>046-902</v>
      </c>
      <c r="C183" s="2103">
        <v>0.87570000000000003</v>
      </c>
    </row>
    <row r="184" spans="1:3" ht="14.5">
      <c r="A184" s="2098">
        <v>47901</v>
      </c>
      <c r="B184" s="380" t="str">
        <f t="shared" si="2"/>
        <v>047-901</v>
      </c>
      <c r="C184" s="2103">
        <v>0.90010000000000001</v>
      </c>
    </row>
    <row r="185" spans="1:3" ht="14.5">
      <c r="A185" s="2098">
        <v>47902</v>
      </c>
      <c r="B185" s="380" t="str">
        <f t="shared" si="2"/>
        <v>047-902</v>
      </c>
      <c r="C185" s="2103">
        <v>0.91639999999999999</v>
      </c>
    </row>
    <row r="186" spans="1:3" ht="14.5">
      <c r="A186" s="2098">
        <v>47903</v>
      </c>
      <c r="B186" s="380" t="str">
        <f t="shared" si="2"/>
        <v>047-903</v>
      </c>
      <c r="C186" s="2103">
        <v>0.83689999999999998</v>
      </c>
    </row>
    <row r="187" spans="1:3" ht="14.5">
      <c r="A187" s="2098">
        <v>47905</v>
      </c>
      <c r="B187" s="380" t="str">
        <f t="shared" si="2"/>
        <v>047-905</v>
      </c>
      <c r="C187" s="2103">
        <v>0.87</v>
      </c>
    </row>
    <row r="188" spans="1:3" ht="14.5">
      <c r="A188" s="2098">
        <v>48901</v>
      </c>
      <c r="B188" s="380" t="str">
        <f t="shared" si="2"/>
        <v>048-901</v>
      </c>
      <c r="C188" s="2103">
        <v>0.82469999999999999</v>
      </c>
    </row>
    <row r="189" spans="1:3" ht="14.5">
      <c r="A189" s="2098">
        <v>48903</v>
      </c>
      <c r="B189" s="380" t="str">
        <f t="shared" si="2"/>
        <v>048-903</v>
      </c>
      <c r="C189" s="2103">
        <v>0.82469999999999999</v>
      </c>
    </row>
    <row r="190" spans="1:3" ht="14.5">
      <c r="A190" s="2098">
        <v>49901</v>
      </c>
      <c r="B190" s="380" t="str">
        <f t="shared" si="2"/>
        <v>049-901</v>
      </c>
      <c r="C190" s="2103">
        <v>0.88329999999999997</v>
      </c>
    </row>
    <row r="191" spans="1:3" ht="14.5">
      <c r="A191" s="2098">
        <v>49902</v>
      </c>
      <c r="B191" s="380" t="str">
        <f t="shared" si="2"/>
        <v>049-902</v>
      </c>
      <c r="C191" s="2103">
        <v>0.91639999999999999</v>
      </c>
    </row>
    <row r="192" spans="1:3" ht="14.5">
      <c r="A192" s="2098">
        <v>49903</v>
      </c>
      <c r="B192" s="380" t="str">
        <f t="shared" si="2"/>
        <v>049-903</v>
      </c>
      <c r="C192" s="2103">
        <v>0.91639999999999999</v>
      </c>
    </row>
    <row r="193" spans="1:3" ht="14.5">
      <c r="A193" s="2098">
        <v>49905</v>
      </c>
      <c r="B193" s="380" t="str">
        <f t="shared" ref="B193:B256" si="3">CONCATENATE(LEFT(RIGHT(CONCATENATE("000",A193),6),3),"-",(RIGHT(RIGHT(CONCATENATE("000",A193),6),3)))</f>
        <v>049-905</v>
      </c>
      <c r="C193" s="2103">
        <v>0.8528</v>
      </c>
    </row>
    <row r="194" spans="1:3" ht="14.5">
      <c r="A194" s="2098">
        <v>49906</v>
      </c>
      <c r="B194" s="380" t="str">
        <f t="shared" si="3"/>
        <v>049-906</v>
      </c>
      <c r="C194" s="2103">
        <v>0.91639999999999999</v>
      </c>
    </row>
    <row r="195" spans="1:3" ht="14.5">
      <c r="A195" s="2098">
        <v>49907</v>
      </c>
      <c r="B195" s="380" t="str">
        <f t="shared" si="3"/>
        <v>049-907</v>
      </c>
      <c r="C195" s="2103">
        <v>0.91639999999999999</v>
      </c>
    </row>
    <row r="196" spans="1:3" ht="14.5">
      <c r="A196" s="2098">
        <v>49908</v>
      </c>
      <c r="B196" s="380" t="str">
        <f t="shared" si="3"/>
        <v>049-908</v>
      </c>
      <c r="C196" s="2103">
        <v>0.91639999999999999</v>
      </c>
    </row>
    <row r="197" spans="1:3" ht="14.5">
      <c r="A197" s="2098">
        <v>49909</v>
      </c>
      <c r="B197" s="380" t="str">
        <f t="shared" si="3"/>
        <v>049-909</v>
      </c>
      <c r="C197" s="2103">
        <v>0.84309999999999996</v>
      </c>
    </row>
    <row r="198" spans="1:3" ht="14.5">
      <c r="A198" s="2098">
        <v>50901</v>
      </c>
      <c r="B198" s="380" t="str">
        <f t="shared" si="3"/>
        <v>050-901</v>
      </c>
      <c r="C198" s="2103">
        <v>0.88129999999999997</v>
      </c>
    </row>
    <row r="199" spans="1:3" ht="14.5">
      <c r="A199" s="2098">
        <v>50902</v>
      </c>
      <c r="B199" s="380" t="str">
        <f t="shared" si="3"/>
        <v>050-902</v>
      </c>
      <c r="C199" s="2103">
        <v>0.89749999999999996</v>
      </c>
    </row>
    <row r="200" spans="1:3" ht="14.5">
      <c r="A200" s="2098">
        <v>50904</v>
      </c>
      <c r="B200" s="380" t="str">
        <f t="shared" si="3"/>
        <v>050-904</v>
      </c>
      <c r="C200" s="2103">
        <v>0.8327</v>
      </c>
    </row>
    <row r="201" spans="1:3" ht="14.5">
      <c r="A201" s="2098">
        <v>50909</v>
      </c>
      <c r="B201" s="380" t="str">
        <f t="shared" si="3"/>
        <v>050-909</v>
      </c>
      <c r="C201" s="2103">
        <v>0.87709999999999999</v>
      </c>
    </row>
    <row r="202" spans="1:3" ht="14.5">
      <c r="A202" s="2098">
        <v>50910</v>
      </c>
      <c r="B202" s="380" t="str">
        <f t="shared" si="3"/>
        <v>050-910</v>
      </c>
      <c r="C202" s="2103">
        <v>0.91400000000000003</v>
      </c>
    </row>
    <row r="203" spans="1:3" ht="14.5">
      <c r="A203" s="2098">
        <v>51901</v>
      </c>
      <c r="B203" s="380" t="str">
        <f t="shared" si="3"/>
        <v>051-901</v>
      </c>
      <c r="C203" s="2103">
        <v>0.91639999999999999</v>
      </c>
    </row>
    <row r="204" spans="1:3" ht="14.5">
      <c r="A204" s="2098">
        <v>52901</v>
      </c>
      <c r="B204" s="380" t="str">
        <f t="shared" si="3"/>
        <v>052-901</v>
      </c>
      <c r="C204" s="2103">
        <v>0.83609999999999995</v>
      </c>
    </row>
    <row r="205" spans="1:3" ht="14.5">
      <c r="A205" s="2098">
        <v>53001</v>
      </c>
      <c r="B205" s="380" t="str">
        <f t="shared" si="3"/>
        <v>053-001</v>
      </c>
      <c r="C205" s="2103">
        <v>0.83509999999999995</v>
      </c>
    </row>
    <row r="206" spans="1:3" ht="14.5">
      <c r="A206" s="2098">
        <v>54901</v>
      </c>
      <c r="B206" s="380" t="str">
        <f t="shared" si="3"/>
        <v>054-901</v>
      </c>
      <c r="C206" s="2103">
        <v>0.91639999999999999</v>
      </c>
    </row>
    <row r="207" spans="1:3" ht="14.5">
      <c r="A207" s="2098">
        <v>54902</v>
      </c>
      <c r="B207" s="380" t="str">
        <f t="shared" si="3"/>
        <v>054-902</v>
      </c>
      <c r="C207" s="2103">
        <v>0.91639999999999999</v>
      </c>
    </row>
    <row r="208" spans="1:3" ht="14.5">
      <c r="A208" s="2098">
        <v>54903</v>
      </c>
      <c r="B208" s="380" t="str">
        <f t="shared" si="3"/>
        <v>054-903</v>
      </c>
      <c r="C208" s="2103">
        <v>0.91639999999999999</v>
      </c>
    </row>
    <row r="209" spans="1:3" ht="14.5">
      <c r="A209" s="2098">
        <v>55901</v>
      </c>
      <c r="B209" s="380" t="str">
        <f t="shared" si="3"/>
        <v>055-901</v>
      </c>
      <c r="C209" s="2103">
        <v>0.82469999999999999</v>
      </c>
    </row>
    <row r="210" spans="1:3" ht="14.5">
      <c r="A210" s="2098">
        <v>56901</v>
      </c>
      <c r="B210" s="380" t="str">
        <f t="shared" si="3"/>
        <v>056-901</v>
      </c>
      <c r="C210" s="2103">
        <v>0.89829999999999999</v>
      </c>
    </row>
    <row r="211" spans="1:3" ht="14.5">
      <c r="A211" s="2098">
        <v>56902</v>
      </c>
      <c r="B211" s="380" t="str">
        <f t="shared" si="3"/>
        <v>056-902</v>
      </c>
      <c r="C211" s="2103">
        <v>0.91639999999999999</v>
      </c>
    </row>
    <row r="212" spans="1:3" ht="14.5">
      <c r="A212" s="2098">
        <v>57903</v>
      </c>
      <c r="B212" s="380" t="str">
        <f t="shared" si="3"/>
        <v>057-903</v>
      </c>
      <c r="C212" s="2103">
        <v>0.91639999999999999</v>
      </c>
    </row>
    <row r="213" spans="1:3" ht="14.5">
      <c r="A213" s="2098">
        <v>57904</v>
      </c>
      <c r="B213" s="380" t="str">
        <f t="shared" si="3"/>
        <v>057-904</v>
      </c>
      <c r="C213" s="2103">
        <v>0.89729999999999999</v>
      </c>
    </row>
    <row r="214" spans="1:3" ht="14.5">
      <c r="A214" s="2098">
        <v>57905</v>
      </c>
      <c r="B214" s="380" t="str">
        <f t="shared" si="3"/>
        <v>057-905</v>
      </c>
      <c r="C214" s="2103">
        <v>0.91639999999999999</v>
      </c>
    </row>
    <row r="215" spans="1:3" ht="14.5">
      <c r="A215" s="2098">
        <v>57906</v>
      </c>
      <c r="B215" s="380" t="str">
        <f t="shared" si="3"/>
        <v>057-906</v>
      </c>
      <c r="C215" s="2103">
        <v>0.91639999999999999</v>
      </c>
    </row>
    <row r="216" spans="1:3" ht="14.5">
      <c r="A216" s="2098">
        <v>57907</v>
      </c>
      <c r="B216" s="380" t="str">
        <f t="shared" si="3"/>
        <v>057-907</v>
      </c>
      <c r="C216" s="2103">
        <v>0.84760000000000002</v>
      </c>
    </row>
    <row r="217" spans="1:3" ht="14.5">
      <c r="A217" s="2098">
        <v>57909</v>
      </c>
      <c r="B217" s="380" t="str">
        <f t="shared" si="3"/>
        <v>057-909</v>
      </c>
      <c r="C217" s="2103">
        <v>0.90129999999999999</v>
      </c>
    </row>
    <row r="218" spans="1:3" ht="14.5">
      <c r="A218" s="2098">
        <v>57910</v>
      </c>
      <c r="B218" s="380" t="str">
        <f t="shared" si="3"/>
        <v>057-910</v>
      </c>
      <c r="C218" s="2103">
        <v>0.91639999999999999</v>
      </c>
    </row>
    <row r="219" spans="1:3" ht="14.5">
      <c r="A219" s="2098">
        <v>57911</v>
      </c>
      <c r="B219" s="380" t="str">
        <f t="shared" si="3"/>
        <v>057-911</v>
      </c>
      <c r="C219" s="2103">
        <v>0.91639999999999999</v>
      </c>
    </row>
    <row r="220" spans="1:3" ht="14.5">
      <c r="A220" s="2098">
        <v>57912</v>
      </c>
      <c r="B220" s="380" t="str">
        <f t="shared" si="3"/>
        <v>057-912</v>
      </c>
      <c r="C220" s="2103">
        <v>0.91379999999999995</v>
      </c>
    </row>
    <row r="221" spans="1:3" ht="14.5">
      <c r="A221" s="2098">
        <v>57913</v>
      </c>
      <c r="B221" s="380" t="str">
        <f t="shared" si="3"/>
        <v>057-913</v>
      </c>
      <c r="C221" s="2103">
        <v>0.91639999999999999</v>
      </c>
    </row>
    <row r="222" spans="1:3" ht="14.5">
      <c r="A222" s="2098">
        <v>57914</v>
      </c>
      <c r="B222" s="380" t="str">
        <f t="shared" si="3"/>
        <v>057-914</v>
      </c>
      <c r="C222" s="2103">
        <v>0.91639999999999999</v>
      </c>
    </row>
    <row r="223" spans="1:3" ht="14.5">
      <c r="A223" s="2098">
        <v>57916</v>
      </c>
      <c r="B223" s="380" t="str">
        <f t="shared" si="3"/>
        <v>057-916</v>
      </c>
      <c r="C223" s="2103">
        <v>0.91639999999999999</v>
      </c>
    </row>
    <row r="224" spans="1:3" ht="14.5">
      <c r="A224" s="2098">
        <v>57919</v>
      </c>
      <c r="B224" s="380" t="str">
        <f t="shared" si="3"/>
        <v>057-919</v>
      </c>
      <c r="C224" s="2103">
        <v>0.86919999999999997</v>
      </c>
    </row>
    <row r="225" spans="1:3" ht="14.5">
      <c r="A225" s="2098">
        <v>57922</v>
      </c>
      <c r="B225" s="380" t="str">
        <f t="shared" si="3"/>
        <v>057-922</v>
      </c>
      <c r="C225" s="2103">
        <v>0.91310000000000002</v>
      </c>
    </row>
    <row r="226" spans="1:3" ht="14.5">
      <c r="A226" s="2098">
        <v>58902</v>
      </c>
      <c r="B226" s="380" t="str">
        <f t="shared" si="3"/>
        <v>058-902</v>
      </c>
      <c r="C226" s="2103">
        <v>0.91639999999999999</v>
      </c>
    </row>
    <row r="227" spans="1:3" ht="14.5">
      <c r="A227" s="2098">
        <v>58905</v>
      </c>
      <c r="B227" s="380" t="str">
        <f t="shared" si="3"/>
        <v>058-905</v>
      </c>
      <c r="C227" s="2103">
        <v>0.82469999999999999</v>
      </c>
    </row>
    <row r="228" spans="1:3" ht="14.5">
      <c r="A228" s="2098">
        <v>58906</v>
      </c>
      <c r="B228" s="380" t="str">
        <f t="shared" si="3"/>
        <v>058-906</v>
      </c>
      <c r="C228" s="2103">
        <v>0.91639999999999999</v>
      </c>
    </row>
    <row r="229" spans="1:3" ht="14.5">
      <c r="A229" s="2098">
        <v>58909</v>
      </c>
      <c r="B229" s="380" t="str">
        <f t="shared" si="3"/>
        <v>058-909</v>
      </c>
      <c r="C229" s="2103">
        <v>0.82469999999999999</v>
      </c>
    </row>
    <row r="230" spans="1:3" ht="14.5">
      <c r="A230" s="2098">
        <v>59901</v>
      </c>
      <c r="B230" s="380" t="str">
        <f t="shared" si="3"/>
        <v>059-901</v>
      </c>
      <c r="C230" s="2103">
        <v>0.89319999999999999</v>
      </c>
    </row>
    <row r="231" spans="1:3" ht="14.5">
      <c r="A231" s="2098">
        <v>59902</v>
      </c>
      <c r="B231" s="380" t="str">
        <f t="shared" si="3"/>
        <v>059-902</v>
      </c>
      <c r="C231" s="2103">
        <v>0.91639999999999999</v>
      </c>
    </row>
    <row r="232" spans="1:3" ht="14.5">
      <c r="A232" s="2098">
        <v>60902</v>
      </c>
      <c r="B232" s="380" t="str">
        <f t="shared" si="3"/>
        <v>060-902</v>
      </c>
      <c r="C232" s="2103">
        <v>0.88780000000000003</v>
      </c>
    </row>
    <row r="233" spans="1:3" ht="14.5">
      <c r="A233" s="2098">
        <v>60914</v>
      </c>
      <c r="B233" s="380" t="str">
        <f t="shared" si="3"/>
        <v>060-914</v>
      </c>
      <c r="C233" s="2103">
        <v>0.90349999999999997</v>
      </c>
    </row>
    <row r="234" spans="1:3" ht="14.5">
      <c r="A234" s="2098">
        <v>61901</v>
      </c>
      <c r="B234" s="380" t="str">
        <f t="shared" si="3"/>
        <v>061-901</v>
      </c>
      <c r="C234" s="2103">
        <v>0.86760000000000004</v>
      </c>
    </row>
    <row r="235" spans="1:3" ht="14.5">
      <c r="A235" s="2098">
        <v>61902</v>
      </c>
      <c r="B235" s="380" t="str">
        <f t="shared" si="3"/>
        <v>061-902</v>
      </c>
      <c r="C235" s="2103">
        <v>0.91639999999999999</v>
      </c>
    </row>
    <row r="236" spans="1:3" ht="14.5">
      <c r="A236" s="2098">
        <v>61903</v>
      </c>
      <c r="B236" s="380" t="str">
        <f t="shared" si="3"/>
        <v>061-903</v>
      </c>
      <c r="C236" s="2103">
        <v>0.88029999999999997</v>
      </c>
    </row>
    <row r="237" spans="1:3" ht="14.5">
      <c r="A237" s="2098">
        <v>61905</v>
      </c>
      <c r="B237" s="380" t="str">
        <f t="shared" si="3"/>
        <v>061-905</v>
      </c>
      <c r="C237" s="2103">
        <v>0.90839999999999999</v>
      </c>
    </row>
    <row r="238" spans="1:3" ht="14.5">
      <c r="A238" s="2098">
        <v>61906</v>
      </c>
      <c r="B238" s="380" t="str">
        <f t="shared" si="3"/>
        <v>061-906</v>
      </c>
      <c r="C238" s="2103">
        <v>0.91639999999999999</v>
      </c>
    </row>
    <row r="239" spans="1:3" ht="14.5">
      <c r="A239" s="2098">
        <v>61907</v>
      </c>
      <c r="B239" s="380" t="str">
        <f t="shared" si="3"/>
        <v>061-907</v>
      </c>
      <c r="C239" s="2103">
        <v>0.87039999999999995</v>
      </c>
    </row>
    <row r="240" spans="1:3" ht="14.5">
      <c r="A240" s="2098">
        <v>61908</v>
      </c>
      <c r="B240" s="380" t="str">
        <f t="shared" si="3"/>
        <v>061-908</v>
      </c>
      <c r="C240" s="2103">
        <v>0.84099999999999997</v>
      </c>
    </row>
    <row r="241" spans="1:3" ht="14.5">
      <c r="A241" s="2098">
        <v>61910</v>
      </c>
      <c r="B241" s="380" t="str">
        <f t="shared" si="3"/>
        <v>061-910</v>
      </c>
      <c r="C241" s="2103">
        <v>0.8407</v>
      </c>
    </row>
    <row r="242" spans="1:3" ht="14.5">
      <c r="A242" s="2098">
        <v>61911</v>
      </c>
      <c r="B242" s="380" t="str">
        <f t="shared" si="3"/>
        <v>061-911</v>
      </c>
      <c r="C242" s="2103">
        <v>0.87629999999999997</v>
      </c>
    </row>
    <row r="243" spans="1:3" ht="14.5">
      <c r="A243" s="2098">
        <v>61912</v>
      </c>
      <c r="B243" s="380" t="str">
        <f t="shared" si="3"/>
        <v>061-912</v>
      </c>
      <c r="C243" s="2103">
        <v>0.91200000000000003</v>
      </c>
    </row>
    <row r="244" spans="1:3" ht="14.5">
      <c r="A244" s="2098">
        <v>61914</v>
      </c>
      <c r="B244" s="380" t="str">
        <f t="shared" si="3"/>
        <v>061-914</v>
      </c>
      <c r="C244" s="2103">
        <v>0.88529999999999998</v>
      </c>
    </row>
    <row r="245" spans="1:3" ht="14.5">
      <c r="A245" s="2098">
        <v>62901</v>
      </c>
      <c r="B245" s="380" t="str">
        <f t="shared" si="3"/>
        <v>062-901</v>
      </c>
      <c r="C245" s="2103">
        <v>0.91639999999999999</v>
      </c>
    </row>
    <row r="246" spans="1:3" ht="14.5">
      <c r="A246" s="2098">
        <v>62902</v>
      </c>
      <c r="B246" s="380" t="str">
        <f t="shared" si="3"/>
        <v>062-902</v>
      </c>
      <c r="C246" s="2103">
        <v>0.91639999999999999</v>
      </c>
    </row>
    <row r="247" spans="1:3" ht="14.5">
      <c r="A247" s="2098">
        <v>62903</v>
      </c>
      <c r="B247" s="380" t="str">
        <f t="shared" si="3"/>
        <v>062-903</v>
      </c>
      <c r="C247" s="2103">
        <v>0.91639999999999999</v>
      </c>
    </row>
    <row r="248" spans="1:3" ht="14.5">
      <c r="A248" s="2098">
        <v>62904</v>
      </c>
      <c r="B248" s="380" t="str">
        <f t="shared" si="3"/>
        <v>062-904</v>
      </c>
      <c r="C248" s="2103">
        <v>0.91639999999999999</v>
      </c>
    </row>
    <row r="249" spans="1:3" ht="14.5">
      <c r="A249" s="2098">
        <v>62905</v>
      </c>
      <c r="B249" s="380" t="str">
        <f t="shared" si="3"/>
        <v>062-905</v>
      </c>
      <c r="C249" s="2103">
        <v>0.91639999999999999</v>
      </c>
    </row>
    <row r="250" spans="1:3" ht="14.5">
      <c r="A250" s="2098">
        <v>62906</v>
      </c>
      <c r="B250" s="380" t="str">
        <f t="shared" si="3"/>
        <v>062-906</v>
      </c>
      <c r="C250" s="2103">
        <v>0.91239999999999999</v>
      </c>
    </row>
    <row r="251" spans="1:3" ht="14.5">
      <c r="A251" s="2098">
        <v>63903</v>
      </c>
      <c r="B251" s="380" t="str">
        <f t="shared" si="3"/>
        <v>063-903</v>
      </c>
      <c r="C251" s="2103">
        <v>0.91639999999999999</v>
      </c>
    </row>
    <row r="252" spans="1:3" ht="14.5">
      <c r="A252" s="2098">
        <v>63906</v>
      </c>
      <c r="B252" s="380" t="str">
        <f t="shared" si="3"/>
        <v>063-906</v>
      </c>
      <c r="C252" s="2103">
        <v>0.91639999999999999</v>
      </c>
    </row>
    <row r="253" spans="1:3" ht="14.5">
      <c r="A253" s="2098">
        <v>64903</v>
      </c>
      <c r="B253" s="380" t="str">
        <f t="shared" si="3"/>
        <v>064-903</v>
      </c>
      <c r="C253" s="2103">
        <v>0.91639999999999999</v>
      </c>
    </row>
    <row r="254" spans="1:3" ht="14.5">
      <c r="A254" s="2098">
        <v>65901</v>
      </c>
      <c r="B254" s="380" t="str">
        <f t="shared" si="3"/>
        <v>065-901</v>
      </c>
      <c r="C254" s="2103">
        <v>0.88770000000000004</v>
      </c>
    </row>
    <row r="255" spans="1:3" ht="14.5">
      <c r="A255" s="2098">
        <v>65902</v>
      </c>
      <c r="B255" s="380" t="str">
        <f t="shared" si="3"/>
        <v>065-902</v>
      </c>
      <c r="C255" s="2103">
        <v>0.82469999999999999</v>
      </c>
    </row>
    <row r="256" spans="1:3" ht="14.5">
      <c r="A256" s="2098">
        <v>66005</v>
      </c>
      <c r="B256" s="380" t="str">
        <f t="shared" si="3"/>
        <v>066-005</v>
      </c>
      <c r="C256" s="2103">
        <v>0.91639999999999999</v>
      </c>
    </row>
    <row r="257" spans="1:3" ht="14.5">
      <c r="A257" s="2098">
        <v>66901</v>
      </c>
      <c r="B257" s="380" t="str">
        <f t="shared" ref="B257:B320" si="4">CONCATENATE(LEFT(RIGHT(CONCATENATE("000",A257),6),3),"-",(RIGHT(RIGHT(CONCATENATE("000",A257),6),3)))</f>
        <v>066-901</v>
      </c>
      <c r="C257" s="2103">
        <v>0.91639999999999999</v>
      </c>
    </row>
    <row r="258" spans="1:3" ht="14.5">
      <c r="A258" s="2098">
        <v>66902</v>
      </c>
      <c r="B258" s="380" t="str">
        <f t="shared" si="4"/>
        <v>066-902</v>
      </c>
      <c r="C258" s="2103">
        <v>0.82469999999999999</v>
      </c>
    </row>
    <row r="259" spans="1:3" ht="14.5">
      <c r="A259" s="2098">
        <v>66903</v>
      </c>
      <c r="B259" s="380" t="str">
        <f t="shared" si="4"/>
        <v>066-903</v>
      </c>
      <c r="C259" s="2103">
        <v>0.82469999999999999</v>
      </c>
    </row>
    <row r="260" spans="1:3" ht="14.5">
      <c r="A260" s="2098">
        <v>67902</v>
      </c>
      <c r="B260" s="380" t="str">
        <f t="shared" si="4"/>
        <v>067-902</v>
      </c>
      <c r="C260" s="2103">
        <v>0.91639999999999999</v>
      </c>
    </row>
    <row r="261" spans="1:3" ht="14.5">
      <c r="A261" s="2098">
        <v>67903</v>
      </c>
      <c r="B261" s="380" t="str">
        <f t="shared" si="4"/>
        <v>067-903</v>
      </c>
      <c r="C261" s="2103">
        <v>0.91639999999999999</v>
      </c>
    </row>
    <row r="262" spans="1:3" ht="14.5">
      <c r="A262" s="2098">
        <v>67904</v>
      </c>
      <c r="B262" s="380" t="str">
        <f t="shared" si="4"/>
        <v>067-904</v>
      </c>
      <c r="C262" s="2103">
        <v>0.86599999999999999</v>
      </c>
    </row>
    <row r="263" spans="1:3" ht="14.5">
      <c r="A263" s="2098">
        <v>67907</v>
      </c>
      <c r="B263" s="380" t="str">
        <f t="shared" si="4"/>
        <v>067-907</v>
      </c>
      <c r="C263" s="2103">
        <v>0.90959999999999996</v>
      </c>
    </row>
    <row r="264" spans="1:3" ht="14.5">
      <c r="A264" s="2098">
        <v>67908</v>
      </c>
      <c r="B264" s="380" t="str">
        <f t="shared" si="4"/>
        <v>067-908</v>
      </c>
      <c r="C264" s="2103">
        <v>0.91639999999999999</v>
      </c>
    </row>
    <row r="265" spans="1:3" ht="14.5">
      <c r="A265" s="2098">
        <v>68901</v>
      </c>
      <c r="B265" s="380" t="str">
        <f t="shared" si="4"/>
        <v>068-901</v>
      </c>
      <c r="C265" s="2103">
        <v>0.91639999999999999</v>
      </c>
    </row>
    <row r="266" spans="1:3" ht="14.5">
      <c r="A266" s="2098">
        <v>69901</v>
      </c>
      <c r="B266" s="380" t="str">
        <f t="shared" si="4"/>
        <v>069-901</v>
      </c>
      <c r="C266" s="2103">
        <v>0.82469999999999999</v>
      </c>
    </row>
    <row r="267" spans="1:3" ht="14.5">
      <c r="A267" s="2098">
        <v>69902</v>
      </c>
      <c r="B267" s="380" t="str">
        <f t="shared" si="4"/>
        <v>069-902</v>
      </c>
      <c r="C267" s="2103">
        <v>0.91479999999999995</v>
      </c>
    </row>
    <row r="268" spans="1:3" ht="14.5">
      <c r="A268" s="2098">
        <v>70901</v>
      </c>
      <c r="B268" s="380" t="str">
        <f t="shared" si="4"/>
        <v>070-901</v>
      </c>
      <c r="C268" s="2103">
        <v>0.82469999999999999</v>
      </c>
    </row>
    <row r="269" spans="1:3" ht="14.5">
      <c r="A269" s="2098">
        <v>70903</v>
      </c>
      <c r="B269" s="380" t="str">
        <f t="shared" si="4"/>
        <v>070-903</v>
      </c>
      <c r="C269" s="2103">
        <v>0.89159999999999995</v>
      </c>
    </row>
    <row r="270" spans="1:3" ht="14.5">
      <c r="A270" s="2098">
        <v>70905</v>
      </c>
      <c r="B270" s="380" t="str">
        <f t="shared" si="4"/>
        <v>070-905</v>
      </c>
      <c r="C270" s="2103">
        <v>0.85150000000000003</v>
      </c>
    </row>
    <row r="271" spans="1:3" ht="14.5">
      <c r="A271" s="2098">
        <v>70907</v>
      </c>
      <c r="B271" s="380" t="str">
        <f t="shared" si="4"/>
        <v>070-907</v>
      </c>
      <c r="C271" s="2103">
        <v>0.83150000000000002</v>
      </c>
    </row>
    <row r="272" spans="1:3" ht="14.5">
      <c r="A272" s="2098">
        <v>70908</v>
      </c>
      <c r="B272" s="380" t="str">
        <f t="shared" si="4"/>
        <v>070-908</v>
      </c>
      <c r="C272" s="2103">
        <v>0.84009999999999996</v>
      </c>
    </row>
    <row r="273" spans="1:3" ht="14.5">
      <c r="A273" s="2098">
        <v>70909</v>
      </c>
      <c r="B273" s="380" t="str">
        <f t="shared" si="4"/>
        <v>070-909</v>
      </c>
      <c r="C273" s="2103">
        <v>0.8367</v>
      </c>
    </row>
    <row r="274" spans="1:3" ht="14.5">
      <c r="A274" s="2098">
        <v>70910</v>
      </c>
      <c r="B274" s="380" t="str">
        <f t="shared" si="4"/>
        <v>070-910</v>
      </c>
      <c r="C274" s="2103">
        <v>0.89739999999999998</v>
      </c>
    </row>
    <row r="275" spans="1:3" ht="14.5">
      <c r="A275" s="2098">
        <v>70911</v>
      </c>
      <c r="B275" s="380" t="str">
        <f t="shared" si="4"/>
        <v>070-911</v>
      </c>
      <c r="C275" s="2103">
        <v>0.85560000000000003</v>
      </c>
    </row>
    <row r="276" spans="1:3" ht="14.5">
      <c r="A276" s="2098">
        <v>70912</v>
      </c>
      <c r="B276" s="380" t="str">
        <f t="shared" si="4"/>
        <v>070-912</v>
      </c>
      <c r="C276" s="2103">
        <v>0.84319999999999995</v>
      </c>
    </row>
    <row r="277" spans="1:3" ht="14.5">
      <c r="A277" s="2098">
        <v>70915</v>
      </c>
      <c r="B277" s="380" t="str">
        <f t="shared" si="4"/>
        <v>070-915</v>
      </c>
      <c r="C277" s="2103">
        <v>0.82469999999999999</v>
      </c>
    </row>
    <row r="278" spans="1:3" ht="14.5">
      <c r="A278" s="2098">
        <v>71901</v>
      </c>
      <c r="B278" s="380" t="str">
        <f t="shared" si="4"/>
        <v>071-901</v>
      </c>
      <c r="C278" s="2103">
        <v>0.91639999999999999</v>
      </c>
    </row>
    <row r="279" spans="1:3" ht="14.5">
      <c r="A279" s="2098">
        <v>71902</v>
      </c>
      <c r="B279" s="380" t="str">
        <f t="shared" si="4"/>
        <v>071-902</v>
      </c>
      <c r="C279" s="2103">
        <v>0.91639999999999999</v>
      </c>
    </row>
    <row r="280" spans="1:3" ht="14.5">
      <c r="A280" s="2098">
        <v>71903</v>
      </c>
      <c r="B280" s="380" t="str">
        <f t="shared" si="4"/>
        <v>071-903</v>
      </c>
      <c r="C280" s="2103">
        <v>0.91639999999999999</v>
      </c>
    </row>
    <row r="281" spans="1:3" ht="14.5">
      <c r="A281" s="2098">
        <v>71904</v>
      </c>
      <c r="B281" s="380" t="str">
        <f t="shared" si="4"/>
        <v>071-904</v>
      </c>
      <c r="C281" s="2103">
        <v>0.91639999999999999</v>
      </c>
    </row>
    <row r="282" spans="1:3" ht="14.5">
      <c r="A282" s="2098">
        <v>71905</v>
      </c>
      <c r="B282" s="380" t="str">
        <f t="shared" si="4"/>
        <v>071-905</v>
      </c>
      <c r="C282" s="2103">
        <v>0.91579999999999995</v>
      </c>
    </row>
    <row r="283" spans="1:3" ht="14.5">
      <c r="A283" s="2098">
        <v>71906</v>
      </c>
      <c r="B283" s="380" t="str">
        <f t="shared" si="4"/>
        <v>071-906</v>
      </c>
      <c r="C283" s="2103">
        <v>0.91639999999999999</v>
      </c>
    </row>
    <row r="284" spans="1:3" ht="14.5">
      <c r="A284" s="2098">
        <v>71907</v>
      </c>
      <c r="B284" s="380" t="str">
        <f t="shared" si="4"/>
        <v>071-907</v>
      </c>
      <c r="C284" s="2103">
        <v>0.89180000000000004</v>
      </c>
    </row>
    <row r="285" spans="1:3" ht="14.5">
      <c r="A285" s="2098">
        <v>71908</v>
      </c>
      <c r="B285" s="380" t="str">
        <f t="shared" si="4"/>
        <v>071-908</v>
      </c>
      <c r="C285" s="2103">
        <v>0.91639999999999999</v>
      </c>
    </row>
    <row r="286" spans="1:3" ht="14.5">
      <c r="A286" s="2098">
        <v>71909</v>
      </c>
      <c r="B286" s="380" t="str">
        <f t="shared" si="4"/>
        <v>071-909</v>
      </c>
      <c r="C286" s="2103">
        <v>0.89439999999999997</v>
      </c>
    </row>
    <row r="287" spans="1:3" ht="14.5">
      <c r="A287" s="2098">
        <v>72901</v>
      </c>
      <c r="B287" s="380" t="str">
        <f t="shared" si="4"/>
        <v>072-901</v>
      </c>
      <c r="C287" s="2103">
        <v>0.85950000000000004</v>
      </c>
    </row>
    <row r="288" spans="1:3" ht="14.5">
      <c r="A288" s="2098">
        <v>72902</v>
      </c>
      <c r="B288" s="380" t="str">
        <f t="shared" si="4"/>
        <v>072-902</v>
      </c>
      <c r="C288" s="2103">
        <v>0.90149999999999997</v>
      </c>
    </row>
    <row r="289" spans="1:3" ht="14.5">
      <c r="A289" s="2098">
        <v>72903</v>
      </c>
      <c r="B289" s="380" t="str">
        <f t="shared" si="4"/>
        <v>072-903</v>
      </c>
      <c r="C289" s="2103">
        <v>0.87919999999999998</v>
      </c>
    </row>
    <row r="290" spans="1:3" ht="14.5">
      <c r="A290" s="2098">
        <v>72904</v>
      </c>
      <c r="B290" s="380" t="str">
        <f t="shared" si="4"/>
        <v>072-904</v>
      </c>
      <c r="C290" s="2103">
        <v>0.91639999999999999</v>
      </c>
    </row>
    <row r="291" spans="1:3" ht="14.5">
      <c r="A291" s="2098">
        <v>72908</v>
      </c>
      <c r="B291" s="380" t="str">
        <f t="shared" si="4"/>
        <v>072-908</v>
      </c>
      <c r="C291" s="2103">
        <v>0.91639999999999999</v>
      </c>
    </row>
    <row r="292" spans="1:3" ht="14.5">
      <c r="A292" s="2098">
        <v>72909</v>
      </c>
      <c r="B292" s="380" t="str">
        <f t="shared" si="4"/>
        <v>072-909</v>
      </c>
      <c r="C292" s="2103">
        <v>0.90739999999999998</v>
      </c>
    </row>
    <row r="293" spans="1:3" ht="14.5">
      <c r="A293" s="2098">
        <v>72910</v>
      </c>
      <c r="B293" s="380" t="str">
        <f t="shared" si="4"/>
        <v>072-910</v>
      </c>
      <c r="C293" s="2103">
        <v>0.88400000000000001</v>
      </c>
    </row>
    <row r="294" spans="1:3" ht="14.5">
      <c r="A294" s="2098">
        <v>73901</v>
      </c>
      <c r="B294" s="380" t="str">
        <f t="shared" si="4"/>
        <v>073-901</v>
      </c>
      <c r="C294" s="2103">
        <v>0.90069999999999995</v>
      </c>
    </row>
    <row r="295" spans="1:3" ht="14.5">
      <c r="A295" s="2098">
        <v>73903</v>
      </c>
      <c r="B295" s="380" t="str">
        <f t="shared" si="4"/>
        <v>073-903</v>
      </c>
      <c r="C295" s="2103">
        <v>0.85470000000000002</v>
      </c>
    </row>
    <row r="296" spans="1:3" ht="14.5">
      <c r="A296" s="2098">
        <v>73904</v>
      </c>
      <c r="B296" s="380" t="str">
        <f t="shared" si="4"/>
        <v>073-904</v>
      </c>
      <c r="C296" s="2103">
        <v>0.88200000000000001</v>
      </c>
    </row>
    <row r="297" spans="1:3" ht="14.5">
      <c r="A297" s="2098">
        <v>73905</v>
      </c>
      <c r="B297" s="380" t="str">
        <f t="shared" si="4"/>
        <v>073-905</v>
      </c>
      <c r="C297" s="2103">
        <v>0.82469999999999999</v>
      </c>
    </row>
    <row r="298" spans="1:3" ht="14.5">
      <c r="A298" s="2098">
        <v>74903</v>
      </c>
      <c r="B298" s="380" t="str">
        <f t="shared" si="4"/>
        <v>074-903</v>
      </c>
      <c r="C298" s="2103">
        <v>0.89139999999999997</v>
      </c>
    </row>
    <row r="299" spans="1:3" ht="14.5">
      <c r="A299" s="2098">
        <v>74904</v>
      </c>
      <c r="B299" s="380" t="str">
        <f t="shared" si="4"/>
        <v>074-904</v>
      </c>
      <c r="C299" s="2103">
        <v>0.82469999999999999</v>
      </c>
    </row>
    <row r="300" spans="1:3" ht="14.5">
      <c r="A300" s="2098">
        <v>74905</v>
      </c>
      <c r="B300" s="380" t="str">
        <f t="shared" si="4"/>
        <v>074-905</v>
      </c>
      <c r="C300" s="2103">
        <v>0.82469999999999999</v>
      </c>
    </row>
    <row r="301" spans="1:3" ht="14.5">
      <c r="A301" s="2098">
        <v>74907</v>
      </c>
      <c r="B301" s="380" t="str">
        <f t="shared" si="4"/>
        <v>074-907</v>
      </c>
      <c r="C301" s="2103">
        <v>0.84199999999999997</v>
      </c>
    </row>
    <row r="302" spans="1:3" ht="14.5">
      <c r="A302" s="2098">
        <v>74909</v>
      </c>
      <c r="B302" s="380" t="str">
        <f t="shared" si="4"/>
        <v>074-909</v>
      </c>
      <c r="C302" s="2103">
        <v>0.84179999999999999</v>
      </c>
    </row>
    <row r="303" spans="1:3" ht="14.5">
      <c r="A303" s="2098">
        <v>74911</v>
      </c>
      <c r="B303" s="380" t="str">
        <f t="shared" si="4"/>
        <v>074-911</v>
      </c>
      <c r="C303" s="2103">
        <v>0.87119999999999997</v>
      </c>
    </row>
    <row r="304" spans="1:3" ht="14.5">
      <c r="A304" s="2098">
        <v>74912</v>
      </c>
      <c r="B304" s="380" t="str">
        <f t="shared" si="4"/>
        <v>074-912</v>
      </c>
      <c r="C304" s="2103">
        <v>0.85660000000000003</v>
      </c>
    </row>
    <row r="305" spans="1:3" ht="14.5">
      <c r="A305" s="2098">
        <v>74917</v>
      </c>
      <c r="B305" s="380" t="str">
        <f t="shared" si="4"/>
        <v>074-917</v>
      </c>
      <c r="C305" s="2103">
        <v>0.84240000000000004</v>
      </c>
    </row>
    <row r="306" spans="1:3" ht="14.5">
      <c r="A306" s="2098">
        <v>75901</v>
      </c>
      <c r="B306" s="380" t="str">
        <f t="shared" si="4"/>
        <v>075-901</v>
      </c>
      <c r="C306" s="2103">
        <v>0.91639999999999999</v>
      </c>
    </row>
    <row r="307" spans="1:3" ht="14.5">
      <c r="A307" s="2098">
        <v>75902</v>
      </c>
      <c r="B307" s="380" t="str">
        <f t="shared" si="4"/>
        <v>075-902</v>
      </c>
      <c r="C307" s="2103">
        <v>0.91639999999999999</v>
      </c>
    </row>
    <row r="308" spans="1:3" ht="14.5">
      <c r="A308" s="2098">
        <v>75903</v>
      </c>
      <c r="B308" s="380" t="str">
        <f t="shared" si="4"/>
        <v>075-903</v>
      </c>
      <c r="C308" s="2103">
        <v>0.91639999999999999</v>
      </c>
    </row>
    <row r="309" spans="1:3" ht="14.5">
      <c r="A309" s="2098">
        <v>75906</v>
      </c>
      <c r="B309" s="380" t="str">
        <f t="shared" si="4"/>
        <v>075-906</v>
      </c>
      <c r="C309" s="2103">
        <v>0.86439999999999995</v>
      </c>
    </row>
    <row r="310" spans="1:3" ht="14.5">
      <c r="A310" s="2098">
        <v>75908</v>
      </c>
      <c r="B310" s="380" t="str">
        <f t="shared" si="4"/>
        <v>075-908</v>
      </c>
      <c r="C310" s="2103">
        <v>0.91639999999999999</v>
      </c>
    </row>
    <row r="311" spans="1:3" ht="14.5">
      <c r="A311" s="2098">
        <v>76903</v>
      </c>
      <c r="B311" s="380" t="str">
        <f t="shared" si="4"/>
        <v>076-903</v>
      </c>
      <c r="C311" s="2103">
        <v>0.82469999999999999</v>
      </c>
    </row>
    <row r="312" spans="1:3" ht="14.5">
      <c r="A312" s="2098">
        <v>76904</v>
      </c>
      <c r="B312" s="380" t="str">
        <f t="shared" si="4"/>
        <v>076-904</v>
      </c>
      <c r="C312" s="2103">
        <v>0.87490000000000001</v>
      </c>
    </row>
    <row r="313" spans="1:3" ht="14.5">
      <c r="A313" s="2098">
        <v>77901</v>
      </c>
      <c r="B313" s="380" t="str">
        <f t="shared" si="4"/>
        <v>077-901</v>
      </c>
      <c r="C313" s="2103">
        <v>0.91639999999999999</v>
      </c>
    </row>
    <row r="314" spans="1:3" ht="14.5">
      <c r="A314" s="2098">
        <v>77902</v>
      </c>
      <c r="B314" s="380" t="str">
        <f t="shared" si="4"/>
        <v>077-902</v>
      </c>
      <c r="C314" s="2103">
        <v>0.91639999999999999</v>
      </c>
    </row>
    <row r="315" spans="1:3" ht="14.5">
      <c r="A315" s="2098">
        <v>78901</v>
      </c>
      <c r="B315" s="380" t="str">
        <f t="shared" si="4"/>
        <v>078-901</v>
      </c>
      <c r="C315" s="2103">
        <v>0.82469999999999999</v>
      </c>
    </row>
    <row r="316" spans="1:3" ht="14.5">
      <c r="A316" s="2098">
        <v>79901</v>
      </c>
      <c r="B316" s="380" t="str">
        <f t="shared" si="4"/>
        <v>079-901</v>
      </c>
      <c r="C316" s="2103">
        <v>0.86909999999999998</v>
      </c>
    </row>
    <row r="317" spans="1:3" ht="14.5">
      <c r="A317" s="2098">
        <v>79906</v>
      </c>
      <c r="B317" s="380" t="str">
        <f t="shared" si="4"/>
        <v>079-906</v>
      </c>
      <c r="C317" s="2103">
        <v>0.90039999999999998</v>
      </c>
    </row>
    <row r="318" spans="1:3" ht="14.5">
      <c r="A318" s="2098">
        <v>79907</v>
      </c>
      <c r="B318" s="380" t="str">
        <f t="shared" si="4"/>
        <v>079-907</v>
      </c>
      <c r="C318" s="2103">
        <v>0.89019999999999999</v>
      </c>
    </row>
    <row r="319" spans="1:3" ht="14.5">
      <c r="A319" s="2098">
        <v>79910</v>
      </c>
      <c r="B319" s="380" t="str">
        <f t="shared" si="4"/>
        <v>079-910</v>
      </c>
      <c r="C319" s="2103">
        <v>0.91639999999999999</v>
      </c>
    </row>
    <row r="320" spans="1:3" ht="14.5">
      <c r="A320" s="2098">
        <v>80901</v>
      </c>
      <c r="B320" s="380" t="str">
        <f t="shared" si="4"/>
        <v>080-901</v>
      </c>
      <c r="C320" s="2103">
        <v>0.86960000000000004</v>
      </c>
    </row>
    <row r="321" spans="1:3" ht="14.5">
      <c r="A321" s="2098">
        <v>81902</v>
      </c>
      <c r="B321" s="380" t="str">
        <f t="shared" ref="B321:B384" si="5">CONCATENATE(LEFT(RIGHT(CONCATENATE("000",A321),6),3),"-",(RIGHT(RIGHT(CONCATENATE("000",A321),6),3)))</f>
        <v>081-902</v>
      </c>
      <c r="C321" s="2103">
        <v>0.91639999999999999</v>
      </c>
    </row>
    <row r="322" spans="1:3" ht="14.5">
      <c r="A322" s="2098">
        <v>81904</v>
      </c>
      <c r="B322" s="380" t="str">
        <f t="shared" si="5"/>
        <v>081-904</v>
      </c>
      <c r="C322" s="2103">
        <v>0.90469999999999995</v>
      </c>
    </row>
    <row r="323" spans="1:3" ht="14.5">
      <c r="A323" s="2098">
        <v>81905</v>
      </c>
      <c r="B323" s="380" t="str">
        <f t="shared" si="5"/>
        <v>081-905</v>
      </c>
      <c r="C323" s="2103">
        <v>0.83179999999999998</v>
      </c>
    </row>
    <row r="324" spans="1:3" ht="14.5">
      <c r="A324" s="2098">
        <v>81906</v>
      </c>
      <c r="B324" s="380" t="str">
        <f t="shared" si="5"/>
        <v>081-906</v>
      </c>
      <c r="C324" s="2103">
        <v>0.91639999999999999</v>
      </c>
    </row>
    <row r="325" spans="1:3" ht="14.5">
      <c r="A325" s="2098">
        <v>82902</v>
      </c>
      <c r="B325" s="380" t="str">
        <f t="shared" si="5"/>
        <v>082-902</v>
      </c>
      <c r="C325" s="2103">
        <v>0.91639999999999999</v>
      </c>
    </row>
    <row r="326" spans="1:3" ht="14.5">
      <c r="A326" s="2098">
        <v>82903</v>
      </c>
      <c r="B326" s="380" t="str">
        <f t="shared" si="5"/>
        <v>082-903</v>
      </c>
      <c r="C326" s="2103">
        <v>0.88160000000000005</v>
      </c>
    </row>
    <row r="327" spans="1:3" ht="14.5">
      <c r="A327" s="2098">
        <v>83901</v>
      </c>
      <c r="B327" s="380" t="str">
        <f t="shared" si="5"/>
        <v>083-901</v>
      </c>
      <c r="C327" s="2103">
        <v>0.91639999999999999</v>
      </c>
    </row>
    <row r="328" spans="1:3" ht="14.5">
      <c r="A328" s="2098">
        <v>83902</v>
      </c>
      <c r="B328" s="380" t="str">
        <f t="shared" si="5"/>
        <v>083-902</v>
      </c>
      <c r="C328" s="2103">
        <v>0.91639999999999999</v>
      </c>
    </row>
    <row r="329" spans="1:3" ht="14.5">
      <c r="A329" s="2098">
        <v>83903</v>
      </c>
      <c r="B329" s="380" t="str">
        <f t="shared" si="5"/>
        <v>083-903</v>
      </c>
      <c r="C329" s="2103">
        <v>0.91639999999999999</v>
      </c>
    </row>
    <row r="330" spans="1:3" ht="14.5">
      <c r="A330" s="2098">
        <v>84901</v>
      </c>
      <c r="B330" s="380" t="str">
        <f t="shared" si="5"/>
        <v>084-901</v>
      </c>
      <c r="C330" s="2103">
        <v>0.82469999999999999</v>
      </c>
    </row>
    <row r="331" spans="1:3" ht="14.5">
      <c r="A331" s="2098">
        <v>84902</v>
      </c>
      <c r="B331" s="380" t="str">
        <f t="shared" si="5"/>
        <v>084-902</v>
      </c>
      <c r="C331" s="2103">
        <v>0.87139999999999995</v>
      </c>
    </row>
    <row r="332" spans="1:3" ht="14.5">
      <c r="A332" s="2098">
        <v>84903</v>
      </c>
      <c r="B332" s="380" t="str">
        <f t="shared" si="5"/>
        <v>084-903</v>
      </c>
      <c r="C332" s="2103">
        <v>0.84189999999999998</v>
      </c>
    </row>
    <row r="333" spans="1:3" ht="14.5">
      <c r="A333" s="2098">
        <v>84906</v>
      </c>
      <c r="B333" s="380" t="str">
        <f t="shared" si="5"/>
        <v>084-906</v>
      </c>
      <c r="C333" s="2103">
        <v>0.87749999999999995</v>
      </c>
    </row>
    <row r="334" spans="1:3" ht="14.5">
      <c r="A334" s="2098">
        <v>84908</v>
      </c>
      <c r="B334" s="380" t="str">
        <f t="shared" si="5"/>
        <v>084-908</v>
      </c>
      <c r="C334" s="2103">
        <v>0.84540000000000004</v>
      </c>
    </row>
    <row r="335" spans="1:3" ht="14.5">
      <c r="A335" s="2098">
        <v>84909</v>
      </c>
      <c r="B335" s="380" t="str">
        <f t="shared" si="5"/>
        <v>084-909</v>
      </c>
      <c r="C335" s="2103">
        <v>0.86929999999999996</v>
      </c>
    </row>
    <row r="336" spans="1:3" ht="14.5">
      <c r="A336" s="2098">
        <v>84910</v>
      </c>
      <c r="B336" s="380" t="str">
        <f t="shared" si="5"/>
        <v>084-910</v>
      </c>
      <c r="C336" s="2103">
        <v>0.89590000000000003</v>
      </c>
    </row>
    <row r="337" spans="1:3" ht="14.5">
      <c r="A337" s="2098">
        <v>84911</v>
      </c>
      <c r="B337" s="380" t="str">
        <f t="shared" si="5"/>
        <v>084-911</v>
      </c>
      <c r="C337" s="2103">
        <v>0.87109999999999999</v>
      </c>
    </row>
    <row r="338" spans="1:3" ht="14.5">
      <c r="A338" s="2098">
        <v>85902</v>
      </c>
      <c r="B338" s="380" t="str">
        <f t="shared" si="5"/>
        <v>085-902</v>
      </c>
      <c r="C338" s="2103">
        <v>0.91639999999999999</v>
      </c>
    </row>
    <row r="339" spans="1:3" ht="14.5">
      <c r="A339" s="2098">
        <v>85903</v>
      </c>
      <c r="B339" s="380" t="str">
        <f t="shared" si="5"/>
        <v>085-903</v>
      </c>
      <c r="C339" s="2103">
        <v>0.82469999999999999</v>
      </c>
    </row>
    <row r="340" spans="1:3" ht="14.5">
      <c r="A340" s="2098">
        <v>86024</v>
      </c>
      <c r="B340" s="380" t="str">
        <f t="shared" si="5"/>
        <v>086-024</v>
      </c>
      <c r="C340" s="2103">
        <v>0.91369999999999996</v>
      </c>
    </row>
    <row r="341" spans="1:3" ht="14.5">
      <c r="A341" s="2098">
        <v>86901</v>
      </c>
      <c r="B341" s="380" t="str">
        <f t="shared" si="5"/>
        <v>086-901</v>
      </c>
      <c r="C341" s="2103">
        <v>0.90910000000000002</v>
      </c>
    </row>
    <row r="342" spans="1:3" ht="14.5">
      <c r="A342" s="2098">
        <v>86902</v>
      </c>
      <c r="B342" s="380" t="str">
        <f t="shared" si="5"/>
        <v>086-902</v>
      </c>
      <c r="C342" s="2103">
        <v>0.89529999999999998</v>
      </c>
    </row>
    <row r="343" spans="1:3" ht="14.5">
      <c r="A343" s="2098">
        <v>87901</v>
      </c>
      <c r="B343" s="380" t="str">
        <f t="shared" si="5"/>
        <v>087-901</v>
      </c>
      <c r="C343" s="2103">
        <v>0.91639999999999999</v>
      </c>
    </row>
    <row r="344" spans="1:3" ht="14.5">
      <c r="A344" s="2098">
        <v>88902</v>
      </c>
      <c r="B344" s="380" t="str">
        <f t="shared" si="5"/>
        <v>088-902</v>
      </c>
      <c r="C344" s="2103">
        <v>0.88629999999999998</v>
      </c>
    </row>
    <row r="345" spans="1:3" ht="14.5">
      <c r="A345" s="2098">
        <v>89901</v>
      </c>
      <c r="B345" s="380" t="str">
        <f t="shared" si="5"/>
        <v>089-901</v>
      </c>
      <c r="C345" s="2103">
        <v>0.89529999999999998</v>
      </c>
    </row>
    <row r="346" spans="1:3" ht="14.5">
      <c r="A346" s="2098">
        <v>89903</v>
      </c>
      <c r="B346" s="380" t="str">
        <f t="shared" si="5"/>
        <v>089-903</v>
      </c>
      <c r="C346" s="2103">
        <v>0.91639999999999999</v>
      </c>
    </row>
    <row r="347" spans="1:3" ht="14.5">
      <c r="A347" s="2098">
        <v>89905</v>
      </c>
      <c r="B347" s="380" t="str">
        <f t="shared" si="5"/>
        <v>089-905</v>
      </c>
      <c r="C347" s="2103">
        <v>0.91639999999999999</v>
      </c>
    </row>
    <row r="348" spans="1:3" ht="14.5">
      <c r="A348" s="2098">
        <v>90902</v>
      </c>
      <c r="B348" s="380" t="str">
        <f t="shared" si="5"/>
        <v>090-902</v>
      </c>
      <c r="C348" s="2103">
        <v>0.91639999999999999</v>
      </c>
    </row>
    <row r="349" spans="1:3" ht="14.5">
      <c r="A349" s="2098">
        <v>90903</v>
      </c>
      <c r="B349" s="380" t="str">
        <f t="shared" si="5"/>
        <v>090-903</v>
      </c>
      <c r="C349" s="2103">
        <v>0.91639999999999999</v>
      </c>
    </row>
    <row r="350" spans="1:3" ht="14.5">
      <c r="A350" s="2098">
        <v>90904</v>
      </c>
      <c r="B350" s="380" t="str">
        <f t="shared" si="5"/>
        <v>090-904</v>
      </c>
      <c r="C350" s="2103">
        <v>0.91639999999999999</v>
      </c>
    </row>
    <row r="351" spans="1:3" ht="14.5">
      <c r="A351" s="2098">
        <v>90905</v>
      </c>
      <c r="B351" s="380" t="str">
        <f t="shared" si="5"/>
        <v>090-905</v>
      </c>
      <c r="C351" s="2103">
        <v>0.91639999999999999</v>
      </c>
    </row>
    <row r="352" spans="1:3" ht="14.5">
      <c r="A352" s="2098">
        <v>91901</v>
      </c>
      <c r="B352" s="380" t="str">
        <f t="shared" si="5"/>
        <v>091-901</v>
      </c>
      <c r="C352" s="2103">
        <v>0.88590000000000002</v>
      </c>
    </row>
    <row r="353" spans="1:3" ht="14.5">
      <c r="A353" s="2098">
        <v>91902</v>
      </c>
      <c r="B353" s="380" t="str">
        <f t="shared" si="5"/>
        <v>091-902</v>
      </c>
      <c r="C353" s="2103">
        <v>0.86609999999999998</v>
      </c>
    </row>
    <row r="354" spans="1:3" ht="14.5">
      <c r="A354" s="2098">
        <v>91903</v>
      </c>
      <c r="B354" s="380" t="str">
        <f t="shared" si="5"/>
        <v>091-903</v>
      </c>
      <c r="C354" s="2103">
        <v>0.8548</v>
      </c>
    </row>
    <row r="355" spans="1:3" ht="14.5">
      <c r="A355" s="2098">
        <v>91905</v>
      </c>
      <c r="B355" s="380" t="str">
        <f t="shared" si="5"/>
        <v>091-905</v>
      </c>
      <c r="C355" s="2103">
        <v>0.8881</v>
      </c>
    </row>
    <row r="356" spans="1:3" ht="14.5">
      <c r="A356" s="2098">
        <v>91906</v>
      </c>
      <c r="B356" s="380" t="str">
        <f t="shared" si="5"/>
        <v>091-906</v>
      </c>
      <c r="C356" s="2103">
        <v>0.85240000000000005</v>
      </c>
    </row>
    <row r="357" spans="1:3" ht="14.5">
      <c r="A357" s="2098">
        <v>91907</v>
      </c>
      <c r="B357" s="380" t="str">
        <f t="shared" si="5"/>
        <v>091-907</v>
      </c>
      <c r="C357" s="2103">
        <v>0.87980000000000003</v>
      </c>
    </row>
    <row r="358" spans="1:3" ht="14.5">
      <c r="A358" s="2098">
        <v>91908</v>
      </c>
      <c r="B358" s="380" t="str">
        <f t="shared" si="5"/>
        <v>091-908</v>
      </c>
      <c r="C358" s="2103">
        <v>0.84409999999999996</v>
      </c>
    </row>
    <row r="359" spans="1:3" ht="14.5">
      <c r="A359" s="2098">
        <v>91909</v>
      </c>
      <c r="B359" s="380" t="str">
        <f t="shared" si="5"/>
        <v>091-909</v>
      </c>
      <c r="C359" s="2103">
        <v>0.91639999999999999</v>
      </c>
    </row>
    <row r="360" spans="1:3" ht="14.5">
      <c r="A360" s="2098">
        <v>91910</v>
      </c>
      <c r="B360" s="380" t="str">
        <f t="shared" si="5"/>
        <v>091-910</v>
      </c>
      <c r="C360" s="2103">
        <v>0.86819999999999997</v>
      </c>
    </row>
    <row r="361" spans="1:3" ht="14.5">
      <c r="A361" s="2098">
        <v>91913</v>
      </c>
      <c r="B361" s="380" t="str">
        <f t="shared" si="5"/>
        <v>091-913</v>
      </c>
      <c r="C361" s="2103">
        <v>0.89849999999999997</v>
      </c>
    </row>
    <row r="362" spans="1:3" ht="14.5">
      <c r="A362" s="2098">
        <v>91914</v>
      </c>
      <c r="B362" s="380" t="str">
        <f t="shared" si="5"/>
        <v>091-914</v>
      </c>
      <c r="C362" s="2103">
        <v>0.91110000000000002</v>
      </c>
    </row>
    <row r="363" spans="1:3" ht="14.5">
      <c r="A363" s="2098">
        <v>91917</v>
      </c>
      <c r="B363" s="380" t="str">
        <f t="shared" si="5"/>
        <v>091-917</v>
      </c>
      <c r="C363" s="2103">
        <v>0.91639999999999999</v>
      </c>
    </row>
    <row r="364" spans="1:3" ht="14.5">
      <c r="A364" s="2098">
        <v>91918</v>
      </c>
      <c r="B364" s="380" t="str">
        <f t="shared" si="5"/>
        <v>091-918</v>
      </c>
      <c r="C364" s="2103">
        <v>0.82469999999999999</v>
      </c>
    </row>
    <row r="365" spans="1:3" ht="14.5">
      <c r="A365" s="2098">
        <v>92901</v>
      </c>
      <c r="B365" s="380" t="str">
        <f t="shared" si="5"/>
        <v>092-901</v>
      </c>
      <c r="C365" s="2103">
        <v>0.91639999999999999</v>
      </c>
    </row>
    <row r="366" spans="1:3" ht="14.5">
      <c r="A366" s="2098">
        <v>92902</v>
      </c>
      <c r="B366" s="380" t="str">
        <f t="shared" si="5"/>
        <v>092-902</v>
      </c>
      <c r="C366" s="2103">
        <v>0.91639999999999999</v>
      </c>
    </row>
    <row r="367" spans="1:3" ht="14.5">
      <c r="A367" s="2098">
        <v>92903</v>
      </c>
      <c r="B367" s="380" t="str">
        <f t="shared" si="5"/>
        <v>092-903</v>
      </c>
      <c r="C367" s="2103">
        <v>0.91639999999999999</v>
      </c>
    </row>
    <row r="368" spans="1:3" ht="14.5">
      <c r="A368" s="2098">
        <v>92904</v>
      </c>
      <c r="B368" s="380" t="str">
        <f t="shared" si="5"/>
        <v>092-904</v>
      </c>
      <c r="C368" s="2103">
        <v>0.91639999999999999</v>
      </c>
    </row>
    <row r="369" spans="1:3" ht="14.5">
      <c r="A369" s="2098">
        <v>92906</v>
      </c>
      <c r="B369" s="380" t="str">
        <f t="shared" si="5"/>
        <v>092-906</v>
      </c>
      <c r="C369" s="2103">
        <v>0.91639999999999999</v>
      </c>
    </row>
    <row r="370" spans="1:3" ht="14.5">
      <c r="A370" s="2098">
        <v>92907</v>
      </c>
      <c r="B370" s="380" t="str">
        <f t="shared" si="5"/>
        <v>092-907</v>
      </c>
      <c r="C370" s="2103">
        <v>0.9153</v>
      </c>
    </row>
    <row r="371" spans="1:3" ht="14.5">
      <c r="A371" s="2098">
        <v>92908</v>
      </c>
      <c r="B371" s="380" t="str">
        <f t="shared" si="5"/>
        <v>092-908</v>
      </c>
      <c r="C371" s="2103">
        <v>0.91639999999999999</v>
      </c>
    </row>
    <row r="372" spans="1:3" ht="14.5">
      <c r="A372" s="2098">
        <v>93901</v>
      </c>
      <c r="B372" s="380" t="str">
        <f t="shared" si="5"/>
        <v>093-901</v>
      </c>
      <c r="C372" s="2103">
        <v>0.84799999999999998</v>
      </c>
    </row>
    <row r="373" spans="1:3" ht="14.5">
      <c r="A373" s="2098">
        <v>93903</v>
      </c>
      <c r="B373" s="380" t="str">
        <f t="shared" si="5"/>
        <v>093-903</v>
      </c>
      <c r="C373" s="2103">
        <v>0.89390000000000003</v>
      </c>
    </row>
    <row r="374" spans="1:3" ht="14.5">
      <c r="A374" s="2098">
        <v>93904</v>
      </c>
      <c r="B374" s="380" t="str">
        <f t="shared" si="5"/>
        <v>093-904</v>
      </c>
      <c r="C374" s="2103">
        <v>0.91639999999999999</v>
      </c>
    </row>
    <row r="375" spans="1:3" ht="14.5">
      <c r="A375" s="2098">
        <v>93905</v>
      </c>
      <c r="B375" s="380" t="str">
        <f t="shared" si="5"/>
        <v>093-905</v>
      </c>
      <c r="C375" s="2103">
        <v>0.90390000000000004</v>
      </c>
    </row>
    <row r="376" spans="1:3" ht="14.5">
      <c r="A376" s="2098">
        <v>94901</v>
      </c>
      <c r="B376" s="380" t="str">
        <f t="shared" si="5"/>
        <v>094-901</v>
      </c>
      <c r="C376" s="2103">
        <v>0.91639999999999999</v>
      </c>
    </row>
    <row r="377" spans="1:3" ht="14.5">
      <c r="A377" s="2098">
        <v>94902</v>
      </c>
      <c r="B377" s="380" t="str">
        <f t="shared" si="5"/>
        <v>094-902</v>
      </c>
      <c r="C377" s="2103">
        <v>0.90090000000000003</v>
      </c>
    </row>
    <row r="378" spans="1:3" ht="14.5">
      <c r="A378" s="2098">
        <v>94903</v>
      </c>
      <c r="B378" s="380" t="str">
        <f t="shared" si="5"/>
        <v>094-903</v>
      </c>
      <c r="C378" s="2103">
        <v>0.91639999999999999</v>
      </c>
    </row>
    <row r="379" spans="1:3" ht="14.5">
      <c r="A379" s="2098">
        <v>94904</v>
      </c>
      <c r="B379" s="380" t="str">
        <f t="shared" si="5"/>
        <v>094-904</v>
      </c>
      <c r="C379" s="2103">
        <v>0.88719999999999999</v>
      </c>
    </row>
    <row r="380" spans="1:3" ht="14.5">
      <c r="A380" s="2098">
        <v>95901</v>
      </c>
      <c r="B380" s="380" t="str">
        <f t="shared" si="5"/>
        <v>095-901</v>
      </c>
      <c r="C380" s="2103">
        <v>0.91639999999999999</v>
      </c>
    </row>
    <row r="381" spans="1:3" ht="14.5">
      <c r="A381" s="2098">
        <v>95902</v>
      </c>
      <c r="B381" s="380" t="str">
        <f t="shared" si="5"/>
        <v>095-902</v>
      </c>
      <c r="C381" s="2103">
        <v>0.91639999999999999</v>
      </c>
    </row>
    <row r="382" spans="1:3" ht="14.5">
      <c r="A382" s="2098">
        <v>95903</v>
      </c>
      <c r="B382" s="380" t="str">
        <f t="shared" si="5"/>
        <v>095-903</v>
      </c>
      <c r="C382" s="2103">
        <v>0.91639999999999999</v>
      </c>
    </row>
    <row r="383" spans="1:3" ht="14.5">
      <c r="A383" s="2098">
        <v>95904</v>
      </c>
      <c r="B383" s="380" t="str">
        <f t="shared" si="5"/>
        <v>095-904</v>
      </c>
      <c r="C383" s="2103">
        <v>0.91639999999999999</v>
      </c>
    </row>
    <row r="384" spans="1:3" ht="14.5">
      <c r="A384" s="2098">
        <v>95905</v>
      </c>
      <c r="B384" s="380" t="str">
        <f t="shared" si="5"/>
        <v>095-905</v>
      </c>
      <c r="C384" s="2103">
        <v>0.91639999999999999</v>
      </c>
    </row>
    <row r="385" spans="1:3" ht="14.5">
      <c r="A385" s="2098">
        <v>96904</v>
      </c>
      <c r="B385" s="380" t="str">
        <f t="shared" ref="B385:B448" si="6">CONCATENATE(LEFT(RIGHT(CONCATENATE("000",A385),6),3),"-",(RIGHT(RIGHT(CONCATENATE("000",A385),6),3)))</f>
        <v>096-904</v>
      </c>
      <c r="C385" s="2103">
        <v>0.83830000000000005</v>
      </c>
    </row>
    <row r="386" spans="1:3" ht="14.5">
      <c r="A386" s="2098">
        <v>96905</v>
      </c>
      <c r="B386" s="380" t="str">
        <f t="shared" si="6"/>
        <v>096-905</v>
      </c>
      <c r="C386" s="2103">
        <v>0.91639999999999999</v>
      </c>
    </row>
    <row r="387" spans="1:3" ht="14.5">
      <c r="A387" s="2099">
        <v>97902</v>
      </c>
      <c r="B387" s="380" t="str">
        <f t="shared" si="6"/>
        <v>097-902</v>
      </c>
      <c r="C387" s="2104">
        <v>0.9163</v>
      </c>
    </row>
    <row r="388" spans="1:3" ht="14.5">
      <c r="A388" s="2098">
        <v>97903</v>
      </c>
      <c r="B388" s="380" t="str">
        <f t="shared" si="6"/>
        <v>097-903</v>
      </c>
      <c r="C388" s="2103">
        <v>0.87639999999999996</v>
      </c>
    </row>
    <row r="389" spans="1:3" ht="14.5">
      <c r="A389" s="2098">
        <v>98901</v>
      </c>
      <c r="B389" s="380" t="str">
        <f t="shared" si="6"/>
        <v>098-901</v>
      </c>
      <c r="C389" s="2103">
        <v>0.91639999999999999</v>
      </c>
    </row>
    <row r="390" spans="1:3" ht="14.5">
      <c r="A390" s="2098">
        <v>98903</v>
      </c>
      <c r="B390" s="380" t="str">
        <f t="shared" si="6"/>
        <v>098-903</v>
      </c>
      <c r="C390" s="2103">
        <v>0.91639999999999999</v>
      </c>
    </row>
    <row r="391" spans="1:3" ht="14.5">
      <c r="A391" s="2098">
        <v>98904</v>
      </c>
      <c r="B391" s="380" t="str">
        <f t="shared" si="6"/>
        <v>098-904</v>
      </c>
      <c r="C391" s="2103">
        <v>0.91639999999999999</v>
      </c>
    </row>
    <row r="392" spans="1:3" ht="14.5">
      <c r="A392" s="2098">
        <v>99902</v>
      </c>
      <c r="B392" s="380" t="str">
        <f t="shared" si="6"/>
        <v>099-902</v>
      </c>
      <c r="C392" s="2103">
        <v>0.85419999999999996</v>
      </c>
    </row>
    <row r="393" spans="1:3" ht="14.5">
      <c r="A393" s="2098">
        <v>99903</v>
      </c>
      <c r="B393" s="380" t="str">
        <f t="shared" si="6"/>
        <v>099-903</v>
      </c>
      <c r="C393" s="2103">
        <v>0.84289999999999998</v>
      </c>
    </row>
    <row r="394" spans="1:3" ht="14.5">
      <c r="A394" s="2100">
        <v>100903</v>
      </c>
      <c r="B394" s="380" t="str">
        <f t="shared" si="6"/>
        <v>100-903</v>
      </c>
      <c r="C394" s="2103">
        <v>0.90439999999999998</v>
      </c>
    </row>
    <row r="395" spans="1:3" ht="14.5">
      <c r="A395" s="2100">
        <v>100904</v>
      </c>
      <c r="B395" s="380" t="str">
        <f t="shared" si="6"/>
        <v>100-904</v>
      </c>
      <c r="C395" s="2103">
        <v>0.91500000000000004</v>
      </c>
    </row>
    <row r="396" spans="1:3" ht="14.5">
      <c r="A396" s="2100">
        <v>100905</v>
      </c>
      <c r="B396" s="380" t="str">
        <f t="shared" si="6"/>
        <v>100-905</v>
      </c>
      <c r="C396" s="2103">
        <v>0.91639999999999999</v>
      </c>
    </row>
    <row r="397" spans="1:3" ht="14.5">
      <c r="A397" s="2100">
        <v>100907</v>
      </c>
      <c r="B397" s="380" t="str">
        <f t="shared" si="6"/>
        <v>100-907</v>
      </c>
      <c r="C397" s="2103">
        <v>0.90290000000000004</v>
      </c>
    </row>
    <row r="398" spans="1:3" ht="14.5">
      <c r="A398" s="2100">
        <v>100908</v>
      </c>
      <c r="B398" s="380" t="str">
        <f t="shared" si="6"/>
        <v>100-908</v>
      </c>
      <c r="C398" s="2103">
        <v>0.91639999999999999</v>
      </c>
    </row>
    <row r="399" spans="1:3" ht="14.5">
      <c r="A399" s="2100">
        <v>101902</v>
      </c>
      <c r="B399" s="380" t="str">
        <f t="shared" si="6"/>
        <v>101-902</v>
      </c>
      <c r="C399" s="2103">
        <v>0.85729999999999995</v>
      </c>
    </row>
    <row r="400" spans="1:3" ht="14.5">
      <c r="A400" s="2100">
        <v>101903</v>
      </c>
      <c r="B400" s="380" t="str">
        <f t="shared" si="6"/>
        <v>101-903</v>
      </c>
      <c r="C400" s="2103">
        <v>0.89070000000000005</v>
      </c>
    </row>
    <row r="401" spans="1:3" ht="14.5">
      <c r="A401" s="2100">
        <v>101905</v>
      </c>
      <c r="B401" s="380" t="str">
        <f t="shared" si="6"/>
        <v>101-905</v>
      </c>
      <c r="C401" s="2103">
        <v>0.91639999999999999</v>
      </c>
    </row>
    <row r="402" spans="1:3" ht="14.5">
      <c r="A402" s="2100">
        <v>101906</v>
      </c>
      <c r="B402" s="380" t="str">
        <f t="shared" si="6"/>
        <v>101-906</v>
      </c>
      <c r="C402" s="2103">
        <v>0.86</v>
      </c>
    </row>
    <row r="403" spans="1:3" ht="14.5">
      <c r="A403" s="2100">
        <v>101907</v>
      </c>
      <c r="B403" s="380" t="str">
        <f t="shared" si="6"/>
        <v>101-907</v>
      </c>
      <c r="C403" s="2103">
        <v>0.90549999999999997</v>
      </c>
    </row>
    <row r="404" spans="1:3" ht="14.5">
      <c r="A404" s="2100">
        <v>101908</v>
      </c>
      <c r="B404" s="380" t="str">
        <f t="shared" si="6"/>
        <v>101-908</v>
      </c>
      <c r="C404" s="2103">
        <v>0.87460000000000004</v>
      </c>
    </row>
    <row r="405" spans="1:3" ht="14.5">
      <c r="A405" s="2100">
        <v>101910</v>
      </c>
      <c r="B405" s="380" t="str">
        <f t="shared" si="6"/>
        <v>101-910</v>
      </c>
      <c r="C405" s="2103">
        <v>0.91639999999999999</v>
      </c>
    </row>
    <row r="406" spans="1:3" ht="14.5">
      <c r="A406" s="2100">
        <v>101911</v>
      </c>
      <c r="B406" s="380" t="str">
        <f t="shared" si="6"/>
        <v>101-911</v>
      </c>
      <c r="C406" s="2103">
        <v>0.90529999999999999</v>
      </c>
    </row>
    <row r="407" spans="1:3" ht="14.5">
      <c r="A407" s="2100">
        <v>101912</v>
      </c>
      <c r="B407" s="380" t="str">
        <f t="shared" si="6"/>
        <v>101-912</v>
      </c>
      <c r="C407" s="2103">
        <v>0.91639999999999999</v>
      </c>
    </row>
    <row r="408" spans="1:3" ht="14.5">
      <c r="A408" s="2100">
        <v>101913</v>
      </c>
      <c r="B408" s="380" t="str">
        <f t="shared" si="6"/>
        <v>101-913</v>
      </c>
      <c r="C408" s="2103">
        <v>0.89570000000000005</v>
      </c>
    </row>
    <row r="409" spans="1:3" ht="14.5">
      <c r="A409" s="2100">
        <v>101914</v>
      </c>
      <c r="B409" s="380" t="str">
        <f t="shared" si="6"/>
        <v>101-914</v>
      </c>
      <c r="C409" s="2103">
        <v>0.88859999999999995</v>
      </c>
    </row>
    <row r="410" spans="1:3" ht="14.5">
      <c r="A410" s="2100">
        <v>101915</v>
      </c>
      <c r="B410" s="380" t="str">
        <f t="shared" si="6"/>
        <v>101-915</v>
      </c>
      <c r="C410" s="2103">
        <v>0.9073</v>
      </c>
    </row>
    <row r="411" spans="1:3" ht="14.5">
      <c r="A411" s="2100">
        <v>101916</v>
      </c>
      <c r="B411" s="380" t="str">
        <f t="shared" si="6"/>
        <v>101-916</v>
      </c>
      <c r="C411" s="2103">
        <v>0.86970000000000003</v>
      </c>
    </row>
    <row r="412" spans="1:3" ht="14.5">
      <c r="A412" s="2100">
        <v>101917</v>
      </c>
      <c r="B412" s="380" t="str">
        <f t="shared" si="6"/>
        <v>101-917</v>
      </c>
      <c r="C412" s="2103">
        <v>0.91520000000000001</v>
      </c>
    </row>
    <row r="413" spans="1:3" ht="14.5">
      <c r="A413" s="2100">
        <v>101919</v>
      </c>
      <c r="B413" s="380" t="str">
        <f t="shared" si="6"/>
        <v>101-919</v>
      </c>
      <c r="C413" s="2103">
        <v>0.88429999999999997</v>
      </c>
    </row>
    <row r="414" spans="1:3" ht="14.5">
      <c r="A414" s="2100">
        <v>101920</v>
      </c>
      <c r="B414" s="380" t="str">
        <f t="shared" si="6"/>
        <v>101-920</v>
      </c>
      <c r="C414" s="2103">
        <v>0.91639999999999999</v>
      </c>
    </row>
    <row r="415" spans="1:3" ht="14.5">
      <c r="A415" s="2100">
        <v>101921</v>
      </c>
      <c r="B415" s="380" t="str">
        <f t="shared" si="6"/>
        <v>101-921</v>
      </c>
      <c r="C415" s="2103">
        <v>0.90510000000000002</v>
      </c>
    </row>
    <row r="416" spans="1:3" ht="14.5">
      <c r="A416" s="2100">
        <v>101924</v>
      </c>
      <c r="B416" s="380" t="str">
        <f t="shared" si="6"/>
        <v>101-924</v>
      </c>
      <c r="C416" s="2103">
        <v>0.85670000000000002</v>
      </c>
    </row>
    <row r="417" spans="1:3" ht="14.5">
      <c r="A417" s="2100">
        <v>101925</v>
      </c>
      <c r="B417" s="380" t="str">
        <f t="shared" si="6"/>
        <v>101-925</v>
      </c>
      <c r="C417" s="2103">
        <v>0.871</v>
      </c>
    </row>
    <row r="418" spans="1:3" ht="14.5">
      <c r="A418" s="2100">
        <v>102901</v>
      </c>
      <c r="B418" s="380" t="str">
        <f t="shared" si="6"/>
        <v>102-901</v>
      </c>
      <c r="C418" s="2103">
        <v>0.91639999999999999</v>
      </c>
    </row>
    <row r="419" spans="1:3" ht="14.5">
      <c r="A419" s="2100">
        <v>102902</v>
      </c>
      <c r="B419" s="380" t="str">
        <f t="shared" si="6"/>
        <v>102-902</v>
      </c>
      <c r="C419" s="2103">
        <v>0.91639999999999999</v>
      </c>
    </row>
    <row r="420" spans="1:3" ht="14.5">
      <c r="A420" s="2100">
        <v>102903</v>
      </c>
      <c r="B420" s="380" t="str">
        <f t="shared" si="6"/>
        <v>102-903</v>
      </c>
      <c r="C420" s="2103">
        <v>0.91639999999999999</v>
      </c>
    </row>
    <row r="421" spans="1:3" ht="14.5">
      <c r="A421" s="2100">
        <v>102904</v>
      </c>
      <c r="B421" s="380" t="str">
        <f t="shared" si="6"/>
        <v>102-904</v>
      </c>
      <c r="C421" s="2103">
        <v>0.91639999999999999</v>
      </c>
    </row>
    <row r="422" spans="1:3" ht="14.5">
      <c r="A422" s="2100">
        <v>102905</v>
      </c>
      <c r="B422" s="380" t="str">
        <f t="shared" si="6"/>
        <v>102-905</v>
      </c>
      <c r="C422" s="2103">
        <v>0.91639999999999999</v>
      </c>
    </row>
    <row r="423" spans="1:3" ht="14.5">
      <c r="A423" s="2100">
        <v>102906</v>
      </c>
      <c r="B423" s="380" t="str">
        <f t="shared" si="6"/>
        <v>102-906</v>
      </c>
      <c r="C423" s="2103">
        <v>0.82469999999999999</v>
      </c>
    </row>
    <row r="424" spans="1:3" ht="14.5">
      <c r="A424" s="2100">
        <v>103901</v>
      </c>
      <c r="B424" s="380" t="str">
        <f t="shared" si="6"/>
        <v>103-901</v>
      </c>
      <c r="C424" s="2103">
        <v>0.91639999999999999</v>
      </c>
    </row>
    <row r="425" spans="1:3" ht="14.5">
      <c r="A425" s="2100">
        <v>103902</v>
      </c>
      <c r="B425" s="380" t="str">
        <f t="shared" si="6"/>
        <v>103-902</v>
      </c>
      <c r="C425" s="2103">
        <v>0.85719999999999996</v>
      </c>
    </row>
    <row r="426" spans="1:3" ht="14.5">
      <c r="A426" s="2100">
        <v>104901</v>
      </c>
      <c r="B426" s="380" t="str">
        <f t="shared" si="6"/>
        <v>104-901</v>
      </c>
      <c r="C426" s="2103">
        <v>0.91639999999999999</v>
      </c>
    </row>
    <row r="427" spans="1:3" ht="14.5">
      <c r="A427" s="2100">
        <v>104903</v>
      </c>
      <c r="B427" s="380" t="str">
        <f t="shared" si="6"/>
        <v>104-903</v>
      </c>
      <c r="C427" s="2103">
        <v>0.82469999999999999</v>
      </c>
    </row>
    <row r="428" spans="1:3" ht="14.5">
      <c r="A428" s="2100">
        <v>104907</v>
      </c>
      <c r="B428" s="380" t="str">
        <f t="shared" si="6"/>
        <v>104-907</v>
      </c>
      <c r="C428" s="2103">
        <v>0.91639999999999999</v>
      </c>
    </row>
    <row r="429" spans="1:3" ht="14.5">
      <c r="A429" s="2100">
        <v>105902</v>
      </c>
      <c r="B429" s="380" t="str">
        <f t="shared" si="6"/>
        <v>105-902</v>
      </c>
      <c r="C429" s="2103">
        <v>0.85719999999999996</v>
      </c>
    </row>
    <row r="430" spans="1:3" ht="14.5">
      <c r="A430" s="2100">
        <v>105904</v>
      </c>
      <c r="B430" s="380" t="str">
        <f t="shared" si="6"/>
        <v>105-904</v>
      </c>
      <c r="C430" s="2103">
        <v>0.84489999999999998</v>
      </c>
    </row>
    <row r="431" spans="1:3" ht="14.5">
      <c r="A431" s="2100">
        <v>105905</v>
      </c>
      <c r="B431" s="380" t="str">
        <f t="shared" si="6"/>
        <v>105-905</v>
      </c>
      <c r="C431" s="2103">
        <v>0.87029999999999996</v>
      </c>
    </row>
    <row r="432" spans="1:3" ht="14.5">
      <c r="A432" s="2100">
        <v>105906</v>
      </c>
      <c r="B432" s="380" t="str">
        <f t="shared" si="6"/>
        <v>105-906</v>
      </c>
      <c r="C432" s="2103">
        <v>0.85599999999999998</v>
      </c>
    </row>
    <row r="433" spans="1:3" ht="14.5">
      <c r="A433" s="2100">
        <v>106901</v>
      </c>
      <c r="B433" s="380" t="str">
        <f t="shared" si="6"/>
        <v>106-901</v>
      </c>
      <c r="C433" s="2103">
        <v>0.91639999999999999</v>
      </c>
    </row>
    <row r="434" spans="1:3" ht="14.5">
      <c r="A434" s="2100">
        <v>107901</v>
      </c>
      <c r="B434" s="380" t="str">
        <f t="shared" si="6"/>
        <v>107-901</v>
      </c>
      <c r="C434" s="2103">
        <v>0.88649999999999995</v>
      </c>
    </row>
    <row r="435" spans="1:3" ht="14.5">
      <c r="A435" s="2100">
        <v>107902</v>
      </c>
      <c r="B435" s="380" t="str">
        <f t="shared" si="6"/>
        <v>107-902</v>
      </c>
      <c r="C435" s="2103">
        <v>0.85470000000000002</v>
      </c>
    </row>
    <row r="436" spans="1:3" ht="14.5">
      <c r="A436" s="2100">
        <v>107904</v>
      </c>
      <c r="B436" s="380" t="str">
        <f t="shared" si="6"/>
        <v>107-904</v>
      </c>
      <c r="C436" s="2103">
        <v>0.91639999999999999</v>
      </c>
    </row>
    <row r="437" spans="1:3" ht="14.5">
      <c r="A437" s="2100">
        <v>107905</v>
      </c>
      <c r="B437" s="380" t="str">
        <f t="shared" si="6"/>
        <v>107-905</v>
      </c>
      <c r="C437" s="2103">
        <v>0.87039999999999995</v>
      </c>
    </row>
    <row r="438" spans="1:3" ht="14.5">
      <c r="A438" s="2100">
        <v>107906</v>
      </c>
      <c r="B438" s="380" t="str">
        <f t="shared" si="6"/>
        <v>107-906</v>
      </c>
      <c r="C438" s="2103">
        <v>0.90959999999999996</v>
      </c>
    </row>
    <row r="439" spans="1:3" ht="14.5">
      <c r="A439" s="2100">
        <v>107907</v>
      </c>
      <c r="B439" s="380" t="str">
        <f t="shared" si="6"/>
        <v>107-907</v>
      </c>
      <c r="C439" s="2103">
        <v>0.82469999999999999</v>
      </c>
    </row>
    <row r="440" spans="1:3" ht="14.5">
      <c r="A440" s="2100">
        <v>107908</v>
      </c>
      <c r="B440" s="380" t="str">
        <f t="shared" si="6"/>
        <v>107-908</v>
      </c>
      <c r="C440" s="2103">
        <v>0.83789999999999998</v>
      </c>
    </row>
    <row r="441" spans="1:3" ht="14.5">
      <c r="A441" s="2100">
        <v>107910</v>
      </c>
      <c r="B441" s="380" t="str">
        <f t="shared" si="6"/>
        <v>107-910</v>
      </c>
      <c r="C441" s="2103">
        <v>0.89959999999999996</v>
      </c>
    </row>
    <row r="442" spans="1:3" ht="14.5">
      <c r="A442" s="2100">
        <v>108902</v>
      </c>
      <c r="B442" s="380" t="str">
        <f t="shared" si="6"/>
        <v>108-902</v>
      </c>
      <c r="C442" s="2103">
        <v>0.85309999999999997</v>
      </c>
    </row>
    <row r="443" spans="1:3" ht="14.5">
      <c r="A443" s="2100">
        <v>108903</v>
      </c>
      <c r="B443" s="380" t="str">
        <f t="shared" si="6"/>
        <v>108-903</v>
      </c>
      <c r="C443" s="2103">
        <v>0.89419999999999999</v>
      </c>
    </row>
    <row r="444" spans="1:3" ht="14.5">
      <c r="A444" s="2100">
        <v>108904</v>
      </c>
      <c r="B444" s="380" t="str">
        <f t="shared" si="6"/>
        <v>108-904</v>
      </c>
      <c r="C444" s="2103">
        <v>0.90590000000000004</v>
      </c>
    </row>
    <row r="445" spans="1:3" ht="14.5">
      <c r="A445" s="2100">
        <v>108905</v>
      </c>
      <c r="B445" s="380" t="str">
        <f t="shared" si="6"/>
        <v>108-905</v>
      </c>
      <c r="C445" s="2103">
        <v>0.87260000000000004</v>
      </c>
    </row>
    <row r="446" spans="1:3" ht="14.5">
      <c r="A446" s="2100">
        <v>108906</v>
      </c>
      <c r="B446" s="380" t="str">
        <f t="shared" si="6"/>
        <v>108-906</v>
      </c>
      <c r="C446" s="2103">
        <v>0.91639999999999999</v>
      </c>
    </row>
    <row r="447" spans="1:3" ht="14.5">
      <c r="A447" s="2100">
        <v>108907</v>
      </c>
      <c r="B447" s="380" t="str">
        <f t="shared" si="6"/>
        <v>108-907</v>
      </c>
      <c r="C447" s="2103">
        <v>0.87509999999999999</v>
      </c>
    </row>
    <row r="448" spans="1:3" ht="14.5">
      <c r="A448" s="2100">
        <v>108908</v>
      </c>
      <c r="B448" s="380" t="str">
        <f t="shared" si="6"/>
        <v>108-908</v>
      </c>
      <c r="C448" s="2103">
        <v>0.88970000000000005</v>
      </c>
    </row>
    <row r="449" spans="1:3" ht="14.5">
      <c r="A449" s="2100">
        <v>108909</v>
      </c>
      <c r="B449" s="380" t="str">
        <f t="shared" ref="B449:B512" si="7">CONCATENATE(LEFT(RIGHT(CONCATENATE("000",A449),6),3),"-",(RIGHT(RIGHT(CONCATENATE("000",A449),6),3)))</f>
        <v>108-909</v>
      </c>
      <c r="C449" s="2103">
        <v>0.88070000000000004</v>
      </c>
    </row>
    <row r="450" spans="1:3" ht="14.5">
      <c r="A450" s="2100">
        <v>108910</v>
      </c>
      <c r="B450" s="380" t="str">
        <f t="shared" si="7"/>
        <v>108-910</v>
      </c>
      <c r="C450" s="2103">
        <v>0.86040000000000005</v>
      </c>
    </row>
    <row r="451" spans="1:3" ht="14.5">
      <c r="A451" s="2100">
        <v>108911</v>
      </c>
      <c r="B451" s="380" t="str">
        <f t="shared" si="7"/>
        <v>108-911</v>
      </c>
      <c r="C451" s="2103">
        <v>0.91090000000000004</v>
      </c>
    </row>
    <row r="452" spans="1:3" ht="14.5">
      <c r="A452" s="2100">
        <v>108912</v>
      </c>
      <c r="B452" s="380" t="str">
        <f t="shared" si="7"/>
        <v>108-912</v>
      </c>
      <c r="C452" s="2103">
        <v>0.90610000000000002</v>
      </c>
    </row>
    <row r="453" spans="1:3" ht="14.5">
      <c r="A453" s="2100">
        <v>108913</v>
      </c>
      <c r="B453" s="380" t="str">
        <f t="shared" si="7"/>
        <v>108-913</v>
      </c>
      <c r="C453" s="2103">
        <v>0.88019999999999998</v>
      </c>
    </row>
    <row r="454" spans="1:3" ht="14.5">
      <c r="A454" s="2100">
        <v>108914</v>
      </c>
      <c r="B454" s="380" t="str">
        <f t="shared" si="7"/>
        <v>108-914</v>
      </c>
      <c r="C454" s="2103">
        <v>0.91639999999999999</v>
      </c>
    </row>
    <row r="455" spans="1:3" ht="14.5">
      <c r="A455" s="2100">
        <v>108915</v>
      </c>
      <c r="B455" s="380" t="str">
        <f t="shared" si="7"/>
        <v>108-915</v>
      </c>
      <c r="C455" s="2103">
        <v>0.91639999999999999</v>
      </c>
    </row>
    <row r="456" spans="1:3" ht="14.5">
      <c r="A456" s="2100">
        <v>108916</v>
      </c>
      <c r="B456" s="380" t="str">
        <f t="shared" si="7"/>
        <v>108-916</v>
      </c>
      <c r="C456" s="2103">
        <v>0.87009999999999998</v>
      </c>
    </row>
    <row r="457" spans="1:3" ht="14.5">
      <c r="A457" s="2101">
        <v>109901</v>
      </c>
      <c r="B457" s="380" t="str">
        <f t="shared" si="7"/>
        <v>109-901</v>
      </c>
      <c r="C457" s="2105">
        <v>0.89410000000000001</v>
      </c>
    </row>
    <row r="458" spans="1:3" ht="14.5">
      <c r="A458" s="2100">
        <v>109902</v>
      </c>
      <c r="B458" s="380" t="str">
        <f t="shared" si="7"/>
        <v>109-902</v>
      </c>
      <c r="C458" s="2103">
        <v>0.84730000000000005</v>
      </c>
    </row>
    <row r="459" spans="1:3" ht="14.5">
      <c r="A459" s="2100">
        <v>109903</v>
      </c>
      <c r="B459" s="380" t="str">
        <f t="shared" si="7"/>
        <v>109-903</v>
      </c>
      <c r="C459" s="2103">
        <v>0.91639999999999999</v>
      </c>
    </row>
    <row r="460" spans="1:3" ht="14.5">
      <c r="A460" s="2100">
        <v>109904</v>
      </c>
      <c r="B460" s="380" t="str">
        <f t="shared" si="7"/>
        <v>109-904</v>
      </c>
      <c r="C460" s="2103">
        <v>0.91639999999999999</v>
      </c>
    </row>
    <row r="461" spans="1:3" ht="14.5">
      <c r="A461" s="2100">
        <v>109905</v>
      </c>
      <c r="B461" s="380" t="str">
        <f t="shared" si="7"/>
        <v>109-905</v>
      </c>
      <c r="C461" s="2103">
        <v>0.85099999999999998</v>
      </c>
    </row>
    <row r="462" spans="1:3" ht="14.5">
      <c r="A462" s="2100">
        <v>109907</v>
      </c>
      <c r="B462" s="380" t="str">
        <f t="shared" si="7"/>
        <v>109-907</v>
      </c>
      <c r="C462" s="2103">
        <v>0.88849999999999996</v>
      </c>
    </row>
    <row r="463" spans="1:3" ht="14.5">
      <c r="A463" s="2100">
        <v>109908</v>
      </c>
      <c r="B463" s="380" t="str">
        <f t="shared" si="7"/>
        <v>109-908</v>
      </c>
      <c r="C463" s="2103">
        <v>0.91639999999999999</v>
      </c>
    </row>
    <row r="464" spans="1:3" ht="14.5">
      <c r="A464" s="2100">
        <v>109910</v>
      </c>
      <c r="B464" s="380" t="str">
        <f t="shared" si="7"/>
        <v>109-910</v>
      </c>
      <c r="C464" s="2103">
        <v>0.86519999999999997</v>
      </c>
    </row>
    <row r="465" spans="1:3" ht="14.5">
      <c r="A465" s="2100">
        <v>109911</v>
      </c>
      <c r="B465" s="380" t="str">
        <f t="shared" si="7"/>
        <v>109-911</v>
      </c>
      <c r="C465" s="2103">
        <v>0.89980000000000004</v>
      </c>
    </row>
    <row r="466" spans="1:3" ht="14.5">
      <c r="A466" s="2100">
        <v>109912</v>
      </c>
      <c r="B466" s="380" t="str">
        <f t="shared" si="7"/>
        <v>109-912</v>
      </c>
      <c r="C466" s="2103">
        <v>0.91639999999999999</v>
      </c>
    </row>
    <row r="467" spans="1:3" ht="14.5">
      <c r="A467" s="2100">
        <v>109913</v>
      </c>
      <c r="B467" s="380" t="str">
        <f t="shared" si="7"/>
        <v>109-913</v>
      </c>
      <c r="C467" s="2103">
        <v>0.88260000000000005</v>
      </c>
    </row>
    <row r="468" spans="1:3" ht="14.5">
      <c r="A468" s="2100">
        <v>109914</v>
      </c>
      <c r="B468" s="380" t="str">
        <f t="shared" si="7"/>
        <v>109-914</v>
      </c>
      <c r="C468" s="2103">
        <v>0.82469999999999999</v>
      </c>
    </row>
    <row r="469" spans="1:3" ht="14.5">
      <c r="A469" s="2100">
        <v>110901</v>
      </c>
      <c r="B469" s="380" t="str">
        <f t="shared" si="7"/>
        <v>110-901</v>
      </c>
      <c r="C469" s="2103">
        <v>0.91639999999999999</v>
      </c>
    </row>
    <row r="470" spans="1:3" ht="14.5">
      <c r="A470" s="2100">
        <v>110902</v>
      </c>
      <c r="B470" s="380" t="str">
        <f t="shared" si="7"/>
        <v>110-902</v>
      </c>
      <c r="C470" s="2103">
        <v>0.91639999999999999</v>
      </c>
    </row>
    <row r="471" spans="1:3" ht="14.5">
      <c r="A471" s="2100">
        <v>110905</v>
      </c>
      <c r="B471" s="380" t="str">
        <f t="shared" si="7"/>
        <v>110-905</v>
      </c>
      <c r="C471" s="2103">
        <v>0.91639999999999999</v>
      </c>
    </row>
    <row r="472" spans="1:3" ht="14.5">
      <c r="A472" s="2100">
        <v>110906</v>
      </c>
      <c r="B472" s="380" t="str">
        <f t="shared" si="7"/>
        <v>110-906</v>
      </c>
      <c r="C472" s="2103">
        <v>0.91639999999999999</v>
      </c>
    </row>
    <row r="473" spans="1:3" ht="14.5">
      <c r="A473" s="2100">
        <v>110907</v>
      </c>
      <c r="B473" s="380" t="str">
        <f t="shared" si="7"/>
        <v>110-907</v>
      </c>
      <c r="C473" s="2103">
        <v>0.91639999999999999</v>
      </c>
    </row>
    <row r="474" spans="1:3" ht="14.5">
      <c r="A474" s="2100">
        <v>110908</v>
      </c>
      <c r="B474" s="380" t="str">
        <f t="shared" si="7"/>
        <v>110-908</v>
      </c>
      <c r="C474" s="2103">
        <v>0.91639999999999999</v>
      </c>
    </row>
    <row r="475" spans="1:3" ht="14.5">
      <c r="A475" s="2100">
        <v>111901</v>
      </c>
      <c r="B475" s="380" t="str">
        <f t="shared" si="7"/>
        <v>111-901</v>
      </c>
      <c r="C475" s="2103">
        <v>0.91639999999999999</v>
      </c>
    </row>
    <row r="476" spans="1:3" ht="14.5">
      <c r="A476" s="2100">
        <v>111902</v>
      </c>
      <c r="B476" s="380" t="str">
        <f t="shared" si="7"/>
        <v>111-902</v>
      </c>
      <c r="C476" s="2103">
        <v>0.82469999999999999</v>
      </c>
    </row>
    <row r="477" spans="1:3" ht="14.5">
      <c r="A477" s="2100">
        <v>111903</v>
      </c>
      <c r="B477" s="380" t="str">
        <f t="shared" si="7"/>
        <v>111-903</v>
      </c>
      <c r="C477" s="2103">
        <v>0.91639999999999999</v>
      </c>
    </row>
    <row r="478" spans="1:3" ht="14.5">
      <c r="A478" s="2100">
        <v>112901</v>
      </c>
      <c r="B478" s="380" t="str">
        <f t="shared" si="7"/>
        <v>112-901</v>
      </c>
      <c r="C478" s="2103">
        <v>0.89090000000000003</v>
      </c>
    </row>
    <row r="479" spans="1:3" ht="14.5">
      <c r="A479" s="2100">
        <v>112905</v>
      </c>
      <c r="B479" s="380" t="str">
        <f t="shared" si="7"/>
        <v>112-905</v>
      </c>
      <c r="C479" s="2103">
        <v>0.88109999999999999</v>
      </c>
    </row>
    <row r="480" spans="1:3" ht="14.5">
      <c r="A480" s="2100">
        <v>112906</v>
      </c>
      <c r="B480" s="380" t="str">
        <f t="shared" si="7"/>
        <v>112-906</v>
      </c>
      <c r="C480" s="2103">
        <v>0.91639999999999999</v>
      </c>
    </row>
    <row r="481" spans="1:3" ht="14.5">
      <c r="A481" s="2100">
        <v>112907</v>
      </c>
      <c r="B481" s="380" t="str">
        <f t="shared" si="7"/>
        <v>112-907</v>
      </c>
      <c r="C481" s="2103">
        <v>0.90639999999999998</v>
      </c>
    </row>
    <row r="482" spans="1:3" ht="14.5">
      <c r="A482" s="2100">
        <v>112908</v>
      </c>
      <c r="B482" s="380" t="str">
        <f t="shared" si="7"/>
        <v>112-908</v>
      </c>
      <c r="C482" s="2103">
        <v>0.91639999999999999</v>
      </c>
    </row>
    <row r="483" spans="1:3" ht="14.5">
      <c r="A483" s="2100">
        <v>112909</v>
      </c>
      <c r="B483" s="380" t="str">
        <f t="shared" si="7"/>
        <v>112-909</v>
      </c>
      <c r="C483" s="2103">
        <v>0.88560000000000005</v>
      </c>
    </row>
    <row r="484" spans="1:3" ht="14.5">
      <c r="A484" s="2100">
        <v>112910</v>
      </c>
      <c r="B484" s="380" t="str">
        <f t="shared" si="7"/>
        <v>112-910</v>
      </c>
      <c r="C484" s="2103">
        <v>0.91639999999999999</v>
      </c>
    </row>
    <row r="485" spans="1:3" ht="14.5">
      <c r="A485" s="2100">
        <v>113901</v>
      </c>
      <c r="B485" s="380" t="str">
        <f t="shared" si="7"/>
        <v>113-901</v>
      </c>
      <c r="C485" s="2103">
        <v>0.91169999999999995</v>
      </c>
    </row>
    <row r="486" spans="1:3" ht="14.5">
      <c r="A486" s="2100">
        <v>113902</v>
      </c>
      <c r="B486" s="380" t="str">
        <f t="shared" si="7"/>
        <v>113-902</v>
      </c>
      <c r="C486" s="2103">
        <v>0.85289999999999999</v>
      </c>
    </row>
    <row r="487" spans="1:3" ht="14.5">
      <c r="A487" s="2100">
        <v>113903</v>
      </c>
      <c r="B487" s="380" t="str">
        <f t="shared" si="7"/>
        <v>113-903</v>
      </c>
      <c r="C487" s="2103">
        <v>0.91639999999999999</v>
      </c>
    </row>
    <row r="488" spans="1:3" ht="14.5">
      <c r="A488" s="2100">
        <v>113905</v>
      </c>
      <c r="B488" s="380" t="str">
        <f t="shared" si="7"/>
        <v>113-905</v>
      </c>
      <c r="C488" s="2103">
        <v>0.91639999999999999</v>
      </c>
    </row>
    <row r="489" spans="1:3" ht="14.5">
      <c r="A489" s="2100">
        <v>113906</v>
      </c>
      <c r="B489" s="380" t="str">
        <f t="shared" si="7"/>
        <v>113-906</v>
      </c>
      <c r="C489" s="2103">
        <v>0.84599999999999997</v>
      </c>
    </row>
    <row r="490" spans="1:3" ht="14.5">
      <c r="A490" s="2100">
        <v>114901</v>
      </c>
      <c r="B490" s="380" t="str">
        <f t="shared" si="7"/>
        <v>114-901</v>
      </c>
      <c r="C490" s="2103">
        <v>0.91639999999999999</v>
      </c>
    </row>
    <row r="491" spans="1:3" ht="14.5">
      <c r="A491" s="2100">
        <v>114902</v>
      </c>
      <c r="B491" s="380" t="str">
        <f t="shared" si="7"/>
        <v>114-902</v>
      </c>
      <c r="C491" s="2103">
        <v>0.85419999999999996</v>
      </c>
    </row>
    <row r="492" spans="1:3" ht="14.5">
      <c r="A492" s="2100">
        <v>114904</v>
      </c>
      <c r="B492" s="380" t="str">
        <f t="shared" si="7"/>
        <v>114-904</v>
      </c>
      <c r="C492" s="2103">
        <v>0.91639999999999999</v>
      </c>
    </row>
    <row r="493" spans="1:3" ht="14.5">
      <c r="A493" s="2100">
        <v>115901</v>
      </c>
      <c r="B493" s="380" t="str">
        <f t="shared" si="7"/>
        <v>115-901</v>
      </c>
      <c r="C493" s="2103">
        <v>0.91639999999999999</v>
      </c>
    </row>
    <row r="494" spans="1:3" ht="14.5">
      <c r="A494" s="2100">
        <v>115902</v>
      </c>
      <c r="B494" s="380" t="str">
        <f t="shared" si="7"/>
        <v>115-902</v>
      </c>
      <c r="C494" s="2103">
        <v>0.91639999999999999</v>
      </c>
    </row>
    <row r="495" spans="1:3" ht="14.5">
      <c r="A495" s="2100">
        <v>115903</v>
      </c>
      <c r="B495" s="380" t="str">
        <f t="shared" si="7"/>
        <v>115-903</v>
      </c>
      <c r="C495" s="2103">
        <v>0.91639999999999999</v>
      </c>
    </row>
    <row r="496" spans="1:3" ht="14.5">
      <c r="A496" s="2100">
        <v>116901</v>
      </c>
      <c r="B496" s="380" t="str">
        <f t="shared" si="7"/>
        <v>116-901</v>
      </c>
      <c r="C496" s="2103">
        <v>0.83330000000000004</v>
      </c>
    </row>
    <row r="497" spans="1:3" ht="14.5">
      <c r="A497" s="2100">
        <v>116902</v>
      </c>
      <c r="B497" s="380" t="str">
        <f t="shared" si="7"/>
        <v>116-902</v>
      </c>
      <c r="C497" s="2103">
        <v>0.82469999999999999</v>
      </c>
    </row>
    <row r="498" spans="1:3" ht="14.5">
      <c r="A498" s="2100">
        <v>116903</v>
      </c>
      <c r="B498" s="380" t="str">
        <f t="shared" si="7"/>
        <v>116-903</v>
      </c>
      <c r="C498" s="2103">
        <v>0.87260000000000004</v>
      </c>
    </row>
    <row r="499" spans="1:3" ht="14.5">
      <c r="A499" s="2100">
        <v>116905</v>
      </c>
      <c r="B499" s="380" t="str">
        <f t="shared" si="7"/>
        <v>116-905</v>
      </c>
      <c r="C499" s="2103">
        <v>0.87019999999999997</v>
      </c>
    </row>
    <row r="500" spans="1:3" ht="14.5">
      <c r="A500" s="2100">
        <v>116906</v>
      </c>
      <c r="B500" s="380" t="str">
        <f t="shared" si="7"/>
        <v>116-906</v>
      </c>
      <c r="C500" s="2103">
        <v>0.8468</v>
      </c>
    </row>
    <row r="501" spans="1:3" ht="14.5">
      <c r="A501" s="2100">
        <v>116908</v>
      </c>
      <c r="B501" s="380" t="str">
        <f t="shared" si="7"/>
        <v>116-908</v>
      </c>
      <c r="C501" s="2103">
        <v>0.84440000000000004</v>
      </c>
    </row>
    <row r="502" spans="1:3" ht="14.5">
      <c r="A502" s="2100">
        <v>116909</v>
      </c>
      <c r="B502" s="380" t="str">
        <f t="shared" si="7"/>
        <v>116-909</v>
      </c>
      <c r="C502" s="2103">
        <v>0.83089999999999997</v>
      </c>
    </row>
    <row r="503" spans="1:3" ht="14.5">
      <c r="A503" s="2100">
        <v>116910</v>
      </c>
      <c r="B503" s="380" t="str">
        <f t="shared" si="7"/>
        <v>116-910</v>
      </c>
      <c r="C503" s="2103">
        <v>0.83779999999999999</v>
      </c>
    </row>
    <row r="504" spans="1:3" ht="14.5">
      <c r="A504" s="2100">
        <v>116915</v>
      </c>
      <c r="B504" s="380" t="str">
        <f t="shared" si="7"/>
        <v>116-915</v>
      </c>
      <c r="C504" s="2103">
        <v>0.82469999999999999</v>
      </c>
    </row>
    <row r="505" spans="1:3" ht="14.5">
      <c r="A505" s="2100">
        <v>116916</v>
      </c>
      <c r="B505" s="380" t="str">
        <f t="shared" si="7"/>
        <v>116-916</v>
      </c>
      <c r="C505" s="2103">
        <v>0.82469999999999999</v>
      </c>
    </row>
    <row r="506" spans="1:3" ht="14.5">
      <c r="A506" s="2100">
        <v>117901</v>
      </c>
      <c r="B506" s="380" t="str">
        <f t="shared" si="7"/>
        <v>117-901</v>
      </c>
      <c r="C506" s="2103">
        <v>0.91639999999999999</v>
      </c>
    </row>
    <row r="507" spans="1:3" ht="14.5">
      <c r="A507" s="2100">
        <v>117903</v>
      </c>
      <c r="B507" s="380" t="str">
        <f t="shared" si="7"/>
        <v>117-903</v>
      </c>
      <c r="C507" s="2103">
        <v>0.91639999999999999</v>
      </c>
    </row>
    <row r="508" spans="1:3" ht="14.5">
      <c r="A508" s="2100">
        <v>117904</v>
      </c>
      <c r="B508" s="380" t="str">
        <f t="shared" si="7"/>
        <v>117-904</v>
      </c>
      <c r="C508" s="2103">
        <v>0.90349999999999997</v>
      </c>
    </row>
    <row r="509" spans="1:3" ht="14.5">
      <c r="A509" s="2100">
        <v>117907</v>
      </c>
      <c r="B509" s="380" t="str">
        <f t="shared" si="7"/>
        <v>117-907</v>
      </c>
      <c r="C509" s="2103">
        <v>0.91639999999999999</v>
      </c>
    </row>
    <row r="510" spans="1:3" ht="14.5">
      <c r="A510" s="2100">
        <v>118902</v>
      </c>
      <c r="B510" s="380" t="str">
        <f t="shared" si="7"/>
        <v>118-902</v>
      </c>
      <c r="C510" s="2103">
        <v>0.91639999999999999</v>
      </c>
    </row>
    <row r="511" spans="1:3" ht="14.5">
      <c r="A511" s="2100">
        <v>119901</v>
      </c>
      <c r="B511" s="380" t="str">
        <f t="shared" si="7"/>
        <v>119-901</v>
      </c>
      <c r="C511" s="2103">
        <v>0.91639999999999999</v>
      </c>
    </row>
    <row r="512" spans="1:3" ht="14.5">
      <c r="A512" s="2100">
        <v>119902</v>
      </c>
      <c r="B512" s="380" t="str">
        <f t="shared" si="7"/>
        <v>119-902</v>
      </c>
      <c r="C512" s="2103">
        <v>0.91639999999999999</v>
      </c>
    </row>
    <row r="513" spans="1:3" ht="14.5">
      <c r="A513" s="2100">
        <v>119903</v>
      </c>
      <c r="B513" s="380" t="str">
        <f t="shared" ref="B513:B576" si="8">CONCATENATE(LEFT(RIGHT(CONCATENATE("000",A513),6),3),"-",(RIGHT(RIGHT(CONCATENATE("000",A513),6),3)))</f>
        <v>119-903</v>
      </c>
      <c r="C513" s="2103">
        <v>0.91639999999999999</v>
      </c>
    </row>
    <row r="514" spans="1:3" ht="14.5">
      <c r="A514" s="2100">
        <v>120901</v>
      </c>
      <c r="B514" s="380" t="str">
        <f t="shared" si="8"/>
        <v>120-901</v>
      </c>
      <c r="C514" s="2103">
        <v>0.88139999999999996</v>
      </c>
    </row>
    <row r="515" spans="1:3" ht="14.5">
      <c r="A515" s="2100">
        <v>120902</v>
      </c>
      <c r="B515" s="380" t="str">
        <f t="shared" si="8"/>
        <v>120-902</v>
      </c>
      <c r="C515" s="2103">
        <v>0.89570000000000005</v>
      </c>
    </row>
    <row r="516" spans="1:3" ht="14.5">
      <c r="A516" s="2100">
        <v>120905</v>
      </c>
      <c r="B516" s="380" t="str">
        <f t="shared" si="8"/>
        <v>120-905</v>
      </c>
      <c r="C516" s="2103">
        <v>0.91639999999999999</v>
      </c>
    </row>
    <row r="517" spans="1:3" ht="14.5">
      <c r="A517" s="2100">
        <v>121902</v>
      </c>
      <c r="B517" s="380" t="str">
        <f t="shared" si="8"/>
        <v>121-902</v>
      </c>
      <c r="C517" s="2103">
        <v>0.91639999999999999</v>
      </c>
    </row>
    <row r="518" spans="1:3" ht="14.5">
      <c r="A518" s="2100">
        <v>121903</v>
      </c>
      <c r="B518" s="380" t="str">
        <f t="shared" si="8"/>
        <v>121-903</v>
      </c>
      <c r="C518" s="2103">
        <v>0.86329999999999996</v>
      </c>
    </row>
    <row r="519" spans="1:3" ht="14.5">
      <c r="A519" s="2100">
        <v>121904</v>
      </c>
      <c r="B519" s="380" t="str">
        <f t="shared" si="8"/>
        <v>121-904</v>
      </c>
      <c r="C519" s="2103">
        <v>0.91639999999999999</v>
      </c>
    </row>
    <row r="520" spans="1:3" ht="14.5">
      <c r="A520" s="2100">
        <v>121905</v>
      </c>
      <c r="B520" s="380" t="str">
        <f t="shared" si="8"/>
        <v>121-905</v>
      </c>
      <c r="C520" s="2103">
        <v>0.91639999999999999</v>
      </c>
    </row>
    <row r="521" spans="1:3" ht="14.5">
      <c r="A521" s="2100">
        <v>121906</v>
      </c>
      <c r="B521" s="380" t="str">
        <f t="shared" si="8"/>
        <v>121-906</v>
      </c>
      <c r="C521" s="2103">
        <v>0.91639999999999999</v>
      </c>
    </row>
    <row r="522" spans="1:3" ht="14.5">
      <c r="A522" s="2100">
        <v>122901</v>
      </c>
      <c r="B522" s="380" t="str">
        <f t="shared" si="8"/>
        <v>122-901</v>
      </c>
      <c r="C522" s="2103">
        <v>0.91639999999999999</v>
      </c>
    </row>
    <row r="523" spans="1:3" ht="14.5">
      <c r="A523" s="2100">
        <v>122902</v>
      </c>
      <c r="B523" s="380" t="str">
        <f t="shared" si="8"/>
        <v>122-902</v>
      </c>
      <c r="C523" s="2103">
        <v>0.91639999999999999</v>
      </c>
    </row>
    <row r="524" spans="1:3" ht="14.5">
      <c r="A524" s="2100">
        <v>123905</v>
      </c>
      <c r="B524" s="380" t="str">
        <f t="shared" si="8"/>
        <v>123-905</v>
      </c>
      <c r="C524" s="2103">
        <v>0.86519999999999997</v>
      </c>
    </row>
    <row r="525" spans="1:3" ht="14.5">
      <c r="A525" s="2100">
        <v>123907</v>
      </c>
      <c r="B525" s="380" t="str">
        <f t="shared" si="8"/>
        <v>123-907</v>
      </c>
      <c r="C525" s="2103">
        <v>0.91639999999999999</v>
      </c>
    </row>
    <row r="526" spans="1:3" ht="14.5">
      <c r="A526" s="2100">
        <v>123908</v>
      </c>
      <c r="B526" s="380" t="str">
        <f t="shared" si="8"/>
        <v>123-908</v>
      </c>
      <c r="C526" s="2103">
        <v>0.91639999999999999</v>
      </c>
    </row>
    <row r="527" spans="1:3" ht="14.5">
      <c r="A527" s="2100">
        <v>123910</v>
      </c>
      <c r="B527" s="380" t="str">
        <f t="shared" si="8"/>
        <v>123-910</v>
      </c>
      <c r="C527" s="2103">
        <v>0.91639999999999999</v>
      </c>
    </row>
    <row r="528" spans="1:3" ht="14.5">
      <c r="A528" s="2100">
        <v>123913</v>
      </c>
      <c r="B528" s="380" t="str">
        <f t="shared" si="8"/>
        <v>123-913</v>
      </c>
      <c r="C528" s="2103">
        <v>0.91639999999999999</v>
      </c>
    </row>
    <row r="529" spans="1:3" ht="14.5">
      <c r="A529" s="2100">
        <v>123914</v>
      </c>
      <c r="B529" s="380" t="str">
        <f t="shared" si="8"/>
        <v>123-914</v>
      </c>
      <c r="C529" s="2103">
        <v>0.91639999999999999</v>
      </c>
    </row>
    <row r="530" spans="1:3" ht="14.5">
      <c r="A530" s="2100">
        <v>124901</v>
      </c>
      <c r="B530" s="380" t="str">
        <f t="shared" si="8"/>
        <v>124-901</v>
      </c>
      <c r="C530" s="2103">
        <v>0.91639999999999999</v>
      </c>
    </row>
    <row r="531" spans="1:3" ht="14.5">
      <c r="A531" s="2100">
        <v>125901</v>
      </c>
      <c r="B531" s="380" t="str">
        <f t="shared" si="8"/>
        <v>125-901</v>
      </c>
      <c r="C531" s="2103">
        <v>0.91639999999999999</v>
      </c>
    </row>
    <row r="532" spans="1:3" ht="14.5">
      <c r="A532" s="2100">
        <v>125902</v>
      </c>
      <c r="B532" s="380" t="str">
        <f t="shared" si="8"/>
        <v>125-902</v>
      </c>
      <c r="C532" s="2103">
        <v>0.91639999999999999</v>
      </c>
    </row>
    <row r="533" spans="1:3" ht="14.5">
      <c r="A533" s="2100">
        <v>125903</v>
      </c>
      <c r="B533" s="380" t="str">
        <f t="shared" si="8"/>
        <v>125-903</v>
      </c>
      <c r="C533" s="2103">
        <v>0.9012</v>
      </c>
    </row>
    <row r="534" spans="1:3" ht="14.5">
      <c r="A534" s="2100">
        <v>125905</v>
      </c>
      <c r="B534" s="380" t="str">
        <f t="shared" si="8"/>
        <v>125-905</v>
      </c>
      <c r="C534" s="2103">
        <v>0.87350000000000005</v>
      </c>
    </row>
    <row r="535" spans="1:3" ht="14.5">
      <c r="A535" s="2100">
        <v>125906</v>
      </c>
      <c r="B535" s="380" t="str">
        <f t="shared" si="8"/>
        <v>125-906</v>
      </c>
      <c r="C535" s="2103">
        <v>0.91639999999999999</v>
      </c>
    </row>
    <row r="536" spans="1:3" ht="14.5">
      <c r="A536" s="2100">
        <v>126901</v>
      </c>
      <c r="B536" s="380" t="str">
        <f t="shared" si="8"/>
        <v>126-901</v>
      </c>
      <c r="C536" s="2103">
        <v>0.91639999999999999</v>
      </c>
    </row>
    <row r="537" spans="1:3" ht="14.5">
      <c r="A537" s="2100">
        <v>126902</v>
      </c>
      <c r="B537" s="380" t="str">
        <f t="shared" si="8"/>
        <v>126-902</v>
      </c>
      <c r="C537" s="2103">
        <v>0.9</v>
      </c>
    </row>
    <row r="538" spans="1:3" ht="14.5">
      <c r="A538" s="2100">
        <v>126903</v>
      </c>
      <c r="B538" s="380" t="str">
        <f t="shared" si="8"/>
        <v>126-903</v>
      </c>
      <c r="C538" s="2103">
        <v>0.91639999999999999</v>
      </c>
    </row>
    <row r="539" spans="1:3" ht="14.5">
      <c r="A539" s="2100">
        <v>126904</v>
      </c>
      <c r="B539" s="380" t="str">
        <f t="shared" si="8"/>
        <v>126-904</v>
      </c>
      <c r="C539" s="2103">
        <v>0.85699999999999998</v>
      </c>
    </row>
    <row r="540" spans="1:3" ht="14.5">
      <c r="A540" s="2100">
        <v>126905</v>
      </c>
      <c r="B540" s="380" t="str">
        <f t="shared" si="8"/>
        <v>126-905</v>
      </c>
      <c r="C540" s="2103">
        <v>0.88600000000000001</v>
      </c>
    </row>
    <row r="541" spans="1:3" ht="14.5">
      <c r="A541" s="2100">
        <v>126906</v>
      </c>
      <c r="B541" s="380" t="str">
        <f t="shared" si="8"/>
        <v>126-906</v>
      </c>
      <c r="C541" s="2103">
        <v>0.91639999999999999</v>
      </c>
    </row>
    <row r="542" spans="1:3" ht="14.5">
      <c r="A542" s="2100">
        <v>126907</v>
      </c>
      <c r="B542" s="380" t="str">
        <f t="shared" si="8"/>
        <v>126-907</v>
      </c>
      <c r="C542" s="2103">
        <v>0.90329999999999999</v>
      </c>
    </row>
    <row r="543" spans="1:3" ht="14.5">
      <c r="A543" s="2100">
        <v>126908</v>
      </c>
      <c r="B543" s="380" t="str">
        <f t="shared" si="8"/>
        <v>126-908</v>
      </c>
      <c r="C543" s="2103">
        <v>0.85980000000000001</v>
      </c>
    </row>
    <row r="544" spans="1:3" ht="14.5">
      <c r="A544" s="2100">
        <v>126911</v>
      </c>
      <c r="B544" s="380" t="str">
        <f t="shared" si="8"/>
        <v>126-911</v>
      </c>
      <c r="C544" s="2103">
        <v>0.91639999999999999</v>
      </c>
    </row>
    <row r="545" spans="1:3" ht="14.5">
      <c r="A545" s="2100">
        <v>127901</v>
      </c>
      <c r="B545" s="380" t="str">
        <f t="shared" si="8"/>
        <v>127-901</v>
      </c>
      <c r="C545" s="2103">
        <v>0.88</v>
      </c>
    </row>
    <row r="546" spans="1:3" ht="14.5">
      <c r="A546" s="2100">
        <v>127903</v>
      </c>
      <c r="B546" s="380" t="str">
        <f t="shared" si="8"/>
        <v>127-903</v>
      </c>
      <c r="C546" s="2103">
        <v>0.91639999999999999</v>
      </c>
    </row>
    <row r="547" spans="1:3" ht="14.5">
      <c r="A547" s="2100">
        <v>127904</v>
      </c>
      <c r="B547" s="380" t="str">
        <f t="shared" si="8"/>
        <v>127-904</v>
      </c>
      <c r="C547" s="2103">
        <v>0.83050000000000002</v>
      </c>
    </row>
    <row r="548" spans="1:3" ht="14.5">
      <c r="A548" s="2100">
        <v>127905</v>
      </c>
      <c r="B548" s="380" t="str">
        <f t="shared" si="8"/>
        <v>127-905</v>
      </c>
      <c r="C548" s="2103">
        <v>0.89380000000000004</v>
      </c>
    </row>
    <row r="549" spans="1:3" ht="14.5">
      <c r="A549" s="2100">
        <v>127906</v>
      </c>
      <c r="B549" s="380" t="str">
        <f t="shared" si="8"/>
        <v>127-906</v>
      </c>
      <c r="C549" s="2103">
        <v>0.91639999999999999</v>
      </c>
    </row>
    <row r="550" spans="1:3" ht="14.5">
      <c r="A550" s="2100">
        <v>128901</v>
      </c>
      <c r="B550" s="380" t="str">
        <f t="shared" si="8"/>
        <v>128-901</v>
      </c>
      <c r="C550" s="2103">
        <v>0.91639999999999999</v>
      </c>
    </row>
    <row r="551" spans="1:3" ht="14.5">
      <c r="A551" s="2100">
        <v>128902</v>
      </c>
      <c r="B551" s="380" t="str">
        <f t="shared" si="8"/>
        <v>128-902</v>
      </c>
      <c r="C551" s="2103">
        <v>0.91639999999999999</v>
      </c>
    </row>
    <row r="552" spans="1:3" ht="14.5">
      <c r="A552" s="2100">
        <v>128903</v>
      </c>
      <c r="B552" s="380" t="str">
        <f t="shared" si="8"/>
        <v>128-903</v>
      </c>
      <c r="C552" s="2103">
        <v>0.91639999999999999</v>
      </c>
    </row>
    <row r="553" spans="1:3" ht="14.5">
      <c r="A553" s="2100">
        <v>128904</v>
      </c>
      <c r="B553" s="380" t="str">
        <f t="shared" si="8"/>
        <v>128-904</v>
      </c>
      <c r="C553" s="2103">
        <v>0.91639999999999999</v>
      </c>
    </row>
    <row r="554" spans="1:3" ht="14.5">
      <c r="A554" s="2100">
        <v>129901</v>
      </c>
      <c r="B554" s="380" t="str">
        <f t="shared" si="8"/>
        <v>129-901</v>
      </c>
      <c r="C554" s="2103">
        <v>0.82469999999999999</v>
      </c>
    </row>
    <row r="555" spans="1:3" ht="14.5">
      <c r="A555" s="2100">
        <v>129902</v>
      </c>
      <c r="B555" s="380" t="str">
        <f t="shared" si="8"/>
        <v>129-902</v>
      </c>
      <c r="C555" s="2103">
        <v>0.82469999999999999</v>
      </c>
    </row>
    <row r="556" spans="1:3" ht="14.5">
      <c r="A556" s="2100">
        <v>129903</v>
      </c>
      <c r="B556" s="380" t="str">
        <f t="shared" si="8"/>
        <v>129-903</v>
      </c>
      <c r="C556" s="2103">
        <v>0.82469999999999999</v>
      </c>
    </row>
    <row r="557" spans="1:3" ht="14.5">
      <c r="A557" s="2100">
        <v>129904</v>
      </c>
      <c r="B557" s="380" t="str">
        <f t="shared" si="8"/>
        <v>129-904</v>
      </c>
      <c r="C557" s="2103">
        <v>0.83760000000000001</v>
      </c>
    </row>
    <row r="558" spans="1:3" ht="14.5">
      <c r="A558" s="2100">
        <v>129905</v>
      </c>
      <c r="B558" s="380" t="str">
        <f t="shared" si="8"/>
        <v>129-905</v>
      </c>
      <c r="C558" s="2103">
        <v>0.8478</v>
      </c>
    </row>
    <row r="559" spans="1:3" ht="14.5">
      <c r="A559" s="2100">
        <v>129906</v>
      </c>
      <c r="B559" s="380" t="str">
        <f t="shared" si="8"/>
        <v>129-906</v>
      </c>
      <c r="C559" s="2103">
        <v>0.82469999999999999</v>
      </c>
    </row>
    <row r="560" spans="1:3" ht="14.5">
      <c r="A560" s="2100">
        <v>129910</v>
      </c>
      <c r="B560" s="380" t="str">
        <f t="shared" si="8"/>
        <v>129-910</v>
      </c>
      <c r="C560" s="2103">
        <v>0.82469999999999999</v>
      </c>
    </row>
    <row r="561" spans="1:3" ht="14.5">
      <c r="A561" s="2100">
        <v>130901</v>
      </c>
      <c r="B561" s="380" t="str">
        <f t="shared" si="8"/>
        <v>130-901</v>
      </c>
      <c r="C561" s="2103">
        <v>0.88790000000000002</v>
      </c>
    </row>
    <row r="562" spans="1:3" ht="14.5">
      <c r="A562" s="2100">
        <v>130902</v>
      </c>
      <c r="B562" s="380" t="str">
        <f t="shared" si="8"/>
        <v>130-902</v>
      </c>
      <c r="C562" s="2103">
        <v>0.89470000000000005</v>
      </c>
    </row>
    <row r="563" spans="1:3" ht="14.5">
      <c r="A563" s="2100">
        <v>131001</v>
      </c>
      <c r="B563" s="380" t="str">
        <f t="shared" si="8"/>
        <v>131-001</v>
      </c>
      <c r="C563" s="2103">
        <v>0.91639999999999999</v>
      </c>
    </row>
    <row r="564" spans="1:3" ht="14.5">
      <c r="A564" s="2100">
        <v>132902</v>
      </c>
      <c r="B564" s="380" t="str">
        <f t="shared" si="8"/>
        <v>132-902</v>
      </c>
      <c r="C564" s="2103">
        <v>0.91639999999999999</v>
      </c>
    </row>
    <row r="565" spans="1:3" ht="14.5">
      <c r="A565" s="2100">
        <v>133901</v>
      </c>
      <c r="B565" s="380" t="str">
        <f t="shared" si="8"/>
        <v>133-901</v>
      </c>
      <c r="C565" s="2103">
        <v>0.88229999999999997</v>
      </c>
    </row>
    <row r="566" spans="1:3" ht="14.5">
      <c r="A566" s="2100">
        <v>133902</v>
      </c>
      <c r="B566" s="380" t="str">
        <f t="shared" si="8"/>
        <v>133-902</v>
      </c>
      <c r="C566" s="2103">
        <v>0.87970000000000004</v>
      </c>
    </row>
    <row r="567" spans="1:3" ht="14.5">
      <c r="A567" s="2100">
        <v>133903</v>
      </c>
      <c r="B567" s="380" t="str">
        <f t="shared" si="8"/>
        <v>133-903</v>
      </c>
      <c r="C567" s="2103">
        <v>0.86499999999999999</v>
      </c>
    </row>
    <row r="568" spans="1:3" ht="14.5">
      <c r="A568" s="2100">
        <v>133904</v>
      </c>
      <c r="B568" s="380" t="str">
        <f t="shared" si="8"/>
        <v>133-904</v>
      </c>
      <c r="C568" s="2103">
        <v>0.83499999999999996</v>
      </c>
    </row>
    <row r="569" spans="1:3" ht="14.5">
      <c r="A569" s="2100">
        <v>133905</v>
      </c>
      <c r="B569" s="380" t="str">
        <f t="shared" si="8"/>
        <v>133-905</v>
      </c>
      <c r="C569" s="2103">
        <v>0.91639999999999999</v>
      </c>
    </row>
    <row r="570" spans="1:3" ht="14.5">
      <c r="A570" s="2100">
        <v>134901</v>
      </c>
      <c r="B570" s="380" t="str">
        <f t="shared" si="8"/>
        <v>134-901</v>
      </c>
      <c r="C570" s="2103">
        <v>0.83919999999999995</v>
      </c>
    </row>
    <row r="571" spans="1:3" ht="14.5">
      <c r="A571" s="2100">
        <v>135001</v>
      </c>
      <c r="B571" s="380" t="str">
        <f t="shared" si="8"/>
        <v>135-001</v>
      </c>
      <c r="C571" s="2103">
        <v>0.91639999999999999</v>
      </c>
    </row>
    <row r="572" spans="1:3" ht="14.5">
      <c r="A572" s="2100">
        <v>136901</v>
      </c>
      <c r="B572" s="380" t="str">
        <f t="shared" si="8"/>
        <v>136-901</v>
      </c>
      <c r="C572" s="2103">
        <v>0.82469999999999999</v>
      </c>
    </row>
    <row r="573" spans="1:3" ht="14.5">
      <c r="A573" s="2100">
        <v>137901</v>
      </c>
      <c r="B573" s="380" t="str">
        <f t="shared" si="8"/>
        <v>137-901</v>
      </c>
      <c r="C573" s="2103">
        <v>0.91500000000000004</v>
      </c>
    </row>
    <row r="574" spans="1:3" ht="14.5">
      <c r="A574" s="2100">
        <v>137902</v>
      </c>
      <c r="B574" s="380" t="str">
        <f t="shared" si="8"/>
        <v>137-902</v>
      </c>
      <c r="C574" s="2103">
        <v>0.91639999999999999</v>
      </c>
    </row>
    <row r="575" spans="1:3" ht="14.5">
      <c r="A575" s="2100">
        <v>137903</v>
      </c>
      <c r="B575" s="380" t="str">
        <f t="shared" si="8"/>
        <v>137-903</v>
      </c>
      <c r="C575" s="2103">
        <v>0.91639999999999999</v>
      </c>
    </row>
    <row r="576" spans="1:3" ht="14.5">
      <c r="A576" s="2100">
        <v>137904</v>
      </c>
      <c r="B576" s="380" t="str">
        <f t="shared" si="8"/>
        <v>137-904</v>
      </c>
      <c r="C576" s="2103">
        <v>0.91639999999999999</v>
      </c>
    </row>
    <row r="577" spans="1:3" ht="14.5">
      <c r="A577" s="2100">
        <v>138902</v>
      </c>
      <c r="B577" s="380" t="str">
        <f t="shared" ref="B577:B640" si="9">CONCATENATE(LEFT(RIGHT(CONCATENATE("000",A577),6),3),"-",(RIGHT(RIGHT(CONCATENATE("000",A577),6),3)))</f>
        <v>138-902</v>
      </c>
      <c r="C577" s="2103">
        <v>0.91639999999999999</v>
      </c>
    </row>
    <row r="578" spans="1:3" ht="14.5">
      <c r="A578" s="2100">
        <v>138903</v>
      </c>
      <c r="B578" s="380" t="str">
        <f t="shared" si="9"/>
        <v>138-903</v>
      </c>
      <c r="C578" s="2103">
        <v>0.87519999999999998</v>
      </c>
    </row>
    <row r="579" spans="1:3" ht="14.5">
      <c r="A579" s="2100">
        <v>138904</v>
      </c>
      <c r="B579" s="380" t="str">
        <f t="shared" si="9"/>
        <v>138-904</v>
      </c>
      <c r="C579" s="2103">
        <v>0.82469999999999999</v>
      </c>
    </row>
    <row r="580" spans="1:3" ht="14.5">
      <c r="A580" s="2100">
        <v>139905</v>
      </c>
      <c r="B580" s="380" t="str">
        <f t="shared" si="9"/>
        <v>139-905</v>
      </c>
      <c r="C580" s="2103">
        <v>0.91639999999999999</v>
      </c>
    </row>
    <row r="581" spans="1:3" ht="14.5">
      <c r="A581" s="2100">
        <v>139909</v>
      </c>
      <c r="B581" s="380" t="str">
        <f t="shared" si="9"/>
        <v>139-909</v>
      </c>
      <c r="C581" s="2103">
        <v>0.91359999999999997</v>
      </c>
    </row>
    <row r="582" spans="1:3" ht="14.5">
      <c r="A582" s="2100">
        <v>139911</v>
      </c>
      <c r="B582" s="380" t="str">
        <f t="shared" si="9"/>
        <v>139-911</v>
      </c>
      <c r="C582" s="2103">
        <v>0.91639999999999999</v>
      </c>
    </row>
    <row r="583" spans="1:3" ht="14.5">
      <c r="A583" s="2100">
        <v>139912</v>
      </c>
      <c r="B583" s="380" t="str">
        <f t="shared" si="9"/>
        <v>139-912</v>
      </c>
      <c r="C583" s="2103">
        <v>0.91639999999999999</v>
      </c>
    </row>
    <row r="584" spans="1:3" ht="14.5">
      <c r="A584" s="2100">
        <v>140901</v>
      </c>
      <c r="B584" s="380" t="str">
        <f t="shared" si="9"/>
        <v>140-901</v>
      </c>
      <c r="C584" s="2103">
        <v>0.91639999999999999</v>
      </c>
    </row>
    <row r="585" spans="1:3" ht="14.5">
      <c r="A585" s="2100">
        <v>140904</v>
      </c>
      <c r="B585" s="380" t="str">
        <f t="shared" si="9"/>
        <v>140-904</v>
      </c>
      <c r="C585" s="2103">
        <v>0.91639999999999999</v>
      </c>
    </row>
    <row r="586" spans="1:3" ht="14.5">
      <c r="A586" s="2100">
        <v>140905</v>
      </c>
      <c r="B586" s="380" t="str">
        <f t="shared" si="9"/>
        <v>140-905</v>
      </c>
      <c r="C586" s="2103">
        <v>0.91639999999999999</v>
      </c>
    </row>
    <row r="587" spans="1:3" ht="14.5">
      <c r="A587" s="2100">
        <v>140907</v>
      </c>
      <c r="B587" s="380" t="str">
        <f t="shared" si="9"/>
        <v>140-907</v>
      </c>
      <c r="C587" s="2103">
        <v>0.91639999999999999</v>
      </c>
    </row>
    <row r="588" spans="1:3" ht="14.5">
      <c r="A588" s="2100">
        <v>140908</v>
      </c>
      <c r="B588" s="380" t="str">
        <f t="shared" si="9"/>
        <v>140-908</v>
      </c>
      <c r="C588" s="2103">
        <v>0.91639999999999999</v>
      </c>
    </row>
    <row r="589" spans="1:3" ht="14.5">
      <c r="A589" s="2100">
        <v>141901</v>
      </c>
      <c r="B589" s="380" t="str">
        <f t="shared" si="9"/>
        <v>141-901</v>
      </c>
      <c r="C589" s="2103">
        <v>0.91639999999999999</v>
      </c>
    </row>
    <row r="590" spans="1:3" ht="14.5">
      <c r="A590" s="2100">
        <v>141902</v>
      </c>
      <c r="B590" s="380" t="str">
        <f t="shared" si="9"/>
        <v>141-902</v>
      </c>
      <c r="C590" s="2103">
        <v>0.91639999999999999</v>
      </c>
    </row>
    <row r="591" spans="1:3" ht="14.5">
      <c r="A591" s="2100">
        <v>142901</v>
      </c>
      <c r="B591" s="380" t="str">
        <f t="shared" si="9"/>
        <v>142-901</v>
      </c>
      <c r="C591" s="2103">
        <v>0.91639999999999999</v>
      </c>
    </row>
    <row r="592" spans="1:3" ht="14.5">
      <c r="A592" s="2100">
        <v>143901</v>
      </c>
      <c r="B592" s="380" t="str">
        <f t="shared" si="9"/>
        <v>143-901</v>
      </c>
      <c r="C592" s="2103">
        <v>0.91639999999999999</v>
      </c>
    </row>
    <row r="593" spans="1:3" ht="14.5">
      <c r="A593" s="2100">
        <v>143902</v>
      </c>
      <c r="B593" s="380" t="str">
        <f t="shared" si="9"/>
        <v>143-902</v>
      </c>
      <c r="C593" s="2103">
        <v>0.91639999999999999</v>
      </c>
    </row>
    <row r="594" spans="1:3" ht="14.5">
      <c r="A594" s="2100">
        <v>143903</v>
      </c>
      <c r="B594" s="380" t="str">
        <f t="shared" si="9"/>
        <v>143-903</v>
      </c>
      <c r="C594" s="2103">
        <v>0.91639999999999999</v>
      </c>
    </row>
    <row r="595" spans="1:3" ht="14.5">
      <c r="A595" s="2100">
        <v>143904</v>
      </c>
      <c r="B595" s="380" t="str">
        <f t="shared" si="9"/>
        <v>143-904</v>
      </c>
      <c r="C595" s="2103">
        <v>0.91639999999999999</v>
      </c>
    </row>
    <row r="596" spans="1:3" ht="14.5">
      <c r="A596" s="2100">
        <v>143905</v>
      </c>
      <c r="B596" s="380" t="str">
        <f t="shared" si="9"/>
        <v>143-905</v>
      </c>
      <c r="C596" s="2103">
        <v>0.91639999999999999</v>
      </c>
    </row>
    <row r="597" spans="1:3" ht="14.5">
      <c r="A597" s="2100">
        <v>143906</v>
      </c>
      <c r="B597" s="380" t="str">
        <f t="shared" si="9"/>
        <v>143-906</v>
      </c>
      <c r="C597" s="2103">
        <v>0.91639999999999999</v>
      </c>
    </row>
    <row r="598" spans="1:3" ht="14.5">
      <c r="A598" s="2100">
        <v>144901</v>
      </c>
      <c r="B598" s="380" t="str">
        <f t="shared" si="9"/>
        <v>144-901</v>
      </c>
      <c r="C598" s="2103">
        <v>0.91639999999999999</v>
      </c>
    </row>
    <row r="599" spans="1:3" ht="14.5">
      <c r="A599" s="2100">
        <v>144902</v>
      </c>
      <c r="B599" s="380" t="str">
        <f t="shared" si="9"/>
        <v>144-902</v>
      </c>
      <c r="C599" s="2103">
        <v>0.87849999999999995</v>
      </c>
    </row>
    <row r="600" spans="1:3" ht="14.5">
      <c r="A600" s="2100">
        <v>144903</v>
      </c>
      <c r="B600" s="380" t="str">
        <f t="shared" si="9"/>
        <v>144-903</v>
      </c>
      <c r="C600" s="2103">
        <v>0.91639999999999999</v>
      </c>
    </row>
    <row r="601" spans="1:3" ht="14.5">
      <c r="A601" s="2100">
        <v>145901</v>
      </c>
      <c r="B601" s="380" t="str">
        <f t="shared" si="9"/>
        <v>145-901</v>
      </c>
      <c r="C601" s="2103">
        <v>0.90210000000000001</v>
      </c>
    </row>
    <row r="602" spans="1:3" ht="14.5">
      <c r="A602" s="2100">
        <v>145902</v>
      </c>
      <c r="B602" s="380" t="str">
        <f t="shared" si="9"/>
        <v>145-902</v>
      </c>
      <c r="C602" s="2103">
        <v>0.86819999999999997</v>
      </c>
    </row>
    <row r="603" spans="1:3" ht="14.5">
      <c r="A603" s="2100">
        <v>145906</v>
      </c>
      <c r="B603" s="380" t="str">
        <f t="shared" si="9"/>
        <v>145-906</v>
      </c>
      <c r="C603" s="2103">
        <v>0.91639999999999999</v>
      </c>
    </row>
    <row r="604" spans="1:3" ht="14.5">
      <c r="A604" s="2100">
        <v>145907</v>
      </c>
      <c r="B604" s="380" t="str">
        <f t="shared" si="9"/>
        <v>145-907</v>
      </c>
      <c r="C604" s="2103">
        <v>0.91639999999999999</v>
      </c>
    </row>
    <row r="605" spans="1:3" ht="14.5">
      <c r="A605" s="2100">
        <v>145911</v>
      </c>
      <c r="B605" s="380" t="str">
        <f t="shared" si="9"/>
        <v>145-911</v>
      </c>
      <c r="C605" s="2103">
        <v>0.91639999999999999</v>
      </c>
    </row>
    <row r="606" spans="1:3" ht="14.5">
      <c r="A606" s="2100">
        <v>146901</v>
      </c>
      <c r="B606" s="380" t="str">
        <f t="shared" si="9"/>
        <v>146-901</v>
      </c>
      <c r="C606" s="2103">
        <v>0.82469999999999999</v>
      </c>
    </row>
    <row r="607" spans="1:3" ht="14.5">
      <c r="A607" s="2100">
        <v>146902</v>
      </c>
      <c r="B607" s="380" t="str">
        <f t="shared" si="9"/>
        <v>146-902</v>
      </c>
      <c r="C607" s="2103">
        <v>0.87960000000000005</v>
      </c>
    </row>
    <row r="608" spans="1:3" ht="14.5">
      <c r="A608" s="2100">
        <v>146903</v>
      </c>
      <c r="B608" s="380" t="str">
        <f t="shared" si="9"/>
        <v>146-903</v>
      </c>
      <c r="C608" s="2103">
        <v>0.91639999999999999</v>
      </c>
    </row>
    <row r="609" spans="1:3" ht="14.5">
      <c r="A609" s="2100">
        <v>146904</v>
      </c>
      <c r="B609" s="380" t="str">
        <f t="shared" si="9"/>
        <v>146-904</v>
      </c>
      <c r="C609" s="2103">
        <v>0.87749999999999995</v>
      </c>
    </row>
    <row r="610" spans="1:3" ht="14.5">
      <c r="A610" s="2100">
        <v>146905</v>
      </c>
      <c r="B610" s="380" t="str">
        <f t="shared" si="9"/>
        <v>146-905</v>
      </c>
      <c r="C610" s="2103">
        <v>0.91639999999999999</v>
      </c>
    </row>
    <row r="611" spans="1:3" ht="14.5">
      <c r="A611" s="2100">
        <v>146906</v>
      </c>
      <c r="B611" s="380" t="str">
        <f t="shared" si="9"/>
        <v>146-906</v>
      </c>
      <c r="C611" s="2103">
        <v>0.91639999999999999</v>
      </c>
    </row>
    <row r="612" spans="1:3" ht="14.5">
      <c r="A612" s="2100">
        <v>146907</v>
      </c>
      <c r="B612" s="380" t="str">
        <f t="shared" si="9"/>
        <v>146-907</v>
      </c>
      <c r="C612" s="2103">
        <v>0.82469999999999999</v>
      </c>
    </row>
    <row r="613" spans="1:3" ht="14.5">
      <c r="A613" s="2100">
        <v>147901</v>
      </c>
      <c r="B613" s="380" t="str">
        <f t="shared" si="9"/>
        <v>147-901</v>
      </c>
      <c r="C613" s="2103">
        <v>0.82469999999999999</v>
      </c>
    </row>
    <row r="614" spans="1:3" ht="14.5">
      <c r="A614" s="2100">
        <v>147902</v>
      </c>
      <c r="B614" s="380" t="str">
        <f t="shared" si="9"/>
        <v>147-902</v>
      </c>
      <c r="C614" s="2103">
        <v>0.91300000000000003</v>
      </c>
    </row>
    <row r="615" spans="1:3" ht="14.5">
      <c r="A615" s="2100">
        <v>147903</v>
      </c>
      <c r="B615" s="380" t="str">
        <f t="shared" si="9"/>
        <v>147-903</v>
      </c>
      <c r="C615" s="2103">
        <v>0.88919999999999999</v>
      </c>
    </row>
    <row r="616" spans="1:3" ht="14.5">
      <c r="A616" s="2100">
        <v>148901</v>
      </c>
      <c r="B616" s="380" t="str">
        <f t="shared" si="9"/>
        <v>148-901</v>
      </c>
      <c r="C616" s="2103">
        <v>0.91639999999999999</v>
      </c>
    </row>
    <row r="617" spans="1:3" ht="14.5">
      <c r="A617" s="2100">
        <v>148902</v>
      </c>
      <c r="B617" s="380" t="str">
        <f t="shared" si="9"/>
        <v>148-902</v>
      </c>
      <c r="C617" s="2103">
        <v>0.91639999999999999</v>
      </c>
    </row>
    <row r="618" spans="1:3" ht="14.5">
      <c r="A618" s="2100">
        <v>148905</v>
      </c>
      <c r="B618" s="380" t="str">
        <f t="shared" si="9"/>
        <v>148-905</v>
      </c>
      <c r="C618" s="2103">
        <v>0.91639999999999999</v>
      </c>
    </row>
    <row r="619" spans="1:3" ht="14.5">
      <c r="A619" s="2100">
        <v>149901</v>
      </c>
      <c r="B619" s="380" t="str">
        <f t="shared" si="9"/>
        <v>149-901</v>
      </c>
      <c r="C619" s="2103">
        <v>0.90910000000000002</v>
      </c>
    </row>
    <row r="620" spans="1:3" ht="14.5">
      <c r="A620" s="2100">
        <v>149902</v>
      </c>
      <c r="B620" s="380" t="str">
        <f t="shared" si="9"/>
        <v>149-902</v>
      </c>
      <c r="C620" s="2103">
        <v>0.89100000000000001</v>
      </c>
    </row>
    <row r="621" spans="1:3" ht="14.5">
      <c r="A621" s="2100">
        <v>150901</v>
      </c>
      <c r="B621" s="380" t="str">
        <f t="shared" si="9"/>
        <v>150-901</v>
      </c>
      <c r="C621" s="2103">
        <v>0.87190000000000001</v>
      </c>
    </row>
    <row r="622" spans="1:3" ht="14.5">
      <c r="A622" s="2100">
        <v>152901</v>
      </c>
      <c r="B622" s="380" t="str">
        <f t="shared" si="9"/>
        <v>152-901</v>
      </c>
      <c r="C622" s="2103">
        <v>0.91639999999999999</v>
      </c>
    </row>
    <row r="623" spans="1:3" ht="14.5">
      <c r="A623" s="2100">
        <v>152902</v>
      </c>
      <c r="B623" s="380" t="str">
        <f t="shared" si="9"/>
        <v>152-902</v>
      </c>
      <c r="C623" s="2103">
        <v>0.85870000000000002</v>
      </c>
    </row>
    <row r="624" spans="1:3" ht="14.5">
      <c r="A624" s="2100">
        <v>152903</v>
      </c>
      <c r="B624" s="380" t="str">
        <f t="shared" si="9"/>
        <v>152-903</v>
      </c>
      <c r="C624" s="2103">
        <v>0.86990000000000001</v>
      </c>
    </row>
    <row r="625" spans="1:3" ht="14.5">
      <c r="A625" s="2100">
        <v>152906</v>
      </c>
      <c r="B625" s="380" t="str">
        <f t="shared" si="9"/>
        <v>152-906</v>
      </c>
      <c r="C625" s="2103">
        <v>0.86270000000000002</v>
      </c>
    </row>
    <row r="626" spans="1:3" ht="14.5">
      <c r="A626" s="2100">
        <v>152907</v>
      </c>
      <c r="B626" s="380" t="str">
        <f t="shared" si="9"/>
        <v>152-907</v>
      </c>
      <c r="C626" s="2103">
        <v>0.88829999999999998</v>
      </c>
    </row>
    <row r="627" spans="1:3" ht="14.5">
      <c r="A627" s="2100">
        <v>152908</v>
      </c>
      <c r="B627" s="380" t="str">
        <f t="shared" si="9"/>
        <v>152-908</v>
      </c>
      <c r="C627" s="2103">
        <v>0.91639999999999999</v>
      </c>
    </row>
    <row r="628" spans="1:3" ht="14.5">
      <c r="A628" s="2100">
        <v>152909</v>
      </c>
      <c r="B628" s="380" t="str">
        <f t="shared" si="9"/>
        <v>152-909</v>
      </c>
      <c r="C628" s="2103">
        <v>0.90859999999999996</v>
      </c>
    </row>
    <row r="629" spans="1:3" ht="14.5">
      <c r="A629" s="2100">
        <v>152910</v>
      </c>
      <c r="B629" s="380" t="str">
        <f t="shared" si="9"/>
        <v>152-910</v>
      </c>
      <c r="C629" s="2103">
        <v>0.91639999999999999</v>
      </c>
    </row>
    <row r="630" spans="1:3" ht="14.5">
      <c r="A630" s="2100">
        <v>153903</v>
      </c>
      <c r="B630" s="380" t="str">
        <f t="shared" si="9"/>
        <v>153-903</v>
      </c>
      <c r="C630" s="2103">
        <v>0.91639999999999999</v>
      </c>
    </row>
    <row r="631" spans="1:3" ht="14.5">
      <c r="A631" s="2100">
        <v>153904</v>
      </c>
      <c r="B631" s="380" t="str">
        <f t="shared" si="9"/>
        <v>153-904</v>
      </c>
      <c r="C631" s="2103">
        <v>0.91149999999999998</v>
      </c>
    </row>
    <row r="632" spans="1:3" ht="14.5">
      <c r="A632" s="2100">
        <v>153905</v>
      </c>
      <c r="B632" s="380" t="str">
        <f t="shared" si="9"/>
        <v>153-905</v>
      </c>
      <c r="C632" s="2103">
        <v>0.87539999999999996</v>
      </c>
    </row>
    <row r="633" spans="1:3" ht="14.5">
      <c r="A633" s="2100">
        <v>153907</v>
      </c>
      <c r="B633" s="380" t="str">
        <f t="shared" si="9"/>
        <v>153-907</v>
      </c>
      <c r="C633" s="2103">
        <v>0.82469999999999999</v>
      </c>
    </row>
    <row r="634" spans="1:3" ht="14.5">
      <c r="A634" s="2100">
        <v>154901</v>
      </c>
      <c r="B634" s="380" t="str">
        <f t="shared" si="9"/>
        <v>154-901</v>
      </c>
      <c r="C634" s="2103">
        <v>0.88560000000000005</v>
      </c>
    </row>
    <row r="635" spans="1:3" ht="14.5">
      <c r="A635" s="2100">
        <v>154903</v>
      </c>
      <c r="B635" s="380" t="str">
        <f t="shared" si="9"/>
        <v>154-903</v>
      </c>
      <c r="C635" s="2103">
        <v>0.91639999999999999</v>
      </c>
    </row>
    <row r="636" spans="1:3" ht="14.5">
      <c r="A636" s="2100">
        <v>155901</v>
      </c>
      <c r="B636" s="380" t="str">
        <f t="shared" si="9"/>
        <v>155-901</v>
      </c>
      <c r="C636" s="2103">
        <v>0.91639999999999999</v>
      </c>
    </row>
    <row r="637" spans="1:3" ht="14.5">
      <c r="A637" s="2100">
        <v>156902</v>
      </c>
      <c r="B637" s="380" t="str">
        <f t="shared" si="9"/>
        <v>156-902</v>
      </c>
      <c r="C637" s="2103">
        <v>0.82469999999999999</v>
      </c>
    </row>
    <row r="638" spans="1:3" ht="14.5">
      <c r="A638" s="2100">
        <v>156905</v>
      </c>
      <c r="B638" s="380" t="str">
        <f t="shared" si="9"/>
        <v>156-905</v>
      </c>
      <c r="C638" s="2103">
        <v>0.82469999999999999</v>
      </c>
    </row>
    <row r="639" spans="1:3" ht="14.5">
      <c r="A639" s="2100">
        <v>157901</v>
      </c>
      <c r="B639" s="380" t="str">
        <f t="shared" si="9"/>
        <v>157-901</v>
      </c>
      <c r="C639" s="2103">
        <v>0.87649999999999995</v>
      </c>
    </row>
    <row r="640" spans="1:3" ht="14.5">
      <c r="A640" s="2100">
        <v>158901</v>
      </c>
      <c r="B640" s="380" t="str">
        <f t="shared" si="9"/>
        <v>158-901</v>
      </c>
      <c r="C640" s="2103">
        <v>0.89859999999999995</v>
      </c>
    </row>
    <row r="641" spans="1:3" ht="14.5">
      <c r="A641" s="2100">
        <v>158902</v>
      </c>
      <c r="B641" s="380" t="str">
        <f t="shared" ref="B641:B704" si="10">CONCATENATE(LEFT(RIGHT(CONCATENATE("000",A641),6),3),"-",(RIGHT(RIGHT(CONCATENATE("000",A641),6),3)))</f>
        <v>158-902</v>
      </c>
      <c r="C641" s="2103">
        <v>0.91639999999999999</v>
      </c>
    </row>
    <row r="642" spans="1:3" ht="14.5">
      <c r="A642" s="2100">
        <v>158904</v>
      </c>
      <c r="B642" s="380" t="str">
        <f t="shared" si="10"/>
        <v>158-904</v>
      </c>
      <c r="C642" s="2103">
        <v>0.85980000000000001</v>
      </c>
    </row>
    <row r="643" spans="1:3" ht="14.5">
      <c r="A643" s="2100">
        <v>158905</v>
      </c>
      <c r="B643" s="380" t="str">
        <f t="shared" si="10"/>
        <v>158-905</v>
      </c>
      <c r="C643" s="2103">
        <v>0.88500000000000001</v>
      </c>
    </row>
    <row r="644" spans="1:3" ht="14.5">
      <c r="A644" s="2100">
        <v>158906</v>
      </c>
      <c r="B644" s="380" t="str">
        <f t="shared" si="10"/>
        <v>158-906</v>
      </c>
      <c r="C644" s="2103">
        <v>0.84740000000000004</v>
      </c>
    </row>
    <row r="645" spans="1:3" ht="14.5">
      <c r="A645" s="2100">
        <v>159901</v>
      </c>
      <c r="B645" s="380" t="str">
        <f t="shared" si="10"/>
        <v>159-901</v>
      </c>
      <c r="C645" s="2103">
        <v>0.91349999999999998</v>
      </c>
    </row>
    <row r="646" spans="1:3" ht="14.5">
      <c r="A646" s="2100">
        <v>160901</v>
      </c>
      <c r="B646" s="380" t="str">
        <f t="shared" si="10"/>
        <v>160-901</v>
      </c>
      <c r="C646" s="2103">
        <v>0.91639999999999999</v>
      </c>
    </row>
    <row r="647" spans="1:3" ht="14.5">
      <c r="A647" s="2100">
        <v>160904</v>
      </c>
      <c r="B647" s="380" t="str">
        <f t="shared" si="10"/>
        <v>160-904</v>
      </c>
      <c r="C647" s="2103">
        <v>0.90529999999999999</v>
      </c>
    </row>
    <row r="648" spans="1:3" ht="14.5">
      <c r="A648" s="2100">
        <v>160905</v>
      </c>
      <c r="B648" s="380" t="str">
        <f t="shared" si="10"/>
        <v>160-905</v>
      </c>
      <c r="C648" s="2103">
        <v>0.91639999999999999</v>
      </c>
    </row>
    <row r="649" spans="1:3" ht="14.5">
      <c r="A649" s="2100">
        <v>161901</v>
      </c>
      <c r="B649" s="380" t="str">
        <f t="shared" si="10"/>
        <v>161-901</v>
      </c>
      <c r="C649" s="2103">
        <v>0.87229999999999996</v>
      </c>
    </row>
    <row r="650" spans="1:3" ht="14.5">
      <c r="A650" s="2100">
        <v>161903</v>
      </c>
      <c r="B650" s="380" t="str">
        <f t="shared" si="10"/>
        <v>161-903</v>
      </c>
      <c r="C650" s="2103">
        <v>0.91639999999999999</v>
      </c>
    </row>
    <row r="651" spans="1:3" ht="14.5">
      <c r="A651" s="2100">
        <v>161906</v>
      </c>
      <c r="B651" s="380" t="str">
        <f t="shared" si="10"/>
        <v>161-906</v>
      </c>
      <c r="C651" s="2103">
        <v>0.91639999999999999</v>
      </c>
    </row>
    <row r="652" spans="1:3" ht="14.5">
      <c r="A652" s="2100">
        <v>161907</v>
      </c>
      <c r="B652" s="380" t="str">
        <f t="shared" si="10"/>
        <v>161-907</v>
      </c>
      <c r="C652" s="2103">
        <v>0.88239999999999996</v>
      </c>
    </row>
    <row r="653" spans="1:3" ht="14.5">
      <c r="A653" s="2100">
        <v>161908</v>
      </c>
      <c r="B653" s="380" t="str">
        <f t="shared" si="10"/>
        <v>161-908</v>
      </c>
      <c r="C653" s="2103">
        <v>0.91439999999999999</v>
      </c>
    </row>
    <row r="654" spans="1:3" ht="14.5">
      <c r="A654" s="2100">
        <v>161909</v>
      </c>
      <c r="B654" s="380" t="str">
        <f t="shared" si="10"/>
        <v>161-909</v>
      </c>
      <c r="C654" s="2103">
        <v>0.88749999999999996</v>
      </c>
    </row>
    <row r="655" spans="1:3" ht="14.5">
      <c r="A655" s="2100">
        <v>161910</v>
      </c>
      <c r="B655" s="380" t="str">
        <f t="shared" si="10"/>
        <v>161-910</v>
      </c>
      <c r="C655" s="2103">
        <v>0.8508</v>
      </c>
    </row>
    <row r="656" spans="1:3" ht="14.5">
      <c r="A656" s="2100">
        <v>161912</v>
      </c>
      <c r="B656" s="380" t="str">
        <f t="shared" si="10"/>
        <v>161-912</v>
      </c>
      <c r="C656" s="2103">
        <v>0.87039999999999995</v>
      </c>
    </row>
    <row r="657" spans="1:3" ht="14.5">
      <c r="A657" s="2100">
        <v>161914</v>
      </c>
      <c r="B657" s="380" t="str">
        <f t="shared" si="10"/>
        <v>161-914</v>
      </c>
      <c r="C657" s="2103">
        <v>0.90149999999999997</v>
      </c>
    </row>
    <row r="658" spans="1:3" ht="14.5">
      <c r="A658" s="2100">
        <v>161916</v>
      </c>
      <c r="B658" s="380" t="str">
        <f t="shared" si="10"/>
        <v>161-916</v>
      </c>
      <c r="C658" s="2103">
        <v>0.91639999999999999</v>
      </c>
    </row>
    <row r="659" spans="1:3" ht="14.5">
      <c r="A659" s="2100">
        <v>161918</v>
      </c>
      <c r="B659" s="380" t="str">
        <f t="shared" si="10"/>
        <v>161-918</v>
      </c>
      <c r="C659" s="2103">
        <v>0.88890000000000002</v>
      </c>
    </row>
    <row r="660" spans="1:3" ht="14.5">
      <c r="A660" s="2100">
        <v>161919</v>
      </c>
      <c r="B660" s="380" t="str">
        <f t="shared" si="10"/>
        <v>161-919</v>
      </c>
      <c r="C660" s="2103">
        <v>0.89219999999999999</v>
      </c>
    </row>
    <row r="661" spans="1:3" ht="14.5">
      <c r="A661" s="2100">
        <v>161920</v>
      </c>
      <c r="B661" s="380" t="str">
        <f t="shared" si="10"/>
        <v>161-920</v>
      </c>
      <c r="C661" s="2103">
        <v>0.88329999999999997</v>
      </c>
    </row>
    <row r="662" spans="1:3" ht="14.5">
      <c r="A662" s="2100">
        <v>161921</v>
      </c>
      <c r="B662" s="380" t="str">
        <f t="shared" si="10"/>
        <v>161-921</v>
      </c>
      <c r="C662" s="2103">
        <v>0.91639999999999999</v>
      </c>
    </row>
    <row r="663" spans="1:3" ht="14.5">
      <c r="A663" s="2100">
        <v>161922</v>
      </c>
      <c r="B663" s="380" t="str">
        <f t="shared" si="10"/>
        <v>161-922</v>
      </c>
      <c r="C663" s="2103">
        <v>0.87809999999999999</v>
      </c>
    </row>
    <row r="664" spans="1:3" ht="14.5">
      <c r="A664" s="2100">
        <v>161923</v>
      </c>
      <c r="B664" s="380" t="str">
        <f t="shared" si="10"/>
        <v>161-923</v>
      </c>
      <c r="C664" s="2103">
        <v>0.89859999999999995</v>
      </c>
    </row>
    <row r="665" spans="1:3" ht="14.5">
      <c r="A665" s="2100">
        <v>161924</v>
      </c>
      <c r="B665" s="380" t="str">
        <f t="shared" si="10"/>
        <v>161-924</v>
      </c>
      <c r="C665" s="2103">
        <v>0.89239999999999997</v>
      </c>
    </row>
    <row r="666" spans="1:3" ht="14.5">
      <c r="A666" s="2100">
        <v>161925</v>
      </c>
      <c r="B666" s="380" t="str">
        <f t="shared" si="10"/>
        <v>161-925</v>
      </c>
      <c r="C666" s="2103">
        <v>0.87639999999999996</v>
      </c>
    </row>
    <row r="667" spans="1:3" ht="14.5">
      <c r="A667" s="2100">
        <v>162904</v>
      </c>
      <c r="B667" s="380" t="str">
        <f t="shared" si="10"/>
        <v>162-904</v>
      </c>
      <c r="C667" s="2103">
        <v>0.90210000000000001</v>
      </c>
    </row>
    <row r="668" spans="1:3" ht="14.5">
      <c r="A668" s="2100">
        <v>163901</v>
      </c>
      <c r="B668" s="380" t="str">
        <f t="shared" si="10"/>
        <v>163-901</v>
      </c>
      <c r="C668" s="2103">
        <v>0.88890000000000002</v>
      </c>
    </row>
    <row r="669" spans="1:3" ht="14.5">
      <c r="A669" s="2100">
        <v>163902</v>
      </c>
      <c r="B669" s="380" t="str">
        <f t="shared" si="10"/>
        <v>163-902</v>
      </c>
      <c r="C669" s="2103">
        <v>0.87219999999999998</v>
      </c>
    </row>
    <row r="670" spans="1:3" ht="14.5">
      <c r="A670" s="2100">
        <v>163903</v>
      </c>
      <c r="B670" s="380" t="str">
        <f t="shared" si="10"/>
        <v>163-903</v>
      </c>
      <c r="C670" s="2103">
        <v>0.86539999999999995</v>
      </c>
    </row>
    <row r="671" spans="1:3" ht="14.5">
      <c r="A671" s="2100">
        <v>163904</v>
      </c>
      <c r="B671" s="380" t="str">
        <f t="shared" si="10"/>
        <v>163-904</v>
      </c>
      <c r="C671" s="2103">
        <v>0.8488</v>
      </c>
    </row>
    <row r="672" spans="1:3" ht="14.5">
      <c r="A672" s="2100">
        <v>163908</v>
      </c>
      <c r="B672" s="380" t="str">
        <f t="shared" si="10"/>
        <v>163-908</v>
      </c>
      <c r="C672" s="2103">
        <v>0.83130000000000004</v>
      </c>
    </row>
    <row r="673" spans="1:3" ht="14.5">
      <c r="A673" s="2100">
        <v>164901</v>
      </c>
      <c r="B673" s="380" t="str">
        <f t="shared" si="10"/>
        <v>164-901</v>
      </c>
      <c r="C673" s="2103">
        <v>0.91639999999999999</v>
      </c>
    </row>
    <row r="674" spans="1:3" ht="14.5">
      <c r="A674" s="2100">
        <v>165901</v>
      </c>
      <c r="B674" s="380" t="str">
        <f t="shared" si="10"/>
        <v>165-901</v>
      </c>
      <c r="C674" s="2103">
        <v>0.91639999999999999</v>
      </c>
    </row>
    <row r="675" spans="1:3" ht="14.5">
      <c r="A675" s="2100">
        <v>165902</v>
      </c>
      <c r="B675" s="380" t="str">
        <f t="shared" si="10"/>
        <v>165-902</v>
      </c>
      <c r="C675" s="2103">
        <v>0.82589999999999997</v>
      </c>
    </row>
    <row r="676" spans="1:3" ht="14.5">
      <c r="A676" s="2100">
        <v>166901</v>
      </c>
      <c r="B676" s="380" t="str">
        <f t="shared" si="10"/>
        <v>166-901</v>
      </c>
      <c r="C676" s="2103">
        <v>0.91139999999999999</v>
      </c>
    </row>
    <row r="677" spans="1:3" ht="14.5">
      <c r="A677" s="2100">
        <v>166902</v>
      </c>
      <c r="B677" s="380" t="str">
        <f t="shared" si="10"/>
        <v>166-902</v>
      </c>
      <c r="C677" s="2103">
        <v>0.82469999999999999</v>
      </c>
    </row>
    <row r="678" spans="1:3" ht="14.5">
      <c r="A678" s="2100">
        <v>166903</v>
      </c>
      <c r="B678" s="380" t="str">
        <f t="shared" si="10"/>
        <v>166-903</v>
      </c>
      <c r="C678" s="2103">
        <v>0.91639999999999999</v>
      </c>
    </row>
    <row r="679" spans="1:3" ht="14.5">
      <c r="A679" s="2100">
        <v>166904</v>
      </c>
      <c r="B679" s="380" t="str">
        <f t="shared" si="10"/>
        <v>166-904</v>
      </c>
      <c r="C679" s="2103">
        <v>0.83609999999999995</v>
      </c>
    </row>
    <row r="680" spans="1:3" ht="14.5">
      <c r="A680" s="2100">
        <v>166905</v>
      </c>
      <c r="B680" s="380" t="str">
        <f t="shared" si="10"/>
        <v>166-905</v>
      </c>
      <c r="C680" s="2103">
        <v>0.86970000000000003</v>
      </c>
    </row>
    <row r="681" spans="1:3" ht="14.5">
      <c r="A681" s="2100">
        <v>166907</v>
      </c>
      <c r="B681" s="380" t="str">
        <f t="shared" si="10"/>
        <v>166-907</v>
      </c>
      <c r="C681" s="2103">
        <v>0.91639999999999999</v>
      </c>
    </row>
    <row r="682" spans="1:3" ht="14.5">
      <c r="A682" s="2100">
        <v>167901</v>
      </c>
      <c r="B682" s="380" t="str">
        <f t="shared" si="10"/>
        <v>167-901</v>
      </c>
      <c r="C682" s="2103">
        <v>0.91639999999999999</v>
      </c>
    </row>
    <row r="683" spans="1:3" ht="14.5">
      <c r="A683" s="2100">
        <v>167902</v>
      </c>
      <c r="B683" s="380" t="str">
        <f t="shared" si="10"/>
        <v>167-902</v>
      </c>
      <c r="C683" s="2103">
        <v>0.91639999999999999</v>
      </c>
    </row>
    <row r="684" spans="1:3" ht="14.5">
      <c r="A684" s="2100">
        <v>167904</v>
      </c>
      <c r="B684" s="380" t="str">
        <f t="shared" si="10"/>
        <v>167-904</v>
      </c>
      <c r="C684" s="2103">
        <v>0.87019999999999997</v>
      </c>
    </row>
    <row r="685" spans="1:3" ht="14.5">
      <c r="A685" s="2100">
        <v>168901</v>
      </c>
      <c r="B685" s="380" t="str">
        <f t="shared" si="10"/>
        <v>168-901</v>
      </c>
      <c r="C685" s="2103">
        <v>0.91639999999999999</v>
      </c>
    </row>
    <row r="686" spans="1:3" ht="14.5">
      <c r="A686" s="2100">
        <v>168902</v>
      </c>
      <c r="B686" s="380" t="str">
        <f t="shared" si="10"/>
        <v>168-902</v>
      </c>
      <c r="C686" s="2103">
        <v>0.91639999999999999</v>
      </c>
    </row>
    <row r="687" spans="1:3" ht="14.5">
      <c r="A687" s="2100">
        <v>168903</v>
      </c>
      <c r="B687" s="380" t="str">
        <f t="shared" si="10"/>
        <v>168-903</v>
      </c>
      <c r="C687" s="2103">
        <v>0.91639999999999999</v>
      </c>
    </row>
    <row r="688" spans="1:3" ht="14.5">
      <c r="A688" s="2100">
        <v>169901</v>
      </c>
      <c r="B688" s="380" t="str">
        <f t="shared" si="10"/>
        <v>169-901</v>
      </c>
      <c r="C688" s="2103">
        <v>0.91639999999999999</v>
      </c>
    </row>
    <row r="689" spans="1:3" ht="14.5">
      <c r="A689" s="2100">
        <v>169902</v>
      </c>
      <c r="B689" s="380" t="str">
        <f t="shared" si="10"/>
        <v>169-902</v>
      </c>
      <c r="C689" s="2103">
        <v>0.91639999999999999</v>
      </c>
    </row>
    <row r="690" spans="1:3" ht="14.5">
      <c r="A690" s="2100">
        <v>169906</v>
      </c>
      <c r="B690" s="380" t="str">
        <f t="shared" si="10"/>
        <v>169-906</v>
      </c>
      <c r="C690" s="2103">
        <v>0.85780000000000001</v>
      </c>
    </row>
    <row r="691" spans="1:3" ht="14.5">
      <c r="A691" s="2100">
        <v>169908</v>
      </c>
      <c r="B691" s="380" t="str">
        <f t="shared" si="10"/>
        <v>169-908</v>
      </c>
      <c r="C691" s="2103">
        <v>0.91639999999999999</v>
      </c>
    </row>
    <row r="692" spans="1:3" ht="14.5">
      <c r="A692" s="2100">
        <v>169909</v>
      </c>
      <c r="B692" s="380" t="str">
        <f t="shared" si="10"/>
        <v>169-909</v>
      </c>
      <c r="C692" s="2103">
        <v>0.91639999999999999</v>
      </c>
    </row>
    <row r="693" spans="1:3" ht="14.5">
      <c r="A693" s="2100">
        <v>169910</v>
      </c>
      <c r="B693" s="380" t="str">
        <f t="shared" si="10"/>
        <v>169-910</v>
      </c>
      <c r="C693" s="2103">
        <v>0.91639999999999999</v>
      </c>
    </row>
    <row r="694" spans="1:3" ht="14.5">
      <c r="A694" s="2100">
        <v>169911</v>
      </c>
      <c r="B694" s="380" t="str">
        <f t="shared" si="10"/>
        <v>169-911</v>
      </c>
      <c r="C694" s="2103">
        <v>0.91639999999999999</v>
      </c>
    </row>
    <row r="695" spans="1:3" ht="14.5">
      <c r="A695" s="2100">
        <v>170902</v>
      </c>
      <c r="B695" s="380" t="str">
        <f t="shared" si="10"/>
        <v>170-902</v>
      </c>
      <c r="C695" s="2103">
        <v>0.90249999999999997</v>
      </c>
    </row>
    <row r="696" spans="1:3" ht="14.5">
      <c r="A696" s="2100">
        <v>170903</v>
      </c>
      <c r="B696" s="380" t="str">
        <f t="shared" si="10"/>
        <v>170-903</v>
      </c>
      <c r="C696" s="2103">
        <v>0.89229999999999998</v>
      </c>
    </row>
    <row r="697" spans="1:3" ht="14.5">
      <c r="A697" s="2100">
        <v>170904</v>
      </c>
      <c r="B697" s="380" t="str">
        <f t="shared" si="10"/>
        <v>170-904</v>
      </c>
      <c r="C697" s="2103">
        <v>0.86709999999999998</v>
      </c>
    </row>
    <row r="698" spans="1:3" ht="14.5">
      <c r="A698" s="2100">
        <v>170906</v>
      </c>
      <c r="B698" s="380" t="str">
        <f t="shared" si="10"/>
        <v>170-906</v>
      </c>
      <c r="C698" s="2103">
        <v>0.88490000000000002</v>
      </c>
    </row>
    <row r="699" spans="1:3" ht="14.5">
      <c r="A699" s="2100">
        <v>170907</v>
      </c>
      <c r="B699" s="380" t="str">
        <f t="shared" si="10"/>
        <v>170-907</v>
      </c>
      <c r="C699" s="2103">
        <v>0.83679999999999999</v>
      </c>
    </row>
    <row r="700" spans="1:3" ht="14.5">
      <c r="A700" s="2100">
        <v>170908</v>
      </c>
      <c r="B700" s="380" t="str">
        <f t="shared" si="10"/>
        <v>170-908</v>
      </c>
      <c r="C700" s="2103">
        <v>0.83779999999999999</v>
      </c>
    </row>
    <row r="701" spans="1:3" ht="14.5">
      <c r="A701" s="2100">
        <v>171901</v>
      </c>
      <c r="B701" s="380" t="str">
        <f t="shared" si="10"/>
        <v>171-901</v>
      </c>
      <c r="C701" s="2103">
        <v>0.91639999999999999</v>
      </c>
    </row>
    <row r="702" spans="1:3" ht="14.5">
      <c r="A702" s="2100">
        <v>171902</v>
      </c>
      <c r="B702" s="380" t="str">
        <f t="shared" si="10"/>
        <v>171-902</v>
      </c>
      <c r="C702" s="2103">
        <v>0.91639999999999999</v>
      </c>
    </row>
    <row r="703" spans="1:3" ht="14.5">
      <c r="A703" s="2100">
        <v>172902</v>
      </c>
      <c r="B703" s="380" t="str">
        <f t="shared" si="10"/>
        <v>172-902</v>
      </c>
      <c r="C703" s="2103">
        <v>0.91639999999999999</v>
      </c>
    </row>
    <row r="704" spans="1:3" ht="14.5">
      <c r="A704" s="2100">
        <v>172905</v>
      </c>
      <c r="B704" s="380" t="str">
        <f t="shared" si="10"/>
        <v>172-905</v>
      </c>
      <c r="C704" s="2103">
        <v>0.91639999999999999</v>
      </c>
    </row>
    <row r="705" spans="1:3" ht="14.5">
      <c r="A705" s="2100">
        <v>173901</v>
      </c>
      <c r="B705" s="380" t="str">
        <f t="shared" ref="B705:B768" si="11">CONCATENATE(LEFT(RIGHT(CONCATENATE("000",A705),6),3),"-",(RIGHT(RIGHT(CONCATENATE("000",A705),6),3)))</f>
        <v>173-901</v>
      </c>
      <c r="C705" s="2103">
        <v>0.91639999999999999</v>
      </c>
    </row>
    <row r="706" spans="1:3" ht="14.5">
      <c r="A706" s="2100">
        <v>174901</v>
      </c>
      <c r="B706" s="380" t="str">
        <f t="shared" si="11"/>
        <v>174-901</v>
      </c>
      <c r="C706" s="2103">
        <v>0.85940000000000005</v>
      </c>
    </row>
    <row r="707" spans="1:3" ht="14.5">
      <c r="A707" s="2100">
        <v>174902</v>
      </c>
      <c r="B707" s="380" t="str">
        <f t="shared" si="11"/>
        <v>174-902</v>
      </c>
      <c r="C707" s="2103">
        <v>0.91639999999999999</v>
      </c>
    </row>
    <row r="708" spans="1:3" ht="14.5">
      <c r="A708" s="2100">
        <v>174903</v>
      </c>
      <c r="B708" s="380" t="str">
        <f t="shared" si="11"/>
        <v>174-903</v>
      </c>
      <c r="C708" s="2103">
        <v>0.91639999999999999</v>
      </c>
    </row>
    <row r="709" spans="1:3" ht="14.5">
      <c r="A709" s="2100">
        <v>174904</v>
      </c>
      <c r="B709" s="380" t="str">
        <f t="shared" si="11"/>
        <v>174-904</v>
      </c>
      <c r="C709" s="2103">
        <v>0.91639999999999999</v>
      </c>
    </row>
    <row r="710" spans="1:3" ht="14.5">
      <c r="A710" s="2100">
        <v>174906</v>
      </c>
      <c r="B710" s="380" t="str">
        <f t="shared" si="11"/>
        <v>174-906</v>
      </c>
      <c r="C710" s="2103">
        <v>0.83099999999999996</v>
      </c>
    </row>
    <row r="711" spans="1:3" ht="14.5">
      <c r="A711" s="2100">
        <v>174908</v>
      </c>
      <c r="B711" s="380" t="str">
        <f t="shared" si="11"/>
        <v>174-908</v>
      </c>
      <c r="C711" s="2103">
        <v>0.91639999999999999</v>
      </c>
    </row>
    <row r="712" spans="1:3" ht="14.5">
      <c r="A712" s="2100">
        <v>174909</v>
      </c>
      <c r="B712" s="380" t="str">
        <f t="shared" si="11"/>
        <v>174-909</v>
      </c>
      <c r="C712" s="2103">
        <v>0.91639999999999999</v>
      </c>
    </row>
    <row r="713" spans="1:3" ht="14.5">
      <c r="A713" s="2100">
        <v>174910</v>
      </c>
      <c r="B713" s="380" t="str">
        <f t="shared" si="11"/>
        <v>174-910</v>
      </c>
      <c r="C713" s="2103">
        <v>0.91639999999999999</v>
      </c>
    </row>
    <row r="714" spans="1:3" ht="14.5">
      <c r="A714" s="2100">
        <v>174911</v>
      </c>
      <c r="B714" s="380" t="str">
        <f t="shared" si="11"/>
        <v>174-911</v>
      </c>
      <c r="C714" s="2103">
        <v>0.91220000000000001</v>
      </c>
    </row>
    <row r="715" spans="1:3" ht="14.5">
      <c r="A715" s="2100">
        <v>175902</v>
      </c>
      <c r="B715" s="380" t="str">
        <f t="shared" si="11"/>
        <v>175-902</v>
      </c>
      <c r="C715" s="2103">
        <v>0.82469999999999999</v>
      </c>
    </row>
    <row r="716" spans="1:3" ht="14.5">
      <c r="A716" s="2100">
        <v>175903</v>
      </c>
      <c r="B716" s="380" t="str">
        <f t="shared" si="11"/>
        <v>175-903</v>
      </c>
      <c r="C716" s="2103">
        <v>0.91639999999999999</v>
      </c>
    </row>
    <row r="717" spans="1:3" ht="14.5">
      <c r="A717" s="2100">
        <v>175904</v>
      </c>
      <c r="B717" s="380" t="str">
        <f t="shared" si="11"/>
        <v>175-904</v>
      </c>
      <c r="C717" s="2103">
        <v>0.84540000000000004</v>
      </c>
    </row>
    <row r="718" spans="1:3" ht="14.5">
      <c r="A718" s="2100">
        <v>175905</v>
      </c>
      <c r="B718" s="380" t="str">
        <f t="shared" si="11"/>
        <v>175-905</v>
      </c>
      <c r="C718" s="2103">
        <v>0.82469999999999999</v>
      </c>
    </row>
    <row r="719" spans="1:3" ht="14.5">
      <c r="A719" s="2100">
        <v>175907</v>
      </c>
      <c r="B719" s="380" t="str">
        <f t="shared" si="11"/>
        <v>175-907</v>
      </c>
      <c r="C719" s="2103">
        <v>0.85909999999999997</v>
      </c>
    </row>
    <row r="720" spans="1:3" ht="14.5">
      <c r="A720" s="2100">
        <v>175910</v>
      </c>
      <c r="B720" s="380" t="str">
        <f t="shared" si="11"/>
        <v>175-910</v>
      </c>
      <c r="C720" s="2103">
        <v>0.88019999999999998</v>
      </c>
    </row>
    <row r="721" spans="1:3" ht="14.5">
      <c r="A721" s="2100">
        <v>175911</v>
      </c>
      <c r="B721" s="380" t="str">
        <f t="shared" si="11"/>
        <v>175-911</v>
      </c>
      <c r="C721" s="2103">
        <v>0.83150000000000002</v>
      </c>
    </row>
    <row r="722" spans="1:3" ht="14.5">
      <c r="A722" s="2100">
        <v>176901</v>
      </c>
      <c r="B722" s="380" t="str">
        <f t="shared" si="11"/>
        <v>176-901</v>
      </c>
      <c r="C722" s="2103">
        <v>0.91639999999999999</v>
      </c>
    </row>
    <row r="723" spans="1:3" ht="14.5">
      <c r="A723" s="2100">
        <v>176902</v>
      </c>
      <c r="B723" s="380" t="str">
        <f t="shared" si="11"/>
        <v>176-902</v>
      </c>
      <c r="C723" s="2103">
        <v>0.88300000000000001</v>
      </c>
    </row>
    <row r="724" spans="1:3" ht="14.5">
      <c r="A724" s="2100">
        <v>176903</v>
      </c>
      <c r="B724" s="380" t="str">
        <f t="shared" si="11"/>
        <v>176-903</v>
      </c>
      <c r="C724" s="2103">
        <v>0.82469999999999999</v>
      </c>
    </row>
    <row r="725" spans="1:3" ht="14.5">
      <c r="A725" s="2100">
        <v>177901</v>
      </c>
      <c r="B725" s="380" t="str">
        <f t="shared" si="11"/>
        <v>177-901</v>
      </c>
      <c r="C725" s="2103">
        <v>0.9032</v>
      </c>
    </row>
    <row r="726" spans="1:3" ht="14.5">
      <c r="A726" s="2100">
        <v>177902</v>
      </c>
      <c r="B726" s="380" t="str">
        <f t="shared" si="11"/>
        <v>177-902</v>
      </c>
      <c r="C726" s="2103">
        <v>0.90990000000000004</v>
      </c>
    </row>
    <row r="727" spans="1:3" ht="14.5">
      <c r="A727" s="2100">
        <v>177903</v>
      </c>
      <c r="B727" s="380" t="str">
        <f t="shared" si="11"/>
        <v>177-903</v>
      </c>
      <c r="C727" s="2103">
        <v>0.87790000000000001</v>
      </c>
    </row>
    <row r="728" spans="1:3" ht="14.5">
      <c r="A728" s="2100">
        <v>177905</v>
      </c>
      <c r="B728" s="380" t="str">
        <f t="shared" si="11"/>
        <v>177-905</v>
      </c>
      <c r="C728" s="2103">
        <v>0.86260000000000003</v>
      </c>
    </row>
    <row r="729" spans="1:3" ht="14.5">
      <c r="A729" s="2100">
        <v>178901</v>
      </c>
      <c r="B729" s="380" t="str">
        <f t="shared" si="11"/>
        <v>178-901</v>
      </c>
      <c r="C729" s="2103">
        <v>0.8286</v>
      </c>
    </row>
    <row r="730" spans="1:3" ht="14.5">
      <c r="A730" s="2100">
        <v>178902</v>
      </c>
      <c r="B730" s="380" t="str">
        <f t="shared" si="11"/>
        <v>178-902</v>
      </c>
      <c r="C730" s="2103">
        <v>0.82469999999999999</v>
      </c>
    </row>
    <row r="731" spans="1:3" ht="14.5">
      <c r="A731" s="2100">
        <v>178903</v>
      </c>
      <c r="B731" s="380" t="str">
        <f t="shared" si="11"/>
        <v>178-903</v>
      </c>
      <c r="C731" s="2103">
        <v>0.85319999999999996</v>
      </c>
    </row>
    <row r="732" spans="1:3" ht="14.5">
      <c r="A732" s="2100">
        <v>178904</v>
      </c>
      <c r="B732" s="380" t="str">
        <f t="shared" si="11"/>
        <v>178-904</v>
      </c>
      <c r="C732" s="2103">
        <v>0.91639999999999999</v>
      </c>
    </row>
    <row r="733" spans="1:3" ht="14.5">
      <c r="A733" s="2100">
        <v>178905</v>
      </c>
      <c r="B733" s="380" t="str">
        <f t="shared" si="11"/>
        <v>178-905</v>
      </c>
      <c r="C733" s="2103">
        <v>0.91639999999999999</v>
      </c>
    </row>
    <row r="734" spans="1:3" ht="14.5">
      <c r="A734" s="2100">
        <v>178906</v>
      </c>
      <c r="B734" s="380" t="str">
        <f t="shared" si="11"/>
        <v>178-906</v>
      </c>
      <c r="C734" s="2103">
        <v>0.91639999999999999</v>
      </c>
    </row>
    <row r="735" spans="1:3" ht="14.5">
      <c r="A735" s="2100">
        <v>178908</v>
      </c>
      <c r="B735" s="380" t="str">
        <f t="shared" si="11"/>
        <v>178-908</v>
      </c>
      <c r="C735" s="2103">
        <v>0.8921</v>
      </c>
    </row>
    <row r="736" spans="1:3" ht="14.5">
      <c r="A736" s="2100">
        <v>178909</v>
      </c>
      <c r="B736" s="380" t="str">
        <f t="shared" si="11"/>
        <v>178-909</v>
      </c>
      <c r="C736" s="2103">
        <v>0.90610000000000002</v>
      </c>
    </row>
    <row r="737" spans="1:3" ht="14.5">
      <c r="A737" s="2100">
        <v>178912</v>
      </c>
      <c r="B737" s="380" t="str">
        <f t="shared" si="11"/>
        <v>178-912</v>
      </c>
      <c r="C737" s="2103">
        <v>0.8921</v>
      </c>
    </row>
    <row r="738" spans="1:3" ht="14.5">
      <c r="A738" s="2100">
        <v>178913</v>
      </c>
      <c r="B738" s="380" t="str">
        <f t="shared" si="11"/>
        <v>178-913</v>
      </c>
      <c r="C738" s="2103">
        <v>0.91639999999999999</v>
      </c>
    </row>
    <row r="739" spans="1:3" ht="14.5">
      <c r="A739" s="2100">
        <v>178914</v>
      </c>
      <c r="B739" s="380" t="str">
        <f t="shared" si="11"/>
        <v>178-914</v>
      </c>
      <c r="C739" s="2103">
        <v>0.91639999999999999</v>
      </c>
    </row>
    <row r="740" spans="1:3" ht="14.5">
      <c r="A740" s="2100">
        <v>178915</v>
      </c>
      <c r="B740" s="380" t="str">
        <f t="shared" si="11"/>
        <v>178-915</v>
      </c>
      <c r="C740" s="2103">
        <v>0.91639999999999999</v>
      </c>
    </row>
    <row r="741" spans="1:3" ht="14.5">
      <c r="A741" s="2100">
        <v>179901</v>
      </c>
      <c r="B741" s="380" t="str">
        <f t="shared" si="11"/>
        <v>179-901</v>
      </c>
      <c r="C741" s="2103">
        <v>0.91639999999999999</v>
      </c>
    </row>
    <row r="742" spans="1:3" ht="14.5">
      <c r="A742" s="2100">
        <v>180902</v>
      </c>
      <c r="B742" s="380" t="str">
        <f t="shared" si="11"/>
        <v>180-902</v>
      </c>
      <c r="C742" s="2103">
        <v>0.82469999999999999</v>
      </c>
    </row>
    <row r="743" spans="1:3" ht="14.5">
      <c r="A743" s="2100">
        <v>180903</v>
      </c>
      <c r="B743" s="380" t="str">
        <f t="shared" si="11"/>
        <v>180-903</v>
      </c>
      <c r="C743" s="2103">
        <v>0.91639999999999999</v>
      </c>
    </row>
    <row r="744" spans="1:3" ht="14.5">
      <c r="A744" s="2100">
        <v>180904</v>
      </c>
      <c r="B744" s="380" t="str">
        <f t="shared" si="11"/>
        <v>180-904</v>
      </c>
      <c r="C744" s="2103">
        <v>0.91639999999999999</v>
      </c>
    </row>
    <row r="745" spans="1:3" ht="14.5">
      <c r="A745" s="2100">
        <v>181901</v>
      </c>
      <c r="B745" s="380" t="str">
        <f t="shared" si="11"/>
        <v>181-901</v>
      </c>
      <c r="C745" s="2103">
        <v>0.91639999999999999</v>
      </c>
    </row>
    <row r="746" spans="1:3" ht="14.5">
      <c r="A746" s="2100">
        <v>181905</v>
      </c>
      <c r="B746" s="380" t="str">
        <f t="shared" si="11"/>
        <v>181-905</v>
      </c>
      <c r="C746" s="2103">
        <v>0.91639999999999999</v>
      </c>
    </row>
    <row r="747" spans="1:3" ht="14.5">
      <c r="A747" s="2100">
        <v>181906</v>
      </c>
      <c r="B747" s="380" t="str">
        <f t="shared" si="11"/>
        <v>181-906</v>
      </c>
      <c r="C747" s="2103">
        <v>0.91639999999999999</v>
      </c>
    </row>
    <row r="748" spans="1:3" ht="14.5">
      <c r="A748" s="2100">
        <v>181907</v>
      </c>
      <c r="B748" s="380" t="str">
        <f t="shared" si="11"/>
        <v>181-907</v>
      </c>
      <c r="C748" s="2103">
        <v>0.89259999999999995</v>
      </c>
    </row>
    <row r="749" spans="1:3" ht="14.5">
      <c r="A749" s="2100">
        <v>181908</v>
      </c>
      <c r="B749" s="380" t="str">
        <f t="shared" si="11"/>
        <v>181-908</v>
      </c>
      <c r="C749" s="2103">
        <v>0.91639999999999999</v>
      </c>
    </row>
    <row r="750" spans="1:3" ht="14.5">
      <c r="A750" s="2100">
        <v>182901</v>
      </c>
      <c r="B750" s="380" t="str">
        <f t="shared" si="11"/>
        <v>182-901</v>
      </c>
      <c r="C750" s="2103">
        <v>0.89329999999999998</v>
      </c>
    </row>
    <row r="751" spans="1:3" ht="14.5">
      <c r="A751" s="2100">
        <v>182902</v>
      </c>
      <c r="B751" s="380" t="str">
        <f t="shared" si="11"/>
        <v>182-902</v>
      </c>
      <c r="C751" s="2103">
        <v>0.91500000000000004</v>
      </c>
    </row>
    <row r="752" spans="1:3" ht="14.5">
      <c r="A752" s="2100">
        <v>182903</v>
      </c>
      <c r="B752" s="380" t="str">
        <f t="shared" si="11"/>
        <v>182-903</v>
      </c>
      <c r="C752" s="2103">
        <v>0.90439999999999998</v>
      </c>
    </row>
    <row r="753" spans="1:3" ht="14.5">
      <c r="A753" s="2100">
        <v>182904</v>
      </c>
      <c r="B753" s="380" t="str">
        <f t="shared" si="11"/>
        <v>182-904</v>
      </c>
      <c r="C753" s="2103">
        <v>0.86939999999999995</v>
      </c>
    </row>
    <row r="754" spans="1:3" ht="14.5">
      <c r="A754" s="2100">
        <v>182905</v>
      </c>
      <c r="B754" s="380" t="str">
        <f t="shared" si="11"/>
        <v>182-905</v>
      </c>
      <c r="C754" s="2103">
        <v>0.89929999999999999</v>
      </c>
    </row>
    <row r="755" spans="1:3" ht="14.5">
      <c r="A755" s="2100">
        <v>182906</v>
      </c>
      <c r="B755" s="380" t="str">
        <f t="shared" si="11"/>
        <v>182-906</v>
      </c>
      <c r="C755" s="2103">
        <v>0.90669999999999995</v>
      </c>
    </row>
    <row r="756" spans="1:3" ht="14.5">
      <c r="A756" s="2100">
        <v>183901</v>
      </c>
      <c r="B756" s="380" t="str">
        <f t="shared" si="11"/>
        <v>183-901</v>
      </c>
      <c r="C756" s="2103">
        <v>0.91639999999999999</v>
      </c>
    </row>
    <row r="757" spans="1:3" ht="14.5">
      <c r="A757" s="2100">
        <v>183902</v>
      </c>
      <c r="B757" s="380" t="str">
        <f t="shared" si="11"/>
        <v>183-902</v>
      </c>
      <c r="C757" s="2103">
        <v>0.91639999999999999</v>
      </c>
    </row>
    <row r="758" spans="1:3" ht="14.5">
      <c r="A758" s="2100">
        <v>183904</v>
      </c>
      <c r="B758" s="380" t="str">
        <f t="shared" si="11"/>
        <v>183-904</v>
      </c>
      <c r="C758" s="2103">
        <v>0.91639999999999999</v>
      </c>
    </row>
    <row r="759" spans="1:3" ht="14.5">
      <c r="A759" s="2100">
        <v>184901</v>
      </c>
      <c r="B759" s="380" t="str">
        <f t="shared" si="11"/>
        <v>184-901</v>
      </c>
      <c r="C759" s="2103">
        <v>0.83679999999999999</v>
      </c>
    </row>
    <row r="760" spans="1:3" ht="14.5">
      <c r="A760" s="2100">
        <v>184902</v>
      </c>
      <c r="B760" s="380" t="str">
        <f t="shared" si="11"/>
        <v>184-902</v>
      </c>
      <c r="C760" s="2103">
        <v>0.86719999999999997</v>
      </c>
    </row>
    <row r="761" spans="1:3" ht="14.5">
      <c r="A761" s="2100">
        <v>184903</v>
      </c>
      <c r="B761" s="380" t="str">
        <f t="shared" si="11"/>
        <v>184-903</v>
      </c>
      <c r="C761" s="2103">
        <v>0.90990000000000004</v>
      </c>
    </row>
    <row r="762" spans="1:3" ht="14.5">
      <c r="A762" s="2100">
        <v>184904</v>
      </c>
      <c r="B762" s="380" t="str">
        <f t="shared" si="11"/>
        <v>184-904</v>
      </c>
      <c r="C762" s="2103">
        <v>0.91639999999999999</v>
      </c>
    </row>
    <row r="763" spans="1:3" ht="14.5">
      <c r="A763" s="2100">
        <v>184907</v>
      </c>
      <c r="B763" s="380" t="str">
        <f t="shared" si="11"/>
        <v>184-907</v>
      </c>
      <c r="C763" s="2103">
        <v>0.91639999999999999</v>
      </c>
    </row>
    <row r="764" spans="1:3" ht="14.5">
      <c r="A764" s="2100">
        <v>184908</v>
      </c>
      <c r="B764" s="380" t="str">
        <f t="shared" si="11"/>
        <v>184-908</v>
      </c>
      <c r="C764" s="2103">
        <v>0.8589</v>
      </c>
    </row>
    <row r="765" spans="1:3" ht="14.5">
      <c r="A765" s="2100">
        <v>184909</v>
      </c>
      <c r="B765" s="380" t="str">
        <f t="shared" si="11"/>
        <v>184-909</v>
      </c>
      <c r="C765" s="2103">
        <v>0.87529999999999997</v>
      </c>
    </row>
    <row r="766" spans="1:3" ht="14.5">
      <c r="A766" s="2100">
        <v>184911</v>
      </c>
      <c r="B766" s="380" t="str">
        <f t="shared" si="11"/>
        <v>184-911</v>
      </c>
      <c r="C766" s="2103">
        <v>0.88870000000000005</v>
      </c>
    </row>
    <row r="767" spans="1:3" ht="14.5">
      <c r="A767" s="2100">
        <v>185901</v>
      </c>
      <c r="B767" s="380" t="str">
        <f t="shared" si="11"/>
        <v>185-901</v>
      </c>
      <c r="C767" s="2103">
        <v>0.91639999999999999</v>
      </c>
    </row>
    <row r="768" spans="1:3" ht="14.5">
      <c r="A768" s="2100">
        <v>185902</v>
      </c>
      <c r="B768" s="380" t="str">
        <f t="shared" si="11"/>
        <v>185-902</v>
      </c>
      <c r="C768" s="2103">
        <v>0.91639999999999999</v>
      </c>
    </row>
    <row r="769" spans="1:3" ht="14.5">
      <c r="A769" s="2100">
        <v>185903</v>
      </c>
      <c r="B769" s="380" t="str">
        <f t="shared" ref="B769:B832" si="12">CONCATENATE(LEFT(RIGHT(CONCATENATE("000",A769),6),3),"-",(RIGHT(RIGHT(CONCATENATE("000",A769),6),3)))</f>
        <v>185-903</v>
      </c>
      <c r="C769" s="2103">
        <v>0.87980000000000003</v>
      </c>
    </row>
    <row r="770" spans="1:3" ht="14.5">
      <c r="A770" s="2100">
        <v>185904</v>
      </c>
      <c r="B770" s="380" t="str">
        <f t="shared" si="12"/>
        <v>185-904</v>
      </c>
      <c r="C770" s="2103">
        <v>0.91639999999999999</v>
      </c>
    </row>
    <row r="771" spans="1:3" ht="14.5">
      <c r="A771" s="2100">
        <v>186901</v>
      </c>
      <c r="B771" s="380" t="str">
        <f t="shared" si="12"/>
        <v>186-901</v>
      </c>
      <c r="C771" s="2103">
        <v>0.8952</v>
      </c>
    </row>
    <row r="772" spans="1:3" ht="14.5">
      <c r="A772" s="2100">
        <v>186902</v>
      </c>
      <c r="B772" s="380" t="str">
        <f t="shared" si="12"/>
        <v>186-902</v>
      </c>
      <c r="C772" s="2103">
        <v>0.85170000000000001</v>
      </c>
    </row>
    <row r="773" spans="1:3" ht="14.5">
      <c r="A773" s="2100">
        <v>186903</v>
      </c>
      <c r="B773" s="380" t="str">
        <f t="shared" si="12"/>
        <v>186-903</v>
      </c>
      <c r="C773" s="2103">
        <v>0.91639999999999999</v>
      </c>
    </row>
    <row r="774" spans="1:3" ht="14.5">
      <c r="A774" s="2100">
        <v>187901</v>
      </c>
      <c r="B774" s="380" t="str">
        <f t="shared" si="12"/>
        <v>187-901</v>
      </c>
      <c r="C774" s="2103">
        <v>0.91639999999999999</v>
      </c>
    </row>
    <row r="775" spans="1:3" ht="14.5">
      <c r="A775" s="2100">
        <v>187903</v>
      </c>
      <c r="B775" s="380" t="str">
        <f t="shared" si="12"/>
        <v>187-903</v>
      </c>
      <c r="C775" s="2103">
        <v>0.88380000000000003</v>
      </c>
    </row>
    <row r="776" spans="1:3" ht="14.5">
      <c r="A776" s="2100">
        <v>187904</v>
      </c>
      <c r="B776" s="380" t="str">
        <f t="shared" si="12"/>
        <v>187-904</v>
      </c>
      <c r="C776" s="2103">
        <v>0.91200000000000003</v>
      </c>
    </row>
    <row r="777" spans="1:3" ht="14.5">
      <c r="A777" s="2100">
        <v>187906</v>
      </c>
      <c r="B777" s="380" t="str">
        <f t="shared" si="12"/>
        <v>187-906</v>
      </c>
      <c r="C777" s="2103">
        <v>0.91639999999999999</v>
      </c>
    </row>
    <row r="778" spans="1:3" ht="14.5">
      <c r="A778" s="2100">
        <v>187907</v>
      </c>
      <c r="B778" s="380" t="str">
        <f t="shared" si="12"/>
        <v>187-907</v>
      </c>
      <c r="C778" s="2103">
        <v>0.91639999999999999</v>
      </c>
    </row>
    <row r="779" spans="1:3" ht="14.5">
      <c r="A779" s="2100">
        <v>187910</v>
      </c>
      <c r="B779" s="380" t="str">
        <f t="shared" si="12"/>
        <v>187-910</v>
      </c>
      <c r="C779" s="2103">
        <v>0.91639999999999999</v>
      </c>
    </row>
    <row r="780" spans="1:3" ht="14.5">
      <c r="A780" s="2100">
        <v>188901</v>
      </c>
      <c r="B780" s="380" t="str">
        <f t="shared" si="12"/>
        <v>188-901</v>
      </c>
      <c r="C780" s="2103">
        <v>0.91639999999999999</v>
      </c>
    </row>
    <row r="781" spans="1:3" ht="14.5">
      <c r="A781" s="2100">
        <v>188902</v>
      </c>
      <c r="B781" s="380" t="str">
        <f t="shared" si="12"/>
        <v>188-902</v>
      </c>
      <c r="C781" s="2103">
        <v>0.91639999999999999</v>
      </c>
    </row>
    <row r="782" spans="1:3" ht="14.5">
      <c r="A782" s="2100">
        <v>188903</v>
      </c>
      <c r="B782" s="380" t="str">
        <f t="shared" si="12"/>
        <v>188-903</v>
      </c>
      <c r="C782" s="2103">
        <v>0.91639999999999999</v>
      </c>
    </row>
    <row r="783" spans="1:3" ht="14.5">
      <c r="A783" s="2100">
        <v>188904</v>
      </c>
      <c r="B783" s="380" t="str">
        <f t="shared" si="12"/>
        <v>188-904</v>
      </c>
      <c r="C783" s="2103">
        <v>0.91639999999999999</v>
      </c>
    </row>
    <row r="784" spans="1:3" ht="14.5">
      <c r="A784" s="2100">
        <v>189901</v>
      </c>
      <c r="B784" s="380" t="str">
        <f t="shared" si="12"/>
        <v>189-901</v>
      </c>
      <c r="C784" s="2103">
        <v>0.86119999999999997</v>
      </c>
    </row>
    <row r="785" spans="1:3" ht="14.5">
      <c r="A785" s="2100">
        <v>189902</v>
      </c>
      <c r="B785" s="380" t="str">
        <f t="shared" si="12"/>
        <v>189-902</v>
      </c>
      <c r="C785" s="2103">
        <v>0.91639999999999999</v>
      </c>
    </row>
    <row r="786" spans="1:3" ht="14.5">
      <c r="A786" s="2100">
        <v>190903</v>
      </c>
      <c r="B786" s="380" t="str">
        <f t="shared" si="12"/>
        <v>190-903</v>
      </c>
      <c r="C786" s="2103">
        <v>0.8448</v>
      </c>
    </row>
    <row r="787" spans="1:3" ht="14.5">
      <c r="A787" s="2100">
        <v>191901</v>
      </c>
      <c r="B787" s="380" t="str">
        <f t="shared" si="12"/>
        <v>191-901</v>
      </c>
      <c r="C787" s="2103">
        <v>0.90500000000000003</v>
      </c>
    </row>
    <row r="788" spans="1:3" ht="14.5">
      <c r="A788" s="2100">
        <v>192901</v>
      </c>
      <c r="B788" s="380" t="str">
        <f t="shared" si="12"/>
        <v>192-901</v>
      </c>
      <c r="C788" s="2103">
        <v>0.91639999999999999</v>
      </c>
    </row>
    <row r="789" spans="1:3" ht="14.5">
      <c r="A789" s="2100">
        <v>193902</v>
      </c>
      <c r="B789" s="380" t="str">
        <f t="shared" si="12"/>
        <v>193-902</v>
      </c>
      <c r="C789" s="2103">
        <v>0.91639999999999999</v>
      </c>
    </row>
    <row r="790" spans="1:3" ht="14.5">
      <c r="A790" s="2100">
        <v>194902</v>
      </c>
      <c r="B790" s="380" t="str">
        <f t="shared" si="12"/>
        <v>194-902</v>
      </c>
      <c r="C790" s="2103">
        <v>0.89670000000000005</v>
      </c>
    </row>
    <row r="791" spans="1:3" ht="14.5">
      <c r="A791" s="2100">
        <v>194903</v>
      </c>
      <c r="B791" s="380" t="str">
        <f t="shared" si="12"/>
        <v>194-903</v>
      </c>
      <c r="C791" s="2103">
        <v>0.91639999999999999</v>
      </c>
    </row>
    <row r="792" spans="1:3" ht="14.5">
      <c r="A792" s="2100">
        <v>194904</v>
      </c>
      <c r="B792" s="380" t="str">
        <f t="shared" si="12"/>
        <v>194-904</v>
      </c>
      <c r="C792" s="2103">
        <v>0.89039999999999997</v>
      </c>
    </row>
    <row r="793" spans="1:3" ht="14.5">
      <c r="A793" s="2100">
        <v>194905</v>
      </c>
      <c r="B793" s="380" t="str">
        <f t="shared" si="12"/>
        <v>194-905</v>
      </c>
      <c r="C793" s="2103">
        <v>0.88580000000000003</v>
      </c>
    </row>
    <row r="794" spans="1:3" ht="14.5">
      <c r="A794" s="2100">
        <v>195901</v>
      </c>
      <c r="B794" s="380" t="str">
        <f t="shared" si="12"/>
        <v>195-901</v>
      </c>
      <c r="C794" s="2103">
        <v>0.91639999999999999</v>
      </c>
    </row>
    <row r="795" spans="1:3" ht="14.5">
      <c r="A795" s="2100">
        <v>195902</v>
      </c>
      <c r="B795" s="380" t="str">
        <f t="shared" si="12"/>
        <v>195-902</v>
      </c>
      <c r="C795" s="2103">
        <v>0.91639999999999999</v>
      </c>
    </row>
    <row r="796" spans="1:3" ht="14.5">
      <c r="A796" s="2100">
        <v>196901</v>
      </c>
      <c r="B796" s="380" t="str">
        <f t="shared" si="12"/>
        <v>196-901</v>
      </c>
      <c r="C796" s="2103">
        <v>0.91639999999999999</v>
      </c>
    </row>
    <row r="797" spans="1:3" ht="14.5">
      <c r="A797" s="2100">
        <v>196902</v>
      </c>
      <c r="B797" s="380" t="str">
        <f t="shared" si="12"/>
        <v>196-902</v>
      </c>
      <c r="C797" s="2103">
        <v>0.84199999999999997</v>
      </c>
    </row>
    <row r="798" spans="1:3" ht="14.5">
      <c r="A798" s="2100">
        <v>196903</v>
      </c>
      <c r="B798" s="380" t="str">
        <f t="shared" si="12"/>
        <v>196-903</v>
      </c>
      <c r="C798" s="2103">
        <v>0.91639999999999999</v>
      </c>
    </row>
    <row r="799" spans="1:3" ht="14.5">
      <c r="A799" s="2100">
        <v>197902</v>
      </c>
      <c r="B799" s="380" t="str">
        <f t="shared" si="12"/>
        <v>197-902</v>
      </c>
      <c r="C799" s="2103">
        <v>0.91639999999999999</v>
      </c>
    </row>
    <row r="800" spans="1:3" ht="14.5">
      <c r="A800" s="2100">
        <v>198901</v>
      </c>
      <c r="B800" s="380" t="str">
        <f t="shared" si="12"/>
        <v>198-901</v>
      </c>
      <c r="C800" s="2103">
        <v>0.91639999999999999</v>
      </c>
    </row>
    <row r="801" spans="1:3" ht="14.5">
      <c r="A801" s="2100">
        <v>198902</v>
      </c>
      <c r="B801" s="380" t="str">
        <f t="shared" si="12"/>
        <v>198-902</v>
      </c>
      <c r="C801" s="2103">
        <v>0.84130000000000005</v>
      </c>
    </row>
    <row r="802" spans="1:3" ht="14.5">
      <c r="A802" s="2100">
        <v>198903</v>
      </c>
      <c r="B802" s="380" t="str">
        <f t="shared" si="12"/>
        <v>198-903</v>
      </c>
      <c r="C802" s="2103">
        <v>0.91639999999999999</v>
      </c>
    </row>
    <row r="803" spans="1:3" ht="14.5">
      <c r="A803" s="2100">
        <v>198905</v>
      </c>
      <c r="B803" s="380" t="str">
        <f t="shared" si="12"/>
        <v>198-905</v>
      </c>
      <c r="C803" s="2103">
        <v>0.82469999999999999</v>
      </c>
    </row>
    <row r="804" spans="1:3" ht="14.5">
      <c r="A804" s="2100">
        <v>198906</v>
      </c>
      <c r="B804" s="380" t="str">
        <f t="shared" si="12"/>
        <v>198-906</v>
      </c>
      <c r="C804" s="2103">
        <v>0.89259999999999995</v>
      </c>
    </row>
    <row r="805" spans="1:3" ht="14.5">
      <c r="A805" s="2100">
        <v>199901</v>
      </c>
      <c r="B805" s="380" t="str">
        <f t="shared" si="12"/>
        <v>199-901</v>
      </c>
      <c r="C805" s="2103">
        <v>0.8901</v>
      </c>
    </row>
    <row r="806" spans="1:3" ht="14.5">
      <c r="A806" s="2100">
        <v>199902</v>
      </c>
      <c r="B806" s="380" t="str">
        <f t="shared" si="12"/>
        <v>199-902</v>
      </c>
      <c r="C806" s="2103">
        <v>0.82650000000000001</v>
      </c>
    </row>
    <row r="807" spans="1:3" ht="14.5">
      <c r="A807" s="2100">
        <v>200901</v>
      </c>
      <c r="B807" s="380" t="str">
        <f t="shared" si="12"/>
        <v>200-901</v>
      </c>
      <c r="C807" s="2103">
        <v>0.91259999999999997</v>
      </c>
    </row>
    <row r="808" spans="1:3" ht="14.5">
      <c r="A808" s="2100">
        <v>200902</v>
      </c>
      <c r="B808" s="380" t="str">
        <f t="shared" si="12"/>
        <v>200-902</v>
      </c>
      <c r="C808" s="2103">
        <v>0.90810000000000002</v>
      </c>
    </row>
    <row r="809" spans="1:3" ht="14.5">
      <c r="A809" s="2100">
        <v>200904</v>
      </c>
      <c r="B809" s="380" t="str">
        <f t="shared" si="12"/>
        <v>200-904</v>
      </c>
      <c r="C809" s="2103">
        <v>0.91639999999999999</v>
      </c>
    </row>
    <row r="810" spans="1:3" ht="14.5">
      <c r="A810" s="2100">
        <v>200906</v>
      </c>
      <c r="B810" s="380" t="str">
        <f t="shared" si="12"/>
        <v>200-906</v>
      </c>
      <c r="C810" s="2103">
        <v>0.91639999999999999</v>
      </c>
    </row>
    <row r="811" spans="1:3" ht="14.5">
      <c r="A811" s="2100">
        <v>201902</v>
      </c>
      <c r="B811" s="380" t="str">
        <f t="shared" si="12"/>
        <v>201-902</v>
      </c>
      <c r="C811" s="2103">
        <v>0.91639999999999999</v>
      </c>
    </row>
    <row r="812" spans="1:3" ht="14.5">
      <c r="A812" s="2100">
        <v>201903</v>
      </c>
      <c r="B812" s="380" t="str">
        <f t="shared" si="12"/>
        <v>201-903</v>
      </c>
      <c r="C812" s="2103">
        <v>0.91639999999999999</v>
      </c>
    </row>
    <row r="813" spans="1:3" ht="14.5">
      <c r="A813" s="2100">
        <v>201904</v>
      </c>
      <c r="B813" s="380" t="str">
        <f t="shared" si="12"/>
        <v>201-904</v>
      </c>
      <c r="C813" s="2103">
        <v>0.91639999999999999</v>
      </c>
    </row>
    <row r="814" spans="1:3" ht="14.5">
      <c r="A814" s="2100">
        <v>201907</v>
      </c>
      <c r="B814" s="380" t="str">
        <f t="shared" si="12"/>
        <v>201-907</v>
      </c>
      <c r="C814" s="2103">
        <v>0.90090000000000003</v>
      </c>
    </row>
    <row r="815" spans="1:3" ht="14.5">
      <c r="A815" s="2100">
        <v>201908</v>
      </c>
      <c r="B815" s="380" t="str">
        <f t="shared" si="12"/>
        <v>201-908</v>
      </c>
      <c r="C815" s="2103">
        <v>0.91639999999999999</v>
      </c>
    </row>
    <row r="816" spans="1:3" ht="14.5">
      <c r="A816" s="2100">
        <v>201910</v>
      </c>
      <c r="B816" s="380" t="str">
        <f t="shared" si="12"/>
        <v>201-910</v>
      </c>
      <c r="C816" s="2103">
        <v>0.91639999999999999</v>
      </c>
    </row>
    <row r="817" spans="1:3" ht="14.5">
      <c r="A817" s="2100">
        <v>201913</v>
      </c>
      <c r="B817" s="380" t="str">
        <f t="shared" si="12"/>
        <v>201-913</v>
      </c>
      <c r="C817" s="2103">
        <v>0.91639999999999999</v>
      </c>
    </row>
    <row r="818" spans="1:3" ht="14.5">
      <c r="A818" s="2100">
        <v>201914</v>
      </c>
      <c r="B818" s="380" t="str">
        <f t="shared" si="12"/>
        <v>201-914</v>
      </c>
      <c r="C818" s="2103">
        <v>0.91639999999999999</v>
      </c>
    </row>
    <row r="819" spans="1:3" ht="14.5">
      <c r="A819" s="2100">
        <v>202903</v>
      </c>
      <c r="B819" s="380" t="str">
        <f t="shared" si="12"/>
        <v>202-903</v>
      </c>
      <c r="C819" s="2103">
        <v>0.86140000000000005</v>
      </c>
    </row>
    <row r="820" spans="1:3" ht="14.5">
      <c r="A820" s="2100">
        <v>202905</v>
      </c>
      <c r="B820" s="380" t="str">
        <f t="shared" si="12"/>
        <v>202-905</v>
      </c>
      <c r="C820" s="2103">
        <v>0.87990000000000002</v>
      </c>
    </row>
    <row r="821" spans="1:3" ht="14.5">
      <c r="A821" s="2100">
        <v>203901</v>
      </c>
      <c r="B821" s="380" t="str">
        <f t="shared" si="12"/>
        <v>203-901</v>
      </c>
      <c r="C821" s="2103">
        <v>0.91639999999999999</v>
      </c>
    </row>
    <row r="822" spans="1:3" ht="14.5">
      <c r="A822" s="2100">
        <v>203902</v>
      </c>
      <c r="B822" s="380" t="str">
        <f t="shared" si="12"/>
        <v>203-902</v>
      </c>
      <c r="C822" s="2103">
        <v>0.91639999999999999</v>
      </c>
    </row>
    <row r="823" spans="1:3" ht="14.5">
      <c r="A823" s="2100">
        <v>204901</v>
      </c>
      <c r="B823" s="380" t="str">
        <f t="shared" si="12"/>
        <v>204-901</v>
      </c>
      <c r="C823" s="2103">
        <v>0.87849999999999995</v>
      </c>
    </row>
    <row r="824" spans="1:3" ht="14.5">
      <c r="A824" s="2100">
        <v>204904</v>
      </c>
      <c r="B824" s="380" t="str">
        <f t="shared" si="12"/>
        <v>204-904</v>
      </c>
      <c r="C824" s="2103">
        <v>0.89439999999999997</v>
      </c>
    </row>
    <row r="825" spans="1:3" ht="14.5">
      <c r="A825" s="2100">
        <v>205901</v>
      </c>
      <c r="B825" s="380" t="str">
        <f t="shared" si="12"/>
        <v>205-901</v>
      </c>
      <c r="C825" s="2103">
        <v>0.91639999999999999</v>
      </c>
    </row>
    <row r="826" spans="1:3" ht="14.5">
      <c r="A826" s="2100">
        <v>205902</v>
      </c>
      <c r="B826" s="380" t="str">
        <f t="shared" si="12"/>
        <v>205-902</v>
      </c>
      <c r="C826" s="2103">
        <v>0.82469999999999999</v>
      </c>
    </row>
    <row r="827" spans="1:3" ht="14.5">
      <c r="A827" s="2100">
        <v>205903</v>
      </c>
      <c r="B827" s="380" t="str">
        <f t="shared" si="12"/>
        <v>205-903</v>
      </c>
      <c r="C827" s="2103">
        <v>0.91279999999999994</v>
      </c>
    </row>
    <row r="828" spans="1:3" ht="14.5">
      <c r="A828" s="2100">
        <v>205904</v>
      </c>
      <c r="B828" s="380" t="str">
        <f t="shared" si="12"/>
        <v>205-904</v>
      </c>
      <c r="C828" s="2103">
        <v>0.82469999999999999</v>
      </c>
    </row>
    <row r="829" spans="1:3" ht="14.5">
      <c r="A829" s="2100">
        <v>205905</v>
      </c>
      <c r="B829" s="380" t="str">
        <f t="shared" si="12"/>
        <v>205-905</v>
      </c>
      <c r="C829" s="2103">
        <v>0.82469999999999999</v>
      </c>
    </row>
    <row r="830" spans="1:3" ht="14.5">
      <c r="A830" s="2100">
        <v>205906</v>
      </c>
      <c r="B830" s="380" t="str">
        <f t="shared" si="12"/>
        <v>205-906</v>
      </c>
      <c r="C830" s="2103">
        <v>0.82469999999999999</v>
      </c>
    </row>
    <row r="831" spans="1:3" ht="14.5">
      <c r="A831" s="2100">
        <v>205907</v>
      </c>
      <c r="B831" s="380" t="str">
        <f t="shared" si="12"/>
        <v>205-907</v>
      </c>
      <c r="C831" s="2103">
        <v>0.82469999999999999</v>
      </c>
    </row>
    <row r="832" spans="1:3" ht="14.5">
      <c r="A832" s="2100">
        <v>206901</v>
      </c>
      <c r="B832" s="380" t="str">
        <f t="shared" si="12"/>
        <v>206-901</v>
      </c>
      <c r="C832" s="2103">
        <v>0.91639999999999999</v>
      </c>
    </row>
    <row r="833" spans="1:3" ht="14.5">
      <c r="A833" s="2100">
        <v>206902</v>
      </c>
      <c r="B833" s="380" t="str">
        <f t="shared" ref="B833:B896" si="13">CONCATENATE(LEFT(RIGHT(CONCATENATE("000",A833),6),3),"-",(RIGHT(RIGHT(CONCATENATE("000",A833),6),3)))</f>
        <v>206-902</v>
      </c>
      <c r="C833" s="2103">
        <v>0.91639999999999999</v>
      </c>
    </row>
    <row r="834" spans="1:3" ht="14.5">
      <c r="A834" s="2100">
        <v>206903</v>
      </c>
      <c r="B834" s="380" t="str">
        <f t="shared" si="13"/>
        <v>206-903</v>
      </c>
      <c r="C834" s="2103">
        <v>0.89159999999999995</v>
      </c>
    </row>
    <row r="835" spans="1:3" ht="14.5">
      <c r="A835" s="2100">
        <v>207901</v>
      </c>
      <c r="B835" s="380" t="str">
        <f t="shared" si="13"/>
        <v>207-901</v>
      </c>
      <c r="C835" s="2103">
        <v>0.91639999999999999</v>
      </c>
    </row>
    <row r="836" spans="1:3" ht="14.5">
      <c r="A836" s="2100">
        <v>208901</v>
      </c>
      <c r="B836" s="380" t="str">
        <f t="shared" si="13"/>
        <v>208-901</v>
      </c>
      <c r="C836" s="2103">
        <v>0.91639999999999999</v>
      </c>
    </row>
    <row r="837" spans="1:3" ht="14.5">
      <c r="A837" s="2100">
        <v>208902</v>
      </c>
      <c r="B837" s="380" t="str">
        <f t="shared" si="13"/>
        <v>208-902</v>
      </c>
      <c r="C837" s="2103">
        <v>0.91639999999999999</v>
      </c>
    </row>
    <row r="838" spans="1:3" ht="14.5">
      <c r="A838" s="2100">
        <v>208903</v>
      </c>
      <c r="B838" s="380" t="str">
        <f t="shared" si="13"/>
        <v>208-903</v>
      </c>
      <c r="C838" s="2103">
        <v>0.91639999999999999</v>
      </c>
    </row>
    <row r="839" spans="1:3" ht="14.5">
      <c r="A839" s="2100">
        <v>209901</v>
      </c>
      <c r="B839" s="380" t="str">
        <f t="shared" si="13"/>
        <v>209-901</v>
      </c>
      <c r="C839" s="2103">
        <v>0.91639999999999999</v>
      </c>
    </row>
    <row r="840" spans="1:3" ht="14.5">
      <c r="A840" s="2100">
        <v>209902</v>
      </c>
      <c r="B840" s="380" t="str">
        <f t="shared" si="13"/>
        <v>209-902</v>
      </c>
      <c r="C840" s="2103">
        <v>0.91639999999999999</v>
      </c>
    </row>
    <row r="841" spans="1:3" ht="14.5">
      <c r="A841" s="2100">
        <v>210901</v>
      </c>
      <c r="B841" s="380" t="str">
        <f t="shared" si="13"/>
        <v>210-901</v>
      </c>
      <c r="C841" s="2103">
        <v>0.91639999999999999</v>
      </c>
    </row>
    <row r="842" spans="1:3" ht="14.5">
      <c r="A842" s="2100">
        <v>210902</v>
      </c>
      <c r="B842" s="380" t="str">
        <f t="shared" si="13"/>
        <v>210-902</v>
      </c>
      <c r="C842" s="2103">
        <v>0.91639999999999999</v>
      </c>
    </row>
    <row r="843" spans="1:3" ht="14.5">
      <c r="A843" s="2100">
        <v>210903</v>
      </c>
      <c r="B843" s="380" t="str">
        <f t="shared" si="13"/>
        <v>210-903</v>
      </c>
      <c r="C843" s="2103">
        <v>0.91639999999999999</v>
      </c>
    </row>
    <row r="844" spans="1:3" ht="14.5">
      <c r="A844" s="2100">
        <v>210904</v>
      </c>
      <c r="B844" s="380" t="str">
        <f t="shared" si="13"/>
        <v>210-904</v>
      </c>
      <c r="C844" s="2103">
        <v>0.91639999999999999</v>
      </c>
    </row>
    <row r="845" spans="1:3" ht="14.5">
      <c r="A845" s="2100">
        <v>210905</v>
      </c>
      <c r="B845" s="380" t="str">
        <f t="shared" si="13"/>
        <v>210-905</v>
      </c>
      <c r="C845" s="2103">
        <v>0.91639999999999999</v>
      </c>
    </row>
    <row r="846" spans="1:3" ht="14.5">
      <c r="A846" s="2100">
        <v>210906</v>
      </c>
      <c r="B846" s="380" t="str">
        <f t="shared" si="13"/>
        <v>210-906</v>
      </c>
      <c r="C846" s="2103">
        <v>0.91639999999999999</v>
      </c>
    </row>
    <row r="847" spans="1:3" ht="14.5">
      <c r="A847" s="2100">
        <v>211901</v>
      </c>
      <c r="B847" s="380" t="str">
        <f t="shared" si="13"/>
        <v>211-901</v>
      </c>
      <c r="C847" s="2103">
        <v>0.91639999999999999</v>
      </c>
    </row>
    <row r="848" spans="1:3" ht="14.5">
      <c r="A848" s="2100">
        <v>211902</v>
      </c>
      <c r="B848" s="380" t="str">
        <f t="shared" si="13"/>
        <v>211-902</v>
      </c>
      <c r="C848" s="2103">
        <v>0.91639999999999999</v>
      </c>
    </row>
    <row r="849" spans="1:3" ht="14.5">
      <c r="A849" s="2100">
        <v>212901</v>
      </c>
      <c r="B849" s="380" t="str">
        <f t="shared" si="13"/>
        <v>212-901</v>
      </c>
      <c r="C849" s="2103">
        <v>0.91439999999999999</v>
      </c>
    </row>
    <row r="850" spans="1:3" ht="14.5">
      <c r="A850" s="2100">
        <v>212902</v>
      </c>
      <c r="B850" s="380" t="str">
        <f t="shared" si="13"/>
        <v>212-902</v>
      </c>
      <c r="C850" s="2103">
        <v>0.86529999999999996</v>
      </c>
    </row>
    <row r="851" spans="1:3" ht="14.5">
      <c r="A851" s="2100">
        <v>212903</v>
      </c>
      <c r="B851" s="380" t="str">
        <f t="shared" si="13"/>
        <v>212-903</v>
      </c>
      <c r="C851" s="2103">
        <v>0.84799999999999998</v>
      </c>
    </row>
    <row r="852" spans="1:3" ht="14.5">
      <c r="A852" s="2100">
        <v>212904</v>
      </c>
      <c r="B852" s="380" t="str">
        <f t="shared" si="13"/>
        <v>212-904</v>
      </c>
      <c r="C852" s="2103">
        <v>0.91639999999999999</v>
      </c>
    </row>
    <row r="853" spans="1:3" ht="14.5">
      <c r="A853" s="2100">
        <v>212905</v>
      </c>
      <c r="B853" s="380" t="str">
        <f t="shared" si="13"/>
        <v>212-905</v>
      </c>
      <c r="C853" s="2103">
        <v>0.90910000000000002</v>
      </c>
    </row>
    <row r="854" spans="1:3" ht="14.5">
      <c r="A854" s="2100">
        <v>212906</v>
      </c>
      <c r="B854" s="380" t="str">
        <f t="shared" si="13"/>
        <v>212-906</v>
      </c>
      <c r="C854" s="2103">
        <v>0.89659999999999995</v>
      </c>
    </row>
    <row r="855" spans="1:3" ht="14.5">
      <c r="A855" s="2100">
        <v>212909</v>
      </c>
      <c r="B855" s="380" t="str">
        <f t="shared" si="13"/>
        <v>212-909</v>
      </c>
      <c r="C855" s="2103">
        <v>0.8831</v>
      </c>
    </row>
    <row r="856" spans="1:3" ht="14.5">
      <c r="A856" s="2100">
        <v>212910</v>
      </c>
      <c r="B856" s="380" t="str">
        <f t="shared" si="13"/>
        <v>212-910</v>
      </c>
      <c r="C856" s="2103">
        <v>0.88519999999999999</v>
      </c>
    </row>
    <row r="857" spans="1:3" ht="14.5">
      <c r="A857" s="2100">
        <v>213901</v>
      </c>
      <c r="B857" s="380" t="str">
        <f t="shared" si="13"/>
        <v>213-901</v>
      </c>
      <c r="C857" s="2103">
        <v>0.82469999999999999</v>
      </c>
    </row>
    <row r="858" spans="1:3" ht="14.5">
      <c r="A858" s="2100">
        <v>214901</v>
      </c>
      <c r="B858" s="380" t="str">
        <f t="shared" si="13"/>
        <v>214-901</v>
      </c>
      <c r="C858" s="2103">
        <v>0.91639999999999999</v>
      </c>
    </row>
    <row r="859" spans="1:3" ht="14.5">
      <c r="A859" s="2100">
        <v>214902</v>
      </c>
      <c r="B859" s="380" t="str">
        <f t="shared" si="13"/>
        <v>214-902</v>
      </c>
      <c r="C859" s="2103">
        <v>0.91639999999999999</v>
      </c>
    </row>
    <row r="860" spans="1:3" ht="14.5">
      <c r="A860" s="2100">
        <v>214903</v>
      </c>
      <c r="B860" s="380" t="str">
        <f t="shared" si="13"/>
        <v>214-903</v>
      </c>
      <c r="C860" s="2103">
        <v>0.90529999999999999</v>
      </c>
    </row>
    <row r="861" spans="1:3" ht="14.5">
      <c r="A861" s="2100">
        <v>215901</v>
      </c>
      <c r="B861" s="380" t="str">
        <f t="shared" si="13"/>
        <v>215-901</v>
      </c>
      <c r="C861" s="2103">
        <v>0.91639999999999999</v>
      </c>
    </row>
    <row r="862" spans="1:3" ht="14.5">
      <c r="A862" s="2100">
        <v>216901</v>
      </c>
      <c r="B862" s="380" t="str">
        <f t="shared" si="13"/>
        <v>216-901</v>
      </c>
      <c r="C862" s="2103">
        <v>0.91639999999999999</v>
      </c>
    </row>
    <row r="863" spans="1:3" ht="14.5">
      <c r="A863" s="2100">
        <v>217901</v>
      </c>
      <c r="B863" s="380" t="str">
        <f t="shared" si="13"/>
        <v>217-901</v>
      </c>
      <c r="C863" s="2103">
        <v>0.91639999999999999</v>
      </c>
    </row>
    <row r="864" spans="1:3" ht="14.5">
      <c r="A864" s="2100">
        <v>218901</v>
      </c>
      <c r="B864" s="380" t="str">
        <f t="shared" si="13"/>
        <v>218-901</v>
      </c>
      <c r="C864" s="2103">
        <v>0.87709999999999999</v>
      </c>
    </row>
    <row r="865" spans="1:3" ht="14.5">
      <c r="A865" s="2100">
        <v>219901</v>
      </c>
      <c r="B865" s="380" t="str">
        <f t="shared" si="13"/>
        <v>219-901</v>
      </c>
      <c r="C865" s="2103">
        <v>0.91010000000000002</v>
      </c>
    </row>
    <row r="866" spans="1:3" ht="14.5">
      <c r="A866" s="2100">
        <v>219903</v>
      </c>
      <c r="B866" s="380" t="str">
        <f t="shared" si="13"/>
        <v>219-903</v>
      </c>
      <c r="C866" s="2103">
        <v>0.90720000000000001</v>
      </c>
    </row>
    <row r="867" spans="1:3" ht="14.5">
      <c r="A867" s="2100">
        <v>219905</v>
      </c>
      <c r="B867" s="380" t="str">
        <f t="shared" si="13"/>
        <v>219-905</v>
      </c>
      <c r="C867" s="2103">
        <v>0.91639999999999999</v>
      </c>
    </row>
    <row r="868" spans="1:3" ht="14.5">
      <c r="A868" s="2100">
        <v>220901</v>
      </c>
      <c r="B868" s="380" t="str">
        <f t="shared" si="13"/>
        <v>220-901</v>
      </c>
      <c r="C868" s="2103">
        <v>0.91639999999999999</v>
      </c>
    </row>
    <row r="869" spans="1:3" ht="14.5">
      <c r="A869" s="2100">
        <v>220902</v>
      </c>
      <c r="B869" s="380" t="str">
        <f t="shared" si="13"/>
        <v>220-902</v>
      </c>
      <c r="C869" s="2103">
        <v>0.91639999999999999</v>
      </c>
    </row>
    <row r="870" spans="1:3" ht="14.5">
      <c r="A870" s="2100">
        <v>220904</v>
      </c>
      <c r="B870" s="380" t="str">
        <f t="shared" si="13"/>
        <v>220-904</v>
      </c>
      <c r="C870" s="2103">
        <v>0.86509999999999998</v>
      </c>
    </row>
    <row r="871" spans="1:3" ht="14.5">
      <c r="A871" s="2100">
        <v>220905</v>
      </c>
      <c r="B871" s="380" t="str">
        <f t="shared" si="13"/>
        <v>220-905</v>
      </c>
      <c r="C871" s="2103">
        <v>0.91639999999999999</v>
      </c>
    </row>
    <row r="872" spans="1:3" ht="14.5">
      <c r="A872" s="2100">
        <v>220906</v>
      </c>
      <c r="B872" s="380" t="str">
        <f t="shared" si="13"/>
        <v>220-906</v>
      </c>
      <c r="C872" s="2103">
        <v>0.91639999999999999</v>
      </c>
    </row>
    <row r="873" spans="1:3" ht="14.5">
      <c r="A873" s="2100">
        <v>220907</v>
      </c>
      <c r="B873" s="380" t="str">
        <f t="shared" si="13"/>
        <v>220-907</v>
      </c>
      <c r="C873" s="2103">
        <v>0.91639999999999999</v>
      </c>
    </row>
    <row r="874" spans="1:3" ht="14.5">
      <c r="A874" s="2100">
        <v>220908</v>
      </c>
      <c r="B874" s="380" t="str">
        <f t="shared" si="13"/>
        <v>220-908</v>
      </c>
      <c r="C874" s="2103">
        <v>0.91639999999999999</v>
      </c>
    </row>
    <row r="875" spans="1:3" ht="14.5">
      <c r="A875" s="2100">
        <v>220910</v>
      </c>
      <c r="B875" s="380" t="str">
        <f t="shared" si="13"/>
        <v>220-910</v>
      </c>
      <c r="C875" s="2103">
        <v>0.90980000000000005</v>
      </c>
    </row>
    <row r="876" spans="1:3" ht="14.5">
      <c r="A876" s="2100">
        <v>220912</v>
      </c>
      <c r="B876" s="380" t="str">
        <f t="shared" si="13"/>
        <v>220-912</v>
      </c>
      <c r="C876" s="2103">
        <v>0.90149999999999997</v>
      </c>
    </row>
    <row r="877" spans="1:3" ht="14.5">
      <c r="A877" s="2100">
        <v>220914</v>
      </c>
      <c r="B877" s="380" t="str">
        <f t="shared" si="13"/>
        <v>220-914</v>
      </c>
      <c r="C877" s="2103">
        <v>0.91639999999999999</v>
      </c>
    </row>
    <row r="878" spans="1:3" ht="14.5">
      <c r="A878" s="2100">
        <v>220915</v>
      </c>
      <c r="B878" s="380" t="str">
        <f t="shared" si="13"/>
        <v>220-915</v>
      </c>
      <c r="C878" s="2103">
        <v>0.91249999999999998</v>
      </c>
    </row>
    <row r="879" spans="1:3" ht="14.5">
      <c r="A879" s="2100">
        <v>220916</v>
      </c>
      <c r="B879" s="380" t="str">
        <f t="shared" si="13"/>
        <v>220-916</v>
      </c>
      <c r="C879" s="2103">
        <v>0.91239999999999999</v>
      </c>
    </row>
    <row r="880" spans="1:3" ht="14.5">
      <c r="A880" s="2100">
        <v>220917</v>
      </c>
      <c r="B880" s="380" t="str">
        <f t="shared" si="13"/>
        <v>220-917</v>
      </c>
      <c r="C880" s="2103">
        <v>0.8891</v>
      </c>
    </row>
    <row r="881" spans="1:3" ht="14.5">
      <c r="A881" s="2100">
        <v>220918</v>
      </c>
      <c r="B881" s="380" t="str">
        <f t="shared" si="13"/>
        <v>220-918</v>
      </c>
      <c r="C881" s="2103">
        <v>0.91639999999999999</v>
      </c>
    </row>
    <row r="882" spans="1:3" ht="14.5">
      <c r="A882" s="2100">
        <v>220919</v>
      </c>
      <c r="B882" s="380" t="str">
        <f t="shared" si="13"/>
        <v>220-919</v>
      </c>
      <c r="C882" s="2103">
        <v>0.91639999999999999</v>
      </c>
    </row>
    <row r="883" spans="1:3" ht="14.5">
      <c r="A883" s="2100">
        <v>220920</v>
      </c>
      <c r="B883" s="380" t="str">
        <f t="shared" si="13"/>
        <v>220-920</v>
      </c>
      <c r="C883" s="2103">
        <v>0.91159999999999997</v>
      </c>
    </row>
    <row r="884" spans="1:3" ht="14.5">
      <c r="A884" s="2100">
        <v>221901</v>
      </c>
      <c r="B884" s="380" t="str">
        <f t="shared" si="13"/>
        <v>221-901</v>
      </c>
      <c r="C884" s="2103">
        <v>0.91479999999999995</v>
      </c>
    </row>
    <row r="885" spans="1:3" ht="14.5">
      <c r="A885" s="2100">
        <v>221904</v>
      </c>
      <c r="B885" s="380" t="str">
        <f t="shared" si="13"/>
        <v>221-904</v>
      </c>
      <c r="C885" s="2103">
        <v>0.91639999999999999</v>
      </c>
    </row>
    <row r="886" spans="1:3" ht="14.5">
      <c r="A886" s="2100">
        <v>221905</v>
      </c>
      <c r="B886" s="380" t="str">
        <f t="shared" si="13"/>
        <v>221-905</v>
      </c>
      <c r="C886" s="2103">
        <v>0.91639999999999999</v>
      </c>
    </row>
    <row r="887" spans="1:3" ht="14.5">
      <c r="A887" s="2100">
        <v>221911</v>
      </c>
      <c r="B887" s="380" t="str">
        <f t="shared" si="13"/>
        <v>221-911</v>
      </c>
      <c r="C887" s="2103">
        <v>0.89680000000000004</v>
      </c>
    </row>
    <row r="888" spans="1:3" ht="14.5">
      <c r="A888" s="2100">
        <v>221912</v>
      </c>
      <c r="B888" s="380" t="str">
        <f t="shared" si="13"/>
        <v>221-912</v>
      </c>
      <c r="C888" s="2103">
        <v>0.90300000000000002</v>
      </c>
    </row>
    <row r="889" spans="1:3" ht="14.5">
      <c r="A889" s="2100">
        <v>222901</v>
      </c>
      <c r="B889" s="380" t="str">
        <f t="shared" si="13"/>
        <v>222-901</v>
      </c>
      <c r="C889" s="2103">
        <v>0.91639999999999999</v>
      </c>
    </row>
    <row r="890" spans="1:3" ht="14.5">
      <c r="A890" s="2100">
        <v>223901</v>
      </c>
      <c r="B890" s="380" t="str">
        <f t="shared" si="13"/>
        <v>223-901</v>
      </c>
      <c r="C890" s="2103">
        <v>0.91639999999999999</v>
      </c>
    </row>
    <row r="891" spans="1:3" ht="14.5">
      <c r="A891" s="2100">
        <v>223902</v>
      </c>
      <c r="B891" s="380" t="str">
        <f t="shared" si="13"/>
        <v>223-902</v>
      </c>
      <c r="C891" s="2103">
        <v>0.91639999999999999</v>
      </c>
    </row>
    <row r="892" spans="1:3" ht="14.5">
      <c r="A892" s="2100">
        <v>223904</v>
      </c>
      <c r="B892" s="380" t="str">
        <f t="shared" si="13"/>
        <v>223-904</v>
      </c>
      <c r="C892" s="2103">
        <v>0.91639999999999999</v>
      </c>
    </row>
    <row r="893" spans="1:3" ht="14.5">
      <c r="A893" s="2100">
        <v>224901</v>
      </c>
      <c r="B893" s="380" t="str">
        <f t="shared" si="13"/>
        <v>224-901</v>
      </c>
      <c r="C893" s="2103">
        <v>0.85719999999999996</v>
      </c>
    </row>
    <row r="894" spans="1:3" ht="14.5">
      <c r="A894" s="2100">
        <v>224902</v>
      </c>
      <c r="B894" s="380" t="str">
        <f t="shared" si="13"/>
        <v>224-902</v>
      </c>
      <c r="C894" s="2103">
        <v>0.91639999999999999</v>
      </c>
    </row>
    <row r="895" spans="1:3" ht="14.5">
      <c r="A895" s="2100">
        <v>225902</v>
      </c>
      <c r="B895" s="380" t="str">
        <f t="shared" si="13"/>
        <v>225-902</v>
      </c>
      <c r="C895" s="2103">
        <v>0.91269999999999996</v>
      </c>
    </row>
    <row r="896" spans="1:3" ht="14.5">
      <c r="A896" s="2100">
        <v>225906</v>
      </c>
      <c r="B896" s="380" t="str">
        <f t="shared" si="13"/>
        <v>225-906</v>
      </c>
      <c r="C896" s="2103">
        <v>0.87519999999999998</v>
      </c>
    </row>
    <row r="897" spans="1:3" ht="14.5">
      <c r="A897" s="2100">
        <v>225907</v>
      </c>
      <c r="B897" s="380" t="str">
        <f t="shared" ref="B897:B960" si="14">CONCATENATE(LEFT(RIGHT(CONCATENATE("000",A897),6),3),"-",(RIGHT(RIGHT(CONCATENATE("000",A897),6),3)))</f>
        <v>225-907</v>
      </c>
      <c r="C897" s="2103">
        <v>0.88500000000000001</v>
      </c>
    </row>
    <row r="898" spans="1:3" ht="14.5">
      <c r="A898" s="2100">
        <v>226901</v>
      </c>
      <c r="B898" s="380" t="str">
        <f t="shared" si="14"/>
        <v>226-901</v>
      </c>
      <c r="C898" s="2103">
        <v>0.91639999999999999</v>
      </c>
    </row>
    <row r="899" spans="1:3" ht="14.5">
      <c r="A899" s="2100">
        <v>226903</v>
      </c>
      <c r="B899" s="380" t="str">
        <f t="shared" si="14"/>
        <v>226-903</v>
      </c>
      <c r="C899" s="2103">
        <v>0.91290000000000004</v>
      </c>
    </row>
    <row r="900" spans="1:3" ht="14.5">
      <c r="A900" s="2100">
        <v>226905</v>
      </c>
      <c r="B900" s="380" t="str">
        <f t="shared" si="14"/>
        <v>226-905</v>
      </c>
      <c r="C900" s="2103">
        <v>0.82469999999999999</v>
      </c>
    </row>
    <row r="901" spans="1:3" ht="14.5">
      <c r="A901" s="2100">
        <v>226906</v>
      </c>
      <c r="B901" s="380" t="str">
        <f t="shared" si="14"/>
        <v>226-906</v>
      </c>
      <c r="C901" s="2103">
        <v>0.91639999999999999</v>
      </c>
    </row>
    <row r="902" spans="1:3" ht="14.5">
      <c r="A902" s="2100">
        <v>226907</v>
      </c>
      <c r="B902" s="380" t="str">
        <f t="shared" si="14"/>
        <v>226-907</v>
      </c>
      <c r="C902" s="2103">
        <v>0.88649999999999995</v>
      </c>
    </row>
    <row r="903" spans="1:3" ht="14.5">
      <c r="A903" s="2100">
        <v>226908</v>
      </c>
      <c r="B903" s="380" t="str">
        <f t="shared" si="14"/>
        <v>226-908</v>
      </c>
      <c r="C903" s="2103">
        <v>0.91639999999999999</v>
      </c>
    </row>
    <row r="904" spans="1:3" ht="14.5">
      <c r="A904" s="2100">
        <v>227901</v>
      </c>
      <c r="B904" s="380" t="str">
        <f t="shared" si="14"/>
        <v>227-901</v>
      </c>
      <c r="C904" s="2103">
        <v>0.91069999999999995</v>
      </c>
    </row>
    <row r="905" spans="1:3" ht="14.5">
      <c r="A905" s="2100">
        <v>227904</v>
      </c>
      <c r="B905" s="380" t="str">
        <f t="shared" si="14"/>
        <v>227-904</v>
      </c>
      <c r="C905" s="2103">
        <v>0.90229999999999999</v>
      </c>
    </row>
    <row r="906" spans="1:3" ht="14.5">
      <c r="A906" s="2100">
        <v>227907</v>
      </c>
      <c r="B906" s="380" t="str">
        <f t="shared" si="14"/>
        <v>227-907</v>
      </c>
      <c r="C906" s="2103">
        <v>0.89270000000000005</v>
      </c>
    </row>
    <row r="907" spans="1:3" ht="14.5">
      <c r="A907" s="2100">
        <v>227909</v>
      </c>
      <c r="B907" s="380" t="str">
        <f t="shared" si="14"/>
        <v>227-909</v>
      </c>
      <c r="C907" s="2103">
        <v>0.91639999999999999</v>
      </c>
    </row>
    <row r="908" spans="1:3" ht="14.5">
      <c r="A908" s="2100">
        <v>227910</v>
      </c>
      <c r="B908" s="380" t="str">
        <f t="shared" si="14"/>
        <v>227-910</v>
      </c>
      <c r="C908" s="2103">
        <v>0.877</v>
      </c>
    </row>
    <row r="909" spans="1:3" ht="14.5">
      <c r="A909" s="2100">
        <v>227912</v>
      </c>
      <c r="B909" s="380" t="str">
        <f t="shared" si="14"/>
        <v>227-912</v>
      </c>
      <c r="C909" s="2103">
        <v>0.88360000000000005</v>
      </c>
    </row>
    <row r="910" spans="1:3" ht="14.5">
      <c r="A910" s="2100">
        <v>227913</v>
      </c>
      <c r="B910" s="380" t="str">
        <f t="shared" si="14"/>
        <v>227-913</v>
      </c>
      <c r="C910" s="2103">
        <v>0.91639999999999999</v>
      </c>
    </row>
    <row r="911" spans="1:3" ht="14.5">
      <c r="A911" s="2100">
        <v>228901</v>
      </c>
      <c r="B911" s="380" t="str">
        <f t="shared" si="14"/>
        <v>228-901</v>
      </c>
      <c r="C911" s="2103">
        <v>0.91639999999999999</v>
      </c>
    </row>
    <row r="912" spans="1:3" ht="14.5">
      <c r="A912" s="2100">
        <v>228903</v>
      </c>
      <c r="B912" s="380" t="str">
        <f t="shared" si="14"/>
        <v>228-903</v>
      </c>
      <c r="C912" s="2103">
        <v>0.90880000000000005</v>
      </c>
    </row>
    <row r="913" spans="1:3" ht="14.5">
      <c r="A913" s="2100">
        <v>228904</v>
      </c>
      <c r="B913" s="380" t="str">
        <f t="shared" si="14"/>
        <v>228-904</v>
      </c>
      <c r="C913" s="2103">
        <v>0.91639999999999999</v>
      </c>
    </row>
    <row r="914" spans="1:3" ht="14.5">
      <c r="A914" s="2100">
        <v>228905</v>
      </c>
      <c r="B914" s="380" t="str">
        <f t="shared" si="14"/>
        <v>228-905</v>
      </c>
      <c r="C914" s="2103">
        <v>0.91639999999999999</v>
      </c>
    </row>
    <row r="915" spans="1:3" ht="14.5">
      <c r="A915" s="2100">
        <v>229901</v>
      </c>
      <c r="B915" s="380" t="str">
        <f t="shared" si="14"/>
        <v>229-901</v>
      </c>
      <c r="C915" s="2103">
        <v>0.89400000000000002</v>
      </c>
    </row>
    <row r="916" spans="1:3" ht="14.5">
      <c r="A916" s="2100">
        <v>229903</v>
      </c>
      <c r="B916" s="380" t="str">
        <f t="shared" si="14"/>
        <v>229-903</v>
      </c>
      <c r="C916" s="2103">
        <v>0.91639999999999999</v>
      </c>
    </row>
    <row r="917" spans="1:3" ht="14.5">
      <c r="A917" s="2100">
        <v>229904</v>
      </c>
      <c r="B917" s="380" t="str">
        <f t="shared" si="14"/>
        <v>229-904</v>
      </c>
      <c r="C917" s="2103">
        <v>0.91639999999999999</v>
      </c>
    </row>
    <row r="918" spans="1:3" ht="14.5">
      <c r="A918" s="2100">
        <v>229905</v>
      </c>
      <c r="B918" s="380" t="str">
        <f t="shared" si="14"/>
        <v>229-905</v>
      </c>
      <c r="C918" s="2103">
        <v>0.87370000000000003</v>
      </c>
    </row>
    <row r="919" spans="1:3" ht="14.5">
      <c r="A919" s="2100">
        <v>229906</v>
      </c>
      <c r="B919" s="380" t="str">
        <f t="shared" si="14"/>
        <v>229-906</v>
      </c>
      <c r="C919" s="2103">
        <v>0.9042</v>
      </c>
    </row>
    <row r="920" spans="1:3" ht="14.5">
      <c r="A920" s="2100">
        <v>230901</v>
      </c>
      <c r="B920" s="380" t="str">
        <f t="shared" si="14"/>
        <v>230-901</v>
      </c>
      <c r="C920" s="2103">
        <v>0.91639999999999999</v>
      </c>
    </row>
    <row r="921" spans="1:3" ht="14.5">
      <c r="A921" s="2100">
        <v>230902</v>
      </c>
      <c r="B921" s="380" t="str">
        <f t="shared" si="14"/>
        <v>230-902</v>
      </c>
      <c r="C921" s="2103">
        <v>0.91639999999999999</v>
      </c>
    </row>
    <row r="922" spans="1:3" ht="14.5">
      <c r="A922" s="2100">
        <v>230903</v>
      </c>
      <c r="B922" s="380" t="str">
        <f t="shared" si="14"/>
        <v>230-903</v>
      </c>
      <c r="C922" s="2103">
        <v>0.91639999999999999</v>
      </c>
    </row>
    <row r="923" spans="1:3" ht="14.5">
      <c r="A923" s="2100">
        <v>230904</v>
      </c>
      <c r="B923" s="380" t="str">
        <f t="shared" si="14"/>
        <v>230-904</v>
      </c>
      <c r="C923" s="2103">
        <v>0.91639999999999999</v>
      </c>
    </row>
    <row r="924" spans="1:3" ht="14.5">
      <c r="A924" s="2100">
        <v>230905</v>
      </c>
      <c r="B924" s="380" t="str">
        <f t="shared" si="14"/>
        <v>230-905</v>
      </c>
      <c r="C924" s="2103">
        <v>0.91639999999999999</v>
      </c>
    </row>
    <row r="925" spans="1:3" ht="14.5">
      <c r="A925" s="2100">
        <v>230906</v>
      </c>
      <c r="B925" s="380" t="str">
        <f t="shared" si="14"/>
        <v>230-906</v>
      </c>
      <c r="C925" s="2103">
        <v>0.91639999999999999</v>
      </c>
    </row>
    <row r="926" spans="1:3" ht="14.5">
      <c r="A926" s="2100">
        <v>230908</v>
      </c>
      <c r="B926" s="380" t="str">
        <f t="shared" si="14"/>
        <v>230-908</v>
      </c>
      <c r="C926" s="2103">
        <v>0.91639999999999999</v>
      </c>
    </row>
    <row r="927" spans="1:3" ht="14.5">
      <c r="A927" s="2100">
        <v>231901</v>
      </c>
      <c r="B927" s="380" t="str">
        <f t="shared" si="14"/>
        <v>231-901</v>
      </c>
      <c r="C927" s="2103">
        <v>0.88029999999999997</v>
      </c>
    </row>
    <row r="928" spans="1:3" ht="14.5">
      <c r="A928" s="2100">
        <v>231902</v>
      </c>
      <c r="B928" s="380" t="str">
        <f t="shared" si="14"/>
        <v>231-902</v>
      </c>
      <c r="C928" s="2103">
        <v>0.82469999999999999</v>
      </c>
    </row>
    <row r="929" spans="1:3" ht="14.5">
      <c r="A929" s="2100">
        <v>232901</v>
      </c>
      <c r="B929" s="380" t="str">
        <f t="shared" si="14"/>
        <v>232-901</v>
      </c>
      <c r="C929" s="2103">
        <v>0.91639999999999999</v>
      </c>
    </row>
    <row r="930" spans="1:3" ht="14.5">
      <c r="A930" s="2100">
        <v>232902</v>
      </c>
      <c r="B930" s="380" t="str">
        <f t="shared" si="14"/>
        <v>232-902</v>
      </c>
      <c r="C930" s="2103">
        <v>0.91449999999999998</v>
      </c>
    </row>
    <row r="931" spans="1:3" ht="14.5">
      <c r="A931" s="2100">
        <v>232903</v>
      </c>
      <c r="B931" s="380" t="str">
        <f t="shared" si="14"/>
        <v>232-903</v>
      </c>
      <c r="C931" s="2103">
        <v>0.91639999999999999</v>
      </c>
    </row>
    <row r="932" spans="1:3" ht="14.5">
      <c r="A932" s="2100">
        <v>232904</v>
      </c>
      <c r="B932" s="380" t="str">
        <f t="shared" si="14"/>
        <v>232-904</v>
      </c>
      <c r="C932" s="2103">
        <v>0.91639999999999999</v>
      </c>
    </row>
    <row r="933" spans="1:3" ht="14.5">
      <c r="A933" s="2100">
        <v>233901</v>
      </c>
      <c r="B933" s="380" t="str">
        <f t="shared" si="14"/>
        <v>233-901</v>
      </c>
      <c r="C933" s="2103">
        <v>0.86099999999999999</v>
      </c>
    </row>
    <row r="934" spans="1:3" ht="14.5">
      <c r="A934" s="2100">
        <v>233903</v>
      </c>
      <c r="B934" s="380" t="str">
        <f t="shared" si="14"/>
        <v>233-903</v>
      </c>
      <c r="C934" s="2103">
        <v>0.82469999999999999</v>
      </c>
    </row>
    <row r="935" spans="1:3" ht="14.5">
      <c r="A935" s="2100">
        <v>234902</v>
      </c>
      <c r="B935" s="380" t="str">
        <f t="shared" si="14"/>
        <v>234-902</v>
      </c>
      <c r="C935" s="2103">
        <v>0.86309999999999998</v>
      </c>
    </row>
    <row r="936" spans="1:3" ht="14.5">
      <c r="A936" s="2100">
        <v>234903</v>
      </c>
      <c r="B936" s="380" t="str">
        <f t="shared" si="14"/>
        <v>234-903</v>
      </c>
      <c r="C936" s="2103">
        <v>0.83479999999999999</v>
      </c>
    </row>
    <row r="937" spans="1:3" ht="14.5">
      <c r="A937" s="2100">
        <v>234904</v>
      </c>
      <c r="B937" s="380" t="str">
        <f t="shared" si="14"/>
        <v>234-904</v>
      </c>
      <c r="C937" s="2103">
        <v>0.88629999999999998</v>
      </c>
    </row>
    <row r="938" spans="1:3" ht="14.5">
      <c r="A938" s="2100">
        <v>234905</v>
      </c>
      <c r="B938" s="380" t="str">
        <f t="shared" si="14"/>
        <v>234-905</v>
      </c>
      <c r="C938" s="2103">
        <v>0.82530000000000003</v>
      </c>
    </row>
    <row r="939" spans="1:3" ht="14.5">
      <c r="A939" s="2100">
        <v>234906</v>
      </c>
      <c r="B939" s="380" t="str">
        <f t="shared" si="14"/>
        <v>234-906</v>
      </c>
      <c r="C939" s="2103">
        <v>0.84730000000000005</v>
      </c>
    </row>
    <row r="940" spans="1:3" ht="14.5">
      <c r="A940" s="2100">
        <v>234907</v>
      </c>
      <c r="B940" s="380" t="str">
        <f t="shared" si="14"/>
        <v>234-907</v>
      </c>
      <c r="C940" s="2103">
        <v>0.84330000000000005</v>
      </c>
    </row>
    <row r="941" spans="1:3" ht="14.5">
      <c r="A941" s="2100">
        <v>234909</v>
      </c>
      <c r="B941" s="380" t="str">
        <f t="shared" si="14"/>
        <v>234-909</v>
      </c>
      <c r="C941" s="2103">
        <v>0.85940000000000005</v>
      </c>
    </row>
    <row r="942" spans="1:3" ht="14.5">
      <c r="A942" s="2100">
        <v>235901</v>
      </c>
      <c r="B942" s="380" t="str">
        <f t="shared" si="14"/>
        <v>235-901</v>
      </c>
      <c r="C942" s="2103">
        <v>0.91639999999999999</v>
      </c>
    </row>
    <row r="943" spans="1:3" ht="14.5">
      <c r="A943" s="2100">
        <v>235902</v>
      </c>
      <c r="B943" s="380" t="str">
        <f t="shared" si="14"/>
        <v>235-902</v>
      </c>
      <c r="C943" s="2103">
        <v>0.91639999999999999</v>
      </c>
    </row>
    <row r="944" spans="1:3" ht="14.5">
      <c r="A944" s="2100">
        <v>235904</v>
      </c>
      <c r="B944" s="380" t="str">
        <f t="shared" si="14"/>
        <v>235-904</v>
      </c>
      <c r="C944" s="2103">
        <v>0.89829999999999999</v>
      </c>
    </row>
    <row r="945" spans="1:3" ht="14.5">
      <c r="A945" s="2100">
        <v>236901</v>
      </c>
      <c r="B945" s="380" t="str">
        <f t="shared" si="14"/>
        <v>236-901</v>
      </c>
      <c r="C945" s="2103">
        <v>0.82469999999999999</v>
      </c>
    </row>
    <row r="946" spans="1:3" ht="14.5">
      <c r="A946" s="2100">
        <v>236902</v>
      </c>
      <c r="B946" s="380" t="str">
        <f t="shared" si="14"/>
        <v>236-902</v>
      </c>
      <c r="C946" s="2103">
        <v>0.86990000000000001</v>
      </c>
    </row>
    <row r="947" spans="1:3" ht="14.5">
      <c r="A947" s="2100">
        <v>237902</v>
      </c>
      <c r="B947" s="380" t="str">
        <f t="shared" si="14"/>
        <v>237-902</v>
      </c>
      <c r="C947" s="2103">
        <v>0.85499999999999998</v>
      </c>
    </row>
    <row r="948" spans="1:3" ht="14.5">
      <c r="A948" s="2100">
        <v>237904</v>
      </c>
      <c r="B948" s="380" t="str">
        <f t="shared" si="14"/>
        <v>237-904</v>
      </c>
      <c r="C948" s="2103">
        <v>0.91639999999999999</v>
      </c>
    </row>
    <row r="949" spans="1:3" ht="14.5">
      <c r="A949" s="2100">
        <v>237905</v>
      </c>
      <c r="B949" s="380" t="str">
        <f t="shared" si="14"/>
        <v>237-905</v>
      </c>
      <c r="C949" s="2103">
        <v>0.82469999999999999</v>
      </c>
    </row>
    <row r="950" spans="1:3" ht="14.5">
      <c r="A950" s="2100">
        <v>238902</v>
      </c>
      <c r="B950" s="380" t="str">
        <f t="shared" si="14"/>
        <v>238-902</v>
      </c>
      <c r="C950" s="2103">
        <v>0.88229999999999997</v>
      </c>
    </row>
    <row r="951" spans="1:3" ht="14.5">
      <c r="A951" s="2100">
        <v>238904</v>
      </c>
      <c r="B951" s="380" t="str">
        <f t="shared" si="14"/>
        <v>238-904</v>
      </c>
      <c r="C951" s="2103">
        <v>0.91639999999999999</v>
      </c>
    </row>
    <row r="952" spans="1:3" ht="14.5">
      <c r="A952" s="2100">
        <v>239901</v>
      </c>
      <c r="B952" s="380" t="str">
        <f t="shared" si="14"/>
        <v>239-901</v>
      </c>
      <c r="C952" s="2103">
        <v>0.91579999999999995</v>
      </c>
    </row>
    <row r="953" spans="1:3" ht="14.5">
      <c r="A953" s="2100">
        <v>239903</v>
      </c>
      <c r="B953" s="380" t="str">
        <f t="shared" si="14"/>
        <v>239-903</v>
      </c>
      <c r="C953" s="2103">
        <v>0.91639999999999999</v>
      </c>
    </row>
    <row r="954" spans="1:3" ht="14.5">
      <c r="A954" s="2100">
        <v>240901</v>
      </c>
      <c r="B954" s="380" t="str">
        <f t="shared" si="14"/>
        <v>240-901</v>
      </c>
      <c r="C954" s="2103">
        <v>0.91639999999999999</v>
      </c>
    </row>
    <row r="955" spans="1:3" ht="14.5">
      <c r="A955" s="2100">
        <v>240903</v>
      </c>
      <c r="B955" s="380" t="str">
        <f t="shared" si="14"/>
        <v>240-903</v>
      </c>
      <c r="C955" s="2103">
        <v>0.91639999999999999</v>
      </c>
    </row>
    <row r="956" spans="1:3" ht="14.5">
      <c r="A956" s="2100">
        <v>240904</v>
      </c>
      <c r="B956" s="380" t="str">
        <f t="shared" si="14"/>
        <v>240-904</v>
      </c>
      <c r="C956" s="2103">
        <v>0.91639999999999999</v>
      </c>
    </row>
    <row r="957" spans="1:3" ht="14.5">
      <c r="A957" s="2100">
        <v>241901</v>
      </c>
      <c r="B957" s="380" t="str">
        <f t="shared" si="14"/>
        <v>241-901</v>
      </c>
      <c r="C957" s="2103">
        <v>0.91639999999999999</v>
      </c>
    </row>
    <row r="958" spans="1:3" ht="14.5">
      <c r="A958" s="2100">
        <v>241902</v>
      </c>
      <c r="B958" s="380" t="str">
        <f t="shared" si="14"/>
        <v>241-902</v>
      </c>
      <c r="C958" s="2103">
        <v>0.91639999999999999</v>
      </c>
    </row>
    <row r="959" spans="1:3" ht="14.5">
      <c r="A959" s="2100">
        <v>241903</v>
      </c>
      <c r="B959" s="380" t="str">
        <f t="shared" si="14"/>
        <v>241-903</v>
      </c>
      <c r="C959" s="2103">
        <v>0.91639999999999999</v>
      </c>
    </row>
    <row r="960" spans="1:3" ht="14.5">
      <c r="A960" s="2100">
        <v>241904</v>
      </c>
      <c r="B960" s="380" t="str">
        <f t="shared" si="14"/>
        <v>241-904</v>
      </c>
      <c r="C960" s="2103">
        <v>0.91639999999999999</v>
      </c>
    </row>
    <row r="961" spans="1:3" ht="14.5">
      <c r="A961" s="2100">
        <v>241906</v>
      </c>
      <c r="B961" s="380" t="str">
        <f t="shared" ref="B961:B1015" si="15">CONCATENATE(LEFT(RIGHT(CONCATENATE("000",A961),6),3),"-",(RIGHT(RIGHT(CONCATENATE("000",A961),6),3)))</f>
        <v>241-906</v>
      </c>
      <c r="C961" s="2103">
        <v>0.91639999999999999</v>
      </c>
    </row>
    <row r="962" spans="1:3" ht="14.5">
      <c r="A962" s="2100">
        <v>242902</v>
      </c>
      <c r="B962" s="380" t="str">
        <f t="shared" si="15"/>
        <v>242-902</v>
      </c>
      <c r="C962" s="2103">
        <v>0.91639999999999999</v>
      </c>
    </row>
    <row r="963" spans="1:3" ht="14.5">
      <c r="A963" s="2100">
        <v>242903</v>
      </c>
      <c r="B963" s="380" t="str">
        <f t="shared" si="15"/>
        <v>242-903</v>
      </c>
      <c r="C963" s="2103">
        <v>0.91639999999999999</v>
      </c>
    </row>
    <row r="964" spans="1:3" ht="14.5">
      <c r="A964" s="2100">
        <v>242905</v>
      </c>
      <c r="B964" s="380" t="str">
        <f t="shared" si="15"/>
        <v>242-905</v>
      </c>
      <c r="C964" s="2103">
        <v>0.91639999999999999</v>
      </c>
    </row>
    <row r="965" spans="1:3" ht="14.5">
      <c r="A965" s="2100">
        <v>242906</v>
      </c>
      <c r="B965" s="380" t="str">
        <f t="shared" si="15"/>
        <v>242-906</v>
      </c>
      <c r="C965" s="2103">
        <v>0.91639999999999999</v>
      </c>
    </row>
    <row r="966" spans="1:3" ht="14.5">
      <c r="A966" s="2100">
        <v>243901</v>
      </c>
      <c r="B966" s="380" t="str">
        <f t="shared" si="15"/>
        <v>243-901</v>
      </c>
      <c r="C966" s="2103">
        <v>0.91610000000000003</v>
      </c>
    </row>
    <row r="967" spans="1:3" ht="14.5">
      <c r="A967" s="2100">
        <v>243902</v>
      </c>
      <c r="B967" s="380" t="str">
        <f t="shared" si="15"/>
        <v>243-902</v>
      </c>
      <c r="C967" s="2103">
        <v>0.91639999999999999</v>
      </c>
    </row>
    <row r="968" spans="1:3" ht="14.5">
      <c r="A968" s="2100">
        <v>243903</v>
      </c>
      <c r="B968" s="380" t="str">
        <f t="shared" si="15"/>
        <v>243-903</v>
      </c>
      <c r="C968" s="2103">
        <v>0.91539999999999999</v>
      </c>
    </row>
    <row r="969" spans="1:3" ht="14.5">
      <c r="A969" s="2100">
        <v>243905</v>
      </c>
      <c r="B969" s="380" t="str">
        <f t="shared" si="15"/>
        <v>243-905</v>
      </c>
      <c r="C969" s="2103">
        <v>0.91639999999999999</v>
      </c>
    </row>
    <row r="970" spans="1:3" ht="14.5">
      <c r="A970" s="2100">
        <v>243906</v>
      </c>
      <c r="B970" s="380" t="str">
        <f t="shared" si="15"/>
        <v>243-906</v>
      </c>
      <c r="C970" s="2103">
        <v>0.91639999999999999</v>
      </c>
    </row>
    <row r="971" spans="1:3" ht="14.5">
      <c r="A971" s="2100">
        <v>244901</v>
      </c>
      <c r="B971" s="380" t="str">
        <f t="shared" si="15"/>
        <v>244-901</v>
      </c>
      <c r="C971" s="2103">
        <v>0.91639999999999999</v>
      </c>
    </row>
    <row r="972" spans="1:3" ht="14.5">
      <c r="A972" s="2100">
        <v>244903</v>
      </c>
      <c r="B972" s="380" t="str">
        <f t="shared" si="15"/>
        <v>244-903</v>
      </c>
      <c r="C972" s="2103">
        <v>0.91639999999999999</v>
      </c>
    </row>
    <row r="973" spans="1:3" ht="14.5">
      <c r="A973" s="2100">
        <v>244905</v>
      </c>
      <c r="B973" s="380" t="str">
        <f t="shared" si="15"/>
        <v>244-905</v>
      </c>
      <c r="C973" s="2103">
        <v>0.91639999999999999</v>
      </c>
    </row>
    <row r="974" spans="1:3" ht="14.5">
      <c r="A974" s="2100">
        <v>245901</v>
      </c>
      <c r="B974" s="380" t="str">
        <f t="shared" si="15"/>
        <v>245-901</v>
      </c>
      <c r="C974" s="2103">
        <v>0.91639999999999999</v>
      </c>
    </row>
    <row r="975" spans="1:3" ht="14.5">
      <c r="A975" s="2100">
        <v>245902</v>
      </c>
      <c r="B975" s="380" t="str">
        <f t="shared" si="15"/>
        <v>245-902</v>
      </c>
      <c r="C975" s="2103">
        <v>0.91639999999999999</v>
      </c>
    </row>
    <row r="976" spans="1:3" ht="14.5">
      <c r="A976" s="2100">
        <v>245903</v>
      </c>
      <c r="B976" s="380" t="str">
        <f t="shared" si="15"/>
        <v>245-903</v>
      </c>
      <c r="C976" s="2103">
        <v>0.91639999999999999</v>
      </c>
    </row>
    <row r="977" spans="1:3" ht="14.5">
      <c r="A977" s="2100">
        <v>245904</v>
      </c>
      <c r="B977" s="380" t="str">
        <f t="shared" si="15"/>
        <v>245-904</v>
      </c>
      <c r="C977" s="2103">
        <v>0.91639999999999999</v>
      </c>
    </row>
    <row r="978" spans="1:3" ht="14.5">
      <c r="A978" s="2100">
        <v>246902</v>
      </c>
      <c r="B978" s="380" t="str">
        <f t="shared" si="15"/>
        <v>246-902</v>
      </c>
      <c r="C978" s="2103">
        <v>0.86160000000000003</v>
      </c>
    </row>
    <row r="979" spans="1:3" ht="14.5">
      <c r="A979" s="2100">
        <v>246904</v>
      </c>
      <c r="B979" s="380" t="str">
        <f t="shared" si="15"/>
        <v>246-904</v>
      </c>
      <c r="C979" s="2103">
        <v>0.89810000000000001</v>
      </c>
    </row>
    <row r="980" spans="1:3" ht="14.5">
      <c r="A980" s="2100">
        <v>246905</v>
      </c>
      <c r="B980" s="380" t="str">
        <f t="shared" si="15"/>
        <v>246-905</v>
      </c>
      <c r="C980" s="2103">
        <v>0.91639999999999999</v>
      </c>
    </row>
    <row r="981" spans="1:3" ht="14.5">
      <c r="A981" s="2100">
        <v>246906</v>
      </c>
      <c r="B981" s="380" t="str">
        <f t="shared" si="15"/>
        <v>246-906</v>
      </c>
      <c r="C981" s="2103">
        <v>0.86819999999999997</v>
      </c>
    </row>
    <row r="982" spans="1:3" ht="14.5">
      <c r="A982" s="2100">
        <v>246907</v>
      </c>
      <c r="B982" s="380" t="str">
        <f t="shared" si="15"/>
        <v>246-907</v>
      </c>
      <c r="C982" s="2103">
        <v>0.87660000000000005</v>
      </c>
    </row>
    <row r="983" spans="1:3" ht="14.5">
      <c r="A983" s="2100">
        <v>246908</v>
      </c>
      <c r="B983" s="380" t="str">
        <f t="shared" si="15"/>
        <v>246-908</v>
      </c>
      <c r="C983" s="2103">
        <v>0.82469999999999999</v>
      </c>
    </row>
    <row r="984" spans="1:3" ht="14.5">
      <c r="A984" s="2100">
        <v>246909</v>
      </c>
      <c r="B984" s="380" t="str">
        <f t="shared" si="15"/>
        <v>246-909</v>
      </c>
      <c r="C984" s="2103">
        <v>0.91639999999999999</v>
      </c>
    </row>
    <row r="985" spans="1:3" ht="14.5">
      <c r="A985" s="2100">
        <v>246911</v>
      </c>
      <c r="B985" s="380" t="str">
        <f t="shared" si="15"/>
        <v>246-911</v>
      </c>
      <c r="C985" s="2103">
        <v>0.89249999999999996</v>
      </c>
    </row>
    <row r="986" spans="1:3" ht="14.5">
      <c r="A986" s="2100">
        <v>246912</v>
      </c>
      <c r="B986" s="380" t="str">
        <f t="shared" si="15"/>
        <v>246-912</v>
      </c>
      <c r="C986" s="2103">
        <v>0.91639999999999999</v>
      </c>
    </row>
    <row r="987" spans="1:3" ht="14.5">
      <c r="A987" s="2100">
        <v>246913</v>
      </c>
      <c r="B987" s="380" t="str">
        <f t="shared" si="15"/>
        <v>246-913</v>
      </c>
      <c r="C987" s="2103">
        <v>0.91339999999999999</v>
      </c>
    </row>
    <row r="988" spans="1:3" ht="14.5">
      <c r="A988" s="2100">
        <v>246914</v>
      </c>
      <c r="B988" s="380" t="str">
        <f t="shared" si="15"/>
        <v>246-914</v>
      </c>
      <c r="C988" s="2103">
        <v>0.87170000000000003</v>
      </c>
    </row>
    <row r="989" spans="1:3" ht="14.5">
      <c r="A989" s="2100">
        <v>247901</v>
      </c>
      <c r="B989" s="380" t="str">
        <f t="shared" si="15"/>
        <v>247-901</v>
      </c>
      <c r="C989" s="2103">
        <v>0.88049999999999995</v>
      </c>
    </row>
    <row r="990" spans="1:3" ht="14.5">
      <c r="A990" s="2100">
        <v>247903</v>
      </c>
      <c r="B990" s="380" t="str">
        <f t="shared" si="15"/>
        <v>247-903</v>
      </c>
      <c r="C990" s="2103">
        <v>0.88370000000000004</v>
      </c>
    </row>
    <row r="991" spans="1:3" ht="14.5">
      <c r="A991" s="2100">
        <v>247904</v>
      </c>
      <c r="B991" s="380" t="str">
        <f t="shared" si="15"/>
        <v>247-904</v>
      </c>
      <c r="C991" s="2103">
        <v>0.91639999999999999</v>
      </c>
    </row>
    <row r="992" spans="1:3" ht="14.5">
      <c r="A992" s="2100">
        <v>247906</v>
      </c>
      <c r="B992" s="380" t="str">
        <f t="shared" si="15"/>
        <v>247-906</v>
      </c>
      <c r="C992" s="2103">
        <v>0.91639999999999999</v>
      </c>
    </row>
    <row r="993" spans="1:3" ht="14.5">
      <c r="A993" s="2100">
        <v>248901</v>
      </c>
      <c r="B993" s="380" t="str">
        <f t="shared" si="15"/>
        <v>248-901</v>
      </c>
      <c r="C993" s="2103">
        <v>0.91639999999999999</v>
      </c>
    </row>
    <row r="994" spans="1:3" ht="14.5">
      <c r="A994" s="2100">
        <v>248902</v>
      </c>
      <c r="B994" s="380" t="str">
        <f t="shared" si="15"/>
        <v>248-902</v>
      </c>
      <c r="C994" s="2103">
        <v>0.85950000000000004</v>
      </c>
    </row>
    <row r="995" spans="1:3" ht="14.5">
      <c r="A995" s="2100">
        <v>249901</v>
      </c>
      <c r="B995" s="380" t="str">
        <f t="shared" si="15"/>
        <v>249-901</v>
      </c>
      <c r="C995" s="2103">
        <v>0.91639999999999999</v>
      </c>
    </row>
    <row r="996" spans="1:3" ht="14.5">
      <c r="A996" s="2100">
        <v>249902</v>
      </c>
      <c r="B996" s="380" t="str">
        <f t="shared" si="15"/>
        <v>249-902</v>
      </c>
      <c r="C996" s="2103">
        <v>0.91639999999999999</v>
      </c>
    </row>
    <row r="997" spans="1:3" ht="14.5">
      <c r="A997" s="2100">
        <v>249903</v>
      </c>
      <c r="B997" s="380" t="str">
        <f t="shared" si="15"/>
        <v>249-903</v>
      </c>
      <c r="C997" s="2103">
        <v>0.91639999999999999</v>
      </c>
    </row>
    <row r="998" spans="1:3" ht="14.5">
      <c r="A998" s="2100">
        <v>249904</v>
      </c>
      <c r="B998" s="380" t="str">
        <f t="shared" si="15"/>
        <v>249-904</v>
      </c>
      <c r="C998" s="2103">
        <v>0.91639999999999999</v>
      </c>
    </row>
    <row r="999" spans="1:3" ht="14.5">
      <c r="A999" s="2100">
        <v>249905</v>
      </c>
      <c r="B999" s="380" t="str">
        <f t="shared" si="15"/>
        <v>249-905</v>
      </c>
      <c r="C999" s="2103">
        <v>0.91639999999999999</v>
      </c>
    </row>
    <row r="1000" spans="1:3" ht="14.5">
      <c r="A1000" s="2100">
        <v>249906</v>
      </c>
      <c r="B1000" s="380" t="str">
        <f t="shared" si="15"/>
        <v>249-906</v>
      </c>
      <c r="C1000" s="2103">
        <v>0.91639999999999999</v>
      </c>
    </row>
    <row r="1001" spans="1:3" ht="14.5">
      <c r="A1001" s="2100">
        <v>249908</v>
      </c>
      <c r="B1001" s="380" t="str">
        <f t="shared" si="15"/>
        <v>249-908</v>
      </c>
      <c r="C1001" s="2103">
        <v>0.91639999999999999</v>
      </c>
    </row>
    <row r="1002" spans="1:3" ht="14.5">
      <c r="A1002" s="2100">
        <v>250902</v>
      </c>
      <c r="B1002" s="380" t="str">
        <f t="shared" si="15"/>
        <v>250-902</v>
      </c>
      <c r="C1002" s="2103">
        <v>0.91639999999999999</v>
      </c>
    </row>
    <row r="1003" spans="1:3" ht="14.5">
      <c r="A1003" s="2100">
        <v>250903</v>
      </c>
      <c r="B1003" s="380" t="str">
        <f t="shared" si="15"/>
        <v>250-903</v>
      </c>
      <c r="C1003" s="2103">
        <v>0.90539999999999998</v>
      </c>
    </row>
    <row r="1004" spans="1:3" ht="14.5">
      <c r="A1004" s="2100">
        <v>250904</v>
      </c>
      <c r="B1004" s="380" t="str">
        <f t="shared" si="15"/>
        <v>250-904</v>
      </c>
      <c r="C1004" s="2103">
        <v>0.91339999999999999</v>
      </c>
    </row>
    <row r="1005" spans="1:3" ht="14.5">
      <c r="A1005" s="2100">
        <v>250905</v>
      </c>
      <c r="B1005" s="380" t="str">
        <f t="shared" si="15"/>
        <v>250-905</v>
      </c>
      <c r="C1005" s="2103">
        <v>0.82469999999999999</v>
      </c>
    </row>
    <row r="1006" spans="1:3" ht="14.5">
      <c r="A1006" s="2100">
        <v>250906</v>
      </c>
      <c r="B1006" s="380" t="str">
        <f t="shared" si="15"/>
        <v>250-906</v>
      </c>
      <c r="C1006" s="2103">
        <v>0.84509999999999996</v>
      </c>
    </row>
    <row r="1007" spans="1:3" ht="14.5">
      <c r="A1007" s="2100">
        <v>250907</v>
      </c>
      <c r="B1007" s="380" t="str">
        <f t="shared" si="15"/>
        <v>250-907</v>
      </c>
      <c r="C1007" s="2103">
        <v>0.91639999999999999</v>
      </c>
    </row>
    <row r="1008" spans="1:3" ht="14.5">
      <c r="A1008" s="2100">
        <v>251901</v>
      </c>
      <c r="B1008" s="380" t="str">
        <f t="shared" si="15"/>
        <v>251-901</v>
      </c>
      <c r="C1008" s="2103">
        <v>0.91639999999999999</v>
      </c>
    </row>
    <row r="1009" spans="1:3" ht="14.5">
      <c r="A1009" s="2100">
        <v>251902</v>
      </c>
      <c r="B1009" s="380" t="str">
        <f t="shared" si="15"/>
        <v>251-902</v>
      </c>
      <c r="C1009" s="2103">
        <v>0.91639999999999999</v>
      </c>
    </row>
    <row r="1010" spans="1:3" ht="14.5">
      <c r="A1010" s="2100">
        <v>252901</v>
      </c>
      <c r="B1010" s="380" t="str">
        <f t="shared" si="15"/>
        <v>252-901</v>
      </c>
      <c r="C1010" s="2103">
        <v>0.91639999999999999</v>
      </c>
    </row>
    <row r="1011" spans="1:3" ht="14.5">
      <c r="A1011" s="2100">
        <v>252902</v>
      </c>
      <c r="B1011" s="380" t="str">
        <f t="shared" si="15"/>
        <v>252-902</v>
      </c>
      <c r="C1011" s="2103">
        <v>0.91639999999999999</v>
      </c>
    </row>
    <row r="1012" spans="1:3" ht="14.5">
      <c r="A1012" s="2100">
        <v>252903</v>
      </c>
      <c r="B1012" s="380" t="str">
        <f t="shared" si="15"/>
        <v>252-903</v>
      </c>
      <c r="C1012" s="2103">
        <v>0.91639999999999999</v>
      </c>
    </row>
    <row r="1013" spans="1:3" ht="14.5">
      <c r="A1013" s="2100">
        <v>253901</v>
      </c>
      <c r="B1013" s="380" t="str">
        <f t="shared" si="15"/>
        <v>253-901</v>
      </c>
      <c r="C1013" s="2103">
        <v>0.91639999999999999</v>
      </c>
    </row>
    <row r="1014" spans="1:3" ht="14.5">
      <c r="A1014" s="2100">
        <v>254901</v>
      </c>
      <c r="B1014" s="380" t="str">
        <f t="shared" si="15"/>
        <v>254-901</v>
      </c>
      <c r="C1014" s="2103">
        <v>0.87290000000000001</v>
      </c>
    </row>
    <row r="1015" spans="1:3" ht="14.5">
      <c r="A1015" s="2100">
        <v>254902</v>
      </c>
      <c r="B1015" s="380" t="str">
        <f t="shared" si="15"/>
        <v>254-902</v>
      </c>
      <c r="C1015" s="2103">
        <v>0.82469999999999999</v>
      </c>
    </row>
  </sheetData>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1004"/>
  <sheetViews>
    <sheetView workbookViewId="0">
      <selection activeCell="A2" sqref="A2:A1004"/>
    </sheetView>
  </sheetViews>
  <sheetFormatPr defaultRowHeight="12.5"/>
  <cols>
    <col min="1" max="1" width="8.7265625" style="2043"/>
    <col min="2" max="9" width="15.54296875" style="2043" customWidth="1"/>
  </cols>
  <sheetData>
    <row r="1" spans="1:9" s="41" customFormat="1">
      <c r="A1" s="186"/>
      <c r="B1" s="186" t="s">
        <v>5996</v>
      </c>
      <c r="C1" s="186" t="s">
        <v>5995</v>
      </c>
      <c r="D1" s="186" t="s">
        <v>5699</v>
      </c>
      <c r="E1" s="186" t="s">
        <v>5700</v>
      </c>
      <c r="F1" s="186" t="s">
        <v>7887</v>
      </c>
      <c r="G1" s="186" t="s">
        <v>7889</v>
      </c>
      <c r="H1" s="186" t="s">
        <v>5701</v>
      </c>
      <c r="I1" s="186" t="s">
        <v>5702</v>
      </c>
    </row>
    <row r="2" spans="1:9">
      <c r="A2" s="2043" t="s">
        <v>183</v>
      </c>
      <c r="B2" s="2043">
        <v>313934345</v>
      </c>
      <c r="C2" s="2043">
        <v>308512181</v>
      </c>
      <c r="D2" s="2043">
        <v>307341794</v>
      </c>
      <c r="E2" s="2043">
        <v>301919630</v>
      </c>
      <c r="F2" s="2043">
        <v>313934345</v>
      </c>
      <c r="G2" s="2043">
        <v>308512181</v>
      </c>
      <c r="H2" s="2043">
        <v>307341794</v>
      </c>
      <c r="I2" s="2043">
        <v>301919630</v>
      </c>
    </row>
    <row r="3" spans="1:9">
      <c r="A3" s="2043" t="s">
        <v>1847</v>
      </c>
      <c r="B3" s="2043">
        <v>301033059</v>
      </c>
      <c r="C3" s="2043">
        <v>287836777</v>
      </c>
      <c r="D3" s="2043">
        <v>301033059</v>
      </c>
      <c r="E3" s="2043">
        <v>287836777</v>
      </c>
      <c r="F3" s="2043">
        <v>301033059</v>
      </c>
      <c r="G3" s="2043">
        <v>287836777</v>
      </c>
      <c r="H3" s="2043">
        <v>301033059</v>
      </c>
      <c r="I3" s="2043">
        <v>287836777</v>
      </c>
    </row>
    <row r="4" spans="1:9">
      <c r="A4" s="2043" t="s">
        <v>14</v>
      </c>
      <c r="B4" s="2043">
        <v>284403688</v>
      </c>
      <c r="C4" s="2043">
        <v>273980641</v>
      </c>
      <c r="D4" s="2043">
        <v>268884403</v>
      </c>
      <c r="E4" s="2043">
        <v>258461356</v>
      </c>
      <c r="F4" s="2043">
        <v>284403688</v>
      </c>
      <c r="G4" s="2043">
        <v>273980641</v>
      </c>
      <c r="H4" s="2043">
        <v>268884403</v>
      </c>
      <c r="I4" s="2043">
        <v>258461356</v>
      </c>
    </row>
    <row r="5" spans="1:9">
      <c r="A5" s="2043" t="s">
        <v>15</v>
      </c>
      <c r="B5" s="2043">
        <v>115654654</v>
      </c>
      <c r="C5" s="2043">
        <v>112181460</v>
      </c>
      <c r="D5" s="2043">
        <v>111328594</v>
      </c>
      <c r="E5" s="2043">
        <v>107855400</v>
      </c>
      <c r="F5" s="2043">
        <v>115654654</v>
      </c>
      <c r="G5" s="2043">
        <v>112181460</v>
      </c>
      <c r="H5" s="2043">
        <v>111328594</v>
      </c>
      <c r="I5" s="2043">
        <v>107855400</v>
      </c>
    </row>
    <row r="6" spans="1:9">
      <c r="A6" s="2043" t="s">
        <v>16</v>
      </c>
      <c r="B6" s="2043">
        <v>1178867829</v>
      </c>
      <c r="C6" s="2043">
        <v>1137615601</v>
      </c>
      <c r="D6" s="2043">
        <v>1178867829</v>
      </c>
      <c r="E6" s="2043">
        <v>1137615601</v>
      </c>
      <c r="F6" s="2043">
        <v>1178867829</v>
      </c>
      <c r="G6" s="2043">
        <v>1137615601</v>
      </c>
      <c r="H6" s="2043">
        <v>1178867829</v>
      </c>
      <c r="I6" s="2043">
        <v>1137615601</v>
      </c>
    </row>
    <row r="7" spans="1:9">
      <c r="A7" s="2043" t="s">
        <v>1036</v>
      </c>
      <c r="B7" s="2043">
        <v>510414112</v>
      </c>
      <c r="C7" s="2043">
        <v>493281697</v>
      </c>
      <c r="D7" s="2043">
        <v>510414112</v>
      </c>
      <c r="E7" s="2043">
        <v>493281697</v>
      </c>
      <c r="F7" s="2043">
        <v>510414112</v>
      </c>
      <c r="G7" s="2043">
        <v>493281697</v>
      </c>
      <c r="H7" s="2043">
        <v>510414112</v>
      </c>
      <c r="I7" s="2043">
        <v>493281697</v>
      </c>
    </row>
    <row r="8" spans="1:9">
      <c r="A8" s="2043" t="s">
        <v>1037</v>
      </c>
      <c r="B8" s="2043">
        <v>122624806</v>
      </c>
      <c r="C8" s="2043">
        <v>117438049</v>
      </c>
      <c r="D8" s="2043">
        <v>122624806</v>
      </c>
      <c r="E8" s="2043">
        <v>117438049</v>
      </c>
      <c r="F8" s="2043">
        <v>122624806</v>
      </c>
      <c r="G8" s="2043">
        <v>117438049</v>
      </c>
      <c r="H8" s="2043">
        <v>122624806</v>
      </c>
      <c r="I8" s="2043">
        <v>117438049</v>
      </c>
    </row>
    <row r="9" spans="1:9">
      <c r="A9" s="2043" t="s">
        <v>1737</v>
      </c>
      <c r="B9" s="2043">
        <v>4894547795</v>
      </c>
      <c r="C9" s="2043">
        <v>4858857333</v>
      </c>
      <c r="D9" s="2043">
        <v>4834177441</v>
      </c>
      <c r="E9" s="2043">
        <v>4798486979</v>
      </c>
      <c r="F9" s="2043">
        <v>4894547795</v>
      </c>
      <c r="G9" s="2043">
        <v>4858857333</v>
      </c>
      <c r="H9" s="2043">
        <v>4834177441</v>
      </c>
      <c r="I9" s="2043">
        <v>4798486979</v>
      </c>
    </row>
    <row r="10" spans="1:9">
      <c r="A10" s="2043" t="s">
        <v>635</v>
      </c>
      <c r="B10" s="2043">
        <v>553433690</v>
      </c>
      <c r="C10" s="2043">
        <v>532791643</v>
      </c>
      <c r="D10" s="2043">
        <v>553433690</v>
      </c>
      <c r="E10" s="2043">
        <v>532791643</v>
      </c>
      <c r="F10" s="2043">
        <v>553433690</v>
      </c>
      <c r="G10" s="2043">
        <v>532791643</v>
      </c>
      <c r="H10" s="2043">
        <v>553433690</v>
      </c>
      <c r="I10" s="2043">
        <v>532791643</v>
      </c>
    </row>
    <row r="11" spans="1:9">
      <c r="A11" s="2043" t="s">
        <v>1367</v>
      </c>
      <c r="B11" s="2043">
        <v>2584577669</v>
      </c>
      <c r="C11" s="2043">
        <v>2507909612</v>
      </c>
      <c r="D11" s="2043">
        <v>2584577669</v>
      </c>
      <c r="E11" s="2043">
        <v>2507909612</v>
      </c>
      <c r="F11" s="2043">
        <v>2584577669</v>
      </c>
      <c r="G11" s="2043">
        <v>2507909612</v>
      </c>
      <c r="H11" s="2043">
        <v>2584577669</v>
      </c>
      <c r="I11" s="2043">
        <v>2507909612</v>
      </c>
    </row>
    <row r="12" spans="1:9">
      <c r="A12" s="2043" t="s">
        <v>1053</v>
      </c>
      <c r="B12" s="2043">
        <v>409836833</v>
      </c>
      <c r="C12" s="2043">
        <v>394155388</v>
      </c>
      <c r="D12" s="2043">
        <v>390053013</v>
      </c>
      <c r="E12" s="2043">
        <v>374371568</v>
      </c>
      <c r="F12" s="2043">
        <v>409836833</v>
      </c>
      <c r="G12" s="2043">
        <v>394155388</v>
      </c>
      <c r="H12" s="2043">
        <v>390053013</v>
      </c>
      <c r="I12" s="2043">
        <v>374371568</v>
      </c>
    </row>
    <row r="13" spans="1:9">
      <c r="A13" s="2043" t="s">
        <v>320</v>
      </c>
      <c r="B13" s="2043">
        <v>322413666</v>
      </c>
      <c r="C13" s="2043">
        <v>308536830</v>
      </c>
      <c r="D13" s="2043">
        <v>308267870</v>
      </c>
      <c r="E13" s="2043">
        <v>294391034</v>
      </c>
      <c r="F13" s="2043">
        <v>322413666</v>
      </c>
      <c r="G13" s="2043">
        <v>308536830</v>
      </c>
      <c r="H13" s="2043">
        <v>308267870</v>
      </c>
      <c r="I13" s="2043">
        <v>294391034</v>
      </c>
    </row>
    <row r="14" spans="1:9">
      <c r="A14" s="2043" t="s">
        <v>321</v>
      </c>
      <c r="B14" s="2043">
        <v>117702201</v>
      </c>
      <c r="C14" s="2043">
        <v>112572257</v>
      </c>
      <c r="D14" s="2043">
        <v>112068034</v>
      </c>
      <c r="E14" s="2043">
        <v>106938090</v>
      </c>
      <c r="F14" s="2043">
        <v>117702201</v>
      </c>
      <c r="G14" s="2043">
        <v>112572257</v>
      </c>
      <c r="H14" s="2043">
        <v>112068034</v>
      </c>
      <c r="I14" s="2043">
        <v>106938090</v>
      </c>
    </row>
    <row r="15" spans="1:9">
      <c r="A15" s="2043" t="s">
        <v>322</v>
      </c>
      <c r="B15" s="2043">
        <v>302748153</v>
      </c>
      <c r="C15" s="2043">
        <v>286997703</v>
      </c>
      <c r="D15" s="2043">
        <v>302748153</v>
      </c>
      <c r="E15" s="2043">
        <v>286997703</v>
      </c>
      <c r="F15" s="2043">
        <v>302748153</v>
      </c>
      <c r="G15" s="2043">
        <v>286997703</v>
      </c>
      <c r="H15" s="2043">
        <v>302748153</v>
      </c>
      <c r="I15" s="2043">
        <v>286997703</v>
      </c>
    </row>
    <row r="16" spans="1:9">
      <c r="A16" s="2043" t="s">
        <v>2339</v>
      </c>
      <c r="B16" s="2043">
        <v>3041456112</v>
      </c>
      <c r="C16" s="2043">
        <v>2991503851</v>
      </c>
      <c r="D16" s="2043">
        <v>3041456112</v>
      </c>
      <c r="E16" s="2043">
        <v>2991503851</v>
      </c>
      <c r="F16" s="2043">
        <v>3041456112</v>
      </c>
      <c r="G16" s="2043">
        <v>2991503851</v>
      </c>
      <c r="H16" s="2043">
        <v>3041456112</v>
      </c>
      <c r="I16" s="2043">
        <v>2991503851</v>
      </c>
    </row>
    <row r="17" spans="1:9">
      <c r="A17" s="2043" t="s">
        <v>2340</v>
      </c>
      <c r="B17" s="2043">
        <v>246927986</v>
      </c>
      <c r="C17" s="2043">
        <v>239977406</v>
      </c>
      <c r="D17" s="2043">
        <v>246927986</v>
      </c>
      <c r="E17" s="2043">
        <v>239977406</v>
      </c>
      <c r="F17" s="2043">
        <v>427601326</v>
      </c>
      <c r="G17" s="2043">
        <v>420650746</v>
      </c>
      <c r="H17" s="2043">
        <v>427601326</v>
      </c>
      <c r="I17" s="2043">
        <v>420650746</v>
      </c>
    </row>
    <row r="18" spans="1:9">
      <c r="A18" s="2043" t="s">
        <v>2341</v>
      </c>
      <c r="B18" s="2043">
        <v>376736177</v>
      </c>
      <c r="C18" s="2043">
        <v>364035342</v>
      </c>
      <c r="D18" s="2043">
        <v>376736177</v>
      </c>
      <c r="E18" s="2043">
        <v>364035342</v>
      </c>
      <c r="F18" s="2043">
        <v>376736177</v>
      </c>
      <c r="G18" s="2043">
        <v>364035342</v>
      </c>
      <c r="H18" s="2043">
        <v>376736177</v>
      </c>
      <c r="I18" s="2043">
        <v>364035342</v>
      </c>
    </row>
    <row r="19" spans="1:9">
      <c r="A19" s="2043" t="s">
        <v>1838</v>
      </c>
      <c r="B19" s="2043">
        <v>95492562</v>
      </c>
      <c r="C19" s="2043">
        <v>91662397</v>
      </c>
      <c r="D19" s="2043">
        <v>95492562</v>
      </c>
      <c r="E19" s="2043">
        <v>91662397</v>
      </c>
      <c r="F19" s="2043">
        <v>95492562</v>
      </c>
      <c r="G19" s="2043">
        <v>91662397</v>
      </c>
      <c r="H19" s="2043">
        <v>95492562</v>
      </c>
      <c r="I19" s="2043">
        <v>91662397</v>
      </c>
    </row>
    <row r="20" spans="1:9">
      <c r="A20" s="2043" t="s">
        <v>2343</v>
      </c>
      <c r="B20" s="2043">
        <v>232720247</v>
      </c>
      <c r="C20" s="2043">
        <v>227911007</v>
      </c>
      <c r="D20" s="2043">
        <v>232720247</v>
      </c>
      <c r="E20" s="2043">
        <v>227911007</v>
      </c>
      <c r="F20" s="2043">
        <v>272986917</v>
      </c>
      <c r="G20" s="2043">
        <v>268177677</v>
      </c>
      <c r="H20" s="2043">
        <v>272986917</v>
      </c>
      <c r="I20" s="2043">
        <v>268177677</v>
      </c>
    </row>
    <row r="21" spans="1:9">
      <c r="A21" s="2043" t="s">
        <v>667</v>
      </c>
      <c r="B21" s="2043">
        <v>397475997</v>
      </c>
      <c r="C21" s="2043">
        <v>393503379</v>
      </c>
      <c r="D21" s="2043">
        <v>397475997</v>
      </c>
      <c r="E21" s="2043">
        <v>393503379</v>
      </c>
      <c r="F21" s="2043">
        <v>397475997</v>
      </c>
      <c r="G21" s="2043">
        <v>393503379</v>
      </c>
      <c r="H21" s="2043">
        <v>397475997</v>
      </c>
      <c r="I21" s="2043">
        <v>393503379</v>
      </c>
    </row>
    <row r="22" spans="1:9">
      <c r="A22" s="2043" t="s">
        <v>2344</v>
      </c>
      <c r="B22" s="2043">
        <v>1135900197</v>
      </c>
      <c r="C22" s="2043">
        <v>1124035412</v>
      </c>
      <c r="D22" s="2043">
        <v>1135900197</v>
      </c>
      <c r="E22" s="2043">
        <v>1124035412</v>
      </c>
      <c r="F22" s="2043">
        <v>1135900197</v>
      </c>
      <c r="G22" s="2043">
        <v>1124035412</v>
      </c>
      <c r="H22" s="2043">
        <v>1135900197</v>
      </c>
      <c r="I22" s="2043">
        <v>1124035412</v>
      </c>
    </row>
    <row r="23" spans="1:9">
      <c r="A23" s="2043" t="s">
        <v>1976</v>
      </c>
      <c r="B23" s="2043">
        <v>378708099</v>
      </c>
      <c r="C23" s="2043">
        <v>364841342</v>
      </c>
      <c r="D23" s="2043">
        <v>378708099</v>
      </c>
      <c r="E23" s="2043">
        <v>364841342</v>
      </c>
      <c r="F23" s="2043">
        <v>378708099</v>
      </c>
      <c r="G23" s="2043">
        <v>364841342</v>
      </c>
      <c r="H23" s="2043">
        <v>378708099</v>
      </c>
      <c r="I23" s="2043">
        <v>364841342</v>
      </c>
    </row>
    <row r="24" spans="1:9">
      <c r="A24" s="2043" t="s">
        <v>199</v>
      </c>
      <c r="B24" s="2043">
        <v>2261387125</v>
      </c>
      <c r="C24" s="2043">
        <v>2227342497</v>
      </c>
      <c r="D24" s="2043">
        <v>2261387125</v>
      </c>
      <c r="E24" s="2043">
        <v>2227342497</v>
      </c>
      <c r="F24" s="2043">
        <v>2261387125</v>
      </c>
      <c r="G24" s="2043">
        <v>2227342497</v>
      </c>
      <c r="H24" s="2043">
        <v>2261387125</v>
      </c>
      <c r="I24" s="2043">
        <v>2227342497</v>
      </c>
    </row>
    <row r="25" spans="1:9">
      <c r="A25" s="2043" t="s">
        <v>2014</v>
      </c>
      <c r="B25" s="2043">
        <v>455508970</v>
      </c>
      <c r="C25" s="2043">
        <v>439413426</v>
      </c>
      <c r="D25" s="2043">
        <v>455508970</v>
      </c>
      <c r="E25" s="2043">
        <v>439413426</v>
      </c>
      <c r="F25" s="2043">
        <v>455508970</v>
      </c>
      <c r="G25" s="2043">
        <v>439413426</v>
      </c>
      <c r="H25" s="2043">
        <v>455508970</v>
      </c>
      <c r="I25" s="2043">
        <v>439413426</v>
      </c>
    </row>
    <row r="26" spans="1:9">
      <c r="A26" s="2043" t="s">
        <v>2345</v>
      </c>
      <c r="B26" s="2043">
        <v>1427285539</v>
      </c>
      <c r="C26" s="2043">
        <v>1396406761</v>
      </c>
      <c r="D26" s="2043">
        <v>1427285539</v>
      </c>
      <c r="E26" s="2043">
        <v>1396406761</v>
      </c>
      <c r="F26" s="2043">
        <v>1427285539</v>
      </c>
      <c r="G26" s="2043">
        <v>1396406761</v>
      </c>
      <c r="H26" s="2043">
        <v>1427285539</v>
      </c>
      <c r="I26" s="2043">
        <v>1396406761</v>
      </c>
    </row>
    <row r="27" spans="1:9">
      <c r="A27" s="2043" t="s">
        <v>644</v>
      </c>
      <c r="B27" s="2043">
        <v>1561908330</v>
      </c>
      <c r="C27" s="2043">
        <v>1533253624</v>
      </c>
      <c r="D27" s="2043">
        <v>1495038357</v>
      </c>
      <c r="E27" s="2043">
        <v>1466383651</v>
      </c>
      <c r="F27" s="2043">
        <v>1561908330</v>
      </c>
      <c r="G27" s="2043">
        <v>1533253624</v>
      </c>
      <c r="H27" s="2043">
        <v>1495038357</v>
      </c>
      <c r="I27" s="2043">
        <v>1466383651</v>
      </c>
    </row>
    <row r="28" spans="1:9">
      <c r="A28" s="2043" t="s">
        <v>645</v>
      </c>
      <c r="B28" s="2043">
        <v>350405804</v>
      </c>
      <c r="C28" s="2043">
        <v>341684472</v>
      </c>
      <c r="D28" s="2043">
        <v>346533173</v>
      </c>
      <c r="E28" s="2043">
        <v>337811841</v>
      </c>
      <c r="F28" s="2043">
        <v>350405804</v>
      </c>
      <c r="G28" s="2043">
        <v>341684472</v>
      </c>
      <c r="H28" s="2043">
        <v>346533173</v>
      </c>
      <c r="I28" s="2043">
        <v>337811841</v>
      </c>
    </row>
    <row r="29" spans="1:9">
      <c r="A29" s="2043" t="s">
        <v>646</v>
      </c>
      <c r="B29" s="2043">
        <v>287056103</v>
      </c>
      <c r="C29" s="2043">
        <v>277878910</v>
      </c>
      <c r="D29" s="2043">
        <v>287056103</v>
      </c>
      <c r="E29" s="2043">
        <v>277878910</v>
      </c>
      <c r="F29" s="2043">
        <v>287056103</v>
      </c>
      <c r="G29" s="2043">
        <v>277878910</v>
      </c>
      <c r="H29" s="2043">
        <v>287056103</v>
      </c>
      <c r="I29" s="2043">
        <v>277878910</v>
      </c>
    </row>
    <row r="30" spans="1:9">
      <c r="A30" s="2043" t="s">
        <v>174</v>
      </c>
      <c r="B30" s="2043">
        <v>258468366</v>
      </c>
      <c r="C30" s="2043">
        <v>253261995</v>
      </c>
      <c r="D30" s="2043">
        <v>258468366</v>
      </c>
      <c r="E30" s="2043">
        <v>253261995</v>
      </c>
      <c r="F30" s="2043">
        <v>258468366</v>
      </c>
      <c r="G30" s="2043">
        <v>253261995</v>
      </c>
      <c r="H30" s="2043">
        <v>258468366</v>
      </c>
      <c r="I30" s="2043">
        <v>253261995</v>
      </c>
    </row>
    <row r="31" spans="1:9">
      <c r="A31" s="2043" t="s">
        <v>1839</v>
      </c>
      <c r="B31" s="2043">
        <v>1669545308</v>
      </c>
      <c r="C31" s="2043">
        <v>1621133048</v>
      </c>
      <c r="D31" s="2043">
        <v>1669545308</v>
      </c>
      <c r="E31" s="2043">
        <v>1621133048</v>
      </c>
      <c r="F31" s="2043">
        <v>1669545308</v>
      </c>
      <c r="G31" s="2043">
        <v>1621133048</v>
      </c>
      <c r="H31" s="2043">
        <v>1669545308</v>
      </c>
      <c r="I31" s="2043">
        <v>1621133048</v>
      </c>
    </row>
    <row r="32" spans="1:9">
      <c r="A32" s="2043" t="s">
        <v>1589</v>
      </c>
      <c r="B32" s="2043">
        <v>4425471326</v>
      </c>
      <c r="C32" s="2043">
        <v>4338951909</v>
      </c>
      <c r="D32" s="2043">
        <v>4425471326</v>
      </c>
      <c r="E32" s="2043">
        <v>4338951909</v>
      </c>
      <c r="F32" s="2043">
        <v>4425471326</v>
      </c>
      <c r="G32" s="2043">
        <v>4338951909</v>
      </c>
      <c r="H32" s="2043">
        <v>4425471326</v>
      </c>
      <c r="I32" s="2043">
        <v>4338951909</v>
      </c>
    </row>
    <row r="33" spans="1:9">
      <c r="A33" s="2043" t="s">
        <v>728</v>
      </c>
      <c r="B33" s="2043">
        <v>1494923559</v>
      </c>
      <c r="C33" s="2043">
        <v>1455090084</v>
      </c>
      <c r="D33" s="2043">
        <v>1494923559</v>
      </c>
      <c r="E33" s="2043">
        <v>1455090084</v>
      </c>
      <c r="F33" s="2043">
        <v>1494923559</v>
      </c>
      <c r="G33" s="2043">
        <v>1455090084</v>
      </c>
      <c r="H33" s="2043">
        <v>1494923559</v>
      </c>
      <c r="I33" s="2043">
        <v>1455090084</v>
      </c>
    </row>
    <row r="34" spans="1:9">
      <c r="A34" s="2043" t="s">
        <v>2233</v>
      </c>
      <c r="B34" s="2043">
        <v>953754375</v>
      </c>
      <c r="C34" s="2043">
        <v>930629746</v>
      </c>
      <c r="D34" s="2043">
        <v>953754375</v>
      </c>
      <c r="E34" s="2043">
        <v>930629746</v>
      </c>
      <c r="F34" s="2043">
        <v>953754375</v>
      </c>
      <c r="G34" s="2043">
        <v>930629746</v>
      </c>
      <c r="H34" s="2043">
        <v>953754375</v>
      </c>
      <c r="I34" s="2043">
        <v>930629746</v>
      </c>
    </row>
    <row r="35" spans="1:9">
      <c r="A35" s="2043" t="s">
        <v>2015</v>
      </c>
      <c r="B35" s="2043">
        <v>117209131</v>
      </c>
      <c r="C35" s="2043">
        <v>114106951</v>
      </c>
      <c r="D35" s="2043">
        <v>117209131</v>
      </c>
      <c r="E35" s="2043">
        <v>114106951</v>
      </c>
      <c r="F35" s="2043">
        <v>117209131</v>
      </c>
      <c r="G35" s="2043">
        <v>114106951</v>
      </c>
      <c r="H35" s="2043">
        <v>117209131</v>
      </c>
      <c r="I35" s="2043">
        <v>114106951</v>
      </c>
    </row>
    <row r="36" spans="1:9">
      <c r="A36" s="2043" t="s">
        <v>428</v>
      </c>
      <c r="B36" s="2043">
        <v>269025600</v>
      </c>
      <c r="C36" s="2043">
        <v>261603795</v>
      </c>
      <c r="D36" s="2043">
        <v>269025600</v>
      </c>
      <c r="E36" s="2043">
        <v>261603795</v>
      </c>
      <c r="F36" s="2043">
        <v>475799450</v>
      </c>
      <c r="G36" s="2043">
        <v>468377645</v>
      </c>
      <c r="H36" s="2043">
        <v>475799450</v>
      </c>
      <c r="I36" s="2043">
        <v>468377645</v>
      </c>
    </row>
    <row r="37" spans="1:9">
      <c r="A37" s="2043" t="s">
        <v>2234</v>
      </c>
      <c r="B37" s="2043">
        <v>840581330</v>
      </c>
      <c r="C37" s="2043">
        <v>808122830</v>
      </c>
      <c r="D37" s="2043">
        <v>840581330</v>
      </c>
      <c r="E37" s="2043">
        <v>808122830</v>
      </c>
      <c r="F37" s="2043">
        <v>840581330</v>
      </c>
      <c r="G37" s="2043">
        <v>808122830</v>
      </c>
      <c r="H37" s="2043">
        <v>840581330</v>
      </c>
      <c r="I37" s="2043">
        <v>808122830</v>
      </c>
    </row>
    <row r="38" spans="1:9">
      <c r="A38" s="2043" t="s">
        <v>2505</v>
      </c>
      <c r="B38" s="2043">
        <v>376332645</v>
      </c>
      <c r="C38" s="2043">
        <v>374692546</v>
      </c>
      <c r="D38" s="2043">
        <v>376332645</v>
      </c>
      <c r="E38" s="2043">
        <v>374692546</v>
      </c>
      <c r="F38" s="2043">
        <v>376332645</v>
      </c>
      <c r="G38" s="2043">
        <v>374692546</v>
      </c>
      <c r="H38" s="2043">
        <v>376332645</v>
      </c>
      <c r="I38" s="2043">
        <v>374692546</v>
      </c>
    </row>
    <row r="39" spans="1:9">
      <c r="A39" s="2043" t="s">
        <v>2506</v>
      </c>
      <c r="B39" s="2043">
        <v>572696090</v>
      </c>
      <c r="C39" s="2043">
        <v>569362292</v>
      </c>
      <c r="D39" s="2043">
        <v>572696090</v>
      </c>
      <c r="E39" s="2043">
        <v>569362292</v>
      </c>
      <c r="F39" s="2043">
        <v>646633990</v>
      </c>
      <c r="G39" s="2043">
        <v>643300192</v>
      </c>
      <c r="H39" s="2043">
        <v>646633990</v>
      </c>
      <c r="I39" s="2043">
        <v>643300192</v>
      </c>
    </row>
    <row r="40" spans="1:9">
      <c r="A40" s="2043" t="s">
        <v>1079</v>
      </c>
      <c r="B40" s="2043">
        <v>178573265</v>
      </c>
      <c r="C40" s="2043">
        <v>173455210</v>
      </c>
      <c r="D40" s="2043">
        <v>178573265</v>
      </c>
      <c r="E40" s="2043">
        <v>173455210</v>
      </c>
      <c r="F40" s="2043">
        <v>178573265</v>
      </c>
      <c r="G40" s="2043">
        <v>173455210</v>
      </c>
      <c r="H40" s="2043">
        <v>178573265</v>
      </c>
      <c r="I40" s="2043">
        <v>173455210</v>
      </c>
    </row>
    <row r="41" spans="1:9">
      <c r="A41" s="2043" t="s">
        <v>2016</v>
      </c>
      <c r="B41" s="2043">
        <v>517841596</v>
      </c>
      <c r="C41" s="2043">
        <v>499016010</v>
      </c>
      <c r="D41" s="2043">
        <v>517841596</v>
      </c>
      <c r="E41" s="2043">
        <v>499016010</v>
      </c>
      <c r="F41" s="2043">
        <v>517841596</v>
      </c>
      <c r="G41" s="2043">
        <v>499016010</v>
      </c>
      <c r="H41" s="2043">
        <v>517841596</v>
      </c>
      <c r="I41" s="2043">
        <v>499016010</v>
      </c>
    </row>
    <row r="42" spans="1:9">
      <c r="A42" s="2043" t="s">
        <v>1588</v>
      </c>
      <c r="B42" s="2043">
        <v>132152130</v>
      </c>
      <c r="C42" s="2043">
        <v>126937497</v>
      </c>
      <c r="D42" s="2043">
        <v>132152130</v>
      </c>
      <c r="E42" s="2043">
        <v>126937497</v>
      </c>
      <c r="F42" s="2043">
        <v>132152130</v>
      </c>
      <c r="G42" s="2043">
        <v>126937497</v>
      </c>
      <c r="H42" s="2043">
        <v>132152130</v>
      </c>
      <c r="I42" s="2043">
        <v>126937497</v>
      </c>
    </row>
    <row r="43" spans="1:9">
      <c r="A43" s="2043" t="s">
        <v>1591</v>
      </c>
      <c r="B43" s="2043">
        <v>3674902791</v>
      </c>
      <c r="C43" s="2043">
        <v>3556216328</v>
      </c>
      <c r="D43" s="2043">
        <v>3674902791</v>
      </c>
      <c r="E43" s="2043">
        <v>3556216328</v>
      </c>
      <c r="F43" s="2043">
        <v>3674902791</v>
      </c>
      <c r="G43" s="2043">
        <v>3556216328</v>
      </c>
      <c r="H43" s="2043">
        <v>3674902791</v>
      </c>
      <c r="I43" s="2043">
        <v>3556216328</v>
      </c>
    </row>
    <row r="44" spans="1:9">
      <c r="A44" s="2043" t="s">
        <v>161</v>
      </c>
      <c r="B44" s="2043">
        <v>137291547</v>
      </c>
      <c r="C44" s="2043">
        <v>131712172</v>
      </c>
      <c r="D44" s="2043">
        <v>137291547</v>
      </c>
      <c r="E44" s="2043">
        <v>131712172</v>
      </c>
      <c r="F44" s="2043">
        <v>137291547</v>
      </c>
      <c r="G44" s="2043">
        <v>131712172</v>
      </c>
      <c r="H44" s="2043">
        <v>137291547</v>
      </c>
      <c r="I44" s="2043">
        <v>131712172</v>
      </c>
    </row>
    <row r="45" spans="1:9">
      <c r="A45" s="2043" t="s">
        <v>51</v>
      </c>
      <c r="B45" s="2043">
        <v>8682797628</v>
      </c>
      <c r="C45" s="2043">
        <v>8391958806</v>
      </c>
      <c r="D45" s="2043">
        <v>8682797628</v>
      </c>
      <c r="E45" s="2043">
        <v>8391958806</v>
      </c>
      <c r="F45" s="2043">
        <v>8682797628</v>
      </c>
      <c r="G45" s="2043">
        <v>8391958806</v>
      </c>
      <c r="H45" s="2043">
        <v>8682797628</v>
      </c>
      <c r="I45" s="2043">
        <v>8391958806</v>
      </c>
    </row>
    <row r="46" spans="1:9">
      <c r="A46" s="2043" t="s">
        <v>157</v>
      </c>
      <c r="B46" s="2043">
        <v>212071013</v>
      </c>
      <c r="C46" s="2043">
        <v>203062323</v>
      </c>
      <c r="D46" s="2043">
        <v>212071013</v>
      </c>
      <c r="E46" s="2043">
        <v>203062323</v>
      </c>
      <c r="F46" s="2043">
        <v>212071013</v>
      </c>
      <c r="G46" s="2043">
        <v>203062323</v>
      </c>
      <c r="H46" s="2043">
        <v>212071013</v>
      </c>
      <c r="I46" s="2043">
        <v>203062323</v>
      </c>
    </row>
    <row r="47" spans="1:9">
      <c r="A47" s="2043" t="s">
        <v>1236</v>
      </c>
      <c r="B47" s="2043">
        <v>957250980</v>
      </c>
      <c r="C47" s="2043">
        <v>932783794</v>
      </c>
      <c r="D47" s="2043">
        <v>957250980</v>
      </c>
      <c r="E47" s="2043">
        <v>932783794</v>
      </c>
      <c r="F47" s="2043">
        <v>957250980</v>
      </c>
      <c r="G47" s="2043">
        <v>932783794</v>
      </c>
      <c r="H47" s="2043">
        <v>957250980</v>
      </c>
      <c r="I47" s="2043">
        <v>932783794</v>
      </c>
    </row>
    <row r="48" spans="1:9">
      <c r="A48" s="2043" t="s">
        <v>1425</v>
      </c>
      <c r="B48" s="2043">
        <v>3554954832</v>
      </c>
      <c r="C48" s="2043">
        <v>3458685811</v>
      </c>
      <c r="D48" s="2043">
        <v>3554954832</v>
      </c>
      <c r="E48" s="2043">
        <v>3458685811</v>
      </c>
      <c r="F48" s="2043">
        <v>3554954832</v>
      </c>
      <c r="G48" s="2043">
        <v>3458685811</v>
      </c>
      <c r="H48" s="2043">
        <v>3554954832</v>
      </c>
      <c r="I48" s="2043">
        <v>3458685811</v>
      </c>
    </row>
    <row r="49" spans="1:9">
      <c r="A49" s="2043" t="s">
        <v>1430</v>
      </c>
      <c r="B49" s="2043">
        <v>398659948</v>
      </c>
      <c r="C49" s="2043">
        <v>384274531</v>
      </c>
      <c r="D49" s="2043">
        <v>398659948</v>
      </c>
      <c r="E49" s="2043">
        <v>384274531</v>
      </c>
      <c r="F49" s="2043">
        <v>398659948</v>
      </c>
      <c r="G49" s="2043">
        <v>384274531</v>
      </c>
      <c r="H49" s="2043">
        <v>398659948</v>
      </c>
      <c r="I49" s="2043">
        <v>384274531</v>
      </c>
    </row>
    <row r="50" spans="1:9">
      <c r="A50" s="2043" t="s">
        <v>401</v>
      </c>
      <c r="B50" s="2043">
        <v>7153962457</v>
      </c>
      <c r="C50" s="2043">
        <v>7084052542</v>
      </c>
      <c r="D50" s="2043">
        <v>7153962457</v>
      </c>
      <c r="E50" s="2043">
        <v>7084052542</v>
      </c>
      <c r="F50" s="2043">
        <v>7153962457</v>
      </c>
      <c r="G50" s="2043">
        <v>7084052542</v>
      </c>
      <c r="H50" s="2043">
        <v>7153962457</v>
      </c>
      <c r="I50" s="2043">
        <v>7084052542</v>
      </c>
    </row>
    <row r="51" spans="1:9">
      <c r="A51" s="2043" t="s">
        <v>1755</v>
      </c>
      <c r="B51" s="2043">
        <v>1987856981</v>
      </c>
      <c r="C51" s="2043">
        <v>1885674693</v>
      </c>
      <c r="D51" s="2043">
        <v>1987856981</v>
      </c>
      <c r="E51" s="2043">
        <v>1885674693</v>
      </c>
      <c r="F51" s="2043">
        <v>1987856981</v>
      </c>
      <c r="G51" s="2043">
        <v>1885674693</v>
      </c>
      <c r="H51" s="2043">
        <v>1987856981</v>
      </c>
      <c r="I51" s="2043">
        <v>1885674693</v>
      </c>
    </row>
    <row r="52" spans="1:9">
      <c r="A52" s="2043" t="s">
        <v>726</v>
      </c>
      <c r="B52" s="2043">
        <v>1596216463</v>
      </c>
      <c r="C52" s="2043">
        <v>1509255990</v>
      </c>
      <c r="D52" s="2043">
        <v>1596216463</v>
      </c>
      <c r="E52" s="2043">
        <v>1509255990</v>
      </c>
      <c r="F52" s="2043">
        <v>1596216463</v>
      </c>
      <c r="G52" s="2043">
        <v>1509255990</v>
      </c>
      <c r="H52" s="2043">
        <v>1596216463</v>
      </c>
      <c r="I52" s="2043">
        <v>1509255990</v>
      </c>
    </row>
    <row r="53" spans="1:9">
      <c r="A53" s="2043" t="s">
        <v>1238</v>
      </c>
      <c r="B53" s="2043">
        <v>20334060617</v>
      </c>
      <c r="C53" s="2043">
        <v>19872177416</v>
      </c>
      <c r="D53" s="2043">
        <v>20222623987</v>
      </c>
      <c r="E53" s="2043">
        <v>19760740786</v>
      </c>
      <c r="F53" s="2043">
        <v>20334060617</v>
      </c>
      <c r="G53" s="2043">
        <v>19872177416</v>
      </c>
      <c r="H53" s="2043">
        <v>20222623987</v>
      </c>
      <c r="I53" s="2043">
        <v>19760740786</v>
      </c>
    </row>
    <row r="54" spans="1:9">
      <c r="A54" s="2043" t="s">
        <v>1417</v>
      </c>
      <c r="B54" s="2043">
        <v>1921862371</v>
      </c>
      <c r="C54" s="2043">
        <v>1857578945</v>
      </c>
      <c r="D54" s="2043">
        <v>1921862371</v>
      </c>
      <c r="E54" s="2043">
        <v>1857578945</v>
      </c>
      <c r="F54" s="2043">
        <v>1921862371</v>
      </c>
      <c r="G54" s="2043">
        <v>1857578945</v>
      </c>
      <c r="H54" s="2043">
        <v>1921862371</v>
      </c>
      <c r="I54" s="2043">
        <v>1857578945</v>
      </c>
    </row>
    <row r="55" spans="1:9">
      <c r="A55" s="2043" t="s">
        <v>1082</v>
      </c>
      <c r="B55" s="2043">
        <v>589074534</v>
      </c>
      <c r="C55" s="2043">
        <v>564460458</v>
      </c>
      <c r="D55" s="2043">
        <v>589074534</v>
      </c>
      <c r="E55" s="2043">
        <v>564460458</v>
      </c>
      <c r="F55" s="2043">
        <v>589074534</v>
      </c>
      <c r="G55" s="2043">
        <v>564460458</v>
      </c>
      <c r="H55" s="2043">
        <v>589074534</v>
      </c>
      <c r="I55" s="2043">
        <v>564460458</v>
      </c>
    </row>
    <row r="56" spans="1:9">
      <c r="A56" s="2043" t="s">
        <v>1322</v>
      </c>
      <c r="B56" s="2043">
        <v>42689280307</v>
      </c>
      <c r="C56" s="2043">
        <v>41855592419</v>
      </c>
      <c r="D56" s="2043">
        <v>42689280307</v>
      </c>
      <c r="E56" s="2043">
        <v>41855592419</v>
      </c>
      <c r="F56" s="2043">
        <v>42689280307</v>
      </c>
      <c r="G56" s="2043">
        <v>41855592419</v>
      </c>
      <c r="H56" s="2043">
        <v>42689280307</v>
      </c>
      <c r="I56" s="2043">
        <v>41855592419</v>
      </c>
    </row>
    <row r="57" spans="1:9">
      <c r="A57" s="2043" t="s">
        <v>723</v>
      </c>
      <c r="B57" s="2043">
        <v>4387432111</v>
      </c>
      <c r="C57" s="2043">
        <v>4273008781</v>
      </c>
      <c r="D57" s="2043">
        <v>4387432111</v>
      </c>
      <c r="E57" s="2043">
        <v>4273008781</v>
      </c>
      <c r="F57" s="2043">
        <v>4387432111</v>
      </c>
      <c r="G57" s="2043">
        <v>4273008781</v>
      </c>
      <c r="H57" s="2043">
        <v>4387432111</v>
      </c>
      <c r="I57" s="2043">
        <v>4273008781</v>
      </c>
    </row>
    <row r="58" spans="1:9">
      <c r="A58" s="2043" t="s">
        <v>668</v>
      </c>
      <c r="B58" s="2043">
        <v>3897135225</v>
      </c>
      <c r="C58" s="2043">
        <v>3801609075</v>
      </c>
      <c r="D58" s="2043">
        <v>3897135225</v>
      </c>
      <c r="E58" s="2043">
        <v>3801609075</v>
      </c>
      <c r="F58" s="2043">
        <v>3897135225</v>
      </c>
      <c r="G58" s="2043">
        <v>3801609075</v>
      </c>
      <c r="H58" s="2043">
        <v>3897135225</v>
      </c>
      <c r="I58" s="2043">
        <v>3801609075</v>
      </c>
    </row>
    <row r="59" spans="1:9">
      <c r="A59" s="2043" t="s">
        <v>1324</v>
      </c>
      <c r="B59" s="2043">
        <v>59744220761</v>
      </c>
      <c r="C59" s="2043">
        <v>58597513868</v>
      </c>
      <c r="D59" s="2043">
        <v>59744220761</v>
      </c>
      <c r="E59" s="2043">
        <v>58597513868</v>
      </c>
      <c r="F59" s="2043">
        <v>59744220761</v>
      </c>
      <c r="G59" s="2043">
        <v>58597513868</v>
      </c>
      <c r="H59" s="2043">
        <v>59744220761</v>
      </c>
      <c r="I59" s="2043">
        <v>58597513868</v>
      </c>
    </row>
    <row r="60" spans="1:9">
      <c r="A60" s="2043" t="s">
        <v>44</v>
      </c>
      <c r="B60" s="2043">
        <v>10806299289</v>
      </c>
      <c r="C60" s="2043">
        <v>10552902591</v>
      </c>
      <c r="D60" s="2043">
        <v>10806299289</v>
      </c>
      <c r="E60" s="2043">
        <v>10552902591</v>
      </c>
      <c r="F60" s="2043">
        <v>10806299289</v>
      </c>
      <c r="G60" s="2043">
        <v>10552902591</v>
      </c>
      <c r="H60" s="2043">
        <v>10806299289</v>
      </c>
      <c r="I60" s="2043">
        <v>10552902591</v>
      </c>
    </row>
    <row r="61" spans="1:9">
      <c r="A61" s="2043" t="s">
        <v>1418</v>
      </c>
      <c r="B61" s="2043">
        <v>1534402145</v>
      </c>
      <c r="C61" s="2043">
        <v>1495276796</v>
      </c>
      <c r="D61" s="2043">
        <v>1534402145</v>
      </c>
      <c r="E61" s="2043">
        <v>1495276796</v>
      </c>
      <c r="F61" s="2043">
        <v>1534402145</v>
      </c>
      <c r="G61" s="2043">
        <v>1495276796</v>
      </c>
      <c r="H61" s="2043">
        <v>1534402145</v>
      </c>
      <c r="I61" s="2043">
        <v>1495276796</v>
      </c>
    </row>
    <row r="62" spans="1:9">
      <c r="A62" s="2043" t="s">
        <v>1139</v>
      </c>
      <c r="B62" s="2043">
        <v>941719082</v>
      </c>
      <c r="C62" s="2043">
        <v>926040518</v>
      </c>
      <c r="D62" s="2043">
        <v>941719082</v>
      </c>
      <c r="E62" s="2043">
        <v>926040518</v>
      </c>
      <c r="F62" s="2043">
        <v>941719082</v>
      </c>
      <c r="G62" s="2043">
        <v>926040518</v>
      </c>
      <c r="H62" s="2043">
        <v>941719082</v>
      </c>
      <c r="I62" s="2043">
        <v>926040518</v>
      </c>
    </row>
    <row r="63" spans="1:9">
      <c r="A63" s="2043" t="s">
        <v>827</v>
      </c>
      <c r="B63" s="2043">
        <v>1023672936</v>
      </c>
      <c r="C63" s="2043">
        <v>1003441133</v>
      </c>
      <c r="D63" s="2043">
        <v>1023672936</v>
      </c>
      <c r="E63" s="2043">
        <v>1003441133</v>
      </c>
      <c r="F63" s="2043">
        <v>1023672936</v>
      </c>
      <c r="G63" s="2043">
        <v>1003441133</v>
      </c>
      <c r="H63" s="2043">
        <v>1023672936</v>
      </c>
      <c r="I63" s="2043">
        <v>1003441133</v>
      </c>
    </row>
    <row r="64" spans="1:9">
      <c r="A64" s="2043" t="s">
        <v>1140</v>
      </c>
      <c r="B64" s="2043">
        <v>721806232</v>
      </c>
      <c r="C64" s="2043">
        <v>721429092</v>
      </c>
      <c r="D64" s="2043">
        <v>721510074</v>
      </c>
      <c r="E64" s="2043">
        <v>721132934</v>
      </c>
      <c r="F64" s="2043">
        <v>848167552</v>
      </c>
      <c r="G64" s="2043">
        <v>847790412</v>
      </c>
      <c r="H64" s="2043">
        <v>847871394</v>
      </c>
      <c r="I64" s="2043">
        <v>847494254</v>
      </c>
    </row>
    <row r="65" spans="1:9">
      <c r="A65" s="2043" t="s">
        <v>540</v>
      </c>
      <c r="B65" s="2043">
        <v>638285731</v>
      </c>
      <c r="C65" s="2043">
        <v>622101031</v>
      </c>
      <c r="D65" s="2043">
        <v>638285731</v>
      </c>
      <c r="E65" s="2043">
        <v>622101031</v>
      </c>
      <c r="F65" s="2043">
        <v>638285731</v>
      </c>
      <c r="G65" s="2043">
        <v>622101031</v>
      </c>
      <c r="H65" s="2043">
        <v>638285731</v>
      </c>
      <c r="I65" s="2043">
        <v>622101031</v>
      </c>
    </row>
    <row r="66" spans="1:9">
      <c r="A66" s="2043" t="s">
        <v>1141</v>
      </c>
      <c r="B66" s="2043">
        <v>206325503</v>
      </c>
      <c r="C66" s="2043">
        <v>200255616</v>
      </c>
      <c r="D66" s="2043">
        <v>206325503</v>
      </c>
      <c r="E66" s="2043">
        <v>200255616</v>
      </c>
      <c r="F66" s="2043">
        <v>206325503</v>
      </c>
      <c r="G66" s="2043">
        <v>200255616</v>
      </c>
      <c r="H66" s="2043">
        <v>206325503</v>
      </c>
      <c r="I66" s="2043">
        <v>200255616</v>
      </c>
    </row>
    <row r="67" spans="1:9">
      <c r="A67" s="2043" t="s">
        <v>1048</v>
      </c>
      <c r="B67" s="2043">
        <v>70508530</v>
      </c>
      <c r="C67" s="2043">
        <v>68359152</v>
      </c>
      <c r="D67" s="2043">
        <v>70508530</v>
      </c>
      <c r="E67" s="2043">
        <v>68359152</v>
      </c>
      <c r="F67" s="2043">
        <v>70508530</v>
      </c>
      <c r="G67" s="2043">
        <v>68359152</v>
      </c>
      <c r="H67" s="2043">
        <v>70508530</v>
      </c>
      <c r="I67" s="2043">
        <v>68359152</v>
      </c>
    </row>
    <row r="68" spans="1:9">
      <c r="A68" s="2043" t="s">
        <v>1049</v>
      </c>
      <c r="B68" s="2043">
        <v>251518296</v>
      </c>
      <c r="C68" s="2043">
        <v>243558634</v>
      </c>
      <c r="D68" s="2043">
        <v>251518296</v>
      </c>
      <c r="E68" s="2043">
        <v>243558634</v>
      </c>
      <c r="F68" s="2043">
        <v>251518296</v>
      </c>
      <c r="G68" s="2043">
        <v>243558634</v>
      </c>
      <c r="H68" s="2043">
        <v>251518296</v>
      </c>
      <c r="I68" s="2043">
        <v>243558634</v>
      </c>
    </row>
    <row r="69" spans="1:9">
      <c r="A69" s="2043" t="s">
        <v>1794</v>
      </c>
      <c r="B69" s="2043">
        <v>112954837</v>
      </c>
      <c r="C69" s="2043">
        <v>110961133</v>
      </c>
      <c r="D69" s="2043">
        <v>112954837</v>
      </c>
      <c r="E69" s="2043">
        <v>110961133</v>
      </c>
      <c r="F69" s="2043">
        <v>112954837</v>
      </c>
      <c r="G69" s="2043">
        <v>110961133</v>
      </c>
      <c r="H69" s="2043">
        <v>112954837</v>
      </c>
      <c r="I69" s="2043">
        <v>110961133</v>
      </c>
    </row>
    <row r="70" spans="1:9">
      <c r="A70" s="2043" t="s">
        <v>1553</v>
      </c>
      <c r="B70" s="2043">
        <v>136628630</v>
      </c>
      <c r="C70" s="2043">
        <v>134169328</v>
      </c>
      <c r="D70" s="2043">
        <v>136628630</v>
      </c>
      <c r="E70" s="2043">
        <v>134169328</v>
      </c>
      <c r="F70" s="2043">
        <v>136628630</v>
      </c>
      <c r="G70" s="2043">
        <v>134169328</v>
      </c>
      <c r="H70" s="2043">
        <v>136628630</v>
      </c>
      <c r="I70" s="2043">
        <v>134169328</v>
      </c>
    </row>
    <row r="71" spans="1:9">
      <c r="A71" s="2043" t="s">
        <v>1554</v>
      </c>
      <c r="B71" s="2043">
        <v>179579247</v>
      </c>
      <c r="C71" s="2043">
        <v>174798567</v>
      </c>
      <c r="D71" s="2043">
        <v>179579247</v>
      </c>
      <c r="E71" s="2043">
        <v>174798567</v>
      </c>
      <c r="F71" s="2043">
        <v>179579247</v>
      </c>
      <c r="G71" s="2043">
        <v>174798567</v>
      </c>
      <c r="H71" s="2043">
        <v>179579247</v>
      </c>
      <c r="I71" s="2043">
        <v>174798567</v>
      </c>
    </row>
    <row r="72" spans="1:9">
      <c r="A72" s="2043" t="s">
        <v>1555</v>
      </c>
      <c r="B72" s="2043">
        <v>89634274</v>
      </c>
      <c r="C72" s="2043">
        <v>87341647</v>
      </c>
      <c r="D72" s="2043">
        <v>89634274</v>
      </c>
      <c r="E72" s="2043">
        <v>87341647</v>
      </c>
      <c r="F72" s="2043">
        <v>89634274</v>
      </c>
      <c r="G72" s="2043">
        <v>87341647</v>
      </c>
      <c r="H72" s="2043">
        <v>89634274</v>
      </c>
      <c r="I72" s="2043">
        <v>87341647</v>
      </c>
    </row>
    <row r="73" spans="1:9">
      <c r="A73" s="2043" t="s">
        <v>838</v>
      </c>
      <c r="B73" s="2043">
        <v>210810873</v>
      </c>
      <c r="C73" s="2043">
        <v>201098955</v>
      </c>
      <c r="D73" s="2043">
        <v>210810873</v>
      </c>
      <c r="E73" s="2043">
        <v>201098955</v>
      </c>
      <c r="F73" s="2043">
        <v>210810873</v>
      </c>
      <c r="G73" s="2043">
        <v>201098955</v>
      </c>
      <c r="H73" s="2043">
        <v>210810873</v>
      </c>
      <c r="I73" s="2043">
        <v>201098955</v>
      </c>
    </row>
    <row r="74" spans="1:9">
      <c r="A74" s="2043" t="s">
        <v>669</v>
      </c>
      <c r="B74" s="2043">
        <v>173975095</v>
      </c>
      <c r="C74" s="2043">
        <v>165437263</v>
      </c>
      <c r="D74" s="2043">
        <v>173975095</v>
      </c>
      <c r="E74" s="2043">
        <v>165437263</v>
      </c>
      <c r="F74" s="2043">
        <v>173975095</v>
      </c>
      <c r="G74" s="2043">
        <v>165437263</v>
      </c>
      <c r="H74" s="2043">
        <v>173975095</v>
      </c>
      <c r="I74" s="2043">
        <v>165437263</v>
      </c>
    </row>
    <row r="75" spans="1:9">
      <c r="A75" s="2043" t="s">
        <v>2017</v>
      </c>
      <c r="B75" s="2043">
        <v>68033632</v>
      </c>
      <c r="C75" s="2043">
        <v>63521929</v>
      </c>
      <c r="D75" s="2043">
        <v>68033632</v>
      </c>
      <c r="E75" s="2043">
        <v>63521929</v>
      </c>
      <c r="F75" s="2043">
        <v>68033632</v>
      </c>
      <c r="G75" s="2043">
        <v>63521929</v>
      </c>
      <c r="H75" s="2043">
        <v>68033632</v>
      </c>
      <c r="I75" s="2043">
        <v>63521929</v>
      </c>
    </row>
    <row r="76" spans="1:9">
      <c r="A76" s="2043" t="s">
        <v>2493</v>
      </c>
      <c r="B76" s="2043">
        <v>407492202</v>
      </c>
      <c r="C76" s="2043">
        <v>392176187</v>
      </c>
      <c r="D76" s="2043">
        <v>407492202</v>
      </c>
      <c r="E76" s="2043">
        <v>392176187</v>
      </c>
      <c r="F76" s="2043">
        <v>407492202</v>
      </c>
      <c r="G76" s="2043">
        <v>392176187</v>
      </c>
      <c r="H76" s="2043">
        <v>407492202</v>
      </c>
      <c r="I76" s="2043">
        <v>392176187</v>
      </c>
    </row>
    <row r="77" spans="1:9">
      <c r="A77" s="2043" t="s">
        <v>1034</v>
      </c>
      <c r="B77" s="2043">
        <v>274545400</v>
      </c>
      <c r="C77" s="2043">
        <v>261825584</v>
      </c>
      <c r="D77" s="2043">
        <v>274545400</v>
      </c>
      <c r="E77" s="2043">
        <v>261825584</v>
      </c>
      <c r="F77" s="2043">
        <v>274545400</v>
      </c>
      <c r="G77" s="2043">
        <v>261825584</v>
      </c>
      <c r="H77" s="2043">
        <v>274545400</v>
      </c>
      <c r="I77" s="2043">
        <v>261825584</v>
      </c>
    </row>
    <row r="78" spans="1:9">
      <c r="A78" s="2043" t="s">
        <v>1035</v>
      </c>
      <c r="B78" s="2043">
        <v>2197145666</v>
      </c>
      <c r="C78" s="2043">
        <v>2152388076</v>
      </c>
      <c r="D78" s="2043">
        <v>2197145666</v>
      </c>
      <c r="E78" s="2043">
        <v>2152388076</v>
      </c>
      <c r="F78" s="2043">
        <v>2197145666</v>
      </c>
      <c r="G78" s="2043">
        <v>2152388076</v>
      </c>
      <c r="H78" s="2043">
        <v>2197145666</v>
      </c>
      <c r="I78" s="2043">
        <v>2152388076</v>
      </c>
    </row>
    <row r="79" spans="1:9">
      <c r="A79" s="2043" t="s">
        <v>1057</v>
      </c>
      <c r="B79" s="2043">
        <v>583277262</v>
      </c>
      <c r="C79" s="2043">
        <v>560759186</v>
      </c>
      <c r="D79" s="2043">
        <v>583277262</v>
      </c>
      <c r="E79" s="2043">
        <v>560759186</v>
      </c>
      <c r="F79" s="2043">
        <v>583277262</v>
      </c>
      <c r="G79" s="2043">
        <v>560759186</v>
      </c>
      <c r="H79" s="2043">
        <v>583277262</v>
      </c>
      <c r="I79" s="2043">
        <v>560759186</v>
      </c>
    </row>
    <row r="80" spans="1:9">
      <c r="A80" s="2043" t="s">
        <v>2018</v>
      </c>
      <c r="B80" s="2043">
        <v>126339005</v>
      </c>
      <c r="C80" s="2043">
        <v>119604513</v>
      </c>
      <c r="D80" s="2043">
        <v>126339005</v>
      </c>
      <c r="E80" s="2043">
        <v>119604513</v>
      </c>
      <c r="F80" s="2043">
        <v>126339005</v>
      </c>
      <c r="G80" s="2043">
        <v>119604513</v>
      </c>
      <c r="H80" s="2043">
        <v>126339005</v>
      </c>
      <c r="I80" s="2043">
        <v>119604513</v>
      </c>
    </row>
    <row r="81" spans="1:9">
      <c r="A81" s="2043" t="s">
        <v>931</v>
      </c>
      <c r="B81" s="2043">
        <v>23618608</v>
      </c>
      <c r="C81" s="2043">
        <v>22038374</v>
      </c>
      <c r="D81" s="2043">
        <v>23618608</v>
      </c>
      <c r="E81" s="2043">
        <v>22038374</v>
      </c>
      <c r="F81" s="2043">
        <v>23618608</v>
      </c>
      <c r="G81" s="2043">
        <v>22038374</v>
      </c>
      <c r="H81" s="2043">
        <v>23618608</v>
      </c>
      <c r="I81" s="2043">
        <v>22038374</v>
      </c>
    </row>
    <row r="82" spans="1:9">
      <c r="A82" s="2043" t="s">
        <v>796</v>
      </c>
      <c r="B82" s="2043">
        <v>244021487</v>
      </c>
      <c r="C82" s="2043">
        <v>236616364</v>
      </c>
      <c r="D82" s="2043">
        <v>244021487</v>
      </c>
      <c r="E82" s="2043">
        <v>236616364</v>
      </c>
      <c r="F82" s="2043">
        <v>244021487</v>
      </c>
      <c r="G82" s="2043">
        <v>236616364</v>
      </c>
      <c r="H82" s="2043">
        <v>244021487</v>
      </c>
      <c r="I82" s="2043">
        <v>236616364</v>
      </c>
    </row>
    <row r="83" spans="1:9">
      <c r="A83" s="2043" t="s">
        <v>1058</v>
      </c>
      <c r="B83" s="2043">
        <v>964364422</v>
      </c>
      <c r="C83" s="2043">
        <v>939066117</v>
      </c>
      <c r="D83" s="2043">
        <v>964364422</v>
      </c>
      <c r="E83" s="2043">
        <v>939066117</v>
      </c>
      <c r="F83" s="2043">
        <v>964364422</v>
      </c>
      <c r="G83" s="2043">
        <v>939066117</v>
      </c>
      <c r="H83" s="2043">
        <v>964364422</v>
      </c>
      <c r="I83" s="2043">
        <v>939066117</v>
      </c>
    </row>
    <row r="84" spans="1:9">
      <c r="A84" s="2043" t="s">
        <v>1059</v>
      </c>
      <c r="B84" s="2043">
        <v>23772613</v>
      </c>
      <c r="C84" s="2043">
        <v>22303125</v>
      </c>
      <c r="D84" s="2043">
        <v>23772613</v>
      </c>
      <c r="E84" s="2043">
        <v>22303125</v>
      </c>
      <c r="F84" s="2043">
        <v>23772613</v>
      </c>
      <c r="G84" s="2043">
        <v>22303125</v>
      </c>
      <c r="H84" s="2043">
        <v>23772613</v>
      </c>
      <c r="I84" s="2043">
        <v>22303125</v>
      </c>
    </row>
    <row r="85" spans="1:9">
      <c r="A85" s="2043" t="s">
        <v>797</v>
      </c>
      <c r="B85" s="2043">
        <v>45799648</v>
      </c>
      <c r="C85" s="2043">
        <v>44079035</v>
      </c>
      <c r="D85" s="2043">
        <v>45799648</v>
      </c>
      <c r="E85" s="2043">
        <v>44079035</v>
      </c>
      <c r="F85" s="2043">
        <v>45799648</v>
      </c>
      <c r="G85" s="2043">
        <v>44079035</v>
      </c>
      <c r="H85" s="2043">
        <v>45799648</v>
      </c>
      <c r="I85" s="2043">
        <v>44079035</v>
      </c>
    </row>
    <row r="86" spans="1:9">
      <c r="A86" s="2043" t="s">
        <v>168</v>
      </c>
      <c r="B86" s="2043">
        <v>7536068749</v>
      </c>
      <c r="C86" s="2043">
        <v>7296286685</v>
      </c>
      <c r="D86" s="2043">
        <v>7536068749</v>
      </c>
      <c r="E86" s="2043">
        <v>7296286685</v>
      </c>
      <c r="F86" s="2043">
        <v>7536068749</v>
      </c>
      <c r="G86" s="2043">
        <v>7296286685</v>
      </c>
      <c r="H86" s="2043">
        <v>7536068749</v>
      </c>
      <c r="I86" s="2043">
        <v>7296286685</v>
      </c>
    </row>
    <row r="87" spans="1:9">
      <c r="A87" s="2043" t="s">
        <v>871</v>
      </c>
      <c r="B87" s="2043">
        <v>3083692784</v>
      </c>
      <c r="C87" s="2043">
        <v>3016691070</v>
      </c>
      <c r="D87" s="2043">
        <v>3083692784</v>
      </c>
      <c r="E87" s="2043">
        <v>3016691070</v>
      </c>
      <c r="F87" s="2043">
        <v>3416303214</v>
      </c>
      <c r="G87" s="2043">
        <v>3349301500</v>
      </c>
      <c r="H87" s="2043">
        <v>3416303214</v>
      </c>
      <c r="I87" s="2043">
        <v>3349301500</v>
      </c>
    </row>
    <row r="88" spans="1:9">
      <c r="A88" s="2043" t="s">
        <v>670</v>
      </c>
      <c r="B88" s="2043">
        <v>293270604</v>
      </c>
      <c r="C88" s="2043">
        <v>283575005</v>
      </c>
      <c r="D88" s="2043">
        <v>293270604</v>
      </c>
      <c r="E88" s="2043">
        <v>283575005</v>
      </c>
      <c r="F88" s="2043">
        <v>293270604</v>
      </c>
      <c r="G88" s="2043">
        <v>283575005</v>
      </c>
      <c r="H88" s="2043">
        <v>293270604</v>
      </c>
      <c r="I88" s="2043">
        <v>283575005</v>
      </c>
    </row>
    <row r="89" spans="1:9">
      <c r="A89" s="2043" t="s">
        <v>1087</v>
      </c>
      <c r="B89" s="2043">
        <v>13313351263</v>
      </c>
      <c r="C89" s="2043">
        <v>13188203312</v>
      </c>
      <c r="D89" s="2043">
        <v>13206424618</v>
      </c>
      <c r="E89" s="2043">
        <v>13081276667</v>
      </c>
      <c r="F89" s="2043">
        <v>16713906823</v>
      </c>
      <c r="G89" s="2043">
        <v>16588758872</v>
      </c>
      <c r="H89" s="2043">
        <v>16606980178</v>
      </c>
      <c r="I89" s="2043">
        <v>16481832227</v>
      </c>
    </row>
    <row r="90" spans="1:9">
      <c r="A90" s="2043" t="s">
        <v>1088</v>
      </c>
      <c r="B90" s="2043">
        <v>1923918333</v>
      </c>
      <c r="C90" s="2043">
        <v>1900302765</v>
      </c>
      <c r="D90" s="2043">
        <v>1891023487</v>
      </c>
      <c r="E90" s="2043">
        <v>1867407919</v>
      </c>
      <c r="F90" s="2043">
        <v>3476706093</v>
      </c>
      <c r="G90" s="2043">
        <v>3453090525</v>
      </c>
      <c r="H90" s="2043">
        <v>3443811247</v>
      </c>
      <c r="I90" s="2043">
        <v>3420195679</v>
      </c>
    </row>
    <row r="91" spans="1:9">
      <c r="A91" s="2043" t="s">
        <v>1350</v>
      </c>
      <c r="B91" s="2043">
        <v>1466707079</v>
      </c>
      <c r="C91" s="2043">
        <v>1419905929</v>
      </c>
      <c r="D91" s="2043">
        <v>1431025718</v>
      </c>
      <c r="E91" s="2043">
        <v>1384224568</v>
      </c>
      <c r="F91" s="2043">
        <v>1466707079</v>
      </c>
      <c r="G91" s="2043">
        <v>1419905929</v>
      </c>
      <c r="H91" s="2043">
        <v>1431025718</v>
      </c>
      <c r="I91" s="2043">
        <v>1384224568</v>
      </c>
    </row>
    <row r="92" spans="1:9">
      <c r="A92" s="2043" t="s">
        <v>193</v>
      </c>
      <c r="B92" s="2043">
        <v>8246366745</v>
      </c>
      <c r="C92" s="2043">
        <v>8007222456</v>
      </c>
      <c r="D92" s="2043">
        <v>8246366745</v>
      </c>
      <c r="E92" s="2043">
        <v>8007222456</v>
      </c>
      <c r="F92" s="2043">
        <v>8246366745</v>
      </c>
      <c r="G92" s="2043">
        <v>8007222456</v>
      </c>
      <c r="H92" s="2043">
        <v>8246366745</v>
      </c>
      <c r="I92" s="2043">
        <v>8007222456</v>
      </c>
    </row>
    <row r="93" spans="1:9">
      <c r="A93" s="2043" t="s">
        <v>1089</v>
      </c>
      <c r="B93" s="2043">
        <v>79238511</v>
      </c>
      <c r="C93" s="2043">
        <v>77168995</v>
      </c>
      <c r="D93" s="2043">
        <v>79238511</v>
      </c>
      <c r="E93" s="2043">
        <v>77168995</v>
      </c>
      <c r="F93" s="2043">
        <v>79238511</v>
      </c>
      <c r="G93" s="2043">
        <v>77168995</v>
      </c>
      <c r="H93" s="2043">
        <v>79238511</v>
      </c>
      <c r="I93" s="2043">
        <v>77168995</v>
      </c>
    </row>
    <row r="94" spans="1:9">
      <c r="A94" s="2043" t="s">
        <v>543</v>
      </c>
      <c r="B94" s="2043">
        <v>10808207668</v>
      </c>
      <c r="C94" s="2043">
        <v>10684417829</v>
      </c>
      <c r="D94" s="2043">
        <v>10808207668</v>
      </c>
      <c r="E94" s="2043">
        <v>10684417829</v>
      </c>
      <c r="F94" s="2043">
        <v>10808207668</v>
      </c>
      <c r="G94" s="2043">
        <v>10684417829</v>
      </c>
      <c r="H94" s="2043">
        <v>10808207668</v>
      </c>
      <c r="I94" s="2043">
        <v>10684417829</v>
      </c>
    </row>
    <row r="95" spans="1:9">
      <c r="A95" s="2043" t="s">
        <v>835</v>
      </c>
      <c r="B95" s="2043">
        <v>8758428274</v>
      </c>
      <c r="C95" s="2043">
        <v>8614761777</v>
      </c>
      <c r="D95" s="2043">
        <v>8758428274</v>
      </c>
      <c r="E95" s="2043">
        <v>8614761777</v>
      </c>
      <c r="F95" s="2043">
        <v>8948260634</v>
      </c>
      <c r="G95" s="2043">
        <v>8804594137</v>
      </c>
      <c r="H95" s="2043">
        <v>8948260634</v>
      </c>
      <c r="I95" s="2043">
        <v>8804594137</v>
      </c>
    </row>
    <row r="96" spans="1:9">
      <c r="A96" s="2043" t="s">
        <v>2408</v>
      </c>
      <c r="B96" s="2043">
        <v>97551881</v>
      </c>
      <c r="C96" s="2043">
        <v>95980914</v>
      </c>
      <c r="D96" s="2043">
        <v>97551881</v>
      </c>
      <c r="E96" s="2043">
        <v>95980914</v>
      </c>
      <c r="F96" s="2043">
        <v>97551881</v>
      </c>
      <c r="G96" s="2043">
        <v>95980914</v>
      </c>
      <c r="H96" s="2043">
        <v>97551881</v>
      </c>
      <c r="I96" s="2043">
        <v>95980914</v>
      </c>
    </row>
    <row r="97" spans="1:9">
      <c r="A97" s="2043" t="s">
        <v>378</v>
      </c>
      <c r="B97" s="2043">
        <v>704394696</v>
      </c>
      <c r="C97" s="2043">
        <v>685240967</v>
      </c>
      <c r="D97" s="2043">
        <v>690038416</v>
      </c>
      <c r="E97" s="2043">
        <v>670884687</v>
      </c>
      <c r="F97" s="2043">
        <v>755004696</v>
      </c>
      <c r="G97" s="2043">
        <v>735850967</v>
      </c>
      <c r="H97" s="2043">
        <v>740648416</v>
      </c>
      <c r="I97" s="2043">
        <v>721494687</v>
      </c>
    </row>
    <row r="98" spans="1:9">
      <c r="A98" s="2043" t="s">
        <v>379</v>
      </c>
      <c r="B98" s="2043">
        <v>96342442</v>
      </c>
      <c r="C98" s="2043">
        <v>94868614</v>
      </c>
      <c r="D98" s="2043">
        <v>96342442</v>
      </c>
      <c r="E98" s="2043">
        <v>94868614</v>
      </c>
      <c r="F98" s="2043">
        <v>96342442</v>
      </c>
      <c r="G98" s="2043">
        <v>94868614</v>
      </c>
      <c r="H98" s="2043">
        <v>96342442</v>
      </c>
      <c r="I98" s="2043">
        <v>94868614</v>
      </c>
    </row>
    <row r="99" spans="1:9">
      <c r="A99" s="2043" t="s">
        <v>380</v>
      </c>
      <c r="B99" s="2043">
        <v>8988909</v>
      </c>
      <c r="C99" s="2043">
        <v>8978909</v>
      </c>
      <c r="D99" s="2043">
        <v>8988909</v>
      </c>
      <c r="E99" s="2043">
        <v>8978909</v>
      </c>
      <c r="F99" s="2043">
        <v>8988909</v>
      </c>
      <c r="G99" s="2043">
        <v>8978909</v>
      </c>
      <c r="H99" s="2043">
        <v>8988909</v>
      </c>
      <c r="I99" s="2043">
        <v>8978909</v>
      </c>
    </row>
    <row r="100" spans="1:9">
      <c r="A100" s="2043" t="s">
        <v>381</v>
      </c>
      <c r="B100" s="2043">
        <v>158300372</v>
      </c>
      <c r="C100" s="2043">
        <v>156338853</v>
      </c>
      <c r="D100" s="2043">
        <v>158300372</v>
      </c>
      <c r="E100" s="2043">
        <v>156338853</v>
      </c>
      <c r="F100" s="2043">
        <v>337410862</v>
      </c>
      <c r="G100" s="2043">
        <v>335449343</v>
      </c>
      <c r="H100" s="2043">
        <v>337410862</v>
      </c>
      <c r="I100" s="2043">
        <v>335449343</v>
      </c>
    </row>
    <row r="101" spans="1:9">
      <c r="A101" s="2043" t="s">
        <v>628</v>
      </c>
      <c r="B101" s="2043">
        <v>564320124</v>
      </c>
      <c r="C101" s="2043">
        <v>553057231</v>
      </c>
      <c r="D101" s="2043">
        <v>564320124</v>
      </c>
      <c r="E101" s="2043">
        <v>553057231</v>
      </c>
      <c r="F101" s="2043">
        <v>564320124</v>
      </c>
      <c r="G101" s="2043">
        <v>553057231</v>
      </c>
      <c r="H101" s="2043">
        <v>564320124</v>
      </c>
      <c r="I101" s="2043">
        <v>553057231</v>
      </c>
    </row>
    <row r="102" spans="1:9">
      <c r="A102" s="2043" t="s">
        <v>629</v>
      </c>
      <c r="B102" s="2043">
        <v>402211961</v>
      </c>
      <c r="C102" s="2043">
        <v>387090052</v>
      </c>
      <c r="D102" s="2043">
        <v>402211961</v>
      </c>
      <c r="E102" s="2043">
        <v>387090052</v>
      </c>
      <c r="F102" s="2043">
        <v>402211961</v>
      </c>
      <c r="G102" s="2043">
        <v>387090052</v>
      </c>
      <c r="H102" s="2043">
        <v>402211961</v>
      </c>
      <c r="I102" s="2043">
        <v>387090052</v>
      </c>
    </row>
    <row r="103" spans="1:9">
      <c r="A103" s="2043" t="s">
        <v>630</v>
      </c>
      <c r="B103" s="2043">
        <v>1579983043</v>
      </c>
      <c r="C103" s="2043">
        <v>1541741975</v>
      </c>
      <c r="D103" s="2043">
        <v>1579983043</v>
      </c>
      <c r="E103" s="2043">
        <v>1541741975</v>
      </c>
      <c r="F103" s="2043">
        <v>1579983043</v>
      </c>
      <c r="G103" s="2043">
        <v>1541741975</v>
      </c>
      <c r="H103" s="2043">
        <v>1579983043</v>
      </c>
      <c r="I103" s="2043">
        <v>1541741975</v>
      </c>
    </row>
    <row r="104" spans="1:9">
      <c r="A104" s="2043" t="s">
        <v>829</v>
      </c>
      <c r="B104" s="2043">
        <v>77399846</v>
      </c>
      <c r="C104" s="2043">
        <v>74535298</v>
      </c>
      <c r="D104" s="2043">
        <v>77399846</v>
      </c>
      <c r="E104" s="2043">
        <v>74535298</v>
      </c>
      <c r="F104" s="2043">
        <v>123513946</v>
      </c>
      <c r="G104" s="2043">
        <v>120649398</v>
      </c>
      <c r="H104" s="2043">
        <v>123513946</v>
      </c>
      <c r="I104" s="2043">
        <v>120649398</v>
      </c>
    </row>
    <row r="105" spans="1:9">
      <c r="A105" s="2043" t="s">
        <v>2387</v>
      </c>
      <c r="B105" s="2043">
        <v>191860428</v>
      </c>
      <c r="C105" s="2043">
        <v>186314215</v>
      </c>
      <c r="D105" s="2043">
        <v>191860428</v>
      </c>
      <c r="E105" s="2043">
        <v>186314215</v>
      </c>
      <c r="F105" s="2043">
        <v>191860428</v>
      </c>
      <c r="G105" s="2043">
        <v>186314215</v>
      </c>
      <c r="H105" s="2043">
        <v>191860428</v>
      </c>
      <c r="I105" s="2043">
        <v>186314215</v>
      </c>
    </row>
    <row r="106" spans="1:9">
      <c r="A106" s="2043" t="s">
        <v>1116</v>
      </c>
      <c r="B106" s="2043">
        <v>60676932</v>
      </c>
      <c r="C106" s="2043">
        <v>58583701</v>
      </c>
      <c r="D106" s="2043">
        <v>60676932</v>
      </c>
      <c r="E106" s="2043">
        <v>58583701</v>
      </c>
      <c r="F106" s="2043">
        <v>60676932</v>
      </c>
      <c r="G106" s="2043">
        <v>58583701</v>
      </c>
      <c r="H106" s="2043">
        <v>60676932</v>
      </c>
      <c r="I106" s="2043">
        <v>58583701</v>
      </c>
    </row>
    <row r="107" spans="1:9">
      <c r="A107" s="2043" t="s">
        <v>671</v>
      </c>
      <c r="B107" s="2043">
        <v>129650670</v>
      </c>
      <c r="C107" s="2043">
        <v>127311654</v>
      </c>
      <c r="D107" s="2043">
        <v>129650670</v>
      </c>
      <c r="E107" s="2043">
        <v>127311654</v>
      </c>
      <c r="F107" s="2043">
        <v>129650670</v>
      </c>
      <c r="G107" s="2043">
        <v>127311654</v>
      </c>
      <c r="H107" s="2043">
        <v>129650670</v>
      </c>
      <c r="I107" s="2043">
        <v>127311654</v>
      </c>
    </row>
    <row r="108" spans="1:9">
      <c r="A108" s="2043" t="s">
        <v>724</v>
      </c>
      <c r="B108" s="2043">
        <v>352126874</v>
      </c>
      <c r="C108" s="2043">
        <v>339259857</v>
      </c>
      <c r="D108" s="2043">
        <v>352126874</v>
      </c>
      <c r="E108" s="2043">
        <v>339259857</v>
      </c>
      <c r="F108" s="2043">
        <v>352126874</v>
      </c>
      <c r="G108" s="2043">
        <v>339259857</v>
      </c>
      <c r="H108" s="2043">
        <v>352126874</v>
      </c>
      <c r="I108" s="2043">
        <v>339259857</v>
      </c>
    </row>
    <row r="109" spans="1:9">
      <c r="A109" s="2043" t="s">
        <v>631</v>
      </c>
      <c r="B109" s="2043">
        <v>1299165332</v>
      </c>
      <c r="C109" s="2043">
        <v>1276576549</v>
      </c>
      <c r="D109" s="2043">
        <v>1299165332</v>
      </c>
      <c r="E109" s="2043">
        <v>1276576549</v>
      </c>
      <c r="F109" s="2043">
        <v>1299165332</v>
      </c>
      <c r="G109" s="2043">
        <v>1276576549</v>
      </c>
      <c r="H109" s="2043">
        <v>1299165332</v>
      </c>
      <c r="I109" s="2043">
        <v>1276576549</v>
      </c>
    </row>
    <row r="110" spans="1:9">
      <c r="A110" s="2043" t="s">
        <v>632</v>
      </c>
      <c r="B110" s="2043">
        <v>374232426</v>
      </c>
      <c r="C110" s="2043">
        <v>363770637</v>
      </c>
      <c r="D110" s="2043">
        <v>374232426</v>
      </c>
      <c r="E110" s="2043">
        <v>363770637</v>
      </c>
      <c r="F110" s="2043">
        <v>374232426</v>
      </c>
      <c r="G110" s="2043">
        <v>363770637</v>
      </c>
      <c r="H110" s="2043">
        <v>374232426</v>
      </c>
      <c r="I110" s="2043">
        <v>363770637</v>
      </c>
    </row>
    <row r="111" spans="1:9">
      <c r="A111" s="2043" t="s">
        <v>633</v>
      </c>
      <c r="B111" s="2043">
        <v>333175164</v>
      </c>
      <c r="C111" s="2043">
        <v>327176666</v>
      </c>
      <c r="D111" s="2043">
        <v>333175164</v>
      </c>
      <c r="E111" s="2043">
        <v>327176666</v>
      </c>
      <c r="F111" s="2043">
        <v>333175164</v>
      </c>
      <c r="G111" s="2043">
        <v>327176666</v>
      </c>
      <c r="H111" s="2043">
        <v>333175164</v>
      </c>
      <c r="I111" s="2043">
        <v>327176666</v>
      </c>
    </row>
    <row r="112" spans="1:9">
      <c r="A112" s="2043" t="s">
        <v>1778</v>
      </c>
      <c r="B112" s="2043">
        <v>2911533874</v>
      </c>
      <c r="C112" s="2043">
        <v>2850682037</v>
      </c>
      <c r="D112" s="2043">
        <v>2911533874</v>
      </c>
      <c r="E112" s="2043">
        <v>2850682037</v>
      </c>
      <c r="F112" s="2043">
        <v>2911533874</v>
      </c>
      <c r="G112" s="2043">
        <v>2850682037</v>
      </c>
      <c r="H112" s="2043">
        <v>2911533874</v>
      </c>
      <c r="I112" s="2043">
        <v>2850682037</v>
      </c>
    </row>
    <row r="113" spans="1:9">
      <c r="A113" s="2043" t="s">
        <v>331</v>
      </c>
      <c r="B113" s="2043">
        <v>4313848968</v>
      </c>
      <c r="C113" s="2043">
        <v>4253794700</v>
      </c>
      <c r="D113" s="2043">
        <v>4313848968</v>
      </c>
      <c r="E113" s="2043">
        <v>4253794700</v>
      </c>
      <c r="F113" s="2043">
        <v>4313848968</v>
      </c>
      <c r="G113" s="2043">
        <v>4253794700</v>
      </c>
      <c r="H113" s="2043">
        <v>4313848968</v>
      </c>
      <c r="I113" s="2043">
        <v>4253794700</v>
      </c>
    </row>
    <row r="114" spans="1:9">
      <c r="A114" s="2043" t="s">
        <v>431</v>
      </c>
      <c r="B114" s="2043">
        <v>1700687941</v>
      </c>
      <c r="C114" s="2043">
        <v>1656621956</v>
      </c>
      <c r="D114" s="2043">
        <v>1700687941</v>
      </c>
      <c r="E114" s="2043">
        <v>1656621956</v>
      </c>
      <c r="F114" s="2043">
        <v>1700687941</v>
      </c>
      <c r="G114" s="2043">
        <v>1656621956</v>
      </c>
      <c r="H114" s="2043">
        <v>1700687941</v>
      </c>
      <c r="I114" s="2043">
        <v>1656621956</v>
      </c>
    </row>
    <row r="115" spans="1:9">
      <c r="A115" s="2043" t="s">
        <v>1084</v>
      </c>
      <c r="B115" s="2043">
        <v>551235723</v>
      </c>
      <c r="C115" s="2043">
        <v>538752656</v>
      </c>
      <c r="D115" s="2043">
        <v>551235723</v>
      </c>
      <c r="E115" s="2043">
        <v>538752656</v>
      </c>
      <c r="F115" s="2043">
        <v>551235723</v>
      </c>
      <c r="G115" s="2043">
        <v>538752656</v>
      </c>
      <c r="H115" s="2043">
        <v>551235723</v>
      </c>
      <c r="I115" s="2043">
        <v>538752656</v>
      </c>
    </row>
    <row r="116" spans="1:9">
      <c r="A116" s="2043" t="s">
        <v>2181</v>
      </c>
      <c r="B116" s="2043">
        <v>162194472</v>
      </c>
      <c r="C116" s="2043">
        <v>160128867</v>
      </c>
      <c r="D116" s="2043">
        <v>162194472</v>
      </c>
      <c r="E116" s="2043">
        <v>160128867</v>
      </c>
      <c r="F116" s="2043">
        <v>162194472</v>
      </c>
      <c r="G116" s="2043">
        <v>160128867</v>
      </c>
      <c r="H116" s="2043">
        <v>162194472</v>
      </c>
      <c r="I116" s="2043">
        <v>160128867</v>
      </c>
    </row>
    <row r="117" spans="1:9">
      <c r="A117" s="2043" t="s">
        <v>1283</v>
      </c>
      <c r="B117" s="2043">
        <v>3713714994</v>
      </c>
      <c r="C117" s="2043">
        <v>3670983969</v>
      </c>
      <c r="D117" s="2043">
        <v>3654415522</v>
      </c>
      <c r="E117" s="2043">
        <v>3611684497</v>
      </c>
      <c r="F117" s="2043">
        <v>4095708364</v>
      </c>
      <c r="G117" s="2043">
        <v>4052977339</v>
      </c>
      <c r="H117" s="2043">
        <v>4036408892</v>
      </c>
      <c r="I117" s="2043">
        <v>3993677867</v>
      </c>
    </row>
    <row r="118" spans="1:9">
      <c r="A118" s="2043" t="s">
        <v>2216</v>
      </c>
      <c r="B118" s="2043">
        <v>172150831</v>
      </c>
      <c r="C118" s="2043">
        <v>166308967</v>
      </c>
      <c r="D118" s="2043">
        <v>172150831</v>
      </c>
      <c r="E118" s="2043">
        <v>166308967</v>
      </c>
      <c r="F118" s="2043">
        <v>172150831</v>
      </c>
      <c r="G118" s="2043">
        <v>166308967</v>
      </c>
      <c r="H118" s="2043">
        <v>172150831</v>
      </c>
      <c r="I118" s="2043">
        <v>166308967</v>
      </c>
    </row>
    <row r="119" spans="1:9">
      <c r="A119" s="2043" t="s">
        <v>672</v>
      </c>
      <c r="B119" s="2043">
        <v>539633848</v>
      </c>
      <c r="C119" s="2043">
        <v>519314644</v>
      </c>
      <c r="D119" s="2043">
        <v>539633848</v>
      </c>
      <c r="E119" s="2043">
        <v>519314644</v>
      </c>
      <c r="F119" s="2043">
        <v>539633848</v>
      </c>
      <c r="G119" s="2043">
        <v>519314644</v>
      </c>
      <c r="H119" s="2043">
        <v>539633848</v>
      </c>
      <c r="I119" s="2043">
        <v>519314644</v>
      </c>
    </row>
    <row r="120" spans="1:9">
      <c r="A120" s="2043" t="s">
        <v>139</v>
      </c>
      <c r="B120" s="2043">
        <v>239246436</v>
      </c>
      <c r="C120" s="2043">
        <v>233187026</v>
      </c>
      <c r="D120" s="2043">
        <v>239246436</v>
      </c>
      <c r="E120" s="2043">
        <v>233187026</v>
      </c>
      <c r="F120" s="2043">
        <v>239246436</v>
      </c>
      <c r="G120" s="2043">
        <v>233187026</v>
      </c>
      <c r="H120" s="2043">
        <v>239246436</v>
      </c>
      <c r="I120" s="2043">
        <v>233187026</v>
      </c>
    </row>
    <row r="121" spans="1:9">
      <c r="A121" s="2043" t="s">
        <v>1726</v>
      </c>
      <c r="B121" s="2043">
        <v>278091667</v>
      </c>
      <c r="C121" s="2043">
        <v>271602364</v>
      </c>
      <c r="D121" s="2043">
        <v>278091667</v>
      </c>
      <c r="E121" s="2043">
        <v>271602364</v>
      </c>
      <c r="F121" s="2043">
        <v>278091667</v>
      </c>
      <c r="G121" s="2043">
        <v>271602364</v>
      </c>
      <c r="H121" s="2043">
        <v>278091667</v>
      </c>
      <c r="I121" s="2043">
        <v>271602364</v>
      </c>
    </row>
    <row r="122" spans="1:9">
      <c r="A122" s="2043" t="s">
        <v>834</v>
      </c>
      <c r="B122" s="2043">
        <v>6405115414</v>
      </c>
      <c r="C122" s="2043">
        <v>6176269033</v>
      </c>
      <c r="D122" s="2043">
        <v>6405115414</v>
      </c>
      <c r="E122" s="2043">
        <v>6176269033</v>
      </c>
      <c r="F122" s="2043">
        <v>6405115414</v>
      </c>
      <c r="G122" s="2043">
        <v>6176269033</v>
      </c>
      <c r="H122" s="2043">
        <v>6405115414</v>
      </c>
      <c r="I122" s="2043">
        <v>6176269033</v>
      </c>
    </row>
    <row r="123" spans="1:9">
      <c r="A123" s="2043" t="s">
        <v>1756</v>
      </c>
      <c r="B123" s="2043">
        <v>3939727547</v>
      </c>
      <c r="C123" s="2043">
        <v>3822710505</v>
      </c>
      <c r="D123" s="2043">
        <v>3939727547</v>
      </c>
      <c r="E123" s="2043">
        <v>3822710505</v>
      </c>
      <c r="F123" s="2043">
        <v>3939727547</v>
      </c>
      <c r="G123" s="2043">
        <v>3822710505</v>
      </c>
      <c r="H123" s="2043">
        <v>3939727547</v>
      </c>
      <c r="I123" s="2043">
        <v>3822710505</v>
      </c>
    </row>
    <row r="124" spans="1:9">
      <c r="A124" s="2043" t="s">
        <v>55</v>
      </c>
      <c r="B124" s="2043">
        <v>454126536</v>
      </c>
      <c r="C124" s="2043">
        <v>435607128</v>
      </c>
      <c r="D124" s="2043">
        <v>454126536</v>
      </c>
      <c r="E124" s="2043">
        <v>435607128</v>
      </c>
      <c r="F124" s="2043">
        <v>454126536</v>
      </c>
      <c r="G124" s="2043">
        <v>435607128</v>
      </c>
      <c r="H124" s="2043">
        <v>454126536</v>
      </c>
      <c r="I124" s="2043">
        <v>435607128</v>
      </c>
    </row>
    <row r="125" spans="1:9">
      <c r="A125" s="2043" t="s">
        <v>2159</v>
      </c>
      <c r="B125" s="2043">
        <v>2152594400</v>
      </c>
      <c r="C125" s="2043">
        <v>2089856835</v>
      </c>
      <c r="D125" s="2043">
        <v>2152594400</v>
      </c>
      <c r="E125" s="2043">
        <v>2089856835</v>
      </c>
      <c r="F125" s="2043">
        <v>2341195910</v>
      </c>
      <c r="G125" s="2043">
        <v>2278458345</v>
      </c>
      <c r="H125" s="2043">
        <v>2341195910</v>
      </c>
      <c r="I125" s="2043">
        <v>2278458345</v>
      </c>
    </row>
    <row r="126" spans="1:9">
      <c r="A126" s="2043" t="s">
        <v>1585</v>
      </c>
      <c r="B126" s="2043">
        <v>3915039183</v>
      </c>
      <c r="C126" s="2043">
        <v>3892585691</v>
      </c>
      <c r="D126" s="2043">
        <v>3915039183</v>
      </c>
      <c r="E126" s="2043">
        <v>3892585691</v>
      </c>
      <c r="F126" s="2043">
        <v>3915039183</v>
      </c>
      <c r="G126" s="2043">
        <v>3892585691</v>
      </c>
      <c r="H126" s="2043">
        <v>3915039183</v>
      </c>
      <c r="I126" s="2043">
        <v>3892585691</v>
      </c>
    </row>
    <row r="127" spans="1:9">
      <c r="A127" s="2043" t="s">
        <v>673</v>
      </c>
      <c r="B127" s="2043">
        <v>335963999</v>
      </c>
      <c r="C127" s="2043">
        <v>324241382</v>
      </c>
      <c r="D127" s="2043">
        <v>335963999</v>
      </c>
      <c r="E127" s="2043">
        <v>324241382</v>
      </c>
      <c r="F127" s="2043">
        <v>357803959</v>
      </c>
      <c r="G127" s="2043">
        <v>346081342</v>
      </c>
      <c r="H127" s="2043">
        <v>357803959</v>
      </c>
      <c r="I127" s="2043">
        <v>346081342</v>
      </c>
    </row>
    <row r="128" spans="1:9">
      <c r="A128" s="2043" t="s">
        <v>1239</v>
      </c>
      <c r="B128" s="2043">
        <v>1211115000</v>
      </c>
      <c r="C128" s="2043">
        <v>1160271909</v>
      </c>
      <c r="D128" s="2043">
        <v>1211115000</v>
      </c>
      <c r="E128" s="2043">
        <v>1160271909</v>
      </c>
      <c r="F128" s="2043">
        <v>1211115000</v>
      </c>
      <c r="G128" s="2043">
        <v>1160271909</v>
      </c>
      <c r="H128" s="2043">
        <v>1211115000</v>
      </c>
      <c r="I128" s="2043">
        <v>1160271909</v>
      </c>
    </row>
    <row r="129" spans="1:9">
      <c r="A129" s="2043" t="s">
        <v>674</v>
      </c>
      <c r="B129" s="2043">
        <v>70152007</v>
      </c>
      <c r="C129" s="2043">
        <v>67591380</v>
      </c>
      <c r="D129" s="2043">
        <v>70152007</v>
      </c>
      <c r="E129" s="2043">
        <v>67591380</v>
      </c>
      <c r="F129" s="2043">
        <v>70152007</v>
      </c>
      <c r="G129" s="2043">
        <v>67591380</v>
      </c>
      <c r="H129" s="2043">
        <v>70152007</v>
      </c>
      <c r="I129" s="2043">
        <v>67591380</v>
      </c>
    </row>
    <row r="130" spans="1:9">
      <c r="A130" s="2043" t="s">
        <v>464</v>
      </c>
      <c r="B130" s="2043">
        <v>101167561</v>
      </c>
      <c r="C130" s="2043">
        <v>95345750</v>
      </c>
      <c r="D130" s="2043">
        <v>101167561</v>
      </c>
      <c r="E130" s="2043">
        <v>95345750</v>
      </c>
      <c r="F130" s="2043">
        <v>101167561</v>
      </c>
      <c r="G130" s="2043">
        <v>95345750</v>
      </c>
      <c r="H130" s="2043">
        <v>101167561</v>
      </c>
      <c r="I130" s="2043">
        <v>95345750</v>
      </c>
    </row>
    <row r="131" spans="1:9">
      <c r="A131" s="2043" t="s">
        <v>884</v>
      </c>
      <c r="B131" s="2043">
        <v>858566287</v>
      </c>
      <c r="C131" s="2043">
        <v>832111001</v>
      </c>
      <c r="D131" s="2043">
        <v>858566287</v>
      </c>
      <c r="E131" s="2043">
        <v>832111001</v>
      </c>
      <c r="F131" s="2043">
        <v>858566287</v>
      </c>
      <c r="G131" s="2043">
        <v>832111001</v>
      </c>
      <c r="H131" s="2043">
        <v>858566287</v>
      </c>
      <c r="I131" s="2043">
        <v>832111001</v>
      </c>
    </row>
    <row r="132" spans="1:9">
      <c r="A132" s="2043" t="s">
        <v>885</v>
      </c>
      <c r="B132" s="2043">
        <v>119888834</v>
      </c>
      <c r="C132" s="2043">
        <v>117995294</v>
      </c>
      <c r="D132" s="2043">
        <v>119888834</v>
      </c>
      <c r="E132" s="2043">
        <v>117995294</v>
      </c>
      <c r="F132" s="2043">
        <v>414609054</v>
      </c>
      <c r="G132" s="2043">
        <v>412715514</v>
      </c>
      <c r="H132" s="2043">
        <v>414609054</v>
      </c>
      <c r="I132" s="2043">
        <v>412715514</v>
      </c>
    </row>
    <row r="133" spans="1:9">
      <c r="A133" s="2043" t="s">
        <v>731</v>
      </c>
      <c r="B133" s="2043">
        <v>547521148</v>
      </c>
      <c r="C133" s="2043">
        <v>538845498</v>
      </c>
      <c r="D133" s="2043">
        <v>536910843</v>
      </c>
      <c r="E133" s="2043">
        <v>528235193</v>
      </c>
      <c r="F133" s="2043">
        <v>768300148</v>
      </c>
      <c r="G133" s="2043">
        <v>759624498</v>
      </c>
      <c r="H133" s="2043">
        <v>757689843</v>
      </c>
      <c r="I133" s="2043">
        <v>749014193</v>
      </c>
    </row>
    <row r="134" spans="1:9">
      <c r="A134" s="2043" t="s">
        <v>1706</v>
      </c>
      <c r="B134" s="2043">
        <v>245490831</v>
      </c>
      <c r="C134" s="2043">
        <v>241591541</v>
      </c>
      <c r="D134" s="2043">
        <v>243744501</v>
      </c>
      <c r="E134" s="2043">
        <v>239845211</v>
      </c>
      <c r="F134" s="2043">
        <v>358495311</v>
      </c>
      <c r="G134" s="2043">
        <v>354596021</v>
      </c>
      <c r="H134" s="2043">
        <v>356748981</v>
      </c>
      <c r="I134" s="2043">
        <v>352849691</v>
      </c>
    </row>
    <row r="135" spans="1:9">
      <c r="A135" s="2043" t="s">
        <v>1629</v>
      </c>
      <c r="B135" s="2043">
        <v>574171810</v>
      </c>
      <c r="C135" s="2043">
        <v>549680883</v>
      </c>
      <c r="D135" s="2043">
        <v>574171810</v>
      </c>
      <c r="E135" s="2043">
        <v>549680883</v>
      </c>
      <c r="F135" s="2043">
        <v>574171810</v>
      </c>
      <c r="G135" s="2043">
        <v>549680883</v>
      </c>
      <c r="H135" s="2043">
        <v>574171810</v>
      </c>
      <c r="I135" s="2043">
        <v>549680883</v>
      </c>
    </row>
    <row r="136" spans="1:9">
      <c r="A136" s="2043" t="s">
        <v>1630</v>
      </c>
      <c r="B136" s="2043">
        <v>73300569</v>
      </c>
      <c r="C136" s="2043">
        <v>69857073</v>
      </c>
      <c r="D136" s="2043">
        <v>73300569</v>
      </c>
      <c r="E136" s="2043">
        <v>69857073</v>
      </c>
      <c r="F136" s="2043">
        <v>73300569</v>
      </c>
      <c r="G136" s="2043">
        <v>69857073</v>
      </c>
      <c r="H136" s="2043">
        <v>73300569</v>
      </c>
      <c r="I136" s="2043">
        <v>69857073</v>
      </c>
    </row>
    <row r="137" spans="1:9">
      <c r="A137" s="2043" t="s">
        <v>700</v>
      </c>
      <c r="B137" s="2043">
        <v>289880673</v>
      </c>
      <c r="C137" s="2043">
        <v>279044035</v>
      </c>
      <c r="D137" s="2043">
        <v>289880673</v>
      </c>
      <c r="E137" s="2043">
        <v>279044035</v>
      </c>
      <c r="F137" s="2043">
        <v>289880673</v>
      </c>
      <c r="G137" s="2043">
        <v>279044035</v>
      </c>
      <c r="H137" s="2043">
        <v>289880673</v>
      </c>
      <c r="I137" s="2043">
        <v>279044035</v>
      </c>
    </row>
    <row r="138" spans="1:9">
      <c r="A138" s="2043" t="s">
        <v>701</v>
      </c>
      <c r="B138" s="2043">
        <v>268469183</v>
      </c>
      <c r="C138" s="2043">
        <v>254817035</v>
      </c>
      <c r="D138" s="2043">
        <v>268469183</v>
      </c>
      <c r="E138" s="2043">
        <v>254817035</v>
      </c>
      <c r="F138" s="2043">
        <v>268469183</v>
      </c>
      <c r="G138" s="2043">
        <v>254817035</v>
      </c>
      <c r="H138" s="2043">
        <v>268469183</v>
      </c>
      <c r="I138" s="2043">
        <v>254817035</v>
      </c>
    </row>
    <row r="139" spans="1:9">
      <c r="A139" s="2043" t="s">
        <v>1771</v>
      </c>
      <c r="B139" s="2043">
        <v>39823451</v>
      </c>
      <c r="C139" s="2043">
        <v>37919585</v>
      </c>
      <c r="D139" s="2043">
        <v>39823451</v>
      </c>
      <c r="E139" s="2043">
        <v>37919585</v>
      </c>
      <c r="F139" s="2043">
        <v>39823451</v>
      </c>
      <c r="G139" s="2043">
        <v>37919585</v>
      </c>
      <c r="H139" s="2043">
        <v>39823451</v>
      </c>
      <c r="I139" s="2043">
        <v>37919585</v>
      </c>
    </row>
    <row r="140" spans="1:9">
      <c r="A140" s="2043" t="s">
        <v>702</v>
      </c>
      <c r="B140" s="2043">
        <v>525105525</v>
      </c>
      <c r="C140" s="2043">
        <v>513053101</v>
      </c>
      <c r="D140" s="2043">
        <v>513646445</v>
      </c>
      <c r="E140" s="2043">
        <v>501594021</v>
      </c>
      <c r="F140" s="2043">
        <v>525105525</v>
      </c>
      <c r="G140" s="2043">
        <v>513053101</v>
      </c>
      <c r="H140" s="2043">
        <v>513646445</v>
      </c>
      <c r="I140" s="2043">
        <v>501594021</v>
      </c>
    </row>
    <row r="141" spans="1:9">
      <c r="A141" s="2043" t="s">
        <v>1845</v>
      </c>
      <c r="B141" s="2043">
        <v>48912141</v>
      </c>
      <c r="C141" s="2043">
        <v>45950493</v>
      </c>
      <c r="D141" s="2043">
        <v>48912141</v>
      </c>
      <c r="E141" s="2043">
        <v>45950493</v>
      </c>
      <c r="F141" s="2043">
        <v>48912141</v>
      </c>
      <c r="G141" s="2043">
        <v>45950493</v>
      </c>
      <c r="H141" s="2043">
        <v>48912141</v>
      </c>
      <c r="I141" s="2043">
        <v>45950493</v>
      </c>
    </row>
    <row r="142" spans="1:9">
      <c r="A142" s="2043" t="s">
        <v>1846</v>
      </c>
      <c r="B142" s="2043">
        <v>297563888</v>
      </c>
      <c r="C142" s="2043">
        <v>290000068</v>
      </c>
      <c r="D142" s="2043">
        <v>297563888</v>
      </c>
      <c r="E142" s="2043">
        <v>290000068</v>
      </c>
      <c r="F142" s="2043">
        <v>779162938</v>
      </c>
      <c r="G142" s="2043">
        <v>771599118</v>
      </c>
      <c r="H142" s="2043">
        <v>779162938</v>
      </c>
      <c r="I142" s="2043">
        <v>771599118</v>
      </c>
    </row>
    <row r="143" spans="1:9">
      <c r="A143" s="2043" t="s">
        <v>2292</v>
      </c>
      <c r="B143" s="2043">
        <v>73172224</v>
      </c>
      <c r="C143" s="2043">
        <v>71563464</v>
      </c>
      <c r="D143" s="2043">
        <v>73172224</v>
      </c>
      <c r="E143" s="2043">
        <v>71563464</v>
      </c>
      <c r="F143" s="2043">
        <v>73172224</v>
      </c>
      <c r="G143" s="2043">
        <v>71563464</v>
      </c>
      <c r="H143" s="2043">
        <v>73172224</v>
      </c>
      <c r="I143" s="2043">
        <v>71563464</v>
      </c>
    </row>
    <row r="144" spans="1:9">
      <c r="A144" s="2043" t="s">
        <v>2398</v>
      </c>
      <c r="B144" s="2043">
        <v>73045143</v>
      </c>
      <c r="C144" s="2043">
        <v>71265133</v>
      </c>
      <c r="D144" s="2043">
        <v>73045143</v>
      </c>
      <c r="E144" s="2043">
        <v>71265133</v>
      </c>
      <c r="F144" s="2043">
        <v>73045143</v>
      </c>
      <c r="G144" s="2043">
        <v>71265133</v>
      </c>
      <c r="H144" s="2043">
        <v>73045143</v>
      </c>
      <c r="I144" s="2043">
        <v>71265133</v>
      </c>
    </row>
    <row r="145" spans="1:9">
      <c r="A145" s="2043" t="s">
        <v>1548</v>
      </c>
      <c r="B145" s="2043">
        <v>616284104</v>
      </c>
      <c r="C145" s="2043">
        <v>599355994</v>
      </c>
      <c r="D145" s="2043">
        <v>593266169</v>
      </c>
      <c r="E145" s="2043">
        <v>576338059</v>
      </c>
      <c r="F145" s="2043">
        <v>616284104</v>
      </c>
      <c r="G145" s="2043">
        <v>599355994</v>
      </c>
      <c r="H145" s="2043">
        <v>593266169</v>
      </c>
      <c r="I145" s="2043">
        <v>576338059</v>
      </c>
    </row>
    <row r="146" spans="1:9">
      <c r="A146" s="2043" t="s">
        <v>2293</v>
      </c>
      <c r="B146" s="2043">
        <v>5890938399</v>
      </c>
      <c r="C146" s="2043">
        <v>5832907219</v>
      </c>
      <c r="D146" s="2043">
        <v>5739012339</v>
      </c>
      <c r="E146" s="2043">
        <v>5680981159</v>
      </c>
      <c r="F146" s="2043">
        <v>11884096388</v>
      </c>
      <c r="G146" s="2043">
        <v>11826065208</v>
      </c>
      <c r="H146" s="2043">
        <v>11732170328</v>
      </c>
      <c r="I146" s="2043">
        <v>11674139148</v>
      </c>
    </row>
    <row r="147" spans="1:9">
      <c r="A147" s="2043" t="s">
        <v>270</v>
      </c>
      <c r="B147" s="2043">
        <v>328330780</v>
      </c>
      <c r="C147" s="2043">
        <v>316121670</v>
      </c>
      <c r="D147" s="2043">
        <v>312861045</v>
      </c>
      <c r="E147" s="2043">
        <v>300651935</v>
      </c>
      <c r="F147" s="2043">
        <v>328330780</v>
      </c>
      <c r="G147" s="2043">
        <v>316121670</v>
      </c>
      <c r="H147" s="2043">
        <v>312861045</v>
      </c>
      <c r="I147" s="2043">
        <v>300651935</v>
      </c>
    </row>
    <row r="148" spans="1:9">
      <c r="A148" s="2043" t="s">
        <v>1383</v>
      </c>
      <c r="B148" s="2043">
        <v>156241234</v>
      </c>
      <c r="C148" s="2043">
        <v>150919219</v>
      </c>
      <c r="D148" s="2043">
        <v>156241234</v>
      </c>
      <c r="E148" s="2043">
        <v>150919219</v>
      </c>
      <c r="F148" s="2043">
        <v>156241234</v>
      </c>
      <c r="G148" s="2043">
        <v>150919219</v>
      </c>
      <c r="H148" s="2043">
        <v>156241234</v>
      </c>
      <c r="I148" s="2043">
        <v>150919219</v>
      </c>
    </row>
    <row r="149" spans="1:9">
      <c r="A149" s="2043" t="s">
        <v>2401</v>
      </c>
      <c r="B149" s="2043">
        <v>72772565</v>
      </c>
      <c r="C149" s="2043">
        <v>70276931</v>
      </c>
      <c r="D149" s="2043">
        <v>72772565</v>
      </c>
      <c r="E149" s="2043">
        <v>70276931</v>
      </c>
      <c r="F149" s="2043">
        <v>72772565</v>
      </c>
      <c r="G149" s="2043">
        <v>70276931</v>
      </c>
      <c r="H149" s="2043">
        <v>72772565</v>
      </c>
      <c r="I149" s="2043">
        <v>70276931</v>
      </c>
    </row>
    <row r="150" spans="1:9">
      <c r="A150" s="2043" t="s">
        <v>1384</v>
      </c>
      <c r="B150" s="2043">
        <v>99478535</v>
      </c>
      <c r="C150" s="2043">
        <v>96326764</v>
      </c>
      <c r="D150" s="2043">
        <v>99478535</v>
      </c>
      <c r="E150" s="2043">
        <v>96326764</v>
      </c>
      <c r="F150" s="2043">
        <v>99478535</v>
      </c>
      <c r="G150" s="2043">
        <v>96326764</v>
      </c>
      <c r="H150" s="2043">
        <v>99478535</v>
      </c>
      <c r="I150" s="2043">
        <v>96326764</v>
      </c>
    </row>
    <row r="151" spans="1:9">
      <c r="A151" s="2043" t="s">
        <v>69</v>
      </c>
      <c r="B151" s="2043">
        <v>434748099</v>
      </c>
      <c r="C151" s="2043">
        <v>422277417</v>
      </c>
      <c r="D151" s="2043">
        <v>434748099</v>
      </c>
      <c r="E151" s="2043">
        <v>422277417</v>
      </c>
      <c r="F151" s="2043">
        <v>434748099</v>
      </c>
      <c r="G151" s="2043">
        <v>422277417</v>
      </c>
      <c r="H151" s="2043">
        <v>434748099</v>
      </c>
      <c r="I151" s="2043">
        <v>422277417</v>
      </c>
    </row>
    <row r="152" spans="1:9">
      <c r="A152" s="2043" t="s">
        <v>2045</v>
      </c>
      <c r="B152" s="2043">
        <v>410914638</v>
      </c>
      <c r="C152" s="2043">
        <v>398815588</v>
      </c>
      <c r="D152" s="2043">
        <v>410914638</v>
      </c>
      <c r="E152" s="2043">
        <v>398815588</v>
      </c>
      <c r="F152" s="2043">
        <v>410914638</v>
      </c>
      <c r="G152" s="2043">
        <v>398815588</v>
      </c>
      <c r="H152" s="2043">
        <v>410914638</v>
      </c>
      <c r="I152" s="2043">
        <v>398815588</v>
      </c>
    </row>
    <row r="153" spans="1:9">
      <c r="A153" s="2043" t="s">
        <v>675</v>
      </c>
      <c r="B153" s="2043">
        <v>150448283</v>
      </c>
      <c r="C153" s="2043">
        <v>143436993</v>
      </c>
      <c r="D153" s="2043">
        <v>150448283</v>
      </c>
      <c r="E153" s="2043">
        <v>143436993</v>
      </c>
      <c r="F153" s="2043">
        <v>150448283</v>
      </c>
      <c r="G153" s="2043">
        <v>143436993</v>
      </c>
      <c r="H153" s="2043">
        <v>150448283</v>
      </c>
      <c r="I153" s="2043">
        <v>143436993</v>
      </c>
    </row>
    <row r="154" spans="1:9">
      <c r="A154" s="2043" t="s">
        <v>2046</v>
      </c>
      <c r="B154" s="2043">
        <v>136764984</v>
      </c>
      <c r="C154" s="2043">
        <v>135185184</v>
      </c>
      <c r="D154" s="2043">
        <v>136764984</v>
      </c>
      <c r="E154" s="2043">
        <v>135185184</v>
      </c>
      <c r="F154" s="2043">
        <v>136764984</v>
      </c>
      <c r="G154" s="2043">
        <v>135185184</v>
      </c>
      <c r="H154" s="2043">
        <v>136764984</v>
      </c>
      <c r="I154" s="2043">
        <v>135185184</v>
      </c>
    </row>
    <row r="155" spans="1:9">
      <c r="A155" s="2043" t="s">
        <v>1576</v>
      </c>
      <c r="B155" s="2043">
        <v>89105583</v>
      </c>
      <c r="C155" s="2043">
        <v>86787823</v>
      </c>
      <c r="D155" s="2043">
        <v>89105583</v>
      </c>
      <c r="E155" s="2043">
        <v>86787823</v>
      </c>
      <c r="F155" s="2043">
        <v>271812213</v>
      </c>
      <c r="G155" s="2043">
        <v>269494453</v>
      </c>
      <c r="H155" s="2043">
        <v>271812213</v>
      </c>
      <c r="I155" s="2043">
        <v>269494453</v>
      </c>
    </row>
    <row r="156" spans="1:9">
      <c r="A156" s="2043" t="s">
        <v>1577</v>
      </c>
      <c r="B156" s="2043">
        <v>57923424</v>
      </c>
      <c r="C156" s="2043">
        <v>56277375</v>
      </c>
      <c r="D156" s="2043">
        <v>57923424</v>
      </c>
      <c r="E156" s="2043">
        <v>56277375</v>
      </c>
      <c r="F156" s="2043">
        <v>57923424</v>
      </c>
      <c r="G156" s="2043">
        <v>56277375</v>
      </c>
      <c r="H156" s="2043">
        <v>57923424</v>
      </c>
      <c r="I156" s="2043">
        <v>56277375</v>
      </c>
    </row>
    <row r="157" spans="1:9">
      <c r="A157" s="2043" t="s">
        <v>750</v>
      </c>
      <c r="B157" s="2043">
        <v>455918894</v>
      </c>
      <c r="C157" s="2043">
        <v>454937965</v>
      </c>
      <c r="D157" s="2043">
        <v>455918894</v>
      </c>
      <c r="E157" s="2043">
        <v>454937965</v>
      </c>
      <c r="F157" s="2043">
        <v>594949185</v>
      </c>
      <c r="G157" s="2043">
        <v>593968256</v>
      </c>
      <c r="H157" s="2043">
        <v>594949185</v>
      </c>
      <c r="I157" s="2043">
        <v>593968256</v>
      </c>
    </row>
    <row r="158" spans="1:9">
      <c r="A158" s="2043" t="s">
        <v>751</v>
      </c>
      <c r="B158" s="2043">
        <v>141324995</v>
      </c>
      <c r="C158" s="2043">
        <v>137384260</v>
      </c>
      <c r="D158" s="2043">
        <v>141324995</v>
      </c>
      <c r="E158" s="2043">
        <v>137384260</v>
      </c>
      <c r="F158" s="2043">
        <v>141324995</v>
      </c>
      <c r="G158" s="2043">
        <v>137384260</v>
      </c>
      <c r="H158" s="2043">
        <v>141324995</v>
      </c>
      <c r="I158" s="2043">
        <v>137384260</v>
      </c>
    </row>
    <row r="159" spans="1:9">
      <c r="A159" s="2043" t="s">
        <v>769</v>
      </c>
      <c r="B159" s="2043">
        <v>259852342</v>
      </c>
      <c r="C159" s="2043">
        <v>255590617</v>
      </c>
      <c r="D159" s="2043">
        <v>256671077</v>
      </c>
      <c r="E159" s="2043">
        <v>252409352</v>
      </c>
      <c r="F159" s="2043">
        <v>259852342</v>
      </c>
      <c r="G159" s="2043">
        <v>255590617</v>
      </c>
      <c r="H159" s="2043">
        <v>256671077</v>
      </c>
      <c r="I159" s="2043">
        <v>252409352</v>
      </c>
    </row>
    <row r="160" spans="1:9">
      <c r="A160" s="2043" t="s">
        <v>542</v>
      </c>
      <c r="B160" s="2043">
        <v>219799827</v>
      </c>
      <c r="C160" s="2043">
        <v>207888566</v>
      </c>
      <c r="D160" s="2043">
        <v>219799827</v>
      </c>
      <c r="E160" s="2043">
        <v>207888566</v>
      </c>
      <c r="F160" s="2043">
        <v>219799827</v>
      </c>
      <c r="G160" s="2043">
        <v>207888566</v>
      </c>
      <c r="H160" s="2043">
        <v>219799827</v>
      </c>
      <c r="I160" s="2043">
        <v>207888566</v>
      </c>
    </row>
    <row r="161" spans="1:9">
      <c r="A161" s="2043" t="s">
        <v>2235</v>
      </c>
      <c r="B161" s="2043">
        <v>117964590</v>
      </c>
      <c r="C161" s="2043">
        <v>113989370</v>
      </c>
      <c r="D161" s="2043">
        <v>117964590</v>
      </c>
      <c r="E161" s="2043">
        <v>113989370</v>
      </c>
      <c r="F161" s="2043">
        <v>117964590</v>
      </c>
      <c r="G161" s="2043">
        <v>113989370</v>
      </c>
      <c r="H161" s="2043">
        <v>117964590</v>
      </c>
      <c r="I161" s="2043">
        <v>113989370</v>
      </c>
    </row>
    <row r="162" spans="1:9">
      <c r="A162" s="2043" t="s">
        <v>770</v>
      </c>
      <c r="B162" s="2043">
        <v>148925627</v>
      </c>
      <c r="C162" s="2043">
        <v>146023407</v>
      </c>
      <c r="D162" s="2043">
        <v>148925627</v>
      </c>
      <c r="E162" s="2043">
        <v>146023407</v>
      </c>
      <c r="F162" s="2043">
        <v>148925627</v>
      </c>
      <c r="G162" s="2043">
        <v>146023407</v>
      </c>
      <c r="H162" s="2043">
        <v>148925627</v>
      </c>
      <c r="I162" s="2043">
        <v>146023407</v>
      </c>
    </row>
    <row r="163" spans="1:9">
      <c r="A163" s="2043" t="s">
        <v>547</v>
      </c>
      <c r="B163" s="2043">
        <v>15137272078</v>
      </c>
      <c r="C163" s="2043">
        <v>14914531576</v>
      </c>
      <c r="D163" s="2043">
        <v>15137272078</v>
      </c>
      <c r="E163" s="2043">
        <v>14914531576</v>
      </c>
      <c r="F163" s="2043">
        <v>15137272078</v>
      </c>
      <c r="G163" s="2043">
        <v>14914531576</v>
      </c>
      <c r="H163" s="2043">
        <v>15137272078</v>
      </c>
      <c r="I163" s="2043">
        <v>14914531576</v>
      </c>
    </row>
    <row r="164" spans="1:9">
      <c r="A164" s="2043" t="s">
        <v>1549</v>
      </c>
      <c r="B164" s="2043">
        <v>1533014724</v>
      </c>
      <c r="C164" s="2043">
        <v>1497033117</v>
      </c>
      <c r="D164" s="2043">
        <v>1533014724</v>
      </c>
      <c r="E164" s="2043">
        <v>1497033117</v>
      </c>
      <c r="F164" s="2043">
        <v>1533014724</v>
      </c>
      <c r="G164" s="2043">
        <v>1497033117</v>
      </c>
      <c r="H164" s="2043">
        <v>1533014724</v>
      </c>
      <c r="I164" s="2043">
        <v>1497033117</v>
      </c>
    </row>
    <row r="165" spans="1:9">
      <c r="A165" s="2043" t="s">
        <v>2362</v>
      </c>
      <c r="B165" s="2043">
        <v>1592388540</v>
      </c>
      <c r="C165" s="2043">
        <v>1564841087</v>
      </c>
      <c r="D165" s="2043">
        <v>1592388540</v>
      </c>
      <c r="E165" s="2043">
        <v>1564841087</v>
      </c>
      <c r="F165" s="2043">
        <v>1592388540</v>
      </c>
      <c r="G165" s="2043">
        <v>1564841087</v>
      </c>
      <c r="H165" s="2043">
        <v>1592388540</v>
      </c>
      <c r="I165" s="2043">
        <v>1564841087</v>
      </c>
    </row>
    <row r="166" spans="1:9">
      <c r="A166" s="2043" t="s">
        <v>1593</v>
      </c>
      <c r="B166" s="2043">
        <v>709887999</v>
      </c>
      <c r="C166" s="2043">
        <v>692018916</v>
      </c>
      <c r="D166" s="2043">
        <v>709887999</v>
      </c>
      <c r="E166" s="2043">
        <v>692018916</v>
      </c>
      <c r="F166" s="2043">
        <v>709887999</v>
      </c>
      <c r="G166" s="2043">
        <v>692018916</v>
      </c>
      <c r="H166" s="2043">
        <v>709887999</v>
      </c>
      <c r="I166" s="2043">
        <v>692018916</v>
      </c>
    </row>
    <row r="167" spans="1:9">
      <c r="A167" s="2043" t="s">
        <v>1340</v>
      </c>
      <c r="B167" s="2043">
        <v>41689613090</v>
      </c>
      <c r="C167" s="2043">
        <v>41195278884</v>
      </c>
      <c r="D167" s="2043">
        <v>41689613090</v>
      </c>
      <c r="E167" s="2043">
        <v>41195278884</v>
      </c>
      <c r="F167" s="2043">
        <v>41689613090</v>
      </c>
      <c r="G167" s="2043">
        <v>41195278884</v>
      </c>
      <c r="H167" s="2043">
        <v>41689613090</v>
      </c>
      <c r="I167" s="2043">
        <v>41195278884</v>
      </c>
    </row>
    <row r="168" spans="1:9">
      <c r="A168" s="2043" t="s">
        <v>2389</v>
      </c>
      <c r="B168" s="2043">
        <v>16719914803</v>
      </c>
      <c r="C168" s="2043">
        <v>16457153448</v>
      </c>
      <c r="D168" s="2043">
        <v>16719914803</v>
      </c>
      <c r="E168" s="2043">
        <v>16457153448</v>
      </c>
      <c r="F168" s="2043">
        <v>16719914803</v>
      </c>
      <c r="G168" s="2043">
        <v>16457153448</v>
      </c>
      <c r="H168" s="2043">
        <v>16719914803</v>
      </c>
      <c r="I168" s="2043">
        <v>16457153448</v>
      </c>
    </row>
    <row r="169" spans="1:9">
      <c r="A169" s="2043" t="s">
        <v>608</v>
      </c>
      <c r="B169" s="2043">
        <v>1506406007</v>
      </c>
      <c r="C169" s="2043">
        <v>1474699308</v>
      </c>
      <c r="D169" s="2043">
        <v>1506406007</v>
      </c>
      <c r="E169" s="2043">
        <v>1474699308</v>
      </c>
      <c r="F169" s="2043">
        <v>1506406007</v>
      </c>
      <c r="G169" s="2043">
        <v>1474699308</v>
      </c>
      <c r="H169" s="2043">
        <v>1506406007</v>
      </c>
      <c r="I169" s="2043">
        <v>1474699308</v>
      </c>
    </row>
    <row r="170" spans="1:9">
      <c r="A170" s="2043" t="s">
        <v>609</v>
      </c>
      <c r="B170" s="2043">
        <v>57283580484</v>
      </c>
      <c r="C170" s="2043">
        <v>56586893750</v>
      </c>
      <c r="D170" s="2043">
        <v>57283580484</v>
      </c>
      <c r="E170" s="2043">
        <v>56586893750</v>
      </c>
      <c r="F170" s="2043">
        <v>57283580484</v>
      </c>
      <c r="G170" s="2043">
        <v>56586893750</v>
      </c>
      <c r="H170" s="2043">
        <v>57283580484</v>
      </c>
      <c r="I170" s="2043">
        <v>56586893750</v>
      </c>
    </row>
    <row r="171" spans="1:9">
      <c r="A171" s="2043" t="s">
        <v>204</v>
      </c>
      <c r="B171" s="2043">
        <v>1514309245</v>
      </c>
      <c r="C171" s="2043">
        <v>1474817241</v>
      </c>
      <c r="D171" s="2043">
        <v>1514309245</v>
      </c>
      <c r="E171" s="2043">
        <v>1474817241</v>
      </c>
      <c r="F171" s="2043">
        <v>1514309245</v>
      </c>
      <c r="G171" s="2043">
        <v>1474817241</v>
      </c>
      <c r="H171" s="2043">
        <v>1514309245</v>
      </c>
      <c r="I171" s="2043">
        <v>1474817241</v>
      </c>
    </row>
    <row r="172" spans="1:9">
      <c r="A172" s="2043" t="s">
        <v>1492</v>
      </c>
      <c r="B172" s="2043">
        <v>9859989088</v>
      </c>
      <c r="C172" s="2043">
        <v>9717767776</v>
      </c>
      <c r="D172" s="2043">
        <v>9859989088</v>
      </c>
      <c r="E172" s="2043">
        <v>9717767776</v>
      </c>
      <c r="F172" s="2043">
        <v>9859989088</v>
      </c>
      <c r="G172" s="2043">
        <v>9717767776</v>
      </c>
      <c r="H172" s="2043">
        <v>9859989088</v>
      </c>
      <c r="I172" s="2043">
        <v>9717767776</v>
      </c>
    </row>
    <row r="173" spans="1:9">
      <c r="A173" s="2043" t="s">
        <v>1113</v>
      </c>
      <c r="B173" s="2043">
        <v>7101589401</v>
      </c>
      <c r="C173" s="2043">
        <v>6937864760</v>
      </c>
      <c r="D173" s="2043">
        <v>7101589401</v>
      </c>
      <c r="E173" s="2043">
        <v>6937864760</v>
      </c>
      <c r="F173" s="2043">
        <v>7101589401</v>
      </c>
      <c r="G173" s="2043">
        <v>6937864760</v>
      </c>
      <c r="H173" s="2043">
        <v>7101589401</v>
      </c>
      <c r="I173" s="2043">
        <v>6937864760</v>
      </c>
    </row>
    <row r="174" spans="1:9">
      <c r="A174" s="2043" t="s">
        <v>831</v>
      </c>
      <c r="B174" s="2043">
        <v>306749742</v>
      </c>
      <c r="C174" s="2043">
        <v>298273102</v>
      </c>
      <c r="D174" s="2043">
        <v>306749742</v>
      </c>
      <c r="E174" s="2043">
        <v>298273102</v>
      </c>
      <c r="F174" s="2043">
        <v>306749742</v>
      </c>
      <c r="G174" s="2043">
        <v>298273102</v>
      </c>
      <c r="H174" s="2043">
        <v>306749742</v>
      </c>
      <c r="I174" s="2043">
        <v>298273102</v>
      </c>
    </row>
    <row r="175" spans="1:9">
      <c r="A175" s="2043" t="s">
        <v>1353</v>
      </c>
      <c r="B175" s="2043">
        <v>1081177316</v>
      </c>
      <c r="C175" s="2043">
        <v>1049540669</v>
      </c>
      <c r="D175" s="2043">
        <v>1081177316</v>
      </c>
      <c r="E175" s="2043">
        <v>1049540669</v>
      </c>
      <c r="F175" s="2043">
        <v>1081177316</v>
      </c>
      <c r="G175" s="2043">
        <v>1049540669</v>
      </c>
      <c r="H175" s="2043">
        <v>1081177316</v>
      </c>
      <c r="I175" s="2043">
        <v>1049540669</v>
      </c>
    </row>
    <row r="176" spans="1:9">
      <c r="A176" s="2043" t="s">
        <v>239</v>
      </c>
      <c r="B176" s="2043">
        <v>2838749182</v>
      </c>
      <c r="C176" s="2043">
        <v>2793462549</v>
      </c>
      <c r="D176" s="2043">
        <v>2838749182</v>
      </c>
      <c r="E176" s="2043">
        <v>2793462549</v>
      </c>
      <c r="F176" s="2043">
        <v>2838749182</v>
      </c>
      <c r="G176" s="2043">
        <v>2793462549</v>
      </c>
      <c r="H176" s="2043">
        <v>2838749182</v>
      </c>
      <c r="I176" s="2043">
        <v>2793462549</v>
      </c>
    </row>
    <row r="177" spans="1:9">
      <c r="A177" s="2043" t="s">
        <v>240</v>
      </c>
      <c r="B177" s="2043">
        <v>205250092</v>
      </c>
      <c r="C177" s="2043">
        <v>200269362</v>
      </c>
      <c r="D177" s="2043">
        <v>205250092</v>
      </c>
      <c r="E177" s="2043">
        <v>200269362</v>
      </c>
      <c r="F177" s="2043">
        <v>205250092</v>
      </c>
      <c r="G177" s="2043">
        <v>200269362</v>
      </c>
      <c r="H177" s="2043">
        <v>205250092</v>
      </c>
      <c r="I177" s="2043">
        <v>200269362</v>
      </c>
    </row>
    <row r="178" spans="1:9">
      <c r="A178" s="2043" t="s">
        <v>1351</v>
      </c>
      <c r="B178" s="2043">
        <v>1231462934</v>
      </c>
      <c r="C178" s="2043">
        <v>1205545922</v>
      </c>
      <c r="D178" s="2043">
        <v>1231462934</v>
      </c>
      <c r="E178" s="2043">
        <v>1205545922</v>
      </c>
      <c r="F178" s="2043">
        <v>1231462934</v>
      </c>
      <c r="G178" s="2043">
        <v>1205545922</v>
      </c>
      <c r="H178" s="2043">
        <v>1231462934</v>
      </c>
      <c r="I178" s="2043">
        <v>1205545922</v>
      </c>
    </row>
    <row r="179" spans="1:9">
      <c r="A179" s="2043" t="s">
        <v>552</v>
      </c>
      <c r="B179" s="2043">
        <v>853568235</v>
      </c>
      <c r="C179" s="2043">
        <v>839976465</v>
      </c>
      <c r="D179" s="2043">
        <v>853568235</v>
      </c>
      <c r="E179" s="2043">
        <v>839976465</v>
      </c>
      <c r="F179" s="2043">
        <v>853568235</v>
      </c>
      <c r="G179" s="2043">
        <v>839976465</v>
      </c>
      <c r="H179" s="2043">
        <v>853568235</v>
      </c>
      <c r="I179" s="2043">
        <v>839976465</v>
      </c>
    </row>
    <row r="180" spans="1:9">
      <c r="A180" s="2043" t="s">
        <v>25</v>
      </c>
      <c r="B180" s="2043">
        <v>424231967</v>
      </c>
      <c r="C180" s="2043">
        <v>412154908</v>
      </c>
      <c r="D180" s="2043">
        <v>424231967</v>
      </c>
      <c r="E180" s="2043">
        <v>412154908</v>
      </c>
      <c r="F180" s="2043">
        <v>424231967</v>
      </c>
      <c r="G180" s="2043">
        <v>412154908</v>
      </c>
      <c r="H180" s="2043">
        <v>424231967</v>
      </c>
      <c r="I180" s="2043">
        <v>412154908</v>
      </c>
    </row>
    <row r="181" spans="1:9">
      <c r="A181" s="2043" t="s">
        <v>26</v>
      </c>
      <c r="B181" s="2043">
        <v>5888425213</v>
      </c>
      <c r="C181" s="2043">
        <v>5758410244</v>
      </c>
      <c r="D181" s="2043">
        <v>5888425213</v>
      </c>
      <c r="E181" s="2043">
        <v>5758410244</v>
      </c>
      <c r="F181" s="2043">
        <v>5888425213</v>
      </c>
      <c r="G181" s="2043">
        <v>5758410244</v>
      </c>
      <c r="H181" s="2043">
        <v>5888425213</v>
      </c>
      <c r="I181" s="2043">
        <v>5758410244</v>
      </c>
    </row>
    <row r="182" spans="1:9">
      <c r="A182" s="2043" t="s">
        <v>1191</v>
      </c>
      <c r="B182" s="2043">
        <v>19676409902</v>
      </c>
      <c r="C182" s="2043">
        <v>19319000150</v>
      </c>
      <c r="D182" s="2043">
        <v>18499071165</v>
      </c>
      <c r="E182" s="2043">
        <v>18141661413</v>
      </c>
      <c r="F182" s="2043">
        <v>19741736102</v>
      </c>
      <c r="G182" s="2043">
        <v>19384326350</v>
      </c>
      <c r="H182" s="2043">
        <v>18564397365</v>
      </c>
      <c r="I182" s="2043">
        <v>18206987613</v>
      </c>
    </row>
    <row r="183" spans="1:9">
      <c r="A183" s="2043" t="s">
        <v>2190</v>
      </c>
      <c r="B183" s="2043">
        <v>471193152</v>
      </c>
      <c r="C183" s="2043">
        <v>455452595</v>
      </c>
      <c r="D183" s="2043">
        <v>471193152</v>
      </c>
      <c r="E183" s="2043">
        <v>455452595</v>
      </c>
      <c r="F183" s="2043">
        <v>579860662</v>
      </c>
      <c r="G183" s="2043">
        <v>564120105</v>
      </c>
      <c r="H183" s="2043">
        <v>579860662</v>
      </c>
      <c r="I183" s="2043">
        <v>564120105</v>
      </c>
    </row>
    <row r="184" spans="1:9">
      <c r="A184" s="2043" t="s">
        <v>2271</v>
      </c>
      <c r="B184" s="2043">
        <v>228805315</v>
      </c>
      <c r="C184" s="2043">
        <v>218874176</v>
      </c>
      <c r="D184" s="2043">
        <v>228805315</v>
      </c>
      <c r="E184" s="2043">
        <v>218874176</v>
      </c>
      <c r="F184" s="2043">
        <v>228805315</v>
      </c>
      <c r="G184" s="2043">
        <v>218874176</v>
      </c>
      <c r="H184" s="2043">
        <v>228805315</v>
      </c>
      <c r="I184" s="2043">
        <v>218874176</v>
      </c>
    </row>
    <row r="185" spans="1:9">
      <c r="A185" s="2043" t="s">
        <v>2217</v>
      </c>
      <c r="B185" s="2043">
        <v>75006525</v>
      </c>
      <c r="C185" s="2043">
        <v>72547571</v>
      </c>
      <c r="D185" s="2043">
        <v>75006525</v>
      </c>
      <c r="E185" s="2043">
        <v>72547571</v>
      </c>
      <c r="F185" s="2043">
        <v>75006525</v>
      </c>
      <c r="G185" s="2043">
        <v>72547571</v>
      </c>
      <c r="H185" s="2043">
        <v>75006525</v>
      </c>
      <c r="I185" s="2043">
        <v>72547571</v>
      </c>
    </row>
    <row r="186" spans="1:9">
      <c r="A186" s="2043" t="s">
        <v>2191</v>
      </c>
      <c r="B186" s="2043">
        <v>38779477</v>
      </c>
      <c r="C186" s="2043">
        <v>37105709</v>
      </c>
      <c r="D186" s="2043">
        <v>38779477</v>
      </c>
      <c r="E186" s="2043">
        <v>37105709</v>
      </c>
      <c r="F186" s="2043">
        <v>38779477</v>
      </c>
      <c r="G186" s="2043">
        <v>37105709</v>
      </c>
      <c r="H186" s="2043">
        <v>38779477</v>
      </c>
      <c r="I186" s="2043">
        <v>37105709</v>
      </c>
    </row>
    <row r="187" spans="1:9">
      <c r="A187" s="2043" t="s">
        <v>2192</v>
      </c>
      <c r="B187" s="2043">
        <v>152021420</v>
      </c>
      <c r="C187" s="2043">
        <v>150523438</v>
      </c>
      <c r="D187" s="2043">
        <v>152021420</v>
      </c>
      <c r="E187" s="2043">
        <v>150523438</v>
      </c>
      <c r="F187" s="2043">
        <v>285728224</v>
      </c>
      <c r="G187" s="2043">
        <v>284230242</v>
      </c>
      <c r="H187" s="2043">
        <v>285728224</v>
      </c>
      <c r="I187" s="2043">
        <v>284230242</v>
      </c>
    </row>
    <row r="188" spans="1:9">
      <c r="A188" s="2043" t="s">
        <v>283</v>
      </c>
      <c r="B188" s="2043">
        <v>75856484</v>
      </c>
      <c r="C188" s="2043">
        <v>75268434</v>
      </c>
      <c r="D188" s="2043">
        <v>75856484</v>
      </c>
      <c r="E188" s="2043">
        <v>75268434</v>
      </c>
      <c r="F188" s="2043">
        <v>75856484</v>
      </c>
      <c r="G188" s="2043">
        <v>75268434</v>
      </c>
      <c r="H188" s="2043">
        <v>75856484</v>
      </c>
      <c r="I188" s="2043">
        <v>75268434</v>
      </c>
    </row>
    <row r="189" spans="1:9">
      <c r="A189" s="2043" t="s">
        <v>1342</v>
      </c>
      <c r="B189" s="2043">
        <v>1293011105</v>
      </c>
      <c r="C189" s="2043">
        <v>1261730954</v>
      </c>
      <c r="D189" s="2043">
        <v>1293011105</v>
      </c>
      <c r="E189" s="2043">
        <v>1261730954</v>
      </c>
      <c r="F189" s="2043">
        <v>1293011105</v>
      </c>
      <c r="G189" s="2043">
        <v>1261730954</v>
      </c>
      <c r="H189" s="2043">
        <v>1293011105</v>
      </c>
      <c r="I189" s="2043">
        <v>1261730954</v>
      </c>
    </row>
    <row r="190" spans="1:9">
      <c r="A190" s="2043" t="s">
        <v>284</v>
      </c>
      <c r="B190" s="2043">
        <v>397965069</v>
      </c>
      <c r="C190" s="2043">
        <v>390123609</v>
      </c>
      <c r="D190" s="2043">
        <v>397965069</v>
      </c>
      <c r="E190" s="2043">
        <v>390123609</v>
      </c>
      <c r="F190" s="2043">
        <v>484535969</v>
      </c>
      <c r="G190" s="2043">
        <v>476694509</v>
      </c>
      <c r="H190" s="2043">
        <v>484535969</v>
      </c>
      <c r="I190" s="2043">
        <v>476694509</v>
      </c>
    </row>
    <row r="191" spans="1:9">
      <c r="A191" s="2043" t="s">
        <v>2363</v>
      </c>
      <c r="B191" s="2043">
        <v>340843822</v>
      </c>
      <c r="C191" s="2043">
        <v>332737849</v>
      </c>
      <c r="D191" s="2043">
        <v>340843822</v>
      </c>
      <c r="E191" s="2043">
        <v>332737849</v>
      </c>
      <c r="F191" s="2043">
        <v>340843822</v>
      </c>
      <c r="G191" s="2043">
        <v>332737849</v>
      </c>
      <c r="H191" s="2043">
        <v>340843822</v>
      </c>
      <c r="I191" s="2043">
        <v>332737849</v>
      </c>
    </row>
    <row r="192" spans="1:9">
      <c r="A192" s="2043" t="s">
        <v>285</v>
      </c>
      <c r="B192" s="2043">
        <v>807540142</v>
      </c>
      <c r="C192" s="2043">
        <v>786655698</v>
      </c>
      <c r="D192" s="2043">
        <v>807540142</v>
      </c>
      <c r="E192" s="2043">
        <v>786655698</v>
      </c>
      <c r="F192" s="2043">
        <v>807540142</v>
      </c>
      <c r="G192" s="2043">
        <v>786655698</v>
      </c>
      <c r="H192" s="2043">
        <v>807540142</v>
      </c>
      <c r="I192" s="2043">
        <v>786655698</v>
      </c>
    </row>
    <row r="193" spans="1:9">
      <c r="A193" s="2043" t="s">
        <v>286</v>
      </c>
      <c r="B193" s="2043">
        <v>191107317</v>
      </c>
      <c r="C193" s="2043">
        <v>186233370</v>
      </c>
      <c r="D193" s="2043">
        <v>191107317</v>
      </c>
      <c r="E193" s="2043">
        <v>186233370</v>
      </c>
      <c r="F193" s="2043">
        <v>191107317</v>
      </c>
      <c r="G193" s="2043">
        <v>186233370</v>
      </c>
      <c r="H193" s="2043">
        <v>191107317</v>
      </c>
      <c r="I193" s="2043">
        <v>186233370</v>
      </c>
    </row>
    <row r="194" spans="1:9">
      <c r="A194" s="2043" t="s">
        <v>287</v>
      </c>
      <c r="B194" s="2043">
        <v>368271626</v>
      </c>
      <c r="C194" s="2043">
        <v>362602303</v>
      </c>
      <c r="D194" s="2043">
        <v>368271626</v>
      </c>
      <c r="E194" s="2043">
        <v>362602303</v>
      </c>
      <c r="F194" s="2043">
        <v>368271626</v>
      </c>
      <c r="G194" s="2043">
        <v>362602303</v>
      </c>
      <c r="H194" s="2043">
        <v>368271626</v>
      </c>
      <c r="I194" s="2043">
        <v>362602303</v>
      </c>
    </row>
    <row r="195" spans="1:9">
      <c r="A195" s="2043" t="s">
        <v>1646</v>
      </c>
      <c r="B195" s="2043">
        <v>14656980</v>
      </c>
      <c r="C195" s="2043">
        <v>14360254</v>
      </c>
      <c r="D195" s="2043">
        <v>14656980</v>
      </c>
      <c r="E195" s="2043">
        <v>14360254</v>
      </c>
      <c r="F195" s="2043">
        <v>14656980</v>
      </c>
      <c r="G195" s="2043">
        <v>14360254</v>
      </c>
      <c r="H195" s="2043">
        <v>14656980</v>
      </c>
      <c r="I195" s="2043">
        <v>14360254</v>
      </c>
    </row>
    <row r="196" spans="1:9">
      <c r="A196" s="2043" t="s">
        <v>1647</v>
      </c>
      <c r="B196" s="2043">
        <v>154906404</v>
      </c>
      <c r="C196" s="2043">
        <v>153601403</v>
      </c>
      <c r="D196" s="2043">
        <v>154906404</v>
      </c>
      <c r="E196" s="2043">
        <v>153601403</v>
      </c>
      <c r="F196" s="2043">
        <v>154906404</v>
      </c>
      <c r="G196" s="2043">
        <v>153601403</v>
      </c>
      <c r="H196" s="2043">
        <v>154906404</v>
      </c>
      <c r="I196" s="2043">
        <v>153601403</v>
      </c>
    </row>
    <row r="197" spans="1:9">
      <c r="A197" s="2043" t="s">
        <v>1240</v>
      </c>
      <c r="B197" s="2043">
        <v>113472983</v>
      </c>
      <c r="C197" s="2043">
        <v>109643061</v>
      </c>
      <c r="D197" s="2043">
        <v>113472983</v>
      </c>
      <c r="E197" s="2043">
        <v>109643061</v>
      </c>
      <c r="F197" s="2043">
        <v>113472983</v>
      </c>
      <c r="G197" s="2043">
        <v>109643061</v>
      </c>
      <c r="H197" s="2043">
        <v>113472983</v>
      </c>
      <c r="I197" s="2043">
        <v>109643061</v>
      </c>
    </row>
    <row r="198" spans="1:9">
      <c r="A198" s="2043" t="s">
        <v>1042</v>
      </c>
      <c r="B198" s="2043">
        <v>874189855</v>
      </c>
      <c r="C198" s="2043">
        <v>839121561</v>
      </c>
      <c r="D198" s="2043">
        <v>874189855</v>
      </c>
      <c r="E198" s="2043">
        <v>839121561</v>
      </c>
      <c r="F198" s="2043">
        <v>874189855</v>
      </c>
      <c r="G198" s="2043">
        <v>839121561</v>
      </c>
      <c r="H198" s="2043">
        <v>874189855</v>
      </c>
      <c r="I198" s="2043">
        <v>839121561</v>
      </c>
    </row>
    <row r="199" spans="1:9">
      <c r="A199" s="2043" t="s">
        <v>2029</v>
      </c>
      <c r="B199" s="2043">
        <v>80060886</v>
      </c>
      <c r="C199" s="2043">
        <v>77137837</v>
      </c>
      <c r="D199" s="2043">
        <v>80060886</v>
      </c>
      <c r="E199" s="2043">
        <v>77137837</v>
      </c>
      <c r="F199" s="2043">
        <v>80060886</v>
      </c>
      <c r="G199" s="2043">
        <v>77137837</v>
      </c>
      <c r="H199" s="2043">
        <v>80060886</v>
      </c>
      <c r="I199" s="2043">
        <v>77137837</v>
      </c>
    </row>
    <row r="200" spans="1:9">
      <c r="A200" s="2043" t="s">
        <v>1043</v>
      </c>
      <c r="B200" s="2043">
        <v>98939129</v>
      </c>
      <c r="C200" s="2043">
        <v>96050404</v>
      </c>
      <c r="D200" s="2043">
        <v>98939129</v>
      </c>
      <c r="E200" s="2043">
        <v>96050404</v>
      </c>
      <c r="F200" s="2043">
        <v>98939129</v>
      </c>
      <c r="G200" s="2043">
        <v>96050404</v>
      </c>
      <c r="H200" s="2043">
        <v>98939129</v>
      </c>
      <c r="I200" s="2043">
        <v>96050404</v>
      </c>
    </row>
    <row r="201" spans="1:9">
      <c r="A201" s="2043" t="s">
        <v>2260</v>
      </c>
      <c r="B201" s="2043">
        <v>1520824602</v>
      </c>
      <c r="C201" s="2043">
        <v>1449957167</v>
      </c>
      <c r="D201" s="2043">
        <v>1520824602</v>
      </c>
      <c r="E201" s="2043">
        <v>1449957167</v>
      </c>
      <c r="F201" s="2043">
        <v>1520824602</v>
      </c>
      <c r="G201" s="2043">
        <v>1449957167</v>
      </c>
      <c r="H201" s="2043">
        <v>1520824602</v>
      </c>
      <c r="I201" s="2043">
        <v>1449957167</v>
      </c>
    </row>
    <row r="202" spans="1:9">
      <c r="A202" s="2043" t="s">
        <v>1044</v>
      </c>
      <c r="B202" s="2043">
        <v>166253265</v>
      </c>
      <c r="C202" s="2043">
        <v>163241115</v>
      </c>
      <c r="D202" s="2043">
        <v>165112705</v>
      </c>
      <c r="E202" s="2043">
        <v>162100555</v>
      </c>
      <c r="F202" s="2043">
        <v>166253265</v>
      </c>
      <c r="G202" s="2043">
        <v>163241115</v>
      </c>
      <c r="H202" s="2043">
        <v>165112705</v>
      </c>
      <c r="I202" s="2043">
        <v>162100555</v>
      </c>
    </row>
    <row r="203" spans="1:9">
      <c r="A203" s="2043" t="s">
        <v>640</v>
      </c>
      <c r="B203" s="2043">
        <v>1258342037</v>
      </c>
      <c r="C203" s="2043">
        <v>1250318847</v>
      </c>
      <c r="D203" s="2043">
        <v>1258342037</v>
      </c>
      <c r="E203" s="2043">
        <v>1250318847</v>
      </c>
      <c r="F203" s="2043">
        <v>1258342037</v>
      </c>
      <c r="G203" s="2043">
        <v>1250318847</v>
      </c>
      <c r="H203" s="2043">
        <v>1258342037</v>
      </c>
      <c r="I203" s="2043">
        <v>1250318847</v>
      </c>
    </row>
    <row r="204" spans="1:9">
      <c r="A204" s="2043" t="s">
        <v>641</v>
      </c>
      <c r="B204" s="2043">
        <v>1520448410</v>
      </c>
      <c r="C204" s="2043">
        <v>1514130750</v>
      </c>
      <c r="D204" s="2043">
        <v>1517201250</v>
      </c>
      <c r="E204" s="2043">
        <v>1510883590</v>
      </c>
      <c r="F204" s="2043">
        <v>1520448410</v>
      </c>
      <c r="G204" s="2043">
        <v>1514130750</v>
      </c>
      <c r="H204" s="2043">
        <v>1517201250</v>
      </c>
      <c r="I204" s="2043">
        <v>1510883590</v>
      </c>
    </row>
    <row r="205" spans="1:9">
      <c r="A205" s="2043" t="s">
        <v>642</v>
      </c>
      <c r="B205" s="2043">
        <v>122489680</v>
      </c>
      <c r="C205" s="2043">
        <v>118685977</v>
      </c>
      <c r="D205" s="2043">
        <v>122489680</v>
      </c>
      <c r="E205" s="2043">
        <v>118685977</v>
      </c>
      <c r="F205" s="2043">
        <v>236412543</v>
      </c>
      <c r="G205" s="2043">
        <v>232608840</v>
      </c>
      <c r="H205" s="2043">
        <v>236412543</v>
      </c>
      <c r="I205" s="2043">
        <v>232608840</v>
      </c>
    </row>
    <row r="206" spans="1:9">
      <c r="A206" s="2043" t="s">
        <v>643</v>
      </c>
      <c r="B206" s="2043">
        <v>208676524</v>
      </c>
      <c r="C206" s="2043">
        <v>206234742</v>
      </c>
      <c r="D206" s="2043">
        <v>208676524</v>
      </c>
      <c r="E206" s="2043">
        <v>206234742</v>
      </c>
      <c r="F206" s="2043">
        <v>296126629</v>
      </c>
      <c r="G206" s="2043">
        <v>293684847</v>
      </c>
      <c r="H206" s="2043">
        <v>296126629</v>
      </c>
      <c r="I206" s="2043">
        <v>293684847</v>
      </c>
    </row>
    <row r="207" spans="1:9">
      <c r="A207" s="2043" t="s">
        <v>372</v>
      </c>
      <c r="B207" s="2043">
        <v>157852065</v>
      </c>
      <c r="C207" s="2043">
        <v>154234743</v>
      </c>
      <c r="D207" s="2043">
        <v>157852065</v>
      </c>
      <c r="E207" s="2043">
        <v>154234743</v>
      </c>
      <c r="F207" s="2043">
        <v>157852065</v>
      </c>
      <c r="G207" s="2043">
        <v>154234743</v>
      </c>
      <c r="H207" s="2043">
        <v>157852065</v>
      </c>
      <c r="I207" s="2043">
        <v>154234743</v>
      </c>
    </row>
    <row r="208" spans="1:9">
      <c r="A208" s="2043" t="s">
        <v>2418</v>
      </c>
      <c r="B208" s="2043">
        <v>2511783634</v>
      </c>
      <c r="C208" s="2043">
        <v>2508582920</v>
      </c>
      <c r="D208" s="2043">
        <v>2511783634</v>
      </c>
      <c r="E208" s="2043">
        <v>2508582920</v>
      </c>
      <c r="F208" s="2043">
        <v>2511783634</v>
      </c>
      <c r="G208" s="2043">
        <v>2508582920</v>
      </c>
      <c r="H208" s="2043">
        <v>2511783634</v>
      </c>
      <c r="I208" s="2043">
        <v>2508582920</v>
      </c>
    </row>
    <row r="209" spans="1:9">
      <c r="A209" s="2043" t="s">
        <v>2419</v>
      </c>
      <c r="B209" s="2043">
        <v>1229023167</v>
      </c>
      <c r="C209" s="2043">
        <v>1214081474</v>
      </c>
      <c r="D209" s="2043">
        <v>1229023167</v>
      </c>
      <c r="E209" s="2043">
        <v>1214081474</v>
      </c>
      <c r="F209" s="2043">
        <v>1229023167</v>
      </c>
      <c r="G209" s="2043">
        <v>1214081474</v>
      </c>
      <c r="H209" s="2043">
        <v>1229023167</v>
      </c>
      <c r="I209" s="2043">
        <v>1214081474</v>
      </c>
    </row>
    <row r="210" spans="1:9">
      <c r="A210" s="2043" t="s">
        <v>2420</v>
      </c>
      <c r="B210" s="2043">
        <v>196074088</v>
      </c>
      <c r="C210" s="2043">
        <v>195048931</v>
      </c>
      <c r="D210" s="2043">
        <v>196074088</v>
      </c>
      <c r="E210" s="2043">
        <v>195048931</v>
      </c>
      <c r="F210" s="2043">
        <v>196074088</v>
      </c>
      <c r="G210" s="2043">
        <v>195048931</v>
      </c>
      <c r="H210" s="2043">
        <v>196074088</v>
      </c>
      <c r="I210" s="2043">
        <v>195048931</v>
      </c>
    </row>
    <row r="211" spans="1:9">
      <c r="A211" s="2043" t="s">
        <v>1550</v>
      </c>
      <c r="B211" s="2043">
        <v>23205400784</v>
      </c>
      <c r="C211" s="2043">
        <v>22950147185</v>
      </c>
      <c r="D211" s="2043">
        <v>23205400784</v>
      </c>
      <c r="E211" s="2043">
        <v>22950147185</v>
      </c>
      <c r="F211" s="2043">
        <v>23205400784</v>
      </c>
      <c r="G211" s="2043">
        <v>22950147185</v>
      </c>
      <c r="H211" s="2043">
        <v>23205400784</v>
      </c>
      <c r="I211" s="2043">
        <v>22950147185</v>
      </c>
    </row>
    <row r="212" spans="1:9">
      <c r="A212" s="2043" t="s">
        <v>366</v>
      </c>
      <c r="B212" s="2043">
        <v>3852252423</v>
      </c>
      <c r="C212" s="2043">
        <v>3751019693</v>
      </c>
      <c r="D212" s="2043">
        <v>3852252423</v>
      </c>
      <c r="E212" s="2043">
        <v>3751019693</v>
      </c>
      <c r="F212" s="2043">
        <v>3852252423</v>
      </c>
      <c r="G212" s="2043">
        <v>3751019693</v>
      </c>
      <c r="H212" s="2043">
        <v>3852252423</v>
      </c>
      <c r="I212" s="2043">
        <v>3751019693</v>
      </c>
    </row>
    <row r="213" spans="1:9">
      <c r="A213" s="2043" t="s">
        <v>367</v>
      </c>
      <c r="B213" s="2043">
        <v>130437504516</v>
      </c>
      <c r="C213" s="2043">
        <v>128937180594</v>
      </c>
      <c r="D213" s="2043">
        <v>128023039169</v>
      </c>
      <c r="E213" s="2043">
        <v>126522715247</v>
      </c>
      <c r="F213" s="2043">
        <v>130437504516</v>
      </c>
      <c r="G213" s="2043">
        <v>128937180594</v>
      </c>
      <c r="H213" s="2043">
        <v>128023039169</v>
      </c>
      <c r="I213" s="2043">
        <v>126522715247</v>
      </c>
    </row>
    <row r="214" spans="1:9">
      <c r="A214" s="2043" t="s">
        <v>368</v>
      </c>
      <c r="B214" s="2043">
        <v>3456506557</v>
      </c>
      <c r="C214" s="2043">
        <v>3333624984</v>
      </c>
      <c r="D214" s="2043">
        <v>3456506557</v>
      </c>
      <c r="E214" s="2043">
        <v>3333624984</v>
      </c>
      <c r="F214" s="2043">
        <v>3456506557</v>
      </c>
      <c r="G214" s="2043">
        <v>3333624984</v>
      </c>
      <c r="H214" s="2043">
        <v>3456506557</v>
      </c>
      <c r="I214" s="2043">
        <v>3333624984</v>
      </c>
    </row>
    <row r="215" spans="1:9">
      <c r="A215" s="2043" t="s">
        <v>369</v>
      </c>
      <c r="B215" s="2043">
        <v>5074167273</v>
      </c>
      <c r="C215" s="2043">
        <v>4940898752</v>
      </c>
      <c r="D215" s="2043">
        <v>5074167273</v>
      </c>
      <c r="E215" s="2043">
        <v>4940898752</v>
      </c>
      <c r="F215" s="2043">
        <v>5074167273</v>
      </c>
      <c r="G215" s="2043">
        <v>4940898752</v>
      </c>
      <c r="H215" s="2043">
        <v>5074167273</v>
      </c>
      <c r="I215" s="2043">
        <v>4940898752</v>
      </c>
    </row>
    <row r="216" spans="1:9">
      <c r="A216" s="2043" t="s">
        <v>2435</v>
      </c>
      <c r="B216" s="2043">
        <v>21063970780</v>
      </c>
      <c r="C216" s="2043">
        <v>20515640268</v>
      </c>
      <c r="D216" s="2043">
        <v>21063970780</v>
      </c>
      <c r="E216" s="2043">
        <v>20515640268</v>
      </c>
      <c r="F216" s="2043">
        <v>21063970780</v>
      </c>
      <c r="G216" s="2043">
        <v>20515640268</v>
      </c>
      <c r="H216" s="2043">
        <v>21063970780</v>
      </c>
      <c r="I216" s="2043">
        <v>20515640268</v>
      </c>
    </row>
    <row r="217" spans="1:9">
      <c r="A217" s="2043" t="s">
        <v>625</v>
      </c>
      <c r="B217" s="2043">
        <v>7737047734</v>
      </c>
      <c r="C217" s="2043">
        <v>7548812166</v>
      </c>
      <c r="D217" s="2043">
        <v>7737047734</v>
      </c>
      <c r="E217" s="2043">
        <v>7548812166</v>
      </c>
      <c r="F217" s="2043">
        <v>7737047734</v>
      </c>
      <c r="G217" s="2043">
        <v>7548812166</v>
      </c>
      <c r="H217" s="2043">
        <v>7737047734</v>
      </c>
      <c r="I217" s="2043">
        <v>7548812166</v>
      </c>
    </row>
    <row r="218" spans="1:9">
      <c r="A218" s="2043" t="s">
        <v>500</v>
      </c>
      <c r="B218" s="2043">
        <v>17660650579</v>
      </c>
      <c r="C218" s="2043">
        <v>17577548791</v>
      </c>
      <c r="D218" s="2043">
        <v>16193749896</v>
      </c>
      <c r="E218" s="2043">
        <v>16110648108</v>
      </c>
      <c r="F218" s="2043">
        <v>17660650579</v>
      </c>
      <c r="G218" s="2043">
        <v>17577548791</v>
      </c>
      <c r="H218" s="2043">
        <v>16193749896</v>
      </c>
      <c r="I218" s="2043">
        <v>16110648108</v>
      </c>
    </row>
    <row r="219" spans="1:9">
      <c r="A219" s="2043" t="s">
        <v>39</v>
      </c>
      <c r="B219" s="2043">
        <v>14477473463</v>
      </c>
      <c r="C219" s="2043">
        <v>14262541254</v>
      </c>
      <c r="D219" s="2043">
        <v>14477473463</v>
      </c>
      <c r="E219" s="2043">
        <v>14262541254</v>
      </c>
      <c r="F219" s="2043">
        <v>14477473463</v>
      </c>
      <c r="G219" s="2043">
        <v>14262541254</v>
      </c>
      <c r="H219" s="2043">
        <v>14477473463</v>
      </c>
      <c r="I219" s="2043">
        <v>14262541254</v>
      </c>
    </row>
    <row r="220" spans="1:9">
      <c r="A220" s="2043" t="s">
        <v>1693</v>
      </c>
      <c r="B220" s="2043">
        <v>3134398604</v>
      </c>
      <c r="C220" s="2043">
        <v>3060023876</v>
      </c>
      <c r="D220" s="2043">
        <v>3134398604</v>
      </c>
      <c r="E220" s="2043">
        <v>3060023876</v>
      </c>
      <c r="F220" s="2043">
        <v>3134398604</v>
      </c>
      <c r="G220" s="2043">
        <v>3060023876</v>
      </c>
      <c r="H220" s="2043">
        <v>3134398604</v>
      </c>
      <c r="I220" s="2043">
        <v>3060023876</v>
      </c>
    </row>
    <row r="221" spans="1:9">
      <c r="A221" s="2043" t="s">
        <v>2392</v>
      </c>
      <c r="B221" s="2043">
        <v>9127934750</v>
      </c>
      <c r="C221" s="2043">
        <v>8865487671</v>
      </c>
      <c r="D221" s="2043">
        <v>9127934750</v>
      </c>
      <c r="E221" s="2043">
        <v>8865487671</v>
      </c>
      <c r="F221" s="2043">
        <v>9127934750</v>
      </c>
      <c r="G221" s="2043">
        <v>8865487671</v>
      </c>
      <c r="H221" s="2043">
        <v>9127934750</v>
      </c>
      <c r="I221" s="2043">
        <v>8865487671</v>
      </c>
    </row>
    <row r="222" spans="1:9">
      <c r="A222" s="2043" t="s">
        <v>1694</v>
      </c>
      <c r="B222" s="2043">
        <v>25527502090</v>
      </c>
      <c r="C222" s="2043">
        <v>25113901654</v>
      </c>
      <c r="D222" s="2043">
        <v>24864845871</v>
      </c>
      <c r="E222" s="2043">
        <v>24451245435</v>
      </c>
      <c r="F222" s="2043">
        <v>25527502090</v>
      </c>
      <c r="G222" s="2043">
        <v>25113901654</v>
      </c>
      <c r="H222" s="2043">
        <v>24864845871</v>
      </c>
      <c r="I222" s="2043">
        <v>24451245435</v>
      </c>
    </row>
    <row r="223" spans="1:9">
      <c r="A223" s="2043" t="s">
        <v>2541</v>
      </c>
      <c r="B223" s="2043">
        <v>1226270421</v>
      </c>
      <c r="C223" s="2043">
        <v>1208046671</v>
      </c>
      <c r="D223" s="2043">
        <v>1226270421</v>
      </c>
      <c r="E223" s="2043">
        <v>1208046671</v>
      </c>
      <c r="F223" s="2043">
        <v>1226270421</v>
      </c>
      <c r="G223" s="2043">
        <v>1208046671</v>
      </c>
      <c r="H223" s="2043">
        <v>1226270421</v>
      </c>
      <c r="I223" s="2043">
        <v>1208046671</v>
      </c>
    </row>
    <row r="224" spans="1:9">
      <c r="A224" s="2043" t="s">
        <v>235</v>
      </c>
      <c r="B224" s="2043">
        <v>13205203638</v>
      </c>
      <c r="C224" s="2043">
        <v>13085270430</v>
      </c>
      <c r="D224" s="2043">
        <v>13205169932</v>
      </c>
      <c r="E224" s="2043">
        <v>13085236724</v>
      </c>
      <c r="F224" s="2043">
        <v>13205203638</v>
      </c>
      <c r="G224" s="2043">
        <v>13085270430</v>
      </c>
      <c r="H224" s="2043">
        <v>13205169932</v>
      </c>
      <c r="I224" s="2043">
        <v>13085236724</v>
      </c>
    </row>
    <row r="225" spans="1:9">
      <c r="A225" s="2043" t="s">
        <v>236</v>
      </c>
      <c r="B225" s="2043">
        <v>100047846</v>
      </c>
      <c r="C225" s="2043">
        <v>99454912</v>
      </c>
      <c r="D225" s="2043">
        <v>100047846</v>
      </c>
      <c r="E225" s="2043">
        <v>99454912</v>
      </c>
      <c r="F225" s="2043">
        <v>100047846</v>
      </c>
      <c r="G225" s="2043">
        <v>99454912</v>
      </c>
      <c r="H225" s="2043">
        <v>100047846</v>
      </c>
      <c r="I225" s="2043">
        <v>99454912</v>
      </c>
    </row>
    <row r="226" spans="1:9">
      <c r="A226" s="2043" t="s">
        <v>237</v>
      </c>
      <c r="B226" s="2043">
        <v>1483096612</v>
      </c>
      <c r="C226" s="2043">
        <v>1481708392</v>
      </c>
      <c r="D226" s="2043">
        <v>1481472232</v>
      </c>
      <c r="E226" s="2043">
        <v>1480084012</v>
      </c>
      <c r="F226" s="2043">
        <v>1483096612</v>
      </c>
      <c r="G226" s="2043">
        <v>1481708392</v>
      </c>
      <c r="H226" s="2043">
        <v>1481472232</v>
      </c>
      <c r="I226" s="2043">
        <v>1480084012</v>
      </c>
    </row>
    <row r="227" spans="1:9">
      <c r="A227" s="2043" t="s">
        <v>238</v>
      </c>
      <c r="B227" s="2043">
        <v>580935615</v>
      </c>
      <c r="C227" s="2043">
        <v>563963635</v>
      </c>
      <c r="D227" s="2043">
        <v>580935615</v>
      </c>
      <c r="E227" s="2043">
        <v>563963635</v>
      </c>
      <c r="F227" s="2043">
        <v>765780155</v>
      </c>
      <c r="G227" s="2043">
        <v>748808175</v>
      </c>
      <c r="H227" s="2043">
        <v>765780155</v>
      </c>
      <c r="I227" s="2043">
        <v>748808175</v>
      </c>
    </row>
    <row r="228" spans="1:9">
      <c r="A228" s="2043" t="s">
        <v>355</v>
      </c>
      <c r="B228" s="2043">
        <v>1283111303</v>
      </c>
      <c r="C228" s="2043">
        <v>1282244023</v>
      </c>
      <c r="D228" s="2043">
        <v>1281790794</v>
      </c>
      <c r="E228" s="2043">
        <v>1280923514</v>
      </c>
      <c r="F228" s="2043">
        <v>1283111303</v>
      </c>
      <c r="G228" s="2043">
        <v>1282244023</v>
      </c>
      <c r="H228" s="2043">
        <v>1281790794</v>
      </c>
      <c r="I228" s="2043">
        <v>1280923514</v>
      </c>
    </row>
    <row r="229" spans="1:9">
      <c r="A229" s="2043" t="s">
        <v>1760</v>
      </c>
      <c r="B229" s="2043">
        <v>1547087860</v>
      </c>
      <c r="C229" s="2043">
        <v>1518136663</v>
      </c>
      <c r="D229" s="2043">
        <v>1547087860</v>
      </c>
      <c r="E229" s="2043">
        <v>1518136663</v>
      </c>
      <c r="F229" s="2043">
        <v>1727068110</v>
      </c>
      <c r="G229" s="2043">
        <v>1698116913</v>
      </c>
      <c r="H229" s="2043">
        <v>1727068110</v>
      </c>
      <c r="I229" s="2043">
        <v>1698116913</v>
      </c>
    </row>
    <row r="230" spans="1:9">
      <c r="A230" s="2043" t="s">
        <v>1012</v>
      </c>
      <c r="B230" s="2043">
        <v>68024831</v>
      </c>
      <c r="C230" s="2043">
        <v>67725751</v>
      </c>
      <c r="D230" s="2043">
        <v>68024831</v>
      </c>
      <c r="E230" s="2043">
        <v>67725751</v>
      </c>
      <c r="F230" s="2043">
        <v>133639491</v>
      </c>
      <c r="G230" s="2043">
        <v>133340411</v>
      </c>
      <c r="H230" s="2043">
        <v>133639491</v>
      </c>
      <c r="I230" s="2043">
        <v>133340411</v>
      </c>
    </row>
    <row r="231" spans="1:9">
      <c r="A231" s="2043" t="s">
        <v>1013</v>
      </c>
      <c r="B231" s="2043">
        <v>242566126</v>
      </c>
      <c r="C231" s="2043">
        <v>231245050</v>
      </c>
      <c r="D231" s="2043">
        <v>242566126</v>
      </c>
      <c r="E231" s="2043">
        <v>231245050</v>
      </c>
      <c r="F231" s="2043">
        <v>242566126</v>
      </c>
      <c r="G231" s="2043">
        <v>231245050</v>
      </c>
      <c r="H231" s="2043">
        <v>242566126</v>
      </c>
      <c r="I231" s="2043">
        <v>231245050</v>
      </c>
    </row>
    <row r="232" spans="1:9">
      <c r="A232" s="2043" t="s">
        <v>603</v>
      </c>
      <c r="B232" s="2043">
        <v>70838094</v>
      </c>
      <c r="C232" s="2043">
        <v>68077329</v>
      </c>
      <c r="D232" s="2043">
        <v>70838094</v>
      </c>
      <c r="E232" s="2043">
        <v>68077329</v>
      </c>
      <c r="F232" s="2043">
        <v>70838094</v>
      </c>
      <c r="G232" s="2043">
        <v>68077329</v>
      </c>
      <c r="H232" s="2043">
        <v>70838094</v>
      </c>
      <c r="I232" s="2043">
        <v>68077329</v>
      </c>
    </row>
    <row r="233" spans="1:9">
      <c r="A233" s="2043" t="s">
        <v>1014</v>
      </c>
      <c r="B233" s="2043">
        <v>20169337202</v>
      </c>
      <c r="C233" s="2043">
        <v>19818562179</v>
      </c>
      <c r="D233" s="2043">
        <v>20169337202</v>
      </c>
      <c r="E233" s="2043">
        <v>19818562179</v>
      </c>
      <c r="F233" s="2043">
        <v>20169337202</v>
      </c>
      <c r="G233" s="2043">
        <v>19818562179</v>
      </c>
      <c r="H233" s="2043">
        <v>20169337202</v>
      </c>
      <c r="I233" s="2043">
        <v>19818562179</v>
      </c>
    </row>
    <row r="234" spans="1:9">
      <c r="A234" s="2043" t="s">
        <v>1673</v>
      </c>
      <c r="B234" s="2043">
        <v>42669300142</v>
      </c>
      <c r="C234" s="2043">
        <v>42071478491</v>
      </c>
      <c r="D234" s="2043">
        <v>42669300142</v>
      </c>
      <c r="E234" s="2043">
        <v>42071478491</v>
      </c>
      <c r="F234" s="2043">
        <v>42669300142</v>
      </c>
      <c r="G234" s="2043">
        <v>42071478491</v>
      </c>
      <c r="H234" s="2043">
        <v>42669300142</v>
      </c>
      <c r="I234" s="2043">
        <v>42071478491</v>
      </c>
    </row>
    <row r="235" spans="1:9">
      <c r="A235" s="2043" t="s">
        <v>198</v>
      </c>
      <c r="B235" s="2043">
        <v>876043551</v>
      </c>
      <c r="C235" s="2043">
        <v>858233136</v>
      </c>
      <c r="D235" s="2043">
        <v>876043551</v>
      </c>
      <c r="E235" s="2043">
        <v>858233136</v>
      </c>
      <c r="F235" s="2043">
        <v>876043551</v>
      </c>
      <c r="G235" s="2043">
        <v>858233136</v>
      </c>
      <c r="H235" s="2043">
        <v>876043551</v>
      </c>
      <c r="I235" s="2043">
        <v>858233136</v>
      </c>
    </row>
    <row r="236" spans="1:9">
      <c r="A236" s="2043" t="s">
        <v>676</v>
      </c>
      <c r="B236" s="2043">
        <v>958436654</v>
      </c>
      <c r="C236" s="2043">
        <v>937978072</v>
      </c>
      <c r="D236" s="2043">
        <v>958436654</v>
      </c>
      <c r="E236" s="2043">
        <v>937978072</v>
      </c>
      <c r="F236" s="2043">
        <v>958436654</v>
      </c>
      <c r="G236" s="2043">
        <v>937978072</v>
      </c>
      <c r="H236" s="2043">
        <v>958436654</v>
      </c>
      <c r="I236" s="2043">
        <v>937978072</v>
      </c>
    </row>
    <row r="237" spans="1:9">
      <c r="A237" s="2043" t="s">
        <v>200</v>
      </c>
      <c r="B237" s="2043">
        <v>785512653</v>
      </c>
      <c r="C237" s="2043">
        <v>769989586</v>
      </c>
      <c r="D237" s="2043">
        <v>785512653</v>
      </c>
      <c r="E237" s="2043">
        <v>769989586</v>
      </c>
      <c r="F237" s="2043">
        <v>785512653</v>
      </c>
      <c r="G237" s="2043">
        <v>769989586</v>
      </c>
      <c r="H237" s="2043">
        <v>785512653</v>
      </c>
      <c r="I237" s="2043">
        <v>769989586</v>
      </c>
    </row>
    <row r="238" spans="1:9">
      <c r="A238" s="2043" t="s">
        <v>1586</v>
      </c>
      <c r="B238" s="2043">
        <v>1185617076</v>
      </c>
      <c r="C238" s="2043">
        <v>1158247576</v>
      </c>
      <c r="D238" s="2043">
        <v>1185617076</v>
      </c>
      <c r="E238" s="2043">
        <v>1158247576</v>
      </c>
      <c r="F238" s="2043">
        <v>1185617076</v>
      </c>
      <c r="G238" s="2043">
        <v>1158247576</v>
      </c>
      <c r="H238" s="2043">
        <v>1185617076</v>
      </c>
      <c r="I238" s="2043">
        <v>1158247576</v>
      </c>
    </row>
    <row r="239" spans="1:9">
      <c r="A239" s="2043" t="s">
        <v>462</v>
      </c>
      <c r="B239" s="2043">
        <v>1232650802</v>
      </c>
      <c r="C239" s="2043">
        <v>1200355128</v>
      </c>
      <c r="D239" s="2043">
        <v>1232650802</v>
      </c>
      <c r="E239" s="2043">
        <v>1200355128</v>
      </c>
      <c r="F239" s="2043">
        <v>1232650802</v>
      </c>
      <c r="G239" s="2043">
        <v>1200355128</v>
      </c>
      <c r="H239" s="2043">
        <v>1232650802</v>
      </c>
      <c r="I239" s="2043">
        <v>1200355128</v>
      </c>
    </row>
    <row r="240" spans="1:9">
      <c r="A240" s="2043" t="s">
        <v>1734</v>
      </c>
      <c r="B240" s="2043">
        <v>2444932358</v>
      </c>
      <c r="C240" s="2043">
        <v>2409723208</v>
      </c>
      <c r="D240" s="2043">
        <v>2444932358</v>
      </c>
      <c r="E240" s="2043">
        <v>2409723208</v>
      </c>
      <c r="F240" s="2043">
        <v>2444932358</v>
      </c>
      <c r="G240" s="2043">
        <v>2409723208</v>
      </c>
      <c r="H240" s="2043">
        <v>2444932358</v>
      </c>
      <c r="I240" s="2043">
        <v>2409723208</v>
      </c>
    </row>
    <row r="241" spans="1:9">
      <c r="A241" s="2043" t="s">
        <v>1325</v>
      </c>
      <c r="B241" s="2043">
        <v>20067500899</v>
      </c>
      <c r="C241" s="2043">
        <v>19812032417</v>
      </c>
      <c r="D241" s="2043">
        <v>20067500899</v>
      </c>
      <c r="E241" s="2043">
        <v>19812032417</v>
      </c>
      <c r="F241" s="2043">
        <v>20067500899</v>
      </c>
      <c r="G241" s="2043">
        <v>19812032417</v>
      </c>
      <c r="H241" s="2043">
        <v>20067500899</v>
      </c>
      <c r="I241" s="2043">
        <v>19812032417</v>
      </c>
    </row>
    <row r="242" spans="1:9">
      <c r="A242" s="2043" t="s">
        <v>59</v>
      </c>
      <c r="B242" s="2043">
        <v>2180642548</v>
      </c>
      <c r="C242" s="2043">
        <v>2130539027</v>
      </c>
      <c r="D242" s="2043">
        <v>2180642548</v>
      </c>
      <c r="E242" s="2043">
        <v>2130539027</v>
      </c>
      <c r="F242" s="2043">
        <v>2180642548</v>
      </c>
      <c r="G242" s="2043">
        <v>2130539027</v>
      </c>
      <c r="H242" s="2043">
        <v>2180642548</v>
      </c>
      <c r="I242" s="2043">
        <v>2130539027</v>
      </c>
    </row>
    <row r="243" spans="1:9">
      <c r="A243" s="2043" t="s">
        <v>604</v>
      </c>
      <c r="B243" s="2043">
        <v>5178411664</v>
      </c>
      <c r="C243" s="2043">
        <v>5064669143</v>
      </c>
      <c r="D243" s="2043">
        <v>5178411664</v>
      </c>
      <c r="E243" s="2043">
        <v>5064669143</v>
      </c>
      <c r="F243" s="2043">
        <v>5178411664</v>
      </c>
      <c r="G243" s="2043">
        <v>5064669143</v>
      </c>
      <c r="H243" s="2043">
        <v>5178411664</v>
      </c>
      <c r="I243" s="2043">
        <v>5064669143</v>
      </c>
    </row>
    <row r="244" spans="1:9">
      <c r="A244" s="2043" t="s">
        <v>2364</v>
      </c>
      <c r="B244" s="2043">
        <v>1361933641</v>
      </c>
      <c r="C244" s="2043">
        <v>1344283381</v>
      </c>
      <c r="D244" s="2043">
        <v>1361933641</v>
      </c>
      <c r="E244" s="2043">
        <v>1344283381</v>
      </c>
      <c r="F244" s="2043">
        <v>1361933641</v>
      </c>
      <c r="G244" s="2043">
        <v>1344283381</v>
      </c>
      <c r="H244" s="2043">
        <v>1361933641</v>
      </c>
      <c r="I244" s="2043">
        <v>1344283381</v>
      </c>
    </row>
    <row r="245" spans="1:9">
      <c r="A245" s="2043" t="s">
        <v>1735</v>
      </c>
      <c r="B245" s="2043">
        <v>885355977</v>
      </c>
      <c r="C245" s="2043">
        <v>883296517</v>
      </c>
      <c r="D245" s="2043">
        <v>885355977</v>
      </c>
      <c r="E245" s="2043">
        <v>883296517</v>
      </c>
      <c r="F245" s="2043">
        <v>885355977</v>
      </c>
      <c r="G245" s="2043">
        <v>883296517</v>
      </c>
      <c r="H245" s="2043">
        <v>885355977</v>
      </c>
      <c r="I245" s="2043">
        <v>883296517</v>
      </c>
    </row>
    <row r="246" spans="1:9">
      <c r="A246" s="2043" t="s">
        <v>1114</v>
      </c>
      <c r="B246" s="2043">
        <v>787804466</v>
      </c>
      <c r="C246" s="2043">
        <v>768656674</v>
      </c>
      <c r="D246" s="2043">
        <v>787804466</v>
      </c>
      <c r="E246" s="2043">
        <v>768656674</v>
      </c>
      <c r="F246" s="2043">
        <v>1219785006</v>
      </c>
      <c r="G246" s="2043">
        <v>1200637214</v>
      </c>
      <c r="H246" s="2043">
        <v>1219785006</v>
      </c>
      <c r="I246" s="2043">
        <v>1200637214</v>
      </c>
    </row>
    <row r="247" spans="1:9">
      <c r="A247" s="2043" t="s">
        <v>1736</v>
      </c>
      <c r="B247" s="2043">
        <v>2538573761</v>
      </c>
      <c r="C247" s="2043">
        <v>2529735501</v>
      </c>
      <c r="D247" s="2043">
        <v>2538573761</v>
      </c>
      <c r="E247" s="2043">
        <v>2529735501</v>
      </c>
      <c r="F247" s="2043">
        <v>2538573761</v>
      </c>
      <c r="G247" s="2043">
        <v>2529735501</v>
      </c>
      <c r="H247" s="2043">
        <v>2538573761</v>
      </c>
      <c r="I247" s="2043">
        <v>2529735501</v>
      </c>
    </row>
    <row r="248" spans="1:9">
      <c r="A248" s="2043" t="s">
        <v>657</v>
      </c>
      <c r="B248" s="2043">
        <v>1109170908</v>
      </c>
      <c r="C248" s="2043">
        <v>1107905828</v>
      </c>
      <c r="D248" s="2043">
        <v>1109170908</v>
      </c>
      <c r="E248" s="2043">
        <v>1107905828</v>
      </c>
      <c r="F248" s="2043">
        <v>1109170908</v>
      </c>
      <c r="G248" s="2043">
        <v>1107905828</v>
      </c>
      <c r="H248" s="2043">
        <v>1109170908</v>
      </c>
      <c r="I248" s="2043">
        <v>1107905828</v>
      </c>
    </row>
    <row r="249" spans="1:9">
      <c r="A249" s="2043" t="s">
        <v>282</v>
      </c>
      <c r="B249" s="2043">
        <v>80550216</v>
      </c>
      <c r="C249" s="2043">
        <v>77251987</v>
      </c>
      <c r="D249" s="2043">
        <v>80550216</v>
      </c>
      <c r="E249" s="2043">
        <v>77251987</v>
      </c>
      <c r="F249" s="2043">
        <v>80550216</v>
      </c>
      <c r="G249" s="2043">
        <v>77251987</v>
      </c>
      <c r="H249" s="2043">
        <v>80550216</v>
      </c>
      <c r="I249" s="2043">
        <v>77251987</v>
      </c>
    </row>
    <row r="250" spans="1:9">
      <c r="A250" s="2043" t="s">
        <v>165</v>
      </c>
      <c r="B250" s="2043">
        <v>184917448</v>
      </c>
      <c r="C250" s="2043">
        <v>181920738</v>
      </c>
      <c r="D250" s="2043">
        <v>184917448</v>
      </c>
      <c r="E250" s="2043">
        <v>181920738</v>
      </c>
      <c r="F250" s="2043">
        <v>184917448</v>
      </c>
      <c r="G250" s="2043">
        <v>181920738</v>
      </c>
      <c r="H250" s="2043">
        <v>184917448</v>
      </c>
      <c r="I250" s="2043">
        <v>181920738</v>
      </c>
    </row>
    <row r="251" spans="1:9">
      <c r="A251" s="2043" t="s">
        <v>166</v>
      </c>
      <c r="B251" s="2043">
        <v>93766098</v>
      </c>
      <c r="C251" s="2043">
        <v>93204063</v>
      </c>
      <c r="D251" s="2043">
        <v>93766098</v>
      </c>
      <c r="E251" s="2043">
        <v>93204063</v>
      </c>
      <c r="F251" s="2043">
        <v>93766098</v>
      </c>
      <c r="G251" s="2043">
        <v>93204063</v>
      </c>
      <c r="H251" s="2043">
        <v>93766098</v>
      </c>
      <c r="I251" s="2043">
        <v>93204063</v>
      </c>
    </row>
    <row r="252" spans="1:9">
      <c r="A252" s="2043" t="s">
        <v>677</v>
      </c>
      <c r="B252" s="2043">
        <v>7205928799</v>
      </c>
      <c r="C252" s="2043">
        <v>7188998067</v>
      </c>
      <c r="D252" s="2043">
        <v>7192104169</v>
      </c>
      <c r="E252" s="2043">
        <v>7175173437</v>
      </c>
      <c r="F252" s="2043">
        <v>7205928799</v>
      </c>
      <c r="G252" s="2043">
        <v>7188998067</v>
      </c>
      <c r="H252" s="2043">
        <v>7192104169</v>
      </c>
      <c r="I252" s="2043">
        <v>7175173437</v>
      </c>
    </row>
    <row r="253" spans="1:9">
      <c r="A253" s="2043" t="s">
        <v>2485</v>
      </c>
      <c r="B253" s="2043">
        <v>309318970</v>
      </c>
      <c r="C253" s="2043">
        <v>303378371</v>
      </c>
      <c r="D253" s="2043">
        <v>309318970</v>
      </c>
      <c r="E253" s="2043">
        <v>303378371</v>
      </c>
      <c r="F253" s="2043">
        <v>309318970</v>
      </c>
      <c r="G253" s="2043">
        <v>303378371</v>
      </c>
      <c r="H253" s="2043">
        <v>309318970</v>
      </c>
      <c r="I253" s="2043">
        <v>303378371</v>
      </c>
    </row>
    <row r="254" spans="1:9">
      <c r="A254" s="2043" t="s">
        <v>1465</v>
      </c>
      <c r="B254" s="2043">
        <v>69422294</v>
      </c>
      <c r="C254" s="2043">
        <v>68783711</v>
      </c>
      <c r="D254" s="2043">
        <v>69422294</v>
      </c>
      <c r="E254" s="2043">
        <v>68783711</v>
      </c>
      <c r="F254" s="2043">
        <v>69422294</v>
      </c>
      <c r="G254" s="2043">
        <v>68783711</v>
      </c>
      <c r="H254" s="2043">
        <v>69422294</v>
      </c>
      <c r="I254" s="2043">
        <v>68783711</v>
      </c>
    </row>
    <row r="255" spans="1:9">
      <c r="A255" s="2043" t="s">
        <v>2486</v>
      </c>
      <c r="B255" s="2043">
        <v>27738736</v>
      </c>
      <c r="C255" s="2043">
        <v>27361091</v>
      </c>
      <c r="D255" s="2043">
        <v>27450079</v>
      </c>
      <c r="E255" s="2043">
        <v>27072434</v>
      </c>
      <c r="F255" s="2043">
        <v>27738736</v>
      </c>
      <c r="G255" s="2043">
        <v>27361091</v>
      </c>
      <c r="H255" s="2043">
        <v>27450079</v>
      </c>
      <c r="I255" s="2043">
        <v>27072434</v>
      </c>
    </row>
    <row r="256" spans="1:9">
      <c r="A256" s="2043" t="s">
        <v>2487</v>
      </c>
      <c r="B256" s="2043">
        <v>271866125</v>
      </c>
      <c r="C256" s="2043">
        <v>267714277</v>
      </c>
      <c r="D256" s="2043">
        <v>271866125</v>
      </c>
      <c r="E256" s="2043">
        <v>267714277</v>
      </c>
      <c r="F256" s="2043">
        <v>397702825</v>
      </c>
      <c r="G256" s="2043">
        <v>393550977</v>
      </c>
      <c r="H256" s="2043">
        <v>397702825</v>
      </c>
      <c r="I256" s="2043">
        <v>393550977</v>
      </c>
    </row>
    <row r="257" spans="1:9">
      <c r="A257" s="2043" t="s">
        <v>678</v>
      </c>
      <c r="B257" s="2043">
        <v>273767632</v>
      </c>
      <c r="C257" s="2043">
        <v>261341355</v>
      </c>
      <c r="D257" s="2043">
        <v>273767632</v>
      </c>
      <c r="E257" s="2043">
        <v>261341355</v>
      </c>
      <c r="F257" s="2043">
        <v>273767632</v>
      </c>
      <c r="G257" s="2043">
        <v>261341355</v>
      </c>
      <c r="H257" s="2043">
        <v>273767632</v>
      </c>
      <c r="I257" s="2043">
        <v>261341355</v>
      </c>
    </row>
    <row r="258" spans="1:9">
      <c r="A258" s="2043" t="s">
        <v>637</v>
      </c>
      <c r="B258" s="2043">
        <v>321798246</v>
      </c>
      <c r="C258" s="2043">
        <v>315454381</v>
      </c>
      <c r="D258" s="2043">
        <v>317377800</v>
      </c>
      <c r="E258" s="2043">
        <v>311033935</v>
      </c>
      <c r="F258" s="2043">
        <v>321798246</v>
      </c>
      <c r="G258" s="2043">
        <v>315454381</v>
      </c>
      <c r="H258" s="2043">
        <v>317377800</v>
      </c>
      <c r="I258" s="2043">
        <v>311033935</v>
      </c>
    </row>
    <row r="259" spans="1:9">
      <c r="A259" s="2043" t="s">
        <v>2030</v>
      </c>
      <c r="B259" s="2043">
        <v>586738032</v>
      </c>
      <c r="C259" s="2043">
        <v>576398062</v>
      </c>
      <c r="D259" s="2043">
        <v>586738032</v>
      </c>
      <c r="E259" s="2043">
        <v>576398062</v>
      </c>
      <c r="F259" s="2043">
        <v>586738032</v>
      </c>
      <c r="G259" s="2043">
        <v>576398062</v>
      </c>
      <c r="H259" s="2043">
        <v>586738032</v>
      </c>
      <c r="I259" s="2043">
        <v>576398062</v>
      </c>
    </row>
    <row r="260" spans="1:9">
      <c r="A260" s="2043" t="s">
        <v>2173</v>
      </c>
      <c r="B260" s="2043">
        <v>554425832</v>
      </c>
      <c r="C260" s="2043">
        <v>539955242</v>
      </c>
      <c r="D260" s="2043">
        <v>554425832</v>
      </c>
      <c r="E260" s="2043">
        <v>539955242</v>
      </c>
      <c r="F260" s="2043">
        <v>554425832</v>
      </c>
      <c r="G260" s="2043">
        <v>539955242</v>
      </c>
      <c r="H260" s="2043">
        <v>554425832</v>
      </c>
      <c r="I260" s="2043">
        <v>539955242</v>
      </c>
    </row>
    <row r="261" spans="1:9">
      <c r="A261" s="2043" t="s">
        <v>1691</v>
      </c>
      <c r="B261" s="2043">
        <v>128392820</v>
      </c>
      <c r="C261" s="2043">
        <v>124716103</v>
      </c>
      <c r="D261" s="2043">
        <v>128392820</v>
      </c>
      <c r="E261" s="2043">
        <v>124716103</v>
      </c>
      <c r="F261" s="2043">
        <v>128392820</v>
      </c>
      <c r="G261" s="2043">
        <v>124716103</v>
      </c>
      <c r="H261" s="2043">
        <v>128392820</v>
      </c>
      <c r="I261" s="2043">
        <v>124716103</v>
      </c>
    </row>
    <row r="262" spans="1:9">
      <c r="A262" s="2043" t="s">
        <v>579</v>
      </c>
      <c r="B262" s="2043">
        <v>158192083</v>
      </c>
      <c r="C262" s="2043">
        <v>154081413</v>
      </c>
      <c r="D262" s="2043">
        <v>158192083</v>
      </c>
      <c r="E262" s="2043">
        <v>154081413</v>
      </c>
      <c r="F262" s="2043">
        <v>158192083</v>
      </c>
      <c r="G262" s="2043">
        <v>154081413</v>
      </c>
      <c r="H262" s="2043">
        <v>158192083</v>
      </c>
      <c r="I262" s="2043">
        <v>154081413</v>
      </c>
    </row>
    <row r="263" spans="1:9">
      <c r="A263" s="2043" t="s">
        <v>870</v>
      </c>
      <c r="B263" s="2043">
        <v>57086492</v>
      </c>
      <c r="C263" s="2043">
        <v>54313062</v>
      </c>
      <c r="D263" s="2043">
        <v>57086492</v>
      </c>
      <c r="E263" s="2043">
        <v>54313062</v>
      </c>
      <c r="F263" s="2043">
        <v>57086492</v>
      </c>
      <c r="G263" s="2043">
        <v>54313062</v>
      </c>
      <c r="H263" s="2043">
        <v>57086492</v>
      </c>
      <c r="I263" s="2043">
        <v>54313062</v>
      </c>
    </row>
    <row r="264" spans="1:9">
      <c r="A264" s="2043" t="s">
        <v>2013</v>
      </c>
      <c r="B264" s="2043">
        <v>16042808340</v>
      </c>
      <c r="C264" s="2043">
        <v>15771631371</v>
      </c>
      <c r="D264" s="2043">
        <v>15572177373</v>
      </c>
      <c r="E264" s="2043">
        <v>15301000404</v>
      </c>
      <c r="F264" s="2043">
        <v>16042808340</v>
      </c>
      <c r="G264" s="2043">
        <v>15771631371</v>
      </c>
      <c r="H264" s="2043">
        <v>15572177373</v>
      </c>
      <c r="I264" s="2043">
        <v>15301000404</v>
      </c>
    </row>
    <row r="265" spans="1:9">
      <c r="A265" s="2043" t="s">
        <v>2438</v>
      </c>
      <c r="B265" s="2043">
        <v>424103565</v>
      </c>
      <c r="C265" s="2043">
        <v>420838397</v>
      </c>
      <c r="D265" s="2043">
        <v>424103565</v>
      </c>
      <c r="E265" s="2043">
        <v>420838397</v>
      </c>
      <c r="F265" s="2043">
        <v>424103565</v>
      </c>
      <c r="G265" s="2043">
        <v>420838397</v>
      </c>
      <c r="H265" s="2043">
        <v>424103565</v>
      </c>
      <c r="I265" s="2043">
        <v>420838397</v>
      </c>
    </row>
    <row r="266" spans="1:9">
      <c r="A266" s="2043" t="s">
        <v>2257</v>
      </c>
      <c r="B266" s="2043">
        <v>253880201</v>
      </c>
      <c r="C266" s="2043">
        <v>249943314</v>
      </c>
      <c r="D266" s="2043">
        <v>253880201</v>
      </c>
      <c r="E266" s="2043">
        <v>249943314</v>
      </c>
      <c r="F266" s="2043">
        <v>253880201</v>
      </c>
      <c r="G266" s="2043">
        <v>249943314</v>
      </c>
      <c r="H266" s="2043">
        <v>253880201</v>
      </c>
      <c r="I266" s="2043">
        <v>249943314</v>
      </c>
    </row>
    <row r="267" spans="1:9">
      <c r="A267" s="2043" t="s">
        <v>232</v>
      </c>
      <c r="B267" s="2043">
        <v>45740116</v>
      </c>
      <c r="C267" s="2043">
        <v>44384090</v>
      </c>
      <c r="D267" s="2043">
        <v>45740116</v>
      </c>
      <c r="E267" s="2043">
        <v>44384090</v>
      </c>
      <c r="F267" s="2043">
        <v>45740116</v>
      </c>
      <c r="G267" s="2043">
        <v>44384090</v>
      </c>
      <c r="H267" s="2043">
        <v>45740116</v>
      </c>
      <c r="I267" s="2043">
        <v>44384090</v>
      </c>
    </row>
    <row r="268" spans="1:9">
      <c r="A268" s="2043" t="s">
        <v>1320</v>
      </c>
      <c r="B268" s="2043">
        <v>2432655044</v>
      </c>
      <c r="C268" s="2043">
        <v>2385155025</v>
      </c>
      <c r="D268" s="2043">
        <v>2432655044</v>
      </c>
      <c r="E268" s="2043">
        <v>2385155025</v>
      </c>
      <c r="F268" s="2043">
        <v>2432655044</v>
      </c>
      <c r="G268" s="2043">
        <v>2385155025</v>
      </c>
      <c r="H268" s="2043">
        <v>2432655044</v>
      </c>
      <c r="I268" s="2043">
        <v>2385155025</v>
      </c>
    </row>
    <row r="269" spans="1:9">
      <c r="A269" s="2043" t="s">
        <v>1321</v>
      </c>
      <c r="B269" s="2043">
        <v>520739433</v>
      </c>
      <c r="C269" s="2043">
        <v>503586304</v>
      </c>
      <c r="D269" s="2043">
        <v>520739433</v>
      </c>
      <c r="E269" s="2043">
        <v>503586304</v>
      </c>
      <c r="F269" s="2043">
        <v>520739433</v>
      </c>
      <c r="G269" s="2043">
        <v>503586304</v>
      </c>
      <c r="H269" s="2043">
        <v>520739433</v>
      </c>
      <c r="I269" s="2043">
        <v>503586304</v>
      </c>
    </row>
    <row r="270" spans="1:9">
      <c r="A270" s="2043" t="s">
        <v>679</v>
      </c>
      <c r="B270" s="2043">
        <v>153833010</v>
      </c>
      <c r="C270" s="2043">
        <v>148304804</v>
      </c>
      <c r="D270" s="2043">
        <v>153833010</v>
      </c>
      <c r="E270" s="2043">
        <v>148304804</v>
      </c>
      <c r="F270" s="2043">
        <v>153833010</v>
      </c>
      <c r="G270" s="2043">
        <v>148304804</v>
      </c>
      <c r="H270" s="2043">
        <v>153833010</v>
      </c>
      <c r="I270" s="2043">
        <v>148304804</v>
      </c>
    </row>
    <row r="271" spans="1:9">
      <c r="A271" s="2043" t="s">
        <v>1316</v>
      </c>
      <c r="B271" s="2043">
        <v>4858157941</v>
      </c>
      <c r="C271" s="2043">
        <v>4748005971</v>
      </c>
      <c r="D271" s="2043">
        <v>4699254590</v>
      </c>
      <c r="E271" s="2043">
        <v>4589102620</v>
      </c>
      <c r="F271" s="2043">
        <v>4858157941</v>
      </c>
      <c r="G271" s="2043">
        <v>4748005971</v>
      </c>
      <c r="H271" s="2043">
        <v>4699254590</v>
      </c>
      <c r="I271" s="2043">
        <v>4589102620</v>
      </c>
    </row>
    <row r="272" spans="1:9">
      <c r="A272" s="2043" t="s">
        <v>883</v>
      </c>
      <c r="B272" s="2043">
        <v>102367164</v>
      </c>
      <c r="C272" s="2043">
        <v>100279442</v>
      </c>
      <c r="D272" s="2043">
        <v>102367164</v>
      </c>
      <c r="E272" s="2043">
        <v>100279442</v>
      </c>
      <c r="F272" s="2043">
        <v>102367164</v>
      </c>
      <c r="G272" s="2043">
        <v>100279442</v>
      </c>
      <c r="H272" s="2043">
        <v>102367164</v>
      </c>
      <c r="I272" s="2043">
        <v>100279442</v>
      </c>
    </row>
    <row r="273" spans="1:9">
      <c r="A273" s="2043" t="s">
        <v>233</v>
      </c>
      <c r="B273" s="2043">
        <v>360971211</v>
      </c>
      <c r="C273" s="2043">
        <v>349292050</v>
      </c>
      <c r="D273" s="2043">
        <v>360971211</v>
      </c>
      <c r="E273" s="2043">
        <v>349292050</v>
      </c>
      <c r="F273" s="2043">
        <v>360971211</v>
      </c>
      <c r="G273" s="2043">
        <v>349292050</v>
      </c>
      <c r="H273" s="2043">
        <v>360971211</v>
      </c>
      <c r="I273" s="2043">
        <v>349292050</v>
      </c>
    </row>
    <row r="274" spans="1:9">
      <c r="A274" s="2043" t="s">
        <v>1971</v>
      </c>
      <c r="B274" s="2043">
        <v>2115263429</v>
      </c>
      <c r="C274" s="2043">
        <v>2049417622</v>
      </c>
      <c r="D274" s="2043">
        <v>2115263429</v>
      </c>
      <c r="E274" s="2043">
        <v>2049417622</v>
      </c>
      <c r="F274" s="2043">
        <v>2147524389</v>
      </c>
      <c r="G274" s="2043">
        <v>2081678582</v>
      </c>
      <c r="H274" s="2043">
        <v>2147524389</v>
      </c>
      <c r="I274" s="2043">
        <v>2081678582</v>
      </c>
    </row>
    <row r="275" spans="1:9">
      <c r="A275" s="2043" t="s">
        <v>326</v>
      </c>
      <c r="B275" s="2043">
        <v>4627812080</v>
      </c>
      <c r="C275" s="2043">
        <v>4524223602</v>
      </c>
      <c r="D275" s="2043">
        <v>4627812080</v>
      </c>
      <c r="E275" s="2043">
        <v>4524223602</v>
      </c>
      <c r="F275" s="2043">
        <v>4627812080</v>
      </c>
      <c r="G275" s="2043">
        <v>4524223602</v>
      </c>
      <c r="H275" s="2043">
        <v>4627812080</v>
      </c>
      <c r="I275" s="2043">
        <v>4524223602</v>
      </c>
    </row>
    <row r="276" spans="1:9">
      <c r="A276" s="2043" t="s">
        <v>680</v>
      </c>
      <c r="B276" s="2043">
        <v>406057050</v>
      </c>
      <c r="C276" s="2043">
        <v>393981981</v>
      </c>
      <c r="D276" s="2043">
        <v>406057050</v>
      </c>
      <c r="E276" s="2043">
        <v>393981981</v>
      </c>
      <c r="F276" s="2043">
        <v>406057050</v>
      </c>
      <c r="G276" s="2043">
        <v>393981981</v>
      </c>
      <c r="H276" s="2043">
        <v>406057050</v>
      </c>
      <c r="I276" s="2043">
        <v>393981981</v>
      </c>
    </row>
    <row r="277" spans="1:9">
      <c r="A277" s="2043" t="s">
        <v>541</v>
      </c>
      <c r="B277" s="2043">
        <v>1527720272</v>
      </c>
      <c r="C277" s="2043">
        <v>1459376343</v>
      </c>
      <c r="D277" s="2043">
        <v>1527720272</v>
      </c>
      <c r="E277" s="2043">
        <v>1459376343</v>
      </c>
      <c r="F277" s="2043">
        <v>1527720272</v>
      </c>
      <c r="G277" s="2043">
        <v>1459376343</v>
      </c>
      <c r="H277" s="2043">
        <v>1527720272</v>
      </c>
      <c r="I277" s="2043">
        <v>1459376343</v>
      </c>
    </row>
    <row r="278" spans="1:9">
      <c r="A278" s="2043" t="s">
        <v>2275</v>
      </c>
      <c r="B278" s="2043">
        <v>17269819621</v>
      </c>
      <c r="C278" s="2043">
        <v>16727225025</v>
      </c>
      <c r="D278" s="2043">
        <v>17269819621</v>
      </c>
      <c r="E278" s="2043">
        <v>16727225025</v>
      </c>
      <c r="F278" s="2043">
        <v>17269819621</v>
      </c>
      <c r="G278" s="2043">
        <v>16727225025</v>
      </c>
      <c r="H278" s="2043">
        <v>17269819621</v>
      </c>
      <c r="I278" s="2043">
        <v>16727225025</v>
      </c>
    </row>
    <row r="279" spans="1:9">
      <c r="A279" s="2043" t="s">
        <v>730</v>
      </c>
      <c r="B279" s="2043">
        <v>214799875</v>
      </c>
      <c r="C279" s="2043">
        <v>206081440</v>
      </c>
      <c r="D279" s="2043">
        <v>214799875</v>
      </c>
      <c r="E279" s="2043">
        <v>206081440</v>
      </c>
      <c r="F279" s="2043">
        <v>214799875</v>
      </c>
      <c r="G279" s="2043">
        <v>206081440</v>
      </c>
      <c r="H279" s="2043">
        <v>214799875</v>
      </c>
      <c r="I279" s="2043">
        <v>206081440</v>
      </c>
    </row>
    <row r="280" spans="1:9">
      <c r="A280" s="2043" t="s">
        <v>173</v>
      </c>
      <c r="B280" s="2043">
        <v>256020095</v>
      </c>
      <c r="C280" s="2043">
        <v>241024086</v>
      </c>
      <c r="D280" s="2043">
        <v>256020095</v>
      </c>
      <c r="E280" s="2043">
        <v>241024086</v>
      </c>
      <c r="F280" s="2043">
        <v>256020095</v>
      </c>
      <c r="G280" s="2043">
        <v>241024086</v>
      </c>
      <c r="H280" s="2043">
        <v>256020095</v>
      </c>
      <c r="I280" s="2043">
        <v>241024086</v>
      </c>
    </row>
    <row r="281" spans="1:9">
      <c r="A281" s="2043" t="s">
        <v>1115</v>
      </c>
      <c r="B281" s="2043">
        <v>7812400850</v>
      </c>
      <c r="C281" s="2043">
        <v>7457837359</v>
      </c>
      <c r="D281" s="2043">
        <v>7413218672</v>
      </c>
      <c r="E281" s="2043">
        <v>7058655181</v>
      </c>
      <c r="F281" s="2043">
        <v>7812400850</v>
      </c>
      <c r="G281" s="2043">
        <v>7457837359</v>
      </c>
      <c r="H281" s="2043">
        <v>7413218672</v>
      </c>
      <c r="I281" s="2043">
        <v>7058655181</v>
      </c>
    </row>
    <row r="282" spans="1:9">
      <c r="A282" s="2043" t="s">
        <v>1979</v>
      </c>
      <c r="B282" s="2043">
        <v>204843887</v>
      </c>
      <c r="C282" s="2043">
        <v>197580961</v>
      </c>
      <c r="D282" s="2043">
        <v>204843887</v>
      </c>
      <c r="E282" s="2043">
        <v>197580961</v>
      </c>
      <c r="F282" s="2043">
        <v>204843887</v>
      </c>
      <c r="G282" s="2043">
        <v>197580961</v>
      </c>
      <c r="H282" s="2043">
        <v>204843887</v>
      </c>
      <c r="I282" s="2043">
        <v>197580961</v>
      </c>
    </row>
    <row r="283" spans="1:9">
      <c r="A283" s="2043" t="s">
        <v>1781</v>
      </c>
      <c r="B283" s="2043">
        <v>2518196056</v>
      </c>
      <c r="C283" s="2043">
        <v>2459394052</v>
      </c>
      <c r="D283" s="2043">
        <v>2518196056</v>
      </c>
      <c r="E283" s="2043">
        <v>2459394052</v>
      </c>
      <c r="F283" s="2043">
        <v>2518196056</v>
      </c>
      <c r="G283" s="2043">
        <v>2459394052</v>
      </c>
      <c r="H283" s="2043">
        <v>2518196056</v>
      </c>
      <c r="I283" s="2043">
        <v>2459394052</v>
      </c>
    </row>
    <row r="284" spans="1:9">
      <c r="A284" s="2043" t="s">
        <v>1428</v>
      </c>
      <c r="B284" s="2043">
        <v>84364140</v>
      </c>
      <c r="C284" s="2043">
        <v>81607769</v>
      </c>
      <c r="D284" s="2043">
        <v>84364140</v>
      </c>
      <c r="E284" s="2043">
        <v>81607769</v>
      </c>
      <c r="F284" s="2043">
        <v>84364140</v>
      </c>
      <c r="G284" s="2043">
        <v>81607769</v>
      </c>
      <c r="H284" s="2043">
        <v>84364140</v>
      </c>
      <c r="I284" s="2043">
        <v>81607769</v>
      </c>
    </row>
    <row r="285" spans="1:9">
      <c r="A285" s="2043" t="s">
        <v>1081</v>
      </c>
      <c r="B285" s="2043">
        <v>11286539084</v>
      </c>
      <c r="C285" s="2043">
        <v>10840919472</v>
      </c>
      <c r="D285" s="2043">
        <v>11286539084</v>
      </c>
      <c r="E285" s="2043">
        <v>10840919472</v>
      </c>
      <c r="F285" s="2043">
        <v>11286539084</v>
      </c>
      <c r="G285" s="2043">
        <v>10840919472</v>
      </c>
      <c r="H285" s="2043">
        <v>11286539084</v>
      </c>
      <c r="I285" s="2043">
        <v>10840919472</v>
      </c>
    </row>
    <row r="286" spans="1:9">
      <c r="A286" s="2043" t="s">
        <v>2276</v>
      </c>
      <c r="B286" s="2043">
        <v>57642463</v>
      </c>
      <c r="C286" s="2043">
        <v>56383893</v>
      </c>
      <c r="D286" s="2043">
        <v>57642463</v>
      </c>
      <c r="E286" s="2043">
        <v>56383893</v>
      </c>
      <c r="F286" s="2043">
        <v>57642463</v>
      </c>
      <c r="G286" s="2043">
        <v>56383893</v>
      </c>
      <c r="H286" s="2043">
        <v>57642463</v>
      </c>
      <c r="I286" s="2043">
        <v>56383893</v>
      </c>
    </row>
    <row r="287" spans="1:9">
      <c r="A287" s="2043" t="s">
        <v>2277</v>
      </c>
      <c r="B287" s="2043">
        <v>374355372</v>
      </c>
      <c r="C287" s="2043">
        <v>361252037</v>
      </c>
      <c r="D287" s="2043">
        <v>374355372</v>
      </c>
      <c r="E287" s="2043">
        <v>361252037</v>
      </c>
      <c r="F287" s="2043">
        <v>374355372</v>
      </c>
      <c r="G287" s="2043">
        <v>361252037</v>
      </c>
      <c r="H287" s="2043">
        <v>374355372</v>
      </c>
      <c r="I287" s="2043">
        <v>361252037</v>
      </c>
    </row>
    <row r="288" spans="1:9">
      <c r="A288" s="2043" t="s">
        <v>1422</v>
      </c>
      <c r="B288" s="2043">
        <v>1990069620</v>
      </c>
      <c r="C288" s="2043">
        <v>1947167550</v>
      </c>
      <c r="D288" s="2043">
        <v>1990069620</v>
      </c>
      <c r="E288" s="2043">
        <v>1947167550</v>
      </c>
      <c r="F288" s="2043">
        <v>1990069620</v>
      </c>
      <c r="G288" s="2043">
        <v>1947167550</v>
      </c>
      <c r="H288" s="2043">
        <v>1990069620</v>
      </c>
      <c r="I288" s="2043">
        <v>1947167550</v>
      </c>
    </row>
    <row r="289" spans="1:9">
      <c r="A289" s="2043" t="s">
        <v>1727</v>
      </c>
      <c r="B289" s="2043">
        <v>177682469</v>
      </c>
      <c r="C289" s="2043">
        <v>174281169</v>
      </c>
      <c r="D289" s="2043">
        <v>177682469</v>
      </c>
      <c r="E289" s="2043">
        <v>174281169</v>
      </c>
      <c r="F289" s="2043">
        <v>177682469</v>
      </c>
      <c r="G289" s="2043">
        <v>174281169</v>
      </c>
      <c r="H289" s="2043">
        <v>177682469</v>
      </c>
      <c r="I289" s="2043">
        <v>174281169</v>
      </c>
    </row>
    <row r="290" spans="1:9">
      <c r="A290" s="2043" t="s">
        <v>1728</v>
      </c>
      <c r="B290" s="2043">
        <v>182961667</v>
      </c>
      <c r="C290" s="2043">
        <v>179391386</v>
      </c>
      <c r="D290" s="2043">
        <v>182961667</v>
      </c>
      <c r="E290" s="2043">
        <v>179391386</v>
      </c>
      <c r="F290" s="2043">
        <v>283741727</v>
      </c>
      <c r="G290" s="2043">
        <v>280171446</v>
      </c>
      <c r="H290" s="2043">
        <v>283741727</v>
      </c>
      <c r="I290" s="2043">
        <v>280171446</v>
      </c>
    </row>
    <row r="291" spans="1:9">
      <c r="A291" s="2043" t="s">
        <v>1160</v>
      </c>
      <c r="B291" s="2043">
        <v>114277934</v>
      </c>
      <c r="C291" s="2043">
        <v>111937654</v>
      </c>
      <c r="D291" s="2043">
        <v>114277934</v>
      </c>
      <c r="E291" s="2043">
        <v>111937654</v>
      </c>
      <c r="F291" s="2043">
        <v>114277934</v>
      </c>
      <c r="G291" s="2043">
        <v>111937654</v>
      </c>
      <c r="H291" s="2043">
        <v>114277934</v>
      </c>
      <c r="I291" s="2043">
        <v>111937654</v>
      </c>
    </row>
    <row r="292" spans="1:9">
      <c r="A292" s="2043" t="s">
        <v>1729</v>
      </c>
      <c r="B292" s="2043">
        <v>106080866</v>
      </c>
      <c r="C292" s="2043">
        <v>103439566</v>
      </c>
      <c r="D292" s="2043">
        <v>106080866</v>
      </c>
      <c r="E292" s="2043">
        <v>103439566</v>
      </c>
      <c r="F292" s="2043">
        <v>106080866</v>
      </c>
      <c r="G292" s="2043">
        <v>103439566</v>
      </c>
      <c r="H292" s="2043">
        <v>106080866</v>
      </c>
      <c r="I292" s="2043">
        <v>103439566</v>
      </c>
    </row>
    <row r="293" spans="1:9">
      <c r="A293" s="2043" t="s">
        <v>187</v>
      </c>
      <c r="B293" s="2043">
        <v>83334069</v>
      </c>
      <c r="C293" s="2043">
        <v>79778528</v>
      </c>
      <c r="D293" s="2043">
        <v>83334069</v>
      </c>
      <c r="E293" s="2043">
        <v>79778528</v>
      </c>
      <c r="F293" s="2043">
        <v>83334069</v>
      </c>
      <c r="G293" s="2043">
        <v>79778528</v>
      </c>
      <c r="H293" s="2043">
        <v>83334069</v>
      </c>
      <c r="I293" s="2043">
        <v>79778528</v>
      </c>
    </row>
    <row r="294" spans="1:9">
      <c r="A294" s="2043" t="s">
        <v>1730</v>
      </c>
      <c r="B294" s="2043">
        <v>291724746</v>
      </c>
      <c r="C294" s="2043">
        <v>279731203</v>
      </c>
      <c r="D294" s="2043">
        <v>291724746</v>
      </c>
      <c r="E294" s="2043">
        <v>279731203</v>
      </c>
      <c r="F294" s="2043">
        <v>291724746</v>
      </c>
      <c r="G294" s="2043">
        <v>279731203</v>
      </c>
      <c r="H294" s="2043">
        <v>291724746</v>
      </c>
      <c r="I294" s="2043">
        <v>279731203</v>
      </c>
    </row>
    <row r="295" spans="1:9">
      <c r="A295" s="2043" t="s">
        <v>1738</v>
      </c>
      <c r="B295" s="2043">
        <v>20295514</v>
      </c>
      <c r="C295" s="2043">
        <v>19140533</v>
      </c>
      <c r="D295" s="2043">
        <v>20295514</v>
      </c>
      <c r="E295" s="2043">
        <v>19140533</v>
      </c>
      <c r="F295" s="2043">
        <v>20295514</v>
      </c>
      <c r="G295" s="2043">
        <v>19140533</v>
      </c>
      <c r="H295" s="2043">
        <v>20295514</v>
      </c>
      <c r="I295" s="2043">
        <v>19140533</v>
      </c>
    </row>
    <row r="296" spans="1:9">
      <c r="A296" s="2043" t="s">
        <v>188</v>
      </c>
      <c r="B296" s="2043">
        <v>237768555</v>
      </c>
      <c r="C296" s="2043">
        <v>228025551</v>
      </c>
      <c r="D296" s="2043">
        <v>237768555</v>
      </c>
      <c r="E296" s="2043">
        <v>228025551</v>
      </c>
      <c r="F296" s="2043">
        <v>237768555</v>
      </c>
      <c r="G296" s="2043">
        <v>228025551</v>
      </c>
      <c r="H296" s="2043">
        <v>237768555</v>
      </c>
      <c r="I296" s="2043">
        <v>228025551</v>
      </c>
    </row>
    <row r="297" spans="1:9">
      <c r="A297" s="2043" t="s">
        <v>189</v>
      </c>
      <c r="B297" s="2043">
        <v>816457705</v>
      </c>
      <c r="C297" s="2043">
        <v>786061851</v>
      </c>
      <c r="D297" s="2043">
        <v>816457705</v>
      </c>
      <c r="E297" s="2043">
        <v>786061851</v>
      </c>
      <c r="F297" s="2043">
        <v>816457705</v>
      </c>
      <c r="G297" s="2043">
        <v>786061851</v>
      </c>
      <c r="H297" s="2043">
        <v>816457705</v>
      </c>
      <c r="I297" s="2043">
        <v>786061851</v>
      </c>
    </row>
    <row r="298" spans="1:9">
      <c r="A298" s="2043" t="s">
        <v>1161</v>
      </c>
      <c r="B298" s="2043">
        <v>73180737</v>
      </c>
      <c r="C298" s="2043">
        <v>70319221</v>
      </c>
      <c r="D298" s="2043">
        <v>73180737</v>
      </c>
      <c r="E298" s="2043">
        <v>70319221</v>
      </c>
      <c r="F298" s="2043">
        <v>73180737</v>
      </c>
      <c r="G298" s="2043">
        <v>70319221</v>
      </c>
      <c r="H298" s="2043">
        <v>73180737</v>
      </c>
      <c r="I298" s="2043">
        <v>70319221</v>
      </c>
    </row>
    <row r="299" spans="1:9">
      <c r="A299" s="2043" t="s">
        <v>681</v>
      </c>
      <c r="B299" s="2043">
        <v>59639075</v>
      </c>
      <c r="C299" s="2043">
        <v>57212639</v>
      </c>
      <c r="D299" s="2043">
        <v>59639075</v>
      </c>
      <c r="E299" s="2043">
        <v>57212639</v>
      </c>
      <c r="F299" s="2043">
        <v>59639075</v>
      </c>
      <c r="G299" s="2043">
        <v>57212639</v>
      </c>
      <c r="H299" s="2043">
        <v>59639075</v>
      </c>
      <c r="I299" s="2043">
        <v>57212639</v>
      </c>
    </row>
    <row r="300" spans="1:9">
      <c r="A300" s="2043" t="s">
        <v>190</v>
      </c>
      <c r="B300" s="2043">
        <v>223131518</v>
      </c>
      <c r="C300" s="2043">
        <v>215261261</v>
      </c>
      <c r="D300" s="2043">
        <v>223131518</v>
      </c>
      <c r="E300" s="2043">
        <v>215261261</v>
      </c>
      <c r="F300" s="2043">
        <v>223131518</v>
      </c>
      <c r="G300" s="2043">
        <v>215261261</v>
      </c>
      <c r="H300" s="2043">
        <v>223131518</v>
      </c>
      <c r="I300" s="2043">
        <v>215261261</v>
      </c>
    </row>
    <row r="301" spans="1:9">
      <c r="A301" s="2043" t="s">
        <v>191</v>
      </c>
      <c r="B301" s="2043">
        <v>244909393</v>
      </c>
      <c r="C301" s="2043">
        <v>236129279</v>
      </c>
      <c r="D301" s="2043">
        <v>244909393</v>
      </c>
      <c r="E301" s="2043">
        <v>236129279</v>
      </c>
      <c r="F301" s="2043">
        <v>244909393</v>
      </c>
      <c r="G301" s="2043">
        <v>236129279</v>
      </c>
      <c r="H301" s="2043">
        <v>244909393</v>
      </c>
      <c r="I301" s="2043">
        <v>236129279</v>
      </c>
    </row>
    <row r="302" spans="1:9">
      <c r="A302" s="2043" t="s">
        <v>1644</v>
      </c>
      <c r="B302" s="2043">
        <v>125204185</v>
      </c>
      <c r="C302" s="2043">
        <v>120373445</v>
      </c>
      <c r="D302" s="2043">
        <v>125204185</v>
      </c>
      <c r="E302" s="2043">
        <v>120373445</v>
      </c>
      <c r="F302" s="2043">
        <v>125204185</v>
      </c>
      <c r="G302" s="2043">
        <v>120373445</v>
      </c>
      <c r="H302" s="2043">
        <v>125204185</v>
      </c>
      <c r="I302" s="2043">
        <v>120373445</v>
      </c>
    </row>
    <row r="303" spans="1:9">
      <c r="A303" s="2043" t="s">
        <v>1645</v>
      </c>
      <c r="B303" s="2043">
        <v>264249865</v>
      </c>
      <c r="C303" s="2043">
        <v>255429092</v>
      </c>
      <c r="D303" s="2043">
        <v>264249865</v>
      </c>
      <c r="E303" s="2043">
        <v>255429092</v>
      </c>
      <c r="F303" s="2043">
        <v>264249865</v>
      </c>
      <c r="G303" s="2043">
        <v>255429092</v>
      </c>
      <c r="H303" s="2043">
        <v>264249865</v>
      </c>
      <c r="I303" s="2043">
        <v>255429092</v>
      </c>
    </row>
    <row r="304" spans="1:9">
      <c r="A304" s="2043" t="s">
        <v>1162</v>
      </c>
      <c r="B304" s="2043">
        <v>133164348</v>
      </c>
      <c r="C304" s="2043">
        <v>126471007</v>
      </c>
      <c r="D304" s="2043">
        <v>133164348</v>
      </c>
      <c r="E304" s="2043">
        <v>126471007</v>
      </c>
      <c r="F304" s="2043">
        <v>133164348</v>
      </c>
      <c r="G304" s="2043">
        <v>126471007</v>
      </c>
      <c r="H304" s="2043">
        <v>133164348</v>
      </c>
      <c r="I304" s="2043">
        <v>126471007</v>
      </c>
    </row>
    <row r="305" spans="1:9">
      <c r="A305" s="2043" t="s">
        <v>2428</v>
      </c>
      <c r="B305" s="2043">
        <v>481622112</v>
      </c>
      <c r="C305" s="2043">
        <v>472248251</v>
      </c>
      <c r="D305" s="2043">
        <v>481622112</v>
      </c>
      <c r="E305" s="2043">
        <v>472248251</v>
      </c>
      <c r="F305" s="2043">
        <v>481622112</v>
      </c>
      <c r="G305" s="2043">
        <v>472248251</v>
      </c>
      <c r="H305" s="2043">
        <v>481622112</v>
      </c>
      <c r="I305" s="2043">
        <v>472248251</v>
      </c>
    </row>
    <row r="306" spans="1:9">
      <c r="A306" s="2043" t="s">
        <v>1601</v>
      </c>
      <c r="B306" s="2043">
        <v>1291022326</v>
      </c>
      <c r="C306" s="2043">
        <v>1260325953</v>
      </c>
      <c r="D306" s="2043">
        <v>1291022326</v>
      </c>
      <c r="E306" s="2043">
        <v>1260325953</v>
      </c>
      <c r="F306" s="2043">
        <v>1291022326</v>
      </c>
      <c r="G306" s="2043">
        <v>1260325953</v>
      </c>
      <c r="H306" s="2043">
        <v>1291022326</v>
      </c>
      <c r="I306" s="2043">
        <v>1260325953</v>
      </c>
    </row>
    <row r="307" spans="1:9">
      <c r="A307" s="2043" t="s">
        <v>1602</v>
      </c>
      <c r="B307" s="2043">
        <v>515499089</v>
      </c>
      <c r="C307" s="2043">
        <v>502638110</v>
      </c>
      <c r="D307" s="2043">
        <v>515499089</v>
      </c>
      <c r="E307" s="2043">
        <v>502638110</v>
      </c>
      <c r="F307" s="2043">
        <v>515499089</v>
      </c>
      <c r="G307" s="2043">
        <v>502638110</v>
      </c>
      <c r="H307" s="2043">
        <v>515499089</v>
      </c>
      <c r="I307" s="2043">
        <v>502638110</v>
      </c>
    </row>
    <row r="308" spans="1:9">
      <c r="A308" s="2043" t="s">
        <v>873</v>
      </c>
      <c r="B308" s="2043">
        <v>250958421</v>
      </c>
      <c r="C308" s="2043">
        <v>245751785</v>
      </c>
      <c r="D308" s="2043">
        <v>250958421</v>
      </c>
      <c r="E308" s="2043">
        <v>245751785</v>
      </c>
      <c r="F308" s="2043">
        <v>250958421</v>
      </c>
      <c r="G308" s="2043">
        <v>245751785</v>
      </c>
      <c r="H308" s="2043">
        <v>250958421</v>
      </c>
      <c r="I308" s="2043">
        <v>245751785</v>
      </c>
    </row>
    <row r="309" spans="1:9">
      <c r="A309" s="2043" t="s">
        <v>63</v>
      </c>
      <c r="B309" s="2043">
        <v>415089042</v>
      </c>
      <c r="C309" s="2043">
        <v>408968247</v>
      </c>
      <c r="D309" s="2043">
        <v>401030986</v>
      </c>
      <c r="E309" s="2043">
        <v>394910191</v>
      </c>
      <c r="F309" s="2043">
        <v>415089042</v>
      </c>
      <c r="G309" s="2043">
        <v>408968247</v>
      </c>
      <c r="H309" s="2043">
        <v>401030986</v>
      </c>
      <c r="I309" s="2043">
        <v>394910191</v>
      </c>
    </row>
    <row r="310" spans="1:9">
      <c r="A310" s="2043" t="s">
        <v>710</v>
      </c>
      <c r="B310" s="2043">
        <v>131644145</v>
      </c>
      <c r="C310" s="2043">
        <v>128289985</v>
      </c>
      <c r="D310" s="2043">
        <v>131644145</v>
      </c>
      <c r="E310" s="2043">
        <v>128289985</v>
      </c>
      <c r="F310" s="2043">
        <v>131644145</v>
      </c>
      <c r="G310" s="2043">
        <v>128289985</v>
      </c>
      <c r="H310" s="2043">
        <v>131644145</v>
      </c>
      <c r="I310" s="2043">
        <v>128289985</v>
      </c>
    </row>
    <row r="311" spans="1:9">
      <c r="A311" s="2043" t="s">
        <v>2365</v>
      </c>
      <c r="B311" s="2043">
        <v>177787026</v>
      </c>
      <c r="C311" s="2043">
        <v>173965786</v>
      </c>
      <c r="D311" s="2043">
        <v>177787026</v>
      </c>
      <c r="E311" s="2043">
        <v>173965786</v>
      </c>
      <c r="F311" s="2043">
        <v>191664026</v>
      </c>
      <c r="G311" s="2043">
        <v>187842786</v>
      </c>
      <c r="H311" s="2043">
        <v>191664026</v>
      </c>
      <c r="I311" s="2043">
        <v>187842786</v>
      </c>
    </row>
    <row r="312" spans="1:9">
      <c r="A312" s="2043" t="s">
        <v>590</v>
      </c>
      <c r="B312" s="2043">
        <v>330051500</v>
      </c>
      <c r="C312" s="2043">
        <v>323631170</v>
      </c>
      <c r="D312" s="2043">
        <v>330051500</v>
      </c>
      <c r="E312" s="2043">
        <v>323631170</v>
      </c>
      <c r="F312" s="2043">
        <v>767186290</v>
      </c>
      <c r="G312" s="2043">
        <v>760765960</v>
      </c>
      <c r="H312" s="2043">
        <v>767186290</v>
      </c>
      <c r="I312" s="2043">
        <v>760765960</v>
      </c>
    </row>
    <row r="313" spans="1:9">
      <c r="A313" s="2043" t="s">
        <v>591</v>
      </c>
      <c r="B313" s="2043">
        <v>130867208</v>
      </c>
      <c r="C313" s="2043">
        <v>126801859</v>
      </c>
      <c r="D313" s="2043">
        <v>130867208</v>
      </c>
      <c r="E313" s="2043">
        <v>126801859</v>
      </c>
      <c r="F313" s="2043">
        <v>409450488</v>
      </c>
      <c r="G313" s="2043">
        <v>405385139</v>
      </c>
      <c r="H313" s="2043">
        <v>409450488</v>
      </c>
      <c r="I313" s="2043">
        <v>405385139</v>
      </c>
    </row>
    <row r="314" spans="1:9">
      <c r="A314" s="2043" t="s">
        <v>592</v>
      </c>
      <c r="B314" s="2043">
        <v>246325932</v>
      </c>
      <c r="C314" s="2043">
        <v>244025842</v>
      </c>
      <c r="D314" s="2043">
        <v>246325932</v>
      </c>
      <c r="E314" s="2043">
        <v>244025842</v>
      </c>
      <c r="F314" s="2043">
        <v>246325932</v>
      </c>
      <c r="G314" s="2043">
        <v>244025842</v>
      </c>
      <c r="H314" s="2043">
        <v>246325932</v>
      </c>
      <c r="I314" s="2043">
        <v>244025842</v>
      </c>
    </row>
    <row r="315" spans="1:9">
      <c r="A315" s="2043" t="s">
        <v>593</v>
      </c>
      <c r="B315" s="2043">
        <v>17408029462</v>
      </c>
      <c r="C315" s="2043">
        <v>17044072472</v>
      </c>
      <c r="D315" s="2043">
        <v>17408029462</v>
      </c>
      <c r="E315" s="2043">
        <v>17044072472</v>
      </c>
      <c r="F315" s="2043">
        <v>17408029462</v>
      </c>
      <c r="G315" s="2043">
        <v>17044072472</v>
      </c>
      <c r="H315" s="2043">
        <v>17408029462</v>
      </c>
      <c r="I315" s="2043">
        <v>17044072472</v>
      </c>
    </row>
    <row r="316" spans="1:9">
      <c r="A316" s="2043" t="s">
        <v>2400</v>
      </c>
      <c r="B316" s="2043">
        <v>1102287756</v>
      </c>
      <c r="C316" s="2043">
        <v>1070495018</v>
      </c>
      <c r="D316" s="2043">
        <v>1102287756</v>
      </c>
      <c r="E316" s="2043">
        <v>1070495018</v>
      </c>
      <c r="F316" s="2043">
        <v>1102287756</v>
      </c>
      <c r="G316" s="2043">
        <v>1070495018</v>
      </c>
      <c r="H316" s="2043">
        <v>1102287756</v>
      </c>
      <c r="I316" s="2043">
        <v>1070495018</v>
      </c>
    </row>
    <row r="317" spans="1:9">
      <c r="A317" s="2043" t="s">
        <v>1337</v>
      </c>
      <c r="B317" s="2043">
        <v>42136335210</v>
      </c>
      <c r="C317" s="2043">
        <v>41254783659</v>
      </c>
      <c r="D317" s="2043">
        <v>42136335210</v>
      </c>
      <c r="E317" s="2043">
        <v>41254783659</v>
      </c>
      <c r="F317" s="2043">
        <v>42136335210</v>
      </c>
      <c r="G317" s="2043">
        <v>41254783659</v>
      </c>
      <c r="H317" s="2043">
        <v>42136335210</v>
      </c>
      <c r="I317" s="2043">
        <v>41254783659</v>
      </c>
    </row>
    <row r="318" spans="1:9">
      <c r="A318" s="2043" t="s">
        <v>2193</v>
      </c>
      <c r="B318" s="2043">
        <v>2705557888</v>
      </c>
      <c r="C318" s="2043">
        <v>2682290986</v>
      </c>
      <c r="D318" s="2043">
        <v>2654709268</v>
      </c>
      <c r="E318" s="2043">
        <v>2631442366</v>
      </c>
      <c r="F318" s="2043">
        <v>2705557888</v>
      </c>
      <c r="G318" s="2043">
        <v>2682290986</v>
      </c>
      <c r="H318" s="2043">
        <v>2654709268</v>
      </c>
      <c r="I318" s="2043">
        <v>2631442366</v>
      </c>
    </row>
    <row r="319" spans="1:9">
      <c r="A319" s="2043" t="s">
        <v>1900</v>
      </c>
      <c r="B319" s="2043">
        <v>1100670270</v>
      </c>
      <c r="C319" s="2043">
        <v>1079749240</v>
      </c>
      <c r="D319" s="2043">
        <v>1100670270</v>
      </c>
      <c r="E319" s="2043">
        <v>1079749240</v>
      </c>
      <c r="F319" s="2043">
        <v>1100670270</v>
      </c>
      <c r="G319" s="2043">
        <v>1079749240</v>
      </c>
      <c r="H319" s="2043">
        <v>1100670270</v>
      </c>
      <c r="I319" s="2043">
        <v>1079749240</v>
      </c>
    </row>
    <row r="320" spans="1:9">
      <c r="A320" s="2043" t="s">
        <v>1227</v>
      </c>
      <c r="B320" s="2043">
        <v>1224038005</v>
      </c>
      <c r="C320" s="2043">
        <v>1204012391</v>
      </c>
      <c r="D320" s="2043">
        <v>1224038005</v>
      </c>
      <c r="E320" s="2043">
        <v>1204012391</v>
      </c>
      <c r="F320" s="2043">
        <v>1224038005</v>
      </c>
      <c r="G320" s="2043">
        <v>1204012391</v>
      </c>
      <c r="H320" s="2043">
        <v>1224038005</v>
      </c>
      <c r="I320" s="2043">
        <v>1204012391</v>
      </c>
    </row>
    <row r="321" spans="1:9">
      <c r="A321" s="2043" t="s">
        <v>1812</v>
      </c>
      <c r="B321" s="2043">
        <v>742244252</v>
      </c>
      <c r="C321" s="2043">
        <v>730979791</v>
      </c>
      <c r="D321" s="2043">
        <v>742244252</v>
      </c>
      <c r="E321" s="2043">
        <v>730979791</v>
      </c>
      <c r="F321" s="2043">
        <v>742244252</v>
      </c>
      <c r="G321" s="2043">
        <v>730979791</v>
      </c>
      <c r="H321" s="2043">
        <v>742244252</v>
      </c>
      <c r="I321" s="2043">
        <v>730979791</v>
      </c>
    </row>
    <row r="322" spans="1:9">
      <c r="A322" s="2043" t="s">
        <v>1817</v>
      </c>
      <c r="B322" s="2043">
        <v>167691217</v>
      </c>
      <c r="C322" s="2043">
        <v>163796053</v>
      </c>
      <c r="D322" s="2043">
        <v>167691217</v>
      </c>
      <c r="E322" s="2043">
        <v>163796053</v>
      </c>
      <c r="F322" s="2043">
        <v>167691217</v>
      </c>
      <c r="G322" s="2043">
        <v>163796053</v>
      </c>
      <c r="H322" s="2043">
        <v>167691217</v>
      </c>
      <c r="I322" s="2043">
        <v>163796053</v>
      </c>
    </row>
    <row r="323" spans="1:9">
      <c r="A323" s="2043" t="s">
        <v>1818</v>
      </c>
      <c r="B323" s="2043">
        <v>172040852</v>
      </c>
      <c r="C323" s="2043">
        <v>170332218</v>
      </c>
      <c r="D323" s="2043">
        <v>172040852</v>
      </c>
      <c r="E323" s="2043">
        <v>170332218</v>
      </c>
      <c r="F323" s="2043">
        <v>172040852</v>
      </c>
      <c r="G323" s="2043">
        <v>170332218</v>
      </c>
      <c r="H323" s="2043">
        <v>172040852</v>
      </c>
      <c r="I323" s="2043">
        <v>170332218</v>
      </c>
    </row>
    <row r="324" spans="1:9">
      <c r="A324" s="2043" t="s">
        <v>1163</v>
      </c>
      <c r="B324" s="2043">
        <v>1272429835</v>
      </c>
      <c r="C324" s="2043">
        <v>1268081388</v>
      </c>
      <c r="D324" s="2043">
        <v>1272429835</v>
      </c>
      <c r="E324" s="2043">
        <v>1268081388</v>
      </c>
      <c r="F324" s="2043">
        <v>1272429835</v>
      </c>
      <c r="G324" s="2043">
        <v>1268081388</v>
      </c>
      <c r="H324" s="2043">
        <v>1272429835</v>
      </c>
      <c r="I324" s="2043">
        <v>1268081388</v>
      </c>
    </row>
    <row r="325" spans="1:9">
      <c r="A325" s="2043" t="s">
        <v>2366</v>
      </c>
      <c r="B325" s="2043">
        <v>1243731679</v>
      </c>
      <c r="C325" s="2043">
        <v>1229828979</v>
      </c>
      <c r="D325" s="2043">
        <v>1243731679</v>
      </c>
      <c r="E325" s="2043">
        <v>1229828979</v>
      </c>
      <c r="F325" s="2043">
        <v>1243731679</v>
      </c>
      <c r="G325" s="2043">
        <v>1229828979</v>
      </c>
      <c r="H325" s="2043">
        <v>1243731679</v>
      </c>
      <c r="I325" s="2043">
        <v>1229828979</v>
      </c>
    </row>
    <row r="326" spans="1:9">
      <c r="A326" s="2043" t="s">
        <v>1819</v>
      </c>
      <c r="B326" s="2043">
        <v>225647164</v>
      </c>
      <c r="C326" s="2043">
        <v>221223749</v>
      </c>
      <c r="D326" s="2043">
        <v>225647164</v>
      </c>
      <c r="E326" s="2043">
        <v>221223749</v>
      </c>
      <c r="F326" s="2043">
        <v>225647164</v>
      </c>
      <c r="G326" s="2043">
        <v>221223749</v>
      </c>
      <c r="H326" s="2043">
        <v>225647164</v>
      </c>
      <c r="I326" s="2043">
        <v>221223749</v>
      </c>
    </row>
    <row r="327" spans="1:9">
      <c r="A327" s="2043" t="s">
        <v>1991</v>
      </c>
      <c r="B327" s="2043">
        <v>223715570</v>
      </c>
      <c r="C327" s="2043">
        <v>222915479</v>
      </c>
      <c r="D327" s="2043">
        <v>222792044</v>
      </c>
      <c r="E327" s="2043">
        <v>221991953</v>
      </c>
      <c r="F327" s="2043">
        <v>223715570</v>
      </c>
      <c r="G327" s="2043">
        <v>222915479</v>
      </c>
      <c r="H327" s="2043">
        <v>222792044</v>
      </c>
      <c r="I327" s="2043">
        <v>221991953</v>
      </c>
    </row>
    <row r="328" spans="1:9">
      <c r="A328" s="2043" t="s">
        <v>2053</v>
      </c>
      <c r="B328" s="2043">
        <v>3611157609</v>
      </c>
      <c r="C328" s="2043">
        <v>3584435847</v>
      </c>
      <c r="D328" s="2043">
        <v>3611157609</v>
      </c>
      <c r="E328" s="2043">
        <v>3584435847</v>
      </c>
      <c r="F328" s="2043">
        <v>3611157609</v>
      </c>
      <c r="G328" s="2043">
        <v>3584435847</v>
      </c>
      <c r="H328" s="2043">
        <v>3611157609</v>
      </c>
      <c r="I328" s="2043">
        <v>3584435847</v>
      </c>
    </row>
    <row r="329" spans="1:9">
      <c r="A329" s="2043" t="s">
        <v>1880</v>
      </c>
      <c r="B329" s="2043">
        <v>4303020209</v>
      </c>
      <c r="C329" s="2043">
        <v>4177531193</v>
      </c>
      <c r="D329" s="2043">
        <v>4303020209</v>
      </c>
      <c r="E329" s="2043">
        <v>4177531193</v>
      </c>
      <c r="F329" s="2043">
        <v>4303020209</v>
      </c>
      <c r="G329" s="2043">
        <v>4177531193</v>
      </c>
      <c r="H329" s="2043">
        <v>4303020209</v>
      </c>
      <c r="I329" s="2043">
        <v>4177531193</v>
      </c>
    </row>
    <row r="330" spans="1:9">
      <c r="A330" s="2043" t="s">
        <v>2108</v>
      </c>
      <c r="B330" s="2043">
        <v>8092299686</v>
      </c>
      <c r="C330" s="2043">
        <v>7984526319</v>
      </c>
      <c r="D330" s="2043">
        <v>7853807669</v>
      </c>
      <c r="E330" s="2043">
        <v>7746034302</v>
      </c>
      <c r="F330" s="2043">
        <v>8092299686</v>
      </c>
      <c r="G330" s="2043">
        <v>7984526319</v>
      </c>
      <c r="H330" s="2043">
        <v>7853807669</v>
      </c>
      <c r="I330" s="2043">
        <v>7746034302</v>
      </c>
    </row>
    <row r="331" spans="1:9">
      <c r="A331" s="2043" t="s">
        <v>1762</v>
      </c>
      <c r="B331" s="2043">
        <v>137947884</v>
      </c>
      <c r="C331" s="2043">
        <v>136588460</v>
      </c>
      <c r="D331" s="2043">
        <v>137445871</v>
      </c>
      <c r="E331" s="2043">
        <v>136086447</v>
      </c>
      <c r="F331" s="2043">
        <v>137947884</v>
      </c>
      <c r="G331" s="2043">
        <v>136588460</v>
      </c>
      <c r="H331" s="2043">
        <v>137445871</v>
      </c>
      <c r="I331" s="2043">
        <v>136086447</v>
      </c>
    </row>
    <row r="332" spans="1:9">
      <c r="A332" s="2043" t="s">
        <v>718</v>
      </c>
      <c r="B332" s="2043">
        <v>5536073170</v>
      </c>
      <c r="C332" s="2043">
        <v>5421096333</v>
      </c>
      <c r="D332" s="2043">
        <v>5388034882</v>
      </c>
      <c r="E332" s="2043">
        <v>5273058045</v>
      </c>
      <c r="F332" s="2043">
        <v>5536073170</v>
      </c>
      <c r="G332" s="2043">
        <v>5421096333</v>
      </c>
      <c r="H332" s="2043">
        <v>5388034882</v>
      </c>
      <c r="I332" s="2043">
        <v>5273058045</v>
      </c>
    </row>
    <row r="333" spans="1:9">
      <c r="A333" s="2043" t="s">
        <v>2319</v>
      </c>
      <c r="B333" s="2043">
        <v>816820264</v>
      </c>
      <c r="C333" s="2043">
        <v>793497566</v>
      </c>
      <c r="D333" s="2043">
        <v>816820264</v>
      </c>
      <c r="E333" s="2043">
        <v>793497566</v>
      </c>
      <c r="F333" s="2043">
        <v>816820264</v>
      </c>
      <c r="G333" s="2043">
        <v>793497566</v>
      </c>
      <c r="H333" s="2043">
        <v>816820264</v>
      </c>
      <c r="I333" s="2043">
        <v>793497566</v>
      </c>
    </row>
    <row r="334" spans="1:9">
      <c r="A334" s="2043" t="s">
        <v>463</v>
      </c>
      <c r="B334" s="2043">
        <v>1642109292</v>
      </c>
      <c r="C334" s="2043">
        <v>1572873577</v>
      </c>
      <c r="D334" s="2043">
        <v>1642109292</v>
      </c>
      <c r="E334" s="2043">
        <v>1572873577</v>
      </c>
      <c r="F334" s="2043">
        <v>1642109292</v>
      </c>
      <c r="G334" s="2043">
        <v>1572873577</v>
      </c>
      <c r="H334" s="2043">
        <v>1642109292</v>
      </c>
      <c r="I334" s="2043">
        <v>1572873577</v>
      </c>
    </row>
    <row r="335" spans="1:9">
      <c r="A335" s="2043" t="s">
        <v>2320</v>
      </c>
      <c r="B335" s="2043">
        <v>25229429620</v>
      </c>
      <c r="C335" s="2043">
        <v>24684711431</v>
      </c>
      <c r="D335" s="2043">
        <v>24863235901</v>
      </c>
      <c r="E335" s="2043">
        <v>24318517712</v>
      </c>
      <c r="F335" s="2043">
        <v>25229429620</v>
      </c>
      <c r="G335" s="2043">
        <v>24684711431</v>
      </c>
      <c r="H335" s="2043">
        <v>24863235901</v>
      </c>
      <c r="I335" s="2043">
        <v>24318517712</v>
      </c>
    </row>
    <row r="336" spans="1:9">
      <c r="A336" s="2043" t="s">
        <v>1339</v>
      </c>
      <c r="B336" s="2043">
        <v>3293694882</v>
      </c>
      <c r="C336" s="2043">
        <v>3211207211</v>
      </c>
      <c r="D336" s="2043">
        <v>3293694882</v>
      </c>
      <c r="E336" s="2043">
        <v>3211207211</v>
      </c>
      <c r="F336" s="2043">
        <v>3293694882</v>
      </c>
      <c r="G336" s="2043">
        <v>3211207211</v>
      </c>
      <c r="H336" s="2043">
        <v>3293694882</v>
      </c>
      <c r="I336" s="2043">
        <v>3211207211</v>
      </c>
    </row>
    <row r="337" spans="1:9">
      <c r="A337" s="2043" t="s">
        <v>1574</v>
      </c>
      <c r="B337" s="2043">
        <v>471333023</v>
      </c>
      <c r="C337" s="2043">
        <v>463639359</v>
      </c>
      <c r="D337" s="2043">
        <v>471333023</v>
      </c>
      <c r="E337" s="2043">
        <v>463639359</v>
      </c>
      <c r="F337" s="2043">
        <v>471333023</v>
      </c>
      <c r="G337" s="2043">
        <v>463639359</v>
      </c>
      <c r="H337" s="2043">
        <v>471333023</v>
      </c>
      <c r="I337" s="2043">
        <v>463639359</v>
      </c>
    </row>
    <row r="338" spans="1:9">
      <c r="A338" s="2043" t="s">
        <v>1575</v>
      </c>
      <c r="B338" s="2043">
        <v>59897376</v>
      </c>
      <c r="C338" s="2043">
        <v>59375804</v>
      </c>
      <c r="D338" s="2043">
        <v>59897376</v>
      </c>
      <c r="E338" s="2043">
        <v>59375804</v>
      </c>
      <c r="F338" s="2043">
        <v>59897376</v>
      </c>
      <c r="G338" s="2043">
        <v>59375804</v>
      </c>
      <c r="H338" s="2043">
        <v>59897376</v>
      </c>
      <c r="I338" s="2043">
        <v>59375804</v>
      </c>
    </row>
    <row r="339" spans="1:9">
      <c r="A339" s="2043" t="s">
        <v>1769</v>
      </c>
      <c r="B339" s="2043">
        <v>55967392</v>
      </c>
      <c r="C339" s="2043">
        <v>55049892</v>
      </c>
      <c r="D339" s="2043">
        <v>55967392</v>
      </c>
      <c r="E339" s="2043">
        <v>55049892</v>
      </c>
      <c r="F339" s="2043">
        <v>55967392</v>
      </c>
      <c r="G339" s="2043">
        <v>55049892</v>
      </c>
      <c r="H339" s="2043">
        <v>55967392</v>
      </c>
      <c r="I339" s="2043">
        <v>55049892</v>
      </c>
    </row>
    <row r="340" spans="1:9">
      <c r="A340" s="2043" t="s">
        <v>1366</v>
      </c>
      <c r="B340" s="2043">
        <v>4202911633</v>
      </c>
      <c r="C340" s="2043">
        <v>4141295478</v>
      </c>
      <c r="D340" s="2043">
        <v>4202911633</v>
      </c>
      <c r="E340" s="2043">
        <v>4141295478</v>
      </c>
      <c r="F340" s="2043">
        <v>4202911633</v>
      </c>
      <c r="G340" s="2043">
        <v>4141295478</v>
      </c>
      <c r="H340" s="2043">
        <v>4202911633</v>
      </c>
      <c r="I340" s="2043">
        <v>4141295478</v>
      </c>
    </row>
    <row r="341" spans="1:9">
      <c r="A341" s="2043" t="s">
        <v>2041</v>
      </c>
      <c r="B341" s="2043">
        <v>494404550</v>
      </c>
      <c r="C341" s="2043">
        <v>481948810</v>
      </c>
      <c r="D341" s="2043">
        <v>494404550</v>
      </c>
      <c r="E341" s="2043">
        <v>481948810</v>
      </c>
      <c r="F341" s="2043">
        <v>494404550</v>
      </c>
      <c r="G341" s="2043">
        <v>481948810</v>
      </c>
      <c r="H341" s="2043">
        <v>494404550</v>
      </c>
      <c r="I341" s="2043">
        <v>481948810</v>
      </c>
    </row>
    <row r="342" spans="1:9">
      <c r="A342" s="2043" t="s">
        <v>2042</v>
      </c>
      <c r="B342" s="2043">
        <v>4282463077</v>
      </c>
      <c r="C342" s="2043">
        <v>4280116747</v>
      </c>
      <c r="D342" s="2043">
        <v>4279763270</v>
      </c>
      <c r="E342" s="2043">
        <v>4277416940</v>
      </c>
      <c r="F342" s="2043">
        <v>4752388917</v>
      </c>
      <c r="G342" s="2043">
        <v>4750042587</v>
      </c>
      <c r="H342" s="2043">
        <v>4749689110</v>
      </c>
      <c r="I342" s="2043">
        <v>4747342780</v>
      </c>
    </row>
    <row r="343" spans="1:9">
      <c r="A343" s="2043" t="s">
        <v>2298</v>
      </c>
      <c r="B343" s="2043">
        <v>995743064</v>
      </c>
      <c r="C343" s="2043">
        <v>977105599</v>
      </c>
      <c r="D343" s="2043">
        <v>969937720</v>
      </c>
      <c r="E343" s="2043">
        <v>951300255</v>
      </c>
      <c r="F343" s="2043">
        <v>995743064</v>
      </c>
      <c r="G343" s="2043">
        <v>977105599</v>
      </c>
      <c r="H343" s="2043">
        <v>969937720</v>
      </c>
      <c r="I343" s="2043">
        <v>951300255</v>
      </c>
    </row>
    <row r="344" spans="1:9">
      <c r="A344" s="2043" t="s">
        <v>859</v>
      </c>
      <c r="B344" s="2043">
        <v>1709403729</v>
      </c>
      <c r="C344" s="2043">
        <v>1687448068</v>
      </c>
      <c r="D344" s="2043">
        <v>1709403729</v>
      </c>
      <c r="E344" s="2043">
        <v>1687448068</v>
      </c>
      <c r="F344" s="2043">
        <v>1709403729</v>
      </c>
      <c r="G344" s="2043">
        <v>1687448068</v>
      </c>
      <c r="H344" s="2043">
        <v>1709403729</v>
      </c>
      <c r="I344" s="2043">
        <v>1687448068</v>
      </c>
    </row>
    <row r="345" spans="1:9">
      <c r="A345" s="2043" t="s">
        <v>2299</v>
      </c>
      <c r="B345" s="2043">
        <v>1128966991</v>
      </c>
      <c r="C345" s="2043">
        <v>1121412352</v>
      </c>
      <c r="D345" s="2043">
        <v>1120799403</v>
      </c>
      <c r="E345" s="2043">
        <v>1113244764</v>
      </c>
      <c r="F345" s="2043">
        <v>1128966991</v>
      </c>
      <c r="G345" s="2043">
        <v>1121412352</v>
      </c>
      <c r="H345" s="2043">
        <v>1120799403</v>
      </c>
      <c r="I345" s="2043">
        <v>1113244764</v>
      </c>
    </row>
    <row r="346" spans="1:9">
      <c r="A346" s="2043" t="s">
        <v>2300</v>
      </c>
      <c r="B346" s="2043">
        <v>232506346</v>
      </c>
      <c r="C346" s="2043">
        <v>229671735</v>
      </c>
      <c r="D346" s="2043">
        <v>232506346</v>
      </c>
      <c r="E346" s="2043">
        <v>229671735</v>
      </c>
      <c r="F346" s="2043">
        <v>232506346</v>
      </c>
      <c r="G346" s="2043">
        <v>229671735</v>
      </c>
      <c r="H346" s="2043">
        <v>232506346</v>
      </c>
      <c r="I346" s="2043">
        <v>229671735</v>
      </c>
    </row>
    <row r="347" spans="1:9">
      <c r="A347" s="2043" t="s">
        <v>1748</v>
      </c>
      <c r="B347" s="2043">
        <v>112828609</v>
      </c>
      <c r="C347" s="2043">
        <v>112189949</v>
      </c>
      <c r="D347" s="2043">
        <v>112828609</v>
      </c>
      <c r="E347" s="2043">
        <v>112189949</v>
      </c>
      <c r="F347" s="2043">
        <v>112828609</v>
      </c>
      <c r="G347" s="2043">
        <v>112189949</v>
      </c>
      <c r="H347" s="2043">
        <v>112828609</v>
      </c>
      <c r="I347" s="2043">
        <v>112189949</v>
      </c>
    </row>
    <row r="348" spans="1:9">
      <c r="A348" s="2043" t="s">
        <v>1749</v>
      </c>
      <c r="B348" s="2043">
        <v>107001266</v>
      </c>
      <c r="C348" s="2043">
        <v>105261726</v>
      </c>
      <c r="D348" s="2043">
        <v>107001266</v>
      </c>
      <c r="E348" s="2043">
        <v>105261726</v>
      </c>
      <c r="F348" s="2043">
        <v>107001266</v>
      </c>
      <c r="G348" s="2043">
        <v>105261726</v>
      </c>
      <c r="H348" s="2043">
        <v>107001266</v>
      </c>
      <c r="I348" s="2043">
        <v>105261726</v>
      </c>
    </row>
    <row r="349" spans="1:9">
      <c r="A349" s="2043" t="s">
        <v>1908</v>
      </c>
      <c r="B349" s="2043">
        <v>1171475452</v>
      </c>
      <c r="C349" s="2043">
        <v>1138372942</v>
      </c>
      <c r="D349" s="2043">
        <v>1171475452</v>
      </c>
      <c r="E349" s="2043">
        <v>1138372942</v>
      </c>
      <c r="F349" s="2043">
        <v>1171475452</v>
      </c>
      <c r="G349" s="2043">
        <v>1138372942</v>
      </c>
      <c r="H349" s="2043">
        <v>1171475452</v>
      </c>
      <c r="I349" s="2043">
        <v>1138372942</v>
      </c>
    </row>
    <row r="350" spans="1:9">
      <c r="A350" s="2043" t="s">
        <v>1920</v>
      </c>
      <c r="B350" s="2043">
        <v>106266416</v>
      </c>
      <c r="C350" s="2043">
        <v>106008666</v>
      </c>
      <c r="D350" s="2043">
        <v>106266416</v>
      </c>
      <c r="E350" s="2043">
        <v>106008666</v>
      </c>
      <c r="F350" s="2043">
        <v>168910076</v>
      </c>
      <c r="G350" s="2043">
        <v>168652326</v>
      </c>
      <c r="H350" s="2043">
        <v>168910076</v>
      </c>
      <c r="I350" s="2043">
        <v>168652326</v>
      </c>
    </row>
    <row r="351" spans="1:9">
      <c r="A351" s="2043" t="s">
        <v>1590</v>
      </c>
      <c r="B351" s="2043">
        <v>309567454</v>
      </c>
      <c r="C351" s="2043">
        <v>299905077</v>
      </c>
      <c r="D351" s="2043">
        <v>309567454</v>
      </c>
      <c r="E351" s="2043">
        <v>299905077</v>
      </c>
      <c r="F351" s="2043">
        <v>309567454</v>
      </c>
      <c r="G351" s="2043">
        <v>299905077</v>
      </c>
      <c r="H351" s="2043">
        <v>309567454</v>
      </c>
      <c r="I351" s="2043">
        <v>299905077</v>
      </c>
    </row>
    <row r="352" spans="1:9">
      <c r="A352" s="2043" t="s">
        <v>928</v>
      </c>
      <c r="B352" s="2043">
        <v>225388358</v>
      </c>
      <c r="C352" s="2043">
        <v>218238867</v>
      </c>
      <c r="D352" s="2043">
        <v>225388358</v>
      </c>
      <c r="E352" s="2043">
        <v>218238867</v>
      </c>
      <c r="F352" s="2043">
        <v>225388358</v>
      </c>
      <c r="G352" s="2043">
        <v>218238867</v>
      </c>
      <c r="H352" s="2043">
        <v>225388358</v>
      </c>
      <c r="I352" s="2043">
        <v>218238867</v>
      </c>
    </row>
    <row r="353" spans="1:9">
      <c r="A353" s="2043" t="s">
        <v>929</v>
      </c>
      <c r="B353" s="2043">
        <v>2087223358</v>
      </c>
      <c r="C353" s="2043">
        <v>2029053892</v>
      </c>
      <c r="D353" s="2043">
        <v>2087223358</v>
      </c>
      <c r="E353" s="2043">
        <v>2029053892</v>
      </c>
      <c r="F353" s="2043">
        <v>2087223358</v>
      </c>
      <c r="G353" s="2043">
        <v>2029053892</v>
      </c>
      <c r="H353" s="2043">
        <v>2087223358</v>
      </c>
      <c r="I353" s="2043">
        <v>2029053892</v>
      </c>
    </row>
    <row r="354" spans="1:9">
      <c r="A354" s="2043" t="s">
        <v>1050</v>
      </c>
      <c r="B354" s="2043">
        <v>352682704</v>
      </c>
      <c r="C354" s="2043">
        <v>341559789</v>
      </c>
      <c r="D354" s="2043">
        <v>352682704</v>
      </c>
      <c r="E354" s="2043">
        <v>341559789</v>
      </c>
      <c r="F354" s="2043">
        <v>352682704</v>
      </c>
      <c r="G354" s="2043">
        <v>341559789</v>
      </c>
      <c r="H354" s="2043">
        <v>352682704</v>
      </c>
      <c r="I354" s="2043">
        <v>341559789</v>
      </c>
    </row>
    <row r="355" spans="1:9">
      <c r="A355" s="2043" t="s">
        <v>748</v>
      </c>
      <c r="B355" s="2043">
        <v>3577015281</v>
      </c>
      <c r="C355" s="2043">
        <v>3507611856</v>
      </c>
      <c r="D355" s="2043">
        <v>3577015281</v>
      </c>
      <c r="E355" s="2043">
        <v>3507611856</v>
      </c>
      <c r="F355" s="2043">
        <v>3577015281</v>
      </c>
      <c r="G355" s="2043">
        <v>3507611856</v>
      </c>
      <c r="H355" s="2043">
        <v>3577015281</v>
      </c>
      <c r="I355" s="2043">
        <v>3507611856</v>
      </c>
    </row>
    <row r="356" spans="1:9">
      <c r="A356" s="2043" t="s">
        <v>749</v>
      </c>
      <c r="B356" s="2043">
        <v>128576525</v>
      </c>
      <c r="C356" s="2043">
        <v>124913239</v>
      </c>
      <c r="D356" s="2043">
        <v>128576525</v>
      </c>
      <c r="E356" s="2043">
        <v>124913239</v>
      </c>
      <c r="F356" s="2043">
        <v>128576525</v>
      </c>
      <c r="G356" s="2043">
        <v>124913239</v>
      </c>
      <c r="H356" s="2043">
        <v>128576525</v>
      </c>
      <c r="I356" s="2043">
        <v>124913239</v>
      </c>
    </row>
    <row r="357" spans="1:9">
      <c r="A357" s="2043" t="s">
        <v>1164</v>
      </c>
      <c r="B357" s="2043">
        <v>808217533</v>
      </c>
      <c r="C357" s="2043">
        <v>788266801</v>
      </c>
      <c r="D357" s="2043">
        <v>808217533</v>
      </c>
      <c r="E357" s="2043">
        <v>788266801</v>
      </c>
      <c r="F357" s="2043">
        <v>808217533</v>
      </c>
      <c r="G357" s="2043">
        <v>788266801</v>
      </c>
      <c r="H357" s="2043">
        <v>808217533</v>
      </c>
      <c r="I357" s="2043">
        <v>788266801</v>
      </c>
    </row>
    <row r="358" spans="1:9">
      <c r="A358" s="2043" t="s">
        <v>1165</v>
      </c>
      <c r="B358" s="2043">
        <v>908122929</v>
      </c>
      <c r="C358" s="2043">
        <v>885275989</v>
      </c>
      <c r="D358" s="2043">
        <v>908122929</v>
      </c>
      <c r="E358" s="2043">
        <v>885275989</v>
      </c>
      <c r="F358" s="2043">
        <v>908122929</v>
      </c>
      <c r="G358" s="2043">
        <v>885275989</v>
      </c>
      <c r="H358" s="2043">
        <v>908122929</v>
      </c>
      <c r="I358" s="2043">
        <v>885275989</v>
      </c>
    </row>
    <row r="359" spans="1:9">
      <c r="A359" s="2043" t="s">
        <v>1377</v>
      </c>
      <c r="B359" s="2043">
        <v>336293731</v>
      </c>
      <c r="C359" s="2043">
        <v>327497808</v>
      </c>
      <c r="D359" s="2043">
        <v>336293731</v>
      </c>
      <c r="E359" s="2043">
        <v>327497808</v>
      </c>
      <c r="F359" s="2043">
        <v>336293731</v>
      </c>
      <c r="G359" s="2043">
        <v>327497808</v>
      </c>
      <c r="H359" s="2043">
        <v>336293731</v>
      </c>
      <c r="I359" s="2043">
        <v>327497808</v>
      </c>
    </row>
    <row r="360" spans="1:9">
      <c r="A360" s="2043" t="s">
        <v>201</v>
      </c>
      <c r="B360" s="2043">
        <v>1020327533</v>
      </c>
      <c r="C360" s="2043">
        <v>997061152</v>
      </c>
      <c r="D360" s="2043">
        <v>1020327533</v>
      </c>
      <c r="E360" s="2043">
        <v>997061152</v>
      </c>
      <c r="F360" s="2043">
        <v>1020327533</v>
      </c>
      <c r="G360" s="2043">
        <v>997061152</v>
      </c>
      <c r="H360" s="2043">
        <v>1020327533</v>
      </c>
      <c r="I360" s="2043">
        <v>997061152</v>
      </c>
    </row>
    <row r="361" spans="1:9">
      <c r="A361" s="2043" t="s">
        <v>2439</v>
      </c>
      <c r="B361" s="2043">
        <v>480665216</v>
      </c>
      <c r="C361" s="2043">
        <v>467807654</v>
      </c>
      <c r="D361" s="2043">
        <v>480665216</v>
      </c>
      <c r="E361" s="2043">
        <v>467807654</v>
      </c>
      <c r="F361" s="2043">
        <v>480665216</v>
      </c>
      <c r="G361" s="2043">
        <v>467807654</v>
      </c>
      <c r="H361" s="2043">
        <v>480665216</v>
      </c>
      <c r="I361" s="2043">
        <v>467807654</v>
      </c>
    </row>
    <row r="362" spans="1:9">
      <c r="A362" s="2043" t="s">
        <v>1232</v>
      </c>
      <c r="B362" s="2043">
        <v>404149289</v>
      </c>
      <c r="C362" s="2043">
        <v>396509349</v>
      </c>
      <c r="D362" s="2043">
        <v>404149289</v>
      </c>
      <c r="E362" s="2043">
        <v>396509349</v>
      </c>
      <c r="F362" s="2043">
        <v>404149289</v>
      </c>
      <c r="G362" s="2043">
        <v>396509349</v>
      </c>
      <c r="H362" s="2043">
        <v>404149289</v>
      </c>
      <c r="I362" s="2043">
        <v>396509349</v>
      </c>
    </row>
    <row r="363" spans="1:9">
      <c r="A363" s="2043" t="s">
        <v>1211</v>
      </c>
      <c r="B363" s="2043">
        <v>269205252</v>
      </c>
      <c r="C363" s="2043">
        <v>259009383</v>
      </c>
      <c r="D363" s="2043">
        <v>269205252</v>
      </c>
      <c r="E363" s="2043">
        <v>259009383</v>
      </c>
      <c r="F363" s="2043">
        <v>269205252</v>
      </c>
      <c r="G363" s="2043">
        <v>259009383</v>
      </c>
      <c r="H363" s="2043">
        <v>269205252</v>
      </c>
      <c r="I363" s="2043">
        <v>259009383</v>
      </c>
    </row>
    <row r="364" spans="1:9">
      <c r="A364" s="2043" t="s">
        <v>1212</v>
      </c>
      <c r="B364" s="2043">
        <v>575604304</v>
      </c>
      <c r="C364" s="2043">
        <v>553090831</v>
      </c>
      <c r="D364" s="2043">
        <v>547832582</v>
      </c>
      <c r="E364" s="2043">
        <v>525319109</v>
      </c>
      <c r="F364" s="2043">
        <v>575604304</v>
      </c>
      <c r="G364" s="2043">
        <v>553090831</v>
      </c>
      <c r="H364" s="2043">
        <v>547832582</v>
      </c>
      <c r="I364" s="2043">
        <v>525319109</v>
      </c>
    </row>
    <row r="365" spans="1:9">
      <c r="A365" s="2043" t="s">
        <v>1213</v>
      </c>
      <c r="B365" s="2043">
        <v>1781856169</v>
      </c>
      <c r="C365" s="2043">
        <v>1741057305</v>
      </c>
      <c r="D365" s="2043">
        <v>1781856169</v>
      </c>
      <c r="E365" s="2043">
        <v>1741057305</v>
      </c>
      <c r="F365" s="2043">
        <v>1781856169</v>
      </c>
      <c r="G365" s="2043">
        <v>1741057305</v>
      </c>
      <c r="H365" s="2043">
        <v>1781856169</v>
      </c>
      <c r="I365" s="2043">
        <v>1741057305</v>
      </c>
    </row>
    <row r="366" spans="1:9">
      <c r="A366" s="2043" t="s">
        <v>432</v>
      </c>
      <c r="B366" s="2043">
        <v>4625375170</v>
      </c>
      <c r="C366" s="2043">
        <v>4526306195</v>
      </c>
      <c r="D366" s="2043">
        <v>4625375170</v>
      </c>
      <c r="E366" s="2043">
        <v>4526306195</v>
      </c>
      <c r="F366" s="2043">
        <v>4625375170</v>
      </c>
      <c r="G366" s="2043">
        <v>4526306195</v>
      </c>
      <c r="H366" s="2043">
        <v>4625375170</v>
      </c>
      <c r="I366" s="2043">
        <v>4526306195</v>
      </c>
    </row>
    <row r="367" spans="1:9">
      <c r="A367" s="2043" t="s">
        <v>2066</v>
      </c>
      <c r="B367" s="2043">
        <v>1696460784</v>
      </c>
      <c r="C367" s="2043">
        <v>1647522933</v>
      </c>
      <c r="D367" s="2043">
        <v>1618298639</v>
      </c>
      <c r="E367" s="2043">
        <v>1569360788</v>
      </c>
      <c r="F367" s="2043">
        <v>1696460784</v>
      </c>
      <c r="G367" s="2043">
        <v>1647522933</v>
      </c>
      <c r="H367" s="2043">
        <v>1618298639</v>
      </c>
      <c r="I367" s="2043">
        <v>1569360788</v>
      </c>
    </row>
    <row r="368" spans="1:9">
      <c r="A368" s="2043" t="s">
        <v>2494</v>
      </c>
      <c r="B368" s="2043">
        <v>453828387</v>
      </c>
      <c r="C368" s="2043">
        <v>440125942</v>
      </c>
      <c r="D368" s="2043">
        <v>431464099</v>
      </c>
      <c r="E368" s="2043">
        <v>417761654</v>
      </c>
      <c r="F368" s="2043">
        <v>453828387</v>
      </c>
      <c r="G368" s="2043">
        <v>440125942</v>
      </c>
      <c r="H368" s="2043">
        <v>431464099</v>
      </c>
      <c r="I368" s="2043">
        <v>417761654</v>
      </c>
    </row>
    <row r="369" spans="1:9">
      <c r="A369" s="2043" t="s">
        <v>1420</v>
      </c>
      <c r="B369" s="2043">
        <v>566538219</v>
      </c>
      <c r="C369" s="2043">
        <v>546911449</v>
      </c>
      <c r="D369" s="2043">
        <v>534002878</v>
      </c>
      <c r="E369" s="2043">
        <v>514376108</v>
      </c>
      <c r="F369" s="2043">
        <v>566538219</v>
      </c>
      <c r="G369" s="2043">
        <v>546911449</v>
      </c>
      <c r="H369" s="2043">
        <v>534002878</v>
      </c>
      <c r="I369" s="2043">
        <v>514376108</v>
      </c>
    </row>
    <row r="370" spans="1:9">
      <c r="A370" s="2043" t="s">
        <v>2495</v>
      </c>
      <c r="B370" s="2043">
        <v>392613200</v>
      </c>
      <c r="C370" s="2043">
        <v>378371682</v>
      </c>
      <c r="D370" s="2043">
        <v>369398649</v>
      </c>
      <c r="E370" s="2043">
        <v>355157131</v>
      </c>
      <c r="F370" s="2043">
        <v>392613200</v>
      </c>
      <c r="G370" s="2043">
        <v>378371682</v>
      </c>
      <c r="H370" s="2043">
        <v>369398649</v>
      </c>
      <c r="I370" s="2043">
        <v>355157131</v>
      </c>
    </row>
    <row r="371" spans="1:9">
      <c r="A371" s="2043" t="s">
        <v>2496</v>
      </c>
      <c r="B371" s="2043">
        <v>715386500</v>
      </c>
      <c r="C371" s="2043">
        <v>706602252</v>
      </c>
      <c r="D371" s="2043">
        <v>715386500</v>
      </c>
      <c r="E371" s="2043">
        <v>706602252</v>
      </c>
      <c r="F371" s="2043">
        <v>715386500</v>
      </c>
      <c r="G371" s="2043">
        <v>706602252</v>
      </c>
      <c r="H371" s="2043">
        <v>715386500</v>
      </c>
      <c r="I371" s="2043">
        <v>706602252</v>
      </c>
    </row>
    <row r="372" spans="1:9">
      <c r="A372" s="2043" t="s">
        <v>2497</v>
      </c>
      <c r="B372" s="2043">
        <v>389616289</v>
      </c>
      <c r="C372" s="2043">
        <v>382366262</v>
      </c>
      <c r="D372" s="2043">
        <v>389616289</v>
      </c>
      <c r="E372" s="2043">
        <v>382366262</v>
      </c>
      <c r="F372" s="2043">
        <v>389616289</v>
      </c>
      <c r="G372" s="2043">
        <v>382366262</v>
      </c>
      <c r="H372" s="2043">
        <v>389616289</v>
      </c>
      <c r="I372" s="2043">
        <v>382366262</v>
      </c>
    </row>
    <row r="373" spans="1:9">
      <c r="A373" s="2043" t="s">
        <v>2498</v>
      </c>
      <c r="B373" s="2043">
        <v>1892815795</v>
      </c>
      <c r="C373" s="2043">
        <v>1858910495</v>
      </c>
      <c r="D373" s="2043">
        <v>1828610647</v>
      </c>
      <c r="E373" s="2043">
        <v>1794705347</v>
      </c>
      <c r="F373" s="2043">
        <v>1892815795</v>
      </c>
      <c r="G373" s="2043">
        <v>1858910495</v>
      </c>
      <c r="H373" s="2043">
        <v>1828610647</v>
      </c>
      <c r="I373" s="2043">
        <v>1794705347</v>
      </c>
    </row>
    <row r="374" spans="1:9">
      <c r="A374" s="2043" t="s">
        <v>2023</v>
      </c>
      <c r="B374" s="2043">
        <v>177224326</v>
      </c>
      <c r="C374" s="2043">
        <v>173108806</v>
      </c>
      <c r="D374" s="2043">
        <v>177224326</v>
      </c>
      <c r="E374" s="2043">
        <v>173108806</v>
      </c>
      <c r="F374" s="2043">
        <v>177224326</v>
      </c>
      <c r="G374" s="2043">
        <v>173108806</v>
      </c>
      <c r="H374" s="2043">
        <v>177224326</v>
      </c>
      <c r="I374" s="2043">
        <v>173108806</v>
      </c>
    </row>
    <row r="375" spans="1:9">
      <c r="A375" s="2043" t="s">
        <v>467</v>
      </c>
      <c r="B375" s="2043">
        <v>3619829528</v>
      </c>
      <c r="C375" s="2043">
        <v>3535617479</v>
      </c>
      <c r="D375" s="2043">
        <v>3619829528</v>
      </c>
      <c r="E375" s="2043">
        <v>3535617479</v>
      </c>
      <c r="F375" s="2043">
        <v>3707267005</v>
      </c>
      <c r="G375" s="2043">
        <v>3623054956</v>
      </c>
      <c r="H375" s="2043">
        <v>3707267005</v>
      </c>
      <c r="I375" s="2043">
        <v>3623054956</v>
      </c>
    </row>
    <row r="376" spans="1:9">
      <c r="A376" s="2043" t="s">
        <v>465</v>
      </c>
      <c r="B376" s="2043">
        <v>6072084192</v>
      </c>
      <c r="C376" s="2043">
        <v>5889604547</v>
      </c>
      <c r="D376" s="2043">
        <v>6072084192</v>
      </c>
      <c r="E376" s="2043">
        <v>5889604547</v>
      </c>
      <c r="F376" s="2043">
        <v>6072084192</v>
      </c>
      <c r="G376" s="2043">
        <v>5889604547</v>
      </c>
      <c r="H376" s="2043">
        <v>6072084192</v>
      </c>
      <c r="I376" s="2043">
        <v>5889604547</v>
      </c>
    </row>
    <row r="377" spans="1:9">
      <c r="A377" s="2043" t="s">
        <v>2024</v>
      </c>
      <c r="B377" s="2043">
        <v>1069553464</v>
      </c>
      <c r="C377" s="2043">
        <v>1048835276</v>
      </c>
      <c r="D377" s="2043">
        <v>1069553464</v>
      </c>
      <c r="E377" s="2043">
        <v>1048835276</v>
      </c>
      <c r="F377" s="2043">
        <v>1069553464</v>
      </c>
      <c r="G377" s="2043">
        <v>1048835276</v>
      </c>
      <c r="H377" s="2043">
        <v>1069553464</v>
      </c>
      <c r="I377" s="2043">
        <v>1048835276</v>
      </c>
    </row>
    <row r="378" spans="1:9">
      <c r="A378" s="2043" t="s">
        <v>332</v>
      </c>
      <c r="B378" s="2043">
        <v>727344612</v>
      </c>
      <c r="C378" s="2043">
        <v>709263460</v>
      </c>
      <c r="D378" s="2043">
        <v>727344612</v>
      </c>
      <c r="E378" s="2043">
        <v>709263460</v>
      </c>
      <c r="F378" s="2043">
        <v>727344612</v>
      </c>
      <c r="G378" s="2043">
        <v>709263460</v>
      </c>
      <c r="H378" s="2043">
        <v>727344612</v>
      </c>
      <c r="I378" s="2043">
        <v>709263460</v>
      </c>
    </row>
    <row r="379" spans="1:9">
      <c r="A379" s="2043" t="s">
        <v>2025</v>
      </c>
      <c r="B379" s="2043">
        <v>557390522</v>
      </c>
      <c r="C379" s="2043">
        <v>550569250</v>
      </c>
      <c r="D379" s="2043">
        <v>557390522</v>
      </c>
      <c r="E379" s="2043">
        <v>550569250</v>
      </c>
      <c r="F379" s="2043">
        <v>557390522</v>
      </c>
      <c r="G379" s="2043">
        <v>550569250</v>
      </c>
      <c r="H379" s="2043">
        <v>557390522</v>
      </c>
      <c r="I379" s="2043">
        <v>550569250</v>
      </c>
    </row>
    <row r="380" spans="1:9">
      <c r="A380" s="2043" t="s">
        <v>2026</v>
      </c>
      <c r="B380" s="2043">
        <v>40706236</v>
      </c>
      <c r="C380" s="2043">
        <v>40211653</v>
      </c>
      <c r="D380" s="2043">
        <v>40706236</v>
      </c>
      <c r="E380" s="2043">
        <v>40211653</v>
      </c>
      <c r="F380" s="2043">
        <v>40706236</v>
      </c>
      <c r="G380" s="2043">
        <v>40211653</v>
      </c>
      <c r="H380" s="2043">
        <v>40706236</v>
      </c>
      <c r="I380" s="2043">
        <v>40211653</v>
      </c>
    </row>
    <row r="381" spans="1:9">
      <c r="A381" s="2043" t="s">
        <v>476</v>
      </c>
      <c r="B381" s="2043">
        <v>100383362</v>
      </c>
      <c r="C381" s="2043">
        <v>95805801</v>
      </c>
      <c r="D381" s="2043">
        <v>100383362</v>
      </c>
      <c r="E381" s="2043">
        <v>95805801</v>
      </c>
      <c r="F381" s="2043">
        <v>100383362</v>
      </c>
      <c r="G381" s="2043">
        <v>95805801</v>
      </c>
      <c r="H381" s="2043">
        <v>100383362</v>
      </c>
      <c r="I381" s="2043">
        <v>95805801</v>
      </c>
    </row>
    <row r="382" spans="1:9">
      <c r="A382" s="2043" t="s">
        <v>1848</v>
      </c>
      <c r="B382" s="2043">
        <v>88323092</v>
      </c>
      <c r="C382" s="2043">
        <v>85675634</v>
      </c>
      <c r="D382" s="2043">
        <v>88323092</v>
      </c>
      <c r="E382" s="2043">
        <v>85675634</v>
      </c>
      <c r="F382" s="2043">
        <v>348823092</v>
      </c>
      <c r="G382" s="2043">
        <v>346175634</v>
      </c>
      <c r="H382" s="2043">
        <v>348823092</v>
      </c>
      <c r="I382" s="2043">
        <v>346175634</v>
      </c>
    </row>
    <row r="383" spans="1:9">
      <c r="A383" s="2043" t="s">
        <v>1959</v>
      </c>
      <c r="B383" s="2043">
        <v>1364748490</v>
      </c>
      <c r="C383" s="2043">
        <v>1322582032</v>
      </c>
      <c r="D383" s="2043">
        <v>1364748490</v>
      </c>
      <c r="E383" s="2043">
        <v>1322582032</v>
      </c>
      <c r="F383" s="2043">
        <v>1364748490</v>
      </c>
      <c r="G383" s="2043">
        <v>1322582032</v>
      </c>
      <c r="H383" s="2043">
        <v>1364748490</v>
      </c>
      <c r="I383" s="2043">
        <v>1322582032</v>
      </c>
    </row>
    <row r="384" spans="1:9">
      <c r="A384" s="2043" t="s">
        <v>1960</v>
      </c>
      <c r="B384" s="2043">
        <v>181389357</v>
      </c>
      <c r="C384" s="2043">
        <v>177214537</v>
      </c>
      <c r="D384" s="2043">
        <v>181389357</v>
      </c>
      <c r="E384" s="2043">
        <v>177214537</v>
      </c>
      <c r="F384" s="2043">
        <v>181389357</v>
      </c>
      <c r="G384" s="2043">
        <v>177214537</v>
      </c>
      <c r="H384" s="2043">
        <v>181389357</v>
      </c>
      <c r="I384" s="2043">
        <v>177214537</v>
      </c>
    </row>
    <row r="385" spans="1:9">
      <c r="A385" s="2043" t="s">
        <v>137</v>
      </c>
      <c r="B385" s="2043">
        <v>85089621</v>
      </c>
      <c r="C385" s="2043">
        <v>83178375</v>
      </c>
      <c r="D385" s="2043">
        <v>85089621</v>
      </c>
      <c r="E385" s="2043">
        <v>83178375</v>
      </c>
      <c r="F385" s="2043">
        <v>85089621</v>
      </c>
      <c r="G385" s="2043">
        <v>83178375</v>
      </c>
      <c r="H385" s="2043">
        <v>85089621</v>
      </c>
      <c r="I385" s="2043">
        <v>83178375</v>
      </c>
    </row>
    <row r="386" spans="1:9">
      <c r="A386" s="2043" t="s">
        <v>138</v>
      </c>
      <c r="B386" s="2043">
        <v>347112725</v>
      </c>
      <c r="C386" s="2043">
        <v>333948680</v>
      </c>
      <c r="D386" s="2043">
        <v>347112725</v>
      </c>
      <c r="E386" s="2043">
        <v>333948680</v>
      </c>
      <c r="F386" s="2043">
        <v>347112725</v>
      </c>
      <c r="G386" s="2043">
        <v>333948680</v>
      </c>
      <c r="H386" s="2043">
        <v>347112725</v>
      </c>
      <c r="I386" s="2043">
        <v>333948680</v>
      </c>
    </row>
    <row r="387" spans="1:9">
      <c r="A387" s="2043" t="s">
        <v>2367</v>
      </c>
      <c r="B387" s="2043">
        <v>207549350</v>
      </c>
      <c r="C387" s="2043">
        <v>200351321</v>
      </c>
      <c r="D387" s="2043">
        <v>207549350</v>
      </c>
      <c r="E387" s="2043">
        <v>200351321</v>
      </c>
      <c r="F387" s="2043">
        <v>207549350</v>
      </c>
      <c r="G387" s="2043">
        <v>200351321</v>
      </c>
      <c r="H387" s="2043">
        <v>207549350</v>
      </c>
      <c r="I387" s="2043">
        <v>200351321</v>
      </c>
    </row>
    <row r="388" spans="1:9">
      <c r="A388" s="2043" t="s">
        <v>2218</v>
      </c>
      <c r="B388" s="2043">
        <v>284632687</v>
      </c>
      <c r="C388" s="2043">
        <v>281000966</v>
      </c>
      <c r="D388" s="2043">
        <v>284632687</v>
      </c>
      <c r="E388" s="2043">
        <v>281000966</v>
      </c>
      <c r="F388" s="2043">
        <v>284632687</v>
      </c>
      <c r="G388" s="2043">
        <v>281000966</v>
      </c>
      <c r="H388" s="2043">
        <v>284632687</v>
      </c>
      <c r="I388" s="2043">
        <v>281000966</v>
      </c>
    </row>
    <row r="389" spans="1:9">
      <c r="A389" s="2043" t="s">
        <v>1055</v>
      </c>
      <c r="B389" s="2043">
        <v>121417145</v>
      </c>
      <c r="C389" s="2043">
        <v>120846541</v>
      </c>
      <c r="D389" s="2043">
        <v>120863690</v>
      </c>
      <c r="E389" s="2043">
        <v>120293086</v>
      </c>
      <c r="F389" s="2043">
        <v>121417145</v>
      </c>
      <c r="G389" s="2043">
        <v>120846541</v>
      </c>
      <c r="H389" s="2043">
        <v>120863690</v>
      </c>
      <c r="I389" s="2043">
        <v>120293086</v>
      </c>
    </row>
    <row r="390" spans="1:9">
      <c r="A390" s="2043" t="s">
        <v>1056</v>
      </c>
      <c r="B390" s="2043">
        <v>391276030</v>
      </c>
      <c r="C390" s="2043">
        <v>383120584</v>
      </c>
      <c r="D390" s="2043">
        <v>391276030</v>
      </c>
      <c r="E390" s="2043">
        <v>383120584</v>
      </c>
      <c r="F390" s="2043">
        <v>412008980</v>
      </c>
      <c r="G390" s="2043">
        <v>403853534</v>
      </c>
      <c r="H390" s="2043">
        <v>412008980</v>
      </c>
      <c r="I390" s="2043">
        <v>403853534</v>
      </c>
    </row>
    <row r="391" spans="1:9">
      <c r="A391" s="2043" t="s">
        <v>1987</v>
      </c>
      <c r="B391" s="2043">
        <v>169653643</v>
      </c>
      <c r="C391" s="2043">
        <v>167840123</v>
      </c>
      <c r="D391" s="2043">
        <v>169653643</v>
      </c>
      <c r="E391" s="2043">
        <v>167840123</v>
      </c>
      <c r="F391" s="2043">
        <v>268493163</v>
      </c>
      <c r="G391" s="2043">
        <v>266679643</v>
      </c>
      <c r="H391" s="2043">
        <v>268493163</v>
      </c>
      <c r="I391" s="2043">
        <v>266679643</v>
      </c>
    </row>
    <row r="392" spans="1:9">
      <c r="A392" s="2043" t="s">
        <v>1988</v>
      </c>
      <c r="B392" s="2043">
        <v>324009688</v>
      </c>
      <c r="C392" s="2043">
        <v>318684558</v>
      </c>
      <c r="D392" s="2043">
        <v>324009688</v>
      </c>
      <c r="E392" s="2043">
        <v>318684558</v>
      </c>
      <c r="F392" s="2043">
        <v>324009688</v>
      </c>
      <c r="G392" s="2043">
        <v>318684558</v>
      </c>
      <c r="H392" s="2043">
        <v>324009688</v>
      </c>
      <c r="I392" s="2043">
        <v>318684558</v>
      </c>
    </row>
    <row r="393" spans="1:9">
      <c r="A393" s="2043" t="s">
        <v>964</v>
      </c>
      <c r="B393" s="2043">
        <v>433999768</v>
      </c>
      <c r="C393" s="2043">
        <v>417262578</v>
      </c>
      <c r="D393" s="2043">
        <v>424779973</v>
      </c>
      <c r="E393" s="2043">
        <v>408042783</v>
      </c>
      <c r="F393" s="2043">
        <v>433999768</v>
      </c>
      <c r="G393" s="2043">
        <v>417262578</v>
      </c>
      <c r="H393" s="2043">
        <v>424779973</v>
      </c>
      <c r="I393" s="2043">
        <v>408042783</v>
      </c>
    </row>
    <row r="394" spans="1:9">
      <c r="A394" s="2043" t="s">
        <v>1078</v>
      </c>
      <c r="B394" s="2043">
        <v>934164864</v>
      </c>
      <c r="C394" s="2043">
        <v>897803172</v>
      </c>
      <c r="D394" s="2043">
        <v>934164864</v>
      </c>
      <c r="E394" s="2043">
        <v>897803172</v>
      </c>
      <c r="F394" s="2043">
        <v>934164864</v>
      </c>
      <c r="G394" s="2043">
        <v>897803172</v>
      </c>
      <c r="H394" s="2043">
        <v>934164864</v>
      </c>
      <c r="I394" s="2043">
        <v>897803172</v>
      </c>
    </row>
    <row r="395" spans="1:9">
      <c r="A395" s="2043" t="s">
        <v>362</v>
      </c>
      <c r="B395" s="2043">
        <v>1077682353</v>
      </c>
      <c r="C395" s="2043">
        <v>1048238264</v>
      </c>
      <c r="D395" s="2043">
        <v>1041257512</v>
      </c>
      <c r="E395" s="2043">
        <v>1011813423</v>
      </c>
      <c r="F395" s="2043">
        <v>1077682353</v>
      </c>
      <c r="G395" s="2043">
        <v>1048238264</v>
      </c>
      <c r="H395" s="2043">
        <v>1041257512</v>
      </c>
      <c r="I395" s="2043">
        <v>1011813423</v>
      </c>
    </row>
    <row r="396" spans="1:9">
      <c r="A396" s="2043" t="s">
        <v>2161</v>
      </c>
      <c r="B396" s="2043">
        <v>1322371771</v>
      </c>
      <c r="C396" s="2043">
        <v>1270180001</v>
      </c>
      <c r="D396" s="2043">
        <v>1322371771</v>
      </c>
      <c r="E396" s="2043">
        <v>1270180001</v>
      </c>
      <c r="F396" s="2043">
        <v>1322371771</v>
      </c>
      <c r="G396" s="2043">
        <v>1270180001</v>
      </c>
      <c r="H396" s="2043">
        <v>1322371771</v>
      </c>
      <c r="I396" s="2043">
        <v>1270180001</v>
      </c>
    </row>
    <row r="397" spans="1:9">
      <c r="A397" s="2043" t="s">
        <v>1108</v>
      </c>
      <c r="B397" s="2043">
        <v>249448993</v>
      </c>
      <c r="C397" s="2043">
        <v>242615628</v>
      </c>
      <c r="D397" s="2043">
        <v>249448993</v>
      </c>
      <c r="E397" s="2043">
        <v>242615628</v>
      </c>
      <c r="F397" s="2043">
        <v>249448993</v>
      </c>
      <c r="G397" s="2043">
        <v>242615628</v>
      </c>
      <c r="H397" s="2043">
        <v>249448993</v>
      </c>
      <c r="I397" s="2043">
        <v>242615628</v>
      </c>
    </row>
    <row r="398" spans="1:9">
      <c r="A398" s="2043" t="s">
        <v>548</v>
      </c>
      <c r="B398" s="2043">
        <v>21365790662</v>
      </c>
      <c r="C398" s="2043">
        <v>21033611172</v>
      </c>
      <c r="D398" s="2043">
        <v>21365790662</v>
      </c>
      <c r="E398" s="2043">
        <v>21033611172</v>
      </c>
      <c r="F398" s="2043">
        <v>21365790662</v>
      </c>
      <c r="G398" s="2043">
        <v>21033611172</v>
      </c>
      <c r="H398" s="2043">
        <v>21365790662</v>
      </c>
      <c r="I398" s="2043">
        <v>21033611172</v>
      </c>
    </row>
    <row r="399" spans="1:9">
      <c r="A399" s="2043" t="s">
        <v>180</v>
      </c>
      <c r="B399" s="2043">
        <v>16845992859</v>
      </c>
      <c r="C399" s="2043">
        <v>16580538609</v>
      </c>
      <c r="D399" s="2043">
        <v>16845992859</v>
      </c>
      <c r="E399" s="2043">
        <v>16580538609</v>
      </c>
      <c r="F399" s="2043">
        <v>16845992859</v>
      </c>
      <c r="G399" s="2043">
        <v>16580538609</v>
      </c>
      <c r="H399" s="2043">
        <v>16845992859</v>
      </c>
      <c r="I399" s="2043">
        <v>16580538609</v>
      </c>
    </row>
    <row r="400" spans="1:9">
      <c r="A400" s="2043" t="s">
        <v>2188</v>
      </c>
      <c r="B400" s="2043">
        <v>3797581847</v>
      </c>
      <c r="C400" s="2043">
        <v>3736251746</v>
      </c>
      <c r="D400" s="2043">
        <v>3797581847</v>
      </c>
      <c r="E400" s="2043">
        <v>3736251746</v>
      </c>
      <c r="F400" s="2043">
        <v>3797581847</v>
      </c>
      <c r="G400" s="2043">
        <v>3736251746</v>
      </c>
      <c r="H400" s="2043">
        <v>3797581847</v>
      </c>
      <c r="I400" s="2043">
        <v>3736251746</v>
      </c>
    </row>
    <row r="401" spans="1:9">
      <c r="A401" s="2043" t="s">
        <v>2266</v>
      </c>
      <c r="B401" s="2043">
        <v>2123567698</v>
      </c>
      <c r="C401" s="2043">
        <v>2060372616</v>
      </c>
      <c r="D401" s="2043">
        <v>2123567698</v>
      </c>
      <c r="E401" s="2043">
        <v>2060372616</v>
      </c>
      <c r="F401" s="2043">
        <v>2123567698</v>
      </c>
      <c r="G401" s="2043">
        <v>2060372616</v>
      </c>
      <c r="H401" s="2043">
        <v>2123567698</v>
      </c>
      <c r="I401" s="2043">
        <v>2060372616</v>
      </c>
    </row>
    <row r="402" spans="1:9">
      <c r="A402" s="2043" t="s">
        <v>2189</v>
      </c>
      <c r="B402" s="2043">
        <v>60228530916</v>
      </c>
      <c r="C402" s="2043">
        <v>59019732167</v>
      </c>
      <c r="D402" s="2043">
        <v>57438086120</v>
      </c>
      <c r="E402" s="2043">
        <v>56229287371</v>
      </c>
      <c r="F402" s="2043">
        <v>60228530916</v>
      </c>
      <c r="G402" s="2043">
        <v>59019732167</v>
      </c>
      <c r="H402" s="2043">
        <v>57438086120</v>
      </c>
      <c r="I402" s="2043">
        <v>56229287371</v>
      </c>
    </row>
    <row r="403" spans="1:9">
      <c r="A403" s="2043" t="s">
        <v>2044</v>
      </c>
      <c r="B403" s="2043">
        <v>10181745163</v>
      </c>
      <c r="C403" s="2043">
        <v>10069199370</v>
      </c>
      <c r="D403" s="2043">
        <v>9968875770</v>
      </c>
      <c r="E403" s="2043">
        <v>9856329977</v>
      </c>
      <c r="F403" s="2043">
        <v>10759616693</v>
      </c>
      <c r="G403" s="2043">
        <v>10647070900</v>
      </c>
      <c r="H403" s="2043">
        <v>10546747300</v>
      </c>
      <c r="I403" s="2043">
        <v>10434201507</v>
      </c>
    </row>
    <row r="404" spans="1:9">
      <c r="A404" s="2043" t="s">
        <v>1343</v>
      </c>
      <c r="B404" s="2043">
        <v>10291001728</v>
      </c>
      <c r="C404" s="2043">
        <v>10168940858</v>
      </c>
      <c r="D404" s="2043">
        <v>10149313542</v>
      </c>
      <c r="E404" s="2043">
        <v>10027252672</v>
      </c>
      <c r="F404" s="2043">
        <v>10291001728</v>
      </c>
      <c r="G404" s="2043">
        <v>10168940858</v>
      </c>
      <c r="H404" s="2043">
        <v>10149313542</v>
      </c>
      <c r="I404" s="2043">
        <v>10027252672</v>
      </c>
    </row>
    <row r="405" spans="1:9">
      <c r="A405" s="2043" t="s">
        <v>1907</v>
      </c>
      <c r="B405" s="2043">
        <v>12484563467</v>
      </c>
      <c r="C405" s="2043">
        <v>12294855456</v>
      </c>
      <c r="D405" s="2043">
        <v>12343539506</v>
      </c>
      <c r="E405" s="2043">
        <v>12153831495</v>
      </c>
      <c r="F405" s="2043">
        <v>16122133914</v>
      </c>
      <c r="G405" s="2043">
        <v>15932425903</v>
      </c>
      <c r="H405" s="2043">
        <v>15981109953</v>
      </c>
      <c r="I405" s="2043">
        <v>15791401942</v>
      </c>
    </row>
    <row r="406" spans="1:9">
      <c r="A406" s="2043" t="s">
        <v>2411</v>
      </c>
      <c r="B406" s="2043">
        <v>189499581892</v>
      </c>
      <c r="C406" s="2043">
        <v>187336394286</v>
      </c>
      <c r="D406" s="2043">
        <v>181841585942</v>
      </c>
      <c r="E406" s="2043">
        <v>179678398336</v>
      </c>
      <c r="F406" s="2043">
        <v>189499581892</v>
      </c>
      <c r="G406" s="2043">
        <v>187336394286</v>
      </c>
      <c r="H406" s="2043">
        <v>181841585942</v>
      </c>
      <c r="I406" s="2043">
        <v>179678398336</v>
      </c>
    </row>
    <row r="407" spans="1:9">
      <c r="A407" s="2043" t="s">
        <v>1052</v>
      </c>
      <c r="B407" s="2043">
        <v>16753828202</v>
      </c>
      <c r="C407" s="2043">
        <v>16299063609</v>
      </c>
      <c r="D407" s="2043">
        <v>16753828202</v>
      </c>
      <c r="E407" s="2043">
        <v>16299063609</v>
      </c>
      <c r="F407" s="2043">
        <v>16753828202</v>
      </c>
      <c r="G407" s="2043">
        <v>16299063609</v>
      </c>
      <c r="H407" s="2043">
        <v>16753828202</v>
      </c>
      <c r="I407" s="2043">
        <v>16299063609</v>
      </c>
    </row>
    <row r="408" spans="1:9">
      <c r="A408" s="2043" t="s">
        <v>46</v>
      </c>
      <c r="B408" s="2043">
        <v>41775272578</v>
      </c>
      <c r="C408" s="2043">
        <v>41056465238</v>
      </c>
      <c r="D408" s="2043">
        <v>41775272578</v>
      </c>
      <c r="E408" s="2043">
        <v>41056465238</v>
      </c>
      <c r="F408" s="2043">
        <v>41775272578</v>
      </c>
      <c r="G408" s="2043">
        <v>41056465238</v>
      </c>
      <c r="H408" s="2043">
        <v>41775272578</v>
      </c>
      <c r="I408" s="2043">
        <v>41056465238</v>
      </c>
    </row>
    <row r="409" spans="1:9">
      <c r="A409" s="2043" t="s">
        <v>53</v>
      </c>
      <c r="B409" s="2043">
        <v>22848387329</v>
      </c>
      <c r="C409" s="2043">
        <v>22291326215</v>
      </c>
      <c r="D409" s="2043">
        <v>22848387329</v>
      </c>
      <c r="E409" s="2043">
        <v>22291326215</v>
      </c>
      <c r="F409" s="2043">
        <v>22848387329</v>
      </c>
      <c r="G409" s="2043">
        <v>22291326215</v>
      </c>
      <c r="H409" s="2043">
        <v>22848387329</v>
      </c>
      <c r="I409" s="2043">
        <v>22291326215</v>
      </c>
    </row>
    <row r="410" spans="1:9">
      <c r="A410" s="2043" t="s">
        <v>2412</v>
      </c>
      <c r="B410" s="2043">
        <v>10891367070</v>
      </c>
      <c r="C410" s="2043">
        <v>10788587213</v>
      </c>
      <c r="D410" s="2043">
        <v>10691884697</v>
      </c>
      <c r="E410" s="2043">
        <v>10589104840</v>
      </c>
      <c r="F410" s="2043">
        <v>11942010550</v>
      </c>
      <c r="G410" s="2043">
        <v>11839230693</v>
      </c>
      <c r="H410" s="2043">
        <v>11742528177</v>
      </c>
      <c r="I410" s="2043">
        <v>11639748320</v>
      </c>
    </row>
    <row r="411" spans="1:9">
      <c r="A411" s="2043" t="s">
        <v>192</v>
      </c>
      <c r="B411" s="2043">
        <v>16206369559</v>
      </c>
      <c r="C411" s="2043">
        <v>15842556618</v>
      </c>
      <c r="D411" s="2043">
        <v>15931771147</v>
      </c>
      <c r="E411" s="2043">
        <v>15567958206</v>
      </c>
      <c r="F411" s="2043">
        <v>16206369559</v>
      </c>
      <c r="G411" s="2043">
        <v>15842556618</v>
      </c>
      <c r="H411" s="2043">
        <v>15931771147</v>
      </c>
      <c r="I411" s="2043">
        <v>15567958206</v>
      </c>
    </row>
    <row r="412" spans="1:9">
      <c r="A412" s="2043" t="s">
        <v>627</v>
      </c>
      <c r="B412" s="2043">
        <v>14477984127</v>
      </c>
      <c r="C412" s="2043">
        <v>14203833707</v>
      </c>
      <c r="D412" s="2043">
        <v>14477984127</v>
      </c>
      <c r="E412" s="2043">
        <v>14203833707</v>
      </c>
      <c r="F412" s="2043">
        <v>14477984127</v>
      </c>
      <c r="G412" s="2043">
        <v>14203833707</v>
      </c>
      <c r="H412" s="2043">
        <v>14477984127</v>
      </c>
      <c r="I412" s="2043">
        <v>14203833707</v>
      </c>
    </row>
    <row r="413" spans="1:9">
      <c r="A413" s="2043" t="s">
        <v>765</v>
      </c>
      <c r="B413" s="2043">
        <v>36202638636</v>
      </c>
      <c r="C413" s="2043">
        <v>35873632758</v>
      </c>
      <c r="D413" s="2043">
        <v>33981025513</v>
      </c>
      <c r="E413" s="2043">
        <v>33652019635</v>
      </c>
      <c r="F413" s="2043">
        <v>36202638636</v>
      </c>
      <c r="G413" s="2043">
        <v>35873632758</v>
      </c>
      <c r="H413" s="2043">
        <v>33981025513</v>
      </c>
      <c r="I413" s="2043">
        <v>33652019635</v>
      </c>
    </row>
    <row r="414" spans="1:9">
      <c r="A414" s="2043" t="s">
        <v>1840</v>
      </c>
      <c r="B414" s="2043">
        <v>11704513124</v>
      </c>
      <c r="C414" s="2043">
        <v>11504503357</v>
      </c>
      <c r="D414" s="2043">
        <v>11704500624</v>
      </c>
      <c r="E414" s="2043">
        <v>11504490857</v>
      </c>
      <c r="F414" s="2043">
        <v>11704513124</v>
      </c>
      <c r="G414" s="2043">
        <v>11504503357</v>
      </c>
      <c r="H414" s="2043">
        <v>11704500624</v>
      </c>
      <c r="I414" s="2043">
        <v>11504490857</v>
      </c>
    </row>
    <row r="415" spans="1:9">
      <c r="A415" s="2043" t="s">
        <v>1841</v>
      </c>
      <c r="B415" s="2043">
        <v>5616652647</v>
      </c>
      <c r="C415" s="2043">
        <v>5553611271</v>
      </c>
      <c r="D415" s="2043">
        <v>5528569707</v>
      </c>
      <c r="E415" s="2043">
        <v>5465528331</v>
      </c>
      <c r="F415" s="2043">
        <v>5957448967</v>
      </c>
      <c r="G415" s="2043">
        <v>5894407591</v>
      </c>
      <c r="H415" s="2043">
        <v>5869366027</v>
      </c>
      <c r="I415" s="2043">
        <v>5806324651</v>
      </c>
    </row>
    <row r="416" spans="1:9">
      <c r="A416" s="2043" t="s">
        <v>820</v>
      </c>
      <c r="B416" s="2043">
        <v>1324167045</v>
      </c>
      <c r="C416" s="2043">
        <v>1286711416</v>
      </c>
      <c r="D416" s="2043">
        <v>1324167045</v>
      </c>
      <c r="E416" s="2043">
        <v>1286711416</v>
      </c>
      <c r="F416" s="2043">
        <v>1324167045</v>
      </c>
      <c r="G416" s="2043">
        <v>1286711416</v>
      </c>
      <c r="H416" s="2043">
        <v>1324167045</v>
      </c>
      <c r="I416" s="2043">
        <v>1286711416</v>
      </c>
    </row>
    <row r="417" spans="1:9">
      <c r="A417" s="2043" t="s">
        <v>1842</v>
      </c>
      <c r="B417" s="2043">
        <v>225302891</v>
      </c>
      <c r="C417" s="2043">
        <v>220521863</v>
      </c>
      <c r="D417" s="2043">
        <v>217940761</v>
      </c>
      <c r="E417" s="2043">
        <v>213159733</v>
      </c>
      <c r="F417" s="2043">
        <v>225302891</v>
      </c>
      <c r="G417" s="2043">
        <v>220521863</v>
      </c>
      <c r="H417" s="2043">
        <v>217940761</v>
      </c>
      <c r="I417" s="2043">
        <v>213159733</v>
      </c>
    </row>
    <row r="418" spans="1:9">
      <c r="A418" s="2043" t="s">
        <v>1412</v>
      </c>
      <c r="B418" s="2043">
        <v>2735953784</v>
      </c>
      <c r="C418" s="2043">
        <v>2678524999</v>
      </c>
      <c r="D418" s="2043">
        <v>2654053491</v>
      </c>
      <c r="E418" s="2043">
        <v>2596624706</v>
      </c>
      <c r="F418" s="2043">
        <v>2735953784</v>
      </c>
      <c r="G418" s="2043">
        <v>2678524999</v>
      </c>
      <c r="H418" s="2043">
        <v>2654053491</v>
      </c>
      <c r="I418" s="2043">
        <v>2596624706</v>
      </c>
    </row>
    <row r="419" spans="1:9">
      <c r="A419" s="2043" t="s">
        <v>1413</v>
      </c>
      <c r="B419" s="2043">
        <v>420738382</v>
      </c>
      <c r="C419" s="2043">
        <v>414296437</v>
      </c>
      <c r="D419" s="2043">
        <v>411375933</v>
      </c>
      <c r="E419" s="2043">
        <v>404933988</v>
      </c>
      <c r="F419" s="2043">
        <v>420738382</v>
      </c>
      <c r="G419" s="2043">
        <v>414296437</v>
      </c>
      <c r="H419" s="2043">
        <v>411375933</v>
      </c>
      <c r="I419" s="2043">
        <v>404933988</v>
      </c>
    </row>
    <row r="420" spans="1:9">
      <c r="A420" s="2043" t="s">
        <v>1414</v>
      </c>
      <c r="B420" s="2043">
        <v>2875758270</v>
      </c>
      <c r="C420" s="2043">
        <v>2829229554</v>
      </c>
      <c r="D420" s="2043">
        <v>2776857879</v>
      </c>
      <c r="E420" s="2043">
        <v>2730329163</v>
      </c>
      <c r="F420" s="2043">
        <v>2875758270</v>
      </c>
      <c r="G420" s="2043">
        <v>2829229554</v>
      </c>
      <c r="H420" s="2043">
        <v>2776857879</v>
      </c>
      <c r="I420" s="2043">
        <v>2730329163</v>
      </c>
    </row>
    <row r="421" spans="1:9">
      <c r="A421" s="2043" t="s">
        <v>1477</v>
      </c>
      <c r="B421" s="2043">
        <v>183975570</v>
      </c>
      <c r="C421" s="2043">
        <v>177867173</v>
      </c>
      <c r="D421" s="2043">
        <v>172894481</v>
      </c>
      <c r="E421" s="2043">
        <v>166786084</v>
      </c>
      <c r="F421" s="2043">
        <v>183975570</v>
      </c>
      <c r="G421" s="2043">
        <v>177867173</v>
      </c>
      <c r="H421" s="2043">
        <v>172894481</v>
      </c>
      <c r="I421" s="2043">
        <v>166786084</v>
      </c>
    </row>
    <row r="422" spans="1:9">
      <c r="A422" s="2043" t="s">
        <v>1478</v>
      </c>
      <c r="B422" s="2043">
        <v>516046654</v>
      </c>
      <c r="C422" s="2043">
        <v>505434998</v>
      </c>
      <c r="D422" s="2043">
        <v>500604764</v>
      </c>
      <c r="E422" s="2043">
        <v>489993108</v>
      </c>
      <c r="F422" s="2043">
        <v>516046654</v>
      </c>
      <c r="G422" s="2043">
        <v>505434998</v>
      </c>
      <c r="H422" s="2043">
        <v>500604764</v>
      </c>
      <c r="I422" s="2043">
        <v>489993108</v>
      </c>
    </row>
    <row r="423" spans="1:9">
      <c r="A423" s="2043" t="s">
        <v>469</v>
      </c>
      <c r="B423" s="2043">
        <v>221580150</v>
      </c>
      <c r="C423" s="2043">
        <v>220931160</v>
      </c>
      <c r="D423" s="2043">
        <v>221580150</v>
      </c>
      <c r="E423" s="2043">
        <v>220931160</v>
      </c>
      <c r="F423" s="2043">
        <v>221580150</v>
      </c>
      <c r="G423" s="2043">
        <v>220931160</v>
      </c>
      <c r="H423" s="2043">
        <v>221580150</v>
      </c>
      <c r="I423" s="2043">
        <v>220931160</v>
      </c>
    </row>
    <row r="424" spans="1:9">
      <c r="A424" s="2043" t="s">
        <v>438</v>
      </c>
      <c r="B424" s="2043">
        <v>187162146</v>
      </c>
      <c r="C424" s="2043">
        <v>186215656</v>
      </c>
      <c r="D424" s="2043">
        <v>187162146</v>
      </c>
      <c r="E424" s="2043">
        <v>186215656</v>
      </c>
      <c r="F424" s="2043">
        <v>187162146</v>
      </c>
      <c r="G424" s="2043">
        <v>186215656</v>
      </c>
      <c r="H424" s="2043">
        <v>187162146</v>
      </c>
      <c r="I424" s="2043">
        <v>186215656</v>
      </c>
    </row>
    <row r="425" spans="1:9">
      <c r="A425" s="2043" t="s">
        <v>439</v>
      </c>
      <c r="B425" s="2043">
        <v>296260299</v>
      </c>
      <c r="C425" s="2043">
        <v>288789869</v>
      </c>
      <c r="D425" s="2043">
        <v>296260299</v>
      </c>
      <c r="E425" s="2043">
        <v>288789869</v>
      </c>
      <c r="F425" s="2043">
        <v>646309629</v>
      </c>
      <c r="G425" s="2043">
        <v>638839199</v>
      </c>
      <c r="H425" s="2043">
        <v>646309629</v>
      </c>
      <c r="I425" s="2043">
        <v>638839199</v>
      </c>
    </row>
    <row r="426" spans="1:9">
      <c r="A426" s="2043" t="s">
        <v>440</v>
      </c>
      <c r="B426" s="2043">
        <v>67813180</v>
      </c>
      <c r="C426" s="2043">
        <v>66381710</v>
      </c>
      <c r="D426" s="2043">
        <v>67172635</v>
      </c>
      <c r="E426" s="2043">
        <v>65741165</v>
      </c>
      <c r="F426" s="2043">
        <v>67813180</v>
      </c>
      <c r="G426" s="2043">
        <v>66381710</v>
      </c>
      <c r="H426" s="2043">
        <v>67172635</v>
      </c>
      <c r="I426" s="2043">
        <v>65741165</v>
      </c>
    </row>
    <row r="427" spans="1:9">
      <c r="A427" s="2043" t="s">
        <v>441</v>
      </c>
      <c r="B427" s="2043">
        <v>163577000</v>
      </c>
      <c r="C427" s="2043">
        <v>162887380</v>
      </c>
      <c r="D427" s="2043">
        <v>163577000</v>
      </c>
      <c r="E427" s="2043">
        <v>162887380</v>
      </c>
      <c r="F427" s="2043">
        <v>253694920</v>
      </c>
      <c r="G427" s="2043">
        <v>253005300</v>
      </c>
      <c r="H427" s="2043">
        <v>253694920</v>
      </c>
      <c r="I427" s="2043">
        <v>253005300</v>
      </c>
    </row>
    <row r="428" spans="1:9">
      <c r="A428" s="2043" t="s">
        <v>1071</v>
      </c>
      <c r="B428" s="2043">
        <v>6429687493</v>
      </c>
      <c r="C428" s="2043">
        <v>6357998168</v>
      </c>
      <c r="D428" s="2043">
        <v>6429687493</v>
      </c>
      <c r="E428" s="2043">
        <v>6357998168</v>
      </c>
      <c r="F428" s="2043">
        <v>6429687493</v>
      </c>
      <c r="G428" s="2043">
        <v>6357998168</v>
      </c>
      <c r="H428" s="2043">
        <v>6429687493</v>
      </c>
      <c r="I428" s="2043">
        <v>6357998168</v>
      </c>
    </row>
    <row r="429" spans="1:9">
      <c r="A429" s="2043" t="s">
        <v>1400</v>
      </c>
      <c r="B429" s="2043">
        <v>5605499915</v>
      </c>
      <c r="C429" s="2043">
        <v>5517839481</v>
      </c>
      <c r="D429" s="2043">
        <v>5605499915</v>
      </c>
      <c r="E429" s="2043">
        <v>5517839481</v>
      </c>
      <c r="F429" s="2043">
        <v>5605499915</v>
      </c>
      <c r="G429" s="2043">
        <v>5517839481</v>
      </c>
      <c r="H429" s="2043">
        <v>5605499915</v>
      </c>
      <c r="I429" s="2043">
        <v>5517839481</v>
      </c>
    </row>
    <row r="430" spans="1:9">
      <c r="A430" s="2043" t="s">
        <v>1217</v>
      </c>
      <c r="B430" s="2043">
        <v>2299690695</v>
      </c>
      <c r="C430" s="2043">
        <v>2255949926</v>
      </c>
      <c r="D430" s="2043">
        <v>2299690695</v>
      </c>
      <c r="E430" s="2043">
        <v>2255949926</v>
      </c>
      <c r="F430" s="2043">
        <v>2299690695</v>
      </c>
      <c r="G430" s="2043">
        <v>2255949926</v>
      </c>
      <c r="H430" s="2043">
        <v>2299690695</v>
      </c>
      <c r="I430" s="2043">
        <v>2255949926</v>
      </c>
    </row>
    <row r="431" spans="1:9">
      <c r="A431" s="2043" t="s">
        <v>1759</v>
      </c>
      <c r="B431" s="2043">
        <v>8800460291</v>
      </c>
      <c r="C431" s="2043">
        <v>8602340364</v>
      </c>
      <c r="D431" s="2043">
        <v>8800460291</v>
      </c>
      <c r="E431" s="2043">
        <v>8602340364</v>
      </c>
      <c r="F431" s="2043">
        <v>8800460291</v>
      </c>
      <c r="G431" s="2043">
        <v>8602340364</v>
      </c>
      <c r="H431" s="2043">
        <v>8800460291</v>
      </c>
      <c r="I431" s="2043">
        <v>8602340364</v>
      </c>
    </row>
    <row r="432" spans="1:9">
      <c r="A432" s="2043" t="s">
        <v>1607</v>
      </c>
      <c r="B432" s="2043">
        <v>1204740869</v>
      </c>
      <c r="C432" s="2043">
        <v>1197599924</v>
      </c>
      <c r="D432" s="2043">
        <v>1195294654</v>
      </c>
      <c r="E432" s="2043">
        <v>1188153709</v>
      </c>
      <c r="F432" s="2043">
        <v>1207065719</v>
      </c>
      <c r="G432" s="2043">
        <v>1199924774</v>
      </c>
      <c r="H432" s="2043">
        <v>1197619504</v>
      </c>
      <c r="I432" s="2043">
        <v>1190478559</v>
      </c>
    </row>
    <row r="433" spans="1:9">
      <c r="A433" s="2043" t="s">
        <v>1608</v>
      </c>
      <c r="B433" s="2043">
        <v>1488555558</v>
      </c>
      <c r="C433" s="2043">
        <v>1443986655</v>
      </c>
      <c r="D433" s="2043">
        <v>1488555558</v>
      </c>
      <c r="E433" s="2043">
        <v>1443986655</v>
      </c>
      <c r="F433" s="2043">
        <v>1488555558</v>
      </c>
      <c r="G433" s="2043">
        <v>1443986655</v>
      </c>
      <c r="H433" s="2043">
        <v>1488555558</v>
      </c>
      <c r="I433" s="2043">
        <v>1443986655</v>
      </c>
    </row>
    <row r="434" spans="1:9">
      <c r="A434" s="2043" t="s">
        <v>2403</v>
      </c>
      <c r="B434" s="2043">
        <v>796232451</v>
      </c>
      <c r="C434" s="2043">
        <v>758582273</v>
      </c>
      <c r="D434" s="2043">
        <v>742461654</v>
      </c>
      <c r="E434" s="2043">
        <v>704811476</v>
      </c>
      <c r="F434" s="2043">
        <v>796232451</v>
      </c>
      <c r="G434" s="2043">
        <v>758582273</v>
      </c>
      <c r="H434" s="2043">
        <v>742461654</v>
      </c>
      <c r="I434" s="2043">
        <v>704811476</v>
      </c>
    </row>
    <row r="435" spans="1:9">
      <c r="A435" s="2043" t="s">
        <v>2379</v>
      </c>
      <c r="B435" s="2043">
        <v>257063120</v>
      </c>
      <c r="C435" s="2043">
        <v>250953149</v>
      </c>
      <c r="D435" s="2043">
        <v>257063120</v>
      </c>
      <c r="E435" s="2043">
        <v>250953149</v>
      </c>
      <c r="F435" s="2043">
        <v>257063120</v>
      </c>
      <c r="G435" s="2043">
        <v>250953149</v>
      </c>
      <c r="H435" s="2043">
        <v>257063120</v>
      </c>
      <c r="I435" s="2043">
        <v>250953149</v>
      </c>
    </row>
    <row r="436" spans="1:9">
      <c r="A436" s="2043" t="s">
        <v>1894</v>
      </c>
      <c r="B436" s="2043">
        <v>622702090</v>
      </c>
      <c r="C436" s="2043">
        <v>606908713</v>
      </c>
      <c r="D436" s="2043">
        <v>595309206</v>
      </c>
      <c r="E436" s="2043">
        <v>579515829</v>
      </c>
      <c r="F436" s="2043">
        <v>622702090</v>
      </c>
      <c r="G436" s="2043">
        <v>606908713</v>
      </c>
      <c r="H436" s="2043">
        <v>595309206</v>
      </c>
      <c r="I436" s="2043">
        <v>579515829</v>
      </c>
    </row>
    <row r="437" spans="1:9">
      <c r="A437" s="2043" t="s">
        <v>61</v>
      </c>
      <c r="B437" s="2043">
        <v>1472653954</v>
      </c>
      <c r="C437" s="2043">
        <v>1449486556</v>
      </c>
      <c r="D437" s="2043">
        <v>1472653954</v>
      </c>
      <c r="E437" s="2043">
        <v>1449486556</v>
      </c>
      <c r="F437" s="2043">
        <v>1472653954</v>
      </c>
      <c r="G437" s="2043">
        <v>1449486556</v>
      </c>
      <c r="H437" s="2043">
        <v>1472653954</v>
      </c>
      <c r="I437" s="2043">
        <v>1449486556</v>
      </c>
    </row>
    <row r="438" spans="1:9">
      <c r="A438" s="2043" t="s">
        <v>1429</v>
      </c>
      <c r="B438" s="2043">
        <v>52766685</v>
      </c>
      <c r="C438" s="2043">
        <v>51116915</v>
      </c>
      <c r="D438" s="2043">
        <v>51760974</v>
      </c>
      <c r="E438" s="2043">
        <v>50111204</v>
      </c>
      <c r="F438" s="2043">
        <v>52766685</v>
      </c>
      <c r="G438" s="2043">
        <v>51116915</v>
      </c>
      <c r="H438" s="2043">
        <v>51760974</v>
      </c>
      <c r="I438" s="2043">
        <v>50111204</v>
      </c>
    </row>
    <row r="439" spans="1:9">
      <c r="A439" s="2043" t="s">
        <v>821</v>
      </c>
      <c r="B439" s="2043">
        <v>41105794</v>
      </c>
      <c r="C439" s="2043">
        <v>39345654</v>
      </c>
      <c r="D439" s="2043">
        <v>41105794</v>
      </c>
      <c r="E439" s="2043">
        <v>39345654</v>
      </c>
      <c r="F439" s="2043">
        <v>41105794</v>
      </c>
      <c r="G439" s="2043">
        <v>39345654</v>
      </c>
      <c r="H439" s="2043">
        <v>41105794</v>
      </c>
      <c r="I439" s="2043">
        <v>39345654</v>
      </c>
    </row>
    <row r="440" spans="1:9">
      <c r="A440" s="2043" t="s">
        <v>62</v>
      </c>
      <c r="B440" s="2043">
        <v>211762830</v>
      </c>
      <c r="C440" s="2043">
        <v>205500174</v>
      </c>
      <c r="D440" s="2043">
        <v>202755290</v>
      </c>
      <c r="E440" s="2043">
        <v>196492634</v>
      </c>
      <c r="F440" s="2043">
        <v>211762830</v>
      </c>
      <c r="G440" s="2043">
        <v>205500174</v>
      </c>
      <c r="H440" s="2043">
        <v>202755290</v>
      </c>
      <c r="I440" s="2043">
        <v>196492634</v>
      </c>
    </row>
    <row r="441" spans="1:9">
      <c r="A441" s="2043" t="s">
        <v>2008</v>
      </c>
      <c r="B441" s="2043">
        <v>1568995798</v>
      </c>
      <c r="C441" s="2043">
        <v>1485461411</v>
      </c>
      <c r="D441" s="2043">
        <v>1568995798</v>
      </c>
      <c r="E441" s="2043">
        <v>1485461411</v>
      </c>
      <c r="F441" s="2043">
        <v>1568995798</v>
      </c>
      <c r="G441" s="2043">
        <v>1485461411</v>
      </c>
      <c r="H441" s="2043">
        <v>1568995798</v>
      </c>
      <c r="I441" s="2043">
        <v>1485461411</v>
      </c>
    </row>
    <row r="442" spans="1:9">
      <c r="A442" s="2043" t="s">
        <v>725</v>
      </c>
      <c r="B442" s="2043">
        <v>408505336</v>
      </c>
      <c r="C442" s="2043">
        <v>359517685</v>
      </c>
      <c r="D442" s="2043">
        <v>408505336</v>
      </c>
      <c r="E442" s="2043">
        <v>359517685</v>
      </c>
      <c r="F442" s="2043">
        <v>408505336</v>
      </c>
      <c r="G442" s="2043">
        <v>359517685</v>
      </c>
      <c r="H442" s="2043">
        <v>408505336</v>
      </c>
      <c r="I442" s="2043">
        <v>359517685</v>
      </c>
    </row>
    <row r="443" spans="1:9">
      <c r="A443" s="2043" t="s">
        <v>727</v>
      </c>
      <c r="B443" s="2043">
        <v>7145689023</v>
      </c>
      <c r="C443" s="2043">
        <v>6918067276</v>
      </c>
      <c r="D443" s="2043">
        <v>7145689023</v>
      </c>
      <c r="E443" s="2043">
        <v>6918067276</v>
      </c>
      <c r="F443" s="2043">
        <v>7325979423</v>
      </c>
      <c r="G443" s="2043">
        <v>7098357676</v>
      </c>
      <c r="H443" s="2043">
        <v>7325979423</v>
      </c>
      <c r="I443" s="2043">
        <v>7098357676</v>
      </c>
    </row>
    <row r="444" spans="1:9">
      <c r="A444" s="2043" t="s">
        <v>1761</v>
      </c>
      <c r="B444" s="2043">
        <v>565637620</v>
      </c>
      <c r="C444" s="2043">
        <v>554297290</v>
      </c>
      <c r="D444" s="2043">
        <v>565637620</v>
      </c>
      <c r="E444" s="2043">
        <v>554297290</v>
      </c>
      <c r="F444" s="2043">
        <v>565637620</v>
      </c>
      <c r="G444" s="2043">
        <v>554297290</v>
      </c>
      <c r="H444" s="2043">
        <v>565637620</v>
      </c>
      <c r="I444" s="2043">
        <v>554297290</v>
      </c>
    </row>
    <row r="445" spans="1:9">
      <c r="A445" s="2043" t="s">
        <v>2388</v>
      </c>
      <c r="B445" s="2043">
        <v>7739802753</v>
      </c>
      <c r="C445" s="2043">
        <v>7544931198</v>
      </c>
      <c r="D445" s="2043">
        <v>7739802753</v>
      </c>
      <c r="E445" s="2043">
        <v>7544931198</v>
      </c>
      <c r="F445" s="2043">
        <v>7739802753</v>
      </c>
      <c r="G445" s="2043">
        <v>7544931198</v>
      </c>
      <c r="H445" s="2043">
        <v>7739802753</v>
      </c>
      <c r="I445" s="2043">
        <v>7544931198</v>
      </c>
    </row>
    <row r="446" spans="1:9">
      <c r="A446" s="2043" t="s">
        <v>2391</v>
      </c>
      <c r="B446" s="2043">
        <v>608465901</v>
      </c>
      <c r="C446" s="2043">
        <v>578915780</v>
      </c>
      <c r="D446" s="2043">
        <v>608465901</v>
      </c>
      <c r="E446" s="2043">
        <v>578915780</v>
      </c>
      <c r="F446" s="2043">
        <v>608465901</v>
      </c>
      <c r="G446" s="2043">
        <v>578915780</v>
      </c>
      <c r="H446" s="2043">
        <v>608465901</v>
      </c>
      <c r="I446" s="2043">
        <v>578915780</v>
      </c>
    </row>
    <row r="447" spans="1:9">
      <c r="A447" s="2043" t="s">
        <v>2397</v>
      </c>
      <c r="B447" s="2043">
        <v>4964017207</v>
      </c>
      <c r="C447" s="2043">
        <v>4775584788</v>
      </c>
      <c r="D447" s="2043">
        <v>4964017207</v>
      </c>
      <c r="E447" s="2043">
        <v>4775584788</v>
      </c>
      <c r="F447" s="2043">
        <v>4964017207</v>
      </c>
      <c r="G447" s="2043">
        <v>4775584788</v>
      </c>
      <c r="H447" s="2043">
        <v>4964017207</v>
      </c>
      <c r="I447" s="2043">
        <v>4775584788</v>
      </c>
    </row>
    <row r="448" spans="1:9">
      <c r="A448" s="2043" t="s">
        <v>1011</v>
      </c>
      <c r="B448" s="2043">
        <v>188965941</v>
      </c>
      <c r="C448" s="2043">
        <v>178510429</v>
      </c>
      <c r="D448" s="2043">
        <v>188965941</v>
      </c>
      <c r="E448" s="2043">
        <v>178510429</v>
      </c>
      <c r="F448" s="2043">
        <v>188965941</v>
      </c>
      <c r="G448" s="2043">
        <v>178510429</v>
      </c>
      <c r="H448" s="2043">
        <v>188965941</v>
      </c>
      <c r="I448" s="2043">
        <v>178510429</v>
      </c>
    </row>
    <row r="449" spans="1:9">
      <c r="A449" s="2043" t="s">
        <v>1471</v>
      </c>
      <c r="B449" s="2043">
        <v>3423172743</v>
      </c>
      <c r="C449" s="2043">
        <v>3340196179</v>
      </c>
      <c r="D449" s="2043">
        <v>3423172743</v>
      </c>
      <c r="E449" s="2043">
        <v>3340196179</v>
      </c>
      <c r="F449" s="2043">
        <v>3423172743</v>
      </c>
      <c r="G449" s="2043">
        <v>3340196179</v>
      </c>
      <c r="H449" s="2043">
        <v>3423172743</v>
      </c>
      <c r="I449" s="2043">
        <v>3340196179</v>
      </c>
    </row>
    <row r="450" spans="1:9">
      <c r="A450" s="2043" t="s">
        <v>56</v>
      </c>
      <c r="B450" s="2043">
        <v>2771103028</v>
      </c>
      <c r="C450" s="2043">
        <v>2631437440</v>
      </c>
      <c r="D450" s="2043">
        <v>2771103028</v>
      </c>
      <c r="E450" s="2043">
        <v>2631437440</v>
      </c>
      <c r="F450" s="2043">
        <v>2771103028</v>
      </c>
      <c r="G450" s="2043">
        <v>2631437440</v>
      </c>
      <c r="H450" s="2043">
        <v>2771103028</v>
      </c>
      <c r="I450" s="2043">
        <v>2631437440</v>
      </c>
    </row>
    <row r="451" spans="1:9">
      <c r="A451" s="2043" t="s">
        <v>682</v>
      </c>
      <c r="B451" s="2043">
        <v>2482333247</v>
      </c>
      <c r="C451" s="2043">
        <v>2375060406</v>
      </c>
      <c r="D451" s="2043">
        <v>2482333247</v>
      </c>
      <c r="E451" s="2043">
        <v>2375060406</v>
      </c>
      <c r="F451" s="2043">
        <v>2482333247</v>
      </c>
      <c r="G451" s="2043">
        <v>2375060406</v>
      </c>
      <c r="H451" s="2043">
        <v>2482333247</v>
      </c>
      <c r="I451" s="2043">
        <v>2375060406</v>
      </c>
    </row>
    <row r="452" spans="1:9">
      <c r="A452" s="2043" t="s">
        <v>58</v>
      </c>
      <c r="B452" s="2043">
        <v>110400713</v>
      </c>
      <c r="C452" s="2043">
        <v>106350266</v>
      </c>
      <c r="D452" s="2043">
        <v>110400713</v>
      </c>
      <c r="E452" s="2043">
        <v>106350266</v>
      </c>
      <c r="F452" s="2043">
        <v>110400713</v>
      </c>
      <c r="G452" s="2043">
        <v>106350266</v>
      </c>
      <c r="H452" s="2043">
        <v>110400713</v>
      </c>
      <c r="I452" s="2043">
        <v>106350266</v>
      </c>
    </row>
    <row r="453" spans="1:9">
      <c r="A453" s="2043" t="s">
        <v>483</v>
      </c>
      <c r="B453" s="2043">
        <v>127153803</v>
      </c>
      <c r="C453" s="2043">
        <v>121314968</v>
      </c>
      <c r="D453" s="2043">
        <v>127153803</v>
      </c>
      <c r="E453" s="2043">
        <v>121314968</v>
      </c>
      <c r="F453" s="2043">
        <v>127153803</v>
      </c>
      <c r="G453" s="2043">
        <v>121314968</v>
      </c>
      <c r="H453" s="2043">
        <v>127153803</v>
      </c>
      <c r="I453" s="2043">
        <v>121314968</v>
      </c>
    </row>
    <row r="454" spans="1:9">
      <c r="A454" s="2043" t="s">
        <v>1433</v>
      </c>
      <c r="B454" s="2043">
        <v>699878154</v>
      </c>
      <c r="C454" s="2043">
        <v>675631163</v>
      </c>
      <c r="D454" s="2043">
        <v>699878154</v>
      </c>
      <c r="E454" s="2043">
        <v>675631163</v>
      </c>
      <c r="F454" s="2043">
        <v>699878154</v>
      </c>
      <c r="G454" s="2043">
        <v>675631163</v>
      </c>
      <c r="H454" s="2043">
        <v>699878154</v>
      </c>
      <c r="I454" s="2043">
        <v>675631163</v>
      </c>
    </row>
    <row r="455" spans="1:9">
      <c r="A455" s="2043" t="s">
        <v>140</v>
      </c>
      <c r="B455" s="2043">
        <v>101803890</v>
      </c>
      <c r="C455" s="2043">
        <v>98910050</v>
      </c>
      <c r="D455" s="2043">
        <v>101803890</v>
      </c>
      <c r="E455" s="2043">
        <v>98910050</v>
      </c>
      <c r="F455" s="2043">
        <v>101803890</v>
      </c>
      <c r="G455" s="2043">
        <v>98910050</v>
      </c>
      <c r="H455" s="2043">
        <v>101803890</v>
      </c>
      <c r="I455" s="2043">
        <v>98910050</v>
      </c>
    </row>
    <row r="456" spans="1:9">
      <c r="A456" s="2043" t="s">
        <v>2369</v>
      </c>
      <c r="B456" s="2043">
        <v>97192111</v>
      </c>
      <c r="C456" s="2043">
        <v>94857411</v>
      </c>
      <c r="D456" s="2043">
        <v>97192111</v>
      </c>
      <c r="E456" s="2043">
        <v>94857411</v>
      </c>
      <c r="F456" s="2043">
        <v>97192111</v>
      </c>
      <c r="G456" s="2043">
        <v>94857411</v>
      </c>
      <c r="H456" s="2043">
        <v>97192111</v>
      </c>
      <c r="I456" s="2043">
        <v>94857411</v>
      </c>
    </row>
    <row r="457" spans="1:9">
      <c r="A457" s="2043" t="s">
        <v>2264</v>
      </c>
      <c r="B457" s="2043">
        <v>100881731</v>
      </c>
      <c r="C457" s="2043">
        <v>96827710</v>
      </c>
      <c r="D457" s="2043">
        <v>100881731</v>
      </c>
      <c r="E457" s="2043">
        <v>96827710</v>
      </c>
      <c r="F457" s="2043">
        <v>100881731</v>
      </c>
      <c r="G457" s="2043">
        <v>96827710</v>
      </c>
      <c r="H457" s="2043">
        <v>100881731</v>
      </c>
      <c r="I457" s="2043">
        <v>96827710</v>
      </c>
    </row>
    <row r="458" spans="1:9">
      <c r="A458" s="2043" t="s">
        <v>1763</v>
      </c>
      <c r="B458" s="2043">
        <v>742978648</v>
      </c>
      <c r="C458" s="2043">
        <v>725177301</v>
      </c>
      <c r="D458" s="2043">
        <v>742978648</v>
      </c>
      <c r="E458" s="2043">
        <v>725177301</v>
      </c>
      <c r="F458" s="2043">
        <v>828930398</v>
      </c>
      <c r="G458" s="2043">
        <v>811129051</v>
      </c>
      <c r="H458" s="2043">
        <v>828930398</v>
      </c>
      <c r="I458" s="2043">
        <v>811129051</v>
      </c>
    </row>
    <row r="459" spans="1:9">
      <c r="A459" s="2043" t="s">
        <v>484</v>
      </c>
      <c r="B459" s="2043">
        <v>98115486</v>
      </c>
      <c r="C459" s="2043">
        <v>93990785</v>
      </c>
      <c r="D459" s="2043">
        <v>98115486</v>
      </c>
      <c r="E459" s="2043">
        <v>93990785</v>
      </c>
      <c r="F459" s="2043">
        <v>98115486</v>
      </c>
      <c r="G459" s="2043">
        <v>93990785</v>
      </c>
      <c r="H459" s="2043">
        <v>98115486</v>
      </c>
      <c r="I459" s="2043">
        <v>93990785</v>
      </c>
    </row>
    <row r="460" spans="1:9">
      <c r="A460" s="2043" t="s">
        <v>40</v>
      </c>
      <c r="B460" s="2043">
        <v>227470783</v>
      </c>
      <c r="C460" s="2043">
        <v>220347522</v>
      </c>
      <c r="D460" s="2043">
        <v>227470783</v>
      </c>
      <c r="E460" s="2043">
        <v>220347522</v>
      </c>
      <c r="F460" s="2043">
        <v>227470783</v>
      </c>
      <c r="G460" s="2043">
        <v>220347522</v>
      </c>
      <c r="H460" s="2043">
        <v>227470783</v>
      </c>
      <c r="I460" s="2043">
        <v>220347522</v>
      </c>
    </row>
    <row r="461" spans="1:9">
      <c r="A461" s="2043" t="s">
        <v>141</v>
      </c>
      <c r="B461" s="2043">
        <v>54007571</v>
      </c>
      <c r="C461" s="2043">
        <v>52809992</v>
      </c>
      <c r="D461" s="2043">
        <v>54007571</v>
      </c>
      <c r="E461" s="2043">
        <v>52809992</v>
      </c>
      <c r="F461" s="2043">
        <v>54007571</v>
      </c>
      <c r="G461" s="2043">
        <v>52809992</v>
      </c>
      <c r="H461" s="2043">
        <v>54007571</v>
      </c>
      <c r="I461" s="2043">
        <v>52809992</v>
      </c>
    </row>
    <row r="462" spans="1:9">
      <c r="A462" s="2043" t="s">
        <v>488</v>
      </c>
      <c r="B462" s="2043">
        <v>36046407</v>
      </c>
      <c r="C462" s="2043">
        <v>34052301</v>
      </c>
      <c r="D462" s="2043">
        <v>36046407</v>
      </c>
      <c r="E462" s="2043">
        <v>34052301</v>
      </c>
      <c r="F462" s="2043">
        <v>36046407</v>
      </c>
      <c r="G462" s="2043">
        <v>34052301</v>
      </c>
      <c r="H462" s="2043">
        <v>36046407</v>
      </c>
      <c r="I462" s="2043">
        <v>34052301</v>
      </c>
    </row>
    <row r="463" spans="1:9">
      <c r="A463" s="2043" t="s">
        <v>1472</v>
      </c>
      <c r="B463" s="2043">
        <v>668461961</v>
      </c>
      <c r="C463" s="2043">
        <v>643499378</v>
      </c>
      <c r="D463" s="2043">
        <v>668461961</v>
      </c>
      <c r="E463" s="2043">
        <v>643499378</v>
      </c>
      <c r="F463" s="2043">
        <v>668461961</v>
      </c>
      <c r="G463" s="2043">
        <v>643499378</v>
      </c>
      <c r="H463" s="2043">
        <v>668461961</v>
      </c>
      <c r="I463" s="2043">
        <v>643499378</v>
      </c>
    </row>
    <row r="464" spans="1:9">
      <c r="A464" s="2043" t="s">
        <v>489</v>
      </c>
      <c r="B464" s="2043">
        <v>97789910</v>
      </c>
      <c r="C464" s="2043">
        <v>94630463</v>
      </c>
      <c r="D464" s="2043">
        <v>97789910</v>
      </c>
      <c r="E464" s="2043">
        <v>94630463</v>
      </c>
      <c r="F464" s="2043">
        <v>97789910</v>
      </c>
      <c r="G464" s="2043">
        <v>94630463</v>
      </c>
      <c r="H464" s="2043">
        <v>97789910</v>
      </c>
      <c r="I464" s="2043">
        <v>94630463</v>
      </c>
    </row>
    <row r="465" spans="1:9">
      <c r="A465" s="2043" t="s">
        <v>1450</v>
      </c>
      <c r="B465" s="2043">
        <v>196849570</v>
      </c>
      <c r="C465" s="2043">
        <v>192985730</v>
      </c>
      <c r="D465" s="2043">
        <v>196849570</v>
      </c>
      <c r="E465" s="2043">
        <v>192985730</v>
      </c>
      <c r="F465" s="2043">
        <v>196849570</v>
      </c>
      <c r="G465" s="2043">
        <v>192985730</v>
      </c>
      <c r="H465" s="2043">
        <v>196849570</v>
      </c>
      <c r="I465" s="2043">
        <v>192985730</v>
      </c>
    </row>
    <row r="466" spans="1:9">
      <c r="A466" s="2043" t="s">
        <v>490</v>
      </c>
      <c r="B466" s="2043">
        <v>33973848</v>
      </c>
      <c r="C466" s="2043">
        <v>32657320</v>
      </c>
      <c r="D466" s="2043">
        <v>33973848</v>
      </c>
      <c r="E466" s="2043">
        <v>32657320</v>
      </c>
      <c r="F466" s="2043">
        <v>33973848</v>
      </c>
      <c r="G466" s="2043">
        <v>32657320</v>
      </c>
      <c r="H466" s="2043">
        <v>33973848</v>
      </c>
      <c r="I466" s="2043">
        <v>32657320</v>
      </c>
    </row>
    <row r="467" spans="1:9">
      <c r="A467" s="2043" t="s">
        <v>1473</v>
      </c>
      <c r="B467" s="2043">
        <v>76205786</v>
      </c>
      <c r="C467" s="2043">
        <v>74144582</v>
      </c>
      <c r="D467" s="2043">
        <v>76205786</v>
      </c>
      <c r="E467" s="2043">
        <v>74144582</v>
      </c>
      <c r="F467" s="2043">
        <v>76205786</v>
      </c>
      <c r="G467" s="2043">
        <v>74144582</v>
      </c>
      <c r="H467" s="2043">
        <v>76205786</v>
      </c>
      <c r="I467" s="2043">
        <v>74144582</v>
      </c>
    </row>
    <row r="468" spans="1:9">
      <c r="A468" s="2043" t="s">
        <v>1474</v>
      </c>
      <c r="B468" s="2043">
        <v>1294640501</v>
      </c>
      <c r="C468" s="2043">
        <v>1264106325</v>
      </c>
      <c r="D468" s="2043">
        <v>1294640501</v>
      </c>
      <c r="E468" s="2043">
        <v>1264106325</v>
      </c>
      <c r="F468" s="2043">
        <v>1294640501</v>
      </c>
      <c r="G468" s="2043">
        <v>1264106325</v>
      </c>
      <c r="H468" s="2043">
        <v>1294640501</v>
      </c>
      <c r="I468" s="2043">
        <v>1264106325</v>
      </c>
    </row>
    <row r="469" spans="1:9">
      <c r="A469" s="2043" t="s">
        <v>1169</v>
      </c>
      <c r="B469" s="2043">
        <v>117037859</v>
      </c>
      <c r="C469" s="2043">
        <v>114131759</v>
      </c>
      <c r="D469" s="2043">
        <v>117037859</v>
      </c>
      <c r="E469" s="2043">
        <v>114131759</v>
      </c>
      <c r="F469" s="2043">
        <v>117037859</v>
      </c>
      <c r="G469" s="2043">
        <v>114131759</v>
      </c>
      <c r="H469" s="2043">
        <v>117037859</v>
      </c>
      <c r="I469" s="2043">
        <v>114131759</v>
      </c>
    </row>
    <row r="470" spans="1:9">
      <c r="A470" s="2043" t="s">
        <v>1739</v>
      </c>
      <c r="B470" s="2043">
        <v>115977320</v>
      </c>
      <c r="C470" s="2043">
        <v>112271840</v>
      </c>
      <c r="D470" s="2043">
        <v>115977320</v>
      </c>
      <c r="E470" s="2043">
        <v>112271840</v>
      </c>
      <c r="F470" s="2043">
        <v>115977320</v>
      </c>
      <c r="G470" s="2043">
        <v>112271840</v>
      </c>
      <c r="H470" s="2043">
        <v>115977320</v>
      </c>
      <c r="I470" s="2043">
        <v>112271840</v>
      </c>
    </row>
    <row r="471" spans="1:9">
      <c r="A471" s="2043" t="s">
        <v>1170</v>
      </c>
      <c r="B471" s="2043">
        <v>953496917</v>
      </c>
      <c r="C471" s="2043">
        <v>950613157</v>
      </c>
      <c r="D471" s="2043">
        <v>950728331</v>
      </c>
      <c r="E471" s="2043">
        <v>947844571</v>
      </c>
      <c r="F471" s="2043">
        <v>953496917</v>
      </c>
      <c r="G471" s="2043">
        <v>950613157</v>
      </c>
      <c r="H471" s="2043">
        <v>950728331</v>
      </c>
      <c r="I471" s="2043">
        <v>947844571</v>
      </c>
    </row>
    <row r="472" spans="1:9">
      <c r="A472" s="2043" t="s">
        <v>1171</v>
      </c>
      <c r="B472" s="2043">
        <v>54111425</v>
      </c>
      <c r="C472" s="2043">
        <v>53185585</v>
      </c>
      <c r="D472" s="2043">
        <v>54111425</v>
      </c>
      <c r="E472" s="2043">
        <v>53185585</v>
      </c>
      <c r="F472" s="2043">
        <v>54111425</v>
      </c>
      <c r="G472" s="2043">
        <v>53185585</v>
      </c>
      <c r="H472" s="2043">
        <v>54111425</v>
      </c>
      <c r="I472" s="2043">
        <v>53185585</v>
      </c>
    </row>
    <row r="473" spans="1:9">
      <c r="A473" s="2043" t="s">
        <v>1172</v>
      </c>
      <c r="B473" s="2043">
        <v>6524294686</v>
      </c>
      <c r="C473" s="2043">
        <v>6395367582</v>
      </c>
      <c r="D473" s="2043">
        <v>6524294686</v>
      </c>
      <c r="E473" s="2043">
        <v>6395367582</v>
      </c>
      <c r="F473" s="2043">
        <v>6524294686</v>
      </c>
      <c r="G473" s="2043">
        <v>6395367582</v>
      </c>
      <c r="H473" s="2043">
        <v>6524294686</v>
      </c>
      <c r="I473" s="2043">
        <v>6395367582</v>
      </c>
    </row>
    <row r="474" spans="1:9">
      <c r="A474" s="2043" t="s">
        <v>1675</v>
      </c>
      <c r="B474" s="2043">
        <v>186726206</v>
      </c>
      <c r="C474" s="2043">
        <v>182299665</v>
      </c>
      <c r="D474" s="2043">
        <v>186726206</v>
      </c>
      <c r="E474" s="2043">
        <v>182299665</v>
      </c>
      <c r="F474" s="2043">
        <v>186726206</v>
      </c>
      <c r="G474" s="2043">
        <v>182299665</v>
      </c>
      <c r="H474" s="2043">
        <v>186726206</v>
      </c>
      <c r="I474" s="2043">
        <v>182299665</v>
      </c>
    </row>
    <row r="475" spans="1:9">
      <c r="A475" s="2043" t="s">
        <v>1427</v>
      </c>
      <c r="B475" s="2043">
        <v>299737242</v>
      </c>
      <c r="C475" s="2043">
        <v>293517986</v>
      </c>
      <c r="D475" s="2043">
        <v>299737242</v>
      </c>
      <c r="E475" s="2043">
        <v>293517986</v>
      </c>
      <c r="F475" s="2043">
        <v>299737242</v>
      </c>
      <c r="G475" s="2043">
        <v>293517986</v>
      </c>
      <c r="H475" s="2043">
        <v>299737242</v>
      </c>
      <c r="I475" s="2043">
        <v>293517986</v>
      </c>
    </row>
    <row r="476" spans="1:9">
      <c r="A476" s="2043" t="s">
        <v>169</v>
      </c>
      <c r="B476" s="2043">
        <v>1478426650</v>
      </c>
      <c r="C476" s="2043">
        <v>1432278423</v>
      </c>
      <c r="D476" s="2043">
        <v>1478426650</v>
      </c>
      <c r="E476" s="2043">
        <v>1432278423</v>
      </c>
      <c r="F476" s="2043">
        <v>1478426650</v>
      </c>
      <c r="G476" s="2043">
        <v>1432278423</v>
      </c>
      <c r="H476" s="2043">
        <v>1478426650</v>
      </c>
      <c r="I476" s="2043">
        <v>1432278423</v>
      </c>
    </row>
    <row r="477" spans="1:9">
      <c r="A477" s="2043" t="s">
        <v>1409</v>
      </c>
      <c r="B477" s="2043">
        <v>89468582</v>
      </c>
      <c r="C477" s="2043">
        <v>84750240</v>
      </c>
      <c r="D477" s="2043">
        <v>89468582</v>
      </c>
      <c r="E477" s="2043">
        <v>84750240</v>
      </c>
      <c r="F477" s="2043">
        <v>89468582</v>
      </c>
      <c r="G477" s="2043">
        <v>84750240</v>
      </c>
      <c r="H477" s="2043">
        <v>89468582</v>
      </c>
      <c r="I477" s="2043">
        <v>84750240</v>
      </c>
    </row>
    <row r="478" spans="1:9">
      <c r="A478" s="2043" t="s">
        <v>170</v>
      </c>
      <c r="B478" s="2043">
        <v>103589887</v>
      </c>
      <c r="C478" s="2043">
        <v>99504701</v>
      </c>
      <c r="D478" s="2043">
        <v>103589887</v>
      </c>
      <c r="E478" s="2043">
        <v>99504701</v>
      </c>
      <c r="F478" s="2043">
        <v>103589887</v>
      </c>
      <c r="G478" s="2043">
        <v>99504701</v>
      </c>
      <c r="H478" s="2043">
        <v>103589887</v>
      </c>
      <c r="I478" s="2043">
        <v>99504701</v>
      </c>
    </row>
    <row r="479" spans="1:9">
      <c r="A479" s="2043" t="s">
        <v>1836</v>
      </c>
      <c r="B479" s="2043">
        <v>71685567</v>
      </c>
      <c r="C479" s="2043">
        <v>68118572</v>
      </c>
      <c r="D479" s="2043">
        <v>71685567</v>
      </c>
      <c r="E479" s="2043">
        <v>68118572</v>
      </c>
      <c r="F479" s="2043">
        <v>71685567</v>
      </c>
      <c r="G479" s="2043">
        <v>68118572</v>
      </c>
      <c r="H479" s="2043">
        <v>71685567</v>
      </c>
      <c r="I479" s="2043">
        <v>68118572</v>
      </c>
    </row>
    <row r="480" spans="1:9">
      <c r="A480" s="2043" t="s">
        <v>171</v>
      </c>
      <c r="B480" s="2043">
        <v>175614870</v>
      </c>
      <c r="C480" s="2043">
        <v>169170892</v>
      </c>
      <c r="D480" s="2043">
        <v>175614870</v>
      </c>
      <c r="E480" s="2043">
        <v>169170892</v>
      </c>
      <c r="F480" s="2043">
        <v>175614870</v>
      </c>
      <c r="G480" s="2043">
        <v>169170892</v>
      </c>
      <c r="H480" s="2043">
        <v>175614870</v>
      </c>
      <c r="I480" s="2043">
        <v>169170892</v>
      </c>
    </row>
    <row r="481" spans="1:9">
      <c r="A481" s="2043" t="s">
        <v>1410</v>
      </c>
      <c r="B481" s="2043">
        <v>116528039</v>
      </c>
      <c r="C481" s="2043">
        <v>113765378</v>
      </c>
      <c r="D481" s="2043">
        <v>116528039</v>
      </c>
      <c r="E481" s="2043">
        <v>113765378</v>
      </c>
      <c r="F481" s="2043">
        <v>116528039</v>
      </c>
      <c r="G481" s="2043">
        <v>113765378</v>
      </c>
      <c r="H481" s="2043">
        <v>116528039</v>
      </c>
      <c r="I481" s="2043">
        <v>113765378</v>
      </c>
    </row>
    <row r="482" spans="1:9">
      <c r="A482" s="2043" t="s">
        <v>1336</v>
      </c>
      <c r="B482" s="2043">
        <v>493105711</v>
      </c>
      <c r="C482" s="2043">
        <v>476326343</v>
      </c>
      <c r="D482" s="2043">
        <v>493105711</v>
      </c>
      <c r="E482" s="2043">
        <v>476326343</v>
      </c>
      <c r="F482" s="2043">
        <v>561765701</v>
      </c>
      <c r="G482" s="2043">
        <v>544986333</v>
      </c>
      <c r="H482" s="2043">
        <v>561765701</v>
      </c>
      <c r="I482" s="2043">
        <v>544986333</v>
      </c>
    </row>
    <row r="483" spans="1:9">
      <c r="A483" s="2043" t="s">
        <v>1187</v>
      </c>
      <c r="B483" s="2043">
        <v>352730585</v>
      </c>
      <c r="C483" s="2043">
        <v>342692697</v>
      </c>
      <c r="D483" s="2043">
        <v>352730585</v>
      </c>
      <c r="E483" s="2043">
        <v>342692697</v>
      </c>
      <c r="F483" s="2043">
        <v>352730585</v>
      </c>
      <c r="G483" s="2043">
        <v>342692697</v>
      </c>
      <c r="H483" s="2043">
        <v>352730585</v>
      </c>
      <c r="I483" s="2043">
        <v>342692697</v>
      </c>
    </row>
    <row r="484" spans="1:9">
      <c r="A484" s="2043" t="s">
        <v>925</v>
      </c>
      <c r="B484" s="2043">
        <v>299782748</v>
      </c>
      <c r="C484" s="2043">
        <v>293108798</v>
      </c>
      <c r="D484" s="2043">
        <v>299782748</v>
      </c>
      <c r="E484" s="2043">
        <v>293108798</v>
      </c>
      <c r="F484" s="2043">
        <v>299782748</v>
      </c>
      <c r="G484" s="2043">
        <v>293108798</v>
      </c>
      <c r="H484" s="2043">
        <v>299782748</v>
      </c>
      <c r="I484" s="2043">
        <v>293108798</v>
      </c>
    </row>
    <row r="485" spans="1:9">
      <c r="A485" s="2043" t="s">
        <v>926</v>
      </c>
      <c r="B485" s="2043">
        <v>181234457</v>
      </c>
      <c r="C485" s="2043">
        <v>175323451</v>
      </c>
      <c r="D485" s="2043">
        <v>181234457</v>
      </c>
      <c r="E485" s="2043">
        <v>175323451</v>
      </c>
      <c r="F485" s="2043">
        <v>181234457</v>
      </c>
      <c r="G485" s="2043">
        <v>175323451</v>
      </c>
      <c r="H485" s="2043">
        <v>181234457</v>
      </c>
      <c r="I485" s="2043">
        <v>175323451</v>
      </c>
    </row>
    <row r="486" spans="1:9">
      <c r="A486" s="2043" t="s">
        <v>852</v>
      </c>
      <c r="B486" s="2043">
        <v>127915636</v>
      </c>
      <c r="C486" s="2043">
        <v>122553496</v>
      </c>
      <c r="D486" s="2043">
        <v>127915636</v>
      </c>
      <c r="E486" s="2043">
        <v>122553496</v>
      </c>
      <c r="F486" s="2043">
        <v>127915636</v>
      </c>
      <c r="G486" s="2043">
        <v>122553496</v>
      </c>
      <c r="H486" s="2043">
        <v>127915636</v>
      </c>
      <c r="I486" s="2043">
        <v>122553496</v>
      </c>
    </row>
    <row r="487" spans="1:9">
      <c r="A487" s="2043" t="s">
        <v>1699</v>
      </c>
      <c r="B487" s="2043">
        <v>3154179227</v>
      </c>
      <c r="C487" s="2043">
        <v>3111727135</v>
      </c>
      <c r="D487" s="2043">
        <v>3108927911</v>
      </c>
      <c r="E487" s="2043">
        <v>3066475819</v>
      </c>
      <c r="F487" s="2043">
        <v>3238849987</v>
      </c>
      <c r="G487" s="2043">
        <v>3196397895</v>
      </c>
      <c r="H487" s="2043">
        <v>3193598671</v>
      </c>
      <c r="I487" s="2043">
        <v>3151146579</v>
      </c>
    </row>
    <row r="488" spans="1:9">
      <c r="A488" s="2043" t="s">
        <v>2530</v>
      </c>
      <c r="B488" s="2043">
        <v>565233203</v>
      </c>
      <c r="C488" s="2043">
        <v>556018727</v>
      </c>
      <c r="D488" s="2043">
        <v>553761134</v>
      </c>
      <c r="E488" s="2043">
        <v>544546658</v>
      </c>
      <c r="F488" s="2043">
        <v>565233203</v>
      </c>
      <c r="G488" s="2043">
        <v>556018727</v>
      </c>
      <c r="H488" s="2043">
        <v>553761134</v>
      </c>
      <c r="I488" s="2043">
        <v>544546658</v>
      </c>
    </row>
    <row r="489" spans="1:9">
      <c r="A489" s="2043" t="s">
        <v>2531</v>
      </c>
      <c r="B489" s="2043">
        <v>703091767</v>
      </c>
      <c r="C489" s="2043">
        <v>697220568</v>
      </c>
      <c r="D489" s="2043">
        <v>694679144</v>
      </c>
      <c r="E489" s="2043">
        <v>688807945</v>
      </c>
      <c r="F489" s="2043">
        <v>703091767</v>
      </c>
      <c r="G489" s="2043">
        <v>697220568</v>
      </c>
      <c r="H489" s="2043">
        <v>694679144</v>
      </c>
      <c r="I489" s="2043">
        <v>688807945</v>
      </c>
    </row>
    <row r="490" spans="1:9">
      <c r="A490" s="2043" t="s">
        <v>1255</v>
      </c>
      <c r="B490" s="2043">
        <v>289275069</v>
      </c>
      <c r="C490" s="2043">
        <v>286194647</v>
      </c>
      <c r="D490" s="2043">
        <v>289275069</v>
      </c>
      <c r="E490" s="2043">
        <v>286194647</v>
      </c>
      <c r="F490" s="2043">
        <v>289275069</v>
      </c>
      <c r="G490" s="2043">
        <v>286194647</v>
      </c>
      <c r="H490" s="2043">
        <v>289275069</v>
      </c>
      <c r="I490" s="2043">
        <v>286194647</v>
      </c>
    </row>
    <row r="491" spans="1:9">
      <c r="A491" s="2043" t="s">
        <v>2055</v>
      </c>
      <c r="B491" s="2043">
        <v>166335454</v>
      </c>
      <c r="C491" s="2043">
        <v>165493453</v>
      </c>
      <c r="D491" s="2043">
        <v>166335454</v>
      </c>
      <c r="E491" s="2043">
        <v>165493453</v>
      </c>
      <c r="F491" s="2043">
        <v>166335454</v>
      </c>
      <c r="G491" s="2043">
        <v>165493453</v>
      </c>
      <c r="H491" s="2043">
        <v>166335454</v>
      </c>
      <c r="I491" s="2043">
        <v>165493453</v>
      </c>
    </row>
    <row r="492" spans="1:9">
      <c r="A492" s="2043" t="s">
        <v>1046</v>
      </c>
      <c r="B492" s="2043">
        <v>67984321</v>
      </c>
      <c r="C492" s="2043">
        <v>67229955</v>
      </c>
      <c r="D492" s="2043">
        <v>67702651</v>
      </c>
      <c r="E492" s="2043">
        <v>66948285</v>
      </c>
      <c r="F492" s="2043">
        <v>67984321</v>
      </c>
      <c r="G492" s="2043">
        <v>67229955</v>
      </c>
      <c r="H492" s="2043">
        <v>67702651</v>
      </c>
      <c r="I492" s="2043">
        <v>66948285</v>
      </c>
    </row>
    <row r="493" spans="1:9">
      <c r="A493" s="2043" t="s">
        <v>1779</v>
      </c>
      <c r="B493" s="2043">
        <v>617418689</v>
      </c>
      <c r="C493" s="2043">
        <v>599787049</v>
      </c>
      <c r="D493" s="2043">
        <v>617418689</v>
      </c>
      <c r="E493" s="2043">
        <v>599787049</v>
      </c>
      <c r="F493" s="2043">
        <v>617418689</v>
      </c>
      <c r="G493" s="2043">
        <v>599787049</v>
      </c>
      <c r="H493" s="2043">
        <v>617418689</v>
      </c>
      <c r="I493" s="2043">
        <v>599787049</v>
      </c>
    </row>
    <row r="494" spans="1:9">
      <c r="A494" s="2043" t="s">
        <v>1047</v>
      </c>
      <c r="B494" s="2043">
        <v>132182218</v>
      </c>
      <c r="C494" s="2043">
        <v>126946432</v>
      </c>
      <c r="D494" s="2043">
        <v>132182218</v>
      </c>
      <c r="E494" s="2043">
        <v>126946432</v>
      </c>
      <c r="F494" s="2043">
        <v>132182218</v>
      </c>
      <c r="G494" s="2043">
        <v>126946432</v>
      </c>
      <c r="H494" s="2043">
        <v>132182218</v>
      </c>
      <c r="I494" s="2043">
        <v>126946432</v>
      </c>
    </row>
    <row r="495" spans="1:9">
      <c r="A495" s="2043" t="s">
        <v>1352</v>
      </c>
      <c r="B495" s="2043">
        <v>516210087</v>
      </c>
      <c r="C495" s="2043">
        <v>502279961</v>
      </c>
      <c r="D495" s="2043">
        <v>516210087</v>
      </c>
      <c r="E495" s="2043">
        <v>502279961</v>
      </c>
      <c r="F495" s="2043">
        <v>516210087</v>
      </c>
      <c r="G495" s="2043">
        <v>502279961</v>
      </c>
      <c r="H495" s="2043">
        <v>516210087</v>
      </c>
      <c r="I495" s="2043">
        <v>502279961</v>
      </c>
    </row>
    <row r="496" spans="1:9">
      <c r="A496" s="2043" t="s">
        <v>1002</v>
      </c>
      <c r="B496" s="2043">
        <v>2491679906</v>
      </c>
      <c r="C496" s="2043">
        <v>2435960458</v>
      </c>
      <c r="D496" s="2043">
        <v>2491679906</v>
      </c>
      <c r="E496" s="2043">
        <v>2435960458</v>
      </c>
      <c r="F496" s="2043">
        <v>2491679906</v>
      </c>
      <c r="G496" s="2043">
        <v>2435960458</v>
      </c>
      <c r="H496" s="2043">
        <v>2491679906</v>
      </c>
      <c r="I496" s="2043">
        <v>2435960458</v>
      </c>
    </row>
    <row r="497" spans="1:9">
      <c r="A497" s="2043" t="s">
        <v>1837</v>
      </c>
      <c r="B497" s="2043">
        <v>303299363</v>
      </c>
      <c r="C497" s="2043">
        <v>292284192</v>
      </c>
      <c r="D497" s="2043">
        <v>303299363</v>
      </c>
      <c r="E497" s="2043">
        <v>292284192</v>
      </c>
      <c r="F497" s="2043">
        <v>303299363</v>
      </c>
      <c r="G497" s="2043">
        <v>292284192</v>
      </c>
      <c r="H497" s="2043">
        <v>303299363</v>
      </c>
      <c r="I497" s="2043">
        <v>292284192</v>
      </c>
    </row>
    <row r="498" spans="1:9">
      <c r="A498" s="2043" t="s">
        <v>1493</v>
      </c>
      <c r="B498" s="2043">
        <v>987322184</v>
      </c>
      <c r="C498" s="2043">
        <v>958650123</v>
      </c>
      <c r="D498" s="2043">
        <v>987322184</v>
      </c>
      <c r="E498" s="2043">
        <v>958650123</v>
      </c>
      <c r="F498" s="2043">
        <v>987322184</v>
      </c>
      <c r="G498" s="2043">
        <v>958650123</v>
      </c>
      <c r="H498" s="2043">
        <v>987322184</v>
      </c>
      <c r="I498" s="2043">
        <v>958650123</v>
      </c>
    </row>
    <row r="499" spans="1:9">
      <c r="A499" s="2043" t="s">
        <v>231</v>
      </c>
      <c r="B499" s="2043">
        <v>148149562</v>
      </c>
      <c r="C499" s="2043">
        <v>141502171</v>
      </c>
      <c r="D499" s="2043">
        <v>148149562</v>
      </c>
      <c r="E499" s="2043">
        <v>141502171</v>
      </c>
      <c r="F499" s="2043">
        <v>148149562</v>
      </c>
      <c r="G499" s="2043">
        <v>141502171</v>
      </c>
      <c r="H499" s="2043">
        <v>148149562</v>
      </c>
      <c r="I499" s="2043">
        <v>141502171</v>
      </c>
    </row>
    <row r="500" spans="1:9">
      <c r="A500" s="2043" t="s">
        <v>1003</v>
      </c>
      <c r="B500" s="2043">
        <v>119080489</v>
      </c>
      <c r="C500" s="2043">
        <v>114305869</v>
      </c>
      <c r="D500" s="2043">
        <v>119080489</v>
      </c>
      <c r="E500" s="2043">
        <v>114305869</v>
      </c>
      <c r="F500" s="2043">
        <v>119080489</v>
      </c>
      <c r="G500" s="2043">
        <v>114305869</v>
      </c>
      <c r="H500" s="2043">
        <v>119080489</v>
      </c>
      <c r="I500" s="2043">
        <v>114305869</v>
      </c>
    </row>
    <row r="501" spans="1:9">
      <c r="A501" s="2043" t="s">
        <v>828</v>
      </c>
      <c r="B501" s="2043">
        <v>237782735</v>
      </c>
      <c r="C501" s="2043">
        <v>230659788</v>
      </c>
      <c r="D501" s="2043">
        <v>237782735</v>
      </c>
      <c r="E501" s="2043">
        <v>230659788</v>
      </c>
      <c r="F501" s="2043">
        <v>237782735</v>
      </c>
      <c r="G501" s="2043">
        <v>230659788</v>
      </c>
      <c r="H501" s="2043">
        <v>237782735</v>
      </c>
      <c r="I501" s="2043">
        <v>230659788</v>
      </c>
    </row>
    <row r="502" spans="1:9">
      <c r="A502" s="2043" t="s">
        <v>1740</v>
      </c>
      <c r="B502" s="2043">
        <v>20662556</v>
      </c>
      <c r="C502" s="2043">
        <v>19594167</v>
      </c>
      <c r="D502" s="2043">
        <v>20662556</v>
      </c>
      <c r="E502" s="2043">
        <v>19594167</v>
      </c>
      <c r="F502" s="2043">
        <v>20662556</v>
      </c>
      <c r="G502" s="2043">
        <v>19594167</v>
      </c>
      <c r="H502" s="2043">
        <v>20662556</v>
      </c>
      <c r="I502" s="2043">
        <v>19594167</v>
      </c>
    </row>
    <row r="503" spans="1:9">
      <c r="A503" s="2043" t="s">
        <v>1004</v>
      </c>
      <c r="B503" s="2043">
        <v>677275348</v>
      </c>
      <c r="C503" s="2043">
        <v>645722868</v>
      </c>
      <c r="D503" s="2043">
        <v>663643028</v>
      </c>
      <c r="E503" s="2043">
        <v>632090548</v>
      </c>
      <c r="F503" s="2043">
        <v>1054154618</v>
      </c>
      <c r="G503" s="2043">
        <v>1022602138</v>
      </c>
      <c r="H503" s="2043">
        <v>1040522298</v>
      </c>
      <c r="I503" s="2043">
        <v>1008969818</v>
      </c>
    </row>
    <row r="504" spans="1:9">
      <c r="A504" s="2043" t="s">
        <v>2021</v>
      </c>
      <c r="B504" s="2043">
        <v>146718919</v>
      </c>
      <c r="C504" s="2043">
        <v>134908964</v>
      </c>
      <c r="D504" s="2043">
        <v>146337334</v>
      </c>
      <c r="E504" s="2043">
        <v>134527379</v>
      </c>
      <c r="F504" s="2043">
        <v>146718919</v>
      </c>
      <c r="G504" s="2043">
        <v>134908964</v>
      </c>
      <c r="H504" s="2043">
        <v>146337334</v>
      </c>
      <c r="I504" s="2043">
        <v>134527379</v>
      </c>
    </row>
    <row r="505" spans="1:9">
      <c r="A505" s="2043" t="s">
        <v>2022</v>
      </c>
      <c r="B505" s="2043">
        <v>1182836888</v>
      </c>
      <c r="C505" s="2043">
        <v>1176568388</v>
      </c>
      <c r="D505" s="2043">
        <v>1178383198</v>
      </c>
      <c r="E505" s="2043">
        <v>1172114698</v>
      </c>
      <c r="F505" s="2043">
        <v>1182836888</v>
      </c>
      <c r="G505" s="2043">
        <v>1176568388</v>
      </c>
      <c r="H505" s="2043">
        <v>1178383198</v>
      </c>
      <c r="I505" s="2043">
        <v>1172114698</v>
      </c>
    </row>
    <row r="506" spans="1:9">
      <c r="A506" s="2043" t="s">
        <v>1185</v>
      </c>
      <c r="B506" s="2043">
        <v>42848617</v>
      </c>
      <c r="C506" s="2043">
        <v>42662647</v>
      </c>
      <c r="D506" s="2043">
        <v>42723467</v>
      </c>
      <c r="E506" s="2043">
        <v>42537497</v>
      </c>
      <c r="F506" s="2043">
        <v>42848617</v>
      </c>
      <c r="G506" s="2043">
        <v>42662647</v>
      </c>
      <c r="H506" s="2043">
        <v>42723467</v>
      </c>
      <c r="I506" s="2043">
        <v>42537497</v>
      </c>
    </row>
    <row r="507" spans="1:9">
      <c r="A507" s="2043" t="s">
        <v>1186</v>
      </c>
      <c r="B507" s="2043">
        <v>1514804551</v>
      </c>
      <c r="C507" s="2043">
        <v>1511633356</v>
      </c>
      <c r="D507" s="2043">
        <v>1514804551</v>
      </c>
      <c r="E507" s="2043">
        <v>1511633356</v>
      </c>
      <c r="F507" s="2043">
        <v>1514804551</v>
      </c>
      <c r="G507" s="2043">
        <v>1511633356</v>
      </c>
      <c r="H507" s="2043">
        <v>1514804551</v>
      </c>
      <c r="I507" s="2043">
        <v>1511633356</v>
      </c>
    </row>
    <row r="508" spans="1:9">
      <c r="A508" s="2043" t="s">
        <v>875</v>
      </c>
      <c r="B508" s="2043">
        <v>177781403</v>
      </c>
      <c r="C508" s="2043">
        <v>175531889</v>
      </c>
      <c r="D508" s="2043">
        <v>177781403</v>
      </c>
      <c r="E508" s="2043">
        <v>175531889</v>
      </c>
      <c r="F508" s="2043">
        <v>260321833</v>
      </c>
      <c r="G508" s="2043">
        <v>258072319</v>
      </c>
      <c r="H508" s="2043">
        <v>260321833</v>
      </c>
      <c r="I508" s="2043">
        <v>258072319</v>
      </c>
    </row>
    <row r="509" spans="1:9">
      <c r="A509" s="2043" t="s">
        <v>876</v>
      </c>
      <c r="B509" s="2043">
        <v>805280472</v>
      </c>
      <c r="C509" s="2043">
        <v>794699133</v>
      </c>
      <c r="D509" s="2043">
        <v>805280472</v>
      </c>
      <c r="E509" s="2043">
        <v>794699133</v>
      </c>
      <c r="F509" s="2043">
        <v>862932252</v>
      </c>
      <c r="G509" s="2043">
        <v>852350913</v>
      </c>
      <c r="H509" s="2043">
        <v>862932252</v>
      </c>
      <c r="I509" s="2043">
        <v>852350913</v>
      </c>
    </row>
    <row r="510" spans="1:9">
      <c r="A510" s="2043" t="s">
        <v>877</v>
      </c>
      <c r="B510" s="2043">
        <v>288622727</v>
      </c>
      <c r="C510" s="2043">
        <v>283959676</v>
      </c>
      <c r="D510" s="2043">
        <v>288622727</v>
      </c>
      <c r="E510" s="2043">
        <v>283959676</v>
      </c>
      <c r="F510" s="2043">
        <v>291472407</v>
      </c>
      <c r="G510" s="2043">
        <v>286809356</v>
      </c>
      <c r="H510" s="2043">
        <v>291472407</v>
      </c>
      <c r="I510" s="2043">
        <v>286809356</v>
      </c>
    </row>
    <row r="511" spans="1:9">
      <c r="A511" s="2043" t="s">
        <v>878</v>
      </c>
      <c r="B511" s="2043">
        <v>573349575</v>
      </c>
      <c r="C511" s="2043">
        <v>557411386</v>
      </c>
      <c r="D511" s="2043">
        <v>573349575</v>
      </c>
      <c r="E511" s="2043">
        <v>557411386</v>
      </c>
      <c r="F511" s="2043">
        <v>642312075</v>
      </c>
      <c r="G511" s="2043">
        <v>626373886</v>
      </c>
      <c r="H511" s="2043">
        <v>642312075</v>
      </c>
      <c r="I511" s="2043">
        <v>626373886</v>
      </c>
    </row>
    <row r="512" spans="1:9">
      <c r="A512" s="2043" t="s">
        <v>2434</v>
      </c>
      <c r="B512" s="2043">
        <v>254834126</v>
      </c>
      <c r="C512" s="2043">
        <v>247780058</v>
      </c>
      <c r="D512" s="2043">
        <v>254834126</v>
      </c>
      <c r="E512" s="2043">
        <v>247780058</v>
      </c>
      <c r="F512" s="2043">
        <v>537629926</v>
      </c>
      <c r="G512" s="2043">
        <v>530575858</v>
      </c>
      <c r="H512" s="2043">
        <v>537629926</v>
      </c>
      <c r="I512" s="2043">
        <v>530575858</v>
      </c>
    </row>
    <row r="513" spans="1:9">
      <c r="A513" s="2043" t="s">
        <v>474</v>
      </c>
      <c r="B513" s="2043">
        <v>1091150668</v>
      </c>
      <c r="C513" s="2043">
        <v>1080825747</v>
      </c>
      <c r="D513" s="2043">
        <v>1073128193</v>
      </c>
      <c r="E513" s="2043">
        <v>1062803272</v>
      </c>
      <c r="F513" s="2043">
        <v>1091150668</v>
      </c>
      <c r="G513" s="2043">
        <v>1080825747</v>
      </c>
      <c r="H513" s="2043">
        <v>1073128193</v>
      </c>
      <c r="I513" s="2043">
        <v>1062803272</v>
      </c>
    </row>
    <row r="514" spans="1:9">
      <c r="A514" s="2043" t="s">
        <v>2501</v>
      </c>
      <c r="B514" s="2043">
        <v>309694296</v>
      </c>
      <c r="C514" s="2043">
        <v>303525567</v>
      </c>
      <c r="D514" s="2043">
        <v>299383134</v>
      </c>
      <c r="E514" s="2043">
        <v>293214405</v>
      </c>
      <c r="F514" s="2043">
        <v>309694296</v>
      </c>
      <c r="G514" s="2043">
        <v>303525567</v>
      </c>
      <c r="H514" s="2043">
        <v>299383134</v>
      </c>
      <c r="I514" s="2043">
        <v>293214405</v>
      </c>
    </row>
    <row r="515" spans="1:9">
      <c r="A515" s="2043" t="s">
        <v>836</v>
      </c>
      <c r="B515" s="2043">
        <v>382671938</v>
      </c>
      <c r="C515" s="2043">
        <v>363811635</v>
      </c>
      <c r="D515" s="2043">
        <v>382671938</v>
      </c>
      <c r="E515" s="2043">
        <v>363811635</v>
      </c>
      <c r="F515" s="2043">
        <v>382671938</v>
      </c>
      <c r="G515" s="2043">
        <v>363811635</v>
      </c>
      <c r="H515" s="2043">
        <v>382671938</v>
      </c>
      <c r="I515" s="2043">
        <v>363811635</v>
      </c>
    </row>
    <row r="516" spans="1:9">
      <c r="A516" s="2043" t="s">
        <v>42</v>
      </c>
      <c r="B516" s="2043">
        <v>960658933</v>
      </c>
      <c r="C516" s="2043">
        <v>928554189</v>
      </c>
      <c r="D516" s="2043">
        <v>960658933</v>
      </c>
      <c r="E516" s="2043">
        <v>928554189</v>
      </c>
      <c r="F516" s="2043">
        <v>960658933</v>
      </c>
      <c r="G516" s="2043">
        <v>928554189</v>
      </c>
      <c r="H516" s="2043">
        <v>960658933</v>
      </c>
      <c r="I516" s="2043">
        <v>928554189</v>
      </c>
    </row>
    <row r="517" spans="1:9">
      <c r="A517" s="2043" t="s">
        <v>52</v>
      </c>
      <c r="B517" s="2043">
        <v>341157376</v>
      </c>
      <c r="C517" s="2043">
        <v>325290973</v>
      </c>
      <c r="D517" s="2043">
        <v>341157376</v>
      </c>
      <c r="E517" s="2043">
        <v>325290973</v>
      </c>
      <c r="F517" s="2043">
        <v>341157376</v>
      </c>
      <c r="G517" s="2043">
        <v>325290973</v>
      </c>
      <c r="H517" s="2043">
        <v>341157376</v>
      </c>
      <c r="I517" s="2043">
        <v>325290973</v>
      </c>
    </row>
    <row r="518" spans="1:9">
      <c r="A518" s="2043" t="s">
        <v>2502</v>
      </c>
      <c r="B518" s="2043">
        <v>359388578</v>
      </c>
      <c r="C518" s="2043">
        <v>356122857</v>
      </c>
      <c r="D518" s="2043">
        <v>355887804</v>
      </c>
      <c r="E518" s="2043">
        <v>352622083</v>
      </c>
      <c r="F518" s="2043">
        <v>359388578</v>
      </c>
      <c r="G518" s="2043">
        <v>356122857</v>
      </c>
      <c r="H518" s="2043">
        <v>355887804</v>
      </c>
      <c r="I518" s="2043">
        <v>352622083</v>
      </c>
    </row>
    <row r="519" spans="1:9">
      <c r="A519" s="2043" t="s">
        <v>2503</v>
      </c>
      <c r="B519" s="2043">
        <v>209032420</v>
      </c>
      <c r="C519" s="2043">
        <v>203847850</v>
      </c>
      <c r="D519" s="2043">
        <v>209032420</v>
      </c>
      <c r="E519" s="2043">
        <v>203847850</v>
      </c>
      <c r="F519" s="2043">
        <v>209032420</v>
      </c>
      <c r="G519" s="2043">
        <v>203847850</v>
      </c>
      <c r="H519" s="2043">
        <v>209032420</v>
      </c>
      <c r="I519" s="2043">
        <v>203847850</v>
      </c>
    </row>
    <row r="520" spans="1:9">
      <c r="A520" s="2043" t="s">
        <v>2504</v>
      </c>
      <c r="B520" s="2043">
        <v>55558699</v>
      </c>
      <c r="C520" s="2043">
        <v>55226699</v>
      </c>
      <c r="D520" s="2043">
        <v>55558699</v>
      </c>
      <c r="E520" s="2043">
        <v>55226699</v>
      </c>
      <c r="F520" s="2043">
        <v>55558699</v>
      </c>
      <c r="G520" s="2043">
        <v>55226699</v>
      </c>
      <c r="H520" s="2043">
        <v>55558699</v>
      </c>
      <c r="I520" s="2043">
        <v>55226699</v>
      </c>
    </row>
    <row r="521" spans="1:9">
      <c r="A521" s="2043" t="s">
        <v>2399</v>
      </c>
      <c r="B521" s="2043">
        <v>2697887497</v>
      </c>
      <c r="C521" s="2043">
        <v>2633477901</v>
      </c>
      <c r="D521" s="2043">
        <v>2697887497</v>
      </c>
      <c r="E521" s="2043">
        <v>2633477901</v>
      </c>
      <c r="F521" s="2043">
        <v>2875331597</v>
      </c>
      <c r="G521" s="2043">
        <v>2810922001</v>
      </c>
      <c r="H521" s="2043">
        <v>2875331597</v>
      </c>
      <c r="I521" s="2043">
        <v>2810922001</v>
      </c>
    </row>
    <row r="522" spans="1:9">
      <c r="A522" s="2043" t="s">
        <v>2168</v>
      </c>
      <c r="B522" s="2043">
        <v>5633166294</v>
      </c>
      <c r="C522" s="2043">
        <v>5545393157</v>
      </c>
      <c r="D522" s="2043">
        <v>5633166294</v>
      </c>
      <c r="E522" s="2043">
        <v>5545393157</v>
      </c>
      <c r="F522" s="2043">
        <v>5777800194</v>
      </c>
      <c r="G522" s="2043">
        <v>5690027057</v>
      </c>
      <c r="H522" s="2043">
        <v>5777800194</v>
      </c>
      <c r="I522" s="2043">
        <v>5690027057</v>
      </c>
    </row>
    <row r="523" spans="1:9">
      <c r="A523" s="2043" t="s">
        <v>2169</v>
      </c>
      <c r="B523" s="2043">
        <v>2814410303</v>
      </c>
      <c r="C523" s="2043">
        <v>2746793111</v>
      </c>
      <c r="D523" s="2043">
        <v>2712287260</v>
      </c>
      <c r="E523" s="2043">
        <v>2644670068</v>
      </c>
      <c r="F523" s="2043">
        <v>3052721603</v>
      </c>
      <c r="G523" s="2043">
        <v>2985104411</v>
      </c>
      <c r="H523" s="2043">
        <v>2950598560</v>
      </c>
      <c r="I523" s="2043">
        <v>2882981368</v>
      </c>
    </row>
    <row r="524" spans="1:9">
      <c r="A524" s="2043" t="s">
        <v>1249</v>
      </c>
      <c r="B524" s="2043">
        <v>11090116308</v>
      </c>
      <c r="C524" s="2043">
        <v>10885734421</v>
      </c>
      <c r="D524" s="2043">
        <v>11090116308</v>
      </c>
      <c r="E524" s="2043">
        <v>10885734421</v>
      </c>
      <c r="F524" s="2043">
        <v>12852600108</v>
      </c>
      <c r="G524" s="2043">
        <v>12648218221</v>
      </c>
      <c r="H524" s="2043">
        <v>12852600108</v>
      </c>
      <c r="I524" s="2043">
        <v>12648218221</v>
      </c>
    </row>
    <row r="525" spans="1:9">
      <c r="A525" s="2043" t="s">
        <v>1250</v>
      </c>
      <c r="B525" s="2043">
        <v>919481594</v>
      </c>
      <c r="C525" s="2043">
        <v>918601904</v>
      </c>
      <c r="D525" s="2043">
        <v>918568527</v>
      </c>
      <c r="E525" s="2043">
        <v>917688837</v>
      </c>
      <c r="F525" s="2043">
        <v>919481594</v>
      </c>
      <c r="G525" s="2043">
        <v>918601904</v>
      </c>
      <c r="H525" s="2043">
        <v>918568527</v>
      </c>
      <c r="I525" s="2043">
        <v>917688837</v>
      </c>
    </row>
    <row r="526" spans="1:9">
      <c r="A526" s="2043" t="s">
        <v>1233</v>
      </c>
      <c r="B526" s="2043">
        <v>825202132</v>
      </c>
      <c r="C526" s="2043">
        <v>803174717</v>
      </c>
      <c r="D526" s="2043">
        <v>825202132</v>
      </c>
      <c r="E526" s="2043">
        <v>803174717</v>
      </c>
      <c r="F526" s="2043">
        <v>825202132</v>
      </c>
      <c r="G526" s="2043">
        <v>803174717</v>
      </c>
      <c r="H526" s="2043">
        <v>825202132</v>
      </c>
      <c r="I526" s="2043">
        <v>803174717</v>
      </c>
    </row>
    <row r="527" spans="1:9">
      <c r="A527" s="2043" t="s">
        <v>1251</v>
      </c>
      <c r="B527" s="2043">
        <v>340762791</v>
      </c>
      <c r="C527" s="2043">
        <v>331918031</v>
      </c>
      <c r="D527" s="2043">
        <v>337262546</v>
      </c>
      <c r="E527" s="2043">
        <v>328417786</v>
      </c>
      <c r="F527" s="2043">
        <v>442452281</v>
      </c>
      <c r="G527" s="2043">
        <v>433607521</v>
      </c>
      <c r="H527" s="2043">
        <v>438952036</v>
      </c>
      <c r="I527" s="2043">
        <v>430107276</v>
      </c>
    </row>
    <row r="528" spans="1:9">
      <c r="A528" s="2043" t="s">
        <v>1906</v>
      </c>
      <c r="B528" s="2043">
        <v>1139723612</v>
      </c>
      <c r="C528" s="2043">
        <v>1101860158</v>
      </c>
      <c r="D528" s="2043">
        <v>1139723612</v>
      </c>
      <c r="E528" s="2043">
        <v>1101860158</v>
      </c>
      <c r="F528" s="2043">
        <v>1139723612</v>
      </c>
      <c r="G528" s="2043">
        <v>1101860158</v>
      </c>
      <c r="H528" s="2043">
        <v>1139723612</v>
      </c>
      <c r="I528" s="2043">
        <v>1101860158</v>
      </c>
    </row>
    <row r="529" spans="1:9">
      <c r="A529" s="2043" t="s">
        <v>2198</v>
      </c>
      <c r="B529" s="2043">
        <v>100342650</v>
      </c>
      <c r="C529" s="2043">
        <v>96386370</v>
      </c>
      <c r="D529" s="2043">
        <v>100342650</v>
      </c>
      <c r="E529" s="2043">
        <v>96386370</v>
      </c>
      <c r="F529" s="2043">
        <v>100342650</v>
      </c>
      <c r="G529" s="2043">
        <v>96386370</v>
      </c>
      <c r="H529" s="2043">
        <v>100342650</v>
      </c>
      <c r="I529" s="2043">
        <v>96386370</v>
      </c>
    </row>
    <row r="530" spans="1:9">
      <c r="A530" s="2043" t="s">
        <v>1328</v>
      </c>
      <c r="B530" s="2043">
        <v>447396977</v>
      </c>
      <c r="C530" s="2043">
        <v>435504895</v>
      </c>
      <c r="D530" s="2043">
        <v>447396977</v>
      </c>
      <c r="E530" s="2043">
        <v>435504895</v>
      </c>
      <c r="F530" s="2043">
        <v>447396977</v>
      </c>
      <c r="G530" s="2043">
        <v>435504895</v>
      </c>
      <c r="H530" s="2043">
        <v>447396977</v>
      </c>
      <c r="I530" s="2043">
        <v>435504895</v>
      </c>
    </row>
    <row r="531" spans="1:9">
      <c r="A531" s="2043" t="s">
        <v>202</v>
      </c>
      <c r="B531" s="2043">
        <v>156651962</v>
      </c>
      <c r="C531" s="2043">
        <v>151463409</v>
      </c>
      <c r="D531" s="2043">
        <v>156651962</v>
      </c>
      <c r="E531" s="2043">
        <v>151463409</v>
      </c>
      <c r="F531" s="2043">
        <v>156651962</v>
      </c>
      <c r="G531" s="2043">
        <v>151463409</v>
      </c>
      <c r="H531" s="2043">
        <v>156651962</v>
      </c>
      <c r="I531" s="2043">
        <v>151463409</v>
      </c>
    </row>
    <row r="532" spans="1:9">
      <c r="A532" s="2043" t="s">
        <v>1252</v>
      </c>
      <c r="B532" s="2043">
        <v>51023996</v>
      </c>
      <c r="C532" s="2043">
        <v>50464738</v>
      </c>
      <c r="D532" s="2043">
        <v>50876549</v>
      </c>
      <c r="E532" s="2043">
        <v>50317291</v>
      </c>
      <c r="F532" s="2043">
        <v>51023996</v>
      </c>
      <c r="G532" s="2043">
        <v>50464738</v>
      </c>
      <c r="H532" s="2043">
        <v>50876549</v>
      </c>
      <c r="I532" s="2043">
        <v>50317291</v>
      </c>
    </row>
    <row r="533" spans="1:9">
      <c r="A533" s="2043" t="s">
        <v>181</v>
      </c>
      <c r="B533" s="2043">
        <v>1485223273</v>
      </c>
      <c r="C533" s="2043">
        <v>1451432618</v>
      </c>
      <c r="D533" s="2043">
        <v>1485223273</v>
      </c>
      <c r="E533" s="2043">
        <v>1451432618</v>
      </c>
      <c r="F533" s="2043">
        <v>1485223273</v>
      </c>
      <c r="G533" s="2043">
        <v>1451432618</v>
      </c>
      <c r="H533" s="2043">
        <v>1485223273</v>
      </c>
      <c r="I533" s="2043">
        <v>1451432618</v>
      </c>
    </row>
    <row r="534" spans="1:9">
      <c r="A534" s="2043" t="s">
        <v>1777</v>
      </c>
      <c r="B534" s="2043">
        <v>5215547446</v>
      </c>
      <c r="C534" s="2043">
        <v>5072511644</v>
      </c>
      <c r="D534" s="2043">
        <v>5215547446</v>
      </c>
      <c r="E534" s="2043">
        <v>5072511644</v>
      </c>
      <c r="F534" s="2043">
        <v>5215547446</v>
      </c>
      <c r="G534" s="2043">
        <v>5072511644</v>
      </c>
      <c r="H534" s="2043">
        <v>5215547446</v>
      </c>
      <c r="I534" s="2043">
        <v>5072511644</v>
      </c>
    </row>
    <row r="535" spans="1:9">
      <c r="A535" s="2043" t="s">
        <v>539</v>
      </c>
      <c r="B535" s="2043">
        <v>2899761777</v>
      </c>
      <c r="C535" s="2043">
        <v>2826506414</v>
      </c>
      <c r="D535" s="2043">
        <v>2899761777</v>
      </c>
      <c r="E535" s="2043">
        <v>2826506414</v>
      </c>
      <c r="F535" s="2043">
        <v>2899761777</v>
      </c>
      <c r="G535" s="2043">
        <v>2826506414</v>
      </c>
      <c r="H535" s="2043">
        <v>2899761777</v>
      </c>
      <c r="I535" s="2043">
        <v>2826506414</v>
      </c>
    </row>
    <row r="536" spans="1:9">
      <c r="A536" s="2043" t="s">
        <v>1700</v>
      </c>
      <c r="B536" s="2043">
        <v>378905627</v>
      </c>
      <c r="C536" s="2043">
        <v>366718613</v>
      </c>
      <c r="D536" s="2043">
        <v>378905627</v>
      </c>
      <c r="E536" s="2043">
        <v>366718613</v>
      </c>
      <c r="F536" s="2043">
        <v>378905627</v>
      </c>
      <c r="G536" s="2043">
        <v>366718613</v>
      </c>
      <c r="H536" s="2043">
        <v>378905627</v>
      </c>
      <c r="I536" s="2043">
        <v>366718613</v>
      </c>
    </row>
    <row r="537" spans="1:9">
      <c r="A537" s="2043" t="s">
        <v>43</v>
      </c>
      <c r="B537" s="2043">
        <v>1742918134</v>
      </c>
      <c r="C537" s="2043">
        <v>1685349698</v>
      </c>
      <c r="D537" s="2043">
        <v>1742918134</v>
      </c>
      <c r="E537" s="2043">
        <v>1685349698</v>
      </c>
      <c r="F537" s="2043">
        <v>1742918134</v>
      </c>
      <c r="G537" s="2043">
        <v>1685349698</v>
      </c>
      <c r="H537" s="2043">
        <v>1742918134</v>
      </c>
      <c r="I537" s="2043">
        <v>1685349698</v>
      </c>
    </row>
    <row r="538" spans="1:9">
      <c r="A538" s="2043" t="s">
        <v>1253</v>
      </c>
      <c r="B538" s="2043">
        <v>193790667</v>
      </c>
      <c r="C538" s="2043">
        <v>187761222</v>
      </c>
      <c r="D538" s="2043">
        <v>193790667</v>
      </c>
      <c r="E538" s="2043">
        <v>187761222</v>
      </c>
      <c r="F538" s="2043">
        <v>193790667</v>
      </c>
      <c r="G538" s="2043">
        <v>187761222</v>
      </c>
      <c r="H538" s="2043">
        <v>193790667</v>
      </c>
      <c r="I538" s="2043">
        <v>187761222</v>
      </c>
    </row>
    <row r="539" spans="1:9">
      <c r="A539" s="2043" t="s">
        <v>2199</v>
      </c>
      <c r="B539" s="2043">
        <v>326935730</v>
      </c>
      <c r="C539" s="2043">
        <v>316868403</v>
      </c>
      <c r="D539" s="2043">
        <v>326935730</v>
      </c>
      <c r="E539" s="2043">
        <v>316868403</v>
      </c>
      <c r="F539" s="2043">
        <v>326935730</v>
      </c>
      <c r="G539" s="2043">
        <v>316868403</v>
      </c>
      <c r="H539" s="2043">
        <v>326935730</v>
      </c>
      <c r="I539" s="2043">
        <v>316868403</v>
      </c>
    </row>
    <row r="540" spans="1:9">
      <c r="A540" s="2043" t="s">
        <v>241</v>
      </c>
      <c r="B540" s="2043">
        <v>379999198</v>
      </c>
      <c r="C540" s="2043">
        <v>365008387</v>
      </c>
      <c r="D540" s="2043">
        <v>379999198</v>
      </c>
      <c r="E540" s="2043">
        <v>365008387</v>
      </c>
      <c r="F540" s="2043">
        <v>379999198</v>
      </c>
      <c r="G540" s="2043">
        <v>365008387</v>
      </c>
      <c r="H540" s="2043">
        <v>379999198</v>
      </c>
      <c r="I540" s="2043">
        <v>365008387</v>
      </c>
    </row>
    <row r="541" spans="1:9">
      <c r="A541" s="2043" t="s">
        <v>1189</v>
      </c>
      <c r="B541" s="2043">
        <v>999992633</v>
      </c>
      <c r="C541" s="2043">
        <v>984445737</v>
      </c>
      <c r="D541" s="2043">
        <v>999992633</v>
      </c>
      <c r="E541" s="2043">
        <v>984445737</v>
      </c>
      <c r="F541" s="2043">
        <v>999992633</v>
      </c>
      <c r="G541" s="2043">
        <v>984445737</v>
      </c>
      <c r="H541" s="2043">
        <v>999992633</v>
      </c>
      <c r="I541" s="2043">
        <v>984445737</v>
      </c>
    </row>
    <row r="542" spans="1:9">
      <c r="A542" s="2043" t="s">
        <v>1978</v>
      </c>
      <c r="B542" s="2043">
        <v>145894705</v>
      </c>
      <c r="C542" s="2043">
        <v>137459925</v>
      </c>
      <c r="D542" s="2043">
        <v>145894705</v>
      </c>
      <c r="E542" s="2043">
        <v>137459925</v>
      </c>
      <c r="F542" s="2043">
        <v>145894705</v>
      </c>
      <c r="G542" s="2043">
        <v>137459925</v>
      </c>
      <c r="H542" s="2043">
        <v>145894705</v>
      </c>
      <c r="I542" s="2043">
        <v>137459925</v>
      </c>
    </row>
    <row r="543" spans="1:9">
      <c r="A543" s="2043" t="s">
        <v>1254</v>
      </c>
      <c r="B543" s="2043">
        <v>147391608</v>
      </c>
      <c r="C543" s="2043">
        <v>142284788</v>
      </c>
      <c r="D543" s="2043">
        <v>147391608</v>
      </c>
      <c r="E543" s="2043">
        <v>142284788</v>
      </c>
      <c r="F543" s="2043">
        <v>147391608</v>
      </c>
      <c r="G543" s="2043">
        <v>142284788</v>
      </c>
      <c r="H543" s="2043">
        <v>147391608</v>
      </c>
      <c r="I543" s="2043">
        <v>142284788</v>
      </c>
    </row>
    <row r="544" spans="1:9">
      <c r="A544" s="2043" t="s">
        <v>1758</v>
      </c>
      <c r="B544" s="2043">
        <v>174949996</v>
      </c>
      <c r="C544" s="2043">
        <v>166128586</v>
      </c>
      <c r="D544" s="2043">
        <v>174949996</v>
      </c>
      <c r="E544" s="2043">
        <v>166128586</v>
      </c>
      <c r="F544" s="2043">
        <v>174949996</v>
      </c>
      <c r="G544" s="2043">
        <v>166128586</v>
      </c>
      <c r="H544" s="2043">
        <v>174949996</v>
      </c>
      <c r="I544" s="2043">
        <v>166128586</v>
      </c>
    </row>
    <row r="545" spans="1:9">
      <c r="A545" s="2043" t="s">
        <v>2370</v>
      </c>
      <c r="B545" s="2043">
        <v>76836755</v>
      </c>
      <c r="C545" s="2043">
        <v>75126265</v>
      </c>
      <c r="D545" s="2043">
        <v>76836755</v>
      </c>
      <c r="E545" s="2043">
        <v>75126265</v>
      </c>
      <c r="F545" s="2043">
        <v>76836755</v>
      </c>
      <c r="G545" s="2043">
        <v>75126265</v>
      </c>
      <c r="H545" s="2043">
        <v>76836755</v>
      </c>
      <c r="I545" s="2043">
        <v>75126265</v>
      </c>
    </row>
    <row r="546" spans="1:9">
      <c r="A546" s="2043" t="s">
        <v>245</v>
      </c>
      <c r="B546" s="2043">
        <v>108932183</v>
      </c>
      <c r="C546" s="2043">
        <v>102128163</v>
      </c>
      <c r="D546" s="2043">
        <v>108932183</v>
      </c>
      <c r="E546" s="2043">
        <v>102128163</v>
      </c>
      <c r="F546" s="2043">
        <v>108932183</v>
      </c>
      <c r="G546" s="2043">
        <v>102128163</v>
      </c>
      <c r="H546" s="2043">
        <v>108932183</v>
      </c>
      <c r="I546" s="2043">
        <v>102128163</v>
      </c>
    </row>
    <row r="547" spans="1:9">
      <c r="A547" s="2043" t="s">
        <v>45</v>
      </c>
      <c r="B547" s="2043">
        <v>6092942214</v>
      </c>
      <c r="C547" s="2043">
        <v>6083903637</v>
      </c>
      <c r="D547" s="2043">
        <v>6092942214</v>
      </c>
      <c r="E547" s="2043">
        <v>6083903637</v>
      </c>
      <c r="F547" s="2043">
        <v>6092942214</v>
      </c>
      <c r="G547" s="2043">
        <v>6083903637</v>
      </c>
      <c r="H547" s="2043">
        <v>6092942214</v>
      </c>
      <c r="I547" s="2043">
        <v>6083903637</v>
      </c>
    </row>
    <row r="548" spans="1:9">
      <c r="A548" s="2043" t="s">
        <v>2371</v>
      </c>
      <c r="B548" s="2043">
        <v>1427832407</v>
      </c>
      <c r="C548" s="2043">
        <v>1420397577</v>
      </c>
      <c r="D548" s="2043">
        <v>1427832407</v>
      </c>
      <c r="E548" s="2043">
        <v>1420397577</v>
      </c>
      <c r="F548" s="2043">
        <v>1559376957</v>
      </c>
      <c r="G548" s="2043">
        <v>1551942127</v>
      </c>
      <c r="H548" s="2043">
        <v>1559376957</v>
      </c>
      <c r="I548" s="2043">
        <v>1551942127</v>
      </c>
    </row>
    <row r="549" spans="1:9">
      <c r="A549" s="2043" t="s">
        <v>1083</v>
      </c>
      <c r="B549" s="2043">
        <v>463547875</v>
      </c>
      <c r="C549" s="2043">
        <v>461364582</v>
      </c>
      <c r="D549" s="2043">
        <v>463547875</v>
      </c>
      <c r="E549" s="2043">
        <v>461364582</v>
      </c>
      <c r="F549" s="2043">
        <v>463547875</v>
      </c>
      <c r="G549" s="2043">
        <v>461364582</v>
      </c>
      <c r="H549" s="2043">
        <v>463547875</v>
      </c>
      <c r="I549" s="2043">
        <v>461364582</v>
      </c>
    </row>
    <row r="550" spans="1:9">
      <c r="A550" s="2043" t="s">
        <v>1592</v>
      </c>
      <c r="B550" s="2043">
        <v>823101010</v>
      </c>
      <c r="C550" s="2043">
        <v>818531667</v>
      </c>
      <c r="D550" s="2043">
        <v>823101010</v>
      </c>
      <c r="E550" s="2043">
        <v>818531667</v>
      </c>
      <c r="F550" s="2043">
        <v>823101010</v>
      </c>
      <c r="G550" s="2043">
        <v>818531667</v>
      </c>
      <c r="H550" s="2043">
        <v>823101010</v>
      </c>
      <c r="I550" s="2043">
        <v>818531667</v>
      </c>
    </row>
    <row r="551" spans="1:9">
      <c r="A551" s="2043" t="s">
        <v>2265</v>
      </c>
      <c r="B551" s="2043">
        <v>1147484375</v>
      </c>
      <c r="C551" s="2043">
        <v>1107437211</v>
      </c>
      <c r="D551" s="2043">
        <v>1147484375</v>
      </c>
      <c r="E551" s="2043">
        <v>1107437211</v>
      </c>
      <c r="F551" s="2043">
        <v>1147484375</v>
      </c>
      <c r="G551" s="2043">
        <v>1107437211</v>
      </c>
      <c r="H551" s="2043">
        <v>1147484375</v>
      </c>
      <c r="I551" s="2043">
        <v>1107437211</v>
      </c>
    </row>
    <row r="552" spans="1:9">
      <c r="A552" s="2043" t="s">
        <v>1263</v>
      </c>
      <c r="B552" s="2043">
        <v>4863808036</v>
      </c>
      <c r="C552" s="2043">
        <v>4755588796</v>
      </c>
      <c r="D552" s="2043">
        <v>4863808036</v>
      </c>
      <c r="E552" s="2043">
        <v>4755588796</v>
      </c>
      <c r="F552" s="2043">
        <v>4863808036</v>
      </c>
      <c r="G552" s="2043">
        <v>4755588796</v>
      </c>
      <c r="H552" s="2043">
        <v>4863808036</v>
      </c>
      <c r="I552" s="2043">
        <v>4755588796</v>
      </c>
    </row>
    <row r="553" spans="1:9">
      <c r="A553" s="2043" t="s">
        <v>49</v>
      </c>
      <c r="B553" s="2043">
        <v>514342207</v>
      </c>
      <c r="C553" s="2043">
        <v>495577301</v>
      </c>
      <c r="D553" s="2043">
        <v>514342207</v>
      </c>
      <c r="E553" s="2043">
        <v>495577301</v>
      </c>
      <c r="F553" s="2043">
        <v>514342207</v>
      </c>
      <c r="G553" s="2043">
        <v>495577301</v>
      </c>
      <c r="H553" s="2043">
        <v>514342207</v>
      </c>
      <c r="I553" s="2043">
        <v>495577301</v>
      </c>
    </row>
    <row r="554" spans="1:9">
      <c r="A554" s="2043" t="s">
        <v>2414</v>
      </c>
      <c r="B554" s="2043">
        <v>2060253445</v>
      </c>
      <c r="C554" s="2043">
        <v>2012251373</v>
      </c>
      <c r="D554" s="2043">
        <v>2060253445</v>
      </c>
      <c r="E554" s="2043">
        <v>2012251373</v>
      </c>
      <c r="F554" s="2043">
        <v>2060253445</v>
      </c>
      <c r="G554" s="2043">
        <v>2012251373</v>
      </c>
      <c r="H554" s="2043">
        <v>2060253445</v>
      </c>
      <c r="I554" s="2043">
        <v>2012251373</v>
      </c>
    </row>
    <row r="555" spans="1:9">
      <c r="A555" s="2043" t="s">
        <v>466</v>
      </c>
      <c r="B555" s="2043">
        <v>261892418</v>
      </c>
      <c r="C555" s="2043">
        <v>251943883</v>
      </c>
      <c r="D555" s="2043">
        <v>261892418</v>
      </c>
      <c r="E555" s="2043">
        <v>251943883</v>
      </c>
      <c r="F555" s="2043">
        <v>261892418</v>
      </c>
      <c r="G555" s="2043">
        <v>251943883</v>
      </c>
      <c r="H555" s="2043">
        <v>261892418</v>
      </c>
      <c r="I555" s="2043">
        <v>251943883</v>
      </c>
    </row>
    <row r="556" spans="1:9">
      <c r="A556" s="2043" t="s">
        <v>2415</v>
      </c>
      <c r="B556" s="2043">
        <v>7563720868</v>
      </c>
      <c r="C556" s="2043">
        <v>7436197305</v>
      </c>
      <c r="D556" s="2043">
        <v>7563720868</v>
      </c>
      <c r="E556" s="2043">
        <v>7436197305</v>
      </c>
      <c r="F556" s="2043">
        <v>7563720868</v>
      </c>
      <c r="G556" s="2043">
        <v>7436197305</v>
      </c>
      <c r="H556" s="2043">
        <v>7563720868</v>
      </c>
      <c r="I556" s="2043">
        <v>7436197305</v>
      </c>
    </row>
    <row r="557" spans="1:9">
      <c r="A557" s="2043" t="s">
        <v>1449</v>
      </c>
      <c r="B557" s="2043">
        <v>940580432</v>
      </c>
      <c r="C557" s="2043">
        <v>921870495</v>
      </c>
      <c r="D557" s="2043">
        <v>940580432</v>
      </c>
      <c r="E557" s="2043">
        <v>921870495</v>
      </c>
      <c r="F557" s="2043">
        <v>940580432</v>
      </c>
      <c r="G557" s="2043">
        <v>921870495</v>
      </c>
      <c r="H557" s="2043">
        <v>940580432</v>
      </c>
      <c r="I557" s="2043">
        <v>921870495</v>
      </c>
    </row>
    <row r="558" spans="1:9">
      <c r="A558" s="2043" t="s">
        <v>2542</v>
      </c>
      <c r="B558" s="2043">
        <v>918280806</v>
      </c>
      <c r="C558" s="2043">
        <v>918018018</v>
      </c>
      <c r="D558" s="2043">
        <v>918037931</v>
      </c>
      <c r="E558" s="2043">
        <v>917775143</v>
      </c>
      <c r="F558" s="2043">
        <v>1106180806</v>
      </c>
      <c r="G558" s="2043">
        <v>1105918018</v>
      </c>
      <c r="H558" s="2043">
        <v>1105937931</v>
      </c>
      <c r="I558" s="2043">
        <v>1105675143</v>
      </c>
    </row>
    <row r="559" spans="1:9">
      <c r="A559" s="2043" t="s">
        <v>2195</v>
      </c>
      <c r="B559" s="2043">
        <v>519389567</v>
      </c>
      <c r="C559" s="2043">
        <v>517889037</v>
      </c>
      <c r="D559" s="2043">
        <v>518608597</v>
      </c>
      <c r="E559" s="2043">
        <v>517108067</v>
      </c>
      <c r="F559" s="2043">
        <v>519389567</v>
      </c>
      <c r="G559" s="2043">
        <v>517889037</v>
      </c>
      <c r="H559" s="2043">
        <v>518608597</v>
      </c>
      <c r="I559" s="2043">
        <v>517108067</v>
      </c>
    </row>
    <row r="560" spans="1:9">
      <c r="A560" s="2043" t="s">
        <v>1451</v>
      </c>
      <c r="B560" s="2043">
        <v>347121293</v>
      </c>
      <c r="C560" s="2043">
        <v>338881491</v>
      </c>
      <c r="D560" s="2043">
        <v>347121293</v>
      </c>
      <c r="E560" s="2043">
        <v>338881491</v>
      </c>
      <c r="F560" s="2043">
        <v>347121293</v>
      </c>
      <c r="G560" s="2043">
        <v>338881491</v>
      </c>
      <c r="H560" s="2043">
        <v>347121293</v>
      </c>
      <c r="I560" s="2043">
        <v>338881491</v>
      </c>
    </row>
    <row r="561" spans="1:9">
      <c r="A561" s="2043" t="s">
        <v>2404</v>
      </c>
      <c r="B561" s="2043">
        <v>461637700</v>
      </c>
      <c r="C561" s="2043">
        <v>456976593</v>
      </c>
      <c r="D561" s="2043">
        <v>461637700</v>
      </c>
      <c r="E561" s="2043">
        <v>456976593</v>
      </c>
      <c r="F561" s="2043">
        <v>461637700</v>
      </c>
      <c r="G561" s="2043">
        <v>456976593</v>
      </c>
      <c r="H561" s="2043">
        <v>461637700</v>
      </c>
      <c r="I561" s="2043">
        <v>456976593</v>
      </c>
    </row>
    <row r="562" spans="1:9">
      <c r="A562" s="2043" t="s">
        <v>2405</v>
      </c>
      <c r="B562" s="2043">
        <v>2913559515</v>
      </c>
      <c r="C562" s="2043">
        <v>2831663542</v>
      </c>
      <c r="D562" s="2043">
        <v>2913559515</v>
      </c>
      <c r="E562" s="2043">
        <v>2831663542</v>
      </c>
      <c r="F562" s="2043">
        <v>2913559515</v>
      </c>
      <c r="G562" s="2043">
        <v>2831663542</v>
      </c>
      <c r="H562" s="2043">
        <v>2913559515</v>
      </c>
      <c r="I562" s="2043">
        <v>2831663542</v>
      </c>
    </row>
    <row r="563" spans="1:9">
      <c r="A563" s="2043" t="s">
        <v>459</v>
      </c>
      <c r="B563" s="2043">
        <v>609531422</v>
      </c>
      <c r="C563" s="2043">
        <v>589532978</v>
      </c>
      <c r="D563" s="2043">
        <v>609531422</v>
      </c>
      <c r="E563" s="2043">
        <v>589532978</v>
      </c>
      <c r="F563" s="2043">
        <v>609531422</v>
      </c>
      <c r="G563" s="2043">
        <v>589532978</v>
      </c>
      <c r="H563" s="2043">
        <v>609531422</v>
      </c>
      <c r="I563" s="2043">
        <v>589532978</v>
      </c>
    </row>
    <row r="564" spans="1:9">
      <c r="A564" s="2043" t="s">
        <v>2154</v>
      </c>
      <c r="B564" s="2043">
        <v>69138602</v>
      </c>
      <c r="C564" s="2043">
        <v>68794619</v>
      </c>
      <c r="D564" s="2043">
        <v>69138602</v>
      </c>
      <c r="E564" s="2043">
        <v>68794619</v>
      </c>
      <c r="F564" s="2043">
        <v>69138602</v>
      </c>
      <c r="G564" s="2043">
        <v>68794619</v>
      </c>
      <c r="H564" s="2043">
        <v>69138602</v>
      </c>
      <c r="I564" s="2043">
        <v>68794619</v>
      </c>
    </row>
    <row r="565" spans="1:9">
      <c r="A565" s="2043" t="s">
        <v>2155</v>
      </c>
      <c r="B565" s="2043">
        <v>464968698</v>
      </c>
      <c r="C565" s="2043">
        <v>455374167</v>
      </c>
      <c r="D565" s="2043">
        <v>464968698</v>
      </c>
      <c r="E565" s="2043">
        <v>455374167</v>
      </c>
      <c r="F565" s="2043">
        <v>464968698</v>
      </c>
      <c r="G565" s="2043">
        <v>455374167</v>
      </c>
      <c r="H565" s="2043">
        <v>464968698</v>
      </c>
      <c r="I565" s="2043">
        <v>455374167</v>
      </c>
    </row>
    <row r="566" spans="1:9">
      <c r="A566" s="2043" t="s">
        <v>1444</v>
      </c>
      <c r="B566" s="2043">
        <v>197124151</v>
      </c>
      <c r="C566" s="2043">
        <v>196926601</v>
      </c>
      <c r="D566" s="2043">
        <v>196987491</v>
      </c>
      <c r="E566" s="2043">
        <v>196789941</v>
      </c>
      <c r="F566" s="2043">
        <v>197124151</v>
      </c>
      <c r="G566" s="2043">
        <v>196926601</v>
      </c>
      <c r="H566" s="2043">
        <v>196987491</v>
      </c>
      <c r="I566" s="2043">
        <v>196789941</v>
      </c>
    </row>
    <row r="567" spans="1:9">
      <c r="A567" s="2043" t="s">
        <v>1445</v>
      </c>
      <c r="B567" s="2043">
        <v>529863958</v>
      </c>
      <c r="C567" s="2043">
        <v>522006816</v>
      </c>
      <c r="D567" s="2043">
        <v>529863958</v>
      </c>
      <c r="E567" s="2043">
        <v>522006816</v>
      </c>
      <c r="F567" s="2043">
        <v>555563958</v>
      </c>
      <c r="G567" s="2043">
        <v>547706816</v>
      </c>
      <c r="H567" s="2043">
        <v>555563958</v>
      </c>
      <c r="I567" s="2043">
        <v>547706816</v>
      </c>
    </row>
    <row r="568" spans="1:9">
      <c r="A568" s="2043" t="s">
        <v>2372</v>
      </c>
      <c r="B568" s="2043">
        <v>1014753041</v>
      </c>
      <c r="C568" s="2043">
        <v>979855692</v>
      </c>
      <c r="D568" s="2043">
        <v>1014753041</v>
      </c>
      <c r="E568" s="2043">
        <v>979855692</v>
      </c>
      <c r="F568" s="2043">
        <v>1014753041</v>
      </c>
      <c r="G568" s="2043">
        <v>979855692</v>
      </c>
      <c r="H568" s="2043">
        <v>1014753041</v>
      </c>
      <c r="I568" s="2043">
        <v>979855692</v>
      </c>
    </row>
    <row r="569" spans="1:9">
      <c r="A569" s="2043" t="s">
        <v>373</v>
      </c>
      <c r="B569" s="2043">
        <v>200766043</v>
      </c>
      <c r="C569" s="2043">
        <v>193144382</v>
      </c>
      <c r="D569" s="2043">
        <v>194912271</v>
      </c>
      <c r="E569" s="2043">
        <v>187290610</v>
      </c>
      <c r="F569" s="2043">
        <v>200766043</v>
      </c>
      <c r="G569" s="2043">
        <v>193144382</v>
      </c>
      <c r="H569" s="2043">
        <v>194912271</v>
      </c>
      <c r="I569" s="2043">
        <v>187290610</v>
      </c>
    </row>
    <row r="570" spans="1:9">
      <c r="A570" s="2043" t="s">
        <v>374</v>
      </c>
      <c r="B570" s="2043">
        <v>269170767</v>
      </c>
      <c r="C570" s="2043">
        <v>265815093</v>
      </c>
      <c r="D570" s="2043">
        <v>269170112</v>
      </c>
      <c r="E570" s="2043">
        <v>265814438</v>
      </c>
      <c r="F570" s="2043">
        <v>269170767</v>
      </c>
      <c r="G570" s="2043">
        <v>265815093</v>
      </c>
      <c r="H570" s="2043">
        <v>269170112</v>
      </c>
      <c r="I570" s="2043">
        <v>265814438</v>
      </c>
    </row>
    <row r="571" spans="1:9">
      <c r="A571" s="2043" t="s">
        <v>375</v>
      </c>
      <c r="B571" s="2043">
        <v>139499315</v>
      </c>
      <c r="C571" s="2043">
        <v>139499315</v>
      </c>
      <c r="D571" s="2043">
        <v>139499315</v>
      </c>
      <c r="E571" s="2043">
        <v>139499315</v>
      </c>
      <c r="F571" s="2043">
        <v>139499315</v>
      </c>
      <c r="G571" s="2043">
        <v>139499315</v>
      </c>
      <c r="H571" s="2043">
        <v>139499315</v>
      </c>
      <c r="I571" s="2043">
        <v>139499315</v>
      </c>
    </row>
    <row r="572" spans="1:9">
      <c r="A572" s="2043" t="s">
        <v>2373</v>
      </c>
      <c r="B572" s="2043">
        <v>78513400</v>
      </c>
      <c r="C572" s="2043">
        <v>75463630</v>
      </c>
      <c r="D572" s="2043">
        <v>78513400</v>
      </c>
      <c r="E572" s="2043">
        <v>75463630</v>
      </c>
      <c r="F572" s="2043">
        <v>78513400</v>
      </c>
      <c r="G572" s="2043">
        <v>75463630</v>
      </c>
      <c r="H572" s="2043">
        <v>78513400</v>
      </c>
      <c r="I572" s="2043">
        <v>75463630</v>
      </c>
    </row>
    <row r="573" spans="1:9">
      <c r="A573" s="2043" t="s">
        <v>228</v>
      </c>
      <c r="B573" s="2043">
        <v>114076456</v>
      </c>
      <c r="C573" s="2043">
        <v>110200756</v>
      </c>
      <c r="D573" s="2043">
        <v>114076456</v>
      </c>
      <c r="E573" s="2043">
        <v>110200756</v>
      </c>
      <c r="F573" s="2043">
        <v>163805256</v>
      </c>
      <c r="G573" s="2043">
        <v>159929556</v>
      </c>
      <c r="H573" s="2043">
        <v>163805256</v>
      </c>
      <c r="I573" s="2043">
        <v>159929556</v>
      </c>
    </row>
    <row r="574" spans="1:9">
      <c r="A574" s="2043" t="s">
        <v>229</v>
      </c>
      <c r="B574" s="2043">
        <v>67356708</v>
      </c>
      <c r="C574" s="2043">
        <v>66721898</v>
      </c>
      <c r="D574" s="2043">
        <v>67356708</v>
      </c>
      <c r="E574" s="2043">
        <v>66721898</v>
      </c>
      <c r="F574" s="2043">
        <v>67356708</v>
      </c>
      <c r="G574" s="2043">
        <v>66721898</v>
      </c>
      <c r="H574" s="2043">
        <v>67356708</v>
      </c>
      <c r="I574" s="2043">
        <v>66721898</v>
      </c>
    </row>
    <row r="575" spans="1:9">
      <c r="A575" s="2043" t="s">
        <v>230</v>
      </c>
      <c r="B575" s="2043">
        <v>1164252099</v>
      </c>
      <c r="C575" s="2043">
        <v>1151747615</v>
      </c>
      <c r="D575" s="2043">
        <v>1164252099</v>
      </c>
      <c r="E575" s="2043">
        <v>1151747615</v>
      </c>
      <c r="F575" s="2043">
        <v>1164252099</v>
      </c>
      <c r="G575" s="2043">
        <v>1151747615</v>
      </c>
      <c r="H575" s="2043">
        <v>1164252099</v>
      </c>
      <c r="I575" s="2043">
        <v>1151747615</v>
      </c>
    </row>
    <row r="576" spans="1:9">
      <c r="A576" s="2043" t="s">
        <v>1910</v>
      </c>
      <c r="B576" s="2043">
        <v>874787489</v>
      </c>
      <c r="C576" s="2043">
        <v>839771813</v>
      </c>
      <c r="D576" s="2043">
        <v>874787489</v>
      </c>
      <c r="E576" s="2043">
        <v>839771813</v>
      </c>
      <c r="F576" s="2043">
        <v>874787489</v>
      </c>
      <c r="G576" s="2043">
        <v>839771813</v>
      </c>
      <c r="H576" s="2043">
        <v>874787489</v>
      </c>
      <c r="I576" s="2043">
        <v>839771813</v>
      </c>
    </row>
    <row r="577" spans="1:9">
      <c r="A577" s="2043" t="s">
        <v>1963</v>
      </c>
      <c r="B577" s="2043">
        <v>1425281299</v>
      </c>
      <c r="C577" s="2043">
        <v>1380782024</v>
      </c>
      <c r="D577" s="2043">
        <v>1425281299</v>
      </c>
      <c r="E577" s="2043">
        <v>1380782024</v>
      </c>
      <c r="F577" s="2043">
        <v>1425281299</v>
      </c>
      <c r="G577" s="2043">
        <v>1380782024</v>
      </c>
      <c r="H577" s="2043">
        <v>1425281299</v>
      </c>
      <c r="I577" s="2043">
        <v>1380782024</v>
      </c>
    </row>
    <row r="578" spans="1:9">
      <c r="A578" s="2043" t="s">
        <v>2374</v>
      </c>
      <c r="B578" s="2043">
        <v>301244192</v>
      </c>
      <c r="C578" s="2043">
        <v>286239429</v>
      </c>
      <c r="D578" s="2043">
        <v>301244192</v>
      </c>
      <c r="E578" s="2043">
        <v>286239429</v>
      </c>
      <c r="F578" s="2043">
        <v>301244192</v>
      </c>
      <c r="G578" s="2043">
        <v>286239429</v>
      </c>
      <c r="H578" s="2043">
        <v>301244192</v>
      </c>
      <c r="I578" s="2043">
        <v>286239429</v>
      </c>
    </row>
    <row r="579" spans="1:9">
      <c r="A579" s="2043" t="s">
        <v>1466</v>
      </c>
      <c r="B579" s="2043">
        <v>52993656</v>
      </c>
      <c r="C579" s="2043">
        <v>51928923</v>
      </c>
      <c r="D579" s="2043">
        <v>52993656</v>
      </c>
      <c r="E579" s="2043">
        <v>51928923</v>
      </c>
      <c r="F579" s="2043">
        <v>52993656</v>
      </c>
      <c r="G579" s="2043">
        <v>51928923</v>
      </c>
      <c r="H579" s="2043">
        <v>52993656</v>
      </c>
      <c r="I579" s="2043">
        <v>51928923</v>
      </c>
    </row>
    <row r="580" spans="1:9">
      <c r="A580" s="2043" t="s">
        <v>1467</v>
      </c>
      <c r="B580" s="2043">
        <v>233129136</v>
      </c>
      <c r="C580" s="2043">
        <v>224072864</v>
      </c>
      <c r="D580" s="2043">
        <v>233129136</v>
      </c>
      <c r="E580" s="2043">
        <v>224072864</v>
      </c>
      <c r="F580" s="2043">
        <v>390295256</v>
      </c>
      <c r="G580" s="2043">
        <v>381238984</v>
      </c>
      <c r="H580" s="2043">
        <v>390295256</v>
      </c>
      <c r="I580" s="2043">
        <v>381238984</v>
      </c>
    </row>
    <row r="581" spans="1:9">
      <c r="A581" s="2043" t="s">
        <v>1327</v>
      </c>
      <c r="B581" s="2043">
        <v>150312165</v>
      </c>
      <c r="C581" s="2043">
        <v>146577618</v>
      </c>
      <c r="D581" s="2043">
        <v>150312165</v>
      </c>
      <c r="E581" s="2043">
        <v>146577618</v>
      </c>
      <c r="F581" s="2043">
        <v>150312165</v>
      </c>
      <c r="G581" s="2043">
        <v>146577618</v>
      </c>
      <c r="H581" s="2043">
        <v>150312165</v>
      </c>
      <c r="I581" s="2043">
        <v>146577618</v>
      </c>
    </row>
    <row r="582" spans="1:9">
      <c r="A582" s="2043" t="s">
        <v>2138</v>
      </c>
      <c r="B582" s="2043">
        <v>85978327</v>
      </c>
      <c r="C582" s="2043">
        <v>83812151</v>
      </c>
      <c r="D582" s="2043">
        <v>85978327</v>
      </c>
      <c r="E582" s="2043">
        <v>83812151</v>
      </c>
      <c r="F582" s="2043">
        <v>85978327</v>
      </c>
      <c r="G582" s="2043">
        <v>83812151</v>
      </c>
      <c r="H582" s="2043">
        <v>85978327</v>
      </c>
      <c r="I582" s="2043">
        <v>83812151</v>
      </c>
    </row>
    <row r="583" spans="1:9">
      <c r="A583" s="2043" t="s">
        <v>2139</v>
      </c>
      <c r="B583" s="2043">
        <v>498261764</v>
      </c>
      <c r="C583" s="2043">
        <v>495946253</v>
      </c>
      <c r="D583" s="2043">
        <v>498261764</v>
      </c>
      <c r="E583" s="2043">
        <v>495946253</v>
      </c>
      <c r="F583" s="2043">
        <v>634240614</v>
      </c>
      <c r="G583" s="2043">
        <v>631925103</v>
      </c>
      <c r="H583" s="2043">
        <v>634240614</v>
      </c>
      <c r="I583" s="2043">
        <v>631925103</v>
      </c>
    </row>
    <row r="584" spans="1:9">
      <c r="A584" s="2043" t="s">
        <v>2141</v>
      </c>
      <c r="B584" s="2043">
        <v>145576599</v>
      </c>
      <c r="C584" s="2043">
        <v>142244299</v>
      </c>
      <c r="D584" s="2043">
        <v>145576599</v>
      </c>
      <c r="E584" s="2043">
        <v>142244299</v>
      </c>
      <c r="F584" s="2043">
        <v>145576599</v>
      </c>
      <c r="G584" s="2043">
        <v>142244299</v>
      </c>
      <c r="H584" s="2043">
        <v>145576599</v>
      </c>
      <c r="I584" s="2043">
        <v>142244299</v>
      </c>
    </row>
    <row r="585" spans="1:9">
      <c r="A585" s="2043" t="s">
        <v>2263</v>
      </c>
      <c r="B585" s="2043">
        <v>6747786420</v>
      </c>
      <c r="C585" s="2043">
        <v>6739914920</v>
      </c>
      <c r="D585" s="2043">
        <v>6747786420</v>
      </c>
      <c r="E585" s="2043">
        <v>6739914920</v>
      </c>
      <c r="F585" s="2043">
        <v>6747786420</v>
      </c>
      <c r="G585" s="2043">
        <v>6739914920</v>
      </c>
      <c r="H585" s="2043">
        <v>6747786420</v>
      </c>
      <c r="I585" s="2043">
        <v>6739914920</v>
      </c>
    </row>
    <row r="586" spans="1:9">
      <c r="A586" s="2043" t="s">
        <v>2142</v>
      </c>
      <c r="B586" s="2043">
        <v>828407920</v>
      </c>
      <c r="C586" s="2043">
        <v>809635090</v>
      </c>
      <c r="D586" s="2043">
        <v>828407920</v>
      </c>
      <c r="E586" s="2043">
        <v>809635090</v>
      </c>
      <c r="F586" s="2043">
        <v>828407920</v>
      </c>
      <c r="G586" s="2043">
        <v>809635090</v>
      </c>
      <c r="H586" s="2043">
        <v>828407920</v>
      </c>
      <c r="I586" s="2043">
        <v>809635090</v>
      </c>
    </row>
    <row r="587" spans="1:9">
      <c r="A587" s="2043" t="s">
        <v>2143</v>
      </c>
      <c r="B587" s="2043">
        <v>500545312</v>
      </c>
      <c r="C587" s="2043">
        <v>494915757</v>
      </c>
      <c r="D587" s="2043">
        <v>493435665</v>
      </c>
      <c r="E587" s="2043">
        <v>487806110</v>
      </c>
      <c r="F587" s="2043">
        <v>500545312</v>
      </c>
      <c r="G587" s="2043">
        <v>494915757</v>
      </c>
      <c r="H587" s="2043">
        <v>493435665</v>
      </c>
      <c r="I587" s="2043">
        <v>487806110</v>
      </c>
    </row>
    <row r="588" spans="1:9">
      <c r="A588" s="2043" t="s">
        <v>2144</v>
      </c>
      <c r="B588" s="2043">
        <v>847387396</v>
      </c>
      <c r="C588" s="2043">
        <v>836004960</v>
      </c>
      <c r="D588" s="2043">
        <v>847387396</v>
      </c>
      <c r="E588" s="2043">
        <v>836004960</v>
      </c>
      <c r="F588" s="2043">
        <v>847387396</v>
      </c>
      <c r="G588" s="2043">
        <v>836004960</v>
      </c>
      <c r="H588" s="2043">
        <v>847387396</v>
      </c>
      <c r="I588" s="2043">
        <v>836004960</v>
      </c>
    </row>
    <row r="589" spans="1:9">
      <c r="A589" s="2043" t="s">
        <v>2145</v>
      </c>
      <c r="B589" s="2043">
        <v>65392451</v>
      </c>
      <c r="C589" s="2043">
        <v>62923585</v>
      </c>
      <c r="D589" s="2043">
        <v>61665363</v>
      </c>
      <c r="E589" s="2043">
        <v>59196497</v>
      </c>
      <c r="F589" s="2043">
        <v>65392451</v>
      </c>
      <c r="G589" s="2043">
        <v>62923585</v>
      </c>
      <c r="H589" s="2043">
        <v>61665363</v>
      </c>
      <c r="I589" s="2043">
        <v>59196497</v>
      </c>
    </row>
    <row r="590" spans="1:9">
      <c r="A590" s="2043" t="s">
        <v>2146</v>
      </c>
      <c r="B590" s="2043">
        <v>78608790</v>
      </c>
      <c r="C590" s="2043">
        <v>75868795</v>
      </c>
      <c r="D590" s="2043">
        <v>78608790</v>
      </c>
      <c r="E590" s="2043">
        <v>75868795</v>
      </c>
      <c r="F590" s="2043">
        <v>78608790</v>
      </c>
      <c r="G590" s="2043">
        <v>75868795</v>
      </c>
      <c r="H590" s="2043">
        <v>78608790</v>
      </c>
      <c r="I590" s="2043">
        <v>75868795</v>
      </c>
    </row>
    <row r="591" spans="1:9">
      <c r="A591" s="2043" t="s">
        <v>2443</v>
      </c>
      <c r="B591" s="2043">
        <v>91838909</v>
      </c>
      <c r="C591" s="2043">
        <v>89352696</v>
      </c>
      <c r="D591" s="2043">
        <v>88650764</v>
      </c>
      <c r="E591" s="2043">
        <v>86164551</v>
      </c>
      <c r="F591" s="2043">
        <v>91838909</v>
      </c>
      <c r="G591" s="2043">
        <v>89352696</v>
      </c>
      <c r="H591" s="2043">
        <v>88650764</v>
      </c>
      <c r="I591" s="2043">
        <v>86164551</v>
      </c>
    </row>
    <row r="592" spans="1:9">
      <c r="A592" s="2043" t="s">
        <v>2444</v>
      </c>
      <c r="B592" s="2043">
        <v>927821716</v>
      </c>
      <c r="C592" s="2043">
        <v>907184951</v>
      </c>
      <c r="D592" s="2043">
        <v>910941844</v>
      </c>
      <c r="E592" s="2043">
        <v>890305079</v>
      </c>
      <c r="F592" s="2043">
        <v>927821716</v>
      </c>
      <c r="G592" s="2043">
        <v>907184951</v>
      </c>
      <c r="H592" s="2043">
        <v>910941844</v>
      </c>
      <c r="I592" s="2043">
        <v>890305079</v>
      </c>
    </row>
    <row r="593" spans="1:9">
      <c r="A593" s="2043" t="s">
        <v>2445</v>
      </c>
      <c r="B593" s="2043">
        <v>440926752</v>
      </c>
      <c r="C593" s="2043">
        <v>426780491</v>
      </c>
      <c r="D593" s="2043">
        <v>440926752</v>
      </c>
      <c r="E593" s="2043">
        <v>426780491</v>
      </c>
      <c r="F593" s="2043">
        <v>440926752</v>
      </c>
      <c r="G593" s="2043">
        <v>426780491</v>
      </c>
      <c r="H593" s="2043">
        <v>440926752</v>
      </c>
      <c r="I593" s="2043">
        <v>426780491</v>
      </c>
    </row>
    <row r="594" spans="1:9">
      <c r="A594" s="2043" t="s">
        <v>2446</v>
      </c>
      <c r="B594" s="2043">
        <v>178908613</v>
      </c>
      <c r="C594" s="2043">
        <v>176068725</v>
      </c>
      <c r="D594" s="2043">
        <v>178201350</v>
      </c>
      <c r="E594" s="2043">
        <v>175361462</v>
      </c>
      <c r="F594" s="2043">
        <v>178908613</v>
      </c>
      <c r="G594" s="2043">
        <v>176068725</v>
      </c>
      <c r="H594" s="2043">
        <v>178201350</v>
      </c>
      <c r="I594" s="2043">
        <v>175361462</v>
      </c>
    </row>
    <row r="595" spans="1:9">
      <c r="A595" s="2043" t="s">
        <v>2447</v>
      </c>
      <c r="B595" s="2043">
        <v>476509232</v>
      </c>
      <c r="C595" s="2043">
        <v>461184001</v>
      </c>
      <c r="D595" s="2043">
        <v>473994973</v>
      </c>
      <c r="E595" s="2043">
        <v>458669742</v>
      </c>
      <c r="F595" s="2043">
        <v>476509232</v>
      </c>
      <c r="G595" s="2043">
        <v>461184001</v>
      </c>
      <c r="H595" s="2043">
        <v>473994973</v>
      </c>
      <c r="I595" s="2043">
        <v>458669742</v>
      </c>
    </row>
    <row r="596" spans="1:9">
      <c r="A596" s="2043" t="s">
        <v>2288</v>
      </c>
      <c r="B596" s="2043">
        <v>170132629</v>
      </c>
      <c r="C596" s="2043">
        <v>167777559</v>
      </c>
      <c r="D596" s="2043">
        <v>170132629</v>
      </c>
      <c r="E596" s="2043">
        <v>167777559</v>
      </c>
      <c r="F596" s="2043">
        <v>170132629</v>
      </c>
      <c r="G596" s="2043">
        <v>167777559</v>
      </c>
      <c r="H596" s="2043">
        <v>170132629</v>
      </c>
      <c r="I596" s="2043">
        <v>167777559</v>
      </c>
    </row>
    <row r="597" spans="1:9">
      <c r="A597" s="2043" t="s">
        <v>1992</v>
      </c>
      <c r="B597" s="2043">
        <v>900590297</v>
      </c>
      <c r="C597" s="2043">
        <v>891643920</v>
      </c>
      <c r="D597" s="2043">
        <v>900590297</v>
      </c>
      <c r="E597" s="2043">
        <v>891643920</v>
      </c>
      <c r="F597" s="2043">
        <v>900590297</v>
      </c>
      <c r="G597" s="2043">
        <v>891643920</v>
      </c>
      <c r="H597" s="2043">
        <v>900590297</v>
      </c>
      <c r="I597" s="2043">
        <v>891643920</v>
      </c>
    </row>
    <row r="598" spans="1:9">
      <c r="A598" s="2043" t="s">
        <v>2489</v>
      </c>
      <c r="B598" s="2043">
        <v>1688954665</v>
      </c>
      <c r="C598" s="2043">
        <v>1657572199</v>
      </c>
      <c r="D598" s="2043">
        <v>1688954665</v>
      </c>
      <c r="E598" s="2043">
        <v>1657572199</v>
      </c>
      <c r="F598" s="2043">
        <v>1688954665</v>
      </c>
      <c r="G598" s="2043">
        <v>1657572199</v>
      </c>
      <c r="H598" s="2043">
        <v>1688954665</v>
      </c>
      <c r="I598" s="2043">
        <v>1657572199</v>
      </c>
    </row>
    <row r="599" spans="1:9">
      <c r="A599" s="2043" t="s">
        <v>2270</v>
      </c>
      <c r="B599" s="2043">
        <v>2103300459</v>
      </c>
      <c r="C599" s="2043">
        <v>2056069801</v>
      </c>
      <c r="D599" s="2043">
        <v>2103300459</v>
      </c>
      <c r="E599" s="2043">
        <v>2056069801</v>
      </c>
      <c r="F599" s="2043">
        <v>2103300459</v>
      </c>
      <c r="G599" s="2043">
        <v>2056069801</v>
      </c>
      <c r="H599" s="2043">
        <v>2103300459</v>
      </c>
      <c r="I599" s="2043">
        <v>2056069801</v>
      </c>
    </row>
    <row r="600" spans="1:9">
      <c r="A600" s="2043" t="s">
        <v>1993</v>
      </c>
      <c r="B600" s="2043">
        <v>208069073</v>
      </c>
      <c r="C600" s="2043">
        <v>206016068</v>
      </c>
      <c r="D600" s="2043">
        <v>208069073</v>
      </c>
      <c r="E600" s="2043">
        <v>206016068</v>
      </c>
      <c r="F600" s="2043">
        <v>208069073</v>
      </c>
      <c r="G600" s="2043">
        <v>206016068</v>
      </c>
      <c r="H600" s="2043">
        <v>208069073</v>
      </c>
      <c r="I600" s="2043">
        <v>206016068</v>
      </c>
    </row>
    <row r="601" spans="1:9">
      <c r="A601" s="2043" t="s">
        <v>2375</v>
      </c>
      <c r="B601" s="2043">
        <v>494538356</v>
      </c>
      <c r="C601" s="2043">
        <v>480443878</v>
      </c>
      <c r="D601" s="2043">
        <v>494538356</v>
      </c>
      <c r="E601" s="2043">
        <v>480443878</v>
      </c>
      <c r="F601" s="2043">
        <v>494538356</v>
      </c>
      <c r="G601" s="2043">
        <v>480443878</v>
      </c>
      <c r="H601" s="2043">
        <v>494538356</v>
      </c>
      <c r="I601" s="2043">
        <v>480443878</v>
      </c>
    </row>
    <row r="602" spans="1:9">
      <c r="A602" s="2043" t="s">
        <v>1051</v>
      </c>
      <c r="B602" s="2043">
        <v>275597847</v>
      </c>
      <c r="C602" s="2043">
        <v>269631681</v>
      </c>
      <c r="D602" s="2043">
        <v>275597847</v>
      </c>
      <c r="E602" s="2043">
        <v>269631681</v>
      </c>
      <c r="F602" s="2043">
        <v>275597847</v>
      </c>
      <c r="G602" s="2043">
        <v>269631681</v>
      </c>
      <c r="H602" s="2043">
        <v>275597847</v>
      </c>
      <c r="I602" s="2043">
        <v>269631681</v>
      </c>
    </row>
    <row r="603" spans="1:9">
      <c r="A603" s="2043" t="s">
        <v>1994</v>
      </c>
      <c r="B603" s="2043">
        <v>1026137940</v>
      </c>
      <c r="C603" s="2043">
        <v>1005498376</v>
      </c>
      <c r="D603" s="2043">
        <v>1026137940</v>
      </c>
      <c r="E603" s="2043">
        <v>1005498376</v>
      </c>
      <c r="F603" s="2043">
        <v>1026137940</v>
      </c>
      <c r="G603" s="2043">
        <v>1005498376</v>
      </c>
      <c r="H603" s="2043">
        <v>1026137940</v>
      </c>
      <c r="I603" s="2043">
        <v>1005498376</v>
      </c>
    </row>
    <row r="604" spans="1:9">
      <c r="A604" s="2043" t="s">
        <v>1995</v>
      </c>
      <c r="B604" s="2043">
        <v>660782000</v>
      </c>
      <c r="C604" s="2043">
        <v>641665396</v>
      </c>
      <c r="D604" s="2043">
        <v>660782000</v>
      </c>
      <c r="E604" s="2043">
        <v>641665396</v>
      </c>
      <c r="F604" s="2043">
        <v>660782000</v>
      </c>
      <c r="G604" s="2043">
        <v>641665396</v>
      </c>
      <c r="H604" s="2043">
        <v>660782000</v>
      </c>
      <c r="I604" s="2043">
        <v>641665396</v>
      </c>
    </row>
    <row r="605" spans="1:9">
      <c r="A605" s="2043" t="s">
        <v>914</v>
      </c>
      <c r="B605" s="2043">
        <v>47459386</v>
      </c>
      <c r="C605" s="2043">
        <v>45673551</v>
      </c>
      <c r="D605" s="2043">
        <v>47459386</v>
      </c>
      <c r="E605" s="2043">
        <v>45673551</v>
      </c>
      <c r="F605" s="2043">
        <v>47459386</v>
      </c>
      <c r="G605" s="2043">
        <v>45673551</v>
      </c>
      <c r="H605" s="2043">
        <v>47459386</v>
      </c>
      <c r="I605" s="2043">
        <v>45673551</v>
      </c>
    </row>
    <row r="606" spans="1:9">
      <c r="A606" s="2043" t="s">
        <v>1261</v>
      </c>
      <c r="B606" s="2043">
        <v>1268525388</v>
      </c>
      <c r="C606" s="2043">
        <v>1248738010</v>
      </c>
      <c r="D606" s="2043">
        <v>1268525388</v>
      </c>
      <c r="E606" s="2043">
        <v>1248738010</v>
      </c>
      <c r="F606" s="2043">
        <v>1268525388</v>
      </c>
      <c r="G606" s="2043">
        <v>1248738010</v>
      </c>
      <c r="H606" s="2043">
        <v>1268525388</v>
      </c>
      <c r="I606" s="2043">
        <v>1248738010</v>
      </c>
    </row>
    <row r="607" spans="1:9">
      <c r="A607" s="2043" t="s">
        <v>1595</v>
      </c>
      <c r="B607" s="2043">
        <v>473025438</v>
      </c>
      <c r="C607" s="2043">
        <v>453693339</v>
      </c>
      <c r="D607" s="2043">
        <v>473025438</v>
      </c>
      <c r="E607" s="2043">
        <v>453693339</v>
      </c>
      <c r="F607" s="2043">
        <v>473025438</v>
      </c>
      <c r="G607" s="2043">
        <v>453693339</v>
      </c>
      <c r="H607" s="2043">
        <v>473025438</v>
      </c>
      <c r="I607" s="2043">
        <v>453693339</v>
      </c>
    </row>
    <row r="608" spans="1:9">
      <c r="A608" s="2043" t="s">
        <v>1596</v>
      </c>
      <c r="B608" s="2043">
        <v>224365259</v>
      </c>
      <c r="C608" s="2043">
        <v>221702732</v>
      </c>
      <c r="D608" s="2043">
        <v>224365259</v>
      </c>
      <c r="E608" s="2043">
        <v>221702732</v>
      </c>
      <c r="F608" s="2043">
        <v>224365259</v>
      </c>
      <c r="G608" s="2043">
        <v>221702732</v>
      </c>
      <c r="H608" s="2043">
        <v>224365259</v>
      </c>
      <c r="I608" s="2043">
        <v>221702732</v>
      </c>
    </row>
    <row r="609" spans="1:9">
      <c r="A609" s="2043" t="s">
        <v>2416</v>
      </c>
      <c r="B609" s="2043">
        <v>142078092</v>
      </c>
      <c r="C609" s="2043">
        <v>140880692</v>
      </c>
      <c r="D609" s="2043">
        <v>142078092</v>
      </c>
      <c r="E609" s="2043">
        <v>140880692</v>
      </c>
      <c r="F609" s="2043">
        <v>142078092</v>
      </c>
      <c r="G609" s="2043">
        <v>140880692</v>
      </c>
      <c r="H609" s="2043">
        <v>142078092</v>
      </c>
      <c r="I609" s="2043">
        <v>140880692</v>
      </c>
    </row>
    <row r="610" spans="1:9">
      <c r="B610" s="2043">
        <v>224102055</v>
      </c>
      <c r="C610" s="2043">
        <v>223200800</v>
      </c>
      <c r="D610" s="2043">
        <v>224102055</v>
      </c>
      <c r="E610" s="2043">
        <v>223200800</v>
      </c>
      <c r="F610" s="2043">
        <v>224102055</v>
      </c>
      <c r="G610" s="2043">
        <v>223200800</v>
      </c>
      <c r="H610" s="2043">
        <v>224102055</v>
      </c>
      <c r="I610" s="2043">
        <v>223200800</v>
      </c>
    </row>
    <row r="611" spans="1:9">
      <c r="A611" s="2043" t="s">
        <v>2513</v>
      </c>
      <c r="B611" s="2043">
        <v>84329111</v>
      </c>
      <c r="C611" s="2043">
        <v>83298541</v>
      </c>
      <c r="D611" s="2043">
        <v>84329111</v>
      </c>
      <c r="E611" s="2043">
        <v>83298541</v>
      </c>
      <c r="F611" s="2043">
        <v>84329111</v>
      </c>
      <c r="G611" s="2043">
        <v>83298541</v>
      </c>
      <c r="H611" s="2043">
        <v>84329111</v>
      </c>
      <c r="I611" s="2043">
        <v>83298541</v>
      </c>
    </row>
    <row r="612" spans="1:9">
      <c r="A612" s="2043" t="s">
        <v>791</v>
      </c>
      <c r="B612" s="2043">
        <v>776223237</v>
      </c>
      <c r="C612" s="2043">
        <v>760536415</v>
      </c>
      <c r="D612" s="2043">
        <v>756365758</v>
      </c>
      <c r="E612" s="2043">
        <v>740678936</v>
      </c>
      <c r="F612" s="2043">
        <v>776223237</v>
      </c>
      <c r="G612" s="2043">
        <v>760536415</v>
      </c>
      <c r="H612" s="2043">
        <v>756365758</v>
      </c>
      <c r="I612" s="2043">
        <v>740678936</v>
      </c>
    </row>
    <row r="613" spans="1:9">
      <c r="A613" s="2043" t="s">
        <v>80</v>
      </c>
      <c r="B613" s="2043">
        <v>2081996369</v>
      </c>
      <c r="C613" s="2043">
        <v>2074596116</v>
      </c>
      <c r="D613" s="2043">
        <v>2073781950</v>
      </c>
      <c r="E613" s="2043">
        <v>2066381697</v>
      </c>
      <c r="F613" s="2043">
        <v>2081996369</v>
      </c>
      <c r="G613" s="2043">
        <v>2074596116</v>
      </c>
      <c r="H613" s="2043">
        <v>2073781950</v>
      </c>
      <c r="I613" s="2043">
        <v>2066381697</v>
      </c>
    </row>
    <row r="614" spans="1:9">
      <c r="A614" s="2043" t="s">
        <v>81</v>
      </c>
      <c r="B614" s="2043">
        <v>4130033413</v>
      </c>
      <c r="C614" s="2043">
        <v>4080935345</v>
      </c>
      <c r="D614" s="2043">
        <v>4050746579</v>
      </c>
      <c r="E614" s="2043">
        <v>4001648511</v>
      </c>
      <c r="F614" s="2043">
        <v>4130033413</v>
      </c>
      <c r="G614" s="2043">
        <v>4080935345</v>
      </c>
      <c r="H614" s="2043">
        <v>4050746579</v>
      </c>
      <c r="I614" s="2043">
        <v>4001648511</v>
      </c>
    </row>
    <row r="615" spans="1:9">
      <c r="A615" s="2043" t="s">
        <v>2160</v>
      </c>
      <c r="B615" s="2043">
        <v>11648046240</v>
      </c>
      <c r="C615" s="2043">
        <v>11368085134</v>
      </c>
      <c r="D615" s="2043">
        <v>11648046240</v>
      </c>
      <c r="E615" s="2043">
        <v>11368085134</v>
      </c>
      <c r="F615" s="2043">
        <v>11648046240</v>
      </c>
      <c r="G615" s="2043">
        <v>11368085134</v>
      </c>
      <c r="H615" s="2043">
        <v>11648046240</v>
      </c>
      <c r="I615" s="2043">
        <v>11368085134</v>
      </c>
    </row>
    <row r="616" spans="1:9">
      <c r="A616" s="2043" t="s">
        <v>2272</v>
      </c>
      <c r="B616" s="2043">
        <v>411969900</v>
      </c>
      <c r="C616" s="2043">
        <v>406738809</v>
      </c>
      <c r="D616" s="2043">
        <v>411969900</v>
      </c>
      <c r="E616" s="2043">
        <v>406738809</v>
      </c>
      <c r="F616" s="2043">
        <v>411969900</v>
      </c>
      <c r="G616" s="2043">
        <v>406738809</v>
      </c>
      <c r="H616" s="2043">
        <v>411969900</v>
      </c>
      <c r="I616" s="2043">
        <v>406738809</v>
      </c>
    </row>
    <row r="617" spans="1:9">
      <c r="A617" s="2043" t="s">
        <v>2273</v>
      </c>
      <c r="B617" s="2043">
        <v>431749301</v>
      </c>
      <c r="C617" s="2043">
        <v>417077043</v>
      </c>
      <c r="D617" s="2043">
        <v>431749301</v>
      </c>
      <c r="E617" s="2043">
        <v>417077043</v>
      </c>
      <c r="F617" s="2043">
        <v>431749301</v>
      </c>
      <c r="G617" s="2043">
        <v>417077043</v>
      </c>
      <c r="H617" s="2043">
        <v>431749301</v>
      </c>
      <c r="I617" s="2043">
        <v>417077043</v>
      </c>
    </row>
    <row r="618" spans="1:9">
      <c r="A618" s="2043" t="s">
        <v>1985</v>
      </c>
      <c r="B618" s="2043">
        <v>3531269869</v>
      </c>
      <c r="C618" s="2043">
        <v>3460732823</v>
      </c>
      <c r="D618" s="2043">
        <v>3531269869</v>
      </c>
      <c r="E618" s="2043">
        <v>3460732823</v>
      </c>
      <c r="F618" s="2043">
        <v>3531269869</v>
      </c>
      <c r="G618" s="2043">
        <v>3460732823</v>
      </c>
      <c r="H618" s="2043">
        <v>3531269869</v>
      </c>
      <c r="I618" s="2043">
        <v>3460732823</v>
      </c>
    </row>
    <row r="619" spans="1:9">
      <c r="A619" s="2043" t="s">
        <v>1338</v>
      </c>
      <c r="B619" s="2043">
        <v>4539033105</v>
      </c>
      <c r="C619" s="2043">
        <v>4447102711</v>
      </c>
      <c r="D619" s="2043">
        <v>4539033105</v>
      </c>
      <c r="E619" s="2043">
        <v>4447102711</v>
      </c>
      <c r="F619" s="2043">
        <v>4539033105</v>
      </c>
      <c r="G619" s="2043">
        <v>4447102711</v>
      </c>
      <c r="H619" s="2043">
        <v>4539033105</v>
      </c>
      <c r="I619" s="2043">
        <v>4447102711</v>
      </c>
    </row>
    <row r="620" spans="1:9">
      <c r="A620" s="2043" t="s">
        <v>2274</v>
      </c>
      <c r="B620" s="2043">
        <v>266637776</v>
      </c>
      <c r="C620" s="2043">
        <v>259373486</v>
      </c>
      <c r="D620" s="2043">
        <v>266637776</v>
      </c>
      <c r="E620" s="2043">
        <v>259373486</v>
      </c>
      <c r="F620" s="2043">
        <v>266637776</v>
      </c>
      <c r="G620" s="2043">
        <v>259373486</v>
      </c>
      <c r="H620" s="2043">
        <v>266637776</v>
      </c>
      <c r="I620" s="2043">
        <v>259373486</v>
      </c>
    </row>
    <row r="621" spans="1:9">
      <c r="A621" s="2043" t="s">
        <v>468</v>
      </c>
      <c r="B621" s="2043">
        <v>378216932</v>
      </c>
      <c r="C621" s="2043">
        <v>368025440</v>
      </c>
      <c r="D621" s="2043">
        <v>378216932</v>
      </c>
      <c r="E621" s="2043">
        <v>368025440</v>
      </c>
      <c r="F621" s="2043">
        <v>378216932</v>
      </c>
      <c r="G621" s="2043">
        <v>368025440</v>
      </c>
      <c r="H621" s="2043">
        <v>378216932</v>
      </c>
      <c r="I621" s="2043">
        <v>368025440</v>
      </c>
    </row>
    <row r="622" spans="1:9">
      <c r="A622" s="2043" t="s">
        <v>636</v>
      </c>
      <c r="B622" s="2043">
        <v>304258953</v>
      </c>
      <c r="C622" s="2043">
        <v>296197097</v>
      </c>
      <c r="D622" s="2043">
        <v>304258953</v>
      </c>
      <c r="E622" s="2043">
        <v>296197097</v>
      </c>
      <c r="F622" s="2043">
        <v>304258953</v>
      </c>
      <c r="G622" s="2043">
        <v>296197097</v>
      </c>
      <c r="H622" s="2043">
        <v>304258953</v>
      </c>
      <c r="I622" s="2043">
        <v>296197097</v>
      </c>
    </row>
    <row r="623" spans="1:9">
      <c r="A623" s="2043" t="s">
        <v>2221</v>
      </c>
      <c r="B623" s="2043">
        <v>122680853</v>
      </c>
      <c r="C623" s="2043">
        <v>120960173</v>
      </c>
      <c r="D623" s="2043">
        <v>122680853</v>
      </c>
      <c r="E623" s="2043">
        <v>120960173</v>
      </c>
      <c r="F623" s="2043">
        <v>293403493</v>
      </c>
      <c r="G623" s="2043">
        <v>291682813</v>
      </c>
      <c r="H623" s="2043">
        <v>293403493</v>
      </c>
      <c r="I623" s="2043">
        <v>291682813</v>
      </c>
    </row>
    <row r="624" spans="1:9">
      <c r="A624" s="2043" t="s">
        <v>2222</v>
      </c>
      <c r="B624" s="2043">
        <v>179186520</v>
      </c>
      <c r="C624" s="2043">
        <v>173421880</v>
      </c>
      <c r="D624" s="2043">
        <v>179186520</v>
      </c>
      <c r="E624" s="2043">
        <v>173421880</v>
      </c>
      <c r="F624" s="2043">
        <v>470692510</v>
      </c>
      <c r="G624" s="2043">
        <v>464927870</v>
      </c>
      <c r="H624" s="2043">
        <v>470692510</v>
      </c>
      <c r="I624" s="2043">
        <v>464927870</v>
      </c>
    </row>
    <row r="625" spans="1:9">
      <c r="A625" s="2043" t="s">
        <v>2223</v>
      </c>
      <c r="B625" s="2043">
        <v>117192976</v>
      </c>
      <c r="C625" s="2043">
        <v>114749306</v>
      </c>
      <c r="D625" s="2043">
        <v>117192976</v>
      </c>
      <c r="E625" s="2043">
        <v>114749306</v>
      </c>
      <c r="F625" s="2043">
        <v>117192976</v>
      </c>
      <c r="G625" s="2043">
        <v>114749306</v>
      </c>
      <c r="H625" s="2043">
        <v>117192976</v>
      </c>
      <c r="I625" s="2043">
        <v>114749306</v>
      </c>
    </row>
    <row r="626" spans="1:9">
      <c r="A626" s="2043" t="s">
        <v>1378</v>
      </c>
      <c r="B626" s="2043">
        <v>57577825</v>
      </c>
      <c r="C626" s="2043">
        <v>56082385</v>
      </c>
      <c r="D626" s="2043">
        <v>57577825</v>
      </c>
      <c r="E626" s="2043">
        <v>56082385</v>
      </c>
      <c r="F626" s="2043">
        <v>57577825</v>
      </c>
      <c r="G626" s="2043">
        <v>56082385</v>
      </c>
      <c r="H626" s="2043">
        <v>57577825</v>
      </c>
      <c r="I626" s="2043">
        <v>56082385</v>
      </c>
    </row>
    <row r="627" spans="1:9">
      <c r="A627" s="2043" t="s">
        <v>1977</v>
      </c>
      <c r="B627" s="2043">
        <v>858444413</v>
      </c>
      <c r="C627" s="2043">
        <v>837551683</v>
      </c>
      <c r="D627" s="2043">
        <v>858444413</v>
      </c>
      <c r="E627" s="2043">
        <v>837551683</v>
      </c>
      <c r="F627" s="2043">
        <v>858444413</v>
      </c>
      <c r="G627" s="2043">
        <v>837551683</v>
      </c>
      <c r="H627" s="2043">
        <v>858444413</v>
      </c>
      <c r="I627" s="2043">
        <v>837551683</v>
      </c>
    </row>
    <row r="628" spans="1:9">
      <c r="A628" s="2043" t="s">
        <v>1379</v>
      </c>
      <c r="B628" s="2043">
        <v>322263263</v>
      </c>
      <c r="C628" s="2043">
        <v>318049390</v>
      </c>
      <c r="D628" s="2043">
        <v>322263263</v>
      </c>
      <c r="E628" s="2043">
        <v>318049390</v>
      </c>
      <c r="F628" s="2043">
        <v>322263263</v>
      </c>
      <c r="G628" s="2043">
        <v>318049390</v>
      </c>
      <c r="H628" s="2043">
        <v>322263263</v>
      </c>
      <c r="I628" s="2043">
        <v>318049390</v>
      </c>
    </row>
    <row r="629" spans="1:9">
      <c r="A629" s="2043" t="s">
        <v>363</v>
      </c>
      <c r="B629" s="2043">
        <v>667645205</v>
      </c>
      <c r="C629" s="2043">
        <v>645082905</v>
      </c>
      <c r="D629" s="2043">
        <v>656889255</v>
      </c>
      <c r="E629" s="2043">
        <v>634326955</v>
      </c>
      <c r="F629" s="2043">
        <v>667645205</v>
      </c>
      <c r="G629" s="2043">
        <v>645082905</v>
      </c>
      <c r="H629" s="2043">
        <v>656889255</v>
      </c>
      <c r="I629" s="2043">
        <v>634326955</v>
      </c>
    </row>
    <row r="630" spans="1:9">
      <c r="A630" s="2043" t="s">
        <v>364</v>
      </c>
      <c r="B630" s="2043">
        <v>2996900080</v>
      </c>
      <c r="C630" s="2043">
        <v>2988093424</v>
      </c>
      <c r="D630" s="2043">
        <v>2990564785</v>
      </c>
      <c r="E630" s="2043">
        <v>2981758129</v>
      </c>
      <c r="F630" s="2043">
        <v>3058327580</v>
      </c>
      <c r="G630" s="2043">
        <v>3049520924</v>
      </c>
      <c r="H630" s="2043">
        <v>3051992285</v>
      </c>
      <c r="I630" s="2043">
        <v>3043185629</v>
      </c>
    </row>
    <row r="631" spans="1:9">
      <c r="A631" s="2043" t="s">
        <v>365</v>
      </c>
      <c r="B631" s="2043">
        <v>3052376118</v>
      </c>
      <c r="C631" s="2043">
        <v>3051257968</v>
      </c>
      <c r="D631" s="2043">
        <v>3051146818</v>
      </c>
      <c r="E631" s="2043">
        <v>3050028668</v>
      </c>
      <c r="F631" s="2043">
        <v>3052376118</v>
      </c>
      <c r="G631" s="2043">
        <v>3051257968</v>
      </c>
      <c r="H631" s="2043">
        <v>3051146818</v>
      </c>
      <c r="I631" s="2043">
        <v>3050028668</v>
      </c>
    </row>
    <row r="632" spans="1:9">
      <c r="A632" s="2043" t="s">
        <v>1561</v>
      </c>
      <c r="B632" s="2043">
        <v>452314395</v>
      </c>
      <c r="C632" s="2043">
        <v>440617195</v>
      </c>
      <c r="D632" s="2043">
        <v>452314395</v>
      </c>
      <c r="E632" s="2043">
        <v>440617195</v>
      </c>
      <c r="F632" s="2043">
        <v>452314395</v>
      </c>
      <c r="G632" s="2043">
        <v>440617195</v>
      </c>
      <c r="H632" s="2043">
        <v>452314395</v>
      </c>
      <c r="I632" s="2043">
        <v>440617195</v>
      </c>
    </row>
    <row r="633" spans="1:9">
      <c r="A633" s="2043" t="s">
        <v>1562</v>
      </c>
      <c r="B633" s="2043">
        <v>1357638430</v>
      </c>
      <c r="C633" s="2043">
        <v>1322487320</v>
      </c>
      <c r="D633" s="2043">
        <v>1357638430</v>
      </c>
      <c r="E633" s="2043">
        <v>1322487320</v>
      </c>
      <c r="F633" s="2043">
        <v>1413568580</v>
      </c>
      <c r="G633" s="2043">
        <v>1378417470</v>
      </c>
      <c r="H633" s="2043">
        <v>1413568580</v>
      </c>
      <c r="I633" s="2043">
        <v>1378417470</v>
      </c>
    </row>
    <row r="634" spans="1:9">
      <c r="A634" s="2043" t="s">
        <v>163</v>
      </c>
      <c r="B634" s="2043">
        <v>1324092619</v>
      </c>
      <c r="C634" s="2043">
        <v>1316128665</v>
      </c>
      <c r="D634" s="2043">
        <v>1314517357</v>
      </c>
      <c r="E634" s="2043">
        <v>1306553403</v>
      </c>
      <c r="F634" s="2043">
        <v>1324092619</v>
      </c>
      <c r="G634" s="2043">
        <v>1316128665</v>
      </c>
      <c r="H634" s="2043">
        <v>1314517357</v>
      </c>
      <c r="I634" s="2043">
        <v>1306553403</v>
      </c>
    </row>
    <row r="635" spans="1:9">
      <c r="A635" s="2043" t="s">
        <v>2009</v>
      </c>
      <c r="B635" s="2043">
        <v>298561832</v>
      </c>
      <c r="C635" s="2043">
        <v>295587596</v>
      </c>
      <c r="D635" s="2043">
        <v>292588050</v>
      </c>
      <c r="E635" s="2043">
        <v>289613814</v>
      </c>
      <c r="F635" s="2043">
        <v>298561832</v>
      </c>
      <c r="G635" s="2043">
        <v>295587596</v>
      </c>
      <c r="H635" s="2043">
        <v>292588050</v>
      </c>
      <c r="I635" s="2043">
        <v>289613814</v>
      </c>
    </row>
    <row r="636" spans="1:9">
      <c r="A636" s="2043" t="s">
        <v>2010</v>
      </c>
      <c r="B636" s="2043">
        <v>1229752533</v>
      </c>
      <c r="C636" s="2043">
        <v>1215712601</v>
      </c>
      <c r="D636" s="2043">
        <v>1211987736</v>
      </c>
      <c r="E636" s="2043">
        <v>1197947804</v>
      </c>
      <c r="F636" s="2043">
        <v>1333354633</v>
      </c>
      <c r="G636" s="2043">
        <v>1319314701</v>
      </c>
      <c r="H636" s="2043">
        <v>1315589836</v>
      </c>
      <c r="I636" s="2043">
        <v>1301549904</v>
      </c>
    </row>
    <row r="637" spans="1:9">
      <c r="A637" s="2043" t="s">
        <v>2011</v>
      </c>
      <c r="B637" s="2043">
        <v>618206808</v>
      </c>
      <c r="C637" s="2043">
        <v>605009695</v>
      </c>
      <c r="D637" s="2043">
        <v>599412613</v>
      </c>
      <c r="E637" s="2043">
        <v>586215500</v>
      </c>
      <c r="F637" s="2043">
        <v>2058585708</v>
      </c>
      <c r="G637" s="2043">
        <v>2045388595</v>
      </c>
      <c r="H637" s="2043">
        <v>2039791513</v>
      </c>
      <c r="I637" s="2043">
        <v>2026594400</v>
      </c>
    </row>
    <row r="638" spans="1:9">
      <c r="A638" s="2043" t="s">
        <v>1713</v>
      </c>
      <c r="B638" s="2043">
        <v>2632117738</v>
      </c>
      <c r="C638" s="2043">
        <v>2547692345</v>
      </c>
      <c r="D638" s="2043">
        <v>2632117738</v>
      </c>
      <c r="E638" s="2043">
        <v>2547692345</v>
      </c>
      <c r="F638" s="2043">
        <v>2632117738</v>
      </c>
      <c r="G638" s="2043">
        <v>2547692345</v>
      </c>
      <c r="H638" s="2043">
        <v>2632117738</v>
      </c>
      <c r="I638" s="2043">
        <v>2547692345</v>
      </c>
    </row>
    <row r="639" spans="1:9">
      <c r="A639" s="2043" t="s">
        <v>833</v>
      </c>
      <c r="B639" s="2043">
        <v>456048632</v>
      </c>
      <c r="C639" s="2043">
        <v>441330745</v>
      </c>
      <c r="D639" s="2043">
        <v>456048632</v>
      </c>
      <c r="E639" s="2043">
        <v>441330745</v>
      </c>
      <c r="F639" s="2043">
        <v>570266182</v>
      </c>
      <c r="G639" s="2043">
        <v>555548295</v>
      </c>
      <c r="H639" s="2043">
        <v>570266182</v>
      </c>
      <c r="I639" s="2043">
        <v>555548295</v>
      </c>
    </row>
    <row r="640" spans="1:9">
      <c r="A640" s="2043" t="s">
        <v>1318</v>
      </c>
      <c r="B640" s="2043">
        <v>96085359</v>
      </c>
      <c r="C640" s="2043">
        <v>93538639</v>
      </c>
      <c r="D640" s="2043">
        <v>96085359</v>
      </c>
      <c r="E640" s="2043">
        <v>93538639</v>
      </c>
      <c r="F640" s="2043">
        <v>96085359</v>
      </c>
      <c r="G640" s="2043">
        <v>93538639</v>
      </c>
      <c r="H640" s="2043">
        <v>96085359</v>
      </c>
      <c r="I640" s="2043">
        <v>93538639</v>
      </c>
    </row>
    <row r="641" spans="1:9">
      <c r="A641" s="2043" t="s">
        <v>1875</v>
      </c>
      <c r="B641" s="2043">
        <v>66287771</v>
      </c>
      <c r="C641" s="2043">
        <v>65648304</v>
      </c>
      <c r="D641" s="2043">
        <v>66287771</v>
      </c>
      <c r="E641" s="2043">
        <v>65648304</v>
      </c>
      <c r="F641" s="2043">
        <v>78456301</v>
      </c>
      <c r="G641" s="2043">
        <v>77816834</v>
      </c>
      <c r="H641" s="2043">
        <v>78456301</v>
      </c>
      <c r="I641" s="2043">
        <v>77816834</v>
      </c>
    </row>
    <row r="642" spans="1:9">
      <c r="A642" s="2043" t="s">
        <v>915</v>
      </c>
      <c r="B642" s="2043">
        <v>223899067</v>
      </c>
      <c r="C642" s="2043">
        <v>216997522</v>
      </c>
      <c r="D642" s="2043">
        <v>223899067</v>
      </c>
      <c r="E642" s="2043">
        <v>216997522</v>
      </c>
      <c r="F642" s="2043">
        <v>223899067</v>
      </c>
      <c r="G642" s="2043">
        <v>216997522</v>
      </c>
      <c r="H642" s="2043">
        <v>223899067</v>
      </c>
      <c r="I642" s="2043">
        <v>216997522</v>
      </c>
    </row>
    <row r="643" spans="1:9">
      <c r="A643" s="2043" t="s">
        <v>853</v>
      </c>
      <c r="B643" s="2043">
        <v>5732369649</v>
      </c>
      <c r="C643" s="2043">
        <v>5620270286</v>
      </c>
      <c r="D643" s="2043">
        <v>5732369649</v>
      </c>
      <c r="E643" s="2043">
        <v>5620270286</v>
      </c>
      <c r="F643" s="2043">
        <v>5732369649</v>
      </c>
      <c r="G643" s="2043">
        <v>5620270286</v>
      </c>
      <c r="H643" s="2043">
        <v>5732369649</v>
      </c>
      <c r="I643" s="2043">
        <v>5620270286</v>
      </c>
    </row>
    <row r="644" spans="1:9">
      <c r="A644" s="2043" t="s">
        <v>661</v>
      </c>
      <c r="B644" s="2043">
        <v>991067038</v>
      </c>
      <c r="C644" s="2043">
        <v>972758120</v>
      </c>
      <c r="D644" s="2043">
        <v>991067038</v>
      </c>
      <c r="E644" s="2043">
        <v>972758120</v>
      </c>
      <c r="F644" s="2043">
        <v>991067038</v>
      </c>
      <c r="G644" s="2043">
        <v>972758120</v>
      </c>
      <c r="H644" s="2043">
        <v>991067038</v>
      </c>
      <c r="I644" s="2043">
        <v>972758120</v>
      </c>
    </row>
    <row r="645" spans="1:9">
      <c r="A645" s="2043" t="s">
        <v>916</v>
      </c>
      <c r="B645" s="2043">
        <v>598045421</v>
      </c>
      <c r="C645" s="2043">
        <v>576593214</v>
      </c>
      <c r="D645" s="2043">
        <v>598045421</v>
      </c>
      <c r="E645" s="2043">
        <v>576593214</v>
      </c>
      <c r="F645" s="2043">
        <v>598045421</v>
      </c>
      <c r="G645" s="2043">
        <v>576593214</v>
      </c>
      <c r="H645" s="2043">
        <v>598045421</v>
      </c>
      <c r="I645" s="2043">
        <v>576593214</v>
      </c>
    </row>
    <row r="646" spans="1:9">
      <c r="A646" s="2043" t="s">
        <v>1731</v>
      </c>
      <c r="B646" s="2043">
        <v>145760643</v>
      </c>
      <c r="C646" s="2043">
        <v>139557375</v>
      </c>
      <c r="D646" s="2043">
        <v>145760643</v>
      </c>
      <c r="E646" s="2043">
        <v>139557375</v>
      </c>
      <c r="F646" s="2043">
        <v>145760643</v>
      </c>
      <c r="G646" s="2043">
        <v>139557375</v>
      </c>
      <c r="H646" s="2043">
        <v>145760643</v>
      </c>
      <c r="I646" s="2043">
        <v>139557375</v>
      </c>
    </row>
    <row r="647" spans="1:9">
      <c r="A647" s="2043" t="s">
        <v>1452</v>
      </c>
      <c r="B647" s="2043">
        <v>493269380</v>
      </c>
      <c r="C647" s="2043">
        <v>481027822</v>
      </c>
      <c r="D647" s="2043">
        <v>493269380</v>
      </c>
      <c r="E647" s="2043">
        <v>481027822</v>
      </c>
      <c r="F647" s="2043">
        <v>493269380</v>
      </c>
      <c r="G647" s="2043">
        <v>481027822</v>
      </c>
      <c r="H647" s="2043">
        <v>493269380</v>
      </c>
      <c r="I647" s="2043">
        <v>481027822</v>
      </c>
    </row>
    <row r="648" spans="1:9">
      <c r="A648" s="2043" t="s">
        <v>104</v>
      </c>
      <c r="B648" s="2043">
        <v>209217450</v>
      </c>
      <c r="C648" s="2043">
        <v>199665849</v>
      </c>
      <c r="D648" s="2043">
        <v>209217450</v>
      </c>
      <c r="E648" s="2043">
        <v>199665849</v>
      </c>
      <c r="F648" s="2043">
        <v>209217450</v>
      </c>
      <c r="G648" s="2043">
        <v>199665849</v>
      </c>
      <c r="H648" s="2043">
        <v>209217450</v>
      </c>
      <c r="I648" s="2043">
        <v>199665849</v>
      </c>
    </row>
    <row r="649" spans="1:9">
      <c r="A649" s="2043" t="s">
        <v>1973</v>
      </c>
      <c r="B649" s="2043">
        <v>516083684</v>
      </c>
      <c r="C649" s="2043">
        <v>510937385</v>
      </c>
      <c r="D649" s="2043">
        <v>512461357</v>
      </c>
      <c r="E649" s="2043">
        <v>507315058</v>
      </c>
      <c r="F649" s="2043">
        <v>516083684</v>
      </c>
      <c r="G649" s="2043">
        <v>510937385</v>
      </c>
      <c r="H649" s="2043">
        <v>512461357</v>
      </c>
      <c r="I649" s="2043">
        <v>507315058</v>
      </c>
    </row>
    <row r="650" spans="1:9">
      <c r="A650" s="2043" t="s">
        <v>324</v>
      </c>
      <c r="B650" s="2043">
        <v>6150925003</v>
      </c>
      <c r="C650" s="2043">
        <v>6014592341</v>
      </c>
      <c r="D650" s="2043">
        <v>6150925003</v>
      </c>
      <c r="E650" s="2043">
        <v>6014592341</v>
      </c>
      <c r="F650" s="2043">
        <v>6150925003</v>
      </c>
      <c r="G650" s="2043">
        <v>6014592341</v>
      </c>
      <c r="H650" s="2043">
        <v>6150925003</v>
      </c>
      <c r="I650" s="2043">
        <v>6014592341</v>
      </c>
    </row>
    <row r="651" spans="1:9">
      <c r="A651" s="2043" t="s">
        <v>327</v>
      </c>
      <c r="B651" s="2043">
        <v>520259960</v>
      </c>
      <c r="C651" s="2043">
        <v>500856875</v>
      </c>
      <c r="D651" s="2043">
        <v>520259960</v>
      </c>
      <c r="E651" s="2043">
        <v>500856875</v>
      </c>
      <c r="F651" s="2043">
        <v>520259960</v>
      </c>
      <c r="G651" s="2043">
        <v>500856875</v>
      </c>
      <c r="H651" s="2043">
        <v>520259960</v>
      </c>
      <c r="I651" s="2043">
        <v>500856875</v>
      </c>
    </row>
    <row r="652" spans="1:9">
      <c r="A652" s="2043" t="s">
        <v>2321</v>
      </c>
      <c r="B652" s="2043">
        <v>168392107</v>
      </c>
      <c r="C652" s="2043">
        <v>160972284</v>
      </c>
      <c r="D652" s="2043">
        <v>168392107</v>
      </c>
      <c r="E652" s="2043">
        <v>160972284</v>
      </c>
      <c r="F652" s="2043">
        <v>168392107</v>
      </c>
      <c r="G652" s="2043">
        <v>160972284</v>
      </c>
      <c r="H652" s="2043">
        <v>168392107</v>
      </c>
      <c r="I652" s="2043">
        <v>160972284</v>
      </c>
    </row>
    <row r="653" spans="1:9">
      <c r="A653" s="2043" t="s">
        <v>2322</v>
      </c>
      <c r="B653" s="2043">
        <v>224513467</v>
      </c>
      <c r="C653" s="2043">
        <v>215531727</v>
      </c>
      <c r="D653" s="2043">
        <v>224513467</v>
      </c>
      <c r="E653" s="2043">
        <v>215531727</v>
      </c>
      <c r="F653" s="2043">
        <v>224513467</v>
      </c>
      <c r="G653" s="2043">
        <v>215531727</v>
      </c>
      <c r="H653" s="2043">
        <v>224513467</v>
      </c>
      <c r="I653" s="2043">
        <v>215531727</v>
      </c>
    </row>
    <row r="654" spans="1:9">
      <c r="A654" s="2043" t="s">
        <v>70</v>
      </c>
      <c r="B654" s="2043">
        <v>1049718442</v>
      </c>
      <c r="C654" s="2043">
        <v>1015817464</v>
      </c>
      <c r="D654" s="2043">
        <v>1049718442</v>
      </c>
      <c r="E654" s="2043">
        <v>1015817464</v>
      </c>
      <c r="F654" s="2043">
        <v>1049718442</v>
      </c>
      <c r="G654" s="2043">
        <v>1015817464</v>
      </c>
      <c r="H654" s="2043">
        <v>1049718442</v>
      </c>
      <c r="I654" s="2043">
        <v>1015817464</v>
      </c>
    </row>
    <row r="655" spans="1:9">
      <c r="A655" s="2043" t="s">
        <v>2185</v>
      </c>
      <c r="B655" s="2043">
        <v>801663405</v>
      </c>
      <c r="C655" s="2043">
        <v>778669281</v>
      </c>
      <c r="D655" s="2043">
        <v>801663405</v>
      </c>
      <c r="E655" s="2043">
        <v>778669281</v>
      </c>
      <c r="F655" s="2043">
        <v>801663405</v>
      </c>
      <c r="G655" s="2043">
        <v>778669281</v>
      </c>
      <c r="H655" s="2043">
        <v>801663405</v>
      </c>
      <c r="I655" s="2043">
        <v>778669281</v>
      </c>
    </row>
    <row r="656" spans="1:9">
      <c r="A656" s="2043" t="s">
        <v>155</v>
      </c>
      <c r="B656" s="2043">
        <v>797284710</v>
      </c>
      <c r="C656" s="2043">
        <v>767661474</v>
      </c>
      <c r="D656" s="2043">
        <v>797284710</v>
      </c>
      <c r="E656" s="2043">
        <v>767661474</v>
      </c>
      <c r="F656" s="2043">
        <v>797284710</v>
      </c>
      <c r="G656" s="2043">
        <v>767661474</v>
      </c>
      <c r="H656" s="2043">
        <v>797284710</v>
      </c>
      <c r="I656" s="2043">
        <v>767661474</v>
      </c>
    </row>
    <row r="657" spans="1:9">
      <c r="A657" s="2043" t="s">
        <v>832</v>
      </c>
      <c r="B657" s="2043">
        <v>206157537</v>
      </c>
      <c r="C657" s="2043">
        <v>200970369</v>
      </c>
      <c r="D657" s="2043">
        <v>206157537</v>
      </c>
      <c r="E657" s="2043">
        <v>200970369</v>
      </c>
      <c r="F657" s="2043">
        <v>206157537</v>
      </c>
      <c r="G657" s="2043">
        <v>200970369</v>
      </c>
      <c r="H657" s="2043">
        <v>206157537</v>
      </c>
      <c r="I657" s="2043">
        <v>200970369</v>
      </c>
    </row>
    <row r="658" spans="1:9">
      <c r="A658" s="2043" t="s">
        <v>1733</v>
      </c>
      <c r="B658" s="2043">
        <v>86969127</v>
      </c>
      <c r="C658" s="2043">
        <v>83963433</v>
      </c>
      <c r="D658" s="2043">
        <v>86969127</v>
      </c>
      <c r="E658" s="2043">
        <v>83963433</v>
      </c>
      <c r="F658" s="2043">
        <v>86969127</v>
      </c>
      <c r="G658" s="2043">
        <v>83963433</v>
      </c>
      <c r="H658" s="2043">
        <v>86969127</v>
      </c>
      <c r="I658" s="2043">
        <v>83963433</v>
      </c>
    </row>
    <row r="659" spans="1:9">
      <c r="A659" s="2043" t="s">
        <v>244</v>
      </c>
      <c r="B659" s="2043">
        <v>61233922</v>
      </c>
      <c r="C659" s="2043">
        <v>58117253</v>
      </c>
      <c r="D659" s="2043">
        <v>61233922</v>
      </c>
      <c r="E659" s="2043">
        <v>58117253</v>
      </c>
      <c r="F659" s="2043">
        <v>61233922</v>
      </c>
      <c r="G659" s="2043">
        <v>58117253</v>
      </c>
      <c r="H659" s="2043">
        <v>61233922</v>
      </c>
      <c r="I659" s="2043">
        <v>58117253</v>
      </c>
    </row>
    <row r="660" spans="1:9">
      <c r="A660" s="2043" t="s">
        <v>1494</v>
      </c>
      <c r="B660" s="2043">
        <v>3025132855</v>
      </c>
      <c r="C660" s="2043">
        <v>3023655468</v>
      </c>
      <c r="D660" s="2043">
        <v>3023099776</v>
      </c>
      <c r="E660" s="2043">
        <v>3021622389</v>
      </c>
      <c r="F660" s="2043">
        <v>3025132855</v>
      </c>
      <c r="G660" s="2043">
        <v>3023655468</v>
      </c>
      <c r="H660" s="2043">
        <v>3023099776</v>
      </c>
      <c r="I660" s="2043">
        <v>3021622389</v>
      </c>
    </row>
    <row r="661" spans="1:9">
      <c r="A661" s="2043" t="s">
        <v>1067</v>
      </c>
      <c r="B661" s="2043">
        <v>501900520</v>
      </c>
      <c r="C661" s="2043">
        <v>482228111</v>
      </c>
      <c r="D661" s="2043">
        <v>501900520</v>
      </c>
      <c r="E661" s="2043">
        <v>482228111</v>
      </c>
      <c r="F661" s="2043">
        <v>501900520</v>
      </c>
      <c r="G661" s="2043">
        <v>482228111</v>
      </c>
      <c r="H661" s="2043">
        <v>501900520</v>
      </c>
      <c r="I661" s="2043">
        <v>482228111</v>
      </c>
    </row>
    <row r="662" spans="1:9">
      <c r="A662" s="2043" t="s">
        <v>1876</v>
      </c>
      <c r="B662" s="2043">
        <v>208634314</v>
      </c>
      <c r="C662" s="2043">
        <v>205351193</v>
      </c>
      <c r="D662" s="2043">
        <v>208634314</v>
      </c>
      <c r="E662" s="2043">
        <v>205351193</v>
      </c>
      <c r="F662" s="2043">
        <v>208634314</v>
      </c>
      <c r="G662" s="2043">
        <v>205351193</v>
      </c>
      <c r="H662" s="2043">
        <v>208634314</v>
      </c>
      <c r="I662" s="2043">
        <v>205351193</v>
      </c>
    </row>
    <row r="663" spans="1:9">
      <c r="A663" s="2043" t="s">
        <v>872</v>
      </c>
      <c r="B663" s="2043">
        <v>243623776</v>
      </c>
      <c r="C663" s="2043">
        <v>231980335</v>
      </c>
      <c r="D663" s="2043">
        <v>243623776</v>
      </c>
      <c r="E663" s="2043">
        <v>231980335</v>
      </c>
      <c r="F663" s="2043">
        <v>243623776</v>
      </c>
      <c r="G663" s="2043">
        <v>231980335</v>
      </c>
      <c r="H663" s="2043">
        <v>243623776</v>
      </c>
      <c r="I663" s="2043">
        <v>231980335</v>
      </c>
    </row>
    <row r="664" spans="1:9">
      <c r="A664" s="2043" t="s">
        <v>162</v>
      </c>
      <c r="B664" s="2043">
        <v>772925078</v>
      </c>
      <c r="C664" s="2043">
        <v>750585392</v>
      </c>
      <c r="D664" s="2043">
        <v>772925078</v>
      </c>
      <c r="E664" s="2043">
        <v>750585392</v>
      </c>
      <c r="F664" s="2043">
        <v>772925078</v>
      </c>
      <c r="G664" s="2043">
        <v>750585392</v>
      </c>
      <c r="H664" s="2043">
        <v>772925078</v>
      </c>
      <c r="I664" s="2043">
        <v>750585392</v>
      </c>
    </row>
    <row r="665" spans="1:9">
      <c r="A665" s="2043" t="s">
        <v>2390</v>
      </c>
      <c r="B665" s="2043">
        <v>2245980177</v>
      </c>
      <c r="C665" s="2043">
        <v>2181508416</v>
      </c>
      <c r="D665" s="2043">
        <v>2245980177</v>
      </c>
      <c r="E665" s="2043">
        <v>2181508416</v>
      </c>
      <c r="F665" s="2043">
        <v>2245980177</v>
      </c>
      <c r="G665" s="2043">
        <v>2181508416</v>
      </c>
      <c r="H665" s="2043">
        <v>2245980177</v>
      </c>
      <c r="I665" s="2043">
        <v>2181508416</v>
      </c>
    </row>
    <row r="666" spans="1:9">
      <c r="A666" s="2043" t="s">
        <v>2440</v>
      </c>
      <c r="B666" s="2043">
        <v>192791996</v>
      </c>
      <c r="C666" s="2043">
        <v>188103726</v>
      </c>
      <c r="D666" s="2043">
        <v>192791996</v>
      </c>
      <c r="E666" s="2043">
        <v>188103726</v>
      </c>
      <c r="F666" s="2043">
        <v>192791996</v>
      </c>
      <c r="G666" s="2043">
        <v>188103726</v>
      </c>
      <c r="H666" s="2043">
        <v>192791996</v>
      </c>
      <c r="I666" s="2043">
        <v>188103726</v>
      </c>
    </row>
    <row r="667" spans="1:9">
      <c r="A667" s="2043" t="s">
        <v>2393</v>
      </c>
      <c r="B667" s="2043">
        <v>35350152405</v>
      </c>
      <c r="C667" s="2043">
        <v>35072642753</v>
      </c>
      <c r="D667" s="2043">
        <v>34952137520</v>
      </c>
      <c r="E667" s="2043">
        <v>34674627868</v>
      </c>
      <c r="F667" s="2043">
        <v>35350152405</v>
      </c>
      <c r="G667" s="2043">
        <v>35072642753</v>
      </c>
      <c r="H667" s="2043">
        <v>34952137520</v>
      </c>
      <c r="I667" s="2043">
        <v>34674627868</v>
      </c>
    </row>
    <row r="668" spans="1:9">
      <c r="A668" s="2043" t="s">
        <v>1225</v>
      </c>
      <c r="B668" s="2043">
        <v>2658555201</v>
      </c>
      <c r="C668" s="2043">
        <v>2646065866</v>
      </c>
      <c r="D668" s="2043">
        <v>2606659743</v>
      </c>
      <c r="E668" s="2043">
        <v>2594170408</v>
      </c>
      <c r="F668" s="2043">
        <v>2658555201</v>
      </c>
      <c r="G668" s="2043">
        <v>2646065866</v>
      </c>
      <c r="H668" s="2043">
        <v>2606659743</v>
      </c>
      <c r="I668" s="2043">
        <v>2594170408</v>
      </c>
    </row>
    <row r="669" spans="1:9">
      <c r="A669" s="2043" t="s">
        <v>1780</v>
      </c>
      <c r="B669" s="2043">
        <v>435975885</v>
      </c>
      <c r="C669" s="2043">
        <v>420124579</v>
      </c>
      <c r="D669" s="2043">
        <v>435975885</v>
      </c>
      <c r="E669" s="2043">
        <v>420124579</v>
      </c>
      <c r="F669" s="2043">
        <v>435975885</v>
      </c>
      <c r="G669" s="2043">
        <v>420124579</v>
      </c>
      <c r="H669" s="2043">
        <v>435975885</v>
      </c>
      <c r="I669" s="2043">
        <v>420124579</v>
      </c>
    </row>
    <row r="670" spans="1:9">
      <c r="A670" s="2043" t="s">
        <v>1284</v>
      </c>
      <c r="B670" s="2043">
        <v>135558312</v>
      </c>
      <c r="C670" s="2043">
        <v>133305082</v>
      </c>
      <c r="D670" s="2043">
        <v>135558312</v>
      </c>
      <c r="E670" s="2043">
        <v>133305082</v>
      </c>
      <c r="F670" s="2043">
        <v>135558312</v>
      </c>
      <c r="G670" s="2043">
        <v>133305082</v>
      </c>
      <c r="H670" s="2043">
        <v>135558312</v>
      </c>
      <c r="I670" s="2043">
        <v>133305082</v>
      </c>
    </row>
    <row r="671" spans="1:9">
      <c r="A671" s="2043" t="s">
        <v>2394</v>
      </c>
      <c r="B671" s="2043">
        <v>140621493</v>
      </c>
      <c r="C671" s="2043">
        <v>137008069</v>
      </c>
      <c r="D671" s="2043">
        <v>140621493</v>
      </c>
      <c r="E671" s="2043">
        <v>137008069</v>
      </c>
      <c r="F671" s="2043">
        <v>140621493</v>
      </c>
      <c r="G671" s="2043">
        <v>137008069</v>
      </c>
      <c r="H671" s="2043">
        <v>140621493</v>
      </c>
      <c r="I671" s="2043">
        <v>137008069</v>
      </c>
    </row>
    <row r="672" spans="1:9">
      <c r="A672" s="2043" t="s">
        <v>2074</v>
      </c>
      <c r="B672" s="2043">
        <v>478819746</v>
      </c>
      <c r="C672" s="2043">
        <v>460669704</v>
      </c>
      <c r="D672" s="2043">
        <v>478819746</v>
      </c>
      <c r="E672" s="2043">
        <v>460669704</v>
      </c>
      <c r="F672" s="2043">
        <v>478819746</v>
      </c>
      <c r="G672" s="2043">
        <v>460669704</v>
      </c>
      <c r="H672" s="2043">
        <v>478819746</v>
      </c>
      <c r="I672" s="2043">
        <v>460669704</v>
      </c>
    </row>
    <row r="673" spans="1:9">
      <c r="A673" s="2043" t="s">
        <v>882</v>
      </c>
      <c r="B673" s="2043">
        <v>196844371</v>
      </c>
      <c r="C673" s="2043">
        <v>189982852</v>
      </c>
      <c r="D673" s="2043">
        <v>196844371</v>
      </c>
      <c r="E673" s="2043">
        <v>189982852</v>
      </c>
      <c r="F673" s="2043">
        <v>196844371</v>
      </c>
      <c r="G673" s="2043">
        <v>189982852</v>
      </c>
      <c r="H673" s="2043">
        <v>196844371</v>
      </c>
      <c r="I673" s="2043">
        <v>189982852</v>
      </c>
    </row>
    <row r="674" spans="1:9">
      <c r="A674" s="2043" t="s">
        <v>356</v>
      </c>
      <c r="B674" s="2043">
        <v>39747392</v>
      </c>
      <c r="C674" s="2043">
        <v>38494009</v>
      </c>
      <c r="D674" s="2043">
        <v>39747392</v>
      </c>
      <c r="E674" s="2043">
        <v>38494009</v>
      </c>
      <c r="F674" s="2043">
        <v>39747392</v>
      </c>
      <c r="G674" s="2043">
        <v>38494009</v>
      </c>
      <c r="H674" s="2043">
        <v>39747392</v>
      </c>
      <c r="I674" s="2043">
        <v>38494009</v>
      </c>
    </row>
    <row r="675" spans="1:9">
      <c r="A675" s="2043" t="s">
        <v>1190</v>
      </c>
      <c r="B675" s="2043">
        <v>330031292</v>
      </c>
      <c r="C675" s="2043">
        <v>320799073</v>
      </c>
      <c r="D675" s="2043">
        <v>330031292</v>
      </c>
      <c r="E675" s="2043">
        <v>320799073</v>
      </c>
      <c r="F675" s="2043">
        <v>416926212</v>
      </c>
      <c r="G675" s="2043">
        <v>407693993</v>
      </c>
      <c r="H675" s="2043">
        <v>416926212</v>
      </c>
      <c r="I675" s="2043">
        <v>407693993</v>
      </c>
    </row>
    <row r="676" spans="1:9">
      <c r="A676" s="2043" t="s">
        <v>2524</v>
      </c>
      <c r="B676" s="2043">
        <v>138648306</v>
      </c>
      <c r="C676" s="2043">
        <v>136445862</v>
      </c>
      <c r="D676" s="2043">
        <v>138648306</v>
      </c>
      <c r="E676" s="2043">
        <v>136445862</v>
      </c>
      <c r="F676" s="2043">
        <v>150602046</v>
      </c>
      <c r="G676" s="2043">
        <v>148399602</v>
      </c>
      <c r="H676" s="2043">
        <v>150602046</v>
      </c>
      <c r="I676" s="2043">
        <v>148399602</v>
      </c>
    </row>
    <row r="677" spans="1:9">
      <c r="A677" s="2043" t="s">
        <v>1877</v>
      </c>
      <c r="B677" s="2043">
        <v>43030233</v>
      </c>
      <c r="C677" s="2043">
        <v>41937263</v>
      </c>
      <c r="D677" s="2043">
        <v>43030233</v>
      </c>
      <c r="E677" s="2043">
        <v>41937263</v>
      </c>
      <c r="F677" s="2043">
        <v>182792463</v>
      </c>
      <c r="G677" s="2043">
        <v>181699493</v>
      </c>
      <c r="H677" s="2043">
        <v>182792463</v>
      </c>
      <c r="I677" s="2043">
        <v>181699493</v>
      </c>
    </row>
    <row r="678" spans="1:9">
      <c r="A678" s="2043" t="s">
        <v>2526</v>
      </c>
      <c r="B678" s="2043">
        <v>507539768</v>
      </c>
      <c r="C678" s="2043">
        <v>497458039</v>
      </c>
      <c r="D678" s="2043">
        <v>507539768</v>
      </c>
      <c r="E678" s="2043">
        <v>497458039</v>
      </c>
      <c r="F678" s="2043">
        <v>507539768</v>
      </c>
      <c r="G678" s="2043">
        <v>497458039</v>
      </c>
      <c r="H678" s="2043">
        <v>507539768</v>
      </c>
      <c r="I678" s="2043">
        <v>497458039</v>
      </c>
    </row>
    <row r="679" spans="1:9">
      <c r="A679" s="2043" t="s">
        <v>2527</v>
      </c>
      <c r="B679" s="2043">
        <v>174046700</v>
      </c>
      <c r="C679" s="2043">
        <v>172057517</v>
      </c>
      <c r="D679" s="2043">
        <v>174046700</v>
      </c>
      <c r="E679" s="2043">
        <v>172057517</v>
      </c>
      <c r="F679" s="2043">
        <v>174046700</v>
      </c>
      <c r="G679" s="2043">
        <v>172057517</v>
      </c>
      <c r="H679" s="2043">
        <v>174046700</v>
      </c>
      <c r="I679" s="2043">
        <v>172057517</v>
      </c>
    </row>
    <row r="680" spans="1:9">
      <c r="A680" s="2043" t="s">
        <v>1398</v>
      </c>
      <c r="B680" s="2043">
        <v>303395703</v>
      </c>
      <c r="C680" s="2043">
        <v>301260919</v>
      </c>
      <c r="D680" s="2043">
        <v>303395703</v>
      </c>
      <c r="E680" s="2043">
        <v>301260919</v>
      </c>
      <c r="F680" s="2043">
        <v>303395703</v>
      </c>
      <c r="G680" s="2043">
        <v>301260919</v>
      </c>
      <c r="H680" s="2043">
        <v>303395703</v>
      </c>
      <c r="I680" s="2043">
        <v>301260919</v>
      </c>
    </row>
    <row r="681" spans="1:9">
      <c r="A681" s="2043" t="s">
        <v>1242</v>
      </c>
      <c r="B681" s="2043">
        <v>1009742531</v>
      </c>
      <c r="C681" s="2043">
        <v>985484503</v>
      </c>
      <c r="D681" s="2043">
        <v>1009742531</v>
      </c>
      <c r="E681" s="2043">
        <v>985484503</v>
      </c>
      <c r="F681" s="2043">
        <v>1009742531</v>
      </c>
      <c r="G681" s="2043">
        <v>985484503</v>
      </c>
      <c r="H681" s="2043">
        <v>1009742531</v>
      </c>
      <c r="I681" s="2043">
        <v>985484503</v>
      </c>
    </row>
    <row r="682" spans="1:9">
      <c r="A682" s="2043" t="s">
        <v>1347</v>
      </c>
      <c r="B682" s="2043">
        <v>279314610</v>
      </c>
      <c r="C682" s="2043">
        <v>269053412</v>
      </c>
      <c r="D682" s="2043">
        <v>279314610</v>
      </c>
      <c r="E682" s="2043">
        <v>269053412</v>
      </c>
      <c r="F682" s="2043">
        <v>279314610</v>
      </c>
      <c r="G682" s="2043">
        <v>269053412</v>
      </c>
      <c r="H682" s="2043">
        <v>279314610</v>
      </c>
      <c r="I682" s="2043">
        <v>269053412</v>
      </c>
    </row>
    <row r="683" spans="1:9">
      <c r="A683" s="2043" t="s">
        <v>758</v>
      </c>
      <c r="B683" s="2043">
        <v>118503437</v>
      </c>
      <c r="C683" s="2043">
        <v>116831187</v>
      </c>
      <c r="D683" s="2043">
        <v>118503437</v>
      </c>
      <c r="E683" s="2043">
        <v>116831187</v>
      </c>
      <c r="F683" s="2043">
        <v>118503437</v>
      </c>
      <c r="G683" s="2043">
        <v>116831187</v>
      </c>
      <c r="H683" s="2043">
        <v>118503437</v>
      </c>
      <c r="I683" s="2043">
        <v>116831187</v>
      </c>
    </row>
    <row r="684" spans="1:9">
      <c r="A684" s="2043" t="s">
        <v>1407</v>
      </c>
      <c r="B684" s="2043">
        <v>40395542</v>
      </c>
      <c r="C684" s="2043">
        <v>38964752</v>
      </c>
      <c r="D684" s="2043">
        <v>40395542</v>
      </c>
      <c r="E684" s="2043">
        <v>38964752</v>
      </c>
      <c r="F684" s="2043">
        <v>40395542</v>
      </c>
      <c r="G684" s="2043">
        <v>38964752</v>
      </c>
      <c r="H684" s="2043">
        <v>40395542</v>
      </c>
      <c r="I684" s="2043">
        <v>38964752</v>
      </c>
    </row>
    <row r="685" spans="1:9">
      <c r="A685" s="2043" t="s">
        <v>1408</v>
      </c>
      <c r="B685" s="2043">
        <v>102383716</v>
      </c>
      <c r="C685" s="2043">
        <v>100708202</v>
      </c>
      <c r="D685" s="2043">
        <v>102383716</v>
      </c>
      <c r="E685" s="2043">
        <v>100708202</v>
      </c>
      <c r="F685" s="2043">
        <v>102383716</v>
      </c>
      <c r="G685" s="2043">
        <v>100708202</v>
      </c>
      <c r="H685" s="2043">
        <v>102383716</v>
      </c>
      <c r="I685" s="2043">
        <v>100708202</v>
      </c>
    </row>
    <row r="686" spans="1:9">
      <c r="A686" s="2043" t="s">
        <v>1198</v>
      </c>
      <c r="B686" s="2043">
        <v>232307381</v>
      </c>
      <c r="C686" s="2043">
        <v>229668769</v>
      </c>
      <c r="D686" s="2043">
        <v>232307381</v>
      </c>
      <c r="E686" s="2043">
        <v>229668769</v>
      </c>
      <c r="F686" s="2043">
        <v>232307381</v>
      </c>
      <c r="G686" s="2043">
        <v>229668769</v>
      </c>
      <c r="H686" s="2043">
        <v>232307381</v>
      </c>
      <c r="I686" s="2043">
        <v>229668769</v>
      </c>
    </row>
    <row r="687" spans="1:9">
      <c r="A687" s="2043" t="s">
        <v>1441</v>
      </c>
      <c r="B687" s="2043">
        <v>210595697</v>
      </c>
      <c r="C687" s="2043">
        <v>206858363</v>
      </c>
      <c r="D687" s="2043">
        <v>210595697</v>
      </c>
      <c r="E687" s="2043">
        <v>206858363</v>
      </c>
      <c r="F687" s="2043">
        <v>210595697</v>
      </c>
      <c r="G687" s="2043">
        <v>206858363</v>
      </c>
      <c r="H687" s="2043">
        <v>210595697</v>
      </c>
      <c r="I687" s="2043">
        <v>206858363</v>
      </c>
    </row>
    <row r="688" spans="1:9">
      <c r="A688" s="2043" t="s">
        <v>2186</v>
      </c>
      <c r="B688" s="2043">
        <v>38428748365</v>
      </c>
      <c r="C688" s="2043">
        <v>37769859549</v>
      </c>
      <c r="D688" s="2043">
        <v>38428748365</v>
      </c>
      <c r="E688" s="2043">
        <v>37769859549</v>
      </c>
      <c r="F688" s="2043">
        <v>38428748365</v>
      </c>
      <c r="G688" s="2043">
        <v>37769859549</v>
      </c>
      <c r="H688" s="2043">
        <v>38428748365</v>
      </c>
      <c r="I688" s="2043">
        <v>37769859549</v>
      </c>
    </row>
    <row r="689" spans="1:9">
      <c r="A689" s="2043" t="s">
        <v>1442</v>
      </c>
      <c r="B689" s="2043">
        <v>6400000428</v>
      </c>
      <c r="C689" s="2043">
        <v>6255894170</v>
      </c>
      <c r="D689" s="2043">
        <v>6400000428</v>
      </c>
      <c r="E689" s="2043">
        <v>6255894170</v>
      </c>
      <c r="F689" s="2043">
        <v>6400000428</v>
      </c>
      <c r="G689" s="2043">
        <v>6255894170</v>
      </c>
      <c r="H689" s="2043">
        <v>6400000428</v>
      </c>
      <c r="I689" s="2043">
        <v>6255894170</v>
      </c>
    </row>
    <row r="690" spans="1:9">
      <c r="A690" s="2043" t="s">
        <v>1111</v>
      </c>
      <c r="B690" s="2043">
        <v>3794898236</v>
      </c>
      <c r="C690" s="2043">
        <v>3690627953</v>
      </c>
      <c r="D690" s="2043">
        <v>3794898236</v>
      </c>
      <c r="E690" s="2043">
        <v>3690627953</v>
      </c>
      <c r="F690" s="2043">
        <v>3794898236</v>
      </c>
      <c r="G690" s="2043">
        <v>3690627953</v>
      </c>
      <c r="H690" s="2043">
        <v>3794898236</v>
      </c>
      <c r="I690" s="2043">
        <v>3690627953</v>
      </c>
    </row>
    <row r="691" spans="1:9">
      <c r="A691" s="2043" t="s">
        <v>329</v>
      </c>
      <c r="B691" s="2043">
        <v>7122143595</v>
      </c>
      <c r="C691" s="2043">
        <v>6962884637</v>
      </c>
      <c r="D691" s="2043">
        <v>7122143595</v>
      </c>
      <c r="E691" s="2043">
        <v>6962884637</v>
      </c>
      <c r="F691" s="2043">
        <v>7122143595</v>
      </c>
      <c r="G691" s="2043">
        <v>6962884637</v>
      </c>
      <c r="H691" s="2043">
        <v>7122143595</v>
      </c>
      <c r="I691" s="2043">
        <v>6962884637</v>
      </c>
    </row>
    <row r="692" spans="1:9">
      <c r="A692" s="2043" t="s">
        <v>1419</v>
      </c>
      <c r="B692" s="2043">
        <v>889049128</v>
      </c>
      <c r="C692" s="2043">
        <v>858928150</v>
      </c>
      <c r="D692" s="2043">
        <v>889049128</v>
      </c>
      <c r="E692" s="2043">
        <v>858928150</v>
      </c>
      <c r="F692" s="2043">
        <v>889049128</v>
      </c>
      <c r="G692" s="2043">
        <v>858928150</v>
      </c>
      <c r="H692" s="2043">
        <v>889049128</v>
      </c>
      <c r="I692" s="2043">
        <v>858928150</v>
      </c>
    </row>
    <row r="693" spans="1:9">
      <c r="A693" s="2043" t="s">
        <v>662</v>
      </c>
      <c r="B693" s="2043">
        <v>4794728097</v>
      </c>
      <c r="C693" s="2043">
        <v>4679003411</v>
      </c>
      <c r="D693" s="2043">
        <v>4794728097</v>
      </c>
      <c r="E693" s="2043">
        <v>4679003411</v>
      </c>
      <c r="F693" s="2043">
        <v>4794728097</v>
      </c>
      <c r="G693" s="2043">
        <v>4679003411</v>
      </c>
      <c r="H693" s="2043">
        <v>4794728097</v>
      </c>
      <c r="I693" s="2043">
        <v>4679003411</v>
      </c>
    </row>
    <row r="694" spans="1:9">
      <c r="A694" s="2043" t="s">
        <v>1764</v>
      </c>
      <c r="B694" s="2043">
        <v>1955825856</v>
      </c>
      <c r="C694" s="2043">
        <v>1926145797</v>
      </c>
      <c r="D694" s="2043">
        <v>1944503604</v>
      </c>
      <c r="E694" s="2043">
        <v>1914823545</v>
      </c>
      <c r="F694" s="2043">
        <v>1955825856</v>
      </c>
      <c r="G694" s="2043">
        <v>1926145797</v>
      </c>
      <c r="H694" s="2043">
        <v>1944503604</v>
      </c>
      <c r="I694" s="2043">
        <v>1914823545</v>
      </c>
    </row>
    <row r="695" spans="1:9">
      <c r="A695" s="2043" t="s">
        <v>1765</v>
      </c>
      <c r="B695" s="2043">
        <v>279598425</v>
      </c>
      <c r="C695" s="2043">
        <v>275840797</v>
      </c>
      <c r="D695" s="2043">
        <v>279598425</v>
      </c>
      <c r="E695" s="2043">
        <v>275840797</v>
      </c>
      <c r="F695" s="2043">
        <v>279598425</v>
      </c>
      <c r="G695" s="2043">
        <v>275840797</v>
      </c>
      <c r="H695" s="2043">
        <v>279598425</v>
      </c>
      <c r="I695" s="2043">
        <v>275840797</v>
      </c>
    </row>
    <row r="696" spans="1:9">
      <c r="A696" s="2043" t="s">
        <v>1766</v>
      </c>
      <c r="B696" s="2043">
        <v>750834545</v>
      </c>
      <c r="C696" s="2043">
        <v>731914055</v>
      </c>
      <c r="D696" s="2043">
        <v>750834545</v>
      </c>
      <c r="E696" s="2043">
        <v>731914055</v>
      </c>
      <c r="F696" s="2043">
        <v>750834545</v>
      </c>
      <c r="G696" s="2043">
        <v>731914055</v>
      </c>
      <c r="H696" s="2043">
        <v>750834545</v>
      </c>
      <c r="I696" s="2043">
        <v>731914055</v>
      </c>
    </row>
    <row r="697" spans="1:9">
      <c r="A697" s="2043" t="s">
        <v>1767</v>
      </c>
      <c r="B697" s="2043">
        <v>318606872</v>
      </c>
      <c r="C697" s="2043">
        <v>304529818</v>
      </c>
      <c r="D697" s="2043">
        <v>318606872</v>
      </c>
      <c r="E697" s="2043">
        <v>304529818</v>
      </c>
      <c r="F697" s="2043">
        <v>318606872</v>
      </c>
      <c r="G697" s="2043">
        <v>304529818</v>
      </c>
      <c r="H697" s="2043">
        <v>318606872</v>
      </c>
      <c r="I697" s="2043">
        <v>304529818</v>
      </c>
    </row>
    <row r="698" spans="1:9">
      <c r="A698" s="2043" t="s">
        <v>2227</v>
      </c>
      <c r="B698" s="2043">
        <v>122595235</v>
      </c>
      <c r="C698" s="2043">
        <v>119959995</v>
      </c>
      <c r="D698" s="2043">
        <v>122595235</v>
      </c>
      <c r="E698" s="2043">
        <v>119959995</v>
      </c>
      <c r="F698" s="2043">
        <v>122595235</v>
      </c>
      <c r="G698" s="2043">
        <v>119959995</v>
      </c>
      <c r="H698" s="2043">
        <v>122595235</v>
      </c>
      <c r="I698" s="2043">
        <v>119959995</v>
      </c>
    </row>
    <row r="699" spans="1:9">
      <c r="A699" s="2043" t="s">
        <v>663</v>
      </c>
      <c r="B699" s="2043">
        <v>222951091</v>
      </c>
      <c r="C699" s="2043">
        <v>219129911</v>
      </c>
      <c r="D699" s="2043">
        <v>219278076</v>
      </c>
      <c r="E699" s="2043">
        <v>215456896</v>
      </c>
      <c r="F699" s="2043">
        <v>222951091</v>
      </c>
      <c r="G699" s="2043">
        <v>219129911</v>
      </c>
      <c r="H699" s="2043">
        <v>219278076</v>
      </c>
      <c r="I699" s="2043">
        <v>215456896</v>
      </c>
    </row>
    <row r="700" spans="1:9">
      <c r="A700" s="2043" t="s">
        <v>491</v>
      </c>
      <c r="B700" s="2043">
        <v>241109271</v>
      </c>
      <c r="C700" s="2043">
        <v>233788711</v>
      </c>
      <c r="D700" s="2043">
        <v>233995471</v>
      </c>
      <c r="E700" s="2043">
        <v>226674911</v>
      </c>
      <c r="F700" s="2043">
        <v>524659301</v>
      </c>
      <c r="G700" s="2043">
        <v>517338741</v>
      </c>
      <c r="H700" s="2043">
        <v>517545501</v>
      </c>
      <c r="I700" s="2043">
        <v>510224941</v>
      </c>
    </row>
    <row r="701" spans="1:9">
      <c r="A701" s="2043" t="s">
        <v>664</v>
      </c>
      <c r="B701" s="2043">
        <v>161379210</v>
      </c>
      <c r="C701" s="2043">
        <v>155321695</v>
      </c>
      <c r="D701" s="2043">
        <v>154280120</v>
      </c>
      <c r="E701" s="2043">
        <v>148222605</v>
      </c>
      <c r="F701" s="2043">
        <v>161379210</v>
      </c>
      <c r="G701" s="2043">
        <v>155321695</v>
      </c>
      <c r="H701" s="2043">
        <v>154280120</v>
      </c>
      <c r="I701" s="2043">
        <v>148222605</v>
      </c>
    </row>
    <row r="702" spans="1:9">
      <c r="A702" s="2043" t="s">
        <v>492</v>
      </c>
      <c r="B702" s="2043">
        <v>2353413182</v>
      </c>
      <c r="C702" s="2043">
        <v>2282102402</v>
      </c>
      <c r="D702" s="2043">
        <v>2245473607</v>
      </c>
      <c r="E702" s="2043">
        <v>2174162827</v>
      </c>
      <c r="F702" s="2043">
        <v>2353413182</v>
      </c>
      <c r="G702" s="2043">
        <v>2282102402</v>
      </c>
      <c r="H702" s="2043">
        <v>2245473607</v>
      </c>
      <c r="I702" s="2043">
        <v>2174162827</v>
      </c>
    </row>
    <row r="703" spans="1:9">
      <c r="A703" s="2043" t="s">
        <v>357</v>
      </c>
      <c r="B703" s="2043">
        <v>239717643</v>
      </c>
      <c r="C703" s="2043">
        <v>233196073</v>
      </c>
      <c r="D703" s="2043">
        <v>232440103</v>
      </c>
      <c r="E703" s="2043">
        <v>225918533</v>
      </c>
      <c r="F703" s="2043">
        <v>239717643</v>
      </c>
      <c r="G703" s="2043">
        <v>233196073</v>
      </c>
      <c r="H703" s="2043">
        <v>232440103</v>
      </c>
      <c r="I703" s="2043">
        <v>225918533</v>
      </c>
    </row>
    <row r="704" spans="1:9">
      <c r="A704" s="2043" t="s">
        <v>493</v>
      </c>
      <c r="B704" s="2043">
        <v>158196352</v>
      </c>
      <c r="C704" s="2043">
        <v>150214132</v>
      </c>
      <c r="D704" s="2043">
        <v>146813407</v>
      </c>
      <c r="E704" s="2043">
        <v>138831187</v>
      </c>
      <c r="F704" s="2043">
        <v>158196352</v>
      </c>
      <c r="G704" s="2043">
        <v>150214132</v>
      </c>
      <c r="H704" s="2043">
        <v>146813407</v>
      </c>
      <c r="I704" s="2043">
        <v>138831187</v>
      </c>
    </row>
    <row r="705" spans="1:9">
      <c r="A705" s="2043" t="s">
        <v>494</v>
      </c>
      <c r="B705" s="2043">
        <v>86274403</v>
      </c>
      <c r="C705" s="2043">
        <v>83225603</v>
      </c>
      <c r="D705" s="2043">
        <v>82651413</v>
      </c>
      <c r="E705" s="2043">
        <v>79602613</v>
      </c>
      <c r="F705" s="2043">
        <v>86274403</v>
      </c>
      <c r="G705" s="2043">
        <v>83225603</v>
      </c>
      <c r="H705" s="2043">
        <v>82651413</v>
      </c>
      <c r="I705" s="2043">
        <v>79602613</v>
      </c>
    </row>
    <row r="706" spans="1:9">
      <c r="A706" s="2043" t="s">
        <v>729</v>
      </c>
      <c r="B706" s="2043">
        <v>73937905</v>
      </c>
      <c r="C706" s="2043">
        <v>70140035</v>
      </c>
      <c r="D706" s="2043">
        <v>70139180</v>
      </c>
      <c r="E706" s="2043">
        <v>66341310</v>
      </c>
      <c r="F706" s="2043">
        <v>73937905</v>
      </c>
      <c r="G706" s="2043">
        <v>70140035</v>
      </c>
      <c r="H706" s="2043">
        <v>70139180</v>
      </c>
      <c r="I706" s="2043">
        <v>66341310</v>
      </c>
    </row>
    <row r="707" spans="1:9">
      <c r="A707" s="2043" t="s">
        <v>495</v>
      </c>
      <c r="B707" s="2043">
        <v>178805725</v>
      </c>
      <c r="C707" s="2043">
        <v>173010425</v>
      </c>
      <c r="D707" s="2043">
        <v>168964205</v>
      </c>
      <c r="E707" s="2043">
        <v>163168905</v>
      </c>
      <c r="F707" s="2043">
        <v>178805725</v>
      </c>
      <c r="G707" s="2043">
        <v>173010425</v>
      </c>
      <c r="H707" s="2043">
        <v>168964205</v>
      </c>
      <c r="I707" s="2043">
        <v>163168905</v>
      </c>
    </row>
    <row r="708" spans="1:9">
      <c r="A708" s="2043" t="s">
        <v>496</v>
      </c>
      <c r="B708" s="2043">
        <v>236388493</v>
      </c>
      <c r="C708" s="2043">
        <v>226487771</v>
      </c>
      <c r="D708" s="2043">
        <v>236388493</v>
      </c>
      <c r="E708" s="2043">
        <v>226487771</v>
      </c>
      <c r="F708" s="2043">
        <v>236388493</v>
      </c>
      <c r="G708" s="2043">
        <v>226487771</v>
      </c>
      <c r="H708" s="2043">
        <v>236388493</v>
      </c>
      <c r="I708" s="2043">
        <v>226487771</v>
      </c>
    </row>
    <row r="709" spans="1:9">
      <c r="A709" s="2043" t="s">
        <v>2262</v>
      </c>
      <c r="B709" s="2043">
        <v>2064426684</v>
      </c>
      <c r="C709" s="2043">
        <v>2013015138</v>
      </c>
      <c r="D709" s="2043">
        <v>2064426684</v>
      </c>
      <c r="E709" s="2043">
        <v>2013015138</v>
      </c>
      <c r="F709" s="2043">
        <v>2064426684</v>
      </c>
      <c r="G709" s="2043">
        <v>2013015138</v>
      </c>
      <c r="H709" s="2043">
        <v>2064426684</v>
      </c>
      <c r="I709" s="2043">
        <v>2013015138</v>
      </c>
    </row>
    <row r="710" spans="1:9">
      <c r="A710" s="2043" t="s">
        <v>2269</v>
      </c>
      <c r="B710" s="2043">
        <v>185145256</v>
      </c>
      <c r="C710" s="2043">
        <v>178852775</v>
      </c>
      <c r="D710" s="2043">
        <v>185145256</v>
      </c>
      <c r="E710" s="2043">
        <v>178852775</v>
      </c>
      <c r="F710" s="2043">
        <v>185145256</v>
      </c>
      <c r="G710" s="2043">
        <v>178852775</v>
      </c>
      <c r="H710" s="2043">
        <v>185145256</v>
      </c>
      <c r="I710" s="2043">
        <v>178852775</v>
      </c>
    </row>
    <row r="711" spans="1:9">
      <c r="A711" s="2043" t="s">
        <v>19</v>
      </c>
      <c r="B711" s="2043">
        <v>174658698</v>
      </c>
      <c r="C711" s="2043">
        <v>170919666</v>
      </c>
      <c r="D711" s="2043">
        <v>174658698</v>
      </c>
      <c r="E711" s="2043">
        <v>170919666</v>
      </c>
      <c r="F711" s="2043">
        <v>174658698</v>
      </c>
      <c r="G711" s="2043">
        <v>170919666</v>
      </c>
      <c r="H711" s="2043">
        <v>174658698</v>
      </c>
      <c r="I711" s="2043">
        <v>170919666</v>
      </c>
    </row>
    <row r="712" spans="1:9">
      <c r="A712" s="2043" t="s">
        <v>665</v>
      </c>
      <c r="B712" s="2043">
        <v>341551161</v>
      </c>
      <c r="C712" s="2043">
        <v>333412310</v>
      </c>
      <c r="D712" s="2043">
        <v>341551161</v>
      </c>
      <c r="E712" s="2043">
        <v>333412310</v>
      </c>
      <c r="F712" s="2043">
        <v>341551161</v>
      </c>
      <c r="G712" s="2043">
        <v>333412310</v>
      </c>
      <c r="H712" s="2043">
        <v>341551161</v>
      </c>
      <c r="I712" s="2043">
        <v>333412310</v>
      </c>
    </row>
    <row r="713" spans="1:9">
      <c r="A713" s="2043" t="s">
        <v>20</v>
      </c>
      <c r="B713" s="2043">
        <v>481763734</v>
      </c>
      <c r="C713" s="2043">
        <v>472770530</v>
      </c>
      <c r="D713" s="2043">
        <v>481763734</v>
      </c>
      <c r="E713" s="2043">
        <v>472770530</v>
      </c>
      <c r="F713" s="2043">
        <v>481763734</v>
      </c>
      <c r="G713" s="2043">
        <v>472770530</v>
      </c>
      <c r="H713" s="2043">
        <v>481763734</v>
      </c>
      <c r="I713" s="2043">
        <v>472770530</v>
      </c>
    </row>
    <row r="714" spans="1:9">
      <c r="A714" s="2043" t="s">
        <v>1972</v>
      </c>
      <c r="B714" s="2043">
        <v>161124459</v>
      </c>
      <c r="C714" s="2043">
        <v>156138197</v>
      </c>
      <c r="D714" s="2043">
        <v>161124459</v>
      </c>
      <c r="E714" s="2043">
        <v>156138197</v>
      </c>
      <c r="F714" s="2043">
        <v>161124459</v>
      </c>
      <c r="G714" s="2043">
        <v>156138197</v>
      </c>
      <c r="H714" s="2043">
        <v>161124459</v>
      </c>
      <c r="I714" s="2043">
        <v>156138197</v>
      </c>
    </row>
    <row r="715" spans="1:9">
      <c r="A715" s="2043" t="s">
        <v>21</v>
      </c>
      <c r="B715" s="2043">
        <v>271063917</v>
      </c>
      <c r="C715" s="2043">
        <v>265666208</v>
      </c>
      <c r="D715" s="2043">
        <v>264646521</v>
      </c>
      <c r="E715" s="2043">
        <v>259248812</v>
      </c>
      <c r="F715" s="2043">
        <v>271063917</v>
      </c>
      <c r="G715" s="2043">
        <v>265666208</v>
      </c>
      <c r="H715" s="2043">
        <v>264646521</v>
      </c>
      <c r="I715" s="2043">
        <v>259248812</v>
      </c>
    </row>
    <row r="716" spans="1:9">
      <c r="A716" s="2043" t="s">
        <v>965</v>
      </c>
      <c r="B716" s="2043">
        <v>305666335</v>
      </c>
      <c r="C716" s="2043">
        <v>293164013</v>
      </c>
      <c r="D716" s="2043">
        <v>293678675</v>
      </c>
      <c r="E716" s="2043">
        <v>281176353</v>
      </c>
      <c r="F716" s="2043">
        <v>305666335</v>
      </c>
      <c r="G716" s="2043">
        <v>293164013</v>
      </c>
      <c r="H716" s="2043">
        <v>293678675</v>
      </c>
      <c r="I716" s="2043">
        <v>281176353</v>
      </c>
    </row>
    <row r="717" spans="1:9">
      <c r="A717" s="2043" t="s">
        <v>1878</v>
      </c>
      <c r="B717" s="2043">
        <v>619594505</v>
      </c>
      <c r="C717" s="2043">
        <v>613086544</v>
      </c>
      <c r="D717" s="2043">
        <v>611641387</v>
      </c>
      <c r="E717" s="2043">
        <v>605133426</v>
      </c>
      <c r="F717" s="2043">
        <v>619594505</v>
      </c>
      <c r="G717" s="2043">
        <v>613086544</v>
      </c>
      <c r="H717" s="2043">
        <v>611641387</v>
      </c>
      <c r="I717" s="2043">
        <v>605133426</v>
      </c>
    </row>
    <row r="718" spans="1:9">
      <c r="A718" s="2043" t="s">
        <v>1453</v>
      </c>
      <c r="B718" s="2043">
        <v>308298121</v>
      </c>
      <c r="C718" s="2043">
        <v>304409891</v>
      </c>
      <c r="D718" s="2043">
        <v>308298121</v>
      </c>
      <c r="E718" s="2043">
        <v>304409891</v>
      </c>
      <c r="F718" s="2043">
        <v>308298121</v>
      </c>
      <c r="G718" s="2043">
        <v>304409891</v>
      </c>
      <c r="H718" s="2043">
        <v>308298121</v>
      </c>
      <c r="I718" s="2043">
        <v>304409891</v>
      </c>
    </row>
    <row r="719" spans="1:9">
      <c r="A719" s="2043" t="s">
        <v>1774</v>
      </c>
      <c r="B719" s="2043">
        <v>842576361</v>
      </c>
      <c r="C719" s="2043">
        <v>818780801</v>
      </c>
      <c r="D719" s="2043">
        <v>842576361</v>
      </c>
      <c r="E719" s="2043">
        <v>818780801</v>
      </c>
      <c r="F719" s="2043">
        <v>842576361</v>
      </c>
      <c r="G719" s="2043">
        <v>818780801</v>
      </c>
      <c r="H719" s="2043">
        <v>842576361</v>
      </c>
      <c r="I719" s="2043">
        <v>818780801</v>
      </c>
    </row>
    <row r="720" spans="1:9">
      <c r="A720" s="2043" t="s">
        <v>2184</v>
      </c>
      <c r="B720" s="2043">
        <v>732401060</v>
      </c>
      <c r="C720" s="2043">
        <v>730228721</v>
      </c>
      <c r="D720" s="2043">
        <v>732401060</v>
      </c>
      <c r="E720" s="2043">
        <v>730228721</v>
      </c>
      <c r="F720" s="2043">
        <v>732401060</v>
      </c>
      <c r="G720" s="2043">
        <v>730228721</v>
      </c>
      <c r="H720" s="2043">
        <v>732401060</v>
      </c>
      <c r="I720" s="2043">
        <v>730228721</v>
      </c>
    </row>
    <row r="721" spans="1:9">
      <c r="A721" s="2043" t="s">
        <v>402</v>
      </c>
      <c r="B721" s="2043">
        <v>276693868</v>
      </c>
      <c r="C721" s="2043">
        <v>275701688</v>
      </c>
      <c r="D721" s="2043">
        <v>276693868</v>
      </c>
      <c r="E721" s="2043">
        <v>275701688</v>
      </c>
      <c r="F721" s="2043">
        <v>565690058</v>
      </c>
      <c r="G721" s="2043">
        <v>564697878</v>
      </c>
      <c r="H721" s="2043">
        <v>565690058</v>
      </c>
      <c r="I721" s="2043">
        <v>564697878</v>
      </c>
    </row>
    <row r="722" spans="1:9">
      <c r="A722" s="2043" t="s">
        <v>2358</v>
      </c>
      <c r="B722" s="2043">
        <v>162962014</v>
      </c>
      <c r="C722" s="2043">
        <v>160290554</v>
      </c>
      <c r="D722" s="2043">
        <v>162962014</v>
      </c>
      <c r="E722" s="2043">
        <v>160290554</v>
      </c>
      <c r="F722" s="2043">
        <v>162962014</v>
      </c>
      <c r="G722" s="2043">
        <v>160290554</v>
      </c>
      <c r="H722" s="2043">
        <v>162962014</v>
      </c>
      <c r="I722" s="2043">
        <v>160290554</v>
      </c>
    </row>
    <row r="723" spans="1:9">
      <c r="A723" s="2043" t="s">
        <v>1102</v>
      </c>
      <c r="B723" s="2043">
        <v>683217943</v>
      </c>
      <c r="C723" s="2043">
        <v>670974451</v>
      </c>
      <c r="D723" s="2043">
        <v>668585843</v>
      </c>
      <c r="E723" s="2043">
        <v>656342351</v>
      </c>
      <c r="F723" s="2043">
        <v>683217943</v>
      </c>
      <c r="G723" s="2043">
        <v>670974451</v>
      </c>
      <c r="H723" s="2043">
        <v>668585843</v>
      </c>
      <c r="I723" s="2043">
        <v>656342351</v>
      </c>
    </row>
    <row r="724" spans="1:9">
      <c r="A724" s="2043" t="s">
        <v>1103</v>
      </c>
      <c r="B724" s="2043">
        <v>1701533197</v>
      </c>
      <c r="C724" s="2043">
        <v>1655430384</v>
      </c>
      <c r="D724" s="2043">
        <v>1701533197</v>
      </c>
      <c r="E724" s="2043">
        <v>1655430384</v>
      </c>
      <c r="F724" s="2043">
        <v>2314136087</v>
      </c>
      <c r="G724" s="2043">
        <v>2268033274</v>
      </c>
      <c r="H724" s="2043">
        <v>2314136087</v>
      </c>
      <c r="I724" s="2043">
        <v>2268033274</v>
      </c>
    </row>
    <row r="725" spans="1:9">
      <c r="A725" s="2043" t="s">
        <v>2261</v>
      </c>
      <c r="B725" s="2043">
        <v>17352628533</v>
      </c>
      <c r="C725" s="2043">
        <v>16909954375</v>
      </c>
      <c r="D725" s="2043">
        <v>17352628533</v>
      </c>
      <c r="E725" s="2043">
        <v>16909954375</v>
      </c>
      <c r="F725" s="2043">
        <v>17352628533</v>
      </c>
      <c r="G725" s="2043">
        <v>16909954375</v>
      </c>
      <c r="H725" s="2043">
        <v>17352628533</v>
      </c>
      <c r="I725" s="2043">
        <v>16909954375</v>
      </c>
    </row>
    <row r="726" spans="1:9">
      <c r="A726" s="2043" t="s">
        <v>535</v>
      </c>
      <c r="B726" s="2043">
        <v>106709044</v>
      </c>
      <c r="C726" s="2043">
        <v>104674668</v>
      </c>
      <c r="D726" s="2043">
        <v>106709044</v>
      </c>
      <c r="E726" s="2043">
        <v>104674668</v>
      </c>
      <c r="F726" s="2043">
        <v>106709044</v>
      </c>
      <c r="G726" s="2043">
        <v>104674668</v>
      </c>
      <c r="H726" s="2043">
        <v>106709044</v>
      </c>
      <c r="I726" s="2043">
        <v>104674668</v>
      </c>
    </row>
    <row r="727" spans="1:9">
      <c r="A727" s="2043" t="s">
        <v>544</v>
      </c>
      <c r="B727" s="2043">
        <v>672602320</v>
      </c>
      <c r="C727" s="2043">
        <v>665233157</v>
      </c>
      <c r="D727" s="2043">
        <v>672602320</v>
      </c>
      <c r="E727" s="2043">
        <v>665233157</v>
      </c>
      <c r="F727" s="2043">
        <v>672602320</v>
      </c>
      <c r="G727" s="2043">
        <v>665233157</v>
      </c>
      <c r="H727" s="2043">
        <v>672602320</v>
      </c>
      <c r="I727" s="2043">
        <v>665233157</v>
      </c>
    </row>
    <row r="728" spans="1:9">
      <c r="A728" s="2043" t="s">
        <v>545</v>
      </c>
      <c r="B728" s="2043">
        <v>2522452453</v>
      </c>
      <c r="C728" s="2043">
        <v>2513028922</v>
      </c>
      <c r="D728" s="2043">
        <v>2522452453</v>
      </c>
      <c r="E728" s="2043">
        <v>2513028922</v>
      </c>
      <c r="F728" s="2043">
        <v>2522452453</v>
      </c>
      <c r="G728" s="2043">
        <v>2513028922</v>
      </c>
      <c r="H728" s="2043">
        <v>2522452453</v>
      </c>
      <c r="I728" s="2043">
        <v>2513028922</v>
      </c>
    </row>
    <row r="729" spans="1:9">
      <c r="A729" s="2043" t="s">
        <v>156</v>
      </c>
      <c r="B729" s="2043">
        <v>614744482</v>
      </c>
      <c r="C729" s="2043">
        <v>590221735</v>
      </c>
      <c r="D729" s="2043">
        <v>614744482</v>
      </c>
      <c r="E729" s="2043">
        <v>590221735</v>
      </c>
      <c r="F729" s="2043">
        <v>614744482</v>
      </c>
      <c r="G729" s="2043">
        <v>590221735</v>
      </c>
      <c r="H729" s="2043">
        <v>614744482</v>
      </c>
      <c r="I729" s="2043">
        <v>590221735</v>
      </c>
    </row>
    <row r="730" spans="1:9">
      <c r="A730" s="2043" t="s">
        <v>722</v>
      </c>
      <c r="B730" s="2043">
        <v>3247297025</v>
      </c>
      <c r="C730" s="2043">
        <v>3222132955</v>
      </c>
      <c r="D730" s="2043">
        <v>3208880981</v>
      </c>
      <c r="E730" s="2043">
        <v>3183716911</v>
      </c>
      <c r="F730" s="2043">
        <v>3749491018</v>
      </c>
      <c r="G730" s="2043">
        <v>3724326948</v>
      </c>
      <c r="H730" s="2043">
        <v>3711074974</v>
      </c>
      <c r="I730" s="2043">
        <v>3685910904</v>
      </c>
    </row>
    <row r="731" spans="1:9">
      <c r="A731" s="2043" t="s">
        <v>911</v>
      </c>
      <c r="B731" s="2043">
        <v>599442450</v>
      </c>
      <c r="C731" s="2043">
        <v>590734550</v>
      </c>
      <c r="D731" s="2043">
        <v>599442450</v>
      </c>
      <c r="E731" s="2043">
        <v>590734550</v>
      </c>
      <c r="F731" s="2043">
        <v>599442450</v>
      </c>
      <c r="G731" s="2043">
        <v>590734550</v>
      </c>
      <c r="H731" s="2043">
        <v>599442450</v>
      </c>
      <c r="I731" s="2043">
        <v>590734550</v>
      </c>
    </row>
    <row r="732" spans="1:9">
      <c r="A732" s="2043" t="s">
        <v>2019</v>
      </c>
      <c r="B732" s="2043">
        <v>3276107653</v>
      </c>
      <c r="C732" s="2043">
        <v>3208286337</v>
      </c>
      <c r="D732" s="2043">
        <v>3276107653</v>
      </c>
      <c r="E732" s="2043">
        <v>3208286337</v>
      </c>
      <c r="F732" s="2043">
        <v>3276107653</v>
      </c>
      <c r="G732" s="2043">
        <v>3208286337</v>
      </c>
      <c r="H732" s="2043">
        <v>3276107653</v>
      </c>
      <c r="I732" s="2043">
        <v>3208286337</v>
      </c>
    </row>
    <row r="733" spans="1:9">
      <c r="A733" s="2043" t="s">
        <v>2020</v>
      </c>
      <c r="B733" s="2043">
        <v>829484104</v>
      </c>
      <c r="C733" s="2043">
        <v>815861567</v>
      </c>
      <c r="D733" s="2043">
        <v>829484104</v>
      </c>
      <c r="E733" s="2043">
        <v>815861567</v>
      </c>
      <c r="F733" s="2043">
        <v>829484104</v>
      </c>
      <c r="G733" s="2043">
        <v>815861567</v>
      </c>
      <c r="H733" s="2043">
        <v>829484104</v>
      </c>
      <c r="I733" s="2043">
        <v>815861567</v>
      </c>
    </row>
    <row r="734" spans="1:9">
      <c r="A734" s="2043" t="s">
        <v>195</v>
      </c>
      <c r="B734" s="2043">
        <v>1116978651</v>
      </c>
      <c r="C734" s="2043">
        <v>1105255051</v>
      </c>
      <c r="D734" s="2043">
        <v>1116978651</v>
      </c>
      <c r="E734" s="2043">
        <v>1105255051</v>
      </c>
      <c r="F734" s="2043">
        <v>1255378431</v>
      </c>
      <c r="G734" s="2043">
        <v>1243654831</v>
      </c>
      <c r="H734" s="2043">
        <v>1255378431</v>
      </c>
      <c r="I734" s="2043">
        <v>1243654831</v>
      </c>
    </row>
    <row r="735" spans="1:9">
      <c r="A735" s="2043" t="s">
        <v>918</v>
      </c>
      <c r="B735" s="2043">
        <v>198774157</v>
      </c>
      <c r="C735" s="2043">
        <v>196165233</v>
      </c>
      <c r="D735" s="2043">
        <v>198774157</v>
      </c>
      <c r="E735" s="2043">
        <v>196165233</v>
      </c>
      <c r="F735" s="2043">
        <v>414735687</v>
      </c>
      <c r="G735" s="2043">
        <v>412126763</v>
      </c>
      <c r="H735" s="2043">
        <v>414735687</v>
      </c>
      <c r="I735" s="2043">
        <v>412126763</v>
      </c>
    </row>
    <row r="736" spans="1:9">
      <c r="A736" s="2043" t="s">
        <v>919</v>
      </c>
      <c r="B736" s="2043">
        <v>60856913</v>
      </c>
      <c r="C736" s="2043">
        <v>60412852</v>
      </c>
      <c r="D736" s="2043">
        <v>60856913</v>
      </c>
      <c r="E736" s="2043">
        <v>60412852</v>
      </c>
      <c r="F736" s="2043">
        <v>280082703</v>
      </c>
      <c r="G736" s="2043">
        <v>279638642</v>
      </c>
      <c r="H736" s="2043">
        <v>280082703</v>
      </c>
      <c r="I736" s="2043">
        <v>279638642</v>
      </c>
    </row>
    <row r="737" spans="1:9">
      <c r="A737" s="2043" t="s">
        <v>920</v>
      </c>
      <c r="B737" s="2043">
        <v>134784502</v>
      </c>
      <c r="C737" s="2043">
        <v>134195021</v>
      </c>
      <c r="D737" s="2043">
        <v>134784502</v>
      </c>
      <c r="E737" s="2043">
        <v>134195021</v>
      </c>
      <c r="F737" s="2043">
        <v>168638092</v>
      </c>
      <c r="G737" s="2043">
        <v>168048611</v>
      </c>
      <c r="H737" s="2043">
        <v>168638092</v>
      </c>
      <c r="I737" s="2043">
        <v>168048611</v>
      </c>
    </row>
    <row r="738" spans="1:9">
      <c r="A738" s="2043" t="s">
        <v>1844</v>
      </c>
      <c r="B738" s="2043">
        <v>1165648877</v>
      </c>
      <c r="C738" s="2043">
        <v>1130003017</v>
      </c>
      <c r="D738" s="2043">
        <v>1165648877</v>
      </c>
      <c r="E738" s="2043">
        <v>1130003017</v>
      </c>
      <c r="F738" s="2043">
        <v>1165648877</v>
      </c>
      <c r="G738" s="2043">
        <v>1130003017</v>
      </c>
      <c r="H738" s="2043">
        <v>1165648877</v>
      </c>
      <c r="I738" s="2043">
        <v>1130003017</v>
      </c>
    </row>
    <row r="739" spans="1:9">
      <c r="A739" s="2043" t="s">
        <v>921</v>
      </c>
      <c r="B739" s="2043">
        <v>659863432</v>
      </c>
      <c r="C739" s="2043">
        <v>639332306</v>
      </c>
      <c r="D739" s="2043">
        <v>624312903</v>
      </c>
      <c r="E739" s="2043">
        <v>603781777</v>
      </c>
      <c r="F739" s="2043">
        <v>659863432</v>
      </c>
      <c r="G739" s="2043">
        <v>639332306</v>
      </c>
      <c r="H739" s="2043">
        <v>624312903</v>
      </c>
      <c r="I739" s="2043">
        <v>603781777</v>
      </c>
    </row>
    <row r="740" spans="1:9">
      <c r="A740" s="2043" t="s">
        <v>922</v>
      </c>
      <c r="B740" s="2043">
        <v>1939738582</v>
      </c>
      <c r="C740" s="2043">
        <v>1907109161</v>
      </c>
      <c r="D740" s="2043">
        <v>1910194793</v>
      </c>
      <c r="E740" s="2043">
        <v>1877565372</v>
      </c>
      <c r="F740" s="2043">
        <v>1939738582</v>
      </c>
      <c r="G740" s="2043">
        <v>1907109161</v>
      </c>
      <c r="H740" s="2043">
        <v>1910194793</v>
      </c>
      <c r="I740" s="2043">
        <v>1877565372</v>
      </c>
    </row>
    <row r="741" spans="1:9">
      <c r="A741" s="2043" t="s">
        <v>1380</v>
      </c>
      <c r="B741" s="2043">
        <v>1355039982</v>
      </c>
      <c r="C741" s="2043">
        <v>1305072568</v>
      </c>
      <c r="D741" s="2043">
        <v>1312852792</v>
      </c>
      <c r="E741" s="2043">
        <v>1262885378</v>
      </c>
      <c r="F741" s="2043">
        <v>1355039982</v>
      </c>
      <c r="G741" s="2043">
        <v>1305072568</v>
      </c>
      <c r="H741" s="2043">
        <v>1312852792</v>
      </c>
      <c r="I741" s="2043">
        <v>1262885378</v>
      </c>
    </row>
    <row r="742" spans="1:9">
      <c r="A742" s="2043" t="s">
        <v>1030</v>
      </c>
      <c r="B742" s="2043">
        <v>1125998436</v>
      </c>
      <c r="C742" s="2043">
        <v>1080747729</v>
      </c>
      <c r="D742" s="2043">
        <v>1076369058</v>
      </c>
      <c r="E742" s="2043">
        <v>1031118351</v>
      </c>
      <c r="F742" s="2043">
        <v>1125998436</v>
      </c>
      <c r="G742" s="2043">
        <v>1080747729</v>
      </c>
      <c r="H742" s="2043">
        <v>1076369058</v>
      </c>
      <c r="I742" s="2043">
        <v>1031118351</v>
      </c>
    </row>
    <row r="743" spans="1:9">
      <c r="A743" s="2043" t="s">
        <v>1031</v>
      </c>
      <c r="B743" s="2043">
        <v>174453045</v>
      </c>
      <c r="C743" s="2043">
        <v>171122825</v>
      </c>
      <c r="D743" s="2043">
        <v>174453045</v>
      </c>
      <c r="E743" s="2043">
        <v>171122825</v>
      </c>
      <c r="F743" s="2043">
        <v>174453045</v>
      </c>
      <c r="G743" s="2043">
        <v>171122825</v>
      </c>
      <c r="H743" s="2043">
        <v>174453045</v>
      </c>
      <c r="I743" s="2043">
        <v>171122825</v>
      </c>
    </row>
    <row r="744" spans="1:9">
      <c r="A744" s="2043" t="s">
        <v>1032</v>
      </c>
      <c r="B744" s="2043">
        <v>1011170072</v>
      </c>
      <c r="C744" s="2043">
        <v>1005547884</v>
      </c>
      <c r="D744" s="2043">
        <v>1011170072</v>
      </c>
      <c r="E744" s="2043">
        <v>1005547884</v>
      </c>
      <c r="F744" s="2043">
        <v>1011170072</v>
      </c>
      <c r="G744" s="2043">
        <v>1005547884</v>
      </c>
      <c r="H744" s="2043">
        <v>1011170072</v>
      </c>
      <c r="I744" s="2043">
        <v>1005547884</v>
      </c>
    </row>
    <row r="745" spans="1:9">
      <c r="A745" s="2043" t="s">
        <v>2396</v>
      </c>
      <c r="B745" s="2043">
        <v>880436803</v>
      </c>
      <c r="C745" s="2043">
        <v>844871852</v>
      </c>
      <c r="D745" s="2043">
        <v>880436803</v>
      </c>
      <c r="E745" s="2043">
        <v>844871852</v>
      </c>
      <c r="F745" s="2043">
        <v>880436803</v>
      </c>
      <c r="G745" s="2043">
        <v>844871852</v>
      </c>
      <c r="H745" s="2043">
        <v>880436803</v>
      </c>
      <c r="I745" s="2043">
        <v>844871852</v>
      </c>
    </row>
    <row r="746" spans="1:9">
      <c r="A746" s="2043" t="s">
        <v>1277</v>
      </c>
      <c r="B746" s="2043">
        <v>314670275</v>
      </c>
      <c r="C746" s="2043">
        <v>306261298</v>
      </c>
      <c r="D746" s="2043">
        <v>314670275</v>
      </c>
      <c r="E746" s="2043">
        <v>306261298</v>
      </c>
      <c r="F746" s="2043">
        <v>314670275</v>
      </c>
      <c r="G746" s="2043">
        <v>306261298</v>
      </c>
      <c r="H746" s="2043">
        <v>314670275</v>
      </c>
      <c r="I746" s="2043">
        <v>306261298</v>
      </c>
    </row>
    <row r="747" spans="1:9">
      <c r="A747" s="2043" t="s">
        <v>1278</v>
      </c>
      <c r="B747" s="2043">
        <v>59043483</v>
      </c>
      <c r="C747" s="2043">
        <v>57546013</v>
      </c>
      <c r="D747" s="2043">
        <v>59043483</v>
      </c>
      <c r="E747" s="2043">
        <v>57546013</v>
      </c>
      <c r="F747" s="2043">
        <v>59043483</v>
      </c>
      <c r="G747" s="2043">
        <v>57546013</v>
      </c>
      <c r="H747" s="2043">
        <v>59043483</v>
      </c>
      <c r="I747" s="2043">
        <v>57546013</v>
      </c>
    </row>
    <row r="748" spans="1:9">
      <c r="A748" s="2043" t="s">
        <v>1279</v>
      </c>
      <c r="B748" s="2043">
        <v>540234145</v>
      </c>
      <c r="C748" s="2043">
        <v>537449735</v>
      </c>
      <c r="D748" s="2043">
        <v>530804014</v>
      </c>
      <c r="E748" s="2043">
        <v>528019604</v>
      </c>
      <c r="F748" s="2043">
        <v>540234145</v>
      </c>
      <c r="G748" s="2043">
        <v>537449735</v>
      </c>
      <c r="H748" s="2043">
        <v>530804014</v>
      </c>
      <c r="I748" s="2043">
        <v>528019604</v>
      </c>
    </row>
    <row r="749" spans="1:9">
      <c r="A749" s="2043" t="s">
        <v>1280</v>
      </c>
      <c r="B749" s="2043">
        <v>390020383</v>
      </c>
      <c r="C749" s="2043">
        <v>384230543</v>
      </c>
      <c r="D749" s="2043">
        <v>382171378</v>
      </c>
      <c r="E749" s="2043">
        <v>376381538</v>
      </c>
      <c r="F749" s="2043">
        <v>390020383</v>
      </c>
      <c r="G749" s="2043">
        <v>384230543</v>
      </c>
      <c r="H749" s="2043">
        <v>382171378</v>
      </c>
      <c r="I749" s="2043">
        <v>376381538</v>
      </c>
    </row>
    <row r="750" spans="1:9">
      <c r="A750" s="2043" t="s">
        <v>1281</v>
      </c>
      <c r="B750" s="2043">
        <v>3105330631</v>
      </c>
      <c r="C750" s="2043">
        <v>3066083411</v>
      </c>
      <c r="D750" s="2043">
        <v>3055824726</v>
      </c>
      <c r="E750" s="2043">
        <v>3016577506</v>
      </c>
      <c r="F750" s="2043">
        <v>3105330631</v>
      </c>
      <c r="G750" s="2043">
        <v>3066083411</v>
      </c>
      <c r="H750" s="2043">
        <v>3055824726</v>
      </c>
      <c r="I750" s="2043">
        <v>3016577506</v>
      </c>
    </row>
    <row r="751" spans="1:9">
      <c r="A751" s="2043" t="s">
        <v>2436</v>
      </c>
      <c r="B751" s="2043">
        <v>172907636</v>
      </c>
      <c r="C751" s="2043">
        <v>168167326</v>
      </c>
      <c r="D751" s="2043">
        <v>167596511</v>
      </c>
      <c r="E751" s="2043">
        <v>162856201</v>
      </c>
      <c r="F751" s="2043">
        <v>172907636</v>
      </c>
      <c r="G751" s="2043">
        <v>168167326</v>
      </c>
      <c r="H751" s="2043">
        <v>167596511</v>
      </c>
      <c r="I751" s="2043">
        <v>162856201</v>
      </c>
    </row>
    <row r="752" spans="1:9">
      <c r="A752" s="2043" t="s">
        <v>666</v>
      </c>
      <c r="B752" s="2043">
        <v>242915201</v>
      </c>
      <c r="C752" s="2043">
        <v>236169453</v>
      </c>
      <c r="D752" s="2043">
        <v>242915201</v>
      </c>
      <c r="E752" s="2043">
        <v>236169453</v>
      </c>
      <c r="F752" s="2043">
        <v>242915201</v>
      </c>
      <c r="G752" s="2043">
        <v>236169453</v>
      </c>
      <c r="H752" s="2043">
        <v>242915201</v>
      </c>
      <c r="I752" s="2043">
        <v>236169453</v>
      </c>
    </row>
    <row r="753" spans="1:9">
      <c r="A753" s="2043" t="s">
        <v>1421</v>
      </c>
      <c r="B753" s="2043">
        <v>1447877364</v>
      </c>
      <c r="C753" s="2043">
        <v>1397070126</v>
      </c>
      <c r="D753" s="2043">
        <v>1447877364</v>
      </c>
      <c r="E753" s="2043">
        <v>1397070126</v>
      </c>
      <c r="F753" s="2043">
        <v>1447877364</v>
      </c>
      <c r="G753" s="2043">
        <v>1397070126</v>
      </c>
      <c r="H753" s="2043">
        <v>1447877364</v>
      </c>
      <c r="I753" s="2043">
        <v>1397070126</v>
      </c>
    </row>
    <row r="754" spans="1:9">
      <c r="A754" s="2043" t="s">
        <v>1381</v>
      </c>
      <c r="B754" s="2043">
        <v>5058699263</v>
      </c>
      <c r="C754" s="2043">
        <v>4934703078</v>
      </c>
      <c r="D754" s="2043">
        <v>5058699263</v>
      </c>
      <c r="E754" s="2043">
        <v>4934703078</v>
      </c>
      <c r="F754" s="2043">
        <v>5058699263</v>
      </c>
      <c r="G754" s="2043">
        <v>4934703078</v>
      </c>
      <c r="H754" s="2043">
        <v>5058699263</v>
      </c>
      <c r="I754" s="2043">
        <v>4934703078</v>
      </c>
    </row>
    <row r="755" spans="1:9">
      <c r="A755" s="2043" t="s">
        <v>2395</v>
      </c>
      <c r="B755" s="2043">
        <v>468583406</v>
      </c>
      <c r="C755" s="2043">
        <v>457423250</v>
      </c>
      <c r="D755" s="2043">
        <v>468583406</v>
      </c>
      <c r="E755" s="2043">
        <v>457423250</v>
      </c>
      <c r="F755" s="2043">
        <v>468583406</v>
      </c>
      <c r="G755" s="2043">
        <v>457423250</v>
      </c>
      <c r="H755" s="2043">
        <v>468583406</v>
      </c>
      <c r="I755" s="2043">
        <v>457423250</v>
      </c>
    </row>
    <row r="756" spans="1:9">
      <c r="A756" s="2043" t="s">
        <v>1307</v>
      </c>
      <c r="B756" s="2043">
        <v>4138531764</v>
      </c>
      <c r="C756" s="2043">
        <v>4064470096</v>
      </c>
      <c r="D756" s="2043">
        <v>4138531764</v>
      </c>
      <c r="E756" s="2043">
        <v>4064470096</v>
      </c>
      <c r="F756" s="2043">
        <v>4138531764</v>
      </c>
      <c r="G756" s="2043">
        <v>4064470096</v>
      </c>
      <c r="H756" s="2043">
        <v>4138531764</v>
      </c>
      <c r="I756" s="2043">
        <v>4064470096</v>
      </c>
    </row>
    <row r="757" spans="1:9">
      <c r="A757" s="2043" t="s">
        <v>194</v>
      </c>
      <c r="B757" s="2043">
        <v>421753480</v>
      </c>
      <c r="C757" s="2043">
        <v>409594074</v>
      </c>
      <c r="D757" s="2043">
        <v>421753480</v>
      </c>
      <c r="E757" s="2043">
        <v>409594074</v>
      </c>
      <c r="F757" s="2043">
        <v>421753480</v>
      </c>
      <c r="G757" s="2043">
        <v>409594074</v>
      </c>
      <c r="H757" s="2043">
        <v>421753480</v>
      </c>
      <c r="I757" s="2043">
        <v>409594074</v>
      </c>
    </row>
    <row r="758" spans="1:9">
      <c r="A758" s="2043" t="s">
        <v>1773</v>
      </c>
      <c r="B758" s="2043">
        <v>787648675</v>
      </c>
      <c r="C758" s="2043">
        <v>771092895</v>
      </c>
      <c r="D758" s="2043">
        <v>787648675</v>
      </c>
      <c r="E758" s="2043">
        <v>771092895</v>
      </c>
      <c r="F758" s="2043">
        <v>787648675</v>
      </c>
      <c r="G758" s="2043">
        <v>771092895</v>
      </c>
      <c r="H758" s="2043">
        <v>787648675</v>
      </c>
      <c r="I758" s="2043">
        <v>771092895</v>
      </c>
    </row>
    <row r="759" spans="1:9">
      <c r="A759" s="2043" t="s">
        <v>1542</v>
      </c>
      <c r="B759" s="2043">
        <v>201741271</v>
      </c>
      <c r="C759" s="2043">
        <v>197541276</v>
      </c>
      <c r="D759" s="2043">
        <v>201741271</v>
      </c>
      <c r="E759" s="2043">
        <v>197541276</v>
      </c>
      <c r="F759" s="2043">
        <v>201741271</v>
      </c>
      <c r="G759" s="2043">
        <v>197541276</v>
      </c>
      <c r="H759" s="2043">
        <v>201741271</v>
      </c>
      <c r="I759" s="2043">
        <v>197541276</v>
      </c>
    </row>
    <row r="760" spans="1:9">
      <c r="A760" s="2043" t="s">
        <v>1543</v>
      </c>
      <c r="B760" s="2043">
        <v>120130245</v>
      </c>
      <c r="C760" s="2043">
        <v>117098434</v>
      </c>
      <c r="D760" s="2043">
        <v>120130245</v>
      </c>
      <c r="E760" s="2043">
        <v>117098434</v>
      </c>
      <c r="F760" s="2043">
        <v>140516511</v>
      </c>
      <c r="G760" s="2043">
        <v>137484700</v>
      </c>
      <c r="H760" s="2043">
        <v>140516511</v>
      </c>
      <c r="I760" s="2043">
        <v>137484700</v>
      </c>
    </row>
    <row r="761" spans="1:9">
      <c r="A761" s="2043" t="s">
        <v>1544</v>
      </c>
      <c r="B761" s="2043">
        <v>178606457</v>
      </c>
      <c r="C761" s="2043">
        <v>174543654</v>
      </c>
      <c r="D761" s="2043">
        <v>178606457</v>
      </c>
      <c r="E761" s="2043">
        <v>174543654</v>
      </c>
      <c r="F761" s="2043">
        <v>178606457</v>
      </c>
      <c r="G761" s="2043">
        <v>174543654</v>
      </c>
      <c r="H761" s="2043">
        <v>178606457</v>
      </c>
      <c r="I761" s="2043">
        <v>174543654</v>
      </c>
    </row>
    <row r="762" spans="1:9">
      <c r="A762" s="2043" t="s">
        <v>1545</v>
      </c>
      <c r="B762" s="2043">
        <v>417071669</v>
      </c>
      <c r="C762" s="2043">
        <v>409272757</v>
      </c>
      <c r="D762" s="2043">
        <v>417071669</v>
      </c>
      <c r="E762" s="2043">
        <v>409272757</v>
      </c>
      <c r="F762" s="2043">
        <v>556867389</v>
      </c>
      <c r="G762" s="2043">
        <v>549068477</v>
      </c>
      <c r="H762" s="2043">
        <v>556867389</v>
      </c>
      <c r="I762" s="2043">
        <v>549068477</v>
      </c>
    </row>
    <row r="763" spans="1:9">
      <c r="A763" s="2043" t="s">
        <v>1546</v>
      </c>
      <c r="B763" s="2043">
        <v>64450656</v>
      </c>
      <c r="C763" s="2043">
        <v>63405208</v>
      </c>
      <c r="D763" s="2043">
        <v>64450656</v>
      </c>
      <c r="E763" s="2043">
        <v>63405208</v>
      </c>
      <c r="F763" s="2043">
        <v>64450656</v>
      </c>
      <c r="G763" s="2043">
        <v>63405208</v>
      </c>
      <c r="H763" s="2043">
        <v>64450656</v>
      </c>
      <c r="I763" s="2043">
        <v>63405208</v>
      </c>
    </row>
    <row r="764" spans="1:9">
      <c r="A764" s="2043" t="s">
        <v>1770</v>
      </c>
      <c r="B764" s="2043">
        <v>748508436</v>
      </c>
      <c r="C764" s="2043">
        <v>747906616</v>
      </c>
      <c r="D764" s="2043">
        <v>748085461</v>
      </c>
      <c r="E764" s="2043">
        <v>747483641</v>
      </c>
      <c r="F764" s="2043">
        <v>748508436</v>
      </c>
      <c r="G764" s="2043">
        <v>747906616</v>
      </c>
      <c r="H764" s="2043">
        <v>748085461</v>
      </c>
      <c r="I764" s="2043">
        <v>747483641</v>
      </c>
    </row>
    <row r="765" spans="1:9">
      <c r="A765" s="2043" t="s">
        <v>2178</v>
      </c>
      <c r="B765" s="2043">
        <v>2344666252</v>
      </c>
      <c r="C765" s="2043">
        <v>2321785382</v>
      </c>
      <c r="D765" s="2043">
        <v>2323957242</v>
      </c>
      <c r="E765" s="2043">
        <v>2301076372</v>
      </c>
      <c r="F765" s="2043">
        <v>2550842392</v>
      </c>
      <c r="G765" s="2043">
        <v>2527961522</v>
      </c>
      <c r="H765" s="2043">
        <v>2530133382</v>
      </c>
      <c r="I765" s="2043">
        <v>2507252512</v>
      </c>
    </row>
    <row r="766" spans="1:9">
      <c r="A766" s="2043" t="s">
        <v>2167</v>
      </c>
      <c r="B766" s="2043">
        <v>1162162509</v>
      </c>
      <c r="C766" s="2043">
        <v>1159155309</v>
      </c>
      <c r="D766" s="2043">
        <v>1159950569</v>
      </c>
      <c r="E766" s="2043">
        <v>1156943369</v>
      </c>
      <c r="F766" s="2043">
        <v>1538510509</v>
      </c>
      <c r="G766" s="2043">
        <v>1535503309</v>
      </c>
      <c r="H766" s="2043">
        <v>1536298569</v>
      </c>
      <c r="I766" s="2043">
        <v>1533291369</v>
      </c>
    </row>
    <row r="767" spans="1:9">
      <c r="A767" s="2043" t="s">
        <v>1226</v>
      </c>
      <c r="B767" s="2043">
        <v>259325033</v>
      </c>
      <c r="C767" s="2043">
        <v>254956260</v>
      </c>
      <c r="D767" s="2043">
        <v>254778830</v>
      </c>
      <c r="E767" s="2043">
        <v>250410057</v>
      </c>
      <c r="F767" s="2043">
        <v>259325033</v>
      </c>
      <c r="G767" s="2043">
        <v>254956260</v>
      </c>
      <c r="H767" s="2043">
        <v>254778830</v>
      </c>
      <c r="I767" s="2043">
        <v>250410057</v>
      </c>
    </row>
    <row r="768" spans="1:9">
      <c r="A768" s="2043" t="s">
        <v>651</v>
      </c>
      <c r="B768" s="2043">
        <v>126483249</v>
      </c>
      <c r="C768" s="2043">
        <v>121559652</v>
      </c>
      <c r="D768" s="2043">
        <v>126483249</v>
      </c>
      <c r="E768" s="2043">
        <v>121559652</v>
      </c>
      <c r="F768" s="2043">
        <v>126483249</v>
      </c>
      <c r="G768" s="2043">
        <v>121559652</v>
      </c>
      <c r="H768" s="2043">
        <v>126483249</v>
      </c>
      <c r="I768" s="2043">
        <v>121559652</v>
      </c>
    </row>
    <row r="769" spans="1:9">
      <c r="A769" s="2043" t="s">
        <v>2407</v>
      </c>
      <c r="B769" s="2043">
        <v>414129438</v>
      </c>
      <c r="C769" s="2043">
        <v>405009941</v>
      </c>
      <c r="D769" s="2043">
        <v>405604106</v>
      </c>
      <c r="E769" s="2043">
        <v>396484609</v>
      </c>
      <c r="F769" s="2043">
        <v>610216174</v>
      </c>
      <c r="G769" s="2043">
        <v>601096677</v>
      </c>
      <c r="H769" s="2043">
        <v>601690842</v>
      </c>
      <c r="I769" s="2043">
        <v>592571345</v>
      </c>
    </row>
    <row r="770" spans="1:9">
      <c r="A770" s="2043" t="s">
        <v>652</v>
      </c>
      <c r="B770" s="2043">
        <v>100009489</v>
      </c>
      <c r="C770" s="2043">
        <v>97459808</v>
      </c>
      <c r="D770" s="2043">
        <v>100009489</v>
      </c>
      <c r="E770" s="2043">
        <v>97459808</v>
      </c>
      <c r="F770" s="2043">
        <v>100009489</v>
      </c>
      <c r="G770" s="2043">
        <v>97459808</v>
      </c>
      <c r="H770" s="2043">
        <v>100009489</v>
      </c>
      <c r="I770" s="2043">
        <v>97459808</v>
      </c>
    </row>
    <row r="771" spans="1:9">
      <c r="A771" s="2043" t="s">
        <v>1676</v>
      </c>
      <c r="B771" s="2043">
        <v>1783945049</v>
      </c>
      <c r="C771" s="2043">
        <v>1730804634</v>
      </c>
      <c r="D771" s="2043">
        <v>1783945049</v>
      </c>
      <c r="E771" s="2043">
        <v>1730804634</v>
      </c>
      <c r="F771" s="2043">
        <v>1783945049</v>
      </c>
      <c r="G771" s="2043">
        <v>1730804634</v>
      </c>
      <c r="H771" s="2043">
        <v>1783945049</v>
      </c>
      <c r="I771" s="2043">
        <v>1730804634</v>
      </c>
    </row>
    <row r="772" spans="1:9">
      <c r="A772" s="2043" t="s">
        <v>1142</v>
      </c>
      <c r="B772" s="2043">
        <v>619045985</v>
      </c>
      <c r="C772" s="2043">
        <v>600255486</v>
      </c>
      <c r="D772" s="2043">
        <v>619045985</v>
      </c>
      <c r="E772" s="2043">
        <v>600255486</v>
      </c>
      <c r="F772" s="2043">
        <v>619045985</v>
      </c>
      <c r="G772" s="2043">
        <v>600255486</v>
      </c>
      <c r="H772" s="2043">
        <v>619045985</v>
      </c>
      <c r="I772" s="2043">
        <v>600255486</v>
      </c>
    </row>
    <row r="773" spans="1:9">
      <c r="A773" s="2043" t="s">
        <v>1547</v>
      </c>
      <c r="B773" s="2043">
        <v>9411050689</v>
      </c>
      <c r="C773" s="2043">
        <v>9120325491</v>
      </c>
      <c r="D773" s="2043">
        <v>9411050689</v>
      </c>
      <c r="E773" s="2043">
        <v>9120325491</v>
      </c>
      <c r="F773" s="2043">
        <v>9411050689</v>
      </c>
      <c r="G773" s="2043">
        <v>9120325491</v>
      </c>
      <c r="H773" s="2043">
        <v>9411050689</v>
      </c>
      <c r="I773" s="2043">
        <v>9120325491</v>
      </c>
    </row>
    <row r="774" spans="1:9">
      <c r="A774" s="2043" t="s">
        <v>185</v>
      </c>
      <c r="B774" s="2043">
        <v>323581773</v>
      </c>
      <c r="C774" s="2043">
        <v>310749653</v>
      </c>
      <c r="D774" s="2043">
        <v>323581773</v>
      </c>
      <c r="E774" s="2043">
        <v>310749653</v>
      </c>
      <c r="F774" s="2043">
        <v>323581773</v>
      </c>
      <c r="G774" s="2043">
        <v>310749653</v>
      </c>
      <c r="H774" s="2043">
        <v>323581773</v>
      </c>
      <c r="I774" s="2043">
        <v>310749653</v>
      </c>
    </row>
    <row r="775" spans="1:9">
      <c r="A775" s="2043" t="s">
        <v>537</v>
      </c>
      <c r="B775" s="2043">
        <v>1308880087</v>
      </c>
      <c r="C775" s="2043">
        <v>1307437318</v>
      </c>
      <c r="D775" s="2043">
        <v>1308880087</v>
      </c>
      <c r="E775" s="2043">
        <v>1307437318</v>
      </c>
      <c r="F775" s="2043">
        <v>1308880087</v>
      </c>
      <c r="G775" s="2043">
        <v>1307437318</v>
      </c>
      <c r="H775" s="2043">
        <v>1308880087</v>
      </c>
      <c r="I775" s="2043">
        <v>1307437318</v>
      </c>
    </row>
    <row r="776" spans="1:9">
      <c r="A776" s="2043" t="s">
        <v>2059</v>
      </c>
      <c r="B776" s="2043">
        <v>1402268062</v>
      </c>
      <c r="C776" s="2043">
        <v>1393159137</v>
      </c>
      <c r="D776" s="2043">
        <v>1402268062</v>
      </c>
      <c r="E776" s="2043">
        <v>1393159137</v>
      </c>
      <c r="F776" s="2043">
        <v>1402268062</v>
      </c>
      <c r="G776" s="2043">
        <v>1393159137</v>
      </c>
      <c r="H776" s="2043">
        <v>1402268062</v>
      </c>
      <c r="I776" s="2043">
        <v>1393159137</v>
      </c>
    </row>
    <row r="777" spans="1:9">
      <c r="A777" s="2043" t="s">
        <v>1382</v>
      </c>
      <c r="B777" s="2043">
        <v>437763605</v>
      </c>
      <c r="C777" s="2043">
        <v>432609047</v>
      </c>
      <c r="D777" s="2043">
        <v>437763605</v>
      </c>
      <c r="E777" s="2043">
        <v>432609047</v>
      </c>
      <c r="F777" s="2043">
        <v>437763605</v>
      </c>
      <c r="G777" s="2043">
        <v>432609047</v>
      </c>
      <c r="H777" s="2043">
        <v>437763605</v>
      </c>
      <c r="I777" s="2043">
        <v>432609047</v>
      </c>
    </row>
    <row r="778" spans="1:9">
      <c r="A778" s="2043" t="s">
        <v>203</v>
      </c>
      <c r="B778" s="2043">
        <v>194991090</v>
      </c>
      <c r="C778" s="2043">
        <v>187052684</v>
      </c>
      <c r="D778" s="2043">
        <v>194991090</v>
      </c>
      <c r="E778" s="2043">
        <v>187052684</v>
      </c>
      <c r="F778" s="2043">
        <v>194991090</v>
      </c>
      <c r="G778" s="2043">
        <v>187052684</v>
      </c>
      <c r="H778" s="2043">
        <v>194991090</v>
      </c>
      <c r="I778" s="2043">
        <v>187052684</v>
      </c>
    </row>
    <row r="779" spans="1:9">
      <c r="A779" s="2043" t="s">
        <v>1214</v>
      </c>
      <c r="B779" s="2043">
        <v>714791527</v>
      </c>
      <c r="C779" s="2043">
        <v>688730507</v>
      </c>
      <c r="D779" s="2043">
        <v>714791527</v>
      </c>
      <c r="E779" s="2043">
        <v>688730507</v>
      </c>
      <c r="F779" s="2043">
        <v>714791527</v>
      </c>
      <c r="G779" s="2043">
        <v>688730507</v>
      </c>
      <c r="H779" s="2043">
        <v>714791527</v>
      </c>
      <c r="I779" s="2043">
        <v>688730507</v>
      </c>
    </row>
    <row r="780" spans="1:9">
      <c r="A780" s="2043" t="s">
        <v>1215</v>
      </c>
      <c r="B780" s="2043">
        <v>5358908414</v>
      </c>
      <c r="C780" s="2043">
        <v>5232098432</v>
      </c>
      <c r="D780" s="2043">
        <v>5358908414</v>
      </c>
      <c r="E780" s="2043">
        <v>5232098432</v>
      </c>
      <c r="F780" s="2043">
        <v>5449739724</v>
      </c>
      <c r="G780" s="2043">
        <v>5322929742</v>
      </c>
      <c r="H780" s="2043">
        <v>5449739724</v>
      </c>
      <c r="I780" s="2043">
        <v>5322929742</v>
      </c>
    </row>
    <row r="781" spans="1:9">
      <c r="A781" s="2043" t="s">
        <v>2381</v>
      </c>
      <c r="B781" s="2043">
        <v>4722712467</v>
      </c>
      <c r="C781" s="2043">
        <v>4717107344</v>
      </c>
      <c r="D781" s="2043">
        <v>4718284745</v>
      </c>
      <c r="E781" s="2043">
        <v>4712679622</v>
      </c>
      <c r="F781" s="2043">
        <v>4929388417</v>
      </c>
      <c r="G781" s="2043">
        <v>4923783294</v>
      </c>
      <c r="H781" s="2043">
        <v>4924960695</v>
      </c>
      <c r="I781" s="2043">
        <v>4919355572</v>
      </c>
    </row>
    <row r="782" spans="1:9">
      <c r="A782" s="2043" t="s">
        <v>747</v>
      </c>
      <c r="B782" s="2043">
        <v>422695548</v>
      </c>
      <c r="C782" s="2043">
        <v>417644043</v>
      </c>
      <c r="D782" s="2043">
        <v>422695548</v>
      </c>
      <c r="E782" s="2043">
        <v>417644043</v>
      </c>
      <c r="F782" s="2043">
        <v>422695548</v>
      </c>
      <c r="G782" s="2043">
        <v>417644043</v>
      </c>
      <c r="H782" s="2043">
        <v>422695548</v>
      </c>
      <c r="I782" s="2043">
        <v>417644043</v>
      </c>
    </row>
    <row r="783" spans="1:9">
      <c r="A783" s="2043" t="s">
        <v>105</v>
      </c>
      <c r="B783" s="2043">
        <v>56538340</v>
      </c>
      <c r="C783" s="2043">
        <v>52683920</v>
      </c>
      <c r="D783" s="2043">
        <v>56538340</v>
      </c>
      <c r="E783" s="2043">
        <v>52683920</v>
      </c>
      <c r="F783" s="2043">
        <v>56538340</v>
      </c>
      <c r="G783" s="2043">
        <v>52683920</v>
      </c>
      <c r="H783" s="2043">
        <v>56538340</v>
      </c>
      <c r="I783" s="2043">
        <v>52683920</v>
      </c>
    </row>
    <row r="784" spans="1:9">
      <c r="A784" s="2043" t="s">
        <v>2508</v>
      </c>
      <c r="B784" s="2043">
        <v>266956329</v>
      </c>
      <c r="C784" s="2043">
        <v>258197325</v>
      </c>
      <c r="D784" s="2043">
        <v>266956329</v>
      </c>
      <c r="E784" s="2043">
        <v>258197325</v>
      </c>
      <c r="F784" s="2043">
        <v>266956329</v>
      </c>
      <c r="G784" s="2043">
        <v>258197325</v>
      </c>
      <c r="H784" s="2043">
        <v>266956329</v>
      </c>
      <c r="I784" s="2043">
        <v>258197325</v>
      </c>
    </row>
    <row r="785" spans="1:9">
      <c r="A785" s="2043" t="s">
        <v>2151</v>
      </c>
      <c r="B785" s="2043">
        <v>242228348</v>
      </c>
      <c r="C785" s="2043">
        <v>229993706</v>
      </c>
      <c r="D785" s="2043">
        <v>242228348</v>
      </c>
      <c r="E785" s="2043">
        <v>229993706</v>
      </c>
      <c r="F785" s="2043">
        <v>242228348</v>
      </c>
      <c r="G785" s="2043">
        <v>229993706</v>
      </c>
      <c r="H785" s="2043">
        <v>242228348</v>
      </c>
      <c r="I785" s="2043">
        <v>229993706</v>
      </c>
    </row>
    <row r="786" spans="1:9">
      <c r="A786" s="2043" t="s">
        <v>358</v>
      </c>
      <c r="B786" s="2043">
        <v>78886490</v>
      </c>
      <c r="C786" s="2043">
        <v>74083660</v>
      </c>
      <c r="D786" s="2043">
        <v>78886490</v>
      </c>
      <c r="E786" s="2043">
        <v>74083660</v>
      </c>
      <c r="F786" s="2043">
        <v>78886490</v>
      </c>
      <c r="G786" s="2043">
        <v>74083660</v>
      </c>
      <c r="H786" s="2043">
        <v>78886490</v>
      </c>
      <c r="I786" s="2043">
        <v>74083660</v>
      </c>
    </row>
    <row r="787" spans="1:9">
      <c r="A787" s="2043" t="s">
        <v>932</v>
      </c>
      <c r="B787" s="2043">
        <v>17581792245</v>
      </c>
      <c r="C787" s="2043">
        <v>17560633508</v>
      </c>
      <c r="D787" s="2043">
        <v>17581792245</v>
      </c>
      <c r="E787" s="2043">
        <v>17560633508</v>
      </c>
      <c r="F787" s="2043">
        <v>18738803665</v>
      </c>
      <c r="G787" s="2043">
        <v>18717644928</v>
      </c>
      <c r="H787" s="2043">
        <v>18738803665</v>
      </c>
      <c r="I787" s="2043">
        <v>18717644928</v>
      </c>
    </row>
    <row r="788" spans="1:9">
      <c r="A788" s="2043" t="s">
        <v>1620</v>
      </c>
      <c r="B788" s="2043">
        <v>686733650</v>
      </c>
      <c r="C788" s="2043">
        <v>685650113</v>
      </c>
      <c r="D788" s="2043">
        <v>686733650</v>
      </c>
      <c r="E788" s="2043">
        <v>685650113</v>
      </c>
      <c r="F788" s="2043">
        <v>686733650</v>
      </c>
      <c r="G788" s="2043">
        <v>685650113</v>
      </c>
      <c r="H788" s="2043">
        <v>686733650</v>
      </c>
      <c r="I788" s="2043">
        <v>685650113</v>
      </c>
    </row>
    <row r="789" spans="1:9">
      <c r="A789" s="2043" t="s">
        <v>654</v>
      </c>
      <c r="B789" s="2043">
        <v>265379328</v>
      </c>
      <c r="C789" s="2043">
        <v>263809028</v>
      </c>
      <c r="D789" s="2043">
        <v>264146193</v>
      </c>
      <c r="E789" s="2043">
        <v>262575893</v>
      </c>
      <c r="F789" s="2043">
        <v>265379328</v>
      </c>
      <c r="G789" s="2043">
        <v>263809028</v>
      </c>
      <c r="H789" s="2043">
        <v>264146193</v>
      </c>
      <c r="I789" s="2043">
        <v>262575893</v>
      </c>
    </row>
    <row r="790" spans="1:9">
      <c r="A790" s="2043" t="s">
        <v>655</v>
      </c>
      <c r="B790" s="2043">
        <v>298206591</v>
      </c>
      <c r="C790" s="2043">
        <v>292560641</v>
      </c>
      <c r="D790" s="2043">
        <v>298206591</v>
      </c>
      <c r="E790" s="2043">
        <v>292560641</v>
      </c>
      <c r="F790" s="2043">
        <v>298206591</v>
      </c>
      <c r="G790" s="2043">
        <v>292560641</v>
      </c>
      <c r="H790" s="2043">
        <v>298206591</v>
      </c>
      <c r="I790" s="2043">
        <v>292560641</v>
      </c>
    </row>
    <row r="791" spans="1:9">
      <c r="A791" s="2043" t="s">
        <v>656</v>
      </c>
      <c r="B791" s="2043">
        <v>419892512</v>
      </c>
      <c r="C791" s="2043">
        <v>412453973</v>
      </c>
      <c r="D791" s="2043">
        <v>419892512</v>
      </c>
      <c r="E791" s="2043">
        <v>412453973</v>
      </c>
      <c r="F791" s="2043">
        <v>419892512</v>
      </c>
      <c r="G791" s="2043">
        <v>412453973</v>
      </c>
      <c r="H791" s="2043">
        <v>419892512</v>
      </c>
      <c r="I791" s="2043">
        <v>412453973</v>
      </c>
    </row>
    <row r="792" spans="1:9">
      <c r="A792" s="2043" t="s">
        <v>1371</v>
      </c>
      <c r="B792" s="2043">
        <v>479476663</v>
      </c>
      <c r="C792" s="2043">
        <v>477370173</v>
      </c>
      <c r="D792" s="2043">
        <v>478390634</v>
      </c>
      <c r="E792" s="2043">
        <v>476284144</v>
      </c>
      <c r="F792" s="2043">
        <v>594275713</v>
      </c>
      <c r="G792" s="2043">
        <v>592169223</v>
      </c>
      <c r="H792" s="2043">
        <v>593189684</v>
      </c>
      <c r="I792" s="2043">
        <v>591083194</v>
      </c>
    </row>
    <row r="793" spans="1:9">
      <c r="A793" s="2043" t="s">
        <v>1372</v>
      </c>
      <c r="B793" s="2043">
        <v>284823056</v>
      </c>
      <c r="C793" s="2043">
        <v>279617143</v>
      </c>
      <c r="D793" s="2043">
        <v>284823056</v>
      </c>
      <c r="E793" s="2043">
        <v>279617143</v>
      </c>
      <c r="F793" s="2043">
        <v>284823056</v>
      </c>
      <c r="G793" s="2043">
        <v>279617143</v>
      </c>
      <c r="H793" s="2043">
        <v>284823056</v>
      </c>
      <c r="I793" s="2043">
        <v>279617143</v>
      </c>
    </row>
    <row r="794" spans="1:9">
      <c r="A794" s="2043" t="s">
        <v>1373</v>
      </c>
      <c r="B794" s="2043">
        <v>132977152</v>
      </c>
      <c r="C794" s="2043">
        <v>130250406</v>
      </c>
      <c r="D794" s="2043">
        <v>132977152</v>
      </c>
      <c r="E794" s="2043">
        <v>130250406</v>
      </c>
      <c r="F794" s="2043">
        <v>132977152</v>
      </c>
      <c r="G794" s="2043">
        <v>130250406</v>
      </c>
      <c r="H794" s="2043">
        <v>132977152</v>
      </c>
      <c r="I794" s="2043">
        <v>130250406</v>
      </c>
    </row>
    <row r="795" spans="1:9">
      <c r="A795" s="2043" t="s">
        <v>1374</v>
      </c>
      <c r="B795" s="2043">
        <v>1716241739</v>
      </c>
      <c r="C795" s="2043">
        <v>1703078109</v>
      </c>
      <c r="D795" s="2043">
        <v>1716241739</v>
      </c>
      <c r="E795" s="2043">
        <v>1703078109</v>
      </c>
      <c r="F795" s="2043">
        <v>1716241739</v>
      </c>
      <c r="G795" s="2043">
        <v>1703078109</v>
      </c>
      <c r="H795" s="2043">
        <v>1716241739</v>
      </c>
      <c r="I795" s="2043">
        <v>1703078109</v>
      </c>
    </row>
    <row r="796" spans="1:9">
      <c r="A796" s="2043" t="s">
        <v>1375</v>
      </c>
      <c r="B796" s="2043">
        <v>470209208</v>
      </c>
      <c r="C796" s="2043">
        <v>457233246</v>
      </c>
      <c r="D796" s="2043">
        <v>470209208</v>
      </c>
      <c r="E796" s="2043">
        <v>457233246</v>
      </c>
      <c r="F796" s="2043">
        <v>470209208</v>
      </c>
      <c r="G796" s="2043">
        <v>457233246</v>
      </c>
      <c r="H796" s="2043">
        <v>470209208</v>
      </c>
      <c r="I796" s="2043">
        <v>457233246</v>
      </c>
    </row>
    <row r="797" spans="1:9">
      <c r="A797" s="2043" t="s">
        <v>1376</v>
      </c>
      <c r="B797" s="2043">
        <v>113075039</v>
      </c>
      <c r="C797" s="2043">
        <v>112793502</v>
      </c>
      <c r="D797" s="2043">
        <v>113075039</v>
      </c>
      <c r="E797" s="2043">
        <v>112793502</v>
      </c>
      <c r="F797" s="2043">
        <v>113075039</v>
      </c>
      <c r="G797" s="2043">
        <v>112793502</v>
      </c>
      <c r="H797" s="2043">
        <v>113075039</v>
      </c>
      <c r="I797" s="2043">
        <v>112793502</v>
      </c>
    </row>
    <row r="798" spans="1:9">
      <c r="A798" s="2043" t="s">
        <v>1578</v>
      </c>
      <c r="B798" s="2043">
        <v>10459923877</v>
      </c>
      <c r="C798" s="2043">
        <v>10264155392</v>
      </c>
      <c r="D798" s="2043">
        <v>10459923877</v>
      </c>
      <c r="E798" s="2043">
        <v>10264155392</v>
      </c>
      <c r="F798" s="2043">
        <v>10459923877</v>
      </c>
      <c r="G798" s="2043">
        <v>10264155392</v>
      </c>
      <c r="H798" s="2043">
        <v>10459923877</v>
      </c>
      <c r="I798" s="2043">
        <v>10264155392</v>
      </c>
    </row>
    <row r="799" spans="1:9">
      <c r="A799" s="2043" t="s">
        <v>1712</v>
      </c>
      <c r="B799" s="2043">
        <v>2342406497</v>
      </c>
      <c r="C799" s="2043">
        <v>2280519123</v>
      </c>
      <c r="D799" s="2043">
        <v>2342406497</v>
      </c>
      <c r="E799" s="2043">
        <v>2280519123</v>
      </c>
      <c r="F799" s="2043">
        <v>2342406497</v>
      </c>
      <c r="G799" s="2043">
        <v>2280519123</v>
      </c>
      <c r="H799" s="2043">
        <v>2342406497</v>
      </c>
      <c r="I799" s="2043">
        <v>2280519123</v>
      </c>
    </row>
    <row r="800" spans="1:9">
      <c r="A800" s="2043" t="s">
        <v>1579</v>
      </c>
      <c r="B800" s="2043">
        <v>396659507</v>
      </c>
      <c r="C800" s="2043">
        <v>383524787</v>
      </c>
      <c r="D800" s="2043">
        <v>396659507</v>
      </c>
      <c r="E800" s="2043">
        <v>383524787</v>
      </c>
      <c r="F800" s="2043">
        <v>396659507</v>
      </c>
      <c r="G800" s="2043">
        <v>383524787</v>
      </c>
      <c r="H800" s="2043">
        <v>396659507</v>
      </c>
      <c r="I800" s="2043">
        <v>383524787</v>
      </c>
    </row>
    <row r="801" spans="1:9">
      <c r="A801" s="2043" t="s">
        <v>359</v>
      </c>
      <c r="B801" s="2043">
        <v>112841117</v>
      </c>
      <c r="C801" s="2043">
        <v>108531435</v>
      </c>
      <c r="D801" s="2043">
        <v>112841117</v>
      </c>
      <c r="E801" s="2043">
        <v>108531435</v>
      </c>
      <c r="F801" s="2043">
        <v>112841117</v>
      </c>
      <c r="G801" s="2043">
        <v>108531435</v>
      </c>
      <c r="H801" s="2043">
        <v>112841117</v>
      </c>
      <c r="I801" s="2043">
        <v>108531435</v>
      </c>
    </row>
    <row r="802" spans="1:9">
      <c r="A802" s="2043" t="s">
        <v>1112</v>
      </c>
      <c r="B802" s="2043">
        <v>253759448</v>
      </c>
      <c r="C802" s="2043">
        <v>245925455</v>
      </c>
      <c r="D802" s="2043">
        <v>253759448</v>
      </c>
      <c r="E802" s="2043">
        <v>245925455</v>
      </c>
      <c r="F802" s="2043">
        <v>253759448</v>
      </c>
      <c r="G802" s="2043">
        <v>245925455</v>
      </c>
      <c r="H802" s="2043">
        <v>253759448</v>
      </c>
      <c r="I802" s="2043">
        <v>245925455</v>
      </c>
    </row>
    <row r="803" spans="1:9">
      <c r="A803" s="2043" t="s">
        <v>360</v>
      </c>
      <c r="B803" s="2043">
        <v>13879836</v>
      </c>
      <c r="C803" s="2043">
        <v>13606086</v>
      </c>
      <c r="D803" s="2043">
        <v>13879836</v>
      </c>
      <c r="E803" s="2043">
        <v>13606086</v>
      </c>
      <c r="F803" s="2043">
        <v>13879836</v>
      </c>
      <c r="G803" s="2043">
        <v>13606086</v>
      </c>
      <c r="H803" s="2043">
        <v>13879836</v>
      </c>
      <c r="I803" s="2043">
        <v>13606086</v>
      </c>
    </row>
    <row r="804" spans="1:9">
      <c r="A804" s="2043" t="s">
        <v>1580</v>
      </c>
      <c r="B804" s="2043">
        <v>1642627868</v>
      </c>
      <c r="C804" s="2043">
        <v>1599482573</v>
      </c>
      <c r="D804" s="2043">
        <v>1584683863</v>
      </c>
      <c r="E804" s="2043">
        <v>1541538568</v>
      </c>
      <c r="F804" s="2043">
        <v>1642627868</v>
      </c>
      <c r="G804" s="2043">
        <v>1599482573</v>
      </c>
      <c r="H804" s="2043">
        <v>1584683863</v>
      </c>
      <c r="I804" s="2043">
        <v>1541538568</v>
      </c>
    </row>
    <row r="805" spans="1:9">
      <c r="A805" s="2043" t="s">
        <v>1581</v>
      </c>
      <c r="B805" s="2043">
        <v>101905221</v>
      </c>
      <c r="C805" s="2043">
        <v>98363601</v>
      </c>
      <c r="D805" s="2043">
        <v>98245131</v>
      </c>
      <c r="E805" s="2043">
        <v>94703511</v>
      </c>
      <c r="F805" s="2043">
        <v>101905221</v>
      </c>
      <c r="G805" s="2043">
        <v>98363601</v>
      </c>
      <c r="H805" s="2043">
        <v>98245131</v>
      </c>
      <c r="I805" s="2043">
        <v>94703511</v>
      </c>
    </row>
    <row r="806" spans="1:9">
      <c r="A806" s="2043" t="s">
        <v>1582</v>
      </c>
      <c r="B806" s="2043">
        <v>35277410</v>
      </c>
      <c r="C806" s="2043">
        <v>34060580</v>
      </c>
      <c r="D806" s="2043">
        <v>34118970</v>
      </c>
      <c r="E806" s="2043">
        <v>32902140</v>
      </c>
      <c r="F806" s="2043">
        <v>35277410</v>
      </c>
      <c r="G806" s="2043">
        <v>34060580</v>
      </c>
      <c r="H806" s="2043">
        <v>34118970</v>
      </c>
      <c r="I806" s="2043">
        <v>32902140</v>
      </c>
    </row>
    <row r="807" spans="1:9">
      <c r="A807" s="2043" t="s">
        <v>2330</v>
      </c>
      <c r="B807" s="2043">
        <v>67788506</v>
      </c>
      <c r="C807" s="2043">
        <v>64247456</v>
      </c>
      <c r="D807" s="2043">
        <v>63705706</v>
      </c>
      <c r="E807" s="2043">
        <v>60164656</v>
      </c>
      <c r="F807" s="2043">
        <v>67788506</v>
      </c>
      <c r="G807" s="2043">
        <v>64247456</v>
      </c>
      <c r="H807" s="2043">
        <v>63705706</v>
      </c>
      <c r="I807" s="2043">
        <v>60164656</v>
      </c>
    </row>
    <row r="808" spans="1:9">
      <c r="A808" s="2043" t="s">
        <v>2331</v>
      </c>
      <c r="B808" s="2043">
        <v>84679859</v>
      </c>
      <c r="C808" s="2043">
        <v>79609114</v>
      </c>
      <c r="D808" s="2043">
        <v>79968524</v>
      </c>
      <c r="E808" s="2043">
        <v>74897779</v>
      </c>
      <c r="F808" s="2043">
        <v>84679859</v>
      </c>
      <c r="G808" s="2043">
        <v>79609114</v>
      </c>
      <c r="H808" s="2043">
        <v>79968524</v>
      </c>
      <c r="I808" s="2043">
        <v>74897779</v>
      </c>
    </row>
    <row r="809" spans="1:9">
      <c r="A809" s="2043" t="s">
        <v>1583</v>
      </c>
      <c r="B809" s="2043">
        <v>940960700</v>
      </c>
      <c r="C809" s="2043">
        <v>928258120</v>
      </c>
      <c r="D809" s="2043">
        <v>922324145</v>
      </c>
      <c r="E809" s="2043">
        <v>909621565</v>
      </c>
      <c r="F809" s="2043">
        <v>940960700</v>
      </c>
      <c r="G809" s="2043">
        <v>928258120</v>
      </c>
      <c r="H809" s="2043">
        <v>922324145</v>
      </c>
      <c r="I809" s="2043">
        <v>909621565</v>
      </c>
    </row>
    <row r="810" spans="1:9">
      <c r="A810" s="2043" t="s">
        <v>176</v>
      </c>
      <c r="B810" s="2043">
        <v>151533065</v>
      </c>
      <c r="C810" s="2043">
        <v>147223851</v>
      </c>
      <c r="D810" s="2043">
        <v>146554113</v>
      </c>
      <c r="E810" s="2043">
        <v>142244899</v>
      </c>
      <c r="F810" s="2043">
        <v>151533065</v>
      </c>
      <c r="G810" s="2043">
        <v>147223851</v>
      </c>
      <c r="H810" s="2043">
        <v>146554113</v>
      </c>
      <c r="I810" s="2043">
        <v>142244899</v>
      </c>
    </row>
    <row r="811" spans="1:9">
      <c r="A811" s="2043" t="s">
        <v>1584</v>
      </c>
      <c r="B811" s="2043">
        <v>390798155</v>
      </c>
      <c r="C811" s="2043">
        <v>380145989</v>
      </c>
      <c r="D811" s="2043">
        <v>379868460</v>
      </c>
      <c r="E811" s="2043">
        <v>369216294</v>
      </c>
      <c r="F811" s="2043">
        <v>390798155</v>
      </c>
      <c r="G811" s="2043">
        <v>380145989</v>
      </c>
      <c r="H811" s="2043">
        <v>379868460</v>
      </c>
      <c r="I811" s="2043">
        <v>369216294</v>
      </c>
    </row>
    <row r="812" spans="1:9">
      <c r="A812" s="2043" t="s">
        <v>1310</v>
      </c>
      <c r="B812" s="2043">
        <v>634814746</v>
      </c>
      <c r="C812" s="2043">
        <v>613192836</v>
      </c>
      <c r="D812" s="2043">
        <v>634814746</v>
      </c>
      <c r="E812" s="2043">
        <v>613192836</v>
      </c>
      <c r="F812" s="2043">
        <v>634814746</v>
      </c>
      <c r="G812" s="2043">
        <v>613192836</v>
      </c>
      <c r="H812" s="2043">
        <v>634814746</v>
      </c>
      <c r="I812" s="2043">
        <v>613192836</v>
      </c>
    </row>
    <row r="813" spans="1:9">
      <c r="A813" s="2043" t="s">
        <v>1311</v>
      </c>
      <c r="B813" s="2043">
        <v>160923976</v>
      </c>
      <c r="C813" s="2043">
        <v>155384144</v>
      </c>
      <c r="D813" s="2043">
        <v>156633780</v>
      </c>
      <c r="E813" s="2043">
        <v>151093948</v>
      </c>
      <c r="F813" s="2043">
        <v>160923976</v>
      </c>
      <c r="G813" s="2043">
        <v>155384144</v>
      </c>
      <c r="H813" s="2043">
        <v>156633780</v>
      </c>
      <c r="I813" s="2043">
        <v>151093948</v>
      </c>
    </row>
    <row r="814" spans="1:9">
      <c r="A814" s="2043" t="s">
        <v>1312</v>
      </c>
      <c r="B814" s="2043">
        <v>449410037</v>
      </c>
      <c r="C814" s="2043">
        <v>441066467</v>
      </c>
      <c r="D814" s="2043">
        <v>449410037</v>
      </c>
      <c r="E814" s="2043">
        <v>441066467</v>
      </c>
      <c r="F814" s="2043">
        <v>449410037</v>
      </c>
      <c r="G814" s="2043">
        <v>441066467</v>
      </c>
      <c r="H814" s="2043">
        <v>449410037</v>
      </c>
      <c r="I814" s="2043">
        <v>441066467</v>
      </c>
    </row>
    <row r="815" spans="1:9">
      <c r="A815" s="2043" t="s">
        <v>1540</v>
      </c>
      <c r="B815" s="2043">
        <v>698834876</v>
      </c>
      <c r="C815" s="2043">
        <v>693379686</v>
      </c>
      <c r="D815" s="2043">
        <v>698834876</v>
      </c>
      <c r="E815" s="2043">
        <v>693379686</v>
      </c>
      <c r="F815" s="2043">
        <v>698834876</v>
      </c>
      <c r="G815" s="2043">
        <v>693379686</v>
      </c>
      <c r="H815" s="2043">
        <v>698834876</v>
      </c>
      <c r="I815" s="2043">
        <v>693379686</v>
      </c>
    </row>
    <row r="816" spans="1:9">
      <c r="A816" s="2043" t="s">
        <v>1541</v>
      </c>
      <c r="B816" s="2043">
        <v>1415193042</v>
      </c>
      <c r="C816" s="2043">
        <v>1380680069</v>
      </c>
      <c r="D816" s="2043">
        <v>1415193042</v>
      </c>
      <c r="E816" s="2043">
        <v>1380680069</v>
      </c>
      <c r="F816" s="2043">
        <v>1415193042</v>
      </c>
      <c r="G816" s="2043">
        <v>1380680069</v>
      </c>
      <c r="H816" s="2043">
        <v>1415193042</v>
      </c>
      <c r="I816" s="2043">
        <v>1380680069</v>
      </c>
    </row>
    <row r="817" spans="1:9">
      <c r="A817" s="2043" t="s">
        <v>2294</v>
      </c>
      <c r="B817" s="2043">
        <v>488688684</v>
      </c>
      <c r="C817" s="2043">
        <v>474868655</v>
      </c>
      <c r="D817" s="2043">
        <v>488688684</v>
      </c>
      <c r="E817" s="2043">
        <v>474868655</v>
      </c>
      <c r="F817" s="2043">
        <v>488688684</v>
      </c>
      <c r="G817" s="2043">
        <v>474868655</v>
      </c>
      <c r="H817" s="2043">
        <v>488688684</v>
      </c>
      <c r="I817" s="2043">
        <v>474868655</v>
      </c>
    </row>
    <row r="818" spans="1:9">
      <c r="A818" s="2043" t="s">
        <v>1144</v>
      </c>
      <c r="B818" s="2043">
        <v>796112518</v>
      </c>
      <c r="C818" s="2043">
        <v>776001334</v>
      </c>
      <c r="D818" s="2043">
        <v>796112518</v>
      </c>
      <c r="E818" s="2043">
        <v>776001334</v>
      </c>
      <c r="F818" s="2043">
        <v>796112518</v>
      </c>
      <c r="G818" s="2043">
        <v>776001334</v>
      </c>
      <c r="H818" s="2043">
        <v>796112518</v>
      </c>
      <c r="I818" s="2043">
        <v>776001334</v>
      </c>
    </row>
    <row r="819" spans="1:9">
      <c r="A819" s="2043" t="s">
        <v>2295</v>
      </c>
      <c r="B819" s="2043">
        <v>2508943794</v>
      </c>
      <c r="C819" s="2043">
        <v>2466934759</v>
      </c>
      <c r="D819" s="2043">
        <v>2508943794</v>
      </c>
      <c r="E819" s="2043">
        <v>2466934759</v>
      </c>
      <c r="F819" s="2043">
        <v>4742733074</v>
      </c>
      <c r="G819" s="2043">
        <v>4700724039</v>
      </c>
      <c r="H819" s="2043">
        <v>4742733074</v>
      </c>
      <c r="I819" s="2043">
        <v>4700724039</v>
      </c>
    </row>
    <row r="820" spans="1:9">
      <c r="A820" s="2043" t="s">
        <v>1368</v>
      </c>
      <c r="B820" s="2043">
        <v>2078618962</v>
      </c>
      <c r="C820" s="2043">
        <v>2058744894</v>
      </c>
      <c r="D820" s="2043">
        <v>2078618962</v>
      </c>
      <c r="E820" s="2043">
        <v>2058744894</v>
      </c>
      <c r="F820" s="2043">
        <v>3447569702</v>
      </c>
      <c r="G820" s="2043">
        <v>3427695634</v>
      </c>
      <c r="H820" s="2043">
        <v>3447569702</v>
      </c>
      <c r="I820" s="2043">
        <v>3427695634</v>
      </c>
    </row>
    <row r="821" spans="1:9">
      <c r="A821" s="2043" t="s">
        <v>2386</v>
      </c>
      <c r="B821" s="2043">
        <v>385413861</v>
      </c>
      <c r="C821" s="2043">
        <v>369858354</v>
      </c>
      <c r="D821" s="2043">
        <v>385413861</v>
      </c>
      <c r="E821" s="2043">
        <v>369858354</v>
      </c>
      <c r="F821" s="2043">
        <v>385413861</v>
      </c>
      <c r="G821" s="2043">
        <v>369858354</v>
      </c>
      <c r="H821" s="2043">
        <v>385413861</v>
      </c>
      <c r="I821" s="2043">
        <v>369858354</v>
      </c>
    </row>
    <row r="822" spans="1:9">
      <c r="A822" s="2043" t="s">
        <v>1326</v>
      </c>
      <c r="B822" s="2043">
        <v>342602684</v>
      </c>
      <c r="C822" s="2043">
        <v>331992597</v>
      </c>
      <c r="D822" s="2043">
        <v>342602684</v>
      </c>
      <c r="E822" s="2043">
        <v>331992597</v>
      </c>
      <c r="F822" s="2043">
        <v>342602684</v>
      </c>
      <c r="G822" s="2043">
        <v>331992597</v>
      </c>
      <c r="H822" s="2043">
        <v>342602684</v>
      </c>
      <c r="I822" s="2043">
        <v>331992597</v>
      </c>
    </row>
    <row r="823" spans="1:9">
      <c r="A823" s="2043" t="s">
        <v>1241</v>
      </c>
      <c r="B823" s="2043">
        <v>708442581</v>
      </c>
      <c r="C823" s="2043">
        <v>691841816</v>
      </c>
      <c r="D823" s="2043">
        <v>708442581</v>
      </c>
      <c r="E823" s="2043">
        <v>691841816</v>
      </c>
      <c r="F823" s="2043">
        <v>708442581</v>
      </c>
      <c r="G823" s="2043">
        <v>691841816</v>
      </c>
      <c r="H823" s="2043">
        <v>708442581</v>
      </c>
      <c r="I823" s="2043">
        <v>691841816</v>
      </c>
    </row>
    <row r="824" spans="1:9">
      <c r="A824" s="2043" t="s">
        <v>177</v>
      </c>
      <c r="B824" s="2043">
        <v>462491347</v>
      </c>
      <c r="C824" s="2043">
        <v>453252657</v>
      </c>
      <c r="D824" s="2043">
        <v>462491347</v>
      </c>
      <c r="E824" s="2043">
        <v>453252657</v>
      </c>
      <c r="F824" s="2043">
        <v>578276097</v>
      </c>
      <c r="G824" s="2043">
        <v>569037407</v>
      </c>
      <c r="H824" s="2043">
        <v>578276097</v>
      </c>
      <c r="I824" s="2043">
        <v>569037407</v>
      </c>
    </row>
    <row r="825" spans="1:9">
      <c r="A825" s="2043" t="s">
        <v>461</v>
      </c>
      <c r="B825" s="2043">
        <v>328501870</v>
      </c>
      <c r="C825" s="2043">
        <v>318963460</v>
      </c>
      <c r="D825" s="2043">
        <v>328501870</v>
      </c>
      <c r="E825" s="2043">
        <v>318963460</v>
      </c>
      <c r="F825" s="2043">
        <v>328501870</v>
      </c>
      <c r="G825" s="2043">
        <v>318963460</v>
      </c>
      <c r="H825" s="2043">
        <v>328501870</v>
      </c>
      <c r="I825" s="2043">
        <v>318963460</v>
      </c>
    </row>
    <row r="826" spans="1:9">
      <c r="A826" s="2043" t="s">
        <v>1369</v>
      </c>
      <c r="B826" s="2043">
        <v>95305486</v>
      </c>
      <c r="C826" s="2043">
        <v>92972026</v>
      </c>
      <c r="D826" s="2043">
        <v>95305486</v>
      </c>
      <c r="E826" s="2043">
        <v>92972026</v>
      </c>
      <c r="F826" s="2043">
        <v>95305486</v>
      </c>
      <c r="G826" s="2043">
        <v>92972026</v>
      </c>
      <c r="H826" s="2043">
        <v>95305486</v>
      </c>
      <c r="I826" s="2043">
        <v>92972026</v>
      </c>
    </row>
    <row r="827" spans="1:9">
      <c r="A827" s="2043" t="s">
        <v>1370</v>
      </c>
      <c r="B827" s="2043">
        <v>69006516</v>
      </c>
      <c r="C827" s="2043">
        <v>67439709</v>
      </c>
      <c r="D827" s="2043">
        <v>69006516</v>
      </c>
      <c r="E827" s="2043">
        <v>67439709</v>
      </c>
      <c r="F827" s="2043">
        <v>69006516</v>
      </c>
      <c r="G827" s="2043">
        <v>67439709</v>
      </c>
      <c r="H827" s="2043">
        <v>69006516</v>
      </c>
      <c r="I827" s="2043">
        <v>67439709</v>
      </c>
    </row>
    <row r="828" spans="1:9">
      <c r="A828" s="2043" t="s">
        <v>1301</v>
      </c>
      <c r="B828" s="2043">
        <v>295140237</v>
      </c>
      <c r="C828" s="2043">
        <v>289862254</v>
      </c>
      <c r="D828" s="2043">
        <v>291259423</v>
      </c>
      <c r="E828" s="2043">
        <v>285981440</v>
      </c>
      <c r="F828" s="2043">
        <v>295140237</v>
      </c>
      <c r="G828" s="2043">
        <v>289862254</v>
      </c>
      <c r="H828" s="2043">
        <v>291259423</v>
      </c>
      <c r="I828" s="2043">
        <v>285981440</v>
      </c>
    </row>
    <row r="829" spans="1:9">
      <c r="A829" s="2043" t="s">
        <v>1302</v>
      </c>
      <c r="B829" s="2043">
        <v>298738601</v>
      </c>
      <c r="C829" s="2043">
        <v>296968706</v>
      </c>
      <c r="D829" s="2043">
        <v>298738601</v>
      </c>
      <c r="E829" s="2043">
        <v>296968706</v>
      </c>
      <c r="F829" s="2043">
        <v>298738601</v>
      </c>
      <c r="G829" s="2043">
        <v>296968706</v>
      </c>
      <c r="H829" s="2043">
        <v>298738601</v>
      </c>
      <c r="I829" s="2043">
        <v>296968706</v>
      </c>
    </row>
    <row r="830" spans="1:9">
      <c r="A830" s="2043" t="s">
        <v>1303</v>
      </c>
      <c r="B830" s="2043">
        <v>2727959872</v>
      </c>
      <c r="C830" s="2043">
        <v>2697337900</v>
      </c>
      <c r="D830" s="2043">
        <v>2727959872</v>
      </c>
      <c r="E830" s="2043">
        <v>2697337900</v>
      </c>
      <c r="F830" s="2043">
        <v>3088332272</v>
      </c>
      <c r="G830" s="2043">
        <v>3057710300</v>
      </c>
      <c r="H830" s="2043">
        <v>3088332272</v>
      </c>
      <c r="I830" s="2043">
        <v>3057710300</v>
      </c>
    </row>
    <row r="831" spans="1:9">
      <c r="A831" s="2043" t="s">
        <v>1387</v>
      </c>
      <c r="B831" s="2043">
        <v>153259694</v>
      </c>
      <c r="C831" s="2043">
        <v>151440619</v>
      </c>
      <c r="D831" s="2043">
        <v>153259694</v>
      </c>
      <c r="E831" s="2043">
        <v>151440619</v>
      </c>
      <c r="F831" s="2043">
        <v>153259694</v>
      </c>
      <c r="G831" s="2043">
        <v>151440619</v>
      </c>
      <c r="H831" s="2043">
        <v>153259694</v>
      </c>
      <c r="I831" s="2043">
        <v>151440619</v>
      </c>
    </row>
    <row r="832" spans="1:9">
      <c r="A832" s="2043" t="s">
        <v>908</v>
      </c>
      <c r="B832" s="2043">
        <v>355653761</v>
      </c>
      <c r="C832" s="2043">
        <v>349445464</v>
      </c>
      <c r="D832" s="2043">
        <v>355653761</v>
      </c>
      <c r="E832" s="2043">
        <v>349445464</v>
      </c>
      <c r="F832" s="2043">
        <v>355653761</v>
      </c>
      <c r="G832" s="2043">
        <v>349445464</v>
      </c>
      <c r="H832" s="2043">
        <v>355653761</v>
      </c>
      <c r="I832" s="2043">
        <v>349445464</v>
      </c>
    </row>
    <row r="833" spans="1:9">
      <c r="A833" s="2043" t="s">
        <v>909</v>
      </c>
      <c r="B833" s="2043">
        <v>61136870</v>
      </c>
      <c r="C833" s="2043">
        <v>60280383</v>
      </c>
      <c r="D833" s="2043">
        <v>61136870</v>
      </c>
      <c r="E833" s="2043">
        <v>60280383</v>
      </c>
      <c r="F833" s="2043">
        <v>61136870</v>
      </c>
      <c r="G833" s="2043">
        <v>60280383</v>
      </c>
      <c r="H833" s="2043">
        <v>61136870</v>
      </c>
      <c r="I833" s="2043">
        <v>60280383</v>
      </c>
    </row>
    <row r="834" spans="1:9">
      <c r="A834" s="2043" t="s">
        <v>910</v>
      </c>
      <c r="B834" s="2043">
        <v>592919230</v>
      </c>
      <c r="C834" s="2043">
        <v>576376935</v>
      </c>
      <c r="D834" s="2043">
        <v>574018081</v>
      </c>
      <c r="E834" s="2043">
        <v>557475786</v>
      </c>
      <c r="F834" s="2043">
        <v>592919230</v>
      </c>
      <c r="G834" s="2043">
        <v>576376935</v>
      </c>
      <c r="H834" s="2043">
        <v>574018081</v>
      </c>
      <c r="I834" s="2043">
        <v>557475786</v>
      </c>
    </row>
    <row r="835" spans="1:9">
      <c r="A835" s="2043" t="s">
        <v>1027</v>
      </c>
      <c r="B835" s="2043">
        <v>223024090</v>
      </c>
      <c r="C835" s="2043">
        <v>216633371</v>
      </c>
      <c r="D835" s="2043">
        <v>215836464</v>
      </c>
      <c r="E835" s="2043">
        <v>209445745</v>
      </c>
      <c r="F835" s="2043">
        <v>223024090</v>
      </c>
      <c r="G835" s="2043">
        <v>216633371</v>
      </c>
      <c r="H835" s="2043">
        <v>215836464</v>
      </c>
      <c r="I835" s="2043">
        <v>209445745</v>
      </c>
    </row>
    <row r="836" spans="1:9">
      <c r="A836" s="2043" t="s">
        <v>178</v>
      </c>
      <c r="B836" s="2043">
        <v>289680030</v>
      </c>
      <c r="C836" s="2043">
        <v>283696378</v>
      </c>
      <c r="D836" s="2043">
        <v>289680030</v>
      </c>
      <c r="E836" s="2043">
        <v>283696378</v>
      </c>
      <c r="F836" s="2043">
        <v>289680030</v>
      </c>
      <c r="G836" s="2043">
        <v>283696378</v>
      </c>
      <c r="H836" s="2043">
        <v>289680030</v>
      </c>
      <c r="I836" s="2043">
        <v>283696378</v>
      </c>
    </row>
    <row r="837" spans="1:9">
      <c r="A837" s="2043" t="s">
        <v>1028</v>
      </c>
      <c r="B837" s="2043">
        <v>123740195</v>
      </c>
      <c r="C837" s="2043">
        <v>120492719</v>
      </c>
      <c r="D837" s="2043">
        <v>123740195</v>
      </c>
      <c r="E837" s="2043">
        <v>120492719</v>
      </c>
      <c r="F837" s="2043">
        <v>123740195</v>
      </c>
      <c r="G837" s="2043">
        <v>120492719</v>
      </c>
      <c r="H837" s="2043">
        <v>123740195</v>
      </c>
      <c r="I837" s="2043">
        <v>120492719</v>
      </c>
    </row>
    <row r="838" spans="1:9">
      <c r="A838" s="2043" t="s">
        <v>1029</v>
      </c>
      <c r="B838" s="2043">
        <v>149557095</v>
      </c>
      <c r="C838" s="2043">
        <v>143498032</v>
      </c>
      <c r="D838" s="2043">
        <v>143096909</v>
      </c>
      <c r="E838" s="2043">
        <v>137037846</v>
      </c>
      <c r="F838" s="2043">
        <v>149557095</v>
      </c>
      <c r="G838" s="2043">
        <v>143498032</v>
      </c>
      <c r="H838" s="2043">
        <v>143096909</v>
      </c>
      <c r="I838" s="2043">
        <v>137037846</v>
      </c>
    </row>
    <row r="839" spans="1:9">
      <c r="A839" s="2043" t="s">
        <v>1166</v>
      </c>
      <c r="B839" s="2043">
        <v>43318509</v>
      </c>
      <c r="C839" s="2043">
        <v>42516334</v>
      </c>
      <c r="D839" s="2043">
        <v>43318509</v>
      </c>
      <c r="E839" s="2043">
        <v>42516334</v>
      </c>
      <c r="F839" s="2043">
        <v>43318509</v>
      </c>
      <c r="G839" s="2043">
        <v>42516334</v>
      </c>
      <c r="H839" s="2043">
        <v>43318509</v>
      </c>
      <c r="I839" s="2043">
        <v>42516334</v>
      </c>
    </row>
    <row r="840" spans="1:9">
      <c r="A840" s="2043" t="s">
        <v>1167</v>
      </c>
      <c r="B840" s="2043">
        <v>94551327</v>
      </c>
      <c r="C840" s="2043">
        <v>93557467</v>
      </c>
      <c r="D840" s="2043">
        <v>94551327</v>
      </c>
      <c r="E840" s="2043">
        <v>93557467</v>
      </c>
      <c r="F840" s="2043">
        <v>94551327</v>
      </c>
      <c r="G840" s="2043">
        <v>93557467</v>
      </c>
      <c r="H840" s="2043">
        <v>94551327</v>
      </c>
      <c r="I840" s="2043">
        <v>93557467</v>
      </c>
    </row>
    <row r="841" spans="1:9">
      <c r="A841" s="2043" t="s">
        <v>1702</v>
      </c>
      <c r="B841" s="2043">
        <v>426664706</v>
      </c>
      <c r="C841" s="2043">
        <v>421717192</v>
      </c>
      <c r="D841" s="2043">
        <v>426664706</v>
      </c>
      <c r="E841" s="2043">
        <v>421717192</v>
      </c>
      <c r="F841" s="2043">
        <v>426664706</v>
      </c>
      <c r="G841" s="2043">
        <v>421717192</v>
      </c>
      <c r="H841" s="2043">
        <v>426664706</v>
      </c>
      <c r="I841" s="2043">
        <v>421717192</v>
      </c>
    </row>
    <row r="842" spans="1:9">
      <c r="A842" s="2043" t="s">
        <v>260</v>
      </c>
      <c r="B842" s="2043">
        <v>395381773</v>
      </c>
      <c r="C842" s="2043">
        <v>381770371</v>
      </c>
      <c r="D842" s="2043">
        <v>369237919</v>
      </c>
      <c r="E842" s="2043">
        <v>355626517</v>
      </c>
      <c r="F842" s="2043">
        <v>395381773</v>
      </c>
      <c r="G842" s="2043">
        <v>381770371</v>
      </c>
      <c r="H842" s="2043">
        <v>369237919</v>
      </c>
      <c r="I842" s="2043">
        <v>355626517</v>
      </c>
    </row>
    <row r="843" spans="1:9">
      <c r="A843" s="2043" t="s">
        <v>1631</v>
      </c>
      <c r="B843" s="2043">
        <v>1175968139</v>
      </c>
      <c r="C843" s="2043">
        <v>1142555140</v>
      </c>
      <c r="D843" s="2043">
        <v>1175968139</v>
      </c>
      <c r="E843" s="2043">
        <v>1142555140</v>
      </c>
      <c r="F843" s="2043">
        <v>1175968139</v>
      </c>
      <c r="G843" s="2043">
        <v>1142555140</v>
      </c>
      <c r="H843" s="2043">
        <v>1175968139</v>
      </c>
      <c r="I843" s="2043">
        <v>1142555140</v>
      </c>
    </row>
    <row r="844" spans="1:9">
      <c r="A844" s="2043" t="s">
        <v>1632</v>
      </c>
      <c r="B844" s="2043">
        <v>1611902860</v>
      </c>
      <c r="C844" s="2043">
        <v>1558584077</v>
      </c>
      <c r="D844" s="2043">
        <v>1611902860</v>
      </c>
      <c r="E844" s="2043">
        <v>1558584077</v>
      </c>
      <c r="F844" s="2043">
        <v>1611902860</v>
      </c>
      <c r="G844" s="2043">
        <v>1558584077</v>
      </c>
      <c r="H844" s="2043">
        <v>1611902860</v>
      </c>
      <c r="I844" s="2043">
        <v>1558584077</v>
      </c>
    </row>
    <row r="845" spans="1:9">
      <c r="A845" s="2043" t="s">
        <v>952</v>
      </c>
      <c r="B845" s="2043">
        <v>438644874</v>
      </c>
      <c r="C845" s="2043">
        <v>427621247</v>
      </c>
      <c r="D845" s="2043">
        <v>438644874</v>
      </c>
      <c r="E845" s="2043">
        <v>427621247</v>
      </c>
      <c r="F845" s="2043">
        <v>438644874</v>
      </c>
      <c r="G845" s="2043">
        <v>427621247</v>
      </c>
      <c r="H845" s="2043">
        <v>438644874</v>
      </c>
      <c r="I845" s="2043">
        <v>427621247</v>
      </c>
    </row>
    <row r="846" spans="1:9">
      <c r="A846" s="2043" t="s">
        <v>175</v>
      </c>
      <c r="B846" s="2043">
        <v>9752468958</v>
      </c>
      <c r="C846" s="2043">
        <v>9524073622</v>
      </c>
      <c r="D846" s="2043">
        <v>9752468958</v>
      </c>
      <c r="E846" s="2043">
        <v>9524073622</v>
      </c>
      <c r="F846" s="2043">
        <v>9752468958</v>
      </c>
      <c r="G846" s="2043">
        <v>9524073622</v>
      </c>
      <c r="H846" s="2043">
        <v>9752468958</v>
      </c>
      <c r="I846" s="2043">
        <v>9524073622</v>
      </c>
    </row>
    <row r="847" spans="1:9">
      <c r="A847" s="2043" t="s">
        <v>1110</v>
      </c>
      <c r="B847" s="2043">
        <v>2242996134</v>
      </c>
      <c r="C847" s="2043">
        <v>2184846578</v>
      </c>
      <c r="D847" s="2043">
        <v>2242996134</v>
      </c>
      <c r="E847" s="2043">
        <v>2184846578</v>
      </c>
      <c r="F847" s="2043">
        <v>2242996134</v>
      </c>
      <c r="G847" s="2043">
        <v>2184846578</v>
      </c>
      <c r="H847" s="2043">
        <v>2242996134</v>
      </c>
      <c r="I847" s="2043">
        <v>2184846578</v>
      </c>
    </row>
    <row r="848" spans="1:9">
      <c r="A848" s="2043" t="s">
        <v>1264</v>
      </c>
      <c r="B848" s="2043">
        <v>1384250489</v>
      </c>
      <c r="C848" s="2043">
        <v>1358034761</v>
      </c>
      <c r="D848" s="2043">
        <v>1384250489</v>
      </c>
      <c r="E848" s="2043">
        <v>1358034761</v>
      </c>
      <c r="F848" s="2043">
        <v>1384250489</v>
      </c>
      <c r="G848" s="2043">
        <v>1358034761</v>
      </c>
      <c r="H848" s="2043">
        <v>1384250489</v>
      </c>
      <c r="I848" s="2043">
        <v>1358034761</v>
      </c>
    </row>
    <row r="849" spans="1:9">
      <c r="A849" s="2043" t="s">
        <v>1265</v>
      </c>
      <c r="B849" s="2043">
        <v>619644999</v>
      </c>
      <c r="C849" s="2043">
        <v>607170887</v>
      </c>
      <c r="D849" s="2043">
        <v>619644999</v>
      </c>
      <c r="E849" s="2043">
        <v>607170887</v>
      </c>
      <c r="F849" s="2043">
        <v>619644999</v>
      </c>
      <c r="G849" s="2043">
        <v>607170887</v>
      </c>
      <c r="H849" s="2043">
        <v>619644999</v>
      </c>
      <c r="I849" s="2043">
        <v>607170887</v>
      </c>
    </row>
    <row r="850" spans="1:9">
      <c r="A850" s="2043" t="s">
        <v>1266</v>
      </c>
      <c r="B850" s="2043">
        <v>2314203164</v>
      </c>
      <c r="C850" s="2043">
        <v>2293534523</v>
      </c>
      <c r="D850" s="2043">
        <v>2273534821</v>
      </c>
      <c r="E850" s="2043">
        <v>2252866180</v>
      </c>
      <c r="F850" s="2043">
        <v>2314203164</v>
      </c>
      <c r="G850" s="2043">
        <v>2293534523</v>
      </c>
      <c r="H850" s="2043">
        <v>2273534821</v>
      </c>
      <c r="I850" s="2043">
        <v>2252866180</v>
      </c>
    </row>
    <row r="851" spans="1:9">
      <c r="A851" s="2043" t="s">
        <v>1633</v>
      </c>
      <c r="B851" s="2043">
        <v>197145690</v>
      </c>
      <c r="C851" s="2043">
        <v>195967475</v>
      </c>
      <c r="D851" s="2043">
        <v>197145690</v>
      </c>
      <c r="E851" s="2043">
        <v>195967475</v>
      </c>
      <c r="F851" s="2043">
        <v>197145690</v>
      </c>
      <c r="G851" s="2043">
        <v>195967475</v>
      </c>
      <c r="H851" s="2043">
        <v>197145690</v>
      </c>
      <c r="I851" s="2043">
        <v>195967475</v>
      </c>
    </row>
    <row r="852" spans="1:9">
      <c r="A852" s="2043" t="s">
        <v>179</v>
      </c>
      <c r="B852" s="2043">
        <v>632202207</v>
      </c>
      <c r="C852" s="2043">
        <v>597221582</v>
      </c>
      <c r="D852" s="2043">
        <v>632202207</v>
      </c>
      <c r="E852" s="2043">
        <v>597221582</v>
      </c>
      <c r="F852" s="2043">
        <v>685720207</v>
      </c>
      <c r="G852" s="2043">
        <v>650739582</v>
      </c>
      <c r="H852" s="2043">
        <v>685720207</v>
      </c>
      <c r="I852" s="2043">
        <v>650739582</v>
      </c>
    </row>
    <row r="853" spans="1:9">
      <c r="A853" s="2043" t="s">
        <v>1634</v>
      </c>
      <c r="B853" s="2043">
        <v>608646317</v>
      </c>
      <c r="C853" s="2043">
        <v>588629431</v>
      </c>
      <c r="D853" s="2043">
        <v>608646317</v>
      </c>
      <c r="E853" s="2043">
        <v>588629431</v>
      </c>
      <c r="F853" s="2043">
        <v>608646317</v>
      </c>
      <c r="G853" s="2043">
        <v>588629431</v>
      </c>
      <c r="H853" s="2043">
        <v>608646317</v>
      </c>
      <c r="I853" s="2043">
        <v>588629431</v>
      </c>
    </row>
    <row r="854" spans="1:9">
      <c r="A854" s="2043" t="s">
        <v>2441</v>
      </c>
      <c r="B854" s="2043">
        <v>902698381</v>
      </c>
      <c r="C854" s="2043">
        <v>900552891</v>
      </c>
      <c r="D854" s="2043">
        <v>902698381</v>
      </c>
      <c r="E854" s="2043">
        <v>900552891</v>
      </c>
      <c r="F854" s="2043">
        <v>902698381</v>
      </c>
      <c r="G854" s="2043">
        <v>900552891</v>
      </c>
      <c r="H854" s="2043">
        <v>902698381</v>
      </c>
      <c r="I854" s="2043">
        <v>900552891</v>
      </c>
    </row>
    <row r="855" spans="1:9">
      <c r="A855" s="2043" t="s">
        <v>706</v>
      </c>
      <c r="B855" s="2043">
        <v>191797368</v>
      </c>
      <c r="C855" s="2043">
        <v>188826853</v>
      </c>
      <c r="D855" s="2043">
        <v>191797368</v>
      </c>
      <c r="E855" s="2043">
        <v>188826853</v>
      </c>
      <c r="F855" s="2043">
        <v>191797368</v>
      </c>
      <c r="G855" s="2043">
        <v>188826853</v>
      </c>
      <c r="H855" s="2043">
        <v>191797368</v>
      </c>
      <c r="I855" s="2043">
        <v>188826853</v>
      </c>
    </row>
    <row r="856" spans="1:9">
      <c r="A856" s="2043" t="s">
        <v>707</v>
      </c>
      <c r="B856" s="2043">
        <v>609584911</v>
      </c>
      <c r="C856" s="2043">
        <v>601544683</v>
      </c>
      <c r="D856" s="2043">
        <v>599779674</v>
      </c>
      <c r="E856" s="2043">
        <v>591739446</v>
      </c>
      <c r="F856" s="2043">
        <v>609584911</v>
      </c>
      <c r="G856" s="2043">
        <v>601544683</v>
      </c>
      <c r="H856" s="2043">
        <v>599779674</v>
      </c>
      <c r="I856" s="2043">
        <v>591739446</v>
      </c>
    </row>
    <row r="857" spans="1:9">
      <c r="A857" s="2043" t="s">
        <v>756</v>
      </c>
      <c r="B857" s="2043">
        <v>96864090</v>
      </c>
      <c r="C857" s="2043">
        <v>95191292</v>
      </c>
      <c r="D857" s="2043">
        <v>96864090</v>
      </c>
      <c r="E857" s="2043">
        <v>95191292</v>
      </c>
      <c r="F857" s="2043">
        <v>96864090</v>
      </c>
      <c r="G857" s="2043">
        <v>95191292</v>
      </c>
      <c r="H857" s="2043">
        <v>96864090</v>
      </c>
      <c r="I857" s="2043">
        <v>95191292</v>
      </c>
    </row>
    <row r="858" spans="1:9">
      <c r="A858" s="2043" t="s">
        <v>533</v>
      </c>
      <c r="B858" s="2043">
        <v>212969081</v>
      </c>
      <c r="C858" s="2043">
        <v>204948593</v>
      </c>
      <c r="D858" s="2043">
        <v>212969081</v>
      </c>
      <c r="E858" s="2043">
        <v>204948593</v>
      </c>
      <c r="F858" s="2043">
        <v>212969081</v>
      </c>
      <c r="G858" s="2043">
        <v>204948593</v>
      </c>
      <c r="H858" s="2043">
        <v>212969081</v>
      </c>
      <c r="I858" s="2043">
        <v>204948593</v>
      </c>
    </row>
    <row r="859" spans="1:9">
      <c r="A859" s="2043" t="s">
        <v>534</v>
      </c>
      <c r="B859" s="2043">
        <v>132497501</v>
      </c>
      <c r="C859" s="2043">
        <v>130823447</v>
      </c>
      <c r="D859" s="2043">
        <v>132497501</v>
      </c>
      <c r="E859" s="2043">
        <v>130823447</v>
      </c>
      <c r="F859" s="2043">
        <v>132497501</v>
      </c>
      <c r="G859" s="2043">
        <v>130823447</v>
      </c>
      <c r="H859" s="2043">
        <v>132497501</v>
      </c>
      <c r="I859" s="2043">
        <v>130823447</v>
      </c>
    </row>
    <row r="860" spans="1:9">
      <c r="A860" s="2043" t="s">
        <v>2174</v>
      </c>
      <c r="B860" s="2043">
        <v>31895313003</v>
      </c>
      <c r="C860" s="2043">
        <v>31334208157</v>
      </c>
      <c r="D860" s="2043">
        <v>31895313003</v>
      </c>
      <c r="E860" s="2043">
        <v>31334208157</v>
      </c>
      <c r="F860" s="2043">
        <v>31895313003</v>
      </c>
      <c r="G860" s="2043">
        <v>31334208157</v>
      </c>
      <c r="H860" s="2043">
        <v>31895313003</v>
      </c>
      <c r="I860" s="2043">
        <v>31334208157</v>
      </c>
    </row>
    <row r="861" spans="1:9">
      <c r="A861" s="2043" t="s">
        <v>826</v>
      </c>
      <c r="B861" s="2043">
        <v>11287704723</v>
      </c>
      <c r="C861" s="2043">
        <v>11017278756</v>
      </c>
      <c r="D861" s="2043">
        <v>11287704723</v>
      </c>
      <c r="E861" s="2043">
        <v>11017278756</v>
      </c>
      <c r="F861" s="2043">
        <v>11287704723</v>
      </c>
      <c r="G861" s="2043">
        <v>11017278756</v>
      </c>
      <c r="H861" s="2043">
        <v>11287704723</v>
      </c>
      <c r="I861" s="2043">
        <v>11017278756</v>
      </c>
    </row>
    <row r="862" spans="1:9">
      <c r="A862" s="2043" t="s">
        <v>1745</v>
      </c>
      <c r="B862" s="2043">
        <v>1628853894</v>
      </c>
      <c r="C862" s="2043">
        <v>1589001379</v>
      </c>
      <c r="D862" s="2043">
        <v>1628853894</v>
      </c>
      <c r="E862" s="2043">
        <v>1589001379</v>
      </c>
      <c r="F862" s="2043">
        <v>1628853894</v>
      </c>
      <c r="G862" s="2043">
        <v>1589001379</v>
      </c>
      <c r="H862" s="2043">
        <v>1628853894</v>
      </c>
      <c r="I862" s="2043">
        <v>1589001379</v>
      </c>
    </row>
    <row r="863" spans="1:9">
      <c r="A863" s="2043" t="s">
        <v>1905</v>
      </c>
      <c r="B863" s="2043">
        <v>41864347523</v>
      </c>
      <c r="C863" s="2043">
        <v>41088267896</v>
      </c>
      <c r="D863" s="2043">
        <v>41864347523</v>
      </c>
      <c r="E863" s="2043">
        <v>41088267896</v>
      </c>
      <c r="F863" s="2043">
        <v>41864347523</v>
      </c>
      <c r="G863" s="2043">
        <v>41088267896</v>
      </c>
      <c r="H863" s="2043">
        <v>41864347523</v>
      </c>
      <c r="I863" s="2043">
        <v>41088267896</v>
      </c>
    </row>
    <row r="864" spans="1:9">
      <c r="A864" s="2043" t="s">
        <v>2060</v>
      </c>
      <c r="B864" s="2043">
        <v>16087527318</v>
      </c>
      <c r="C864" s="2043">
        <v>15912603682</v>
      </c>
      <c r="D864" s="2043">
        <v>16087527318</v>
      </c>
      <c r="E864" s="2043">
        <v>15912603682</v>
      </c>
      <c r="F864" s="2043">
        <v>16087527318</v>
      </c>
      <c r="G864" s="2043">
        <v>15912603682</v>
      </c>
      <c r="H864" s="2043">
        <v>16087527318</v>
      </c>
      <c r="I864" s="2043">
        <v>15912603682</v>
      </c>
    </row>
    <row r="865" spans="1:9">
      <c r="A865" s="2043" t="s">
        <v>48</v>
      </c>
      <c r="B865" s="2043">
        <v>19995810612</v>
      </c>
      <c r="C865" s="2043">
        <v>19595401247</v>
      </c>
      <c r="D865" s="2043">
        <v>19995810612</v>
      </c>
      <c r="E865" s="2043">
        <v>19595401247</v>
      </c>
      <c r="F865" s="2043">
        <v>19995810612</v>
      </c>
      <c r="G865" s="2043">
        <v>19595401247</v>
      </c>
      <c r="H865" s="2043">
        <v>19995810612</v>
      </c>
      <c r="I865" s="2043">
        <v>19595401247</v>
      </c>
    </row>
    <row r="866" spans="1:9">
      <c r="A866" s="2043" t="s">
        <v>330</v>
      </c>
      <c r="B866" s="2043">
        <v>15561686891</v>
      </c>
      <c r="C866" s="2043">
        <v>15216883842</v>
      </c>
      <c r="D866" s="2043">
        <v>15561686891</v>
      </c>
      <c r="E866" s="2043">
        <v>15216883842</v>
      </c>
      <c r="F866" s="2043">
        <v>15561686891</v>
      </c>
      <c r="G866" s="2043">
        <v>15216883842</v>
      </c>
      <c r="H866" s="2043">
        <v>15561686891</v>
      </c>
      <c r="I866" s="2043">
        <v>15216883842</v>
      </c>
    </row>
    <row r="867" spans="1:9">
      <c r="A867" s="2043" t="s">
        <v>1670</v>
      </c>
      <c r="B867" s="2043">
        <v>1122562511</v>
      </c>
      <c r="C867" s="2043">
        <v>1102118698</v>
      </c>
      <c r="D867" s="2043">
        <v>1122562511</v>
      </c>
      <c r="E867" s="2043">
        <v>1102118698</v>
      </c>
      <c r="F867" s="2043">
        <v>1122562511</v>
      </c>
      <c r="G867" s="2043">
        <v>1102118698</v>
      </c>
      <c r="H867" s="2043">
        <v>1122562511</v>
      </c>
      <c r="I867" s="2043">
        <v>1102118698</v>
      </c>
    </row>
    <row r="868" spans="1:9">
      <c r="A868" s="2043" t="s">
        <v>2267</v>
      </c>
      <c r="B868" s="2043">
        <v>7745454251</v>
      </c>
      <c r="C868" s="2043">
        <v>7555996729</v>
      </c>
      <c r="D868" s="2043">
        <v>7538915887</v>
      </c>
      <c r="E868" s="2043">
        <v>7349458365</v>
      </c>
      <c r="F868" s="2043">
        <v>7745454251</v>
      </c>
      <c r="G868" s="2043">
        <v>7555996729</v>
      </c>
      <c r="H868" s="2043">
        <v>7538915887</v>
      </c>
      <c r="I868" s="2043">
        <v>7349458365</v>
      </c>
    </row>
    <row r="869" spans="1:9">
      <c r="A869" s="2043" t="s">
        <v>50</v>
      </c>
      <c r="B869" s="2043">
        <v>1635326688</v>
      </c>
      <c r="C869" s="2043">
        <v>1589056365</v>
      </c>
      <c r="D869" s="2043">
        <v>1635326688</v>
      </c>
      <c r="E869" s="2043">
        <v>1589056365</v>
      </c>
      <c r="F869" s="2043">
        <v>1635326688</v>
      </c>
      <c r="G869" s="2043">
        <v>1589056365</v>
      </c>
      <c r="H869" s="2043">
        <v>1635326688</v>
      </c>
      <c r="I869" s="2043">
        <v>1589056365</v>
      </c>
    </row>
    <row r="870" spans="1:9">
      <c r="A870" s="2043" t="s">
        <v>1587</v>
      </c>
      <c r="B870" s="2043">
        <v>3243969761</v>
      </c>
      <c r="C870" s="2043">
        <v>3148772233</v>
      </c>
      <c r="D870" s="2043">
        <v>3243969761</v>
      </c>
      <c r="E870" s="2043">
        <v>3148772233</v>
      </c>
      <c r="F870" s="2043">
        <v>3243969761</v>
      </c>
      <c r="G870" s="2043">
        <v>3148772233</v>
      </c>
      <c r="H870" s="2043">
        <v>3243969761</v>
      </c>
      <c r="I870" s="2043">
        <v>3148772233</v>
      </c>
    </row>
    <row r="871" spans="1:9">
      <c r="A871" s="2043" t="s">
        <v>1054</v>
      </c>
      <c r="B871" s="2043">
        <v>15530423106</v>
      </c>
      <c r="C871" s="2043">
        <v>15241911810</v>
      </c>
      <c r="D871" s="2043">
        <v>15457083625</v>
      </c>
      <c r="E871" s="2043">
        <v>15168572329</v>
      </c>
      <c r="F871" s="2043">
        <v>15530423106</v>
      </c>
      <c r="G871" s="2043">
        <v>15241911810</v>
      </c>
      <c r="H871" s="2043">
        <v>15457083625</v>
      </c>
      <c r="I871" s="2043">
        <v>15168572329</v>
      </c>
    </row>
    <row r="872" spans="1:9">
      <c r="A872" s="2043" t="s">
        <v>1743</v>
      </c>
      <c r="B872" s="2043">
        <v>908801153</v>
      </c>
      <c r="C872" s="2043">
        <v>876119542</v>
      </c>
      <c r="D872" s="2043">
        <v>908801153</v>
      </c>
      <c r="E872" s="2043">
        <v>876119542</v>
      </c>
      <c r="F872" s="2043">
        <v>908801153</v>
      </c>
      <c r="G872" s="2043">
        <v>876119542</v>
      </c>
      <c r="H872" s="2043">
        <v>908801153</v>
      </c>
      <c r="I872" s="2043">
        <v>876119542</v>
      </c>
    </row>
    <row r="873" spans="1:9">
      <c r="A873" s="2043" t="s">
        <v>2100</v>
      </c>
      <c r="B873" s="2043">
        <v>10760706873</v>
      </c>
      <c r="C873" s="2043">
        <v>10541317161</v>
      </c>
      <c r="D873" s="2043">
        <v>10760706873</v>
      </c>
      <c r="E873" s="2043">
        <v>10541317161</v>
      </c>
      <c r="F873" s="2043">
        <v>10760706873</v>
      </c>
      <c r="G873" s="2043">
        <v>10541317161</v>
      </c>
      <c r="H873" s="2043">
        <v>10760706873</v>
      </c>
      <c r="I873" s="2043">
        <v>10541317161</v>
      </c>
    </row>
    <row r="874" spans="1:9">
      <c r="A874" s="2043" t="s">
        <v>1742</v>
      </c>
      <c r="B874" s="2043">
        <v>9127899790</v>
      </c>
      <c r="C874" s="2043">
        <v>9042384414</v>
      </c>
      <c r="D874" s="2043">
        <v>9127899790</v>
      </c>
      <c r="E874" s="2043">
        <v>9042384414</v>
      </c>
      <c r="F874" s="2043">
        <v>9127899790</v>
      </c>
      <c r="G874" s="2043">
        <v>9042384414</v>
      </c>
      <c r="H874" s="2043">
        <v>9127899790</v>
      </c>
      <c r="I874" s="2043">
        <v>9042384414</v>
      </c>
    </row>
    <row r="875" spans="1:9">
      <c r="A875" s="2043" t="s">
        <v>1109</v>
      </c>
      <c r="B875" s="2043">
        <v>2429108907</v>
      </c>
      <c r="C875" s="2043">
        <v>2360343974</v>
      </c>
      <c r="D875" s="2043">
        <v>2429108907</v>
      </c>
      <c r="E875" s="2043">
        <v>2360343974</v>
      </c>
      <c r="F875" s="2043">
        <v>2429108907</v>
      </c>
      <c r="G875" s="2043">
        <v>2360343974</v>
      </c>
      <c r="H875" s="2043">
        <v>2429108907</v>
      </c>
      <c r="I875" s="2043">
        <v>2360343974</v>
      </c>
    </row>
    <row r="876" spans="1:9">
      <c r="A876" s="2043" t="s">
        <v>2101</v>
      </c>
      <c r="B876" s="2043">
        <v>5067057850</v>
      </c>
      <c r="C876" s="2043">
        <v>4897925390</v>
      </c>
      <c r="D876" s="2043">
        <v>5012757373</v>
      </c>
      <c r="E876" s="2043">
        <v>4843624913</v>
      </c>
      <c r="F876" s="2043">
        <v>5067057850</v>
      </c>
      <c r="G876" s="2043">
        <v>4897925390</v>
      </c>
      <c r="H876" s="2043">
        <v>5012757373</v>
      </c>
      <c r="I876" s="2043">
        <v>4843624913</v>
      </c>
    </row>
    <row r="877" spans="1:9">
      <c r="A877" s="2043" t="s">
        <v>2102</v>
      </c>
      <c r="B877" s="2043">
        <v>463126051</v>
      </c>
      <c r="C877" s="2043">
        <v>451654089</v>
      </c>
      <c r="D877" s="2043">
        <v>463126051</v>
      </c>
      <c r="E877" s="2043">
        <v>451654089</v>
      </c>
      <c r="F877" s="2043">
        <v>463126051</v>
      </c>
      <c r="G877" s="2043">
        <v>451654089</v>
      </c>
      <c r="H877" s="2043">
        <v>463126051</v>
      </c>
      <c r="I877" s="2043">
        <v>451654089</v>
      </c>
    </row>
    <row r="878" spans="1:9">
      <c r="A878" s="2043" t="s">
        <v>2509</v>
      </c>
      <c r="B878" s="2043">
        <v>220649995</v>
      </c>
      <c r="C878" s="2043">
        <v>219312400</v>
      </c>
      <c r="D878" s="2043">
        <v>220649995</v>
      </c>
      <c r="E878" s="2043">
        <v>219312400</v>
      </c>
      <c r="F878" s="2043">
        <v>220649995</v>
      </c>
      <c r="G878" s="2043">
        <v>219312400</v>
      </c>
      <c r="H878" s="2043">
        <v>220649995</v>
      </c>
      <c r="I878" s="2043">
        <v>219312400</v>
      </c>
    </row>
    <row r="879" spans="1:9">
      <c r="A879" s="2043" t="s">
        <v>2510</v>
      </c>
      <c r="B879" s="2043">
        <v>662461196</v>
      </c>
      <c r="C879" s="2043">
        <v>646095620</v>
      </c>
      <c r="D879" s="2043">
        <v>630672686</v>
      </c>
      <c r="E879" s="2043">
        <v>614307110</v>
      </c>
      <c r="F879" s="2043">
        <v>662461196</v>
      </c>
      <c r="G879" s="2043">
        <v>646095620</v>
      </c>
      <c r="H879" s="2043">
        <v>630672686</v>
      </c>
      <c r="I879" s="2043">
        <v>614307110</v>
      </c>
    </row>
    <row r="880" spans="1:9">
      <c r="A880" s="2043" t="s">
        <v>2511</v>
      </c>
      <c r="B880" s="2043">
        <v>2240042858</v>
      </c>
      <c r="C880" s="2043">
        <v>2176892215</v>
      </c>
      <c r="D880" s="2043">
        <v>2240042858</v>
      </c>
      <c r="E880" s="2043">
        <v>2176892215</v>
      </c>
      <c r="F880" s="2043">
        <v>2240042858</v>
      </c>
      <c r="G880" s="2043">
        <v>2176892215</v>
      </c>
      <c r="H880" s="2043">
        <v>2240042858</v>
      </c>
      <c r="I880" s="2043">
        <v>2176892215</v>
      </c>
    </row>
    <row r="881" spans="1:9">
      <c r="A881" s="2043" t="s">
        <v>2512</v>
      </c>
      <c r="B881" s="2043">
        <v>223028551</v>
      </c>
      <c r="C881" s="2043">
        <v>220858092</v>
      </c>
      <c r="D881" s="2043">
        <v>221816303</v>
      </c>
      <c r="E881" s="2043">
        <v>219645844</v>
      </c>
      <c r="F881" s="2043">
        <v>223028551</v>
      </c>
      <c r="G881" s="2043">
        <v>220858092</v>
      </c>
      <c r="H881" s="2043">
        <v>221816303</v>
      </c>
      <c r="I881" s="2043">
        <v>219645844</v>
      </c>
    </row>
    <row r="882" spans="1:9">
      <c r="A882" s="2043" t="s">
        <v>1100</v>
      </c>
      <c r="B882" s="2043">
        <v>716792846</v>
      </c>
      <c r="C882" s="2043">
        <v>706778674</v>
      </c>
      <c r="D882" s="2043">
        <v>716792846</v>
      </c>
      <c r="E882" s="2043">
        <v>706778674</v>
      </c>
      <c r="F882" s="2043">
        <v>716792846</v>
      </c>
      <c r="G882" s="2043">
        <v>706778674</v>
      </c>
      <c r="H882" s="2043">
        <v>716792846</v>
      </c>
      <c r="I882" s="2043">
        <v>706778674</v>
      </c>
    </row>
    <row r="883" spans="1:9">
      <c r="A883" s="2043" t="s">
        <v>1741</v>
      </c>
      <c r="B883" s="2043">
        <v>59647424</v>
      </c>
      <c r="C883" s="2043">
        <v>58726726</v>
      </c>
      <c r="D883" s="2043">
        <v>59647424</v>
      </c>
      <c r="E883" s="2043">
        <v>58726726</v>
      </c>
      <c r="F883" s="2043">
        <v>59647424</v>
      </c>
      <c r="G883" s="2043">
        <v>58726726</v>
      </c>
      <c r="H883" s="2043">
        <v>59647424</v>
      </c>
      <c r="I883" s="2043">
        <v>58726726</v>
      </c>
    </row>
    <row r="884" spans="1:9">
      <c r="A884" s="2043" t="s">
        <v>1101</v>
      </c>
      <c r="B884" s="2043">
        <v>197441183</v>
      </c>
      <c r="C884" s="2043">
        <v>196860197</v>
      </c>
      <c r="D884" s="2043">
        <v>197441183</v>
      </c>
      <c r="E884" s="2043">
        <v>196860197</v>
      </c>
      <c r="F884" s="2043">
        <v>197441183</v>
      </c>
      <c r="G884" s="2043">
        <v>196860197</v>
      </c>
      <c r="H884" s="2043">
        <v>197441183</v>
      </c>
      <c r="I884" s="2043">
        <v>196860197</v>
      </c>
    </row>
    <row r="885" spans="1:9">
      <c r="A885" s="2043" t="s">
        <v>1495</v>
      </c>
      <c r="B885" s="2043">
        <v>149635571</v>
      </c>
      <c r="C885" s="2043">
        <v>146944701</v>
      </c>
      <c r="D885" s="2043">
        <v>149635571</v>
      </c>
      <c r="E885" s="2043">
        <v>146944701</v>
      </c>
      <c r="F885" s="2043">
        <v>149635571</v>
      </c>
      <c r="G885" s="2043">
        <v>146944701</v>
      </c>
      <c r="H885" s="2043">
        <v>149635571</v>
      </c>
      <c r="I885" s="2043">
        <v>146944701</v>
      </c>
    </row>
    <row r="886" spans="1:9">
      <c r="A886" s="2043" t="s">
        <v>1496</v>
      </c>
      <c r="B886" s="2043">
        <v>45195783</v>
      </c>
      <c r="C886" s="2043">
        <v>44185343</v>
      </c>
      <c r="D886" s="2043">
        <v>45195783</v>
      </c>
      <c r="E886" s="2043">
        <v>44185343</v>
      </c>
      <c r="F886" s="2043">
        <v>45195783</v>
      </c>
      <c r="G886" s="2043">
        <v>44185343</v>
      </c>
      <c r="H886" s="2043">
        <v>45195783</v>
      </c>
      <c r="I886" s="2043">
        <v>44185343</v>
      </c>
    </row>
    <row r="887" spans="1:9">
      <c r="A887" s="2043" t="s">
        <v>1497</v>
      </c>
      <c r="B887" s="2043">
        <v>1537127807</v>
      </c>
      <c r="C887" s="2043">
        <v>1496604246</v>
      </c>
      <c r="D887" s="2043">
        <v>1484196363</v>
      </c>
      <c r="E887" s="2043">
        <v>1443672802</v>
      </c>
      <c r="F887" s="2043">
        <v>1537127807</v>
      </c>
      <c r="G887" s="2043">
        <v>1496604246</v>
      </c>
      <c r="H887" s="2043">
        <v>1484196363</v>
      </c>
      <c r="I887" s="2043">
        <v>1443672802</v>
      </c>
    </row>
    <row r="888" spans="1:9">
      <c r="A888" s="2043" t="s">
        <v>261</v>
      </c>
      <c r="B888" s="2043">
        <v>145040789</v>
      </c>
      <c r="C888" s="2043">
        <v>139294524</v>
      </c>
      <c r="D888" s="2043">
        <v>145040789</v>
      </c>
      <c r="E888" s="2043">
        <v>139294524</v>
      </c>
      <c r="F888" s="2043">
        <v>145040789</v>
      </c>
      <c r="G888" s="2043">
        <v>139294524</v>
      </c>
      <c r="H888" s="2043">
        <v>145040789</v>
      </c>
      <c r="I888" s="2043">
        <v>139294524</v>
      </c>
    </row>
    <row r="889" spans="1:9">
      <c r="A889" s="2043" t="s">
        <v>1716</v>
      </c>
      <c r="B889" s="2043">
        <v>174995075</v>
      </c>
      <c r="C889" s="2043">
        <v>168164416</v>
      </c>
      <c r="D889" s="2043">
        <v>174995075</v>
      </c>
      <c r="E889" s="2043">
        <v>168164416</v>
      </c>
      <c r="F889" s="2043">
        <v>174995075</v>
      </c>
      <c r="G889" s="2043">
        <v>168164416</v>
      </c>
      <c r="H889" s="2043">
        <v>174995075</v>
      </c>
      <c r="I889" s="2043">
        <v>168164416</v>
      </c>
    </row>
    <row r="890" spans="1:9">
      <c r="A890" s="2043" t="s">
        <v>2301</v>
      </c>
      <c r="B890" s="2043">
        <v>205098841</v>
      </c>
      <c r="C890" s="2043">
        <v>200304531</v>
      </c>
      <c r="D890" s="2043">
        <v>205098841</v>
      </c>
      <c r="E890" s="2043">
        <v>200304531</v>
      </c>
      <c r="F890" s="2043">
        <v>205098841</v>
      </c>
      <c r="G890" s="2043">
        <v>200304531</v>
      </c>
      <c r="H890" s="2043">
        <v>205098841</v>
      </c>
      <c r="I890" s="2043">
        <v>200304531</v>
      </c>
    </row>
    <row r="891" spans="1:9">
      <c r="A891" s="2043" t="s">
        <v>1237</v>
      </c>
      <c r="B891" s="2043">
        <v>5521428264</v>
      </c>
      <c r="C891" s="2043">
        <v>5322929831</v>
      </c>
      <c r="D891" s="2043">
        <v>5521428264</v>
      </c>
      <c r="E891" s="2043">
        <v>5322929831</v>
      </c>
      <c r="F891" s="2043">
        <v>5521428264</v>
      </c>
      <c r="G891" s="2043">
        <v>5322929831</v>
      </c>
      <c r="H891" s="2043">
        <v>5521428264</v>
      </c>
      <c r="I891" s="2043">
        <v>5322929831</v>
      </c>
    </row>
    <row r="892" spans="1:9">
      <c r="A892" s="2043" t="s">
        <v>2289</v>
      </c>
      <c r="B892" s="2043">
        <v>162769350</v>
      </c>
      <c r="C892" s="2043">
        <v>158468200</v>
      </c>
      <c r="D892" s="2043">
        <v>162769350</v>
      </c>
      <c r="E892" s="2043">
        <v>158468200</v>
      </c>
      <c r="F892" s="2043">
        <v>162769350</v>
      </c>
      <c r="G892" s="2043">
        <v>158468200</v>
      </c>
      <c r="H892" s="2043">
        <v>162769350</v>
      </c>
      <c r="I892" s="2043">
        <v>158468200</v>
      </c>
    </row>
    <row r="893" spans="1:9">
      <c r="A893" s="2043" t="s">
        <v>325</v>
      </c>
      <c r="B893" s="2043">
        <v>478531735</v>
      </c>
      <c r="C893" s="2043">
        <v>465706905</v>
      </c>
      <c r="D893" s="2043">
        <v>478531735</v>
      </c>
      <c r="E893" s="2043">
        <v>465706905</v>
      </c>
      <c r="F893" s="2043">
        <v>478531735</v>
      </c>
      <c r="G893" s="2043">
        <v>465706905</v>
      </c>
      <c r="H893" s="2043">
        <v>478531735</v>
      </c>
      <c r="I893" s="2043">
        <v>465706905</v>
      </c>
    </row>
    <row r="894" spans="1:9">
      <c r="A894" s="2043" t="s">
        <v>1231</v>
      </c>
      <c r="B894" s="2043">
        <v>294353223</v>
      </c>
      <c r="C894" s="2043">
        <v>280143413</v>
      </c>
      <c r="D894" s="2043">
        <v>294353223</v>
      </c>
      <c r="E894" s="2043">
        <v>280143413</v>
      </c>
      <c r="F894" s="2043">
        <v>294353223</v>
      </c>
      <c r="G894" s="2043">
        <v>280143413</v>
      </c>
      <c r="H894" s="2043">
        <v>294353223</v>
      </c>
      <c r="I894" s="2043">
        <v>280143413</v>
      </c>
    </row>
    <row r="895" spans="1:9">
      <c r="A895" s="2043" t="s">
        <v>1179</v>
      </c>
      <c r="B895" s="2043">
        <v>155206295</v>
      </c>
      <c r="C895" s="2043">
        <v>152111835</v>
      </c>
      <c r="D895" s="2043">
        <v>155206295</v>
      </c>
      <c r="E895" s="2043">
        <v>152111835</v>
      </c>
      <c r="F895" s="2043">
        <v>155206295</v>
      </c>
      <c r="G895" s="2043">
        <v>152111835</v>
      </c>
      <c r="H895" s="2043">
        <v>155206295</v>
      </c>
      <c r="I895" s="2043">
        <v>152111835</v>
      </c>
    </row>
    <row r="896" spans="1:9">
      <c r="A896" s="2043" t="s">
        <v>249</v>
      </c>
      <c r="B896" s="2043">
        <v>135132447158</v>
      </c>
      <c r="C896" s="2043">
        <v>134022059831</v>
      </c>
      <c r="D896" s="2043">
        <v>135132447158</v>
      </c>
      <c r="E896" s="2043">
        <v>134022059831</v>
      </c>
      <c r="F896" s="2043">
        <v>135132447158</v>
      </c>
      <c r="G896" s="2043">
        <v>134022059831</v>
      </c>
      <c r="H896" s="2043">
        <v>135132447158</v>
      </c>
      <c r="I896" s="2043">
        <v>134022059831</v>
      </c>
    </row>
    <row r="897" spans="1:9">
      <c r="A897" s="2043" t="s">
        <v>196</v>
      </c>
      <c r="B897" s="2043">
        <v>16075813950</v>
      </c>
      <c r="C897" s="2043">
        <v>15796850765</v>
      </c>
      <c r="D897" s="2043">
        <v>16075813950</v>
      </c>
      <c r="E897" s="2043">
        <v>15796850765</v>
      </c>
      <c r="F897" s="2043">
        <v>16075813950</v>
      </c>
      <c r="G897" s="2043">
        <v>15796850765</v>
      </c>
      <c r="H897" s="2043">
        <v>16075813950</v>
      </c>
      <c r="I897" s="2043">
        <v>15796850765</v>
      </c>
    </row>
    <row r="898" spans="1:9">
      <c r="A898" s="2043" t="s">
        <v>250</v>
      </c>
      <c r="B898" s="2043">
        <v>5589601671</v>
      </c>
      <c r="C898" s="2043">
        <v>5499221922</v>
      </c>
      <c r="D898" s="2043">
        <v>5589601671</v>
      </c>
      <c r="E898" s="2043">
        <v>5499221922</v>
      </c>
      <c r="F898" s="2043">
        <v>6476773422</v>
      </c>
      <c r="G898" s="2043">
        <v>6386393673</v>
      </c>
      <c r="H898" s="2043">
        <v>6476773422</v>
      </c>
      <c r="I898" s="2043">
        <v>6386393673</v>
      </c>
    </row>
    <row r="899" spans="1:9">
      <c r="A899" s="2043" t="s">
        <v>251</v>
      </c>
      <c r="B899" s="2043">
        <v>16376791340</v>
      </c>
      <c r="C899" s="2043">
        <v>16281860559</v>
      </c>
      <c r="D899" s="2043">
        <v>16376791340</v>
      </c>
      <c r="E899" s="2043">
        <v>16281860559</v>
      </c>
      <c r="F899" s="2043">
        <v>16376791340</v>
      </c>
      <c r="G899" s="2043">
        <v>16281860559</v>
      </c>
      <c r="H899" s="2043">
        <v>16376791340</v>
      </c>
      <c r="I899" s="2043">
        <v>16281860559</v>
      </c>
    </row>
    <row r="900" spans="1:9">
      <c r="A900" s="2043" t="s">
        <v>1066</v>
      </c>
      <c r="B900" s="2043">
        <v>7391942531</v>
      </c>
      <c r="C900" s="2043">
        <v>7311908487</v>
      </c>
      <c r="D900" s="2043">
        <v>7391942531</v>
      </c>
      <c r="E900" s="2043">
        <v>7311908487</v>
      </c>
      <c r="F900" s="2043">
        <v>7391942531</v>
      </c>
      <c r="G900" s="2043">
        <v>7311908487</v>
      </c>
      <c r="H900" s="2043">
        <v>7391942531</v>
      </c>
      <c r="I900" s="2043">
        <v>7311908487</v>
      </c>
    </row>
    <row r="901" spans="1:9">
      <c r="A901" s="2043" t="s">
        <v>2307</v>
      </c>
      <c r="B901" s="2043">
        <v>1974188219</v>
      </c>
      <c r="C901" s="2043">
        <v>1941203000</v>
      </c>
      <c r="D901" s="2043">
        <v>1851922705</v>
      </c>
      <c r="E901" s="2043">
        <v>1818937486</v>
      </c>
      <c r="F901" s="2043">
        <v>1974188219</v>
      </c>
      <c r="G901" s="2043">
        <v>1941203000</v>
      </c>
      <c r="H901" s="2043">
        <v>1851922705</v>
      </c>
      <c r="I901" s="2043">
        <v>1818937486</v>
      </c>
    </row>
    <row r="902" spans="1:9">
      <c r="A902" s="2043" t="s">
        <v>1244</v>
      </c>
      <c r="B902" s="2043">
        <v>14192003955</v>
      </c>
      <c r="C902" s="2043">
        <v>14040762443</v>
      </c>
      <c r="D902" s="2043">
        <v>13303575854</v>
      </c>
      <c r="E902" s="2043">
        <v>13152334342</v>
      </c>
      <c r="F902" s="2043">
        <v>14192003955</v>
      </c>
      <c r="G902" s="2043">
        <v>14040762443</v>
      </c>
      <c r="H902" s="2043">
        <v>13303575854</v>
      </c>
      <c r="I902" s="2043">
        <v>13152334342</v>
      </c>
    </row>
    <row r="903" spans="1:9">
      <c r="A903" s="2043" t="s">
        <v>1245</v>
      </c>
      <c r="B903" s="2043">
        <v>341644474</v>
      </c>
      <c r="C903" s="2043">
        <v>331517076</v>
      </c>
      <c r="D903" s="2043">
        <v>341644474</v>
      </c>
      <c r="E903" s="2043">
        <v>331517076</v>
      </c>
      <c r="F903" s="2043">
        <v>341644474</v>
      </c>
      <c r="G903" s="2043">
        <v>331517076</v>
      </c>
      <c r="H903" s="2043">
        <v>341644474</v>
      </c>
      <c r="I903" s="2043">
        <v>331517076</v>
      </c>
    </row>
    <row r="904" spans="1:9">
      <c r="A904" s="2043" t="s">
        <v>1246</v>
      </c>
      <c r="B904" s="2043">
        <v>441050673</v>
      </c>
      <c r="C904" s="2043">
        <v>425568997</v>
      </c>
      <c r="D904" s="2043">
        <v>441050673</v>
      </c>
      <c r="E904" s="2043">
        <v>425568997</v>
      </c>
      <c r="F904" s="2043">
        <v>441050673</v>
      </c>
      <c r="G904" s="2043">
        <v>425568997</v>
      </c>
      <c r="H904" s="2043">
        <v>441050673</v>
      </c>
      <c r="I904" s="2043">
        <v>425568997</v>
      </c>
    </row>
    <row r="905" spans="1:9">
      <c r="A905" s="2043" t="s">
        <v>1247</v>
      </c>
      <c r="B905" s="2043">
        <v>36623653</v>
      </c>
      <c r="C905" s="2043">
        <v>34802459</v>
      </c>
      <c r="D905" s="2043">
        <v>36623653</v>
      </c>
      <c r="E905" s="2043">
        <v>34802459</v>
      </c>
      <c r="F905" s="2043">
        <v>36623653</v>
      </c>
      <c r="G905" s="2043">
        <v>34802459</v>
      </c>
      <c r="H905" s="2043">
        <v>36623653</v>
      </c>
      <c r="I905" s="2043">
        <v>34802459</v>
      </c>
    </row>
    <row r="906" spans="1:9">
      <c r="A906" s="2043" t="s">
        <v>1248</v>
      </c>
      <c r="B906" s="2043">
        <v>54754344</v>
      </c>
      <c r="C906" s="2043">
        <v>52283270</v>
      </c>
      <c r="D906" s="2043">
        <v>54754344</v>
      </c>
      <c r="E906" s="2043">
        <v>52283270</v>
      </c>
      <c r="F906" s="2043">
        <v>54754344</v>
      </c>
      <c r="G906" s="2043">
        <v>52283270</v>
      </c>
      <c r="H906" s="2043">
        <v>54754344</v>
      </c>
      <c r="I906" s="2043">
        <v>52283270</v>
      </c>
    </row>
    <row r="907" spans="1:9">
      <c r="A907" s="2043" t="s">
        <v>1349</v>
      </c>
      <c r="B907" s="2043">
        <v>154014347</v>
      </c>
      <c r="C907" s="2043">
        <v>148327570</v>
      </c>
      <c r="D907" s="2043">
        <v>154014347</v>
      </c>
      <c r="E907" s="2043">
        <v>148327570</v>
      </c>
      <c r="F907" s="2043">
        <v>154014347</v>
      </c>
      <c r="G907" s="2043">
        <v>148327570</v>
      </c>
      <c r="H907" s="2043">
        <v>154014347</v>
      </c>
      <c r="I907" s="2043">
        <v>148327570</v>
      </c>
    </row>
    <row r="908" spans="1:9">
      <c r="A908" s="2043" t="s">
        <v>1707</v>
      </c>
      <c r="B908" s="2043">
        <v>598312288</v>
      </c>
      <c r="C908" s="2043">
        <v>580111838</v>
      </c>
      <c r="D908" s="2043">
        <v>598312288</v>
      </c>
      <c r="E908" s="2043">
        <v>580111838</v>
      </c>
      <c r="F908" s="2043">
        <v>648524206</v>
      </c>
      <c r="G908" s="2043">
        <v>630323756</v>
      </c>
      <c r="H908" s="2043">
        <v>648524206</v>
      </c>
      <c r="I908" s="2043">
        <v>630323756</v>
      </c>
    </row>
    <row r="909" spans="1:9">
      <c r="A909" s="2043" t="s">
        <v>1180</v>
      </c>
      <c r="B909" s="2043">
        <v>93363972</v>
      </c>
      <c r="C909" s="2043">
        <v>89188958</v>
      </c>
      <c r="D909" s="2043">
        <v>93363972</v>
      </c>
      <c r="E909" s="2043">
        <v>89188958</v>
      </c>
      <c r="F909" s="2043">
        <v>93363972</v>
      </c>
      <c r="G909" s="2043">
        <v>89188958</v>
      </c>
      <c r="H909" s="2043">
        <v>93363972</v>
      </c>
      <c r="I909" s="2043">
        <v>89188958</v>
      </c>
    </row>
    <row r="910" spans="1:9">
      <c r="A910" s="2043" t="s">
        <v>68</v>
      </c>
      <c r="B910" s="2043">
        <v>81945706</v>
      </c>
      <c r="C910" s="2043">
        <v>78980655</v>
      </c>
      <c r="D910" s="2043">
        <v>81945706</v>
      </c>
      <c r="E910" s="2043">
        <v>78980655</v>
      </c>
      <c r="F910" s="2043">
        <v>81945706</v>
      </c>
      <c r="G910" s="2043">
        <v>78980655</v>
      </c>
      <c r="H910" s="2043">
        <v>81945706</v>
      </c>
      <c r="I910" s="2043">
        <v>78980655</v>
      </c>
    </row>
    <row r="911" spans="1:9">
      <c r="A911" s="2043" t="s">
        <v>1709</v>
      </c>
      <c r="B911" s="2043">
        <v>238818458</v>
      </c>
      <c r="C911" s="2043">
        <v>230452452</v>
      </c>
      <c r="D911" s="2043">
        <v>238818458</v>
      </c>
      <c r="E911" s="2043">
        <v>230452452</v>
      </c>
      <c r="F911" s="2043">
        <v>238818458</v>
      </c>
      <c r="G911" s="2043">
        <v>230452452</v>
      </c>
      <c r="H911" s="2043">
        <v>238818458</v>
      </c>
      <c r="I911" s="2043">
        <v>230452452</v>
      </c>
    </row>
    <row r="912" spans="1:9">
      <c r="A912" s="2043" t="s">
        <v>1710</v>
      </c>
      <c r="B912" s="2043">
        <v>930940664</v>
      </c>
      <c r="C912" s="2043">
        <v>894323390</v>
      </c>
      <c r="D912" s="2043">
        <v>930940664</v>
      </c>
      <c r="E912" s="2043">
        <v>894323390</v>
      </c>
      <c r="F912" s="2043">
        <v>930940664</v>
      </c>
      <c r="G912" s="2043">
        <v>894323390</v>
      </c>
      <c r="H912" s="2043">
        <v>930940664</v>
      </c>
      <c r="I912" s="2043">
        <v>894323390</v>
      </c>
    </row>
    <row r="913" spans="1:9">
      <c r="A913" s="2043" t="s">
        <v>1329</v>
      </c>
      <c r="B913" s="2043">
        <v>176070760</v>
      </c>
      <c r="C913" s="2043">
        <v>167360843</v>
      </c>
      <c r="D913" s="2043">
        <v>176070760</v>
      </c>
      <c r="E913" s="2043">
        <v>167360843</v>
      </c>
      <c r="F913" s="2043">
        <v>176070760</v>
      </c>
      <c r="G913" s="2043">
        <v>167360843</v>
      </c>
      <c r="H913" s="2043">
        <v>176070760</v>
      </c>
      <c r="I913" s="2043">
        <v>167360843</v>
      </c>
    </row>
    <row r="914" spans="1:9">
      <c r="A914" s="2043" t="s">
        <v>1021</v>
      </c>
      <c r="B914" s="2043">
        <v>96252632</v>
      </c>
      <c r="C914" s="2043">
        <v>91464725</v>
      </c>
      <c r="D914" s="2043">
        <v>96252632</v>
      </c>
      <c r="E914" s="2043">
        <v>91464725</v>
      </c>
      <c r="F914" s="2043">
        <v>96252632</v>
      </c>
      <c r="G914" s="2043">
        <v>91464725</v>
      </c>
      <c r="H914" s="2043">
        <v>96252632</v>
      </c>
      <c r="I914" s="2043">
        <v>91464725</v>
      </c>
    </row>
    <row r="915" spans="1:9">
      <c r="A915" s="2043" t="s">
        <v>1757</v>
      </c>
      <c r="B915" s="2043">
        <v>447629883</v>
      </c>
      <c r="C915" s="2043">
        <v>428234116</v>
      </c>
      <c r="D915" s="2043">
        <v>447629883</v>
      </c>
      <c r="E915" s="2043">
        <v>428234116</v>
      </c>
      <c r="F915" s="2043">
        <v>447629883</v>
      </c>
      <c r="G915" s="2043">
        <v>428234116</v>
      </c>
      <c r="H915" s="2043">
        <v>447629883</v>
      </c>
      <c r="I915" s="2043">
        <v>428234116</v>
      </c>
    </row>
    <row r="916" spans="1:9">
      <c r="A916" s="2043" t="s">
        <v>1022</v>
      </c>
      <c r="B916" s="2043">
        <v>249279173</v>
      </c>
      <c r="C916" s="2043">
        <v>237781472</v>
      </c>
      <c r="D916" s="2043">
        <v>249279173</v>
      </c>
      <c r="E916" s="2043">
        <v>237781472</v>
      </c>
      <c r="F916" s="2043">
        <v>249279173</v>
      </c>
      <c r="G916" s="2043">
        <v>237781472</v>
      </c>
      <c r="H916" s="2043">
        <v>249279173</v>
      </c>
      <c r="I916" s="2043">
        <v>237781472</v>
      </c>
    </row>
    <row r="917" spans="1:9">
      <c r="A917" s="2043" t="s">
        <v>1023</v>
      </c>
      <c r="B917" s="2043">
        <v>164640818</v>
      </c>
      <c r="C917" s="2043">
        <v>157507564</v>
      </c>
      <c r="D917" s="2043">
        <v>164640818</v>
      </c>
      <c r="E917" s="2043">
        <v>157507564</v>
      </c>
      <c r="F917" s="2043">
        <v>164640818</v>
      </c>
      <c r="G917" s="2043">
        <v>157507564</v>
      </c>
      <c r="H917" s="2043">
        <v>164640818</v>
      </c>
      <c r="I917" s="2043">
        <v>157507564</v>
      </c>
    </row>
    <row r="918" spans="1:9">
      <c r="A918" s="2043" t="s">
        <v>1024</v>
      </c>
      <c r="B918" s="2043">
        <v>888086024</v>
      </c>
      <c r="C918" s="2043">
        <v>883170275</v>
      </c>
      <c r="D918" s="2043">
        <v>884396318</v>
      </c>
      <c r="E918" s="2043">
        <v>879480569</v>
      </c>
      <c r="F918" s="2043">
        <v>1139486124</v>
      </c>
      <c r="G918" s="2043">
        <v>1134570375</v>
      </c>
      <c r="H918" s="2043">
        <v>1135796418</v>
      </c>
      <c r="I918" s="2043">
        <v>1130880669</v>
      </c>
    </row>
    <row r="919" spans="1:9">
      <c r="A919" s="2043" t="s">
        <v>1025</v>
      </c>
      <c r="B919" s="2043">
        <v>3876776620</v>
      </c>
      <c r="C919" s="2043">
        <v>3874581606</v>
      </c>
      <c r="D919" s="2043">
        <v>3876776620</v>
      </c>
      <c r="E919" s="2043">
        <v>3874581606</v>
      </c>
      <c r="F919" s="2043">
        <v>4872322980</v>
      </c>
      <c r="G919" s="2043">
        <v>4870127966</v>
      </c>
      <c r="H919" s="2043">
        <v>4872322980</v>
      </c>
      <c r="I919" s="2043">
        <v>4870127966</v>
      </c>
    </row>
    <row r="920" spans="1:9">
      <c r="A920" s="2043" t="s">
        <v>54</v>
      </c>
      <c r="B920" s="2043">
        <v>87774338</v>
      </c>
      <c r="C920" s="2043">
        <v>86145140</v>
      </c>
      <c r="D920" s="2043">
        <v>87774338</v>
      </c>
      <c r="E920" s="2043">
        <v>86145140</v>
      </c>
      <c r="F920" s="2043">
        <v>114846258</v>
      </c>
      <c r="G920" s="2043">
        <v>113217060</v>
      </c>
      <c r="H920" s="2043">
        <v>114846258</v>
      </c>
      <c r="I920" s="2043">
        <v>113217060</v>
      </c>
    </row>
    <row r="921" spans="1:9">
      <c r="A921" s="2043" t="s">
        <v>1454</v>
      </c>
      <c r="B921" s="2043">
        <v>403984299</v>
      </c>
      <c r="C921" s="2043">
        <v>398697680</v>
      </c>
      <c r="D921" s="2043">
        <v>403984299</v>
      </c>
      <c r="E921" s="2043">
        <v>398697680</v>
      </c>
      <c r="F921" s="2043">
        <v>403984299</v>
      </c>
      <c r="G921" s="2043">
        <v>398697680</v>
      </c>
      <c r="H921" s="2043">
        <v>403984299</v>
      </c>
      <c r="I921" s="2043">
        <v>398697680</v>
      </c>
    </row>
    <row r="922" spans="1:9">
      <c r="A922" s="2043" t="s">
        <v>1432</v>
      </c>
      <c r="B922" s="2043">
        <v>1243830409</v>
      </c>
      <c r="C922" s="2043">
        <v>1204913214</v>
      </c>
      <c r="D922" s="2043">
        <v>1243830409</v>
      </c>
      <c r="E922" s="2043">
        <v>1204913214</v>
      </c>
      <c r="F922" s="2043">
        <v>1321758489</v>
      </c>
      <c r="G922" s="2043">
        <v>1282841294</v>
      </c>
      <c r="H922" s="2043">
        <v>1321758489</v>
      </c>
      <c r="I922" s="2043">
        <v>1282841294</v>
      </c>
    </row>
    <row r="923" spans="1:9">
      <c r="A923" s="2043" t="s">
        <v>1243</v>
      </c>
      <c r="B923" s="2043">
        <v>226285926</v>
      </c>
      <c r="C923" s="2043">
        <v>222285695</v>
      </c>
      <c r="D923" s="2043">
        <v>226285926</v>
      </c>
      <c r="E923" s="2043">
        <v>222285695</v>
      </c>
      <c r="F923" s="2043">
        <v>226285926</v>
      </c>
      <c r="G923" s="2043">
        <v>222285695</v>
      </c>
      <c r="H923" s="2043">
        <v>226285926</v>
      </c>
      <c r="I923" s="2043">
        <v>222285695</v>
      </c>
    </row>
    <row r="924" spans="1:9">
      <c r="A924" s="2043" t="s">
        <v>460</v>
      </c>
      <c r="B924" s="2043">
        <v>2224732433</v>
      </c>
      <c r="C924" s="2043">
        <v>2139399813</v>
      </c>
      <c r="D924" s="2043">
        <v>2125296446</v>
      </c>
      <c r="E924" s="2043">
        <v>2039963826</v>
      </c>
      <c r="F924" s="2043">
        <v>2224732433</v>
      </c>
      <c r="G924" s="2043">
        <v>2139399813</v>
      </c>
      <c r="H924" s="2043">
        <v>2125296446</v>
      </c>
      <c r="I924" s="2043">
        <v>2039963826</v>
      </c>
    </row>
    <row r="925" spans="1:9">
      <c r="A925" s="2043" t="s">
        <v>785</v>
      </c>
      <c r="B925" s="2043">
        <v>232454990</v>
      </c>
      <c r="C925" s="2043">
        <v>231118771</v>
      </c>
      <c r="D925" s="2043">
        <v>232059197</v>
      </c>
      <c r="E925" s="2043">
        <v>230722978</v>
      </c>
      <c r="F925" s="2043">
        <v>232454990</v>
      </c>
      <c r="G925" s="2043">
        <v>231118771</v>
      </c>
      <c r="H925" s="2043">
        <v>232059197</v>
      </c>
      <c r="I925" s="2043">
        <v>230722978</v>
      </c>
    </row>
    <row r="926" spans="1:9">
      <c r="A926" s="2043" t="s">
        <v>787</v>
      </c>
      <c r="B926" s="2043">
        <v>833745616</v>
      </c>
      <c r="C926" s="2043">
        <v>805441664</v>
      </c>
      <c r="D926" s="2043">
        <v>833745616</v>
      </c>
      <c r="E926" s="2043">
        <v>805441664</v>
      </c>
      <c r="F926" s="2043">
        <v>833745616</v>
      </c>
      <c r="G926" s="2043">
        <v>805441664</v>
      </c>
      <c r="H926" s="2043">
        <v>833745616</v>
      </c>
      <c r="I926" s="2043">
        <v>805441664</v>
      </c>
    </row>
    <row r="927" spans="1:9">
      <c r="A927" s="2043" t="s">
        <v>788</v>
      </c>
      <c r="B927" s="2043">
        <v>279313219</v>
      </c>
      <c r="C927" s="2043">
        <v>267459032</v>
      </c>
      <c r="D927" s="2043">
        <v>279313219</v>
      </c>
      <c r="E927" s="2043">
        <v>267459032</v>
      </c>
      <c r="F927" s="2043">
        <v>279313219</v>
      </c>
      <c r="G927" s="2043">
        <v>267459032</v>
      </c>
      <c r="H927" s="2043">
        <v>279313219</v>
      </c>
      <c r="I927" s="2043">
        <v>267459032</v>
      </c>
    </row>
    <row r="928" spans="1:9">
      <c r="A928" s="2043" t="s">
        <v>1443</v>
      </c>
      <c r="B928" s="2043">
        <v>314644436</v>
      </c>
      <c r="C928" s="2043">
        <v>300768105</v>
      </c>
      <c r="D928" s="2043">
        <v>297036419</v>
      </c>
      <c r="E928" s="2043">
        <v>283160088</v>
      </c>
      <c r="F928" s="2043">
        <v>314644436</v>
      </c>
      <c r="G928" s="2043">
        <v>300768105</v>
      </c>
      <c r="H928" s="2043">
        <v>297036419</v>
      </c>
      <c r="I928" s="2043">
        <v>283160088</v>
      </c>
    </row>
    <row r="929" spans="1:9">
      <c r="A929" s="2043" t="s">
        <v>1732</v>
      </c>
      <c r="B929" s="2043">
        <v>127122969</v>
      </c>
      <c r="C929" s="2043">
        <v>122524063</v>
      </c>
      <c r="D929" s="2043">
        <v>127122969</v>
      </c>
      <c r="E929" s="2043">
        <v>122524063</v>
      </c>
      <c r="F929" s="2043">
        <v>127122969</v>
      </c>
      <c r="G929" s="2043">
        <v>122524063</v>
      </c>
      <c r="H929" s="2043">
        <v>127122969</v>
      </c>
      <c r="I929" s="2043">
        <v>122524063</v>
      </c>
    </row>
    <row r="930" spans="1:9">
      <c r="A930" s="2043" t="s">
        <v>789</v>
      </c>
      <c r="B930" s="2043">
        <v>753236949</v>
      </c>
      <c r="C930" s="2043">
        <v>721123214</v>
      </c>
      <c r="D930" s="2043">
        <v>703553320</v>
      </c>
      <c r="E930" s="2043">
        <v>671439585</v>
      </c>
      <c r="F930" s="2043">
        <v>753236949</v>
      </c>
      <c r="G930" s="2043">
        <v>721123214</v>
      </c>
      <c r="H930" s="2043">
        <v>703553320</v>
      </c>
      <c r="I930" s="2043">
        <v>671439585</v>
      </c>
    </row>
    <row r="931" spans="1:9">
      <c r="A931" s="2043" t="s">
        <v>790</v>
      </c>
      <c r="B931" s="2043">
        <v>793081614</v>
      </c>
      <c r="C931" s="2043">
        <v>764990501</v>
      </c>
      <c r="D931" s="2043">
        <v>793081614</v>
      </c>
      <c r="E931" s="2043">
        <v>764990501</v>
      </c>
      <c r="F931" s="2043">
        <v>793081614</v>
      </c>
      <c r="G931" s="2043">
        <v>764990501</v>
      </c>
      <c r="H931" s="2043">
        <v>793081614</v>
      </c>
      <c r="I931" s="2043">
        <v>764990501</v>
      </c>
    </row>
    <row r="932" spans="1:9">
      <c r="A932" s="2043" t="s">
        <v>1341</v>
      </c>
      <c r="B932" s="2043">
        <v>59310832</v>
      </c>
      <c r="C932" s="2043">
        <v>55732969</v>
      </c>
      <c r="D932" s="2043">
        <v>54974898</v>
      </c>
      <c r="E932" s="2043">
        <v>51397035</v>
      </c>
      <c r="F932" s="2043">
        <v>59310832</v>
      </c>
      <c r="G932" s="2043">
        <v>55732969</v>
      </c>
      <c r="H932" s="2043">
        <v>54974898</v>
      </c>
      <c r="I932" s="2043">
        <v>51397035</v>
      </c>
    </row>
    <row r="933" spans="1:9">
      <c r="A933" s="2043" t="s">
        <v>830</v>
      </c>
      <c r="B933" s="2043">
        <v>235209998</v>
      </c>
      <c r="C933" s="2043">
        <v>229867723</v>
      </c>
      <c r="D933" s="2043">
        <v>235209998</v>
      </c>
      <c r="E933" s="2043">
        <v>229867723</v>
      </c>
      <c r="F933" s="2043">
        <v>235209998</v>
      </c>
      <c r="G933" s="2043">
        <v>229867723</v>
      </c>
      <c r="H933" s="2043">
        <v>235209998</v>
      </c>
      <c r="I933" s="2043">
        <v>229867723</v>
      </c>
    </row>
    <row r="934" spans="1:9">
      <c r="A934" s="2043" t="s">
        <v>323</v>
      </c>
      <c r="B934" s="2043">
        <v>6197889866</v>
      </c>
      <c r="C934" s="2043">
        <v>6037468226</v>
      </c>
      <c r="D934" s="2043">
        <v>6197889866</v>
      </c>
      <c r="E934" s="2043">
        <v>6037468226</v>
      </c>
      <c r="F934" s="2043">
        <v>6197889866</v>
      </c>
      <c r="G934" s="2043">
        <v>6037468226</v>
      </c>
      <c r="H934" s="2043">
        <v>6197889866</v>
      </c>
      <c r="I934" s="2043">
        <v>6037468226</v>
      </c>
    </row>
    <row r="935" spans="1:9">
      <c r="A935" s="2043" t="s">
        <v>2453</v>
      </c>
      <c r="B935" s="2043">
        <v>265798891</v>
      </c>
      <c r="C935" s="2043">
        <v>261617373</v>
      </c>
      <c r="D935" s="2043">
        <v>265798891</v>
      </c>
      <c r="E935" s="2043">
        <v>261617373</v>
      </c>
      <c r="F935" s="2043">
        <v>265798891</v>
      </c>
      <c r="G935" s="2043">
        <v>261617373</v>
      </c>
      <c r="H935" s="2043">
        <v>265798891</v>
      </c>
      <c r="I935" s="2043">
        <v>261617373</v>
      </c>
    </row>
    <row r="936" spans="1:9">
      <c r="A936" s="2043" t="s">
        <v>966</v>
      </c>
      <c r="B936" s="2043">
        <v>400659116</v>
      </c>
      <c r="C936" s="2043">
        <v>391624825</v>
      </c>
      <c r="D936" s="2043">
        <v>400659116</v>
      </c>
      <c r="E936" s="2043">
        <v>391624825</v>
      </c>
      <c r="F936" s="2043">
        <v>400659116</v>
      </c>
      <c r="G936" s="2043">
        <v>391624825</v>
      </c>
      <c r="H936" s="2043">
        <v>400659116</v>
      </c>
      <c r="I936" s="2043">
        <v>391624825</v>
      </c>
    </row>
    <row r="937" spans="1:9">
      <c r="A937" s="2043" t="s">
        <v>1086</v>
      </c>
      <c r="B937" s="2043">
        <v>3420146871</v>
      </c>
      <c r="C937" s="2043">
        <v>3354151636</v>
      </c>
      <c r="D937" s="2043">
        <v>3420146871</v>
      </c>
      <c r="E937" s="2043">
        <v>3354151636</v>
      </c>
      <c r="F937" s="2043">
        <v>3420146871</v>
      </c>
      <c r="G937" s="2043">
        <v>3354151636</v>
      </c>
      <c r="H937" s="2043">
        <v>3420146871</v>
      </c>
      <c r="I937" s="2043">
        <v>3354151636</v>
      </c>
    </row>
    <row r="938" spans="1:9">
      <c r="A938" s="2043" t="s">
        <v>262</v>
      </c>
      <c r="B938" s="2043">
        <v>647421093</v>
      </c>
      <c r="C938" s="2043">
        <v>633247781</v>
      </c>
      <c r="D938" s="2043">
        <v>647421093</v>
      </c>
      <c r="E938" s="2043">
        <v>633247781</v>
      </c>
      <c r="F938" s="2043">
        <v>647421093</v>
      </c>
      <c r="G938" s="2043">
        <v>633247781</v>
      </c>
      <c r="H938" s="2043">
        <v>647421093</v>
      </c>
      <c r="I938" s="2043">
        <v>633247781</v>
      </c>
    </row>
    <row r="939" spans="1:9">
      <c r="A939" s="2043" t="s">
        <v>263</v>
      </c>
      <c r="B939" s="2043">
        <v>3975653562</v>
      </c>
      <c r="C939" s="2043">
        <v>3908488578</v>
      </c>
      <c r="D939" s="2043">
        <v>3975653562</v>
      </c>
      <c r="E939" s="2043">
        <v>3908488578</v>
      </c>
      <c r="F939" s="2043">
        <v>4060338146</v>
      </c>
      <c r="G939" s="2043">
        <v>3993173162</v>
      </c>
      <c r="H939" s="2043">
        <v>4060338146</v>
      </c>
      <c r="I939" s="2043">
        <v>3993173162</v>
      </c>
    </row>
    <row r="940" spans="1:9">
      <c r="A940" s="2043" t="s">
        <v>587</v>
      </c>
      <c r="B940" s="2043">
        <v>1487477600</v>
      </c>
      <c r="C940" s="2043">
        <v>1473732885</v>
      </c>
      <c r="D940" s="2043">
        <v>1483778075</v>
      </c>
      <c r="E940" s="2043">
        <v>1470033360</v>
      </c>
      <c r="F940" s="2043">
        <v>1515867070</v>
      </c>
      <c r="G940" s="2043">
        <v>1502122355</v>
      </c>
      <c r="H940" s="2043">
        <v>1512167545</v>
      </c>
      <c r="I940" s="2043">
        <v>1498422830</v>
      </c>
    </row>
    <row r="941" spans="1:9">
      <c r="A941" s="2043" t="s">
        <v>588</v>
      </c>
      <c r="B941" s="2043">
        <v>3086390475</v>
      </c>
      <c r="C941" s="2043">
        <v>3067099705</v>
      </c>
      <c r="D941" s="2043">
        <v>3071332925</v>
      </c>
      <c r="E941" s="2043">
        <v>3052042155</v>
      </c>
      <c r="F941" s="2043">
        <v>3086390475</v>
      </c>
      <c r="G941" s="2043">
        <v>3067099705</v>
      </c>
      <c r="H941" s="2043">
        <v>3071332925</v>
      </c>
      <c r="I941" s="2043">
        <v>3052042155</v>
      </c>
    </row>
    <row r="942" spans="1:9">
      <c r="A942" s="2043" t="s">
        <v>589</v>
      </c>
      <c r="B942" s="2043">
        <v>211691433</v>
      </c>
      <c r="C942" s="2043">
        <v>211063513</v>
      </c>
      <c r="D942" s="2043">
        <v>211382573</v>
      </c>
      <c r="E942" s="2043">
        <v>210754653</v>
      </c>
      <c r="F942" s="2043">
        <v>211691433</v>
      </c>
      <c r="G942" s="2043">
        <v>211063513</v>
      </c>
      <c r="H942" s="2043">
        <v>211382573</v>
      </c>
      <c r="I942" s="2043">
        <v>210754653</v>
      </c>
    </row>
    <row r="943" spans="1:9">
      <c r="A943" s="2043" t="s">
        <v>2214</v>
      </c>
      <c r="B943" s="2043">
        <v>3030031213</v>
      </c>
      <c r="C943" s="2043">
        <v>2963369643</v>
      </c>
      <c r="D943" s="2043">
        <v>3030031213</v>
      </c>
      <c r="E943" s="2043">
        <v>2963369643</v>
      </c>
      <c r="F943" s="2043">
        <v>3030031213</v>
      </c>
      <c r="G943" s="2043">
        <v>2963369643</v>
      </c>
      <c r="H943" s="2043">
        <v>3030031213</v>
      </c>
      <c r="I943" s="2043">
        <v>2963369643</v>
      </c>
    </row>
    <row r="944" spans="1:9">
      <c r="A944" s="2043" t="s">
        <v>2215</v>
      </c>
      <c r="B944" s="2043">
        <v>728291808</v>
      </c>
      <c r="C944" s="2043">
        <v>720127122</v>
      </c>
      <c r="D944" s="2043">
        <v>728291808</v>
      </c>
      <c r="E944" s="2043">
        <v>720127122</v>
      </c>
      <c r="F944" s="2043">
        <v>728291808</v>
      </c>
      <c r="G944" s="2043">
        <v>720127122</v>
      </c>
      <c r="H944" s="2043">
        <v>728291808</v>
      </c>
      <c r="I944" s="2043">
        <v>720127122</v>
      </c>
    </row>
    <row r="945" spans="1:9">
      <c r="A945" s="2043" t="s">
        <v>1671</v>
      </c>
      <c r="B945" s="2043">
        <v>2572387395</v>
      </c>
      <c r="C945" s="2043">
        <v>2489790445</v>
      </c>
      <c r="D945" s="2043">
        <v>2531660816</v>
      </c>
      <c r="E945" s="2043">
        <v>2449063866</v>
      </c>
      <c r="F945" s="2043">
        <v>2572387395</v>
      </c>
      <c r="G945" s="2043">
        <v>2489790445</v>
      </c>
      <c r="H945" s="2043">
        <v>2531660816</v>
      </c>
      <c r="I945" s="2043">
        <v>2449063866</v>
      </c>
    </row>
    <row r="946" spans="1:9">
      <c r="A946" s="2043" t="s">
        <v>1431</v>
      </c>
      <c r="B946" s="2043">
        <v>19784112711</v>
      </c>
      <c r="C946" s="2043">
        <v>19526700586</v>
      </c>
      <c r="D946" s="2043">
        <v>19424192966</v>
      </c>
      <c r="E946" s="2043">
        <v>19166780841</v>
      </c>
      <c r="F946" s="2043">
        <v>19784112711</v>
      </c>
      <c r="G946" s="2043">
        <v>19526700586</v>
      </c>
      <c r="H946" s="2043">
        <v>19424192966</v>
      </c>
      <c r="I946" s="2043">
        <v>19166780841</v>
      </c>
    </row>
    <row r="947" spans="1:9">
      <c r="A947" s="2043" t="s">
        <v>879</v>
      </c>
      <c r="B947" s="2043">
        <v>589202338</v>
      </c>
      <c r="C947" s="2043">
        <v>587744506</v>
      </c>
      <c r="D947" s="2043">
        <v>588085978</v>
      </c>
      <c r="E947" s="2043">
        <v>586628146</v>
      </c>
      <c r="F947" s="2043">
        <v>1251374738</v>
      </c>
      <c r="G947" s="2043">
        <v>1249916906</v>
      </c>
      <c r="H947" s="2043">
        <v>1250258378</v>
      </c>
      <c r="I947" s="2043">
        <v>1248800546</v>
      </c>
    </row>
    <row r="948" spans="1:9">
      <c r="A948" s="2043" t="s">
        <v>880</v>
      </c>
      <c r="B948" s="2043">
        <v>441484218</v>
      </c>
      <c r="C948" s="2043">
        <v>431943587</v>
      </c>
      <c r="D948" s="2043">
        <v>441484218</v>
      </c>
      <c r="E948" s="2043">
        <v>431943587</v>
      </c>
      <c r="F948" s="2043">
        <v>441484218</v>
      </c>
      <c r="G948" s="2043">
        <v>431943587</v>
      </c>
      <c r="H948" s="2043">
        <v>441484218</v>
      </c>
      <c r="I948" s="2043">
        <v>431943587</v>
      </c>
    </row>
    <row r="949" spans="1:9">
      <c r="A949" s="2043" t="s">
        <v>881</v>
      </c>
      <c r="B949" s="2043">
        <v>415850923</v>
      </c>
      <c r="C949" s="2043">
        <v>405758486</v>
      </c>
      <c r="D949" s="2043">
        <v>415850923</v>
      </c>
      <c r="E949" s="2043">
        <v>405758486</v>
      </c>
      <c r="F949" s="2043">
        <v>415850923</v>
      </c>
      <c r="G949" s="2043">
        <v>405758486</v>
      </c>
      <c r="H949" s="2043">
        <v>415850923</v>
      </c>
      <c r="I949" s="2043">
        <v>405758486</v>
      </c>
    </row>
    <row r="950" spans="1:9">
      <c r="A950" s="2043" t="s">
        <v>536</v>
      </c>
      <c r="B950" s="2043">
        <v>1368041555</v>
      </c>
      <c r="C950" s="2043">
        <v>1332858057</v>
      </c>
      <c r="D950" s="2043">
        <v>1368041555</v>
      </c>
      <c r="E950" s="2043">
        <v>1332858057</v>
      </c>
      <c r="F950" s="2043">
        <v>1368041555</v>
      </c>
      <c r="G950" s="2043">
        <v>1332858057</v>
      </c>
      <c r="H950" s="2043">
        <v>1368041555</v>
      </c>
      <c r="I950" s="2043">
        <v>1332858057</v>
      </c>
    </row>
    <row r="951" spans="1:9">
      <c r="A951" s="2043" t="s">
        <v>855</v>
      </c>
      <c r="B951" s="2043">
        <v>1372241543</v>
      </c>
      <c r="C951" s="2043">
        <v>1349315113</v>
      </c>
      <c r="D951" s="2043">
        <v>1372241543</v>
      </c>
      <c r="E951" s="2043">
        <v>1349315113</v>
      </c>
      <c r="F951" s="2043">
        <v>1372241543</v>
      </c>
      <c r="G951" s="2043">
        <v>1349315113</v>
      </c>
      <c r="H951" s="2043">
        <v>1372241543</v>
      </c>
      <c r="I951" s="2043">
        <v>1349315113</v>
      </c>
    </row>
    <row r="952" spans="1:9">
      <c r="A952" s="2043" t="s">
        <v>856</v>
      </c>
      <c r="B952" s="2043">
        <v>288330586</v>
      </c>
      <c r="C952" s="2043">
        <v>282560518</v>
      </c>
      <c r="D952" s="2043">
        <v>288330586</v>
      </c>
      <c r="E952" s="2043">
        <v>282560518</v>
      </c>
      <c r="F952" s="2043">
        <v>288330586</v>
      </c>
      <c r="G952" s="2043">
        <v>282560518</v>
      </c>
      <c r="H952" s="2043">
        <v>288330586</v>
      </c>
      <c r="I952" s="2043">
        <v>282560518</v>
      </c>
    </row>
    <row r="953" spans="1:9">
      <c r="A953" s="2043" t="s">
        <v>857</v>
      </c>
      <c r="B953" s="2043">
        <v>141471669</v>
      </c>
      <c r="C953" s="2043">
        <v>136691986</v>
      </c>
      <c r="D953" s="2043">
        <v>141471669</v>
      </c>
      <c r="E953" s="2043">
        <v>136691986</v>
      </c>
      <c r="F953" s="2043">
        <v>141471669</v>
      </c>
      <c r="G953" s="2043">
        <v>136691986</v>
      </c>
      <c r="H953" s="2043">
        <v>141471669</v>
      </c>
      <c r="I953" s="2043">
        <v>136691986</v>
      </c>
    </row>
    <row r="954" spans="1:9">
      <c r="A954" s="2043" t="s">
        <v>858</v>
      </c>
      <c r="B954" s="2043">
        <v>297745006</v>
      </c>
      <c r="C954" s="2043">
        <v>293911596</v>
      </c>
      <c r="D954" s="2043">
        <v>297745006</v>
      </c>
      <c r="E954" s="2043">
        <v>293911596</v>
      </c>
      <c r="F954" s="2043">
        <v>297745006</v>
      </c>
      <c r="G954" s="2043">
        <v>293911596</v>
      </c>
      <c r="H954" s="2043">
        <v>297745006</v>
      </c>
      <c r="I954" s="2043">
        <v>293911596</v>
      </c>
    </row>
    <row r="955" spans="1:9">
      <c r="A955" s="2043" t="s">
        <v>1628</v>
      </c>
      <c r="B955" s="2043">
        <v>609530637</v>
      </c>
      <c r="C955" s="2043">
        <v>609240917</v>
      </c>
      <c r="D955" s="2043">
        <v>609530637</v>
      </c>
      <c r="E955" s="2043">
        <v>609240917</v>
      </c>
      <c r="F955" s="2043">
        <v>609530637</v>
      </c>
      <c r="G955" s="2043">
        <v>609240917</v>
      </c>
      <c r="H955" s="2043">
        <v>609530637</v>
      </c>
      <c r="I955" s="2043">
        <v>609240917</v>
      </c>
    </row>
    <row r="956" spans="1:9">
      <c r="A956" s="2043" t="s">
        <v>2194</v>
      </c>
      <c r="B956" s="2043">
        <v>1174933106</v>
      </c>
      <c r="C956" s="2043">
        <v>1173159656</v>
      </c>
      <c r="D956" s="2043">
        <v>1174933106</v>
      </c>
      <c r="E956" s="2043">
        <v>1173159656</v>
      </c>
      <c r="F956" s="2043">
        <v>1200440256</v>
      </c>
      <c r="G956" s="2043">
        <v>1198666806</v>
      </c>
      <c r="H956" s="2043">
        <v>1200440256</v>
      </c>
      <c r="I956" s="2043">
        <v>1198666806</v>
      </c>
    </row>
    <row r="957" spans="1:9">
      <c r="A957" s="2043" t="s">
        <v>837</v>
      </c>
      <c r="B957" s="2043">
        <v>935746039</v>
      </c>
      <c r="C957" s="2043">
        <v>904122226</v>
      </c>
      <c r="D957" s="2043">
        <v>935746039</v>
      </c>
      <c r="E957" s="2043">
        <v>904122226</v>
      </c>
      <c r="F957" s="2043">
        <v>935746039</v>
      </c>
      <c r="G957" s="2043">
        <v>904122226</v>
      </c>
      <c r="H957" s="2043">
        <v>935746039</v>
      </c>
      <c r="I957" s="2043">
        <v>904122226</v>
      </c>
    </row>
    <row r="958" spans="1:9">
      <c r="A958" s="2043" t="s">
        <v>1181</v>
      </c>
      <c r="B958" s="2043">
        <v>188748604</v>
      </c>
      <c r="C958" s="2043">
        <v>183586423</v>
      </c>
      <c r="D958" s="2043">
        <v>188748604</v>
      </c>
      <c r="E958" s="2043">
        <v>183586423</v>
      </c>
      <c r="F958" s="2043">
        <v>188748604</v>
      </c>
      <c r="G958" s="2043">
        <v>183586423</v>
      </c>
      <c r="H958" s="2043">
        <v>188748604</v>
      </c>
      <c r="I958" s="2043">
        <v>183586423</v>
      </c>
    </row>
    <row r="959" spans="1:9">
      <c r="A959" s="2043" t="s">
        <v>605</v>
      </c>
      <c r="B959" s="2043">
        <v>617100897</v>
      </c>
      <c r="C959" s="2043">
        <v>592677848</v>
      </c>
      <c r="D959" s="2043">
        <v>617100897</v>
      </c>
      <c r="E959" s="2043">
        <v>592677848</v>
      </c>
      <c r="F959" s="2043">
        <v>617100897</v>
      </c>
      <c r="G959" s="2043">
        <v>592677848</v>
      </c>
      <c r="H959" s="2043">
        <v>617100897</v>
      </c>
      <c r="I959" s="2043">
        <v>592677848</v>
      </c>
    </row>
    <row r="960" spans="1:9">
      <c r="A960" s="2043" t="s">
        <v>1724</v>
      </c>
      <c r="B960" s="2043">
        <v>4749027295</v>
      </c>
      <c r="C960" s="2043">
        <v>4599992808</v>
      </c>
      <c r="D960" s="2043">
        <v>4749027295</v>
      </c>
      <c r="E960" s="2043">
        <v>4599992808</v>
      </c>
      <c r="F960" s="2043">
        <v>4749027295</v>
      </c>
      <c r="G960" s="2043">
        <v>4599992808</v>
      </c>
      <c r="H960" s="2043">
        <v>4749027295</v>
      </c>
      <c r="I960" s="2043">
        <v>4599992808</v>
      </c>
    </row>
    <row r="961" spans="1:9">
      <c r="A961" s="2043" t="s">
        <v>538</v>
      </c>
      <c r="B961" s="2043">
        <v>212678664</v>
      </c>
      <c r="C961" s="2043">
        <v>204410591</v>
      </c>
      <c r="D961" s="2043">
        <v>212678664</v>
      </c>
      <c r="E961" s="2043">
        <v>204410591</v>
      </c>
      <c r="F961" s="2043">
        <v>212678664</v>
      </c>
      <c r="G961" s="2043">
        <v>204410591</v>
      </c>
      <c r="H961" s="2043">
        <v>212678664</v>
      </c>
      <c r="I961" s="2043">
        <v>204410591</v>
      </c>
    </row>
    <row r="962" spans="1:9">
      <c r="A962" s="2043" t="s">
        <v>1282</v>
      </c>
      <c r="B962" s="2043">
        <v>97929836</v>
      </c>
      <c r="C962" s="2043">
        <v>97617866</v>
      </c>
      <c r="D962" s="2043">
        <v>97929836</v>
      </c>
      <c r="E962" s="2043">
        <v>97617866</v>
      </c>
      <c r="F962" s="2043">
        <v>162841656</v>
      </c>
      <c r="G962" s="2043">
        <v>162529686</v>
      </c>
      <c r="H962" s="2043">
        <v>162841656</v>
      </c>
      <c r="I962" s="2043">
        <v>162529686</v>
      </c>
    </row>
    <row r="963" spans="1:9">
      <c r="A963" s="2043" t="s">
        <v>9</v>
      </c>
      <c r="B963" s="2043">
        <v>906208450</v>
      </c>
      <c r="C963" s="2043">
        <v>883757678</v>
      </c>
      <c r="D963" s="2043">
        <v>906208450</v>
      </c>
      <c r="E963" s="2043">
        <v>883757678</v>
      </c>
      <c r="F963" s="2043">
        <v>999229090</v>
      </c>
      <c r="G963" s="2043">
        <v>976778318</v>
      </c>
      <c r="H963" s="2043">
        <v>999229090</v>
      </c>
      <c r="I963" s="2043">
        <v>976778318</v>
      </c>
    </row>
    <row r="964" spans="1:9">
      <c r="A964" s="2043" t="s">
        <v>10</v>
      </c>
      <c r="B964" s="2043">
        <v>44891766</v>
      </c>
      <c r="C964" s="2043">
        <v>44351566</v>
      </c>
      <c r="D964" s="2043">
        <v>44891766</v>
      </c>
      <c r="E964" s="2043">
        <v>44351566</v>
      </c>
      <c r="F964" s="2043">
        <v>70947576</v>
      </c>
      <c r="G964" s="2043">
        <v>70407376</v>
      </c>
      <c r="H964" s="2043">
        <v>70947576</v>
      </c>
      <c r="I964" s="2043">
        <v>70407376</v>
      </c>
    </row>
    <row r="965" spans="1:9">
      <c r="A965" s="2043" t="s">
        <v>403</v>
      </c>
      <c r="B965" s="2043">
        <v>350359694</v>
      </c>
      <c r="C965" s="2043">
        <v>335917846</v>
      </c>
      <c r="D965" s="2043">
        <v>350359694</v>
      </c>
      <c r="E965" s="2043">
        <v>335917846</v>
      </c>
      <c r="F965" s="2043">
        <v>400488254</v>
      </c>
      <c r="G965" s="2043">
        <v>386046406</v>
      </c>
      <c r="H965" s="2043">
        <v>400488254</v>
      </c>
      <c r="I965" s="2043">
        <v>386046406</v>
      </c>
    </row>
    <row r="966" spans="1:9">
      <c r="A966" s="2043" t="s">
        <v>264</v>
      </c>
      <c r="B966" s="2043">
        <v>118353508</v>
      </c>
      <c r="C966" s="2043">
        <v>116019451</v>
      </c>
      <c r="D966" s="2043">
        <v>118353508</v>
      </c>
      <c r="E966" s="2043">
        <v>116019451</v>
      </c>
      <c r="F966" s="2043">
        <v>322573270</v>
      </c>
      <c r="G966" s="2043">
        <v>320239213</v>
      </c>
      <c r="H966" s="2043">
        <v>322573270</v>
      </c>
      <c r="I966" s="2043">
        <v>320239213</v>
      </c>
    </row>
    <row r="967" spans="1:9">
      <c r="A967" s="2043" t="s">
        <v>1262</v>
      </c>
      <c r="B967" s="2043">
        <v>453018890</v>
      </c>
      <c r="C967" s="2043">
        <v>441865481</v>
      </c>
      <c r="D967" s="2043">
        <v>453018890</v>
      </c>
      <c r="E967" s="2043">
        <v>441865481</v>
      </c>
      <c r="F967" s="2043">
        <v>453018890</v>
      </c>
      <c r="G967" s="2043">
        <v>441865481</v>
      </c>
      <c r="H967" s="2043">
        <v>453018890</v>
      </c>
      <c r="I967" s="2043">
        <v>441865481</v>
      </c>
    </row>
    <row r="968" spans="1:9">
      <c r="A968" s="2043" t="s">
        <v>2437</v>
      </c>
      <c r="B968" s="2043">
        <v>11034139316</v>
      </c>
      <c r="C968" s="2043">
        <v>10812185369</v>
      </c>
      <c r="D968" s="2043">
        <v>11034139316</v>
      </c>
      <c r="E968" s="2043">
        <v>10812185369</v>
      </c>
      <c r="F968" s="2043">
        <v>11034139316</v>
      </c>
      <c r="G968" s="2043">
        <v>10812185369</v>
      </c>
      <c r="H968" s="2043">
        <v>11034139316</v>
      </c>
      <c r="I968" s="2043">
        <v>10812185369</v>
      </c>
    </row>
    <row r="969" spans="1:9">
      <c r="A969" s="2043" t="s">
        <v>1701</v>
      </c>
      <c r="B969" s="2043">
        <v>175740277</v>
      </c>
      <c r="C969" s="2043">
        <v>169643768</v>
      </c>
      <c r="D969" s="2043">
        <v>175740277</v>
      </c>
      <c r="E969" s="2043">
        <v>169643768</v>
      </c>
      <c r="F969" s="2043">
        <v>175740277</v>
      </c>
      <c r="G969" s="2043">
        <v>169643768</v>
      </c>
      <c r="H969" s="2043">
        <v>175740277</v>
      </c>
      <c r="I969" s="2043">
        <v>169643768</v>
      </c>
    </row>
    <row r="970" spans="1:9">
      <c r="A970" s="2043" t="s">
        <v>38</v>
      </c>
      <c r="B970" s="2043">
        <v>3752240404</v>
      </c>
      <c r="C970" s="2043">
        <v>3662572439</v>
      </c>
      <c r="D970" s="2043">
        <v>3752240404</v>
      </c>
      <c r="E970" s="2043">
        <v>3662572439</v>
      </c>
      <c r="F970" s="2043">
        <v>3752240404</v>
      </c>
      <c r="G970" s="2043">
        <v>3662572439</v>
      </c>
      <c r="H970" s="2043">
        <v>3752240404</v>
      </c>
      <c r="I970" s="2043">
        <v>3662572439</v>
      </c>
    </row>
    <row r="971" spans="1:9">
      <c r="A971" s="2043" t="s">
        <v>11</v>
      </c>
      <c r="B971" s="2043">
        <v>1517382573</v>
      </c>
      <c r="C971" s="2043">
        <v>1474364517</v>
      </c>
      <c r="D971" s="2043">
        <v>1517382573</v>
      </c>
      <c r="E971" s="2043">
        <v>1474364517</v>
      </c>
      <c r="F971" s="2043">
        <v>1517382573</v>
      </c>
      <c r="G971" s="2043">
        <v>1474364517</v>
      </c>
      <c r="H971" s="2043">
        <v>1517382573</v>
      </c>
      <c r="I971" s="2043">
        <v>1474364517</v>
      </c>
    </row>
    <row r="972" spans="1:9">
      <c r="A972" s="2043" t="s">
        <v>1674</v>
      </c>
      <c r="B972" s="2043">
        <v>2953033998</v>
      </c>
      <c r="C972" s="2043">
        <v>2901857833</v>
      </c>
      <c r="D972" s="2043">
        <v>2953033998</v>
      </c>
      <c r="E972" s="2043">
        <v>2901857833</v>
      </c>
      <c r="F972" s="2043">
        <v>2953033998</v>
      </c>
      <c r="G972" s="2043">
        <v>2901857833</v>
      </c>
      <c r="H972" s="2043">
        <v>2953033998</v>
      </c>
      <c r="I972" s="2043">
        <v>2901857833</v>
      </c>
    </row>
    <row r="973" spans="1:9">
      <c r="A973" s="2043" t="s">
        <v>1234</v>
      </c>
      <c r="B973" s="2043">
        <v>38663217423</v>
      </c>
      <c r="C973" s="2043">
        <v>38141834899</v>
      </c>
      <c r="D973" s="2043">
        <v>38663217423</v>
      </c>
      <c r="E973" s="2043">
        <v>38141834899</v>
      </c>
      <c r="F973" s="2043">
        <v>38663217423</v>
      </c>
      <c r="G973" s="2043">
        <v>38141834899</v>
      </c>
      <c r="H973" s="2043">
        <v>38663217423</v>
      </c>
      <c r="I973" s="2043">
        <v>38141834899</v>
      </c>
    </row>
    <row r="974" spans="1:9">
      <c r="A974" s="2043" t="s">
        <v>1455</v>
      </c>
      <c r="B974" s="2043">
        <v>1256999777</v>
      </c>
      <c r="C974" s="2043">
        <v>1220964029</v>
      </c>
      <c r="D974" s="2043">
        <v>1256999777</v>
      </c>
      <c r="E974" s="2043">
        <v>1220964029</v>
      </c>
      <c r="F974" s="2043">
        <v>1256999777</v>
      </c>
      <c r="G974" s="2043">
        <v>1220964029</v>
      </c>
      <c r="H974" s="2043">
        <v>1256999777</v>
      </c>
      <c r="I974" s="2043">
        <v>1220964029</v>
      </c>
    </row>
    <row r="975" spans="1:9">
      <c r="A975" s="2043" t="s">
        <v>1426</v>
      </c>
      <c r="B975" s="2043">
        <v>273500158</v>
      </c>
      <c r="C975" s="2043">
        <v>265547676</v>
      </c>
      <c r="D975" s="2043">
        <v>273500158</v>
      </c>
      <c r="E975" s="2043">
        <v>265547676</v>
      </c>
      <c r="F975" s="2043">
        <v>273500158</v>
      </c>
      <c r="G975" s="2043">
        <v>265547676</v>
      </c>
      <c r="H975" s="2043">
        <v>273500158</v>
      </c>
      <c r="I975" s="2043">
        <v>265547676</v>
      </c>
    </row>
    <row r="976" spans="1:9">
      <c r="A976" s="2043" t="s">
        <v>1672</v>
      </c>
      <c r="B976" s="2043">
        <v>27393583203</v>
      </c>
      <c r="C976" s="2043">
        <v>26944487874</v>
      </c>
      <c r="D976" s="2043">
        <v>27393583203</v>
      </c>
      <c r="E976" s="2043">
        <v>26944487874</v>
      </c>
      <c r="F976" s="2043">
        <v>27393583203</v>
      </c>
      <c r="G976" s="2043">
        <v>26944487874</v>
      </c>
      <c r="H976" s="2043">
        <v>27393583203</v>
      </c>
      <c r="I976" s="2043">
        <v>26944487874</v>
      </c>
    </row>
    <row r="977" spans="1:9">
      <c r="A977" s="2043" t="s">
        <v>12</v>
      </c>
      <c r="B977" s="2043">
        <v>99881893</v>
      </c>
      <c r="C977" s="2043">
        <v>97443097</v>
      </c>
      <c r="D977" s="2043">
        <v>99881893</v>
      </c>
      <c r="E977" s="2043">
        <v>97443097</v>
      </c>
      <c r="F977" s="2043">
        <v>99881893</v>
      </c>
      <c r="G977" s="2043">
        <v>97443097</v>
      </c>
      <c r="H977" s="2043">
        <v>99881893</v>
      </c>
      <c r="I977" s="2043">
        <v>97443097</v>
      </c>
    </row>
    <row r="978" spans="1:9">
      <c r="A978" s="2043" t="s">
        <v>2316</v>
      </c>
      <c r="B978" s="2043">
        <v>1600383498</v>
      </c>
      <c r="C978" s="2043">
        <v>1547259547</v>
      </c>
      <c r="D978" s="2043">
        <v>1600383498</v>
      </c>
      <c r="E978" s="2043">
        <v>1547259547</v>
      </c>
      <c r="F978" s="2043">
        <v>1600383498</v>
      </c>
      <c r="G978" s="2043">
        <v>1547259547</v>
      </c>
      <c r="H978" s="2043">
        <v>1600383498</v>
      </c>
      <c r="I978" s="2043">
        <v>1547259547</v>
      </c>
    </row>
    <row r="979" spans="1:9">
      <c r="A979" s="2043" t="s">
        <v>57</v>
      </c>
      <c r="B979" s="2043">
        <v>1252989804</v>
      </c>
      <c r="C979" s="2043">
        <v>1210867831</v>
      </c>
      <c r="D979" s="2043">
        <v>1252989804</v>
      </c>
      <c r="E979" s="2043">
        <v>1210867831</v>
      </c>
      <c r="F979" s="2043">
        <v>1252989804</v>
      </c>
      <c r="G979" s="2043">
        <v>1210867831</v>
      </c>
      <c r="H979" s="2043">
        <v>1252989804</v>
      </c>
      <c r="I979" s="2043">
        <v>1210867831</v>
      </c>
    </row>
    <row r="980" spans="1:9">
      <c r="A980" s="2043" t="s">
        <v>2317</v>
      </c>
      <c r="B980" s="2043">
        <v>342510359</v>
      </c>
      <c r="C980" s="2043">
        <v>333532479</v>
      </c>
      <c r="D980" s="2043">
        <v>342510359</v>
      </c>
      <c r="E980" s="2043">
        <v>333532479</v>
      </c>
      <c r="F980" s="2043">
        <v>342510359</v>
      </c>
      <c r="G980" s="2043">
        <v>333532479</v>
      </c>
      <c r="H980" s="2043">
        <v>342510359</v>
      </c>
      <c r="I980" s="2043">
        <v>333532479</v>
      </c>
    </row>
    <row r="981" spans="1:9">
      <c r="A981" s="2043" t="s">
        <v>1423</v>
      </c>
      <c r="B981" s="2043">
        <v>251859214</v>
      </c>
      <c r="C981" s="2043">
        <v>242409100</v>
      </c>
      <c r="D981" s="2043">
        <v>251859214</v>
      </c>
      <c r="E981" s="2043">
        <v>242409100</v>
      </c>
      <c r="F981" s="2043">
        <v>251859214</v>
      </c>
      <c r="G981" s="2043">
        <v>242409100</v>
      </c>
      <c r="H981" s="2043">
        <v>251859214</v>
      </c>
      <c r="I981" s="2043">
        <v>242409100</v>
      </c>
    </row>
    <row r="982" spans="1:9">
      <c r="A982" s="2043" t="s">
        <v>1104</v>
      </c>
      <c r="B982" s="2043">
        <v>1244510945</v>
      </c>
      <c r="C982" s="2043">
        <v>1232001859</v>
      </c>
      <c r="D982" s="2043">
        <v>1234629459</v>
      </c>
      <c r="E982" s="2043">
        <v>1222120373</v>
      </c>
      <c r="F982" s="2043">
        <v>1244510945</v>
      </c>
      <c r="G982" s="2043">
        <v>1232001859</v>
      </c>
      <c r="H982" s="2043">
        <v>1234629459</v>
      </c>
      <c r="I982" s="2043">
        <v>1222120373</v>
      </c>
    </row>
    <row r="983" spans="1:9">
      <c r="A983" s="2043" t="s">
        <v>1105</v>
      </c>
      <c r="B983" s="2043">
        <v>9388965335</v>
      </c>
      <c r="C983" s="2043">
        <v>9387054930</v>
      </c>
      <c r="D983" s="2043">
        <v>9387874318</v>
      </c>
      <c r="E983" s="2043">
        <v>9385963913</v>
      </c>
      <c r="F983" s="2043">
        <v>9388965335</v>
      </c>
      <c r="G983" s="2043">
        <v>9387054930</v>
      </c>
      <c r="H983" s="2043">
        <v>9387874318</v>
      </c>
      <c r="I983" s="2043">
        <v>9385963913</v>
      </c>
    </row>
    <row r="984" spans="1:9">
      <c r="A984" s="2043" t="s">
        <v>182</v>
      </c>
      <c r="B984" s="2043">
        <v>431839381</v>
      </c>
      <c r="C984" s="2043">
        <v>423155360</v>
      </c>
      <c r="D984" s="2043">
        <v>431839381</v>
      </c>
      <c r="E984" s="2043">
        <v>423155360</v>
      </c>
      <c r="F984" s="2043">
        <v>431839381</v>
      </c>
      <c r="G984" s="2043">
        <v>423155360</v>
      </c>
      <c r="H984" s="2043">
        <v>431839381</v>
      </c>
      <c r="I984" s="2043">
        <v>423155360</v>
      </c>
    </row>
    <row r="985" spans="1:9">
      <c r="A985" s="2043" t="s">
        <v>755</v>
      </c>
      <c r="B985" s="2043">
        <v>767256477</v>
      </c>
      <c r="C985" s="2043">
        <v>754448885</v>
      </c>
      <c r="D985" s="2043">
        <v>767256477</v>
      </c>
      <c r="E985" s="2043">
        <v>754448885</v>
      </c>
      <c r="F985" s="2043">
        <v>767256477</v>
      </c>
      <c r="G985" s="2043">
        <v>754448885</v>
      </c>
      <c r="H985" s="2043">
        <v>767256477</v>
      </c>
      <c r="I985" s="2043">
        <v>754448885</v>
      </c>
    </row>
    <row r="986" spans="1:9">
      <c r="A986" s="2043" t="s">
        <v>2054</v>
      </c>
      <c r="B986" s="2043">
        <v>1439408219</v>
      </c>
      <c r="C986" s="2043">
        <v>1417283052</v>
      </c>
      <c r="D986" s="2043">
        <v>1433160659</v>
      </c>
      <c r="E986" s="2043">
        <v>1411035492</v>
      </c>
      <c r="F986" s="2043">
        <v>1439408219</v>
      </c>
      <c r="G986" s="2043">
        <v>1417283052</v>
      </c>
      <c r="H986" s="2043">
        <v>1433160659</v>
      </c>
      <c r="I986" s="2043">
        <v>1411035492</v>
      </c>
    </row>
    <row r="987" spans="1:9">
      <c r="A987" s="2043" t="s">
        <v>2286</v>
      </c>
      <c r="B987" s="2043">
        <v>679763943</v>
      </c>
      <c r="C987" s="2043">
        <v>672785999</v>
      </c>
      <c r="D987" s="2043">
        <v>679763943</v>
      </c>
      <c r="E987" s="2043">
        <v>672785999</v>
      </c>
      <c r="F987" s="2043">
        <v>679763943</v>
      </c>
      <c r="G987" s="2043">
        <v>672785999</v>
      </c>
      <c r="H987" s="2043">
        <v>679763943</v>
      </c>
      <c r="I987" s="2043">
        <v>672785999</v>
      </c>
    </row>
    <row r="988" spans="1:9">
      <c r="A988" s="2043" t="s">
        <v>2287</v>
      </c>
      <c r="B988" s="2043">
        <v>2529542195</v>
      </c>
      <c r="C988" s="2043">
        <v>2494148814</v>
      </c>
      <c r="D988" s="2043">
        <v>2529542195</v>
      </c>
      <c r="E988" s="2043">
        <v>2494148814</v>
      </c>
      <c r="F988" s="2043">
        <v>2529542195</v>
      </c>
      <c r="G988" s="2043">
        <v>2494148814</v>
      </c>
      <c r="H988" s="2043">
        <v>2529542195</v>
      </c>
      <c r="I988" s="2043">
        <v>2494148814</v>
      </c>
    </row>
    <row r="989" spans="1:9">
      <c r="A989" s="2043" t="s">
        <v>1909</v>
      </c>
      <c r="B989" s="2043">
        <v>529740531</v>
      </c>
      <c r="C989" s="2043">
        <v>517586732</v>
      </c>
      <c r="D989" s="2043">
        <v>529740531</v>
      </c>
      <c r="E989" s="2043">
        <v>517586732</v>
      </c>
      <c r="F989" s="2043">
        <v>529740531</v>
      </c>
      <c r="G989" s="2043">
        <v>517586732</v>
      </c>
      <c r="H989" s="2043">
        <v>529740531</v>
      </c>
      <c r="I989" s="2043">
        <v>517586732</v>
      </c>
    </row>
    <row r="990" spans="1:9">
      <c r="A990" s="2043" t="s">
        <v>1080</v>
      </c>
      <c r="B990" s="2043">
        <v>327998264</v>
      </c>
      <c r="C990" s="2043">
        <v>323872780</v>
      </c>
      <c r="D990" s="2043">
        <v>319917685</v>
      </c>
      <c r="E990" s="2043">
        <v>315792201</v>
      </c>
      <c r="F990" s="2043">
        <v>327998264</v>
      </c>
      <c r="G990" s="2043">
        <v>323872780</v>
      </c>
      <c r="H990" s="2043">
        <v>319917685</v>
      </c>
      <c r="I990" s="2043">
        <v>315792201</v>
      </c>
    </row>
    <row r="991" spans="1:9">
      <c r="A991" s="2043" t="s">
        <v>2106</v>
      </c>
      <c r="B991" s="2043">
        <v>725563708</v>
      </c>
      <c r="C991" s="2043">
        <v>713302437</v>
      </c>
      <c r="D991" s="2043">
        <v>725563708</v>
      </c>
      <c r="E991" s="2043">
        <v>713302437</v>
      </c>
      <c r="F991" s="2043">
        <v>725563708</v>
      </c>
      <c r="G991" s="2043">
        <v>713302437</v>
      </c>
      <c r="H991" s="2043">
        <v>725563708</v>
      </c>
      <c r="I991" s="2043">
        <v>713302437</v>
      </c>
    </row>
    <row r="992" spans="1:9">
      <c r="A992" s="2043" t="s">
        <v>2107</v>
      </c>
      <c r="B992" s="2043">
        <v>651637685</v>
      </c>
      <c r="C992" s="2043">
        <v>629964372</v>
      </c>
      <c r="D992" s="2043">
        <v>651637685</v>
      </c>
      <c r="E992" s="2043">
        <v>629964372</v>
      </c>
      <c r="F992" s="2043">
        <v>651637685</v>
      </c>
      <c r="G992" s="2043">
        <v>629964372</v>
      </c>
      <c r="H992" s="2043">
        <v>651637685</v>
      </c>
      <c r="I992" s="2043">
        <v>629964372</v>
      </c>
    </row>
    <row r="993" spans="1:9">
      <c r="A993" s="2043" t="s">
        <v>2432</v>
      </c>
      <c r="B993" s="2043">
        <v>531873464</v>
      </c>
      <c r="C993" s="2043">
        <v>511028471</v>
      </c>
      <c r="D993" s="2043">
        <v>531873464</v>
      </c>
      <c r="E993" s="2043">
        <v>511028471</v>
      </c>
      <c r="F993" s="2043">
        <v>531873464</v>
      </c>
      <c r="G993" s="2043">
        <v>511028471</v>
      </c>
      <c r="H993" s="2043">
        <v>531873464</v>
      </c>
      <c r="I993" s="2043">
        <v>511028471</v>
      </c>
    </row>
    <row r="994" spans="1:9">
      <c r="A994" s="2043" t="s">
        <v>2433</v>
      </c>
      <c r="B994" s="2043">
        <v>354375388</v>
      </c>
      <c r="C994" s="2043">
        <v>344341462</v>
      </c>
      <c r="D994" s="2043">
        <v>354375388</v>
      </c>
      <c r="E994" s="2043">
        <v>344341462</v>
      </c>
      <c r="F994" s="2043">
        <v>354375388</v>
      </c>
      <c r="G994" s="2043">
        <v>344341462</v>
      </c>
      <c r="H994" s="2043">
        <v>354375388</v>
      </c>
      <c r="I994" s="2043">
        <v>344341462</v>
      </c>
    </row>
    <row r="995" spans="1:9">
      <c r="A995" s="2043" t="s">
        <v>598</v>
      </c>
      <c r="B995" s="2043">
        <v>304851868</v>
      </c>
      <c r="C995" s="2043">
        <v>290835195</v>
      </c>
      <c r="D995" s="2043">
        <v>304851868</v>
      </c>
      <c r="E995" s="2043">
        <v>290835195</v>
      </c>
      <c r="F995" s="2043">
        <v>304851868</v>
      </c>
      <c r="G995" s="2043">
        <v>290835195</v>
      </c>
      <c r="H995" s="2043">
        <v>304851868</v>
      </c>
      <c r="I995" s="2043">
        <v>290835195</v>
      </c>
    </row>
    <row r="996" spans="1:9">
      <c r="A996" s="2043" t="s">
        <v>638</v>
      </c>
      <c r="B996" s="2043">
        <v>524527354</v>
      </c>
      <c r="C996" s="2043">
        <v>504472532</v>
      </c>
      <c r="D996" s="2043">
        <v>524527354</v>
      </c>
      <c r="E996" s="2043">
        <v>504472532</v>
      </c>
      <c r="F996" s="2043">
        <v>524527354</v>
      </c>
      <c r="G996" s="2043">
        <v>504472532</v>
      </c>
      <c r="H996" s="2043">
        <v>524527354</v>
      </c>
      <c r="I996" s="2043">
        <v>504472532</v>
      </c>
    </row>
    <row r="997" spans="1:9">
      <c r="A997" s="2043" t="s">
        <v>639</v>
      </c>
      <c r="B997" s="2043">
        <v>1518204880</v>
      </c>
      <c r="C997" s="2043">
        <v>1506980942</v>
      </c>
      <c r="D997" s="2043">
        <v>1512868278</v>
      </c>
      <c r="E997" s="2043">
        <v>1501644340</v>
      </c>
      <c r="F997" s="2043">
        <v>1518204880</v>
      </c>
      <c r="G997" s="2043">
        <v>1506980942</v>
      </c>
      <c r="H997" s="2043">
        <v>1512868278</v>
      </c>
      <c r="I997" s="2043">
        <v>1501644340</v>
      </c>
    </row>
    <row r="998" spans="1:9">
      <c r="A998" s="2043" t="s">
        <v>1385</v>
      </c>
      <c r="B998" s="2043">
        <v>1241828872</v>
      </c>
      <c r="C998" s="2043">
        <v>1237872137</v>
      </c>
      <c r="D998" s="2043">
        <v>1237823211</v>
      </c>
      <c r="E998" s="2043">
        <v>1233866476</v>
      </c>
      <c r="F998" s="2043">
        <v>1241828872</v>
      </c>
      <c r="G998" s="2043">
        <v>1237872137</v>
      </c>
      <c r="H998" s="2043">
        <v>1237823211</v>
      </c>
      <c r="I998" s="2043">
        <v>1233866476</v>
      </c>
    </row>
    <row r="999" spans="1:9">
      <c r="A999" s="2043" t="s">
        <v>860</v>
      </c>
      <c r="B999" s="2043">
        <v>745925543</v>
      </c>
      <c r="C999" s="2043">
        <v>717638751</v>
      </c>
      <c r="D999" s="2043">
        <v>745925543</v>
      </c>
      <c r="E999" s="2043">
        <v>717638751</v>
      </c>
      <c r="F999" s="2043">
        <v>753448843</v>
      </c>
      <c r="G999" s="2043">
        <v>725162051</v>
      </c>
      <c r="H999" s="2043">
        <v>753448843</v>
      </c>
      <c r="I999" s="2043">
        <v>725162051</v>
      </c>
    </row>
    <row r="1000" spans="1:9">
      <c r="A1000" s="2043" t="s">
        <v>1386</v>
      </c>
      <c r="B1000" s="2043">
        <v>92881993</v>
      </c>
      <c r="C1000" s="2043">
        <v>91451199</v>
      </c>
      <c r="D1000" s="2043">
        <v>92881993</v>
      </c>
      <c r="E1000" s="2043">
        <v>91451199</v>
      </c>
      <c r="F1000" s="2043">
        <v>92881993</v>
      </c>
      <c r="G1000" s="2043">
        <v>91451199</v>
      </c>
      <c r="H1000" s="2043">
        <v>92881993</v>
      </c>
      <c r="I1000" s="2043">
        <v>91451199</v>
      </c>
    </row>
    <row r="1001" spans="1:9">
      <c r="A1001" s="2043" t="s">
        <v>1416</v>
      </c>
      <c r="B1001" s="2043">
        <v>249360843</v>
      </c>
      <c r="C1001" s="2043">
        <v>242466019</v>
      </c>
      <c r="D1001" s="2043">
        <v>249360843</v>
      </c>
      <c r="E1001" s="2043">
        <v>242466019</v>
      </c>
      <c r="F1001" s="2043">
        <v>264360843</v>
      </c>
      <c r="G1001" s="2043">
        <v>257466019</v>
      </c>
      <c r="H1001" s="2043">
        <v>264360843</v>
      </c>
      <c r="I1001" s="2043">
        <v>257466019</v>
      </c>
    </row>
    <row r="1002" spans="1:9">
      <c r="A1002" s="2043" t="s">
        <v>485</v>
      </c>
      <c r="B1002" s="2043">
        <v>1073266269</v>
      </c>
      <c r="C1002" s="2043">
        <v>1045293410</v>
      </c>
      <c r="D1002" s="2043">
        <v>1047945248</v>
      </c>
      <c r="E1002" s="2043">
        <v>1019972389</v>
      </c>
      <c r="F1002" s="2043">
        <v>1073266269</v>
      </c>
      <c r="G1002" s="2043">
        <v>1045293410</v>
      </c>
      <c r="H1002" s="2043">
        <v>1047945248</v>
      </c>
      <c r="I1002" s="2043">
        <v>1019972389</v>
      </c>
    </row>
    <row r="1003" spans="1:9">
      <c r="A1003" s="2043" t="s">
        <v>2268</v>
      </c>
      <c r="B1003" s="2043">
        <v>962346818</v>
      </c>
      <c r="C1003" s="2043">
        <v>949455854</v>
      </c>
      <c r="D1003" s="2043">
        <v>962346818</v>
      </c>
      <c r="E1003" s="2043">
        <v>949455854</v>
      </c>
      <c r="F1003" s="2043">
        <v>962346818</v>
      </c>
      <c r="G1003" s="2043">
        <v>949455854</v>
      </c>
      <c r="H1003" s="2043">
        <v>962346818</v>
      </c>
      <c r="I1003" s="2043">
        <v>949455854</v>
      </c>
    </row>
    <row r="1004" spans="1:9">
      <c r="A1004" s="2043" t="s">
        <v>1594</v>
      </c>
      <c r="B1004" s="2043">
        <v>158950216</v>
      </c>
      <c r="C1004" s="2043">
        <v>155684840</v>
      </c>
      <c r="D1004" s="2043">
        <v>158950216</v>
      </c>
      <c r="E1004" s="2043">
        <v>155684840</v>
      </c>
      <c r="F1004" s="2043">
        <v>158950216</v>
      </c>
      <c r="G1004" s="2043">
        <v>155684840</v>
      </c>
      <c r="H1004" s="2043">
        <v>158950216</v>
      </c>
      <c r="I1004" s="2043">
        <v>155684840</v>
      </c>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231"/>
  <sheetViews>
    <sheetView workbookViewId="0">
      <selection activeCell="B2" sqref="B2"/>
    </sheetView>
  </sheetViews>
  <sheetFormatPr defaultRowHeight="12.5"/>
  <cols>
    <col min="1" max="1" width="12.54296875" customWidth="1"/>
    <col min="2" max="2" width="12.54296875" style="2042" customWidth="1"/>
    <col min="3" max="3" width="12.54296875" style="41" customWidth="1"/>
    <col min="4" max="4" width="18" style="41" customWidth="1"/>
  </cols>
  <sheetData>
    <row r="1" spans="1:3">
      <c r="A1" t="s">
        <v>3349</v>
      </c>
      <c r="B1" s="2042" t="s">
        <v>3349</v>
      </c>
      <c r="C1" s="41" t="s">
        <v>8789</v>
      </c>
    </row>
    <row r="2" spans="1:3" ht="14.5">
      <c r="A2" t="s">
        <v>5748</v>
      </c>
      <c r="B2" s="380" t="str">
        <f t="shared" ref="B2:B65" si="0">CONCATENATE(LEFT(RIGHT(CONCATENATE("000",A2),6),3),"-",(RIGHT(RIGHT(CONCATENATE("000",A2),6),3)))</f>
        <v>001-902</v>
      </c>
      <c r="C2" s="41" t="s">
        <v>1685</v>
      </c>
    </row>
    <row r="3" spans="1:3" ht="14.5">
      <c r="A3" t="s">
        <v>2849</v>
      </c>
      <c r="B3" s="380" t="str">
        <f t="shared" si="0"/>
        <v>001-903</v>
      </c>
      <c r="C3" s="41" t="s">
        <v>1685</v>
      </c>
    </row>
    <row r="4" spans="1:3" ht="14.5">
      <c r="A4" t="s">
        <v>4918</v>
      </c>
      <c r="B4" s="380" t="str">
        <f t="shared" si="0"/>
        <v>001-904</v>
      </c>
      <c r="C4" s="41" t="s">
        <v>1685</v>
      </c>
    </row>
    <row r="5" spans="1:3" ht="14.5">
      <c r="A5" t="s">
        <v>4919</v>
      </c>
      <c r="B5" s="380" t="str">
        <f t="shared" si="0"/>
        <v>001-906</v>
      </c>
      <c r="C5" s="41" t="s">
        <v>1685</v>
      </c>
    </row>
    <row r="6" spans="1:3" ht="14.5">
      <c r="A6" t="s">
        <v>2850</v>
      </c>
      <c r="B6" s="380" t="str">
        <f t="shared" si="0"/>
        <v>001-907</v>
      </c>
      <c r="C6" s="41" t="s">
        <v>1685</v>
      </c>
    </row>
    <row r="7" spans="1:3" ht="14.5">
      <c r="A7" t="s">
        <v>5749</v>
      </c>
      <c r="B7" s="380" t="str">
        <f t="shared" si="0"/>
        <v>001-908</v>
      </c>
      <c r="C7" s="41" t="s">
        <v>1685</v>
      </c>
    </row>
    <row r="8" spans="1:3" ht="14.5">
      <c r="A8" t="s">
        <v>4920</v>
      </c>
      <c r="B8" s="380" t="str">
        <f t="shared" si="0"/>
        <v>001-909</v>
      </c>
      <c r="C8" s="41" t="s">
        <v>1685</v>
      </c>
    </row>
    <row r="9" spans="1:3" ht="14.5">
      <c r="A9" t="s">
        <v>4921</v>
      </c>
      <c r="B9" s="380" t="str">
        <f t="shared" si="0"/>
        <v>002-901</v>
      </c>
      <c r="C9" s="41" t="s">
        <v>659</v>
      </c>
    </row>
    <row r="10" spans="1:3" ht="14.5">
      <c r="A10" t="s">
        <v>7918</v>
      </c>
      <c r="B10" s="380" t="str">
        <f t="shared" si="0"/>
        <v>003-801</v>
      </c>
      <c r="C10" s="41" t="s">
        <v>1685</v>
      </c>
    </row>
    <row r="11" spans="1:3" ht="14.5">
      <c r="A11" t="s">
        <v>2851</v>
      </c>
      <c r="B11" s="380" t="str">
        <f t="shared" si="0"/>
        <v>003-902</v>
      </c>
      <c r="C11" s="41" t="s">
        <v>1685</v>
      </c>
    </row>
    <row r="12" spans="1:3" ht="14.5">
      <c r="A12" t="s">
        <v>4922</v>
      </c>
      <c r="B12" s="380" t="str">
        <f t="shared" si="0"/>
        <v>003-903</v>
      </c>
      <c r="C12" s="41" t="s">
        <v>1685</v>
      </c>
    </row>
    <row r="13" spans="1:3" ht="14.5">
      <c r="A13" t="s">
        <v>2852</v>
      </c>
      <c r="B13" s="380" t="str">
        <f t="shared" si="0"/>
        <v>003-904</v>
      </c>
      <c r="C13" s="41" t="s">
        <v>1685</v>
      </c>
    </row>
    <row r="14" spans="1:3" ht="14.5">
      <c r="A14" t="s">
        <v>2853</v>
      </c>
      <c r="B14" s="380" t="str">
        <f t="shared" si="0"/>
        <v>003-905</v>
      </c>
      <c r="C14" s="41" t="s">
        <v>1685</v>
      </c>
    </row>
    <row r="15" spans="1:3" ht="14.5">
      <c r="A15" t="s">
        <v>4923</v>
      </c>
      <c r="B15" s="380" t="str">
        <f t="shared" si="0"/>
        <v>003-906</v>
      </c>
      <c r="C15" s="41" t="s">
        <v>1685</v>
      </c>
    </row>
    <row r="16" spans="1:3" ht="14.5">
      <c r="A16" t="s">
        <v>2854</v>
      </c>
      <c r="B16" s="380" t="str">
        <f t="shared" si="0"/>
        <v>003-907</v>
      </c>
      <c r="C16" s="41" t="s">
        <v>1685</v>
      </c>
    </row>
    <row r="17" spans="1:3" ht="14.5">
      <c r="A17" t="s">
        <v>4924</v>
      </c>
      <c r="B17" s="380" t="str">
        <f t="shared" si="0"/>
        <v>004-901</v>
      </c>
      <c r="C17" s="41" t="s">
        <v>659</v>
      </c>
    </row>
    <row r="18" spans="1:3" ht="14.5">
      <c r="A18" t="s">
        <v>4925</v>
      </c>
      <c r="B18" s="380" t="str">
        <f t="shared" si="0"/>
        <v>005-901</v>
      </c>
      <c r="C18" s="41" t="s">
        <v>1685</v>
      </c>
    </row>
    <row r="19" spans="1:3" ht="14.5">
      <c r="A19" t="s">
        <v>4926</v>
      </c>
      <c r="B19" s="380" t="str">
        <f t="shared" si="0"/>
        <v>005-902</v>
      </c>
      <c r="C19" s="41" t="s">
        <v>1685</v>
      </c>
    </row>
    <row r="20" spans="1:3" ht="14.5">
      <c r="A20" t="s">
        <v>2855</v>
      </c>
      <c r="B20" s="380" t="str">
        <f t="shared" si="0"/>
        <v>005-904</v>
      </c>
      <c r="C20" s="41" t="s">
        <v>1685</v>
      </c>
    </row>
    <row r="21" spans="1:3" ht="14.5">
      <c r="A21" t="s">
        <v>4927</v>
      </c>
      <c r="B21" s="380" t="str">
        <f t="shared" si="0"/>
        <v>006-902</v>
      </c>
      <c r="C21" s="41" t="s">
        <v>659</v>
      </c>
    </row>
    <row r="22" spans="1:3" ht="14.5">
      <c r="A22" t="s">
        <v>2856</v>
      </c>
      <c r="B22" s="380" t="str">
        <f t="shared" si="0"/>
        <v>007-901</v>
      </c>
      <c r="C22" s="41" t="s">
        <v>1685</v>
      </c>
    </row>
    <row r="23" spans="1:3" ht="14.5">
      <c r="A23" t="s">
        <v>5750</v>
      </c>
      <c r="B23" s="380" t="str">
        <f t="shared" si="0"/>
        <v>007-902</v>
      </c>
      <c r="C23" s="41" t="s">
        <v>1685</v>
      </c>
    </row>
    <row r="24" spans="1:3" ht="14.5">
      <c r="A24" t="s">
        <v>2857</v>
      </c>
      <c r="B24" s="380" t="str">
        <f t="shared" si="0"/>
        <v>007-904</v>
      </c>
      <c r="C24" s="41" t="s">
        <v>1685</v>
      </c>
    </row>
    <row r="25" spans="1:3" ht="14.5">
      <c r="A25" t="s">
        <v>2858</v>
      </c>
      <c r="B25" s="380" t="str">
        <f t="shared" si="0"/>
        <v>007-905</v>
      </c>
      <c r="C25" s="41" t="s">
        <v>1685</v>
      </c>
    </row>
    <row r="26" spans="1:3" ht="14.5">
      <c r="A26" t="s">
        <v>2859</v>
      </c>
      <c r="B26" s="380" t="str">
        <f t="shared" si="0"/>
        <v>007-906</v>
      </c>
      <c r="C26" s="41" t="s">
        <v>1685</v>
      </c>
    </row>
    <row r="27" spans="1:3" ht="14.5">
      <c r="A27" t="s">
        <v>4928</v>
      </c>
      <c r="B27" s="380" t="str">
        <f t="shared" si="0"/>
        <v>008-901</v>
      </c>
      <c r="C27" s="41" t="s">
        <v>1685</v>
      </c>
    </row>
    <row r="28" spans="1:3" ht="14.5">
      <c r="A28" t="s">
        <v>4929</v>
      </c>
      <c r="B28" s="380" t="str">
        <f t="shared" si="0"/>
        <v>008-902</v>
      </c>
      <c r="C28" s="41" t="s">
        <v>1685</v>
      </c>
    </row>
    <row r="29" spans="1:3" ht="14.5">
      <c r="A29" t="s">
        <v>4930</v>
      </c>
      <c r="B29" s="380" t="str">
        <f t="shared" si="0"/>
        <v>008-903</v>
      </c>
      <c r="C29" s="41" t="s">
        <v>1685</v>
      </c>
    </row>
    <row r="30" spans="1:3" ht="14.5">
      <c r="A30" t="s">
        <v>2860</v>
      </c>
      <c r="B30" s="380" t="str">
        <f t="shared" si="0"/>
        <v>009-901</v>
      </c>
      <c r="C30" s="41" t="s">
        <v>659</v>
      </c>
    </row>
    <row r="31" spans="1:3" ht="14.5">
      <c r="A31" t="s">
        <v>5751</v>
      </c>
      <c r="B31" s="380" t="str">
        <f t="shared" si="0"/>
        <v>010-901</v>
      </c>
      <c r="C31" s="41" t="s">
        <v>1685</v>
      </c>
    </row>
    <row r="32" spans="1:3" ht="14.5">
      <c r="A32" t="s">
        <v>2861</v>
      </c>
      <c r="B32" s="380" t="str">
        <f t="shared" si="0"/>
        <v>010-902</v>
      </c>
      <c r="C32" s="41" t="s">
        <v>1685</v>
      </c>
    </row>
    <row r="33" spans="1:3" ht="14.5">
      <c r="A33" t="s">
        <v>2862</v>
      </c>
      <c r="B33" s="380" t="str">
        <f t="shared" si="0"/>
        <v>011-901</v>
      </c>
      <c r="C33" s="41" t="s">
        <v>1685</v>
      </c>
    </row>
    <row r="34" spans="1:3" ht="14.5">
      <c r="A34" t="s">
        <v>2863</v>
      </c>
      <c r="B34" s="380" t="str">
        <f t="shared" si="0"/>
        <v>011-902</v>
      </c>
      <c r="C34" s="41" t="s">
        <v>1685</v>
      </c>
    </row>
    <row r="35" spans="1:3" ht="14.5">
      <c r="A35" t="s">
        <v>2864</v>
      </c>
      <c r="B35" s="380" t="str">
        <f t="shared" si="0"/>
        <v>011-904</v>
      </c>
      <c r="C35" s="41" t="s">
        <v>1685</v>
      </c>
    </row>
    <row r="36" spans="1:3" ht="14.5">
      <c r="A36" t="s">
        <v>2865</v>
      </c>
      <c r="B36" s="380" t="str">
        <f t="shared" si="0"/>
        <v>011-905</v>
      </c>
      <c r="C36" s="41" t="s">
        <v>1685</v>
      </c>
    </row>
    <row r="37" spans="1:3" ht="14.5">
      <c r="A37" t="s">
        <v>5752</v>
      </c>
      <c r="B37" s="380" t="str">
        <f t="shared" si="0"/>
        <v>012-901</v>
      </c>
      <c r="C37" s="41" t="s">
        <v>659</v>
      </c>
    </row>
    <row r="38" spans="1:3" ht="14.5">
      <c r="A38" t="s">
        <v>7919</v>
      </c>
      <c r="B38" s="380" t="str">
        <f t="shared" si="0"/>
        <v>013-801</v>
      </c>
      <c r="C38" s="41" t="s">
        <v>1685</v>
      </c>
    </row>
    <row r="39" spans="1:3" ht="14.5">
      <c r="A39" t="s">
        <v>2866</v>
      </c>
      <c r="B39" s="380" t="str">
        <f t="shared" si="0"/>
        <v>013-901</v>
      </c>
      <c r="C39" s="41" t="s">
        <v>1685</v>
      </c>
    </row>
    <row r="40" spans="1:3" ht="14.5">
      <c r="A40" t="s">
        <v>4931</v>
      </c>
      <c r="B40" s="380" t="str">
        <f t="shared" si="0"/>
        <v>013-902</v>
      </c>
      <c r="C40" s="41" t="s">
        <v>1685</v>
      </c>
    </row>
    <row r="41" spans="1:3" ht="14.5">
      <c r="A41" t="s">
        <v>4932</v>
      </c>
      <c r="B41" s="380" t="str">
        <f t="shared" si="0"/>
        <v>013-903</v>
      </c>
      <c r="C41" s="41" t="s">
        <v>1685</v>
      </c>
    </row>
    <row r="42" spans="1:3" ht="14.5">
      <c r="A42" t="s">
        <v>2867</v>
      </c>
      <c r="B42" s="380" t="str">
        <f t="shared" si="0"/>
        <v>013-905</v>
      </c>
      <c r="C42" s="41" t="s">
        <v>1685</v>
      </c>
    </row>
    <row r="43" spans="1:3" ht="14.5">
      <c r="A43" t="s">
        <v>7920</v>
      </c>
      <c r="B43" s="380" t="str">
        <f t="shared" si="0"/>
        <v>014-801</v>
      </c>
      <c r="C43" s="41" t="s">
        <v>1685</v>
      </c>
    </row>
    <row r="44" spans="1:3" ht="14.5">
      <c r="A44" t="s">
        <v>7921</v>
      </c>
      <c r="B44" s="380" t="str">
        <f t="shared" si="0"/>
        <v>014-803</v>
      </c>
      <c r="C44" s="41" t="s">
        <v>1685</v>
      </c>
    </row>
    <row r="45" spans="1:3" ht="14.5">
      <c r="A45" t="s">
        <v>7922</v>
      </c>
      <c r="B45" s="380" t="str">
        <f t="shared" si="0"/>
        <v>014-804</v>
      </c>
      <c r="C45" s="41" t="s">
        <v>1685</v>
      </c>
    </row>
    <row r="46" spans="1:3" ht="14.5">
      <c r="A46" t="s">
        <v>4933</v>
      </c>
      <c r="B46" s="380" t="str">
        <f t="shared" si="0"/>
        <v>014-901</v>
      </c>
      <c r="C46" s="41" t="s">
        <v>1685</v>
      </c>
    </row>
    <row r="47" spans="1:3" ht="14.5">
      <c r="A47" t="s">
        <v>2868</v>
      </c>
      <c r="B47" s="380" t="str">
        <f t="shared" si="0"/>
        <v>014-902</v>
      </c>
      <c r="C47" s="41" t="s">
        <v>1685</v>
      </c>
    </row>
    <row r="48" spans="1:3" ht="14.5">
      <c r="A48" t="s">
        <v>2869</v>
      </c>
      <c r="B48" s="380" t="str">
        <f t="shared" si="0"/>
        <v>014-903</v>
      </c>
      <c r="C48" s="41" t="s">
        <v>1685</v>
      </c>
    </row>
    <row r="49" spans="1:3" ht="14.5">
      <c r="A49" t="s">
        <v>2870</v>
      </c>
      <c r="B49" s="380" t="str">
        <f t="shared" si="0"/>
        <v>014-905</v>
      </c>
      <c r="C49" s="41" t="s">
        <v>1685</v>
      </c>
    </row>
    <row r="50" spans="1:3" ht="14.5">
      <c r="A50" t="s">
        <v>2871</v>
      </c>
      <c r="B50" s="380" t="str">
        <f t="shared" si="0"/>
        <v>014-906</v>
      </c>
      <c r="C50" s="41" t="s">
        <v>1685</v>
      </c>
    </row>
    <row r="51" spans="1:3" ht="14.5">
      <c r="A51" t="s">
        <v>2872</v>
      </c>
      <c r="B51" s="380" t="str">
        <f t="shared" si="0"/>
        <v>014-907</v>
      </c>
      <c r="C51" s="41" t="s">
        <v>1685</v>
      </c>
    </row>
    <row r="52" spans="1:3" ht="14.5">
      <c r="A52" t="s">
        <v>2873</v>
      </c>
      <c r="B52" s="380" t="str">
        <f t="shared" si="0"/>
        <v>014-908</v>
      </c>
      <c r="C52" s="41" t="s">
        <v>1685</v>
      </c>
    </row>
    <row r="53" spans="1:3" ht="14.5">
      <c r="A53" t="s">
        <v>2874</v>
      </c>
      <c r="B53" s="380" t="str">
        <f t="shared" si="0"/>
        <v>014-909</v>
      </c>
      <c r="C53" s="41" t="s">
        <v>1685</v>
      </c>
    </row>
    <row r="54" spans="1:3" ht="14.5">
      <c r="A54" t="s">
        <v>2875</v>
      </c>
      <c r="B54" s="380" t="str">
        <f t="shared" si="0"/>
        <v>014-910</v>
      </c>
      <c r="C54" s="41" t="s">
        <v>1685</v>
      </c>
    </row>
    <row r="55" spans="1:3" ht="14.5">
      <c r="A55" t="s">
        <v>7923</v>
      </c>
      <c r="B55" s="380" t="str">
        <f t="shared" si="0"/>
        <v>015-801</v>
      </c>
      <c r="C55" s="41" t="s">
        <v>1685</v>
      </c>
    </row>
    <row r="56" spans="1:3" ht="14.5">
      <c r="A56" t="s">
        <v>7924</v>
      </c>
      <c r="B56" s="380" t="str">
        <f t="shared" si="0"/>
        <v>015-802</v>
      </c>
      <c r="C56" s="41" t="s">
        <v>1685</v>
      </c>
    </row>
    <row r="57" spans="1:3" ht="14.5">
      <c r="A57" t="s">
        <v>7925</v>
      </c>
      <c r="B57" s="380" t="str">
        <f t="shared" si="0"/>
        <v>015-805</v>
      </c>
      <c r="C57" s="41" t="s">
        <v>1685</v>
      </c>
    </row>
    <row r="58" spans="1:3" ht="14.5">
      <c r="A58" t="s">
        <v>7926</v>
      </c>
      <c r="B58" s="380" t="str">
        <f t="shared" si="0"/>
        <v>015-806</v>
      </c>
      <c r="C58" s="41" t="s">
        <v>1685</v>
      </c>
    </row>
    <row r="59" spans="1:3" ht="14.5">
      <c r="A59" t="s">
        <v>7927</v>
      </c>
      <c r="B59" s="380" t="str">
        <f t="shared" si="0"/>
        <v>015-807</v>
      </c>
      <c r="C59" s="41" t="s">
        <v>1685</v>
      </c>
    </row>
    <row r="60" spans="1:3" ht="14.5">
      <c r="A60" t="s">
        <v>7928</v>
      </c>
      <c r="B60" s="380" t="str">
        <f t="shared" si="0"/>
        <v>015-808</v>
      </c>
      <c r="C60" s="41" t="s">
        <v>1685</v>
      </c>
    </row>
    <row r="61" spans="1:3" ht="14.5">
      <c r="A61" t="s">
        <v>7929</v>
      </c>
      <c r="B61" s="380" t="str">
        <f t="shared" si="0"/>
        <v>015-809</v>
      </c>
      <c r="C61" s="41" t="s">
        <v>1685</v>
      </c>
    </row>
    <row r="62" spans="1:3" ht="14.5">
      <c r="A62" t="s">
        <v>7930</v>
      </c>
      <c r="B62" s="380" t="str">
        <f t="shared" si="0"/>
        <v>015-814</v>
      </c>
      <c r="C62" s="41" t="s">
        <v>1685</v>
      </c>
    </row>
    <row r="63" spans="1:3" ht="14.5">
      <c r="A63" t="s">
        <v>7931</v>
      </c>
      <c r="B63" s="380" t="str">
        <f t="shared" si="0"/>
        <v>015-815</v>
      </c>
      <c r="C63" s="41" t="s">
        <v>1685</v>
      </c>
    </row>
    <row r="64" spans="1:3" ht="14.5">
      <c r="A64" t="s">
        <v>7932</v>
      </c>
      <c r="B64" s="380" t="str">
        <f t="shared" si="0"/>
        <v>015-822</v>
      </c>
      <c r="C64" s="41" t="s">
        <v>1685</v>
      </c>
    </row>
    <row r="65" spans="1:3" ht="14.5">
      <c r="A65" t="s">
        <v>7933</v>
      </c>
      <c r="B65" s="380" t="str">
        <f t="shared" si="0"/>
        <v>015-825</v>
      </c>
      <c r="C65" s="41" t="s">
        <v>1685</v>
      </c>
    </row>
    <row r="66" spans="1:3" ht="14.5">
      <c r="A66" t="s">
        <v>7934</v>
      </c>
      <c r="B66" s="380" t="str">
        <f t="shared" ref="B66:B129" si="1">CONCATENATE(LEFT(RIGHT(CONCATENATE("000",A66),6),3),"-",(RIGHT(RIGHT(CONCATENATE("000",A66),6),3)))</f>
        <v>015-827</v>
      </c>
      <c r="C66" s="41" t="s">
        <v>1685</v>
      </c>
    </row>
    <row r="67" spans="1:3" ht="14.5">
      <c r="A67" t="s">
        <v>7935</v>
      </c>
      <c r="B67" s="380" t="str">
        <f t="shared" si="1"/>
        <v>015-828</v>
      </c>
      <c r="C67" s="41" t="s">
        <v>1685</v>
      </c>
    </row>
    <row r="68" spans="1:3" ht="14.5">
      <c r="A68" t="s">
        <v>7936</v>
      </c>
      <c r="B68" s="380" t="str">
        <f t="shared" si="1"/>
        <v>015-830</v>
      </c>
      <c r="C68" s="41" t="s">
        <v>1685</v>
      </c>
    </row>
    <row r="69" spans="1:3" ht="14.5">
      <c r="A69" t="s">
        <v>7937</v>
      </c>
      <c r="B69" s="380" t="str">
        <f t="shared" si="1"/>
        <v>015-831</v>
      </c>
      <c r="C69" s="41" t="s">
        <v>1685</v>
      </c>
    </row>
    <row r="70" spans="1:3" ht="14.5">
      <c r="A70" t="s">
        <v>7938</v>
      </c>
      <c r="B70" s="380" t="str">
        <f t="shared" si="1"/>
        <v>015-833</v>
      </c>
      <c r="C70" s="41" t="s">
        <v>1685</v>
      </c>
    </row>
    <row r="71" spans="1:3" ht="14.5">
      <c r="A71" t="s">
        <v>7939</v>
      </c>
      <c r="B71" s="380" t="str">
        <f t="shared" si="1"/>
        <v>015-834</v>
      </c>
      <c r="C71" s="41" t="s">
        <v>1685</v>
      </c>
    </row>
    <row r="72" spans="1:3" ht="14.5">
      <c r="A72" t="s">
        <v>7940</v>
      </c>
      <c r="B72" s="380" t="str">
        <f t="shared" si="1"/>
        <v>015-835</v>
      </c>
      <c r="C72" s="41" t="s">
        <v>1685</v>
      </c>
    </row>
    <row r="73" spans="1:3" ht="14.5">
      <c r="A73" t="s">
        <v>7941</v>
      </c>
      <c r="B73" s="380" t="str">
        <f t="shared" si="1"/>
        <v>015-836</v>
      </c>
      <c r="C73" s="41" t="s">
        <v>1685</v>
      </c>
    </row>
    <row r="74" spans="1:3" ht="14.5">
      <c r="A74" t="s">
        <v>7942</v>
      </c>
      <c r="B74" s="380" t="str">
        <f t="shared" si="1"/>
        <v>015-838</v>
      </c>
      <c r="C74" s="41" t="s">
        <v>1685</v>
      </c>
    </row>
    <row r="75" spans="1:3" ht="14.5">
      <c r="A75" t="s">
        <v>4934</v>
      </c>
      <c r="B75" s="380" t="str">
        <f t="shared" si="1"/>
        <v>015-901</v>
      </c>
      <c r="C75" s="41" t="s">
        <v>1685</v>
      </c>
    </row>
    <row r="76" spans="1:3" ht="14.5">
      <c r="A76" t="s">
        <v>2876</v>
      </c>
      <c r="B76" s="380" t="str">
        <f t="shared" si="1"/>
        <v>015-904</v>
      </c>
      <c r="C76" s="41" t="s">
        <v>1685</v>
      </c>
    </row>
    <row r="77" spans="1:3" ht="14.5">
      <c r="A77" t="s">
        <v>2877</v>
      </c>
      <c r="B77" s="380" t="str">
        <f t="shared" si="1"/>
        <v>015-905</v>
      </c>
      <c r="C77" s="41" t="s">
        <v>1685</v>
      </c>
    </row>
    <row r="78" spans="1:3" ht="14.5">
      <c r="A78" t="s">
        <v>7351</v>
      </c>
      <c r="B78" s="380" t="str">
        <f t="shared" si="1"/>
        <v>015-906</v>
      </c>
      <c r="C78" s="41" t="s">
        <v>1685</v>
      </c>
    </row>
    <row r="79" spans="1:3" ht="14.5">
      <c r="A79" t="s">
        <v>2878</v>
      </c>
      <c r="B79" s="380" t="str">
        <f t="shared" si="1"/>
        <v>015-907</v>
      </c>
      <c r="C79" s="41" t="s">
        <v>1685</v>
      </c>
    </row>
    <row r="80" spans="1:3" ht="14.5">
      <c r="A80" t="s">
        <v>2879</v>
      </c>
      <c r="B80" s="380" t="str">
        <f t="shared" si="1"/>
        <v>015-908</v>
      </c>
      <c r="C80" s="41" t="s">
        <v>1685</v>
      </c>
    </row>
    <row r="81" spans="1:3" ht="14.5">
      <c r="A81" t="s">
        <v>2880</v>
      </c>
      <c r="B81" s="380" t="str">
        <f t="shared" si="1"/>
        <v>015-909</v>
      </c>
      <c r="C81" s="41" t="s">
        <v>1685</v>
      </c>
    </row>
    <row r="82" spans="1:3" ht="14.5">
      <c r="A82" t="s">
        <v>2881</v>
      </c>
      <c r="B82" s="380" t="str">
        <f t="shared" si="1"/>
        <v>015-910</v>
      </c>
      <c r="C82" s="41" t="s">
        <v>1685</v>
      </c>
    </row>
    <row r="83" spans="1:3" ht="14.5">
      <c r="A83" t="s">
        <v>2882</v>
      </c>
      <c r="B83" s="380" t="str">
        <f t="shared" si="1"/>
        <v>015-911</v>
      </c>
      <c r="C83" s="41" t="s">
        <v>1685</v>
      </c>
    </row>
    <row r="84" spans="1:3" ht="14.5">
      <c r="A84" t="s">
        <v>2883</v>
      </c>
      <c r="B84" s="380" t="str">
        <f t="shared" si="1"/>
        <v>015-912</v>
      </c>
      <c r="C84" s="41" t="s">
        <v>1685</v>
      </c>
    </row>
    <row r="85" spans="1:3" ht="14.5">
      <c r="A85" t="s">
        <v>7352</v>
      </c>
      <c r="B85" s="380" t="str">
        <f t="shared" si="1"/>
        <v>015-913</v>
      </c>
      <c r="C85" s="41" t="s">
        <v>1685</v>
      </c>
    </row>
    <row r="86" spans="1:3" ht="14.5">
      <c r="A86" t="s">
        <v>7353</v>
      </c>
      <c r="B86" s="380" t="str">
        <f t="shared" si="1"/>
        <v>015-914</v>
      </c>
      <c r="C86" s="41" t="s">
        <v>1685</v>
      </c>
    </row>
    <row r="87" spans="1:3" ht="14.5">
      <c r="A87" t="s">
        <v>2884</v>
      </c>
      <c r="B87" s="380" t="str">
        <f t="shared" si="1"/>
        <v>015-915</v>
      </c>
      <c r="C87" s="41" t="s">
        <v>1685</v>
      </c>
    </row>
    <row r="88" spans="1:3" ht="14.5">
      <c r="A88" t="s">
        <v>2885</v>
      </c>
      <c r="B88" s="380" t="str">
        <f t="shared" si="1"/>
        <v>015-916</v>
      </c>
      <c r="C88" s="41" t="s">
        <v>1685</v>
      </c>
    </row>
    <row r="89" spans="1:3" ht="14.5">
      <c r="A89" t="s">
        <v>2886</v>
      </c>
      <c r="B89" s="380" t="str">
        <f t="shared" si="1"/>
        <v>015-917</v>
      </c>
      <c r="C89" s="41" t="s">
        <v>1685</v>
      </c>
    </row>
    <row r="90" spans="1:3" ht="14.5">
      <c r="A90" t="s">
        <v>8502</v>
      </c>
      <c r="B90" s="380" t="str">
        <f t="shared" si="1"/>
        <v>015-950</v>
      </c>
      <c r="C90" s="41" t="s">
        <v>1685</v>
      </c>
    </row>
    <row r="91" spans="1:3" ht="14.5">
      <c r="A91" t="s">
        <v>4935</v>
      </c>
      <c r="B91" s="380" t="str">
        <f t="shared" si="1"/>
        <v>016-901</v>
      </c>
      <c r="C91" s="41" t="s">
        <v>1685</v>
      </c>
    </row>
    <row r="92" spans="1:3" ht="14.5">
      <c r="A92" t="s">
        <v>2887</v>
      </c>
      <c r="B92" s="380" t="str">
        <f t="shared" si="1"/>
        <v>016-902</v>
      </c>
      <c r="C92" s="41" t="s">
        <v>1685</v>
      </c>
    </row>
    <row r="93" spans="1:3" ht="14.5">
      <c r="A93" t="s">
        <v>4936</v>
      </c>
      <c r="B93" s="380" t="str">
        <f t="shared" si="1"/>
        <v>017-901</v>
      </c>
      <c r="C93" s="41" t="s">
        <v>659</v>
      </c>
    </row>
    <row r="94" spans="1:3" ht="14.5">
      <c r="A94" t="s">
        <v>2888</v>
      </c>
      <c r="B94" s="380" t="str">
        <f t="shared" si="1"/>
        <v>018-901</v>
      </c>
      <c r="C94" s="41" t="s">
        <v>1685</v>
      </c>
    </row>
    <row r="95" spans="1:3" ht="14.5">
      <c r="A95" t="s">
        <v>2889</v>
      </c>
      <c r="B95" s="380" t="str">
        <f t="shared" si="1"/>
        <v>018-902</v>
      </c>
      <c r="C95" s="41" t="s">
        <v>1685</v>
      </c>
    </row>
    <row r="96" spans="1:3" ht="14.5">
      <c r="A96" t="s">
        <v>5753</v>
      </c>
      <c r="B96" s="380" t="str">
        <f t="shared" si="1"/>
        <v>018-903</v>
      </c>
      <c r="C96" s="41" t="s">
        <v>1685</v>
      </c>
    </row>
    <row r="97" spans="1:3" ht="14.5">
      <c r="A97" t="s">
        <v>2890</v>
      </c>
      <c r="B97" s="380" t="str">
        <f t="shared" si="1"/>
        <v>018-904</v>
      </c>
      <c r="C97" s="41" t="s">
        <v>1685</v>
      </c>
    </row>
    <row r="98" spans="1:3" ht="14.5">
      <c r="A98" t="s">
        <v>3522</v>
      </c>
      <c r="B98" s="380" t="str">
        <f t="shared" si="1"/>
        <v>018-905</v>
      </c>
      <c r="C98" s="41" t="s">
        <v>1685</v>
      </c>
    </row>
    <row r="99" spans="1:3" ht="14.5">
      <c r="A99" t="s">
        <v>4937</v>
      </c>
      <c r="B99" s="380" t="str">
        <f t="shared" si="1"/>
        <v>018-906</v>
      </c>
      <c r="C99" s="41" t="s">
        <v>1685</v>
      </c>
    </row>
    <row r="100" spans="1:3" ht="14.5">
      <c r="A100" t="s">
        <v>4938</v>
      </c>
      <c r="B100" s="380" t="str">
        <f t="shared" si="1"/>
        <v>018-907</v>
      </c>
      <c r="C100" s="41" t="s">
        <v>1685</v>
      </c>
    </row>
    <row r="101" spans="1:3" ht="14.5">
      <c r="A101" t="s">
        <v>5754</v>
      </c>
      <c r="B101" s="380" t="str">
        <f t="shared" si="1"/>
        <v>018-908</v>
      </c>
      <c r="C101" s="41" t="s">
        <v>1685</v>
      </c>
    </row>
    <row r="102" spans="1:3" ht="14.5">
      <c r="A102" t="s">
        <v>8503</v>
      </c>
      <c r="B102" s="380" t="str">
        <f t="shared" si="1"/>
        <v>019-000</v>
      </c>
      <c r="C102" s="41" t="s">
        <v>1685</v>
      </c>
    </row>
    <row r="103" spans="1:3" ht="14.5">
      <c r="A103" t="s">
        <v>3524</v>
      </c>
      <c r="B103" s="380" t="str">
        <f t="shared" si="1"/>
        <v>019-901</v>
      </c>
      <c r="C103" s="41" t="s">
        <v>1685</v>
      </c>
    </row>
    <row r="104" spans="1:3" ht="14.5">
      <c r="A104" t="s">
        <v>2891</v>
      </c>
      <c r="B104" s="380" t="str">
        <f t="shared" si="1"/>
        <v>019-902</v>
      </c>
      <c r="C104" s="41" t="s">
        <v>1685</v>
      </c>
    </row>
    <row r="105" spans="1:3" ht="14.5">
      <c r="A105" t="s">
        <v>2892</v>
      </c>
      <c r="B105" s="380" t="str">
        <f t="shared" si="1"/>
        <v>019-903</v>
      </c>
      <c r="C105" s="41" t="s">
        <v>1685</v>
      </c>
    </row>
    <row r="106" spans="1:3" ht="14.5">
      <c r="A106" t="s">
        <v>2893</v>
      </c>
      <c r="B106" s="380" t="str">
        <f t="shared" si="1"/>
        <v>019-905</v>
      </c>
      <c r="C106" s="41" t="s">
        <v>1685</v>
      </c>
    </row>
    <row r="107" spans="1:3" ht="14.5">
      <c r="A107" t="s">
        <v>4939</v>
      </c>
      <c r="B107" s="380" t="str">
        <f t="shared" si="1"/>
        <v>019-906</v>
      </c>
      <c r="C107" s="41" t="s">
        <v>1685</v>
      </c>
    </row>
    <row r="108" spans="1:3" ht="14.5">
      <c r="A108" t="s">
        <v>4940</v>
      </c>
      <c r="B108" s="380" t="str">
        <f t="shared" si="1"/>
        <v>019-907</v>
      </c>
      <c r="C108" s="41" t="s">
        <v>1685</v>
      </c>
    </row>
    <row r="109" spans="1:3" ht="14.5">
      <c r="A109" t="s">
        <v>4941</v>
      </c>
      <c r="B109" s="380" t="str">
        <f t="shared" si="1"/>
        <v>019-908</v>
      </c>
      <c r="C109" s="41" t="s">
        <v>1685</v>
      </c>
    </row>
    <row r="110" spans="1:3" ht="14.5">
      <c r="A110" t="s">
        <v>2894</v>
      </c>
      <c r="B110" s="380" t="str">
        <f t="shared" si="1"/>
        <v>019-909</v>
      </c>
      <c r="C110" s="41" t="s">
        <v>1685</v>
      </c>
    </row>
    <row r="111" spans="1:3" ht="14.5">
      <c r="A111" t="s">
        <v>2895</v>
      </c>
      <c r="B111" s="380" t="str">
        <f t="shared" si="1"/>
        <v>019-910</v>
      </c>
      <c r="C111" s="41" t="s">
        <v>1685</v>
      </c>
    </row>
    <row r="112" spans="1:3" ht="14.5">
      <c r="A112" t="s">
        <v>4942</v>
      </c>
      <c r="B112" s="380" t="str">
        <f t="shared" si="1"/>
        <v>019-911</v>
      </c>
      <c r="C112" s="41" t="s">
        <v>1685</v>
      </c>
    </row>
    <row r="113" spans="1:3" ht="14.5">
      <c r="A113" t="s">
        <v>4943</v>
      </c>
      <c r="B113" s="380" t="str">
        <f t="shared" si="1"/>
        <v>019-912</v>
      </c>
      <c r="C113" s="41" t="s">
        <v>1685</v>
      </c>
    </row>
    <row r="114" spans="1:3" ht="14.5">
      <c r="A114" t="s">
        <v>5755</v>
      </c>
      <c r="B114" s="380" t="str">
        <f t="shared" si="1"/>
        <v>019-913</v>
      </c>
      <c r="C114" s="41" t="s">
        <v>1685</v>
      </c>
    </row>
    <row r="115" spans="1:3" ht="14.5">
      <c r="A115" t="s">
        <v>5756</v>
      </c>
      <c r="B115" s="380" t="str">
        <f t="shared" si="1"/>
        <v>019-914</v>
      </c>
      <c r="C115" s="41" t="s">
        <v>1685</v>
      </c>
    </row>
    <row r="116" spans="1:3" ht="14.5">
      <c r="A116" t="s">
        <v>2896</v>
      </c>
      <c r="B116" s="380" t="str">
        <f t="shared" si="1"/>
        <v>020-901</v>
      </c>
      <c r="C116" s="41" t="s">
        <v>1685</v>
      </c>
    </row>
    <row r="117" spans="1:3" ht="14.5">
      <c r="A117" t="s">
        <v>4944</v>
      </c>
      <c r="B117" s="380" t="str">
        <f t="shared" si="1"/>
        <v>020-902</v>
      </c>
      <c r="C117" s="41" t="s">
        <v>1685</v>
      </c>
    </row>
    <row r="118" spans="1:3" ht="14.5">
      <c r="A118" t="s">
        <v>2897</v>
      </c>
      <c r="B118" s="380" t="str">
        <f t="shared" si="1"/>
        <v>020-904</v>
      </c>
      <c r="C118" s="41" t="s">
        <v>1685</v>
      </c>
    </row>
    <row r="119" spans="1:3" ht="14.5">
      <c r="A119" t="s">
        <v>4945</v>
      </c>
      <c r="B119" s="380" t="str">
        <f t="shared" si="1"/>
        <v>020-905</v>
      </c>
      <c r="C119" s="41" t="s">
        <v>1685</v>
      </c>
    </row>
    <row r="120" spans="1:3" ht="14.5">
      <c r="A120" t="s">
        <v>4946</v>
      </c>
      <c r="B120" s="380" t="str">
        <f t="shared" si="1"/>
        <v>020-906</v>
      </c>
      <c r="C120" s="41" t="s">
        <v>1685</v>
      </c>
    </row>
    <row r="121" spans="1:3" ht="14.5">
      <c r="A121" t="s">
        <v>2898</v>
      </c>
      <c r="B121" s="380" t="str">
        <f t="shared" si="1"/>
        <v>020-907</v>
      </c>
      <c r="C121" s="41" t="s">
        <v>1685</v>
      </c>
    </row>
    <row r="122" spans="1:3" ht="14.5">
      <c r="A122" t="s">
        <v>2899</v>
      </c>
      <c r="B122" s="380" t="str">
        <f t="shared" si="1"/>
        <v>020-908</v>
      </c>
      <c r="C122" s="41" t="s">
        <v>1685</v>
      </c>
    </row>
    <row r="123" spans="1:3" ht="14.5">
      <c r="A123" t="s">
        <v>2900</v>
      </c>
      <c r="B123" s="380" t="str">
        <f t="shared" si="1"/>
        <v>020-910</v>
      </c>
      <c r="C123" s="41" t="s">
        <v>1685</v>
      </c>
    </row>
    <row r="124" spans="1:3" ht="14.5">
      <c r="A124" t="s">
        <v>7944</v>
      </c>
      <c r="B124" s="380" t="str">
        <f t="shared" si="1"/>
        <v>021-803</v>
      </c>
      <c r="C124" s="41" t="s">
        <v>1685</v>
      </c>
    </row>
    <row r="125" spans="1:3" ht="14.5">
      <c r="A125" t="s">
        <v>7945</v>
      </c>
      <c r="B125" s="380" t="str">
        <f t="shared" si="1"/>
        <v>021-805</v>
      </c>
      <c r="C125" s="41" t="s">
        <v>1685</v>
      </c>
    </row>
    <row r="126" spans="1:3" ht="14.5">
      <c r="A126" t="s">
        <v>2901</v>
      </c>
      <c r="B126" s="380" t="str">
        <f t="shared" si="1"/>
        <v>021-901</v>
      </c>
      <c r="C126" s="41" t="s">
        <v>1685</v>
      </c>
    </row>
    <row r="127" spans="1:3" ht="14.5">
      <c r="A127" t="s">
        <v>2902</v>
      </c>
      <c r="B127" s="380" t="str">
        <f t="shared" si="1"/>
        <v>021-902</v>
      </c>
      <c r="C127" s="41" t="s">
        <v>1685</v>
      </c>
    </row>
    <row r="128" spans="1:3" ht="14.5">
      <c r="A128" t="s">
        <v>5757</v>
      </c>
      <c r="B128" s="380" t="str">
        <f t="shared" si="1"/>
        <v>022-004</v>
      </c>
      <c r="C128" s="41" t="s">
        <v>1685</v>
      </c>
    </row>
    <row r="129" spans="1:3" ht="14.5">
      <c r="A129" t="s">
        <v>4947</v>
      </c>
      <c r="B129" s="380" t="str">
        <f t="shared" si="1"/>
        <v>022-901</v>
      </c>
      <c r="C129" s="41" t="s">
        <v>1685</v>
      </c>
    </row>
    <row r="130" spans="1:3" ht="14.5">
      <c r="A130" t="s">
        <v>5758</v>
      </c>
      <c r="B130" s="380" t="str">
        <f t="shared" ref="B130:B193" si="2">CONCATENATE(LEFT(RIGHT(CONCATENATE("000",A130),6),3),"-",(RIGHT(RIGHT(CONCATENATE("000",A130),6),3)))</f>
        <v>022-902</v>
      </c>
      <c r="C130" s="41" t="s">
        <v>1685</v>
      </c>
    </row>
    <row r="131" spans="1:3" ht="14.5">
      <c r="A131" t="s">
        <v>5759</v>
      </c>
      <c r="B131" s="380" t="str">
        <f t="shared" si="2"/>
        <v>022-903</v>
      </c>
      <c r="C131" s="41" t="s">
        <v>1685</v>
      </c>
    </row>
    <row r="132" spans="1:3" ht="14.5">
      <c r="A132" t="s">
        <v>5760</v>
      </c>
      <c r="B132" s="380" t="str">
        <f t="shared" si="2"/>
        <v>023-902</v>
      </c>
      <c r="C132" s="41" t="s">
        <v>659</v>
      </c>
    </row>
    <row r="133" spans="1:3" ht="14.5">
      <c r="A133" t="s">
        <v>4948</v>
      </c>
      <c r="B133" s="380" t="str">
        <f t="shared" si="2"/>
        <v>024-901</v>
      </c>
      <c r="C133" s="41" t="s">
        <v>659</v>
      </c>
    </row>
    <row r="134" spans="1:3" ht="14.5">
      <c r="A134" t="s">
        <v>4949</v>
      </c>
      <c r="B134" s="380" t="str">
        <f t="shared" si="2"/>
        <v>025-901</v>
      </c>
      <c r="C134" s="41" t="s">
        <v>1685</v>
      </c>
    </row>
    <row r="135" spans="1:3" ht="14.5">
      <c r="A135" t="s">
        <v>4950</v>
      </c>
      <c r="B135" s="380" t="str">
        <f t="shared" si="2"/>
        <v>025-902</v>
      </c>
      <c r="C135" s="41" t="s">
        <v>1685</v>
      </c>
    </row>
    <row r="136" spans="1:3" ht="14.5">
      <c r="A136" t="s">
        <v>2903</v>
      </c>
      <c r="B136" s="380" t="str">
        <f t="shared" si="2"/>
        <v>025-904</v>
      </c>
      <c r="C136" s="41" t="s">
        <v>1685</v>
      </c>
    </row>
    <row r="137" spans="1:3" ht="14.5">
      <c r="A137" t="s">
        <v>2904</v>
      </c>
      <c r="B137" s="380" t="str">
        <f t="shared" si="2"/>
        <v>025-905</v>
      </c>
      <c r="C137" s="41" t="s">
        <v>1685</v>
      </c>
    </row>
    <row r="138" spans="1:3" ht="14.5">
      <c r="A138" t="s">
        <v>2905</v>
      </c>
      <c r="B138" s="380" t="str">
        <f t="shared" si="2"/>
        <v>025-906</v>
      </c>
      <c r="C138" s="41" t="s">
        <v>1685</v>
      </c>
    </row>
    <row r="139" spans="1:3" ht="14.5">
      <c r="A139" t="s">
        <v>2906</v>
      </c>
      <c r="B139" s="380" t="str">
        <f t="shared" si="2"/>
        <v>025-908</v>
      </c>
      <c r="C139" s="41" t="s">
        <v>1685</v>
      </c>
    </row>
    <row r="140" spans="1:3" ht="14.5">
      <c r="A140" t="s">
        <v>2907</v>
      </c>
      <c r="B140" s="380" t="str">
        <f t="shared" si="2"/>
        <v>025-909</v>
      </c>
      <c r="C140" s="41" t="s">
        <v>1685</v>
      </c>
    </row>
    <row r="141" spans="1:3" ht="14.5">
      <c r="A141" t="s">
        <v>4951</v>
      </c>
      <c r="B141" s="380" t="str">
        <f t="shared" si="2"/>
        <v>026-901</v>
      </c>
      <c r="C141" s="41" t="s">
        <v>1685</v>
      </c>
    </row>
    <row r="142" spans="1:3" ht="14.5">
      <c r="A142" t="s">
        <v>4952</v>
      </c>
      <c r="B142" s="380" t="str">
        <f t="shared" si="2"/>
        <v>026-902</v>
      </c>
      <c r="C142" s="41" t="s">
        <v>1685</v>
      </c>
    </row>
    <row r="143" spans="1:3" ht="14.5">
      <c r="A143" t="s">
        <v>2908</v>
      </c>
      <c r="B143" s="380" t="str">
        <f t="shared" si="2"/>
        <v>026-903</v>
      </c>
      <c r="C143" s="41" t="s">
        <v>1685</v>
      </c>
    </row>
    <row r="144" spans="1:3" ht="14.5">
      <c r="A144" t="s">
        <v>2909</v>
      </c>
      <c r="B144" s="380" t="str">
        <f t="shared" si="2"/>
        <v>027-903</v>
      </c>
      <c r="C144" s="41" t="s">
        <v>1685</v>
      </c>
    </row>
    <row r="145" spans="1:3" ht="14.5">
      <c r="A145" t="s">
        <v>3582</v>
      </c>
      <c r="B145" s="380" t="str">
        <f t="shared" si="2"/>
        <v>027-904</v>
      </c>
      <c r="C145" s="41" t="s">
        <v>1685</v>
      </c>
    </row>
    <row r="146" spans="1:3" ht="14.5">
      <c r="A146" t="s">
        <v>2910</v>
      </c>
      <c r="B146" s="380" t="str">
        <f t="shared" si="2"/>
        <v>028-902</v>
      </c>
      <c r="C146" s="41" t="s">
        <v>1685</v>
      </c>
    </row>
    <row r="147" spans="1:3" ht="14.5">
      <c r="A147" t="s">
        <v>2911</v>
      </c>
      <c r="B147" s="380" t="str">
        <f t="shared" si="2"/>
        <v>028-903</v>
      </c>
      <c r="C147" s="41" t="s">
        <v>1685</v>
      </c>
    </row>
    <row r="148" spans="1:3" ht="14.5">
      <c r="A148" t="s">
        <v>5761</v>
      </c>
      <c r="B148" s="380" t="str">
        <f t="shared" si="2"/>
        <v>028-906</v>
      </c>
      <c r="C148" s="41" t="s">
        <v>1685</v>
      </c>
    </row>
    <row r="149" spans="1:3" ht="14.5">
      <c r="A149" t="s">
        <v>4953</v>
      </c>
      <c r="B149" s="380" t="str">
        <f t="shared" si="2"/>
        <v>029-901</v>
      </c>
      <c r="C149" s="41" t="s">
        <v>659</v>
      </c>
    </row>
    <row r="150" spans="1:3" ht="14.5">
      <c r="A150" t="s">
        <v>5762</v>
      </c>
      <c r="B150" s="380" t="str">
        <f t="shared" si="2"/>
        <v>030-901</v>
      </c>
      <c r="C150" s="41" t="s">
        <v>1685</v>
      </c>
    </row>
    <row r="151" spans="1:3" ht="14.5">
      <c r="A151" t="s">
        <v>2912</v>
      </c>
      <c r="B151" s="380" t="str">
        <f t="shared" si="2"/>
        <v>030-902</v>
      </c>
      <c r="C151" s="41" t="s">
        <v>1685</v>
      </c>
    </row>
    <row r="152" spans="1:3" ht="14.5">
      <c r="A152" t="s">
        <v>2913</v>
      </c>
      <c r="B152" s="380" t="str">
        <f t="shared" si="2"/>
        <v>030-903</v>
      </c>
      <c r="C152" s="41" t="s">
        <v>1685</v>
      </c>
    </row>
    <row r="153" spans="1:3" ht="14.5">
      <c r="A153" t="s">
        <v>4954</v>
      </c>
      <c r="B153" s="380" t="str">
        <f t="shared" si="2"/>
        <v>030-906</v>
      </c>
      <c r="C153" s="41" t="s">
        <v>1685</v>
      </c>
    </row>
    <row r="154" spans="1:3" ht="14.5">
      <c r="A154" t="s">
        <v>7946</v>
      </c>
      <c r="B154" s="380" t="str">
        <f t="shared" si="2"/>
        <v>031-505</v>
      </c>
      <c r="C154" s="41" t="s">
        <v>1685</v>
      </c>
    </row>
    <row r="155" spans="1:3" ht="14.5">
      <c r="A155" t="s">
        <v>2914</v>
      </c>
      <c r="B155" s="380" t="str">
        <f t="shared" si="2"/>
        <v>031-901</v>
      </c>
      <c r="C155" s="41" t="s">
        <v>1685</v>
      </c>
    </row>
    <row r="156" spans="1:3" ht="14.5">
      <c r="A156" t="s">
        <v>2915</v>
      </c>
      <c r="B156" s="380" t="str">
        <f t="shared" si="2"/>
        <v>031-903</v>
      </c>
      <c r="C156" s="41" t="s">
        <v>1685</v>
      </c>
    </row>
    <row r="157" spans="1:3" ht="14.5">
      <c r="A157" t="s">
        <v>2916</v>
      </c>
      <c r="B157" s="380" t="str">
        <f t="shared" si="2"/>
        <v>031-905</v>
      </c>
      <c r="C157" s="41" t="s">
        <v>1685</v>
      </c>
    </row>
    <row r="158" spans="1:3" ht="14.5">
      <c r="A158" t="s">
        <v>2917</v>
      </c>
      <c r="B158" s="380" t="str">
        <f t="shared" si="2"/>
        <v>031-906</v>
      </c>
      <c r="C158" s="41" t="s">
        <v>1685</v>
      </c>
    </row>
    <row r="159" spans="1:3" ht="14.5">
      <c r="A159" t="s">
        <v>4955</v>
      </c>
      <c r="B159" s="380" t="str">
        <f t="shared" si="2"/>
        <v>031-909</v>
      </c>
      <c r="C159" s="41" t="s">
        <v>1685</v>
      </c>
    </row>
    <row r="160" spans="1:3" ht="14.5">
      <c r="A160" t="s">
        <v>2918</v>
      </c>
      <c r="B160" s="380" t="str">
        <f t="shared" si="2"/>
        <v>031-911</v>
      </c>
      <c r="C160" s="41" t="s">
        <v>1685</v>
      </c>
    </row>
    <row r="161" spans="1:3" ht="14.5">
      <c r="A161" t="s">
        <v>2919</v>
      </c>
      <c r="B161" s="380" t="str">
        <f t="shared" si="2"/>
        <v>031-912</v>
      </c>
      <c r="C161" s="41" t="s">
        <v>1685</v>
      </c>
    </row>
    <row r="162" spans="1:3" ht="14.5">
      <c r="A162" t="s">
        <v>2920</v>
      </c>
      <c r="B162" s="380" t="str">
        <f t="shared" si="2"/>
        <v>031-913</v>
      </c>
      <c r="C162" s="41" t="s">
        <v>1685</v>
      </c>
    </row>
    <row r="163" spans="1:3" ht="14.5">
      <c r="A163" t="s">
        <v>2921</v>
      </c>
      <c r="B163" s="380" t="str">
        <f t="shared" si="2"/>
        <v>031-914</v>
      </c>
      <c r="C163" s="41" t="s">
        <v>1685</v>
      </c>
    </row>
    <row r="164" spans="1:3" ht="14.5">
      <c r="A164" t="s">
        <v>7354</v>
      </c>
      <c r="B164" s="380" t="str">
        <f t="shared" si="2"/>
        <v>031-916</v>
      </c>
      <c r="C164" s="41" t="s">
        <v>1685</v>
      </c>
    </row>
    <row r="165" spans="1:3" ht="14.5">
      <c r="A165" t="s">
        <v>4956</v>
      </c>
      <c r="B165" s="380" t="str">
        <f t="shared" si="2"/>
        <v>032-902</v>
      </c>
      <c r="C165" s="41" t="s">
        <v>659</v>
      </c>
    </row>
    <row r="166" spans="1:3" ht="14.5">
      <c r="A166" t="s">
        <v>4957</v>
      </c>
      <c r="B166" s="380" t="str">
        <f t="shared" si="2"/>
        <v>033-901</v>
      </c>
      <c r="C166" s="41" t="s">
        <v>1685</v>
      </c>
    </row>
    <row r="167" spans="1:3" ht="14.5">
      <c r="A167" t="s">
        <v>4958</v>
      </c>
      <c r="B167" s="380" t="str">
        <f t="shared" si="2"/>
        <v>033-902</v>
      </c>
      <c r="C167" s="41" t="s">
        <v>1685</v>
      </c>
    </row>
    <row r="168" spans="1:3" ht="14.5">
      <c r="A168" t="s">
        <v>4959</v>
      </c>
      <c r="B168" s="380" t="str">
        <f t="shared" si="2"/>
        <v>033-904</v>
      </c>
      <c r="C168" s="41" t="s">
        <v>1685</v>
      </c>
    </row>
    <row r="169" spans="1:3" ht="14.5">
      <c r="A169" t="s">
        <v>4960</v>
      </c>
      <c r="B169" s="380" t="str">
        <f t="shared" si="2"/>
        <v>034-901</v>
      </c>
      <c r="C169" s="41" t="s">
        <v>1685</v>
      </c>
    </row>
    <row r="170" spans="1:3" ht="14.5">
      <c r="A170" t="s">
        <v>5763</v>
      </c>
      <c r="B170" s="380" t="str">
        <f t="shared" si="2"/>
        <v>034-902</v>
      </c>
      <c r="C170" s="41" t="s">
        <v>1685</v>
      </c>
    </row>
    <row r="171" spans="1:3" ht="14.5">
      <c r="A171" t="s">
        <v>4961</v>
      </c>
      <c r="B171" s="380" t="str">
        <f t="shared" si="2"/>
        <v>034-903</v>
      </c>
      <c r="C171" s="41" t="s">
        <v>1685</v>
      </c>
    </row>
    <row r="172" spans="1:3" ht="14.5">
      <c r="A172" t="s">
        <v>5764</v>
      </c>
      <c r="B172" s="380" t="str">
        <f t="shared" si="2"/>
        <v>034-905</v>
      </c>
      <c r="C172" s="41" t="s">
        <v>1685</v>
      </c>
    </row>
    <row r="173" spans="1:3" ht="14.5">
      <c r="A173" t="s">
        <v>3647</v>
      </c>
      <c r="B173" s="380" t="str">
        <f t="shared" si="2"/>
        <v>034-906</v>
      </c>
      <c r="C173" s="41" t="s">
        <v>1685</v>
      </c>
    </row>
    <row r="174" spans="1:3" ht="14.5">
      <c r="A174" t="s">
        <v>4962</v>
      </c>
      <c r="B174" s="380" t="str">
        <f t="shared" si="2"/>
        <v>034-907</v>
      </c>
      <c r="C174" s="41" t="s">
        <v>1685</v>
      </c>
    </row>
    <row r="175" spans="1:3" ht="14.5">
      <c r="A175" t="s">
        <v>4963</v>
      </c>
      <c r="B175" s="380" t="str">
        <f t="shared" si="2"/>
        <v>034-909</v>
      </c>
      <c r="C175" s="41" t="s">
        <v>1685</v>
      </c>
    </row>
    <row r="176" spans="1:3" ht="14.5">
      <c r="A176" t="s">
        <v>4964</v>
      </c>
      <c r="B176" s="380" t="str">
        <f t="shared" si="2"/>
        <v>035-901</v>
      </c>
      <c r="C176" s="41" t="s">
        <v>1685</v>
      </c>
    </row>
    <row r="177" spans="1:3" ht="14.5">
      <c r="A177" t="s">
        <v>5765</v>
      </c>
      <c r="B177" s="380" t="str">
        <f t="shared" si="2"/>
        <v>035-902</v>
      </c>
      <c r="C177" s="41" t="s">
        <v>1685</v>
      </c>
    </row>
    <row r="178" spans="1:3" ht="14.5">
      <c r="A178" t="s">
        <v>2922</v>
      </c>
      <c r="B178" s="380" t="str">
        <f t="shared" si="2"/>
        <v>035-903</v>
      </c>
      <c r="C178" s="41" t="s">
        <v>1685</v>
      </c>
    </row>
    <row r="179" spans="1:3" ht="14.5">
      <c r="A179" t="s">
        <v>2923</v>
      </c>
      <c r="B179" s="380" t="str">
        <f t="shared" si="2"/>
        <v>036-901</v>
      </c>
      <c r="C179" s="41" t="s">
        <v>1685</v>
      </c>
    </row>
    <row r="180" spans="1:3" ht="14.5">
      <c r="A180" t="s">
        <v>4965</v>
      </c>
      <c r="B180" s="380" t="str">
        <f t="shared" si="2"/>
        <v>036-902</v>
      </c>
      <c r="C180" s="41" t="s">
        <v>1685</v>
      </c>
    </row>
    <row r="181" spans="1:3" ht="14.5">
      <c r="A181" t="s">
        <v>2924</v>
      </c>
      <c r="B181" s="380" t="str">
        <f t="shared" si="2"/>
        <v>036-903</v>
      </c>
      <c r="C181" s="41" t="s">
        <v>1685</v>
      </c>
    </row>
    <row r="182" spans="1:3" ht="14.5">
      <c r="A182" t="s">
        <v>4966</v>
      </c>
      <c r="B182" s="380" t="str">
        <f t="shared" si="2"/>
        <v>037-901</v>
      </c>
      <c r="C182" s="41" t="s">
        <v>1685</v>
      </c>
    </row>
    <row r="183" spans="1:3" ht="14.5">
      <c r="A183" t="s">
        <v>2925</v>
      </c>
      <c r="B183" s="380" t="str">
        <f t="shared" si="2"/>
        <v>037-904</v>
      </c>
      <c r="C183" s="41" t="s">
        <v>1685</v>
      </c>
    </row>
    <row r="184" spans="1:3" ht="14.5">
      <c r="A184" t="s">
        <v>2926</v>
      </c>
      <c r="B184" s="380" t="str">
        <f t="shared" si="2"/>
        <v>037-907</v>
      </c>
      <c r="C184" s="41" t="s">
        <v>1685</v>
      </c>
    </row>
    <row r="185" spans="1:3" ht="14.5">
      <c r="A185" t="s">
        <v>3657</v>
      </c>
      <c r="B185" s="380" t="str">
        <f t="shared" si="2"/>
        <v>037-908</v>
      </c>
      <c r="C185" s="41" t="s">
        <v>1685</v>
      </c>
    </row>
    <row r="186" spans="1:3" ht="14.5">
      <c r="A186" t="s">
        <v>4967</v>
      </c>
      <c r="B186" s="380" t="str">
        <f t="shared" si="2"/>
        <v>037-909</v>
      </c>
      <c r="C186" s="41" t="s">
        <v>1685</v>
      </c>
    </row>
    <row r="187" spans="1:3" ht="14.5">
      <c r="A187" t="s">
        <v>2927</v>
      </c>
      <c r="B187" s="380" t="str">
        <f t="shared" si="2"/>
        <v>038-901</v>
      </c>
      <c r="C187" s="41" t="s">
        <v>659</v>
      </c>
    </row>
    <row r="188" spans="1:3" ht="14.5">
      <c r="A188" t="s">
        <v>4968</v>
      </c>
      <c r="B188" s="380" t="str">
        <f t="shared" si="2"/>
        <v>039-902</v>
      </c>
      <c r="C188" s="41" t="s">
        <v>1685</v>
      </c>
    </row>
    <row r="189" spans="1:3" ht="14.5">
      <c r="A189" t="s">
        <v>2928</v>
      </c>
      <c r="B189" s="380" t="str">
        <f t="shared" si="2"/>
        <v>039-903</v>
      </c>
      <c r="C189" s="41" t="s">
        <v>1685</v>
      </c>
    </row>
    <row r="190" spans="1:3" ht="14.5">
      <c r="A190" t="s">
        <v>5766</v>
      </c>
      <c r="B190" s="380" t="str">
        <f t="shared" si="2"/>
        <v>039-904</v>
      </c>
      <c r="C190" s="41" t="s">
        <v>1685</v>
      </c>
    </row>
    <row r="191" spans="1:3" ht="14.5">
      <c r="A191" t="s">
        <v>5767</v>
      </c>
      <c r="B191" s="380" t="str">
        <f t="shared" si="2"/>
        <v>039-905</v>
      </c>
      <c r="C191" s="41" t="s">
        <v>1685</v>
      </c>
    </row>
    <row r="192" spans="1:3" ht="14.5">
      <c r="A192" t="s">
        <v>5768</v>
      </c>
      <c r="B192" s="380" t="str">
        <f t="shared" si="2"/>
        <v>040-901</v>
      </c>
      <c r="C192" s="41" t="s">
        <v>1685</v>
      </c>
    </row>
    <row r="193" spans="1:3" ht="14.5">
      <c r="A193" t="s">
        <v>4969</v>
      </c>
      <c r="B193" s="380" t="str">
        <f t="shared" si="2"/>
        <v>040-902</v>
      </c>
      <c r="C193" s="41" t="s">
        <v>1685</v>
      </c>
    </row>
    <row r="194" spans="1:3" ht="14.5">
      <c r="A194" t="s">
        <v>5769</v>
      </c>
      <c r="B194" s="380" t="str">
        <f t="shared" ref="B194:B257" si="3">CONCATENATE(LEFT(RIGHT(CONCATENATE("000",A194),6),3),"-",(RIGHT(RIGHT(CONCATENATE("000",A194),6),3)))</f>
        <v>041-901</v>
      </c>
      <c r="C194" s="41" t="s">
        <v>1685</v>
      </c>
    </row>
    <row r="195" spans="1:3" ht="14.5">
      <c r="A195" t="s">
        <v>4970</v>
      </c>
      <c r="B195" s="380" t="str">
        <f t="shared" si="3"/>
        <v>041-902</v>
      </c>
      <c r="C195" s="41" t="s">
        <v>1685</v>
      </c>
    </row>
    <row r="196" spans="1:3" ht="14.5">
      <c r="A196" t="s">
        <v>3664</v>
      </c>
      <c r="B196" s="380" t="str">
        <f t="shared" si="3"/>
        <v>042-901</v>
      </c>
      <c r="C196" s="41" t="s">
        <v>1685</v>
      </c>
    </row>
    <row r="197" spans="1:3" ht="14.5">
      <c r="A197" t="s">
        <v>2929</v>
      </c>
      <c r="B197" s="380" t="str">
        <f t="shared" si="3"/>
        <v>042-903</v>
      </c>
      <c r="C197" s="41" t="s">
        <v>1685</v>
      </c>
    </row>
    <row r="198" spans="1:3" ht="14.5">
      <c r="A198" t="s">
        <v>4971</v>
      </c>
      <c r="B198" s="380" t="str">
        <f t="shared" si="3"/>
        <v>042-905</v>
      </c>
      <c r="C198" s="41" t="s">
        <v>1685</v>
      </c>
    </row>
    <row r="199" spans="1:3" ht="14.5">
      <c r="A199" t="s">
        <v>7948</v>
      </c>
      <c r="B199" s="380" t="str">
        <f t="shared" si="3"/>
        <v>043-801</v>
      </c>
      <c r="C199" s="41" t="s">
        <v>1685</v>
      </c>
    </row>
    <row r="200" spans="1:3" ht="14.5">
      <c r="A200" t="s">
        <v>7949</v>
      </c>
      <c r="B200" s="380" t="str">
        <f t="shared" si="3"/>
        <v>043-802</v>
      </c>
      <c r="C200" s="41" t="s">
        <v>1685</v>
      </c>
    </row>
    <row r="201" spans="1:3" ht="14.5">
      <c r="A201" t="s">
        <v>2930</v>
      </c>
      <c r="B201" s="380" t="str">
        <f t="shared" si="3"/>
        <v>043-901</v>
      </c>
      <c r="C201" s="41" t="s">
        <v>1685</v>
      </c>
    </row>
    <row r="202" spans="1:3" ht="14.5">
      <c r="A202" t="s">
        <v>2931</v>
      </c>
      <c r="B202" s="380" t="str">
        <f t="shared" si="3"/>
        <v>043-902</v>
      </c>
      <c r="C202" s="41" t="s">
        <v>1685</v>
      </c>
    </row>
    <row r="203" spans="1:3" ht="14.5">
      <c r="A203" t="s">
        <v>2932</v>
      </c>
      <c r="B203" s="380" t="str">
        <f t="shared" si="3"/>
        <v>043-903</v>
      </c>
      <c r="C203" s="41" t="s">
        <v>1685</v>
      </c>
    </row>
    <row r="204" spans="1:3" ht="14.5">
      <c r="A204" t="s">
        <v>2933</v>
      </c>
      <c r="B204" s="380" t="str">
        <f t="shared" si="3"/>
        <v>043-904</v>
      </c>
      <c r="C204" s="41" t="s">
        <v>1685</v>
      </c>
    </row>
    <row r="205" spans="1:3" ht="14.5">
      <c r="A205" t="s">
        <v>2934</v>
      </c>
      <c r="B205" s="380" t="str">
        <f t="shared" si="3"/>
        <v>043-905</v>
      </c>
      <c r="C205" s="41" t="s">
        <v>1685</v>
      </c>
    </row>
    <row r="206" spans="1:3" ht="14.5">
      <c r="A206" t="s">
        <v>2935</v>
      </c>
      <c r="B206" s="380" t="str">
        <f t="shared" si="3"/>
        <v>043-907</v>
      </c>
      <c r="C206" s="41" t="s">
        <v>1685</v>
      </c>
    </row>
    <row r="207" spans="1:3" ht="14.5">
      <c r="A207" t="s">
        <v>2936</v>
      </c>
      <c r="B207" s="380" t="str">
        <f t="shared" si="3"/>
        <v>043-908</v>
      </c>
      <c r="C207" s="41" t="s">
        <v>1685</v>
      </c>
    </row>
    <row r="208" spans="1:3" ht="14.5">
      <c r="A208" t="s">
        <v>4972</v>
      </c>
      <c r="B208" s="380" t="str">
        <f t="shared" si="3"/>
        <v>043-910</v>
      </c>
      <c r="C208" s="41" t="s">
        <v>1685</v>
      </c>
    </row>
    <row r="209" spans="1:3" ht="14.5">
      <c r="A209" t="s">
        <v>2937</v>
      </c>
      <c r="B209" s="380" t="str">
        <f t="shared" si="3"/>
        <v>043-911</v>
      </c>
      <c r="C209" s="41" t="s">
        <v>1685</v>
      </c>
    </row>
    <row r="210" spans="1:3" ht="14.5">
      <c r="A210" t="s">
        <v>2938</v>
      </c>
      <c r="B210" s="380" t="str">
        <f t="shared" si="3"/>
        <v>043-912</v>
      </c>
      <c r="C210" s="41" t="s">
        <v>1685</v>
      </c>
    </row>
    <row r="211" spans="1:3" ht="14.5">
      <c r="A211" t="s">
        <v>2939</v>
      </c>
      <c r="B211" s="380" t="str">
        <f t="shared" si="3"/>
        <v>043-914</v>
      </c>
      <c r="C211" s="41" t="s">
        <v>1685</v>
      </c>
    </row>
    <row r="212" spans="1:3" ht="14.5">
      <c r="A212" t="s">
        <v>2940</v>
      </c>
      <c r="B212" s="380" t="str">
        <f t="shared" si="3"/>
        <v>043-917</v>
      </c>
      <c r="C212" s="41" t="s">
        <v>1685</v>
      </c>
    </row>
    <row r="213" spans="1:3" ht="14.5">
      <c r="A213" t="s">
        <v>2941</v>
      </c>
      <c r="B213" s="380" t="str">
        <f t="shared" si="3"/>
        <v>043-918</v>
      </c>
      <c r="C213" s="41" t="s">
        <v>1685</v>
      </c>
    </row>
    <row r="214" spans="1:3" ht="14.5">
      <c r="A214" t="s">
        <v>4973</v>
      </c>
      <c r="B214" s="380" t="str">
        <f t="shared" si="3"/>
        <v>043-919</v>
      </c>
      <c r="C214" s="41" t="s">
        <v>1685</v>
      </c>
    </row>
    <row r="215" spans="1:3" ht="14.5">
      <c r="A215" t="s">
        <v>5770</v>
      </c>
      <c r="B215" s="380" t="str">
        <f t="shared" si="3"/>
        <v>044-902</v>
      </c>
      <c r="C215" s="41" t="s">
        <v>659</v>
      </c>
    </row>
    <row r="216" spans="1:3" ht="14.5">
      <c r="A216" t="s">
        <v>2942</v>
      </c>
      <c r="B216" s="380" t="str">
        <f t="shared" si="3"/>
        <v>045-902</v>
      </c>
      <c r="C216" s="41" t="s">
        <v>1685</v>
      </c>
    </row>
    <row r="217" spans="1:3" ht="14.5">
      <c r="A217" t="s">
        <v>4974</v>
      </c>
      <c r="B217" s="380" t="str">
        <f t="shared" si="3"/>
        <v>045-903</v>
      </c>
      <c r="C217" s="41" t="s">
        <v>1685</v>
      </c>
    </row>
    <row r="218" spans="1:3" ht="14.5">
      <c r="A218" t="s">
        <v>4975</v>
      </c>
      <c r="B218" s="380" t="str">
        <f t="shared" si="3"/>
        <v>045-905</v>
      </c>
      <c r="C218" s="41" t="s">
        <v>1685</v>
      </c>
    </row>
    <row r="219" spans="1:3" ht="14.5">
      <c r="A219" t="s">
        <v>7950</v>
      </c>
      <c r="B219" s="380" t="str">
        <f t="shared" si="3"/>
        <v>046-802</v>
      </c>
      <c r="C219" s="41" t="s">
        <v>1685</v>
      </c>
    </row>
    <row r="220" spans="1:3" ht="14.5">
      <c r="A220" t="s">
        <v>2943</v>
      </c>
      <c r="B220" s="380" t="str">
        <f t="shared" si="3"/>
        <v>046-901</v>
      </c>
      <c r="C220" s="41" t="s">
        <v>1685</v>
      </c>
    </row>
    <row r="221" spans="1:3" ht="14.5">
      <c r="A221" t="s">
        <v>4976</v>
      </c>
      <c r="B221" s="380" t="str">
        <f t="shared" si="3"/>
        <v>046-902</v>
      </c>
      <c r="C221" s="41" t="s">
        <v>1685</v>
      </c>
    </row>
    <row r="222" spans="1:3" ht="14.5">
      <c r="A222" t="s">
        <v>2944</v>
      </c>
      <c r="B222" s="380" t="str">
        <f t="shared" si="3"/>
        <v>047-901</v>
      </c>
      <c r="C222" s="41" t="s">
        <v>1685</v>
      </c>
    </row>
    <row r="223" spans="1:3" ht="14.5">
      <c r="A223" t="s">
        <v>2945</v>
      </c>
      <c r="B223" s="380" t="str">
        <f t="shared" si="3"/>
        <v>047-902</v>
      </c>
      <c r="C223" s="41" t="s">
        <v>1685</v>
      </c>
    </row>
    <row r="224" spans="1:3" ht="14.5">
      <c r="A224" t="s">
        <v>2946</v>
      </c>
      <c r="B224" s="380" t="str">
        <f t="shared" si="3"/>
        <v>047-903</v>
      </c>
      <c r="C224" s="41" t="s">
        <v>1685</v>
      </c>
    </row>
    <row r="225" spans="1:3" ht="14.5">
      <c r="A225" t="s">
        <v>2947</v>
      </c>
      <c r="B225" s="380" t="str">
        <f t="shared" si="3"/>
        <v>047-905</v>
      </c>
      <c r="C225" s="41" t="s">
        <v>1685</v>
      </c>
    </row>
    <row r="226" spans="1:3" ht="14.5">
      <c r="A226" t="s">
        <v>5771</v>
      </c>
      <c r="B226" s="380" t="str">
        <f t="shared" si="3"/>
        <v>048-901</v>
      </c>
      <c r="C226" s="41" t="s">
        <v>1685</v>
      </c>
    </row>
    <row r="227" spans="1:3" ht="14.5">
      <c r="A227" t="s">
        <v>4977</v>
      </c>
      <c r="B227" s="380" t="str">
        <f t="shared" si="3"/>
        <v>048-903</v>
      </c>
      <c r="C227" s="41" t="s">
        <v>1685</v>
      </c>
    </row>
    <row r="228" spans="1:3" ht="14.5">
      <c r="A228" t="s">
        <v>2948</v>
      </c>
      <c r="B228" s="380" t="str">
        <f t="shared" si="3"/>
        <v>049-901</v>
      </c>
      <c r="C228" s="41" t="s">
        <v>1685</v>
      </c>
    </row>
    <row r="229" spans="1:3" ht="14.5">
      <c r="A229" t="s">
        <v>4978</v>
      </c>
      <c r="B229" s="380" t="str">
        <f t="shared" si="3"/>
        <v>049-902</v>
      </c>
      <c r="C229" s="41" t="s">
        <v>1685</v>
      </c>
    </row>
    <row r="230" spans="1:3" ht="14.5">
      <c r="A230" t="s">
        <v>2949</v>
      </c>
      <c r="B230" s="380" t="str">
        <f t="shared" si="3"/>
        <v>049-903</v>
      </c>
      <c r="C230" s="41" t="s">
        <v>1685</v>
      </c>
    </row>
    <row r="231" spans="1:3" ht="14.5">
      <c r="A231" t="s">
        <v>4979</v>
      </c>
      <c r="B231" s="380" t="str">
        <f t="shared" si="3"/>
        <v>049-905</v>
      </c>
      <c r="C231" s="41" t="s">
        <v>1685</v>
      </c>
    </row>
    <row r="232" spans="1:3" ht="14.5">
      <c r="A232" t="s">
        <v>2950</v>
      </c>
      <c r="B232" s="380" t="str">
        <f t="shared" si="3"/>
        <v>049-906</v>
      </c>
      <c r="C232" s="41" t="s">
        <v>1685</v>
      </c>
    </row>
    <row r="233" spans="1:3" ht="14.5">
      <c r="A233" t="s">
        <v>4980</v>
      </c>
      <c r="B233" s="380" t="str">
        <f t="shared" si="3"/>
        <v>049-907</v>
      </c>
      <c r="C233" s="41" t="s">
        <v>1685</v>
      </c>
    </row>
    <row r="234" spans="1:3" ht="14.5">
      <c r="A234" t="s">
        <v>5772</v>
      </c>
      <c r="B234" s="380" t="str">
        <f t="shared" si="3"/>
        <v>049-908</v>
      </c>
      <c r="C234" s="41" t="s">
        <v>1685</v>
      </c>
    </row>
    <row r="235" spans="1:3" ht="14.5">
      <c r="A235" t="s">
        <v>5773</v>
      </c>
      <c r="B235" s="380" t="str">
        <f t="shared" si="3"/>
        <v>049-909</v>
      </c>
      <c r="C235" s="41" t="s">
        <v>1685</v>
      </c>
    </row>
    <row r="236" spans="1:3" ht="14.5">
      <c r="A236" t="s">
        <v>5774</v>
      </c>
      <c r="B236" s="380" t="str">
        <f t="shared" si="3"/>
        <v>050-901</v>
      </c>
      <c r="C236" s="41" t="s">
        <v>1685</v>
      </c>
    </row>
    <row r="237" spans="1:3" ht="14.5">
      <c r="A237" t="s">
        <v>4981</v>
      </c>
      <c r="B237" s="380" t="str">
        <f t="shared" si="3"/>
        <v>050-902</v>
      </c>
      <c r="C237" s="41" t="s">
        <v>1685</v>
      </c>
    </row>
    <row r="238" spans="1:3" ht="14.5">
      <c r="A238" t="s">
        <v>2951</v>
      </c>
      <c r="B238" s="380" t="str">
        <f t="shared" si="3"/>
        <v>050-904</v>
      </c>
      <c r="C238" s="41" t="s">
        <v>1685</v>
      </c>
    </row>
    <row r="239" spans="1:3" ht="14.5">
      <c r="A239" t="s">
        <v>4982</v>
      </c>
      <c r="B239" s="380" t="str">
        <f t="shared" si="3"/>
        <v>050-909</v>
      </c>
      <c r="C239" s="41" t="s">
        <v>1685</v>
      </c>
    </row>
    <row r="240" spans="1:3" ht="14.5">
      <c r="A240" t="s">
        <v>2952</v>
      </c>
      <c r="B240" s="380" t="str">
        <f t="shared" si="3"/>
        <v>050-910</v>
      </c>
      <c r="C240" s="41" t="s">
        <v>1685</v>
      </c>
    </row>
    <row r="241" spans="1:3" ht="14.5">
      <c r="A241" t="s">
        <v>5775</v>
      </c>
      <c r="B241" s="380" t="str">
        <f t="shared" si="3"/>
        <v>051-901</v>
      </c>
      <c r="C241" s="41" t="s">
        <v>659</v>
      </c>
    </row>
    <row r="242" spans="1:3" ht="14.5">
      <c r="A242" t="s">
        <v>4983</v>
      </c>
      <c r="B242" s="380" t="str">
        <f t="shared" si="3"/>
        <v>052-901</v>
      </c>
      <c r="C242" s="41" t="s">
        <v>659</v>
      </c>
    </row>
    <row r="243" spans="1:3" ht="14.5">
      <c r="A243" t="s">
        <v>5776</v>
      </c>
      <c r="B243" s="380" t="str">
        <f t="shared" si="3"/>
        <v>053-001</v>
      </c>
      <c r="C243" s="41" t="s">
        <v>659</v>
      </c>
    </row>
    <row r="244" spans="1:3" ht="14.5">
      <c r="A244" t="s">
        <v>5777</v>
      </c>
      <c r="B244" s="380" t="str">
        <f t="shared" si="3"/>
        <v>054-901</v>
      </c>
      <c r="C244" s="41" t="s">
        <v>1685</v>
      </c>
    </row>
    <row r="245" spans="1:3" ht="14.5">
      <c r="A245" t="s">
        <v>5778</v>
      </c>
      <c r="B245" s="380" t="str">
        <f t="shared" si="3"/>
        <v>054-902</v>
      </c>
      <c r="C245" s="41" t="s">
        <v>1685</v>
      </c>
    </row>
    <row r="246" spans="1:3" ht="14.5">
      <c r="A246" t="s">
        <v>5779</v>
      </c>
      <c r="B246" s="380" t="str">
        <f t="shared" si="3"/>
        <v>054-903</v>
      </c>
      <c r="C246" s="41" t="s">
        <v>1685</v>
      </c>
    </row>
    <row r="247" spans="1:3" ht="14.5">
      <c r="A247" t="s">
        <v>4984</v>
      </c>
      <c r="B247" s="380" t="str">
        <f t="shared" si="3"/>
        <v>055-901</v>
      </c>
      <c r="C247" s="41" t="s">
        <v>659</v>
      </c>
    </row>
    <row r="248" spans="1:3" ht="14.5">
      <c r="A248" t="s">
        <v>4985</v>
      </c>
      <c r="B248" s="380" t="str">
        <f t="shared" si="3"/>
        <v>056-901</v>
      </c>
      <c r="C248" s="41" t="s">
        <v>1685</v>
      </c>
    </row>
    <row r="249" spans="1:3" ht="14.5">
      <c r="A249" t="s">
        <v>5780</v>
      </c>
      <c r="B249" s="380" t="str">
        <f t="shared" si="3"/>
        <v>056-902</v>
      </c>
      <c r="C249" s="41" t="s">
        <v>1685</v>
      </c>
    </row>
    <row r="250" spans="1:3" ht="14.5">
      <c r="A250" t="s">
        <v>7951</v>
      </c>
      <c r="B250" s="380" t="str">
        <f t="shared" si="3"/>
        <v>057-802</v>
      </c>
      <c r="C250" s="41" t="s">
        <v>1685</v>
      </c>
    </row>
    <row r="251" spans="1:3" ht="14.5">
      <c r="A251" t="s">
        <v>7952</v>
      </c>
      <c r="B251" s="380" t="str">
        <f t="shared" si="3"/>
        <v>057-803</v>
      </c>
      <c r="C251" s="41" t="s">
        <v>1685</v>
      </c>
    </row>
    <row r="252" spans="1:3" ht="14.5">
      <c r="A252" t="s">
        <v>7953</v>
      </c>
      <c r="B252" s="380" t="str">
        <f t="shared" si="3"/>
        <v>057-804</v>
      </c>
      <c r="C252" s="41" t="s">
        <v>1685</v>
      </c>
    </row>
    <row r="253" spans="1:3" ht="14.5">
      <c r="A253" t="s">
        <v>7954</v>
      </c>
      <c r="B253" s="380" t="str">
        <f t="shared" si="3"/>
        <v>057-805</v>
      </c>
      <c r="C253" s="41" t="s">
        <v>1685</v>
      </c>
    </row>
    <row r="254" spans="1:3" ht="14.5">
      <c r="A254" t="s">
        <v>7955</v>
      </c>
      <c r="B254" s="380" t="str">
        <f t="shared" si="3"/>
        <v>057-806</v>
      </c>
      <c r="C254" s="41" t="s">
        <v>1685</v>
      </c>
    </row>
    <row r="255" spans="1:3" ht="14.5">
      <c r="A255" t="s">
        <v>7956</v>
      </c>
      <c r="B255" s="380" t="str">
        <f t="shared" si="3"/>
        <v>057-807</v>
      </c>
      <c r="C255" s="41" t="s">
        <v>1685</v>
      </c>
    </row>
    <row r="256" spans="1:3" ht="14.5">
      <c r="A256" t="s">
        <v>7957</v>
      </c>
      <c r="B256" s="380" t="str">
        <f t="shared" si="3"/>
        <v>057-808</v>
      </c>
      <c r="C256" s="41" t="s">
        <v>1685</v>
      </c>
    </row>
    <row r="257" spans="1:3" ht="14.5">
      <c r="A257" t="s">
        <v>7958</v>
      </c>
      <c r="B257" s="380" t="str">
        <f t="shared" si="3"/>
        <v>057-809</v>
      </c>
      <c r="C257" s="41" t="s">
        <v>1685</v>
      </c>
    </row>
    <row r="258" spans="1:3" ht="14.5">
      <c r="A258" t="s">
        <v>7959</v>
      </c>
      <c r="B258" s="380" t="str">
        <f t="shared" ref="B258:B321" si="4">CONCATENATE(LEFT(RIGHT(CONCATENATE("000",A258),6),3),"-",(RIGHT(RIGHT(CONCATENATE("000",A258),6),3)))</f>
        <v>057-810</v>
      </c>
      <c r="C258" s="41" t="s">
        <v>1685</v>
      </c>
    </row>
    <row r="259" spans="1:3" ht="14.5">
      <c r="A259" t="s">
        <v>7960</v>
      </c>
      <c r="B259" s="380" t="str">
        <f t="shared" si="4"/>
        <v>057-813</v>
      </c>
      <c r="C259" s="41" t="s">
        <v>1685</v>
      </c>
    </row>
    <row r="260" spans="1:3" ht="14.5">
      <c r="A260" t="s">
        <v>7961</v>
      </c>
      <c r="B260" s="380" t="str">
        <f t="shared" si="4"/>
        <v>057-814</v>
      </c>
      <c r="C260" s="41" t="s">
        <v>1685</v>
      </c>
    </row>
    <row r="261" spans="1:3" ht="14.5">
      <c r="A261" t="s">
        <v>7962</v>
      </c>
      <c r="B261" s="380" t="str">
        <f t="shared" si="4"/>
        <v>057-816</v>
      </c>
      <c r="C261" s="41" t="s">
        <v>1685</v>
      </c>
    </row>
    <row r="262" spans="1:3" ht="14.5">
      <c r="A262" t="s">
        <v>7963</v>
      </c>
      <c r="B262" s="380" t="str">
        <f t="shared" si="4"/>
        <v>057-819</v>
      </c>
      <c r="C262" s="41" t="s">
        <v>1685</v>
      </c>
    </row>
    <row r="263" spans="1:3" ht="14.5">
      <c r="A263" t="s">
        <v>7964</v>
      </c>
      <c r="B263" s="380" t="str">
        <f t="shared" si="4"/>
        <v>057-827</v>
      </c>
      <c r="C263" s="41" t="s">
        <v>1685</v>
      </c>
    </row>
    <row r="264" spans="1:3" ht="14.5">
      <c r="A264" t="s">
        <v>7965</v>
      </c>
      <c r="B264" s="380" t="str">
        <f t="shared" si="4"/>
        <v>057-828</v>
      </c>
      <c r="C264" s="41" t="s">
        <v>1685</v>
      </c>
    </row>
    <row r="265" spans="1:3" ht="14.5">
      <c r="A265" t="s">
        <v>7966</v>
      </c>
      <c r="B265" s="380" t="str">
        <f t="shared" si="4"/>
        <v>057-829</v>
      </c>
      <c r="C265" s="41" t="s">
        <v>1685</v>
      </c>
    </row>
    <row r="266" spans="1:3" ht="14.5">
      <c r="A266" t="s">
        <v>7967</v>
      </c>
      <c r="B266" s="380" t="str">
        <f t="shared" si="4"/>
        <v>057-830</v>
      </c>
      <c r="C266" s="41" t="s">
        <v>1685</v>
      </c>
    </row>
    <row r="267" spans="1:3" ht="14.5">
      <c r="A267" t="s">
        <v>7968</v>
      </c>
      <c r="B267" s="380" t="str">
        <f t="shared" si="4"/>
        <v>057-831</v>
      </c>
      <c r="C267" s="41" t="s">
        <v>1685</v>
      </c>
    </row>
    <row r="268" spans="1:3" ht="14.5">
      <c r="A268" t="s">
        <v>7969</v>
      </c>
      <c r="B268" s="380" t="str">
        <f t="shared" si="4"/>
        <v>057-833</v>
      </c>
      <c r="C268" s="41" t="s">
        <v>1685</v>
      </c>
    </row>
    <row r="269" spans="1:3" ht="14.5">
      <c r="A269" t="s">
        <v>7970</v>
      </c>
      <c r="B269" s="380" t="str">
        <f t="shared" si="4"/>
        <v>057-834</v>
      </c>
      <c r="C269" s="41" t="s">
        <v>1685</v>
      </c>
    </row>
    <row r="270" spans="1:3" ht="14.5">
      <c r="A270" t="s">
        <v>7971</v>
      </c>
      <c r="B270" s="380" t="str">
        <f t="shared" si="4"/>
        <v>057-835</v>
      </c>
      <c r="C270" s="41" t="s">
        <v>1685</v>
      </c>
    </row>
    <row r="271" spans="1:3" ht="14.5">
      <c r="A271" t="s">
        <v>7972</v>
      </c>
      <c r="B271" s="380" t="str">
        <f t="shared" si="4"/>
        <v>057-836</v>
      </c>
      <c r="C271" s="41" t="s">
        <v>1685</v>
      </c>
    </row>
    <row r="272" spans="1:3" ht="14.5">
      <c r="A272" t="s">
        <v>7973</v>
      </c>
      <c r="B272" s="380" t="str">
        <f t="shared" si="4"/>
        <v>057-839</v>
      </c>
      <c r="C272" s="41" t="s">
        <v>1685</v>
      </c>
    </row>
    <row r="273" spans="1:3" ht="14.5">
      <c r="A273" t="s">
        <v>7974</v>
      </c>
      <c r="B273" s="380" t="str">
        <f t="shared" si="4"/>
        <v>057-840</v>
      </c>
      <c r="C273" s="41" t="s">
        <v>1685</v>
      </c>
    </row>
    <row r="274" spans="1:3" ht="14.5">
      <c r="A274" t="s">
        <v>7975</v>
      </c>
      <c r="B274" s="380" t="str">
        <f t="shared" si="4"/>
        <v>057-841</v>
      </c>
      <c r="C274" s="41" t="s">
        <v>1685</v>
      </c>
    </row>
    <row r="275" spans="1:3" ht="14.5">
      <c r="A275" t="s">
        <v>7976</v>
      </c>
      <c r="B275" s="380" t="str">
        <f t="shared" si="4"/>
        <v>057-844</v>
      </c>
      <c r="C275" s="41" t="s">
        <v>1685</v>
      </c>
    </row>
    <row r="276" spans="1:3" ht="14.5">
      <c r="A276" t="s">
        <v>7977</v>
      </c>
      <c r="B276" s="380" t="str">
        <f t="shared" si="4"/>
        <v>057-845</v>
      </c>
      <c r="C276" s="41" t="s">
        <v>1685</v>
      </c>
    </row>
    <row r="277" spans="1:3" ht="14.5">
      <c r="A277" t="s">
        <v>7978</v>
      </c>
      <c r="B277" s="380" t="str">
        <f t="shared" si="4"/>
        <v>057-846</v>
      </c>
      <c r="C277" s="41" t="s">
        <v>1685</v>
      </c>
    </row>
    <row r="278" spans="1:3" ht="14.5">
      <c r="A278" t="s">
        <v>7979</v>
      </c>
      <c r="B278" s="380" t="str">
        <f t="shared" si="4"/>
        <v>057-847</v>
      </c>
      <c r="C278" s="41" t="s">
        <v>1685</v>
      </c>
    </row>
    <row r="279" spans="1:3" ht="14.5">
      <c r="A279" t="s">
        <v>7980</v>
      </c>
      <c r="B279" s="380" t="str">
        <f t="shared" si="4"/>
        <v>057-848</v>
      </c>
      <c r="C279" s="41" t="s">
        <v>1685</v>
      </c>
    </row>
    <row r="280" spans="1:3" ht="14.5">
      <c r="A280" t="s">
        <v>7982</v>
      </c>
      <c r="B280" s="380" t="str">
        <f t="shared" si="4"/>
        <v>057-850</v>
      </c>
      <c r="C280" s="41" t="s">
        <v>1685</v>
      </c>
    </row>
    <row r="281" spans="1:3" ht="14.5">
      <c r="A281" t="s">
        <v>7983</v>
      </c>
      <c r="B281" s="380" t="str">
        <f t="shared" si="4"/>
        <v>057-851</v>
      </c>
      <c r="C281" s="41" t="s">
        <v>1685</v>
      </c>
    </row>
    <row r="282" spans="1:3" ht="14.5">
      <c r="A282" t="s">
        <v>4986</v>
      </c>
      <c r="B282" s="380" t="str">
        <f t="shared" si="4"/>
        <v>057-903</v>
      </c>
      <c r="C282" s="41" t="s">
        <v>1685</v>
      </c>
    </row>
    <row r="283" spans="1:3" ht="14.5">
      <c r="A283" t="s">
        <v>4987</v>
      </c>
      <c r="B283" s="380" t="str">
        <f t="shared" si="4"/>
        <v>057-904</v>
      </c>
      <c r="C283" s="41" t="s">
        <v>1685</v>
      </c>
    </row>
    <row r="284" spans="1:3" ht="14.5">
      <c r="A284" t="s">
        <v>4988</v>
      </c>
      <c r="B284" s="380" t="str">
        <f t="shared" si="4"/>
        <v>057-905</v>
      </c>
      <c r="C284" s="41" t="s">
        <v>1685</v>
      </c>
    </row>
    <row r="285" spans="1:3" ht="14.5">
      <c r="A285" t="s">
        <v>2953</v>
      </c>
      <c r="B285" s="380" t="str">
        <f t="shared" si="4"/>
        <v>057-906</v>
      </c>
      <c r="C285" s="41" t="s">
        <v>1685</v>
      </c>
    </row>
    <row r="286" spans="1:3" ht="14.5">
      <c r="A286" t="s">
        <v>4989</v>
      </c>
      <c r="B286" s="380" t="str">
        <f t="shared" si="4"/>
        <v>057-907</v>
      </c>
      <c r="C286" s="41" t="s">
        <v>1685</v>
      </c>
    </row>
    <row r="287" spans="1:3" ht="14.5">
      <c r="A287" t="s">
        <v>2954</v>
      </c>
      <c r="B287" s="380" t="str">
        <f t="shared" si="4"/>
        <v>057-909</v>
      </c>
      <c r="C287" s="41" t="s">
        <v>1685</v>
      </c>
    </row>
    <row r="288" spans="1:3" ht="14.5">
      <c r="A288" t="s">
        <v>2955</v>
      </c>
      <c r="B288" s="380" t="str">
        <f t="shared" si="4"/>
        <v>057-910</v>
      </c>
      <c r="C288" s="41" t="s">
        <v>1685</v>
      </c>
    </row>
    <row r="289" spans="1:3" ht="14.5">
      <c r="A289" t="s">
        <v>4990</v>
      </c>
      <c r="B289" s="380" t="str">
        <f t="shared" si="4"/>
        <v>057-911</v>
      </c>
      <c r="C289" s="41" t="s">
        <v>1685</v>
      </c>
    </row>
    <row r="290" spans="1:3" ht="14.5">
      <c r="A290" t="s">
        <v>2956</v>
      </c>
      <c r="B290" s="380" t="str">
        <f t="shared" si="4"/>
        <v>057-912</v>
      </c>
      <c r="C290" s="41" t="s">
        <v>1685</v>
      </c>
    </row>
    <row r="291" spans="1:3" ht="14.5">
      <c r="A291" t="s">
        <v>4991</v>
      </c>
      <c r="B291" s="380" t="str">
        <f t="shared" si="4"/>
        <v>057-913</v>
      </c>
      <c r="C291" s="41" t="s">
        <v>1685</v>
      </c>
    </row>
    <row r="292" spans="1:3" ht="14.5">
      <c r="A292" t="s">
        <v>2957</v>
      </c>
      <c r="B292" s="380" t="str">
        <f t="shared" si="4"/>
        <v>057-914</v>
      </c>
      <c r="C292" s="41" t="s">
        <v>1685</v>
      </c>
    </row>
    <row r="293" spans="1:3" ht="14.5">
      <c r="A293" t="s">
        <v>4992</v>
      </c>
      <c r="B293" s="380" t="str">
        <f t="shared" si="4"/>
        <v>057-916</v>
      </c>
      <c r="C293" s="41" t="s">
        <v>1685</v>
      </c>
    </row>
    <row r="294" spans="1:3" ht="14.5">
      <c r="A294" t="s">
        <v>4993</v>
      </c>
      <c r="B294" s="380" t="str">
        <f t="shared" si="4"/>
        <v>057-919</v>
      </c>
      <c r="C294" s="41" t="s">
        <v>1685</v>
      </c>
    </row>
    <row r="295" spans="1:3" ht="14.5">
      <c r="A295" t="s">
        <v>4994</v>
      </c>
      <c r="B295" s="380" t="str">
        <f t="shared" si="4"/>
        <v>057-922</v>
      </c>
      <c r="C295" s="41" t="s">
        <v>1685</v>
      </c>
    </row>
    <row r="296" spans="1:3" ht="14.5">
      <c r="A296" t="s">
        <v>8504</v>
      </c>
      <c r="B296" s="380" t="str">
        <f t="shared" si="4"/>
        <v>057-950</v>
      </c>
      <c r="C296" s="41" t="s">
        <v>1685</v>
      </c>
    </row>
    <row r="297" spans="1:3" ht="14.5">
      <c r="A297" t="s">
        <v>5781</v>
      </c>
      <c r="B297" s="380" t="str">
        <f t="shared" si="4"/>
        <v>058-902</v>
      </c>
      <c r="C297" s="41" t="s">
        <v>1685</v>
      </c>
    </row>
    <row r="298" spans="1:3" ht="14.5">
      <c r="A298" t="s">
        <v>4995</v>
      </c>
      <c r="B298" s="380" t="str">
        <f t="shared" si="4"/>
        <v>058-905</v>
      </c>
      <c r="C298" s="41" t="s">
        <v>1685</v>
      </c>
    </row>
    <row r="299" spans="1:3" ht="14.5">
      <c r="A299" t="s">
        <v>5782</v>
      </c>
      <c r="B299" s="380" t="str">
        <f t="shared" si="4"/>
        <v>058-906</v>
      </c>
      <c r="C299" s="41" t="s">
        <v>1685</v>
      </c>
    </row>
    <row r="300" spans="1:3" ht="14.5">
      <c r="A300" t="s">
        <v>4996</v>
      </c>
      <c r="B300" s="380" t="str">
        <f t="shared" si="4"/>
        <v>058-909</v>
      </c>
      <c r="C300" s="41" t="s">
        <v>1685</v>
      </c>
    </row>
    <row r="301" spans="1:3" ht="14.5">
      <c r="A301" t="s">
        <v>3768</v>
      </c>
      <c r="B301" s="380" t="str">
        <f t="shared" si="4"/>
        <v>059-901</v>
      </c>
      <c r="C301" s="41" t="s">
        <v>1685</v>
      </c>
    </row>
    <row r="302" spans="1:3" ht="14.5">
      <c r="A302" t="s">
        <v>5783</v>
      </c>
      <c r="B302" s="380" t="str">
        <f t="shared" si="4"/>
        <v>059-902</v>
      </c>
      <c r="C302" s="41" t="s">
        <v>1685</v>
      </c>
    </row>
    <row r="303" spans="1:3" ht="14.5">
      <c r="A303" t="s">
        <v>2958</v>
      </c>
      <c r="B303" s="380" t="str">
        <f t="shared" si="4"/>
        <v>060-902</v>
      </c>
      <c r="C303" s="41" t="s">
        <v>1685</v>
      </c>
    </row>
    <row r="304" spans="1:3" ht="14.5">
      <c r="A304" t="s">
        <v>2959</v>
      </c>
      <c r="B304" s="380" t="str">
        <f t="shared" si="4"/>
        <v>060-914</v>
      </c>
      <c r="C304" s="41" t="s">
        <v>1685</v>
      </c>
    </row>
    <row r="305" spans="1:3" ht="14.5">
      <c r="A305" t="s">
        <v>7984</v>
      </c>
      <c r="B305" s="380" t="str">
        <f t="shared" si="4"/>
        <v>061-501</v>
      </c>
      <c r="C305" s="41" t="s">
        <v>1685</v>
      </c>
    </row>
    <row r="306" spans="1:3" ht="14.5">
      <c r="A306" t="s">
        <v>7986</v>
      </c>
      <c r="B306" s="380" t="str">
        <f t="shared" si="4"/>
        <v>061-802</v>
      </c>
      <c r="C306" s="41" t="s">
        <v>1685</v>
      </c>
    </row>
    <row r="307" spans="1:3" ht="14.5">
      <c r="A307" t="s">
        <v>7987</v>
      </c>
      <c r="B307" s="380" t="str">
        <f t="shared" si="4"/>
        <v>061-804</v>
      </c>
      <c r="C307" s="41" t="s">
        <v>1685</v>
      </c>
    </row>
    <row r="308" spans="1:3" ht="14.5">
      <c r="A308" t="s">
        <v>7988</v>
      </c>
      <c r="B308" s="380" t="str">
        <f t="shared" si="4"/>
        <v>061-805</v>
      </c>
      <c r="C308" s="41" t="s">
        <v>1685</v>
      </c>
    </row>
    <row r="309" spans="1:3" ht="14.5">
      <c r="A309" t="s">
        <v>4997</v>
      </c>
      <c r="B309" s="380" t="str">
        <f t="shared" si="4"/>
        <v>061-901</v>
      </c>
      <c r="C309" s="41" t="s">
        <v>1685</v>
      </c>
    </row>
    <row r="310" spans="1:3" ht="14.5">
      <c r="A310" t="s">
        <v>2960</v>
      </c>
      <c r="B310" s="380" t="str">
        <f t="shared" si="4"/>
        <v>061-902</v>
      </c>
      <c r="C310" s="41" t="s">
        <v>1685</v>
      </c>
    </row>
    <row r="311" spans="1:3" ht="14.5">
      <c r="A311" t="s">
        <v>3776</v>
      </c>
      <c r="B311" s="380" t="str">
        <f t="shared" si="4"/>
        <v>061-903</v>
      </c>
      <c r="C311" s="41" t="s">
        <v>1685</v>
      </c>
    </row>
    <row r="312" spans="1:3" ht="14.5">
      <c r="A312" t="s">
        <v>2961</v>
      </c>
      <c r="B312" s="380" t="str">
        <f t="shared" si="4"/>
        <v>061-905</v>
      </c>
      <c r="C312" s="41" t="s">
        <v>1685</v>
      </c>
    </row>
    <row r="313" spans="1:3" ht="14.5">
      <c r="A313" t="s">
        <v>2962</v>
      </c>
      <c r="B313" s="380" t="str">
        <f t="shared" si="4"/>
        <v>061-906</v>
      </c>
      <c r="C313" s="41" t="s">
        <v>1685</v>
      </c>
    </row>
    <row r="314" spans="1:3" ht="14.5">
      <c r="A314" t="s">
        <v>2963</v>
      </c>
      <c r="B314" s="380" t="str">
        <f t="shared" si="4"/>
        <v>061-907</v>
      </c>
      <c r="C314" s="41" t="s">
        <v>1685</v>
      </c>
    </row>
    <row r="315" spans="1:3" ht="14.5">
      <c r="A315" t="s">
        <v>2964</v>
      </c>
      <c r="B315" s="380" t="str">
        <f t="shared" si="4"/>
        <v>061-908</v>
      </c>
      <c r="C315" s="41" t="s">
        <v>1685</v>
      </c>
    </row>
    <row r="316" spans="1:3" ht="14.5">
      <c r="A316" t="s">
        <v>4998</v>
      </c>
      <c r="B316" s="380" t="str">
        <f t="shared" si="4"/>
        <v>061-910</v>
      </c>
      <c r="C316" s="41" t="s">
        <v>1685</v>
      </c>
    </row>
    <row r="317" spans="1:3" ht="14.5">
      <c r="A317" t="s">
        <v>2965</v>
      </c>
      <c r="B317" s="380" t="str">
        <f t="shared" si="4"/>
        <v>061-911</v>
      </c>
      <c r="C317" s="41" t="s">
        <v>1685</v>
      </c>
    </row>
    <row r="318" spans="1:3" ht="14.5">
      <c r="A318" t="s">
        <v>2966</v>
      </c>
      <c r="B318" s="380" t="str">
        <f t="shared" si="4"/>
        <v>061-912</v>
      </c>
      <c r="C318" s="41" t="s">
        <v>1685</v>
      </c>
    </row>
    <row r="319" spans="1:3" ht="14.5">
      <c r="A319" t="s">
        <v>2967</v>
      </c>
      <c r="B319" s="380" t="str">
        <f t="shared" si="4"/>
        <v>061-914</v>
      </c>
      <c r="C319" s="41" t="s">
        <v>1685</v>
      </c>
    </row>
    <row r="320" spans="1:3" ht="14.5">
      <c r="A320" t="s">
        <v>2968</v>
      </c>
      <c r="B320" s="380" t="str">
        <f t="shared" si="4"/>
        <v>062-901</v>
      </c>
      <c r="C320" s="41" t="s">
        <v>1685</v>
      </c>
    </row>
    <row r="321" spans="1:3" ht="14.5">
      <c r="A321" t="s">
        <v>4999</v>
      </c>
      <c r="B321" s="380" t="str">
        <f t="shared" si="4"/>
        <v>062-902</v>
      </c>
      <c r="C321" s="41" t="s">
        <v>1685</v>
      </c>
    </row>
    <row r="322" spans="1:3" ht="14.5">
      <c r="A322" t="s">
        <v>2969</v>
      </c>
      <c r="B322" s="380" t="str">
        <f t="shared" ref="B322:B385" si="5">CONCATENATE(LEFT(RIGHT(CONCATENATE("000",A322),6),3),"-",(RIGHT(RIGHT(CONCATENATE("000",A322),6),3)))</f>
        <v>062-903</v>
      </c>
      <c r="C322" s="41" t="s">
        <v>1685</v>
      </c>
    </row>
    <row r="323" spans="1:3" ht="14.5">
      <c r="A323" t="s">
        <v>5000</v>
      </c>
      <c r="B323" s="380" t="str">
        <f t="shared" si="5"/>
        <v>062-904</v>
      </c>
      <c r="C323" s="41" t="s">
        <v>1685</v>
      </c>
    </row>
    <row r="324" spans="1:3" ht="14.5">
      <c r="A324" t="s">
        <v>5784</v>
      </c>
      <c r="B324" s="380" t="str">
        <f t="shared" si="5"/>
        <v>062-905</v>
      </c>
      <c r="C324" s="41" t="s">
        <v>1685</v>
      </c>
    </row>
    <row r="325" spans="1:3" ht="14.5">
      <c r="A325" t="s">
        <v>5785</v>
      </c>
      <c r="B325" s="380" t="str">
        <f t="shared" si="5"/>
        <v>062-906</v>
      </c>
      <c r="C325" s="41" t="s">
        <v>1685</v>
      </c>
    </row>
    <row r="326" spans="1:3" ht="14.5">
      <c r="A326" t="s">
        <v>5001</v>
      </c>
      <c r="B326" s="380" t="str">
        <f t="shared" si="5"/>
        <v>063-903</v>
      </c>
      <c r="C326" s="41" t="s">
        <v>1685</v>
      </c>
    </row>
    <row r="327" spans="1:3" ht="14.5">
      <c r="A327" t="s">
        <v>5786</v>
      </c>
      <c r="B327" s="380" t="str">
        <f t="shared" si="5"/>
        <v>063-906</v>
      </c>
      <c r="C327" s="41" t="s">
        <v>1685</v>
      </c>
    </row>
    <row r="328" spans="1:3" ht="14.5">
      <c r="A328" t="s">
        <v>2970</v>
      </c>
      <c r="B328" s="380" t="str">
        <f t="shared" si="5"/>
        <v>064-903</v>
      </c>
      <c r="C328" s="41" t="s">
        <v>659</v>
      </c>
    </row>
    <row r="329" spans="1:3" ht="14.5">
      <c r="A329" t="s">
        <v>5787</v>
      </c>
      <c r="B329" s="380" t="str">
        <f t="shared" si="5"/>
        <v>065-901</v>
      </c>
      <c r="C329" s="41" t="s">
        <v>1685</v>
      </c>
    </row>
    <row r="330" spans="1:3" ht="14.5">
      <c r="A330" t="s">
        <v>2971</v>
      </c>
      <c r="B330" s="380" t="str">
        <f t="shared" si="5"/>
        <v>065-902</v>
      </c>
      <c r="C330" s="41" t="s">
        <v>1685</v>
      </c>
    </row>
    <row r="331" spans="1:3" ht="14.5">
      <c r="A331" t="s">
        <v>5788</v>
      </c>
      <c r="B331" s="380" t="str">
        <f t="shared" si="5"/>
        <v>066-005</v>
      </c>
      <c r="C331" s="41" t="s">
        <v>1685</v>
      </c>
    </row>
    <row r="332" spans="1:3" ht="14.5">
      <c r="A332" t="s">
        <v>5002</v>
      </c>
      <c r="B332" s="380" t="str">
        <f t="shared" si="5"/>
        <v>066-901</v>
      </c>
      <c r="C332" s="41" t="s">
        <v>1685</v>
      </c>
    </row>
    <row r="333" spans="1:3" ht="14.5">
      <c r="A333" t="s">
        <v>2972</v>
      </c>
      <c r="B333" s="380" t="str">
        <f t="shared" si="5"/>
        <v>066-902</v>
      </c>
      <c r="C333" s="41" t="s">
        <v>1685</v>
      </c>
    </row>
    <row r="334" spans="1:3" ht="14.5">
      <c r="A334" t="s">
        <v>5003</v>
      </c>
      <c r="B334" s="380" t="str">
        <f t="shared" si="5"/>
        <v>066-903</v>
      </c>
      <c r="C334" s="41" t="s">
        <v>1685</v>
      </c>
    </row>
    <row r="335" spans="1:3" ht="14.5">
      <c r="A335" t="s">
        <v>3827</v>
      </c>
      <c r="B335" s="380" t="str">
        <f t="shared" si="5"/>
        <v>067-902</v>
      </c>
      <c r="C335" s="41" t="s">
        <v>1685</v>
      </c>
    </row>
    <row r="336" spans="1:3" ht="14.5">
      <c r="A336" t="s">
        <v>5789</v>
      </c>
      <c r="B336" s="380" t="str">
        <f t="shared" si="5"/>
        <v>067-903</v>
      </c>
      <c r="C336" s="41" t="s">
        <v>1685</v>
      </c>
    </row>
    <row r="337" spans="1:3" ht="14.5">
      <c r="A337" t="s">
        <v>5004</v>
      </c>
      <c r="B337" s="380" t="str">
        <f t="shared" si="5"/>
        <v>067-904</v>
      </c>
      <c r="C337" s="41" t="s">
        <v>1685</v>
      </c>
    </row>
    <row r="338" spans="1:3" ht="14.5">
      <c r="A338" t="s">
        <v>5790</v>
      </c>
      <c r="B338" s="380" t="str">
        <f t="shared" si="5"/>
        <v>067-907</v>
      </c>
      <c r="C338" s="41" t="s">
        <v>1685</v>
      </c>
    </row>
    <row r="339" spans="1:3" ht="14.5">
      <c r="A339" t="s">
        <v>5791</v>
      </c>
      <c r="B339" s="380" t="str">
        <f t="shared" si="5"/>
        <v>067-908</v>
      </c>
      <c r="C339" s="41" t="s">
        <v>1685</v>
      </c>
    </row>
    <row r="340" spans="1:3" ht="14.5">
      <c r="A340" t="s">
        <v>7989</v>
      </c>
      <c r="B340" s="380" t="str">
        <f t="shared" si="5"/>
        <v>068-802</v>
      </c>
      <c r="C340" s="41" t="s">
        <v>1685</v>
      </c>
    </row>
    <row r="341" spans="1:3" ht="14.5">
      <c r="A341" t="s">
        <v>7990</v>
      </c>
      <c r="B341" s="380" t="str">
        <f t="shared" si="5"/>
        <v>068-803</v>
      </c>
      <c r="C341" s="41" t="s">
        <v>1685</v>
      </c>
    </row>
    <row r="342" spans="1:3" ht="14.5">
      <c r="A342" t="s">
        <v>5005</v>
      </c>
      <c r="B342" s="380" t="str">
        <f t="shared" si="5"/>
        <v>068-901</v>
      </c>
      <c r="C342" s="41" t="s">
        <v>659</v>
      </c>
    </row>
    <row r="343" spans="1:3" ht="14.5">
      <c r="A343" t="s">
        <v>5006</v>
      </c>
      <c r="B343" s="380" t="str">
        <f t="shared" si="5"/>
        <v>069-901</v>
      </c>
      <c r="C343" s="41" t="s">
        <v>1685</v>
      </c>
    </row>
    <row r="344" spans="1:3" ht="14.5">
      <c r="A344" t="s">
        <v>5792</v>
      </c>
      <c r="B344" s="380" t="str">
        <f t="shared" si="5"/>
        <v>069-902</v>
      </c>
      <c r="C344" s="41" t="s">
        <v>1685</v>
      </c>
    </row>
    <row r="345" spans="1:3" ht="14.5">
      <c r="A345" t="s">
        <v>7991</v>
      </c>
      <c r="B345" s="380" t="str">
        <f t="shared" si="5"/>
        <v>070-801</v>
      </c>
      <c r="C345" s="41" t="s">
        <v>1685</v>
      </c>
    </row>
    <row r="346" spans="1:3" ht="14.5">
      <c r="A346" t="s">
        <v>2973</v>
      </c>
      <c r="B346" s="380" t="str">
        <f t="shared" si="5"/>
        <v>070-901</v>
      </c>
      <c r="C346" s="41" t="s">
        <v>1685</v>
      </c>
    </row>
    <row r="347" spans="1:3" ht="14.5">
      <c r="A347" t="s">
        <v>5007</v>
      </c>
      <c r="B347" s="380" t="str">
        <f t="shared" si="5"/>
        <v>070-903</v>
      </c>
      <c r="C347" s="41" t="s">
        <v>1685</v>
      </c>
    </row>
    <row r="348" spans="1:3" ht="14.5">
      <c r="A348" t="s">
        <v>2974</v>
      </c>
      <c r="B348" s="380" t="str">
        <f t="shared" si="5"/>
        <v>070-905</v>
      </c>
      <c r="C348" s="41" t="s">
        <v>1685</v>
      </c>
    </row>
    <row r="349" spans="1:3" ht="14.5">
      <c r="A349" t="s">
        <v>2975</v>
      </c>
      <c r="B349" s="380" t="str">
        <f t="shared" si="5"/>
        <v>070-907</v>
      </c>
      <c r="C349" s="41" t="s">
        <v>1685</v>
      </c>
    </row>
    <row r="350" spans="1:3" ht="14.5">
      <c r="A350" t="s">
        <v>5008</v>
      </c>
      <c r="B350" s="380" t="str">
        <f t="shared" si="5"/>
        <v>070-908</v>
      </c>
      <c r="C350" s="41" t="s">
        <v>1685</v>
      </c>
    </row>
    <row r="351" spans="1:3" ht="14.5">
      <c r="A351" t="s">
        <v>5793</v>
      </c>
      <c r="B351" s="380" t="str">
        <f t="shared" si="5"/>
        <v>070-909</v>
      </c>
      <c r="C351" s="41" t="s">
        <v>1685</v>
      </c>
    </row>
    <row r="352" spans="1:3" ht="14.5">
      <c r="A352" t="s">
        <v>2976</v>
      </c>
      <c r="B352" s="380" t="str">
        <f t="shared" si="5"/>
        <v>070-910</v>
      </c>
      <c r="C352" s="41" t="s">
        <v>1685</v>
      </c>
    </row>
    <row r="353" spans="1:3" ht="14.5">
      <c r="A353" t="s">
        <v>2977</v>
      </c>
      <c r="B353" s="380" t="str">
        <f t="shared" si="5"/>
        <v>070-911</v>
      </c>
      <c r="C353" s="41" t="s">
        <v>1685</v>
      </c>
    </row>
    <row r="354" spans="1:3" ht="14.5">
      <c r="A354" t="s">
        <v>2978</v>
      </c>
      <c r="B354" s="380" t="str">
        <f t="shared" si="5"/>
        <v>070-912</v>
      </c>
      <c r="C354" s="41" t="s">
        <v>1685</v>
      </c>
    </row>
    <row r="355" spans="1:3" ht="14.5">
      <c r="A355" t="s">
        <v>2979</v>
      </c>
      <c r="B355" s="380" t="str">
        <f t="shared" si="5"/>
        <v>070-915</v>
      </c>
      <c r="C355" s="41" t="s">
        <v>1685</v>
      </c>
    </row>
    <row r="356" spans="1:3" ht="14.5">
      <c r="A356" t="s">
        <v>7992</v>
      </c>
      <c r="B356" s="380" t="str">
        <f t="shared" si="5"/>
        <v>071-801</v>
      </c>
      <c r="C356" s="41" t="s">
        <v>1685</v>
      </c>
    </row>
    <row r="357" spans="1:3" ht="14.5">
      <c r="A357" t="s">
        <v>7993</v>
      </c>
      <c r="B357" s="380" t="str">
        <f t="shared" si="5"/>
        <v>071-803</v>
      </c>
      <c r="C357" s="41" t="s">
        <v>1685</v>
      </c>
    </row>
    <row r="358" spans="1:3" ht="14.5">
      <c r="A358" t="s">
        <v>7994</v>
      </c>
      <c r="B358" s="380" t="str">
        <f t="shared" si="5"/>
        <v>071-804</v>
      </c>
      <c r="C358" s="41" t="s">
        <v>1685</v>
      </c>
    </row>
    <row r="359" spans="1:3" ht="14.5">
      <c r="A359" t="s">
        <v>7995</v>
      </c>
      <c r="B359" s="380" t="str">
        <f t="shared" si="5"/>
        <v>071-806</v>
      </c>
      <c r="C359" s="41" t="s">
        <v>1685</v>
      </c>
    </row>
    <row r="360" spans="1:3" ht="14.5">
      <c r="A360" t="s">
        <v>7996</v>
      </c>
      <c r="B360" s="380" t="str">
        <f t="shared" si="5"/>
        <v>071-807</v>
      </c>
      <c r="C360" s="41" t="s">
        <v>1685</v>
      </c>
    </row>
    <row r="361" spans="1:3" ht="14.5">
      <c r="A361" t="s">
        <v>7997</v>
      </c>
      <c r="B361" s="380" t="str">
        <f t="shared" si="5"/>
        <v>071-809</v>
      </c>
      <c r="C361" s="41" t="s">
        <v>1685</v>
      </c>
    </row>
    <row r="362" spans="1:3" ht="14.5">
      <c r="A362" t="s">
        <v>7998</v>
      </c>
      <c r="B362" s="380" t="str">
        <f t="shared" si="5"/>
        <v>071-810</v>
      </c>
      <c r="C362" s="41" t="s">
        <v>1685</v>
      </c>
    </row>
    <row r="363" spans="1:3" ht="14.5">
      <c r="A363" t="s">
        <v>2980</v>
      </c>
      <c r="B363" s="380" t="str">
        <f t="shared" si="5"/>
        <v>071-901</v>
      </c>
      <c r="C363" s="41" t="s">
        <v>1685</v>
      </c>
    </row>
    <row r="364" spans="1:3" ht="14.5">
      <c r="A364" t="s">
        <v>2981</v>
      </c>
      <c r="B364" s="380" t="str">
        <f t="shared" si="5"/>
        <v>071-902</v>
      </c>
      <c r="C364" s="41" t="s">
        <v>1685</v>
      </c>
    </row>
    <row r="365" spans="1:3" ht="14.5">
      <c r="A365" t="s">
        <v>2982</v>
      </c>
      <c r="B365" s="380" t="str">
        <f t="shared" si="5"/>
        <v>071-903</v>
      </c>
      <c r="C365" s="41" t="s">
        <v>1685</v>
      </c>
    </row>
    <row r="366" spans="1:3" ht="14.5">
      <c r="A366" t="s">
        <v>3862</v>
      </c>
      <c r="B366" s="380" t="str">
        <f t="shared" si="5"/>
        <v>071-904</v>
      </c>
      <c r="C366" s="41" t="s">
        <v>1685</v>
      </c>
    </row>
    <row r="367" spans="1:3" ht="14.5">
      <c r="A367" t="s">
        <v>3867</v>
      </c>
      <c r="B367" s="380" t="str">
        <f t="shared" si="5"/>
        <v>071-905</v>
      </c>
      <c r="C367" s="41" t="s">
        <v>1685</v>
      </c>
    </row>
    <row r="368" spans="1:3" ht="14.5">
      <c r="A368" t="s">
        <v>2983</v>
      </c>
      <c r="B368" s="380" t="str">
        <f t="shared" si="5"/>
        <v>071-906</v>
      </c>
      <c r="C368" s="41" t="s">
        <v>1685</v>
      </c>
    </row>
    <row r="369" spans="1:3" ht="14.5">
      <c r="A369" t="s">
        <v>2984</v>
      </c>
      <c r="B369" s="380" t="str">
        <f t="shared" si="5"/>
        <v>071-907</v>
      </c>
      <c r="C369" s="41" t="s">
        <v>1685</v>
      </c>
    </row>
    <row r="370" spans="1:3" ht="14.5">
      <c r="A370" t="s">
        <v>2985</v>
      </c>
      <c r="B370" s="380" t="str">
        <f t="shared" si="5"/>
        <v>071-908</v>
      </c>
      <c r="C370" s="41" t="s">
        <v>1685</v>
      </c>
    </row>
    <row r="371" spans="1:3" ht="14.5">
      <c r="A371" t="s">
        <v>2986</v>
      </c>
      <c r="B371" s="380" t="str">
        <f t="shared" si="5"/>
        <v>071-909</v>
      </c>
      <c r="C371" s="41" t="s">
        <v>1685</v>
      </c>
    </row>
    <row r="372" spans="1:3" ht="14.5">
      <c r="A372" t="s">
        <v>8505</v>
      </c>
      <c r="B372" s="380" t="str">
        <f t="shared" si="5"/>
        <v>071-950</v>
      </c>
      <c r="C372" s="41" t="s">
        <v>1685</v>
      </c>
    </row>
    <row r="373" spans="1:3" ht="14.5">
      <c r="A373" t="s">
        <v>7999</v>
      </c>
      <c r="B373" s="380" t="str">
        <f t="shared" si="5"/>
        <v>072-801</v>
      </c>
      <c r="C373" s="41" t="s">
        <v>1685</v>
      </c>
    </row>
    <row r="374" spans="1:3" ht="14.5">
      <c r="A374" t="s">
        <v>8000</v>
      </c>
      <c r="B374" s="380" t="str">
        <f t="shared" si="5"/>
        <v>072-802</v>
      </c>
      <c r="C374" s="41" t="s">
        <v>1685</v>
      </c>
    </row>
    <row r="375" spans="1:3" ht="14.5">
      <c r="A375" t="s">
        <v>5794</v>
      </c>
      <c r="B375" s="380" t="str">
        <f t="shared" si="5"/>
        <v>072-901</v>
      </c>
      <c r="C375" s="41" t="s">
        <v>1685</v>
      </c>
    </row>
    <row r="376" spans="1:3" ht="14.5">
      <c r="A376" t="s">
        <v>5009</v>
      </c>
      <c r="B376" s="380" t="str">
        <f t="shared" si="5"/>
        <v>072-902</v>
      </c>
      <c r="C376" s="41" t="s">
        <v>1685</v>
      </c>
    </row>
    <row r="377" spans="1:3" ht="14.5">
      <c r="A377" t="s">
        <v>2987</v>
      </c>
      <c r="B377" s="380" t="str">
        <f t="shared" si="5"/>
        <v>072-903</v>
      </c>
      <c r="C377" s="41" t="s">
        <v>1685</v>
      </c>
    </row>
    <row r="378" spans="1:3" ht="14.5">
      <c r="A378" t="s">
        <v>5010</v>
      </c>
      <c r="B378" s="380" t="str">
        <f t="shared" si="5"/>
        <v>072-904</v>
      </c>
      <c r="C378" s="41" t="s">
        <v>1685</v>
      </c>
    </row>
    <row r="379" spans="1:3" ht="14.5">
      <c r="A379" t="s">
        <v>5795</v>
      </c>
      <c r="B379" s="380" t="str">
        <f t="shared" si="5"/>
        <v>072-908</v>
      </c>
      <c r="C379" s="41" t="s">
        <v>1685</v>
      </c>
    </row>
    <row r="380" spans="1:3" ht="14.5">
      <c r="A380" t="s">
        <v>2988</v>
      </c>
      <c r="B380" s="380" t="str">
        <f t="shared" si="5"/>
        <v>072-909</v>
      </c>
      <c r="C380" s="41" t="s">
        <v>1685</v>
      </c>
    </row>
    <row r="381" spans="1:3" ht="14.5">
      <c r="A381" t="s">
        <v>5796</v>
      </c>
      <c r="B381" s="380" t="str">
        <f t="shared" si="5"/>
        <v>072-910</v>
      </c>
      <c r="C381" s="41" t="s">
        <v>1685</v>
      </c>
    </row>
    <row r="382" spans="1:3" ht="14.5">
      <c r="A382" t="s">
        <v>5011</v>
      </c>
      <c r="B382" s="380" t="str">
        <f t="shared" si="5"/>
        <v>073-901</v>
      </c>
      <c r="C382" s="41" t="s">
        <v>1685</v>
      </c>
    </row>
    <row r="383" spans="1:3" ht="14.5">
      <c r="A383" t="s">
        <v>3901</v>
      </c>
      <c r="B383" s="380" t="str">
        <f t="shared" si="5"/>
        <v>073-903</v>
      </c>
      <c r="C383" s="41" t="s">
        <v>1685</v>
      </c>
    </row>
    <row r="384" spans="1:3" ht="14.5">
      <c r="A384" t="s">
        <v>3903</v>
      </c>
      <c r="B384" s="380" t="str">
        <f t="shared" si="5"/>
        <v>073-904</v>
      </c>
      <c r="C384" s="41" t="s">
        <v>1685</v>
      </c>
    </row>
    <row r="385" spans="1:3" ht="14.5">
      <c r="A385" t="s">
        <v>5797</v>
      </c>
      <c r="B385" s="380" t="str">
        <f t="shared" si="5"/>
        <v>073-905</v>
      </c>
      <c r="C385" s="41" t="s">
        <v>1685</v>
      </c>
    </row>
    <row r="386" spans="1:3" ht="14.5">
      <c r="A386" t="s">
        <v>5012</v>
      </c>
      <c r="B386" s="380" t="str">
        <f t="shared" ref="B386:B449" si="6">CONCATENATE(LEFT(RIGHT(CONCATENATE("000",A386),6),3),"-",(RIGHT(RIGHT(CONCATENATE("000",A386),6),3)))</f>
        <v>074-903</v>
      </c>
      <c r="C386" s="41" t="s">
        <v>1685</v>
      </c>
    </row>
    <row r="387" spans="1:3" ht="14.5">
      <c r="A387" t="s">
        <v>2989</v>
      </c>
      <c r="B387" s="380" t="str">
        <f t="shared" si="6"/>
        <v>074-904</v>
      </c>
      <c r="C387" s="41" t="s">
        <v>1685</v>
      </c>
    </row>
    <row r="388" spans="1:3" ht="14.5">
      <c r="A388" t="s">
        <v>2990</v>
      </c>
      <c r="B388" s="380" t="str">
        <f t="shared" si="6"/>
        <v>074-905</v>
      </c>
      <c r="C388" s="41" t="s">
        <v>1685</v>
      </c>
    </row>
    <row r="389" spans="1:3" ht="14.5">
      <c r="A389" t="s">
        <v>2991</v>
      </c>
      <c r="B389" s="380" t="str">
        <f t="shared" si="6"/>
        <v>074-907</v>
      </c>
      <c r="C389" s="41" t="s">
        <v>1685</v>
      </c>
    </row>
    <row r="390" spans="1:3" ht="14.5">
      <c r="A390" t="s">
        <v>5013</v>
      </c>
      <c r="B390" s="380" t="str">
        <f t="shared" si="6"/>
        <v>074-909</v>
      </c>
      <c r="C390" s="41" t="s">
        <v>1685</v>
      </c>
    </row>
    <row r="391" spans="1:3" ht="14.5">
      <c r="A391" t="s">
        <v>5014</v>
      </c>
      <c r="B391" s="380" t="str">
        <f t="shared" si="6"/>
        <v>074-911</v>
      </c>
      <c r="C391" s="41" t="s">
        <v>1685</v>
      </c>
    </row>
    <row r="392" spans="1:3" ht="14.5">
      <c r="A392" t="s">
        <v>2992</v>
      </c>
      <c r="B392" s="380" t="str">
        <f t="shared" si="6"/>
        <v>074-912</v>
      </c>
      <c r="C392" s="41" t="s">
        <v>1685</v>
      </c>
    </row>
    <row r="393" spans="1:3" ht="14.5">
      <c r="A393" t="s">
        <v>2993</v>
      </c>
      <c r="B393" s="380" t="str">
        <f t="shared" si="6"/>
        <v>074-917</v>
      </c>
      <c r="C393" s="41" t="s">
        <v>1685</v>
      </c>
    </row>
    <row r="394" spans="1:3" ht="14.5">
      <c r="A394" t="s">
        <v>5015</v>
      </c>
      <c r="B394" s="380" t="str">
        <f t="shared" si="6"/>
        <v>075-901</v>
      </c>
      <c r="C394" s="41" t="s">
        <v>1685</v>
      </c>
    </row>
    <row r="395" spans="1:3" ht="14.5">
      <c r="A395" t="s">
        <v>5798</v>
      </c>
      <c r="B395" s="380" t="str">
        <f t="shared" si="6"/>
        <v>075-902</v>
      </c>
      <c r="C395" s="41" t="s">
        <v>1685</v>
      </c>
    </row>
    <row r="396" spans="1:3" ht="14.5">
      <c r="A396" t="s">
        <v>5016</v>
      </c>
      <c r="B396" s="380" t="str">
        <f t="shared" si="6"/>
        <v>075-903</v>
      </c>
      <c r="C396" s="41" t="s">
        <v>1685</v>
      </c>
    </row>
    <row r="397" spans="1:3" ht="14.5">
      <c r="A397" t="s">
        <v>5799</v>
      </c>
      <c r="B397" s="380" t="str">
        <f t="shared" si="6"/>
        <v>075-906</v>
      </c>
      <c r="C397" s="41" t="s">
        <v>1685</v>
      </c>
    </row>
    <row r="398" spans="1:3" ht="14.5">
      <c r="A398" t="s">
        <v>5017</v>
      </c>
      <c r="B398" s="380" t="str">
        <f t="shared" si="6"/>
        <v>075-908</v>
      </c>
      <c r="C398" s="41" t="s">
        <v>1685</v>
      </c>
    </row>
    <row r="399" spans="1:3" ht="14.5">
      <c r="A399" t="s">
        <v>5800</v>
      </c>
      <c r="B399" s="380" t="str">
        <f t="shared" si="6"/>
        <v>076-903</v>
      </c>
      <c r="C399" s="41" t="s">
        <v>1685</v>
      </c>
    </row>
    <row r="400" spans="1:3" ht="14.5">
      <c r="A400" t="s">
        <v>2994</v>
      </c>
      <c r="B400" s="380" t="str">
        <f t="shared" si="6"/>
        <v>076-904</v>
      </c>
      <c r="C400" s="41" t="s">
        <v>1685</v>
      </c>
    </row>
    <row r="401" spans="1:3" ht="14.5">
      <c r="A401" t="s">
        <v>5018</v>
      </c>
      <c r="B401" s="380" t="str">
        <f t="shared" si="6"/>
        <v>077-901</v>
      </c>
      <c r="C401" s="41" t="s">
        <v>1685</v>
      </c>
    </row>
    <row r="402" spans="1:3" ht="14.5">
      <c r="A402" t="s">
        <v>5801</v>
      </c>
      <c r="B402" s="380" t="str">
        <f t="shared" si="6"/>
        <v>077-902</v>
      </c>
      <c r="C402" s="41" t="s">
        <v>1685</v>
      </c>
    </row>
    <row r="403" spans="1:3" ht="14.5">
      <c r="A403" t="s">
        <v>5802</v>
      </c>
      <c r="B403" s="380" t="str">
        <f t="shared" si="6"/>
        <v>078-901</v>
      </c>
      <c r="C403" s="41" t="s">
        <v>659</v>
      </c>
    </row>
    <row r="404" spans="1:3" ht="14.5">
      <c r="A404" t="s">
        <v>5019</v>
      </c>
      <c r="B404" s="380" t="str">
        <f t="shared" si="6"/>
        <v>079-901</v>
      </c>
      <c r="C404" s="41" t="s">
        <v>1685</v>
      </c>
    </row>
    <row r="405" spans="1:3" ht="14.5">
      <c r="A405" t="s">
        <v>2995</v>
      </c>
      <c r="B405" s="380" t="str">
        <f t="shared" si="6"/>
        <v>079-906</v>
      </c>
      <c r="C405" s="41" t="s">
        <v>1685</v>
      </c>
    </row>
    <row r="406" spans="1:3" ht="14.5">
      <c r="A406" t="s">
        <v>2996</v>
      </c>
      <c r="B406" s="380" t="str">
        <f t="shared" si="6"/>
        <v>079-907</v>
      </c>
      <c r="C406" s="41" t="s">
        <v>1685</v>
      </c>
    </row>
    <row r="407" spans="1:3" ht="14.5">
      <c r="A407" t="s">
        <v>5020</v>
      </c>
      <c r="B407" s="380" t="str">
        <f t="shared" si="6"/>
        <v>079-910</v>
      </c>
      <c r="C407" s="41" t="s">
        <v>1685</v>
      </c>
    </row>
    <row r="408" spans="1:3" ht="14.5">
      <c r="A408" t="s">
        <v>5021</v>
      </c>
      <c r="B408" s="380" t="str">
        <f t="shared" si="6"/>
        <v>080-901</v>
      </c>
      <c r="C408" s="41" t="s">
        <v>659</v>
      </c>
    </row>
    <row r="409" spans="1:3" ht="14.5">
      <c r="A409" t="s">
        <v>5022</v>
      </c>
      <c r="B409" s="380" t="str">
        <f t="shared" si="6"/>
        <v>081-902</v>
      </c>
      <c r="C409" s="41" t="s">
        <v>1685</v>
      </c>
    </row>
    <row r="410" spans="1:3" ht="14.5">
      <c r="A410" t="s">
        <v>5023</v>
      </c>
      <c r="B410" s="380" t="str">
        <f t="shared" si="6"/>
        <v>081-904</v>
      </c>
      <c r="C410" s="41" t="s">
        <v>1685</v>
      </c>
    </row>
    <row r="411" spans="1:3" ht="14.5">
      <c r="A411" t="s">
        <v>5024</v>
      </c>
      <c r="B411" s="380" t="str">
        <f t="shared" si="6"/>
        <v>081-905</v>
      </c>
      <c r="C411" s="41" t="s">
        <v>1685</v>
      </c>
    </row>
    <row r="412" spans="1:3" ht="14.5">
      <c r="A412" t="s">
        <v>5025</v>
      </c>
      <c r="B412" s="380" t="str">
        <f t="shared" si="6"/>
        <v>081-906</v>
      </c>
      <c r="C412" s="41" t="s">
        <v>1685</v>
      </c>
    </row>
    <row r="413" spans="1:3" ht="14.5">
      <c r="A413" t="s">
        <v>2997</v>
      </c>
      <c r="B413" s="380" t="str">
        <f t="shared" si="6"/>
        <v>082-902</v>
      </c>
      <c r="C413" s="41" t="s">
        <v>1685</v>
      </c>
    </row>
    <row r="414" spans="1:3" ht="14.5">
      <c r="A414" t="s">
        <v>2998</v>
      </c>
      <c r="B414" s="380" t="str">
        <f t="shared" si="6"/>
        <v>082-903</v>
      </c>
      <c r="C414" s="41" t="s">
        <v>1685</v>
      </c>
    </row>
    <row r="415" spans="1:3" ht="14.5">
      <c r="A415" t="s">
        <v>5026</v>
      </c>
      <c r="B415" s="380" t="str">
        <f t="shared" si="6"/>
        <v>083-901</v>
      </c>
      <c r="C415" s="41" t="s">
        <v>1685</v>
      </c>
    </row>
    <row r="416" spans="1:3" ht="14.5">
      <c r="A416" t="s">
        <v>5027</v>
      </c>
      <c r="B416" s="380" t="str">
        <f t="shared" si="6"/>
        <v>083-902</v>
      </c>
      <c r="C416" s="41" t="s">
        <v>1685</v>
      </c>
    </row>
    <row r="417" spans="1:3" ht="14.5">
      <c r="A417" t="s">
        <v>5028</v>
      </c>
      <c r="B417" s="380" t="str">
        <f t="shared" si="6"/>
        <v>083-903</v>
      </c>
      <c r="C417" s="41" t="s">
        <v>1685</v>
      </c>
    </row>
    <row r="418" spans="1:3" ht="14.5">
      <c r="A418" t="s">
        <v>8001</v>
      </c>
      <c r="B418" s="380" t="str">
        <f t="shared" si="6"/>
        <v>084-802</v>
      </c>
      <c r="C418" s="41" t="s">
        <v>1685</v>
      </c>
    </row>
    <row r="419" spans="1:3" ht="14.5">
      <c r="A419" t="s">
        <v>8002</v>
      </c>
      <c r="B419" s="380" t="str">
        <f t="shared" si="6"/>
        <v>084-804</v>
      </c>
      <c r="C419" s="41" t="s">
        <v>1685</v>
      </c>
    </row>
    <row r="420" spans="1:3" ht="14.5">
      <c r="A420" t="s">
        <v>5029</v>
      </c>
      <c r="B420" s="380" t="str">
        <f t="shared" si="6"/>
        <v>084-901</v>
      </c>
      <c r="C420" s="41" t="s">
        <v>1685</v>
      </c>
    </row>
    <row r="421" spans="1:3" ht="14.5">
      <c r="A421" t="s">
        <v>5030</v>
      </c>
      <c r="B421" s="380" t="str">
        <f t="shared" si="6"/>
        <v>084-902</v>
      </c>
      <c r="C421" s="41" t="s">
        <v>1685</v>
      </c>
    </row>
    <row r="422" spans="1:3" ht="14.5">
      <c r="A422" t="s">
        <v>5031</v>
      </c>
      <c r="B422" s="380" t="str">
        <f t="shared" si="6"/>
        <v>084-903</v>
      </c>
      <c r="C422" s="41" t="s">
        <v>1685</v>
      </c>
    </row>
    <row r="423" spans="1:3" ht="14.5">
      <c r="A423" t="s">
        <v>5032</v>
      </c>
      <c r="B423" s="380" t="str">
        <f t="shared" si="6"/>
        <v>084-906</v>
      </c>
      <c r="C423" s="41" t="s">
        <v>1685</v>
      </c>
    </row>
    <row r="424" spans="1:3" ht="14.5">
      <c r="A424" t="s">
        <v>5033</v>
      </c>
      <c r="B424" s="380" t="str">
        <f t="shared" si="6"/>
        <v>084-908</v>
      </c>
      <c r="C424" s="41" t="s">
        <v>1685</v>
      </c>
    </row>
    <row r="425" spans="1:3" ht="14.5">
      <c r="A425" t="s">
        <v>2999</v>
      </c>
      <c r="B425" s="380" t="str">
        <f t="shared" si="6"/>
        <v>084-909</v>
      </c>
      <c r="C425" s="41" t="s">
        <v>1685</v>
      </c>
    </row>
    <row r="426" spans="1:3" ht="14.5">
      <c r="A426" t="s">
        <v>5034</v>
      </c>
      <c r="B426" s="380" t="str">
        <f t="shared" si="6"/>
        <v>084-910</v>
      </c>
      <c r="C426" s="41" t="s">
        <v>1685</v>
      </c>
    </row>
    <row r="427" spans="1:3" ht="14.5">
      <c r="A427" t="s">
        <v>3000</v>
      </c>
      <c r="B427" s="380" t="str">
        <f t="shared" si="6"/>
        <v>084-911</v>
      </c>
      <c r="C427" s="41" t="s">
        <v>1685</v>
      </c>
    </row>
    <row r="428" spans="1:3" ht="14.5">
      <c r="A428" t="s">
        <v>5035</v>
      </c>
      <c r="B428" s="380" t="str">
        <f t="shared" si="6"/>
        <v>085-902</v>
      </c>
      <c r="C428" s="41" t="s">
        <v>1685</v>
      </c>
    </row>
    <row r="429" spans="1:3" ht="14.5">
      <c r="A429" t="s">
        <v>5803</v>
      </c>
      <c r="B429" s="380" t="str">
        <f t="shared" si="6"/>
        <v>085-903</v>
      </c>
      <c r="C429" s="41" t="s">
        <v>1685</v>
      </c>
    </row>
    <row r="430" spans="1:3" ht="14.5">
      <c r="A430" t="s">
        <v>5804</v>
      </c>
      <c r="B430" s="380" t="str">
        <f t="shared" si="6"/>
        <v>086-024</v>
      </c>
      <c r="C430" s="41" t="s">
        <v>1685</v>
      </c>
    </row>
    <row r="431" spans="1:3" ht="14.5">
      <c r="A431" t="s">
        <v>5036</v>
      </c>
      <c r="B431" s="380" t="str">
        <f t="shared" si="6"/>
        <v>086-901</v>
      </c>
      <c r="C431" s="41" t="s">
        <v>1685</v>
      </c>
    </row>
    <row r="432" spans="1:3" ht="14.5">
      <c r="A432" t="s">
        <v>5805</v>
      </c>
      <c r="B432" s="380" t="str">
        <f t="shared" si="6"/>
        <v>086-902</v>
      </c>
      <c r="C432" s="41" t="s">
        <v>1685</v>
      </c>
    </row>
    <row r="433" spans="1:3" ht="14.5">
      <c r="A433" t="s">
        <v>5037</v>
      </c>
      <c r="B433" s="380" t="str">
        <f t="shared" si="6"/>
        <v>087-901</v>
      </c>
      <c r="C433" s="41" t="s">
        <v>659</v>
      </c>
    </row>
    <row r="434" spans="1:3" ht="14.5">
      <c r="A434" t="s">
        <v>5038</v>
      </c>
      <c r="B434" s="380" t="str">
        <f t="shared" si="6"/>
        <v>088-902</v>
      </c>
      <c r="C434" s="41" t="s">
        <v>659</v>
      </c>
    </row>
    <row r="435" spans="1:3" ht="14.5">
      <c r="A435" t="s">
        <v>3001</v>
      </c>
      <c r="B435" s="380" t="str">
        <f t="shared" si="6"/>
        <v>089-901</v>
      </c>
      <c r="C435" s="41" t="s">
        <v>1685</v>
      </c>
    </row>
    <row r="436" spans="1:3" ht="14.5">
      <c r="A436" t="s">
        <v>5039</v>
      </c>
      <c r="B436" s="380" t="str">
        <f t="shared" si="6"/>
        <v>089-903</v>
      </c>
      <c r="C436" s="41" t="s">
        <v>1685</v>
      </c>
    </row>
    <row r="437" spans="1:3" ht="14.5">
      <c r="A437" t="s">
        <v>5040</v>
      </c>
      <c r="B437" s="380" t="str">
        <f t="shared" si="6"/>
        <v>089-905</v>
      </c>
      <c r="C437" s="41" t="s">
        <v>1685</v>
      </c>
    </row>
    <row r="438" spans="1:3" ht="14.5">
      <c r="A438" t="s">
        <v>5041</v>
      </c>
      <c r="B438" s="380" t="str">
        <f t="shared" si="6"/>
        <v>090-902</v>
      </c>
      <c r="C438" s="41" t="s">
        <v>1685</v>
      </c>
    </row>
    <row r="439" spans="1:3" ht="14.5">
      <c r="A439" t="s">
        <v>5042</v>
      </c>
      <c r="B439" s="380" t="str">
        <f t="shared" si="6"/>
        <v>090-903</v>
      </c>
      <c r="C439" s="41" t="s">
        <v>1685</v>
      </c>
    </row>
    <row r="440" spans="1:3" ht="14.5">
      <c r="A440" t="s">
        <v>3002</v>
      </c>
      <c r="B440" s="380" t="str">
        <f t="shared" si="6"/>
        <v>090-904</v>
      </c>
      <c r="C440" s="41" t="s">
        <v>1685</v>
      </c>
    </row>
    <row r="441" spans="1:3" ht="14.5">
      <c r="A441" t="s">
        <v>5043</v>
      </c>
      <c r="B441" s="380" t="str">
        <f t="shared" si="6"/>
        <v>090-905</v>
      </c>
      <c r="C441" s="41" t="s">
        <v>1685</v>
      </c>
    </row>
    <row r="442" spans="1:3" ht="14.5">
      <c r="A442" t="s">
        <v>3003</v>
      </c>
      <c r="B442" s="380" t="str">
        <f t="shared" si="6"/>
        <v>091-901</v>
      </c>
      <c r="C442" s="41" t="s">
        <v>1685</v>
      </c>
    </row>
    <row r="443" spans="1:3" ht="14.5">
      <c r="A443" t="s">
        <v>3948</v>
      </c>
      <c r="B443" s="380" t="str">
        <f t="shared" si="6"/>
        <v>091-902</v>
      </c>
      <c r="C443" s="41" t="s">
        <v>1685</v>
      </c>
    </row>
    <row r="444" spans="1:3" ht="14.5">
      <c r="A444" t="s">
        <v>5044</v>
      </c>
      <c r="B444" s="380" t="str">
        <f t="shared" si="6"/>
        <v>091-903</v>
      </c>
      <c r="C444" s="41" t="s">
        <v>1685</v>
      </c>
    </row>
    <row r="445" spans="1:3" ht="14.5">
      <c r="A445" t="s">
        <v>3004</v>
      </c>
      <c r="B445" s="380" t="str">
        <f t="shared" si="6"/>
        <v>091-905</v>
      </c>
      <c r="C445" s="41" t="s">
        <v>1685</v>
      </c>
    </row>
    <row r="446" spans="1:3" ht="14.5">
      <c r="A446" t="s">
        <v>3005</v>
      </c>
      <c r="B446" s="380" t="str">
        <f t="shared" si="6"/>
        <v>091-906</v>
      </c>
      <c r="C446" s="41" t="s">
        <v>1685</v>
      </c>
    </row>
    <row r="447" spans="1:3" ht="14.5">
      <c r="A447" t="s">
        <v>5045</v>
      </c>
      <c r="B447" s="380" t="str">
        <f t="shared" si="6"/>
        <v>091-907</v>
      </c>
      <c r="C447" s="41" t="s">
        <v>1685</v>
      </c>
    </row>
    <row r="448" spans="1:3" ht="14.5">
      <c r="A448" t="s">
        <v>3006</v>
      </c>
      <c r="B448" s="380" t="str">
        <f t="shared" si="6"/>
        <v>091-908</v>
      </c>
      <c r="C448" s="41" t="s">
        <v>1685</v>
      </c>
    </row>
    <row r="449" spans="1:3" ht="14.5">
      <c r="A449" t="s">
        <v>3007</v>
      </c>
      <c r="B449" s="380" t="str">
        <f t="shared" si="6"/>
        <v>091-909</v>
      </c>
      <c r="C449" s="41" t="s">
        <v>1685</v>
      </c>
    </row>
    <row r="450" spans="1:3" ht="14.5">
      <c r="A450" t="s">
        <v>5046</v>
      </c>
      <c r="B450" s="380" t="str">
        <f t="shared" ref="B450:B513" si="7">CONCATENATE(LEFT(RIGHT(CONCATENATE("000",A450),6),3),"-",(RIGHT(RIGHT(CONCATENATE("000",A450),6),3)))</f>
        <v>091-910</v>
      </c>
      <c r="C450" s="41" t="s">
        <v>1685</v>
      </c>
    </row>
    <row r="451" spans="1:3" ht="14.5">
      <c r="A451" t="s">
        <v>3008</v>
      </c>
      <c r="B451" s="380" t="str">
        <f t="shared" si="7"/>
        <v>091-913</v>
      </c>
      <c r="C451" s="41" t="s">
        <v>1685</v>
      </c>
    </row>
    <row r="452" spans="1:3" ht="14.5">
      <c r="A452" t="s">
        <v>5047</v>
      </c>
      <c r="B452" s="380" t="str">
        <f t="shared" si="7"/>
        <v>091-914</v>
      </c>
      <c r="C452" s="41" t="s">
        <v>1685</v>
      </c>
    </row>
    <row r="453" spans="1:3" ht="14.5">
      <c r="A453" t="s">
        <v>3009</v>
      </c>
      <c r="B453" s="380" t="str">
        <f t="shared" si="7"/>
        <v>091-917</v>
      </c>
      <c r="C453" s="41" t="s">
        <v>1685</v>
      </c>
    </row>
    <row r="454" spans="1:3" ht="14.5">
      <c r="A454" t="s">
        <v>5048</v>
      </c>
      <c r="B454" s="380" t="str">
        <f t="shared" si="7"/>
        <v>091-918</v>
      </c>
      <c r="C454" s="41" t="s">
        <v>1685</v>
      </c>
    </row>
    <row r="455" spans="1:3" ht="14.5">
      <c r="A455" t="s">
        <v>8003</v>
      </c>
      <c r="B455" s="380" t="str">
        <f t="shared" si="7"/>
        <v>092-801</v>
      </c>
      <c r="C455" s="41" t="s">
        <v>1685</v>
      </c>
    </row>
    <row r="456" spans="1:3" ht="14.5">
      <c r="A456" t="s">
        <v>5049</v>
      </c>
      <c r="B456" s="380" t="str">
        <f t="shared" si="7"/>
        <v>092-901</v>
      </c>
      <c r="C456" s="41" t="s">
        <v>1685</v>
      </c>
    </row>
    <row r="457" spans="1:3" ht="14.5">
      <c r="A457" t="s">
        <v>5050</v>
      </c>
      <c r="B457" s="380" t="str">
        <f t="shared" si="7"/>
        <v>092-902</v>
      </c>
      <c r="C457" s="41" t="s">
        <v>1685</v>
      </c>
    </row>
    <row r="458" spans="1:3" ht="14.5">
      <c r="A458" t="s">
        <v>3969</v>
      </c>
      <c r="B458" s="380" t="str">
        <f t="shared" si="7"/>
        <v>092-903</v>
      </c>
      <c r="C458" s="41" t="s">
        <v>1685</v>
      </c>
    </row>
    <row r="459" spans="1:3" ht="14.5">
      <c r="A459" t="s">
        <v>5051</v>
      </c>
      <c r="B459" s="380" t="str">
        <f t="shared" si="7"/>
        <v>092-904</v>
      </c>
      <c r="C459" s="41" t="s">
        <v>1685</v>
      </c>
    </row>
    <row r="460" spans="1:3" ht="14.5">
      <c r="A460" t="s">
        <v>5052</v>
      </c>
      <c r="B460" s="380" t="str">
        <f t="shared" si="7"/>
        <v>092-906</v>
      </c>
      <c r="C460" s="41" t="s">
        <v>1685</v>
      </c>
    </row>
    <row r="461" spans="1:3" ht="14.5">
      <c r="A461" t="s">
        <v>3010</v>
      </c>
      <c r="B461" s="380" t="str">
        <f t="shared" si="7"/>
        <v>092-907</v>
      </c>
      <c r="C461" s="41" t="s">
        <v>1685</v>
      </c>
    </row>
    <row r="462" spans="1:3" ht="14.5">
      <c r="A462" t="s">
        <v>5053</v>
      </c>
      <c r="B462" s="380" t="str">
        <f t="shared" si="7"/>
        <v>092-908</v>
      </c>
      <c r="C462" s="41" t="s">
        <v>1685</v>
      </c>
    </row>
    <row r="463" spans="1:3" ht="14.5">
      <c r="A463" t="s">
        <v>8506</v>
      </c>
      <c r="B463" s="380" t="str">
        <f t="shared" si="7"/>
        <v>092-950</v>
      </c>
      <c r="C463" s="41" t="s">
        <v>1685</v>
      </c>
    </row>
    <row r="464" spans="1:3" ht="14.5">
      <c r="A464" t="s">
        <v>5054</v>
      </c>
      <c r="B464" s="380" t="str">
        <f t="shared" si="7"/>
        <v>093-901</v>
      </c>
      <c r="C464" s="41" t="s">
        <v>1685</v>
      </c>
    </row>
    <row r="465" spans="1:3" ht="14.5">
      <c r="A465" t="s">
        <v>3011</v>
      </c>
      <c r="B465" s="380" t="str">
        <f t="shared" si="7"/>
        <v>093-903</v>
      </c>
      <c r="C465" s="41" t="s">
        <v>1685</v>
      </c>
    </row>
    <row r="466" spans="1:3" ht="14.5">
      <c r="A466" t="s">
        <v>5055</v>
      </c>
      <c r="B466" s="380" t="str">
        <f t="shared" si="7"/>
        <v>093-904</v>
      </c>
      <c r="C466" s="41" t="s">
        <v>1685</v>
      </c>
    </row>
    <row r="467" spans="1:3" ht="14.5">
      <c r="A467" t="s">
        <v>5806</v>
      </c>
      <c r="B467" s="380" t="str">
        <f t="shared" si="7"/>
        <v>093-905</v>
      </c>
      <c r="C467" s="41" t="s">
        <v>1685</v>
      </c>
    </row>
    <row r="468" spans="1:3" ht="14.5">
      <c r="A468" t="s">
        <v>3012</v>
      </c>
      <c r="B468" s="380" t="str">
        <f t="shared" si="7"/>
        <v>094-901</v>
      </c>
      <c r="C468" s="41" t="s">
        <v>1685</v>
      </c>
    </row>
    <row r="469" spans="1:3" ht="14.5">
      <c r="A469" t="s">
        <v>3013</v>
      </c>
      <c r="B469" s="380" t="str">
        <f t="shared" si="7"/>
        <v>094-902</v>
      </c>
      <c r="C469" s="41" t="s">
        <v>1685</v>
      </c>
    </row>
    <row r="470" spans="1:3" ht="14.5">
      <c r="A470" t="s">
        <v>3014</v>
      </c>
      <c r="B470" s="380" t="str">
        <f t="shared" si="7"/>
        <v>094-903</v>
      </c>
      <c r="C470" s="41" t="s">
        <v>1685</v>
      </c>
    </row>
    <row r="471" spans="1:3" ht="14.5">
      <c r="A471" t="s">
        <v>3993</v>
      </c>
      <c r="B471" s="380" t="str">
        <f t="shared" si="7"/>
        <v>094-904</v>
      </c>
      <c r="C471" s="41" t="s">
        <v>1685</v>
      </c>
    </row>
    <row r="472" spans="1:3" ht="14.5">
      <c r="A472" t="s">
        <v>5056</v>
      </c>
      <c r="B472" s="380" t="str">
        <f t="shared" si="7"/>
        <v>095-901</v>
      </c>
      <c r="C472" s="41" t="s">
        <v>1685</v>
      </c>
    </row>
    <row r="473" spans="1:3" ht="14.5">
      <c r="A473" t="s">
        <v>5807</v>
      </c>
      <c r="B473" s="380" t="str">
        <f t="shared" si="7"/>
        <v>095-902</v>
      </c>
      <c r="C473" s="41" t="s">
        <v>1685</v>
      </c>
    </row>
    <row r="474" spans="1:3" ht="14.5">
      <c r="A474" t="s">
        <v>5057</v>
      </c>
      <c r="B474" s="380" t="str">
        <f t="shared" si="7"/>
        <v>095-903</v>
      </c>
      <c r="C474" s="41" t="s">
        <v>1685</v>
      </c>
    </row>
    <row r="475" spans="1:3" ht="14.5">
      <c r="A475" t="s">
        <v>5808</v>
      </c>
      <c r="B475" s="380" t="str">
        <f t="shared" si="7"/>
        <v>095-904</v>
      </c>
      <c r="C475" s="41" t="s">
        <v>1685</v>
      </c>
    </row>
    <row r="476" spans="1:3" ht="14.5">
      <c r="A476" t="s">
        <v>5809</v>
      </c>
      <c r="B476" s="380" t="str">
        <f t="shared" si="7"/>
        <v>095-905</v>
      </c>
      <c r="C476" s="41" t="s">
        <v>1685</v>
      </c>
    </row>
    <row r="477" spans="1:3" ht="14.5">
      <c r="A477" t="s">
        <v>5810</v>
      </c>
      <c r="B477" s="380" t="str">
        <f t="shared" si="7"/>
        <v>096-904</v>
      </c>
      <c r="C477" s="41" t="s">
        <v>1685</v>
      </c>
    </row>
    <row r="478" spans="1:3" ht="14.5">
      <c r="A478" t="s">
        <v>5058</v>
      </c>
      <c r="B478" s="380" t="str">
        <f t="shared" si="7"/>
        <v>096-905</v>
      </c>
      <c r="C478" s="41" t="s">
        <v>1685</v>
      </c>
    </row>
    <row r="479" spans="1:3" ht="14.5">
      <c r="A479" t="s">
        <v>5059</v>
      </c>
      <c r="B479" s="380" t="str">
        <f t="shared" si="7"/>
        <v>097-902</v>
      </c>
      <c r="C479" s="41" t="s">
        <v>1685</v>
      </c>
    </row>
    <row r="480" spans="1:3" ht="14.5">
      <c r="A480" t="s">
        <v>3015</v>
      </c>
      <c r="B480" s="380" t="str">
        <f t="shared" si="7"/>
        <v>097-903</v>
      </c>
      <c r="C480" s="41" t="s">
        <v>1685</v>
      </c>
    </row>
    <row r="481" spans="1:3" ht="14.5">
      <c r="A481" t="s">
        <v>5060</v>
      </c>
      <c r="B481" s="380" t="str">
        <f t="shared" si="7"/>
        <v>098-901</v>
      </c>
      <c r="C481" s="41" t="s">
        <v>1685</v>
      </c>
    </row>
    <row r="482" spans="1:3" ht="14.5">
      <c r="A482" t="s">
        <v>5061</v>
      </c>
      <c r="B482" s="380" t="str">
        <f t="shared" si="7"/>
        <v>098-903</v>
      </c>
      <c r="C482" s="41" t="s">
        <v>1685</v>
      </c>
    </row>
    <row r="483" spans="1:3" ht="14.5">
      <c r="A483" t="s">
        <v>5062</v>
      </c>
      <c r="B483" s="380" t="str">
        <f t="shared" si="7"/>
        <v>098-904</v>
      </c>
      <c r="C483" s="41" t="s">
        <v>1685</v>
      </c>
    </row>
    <row r="484" spans="1:3" ht="14.5">
      <c r="A484" t="s">
        <v>5063</v>
      </c>
      <c r="B484" s="380" t="str">
        <f t="shared" si="7"/>
        <v>099-902</v>
      </c>
      <c r="C484" s="41" t="s">
        <v>1685</v>
      </c>
    </row>
    <row r="485" spans="1:3" ht="14.5">
      <c r="A485" t="s">
        <v>5811</v>
      </c>
      <c r="B485" s="380" t="str">
        <f t="shared" si="7"/>
        <v>099-903</v>
      </c>
      <c r="C485" s="41" t="s">
        <v>1685</v>
      </c>
    </row>
    <row r="486" spans="1:3" ht="14.5">
      <c r="A486" t="s">
        <v>5064</v>
      </c>
      <c r="B486" s="380" t="str">
        <f t="shared" si="7"/>
        <v>100-903</v>
      </c>
      <c r="C486" s="41" t="s">
        <v>1685</v>
      </c>
    </row>
    <row r="487" spans="1:3" ht="14.5">
      <c r="A487" t="s">
        <v>3016</v>
      </c>
      <c r="B487" s="380" t="str">
        <f t="shared" si="7"/>
        <v>100-904</v>
      </c>
      <c r="C487" s="41" t="s">
        <v>1685</v>
      </c>
    </row>
    <row r="488" spans="1:3" ht="14.5">
      <c r="A488" t="s">
        <v>5065</v>
      </c>
      <c r="B488" s="380" t="str">
        <f t="shared" si="7"/>
        <v>100-905</v>
      </c>
      <c r="C488" s="41" t="s">
        <v>1685</v>
      </c>
    </row>
    <row r="489" spans="1:3" ht="14.5">
      <c r="A489" t="s">
        <v>3017</v>
      </c>
      <c r="B489" s="380" t="str">
        <f t="shared" si="7"/>
        <v>100-907</v>
      </c>
      <c r="C489" s="41" t="s">
        <v>1685</v>
      </c>
    </row>
    <row r="490" spans="1:3" ht="14.5">
      <c r="A490" t="s">
        <v>3018</v>
      </c>
      <c r="B490" s="380" t="str">
        <f t="shared" si="7"/>
        <v>100-908</v>
      </c>
      <c r="C490" s="41" t="s">
        <v>1685</v>
      </c>
    </row>
    <row r="491" spans="1:3" ht="14.5">
      <c r="A491" t="s">
        <v>8507</v>
      </c>
      <c r="B491" s="380" t="str">
        <f t="shared" si="7"/>
        <v>101-000</v>
      </c>
      <c r="C491" s="41" t="s">
        <v>1685</v>
      </c>
    </row>
    <row r="492" spans="1:3" ht="14.5">
      <c r="A492" t="s">
        <v>8004</v>
      </c>
      <c r="B492" s="380" t="str">
        <f t="shared" si="7"/>
        <v>101-802</v>
      </c>
      <c r="C492" s="41" t="s">
        <v>1685</v>
      </c>
    </row>
    <row r="493" spans="1:3" ht="14.5">
      <c r="A493" t="s">
        <v>8005</v>
      </c>
      <c r="B493" s="380" t="str">
        <f t="shared" si="7"/>
        <v>101-803</v>
      </c>
      <c r="C493" s="41" t="s">
        <v>1685</v>
      </c>
    </row>
    <row r="494" spans="1:3" ht="14.5">
      <c r="A494" t="s">
        <v>8006</v>
      </c>
      <c r="B494" s="380" t="str">
        <f t="shared" si="7"/>
        <v>101-804</v>
      </c>
      <c r="C494" s="41" t="s">
        <v>1685</v>
      </c>
    </row>
    <row r="495" spans="1:3" ht="14.5">
      <c r="A495" t="s">
        <v>8007</v>
      </c>
      <c r="B495" s="380" t="str">
        <f t="shared" si="7"/>
        <v>101-806</v>
      </c>
      <c r="C495" s="41" t="s">
        <v>1685</v>
      </c>
    </row>
    <row r="496" spans="1:3" ht="14.5">
      <c r="A496" t="s">
        <v>8008</v>
      </c>
      <c r="B496" s="380" t="str">
        <f t="shared" si="7"/>
        <v>101-807</v>
      </c>
      <c r="C496" s="41" t="s">
        <v>1685</v>
      </c>
    </row>
    <row r="497" spans="1:3" ht="14.5">
      <c r="A497" t="s">
        <v>8009</v>
      </c>
      <c r="B497" s="380" t="str">
        <f t="shared" si="7"/>
        <v>101-810</v>
      </c>
      <c r="C497" s="41" t="s">
        <v>1685</v>
      </c>
    </row>
    <row r="498" spans="1:3" ht="14.5">
      <c r="A498" t="s">
        <v>8010</v>
      </c>
      <c r="B498" s="380" t="str">
        <f t="shared" si="7"/>
        <v>101-811</v>
      </c>
      <c r="C498" s="41" t="s">
        <v>1685</v>
      </c>
    </row>
    <row r="499" spans="1:3" ht="14.5">
      <c r="A499" t="s">
        <v>8011</v>
      </c>
      <c r="B499" s="380" t="str">
        <f t="shared" si="7"/>
        <v>101-814</v>
      </c>
      <c r="C499" s="41" t="s">
        <v>1685</v>
      </c>
    </row>
    <row r="500" spans="1:3" ht="14.5">
      <c r="A500" t="s">
        <v>8012</v>
      </c>
      <c r="B500" s="380" t="str">
        <f t="shared" si="7"/>
        <v>101-815</v>
      </c>
      <c r="C500" s="41" t="s">
        <v>1685</v>
      </c>
    </row>
    <row r="501" spans="1:3" ht="14.5">
      <c r="A501" t="s">
        <v>8013</v>
      </c>
      <c r="B501" s="380" t="str">
        <f t="shared" si="7"/>
        <v>101-819</v>
      </c>
      <c r="C501" s="41" t="s">
        <v>1685</v>
      </c>
    </row>
    <row r="502" spans="1:3" ht="14.5">
      <c r="A502" t="s">
        <v>8014</v>
      </c>
      <c r="B502" s="380" t="str">
        <f t="shared" si="7"/>
        <v>101-821</v>
      </c>
      <c r="C502" s="41" t="s">
        <v>1685</v>
      </c>
    </row>
    <row r="503" spans="1:3" ht="14.5">
      <c r="A503" t="s">
        <v>8015</v>
      </c>
      <c r="B503" s="380" t="str">
        <f t="shared" si="7"/>
        <v>101-828</v>
      </c>
      <c r="C503" s="41" t="s">
        <v>1685</v>
      </c>
    </row>
    <row r="504" spans="1:3" ht="14.5">
      <c r="A504" t="s">
        <v>8016</v>
      </c>
      <c r="B504" s="380" t="str">
        <f t="shared" si="7"/>
        <v>101-837</v>
      </c>
      <c r="C504" s="41" t="s">
        <v>1685</v>
      </c>
    </row>
    <row r="505" spans="1:3" ht="14.5">
      <c r="A505" t="s">
        <v>8017</v>
      </c>
      <c r="B505" s="380" t="str">
        <f t="shared" si="7"/>
        <v>101-838</v>
      </c>
      <c r="C505" s="41" t="s">
        <v>1685</v>
      </c>
    </row>
    <row r="506" spans="1:3" ht="14.5">
      <c r="A506" t="s">
        <v>8018</v>
      </c>
      <c r="B506" s="380" t="str">
        <f t="shared" si="7"/>
        <v>101-840</v>
      </c>
      <c r="C506" s="41" t="s">
        <v>1685</v>
      </c>
    </row>
    <row r="507" spans="1:3" ht="14.5">
      <c r="A507" t="s">
        <v>8019</v>
      </c>
      <c r="B507" s="380" t="str">
        <f t="shared" si="7"/>
        <v>101-842</v>
      </c>
      <c r="C507" s="41" t="s">
        <v>1685</v>
      </c>
    </row>
    <row r="508" spans="1:3" ht="14.5">
      <c r="A508" t="s">
        <v>8020</v>
      </c>
      <c r="B508" s="380" t="str">
        <f t="shared" si="7"/>
        <v>101-845</v>
      </c>
      <c r="C508" s="41" t="s">
        <v>1685</v>
      </c>
    </row>
    <row r="509" spans="1:3" ht="14.5">
      <c r="A509" t="s">
        <v>8021</v>
      </c>
      <c r="B509" s="380" t="str">
        <f t="shared" si="7"/>
        <v>101-846</v>
      </c>
      <c r="C509" s="41" t="s">
        <v>1685</v>
      </c>
    </row>
    <row r="510" spans="1:3" ht="14.5">
      <c r="A510" t="s">
        <v>8022</v>
      </c>
      <c r="B510" s="380" t="str">
        <f t="shared" si="7"/>
        <v>101-847</v>
      </c>
      <c r="C510" s="41" t="s">
        <v>1685</v>
      </c>
    </row>
    <row r="511" spans="1:3" ht="14.5">
      <c r="A511" t="s">
        <v>8023</v>
      </c>
      <c r="B511" s="380" t="str">
        <f t="shared" si="7"/>
        <v>101-849</v>
      </c>
      <c r="C511" s="41" t="s">
        <v>1685</v>
      </c>
    </row>
    <row r="512" spans="1:3" ht="14.5">
      <c r="A512" t="s">
        <v>8024</v>
      </c>
      <c r="B512" s="380" t="str">
        <f t="shared" si="7"/>
        <v>101-853</v>
      </c>
      <c r="C512" s="41" t="s">
        <v>1685</v>
      </c>
    </row>
    <row r="513" spans="1:3" ht="14.5">
      <c r="A513" t="s">
        <v>8025</v>
      </c>
      <c r="B513" s="380" t="str">
        <f t="shared" si="7"/>
        <v>101-855</v>
      </c>
      <c r="C513" s="41" t="s">
        <v>1685</v>
      </c>
    </row>
    <row r="514" spans="1:3" ht="14.5">
      <c r="A514" t="s">
        <v>8026</v>
      </c>
      <c r="B514" s="380" t="str">
        <f t="shared" ref="B514:B577" si="8">CONCATENATE(LEFT(RIGHT(CONCATENATE("000",A514),6),3),"-",(RIGHT(RIGHT(CONCATENATE("000",A514),6),3)))</f>
        <v>101-856</v>
      </c>
      <c r="C514" s="41" t="s">
        <v>1685</v>
      </c>
    </row>
    <row r="515" spans="1:3" ht="14.5">
      <c r="A515" t="s">
        <v>8027</v>
      </c>
      <c r="B515" s="380" t="str">
        <f t="shared" si="8"/>
        <v>101-858</v>
      </c>
      <c r="C515" s="41" t="s">
        <v>1685</v>
      </c>
    </row>
    <row r="516" spans="1:3" ht="14.5">
      <c r="A516" t="s">
        <v>8028</v>
      </c>
      <c r="B516" s="380" t="str">
        <f t="shared" si="8"/>
        <v>101-859</v>
      </c>
      <c r="C516" s="41" t="s">
        <v>1685</v>
      </c>
    </row>
    <row r="517" spans="1:3" ht="14.5">
      <c r="A517" t="s">
        <v>8029</v>
      </c>
      <c r="B517" s="380" t="str">
        <f t="shared" si="8"/>
        <v>101-861</v>
      </c>
      <c r="C517" s="41" t="s">
        <v>1685</v>
      </c>
    </row>
    <row r="518" spans="1:3" ht="14.5">
      <c r="A518" t="s">
        <v>8030</v>
      </c>
      <c r="B518" s="380" t="str">
        <f t="shared" si="8"/>
        <v>101-862</v>
      </c>
      <c r="C518" s="41" t="s">
        <v>1685</v>
      </c>
    </row>
    <row r="519" spans="1:3" ht="14.5">
      <c r="A519" t="s">
        <v>8031</v>
      </c>
      <c r="B519" s="380" t="str">
        <f t="shared" si="8"/>
        <v>101-864</v>
      </c>
      <c r="C519" s="41" t="s">
        <v>1685</v>
      </c>
    </row>
    <row r="520" spans="1:3" ht="14.5">
      <c r="A520" t="s">
        <v>8032</v>
      </c>
      <c r="B520" s="380" t="str">
        <f t="shared" si="8"/>
        <v>101-868</v>
      </c>
      <c r="C520" s="41" t="s">
        <v>1685</v>
      </c>
    </row>
    <row r="521" spans="1:3" ht="14.5">
      <c r="A521" t="s">
        <v>8033</v>
      </c>
      <c r="B521" s="380" t="str">
        <f t="shared" si="8"/>
        <v>101-870</v>
      </c>
      <c r="C521" s="41" t="s">
        <v>1685</v>
      </c>
    </row>
    <row r="522" spans="1:3" ht="14.5">
      <c r="A522" t="s">
        <v>8034</v>
      </c>
      <c r="B522" s="380" t="str">
        <f t="shared" si="8"/>
        <v>101-871</v>
      </c>
      <c r="C522" s="41" t="s">
        <v>1685</v>
      </c>
    </row>
    <row r="523" spans="1:3" ht="14.5">
      <c r="A523" t="s">
        <v>8035</v>
      </c>
      <c r="B523" s="380" t="str">
        <f t="shared" si="8"/>
        <v>101-872</v>
      </c>
      <c r="C523" s="41" t="s">
        <v>1685</v>
      </c>
    </row>
    <row r="524" spans="1:3" ht="14.5">
      <c r="A524" t="s">
        <v>8036</v>
      </c>
      <c r="B524" s="380" t="str">
        <f t="shared" si="8"/>
        <v>101-873</v>
      </c>
      <c r="C524" s="41" t="s">
        <v>1685</v>
      </c>
    </row>
    <row r="525" spans="1:3" ht="14.5">
      <c r="A525" t="s">
        <v>8037</v>
      </c>
      <c r="B525" s="380" t="str">
        <f t="shared" si="8"/>
        <v>101-874</v>
      </c>
      <c r="C525" s="41" t="s">
        <v>1685</v>
      </c>
    </row>
    <row r="526" spans="1:3" ht="14.5">
      <c r="A526" t="s">
        <v>8038</v>
      </c>
      <c r="B526" s="380" t="str">
        <f t="shared" si="8"/>
        <v>101-875</v>
      </c>
      <c r="C526" s="41" t="s">
        <v>1685</v>
      </c>
    </row>
    <row r="527" spans="1:3" ht="14.5">
      <c r="A527" t="s">
        <v>8039</v>
      </c>
      <c r="B527" s="380" t="str">
        <f t="shared" si="8"/>
        <v>101-876</v>
      </c>
      <c r="C527" s="41" t="s">
        <v>1685</v>
      </c>
    </row>
    <row r="528" spans="1:3" ht="14.5">
      <c r="A528" t="s">
        <v>3019</v>
      </c>
      <c r="B528" s="380" t="str">
        <f t="shared" si="8"/>
        <v>101-902</v>
      </c>
      <c r="C528" s="41" t="s">
        <v>1685</v>
      </c>
    </row>
    <row r="529" spans="1:3" ht="14.5">
      <c r="A529" t="s">
        <v>3020</v>
      </c>
      <c r="B529" s="380" t="str">
        <f t="shared" si="8"/>
        <v>101-903</v>
      </c>
      <c r="C529" s="41" t="s">
        <v>1685</v>
      </c>
    </row>
    <row r="530" spans="1:3" ht="14.5">
      <c r="A530" t="s">
        <v>3021</v>
      </c>
      <c r="B530" s="380" t="str">
        <f t="shared" si="8"/>
        <v>101-905</v>
      </c>
      <c r="C530" s="41" t="s">
        <v>1685</v>
      </c>
    </row>
    <row r="531" spans="1:3" ht="14.5">
      <c r="A531" t="s">
        <v>3022</v>
      </c>
      <c r="B531" s="380" t="str">
        <f t="shared" si="8"/>
        <v>101-906</v>
      </c>
      <c r="C531" s="41" t="s">
        <v>1685</v>
      </c>
    </row>
    <row r="532" spans="1:3" ht="14.5">
      <c r="A532" t="s">
        <v>5066</v>
      </c>
      <c r="B532" s="380" t="str">
        <f t="shared" si="8"/>
        <v>101-907</v>
      </c>
      <c r="C532" s="41" t="s">
        <v>1685</v>
      </c>
    </row>
    <row r="533" spans="1:3" ht="14.5">
      <c r="A533" t="s">
        <v>5067</v>
      </c>
      <c r="B533" s="380" t="str">
        <f t="shared" si="8"/>
        <v>101-908</v>
      </c>
      <c r="C533" s="41" t="s">
        <v>1685</v>
      </c>
    </row>
    <row r="534" spans="1:3" ht="14.5">
      <c r="A534" t="s">
        <v>3023</v>
      </c>
      <c r="B534" s="380" t="str">
        <f t="shared" si="8"/>
        <v>101-910</v>
      </c>
      <c r="C534" s="41" t="s">
        <v>1685</v>
      </c>
    </row>
    <row r="535" spans="1:3" ht="14.5">
      <c r="A535" t="s">
        <v>5068</v>
      </c>
      <c r="B535" s="380" t="str">
        <f t="shared" si="8"/>
        <v>101-911</v>
      </c>
      <c r="C535" s="41" t="s">
        <v>1685</v>
      </c>
    </row>
    <row r="536" spans="1:3" ht="14.5">
      <c r="A536" t="s">
        <v>5069</v>
      </c>
      <c r="B536" s="380" t="str">
        <f t="shared" si="8"/>
        <v>101-912</v>
      </c>
      <c r="C536" s="41" t="s">
        <v>1685</v>
      </c>
    </row>
    <row r="537" spans="1:3" ht="14.5">
      <c r="A537" t="s">
        <v>3024</v>
      </c>
      <c r="B537" s="380" t="str">
        <f t="shared" si="8"/>
        <v>101-913</v>
      </c>
      <c r="C537" s="41" t="s">
        <v>1685</v>
      </c>
    </row>
    <row r="538" spans="1:3" ht="14.5">
      <c r="A538" t="s">
        <v>3025</v>
      </c>
      <c r="B538" s="380" t="str">
        <f t="shared" si="8"/>
        <v>101-914</v>
      </c>
      <c r="C538" s="41" t="s">
        <v>1685</v>
      </c>
    </row>
    <row r="539" spans="1:3" ht="14.5">
      <c r="A539" t="s">
        <v>3026</v>
      </c>
      <c r="B539" s="380" t="str">
        <f t="shared" si="8"/>
        <v>101-915</v>
      </c>
      <c r="C539" s="41" t="s">
        <v>1685</v>
      </c>
    </row>
    <row r="540" spans="1:3" ht="14.5">
      <c r="A540" t="s">
        <v>5070</v>
      </c>
      <c r="B540" s="380" t="str">
        <f t="shared" si="8"/>
        <v>101-916</v>
      </c>
      <c r="C540" s="41" t="s">
        <v>1685</v>
      </c>
    </row>
    <row r="541" spans="1:3" ht="14.5">
      <c r="A541" t="s">
        <v>3027</v>
      </c>
      <c r="B541" s="380" t="str">
        <f t="shared" si="8"/>
        <v>101-917</v>
      </c>
      <c r="C541" s="41" t="s">
        <v>1685</v>
      </c>
    </row>
    <row r="542" spans="1:3" ht="14.5">
      <c r="A542" t="s">
        <v>5071</v>
      </c>
      <c r="B542" s="380" t="str">
        <f t="shared" si="8"/>
        <v>101-919</v>
      </c>
      <c r="C542" s="41" t="s">
        <v>1685</v>
      </c>
    </row>
    <row r="543" spans="1:3" ht="14.5">
      <c r="A543" t="s">
        <v>5072</v>
      </c>
      <c r="B543" s="380" t="str">
        <f t="shared" si="8"/>
        <v>101-920</v>
      </c>
      <c r="C543" s="41" t="s">
        <v>1685</v>
      </c>
    </row>
    <row r="544" spans="1:3" ht="14.5">
      <c r="A544" t="s">
        <v>5073</v>
      </c>
      <c r="B544" s="380" t="str">
        <f t="shared" si="8"/>
        <v>101-921</v>
      </c>
      <c r="C544" s="41" t="s">
        <v>1685</v>
      </c>
    </row>
    <row r="545" spans="1:3" ht="14.5">
      <c r="A545" t="s">
        <v>5074</v>
      </c>
      <c r="B545" s="380" t="str">
        <f t="shared" si="8"/>
        <v>101-924</v>
      </c>
      <c r="C545" s="41" t="s">
        <v>1685</v>
      </c>
    </row>
    <row r="546" spans="1:3" ht="14.5">
      <c r="A546" t="s">
        <v>3028</v>
      </c>
      <c r="B546" s="380" t="str">
        <f t="shared" si="8"/>
        <v>101-925</v>
      </c>
      <c r="C546" s="41" t="s">
        <v>1685</v>
      </c>
    </row>
    <row r="547" spans="1:3" ht="14.5">
      <c r="A547" t="s">
        <v>8508</v>
      </c>
      <c r="B547" s="380" t="str">
        <f t="shared" si="8"/>
        <v>101-950</v>
      </c>
      <c r="C547" s="41" t="s">
        <v>1685</v>
      </c>
    </row>
    <row r="548" spans="1:3" ht="14.5">
      <c r="A548" t="s">
        <v>5812</v>
      </c>
      <c r="B548" s="380" t="str">
        <f t="shared" si="8"/>
        <v>102-901</v>
      </c>
      <c r="C548" s="41" t="s">
        <v>1685</v>
      </c>
    </row>
    <row r="549" spans="1:3" ht="14.5">
      <c r="A549" t="s">
        <v>5075</v>
      </c>
      <c r="B549" s="380" t="str">
        <f t="shared" si="8"/>
        <v>102-902</v>
      </c>
      <c r="C549" s="41" t="s">
        <v>1685</v>
      </c>
    </row>
    <row r="550" spans="1:3" ht="14.5">
      <c r="A550" t="s">
        <v>5076</v>
      </c>
      <c r="B550" s="380" t="str">
        <f t="shared" si="8"/>
        <v>102-903</v>
      </c>
      <c r="C550" s="41" t="s">
        <v>1685</v>
      </c>
    </row>
    <row r="551" spans="1:3" ht="14.5">
      <c r="A551" t="s">
        <v>5077</v>
      </c>
      <c r="B551" s="380" t="str">
        <f t="shared" si="8"/>
        <v>102-904</v>
      </c>
      <c r="C551" s="41" t="s">
        <v>1685</v>
      </c>
    </row>
    <row r="552" spans="1:3" ht="14.5">
      <c r="A552" t="s">
        <v>5078</v>
      </c>
      <c r="B552" s="380" t="str">
        <f t="shared" si="8"/>
        <v>102-905</v>
      </c>
      <c r="C552" s="41" t="s">
        <v>1685</v>
      </c>
    </row>
    <row r="553" spans="1:3" ht="14.5">
      <c r="A553" t="s">
        <v>5079</v>
      </c>
      <c r="B553" s="380" t="str">
        <f t="shared" si="8"/>
        <v>102-906</v>
      </c>
      <c r="C553" s="41" t="s">
        <v>1685</v>
      </c>
    </row>
    <row r="554" spans="1:3" ht="14.5">
      <c r="A554" t="s">
        <v>5080</v>
      </c>
      <c r="B554" s="380" t="str">
        <f t="shared" si="8"/>
        <v>103-901</v>
      </c>
      <c r="C554" s="41" t="s">
        <v>1685</v>
      </c>
    </row>
    <row r="555" spans="1:3" ht="14.5">
      <c r="A555" t="s">
        <v>5081</v>
      </c>
      <c r="B555" s="380" t="str">
        <f t="shared" si="8"/>
        <v>103-902</v>
      </c>
      <c r="C555" s="41" t="s">
        <v>1685</v>
      </c>
    </row>
    <row r="556" spans="1:3" ht="14.5">
      <c r="A556" t="s">
        <v>3029</v>
      </c>
      <c r="B556" s="380" t="str">
        <f t="shared" si="8"/>
        <v>104-901</v>
      </c>
      <c r="C556" s="41" t="s">
        <v>1685</v>
      </c>
    </row>
    <row r="557" spans="1:3" ht="14.5">
      <c r="A557" t="s">
        <v>5813</v>
      </c>
      <c r="B557" s="380" t="str">
        <f t="shared" si="8"/>
        <v>104-903</v>
      </c>
      <c r="C557" s="41" t="s">
        <v>1685</v>
      </c>
    </row>
    <row r="558" spans="1:3" ht="14.5">
      <c r="A558" t="s">
        <v>5082</v>
      </c>
      <c r="B558" s="380" t="str">
        <f t="shared" si="8"/>
        <v>104-907</v>
      </c>
      <c r="C558" s="41" t="s">
        <v>1685</v>
      </c>
    </row>
    <row r="559" spans="1:3" ht="14.5">
      <c r="A559" t="s">
        <v>8040</v>
      </c>
      <c r="B559" s="380" t="str">
        <f t="shared" si="8"/>
        <v>105-801</v>
      </c>
      <c r="C559" s="41" t="s">
        <v>1685</v>
      </c>
    </row>
    <row r="560" spans="1:3" ht="14.5">
      <c r="A560" t="s">
        <v>8041</v>
      </c>
      <c r="B560" s="380" t="str">
        <f t="shared" si="8"/>
        <v>105-802</v>
      </c>
      <c r="C560" s="41" t="s">
        <v>1685</v>
      </c>
    </row>
    <row r="561" spans="1:3" ht="14.5">
      <c r="A561" t="s">
        <v>8042</v>
      </c>
      <c r="B561" s="380" t="str">
        <f t="shared" si="8"/>
        <v>105-803</v>
      </c>
      <c r="C561" s="41" t="s">
        <v>1685</v>
      </c>
    </row>
    <row r="562" spans="1:3" ht="14.5">
      <c r="A562" t="s">
        <v>5083</v>
      </c>
      <c r="B562" s="380" t="str">
        <f t="shared" si="8"/>
        <v>105-902</v>
      </c>
      <c r="C562" s="41" t="s">
        <v>1685</v>
      </c>
    </row>
    <row r="563" spans="1:3" ht="14.5">
      <c r="A563" t="s">
        <v>3030</v>
      </c>
      <c r="B563" s="380" t="str">
        <f t="shared" si="8"/>
        <v>105-904</v>
      </c>
      <c r="C563" s="41" t="s">
        <v>1685</v>
      </c>
    </row>
    <row r="564" spans="1:3" ht="14.5">
      <c r="A564" t="s">
        <v>5084</v>
      </c>
      <c r="B564" s="380" t="str">
        <f t="shared" si="8"/>
        <v>105-905</v>
      </c>
      <c r="C564" s="41" t="s">
        <v>1685</v>
      </c>
    </row>
    <row r="565" spans="1:3" ht="14.5">
      <c r="A565" t="s">
        <v>3031</v>
      </c>
      <c r="B565" s="380" t="str">
        <f t="shared" si="8"/>
        <v>105-906</v>
      </c>
      <c r="C565" s="41" t="s">
        <v>1685</v>
      </c>
    </row>
    <row r="566" spans="1:3" ht="14.5">
      <c r="A566" t="s">
        <v>5085</v>
      </c>
      <c r="B566" s="380" t="str">
        <f t="shared" si="8"/>
        <v>106-901</v>
      </c>
      <c r="C566" s="41" t="s">
        <v>659</v>
      </c>
    </row>
    <row r="567" spans="1:3" ht="14.5">
      <c r="A567" t="s">
        <v>5086</v>
      </c>
      <c r="B567" s="380" t="str">
        <f t="shared" si="8"/>
        <v>107-901</v>
      </c>
      <c r="C567" s="41" t="s">
        <v>1685</v>
      </c>
    </row>
    <row r="568" spans="1:3" ht="14.5">
      <c r="A568" t="s">
        <v>5087</v>
      </c>
      <c r="B568" s="380" t="str">
        <f t="shared" si="8"/>
        <v>107-902</v>
      </c>
      <c r="C568" s="41" t="s">
        <v>1685</v>
      </c>
    </row>
    <row r="569" spans="1:3" ht="14.5">
      <c r="A569" t="s">
        <v>5088</v>
      </c>
      <c r="B569" s="380" t="str">
        <f t="shared" si="8"/>
        <v>107-904</v>
      </c>
      <c r="C569" s="41" t="s">
        <v>1685</v>
      </c>
    </row>
    <row r="570" spans="1:3" ht="14.5">
      <c r="A570" t="s">
        <v>5089</v>
      </c>
      <c r="B570" s="380" t="str">
        <f t="shared" si="8"/>
        <v>107-905</v>
      </c>
      <c r="C570" s="41" t="s">
        <v>1685</v>
      </c>
    </row>
    <row r="571" spans="1:3" ht="14.5">
      <c r="A571" t="s">
        <v>5090</v>
      </c>
      <c r="B571" s="380" t="str">
        <f t="shared" si="8"/>
        <v>107-906</v>
      </c>
      <c r="C571" s="41" t="s">
        <v>1685</v>
      </c>
    </row>
    <row r="572" spans="1:3" ht="14.5">
      <c r="A572" t="s">
        <v>3032</v>
      </c>
      <c r="B572" s="380" t="str">
        <f t="shared" si="8"/>
        <v>107-907</v>
      </c>
      <c r="C572" s="41" t="s">
        <v>1685</v>
      </c>
    </row>
    <row r="573" spans="1:3" ht="14.5">
      <c r="A573" t="s">
        <v>4087</v>
      </c>
      <c r="B573" s="380" t="str">
        <f t="shared" si="8"/>
        <v>107-908</v>
      </c>
      <c r="C573" s="41" t="s">
        <v>1685</v>
      </c>
    </row>
    <row r="574" spans="1:3" ht="14.5">
      <c r="A574" t="s">
        <v>5091</v>
      </c>
      <c r="B574" s="380" t="str">
        <f t="shared" si="8"/>
        <v>107-910</v>
      </c>
      <c r="C574" s="41" t="s">
        <v>1685</v>
      </c>
    </row>
    <row r="575" spans="1:3" ht="14.5">
      <c r="A575" t="s">
        <v>8043</v>
      </c>
      <c r="B575" s="380" t="str">
        <f t="shared" si="8"/>
        <v>108-802</v>
      </c>
      <c r="C575" s="41" t="s">
        <v>1685</v>
      </c>
    </row>
    <row r="576" spans="1:3" ht="14.5">
      <c r="A576" t="s">
        <v>8044</v>
      </c>
      <c r="B576" s="380" t="str">
        <f t="shared" si="8"/>
        <v>108-804</v>
      </c>
      <c r="C576" s="41" t="s">
        <v>1685</v>
      </c>
    </row>
    <row r="577" spans="1:3" ht="14.5">
      <c r="A577" t="s">
        <v>8045</v>
      </c>
      <c r="B577" s="380" t="str">
        <f t="shared" si="8"/>
        <v>108-807</v>
      </c>
      <c r="C577" s="41" t="s">
        <v>1685</v>
      </c>
    </row>
    <row r="578" spans="1:3" ht="14.5">
      <c r="A578" t="s">
        <v>8046</v>
      </c>
      <c r="B578" s="380" t="str">
        <f t="shared" ref="B578:B641" si="9">CONCATENATE(LEFT(RIGHT(CONCATENATE("000",A578),6),3),"-",(RIGHT(RIGHT(CONCATENATE("000",A578),6),3)))</f>
        <v>108-808</v>
      </c>
      <c r="C578" s="41" t="s">
        <v>1685</v>
      </c>
    </row>
    <row r="579" spans="1:3" ht="14.5">
      <c r="A579" t="s">
        <v>8047</v>
      </c>
      <c r="B579" s="380" t="str">
        <f t="shared" si="9"/>
        <v>108-809</v>
      </c>
      <c r="C579" s="41" t="s">
        <v>1685</v>
      </c>
    </row>
    <row r="580" spans="1:3" ht="14.5">
      <c r="A580" t="s">
        <v>3033</v>
      </c>
      <c r="B580" s="380" t="str">
        <f t="shared" si="9"/>
        <v>108-902</v>
      </c>
      <c r="C580" s="41" t="s">
        <v>1685</v>
      </c>
    </row>
    <row r="581" spans="1:3" ht="14.5">
      <c r="A581" t="s">
        <v>3034</v>
      </c>
      <c r="B581" s="380" t="str">
        <f t="shared" si="9"/>
        <v>108-903</v>
      </c>
      <c r="C581" s="41" t="s">
        <v>1685</v>
      </c>
    </row>
    <row r="582" spans="1:3" ht="14.5">
      <c r="A582" t="s">
        <v>3035</v>
      </c>
      <c r="B582" s="380" t="str">
        <f t="shared" si="9"/>
        <v>108-904</v>
      </c>
      <c r="C582" s="41" t="s">
        <v>1685</v>
      </c>
    </row>
    <row r="583" spans="1:3" ht="14.5">
      <c r="A583" t="s">
        <v>3036</v>
      </c>
      <c r="B583" s="380" t="str">
        <f t="shared" si="9"/>
        <v>108-905</v>
      </c>
      <c r="C583" s="41" t="s">
        <v>1685</v>
      </c>
    </row>
    <row r="584" spans="1:3" ht="14.5">
      <c r="A584" t="s">
        <v>3037</v>
      </c>
      <c r="B584" s="380" t="str">
        <f t="shared" si="9"/>
        <v>108-906</v>
      </c>
      <c r="C584" s="41" t="s">
        <v>1685</v>
      </c>
    </row>
    <row r="585" spans="1:3" ht="14.5">
      <c r="A585" t="s">
        <v>3038</v>
      </c>
      <c r="B585" s="380" t="str">
        <f t="shared" si="9"/>
        <v>108-907</v>
      </c>
      <c r="C585" s="41" t="s">
        <v>1685</v>
      </c>
    </row>
    <row r="586" spans="1:3" ht="14.5">
      <c r="A586" t="s">
        <v>3039</v>
      </c>
      <c r="B586" s="380" t="str">
        <f t="shared" si="9"/>
        <v>108-908</v>
      </c>
      <c r="C586" s="41" t="s">
        <v>1685</v>
      </c>
    </row>
    <row r="587" spans="1:3" ht="14.5">
      <c r="A587" t="s">
        <v>3040</v>
      </c>
      <c r="B587" s="380" t="str">
        <f t="shared" si="9"/>
        <v>108-909</v>
      </c>
      <c r="C587" s="41" t="s">
        <v>1685</v>
      </c>
    </row>
    <row r="588" spans="1:3" ht="14.5">
      <c r="A588" t="s">
        <v>3041</v>
      </c>
      <c r="B588" s="380" t="str">
        <f t="shared" si="9"/>
        <v>108-910</v>
      </c>
      <c r="C588" s="41" t="s">
        <v>1685</v>
      </c>
    </row>
    <row r="589" spans="1:3" ht="14.5">
      <c r="A589" t="s">
        <v>3042</v>
      </c>
      <c r="B589" s="380" t="str">
        <f t="shared" si="9"/>
        <v>108-911</v>
      </c>
      <c r="C589" s="41" t="s">
        <v>1685</v>
      </c>
    </row>
    <row r="590" spans="1:3" ht="14.5">
      <c r="A590" t="s">
        <v>3043</v>
      </c>
      <c r="B590" s="380" t="str">
        <f t="shared" si="9"/>
        <v>108-912</v>
      </c>
      <c r="C590" s="41" t="s">
        <v>1685</v>
      </c>
    </row>
    <row r="591" spans="1:3" ht="14.5">
      <c r="A591" t="s">
        <v>3044</v>
      </c>
      <c r="B591" s="380" t="str">
        <f t="shared" si="9"/>
        <v>108-913</v>
      </c>
      <c r="C591" s="41" t="s">
        <v>1685</v>
      </c>
    </row>
    <row r="592" spans="1:3" ht="14.5">
      <c r="A592" t="s">
        <v>3045</v>
      </c>
      <c r="B592" s="380" t="str">
        <f t="shared" si="9"/>
        <v>108-914</v>
      </c>
      <c r="C592" s="41" t="s">
        <v>1685</v>
      </c>
    </row>
    <row r="593" spans="1:3" ht="14.5">
      <c r="A593" t="s">
        <v>3046</v>
      </c>
      <c r="B593" s="380" t="str">
        <f t="shared" si="9"/>
        <v>108-915</v>
      </c>
      <c r="C593" s="41" t="s">
        <v>1685</v>
      </c>
    </row>
    <row r="594" spans="1:3" ht="14.5">
      <c r="A594" t="s">
        <v>3047</v>
      </c>
      <c r="B594" s="380" t="str">
        <f t="shared" si="9"/>
        <v>108-916</v>
      </c>
      <c r="C594" s="41" t="s">
        <v>1685</v>
      </c>
    </row>
    <row r="595" spans="1:3" ht="14.5">
      <c r="A595" t="s">
        <v>8509</v>
      </c>
      <c r="B595" s="380" t="str">
        <f t="shared" si="9"/>
        <v>108-950</v>
      </c>
      <c r="C595" s="41" t="s">
        <v>1685</v>
      </c>
    </row>
    <row r="596" spans="1:3" ht="14.5">
      <c r="A596" t="s">
        <v>3048</v>
      </c>
      <c r="B596" s="380" t="str">
        <f t="shared" si="9"/>
        <v>109-901</v>
      </c>
      <c r="C596" s="41" t="s">
        <v>1685</v>
      </c>
    </row>
    <row r="597" spans="1:3" ht="14.5">
      <c r="A597" t="s">
        <v>3049</v>
      </c>
      <c r="B597" s="380" t="str">
        <f t="shared" si="9"/>
        <v>109-902</v>
      </c>
      <c r="C597" s="41" t="s">
        <v>1685</v>
      </c>
    </row>
    <row r="598" spans="1:3" ht="14.5">
      <c r="A598" t="s">
        <v>4185</v>
      </c>
      <c r="B598" s="380" t="str">
        <f t="shared" si="9"/>
        <v>109-903</v>
      </c>
      <c r="C598" s="41" t="s">
        <v>1685</v>
      </c>
    </row>
    <row r="599" spans="1:3" ht="14.5">
      <c r="A599" t="s">
        <v>3050</v>
      </c>
      <c r="B599" s="380" t="str">
        <f t="shared" si="9"/>
        <v>109-904</v>
      </c>
      <c r="C599" s="41" t="s">
        <v>1685</v>
      </c>
    </row>
    <row r="600" spans="1:3" ht="14.5">
      <c r="A600" t="s">
        <v>3051</v>
      </c>
      <c r="B600" s="380" t="str">
        <f t="shared" si="9"/>
        <v>109-905</v>
      </c>
      <c r="C600" s="41" t="s">
        <v>1685</v>
      </c>
    </row>
    <row r="601" spans="1:3" ht="14.5">
      <c r="A601" t="s">
        <v>3052</v>
      </c>
      <c r="B601" s="380" t="str">
        <f t="shared" si="9"/>
        <v>109-907</v>
      </c>
      <c r="C601" s="41" t="s">
        <v>1685</v>
      </c>
    </row>
    <row r="602" spans="1:3" ht="14.5">
      <c r="A602" t="s">
        <v>3053</v>
      </c>
      <c r="B602" s="380" t="str">
        <f t="shared" si="9"/>
        <v>109-908</v>
      </c>
      <c r="C602" s="41" t="s">
        <v>1685</v>
      </c>
    </row>
    <row r="603" spans="1:3" ht="14.5">
      <c r="A603" t="s">
        <v>3054</v>
      </c>
      <c r="B603" s="380" t="str">
        <f t="shared" si="9"/>
        <v>109-910</v>
      </c>
      <c r="C603" s="41" t="s">
        <v>1685</v>
      </c>
    </row>
    <row r="604" spans="1:3" ht="14.5">
      <c r="A604" t="s">
        <v>5092</v>
      </c>
      <c r="B604" s="380" t="str">
        <f t="shared" si="9"/>
        <v>109-911</v>
      </c>
      <c r="C604" s="41" t="s">
        <v>1685</v>
      </c>
    </row>
    <row r="605" spans="1:3" ht="14.5">
      <c r="A605" t="s">
        <v>3055</v>
      </c>
      <c r="B605" s="380" t="str">
        <f t="shared" si="9"/>
        <v>109-912</v>
      </c>
      <c r="C605" s="41" t="s">
        <v>1685</v>
      </c>
    </row>
    <row r="606" spans="1:3" ht="14.5">
      <c r="A606" t="s">
        <v>4203</v>
      </c>
      <c r="B606" s="380" t="str">
        <f t="shared" si="9"/>
        <v>109-913</v>
      </c>
      <c r="C606" s="41" t="s">
        <v>1685</v>
      </c>
    </row>
    <row r="607" spans="1:3" ht="14.5">
      <c r="A607" t="s">
        <v>4205</v>
      </c>
      <c r="B607" s="380" t="str">
        <f t="shared" si="9"/>
        <v>109-914</v>
      </c>
      <c r="C607" s="41" t="s">
        <v>1685</v>
      </c>
    </row>
    <row r="608" spans="1:3" ht="14.5">
      <c r="A608" t="s">
        <v>5814</v>
      </c>
      <c r="B608" s="380" t="str">
        <f t="shared" si="9"/>
        <v>110-901</v>
      </c>
      <c r="C608" s="41" t="s">
        <v>1685</v>
      </c>
    </row>
    <row r="609" spans="1:3" ht="14.5">
      <c r="A609" t="s">
        <v>5093</v>
      </c>
      <c r="B609" s="380" t="str">
        <f t="shared" si="9"/>
        <v>110-902</v>
      </c>
      <c r="C609" s="41" t="s">
        <v>1685</v>
      </c>
    </row>
    <row r="610" spans="1:3" ht="14.5">
      <c r="A610" t="s">
        <v>5094</v>
      </c>
      <c r="B610" s="380" t="str">
        <f t="shared" si="9"/>
        <v>110-905</v>
      </c>
      <c r="C610" s="41" t="s">
        <v>1685</v>
      </c>
    </row>
    <row r="611" spans="1:3" ht="14.5">
      <c r="A611" t="s">
        <v>3056</v>
      </c>
      <c r="B611" s="380" t="str">
        <f t="shared" si="9"/>
        <v>110-906</v>
      </c>
      <c r="C611" s="41" t="s">
        <v>1685</v>
      </c>
    </row>
    <row r="612" spans="1:3" ht="14.5">
      <c r="A612" t="s">
        <v>5815</v>
      </c>
      <c r="B612" s="380" t="str">
        <f t="shared" si="9"/>
        <v>110-907</v>
      </c>
      <c r="C612" s="41" t="s">
        <v>1685</v>
      </c>
    </row>
    <row r="613" spans="1:3" ht="14.5">
      <c r="A613" t="s">
        <v>5816</v>
      </c>
      <c r="B613" s="380" t="str">
        <f t="shared" si="9"/>
        <v>110-908</v>
      </c>
      <c r="C613" s="41" t="s">
        <v>1685</v>
      </c>
    </row>
    <row r="614" spans="1:3" ht="14.5">
      <c r="A614" t="s">
        <v>8048</v>
      </c>
      <c r="B614" s="380" t="str">
        <f t="shared" si="9"/>
        <v>111-801</v>
      </c>
      <c r="C614" s="41" t="s">
        <v>1685</v>
      </c>
    </row>
    <row r="615" spans="1:3" ht="14.5">
      <c r="A615" t="s">
        <v>5095</v>
      </c>
      <c r="B615" s="380" t="str">
        <f t="shared" si="9"/>
        <v>111-901</v>
      </c>
      <c r="C615" s="41" t="s">
        <v>1685</v>
      </c>
    </row>
    <row r="616" spans="1:3" ht="14.5">
      <c r="A616" t="s">
        <v>3057</v>
      </c>
      <c r="B616" s="380" t="str">
        <f t="shared" si="9"/>
        <v>111-902</v>
      </c>
      <c r="C616" s="41" t="s">
        <v>1685</v>
      </c>
    </row>
    <row r="617" spans="1:3" ht="14.5">
      <c r="A617" t="s">
        <v>3058</v>
      </c>
      <c r="B617" s="380" t="str">
        <f t="shared" si="9"/>
        <v>111-903</v>
      </c>
      <c r="C617" s="41" t="s">
        <v>1685</v>
      </c>
    </row>
    <row r="618" spans="1:3" ht="14.5">
      <c r="A618" t="s">
        <v>3059</v>
      </c>
      <c r="B618" s="380" t="str">
        <f t="shared" si="9"/>
        <v>112-901</v>
      </c>
      <c r="C618" s="41" t="s">
        <v>1685</v>
      </c>
    </row>
    <row r="619" spans="1:3" ht="14.5">
      <c r="A619" t="s">
        <v>3060</v>
      </c>
      <c r="B619" s="380" t="str">
        <f t="shared" si="9"/>
        <v>112-905</v>
      </c>
      <c r="C619" s="41" t="s">
        <v>1685</v>
      </c>
    </row>
    <row r="620" spans="1:3" ht="14.5">
      <c r="A620" t="s">
        <v>5096</v>
      </c>
      <c r="B620" s="380" t="str">
        <f t="shared" si="9"/>
        <v>112-906</v>
      </c>
      <c r="C620" s="41" t="s">
        <v>1685</v>
      </c>
    </row>
    <row r="621" spans="1:3" ht="14.5">
      <c r="A621" t="s">
        <v>3061</v>
      </c>
      <c r="B621" s="380" t="str">
        <f t="shared" si="9"/>
        <v>112-907</v>
      </c>
      <c r="C621" s="41" t="s">
        <v>1685</v>
      </c>
    </row>
    <row r="622" spans="1:3" ht="14.5">
      <c r="A622" t="s">
        <v>5817</v>
      </c>
      <c r="B622" s="380" t="str">
        <f t="shared" si="9"/>
        <v>112-908</v>
      </c>
      <c r="C622" s="41" t="s">
        <v>1685</v>
      </c>
    </row>
    <row r="623" spans="1:3" ht="14.5">
      <c r="A623" t="s">
        <v>5818</v>
      </c>
      <c r="B623" s="380" t="str">
        <f t="shared" si="9"/>
        <v>112-909</v>
      </c>
      <c r="C623" s="41" t="s">
        <v>1685</v>
      </c>
    </row>
    <row r="624" spans="1:3" ht="14.5">
      <c r="A624" t="s">
        <v>3062</v>
      </c>
      <c r="B624" s="380" t="str">
        <f t="shared" si="9"/>
        <v>112-910</v>
      </c>
      <c r="C624" s="41" t="s">
        <v>1685</v>
      </c>
    </row>
    <row r="625" spans="1:3" ht="14.5">
      <c r="A625" t="s">
        <v>5097</v>
      </c>
      <c r="B625" s="380" t="str">
        <f t="shared" si="9"/>
        <v>113-901</v>
      </c>
      <c r="C625" s="41" t="s">
        <v>1685</v>
      </c>
    </row>
    <row r="626" spans="1:3" ht="14.5">
      <c r="A626" t="s">
        <v>5098</v>
      </c>
      <c r="B626" s="380" t="str">
        <f t="shared" si="9"/>
        <v>113-902</v>
      </c>
      <c r="C626" s="41" t="s">
        <v>1685</v>
      </c>
    </row>
    <row r="627" spans="1:3" ht="14.5">
      <c r="A627" t="s">
        <v>5819</v>
      </c>
      <c r="B627" s="380" t="str">
        <f t="shared" si="9"/>
        <v>113-903</v>
      </c>
      <c r="C627" s="41" t="s">
        <v>1685</v>
      </c>
    </row>
    <row r="628" spans="1:3" ht="14.5">
      <c r="A628" t="s">
        <v>5099</v>
      </c>
      <c r="B628" s="380" t="str">
        <f t="shared" si="9"/>
        <v>113-905</v>
      </c>
      <c r="C628" s="41" t="s">
        <v>1685</v>
      </c>
    </row>
    <row r="629" spans="1:3" ht="14.5">
      <c r="A629" t="s">
        <v>5820</v>
      </c>
      <c r="B629" s="380" t="str">
        <f t="shared" si="9"/>
        <v>113-906</v>
      </c>
      <c r="C629" s="41" t="s">
        <v>1685</v>
      </c>
    </row>
    <row r="630" spans="1:3" ht="14.5">
      <c r="A630" t="s">
        <v>3063</v>
      </c>
      <c r="B630" s="380" t="str">
        <f t="shared" si="9"/>
        <v>114-901</v>
      </c>
      <c r="C630" s="41" t="s">
        <v>1685</v>
      </c>
    </row>
    <row r="631" spans="1:3" ht="14.5">
      <c r="A631" t="s">
        <v>5100</v>
      </c>
      <c r="B631" s="380" t="str">
        <f t="shared" si="9"/>
        <v>114-902</v>
      </c>
      <c r="C631" s="41" t="s">
        <v>1685</v>
      </c>
    </row>
    <row r="632" spans="1:3" ht="14.5">
      <c r="A632" t="s">
        <v>5101</v>
      </c>
      <c r="B632" s="380" t="str">
        <f t="shared" si="9"/>
        <v>114-904</v>
      </c>
      <c r="C632" s="41" t="s">
        <v>1685</v>
      </c>
    </row>
    <row r="633" spans="1:3" ht="14.5">
      <c r="A633" t="s">
        <v>5102</v>
      </c>
      <c r="B633" s="380" t="str">
        <f t="shared" si="9"/>
        <v>115-901</v>
      </c>
      <c r="C633" s="41" t="s">
        <v>1685</v>
      </c>
    </row>
    <row r="634" spans="1:3" ht="14.5">
      <c r="A634" t="s">
        <v>5821</v>
      </c>
      <c r="B634" s="380" t="str">
        <f t="shared" si="9"/>
        <v>115-902</v>
      </c>
      <c r="C634" s="41" t="s">
        <v>1685</v>
      </c>
    </row>
    <row r="635" spans="1:3" ht="14.5">
      <c r="A635" t="s">
        <v>5822</v>
      </c>
      <c r="B635" s="380" t="str">
        <f t="shared" si="9"/>
        <v>115-903</v>
      </c>
      <c r="C635" s="41" t="s">
        <v>1685</v>
      </c>
    </row>
    <row r="636" spans="1:3" ht="14.5">
      <c r="A636" t="s">
        <v>3064</v>
      </c>
      <c r="B636" s="380" t="str">
        <f t="shared" si="9"/>
        <v>116-901</v>
      </c>
      <c r="C636" s="41" t="s">
        <v>1685</v>
      </c>
    </row>
    <row r="637" spans="1:3" ht="14.5">
      <c r="A637" t="s">
        <v>3065</v>
      </c>
      <c r="B637" s="380" t="str">
        <f t="shared" si="9"/>
        <v>116-902</v>
      </c>
      <c r="C637" s="41" t="s">
        <v>1685</v>
      </c>
    </row>
    <row r="638" spans="1:3" ht="14.5">
      <c r="A638" t="s">
        <v>3066</v>
      </c>
      <c r="B638" s="380" t="str">
        <f t="shared" si="9"/>
        <v>116-903</v>
      </c>
      <c r="C638" s="41" t="s">
        <v>1685</v>
      </c>
    </row>
    <row r="639" spans="1:3" ht="14.5">
      <c r="A639" t="s">
        <v>5103</v>
      </c>
      <c r="B639" s="380" t="str">
        <f t="shared" si="9"/>
        <v>116-905</v>
      </c>
      <c r="C639" s="41" t="s">
        <v>1685</v>
      </c>
    </row>
    <row r="640" spans="1:3" ht="14.5">
      <c r="A640" t="s">
        <v>3067</v>
      </c>
      <c r="B640" s="380" t="str">
        <f t="shared" si="9"/>
        <v>116-906</v>
      </c>
      <c r="C640" s="41" t="s">
        <v>1685</v>
      </c>
    </row>
    <row r="641" spans="1:3" ht="14.5">
      <c r="A641" t="s">
        <v>3068</v>
      </c>
      <c r="B641" s="380" t="str">
        <f t="shared" si="9"/>
        <v>116-908</v>
      </c>
      <c r="C641" s="41" t="s">
        <v>1685</v>
      </c>
    </row>
    <row r="642" spans="1:3" ht="14.5">
      <c r="A642" t="s">
        <v>3069</v>
      </c>
      <c r="B642" s="380" t="str">
        <f t="shared" ref="B642:B705" si="10">CONCATENATE(LEFT(RIGHT(CONCATENATE("000",A642),6),3),"-",(RIGHT(RIGHT(CONCATENATE("000",A642),6),3)))</f>
        <v>116-909</v>
      </c>
      <c r="C642" s="41" t="s">
        <v>1685</v>
      </c>
    </row>
    <row r="643" spans="1:3" ht="14.5">
      <c r="A643" t="s">
        <v>5104</v>
      </c>
      <c r="B643" s="380" t="str">
        <f t="shared" si="10"/>
        <v>116-910</v>
      </c>
      <c r="C643" s="41" t="s">
        <v>1685</v>
      </c>
    </row>
    <row r="644" spans="1:3" ht="14.5">
      <c r="A644" t="s">
        <v>3070</v>
      </c>
      <c r="B644" s="380" t="str">
        <f t="shared" si="10"/>
        <v>116-915</v>
      </c>
      <c r="C644" s="41" t="s">
        <v>1685</v>
      </c>
    </row>
    <row r="645" spans="1:3" ht="14.5">
      <c r="A645" t="s">
        <v>3071</v>
      </c>
      <c r="B645" s="380" t="str">
        <f t="shared" si="10"/>
        <v>116-916</v>
      </c>
      <c r="C645" s="41" t="s">
        <v>1685</v>
      </c>
    </row>
    <row r="646" spans="1:3" ht="14.5">
      <c r="A646" t="s">
        <v>5105</v>
      </c>
      <c r="B646" s="380" t="str">
        <f t="shared" si="10"/>
        <v>117-901</v>
      </c>
      <c r="C646" s="41" t="s">
        <v>1685</v>
      </c>
    </row>
    <row r="647" spans="1:3" ht="14.5">
      <c r="A647" t="s">
        <v>5106</v>
      </c>
      <c r="B647" s="380" t="str">
        <f t="shared" si="10"/>
        <v>117-903</v>
      </c>
      <c r="C647" s="41" t="s">
        <v>1685</v>
      </c>
    </row>
    <row r="648" spans="1:3" ht="14.5">
      <c r="A648" t="s">
        <v>5107</v>
      </c>
      <c r="B648" s="380" t="str">
        <f t="shared" si="10"/>
        <v>117-904</v>
      </c>
      <c r="C648" s="41" t="s">
        <v>1685</v>
      </c>
    </row>
    <row r="649" spans="1:3" ht="14.5">
      <c r="A649" t="s">
        <v>5823</v>
      </c>
      <c r="B649" s="380" t="str">
        <f t="shared" si="10"/>
        <v>117-907</v>
      </c>
      <c r="C649" s="41" t="s">
        <v>1685</v>
      </c>
    </row>
    <row r="650" spans="1:3" ht="14.5">
      <c r="A650" t="s">
        <v>5108</v>
      </c>
      <c r="B650" s="380" t="str">
        <f t="shared" si="10"/>
        <v>118-902</v>
      </c>
      <c r="C650" s="41" t="s">
        <v>659</v>
      </c>
    </row>
    <row r="651" spans="1:3" ht="14.5">
      <c r="A651" t="s">
        <v>5109</v>
      </c>
      <c r="B651" s="380" t="str">
        <f t="shared" si="10"/>
        <v>119-901</v>
      </c>
      <c r="C651" s="41" t="s">
        <v>1685</v>
      </c>
    </row>
    <row r="652" spans="1:3" ht="14.5">
      <c r="A652" t="s">
        <v>5110</v>
      </c>
      <c r="B652" s="380" t="str">
        <f t="shared" si="10"/>
        <v>119-902</v>
      </c>
      <c r="C652" s="41" t="s">
        <v>1685</v>
      </c>
    </row>
    <row r="653" spans="1:3" ht="14.5">
      <c r="A653" t="s">
        <v>5111</v>
      </c>
      <c r="B653" s="380" t="str">
        <f t="shared" si="10"/>
        <v>119-903</v>
      </c>
      <c r="C653" s="41" t="s">
        <v>1685</v>
      </c>
    </row>
    <row r="654" spans="1:3" ht="14.5">
      <c r="A654" t="s">
        <v>5112</v>
      </c>
      <c r="B654" s="380" t="str">
        <f t="shared" si="10"/>
        <v>120-901</v>
      </c>
      <c r="C654" s="41" t="s">
        <v>1685</v>
      </c>
    </row>
    <row r="655" spans="1:3" ht="14.5">
      <c r="A655" t="s">
        <v>3072</v>
      </c>
      <c r="B655" s="380" t="str">
        <f t="shared" si="10"/>
        <v>120-902</v>
      </c>
      <c r="C655" s="41" t="s">
        <v>1685</v>
      </c>
    </row>
    <row r="656" spans="1:3" ht="14.5">
      <c r="A656" t="s">
        <v>5113</v>
      </c>
      <c r="B656" s="380" t="str">
        <f t="shared" si="10"/>
        <v>120-905</v>
      </c>
      <c r="C656" s="41" t="s">
        <v>1685</v>
      </c>
    </row>
    <row r="657" spans="1:3" ht="14.5">
      <c r="A657" t="s">
        <v>5824</v>
      </c>
      <c r="B657" s="380" t="str">
        <f t="shared" si="10"/>
        <v>121-902</v>
      </c>
      <c r="C657" s="41" t="s">
        <v>1685</v>
      </c>
    </row>
    <row r="658" spans="1:3" ht="14.5">
      <c r="A658" t="s">
        <v>3073</v>
      </c>
      <c r="B658" s="380" t="str">
        <f t="shared" si="10"/>
        <v>121-903</v>
      </c>
      <c r="C658" s="41" t="s">
        <v>1685</v>
      </c>
    </row>
    <row r="659" spans="1:3" ht="14.5">
      <c r="A659" t="s">
        <v>3074</v>
      </c>
      <c r="B659" s="380" t="str">
        <f t="shared" si="10"/>
        <v>121-904</v>
      </c>
      <c r="C659" s="41" t="s">
        <v>1685</v>
      </c>
    </row>
    <row r="660" spans="1:3" ht="14.5">
      <c r="A660" t="s">
        <v>3075</v>
      </c>
      <c r="B660" s="380" t="str">
        <f t="shared" si="10"/>
        <v>121-905</v>
      </c>
      <c r="C660" s="41" t="s">
        <v>1685</v>
      </c>
    </row>
    <row r="661" spans="1:3" ht="14.5">
      <c r="A661" t="s">
        <v>5114</v>
      </c>
      <c r="B661" s="380" t="str">
        <f t="shared" si="10"/>
        <v>121-906</v>
      </c>
      <c r="C661" s="41" t="s">
        <v>1685</v>
      </c>
    </row>
    <row r="662" spans="1:3" ht="14.5">
      <c r="A662" t="s">
        <v>5825</v>
      </c>
      <c r="B662" s="380" t="str">
        <f t="shared" si="10"/>
        <v>122-901</v>
      </c>
      <c r="C662" s="41" t="s">
        <v>1685</v>
      </c>
    </row>
    <row r="663" spans="1:3" ht="14.5">
      <c r="A663" t="s">
        <v>5826</v>
      </c>
      <c r="B663" s="380" t="str">
        <f t="shared" si="10"/>
        <v>122-902</v>
      </c>
      <c r="C663" s="41" t="s">
        <v>1685</v>
      </c>
    </row>
    <row r="664" spans="1:3" ht="14.5">
      <c r="A664" t="s">
        <v>8049</v>
      </c>
      <c r="B664" s="380" t="str">
        <f t="shared" si="10"/>
        <v>123-503</v>
      </c>
      <c r="C664" s="41" t="s">
        <v>1685</v>
      </c>
    </row>
    <row r="665" spans="1:3" ht="14.5">
      <c r="A665" t="s">
        <v>8051</v>
      </c>
      <c r="B665" s="380" t="str">
        <f t="shared" si="10"/>
        <v>123-803</v>
      </c>
      <c r="C665" s="41" t="s">
        <v>1685</v>
      </c>
    </row>
    <row r="666" spans="1:3" ht="14.5">
      <c r="A666" t="s">
        <v>8052</v>
      </c>
      <c r="B666" s="380" t="str">
        <f t="shared" si="10"/>
        <v>123-805</v>
      </c>
      <c r="C666" s="41" t="s">
        <v>1685</v>
      </c>
    </row>
    <row r="667" spans="1:3" ht="14.5">
      <c r="A667" t="s">
        <v>8053</v>
      </c>
      <c r="B667" s="380" t="str">
        <f t="shared" si="10"/>
        <v>123-807</v>
      </c>
      <c r="C667" s="41" t="s">
        <v>1685</v>
      </c>
    </row>
    <row r="668" spans="1:3" ht="14.5">
      <c r="A668" t="s">
        <v>3076</v>
      </c>
      <c r="B668" s="380" t="str">
        <f t="shared" si="10"/>
        <v>123-905</v>
      </c>
      <c r="C668" s="41" t="s">
        <v>1685</v>
      </c>
    </row>
    <row r="669" spans="1:3" ht="14.5">
      <c r="A669" t="s">
        <v>5115</v>
      </c>
      <c r="B669" s="380" t="str">
        <f t="shared" si="10"/>
        <v>123-907</v>
      </c>
      <c r="C669" s="41" t="s">
        <v>1685</v>
      </c>
    </row>
    <row r="670" spans="1:3" ht="14.5">
      <c r="A670" t="s">
        <v>5116</v>
      </c>
      <c r="B670" s="380" t="str">
        <f t="shared" si="10"/>
        <v>123-908</v>
      </c>
      <c r="C670" s="41" t="s">
        <v>1685</v>
      </c>
    </row>
    <row r="671" spans="1:3" ht="14.5">
      <c r="A671" t="s">
        <v>5117</v>
      </c>
      <c r="B671" s="380" t="str">
        <f t="shared" si="10"/>
        <v>123-910</v>
      </c>
      <c r="C671" s="41" t="s">
        <v>1685</v>
      </c>
    </row>
    <row r="672" spans="1:3" ht="14.5">
      <c r="A672" t="s">
        <v>5118</v>
      </c>
      <c r="B672" s="380" t="str">
        <f t="shared" si="10"/>
        <v>123-913</v>
      </c>
      <c r="C672" s="41" t="s">
        <v>1685</v>
      </c>
    </row>
    <row r="673" spans="1:3" ht="14.5">
      <c r="A673" t="s">
        <v>3077</v>
      </c>
      <c r="B673" s="380" t="str">
        <f t="shared" si="10"/>
        <v>123-914</v>
      </c>
      <c r="C673" s="41" t="s">
        <v>1685</v>
      </c>
    </row>
    <row r="674" spans="1:3" ht="14.5">
      <c r="A674" t="s">
        <v>5119</v>
      </c>
      <c r="B674" s="380" t="str">
        <f t="shared" si="10"/>
        <v>124-901</v>
      </c>
      <c r="C674" s="41" t="s">
        <v>659</v>
      </c>
    </row>
    <row r="675" spans="1:3" ht="14.5">
      <c r="A675" t="s">
        <v>3078</v>
      </c>
      <c r="B675" s="380" t="str">
        <f t="shared" si="10"/>
        <v>125-901</v>
      </c>
      <c r="C675" s="41" t="s">
        <v>1685</v>
      </c>
    </row>
    <row r="676" spans="1:3" ht="14.5">
      <c r="A676" t="s">
        <v>3079</v>
      </c>
      <c r="B676" s="380" t="str">
        <f t="shared" si="10"/>
        <v>125-902</v>
      </c>
      <c r="C676" s="41" t="s">
        <v>1685</v>
      </c>
    </row>
    <row r="677" spans="1:3" ht="14.5">
      <c r="A677" t="s">
        <v>3080</v>
      </c>
      <c r="B677" s="380" t="str">
        <f t="shared" si="10"/>
        <v>125-903</v>
      </c>
      <c r="C677" s="41" t="s">
        <v>1685</v>
      </c>
    </row>
    <row r="678" spans="1:3" ht="14.5">
      <c r="A678" t="s">
        <v>3081</v>
      </c>
      <c r="B678" s="380" t="str">
        <f t="shared" si="10"/>
        <v>125-905</v>
      </c>
      <c r="C678" s="41" t="s">
        <v>1685</v>
      </c>
    </row>
    <row r="679" spans="1:3" ht="14.5">
      <c r="A679" t="s">
        <v>5827</v>
      </c>
      <c r="B679" s="380" t="str">
        <f t="shared" si="10"/>
        <v>125-906</v>
      </c>
      <c r="C679" s="41" t="s">
        <v>1685</v>
      </c>
    </row>
    <row r="680" spans="1:3" ht="14.5">
      <c r="A680" t="s">
        <v>3082</v>
      </c>
      <c r="B680" s="380" t="str">
        <f t="shared" si="10"/>
        <v>126-901</v>
      </c>
      <c r="C680" s="41" t="s">
        <v>1685</v>
      </c>
    </row>
    <row r="681" spans="1:3" ht="14.5">
      <c r="A681" t="s">
        <v>3083</v>
      </c>
      <c r="B681" s="380" t="str">
        <f t="shared" si="10"/>
        <v>126-902</v>
      </c>
      <c r="C681" s="41" t="s">
        <v>1685</v>
      </c>
    </row>
    <row r="682" spans="1:3" ht="14.5">
      <c r="A682" t="s">
        <v>5120</v>
      </c>
      <c r="B682" s="380" t="str">
        <f t="shared" si="10"/>
        <v>126-903</v>
      </c>
      <c r="C682" s="41" t="s">
        <v>1685</v>
      </c>
    </row>
    <row r="683" spans="1:3" ht="14.5">
      <c r="A683" t="s">
        <v>4285</v>
      </c>
      <c r="B683" s="380" t="str">
        <f t="shared" si="10"/>
        <v>126-904</v>
      </c>
      <c r="C683" s="41" t="s">
        <v>1685</v>
      </c>
    </row>
    <row r="684" spans="1:3" ht="14.5">
      <c r="A684" t="s">
        <v>3084</v>
      </c>
      <c r="B684" s="380" t="str">
        <f t="shared" si="10"/>
        <v>126-905</v>
      </c>
      <c r="C684" s="41" t="s">
        <v>1685</v>
      </c>
    </row>
    <row r="685" spans="1:3" ht="14.5">
      <c r="A685" t="s">
        <v>3085</v>
      </c>
      <c r="B685" s="380" t="str">
        <f t="shared" si="10"/>
        <v>126-906</v>
      </c>
      <c r="C685" s="41" t="s">
        <v>1685</v>
      </c>
    </row>
    <row r="686" spans="1:3" ht="14.5">
      <c r="A686" t="s">
        <v>3086</v>
      </c>
      <c r="B686" s="380" t="str">
        <f t="shared" si="10"/>
        <v>126-907</v>
      </c>
      <c r="C686" s="41" t="s">
        <v>1685</v>
      </c>
    </row>
    <row r="687" spans="1:3" ht="14.5">
      <c r="A687" t="s">
        <v>3087</v>
      </c>
      <c r="B687" s="380" t="str">
        <f t="shared" si="10"/>
        <v>126-908</v>
      </c>
      <c r="C687" s="41" t="s">
        <v>1685</v>
      </c>
    </row>
    <row r="688" spans="1:3" ht="14.5">
      <c r="A688" t="s">
        <v>3088</v>
      </c>
      <c r="B688" s="380" t="str">
        <f t="shared" si="10"/>
        <v>126-911</v>
      </c>
      <c r="C688" s="41" t="s">
        <v>1685</v>
      </c>
    </row>
    <row r="689" spans="1:3" ht="14.5">
      <c r="A689" t="s">
        <v>5121</v>
      </c>
      <c r="B689" s="380" t="str">
        <f t="shared" si="10"/>
        <v>127-901</v>
      </c>
      <c r="C689" s="41" t="s">
        <v>1685</v>
      </c>
    </row>
    <row r="690" spans="1:3" ht="14.5">
      <c r="A690" t="s">
        <v>5122</v>
      </c>
      <c r="B690" s="380" t="str">
        <f t="shared" si="10"/>
        <v>127-903</v>
      </c>
      <c r="C690" s="41" t="s">
        <v>1685</v>
      </c>
    </row>
    <row r="691" spans="1:3" ht="14.5">
      <c r="A691" t="s">
        <v>5123</v>
      </c>
      <c r="B691" s="380" t="str">
        <f t="shared" si="10"/>
        <v>127-904</v>
      </c>
      <c r="C691" s="41" t="s">
        <v>1685</v>
      </c>
    </row>
    <row r="692" spans="1:3" ht="14.5">
      <c r="A692" t="s">
        <v>3089</v>
      </c>
      <c r="B692" s="380" t="str">
        <f t="shared" si="10"/>
        <v>127-905</v>
      </c>
      <c r="C692" s="41" t="s">
        <v>1685</v>
      </c>
    </row>
    <row r="693" spans="1:3" ht="14.5">
      <c r="A693" t="s">
        <v>3090</v>
      </c>
      <c r="B693" s="380" t="str">
        <f t="shared" si="10"/>
        <v>127-906</v>
      </c>
      <c r="C693" s="41" t="s">
        <v>1685</v>
      </c>
    </row>
    <row r="694" spans="1:3" ht="14.5">
      <c r="A694" t="s">
        <v>4305</v>
      </c>
      <c r="B694" s="380" t="str">
        <f t="shared" si="10"/>
        <v>128-901</v>
      </c>
      <c r="C694" s="41" t="s">
        <v>1685</v>
      </c>
    </row>
    <row r="695" spans="1:3" ht="14.5">
      <c r="A695" t="s">
        <v>3091</v>
      </c>
      <c r="B695" s="380" t="str">
        <f t="shared" si="10"/>
        <v>128-902</v>
      </c>
      <c r="C695" s="41" t="s">
        <v>1685</v>
      </c>
    </row>
    <row r="696" spans="1:3" ht="14.5">
      <c r="A696" t="s">
        <v>5124</v>
      </c>
      <c r="B696" s="380" t="str">
        <f t="shared" si="10"/>
        <v>128-903</v>
      </c>
      <c r="C696" s="41" t="s">
        <v>1685</v>
      </c>
    </row>
    <row r="697" spans="1:3" ht="14.5">
      <c r="A697" t="s">
        <v>3092</v>
      </c>
      <c r="B697" s="380" t="str">
        <f t="shared" si="10"/>
        <v>128-904</v>
      </c>
      <c r="C697" s="41" t="s">
        <v>1685</v>
      </c>
    </row>
    <row r="698" spans="1:3" ht="14.5">
      <c r="A698" t="s">
        <v>3093</v>
      </c>
      <c r="B698" s="380" t="str">
        <f t="shared" si="10"/>
        <v>129-901</v>
      </c>
      <c r="C698" s="41" t="s">
        <v>1685</v>
      </c>
    </row>
    <row r="699" spans="1:3" ht="14.5">
      <c r="A699" t="s">
        <v>3094</v>
      </c>
      <c r="B699" s="380" t="str">
        <f t="shared" si="10"/>
        <v>129-902</v>
      </c>
      <c r="C699" s="41" t="s">
        <v>1685</v>
      </c>
    </row>
    <row r="700" spans="1:3" ht="14.5">
      <c r="A700" t="s">
        <v>3095</v>
      </c>
      <c r="B700" s="380" t="str">
        <f t="shared" si="10"/>
        <v>129-903</v>
      </c>
      <c r="C700" s="41" t="s">
        <v>1685</v>
      </c>
    </row>
    <row r="701" spans="1:3" ht="14.5">
      <c r="A701" t="s">
        <v>3096</v>
      </c>
      <c r="B701" s="380" t="str">
        <f t="shared" si="10"/>
        <v>129-904</v>
      </c>
      <c r="C701" s="41" t="s">
        <v>1685</v>
      </c>
    </row>
    <row r="702" spans="1:3" ht="14.5">
      <c r="A702" t="s">
        <v>5125</v>
      </c>
      <c r="B702" s="380" t="str">
        <f t="shared" si="10"/>
        <v>129-905</v>
      </c>
      <c r="C702" s="41" t="s">
        <v>1685</v>
      </c>
    </row>
    <row r="703" spans="1:3" ht="14.5">
      <c r="A703" t="s">
        <v>5126</v>
      </c>
      <c r="B703" s="380" t="str">
        <f t="shared" si="10"/>
        <v>129-906</v>
      </c>
      <c r="C703" s="41" t="s">
        <v>1685</v>
      </c>
    </row>
    <row r="704" spans="1:3" ht="14.5">
      <c r="A704" t="s">
        <v>3097</v>
      </c>
      <c r="B704" s="380" t="str">
        <f t="shared" si="10"/>
        <v>129-910</v>
      </c>
      <c r="C704" s="41" t="s">
        <v>1685</v>
      </c>
    </row>
    <row r="705" spans="1:3" ht="14.5">
      <c r="A705" t="s">
        <v>8055</v>
      </c>
      <c r="B705" s="380" t="str">
        <f t="shared" si="10"/>
        <v>130-801</v>
      </c>
      <c r="C705" s="41" t="s">
        <v>1685</v>
      </c>
    </row>
    <row r="706" spans="1:3" ht="14.5">
      <c r="A706" t="s">
        <v>5127</v>
      </c>
      <c r="B706" s="380" t="str">
        <f t="shared" ref="B706:B769" si="11">CONCATENATE(LEFT(RIGHT(CONCATENATE("000",A706),6),3),"-",(RIGHT(RIGHT(CONCATENATE("000",A706),6),3)))</f>
        <v>130-901</v>
      </c>
      <c r="C706" s="41" t="s">
        <v>1685</v>
      </c>
    </row>
    <row r="707" spans="1:3" ht="14.5">
      <c r="A707" t="s">
        <v>5128</v>
      </c>
      <c r="B707" s="380" t="str">
        <f t="shared" si="11"/>
        <v>130-902</v>
      </c>
      <c r="C707" s="41" t="s">
        <v>1685</v>
      </c>
    </row>
    <row r="708" spans="1:3" ht="14.5">
      <c r="A708" t="s">
        <v>5129</v>
      </c>
      <c r="B708" s="380" t="str">
        <f t="shared" si="11"/>
        <v>131-001</v>
      </c>
      <c r="C708" s="41" t="s">
        <v>659</v>
      </c>
    </row>
    <row r="709" spans="1:3" ht="14.5">
      <c r="A709" t="s">
        <v>5828</v>
      </c>
      <c r="B709" s="380" t="str">
        <f t="shared" si="11"/>
        <v>132-902</v>
      </c>
      <c r="C709" s="41" t="s">
        <v>659</v>
      </c>
    </row>
    <row r="710" spans="1:3" ht="14.5">
      <c r="A710" t="s">
        <v>3098</v>
      </c>
      <c r="B710" s="380" t="str">
        <f t="shared" si="11"/>
        <v>133-901</v>
      </c>
      <c r="C710" s="41" t="s">
        <v>1685</v>
      </c>
    </row>
    <row r="711" spans="1:3" ht="14.5">
      <c r="A711" t="s">
        <v>5130</v>
      </c>
      <c r="B711" s="380" t="str">
        <f t="shared" si="11"/>
        <v>133-902</v>
      </c>
      <c r="C711" s="41" t="s">
        <v>1685</v>
      </c>
    </row>
    <row r="712" spans="1:3" ht="14.5">
      <c r="A712" t="s">
        <v>5131</v>
      </c>
      <c r="B712" s="380" t="str">
        <f t="shared" si="11"/>
        <v>133-903</v>
      </c>
      <c r="C712" s="41" t="s">
        <v>1685</v>
      </c>
    </row>
    <row r="713" spans="1:3" ht="14.5">
      <c r="A713" t="s">
        <v>5132</v>
      </c>
      <c r="B713" s="380" t="str">
        <f t="shared" si="11"/>
        <v>133-904</v>
      </c>
      <c r="C713" s="41" t="s">
        <v>1685</v>
      </c>
    </row>
    <row r="714" spans="1:3" ht="14.5">
      <c r="A714" t="s">
        <v>5829</v>
      </c>
      <c r="B714" s="380" t="str">
        <f t="shared" si="11"/>
        <v>133-905</v>
      </c>
      <c r="C714" s="41" t="s">
        <v>1685</v>
      </c>
    </row>
    <row r="715" spans="1:3" ht="14.5">
      <c r="A715" t="s">
        <v>5830</v>
      </c>
      <c r="B715" s="380" t="str">
        <f t="shared" si="11"/>
        <v>134-901</v>
      </c>
      <c r="C715" s="41" t="s">
        <v>659</v>
      </c>
    </row>
    <row r="716" spans="1:3" ht="14.5">
      <c r="A716" t="s">
        <v>5133</v>
      </c>
      <c r="B716" s="380" t="str">
        <f t="shared" si="11"/>
        <v>135-001</v>
      </c>
      <c r="C716" s="41" t="s">
        <v>659</v>
      </c>
    </row>
    <row r="717" spans="1:3" ht="14.5">
      <c r="A717" t="s">
        <v>5831</v>
      </c>
      <c r="B717" s="380" t="str">
        <f t="shared" si="11"/>
        <v>136-901</v>
      </c>
      <c r="C717" s="41" t="s">
        <v>659</v>
      </c>
    </row>
    <row r="718" spans="1:3" ht="14.5">
      <c r="A718" t="s">
        <v>3099</v>
      </c>
      <c r="B718" s="380" t="str">
        <f t="shared" si="11"/>
        <v>137-901</v>
      </c>
      <c r="C718" s="41" t="s">
        <v>1685</v>
      </c>
    </row>
    <row r="719" spans="1:3" ht="14.5">
      <c r="A719" t="s">
        <v>5832</v>
      </c>
      <c r="B719" s="380" t="str">
        <f t="shared" si="11"/>
        <v>137-902</v>
      </c>
      <c r="C719" s="41" t="s">
        <v>1685</v>
      </c>
    </row>
    <row r="720" spans="1:3" ht="14.5">
      <c r="A720" t="s">
        <v>5833</v>
      </c>
      <c r="B720" s="380" t="str">
        <f t="shared" si="11"/>
        <v>137-903</v>
      </c>
      <c r="C720" s="41" t="s">
        <v>1685</v>
      </c>
    </row>
    <row r="721" spans="1:3" ht="14.5">
      <c r="A721" t="s">
        <v>5134</v>
      </c>
      <c r="B721" s="380" t="str">
        <f t="shared" si="11"/>
        <v>137-904</v>
      </c>
      <c r="C721" s="41" t="s">
        <v>1685</v>
      </c>
    </row>
    <row r="722" spans="1:3" ht="14.5">
      <c r="A722" t="s">
        <v>3100</v>
      </c>
      <c r="B722" s="380" t="str">
        <f t="shared" si="11"/>
        <v>138-902</v>
      </c>
      <c r="C722" s="41" t="s">
        <v>1685</v>
      </c>
    </row>
    <row r="723" spans="1:3" ht="14.5">
      <c r="A723" t="s">
        <v>5834</v>
      </c>
      <c r="B723" s="380" t="str">
        <f t="shared" si="11"/>
        <v>138-903</v>
      </c>
      <c r="C723" s="41" t="s">
        <v>1685</v>
      </c>
    </row>
    <row r="724" spans="1:3" ht="14.5">
      <c r="A724" t="s">
        <v>5835</v>
      </c>
      <c r="B724" s="380" t="str">
        <f t="shared" si="11"/>
        <v>138-904</v>
      </c>
      <c r="C724" s="41" t="s">
        <v>1685</v>
      </c>
    </row>
    <row r="725" spans="1:3" ht="14.5">
      <c r="A725" t="s">
        <v>5135</v>
      </c>
      <c r="B725" s="380" t="str">
        <f t="shared" si="11"/>
        <v>139-905</v>
      </c>
      <c r="C725" s="41" t="s">
        <v>1685</v>
      </c>
    </row>
    <row r="726" spans="1:3" ht="14.5">
      <c r="A726" t="s">
        <v>3102</v>
      </c>
      <c r="B726" s="380" t="str">
        <f t="shared" si="11"/>
        <v>139-909</v>
      </c>
      <c r="C726" s="41" t="s">
        <v>1685</v>
      </c>
    </row>
    <row r="727" spans="1:3" ht="14.5">
      <c r="A727" t="s">
        <v>5136</v>
      </c>
      <c r="B727" s="380" t="str">
        <f t="shared" si="11"/>
        <v>139-911</v>
      </c>
      <c r="C727" s="41" t="s">
        <v>1685</v>
      </c>
    </row>
    <row r="728" spans="1:3" ht="14.5">
      <c r="A728" t="s">
        <v>3103</v>
      </c>
      <c r="B728" s="380" t="str">
        <f t="shared" si="11"/>
        <v>139-912</v>
      </c>
      <c r="C728" s="41" t="s">
        <v>1685</v>
      </c>
    </row>
    <row r="729" spans="1:3" ht="14.5">
      <c r="A729" t="s">
        <v>5836</v>
      </c>
      <c r="B729" s="380" t="str">
        <f t="shared" si="11"/>
        <v>140-901</v>
      </c>
      <c r="C729" s="41" t="s">
        <v>1685</v>
      </c>
    </row>
    <row r="730" spans="1:3" ht="14.5">
      <c r="A730" t="s">
        <v>5837</v>
      </c>
      <c r="B730" s="380" t="str">
        <f t="shared" si="11"/>
        <v>140-904</v>
      </c>
      <c r="C730" s="41" t="s">
        <v>1685</v>
      </c>
    </row>
    <row r="731" spans="1:3" ht="14.5">
      <c r="A731" t="s">
        <v>4347</v>
      </c>
      <c r="B731" s="380" t="str">
        <f t="shared" si="11"/>
        <v>140-905</v>
      </c>
      <c r="C731" s="41" t="s">
        <v>1685</v>
      </c>
    </row>
    <row r="732" spans="1:3" ht="14.5">
      <c r="A732" t="s">
        <v>5838</v>
      </c>
      <c r="B732" s="380" t="str">
        <f t="shared" si="11"/>
        <v>140-907</v>
      </c>
      <c r="C732" s="41" t="s">
        <v>1685</v>
      </c>
    </row>
    <row r="733" spans="1:3" ht="14.5">
      <c r="A733" t="s">
        <v>5137</v>
      </c>
      <c r="B733" s="380" t="str">
        <f t="shared" si="11"/>
        <v>140-908</v>
      </c>
      <c r="C733" s="41" t="s">
        <v>1685</v>
      </c>
    </row>
    <row r="734" spans="1:3" ht="14.5">
      <c r="A734" t="s">
        <v>3104</v>
      </c>
      <c r="B734" s="380" t="str">
        <f t="shared" si="11"/>
        <v>141-901</v>
      </c>
      <c r="C734" s="41" t="s">
        <v>1685</v>
      </c>
    </row>
    <row r="735" spans="1:3" ht="14.5">
      <c r="A735" t="s">
        <v>5138</v>
      </c>
      <c r="B735" s="380" t="str">
        <f t="shared" si="11"/>
        <v>141-902</v>
      </c>
      <c r="C735" s="41" t="s">
        <v>1685</v>
      </c>
    </row>
    <row r="736" spans="1:3" ht="14.5">
      <c r="A736" t="s">
        <v>3105</v>
      </c>
      <c r="B736" s="380" t="str">
        <f t="shared" si="11"/>
        <v>142-901</v>
      </c>
      <c r="C736" s="41" t="s">
        <v>659</v>
      </c>
    </row>
    <row r="737" spans="1:3" ht="14.5">
      <c r="A737" t="s">
        <v>5139</v>
      </c>
      <c r="B737" s="380" t="str">
        <f t="shared" si="11"/>
        <v>143-901</v>
      </c>
      <c r="C737" s="41" t="s">
        <v>1685</v>
      </c>
    </row>
    <row r="738" spans="1:3" ht="14.5">
      <c r="A738" t="s">
        <v>5839</v>
      </c>
      <c r="B738" s="380" t="str">
        <f t="shared" si="11"/>
        <v>143-902</v>
      </c>
      <c r="C738" s="41" t="s">
        <v>1685</v>
      </c>
    </row>
    <row r="739" spans="1:3" ht="14.5">
      <c r="A739" t="s">
        <v>5840</v>
      </c>
      <c r="B739" s="380" t="str">
        <f t="shared" si="11"/>
        <v>143-903</v>
      </c>
      <c r="C739" s="41" t="s">
        <v>1685</v>
      </c>
    </row>
    <row r="740" spans="1:3" ht="14.5">
      <c r="A740" t="s">
        <v>5841</v>
      </c>
      <c r="B740" s="380" t="str">
        <f t="shared" si="11"/>
        <v>143-904</v>
      </c>
      <c r="C740" s="41" t="s">
        <v>1685</v>
      </c>
    </row>
    <row r="741" spans="1:3" ht="14.5">
      <c r="A741" t="s">
        <v>5842</v>
      </c>
      <c r="B741" s="380" t="str">
        <f t="shared" si="11"/>
        <v>143-905</v>
      </c>
      <c r="C741" s="41" t="s">
        <v>1685</v>
      </c>
    </row>
    <row r="742" spans="1:3" ht="14.5">
      <c r="A742" t="s">
        <v>5140</v>
      </c>
      <c r="B742" s="380" t="str">
        <f t="shared" si="11"/>
        <v>143-906</v>
      </c>
      <c r="C742" s="41" t="s">
        <v>1685</v>
      </c>
    </row>
    <row r="743" spans="1:3" ht="14.5">
      <c r="A743" t="s">
        <v>5141</v>
      </c>
      <c r="B743" s="380" t="str">
        <f t="shared" si="11"/>
        <v>144-901</v>
      </c>
      <c r="C743" s="41" t="s">
        <v>1685</v>
      </c>
    </row>
    <row r="744" spans="1:3" ht="14.5">
      <c r="A744" t="s">
        <v>5142</v>
      </c>
      <c r="B744" s="380" t="str">
        <f t="shared" si="11"/>
        <v>144-902</v>
      </c>
      <c r="C744" s="41" t="s">
        <v>1685</v>
      </c>
    </row>
    <row r="745" spans="1:3" ht="14.5">
      <c r="A745" t="s">
        <v>5843</v>
      </c>
      <c r="B745" s="380" t="str">
        <f t="shared" si="11"/>
        <v>144-903</v>
      </c>
      <c r="C745" s="41" t="s">
        <v>1685</v>
      </c>
    </row>
    <row r="746" spans="1:3" ht="14.5">
      <c r="A746" t="s">
        <v>5143</v>
      </c>
      <c r="B746" s="380" t="str">
        <f t="shared" si="11"/>
        <v>145-901</v>
      </c>
      <c r="C746" s="41" t="s">
        <v>1685</v>
      </c>
    </row>
    <row r="747" spans="1:3" ht="14.5">
      <c r="A747" t="s">
        <v>5144</v>
      </c>
      <c r="B747" s="380" t="str">
        <f t="shared" si="11"/>
        <v>145-902</v>
      </c>
      <c r="C747" s="41" t="s">
        <v>1685</v>
      </c>
    </row>
    <row r="748" spans="1:3" ht="14.5">
      <c r="A748" t="s">
        <v>5145</v>
      </c>
      <c r="B748" s="380" t="str">
        <f t="shared" si="11"/>
        <v>145-906</v>
      </c>
      <c r="C748" s="41" t="s">
        <v>1685</v>
      </c>
    </row>
    <row r="749" spans="1:3" ht="14.5">
      <c r="A749" t="s">
        <v>5146</v>
      </c>
      <c r="B749" s="380" t="str">
        <f t="shared" si="11"/>
        <v>145-907</v>
      </c>
      <c r="C749" s="41" t="s">
        <v>1685</v>
      </c>
    </row>
    <row r="750" spans="1:3" ht="14.5">
      <c r="A750" t="s">
        <v>5147</v>
      </c>
      <c r="B750" s="380" t="str">
        <f t="shared" si="11"/>
        <v>145-911</v>
      </c>
      <c r="C750" s="41" t="s">
        <v>1685</v>
      </c>
    </row>
    <row r="751" spans="1:3" ht="14.5">
      <c r="A751" t="s">
        <v>3106</v>
      </c>
      <c r="B751" s="380" t="str">
        <f t="shared" si="11"/>
        <v>146-901</v>
      </c>
      <c r="C751" s="41" t="s">
        <v>1685</v>
      </c>
    </row>
    <row r="752" spans="1:3" ht="14.5">
      <c r="A752" t="s">
        <v>3107</v>
      </c>
      <c r="B752" s="380" t="str">
        <f t="shared" si="11"/>
        <v>146-902</v>
      </c>
      <c r="C752" s="41" t="s">
        <v>1685</v>
      </c>
    </row>
    <row r="753" spans="1:3" ht="14.5">
      <c r="A753" t="s">
        <v>5148</v>
      </c>
      <c r="B753" s="380" t="str">
        <f t="shared" si="11"/>
        <v>146-903</v>
      </c>
      <c r="C753" s="41" t="s">
        <v>1685</v>
      </c>
    </row>
    <row r="754" spans="1:3" ht="14.5">
      <c r="A754" t="s">
        <v>3108</v>
      </c>
      <c r="B754" s="380" t="str">
        <f t="shared" si="11"/>
        <v>146-904</v>
      </c>
      <c r="C754" s="41" t="s">
        <v>1685</v>
      </c>
    </row>
    <row r="755" spans="1:3" ht="14.5">
      <c r="A755" t="s">
        <v>3109</v>
      </c>
      <c r="B755" s="380" t="str">
        <f t="shared" si="11"/>
        <v>146-905</v>
      </c>
      <c r="C755" s="41" t="s">
        <v>1685</v>
      </c>
    </row>
    <row r="756" spans="1:3" ht="14.5">
      <c r="A756" t="s">
        <v>5149</v>
      </c>
      <c r="B756" s="380" t="str">
        <f t="shared" si="11"/>
        <v>146-906</v>
      </c>
      <c r="C756" s="41" t="s">
        <v>1685</v>
      </c>
    </row>
    <row r="757" spans="1:3" ht="14.5">
      <c r="A757" t="s">
        <v>5150</v>
      </c>
      <c r="B757" s="380" t="str">
        <f t="shared" si="11"/>
        <v>146-907</v>
      </c>
      <c r="C757" s="41" t="s">
        <v>1685</v>
      </c>
    </row>
    <row r="758" spans="1:3" ht="14.5">
      <c r="A758" t="s">
        <v>3110</v>
      </c>
      <c r="B758" s="380" t="str">
        <f t="shared" si="11"/>
        <v>147-901</v>
      </c>
      <c r="C758" s="41" t="s">
        <v>1685</v>
      </c>
    </row>
    <row r="759" spans="1:3" ht="14.5">
      <c r="A759" t="s">
        <v>5151</v>
      </c>
      <c r="B759" s="380" t="str">
        <f t="shared" si="11"/>
        <v>147-902</v>
      </c>
      <c r="C759" s="41" t="s">
        <v>1685</v>
      </c>
    </row>
    <row r="760" spans="1:3" ht="14.5">
      <c r="A760" t="s">
        <v>5152</v>
      </c>
      <c r="B760" s="380" t="str">
        <f t="shared" si="11"/>
        <v>147-903</v>
      </c>
      <c r="C760" s="41" t="s">
        <v>1685</v>
      </c>
    </row>
    <row r="761" spans="1:3" ht="14.5">
      <c r="A761" t="s">
        <v>5153</v>
      </c>
      <c r="B761" s="380" t="str">
        <f t="shared" si="11"/>
        <v>148-901</v>
      </c>
      <c r="C761" s="41" t="s">
        <v>1685</v>
      </c>
    </row>
    <row r="762" spans="1:3" ht="14.5">
      <c r="A762" t="s">
        <v>5154</v>
      </c>
      <c r="B762" s="380" t="str">
        <f t="shared" si="11"/>
        <v>148-902</v>
      </c>
      <c r="C762" s="41" t="s">
        <v>1685</v>
      </c>
    </row>
    <row r="763" spans="1:3" ht="14.5">
      <c r="A763" t="s">
        <v>5155</v>
      </c>
      <c r="B763" s="380" t="str">
        <f t="shared" si="11"/>
        <v>148-903</v>
      </c>
      <c r="C763" s="41" t="s">
        <v>1685</v>
      </c>
    </row>
    <row r="764" spans="1:3" ht="14.5">
      <c r="A764" t="s">
        <v>5156</v>
      </c>
      <c r="B764" s="380" t="str">
        <f t="shared" si="11"/>
        <v>148-905</v>
      </c>
      <c r="C764" s="41" t="s">
        <v>1685</v>
      </c>
    </row>
    <row r="765" spans="1:3" ht="14.5">
      <c r="A765" t="s">
        <v>5157</v>
      </c>
      <c r="B765" s="380" t="str">
        <f t="shared" si="11"/>
        <v>149-901</v>
      </c>
      <c r="C765" s="41" t="s">
        <v>1685</v>
      </c>
    </row>
    <row r="766" spans="1:3" ht="14.5">
      <c r="A766" t="s">
        <v>5158</v>
      </c>
      <c r="B766" s="380" t="str">
        <f t="shared" si="11"/>
        <v>149-902</v>
      </c>
      <c r="C766" s="41" t="s">
        <v>1685</v>
      </c>
    </row>
    <row r="767" spans="1:3" ht="14.5">
      <c r="A767" t="s">
        <v>5159</v>
      </c>
      <c r="B767" s="380" t="str">
        <f t="shared" si="11"/>
        <v>150-901</v>
      </c>
      <c r="C767" s="41" t="s">
        <v>659</v>
      </c>
    </row>
    <row r="768" spans="1:3" ht="14.5">
      <c r="A768" t="s">
        <v>8056</v>
      </c>
      <c r="B768" s="380" t="str">
        <f t="shared" si="11"/>
        <v>152-802</v>
      </c>
      <c r="C768" s="41" t="s">
        <v>1685</v>
      </c>
    </row>
    <row r="769" spans="1:3" ht="14.5">
      <c r="A769" t="s">
        <v>8057</v>
      </c>
      <c r="B769" s="380" t="str">
        <f t="shared" si="11"/>
        <v>152-803</v>
      </c>
      <c r="C769" s="41" t="s">
        <v>1685</v>
      </c>
    </row>
    <row r="770" spans="1:3" ht="14.5">
      <c r="A770" t="s">
        <v>8058</v>
      </c>
      <c r="B770" s="380" t="str">
        <f t="shared" ref="B770:B833" si="12">CONCATENATE(LEFT(RIGHT(CONCATENATE("000",A770),6),3),"-",(RIGHT(RIGHT(CONCATENATE("000",A770),6),3)))</f>
        <v>152-806</v>
      </c>
      <c r="C770" s="41" t="s">
        <v>1685</v>
      </c>
    </row>
    <row r="771" spans="1:3" ht="14.5">
      <c r="A771" t="s">
        <v>4363</v>
      </c>
      <c r="B771" s="380" t="str">
        <f t="shared" si="12"/>
        <v>152-901</v>
      </c>
      <c r="C771" s="41" t="s">
        <v>1685</v>
      </c>
    </row>
    <row r="772" spans="1:3" ht="14.5">
      <c r="A772" t="s">
        <v>5844</v>
      </c>
      <c r="B772" s="380" t="str">
        <f t="shared" si="12"/>
        <v>152-902</v>
      </c>
      <c r="C772" s="41" t="s">
        <v>1685</v>
      </c>
    </row>
    <row r="773" spans="1:3" ht="14.5">
      <c r="A773" t="s">
        <v>5160</v>
      </c>
      <c r="B773" s="380" t="str">
        <f t="shared" si="12"/>
        <v>152-903</v>
      </c>
      <c r="C773" s="41" t="s">
        <v>1685</v>
      </c>
    </row>
    <row r="774" spans="1:3" ht="14.5">
      <c r="A774" t="s">
        <v>3111</v>
      </c>
      <c r="B774" s="380" t="str">
        <f t="shared" si="12"/>
        <v>152-906</v>
      </c>
      <c r="C774" s="41" t="s">
        <v>1685</v>
      </c>
    </row>
    <row r="775" spans="1:3" ht="14.5">
      <c r="A775" t="s">
        <v>3112</v>
      </c>
      <c r="B775" s="380" t="str">
        <f t="shared" si="12"/>
        <v>152-907</v>
      </c>
      <c r="C775" s="41" t="s">
        <v>1685</v>
      </c>
    </row>
    <row r="776" spans="1:3" ht="14.5">
      <c r="A776" t="s">
        <v>5161</v>
      </c>
      <c r="B776" s="380" t="str">
        <f t="shared" si="12"/>
        <v>152-908</v>
      </c>
      <c r="C776" s="41" t="s">
        <v>1685</v>
      </c>
    </row>
    <row r="777" spans="1:3" ht="14.5">
      <c r="A777" t="s">
        <v>3113</v>
      </c>
      <c r="B777" s="380" t="str">
        <f t="shared" si="12"/>
        <v>152-909</v>
      </c>
      <c r="C777" s="41" t="s">
        <v>1685</v>
      </c>
    </row>
    <row r="778" spans="1:3" ht="14.5">
      <c r="A778" t="s">
        <v>3114</v>
      </c>
      <c r="B778" s="380" t="str">
        <f t="shared" si="12"/>
        <v>152-910</v>
      </c>
      <c r="C778" s="41" t="s">
        <v>1685</v>
      </c>
    </row>
    <row r="779" spans="1:3" ht="14.5">
      <c r="A779" t="s">
        <v>8510</v>
      </c>
      <c r="B779" s="380" t="str">
        <f t="shared" si="12"/>
        <v>152-950</v>
      </c>
      <c r="C779" s="41" t="s">
        <v>1685</v>
      </c>
    </row>
    <row r="780" spans="1:3" ht="14.5">
      <c r="A780" t="s">
        <v>5162</v>
      </c>
      <c r="B780" s="380" t="str">
        <f t="shared" si="12"/>
        <v>153-903</v>
      </c>
      <c r="C780" s="41" t="s">
        <v>1685</v>
      </c>
    </row>
    <row r="781" spans="1:3" ht="14.5">
      <c r="A781" t="s">
        <v>5845</v>
      </c>
      <c r="B781" s="380" t="str">
        <f t="shared" si="12"/>
        <v>153-904</v>
      </c>
      <c r="C781" s="41" t="s">
        <v>1685</v>
      </c>
    </row>
    <row r="782" spans="1:3" ht="14.5">
      <c r="A782" t="s">
        <v>5163</v>
      </c>
      <c r="B782" s="380" t="str">
        <f t="shared" si="12"/>
        <v>153-905</v>
      </c>
      <c r="C782" s="41" t="s">
        <v>1685</v>
      </c>
    </row>
    <row r="783" spans="1:3" ht="14.5">
      <c r="A783" t="s">
        <v>5846</v>
      </c>
      <c r="B783" s="380" t="str">
        <f t="shared" si="12"/>
        <v>153-907</v>
      </c>
      <c r="C783" s="41" t="s">
        <v>1685</v>
      </c>
    </row>
    <row r="784" spans="1:3" ht="14.5">
      <c r="A784" t="s">
        <v>3115</v>
      </c>
      <c r="B784" s="380" t="str">
        <f t="shared" si="12"/>
        <v>154-901</v>
      </c>
      <c r="C784" s="41" t="s">
        <v>1685</v>
      </c>
    </row>
    <row r="785" spans="1:3" ht="14.5">
      <c r="A785" t="s">
        <v>3116</v>
      </c>
      <c r="B785" s="380" t="str">
        <f t="shared" si="12"/>
        <v>154-903</v>
      </c>
      <c r="C785" s="41" t="s">
        <v>1685</v>
      </c>
    </row>
    <row r="786" spans="1:3" ht="14.5">
      <c r="A786" t="s">
        <v>5164</v>
      </c>
      <c r="B786" s="380" t="str">
        <f t="shared" si="12"/>
        <v>155-901</v>
      </c>
      <c r="C786" s="41" t="s">
        <v>659</v>
      </c>
    </row>
    <row r="787" spans="1:3" ht="14.5">
      <c r="A787" t="s">
        <v>5165</v>
      </c>
      <c r="B787" s="380" t="str">
        <f t="shared" si="12"/>
        <v>156-902</v>
      </c>
      <c r="C787" s="41" t="s">
        <v>1685</v>
      </c>
    </row>
    <row r="788" spans="1:3" ht="14.5">
      <c r="A788" t="s">
        <v>5166</v>
      </c>
      <c r="B788" s="380" t="str">
        <f t="shared" si="12"/>
        <v>156-905</v>
      </c>
      <c r="C788" s="41" t="s">
        <v>1685</v>
      </c>
    </row>
    <row r="789" spans="1:3" ht="14.5">
      <c r="A789" t="s">
        <v>5167</v>
      </c>
      <c r="B789" s="380" t="str">
        <f t="shared" si="12"/>
        <v>157-901</v>
      </c>
      <c r="C789" s="41" t="s">
        <v>659</v>
      </c>
    </row>
    <row r="790" spans="1:3" ht="14.5">
      <c r="A790" t="s">
        <v>5168</v>
      </c>
      <c r="B790" s="380" t="str">
        <f t="shared" si="12"/>
        <v>158-901</v>
      </c>
      <c r="C790" s="41" t="s">
        <v>1685</v>
      </c>
    </row>
    <row r="791" spans="1:3" ht="14.5">
      <c r="A791" t="s">
        <v>5169</v>
      </c>
      <c r="B791" s="380" t="str">
        <f t="shared" si="12"/>
        <v>158-902</v>
      </c>
      <c r="C791" s="41" t="s">
        <v>1685</v>
      </c>
    </row>
    <row r="792" spans="1:3" ht="14.5">
      <c r="A792" t="s">
        <v>5170</v>
      </c>
      <c r="B792" s="380" t="str">
        <f t="shared" si="12"/>
        <v>158-904</v>
      </c>
      <c r="C792" s="41" t="s">
        <v>1685</v>
      </c>
    </row>
    <row r="793" spans="1:3" ht="14.5">
      <c r="A793" t="s">
        <v>5171</v>
      </c>
      <c r="B793" s="380" t="str">
        <f t="shared" si="12"/>
        <v>158-905</v>
      </c>
      <c r="C793" s="41" t="s">
        <v>1685</v>
      </c>
    </row>
    <row r="794" spans="1:3" ht="14.5">
      <c r="A794" t="s">
        <v>5847</v>
      </c>
      <c r="B794" s="380" t="str">
        <f t="shared" si="12"/>
        <v>158-906</v>
      </c>
      <c r="C794" s="41" t="s">
        <v>1685</v>
      </c>
    </row>
    <row r="795" spans="1:3" ht="14.5">
      <c r="A795" t="s">
        <v>3117</v>
      </c>
      <c r="B795" s="380" t="str">
        <f t="shared" si="12"/>
        <v>159-901</v>
      </c>
      <c r="C795" s="41" t="s">
        <v>659</v>
      </c>
    </row>
    <row r="796" spans="1:3" ht="14.5">
      <c r="A796" t="s">
        <v>3118</v>
      </c>
      <c r="B796" s="380" t="str">
        <f t="shared" si="12"/>
        <v>160-901</v>
      </c>
      <c r="C796" s="41" t="s">
        <v>1685</v>
      </c>
    </row>
    <row r="797" spans="1:3" ht="14.5">
      <c r="A797" t="s">
        <v>5848</v>
      </c>
      <c r="B797" s="380" t="str">
        <f t="shared" si="12"/>
        <v>160-904</v>
      </c>
      <c r="C797" s="41" t="s">
        <v>1685</v>
      </c>
    </row>
    <row r="798" spans="1:3" ht="14.5">
      <c r="A798" t="s">
        <v>3119</v>
      </c>
      <c r="B798" s="380" t="str">
        <f t="shared" si="12"/>
        <v>160-905</v>
      </c>
      <c r="C798" s="41" t="s">
        <v>1685</v>
      </c>
    </row>
    <row r="799" spans="1:3" ht="14.5">
      <c r="A799" t="s">
        <v>8059</v>
      </c>
      <c r="B799" s="380" t="str">
        <f t="shared" si="12"/>
        <v>161-801</v>
      </c>
      <c r="C799" s="41" t="s">
        <v>1685</v>
      </c>
    </row>
    <row r="800" spans="1:3" ht="14.5">
      <c r="A800" t="s">
        <v>8060</v>
      </c>
      <c r="B800" s="380" t="str">
        <f t="shared" si="12"/>
        <v>161-802</v>
      </c>
      <c r="C800" s="41" t="s">
        <v>1685</v>
      </c>
    </row>
    <row r="801" spans="1:3" ht="14.5">
      <c r="A801" t="s">
        <v>8061</v>
      </c>
      <c r="B801" s="380" t="str">
        <f t="shared" si="12"/>
        <v>161-807</v>
      </c>
      <c r="C801" s="41" t="s">
        <v>1685</v>
      </c>
    </row>
    <row r="802" spans="1:3" ht="14.5">
      <c r="A802" t="s">
        <v>3120</v>
      </c>
      <c r="B802" s="380" t="str">
        <f t="shared" si="12"/>
        <v>161-901</v>
      </c>
      <c r="C802" s="41" t="s">
        <v>1685</v>
      </c>
    </row>
    <row r="803" spans="1:3" ht="14.5">
      <c r="A803" t="s">
        <v>5172</v>
      </c>
      <c r="B803" s="380" t="str">
        <f t="shared" si="12"/>
        <v>161-903</v>
      </c>
      <c r="C803" s="41" t="s">
        <v>1685</v>
      </c>
    </row>
    <row r="804" spans="1:3" ht="14.5">
      <c r="A804" t="s">
        <v>3121</v>
      </c>
      <c r="B804" s="380" t="str">
        <f t="shared" si="12"/>
        <v>161-906</v>
      </c>
      <c r="C804" s="41" t="s">
        <v>1685</v>
      </c>
    </row>
    <row r="805" spans="1:3" ht="14.5">
      <c r="A805" t="s">
        <v>3122</v>
      </c>
      <c r="B805" s="380" t="str">
        <f t="shared" si="12"/>
        <v>161-907</v>
      </c>
      <c r="C805" s="41" t="s">
        <v>1685</v>
      </c>
    </row>
    <row r="806" spans="1:3" ht="14.5">
      <c r="A806" t="s">
        <v>3123</v>
      </c>
      <c r="B806" s="380" t="str">
        <f t="shared" si="12"/>
        <v>161-908</v>
      </c>
      <c r="C806" s="41" t="s">
        <v>1685</v>
      </c>
    </row>
    <row r="807" spans="1:3" ht="14.5">
      <c r="A807" t="s">
        <v>3124</v>
      </c>
      <c r="B807" s="380" t="str">
        <f t="shared" si="12"/>
        <v>161-909</v>
      </c>
      <c r="C807" s="41" t="s">
        <v>1685</v>
      </c>
    </row>
    <row r="808" spans="1:3" ht="14.5">
      <c r="A808" t="s">
        <v>3125</v>
      </c>
      <c r="B808" s="380" t="str">
        <f t="shared" si="12"/>
        <v>161-910</v>
      </c>
      <c r="C808" s="41" t="s">
        <v>1685</v>
      </c>
    </row>
    <row r="809" spans="1:3" ht="14.5">
      <c r="A809" t="s">
        <v>3126</v>
      </c>
      <c r="B809" s="380" t="str">
        <f t="shared" si="12"/>
        <v>161-912</v>
      </c>
      <c r="C809" s="41" t="s">
        <v>1685</v>
      </c>
    </row>
    <row r="810" spans="1:3" ht="14.5">
      <c r="A810" t="s">
        <v>3127</v>
      </c>
      <c r="B810" s="380" t="str">
        <f t="shared" si="12"/>
        <v>161-914</v>
      </c>
      <c r="C810" s="41" t="s">
        <v>1685</v>
      </c>
    </row>
    <row r="811" spans="1:3" ht="14.5">
      <c r="A811" t="s">
        <v>3128</v>
      </c>
      <c r="B811" s="380" t="str">
        <f t="shared" si="12"/>
        <v>161-916</v>
      </c>
      <c r="C811" s="41" t="s">
        <v>1685</v>
      </c>
    </row>
    <row r="812" spans="1:3" ht="14.5">
      <c r="A812" t="s">
        <v>5849</v>
      </c>
      <c r="B812" s="380" t="str">
        <f t="shared" si="12"/>
        <v>161-918</v>
      </c>
      <c r="C812" s="41" t="s">
        <v>1685</v>
      </c>
    </row>
    <row r="813" spans="1:3" ht="14.5">
      <c r="A813" t="s">
        <v>3129</v>
      </c>
      <c r="B813" s="380" t="str">
        <f t="shared" si="12"/>
        <v>161-919</v>
      </c>
      <c r="C813" s="41" t="s">
        <v>1685</v>
      </c>
    </row>
    <row r="814" spans="1:3" ht="14.5">
      <c r="A814" t="s">
        <v>3130</v>
      </c>
      <c r="B814" s="380" t="str">
        <f t="shared" si="12"/>
        <v>161-920</v>
      </c>
      <c r="C814" s="41" t="s">
        <v>1685</v>
      </c>
    </row>
    <row r="815" spans="1:3" ht="14.5">
      <c r="A815" t="s">
        <v>3131</v>
      </c>
      <c r="B815" s="380" t="str">
        <f t="shared" si="12"/>
        <v>161-921</v>
      </c>
      <c r="C815" s="41" t="s">
        <v>1685</v>
      </c>
    </row>
    <row r="816" spans="1:3" ht="14.5">
      <c r="A816" t="s">
        <v>3132</v>
      </c>
      <c r="B816" s="380" t="str">
        <f t="shared" si="12"/>
        <v>161-922</v>
      </c>
      <c r="C816" s="41" t="s">
        <v>1685</v>
      </c>
    </row>
    <row r="817" spans="1:3" ht="14.5">
      <c r="A817" t="s">
        <v>3133</v>
      </c>
      <c r="B817" s="380" t="str">
        <f t="shared" si="12"/>
        <v>161-923</v>
      </c>
      <c r="C817" s="41" t="s">
        <v>1685</v>
      </c>
    </row>
    <row r="818" spans="1:3" ht="14.5">
      <c r="A818" t="s">
        <v>5173</v>
      </c>
      <c r="B818" s="380" t="str">
        <f t="shared" si="12"/>
        <v>161-924</v>
      </c>
      <c r="C818" s="41" t="s">
        <v>1685</v>
      </c>
    </row>
    <row r="819" spans="1:3" ht="14.5">
      <c r="A819" t="s">
        <v>5850</v>
      </c>
      <c r="B819" s="380" t="str">
        <f t="shared" si="12"/>
        <v>161-925</v>
      </c>
      <c r="C819" s="41" t="s">
        <v>1685</v>
      </c>
    </row>
    <row r="820" spans="1:3" ht="14.5">
      <c r="A820" t="s">
        <v>8511</v>
      </c>
      <c r="B820" s="380" t="str">
        <f t="shared" si="12"/>
        <v>161-950</v>
      </c>
      <c r="C820" s="41" t="s">
        <v>1685</v>
      </c>
    </row>
    <row r="821" spans="1:3" ht="14.5">
      <c r="A821" t="s">
        <v>5174</v>
      </c>
      <c r="B821" s="380" t="str">
        <f t="shared" si="12"/>
        <v>162-904</v>
      </c>
      <c r="C821" s="41" t="s">
        <v>659</v>
      </c>
    </row>
    <row r="822" spans="1:3" ht="14.5">
      <c r="A822" t="s">
        <v>3134</v>
      </c>
      <c r="B822" s="380" t="str">
        <f t="shared" si="12"/>
        <v>163-901</v>
      </c>
      <c r="C822" s="41" t="s">
        <v>1685</v>
      </c>
    </row>
    <row r="823" spans="1:3" ht="14.5">
      <c r="A823" t="s">
        <v>3135</v>
      </c>
      <c r="B823" s="380" t="str">
        <f t="shared" si="12"/>
        <v>163-902</v>
      </c>
      <c r="C823" s="41" t="s">
        <v>1685</v>
      </c>
    </row>
    <row r="824" spans="1:3" ht="14.5">
      <c r="A824" t="s">
        <v>3136</v>
      </c>
      <c r="B824" s="380" t="str">
        <f t="shared" si="12"/>
        <v>163-903</v>
      </c>
      <c r="C824" s="41" t="s">
        <v>1685</v>
      </c>
    </row>
    <row r="825" spans="1:3" ht="14.5">
      <c r="A825" t="s">
        <v>3137</v>
      </c>
      <c r="B825" s="380" t="str">
        <f t="shared" si="12"/>
        <v>163-904</v>
      </c>
      <c r="C825" s="41" t="s">
        <v>1685</v>
      </c>
    </row>
    <row r="826" spans="1:3" ht="14.5">
      <c r="A826" t="s">
        <v>3138</v>
      </c>
      <c r="B826" s="380" t="str">
        <f t="shared" si="12"/>
        <v>163-908</v>
      </c>
      <c r="C826" s="41" t="s">
        <v>1685</v>
      </c>
    </row>
    <row r="827" spans="1:3" ht="14.5">
      <c r="A827" t="s">
        <v>5851</v>
      </c>
      <c r="B827" s="380" t="str">
        <f t="shared" si="12"/>
        <v>164-901</v>
      </c>
      <c r="C827" s="41" t="s">
        <v>659</v>
      </c>
    </row>
    <row r="828" spans="1:3" ht="14.5">
      <c r="A828" t="s">
        <v>8062</v>
      </c>
      <c r="B828" s="380" t="str">
        <f t="shared" si="12"/>
        <v>165-802</v>
      </c>
      <c r="C828" s="41" t="s">
        <v>1685</v>
      </c>
    </row>
    <row r="829" spans="1:3" ht="14.5">
      <c r="A829" t="s">
        <v>3139</v>
      </c>
      <c r="B829" s="380" t="str">
        <f t="shared" si="12"/>
        <v>165-901</v>
      </c>
      <c r="C829" s="41" t="s">
        <v>1685</v>
      </c>
    </row>
    <row r="830" spans="1:3" ht="14.5">
      <c r="A830" t="s">
        <v>5175</v>
      </c>
      <c r="B830" s="380" t="str">
        <f t="shared" si="12"/>
        <v>165-902</v>
      </c>
      <c r="C830" s="41" t="s">
        <v>1685</v>
      </c>
    </row>
    <row r="831" spans="1:3" ht="14.5">
      <c r="A831" t="s">
        <v>8512</v>
      </c>
      <c r="B831" s="380" t="str">
        <f t="shared" si="12"/>
        <v>165-950</v>
      </c>
      <c r="C831" s="41" t="s">
        <v>1685</v>
      </c>
    </row>
    <row r="832" spans="1:3" ht="14.5">
      <c r="A832" t="s">
        <v>3140</v>
      </c>
      <c r="B832" s="380" t="str">
        <f t="shared" si="12"/>
        <v>166-901</v>
      </c>
      <c r="C832" s="41" t="s">
        <v>1685</v>
      </c>
    </row>
    <row r="833" spans="1:3" ht="14.5">
      <c r="A833" t="s">
        <v>5852</v>
      </c>
      <c r="B833" s="380" t="str">
        <f t="shared" si="12"/>
        <v>166-902</v>
      </c>
      <c r="C833" s="41" t="s">
        <v>1685</v>
      </c>
    </row>
    <row r="834" spans="1:3" ht="14.5">
      <c r="A834" t="s">
        <v>5176</v>
      </c>
      <c r="B834" s="380" t="str">
        <f t="shared" ref="B834:B897" si="13">CONCATENATE(LEFT(RIGHT(CONCATENATE("000",A834),6),3),"-",(RIGHT(RIGHT(CONCATENATE("000",A834),6),3)))</f>
        <v>166-903</v>
      </c>
      <c r="C834" s="41" t="s">
        <v>1685</v>
      </c>
    </row>
    <row r="835" spans="1:3" ht="14.5">
      <c r="A835" t="s">
        <v>5177</v>
      </c>
      <c r="B835" s="380" t="str">
        <f t="shared" si="13"/>
        <v>166-904</v>
      </c>
      <c r="C835" s="41" t="s">
        <v>1685</v>
      </c>
    </row>
    <row r="836" spans="1:3" ht="14.5">
      <c r="A836" t="s">
        <v>5178</v>
      </c>
      <c r="B836" s="380" t="str">
        <f t="shared" si="13"/>
        <v>166-905</v>
      </c>
      <c r="C836" s="41" t="s">
        <v>1685</v>
      </c>
    </row>
    <row r="837" spans="1:3" ht="14.5">
      <c r="A837" t="s">
        <v>3141</v>
      </c>
      <c r="B837" s="380" t="str">
        <f t="shared" si="13"/>
        <v>166-907</v>
      </c>
      <c r="C837" s="41" t="s">
        <v>1685</v>
      </c>
    </row>
    <row r="838" spans="1:3" ht="14.5">
      <c r="A838" t="s">
        <v>3142</v>
      </c>
      <c r="B838" s="380" t="str">
        <f t="shared" si="13"/>
        <v>167-901</v>
      </c>
      <c r="C838" s="41" t="s">
        <v>1685</v>
      </c>
    </row>
    <row r="839" spans="1:3" ht="14.5">
      <c r="A839" t="s">
        <v>5853</v>
      </c>
      <c r="B839" s="380" t="str">
        <f t="shared" si="13"/>
        <v>167-902</v>
      </c>
      <c r="C839" s="41" t="s">
        <v>1685</v>
      </c>
    </row>
    <row r="840" spans="1:3" ht="14.5">
      <c r="A840" t="s">
        <v>3143</v>
      </c>
      <c r="B840" s="380" t="str">
        <f t="shared" si="13"/>
        <v>167-904</v>
      </c>
      <c r="C840" s="41" t="s">
        <v>1685</v>
      </c>
    </row>
    <row r="841" spans="1:3" ht="14.5">
      <c r="A841" t="s">
        <v>5179</v>
      </c>
      <c r="B841" s="380" t="str">
        <f t="shared" si="13"/>
        <v>168-901</v>
      </c>
      <c r="C841" s="41" t="s">
        <v>1685</v>
      </c>
    </row>
    <row r="842" spans="1:3" ht="14.5">
      <c r="A842" t="s">
        <v>5180</v>
      </c>
      <c r="B842" s="380" t="str">
        <f t="shared" si="13"/>
        <v>168-902</v>
      </c>
      <c r="C842" s="41" t="s">
        <v>1685</v>
      </c>
    </row>
    <row r="843" spans="1:3" ht="14.5">
      <c r="A843" t="s">
        <v>5854</v>
      </c>
      <c r="B843" s="380" t="str">
        <f t="shared" si="13"/>
        <v>168-903</v>
      </c>
      <c r="C843" s="41" t="s">
        <v>1685</v>
      </c>
    </row>
    <row r="844" spans="1:3" ht="14.5">
      <c r="A844" t="s">
        <v>3144</v>
      </c>
      <c r="B844" s="380" t="str">
        <f t="shared" si="13"/>
        <v>169-901</v>
      </c>
      <c r="C844" s="41" t="s">
        <v>1685</v>
      </c>
    </row>
    <row r="845" spans="1:3" ht="14.5">
      <c r="A845" t="s">
        <v>5855</v>
      </c>
      <c r="B845" s="380" t="str">
        <f t="shared" si="13"/>
        <v>169-902</v>
      </c>
      <c r="C845" s="41" t="s">
        <v>1685</v>
      </c>
    </row>
    <row r="846" spans="1:3" ht="14.5">
      <c r="A846" t="s">
        <v>5181</v>
      </c>
      <c r="B846" s="380" t="str">
        <f t="shared" si="13"/>
        <v>169-906</v>
      </c>
      <c r="C846" s="41" t="s">
        <v>1685</v>
      </c>
    </row>
    <row r="847" spans="1:3" ht="14.5">
      <c r="A847" t="s">
        <v>5856</v>
      </c>
      <c r="B847" s="380" t="str">
        <f t="shared" si="13"/>
        <v>169-908</v>
      </c>
      <c r="C847" s="41" t="s">
        <v>1685</v>
      </c>
    </row>
    <row r="848" spans="1:3" ht="14.5">
      <c r="A848" t="s">
        <v>5857</v>
      </c>
      <c r="B848" s="380" t="str">
        <f t="shared" si="13"/>
        <v>169-909</v>
      </c>
      <c r="C848" s="41" t="s">
        <v>1685</v>
      </c>
    </row>
    <row r="849" spans="1:3" ht="14.5">
      <c r="A849" t="s">
        <v>5182</v>
      </c>
      <c r="B849" s="380" t="str">
        <f t="shared" si="13"/>
        <v>169-910</v>
      </c>
      <c r="C849" s="41" t="s">
        <v>1685</v>
      </c>
    </row>
    <row r="850" spans="1:3" ht="14.5">
      <c r="A850" t="s">
        <v>5183</v>
      </c>
      <c r="B850" s="380" t="str">
        <f t="shared" si="13"/>
        <v>169-911</v>
      </c>
      <c r="C850" s="41" t="s">
        <v>1685</v>
      </c>
    </row>
    <row r="851" spans="1:3" ht="14.5">
      <c r="A851" t="s">
        <v>8063</v>
      </c>
      <c r="B851" s="380" t="str">
        <f t="shared" si="13"/>
        <v>170-801</v>
      </c>
      <c r="C851" s="41" t="s">
        <v>1685</v>
      </c>
    </row>
    <row r="852" spans="1:3" ht="14.5">
      <c r="A852" t="s">
        <v>3145</v>
      </c>
      <c r="B852" s="380" t="str">
        <f t="shared" si="13"/>
        <v>170-902</v>
      </c>
      <c r="C852" s="41" t="s">
        <v>1685</v>
      </c>
    </row>
    <row r="853" spans="1:3" ht="14.5">
      <c r="A853" t="s">
        <v>5184</v>
      </c>
      <c r="B853" s="380" t="str">
        <f t="shared" si="13"/>
        <v>170-903</v>
      </c>
      <c r="C853" s="41" t="s">
        <v>1685</v>
      </c>
    </row>
    <row r="854" spans="1:3" ht="14.5">
      <c r="A854" t="s">
        <v>3146</v>
      </c>
      <c r="B854" s="380" t="str">
        <f t="shared" si="13"/>
        <v>170-904</v>
      </c>
      <c r="C854" s="41" t="s">
        <v>1685</v>
      </c>
    </row>
    <row r="855" spans="1:3" ht="14.5">
      <c r="A855" t="s">
        <v>3147</v>
      </c>
      <c r="B855" s="380" t="str">
        <f t="shared" si="13"/>
        <v>170-906</v>
      </c>
      <c r="C855" s="41" t="s">
        <v>1685</v>
      </c>
    </row>
    <row r="856" spans="1:3" ht="14.5">
      <c r="A856" t="s">
        <v>3148</v>
      </c>
      <c r="B856" s="380" t="str">
        <f t="shared" si="13"/>
        <v>170-907</v>
      </c>
      <c r="C856" s="41" t="s">
        <v>1685</v>
      </c>
    </row>
    <row r="857" spans="1:3" ht="14.5">
      <c r="A857" t="s">
        <v>3149</v>
      </c>
      <c r="B857" s="380" t="str">
        <f t="shared" si="13"/>
        <v>170-908</v>
      </c>
      <c r="C857" s="41" t="s">
        <v>1685</v>
      </c>
    </row>
    <row r="858" spans="1:3" ht="14.5">
      <c r="A858" t="s">
        <v>5185</v>
      </c>
      <c r="B858" s="380" t="str">
        <f t="shared" si="13"/>
        <v>171-901</v>
      </c>
      <c r="C858" s="41" t="s">
        <v>1685</v>
      </c>
    </row>
    <row r="859" spans="1:3" ht="14.5">
      <c r="A859" t="s">
        <v>5186</v>
      </c>
      <c r="B859" s="380" t="str">
        <f t="shared" si="13"/>
        <v>171-902</v>
      </c>
      <c r="C859" s="41" t="s">
        <v>1685</v>
      </c>
    </row>
    <row r="860" spans="1:3" ht="14.5">
      <c r="A860" t="s">
        <v>5187</v>
      </c>
      <c r="B860" s="380" t="str">
        <f t="shared" si="13"/>
        <v>172-902</v>
      </c>
      <c r="C860" s="41" t="s">
        <v>1685</v>
      </c>
    </row>
    <row r="861" spans="1:3" ht="14.5">
      <c r="A861" t="s">
        <v>5188</v>
      </c>
      <c r="B861" s="380" t="str">
        <f t="shared" si="13"/>
        <v>172-905</v>
      </c>
      <c r="C861" s="41" t="s">
        <v>1685</v>
      </c>
    </row>
    <row r="862" spans="1:3" ht="14.5">
      <c r="A862" t="s">
        <v>5858</v>
      </c>
      <c r="B862" s="380" t="str">
        <f t="shared" si="13"/>
        <v>173-901</v>
      </c>
      <c r="C862" s="41" t="s">
        <v>659</v>
      </c>
    </row>
    <row r="863" spans="1:3" ht="14.5">
      <c r="A863" t="s">
        <v>8064</v>
      </c>
      <c r="B863" s="380" t="str">
        <f t="shared" si="13"/>
        <v>174-801</v>
      </c>
      <c r="C863" s="41" t="s">
        <v>1685</v>
      </c>
    </row>
    <row r="864" spans="1:3" ht="14.5">
      <c r="A864" t="s">
        <v>3150</v>
      </c>
      <c r="B864" s="380" t="str">
        <f t="shared" si="13"/>
        <v>174-901</v>
      </c>
      <c r="C864" s="41" t="s">
        <v>1685</v>
      </c>
    </row>
    <row r="865" spans="1:3" ht="14.5">
      <c r="A865" t="s">
        <v>5189</v>
      </c>
      <c r="B865" s="380" t="str">
        <f t="shared" si="13"/>
        <v>174-902</v>
      </c>
      <c r="C865" s="41" t="s">
        <v>1685</v>
      </c>
    </row>
    <row r="866" spans="1:3" ht="14.5">
      <c r="A866" t="s">
        <v>3151</v>
      </c>
      <c r="B866" s="380" t="str">
        <f t="shared" si="13"/>
        <v>174-903</v>
      </c>
      <c r="C866" s="41" t="s">
        <v>1685</v>
      </c>
    </row>
    <row r="867" spans="1:3" ht="14.5">
      <c r="A867" t="s">
        <v>5190</v>
      </c>
      <c r="B867" s="380" t="str">
        <f t="shared" si="13"/>
        <v>174-904</v>
      </c>
      <c r="C867" s="41" t="s">
        <v>1685</v>
      </c>
    </row>
    <row r="868" spans="1:3" ht="14.5">
      <c r="A868" t="s">
        <v>3152</v>
      </c>
      <c r="B868" s="380" t="str">
        <f t="shared" si="13"/>
        <v>174-906</v>
      </c>
      <c r="C868" s="41" t="s">
        <v>1685</v>
      </c>
    </row>
    <row r="869" spans="1:3" ht="14.5">
      <c r="A869" t="s">
        <v>3153</v>
      </c>
      <c r="B869" s="380" t="str">
        <f t="shared" si="13"/>
        <v>174-908</v>
      </c>
      <c r="C869" s="41" t="s">
        <v>1685</v>
      </c>
    </row>
    <row r="870" spans="1:3" ht="14.5">
      <c r="A870" t="s">
        <v>4500</v>
      </c>
      <c r="B870" s="380" t="str">
        <f t="shared" si="13"/>
        <v>174-909</v>
      </c>
      <c r="C870" s="41" t="s">
        <v>1685</v>
      </c>
    </row>
    <row r="871" spans="1:3" ht="14.5">
      <c r="A871" t="s">
        <v>5191</v>
      </c>
      <c r="B871" s="380" t="str">
        <f t="shared" si="13"/>
        <v>174-910</v>
      </c>
      <c r="C871" s="41" t="s">
        <v>1685</v>
      </c>
    </row>
    <row r="872" spans="1:3" ht="14.5">
      <c r="A872" t="s">
        <v>5859</v>
      </c>
      <c r="B872" s="380" t="str">
        <f t="shared" si="13"/>
        <v>174-911</v>
      </c>
      <c r="C872" s="41" t="s">
        <v>1685</v>
      </c>
    </row>
    <row r="873" spans="1:3" ht="14.5">
      <c r="A873" t="s">
        <v>5192</v>
      </c>
      <c r="B873" s="380" t="str">
        <f t="shared" si="13"/>
        <v>175-902</v>
      </c>
      <c r="C873" s="41" t="s">
        <v>1685</v>
      </c>
    </row>
    <row r="874" spans="1:3" ht="14.5">
      <c r="A874" t="s">
        <v>3154</v>
      </c>
      <c r="B874" s="380" t="str">
        <f t="shared" si="13"/>
        <v>175-903</v>
      </c>
      <c r="C874" s="41" t="s">
        <v>1685</v>
      </c>
    </row>
    <row r="875" spans="1:3" ht="14.5">
      <c r="A875" t="s">
        <v>3155</v>
      </c>
      <c r="B875" s="380" t="str">
        <f t="shared" si="13"/>
        <v>175-904</v>
      </c>
      <c r="C875" s="41" t="s">
        <v>1685</v>
      </c>
    </row>
    <row r="876" spans="1:3" ht="14.5">
      <c r="A876" t="s">
        <v>5193</v>
      </c>
      <c r="B876" s="380" t="str">
        <f t="shared" si="13"/>
        <v>175-905</v>
      </c>
      <c r="C876" s="41" t="s">
        <v>1685</v>
      </c>
    </row>
    <row r="877" spans="1:3" ht="14.5">
      <c r="A877" t="s">
        <v>3156</v>
      </c>
      <c r="B877" s="380" t="str">
        <f t="shared" si="13"/>
        <v>175-907</v>
      </c>
      <c r="C877" s="41" t="s">
        <v>1685</v>
      </c>
    </row>
    <row r="878" spans="1:3" ht="14.5">
      <c r="A878" t="s">
        <v>5194</v>
      </c>
      <c r="B878" s="380" t="str">
        <f t="shared" si="13"/>
        <v>175-910</v>
      </c>
      <c r="C878" s="41" t="s">
        <v>1685</v>
      </c>
    </row>
    <row r="879" spans="1:3" ht="14.5">
      <c r="A879" t="s">
        <v>3157</v>
      </c>
      <c r="B879" s="380" t="str">
        <f t="shared" si="13"/>
        <v>175-911</v>
      </c>
      <c r="C879" s="41" t="s">
        <v>1685</v>
      </c>
    </row>
    <row r="880" spans="1:3" ht="14.5">
      <c r="A880" t="s">
        <v>5195</v>
      </c>
      <c r="B880" s="380" t="str">
        <f t="shared" si="13"/>
        <v>176-901</v>
      </c>
      <c r="C880" s="41" t="s">
        <v>1685</v>
      </c>
    </row>
    <row r="881" spans="1:3" ht="14.5">
      <c r="A881" t="s">
        <v>3158</v>
      </c>
      <c r="B881" s="380" t="str">
        <f t="shared" si="13"/>
        <v>176-902</v>
      </c>
      <c r="C881" s="41" t="s">
        <v>1685</v>
      </c>
    </row>
    <row r="882" spans="1:3" ht="14.5">
      <c r="A882" t="s">
        <v>3159</v>
      </c>
      <c r="B882" s="380" t="str">
        <f t="shared" si="13"/>
        <v>176-903</v>
      </c>
      <c r="C882" s="41" t="s">
        <v>1685</v>
      </c>
    </row>
    <row r="883" spans="1:3" ht="14.5">
      <c r="A883" t="s">
        <v>3160</v>
      </c>
      <c r="B883" s="380" t="str">
        <f t="shared" si="13"/>
        <v>177-901</v>
      </c>
      <c r="C883" s="41" t="s">
        <v>1685</v>
      </c>
    </row>
    <row r="884" spans="1:3" ht="14.5">
      <c r="A884" t="s">
        <v>5196</v>
      </c>
      <c r="B884" s="380" t="str">
        <f t="shared" si="13"/>
        <v>177-902</v>
      </c>
      <c r="C884" s="41" t="s">
        <v>1685</v>
      </c>
    </row>
    <row r="885" spans="1:3" ht="14.5">
      <c r="A885" t="s">
        <v>5197</v>
      </c>
      <c r="B885" s="380" t="str">
        <f t="shared" si="13"/>
        <v>177-903</v>
      </c>
      <c r="C885" s="41" t="s">
        <v>1685</v>
      </c>
    </row>
    <row r="886" spans="1:3" ht="14.5">
      <c r="A886" t="s">
        <v>5198</v>
      </c>
      <c r="B886" s="380" t="str">
        <f t="shared" si="13"/>
        <v>177-905</v>
      </c>
      <c r="C886" s="41" t="s">
        <v>1685</v>
      </c>
    </row>
    <row r="887" spans="1:3" ht="14.5">
      <c r="A887" t="s">
        <v>8065</v>
      </c>
      <c r="B887" s="380" t="str">
        <f t="shared" si="13"/>
        <v>178-801</v>
      </c>
      <c r="C887" s="41" t="s">
        <v>1685</v>
      </c>
    </row>
    <row r="888" spans="1:3" ht="14.5">
      <c r="A888" t="s">
        <v>8066</v>
      </c>
      <c r="B888" s="380" t="str">
        <f t="shared" si="13"/>
        <v>178-807</v>
      </c>
      <c r="C888" s="41" t="s">
        <v>1685</v>
      </c>
    </row>
    <row r="889" spans="1:3" ht="14.5">
      <c r="A889" t="s">
        <v>8067</v>
      </c>
      <c r="B889" s="380" t="str">
        <f t="shared" si="13"/>
        <v>178-808</v>
      </c>
      <c r="C889" s="41" t="s">
        <v>1685</v>
      </c>
    </row>
    <row r="890" spans="1:3" ht="14.5">
      <c r="A890" t="s">
        <v>5199</v>
      </c>
      <c r="B890" s="380" t="str">
        <f t="shared" si="13"/>
        <v>178-901</v>
      </c>
      <c r="C890" s="41" t="s">
        <v>1685</v>
      </c>
    </row>
    <row r="891" spans="1:3" ht="14.5">
      <c r="A891" t="s">
        <v>5200</v>
      </c>
      <c r="B891" s="380" t="str">
        <f t="shared" si="13"/>
        <v>178-902</v>
      </c>
      <c r="C891" s="41" t="s">
        <v>1685</v>
      </c>
    </row>
    <row r="892" spans="1:3" ht="14.5">
      <c r="A892" t="s">
        <v>5201</v>
      </c>
      <c r="B892" s="380" t="str">
        <f t="shared" si="13"/>
        <v>178-903</v>
      </c>
      <c r="C892" s="41" t="s">
        <v>1685</v>
      </c>
    </row>
    <row r="893" spans="1:3" ht="14.5">
      <c r="A893" t="s">
        <v>3161</v>
      </c>
      <c r="B893" s="380" t="str">
        <f t="shared" si="13"/>
        <v>178-904</v>
      </c>
      <c r="C893" s="41" t="s">
        <v>1685</v>
      </c>
    </row>
    <row r="894" spans="1:3" ht="14.5">
      <c r="A894" t="s">
        <v>5202</v>
      </c>
      <c r="B894" s="380" t="str">
        <f t="shared" si="13"/>
        <v>178-905</v>
      </c>
      <c r="C894" s="41" t="s">
        <v>1685</v>
      </c>
    </row>
    <row r="895" spans="1:3" ht="14.5">
      <c r="A895" t="s">
        <v>5203</v>
      </c>
      <c r="B895" s="380" t="str">
        <f t="shared" si="13"/>
        <v>178-906</v>
      </c>
      <c r="C895" s="41" t="s">
        <v>1685</v>
      </c>
    </row>
    <row r="896" spans="1:3" ht="14.5">
      <c r="A896" t="s">
        <v>5204</v>
      </c>
      <c r="B896" s="380" t="str">
        <f t="shared" si="13"/>
        <v>178-908</v>
      </c>
      <c r="C896" s="41" t="s">
        <v>1685</v>
      </c>
    </row>
    <row r="897" spans="1:3" ht="14.5">
      <c r="A897" t="s">
        <v>3162</v>
      </c>
      <c r="B897" s="380" t="str">
        <f t="shared" si="13"/>
        <v>178-909</v>
      </c>
      <c r="C897" s="41" t="s">
        <v>1685</v>
      </c>
    </row>
    <row r="898" spans="1:3" ht="14.5">
      <c r="A898" t="s">
        <v>5205</v>
      </c>
      <c r="B898" s="380" t="str">
        <f t="shared" ref="B898:B961" si="14">CONCATENATE(LEFT(RIGHT(CONCATENATE("000",A898),6),3),"-",(RIGHT(RIGHT(CONCATENATE("000",A898),6),3)))</f>
        <v>178-912</v>
      </c>
      <c r="C898" s="41" t="s">
        <v>1685</v>
      </c>
    </row>
    <row r="899" spans="1:3" ht="14.5">
      <c r="A899" t="s">
        <v>3163</v>
      </c>
      <c r="B899" s="380" t="str">
        <f t="shared" si="14"/>
        <v>178-913</v>
      </c>
      <c r="C899" s="41" t="s">
        <v>1685</v>
      </c>
    </row>
    <row r="900" spans="1:3" ht="14.5">
      <c r="A900" t="s">
        <v>5206</v>
      </c>
      <c r="B900" s="380" t="str">
        <f t="shared" si="14"/>
        <v>178-914</v>
      </c>
      <c r="C900" s="41" t="s">
        <v>1685</v>
      </c>
    </row>
    <row r="901" spans="1:3" ht="14.5">
      <c r="A901" t="s">
        <v>3164</v>
      </c>
      <c r="B901" s="380" t="str">
        <f t="shared" si="14"/>
        <v>178-915</v>
      </c>
      <c r="C901" s="41" t="s">
        <v>1685</v>
      </c>
    </row>
    <row r="902" spans="1:3" ht="14.5">
      <c r="A902" t="s">
        <v>8513</v>
      </c>
      <c r="B902" s="380" t="str">
        <f t="shared" si="14"/>
        <v>178-950</v>
      </c>
      <c r="C902" s="41" t="s">
        <v>1685</v>
      </c>
    </row>
    <row r="903" spans="1:3" ht="14.5">
      <c r="A903" t="s">
        <v>3165</v>
      </c>
      <c r="B903" s="380" t="str">
        <f t="shared" si="14"/>
        <v>179-901</v>
      </c>
      <c r="C903" s="41" t="s">
        <v>659</v>
      </c>
    </row>
    <row r="904" spans="1:3" ht="14.5">
      <c r="A904" t="s">
        <v>7356</v>
      </c>
      <c r="B904" s="380" t="str">
        <f t="shared" si="14"/>
        <v>180-901</v>
      </c>
      <c r="C904" s="41" t="s">
        <v>1685</v>
      </c>
    </row>
    <row r="905" spans="1:3" ht="14.5">
      <c r="A905" t="s">
        <v>5207</v>
      </c>
      <c r="B905" s="380" t="str">
        <f t="shared" si="14"/>
        <v>180-902</v>
      </c>
      <c r="C905" s="41" t="s">
        <v>1685</v>
      </c>
    </row>
    <row r="906" spans="1:3" ht="14.5">
      <c r="A906" t="s">
        <v>5860</v>
      </c>
      <c r="B906" s="380" t="str">
        <f t="shared" si="14"/>
        <v>180-903</v>
      </c>
      <c r="C906" s="41" t="s">
        <v>1685</v>
      </c>
    </row>
    <row r="907" spans="1:3" ht="14.5">
      <c r="A907" t="s">
        <v>5208</v>
      </c>
      <c r="B907" s="380" t="str">
        <f t="shared" si="14"/>
        <v>180-904</v>
      </c>
      <c r="C907" s="41" t="s">
        <v>1685</v>
      </c>
    </row>
    <row r="908" spans="1:3" ht="14.5">
      <c r="A908" t="s">
        <v>3166</v>
      </c>
      <c r="B908" s="380" t="str">
        <f t="shared" si="14"/>
        <v>181-901</v>
      </c>
      <c r="C908" s="41" t="s">
        <v>1685</v>
      </c>
    </row>
    <row r="909" spans="1:3" ht="14.5">
      <c r="A909" t="s">
        <v>5209</v>
      </c>
      <c r="B909" s="380" t="str">
        <f t="shared" si="14"/>
        <v>181-905</v>
      </c>
      <c r="C909" s="41" t="s">
        <v>1685</v>
      </c>
    </row>
    <row r="910" spans="1:3" ht="14.5">
      <c r="A910" t="s">
        <v>5210</v>
      </c>
      <c r="B910" s="380" t="str">
        <f t="shared" si="14"/>
        <v>181-906</v>
      </c>
      <c r="C910" s="41" t="s">
        <v>1685</v>
      </c>
    </row>
    <row r="911" spans="1:3" ht="14.5">
      <c r="A911" t="s">
        <v>3167</v>
      </c>
      <c r="B911" s="380" t="str">
        <f t="shared" si="14"/>
        <v>181-907</v>
      </c>
      <c r="C911" s="41" t="s">
        <v>1685</v>
      </c>
    </row>
    <row r="912" spans="1:3" ht="14.5">
      <c r="A912" t="s">
        <v>5211</v>
      </c>
      <c r="B912" s="380" t="str">
        <f t="shared" si="14"/>
        <v>181-908</v>
      </c>
      <c r="C912" s="41" t="s">
        <v>1685</v>
      </c>
    </row>
    <row r="913" spans="1:3" ht="14.5">
      <c r="A913" t="s">
        <v>8514</v>
      </c>
      <c r="B913" s="380" t="str">
        <f t="shared" si="14"/>
        <v>181-950</v>
      </c>
      <c r="C913" s="41" t="s">
        <v>1685</v>
      </c>
    </row>
    <row r="914" spans="1:3" ht="14.5">
      <c r="A914" t="s">
        <v>5212</v>
      </c>
      <c r="B914" s="380" t="str">
        <f t="shared" si="14"/>
        <v>182-901</v>
      </c>
      <c r="C914" s="41" t="s">
        <v>1685</v>
      </c>
    </row>
    <row r="915" spans="1:3" ht="14.5">
      <c r="A915" t="s">
        <v>5213</v>
      </c>
      <c r="B915" s="380" t="str">
        <f t="shared" si="14"/>
        <v>182-902</v>
      </c>
      <c r="C915" s="41" t="s">
        <v>1685</v>
      </c>
    </row>
    <row r="916" spans="1:3" ht="14.5">
      <c r="A916" t="s">
        <v>3168</v>
      </c>
      <c r="B916" s="380" t="str">
        <f t="shared" si="14"/>
        <v>182-903</v>
      </c>
      <c r="C916" s="41" t="s">
        <v>1685</v>
      </c>
    </row>
    <row r="917" spans="1:3" ht="14.5">
      <c r="A917" t="s">
        <v>5214</v>
      </c>
      <c r="B917" s="380" t="str">
        <f t="shared" si="14"/>
        <v>182-904</v>
      </c>
      <c r="C917" s="41" t="s">
        <v>1685</v>
      </c>
    </row>
    <row r="918" spans="1:3" ht="14.5">
      <c r="A918" t="s">
        <v>5861</v>
      </c>
      <c r="B918" s="380" t="str">
        <f t="shared" si="14"/>
        <v>182-905</v>
      </c>
      <c r="C918" s="41" t="s">
        <v>1685</v>
      </c>
    </row>
    <row r="919" spans="1:3" ht="14.5">
      <c r="A919" t="s">
        <v>5215</v>
      </c>
      <c r="B919" s="380" t="str">
        <f t="shared" si="14"/>
        <v>182-906</v>
      </c>
      <c r="C919" s="41" t="s">
        <v>1685</v>
      </c>
    </row>
    <row r="920" spans="1:3" ht="14.5">
      <c r="A920" t="s">
        <v>8068</v>
      </c>
      <c r="B920" s="380" t="str">
        <f t="shared" si="14"/>
        <v>183-801</v>
      </c>
      <c r="C920" s="41" t="s">
        <v>1685</v>
      </c>
    </row>
    <row r="921" spans="1:3" ht="14.5">
      <c r="A921" t="s">
        <v>5216</v>
      </c>
      <c r="B921" s="380" t="str">
        <f t="shared" si="14"/>
        <v>183-901</v>
      </c>
      <c r="C921" s="41" t="s">
        <v>1685</v>
      </c>
    </row>
    <row r="922" spans="1:3" ht="14.5">
      <c r="A922" t="s">
        <v>5217</v>
      </c>
      <c r="B922" s="380" t="str">
        <f t="shared" si="14"/>
        <v>183-902</v>
      </c>
      <c r="C922" s="41" t="s">
        <v>1685</v>
      </c>
    </row>
    <row r="923" spans="1:3" ht="14.5">
      <c r="A923" t="s">
        <v>3169</v>
      </c>
      <c r="B923" s="380" t="str">
        <f t="shared" si="14"/>
        <v>183-904</v>
      </c>
      <c r="C923" s="41" t="s">
        <v>1685</v>
      </c>
    </row>
    <row r="924" spans="1:3" ht="14.5">
      <c r="A924" t="s">
        <v>8069</v>
      </c>
      <c r="B924" s="380" t="str">
        <f t="shared" si="14"/>
        <v>184-801</v>
      </c>
      <c r="C924" s="41" t="s">
        <v>1685</v>
      </c>
    </row>
    <row r="925" spans="1:3" ht="14.5">
      <c r="A925" t="s">
        <v>3170</v>
      </c>
      <c r="B925" s="380" t="str">
        <f t="shared" si="14"/>
        <v>184-901</v>
      </c>
      <c r="C925" s="41" t="s">
        <v>1685</v>
      </c>
    </row>
    <row r="926" spans="1:3" ht="14.5">
      <c r="A926" t="s">
        <v>3171</v>
      </c>
      <c r="B926" s="380" t="str">
        <f t="shared" si="14"/>
        <v>184-902</v>
      </c>
      <c r="C926" s="41" t="s">
        <v>1685</v>
      </c>
    </row>
    <row r="927" spans="1:3" ht="14.5">
      <c r="A927" t="s">
        <v>3172</v>
      </c>
      <c r="B927" s="380" t="str">
        <f t="shared" si="14"/>
        <v>184-903</v>
      </c>
      <c r="C927" s="41" t="s">
        <v>1685</v>
      </c>
    </row>
    <row r="928" spans="1:3" ht="14.5">
      <c r="A928" t="s">
        <v>3173</v>
      </c>
      <c r="B928" s="380" t="str">
        <f t="shared" si="14"/>
        <v>184-904</v>
      </c>
      <c r="C928" s="41" t="s">
        <v>1685</v>
      </c>
    </row>
    <row r="929" spans="1:3" ht="14.5">
      <c r="A929" t="s">
        <v>5218</v>
      </c>
      <c r="B929" s="380" t="str">
        <f t="shared" si="14"/>
        <v>184-907</v>
      </c>
      <c r="C929" s="41" t="s">
        <v>1685</v>
      </c>
    </row>
    <row r="930" spans="1:3" ht="14.5">
      <c r="A930" t="s">
        <v>3174</v>
      </c>
      <c r="B930" s="380" t="str">
        <f t="shared" si="14"/>
        <v>184-908</v>
      </c>
      <c r="C930" s="41" t="s">
        <v>1685</v>
      </c>
    </row>
    <row r="931" spans="1:3" ht="14.5">
      <c r="A931" t="s">
        <v>3175</v>
      </c>
      <c r="B931" s="380" t="str">
        <f t="shared" si="14"/>
        <v>184-909</v>
      </c>
      <c r="C931" s="41" t="s">
        <v>1685</v>
      </c>
    </row>
    <row r="932" spans="1:3" ht="14.5">
      <c r="A932" t="s">
        <v>5219</v>
      </c>
      <c r="B932" s="380" t="str">
        <f t="shared" si="14"/>
        <v>184-911</v>
      </c>
      <c r="C932" s="41" t="s">
        <v>1685</v>
      </c>
    </row>
    <row r="933" spans="1:3" ht="14.5">
      <c r="A933" t="s">
        <v>5862</v>
      </c>
      <c r="B933" s="380" t="str">
        <f t="shared" si="14"/>
        <v>185-901</v>
      </c>
      <c r="C933" s="41" t="s">
        <v>1685</v>
      </c>
    </row>
    <row r="934" spans="1:3" ht="14.5">
      <c r="A934" t="s">
        <v>5863</v>
      </c>
      <c r="B934" s="380" t="str">
        <f t="shared" si="14"/>
        <v>185-902</v>
      </c>
      <c r="C934" s="41" t="s">
        <v>1685</v>
      </c>
    </row>
    <row r="935" spans="1:3" ht="14.5">
      <c r="A935" t="s">
        <v>5220</v>
      </c>
      <c r="B935" s="380" t="str">
        <f t="shared" si="14"/>
        <v>185-903</v>
      </c>
      <c r="C935" s="41" t="s">
        <v>1685</v>
      </c>
    </row>
    <row r="936" spans="1:3" ht="14.5">
      <c r="A936" t="s">
        <v>5864</v>
      </c>
      <c r="B936" s="380" t="str">
        <f t="shared" si="14"/>
        <v>185-904</v>
      </c>
      <c r="C936" s="41" t="s">
        <v>1685</v>
      </c>
    </row>
    <row r="937" spans="1:3" ht="14.5">
      <c r="A937" t="s">
        <v>5221</v>
      </c>
      <c r="B937" s="380" t="str">
        <f t="shared" si="14"/>
        <v>186-901</v>
      </c>
      <c r="C937" s="41" t="s">
        <v>1685</v>
      </c>
    </row>
    <row r="938" spans="1:3" ht="14.5">
      <c r="A938" t="s">
        <v>5222</v>
      </c>
      <c r="B938" s="380" t="str">
        <f t="shared" si="14"/>
        <v>186-902</v>
      </c>
      <c r="C938" s="41" t="s">
        <v>1685</v>
      </c>
    </row>
    <row r="939" spans="1:3" ht="14.5">
      <c r="A939" t="s">
        <v>5223</v>
      </c>
      <c r="B939" s="380" t="str">
        <f t="shared" si="14"/>
        <v>186-903</v>
      </c>
      <c r="C939" s="41" t="s">
        <v>1685</v>
      </c>
    </row>
    <row r="940" spans="1:3" ht="14.5">
      <c r="A940" t="s">
        <v>5224</v>
      </c>
      <c r="B940" s="380" t="str">
        <f t="shared" si="14"/>
        <v>187-901</v>
      </c>
      <c r="C940" s="41" t="s">
        <v>1685</v>
      </c>
    </row>
    <row r="941" spans="1:3" ht="14.5">
      <c r="A941" t="s">
        <v>5865</v>
      </c>
      <c r="B941" s="380" t="str">
        <f t="shared" si="14"/>
        <v>187-903</v>
      </c>
      <c r="C941" s="41" t="s">
        <v>1685</v>
      </c>
    </row>
    <row r="942" spans="1:3" ht="14.5">
      <c r="A942" t="s">
        <v>5225</v>
      </c>
      <c r="B942" s="380" t="str">
        <f t="shared" si="14"/>
        <v>187-904</v>
      </c>
      <c r="C942" s="41" t="s">
        <v>1685</v>
      </c>
    </row>
    <row r="943" spans="1:3" ht="14.5">
      <c r="A943" t="s">
        <v>5226</v>
      </c>
      <c r="B943" s="380" t="str">
        <f t="shared" si="14"/>
        <v>187-906</v>
      </c>
      <c r="C943" s="41" t="s">
        <v>1685</v>
      </c>
    </row>
    <row r="944" spans="1:3" ht="14.5">
      <c r="A944" t="s">
        <v>3176</v>
      </c>
      <c r="B944" s="380" t="str">
        <f t="shared" si="14"/>
        <v>187-907</v>
      </c>
      <c r="C944" s="41" t="s">
        <v>1685</v>
      </c>
    </row>
    <row r="945" spans="1:3" ht="14.5">
      <c r="A945" t="s">
        <v>5227</v>
      </c>
      <c r="B945" s="380" t="str">
        <f t="shared" si="14"/>
        <v>187-910</v>
      </c>
      <c r="C945" s="41" t="s">
        <v>1685</v>
      </c>
    </row>
    <row r="946" spans="1:3" ht="14.5">
      <c r="A946" t="s">
        <v>3177</v>
      </c>
      <c r="B946" s="380" t="str">
        <f t="shared" si="14"/>
        <v>188-901</v>
      </c>
      <c r="C946" s="41" t="s">
        <v>1685</v>
      </c>
    </row>
    <row r="947" spans="1:3" ht="14.5">
      <c r="A947" t="s">
        <v>3178</v>
      </c>
      <c r="B947" s="380" t="str">
        <f t="shared" si="14"/>
        <v>188-902</v>
      </c>
      <c r="C947" s="41" t="s">
        <v>1685</v>
      </c>
    </row>
    <row r="948" spans="1:3" ht="14.5">
      <c r="A948" t="s">
        <v>5228</v>
      </c>
      <c r="B948" s="380" t="str">
        <f t="shared" si="14"/>
        <v>188-903</v>
      </c>
      <c r="C948" s="41" t="s">
        <v>1685</v>
      </c>
    </row>
    <row r="949" spans="1:3" ht="14.5">
      <c r="A949" t="s">
        <v>5229</v>
      </c>
      <c r="B949" s="380" t="str">
        <f t="shared" si="14"/>
        <v>188-904</v>
      </c>
      <c r="C949" s="41" t="s">
        <v>1685</v>
      </c>
    </row>
    <row r="950" spans="1:3" ht="14.5">
      <c r="A950" t="s">
        <v>8515</v>
      </c>
      <c r="B950" s="380" t="str">
        <f t="shared" si="14"/>
        <v>188-950</v>
      </c>
      <c r="C950" s="41" t="s">
        <v>1685</v>
      </c>
    </row>
    <row r="951" spans="1:3" ht="14.5">
      <c r="A951" t="s">
        <v>3179</v>
      </c>
      <c r="B951" s="380" t="str">
        <f t="shared" si="14"/>
        <v>189-901</v>
      </c>
      <c r="C951" s="41" t="s">
        <v>1685</v>
      </c>
    </row>
    <row r="952" spans="1:3" ht="14.5">
      <c r="A952" t="s">
        <v>3180</v>
      </c>
      <c r="B952" s="380" t="str">
        <f t="shared" si="14"/>
        <v>189-902</v>
      </c>
      <c r="C952" s="41" t="s">
        <v>1685</v>
      </c>
    </row>
    <row r="953" spans="1:3" ht="14.5">
      <c r="A953" t="s">
        <v>5230</v>
      </c>
      <c r="B953" s="380" t="str">
        <f t="shared" si="14"/>
        <v>190-903</v>
      </c>
      <c r="C953" s="41" t="s">
        <v>659</v>
      </c>
    </row>
    <row r="954" spans="1:3" ht="14.5">
      <c r="A954" t="s">
        <v>5231</v>
      </c>
      <c r="B954" s="380" t="str">
        <f t="shared" si="14"/>
        <v>191-901</v>
      </c>
      <c r="C954" s="41" t="s">
        <v>659</v>
      </c>
    </row>
    <row r="955" spans="1:3" ht="14.5">
      <c r="A955" t="s">
        <v>5232</v>
      </c>
      <c r="B955" s="380" t="str">
        <f t="shared" si="14"/>
        <v>192-901</v>
      </c>
      <c r="C955" s="41" t="s">
        <v>659</v>
      </c>
    </row>
    <row r="956" spans="1:3" ht="14.5">
      <c r="A956" t="s">
        <v>8070</v>
      </c>
      <c r="B956" s="380" t="str">
        <f t="shared" si="14"/>
        <v>193-801</v>
      </c>
      <c r="C956" s="41" t="s">
        <v>1685</v>
      </c>
    </row>
    <row r="957" spans="1:3" ht="14.5">
      <c r="A957" t="s">
        <v>5233</v>
      </c>
      <c r="B957" s="380" t="str">
        <f t="shared" si="14"/>
        <v>193-902</v>
      </c>
      <c r="C957" s="41" t="s">
        <v>659</v>
      </c>
    </row>
    <row r="958" spans="1:3" ht="14.5">
      <c r="A958" t="s">
        <v>5866</v>
      </c>
      <c r="B958" s="380" t="str">
        <f t="shared" si="14"/>
        <v>194-902</v>
      </c>
      <c r="C958" s="41" t="s">
        <v>1685</v>
      </c>
    </row>
    <row r="959" spans="1:3" ht="14.5">
      <c r="A959" t="s">
        <v>3181</v>
      </c>
      <c r="B959" s="380" t="str">
        <f t="shared" si="14"/>
        <v>194-903</v>
      </c>
      <c r="C959" s="41" t="s">
        <v>1685</v>
      </c>
    </row>
    <row r="960" spans="1:3" ht="14.5">
      <c r="A960" t="s">
        <v>5867</v>
      </c>
      <c r="B960" s="380" t="str">
        <f t="shared" si="14"/>
        <v>194-904</v>
      </c>
      <c r="C960" s="41" t="s">
        <v>1685</v>
      </c>
    </row>
    <row r="961" spans="1:3" ht="14.5">
      <c r="A961" t="s">
        <v>3182</v>
      </c>
      <c r="B961" s="380" t="str">
        <f t="shared" si="14"/>
        <v>194-905</v>
      </c>
      <c r="C961" s="41" t="s">
        <v>1685</v>
      </c>
    </row>
    <row r="962" spans="1:3" ht="14.5">
      <c r="A962" t="s">
        <v>5234</v>
      </c>
      <c r="B962" s="380" t="str">
        <f t="shared" ref="B962:B1025" si="15">CONCATENATE(LEFT(RIGHT(CONCATENATE("000",A962),6),3),"-",(RIGHT(RIGHT(CONCATENATE("000",A962),6),3)))</f>
        <v>195-901</v>
      </c>
      <c r="C962" s="41" t="s">
        <v>1685</v>
      </c>
    </row>
    <row r="963" spans="1:3" ht="14.5">
      <c r="A963" t="s">
        <v>3183</v>
      </c>
      <c r="B963" s="380" t="str">
        <f t="shared" si="15"/>
        <v>195-902</v>
      </c>
      <c r="C963" s="41" t="s">
        <v>1685</v>
      </c>
    </row>
    <row r="964" spans="1:3" ht="14.5">
      <c r="A964" t="s">
        <v>5235</v>
      </c>
      <c r="B964" s="380" t="str">
        <f t="shared" si="15"/>
        <v>196-901</v>
      </c>
      <c r="C964" s="41" t="s">
        <v>1685</v>
      </c>
    </row>
    <row r="965" spans="1:3" ht="14.5">
      <c r="A965" t="s">
        <v>5236</v>
      </c>
      <c r="B965" s="380" t="str">
        <f t="shared" si="15"/>
        <v>196-902</v>
      </c>
      <c r="C965" s="41" t="s">
        <v>1685</v>
      </c>
    </row>
    <row r="966" spans="1:3" ht="14.5">
      <c r="A966" t="s">
        <v>5237</v>
      </c>
      <c r="B966" s="380" t="str">
        <f t="shared" si="15"/>
        <v>196-903</v>
      </c>
      <c r="C966" s="41" t="s">
        <v>1685</v>
      </c>
    </row>
    <row r="967" spans="1:3" ht="14.5">
      <c r="A967" t="s">
        <v>5238</v>
      </c>
      <c r="B967" s="380" t="str">
        <f t="shared" si="15"/>
        <v>197-902</v>
      </c>
      <c r="C967" s="41" t="s">
        <v>659</v>
      </c>
    </row>
    <row r="968" spans="1:3" ht="14.5">
      <c r="A968" t="s">
        <v>5239</v>
      </c>
      <c r="B968" s="380" t="str">
        <f t="shared" si="15"/>
        <v>198-901</v>
      </c>
      <c r="C968" s="41" t="s">
        <v>1685</v>
      </c>
    </row>
    <row r="969" spans="1:3" ht="14.5">
      <c r="A969" t="s">
        <v>5868</v>
      </c>
      <c r="B969" s="380" t="str">
        <f t="shared" si="15"/>
        <v>198-902</v>
      </c>
      <c r="C969" s="41" t="s">
        <v>1685</v>
      </c>
    </row>
    <row r="970" spans="1:3" ht="14.5">
      <c r="A970" t="s">
        <v>5240</v>
      </c>
      <c r="B970" s="380" t="str">
        <f t="shared" si="15"/>
        <v>198-903</v>
      </c>
      <c r="C970" s="41" t="s">
        <v>1685</v>
      </c>
    </row>
    <row r="971" spans="1:3" ht="14.5">
      <c r="A971" t="s">
        <v>5241</v>
      </c>
      <c r="B971" s="380" t="str">
        <f t="shared" si="15"/>
        <v>198-905</v>
      </c>
      <c r="C971" s="41" t="s">
        <v>1685</v>
      </c>
    </row>
    <row r="972" spans="1:3" ht="14.5">
      <c r="A972" t="s">
        <v>5869</v>
      </c>
      <c r="B972" s="380" t="str">
        <f t="shared" si="15"/>
        <v>198-906</v>
      </c>
      <c r="C972" s="41" t="s">
        <v>1685</v>
      </c>
    </row>
    <row r="973" spans="1:3" ht="14.5">
      <c r="A973" t="s">
        <v>5242</v>
      </c>
      <c r="B973" s="380" t="str">
        <f t="shared" si="15"/>
        <v>199-901</v>
      </c>
      <c r="C973" s="41" t="s">
        <v>1685</v>
      </c>
    </row>
    <row r="974" spans="1:3" ht="14.5">
      <c r="A974" t="s">
        <v>3184</v>
      </c>
      <c r="B974" s="380" t="str">
        <f t="shared" si="15"/>
        <v>199-902</v>
      </c>
      <c r="C974" s="41" t="s">
        <v>1685</v>
      </c>
    </row>
    <row r="975" spans="1:3" ht="14.5">
      <c r="A975" t="s">
        <v>5870</v>
      </c>
      <c r="B975" s="380" t="str">
        <f t="shared" si="15"/>
        <v>200-901</v>
      </c>
      <c r="C975" s="41" t="s">
        <v>1685</v>
      </c>
    </row>
    <row r="976" spans="1:3" ht="14.5">
      <c r="A976" t="s">
        <v>3185</v>
      </c>
      <c r="B976" s="380" t="str">
        <f t="shared" si="15"/>
        <v>200-902</v>
      </c>
      <c r="C976" s="41" t="s">
        <v>1685</v>
      </c>
    </row>
    <row r="977" spans="1:3" ht="14.5">
      <c r="A977" t="s">
        <v>4591</v>
      </c>
      <c r="B977" s="380" t="str">
        <f t="shared" si="15"/>
        <v>200-904</v>
      </c>
      <c r="C977" s="41" t="s">
        <v>1685</v>
      </c>
    </row>
    <row r="978" spans="1:3" ht="14.5">
      <c r="A978" t="s">
        <v>3186</v>
      </c>
      <c r="B978" s="380" t="str">
        <f t="shared" si="15"/>
        <v>200-906</v>
      </c>
      <c r="C978" s="41" t="s">
        <v>1685</v>
      </c>
    </row>
    <row r="979" spans="1:3" ht="14.5">
      <c r="A979" t="s">
        <v>5243</v>
      </c>
      <c r="B979" s="380" t="str">
        <f t="shared" si="15"/>
        <v>201-902</v>
      </c>
      <c r="C979" s="41" t="s">
        <v>1685</v>
      </c>
    </row>
    <row r="980" spans="1:3" ht="14.5">
      <c r="A980" t="s">
        <v>5871</v>
      </c>
      <c r="B980" s="380" t="str">
        <f t="shared" si="15"/>
        <v>201-903</v>
      </c>
      <c r="C980" s="41" t="s">
        <v>1685</v>
      </c>
    </row>
    <row r="981" spans="1:3" ht="14.5">
      <c r="A981" t="s">
        <v>5872</v>
      </c>
      <c r="B981" s="380" t="str">
        <f t="shared" si="15"/>
        <v>201-904</v>
      </c>
      <c r="C981" s="41" t="s">
        <v>1685</v>
      </c>
    </row>
    <row r="982" spans="1:3" ht="14.5">
      <c r="A982" t="s">
        <v>4595</v>
      </c>
      <c r="B982" s="380" t="str">
        <f t="shared" si="15"/>
        <v>201-907</v>
      </c>
      <c r="C982" s="41" t="s">
        <v>1685</v>
      </c>
    </row>
    <row r="983" spans="1:3" ht="14.5">
      <c r="A983" t="s">
        <v>3187</v>
      </c>
      <c r="B983" s="380" t="str">
        <f t="shared" si="15"/>
        <v>201-908</v>
      </c>
      <c r="C983" s="41" t="s">
        <v>1685</v>
      </c>
    </row>
    <row r="984" spans="1:3" ht="14.5">
      <c r="A984" t="s">
        <v>5244</v>
      </c>
      <c r="B984" s="380" t="str">
        <f t="shared" si="15"/>
        <v>201-910</v>
      </c>
      <c r="C984" s="41" t="s">
        <v>1685</v>
      </c>
    </row>
    <row r="985" spans="1:3" ht="14.5">
      <c r="A985" t="s">
        <v>3188</v>
      </c>
      <c r="B985" s="380" t="str">
        <f t="shared" si="15"/>
        <v>201-913</v>
      </c>
      <c r="C985" s="41" t="s">
        <v>1685</v>
      </c>
    </row>
    <row r="986" spans="1:3" ht="14.5">
      <c r="A986" t="s">
        <v>5245</v>
      </c>
      <c r="B986" s="380" t="str">
        <f t="shared" si="15"/>
        <v>201-914</v>
      </c>
      <c r="C986" s="41" t="s">
        <v>1685</v>
      </c>
    </row>
    <row r="987" spans="1:3" ht="14.5">
      <c r="A987" t="s">
        <v>5873</v>
      </c>
      <c r="B987" s="380" t="str">
        <f t="shared" si="15"/>
        <v>202-903</v>
      </c>
      <c r="C987" s="41" t="s">
        <v>1685</v>
      </c>
    </row>
    <row r="988" spans="1:3" ht="14.5">
      <c r="A988" t="s">
        <v>3189</v>
      </c>
      <c r="B988" s="380" t="str">
        <f t="shared" si="15"/>
        <v>202-905</v>
      </c>
      <c r="C988" s="41" t="s">
        <v>1685</v>
      </c>
    </row>
    <row r="989" spans="1:3" ht="14.5">
      <c r="A989" t="s">
        <v>3190</v>
      </c>
      <c r="B989" s="380" t="str">
        <f t="shared" si="15"/>
        <v>203-901</v>
      </c>
      <c r="C989" s="41" t="s">
        <v>1685</v>
      </c>
    </row>
    <row r="990" spans="1:3" ht="14.5">
      <c r="A990" t="s">
        <v>5874</v>
      </c>
      <c r="B990" s="380" t="str">
        <f t="shared" si="15"/>
        <v>203-902</v>
      </c>
      <c r="C990" s="41" t="s">
        <v>1685</v>
      </c>
    </row>
    <row r="991" spans="1:3" ht="14.5">
      <c r="A991" t="s">
        <v>5246</v>
      </c>
      <c r="B991" s="380" t="str">
        <f t="shared" si="15"/>
        <v>204-901</v>
      </c>
      <c r="C991" s="41" t="s">
        <v>1685</v>
      </c>
    </row>
    <row r="992" spans="1:3" ht="14.5">
      <c r="A992" t="s">
        <v>3191</v>
      </c>
      <c r="B992" s="380" t="str">
        <f t="shared" si="15"/>
        <v>204-904</v>
      </c>
      <c r="C992" s="41" t="s">
        <v>1685</v>
      </c>
    </row>
    <row r="993" spans="1:3" ht="14.5">
      <c r="A993" t="s">
        <v>3192</v>
      </c>
      <c r="B993" s="380" t="str">
        <f t="shared" si="15"/>
        <v>205-901</v>
      </c>
      <c r="C993" s="41" t="s">
        <v>1685</v>
      </c>
    </row>
    <row r="994" spans="1:3" ht="14.5">
      <c r="A994" t="s">
        <v>5247</v>
      </c>
      <c r="B994" s="380" t="str">
        <f t="shared" si="15"/>
        <v>205-902</v>
      </c>
      <c r="C994" s="41" t="s">
        <v>1685</v>
      </c>
    </row>
    <row r="995" spans="1:3" ht="14.5">
      <c r="A995" t="s">
        <v>5248</v>
      </c>
      <c r="B995" s="380" t="str">
        <f t="shared" si="15"/>
        <v>205-903</v>
      </c>
      <c r="C995" s="41" t="s">
        <v>1685</v>
      </c>
    </row>
    <row r="996" spans="1:3" ht="14.5">
      <c r="A996" t="s">
        <v>3193</v>
      </c>
      <c r="B996" s="380" t="str">
        <f t="shared" si="15"/>
        <v>205-904</v>
      </c>
      <c r="C996" s="41" t="s">
        <v>1685</v>
      </c>
    </row>
    <row r="997" spans="1:3" ht="14.5">
      <c r="A997" t="s">
        <v>3194</v>
      </c>
      <c r="B997" s="380" t="str">
        <f t="shared" si="15"/>
        <v>205-905</v>
      </c>
      <c r="C997" s="41" t="s">
        <v>1685</v>
      </c>
    </row>
    <row r="998" spans="1:3" ht="14.5">
      <c r="A998" t="s">
        <v>3195</v>
      </c>
      <c r="B998" s="380" t="str">
        <f t="shared" si="15"/>
        <v>205-906</v>
      </c>
      <c r="C998" s="41" t="s">
        <v>1685</v>
      </c>
    </row>
    <row r="999" spans="1:3" ht="14.5">
      <c r="A999" t="s">
        <v>3196</v>
      </c>
      <c r="B999" s="380" t="str">
        <f t="shared" si="15"/>
        <v>205-907</v>
      </c>
      <c r="C999" s="41" t="s">
        <v>1685</v>
      </c>
    </row>
    <row r="1000" spans="1:3" ht="14.5">
      <c r="A1000" t="s">
        <v>3197</v>
      </c>
      <c r="B1000" s="380" t="str">
        <f t="shared" si="15"/>
        <v>206-901</v>
      </c>
      <c r="C1000" s="41" t="s">
        <v>1685</v>
      </c>
    </row>
    <row r="1001" spans="1:3" ht="14.5">
      <c r="A1001" t="s">
        <v>5875</v>
      </c>
      <c r="B1001" s="380" t="str">
        <f t="shared" si="15"/>
        <v>206-902</v>
      </c>
      <c r="C1001" s="41" t="s">
        <v>1685</v>
      </c>
    </row>
    <row r="1002" spans="1:3" ht="14.5">
      <c r="A1002" t="s">
        <v>5876</v>
      </c>
      <c r="B1002" s="380" t="str">
        <f t="shared" si="15"/>
        <v>206-903</v>
      </c>
      <c r="C1002" s="41" t="s">
        <v>1685</v>
      </c>
    </row>
    <row r="1003" spans="1:3" ht="14.5">
      <c r="A1003" t="s">
        <v>5877</v>
      </c>
      <c r="B1003" s="380" t="str">
        <f t="shared" si="15"/>
        <v>207-901</v>
      </c>
      <c r="C1003" s="41" t="s">
        <v>659</v>
      </c>
    </row>
    <row r="1004" spans="1:3" ht="14.5">
      <c r="A1004" t="s">
        <v>5249</v>
      </c>
      <c r="B1004" s="380" t="str">
        <f t="shared" si="15"/>
        <v>208-901</v>
      </c>
      <c r="C1004" s="41" t="s">
        <v>1685</v>
      </c>
    </row>
    <row r="1005" spans="1:3" ht="14.5">
      <c r="A1005" t="s">
        <v>5250</v>
      </c>
      <c r="B1005" s="380" t="str">
        <f t="shared" si="15"/>
        <v>208-902</v>
      </c>
      <c r="C1005" s="41" t="s">
        <v>1685</v>
      </c>
    </row>
    <row r="1006" spans="1:3" ht="14.5">
      <c r="A1006" t="s">
        <v>5251</v>
      </c>
      <c r="B1006" s="380" t="str">
        <f t="shared" si="15"/>
        <v>208-903</v>
      </c>
      <c r="C1006" s="41" t="s">
        <v>1685</v>
      </c>
    </row>
    <row r="1007" spans="1:3" ht="14.5">
      <c r="A1007" t="s">
        <v>5878</v>
      </c>
      <c r="B1007" s="380" t="str">
        <f t="shared" si="15"/>
        <v>209-901</v>
      </c>
      <c r="C1007" s="41" t="s">
        <v>1685</v>
      </c>
    </row>
    <row r="1008" spans="1:3" ht="14.5">
      <c r="A1008" t="s">
        <v>5879</v>
      </c>
      <c r="B1008" s="380" t="str">
        <f t="shared" si="15"/>
        <v>209-902</v>
      </c>
      <c r="C1008" s="41" t="s">
        <v>1685</v>
      </c>
    </row>
    <row r="1009" spans="1:3" ht="14.5">
      <c r="A1009" t="s">
        <v>3198</v>
      </c>
      <c r="B1009" s="380" t="str">
        <f t="shared" si="15"/>
        <v>210-901</v>
      </c>
      <c r="C1009" s="41" t="s">
        <v>1685</v>
      </c>
    </row>
    <row r="1010" spans="1:3" ht="14.5">
      <c r="A1010" t="s">
        <v>5252</v>
      </c>
      <c r="B1010" s="380" t="str">
        <f t="shared" si="15"/>
        <v>210-902</v>
      </c>
      <c r="C1010" s="41" t="s">
        <v>1685</v>
      </c>
    </row>
    <row r="1011" spans="1:3" ht="14.5">
      <c r="A1011" t="s">
        <v>3199</v>
      </c>
      <c r="B1011" s="380" t="str">
        <f t="shared" si="15"/>
        <v>210-903</v>
      </c>
      <c r="C1011" s="41" t="s">
        <v>1685</v>
      </c>
    </row>
    <row r="1012" spans="1:3" ht="14.5">
      <c r="A1012" t="s">
        <v>5253</v>
      </c>
      <c r="B1012" s="380" t="str">
        <f t="shared" si="15"/>
        <v>210-904</v>
      </c>
      <c r="C1012" s="41" t="s">
        <v>1685</v>
      </c>
    </row>
    <row r="1013" spans="1:3" ht="14.5">
      <c r="A1013" t="s">
        <v>5880</v>
      </c>
      <c r="B1013" s="380" t="str">
        <f t="shared" si="15"/>
        <v>210-905</v>
      </c>
      <c r="C1013" s="41" t="s">
        <v>1685</v>
      </c>
    </row>
    <row r="1014" spans="1:3" ht="14.5">
      <c r="A1014" t="s">
        <v>5881</v>
      </c>
      <c r="B1014" s="380" t="str">
        <f t="shared" si="15"/>
        <v>210-906</v>
      </c>
      <c r="C1014" s="41" t="s">
        <v>1685</v>
      </c>
    </row>
    <row r="1015" spans="1:3" ht="14.5">
      <c r="A1015" t="s">
        <v>5254</v>
      </c>
      <c r="B1015" s="380" t="str">
        <f t="shared" si="15"/>
        <v>211-901</v>
      </c>
      <c r="C1015" s="41" t="s">
        <v>1685</v>
      </c>
    </row>
    <row r="1016" spans="1:3" ht="14.5">
      <c r="A1016" t="s">
        <v>5882</v>
      </c>
      <c r="B1016" s="380" t="str">
        <f t="shared" si="15"/>
        <v>211-902</v>
      </c>
      <c r="C1016" s="41" t="s">
        <v>1685</v>
      </c>
    </row>
    <row r="1017" spans="1:3" ht="14.5">
      <c r="A1017" t="s">
        <v>8071</v>
      </c>
      <c r="B1017" s="380" t="str">
        <f t="shared" si="15"/>
        <v>212-801</v>
      </c>
      <c r="C1017" s="41" t="s">
        <v>1685</v>
      </c>
    </row>
    <row r="1018" spans="1:3" ht="14.5">
      <c r="A1018" t="s">
        <v>8072</v>
      </c>
      <c r="B1018" s="380" t="str">
        <f t="shared" si="15"/>
        <v>212-804</v>
      </c>
      <c r="C1018" s="41" t="s">
        <v>1685</v>
      </c>
    </row>
    <row r="1019" spans="1:3" ht="14.5">
      <c r="A1019" t="s">
        <v>3200</v>
      </c>
      <c r="B1019" s="380" t="str">
        <f t="shared" si="15"/>
        <v>212-901</v>
      </c>
      <c r="C1019" s="41" t="s">
        <v>1685</v>
      </c>
    </row>
    <row r="1020" spans="1:3" ht="14.5">
      <c r="A1020" t="s">
        <v>5255</v>
      </c>
      <c r="B1020" s="380" t="str">
        <f t="shared" si="15"/>
        <v>212-902</v>
      </c>
      <c r="C1020" s="41" t="s">
        <v>1685</v>
      </c>
    </row>
    <row r="1021" spans="1:3" ht="14.5">
      <c r="A1021" t="s">
        <v>3201</v>
      </c>
      <c r="B1021" s="380" t="str">
        <f t="shared" si="15"/>
        <v>212-903</v>
      </c>
      <c r="C1021" s="41" t="s">
        <v>1685</v>
      </c>
    </row>
    <row r="1022" spans="1:3" ht="14.5">
      <c r="A1022" t="s">
        <v>5256</v>
      </c>
      <c r="B1022" s="380" t="str">
        <f t="shared" si="15"/>
        <v>212-904</v>
      </c>
      <c r="C1022" s="41" t="s">
        <v>1685</v>
      </c>
    </row>
    <row r="1023" spans="1:3" ht="14.5">
      <c r="A1023" t="s">
        <v>5257</v>
      </c>
      <c r="B1023" s="380" t="str">
        <f t="shared" si="15"/>
        <v>212-905</v>
      </c>
      <c r="C1023" s="41" t="s">
        <v>1685</v>
      </c>
    </row>
    <row r="1024" spans="1:3" ht="14.5">
      <c r="A1024" t="s">
        <v>3202</v>
      </c>
      <c r="B1024" s="380" t="str">
        <f t="shared" si="15"/>
        <v>212-906</v>
      </c>
      <c r="C1024" s="41" t="s">
        <v>1685</v>
      </c>
    </row>
    <row r="1025" spans="1:3" ht="14.5">
      <c r="A1025" t="s">
        <v>3203</v>
      </c>
      <c r="B1025" s="380" t="str">
        <f t="shared" si="15"/>
        <v>212-909</v>
      </c>
      <c r="C1025" s="41" t="s">
        <v>1685</v>
      </c>
    </row>
    <row r="1026" spans="1:3" ht="14.5">
      <c r="A1026" t="s">
        <v>5258</v>
      </c>
      <c r="B1026" s="380" t="str">
        <f t="shared" ref="B1026:B1089" si="16">CONCATENATE(LEFT(RIGHT(CONCATENATE("000",A1026),6),3),"-",(RIGHT(RIGHT(CONCATENATE("000",A1026),6),3)))</f>
        <v>212-910</v>
      </c>
      <c r="C1026" s="41" t="s">
        <v>1685</v>
      </c>
    </row>
    <row r="1027" spans="1:3" ht="14.5">
      <c r="A1027" t="s">
        <v>8073</v>
      </c>
      <c r="B1027" s="380" t="str">
        <f t="shared" si="16"/>
        <v>213-801</v>
      </c>
      <c r="C1027" s="41" t="s">
        <v>1685</v>
      </c>
    </row>
    <row r="1028" spans="1:3" ht="14.5">
      <c r="A1028" t="s">
        <v>5259</v>
      </c>
      <c r="B1028" s="380" t="str">
        <f t="shared" si="16"/>
        <v>213-901</v>
      </c>
      <c r="C1028" s="41" t="s">
        <v>659</v>
      </c>
    </row>
    <row r="1029" spans="1:3" ht="14.5">
      <c r="A1029" t="s">
        <v>3204</v>
      </c>
      <c r="B1029" s="380" t="str">
        <f t="shared" si="16"/>
        <v>214-901</v>
      </c>
      <c r="C1029" s="41" t="s">
        <v>1685</v>
      </c>
    </row>
    <row r="1030" spans="1:3" ht="14.5">
      <c r="A1030" t="s">
        <v>5260</v>
      </c>
      <c r="B1030" s="380" t="str">
        <f t="shared" si="16"/>
        <v>214-902</v>
      </c>
      <c r="C1030" s="41" t="s">
        <v>1685</v>
      </c>
    </row>
    <row r="1031" spans="1:3" ht="14.5">
      <c r="A1031" t="s">
        <v>3205</v>
      </c>
      <c r="B1031" s="380" t="str">
        <f t="shared" si="16"/>
        <v>214-903</v>
      </c>
      <c r="C1031" s="41" t="s">
        <v>1685</v>
      </c>
    </row>
    <row r="1032" spans="1:3" ht="14.5">
      <c r="A1032" t="s">
        <v>5261</v>
      </c>
      <c r="B1032" s="380" t="str">
        <f t="shared" si="16"/>
        <v>215-901</v>
      </c>
      <c r="C1032" s="41" t="s">
        <v>659</v>
      </c>
    </row>
    <row r="1033" spans="1:3" ht="14.5">
      <c r="A1033" t="s">
        <v>5262</v>
      </c>
      <c r="B1033" s="380" t="str">
        <f t="shared" si="16"/>
        <v>216-901</v>
      </c>
      <c r="C1033" s="41" t="s">
        <v>659</v>
      </c>
    </row>
    <row r="1034" spans="1:3" ht="14.5">
      <c r="A1034" t="s">
        <v>5263</v>
      </c>
      <c r="B1034" s="380" t="str">
        <f t="shared" si="16"/>
        <v>217-901</v>
      </c>
      <c r="C1034" s="41" t="s">
        <v>659</v>
      </c>
    </row>
    <row r="1035" spans="1:3" ht="14.5">
      <c r="A1035" t="s">
        <v>5264</v>
      </c>
      <c r="B1035" s="380" t="str">
        <f t="shared" si="16"/>
        <v>218-901</v>
      </c>
      <c r="C1035" s="41" t="s">
        <v>659</v>
      </c>
    </row>
    <row r="1036" spans="1:3" ht="14.5">
      <c r="A1036" t="s">
        <v>5883</v>
      </c>
      <c r="B1036" s="380" t="str">
        <f t="shared" si="16"/>
        <v>219-901</v>
      </c>
      <c r="C1036" s="41" t="s">
        <v>1685</v>
      </c>
    </row>
    <row r="1037" spans="1:3" ht="14.5">
      <c r="A1037" t="s">
        <v>5884</v>
      </c>
      <c r="B1037" s="380" t="str">
        <f t="shared" si="16"/>
        <v>219-903</v>
      </c>
      <c r="C1037" s="41" t="s">
        <v>1685</v>
      </c>
    </row>
    <row r="1038" spans="1:3" ht="14.5">
      <c r="A1038" t="s">
        <v>5265</v>
      </c>
      <c r="B1038" s="380" t="str">
        <f t="shared" si="16"/>
        <v>219-905</v>
      </c>
      <c r="C1038" s="41" t="s">
        <v>1685</v>
      </c>
    </row>
    <row r="1039" spans="1:3" ht="14.5">
      <c r="A1039" t="s">
        <v>8074</v>
      </c>
      <c r="B1039" s="380" t="str">
        <f t="shared" si="16"/>
        <v>220-801</v>
      </c>
      <c r="C1039" s="41" t="s">
        <v>1685</v>
      </c>
    </row>
    <row r="1040" spans="1:3" ht="14.5">
      <c r="A1040" t="s">
        <v>8075</v>
      </c>
      <c r="B1040" s="380" t="str">
        <f t="shared" si="16"/>
        <v>220-802</v>
      </c>
      <c r="C1040" s="41" t="s">
        <v>1685</v>
      </c>
    </row>
    <row r="1041" spans="1:3" ht="14.5">
      <c r="A1041" t="s">
        <v>8076</v>
      </c>
      <c r="B1041" s="380" t="str">
        <f t="shared" si="16"/>
        <v>220-809</v>
      </c>
      <c r="C1041" s="41" t="s">
        <v>1685</v>
      </c>
    </row>
    <row r="1042" spans="1:3" ht="14.5">
      <c r="A1042" t="s">
        <v>8077</v>
      </c>
      <c r="B1042" s="380" t="str">
        <f t="shared" si="16"/>
        <v>220-810</v>
      </c>
      <c r="C1042" s="41" t="s">
        <v>1685</v>
      </c>
    </row>
    <row r="1043" spans="1:3" ht="14.5">
      <c r="A1043" t="s">
        <v>8078</v>
      </c>
      <c r="B1043" s="380" t="str">
        <f t="shared" si="16"/>
        <v>220-811</v>
      </c>
      <c r="C1043" s="41" t="s">
        <v>1685</v>
      </c>
    </row>
    <row r="1044" spans="1:3" ht="14.5">
      <c r="A1044" t="s">
        <v>8079</v>
      </c>
      <c r="B1044" s="380" t="str">
        <f t="shared" si="16"/>
        <v>220-814</v>
      </c>
      <c r="C1044" s="41" t="s">
        <v>1685</v>
      </c>
    </row>
    <row r="1045" spans="1:3" ht="14.5">
      <c r="A1045" t="s">
        <v>8080</v>
      </c>
      <c r="B1045" s="380" t="str">
        <f t="shared" si="16"/>
        <v>220-815</v>
      </c>
      <c r="C1045" s="41" t="s">
        <v>1685</v>
      </c>
    </row>
    <row r="1046" spans="1:3" ht="14.5">
      <c r="A1046" t="s">
        <v>8081</v>
      </c>
      <c r="B1046" s="380" t="str">
        <f t="shared" si="16"/>
        <v>220-817</v>
      </c>
      <c r="C1046" s="41" t="s">
        <v>1685</v>
      </c>
    </row>
    <row r="1047" spans="1:3" ht="14.5">
      <c r="A1047" t="s">
        <v>8082</v>
      </c>
      <c r="B1047" s="380" t="str">
        <f t="shared" si="16"/>
        <v>220-819</v>
      </c>
      <c r="C1047" s="41" t="s">
        <v>1685</v>
      </c>
    </row>
    <row r="1048" spans="1:3" ht="14.5">
      <c r="A1048" t="s">
        <v>3206</v>
      </c>
      <c r="B1048" s="380" t="str">
        <f t="shared" si="16"/>
        <v>220-901</v>
      </c>
      <c r="C1048" s="41" t="s">
        <v>1685</v>
      </c>
    </row>
    <row r="1049" spans="1:3" ht="14.5">
      <c r="A1049" t="s">
        <v>3207</v>
      </c>
      <c r="B1049" s="380" t="str">
        <f t="shared" si="16"/>
        <v>220-902</v>
      </c>
      <c r="C1049" s="41" t="s">
        <v>1685</v>
      </c>
    </row>
    <row r="1050" spans="1:3" ht="14.5">
      <c r="A1050" t="s">
        <v>3208</v>
      </c>
      <c r="B1050" s="380" t="str">
        <f t="shared" si="16"/>
        <v>220-904</v>
      </c>
      <c r="C1050" s="41" t="s">
        <v>1685</v>
      </c>
    </row>
    <row r="1051" spans="1:3" ht="14.5">
      <c r="A1051" t="s">
        <v>5266</v>
      </c>
      <c r="B1051" s="380" t="str">
        <f t="shared" si="16"/>
        <v>220-905</v>
      </c>
      <c r="C1051" s="41" t="s">
        <v>1685</v>
      </c>
    </row>
    <row r="1052" spans="1:3" ht="14.5">
      <c r="A1052" t="s">
        <v>5267</v>
      </c>
      <c r="B1052" s="380" t="str">
        <f t="shared" si="16"/>
        <v>220-906</v>
      </c>
      <c r="C1052" s="41" t="s">
        <v>1685</v>
      </c>
    </row>
    <row r="1053" spans="1:3" ht="14.5">
      <c r="A1053" t="s">
        <v>3209</v>
      </c>
      <c r="B1053" s="380" t="str">
        <f t="shared" si="16"/>
        <v>220-907</v>
      </c>
      <c r="C1053" s="41" t="s">
        <v>1685</v>
      </c>
    </row>
    <row r="1054" spans="1:3" ht="14.5">
      <c r="A1054" t="s">
        <v>3210</v>
      </c>
      <c r="B1054" s="380" t="str">
        <f t="shared" si="16"/>
        <v>220-908</v>
      </c>
      <c r="C1054" s="41" t="s">
        <v>1685</v>
      </c>
    </row>
    <row r="1055" spans="1:3" ht="14.5">
      <c r="A1055" t="s">
        <v>3211</v>
      </c>
      <c r="B1055" s="380" t="str">
        <f t="shared" si="16"/>
        <v>220-910</v>
      </c>
      <c r="C1055" s="41" t="s">
        <v>1685</v>
      </c>
    </row>
    <row r="1056" spans="1:3" ht="14.5">
      <c r="A1056" t="s">
        <v>3212</v>
      </c>
      <c r="B1056" s="380" t="str">
        <f t="shared" si="16"/>
        <v>220-912</v>
      </c>
      <c r="C1056" s="41" t="s">
        <v>1685</v>
      </c>
    </row>
    <row r="1057" spans="1:3" ht="14.5">
      <c r="A1057" t="s">
        <v>3213</v>
      </c>
      <c r="B1057" s="380" t="str">
        <f t="shared" si="16"/>
        <v>220-914</v>
      </c>
      <c r="C1057" s="41" t="s">
        <v>1685</v>
      </c>
    </row>
    <row r="1058" spans="1:3" ht="14.5">
      <c r="A1058" t="s">
        <v>3214</v>
      </c>
      <c r="B1058" s="380" t="str">
        <f t="shared" si="16"/>
        <v>220-915</v>
      </c>
      <c r="C1058" s="41" t="s">
        <v>1685</v>
      </c>
    </row>
    <row r="1059" spans="1:3" ht="14.5">
      <c r="A1059" t="s">
        <v>3215</v>
      </c>
      <c r="B1059" s="380" t="str">
        <f t="shared" si="16"/>
        <v>220-916</v>
      </c>
      <c r="C1059" s="41" t="s">
        <v>1685</v>
      </c>
    </row>
    <row r="1060" spans="1:3" ht="14.5">
      <c r="A1060" t="s">
        <v>3216</v>
      </c>
      <c r="B1060" s="380" t="str">
        <f t="shared" si="16"/>
        <v>220-917</v>
      </c>
      <c r="C1060" s="41" t="s">
        <v>1685</v>
      </c>
    </row>
    <row r="1061" spans="1:3" ht="14.5">
      <c r="A1061" t="s">
        <v>3217</v>
      </c>
      <c r="B1061" s="380" t="str">
        <f t="shared" si="16"/>
        <v>220-918</v>
      </c>
      <c r="C1061" s="41" t="s">
        <v>1685</v>
      </c>
    </row>
    <row r="1062" spans="1:3" ht="14.5">
      <c r="A1062" t="s">
        <v>4710</v>
      </c>
      <c r="B1062" s="380" t="str">
        <f t="shared" si="16"/>
        <v>220-919</v>
      </c>
      <c r="C1062" s="41" t="s">
        <v>1685</v>
      </c>
    </row>
    <row r="1063" spans="1:3" ht="14.5">
      <c r="A1063" t="s">
        <v>3218</v>
      </c>
      <c r="B1063" s="380" t="str">
        <f t="shared" si="16"/>
        <v>220-920</v>
      </c>
      <c r="C1063" s="41" t="s">
        <v>1685</v>
      </c>
    </row>
    <row r="1064" spans="1:3" ht="14.5">
      <c r="A1064" t="s">
        <v>8516</v>
      </c>
      <c r="B1064" s="380" t="str">
        <f t="shared" si="16"/>
        <v>220-950</v>
      </c>
      <c r="C1064" s="41" t="s">
        <v>1685</v>
      </c>
    </row>
    <row r="1065" spans="1:3" ht="14.5">
      <c r="A1065" t="s">
        <v>8083</v>
      </c>
      <c r="B1065" s="380" t="str">
        <f t="shared" si="16"/>
        <v>221-801</v>
      </c>
      <c r="C1065" s="41" t="s">
        <v>1685</v>
      </c>
    </row>
    <row r="1066" spans="1:3" ht="14.5">
      <c r="A1066" t="s">
        <v>5268</v>
      </c>
      <c r="B1066" s="380" t="str">
        <f t="shared" si="16"/>
        <v>221-901</v>
      </c>
      <c r="C1066" s="41" t="s">
        <v>1685</v>
      </c>
    </row>
    <row r="1067" spans="1:3" ht="14.5">
      <c r="A1067" t="s">
        <v>5269</v>
      </c>
      <c r="B1067" s="380" t="str">
        <f t="shared" si="16"/>
        <v>221-904</v>
      </c>
      <c r="C1067" s="41" t="s">
        <v>1685</v>
      </c>
    </row>
    <row r="1068" spans="1:3" ht="14.5">
      <c r="A1068" t="s">
        <v>5270</v>
      </c>
      <c r="B1068" s="380" t="str">
        <f t="shared" si="16"/>
        <v>221-905</v>
      </c>
      <c r="C1068" s="41" t="s">
        <v>1685</v>
      </c>
    </row>
    <row r="1069" spans="1:3" ht="14.5">
      <c r="A1069" t="s">
        <v>5271</v>
      </c>
      <c r="B1069" s="380" t="str">
        <f t="shared" si="16"/>
        <v>221-911</v>
      </c>
      <c r="C1069" s="41" t="s">
        <v>1685</v>
      </c>
    </row>
    <row r="1070" spans="1:3" ht="14.5">
      <c r="A1070" t="s">
        <v>5272</v>
      </c>
      <c r="B1070" s="380" t="str">
        <f t="shared" si="16"/>
        <v>221-912</v>
      </c>
      <c r="C1070" s="41" t="s">
        <v>1685</v>
      </c>
    </row>
    <row r="1071" spans="1:3" ht="14.5">
      <c r="A1071" t="s">
        <v>8517</v>
      </c>
      <c r="B1071" s="380" t="str">
        <f t="shared" si="16"/>
        <v>221-950</v>
      </c>
      <c r="C1071" s="41" t="s">
        <v>1685</v>
      </c>
    </row>
    <row r="1072" spans="1:3" ht="14.5">
      <c r="A1072" t="s">
        <v>5273</v>
      </c>
      <c r="B1072" s="380" t="str">
        <f t="shared" si="16"/>
        <v>222-901</v>
      </c>
      <c r="C1072" s="41" t="s">
        <v>659</v>
      </c>
    </row>
    <row r="1073" spans="1:3" ht="14.5">
      <c r="A1073" t="s">
        <v>5274</v>
      </c>
      <c r="B1073" s="380" t="str">
        <f t="shared" si="16"/>
        <v>223-901</v>
      </c>
      <c r="C1073" s="41" t="s">
        <v>1685</v>
      </c>
    </row>
    <row r="1074" spans="1:3" ht="14.5">
      <c r="A1074" t="s">
        <v>3219</v>
      </c>
      <c r="B1074" s="380" t="str">
        <f t="shared" si="16"/>
        <v>223-902</v>
      </c>
      <c r="C1074" s="41" t="s">
        <v>1685</v>
      </c>
    </row>
    <row r="1075" spans="1:3" ht="14.5">
      <c r="A1075" t="s">
        <v>5275</v>
      </c>
      <c r="B1075" s="380" t="str">
        <f t="shared" si="16"/>
        <v>223-904</v>
      </c>
      <c r="C1075" s="41" t="s">
        <v>1685</v>
      </c>
    </row>
    <row r="1076" spans="1:3" ht="14.5">
      <c r="A1076" t="s">
        <v>5885</v>
      </c>
      <c r="B1076" s="380" t="str">
        <f t="shared" si="16"/>
        <v>224-901</v>
      </c>
      <c r="C1076" s="41" t="s">
        <v>1685</v>
      </c>
    </row>
    <row r="1077" spans="1:3" ht="14.5">
      <c r="A1077" t="s">
        <v>5886</v>
      </c>
      <c r="B1077" s="380" t="str">
        <f t="shared" si="16"/>
        <v>224-902</v>
      </c>
      <c r="C1077" s="41" t="s">
        <v>1685</v>
      </c>
    </row>
    <row r="1078" spans="1:3" ht="14.5">
      <c r="A1078" t="s">
        <v>5276</v>
      </c>
      <c r="B1078" s="380" t="str">
        <f t="shared" si="16"/>
        <v>225-902</v>
      </c>
      <c r="C1078" s="41" t="s">
        <v>1685</v>
      </c>
    </row>
    <row r="1079" spans="1:3" ht="14.5">
      <c r="A1079" t="s">
        <v>3220</v>
      </c>
      <c r="B1079" s="380" t="str">
        <f t="shared" si="16"/>
        <v>225-906</v>
      </c>
      <c r="C1079" s="41" t="s">
        <v>1685</v>
      </c>
    </row>
    <row r="1080" spans="1:3" ht="14.5">
      <c r="A1080" t="s">
        <v>5887</v>
      </c>
      <c r="B1080" s="380" t="str">
        <f t="shared" si="16"/>
        <v>225-907</v>
      </c>
      <c r="C1080" s="41" t="s">
        <v>1685</v>
      </c>
    </row>
    <row r="1081" spans="1:3" ht="14.5">
      <c r="A1081" t="s">
        <v>8518</v>
      </c>
      <c r="B1081" s="380" t="str">
        <f t="shared" si="16"/>
        <v>225-950</v>
      </c>
      <c r="C1081" s="41" t="s">
        <v>1685</v>
      </c>
    </row>
    <row r="1082" spans="1:3" ht="14.5">
      <c r="A1082" t="s">
        <v>8084</v>
      </c>
      <c r="B1082" s="380" t="str">
        <f t="shared" si="16"/>
        <v>226-801</v>
      </c>
      <c r="C1082" s="41" t="s">
        <v>1685</v>
      </c>
    </row>
    <row r="1083" spans="1:3" ht="14.5">
      <c r="A1083" t="s">
        <v>5277</v>
      </c>
      <c r="B1083" s="380" t="str">
        <f t="shared" si="16"/>
        <v>226-901</v>
      </c>
      <c r="C1083" s="41" t="s">
        <v>1685</v>
      </c>
    </row>
    <row r="1084" spans="1:3" ht="14.5">
      <c r="A1084" t="s">
        <v>3221</v>
      </c>
      <c r="B1084" s="380" t="str">
        <f t="shared" si="16"/>
        <v>226-903</v>
      </c>
      <c r="C1084" s="41" t="s">
        <v>1685</v>
      </c>
    </row>
    <row r="1085" spans="1:3" ht="14.5">
      <c r="A1085" t="s">
        <v>5278</v>
      </c>
      <c r="B1085" s="380" t="str">
        <f t="shared" si="16"/>
        <v>226-905</v>
      </c>
      <c r="C1085" s="41" t="s">
        <v>1685</v>
      </c>
    </row>
    <row r="1086" spans="1:3" ht="14.5">
      <c r="A1086" t="s">
        <v>3222</v>
      </c>
      <c r="B1086" s="380" t="str">
        <f t="shared" si="16"/>
        <v>226-906</v>
      </c>
      <c r="C1086" s="41" t="s">
        <v>1685</v>
      </c>
    </row>
    <row r="1087" spans="1:3" ht="14.5">
      <c r="A1087" t="s">
        <v>3223</v>
      </c>
      <c r="B1087" s="380" t="str">
        <f t="shared" si="16"/>
        <v>226-907</v>
      </c>
      <c r="C1087" s="41" t="s">
        <v>1685</v>
      </c>
    </row>
    <row r="1088" spans="1:3" ht="14.5">
      <c r="A1088" t="s">
        <v>3224</v>
      </c>
      <c r="B1088" s="380" t="str">
        <f t="shared" si="16"/>
        <v>226-908</v>
      </c>
      <c r="C1088" s="41" t="s">
        <v>1685</v>
      </c>
    </row>
    <row r="1089" spans="1:3" ht="14.5">
      <c r="A1089" t="s">
        <v>8519</v>
      </c>
      <c r="B1089" s="380" t="str">
        <f t="shared" si="16"/>
        <v>226-950</v>
      </c>
      <c r="C1089" s="41" t="s">
        <v>1685</v>
      </c>
    </row>
    <row r="1090" spans="1:3" ht="14.5">
      <c r="A1090" t="s">
        <v>8085</v>
      </c>
      <c r="B1090" s="380" t="str">
        <f t="shared" ref="B1090:B1153" si="17">CONCATENATE(LEFT(RIGHT(CONCATENATE("000",A1090),6),3),"-",(RIGHT(RIGHT(CONCATENATE("000",A1090),6),3)))</f>
        <v>227-622</v>
      </c>
      <c r="C1090" s="41" t="s">
        <v>1685</v>
      </c>
    </row>
    <row r="1091" spans="1:3" ht="14.5">
      <c r="A1091" t="s">
        <v>8087</v>
      </c>
      <c r="B1091" s="380" t="str">
        <f t="shared" si="17"/>
        <v>227-803</v>
      </c>
      <c r="C1091" s="41" t="s">
        <v>1685</v>
      </c>
    </row>
    <row r="1092" spans="1:3" ht="14.5">
      <c r="A1092" t="s">
        <v>8088</v>
      </c>
      <c r="B1092" s="380" t="str">
        <f t="shared" si="17"/>
        <v>227-804</v>
      </c>
      <c r="C1092" s="41" t="s">
        <v>1685</v>
      </c>
    </row>
    <row r="1093" spans="1:3" ht="14.5">
      <c r="A1093" t="s">
        <v>8089</v>
      </c>
      <c r="B1093" s="380" t="str">
        <f t="shared" si="17"/>
        <v>227-805</v>
      </c>
      <c r="C1093" s="41" t="s">
        <v>1685</v>
      </c>
    </row>
    <row r="1094" spans="1:3" ht="14.5">
      <c r="A1094" t="s">
        <v>8090</v>
      </c>
      <c r="B1094" s="380" t="str">
        <f t="shared" si="17"/>
        <v>227-806</v>
      </c>
      <c r="C1094" s="41" t="s">
        <v>1685</v>
      </c>
    </row>
    <row r="1095" spans="1:3" ht="14.5">
      <c r="A1095" t="s">
        <v>8091</v>
      </c>
      <c r="B1095" s="380" t="str">
        <f t="shared" si="17"/>
        <v>227-814</v>
      </c>
      <c r="C1095" s="41" t="s">
        <v>1685</v>
      </c>
    </row>
    <row r="1096" spans="1:3" ht="14.5">
      <c r="A1096" t="s">
        <v>8092</v>
      </c>
      <c r="B1096" s="380" t="str">
        <f t="shared" si="17"/>
        <v>227-816</v>
      </c>
      <c r="C1096" s="41" t="s">
        <v>1685</v>
      </c>
    </row>
    <row r="1097" spans="1:3" ht="14.5">
      <c r="A1097" t="s">
        <v>8093</v>
      </c>
      <c r="B1097" s="380" t="str">
        <f t="shared" si="17"/>
        <v>227-817</v>
      </c>
      <c r="C1097" s="41" t="s">
        <v>1685</v>
      </c>
    </row>
    <row r="1098" spans="1:3" ht="14.5">
      <c r="A1098" t="s">
        <v>8094</v>
      </c>
      <c r="B1098" s="380" t="str">
        <f t="shared" si="17"/>
        <v>227-819</v>
      </c>
      <c r="C1098" s="41" t="s">
        <v>1685</v>
      </c>
    </row>
    <row r="1099" spans="1:3" ht="14.5">
      <c r="A1099" t="s">
        <v>8095</v>
      </c>
      <c r="B1099" s="380" t="str">
        <f t="shared" si="17"/>
        <v>227-820</v>
      </c>
      <c r="C1099" s="41" t="s">
        <v>1685</v>
      </c>
    </row>
    <row r="1100" spans="1:3" ht="14.5">
      <c r="A1100" t="s">
        <v>8096</v>
      </c>
      <c r="B1100" s="380" t="str">
        <f t="shared" si="17"/>
        <v>227-821</v>
      </c>
      <c r="C1100" s="41" t="s">
        <v>1685</v>
      </c>
    </row>
    <row r="1101" spans="1:3" ht="14.5">
      <c r="A1101" t="s">
        <v>8097</v>
      </c>
      <c r="B1101" s="380" t="str">
        <f t="shared" si="17"/>
        <v>227-824</v>
      </c>
      <c r="C1101" s="41" t="s">
        <v>1685</v>
      </c>
    </row>
    <row r="1102" spans="1:3" ht="14.5">
      <c r="A1102" t="s">
        <v>8098</v>
      </c>
      <c r="B1102" s="380" t="str">
        <f t="shared" si="17"/>
        <v>227-825</v>
      </c>
      <c r="C1102" s="41" t="s">
        <v>1685</v>
      </c>
    </row>
    <row r="1103" spans="1:3" ht="14.5">
      <c r="A1103" t="s">
        <v>8099</v>
      </c>
      <c r="B1103" s="380" t="str">
        <f t="shared" si="17"/>
        <v>227-826</v>
      </c>
      <c r="C1103" s="41" t="s">
        <v>1685</v>
      </c>
    </row>
    <row r="1104" spans="1:3" ht="14.5">
      <c r="A1104" t="s">
        <v>8100</v>
      </c>
      <c r="B1104" s="380" t="str">
        <f t="shared" si="17"/>
        <v>227-827</v>
      </c>
      <c r="C1104" s="41" t="s">
        <v>1685</v>
      </c>
    </row>
    <row r="1105" spans="1:3" ht="14.5">
      <c r="A1105" t="s">
        <v>8102</v>
      </c>
      <c r="B1105" s="380" t="str">
        <f t="shared" si="17"/>
        <v>227-829</v>
      </c>
      <c r="C1105" s="41" t="s">
        <v>1685</v>
      </c>
    </row>
    <row r="1106" spans="1:3" ht="14.5">
      <c r="A1106" t="s">
        <v>5279</v>
      </c>
      <c r="B1106" s="380" t="str">
        <f t="shared" si="17"/>
        <v>227-901</v>
      </c>
      <c r="C1106" s="41" t="s">
        <v>1685</v>
      </c>
    </row>
    <row r="1107" spans="1:3" ht="14.5">
      <c r="A1107" t="s">
        <v>3225</v>
      </c>
      <c r="B1107" s="380" t="str">
        <f t="shared" si="17"/>
        <v>227-904</v>
      </c>
      <c r="C1107" s="41" t="s">
        <v>1685</v>
      </c>
    </row>
    <row r="1108" spans="1:3" ht="14.5">
      <c r="A1108" t="s">
        <v>8103</v>
      </c>
      <c r="B1108" s="380" t="str">
        <f t="shared" si="17"/>
        <v>227-905</v>
      </c>
      <c r="C1108" s="41" t="s">
        <v>1685</v>
      </c>
    </row>
    <row r="1109" spans="1:3" ht="14.5">
      <c r="A1109" t="s">
        <v>8105</v>
      </c>
      <c r="B1109" s="380" t="str">
        <f t="shared" si="17"/>
        <v>227-906</v>
      </c>
      <c r="C1109" s="41" t="s">
        <v>1685</v>
      </c>
    </row>
    <row r="1110" spans="1:3" ht="14.5">
      <c r="A1110" t="s">
        <v>5280</v>
      </c>
      <c r="B1110" s="380" t="str">
        <f t="shared" si="17"/>
        <v>227-907</v>
      </c>
      <c r="C1110" s="41" t="s">
        <v>1685</v>
      </c>
    </row>
    <row r="1111" spans="1:3" ht="14.5">
      <c r="A1111" t="s">
        <v>5281</v>
      </c>
      <c r="B1111" s="380" t="str">
        <f t="shared" si="17"/>
        <v>227-909</v>
      </c>
      <c r="C1111" s="41" t="s">
        <v>1685</v>
      </c>
    </row>
    <row r="1112" spans="1:3" ht="14.5">
      <c r="A1112" t="s">
        <v>3226</v>
      </c>
      <c r="B1112" s="380" t="str">
        <f t="shared" si="17"/>
        <v>227-910</v>
      </c>
      <c r="C1112" s="41" t="s">
        <v>1685</v>
      </c>
    </row>
    <row r="1113" spans="1:3" ht="14.5">
      <c r="A1113" t="s">
        <v>5282</v>
      </c>
      <c r="B1113" s="380" t="str">
        <f t="shared" si="17"/>
        <v>227-912</v>
      </c>
      <c r="C1113" s="41" t="s">
        <v>1685</v>
      </c>
    </row>
    <row r="1114" spans="1:3" ht="14.5">
      <c r="A1114" t="s">
        <v>5283</v>
      </c>
      <c r="B1114" s="380" t="str">
        <f t="shared" si="17"/>
        <v>227-913</v>
      </c>
      <c r="C1114" s="41" t="s">
        <v>1685</v>
      </c>
    </row>
    <row r="1115" spans="1:3" ht="14.5">
      <c r="A1115" t="s">
        <v>8520</v>
      </c>
      <c r="B1115" s="380" t="str">
        <f t="shared" si="17"/>
        <v>227-950</v>
      </c>
      <c r="C1115" s="41" t="s">
        <v>1685</v>
      </c>
    </row>
    <row r="1116" spans="1:3" ht="14.5">
      <c r="A1116" t="s">
        <v>5888</v>
      </c>
      <c r="B1116" s="380" t="str">
        <f t="shared" si="17"/>
        <v>228-901</v>
      </c>
      <c r="C1116" s="41" t="s">
        <v>1685</v>
      </c>
    </row>
    <row r="1117" spans="1:3" ht="14.5">
      <c r="A1117" t="s">
        <v>5284</v>
      </c>
      <c r="B1117" s="380" t="str">
        <f t="shared" si="17"/>
        <v>228-903</v>
      </c>
      <c r="C1117" s="41" t="s">
        <v>1685</v>
      </c>
    </row>
    <row r="1118" spans="1:3" ht="14.5">
      <c r="A1118" t="s">
        <v>5889</v>
      </c>
      <c r="B1118" s="380" t="str">
        <f t="shared" si="17"/>
        <v>228-904</v>
      </c>
      <c r="C1118" s="41" t="s">
        <v>1685</v>
      </c>
    </row>
    <row r="1119" spans="1:3" ht="14.5">
      <c r="A1119" t="s">
        <v>5890</v>
      </c>
      <c r="B1119" s="380" t="str">
        <f t="shared" si="17"/>
        <v>228-905</v>
      </c>
      <c r="C1119" s="41" t="s">
        <v>1685</v>
      </c>
    </row>
    <row r="1120" spans="1:3" ht="14.5">
      <c r="A1120" t="s">
        <v>4736</v>
      </c>
      <c r="B1120" s="380" t="str">
        <f t="shared" si="17"/>
        <v>229-901</v>
      </c>
      <c r="C1120" s="41" t="s">
        <v>1685</v>
      </c>
    </row>
    <row r="1121" spans="1:3" ht="14.5">
      <c r="A1121" t="s">
        <v>5285</v>
      </c>
      <c r="B1121" s="380" t="str">
        <f t="shared" si="17"/>
        <v>229-903</v>
      </c>
      <c r="C1121" s="41" t="s">
        <v>1685</v>
      </c>
    </row>
    <row r="1122" spans="1:3" ht="14.5">
      <c r="A1122" t="s">
        <v>3227</v>
      </c>
      <c r="B1122" s="380" t="str">
        <f t="shared" si="17"/>
        <v>229-904</v>
      </c>
      <c r="C1122" s="41" t="s">
        <v>1685</v>
      </c>
    </row>
    <row r="1123" spans="1:3" ht="14.5">
      <c r="A1123" t="s">
        <v>3228</v>
      </c>
      <c r="B1123" s="380" t="str">
        <f t="shared" si="17"/>
        <v>229-905</v>
      </c>
      <c r="C1123" s="41" t="s">
        <v>1685</v>
      </c>
    </row>
    <row r="1124" spans="1:3" ht="14.5">
      <c r="A1124" t="s">
        <v>3229</v>
      </c>
      <c r="B1124" s="380" t="str">
        <f t="shared" si="17"/>
        <v>229-906</v>
      </c>
      <c r="C1124" s="41" t="s">
        <v>1685</v>
      </c>
    </row>
    <row r="1125" spans="1:3" ht="14.5">
      <c r="A1125" t="s">
        <v>5286</v>
      </c>
      <c r="B1125" s="380" t="str">
        <f t="shared" si="17"/>
        <v>230-901</v>
      </c>
      <c r="C1125" s="41" t="s">
        <v>1685</v>
      </c>
    </row>
    <row r="1126" spans="1:3" ht="14.5">
      <c r="A1126" t="s">
        <v>5287</v>
      </c>
      <c r="B1126" s="380" t="str">
        <f t="shared" si="17"/>
        <v>230-902</v>
      </c>
      <c r="C1126" s="41" t="s">
        <v>1685</v>
      </c>
    </row>
    <row r="1127" spans="1:3" ht="14.5">
      <c r="A1127" t="s">
        <v>3230</v>
      </c>
      <c r="B1127" s="380" t="str">
        <f t="shared" si="17"/>
        <v>230-903</v>
      </c>
      <c r="C1127" s="41" t="s">
        <v>1685</v>
      </c>
    </row>
    <row r="1128" spans="1:3" ht="14.5">
      <c r="A1128" t="s">
        <v>5891</v>
      </c>
      <c r="B1128" s="380" t="str">
        <f t="shared" si="17"/>
        <v>230-904</v>
      </c>
      <c r="C1128" s="41" t="s">
        <v>1685</v>
      </c>
    </row>
    <row r="1129" spans="1:3" ht="14.5">
      <c r="A1129" t="s">
        <v>3231</v>
      </c>
      <c r="B1129" s="380" t="str">
        <f t="shared" si="17"/>
        <v>230-905</v>
      </c>
      <c r="C1129" s="41" t="s">
        <v>1685</v>
      </c>
    </row>
    <row r="1130" spans="1:3" ht="14.5">
      <c r="A1130" t="s">
        <v>3232</v>
      </c>
      <c r="B1130" s="380" t="str">
        <f t="shared" si="17"/>
        <v>230-906</v>
      </c>
      <c r="C1130" s="41" t="s">
        <v>1685</v>
      </c>
    </row>
    <row r="1131" spans="1:3" ht="14.5">
      <c r="A1131" t="s">
        <v>5288</v>
      </c>
      <c r="B1131" s="380" t="str">
        <f t="shared" si="17"/>
        <v>230-908</v>
      </c>
      <c r="C1131" s="41" t="s">
        <v>1685</v>
      </c>
    </row>
    <row r="1132" spans="1:3" ht="14.5">
      <c r="A1132" t="s">
        <v>5892</v>
      </c>
      <c r="B1132" s="380" t="str">
        <f t="shared" si="17"/>
        <v>231-901</v>
      </c>
      <c r="C1132" s="41" t="s">
        <v>1685</v>
      </c>
    </row>
    <row r="1133" spans="1:3" ht="14.5">
      <c r="A1133" t="s">
        <v>5289</v>
      </c>
      <c r="B1133" s="380" t="str">
        <f t="shared" si="17"/>
        <v>231-902</v>
      </c>
      <c r="C1133" s="41" t="s">
        <v>1685</v>
      </c>
    </row>
    <row r="1134" spans="1:3" ht="14.5">
      <c r="A1134" t="s">
        <v>3233</v>
      </c>
      <c r="B1134" s="380" t="str">
        <f t="shared" si="17"/>
        <v>232-901</v>
      </c>
      <c r="C1134" s="41" t="s">
        <v>1685</v>
      </c>
    </row>
    <row r="1135" spans="1:3" ht="14.5">
      <c r="A1135" t="s">
        <v>3234</v>
      </c>
      <c r="B1135" s="380" t="str">
        <f t="shared" si="17"/>
        <v>232-902</v>
      </c>
      <c r="C1135" s="41" t="s">
        <v>1685</v>
      </c>
    </row>
    <row r="1136" spans="1:3" ht="14.5">
      <c r="A1136" t="s">
        <v>3235</v>
      </c>
      <c r="B1136" s="380" t="str">
        <f t="shared" si="17"/>
        <v>232-903</v>
      </c>
      <c r="C1136" s="41" t="s">
        <v>1685</v>
      </c>
    </row>
    <row r="1137" spans="1:3" ht="14.5">
      <c r="A1137" t="s">
        <v>5893</v>
      </c>
      <c r="B1137" s="380" t="str">
        <f t="shared" si="17"/>
        <v>232-904</v>
      </c>
      <c r="C1137" s="41" t="s">
        <v>1685</v>
      </c>
    </row>
    <row r="1138" spans="1:3" ht="14.5">
      <c r="A1138" t="s">
        <v>3236</v>
      </c>
      <c r="B1138" s="380" t="str">
        <f t="shared" si="17"/>
        <v>233-901</v>
      </c>
      <c r="C1138" s="41" t="s">
        <v>1685</v>
      </c>
    </row>
    <row r="1139" spans="1:3" ht="14.5">
      <c r="A1139" t="s">
        <v>5290</v>
      </c>
      <c r="B1139" s="380" t="str">
        <f t="shared" si="17"/>
        <v>233-903</v>
      </c>
      <c r="C1139" s="41" t="s">
        <v>1685</v>
      </c>
    </row>
    <row r="1140" spans="1:3" ht="14.5">
      <c r="A1140" t="s">
        <v>8107</v>
      </c>
      <c r="B1140" s="380" t="str">
        <f t="shared" si="17"/>
        <v>234-801</v>
      </c>
      <c r="C1140" s="41" t="s">
        <v>1685</v>
      </c>
    </row>
    <row r="1141" spans="1:3" ht="14.5">
      <c r="A1141" t="s">
        <v>3237</v>
      </c>
      <c r="B1141" s="380" t="str">
        <f t="shared" si="17"/>
        <v>234-902</v>
      </c>
      <c r="C1141" s="41" t="s">
        <v>1685</v>
      </c>
    </row>
    <row r="1142" spans="1:3" ht="14.5">
      <c r="A1142" t="s">
        <v>5291</v>
      </c>
      <c r="B1142" s="380" t="str">
        <f t="shared" si="17"/>
        <v>234-903</v>
      </c>
      <c r="C1142" s="41" t="s">
        <v>1685</v>
      </c>
    </row>
    <row r="1143" spans="1:3" ht="14.5">
      <c r="A1143" t="s">
        <v>3238</v>
      </c>
      <c r="B1143" s="380" t="str">
        <f t="shared" si="17"/>
        <v>234-904</v>
      </c>
      <c r="C1143" s="41" t="s">
        <v>1685</v>
      </c>
    </row>
    <row r="1144" spans="1:3" ht="14.5">
      <c r="A1144" t="s">
        <v>3239</v>
      </c>
      <c r="B1144" s="380" t="str">
        <f t="shared" si="17"/>
        <v>234-905</v>
      </c>
      <c r="C1144" s="41" t="s">
        <v>1685</v>
      </c>
    </row>
    <row r="1145" spans="1:3" ht="14.5">
      <c r="A1145" t="s">
        <v>3240</v>
      </c>
      <c r="B1145" s="380" t="str">
        <f t="shared" si="17"/>
        <v>234-906</v>
      </c>
      <c r="C1145" s="41" t="s">
        <v>1685</v>
      </c>
    </row>
    <row r="1146" spans="1:3" ht="14.5">
      <c r="A1146" t="s">
        <v>5292</v>
      </c>
      <c r="B1146" s="380" t="str">
        <f t="shared" si="17"/>
        <v>234-907</v>
      </c>
      <c r="C1146" s="41" t="s">
        <v>1685</v>
      </c>
    </row>
    <row r="1147" spans="1:3" ht="14.5">
      <c r="A1147" t="s">
        <v>3241</v>
      </c>
      <c r="B1147" s="380" t="str">
        <f t="shared" si="17"/>
        <v>234-909</v>
      </c>
      <c r="C1147" s="41" t="s">
        <v>1685</v>
      </c>
    </row>
    <row r="1148" spans="1:3" ht="14.5">
      <c r="A1148" t="s">
        <v>3242</v>
      </c>
      <c r="B1148" s="380" t="str">
        <f t="shared" si="17"/>
        <v>235-901</v>
      </c>
      <c r="C1148" s="41" t="s">
        <v>1685</v>
      </c>
    </row>
    <row r="1149" spans="1:3" ht="14.5">
      <c r="A1149" t="s">
        <v>3243</v>
      </c>
      <c r="B1149" s="380" t="str">
        <f t="shared" si="17"/>
        <v>235-902</v>
      </c>
      <c r="C1149" s="41" t="s">
        <v>1685</v>
      </c>
    </row>
    <row r="1150" spans="1:3" ht="14.5">
      <c r="A1150" t="s">
        <v>5293</v>
      </c>
      <c r="B1150" s="380" t="str">
        <f t="shared" si="17"/>
        <v>235-904</v>
      </c>
      <c r="C1150" s="41" t="s">
        <v>1685</v>
      </c>
    </row>
    <row r="1151" spans="1:3" ht="14.5">
      <c r="A1151" t="s">
        <v>8521</v>
      </c>
      <c r="B1151" s="380" t="str">
        <f t="shared" si="17"/>
        <v>235-950</v>
      </c>
      <c r="C1151" s="41" t="s">
        <v>1685</v>
      </c>
    </row>
    <row r="1152" spans="1:3" ht="14.5">
      <c r="A1152" t="s">
        <v>8108</v>
      </c>
      <c r="B1152" s="380" t="str">
        <f t="shared" si="17"/>
        <v>236-801</v>
      </c>
      <c r="C1152" s="41" t="s">
        <v>1685</v>
      </c>
    </row>
    <row r="1153" spans="1:3" ht="14.5">
      <c r="A1153" t="s">
        <v>8109</v>
      </c>
      <c r="B1153" s="380" t="str">
        <f t="shared" si="17"/>
        <v>236-802</v>
      </c>
      <c r="C1153" s="41" t="s">
        <v>1685</v>
      </c>
    </row>
    <row r="1154" spans="1:3" ht="14.5">
      <c r="A1154" t="s">
        <v>3244</v>
      </c>
      <c r="B1154" s="380" t="str">
        <f t="shared" ref="B1154:B1217" si="18">CONCATENATE(LEFT(RIGHT(CONCATENATE("000",A1154),6),3),"-",(RIGHT(RIGHT(CONCATENATE("000",A1154),6),3)))</f>
        <v>236-901</v>
      </c>
      <c r="C1154" s="41" t="s">
        <v>1685</v>
      </c>
    </row>
    <row r="1155" spans="1:3" ht="14.5">
      <c r="A1155" t="s">
        <v>3245</v>
      </c>
      <c r="B1155" s="380" t="str">
        <f t="shared" si="18"/>
        <v>236-902</v>
      </c>
      <c r="C1155" s="41" t="s">
        <v>1685</v>
      </c>
    </row>
    <row r="1156" spans="1:3" ht="14.5">
      <c r="A1156" t="s">
        <v>8110</v>
      </c>
      <c r="B1156" s="380" t="str">
        <f t="shared" si="18"/>
        <v>236-903</v>
      </c>
      <c r="C1156" s="41" t="s">
        <v>1685</v>
      </c>
    </row>
    <row r="1157" spans="1:3" ht="14.5">
      <c r="A1157" t="s">
        <v>8522</v>
      </c>
      <c r="B1157" s="380" t="str">
        <f t="shared" si="18"/>
        <v>236-950</v>
      </c>
      <c r="C1157" s="41" t="s">
        <v>1685</v>
      </c>
    </row>
    <row r="1158" spans="1:3" ht="14.5">
      <c r="A1158" t="s">
        <v>3246</v>
      </c>
      <c r="B1158" s="380" t="str">
        <f t="shared" si="18"/>
        <v>237-902</v>
      </c>
      <c r="C1158" s="41" t="s">
        <v>1685</v>
      </c>
    </row>
    <row r="1159" spans="1:3" ht="14.5">
      <c r="A1159" t="s">
        <v>3247</v>
      </c>
      <c r="B1159" s="380" t="str">
        <f t="shared" si="18"/>
        <v>237-904</v>
      </c>
      <c r="C1159" s="41" t="s">
        <v>1685</v>
      </c>
    </row>
    <row r="1160" spans="1:3" ht="14.5">
      <c r="A1160" t="s">
        <v>3248</v>
      </c>
      <c r="B1160" s="380" t="str">
        <f t="shared" si="18"/>
        <v>237-905</v>
      </c>
      <c r="C1160" s="41" t="s">
        <v>1685</v>
      </c>
    </row>
    <row r="1161" spans="1:3" ht="14.5">
      <c r="A1161" t="s">
        <v>5294</v>
      </c>
      <c r="B1161" s="380" t="str">
        <f t="shared" si="18"/>
        <v>238-902</v>
      </c>
      <c r="C1161" s="41" t="s">
        <v>1685</v>
      </c>
    </row>
    <row r="1162" spans="1:3" ht="14.5">
      <c r="A1162" t="s">
        <v>5894</v>
      </c>
      <c r="B1162" s="380" t="str">
        <f t="shared" si="18"/>
        <v>238-904</v>
      </c>
      <c r="C1162" s="41" t="s">
        <v>1685</v>
      </c>
    </row>
    <row r="1163" spans="1:3" ht="14.5">
      <c r="A1163" t="s">
        <v>5295</v>
      </c>
      <c r="B1163" s="380" t="str">
        <f t="shared" si="18"/>
        <v>239-901</v>
      </c>
      <c r="C1163" s="41" t="s">
        <v>1685</v>
      </c>
    </row>
    <row r="1164" spans="1:3" ht="14.5">
      <c r="A1164" t="s">
        <v>5296</v>
      </c>
      <c r="B1164" s="380" t="str">
        <f t="shared" si="18"/>
        <v>239-903</v>
      </c>
      <c r="C1164" s="41" t="s">
        <v>1685</v>
      </c>
    </row>
    <row r="1165" spans="1:3" ht="14.5">
      <c r="A1165" t="s">
        <v>8112</v>
      </c>
      <c r="B1165" s="380" t="str">
        <f t="shared" si="18"/>
        <v>240-503</v>
      </c>
      <c r="C1165" s="41" t="s">
        <v>1685</v>
      </c>
    </row>
    <row r="1166" spans="1:3" ht="14.5">
      <c r="A1166" t="s">
        <v>8114</v>
      </c>
      <c r="B1166" s="380" t="str">
        <f t="shared" si="18"/>
        <v>240-801</v>
      </c>
      <c r="C1166" s="41" t="s">
        <v>1685</v>
      </c>
    </row>
    <row r="1167" spans="1:3" ht="14.5">
      <c r="A1167" t="s">
        <v>3249</v>
      </c>
      <c r="B1167" s="380" t="str">
        <f t="shared" si="18"/>
        <v>240-901</v>
      </c>
      <c r="C1167" s="41" t="s">
        <v>1685</v>
      </c>
    </row>
    <row r="1168" spans="1:3" ht="14.5">
      <c r="A1168" t="s">
        <v>3250</v>
      </c>
      <c r="B1168" s="380" t="str">
        <f t="shared" si="18"/>
        <v>240-903</v>
      </c>
      <c r="C1168" s="41" t="s">
        <v>1685</v>
      </c>
    </row>
    <row r="1169" spans="1:3" ht="14.5">
      <c r="A1169" t="s">
        <v>5297</v>
      </c>
      <c r="B1169" s="380" t="str">
        <f t="shared" si="18"/>
        <v>240-904</v>
      </c>
      <c r="C1169" s="41" t="s">
        <v>1685</v>
      </c>
    </row>
    <row r="1170" spans="1:3" ht="14.5">
      <c r="A1170" t="s">
        <v>5895</v>
      </c>
      <c r="B1170" s="380" t="str">
        <f t="shared" si="18"/>
        <v>241-901</v>
      </c>
      <c r="C1170" s="41" t="s">
        <v>1685</v>
      </c>
    </row>
    <row r="1171" spans="1:3" ht="14.5">
      <c r="A1171" t="s">
        <v>5298</v>
      </c>
      <c r="B1171" s="380" t="str">
        <f t="shared" si="18"/>
        <v>241-902</v>
      </c>
      <c r="C1171" s="41" t="s">
        <v>1685</v>
      </c>
    </row>
    <row r="1172" spans="1:3" ht="14.5">
      <c r="A1172" t="s">
        <v>5299</v>
      </c>
      <c r="B1172" s="380" t="str">
        <f t="shared" si="18"/>
        <v>241-903</v>
      </c>
      <c r="C1172" s="41" t="s">
        <v>1685</v>
      </c>
    </row>
    <row r="1173" spans="1:3" ht="14.5">
      <c r="A1173" t="s">
        <v>5300</v>
      </c>
      <c r="B1173" s="380" t="str">
        <f t="shared" si="18"/>
        <v>241-904</v>
      </c>
      <c r="C1173" s="41" t="s">
        <v>1685</v>
      </c>
    </row>
    <row r="1174" spans="1:3" ht="14.5">
      <c r="A1174" t="s">
        <v>5301</v>
      </c>
      <c r="B1174" s="380" t="str">
        <f t="shared" si="18"/>
        <v>241-906</v>
      </c>
      <c r="C1174" s="41" t="s">
        <v>1685</v>
      </c>
    </row>
    <row r="1175" spans="1:3" ht="14.5">
      <c r="A1175" t="s">
        <v>5896</v>
      </c>
      <c r="B1175" s="380" t="str">
        <f t="shared" si="18"/>
        <v>242-902</v>
      </c>
      <c r="C1175" s="41" t="s">
        <v>1685</v>
      </c>
    </row>
    <row r="1176" spans="1:3" ht="14.5">
      <c r="A1176" t="s">
        <v>5302</v>
      </c>
      <c r="B1176" s="380" t="str">
        <f t="shared" si="18"/>
        <v>242-903</v>
      </c>
      <c r="C1176" s="41" t="s">
        <v>1685</v>
      </c>
    </row>
    <row r="1177" spans="1:3" ht="14.5">
      <c r="A1177" t="s">
        <v>5897</v>
      </c>
      <c r="B1177" s="380" t="str">
        <f t="shared" si="18"/>
        <v>242-905</v>
      </c>
      <c r="C1177" s="41" t="s">
        <v>1685</v>
      </c>
    </row>
    <row r="1178" spans="1:3" ht="14.5">
      <c r="A1178" t="s">
        <v>5303</v>
      </c>
      <c r="B1178" s="380" t="str">
        <f t="shared" si="18"/>
        <v>242-906</v>
      </c>
      <c r="C1178" s="41" t="s">
        <v>1685</v>
      </c>
    </row>
    <row r="1179" spans="1:3" ht="14.5">
      <c r="A1179" t="s">
        <v>3251</v>
      </c>
      <c r="B1179" s="380" t="str">
        <f t="shared" si="18"/>
        <v>243-901</v>
      </c>
      <c r="C1179" s="41" t="s">
        <v>1685</v>
      </c>
    </row>
    <row r="1180" spans="1:3" ht="14.5">
      <c r="A1180" t="s">
        <v>5304</v>
      </c>
      <c r="B1180" s="380" t="str">
        <f t="shared" si="18"/>
        <v>243-902</v>
      </c>
      <c r="C1180" s="41" t="s">
        <v>1685</v>
      </c>
    </row>
    <row r="1181" spans="1:3" ht="14.5">
      <c r="A1181" t="s">
        <v>5305</v>
      </c>
      <c r="B1181" s="380" t="str">
        <f t="shared" si="18"/>
        <v>243-903</v>
      </c>
      <c r="C1181" s="41" t="s">
        <v>1685</v>
      </c>
    </row>
    <row r="1182" spans="1:3" ht="14.5">
      <c r="A1182" t="s">
        <v>3252</v>
      </c>
      <c r="B1182" s="380" t="str">
        <f t="shared" si="18"/>
        <v>243-905</v>
      </c>
      <c r="C1182" s="41" t="s">
        <v>1685</v>
      </c>
    </row>
    <row r="1183" spans="1:3" ht="14.5">
      <c r="A1183" t="s">
        <v>3253</v>
      </c>
      <c r="B1183" s="380" t="str">
        <f t="shared" si="18"/>
        <v>243-906</v>
      </c>
      <c r="C1183" s="41" t="s">
        <v>1685</v>
      </c>
    </row>
    <row r="1184" spans="1:3" ht="14.5">
      <c r="A1184" t="s">
        <v>8523</v>
      </c>
      <c r="B1184" s="380" t="str">
        <f t="shared" si="18"/>
        <v>243-950</v>
      </c>
      <c r="C1184" s="41" t="s">
        <v>1685</v>
      </c>
    </row>
    <row r="1185" spans="1:3" ht="14.5">
      <c r="A1185" t="s">
        <v>5898</v>
      </c>
      <c r="B1185" s="380" t="str">
        <f t="shared" si="18"/>
        <v>244-901</v>
      </c>
      <c r="C1185" s="41" t="s">
        <v>1685</v>
      </c>
    </row>
    <row r="1186" spans="1:3" ht="14.5">
      <c r="A1186" t="s">
        <v>5306</v>
      </c>
      <c r="B1186" s="380" t="str">
        <f t="shared" si="18"/>
        <v>244-903</v>
      </c>
      <c r="C1186" s="41" t="s">
        <v>1685</v>
      </c>
    </row>
    <row r="1187" spans="1:3" ht="14.5">
      <c r="A1187" t="s">
        <v>3254</v>
      </c>
      <c r="B1187" s="380" t="str">
        <f t="shared" si="18"/>
        <v>244-905</v>
      </c>
      <c r="C1187" s="41" t="s">
        <v>1685</v>
      </c>
    </row>
    <row r="1188" spans="1:3" ht="14.5">
      <c r="A1188" t="s">
        <v>3255</v>
      </c>
      <c r="B1188" s="380" t="str">
        <f t="shared" si="18"/>
        <v>245-901</v>
      </c>
      <c r="C1188" s="41" t="s">
        <v>1685</v>
      </c>
    </row>
    <row r="1189" spans="1:3" ht="14.5">
      <c r="A1189" t="s">
        <v>3256</v>
      </c>
      <c r="B1189" s="380" t="str">
        <f t="shared" si="18"/>
        <v>245-902</v>
      </c>
      <c r="C1189" s="41" t="s">
        <v>1685</v>
      </c>
    </row>
    <row r="1190" spans="1:3" ht="14.5">
      <c r="A1190" t="s">
        <v>3257</v>
      </c>
      <c r="B1190" s="380" t="str">
        <f t="shared" si="18"/>
        <v>245-903</v>
      </c>
      <c r="C1190" s="41" t="s">
        <v>1685</v>
      </c>
    </row>
    <row r="1191" spans="1:3" ht="14.5">
      <c r="A1191" t="s">
        <v>3258</v>
      </c>
      <c r="B1191" s="380" t="str">
        <f t="shared" si="18"/>
        <v>245-904</v>
      </c>
      <c r="C1191" s="41" t="s">
        <v>1685</v>
      </c>
    </row>
    <row r="1192" spans="1:3" ht="14.5">
      <c r="A1192" t="s">
        <v>8115</v>
      </c>
      <c r="B1192" s="380" t="str">
        <f t="shared" si="18"/>
        <v>246-801</v>
      </c>
      <c r="C1192" s="41" t="s">
        <v>1685</v>
      </c>
    </row>
    <row r="1193" spans="1:3" ht="14.5">
      <c r="A1193" t="s">
        <v>8116</v>
      </c>
      <c r="B1193" s="380" t="str">
        <f t="shared" si="18"/>
        <v>246-802</v>
      </c>
      <c r="C1193" s="41" t="s">
        <v>1685</v>
      </c>
    </row>
    <row r="1194" spans="1:3" ht="14.5">
      <c r="A1194" t="s">
        <v>3259</v>
      </c>
      <c r="B1194" s="380" t="str">
        <f t="shared" si="18"/>
        <v>246-902</v>
      </c>
      <c r="C1194" s="41" t="s">
        <v>1685</v>
      </c>
    </row>
    <row r="1195" spans="1:3" ht="14.5">
      <c r="A1195" t="s">
        <v>3260</v>
      </c>
      <c r="B1195" s="380" t="str">
        <f t="shared" si="18"/>
        <v>246-904</v>
      </c>
      <c r="C1195" s="41" t="s">
        <v>1685</v>
      </c>
    </row>
    <row r="1196" spans="1:3" ht="14.5">
      <c r="A1196" t="s">
        <v>3261</v>
      </c>
      <c r="B1196" s="380" t="str">
        <f t="shared" si="18"/>
        <v>246-905</v>
      </c>
      <c r="C1196" s="41" t="s">
        <v>1685</v>
      </c>
    </row>
    <row r="1197" spans="1:3" ht="14.5">
      <c r="A1197" t="s">
        <v>3262</v>
      </c>
      <c r="B1197" s="380" t="str">
        <f t="shared" si="18"/>
        <v>246-906</v>
      </c>
      <c r="C1197" s="41" t="s">
        <v>1685</v>
      </c>
    </row>
    <row r="1198" spans="1:3" ht="14.5">
      <c r="A1198" t="s">
        <v>5307</v>
      </c>
      <c r="B1198" s="380" t="str">
        <f t="shared" si="18"/>
        <v>246-907</v>
      </c>
      <c r="C1198" s="41" t="s">
        <v>1685</v>
      </c>
    </row>
    <row r="1199" spans="1:3" ht="14.5">
      <c r="A1199" t="s">
        <v>3263</v>
      </c>
      <c r="B1199" s="380" t="str">
        <f t="shared" si="18"/>
        <v>246-908</v>
      </c>
      <c r="C1199" s="41" t="s">
        <v>1685</v>
      </c>
    </row>
    <row r="1200" spans="1:3" ht="14.5">
      <c r="A1200" t="s">
        <v>4857</v>
      </c>
      <c r="B1200" s="380" t="str">
        <f t="shared" si="18"/>
        <v>246-909</v>
      </c>
      <c r="C1200" s="41" t="s">
        <v>1685</v>
      </c>
    </row>
    <row r="1201" spans="1:3" ht="14.5">
      <c r="A1201" t="s">
        <v>3264</v>
      </c>
      <c r="B1201" s="380" t="str">
        <f t="shared" si="18"/>
        <v>246-911</v>
      </c>
      <c r="C1201" s="41" t="s">
        <v>1685</v>
      </c>
    </row>
    <row r="1202" spans="1:3" ht="14.5">
      <c r="A1202" t="s">
        <v>3265</v>
      </c>
      <c r="B1202" s="380" t="str">
        <f t="shared" si="18"/>
        <v>246-912</v>
      </c>
      <c r="C1202" s="41" t="s">
        <v>1685</v>
      </c>
    </row>
    <row r="1203" spans="1:3" ht="14.5">
      <c r="A1203" t="s">
        <v>3266</v>
      </c>
      <c r="B1203" s="380" t="str">
        <f t="shared" si="18"/>
        <v>246-913</v>
      </c>
      <c r="C1203" s="41" t="s">
        <v>1685</v>
      </c>
    </row>
    <row r="1204" spans="1:3" ht="14.5">
      <c r="A1204" t="s">
        <v>5899</v>
      </c>
      <c r="B1204" s="380" t="str">
        <f t="shared" si="18"/>
        <v>246-914</v>
      </c>
      <c r="C1204" s="41" t="s">
        <v>1685</v>
      </c>
    </row>
    <row r="1205" spans="1:3" ht="14.5">
      <c r="A1205" t="s">
        <v>3267</v>
      </c>
      <c r="B1205" s="380" t="str">
        <f t="shared" si="18"/>
        <v>247-901</v>
      </c>
      <c r="C1205" s="41" t="s">
        <v>1685</v>
      </c>
    </row>
    <row r="1206" spans="1:3" ht="14.5">
      <c r="A1206" t="s">
        <v>3268</v>
      </c>
      <c r="B1206" s="380" t="str">
        <f t="shared" si="18"/>
        <v>247-903</v>
      </c>
      <c r="C1206" s="41" t="s">
        <v>1685</v>
      </c>
    </row>
    <row r="1207" spans="1:3" ht="14.5">
      <c r="A1207" t="s">
        <v>3269</v>
      </c>
      <c r="B1207" s="380" t="str">
        <f t="shared" si="18"/>
        <v>247-904</v>
      </c>
      <c r="C1207" s="41" t="s">
        <v>1685</v>
      </c>
    </row>
    <row r="1208" spans="1:3" ht="14.5">
      <c r="A1208" t="s">
        <v>3270</v>
      </c>
      <c r="B1208" s="380" t="str">
        <f t="shared" si="18"/>
        <v>247-906</v>
      </c>
      <c r="C1208" s="41" t="s">
        <v>1685</v>
      </c>
    </row>
    <row r="1209" spans="1:3" ht="14.5">
      <c r="A1209" t="s">
        <v>5308</v>
      </c>
      <c r="B1209" s="380" t="str">
        <f t="shared" si="18"/>
        <v>248-901</v>
      </c>
      <c r="C1209" s="41" t="s">
        <v>1685</v>
      </c>
    </row>
    <row r="1210" spans="1:3" ht="14.5">
      <c r="A1210" t="s">
        <v>5309</v>
      </c>
      <c r="B1210" s="380" t="str">
        <f t="shared" si="18"/>
        <v>248-902</v>
      </c>
      <c r="C1210" s="41" t="s">
        <v>1685</v>
      </c>
    </row>
    <row r="1211" spans="1:3" ht="14.5">
      <c r="A1211" t="s">
        <v>3271</v>
      </c>
      <c r="B1211" s="380" t="str">
        <f t="shared" si="18"/>
        <v>249-901</v>
      </c>
      <c r="C1211" s="41" t="s">
        <v>1685</v>
      </c>
    </row>
    <row r="1212" spans="1:3" ht="14.5">
      <c r="A1212" t="s">
        <v>5310</v>
      </c>
      <c r="B1212" s="380" t="str">
        <f t="shared" si="18"/>
        <v>249-902</v>
      </c>
      <c r="C1212" s="41" t="s">
        <v>1685</v>
      </c>
    </row>
    <row r="1213" spans="1:3" ht="14.5">
      <c r="A1213" t="s">
        <v>5311</v>
      </c>
      <c r="B1213" s="380" t="str">
        <f t="shared" si="18"/>
        <v>249-903</v>
      </c>
      <c r="C1213" s="41" t="s">
        <v>1685</v>
      </c>
    </row>
    <row r="1214" spans="1:3" ht="14.5">
      <c r="A1214" t="s">
        <v>5312</v>
      </c>
      <c r="B1214" s="380" t="str">
        <f t="shared" si="18"/>
        <v>249-904</v>
      </c>
      <c r="C1214" s="41" t="s">
        <v>1685</v>
      </c>
    </row>
    <row r="1215" spans="1:3" ht="14.5">
      <c r="A1215" t="s">
        <v>5313</v>
      </c>
      <c r="B1215" s="380" t="str">
        <f t="shared" si="18"/>
        <v>249-905</v>
      </c>
      <c r="C1215" s="41" t="s">
        <v>1685</v>
      </c>
    </row>
    <row r="1216" spans="1:3" ht="14.5">
      <c r="A1216" t="s">
        <v>3272</v>
      </c>
      <c r="B1216" s="380" t="str">
        <f t="shared" si="18"/>
        <v>249-906</v>
      </c>
      <c r="C1216" s="41" t="s">
        <v>1685</v>
      </c>
    </row>
    <row r="1217" spans="1:3" ht="14.5">
      <c r="A1217" t="s">
        <v>3273</v>
      </c>
      <c r="B1217" s="380" t="str">
        <f t="shared" si="18"/>
        <v>249-908</v>
      </c>
      <c r="C1217" s="41" t="s">
        <v>1685</v>
      </c>
    </row>
    <row r="1218" spans="1:3" ht="14.5">
      <c r="A1218" t="s">
        <v>5314</v>
      </c>
      <c r="B1218" s="380" t="str">
        <f t="shared" ref="B1218:B1231" si="19">CONCATENATE(LEFT(RIGHT(CONCATENATE("000",A1218),6),3),"-",(RIGHT(RIGHT(CONCATENATE("000",A1218),6),3)))</f>
        <v>250-902</v>
      </c>
      <c r="C1218" s="41" t="s">
        <v>1685</v>
      </c>
    </row>
    <row r="1219" spans="1:3" ht="14.5">
      <c r="A1219" t="s">
        <v>5900</v>
      </c>
      <c r="B1219" s="380" t="str">
        <f t="shared" si="19"/>
        <v>250-903</v>
      </c>
      <c r="C1219" s="41" t="s">
        <v>1685</v>
      </c>
    </row>
    <row r="1220" spans="1:3" ht="14.5">
      <c r="A1220" t="s">
        <v>5315</v>
      </c>
      <c r="B1220" s="380" t="str">
        <f t="shared" si="19"/>
        <v>250-904</v>
      </c>
      <c r="C1220" s="41" t="s">
        <v>1685</v>
      </c>
    </row>
    <row r="1221" spans="1:3" ht="14.5">
      <c r="A1221" t="s">
        <v>5316</v>
      </c>
      <c r="B1221" s="380" t="str">
        <f t="shared" si="19"/>
        <v>250-905</v>
      </c>
      <c r="C1221" s="41" t="s">
        <v>1685</v>
      </c>
    </row>
    <row r="1222" spans="1:3" ht="14.5">
      <c r="A1222" t="s">
        <v>5317</v>
      </c>
      <c r="B1222" s="380" t="str">
        <f t="shared" si="19"/>
        <v>250-906</v>
      </c>
      <c r="C1222" s="41" t="s">
        <v>1685</v>
      </c>
    </row>
    <row r="1223" spans="1:3" ht="14.5">
      <c r="A1223" t="s">
        <v>5901</v>
      </c>
      <c r="B1223" s="380" t="str">
        <f t="shared" si="19"/>
        <v>250-907</v>
      </c>
      <c r="C1223" s="41" t="s">
        <v>1685</v>
      </c>
    </row>
    <row r="1224" spans="1:3" ht="14.5">
      <c r="A1224" t="s">
        <v>5318</v>
      </c>
      <c r="B1224" s="380" t="str">
        <f t="shared" si="19"/>
        <v>251-901</v>
      </c>
      <c r="C1224" s="41" t="s">
        <v>1685</v>
      </c>
    </row>
    <row r="1225" spans="1:3" ht="14.5">
      <c r="A1225" t="s">
        <v>5319</v>
      </c>
      <c r="B1225" s="380" t="str">
        <f t="shared" si="19"/>
        <v>251-902</v>
      </c>
      <c r="C1225" s="41" t="s">
        <v>1685</v>
      </c>
    </row>
    <row r="1226" spans="1:3" ht="14.5">
      <c r="A1226" t="s">
        <v>3274</v>
      </c>
      <c r="B1226" s="380" t="str">
        <f t="shared" si="19"/>
        <v>252-901</v>
      </c>
      <c r="C1226" s="41" t="s">
        <v>1685</v>
      </c>
    </row>
    <row r="1227" spans="1:3" ht="14.5">
      <c r="A1227" t="s">
        <v>5320</v>
      </c>
      <c r="B1227" s="380" t="str">
        <f t="shared" si="19"/>
        <v>252-902</v>
      </c>
      <c r="C1227" s="41" t="s">
        <v>1685</v>
      </c>
    </row>
    <row r="1228" spans="1:3" ht="14.5">
      <c r="A1228" t="s">
        <v>3275</v>
      </c>
      <c r="B1228" s="380" t="str">
        <f t="shared" si="19"/>
        <v>252-903</v>
      </c>
      <c r="C1228" s="41" t="s">
        <v>1685</v>
      </c>
    </row>
    <row r="1229" spans="1:3" ht="14.5">
      <c r="A1229" t="s">
        <v>5902</v>
      </c>
      <c r="B1229" s="380" t="str">
        <f t="shared" si="19"/>
        <v>253-901</v>
      </c>
      <c r="C1229" s="41" t="s">
        <v>659</v>
      </c>
    </row>
    <row r="1230" spans="1:3" ht="14.5">
      <c r="A1230" t="s">
        <v>3276</v>
      </c>
      <c r="B1230" s="380" t="str">
        <f t="shared" si="19"/>
        <v>254-901</v>
      </c>
      <c r="C1230" s="41" t="s">
        <v>1685</v>
      </c>
    </row>
    <row r="1231" spans="1:3" ht="14.5">
      <c r="A1231" t="s">
        <v>3277</v>
      </c>
      <c r="B1231" s="380" t="str">
        <f t="shared" si="19"/>
        <v>254-902</v>
      </c>
      <c r="C1231" s="41" t="s">
        <v>1685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66FF33"/>
    <pageSetUpPr fitToPage="1"/>
  </sheetPr>
  <dimension ref="A1:AS521"/>
  <sheetViews>
    <sheetView showOutlineSymbols="0" zoomScale="79" zoomScaleNormal="79" workbookViewId="0">
      <selection activeCell="C7" sqref="C7"/>
    </sheetView>
  </sheetViews>
  <sheetFormatPr defaultColWidth="10.54296875" defaultRowHeight="13"/>
  <cols>
    <col min="1" max="1" width="23.54296875" customWidth="1"/>
    <col min="2" max="2" width="101.1796875" customWidth="1"/>
    <col min="3" max="3" width="20.54296875" customWidth="1"/>
    <col min="4" max="4" width="2.54296875" style="100" customWidth="1"/>
    <col min="5" max="5" width="20.54296875" customWidth="1"/>
    <col min="6" max="6" width="2.54296875" style="100" customWidth="1"/>
    <col min="7" max="7" width="20.54296875" customWidth="1"/>
    <col min="8" max="8" width="2.54296875" style="100" customWidth="1"/>
    <col min="9" max="9" width="20.54296875" customWidth="1"/>
    <col min="10" max="10" width="2.453125" style="2042" customWidth="1"/>
    <col min="11" max="11" width="20.54296875" style="2042" customWidth="1"/>
    <col min="12" max="12" width="2.453125" style="2042" customWidth="1"/>
    <col min="13" max="13" width="20.54296875" style="2042" customWidth="1"/>
    <col min="14" max="14" width="17.1796875" customWidth="1"/>
    <col min="15" max="15" width="30.54296875" style="170" customWidth="1"/>
    <col min="16" max="16" width="18.54296875" customWidth="1"/>
    <col min="17" max="17" width="19.81640625" customWidth="1"/>
    <col min="18" max="18" width="24.54296875" customWidth="1"/>
    <col min="19" max="19" width="30.54296875" customWidth="1"/>
    <col min="20" max="20" width="22.453125" customWidth="1"/>
    <col min="21" max="21" width="16.54296875" hidden="1" customWidth="1"/>
    <col min="22" max="22" width="18.453125" customWidth="1"/>
    <col min="23" max="25" width="17.54296875" customWidth="1"/>
    <col min="26" max="26" width="16" customWidth="1"/>
    <col min="27" max="27" width="16.453125" customWidth="1"/>
  </cols>
  <sheetData>
    <row r="1" spans="1:17" s="247" customFormat="1" ht="18" customHeight="1">
      <c r="A1" s="20" t="s">
        <v>64</v>
      </c>
      <c r="B1" s="2220" t="str">
        <f>IF(ISNA('DE1'!C1)," ",'DE1'!C1)</f>
        <v xml:space="preserve"> </v>
      </c>
      <c r="D1" s="289"/>
      <c r="F1" s="289"/>
      <c r="G1" s="1933"/>
      <c r="H1" s="289"/>
      <c r="I1" s="2042"/>
      <c r="J1" s="2042"/>
      <c r="K1" s="2040"/>
      <c r="L1" s="2042"/>
      <c r="M1" s="1096" t="s">
        <v>12602</v>
      </c>
      <c r="O1" s="232"/>
    </row>
    <row r="2" spans="1:17" s="247" customFormat="1" ht="18" customHeight="1">
      <c r="A2" s="20" t="s">
        <v>65</v>
      </c>
      <c r="B2" s="323"/>
      <c r="C2" s="3207" t="s">
        <v>271</v>
      </c>
      <c r="D2" s="289"/>
      <c r="F2" s="289"/>
      <c r="G2" s="1933"/>
      <c r="H2" s="289"/>
      <c r="I2" s="2042"/>
      <c r="J2" s="2042"/>
      <c r="K2" s="2040"/>
      <c r="L2" s="2042"/>
      <c r="M2" s="1895">
        <v>44930</v>
      </c>
      <c r="O2" s="232"/>
      <c r="Q2" s="20"/>
    </row>
    <row r="3" spans="1:17" s="247" customFormat="1" ht="18" customHeight="1">
      <c r="A3" s="20" t="s">
        <v>134</v>
      </c>
      <c r="B3" s="316">
        <f ca="1">NOW()</f>
        <v>44931.882496064813</v>
      </c>
      <c r="D3" s="289"/>
      <c r="F3" s="289"/>
      <c r="G3" s="516"/>
      <c r="H3" s="289"/>
      <c r="I3" s="516"/>
      <c r="J3" s="516"/>
      <c r="K3" s="516"/>
      <c r="L3" s="516"/>
      <c r="M3" s="516"/>
      <c r="O3" s="232"/>
      <c r="Q3" s="302"/>
    </row>
    <row r="4" spans="1:17" s="247" customFormat="1" ht="18" customHeight="1">
      <c r="A4" s="20" t="s">
        <v>1754</v>
      </c>
      <c r="B4" s="515"/>
      <c r="D4" s="289"/>
      <c r="F4" s="289"/>
      <c r="H4" s="289"/>
      <c r="J4" s="2040"/>
      <c r="K4" s="2040"/>
      <c r="L4" s="2040"/>
      <c r="M4" s="2040"/>
      <c r="O4" s="295"/>
    </row>
    <row r="5" spans="1:17" ht="18">
      <c r="A5" s="16"/>
      <c r="B5" s="1035"/>
    </row>
    <row r="7" spans="1:17" s="214" customFormat="1" ht="18">
      <c r="A7" s="433" t="s">
        <v>7083</v>
      </c>
      <c r="B7" s="1344"/>
      <c r="D7" s="215"/>
      <c r="F7" s="215"/>
      <c r="H7" s="215"/>
      <c r="O7" s="1086"/>
    </row>
    <row r="8" spans="1:17">
      <c r="A8" s="725" t="s">
        <v>7084</v>
      </c>
    </row>
    <row r="10" spans="1:17" ht="15.5">
      <c r="A10" s="232" t="s">
        <v>9093</v>
      </c>
    </row>
    <row r="11" spans="1:17" ht="12.75" customHeight="1">
      <c r="A11" s="232" t="s">
        <v>9251</v>
      </c>
    </row>
    <row r="12" spans="1:17" ht="12.75" customHeight="1">
      <c r="A12" s="3206" t="s">
        <v>2668</v>
      </c>
    </row>
    <row r="13" spans="1:17" ht="12.75" customHeight="1">
      <c r="A13" s="25"/>
    </row>
    <row r="15" spans="1:17" ht="16.399999999999999" customHeight="1">
      <c r="A15" s="2337" t="s">
        <v>10359</v>
      </c>
      <c r="B15" s="2411"/>
      <c r="C15" s="3190"/>
      <c r="D15" s="3190"/>
      <c r="E15" s="3190"/>
      <c r="F15" s="3190"/>
      <c r="G15" s="2334"/>
      <c r="H15" s="400"/>
      <c r="N15" s="16"/>
      <c r="P15" s="16"/>
    </row>
    <row r="16" spans="1:17" ht="16.399999999999999" customHeight="1">
      <c r="A16" s="2422" t="s">
        <v>10357</v>
      </c>
      <c r="B16" s="2423"/>
      <c r="C16" s="2423"/>
      <c r="D16" s="2423"/>
      <c r="E16" s="2423"/>
      <c r="F16" s="2423"/>
      <c r="G16" s="2424"/>
      <c r="H16" s="400"/>
    </row>
    <row r="17" spans="1:45" s="214" customFormat="1" ht="18">
      <c r="A17" s="2051"/>
      <c r="B17" s="2107" t="s">
        <v>2554</v>
      </c>
      <c r="C17" s="609" t="s">
        <v>5513</v>
      </c>
      <c r="D17" s="609"/>
      <c r="E17" s="609" t="s">
        <v>5951</v>
      </c>
      <c r="F17" s="609"/>
      <c r="G17" s="667" t="s">
        <v>7037</v>
      </c>
      <c r="H17" s="609"/>
      <c r="I17" s="667" t="s">
        <v>8487</v>
      </c>
      <c r="J17" s="2355"/>
      <c r="K17" s="667" t="s">
        <v>9171</v>
      </c>
      <c r="L17" s="2355"/>
      <c r="M17" s="667" t="s">
        <v>11049</v>
      </c>
      <c r="O17" s="1087"/>
    </row>
    <row r="18" spans="1:45" s="214" customFormat="1" ht="20">
      <c r="A18" s="2413" t="s">
        <v>10355</v>
      </c>
      <c r="B18" s="2414"/>
      <c r="C18" s="610" t="s">
        <v>2628</v>
      </c>
      <c r="D18" s="610"/>
      <c r="E18" s="610" t="s">
        <v>2628</v>
      </c>
      <c r="F18" s="610"/>
      <c r="G18" s="610" t="s">
        <v>2628</v>
      </c>
      <c r="H18" s="610"/>
      <c r="I18" s="610" t="s">
        <v>2628</v>
      </c>
      <c r="J18" s="2356"/>
      <c r="K18" s="610" t="s">
        <v>2628</v>
      </c>
      <c r="L18" s="2356"/>
      <c r="M18" s="610" t="s">
        <v>2628</v>
      </c>
      <c r="O18" s="1087"/>
    </row>
    <row r="19" spans="1:45" s="247" customFormat="1" ht="15" customHeight="1">
      <c r="A19" s="2415" t="s">
        <v>12596</v>
      </c>
      <c r="B19" s="2412"/>
      <c r="C19" s="2416">
        <f>IF(ISNA('DE1'!C193),0,'DE1'!C193)</f>
        <v>0</v>
      </c>
      <c r="D19" s="455"/>
      <c r="E19" s="2061">
        <v>0</v>
      </c>
      <c r="F19" s="455"/>
      <c r="G19" s="2364">
        <f>E19</f>
        <v>0</v>
      </c>
      <c r="H19" s="455"/>
      <c r="I19" s="1934">
        <f>G19</f>
        <v>0</v>
      </c>
      <c r="J19" s="2221"/>
      <c r="K19" s="2236">
        <f>I19</f>
        <v>0</v>
      </c>
      <c r="L19" s="2221"/>
      <c r="M19" s="3083">
        <f>K19</f>
        <v>0</v>
      </c>
      <c r="N19" s="2044" t="s">
        <v>10810</v>
      </c>
      <c r="O19" s="1087"/>
      <c r="R19" s="291"/>
      <c r="S19" s="292"/>
      <c r="AS19" s="214"/>
    </row>
    <row r="20" spans="1:45" ht="18" hidden="1">
      <c r="A20" s="2033" t="s">
        <v>10360</v>
      </c>
      <c r="C20" s="612"/>
      <c r="D20" s="612"/>
      <c r="E20" s="612"/>
      <c r="F20" s="612"/>
      <c r="G20" s="668"/>
      <c r="H20" s="612"/>
      <c r="I20" s="668"/>
      <c r="J20" s="2184"/>
      <c r="K20" s="668"/>
      <c r="L20" s="2184"/>
      <c r="M20" s="668"/>
      <c r="N20" s="2044"/>
      <c r="O20" s="1087"/>
    </row>
    <row r="21" spans="1:45" s="247" customFormat="1" ht="15" customHeight="1">
      <c r="A21" s="2337" t="s">
        <v>505</v>
      </c>
      <c r="B21" s="2334"/>
      <c r="C21" s="612"/>
      <c r="D21" s="612"/>
      <c r="E21" s="612"/>
      <c r="F21" s="612"/>
      <c r="G21" s="668"/>
      <c r="H21" s="612"/>
      <c r="I21" s="668"/>
      <c r="J21" s="2184"/>
      <c r="K21" s="668"/>
      <c r="L21" s="2184"/>
      <c r="M21" s="668"/>
      <c r="N21" s="2040"/>
      <c r="O21" s="1087"/>
      <c r="R21" s="293"/>
      <c r="S21" s="294"/>
    </row>
    <row r="22" spans="1:45" s="247" customFormat="1" ht="15" customHeight="1">
      <c r="A22" s="288" t="s">
        <v>8670</v>
      </c>
      <c r="B22" s="274"/>
      <c r="C22" s="2416">
        <f>IF(ISNA('DE1'!C194),0,'DE1'!C194)</f>
        <v>0</v>
      </c>
      <c r="D22" s="455"/>
      <c r="E22" s="2061">
        <v>0</v>
      </c>
      <c r="F22" s="455"/>
      <c r="G22" s="2364">
        <f t="shared" ref="G22:G33" si="0">E22</f>
        <v>0</v>
      </c>
      <c r="H22" s="455"/>
      <c r="I22" s="1934">
        <f t="shared" ref="I22:I33" si="1">G22</f>
        <v>0</v>
      </c>
      <c r="J22" s="2221"/>
      <c r="K22" s="2236">
        <f t="shared" ref="K22:M33" si="2">I22</f>
        <v>0</v>
      </c>
      <c r="L22" s="2221"/>
      <c r="M22" s="3083">
        <f t="shared" si="2"/>
        <v>0</v>
      </c>
      <c r="N22" s="2044" t="s">
        <v>10811</v>
      </c>
      <c r="O22" s="1087"/>
      <c r="R22" s="291"/>
      <c r="S22" s="292"/>
    </row>
    <row r="23" spans="1:45" s="247" customFormat="1" ht="15" customHeight="1">
      <c r="A23" s="298" t="s">
        <v>8671</v>
      </c>
      <c r="B23" s="299"/>
      <c r="C23" s="2416">
        <f>IF(ISNA('DE1'!C195),0,'DE1'!C195)</f>
        <v>0</v>
      </c>
      <c r="D23" s="455"/>
      <c r="E23" s="2061">
        <v>0</v>
      </c>
      <c r="F23" s="455"/>
      <c r="G23" s="2364">
        <f t="shared" si="0"/>
        <v>0</v>
      </c>
      <c r="H23" s="455"/>
      <c r="I23" s="1934">
        <f t="shared" si="1"/>
        <v>0</v>
      </c>
      <c r="J23" s="2221"/>
      <c r="K23" s="2236">
        <f t="shared" si="2"/>
        <v>0</v>
      </c>
      <c r="L23" s="2221"/>
      <c r="M23" s="3083">
        <f t="shared" si="2"/>
        <v>0</v>
      </c>
      <c r="N23" s="2044" t="s">
        <v>10812</v>
      </c>
      <c r="O23" s="1087"/>
      <c r="R23" s="291"/>
      <c r="S23" s="292"/>
    </row>
    <row r="24" spans="1:45" s="247" customFormat="1" ht="15" customHeight="1">
      <c r="A24" s="288" t="s">
        <v>8672</v>
      </c>
      <c r="B24" s="274"/>
      <c r="C24" s="2416">
        <f>IF(ISNA('DE1'!C196),0,'DE1'!C196)</f>
        <v>0</v>
      </c>
      <c r="D24" s="455"/>
      <c r="E24" s="2061">
        <v>0</v>
      </c>
      <c r="F24" s="455"/>
      <c r="G24" s="2364">
        <f t="shared" si="0"/>
        <v>0</v>
      </c>
      <c r="H24" s="455"/>
      <c r="I24" s="1934">
        <f t="shared" si="1"/>
        <v>0</v>
      </c>
      <c r="J24" s="2221"/>
      <c r="K24" s="2236">
        <f t="shared" si="2"/>
        <v>0</v>
      </c>
      <c r="L24" s="2221"/>
      <c r="M24" s="3083">
        <f t="shared" si="2"/>
        <v>0</v>
      </c>
      <c r="N24" s="2044" t="s">
        <v>10813</v>
      </c>
      <c r="O24" s="1087"/>
      <c r="R24" s="291"/>
      <c r="S24" s="292"/>
    </row>
    <row r="25" spans="1:45" s="247" customFormat="1" ht="15" customHeight="1">
      <c r="A25" s="288" t="s">
        <v>8673</v>
      </c>
      <c r="B25" s="274"/>
      <c r="C25" s="2416">
        <f>IF(ISNA('DE1'!C197),0,'DE1'!C197)</f>
        <v>0</v>
      </c>
      <c r="D25" s="455"/>
      <c r="E25" s="2061">
        <v>0</v>
      </c>
      <c r="F25" s="455"/>
      <c r="G25" s="2364">
        <f t="shared" si="0"/>
        <v>0</v>
      </c>
      <c r="H25" s="455"/>
      <c r="I25" s="1934">
        <f t="shared" si="1"/>
        <v>0</v>
      </c>
      <c r="J25" s="2221"/>
      <c r="K25" s="2236">
        <f t="shared" si="2"/>
        <v>0</v>
      </c>
      <c r="L25" s="2221"/>
      <c r="M25" s="3083">
        <f t="shared" si="2"/>
        <v>0</v>
      </c>
      <c r="N25" s="2044" t="s">
        <v>10814</v>
      </c>
      <c r="O25" s="1087"/>
      <c r="R25" s="291"/>
      <c r="S25" s="292"/>
    </row>
    <row r="26" spans="1:45" s="247" customFormat="1" ht="15" customHeight="1">
      <c r="A26" s="288" t="s">
        <v>8674</v>
      </c>
      <c r="B26" s="274"/>
      <c r="C26" s="2416">
        <f>IF(ISNA('DE1'!C198),0,'DE1'!C198)</f>
        <v>0</v>
      </c>
      <c r="D26" s="455"/>
      <c r="E26" s="2061">
        <v>0</v>
      </c>
      <c r="F26" s="455"/>
      <c r="G26" s="2364">
        <f t="shared" si="0"/>
        <v>0</v>
      </c>
      <c r="H26" s="455"/>
      <c r="I26" s="1934">
        <f t="shared" si="1"/>
        <v>0</v>
      </c>
      <c r="J26" s="2221"/>
      <c r="K26" s="2236">
        <f t="shared" si="2"/>
        <v>0</v>
      </c>
      <c r="L26" s="2221"/>
      <c r="M26" s="3083">
        <f t="shared" si="2"/>
        <v>0</v>
      </c>
      <c r="N26" s="2044" t="s">
        <v>10815</v>
      </c>
      <c r="O26" s="1087"/>
      <c r="R26" s="291"/>
      <c r="S26" s="292"/>
    </row>
    <row r="27" spans="1:45" s="247" customFormat="1" ht="15" customHeight="1">
      <c r="A27" s="288" t="s">
        <v>8675</v>
      </c>
      <c r="B27" s="274"/>
      <c r="C27" s="2416">
        <f>IF(ISNA('DE1'!C199),0,'DE1'!C199)</f>
        <v>0</v>
      </c>
      <c r="D27" s="455"/>
      <c r="E27" s="2061">
        <v>0</v>
      </c>
      <c r="F27" s="455"/>
      <c r="G27" s="2364">
        <f t="shared" si="0"/>
        <v>0</v>
      </c>
      <c r="H27" s="455"/>
      <c r="I27" s="1934">
        <f t="shared" si="1"/>
        <v>0</v>
      </c>
      <c r="J27" s="2221"/>
      <c r="K27" s="2236">
        <f t="shared" si="2"/>
        <v>0</v>
      </c>
      <c r="L27" s="2221"/>
      <c r="M27" s="3083">
        <f t="shared" si="2"/>
        <v>0</v>
      </c>
      <c r="N27" s="2044" t="s">
        <v>10816</v>
      </c>
      <c r="O27" s="1087"/>
      <c r="R27" s="291"/>
      <c r="S27" s="292"/>
    </row>
    <row r="28" spans="1:45" s="247" customFormat="1" ht="15" customHeight="1">
      <c r="A28" s="288" t="s">
        <v>8676</v>
      </c>
      <c r="B28" s="274"/>
      <c r="C28" s="2416">
        <f>IF(ISNA('DE1'!C200),0,'DE1'!C200)</f>
        <v>0</v>
      </c>
      <c r="D28" s="455"/>
      <c r="E28" s="2061">
        <v>0</v>
      </c>
      <c r="F28" s="455"/>
      <c r="G28" s="2364">
        <f t="shared" si="0"/>
        <v>0</v>
      </c>
      <c r="H28" s="455"/>
      <c r="I28" s="1934">
        <f t="shared" si="1"/>
        <v>0</v>
      </c>
      <c r="J28" s="2221"/>
      <c r="K28" s="2236">
        <f t="shared" si="2"/>
        <v>0</v>
      </c>
      <c r="L28" s="2221"/>
      <c r="M28" s="3083">
        <f t="shared" si="2"/>
        <v>0</v>
      </c>
      <c r="N28" s="2044" t="s">
        <v>10817</v>
      </c>
      <c r="O28" s="1087"/>
      <c r="R28" s="291"/>
      <c r="S28" s="292"/>
    </row>
    <row r="29" spans="1:45" s="247" customFormat="1" ht="15" customHeight="1">
      <c r="A29" s="288" t="s">
        <v>8677</v>
      </c>
      <c r="B29" s="274"/>
      <c r="C29" s="2416">
        <f>IF(ISNA('DE1'!C201),0,'DE1'!C201)</f>
        <v>0</v>
      </c>
      <c r="D29" s="455"/>
      <c r="E29" s="2061">
        <v>0</v>
      </c>
      <c r="F29" s="455"/>
      <c r="G29" s="2364">
        <f t="shared" si="0"/>
        <v>0</v>
      </c>
      <c r="H29" s="455"/>
      <c r="I29" s="1934">
        <f t="shared" si="1"/>
        <v>0</v>
      </c>
      <c r="J29" s="2221"/>
      <c r="K29" s="2236">
        <f t="shared" si="2"/>
        <v>0</v>
      </c>
      <c r="L29" s="2221"/>
      <c r="M29" s="3083">
        <f t="shared" si="2"/>
        <v>0</v>
      </c>
      <c r="N29" s="2044" t="s">
        <v>10818</v>
      </c>
      <c r="O29" s="1087"/>
      <c r="R29" s="291"/>
      <c r="S29" s="292"/>
    </row>
    <row r="30" spans="1:45" s="247" customFormat="1" ht="15" customHeight="1">
      <c r="A30" s="288" t="s">
        <v>8678</v>
      </c>
      <c r="B30" s="274"/>
      <c r="C30" s="2416">
        <f>IF(ISNA('DE1'!C202),0,'DE1'!C202)</f>
        <v>0</v>
      </c>
      <c r="D30" s="455"/>
      <c r="E30" s="2061">
        <v>0</v>
      </c>
      <c r="F30" s="455"/>
      <c r="G30" s="2364">
        <f t="shared" si="0"/>
        <v>0</v>
      </c>
      <c r="H30" s="455"/>
      <c r="I30" s="1934">
        <f t="shared" si="1"/>
        <v>0</v>
      </c>
      <c r="J30" s="2221"/>
      <c r="K30" s="2236">
        <f t="shared" si="2"/>
        <v>0</v>
      </c>
      <c r="L30" s="2221"/>
      <c r="M30" s="3083">
        <f t="shared" si="2"/>
        <v>0</v>
      </c>
      <c r="N30" s="2044" t="s">
        <v>10819</v>
      </c>
      <c r="O30" s="1087"/>
      <c r="R30" s="291"/>
      <c r="S30" s="292"/>
    </row>
    <row r="31" spans="1:45" s="247" customFormat="1" ht="15" customHeight="1">
      <c r="A31" s="288" t="s">
        <v>8679</v>
      </c>
      <c r="B31" s="274"/>
      <c r="C31" s="2416">
        <f>IF(ISNA('DE1'!C203),0,'DE1'!C203)</f>
        <v>0</v>
      </c>
      <c r="D31" s="455"/>
      <c r="E31" s="2061">
        <v>0</v>
      </c>
      <c r="F31" s="455"/>
      <c r="G31" s="2364">
        <f t="shared" si="0"/>
        <v>0</v>
      </c>
      <c r="H31" s="455"/>
      <c r="I31" s="1934">
        <f t="shared" si="1"/>
        <v>0</v>
      </c>
      <c r="J31" s="2221"/>
      <c r="K31" s="2236">
        <f t="shared" si="2"/>
        <v>0</v>
      </c>
      <c r="L31" s="2221"/>
      <c r="M31" s="3083">
        <f t="shared" si="2"/>
        <v>0</v>
      </c>
      <c r="N31" s="2044" t="s">
        <v>10820</v>
      </c>
      <c r="O31" s="1087"/>
      <c r="R31" s="291"/>
      <c r="S31" s="292"/>
    </row>
    <row r="32" spans="1:45" s="247" customFormat="1" ht="15" customHeight="1">
      <c r="A32" s="288" t="s">
        <v>504</v>
      </c>
      <c r="B32" s="274"/>
      <c r="C32" s="2416">
        <f>IF(ISNA('DE1'!C204),0,'DE1'!C204)</f>
        <v>0</v>
      </c>
      <c r="D32" s="455"/>
      <c r="E32" s="2061">
        <v>0</v>
      </c>
      <c r="F32" s="455"/>
      <c r="G32" s="2364">
        <f t="shared" si="0"/>
        <v>0</v>
      </c>
      <c r="H32" s="455"/>
      <c r="I32" s="1934">
        <f t="shared" si="1"/>
        <v>0</v>
      </c>
      <c r="J32" s="2221"/>
      <c r="K32" s="2236">
        <f t="shared" si="2"/>
        <v>0</v>
      </c>
      <c r="L32" s="2221"/>
      <c r="M32" s="3083">
        <f t="shared" si="2"/>
        <v>0</v>
      </c>
      <c r="N32" s="2044" t="s">
        <v>10821</v>
      </c>
      <c r="O32" s="1087"/>
      <c r="R32" s="291"/>
      <c r="S32" s="292"/>
    </row>
    <row r="33" spans="1:19" s="247" customFormat="1" ht="15" customHeight="1">
      <c r="A33" s="1095" t="s">
        <v>506</v>
      </c>
      <c r="B33" s="1922"/>
      <c r="C33" s="2416">
        <f>IF(ISNA('DE1'!C210),0,'DE1'!C210)</f>
        <v>0</v>
      </c>
      <c r="D33" s="455"/>
      <c r="E33" s="2061">
        <v>0</v>
      </c>
      <c r="F33" s="455"/>
      <c r="G33" s="2364">
        <f t="shared" si="0"/>
        <v>0</v>
      </c>
      <c r="H33" s="455"/>
      <c r="I33" s="1934">
        <f t="shared" si="1"/>
        <v>0</v>
      </c>
      <c r="J33" s="2221"/>
      <c r="K33" s="2236">
        <f t="shared" si="2"/>
        <v>0</v>
      </c>
      <c r="L33" s="2221"/>
      <c r="M33" s="3083">
        <f t="shared" si="2"/>
        <v>0</v>
      </c>
      <c r="N33" s="2044" t="s">
        <v>10822</v>
      </c>
      <c r="O33" s="1087"/>
      <c r="R33" s="291"/>
      <c r="S33" s="292"/>
    </row>
    <row r="34" spans="1:19" s="247" customFormat="1" ht="15" hidden="1" customHeight="1">
      <c r="A34" s="1095" t="s">
        <v>9257</v>
      </c>
      <c r="B34" s="1925"/>
      <c r="C34" s="612"/>
      <c r="D34" s="455"/>
      <c r="E34" s="612"/>
      <c r="F34" s="455"/>
      <c r="G34" s="2365"/>
      <c r="H34" s="612"/>
      <c r="I34" s="612"/>
      <c r="J34" s="2353"/>
      <c r="K34" s="612"/>
      <c r="L34" s="2353"/>
      <c r="M34" s="612"/>
      <c r="N34" s="2044"/>
      <c r="O34" s="1087"/>
      <c r="R34" s="291"/>
      <c r="S34" s="292"/>
    </row>
    <row r="35" spans="1:19" s="247" customFormat="1" ht="15" hidden="1" customHeight="1">
      <c r="A35" s="2108" t="s">
        <v>9258</v>
      </c>
      <c r="B35" s="1926"/>
      <c r="C35" s="612"/>
      <c r="D35" s="455"/>
      <c r="E35" s="612"/>
      <c r="F35" s="455"/>
      <c r="G35" s="2365"/>
      <c r="H35" s="612"/>
      <c r="I35" s="612"/>
      <c r="J35" s="2354"/>
      <c r="K35" s="612"/>
      <c r="L35" s="2354"/>
      <c r="M35" s="612"/>
      <c r="N35" s="2192"/>
      <c r="O35" s="1087"/>
      <c r="R35" s="291"/>
      <c r="S35" s="292"/>
    </row>
    <row r="36" spans="1:19" s="2040" customFormat="1" ht="15" customHeight="1">
      <c r="A36" s="1095" t="s">
        <v>9252</v>
      </c>
      <c r="B36" s="2182"/>
      <c r="C36" s="2416">
        <f>IF(ISNA('DE1'!C205),0,'DE1'!C205)</f>
        <v>0</v>
      </c>
      <c r="D36" s="455"/>
      <c r="E36" s="2061">
        <v>0</v>
      </c>
      <c r="F36" s="455"/>
      <c r="G36" s="2364">
        <f t="shared" ref="G36:G46" si="3">E36</f>
        <v>0</v>
      </c>
      <c r="H36" s="455"/>
      <c r="I36" s="1934">
        <f t="shared" ref="I36:I46" si="4">G36</f>
        <v>0</v>
      </c>
      <c r="J36" s="2222"/>
      <c r="K36" s="2236">
        <f t="shared" ref="K36:M40" si="5">I36</f>
        <v>0</v>
      </c>
      <c r="L36" s="2222"/>
      <c r="M36" s="3083">
        <f t="shared" si="5"/>
        <v>0</v>
      </c>
      <c r="N36" s="2192" t="s">
        <v>10823</v>
      </c>
      <c r="O36" s="1087"/>
      <c r="R36" s="291"/>
      <c r="S36" s="292"/>
    </row>
    <row r="37" spans="1:19" s="247" customFormat="1" ht="15" customHeight="1">
      <c r="A37" s="1095" t="s">
        <v>9253</v>
      </c>
      <c r="B37" s="1922"/>
      <c r="C37" s="2416">
        <f>IF(ISNA('DE1'!C206),0,'DE1'!C206)</f>
        <v>0</v>
      </c>
      <c r="D37" s="455"/>
      <c r="E37" s="2061">
        <v>0</v>
      </c>
      <c r="F37" s="455"/>
      <c r="G37" s="2364">
        <f t="shared" si="3"/>
        <v>0</v>
      </c>
      <c r="H37" s="455"/>
      <c r="I37" s="1934">
        <f t="shared" si="4"/>
        <v>0</v>
      </c>
      <c r="J37" s="2222"/>
      <c r="K37" s="2236">
        <f t="shared" si="5"/>
        <v>0</v>
      </c>
      <c r="L37" s="2222"/>
      <c r="M37" s="3083">
        <f t="shared" si="5"/>
        <v>0</v>
      </c>
      <c r="N37" s="2192" t="s">
        <v>10824</v>
      </c>
      <c r="O37" s="1087"/>
      <c r="R37" s="291"/>
      <c r="S37" s="292"/>
    </row>
    <row r="38" spans="1:19" s="2040" customFormat="1" ht="15" customHeight="1">
      <c r="A38" s="2338" t="s">
        <v>9254</v>
      </c>
      <c r="B38" s="2110"/>
      <c r="C38" s="2416">
        <f>IF(ISNA('DE1'!C207),0,'DE1'!C207)</f>
        <v>0</v>
      </c>
      <c r="D38" s="455"/>
      <c r="E38" s="2061">
        <v>0</v>
      </c>
      <c r="F38" s="455"/>
      <c r="G38" s="2364">
        <f t="shared" si="3"/>
        <v>0</v>
      </c>
      <c r="H38" s="455"/>
      <c r="I38" s="1934">
        <f t="shared" si="4"/>
        <v>0</v>
      </c>
      <c r="J38" s="2222"/>
      <c r="K38" s="2236">
        <f t="shared" si="5"/>
        <v>0</v>
      </c>
      <c r="L38" s="2222"/>
      <c r="M38" s="3083">
        <f t="shared" si="5"/>
        <v>0</v>
      </c>
      <c r="N38" s="2192" t="s">
        <v>10825</v>
      </c>
      <c r="O38" s="1087"/>
      <c r="R38" s="291"/>
      <c r="S38" s="292"/>
    </row>
    <row r="39" spans="1:19" ht="18">
      <c r="A39" s="2181" t="s">
        <v>9255</v>
      </c>
      <c r="B39" s="2335"/>
      <c r="C39" s="2416">
        <f>IF(ISNA('DE1'!C96),0,'DE1'!C96)</f>
        <v>0</v>
      </c>
      <c r="D39" s="455"/>
      <c r="E39" s="2061">
        <v>0</v>
      </c>
      <c r="F39" s="455"/>
      <c r="G39" s="2364">
        <f t="shared" si="3"/>
        <v>0</v>
      </c>
      <c r="H39" s="455"/>
      <c r="I39" s="1934">
        <f t="shared" si="4"/>
        <v>0</v>
      </c>
      <c r="J39" s="2223"/>
      <c r="K39" s="2236">
        <f t="shared" si="5"/>
        <v>0</v>
      </c>
      <c r="L39" s="2223"/>
      <c r="M39" s="3083">
        <f t="shared" si="5"/>
        <v>0</v>
      </c>
      <c r="N39" s="2192" t="s">
        <v>10826</v>
      </c>
      <c r="O39" s="1087"/>
    </row>
    <row r="40" spans="1:19" ht="18">
      <c r="A40" s="2181" t="s">
        <v>9256</v>
      </c>
      <c r="B40" s="2336"/>
      <c r="C40" s="2416">
        <f>IF(ISNA('DE1'!C97),0,'DE1'!C97)</f>
        <v>0</v>
      </c>
      <c r="D40" s="455"/>
      <c r="E40" s="2061">
        <v>0</v>
      </c>
      <c r="F40" s="455"/>
      <c r="G40" s="2364">
        <f t="shared" si="3"/>
        <v>0</v>
      </c>
      <c r="H40" s="455"/>
      <c r="I40" s="1934">
        <f t="shared" si="4"/>
        <v>0</v>
      </c>
      <c r="J40" s="2223"/>
      <c r="K40" s="2236">
        <f t="shared" si="5"/>
        <v>0</v>
      </c>
      <c r="L40" s="2223"/>
      <c r="M40" s="3083">
        <f t="shared" si="5"/>
        <v>0</v>
      </c>
      <c r="N40" s="2192" t="s">
        <v>10827</v>
      </c>
      <c r="O40" s="1087"/>
    </row>
    <row r="41" spans="1:19" s="247" customFormat="1" ht="15" customHeight="1">
      <c r="A41" s="1256" t="s">
        <v>9262</v>
      </c>
      <c r="B41" s="1927"/>
      <c r="C41" s="2416">
        <f>IF(ISNA('DE1'!C211),0,'DE1'!C211)</f>
        <v>0</v>
      </c>
      <c r="D41" s="455"/>
      <c r="E41" s="2061">
        <v>0</v>
      </c>
      <c r="F41" s="455"/>
      <c r="G41" s="2364">
        <f t="shared" si="3"/>
        <v>0</v>
      </c>
      <c r="H41" s="455"/>
      <c r="I41" s="1934">
        <f t="shared" si="4"/>
        <v>0</v>
      </c>
      <c r="J41" s="2222"/>
      <c r="K41" s="2236">
        <f t="shared" ref="K41:M55" si="6">I41</f>
        <v>0</v>
      </c>
      <c r="L41" s="2222"/>
      <c r="M41" s="3083">
        <f t="shared" si="6"/>
        <v>0</v>
      </c>
      <c r="N41" s="2044" t="s">
        <v>10828</v>
      </c>
      <c r="O41" s="1087"/>
      <c r="R41" s="291"/>
      <c r="S41" s="292"/>
    </row>
    <row r="42" spans="1:19" s="247" customFormat="1" ht="15" customHeight="1">
      <c r="A42" s="1330" t="s">
        <v>7448</v>
      </c>
      <c r="B42" s="1329"/>
      <c r="C42" s="2416">
        <f>IF(ISNA('DE1'!C212),0,'DE1'!C212)</f>
        <v>0</v>
      </c>
      <c r="D42" s="455"/>
      <c r="E42" s="2061">
        <v>0</v>
      </c>
      <c r="F42" s="455"/>
      <c r="G42" s="2364">
        <f t="shared" si="3"/>
        <v>0</v>
      </c>
      <c r="H42" s="455"/>
      <c r="I42" s="1934">
        <f t="shared" si="4"/>
        <v>0</v>
      </c>
      <c r="J42" s="2222"/>
      <c r="K42" s="2236">
        <f t="shared" si="6"/>
        <v>0</v>
      </c>
      <c r="L42" s="2222"/>
      <c r="M42" s="3083">
        <f t="shared" si="6"/>
        <v>0</v>
      </c>
      <c r="N42" s="2044" t="s">
        <v>10829</v>
      </c>
      <c r="O42" s="1087"/>
      <c r="R42" s="291"/>
      <c r="S42" s="292"/>
    </row>
    <row r="43" spans="1:19" s="247" customFormat="1" ht="15" customHeight="1">
      <c r="A43" s="1330" t="s">
        <v>7449</v>
      </c>
      <c r="B43" s="1329"/>
      <c r="C43" s="2416">
        <f>IF(ISNA('DE1'!C213),0,'DE1'!C213)</f>
        <v>0</v>
      </c>
      <c r="D43" s="455"/>
      <c r="E43" s="2061">
        <v>0</v>
      </c>
      <c r="F43" s="455"/>
      <c r="G43" s="2364">
        <f t="shared" si="3"/>
        <v>0</v>
      </c>
      <c r="H43" s="455"/>
      <c r="I43" s="1934">
        <f t="shared" si="4"/>
        <v>0</v>
      </c>
      <c r="J43" s="2222"/>
      <c r="K43" s="2236">
        <f t="shared" si="6"/>
        <v>0</v>
      </c>
      <c r="L43" s="2222"/>
      <c r="M43" s="3083">
        <f t="shared" si="6"/>
        <v>0</v>
      </c>
      <c r="N43" s="2044" t="s">
        <v>10830</v>
      </c>
      <c r="O43" s="1087"/>
      <c r="R43" s="291"/>
      <c r="S43" s="292"/>
    </row>
    <row r="44" spans="1:19" s="2040" customFormat="1" ht="15" customHeight="1">
      <c r="A44" s="2108" t="s">
        <v>9259</v>
      </c>
      <c r="B44" s="2160"/>
      <c r="C44" s="2417">
        <f>IF(ISNA('DE1'!C240),0,'DE1'!C240)</f>
        <v>0</v>
      </c>
      <c r="D44" s="455"/>
      <c r="E44" s="1829">
        <v>0</v>
      </c>
      <c r="F44" s="455"/>
      <c r="G44" s="2367">
        <f t="shared" si="3"/>
        <v>0</v>
      </c>
      <c r="H44" s="455"/>
      <c r="I44" s="1939">
        <f t="shared" si="4"/>
        <v>0</v>
      </c>
      <c r="J44" s="2222"/>
      <c r="K44" s="2238">
        <f t="shared" si="6"/>
        <v>0</v>
      </c>
      <c r="L44" s="2222"/>
      <c r="M44" s="3096">
        <f t="shared" si="6"/>
        <v>0</v>
      </c>
      <c r="N44" s="2044" t="s">
        <v>10831</v>
      </c>
      <c r="O44" s="1087"/>
      <c r="R44" s="291"/>
      <c r="S44" s="292"/>
    </row>
    <row r="45" spans="1:19" s="247" customFormat="1" ht="15" customHeight="1">
      <c r="A45" s="1330" t="s">
        <v>7629</v>
      </c>
      <c r="B45" s="1329"/>
      <c r="C45" s="2416">
        <f>IF(ISNA('DE1'!C214),0,'DE1'!C214)</f>
        <v>0</v>
      </c>
      <c r="D45" s="455"/>
      <c r="E45" s="2061">
        <v>0</v>
      </c>
      <c r="F45" s="455"/>
      <c r="G45" s="2364">
        <f t="shared" si="3"/>
        <v>0</v>
      </c>
      <c r="H45" s="455"/>
      <c r="I45" s="1934">
        <f t="shared" si="4"/>
        <v>0</v>
      </c>
      <c r="J45" s="2221"/>
      <c r="K45" s="2236">
        <f t="shared" si="6"/>
        <v>0</v>
      </c>
      <c r="L45" s="2221"/>
      <c r="M45" s="3083">
        <f t="shared" si="6"/>
        <v>0</v>
      </c>
      <c r="N45" s="2044" t="s">
        <v>10839</v>
      </c>
      <c r="O45" s="1087"/>
      <c r="R45" s="291"/>
      <c r="S45" s="292"/>
    </row>
    <row r="46" spans="1:19" s="247" customFormat="1" ht="15" customHeight="1">
      <c r="A46" s="298" t="s">
        <v>9261</v>
      </c>
      <c r="B46" s="299"/>
      <c r="C46" s="2416">
        <f>IF(ISNA('DE1'!C215),0,'DE1'!C215)</f>
        <v>0</v>
      </c>
      <c r="D46" s="455"/>
      <c r="E46" s="2061">
        <v>0</v>
      </c>
      <c r="F46" s="455"/>
      <c r="G46" s="2364">
        <f t="shared" si="3"/>
        <v>0</v>
      </c>
      <c r="H46" s="455"/>
      <c r="I46" s="1934">
        <f t="shared" si="4"/>
        <v>0</v>
      </c>
      <c r="J46" s="2221"/>
      <c r="K46" s="2236">
        <f t="shared" si="6"/>
        <v>0</v>
      </c>
      <c r="L46" s="2221"/>
      <c r="M46" s="3083">
        <f t="shared" si="6"/>
        <v>0</v>
      </c>
      <c r="N46" s="2044" t="s">
        <v>10840</v>
      </c>
      <c r="O46" s="1087"/>
      <c r="R46" s="291"/>
      <c r="S46" s="292"/>
    </row>
    <row r="47" spans="1:19" s="247" customFormat="1" ht="15" customHeight="1">
      <c r="A47" s="251" t="s">
        <v>3290</v>
      </c>
      <c r="B47" s="511"/>
      <c r="C47" s="2416">
        <f>IF(ISNA('DE1'!C244),0,'DE1'!C244)</f>
        <v>0</v>
      </c>
      <c r="D47" s="455"/>
      <c r="E47" s="2061">
        <v>0</v>
      </c>
      <c r="F47" s="455"/>
      <c r="G47" s="2765">
        <v>0</v>
      </c>
      <c r="H47" s="455"/>
      <c r="I47" s="2766">
        <v>0</v>
      </c>
      <c r="J47" s="2222"/>
      <c r="K47" s="2767">
        <v>0</v>
      </c>
      <c r="L47" s="2222"/>
      <c r="M47" s="3084">
        <v>0</v>
      </c>
      <c r="N47" s="2044" t="s">
        <v>10841</v>
      </c>
      <c r="O47" s="1087"/>
      <c r="R47" s="291"/>
      <c r="S47" s="292"/>
    </row>
    <row r="48" spans="1:19" s="247" customFormat="1" ht="15" customHeight="1">
      <c r="A48" s="1331" t="s">
        <v>9260</v>
      </c>
      <c r="B48" s="1332"/>
      <c r="C48" s="2416">
        <f>IF(ISNA('DE1'!C234),0,'DE1'!C234)+IF(ISNA('DE1'!C235),0,'DE1'!C235)</f>
        <v>0</v>
      </c>
      <c r="D48" s="455"/>
      <c r="E48" s="2061">
        <v>0</v>
      </c>
      <c r="F48" s="455"/>
      <c r="G48" s="2364">
        <f t="shared" ref="G48:G60" si="7">E48</f>
        <v>0</v>
      </c>
      <c r="H48" s="455"/>
      <c r="I48" s="1934">
        <f t="shared" ref="I48:I60" si="8">G48</f>
        <v>0</v>
      </c>
      <c r="J48" s="2221"/>
      <c r="K48" s="2236">
        <f t="shared" si="6"/>
        <v>0</v>
      </c>
      <c r="L48" s="2221"/>
      <c r="M48" s="3083">
        <f t="shared" si="6"/>
        <v>0</v>
      </c>
      <c r="N48" s="2044" t="s">
        <v>10832</v>
      </c>
      <c r="O48" s="1087"/>
      <c r="R48" s="291"/>
      <c r="S48" s="292"/>
    </row>
    <row r="49" spans="1:19" s="247" customFormat="1" ht="15" customHeight="1">
      <c r="A49" s="1256" t="s">
        <v>11154</v>
      </c>
      <c r="B49" s="1329"/>
      <c r="C49" s="2416">
        <f>IF(ISNA('DE1'!C217),0,'DE1'!C217)</f>
        <v>0</v>
      </c>
      <c r="D49" s="455"/>
      <c r="E49" s="2061">
        <v>0</v>
      </c>
      <c r="F49" s="455"/>
      <c r="G49" s="2364">
        <f t="shared" si="7"/>
        <v>0</v>
      </c>
      <c r="H49" s="455"/>
      <c r="I49" s="1934">
        <f t="shared" si="8"/>
        <v>0</v>
      </c>
      <c r="J49" s="2221"/>
      <c r="K49" s="2236">
        <f t="shared" si="6"/>
        <v>0</v>
      </c>
      <c r="L49" s="2221"/>
      <c r="M49" s="3083">
        <f t="shared" si="6"/>
        <v>0</v>
      </c>
      <c r="N49" s="2044" t="s">
        <v>10833</v>
      </c>
      <c r="O49" s="1087"/>
      <c r="P49" s="290"/>
      <c r="Q49" s="290"/>
      <c r="R49" s="291"/>
      <c r="S49" s="292"/>
    </row>
    <row r="50" spans="1:19" s="247" customFormat="1" ht="15" customHeight="1">
      <c r="A50" s="1256" t="s">
        <v>10868</v>
      </c>
      <c r="B50" s="1329"/>
      <c r="C50" s="612"/>
      <c r="D50" s="455"/>
      <c r="E50" s="612"/>
      <c r="F50" s="455"/>
      <c r="G50" s="612"/>
      <c r="H50" s="455"/>
      <c r="I50" s="612"/>
      <c r="J50" s="2221"/>
      <c r="K50" s="612"/>
      <c r="L50" s="2221"/>
      <c r="M50" s="612"/>
      <c r="N50" s="2192" t="s">
        <v>10867</v>
      </c>
      <c r="O50" s="1087"/>
      <c r="R50" s="291"/>
      <c r="S50" s="292"/>
    </row>
    <row r="51" spans="1:19" s="247" customFormat="1" ht="15" customHeight="1">
      <c r="A51" s="1256" t="s">
        <v>8680</v>
      </c>
      <c r="B51" s="1329"/>
      <c r="C51" s="2417">
        <f>IF(ISNA('DE1'!C226),0,'DE1'!C226)</f>
        <v>0</v>
      </c>
      <c r="D51" s="455"/>
      <c r="E51" s="1829">
        <v>0</v>
      </c>
      <c r="F51" s="455"/>
      <c r="G51" s="2367">
        <f t="shared" si="7"/>
        <v>0</v>
      </c>
      <c r="H51" s="455"/>
      <c r="I51" s="1939">
        <f t="shared" si="8"/>
        <v>0</v>
      </c>
      <c r="J51" s="2221"/>
      <c r="K51" s="2238">
        <f t="shared" si="6"/>
        <v>0</v>
      </c>
      <c r="L51" s="2221"/>
      <c r="M51" s="3096">
        <f t="shared" si="6"/>
        <v>0</v>
      </c>
      <c r="N51" s="2044" t="s">
        <v>10834</v>
      </c>
      <c r="O51" s="1087"/>
      <c r="R51" s="291"/>
      <c r="S51" s="292"/>
    </row>
    <row r="52" spans="1:19" s="247" customFormat="1" ht="15" customHeight="1">
      <c r="A52" s="1256" t="s">
        <v>7480</v>
      </c>
      <c r="B52" s="1329"/>
      <c r="C52" s="2417">
        <f>IF(ISNA('DE1'!C227),0,'DE1'!C227)</f>
        <v>0</v>
      </c>
      <c r="D52" s="455"/>
      <c r="E52" s="1829">
        <v>0</v>
      </c>
      <c r="F52" s="455"/>
      <c r="G52" s="2367">
        <f t="shared" si="7"/>
        <v>0</v>
      </c>
      <c r="H52" s="455"/>
      <c r="I52" s="1939">
        <f t="shared" si="8"/>
        <v>0</v>
      </c>
      <c r="J52" s="2221"/>
      <c r="K52" s="2238">
        <f t="shared" si="6"/>
        <v>0</v>
      </c>
      <c r="L52" s="2221"/>
      <c r="M52" s="3096">
        <f t="shared" si="6"/>
        <v>0</v>
      </c>
      <c r="N52" s="2044" t="s">
        <v>10834</v>
      </c>
      <c r="O52" s="1087"/>
      <c r="R52" s="291"/>
      <c r="S52" s="292"/>
    </row>
    <row r="53" spans="1:19" s="247" customFormat="1" ht="15" customHeight="1">
      <c r="A53" s="1256" t="s">
        <v>7481</v>
      </c>
      <c r="B53" s="1329"/>
      <c r="C53" s="2417">
        <f>IF(ISNA('DE1'!C228),0,'DE1'!C228)</f>
        <v>0</v>
      </c>
      <c r="D53" s="455"/>
      <c r="E53" s="1829">
        <v>0</v>
      </c>
      <c r="F53" s="455"/>
      <c r="G53" s="2367">
        <f t="shared" si="7"/>
        <v>0</v>
      </c>
      <c r="H53" s="455"/>
      <c r="I53" s="1939">
        <f t="shared" si="8"/>
        <v>0</v>
      </c>
      <c r="J53" s="2221"/>
      <c r="K53" s="2238">
        <f t="shared" si="6"/>
        <v>0</v>
      </c>
      <c r="L53" s="2221"/>
      <c r="M53" s="3096">
        <f t="shared" si="6"/>
        <v>0</v>
      </c>
      <c r="N53" s="2044" t="s">
        <v>10834</v>
      </c>
      <c r="O53" s="1087"/>
      <c r="R53" s="291"/>
      <c r="S53" s="292"/>
    </row>
    <row r="54" spans="1:19" s="247" customFormat="1" ht="18">
      <c r="A54" s="1256" t="s">
        <v>7482</v>
      </c>
      <c r="B54" s="1329"/>
      <c r="C54" s="2417">
        <f>IF(ISNA('DE1'!C229),0,'DE1'!C229)</f>
        <v>0</v>
      </c>
      <c r="D54" s="455"/>
      <c r="E54" s="1829">
        <v>0</v>
      </c>
      <c r="F54" s="455"/>
      <c r="G54" s="2367">
        <f t="shared" si="7"/>
        <v>0</v>
      </c>
      <c r="H54" s="455"/>
      <c r="I54" s="1939">
        <f t="shared" si="8"/>
        <v>0</v>
      </c>
      <c r="J54" s="2221"/>
      <c r="K54" s="2238">
        <f t="shared" si="6"/>
        <v>0</v>
      </c>
      <c r="L54" s="2221"/>
      <c r="M54" s="3096">
        <f t="shared" si="6"/>
        <v>0</v>
      </c>
      <c r="N54" s="2044" t="s">
        <v>10834</v>
      </c>
      <c r="O54" s="1087"/>
      <c r="R54" s="291"/>
      <c r="S54" s="292"/>
    </row>
    <row r="55" spans="1:19" s="247" customFormat="1" ht="15" customHeight="1">
      <c r="A55" s="1256" t="s">
        <v>7483</v>
      </c>
      <c r="B55" s="1329"/>
      <c r="C55" s="2417">
        <f>IF(ISNA('DE1'!C230),0,'DE1'!C230)</f>
        <v>0</v>
      </c>
      <c r="D55" s="455"/>
      <c r="E55" s="1829">
        <v>0</v>
      </c>
      <c r="F55" s="455"/>
      <c r="G55" s="2367">
        <f t="shared" si="7"/>
        <v>0</v>
      </c>
      <c r="H55" s="455"/>
      <c r="I55" s="1939">
        <f t="shared" si="8"/>
        <v>0</v>
      </c>
      <c r="J55" s="2221"/>
      <c r="K55" s="2238">
        <f t="shared" si="6"/>
        <v>0</v>
      </c>
      <c r="L55" s="2221"/>
      <c r="M55" s="3096">
        <f t="shared" si="6"/>
        <v>0</v>
      </c>
      <c r="N55" s="2044" t="s">
        <v>10834</v>
      </c>
      <c r="O55" s="1087"/>
      <c r="R55" s="291"/>
      <c r="S55" s="292"/>
    </row>
    <row r="56" spans="1:19" s="247" customFormat="1" ht="15" customHeight="1">
      <c r="A56" s="2338" t="s">
        <v>10869</v>
      </c>
      <c r="B56" s="2110"/>
      <c r="C56" s="612"/>
      <c r="D56" s="455"/>
      <c r="E56" s="612"/>
      <c r="F56" s="455"/>
      <c r="G56" s="612"/>
      <c r="H56" s="455"/>
      <c r="I56" s="612"/>
      <c r="J56" s="2224"/>
      <c r="K56" s="612"/>
      <c r="L56" s="2224"/>
      <c r="M56" s="612"/>
      <c r="N56" s="2192" t="s">
        <v>10867</v>
      </c>
      <c r="O56" s="1087"/>
      <c r="R56" s="291"/>
      <c r="S56" s="292"/>
    </row>
    <row r="57" spans="1:19" s="247" customFormat="1" ht="15" customHeight="1">
      <c r="A57" s="2108" t="s">
        <v>7830</v>
      </c>
      <c r="B57" s="1927"/>
      <c r="C57" s="2417">
        <f>IF(ISNA('DE1'!C231),0,'DE1'!C231)</f>
        <v>0</v>
      </c>
      <c r="D57" s="455"/>
      <c r="E57" s="1829">
        <v>0</v>
      </c>
      <c r="F57" s="455"/>
      <c r="G57" s="2367">
        <f t="shared" si="7"/>
        <v>0</v>
      </c>
      <c r="H57" s="455"/>
      <c r="I57" s="1939">
        <f t="shared" si="8"/>
        <v>0</v>
      </c>
      <c r="J57" s="2223"/>
      <c r="K57" s="2239">
        <f>I57</f>
        <v>0</v>
      </c>
      <c r="L57" s="2223"/>
      <c r="M57" s="3085">
        <f>K57</f>
        <v>0</v>
      </c>
      <c r="N57" s="2044" t="s">
        <v>10835</v>
      </c>
      <c r="O57" s="1087"/>
      <c r="R57" s="291"/>
      <c r="S57" s="292"/>
    </row>
    <row r="58" spans="1:19" s="247" customFormat="1" ht="15" customHeight="1">
      <c r="A58" s="2108" t="s">
        <v>7831</v>
      </c>
      <c r="B58" s="1927"/>
      <c r="C58" s="2417">
        <f>IF(ISNA('DE1'!C232),0,'DE1'!C232)</f>
        <v>0</v>
      </c>
      <c r="D58" s="455"/>
      <c r="E58" s="1829">
        <v>0</v>
      </c>
      <c r="F58" s="455"/>
      <c r="G58" s="2367">
        <f t="shared" si="7"/>
        <v>0</v>
      </c>
      <c r="H58" s="455"/>
      <c r="I58" s="1939">
        <f t="shared" si="8"/>
        <v>0</v>
      </c>
      <c r="J58" s="2223"/>
      <c r="K58" s="2239">
        <f>I58</f>
        <v>0</v>
      </c>
      <c r="L58" s="2223"/>
      <c r="M58" s="3085">
        <f>K58</f>
        <v>0</v>
      </c>
      <c r="N58" s="2044" t="s">
        <v>10836</v>
      </c>
      <c r="O58" s="1087"/>
      <c r="R58" s="291"/>
      <c r="S58" s="292"/>
    </row>
    <row r="59" spans="1:19" s="247" customFormat="1" ht="15" customHeight="1">
      <c r="A59" s="2108" t="s">
        <v>7832</v>
      </c>
      <c r="B59" s="1927"/>
      <c r="C59" s="2417">
        <f>IF(ISNA('DE1'!C233),0,'DE1'!C233)</f>
        <v>0</v>
      </c>
      <c r="D59" s="455"/>
      <c r="E59" s="1829">
        <v>0</v>
      </c>
      <c r="F59" s="455"/>
      <c r="G59" s="2367">
        <f t="shared" si="7"/>
        <v>0</v>
      </c>
      <c r="H59" s="455"/>
      <c r="I59" s="1939">
        <f t="shared" si="8"/>
        <v>0</v>
      </c>
      <c r="J59" s="2223"/>
      <c r="K59" s="2239">
        <f>I59</f>
        <v>0</v>
      </c>
      <c r="L59" s="2223"/>
      <c r="M59" s="3085">
        <f>K59</f>
        <v>0</v>
      </c>
      <c r="N59" s="2044" t="s">
        <v>10837</v>
      </c>
      <c r="O59" s="1087"/>
      <c r="R59" s="291"/>
      <c r="S59" s="292"/>
    </row>
    <row r="60" spans="1:19" s="247" customFormat="1" ht="15" customHeight="1">
      <c r="A60" s="1330" t="s">
        <v>12625</v>
      </c>
      <c r="B60" s="1329"/>
      <c r="C60" s="2417">
        <f>IF(ISNA('DE1'!C218),0,'DE1'!C218)</f>
        <v>0</v>
      </c>
      <c r="D60" s="455"/>
      <c r="E60" s="1829">
        <v>0</v>
      </c>
      <c r="F60" s="455"/>
      <c r="G60" s="2367">
        <f t="shared" si="7"/>
        <v>0</v>
      </c>
      <c r="H60" s="455"/>
      <c r="I60" s="1939">
        <f t="shared" si="8"/>
        <v>0</v>
      </c>
      <c r="J60" s="2221"/>
      <c r="K60" s="2238">
        <f>I60</f>
        <v>0</v>
      </c>
      <c r="L60" s="2221"/>
      <c r="M60" s="3096">
        <f>K60</f>
        <v>0</v>
      </c>
      <c r="N60" s="2044" t="s">
        <v>10838</v>
      </c>
      <c r="O60" s="1087"/>
      <c r="R60" s="291"/>
      <c r="S60" s="292"/>
    </row>
    <row r="61" spans="1:19" s="247" customFormat="1" ht="18" customHeight="1">
      <c r="A61" s="614"/>
      <c r="B61" s="615"/>
      <c r="C61" s="1903" t="s">
        <v>11041</v>
      </c>
      <c r="D61" s="609"/>
      <c r="E61" s="667" t="s">
        <v>10346</v>
      </c>
      <c r="F61" s="609"/>
      <c r="G61" s="667" t="s">
        <v>10347</v>
      </c>
      <c r="H61" s="2353"/>
      <c r="I61" s="667" t="s">
        <v>10348</v>
      </c>
      <c r="J61" s="2350"/>
      <c r="K61" s="667" t="s">
        <v>10349</v>
      </c>
      <c r="L61" s="2350"/>
      <c r="M61" s="667" t="s">
        <v>11050</v>
      </c>
      <c r="N61"/>
      <c r="O61" s="295"/>
      <c r="R61" s="291"/>
      <c r="S61" s="292"/>
    </row>
    <row r="62" spans="1:19" s="247" customFormat="1" ht="18">
      <c r="A62" s="616" t="s">
        <v>2560</v>
      </c>
      <c r="B62" s="617"/>
      <c r="C62" s="1904" t="s">
        <v>7404</v>
      </c>
      <c r="D62" s="610"/>
      <c r="E62" s="1904" t="s">
        <v>10345</v>
      </c>
      <c r="F62" s="610"/>
      <c r="G62" s="1904" t="s">
        <v>10345</v>
      </c>
      <c r="H62" s="2354"/>
      <c r="I62" s="1904" t="s">
        <v>10345</v>
      </c>
      <c r="J62" s="2351"/>
      <c r="K62" s="1904" t="s">
        <v>10345</v>
      </c>
      <c r="L62" s="2351"/>
      <c r="M62" s="1904" t="s">
        <v>10345</v>
      </c>
      <c r="N62" s="662" t="s">
        <v>10535</v>
      </c>
      <c r="O62" s="295"/>
      <c r="S62" s="193"/>
    </row>
    <row r="63" spans="1:19" s="247" customFormat="1" ht="15" customHeight="1">
      <c r="A63" s="1095" t="s">
        <v>3309</v>
      </c>
      <c r="B63" s="1122"/>
      <c r="C63" s="3201">
        <f>IF(ISNA('DE1'!R48),0,'DE1'!R48)</f>
        <v>0</v>
      </c>
      <c r="D63" s="457"/>
      <c r="E63" s="863">
        <f>'$40K_Values'!D26</f>
        <v>0</v>
      </c>
      <c r="F63" s="457"/>
      <c r="G63" s="2366">
        <f>'$40K_Values'!E26</f>
        <v>0</v>
      </c>
      <c r="H63" s="457"/>
      <c r="I63" s="1940">
        <f>'$40K_Values'!F26</f>
        <v>0</v>
      </c>
      <c r="J63" s="2223"/>
      <c r="K63" s="2237">
        <f>'$40K_Values'!G26</f>
        <v>0</v>
      </c>
      <c r="L63" s="2223"/>
      <c r="M63" s="3086">
        <f>'$40K_Values'!H26</f>
        <v>0</v>
      </c>
      <c r="N63" t="s">
        <v>10677</v>
      </c>
      <c r="O63" s="295"/>
      <c r="R63" s="296"/>
      <c r="S63" s="297"/>
    </row>
    <row r="64" spans="1:19" s="247" customFormat="1" ht="15" customHeight="1">
      <c r="A64" s="1257" t="s">
        <v>7879</v>
      </c>
      <c r="B64" s="1668"/>
      <c r="C64" s="3201">
        <f>IF(ISNA('DE1'!R49),0,'DE1'!R49)</f>
        <v>0</v>
      </c>
      <c r="D64" s="457"/>
      <c r="E64" s="2609">
        <f>E69</f>
        <v>0</v>
      </c>
      <c r="F64" s="457"/>
      <c r="G64" s="2610">
        <f>'$40K_Values'!E27</f>
        <v>0</v>
      </c>
      <c r="H64" s="457"/>
      <c r="I64" s="1940">
        <f>'$40K_Values'!F27</f>
        <v>0</v>
      </c>
      <c r="J64" s="2223"/>
      <c r="K64" s="2237">
        <f>'$40K_Values'!G27</f>
        <v>0</v>
      </c>
      <c r="L64" s="2223"/>
      <c r="M64" s="3086">
        <f>'$40K_Values'!H27</f>
        <v>0</v>
      </c>
      <c r="N64" t="s">
        <v>10678</v>
      </c>
      <c r="O64" s="295"/>
      <c r="R64" s="296"/>
      <c r="S64" s="297"/>
    </row>
    <row r="65" spans="1:19" s="247" customFormat="1" ht="15" customHeight="1">
      <c r="A65" s="1257" t="s">
        <v>7886</v>
      </c>
      <c r="B65" s="1668"/>
      <c r="C65" s="3201">
        <f>IF(ISNA('DE1'!R50),0,'DE1'!R50)</f>
        <v>0</v>
      </c>
      <c r="D65" s="457"/>
      <c r="E65" s="2609">
        <f>E69+(E69-E67)*10/15</f>
        <v>0</v>
      </c>
      <c r="F65" s="457"/>
      <c r="G65" s="2610">
        <f>G69+(G69-G67)*10/15</f>
        <v>0</v>
      </c>
      <c r="H65" s="457"/>
      <c r="I65" s="2798">
        <f>I69+(I69-I67)*10/15</f>
        <v>0</v>
      </c>
      <c r="J65" s="2223"/>
      <c r="K65" s="2799">
        <f>K69+(K69-K67)*10/15</f>
        <v>0</v>
      </c>
      <c r="L65" s="2223"/>
      <c r="M65" s="3087">
        <f>M69+(M69-M67)*10/15</f>
        <v>0</v>
      </c>
      <c r="N65" s="2042" t="s">
        <v>10679</v>
      </c>
      <c r="O65" s="295"/>
      <c r="R65" s="296"/>
      <c r="S65" s="297"/>
    </row>
    <row r="66" spans="1:19" s="2040" customFormat="1" ht="15" customHeight="1">
      <c r="A66" s="2460" t="s">
        <v>10425</v>
      </c>
      <c r="B66" s="2454"/>
      <c r="C66" s="2462"/>
      <c r="D66" s="457"/>
      <c r="E66" s="2609">
        <f>'$40K_Values'!D35</f>
        <v>0</v>
      </c>
      <c r="F66" s="457"/>
      <c r="G66" s="2611">
        <f>'$40K_Values'!E35</f>
        <v>0</v>
      </c>
      <c r="H66" s="457"/>
      <c r="I66" s="2612">
        <f>'$40K_Values'!F35</f>
        <v>0</v>
      </c>
      <c r="J66" s="2223"/>
      <c r="K66" s="2613">
        <f>'$40K_Values'!G35</f>
        <v>0</v>
      </c>
      <c r="L66" s="2223"/>
      <c r="M66" s="3088">
        <f>'$40K_Values'!H35</f>
        <v>0</v>
      </c>
      <c r="N66" s="2042" t="s">
        <v>10536</v>
      </c>
      <c r="O66" s="295"/>
      <c r="R66" s="296"/>
      <c r="S66" s="297"/>
    </row>
    <row r="67" spans="1:19" s="2040" customFormat="1" ht="15" customHeight="1">
      <c r="A67" s="2461" t="s">
        <v>10426</v>
      </c>
      <c r="B67" s="2459"/>
      <c r="C67" s="2462"/>
      <c r="D67" s="457"/>
      <c r="E67" s="2609">
        <f>'$40K_Values'!D36</f>
        <v>0</v>
      </c>
      <c r="F67" s="457"/>
      <c r="G67" s="2611">
        <f>'$40K_Values'!E36</f>
        <v>0</v>
      </c>
      <c r="H67" s="457"/>
      <c r="I67" s="2612">
        <f>'$40K_Values'!F36</f>
        <v>0</v>
      </c>
      <c r="J67" s="2223"/>
      <c r="K67" s="2613">
        <f>'$40K_Values'!G36</f>
        <v>0</v>
      </c>
      <c r="L67" s="2223"/>
      <c r="M67" s="3088">
        <f>'$40K_Values'!H36</f>
        <v>0</v>
      </c>
      <c r="N67" s="2042" t="s">
        <v>10537</v>
      </c>
      <c r="O67" s="295"/>
      <c r="R67" s="296"/>
      <c r="S67" s="297"/>
    </row>
    <row r="68" spans="1:19" s="2040" customFormat="1" ht="15" customHeight="1">
      <c r="A68" s="2460" t="s">
        <v>10916</v>
      </c>
      <c r="B68" s="2459"/>
      <c r="C68" s="2462"/>
      <c r="D68" s="457"/>
      <c r="E68" s="2609">
        <f>'$40K_Values'!D38</f>
        <v>0</v>
      </c>
      <c r="F68" s="457"/>
      <c r="G68" s="2611">
        <f>'$40K_Values'!E38</f>
        <v>0</v>
      </c>
      <c r="H68" s="457"/>
      <c r="I68" s="2612">
        <f>'$40K_Values'!F38</f>
        <v>0</v>
      </c>
      <c r="J68" s="2223"/>
      <c r="K68" s="2613">
        <f>'$40K_Values'!G38</f>
        <v>0</v>
      </c>
      <c r="L68" s="2223"/>
      <c r="M68" s="3088">
        <f>'$40K_Values'!H38</f>
        <v>0</v>
      </c>
      <c r="N68" s="2042" t="s">
        <v>10538</v>
      </c>
      <c r="O68" s="295"/>
      <c r="R68" s="296"/>
      <c r="S68" s="297"/>
    </row>
    <row r="69" spans="1:19" s="2040" customFormat="1" ht="15" customHeight="1">
      <c r="A69" s="2461" t="s">
        <v>11007</v>
      </c>
      <c r="B69" s="2459"/>
      <c r="C69" s="2462"/>
      <c r="D69" s="457"/>
      <c r="E69" s="2609">
        <f>'$40K_Values'!D40</f>
        <v>0</v>
      </c>
      <c r="F69" s="457"/>
      <c r="G69" s="2611">
        <f>'$40K_Values'!E40</f>
        <v>0</v>
      </c>
      <c r="H69" s="457"/>
      <c r="I69" s="2612">
        <f>'$40K_Values'!F40</f>
        <v>0</v>
      </c>
      <c r="J69" s="2223"/>
      <c r="K69" s="2613">
        <f>'$40K_Values'!G40</f>
        <v>0</v>
      </c>
      <c r="L69" s="2223"/>
      <c r="M69" s="3088">
        <f>'$40K_Values'!H40</f>
        <v>0</v>
      </c>
      <c r="N69" s="2042" t="s">
        <v>10539</v>
      </c>
      <c r="O69" s="295"/>
      <c r="R69" s="296"/>
      <c r="S69" s="297"/>
    </row>
    <row r="70" spans="1:19" s="247" customFormat="1" ht="15" customHeight="1">
      <c r="A70" s="2109" t="s">
        <v>11470</v>
      </c>
      <c r="B70" s="1030"/>
      <c r="C70" s="3204">
        <v>0</v>
      </c>
      <c r="D70" s="457"/>
      <c r="E70" s="1141">
        <v>0</v>
      </c>
      <c r="F70" s="457"/>
      <c r="G70" s="2369">
        <v>0</v>
      </c>
      <c r="H70" s="457"/>
      <c r="I70" s="1936">
        <v>0</v>
      </c>
      <c r="J70" s="2352"/>
      <c r="K70" s="2241">
        <v>0</v>
      </c>
      <c r="L70" s="2352"/>
      <c r="M70" s="3089">
        <v>0</v>
      </c>
      <c r="N70"/>
      <c r="O70" s="295"/>
      <c r="R70" s="296"/>
      <c r="S70" s="297"/>
    </row>
    <row r="71" spans="1:19" s="247" customFormat="1" ht="18" customHeight="1">
      <c r="A71" s="1370" t="s">
        <v>2561</v>
      </c>
      <c r="B71" s="1371"/>
      <c r="C71" s="2408" t="s">
        <v>5513</v>
      </c>
      <c r="D71" s="2410"/>
      <c r="E71" s="2408" t="s">
        <v>5951</v>
      </c>
      <c r="F71" s="2410"/>
      <c r="G71" s="2408" t="s">
        <v>7037</v>
      </c>
      <c r="H71" s="612"/>
      <c r="I71" s="864" t="s">
        <v>8487</v>
      </c>
      <c r="J71" s="2346"/>
      <c r="K71" s="864" t="s">
        <v>9171</v>
      </c>
      <c r="L71" s="2346"/>
      <c r="M71" s="864" t="s">
        <v>11049</v>
      </c>
      <c r="N71"/>
      <c r="O71" s="1144"/>
      <c r="P71" s="358"/>
      <c r="R71" s="291"/>
      <c r="S71" s="292"/>
    </row>
    <row r="72" spans="1:19" s="2040" customFormat="1" ht="15.5">
      <c r="A72" s="2134" t="s">
        <v>11011</v>
      </c>
      <c r="B72" s="2134"/>
      <c r="C72" s="3202">
        <f>IF(ISNA('DE1'!E79),0,'DE1'!E79)</f>
        <v>0</v>
      </c>
      <c r="D72" s="1251"/>
      <c r="E72" s="3224">
        <f>IF(ISNA('DE1'!E72),0,'DE1'!E72)</f>
        <v>0</v>
      </c>
      <c r="F72" s="1251"/>
      <c r="G72" s="2370" t="e">
        <f>'HB3-RollbackRates'!M5</f>
        <v>#DIV/0!</v>
      </c>
      <c r="H72" s="458"/>
      <c r="I72" s="2035" t="e">
        <f>'HB3-RollbackRates'!P5</f>
        <v>#DIV/0!</v>
      </c>
      <c r="J72" s="2225"/>
      <c r="K72" s="2242" t="e">
        <f>'HB3-RollbackRates'!S5</f>
        <v>#DIV/0!</v>
      </c>
      <c r="L72" s="2225"/>
      <c r="M72" s="3090" t="e">
        <f>'HB3-RollbackRates'!V5</f>
        <v>#DIV/0!</v>
      </c>
      <c r="N72" s="25" t="s">
        <v>10351</v>
      </c>
      <c r="O72" s="295"/>
      <c r="R72" s="296"/>
      <c r="S72" s="297"/>
    </row>
    <row r="73" spans="1:19" s="247" customFormat="1" ht="15.5">
      <c r="A73" s="2339" t="s">
        <v>8925</v>
      </c>
      <c r="B73" s="1928"/>
      <c r="C73" s="3203">
        <f>'HB3-RollbackRates'!G15</f>
        <v>0.05</v>
      </c>
      <c r="D73" s="458"/>
      <c r="E73" s="1852">
        <f>'HB3-RollbackRates'!J15</f>
        <v>0.05</v>
      </c>
      <c r="F73" s="458"/>
      <c r="G73" s="2370" t="e">
        <f>'HB3-RollbackRates'!M15</f>
        <v>#DIV/0!</v>
      </c>
      <c r="H73" s="458"/>
      <c r="I73" s="2035" t="e">
        <f>'HB3-RollbackRates'!P15</f>
        <v>#DIV/0!</v>
      </c>
      <c r="J73" s="2225"/>
      <c r="K73" s="2242" t="e">
        <f>'HB3-RollbackRates'!S15</f>
        <v>#DIV/0!</v>
      </c>
      <c r="L73" s="2225"/>
      <c r="M73" s="3090" t="e">
        <f>'HB3-RollbackRates'!V15</f>
        <v>#DIV/0!</v>
      </c>
      <c r="N73" s="25" t="s">
        <v>9047</v>
      </c>
      <c r="O73" s="1145"/>
      <c r="R73" s="291"/>
      <c r="S73" s="292"/>
    </row>
    <row r="74" spans="1:19" s="247" customFormat="1" ht="15.5">
      <c r="A74" s="1922" t="s">
        <v>8384</v>
      </c>
      <c r="B74" s="1929"/>
      <c r="C74" s="3112">
        <f>IF(ISNA('DE1'!C223),0,'DE1'!C223)</f>
        <v>0</v>
      </c>
      <c r="D74" s="458"/>
      <c r="E74" s="1853">
        <v>0</v>
      </c>
      <c r="F74" s="458"/>
      <c r="G74" s="2371">
        <v>0</v>
      </c>
      <c r="H74" s="458"/>
      <c r="I74" s="1937">
        <v>0</v>
      </c>
      <c r="J74" s="2225"/>
      <c r="K74" s="2243">
        <v>0</v>
      </c>
      <c r="L74" s="2225"/>
      <c r="M74" s="3091">
        <v>0</v>
      </c>
      <c r="N74" s="25" t="s">
        <v>7790</v>
      </c>
      <c r="O74" s="1145"/>
      <c r="R74" s="291"/>
      <c r="S74" s="292"/>
    </row>
    <row r="75" spans="1:19" s="247" customFormat="1" ht="15.5">
      <c r="A75" s="1922" t="s">
        <v>10464</v>
      </c>
      <c r="B75" s="1930"/>
      <c r="C75" s="2417">
        <f>IF(ISNA('DE1'!C224),0,'DE1'!C224)</f>
        <v>0</v>
      </c>
      <c r="D75" s="458"/>
      <c r="E75" s="568">
        <v>0</v>
      </c>
      <c r="F75" s="458"/>
      <c r="G75" s="2368">
        <v>0</v>
      </c>
      <c r="H75" s="458"/>
      <c r="I75" s="1935">
        <v>0</v>
      </c>
      <c r="J75" s="2223"/>
      <c r="K75" s="2240">
        <v>0</v>
      </c>
      <c r="L75" s="2223"/>
      <c r="M75" s="3092">
        <v>0</v>
      </c>
      <c r="N75" s="25" t="s">
        <v>7791</v>
      </c>
      <c r="O75" s="295"/>
      <c r="R75" s="296"/>
      <c r="S75" s="297"/>
    </row>
    <row r="76" spans="1:19" s="2040" customFormat="1" ht="15.5">
      <c r="A76" s="3196" t="s">
        <v>11006</v>
      </c>
      <c r="B76" s="3196"/>
      <c r="C76" s="3194">
        <v>0</v>
      </c>
      <c r="D76" s="458"/>
      <c r="E76" s="2463"/>
      <c r="F76" s="458"/>
      <c r="G76" s="2463"/>
      <c r="H76" s="458"/>
      <c r="I76" s="2463"/>
      <c r="J76" s="2223"/>
      <c r="K76" s="2463"/>
      <c r="L76" s="2223"/>
      <c r="M76" s="2463"/>
      <c r="N76" s="36" t="s">
        <v>11005</v>
      </c>
      <c r="O76" s="295"/>
      <c r="R76" s="296"/>
      <c r="S76" s="297"/>
    </row>
    <row r="77" spans="1:19" s="2040" customFormat="1" ht="15.5">
      <c r="A77" s="2465" t="s">
        <v>10462</v>
      </c>
      <c r="B77" s="2464"/>
      <c r="C77" s="2463"/>
      <c r="D77" s="458"/>
      <c r="E77" s="2455">
        <v>0</v>
      </c>
      <c r="F77" s="458"/>
      <c r="G77" s="2456">
        <v>0</v>
      </c>
      <c r="H77" s="458"/>
      <c r="I77" s="2457">
        <v>0</v>
      </c>
      <c r="J77" s="2223"/>
      <c r="K77" s="2458">
        <v>0</v>
      </c>
      <c r="L77" s="2223"/>
      <c r="M77" s="3093">
        <v>0</v>
      </c>
      <c r="N77" s="25"/>
      <c r="O77" s="295"/>
      <c r="R77" s="296"/>
      <c r="S77" s="297"/>
    </row>
    <row r="78" spans="1:19" s="2040" customFormat="1" ht="15.5">
      <c r="A78" s="1922" t="s">
        <v>10463</v>
      </c>
      <c r="B78" s="2464"/>
      <c r="C78" s="2463"/>
      <c r="D78" s="458"/>
      <c r="E78" s="2549" t="e">
        <f>E75*(E63/E66)</f>
        <v>#DIV/0!</v>
      </c>
      <c r="F78" s="458"/>
      <c r="G78" s="2611" t="e">
        <f>G75*(G63/G66)</f>
        <v>#DIV/0!</v>
      </c>
      <c r="H78" s="458"/>
      <c r="I78" s="2612" t="e">
        <f>I75*(I63/I66)</f>
        <v>#DIV/0!</v>
      </c>
      <c r="J78" s="2223"/>
      <c r="K78" s="2613" t="e">
        <f>K75*(K63/K66)</f>
        <v>#DIV/0!</v>
      </c>
      <c r="L78" s="2223"/>
      <c r="M78" s="3088" t="e">
        <f>M75*(M63/M66)</f>
        <v>#DIV/0!</v>
      </c>
      <c r="N78" s="25"/>
      <c r="O78" s="295"/>
      <c r="R78" s="296"/>
      <c r="S78" s="297"/>
    </row>
    <row r="79" spans="1:19" s="247" customFormat="1" ht="15.5">
      <c r="A79" s="274" t="s">
        <v>2729</v>
      </c>
      <c r="B79" s="274"/>
      <c r="C79" s="3232" t="s">
        <v>2727</v>
      </c>
      <c r="D79" s="458"/>
      <c r="E79" s="1853">
        <v>0</v>
      </c>
      <c r="F79" s="458"/>
      <c r="G79" s="2372">
        <v>0</v>
      </c>
      <c r="H79" s="458"/>
      <c r="I79" s="2037">
        <v>0</v>
      </c>
      <c r="J79" s="2348"/>
      <c r="K79" s="2244">
        <v>0</v>
      </c>
      <c r="L79" s="2348"/>
      <c r="M79" s="3094">
        <v>0</v>
      </c>
      <c r="N79" t="s">
        <v>3308</v>
      </c>
      <c r="O79" s="295"/>
      <c r="R79" s="296"/>
      <c r="S79" s="297"/>
    </row>
    <row r="80" spans="1:19" s="247" customFormat="1" ht="15.5">
      <c r="A80" s="247" t="s">
        <v>2663</v>
      </c>
      <c r="C80" s="2417">
        <f>IF(ISNA('DE1'!C225),0,'DE1'!C225)</f>
        <v>0</v>
      </c>
      <c r="D80" s="457"/>
      <c r="E80" s="568">
        <v>0</v>
      </c>
      <c r="F80" s="457"/>
      <c r="G80" s="2368">
        <v>0</v>
      </c>
      <c r="H80" s="457"/>
      <c r="I80" s="2036">
        <v>0</v>
      </c>
      <c r="J80" s="2349"/>
      <c r="K80" s="2240">
        <v>0</v>
      </c>
      <c r="L80" s="2349"/>
      <c r="M80" s="3092">
        <v>0</v>
      </c>
      <c r="N80" t="s">
        <v>5991</v>
      </c>
      <c r="O80" s="295"/>
      <c r="R80" s="296"/>
      <c r="S80" s="297"/>
    </row>
    <row r="81" spans="1:19" s="247" customFormat="1" ht="15.5">
      <c r="A81" s="601" t="s">
        <v>3329</v>
      </c>
      <c r="B81" s="275"/>
      <c r="C81" s="3195">
        <v>0</v>
      </c>
      <c r="D81" s="457"/>
      <c r="E81" s="600">
        <v>0</v>
      </c>
      <c r="F81" s="457"/>
      <c r="G81" s="2373">
        <v>0</v>
      </c>
      <c r="H81" s="457"/>
      <c r="I81" s="1938">
        <v>0</v>
      </c>
      <c r="J81" s="2223"/>
      <c r="K81" s="2245">
        <v>0</v>
      </c>
      <c r="L81" s="2223"/>
      <c r="M81" s="3095">
        <v>0</v>
      </c>
      <c r="N81" t="s">
        <v>5992</v>
      </c>
      <c r="O81" s="295"/>
      <c r="R81" s="296"/>
      <c r="S81" s="297"/>
    </row>
    <row r="82" spans="1:19" ht="18">
      <c r="A82" s="607" t="s">
        <v>2664</v>
      </c>
      <c r="B82" s="608"/>
      <c r="C82" s="612"/>
      <c r="D82" s="612"/>
      <c r="E82" s="612"/>
      <c r="F82" s="612"/>
      <c r="G82" s="612"/>
      <c r="H82" s="612"/>
      <c r="I82" s="612"/>
      <c r="J82" s="2184"/>
      <c r="K82" s="668"/>
      <c r="L82" s="2184"/>
      <c r="M82" s="668"/>
      <c r="N82" s="25"/>
      <c r="R82" s="190"/>
      <c r="S82" s="194"/>
    </row>
    <row r="83" spans="1:19" ht="15.5">
      <c r="A83" s="1123" t="s">
        <v>7749</v>
      </c>
      <c r="B83" s="1123"/>
      <c r="C83" s="2417">
        <f>IF(ISNA('DE1'!C219),0,'DE1'!C219)</f>
        <v>0</v>
      </c>
      <c r="D83" s="457"/>
      <c r="E83" s="1829">
        <v>0</v>
      </c>
      <c r="F83" s="457"/>
      <c r="G83" s="2367">
        <f t="shared" ref="G83:M86" si="9">E83</f>
        <v>0</v>
      </c>
      <c r="H83" s="457"/>
      <c r="I83" s="1939">
        <f t="shared" si="9"/>
        <v>0</v>
      </c>
      <c r="J83" s="2224"/>
      <c r="K83" s="2238">
        <f t="shared" si="9"/>
        <v>0</v>
      </c>
      <c r="L83" s="2224"/>
      <c r="M83" s="3096">
        <f t="shared" si="9"/>
        <v>0</v>
      </c>
      <c r="N83" s="25" t="s">
        <v>7792</v>
      </c>
      <c r="O83" s="1146"/>
      <c r="P83" s="1100"/>
      <c r="Q83" s="1100"/>
      <c r="R83" s="1100"/>
      <c r="S83" s="1100"/>
    </row>
    <row r="84" spans="1:19" ht="15.5">
      <c r="A84" s="1123" t="s">
        <v>7706</v>
      </c>
      <c r="B84" s="1123"/>
      <c r="C84" s="2417">
        <f>IF(ISNA('DE1'!C220),0,'DE1'!C220)</f>
        <v>0</v>
      </c>
      <c r="D84" s="457"/>
      <c r="E84" s="1829">
        <v>0</v>
      </c>
      <c r="F84" s="457"/>
      <c r="G84" s="2367">
        <f t="shared" si="9"/>
        <v>0</v>
      </c>
      <c r="H84" s="457"/>
      <c r="I84" s="1939">
        <f t="shared" si="9"/>
        <v>0</v>
      </c>
      <c r="J84" s="2224"/>
      <c r="K84" s="2238">
        <f t="shared" si="9"/>
        <v>0</v>
      </c>
      <c r="L84" s="2224"/>
      <c r="M84" s="3096">
        <f t="shared" si="9"/>
        <v>0</v>
      </c>
      <c r="N84" s="36" t="s">
        <v>7793</v>
      </c>
      <c r="O84" s="1146"/>
      <c r="P84" s="1100"/>
      <c r="Q84" s="1100"/>
      <c r="R84" s="1100"/>
      <c r="S84" s="1100"/>
    </row>
    <row r="85" spans="1:19" ht="15.5">
      <c r="A85" s="1123" t="s">
        <v>7707</v>
      </c>
      <c r="B85" s="1123"/>
      <c r="C85" s="2417">
        <f>IF(ISNA('DE1'!C221),0,'DE1'!C221)</f>
        <v>0</v>
      </c>
      <c r="D85" s="457"/>
      <c r="E85" s="1829">
        <v>0</v>
      </c>
      <c r="F85" s="457"/>
      <c r="G85" s="2367">
        <f t="shared" si="9"/>
        <v>0</v>
      </c>
      <c r="H85" s="457"/>
      <c r="I85" s="1939">
        <f t="shared" si="9"/>
        <v>0</v>
      </c>
      <c r="J85" s="2224"/>
      <c r="K85" s="2238">
        <f t="shared" si="9"/>
        <v>0</v>
      </c>
      <c r="L85" s="2224"/>
      <c r="M85" s="3096">
        <f t="shared" si="9"/>
        <v>0</v>
      </c>
      <c r="N85" s="36" t="s">
        <v>7793</v>
      </c>
      <c r="O85" s="1146"/>
      <c r="P85" s="1100"/>
      <c r="Q85" s="1100"/>
      <c r="R85" s="1100"/>
      <c r="S85" s="1100"/>
    </row>
    <row r="86" spans="1:19" ht="15.5">
      <c r="A86" s="1123" t="s">
        <v>7708</v>
      </c>
      <c r="B86" s="1123"/>
      <c r="C86" s="2417">
        <f>IF(ISNA('DE1'!C222),0,'DE1'!C222)</f>
        <v>0</v>
      </c>
      <c r="D86" s="457"/>
      <c r="E86" s="1829">
        <v>0</v>
      </c>
      <c r="F86" s="457"/>
      <c r="G86" s="2367">
        <f t="shared" si="9"/>
        <v>0</v>
      </c>
      <c r="H86" s="457"/>
      <c r="I86" s="1939">
        <f t="shared" si="9"/>
        <v>0</v>
      </c>
      <c r="J86" s="2224"/>
      <c r="K86" s="2238">
        <f t="shared" si="9"/>
        <v>0</v>
      </c>
      <c r="L86" s="2224"/>
      <c r="M86" s="3096">
        <f t="shared" si="9"/>
        <v>0</v>
      </c>
      <c r="N86" s="36" t="s">
        <v>7793</v>
      </c>
      <c r="O86" s="1146"/>
      <c r="P86" s="1100"/>
      <c r="Q86" s="1100"/>
      <c r="R86" s="1100"/>
      <c r="S86" s="1100"/>
    </row>
    <row r="87" spans="1:19" ht="15.5">
      <c r="A87" s="1931" t="s">
        <v>7549</v>
      </c>
      <c r="B87" s="1931"/>
      <c r="C87" s="2417">
        <f>IF(ISNA('DE1'!C236),0,'DE1'!C237)</f>
        <v>0</v>
      </c>
      <c r="D87" s="457"/>
      <c r="E87" s="2777">
        <v>0</v>
      </c>
      <c r="F87" s="457"/>
      <c r="G87" s="2778">
        <v>0</v>
      </c>
      <c r="H87" s="457"/>
      <c r="I87" s="2779">
        <v>0</v>
      </c>
      <c r="J87" s="2226"/>
      <c r="K87" s="2780">
        <v>0</v>
      </c>
      <c r="L87" s="2226"/>
      <c r="M87" s="3097">
        <v>0</v>
      </c>
      <c r="N87" t="s">
        <v>8373</v>
      </c>
      <c r="O87" s="1146"/>
      <c r="P87" s="1100"/>
      <c r="Q87" s="1100"/>
      <c r="R87" s="1100"/>
      <c r="S87" s="1100"/>
    </row>
    <row r="88" spans="1:19" ht="15.5">
      <c r="A88" s="1931" t="s">
        <v>7550</v>
      </c>
      <c r="B88" s="1931"/>
      <c r="C88" s="2417">
        <f>IF(ISNA('DE1'!C237),0,'DE1'!C236)</f>
        <v>0</v>
      </c>
      <c r="D88" s="457"/>
      <c r="E88" s="2777">
        <v>0</v>
      </c>
      <c r="F88" s="457"/>
      <c r="G88" s="2778">
        <v>0</v>
      </c>
      <c r="H88" s="457"/>
      <c r="I88" s="2779">
        <v>0</v>
      </c>
      <c r="J88" s="2226"/>
      <c r="K88" s="2780">
        <v>0</v>
      </c>
      <c r="L88" s="2226"/>
      <c r="M88" s="3097">
        <v>0</v>
      </c>
      <c r="N88" t="s">
        <v>8373</v>
      </c>
      <c r="O88" s="1146"/>
      <c r="P88" s="1100"/>
      <c r="Q88" s="1100"/>
      <c r="R88" s="1100"/>
      <c r="S88" s="1100"/>
    </row>
    <row r="89" spans="1:19" s="2042" customFormat="1" ht="15.5">
      <c r="A89" s="1329" t="s">
        <v>8861</v>
      </c>
      <c r="B89" s="1329"/>
      <c r="C89" s="2417">
        <f>IF(ISNA('DE1'!C238),0,'DE1'!C238)</f>
        <v>0</v>
      </c>
      <c r="D89" s="457"/>
      <c r="E89" s="568">
        <v>0</v>
      </c>
      <c r="F89" s="457"/>
      <c r="G89" s="2368">
        <v>0</v>
      </c>
      <c r="H89" s="457"/>
      <c r="I89" s="1941">
        <v>0</v>
      </c>
      <c r="J89" s="2228"/>
      <c r="K89" s="2246">
        <v>0</v>
      </c>
      <c r="L89" s="2228"/>
      <c r="M89" s="3098">
        <v>0</v>
      </c>
      <c r="O89" s="1146"/>
      <c r="P89" s="1100"/>
      <c r="Q89" s="1100"/>
      <c r="R89" s="1100"/>
      <c r="S89" s="1100"/>
    </row>
    <row r="90" spans="1:19" s="2042" customFormat="1" ht="15.5">
      <c r="A90" s="1329" t="s">
        <v>8862</v>
      </c>
      <c r="B90" s="1329"/>
      <c r="C90" s="2417">
        <f>IF(ISNA('DE1'!C239),0,'DE1'!C239)</f>
        <v>0</v>
      </c>
      <c r="D90" s="457"/>
      <c r="E90" s="568">
        <v>0</v>
      </c>
      <c r="F90" s="457"/>
      <c r="G90" s="2368">
        <v>0</v>
      </c>
      <c r="H90" s="457"/>
      <c r="I90" s="1941">
        <v>0</v>
      </c>
      <c r="J90" s="2228"/>
      <c r="K90" s="2246">
        <v>0</v>
      </c>
      <c r="L90" s="2228"/>
      <c r="M90" s="3098">
        <v>0</v>
      </c>
      <c r="O90" s="1146"/>
      <c r="P90" s="1100"/>
      <c r="Q90" s="1100"/>
      <c r="R90" s="1100"/>
      <c r="S90" s="1100"/>
    </row>
    <row r="91" spans="1:19" s="2042" customFormat="1" ht="15.5">
      <c r="A91" s="2160" t="s">
        <v>8921</v>
      </c>
      <c r="B91" s="2135"/>
      <c r="C91" s="2163" t="s">
        <v>2727</v>
      </c>
      <c r="D91" s="1100"/>
      <c r="E91" s="2163" t="s">
        <v>2727</v>
      </c>
      <c r="F91" s="1100"/>
      <c r="G91" s="2163" t="s">
        <v>2727</v>
      </c>
      <c r="H91" s="2161"/>
      <c r="I91" s="2162" t="s">
        <v>8924</v>
      </c>
      <c r="J91" s="2227"/>
      <c r="K91" s="2162" t="s">
        <v>8924</v>
      </c>
      <c r="L91" s="2227"/>
      <c r="M91" s="2162" t="s">
        <v>8924</v>
      </c>
      <c r="N91" s="25" t="s">
        <v>8926</v>
      </c>
      <c r="O91" s="170"/>
      <c r="R91" s="190"/>
      <c r="S91" s="194"/>
    </row>
    <row r="92" spans="1:19" s="2042" customFormat="1" ht="15.5">
      <c r="A92" s="2160" t="s">
        <v>8922</v>
      </c>
      <c r="B92" s="1329"/>
      <c r="C92" s="2163" t="s">
        <v>2727</v>
      </c>
      <c r="D92" s="457"/>
      <c r="E92" s="2163" t="s">
        <v>2727</v>
      </c>
      <c r="F92" s="457"/>
      <c r="G92" s="2163" t="s">
        <v>2727</v>
      </c>
      <c r="H92" s="457"/>
      <c r="I92" s="2162" t="s">
        <v>8924</v>
      </c>
      <c r="J92" s="2227"/>
      <c r="K92" s="2162" t="s">
        <v>8924</v>
      </c>
      <c r="L92" s="2227"/>
      <c r="M92" s="2162" t="s">
        <v>8924</v>
      </c>
      <c r="N92" s="25" t="s">
        <v>8927</v>
      </c>
      <c r="O92" s="1146"/>
      <c r="P92" s="1100"/>
      <c r="Q92" s="1100"/>
      <c r="R92" s="1100"/>
      <c r="S92" s="1100"/>
    </row>
    <row r="93" spans="1:19" ht="15.5">
      <c r="A93" s="274" t="s">
        <v>9232</v>
      </c>
      <c r="B93" s="274"/>
      <c r="C93" s="2417">
        <f>IF(ISNA('DE1'!C243),0,'DE1'!C243)</f>
        <v>0</v>
      </c>
      <c r="D93" s="455"/>
      <c r="E93" s="1829">
        <v>0</v>
      </c>
      <c r="F93" s="455"/>
      <c r="G93" s="2374">
        <f t="shared" ref="G93:G96" si="10">E93</f>
        <v>0</v>
      </c>
      <c r="H93" s="455"/>
      <c r="I93" s="2176">
        <f t="shared" ref="I93:I96" si="11">G93</f>
        <v>0</v>
      </c>
      <c r="J93" s="2228"/>
      <c r="K93" s="2247">
        <f t="shared" ref="K93:M96" si="12">I93</f>
        <v>0</v>
      </c>
      <c r="L93" s="2228"/>
      <c r="M93" s="3099">
        <f t="shared" si="12"/>
        <v>0</v>
      </c>
      <c r="N93" t="s">
        <v>8834</v>
      </c>
      <c r="P93" s="109"/>
      <c r="S93" s="192"/>
    </row>
    <row r="94" spans="1:19" ht="15.5">
      <c r="A94" s="274" t="s">
        <v>9233</v>
      </c>
      <c r="B94" s="274"/>
      <c r="C94" s="2417">
        <f>IF(ISNA('DE1'!C242),0,'DE1'!C242)</f>
        <v>0</v>
      </c>
      <c r="D94" s="455"/>
      <c r="E94" s="1829">
        <v>0</v>
      </c>
      <c r="F94" s="455"/>
      <c r="G94" s="2374">
        <f t="shared" si="10"/>
        <v>0</v>
      </c>
      <c r="H94" s="455"/>
      <c r="I94" s="2176">
        <f t="shared" si="11"/>
        <v>0</v>
      </c>
      <c r="J94" s="2228"/>
      <c r="K94" s="2247">
        <f t="shared" si="12"/>
        <v>0</v>
      </c>
      <c r="L94" s="2228"/>
      <c r="M94" s="3099">
        <f t="shared" si="12"/>
        <v>0</v>
      </c>
      <c r="N94" s="2042" t="s">
        <v>8835</v>
      </c>
      <c r="P94" s="109"/>
      <c r="R94" s="191"/>
      <c r="S94" s="192"/>
    </row>
    <row r="95" spans="1:19" ht="15.5">
      <c r="A95" s="1922" t="s">
        <v>9234</v>
      </c>
      <c r="B95" s="1329"/>
      <c r="C95" s="2417">
        <f>IF(ISNA('DE1'!C241),0,'DE1'!C241)</f>
        <v>0</v>
      </c>
      <c r="D95" s="1252"/>
      <c r="E95" s="1829">
        <v>0</v>
      </c>
      <c r="F95" s="1252"/>
      <c r="G95" s="2374">
        <f t="shared" si="10"/>
        <v>0</v>
      </c>
      <c r="H95" s="457"/>
      <c r="I95" s="2176">
        <f t="shared" si="11"/>
        <v>0</v>
      </c>
      <c r="J95" s="2228"/>
      <c r="K95" s="2247">
        <f t="shared" si="12"/>
        <v>0</v>
      </c>
      <c r="L95" s="2228"/>
      <c r="M95" s="3099">
        <f t="shared" si="12"/>
        <v>0</v>
      </c>
      <c r="N95" s="628" t="s">
        <v>10352</v>
      </c>
      <c r="P95" s="109"/>
      <c r="R95" s="190"/>
      <c r="S95" s="194"/>
    </row>
    <row r="96" spans="1:19" ht="15.5">
      <c r="A96" s="1123" t="s">
        <v>9235</v>
      </c>
      <c r="B96" s="1329"/>
      <c r="C96" s="2417">
        <f>IF(ISNA('DE1'!C247),0,'DE1'!C247)</f>
        <v>0</v>
      </c>
      <c r="D96" s="1252"/>
      <c r="E96" s="1829">
        <v>0</v>
      </c>
      <c r="F96" s="1252"/>
      <c r="G96" s="2374">
        <f t="shared" si="10"/>
        <v>0</v>
      </c>
      <c r="H96" s="457"/>
      <c r="I96" s="2176">
        <f t="shared" si="11"/>
        <v>0</v>
      </c>
      <c r="J96" s="2228"/>
      <c r="K96" s="2247">
        <f t="shared" si="12"/>
        <v>0</v>
      </c>
      <c r="L96" s="2228"/>
      <c r="M96" s="3099">
        <f t="shared" si="12"/>
        <v>0</v>
      </c>
      <c r="N96" s="628" t="s">
        <v>10353</v>
      </c>
      <c r="P96" s="109"/>
      <c r="R96" s="190"/>
      <c r="S96" s="194"/>
    </row>
    <row r="97" spans="1:19" ht="15.5">
      <c r="A97" s="274" t="s">
        <v>3330</v>
      </c>
      <c r="B97" s="274"/>
      <c r="C97" s="2417">
        <f>IF(ISNA('DE1'!C246),0,'DE1'!C246)</f>
        <v>0</v>
      </c>
      <c r="D97" s="457"/>
      <c r="E97" s="1829">
        <v>0</v>
      </c>
      <c r="F97" s="457"/>
      <c r="G97" s="2375">
        <v>0</v>
      </c>
      <c r="H97" s="457"/>
      <c r="I97" s="1941">
        <v>0</v>
      </c>
      <c r="J97" s="2228"/>
      <c r="K97" s="2246">
        <v>0</v>
      </c>
      <c r="L97" s="2228"/>
      <c r="M97" s="3098">
        <v>0</v>
      </c>
      <c r="N97" t="s">
        <v>11471</v>
      </c>
      <c r="P97" s="109"/>
      <c r="R97" s="190"/>
      <c r="S97" s="194"/>
    </row>
    <row r="98" spans="1:19" ht="15.5">
      <c r="A98" s="2474" t="s">
        <v>10915</v>
      </c>
      <c r="B98" s="274"/>
      <c r="C98" s="2417">
        <f>IF(ISNA('DE1'!C246),0,'DE1'!C258)</f>
        <v>0</v>
      </c>
      <c r="D98" s="457"/>
      <c r="E98" s="2455">
        <v>0</v>
      </c>
      <c r="F98" s="457"/>
      <c r="G98" s="2471">
        <v>0</v>
      </c>
      <c r="H98" s="457"/>
      <c r="I98" s="2472">
        <v>0</v>
      </c>
      <c r="J98" s="2228"/>
      <c r="K98" s="2473">
        <v>0</v>
      </c>
      <c r="L98" s="2228"/>
      <c r="M98" s="3100">
        <v>0</v>
      </c>
      <c r="N98" t="s">
        <v>11472</v>
      </c>
      <c r="P98" s="109"/>
      <c r="R98" s="190"/>
      <c r="S98" s="194"/>
    </row>
    <row r="99" spans="1:19" s="2042" customFormat="1" ht="15.5">
      <c r="A99" s="2474" t="s">
        <v>10446</v>
      </c>
      <c r="B99" s="2470"/>
      <c r="C99" s="2463"/>
      <c r="D99" s="457"/>
      <c r="E99" s="2455">
        <v>0</v>
      </c>
      <c r="F99" s="457"/>
      <c r="G99" s="2471">
        <v>0</v>
      </c>
      <c r="H99" s="457"/>
      <c r="I99" s="2472">
        <v>0</v>
      </c>
      <c r="J99" s="2228"/>
      <c r="K99" s="2473">
        <v>0</v>
      </c>
      <c r="L99" s="2228"/>
      <c r="M99" s="3100">
        <v>0</v>
      </c>
      <c r="O99" s="170"/>
      <c r="P99" s="109"/>
      <c r="R99" s="190"/>
      <c r="S99" s="194"/>
    </row>
    <row r="100" spans="1:19" ht="15.5">
      <c r="A100" s="332" t="s">
        <v>8337</v>
      </c>
      <c r="B100" s="328"/>
      <c r="C100" s="3191">
        <v>0</v>
      </c>
      <c r="D100" s="457"/>
      <c r="E100" s="1829">
        <v>0</v>
      </c>
      <c r="F100" s="457"/>
      <c r="G100" s="2375">
        <v>0</v>
      </c>
      <c r="H100" s="457"/>
      <c r="I100" s="1942">
        <v>0</v>
      </c>
      <c r="J100" s="2223"/>
      <c r="K100" s="2248">
        <v>0</v>
      </c>
      <c r="L100" s="2223"/>
      <c r="M100" s="3101">
        <v>0</v>
      </c>
      <c r="N100" t="s">
        <v>2736</v>
      </c>
      <c r="P100" s="109"/>
      <c r="R100" s="102"/>
      <c r="S100" s="195"/>
    </row>
    <row r="101" spans="1:19" ht="15.5">
      <c r="A101" s="327" t="s">
        <v>2665</v>
      </c>
      <c r="B101" s="328"/>
      <c r="C101" s="2417">
        <f>IF(ISNA('DE1'!C252),0,'DE1'!C252)</f>
        <v>0</v>
      </c>
      <c r="D101" s="457"/>
      <c r="E101" s="1829">
        <v>0</v>
      </c>
      <c r="F101" s="457"/>
      <c r="G101" s="2375">
        <v>0</v>
      </c>
      <c r="H101" s="457"/>
      <c r="I101" s="1942">
        <v>0</v>
      </c>
      <c r="J101" s="2223"/>
      <c r="K101" s="2248">
        <v>0</v>
      </c>
      <c r="L101" s="2223"/>
      <c r="M101" s="3101">
        <v>0</v>
      </c>
      <c r="N101" t="s">
        <v>2718</v>
      </c>
      <c r="P101" s="109"/>
      <c r="R101" s="102"/>
      <c r="S101" s="195"/>
    </row>
    <row r="102" spans="1:19" ht="15.5">
      <c r="A102" s="332" t="s">
        <v>2710</v>
      </c>
      <c r="B102" s="328"/>
      <c r="C102" s="2417">
        <f>IF(ISNA('DE1'!C253),0,'DE1'!C253)</f>
        <v>0</v>
      </c>
      <c r="D102" s="457"/>
      <c r="E102" s="1829">
        <v>0</v>
      </c>
      <c r="F102" s="457"/>
      <c r="G102" s="2375">
        <v>0</v>
      </c>
      <c r="H102" s="457"/>
      <c r="I102" s="1942">
        <v>0</v>
      </c>
      <c r="J102" s="2223"/>
      <c r="K102" s="2248">
        <v>0</v>
      </c>
      <c r="L102" s="2223"/>
      <c r="M102" s="3101">
        <v>0</v>
      </c>
      <c r="N102" t="s">
        <v>2718</v>
      </c>
      <c r="P102" s="109"/>
      <c r="R102" s="102"/>
      <c r="S102" s="195"/>
    </row>
    <row r="103" spans="1:19" ht="15.5">
      <c r="A103" s="332" t="s">
        <v>7829</v>
      </c>
      <c r="B103" s="328"/>
      <c r="C103" s="2417">
        <f>IF(ISNA('DE1'!C254),0,'DE1'!C254)</f>
        <v>0</v>
      </c>
      <c r="D103" s="457"/>
      <c r="E103" s="1829">
        <v>0</v>
      </c>
      <c r="F103" s="457"/>
      <c r="G103" s="2375">
        <v>0</v>
      </c>
      <c r="H103" s="457"/>
      <c r="I103" s="1942">
        <v>0</v>
      </c>
      <c r="J103" s="2223"/>
      <c r="K103" s="2248">
        <v>0</v>
      </c>
      <c r="L103" s="2223"/>
      <c r="M103" s="3101">
        <v>0</v>
      </c>
      <c r="N103" t="s">
        <v>10350</v>
      </c>
      <c r="P103" s="109"/>
      <c r="R103" s="102"/>
      <c r="S103" s="195"/>
    </row>
    <row r="104" spans="1:19" ht="15.5">
      <c r="A104" s="274" t="s">
        <v>8339</v>
      </c>
      <c r="B104" s="274"/>
      <c r="C104" s="2162" t="s">
        <v>8924</v>
      </c>
      <c r="D104" s="456"/>
      <c r="E104" s="2162" t="s">
        <v>8924</v>
      </c>
      <c r="F104" s="456"/>
      <c r="G104" s="2162" t="s">
        <v>8924</v>
      </c>
      <c r="H104" s="456"/>
      <c r="I104" s="2162" t="s">
        <v>8924</v>
      </c>
      <c r="J104" s="2227"/>
      <c r="K104" s="2162" t="s">
        <v>8924</v>
      </c>
      <c r="L104" s="2227"/>
      <c r="M104" s="2162" t="s">
        <v>8924</v>
      </c>
      <c r="N104" t="s">
        <v>8340</v>
      </c>
      <c r="P104" s="109"/>
      <c r="R104" s="189"/>
      <c r="S104" s="196"/>
    </row>
    <row r="105" spans="1:19" s="2042" customFormat="1" ht="15.5">
      <c r="A105" s="2975" t="s">
        <v>11027</v>
      </c>
      <c r="B105" s="2974"/>
      <c r="C105" s="2463"/>
      <c r="D105" s="456"/>
      <c r="E105" s="1829">
        <v>0</v>
      </c>
      <c r="F105" s="456"/>
      <c r="G105" s="2375">
        <v>0</v>
      </c>
      <c r="H105" s="456"/>
      <c r="I105" s="1942">
        <v>0</v>
      </c>
      <c r="J105" s="2227"/>
      <c r="K105" s="2248">
        <v>0</v>
      </c>
      <c r="L105" s="2227"/>
      <c r="M105" s="3101">
        <v>0</v>
      </c>
      <c r="O105" s="170"/>
      <c r="P105" s="109"/>
      <c r="R105" s="189"/>
      <c r="S105" s="196"/>
    </row>
    <row r="106" spans="1:19" s="2042" customFormat="1" ht="15.5">
      <c r="A106" s="2788" t="s">
        <v>10808</v>
      </c>
      <c r="B106" s="2788"/>
      <c r="C106" s="2417">
        <f>IF(ISNA('DE1'!C255),0,'DE1'!C255)</f>
        <v>0</v>
      </c>
      <c r="D106" s="456"/>
      <c r="E106" s="1829">
        <v>0</v>
      </c>
      <c r="F106" s="456"/>
      <c r="G106" s="2375">
        <v>0</v>
      </c>
      <c r="H106" s="456"/>
      <c r="I106" s="1942">
        <v>0</v>
      </c>
      <c r="J106" s="2227"/>
      <c r="K106" s="2162" t="s">
        <v>8924</v>
      </c>
      <c r="L106" s="2227"/>
      <c r="M106" s="2162" t="s">
        <v>8924</v>
      </c>
      <c r="N106" s="2042" t="s">
        <v>10809</v>
      </c>
      <c r="O106" s="170"/>
      <c r="P106" s="109"/>
      <c r="R106" s="189"/>
      <c r="S106" s="196"/>
    </row>
    <row r="107" spans="1:19" ht="15.5">
      <c r="A107" s="1329" t="s">
        <v>7456</v>
      </c>
      <c r="B107" s="1329"/>
      <c r="C107" s="3205" t="s">
        <v>1685</v>
      </c>
      <c r="D107" s="2401"/>
      <c r="E107" s="2115" t="str">
        <f>C107</f>
        <v>N</v>
      </c>
      <c r="F107" s="2401"/>
      <c r="G107" s="2376" t="str">
        <f>E107</f>
        <v>N</v>
      </c>
      <c r="H107" s="2401"/>
      <c r="I107" s="2116" t="str">
        <f>G107</f>
        <v>N</v>
      </c>
      <c r="J107" s="2229"/>
      <c r="K107" s="2768" t="str">
        <f>I107</f>
        <v>N</v>
      </c>
      <c r="L107" s="2229"/>
      <c r="M107" s="3102" t="str">
        <f>K107</f>
        <v>N</v>
      </c>
      <c r="N107" s="25" t="s">
        <v>7795</v>
      </c>
      <c r="O107" s="1146"/>
      <c r="P107" s="1100"/>
      <c r="Q107" s="1100"/>
      <c r="R107" s="1100"/>
      <c r="S107" s="1100"/>
    </row>
    <row r="108" spans="1:19" ht="15.5">
      <c r="A108" s="368" t="s">
        <v>3327</v>
      </c>
      <c r="B108" s="303"/>
      <c r="C108" s="3195">
        <v>0</v>
      </c>
      <c r="D108" s="457"/>
      <c r="E108" s="568">
        <v>0</v>
      </c>
      <c r="F108" s="457"/>
      <c r="G108" s="2368">
        <v>0</v>
      </c>
      <c r="H108" s="457"/>
      <c r="I108" s="1935">
        <v>0</v>
      </c>
      <c r="J108" s="2223"/>
      <c r="K108" s="2240">
        <v>0</v>
      </c>
      <c r="L108" s="2223"/>
      <c r="M108" s="3092">
        <v>0</v>
      </c>
      <c r="N108" t="s">
        <v>2814</v>
      </c>
      <c r="P108" s="109"/>
      <c r="R108" s="102"/>
      <c r="S108" s="195"/>
    </row>
    <row r="109" spans="1:19" ht="15.5">
      <c r="A109" s="368" t="s">
        <v>3328</v>
      </c>
      <c r="B109" s="303"/>
      <c r="C109" s="3195">
        <v>0</v>
      </c>
      <c r="D109" s="457"/>
      <c r="E109" s="600">
        <v>0</v>
      </c>
      <c r="F109" s="457"/>
      <c r="G109" s="2373">
        <v>0</v>
      </c>
      <c r="H109" s="457"/>
      <c r="I109" s="1938">
        <v>0</v>
      </c>
      <c r="J109" s="2223"/>
      <c r="K109" s="2245">
        <v>0</v>
      </c>
      <c r="L109" s="2223"/>
      <c r="M109" s="3095">
        <v>0</v>
      </c>
      <c r="N109" t="s">
        <v>2814</v>
      </c>
      <c r="P109" s="109"/>
      <c r="R109" s="102"/>
      <c r="S109" s="195"/>
    </row>
    <row r="110" spans="1:19" ht="18">
      <c r="A110" s="618" t="s">
        <v>8146</v>
      </c>
      <c r="B110" s="611"/>
      <c r="C110" s="613" t="str">
        <f>C71</f>
        <v>2021-22</v>
      </c>
      <c r="D110" s="613"/>
      <c r="E110" s="613" t="str">
        <f>E71</f>
        <v>2022-23</v>
      </c>
      <c r="F110" s="613"/>
      <c r="G110" s="613" t="str">
        <f>G71</f>
        <v>2023-24</v>
      </c>
      <c r="H110" s="612"/>
      <c r="I110" s="613" t="str">
        <f>I71</f>
        <v>2024-25</v>
      </c>
      <c r="J110" s="2346"/>
      <c r="K110" s="613" t="str">
        <f>K71</f>
        <v>2025-26</v>
      </c>
      <c r="L110" s="2346"/>
      <c r="M110" s="613" t="str">
        <f>M71</f>
        <v>2026-27</v>
      </c>
      <c r="N110" s="132" t="s">
        <v>927</v>
      </c>
      <c r="R110" s="190"/>
      <c r="S110" s="194"/>
    </row>
    <row r="111" spans="1:19" ht="15.5">
      <c r="A111" s="303" t="s">
        <v>2666</v>
      </c>
      <c r="B111" s="303"/>
      <c r="C111" s="3201">
        <f>IF(ISNA('DE1'!C257),0,'DE1'!C257)</f>
        <v>0</v>
      </c>
      <c r="D111" s="457"/>
      <c r="E111" s="1829">
        <v>0</v>
      </c>
      <c r="F111" s="457"/>
      <c r="G111" s="2377">
        <v>0</v>
      </c>
      <c r="H111" s="457"/>
      <c r="I111" s="1942">
        <v>0</v>
      </c>
      <c r="J111" s="2223"/>
      <c r="K111" s="2248">
        <v>0</v>
      </c>
      <c r="L111" s="2223"/>
      <c r="M111" s="3101">
        <v>0</v>
      </c>
      <c r="N111" s="175" t="s">
        <v>2719</v>
      </c>
      <c r="P111" s="109"/>
      <c r="R111" s="190"/>
      <c r="S111" s="194"/>
    </row>
    <row r="112" spans="1:19" ht="15.5">
      <c r="A112" s="303" t="s">
        <v>2304</v>
      </c>
      <c r="B112" s="303"/>
      <c r="C112" s="3200">
        <v>0</v>
      </c>
      <c r="D112" s="457"/>
      <c r="E112" s="1829">
        <v>0</v>
      </c>
      <c r="F112" s="457"/>
      <c r="G112" s="2366">
        <f t="shared" ref="G112:K115" si="13">E112</f>
        <v>0</v>
      </c>
      <c r="H112" s="457"/>
      <c r="I112" s="1940">
        <f t="shared" si="13"/>
        <v>0</v>
      </c>
      <c r="J112" s="2223"/>
      <c r="K112" s="2237">
        <f t="shared" si="13"/>
        <v>0</v>
      </c>
      <c r="L112" s="2223"/>
      <c r="M112" s="3086">
        <f>K112</f>
        <v>0</v>
      </c>
      <c r="N112" s="175" t="s">
        <v>2720</v>
      </c>
      <c r="P112" s="109"/>
      <c r="R112" s="190"/>
      <c r="S112" s="194"/>
    </row>
    <row r="113" spans="1:19" ht="15.5">
      <c r="A113" s="289" t="s">
        <v>1747</v>
      </c>
      <c r="B113" s="289"/>
      <c r="C113" s="612"/>
      <c r="D113" s="457"/>
      <c r="E113" s="612"/>
      <c r="F113" s="457"/>
      <c r="G113" s="2365"/>
      <c r="H113" s="2347"/>
      <c r="I113" s="612"/>
      <c r="J113" s="1100"/>
      <c r="K113" s="2249"/>
      <c r="L113" s="1100"/>
      <c r="M113" s="2249"/>
      <c r="P113" s="109"/>
      <c r="R113" s="190"/>
      <c r="S113" s="194"/>
    </row>
    <row r="114" spans="1:19" ht="15.5">
      <c r="A114" s="307" t="s">
        <v>2532</v>
      </c>
      <c r="B114" s="306"/>
      <c r="C114" s="3200">
        <v>0</v>
      </c>
      <c r="D114" s="457"/>
      <c r="E114" s="1829">
        <f t="shared" ref="E114:E115" si="14">C114</f>
        <v>0</v>
      </c>
      <c r="F114" s="457"/>
      <c r="G114" s="2366">
        <f t="shared" si="13"/>
        <v>0</v>
      </c>
      <c r="H114" s="457"/>
      <c r="I114" s="1940">
        <f t="shared" si="13"/>
        <v>0</v>
      </c>
      <c r="J114" s="2223"/>
      <c r="K114" s="2237">
        <f t="shared" si="13"/>
        <v>0</v>
      </c>
      <c r="L114" s="2223"/>
      <c r="M114" s="3086">
        <f>K114</f>
        <v>0</v>
      </c>
      <c r="N114" s="175" t="s">
        <v>2721</v>
      </c>
      <c r="P114" s="109"/>
      <c r="R114" s="190"/>
      <c r="S114" s="194"/>
    </row>
    <row r="115" spans="1:19" ht="15.5">
      <c r="A115" s="304" t="s">
        <v>721</v>
      </c>
      <c r="B115" s="328"/>
      <c r="C115" s="3200">
        <v>0</v>
      </c>
      <c r="D115" s="457"/>
      <c r="E115" s="1829">
        <f t="shared" si="14"/>
        <v>0</v>
      </c>
      <c r="F115" s="457"/>
      <c r="G115" s="2366">
        <f t="shared" si="13"/>
        <v>0</v>
      </c>
      <c r="H115" s="457"/>
      <c r="I115" s="1940">
        <f t="shared" si="13"/>
        <v>0</v>
      </c>
      <c r="J115" s="2223"/>
      <c r="K115" s="2237">
        <f t="shared" si="13"/>
        <v>0</v>
      </c>
      <c r="L115" s="2223"/>
      <c r="M115" s="3086">
        <f>K115</f>
        <v>0</v>
      </c>
      <c r="N115" s="175" t="s">
        <v>2722</v>
      </c>
    </row>
    <row r="116" spans="1:19" ht="15.5">
      <c r="A116" s="1719" t="s">
        <v>10864</v>
      </c>
      <c r="B116" s="1720"/>
      <c r="C116" s="3200">
        <v>0</v>
      </c>
      <c r="D116" s="457"/>
      <c r="E116" s="1829">
        <v>0</v>
      </c>
      <c r="F116" s="457"/>
      <c r="G116" s="2377">
        <v>0</v>
      </c>
      <c r="H116" s="457"/>
      <c r="I116" s="1942">
        <v>0</v>
      </c>
      <c r="J116" s="2223"/>
      <c r="K116" s="2248">
        <v>0</v>
      </c>
      <c r="L116" s="2223"/>
      <c r="M116" s="3101">
        <v>0</v>
      </c>
      <c r="N116" s="1826" t="s">
        <v>10865</v>
      </c>
    </row>
    <row r="117" spans="1:19" ht="18">
      <c r="A117" s="618" t="s">
        <v>7696</v>
      </c>
      <c r="B117" s="615"/>
      <c r="C117" s="612"/>
      <c r="D117" s="459"/>
      <c r="E117" s="612"/>
      <c r="F117" s="459"/>
      <c r="G117" s="613" t="s">
        <v>7037</v>
      </c>
      <c r="H117" s="459"/>
      <c r="I117" s="669"/>
      <c r="J117" s="669"/>
      <c r="K117" s="669"/>
      <c r="L117" s="669"/>
      <c r="M117" s="669"/>
      <c r="N117" s="175"/>
    </row>
    <row r="118" spans="1:19" ht="15.5">
      <c r="A118" s="303" t="s">
        <v>2822</v>
      </c>
      <c r="B118" s="328"/>
      <c r="C118" s="612"/>
      <c r="D118" s="459"/>
      <c r="E118" s="612"/>
      <c r="F118" s="459"/>
      <c r="G118" s="1851">
        <v>0</v>
      </c>
      <c r="H118" s="459"/>
      <c r="I118" s="669"/>
      <c r="J118" s="669"/>
      <c r="K118" s="669"/>
      <c r="L118" s="669"/>
      <c r="M118" s="669"/>
      <c r="N118" s="175" t="s">
        <v>2730</v>
      </c>
    </row>
    <row r="119" spans="1:19" ht="15.5">
      <c r="A119" s="303" t="s">
        <v>12548</v>
      </c>
      <c r="B119" s="328"/>
      <c r="C119" s="612"/>
      <c r="D119" s="459"/>
      <c r="E119" s="612"/>
      <c r="F119" s="459"/>
      <c r="G119" s="1124">
        <v>0</v>
      </c>
      <c r="H119" s="459"/>
      <c r="I119" s="669"/>
      <c r="J119" s="669"/>
      <c r="K119" s="669"/>
      <c r="L119" s="669"/>
      <c r="M119" s="669"/>
      <c r="N119" s="100" t="s">
        <v>12551</v>
      </c>
      <c r="O119" s="512"/>
    </row>
    <row r="120" spans="1:19" ht="15.5">
      <c r="A120" s="303" t="s">
        <v>12549</v>
      </c>
      <c r="B120" s="602"/>
      <c r="C120" s="612"/>
      <c r="D120" s="459"/>
      <c r="E120" s="612"/>
      <c r="F120" s="459"/>
      <c r="G120" s="1124">
        <v>0</v>
      </c>
      <c r="H120" s="459"/>
      <c r="I120" s="669"/>
      <c r="J120" s="669"/>
      <c r="K120" s="669"/>
      <c r="L120" s="669"/>
      <c r="M120" s="669"/>
      <c r="N120" s="100" t="s">
        <v>12552</v>
      </c>
      <c r="O120" s="497"/>
    </row>
    <row r="121" spans="1:19" s="2042" customFormat="1" ht="15.5">
      <c r="A121" s="2404" t="s">
        <v>12550</v>
      </c>
      <c r="B121" s="2405"/>
      <c r="C121" s="2354"/>
      <c r="D121" s="459"/>
      <c r="E121" s="2354"/>
      <c r="F121" s="459"/>
      <c r="G121" s="2406">
        <v>0</v>
      </c>
      <c r="H121" s="459"/>
      <c r="I121" s="669"/>
      <c r="J121" s="669"/>
      <c r="K121" s="669"/>
      <c r="L121" s="669"/>
      <c r="M121" s="669"/>
      <c r="N121" s="175" t="s">
        <v>12553</v>
      </c>
      <c r="O121" s="497"/>
    </row>
    <row r="122" spans="1:19" s="2042" customFormat="1" ht="18">
      <c r="A122" s="618" t="s">
        <v>2679</v>
      </c>
      <c r="B122" s="2407"/>
      <c r="C122" s="613" t="str">
        <f>C110</f>
        <v>2021-22</v>
      </c>
      <c r="D122" s="613"/>
      <c r="E122" s="613" t="str">
        <f>E110</f>
        <v>2022-23</v>
      </c>
      <c r="F122" s="613"/>
      <c r="G122" s="613" t="str">
        <f>G110</f>
        <v>2023-24</v>
      </c>
      <c r="H122" s="612"/>
      <c r="I122" s="613" t="str">
        <f>I110</f>
        <v>2024-25</v>
      </c>
      <c r="J122" s="2346"/>
      <c r="K122" s="613" t="str">
        <f>K110</f>
        <v>2025-26</v>
      </c>
      <c r="L122" s="2346"/>
      <c r="M122" s="613" t="str">
        <f>M110</f>
        <v>2026-27</v>
      </c>
      <c r="O122" s="170"/>
    </row>
    <row r="123" spans="1:19" s="247" customFormat="1" ht="15.5">
      <c r="A123" s="274" t="s">
        <v>7747</v>
      </c>
      <c r="B123" s="305"/>
      <c r="C123" s="2418">
        <f>IF(ISNA('DE1'!C142),0,'DE1'!C142)</f>
        <v>0</v>
      </c>
      <c r="D123" s="1887"/>
      <c r="E123" s="1888">
        <f t="shared" ref="E123:E128" si="15">C123</f>
        <v>0</v>
      </c>
      <c r="F123" s="1887"/>
      <c r="G123" s="2378">
        <f t="shared" ref="G123:M128" si="16">E123</f>
        <v>0</v>
      </c>
      <c r="H123" s="460"/>
      <c r="I123" s="1943">
        <f t="shared" si="16"/>
        <v>0</v>
      </c>
      <c r="J123" s="2230"/>
      <c r="K123" s="2250">
        <f t="shared" si="16"/>
        <v>0</v>
      </c>
      <c r="L123" s="2230"/>
      <c r="M123" s="3103">
        <f t="shared" si="16"/>
        <v>0</v>
      </c>
      <c r="N123" t="s">
        <v>7796</v>
      </c>
      <c r="O123" s="170"/>
      <c r="R123" s="300"/>
      <c r="S123" s="301"/>
    </row>
    <row r="124" spans="1:19" s="247" customFormat="1" ht="15.5">
      <c r="A124" s="274" t="s">
        <v>7748</v>
      </c>
      <c r="B124" s="1255"/>
      <c r="C124" s="3198">
        <f>'Calc Data'!D220</f>
        <v>0</v>
      </c>
      <c r="D124" s="1887"/>
      <c r="E124" s="1889">
        <f>'Calc Data'!E220</f>
        <v>0</v>
      </c>
      <c r="F124" s="1887"/>
      <c r="G124" s="2379" t="e">
        <f>'Calc Data'!F220</f>
        <v>#DIV/0!</v>
      </c>
      <c r="H124" s="460"/>
      <c r="I124" s="1944" t="e">
        <f>'Calc Data'!G220</f>
        <v>#DIV/0!</v>
      </c>
      <c r="J124" s="2231"/>
      <c r="K124" s="2251" t="e">
        <f>'Calc Data'!H220</f>
        <v>#DIV/0!</v>
      </c>
      <c r="L124" s="2231"/>
      <c r="M124" s="3104" t="e">
        <f>'Calc Data'!I220</f>
        <v>#DIV/0!</v>
      </c>
      <c r="N124" s="2042" t="s">
        <v>7796</v>
      </c>
      <c r="O124" s="170"/>
      <c r="R124" s="300"/>
      <c r="S124" s="301"/>
    </row>
    <row r="125" spans="1:19" ht="15.5">
      <c r="A125" s="274" t="s">
        <v>888</v>
      </c>
      <c r="B125" s="274"/>
      <c r="C125" s="2419">
        <f>IF(ISNA('DE1'!C108),0,'DE1'!C108)</f>
        <v>0</v>
      </c>
      <c r="D125" s="461"/>
      <c r="E125" s="569">
        <f t="shared" si="15"/>
        <v>0</v>
      </c>
      <c r="F125" s="461"/>
      <c r="G125" s="2380">
        <f t="shared" si="16"/>
        <v>0</v>
      </c>
      <c r="H125" s="461"/>
      <c r="I125" s="1945">
        <f t="shared" si="16"/>
        <v>0</v>
      </c>
      <c r="J125" s="2232"/>
      <c r="K125" s="2252">
        <f t="shared" si="16"/>
        <v>0</v>
      </c>
      <c r="L125" s="2232"/>
      <c r="M125" s="3105">
        <f t="shared" si="16"/>
        <v>0</v>
      </c>
      <c r="N125" t="s">
        <v>2723</v>
      </c>
    </row>
    <row r="126" spans="1:19" ht="15.5">
      <c r="A126" s="274" t="s">
        <v>1197</v>
      </c>
      <c r="B126" s="274"/>
      <c r="C126" s="2419">
        <f>IF(ISNA('DE1'!C109),0,'DE1'!C109)</f>
        <v>0</v>
      </c>
      <c r="D126" s="461"/>
      <c r="E126" s="569">
        <f t="shared" si="15"/>
        <v>0</v>
      </c>
      <c r="F126" s="461"/>
      <c r="G126" s="2380">
        <f t="shared" si="16"/>
        <v>0</v>
      </c>
      <c r="H126" s="461"/>
      <c r="I126" s="1945">
        <f t="shared" si="16"/>
        <v>0</v>
      </c>
      <c r="J126" s="2232"/>
      <c r="K126" s="2252">
        <f t="shared" si="16"/>
        <v>0</v>
      </c>
      <c r="L126" s="2232"/>
      <c r="M126" s="3105">
        <f t="shared" si="16"/>
        <v>0</v>
      </c>
      <c r="N126" t="s">
        <v>2724</v>
      </c>
    </row>
    <row r="127" spans="1:19" ht="15.5">
      <c r="A127" s="274" t="s">
        <v>1970</v>
      </c>
      <c r="B127" s="274"/>
      <c r="C127" s="2419">
        <f>IF(ISNA('DE1'!C110),0,'DE1'!C110)</f>
        <v>0</v>
      </c>
      <c r="D127" s="461"/>
      <c r="E127" s="569">
        <f t="shared" si="15"/>
        <v>0</v>
      </c>
      <c r="F127" s="461"/>
      <c r="G127" s="2380">
        <f t="shared" si="16"/>
        <v>0</v>
      </c>
      <c r="H127" s="461"/>
      <c r="I127" s="1945">
        <f t="shared" si="16"/>
        <v>0</v>
      </c>
      <c r="J127" s="2232"/>
      <c r="K127" s="2252">
        <f t="shared" si="16"/>
        <v>0</v>
      </c>
      <c r="L127" s="2232"/>
      <c r="M127" s="3105">
        <f t="shared" si="16"/>
        <v>0</v>
      </c>
      <c r="N127" t="s">
        <v>2725</v>
      </c>
    </row>
    <row r="128" spans="1:19" ht="15.5" hidden="1">
      <c r="A128" s="274" t="s">
        <v>2667</v>
      </c>
      <c r="B128" s="274"/>
      <c r="C128" s="1125" t="e">
        <f>#REF!</f>
        <v>#REF!</v>
      </c>
      <c r="D128" s="462"/>
      <c r="E128" s="570" t="e">
        <f t="shared" si="15"/>
        <v>#REF!</v>
      </c>
      <c r="F128" s="462"/>
      <c r="G128" s="2381" t="e">
        <f t="shared" si="16"/>
        <v>#REF!</v>
      </c>
      <c r="H128" s="462"/>
      <c r="I128" s="1946" t="e">
        <f t="shared" si="16"/>
        <v>#REF!</v>
      </c>
      <c r="J128" s="2233"/>
      <c r="K128" s="2253" t="e">
        <f t="shared" si="16"/>
        <v>#REF!</v>
      </c>
      <c r="L128" s="2233"/>
      <c r="M128" s="2253" t="e">
        <f t="shared" si="16"/>
        <v>#REF!</v>
      </c>
      <c r="N128" s="53" t="s">
        <v>13</v>
      </c>
    </row>
    <row r="129" spans="1:45" ht="15.5">
      <c r="A129" s="1923" t="s">
        <v>8452</v>
      </c>
      <c r="B129" s="2179"/>
      <c r="C129" s="612"/>
      <c r="D129" s="612"/>
      <c r="E129" s="612"/>
      <c r="F129" s="612"/>
      <c r="G129" s="2365"/>
      <c r="H129" s="612"/>
      <c r="I129" s="612"/>
      <c r="J129" s="2183"/>
      <c r="K129" s="2249"/>
      <c r="L129" s="2183"/>
      <c r="M129" s="2249"/>
      <c r="N129" s="2044" t="s">
        <v>8588</v>
      </c>
    </row>
    <row r="130" spans="1:45" s="2042" customFormat="1" ht="15.5">
      <c r="A130" s="2340" t="s">
        <v>9062</v>
      </c>
      <c r="B130" s="2333"/>
      <c r="C130" s="2419">
        <f>IF(ISNA('DE1'!G155),0,'DE1'!G155)</f>
        <v>0</v>
      </c>
      <c r="D130" s="462"/>
      <c r="E130" s="2761">
        <f>IF(ISNA('DE1'!H155),0,'DE1'!H155)</f>
        <v>0</v>
      </c>
      <c r="F130" s="462"/>
      <c r="G130" s="2382">
        <v>0</v>
      </c>
      <c r="H130" s="462"/>
      <c r="I130" s="2219">
        <v>0</v>
      </c>
      <c r="J130" s="2234"/>
      <c r="K130" s="2254">
        <v>0</v>
      </c>
      <c r="L130" s="2234"/>
      <c r="M130" s="3106">
        <v>0</v>
      </c>
      <c r="N130" s="25" t="s">
        <v>9139</v>
      </c>
      <c r="O130" s="170"/>
    </row>
    <row r="131" spans="1:45" s="2042" customFormat="1" ht="15.5">
      <c r="A131" s="2341" t="s">
        <v>9142</v>
      </c>
      <c r="B131" s="2182"/>
      <c r="C131" s="3199" t="e">
        <f>'DE1'!G165</f>
        <v>#N/A</v>
      </c>
      <c r="D131" s="462"/>
      <c r="E131" s="2761">
        <f>IF(ISNA('DE1'!H165),0,'DE1'!H165)</f>
        <v>0</v>
      </c>
      <c r="F131" s="462"/>
      <c r="G131" s="2382">
        <v>0</v>
      </c>
      <c r="H131" s="462"/>
      <c r="I131" s="2219">
        <v>0</v>
      </c>
      <c r="J131" s="2234"/>
      <c r="K131" s="2254">
        <v>0</v>
      </c>
      <c r="L131" s="2234"/>
      <c r="M131" s="3106">
        <v>0</v>
      </c>
      <c r="N131" s="25" t="s">
        <v>9140</v>
      </c>
      <c r="O131" s="170"/>
    </row>
    <row r="132" spans="1:45" s="2042" customFormat="1" ht="15.5">
      <c r="A132" s="2341" t="s">
        <v>9143</v>
      </c>
      <c r="B132" s="2182"/>
      <c r="C132" s="3231" t="e">
        <f>'DE1'!G166</f>
        <v>#N/A</v>
      </c>
      <c r="D132" s="462"/>
      <c r="E132" s="2761">
        <f>IF(ISNA('DE1'!H166),0,'DE1'!H166)</f>
        <v>0</v>
      </c>
      <c r="F132" s="462"/>
      <c r="G132" s="2382">
        <v>0</v>
      </c>
      <c r="H132" s="462"/>
      <c r="I132" s="2219">
        <v>0</v>
      </c>
      <c r="J132" s="2234"/>
      <c r="K132" s="2254">
        <v>0</v>
      </c>
      <c r="L132" s="2234"/>
      <c r="M132" s="3106">
        <v>0</v>
      </c>
      <c r="N132" s="25" t="s">
        <v>9140</v>
      </c>
      <c r="O132" s="170"/>
    </row>
    <row r="133" spans="1:45" s="2042" customFormat="1" ht="15.5">
      <c r="A133" s="2341" t="s">
        <v>9144</v>
      </c>
      <c r="B133" s="2182"/>
      <c r="C133" s="3231" t="e">
        <f>'DE1'!G167</f>
        <v>#N/A</v>
      </c>
      <c r="D133" s="462"/>
      <c r="E133" s="2761">
        <f>IF(ISNA('DE1'!H167),0,'DE1'!H167)</f>
        <v>0</v>
      </c>
      <c r="F133" s="462"/>
      <c r="G133" s="2382">
        <v>0</v>
      </c>
      <c r="H133" s="462"/>
      <c r="I133" s="2219">
        <v>0</v>
      </c>
      <c r="J133" s="2234"/>
      <c r="K133" s="2254">
        <v>0</v>
      </c>
      <c r="L133" s="2234"/>
      <c r="M133" s="3106">
        <v>0</v>
      </c>
      <c r="N133" s="25" t="s">
        <v>9140</v>
      </c>
      <c r="O133" s="170"/>
    </row>
    <row r="134" spans="1:45" s="247" customFormat="1" ht="15.5" hidden="1">
      <c r="A134" s="274" t="s">
        <v>1949</v>
      </c>
      <c r="B134" s="1028"/>
      <c r="C134" s="3197"/>
      <c r="D134" s="289"/>
      <c r="F134" s="289"/>
      <c r="G134" s="2383"/>
      <c r="H134" s="289"/>
      <c r="J134" s="2040"/>
      <c r="K134" s="2040"/>
      <c r="L134" s="2040"/>
      <c r="M134" s="2040"/>
      <c r="O134" s="295"/>
    </row>
    <row r="135" spans="1:45" s="247" customFormat="1" ht="15" customHeight="1">
      <c r="A135" s="1923" t="s">
        <v>8791</v>
      </c>
      <c r="B135" s="1924"/>
      <c r="C135" s="2420">
        <f>IF(ISNA('DE1'!C20),0,'DE1'!C20)</f>
        <v>0</v>
      </c>
      <c r="D135" s="455"/>
      <c r="E135" s="2178">
        <f>C135</f>
        <v>0</v>
      </c>
      <c r="F135" s="455"/>
      <c r="G135" s="2384">
        <f>E135</f>
        <v>0</v>
      </c>
      <c r="H135" s="455"/>
      <c r="I135" s="2178">
        <f>G135</f>
        <v>0</v>
      </c>
      <c r="J135" s="2235"/>
      <c r="K135" s="2178">
        <f>I135</f>
        <v>0</v>
      </c>
      <c r="L135" s="2235"/>
      <c r="M135" s="3107">
        <f>K135</f>
        <v>0</v>
      </c>
      <c r="N135" s="25" t="s">
        <v>7794</v>
      </c>
      <c r="O135" s="1087"/>
      <c r="R135" s="291"/>
      <c r="S135" s="292"/>
      <c r="AS135" s="214"/>
    </row>
    <row r="136" spans="1:45" s="232" customFormat="1" ht="15.5">
      <c r="A136" s="3131" t="s">
        <v>8482</v>
      </c>
      <c r="B136" s="2027"/>
      <c r="C136" s="3130">
        <f>IF(ISNA('DE1'!C155),0,'DE1'!C155)</f>
        <v>0</v>
      </c>
      <c r="D136" s="36" t="s">
        <v>10354</v>
      </c>
      <c r="F136" s="300"/>
      <c r="H136" s="300"/>
      <c r="J136" s="2039"/>
      <c r="K136" s="2039"/>
      <c r="L136" s="2039"/>
      <c r="M136" s="2039"/>
      <c r="N136" s="36"/>
    </row>
    <row r="137" spans="1:45" s="247" customFormat="1" ht="15.5">
      <c r="A137" s="2180" t="s">
        <v>11176</v>
      </c>
      <c r="B137" s="3137"/>
      <c r="C137" s="3130">
        <f>IF(ISNA('DE1'!N51),0,'DE1'!N51)</f>
        <v>0</v>
      </c>
      <c r="D137" s="36" t="s">
        <v>10354</v>
      </c>
      <c r="E137" s="232"/>
      <c r="F137" s="300"/>
      <c r="G137" s="232"/>
      <c r="H137" s="300"/>
      <c r="I137" s="232"/>
      <c r="J137" s="2039"/>
      <c r="K137" s="2039"/>
      <c r="L137" s="2039"/>
      <c r="M137" s="2039"/>
      <c r="N137" s="35"/>
    </row>
    <row r="138" spans="1:45" s="2040" customFormat="1" ht="15.5">
      <c r="A138" s="2180" t="s">
        <v>11170</v>
      </c>
      <c r="B138" s="3133"/>
      <c r="C138" s="3130">
        <f>IF(ISNA('DE1'!N48),0,'DE1'!N48)</f>
        <v>0</v>
      </c>
      <c r="D138" s="36" t="s">
        <v>10354</v>
      </c>
      <c r="E138" s="2039"/>
      <c r="F138" s="2041"/>
      <c r="G138" s="2039"/>
      <c r="H138" s="2041"/>
      <c r="I138" s="2039"/>
      <c r="J138" s="2039"/>
      <c r="K138" s="2039"/>
      <c r="L138" s="2039"/>
      <c r="M138" s="2039"/>
      <c r="N138" s="2038"/>
    </row>
    <row r="139" spans="1:45" s="232" customFormat="1" ht="15.5">
      <c r="A139" s="2180" t="s">
        <v>11169</v>
      </c>
      <c r="B139" s="3132"/>
      <c r="C139" s="3130">
        <f>IF(ISNA('DE1'!N50),0,'DE1'!N50)</f>
        <v>0</v>
      </c>
      <c r="D139" s="36" t="s">
        <v>10354</v>
      </c>
      <c r="F139" s="300"/>
      <c r="H139" s="300"/>
      <c r="J139" s="2039"/>
      <c r="K139" s="2039"/>
      <c r="L139" s="2039"/>
      <c r="M139" s="2039"/>
      <c r="N139" s="36"/>
    </row>
    <row r="140" spans="1:45" s="232" customFormat="1" ht="15.5">
      <c r="A140" s="2180" t="s">
        <v>11168</v>
      </c>
      <c r="B140" s="2027"/>
      <c r="C140" s="3130">
        <f>IF(ISNA('DE1'!N49),0,'DE1'!N49)</f>
        <v>0</v>
      </c>
      <c r="D140" s="36" t="s">
        <v>10354</v>
      </c>
      <c r="E140" s="3111"/>
      <c r="F140" s="300"/>
      <c r="H140" s="300"/>
      <c r="J140" s="2039"/>
      <c r="K140" s="2039"/>
      <c r="L140" s="2039"/>
      <c r="M140" s="2039"/>
      <c r="N140" s="36"/>
    </row>
    <row r="141" spans="1:45" s="247" customFormat="1" ht="15.5">
      <c r="A141" s="2180" t="s">
        <v>3331</v>
      </c>
      <c r="B141" s="1030"/>
      <c r="C141" s="3130">
        <f>IF(ISNA('DE1'!C248),0,'DE1'!C248)</f>
        <v>0</v>
      </c>
      <c r="D141" s="36" t="s">
        <v>10354</v>
      </c>
      <c r="E141" s="3111"/>
      <c r="F141" s="3111"/>
      <c r="G141" s="3111"/>
      <c r="H141" s="300"/>
      <c r="I141" s="232"/>
      <c r="J141" s="2039"/>
      <c r="K141" s="2039"/>
      <c r="L141" s="2039"/>
      <c r="M141" s="2039"/>
      <c r="N141" s="2038"/>
    </row>
    <row r="142" spans="1:45" s="247" customFormat="1" ht="15.5">
      <c r="A142" s="2180" t="s">
        <v>11174</v>
      </c>
      <c r="B142" s="1030"/>
      <c r="C142" s="3130">
        <f>IF(ISNA('DE1'!C249),0,'DE1'!C249)</f>
        <v>0</v>
      </c>
      <c r="D142" s="36" t="s">
        <v>10354</v>
      </c>
      <c r="E142" s="3111"/>
      <c r="F142" s="3111"/>
      <c r="G142" s="3111"/>
      <c r="H142" s="300"/>
      <c r="I142" s="232"/>
      <c r="J142" s="2039"/>
      <c r="K142" s="2039"/>
      <c r="L142" s="2039"/>
      <c r="M142" s="2039"/>
      <c r="N142" s="2038"/>
    </row>
    <row r="143" spans="1:45" s="247" customFormat="1" ht="15.5">
      <c r="A143" s="2180" t="s">
        <v>11175</v>
      </c>
      <c r="B143" s="1030"/>
      <c r="C143" s="3130">
        <f>IF(ISNA('DE1'!C250),0,'DE1'!C250)</f>
        <v>0</v>
      </c>
      <c r="D143" s="36" t="s">
        <v>10354</v>
      </c>
      <c r="E143" s="3111"/>
      <c r="F143" s="3111"/>
      <c r="G143" s="3111"/>
      <c r="H143" s="300"/>
      <c r="I143" s="232"/>
      <c r="J143" s="2039"/>
      <c r="K143" s="2039"/>
      <c r="L143" s="2039"/>
      <c r="M143" s="2039"/>
      <c r="N143" s="2038"/>
    </row>
    <row r="144" spans="1:45" s="289" customFormat="1" ht="15.5">
      <c r="A144" s="2180" t="s">
        <v>11172</v>
      </c>
      <c r="B144" s="1030"/>
      <c r="C144" s="3136">
        <f>IF(ISNA('DE1'!C163),0,'DE1'!C163)</f>
        <v>0</v>
      </c>
      <c r="D144" s="36" t="s">
        <v>10354</v>
      </c>
      <c r="E144" s="3111"/>
      <c r="F144" s="3111"/>
      <c r="G144" s="3111"/>
      <c r="H144" s="300"/>
      <c r="I144" s="300"/>
      <c r="J144" s="2041"/>
      <c r="K144" s="2041"/>
      <c r="L144" s="2041"/>
      <c r="M144" s="2041"/>
      <c r="N144" s="2038"/>
    </row>
    <row r="145" spans="1:19" s="289" customFormat="1" ht="15.5">
      <c r="A145" s="2426" t="s">
        <v>12594</v>
      </c>
      <c r="B145" s="3140"/>
      <c r="C145" s="3136">
        <f>IF(ISNA('DE1'!C260),0,'DE1'!C260)</f>
        <v>0</v>
      </c>
      <c r="D145" s="36" t="s">
        <v>10354</v>
      </c>
      <c r="E145" s="2041"/>
      <c r="F145" s="2041"/>
      <c r="G145" s="2041"/>
      <c r="H145" s="2041"/>
      <c r="I145" s="2041"/>
      <c r="J145" s="2041"/>
      <c r="K145" s="2041"/>
      <c r="L145" s="2041"/>
      <c r="M145" s="2041"/>
      <c r="N145" s="2038"/>
    </row>
    <row r="146" spans="1:19" s="289" customFormat="1" ht="15.5">
      <c r="A146" s="2426" t="s">
        <v>12595</v>
      </c>
      <c r="B146" s="3141"/>
      <c r="C146" s="3136">
        <f>IF(ISNA('DE1'!C259),0,'DE1'!C259)</f>
        <v>0</v>
      </c>
      <c r="D146" s="36" t="s">
        <v>10354</v>
      </c>
      <c r="E146" s="2041"/>
      <c r="F146" s="2041"/>
      <c r="G146" s="2041"/>
      <c r="H146" s="2041"/>
      <c r="I146" s="2041"/>
      <c r="J146" s="2041"/>
      <c r="K146" s="2041"/>
      <c r="L146" s="2041"/>
      <c r="M146" s="2041"/>
      <c r="N146" s="2038"/>
    </row>
    <row r="147" spans="1:19" s="1037" customFormat="1" ht="15.5" hidden="1">
      <c r="A147" s="1329" t="s">
        <v>8841</v>
      </c>
      <c r="B147" s="2135"/>
      <c r="C147" s="2360">
        <f>IF(ISNA('DE1'!C88),0,'DE1'!C88)</f>
        <v>0</v>
      </c>
      <c r="D147" s="36" t="s">
        <v>10354</v>
      </c>
      <c r="E147" s="2041"/>
      <c r="F147" s="2041"/>
      <c r="G147" s="2041"/>
      <c r="H147" s="2041"/>
      <c r="I147" s="2041"/>
      <c r="J147" s="2041"/>
      <c r="K147" s="2041"/>
      <c r="L147" s="2041"/>
      <c r="M147" s="2041"/>
      <c r="N147" s="36" t="s">
        <v>8840</v>
      </c>
      <c r="O147" s="2136"/>
      <c r="R147" s="2137"/>
      <c r="S147" s="2138"/>
    </row>
    <row r="148" spans="1:19" s="289" customFormat="1" ht="15.5" hidden="1">
      <c r="A148" s="619" t="s">
        <v>819</v>
      </c>
      <c r="B148" s="1031"/>
      <c r="C148" s="2363"/>
      <c r="D148" s="36" t="s">
        <v>10354</v>
      </c>
      <c r="N148" s="100"/>
    </row>
    <row r="149" spans="1:19" s="289" customFormat="1" ht="15.5" hidden="1">
      <c r="A149" s="303" t="s">
        <v>906</v>
      </c>
      <c r="B149" s="1029"/>
      <c r="C149" s="2361">
        <f>IF(ISNA('DE1'!C126),0,'DE1'!C126)</f>
        <v>0</v>
      </c>
      <c r="D149" s="36" t="s">
        <v>10354</v>
      </c>
      <c r="N149" s="35" t="s">
        <v>13</v>
      </c>
    </row>
    <row r="150" spans="1:19" s="289" customFormat="1" ht="15.5" hidden="1">
      <c r="A150" s="303" t="s">
        <v>907</v>
      </c>
      <c r="B150" s="1029"/>
      <c r="C150" s="2361">
        <f>IF(ISNA('DE1'!C127),0,'DE1'!C127)</f>
        <v>0</v>
      </c>
      <c r="D150" s="36" t="s">
        <v>10354</v>
      </c>
      <c r="N150" s="35" t="s">
        <v>13</v>
      </c>
      <c r="O150" s="1088"/>
    </row>
    <row r="151" spans="1:19" s="289" customFormat="1" ht="15.5" hidden="1">
      <c r="A151" s="303" t="s">
        <v>580</v>
      </c>
      <c r="B151" s="1029"/>
      <c r="C151" s="2362">
        <f>IF(ISNA('DE1'!C128),0,'DE1'!C128)</f>
        <v>0</v>
      </c>
      <c r="D151" s="36" t="s">
        <v>10354</v>
      </c>
      <c r="N151" s="35" t="s">
        <v>13</v>
      </c>
      <c r="O151" s="1088"/>
    </row>
    <row r="152" spans="1:19" s="289" customFormat="1" ht="15.5" hidden="1">
      <c r="A152" s="303" t="s">
        <v>581</v>
      </c>
      <c r="B152" s="1029"/>
      <c r="C152" s="2361">
        <f>IF(ISNA('DE1'!C129),0,'DE1'!C129)</f>
        <v>0</v>
      </c>
      <c r="D152" s="36" t="s">
        <v>10354</v>
      </c>
      <c r="N152" s="35" t="s">
        <v>13</v>
      </c>
      <c r="O152" s="1088"/>
    </row>
    <row r="153" spans="1:19" hidden="1">
      <c r="A153" s="101" t="s">
        <v>1491</v>
      </c>
      <c r="B153" s="101"/>
      <c r="C153" s="101"/>
      <c r="D153" s="36" t="s">
        <v>10354</v>
      </c>
      <c r="E153" s="101"/>
      <c r="G153" s="101"/>
      <c r="I153" s="101"/>
      <c r="J153" s="101"/>
      <c r="K153" s="101"/>
      <c r="L153" s="101"/>
      <c r="M153" s="101"/>
      <c r="N153" s="175" t="s">
        <v>913</v>
      </c>
      <c r="O153" s="1089"/>
      <c r="P153" s="101"/>
    </row>
    <row r="154" spans="1:19" s="100" customFormat="1" ht="15.5" hidden="1" customHeight="1">
      <c r="A154" s="2427" t="s">
        <v>10900</v>
      </c>
      <c r="B154" s="2428"/>
      <c r="C154" s="2421">
        <f>IF(ISNA('DE1'!E162),0,'DE1'!E162)</f>
        <v>0</v>
      </c>
      <c r="D154" s="36" t="s">
        <v>10354</v>
      </c>
      <c r="O154" s="1090"/>
      <c r="P154" s="176"/>
    </row>
    <row r="155" spans="1:19" s="100" customFormat="1" ht="15.5" hidden="1" customHeight="1">
      <c r="A155" s="3128" t="s">
        <v>11178</v>
      </c>
      <c r="B155" s="3129"/>
      <c r="C155" s="3136">
        <f>IF(ISNA('DE1'!E78),0,'DE1'!E78)</f>
        <v>0</v>
      </c>
      <c r="D155" s="36" t="s">
        <v>10354</v>
      </c>
      <c r="O155" s="1090"/>
      <c r="P155" s="176"/>
    </row>
    <row r="156" spans="1:19" s="100" customFormat="1" ht="15.5" hidden="1" customHeight="1">
      <c r="A156" s="3128" t="s">
        <v>11173</v>
      </c>
      <c r="B156" s="3129"/>
      <c r="C156" s="3193">
        <f>C74-C72</f>
        <v>0</v>
      </c>
      <c r="D156" s="36" t="s">
        <v>10354</v>
      </c>
      <c r="O156" s="1090"/>
      <c r="P156" s="176"/>
    </row>
    <row r="157" spans="1:19" s="100" customFormat="1" ht="15.5" hidden="1" customHeight="1">
      <c r="A157" s="3135" t="s">
        <v>11177</v>
      </c>
      <c r="B157" s="3129"/>
      <c r="C157" s="3136">
        <f>IF(ISNA('DE1'!C251),0,'DE1'!C251)</f>
        <v>0</v>
      </c>
      <c r="D157" s="36" t="s">
        <v>10354</v>
      </c>
      <c r="O157" s="1090"/>
      <c r="P157" s="3134"/>
    </row>
    <row r="158" spans="1:19" s="100" customFormat="1" ht="15.5" customHeight="1">
      <c r="A158" s="1926"/>
      <c r="B158" s="1097"/>
      <c r="C158" s="3138"/>
      <c r="O158" s="1090"/>
      <c r="P158" s="3134"/>
    </row>
    <row r="159" spans="1:19" s="100" customFormat="1" ht="15.5" customHeight="1">
      <c r="A159" s="1926"/>
      <c r="B159" s="1097"/>
      <c r="C159" s="3138"/>
      <c r="O159" s="1090"/>
      <c r="P159" s="3134"/>
    </row>
    <row r="160" spans="1:19" s="100" customFormat="1" ht="12.75" customHeight="1">
      <c r="A160"/>
      <c r="B160"/>
      <c r="C160" s="232" t="s">
        <v>7711</v>
      </c>
      <c r="P160" s="1854" t="e">
        <f>IF(B2="101-902",1.1534-#REF!,IF(B2="101-908",IF(C144-#REF!&gt;=1.17,1.17,C144-#REF!),IF(B2="101-910",IF(C144-#REF!&gt;=1.17,1.17,C144-#REF!),IF(B2="101-914",1.1466-#REF!,IF(B2="101-917",IF(C144-#REF!=1.17,1.17,C144-#REF!),IF(B2="101-920",1.11-#REF!,C144-#REF!))))))</f>
        <v>#REF!</v>
      </c>
      <c r="Q160" s="247" t="s">
        <v>7516</v>
      </c>
    </row>
    <row r="161" spans="1:23" s="100" customFormat="1" ht="12.75" customHeight="1">
      <c r="A161"/>
      <c r="B161"/>
      <c r="C161" s="247" t="s">
        <v>7712</v>
      </c>
      <c r="P161" s="1855" t="e">
        <f>IF(P160&gt;=1,1,P160*0.93)</f>
        <v>#REF!</v>
      </c>
      <c r="Q161" s="247" t="s">
        <v>7615</v>
      </c>
    </row>
    <row r="162" spans="1:23" s="100" customFormat="1" ht="12.75" customHeight="1">
      <c r="A162"/>
      <c r="B162"/>
      <c r="C162" s="247" t="s">
        <v>7728</v>
      </c>
      <c r="P162" s="1855" t="e">
        <f>IF(P160&lt;=1,0,P160-P161)</f>
        <v>#REF!</v>
      </c>
      <c r="Q162" s="247" t="s">
        <v>7519</v>
      </c>
    </row>
    <row r="163" spans="1:23" s="100" customFormat="1" ht="12.75" customHeight="1">
      <c r="A163"/>
      <c r="B163"/>
      <c r="C163" s="247" t="s">
        <v>7714</v>
      </c>
      <c r="P163" s="1855" t="e">
        <f>IF(P162&gt;=0.08,0.08,P162)</f>
        <v>#REF!</v>
      </c>
      <c r="Q163" s="247" t="s">
        <v>7520</v>
      </c>
    </row>
    <row r="164" spans="1:23" s="100" customFormat="1" ht="12.75" customHeight="1">
      <c r="A164"/>
      <c r="B164"/>
      <c r="C164" s="247" t="s">
        <v>7713</v>
      </c>
      <c r="P164" s="1855" t="e">
        <f>IF(P162-P163&lt;=0,0,P162-P163)</f>
        <v>#REF!</v>
      </c>
      <c r="Q164" s="247" t="s">
        <v>7521</v>
      </c>
    </row>
    <row r="165" spans="1:23" s="100" customFormat="1" ht="12.75" customHeight="1">
      <c r="A165"/>
      <c r="B165"/>
      <c r="C165" s="247" t="s">
        <v>7715</v>
      </c>
      <c r="P165" s="1855" t="e">
        <f>TRUNC(P164*(31.95/49.28),4)</f>
        <v>#REF!</v>
      </c>
      <c r="Q165" s="247" t="s">
        <v>7518</v>
      </c>
    </row>
    <row r="166" spans="1:23" s="100" customFormat="1" ht="12.75" customHeight="1">
      <c r="A166"/>
      <c r="B166"/>
      <c r="C166" s="999" t="s">
        <v>7716</v>
      </c>
      <c r="P166" s="1856" t="e">
        <f>IF(P161&lt;=0.93,P161,P161*0.93)</f>
        <v>#REF!</v>
      </c>
      <c r="Q166" s="247" t="s">
        <v>7524</v>
      </c>
    </row>
    <row r="167" spans="1:23" s="100" customFormat="1" ht="12.75" customHeight="1">
      <c r="A167"/>
      <c r="B167"/>
      <c r="C167" s="289" t="s">
        <v>7717</v>
      </c>
      <c r="P167" s="1855" t="e">
        <f>P166+P165+P163</f>
        <v>#REF!</v>
      </c>
      <c r="Q167" s="247" t="s">
        <v>7522</v>
      </c>
    </row>
    <row r="168" spans="1:23" s="100" customFormat="1" ht="12.75" customHeight="1">
      <c r="A168" s="2042"/>
      <c r="B168" s="2042"/>
      <c r="C168" s="289"/>
      <c r="P168" s="1855" t="e">
        <f>#REF!</f>
        <v>#REF!</v>
      </c>
      <c r="Q168" s="2040" t="s">
        <v>8695</v>
      </c>
    </row>
    <row r="169" spans="1:23" s="100" customFormat="1" ht="12.75" customHeight="1">
      <c r="A169"/>
      <c r="B169"/>
      <c r="C169" s="289" t="s">
        <v>7718</v>
      </c>
      <c r="P169" s="1855">
        <v>0.93</v>
      </c>
      <c r="Q169" s="247" t="s">
        <v>7514</v>
      </c>
    </row>
    <row r="170" spans="1:23" s="100" customFormat="1" ht="12.75" customHeight="1">
      <c r="A170"/>
      <c r="B170"/>
      <c r="C170" s="289" t="s">
        <v>7729</v>
      </c>
      <c r="P170" s="1857" t="e">
        <f>IF(P168&lt;P167,P168-P169,P167-P169)</f>
        <v>#REF!</v>
      </c>
      <c r="Q170" s="289" t="s">
        <v>7758</v>
      </c>
    </row>
    <row r="171" spans="1:23" s="100" customFormat="1" ht="12.75" customHeight="1">
      <c r="A171"/>
      <c r="B171"/>
      <c r="C171" s="289" t="s">
        <v>7719</v>
      </c>
      <c r="P171" s="1857" t="e">
        <f>IF(P170&gt;=0.08,0.08,P170)</f>
        <v>#REF!</v>
      </c>
      <c r="Q171" s="289" t="s">
        <v>7517</v>
      </c>
    </row>
    <row r="172" spans="1:23" s="100" customFormat="1" ht="12.75" customHeight="1">
      <c r="A172"/>
      <c r="B172"/>
      <c r="P172" s="1857" t="e">
        <f>ROUND(IF(P170-P171&lt;=0,0,P170-P171),4)</f>
        <v>#REF!</v>
      </c>
      <c r="Q172" s="289" t="s">
        <v>7523</v>
      </c>
    </row>
    <row r="173" spans="1:23" s="100" customFormat="1" ht="12.75" customHeight="1">
      <c r="A173"/>
      <c r="B173"/>
      <c r="O173" s="1090"/>
      <c r="P173" s="176"/>
    </row>
    <row r="174" spans="1:23" s="100" customFormat="1" ht="12.75" customHeight="1">
      <c r="A174"/>
      <c r="B174"/>
      <c r="O174" s="1090"/>
      <c r="P174" s="1254" t="s">
        <v>5323</v>
      </c>
      <c r="Q174" s="1254" t="s">
        <v>5942</v>
      </c>
      <c r="R174" s="1254" t="s">
        <v>5957</v>
      </c>
      <c r="S174" s="1254" t="s">
        <v>7039</v>
      </c>
      <c r="T174" s="1254" t="s">
        <v>9173</v>
      </c>
      <c r="V174" s="1254" t="s">
        <v>9174</v>
      </c>
      <c r="W174" s="1254" t="s">
        <v>11056</v>
      </c>
    </row>
    <row r="175" spans="1:23" s="100" customFormat="1" ht="12.75" customHeight="1">
      <c r="A175"/>
      <c r="B175"/>
      <c r="O175" s="1350" t="s">
        <v>2766</v>
      </c>
      <c r="P175" s="1893" t="e">
        <f>#REF!</f>
        <v>#REF!</v>
      </c>
      <c r="Q175" s="1893">
        <f>C74</f>
        <v>0</v>
      </c>
      <c r="R175" s="1893">
        <f>E74</f>
        <v>0</v>
      </c>
      <c r="S175" s="1893">
        <f>G74</f>
        <v>0</v>
      </c>
      <c r="T175" s="1893">
        <f>I74</f>
        <v>0</v>
      </c>
      <c r="V175" s="1893">
        <f>K74</f>
        <v>0</v>
      </c>
      <c r="W175" s="1893">
        <f>M74</f>
        <v>0</v>
      </c>
    </row>
    <row r="176" spans="1:23" s="100" customFormat="1" ht="12.75" customHeight="1">
      <c r="A176"/>
      <c r="B176"/>
      <c r="O176" s="1350" t="s">
        <v>7757</v>
      </c>
      <c r="P176" s="1893" t="e">
        <f>'Calc Data'!#REF!</f>
        <v>#REF!</v>
      </c>
      <c r="Q176" s="1893">
        <f>'Calc Data'!D220</f>
        <v>0</v>
      </c>
      <c r="R176" s="1893">
        <f>'Calc Data'!E220</f>
        <v>0</v>
      </c>
      <c r="S176" s="1893" t="e">
        <f>'Calc Data'!F220</f>
        <v>#DIV/0!</v>
      </c>
      <c r="T176" s="1893" t="e">
        <f>'Calc Data'!G220</f>
        <v>#DIV/0!</v>
      </c>
      <c r="V176" s="1893" t="e">
        <f>'Calc Data'!H220</f>
        <v>#DIV/0!</v>
      </c>
      <c r="W176" s="1893" t="e">
        <f>'Calc Data'!I220</f>
        <v>#DIV/0!</v>
      </c>
    </row>
    <row r="177" spans="1:23" s="100" customFormat="1" ht="12.75" customHeight="1">
      <c r="A177"/>
      <c r="B177"/>
      <c r="O177" s="1350" t="s">
        <v>8388</v>
      </c>
      <c r="P177" s="1893" t="e">
        <f>IF($B$2="101-908",P175-P176-P186,IF($B$2="101-910",P175-P176-P187,IF($B$2="101-917",P176-P175-P189,P175-P176)))</f>
        <v>#REF!</v>
      </c>
      <c r="Q177" s="1893">
        <f>IF($B$2="101-908",Q175-Q176-Q186,IF($B$2="101-910",Q175-Q176-Q187,IF($B$2="101-917",Q176-Q175-Q189,Q175-Q176)))</f>
        <v>0</v>
      </c>
      <c r="R177" s="1893">
        <f>IF($B$2="101-908",R175-R176-R186,IF($B$2="101-910",R175-R176-R187,IF($B$2="101-917",R175-R176-R189,R175-R176)))</f>
        <v>0</v>
      </c>
      <c r="S177" s="1893" t="e">
        <f>IF($B$2="101-908",S175-S176-S186,IF($B$2="101-910",S175-S176-S187,IF($B$2="101-917",S175-S176-S189,S175-S176)))</f>
        <v>#DIV/0!</v>
      </c>
      <c r="T177" s="1893" t="e">
        <f>IF($B$2="101-908",T175-T176-T186,IF($B$2="101-910",T175-T176-T187,IF($B$2="101-917",T175-T176-T189,T175-T176)))</f>
        <v>#DIV/0!</v>
      </c>
      <c r="V177" s="1893" t="e">
        <f>IF($B$2="101-908",V175-V176-V186,IF($B$2="101-910",V175-V176-V187,IF($B$2="101-917",V175-V176-V189,V175-V176)))</f>
        <v>#DIV/0!</v>
      </c>
      <c r="W177" s="1893" t="e">
        <f>IF($B$2="101-908",W175-W176-W186,IF($B$2="101-910",W175-W176-W187,IF($B$2="101-917",W175-W176-W189,W175-W176)))</f>
        <v>#DIV/0!</v>
      </c>
    </row>
    <row r="178" spans="1:23" s="100" customFormat="1" ht="15" customHeight="1">
      <c r="A178"/>
      <c r="B178"/>
      <c r="O178" s="1350" t="s">
        <v>7378</v>
      </c>
      <c r="P178" s="1893" t="e">
        <f>IF(P177&gt;=0.08,0.08,P177)</f>
        <v>#REF!</v>
      </c>
      <c r="Q178" s="1893">
        <f>IF(Q177&gt;=0.08,0.08,Q177)</f>
        <v>0</v>
      </c>
      <c r="R178" s="1893">
        <f>IF(R177&gt;=0.08,0.08,R177)</f>
        <v>0</v>
      </c>
      <c r="S178" s="1893" t="e">
        <f>IF(S177&gt;=0.08,0.08,S177)</f>
        <v>#DIV/0!</v>
      </c>
      <c r="T178" s="1893" t="e">
        <f>IF(T177&gt;=0.08,0.08,T177)</f>
        <v>#DIV/0!</v>
      </c>
      <c r="V178" s="1893" t="e">
        <f>IF(V177&gt;=0.08,0.08,V177)</f>
        <v>#DIV/0!</v>
      </c>
      <c r="W178" s="1893" t="e">
        <f>IF(W177&gt;=0.08,0.08,W177)</f>
        <v>#DIV/0!</v>
      </c>
    </row>
    <row r="179" spans="1:23" s="100" customFormat="1" ht="12.75" customHeight="1">
      <c r="A179"/>
      <c r="B179"/>
      <c r="O179" s="1350" t="s">
        <v>7379</v>
      </c>
      <c r="P179" s="1893" t="e">
        <f>P177-P178</f>
        <v>#REF!</v>
      </c>
      <c r="Q179" s="1893">
        <f>IF(Q177-Q178&gt;0.09,0.09,Q177-Q178)</f>
        <v>0</v>
      </c>
      <c r="R179" s="1893">
        <f>R177-R178</f>
        <v>0</v>
      </c>
      <c r="S179" s="1893" t="e">
        <f>S177-S178</f>
        <v>#DIV/0!</v>
      </c>
      <c r="T179" s="1893" t="e">
        <f>T177-T178</f>
        <v>#DIV/0!</v>
      </c>
      <c r="V179" s="1893" t="e">
        <f>V177-V178</f>
        <v>#DIV/0!</v>
      </c>
      <c r="W179" s="1893" t="e">
        <f>W177-W178</f>
        <v>#DIV/0!</v>
      </c>
    </row>
    <row r="180" spans="1:23" s="100" customFormat="1" ht="12.75" hidden="1" customHeight="1">
      <c r="A180"/>
      <c r="B180"/>
      <c r="O180" s="1350" t="s">
        <v>7759</v>
      </c>
      <c r="P180" s="1654" t="e">
        <f>IF(P179=0,0,(Assumptions!G129/Assumptions!H129)*P179)</f>
        <v>#REF!</v>
      </c>
      <c r="Q180" s="1654">
        <f>IF(Q179=0,0,(Assumptions!G138/Assumptions!H138)*Q179)</f>
        <v>0</v>
      </c>
      <c r="R180" s="1654">
        <f>IF(R179=0,0,(Assumptions!G147/Assumptions!H147)*R179)</f>
        <v>0</v>
      </c>
      <c r="S180" s="1654" t="e">
        <f>IF(S179=0,0,(Assumptions!G156/Assumptions!H156)*S179)</f>
        <v>#DIV/0!</v>
      </c>
    </row>
    <row r="181" spans="1:23" s="100" customFormat="1" ht="12.75" hidden="1" customHeight="1">
      <c r="A181"/>
      <c r="B181"/>
      <c r="O181" s="1350" t="s">
        <v>7760</v>
      </c>
      <c r="P181" s="1654" t="e">
        <f>P179-P180</f>
        <v>#REF!</v>
      </c>
      <c r="Q181" s="1654">
        <f>Q179-Q180</f>
        <v>0</v>
      </c>
      <c r="R181" s="1654">
        <f>R179-R180</f>
        <v>0</v>
      </c>
      <c r="S181" s="1654" t="e">
        <f>S179-S180</f>
        <v>#DIV/0!</v>
      </c>
    </row>
    <row r="182" spans="1:23" s="100" customFormat="1" ht="12.75" hidden="1" customHeight="1">
      <c r="A182"/>
      <c r="B182"/>
      <c r="O182" s="1350" t="s">
        <v>8169</v>
      </c>
      <c r="P182" s="1654" t="e">
        <f>P178+P180</f>
        <v>#REF!</v>
      </c>
      <c r="Q182" s="1654">
        <f t="shared" ref="Q182:S182" si="17">Q178+Q180</f>
        <v>0</v>
      </c>
      <c r="R182" s="1729">
        <f t="shared" si="17"/>
        <v>0</v>
      </c>
      <c r="S182" s="1729" t="e">
        <f t="shared" si="17"/>
        <v>#DIV/0!</v>
      </c>
    </row>
    <row r="183" spans="1:23" s="100" customFormat="1" ht="12" customHeight="1">
      <c r="A183"/>
      <c r="B183"/>
      <c r="O183" s="1090"/>
      <c r="P183" s="1351"/>
      <c r="R183" s="2781">
        <f>Q175-Q176-Q177</f>
        <v>0</v>
      </c>
      <c r="S183" s="2781">
        <f>R183</f>
        <v>0</v>
      </c>
      <c r="T183" s="2781">
        <f>S183</f>
        <v>0</v>
      </c>
      <c r="U183" s="2782"/>
      <c r="V183" s="2781">
        <f>T183</f>
        <v>0</v>
      </c>
      <c r="W183" s="2781">
        <f>V183</f>
        <v>0</v>
      </c>
    </row>
    <row r="184" spans="1:23" ht="12.75" customHeight="1">
      <c r="O184" s="1890" t="s">
        <v>8387</v>
      </c>
      <c r="P184" s="1891" t="s">
        <v>8386</v>
      </c>
      <c r="Q184" s="105"/>
      <c r="W184" s="2042"/>
    </row>
    <row r="185" spans="1:23">
      <c r="O185" s="1890" t="s">
        <v>548</v>
      </c>
      <c r="P185" s="1892">
        <v>0</v>
      </c>
      <c r="Q185" s="1892">
        <v>0</v>
      </c>
      <c r="R185" s="1892">
        <v>0</v>
      </c>
      <c r="S185" s="1892">
        <v>0</v>
      </c>
      <c r="T185" s="1892">
        <v>0</v>
      </c>
      <c r="U185" s="1892">
        <v>0</v>
      </c>
      <c r="V185" s="1892">
        <v>0</v>
      </c>
      <c r="W185" s="1892">
        <v>0</v>
      </c>
    </row>
    <row r="186" spans="1:23">
      <c r="B186" s="2042"/>
      <c r="C186" s="391"/>
      <c r="D186" s="396"/>
      <c r="E186" s="391"/>
      <c r="F186" s="396"/>
      <c r="G186" s="391"/>
      <c r="H186" s="396"/>
      <c r="I186" s="391"/>
      <c r="J186" s="391"/>
      <c r="K186" s="391"/>
      <c r="L186" s="391"/>
      <c r="M186" s="391"/>
      <c r="O186" s="1890" t="s">
        <v>2044</v>
      </c>
      <c r="P186" s="1892">
        <f>C144-1.17</f>
        <v>-1.17</v>
      </c>
      <c r="Q186" s="1892">
        <f t="shared" ref="Q186:W186" si="18">TRUNC(1.2367-1.17,4)</f>
        <v>6.6699999999999995E-2</v>
      </c>
      <c r="R186" s="1892">
        <f t="shared" si="18"/>
        <v>6.6699999999999995E-2</v>
      </c>
      <c r="S186" s="1892">
        <f t="shared" si="18"/>
        <v>6.6699999999999995E-2</v>
      </c>
      <c r="T186" s="1892">
        <f t="shared" si="18"/>
        <v>6.6699999999999995E-2</v>
      </c>
      <c r="U186" s="1892">
        <f t="shared" si="18"/>
        <v>6.6699999999999995E-2</v>
      </c>
      <c r="V186" s="1892">
        <f t="shared" si="18"/>
        <v>6.6699999999999995E-2</v>
      </c>
      <c r="W186" s="1892">
        <f t="shared" si="18"/>
        <v>6.6699999999999995E-2</v>
      </c>
    </row>
    <row r="187" spans="1:23">
      <c r="B187" s="2042"/>
      <c r="C187" s="392" t="s">
        <v>5513</v>
      </c>
      <c r="D187" s="402"/>
      <c r="E187" s="392" t="s">
        <v>5951</v>
      </c>
      <c r="F187" s="402"/>
      <c r="G187" s="392" t="s">
        <v>7037</v>
      </c>
      <c r="H187" s="402"/>
      <c r="I187" s="392" t="s">
        <v>8487</v>
      </c>
      <c r="J187" s="392"/>
      <c r="K187" s="392" t="s">
        <v>9171</v>
      </c>
      <c r="L187" s="392"/>
      <c r="M187" s="392" t="s">
        <v>11049</v>
      </c>
      <c r="O187" s="1890" t="s">
        <v>1343</v>
      </c>
      <c r="P187" s="1892">
        <f>1.2433-1.17</f>
        <v>7.3300000000000143E-2</v>
      </c>
      <c r="Q187" s="1892">
        <f t="shared" ref="Q187:W187" si="19">1.2433-1.17</f>
        <v>7.3300000000000143E-2</v>
      </c>
      <c r="R187" s="1892">
        <f t="shared" si="19"/>
        <v>7.3300000000000143E-2</v>
      </c>
      <c r="S187" s="1892">
        <f t="shared" si="19"/>
        <v>7.3300000000000143E-2</v>
      </c>
      <c r="T187" s="1892">
        <f t="shared" si="19"/>
        <v>7.3300000000000143E-2</v>
      </c>
      <c r="U187" s="1892">
        <f t="shared" si="19"/>
        <v>7.3300000000000143E-2</v>
      </c>
      <c r="V187" s="1892">
        <f t="shared" si="19"/>
        <v>7.3300000000000143E-2</v>
      </c>
      <c r="W187" s="1892">
        <f t="shared" si="19"/>
        <v>7.3300000000000143E-2</v>
      </c>
    </row>
    <row r="188" spans="1:23">
      <c r="B188" s="2042"/>
      <c r="C188" s="392" t="s">
        <v>737</v>
      </c>
      <c r="D188" s="402"/>
      <c r="E188" s="392" t="s">
        <v>737</v>
      </c>
      <c r="F188" s="402"/>
      <c r="G188" s="392" t="s">
        <v>737</v>
      </c>
      <c r="H188" s="402"/>
      <c r="I188" s="392" t="s">
        <v>737</v>
      </c>
      <c r="J188" s="392"/>
      <c r="K188" s="392" t="s">
        <v>737</v>
      </c>
      <c r="L188" s="392"/>
      <c r="M188" s="392" t="s">
        <v>737</v>
      </c>
      <c r="O188" s="1890" t="s">
        <v>46</v>
      </c>
      <c r="P188" s="1892">
        <v>0</v>
      </c>
      <c r="Q188" s="1892">
        <v>0</v>
      </c>
      <c r="R188" s="1892">
        <v>0</v>
      </c>
      <c r="S188" s="1892">
        <v>0</v>
      </c>
      <c r="T188" s="1892">
        <v>0</v>
      </c>
      <c r="U188" s="1892">
        <v>0</v>
      </c>
      <c r="V188" s="1892">
        <v>0</v>
      </c>
      <c r="W188" s="1892">
        <v>0</v>
      </c>
    </row>
    <row r="189" spans="1:23">
      <c r="B189" s="2042"/>
      <c r="C189" s="393">
        <f>IF(C44&gt;(C19*0.05),C19*0.05,C44)</f>
        <v>0</v>
      </c>
      <c r="D189" s="403"/>
      <c r="E189" s="393">
        <f>IF(E44&gt;(E19*0.05),E19*0.05,E44)</f>
        <v>0</v>
      </c>
      <c r="F189" s="403"/>
      <c r="G189" s="393">
        <f>IF(G44&gt;(G19*0.05),G19*0.05,G44)</f>
        <v>0</v>
      </c>
      <c r="H189" s="403"/>
      <c r="I189" s="393">
        <f>IF(I44&gt;(I19*0.05),I19*0.05,I44)</f>
        <v>0</v>
      </c>
      <c r="J189" s="393"/>
      <c r="K189" s="393">
        <f>IF(K44&gt;(K19*0.05),K19*0.05,K44)</f>
        <v>0</v>
      </c>
      <c r="L189" s="393"/>
      <c r="M189" s="393">
        <f>IF(M44&gt;(M19*0.05),M19*0.05,M44)</f>
        <v>0</v>
      </c>
      <c r="O189" s="1890" t="s">
        <v>192</v>
      </c>
      <c r="P189" s="1892">
        <f>1.2-1.17</f>
        <v>3.0000000000000027E-2</v>
      </c>
      <c r="Q189" s="1892">
        <f t="shared" ref="Q189:W189" si="20">1.2-1.17</f>
        <v>3.0000000000000027E-2</v>
      </c>
      <c r="R189" s="1892">
        <f t="shared" si="20"/>
        <v>3.0000000000000027E-2</v>
      </c>
      <c r="S189" s="1892">
        <f t="shared" si="20"/>
        <v>3.0000000000000027E-2</v>
      </c>
      <c r="T189" s="1892">
        <f t="shared" si="20"/>
        <v>3.0000000000000027E-2</v>
      </c>
      <c r="U189" s="1892">
        <f t="shared" si="20"/>
        <v>3.0000000000000027E-2</v>
      </c>
      <c r="V189" s="1892">
        <f t="shared" si="20"/>
        <v>3.0000000000000027E-2</v>
      </c>
      <c r="W189" s="1892">
        <f t="shared" si="20"/>
        <v>3.0000000000000027E-2</v>
      </c>
    </row>
    <row r="190" spans="1:23">
      <c r="B190" s="2042"/>
      <c r="C190" s="391"/>
      <c r="D190" s="396"/>
      <c r="E190" s="391"/>
      <c r="F190" s="396"/>
      <c r="G190" s="391"/>
      <c r="H190" s="396"/>
      <c r="I190" s="391"/>
      <c r="J190" s="391"/>
      <c r="K190" s="391"/>
      <c r="L190" s="391"/>
      <c r="M190" s="391"/>
      <c r="O190" s="1890" t="s">
        <v>765</v>
      </c>
      <c r="P190" s="1892">
        <v>0</v>
      </c>
      <c r="Q190" s="1892">
        <v>0</v>
      </c>
      <c r="R190" s="1892">
        <v>0</v>
      </c>
      <c r="S190" s="1892">
        <v>0</v>
      </c>
      <c r="T190" s="1892">
        <v>0</v>
      </c>
      <c r="U190" s="1892">
        <v>0</v>
      </c>
      <c r="V190" s="1892">
        <v>0</v>
      </c>
      <c r="W190" s="1892">
        <v>0</v>
      </c>
    </row>
    <row r="191" spans="1:23">
      <c r="B191" s="2042"/>
      <c r="C191" s="392" t="s">
        <v>5513</v>
      </c>
      <c r="D191" s="402"/>
      <c r="E191" s="392" t="str">
        <f>E187</f>
        <v>2022-23</v>
      </c>
      <c r="F191" s="402"/>
      <c r="G191" s="392" t="str">
        <f>G187</f>
        <v>2023-24</v>
      </c>
      <c r="H191" s="402"/>
      <c r="I191" s="392" t="s">
        <v>8487</v>
      </c>
      <c r="J191" s="392"/>
      <c r="K191" s="392" t="s">
        <v>9171</v>
      </c>
      <c r="L191" s="392"/>
      <c r="M191" s="392" t="s">
        <v>11063</v>
      </c>
    </row>
    <row r="192" spans="1:23">
      <c r="B192" s="2042"/>
      <c r="C192" s="394" t="s">
        <v>742</v>
      </c>
      <c r="D192" s="404"/>
      <c r="E192" s="394" t="s">
        <v>742</v>
      </c>
      <c r="F192" s="404"/>
      <c r="G192" s="394" t="s">
        <v>742</v>
      </c>
      <c r="H192" s="404"/>
      <c r="I192" s="394" t="s">
        <v>742</v>
      </c>
      <c r="J192" s="394"/>
      <c r="K192" s="394" t="s">
        <v>742</v>
      </c>
      <c r="L192" s="394"/>
      <c r="M192" s="394" t="s">
        <v>742</v>
      </c>
    </row>
    <row r="193" spans="2:15">
      <c r="B193" s="2042"/>
      <c r="C193" s="390">
        <f>IF(AND(C127&gt;30,C125=12),130,IF(OR('Calc Data'!D12&gt;129.999,C125&lt;12),0,IF(OR(C154&gt;=90,'Calc Data'!D6&gt;=90),130,0)))</f>
        <v>0</v>
      </c>
      <c r="D193" s="401"/>
      <c r="E193" s="390">
        <f>IF(AND(E127&gt;30,E125=12),130,IF(OR('Calc Data'!E12&gt;129.999,E125&lt;12),0,IF(OR('Calc Data'!D6&gt;=90,'Calc Data'!E6&gt;=90),130,0)))</f>
        <v>0</v>
      </c>
      <c r="F193" s="401"/>
      <c r="G193" s="390">
        <f>IF(AND(G127&gt;30,G125=12),130,IF(OR('Calc Data'!F12&gt;129.999,G125&lt;12),0,IF(OR('Calc Data'!E6&gt;=90,'Calc Data'!F6&gt;=90),130,0)))</f>
        <v>0</v>
      </c>
      <c r="H193" s="401"/>
      <c r="I193" s="390">
        <f>IF(AND(I127&gt;30,I125=12),130,IF(OR('Calc Data'!G12&gt;129.999,I125&lt;12),0,IF(OR('Calc Data'!F6&gt;=90,'Calc Data'!G6&gt;=90),130,0)))</f>
        <v>0</v>
      </c>
      <c r="J193" s="390"/>
      <c r="K193" s="390">
        <f>IF(AND(K127&gt;30,K125=12),130,IF(OR('Calc Data'!H12&gt;129.999,K125&lt;12),0,IF(OR('Calc Data'!G6&gt;=90,'Calc Data'!H6&gt;=90),130,0)))</f>
        <v>0</v>
      </c>
      <c r="L193" s="390"/>
      <c r="M193" s="390">
        <f>IF(AND(M127&gt;30,M125=12),130,IF(OR('Calc Data'!I12&gt;129.999,M125&lt;12),0,IF(OR('Calc Data'!H6&gt;=90,'Calc Data'!I6&gt;=90),130,0)))</f>
        <v>0</v>
      </c>
    </row>
    <row r="194" spans="2:15" ht="12.75" customHeight="1">
      <c r="B194" s="2042"/>
      <c r="C194" s="395">
        <f>IF(AND(C127&gt;30,C125=8),75,IF(C125&lt;8,0,IF(OR(C154&gt;=50,'Calc Data'!D6&gt;=50),75,0)))</f>
        <v>0</v>
      </c>
      <c r="D194" s="405"/>
      <c r="E194" s="395">
        <f>IF(AND(E127&gt;30,E125=8),75,IF(E125&lt;8,0,IF(OR('Calc Data'!D6&gt;=50,'Calc Data'!E6&gt;=50),75,0)))</f>
        <v>0</v>
      </c>
      <c r="F194" s="405"/>
      <c r="G194" s="395">
        <f>IF(AND(G127&gt;30,G125=8),75,IF(G125&lt;8,0,IF(OR('Calc Data'!E6&gt;=50,'Calc Data'!F6&gt;=50),75,0)))</f>
        <v>0</v>
      </c>
      <c r="H194" s="405"/>
      <c r="I194" s="395">
        <f>IF(AND(I127&gt;30,I125=8),75,IF(I125&lt;8,0,IF(OR('Calc Data'!F6&gt;=50,'Calc Data'!G6&gt;=50),75,0)))</f>
        <v>0</v>
      </c>
      <c r="J194" s="395"/>
      <c r="K194" s="395">
        <f>IF(AND(K127&gt;30,K125=8),75,IF(K125&lt;8,0,IF(OR('Calc Data'!G6&gt;=50,'Calc Data'!H6&gt;=50),75,0)))</f>
        <v>0</v>
      </c>
      <c r="L194" s="395"/>
      <c r="M194" s="395">
        <f>IF(AND(M127&gt;30,M125=8),75,IF(M125&lt;8,0,IF(OR('Calc Data'!H6&gt;=50,'Calc Data'!I6&gt;=50),75,0)))</f>
        <v>0</v>
      </c>
    </row>
    <row r="195" spans="2:15">
      <c r="B195" s="2042"/>
      <c r="C195" s="395">
        <f>IF(AND(C127&gt;30,C125=6),60,IF(C125&lt;6,0,IF(OR(C154&gt;=40,'Calc Data'!D6&gt;=40),60,0)))</f>
        <v>0</v>
      </c>
      <c r="D195" s="405"/>
      <c r="E195" s="395">
        <f>IF(AND(E127&gt;30,E125=6),60,IF(E125&lt;6,0,IF(OR('Calc Data'!D6&gt;=40,'Calc Data'!E6&gt;=40),60,0)))</f>
        <v>0</v>
      </c>
      <c r="F195" s="405"/>
      <c r="G195" s="395">
        <f>IF(AND(G127&gt;30,G125=6),60,IF(G125&lt;6,0,IF(OR('Calc Data'!E6&gt;=40,'Calc Data'!F6&gt;=40),60,0)))</f>
        <v>0</v>
      </c>
      <c r="H195" s="405"/>
      <c r="I195" s="395">
        <f>IF(AND(I127&gt;30,I125=6),60,IF(I125&lt;6,0,IF(OR('Calc Data'!F6&gt;=40,'Calc Data'!G6&gt;=40),60,0)))</f>
        <v>0</v>
      </c>
      <c r="J195" s="395"/>
      <c r="K195" s="395">
        <f>IF(AND(K127&gt;30,K125=6),60,IF(K125&lt;6,0,IF(OR('Calc Data'!G6&gt;=40,'Calc Data'!H6&gt;=40),60,0)))</f>
        <v>0</v>
      </c>
      <c r="L195" s="395"/>
      <c r="M195" s="395">
        <f>IF(AND(M127&gt;30,M125=6),60,IF(M125&lt;6,0,IF(OR('Calc Data'!H6&gt;=40,'Calc Data'!I6&gt;=40),60,0)))</f>
        <v>0</v>
      </c>
    </row>
    <row r="196" spans="2:15" ht="21" customHeight="1">
      <c r="B196" s="2042"/>
      <c r="C196" s="390">
        <f>IF(C125=12,1,0)</f>
        <v>0</v>
      </c>
      <c r="D196" s="401"/>
      <c r="E196" s="390">
        <f>IF(E125=12,1,0)</f>
        <v>0</v>
      </c>
      <c r="F196" s="401"/>
      <c r="G196" s="390">
        <f>IF(G125=12,1,0)</f>
        <v>0</v>
      </c>
      <c r="H196" s="401"/>
      <c r="I196" s="390">
        <f>IF(I125=12,1,0)</f>
        <v>0</v>
      </c>
      <c r="J196" s="390"/>
      <c r="K196" s="390">
        <f>IF(K125=12,1,0)</f>
        <v>0</v>
      </c>
      <c r="L196" s="390"/>
      <c r="M196" s="390">
        <f>IF(M125=12,1,0)</f>
        <v>0</v>
      </c>
    </row>
    <row r="197" spans="2:15" ht="21" customHeight="1">
      <c r="B197" s="2042"/>
      <c r="C197" s="390">
        <f>IF(C125=8,1,0)</f>
        <v>0</v>
      </c>
      <c r="D197" s="401"/>
      <c r="E197" s="390">
        <f>IF(E125=8,1,0)</f>
        <v>0</v>
      </c>
      <c r="F197" s="401"/>
      <c r="G197" s="390">
        <f>IF(G125=8,1,0)</f>
        <v>0</v>
      </c>
      <c r="H197" s="401"/>
      <c r="I197" s="390">
        <f>IF(I125=8,1,0)</f>
        <v>0</v>
      </c>
      <c r="J197" s="390"/>
      <c r="K197" s="390">
        <f>IF(K125=8,1,0)</f>
        <v>0</v>
      </c>
      <c r="L197" s="390"/>
      <c r="M197" s="390">
        <f>IF(M125=8,1,0)</f>
        <v>0</v>
      </c>
    </row>
    <row r="198" spans="2:15" ht="21" customHeight="1">
      <c r="B198" s="2042"/>
      <c r="C198" s="390">
        <f>IF(C125=6,1,0)</f>
        <v>0</v>
      </c>
      <c r="D198" s="401"/>
      <c r="E198" s="390">
        <f>IF(E125=6,1,0)</f>
        <v>0</v>
      </c>
      <c r="F198" s="401"/>
      <c r="G198" s="390">
        <f>IF(G125=6,1,0)</f>
        <v>0</v>
      </c>
      <c r="H198" s="401"/>
      <c r="I198" s="390">
        <f>IF(I125=6,1,0)</f>
        <v>0</v>
      </c>
      <c r="J198" s="390"/>
      <c r="K198" s="390">
        <f>IF(K125=6,1,0)</f>
        <v>0</v>
      </c>
      <c r="L198" s="390"/>
      <c r="M198" s="390">
        <f>IF(M125=6,1,0)</f>
        <v>0</v>
      </c>
    </row>
    <row r="199" spans="2:15">
      <c r="B199" s="2042"/>
      <c r="C199" s="394" t="str">
        <f>IF(C126&gt;300,"Yes","No")</f>
        <v>No</v>
      </c>
      <c r="D199" s="404"/>
      <c r="E199" s="394" t="str">
        <f>IF(E126&gt;300,"Yes","No")</f>
        <v>No</v>
      </c>
      <c r="F199" s="404"/>
      <c r="G199" s="394" t="str">
        <f>IF(G126&gt;300,"Yes","No")</f>
        <v>No</v>
      </c>
      <c r="H199" s="404"/>
      <c r="I199" s="394" t="str">
        <f>IF(I126&gt;300,"Yes","No")</f>
        <v>No</v>
      </c>
      <c r="J199" s="394"/>
      <c r="K199" s="394" t="str">
        <f>IF(K126&gt;300,"Yes","No")</f>
        <v>No</v>
      </c>
      <c r="L199" s="394"/>
      <c r="M199" s="394" t="str">
        <f>IF(M126&gt;300,"Yes","No")</f>
        <v>No</v>
      </c>
    </row>
    <row r="200" spans="2:15">
      <c r="B200" s="2042"/>
      <c r="C200" s="394" t="str">
        <f>IF(C127&gt;30,"Yes","No")</f>
        <v>No</v>
      </c>
      <c r="D200" s="404"/>
      <c r="E200" s="394" t="str">
        <f>IF(E127&gt;30,"Yes","No")</f>
        <v>No</v>
      </c>
      <c r="F200" s="404"/>
      <c r="G200" s="394" t="str">
        <f>IF(G127&gt;30,"Yes","No")</f>
        <v>No</v>
      </c>
      <c r="H200" s="404"/>
      <c r="I200" s="394" t="str">
        <f>IF(I127&gt;30,"Yes","No")</f>
        <v>No</v>
      </c>
      <c r="J200" s="394"/>
      <c r="K200" s="394" t="str">
        <f>IF(K127&gt;30,"Yes","No")</f>
        <v>No</v>
      </c>
      <c r="L200" s="394"/>
      <c r="M200" s="394" t="str">
        <f>IF(M127&gt;30,"Yes","No")</f>
        <v>No</v>
      </c>
    </row>
    <row r="203" spans="2:15" ht="12.5">
      <c r="D203"/>
      <c r="F203"/>
      <c r="H203"/>
      <c r="J203"/>
      <c r="K203"/>
      <c r="O203"/>
    </row>
    <row r="204" spans="2:15" ht="12.5">
      <c r="D204"/>
      <c r="F204"/>
      <c r="H204"/>
      <c r="J204"/>
      <c r="K204"/>
      <c r="O204"/>
    </row>
    <row r="205" spans="2:15" ht="12.5">
      <c r="D205"/>
      <c r="F205"/>
      <c r="H205"/>
      <c r="J205"/>
      <c r="K205"/>
      <c r="O205"/>
    </row>
    <row r="206" spans="2:15" ht="12.5">
      <c r="D206"/>
      <c r="F206"/>
      <c r="H206"/>
      <c r="J206"/>
      <c r="K206"/>
      <c r="O206"/>
    </row>
    <row r="207" spans="2:15" ht="12.5">
      <c r="D207"/>
      <c r="F207"/>
      <c r="H207"/>
      <c r="J207"/>
      <c r="K207"/>
      <c r="O207"/>
    </row>
    <row r="208" spans="2:15" ht="12.5">
      <c r="D208"/>
      <c r="F208"/>
      <c r="H208"/>
      <c r="J208"/>
      <c r="K208"/>
      <c r="O208"/>
    </row>
    <row r="209" spans="4:15" ht="12.5">
      <c r="D209"/>
      <c r="F209"/>
      <c r="H209"/>
      <c r="J209"/>
      <c r="K209"/>
      <c r="O209"/>
    </row>
    <row r="229" spans="4:18" ht="12" customHeight="1">
      <c r="D229"/>
      <c r="F229"/>
      <c r="H229"/>
      <c r="J229"/>
      <c r="K229"/>
      <c r="O229"/>
    </row>
    <row r="240" spans="4:18" ht="12.5">
      <c r="D240"/>
      <c r="F240"/>
      <c r="H240"/>
      <c r="J240"/>
      <c r="K240"/>
      <c r="O240"/>
      <c r="R240" s="8"/>
    </row>
    <row r="241" spans="4:18" ht="12.5">
      <c r="D241"/>
      <c r="F241"/>
      <c r="H241"/>
      <c r="J241"/>
      <c r="K241"/>
      <c r="O241"/>
      <c r="R241" s="8"/>
    </row>
    <row r="242" spans="4:18" ht="12.5">
      <c r="D242"/>
      <c r="F242"/>
      <c r="H242"/>
      <c r="J242"/>
      <c r="K242"/>
      <c r="O242"/>
      <c r="R242" s="8"/>
    </row>
    <row r="243" spans="4:18" ht="12.5">
      <c r="D243"/>
      <c r="F243"/>
      <c r="H243"/>
      <c r="J243"/>
      <c r="K243"/>
      <c r="O243"/>
      <c r="R243" s="8"/>
    </row>
    <row r="244" spans="4:18" ht="12.5">
      <c r="D244"/>
      <c r="F244"/>
      <c r="H244"/>
      <c r="J244"/>
      <c r="K244"/>
      <c r="O244"/>
      <c r="R244" s="8"/>
    </row>
    <row r="245" spans="4:18" ht="12.5">
      <c r="D245"/>
      <c r="F245"/>
      <c r="H245"/>
      <c r="J245"/>
      <c r="K245"/>
      <c r="O245"/>
      <c r="R245" s="8"/>
    </row>
    <row r="246" spans="4:18" ht="12.5">
      <c r="D246"/>
      <c r="F246"/>
      <c r="H246"/>
      <c r="J246"/>
      <c r="K246"/>
      <c r="O246"/>
      <c r="R246" s="8"/>
    </row>
    <row r="247" spans="4:18" ht="12.5">
      <c r="D247"/>
      <c r="F247"/>
      <c r="H247"/>
      <c r="J247"/>
      <c r="K247"/>
      <c r="O247"/>
      <c r="R247" s="8"/>
    </row>
    <row r="248" spans="4:18" ht="12.5">
      <c r="D248"/>
      <c r="F248"/>
      <c r="H248"/>
      <c r="J248"/>
      <c r="K248"/>
      <c r="O248"/>
      <c r="R248" s="8"/>
    </row>
    <row r="249" spans="4:18" ht="12.5">
      <c r="D249"/>
      <c r="F249"/>
      <c r="H249"/>
      <c r="J249"/>
      <c r="K249"/>
      <c r="O249"/>
      <c r="R249" s="8"/>
    </row>
    <row r="250" spans="4:18" ht="12.5">
      <c r="D250"/>
      <c r="F250"/>
      <c r="H250"/>
      <c r="J250"/>
      <c r="K250"/>
      <c r="O250"/>
      <c r="R250" s="8"/>
    </row>
    <row r="251" spans="4:18" ht="12.5">
      <c r="D251"/>
      <c r="F251"/>
      <c r="H251"/>
      <c r="J251"/>
      <c r="K251"/>
      <c r="O251"/>
      <c r="R251" s="8"/>
    </row>
    <row r="252" spans="4:18" ht="12.5">
      <c r="D252"/>
      <c r="F252"/>
      <c r="H252"/>
      <c r="J252"/>
      <c r="K252"/>
      <c r="O252"/>
      <c r="R252" s="8"/>
    </row>
    <row r="253" spans="4:18" ht="12.5">
      <c r="D253"/>
      <c r="F253"/>
      <c r="H253"/>
      <c r="J253"/>
      <c r="K253"/>
      <c r="O253"/>
      <c r="R253" s="8"/>
    </row>
    <row r="254" spans="4:18" ht="12.5">
      <c r="D254"/>
      <c r="F254"/>
      <c r="H254"/>
      <c r="J254"/>
      <c r="K254"/>
      <c r="O254"/>
      <c r="R254" s="8"/>
    </row>
    <row r="255" spans="4:18" ht="12.5">
      <c r="D255"/>
      <c r="F255"/>
      <c r="H255"/>
      <c r="J255"/>
      <c r="K255"/>
      <c r="O255"/>
      <c r="R255" s="8"/>
    </row>
    <row r="256" spans="4:18" ht="12.5">
      <c r="D256"/>
      <c r="F256"/>
      <c r="H256"/>
      <c r="J256"/>
      <c r="K256"/>
      <c r="O256"/>
      <c r="R256" s="8"/>
    </row>
    <row r="257" spans="2:20" ht="12.5">
      <c r="D257"/>
      <c r="F257"/>
      <c r="H257"/>
      <c r="J257"/>
      <c r="K257"/>
      <c r="O257"/>
      <c r="R257" s="8"/>
    </row>
    <row r="258" spans="2:20" ht="12.5">
      <c r="D258"/>
      <c r="F258"/>
      <c r="H258"/>
      <c r="J258"/>
      <c r="K258"/>
      <c r="O258"/>
      <c r="R258" s="8"/>
    </row>
    <row r="259" spans="2:20" ht="12.5">
      <c r="D259"/>
      <c r="F259"/>
      <c r="H259"/>
      <c r="J259"/>
      <c r="K259"/>
      <c r="O259"/>
      <c r="R259" s="8"/>
    </row>
    <row r="260" spans="2:20" ht="12.5">
      <c r="D260"/>
      <c r="F260"/>
      <c r="H260"/>
      <c r="J260"/>
      <c r="K260"/>
      <c r="O260"/>
      <c r="R260" s="8"/>
    </row>
    <row r="261" spans="2:20" ht="12.5">
      <c r="D261"/>
      <c r="F261"/>
      <c r="H261"/>
      <c r="J261"/>
      <c r="K261"/>
      <c r="O261"/>
      <c r="R261" s="8"/>
    </row>
    <row r="262" spans="2:20" ht="12.5">
      <c r="D262"/>
      <c r="F262"/>
      <c r="H262"/>
      <c r="J262"/>
      <c r="K262"/>
      <c r="O262"/>
      <c r="R262" s="8"/>
    </row>
    <row r="263" spans="2:20" ht="12.5">
      <c r="D263"/>
      <c r="F263"/>
      <c r="H263"/>
      <c r="J263"/>
      <c r="K263"/>
      <c r="O263"/>
      <c r="R263" s="8"/>
    </row>
    <row r="264" spans="2:20" ht="12.5">
      <c r="D264"/>
      <c r="F264"/>
      <c r="H264"/>
      <c r="J264"/>
      <c r="K264"/>
      <c r="O264"/>
      <c r="R264" s="8"/>
    </row>
    <row r="265" spans="2:20" ht="12.5">
      <c r="D265"/>
      <c r="F265"/>
      <c r="H265"/>
      <c r="J265"/>
      <c r="K265"/>
      <c r="O265"/>
      <c r="R265" s="8"/>
    </row>
    <row r="266" spans="2:20" ht="12.5">
      <c r="D266"/>
      <c r="F266"/>
      <c r="H266"/>
      <c r="J266"/>
      <c r="K266"/>
      <c r="O266"/>
      <c r="R266" s="8"/>
    </row>
    <row r="267" spans="2:20">
      <c r="R267" s="8"/>
    </row>
    <row r="268" spans="2:20">
      <c r="R268" s="8"/>
    </row>
    <row r="269" spans="2:20">
      <c r="B269" s="16"/>
      <c r="R269" s="8"/>
    </row>
    <row r="270" spans="2:20">
      <c r="R270" s="8"/>
    </row>
    <row r="271" spans="2:20">
      <c r="R271" s="8"/>
    </row>
    <row r="272" spans="2:20">
      <c r="R272" s="8"/>
      <c r="T272" s="4"/>
    </row>
    <row r="273" spans="4:21">
      <c r="R273" s="8"/>
    </row>
    <row r="274" spans="4:21">
      <c r="R274" s="8"/>
      <c r="T274" s="4"/>
    </row>
    <row r="275" spans="4:21">
      <c r="R275" s="8"/>
      <c r="T275" s="4"/>
    </row>
    <row r="276" spans="4:21">
      <c r="R276" s="8"/>
      <c r="T276" s="4"/>
    </row>
    <row r="277" spans="4:21">
      <c r="R277" s="8"/>
      <c r="T277" s="4"/>
    </row>
    <row r="279" spans="4:21">
      <c r="R279" s="3"/>
    </row>
    <row r="280" spans="4:21">
      <c r="R280" s="8"/>
      <c r="T280" s="4"/>
    </row>
    <row r="281" spans="4:21">
      <c r="R281" s="8"/>
      <c r="T281" s="4"/>
    </row>
    <row r="282" spans="4:21">
      <c r="R282" s="8"/>
      <c r="T282" s="4"/>
    </row>
    <row r="283" spans="4:21" ht="12.5">
      <c r="D283"/>
      <c r="F283"/>
      <c r="H283"/>
      <c r="J283"/>
      <c r="K283"/>
      <c r="O283"/>
      <c r="R283" s="3"/>
      <c r="T283" s="4"/>
    </row>
    <row r="284" spans="4:21" ht="12.5">
      <c r="D284"/>
      <c r="F284"/>
      <c r="H284"/>
      <c r="J284"/>
      <c r="K284"/>
      <c r="O284"/>
      <c r="R284" s="8"/>
    </row>
    <row r="285" spans="4:21" ht="12.5">
      <c r="D285"/>
      <c r="F285"/>
      <c r="H285"/>
      <c r="J285"/>
      <c r="K285"/>
      <c r="O285"/>
      <c r="R285" s="8"/>
      <c r="T285" s="4"/>
      <c r="U285" s="8"/>
    </row>
    <row r="286" spans="4:21" ht="12.5">
      <c r="D286"/>
      <c r="F286"/>
      <c r="H286"/>
      <c r="J286"/>
      <c r="K286"/>
      <c r="O286"/>
      <c r="R286" s="8"/>
      <c r="T286" s="4"/>
    </row>
    <row r="287" spans="4:21" ht="12.5">
      <c r="D287"/>
      <c r="F287"/>
      <c r="H287"/>
      <c r="J287"/>
      <c r="K287"/>
      <c r="O287"/>
      <c r="R287" s="8"/>
      <c r="T287" s="4"/>
    </row>
    <row r="296" spans="4:20" ht="12.5">
      <c r="D296"/>
      <c r="F296"/>
      <c r="H296"/>
      <c r="J296"/>
      <c r="K296"/>
      <c r="O296"/>
      <c r="R296" s="8"/>
      <c r="T296" s="4"/>
    </row>
    <row r="297" spans="4:20" ht="12.5">
      <c r="D297"/>
      <c r="F297"/>
      <c r="H297"/>
      <c r="J297"/>
      <c r="K297"/>
      <c r="O297"/>
      <c r="R297" s="8"/>
      <c r="T297" s="4"/>
    </row>
    <row r="298" spans="4:20" ht="12.5">
      <c r="D298"/>
      <c r="F298"/>
      <c r="H298"/>
      <c r="J298"/>
      <c r="K298"/>
      <c r="O298"/>
      <c r="R298" s="8"/>
      <c r="T298" s="4"/>
    </row>
    <row r="299" spans="4:20">
      <c r="D299"/>
      <c r="F299"/>
      <c r="H299"/>
      <c r="J299"/>
      <c r="K299"/>
      <c r="O299" s="25"/>
      <c r="R299" s="8"/>
      <c r="T299" s="4"/>
    </row>
    <row r="300" spans="4:20">
      <c r="D300"/>
      <c r="F300"/>
      <c r="H300"/>
      <c r="J300"/>
      <c r="K300"/>
      <c r="O300" s="25"/>
      <c r="R300" s="8"/>
      <c r="T300" s="4"/>
    </row>
    <row r="301" spans="4:20">
      <c r="D301"/>
      <c r="F301"/>
      <c r="H301"/>
      <c r="J301"/>
      <c r="K301"/>
      <c r="O301" s="25"/>
      <c r="R301" s="3"/>
      <c r="T301" s="4"/>
    </row>
    <row r="302" spans="4:20">
      <c r="D302"/>
      <c r="F302"/>
      <c r="H302"/>
      <c r="J302"/>
      <c r="K302"/>
      <c r="O302" s="25"/>
      <c r="R302" s="8"/>
      <c r="T302" s="4"/>
    </row>
    <row r="303" spans="4:20">
      <c r="D303"/>
      <c r="F303"/>
      <c r="H303"/>
      <c r="J303"/>
      <c r="K303"/>
      <c r="O303" s="25"/>
    </row>
    <row r="304" spans="4:20">
      <c r="D304"/>
      <c r="F304"/>
      <c r="H304"/>
      <c r="J304"/>
      <c r="K304"/>
      <c r="O304" s="25"/>
    </row>
    <row r="305" spans="3:20">
      <c r="D305"/>
      <c r="F305"/>
      <c r="H305"/>
      <c r="J305"/>
      <c r="K305"/>
      <c r="O305" s="25"/>
    </row>
    <row r="306" spans="3:20">
      <c r="D306"/>
      <c r="F306"/>
      <c r="H306"/>
      <c r="J306"/>
      <c r="K306"/>
      <c r="O306" s="25"/>
    </row>
    <row r="307" spans="3:20">
      <c r="D307"/>
      <c r="F307"/>
      <c r="H307"/>
      <c r="J307"/>
      <c r="K307"/>
      <c r="O307" s="25"/>
      <c r="P307" s="14"/>
    </row>
    <row r="308" spans="3:20">
      <c r="D308"/>
      <c r="F308"/>
      <c r="H308"/>
      <c r="J308"/>
      <c r="K308"/>
      <c r="O308" s="25"/>
      <c r="T308" s="4"/>
    </row>
    <row r="309" spans="3:20">
      <c r="D309"/>
      <c r="F309"/>
      <c r="H309"/>
      <c r="J309"/>
      <c r="K309"/>
      <c r="O309" s="25"/>
      <c r="P309" s="14"/>
      <c r="T309" s="4"/>
    </row>
    <row r="310" spans="3:20">
      <c r="D310"/>
      <c r="F310"/>
      <c r="H310"/>
      <c r="J310"/>
      <c r="K310"/>
      <c r="O310" s="25"/>
      <c r="R310" s="8"/>
      <c r="T310" s="4"/>
    </row>
    <row r="311" spans="3:20">
      <c r="D311"/>
      <c r="F311"/>
      <c r="H311"/>
      <c r="J311"/>
      <c r="K311"/>
      <c r="O311" s="25"/>
      <c r="T311" s="4"/>
    </row>
    <row r="312" spans="3:20">
      <c r="D312"/>
      <c r="F312"/>
      <c r="H312"/>
      <c r="J312"/>
      <c r="K312"/>
      <c r="O312" s="25"/>
    </row>
    <row r="313" spans="3:20">
      <c r="D313"/>
      <c r="F313"/>
      <c r="H313"/>
      <c r="J313"/>
      <c r="K313"/>
      <c r="O313" s="25"/>
    </row>
    <row r="314" spans="3:20">
      <c r="D314"/>
      <c r="F314"/>
      <c r="H314"/>
      <c r="J314"/>
      <c r="K314"/>
      <c r="O314" s="25"/>
    </row>
    <row r="316" spans="3:20">
      <c r="T316" s="4"/>
    </row>
    <row r="317" spans="3:20">
      <c r="C317" s="5"/>
      <c r="D317" s="116"/>
      <c r="E317" s="5"/>
      <c r="F317" s="116"/>
      <c r="G317" s="5"/>
      <c r="H317" s="116"/>
      <c r="I317" s="5"/>
      <c r="J317" s="5"/>
      <c r="K317" s="5"/>
      <c r="L317" s="5"/>
      <c r="M317" s="5"/>
      <c r="N317" s="5"/>
      <c r="O317" s="1091"/>
      <c r="P317" s="5"/>
      <c r="T317" s="4"/>
    </row>
    <row r="318" spans="3:20">
      <c r="R318" s="8"/>
      <c r="T318" s="4"/>
    </row>
    <row r="319" spans="3:20">
      <c r="T319" s="4"/>
    </row>
    <row r="320" spans="3:20">
      <c r="T320" s="4"/>
    </row>
    <row r="321" spans="2:20">
      <c r="T321" s="4"/>
    </row>
    <row r="322" spans="2:20">
      <c r="R322" s="8"/>
      <c r="T322" s="4"/>
    </row>
    <row r="323" spans="2:20">
      <c r="R323" s="8"/>
      <c r="T323" s="4"/>
    </row>
    <row r="324" spans="2:20">
      <c r="B324" s="74"/>
      <c r="R324" s="8"/>
      <c r="T324" s="4"/>
    </row>
    <row r="325" spans="2:20">
      <c r="B325" s="74"/>
      <c r="R325" s="8"/>
      <c r="T325" s="4"/>
    </row>
    <row r="326" spans="2:20">
      <c r="B326" s="74"/>
      <c r="R326" s="8"/>
      <c r="T326" s="4"/>
    </row>
    <row r="327" spans="2:20">
      <c r="B327" s="74"/>
      <c r="R327" s="8"/>
      <c r="T327" s="4"/>
    </row>
    <row r="328" spans="2:20">
      <c r="R328" s="8"/>
      <c r="T328" s="4"/>
    </row>
    <row r="329" spans="2:20">
      <c r="O329" s="25"/>
      <c r="R329" s="8"/>
    </row>
    <row r="330" spans="2:20">
      <c r="O330" s="25"/>
      <c r="R330" s="8"/>
    </row>
    <row r="331" spans="2:20">
      <c r="C331" s="15"/>
      <c r="D331" s="406"/>
      <c r="E331" s="15"/>
      <c r="F331" s="406"/>
      <c r="G331" s="15"/>
      <c r="H331" s="406"/>
      <c r="I331" s="15"/>
      <c r="J331" s="15"/>
      <c r="K331" s="15"/>
      <c r="L331" s="15"/>
      <c r="M331" s="15"/>
      <c r="O331" s="25"/>
      <c r="R331" s="8"/>
    </row>
    <row r="332" spans="2:20">
      <c r="C332" s="15"/>
      <c r="D332" s="406"/>
      <c r="E332" s="15"/>
      <c r="F332" s="406"/>
      <c r="G332" s="15"/>
      <c r="H332" s="406"/>
      <c r="I332" s="15"/>
      <c r="J332" s="15"/>
      <c r="K332" s="15"/>
      <c r="L332" s="15"/>
      <c r="M332" s="15"/>
      <c r="O332" s="25"/>
      <c r="R332" s="8"/>
    </row>
    <row r="333" spans="2:20">
      <c r="C333" s="15"/>
      <c r="D333" s="406"/>
      <c r="E333" s="15"/>
      <c r="F333" s="406"/>
      <c r="G333" s="15"/>
      <c r="H333" s="406"/>
      <c r="I333" s="15"/>
      <c r="J333" s="15"/>
      <c r="K333" s="15"/>
      <c r="L333" s="15"/>
      <c r="M333" s="15"/>
      <c r="N333" s="15"/>
      <c r="O333" s="171"/>
      <c r="P333" s="15"/>
      <c r="R333" s="8"/>
    </row>
    <row r="334" spans="2:20">
      <c r="C334" s="15"/>
      <c r="D334" s="406"/>
      <c r="E334" s="15"/>
      <c r="F334" s="406"/>
      <c r="G334" s="15"/>
      <c r="H334" s="406"/>
      <c r="I334" s="15"/>
      <c r="J334" s="15"/>
      <c r="K334" s="15"/>
      <c r="L334" s="15"/>
      <c r="M334" s="15"/>
      <c r="O334" s="25"/>
      <c r="R334" s="8"/>
    </row>
    <row r="335" spans="2:20">
      <c r="C335" s="15"/>
      <c r="D335" s="406"/>
      <c r="E335" s="15"/>
      <c r="F335" s="406"/>
      <c r="G335" s="15"/>
      <c r="H335" s="406"/>
      <c r="I335" s="15"/>
      <c r="J335" s="15"/>
      <c r="K335" s="15"/>
      <c r="L335" s="15"/>
      <c r="M335" s="15"/>
      <c r="O335" s="25"/>
      <c r="R335" s="8"/>
    </row>
    <row r="336" spans="2:20">
      <c r="C336" s="15"/>
      <c r="D336" s="406"/>
      <c r="E336" s="15"/>
      <c r="F336" s="406"/>
      <c r="G336" s="15"/>
      <c r="H336" s="406"/>
      <c r="I336" s="15"/>
      <c r="J336" s="15"/>
      <c r="K336" s="15"/>
      <c r="L336" s="15"/>
      <c r="M336" s="15"/>
      <c r="O336" s="25"/>
      <c r="R336" s="8"/>
    </row>
    <row r="337" spans="3:20">
      <c r="C337" s="15"/>
      <c r="D337" s="406"/>
      <c r="E337" s="15"/>
      <c r="F337" s="406"/>
      <c r="G337" s="15"/>
      <c r="H337" s="406"/>
      <c r="I337" s="15"/>
      <c r="J337" s="15"/>
      <c r="K337" s="15"/>
      <c r="L337" s="15"/>
      <c r="M337" s="15"/>
      <c r="O337" s="25"/>
      <c r="P337" s="8"/>
      <c r="R337" s="8"/>
    </row>
    <row r="338" spans="3:20">
      <c r="C338" s="15"/>
      <c r="D338" s="406"/>
      <c r="E338" s="15"/>
      <c r="F338" s="406"/>
      <c r="G338" s="15"/>
      <c r="H338" s="406"/>
      <c r="I338" s="15"/>
      <c r="J338" s="15"/>
      <c r="K338" s="15"/>
      <c r="L338" s="15"/>
      <c r="M338" s="15"/>
      <c r="O338" s="25"/>
      <c r="P338" s="8"/>
      <c r="R338" s="8"/>
    </row>
    <row r="339" spans="3:20">
      <c r="C339" s="15"/>
      <c r="D339" s="406"/>
      <c r="E339" s="15"/>
      <c r="F339" s="406"/>
      <c r="G339" s="15"/>
      <c r="H339" s="406"/>
      <c r="I339" s="15"/>
      <c r="J339" s="15"/>
      <c r="K339" s="15"/>
      <c r="L339" s="15"/>
      <c r="M339" s="15"/>
      <c r="O339" s="25"/>
      <c r="P339" s="8"/>
      <c r="R339" s="8"/>
    </row>
    <row r="340" spans="3:20">
      <c r="C340" s="15"/>
      <c r="D340" s="406"/>
      <c r="E340" s="15"/>
      <c r="F340" s="406"/>
      <c r="G340" s="15"/>
      <c r="H340" s="406"/>
      <c r="I340" s="15"/>
      <c r="J340" s="15"/>
      <c r="K340" s="15"/>
      <c r="L340" s="15"/>
      <c r="M340" s="15"/>
      <c r="O340" s="25"/>
      <c r="P340" s="8"/>
    </row>
    <row r="341" spans="3:20">
      <c r="C341" s="15"/>
      <c r="D341" s="406"/>
      <c r="E341" s="15"/>
      <c r="F341" s="406"/>
      <c r="G341" s="15"/>
      <c r="H341" s="406"/>
      <c r="I341" s="15"/>
      <c r="J341" s="15"/>
      <c r="K341" s="15"/>
      <c r="L341" s="15"/>
      <c r="M341" s="15"/>
      <c r="O341" s="25"/>
    </row>
    <row r="342" spans="3:20">
      <c r="C342" s="15"/>
      <c r="D342" s="406"/>
      <c r="E342" s="15"/>
      <c r="F342" s="406"/>
      <c r="G342" s="15"/>
      <c r="H342" s="406"/>
      <c r="I342" s="15"/>
      <c r="J342" s="15"/>
      <c r="K342" s="15"/>
      <c r="L342" s="15"/>
      <c r="M342" s="15"/>
      <c r="O342" s="25"/>
    </row>
    <row r="343" spans="3:20">
      <c r="C343" s="15"/>
      <c r="D343" s="406"/>
      <c r="E343" s="15"/>
      <c r="F343" s="406"/>
      <c r="G343" s="15"/>
      <c r="H343" s="406"/>
      <c r="I343" s="15"/>
      <c r="J343" s="15"/>
      <c r="K343" s="15"/>
      <c r="L343" s="15"/>
      <c r="M343" s="15"/>
      <c r="O343" s="25"/>
    </row>
    <row r="344" spans="3:20">
      <c r="C344" s="15"/>
      <c r="D344" s="406"/>
      <c r="E344" s="15"/>
      <c r="F344" s="406"/>
      <c r="G344" s="15"/>
      <c r="H344" s="406"/>
      <c r="I344" s="15"/>
      <c r="J344" s="15"/>
      <c r="K344" s="15"/>
      <c r="L344" s="15"/>
      <c r="M344" s="15"/>
      <c r="O344" s="25"/>
    </row>
    <row r="345" spans="3:20">
      <c r="C345" s="15"/>
      <c r="D345" s="406"/>
      <c r="E345" s="15"/>
      <c r="F345" s="406"/>
      <c r="G345" s="15"/>
      <c r="H345" s="406"/>
      <c r="I345" s="15"/>
      <c r="J345" s="15"/>
      <c r="K345" s="15"/>
      <c r="L345" s="15"/>
      <c r="M345" s="15"/>
      <c r="N345" s="15"/>
      <c r="O345" s="15"/>
      <c r="P345" s="8"/>
      <c r="R345" s="8"/>
      <c r="T345" s="4"/>
    </row>
    <row r="346" spans="3:20">
      <c r="C346" s="15"/>
      <c r="D346" s="406"/>
      <c r="E346" s="15"/>
      <c r="F346" s="406"/>
      <c r="G346" s="15"/>
      <c r="H346" s="406"/>
      <c r="I346" s="15"/>
      <c r="J346" s="15"/>
      <c r="K346" s="15"/>
      <c r="L346" s="15"/>
      <c r="M346" s="15"/>
      <c r="N346" s="15"/>
      <c r="O346" s="15"/>
      <c r="R346" s="8"/>
      <c r="T346" s="4"/>
    </row>
    <row r="347" spans="3:20">
      <c r="R347" s="8"/>
    </row>
    <row r="348" spans="3:20">
      <c r="C348" s="8"/>
      <c r="D348" s="407"/>
      <c r="E348" s="8"/>
      <c r="F348" s="407"/>
      <c r="G348" s="8"/>
      <c r="H348" s="407"/>
      <c r="I348" s="8"/>
      <c r="J348" s="8"/>
      <c r="K348" s="8"/>
      <c r="L348" s="8"/>
      <c r="M348" s="8"/>
      <c r="N348" s="15"/>
      <c r="O348" s="15"/>
      <c r="P348" s="15"/>
      <c r="R348" s="8"/>
    </row>
    <row r="349" spans="3:20">
      <c r="C349" s="8"/>
      <c r="D349" s="407"/>
      <c r="E349" s="8"/>
      <c r="F349" s="407"/>
      <c r="G349" s="8"/>
      <c r="H349" s="407"/>
      <c r="I349" s="8"/>
      <c r="J349" s="8"/>
      <c r="K349" s="8"/>
      <c r="L349" s="8"/>
      <c r="M349" s="8"/>
      <c r="N349" s="15"/>
      <c r="O349" s="15"/>
      <c r="P349" s="15"/>
      <c r="R349" s="3"/>
    </row>
    <row r="350" spans="3:20">
      <c r="C350" s="8"/>
      <c r="D350" s="407"/>
      <c r="E350" s="8"/>
      <c r="F350" s="407"/>
      <c r="G350" s="8"/>
      <c r="H350" s="407"/>
      <c r="I350" s="8"/>
      <c r="J350" s="8"/>
      <c r="K350" s="8"/>
      <c r="L350" s="8"/>
      <c r="M350" s="8"/>
      <c r="N350" s="15"/>
      <c r="O350" s="15"/>
      <c r="P350" s="15"/>
      <c r="R350" s="3"/>
    </row>
    <row r="351" spans="3:20">
      <c r="C351" s="8"/>
      <c r="D351" s="407"/>
      <c r="E351" s="8"/>
      <c r="F351" s="407"/>
      <c r="G351" s="8"/>
      <c r="H351" s="407"/>
      <c r="I351" s="8"/>
      <c r="J351" s="8"/>
      <c r="K351" s="8"/>
      <c r="L351" s="8"/>
      <c r="M351" s="8"/>
      <c r="N351" s="15"/>
      <c r="O351" s="15"/>
      <c r="P351" s="15"/>
      <c r="Q351" s="8"/>
      <c r="R351" s="8"/>
    </row>
    <row r="352" spans="3:20">
      <c r="C352" s="8"/>
      <c r="D352" s="407"/>
      <c r="E352" s="8"/>
      <c r="F352" s="407"/>
      <c r="G352" s="8"/>
      <c r="H352" s="407"/>
      <c r="I352" s="8"/>
      <c r="J352" s="8"/>
      <c r="K352" s="8"/>
      <c r="L352" s="8"/>
      <c r="M352" s="8"/>
      <c r="N352" s="15"/>
      <c r="O352" s="15"/>
      <c r="P352" s="15"/>
      <c r="Q352" s="8"/>
      <c r="R352" s="8"/>
    </row>
    <row r="353" spans="3:21">
      <c r="C353" s="8"/>
      <c r="D353" s="407"/>
      <c r="E353" s="8"/>
      <c r="F353" s="407"/>
      <c r="G353" s="8"/>
      <c r="H353" s="407"/>
      <c r="I353" s="8"/>
      <c r="J353" s="8"/>
      <c r="K353" s="8"/>
      <c r="L353" s="8"/>
      <c r="M353" s="8"/>
      <c r="N353" s="15"/>
      <c r="O353" s="15"/>
      <c r="P353" s="15"/>
      <c r="R353" s="203"/>
      <c r="U353" s="71" t="s">
        <v>1293</v>
      </c>
    </row>
    <row r="354" spans="3:21">
      <c r="C354" s="8"/>
      <c r="D354" s="407"/>
      <c r="E354" s="8"/>
      <c r="F354" s="407"/>
      <c r="G354" s="8"/>
      <c r="H354" s="407"/>
      <c r="I354" s="8"/>
      <c r="J354" s="8"/>
      <c r="K354" s="8"/>
      <c r="L354" s="8"/>
      <c r="M354" s="8"/>
      <c r="N354" s="15"/>
      <c r="O354" s="15"/>
      <c r="P354" s="15"/>
      <c r="R354" s="74"/>
      <c r="U354" s="74" t="e">
        <f>IF(OR(#REF!&gt;129.999,#REF!&lt;12),0,IF(OR(#REF!&gt;90,#REF!&gt;90),130,IF(AND(OR(#REF!&lt;90,#REF!&lt;90),#REF!&gt;30),130,0)))</f>
        <v>#REF!</v>
      </c>
    </row>
    <row r="355" spans="3:21">
      <c r="C355" s="8"/>
      <c r="D355" s="407"/>
      <c r="E355" s="8"/>
      <c r="F355" s="407"/>
      <c r="G355" s="8"/>
      <c r="H355" s="407"/>
      <c r="I355" s="8"/>
      <c r="J355" s="8"/>
      <c r="K355" s="8"/>
      <c r="L355" s="8"/>
      <c r="M355" s="8"/>
      <c r="N355" s="15"/>
      <c r="O355" s="15"/>
      <c r="P355" s="15"/>
      <c r="R355" s="187"/>
      <c r="U355" s="187" t="e">
        <f>IF(OR(#REF!&gt;129.999,#REF!&lt;8),0,IF(OR(#REF!&gt;50,#REF!&gt;50),75,IF(AND(OR(#REF!&lt;50,#REF!&lt;50),#REF!&gt;30),75,0)))</f>
        <v>#REF!</v>
      </c>
    </row>
    <row r="356" spans="3:21">
      <c r="C356" s="8"/>
      <c r="D356" s="407"/>
      <c r="E356" s="8"/>
      <c r="F356" s="407"/>
      <c r="G356" s="8"/>
      <c r="H356" s="407"/>
      <c r="I356" s="8"/>
      <c r="J356" s="8"/>
      <c r="K356" s="8"/>
      <c r="L356" s="8"/>
      <c r="M356" s="8"/>
      <c r="N356" s="15"/>
      <c r="O356" s="15"/>
      <c r="P356" s="15"/>
      <c r="Q356" s="8"/>
      <c r="R356" s="187"/>
      <c r="U356" s="187" t="e">
        <f>IF(OR(#REF!&gt;129.999,#REF!&lt;6),0,IF(OR(#REF!&gt;40,#REF!&gt;40),60,IF(AND(OR(#REF!&lt;40,#REF!&lt;40),#REF!&gt;30),60,0)))</f>
        <v>#REF!</v>
      </c>
    </row>
    <row r="357" spans="3:21">
      <c r="C357" s="8"/>
      <c r="D357" s="407"/>
      <c r="E357" s="8"/>
      <c r="F357" s="407"/>
      <c r="G357" s="8"/>
      <c r="H357" s="407"/>
      <c r="I357" s="8"/>
      <c r="J357" s="8"/>
      <c r="K357" s="8"/>
      <c r="L357" s="8"/>
      <c r="M357" s="8"/>
      <c r="N357" s="8"/>
      <c r="O357" s="1092"/>
      <c r="P357" s="8"/>
      <c r="Q357" s="8"/>
      <c r="R357" s="8"/>
    </row>
    <row r="358" spans="3:21">
      <c r="C358" s="8"/>
      <c r="D358" s="407"/>
      <c r="E358" s="8"/>
      <c r="F358" s="407"/>
      <c r="G358" s="8"/>
      <c r="H358" s="407"/>
      <c r="I358" s="8"/>
      <c r="J358" s="8"/>
      <c r="K358" s="8"/>
      <c r="L358" s="8"/>
      <c r="M358" s="8"/>
      <c r="N358" s="8"/>
      <c r="O358" s="1092"/>
      <c r="P358" s="8"/>
      <c r="Q358" s="8"/>
      <c r="R358" s="8"/>
    </row>
    <row r="359" spans="3:21">
      <c r="C359" s="8"/>
      <c r="D359" s="407"/>
      <c r="E359" s="8"/>
      <c r="F359" s="407"/>
      <c r="G359" s="8"/>
      <c r="H359" s="407"/>
      <c r="I359" s="8"/>
      <c r="J359" s="8"/>
      <c r="K359" s="8"/>
      <c r="L359" s="8"/>
      <c r="M359" s="8"/>
      <c r="N359" s="8"/>
      <c r="O359" s="1092"/>
      <c r="P359" s="8"/>
      <c r="Q359" s="8"/>
      <c r="R359" s="8"/>
    </row>
    <row r="360" spans="3:21">
      <c r="C360" s="8"/>
      <c r="D360" s="407"/>
      <c r="E360" s="8"/>
      <c r="F360" s="407"/>
      <c r="G360" s="8"/>
      <c r="H360" s="407"/>
      <c r="I360" s="8"/>
      <c r="J360" s="8"/>
      <c r="K360" s="8"/>
      <c r="L360" s="8"/>
      <c r="M360" s="8"/>
      <c r="N360" s="8"/>
      <c r="O360" s="1092"/>
      <c r="P360" s="8"/>
      <c r="Q360" s="8"/>
      <c r="R360" s="74"/>
    </row>
    <row r="361" spans="3:21">
      <c r="C361" s="8"/>
      <c r="D361" s="407"/>
      <c r="E361" s="8"/>
      <c r="F361" s="407"/>
      <c r="G361" s="8"/>
      <c r="H361" s="407"/>
      <c r="I361" s="8"/>
      <c r="J361" s="8"/>
      <c r="K361" s="8"/>
      <c r="L361" s="8"/>
      <c r="M361" s="8"/>
      <c r="N361" s="8"/>
      <c r="O361" s="1092"/>
      <c r="P361" s="8"/>
      <c r="Q361" s="8"/>
      <c r="R361" s="74"/>
    </row>
    <row r="362" spans="3:21">
      <c r="C362" s="8"/>
      <c r="D362" s="407"/>
      <c r="E362" s="8"/>
      <c r="F362" s="407"/>
      <c r="G362" s="8"/>
      <c r="H362" s="407"/>
      <c r="I362" s="8"/>
      <c r="J362" s="8"/>
      <c r="K362" s="8"/>
      <c r="L362" s="8"/>
      <c r="M362" s="8"/>
      <c r="N362" s="8"/>
      <c r="O362" s="1092"/>
      <c r="P362" s="8"/>
      <c r="Q362" s="8"/>
      <c r="R362" s="74"/>
    </row>
    <row r="363" spans="3:21">
      <c r="C363" s="8"/>
      <c r="D363" s="407"/>
      <c r="E363" s="8"/>
      <c r="F363" s="407"/>
      <c r="G363" s="8"/>
      <c r="H363" s="407"/>
      <c r="I363" s="8"/>
      <c r="J363" s="8"/>
      <c r="K363" s="8"/>
      <c r="L363" s="8"/>
      <c r="M363" s="8"/>
      <c r="N363" s="8"/>
      <c r="O363" s="1092"/>
      <c r="P363" s="8"/>
      <c r="Q363" s="8"/>
      <c r="R363" s="8"/>
    </row>
    <row r="364" spans="3:21">
      <c r="C364" s="8"/>
      <c r="D364" s="407"/>
      <c r="E364" s="8"/>
      <c r="F364" s="407"/>
      <c r="G364" s="8"/>
      <c r="H364" s="407"/>
      <c r="I364" s="8"/>
      <c r="J364" s="8"/>
      <c r="K364" s="8"/>
      <c r="L364" s="8"/>
      <c r="M364" s="8"/>
      <c r="N364" s="8"/>
      <c r="O364" s="1092"/>
      <c r="P364" s="8"/>
      <c r="Q364" s="8"/>
      <c r="R364" s="8"/>
    </row>
    <row r="365" spans="3:21">
      <c r="C365" s="8"/>
      <c r="D365" s="407"/>
      <c r="E365" s="8"/>
      <c r="F365" s="407"/>
      <c r="G365" s="8"/>
      <c r="H365" s="407"/>
      <c r="I365" s="8"/>
      <c r="J365" s="8"/>
      <c r="K365" s="8"/>
      <c r="L365" s="8"/>
      <c r="M365" s="8"/>
      <c r="N365" s="8"/>
      <c r="O365" s="1092"/>
      <c r="P365" s="8"/>
      <c r="Q365" s="8"/>
      <c r="R365" s="8"/>
    </row>
    <row r="366" spans="3:21">
      <c r="C366" s="8"/>
      <c r="D366" s="407"/>
      <c r="E366" s="8"/>
      <c r="F366" s="407"/>
      <c r="G366" s="8"/>
      <c r="H366" s="407"/>
      <c r="I366" s="8"/>
      <c r="J366" s="8"/>
      <c r="K366" s="8"/>
      <c r="L366" s="8"/>
      <c r="M366" s="8"/>
      <c r="N366" s="8"/>
      <c r="O366" s="1092"/>
      <c r="P366" s="8"/>
      <c r="Q366" s="8"/>
      <c r="R366" s="8"/>
    </row>
    <row r="367" spans="3:21">
      <c r="C367" s="8"/>
      <c r="D367" s="407"/>
      <c r="E367" s="8"/>
      <c r="F367" s="407"/>
      <c r="G367" s="8"/>
      <c r="H367" s="407"/>
      <c r="I367" s="8"/>
      <c r="J367" s="8"/>
      <c r="K367" s="8"/>
      <c r="L367" s="8"/>
      <c r="M367" s="8"/>
      <c r="N367" s="8"/>
      <c r="O367" s="1092"/>
      <c r="P367" s="8"/>
      <c r="Q367" s="8"/>
      <c r="R367" s="8"/>
    </row>
    <row r="368" spans="3:21">
      <c r="C368" s="8"/>
      <c r="D368" s="407"/>
      <c r="E368" s="8"/>
      <c r="F368" s="407"/>
      <c r="G368" s="8"/>
      <c r="H368" s="407"/>
      <c r="I368" s="8"/>
      <c r="J368" s="8"/>
      <c r="K368" s="8"/>
      <c r="L368" s="8"/>
      <c r="M368" s="8"/>
      <c r="N368" s="8"/>
      <c r="O368" s="1092"/>
      <c r="P368" s="8"/>
      <c r="Q368" s="8"/>
      <c r="R368" s="8"/>
    </row>
    <row r="369" spans="3:18">
      <c r="C369" s="8"/>
      <c r="D369" s="407"/>
      <c r="E369" s="8"/>
      <c r="F369" s="407"/>
      <c r="G369" s="8"/>
      <c r="H369" s="407"/>
      <c r="I369" s="8"/>
      <c r="J369" s="8"/>
      <c r="K369" s="8"/>
      <c r="L369" s="8"/>
      <c r="M369" s="8"/>
      <c r="N369" s="8"/>
      <c r="O369" s="1092"/>
      <c r="P369" s="8"/>
      <c r="Q369" s="8"/>
      <c r="R369" s="8"/>
    </row>
    <row r="370" spans="3:18">
      <c r="Q370" s="8"/>
      <c r="R370" s="8"/>
    </row>
    <row r="371" spans="3:18">
      <c r="Q371" s="8"/>
      <c r="R371" s="8"/>
    </row>
    <row r="372" spans="3:18">
      <c r="Q372" s="8"/>
      <c r="R372" s="8"/>
    </row>
    <row r="373" spans="3:18">
      <c r="Q373" s="8"/>
      <c r="R373" s="8"/>
    </row>
    <row r="374" spans="3:18">
      <c r="Q374" s="8"/>
      <c r="R374" s="8"/>
    </row>
    <row r="375" spans="3:18">
      <c r="Q375" s="8"/>
      <c r="R375" s="8"/>
    </row>
    <row r="376" spans="3:18">
      <c r="Q376" s="8"/>
      <c r="R376" s="8"/>
    </row>
    <row r="377" spans="3:18">
      <c r="Q377" s="8"/>
      <c r="R377" s="8"/>
    </row>
    <row r="378" spans="3:18">
      <c r="Q378" s="8"/>
      <c r="R378" s="8"/>
    </row>
    <row r="379" spans="3:18" ht="12.5">
      <c r="D379"/>
      <c r="F379"/>
      <c r="H379"/>
      <c r="J379"/>
      <c r="K379"/>
      <c r="O379"/>
      <c r="Q379" s="8"/>
      <c r="R379" s="8"/>
    </row>
    <row r="380" spans="3:18" ht="12.5">
      <c r="D380"/>
      <c r="F380"/>
      <c r="H380"/>
      <c r="J380"/>
      <c r="K380"/>
      <c r="O380"/>
      <c r="Q380" s="8"/>
      <c r="R380" s="8"/>
    </row>
    <row r="381" spans="3:18" ht="12.5">
      <c r="D381"/>
      <c r="F381"/>
      <c r="H381"/>
      <c r="J381"/>
      <c r="K381"/>
      <c r="O381"/>
      <c r="Q381" s="8"/>
      <c r="R381" s="8"/>
    </row>
    <row r="382" spans="3:18" ht="12.5">
      <c r="D382"/>
      <c r="F382"/>
      <c r="H382"/>
      <c r="J382"/>
      <c r="K382"/>
      <c r="O382"/>
      <c r="Q382" s="8"/>
      <c r="R382" s="8"/>
    </row>
    <row r="383" spans="3:18" ht="12.5">
      <c r="D383"/>
      <c r="F383"/>
      <c r="H383"/>
      <c r="J383"/>
      <c r="K383"/>
      <c r="O383"/>
      <c r="Q383" s="8"/>
      <c r="R383" s="8"/>
    </row>
    <row r="384" spans="3:18" ht="12.5">
      <c r="D384"/>
      <c r="F384"/>
      <c r="H384"/>
      <c r="J384"/>
      <c r="K384"/>
      <c r="O384"/>
      <c r="Q384" s="8"/>
      <c r="R384" s="8"/>
    </row>
    <row r="385" spans="4:18" ht="12.5">
      <c r="D385"/>
      <c r="F385"/>
      <c r="H385"/>
      <c r="J385"/>
      <c r="K385"/>
      <c r="O385"/>
      <c r="Q385" s="8"/>
      <c r="R385" s="8"/>
    </row>
    <row r="386" spans="4:18" ht="12.5">
      <c r="D386"/>
      <c r="F386"/>
      <c r="H386"/>
      <c r="J386"/>
      <c r="K386"/>
      <c r="O386"/>
      <c r="Q386" s="8"/>
      <c r="R386" s="8"/>
    </row>
    <row r="387" spans="4:18" ht="12.5">
      <c r="D387"/>
      <c r="F387"/>
      <c r="H387"/>
      <c r="J387"/>
      <c r="K387"/>
      <c r="O387"/>
      <c r="Q387" s="8"/>
      <c r="R387" s="8"/>
    </row>
    <row r="388" spans="4:18" ht="12.5">
      <c r="D388"/>
      <c r="F388"/>
      <c r="H388"/>
      <c r="J388"/>
      <c r="K388"/>
      <c r="O388"/>
      <c r="Q388" s="8"/>
      <c r="R388" s="8"/>
    </row>
    <row r="389" spans="4:18" ht="12.5">
      <c r="D389"/>
      <c r="F389"/>
      <c r="H389"/>
      <c r="J389"/>
      <c r="K389"/>
      <c r="O389"/>
      <c r="Q389" s="8"/>
      <c r="R389" s="8"/>
    </row>
    <row r="390" spans="4:18" ht="12.5">
      <c r="D390"/>
      <c r="F390"/>
      <c r="H390"/>
      <c r="J390"/>
      <c r="K390"/>
      <c r="O390"/>
      <c r="Q390" s="8"/>
      <c r="R390" s="8"/>
    </row>
    <row r="391" spans="4:18" ht="12.5">
      <c r="D391"/>
      <c r="F391"/>
      <c r="H391"/>
      <c r="J391"/>
      <c r="K391"/>
      <c r="O391"/>
      <c r="Q391" s="8"/>
      <c r="R391" s="8"/>
    </row>
    <row r="392" spans="4:18" ht="12.5">
      <c r="D392"/>
      <c r="F392"/>
      <c r="H392"/>
      <c r="J392"/>
      <c r="K392"/>
      <c r="O392"/>
      <c r="Q392" s="8"/>
      <c r="R392" s="8"/>
    </row>
    <row r="393" spans="4:18" ht="12.5">
      <c r="D393"/>
      <c r="F393"/>
      <c r="H393"/>
      <c r="J393"/>
      <c r="K393"/>
      <c r="O393"/>
      <c r="Q393" s="8"/>
      <c r="R393" s="8"/>
    </row>
    <row r="394" spans="4:18" ht="12.5">
      <c r="D394"/>
      <c r="F394"/>
      <c r="H394"/>
      <c r="J394"/>
      <c r="K394"/>
      <c r="O394"/>
      <c r="Q394" s="8"/>
      <c r="R394" s="8"/>
    </row>
    <row r="395" spans="4:18">
      <c r="Q395" s="8"/>
      <c r="R395" s="8"/>
    </row>
    <row r="396" spans="4:18">
      <c r="Q396" s="8"/>
      <c r="R396" s="8"/>
    </row>
    <row r="397" spans="4:18">
      <c r="Q397" s="8"/>
      <c r="R397" s="8"/>
    </row>
    <row r="398" spans="4:18">
      <c r="Q398" s="8"/>
      <c r="R398" s="8"/>
    </row>
    <row r="399" spans="4:18">
      <c r="Q399" s="8"/>
      <c r="R399" s="8"/>
    </row>
    <row r="400" spans="4:18">
      <c r="Q400" s="8"/>
      <c r="R400" s="8"/>
    </row>
    <row r="401" spans="3:18">
      <c r="Q401" s="8"/>
      <c r="R401" s="8"/>
    </row>
    <row r="402" spans="3:18">
      <c r="Q402" s="8"/>
      <c r="R402" s="8"/>
    </row>
    <row r="403" spans="3:18">
      <c r="Q403" s="8"/>
      <c r="R403" s="8"/>
    </row>
    <row r="404" spans="3:18">
      <c r="Q404" s="8"/>
      <c r="R404" s="8"/>
    </row>
    <row r="405" spans="3:18">
      <c r="Q405" s="8"/>
      <c r="R405" s="8"/>
    </row>
    <row r="406" spans="3:18">
      <c r="Q406" s="8"/>
    </row>
    <row r="407" spans="3:18">
      <c r="Q407" s="8"/>
    </row>
    <row r="408" spans="3:18">
      <c r="C408" s="2"/>
      <c r="D408" s="408"/>
      <c r="E408" s="2"/>
      <c r="F408" s="408"/>
      <c r="G408" s="2"/>
      <c r="H408" s="408"/>
      <c r="I408" s="2"/>
      <c r="J408" s="2"/>
      <c r="K408" s="2"/>
      <c r="L408" s="2"/>
      <c r="M408" s="2"/>
      <c r="N408" s="2"/>
      <c r="O408" s="1093"/>
      <c r="P408" s="2"/>
      <c r="Q408" s="8"/>
    </row>
    <row r="409" spans="3:18">
      <c r="C409" s="2"/>
      <c r="D409" s="408"/>
      <c r="E409" s="2"/>
      <c r="F409" s="408"/>
      <c r="G409" s="2"/>
      <c r="H409" s="408"/>
      <c r="I409" s="2"/>
      <c r="J409" s="2"/>
      <c r="K409" s="2"/>
      <c r="L409" s="2"/>
      <c r="M409" s="2"/>
      <c r="N409" s="2"/>
      <c r="O409" s="1093"/>
      <c r="P409" s="2"/>
      <c r="Q409" s="8"/>
    </row>
    <row r="410" spans="3:18">
      <c r="C410" s="2"/>
      <c r="D410" s="408"/>
      <c r="E410" s="2"/>
      <c r="F410" s="408"/>
      <c r="G410" s="2"/>
      <c r="H410" s="408"/>
      <c r="I410" s="2"/>
      <c r="J410" s="2"/>
      <c r="K410" s="2"/>
      <c r="L410" s="2"/>
      <c r="M410" s="2"/>
      <c r="N410" s="2"/>
      <c r="O410" s="1093"/>
      <c r="P410" s="2"/>
      <c r="Q410" s="8"/>
    </row>
    <row r="411" spans="3:18">
      <c r="C411" s="2"/>
      <c r="D411" s="408"/>
      <c r="E411" s="2"/>
      <c r="F411" s="408"/>
      <c r="G411" s="2"/>
      <c r="H411" s="408"/>
      <c r="I411" s="2"/>
      <c r="J411" s="2"/>
      <c r="K411" s="2"/>
      <c r="L411" s="2"/>
      <c r="M411" s="2"/>
      <c r="N411" s="2"/>
      <c r="O411" s="1093"/>
      <c r="P411" s="2"/>
      <c r="Q411" s="8"/>
    </row>
    <row r="412" spans="3:18">
      <c r="C412" s="2"/>
      <c r="D412" s="408"/>
      <c r="E412" s="2"/>
      <c r="F412" s="408"/>
      <c r="G412" s="2"/>
      <c r="H412" s="408"/>
      <c r="I412" s="2"/>
      <c r="J412" s="2"/>
      <c r="K412" s="2"/>
      <c r="L412" s="2"/>
      <c r="M412" s="2"/>
      <c r="N412" s="2"/>
      <c r="O412" s="1093"/>
      <c r="P412" s="2"/>
      <c r="Q412" s="8"/>
    </row>
    <row r="413" spans="3:18">
      <c r="C413" s="2"/>
      <c r="D413" s="408"/>
      <c r="E413" s="2"/>
      <c r="F413" s="408"/>
      <c r="G413" s="2"/>
      <c r="H413" s="408"/>
      <c r="I413" s="2"/>
      <c r="J413" s="2"/>
      <c r="K413" s="2"/>
      <c r="L413" s="2"/>
      <c r="M413" s="2"/>
      <c r="N413" s="2"/>
      <c r="O413" s="1093"/>
      <c r="P413" s="2"/>
      <c r="Q413" s="8"/>
    </row>
    <row r="414" spans="3:18">
      <c r="C414" s="2"/>
      <c r="D414" s="408"/>
      <c r="E414" s="2"/>
      <c r="F414" s="408"/>
      <c r="G414" s="2"/>
      <c r="H414" s="408"/>
      <c r="I414" s="2"/>
      <c r="J414" s="2"/>
      <c r="K414" s="2"/>
      <c r="L414" s="2"/>
      <c r="M414" s="2"/>
      <c r="N414" s="2"/>
      <c r="O414" s="1093"/>
      <c r="P414" s="2"/>
      <c r="Q414" s="8"/>
    </row>
    <row r="415" spans="3:18">
      <c r="C415" s="2"/>
      <c r="D415" s="408"/>
      <c r="E415" s="2"/>
      <c r="F415" s="408"/>
      <c r="G415" s="2"/>
      <c r="H415" s="408"/>
      <c r="I415" s="2"/>
      <c r="J415" s="2"/>
      <c r="K415" s="2"/>
      <c r="L415" s="2"/>
      <c r="M415" s="2"/>
      <c r="N415" s="2"/>
      <c r="O415" s="1093"/>
      <c r="P415" s="2"/>
      <c r="Q415" s="8"/>
    </row>
    <row r="416" spans="3:18">
      <c r="C416" s="2"/>
      <c r="D416" s="408"/>
      <c r="E416" s="2"/>
      <c r="F416" s="408"/>
      <c r="G416" s="2"/>
      <c r="H416" s="408"/>
      <c r="I416" s="2"/>
      <c r="J416" s="2"/>
      <c r="K416" s="2"/>
      <c r="L416" s="2"/>
      <c r="M416" s="2"/>
      <c r="N416" s="2"/>
      <c r="O416" s="1093"/>
      <c r="P416" s="2"/>
      <c r="Q416" s="8"/>
    </row>
    <row r="417" spans="3:17">
      <c r="C417" s="2"/>
      <c r="D417" s="408"/>
      <c r="E417" s="2"/>
      <c r="F417" s="408"/>
      <c r="G417" s="2"/>
      <c r="H417" s="408"/>
      <c r="I417" s="2"/>
      <c r="J417" s="2"/>
      <c r="K417" s="2"/>
      <c r="L417" s="2"/>
      <c r="M417" s="2"/>
      <c r="N417" s="2"/>
      <c r="O417" s="1093"/>
      <c r="P417" s="2"/>
      <c r="Q417" s="8"/>
    </row>
    <row r="418" spans="3:17">
      <c r="C418" s="2"/>
      <c r="D418" s="408"/>
      <c r="E418" s="2"/>
      <c r="F418" s="408"/>
      <c r="G418" s="2"/>
      <c r="H418" s="408"/>
      <c r="I418" s="2"/>
      <c r="J418" s="2"/>
      <c r="K418" s="2"/>
      <c r="L418" s="2"/>
      <c r="M418" s="2"/>
      <c r="N418" s="2"/>
      <c r="O418" s="1093"/>
      <c r="P418" s="2"/>
      <c r="Q418" s="8"/>
    </row>
    <row r="419" spans="3:17">
      <c r="C419" s="2"/>
      <c r="D419" s="408"/>
      <c r="E419" s="2"/>
      <c r="F419" s="408"/>
      <c r="G419" s="2"/>
      <c r="H419" s="408"/>
      <c r="I419" s="2"/>
      <c r="J419" s="2"/>
      <c r="K419" s="2"/>
      <c r="L419" s="2"/>
      <c r="M419" s="2"/>
      <c r="N419" s="2"/>
      <c r="O419" s="1093"/>
      <c r="P419" s="2"/>
      <c r="Q419" s="8"/>
    </row>
    <row r="420" spans="3:17">
      <c r="C420" s="2"/>
      <c r="D420" s="408"/>
      <c r="E420" s="2"/>
      <c r="F420" s="408"/>
      <c r="G420" s="2"/>
      <c r="H420" s="408"/>
      <c r="I420" s="2"/>
      <c r="J420" s="2"/>
      <c r="K420" s="2"/>
      <c r="L420" s="2"/>
      <c r="M420" s="2"/>
      <c r="N420" s="2"/>
      <c r="O420" s="1093"/>
      <c r="P420" s="2"/>
      <c r="Q420" s="8"/>
    </row>
    <row r="421" spans="3:17">
      <c r="Q421" s="8"/>
    </row>
    <row r="422" spans="3:17">
      <c r="Q422" s="8"/>
    </row>
    <row r="423" spans="3:17">
      <c r="C423" s="7"/>
      <c r="D423" s="115"/>
      <c r="E423" s="7"/>
      <c r="F423" s="115"/>
      <c r="G423" s="7"/>
      <c r="H423" s="115"/>
      <c r="I423" s="7"/>
      <c r="J423" s="7"/>
      <c r="K423" s="7"/>
      <c r="L423" s="7"/>
      <c r="M423" s="7"/>
      <c r="N423" s="7"/>
      <c r="O423" s="1094"/>
      <c r="P423" s="7"/>
      <c r="Q423" s="8"/>
    </row>
    <row r="424" spans="3:17">
      <c r="C424" s="2"/>
      <c r="D424" s="408"/>
      <c r="E424" s="2"/>
      <c r="F424" s="408"/>
      <c r="G424" s="2"/>
      <c r="H424" s="408"/>
      <c r="I424" s="2"/>
      <c r="J424" s="2"/>
      <c r="K424" s="2"/>
      <c r="L424" s="2"/>
      <c r="M424" s="2"/>
      <c r="N424" s="2"/>
      <c r="O424" s="1093"/>
      <c r="P424" s="2"/>
      <c r="Q424" s="8"/>
    </row>
    <row r="425" spans="3:17">
      <c r="C425" s="7"/>
      <c r="D425" s="115"/>
      <c r="E425" s="7"/>
      <c r="F425" s="115"/>
      <c r="G425" s="7"/>
      <c r="H425" s="115"/>
      <c r="I425" s="7"/>
      <c r="J425" s="7"/>
      <c r="K425" s="7"/>
      <c r="L425" s="7"/>
      <c r="M425" s="7"/>
      <c r="N425" s="7"/>
      <c r="O425" s="1094"/>
      <c r="P425" s="7"/>
      <c r="Q425" s="8"/>
    </row>
    <row r="426" spans="3:17">
      <c r="C426" s="7"/>
      <c r="D426" s="115"/>
      <c r="E426" s="7"/>
      <c r="F426" s="115"/>
      <c r="G426" s="7"/>
      <c r="H426" s="115"/>
      <c r="I426" s="7"/>
      <c r="J426" s="7"/>
      <c r="K426" s="7"/>
      <c r="L426" s="7"/>
      <c r="M426" s="7"/>
      <c r="N426" s="7"/>
      <c r="O426" s="1094"/>
      <c r="P426" s="7"/>
      <c r="Q426" s="8"/>
    </row>
    <row r="427" spans="3:17" ht="12.5">
      <c r="D427"/>
      <c r="F427"/>
      <c r="H427"/>
      <c r="J427"/>
      <c r="K427"/>
      <c r="O427"/>
      <c r="Q427" s="7"/>
    </row>
    <row r="428" spans="3:17" ht="12.5">
      <c r="D428"/>
      <c r="F428"/>
      <c r="H428"/>
      <c r="J428"/>
      <c r="K428"/>
      <c r="O428"/>
      <c r="Q428" s="7"/>
    </row>
    <row r="429" spans="3:17" ht="12.5">
      <c r="D429"/>
      <c r="F429"/>
      <c r="H429"/>
      <c r="J429"/>
      <c r="K429"/>
      <c r="O429"/>
      <c r="Q429" s="7"/>
    </row>
    <row r="430" spans="3:17" ht="12.5">
      <c r="D430"/>
      <c r="F430"/>
      <c r="H430"/>
      <c r="J430"/>
      <c r="K430"/>
      <c r="O430"/>
      <c r="Q430" s="6"/>
    </row>
    <row r="431" spans="3:17" ht="12.5">
      <c r="D431"/>
      <c r="F431"/>
      <c r="H431"/>
      <c r="J431"/>
      <c r="K431"/>
      <c r="O431"/>
      <c r="Q431" s="2"/>
    </row>
    <row r="432" spans="3:17" ht="12.5">
      <c r="D432"/>
      <c r="F432"/>
      <c r="H432"/>
      <c r="J432"/>
      <c r="K432"/>
      <c r="O432"/>
      <c r="Q432" s="2"/>
    </row>
    <row r="433" spans="4:17" ht="12.5">
      <c r="D433"/>
      <c r="F433"/>
      <c r="H433"/>
      <c r="J433"/>
      <c r="K433"/>
      <c r="O433"/>
      <c r="Q433" s="2"/>
    </row>
    <row r="434" spans="4:17" ht="12.5">
      <c r="D434"/>
      <c r="F434"/>
      <c r="H434"/>
      <c r="J434"/>
      <c r="K434"/>
      <c r="O434"/>
      <c r="Q434" s="2"/>
    </row>
    <row r="485" spans="4:17" ht="12.5">
      <c r="D485"/>
      <c r="F485"/>
      <c r="H485"/>
      <c r="J485"/>
      <c r="K485"/>
      <c r="O485"/>
      <c r="Q485" s="5"/>
    </row>
    <row r="486" spans="4:17" ht="12.5">
      <c r="D486"/>
      <c r="F486"/>
      <c r="H486"/>
      <c r="J486"/>
      <c r="K486"/>
      <c r="O486"/>
      <c r="Q486" s="5"/>
    </row>
    <row r="487" spans="4:17" ht="12.5">
      <c r="D487"/>
      <c r="F487"/>
      <c r="H487"/>
      <c r="J487"/>
      <c r="K487"/>
      <c r="O487"/>
      <c r="Q487" s="5"/>
    </row>
    <row r="489" spans="4:17" ht="12.5">
      <c r="D489"/>
      <c r="F489"/>
      <c r="H489"/>
      <c r="J489"/>
      <c r="K489"/>
      <c r="O489"/>
      <c r="Q489" s="5"/>
    </row>
    <row r="490" spans="4:17" ht="12.5">
      <c r="D490"/>
      <c r="F490"/>
      <c r="H490"/>
      <c r="J490"/>
      <c r="K490"/>
      <c r="O490"/>
      <c r="Q490" s="5"/>
    </row>
    <row r="491" spans="4:17" ht="12.5">
      <c r="D491"/>
      <c r="F491"/>
      <c r="H491"/>
      <c r="J491"/>
      <c r="K491"/>
      <c r="O491"/>
      <c r="Q491" s="5"/>
    </row>
    <row r="492" spans="4:17" ht="12.5">
      <c r="D492"/>
      <c r="F492"/>
      <c r="H492"/>
      <c r="J492"/>
      <c r="K492"/>
      <c r="O492"/>
      <c r="Q492" s="5"/>
    </row>
    <row r="493" spans="4:17" ht="12.5">
      <c r="D493"/>
      <c r="F493"/>
      <c r="H493"/>
      <c r="J493"/>
      <c r="K493"/>
      <c r="O493"/>
      <c r="Q493" s="5"/>
    </row>
    <row r="494" spans="4:17" ht="12.5">
      <c r="D494"/>
      <c r="F494"/>
      <c r="H494"/>
      <c r="J494"/>
      <c r="K494"/>
      <c r="O494"/>
      <c r="Q494" s="5"/>
    </row>
    <row r="495" spans="4:17" ht="12.5">
      <c r="D495"/>
      <c r="F495"/>
      <c r="H495"/>
      <c r="J495"/>
      <c r="K495"/>
      <c r="O495"/>
      <c r="Q495" s="5"/>
    </row>
    <row r="496" spans="4:17" ht="12.5">
      <c r="D496"/>
      <c r="F496"/>
      <c r="H496"/>
      <c r="J496"/>
      <c r="K496"/>
      <c r="O496"/>
      <c r="Q496" s="5"/>
    </row>
    <row r="497" spans="2:17" ht="12.5">
      <c r="D497"/>
      <c r="F497"/>
      <c r="H497"/>
      <c r="J497"/>
      <c r="K497"/>
      <c r="O497"/>
      <c r="Q497" s="5"/>
    </row>
    <row r="498" spans="2:17" ht="12.5">
      <c r="D498"/>
      <c r="F498"/>
      <c r="H498"/>
      <c r="J498"/>
      <c r="K498"/>
      <c r="O498"/>
      <c r="Q498" s="5"/>
    </row>
    <row r="499" spans="2:17" ht="12.5">
      <c r="D499"/>
      <c r="F499"/>
      <c r="H499"/>
      <c r="J499"/>
      <c r="K499"/>
      <c r="O499"/>
      <c r="Q499" s="5"/>
    </row>
    <row r="500" spans="2:17" ht="12.5">
      <c r="D500"/>
      <c r="F500"/>
      <c r="H500"/>
      <c r="J500"/>
      <c r="K500"/>
      <c r="O500"/>
      <c r="Q500" s="5"/>
    </row>
    <row r="501" spans="2:17" ht="12.5">
      <c r="D501"/>
      <c r="F501"/>
      <c r="H501"/>
      <c r="J501"/>
      <c r="K501"/>
      <c r="O501"/>
      <c r="Q501" s="5"/>
    </row>
    <row r="502" spans="2:17" ht="12.5">
      <c r="D502"/>
      <c r="F502"/>
      <c r="H502"/>
      <c r="J502"/>
      <c r="K502"/>
      <c r="O502"/>
      <c r="Q502" s="5"/>
    </row>
    <row r="503" spans="2:17" ht="12.5">
      <c r="D503"/>
      <c r="F503"/>
      <c r="H503"/>
      <c r="J503"/>
      <c r="K503"/>
      <c r="O503"/>
      <c r="Q503" s="5"/>
    </row>
    <row r="504" spans="2:17" ht="12.5">
      <c r="D504"/>
      <c r="F504"/>
      <c r="H504"/>
      <c r="J504"/>
      <c r="K504"/>
      <c r="O504"/>
      <c r="Q504" s="5"/>
    </row>
    <row r="505" spans="2:17" ht="12.5">
      <c r="D505"/>
      <c r="F505"/>
      <c r="H505"/>
      <c r="J505"/>
      <c r="K505"/>
      <c r="O505"/>
      <c r="Q505" s="5"/>
    </row>
    <row r="506" spans="2:17" ht="12.5">
      <c r="D506"/>
      <c r="F506"/>
      <c r="H506"/>
      <c r="J506"/>
      <c r="K506"/>
      <c r="O506"/>
      <c r="Q506" s="5"/>
    </row>
    <row r="508" spans="2:17">
      <c r="C508" s="5"/>
      <c r="D508" s="116"/>
      <c r="E508" s="5"/>
      <c r="F508" s="116"/>
      <c r="G508" s="5"/>
      <c r="H508" s="116"/>
      <c r="I508" s="5"/>
      <c r="J508" s="5"/>
      <c r="K508" s="5"/>
      <c r="L508" s="5"/>
      <c r="M508" s="5"/>
      <c r="N508" s="5"/>
      <c r="O508" s="1091"/>
      <c r="P508" s="5"/>
    </row>
    <row r="509" spans="2:17">
      <c r="C509" s="5"/>
      <c r="D509" s="116"/>
      <c r="E509" s="5"/>
      <c r="F509" s="116"/>
      <c r="G509" s="5"/>
      <c r="H509" s="116"/>
      <c r="I509" s="5"/>
      <c r="J509" s="5"/>
      <c r="K509" s="5"/>
      <c r="L509" s="5"/>
      <c r="M509" s="5"/>
      <c r="N509" s="5"/>
      <c r="O509" s="1091"/>
      <c r="P509" s="5"/>
    </row>
    <row r="510" spans="2:17">
      <c r="B510" s="4"/>
      <c r="Q510" s="5"/>
    </row>
    <row r="511" spans="2:17">
      <c r="Q511" s="5"/>
    </row>
    <row r="512" spans="2:17">
      <c r="Q512" s="5"/>
    </row>
    <row r="513" spans="4:17">
      <c r="Q513" s="5"/>
    </row>
    <row r="514" spans="4:17">
      <c r="Q514" s="5"/>
    </row>
    <row r="515" spans="4:17">
      <c r="Q515" s="1"/>
    </row>
    <row r="516" spans="4:17">
      <c r="Q516" s="5"/>
    </row>
    <row r="518" spans="4:17">
      <c r="Q518" s="5"/>
    </row>
    <row r="520" spans="4:17">
      <c r="Q520" s="5"/>
    </row>
    <row r="521" spans="4:17" ht="12.5">
      <c r="D521"/>
      <c r="F521"/>
      <c r="H521"/>
      <c r="J521"/>
      <c r="K521"/>
      <c r="O521"/>
      <c r="Q521" s="5"/>
    </row>
  </sheetData>
  <phoneticPr fontId="0" type="noConversion"/>
  <pageMargins left="0.25" right="0.25" top="0.25" bottom="0.25" header="0.3" footer="0.3"/>
  <pageSetup scale="18" fitToHeight="0" orientation="landscape" blackAndWhite="1" r:id="rId1"/>
  <headerFooter alignWithMargins="0"/>
  <rowBreaks count="1" manualBreakCount="1">
    <brk id="196" max="16383" man="1"/>
  </rowBreaks>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1231"/>
  <sheetViews>
    <sheetView workbookViewId="0">
      <selection activeCell="C131" sqref="C131"/>
    </sheetView>
  </sheetViews>
  <sheetFormatPr defaultRowHeight="12.5"/>
  <sheetData>
    <row r="1" spans="1:3">
      <c r="A1" t="s">
        <v>3349</v>
      </c>
      <c r="C1" t="s">
        <v>8863</v>
      </c>
    </row>
    <row r="2" spans="1:3" ht="14.5">
      <c r="A2" t="s">
        <v>5748</v>
      </c>
      <c r="B2" s="380" t="str">
        <f>CONCATENATE(LEFT(RIGHT(CONCATENATE("000",A2),6),3),"-",(RIGHT(RIGHT(CONCATENATE("000",A2),6),3)))</f>
        <v>001-902</v>
      </c>
      <c r="C2">
        <v>0.93</v>
      </c>
    </row>
    <row r="3" spans="1:3" ht="14.5">
      <c r="A3" t="s">
        <v>2849</v>
      </c>
      <c r="B3" s="380" t="str">
        <f t="shared" ref="B3:B66" si="0">CONCATENATE(LEFT(RIGHT(CONCATENATE("000",A3),6),3),"-",(RIGHT(RIGHT(CONCATENATE("000",A3),6),3)))</f>
        <v>001-903</v>
      </c>
      <c r="C3">
        <v>0.93</v>
      </c>
    </row>
    <row r="4" spans="1:3" ht="14.5">
      <c r="A4" t="s">
        <v>4918</v>
      </c>
      <c r="B4" s="380" t="str">
        <f t="shared" si="0"/>
        <v>001-904</v>
      </c>
      <c r="C4">
        <v>0.93</v>
      </c>
    </row>
    <row r="5" spans="1:3" ht="14.5">
      <c r="A5" t="s">
        <v>4919</v>
      </c>
      <c r="B5" s="380" t="str">
        <f t="shared" si="0"/>
        <v>001-906</v>
      </c>
      <c r="C5">
        <v>0.93</v>
      </c>
    </row>
    <row r="6" spans="1:3" ht="14.5">
      <c r="A6" t="s">
        <v>2850</v>
      </c>
      <c r="B6" s="380" t="str">
        <f t="shared" si="0"/>
        <v>001-907</v>
      </c>
      <c r="C6">
        <v>0.93</v>
      </c>
    </row>
    <row r="7" spans="1:3" ht="14.5">
      <c r="A7" t="s">
        <v>5749</v>
      </c>
      <c r="B7" s="380" t="str">
        <f t="shared" si="0"/>
        <v>001-908</v>
      </c>
      <c r="C7">
        <v>0.93</v>
      </c>
    </row>
    <row r="8" spans="1:3" ht="14.5">
      <c r="A8" t="s">
        <v>4920</v>
      </c>
      <c r="B8" s="380" t="str">
        <f t="shared" si="0"/>
        <v>001-909</v>
      </c>
      <c r="C8">
        <v>0.93</v>
      </c>
    </row>
    <row r="9" spans="1:3" ht="14.5">
      <c r="A9" t="s">
        <v>4921</v>
      </c>
      <c r="B9" s="380" t="str">
        <f t="shared" si="0"/>
        <v>002-901</v>
      </c>
      <c r="C9">
        <v>0.93</v>
      </c>
    </row>
    <row r="10" spans="1:3" ht="14.5">
      <c r="A10" t="s">
        <v>7918</v>
      </c>
      <c r="B10" s="380" t="str">
        <f t="shared" si="0"/>
        <v>003-801</v>
      </c>
      <c r="C10">
        <v>0</v>
      </c>
    </row>
    <row r="11" spans="1:3" ht="14.5">
      <c r="A11" t="s">
        <v>2851</v>
      </c>
      <c r="B11" s="380" t="str">
        <f t="shared" si="0"/>
        <v>003-902</v>
      </c>
      <c r="C11">
        <v>0.93</v>
      </c>
    </row>
    <row r="12" spans="1:3" ht="14.5">
      <c r="A12" t="s">
        <v>4922</v>
      </c>
      <c r="B12" s="380" t="str">
        <f t="shared" si="0"/>
        <v>003-903</v>
      </c>
      <c r="C12">
        <v>0.93</v>
      </c>
    </row>
    <row r="13" spans="1:3" ht="14.5">
      <c r="A13" t="s">
        <v>2852</v>
      </c>
      <c r="B13" s="380" t="str">
        <f t="shared" si="0"/>
        <v>003-904</v>
      </c>
      <c r="C13">
        <v>0.93</v>
      </c>
    </row>
    <row r="14" spans="1:3" ht="14.5">
      <c r="A14" t="s">
        <v>2853</v>
      </c>
      <c r="B14" s="380" t="str">
        <f t="shared" si="0"/>
        <v>003-905</v>
      </c>
      <c r="C14">
        <v>0.93</v>
      </c>
    </row>
    <row r="15" spans="1:3" ht="14.5">
      <c r="A15" t="s">
        <v>4923</v>
      </c>
      <c r="B15" s="380" t="str">
        <f t="shared" si="0"/>
        <v>003-906</v>
      </c>
      <c r="C15">
        <v>0.93</v>
      </c>
    </row>
    <row r="16" spans="1:3" ht="14.5">
      <c r="A16" t="s">
        <v>2854</v>
      </c>
      <c r="B16" s="380" t="str">
        <f t="shared" si="0"/>
        <v>003-907</v>
      </c>
      <c r="C16">
        <v>0.93</v>
      </c>
    </row>
    <row r="17" spans="1:3" ht="14.5">
      <c r="A17" t="s">
        <v>4924</v>
      </c>
      <c r="B17" s="380" t="str">
        <f t="shared" si="0"/>
        <v>004-901</v>
      </c>
      <c r="C17">
        <v>0.93</v>
      </c>
    </row>
    <row r="18" spans="1:3" ht="14.5">
      <c r="A18" t="s">
        <v>4925</v>
      </c>
      <c r="B18" s="380" t="str">
        <f t="shared" si="0"/>
        <v>005-901</v>
      </c>
      <c r="C18">
        <v>0.93</v>
      </c>
    </row>
    <row r="19" spans="1:3" ht="14.5">
      <c r="A19" t="s">
        <v>4926</v>
      </c>
      <c r="B19" s="380" t="str">
        <f t="shared" si="0"/>
        <v>005-902</v>
      </c>
      <c r="C19">
        <v>0.93</v>
      </c>
    </row>
    <row r="20" spans="1:3" ht="14.5">
      <c r="A20" t="s">
        <v>2855</v>
      </c>
      <c r="B20" s="380" t="str">
        <f t="shared" si="0"/>
        <v>005-904</v>
      </c>
      <c r="C20">
        <v>0.93</v>
      </c>
    </row>
    <row r="21" spans="1:3" ht="14.5">
      <c r="A21" t="s">
        <v>4927</v>
      </c>
      <c r="B21" s="380" t="str">
        <f t="shared" si="0"/>
        <v>006-902</v>
      </c>
      <c r="C21">
        <v>0.93</v>
      </c>
    </row>
    <row r="22" spans="1:3" ht="14.5">
      <c r="A22" t="s">
        <v>2856</v>
      </c>
      <c r="B22" s="380" t="str">
        <f t="shared" si="0"/>
        <v>007-901</v>
      </c>
      <c r="C22">
        <v>0.93</v>
      </c>
    </row>
    <row r="23" spans="1:3" ht="14.5">
      <c r="A23" t="s">
        <v>5750</v>
      </c>
      <c r="B23" s="380" t="str">
        <f t="shared" si="0"/>
        <v>007-902</v>
      </c>
      <c r="C23">
        <v>0.93</v>
      </c>
    </row>
    <row r="24" spans="1:3" ht="14.5">
      <c r="A24" t="s">
        <v>2857</v>
      </c>
      <c r="B24" s="380" t="str">
        <f t="shared" si="0"/>
        <v>007-904</v>
      </c>
      <c r="C24">
        <v>0.93</v>
      </c>
    </row>
    <row r="25" spans="1:3" ht="14.5">
      <c r="A25" t="s">
        <v>2858</v>
      </c>
      <c r="B25" s="380" t="str">
        <f t="shared" si="0"/>
        <v>007-905</v>
      </c>
      <c r="C25">
        <v>0.93</v>
      </c>
    </row>
    <row r="26" spans="1:3" ht="14.5">
      <c r="A26" t="s">
        <v>2859</v>
      </c>
      <c r="B26" s="380" t="str">
        <f t="shared" si="0"/>
        <v>007-906</v>
      </c>
      <c r="C26">
        <v>0.93</v>
      </c>
    </row>
    <row r="27" spans="1:3" ht="14.5">
      <c r="A27" t="s">
        <v>4928</v>
      </c>
      <c r="B27" s="380" t="str">
        <f t="shared" si="0"/>
        <v>008-901</v>
      </c>
      <c r="C27">
        <v>0.93</v>
      </c>
    </row>
    <row r="28" spans="1:3" ht="14.5">
      <c r="A28" t="s">
        <v>4929</v>
      </c>
      <c r="B28" s="380" t="str">
        <f t="shared" si="0"/>
        <v>008-902</v>
      </c>
      <c r="C28">
        <v>0.93</v>
      </c>
    </row>
    <row r="29" spans="1:3" ht="14.5">
      <c r="A29" t="s">
        <v>4930</v>
      </c>
      <c r="B29" s="380" t="str">
        <f t="shared" si="0"/>
        <v>008-903</v>
      </c>
      <c r="C29">
        <v>0.93</v>
      </c>
    </row>
    <row r="30" spans="1:3" ht="14.5">
      <c r="A30" t="s">
        <v>2860</v>
      </c>
      <c r="B30" s="380" t="str">
        <f t="shared" si="0"/>
        <v>009-901</v>
      </c>
      <c r="C30">
        <v>0.93</v>
      </c>
    </row>
    <row r="31" spans="1:3" ht="14.5">
      <c r="A31" t="s">
        <v>5751</v>
      </c>
      <c r="B31" s="380" t="str">
        <f t="shared" si="0"/>
        <v>010-901</v>
      </c>
      <c r="C31">
        <v>0.93</v>
      </c>
    </row>
    <row r="32" spans="1:3" ht="14.5">
      <c r="A32" t="s">
        <v>2861</v>
      </c>
      <c r="B32" s="380" t="str">
        <f t="shared" si="0"/>
        <v>010-902</v>
      </c>
      <c r="C32">
        <v>0.93</v>
      </c>
    </row>
    <row r="33" spans="1:3" ht="14.5">
      <c r="A33" t="s">
        <v>2862</v>
      </c>
      <c r="B33" s="380" t="str">
        <f t="shared" si="0"/>
        <v>011-901</v>
      </c>
      <c r="C33">
        <v>0.93</v>
      </c>
    </row>
    <row r="34" spans="1:3" ht="14.5">
      <c r="A34" t="s">
        <v>2863</v>
      </c>
      <c r="B34" s="380" t="str">
        <f t="shared" si="0"/>
        <v>011-902</v>
      </c>
      <c r="C34">
        <v>0.93</v>
      </c>
    </row>
    <row r="35" spans="1:3" ht="14.5">
      <c r="A35" t="s">
        <v>2864</v>
      </c>
      <c r="B35" s="380" t="str">
        <f t="shared" si="0"/>
        <v>011-904</v>
      </c>
      <c r="C35">
        <v>0.93</v>
      </c>
    </row>
    <row r="36" spans="1:3" ht="14.5">
      <c r="A36" t="s">
        <v>2865</v>
      </c>
      <c r="B36" s="380" t="str">
        <f t="shared" si="0"/>
        <v>011-905</v>
      </c>
      <c r="C36">
        <v>0.93</v>
      </c>
    </row>
    <row r="37" spans="1:3" ht="14.5">
      <c r="A37" t="s">
        <v>5752</v>
      </c>
      <c r="B37" s="380" t="str">
        <f t="shared" si="0"/>
        <v>012-901</v>
      </c>
      <c r="C37">
        <v>0.93</v>
      </c>
    </row>
    <row r="38" spans="1:3" ht="14.5">
      <c r="A38" t="s">
        <v>7919</v>
      </c>
      <c r="B38" s="380" t="str">
        <f t="shared" si="0"/>
        <v>013-801</v>
      </c>
      <c r="C38">
        <v>0</v>
      </c>
    </row>
    <row r="39" spans="1:3" ht="14.5">
      <c r="A39" t="s">
        <v>2866</v>
      </c>
      <c r="B39" s="380" t="str">
        <f t="shared" si="0"/>
        <v>013-901</v>
      </c>
      <c r="C39">
        <v>0.93</v>
      </c>
    </row>
    <row r="40" spans="1:3" ht="14.5">
      <c r="A40" t="s">
        <v>4931</v>
      </c>
      <c r="B40" s="380" t="str">
        <f t="shared" si="0"/>
        <v>013-902</v>
      </c>
      <c r="C40">
        <v>0.93</v>
      </c>
    </row>
    <row r="41" spans="1:3" ht="14.5">
      <c r="A41" t="s">
        <v>4932</v>
      </c>
      <c r="B41" s="380" t="str">
        <f t="shared" si="0"/>
        <v>013-903</v>
      </c>
      <c r="C41">
        <v>0.93</v>
      </c>
    </row>
    <row r="42" spans="1:3" ht="14.5">
      <c r="A42" t="s">
        <v>2867</v>
      </c>
      <c r="B42" s="380" t="str">
        <f t="shared" si="0"/>
        <v>013-905</v>
      </c>
      <c r="C42">
        <v>0.93</v>
      </c>
    </row>
    <row r="43" spans="1:3" ht="14.5">
      <c r="A43" t="s">
        <v>7920</v>
      </c>
      <c r="B43" s="380" t="str">
        <f t="shared" si="0"/>
        <v>014-801</v>
      </c>
      <c r="C43">
        <v>0</v>
      </c>
    </row>
    <row r="44" spans="1:3" ht="14.5">
      <c r="A44" t="s">
        <v>7921</v>
      </c>
      <c r="B44" s="380" t="str">
        <f t="shared" si="0"/>
        <v>014-803</v>
      </c>
      <c r="C44">
        <v>0</v>
      </c>
    </row>
    <row r="45" spans="1:3" ht="14.5">
      <c r="A45" t="s">
        <v>7922</v>
      </c>
      <c r="B45" s="380" t="str">
        <f t="shared" si="0"/>
        <v>014-804</v>
      </c>
      <c r="C45">
        <v>0</v>
      </c>
    </row>
    <row r="46" spans="1:3" ht="14.5">
      <c r="A46" t="s">
        <v>4933</v>
      </c>
      <c r="B46" s="380" t="str">
        <f t="shared" si="0"/>
        <v>014-901</v>
      </c>
      <c r="C46">
        <v>0.93</v>
      </c>
    </row>
    <row r="47" spans="1:3" ht="14.5">
      <c r="A47" t="s">
        <v>2868</v>
      </c>
      <c r="B47" s="380" t="str">
        <f t="shared" si="0"/>
        <v>014-902</v>
      </c>
      <c r="C47">
        <v>0.93</v>
      </c>
    </row>
    <row r="48" spans="1:3" ht="14.5">
      <c r="A48" t="s">
        <v>2869</v>
      </c>
      <c r="B48" s="380" t="str">
        <f t="shared" si="0"/>
        <v>014-903</v>
      </c>
      <c r="C48">
        <v>0.93</v>
      </c>
    </row>
    <row r="49" spans="1:3" ht="14.5">
      <c r="A49" t="s">
        <v>2870</v>
      </c>
      <c r="B49" s="380" t="str">
        <f t="shared" si="0"/>
        <v>014-905</v>
      </c>
      <c r="C49">
        <v>0.93</v>
      </c>
    </row>
    <row r="50" spans="1:3" ht="14.5">
      <c r="A50" t="s">
        <v>2871</v>
      </c>
      <c r="B50" s="380" t="str">
        <f t="shared" si="0"/>
        <v>014-906</v>
      </c>
      <c r="C50">
        <v>0.93</v>
      </c>
    </row>
    <row r="51" spans="1:3" ht="14.5">
      <c r="A51" t="s">
        <v>2872</v>
      </c>
      <c r="B51" s="380" t="str">
        <f t="shared" si="0"/>
        <v>014-907</v>
      </c>
      <c r="C51">
        <v>0.93</v>
      </c>
    </row>
    <row r="52" spans="1:3" ht="14.5">
      <c r="A52" t="s">
        <v>2873</v>
      </c>
      <c r="B52" s="380" t="str">
        <f t="shared" si="0"/>
        <v>014-908</v>
      </c>
      <c r="C52">
        <v>0.93</v>
      </c>
    </row>
    <row r="53" spans="1:3" ht="14.5">
      <c r="A53" t="s">
        <v>2874</v>
      </c>
      <c r="B53" s="380" t="str">
        <f t="shared" si="0"/>
        <v>014-909</v>
      </c>
      <c r="C53">
        <v>0.93</v>
      </c>
    </row>
    <row r="54" spans="1:3" ht="14.5">
      <c r="A54" t="s">
        <v>2875</v>
      </c>
      <c r="B54" s="380" t="str">
        <f t="shared" si="0"/>
        <v>014-910</v>
      </c>
      <c r="C54">
        <v>0.93</v>
      </c>
    </row>
    <row r="55" spans="1:3" ht="14.5">
      <c r="A55" t="s">
        <v>7923</v>
      </c>
      <c r="B55" s="380" t="str">
        <f t="shared" si="0"/>
        <v>015-801</v>
      </c>
      <c r="C55">
        <v>0</v>
      </c>
    </row>
    <row r="56" spans="1:3" ht="14.5">
      <c r="A56" t="s">
        <v>7924</v>
      </c>
      <c r="B56" s="380" t="str">
        <f t="shared" si="0"/>
        <v>015-802</v>
      </c>
      <c r="C56">
        <v>0</v>
      </c>
    </row>
    <row r="57" spans="1:3" ht="14.5">
      <c r="A57" t="s">
        <v>7925</v>
      </c>
      <c r="B57" s="380" t="str">
        <f t="shared" si="0"/>
        <v>015-805</v>
      </c>
      <c r="C57">
        <v>0</v>
      </c>
    </row>
    <row r="58" spans="1:3" ht="14.5">
      <c r="A58" t="s">
        <v>7926</v>
      </c>
      <c r="B58" s="380" t="str">
        <f t="shared" si="0"/>
        <v>015-806</v>
      </c>
      <c r="C58">
        <v>0</v>
      </c>
    </row>
    <row r="59" spans="1:3" ht="14.5">
      <c r="A59" t="s">
        <v>7927</v>
      </c>
      <c r="B59" s="380" t="str">
        <f t="shared" si="0"/>
        <v>015-807</v>
      </c>
      <c r="C59">
        <v>0</v>
      </c>
    </row>
    <row r="60" spans="1:3" ht="14.5">
      <c r="A60" t="s">
        <v>7928</v>
      </c>
      <c r="B60" s="380" t="str">
        <f t="shared" si="0"/>
        <v>015-808</v>
      </c>
      <c r="C60">
        <v>0</v>
      </c>
    </row>
    <row r="61" spans="1:3" ht="14.5">
      <c r="A61" t="s">
        <v>7929</v>
      </c>
      <c r="B61" s="380" t="str">
        <f t="shared" si="0"/>
        <v>015-809</v>
      </c>
      <c r="C61">
        <v>0</v>
      </c>
    </row>
    <row r="62" spans="1:3" ht="14.5">
      <c r="A62" t="s">
        <v>7930</v>
      </c>
      <c r="B62" s="380" t="str">
        <f t="shared" si="0"/>
        <v>015-814</v>
      </c>
      <c r="C62">
        <v>0</v>
      </c>
    </row>
    <row r="63" spans="1:3" ht="14.5">
      <c r="A63" t="s">
        <v>7931</v>
      </c>
      <c r="B63" s="380" t="str">
        <f t="shared" si="0"/>
        <v>015-815</v>
      </c>
      <c r="C63">
        <v>0</v>
      </c>
    </row>
    <row r="64" spans="1:3" ht="14.5">
      <c r="A64" t="s">
        <v>7932</v>
      </c>
      <c r="B64" s="380" t="str">
        <f t="shared" si="0"/>
        <v>015-822</v>
      </c>
      <c r="C64">
        <v>0</v>
      </c>
    </row>
    <row r="65" spans="1:3" ht="14.5">
      <c r="A65" t="s">
        <v>7933</v>
      </c>
      <c r="B65" s="380" t="str">
        <f t="shared" si="0"/>
        <v>015-825</v>
      </c>
      <c r="C65">
        <v>0</v>
      </c>
    </row>
    <row r="66" spans="1:3" ht="14.5">
      <c r="A66" t="s">
        <v>7934</v>
      </c>
      <c r="B66" s="380" t="str">
        <f t="shared" si="0"/>
        <v>015-827</v>
      </c>
      <c r="C66">
        <v>0</v>
      </c>
    </row>
    <row r="67" spans="1:3" ht="14.5">
      <c r="A67" t="s">
        <v>7935</v>
      </c>
      <c r="B67" s="380" t="str">
        <f t="shared" ref="B67:B130" si="1">CONCATENATE(LEFT(RIGHT(CONCATENATE("000",A67),6),3),"-",(RIGHT(RIGHT(CONCATENATE("000",A67),6),3)))</f>
        <v>015-828</v>
      </c>
      <c r="C67">
        <v>0</v>
      </c>
    </row>
    <row r="68" spans="1:3" ht="14.5">
      <c r="A68" t="s">
        <v>7936</v>
      </c>
      <c r="B68" s="380" t="str">
        <f t="shared" si="1"/>
        <v>015-830</v>
      </c>
      <c r="C68">
        <v>0</v>
      </c>
    </row>
    <row r="69" spans="1:3" ht="14.5">
      <c r="A69" t="s">
        <v>7937</v>
      </c>
      <c r="B69" s="380" t="str">
        <f t="shared" si="1"/>
        <v>015-831</v>
      </c>
      <c r="C69">
        <v>0</v>
      </c>
    </row>
    <row r="70" spans="1:3" ht="14.5">
      <c r="A70" t="s">
        <v>7938</v>
      </c>
      <c r="B70" s="380" t="str">
        <f t="shared" si="1"/>
        <v>015-833</v>
      </c>
      <c r="C70">
        <v>0</v>
      </c>
    </row>
    <row r="71" spans="1:3" ht="14.5">
      <c r="A71" t="s">
        <v>7939</v>
      </c>
      <c r="B71" s="380" t="str">
        <f t="shared" si="1"/>
        <v>015-834</v>
      </c>
      <c r="C71">
        <v>0</v>
      </c>
    </row>
    <row r="72" spans="1:3" ht="14.5">
      <c r="A72" t="s">
        <v>7940</v>
      </c>
      <c r="B72" s="380" t="str">
        <f t="shared" si="1"/>
        <v>015-835</v>
      </c>
      <c r="C72">
        <v>0</v>
      </c>
    </row>
    <row r="73" spans="1:3" ht="14.5">
      <c r="A73" t="s">
        <v>7941</v>
      </c>
      <c r="B73" s="380" t="str">
        <f t="shared" si="1"/>
        <v>015-836</v>
      </c>
      <c r="C73">
        <v>0</v>
      </c>
    </row>
    <row r="74" spans="1:3" ht="14.5">
      <c r="A74" t="s">
        <v>7942</v>
      </c>
      <c r="B74" s="380" t="str">
        <f t="shared" si="1"/>
        <v>015-838</v>
      </c>
      <c r="C74">
        <v>0</v>
      </c>
    </row>
    <row r="75" spans="1:3" ht="14.5">
      <c r="A75" t="s">
        <v>4934</v>
      </c>
      <c r="B75" s="380" t="str">
        <f t="shared" si="1"/>
        <v>015-901</v>
      </c>
      <c r="C75">
        <v>0.93</v>
      </c>
    </row>
    <row r="76" spans="1:3" ht="14.5">
      <c r="A76" t="s">
        <v>2876</v>
      </c>
      <c r="B76" s="380" t="str">
        <f t="shared" si="1"/>
        <v>015-904</v>
      </c>
      <c r="C76">
        <v>0.93</v>
      </c>
    </row>
    <row r="77" spans="1:3" ht="14.5">
      <c r="A77" t="s">
        <v>2877</v>
      </c>
      <c r="B77" s="380" t="str">
        <f t="shared" si="1"/>
        <v>015-905</v>
      </c>
      <c r="C77">
        <v>0.93</v>
      </c>
    </row>
    <row r="78" spans="1:3" ht="14.5">
      <c r="A78" t="s">
        <v>7351</v>
      </c>
      <c r="B78" s="380" t="str">
        <f t="shared" si="1"/>
        <v>015-906</v>
      </c>
      <c r="C78">
        <v>0</v>
      </c>
    </row>
    <row r="79" spans="1:3" ht="14.5">
      <c r="A79" t="s">
        <v>2878</v>
      </c>
      <c r="B79" s="380" t="str">
        <f t="shared" si="1"/>
        <v>015-907</v>
      </c>
      <c r="C79">
        <v>0.93</v>
      </c>
    </row>
    <row r="80" spans="1:3" ht="14.5">
      <c r="A80" t="s">
        <v>2879</v>
      </c>
      <c r="B80" s="380" t="str">
        <f t="shared" si="1"/>
        <v>015-908</v>
      </c>
      <c r="C80">
        <v>0.93</v>
      </c>
    </row>
    <row r="81" spans="1:3" ht="14.5">
      <c r="A81" t="s">
        <v>2880</v>
      </c>
      <c r="B81" s="380" t="str">
        <f t="shared" si="1"/>
        <v>015-909</v>
      </c>
      <c r="C81">
        <v>0.93</v>
      </c>
    </row>
    <row r="82" spans="1:3" ht="14.5">
      <c r="A82" t="s">
        <v>2881</v>
      </c>
      <c r="B82" s="380" t="str">
        <f t="shared" si="1"/>
        <v>015-910</v>
      </c>
      <c r="C82">
        <v>0.93</v>
      </c>
    </row>
    <row r="83" spans="1:3" ht="14.5">
      <c r="A83" t="s">
        <v>2882</v>
      </c>
      <c r="B83" s="380" t="str">
        <f t="shared" si="1"/>
        <v>015-911</v>
      </c>
      <c r="C83">
        <v>0.93</v>
      </c>
    </row>
    <row r="84" spans="1:3" ht="14.5">
      <c r="A84" t="s">
        <v>2883</v>
      </c>
      <c r="B84" s="380" t="str">
        <f t="shared" si="1"/>
        <v>015-912</v>
      </c>
      <c r="C84">
        <v>0.93</v>
      </c>
    </row>
    <row r="85" spans="1:3" ht="14.5">
      <c r="A85" t="s">
        <v>7352</v>
      </c>
      <c r="B85" s="380" t="str">
        <f t="shared" si="1"/>
        <v>015-913</v>
      </c>
      <c r="C85">
        <v>0</v>
      </c>
    </row>
    <row r="86" spans="1:3" ht="14.5">
      <c r="A86" t="s">
        <v>7353</v>
      </c>
      <c r="B86" s="380" t="str">
        <f t="shared" si="1"/>
        <v>015-914</v>
      </c>
      <c r="C86">
        <v>0</v>
      </c>
    </row>
    <row r="87" spans="1:3" ht="14.5">
      <c r="A87" t="s">
        <v>2884</v>
      </c>
      <c r="B87" s="380" t="str">
        <f t="shared" si="1"/>
        <v>015-915</v>
      </c>
      <c r="C87">
        <v>0.93</v>
      </c>
    </row>
    <row r="88" spans="1:3" ht="14.5">
      <c r="A88" t="s">
        <v>2885</v>
      </c>
      <c r="B88" s="380" t="str">
        <f t="shared" si="1"/>
        <v>015-916</v>
      </c>
      <c r="C88">
        <v>0.93</v>
      </c>
    </row>
    <row r="89" spans="1:3" ht="14.5">
      <c r="A89" t="s">
        <v>2886</v>
      </c>
      <c r="B89" s="380" t="str">
        <f t="shared" si="1"/>
        <v>015-917</v>
      </c>
      <c r="C89">
        <v>0.93</v>
      </c>
    </row>
    <row r="90" spans="1:3" ht="14.5">
      <c r="A90" t="s">
        <v>8502</v>
      </c>
      <c r="B90" s="380" t="str">
        <f t="shared" si="1"/>
        <v>015-950</v>
      </c>
      <c r="C90">
        <v>0</v>
      </c>
    </row>
    <row r="91" spans="1:3" ht="14.5">
      <c r="A91" t="s">
        <v>4935</v>
      </c>
      <c r="B91" s="380" t="str">
        <f t="shared" si="1"/>
        <v>016-901</v>
      </c>
      <c r="C91">
        <v>0.93</v>
      </c>
    </row>
    <row r="92" spans="1:3" ht="14.5">
      <c r="A92" t="s">
        <v>2887</v>
      </c>
      <c r="B92" s="380" t="str">
        <f t="shared" si="1"/>
        <v>016-902</v>
      </c>
      <c r="C92">
        <v>0.93</v>
      </c>
    </row>
    <row r="93" spans="1:3" ht="14.5">
      <c r="A93" t="s">
        <v>4936</v>
      </c>
      <c r="B93" s="380" t="str">
        <f t="shared" si="1"/>
        <v>017-901</v>
      </c>
      <c r="C93">
        <v>0.93</v>
      </c>
    </row>
    <row r="94" spans="1:3" ht="14.5">
      <c r="A94" t="s">
        <v>2888</v>
      </c>
      <c r="B94" s="380" t="str">
        <f t="shared" si="1"/>
        <v>018-901</v>
      </c>
      <c r="C94">
        <v>0.93</v>
      </c>
    </row>
    <row r="95" spans="1:3" ht="14.5">
      <c r="A95" t="s">
        <v>2889</v>
      </c>
      <c r="B95" s="380" t="str">
        <f t="shared" si="1"/>
        <v>018-902</v>
      </c>
      <c r="C95">
        <v>0.93</v>
      </c>
    </row>
    <row r="96" spans="1:3" ht="14.5">
      <c r="A96" t="s">
        <v>5753</v>
      </c>
      <c r="B96" s="380" t="str">
        <f t="shared" si="1"/>
        <v>018-903</v>
      </c>
      <c r="C96">
        <v>0.93</v>
      </c>
    </row>
    <row r="97" spans="1:3" ht="14.5">
      <c r="A97" t="s">
        <v>2890</v>
      </c>
      <c r="B97" s="380" t="str">
        <f t="shared" si="1"/>
        <v>018-904</v>
      </c>
      <c r="C97">
        <v>0.93</v>
      </c>
    </row>
    <row r="98" spans="1:3" ht="14.5">
      <c r="A98" t="s">
        <v>3522</v>
      </c>
      <c r="B98" s="380" t="str">
        <f t="shared" si="1"/>
        <v>018-905</v>
      </c>
      <c r="C98">
        <v>0.93</v>
      </c>
    </row>
    <row r="99" spans="1:3" ht="14.5">
      <c r="A99" t="s">
        <v>4937</v>
      </c>
      <c r="B99" s="380" t="str">
        <f t="shared" si="1"/>
        <v>018-906</v>
      </c>
      <c r="C99">
        <v>0.93</v>
      </c>
    </row>
    <row r="100" spans="1:3" ht="14.5">
      <c r="A100" t="s">
        <v>4938</v>
      </c>
      <c r="B100" s="380" t="str">
        <f t="shared" si="1"/>
        <v>018-907</v>
      </c>
      <c r="C100">
        <v>0.93</v>
      </c>
    </row>
    <row r="101" spans="1:3" ht="14.5">
      <c r="A101" t="s">
        <v>5754</v>
      </c>
      <c r="B101" s="380" t="str">
        <f t="shared" si="1"/>
        <v>018-908</v>
      </c>
      <c r="C101">
        <v>0.93</v>
      </c>
    </row>
    <row r="102" spans="1:3" ht="14.5">
      <c r="A102" t="s">
        <v>8503</v>
      </c>
      <c r="B102" s="380" t="str">
        <f t="shared" si="1"/>
        <v>019-000</v>
      </c>
      <c r="C102">
        <v>0</v>
      </c>
    </row>
    <row r="103" spans="1:3" ht="14.5">
      <c r="A103" t="s">
        <v>3524</v>
      </c>
      <c r="B103" s="380" t="str">
        <f t="shared" si="1"/>
        <v>019-901</v>
      </c>
      <c r="C103">
        <v>0.93</v>
      </c>
    </row>
    <row r="104" spans="1:3" ht="14.5">
      <c r="A104" t="s">
        <v>2891</v>
      </c>
      <c r="B104" s="380" t="str">
        <f t="shared" si="1"/>
        <v>019-902</v>
      </c>
      <c r="C104">
        <v>0.93</v>
      </c>
    </row>
    <row r="105" spans="1:3" ht="14.5">
      <c r="A105" t="s">
        <v>2892</v>
      </c>
      <c r="B105" s="380" t="str">
        <f t="shared" si="1"/>
        <v>019-903</v>
      </c>
      <c r="C105">
        <v>0.93</v>
      </c>
    </row>
    <row r="106" spans="1:3" ht="14.5">
      <c r="A106" t="s">
        <v>2893</v>
      </c>
      <c r="B106" s="380" t="str">
        <f t="shared" si="1"/>
        <v>019-905</v>
      </c>
      <c r="C106">
        <v>0.93</v>
      </c>
    </row>
    <row r="107" spans="1:3" ht="14.5">
      <c r="A107" t="s">
        <v>4939</v>
      </c>
      <c r="B107" s="380" t="str">
        <f t="shared" si="1"/>
        <v>019-906</v>
      </c>
      <c r="C107">
        <v>0.93</v>
      </c>
    </row>
    <row r="108" spans="1:3" ht="14.5">
      <c r="A108" t="s">
        <v>4940</v>
      </c>
      <c r="B108" s="380" t="str">
        <f t="shared" si="1"/>
        <v>019-907</v>
      </c>
      <c r="C108">
        <v>0.93</v>
      </c>
    </row>
    <row r="109" spans="1:3" ht="14.5">
      <c r="A109" t="s">
        <v>4941</v>
      </c>
      <c r="B109" s="380" t="str">
        <f t="shared" si="1"/>
        <v>019-908</v>
      </c>
      <c r="C109">
        <v>0.93</v>
      </c>
    </row>
    <row r="110" spans="1:3" ht="14.5">
      <c r="A110" t="s">
        <v>2894</v>
      </c>
      <c r="B110" s="380" t="str">
        <f t="shared" si="1"/>
        <v>019-909</v>
      </c>
      <c r="C110">
        <v>0.93</v>
      </c>
    </row>
    <row r="111" spans="1:3" ht="14.5">
      <c r="A111" t="s">
        <v>2895</v>
      </c>
      <c r="B111" s="380" t="str">
        <f t="shared" si="1"/>
        <v>019-910</v>
      </c>
      <c r="C111">
        <v>0.93</v>
      </c>
    </row>
    <row r="112" spans="1:3" ht="14.5">
      <c r="A112" t="s">
        <v>4942</v>
      </c>
      <c r="B112" s="380" t="str">
        <f t="shared" si="1"/>
        <v>019-911</v>
      </c>
      <c r="C112">
        <v>0.93</v>
      </c>
    </row>
    <row r="113" spans="1:3" ht="14.5">
      <c r="A113" t="s">
        <v>4943</v>
      </c>
      <c r="B113" s="380" t="str">
        <f t="shared" si="1"/>
        <v>019-912</v>
      </c>
      <c r="C113">
        <v>0.93</v>
      </c>
    </row>
    <row r="114" spans="1:3" ht="14.5">
      <c r="A114" t="s">
        <v>5755</v>
      </c>
      <c r="B114" s="380" t="str">
        <f t="shared" si="1"/>
        <v>019-913</v>
      </c>
      <c r="C114">
        <v>0.93</v>
      </c>
    </row>
    <row r="115" spans="1:3" ht="14.5">
      <c r="A115" t="s">
        <v>5756</v>
      </c>
      <c r="B115" s="380" t="str">
        <f t="shared" si="1"/>
        <v>019-914</v>
      </c>
      <c r="C115">
        <v>0.93</v>
      </c>
    </row>
    <row r="116" spans="1:3" ht="14.5">
      <c r="A116" t="s">
        <v>2896</v>
      </c>
      <c r="B116" s="380" t="str">
        <f t="shared" si="1"/>
        <v>020-901</v>
      </c>
      <c r="C116">
        <v>0.93</v>
      </c>
    </row>
    <row r="117" spans="1:3" ht="14.5">
      <c r="A117" t="s">
        <v>4944</v>
      </c>
      <c r="B117" s="380" t="str">
        <f t="shared" si="1"/>
        <v>020-902</v>
      </c>
      <c r="C117">
        <v>0.93</v>
      </c>
    </row>
    <row r="118" spans="1:3" ht="14.5">
      <c r="A118" t="s">
        <v>2897</v>
      </c>
      <c r="B118" s="380" t="str">
        <f t="shared" si="1"/>
        <v>020-904</v>
      </c>
      <c r="C118">
        <v>0.93</v>
      </c>
    </row>
    <row r="119" spans="1:3" ht="14.5">
      <c r="A119" t="s">
        <v>4945</v>
      </c>
      <c r="B119" s="380" t="str">
        <f t="shared" si="1"/>
        <v>020-905</v>
      </c>
      <c r="C119">
        <v>0.93</v>
      </c>
    </row>
    <row r="120" spans="1:3" ht="14.5">
      <c r="A120" t="s">
        <v>4946</v>
      </c>
      <c r="B120" s="380" t="str">
        <f t="shared" si="1"/>
        <v>020-906</v>
      </c>
      <c r="C120">
        <v>0.93</v>
      </c>
    </row>
    <row r="121" spans="1:3" ht="14.5">
      <c r="A121" t="s">
        <v>2898</v>
      </c>
      <c r="B121" s="380" t="str">
        <f t="shared" si="1"/>
        <v>020-907</v>
      </c>
      <c r="C121">
        <v>0.93</v>
      </c>
    </row>
    <row r="122" spans="1:3" ht="14.5">
      <c r="A122" t="s">
        <v>2899</v>
      </c>
      <c r="B122" s="380" t="str">
        <f t="shared" si="1"/>
        <v>020-908</v>
      </c>
      <c r="C122">
        <v>0.93</v>
      </c>
    </row>
    <row r="123" spans="1:3" ht="14.5">
      <c r="A123" t="s">
        <v>2900</v>
      </c>
      <c r="B123" s="380" t="str">
        <f t="shared" si="1"/>
        <v>020-910</v>
      </c>
      <c r="C123">
        <v>0.93</v>
      </c>
    </row>
    <row r="124" spans="1:3" ht="14.5">
      <c r="A124" t="s">
        <v>7944</v>
      </c>
      <c r="B124" s="380" t="str">
        <f t="shared" si="1"/>
        <v>021-803</v>
      </c>
      <c r="C124">
        <v>0</v>
      </c>
    </row>
    <row r="125" spans="1:3" ht="14.5">
      <c r="A125" t="s">
        <v>7945</v>
      </c>
      <c r="B125" s="380" t="str">
        <f t="shared" si="1"/>
        <v>021-805</v>
      </c>
      <c r="C125">
        <v>0</v>
      </c>
    </row>
    <row r="126" spans="1:3" ht="14.5">
      <c r="A126" t="s">
        <v>2901</v>
      </c>
      <c r="B126" s="380" t="str">
        <f t="shared" si="1"/>
        <v>021-901</v>
      </c>
      <c r="C126">
        <v>0.93</v>
      </c>
    </row>
    <row r="127" spans="1:3" ht="14.5">
      <c r="A127" t="s">
        <v>2902</v>
      </c>
      <c r="B127" s="380" t="str">
        <f t="shared" si="1"/>
        <v>021-902</v>
      </c>
      <c r="C127">
        <v>0.93</v>
      </c>
    </row>
    <row r="128" spans="1:3" ht="14.5">
      <c r="A128" t="s">
        <v>5757</v>
      </c>
      <c r="B128" s="380" t="str">
        <f t="shared" si="1"/>
        <v>022-004</v>
      </c>
      <c r="C128">
        <v>0.93</v>
      </c>
    </row>
    <row r="129" spans="1:3" ht="14.5">
      <c r="A129" t="s">
        <v>4947</v>
      </c>
      <c r="B129" s="380" t="str">
        <f t="shared" si="1"/>
        <v>022-901</v>
      </c>
      <c r="C129">
        <v>0.93</v>
      </c>
    </row>
    <row r="130" spans="1:3" ht="14.5">
      <c r="A130" t="s">
        <v>5758</v>
      </c>
      <c r="B130" s="380" t="str">
        <f t="shared" si="1"/>
        <v>022-902</v>
      </c>
      <c r="C130">
        <v>0.93</v>
      </c>
    </row>
    <row r="131" spans="1:3" ht="14.5">
      <c r="A131" t="s">
        <v>5759</v>
      </c>
      <c r="B131" s="380" t="str">
        <f t="shared" ref="B131:B194" si="2">CONCATENATE(LEFT(RIGHT(CONCATENATE("000",A131),6),3),"-",(RIGHT(RIGHT(CONCATENATE("000",A131),6),3)))</f>
        <v>022-903</v>
      </c>
      <c r="C131">
        <v>1</v>
      </c>
    </row>
    <row r="132" spans="1:3" ht="14.5">
      <c r="A132" t="s">
        <v>5760</v>
      </c>
      <c r="B132" s="380" t="str">
        <f t="shared" si="2"/>
        <v>023-902</v>
      </c>
      <c r="C132">
        <v>0.93</v>
      </c>
    </row>
    <row r="133" spans="1:3" ht="14.5">
      <c r="A133" t="s">
        <v>4948</v>
      </c>
      <c r="B133" s="380" t="str">
        <f t="shared" si="2"/>
        <v>024-901</v>
      </c>
      <c r="C133">
        <v>0.93</v>
      </c>
    </row>
    <row r="134" spans="1:3" ht="14.5">
      <c r="A134" t="s">
        <v>4949</v>
      </c>
      <c r="B134" s="380" t="str">
        <f t="shared" si="2"/>
        <v>025-901</v>
      </c>
      <c r="C134">
        <v>0.93</v>
      </c>
    </row>
    <row r="135" spans="1:3" ht="14.5">
      <c r="A135" t="s">
        <v>4950</v>
      </c>
      <c r="B135" s="380" t="str">
        <f t="shared" si="2"/>
        <v>025-902</v>
      </c>
      <c r="C135">
        <v>0.93</v>
      </c>
    </row>
    <row r="136" spans="1:3" ht="14.5">
      <c r="A136" t="s">
        <v>2903</v>
      </c>
      <c r="B136" s="380" t="str">
        <f t="shared" si="2"/>
        <v>025-904</v>
      </c>
      <c r="C136">
        <v>0.93</v>
      </c>
    </row>
    <row r="137" spans="1:3" ht="14.5">
      <c r="A137" t="s">
        <v>2904</v>
      </c>
      <c r="B137" s="380" t="str">
        <f t="shared" si="2"/>
        <v>025-905</v>
      </c>
      <c r="C137">
        <v>0.93</v>
      </c>
    </row>
    <row r="138" spans="1:3" ht="14.5">
      <c r="A138" t="s">
        <v>2905</v>
      </c>
      <c r="B138" s="380" t="str">
        <f t="shared" si="2"/>
        <v>025-906</v>
      </c>
      <c r="C138">
        <v>0.93</v>
      </c>
    </row>
    <row r="139" spans="1:3" ht="14.5">
      <c r="A139" t="s">
        <v>2906</v>
      </c>
      <c r="B139" s="380" t="str">
        <f t="shared" si="2"/>
        <v>025-908</v>
      </c>
      <c r="C139">
        <v>0.93</v>
      </c>
    </row>
    <row r="140" spans="1:3" ht="14.5">
      <c r="A140" t="s">
        <v>2907</v>
      </c>
      <c r="B140" s="380" t="str">
        <f t="shared" si="2"/>
        <v>025-909</v>
      </c>
      <c r="C140">
        <v>0.93</v>
      </c>
    </row>
    <row r="141" spans="1:3" ht="14.5">
      <c r="A141" t="s">
        <v>4951</v>
      </c>
      <c r="B141" s="380" t="str">
        <f t="shared" si="2"/>
        <v>026-901</v>
      </c>
      <c r="C141">
        <v>0.93</v>
      </c>
    </row>
    <row r="142" spans="1:3" ht="14.5">
      <c r="A142" t="s">
        <v>4952</v>
      </c>
      <c r="B142" s="380" t="str">
        <f t="shared" si="2"/>
        <v>026-902</v>
      </c>
      <c r="C142">
        <v>0.93</v>
      </c>
    </row>
    <row r="143" spans="1:3" ht="14.5">
      <c r="A143" t="s">
        <v>2908</v>
      </c>
      <c r="B143" s="380" t="str">
        <f t="shared" si="2"/>
        <v>026-903</v>
      </c>
      <c r="C143">
        <v>0.93</v>
      </c>
    </row>
    <row r="144" spans="1:3" ht="14.5">
      <c r="A144" t="s">
        <v>2909</v>
      </c>
      <c r="B144" s="380" t="str">
        <f t="shared" si="2"/>
        <v>027-903</v>
      </c>
      <c r="C144">
        <v>0.93</v>
      </c>
    </row>
    <row r="145" spans="1:3" ht="14.5">
      <c r="A145" t="s">
        <v>3582</v>
      </c>
      <c r="B145" s="380" t="str">
        <f t="shared" si="2"/>
        <v>027-904</v>
      </c>
      <c r="C145">
        <v>0.93</v>
      </c>
    </row>
    <row r="146" spans="1:3" ht="14.5">
      <c r="A146" t="s">
        <v>2910</v>
      </c>
      <c r="B146" s="380" t="str">
        <f t="shared" si="2"/>
        <v>028-902</v>
      </c>
      <c r="C146">
        <v>0.93</v>
      </c>
    </row>
    <row r="147" spans="1:3" ht="14.5">
      <c r="A147" t="s">
        <v>2911</v>
      </c>
      <c r="B147" s="380" t="str">
        <f t="shared" si="2"/>
        <v>028-903</v>
      </c>
      <c r="C147">
        <v>0.93</v>
      </c>
    </row>
    <row r="148" spans="1:3" ht="14.5">
      <c r="A148" t="s">
        <v>5761</v>
      </c>
      <c r="B148" s="380" t="str">
        <f t="shared" si="2"/>
        <v>028-906</v>
      </c>
      <c r="C148">
        <v>0.93</v>
      </c>
    </row>
    <row r="149" spans="1:3" ht="14.5">
      <c r="A149" t="s">
        <v>4953</v>
      </c>
      <c r="B149" s="380" t="str">
        <f t="shared" si="2"/>
        <v>029-901</v>
      </c>
      <c r="C149">
        <v>0.93</v>
      </c>
    </row>
    <row r="150" spans="1:3" ht="14.5">
      <c r="A150" t="s">
        <v>5762</v>
      </c>
      <c r="B150" s="380" t="str">
        <f t="shared" si="2"/>
        <v>030-901</v>
      </c>
      <c r="C150">
        <v>0.93</v>
      </c>
    </row>
    <row r="151" spans="1:3" ht="14.5">
      <c r="A151" t="s">
        <v>2912</v>
      </c>
      <c r="B151" s="380" t="str">
        <f t="shared" si="2"/>
        <v>030-902</v>
      </c>
      <c r="C151">
        <v>0.93</v>
      </c>
    </row>
    <row r="152" spans="1:3" ht="14.5">
      <c r="A152" t="s">
        <v>2913</v>
      </c>
      <c r="B152" s="380" t="str">
        <f t="shared" si="2"/>
        <v>030-903</v>
      </c>
      <c r="C152">
        <v>0.93</v>
      </c>
    </row>
    <row r="153" spans="1:3" ht="14.5">
      <c r="A153" t="s">
        <v>4954</v>
      </c>
      <c r="B153" s="380" t="str">
        <f t="shared" si="2"/>
        <v>030-906</v>
      </c>
      <c r="C153">
        <v>0.93</v>
      </c>
    </row>
    <row r="154" spans="1:3" ht="14.5">
      <c r="A154" t="s">
        <v>7946</v>
      </c>
      <c r="B154" s="380" t="str">
        <f t="shared" si="2"/>
        <v>031-505</v>
      </c>
      <c r="C154">
        <v>0</v>
      </c>
    </row>
    <row r="155" spans="1:3" ht="14.5">
      <c r="A155" t="s">
        <v>2914</v>
      </c>
      <c r="B155" s="380" t="str">
        <f t="shared" si="2"/>
        <v>031-901</v>
      </c>
      <c r="C155">
        <v>0.93</v>
      </c>
    </row>
    <row r="156" spans="1:3" ht="14.5">
      <c r="A156" t="s">
        <v>2915</v>
      </c>
      <c r="B156" s="380" t="str">
        <f t="shared" si="2"/>
        <v>031-903</v>
      </c>
      <c r="C156">
        <v>0.93</v>
      </c>
    </row>
    <row r="157" spans="1:3" ht="14.5">
      <c r="A157" t="s">
        <v>2916</v>
      </c>
      <c r="B157" s="380" t="str">
        <f t="shared" si="2"/>
        <v>031-905</v>
      </c>
      <c r="C157">
        <v>0.93</v>
      </c>
    </row>
    <row r="158" spans="1:3" ht="14.5">
      <c r="A158" t="s">
        <v>2917</v>
      </c>
      <c r="B158" s="380" t="str">
        <f t="shared" si="2"/>
        <v>031-906</v>
      </c>
      <c r="C158">
        <v>0.93</v>
      </c>
    </row>
    <row r="159" spans="1:3" ht="14.5">
      <c r="A159" t="s">
        <v>4955</v>
      </c>
      <c r="B159" s="380" t="str">
        <f t="shared" si="2"/>
        <v>031-909</v>
      </c>
      <c r="C159">
        <v>0.93</v>
      </c>
    </row>
    <row r="160" spans="1:3" ht="14.5">
      <c r="A160" t="s">
        <v>2918</v>
      </c>
      <c r="B160" s="380" t="str">
        <f t="shared" si="2"/>
        <v>031-911</v>
      </c>
      <c r="C160">
        <v>0.93</v>
      </c>
    </row>
    <row r="161" spans="1:3" ht="14.5">
      <c r="A161" t="s">
        <v>2919</v>
      </c>
      <c r="B161" s="380" t="str">
        <f t="shared" si="2"/>
        <v>031-912</v>
      </c>
      <c r="C161">
        <v>0.93</v>
      </c>
    </row>
    <row r="162" spans="1:3" ht="14.5">
      <c r="A162" t="s">
        <v>2920</v>
      </c>
      <c r="B162" s="380" t="str">
        <f t="shared" si="2"/>
        <v>031-913</v>
      </c>
      <c r="C162">
        <v>0.93</v>
      </c>
    </row>
    <row r="163" spans="1:3" ht="14.5">
      <c r="A163" t="s">
        <v>2921</v>
      </c>
      <c r="B163" s="380" t="str">
        <f t="shared" si="2"/>
        <v>031-914</v>
      </c>
      <c r="C163">
        <v>0.93</v>
      </c>
    </row>
    <row r="164" spans="1:3" ht="14.5">
      <c r="A164" t="s">
        <v>7354</v>
      </c>
      <c r="B164" s="380" t="str">
        <f t="shared" si="2"/>
        <v>031-916</v>
      </c>
      <c r="C164">
        <v>4.5700000000000005E-2</v>
      </c>
    </row>
    <row r="165" spans="1:3" ht="14.5">
      <c r="A165" t="s">
        <v>4956</v>
      </c>
      <c r="B165" s="380" t="str">
        <f t="shared" si="2"/>
        <v>032-902</v>
      </c>
      <c r="C165">
        <v>0.93</v>
      </c>
    </row>
    <row r="166" spans="1:3" ht="14.5">
      <c r="A166" t="s">
        <v>4957</v>
      </c>
      <c r="B166" s="380" t="str">
        <f t="shared" si="2"/>
        <v>033-901</v>
      </c>
      <c r="C166">
        <v>0.93</v>
      </c>
    </row>
    <row r="167" spans="1:3" ht="14.5">
      <c r="A167" t="s">
        <v>4958</v>
      </c>
      <c r="B167" s="380" t="str">
        <f t="shared" si="2"/>
        <v>033-902</v>
      </c>
      <c r="C167">
        <v>0.93</v>
      </c>
    </row>
    <row r="168" spans="1:3" ht="14.5">
      <c r="A168" t="s">
        <v>4959</v>
      </c>
      <c r="B168" s="380" t="str">
        <f t="shared" si="2"/>
        <v>033-904</v>
      </c>
      <c r="C168">
        <v>0.93</v>
      </c>
    </row>
    <row r="169" spans="1:3" ht="14.5">
      <c r="A169" t="s">
        <v>4960</v>
      </c>
      <c r="B169" s="380" t="str">
        <f t="shared" si="2"/>
        <v>034-901</v>
      </c>
      <c r="C169">
        <v>0.93</v>
      </c>
    </row>
    <row r="170" spans="1:3" ht="14.5">
      <c r="A170" t="s">
        <v>5763</v>
      </c>
      <c r="B170" s="380" t="str">
        <f t="shared" si="2"/>
        <v>034-902</v>
      </c>
      <c r="C170">
        <v>0.93</v>
      </c>
    </row>
    <row r="171" spans="1:3" ht="14.5">
      <c r="A171" t="s">
        <v>4961</v>
      </c>
      <c r="B171" s="380" t="str">
        <f t="shared" si="2"/>
        <v>034-903</v>
      </c>
      <c r="C171">
        <v>0.93</v>
      </c>
    </row>
    <row r="172" spans="1:3" ht="14.5">
      <c r="A172" t="s">
        <v>5764</v>
      </c>
      <c r="B172" s="380" t="str">
        <f t="shared" si="2"/>
        <v>034-905</v>
      </c>
      <c r="C172">
        <v>0.93</v>
      </c>
    </row>
    <row r="173" spans="1:3" ht="14.5">
      <c r="A173" t="s">
        <v>3647</v>
      </c>
      <c r="B173" s="380" t="str">
        <f t="shared" si="2"/>
        <v>034-906</v>
      </c>
      <c r="C173">
        <v>0.93</v>
      </c>
    </row>
    <row r="174" spans="1:3" ht="14.5">
      <c r="A174" t="s">
        <v>4962</v>
      </c>
      <c r="B174" s="380" t="str">
        <f t="shared" si="2"/>
        <v>034-907</v>
      </c>
      <c r="C174">
        <v>0.93</v>
      </c>
    </row>
    <row r="175" spans="1:3" ht="14.5">
      <c r="A175" t="s">
        <v>4963</v>
      </c>
      <c r="B175" s="380" t="str">
        <f t="shared" si="2"/>
        <v>034-909</v>
      </c>
      <c r="C175">
        <v>0.93</v>
      </c>
    </row>
    <row r="176" spans="1:3" ht="14.5">
      <c r="A176" t="s">
        <v>4964</v>
      </c>
      <c r="B176" s="380" t="str">
        <f t="shared" si="2"/>
        <v>035-901</v>
      </c>
      <c r="C176">
        <v>0.93</v>
      </c>
    </row>
    <row r="177" spans="1:3" ht="14.5">
      <c r="A177" t="s">
        <v>5765</v>
      </c>
      <c r="B177" s="380" t="str">
        <f t="shared" si="2"/>
        <v>035-902</v>
      </c>
      <c r="C177">
        <v>0.93</v>
      </c>
    </row>
    <row r="178" spans="1:3" ht="14.5">
      <c r="A178" t="s">
        <v>2922</v>
      </c>
      <c r="B178" s="380" t="str">
        <f t="shared" si="2"/>
        <v>035-903</v>
      </c>
      <c r="C178">
        <v>0.93</v>
      </c>
    </row>
    <row r="179" spans="1:3" ht="14.5">
      <c r="A179" t="s">
        <v>2923</v>
      </c>
      <c r="B179" s="380" t="str">
        <f t="shared" si="2"/>
        <v>036-901</v>
      </c>
      <c r="C179">
        <v>0.93</v>
      </c>
    </row>
    <row r="180" spans="1:3" ht="14.5">
      <c r="A180" t="s">
        <v>4965</v>
      </c>
      <c r="B180" s="380" t="str">
        <f t="shared" si="2"/>
        <v>036-902</v>
      </c>
      <c r="C180">
        <v>0.93</v>
      </c>
    </row>
    <row r="181" spans="1:3" ht="14.5">
      <c r="A181" t="s">
        <v>2924</v>
      </c>
      <c r="B181" s="380" t="str">
        <f t="shared" si="2"/>
        <v>036-903</v>
      </c>
      <c r="C181">
        <v>0.93</v>
      </c>
    </row>
    <row r="182" spans="1:3" ht="14.5">
      <c r="A182" t="s">
        <v>4966</v>
      </c>
      <c r="B182" s="380" t="str">
        <f t="shared" si="2"/>
        <v>037-901</v>
      </c>
      <c r="C182">
        <v>0.93</v>
      </c>
    </row>
    <row r="183" spans="1:3" ht="14.5">
      <c r="A183" t="s">
        <v>2925</v>
      </c>
      <c r="B183" s="380" t="str">
        <f t="shared" si="2"/>
        <v>037-904</v>
      </c>
      <c r="C183">
        <v>0.93</v>
      </c>
    </row>
    <row r="184" spans="1:3" ht="14.5">
      <c r="A184" t="s">
        <v>2926</v>
      </c>
      <c r="B184" s="380" t="str">
        <f t="shared" si="2"/>
        <v>037-907</v>
      </c>
      <c r="C184">
        <v>0.93</v>
      </c>
    </row>
    <row r="185" spans="1:3" ht="14.5">
      <c r="A185" t="s">
        <v>3657</v>
      </c>
      <c r="B185" s="380" t="str">
        <f t="shared" si="2"/>
        <v>037-908</v>
      </c>
      <c r="C185">
        <v>0.93</v>
      </c>
    </row>
    <row r="186" spans="1:3" ht="14.5">
      <c r="A186" t="s">
        <v>4967</v>
      </c>
      <c r="B186" s="380" t="str">
        <f t="shared" si="2"/>
        <v>037-909</v>
      </c>
      <c r="C186">
        <v>0.93</v>
      </c>
    </row>
    <row r="187" spans="1:3" ht="14.5">
      <c r="A187" t="s">
        <v>2927</v>
      </c>
      <c r="B187" s="380" t="str">
        <f t="shared" si="2"/>
        <v>038-901</v>
      </c>
      <c r="C187">
        <v>0.93</v>
      </c>
    </row>
    <row r="188" spans="1:3" ht="14.5">
      <c r="A188" t="s">
        <v>4968</v>
      </c>
      <c r="B188" s="380" t="str">
        <f t="shared" si="2"/>
        <v>039-902</v>
      </c>
      <c r="C188">
        <v>0.93</v>
      </c>
    </row>
    <row r="189" spans="1:3" ht="14.5">
      <c r="A189" t="s">
        <v>2928</v>
      </c>
      <c r="B189" s="380" t="str">
        <f t="shared" si="2"/>
        <v>039-903</v>
      </c>
      <c r="C189">
        <v>0.93</v>
      </c>
    </row>
    <row r="190" spans="1:3" ht="14.5">
      <c r="A190" t="s">
        <v>5766</v>
      </c>
      <c r="B190" s="380" t="str">
        <f t="shared" si="2"/>
        <v>039-904</v>
      </c>
      <c r="C190">
        <v>0.93</v>
      </c>
    </row>
    <row r="191" spans="1:3" ht="14.5">
      <c r="A191" t="s">
        <v>5767</v>
      </c>
      <c r="B191" s="380" t="str">
        <f t="shared" si="2"/>
        <v>039-905</v>
      </c>
      <c r="C191">
        <v>0.93</v>
      </c>
    </row>
    <row r="192" spans="1:3" ht="14.5">
      <c r="A192" t="s">
        <v>5768</v>
      </c>
      <c r="B192" s="380" t="str">
        <f t="shared" si="2"/>
        <v>040-901</v>
      </c>
      <c r="C192">
        <v>0.93</v>
      </c>
    </row>
    <row r="193" spans="1:3" ht="14.5">
      <c r="A193" t="s">
        <v>4969</v>
      </c>
      <c r="B193" s="380" t="str">
        <f t="shared" si="2"/>
        <v>040-902</v>
      </c>
      <c r="C193">
        <v>0.93</v>
      </c>
    </row>
    <row r="194" spans="1:3" ht="14.5">
      <c r="A194" t="s">
        <v>5769</v>
      </c>
      <c r="B194" s="380" t="str">
        <f t="shared" si="2"/>
        <v>041-901</v>
      </c>
      <c r="C194">
        <v>0.93</v>
      </c>
    </row>
    <row r="195" spans="1:3" ht="14.5">
      <c r="A195" t="s">
        <v>4970</v>
      </c>
      <c r="B195" s="380" t="str">
        <f t="shared" ref="B195:B258" si="3">CONCATENATE(LEFT(RIGHT(CONCATENATE("000",A195),6),3),"-",(RIGHT(RIGHT(CONCATENATE("000",A195),6),3)))</f>
        <v>041-902</v>
      </c>
      <c r="C195">
        <v>0.93</v>
      </c>
    </row>
    <row r="196" spans="1:3" ht="14.5">
      <c r="A196" t="s">
        <v>3664</v>
      </c>
      <c r="B196" s="380" t="str">
        <f t="shared" si="3"/>
        <v>042-901</v>
      </c>
      <c r="C196">
        <v>0.93</v>
      </c>
    </row>
    <row r="197" spans="1:3" ht="14.5">
      <c r="A197" t="s">
        <v>2929</v>
      </c>
      <c r="B197" s="380" t="str">
        <f t="shared" si="3"/>
        <v>042-903</v>
      </c>
      <c r="C197">
        <v>0.93</v>
      </c>
    </row>
    <row r="198" spans="1:3" ht="14.5">
      <c r="A198" t="s">
        <v>4971</v>
      </c>
      <c r="B198" s="380" t="str">
        <f t="shared" si="3"/>
        <v>042-905</v>
      </c>
      <c r="C198">
        <v>0.93</v>
      </c>
    </row>
    <row r="199" spans="1:3" ht="14.5">
      <c r="A199" t="s">
        <v>7948</v>
      </c>
      <c r="B199" s="380" t="str">
        <f t="shared" si="3"/>
        <v>043-801</v>
      </c>
      <c r="C199">
        <v>0</v>
      </c>
    </row>
    <row r="200" spans="1:3" ht="14.5">
      <c r="A200" t="s">
        <v>7949</v>
      </c>
      <c r="B200" s="380" t="str">
        <f t="shared" si="3"/>
        <v>043-802</v>
      </c>
      <c r="C200">
        <v>0</v>
      </c>
    </row>
    <row r="201" spans="1:3" ht="14.5">
      <c r="A201" t="s">
        <v>2930</v>
      </c>
      <c r="B201" s="380" t="str">
        <f t="shared" si="3"/>
        <v>043-901</v>
      </c>
      <c r="C201">
        <v>0.93</v>
      </c>
    </row>
    <row r="202" spans="1:3" ht="14.5">
      <c r="A202" t="s">
        <v>2931</v>
      </c>
      <c r="B202" s="380" t="str">
        <f t="shared" si="3"/>
        <v>043-902</v>
      </c>
      <c r="C202">
        <v>0.93</v>
      </c>
    </row>
    <row r="203" spans="1:3" ht="14.5">
      <c r="A203" t="s">
        <v>2932</v>
      </c>
      <c r="B203" s="380" t="str">
        <f t="shared" si="3"/>
        <v>043-903</v>
      </c>
      <c r="C203">
        <v>0.93</v>
      </c>
    </row>
    <row r="204" spans="1:3" ht="14.5">
      <c r="A204" t="s">
        <v>2933</v>
      </c>
      <c r="B204" s="380" t="str">
        <f t="shared" si="3"/>
        <v>043-904</v>
      </c>
      <c r="C204">
        <v>0.93</v>
      </c>
    </row>
    <row r="205" spans="1:3" ht="14.5">
      <c r="A205" t="s">
        <v>2934</v>
      </c>
      <c r="B205" s="380" t="str">
        <f t="shared" si="3"/>
        <v>043-905</v>
      </c>
      <c r="C205">
        <v>0.93</v>
      </c>
    </row>
    <row r="206" spans="1:3" ht="14.5">
      <c r="A206" t="s">
        <v>2935</v>
      </c>
      <c r="B206" s="380" t="str">
        <f t="shared" si="3"/>
        <v>043-907</v>
      </c>
      <c r="C206">
        <v>0.93</v>
      </c>
    </row>
    <row r="207" spans="1:3" ht="14.5">
      <c r="A207" t="s">
        <v>2936</v>
      </c>
      <c r="B207" s="380" t="str">
        <f t="shared" si="3"/>
        <v>043-908</v>
      </c>
      <c r="C207">
        <v>0.93</v>
      </c>
    </row>
    <row r="208" spans="1:3" ht="14.5">
      <c r="A208" t="s">
        <v>4972</v>
      </c>
      <c r="B208" s="380" t="str">
        <f t="shared" si="3"/>
        <v>043-910</v>
      </c>
      <c r="C208">
        <v>0.93</v>
      </c>
    </row>
    <row r="209" spans="1:3" ht="14.5">
      <c r="A209" t="s">
        <v>2937</v>
      </c>
      <c r="B209" s="380" t="str">
        <f t="shared" si="3"/>
        <v>043-911</v>
      </c>
      <c r="C209">
        <v>0.93</v>
      </c>
    </row>
    <row r="210" spans="1:3" ht="14.5">
      <c r="A210" t="s">
        <v>2938</v>
      </c>
      <c r="B210" s="380" t="str">
        <f t="shared" si="3"/>
        <v>043-912</v>
      </c>
      <c r="C210">
        <v>0.93</v>
      </c>
    </row>
    <row r="211" spans="1:3" ht="14.5">
      <c r="A211" t="s">
        <v>2939</v>
      </c>
      <c r="B211" s="380" t="str">
        <f t="shared" si="3"/>
        <v>043-914</v>
      </c>
      <c r="C211">
        <v>0.93</v>
      </c>
    </row>
    <row r="212" spans="1:3" ht="14.5">
      <c r="A212" t="s">
        <v>2940</v>
      </c>
      <c r="B212" s="380" t="str">
        <f t="shared" si="3"/>
        <v>043-917</v>
      </c>
      <c r="C212">
        <v>0.93</v>
      </c>
    </row>
    <row r="213" spans="1:3" ht="14.5">
      <c r="A213" t="s">
        <v>2941</v>
      </c>
      <c r="B213" s="380" t="str">
        <f t="shared" si="3"/>
        <v>043-918</v>
      </c>
      <c r="C213">
        <v>0.93</v>
      </c>
    </row>
    <row r="214" spans="1:3" ht="14.5">
      <c r="A214" t="s">
        <v>4973</v>
      </c>
      <c r="B214" s="380" t="str">
        <f t="shared" si="3"/>
        <v>043-919</v>
      </c>
      <c r="C214">
        <v>0.93</v>
      </c>
    </row>
    <row r="215" spans="1:3" ht="14.5">
      <c r="A215" t="s">
        <v>5770</v>
      </c>
      <c r="B215" s="380" t="str">
        <f t="shared" si="3"/>
        <v>044-902</v>
      </c>
      <c r="C215">
        <v>0.93</v>
      </c>
    </row>
    <row r="216" spans="1:3" ht="14.5">
      <c r="A216" t="s">
        <v>2942</v>
      </c>
      <c r="B216" s="380" t="str">
        <f t="shared" si="3"/>
        <v>045-902</v>
      </c>
      <c r="C216">
        <v>0.93</v>
      </c>
    </row>
    <row r="217" spans="1:3" ht="14.5">
      <c r="A217" t="s">
        <v>4974</v>
      </c>
      <c r="B217" s="380" t="str">
        <f t="shared" si="3"/>
        <v>045-903</v>
      </c>
      <c r="C217">
        <v>0.93</v>
      </c>
    </row>
    <row r="218" spans="1:3" ht="14.5">
      <c r="A218" t="s">
        <v>4975</v>
      </c>
      <c r="B218" s="380" t="str">
        <f t="shared" si="3"/>
        <v>045-905</v>
      </c>
      <c r="C218">
        <v>0.93</v>
      </c>
    </row>
    <row r="219" spans="1:3" ht="14.5">
      <c r="A219" t="s">
        <v>7950</v>
      </c>
      <c r="B219" s="380" t="str">
        <f t="shared" si="3"/>
        <v>046-802</v>
      </c>
      <c r="C219">
        <v>0</v>
      </c>
    </row>
    <row r="220" spans="1:3" ht="14.5">
      <c r="A220" t="s">
        <v>2943</v>
      </c>
      <c r="B220" s="380" t="str">
        <f t="shared" si="3"/>
        <v>046-901</v>
      </c>
      <c r="C220">
        <v>0.93</v>
      </c>
    </row>
    <row r="221" spans="1:3" ht="14.5">
      <c r="A221" t="s">
        <v>4976</v>
      </c>
      <c r="B221" s="380" t="str">
        <f t="shared" si="3"/>
        <v>046-902</v>
      </c>
      <c r="C221">
        <v>0.93</v>
      </c>
    </row>
    <row r="222" spans="1:3" ht="14.5">
      <c r="A222" t="s">
        <v>2944</v>
      </c>
      <c r="B222" s="380" t="str">
        <f t="shared" si="3"/>
        <v>047-901</v>
      </c>
      <c r="C222">
        <v>0.93</v>
      </c>
    </row>
    <row r="223" spans="1:3" ht="14.5">
      <c r="A223" t="s">
        <v>2945</v>
      </c>
      <c r="B223" s="380" t="str">
        <f t="shared" si="3"/>
        <v>047-902</v>
      </c>
      <c r="C223">
        <v>0.93</v>
      </c>
    </row>
    <row r="224" spans="1:3" ht="14.5">
      <c r="A224" t="s">
        <v>2946</v>
      </c>
      <c r="B224" s="380" t="str">
        <f t="shared" si="3"/>
        <v>047-903</v>
      </c>
      <c r="C224">
        <v>0.93</v>
      </c>
    </row>
    <row r="225" spans="1:3" ht="14.5">
      <c r="A225" t="s">
        <v>2947</v>
      </c>
      <c r="B225" s="380" t="str">
        <f t="shared" si="3"/>
        <v>047-905</v>
      </c>
      <c r="C225">
        <v>0.93</v>
      </c>
    </row>
    <row r="226" spans="1:3" ht="14.5">
      <c r="A226" t="s">
        <v>5771</v>
      </c>
      <c r="B226" s="380" t="str">
        <f t="shared" si="3"/>
        <v>048-901</v>
      </c>
      <c r="C226">
        <v>0.93</v>
      </c>
    </row>
    <row r="227" spans="1:3" ht="14.5">
      <c r="A227" t="s">
        <v>4977</v>
      </c>
      <c r="B227" s="380" t="str">
        <f t="shared" si="3"/>
        <v>048-903</v>
      </c>
      <c r="C227">
        <v>0.93</v>
      </c>
    </row>
    <row r="228" spans="1:3" ht="14.5">
      <c r="A228" t="s">
        <v>2948</v>
      </c>
      <c r="B228" s="380" t="str">
        <f t="shared" si="3"/>
        <v>049-901</v>
      </c>
      <c r="C228">
        <v>0.93</v>
      </c>
    </row>
    <row r="229" spans="1:3" ht="14.5">
      <c r="A229" t="s">
        <v>4978</v>
      </c>
      <c r="B229" s="380" t="str">
        <f t="shared" si="3"/>
        <v>049-902</v>
      </c>
      <c r="C229">
        <v>0.93</v>
      </c>
    </row>
    <row r="230" spans="1:3" ht="14.5">
      <c r="A230" t="s">
        <v>2949</v>
      </c>
      <c r="B230" s="380" t="str">
        <f t="shared" si="3"/>
        <v>049-903</v>
      </c>
      <c r="C230">
        <v>0.93</v>
      </c>
    </row>
    <row r="231" spans="1:3" ht="14.5">
      <c r="A231" t="s">
        <v>4979</v>
      </c>
      <c r="B231" s="380" t="str">
        <f t="shared" si="3"/>
        <v>049-905</v>
      </c>
      <c r="C231">
        <v>0.93</v>
      </c>
    </row>
    <row r="232" spans="1:3" ht="14.5">
      <c r="A232" t="s">
        <v>2950</v>
      </c>
      <c r="B232" s="380" t="str">
        <f t="shared" si="3"/>
        <v>049-906</v>
      </c>
      <c r="C232">
        <v>0.93</v>
      </c>
    </row>
    <row r="233" spans="1:3" ht="14.5">
      <c r="A233" t="s">
        <v>4980</v>
      </c>
      <c r="B233" s="380" t="str">
        <f t="shared" si="3"/>
        <v>049-907</v>
      </c>
      <c r="C233">
        <v>0.93</v>
      </c>
    </row>
    <row r="234" spans="1:3" ht="14.5">
      <c r="A234" t="s">
        <v>5772</v>
      </c>
      <c r="B234" s="380" t="str">
        <f t="shared" si="3"/>
        <v>049-908</v>
      </c>
      <c r="C234">
        <v>0.93</v>
      </c>
    </row>
    <row r="235" spans="1:3" ht="14.5">
      <c r="A235" t="s">
        <v>5773</v>
      </c>
      <c r="B235" s="380" t="str">
        <f t="shared" si="3"/>
        <v>049-909</v>
      </c>
      <c r="C235">
        <v>0.93</v>
      </c>
    </row>
    <row r="236" spans="1:3" ht="14.5">
      <c r="A236" t="s">
        <v>5774</v>
      </c>
      <c r="B236" s="380" t="str">
        <f t="shared" si="3"/>
        <v>050-901</v>
      </c>
      <c r="C236">
        <v>0.93</v>
      </c>
    </row>
    <row r="237" spans="1:3" ht="14.5">
      <c r="A237" t="s">
        <v>4981</v>
      </c>
      <c r="B237" s="380" t="str">
        <f t="shared" si="3"/>
        <v>050-902</v>
      </c>
      <c r="C237">
        <v>0.93</v>
      </c>
    </row>
    <row r="238" spans="1:3" ht="14.5">
      <c r="A238" t="s">
        <v>2951</v>
      </c>
      <c r="B238" s="380" t="str">
        <f t="shared" si="3"/>
        <v>050-904</v>
      </c>
      <c r="C238">
        <v>0.93</v>
      </c>
    </row>
    <row r="239" spans="1:3" ht="14.5">
      <c r="A239" t="s">
        <v>4982</v>
      </c>
      <c r="B239" s="380" t="str">
        <f t="shared" si="3"/>
        <v>050-909</v>
      </c>
      <c r="C239">
        <v>0.93</v>
      </c>
    </row>
    <row r="240" spans="1:3" ht="14.5">
      <c r="A240" t="s">
        <v>2952</v>
      </c>
      <c r="B240" s="380" t="str">
        <f t="shared" si="3"/>
        <v>050-910</v>
      </c>
      <c r="C240">
        <v>0.93</v>
      </c>
    </row>
    <row r="241" spans="1:3" ht="14.5">
      <c r="A241" t="s">
        <v>5775</v>
      </c>
      <c r="B241" s="380" t="str">
        <f t="shared" si="3"/>
        <v>051-901</v>
      </c>
      <c r="C241">
        <v>0.93</v>
      </c>
    </row>
    <row r="242" spans="1:3" ht="14.5">
      <c r="A242" t="s">
        <v>4983</v>
      </c>
      <c r="B242" s="380" t="str">
        <f t="shared" si="3"/>
        <v>052-901</v>
      </c>
      <c r="C242">
        <v>0.93</v>
      </c>
    </row>
    <row r="243" spans="1:3" ht="14.5">
      <c r="A243" t="s">
        <v>5776</v>
      </c>
      <c r="B243" s="380" t="str">
        <f t="shared" si="3"/>
        <v>053-001</v>
      </c>
      <c r="C243">
        <v>0.93</v>
      </c>
    </row>
    <row r="244" spans="1:3" ht="14.5">
      <c r="A244" t="s">
        <v>5777</v>
      </c>
      <c r="B244" s="380" t="str">
        <f t="shared" si="3"/>
        <v>054-901</v>
      </c>
      <c r="C244">
        <v>0.93</v>
      </c>
    </row>
    <row r="245" spans="1:3" ht="14.5">
      <c r="A245" t="s">
        <v>5778</v>
      </c>
      <c r="B245" s="380" t="str">
        <f t="shared" si="3"/>
        <v>054-902</v>
      </c>
      <c r="C245">
        <v>0.93</v>
      </c>
    </row>
    <row r="246" spans="1:3" ht="14.5">
      <c r="A246" t="s">
        <v>5779</v>
      </c>
      <c r="B246" s="380" t="str">
        <f t="shared" si="3"/>
        <v>054-903</v>
      </c>
      <c r="C246">
        <v>0.93</v>
      </c>
    </row>
    <row r="247" spans="1:3" ht="14.5">
      <c r="A247" t="s">
        <v>4984</v>
      </c>
      <c r="B247" s="380" t="str">
        <f t="shared" si="3"/>
        <v>055-901</v>
      </c>
      <c r="C247">
        <v>0.93</v>
      </c>
    </row>
    <row r="248" spans="1:3" ht="14.5">
      <c r="A248" t="s">
        <v>4985</v>
      </c>
      <c r="B248" s="380" t="str">
        <f t="shared" si="3"/>
        <v>056-901</v>
      </c>
      <c r="C248">
        <v>0.93</v>
      </c>
    </row>
    <row r="249" spans="1:3" ht="14.5">
      <c r="A249" t="s">
        <v>5780</v>
      </c>
      <c r="B249" s="380" t="str">
        <f t="shared" si="3"/>
        <v>056-902</v>
      </c>
      <c r="C249">
        <v>0.93</v>
      </c>
    </row>
    <row r="250" spans="1:3" ht="14.5">
      <c r="A250" t="s">
        <v>7951</v>
      </c>
      <c r="B250" s="380" t="str">
        <f t="shared" si="3"/>
        <v>057-802</v>
      </c>
      <c r="C250">
        <v>0</v>
      </c>
    </row>
    <row r="251" spans="1:3" ht="14.5">
      <c r="A251" t="s">
        <v>7952</v>
      </c>
      <c r="B251" s="380" t="str">
        <f t="shared" si="3"/>
        <v>057-803</v>
      </c>
      <c r="C251">
        <v>0</v>
      </c>
    </row>
    <row r="252" spans="1:3" ht="14.5">
      <c r="A252" t="s">
        <v>7953</v>
      </c>
      <c r="B252" s="380" t="str">
        <f t="shared" si="3"/>
        <v>057-804</v>
      </c>
      <c r="C252">
        <v>0</v>
      </c>
    </row>
    <row r="253" spans="1:3" ht="14.5">
      <c r="A253" t="s">
        <v>7954</v>
      </c>
      <c r="B253" s="380" t="str">
        <f t="shared" si="3"/>
        <v>057-805</v>
      </c>
      <c r="C253">
        <v>0</v>
      </c>
    </row>
    <row r="254" spans="1:3" ht="14.5">
      <c r="A254" t="s">
        <v>7955</v>
      </c>
      <c r="B254" s="380" t="str">
        <f t="shared" si="3"/>
        <v>057-806</v>
      </c>
      <c r="C254">
        <v>0</v>
      </c>
    </row>
    <row r="255" spans="1:3" ht="14.5">
      <c r="A255" t="s">
        <v>7956</v>
      </c>
      <c r="B255" s="380" t="str">
        <f t="shared" si="3"/>
        <v>057-807</v>
      </c>
      <c r="C255">
        <v>0</v>
      </c>
    </row>
    <row r="256" spans="1:3" ht="14.5">
      <c r="A256" t="s">
        <v>7957</v>
      </c>
      <c r="B256" s="380" t="str">
        <f t="shared" si="3"/>
        <v>057-808</v>
      </c>
      <c r="C256">
        <v>0</v>
      </c>
    </row>
    <row r="257" spans="1:3" ht="14.5">
      <c r="A257" t="s">
        <v>7958</v>
      </c>
      <c r="B257" s="380" t="str">
        <f t="shared" si="3"/>
        <v>057-809</v>
      </c>
      <c r="C257">
        <v>0</v>
      </c>
    </row>
    <row r="258" spans="1:3" ht="14.5">
      <c r="A258" t="s">
        <v>7959</v>
      </c>
      <c r="B258" s="380" t="str">
        <f t="shared" si="3"/>
        <v>057-810</v>
      </c>
      <c r="C258">
        <v>0</v>
      </c>
    </row>
    <row r="259" spans="1:3" ht="14.5">
      <c r="A259" t="s">
        <v>7960</v>
      </c>
      <c r="B259" s="380" t="str">
        <f t="shared" ref="B259:B322" si="4">CONCATENATE(LEFT(RIGHT(CONCATENATE("000",A259),6),3),"-",(RIGHT(RIGHT(CONCATENATE("000",A259),6),3)))</f>
        <v>057-813</v>
      </c>
      <c r="C259">
        <v>0</v>
      </c>
    </row>
    <row r="260" spans="1:3" ht="14.5">
      <c r="A260" t="s">
        <v>7961</v>
      </c>
      <c r="B260" s="380" t="str">
        <f t="shared" si="4"/>
        <v>057-814</v>
      </c>
      <c r="C260">
        <v>0</v>
      </c>
    </row>
    <row r="261" spans="1:3" ht="14.5">
      <c r="A261" t="s">
        <v>7962</v>
      </c>
      <c r="B261" s="380" t="str">
        <f t="shared" si="4"/>
        <v>057-816</v>
      </c>
      <c r="C261">
        <v>0</v>
      </c>
    </row>
    <row r="262" spans="1:3" ht="14.5">
      <c r="A262" t="s">
        <v>7963</v>
      </c>
      <c r="B262" s="380" t="str">
        <f t="shared" si="4"/>
        <v>057-819</v>
      </c>
      <c r="C262">
        <v>0</v>
      </c>
    </row>
    <row r="263" spans="1:3" ht="14.5">
      <c r="A263" t="s">
        <v>7964</v>
      </c>
      <c r="B263" s="380" t="str">
        <f t="shared" si="4"/>
        <v>057-827</v>
      </c>
      <c r="C263">
        <v>0</v>
      </c>
    </row>
    <row r="264" spans="1:3" ht="14.5">
      <c r="A264" t="s">
        <v>7965</v>
      </c>
      <c r="B264" s="380" t="str">
        <f t="shared" si="4"/>
        <v>057-828</v>
      </c>
      <c r="C264">
        <v>0</v>
      </c>
    </row>
    <row r="265" spans="1:3" ht="14.5">
      <c r="A265" t="s">
        <v>7966</v>
      </c>
      <c r="B265" s="380" t="str">
        <f t="shared" si="4"/>
        <v>057-829</v>
      </c>
      <c r="C265">
        <v>0</v>
      </c>
    </row>
    <row r="266" spans="1:3" ht="14.5">
      <c r="A266" t="s">
        <v>7967</v>
      </c>
      <c r="B266" s="380" t="str">
        <f t="shared" si="4"/>
        <v>057-830</v>
      </c>
      <c r="C266">
        <v>0</v>
      </c>
    </row>
    <row r="267" spans="1:3" ht="14.5">
      <c r="A267" t="s">
        <v>7968</v>
      </c>
      <c r="B267" s="380" t="str">
        <f t="shared" si="4"/>
        <v>057-831</v>
      </c>
      <c r="C267">
        <v>0</v>
      </c>
    </row>
    <row r="268" spans="1:3" ht="14.5">
      <c r="A268" t="s">
        <v>7969</v>
      </c>
      <c r="B268" s="380" t="str">
        <f t="shared" si="4"/>
        <v>057-833</v>
      </c>
      <c r="C268">
        <v>0</v>
      </c>
    </row>
    <row r="269" spans="1:3" ht="14.5">
      <c r="A269" t="s">
        <v>7970</v>
      </c>
      <c r="B269" s="380" t="str">
        <f t="shared" si="4"/>
        <v>057-834</v>
      </c>
      <c r="C269">
        <v>0</v>
      </c>
    </row>
    <row r="270" spans="1:3" ht="14.5">
      <c r="A270" t="s">
        <v>7971</v>
      </c>
      <c r="B270" s="380" t="str">
        <f t="shared" si="4"/>
        <v>057-835</v>
      </c>
      <c r="C270">
        <v>0</v>
      </c>
    </row>
    <row r="271" spans="1:3" ht="14.5">
      <c r="A271" t="s">
        <v>7972</v>
      </c>
      <c r="B271" s="380" t="str">
        <f t="shared" si="4"/>
        <v>057-836</v>
      </c>
      <c r="C271">
        <v>0</v>
      </c>
    </row>
    <row r="272" spans="1:3" ht="14.5">
      <c r="A272" t="s">
        <v>7973</v>
      </c>
      <c r="B272" s="380" t="str">
        <f t="shared" si="4"/>
        <v>057-839</v>
      </c>
      <c r="C272">
        <v>0</v>
      </c>
    </row>
    <row r="273" spans="1:3" ht="14.5">
      <c r="A273" t="s">
        <v>7974</v>
      </c>
      <c r="B273" s="380" t="str">
        <f t="shared" si="4"/>
        <v>057-840</v>
      </c>
      <c r="C273">
        <v>0</v>
      </c>
    </row>
    <row r="274" spans="1:3" ht="14.5">
      <c r="A274" t="s">
        <v>7975</v>
      </c>
      <c r="B274" s="380" t="str">
        <f t="shared" si="4"/>
        <v>057-841</v>
      </c>
      <c r="C274">
        <v>0</v>
      </c>
    </row>
    <row r="275" spans="1:3" ht="14.5">
      <c r="A275" t="s">
        <v>7976</v>
      </c>
      <c r="B275" s="380" t="str">
        <f t="shared" si="4"/>
        <v>057-844</v>
      </c>
      <c r="C275">
        <v>0</v>
      </c>
    </row>
    <row r="276" spans="1:3" ht="14.5">
      <c r="A276" t="s">
        <v>7977</v>
      </c>
      <c r="B276" s="380" t="str">
        <f t="shared" si="4"/>
        <v>057-845</v>
      </c>
      <c r="C276">
        <v>0</v>
      </c>
    </row>
    <row r="277" spans="1:3" ht="14.5">
      <c r="A277" t="s">
        <v>7978</v>
      </c>
      <c r="B277" s="380" t="str">
        <f t="shared" si="4"/>
        <v>057-846</v>
      </c>
      <c r="C277">
        <v>0</v>
      </c>
    </row>
    <row r="278" spans="1:3" ht="14.5">
      <c r="A278" t="s">
        <v>7979</v>
      </c>
      <c r="B278" s="380" t="str">
        <f t="shared" si="4"/>
        <v>057-847</v>
      </c>
      <c r="C278">
        <v>0</v>
      </c>
    </row>
    <row r="279" spans="1:3" ht="14.5">
      <c r="A279" t="s">
        <v>7980</v>
      </c>
      <c r="B279" s="380" t="str">
        <f t="shared" si="4"/>
        <v>057-848</v>
      </c>
      <c r="C279">
        <v>0</v>
      </c>
    </row>
    <row r="280" spans="1:3" ht="14.5">
      <c r="A280" t="s">
        <v>7982</v>
      </c>
      <c r="B280" s="380" t="str">
        <f t="shared" si="4"/>
        <v>057-850</v>
      </c>
      <c r="C280">
        <v>0</v>
      </c>
    </row>
    <row r="281" spans="1:3" ht="14.5">
      <c r="A281" t="s">
        <v>7983</v>
      </c>
      <c r="B281" s="380" t="str">
        <f t="shared" si="4"/>
        <v>057-851</v>
      </c>
      <c r="C281">
        <v>0</v>
      </c>
    </row>
    <row r="282" spans="1:3" ht="14.5">
      <c r="A282" t="s">
        <v>4986</v>
      </c>
      <c r="B282" s="380" t="str">
        <f t="shared" si="4"/>
        <v>057-903</v>
      </c>
      <c r="C282">
        <v>0.93</v>
      </c>
    </row>
    <row r="283" spans="1:3" ht="14.5">
      <c r="A283" t="s">
        <v>4987</v>
      </c>
      <c r="B283" s="380" t="str">
        <f t="shared" si="4"/>
        <v>057-904</v>
      </c>
      <c r="C283">
        <v>0.93</v>
      </c>
    </row>
    <row r="284" spans="1:3" ht="14.5">
      <c r="A284" t="s">
        <v>4988</v>
      </c>
      <c r="B284" s="380" t="str">
        <f t="shared" si="4"/>
        <v>057-905</v>
      </c>
      <c r="C284">
        <v>0.93</v>
      </c>
    </row>
    <row r="285" spans="1:3" ht="14.5">
      <c r="A285" t="s">
        <v>2953</v>
      </c>
      <c r="B285" s="380" t="str">
        <f t="shared" si="4"/>
        <v>057-906</v>
      </c>
      <c r="C285">
        <v>0.93</v>
      </c>
    </row>
    <row r="286" spans="1:3" ht="14.5">
      <c r="A286" t="s">
        <v>4989</v>
      </c>
      <c r="B286" s="380" t="str">
        <f t="shared" si="4"/>
        <v>057-907</v>
      </c>
      <c r="C286">
        <v>0.93</v>
      </c>
    </row>
    <row r="287" spans="1:3" ht="14.5">
      <c r="A287" t="s">
        <v>2954</v>
      </c>
      <c r="B287" s="380" t="str">
        <f t="shared" si="4"/>
        <v>057-909</v>
      </c>
      <c r="C287">
        <v>0.93</v>
      </c>
    </row>
    <row r="288" spans="1:3" ht="14.5">
      <c r="A288" t="s">
        <v>2955</v>
      </c>
      <c r="B288" s="380" t="str">
        <f t="shared" si="4"/>
        <v>057-910</v>
      </c>
      <c r="C288">
        <v>0.93</v>
      </c>
    </row>
    <row r="289" spans="1:3" ht="14.5">
      <c r="A289" t="s">
        <v>4990</v>
      </c>
      <c r="B289" s="380" t="str">
        <f t="shared" si="4"/>
        <v>057-911</v>
      </c>
      <c r="C289">
        <v>0.93</v>
      </c>
    </row>
    <row r="290" spans="1:3" ht="14.5">
      <c r="A290" t="s">
        <v>2956</v>
      </c>
      <c r="B290" s="380" t="str">
        <f t="shared" si="4"/>
        <v>057-912</v>
      </c>
      <c r="C290">
        <v>0.93</v>
      </c>
    </row>
    <row r="291" spans="1:3" ht="14.5">
      <c r="A291" t="s">
        <v>4991</v>
      </c>
      <c r="B291" s="380" t="str">
        <f t="shared" si="4"/>
        <v>057-913</v>
      </c>
      <c r="C291">
        <v>0.93</v>
      </c>
    </row>
    <row r="292" spans="1:3" ht="14.5">
      <c r="A292" t="s">
        <v>2957</v>
      </c>
      <c r="B292" s="380" t="str">
        <f t="shared" si="4"/>
        <v>057-914</v>
      </c>
      <c r="C292">
        <v>0.93</v>
      </c>
    </row>
    <row r="293" spans="1:3" ht="14.5">
      <c r="A293" t="s">
        <v>4992</v>
      </c>
      <c r="B293" s="380" t="str">
        <f t="shared" si="4"/>
        <v>057-916</v>
      </c>
      <c r="C293">
        <v>0.93</v>
      </c>
    </row>
    <row r="294" spans="1:3" ht="14.5">
      <c r="A294" t="s">
        <v>4993</v>
      </c>
      <c r="B294" s="380" t="str">
        <f t="shared" si="4"/>
        <v>057-919</v>
      </c>
      <c r="C294">
        <v>0.93</v>
      </c>
    </row>
    <row r="295" spans="1:3" ht="14.5">
      <c r="A295" t="s">
        <v>4994</v>
      </c>
      <c r="B295" s="380" t="str">
        <f t="shared" si="4"/>
        <v>057-922</v>
      </c>
      <c r="C295">
        <v>0.93</v>
      </c>
    </row>
    <row r="296" spans="1:3" ht="14.5">
      <c r="A296" t="s">
        <v>8504</v>
      </c>
      <c r="B296" s="380" t="str">
        <f t="shared" si="4"/>
        <v>057-950</v>
      </c>
      <c r="C296">
        <v>0</v>
      </c>
    </row>
    <row r="297" spans="1:3" ht="14.5">
      <c r="A297" t="s">
        <v>5781</v>
      </c>
      <c r="B297" s="380" t="str">
        <f t="shared" si="4"/>
        <v>058-902</v>
      </c>
      <c r="C297">
        <v>0.93</v>
      </c>
    </row>
    <row r="298" spans="1:3" ht="14.5">
      <c r="A298" t="s">
        <v>4995</v>
      </c>
      <c r="B298" s="380" t="str">
        <f t="shared" si="4"/>
        <v>058-905</v>
      </c>
      <c r="C298">
        <v>0.93</v>
      </c>
    </row>
    <row r="299" spans="1:3" ht="14.5">
      <c r="A299" t="s">
        <v>5782</v>
      </c>
      <c r="B299" s="380" t="str">
        <f t="shared" si="4"/>
        <v>058-906</v>
      </c>
      <c r="C299">
        <v>0.93</v>
      </c>
    </row>
    <row r="300" spans="1:3" ht="14.5">
      <c r="A300" t="s">
        <v>4996</v>
      </c>
      <c r="B300" s="380" t="str">
        <f t="shared" si="4"/>
        <v>058-909</v>
      </c>
      <c r="C300">
        <v>0.93</v>
      </c>
    </row>
    <row r="301" spans="1:3" ht="14.5">
      <c r="A301" t="s">
        <v>3768</v>
      </c>
      <c r="B301" s="380" t="str">
        <f t="shared" si="4"/>
        <v>059-901</v>
      </c>
      <c r="C301">
        <v>0.93</v>
      </c>
    </row>
    <row r="302" spans="1:3" ht="14.5">
      <c r="A302" t="s">
        <v>5783</v>
      </c>
      <c r="B302" s="380" t="str">
        <f t="shared" si="4"/>
        <v>059-902</v>
      </c>
      <c r="C302">
        <v>0.93</v>
      </c>
    </row>
    <row r="303" spans="1:3" ht="14.5">
      <c r="A303" t="s">
        <v>2958</v>
      </c>
      <c r="B303" s="380" t="str">
        <f t="shared" si="4"/>
        <v>060-902</v>
      </c>
      <c r="C303">
        <v>0.93</v>
      </c>
    </row>
    <row r="304" spans="1:3" ht="14.5">
      <c r="A304" t="s">
        <v>2959</v>
      </c>
      <c r="B304" s="380" t="str">
        <f t="shared" si="4"/>
        <v>060-914</v>
      </c>
      <c r="C304">
        <v>0.93</v>
      </c>
    </row>
    <row r="305" spans="1:3" ht="14.5">
      <c r="A305" t="s">
        <v>7984</v>
      </c>
      <c r="B305" s="380" t="str">
        <f t="shared" si="4"/>
        <v>061-501</v>
      </c>
      <c r="C305">
        <v>0</v>
      </c>
    </row>
    <row r="306" spans="1:3" ht="14.5">
      <c r="A306" t="s">
        <v>7986</v>
      </c>
      <c r="B306" s="380" t="str">
        <f t="shared" si="4"/>
        <v>061-802</v>
      </c>
      <c r="C306">
        <v>0</v>
      </c>
    </row>
    <row r="307" spans="1:3" ht="14.5">
      <c r="A307" t="s">
        <v>7987</v>
      </c>
      <c r="B307" s="380" t="str">
        <f t="shared" si="4"/>
        <v>061-804</v>
      </c>
      <c r="C307">
        <v>0</v>
      </c>
    </row>
    <row r="308" spans="1:3" ht="14.5">
      <c r="A308" t="s">
        <v>7988</v>
      </c>
      <c r="B308" s="380" t="str">
        <f t="shared" si="4"/>
        <v>061-805</v>
      </c>
      <c r="C308">
        <v>0</v>
      </c>
    </row>
    <row r="309" spans="1:3" ht="14.5">
      <c r="A309" t="s">
        <v>4997</v>
      </c>
      <c r="B309" s="380" t="str">
        <f t="shared" si="4"/>
        <v>061-901</v>
      </c>
      <c r="C309">
        <v>0.93</v>
      </c>
    </row>
    <row r="310" spans="1:3" ht="14.5">
      <c r="A310" t="s">
        <v>2960</v>
      </c>
      <c r="B310" s="380" t="str">
        <f t="shared" si="4"/>
        <v>061-902</v>
      </c>
      <c r="C310">
        <v>0.93</v>
      </c>
    </row>
    <row r="311" spans="1:3" ht="14.5">
      <c r="A311" t="s">
        <v>3776</v>
      </c>
      <c r="B311" s="380" t="str">
        <f t="shared" si="4"/>
        <v>061-903</v>
      </c>
      <c r="C311">
        <v>0.93</v>
      </c>
    </row>
    <row r="312" spans="1:3" ht="14.5">
      <c r="A312" t="s">
        <v>2961</v>
      </c>
      <c r="B312" s="380" t="str">
        <f t="shared" si="4"/>
        <v>061-905</v>
      </c>
      <c r="C312">
        <v>0.93</v>
      </c>
    </row>
    <row r="313" spans="1:3" ht="14.5">
      <c r="A313" t="s">
        <v>2962</v>
      </c>
      <c r="B313" s="380" t="str">
        <f t="shared" si="4"/>
        <v>061-906</v>
      </c>
      <c r="C313">
        <v>0.93</v>
      </c>
    </row>
    <row r="314" spans="1:3" ht="14.5">
      <c r="A314" t="s">
        <v>2963</v>
      </c>
      <c r="B314" s="380" t="str">
        <f t="shared" si="4"/>
        <v>061-907</v>
      </c>
      <c r="C314">
        <v>0.93</v>
      </c>
    </row>
    <row r="315" spans="1:3" ht="14.5">
      <c r="A315" t="s">
        <v>2964</v>
      </c>
      <c r="B315" s="380" t="str">
        <f t="shared" si="4"/>
        <v>061-908</v>
      </c>
      <c r="C315">
        <v>0.93</v>
      </c>
    </row>
    <row r="316" spans="1:3" ht="14.5">
      <c r="A316" t="s">
        <v>4998</v>
      </c>
      <c r="B316" s="380" t="str">
        <f t="shared" si="4"/>
        <v>061-910</v>
      </c>
      <c r="C316">
        <v>0.93</v>
      </c>
    </row>
    <row r="317" spans="1:3" ht="14.5">
      <c r="A317" t="s">
        <v>2965</v>
      </c>
      <c r="B317" s="380" t="str">
        <f t="shared" si="4"/>
        <v>061-911</v>
      </c>
      <c r="C317">
        <v>0.93</v>
      </c>
    </row>
    <row r="318" spans="1:3" ht="14.5">
      <c r="A318" t="s">
        <v>2966</v>
      </c>
      <c r="B318" s="380" t="str">
        <f t="shared" si="4"/>
        <v>061-912</v>
      </c>
      <c r="C318">
        <v>0.93</v>
      </c>
    </row>
    <row r="319" spans="1:3" ht="14.5">
      <c r="A319" t="s">
        <v>2967</v>
      </c>
      <c r="B319" s="380" t="str">
        <f t="shared" si="4"/>
        <v>061-914</v>
      </c>
      <c r="C319">
        <v>0.93</v>
      </c>
    </row>
    <row r="320" spans="1:3" ht="14.5">
      <c r="A320" t="s">
        <v>2968</v>
      </c>
      <c r="B320" s="380" t="str">
        <f t="shared" si="4"/>
        <v>062-901</v>
      </c>
      <c r="C320">
        <v>0.93</v>
      </c>
    </row>
    <row r="321" spans="1:3" ht="14.5">
      <c r="A321" t="s">
        <v>4999</v>
      </c>
      <c r="B321" s="380" t="str">
        <f t="shared" si="4"/>
        <v>062-902</v>
      </c>
      <c r="C321">
        <v>0.93</v>
      </c>
    </row>
    <row r="322" spans="1:3" ht="14.5">
      <c r="A322" t="s">
        <v>2969</v>
      </c>
      <c r="B322" s="380" t="str">
        <f t="shared" si="4"/>
        <v>062-903</v>
      </c>
      <c r="C322">
        <v>0.93</v>
      </c>
    </row>
    <row r="323" spans="1:3" ht="14.5">
      <c r="A323" t="s">
        <v>5000</v>
      </c>
      <c r="B323" s="380" t="str">
        <f t="shared" ref="B323:B386" si="5">CONCATENATE(LEFT(RIGHT(CONCATENATE("000",A323),6),3),"-",(RIGHT(RIGHT(CONCATENATE("000",A323),6),3)))</f>
        <v>062-904</v>
      </c>
      <c r="C323">
        <v>0.93</v>
      </c>
    </row>
    <row r="324" spans="1:3" ht="14.5">
      <c r="A324" t="s">
        <v>5784</v>
      </c>
      <c r="B324" s="380" t="str">
        <f t="shared" si="5"/>
        <v>062-905</v>
      </c>
      <c r="C324">
        <v>0.93</v>
      </c>
    </row>
    <row r="325" spans="1:3" ht="14.5">
      <c r="A325" t="s">
        <v>5785</v>
      </c>
      <c r="B325" s="380" t="str">
        <f t="shared" si="5"/>
        <v>062-906</v>
      </c>
      <c r="C325">
        <v>0.93</v>
      </c>
    </row>
    <row r="326" spans="1:3" ht="14.5">
      <c r="A326" t="s">
        <v>5001</v>
      </c>
      <c r="B326" s="380" t="str">
        <f t="shared" si="5"/>
        <v>063-903</v>
      </c>
      <c r="C326">
        <v>0.93</v>
      </c>
    </row>
    <row r="327" spans="1:3" ht="14.5">
      <c r="A327" t="s">
        <v>5786</v>
      </c>
      <c r="B327" s="380" t="str">
        <f t="shared" si="5"/>
        <v>063-906</v>
      </c>
      <c r="C327">
        <v>0.93</v>
      </c>
    </row>
    <row r="328" spans="1:3" ht="14.5">
      <c r="A328" t="s">
        <v>2970</v>
      </c>
      <c r="B328" s="380" t="str">
        <f t="shared" si="5"/>
        <v>064-903</v>
      </c>
      <c r="C328">
        <v>0.93</v>
      </c>
    </row>
    <row r="329" spans="1:3" ht="14.5">
      <c r="A329" t="s">
        <v>5787</v>
      </c>
      <c r="B329" s="380" t="str">
        <f t="shared" si="5"/>
        <v>065-901</v>
      </c>
      <c r="C329">
        <v>0.93</v>
      </c>
    </row>
    <row r="330" spans="1:3" ht="14.5">
      <c r="A330" t="s">
        <v>2971</v>
      </c>
      <c r="B330" s="380" t="str">
        <f t="shared" si="5"/>
        <v>065-902</v>
      </c>
      <c r="C330">
        <v>0.93</v>
      </c>
    </row>
    <row r="331" spans="1:3" ht="14.5">
      <c r="A331" t="s">
        <v>5788</v>
      </c>
      <c r="B331" s="380" t="str">
        <f t="shared" si="5"/>
        <v>066-005</v>
      </c>
      <c r="C331">
        <v>0.93</v>
      </c>
    </row>
    <row r="332" spans="1:3" ht="14.5">
      <c r="A332" t="s">
        <v>5002</v>
      </c>
      <c r="B332" s="380" t="str">
        <f t="shared" si="5"/>
        <v>066-901</v>
      </c>
      <c r="C332">
        <v>0.93</v>
      </c>
    </row>
    <row r="333" spans="1:3" ht="14.5">
      <c r="A333" t="s">
        <v>2972</v>
      </c>
      <c r="B333" s="380" t="str">
        <f t="shared" si="5"/>
        <v>066-902</v>
      </c>
      <c r="C333">
        <v>0.93</v>
      </c>
    </row>
    <row r="334" spans="1:3" ht="14.5">
      <c r="A334" t="s">
        <v>5003</v>
      </c>
      <c r="B334" s="380" t="str">
        <f t="shared" si="5"/>
        <v>066-903</v>
      </c>
      <c r="C334">
        <v>0.93</v>
      </c>
    </row>
    <row r="335" spans="1:3" ht="14.5">
      <c r="A335" t="s">
        <v>3827</v>
      </c>
      <c r="B335" s="380" t="str">
        <f t="shared" si="5"/>
        <v>067-902</v>
      </c>
      <c r="C335">
        <v>0.9355</v>
      </c>
    </row>
    <row r="336" spans="1:3" ht="14.5">
      <c r="A336" t="s">
        <v>5789</v>
      </c>
      <c r="B336" s="380" t="str">
        <f t="shared" si="5"/>
        <v>067-903</v>
      </c>
      <c r="C336">
        <v>0.93</v>
      </c>
    </row>
    <row r="337" spans="1:3" ht="14.5">
      <c r="A337" t="s">
        <v>5004</v>
      </c>
      <c r="B337" s="380" t="str">
        <f t="shared" si="5"/>
        <v>067-904</v>
      </c>
      <c r="C337">
        <v>0.93</v>
      </c>
    </row>
    <row r="338" spans="1:3" ht="14.5">
      <c r="A338" t="s">
        <v>5790</v>
      </c>
      <c r="B338" s="380" t="str">
        <f t="shared" si="5"/>
        <v>067-907</v>
      </c>
      <c r="C338">
        <v>0.93</v>
      </c>
    </row>
    <row r="339" spans="1:3" ht="14.5">
      <c r="A339" t="s">
        <v>5791</v>
      </c>
      <c r="B339" s="380" t="str">
        <f t="shared" si="5"/>
        <v>067-908</v>
      </c>
      <c r="C339">
        <v>0.93</v>
      </c>
    </row>
    <row r="340" spans="1:3" ht="14.5">
      <c r="A340" t="s">
        <v>7989</v>
      </c>
      <c r="B340" s="380" t="str">
        <f t="shared" si="5"/>
        <v>068-802</v>
      </c>
      <c r="C340">
        <v>0</v>
      </c>
    </row>
    <row r="341" spans="1:3" ht="14.5">
      <c r="A341" t="s">
        <v>7990</v>
      </c>
      <c r="B341" s="380" t="str">
        <f t="shared" si="5"/>
        <v>068-803</v>
      </c>
      <c r="C341">
        <v>0</v>
      </c>
    </row>
    <row r="342" spans="1:3" ht="14.5">
      <c r="A342" t="s">
        <v>5005</v>
      </c>
      <c r="B342" s="380" t="str">
        <f t="shared" si="5"/>
        <v>068-901</v>
      </c>
      <c r="C342">
        <v>0.93</v>
      </c>
    </row>
    <row r="343" spans="1:3" ht="14.5">
      <c r="A343" t="s">
        <v>5006</v>
      </c>
      <c r="B343" s="380" t="str">
        <f t="shared" si="5"/>
        <v>069-901</v>
      </c>
      <c r="C343">
        <v>0.93</v>
      </c>
    </row>
    <row r="344" spans="1:3" ht="14.5">
      <c r="A344" t="s">
        <v>5792</v>
      </c>
      <c r="B344" s="380" t="str">
        <f t="shared" si="5"/>
        <v>069-902</v>
      </c>
      <c r="C344">
        <v>0.93</v>
      </c>
    </row>
    <row r="345" spans="1:3" ht="14.5">
      <c r="A345" t="s">
        <v>7991</v>
      </c>
      <c r="B345" s="380" t="str">
        <f t="shared" si="5"/>
        <v>070-801</v>
      </c>
      <c r="C345">
        <v>0</v>
      </c>
    </row>
    <row r="346" spans="1:3" ht="14.5">
      <c r="A346" t="s">
        <v>2973</v>
      </c>
      <c r="B346" s="380" t="str">
        <f t="shared" si="5"/>
        <v>070-901</v>
      </c>
      <c r="C346">
        <v>0.93</v>
      </c>
    </row>
    <row r="347" spans="1:3" ht="14.5">
      <c r="A347" t="s">
        <v>5007</v>
      </c>
      <c r="B347" s="380" t="str">
        <f t="shared" si="5"/>
        <v>070-903</v>
      </c>
      <c r="C347">
        <v>0.93</v>
      </c>
    </row>
    <row r="348" spans="1:3" ht="14.5">
      <c r="A348" t="s">
        <v>2974</v>
      </c>
      <c r="B348" s="380" t="str">
        <f t="shared" si="5"/>
        <v>070-905</v>
      </c>
      <c r="C348">
        <v>0.93</v>
      </c>
    </row>
    <row r="349" spans="1:3" ht="14.5">
      <c r="A349" t="s">
        <v>2975</v>
      </c>
      <c r="B349" s="380" t="str">
        <f t="shared" si="5"/>
        <v>070-907</v>
      </c>
      <c r="C349">
        <v>0.93</v>
      </c>
    </row>
    <row r="350" spans="1:3" ht="14.5">
      <c r="A350" t="s">
        <v>5008</v>
      </c>
      <c r="B350" s="380" t="str">
        <f t="shared" si="5"/>
        <v>070-908</v>
      </c>
      <c r="C350">
        <v>0.93</v>
      </c>
    </row>
    <row r="351" spans="1:3" ht="14.5">
      <c r="A351" t="s">
        <v>5793</v>
      </c>
      <c r="B351" s="380" t="str">
        <f t="shared" si="5"/>
        <v>070-909</v>
      </c>
      <c r="C351">
        <v>0.93</v>
      </c>
    </row>
    <row r="352" spans="1:3" ht="14.5">
      <c r="A352" t="s">
        <v>2976</v>
      </c>
      <c r="B352" s="380" t="str">
        <f t="shared" si="5"/>
        <v>070-910</v>
      </c>
      <c r="C352">
        <v>0.93</v>
      </c>
    </row>
    <row r="353" spans="1:3" ht="14.5">
      <c r="A353" t="s">
        <v>2977</v>
      </c>
      <c r="B353" s="380" t="str">
        <f t="shared" si="5"/>
        <v>070-911</v>
      </c>
      <c r="C353">
        <v>0.93</v>
      </c>
    </row>
    <row r="354" spans="1:3" ht="14.5">
      <c r="A354" t="s">
        <v>2978</v>
      </c>
      <c r="B354" s="380" t="str">
        <f t="shared" si="5"/>
        <v>070-912</v>
      </c>
      <c r="C354">
        <v>0.93</v>
      </c>
    </row>
    <row r="355" spans="1:3" ht="14.5">
      <c r="A355" t="s">
        <v>2979</v>
      </c>
      <c r="B355" s="380" t="str">
        <f t="shared" si="5"/>
        <v>070-915</v>
      </c>
      <c r="C355">
        <v>0.93</v>
      </c>
    </row>
    <row r="356" spans="1:3" ht="14.5">
      <c r="A356" t="s">
        <v>7992</v>
      </c>
      <c r="B356" s="380" t="str">
        <f t="shared" si="5"/>
        <v>071-801</v>
      </c>
      <c r="C356">
        <v>0</v>
      </c>
    </row>
    <row r="357" spans="1:3" ht="14.5">
      <c r="A357" t="s">
        <v>7993</v>
      </c>
      <c r="B357" s="380" t="str">
        <f t="shared" si="5"/>
        <v>071-803</v>
      </c>
      <c r="C357">
        <v>0</v>
      </c>
    </row>
    <row r="358" spans="1:3" ht="14.5">
      <c r="A358" t="s">
        <v>7994</v>
      </c>
      <c r="B358" s="380" t="str">
        <f t="shared" si="5"/>
        <v>071-804</v>
      </c>
      <c r="C358">
        <v>0</v>
      </c>
    </row>
    <row r="359" spans="1:3" ht="14.5">
      <c r="A359" t="s">
        <v>7995</v>
      </c>
      <c r="B359" s="380" t="str">
        <f t="shared" si="5"/>
        <v>071-806</v>
      </c>
      <c r="C359">
        <v>0</v>
      </c>
    </row>
    <row r="360" spans="1:3" ht="14.5">
      <c r="A360" t="s">
        <v>7996</v>
      </c>
      <c r="B360" s="380" t="str">
        <f t="shared" si="5"/>
        <v>071-807</v>
      </c>
      <c r="C360">
        <v>0</v>
      </c>
    </row>
    <row r="361" spans="1:3" ht="14.5">
      <c r="A361" t="s">
        <v>7997</v>
      </c>
      <c r="B361" s="380" t="str">
        <f t="shared" si="5"/>
        <v>071-809</v>
      </c>
      <c r="C361">
        <v>0</v>
      </c>
    </row>
    <row r="362" spans="1:3" ht="14.5">
      <c r="A362" t="s">
        <v>7998</v>
      </c>
      <c r="B362" s="380" t="str">
        <f t="shared" si="5"/>
        <v>071-810</v>
      </c>
      <c r="C362">
        <v>0</v>
      </c>
    </row>
    <row r="363" spans="1:3" ht="14.5">
      <c r="A363" t="s">
        <v>2980</v>
      </c>
      <c r="B363" s="380" t="str">
        <f t="shared" si="5"/>
        <v>071-901</v>
      </c>
      <c r="C363">
        <v>0.93</v>
      </c>
    </row>
    <row r="364" spans="1:3" ht="14.5">
      <c r="A364" t="s">
        <v>2981</v>
      </c>
      <c r="B364" s="380" t="str">
        <f t="shared" si="5"/>
        <v>071-902</v>
      </c>
      <c r="C364">
        <v>0.93</v>
      </c>
    </row>
    <row r="365" spans="1:3" ht="14.5">
      <c r="A365" t="s">
        <v>2982</v>
      </c>
      <c r="B365" s="380" t="str">
        <f t="shared" si="5"/>
        <v>071-903</v>
      </c>
      <c r="C365">
        <v>0.93</v>
      </c>
    </row>
    <row r="366" spans="1:3" ht="14.5">
      <c r="A366" t="s">
        <v>3862</v>
      </c>
      <c r="B366" s="380" t="str">
        <f t="shared" si="5"/>
        <v>071-904</v>
      </c>
      <c r="C366">
        <v>0.93</v>
      </c>
    </row>
    <row r="367" spans="1:3" ht="14.5">
      <c r="A367" t="s">
        <v>3867</v>
      </c>
      <c r="B367" s="380" t="str">
        <f t="shared" si="5"/>
        <v>071-905</v>
      </c>
      <c r="C367">
        <v>0.93</v>
      </c>
    </row>
    <row r="368" spans="1:3" ht="14.5">
      <c r="A368" t="s">
        <v>2983</v>
      </c>
      <c r="B368" s="380" t="str">
        <f t="shared" si="5"/>
        <v>071-906</v>
      </c>
      <c r="C368">
        <v>0.93</v>
      </c>
    </row>
    <row r="369" spans="1:3" ht="14.5">
      <c r="A369" t="s">
        <v>2984</v>
      </c>
      <c r="B369" s="380" t="str">
        <f t="shared" si="5"/>
        <v>071-907</v>
      </c>
      <c r="C369">
        <v>0.93</v>
      </c>
    </row>
    <row r="370" spans="1:3" ht="14.5">
      <c r="A370" t="s">
        <v>2985</v>
      </c>
      <c r="B370" s="380" t="str">
        <f t="shared" si="5"/>
        <v>071-908</v>
      </c>
      <c r="C370">
        <v>0.93</v>
      </c>
    </row>
    <row r="371" spans="1:3" ht="14.5">
      <c r="A371" t="s">
        <v>2986</v>
      </c>
      <c r="B371" s="380" t="str">
        <f t="shared" si="5"/>
        <v>071-909</v>
      </c>
      <c r="C371">
        <v>0.93</v>
      </c>
    </row>
    <row r="372" spans="1:3" ht="14.5">
      <c r="A372" t="s">
        <v>8505</v>
      </c>
      <c r="B372" s="380" t="str">
        <f t="shared" si="5"/>
        <v>071-950</v>
      </c>
      <c r="C372">
        <v>0</v>
      </c>
    </row>
    <row r="373" spans="1:3" ht="14.5">
      <c r="A373" t="s">
        <v>7999</v>
      </c>
      <c r="B373" s="380" t="str">
        <f t="shared" si="5"/>
        <v>072-801</v>
      </c>
      <c r="C373">
        <v>0</v>
      </c>
    </row>
    <row r="374" spans="1:3" ht="14.5">
      <c r="A374" t="s">
        <v>8000</v>
      </c>
      <c r="B374" s="380" t="str">
        <f t="shared" si="5"/>
        <v>072-802</v>
      </c>
      <c r="C374">
        <v>0</v>
      </c>
    </row>
    <row r="375" spans="1:3" ht="14.5">
      <c r="A375" t="s">
        <v>5794</v>
      </c>
      <c r="B375" s="380" t="str">
        <f t="shared" si="5"/>
        <v>072-901</v>
      </c>
      <c r="C375">
        <v>0.93</v>
      </c>
    </row>
    <row r="376" spans="1:3" ht="14.5">
      <c r="A376" t="s">
        <v>5009</v>
      </c>
      <c r="B376" s="380" t="str">
        <f t="shared" si="5"/>
        <v>072-902</v>
      </c>
      <c r="C376">
        <v>0.93</v>
      </c>
    </row>
    <row r="377" spans="1:3" ht="14.5">
      <c r="A377" t="s">
        <v>2987</v>
      </c>
      <c r="B377" s="380" t="str">
        <f t="shared" si="5"/>
        <v>072-903</v>
      </c>
      <c r="C377">
        <v>0.93</v>
      </c>
    </row>
    <row r="378" spans="1:3" ht="14.5">
      <c r="A378" t="s">
        <v>5010</v>
      </c>
      <c r="B378" s="380" t="str">
        <f t="shared" si="5"/>
        <v>072-904</v>
      </c>
      <c r="C378">
        <v>0.93</v>
      </c>
    </row>
    <row r="379" spans="1:3" ht="14.5">
      <c r="A379" t="s">
        <v>5795</v>
      </c>
      <c r="B379" s="380" t="str">
        <f t="shared" si="5"/>
        <v>072-908</v>
      </c>
      <c r="C379">
        <v>0.93</v>
      </c>
    </row>
    <row r="380" spans="1:3" ht="14.5">
      <c r="A380" t="s">
        <v>2988</v>
      </c>
      <c r="B380" s="380" t="str">
        <f t="shared" si="5"/>
        <v>072-909</v>
      </c>
      <c r="C380">
        <v>0.93</v>
      </c>
    </row>
    <row r="381" spans="1:3" ht="14.5">
      <c r="A381" t="s">
        <v>5796</v>
      </c>
      <c r="B381" s="380" t="str">
        <f t="shared" si="5"/>
        <v>072-910</v>
      </c>
      <c r="C381">
        <v>0.93</v>
      </c>
    </row>
    <row r="382" spans="1:3" ht="14.5">
      <c r="A382" t="s">
        <v>5011</v>
      </c>
      <c r="B382" s="380" t="str">
        <f t="shared" si="5"/>
        <v>073-901</v>
      </c>
      <c r="C382">
        <v>0.93</v>
      </c>
    </row>
    <row r="383" spans="1:3" ht="14.5">
      <c r="A383" t="s">
        <v>3901</v>
      </c>
      <c r="B383" s="380" t="str">
        <f t="shared" si="5"/>
        <v>073-903</v>
      </c>
      <c r="C383">
        <v>0.93</v>
      </c>
    </row>
    <row r="384" spans="1:3" ht="14.5">
      <c r="A384" t="s">
        <v>3903</v>
      </c>
      <c r="B384" s="380" t="str">
        <f t="shared" si="5"/>
        <v>073-904</v>
      </c>
      <c r="C384">
        <v>0.93</v>
      </c>
    </row>
    <row r="385" spans="1:3" ht="14.5">
      <c r="A385" t="s">
        <v>5797</v>
      </c>
      <c r="B385" s="380" t="str">
        <f t="shared" si="5"/>
        <v>073-905</v>
      </c>
      <c r="C385">
        <v>0.93</v>
      </c>
    </row>
    <row r="386" spans="1:3" ht="14.5">
      <c r="A386" t="s">
        <v>5012</v>
      </c>
      <c r="B386" s="380" t="str">
        <f t="shared" si="5"/>
        <v>074-903</v>
      </c>
      <c r="C386">
        <v>0.93</v>
      </c>
    </row>
    <row r="387" spans="1:3" ht="14.5">
      <c r="A387" t="s">
        <v>2989</v>
      </c>
      <c r="B387" s="380" t="str">
        <f t="shared" ref="B387:B450" si="6">CONCATENATE(LEFT(RIGHT(CONCATENATE("000",A387),6),3),"-",(RIGHT(RIGHT(CONCATENATE("000",A387),6),3)))</f>
        <v>074-904</v>
      </c>
      <c r="C387">
        <v>0.93</v>
      </c>
    </row>
    <row r="388" spans="1:3" ht="14.5">
      <c r="A388" t="s">
        <v>2990</v>
      </c>
      <c r="B388" s="380" t="str">
        <f t="shared" si="6"/>
        <v>074-905</v>
      </c>
      <c r="C388">
        <v>0.93</v>
      </c>
    </row>
    <row r="389" spans="1:3" ht="14.5">
      <c r="A389" t="s">
        <v>2991</v>
      </c>
      <c r="B389" s="380" t="str">
        <f t="shared" si="6"/>
        <v>074-907</v>
      </c>
      <c r="C389">
        <v>0.93</v>
      </c>
    </row>
    <row r="390" spans="1:3" ht="14.5">
      <c r="A390" t="s">
        <v>5013</v>
      </c>
      <c r="B390" s="380" t="str">
        <f t="shared" si="6"/>
        <v>074-909</v>
      </c>
      <c r="C390">
        <v>0.93</v>
      </c>
    </row>
    <row r="391" spans="1:3" ht="14.5">
      <c r="A391" t="s">
        <v>5014</v>
      </c>
      <c r="B391" s="380" t="str">
        <f t="shared" si="6"/>
        <v>074-911</v>
      </c>
      <c r="C391">
        <v>0.93</v>
      </c>
    </row>
    <row r="392" spans="1:3" ht="14.5">
      <c r="A392" t="s">
        <v>2992</v>
      </c>
      <c r="B392" s="380" t="str">
        <f t="shared" si="6"/>
        <v>074-912</v>
      </c>
      <c r="C392">
        <v>0.93</v>
      </c>
    </row>
    <row r="393" spans="1:3" ht="14.5">
      <c r="A393" t="s">
        <v>2993</v>
      </c>
      <c r="B393" s="380" t="str">
        <f t="shared" si="6"/>
        <v>074-917</v>
      </c>
      <c r="C393">
        <v>0.93</v>
      </c>
    </row>
    <row r="394" spans="1:3" ht="14.5">
      <c r="A394" t="s">
        <v>5015</v>
      </c>
      <c r="B394" s="380" t="str">
        <f t="shared" si="6"/>
        <v>075-901</v>
      </c>
      <c r="C394">
        <v>0.93</v>
      </c>
    </row>
    <row r="395" spans="1:3" ht="14.5">
      <c r="A395" t="s">
        <v>5798</v>
      </c>
      <c r="B395" s="380" t="str">
        <f t="shared" si="6"/>
        <v>075-902</v>
      </c>
      <c r="C395">
        <v>0.93</v>
      </c>
    </row>
    <row r="396" spans="1:3" ht="14.5">
      <c r="A396" t="s">
        <v>5016</v>
      </c>
      <c r="B396" s="380" t="str">
        <f t="shared" si="6"/>
        <v>075-903</v>
      </c>
      <c r="C396">
        <v>0.93</v>
      </c>
    </row>
    <row r="397" spans="1:3" ht="14.5">
      <c r="A397" t="s">
        <v>5799</v>
      </c>
      <c r="B397" s="380" t="str">
        <f t="shared" si="6"/>
        <v>075-906</v>
      </c>
      <c r="C397">
        <v>0.93</v>
      </c>
    </row>
    <row r="398" spans="1:3" ht="14.5">
      <c r="A398" t="s">
        <v>5017</v>
      </c>
      <c r="B398" s="380" t="str">
        <f t="shared" si="6"/>
        <v>075-908</v>
      </c>
      <c r="C398">
        <v>0.93</v>
      </c>
    </row>
    <row r="399" spans="1:3" ht="14.5">
      <c r="A399" t="s">
        <v>5800</v>
      </c>
      <c r="B399" s="380" t="str">
        <f t="shared" si="6"/>
        <v>076-903</v>
      </c>
      <c r="C399">
        <v>0.93</v>
      </c>
    </row>
    <row r="400" spans="1:3" ht="14.5">
      <c r="A400" t="s">
        <v>2994</v>
      </c>
      <c r="B400" s="380" t="str">
        <f t="shared" si="6"/>
        <v>076-904</v>
      </c>
      <c r="C400">
        <v>0.93</v>
      </c>
    </row>
    <row r="401" spans="1:3" ht="14.5">
      <c r="A401" t="s">
        <v>5018</v>
      </c>
      <c r="B401" s="380" t="str">
        <f t="shared" si="6"/>
        <v>077-901</v>
      </c>
      <c r="C401">
        <v>0.93</v>
      </c>
    </row>
    <row r="402" spans="1:3" ht="14.5">
      <c r="A402" t="s">
        <v>5801</v>
      </c>
      <c r="B402" s="380" t="str">
        <f t="shared" si="6"/>
        <v>077-902</v>
      </c>
      <c r="C402">
        <v>0.93</v>
      </c>
    </row>
    <row r="403" spans="1:3" ht="14.5">
      <c r="A403" t="s">
        <v>5802</v>
      </c>
      <c r="B403" s="380" t="str">
        <f t="shared" si="6"/>
        <v>078-901</v>
      </c>
      <c r="C403">
        <v>0.93</v>
      </c>
    </row>
    <row r="404" spans="1:3" ht="14.5">
      <c r="A404" t="s">
        <v>5019</v>
      </c>
      <c r="B404" s="380" t="str">
        <f t="shared" si="6"/>
        <v>079-901</v>
      </c>
      <c r="C404">
        <v>0.93</v>
      </c>
    </row>
    <row r="405" spans="1:3" ht="14.5">
      <c r="A405" t="s">
        <v>2995</v>
      </c>
      <c r="B405" s="380" t="str">
        <f t="shared" si="6"/>
        <v>079-906</v>
      </c>
      <c r="C405">
        <v>0.93</v>
      </c>
    </row>
    <row r="406" spans="1:3" ht="14.5">
      <c r="A406" t="s">
        <v>2996</v>
      </c>
      <c r="B406" s="380" t="str">
        <f t="shared" si="6"/>
        <v>079-907</v>
      </c>
      <c r="C406">
        <v>0.93</v>
      </c>
    </row>
    <row r="407" spans="1:3" ht="14.5">
      <c r="A407" t="s">
        <v>5020</v>
      </c>
      <c r="B407" s="380" t="str">
        <f t="shared" si="6"/>
        <v>079-910</v>
      </c>
      <c r="C407">
        <v>0.93</v>
      </c>
    </row>
    <row r="408" spans="1:3" ht="14.5">
      <c r="A408" t="s">
        <v>5021</v>
      </c>
      <c r="B408" s="380" t="str">
        <f t="shared" si="6"/>
        <v>080-901</v>
      </c>
      <c r="C408">
        <v>0.93</v>
      </c>
    </row>
    <row r="409" spans="1:3" ht="14.5">
      <c r="A409" t="s">
        <v>5022</v>
      </c>
      <c r="B409" s="380" t="str">
        <f t="shared" si="6"/>
        <v>081-902</v>
      </c>
      <c r="C409">
        <v>0.93</v>
      </c>
    </row>
    <row r="410" spans="1:3" ht="14.5">
      <c r="A410" t="s">
        <v>5023</v>
      </c>
      <c r="B410" s="380" t="str">
        <f t="shared" si="6"/>
        <v>081-904</v>
      </c>
      <c r="C410">
        <v>0.93</v>
      </c>
    </row>
    <row r="411" spans="1:3" ht="14.5">
      <c r="A411" t="s">
        <v>5024</v>
      </c>
      <c r="B411" s="380" t="str">
        <f t="shared" si="6"/>
        <v>081-905</v>
      </c>
      <c r="C411">
        <v>0.93</v>
      </c>
    </row>
    <row r="412" spans="1:3" ht="14.5">
      <c r="A412" t="s">
        <v>5025</v>
      </c>
      <c r="B412" s="380" t="str">
        <f t="shared" si="6"/>
        <v>081-906</v>
      </c>
      <c r="C412">
        <v>0.93</v>
      </c>
    </row>
    <row r="413" spans="1:3" ht="14.5">
      <c r="A413" t="s">
        <v>2997</v>
      </c>
      <c r="B413" s="380" t="str">
        <f t="shared" si="6"/>
        <v>082-902</v>
      </c>
      <c r="C413">
        <v>0.93</v>
      </c>
    </row>
    <row r="414" spans="1:3" ht="14.5">
      <c r="A414" t="s">
        <v>2998</v>
      </c>
      <c r="B414" s="380" t="str">
        <f t="shared" si="6"/>
        <v>082-903</v>
      </c>
      <c r="C414">
        <v>0.93</v>
      </c>
    </row>
    <row r="415" spans="1:3" ht="14.5">
      <c r="A415" t="s">
        <v>5026</v>
      </c>
      <c r="B415" s="380" t="str">
        <f t="shared" si="6"/>
        <v>083-901</v>
      </c>
      <c r="C415">
        <v>0.93</v>
      </c>
    </row>
    <row r="416" spans="1:3" ht="14.5">
      <c r="A416" t="s">
        <v>5027</v>
      </c>
      <c r="B416" s="380" t="str">
        <f t="shared" si="6"/>
        <v>083-902</v>
      </c>
      <c r="C416">
        <v>0.93</v>
      </c>
    </row>
    <row r="417" spans="1:3" ht="14.5">
      <c r="A417" t="s">
        <v>5028</v>
      </c>
      <c r="B417" s="380" t="str">
        <f t="shared" si="6"/>
        <v>083-903</v>
      </c>
      <c r="C417">
        <v>0.93</v>
      </c>
    </row>
    <row r="418" spans="1:3" ht="14.5">
      <c r="A418" t="s">
        <v>8001</v>
      </c>
      <c r="B418" s="380" t="str">
        <f t="shared" si="6"/>
        <v>084-802</v>
      </c>
      <c r="C418">
        <v>0</v>
      </c>
    </row>
    <row r="419" spans="1:3" ht="14.5">
      <c r="A419" t="s">
        <v>8002</v>
      </c>
      <c r="B419" s="380" t="str">
        <f t="shared" si="6"/>
        <v>084-804</v>
      </c>
      <c r="C419">
        <v>0</v>
      </c>
    </row>
    <row r="420" spans="1:3" ht="14.5">
      <c r="A420" t="s">
        <v>5029</v>
      </c>
      <c r="B420" s="380" t="str">
        <f t="shared" si="6"/>
        <v>084-901</v>
      </c>
      <c r="C420">
        <v>0.93</v>
      </c>
    </row>
    <row r="421" spans="1:3" ht="14.5">
      <c r="A421" t="s">
        <v>5030</v>
      </c>
      <c r="B421" s="380" t="str">
        <f t="shared" si="6"/>
        <v>084-902</v>
      </c>
      <c r="C421">
        <v>0.93</v>
      </c>
    </row>
    <row r="422" spans="1:3" ht="14.5">
      <c r="A422" t="s">
        <v>5031</v>
      </c>
      <c r="B422" s="380" t="str">
        <f t="shared" si="6"/>
        <v>084-903</v>
      </c>
      <c r="C422">
        <v>0.93</v>
      </c>
    </row>
    <row r="423" spans="1:3" ht="14.5">
      <c r="A423" t="s">
        <v>5032</v>
      </c>
      <c r="B423" s="380" t="str">
        <f t="shared" si="6"/>
        <v>084-906</v>
      </c>
      <c r="C423">
        <v>0.93</v>
      </c>
    </row>
    <row r="424" spans="1:3" ht="14.5">
      <c r="A424" t="s">
        <v>5033</v>
      </c>
      <c r="B424" s="380" t="str">
        <f t="shared" si="6"/>
        <v>084-908</v>
      </c>
      <c r="C424">
        <v>0.93</v>
      </c>
    </row>
    <row r="425" spans="1:3" ht="14.5">
      <c r="A425" t="s">
        <v>2999</v>
      </c>
      <c r="B425" s="380" t="str">
        <f t="shared" si="6"/>
        <v>084-909</v>
      </c>
      <c r="C425">
        <v>0.93</v>
      </c>
    </row>
    <row r="426" spans="1:3" ht="14.5">
      <c r="A426" t="s">
        <v>5034</v>
      </c>
      <c r="B426" s="380" t="str">
        <f t="shared" si="6"/>
        <v>084-910</v>
      </c>
      <c r="C426">
        <v>0.93</v>
      </c>
    </row>
    <row r="427" spans="1:3" ht="14.5">
      <c r="A427" t="s">
        <v>3000</v>
      </c>
      <c r="B427" s="380" t="str">
        <f t="shared" si="6"/>
        <v>084-911</v>
      </c>
      <c r="C427">
        <v>0.93</v>
      </c>
    </row>
    <row r="428" spans="1:3" ht="14.5">
      <c r="A428" t="s">
        <v>5035</v>
      </c>
      <c r="B428" s="380" t="str">
        <f t="shared" si="6"/>
        <v>085-902</v>
      </c>
      <c r="C428">
        <v>0.93</v>
      </c>
    </row>
    <row r="429" spans="1:3" ht="14.5">
      <c r="A429" t="s">
        <v>5803</v>
      </c>
      <c r="B429" s="380" t="str">
        <f t="shared" si="6"/>
        <v>085-903</v>
      </c>
      <c r="C429">
        <v>0.93</v>
      </c>
    </row>
    <row r="430" spans="1:3" ht="14.5">
      <c r="A430" t="s">
        <v>5804</v>
      </c>
      <c r="B430" s="380" t="str">
        <f t="shared" si="6"/>
        <v>086-024</v>
      </c>
      <c r="C430">
        <v>0.92670000000000008</v>
      </c>
    </row>
    <row r="431" spans="1:3" ht="14.5">
      <c r="A431" t="s">
        <v>5036</v>
      </c>
      <c r="B431" s="380" t="str">
        <f t="shared" si="6"/>
        <v>086-901</v>
      </c>
      <c r="C431">
        <v>0.93</v>
      </c>
    </row>
    <row r="432" spans="1:3" ht="14.5">
      <c r="A432" t="s">
        <v>5805</v>
      </c>
      <c r="B432" s="380" t="str">
        <f t="shared" si="6"/>
        <v>086-902</v>
      </c>
      <c r="C432">
        <v>0.93</v>
      </c>
    </row>
    <row r="433" spans="1:3" ht="14.5">
      <c r="A433" t="s">
        <v>5037</v>
      </c>
      <c r="B433" s="380" t="str">
        <f t="shared" si="6"/>
        <v>087-901</v>
      </c>
      <c r="C433">
        <v>0.93</v>
      </c>
    </row>
    <row r="434" spans="1:3" ht="14.5">
      <c r="A434" t="s">
        <v>5038</v>
      </c>
      <c r="B434" s="380" t="str">
        <f t="shared" si="6"/>
        <v>088-902</v>
      </c>
      <c r="C434">
        <v>0.93</v>
      </c>
    </row>
    <row r="435" spans="1:3" ht="14.5">
      <c r="A435" t="s">
        <v>3001</v>
      </c>
      <c r="B435" s="380" t="str">
        <f t="shared" si="6"/>
        <v>089-901</v>
      </c>
      <c r="C435">
        <v>0.93</v>
      </c>
    </row>
    <row r="436" spans="1:3" ht="14.5">
      <c r="A436" t="s">
        <v>5039</v>
      </c>
      <c r="B436" s="380" t="str">
        <f t="shared" si="6"/>
        <v>089-903</v>
      </c>
      <c r="C436">
        <v>0.93</v>
      </c>
    </row>
    <row r="437" spans="1:3" ht="14.5">
      <c r="A437" t="s">
        <v>5040</v>
      </c>
      <c r="B437" s="380" t="str">
        <f t="shared" si="6"/>
        <v>089-905</v>
      </c>
      <c r="C437">
        <v>0.93</v>
      </c>
    </row>
    <row r="438" spans="1:3" ht="14.5">
      <c r="A438" t="s">
        <v>5041</v>
      </c>
      <c r="B438" s="380" t="str">
        <f t="shared" si="6"/>
        <v>090-902</v>
      </c>
      <c r="C438">
        <v>0.93</v>
      </c>
    </row>
    <row r="439" spans="1:3" ht="14.5">
      <c r="A439" t="s">
        <v>5042</v>
      </c>
      <c r="B439" s="380" t="str">
        <f t="shared" si="6"/>
        <v>090-903</v>
      </c>
      <c r="C439">
        <v>0.93</v>
      </c>
    </row>
    <row r="440" spans="1:3" ht="14.5">
      <c r="A440" t="s">
        <v>3002</v>
      </c>
      <c r="B440" s="380" t="str">
        <f t="shared" si="6"/>
        <v>090-904</v>
      </c>
      <c r="C440">
        <v>0.93</v>
      </c>
    </row>
    <row r="441" spans="1:3" ht="14.5">
      <c r="A441" t="s">
        <v>5043</v>
      </c>
      <c r="B441" s="380" t="str">
        <f t="shared" si="6"/>
        <v>090-905</v>
      </c>
      <c r="C441">
        <v>0.93</v>
      </c>
    </row>
    <row r="442" spans="1:3" ht="14.5">
      <c r="A442" t="s">
        <v>3003</v>
      </c>
      <c r="B442" s="380" t="str">
        <f t="shared" si="6"/>
        <v>091-901</v>
      </c>
      <c r="C442">
        <v>0.93</v>
      </c>
    </row>
    <row r="443" spans="1:3" ht="14.5">
      <c r="A443" t="s">
        <v>3948</v>
      </c>
      <c r="B443" s="380" t="str">
        <f t="shared" si="6"/>
        <v>091-902</v>
      </c>
      <c r="C443">
        <v>0.93</v>
      </c>
    </row>
    <row r="444" spans="1:3" ht="14.5">
      <c r="A444" t="s">
        <v>5044</v>
      </c>
      <c r="B444" s="380" t="str">
        <f t="shared" si="6"/>
        <v>091-903</v>
      </c>
      <c r="C444">
        <v>0.93</v>
      </c>
    </row>
    <row r="445" spans="1:3" ht="14.5">
      <c r="A445" t="s">
        <v>3004</v>
      </c>
      <c r="B445" s="380" t="str">
        <f t="shared" si="6"/>
        <v>091-905</v>
      </c>
      <c r="C445">
        <v>0.93</v>
      </c>
    </row>
    <row r="446" spans="1:3" ht="14.5">
      <c r="A446" t="s">
        <v>3005</v>
      </c>
      <c r="B446" s="380" t="str">
        <f t="shared" si="6"/>
        <v>091-906</v>
      </c>
      <c r="C446">
        <v>0.93</v>
      </c>
    </row>
    <row r="447" spans="1:3" ht="14.5">
      <c r="A447" t="s">
        <v>5045</v>
      </c>
      <c r="B447" s="380" t="str">
        <f t="shared" si="6"/>
        <v>091-907</v>
      </c>
      <c r="C447">
        <v>0.93</v>
      </c>
    </row>
    <row r="448" spans="1:3" ht="14.5">
      <c r="A448" t="s">
        <v>3006</v>
      </c>
      <c r="B448" s="380" t="str">
        <f t="shared" si="6"/>
        <v>091-908</v>
      </c>
      <c r="C448">
        <v>0.93</v>
      </c>
    </row>
    <row r="449" spans="1:3" ht="14.5">
      <c r="A449" t="s">
        <v>3007</v>
      </c>
      <c r="B449" s="380" t="str">
        <f t="shared" si="6"/>
        <v>091-909</v>
      </c>
      <c r="C449">
        <v>0.93</v>
      </c>
    </row>
    <row r="450" spans="1:3" ht="14.5">
      <c r="A450" t="s">
        <v>5046</v>
      </c>
      <c r="B450" s="380" t="str">
        <f t="shared" si="6"/>
        <v>091-910</v>
      </c>
      <c r="C450">
        <v>0.93</v>
      </c>
    </row>
    <row r="451" spans="1:3" ht="14.5">
      <c r="A451" t="s">
        <v>3008</v>
      </c>
      <c r="B451" s="380" t="str">
        <f t="shared" ref="B451:B514" si="7">CONCATENATE(LEFT(RIGHT(CONCATENATE("000",A451),6),3),"-",(RIGHT(RIGHT(CONCATENATE("000",A451),6),3)))</f>
        <v>091-913</v>
      </c>
      <c r="C451">
        <v>0.93</v>
      </c>
    </row>
    <row r="452" spans="1:3" ht="14.5">
      <c r="A452" t="s">
        <v>5047</v>
      </c>
      <c r="B452" s="380" t="str">
        <f t="shared" si="7"/>
        <v>091-914</v>
      </c>
      <c r="C452">
        <v>0.93</v>
      </c>
    </row>
    <row r="453" spans="1:3" ht="14.5">
      <c r="A453" t="s">
        <v>3009</v>
      </c>
      <c r="B453" s="380" t="str">
        <f t="shared" si="7"/>
        <v>091-917</v>
      </c>
      <c r="C453">
        <v>0.93</v>
      </c>
    </row>
    <row r="454" spans="1:3" ht="14.5">
      <c r="A454" t="s">
        <v>5048</v>
      </c>
      <c r="B454" s="380" t="str">
        <f t="shared" si="7"/>
        <v>091-918</v>
      </c>
      <c r="C454">
        <v>0.93</v>
      </c>
    </row>
    <row r="455" spans="1:3" ht="14.5">
      <c r="A455" t="s">
        <v>8003</v>
      </c>
      <c r="B455" s="380" t="str">
        <f t="shared" si="7"/>
        <v>092-801</v>
      </c>
      <c r="C455">
        <v>0</v>
      </c>
    </row>
    <row r="456" spans="1:3" ht="14.5">
      <c r="A456" t="s">
        <v>5049</v>
      </c>
      <c r="B456" s="380" t="str">
        <f t="shared" si="7"/>
        <v>092-901</v>
      </c>
      <c r="C456">
        <v>0.93</v>
      </c>
    </row>
    <row r="457" spans="1:3" ht="14.5">
      <c r="A457" t="s">
        <v>5050</v>
      </c>
      <c r="B457" s="380" t="str">
        <f t="shared" si="7"/>
        <v>092-902</v>
      </c>
      <c r="C457">
        <v>0.93</v>
      </c>
    </row>
    <row r="458" spans="1:3" ht="14.5">
      <c r="A458" t="s">
        <v>3969</v>
      </c>
      <c r="B458" s="380" t="str">
        <f t="shared" si="7"/>
        <v>092-903</v>
      </c>
      <c r="C458">
        <v>0.93</v>
      </c>
    </row>
    <row r="459" spans="1:3" ht="14.5">
      <c r="A459" t="s">
        <v>5051</v>
      </c>
      <c r="B459" s="380" t="str">
        <f t="shared" si="7"/>
        <v>092-904</v>
      </c>
      <c r="C459">
        <v>0.93</v>
      </c>
    </row>
    <row r="460" spans="1:3" ht="14.5">
      <c r="A460" t="s">
        <v>5052</v>
      </c>
      <c r="B460" s="380" t="str">
        <f t="shared" si="7"/>
        <v>092-906</v>
      </c>
      <c r="C460">
        <v>0.93</v>
      </c>
    </row>
    <row r="461" spans="1:3" ht="14.5">
      <c r="A461" t="s">
        <v>3010</v>
      </c>
      <c r="B461" s="380" t="str">
        <f t="shared" si="7"/>
        <v>092-907</v>
      </c>
      <c r="C461">
        <v>0.93</v>
      </c>
    </row>
    <row r="462" spans="1:3" ht="14.5">
      <c r="A462" t="s">
        <v>5053</v>
      </c>
      <c r="B462" s="380" t="str">
        <f t="shared" si="7"/>
        <v>092-908</v>
      </c>
      <c r="C462">
        <v>0.93</v>
      </c>
    </row>
    <row r="463" spans="1:3" ht="14.5">
      <c r="A463" t="s">
        <v>8506</v>
      </c>
      <c r="B463" s="380" t="str">
        <f t="shared" si="7"/>
        <v>092-950</v>
      </c>
      <c r="C463">
        <v>0</v>
      </c>
    </row>
    <row r="464" spans="1:3" ht="14.5">
      <c r="A464" t="s">
        <v>5054</v>
      </c>
      <c r="B464" s="380" t="str">
        <f t="shared" si="7"/>
        <v>093-901</v>
      </c>
      <c r="C464">
        <v>0.93</v>
      </c>
    </row>
    <row r="465" spans="1:3" ht="14.5">
      <c r="A465" t="s">
        <v>3011</v>
      </c>
      <c r="B465" s="380" t="str">
        <f t="shared" si="7"/>
        <v>093-903</v>
      </c>
      <c r="C465">
        <v>0.93</v>
      </c>
    </row>
    <row r="466" spans="1:3" ht="14.5">
      <c r="A466" t="s">
        <v>5055</v>
      </c>
      <c r="B466" s="380" t="str">
        <f t="shared" si="7"/>
        <v>093-904</v>
      </c>
      <c r="C466">
        <v>0.93</v>
      </c>
    </row>
    <row r="467" spans="1:3" ht="14.5">
      <c r="A467" t="s">
        <v>5806</v>
      </c>
      <c r="B467" s="380" t="str">
        <f t="shared" si="7"/>
        <v>093-905</v>
      </c>
      <c r="C467">
        <v>0.93</v>
      </c>
    </row>
    <row r="468" spans="1:3" ht="14.5">
      <c r="A468" t="s">
        <v>3012</v>
      </c>
      <c r="B468" s="380" t="str">
        <f t="shared" si="7"/>
        <v>094-901</v>
      </c>
      <c r="C468">
        <v>0.93</v>
      </c>
    </row>
    <row r="469" spans="1:3" ht="14.5">
      <c r="A469" t="s">
        <v>3013</v>
      </c>
      <c r="B469" s="380" t="str">
        <f t="shared" si="7"/>
        <v>094-902</v>
      </c>
      <c r="C469">
        <v>0.93</v>
      </c>
    </row>
    <row r="470" spans="1:3" ht="14.5">
      <c r="A470" t="s">
        <v>3014</v>
      </c>
      <c r="B470" s="380" t="str">
        <f t="shared" si="7"/>
        <v>094-903</v>
      </c>
      <c r="C470">
        <v>0.93</v>
      </c>
    </row>
    <row r="471" spans="1:3" ht="14.5">
      <c r="A471" t="s">
        <v>3993</v>
      </c>
      <c r="B471" s="380" t="str">
        <f t="shared" si="7"/>
        <v>094-904</v>
      </c>
      <c r="C471">
        <v>0.93</v>
      </c>
    </row>
    <row r="472" spans="1:3" ht="14.5">
      <c r="A472" t="s">
        <v>5056</v>
      </c>
      <c r="B472" s="380" t="str">
        <f t="shared" si="7"/>
        <v>095-901</v>
      </c>
      <c r="C472">
        <v>0.93</v>
      </c>
    </row>
    <row r="473" spans="1:3" ht="14.5">
      <c r="A473" t="s">
        <v>5807</v>
      </c>
      <c r="B473" s="380" t="str">
        <f t="shared" si="7"/>
        <v>095-902</v>
      </c>
      <c r="C473">
        <v>0.93</v>
      </c>
    </row>
    <row r="474" spans="1:3" ht="14.5">
      <c r="A474" t="s">
        <v>5057</v>
      </c>
      <c r="B474" s="380" t="str">
        <f t="shared" si="7"/>
        <v>095-903</v>
      </c>
      <c r="C474">
        <v>0.93</v>
      </c>
    </row>
    <row r="475" spans="1:3" ht="14.5">
      <c r="A475" t="s">
        <v>5808</v>
      </c>
      <c r="B475" s="380" t="str">
        <f t="shared" si="7"/>
        <v>095-904</v>
      </c>
      <c r="C475">
        <v>0.93</v>
      </c>
    </row>
    <row r="476" spans="1:3" ht="14.5">
      <c r="A476" t="s">
        <v>5809</v>
      </c>
      <c r="B476" s="380" t="str">
        <f t="shared" si="7"/>
        <v>095-905</v>
      </c>
      <c r="C476">
        <v>0.93</v>
      </c>
    </row>
    <row r="477" spans="1:3" ht="14.5">
      <c r="A477" t="s">
        <v>5810</v>
      </c>
      <c r="B477" s="380" t="str">
        <f t="shared" si="7"/>
        <v>096-904</v>
      </c>
      <c r="C477">
        <v>0.93</v>
      </c>
    </row>
    <row r="478" spans="1:3" ht="14.5">
      <c r="A478" t="s">
        <v>5058</v>
      </c>
      <c r="B478" s="380" t="str">
        <f t="shared" si="7"/>
        <v>096-905</v>
      </c>
      <c r="C478">
        <v>0.93</v>
      </c>
    </row>
    <row r="479" spans="1:3" ht="14.5">
      <c r="A479" t="s">
        <v>5059</v>
      </c>
      <c r="B479" s="380" t="str">
        <f t="shared" si="7"/>
        <v>097-902</v>
      </c>
      <c r="C479">
        <v>0.93</v>
      </c>
    </row>
    <row r="480" spans="1:3" ht="14.5">
      <c r="A480" t="s">
        <v>3015</v>
      </c>
      <c r="B480" s="380" t="str">
        <f t="shared" si="7"/>
        <v>097-903</v>
      </c>
      <c r="C480">
        <v>0.93</v>
      </c>
    </row>
    <row r="481" spans="1:3" ht="14.5">
      <c r="A481" t="s">
        <v>5060</v>
      </c>
      <c r="B481" s="380" t="str">
        <f t="shared" si="7"/>
        <v>098-901</v>
      </c>
      <c r="C481">
        <v>0.93</v>
      </c>
    </row>
    <row r="482" spans="1:3" ht="14.5">
      <c r="A482" t="s">
        <v>5061</v>
      </c>
      <c r="B482" s="380" t="str">
        <f t="shared" si="7"/>
        <v>098-903</v>
      </c>
      <c r="C482">
        <v>0.93</v>
      </c>
    </row>
    <row r="483" spans="1:3" ht="14.5">
      <c r="A483" t="s">
        <v>5062</v>
      </c>
      <c r="B483" s="380" t="str">
        <f t="shared" si="7"/>
        <v>098-904</v>
      </c>
      <c r="C483">
        <v>0.93</v>
      </c>
    </row>
    <row r="484" spans="1:3" ht="14.5">
      <c r="A484" t="s">
        <v>5063</v>
      </c>
      <c r="B484" s="380" t="str">
        <f t="shared" si="7"/>
        <v>099-902</v>
      </c>
      <c r="C484">
        <v>0.93</v>
      </c>
    </row>
    <row r="485" spans="1:3" ht="14.5">
      <c r="A485" t="s">
        <v>5811</v>
      </c>
      <c r="B485" s="380" t="str">
        <f t="shared" si="7"/>
        <v>099-903</v>
      </c>
      <c r="C485">
        <v>0.93</v>
      </c>
    </row>
    <row r="486" spans="1:3" ht="14.5">
      <c r="A486" t="s">
        <v>5064</v>
      </c>
      <c r="B486" s="380" t="str">
        <f t="shared" si="7"/>
        <v>100-903</v>
      </c>
      <c r="C486">
        <v>0.93</v>
      </c>
    </row>
    <row r="487" spans="1:3" ht="14.5">
      <c r="A487" t="s">
        <v>3016</v>
      </c>
      <c r="B487" s="380" t="str">
        <f t="shared" si="7"/>
        <v>100-904</v>
      </c>
      <c r="C487">
        <v>0.93</v>
      </c>
    </row>
    <row r="488" spans="1:3" ht="14.5">
      <c r="A488" t="s">
        <v>5065</v>
      </c>
      <c r="B488" s="380" t="str">
        <f t="shared" si="7"/>
        <v>100-905</v>
      </c>
      <c r="C488">
        <v>0.93</v>
      </c>
    </row>
    <row r="489" spans="1:3" ht="14.5">
      <c r="A489" t="s">
        <v>3017</v>
      </c>
      <c r="B489" s="380" t="str">
        <f t="shared" si="7"/>
        <v>100-907</v>
      </c>
      <c r="C489">
        <v>0.93</v>
      </c>
    </row>
    <row r="490" spans="1:3" ht="14.5">
      <c r="A490" t="s">
        <v>3018</v>
      </c>
      <c r="B490" s="380" t="str">
        <f t="shared" si="7"/>
        <v>100-908</v>
      </c>
      <c r="C490">
        <v>0.93</v>
      </c>
    </row>
    <row r="491" spans="1:3" ht="14.5">
      <c r="A491" t="s">
        <v>8507</v>
      </c>
      <c r="B491" s="380" t="str">
        <f t="shared" si="7"/>
        <v>101-000</v>
      </c>
      <c r="C491">
        <v>0</v>
      </c>
    </row>
    <row r="492" spans="1:3" ht="14.5">
      <c r="A492" t="s">
        <v>8004</v>
      </c>
      <c r="B492" s="380" t="str">
        <f t="shared" si="7"/>
        <v>101-802</v>
      </c>
      <c r="C492">
        <v>0</v>
      </c>
    </row>
    <row r="493" spans="1:3" ht="14.5">
      <c r="A493" t="s">
        <v>8005</v>
      </c>
      <c r="B493" s="380" t="str">
        <f t="shared" si="7"/>
        <v>101-803</v>
      </c>
      <c r="C493">
        <v>0</v>
      </c>
    </row>
    <row r="494" spans="1:3" ht="14.5">
      <c r="A494" t="s">
        <v>8006</v>
      </c>
      <c r="B494" s="380" t="str">
        <f t="shared" si="7"/>
        <v>101-804</v>
      </c>
      <c r="C494">
        <v>0</v>
      </c>
    </row>
    <row r="495" spans="1:3" ht="14.5">
      <c r="A495" t="s">
        <v>8007</v>
      </c>
      <c r="B495" s="380" t="str">
        <f t="shared" si="7"/>
        <v>101-806</v>
      </c>
      <c r="C495">
        <v>0</v>
      </c>
    </row>
    <row r="496" spans="1:3" ht="14.5">
      <c r="A496" t="s">
        <v>8008</v>
      </c>
      <c r="B496" s="380" t="str">
        <f t="shared" si="7"/>
        <v>101-807</v>
      </c>
      <c r="C496">
        <v>0</v>
      </c>
    </row>
    <row r="497" spans="1:3" ht="14.5">
      <c r="A497" t="s">
        <v>8009</v>
      </c>
      <c r="B497" s="380" t="str">
        <f t="shared" si="7"/>
        <v>101-810</v>
      </c>
      <c r="C497">
        <v>0</v>
      </c>
    </row>
    <row r="498" spans="1:3" ht="14.5">
      <c r="A498" t="s">
        <v>8010</v>
      </c>
      <c r="B498" s="380" t="str">
        <f t="shared" si="7"/>
        <v>101-811</v>
      </c>
      <c r="C498">
        <v>0</v>
      </c>
    </row>
    <row r="499" spans="1:3" ht="14.5">
      <c r="A499" t="s">
        <v>8011</v>
      </c>
      <c r="B499" s="380" t="str">
        <f t="shared" si="7"/>
        <v>101-814</v>
      </c>
      <c r="C499">
        <v>0</v>
      </c>
    </row>
    <row r="500" spans="1:3" ht="14.5">
      <c r="A500" t="s">
        <v>8012</v>
      </c>
      <c r="B500" s="380" t="str">
        <f t="shared" si="7"/>
        <v>101-815</v>
      </c>
      <c r="C500">
        <v>0</v>
      </c>
    </row>
    <row r="501" spans="1:3" ht="14.5">
      <c r="A501" t="s">
        <v>8013</v>
      </c>
      <c r="B501" s="380" t="str">
        <f t="shared" si="7"/>
        <v>101-819</v>
      </c>
      <c r="C501">
        <v>0</v>
      </c>
    </row>
    <row r="502" spans="1:3" ht="14.5">
      <c r="A502" t="s">
        <v>8014</v>
      </c>
      <c r="B502" s="380" t="str">
        <f t="shared" si="7"/>
        <v>101-821</v>
      </c>
      <c r="C502">
        <v>0</v>
      </c>
    </row>
    <row r="503" spans="1:3" ht="14.5">
      <c r="A503" t="s">
        <v>8015</v>
      </c>
      <c r="B503" s="380" t="str">
        <f t="shared" si="7"/>
        <v>101-828</v>
      </c>
      <c r="C503">
        <v>0</v>
      </c>
    </row>
    <row r="504" spans="1:3" ht="14.5">
      <c r="A504" t="s">
        <v>8016</v>
      </c>
      <c r="B504" s="380" t="str">
        <f t="shared" si="7"/>
        <v>101-837</v>
      </c>
      <c r="C504">
        <v>0</v>
      </c>
    </row>
    <row r="505" spans="1:3" ht="14.5">
      <c r="A505" t="s">
        <v>8017</v>
      </c>
      <c r="B505" s="380" t="str">
        <f t="shared" si="7"/>
        <v>101-838</v>
      </c>
      <c r="C505">
        <v>0</v>
      </c>
    </row>
    <row r="506" spans="1:3" ht="14.5">
      <c r="A506" t="s">
        <v>8018</v>
      </c>
      <c r="B506" s="380" t="str">
        <f t="shared" si="7"/>
        <v>101-840</v>
      </c>
      <c r="C506">
        <v>0</v>
      </c>
    </row>
    <row r="507" spans="1:3" ht="14.5">
      <c r="A507" t="s">
        <v>8019</v>
      </c>
      <c r="B507" s="380" t="str">
        <f t="shared" si="7"/>
        <v>101-842</v>
      </c>
      <c r="C507">
        <v>0</v>
      </c>
    </row>
    <row r="508" spans="1:3" ht="14.5">
      <c r="A508" t="s">
        <v>8020</v>
      </c>
      <c r="B508" s="380" t="str">
        <f t="shared" si="7"/>
        <v>101-845</v>
      </c>
      <c r="C508">
        <v>0</v>
      </c>
    </row>
    <row r="509" spans="1:3" ht="14.5">
      <c r="A509" t="s">
        <v>8021</v>
      </c>
      <c r="B509" s="380" t="str">
        <f t="shared" si="7"/>
        <v>101-846</v>
      </c>
      <c r="C509">
        <v>0</v>
      </c>
    </row>
    <row r="510" spans="1:3" ht="14.5">
      <c r="A510" t="s">
        <v>8022</v>
      </c>
      <c r="B510" s="380" t="str">
        <f t="shared" si="7"/>
        <v>101-847</v>
      </c>
      <c r="C510">
        <v>0</v>
      </c>
    </row>
    <row r="511" spans="1:3" ht="14.5">
      <c r="A511" t="s">
        <v>8023</v>
      </c>
      <c r="B511" s="380" t="str">
        <f t="shared" si="7"/>
        <v>101-849</v>
      </c>
      <c r="C511">
        <v>0</v>
      </c>
    </row>
    <row r="512" spans="1:3" ht="14.5">
      <c r="A512" t="s">
        <v>8024</v>
      </c>
      <c r="B512" s="380" t="str">
        <f t="shared" si="7"/>
        <v>101-853</v>
      </c>
      <c r="C512">
        <v>0</v>
      </c>
    </row>
    <row r="513" spans="1:3" ht="14.5">
      <c r="A513" t="s">
        <v>8025</v>
      </c>
      <c r="B513" s="380" t="str">
        <f t="shared" si="7"/>
        <v>101-855</v>
      </c>
      <c r="C513">
        <v>0</v>
      </c>
    </row>
    <row r="514" spans="1:3" ht="14.5">
      <c r="A514" t="s">
        <v>8026</v>
      </c>
      <c r="B514" s="380" t="str">
        <f t="shared" si="7"/>
        <v>101-856</v>
      </c>
      <c r="C514">
        <v>0</v>
      </c>
    </row>
    <row r="515" spans="1:3" ht="14.5">
      <c r="A515" t="s">
        <v>8027</v>
      </c>
      <c r="B515" s="380" t="str">
        <f t="shared" ref="B515:B578" si="8">CONCATENATE(LEFT(RIGHT(CONCATENATE("000",A515),6),3),"-",(RIGHT(RIGHT(CONCATENATE("000",A515),6),3)))</f>
        <v>101-858</v>
      </c>
      <c r="C515">
        <v>0</v>
      </c>
    </row>
    <row r="516" spans="1:3" ht="14.5">
      <c r="A516" t="s">
        <v>8028</v>
      </c>
      <c r="B516" s="380" t="str">
        <f t="shared" si="8"/>
        <v>101-859</v>
      </c>
      <c r="C516">
        <v>0</v>
      </c>
    </row>
    <row r="517" spans="1:3" ht="14.5">
      <c r="A517" t="s">
        <v>8029</v>
      </c>
      <c r="B517" s="380" t="str">
        <f t="shared" si="8"/>
        <v>101-861</v>
      </c>
      <c r="C517">
        <v>0</v>
      </c>
    </row>
    <row r="518" spans="1:3" ht="14.5">
      <c r="A518" t="s">
        <v>8030</v>
      </c>
      <c r="B518" s="380" t="str">
        <f t="shared" si="8"/>
        <v>101-862</v>
      </c>
      <c r="C518">
        <v>0</v>
      </c>
    </row>
    <row r="519" spans="1:3" ht="14.5">
      <c r="A519" t="s">
        <v>8031</v>
      </c>
      <c r="B519" s="380" t="str">
        <f t="shared" si="8"/>
        <v>101-864</v>
      </c>
      <c r="C519">
        <v>0</v>
      </c>
    </row>
    <row r="520" spans="1:3" ht="14.5">
      <c r="A520" t="s">
        <v>8032</v>
      </c>
      <c r="B520" s="380" t="str">
        <f t="shared" si="8"/>
        <v>101-868</v>
      </c>
      <c r="C520">
        <v>0</v>
      </c>
    </row>
    <row r="521" spans="1:3" ht="14.5">
      <c r="A521" t="s">
        <v>8033</v>
      </c>
      <c r="B521" s="380" t="str">
        <f t="shared" si="8"/>
        <v>101-870</v>
      </c>
      <c r="C521">
        <v>0</v>
      </c>
    </row>
    <row r="522" spans="1:3" ht="14.5">
      <c r="A522" t="s">
        <v>8034</v>
      </c>
      <c r="B522" s="380" t="str">
        <f t="shared" si="8"/>
        <v>101-871</v>
      </c>
      <c r="C522">
        <v>0</v>
      </c>
    </row>
    <row r="523" spans="1:3" ht="14.5">
      <c r="A523" t="s">
        <v>8035</v>
      </c>
      <c r="B523" s="380" t="str">
        <f t="shared" si="8"/>
        <v>101-872</v>
      </c>
      <c r="C523">
        <v>0</v>
      </c>
    </row>
    <row r="524" spans="1:3" ht="14.5">
      <c r="A524" t="s">
        <v>8036</v>
      </c>
      <c r="B524" s="380" t="str">
        <f t="shared" si="8"/>
        <v>101-873</v>
      </c>
      <c r="C524">
        <v>0</v>
      </c>
    </row>
    <row r="525" spans="1:3" ht="14.5">
      <c r="A525" t="s">
        <v>8037</v>
      </c>
      <c r="B525" s="380" t="str">
        <f t="shared" si="8"/>
        <v>101-874</v>
      </c>
      <c r="C525">
        <v>0</v>
      </c>
    </row>
    <row r="526" spans="1:3" ht="14.5">
      <c r="A526" t="s">
        <v>8038</v>
      </c>
      <c r="B526" s="380" t="str">
        <f t="shared" si="8"/>
        <v>101-875</v>
      </c>
      <c r="C526">
        <v>0</v>
      </c>
    </row>
    <row r="527" spans="1:3" ht="14.5">
      <c r="A527" t="s">
        <v>8039</v>
      </c>
      <c r="B527" s="380" t="str">
        <f t="shared" si="8"/>
        <v>101-876</v>
      </c>
      <c r="C527">
        <v>0</v>
      </c>
    </row>
    <row r="528" spans="1:3" ht="14.5">
      <c r="A528" t="s">
        <v>3019</v>
      </c>
      <c r="B528" s="380" t="str">
        <f t="shared" si="8"/>
        <v>101-902</v>
      </c>
      <c r="C528">
        <v>0.93</v>
      </c>
    </row>
    <row r="529" spans="1:3" ht="14.5">
      <c r="A529" t="s">
        <v>3020</v>
      </c>
      <c r="B529" s="380" t="str">
        <f t="shared" si="8"/>
        <v>101-903</v>
      </c>
      <c r="C529">
        <v>0.93</v>
      </c>
    </row>
    <row r="530" spans="1:3" ht="14.5">
      <c r="A530" t="s">
        <v>3021</v>
      </c>
      <c r="B530" s="380" t="str">
        <f t="shared" si="8"/>
        <v>101-905</v>
      </c>
      <c r="C530">
        <v>0.93</v>
      </c>
    </row>
    <row r="531" spans="1:3" ht="14.5">
      <c r="A531" t="s">
        <v>3022</v>
      </c>
      <c r="B531" s="380" t="str">
        <f t="shared" si="8"/>
        <v>101-906</v>
      </c>
      <c r="C531">
        <v>0.93</v>
      </c>
    </row>
    <row r="532" spans="1:3" ht="14.5">
      <c r="A532" t="s">
        <v>5066</v>
      </c>
      <c r="B532" s="380" t="str">
        <f t="shared" si="8"/>
        <v>101-907</v>
      </c>
      <c r="C532">
        <v>0.93</v>
      </c>
    </row>
    <row r="533" spans="1:3" ht="14.5">
      <c r="A533" t="s">
        <v>5067</v>
      </c>
      <c r="B533" s="380" t="str">
        <f t="shared" si="8"/>
        <v>101-908</v>
      </c>
      <c r="C533">
        <v>0.93</v>
      </c>
    </row>
    <row r="534" spans="1:3" ht="14.5">
      <c r="A534" t="s">
        <v>3023</v>
      </c>
      <c r="B534" s="380" t="str">
        <f t="shared" si="8"/>
        <v>101-910</v>
      </c>
      <c r="C534">
        <v>0.93</v>
      </c>
    </row>
    <row r="535" spans="1:3" ht="14.5">
      <c r="A535" t="s">
        <v>5068</v>
      </c>
      <c r="B535" s="380" t="str">
        <f t="shared" si="8"/>
        <v>101-911</v>
      </c>
      <c r="C535">
        <v>0.93</v>
      </c>
    </row>
    <row r="536" spans="1:3" ht="14.5">
      <c r="A536" t="s">
        <v>5069</v>
      </c>
      <c r="B536" s="380" t="str">
        <f t="shared" si="8"/>
        <v>101-912</v>
      </c>
      <c r="C536">
        <v>0.93</v>
      </c>
    </row>
    <row r="537" spans="1:3" ht="14.5">
      <c r="A537" t="s">
        <v>3024</v>
      </c>
      <c r="B537" s="380" t="str">
        <f t="shared" si="8"/>
        <v>101-913</v>
      </c>
      <c r="C537">
        <v>0.93</v>
      </c>
    </row>
    <row r="538" spans="1:3" ht="14.5">
      <c r="A538" t="s">
        <v>3025</v>
      </c>
      <c r="B538" s="380" t="str">
        <f t="shared" si="8"/>
        <v>101-914</v>
      </c>
      <c r="C538">
        <v>0.93</v>
      </c>
    </row>
    <row r="539" spans="1:3" ht="14.5">
      <c r="A539" t="s">
        <v>3026</v>
      </c>
      <c r="B539" s="380" t="str">
        <f t="shared" si="8"/>
        <v>101-915</v>
      </c>
      <c r="C539">
        <v>0.93</v>
      </c>
    </row>
    <row r="540" spans="1:3" ht="14.5">
      <c r="A540" t="s">
        <v>5070</v>
      </c>
      <c r="B540" s="380" t="str">
        <f t="shared" si="8"/>
        <v>101-916</v>
      </c>
      <c r="C540">
        <v>0.93</v>
      </c>
    </row>
    <row r="541" spans="1:3" ht="14.5">
      <c r="A541" t="s">
        <v>3027</v>
      </c>
      <c r="B541" s="380" t="str">
        <f t="shared" si="8"/>
        <v>101-917</v>
      </c>
      <c r="C541">
        <v>0.93</v>
      </c>
    </row>
    <row r="542" spans="1:3" ht="14.5">
      <c r="A542" t="s">
        <v>5071</v>
      </c>
      <c r="B542" s="380" t="str">
        <f t="shared" si="8"/>
        <v>101-919</v>
      </c>
      <c r="C542">
        <v>0.93</v>
      </c>
    </row>
    <row r="543" spans="1:3" ht="14.5">
      <c r="A543" t="s">
        <v>5072</v>
      </c>
      <c r="B543" s="380" t="str">
        <f t="shared" si="8"/>
        <v>101-920</v>
      </c>
      <c r="C543">
        <v>0.93</v>
      </c>
    </row>
    <row r="544" spans="1:3" ht="14.5">
      <c r="A544" t="s">
        <v>5073</v>
      </c>
      <c r="B544" s="380" t="str">
        <f t="shared" si="8"/>
        <v>101-921</v>
      </c>
      <c r="C544">
        <v>0.93</v>
      </c>
    </row>
    <row r="545" spans="1:3" ht="14.5">
      <c r="A545" t="s">
        <v>5074</v>
      </c>
      <c r="B545" s="380" t="str">
        <f t="shared" si="8"/>
        <v>101-924</v>
      </c>
      <c r="C545">
        <v>0.93</v>
      </c>
    </row>
    <row r="546" spans="1:3" ht="14.5">
      <c r="A546" t="s">
        <v>3028</v>
      </c>
      <c r="B546" s="380" t="str">
        <f t="shared" si="8"/>
        <v>101-925</v>
      </c>
      <c r="C546">
        <v>0.93</v>
      </c>
    </row>
    <row r="547" spans="1:3" ht="14.5">
      <c r="A547" t="s">
        <v>8508</v>
      </c>
      <c r="B547" s="380" t="str">
        <f t="shared" si="8"/>
        <v>101-950</v>
      </c>
      <c r="C547">
        <v>0</v>
      </c>
    </row>
    <row r="548" spans="1:3" ht="14.5">
      <c r="A548" t="s">
        <v>5812</v>
      </c>
      <c r="B548" s="380" t="str">
        <f t="shared" si="8"/>
        <v>102-901</v>
      </c>
      <c r="C548">
        <v>0.93</v>
      </c>
    </row>
    <row r="549" spans="1:3" ht="14.5">
      <c r="A549" t="s">
        <v>5075</v>
      </c>
      <c r="B549" s="380" t="str">
        <f t="shared" si="8"/>
        <v>102-902</v>
      </c>
      <c r="C549">
        <v>0.93</v>
      </c>
    </row>
    <row r="550" spans="1:3" ht="14.5">
      <c r="A550" t="s">
        <v>5076</v>
      </c>
      <c r="B550" s="380" t="str">
        <f t="shared" si="8"/>
        <v>102-903</v>
      </c>
      <c r="C550">
        <v>0.93</v>
      </c>
    </row>
    <row r="551" spans="1:3" ht="14.5">
      <c r="A551" t="s">
        <v>5077</v>
      </c>
      <c r="B551" s="380" t="str">
        <f t="shared" si="8"/>
        <v>102-904</v>
      </c>
      <c r="C551">
        <v>0.93</v>
      </c>
    </row>
    <row r="552" spans="1:3" ht="14.5">
      <c r="A552" t="s">
        <v>5078</v>
      </c>
      <c r="B552" s="380" t="str">
        <f t="shared" si="8"/>
        <v>102-905</v>
      </c>
      <c r="C552">
        <v>0.93</v>
      </c>
    </row>
    <row r="553" spans="1:3" ht="14.5">
      <c r="A553" t="s">
        <v>5079</v>
      </c>
      <c r="B553" s="380" t="str">
        <f t="shared" si="8"/>
        <v>102-906</v>
      </c>
      <c r="C553">
        <v>0.93</v>
      </c>
    </row>
    <row r="554" spans="1:3" ht="14.5">
      <c r="A554" t="s">
        <v>5080</v>
      </c>
      <c r="B554" s="380" t="str">
        <f t="shared" si="8"/>
        <v>103-901</v>
      </c>
      <c r="C554">
        <v>0.93</v>
      </c>
    </row>
    <row r="555" spans="1:3" ht="14.5">
      <c r="A555" t="s">
        <v>5081</v>
      </c>
      <c r="B555" s="380" t="str">
        <f t="shared" si="8"/>
        <v>103-902</v>
      </c>
      <c r="C555">
        <v>0.93</v>
      </c>
    </row>
    <row r="556" spans="1:3" ht="14.5">
      <c r="A556" t="s">
        <v>3029</v>
      </c>
      <c r="B556" s="380" t="str">
        <f t="shared" si="8"/>
        <v>104-901</v>
      </c>
      <c r="C556">
        <v>0.93</v>
      </c>
    </row>
    <row r="557" spans="1:3" ht="14.5">
      <c r="A557" t="s">
        <v>5813</v>
      </c>
      <c r="B557" s="380" t="str">
        <f t="shared" si="8"/>
        <v>104-903</v>
      </c>
      <c r="C557">
        <v>0.93</v>
      </c>
    </row>
    <row r="558" spans="1:3" ht="14.5">
      <c r="A558" t="s">
        <v>5082</v>
      </c>
      <c r="B558" s="380" t="str">
        <f t="shared" si="8"/>
        <v>104-907</v>
      </c>
      <c r="C558">
        <v>0.93</v>
      </c>
    </row>
    <row r="559" spans="1:3" ht="14.5">
      <c r="A559" t="s">
        <v>8040</v>
      </c>
      <c r="B559" s="380" t="str">
        <f t="shared" si="8"/>
        <v>105-801</v>
      </c>
      <c r="C559">
        <v>0</v>
      </c>
    </row>
    <row r="560" spans="1:3" ht="14.5">
      <c r="A560" t="s">
        <v>8041</v>
      </c>
      <c r="B560" s="380" t="str">
        <f t="shared" si="8"/>
        <v>105-802</v>
      </c>
      <c r="C560">
        <v>0</v>
      </c>
    </row>
    <row r="561" spans="1:3" ht="14.5">
      <c r="A561" t="s">
        <v>8042</v>
      </c>
      <c r="B561" s="380" t="str">
        <f t="shared" si="8"/>
        <v>105-803</v>
      </c>
      <c r="C561">
        <v>0</v>
      </c>
    </row>
    <row r="562" spans="1:3" ht="14.5">
      <c r="A562" t="s">
        <v>5083</v>
      </c>
      <c r="B562" s="380" t="str">
        <f t="shared" si="8"/>
        <v>105-902</v>
      </c>
      <c r="C562">
        <v>0.93</v>
      </c>
    </row>
    <row r="563" spans="1:3" ht="14.5">
      <c r="A563" t="s">
        <v>3030</v>
      </c>
      <c r="B563" s="380" t="str">
        <f t="shared" si="8"/>
        <v>105-904</v>
      </c>
      <c r="C563">
        <v>0.93</v>
      </c>
    </row>
    <row r="564" spans="1:3" ht="14.5">
      <c r="A564" t="s">
        <v>5084</v>
      </c>
      <c r="B564" s="380" t="str">
        <f t="shared" si="8"/>
        <v>105-905</v>
      </c>
      <c r="C564">
        <v>0.93</v>
      </c>
    </row>
    <row r="565" spans="1:3" ht="14.5">
      <c r="A565" t="s">
        <v>3031</v>
      </c>
      <c r="B565" s="380" t="str">
        <f t="shared" si="8"/>
        <v>105-906</v>
      </c>
      <c r="C565">
        <v>0.93</v>
      </c>
    </row>
    <row r="566" spans="1:3" ht="14.5">
      <c r="A566" t="s">
        <v>5085</v>
      </c>
      <c r="B566" s="380" t="str">
        <f t="shared" si="8"/>
        <v>106-901</v>
      </c>
      <c r="C566">
        <v>0.93</v>
      </c>
    </row>
    <row r="567" spans="1:3" ht="14.5">
      <c r="A567" t="s">
        <v>5086</v>
      </c>
      <c r="B567" s="380" t="str">
        <f t="shared" si="8"/>
        <v>107-901</v>
      </c>
      <c r="C567">
        <v>0.93</v>
      </c>
    </row>
    <row r="568" spans="1:3" ht="14.5">
      <c r="A568" t="s">
        <v>5087</v>
      </c>
      <c r="B568" s="380" t="str">
        <f t="shared" si="8"/>
        <v>107-902</v>
      </c>
      <c r="C568">
        <v>0.93</v>
      </c>
    </row>
    <row r="569" spans="1:3" ht="14.5">
      <c r="A569" t="s">
        <v>5088</v>
      </c>
      <c r="B569" s="380" t="str">
        <f t="shared" si="8"/>
        <v>107-904</v>
      </c>
      <c r="C569">
        <v>0.93</v>
      </c>
    </row>
    <row r="570" spans="1:3" ht="14.5">
      <c r="A570" t="s">
        <v>5089</v>
      </c>
      <c r="B570" s="380" t="str">
        <f t="shared" si="8"/>
        <v>107-905</v>
      </c>
      <c r="C570">
        <v>0.93</v>
      </c>
    </row>
    <row r="571" spans="1:3" ht="14.5">
      <c r="A571" t="s">
        <v>5090</v>
      </c>
      <c r="B571" s="380" t="str">
        <f t="shared" si="8"/>
        <v>107-906</v>
      </c>
      <c r="C571">
        <v>0.93</v>
      </c>
    </row>
    <row r="572" spans="1:3" ht="14.5">
      <c r="A572" t="s">
        <v>3032</v>
      </c>
      <c r="B572" s="380" t="str">
        <f t="shared" si="8"/>
        <v>107-907</v>
      </c>
      <c r="C572">
        <v>0.93</v>
      </c>
    </row>
    <row r="573" spans="1:3" ht="14.5">
      <c r="A573" t="s">
        <v>4087</v>
      </c>
      <c r="B573" s="380" t="str">
        <f t="shared" si="8"/>
        <v>107-908</v>
      </c>
      <c r="C573">
        <v>0.93</v>
      </c>
    </row>
    <row r="574" spans="1:3" ht="14.5">
      <c r="A574" t="s">
        <v>5091</v>
      </c>
      <c r="B574" s="380" t="str">
        <f t="shared" si="8"/>
        <v>107-910</v>
      </c>
      <c r="C574">
        <v>0.93</v>
      </c>
    </row>
    <row r="575" spans="1:3" ht="14.5">
      <c r="A575" t="s">
        <v>8043</v>
      </c>
      <c r="B575" s="380" t="str">
        <f t="shared" si="8"/>
        <v>108-802</v>
      </c>
      <c r="C575">
        <v>0</v>
      </c>
    </row>
    <row r="576" spans="1:3" ht="14.5">
      <c r="A576" t="s">
        <v>8044</v>
      </c>
      <c r="B576" s="380" t="str">
        <f t="shared" si="8"/>
        <v>108-804</v>
      </c>
      <c r="C576">
        <v>0</v>
      </c>
    </row>
    <row r="577" spans="1:3" ht="14.5">
      <c r="A577" t="s">
        <v>8045</v>
      </c>
      <c r="B577" s="380" t="str">
        <f t="shared" si="8"/>
        <v>108-807</v>
      </c>
      <c r="C577">
        <v>0</v>
      </c>
    </row>
    <row r="578" spans="1:3" ht="14.5">
      <c r="A578" t="s">
        <v>8046</v>
      </c>
      <c r="B578" s="380" t="str">
        <f t="shared" si="8"/>
        <v>108-808</v>
      </c>
      <c r="C578">
        <v>0</v>
      </c>
    </row>
    <row r="579" spans="1:3" ht="14.5">
      <c r="A579" t="s">
        <v>8047</v>
      </c>
      <c r="B579" s="380" t="str">
        <f t="shared" ref="B579:B642" si="9">CONCATENATE(LEFT(RIGHT(CONCATENATE("000",A579),6),3),"-",(RIGHT(RIGHT(CONCATENATE("000",A579),6),3)))</f>
        <v>108-809</v>
      </c>
      <c r="C579">
        <v>0</v>
      </c>
    </row>
    <row r="580" spans="1:3" ht="14.5">
      <c r="A580" t="s">
        <v>3033</v>
      </c>
      <c r="B580" s="380" t="str">
        <f t="shared" si="9"/>
        <v>108-902</v>
      </c>
      <c r="C580">
        <v>0.93</v>
      </c>
    </row>
    <row r="581" spans="1:3" ht="14.5">
      <c r="A581" t="s">
        <v>3034</v>
      </c>
      <c r="B581" s="380" t="str">
        <f t="shared" si="9"/>
        <v>108-903</v>
      </c>
      <c r="C581">
        <v>0.93</v>
      </c>
    </row>
    <row r="582" spans="1:3" ht="14.5">
      <c r="A582" t="s">
        <v>3035</v>
      </c>
      <c r="B582" s="380" t="str">
        <f t="shared" si="9"/>
        <v>108-904</v>
      </c>
      <c r="C582">
        <v>0.93</v>
      </c>
    </row>
    <row r="583" spans="1:3" ht="14.5">
      <c r="A583" t="s">
        <v>3036</v>
      </c>
      <c r="B583" s="380" t="str">
        <f t="shared" si="9"/>
        <v>108-905</v>
      </c>
      <c r="C583">
        <v>0.93</v>
      </c>
    </row>
    <row r="584" spans="1:3" ht="14.5">
      <c r="A584" t="s">
        <v>3037</v>
      </c>
      <c r="B584" s="380" t="str">
        <f t="shared" si="9"/>
        <v>108-906</v>
      </c>
      <c r="C584">
        <v>0.93</v>
      </c>
    </row>
    <row r="585" spans="1:3" ht="14.5">
      <c r="A585" t="s">
        <v>3038</v>
      </c>
      <c r="B585" s="380" t="str">
        <f t="shared" si="9"/>
        <v>108-907</v>
      </c>
      <c r="C585">
        <v>0.93</v>
      </c>
    </row>
    <row r="586" spans="1:3" ht="14.5">
      <c r="A586" t="s">
        <v>3039</v>
      </c>
      <c r="B586" s="380" t="str">
        <f t="shared" si="9"/>
        <v>108-908</v>
      </c>
      <c r="C586">
        <v>0.93</v>
      </c>
    </row>
    <row r="587" spans="1:3" ht="14.5">
      <c r="A587" t="s">
        <v>3040</v>
      </c>
      <c r="B587" s="380" t="str">
        <f t="shared" si="9"/>
        <v>108-909</v>
      </c>
      <c r="C587">
        <v>0.93</v>
      </c>
    </row>
    <row r="588" spans="1:3" ht="14.5">
      <c r="A588" t="s">
        <v>3041</v>
      </c>
      <c r="B588" s="380" t="str">
        <f t="shared" si="9"/>
        <v>108-910</v>
      </c>
      <c r="C588">
        <v>0.93</v>
      </c>
    </row>
    <row r="589" spans="1:3" ht="14.5">
      <c r="A589" t="s">
        <v>3042</v>
      </c>
      <c r="B589" s="380" t="str">
        <f t="shared" si="9"/>
        <v>108-911</v>
      </c>
      <c r="C589">
        <v>0.93</v>
      </c>
    </row>
    <row r="590" spans="1:3" ht="14.5">
      <c r="A590" t="s">
        <v>3043</v>
      </c>
      <c r="B590" s="380" t="str">
        <f t="shared" si="9"/>
        <v>108-912</v>
      </c>
      <c r="C590">
        <v>0.93</v>
      </c>
    </row>
    <row r="591" spans="1:3" ht="14.5">
      <c r="A591" t="s">
        <v>3044</v>
      </c>
      <c r="B591" s="380" t="str">
        <f t="shared" si="9"/>
        <v>108-913</v>
      </c>
      <c r="C591">
        <v>0.93</v>
      </c>
    </row>
    <row r="592" spans="1:3" ht="14.5">
      <c r="A592" t="s">
        <v>3045</v>
      </c>
      <c r="B592" s="380" t="str">
        <f t="shared" si="9"/>
        <v>108-914</v>
      </c>
      <c r="C592">
        <v>0.93</v>
      </c>
    </row>
    <row r="593" spans="1:3" ht="14.5">
      <c r="A593" t="s">
        <v>3046</v>
      </c>
      <c r="B593" s="380" t="str">
        <f t="shared" si="9"/>
        <v>108-915</v>
      </c>
      <c r="C593">
        <v>0.93</v>
      </c>
    </row>
    <row r="594" spans="1:3" ht="14.5">
      <c r="A594" t="s">
        <v>3047</v>
      </c>
      <c r="B594" s="380" t="str">
        <f t="shared" si="9"/>
        <v>108-916</v>
      </c>
      <c r="C594">
        <v>0.93</v>
      </c>
    </row>
    <row r="595" spans="1:3" ht="14.5">
      <c r="A595" t="s">
        <v>8509</v>
      </c>
      <c r="B595" s="380" t="str">
        <f t="shared" si="9"/>
        <v>108-950</v>
      </c>
      <c r="C595">
        <v>0</v>
      </c>
    </row>
    <row r="596" spans="1:3" ht="14.5">
      <c r="A596" t="s">
        <v>3048</v>
      </c>
      <c r="B596" s="380" t="str">
        <f t="shared" si="9"/>
        <v>109-901</v>
      </c>
      <c r="C596">
        <v>0.93</v>
      </c>
    </row>
    <row r="597" spans="1:3" ht="14.5">
      <c r="A597" t="s">
        <v>3049</v>
      </c>
      <c r="B597" s="380" t="str">
        <f t="shared" si="9"/>
        <v>109-902</v>
      </c>
      <c r="C597">
        <v>0.93</v>
      </c>
    </row>
    <row r="598" spans="1:3" ht="14.5">
      <c r="A598" t="s">
        <v>4185</v>
      </c>
      <c r="B598" s="380" t="str">
        <f t="shared" si="9"/>
        <v>109-903</v>
      </c>
      <c r="C598">
        <v>0.93</v>
      </c>
    </row>
    <row r="599" spans="1:3" ht="14.5">
      <c r="A599" t="s">
        <v>3050</v>
      </c>
      <c r="B599" s="380" t="str">
        <f t="shared" si="9"/>
        <v>109-904</v>
      </c>
      <c r="C599">
        <v>0.93</v>
      </c>
    </row>
    <row r="600" spans="1:3" ht="14.5">
      <c r="A600" t="s">
        <v>3051</v>
      </c>
      <c r="B600" s="380" t="str">
        <f t="shared" si="9"/>
        <v>109-905</v>
      </c>
      <c r="C600">
        <v>0.93</v>
      </c>
    </row>
    <row r="601" spans="1:3" ht="14.5">
      <c r="A601" t="s">
        <v>3052</v>
      </c>
      <c r="B601" s="380" t="str">
        <f t="shared" si="9"/>
        <v>109-907</v>
      </c>
      <c r="C601">
        <v>0.93</v>
      </c>
    </row>
    <row r="602" spans="1:3" ht="14.5">
      <c r="A602" t="s">
        <v>3053</v>
      </c>
      <c r="B602" s="380" t="str">
        <f t="shared" si="9"/>
        <v>109-908</v>
      </c>
      <c r="C602">
        <v>0.93</v>
      </c>
    </row>
    <row r="603" spans="1:3" ht="14.5">
      <c r="A603" t="s">
        <v>3054</v>
      </c>
      <c r="B603" s="380" t="str">
        <f t="shared" si="9"/>
        <v>109-910</v>
      </c>
      <c r="C603">
        <v>0.93</v>
      </c>
    </row>
    <row r="604" spans="1:3" ht="14.5">
      <c r="A604" t="s">
        <v>5092</v>
      </c>
      <c r="B604" s="380" t="str">
        <f t="shared" si="9"/>
        <v>109-911</v>
      </c>
      <c r="C604">
        <v>0.93</v>
      </c>
    </row>
    <row r="605" spans="1:3" ht="14.5">
      <c r="A605" t="s">
        <v>3055</v>
      </c>
      <c r="B605" s="380" t="str">
        <f t="shared" si="9"/>
        <v>109-912</v>
      </c>
      <c r="C605">
        <v>0.93</v>
      </c>
    </row>
    <row r="606" spans="1:3" ht="14.5">
      <c r="A606" t="s">
        <v>4203</v>
      </c>
      <c r="B606" s="380" t="str">
        <f t="shared" si="9"/>
        <v>109-913</v>
      </c>
      <c r="C606">
        <v>0.93</v>
      </c>
    </row>
    <row r="607" spans="1:3" ht="14.5">
      <c r="A607" t="s">
        <v>4205</v>
      </c>
      <c r="B607" s="380" t="str">
        <f t="shared" si="9"/>
        <v>109-914</v>
      </c>
      <c r="C607">
        <v>0.93</v>
      </c>
    </row>
    <row r="608" spans="1:3" ht="14.5">
      <c r="A608" t="s">
        <v>5814</v>
      </c>
      <c r="B608" s="380" t="str">
        <f t="shared" si="9"/>
        <v>110-901</v>
      </c>
      <c r="C608">
        <v>0.93</v>
      </c>
    </row>
    <row r="609" spans="1:3" ht="14.5">
      <c r="A609" t="s">
        <v>5093</v>
      </c>
      <c r="B609" s="380" t="str">
        <f t="shared" si="9"/>
        <v>110-902</v>
      </c>
      <c r="C609">
        <v>0.93</v>
      </c>
    </row>
    <row r="610" spans="1:3" ht="14.5">
      <c r="A610" t="s">
        <v>5094</v>
      </c>
      <c r="B610" s="380" t="str">
        <f t="shared" si="9"/>
        <v>110-905</v>
      </c>
      <c r="C610">
        <v>0.93</v>
      </c>
    </row>
    <row r="611" spans="1:3" ht="14.5">
      <c r="A611" t="s">
        <v>3056</v>
      </c>
      <c r="B611" s="380" t="str">
        <f t="shared" si="9"/>
        <v>110-906</v>
      </c>
      <c r="C611">
        <v>0.93</v>
      </c>
    </row>
    <row r="612" spans="1:3" ht="14.5">
      <c r="A612" t="s">
        <v>5815</v>
      </c>
      <c r="B612" s="380" t="str">
        <f t="shared" si="9"/>
        <v>110-907</v>
      </c>
      <c r="C612">
        <v>0.93</v>
      </c>
    </row>
    <row r="613" spans="1:3" ht="14.5">
      <c r="A613" t="s">
        <v>5816</v>
      </c>
      <c r="B613" s="380" t="str">
        <f t="shared" si="9"/>
        <v>110-908</v>
      </c>
      <c r="C613">
        <v>0.93</v>
      </c>
    </row>
    <row r="614" spans="1:3" ht="14.5">
      <c r="A614" t="s">
        <v>8048</v>
      </c>
      <c r="B614" s="380" t="str">
        <f t="shared" si="9"/>
        <v>111-801</v>
      </c>
      <c r="C614">
        <v>0</v>
      </c>
    </row>
    <row r="615" spans="1:3" ht="14.5">
      <c r="A615" t="s">
        <v>5095</v>
      </c>
      <c r="B615" s="380" t="str">
        <f t="shared" si="9"/>
        <v>111-901</v>
      </c>
      <c r="C615">
        <v>0.93</v>
      </c>
    </row>
    <row r="616" spans="1:3" ht="14.5">
      <c r="A616" t="s">
        <v>3057</v>
      </c>
      <c r="B616" s="380" t="str">
        <f t="shared" si="9"/>
        <v>111-902</v>
      </c>
      <c r="C616">
        <v>0.93</v>
      </c>
    </row>
    <row r="617" spans="1:3" ht="14.5">
      <c r="A617" t="s">
        <v>3058</v>
      </c>
      <c r="B617" s="380" t="str">
        <f t="shared" si="9"/>
        <v>111-903</v>
      </c>
      <c r="C617">
        <v>0.93</v>
      </c>
    </row>
    <row r="618" spans="1:3" ht="14.5">
      <c r="A618" t="s">
        <v>3059</v>
      </c>
      <c r="B618" s="380" t="str">
        <f t="shared" si="9"/>
        <v>112-901</v>
      </c>
      <c r="C618">
        <v>0.93</v>
      </c>
    </row>
    <row r="619" spans="1:3" ht="14.5">
      <c r="A619" t="s">
        <v>3060</v>
      </c>
      <c r="B619" s="380" t="str">
        <f t="shared" si="9"/>
        <v>112-905</v>
      </c>
      <c r="C619">
        <v>0.93</v>
      </c>
    </row>
    <row r="620" spans="1:3" ht="14.5">
      <c r="A620" t="s">
        <v>5096</v>
      </c>
      <c r="B620" s="380" t="str">
        <f t="shared" si="9"/>
        <v>112-906</v>
      </c>
      <c r="C620">
        <v>0.93</v>
      </c>
    </row>
    <row r="621" spans="1:3" ht="14.5">
      <c r="A621" t="s">
        <v>3061</v>
      </c>
      <c r="B621" s="380" t="str">
        <f t="shared" si="9"/>
        <v>112-907</v>
      </c>
      <c r="C621">
        <v>0.93</v>
      </c>
    </row>
    <row r="622" spans="1:3" ht="14.5">
      <c r="A622" t="s">
        <v>5817</v>
      </c>
      <c r="B622" s="380" t="str">
        <f t="shared" si="9"/>
        <v>112-908</v>
      </c>
      <c r="C622">
        <v>0.93</v>
      </c>
    </row>
    <row r="623" spans="1:3" ht="14.5">
      <c r="A623" t="s">
        <v>5818</v>
      </c>
      <c r="B623" s="380" t="str">
        <f t="shared" si="9"/>
        <v>112-909</v>
      </c>
      <c r="C623">
        <v>0.93</v>
      </c>
    </row>
    <row r="624" spans="1:3" ht="14.5">
      <c r="A624" t="s">
        <v>3062</v>
      </c>
      <c r="B624" s="380" t="str">
        <f t="shared" si="9"/>
        <v>112-910</v>
      </c>
      <c r="C624">
        <v>0.93</v>
      </c>
    </row>
    <row r="625" spans="1:3" ht="14.5">
      <c r="A625" t="s">
        <v>5097</v>
      </c>
      <c r="B625" s="380" t="str">
        <f t="shared" si="9"/>
        <v>113-901</v>
      </c>
      <c r="C625">
        <v>0.93</v>
      </c>
    </row>
    <row r="626" spans="1:3" ht="14.5">
      <c r="A626" t="s">
        <v>5098</v>
      </c>
      <c r="B626" s="380" t="str">
        <f t="shared" si="9"/>
        <v>113-902</v>
      </c>
      <c r="C626">
        <v>0.93</v>
      </c>
    </row>
    <row r="627" spans="1:3" ht="14.5">
      <c r="A627" t="s">
        <v>5819</v>
      </c>
      <c r="B627" s="380" t="str">
        <f t="shared" si="9"/>
        <v>113-903</v>
      </c>
      <c r="C627">
        <v>0.93</v>
      </c>
    </row>
    <row r="628" spans="1:3" ht="14.5">
      <c r="A628" t="s">
        <v>5099</v>
      </c>
      <c r="B628" s="380" t="str">
        <f t="shared" si="9"/>
        <v>113-905</v>
      </c>
      <c r="C628">
        <v>0.93</v>
      </c>
    </row>
    <row r="629" spans="1:3" ht="14.5">
      <c r="A629" t="s">
        <v>5820</v>
      </c>
      <c r="B629" s="380" t="str">
        <f t="shared" si="9"/>
        <v>113-906</v>
      </c>
      <c r="C629">
        <v>0.93</v>
      </c>
    </row>
    <row r="630" spans="1:3" ht="14.5">
      <c r="A630" t="s">
        <v>3063</v>
      </c>
      <c r="B630" s="380" t="str">
        <f t="shared" si="9"/>
        <v>114-901</v>
      </c>
      <c r="C630">
        <v>0.93</v>
      </c>
    </row>
    <row r="631" spans="1:3" ht="14.5">
      <c r="A631" t="s">
        <v>5100</v>
      </c>
      <c r="B631" s="380" t="str">
        <f t="shared" si="9"/>
        <v>114-902</v>
      </c>
      <c r="C631">
        <v>0.93</v>
      </c>
    </row>
    <row r="632" spans="1:3" ht="14.5">
      <c r="A632" t="s">
        <v>5101</v>
      </c>
      <c r="B632" s="380" t="str">
        <f t="shared" si="9"/>
        <v>114-904</v>
      </c>
      <c r="C632">
        <v>0.93</v>
      </c>
    </row>
    <row r="633" spans="1:3" ht="14.5">
      <c r="A633" t="s">
        <v>5102</v>
      </c>
      <c r="B633" s="380" t="str">
        <f t="shared" si="9"/>
        <v>115-901</v>
      </c>
      <c r="C633">
        <v>0.93</v>
      </c>
    </row>
    <row r="634" spans="1:3" ht="14.5">
      <c r="A634" t="s">
        <v>5821</v>
      </c>
      <c r="B634" s="380" t="str">
        <f t="shared" si="9"/>
        <v>115-902</v>
      </c>
      <c r="C634">
        <v>0.93</v>
      </c>
    </row>
    <row r="635" spans="1:3" ht="14.5">
      <c r="A635" t="s">
        <v>5822</v>
      </c>
      <c r="B635" s="380" t="str">
        <f t="shared" si="9"/>
        <v>115-903</v>
      </c>
      <c r="C635">
        <v>0.93</v>
      </c>
    </row>
    <row r="636" spans="1:3" ht="14.5">
      <c r="A636" t="s">
        <v>3064</v>
      </c>
      <c r="B636" s="380" t="str">
        <f t="shared" si="9"/>
        <v>116-901</v>
      </c>
      <c r="C636">
        <v>0.93</v>
      </c>
    </row>
    <row r="637" spans="1:3" ht="14.5">
      <c r="A637" t="s">
        <v>3065</v>
      </c>
      <c r="B637" s="380" t="str">
        <f t="shared" si="9"/>
        <v>116-902</v>
      </c>
      <c r="C637">
        <v>0.93</v>
      </c>
    </row>
    <row r="638" spans="1:3" ht="14.5">
      <c r="A638" t="s">
        <v>3066</v>
      </c>
      <c r="B638" s="380" t="str">
        <f t="shared" si="9"/>
        <v>116-903</v>
      </c>
      <c r="C638">
        <v>0.93</v>
      </c>
    </row>
    <row r="639" spans="1:3" ht="14.5">
      <c r="A639" t="s">
        <v>5103</v>
      </c>
      <c r="B639" s="380" t="str">
        <f t="shared" si="9"/>
        <v>116-905</v>
      </c>
      <c r="C639">
        <v>0.93</v>
      </c>
    </row>
    <row r="640" spans="1:3" ht="14.5">
      <c r="A640" t="s">
        <v>3067</v>
      </c>
      <c r="B640" s="380" t="str">
        <f t="shared" si="9"/>
        <v>116-906</v>
      </c>
      <c r="C640">
        <v>0.93</v>
      </c>
    </row>
    <row r="641" spans="1:3" ht="14.5">
      <c r="A641" t="s">
        <v>3068</v>
      </c>
      <c r="B641" s="380" t="str">
        <f t="shared" si="9"/>
        <v>116-908</v>
      </c>
      <c r="C641">
        <v>0.93</v>
      </c>
    </row>
    <row r="642" spans="1:3" ht="14.5">
      <c r="A642" t="s">
        <v>3069</v>
      </c>
      <c r="B642" s="380" t="str">
        <f t="shared" si="9"/>
        <v>116-909</v>
      </c>
      <c r="C642">
        <v>0.93</v>
      </c>
    </row>
    <row r="643" spans="1:3" ht="14.5">
      <c r="A643" t="s">
        <v>5104</v>
      </c>
      <c r="B643" s="380" t="str">
        <f t="shared" ref="B643:B706" si="10">CONCATENATE(LEFT(RIGHT(CONCATENATE("000",A643),6),3),"-",(RIGHT(RIGHT(CONCATENATE("000",A643),6),3)))</f>
        <v>116-910</v>
      </c>
      <c r="C643">
        <v>0.93</v>
      </c>
    </row>
    <row r="644" spans="1:3" ht="14.5">
      <c r="A644" t="s">
        <v>3070</v>
      </c>
      <c r="B644" s="380" t="str">
        <f t="shared" si="10"/>
        <v>116-915</v>
      </c>
      <c r="C644">
        <v>0.93</v>
      </c>
    </row>
    <row r="645" spans="1:3" ht="14.5">
      <c r="A645" t="s">
        <v>3071</v>
      </c>
      <c r="B645" s="380" t="str">
        <f t="shared" si="10"/>
        <v>116-916</v>
      </c>
      <c r="C645">
        <v>0.93</v>
      </c>
    </row>
    <row r="646" spans="1:3" ht="14.5">
      <c r="A646" t="s">
        <v>5105</v>
      </c>
      <c r="B646" s="380" t="str">
        <f t="shared" si="10"/>
        <v>117-901</v>
      </c>
      <c r="C646">
        <v>0.93</v>
      </c>
    </row>
    <row r="647" spans="1:3" ht="14.5">
      <c r="A647" t="s">
        <v>5106</v>
      </c>
      <c r="B647" s="380" t="str">
        <f t="shared" si="10"/>
        <v>117-903</v>
      </c>
      <c r="C647">
        <v>0.93</v>
      </c>
    </row>
    <row r="648" spans="1:3" ht="14.5">
      <c r="A648" t="s">
        <v>5107</v>
      </c>
      <c r="B648" s="380" t="str">
        <f t="shared" si="10"/>
        <v>117-904</v>
      </c>
      <c r="C648">
        <v>0.93</v>
      </c>
    </row>
    <row r="649" spans="1:3" ht="14.5">
      <c r="A649" t="s">
        <v>5823</v>
      </c>
      <c r="B649" s="380" t="str">
        <f t="shared" si="10"/>
        <v>117-907</v>
      </c>
      <c r="C649">
        <v>0.93</v>
      </c>
    </row>
    <row r="650" spans="1:3" ht="14.5">
      <c r="A650" t="s">
        <v>5108</v>
      </c>
      <c r="B650" s="380" t="str">
        <f t="shared" si="10"/>
        <v>118-902</v>
      </c>
      <c r="C650">
        <v>0.93</v>
      </c>
    </row>
    <row r="651" spans="1:3" ht="14.5">
      <c r="A651" t="s">
        <v>5109</v>
      </c>
      <c r="B651" s="380" t="str">
        <f t="shared" si="10"/>
        <v>119-901</v>
      </c>
      <c r="C651">
        <v>0.93</v>
      </c>
    </row>
    <row r="652" spans="1:3" ht="14.5">
      <c r="A652" t="s">
        <v>5110</v>
      </c>
      <c r="B652" s="380" t="str">
        <f t="shared" si="10"/>
        <v>119-902</v>
      </c>
      <c r="C652">
        <v>0.93</v>
      </c>
    </row>
    <row r="653" spans="1:3" ht="14.5">
      <c r="A653" t="s">
        <v>5111</v>
      </c>
      <c r="B653" s="380" t="str">
        <f t="shared" si="10"/>
        <v>119-903</v>
      </c>
      <c r="C653">
        <v>0.93</v>
      </c>
    </row>
    <row r="654" spans="1:3" ht="14.5">
      <c r="A654" t="s">
        <v>5112</v>
      </c>
      <c r="B654" s="380" t="str">
        <f t="shared" si="10"/>
        <v>120-901</v>
      </c>
      <c r="C654">
        <v>0.93</v>
      </c>
    </row>
    <row r="655" spans="1:3" ht="14.5">
      <c r="A655" t="s">
        <v>3072</v>
      </c>
      <c r="B655" s="380" t="str">
        <f t="shared" si="10"/>
        <v>120-902</v>
      </c>
      <c r="C655">
        <v>0.93</v>
      </c>
    </row>
    <row r="656" spans="1:3" ht="14.5">
      <c r="A656" t="s">
        <v>5113</v>
      </c>
      <c r="B656" s="380" t="str">
        <f t="shared" si="10"/>
        <v>120-905</v>
      </c>
      <c r="C656">
        <v>0.93</v>
      </c>
    </row>
    <row r="657" spans="1:3" ht="14.5">
      <c r="A657" t="s">
        <v>5824</v>
      </c>
      <c r="B657" s="380" t="str">
        <f t="shared" si="10"/>
        <v>121-902</v>
      </c>
      <c r="C657">
        <v>0.93</v>
      </c>
    </row>
    <row r="658" spans="1:3" ht="14.5">
      <c r="A658" t="s">
        <v>3073</v>
      </c>
      <c r="B658" s="380" t="str">
        <f t="shared" si="10"/>
        <v>121-903</v>
      </c>
      <c r="C658">
        <v>0.93</v>
      </c>
    </row>
    <row r="659" spans="1:3" ht="14.5">
      <c r="A659" t="s">
        <v>3074</v>
      </c>
      <c r="B659" s="380" t="str">
        <f t="shared" si="10"/>
        <v>121-904</v>
      </c>
      <c r="C659">
        <v>0.93</v>
      </c>
    </row>
    <row r="660" spans="1:3" ht="14.5">
      <c r="A660" t="s">
        <v>3075</v>
      </c>
      <c r="B660" s="380" t="str">
        <f t="shared" si="10"/>
        <v>121-905</v>
      </c>
      <c r="C660">
        <v>0.93</v>
      </c>
    </row>
    <row r="661" spans="1:3" ht="14.5">
      <c r="A661" t="s">
        <v>5114</v>
      </c>
      <c r="B661" s="380" t="str">
        <f t="shared" si="10"/>
        <v>121-906</v>
      </c>
      <c r="C661">
        <v>0.93</v>
      </c>
    </row>
    <row r="662" spans="1:3" ht="14.5">
      <c r="A662" t="s">
        <v>5825</v>
      </c>
      <c r="B662" s="380" t="str">
        <f t="shared" si="10"/>
        <v>122-901</v>
      </c>
      <c r="C662">
        <v>0.93</v>
      </c>
    </row>
    <row r="663" spans="1:3" ht="14.5">
      <c r="A663" t="s">
        <v>5826</v>
      </c>
      <c r="B663" s="380" t="str">
        <f t="shared" si="10"/>
        <v>122-902</v>
      </c>
      <c r="C663">
        <v>0.93</v>
      </c>
    </row>
    <row r="664" spans="1:3" ht="14.5">
      <c r="A664" t="s">
        <v>8049</v>
      </c>
      <c r="B664" s="380" t="str">
        <f t="shared" si="10"/>
        <v>123-503</v>
      </c>
      <c r="C664">
        <v>0</v>
      </c>
    </row>
    <row r="665" spans="1:3" ht="14.5">
      <c r="A665" t="s">
        <v>8051</v>
      </c>
      <c r="B665" s="380" t="str">
        <f t="shared" si="10"/>
        <v>123-803</v>
      </c>
      <c r="C665">
        <v>0</v>
      </c>
    </row>
    <row r="666" spans="1:3" ht="14.5">
      <c r="A666" t="s">
        <v>8052</v>
      </c>
      <c r="B666" s="380" t="str">
        <f t="shared" si="10"/>
        <v>123-805</v>
      </c>
      <c r="C666">
        <v>0</v>
      </c>
    </row>
    <row r="667" spans="1:3" ht="14.5">
      <c r="A667" t="s">
        <v>8053</v>
      </c>
      <c r="B667" s="380" t="str">
        <f t="shared" si="10"/>
        <v>123-807</v>
      </c>
      <c r="C667">
        <v>0</v>
      </c>
    </row>
    <row r="668" spans="1:3" ht="14.5">
      <c r="A668" t="s">
        <v>3076</v>
      </c>
      <c r="B668" s="380" t="str">
        <f t="shared" si="10"/>
        <v>123-905</v>
      </c>
      <c r="C668">
        <v>0.93</v>
      </c>
    </row>
    <row r="669" spans="1:3" ht="14.5">
      <c r="A669" t="s">
        <v>5115</v>
      </c>
      <c r="B669" s="380" t="str">
        <f t="shared" si="10"/>
        <v>123-907</v>
      </c>
      <c r="C669">
        <v>0.93</v>
      </c>
    </row>
    <row r="670" spans="1:3" ht="14.5">
      <c r="A670" t="s">
        <v>5116</v>
      </c>
      <c r="B670" s="380" t="str">
        <f t="shared" si="10"/>
        <v>123-908</v>
      </c>
      <c r="C670">
        <v>0.93</v>
      </c>
    </row>
    <row r="671" spans="1:3" ht="14.5">
      <c r="A671" t="s">
        <v>5117</v>
      </c>
      <c r="B671" s="380" t="str">
        <f t="shared" si="10"/>
        <v>123-910</v>
      </c>
      <c r="C671">
        <v>0.93</v>
      </c>
    </row>
    <row r="672" spans="1:3" ht="14.5">
      <c r="A672" t="s">
        <v>5118</v>
      </c>
      <c r="B672" s="380" t="str">
        <f t="shared" si="10"/>
        <v>123-913</v>
      </c>
      <c r="C672">
        <v>0.93</v>
      </c>
    </row>
    <row r="673" spans="1:3" ht="14.5">
      <c r="A673" t="s">
        <v>3077</v>
      </c>
      <c r="B673" s="380" t="str">
        <f t="shared" si="10"/>
        <v>123-914</v>
      </c>
      <c r="C673">
        <v>0.93</v>
      </c>
    </row>
    <row r="674" spans="1:3" ht="14.5">
      <c r="A674" t="s">
        <v>5119</v>
      </c>
      <c r="B674" s="380" t="str">
        <f t="shared" si="10"/>
        <v>124-901</v>
      </c>
      <c r="C674">
        <v>0.93</v>
      </c>
    </row>
    <row r="675" spans="1:3" ht="14.5">
      <c r="A675" t="s">
        <v>3078</v>
      </c>
      <c r="B675" s="380" t="str">
        <f t="shared" si="10"/>
        <v>125-901</v>
      </c>
      <c r="C675">
        <v>0.93</v>
      </c>
    </row>
    <row r="676" spans="1:3" ht="14.5">
      <c r="A676" t="s">
        <v>3079</v>
      </c>
      <c r="B676" s="380" t="str">
        <f t="shared" si="10"/>
        <v>125-902</v>
      </c>
      <c r="C676">
        <v>0.93</v>
      </c>
    </row>
    <row r="677" spans="1:3" ht="14.5">
      <c r="A677" t="s">
        <v>3080</v>
      </c>
      <c r="B677" s="380" t="str">
        <f t="shared" si="10"/>
        <v>125-903</v>
      </c>
      <c r="C677">
        <v>0.93</v>
      </c>
    </row>
    <row r="678" spans="1:3" ht="14.5">
      <c r="A678" t="s">
        <v>3081</v>
      </c>
      <c r="B678" s="380" t="str">
        <f t="shared" si="10"/>
        <v>125-905</v>
      </c>
      <c r="C678">
        <v>0.93</v>
      </c>
    </row>
    <row r="679" spans="1:3" ht="14.5">
      <c r="A679" t="s">
        <v>5827</v>
      </c>
      <c r="B679" s="380" t="str">
        <f t="shared" si="10"/>
        <v>125-906</v>
      </c>
      <c r="C679">
        <v>0.93</v>
      </c>
    </row>
    <row r="680" spans="1:3" ht="14.5">
      <c r="A680" t="s">
        <v>3082</v>
      </c>
      <c r="B680" s="380" t="str">
        <f t="shared" si="10"/>
        <v>126-901</v>
      </c>
      <c r="C680">
        <v>0.93</v>
      </c>
    </row>
    <row r="681" spans="1:3" ht="14.5">
      <c r="A681" t="s">
        <v>3083</v>
      </c>
      <c r="B681" s="380" t="str">
        <f t="shared" si="10"/>
        <v>126-902</v>
      </c>
      <c r="C681">
        <v>0.93</v>
      </c>
    </row>
    <row r="682" spans="1:3" ht="14.5">
      <c r="A682" t="s">
        <v>5120</v>
      </c>
      <c r="B682" s="380" t="str">
        <f t="shared" si="10"/>
        <v>126-903</v>
      </c>
      <c r="C682">
        <v>0.93</v>
      </c>
    </row>
    <row r="683" spans="1:3" ht="14.5">
      <c r="A683" t="s">
        <v>4285</v>
      </c>
      <c r="B683" s="380" t="str">
        <f t="shared" si="10"/>
        <v>126-904</v>
      </c>
      <c r="C683">
        <v>0.93</v>
      </c>
    </row>
    <row r="684" spans="1:3" ht="14.5">
      <c r="A684" t="s">
        <v>3084</v>
      </c>
      <c r="B684" s="380" t="str">
        <f t="shared" si="10"/>
        <v>126-905</v>
      </c>
      <c r="C684">
        <v>0.93</v>
      </c>
    </row>
    <row r="685" spans="1:3" ht="14.5">
      <c r="A685" t="s">
        <v>3085</v>
      </c>
      <c r="B685" s="380" t="str">
        <f t="shared" si="10"/>
        <v>126-906</v>
      </c>
      <c r="C685">
        <v>0.93</v>
      </c>
    </row>
    <row r="686" spans="1:3" ht="14.5">
      <c r="A686" t="s">
        <v>3086</v>
      </c>
      <c r="B686" s="380" t="str">
        <f t="shared" si="10"/>
        <v>126-907</v>
      </c>
      <c r="C686">
        <v>0.93</v>
      </c>
    </row>
    <row r="687" spans="1:3" ht="14.5">
      <c r="A687" t="s">
        <v>3087</v>
      </c>
      <c r="B687" s="380" t="str">
        <f t="shared" si="10"/>
        <v>126-908</v>
      </c>
      <c r="C687">
        <v>0.93</v>
      </c>
    </row>
    <row r="688" spans="1:3" ht="14.5">
      <c r="A688" t="s">
        <v>3088</v>
      </c>
      <c r="B688" s="380" t="str">
        <f t="shared" si="10"/>
        <v>126-911</v>
      </c>
      <c r="C688">
        <v>0.93</v>
      </c>
    </row>
    <row r="689" spans="1:3" ht="14.5">
      <c r="A689" t="s">
        <v>5121</v>
      </c>
      <c r="B689" s="380" t="str">
        <f t="shared" si="10"/>
        <v>127-901</v>
      </c>
      <c r="C689">
        <v>0.93</v>
      </c>
    </row>
    <row r="690" spans="1:3" ht="14.5">
      <c r="A690" t="s">
        <v>5122</v>
      </c>
      <c r="B690" s="380" t="str">
        <f t="shared" si="10"/>
        <v>127-903</v>
      </c>
      <c r="C690">
        <v>0.93</v>
      </c>
    </row>
    <row r="691" spans="1:3" ht="14.5">
      <c r="A691" t="s">
        <v>5123</v>
      </c>
      <c r="B691" s="380" t="str">
        <f t="shared" si="10"/>
        <v>127-904</v>
      </c>
      <c r="C691">
        <v>0.93</v>
      </c>
    </row>
    <row r="692" spans="1:3" ht="14.5">
      <c r="A692" t="s">
        <v>3089</v>
      </c>
      <c r="B692" s="380" t="str">
        <f t="shared" si="10"/>
        <v>127-905</v>
      </c>
      <c r="C692">
        <v>0.93</v>
      </c>
    </row>
    <row r="693" spans="1:3" ht="14.5">
      <c r="A693" t="s">
        <v>3090</v>
      </c>
      <c r="B693" s="380" t="str">
        <f t="shared" si="10"/>
        <v>127-906</v>
      </c>
      <c r="C693">
        <v>0.93</v>
      </c>
    </row>
    <row r="694" spans="1:3" ht="14.5">
      <c r="A694" t="s">
        <v>4305</v>
      </c>
      <c r="B694" s="380" t="str">
        <f t="shared" si="10"/>
        <v>128-901</v>
      </c>
      <c r="C694">
        <v>0.93</v>
      </c>
    </row>
    <row r="695" spans="1:3" ht="14.5">
      <c r="A695" t="s">
        <v>3091</v>
      </c>
      <c r="B695" s="380" t="str">
        <f t="shared" si="10"/>
        <v>128-902</v>
      </c>
      <c r="C695">
        <v>0.93</v>
      </c>
    </row>
    <row r="696" spans="1:3" ht="14.5">
      <c r="A696" t="s">
        <v>5124</v>
      </c>
      <c r="B696" s="380" t="str">
        <f t="shared" si="10"/>
        <v>128-903</v>
      </c>
      <c r="C696">
        <v>0.93</v>
      </c>
    </row>
    <row r="697" spans="1:3" ht="14.5">
      <c r="A697" t="s">
        <v>3092</v>
      </c>
      <c r="B697" s="380" t="str">
        <f t="shared" si="10"/>
        <v>128-904</v>
      </c>
      <c r="C697">
        <v>0.93</v>
      </c>
    </row>
    <row r="698" spans="1:3" ht="14.5">
      <c r="A698" t="s">
        <v>3093</v>
      </c>
      <c r="B698" s="380" t="str">
        <f t="shared" si="10"/>
        <v>129-901</v>
      </c>
      <c r="C698">
        <v>0.93</v>
      </c>
    </row>
    <row r="699" spans="1:3" ht="14.5">
      <c r="A699" t="s">
        <v>3094</v>
      </c>
      <c r="B699" s="380" t="str">
        <f t="shared" si="10"/>
        <v>129-902</v>
      </c>
      <c r="C699">
        <v>0.93</v>
      </c>
    </row>
    <row r="700" spans="1:3" ht="14.5">
      <c r="A700" t="s">
        <v>3095</v>
      </c>
      <c r="B700" s="380" t="str">
        <f t="shared" si="10"/>
        <v>129-903</v>
      </c>
      <c r="C700">
        <v>0.93</v>
      </c>
    </row>
    <row r="701" spans="1:3" ht="14.5">
      <c r="A701" t="s">
        <v>3096</v>
      </c>
      <c r="B701" s="380" t="str">
        <f t="shared" si="10"/>
        <v>129-904</v>
      </c>
      <c r="C701">
        <v>0.93</v>
      </c>
    </row>
    <row r="702" spans="1:3" ht="14.5">
      <c r="A702" t="s">
        <v>5125</v>
      </c>
      <c r="B702" s="380" t="str">
        <f t="shared" si="10"/>
        <v>129-905</v>
      </c>
      <c r="C702">
        <v>0.93</v>
      </c>
    </row>
    <row r="703" spans="1:3" ht="14.5">
      <c r="A703" t="s">
        <v>5126</v>
      </c>
      <c r="B703" s="380" t="str">
        <f t="shared" si="10"/>
        <v>129-906</v>
      </c>
      <c r="C703">
        <v>0.93</v>
      </c>
    </row>
    <row r="704" spans="1:3" ht="14.5">
      <c r="A704" t="s">
        <v>3097</v>
      </c>
      <c r="B704" s="380" t="str">
        <f t="shared" si="10"/>
        <v>129-910</v>
      </c>
      <c r="C704">
        <v>0.93</v>
      </c>
    </row>
    <row r="705" spans="1:3" ht="14.5">
      <c r="A705" t="s">
        <v>8055</v>
      </c>
      <c r="B705" s="380" t="str">
        <f t="shared" si="10"/>
        <v>130-801</v>
      </c>
      <c r="C705">
        <v>0</v>
      </c>
    </row>
    <row r="706" spans="1:3" ht="14.5">
      <c r="A706" t="s">
        <v>5127</v>
      </c>
      <c r="B706" s="380" t="str">
        <f t="shared" si="10"/>
        <v>130-901</v>
      </c>
      <c r="C706">
        <v>0.93</v>
      </c>
    </row>
    <row r="707" spans="1:3" ht="14.5">
      <c r="A707" t="s">
        <v>5128</v>
      </c>
      <c r="B707" s="380" t="str">
        <f t="shared" ref="B707:B770" si="11">CONCATENATE(LEFT(RIGHT(CONCATENATE("000",A707),6),3),"-",(RIGHT(RIGHT(CONCATENATE("000",A707),6),3)))</f>
        <v>130-902</v>
      </c>
      <c r="C707">
        <v>0.93</v>
      </c>
    </row>
    <row r="708" spans="1:3" ht="14.5">
      <c r="A708" t="s">
        <v>5129</v>
      </c>
      <c r="B708" s="380" t="str">
        <f t="shared" si="11"/>
        <v>131-001</v>
      </c>
      <c r="C708">
        <v>0.93</v>
      </c>
    </row>
    <row r="709" spans="1:3" ht="14.5">
      <c r="A709" t="s">
        <v>5828</v>
      </c>
      <c r="B709" s="380" t="str">
        <f t="shared" si="11"/>
        <v>132-902</v>
      </c>
      <c r="C709">
        <v>0.93</v>
      </c>
    </row>
    <row r="710" spans="1:3" ht="14.5">
      <c r="A710" t="s">
        <v>3098</v>
      </c>
      <c r="B710" s="380" t="str">
        <f t="shared" si="11"/>
        <v>133-901</v>
      </c>
      <c r="C710">
        <v>0.93</v>
      </c>
    </row>
    <row r="711" spans="1:3" ht="14.5">
      <c r="A711" t="s">
        <v>5130</v>
      </c>
      <c r="B711" s="380" t="str">
        <f t="shared" si="11"/>
        <v>133-902</v>
      </c>
      <c r="C711">
        <v>0.93</v>
      </c>
    </row>
    <row r="712" spans="1:3" ht="14.5">
      <c r="A712" t="s">
        <v>5131</v>
      </c>
      <c r="B712" s="380" t="str">
        <f t="shared" si="11"/>
        <v>133-903</v>
      </c>
      <c r="C712">
        <v>0.93</v>
      </c>
    </row>
    <row r="713" spans="1:3" ht="14.5">
      <c r="A713" t="s">
        <v>5132</v>
      </c>
      <c r="B713" s="380" t="str">
        <f t="shared" si="11"/>
        <v>133-904</v>
      </c>
      <c r="C713">
        <v>0.93</v>
      </c>
    </row>
    <row r="714" spans="1:3" ht="14.5">
      <c r="A714" t="s">
        <v>5829</v>
      </c>
      <c r="B714" s="380" t="str">
        <f t="shared" si="11"/>
        <v>133-905</v>
      </c>
      <c r="C714">
        <v>0.75</v>
      </c>
    </row>
    <row r="715" spans="1:3" ht="14.5">
      <c r="A715" t="s">
        <v>5830</v>
      </c>
      <c r="B715" s="380" t="str">
        <f t="shared" si="11"/>
        <v>134-901</v>
      </c>
      <c r="C715">
        <v>0.93</v>
      </c>
    </row>
    <row r="716" spans="1:3" ht="14.5">
      <c r="A716" t="s">
        <v>5133</v>
      </c>
      <c r="B716" s="380" t="str">
        <f t="shared" si="11"/>
        <v>135-001</v>
      </c>
      <c r="C716">
        <v>0.93</v>
      </c>
    </row>
    <row r="717" spans="1:3" ht="14.5">
      <c r="A717" t="s">
        <v>5831</v>
      </c>
      <c r="B717" s="380" t="str">
        <f t="shared" si="11"/>
        <v>136-901</v>
      </c>
      <c r="C717">
        <v>0.93</v>
      </c>
    </row>
    <row r="718" spans="1:3" ht="14.5">
      <c r="A718" t="s">
        <v>3099</v>
      </c>
      <c r="B718" s="380" t="str">
        <f t="shared" si="11"/>
        <v>137-901</v>
      </c>
      <c r="C718">
        <v>0.93</v>
      </c>
    </row>
    <row r="719" spans="1:3" ht="14.5">
      <c r="A719" t="s">
        <v>5832</v>
      </c>
      <c r="B719" s="380" t="str">
        <f t="shared" si="11"/>
        <v>137-902</v>
      </c>
      <c r="C719">
        <v>0.93</v>
      </c>
    </row>
    <row r="720" spans="1:3" ht="14.5">
      <c r="A720" t="s">
        <v>5833</v>
      </c>
      <c r="B720" s="380" t="str">
        <f t="shared" si="11"/>
        <v>137-903</v>
      </c>
      <c r="C720">
        <v>0.93</v>
      </c>
    </row>
    <row r="721" spans="1:3" ht="14.5">
      <c r="A721" t="s">
        <v>5134</v>
      </c>
      <c r="B721" s="380" t="str">
        <f t="shared" si="11"/>
        <v>137-904</v>
      </c>
      <c r="C721">
        <v>0.93</v>
      </c>
    </row>
    <row r="722" spans="1:3" ht="14.5">
      <c r="A722" t="s">
        <v>3100</v>
      </c>
      <c r="B722" s="380" t="str">
        <f t="shared" si="11"/>
        <v>138-902</v>
      </c>
      <c r="C722">
        <v>0.93</v>
      </c>
    </row>
    <row r="723" spans="1:3" ht="14.5">
      <c r="A723" t="s">
        <v>5834</v>
      </c>
      <c r="B723" s="380" t="str">
        <f t="shared" si="11"/>
        <v>138-903</v>
      </c>
      <c r="C723">
        <v>0.93</v>
      </c>
    </row>
    <row r="724" spans="1:3" ht="14.5">
      <c r="A724" t="s">
        <v>5835</v>
      </c>
      <c r="B724" s="380" t="str">
        <f t="shared" si="11"/>
        <v>138-904</v>
      </c>
      <c r="C724">
        <v>0.93</v>
      </c>
    </row>
    <row r="725" spans="1:3" ht="14.5">
      <c r="A725" t="s">
        <v>5135</v>
      </c>
      <c r="B725" s="380" t="str">
        <f t="shared" si="11"/>
        <v>139-905</v>
      </c>
      <c r="C725">
        <v>0.93</v>
      </c>
    </row>
    <row r="726" spans="1:3" ht="14.5">
      <c r="A726" t="s">
        <v>3102</v>
      </c>
      <c r="B726" s="380" t="str">
        <f t="shared" si="11"/>
        <v>139-909</v>
      </c>
      <c r="C726">
        <v>0.93</v>
      </c>
    </row>
    <row r="727" spans="1:3" ht="14.5">
      <c r="A727" t="s">
        <v>5136</v>
      </c>
      <c r="B727" s="380" t="str">
        <f t="shared" si="11"/>
        <v>139-911</v>
      </c>
      <c r="C727">
        <v>0.93</v>
      </c>
    </row>
    <row r="728" spans="1:3" ht="14.5">
      <c r="A728" t="s">
        <v>3103</v>
      </c>
      <c r="B728" s="380" t="str">
        <f t="shared" si="11"/>
        <v>139-912</v>
      </c>
      <c r="C728">
        <v>0.93</v>
      </c>
    </row>
    <row r="729" spans="1:3" ht="14.5">
      <c r="A729" t="s">
        <v>5836</v>
      </c>
      <c r="B729" s="380" t="str">
        <f t="shared" si="11"/>
        <v>140-901</v>
      </c>
      <c r="C729">
        <v>0.93</v>
      </c>
    </row>
    <row r="730" spans="1:3" ht="14.5">
      <c r="A730" t="s">
        <v>5837</v>
      </c>
      <c r="B730" s="380" t="str">
        <f t="shared" si="11"/>
        <v>140-904</v>
      </c>
      <c r="C730">
        <v>0.93</v>
      </c>
    </row>
    <row r="731" spans="1:3" ht="14.5">
      <c r="A731" t="s">
        <v>4347</v>
      </c>
      <c r="B731" s="380" t="str">
        <f t="shared" si="11"/>
        <v>140-905</v>
      </c>
      <c r="C731">
        <v>0.93</v>
      </c>
    </row>
    <row r="732" spans="1:3" ht="14.5">
      <c r="A732" t="s">
        <v>5838</v>
      </c>
      <c r="B732" s="380" t="str">
        <f t="shared" si="11"/>
        <v>140-907</v>
      </c>
      <c r="C732">
        <v>0.93</v>
      </c>
    </row>
    <row r="733" spans="1:3" ht="14.5">
      <c r="A733" t="s">
        <v>5137</v>
      </c>
      <c r="B733" s="380" t="str">
        <f t="shared" si="11"/>
        <v>140-908</v>
      </c>
      <c r="C733">
        <v>0.93</v>
      </c>
    </row>
    <row r="734" spans="1:3" ht="14.5">
      <c r="A734" t="s">
        <v>3104</v>
      </c>
      <c r="B734" s="380" t="str">
        <f t="shared" si="11"/>
        <v>141-901</v>
      </c>
      <c r="C734">
        <v>0.93</v>
      </c>
    </row>
    <row r="735" spans="1:3" ht="14.5">
      <c r="A735" t="s">
        <v>5138</v>
      </c>
      <c r="B735" s="380" t="str">
        <f t="shared" si="11"/>
        <v>141-902</v>
      </c>
      <c r="C735">
        <v>0.93</v>
      </c>
    </row>
    <row r="736" spans="1:3" ht="14.5">
      <c r="A736" t="s">
        <v>3105</v>
      </c>
      <c r="B736" s="380" t="str">
        <f t="shared" si="11"/>
        <v>142-901</v>
      </c>
      <c r="C736">
        <v>0.93</v>
      </c>
    </row>
    <row r="737" spans="1:3" ht="14.5">
      <c r="A737" t="s">
        <v>5139</v>
      </c>
      <c r="B737" s="380" t="str">
        <f t="shared" si="11"/>
        <v>143-901</v>
      </c>
      <c r="C737">
        <v>0.93</v>
      </c>
    </row>
    <row r="738" spans="1:3" ht="14.5">
      <c r="A738" t="s">
        <v>5839</v>
      </c>
      <c r="B738" s="380" t="str">
        <f t="shared" si="11"/>
        <v>143-902</v>
      </c>
      <c r="C738">
        <v>0.93</v>
      </c>
    </row>
    <row r="739" spans="1:3" ht="14.5">
      <c r="A739" t="s">
        <v>5840</v>
      </c>
      <c r="B739" s="380" t="str">
        <f t="shared" si="11"/>
        <v>143-903</v>
      </c>
      <c r="C739">
        <v>0.93</v>
      </c>
    </row>
    <row r="740" spans="1:3" ht="14.5">
      <c r="A740" t="s">
        <v>5841</v>
      </c>
      <c r="B740" s="380" t="str">
        <f t="shared" si="11"/>
        <v>143-904</v>
      </c>
      <c r="C740">
        <v>0.93</v>
      </c>
    </row>
    <row r="741" spans="1:3" ht="14.5">
      <c r="A741" t="s">
        <v>5842</v>
      </c>
      <c r="B741" s="380" t="str">
        <f t="shared" si="11"/>
        <v>143-905</v>
      </c>
      <c r="C741">
        <v>0.93</v>
      </c>
    </row>
    <row r="742" spans="1:3" ht="14.5">
      <c r="A742" t="s">
        <v>5140</v>
      </c>
      <c r="B742" s="380" t="str">
        <f t="shared" si="11"/>
        <v>143-906</v>
      </c>
      <c r="C742">
        <v>0.93</v>
      </c>
    </row>
    <row r="743" spans="1:3" ht="14.5">
      <c r="A743" t="s">
        <v>5141</v>
      </c>
      <c r="B743" s="380" t="str">
        <f t="shared" si="11"/>
        <v>144-901</v>
      </c>
      <c r="C743">
        <v>0.93</v>
      </c>
    </row>
    <row r="744" spans="1:3" ht="14.5">
      <c r="A744" t="s">
        <v>5142</v>
      </c>
      <c r="B744" s="380" t="str">
        <f t="shared" si="11"/>
        <v>144-902</v>
      </c>
      <c r="C744">
        <v>0.93</v>
      </c>
    </row>
    <row r="745" spans="1:3" ht="14.5">
      <c r="A745" t="s">
        <v>5843</v>
      </c>
      <c r="B745" s="380" t="str">
        <f t="shared" si="11"/>
        <v>144-903</v>
      </c>
      <c r="C745">
        <v>0.93</v>
      </c>
    </row>
    <row r="746" spans="1:3" ht="14.5">
      <c r="A746" t="s">
        <v>5143</v>
      </c>
      <c r="B746" s="380" t="str">
        <f t="shared" si="11"/>
        <v>145-901</v>
      </c>
      <c r="C746">
        <v>0.93</v>
      </c>
    </row>
    <row r="747" spans="1:3" ht="14.5">
      <c r="A747" t="s">
        <v>5144</v>
      </c>
      <c r="B747" s="380" t="str">
        <f t="shared" si="11"/>
        <v>145-902</v>
      </c>
      <c r="C747">
        <v>0.93</v>
      </c>
    </row>
    <row r="748" spans="1:3" ht="14.5">
      <c r="A748" t="s">
        <v>5145</v>
      </c>
      <c r="B748" s="380" t="str">
        <f t="shared" si="11"/>
        <v>145-906</v>
      </c>
      <c r="C748">
        <v>0.93</v>
      </c>
    </row>
    <row r="749" spans="1:3" ht="14.5">
      <c r="A749" t="s">
        <v>5146</v>
      </c>
      <c r="B749" s="380" t="str">
        <f t="shared" si="11"/>
        <v>145-907</v>
      </c>
      <c r="C749">
        <v>0.93</v>
      </c>
    </row>
    <row r="750" spans="1:3" ht="14.5">
      <c r="A750" t="s">
        <v>5147</v>
      </c>
      <c r="B750" s="380" t="str">
        <f t="shared" si="11"/>
        <v>145-911</v>
      </c>
      <c r="C750">
        <v>0.93</v>
      </c>
    </row>
    <row r="751" spans="1:3" ht="14.5">
      <c r="A751" t="s">
        <v>3106</v>
      </c>
      <c r="B751" s="380" t="str">
        <f t="shared" si="11"/>
        <v>146-901</v>
      </c>
      <c r="C751">
        <v>0.93</v>
      </c>
    </row>
    <row r="752" spans="1:3" ht="14.5">
      <c r="A752" t="s">
        <v>3107</v>
      </c>
      <c r="B752" s="380" t="str">
        <f t="shared" si="11"/>
        <v>146-902</v>
      </c>
      <c r="C752">
        <v>0.93</v>
      </c>
    </row>
    <row r="753" spans="1:3" ht="14.5">
      <c r="A753" t="s">
        <v>5148</v>
      </c>
      <c r="B753" s="380" t="str">
        <f t="shared" si="11"/>
        <v>146-903</v>
      </c>
      <c r="C753">
        <v>0.93</v>
      </c>
    </row>
    <row r="754" spans="1:3" ht="14.5">
      <c r="A754" t="s">
        <v>3108</v>
      </c>
      <c r="B754" s="380" t="str">
        <f t="shared" si="11"/>
        <v>146-904</v>
      </c>
      <c r="C754">
        <v>0.93</v>
      </c>
    </row>
    <row r="755" spans="1:3" ht="14.5">
      <c r="A755" t="s">
        <v>3109</v>
      </c>
      <c r="B755" s="380" t="str">
        <f t="shared" si="11"/>
        <v>146-905</v>
      </c>
      <c r="C755">
        <v>0.93</v>
      </c>
    </row>
    <row r="756" spans="1:3" ht="14.5">
      <c r="A756" t="s">
        <v>5149</v>
      </c>
      <c r="B756" s="380" t="str">
        <f t="shared" si="11"/>
        <v>146-906</v>
      </c>
      <c r="C756">
        <v>0.93</v>
      </c>
    </row>
    <row r="757" spans="1:3" ht="14.5">
      <c r="A757" t="s">
        <v>5150</v>
      </c>
      <c r="B757" s="380" t="str">
        <f t="shared" si="11"/>
        <v>146-907</v>
      </c>
      <c r="C757">
        <v>0.93</v>
      </c>
    </row>
    <row r="758" spans="1:3" ht="14.5">
      <c r="A758" t="s">
        <v>3110</v>
      </c>
      <c r="B758" s="380" t="str">
        <f t="shared" si="11"/>
        <v>147-901</v>
      </c>
      <c r="C758">
        <v>0.93</v>
      </c>
    </row>
    <row r="759" spans="1:3" ht="14.5">
      <c r="A759" t="s">
        <v>5151</v>
      </c>
      <c r="B759" s="380" t="str">
        <f t="shared" si="11"/>
        <v>147-902</v>
      </c>
      <c r="C759">
        <v>0.93</v>
      </c>
    </row>
    <row r="760" spans="1:3" ht="14.5">
      <c r="A760" t="s">
        <v>5152</v>
      </c>
      <c r="B760" s="380" t="str">
        <f t="shared" si="11"/>
        <v>147-903</v>
      </c>
      <c r="C760">
        <v>0.93</v>
      </c>
    </row>
    <row r="761" spans="1:3" ht="14.5">
      <c r="A761" t="s">
        <v>5153</v>
      </c>
      <c r="B761" s="380" t="str">
        <f t="shared" si="11"/>
        <v>148-901</v>
      </c>
      <c r="C761">
        <v>0.93</v>
      </c>
    </row>
    <row r="762" spans="1:3" ht="14.5">
      <c r="A762" t="s">
        <v>5154</v>
      </c>
      <c r="B762" s="380" t="str">
        <f t="shared" si="11"/>
        <v>148-902</v>
      </c>
      <c r="C762">
        <v>0.93</v>
      </c>
    </row>
    <row r="763" spans="1:3" ht="14.5">
      <c r="A763" t="s">
        <v>5155</v>
      </c>
      <c r="B763" s="380" t="str">
        <f t="shared" si="11"/>
        <v>148-903</v>
      </c>
      <c r="C763">
        <v>0.93</v>
      </c>
    </row>
    <row r="764" spans="1:3" ht="14.5">
      <c r="A764" t="s">
        <v>5156</v>
      </c>
      <c r="B764" s="380" t="str">
        <f t="shared" si="11"/>
        <v>148-905</v>
      </c>
      <c r="C764">
        <v>0.93</v>
      </c>
    </row>
    <row r="765" spans="1:3" ht="14.5">
      <c r="A765" t="s">
        <v>5157</v>
      </c>
      <c r="B765" s="380" t="str">
        <f t="shared" si="11"/>
        <v>149-901</v>
      </c>
      <c r="C765">
        <v>0.93</v>
      </c>
    </row>
    <row r="766" spans="1:3" ht="14.5">
      <c r="A766" t="s">
        <v>5158</v>
      </c>
      <c r="B766" s="380" t="str">
        <f t="shared" si="11"/>
        <v>149-902</v>
      </c>
      <c r="C766">
        <v>0.93</v>
      </c>
    </row>
    <row r="767" spans="1:3" ht="14.5">
      <c r="A767" t="s">
        <v>5159</v>
      </c>
      <c r="B767" s="380" t="str">
        <f t="shared" si="11"/>
        <v>150-901</v>
      </c>
      <c r="C767">
        <v>0.93</v>
      </c>
    </row>
    <row r="768" spans="1:3" ht="14.5">
      <c r="A768" t="s">
        <v>8056</v>
      </c>
      <c r="B768" s="380" t="str">
        <f t="shared" si="11"/>
        <v>152-802</v>
      </c>
      <c r="C768">
        <v>0</v>
      </c>
    </row>
    <row r="769" spans="1:3" ht="14.5">
      <c r="A769" t="s">
        <v>8057</v>
      </c>
      <c r="B769" s="380" t="str">
        <f t="shared" si="11"/>
        <v>152-803</v>
      </c>
      <c r="C769">
        <v>0</v>
      </c>
    </row>
    <row r="770" spans="1:3" ht="14.5">
      <c r="A770" t="s">
        <v>8058</v>
      </c>
      <c r="B770" s="380" t="str">
        <f t="shared" si="11"/>
        <v>152-806</v>
      </c>
      <c r="C770">
        <v>0</v>
      </c>
    </row>
    <row r="771" spans="1:3" ht="14.5">
      <c r="A771" t="s">
        <v>4363</v>
      </c>
      <c r="B771" s="380" t="str">
        <f t="shared" ref="B771:B834" si="12">CONCATENATE(LEFT(RIGHT(CONCATENATE("000",A771),6),3),"-",(RIGHT(RIGHT(CONCATENATE("000",A771),6),3)))</f>
        <v>152-901</v>
      </c>
      <c r="C771">
        <v>0.93</v>
      </c>
    </row>
    <row r="772" spans="1:3" ht="14.5">
      <c r="A772" t="s">
        <v>5844</v>
      </c>
      <c r="B772" s="380" t="str">
        <f t="shared" si="12"/>
        <v>152-902</v>
      </c>
      <c r="C772">
        <v>0.93</v>
      </c>
    </row>
    <row r="773" spans="1:3" ht="14.5">
      <c r="A773" t="s">
        <v>5160</v>
      </c>
      <c r="B773" s="380" t="str">
        <f t="shared" si="12"/>
        <v>152-903</v>
      </c>
      <c r="C773">
        <v>0.93</v>
      </c>
    </row>
    <row r="774" spans="1:3" ht="14.5">
      <c r="A774" t="s">
        <v>3111</v>
      </c>
      <c r="B774" s="380" t="str">
        <f t="shared" si="12"/>
        <v>152-906</v>
      </c>
      <c r="C774">
        <v>0.93</v>
      </c>
    </row>
    <row r="775" spans="1:3" ht="14.5">
      <c r="A775" t="s">
        <v>3112</v>
      </c>
      <c r="B775" s="380" t="str">
        <f t="shared" si="12"/>
        <v>152-907</v>
      </c>
      <c r="C775">
        <v>0.93</v>
      </c>
    </row>
    <row r="776" spans="1:3" ht="14.5">
      <c r="A776" t="s">
        <v>5161</v>
      </c>
      <c r="B776" s="380" t="str">
        <f t="shared" si="12"/>
        <v>152-908</v>
      </c>
      <c r="C776">
        <v>0.93</v>
      </c>
    </row>
    <row r="777" spans="1:3" ht="14.5">
      <c r="A777" t="s">
        <v>3113</v>
      </c>
      <c r="B777" s="380" t="str">
        <f t="shared" si="12"/>
        <v>152-909</v>
      </c>
      <c r="C777">
        <v>0.93</v>
      </c>
    </row>
    <row r="778" spans="1:3" ht="14.5">
      <c r="A778" t="s">
        <v>3114</v>
      </c>
      <c r="B778" s="380" t="str">
        <f t="shared" si="12"/>
        <v>152-910</v>
      </c>
      <c r="C778">
        <v>0.93</v>
      </c>
    </row>
    <row r="779" spans="1:3" ht="14.5">
      <c r="A779" t="s">
        <v>8510</v>
      </c>
      <c r="B779" s="380" t="str">
        <f t="shared" si="12"/>
        <v>152-950</v>
      </c>
      <c r="C779">
        <v>0</v>
      </c>
    </row>
    <row r="780" spans="1:3" ht="14.5">
      <c r="A780" t="s">
        <v>5162</v>
      </c>
      <c r="B780" s="380" t="str">
        <f t="shared" si="12"/>
        <v>153-903</v>
      </c>
      <c r="C780">
        <v>0.93</v>
      </c>
    </row>
    <row r="781" spans="1:3" ht="14.5">
      <c r="A781" t="s">
        <v>5845</v>
      </c>
      <c r="B781" s="380" t="str">
        <f t="shared" si="12"/>
        <v>153-904</v>
      </c>
      <c r="C781">
        <v>0.93</v>
      </c>
    </row>
    <row r="782" spans="1:3" ht="14.5">
      <c r="A782" t="s">
        <v>5163</v>
      </c>
      <c r="B782" s="380" t="str">
        <f t="shared" si="12"/>
        <v>153-905</v>
      </c>
      <c r="C782">
        <v>0.93</v>
      </c>
    </row>
    <row r="783" spans="1:3" ht="14.5">
      <c r="A783" t="s">
        <v>5846</v>
      </c>
      <c r="B783" s="380" t="str">
        <f t="shared" si="12"/>
        <v>153-907</v>
      </c>
      <c r="C783">
        <v>0.93</v>
      </c>
    </row>
    <row r="784" spans="1:3" ht="14.5">
      <c r="A784" t="s">
        <v>3115</v>
      </c>
      <c r="B784" s="380" t="str">
        <f t="shared" si="12"/>
        <v>154-901</v>
      </c>
      <c r="C784">
        <v>0.93</v>
      </c>
    </row>
    <row r="785" spans="1:3" ht="14.5">
      <c r="A785" t="s">
        <v>3116</v>
      </c>
      <c r="B785" s="380" t="str">
        <f t="shared" si="12"/>
        <v>154-903</v>
      </c>
      <c r="C785">
        <v>0.93</v>
      </c>
    </row>
    <row r="786" spans="1:3" ht="14.5">
      <c r="A786" t="s">
        <v>5164</v>
      </c>
      <c r="B786" s="380" t="str">
        <f t="shared" si="12"/>
        <v>155-901</v>
      </c>
      <c r="C786">
        <v>0.93</v>
      </c>
    </row>
    <row r="787" spans="1:3" ht="14.5">
      <c r="A787" t="s">
        <v>5165</v>
      </c>
      <c r="B787" s="380" t="str">
        <f t="shared" si="12"/>
        <v>156-902</v>
      </c>
      <c r="C787">
        <v>0.93</v>
      </c>
    </row>
    <row r="788" spans="1:3" ht="14.5">
      <c r="A788" t="s">
        <v>5166</v>
      </c>
      <c r="B788" s="380" t="str">
        <f t="shared" si="12"/>
        <v>156-905</v>
      </c>
      <c r="C788">
        <v>0.93</v>
      </c>
    </row>
    <row r="789" spans="1:3" ht="14.5">
      <c r="A789" t="s">
        <v>5167</v>
      </c>
      <c r="B789" s="380" t="str">
        <f t="shared" si="12"/>
        <v>157-901</v>
      </c>
      <c r="C789">
        <v>0.93</v>
      </c>
    </row>
    <row r="790" spans="1:3" ht="14.5">
      <c r="A790" t="s">
        <v>5168</v>
      </c>
      <c r="B790" s="380" t="str">
        <f t="shared" si="12"/>
        <v>158-901</v>
      </c>
      <c r="C790">
        <v>0.93</v>
      </c>
    </row>
    <row r="791" spans="1:3" ht="14.5">
      <c r="A791" t="s">
        <v>5169</v>
      </c>
      <c r="B791" s="380" t="str">
        <f t="shared" si="12"/>
        <v>158-902</v>
      </c>
      <c r="C791">
        <v>0.93</v>
      </c>
    </row>
    <row r="792" spans="1:3" ht="14.5">
      <c r="A792" t="s">
        <v>5170</v>
      </c>
      <c r="B792" s="380" t="str">
        <f t="shared" si="12"/>
        <v>158-904</v>
      </c>
      <c r="C792">
        <v>0.93</v>
      </c>
    </row>
    <row r="793" spans="1:3" ht="14.5">
      <c r="A793" t="s">
        <v>5171</v>
      </c>
      <c r="B793" s="380" t="str">
        <f t="shared" si="12"/>
        <v>158-905</v>
      </c>
      <c r="C793">
        <v>0.93</v>
      </c>
    </row>
    <row r="794" spans="1:3" ht="14.5">
      <c r="A794" t="s">
        <v>5847</v>
      </c>
      <c r="B794" s="380" t="str">
        <f t="shared" si="12"/>
        <v>158-906</v>
      </c>
      <c r="C794">
        <v>0.93</v>
      </c>
    </row>
    <row r="795" spans="1:3" ht="14.5">
      <c r="A795" t="s">
        <v>3117</v>
      </c>
      <c r="B795" s="380" t="str">
        <f t="shared" si="12"/>
        <v>159-901</v>
      </c>
      <c r="C795">
        <v>0.93</v>
      </c>
    </row>
    <row r="796" spans="1:3" ht="14.5">
      <c r="A796" t="s">
        <v>3118</v>
      </c>
      <c r="B796" s="380" t="str">
        <f t="shared" si="12"/>
        <v>160-901</v>
      </c>
      <c r="C796">
        <v>0.93</v>
      </c>
    </row>
    <row r="797" spans="1:3" ht="14.5">
      <c r="A797" t="s">
        <v>5848</v>
      </c>
      <c r="B797" s="380" t="str">
        <f t="shared" si="12"/>
        <v>160-904</v>
      </c>
      <c r="C797">
        <v>0.93</v>
      </c>
    </row>
    <row r="798" spans="1:3" ht="14.5">
      <c r="A798" t="s">
        <v>3119</v>
      </c>
      <c r="B798" s="380" t="str">
        <f t="shared" si="12"/>
        <v>160-905</v>
      </c>
      <c r="C798">
        <v>0.93</v>
      </c>
    </row>
    <row r="799" spans="1:3" ht="14.5">
      <c r="A799" t="s">
        <v>8059</v>
      </c>
      <c r="B799" s="380" t="str">
        <f t="shared" si="12"/>
        <v>161-801</v>
      </c>
      <c r="C799">
        <v>0</v>
      </c>
    </row>
    <row r="800" spans="1:3" ht="14.5">
      <c r="A800" t="s">
        <v>8060</v>
      </c>
      <c r="B800" s="380" t="str">
        <f t="shared" si="12"/>
        <v>161-802</v>
      </c>
      <c r="C800">
        <v>0</v>
      </c>
    </row>
    <row r="801" spans="1:3" ht="14.5">
      <c r="A801" t="s">
        <v>8061</v>
      </c>
      <c r="B801" s="380" t="str">
        <f t="shared" si="12"/>
        <v>161-807</v>
      </c>
      <c r="C801">
        <v>0</v>
      </c>
    </row>
    <row r="802" spans="1:3" ht="14.5">
      <c r="A802" t="s">
        <v>3120</v>
      </c>
      <c r="B802" s="380" t="str">
        <f t="shared" si="12"/>
        <v>161-901</v>
      </c>
      <c r="C802">
        <v>0.93</v>
      </c>
    </row>
    <row r="803" spans="1:3" ht="14.5">
      <c r="A803" t="s">
        <v>5172</v>
      </c>
      <c r="B803" s="380" t="str">
        <f t="shared" si="12"/>
        <v>161-903</v>
      </c>
      <c r="C803">
        <v>0.93</v>
      </c>
    </row>
    <row r="804" spans="1:3" ht="14.5">
      <c r="A804" t="s">
        <v>3121</v>
      </c>
      <c r="B804" s="380" t="str">
        <f t="shared" si="12"/>
        <v>161-906</v>
      </c>
      <c r="C804">
        <v>0.93</v>
      </c>
    </row>
    <row r="805" spans="1:3" ht="14.5">
      <c r="A805" t="s">
        <v>3122</v>
      </c>
      <c r="B805" s="380" t="str">
        <f t="shared" si="12"/>
        <v>161-907</v>
      </c>
      <c r="C805">
        <v>0.93</v>
      </c>
    </row>
    <row r="806" spans="1:3" ht="14.5">
      <c r="A806" t="s">
        <v>3123</v>
      </c>
      <c r="B806" s="380" t="str">
        <f t="shared" si="12"/>
        <v>161-908</v>
      </c>
      <c r="C806">
        <v>0.93</v>
      </c>
    </row>
    <row r="807" spans="1:3" ht="14.5">
      <c r="A807" t="s">
        <v>3124</v>
      </c>
      <c r="B807" s="380" t="str">
        <f t="shared" si="12"/>
        <v>161-909</v>
      </c>
      <c r="C807">
        <v>0.93</v>
      </c>
    </row>
    <row r="808" spans="1:3" ht="14.5">
      <c r="A808" t="s">
        <v>3125</v>
      </c>
      <c r="B808" s="380" t="str">
        <f t="shared" si="12"/>
        <v>161-910</v>
      </c>
      <c r="C808">
        <v>0.93</v>
      </c>
    </row>
    <row r="809" spans="1:3" ht="14.5">
      <c r="A809" t="s">
        <v>3126</v>
      </c>
      <c r="B809" s="380" t="str">
        <f t="shared" si="12"/>
        <v>161-912</v>
      </c>
      <c r="C809">
        <v>0.93</v>
      </c>
    </row>
    <row r="810" spans="1:3" ht="14.5">
      <c r="A810" t="s">
        <v>3127</v>
      </c>
      <c r="B810" s="380" t="str">
        <f t="shared" si="12"/>
        <v>161-914</v>
      </c>
      <c r="C810">
        <v>0.93</v>
      </c>
    </row>
    <row r="811" spans="1:3" ht="14.5">
      <c r="A811" t="s">
        <v>3128</v>
      </c>
      <c r="B811" s="380" t="str">
        <f t="shared" si="12"/>
        <v>161-916</v>
      </c>
      <c r="C811">
        <v>0.93</v>
      </c>
    </row>
    <row r="812" spans="1:3" ht="14.5">
      <c r="A812" t="s">
        <v>5849</v>
      </c>
      <c r="B812" s="380" t="str">
        <f t="shared" si="12"/>
        <v>161-918</v>
      </c>
      <c r="C812">
        <v>0.93</v>
      </c>
    </row>
    <row r="813" spans="1:3" ht="14.5">
      <c r="A813" t="s">
        <v>3129</v>
      </c>
      <c r="B813" s="380" t="str">
        <f t="shared" si="12"/>
        <v>161-919</v>
      </c>
      <c r="C813">
        <v>0.93</v>
      </c>
    </row>
    <row r="814" spans="1:3" ht="14.5">
      <c r="A814" t="s">
        <v>3130</v>
      </c>
      <c r="B814" s="380" t="str">
        <f t="shared" si="12"/>
        <v>161-920</v>
      </c>
      <c r="C814">
        <v>0.93</v>
      </c>
    </row>
    <row r="815" spans="1:3" ht="14.5">
      <c r="A815" t="s">
        <v>3131</v>
      </c>
      <c r="B815" s="380" t="str">
        <f t="shared" si="12"/>
        <v>161-921</v>
      </c>
      <c r="C815">
        <v>0.93</v>
      </c>
    </row>
    <row r="816" spans="1:3" ht="14.5">
      <c r="A816" t="s">
        <v>3132</v>
      </c>
      <c r="B816" s="380" t="str">
        <f t="shared" si="12"/>
        <v>161-922</v>
      </c>
      <c r="C816">
        <v>0.93</v>
      </c>
    </row>
    <row r="817" spans="1:3" ht="14.5">
      <c r="A817" t="s">
        <v>3133</v>
      </c>
      <c r="B817" s="380" t="str">
        <f t="shared" si="12"/>
        <v>161-923</v>
      </c>
      <c r="C817">
        <v>0.93</v>
      </c>
    </row>
    <row r="818" spans="1:3" ht="14.5">
      <c r="A818" t="s">
        <v>5173</v>
      </c>
      <c r="B818" s="380" t="str">
        <f t="shared" si="12"/>
        <v>161-924</v>
      </c>
      <c r="C818">
        <v>0.93</v>
      </c>
    </row>
    <row r="819" spans="1:3" ht="14.5">
      <c r="A819" t="s">
        <v>5850</v>
      </c>
      <c r="B819" s="380" t="str">
        <f t="shared" si="12"/>
        <v>161-925</v>
      </c>
      <c r="C819">
        <v>0.93</v>
      </c>
    </row>
    <row r="820" spans="1:3" ht="14.5">
      <c r="A820" t="s">
        <v>8511</v>
      </c>
      <c r="B820" s="380" t="str">
        <f t="shared" si="12"/>
        <v>161-950</v>
      </c>
      <c r="C820">
        <v>0</v>
      </c>
    </row>
    <row r="821" spans="1:3" ht="14.5">
      <c r="A821" t="s">
        <v>5174</v>
      </c>
      <c r="B821" s="380" t="str">
        <f t="shared" si="12"/>
        <v>162-904</v>
      </c>
      <c r="C821">
        <v>0.93</v>
      </c>
    </row>
    <row r="822" spans="1:3" ht="14.5">
      <c r="A822" t="s">
        <v>3134</v>
      </c>
      <c r="B822" s="380" t="str">
        <f t="shared" si="12"/>
        <v>163-901</v>
      </c>
      <c r="C822">
        <v>0.93</v>
      </c>
    </row>
    <row r="823" spans="1:3" ht="14.5">
      <c r="A823" t="s">
        <v>3135</v>
      </c>
      <c r="B823" s="380" t="str">
        <f t="shared" si="12"/>
        <v>163-902</v>
      </c>
      <c r="C823">
        <v>0.93</v>
      </c>
    </row>
    <row r="824" spans="1:3" ht="14.5">
      <c r="A824" t="s">
        <v>3136</v>
      </c>
      <c r="B824" s="380" t="str">
        <f t="shared" si="12"/>
        <v>163-903</v>
      </c>
      <c r="C824">
        <v>0.93</v>
      </c>
    </row>
    <row r="825" spans="1:3" ht="14.5">
      <c r="A825" t="s">
        <v>3137</v>
      </c>
      <c r="B825" s="380" t="str">
        <f t="shared" si="12"/>
        <v>163-904</v>
      </c>
      <c r="C825">
        <v>0.93</v>
      </c>
    </row>
    <row r="826" spans="1:3" ht="14.5">
      <c r="A826" t="s">
        <v>3138</v>
      </c>
      <c r="B826" s="380" t="str">
        <f t="shared" si="12"/>
        <v>163-908</v>
      </c>
      <c r="C826">
        <v>0.93</v>
      </c>
    </row>
    <row r="827" spans="1:3" ht="14.5">
      <c r="A827" t="s">
        <v>5851</v>
      </c>
      <c r="B827" s="380" t="str">
        <f t="shared" si="12"/>
        <v>164-901</v>
      </c>
      <c r="C827">
        <v>0.93</v>
      </c>
    </row>
    <row r="828" spans="1:3" ht="14.5">
      <c r="A828" t="s">
        <v>8062</v>
      </c>
      <c r="B828" s="380" t="str">
        <f t="shared" si="12"/>
        <v>165-802</v>
      </c>
      <c r="C828">
        <v>0</v>
      </c>
    </row>
    <row r="829" spans="1:3" ht="14.5">
      <c r="A829" t="s">
        <v>3139</v>
      </c>
      <c r="B829" s="380" t="str">
        <f t="shared" si="12"/>
        <v>165-901</v>
      </c>
      <c r="C829">
        <v>0.93</v>
      </c>
    </row>
    <row r="830" spans="1:3" ht="14.5">
      <c r="A830" t="s">
        <v>5175</v>
      </c>
      <c r="B830" s="380" t="str">
        <f t="shared" si="12"/>
        <v>165-902</v>
      </c>
      <c r="C830">
        <v>0.93</v>
      </c>
    </row>
    <row r="831" spans="1:3" ht="14.5">
      <c r="A831" t="s">
        <v>8512</v>
      </c>
      <c r="B831" s="380" t="str">
        <f t="shared" si="12"/>
        <v>165-950</v>
      </c>
      <c r="C831">
        <v>0</v>
      </c>
    </row>
    <row r="832" spans="1:3" ht="14.5">
      <c r="A832" t="s">
        <v>3140</v>
      </c>
      <c r="B832" s="380" t="str">
        <f t="shared" si="12"/>
        <v>166-901</v>
      </c>
      <c r="C832">
        <v>0.93</v>
      </c>
    </row>
    <row r="833" spans="1:3" ht="14.5">
      <c r="A833" t="s">
        <v>5852</v>
      </c>
      <c r="B833" s="380" t="str">
        <f t="shared" si="12"/>
        <v>166-902</v>
      </c>
      <c r="C833">
        <v>0.93</v>
      </c>
    </row>
    <row r="834" spans="1:3" ht="14.5">
      <c r="A834" t="s">
        <v>5176</v>
      </c>
      <c r="B834" s="380" t="str">
        <f t="shared" si="12"/>
        <v>166-903</v>
      </c>
      <c r="C834">
        <v>0.93</v>
      </c>
    </row>
    <row r="835" spans="1:3" ht="14.5">
      <c r="A835" t="s">
        <v>5177</v>
      </c>
      <c r="B835" s="380" t="str">
        <f t="shared" ref="B835:B898" si="13">CONCATENATE(LEFT(RIGHT(CONCATENATE("000",A835),6),3),"-",(RIGHT(RIGHT(CONCATENATE("000",A835),6),3)))</f>
        <v>166-904</v>
      </c>
      <c r="C835">
        <v>0.93</v>
      </c>
    </row>
    <row r="836" spans="1:3" ht="14.5">
      <c r="A836" t="s">
        <v>5178</v>
      </c>
      <c r="B836" s="380" t="str">
        <f t="shared" si="13"/>
        <v>166-905</v>
      </c>
      <c r="C836">
        <v>0.93</v>
      </c>
    </row>
    <row r="837" spans="1:3" ht="14.5">
      <c r="A837" t="s">
        <v>3141</v>
      </c>
      <c r="B837" s="380" t="str">
        <f t="shared" si="13"/>
        <v>166-907</v>
      </c>
      <c r="C837">
        <v>0.93</v>
      </c>
    </row>
    <row r="838" spans="1:3" ht="14.5">
      <c r="A838" t="s">
        <v>3142</v>
      </c>
      <c r="B838" s="380" t="str">
        <f t="shared" si="13"/>
        <v>167-901</v>
      </c>
      <c r="C838">
        <v>0.93</v>
      </c>
    </row>
    <row r="839" spans="1:3" ht="14.5">
      <c r="A839" t="s">
        <v>5853</v>
      </c>
      <c r="B839" s="380" t="str">
        <f t="shared" si="13"/>
        <v>167-902</v>
      </c>
      <c r="C839">
        <v>0.93</v>
      </c>
    </row>
    <row r="840" spans="1:3" ht="14.5">
      <c r="A840" t="s">
        <v>3143</v>
      </c>
      <c r="B840" s="380" t="str">
        <f t="shared" si="13"/>
        <v>167-904</v>
      </c>
      <c r="C840">
        <v>0.93</v>
      </c>
    </row>
    <row r="841" spans="1:3" ht="14.5">
      <c r="A841" t="s">
        <v>5179</v>
      </c>
      <c r="B841" s="380" t="str">
        <f t="shared" si="13"/>
        <v>168-901</v>
      </c>
      <c r="C841">
        <v>0.93</v>
      </c>
    </row>
    <row r="842" spans="1:3" ht="14.5">
      <c r="A842" t="s">
        <v>5180</v>
      </c>
      <c r="B842" s="380" t="str">
        <f t="shared" si="13"/>
        <v>168-902</v>
      </c>
      <c r="C842">
        <v>0.93</v>
      </c>
    </row>
    <row r="843" spans="1:3" ht="14.5">
      <c r="A843" t="s">
        <v>5854</v>
      </c>
      <c r="B843" s="380" t="str">
        <f t="shared" si="13"/>
        <v>168-903</v>
      </c>
      <c r="C843">
        <v>0.93</v>
      </c>
    </row>
    <row r="844" spans="1:3" ht="14.5">
      <c r="A844" t="s">
        <v>3144</v>
      </c>
      <c r="B844" s="380" t="str">
        <f t="shared" si="13"/>
        <v>169-901</v>
      </c>
      <c r="C844">
        <v>0.93</v>
      </c>
    </row>
    <row r="845" spans="1:3" ht="14.5">
      <c r="A845" t="s">
        <v>5855</v>
      </c>
      <c r="B845" s="380" t="str">
        <f t="shared" si="13"/>
        <v>169-902</v>
      </c>
      <c r="C845">
        <v>0.93</v>
      </c>
    </row>
    <row r="846" spans="1:3" ht="14.5">
      <c r="A846" t="s">
        <v>5181</v>
      </c>
      <c r="B846" s="380" t="str">
        <f t="shared" si="13"/>
        <v>169-906</v>
      </c>
      <c r="C846">
        <v>0.93</v>
      </c>
    </row>
    <row r="847" spans="1:3" ht="14.5">
      <c r="A847" t="s">
        <v>5856</v>
      </c>
      <c r="B847" s="380" t="str">
        <f t="shared" si="13"/>
        <v>169-908</v>
      </c>
      <c r="C847">
        <v>0.93</v>
      </c>
    </row>
    <row r="848" spans="1:3" ht="14.5">
      <c r="A848" t="s">
        <v>5857</v>
      </c>
      <c r="B848" s="380" t="str">
        <f t="shared" si="13"/>
        <v>169-909</v>
      </c>
      <c r="C848">
        <v>0.93</v>
      </c>
    </row>
    <row r="849" spans="1:3" ht="14.5">
      <c r="A849" t="s">
        <v>5182</v>
      </c>
      <c r="B849" s="380" t="str">
        <f t="shared" si="13"/>
        <v>169-910</v>
      </c>
      <c r="C849">
        <v>0.93</v>
      </c>
    </row>
    <row r="850" spans="1:3" ht="14.5">
      <c r="A850" t="s">
        <v>5183</v>
      </c>
      <c r="B850" s="380" t="str">
        <f t="shared" si="13"/>
        <v>169-911</v>
      </c>
      <c r="C850">
        <v>0.93</v>
      </c>
    </row>
    <row r="851" spans="1:3" ht="14.5">
      <c r="A851" t="s">
        <v>8063</v>
      </c>
      <c r="B851" s="380" t="str">
        <f t="shared" si="13"/>
        <v>170-801</v>
      </c>
      <c r="C851">
        <v>0</v>
      </c>
    </row>
    <row r="852" spans="1:3" ht="14.5">
      <c r="A852" t="s">
        <v>3145</v>
      </c>
      <c r="B852" s="380" t="str">
        <f t="shared" si="13"/>
        <v>170-902</v>
      </c>
      <c r="C852">
        <v>0.93</v>
      </c>
    </row>
    <row r="853" spans="1:3" ht="14.5">
      <c r="A853" t="s">
        <v>5184</v>
      </c>
      <c r="B853" s="380" t="str">
        <f t="shared" si="13"/>
        <v>170-903</v>
      </c>
      <c r="C853">
        <v>0.93</v>
      </c>
    </row>
    <row r="854" spans="1:3" ht="14.5">
      <c r="A854" t="s">
        <v>3146</v>
      </c>
      <c r="B854" s="380" t="str">
        <f t="shared" si="13"/>
        <v>170-904</v>
      </c>
      <c r="C854">
        <v>0.93</v>
      </c>
    </row>
    <row r="855" spans="1:3" ht="14.5">
      <c r="A855" t="s">
        <v>3147</v>
      </c>
      <c r="B855" s="380" t="str">
        <f t="shared" si="13"/>
        <v>170-906</v>
      </c>
      <c r="C855">
        <v>0.93</v>
      </c>
    </row>
    <row r="856" spans="1:3" ht="14.5">
      <c r="A856" t="s">
        <v>3148</v>
      </c>
      <c r="B856" s="380" t="str">
        <f t="shared" si="13"/>
        <v>170-907</v>
      </c>
      <c r="C856">
        <v>0.93</v>
      </c>
    </row>
    <row r="857" spans="1:3" ht="14.5">
      <c r="A857" t="s">
        <v>3149</v>
      </c>
      <c r="B857" s="380" t="str">
        <f t="shared" si="13"/>
        <v>170-908</v>
      </c>
      <c r="C857">
        <v>0.93</v>
      </c>
    </row>
    <row r="858" spans="1:3" ht="14.5">
      <c r="A858" t="s">
        <v>5185</v>
      </c>
      <c r="B858" s="380" t="str">
        <f t="shared" si="13"/>
        <v>171-901</v>
      </c>
      <c r="C858">
        <v>0.93</v>
      </c>
    </row>
    <row r="859" spans="1:3" ht="14.5">
      <c r="A859" t="s">
        <v>5186</v>
      </c>
      <c r="B859" s="380" t="str">
        <f t="shared" si="13"/>
        <v>171-902</v>
      </c>
      <c r="C859">
        <v>0.93</v>
      </c>
    </row>
    <row r="860" spans="1:3" ht="14.5">
      <c r="A860" t="s">
        <v>5187</v>
      </c>
      <c r="B860" s="380" t="str">
        <f t="shared" si="13"/>
        <v>172-902</v>
      </c>
      <c r="C860">
        <v>0.93</v>
      </c>
    </row>
    <row r="861" spans="1:3" ht="14.5">
      <c r="A861" t="s">
        <v>5188</v>
      </c>
      <c r="B861" s="380" t="str">
        <f t="shared" si="13"/>
        <v>172-905</v>
      </c>
      <c r="C861">
        <v>0.93</v>
      </c>
    </row>
    <row r="862" spans="1:3" ht="14.5">
      <c r="A862" t="s">
        <v>5858</v>
      </c>
      <c r="B862" s="380" t="str">
        <f t="shared" si="13"/>
        <v>173-901</v>
      </c>
      <c r="C862">
        <v>0.93</v>
      </c>
    </row>
    <row r="863" spans="1:3" ht="14.5">
      <c r="A863" t="s">
        <v>8064</v>
      </c>
      <c r="B863" s="380" t="str">
        <f t="shared" si="13"/>
        <v>174-801</v>
      </c>
      <c r="C863">
        <v>0</v>
      </c>
    </row>
    <row r="864" spans="1:3" ht="14.5">
      <c r="A864" t="s">
        <v>3150</v>
      </c>
      <c r="B864" s="380" t="str">
        <f t="shared" si="13"/>
        <v>174-901</v>
      </c>
      <c r="C864">
        <v>0.93</v>
      </c>
    </row>
    <row r="865" spans="1:3" ht="14.5">
      <c r="A865" t="s">
        <v>5189</v>
      </c>
      <c r="B865" s="380" t="str">
        <f t="shared" si="13"/>
        <v>174-902</v>
      </c>
      <c r="C865">
        <v>0.93</v>
      </c>
    </row>
    <row r="866" spans="1:3" ht="14.5">
      <c r="A866" t="s">
        <v>3151</v>
      </c>
      <c r="B866" s="380" t="str">
        <f t="shared" si="13"/>
        <v>174-903</v>
      </c>
      <c r="C866">
        <v>0.93</v>
      </c>
    </row>
    <row r="867" spans="1:3" ht="14.5">
      <c r="A867" t="s">
        <v>5190</v>
      </c>
      <c r="B867" s="380" t="str">
        <f t="shared" si="13"/>
        <v>174-904</v>
      </c>
      <c r="C867">
        <v>0.93</v>
      </c>
    </row>
    <row r="868" spans="1:3" ht="14.5">
      <c r="A868" t="s">
        <v>3152</v>
      </c>
      <c r="B868" s="380" t="str">
        <f t="shared" si="13"/>
        <v>174-906</v>
      </c>
      <c r="C868">
        <v>0.93</v>
      </c>
    </row>
    <row r="869" spans="1:3" ht="14.5">
      <c r="A869" t="s">
        <v>3153</v>
      </c>
      <c r="B869" s="380" t="str">
        <f t="shared" si="13"/>
        <v>174-908</v>
      </c>
      <c r="C869">
        <v>0.93</v>
      </c>
    </row>
    <row r="870" spans="1:3" ht="14.5">
      <c r="A870" t="s">
        <v>4500</v>
      </c>
      <c r="B870" s="380" t="str">
        <f t="shared" si="13"/>
        <v>174-909</v>
      </c>
      <c r="C870">
        <v>0.93</v>
      </c>
    </row>
    <row r="871" spans="1:3" ht="14.5">
      <c r="A871" t="s">
        <v>5191</v>
      </c>
      <c r="B871" s="380" t="str">
        <f t="shared" si="13"/>
        <v>174-910</v>
      </c>
      <c r="C871">
        <v>0.93</v>
      </c>
    </row>
    <row r="872" spans="1:3" ht="14.5">
      <c r="A872" t="s">
        <v>5859</v>
      </c>
      <c r="B872" s="380" t="str">
        <f t="shared" si="13"/>
        <v>174-911</v>
      </c>
      <c r="C872">
        <v>0.93</v>
      </c>
    </row>
    <row r="873" spans="1:3" ht="14.5">
      <c r="A873" t="s">
        <v>5192</v>
      </c>
      <c r="B873" s="380" t="str">
        <f t="shared" si="13"/>
        <v>175-902</v>
      </c>
      <c r="C873">
        <v>0.93</v>
      </c>
    </row>
    <row r="874" spans="1:3" ht="14.5">
      <c r="A874" t="s">
        <v>3154</v>
      </c>
      <c r="B874" s="380" t="str">
        <f t="shared" si="13"/>
        <v>175-903</v>
      </c>
      <c r="C874">
        <v>0.93</v>
      </c>
    </row>
    <row r="875" spans="1:3" ht="14.5">
      <c r="A875" t="s">
        <v>3155</v>
      </c>
      <c r="B875" s="380" t="str">
        <f t="shared" si="13"/>
        <v>175-904</v>
      </c>
      <c r="C875">
        <v>0.93</v>
      </c>
    </row>
    <row r="876" spans="1:3" ht="14.5">
      <c r="A876" t="s">
        <v>5193</v>
      </c>
      <c r="B876" s="380" t="str">
        <f t="shared" si="13"/>
        <v>175-905</v>
      </c>
      <c r="C876">
        <v>0.93</v>
      </c>
    </row>
    <row r="877" spans="1:3" ht="14.5">
      <c r="A877" t="s">
        <v>3156</v>
      </c>
      <c r="B877" s="380" t="str">
        <f t="shared" si="13"/>
        <v>175-907</v>
      </c>
      <c r="C877">
        <v>0.93</v>
      </c>
    </row>
    <row r="878" spans="1:3" ht="14.5">
      <c r="A878" t="s">
        <v>5194</v>
      </c>
      <c r="B878" s="380" t="str">
        <f t="shared" si="13"/>
        <v>175-910</v>
      </c>
      <c r="C878">
        <v>0.93</v>
      </c>
    </row>
    <row r="879" spans="1:3" ht="14.5">
      <c r="A879" t="s">
        <v>3157</v>
      </c>
      <c r="B879" s="380" t="str">
        <f t="shared" si="13"/>
        <v>175-911</v>
      </c>
      <c r="C879">
        <v>0.93</v>
      </c>
    </row>
    <row r="880" spans="1:3" ht="14.5">
      <c r="A880" t="s">
        <v>5195</v>
      </c>
      <c r="B880" s="380" t="str">
        <f t="shared" si="13"/>
        <v>176-901</v>
      </c>
      <c r="C880">
        <v>0.93</v>
      </c>
    </row>
    <row r="881" spans="1:3" ht="14.5">
      <c r="A881" t="s">
        <v>3158</v>
      </c>
      <c r="B881" s="380" t="str">
        <f t="shared" si="13"/>
        <v>176-902</v>
      </c>
      <c r="C881">
        <v>0.93</v>
      </c>
    </row>
    <row r="882" spans="1:3" ht="14.5">
      <c r="A882" t="s">
        <v>3159</v>
      </c>
      <c r="B882" s="380" t="str">
        <f t="shared" si="13"/>
        <v>176-903</v>
      </c>
      <c r="C882">
        <v>0.93</v>
      </c>
    </row>
    <row r="883" spans="1:3" ht="14.5">
      <c r="A883" t="s">
        <v>3160</v>
      </c>
      <c r="B883" s="380" t="str">
        <f t="shared" si="13"/>
        <v>177-901</v>
      </c>
      <c r="C883">
        <v>0.93</v>
      </c>
    </row>
    <row r="884" spans="1:3" ht="14.5">
      <c r="A884" t="s">
        <v>5196</v>
      </c>
      <c r="B884" s="380" t="str">
        <f t="shared" si="13"/>
        <v>177-902</v>
      </c>
      <c r="C884">
        <v>0.93</v>
      </c>
    </row>
    <row r="885" spans="1:3" ht="14.5">
      <c r="A885" t="s">
        <v>5197</v>
      </c>
      <c r="B885" s="380" t="str">
        <f t="shared" si="13"/>
        <v>177-903</v>
      </c>
      <c r="C885">
        <v>0.93</v>
      </c>
    </row>
    <row r="886" spans="1:3" ht="14.5">
      <c r="A886" t="s">
        <v>5198</v>
      </c>
      <c r="B886" s="380" t="str">
        <f t="shared" si="13"/>
        <v>177-905</v>
      </c>
      <c r="C886">
        <v>0.93</v>
      </c>
    </row>
    <row r="887" spans="1:3" ht="14.5">
      <c r="A887" t="s">
        <v>8065</v>
      </c>
      <c r="B887" s="380" t="str">
        <f t="shared" si="13"/>
        <v>178-801</v>
      </c>
      <c r="C887">
        <v>0</v>
      </c>
    </row>
    <row r="888" spans="1:3" ht="14.5">
      <c r="A888" t="s">
        <v>8066</v>
      </c>
      <c r="B888" s="380" t="str">
        <f t="shared" si="13"/>
        <v>178-807</v>
      </c>
      <c r="C888">
        <v>0</v>
      </c>
    </row>
    <row r="889" spans="1:3" ht="14.5">
      <c r="A889" t="s">
        <v>8067</v>
      </c>
      <c r="B889" s="380" t="str">
        <f t="shared" si="13"/>
        <v>178-808</v>
      </c>
      <c r="C889">
        <v>0</v>
      </c>
    </row>
    <row r="890" spans="1:3" ht="14.5">
      <c r="A890" t="s">
        <v>5199</v>
      </c>
      <c r="B890" s="380" t="str">
        <f t="shared" si="13"/>
        <v>178-901</v>
      </c>
      <c r="C890">
        <v>0.93</v>
      </c>
    </row>
    <row r="891" spans="1:3" ht="14.5">
      <c r="A891" t="s">
        <v>5200</v>
      </c>
      <c r="B891" s="380" t="str">
        <f t="shared" si="13"/>
        <v>178-902</v>
      </c>
      <c r="C891">
        <v>0.93</v>
      </c>
    </row>
    <row r="892" spans="1:3" ht="14.5">
      <c r="A892" t="s">
        <v>5201</v>
      </c>
      <c r="B892" s="380" t="str">
        <f t="shared" si="13"/>
        <v>178-903</v>
      </c>
      <c r="C892">
        <v>0.93</v>
      </c>
    </row>
    <row r="893" spans="1:3" ht="14.5">
      <c r="A893" t="s">
        <v>3161</v>
      </c>
      <c r="B893" s="380" t="str">
        <f t="shared" si="13"/>
        <v>178-904</v>
      </c>
      <c r="C893">
        <v>0.93</v>
      </c>
    </row>
    <row r="894" spans="1:3" ht="14.5">
      <c r="A894" t="s">
        <v>5202</v>
      </c>
      <c r="B894" s="380" t="str">
        <f t="shared" si="13"/>
        <v>178-905</v>
      </c>
      <c r="C894">
        <v>0.93</v>
      </c>
    </row>
    <row r="895" spans="1:3" ht="14.5">
      <c r="A895" t="s">
        <v>5203</v>
      </c>
      <c r="B895" s="380" t="str">
        <f t="shared" si="13"/>
        <v>178-906</v>
      </c>
      <c r="C895">
        <v>0.93</v>
      </c>
    </row>
    <row r="896" spans="1:3" ht="14.5">
      <c r="A896" t="s">
        <v>5204</v>
      </c>
      <c r="B896" s="380" t="str">
        <f t="shared" si="13"/>
        <v>178-908</v>
      </c>
      <c r="C896">
        <v>0.93</v>
      </c>
    </row>
    <row r="897" spans="1:3" ht="14.5">
      <c r="A897" t="s">
        <v>3162</v>
      </c>
      <c r="B897" s="380" t="str">
        <f t="shared" si="13"/>
        <v>178-909</v>
      </c>
      <c r="C897">
        <v>0.93</v>
      </c>
    </row>
    <row r="898" spans="1:3" ht="14.5">
      <c r="A898" t="s">
        <v>5205</v>
      </c>
      <c r="B898" s="380" t="str">
        <f t="shared" si="13"/>
        <v>178-912</v>
      </c>
      <c r="C898">
        <v>0.93</v>
      </c>
    </row>
    <row r="899" spans="1:3" ht="14.5">
      <c r="A899" t="s">
        <v>3163</v>
      </c>
      <c r="B899" s="380" t="str">
        <f t="shared" ref="B899:B962" si="14">CONCATENATE(LEFT(RIGHT(CONCATENATE("000",A899),6),3),"-",(RIGHT(RIGHT(CONCATENATE("000",A899),6),3)))</f>
        <v>178-913</v>
      </c>
      <c r="C899">
        <v>0.93</v>
      </c>
    </row>
    <row r="900" spans="1:3" ht="14.5">
      <c r="A900" t="s">
        <v>5206</v>
      </c>
      <c r="B900" s="380" t="str">
        <f t="shared" si="14"/>
        <v>178-914</v>
      </c>
      <c r="C900">
        <v>0.93</v>
      </c>
    </row>
    <row r="901" spans="1:3" ht="14.5">
      <c r="A901" t="s">
        <v>3164</v>
      </c>
      <c r="B901" s="380" t="str">
        <f t="shared" si="14"/>
        <v>178-915</v>
      </c>
      <c r="C901">
        <v>0.93</v>
      </c>
    </row>
    <row r="902" spans="1:3" ht="14.5">
      <c r="A902" t="s">
        <v>8513</v>
      </c>
      <c r="B902" s="380" t="str">
        <f t="shared" si="14"/>
        <v>178-950</v>
      </c>
      <c r="C902">
        <v>0</v>
      </c>
    </row>
    <row r="903" spans="1:3" ht="14.5">
      <c r="A903" t="s">
        <v>3165</v>
      </c>
      <c r="B903" s="380" t="str">
        <f t="shared" si="14"/>
        <v>179-901</v>
      </c>
      <c r="C903">
        <v>0.93</v>
      </c>
    </row>
    <row r="904" spans="1:3" ht="14.5">
      <c r="A904" t="s">
        <v>7356</v>
      </c>
      <c r="B904" s="380" t="str">
        <f t="shared" si="14"/>
        <v>180-901</v>
      </c>
      <c r="C904">
        <v>0</v>
      </c>
    </row>
    <row r="905" spans="1:3" ht="14.5">
      <c r="A905" t="s">
        <v>5207</v>
      </c>
      <c r="B905" s="380" t="str">
        <f t="shared" si="14"/>
        <v>180-902</v>
      </c>
      <c r="C905">
        <v>0.93</v>
      </c>
    </row>
    <row r="906" spans="1:3" ht="14.5">
      <c r="A906" t="s">
        <v>5860</v>
      </c>
      <c r="B906" s="380" t="str">
        <f t="shared" si="14"/>
        <v>180-903</v>
      </c>
      <c r="C906">
        <v>0.93</v>
      </c>
    </row>
    <row r="907" spans="1:3" ht="14.5">
      <c r="A907" t="s">
        <v>5208</v>
      </c>
      <c r="B907" s="380" t="str">
        <f t="shared" si="14"/>
        <v>180-904</v>
      </c>
      <c r="C907">
        <v>0.93</v>
      </c>
    </row>
    <row r="908" spans="1:3" ht="14.5">
      <c r="A908" t="s">
        <v>3166</v>
      </c>
      <c r="B908" s="380" t="str">
        <f t="shared" si="14"/>
        <v>181-901</v>
      </c>
      <c r="C908">
        <v>0.93</v>
      </c>
    </row>
    <row r="909" spans="1:3" ht="14.5">
      <c r="A909" t="s">
        <v>5209</v>
      </c>
      <c r="B909" s="380" t="str">
        <f t="shared" si="14"/>
        <v>181-905</v>
      </c>
      <c r="C909">
        <v>0.93</v>
      </c>
    </row>
    <row r="910" spans="1:3" ht="14.5">
      <c r="A910" t="s">
        <v>5210</v>
      </c>
      <c r="B910" s="380" t="str">
        <f t="shared" si="14"/>
        <v>181-906</v>
      </c>
      <c r="C910">
        <v>0.93</v>
      </c>
    </row>
    <row r="911" spans="1:3" ht="14.5">
      <c r="A911" t="s">
        <v>3167</v>
      </c>
      <c r="B911" s="380" t="str">
        <f t="shared" si="14"/>
        <v>181-907</v>
      </c>
      <c r="C911">
        <v>0.93</v>
      </c>
    </row>
    <row r="912" spans="1:3" ht="14.5">
      <c r="A912" t="s">
        <v>5211</v>
      </c>
      <c r="B912" s="380" t="str">
        <f t="shared" si="14"/>
        <v>181-908</v>
      </c>
      <c r="C912">
        <v>0.93</v>
      </c>
    </row>
    <row r="913" spans="1:3" ht="14.5">
      <c r="A913" t="s">
        <v>8514</v>
      </c>
      <c r="B913" s="380" t="str">
        <f t="shared" si="14"/>
        <v>181-950</v>
      </c>
      <c r="C913">
        <v>0</v>
      </c>
    </row>
    <row r="914" spans="1:3" ht="14.5">
      <c r="A914" t="s">
        <v>5212</v>
      </c>
      <c r="B914" s="380" t="str">
        <f t="shared" si="14"/>
        <v>182-901</v>
      </c>
      <c r="C914">
        <v>0.93</v>
      </c>
    </row>
    <row r="915" spans="1:3" ht="14.5">
      <c r="A915" t="s">
        <v>5213</v>
      </c>
      <c r="B915" s="380" t="str">
        <f t="shared" si="14"/>
        <v>182-902</v>
      </c>
      <c r="C915">
        <v>0.93</v>
      </c>
    </row>
    <row r="916" spans="1:3" ht="14.5">
      <c r="A916" t="s">
        <v>3168</v>
      </c>
      <c r="B916" s="380" t="str">
        <f t="shared" si="14"/>
        <v>182-903</v>
      </c>
      <c r="C916">
        <v>0.93</v>
      </c>
    </row>
    <row r="917" spans="1:3" ht="14.5">
      <c r="A917" t="s">
        <v>5214</v>
      </c>
      <c r="B917" s="380" t="str">
        <f t="shared" si="14"/>
        <v>182-904</v>
      </c>
      <c r="C917">
        <v>0.93</v>
      </c>
    </row>
    <row r="918" spans="1:3" ht="14.5">
      <c r="A918" t="s">
        <v>5861</v>
      </c>
      <c r="B918" s="380" t="str">
        <f t="shared" si="14"/>
        <v>182-905</v>
      </c>
      <c r="C918">
        <v>0.93</v>
      </c>
    </row>
    <row r="919" spans="1:3" ht="14.5">
      <c r="A919" t="s">
        <v>5215</v>
      </c>
      <c r="B919" s="380" t="str">
        <f t="shared" si="14"/>
        <v>182-906</v>
      </c>
      <c r="C919">
        <v>0.93</v>
      </c>
    </row>
    <row r="920" spans="1:3" ht="14.5">
      <c r="A920" t="s">
        <v>8068</v>
      </c>
      <c r="B920" s="380" t="str">
        <f t="shared" si="14"/>
        <v>183-801</v>
      </c>
      <c r="C920">
        <v>0</v>
      </c>
    </row>
    <row r="921" spans="1:3" ht="14.5">
      <c r="A921" t="s">
        <v>5216</v>
      </c>
      <c r="B921" s="380" t="str">
        <f t="shared" si="14"/>
        <v>183-901</v>
      </c>
      <c r="C921">
        <v>0.93</v>
      </c>
    </row>
    <row r="922" spans="1:3" ht="14.5">
      <c r="A922" t="s">
        <v>5217</v>
      </c>
      <c r="B922" s="380" t="str">
        <f t="shared" si="14"/>
        <v>183-902</v>
      </c>
      <c r="C922">
        <v>0.93</v>
      </c>
    </row>
    <row r="923" spans="1:3" ht="14.5">
      <c r="A923" t="s">
        <v>3169</v>
      </c>
      <c r="B923" s="380" t="str">
        <f t="shared" si="14"/>
        <v>183-904</v>
      </c>
      <c r="C923">
        <v>0.93</v>
      </c>
    </row>
    <row r="924" spans="1:3" ht="14.5">
      <c r="A924" t="s">
        <v>8069</v>
      </c>
      <c r="B924" s="380" t="str">
        <f t="shared" si="14"/>
        <v>184-801</v>
      </c>
      <c r="C924">
        <v>0</v>
      </c>
    </row>
    <row r="925" spans="1:3" ht="14.5">
      <c r="A925" t="s">
        <v>3170</v>
      </c>
      <c r="B925" s="380" t="str">
        <f t="shared" si="14"/>
        <v>184-901</v>
      </c>
      <c r="C925">
        <v>0.93</v>
      </c>
    </row>
    <row r="926" spans="1:3" ht="14.5">
      <c r="A926" t="s">
        <v>3171</v>
      </c>
      <c r="B926" s="380" t="str">
        <f t="shared" si="14"/>
        <v>184-902</v>
      </c>
      <c r="C926">
        <v>0.93</v>
      </c>
    </row>
    <row r="927" spans="1:3" ht="14.5">
      <c r="A927" t="s">
        <v>3172</v>
      </c>
      <c r="B927" s="380" t="str">
        <f t="shared" si="14"/>
        <v>184-903</v>
      </c>
      <c r="C927">
        <v>0.93</v>
      </c>
    </row>
    <row r="928" spans="1:3" ht="14.5">
      <c r="A928" t="s">
        <v>3173</v>
      </c>
      <c r="B928" s="380" t="str">
        <f t="shared" si="14"/>
        <v>184-904</v>
      </c>
      <c r="C928">
        <v>0.93</v>
      </c>
    </row>
    <row r="929" spans="1:3" ht="14.5">
      <c r="A929" t="s">
        <v>5218</v>
      </c>
      <c r="B929" s="380" t="str">
        <f t="shared" si="14"/>
        <v>184-907</v>
      </c>
      <c r="C929">
        <v>0.93</v>
      </c>
    </row>
    <row r="930" spans="1:3" ht="14.5">
      <c r="A930" t="s">
        <v>3174</v>
      </c>
      <c r="B930" s="380" t="str">
        <f t="shared" si="14"/>
        <v>184-908</v>
      </c>
      <c r="C930">
        <v>0.93</v>
      </c>
    </row>
    <row r="931" spans="1:3" ht="14.5">
      <c r="A931" t="s">
        <v>3175</v>
      </c>
      <c r="B931" s="380" t="str">
        <f t="shared" si="14"/>
        <v>184-909</v>
      </c>
      <c r="C931">
        <v>0.93</v>
      </c>
    </row>
    <row r="932" spans="1:3" ht="14.5">
      <c r="A932" t="s">
        <v>5219</v>
      </c>
      <c r="B932" s="380" t="str">
        <f t="shared" si="14"/>
        <v>184-911</v>
      </c>
      <c r="C932">
        <v>0.93</v>
      </c>
    </row>
    <row r="933" spans="1:3" ht="14.5">
      <c r="A933" t="s">
        <v>5862</v>
      </c>
      <c r="B933" s="380" t="str">
        <f t="shared" si="14"/>
        <v>185-901</v>
      </c>
      <c r="C933">
        <v>0.93</v>
      </c>
    </row>
    <row r="934" spans="1:3" ht="14.5">
      <c r="A934" t="s">
        <v>5863</v>
      </c>
      <c r="B934" s="380" t="str">
        <f t="shared" si="14"/>
        <v>185-902</v>
      </c>
      <c r="C934">
        <v>0.93</v>
      </c>
    </row>
    <row r="935" spans="1:3" ht="14.5">
      <c r="A935" t="s">
        <v>5220</v>
      </c>
      <c r="B935" s="380" t="str">
        <f t="shared" si="14"/>
        <v>185-903</v>
      </c>
      <c r="C935">
        <v>0.93</v>
      </c>
    </row>
    <row r="936" spans="1:3" ht="14.5">
      <c r="A936" t="s">
        <v>5864</v>
      </c>
      <c r="B936" s="380" t="str">
        <f t="shared" si="14"/>
        <v>185-904</v>
      </c>
      <c r="C936">
        <v>0.93</v>
      </c>
    </row>
    <row r="937" spans="1:3" ht="14.5">
      <c r="A937" t="s">
        <v>5221</v>
      </c>
      <c r="B937" s="380" t="str">
        <f t="shared" si="14"/>
        <v>186-901</v>
      </c>
      <c r="C937">
        <v>0.93</v>
      </c>
    </row>
    <row r="938" spans="1:3" ht="14.5">
      <c r="A938" t="s">
        <v>5222</v>
      </c>
      <c r="B938" s="380" t="str">
        <f t="shared" si="14"/>
        <v>186-902</v>
      </c>
      <c r="C938">
        <v>0.93</v>
      </c>
    </row>
    <row r="939" spans="1:3" ht="14.5">
      <c r="A939" t="s">
        <v>5223</v>
      </c>
      <c r="B939" s="380" t="str">
        <f t="shared" si="14"/>
        <v>186-903</v>
      </c>
      <c r="C939">
        <v>0.93</v>
      </c>
    </row>
    <row r="940" spans="1:3" ht="14.5">
      <c r="A940" t="s">
        <v>5224</v>
      </c>
      <c r="B940" s="380" t="str">
        <f t="shared" si="14"/>
        <v>187-901</v>
      </c>
      <c r="C940">
        <v>0.93</v>
      </c>
    </row>
    <row r="941" spans="1:3" ht="14.5">
      <c r="A941" t="s">
        <v>5865</v>
      </c>
      <c r="B941" s="380" t="str">
        <f t="shared" si="14"/>
        <v>187-903</v>
      </c>
      <c r="C941">
        <v>0.93</v>
      </c>
    </row>
    <row r="942" spans="1:3" ht="14.5">
      <c r="A942" t="s">
        <v>5225</v>
      </c>
      <c r="B942" s="380" t="str">
        <f t="shared" si="14"/>
        <v>187-904</v>
      </c>
      <c r="C942">
        <v>0.93</v>
      </c>
    </row>
    <row r="943" spans="1:3" ht="14.5">
      <c r="A943" t="s">
        <v>5226</v>
      </c>
      <c r="B943" s="380" t="str">
        <f t="shared" si="14"/>
        <v>187-906</v>
      </c>
      <c r="C943">
        <v>0.93</v>
      </c>
    </row>
    <row r="944" spans="1:3" ht="14.5">
      <c r="A944" t="s">
        <v>3176</v>
      </c>
      <c r="B944" s="380" t="str">
        <f t="shared" si="14"/>
        <v>187-907</v>
      </c>
      <c r="C944">
        <v>0.93</v>
      </c>
    </row>
    <row r="945" spans="1:3" ht="14.5">
      <c r="A945" t="s">
        <v>5227</v>
      </c>
      <c r="B945" s="380" t="str">
        <f t="shared" si="14"/>
        <v>187-910</v>
      </c>
      <c r="C945">
        <v>0.93</v>
      </c>
    </row>
    <row r="946" spans="1:3" ht="14.5">
      <c r="A946" t="s">
        <v>3177</v>
      </c>
      <c r="B946" s="380" t="str">
        <f t="shared" si="14"/>
        <v>188-901</v>
      </c>
      <c r="C946">
        <v>0.93</v>
      </c>
    </row>
    <row r="947" spans="1:3" ht="14.5">
      <c r="A947" t="s">
        <v>3178</v>
      </c>
      <c r="B947" s="380" t="str">
        <f t="shared" si="14"/>
        <v>188-902</v>
      </c>
      <c r="C947">
        <v>0.93</v>
      </c>
    </row>
    <row r="948" spans="1:3" ht="14.5">
      <c r="A948" t="s">
        <v>5228</v>
      </c>
      <c r="B948" s="380" t="str">
        <f t="shared" si="14"/>
        <v>188-903</v>
      </c>
      <c r="C948">
        <v>0.93</v>
      </c>
    </row>
    <row r="949" spans="1:3" ht="14.5">
      <c r="A949" t="s">
        <v>5229</v>
      </c>
      <c r="B949" s="380" t="str">
        <f t="shared" si="14"/>
        <v>188-904</v>
      </c>
      <c r="C949">
        <v>0.93</v>
      </c>
    </row>
    <row r="950" spans="1:3" ht="14.5">
      <c r="A950" t="s">
        <v>8515</v>
      </c>
      <c r="B950" s="380" t="str">
        <f t="shared" si="14"/>
        <v>188-950</v>
      </c>
      <c r="C950">
        <v>0</v>
      </c>
    </row>
    <row r="951" spans="1:3" ht="14.5">
      <c r="A951" t="s">
        <v>3179</v>
      </c>
      <c r="B951" s="380" t="str">
        <f t="shared" si="14"/>
        <v>189-901</v>
      </c>
      <c r="C951">
        <v>0.93</v>
      </c>
    </row>
    <row r="952" spans="1:3" ht="14.5">
      <c r="A952" t="s">
        <v>3180</v>
      </c>
      <c r="B952" s="380" t="str">
        <f t="shared" si="14"/>
        <v>189-902</v>
      </c>
      <c r="C952">
        <v>0.93</v>
      </c>
    </row>
    <row r="953" spans="1:3" ht="14.5">
      <c r="A953" t="s">
        <v>5230</v>
      </c>
      <c r="B953" s="380" t="str">
        <f t="shared" si="14"/>
        <v>190-903</v>
      </c>
      <c r="C953">
        <v>0.93</v>
      </c>
    </row>
    <row r="954" spans="1:3" ht="14.5">
      <c r="A954" t="s">
        <v>5231</v>
      </c>
      <c r="B954" s="380" t="str">
        <f t="shared" si="14"/>
        <v>191-901</v>
      </c>
      <c r="C954">
        <v>0.93</v>
      </c>
    </row>
    <row r="955" spans="1:3" ht="14.5">
      <c r="A955" t="s">
        <v>5232</v>
      </c>
      <c r="B955" s="380" t="str">
        <f t="shared" si="14"/>
        <v>192-901</v>
      </c>
      <c r="C955">
        <v>0.93</v>
      </c>
    </row>
    <row r="956" spans="1:3" ht="14.5">
      <c r="A956" t="s">
        <v>8070</v>
      </c>
      <c r="B956" s="380" t="str">
        <f t="shared" si="14"/>
        <v>193-801</v>
      </c>
      <c r="C956">
        <v>0</v>
      </c>
    </row>
    <row r="957" spans="1:3" ht="14.5">
      <c r="A957" t="s">
        <v>5233</v>
      </c>
      <c r="B957" s="380" t="str">
        <f t="shared" si="14"/>
        <v>193-902</v>
      </c>
      <c r="C957">
        <v>0.93</v>
      </c>
    </row>
    <row r="958" spans="1:3" ht="14.5">
      <c r="A958" t="s">
        <v>5866</v>
      </c>
      <c r="B958" s="380" t="str">
        <f t="shared" si="14"/>
        <v>194-902</v>
      </c>
      <c r="C958">
        <v>0.93</v>
      </c>
    </row>
    <row r="959" spans="1:3" ht="14.5">
      <c r="A959" t="s">
        <v>3181</v>
      </c>
      <c r="B959" s="380" t="str">
        <f t="shared" si="14"/>
        <v>194-903</v>
      </c>
      <c r="C959">
        <v>0.93</v>
      </c>
    </row>
    <row r="960" spans="1:3" ht="14.5">
      <c r="A960" t="s">
        <v>5867</v>
      </c>
      <c r="B960" s="380" t="str">
        <f t="shared" si="14"/>
        <v>194-904</v>
      </c>
      <c r="C960">
        <v>0.93</v>
      </c>
    </row>
    <row r="961" spans="1:3" ht="14.5">
      <c r="A961" t="s">
        <v>3182</v>
      </c>
      <c r="B961" s="380" t="str">
        <f t="shared" si="14"/>
        <v>194-905</v>
      </c>
      <c r="C961">
        <v>0.93</v>
      </c>
    </row>
    <row r="962" spans="1:3" ht="14.5">
      <c r="A962" t="s">
        <v>5234</v>
      </c>
      <c r="B962" s="380" t="str">
        <f t="shared" si="14"/>
        <v>195-901</v>
      </c>
      <c r="C962">
        <v>0.93</v>
      </c>
    </row>
    <row r="963" spans="1:3" ht="14.5">
      <c r="A963" t="s">
        <v>3183</v>
      </c>
      <c r="B963" s="380" t="str">
        <f t="shared" ref="B963:B1026" si="15">CONCATENATE(LEFT(RIGHT(CONCATENATE("000",A963),6),3),"-",(RIGHT(RIGHT(CONCATENATE("000",A963),6),3)))</f>
        <v>195-902</v>
      </c>
      <c r="C963">
        <v>0.93</v>
      </c>
    </row>
    <row r="964" spans="1:3" ht="14.5">
      <c r="A964" t="s">
        <v>5235</v>
      </c>
      <c r="B964" s="380" t="str">
        <f t="shared" si="15"/>
        <v>196-901</v>
      </c>
      <c r="C964">
        <v>0.93</v>
      </c>
    </row>
    <row r="965" spans="1:3" ht="14.5">
      <c r="A965" t="s">
        <v>5236</v>
      </c>
      <c r="B965" s="380" t="str">
        <f t="shared" si="15"/>
        <v>196-902</v>
      </c>
      <c r="C965">
        <v>0.93</v>
      </c>
    </row>
    <row r="966" spans="1:3" ht="14.5">
      <c r="A966" t="s">
        <v>5237</v>
      </c>
      <c r="B966" s="380" t="str">
        <f t="shared" si="15"/>
        <v>196-903</v>
      </c>
      <c r="C966">
        <v>0.93</v>
      </c>
    </row>
    <row r="967" spans="1:3" ht="14.5">
      <c r="A967" t="s">
        <v>5238</v>
      </c>
      <c r="B967" s="380" t="str">
        <f t="shared" si="15"/>
        <v>197-902</v>
      </c>
      <c r="C967">
        <v>0.93</v>
      </c>
    </row>
    <row r="968" spans="1:3" ht="14.5">
      <c r="A968" t="s">
        <v>5239</v>
      </c>
      <c r="B968" s="380" t="str">
        <f t="shared" si="15"/>
        <v>198-901</v>
      </c>
      <c r="C968">
        <v>0.93</v>
      </c>
    </row>
    <row r="969" spans="1:3" ht="14.5">
      <c r="A969" t="s">
        <v>5868</v>
      </c>
      <c r="B969" s="380" t="str">
        <f t="shared" si="15"/>
        <v>198-902</v>
      </c>
      <c r="C969">
        <v>0.93</v>
      </c>
    </row>
    <row r="970" spans="1:3" ht="14.5">
      <c r="A970" t="s">
        <v>5240</v>
      </c>
      <c r="B970" s="380" t="str">
        <f t="shared" si="15"/>
        <v>198-903</v>
      </c>
      <c r="C970">
        <v>0.93</v>
      </c>
    </row>
    <row r="971" spans="1:3" ht="14.5">
      <c r="A971" t="s">
        <v>5241</v>
      </c>
      <c r="B971" s="380" t="str">
        <f t="shared" si="15"/>
        <v>198-905</v>
      </c>
      <c r="C971">
        <v>0.93</v>
      </c>
    </row>
    <row r="972" spans="1:3" ht="14.5">
      <c r="A972" t="s">
        <v>5869</v>
      </c>
      <c r="B972" s="380" t="str">
        <f t="shared" si="15"/>
        <v>198-906</v>
      </c>
      <c r="C972">
        <v>0.93</v>
      </c>
    </row>
    <row r="973" spans="1:3" ht="14.5">
      <c r="A973" t="s">
        <v>5242</v>
      </c>
      <c r="B973" s="380" t="str">
        <f t="shared" si="15"/>
        <v>199-901</v>
      </c>
      <c r="C973">
        <v>0.93</v>
      </c>
    </row>
    <row r="974" spans="1:3" ht="14.5">
      <c r="A974" t="s">
        <v>3184</v>
      </c>
      <c r="B974" s="380" t="str">
        <f t="shared" si="15"/>
        <v>199-902</v>
      </c>
      <c r="C974">
        <v>0.93</v>
      </c>
    </row>
    <row r="975" spans="1:3" ht="14.5">
      <c r="A975" t="s">
        <v>5870</v>
      </c>
      <c r="B975" s="380" t="str">
        <f t="shared" si="15"/>
        <v>200-901</v>
      </c>
      <c r="C975">
        <v>0.93</v>
      </c>
    </row>
    <row r="976" spans="1:3" ht="14.5">
      <c r="A976" t="s">
        <v>3185</v>
      </c>
      <c r="B976" s="380" t="str">
        <f t="shared" si="15"/>
        <v>200-902</v>
      </c>
      <c r="C976">
        <v>0.93</v>
      </c>
    </row>
    <row r="977" spans="1:3" ht="14.5">
      <c r="A977" t="s">
        <v>4591</v>
      </c>
      <c r="B977" s="380" t="str">
        <f t="shared" si="15"/>
        <v>200-904</v>
      </c>
      <c r="C977">
        <v>0.93</v>
      </c>
    </row>
    <row r="978" spans="1:3" ht="14.5">
      <c r="A978" t="s">
        <v>3186</v>
      </c>
      <c r="B978" s="380" t="str">
        <f t="shared" si="15"/>
        <v>200-906</v>
      </c>
      <c r="C978">
        <v>0.93</v>
      </c>
    </row>
    <row r="979" spans="1:3" ht="14.5">
      <c r="A979" t="s">
        <v>5243</v>
      </c>
      <c r="B979" s="380" t="str">
        <f t="shared" si="15"/>
        <v>201-902</v>
      </c>
      <c r="C979">
        <v>0.93</v>
      </c>
    </row>
    <row r="980" spans="1:3" ht="14.5">
      <c r="A980" t="s">
        <v>5871</v>
      </c>
      <c r="B980" s="380" t="str">
        <f t="shared" si="15"/>
        <v>201-903</v>
      </c>
      <c r="C980">
        <v>0.93</v>
      </c>
    </row>
    <row r="981" spans="1:3" ht="14.5">
      <c r="A981" t="s">
        <v>5872</v>
      </c>
      <c r="B981" s="380" t="str">
        <f t="shared" si="15"/>
        <v>201-904</v>
      </c>
      <c r="C981">
        <v>0.93</v>
      </c>
    </row>
    <row r="982" spans="1:3" ht="14.5">
      <c r="A982" t="s">
        <v>4595</v>
      </c>
      <c r="B982" s="380" t="str">
        <f t="shared" si="15"/>
        <v>201-907</v>
      </c>
      <c r="C982">
        <v>0.93</v>
      </c>
    </row>
    <row r="983" spans="1:3" ht="14.5">
      <c r="A983" t="s">
        <v>3187</v>
      </c>
      <c r="B983" s="380" t="str">
        <f t="shared" si="15"/>
        <v>201-908</v>
      </c>
      <c r="C983">
        <v>0.93</v>
      </c>
    </row>
    <row r="984" spans="1:3" ht="14.5">
      <c r="A984" t="s">
        <v>5244</v>
      </c>
      <c r="B984" s="380" t="str">
        <f t="shared" si="15"/>
        <v>201-910</v>
      </c>
      <c r="C984">
        <v>0.93</v>
      </c>
    </row>
    <row r="985" spans="1:3" ht="14.5">
      <c r="A985" t="s">
        <v>3188</v>
      </c>
      <c r="B985" s="380" t="str">
        <f t="shared" si="15"/>
        <v>201-913</v>
      </c>
      <c r="C985">
        <v>0.93</v>
      </c>
    </row>
    <row r="986" spans="1:3" ht="14.5">
      <c r="A986" t="s">
        <v>5245</v>
      </c>
      <c r="B986" s="380" t="str">
        <f t="shared" si="15"/>
        <v>201-914</v>
      </c>
      <c r="C986">
        <v>0.93</v>
      </c>
    </row>
    <row r="987" spans="1:3" ht="14.5">
      <c r="A987" t="s">
        <v>5873</v>
      </c>
      <c r="B987" s="380" t="str">
        <f t="shared" si="15"/>
        <v>202-903</v>
      </c>
      <c r="C987">
        <v>0.93</v>
      </c>
    </row>
    <row r="988" spans="1:3" ht="14.5">
      <c r="A988" t="s">
        <v>3189</v>
      </c>
      <c r="B988" s="380" t="str">
        <f t="shared" si="15"/>
        <v>202-905</v>
      </c>
      <c r="C988">
        <v>0.93</v>
      </c>
    </row>
    <row r="989" spans="1:3" ht="14.5">
      <c r="A989" t="s">
        <v>3190</v>
      </c>
      <c r="B989" s="380" t="str">
        <f t="shared" si="15"/>
        <v>203-901</v>
      </c>
      <c r="C989">
        <v>0.93</v>
      </c>
    </row>
    <row r="990" spans="1:3" ht="14.5">
      <c r="A990" t="s">
        <v>5874</v>
      </c>
      <c r="B990" s="380" t="str">
        <f t="shared" si="15"/>
        <v>203-902</v>
      </c>
      <c r="C990">
        <v>0.93</v>
      </c>
    </row>
    <row r="991" spans="1:3" ht="14.5">
      <c r="A991" t="s">
        <v>5246</v>
      </c>
      <c r="B991" s="380" t="str">
        <f t="shared" si="15"/>
        <v>204-901</v>
      </c>
      <c r="C991">
        <v>0.93</v>
      </c>
    </row>
    <row r="992" spans="1:3" ht="14.5">
      <c r="A992" t="s">
        <v>3191</v>
      </c>
      <c r="B992" s="380" t="str">
        <f t="shared" si="15"/>
        <v>204-904</v>
      </c>
      <c r="C992">
        <v>0.93</v>
      </c>
    </row>
    <row r="993" spans="1:3" ht="14.5">
      <c r="A993" t="s">
        <v>3192</v>
      </c>
      <c r="B993" s="380" t="str">
        <f t="shared" si="15"/>
        <v>205-901</v>
      </c>
      <c r="C993">
        <v>0.93</v>
      </c>
    </row>
    <row r="994" spans="1:3" ht="14.5">
      <c r="A994" t="s">
        <v>5247</v>
      </c>
      <c r="B994" s="380" t="str">
        <f t="shared" si="15"/>
        <v>205-902</v>
      </c>
      <c r="C994">
        <v>0.93</v>
      </c>
    </row>
    <row r="995" spans="1:3" ht="14.5">
      <c r="A995" t="s">
        <v>5248</v>
      </c>
      <c r="B995" s="380" t="str">
        <f t="shared" si="15"/>
        <v>205-903</v>
      </c>
      <c r="C995">
        <v>0.93</v>
      </c>
    </row>
    <row r="996" spans="1:3" ht="14.5">
      <c r="A996" t="s">
        <v>3193</v>
      </c>
      <c r="B996" s="380" t="str">
        <f t="shared" si="15"/>
        <v>205-904</v>
      </c>
      <c r="C996">
        <v>0.93</v>
      </c>
    </row>
    <row r="997" spans="1:3" ht="14.5">
      <c r="A997" t="s">
        <v>3194</v>
      </c>
      <c r="B997" s="380" t="str">
        <f t="shared" si="15"/>
        <v>205-905</v>
      </c>
      <c r="C997">
        <v>0.93</v>
      </c>
    </row>
    <row r="998" spans="1:3" ht="14.5">
      <c r="A998" t="s">
        <v>3195</v>
      </c>
      <c r="B998" s="380" t="str">
        <f t="shared" si="15"/>
        <v>205-906</v>
      </c>
      <c r="C998">
        <v>0.93</v>
      </c>
    </row>
    <row r="999" spans="1:3" ht="14.5">
      <c r="A999" t="s">
        <v>3196</v>
      </c>
      <c r="B999" s="380" t="str">
        <f t="shared" si="15"/>
        <v>205-907</v>
      </c>
      <c r="C999">
        <v>0.93</v>
      </c>
    </row>
    <row r="1000" spans="1:3" ht="14.5">
      <c r="A1000" t="s">
        <v>3197</v>
      </c>
      <c r="B1000" s="380" t="str">
        <f t="shared" si="15"/>
        <v>206-901</v>
      </c>
      <c r="C1000">
        <v>0.93</v>
      </c>
    </row>
    <row r="1001" spans="1:3" ht="14.5">
      <c r="A1001" t="s">
        <v>5875</v>
      </c>
      <c r="B1001" s="380" t="str">
        <f t="shared" si="15"/>
        <v>206-902</v>
      </c>
      <c r="C1001">
        <v>0.93</v>
      </c>
    </row>
    <row r="1002" spans="1:3" ht="14.5">
      <c r="A1002" t="s">
        <v>5876</v>
      </c>
      <c r="B1002" s="380" t="str">
        <f t="shared" si="15"/>
        <v>206-903</v>
      </c>
      <c r="C1002">
        <v>0.93</v>
      </c>
    </row>
    <row r="1003" spans="1:3" ht="14.5">
      <c r="A1003" t="s">
        <v>5877</v>
      </c>
      <c r="B1003" s="380" t="str">
        <f t="shared" si="15"/>
        <v>207-901</v>
      </c>
      <c r="C1003">
        <v>0.93</v>
      </c>
    </row>
    <row r="1004" spans="1:3" ht="14.5">
      <c r="A1004" t="s">
        <v>5249</v>
      </c>
      <c r="B1004" s="380" t="str">
        <f t="shared" si="15"/>
        <v>208-901</v>
      </c>
      <c r="C1004">
        <v>0.93</v>
      </c>
    </row>
    <row r="1005" spans="1:3" ht="14.5">
      <c r="A1005" t="s">
        <v>5250</v>
      </c>
      <c r="B1005" s="380" t="str">
        <f t="shared" si="15"/>
        <v>208-902</v>
      </c>
      <c r="C1005">
        <v>0.93</v>
      </c>
    </row>
    <row r="1006" spans="1:3" ht="14.5">
      <c r="A1006" t="s">
        <v>5251</v>
      </c>
      <c r="B1006" s="380" t="str">
        <f t="shared" si="15"/>
        <v>208-903</v>
      </c>
      <c r="C1006">
        <v>0.93</v>
      </c>
    </row>
    <row r="1007" spans="1:3" ht="14.5">
      <c r="A1007" t="s">
        <v>5878</v>
      </c>
      <c r="B1007" s="380" t="str">
        <f t="shared" si="15"/>
        <v>209-901</v>
      </c>
      <c r="C1007">
        <v>0.93</v>
      </c>
    </row>
    <row r="1008" spans="1:3" ht="14.5">
      <c r="A1008" t="s">
        <v>5879</v>
      </c>
      <c r="B1008" s="380" t="str">
        <f t="shared" si="15"/>
        <v>209-902</v>
      </c>
      <c r="C1008">
        <v>0.93</v>
      </c>
    </row>
    <row r="1009" spans="1:3" ht="14.5">
      <c r="A1009" t="s">
        <v>3198</v>
      </c>
      <c r="B1009" s="380" t="str">
        <f t="shared" si="15"/>
        <v>210-901</v>
      </c>
      <c r="C1009">
        <v>0.93</v>
      </c>
    </row>
    <row r="1010" spans="1:3" ht="14.5">
      <c r="A1010" t="s">
        <v>5252</v>
      </c>
      <c r="B1010" s="380" t="str">
        <f t="shared" si="15"/>
        <v>210-902</v>
      </c>
      <c r="C1010">
        <v>0.93</v>
      </c>
    </row>
    <row r="1011" spans="1:3" ht="14.5">
      <c r="A1011" t="s">
        <v>3199</v>
      </c>
      <c r="B1011" s="380" t="str">
        <f t="shared" si="15"/>
        <v>210-903</v>
      </c>
      <c r="C1011">
        <v>0.93</v>
      </c>
    </row>
    <row r="1012" spans="1:3" ht="14.5">
      <c r="A1012" t="s">
        <v>5253</v>
      </c>
      <c r="B1012" s="380" t="str">
        <f t="shared" si="15"/>
        <v>210-904</v>
      </c>
      <c r="C1012">
        <v>0.93</v>
      </c>
    </row>
    <row r="1013" spans="1:3" ht="14.5">
      <c r="A1013" t="s">
        <v>5880</v>
      </c>
      <c r="B1013" s="380" t="str">
        <f t="shared" si="15"/>
        <v>210-905</v>
      </c>
      <c r="C1013">
        <v>0.93</v>
      </c>
    </row>
    <row r="1014" spans="1:3" ht="14.5">
      <c r="A1014" t="s">
        <v>5881</v>
      </c>
      <c r="B1014" s="380" t="str">
        <f t="shared" si="15"/>
        <v>210-906</v>
      </c>
      <c r="C1014">
        <v>0.93</v>
      </c>
    </row>
    <row r="1015" spans="1:3" ht="14.5">
      <c r="A1015" t="s">
        <v>5254</v>
      </c>
      <c r="B1015" s="380" t="str">
        <f t="shared" si="15"/>
        <v>211-901</v>
      </c>
      <c r="C1015">
        <v>0.93</v>
      </c>
    </row>
    <row r="1016" spans="1:3" ht="14.5">
      <c r="A1016" t="s">
        <v>5882</v>
      </c>
      <c r="B1016" s="380" t="str">
        <f t="shared" si="15"/>
        <v>211-902</v>
      </c>
      <c r="C1016">
        <v>0.93</v>
      </c>
    </row>
    <row r="1017" spans="1:3" ht="14.5">
      <c r="A1017" t="s">
        <v>8071</v>
      </c>
      <c r="B1017" s="380" t="str">
        <f t="shared" si="15"/>
        <v>212-801</v>
      </c>
      <c r="C1017">
        <v>0</v>
      </c>
    </row>
    <row r="1018" spans="1:3" ht="14.5">
      <c r="A1018" t="s">
        <v>8072</v>
      </c>
      <c r="B1018" s="380" t="str">
        <f t="shared" si="15"/>
        <v>212-804</v>
      </c>
      <c r="C1018">
        <v>0</v>
      </c>
    </row>
    <row r="1019" spans="1:3" ht="14.5">
      <c r="A1019" t="s">
        <v>3200</v>
      </c>
      <c r="B1019" s="380" t="str">
        <f t="shared" si="15"/>
        <v>212-901</v>
      </c>
      <c r="C1019">
        <v>0.93</v>
      </c>
    </row>
    <row r="1020" spans="1:3" ht="14.5">
      <c r="A1020" t="s">
        <v>5255</v>
      </c>
      <c r="B1020" s="380" t="str">
        <f t="shared" si="15"/>
        <v>212-902</v>
      </c>
      <c r="C1020">
        <v>0.93</v>
      </c>
    </row>
    <row r="1021" spans="1:3" ht="14.5">
      <c r="A1021" t="s">
        <v>3201</v>
      </c>
      <c r="B1021" s="380" t="str">
        <f t="shared" si="15"/>
        <v>212-903</v>
      </c>
      <c r="C1021">
        <v>0.93</v>
      </c>
    </row>
    <row r="1022" spans="1:3" ht="14.5">
      <c r="A1022" t="s">
        <v>5256</v>
      </c>
      <c r="B1022" s="380" t="str">
        <f t="shared" si="15"/>
        <v>212-904</v>
      </c>
      <c r="C1022">
        <v>0.93</v>
      </c>
    </row>
    <row r="1023" spans="1:3" ht="14.5">
      <c r="A1023" t="s">
        <v>5257</v>
      </c>
      <c r="B1023" s="380" t="str">
        <f t="shared" si="15"/>
        <v>212-905</v>
      </c>
      <c r="C1023">
        <v>0.93</v>
      </c>
    </row>
    <row r="1024" spans="1:3" ht="14.5">
      <c r="A1024" t="s">
        <v>3202</v>
      </c>
      <c r="B1024" s="380" t="str">
        <f t="shared" si="15"/>
        <v>212-906</v>
      </c>
      <c r="C1024">
        <v>0.93</v>
      </c>
    </row>
    <row r="1025" spans="1:3" ht="14.5">
      <c r="A1025" t="s">
        <v>3203</v>
      </c>
      <c r="B1025" s="380" t="str">
        <f t="shared" si="15"/>
        <v>212-909</v>
      </c>
      <c r="C1025">
        <v>0.93</v>
      </c>
    </row>
    <row r="1026" spans="1:3" ht="14.5">
      <c r="A1026" t="s">
        <v>5258</v>
      </c>
      <c r="B1026" s="380" t="str">
        <f t="shared" si="15"/>
        <v>212-910</v>
      </c>
      <c r="C1026">
        <v>0.93</v>
      </c>
    </row>
    <row r="1027" spans="1:3" ht="14.5">
      <c r="A1027" t="s">
        <v>8073</v>
      </c>
      <c r="B1027" s="380" t="str">
        <f t="shared" ref="B1027:B1090" si="16">CONCATENATE(LEFT(RIGHT(CONCATENATE("000",A1027),6),3),"-",(RIGHT(RIGHT(CONCATENATE("000",A1027),6),3)))</f>
        <v>213-801</v>
      </c>
      <c r="C1027">
        <v>0</v>
      </c>
    </row>
    <row r="1028" spans="1:3" ht="14.5">
      <c r="A1028" t="s">
        <v>5259</v>
      </c>
      <c r="B1028" s="380" t="str">
        <f t="shared" si="16"/>
        <v>213-901</v>
      </c>
      <c r="C1028">
        <v>0.9</v>
      </c>
    </row>
    <row r="1029" spans="1:3" ht="14.5">
      <c r="A1029" t="s">
        <v>3204</v>
      </c>
      <c r="B1029" s="380" t="str">
        <f t="shared" si="16"/>
        <v>214-901</v>
      </c>
      <c r="C1029">
        <v>0.93</v>
      </c>
    </row>
    <row r="1030" spans="1:3" ht="14.5">
      <c r="A1030" t="s">
        <v>5260</v>
      </c>
      <c r="B1030" s="380" t="str">
        <f t="shared" si="16"/>
        <v>214-902</v>
      </c>
      <c r="C1030">
        <v>0.93</v>
      </c>
    </row>
    <row r="1031" spans="1:3" ht="14.5">
      <c r="A1031" t="s">
        <v>3205</v>
      </c>
      <c r="B1031" s="380" t="str">
        <f t="shared" si="16"/>
        <v>214-903</v>
      </c>
      <c r="C1031">
        <v>0.93</v>
      </c>
    </row>
    <row r="1032" spans="1:3" ht="14.5">
      <c r="A1032" t="s">
        <v>5261</v>
      </c>
      <c r="B1032" s="380" t="str">
        <f t="shared" si="16"/>
        <v>215-901</v>
      </c>
      <c r="C1032">
        <v>0.93</v>
      </c>
    </row>
    <row r="1033" spans="1:3" ht="14.5">
      <c r="A1033" t="s">
        <v>5262</v>
      </c>
      <c r="B1033" s="380" t="str">
        <f t="shared" si="16"/>
        <v>216-901</v>
      </c>
      <c r="C1033">
        <v>0.93</v>
      </c>
    </row>
    <row r="1034" spans="1:3" ht="14.5">
      <c r="A1034" t="s">
        <v>5263</v>
      </c>
      <c r="B1034" s="380" t="str">
        <f t="shared" si="16"/>
        <v>217-901</v>
      </c>
      <c r="C1034">
        <v>0.93</v>
      </c>
    </row>
    <row r="1035" spans="1:3" ht="14.5">
      <c r="A1035" t="s">
        <v>5264</v>
      </c>
      <c r="B1035" s="380" t="str">
        <f t="shared" si="16"/>
        <v>218-901</v>
      </c>
      <c r="C1035">
        <v>0.93</v>
      </c>
    </row>
    <row r="1036" spans="1:3" ht="14.5">
      <c r="A1036" t="s">
        <v>5883</v>
      </c>
      <c r="B1036" s="380" t="str">
        <f t="shared" si="16"/>
        <v>219-901</v>
      </c>
      <c r="C1036">
        <v>0.93</v>
      </c>
    </row>
    <row r="1037" spans="1:3" ht="14.5">
      <c r="A1037" t="s">
        <v>5884</v>
      </c>
      <c r="B1037" s="380" t="str">
        <f t="shared" si="16"/>
        <v>219-903</v>
      </c>
      <c r="C1037">
        <v>0.93</v>
      </c>
    </row>
    <row r="1038" spans="1:3" ht="14.5">
      <c r="A1038" t="s">
        <v>5265</v>
      </c>
      <c r="B1038" s="380" t="str">
        <f t="shared" si="16"/>
        <v>219-905</v>
      </c>
      <c r="C1038">
        <v>0.93</v>
      </c>
    </row>
    <row r="1039" spans="1:3" ht="14.5">
      <c r="A1039" t="s">
        <v>8074</v>
      </c>
      <c r="B1039" s="380" t="str">
        <f t="shared" si="16"/>
        <v>220-801</v>
      </c>
      <c r="C1039">
        <v>0</v>
      </c>
    </row>
    <row r="1040" spans="1:3" ht="14.5">
      <c r="A1040" t="s">
        <v>8075</v>
      </c>
      <c r="B1040" s="380" t="str">
        <f t="shared" si="16"/>
        <v>220-802</v>
      </c>
      <c r="C1040">
        <v>0</v>
      </c>
    </row>
    <row r="1041" spans="1:3" ht="14.5">
      <c r="A1041" t="s">
        <v>8076</v>
      </c>
      <c r="B1041" s="380" t="str">
        <f t="shared" si="16"/>
        <v>220-809</v>
      </c>
      <c r="C1041">
        <v>0</v>
      </c>
    </row>
    <row r="1042" spans="1:3" ht="14.5">
      <c r="A1042" t="s">
        <v>8077</v>
      </c>
      <c r="B1042" s="380" t="str">
        <f t="shared" si="16"/>
        <v>220-810</v>
      </c>
      <c r="C1042">
        <v>0</v>
      </c>
    </row>
    <row r="1043" spans="1:3" ht="14.5">
      <c r="A1043" t="s">
        <v>8078</v>
      </c>
      <c r="B1043" s="380" t="str">
        <f t="shared" si="16"/>
        <v>220-811</v>
      </c>
      <c r="C1043">
        <v>0</v>
      </c>
    </row>
    <row r="1044" spans="1:3" ht="14.5">
      <c r="A1044" t="s">
        <v>8079</v>
      </c>
      <c r="B1044" s="380" t="str">
        <f t="shared" si="16"/>
        <v>220-814</v>
      </c>
      <c r="C1044">
        <v>0</v>
      </c>
    </row>
    <row r="1045" spans="1:3" ht="14.5">
      <c r="A1045" t="s">
        <v>8080</v>
      </c>
      <c r="B1045" s="380" t="str">
        <f t="shared" si="16"/>
        <v>220-815</v>
      </c>
      <c r="C1045">
        <v>0</v>
      </c>
    </row>
    <row r="1046" spans="1:3" ht="14.5">
      <c r="A1046" t="s">
        <v>8081</v>
      </c>
      <c r="B1046" s="380" t="str">
        <f t="shared" si="16"/>
        <v>220-817</v>
      </c>
      <c r="C1046">
        <v>0</v>
      </c>
    </row>
    <row r="1047" spans="1:3" ht="14.5">
      <c r="A1047" t="s">
        <v>8082</v>
      </c>
      <c r="B1047" s="380" t="str">
        <f t="shared" si="16"/>
        <v>220-819</v>
      </c>
      <c r="C1047">
        <v>0</v>
      </c>
    </row>
    <row r="1048" spans="1:3" ht="14.5">
      <c r="A1048" t="s">
        <v>3206</v>
      </c>
      <c r="B1048" s="380" t="str">
        <f t="shared" si="16"/>
        <v>220-901</v>
      </c>
      <c r="C1048">
        <v>0.93</v>
      </c>
    </row>
    <row r="1049" spans="1:3" ht="14.5">
      <c r="A1049" t="s">
        <v>3207</v>
      </c>
      <c r="B1049" s="380" t="str">
        <f t="shared" si="16"/>
        <v>220-902</v>
      </c>
      <c r="C1049">
        <v>0.93</v>
      </c>
    </row>
    <row r="1050" spans="1:3" ht="14.5">
      <c r="A1050" t="s">
        <v>3208</v>
      </c>
      <c r="B1050" s="380" t="str">
        <f t="shared" si="16"/>
        <v>220-904</v>
      </c>
      <c r="C1050">
        <v>0.93</v>
      </c>
    </row>
    <row r="1051" spans="1:3" ht="14.5">
      <c r="A1051" t="s">
        <v>5266</v>
      </c>
      <c r="B1051" s="380" t="str">
        <f t="shared" si="16"/>
        <v>220-905</v>
      </c>
      <c r="C1051">
        <v>0.93</v>
      </c>
    </row>
    <row r="1052" spans="1:3" ht="14.5">
      <c r="A1052" t="s">
        <v>5267</v>
      </c>
      <c r="B1052" s="380" t="str">
        <f t="shared" si="16"/>
        <v>220-906</v>
      </c>
      <c r="C1052">
        <v>0.93</v>
      </c>
    </row>
    <row r="1053" spans="1:3" ht="14.5">
      <c r="A1053" t="s">
        <v>3209</v>
      </c>
      <c r="B1053" s="380" t="str">
        <f t="shared" si="16"/>
        <v>220-907</v>
      </c>
      <c r="C1053">
        <v>0.93</v>
      </c>
    </row>
    <row r="1054" spans="1:3" ht="14.5">
      <c r="A1054" t="s">
        <v>3210</v>
      </c>
      <c r="B1054" s="380" t="str">
        <f t="shared" si="16"/>
        <v>220-908</v>
      </c>
      <c r="C1054">
        <v>0.93</v>
      </c>
    </row>
    <row r="1055" spans="1:3" ht="14.5">
      <c r="A1055" t="s">
        <v>3211</v>
      </c>
      <c r="B1055" s="380" t="str">
        <f t="shared" si="16"/>
        <v>220-910</v>
      </c>
      <c r="C1055">
        <v>0.93</v>
      </c>
    </row>
    <row r="1056" spans="1:3" ht="14.5">
      <c r="A1056" t="s">
        <v>3212</v>
      </c>
      <c r="B1056" s="380" t="str">
        <f t="shared" si="16"/>
        <v>220-912</v>
      </c>
      <c r="C1056">
        <v>0.93</v>
      </c>
    </row>
    <row r="1057" spans="1:3" ht="14.5">
      <c r="A1057" t="s">
        <v>3213</v>
      </c>
      <c r="B1057" s="380" t="str">
        <f t="shared" si="16"/>
        <v>220-914</v>
      </c>
      <c r="C1057">
        <v>0.93</v>
      </c>
    </row>
    <row r="1058" spans="1:3" ht="14.5">
      <c r="A1058" t="s">
        <v>3214</v>
      </c>
      <c r="B1058" s="380" t="str">
        <f t="shared" si="16"/>
        <v>220-915</v>
      </c>
      <c r="C1058">
        <v>0.93</v>
      </c>
    </row>
    <row r="1059" spans="1:3" ht="14.5">
      <c r="A1059" t="s">
        <v>3215</v>
      </c>
      <c r="B1059" s="380" t="str">
        <f t="shared" si="16"/>
        <v>220-916</v>
      </c>
      <c r="C1059">
        <v>0.93</v>
      </c>
    </row>
    <row r="1060" spans="1:3" ht="14.5">
      <c r="A1060" t="s">
        <v>3216</v>
      </c>
      <c r="B1060" s="380" t="str">
        <f t="shared" si="16"/>
        <v>220-917</v>
      </c>
      <c r="C1060">
        <v>0.93</v>
      </c>
    </row>
    <row r="1061" spans="1:3" ht="14.5">
      <c r="A1061" t="s">
        <v>3217</v>
      </c>
      <c r="B1061" s="380" t="str">
        <f t="shared" si="16"/>
        <v>220-918</v>
      </c>
      <c r="C1061">
        <v>0.93</v>
      </c>
    </row>
    <row r="1062" spans="1:3" ht="14.5">
      <c r="A1062" t="s">
        <v>4710</v>
      </c>
      <c r="B1062" s="380" t="str">
        <f t="shared" si="16"/>
        <v>220-919</v>
      </c>
      <c r="C1062">
        <v>0.93</v>
      </c>
    </row>
    <row r="1063" spans="1:3" ht="14.5">
      <c r="A1063" t="s">
        <v>3218</v>
      </c>
      <c r="B1063" s="380" t="str">
        <f t="shared" si="16"/>
        <v>220-920</v>
      </c>
      <c r="C1063">
        <v>0.93</v>
      </c>
    </row>
    <row r="1064" spans="1:3" ht="14.5">
      <c r="A1064" t="s">
        <v>8516</v>
      </c>
      <c r="B1064" s="380" t="str">
        <f t="shared" si="16"/>
        <v>220-950</v>
      </c>
      <c r="C1064">
        <v>0</v>
      </c>
    </row>
    <row r="1065" spans="1:3" ht="14.5">
      <c r="A1065" t="s">
        <v>8083</v>
      </c>
      <c r="B1065" s="380" t="str">
        <f t="shared" si="16"/>
        <v>221-801</v>
      </c>
      <c r="C1065">
        <v>0</v>
      </c>
    </row>
    <row r="1066" spans="1:3" ht="14.5">
      <c r="A1066" t="s">
        <v>5268</v>
      </c>
      <c r="B1066" s="380" t="str">
        <f t="shared" si="16"/>
        <v>221-901</v>
      </c>
      <c r="C1066">
        <v>0.93</v>
      </c>
    </row>
    <row r="1067" spans="1:3" ht="14.5">
      <c r="A1067" t="s">
        <v>5269</v>
      </c>
      <c r="B1067" s="380" t="str">
        <f t="shared" si="16"/>
        <v>221-904</v>
      </c>
      <c r="C1067">
        <v>0.93</v>
      </c>
    </row>
    <row r="1068" spans="1:3" ht="14.5">
      <c r="A1068" t="s">
        <v>5270</v>
      </c>
      <c r="B1068" s="380" t="str">
        <f t="shared" si="16"/>
        <v>221-905</v>
      </c>
      <c r="C1068">
        <v>0.93</v>
      </c>
    </row>
    <row r="1069" spans="1:3" ht="14.5">
      <c r="A1069" t="s">
        <v>5271</v>
      </c>
      <c r="B1069" s="380" t="str">
        <f t="shared" si="16"/>
        <v>221-911</v>
      </c>
      <c r="C1069">
        <v>0.93</v>
      </c>
    </row>
    <row r="1070" spans="1:3" ht="14.5">
      <c r="A1070" t="s">
        <v>5272</v>
      </c>
      <c r="B1070" s="380" t="str">
        <f t="shared" si="16"/>
        <v>221-912</v>
      </c>
      <c r="C1070">
        <v>0.93</v>
      </c>
    </row>
    <row r="1071" spans="1:3" ht="14.5">
      <c r="A1071" t="s">
        <v>8517</v>
      </c>
      <c r="B1071" s="380" t="str">
        <f t="shared" si="16"/>
        <v>221-950</v>
      </c>
      <c r="C1071">
        <v>0</v>
      </c>
    </row>
    <row r="1072" spans="1:3" ht="14.5">
      <c r="A1072" t="s">
        <v>5273</v>
      </c>
      <c r="B1072" s="380" t="str">
        <f t="shared" si="16"/>
        <v>222-901</v>
      </c>
      <c r="C1072">
        <v>0.93</v>
      </c>
    </row>
    <row r="1073" spans="1:3" ht="14.5">
      <c r="A1073" t="s">
        <v>5274</v>
      </c>
      <c r="B1073" s="380" t="str">
        <f t="shared" si="16"/>
        <v>223-901</v>
      </c>
      <c r="C1073">
        <v>0.93</v>
      </c>
    </row>
    <row r="1074" spans="1:3" ht="14.5">
      <c r="A1074" t="s">
        <v>3219</v>
      </c>
      <c r="B1074" s="380" t="str">
        <f t="shared" si="16"/>
        <v>223-902</v>
      </c>
      <c r="C1074">
        <v>0.93</v>
      </c>
    </row>
    <row r="1075" spans="1:3" ht="14.5">
      <c r="A1075" t="s">
        <v>5275</v>
      </c>
      <c r="B1075" s="380" t="str">
        <f t="shared" si="16"/>
        <v>223-904</v>
      </c>
      <c r="C1075">
        <v>0.93</v>
      </c>
    </row>
    <row r="1076" spans="1:3" ht="14.5">
      <c r="A1076" t="s">
        <v>5885</v>
      </c>
      <c r="B1076" s="380" t="str">
        <f t="shared" si="16"/>
        <v>224-901</v>
      </c>
      <c r="C1076">
        <v>0.93</v>
      </c>
    </row>
    <row r="1077" spans="1:3" ht="14.5">
      <c r="A1077" t="s">
        <v>5886</v>
      </c>
      <c r="B1077" s="380" t="str">
        <f t="shared" si="16"/>
        <v>224-902</v>
      </c>
      <c r="C1077">
        <v>0.93</v>
      </c>
    </row>
    <row r="1078" spans="1:3" ht="14.5">
      <c r="A1078" t="s">
        <v>5276</v>
      </c>
      <c r="B1078" s="380" t="str">
        <f t="shared" si="16"/>
        <v>225-902</v>
      </c>
      <c r="C1078">
        <v>0.93</v>
      </c>
    </row>
    <row r="1079" spans="1:3" ht="14.5">
      <c r="A1079" t="s">
        <v>3220</v>
      </c>
      <c r="B1079" s="380" t="str">
        <f t="shared" si="16"/>
        <v>225-906</v>
      </c>
      <c r="C1079">
        <v>0.93</v>
      </c>
    </row>
    <row r="1080" spans="1:3" ht="14.5">
      <c r="A1080" t="s">
        <v>5887</v>
      </c>
      <c r="B1080" s="380" t="str">
        <f t="shared" si="16"/>
        <v>225-907</v>
      </c>
      <c r="C1080">
        <v>0.93</v>
      </c>
    </row>
    <row r="1081" spans="1:3" ht="14.5">
      <c r="A1081" t="s">
        <v>8518</v>
      </c>
      <c r="B1081" s="380" t="str">
        <f t="shared" si="16"/>
        <v>225-950</v>
      </c>
      <c r="C1081">
        <v>0</v>
      </c>
    </row>
    <row r="1082" spans="1:3" ht="14.5">
      <c r="A1082" t="s">
        <v>8084</v>
      </c>
      <c r="B1082" s="380" t="str">
        <f t="shared" si="16"/>
        <v>226-801</v>
      </c>
      <c r="C1082">
        <v>0</v>
      </c>
    </row>
    <row r="1083" spans="1:3" ht="14.5">
      <c r="A1083" t="s">
        <v>5277</v>
      </c>
      <c r="B1083" s="380" t="str">
        <f t="shared" si="16"/>
        <v>226-901</v>
      </c>
      <c r="C1083">
        <v>0.93</v>
      </c>
    </row>
    <row r="1084" spans="1:3" ht="14.5">
      <c r="A1084" t="s">
        <v>3221</v>
      </c>
      <c r="B1084" s="380" t="str">
        <f t="shared" si="16"/>
        <v>226-903</v>
      </c>
      <c r="C1084">
        <v>0.93</v>
      </c>
    </row>
    <row r="1085" spans="1:3" ht="14.5">
      <c r="A1085" t="s">
        <v>5278</v>
      </c>
      <c r="B1085" s="380" t="str">
        <f t="shared" si="16"/>
        <v>226-905</v>
      </c>
      <c r="C1085">
        <v>0.93</v>
      </c>
    </row>
    <row r="1086" spans="1:3" ht="14.5">
      <c r="A1086" t="s">
        <v>3222</v>
      </c>
      <c r="B1086" s="380" t="str">
        <f t="shared" si="16"/>
        <v>226-906</v>
      </c>
      <c r="C1086">
        <v>0.93</v>
      </c>
    </row>
    <row r="1087" spans="1:3" ht="14.5">
      <c r="A1087" t="s">
        <v>3223</v>
      </c>
      <c r="B1087" s="380" t="str">
        <f t="shared" si="16"/>
        <v>226-907</v>
      </c>
      <c r="C1087">
        <v>0.93</v>
      </c>
    </row>
    <row r="1088" spans="1:3" ht="14.5">
      <c r="A1088" t="s">
        <v>3224</v>
      </c>
      <c r="B1088" s="380" t="str">
        <f t="shared" si="16"/>
        <v>226-908</v>
      </c>
      <c r="C1088">
        <v>0.93</v>
      </c>
    </row>
    <row r="1089" spans="1:3" ht="14.5">
      <c r="A1089" t="s">
        <v>8519</v>
      </c>
      <c r="B1089" s="380" t="str">
        <f t="shared" si="16"/>
        <v>226-950</v>
      </c>
      <c r="C1089">
        <v>0</v>
      </c>
    </row>
    <row r="1090" spans="1:3" ht="14.5">
      <c r="A1090" t="s">
        <v>8085</v>
      </c>
      <c r="B1090" s="380" t="str">
        <f t="shared" si="16"/>
        <v>227-622</v>
      </c>
      <c r="C1090">
        <v>0</v>
      </c>
    </row>
    <row r="1091" spans="1:3" ht="14.5">
      <c r="A1091" t="s">
        <v>8087</v>
      </c>
      <c r="B1091" s="380" t="str">
        <f t="shared" ref="B1091:B1154" si="17">CONCATENATE(LEFT(RIGHT(CONCATENATE("000",A1091),6),3),"-",(RIGHT(RIGHT(CONCATENATE("000",A1091),6),3)))</f>
        <v>227-803</v>
      </c>
      <c r="C1091">
        <v>0</v>
      </c>
    </row>
    <row r="1092" spans="1:3" ht="14.5">
      <c r="A1092" t="s">
        <v>8088</v>
      </c>
      <c r="B1092" s="380" t="str">
        <f t="shared" si="17"/>
        <v>227-804</v>
      </c>
      <c r="C1092">
        <v>0</v>
      </c>
    </row>
    <row r="1093" spans="1:3" ht="14.5">
      <c r="A1093" t="s">
        <v>8089</v>
      </c>
      <c r="B1093" s="380" t="str">
        <f t="shared" si="17"/>
        <v>227-805</v>
      </c>
      <c r="C1093">
        <v>0</v>
      </c>
    </row>
    <row r="1094" spans="1:3" ht="14.5">
      <c r="A1094" t="s">
        <v>8090</v>
      </c>
      <c r="B1094" s="380" t="str">
        <f t="shared" si="17"/>
        <v>227-806</v>
      </c>
      <c r="C1094">
        <v>0</v>
      </c>
    </row>
    <row r="1095" spans="1:3" ht="14.5">
      <c r="A1095" t="s">
        <v>8091</v>
      </c>
      <c r="B1095" s="380" t="str">
        <f t="shared" si="17"/>
        <v>227-814</v>
      </c>
      <c r="C1095">
        <v>0</v>
      </c>
    </row>
    <row r="1096" spans="1:3" ht="14.5">
      <c r="A1096" t="s">
        <v>8092</v>
      </c>
      <c r="B1096" s="380" t="str">
        <f t="shared" si="17"/>
        <v>227-816</v>
      </c>
      <c r="C1096">
        <v>0</v>
      </c>
    </row>
    <row r="1097" spans="1:3" ht="14.5">
      <c r="A1097" t="s">
        <v>8093</v>
      </c>
      <c r="B1097" s="380" t="str">
        <f t="shared" si="17"/>
        <v>227-817</v>
      </c>
      <c r="C1097">
        <v>0</v>
      </c>
    </row>
    <row r="1098" spans="1:3" ht="14.5">
      <c r="A1098" t="s">
        <v>8094</v>
      </c>
      <c r="B1098" s="380" t="str">
        <f t="shared" si="17"/>
        <v>227-819</v>
      </c>
      <c r="C1098">
        <v>0</v>
      </c>
    </row>
    <row r="1099" spans="1:3" ht="14.5">
      <c r="A1099" t="s">
        <v>8095</v>
      </c>
      <c r="B1099" s="380" t="str">
        <f t="shared" si="17"/>
        <v>227-820</v>
      </c>
      <c r="C1099">
        <v>0</v>
      </c>
    </row>
    <row r="1100" spans="1:3" ht="14.5">
      <c r="A1100" t="s">
        <v>8096</v>
      </c>
      <c r="B1100" s="380" t="str">
        <f t="shared" si="17"/>
        <v>227-821</v>
      </c>
      <c r="C1100">
        <v>0</v>
      </c>
    </row>
    <row r="1101" spans="1:3" ht="14.5">
      <c r="A1101" t="s">
        <v>8097</v>
      </c>
      <c r="B1101" s="380" t="str">
        <f t="shared" si="17"/>
        <v>227-824</v>
      </c>
      <c r="C1101">
        <v>0</v>
      </c>
    </row>
    <row r="1102" spans="1:3" ht="14.5">
      <c r="A1102" t="s">
        <v>8098</v>
      </c>
      <c r="B1102" s="380" t="str">
        <f t="shared" si="17"/>
        <v>227-825</v>
      </c>
      <c r="C1102">
        <v>0</v>
      </c>
    </row>
    <row r="1103" spans="1:3" ht="14.5">
      <c r="A1103" t="s">
        <v>8099</v>
      </c>
      <c r="B1103" s="380" t="str">
        <f t="shared" si="17"/>
        <v>227-826</v>
      </c>
      <c r="C1103">
        <v>0</v>
      </c>
    </row>
    <row r="1104" spans="1:3" ht="14.5">
      <c r="A1104" t="s">
        <v>8100</v>
      </c>
      <c r="B1104" s="380" t="str">
        <f t="shared" si="17"/>
        <v>227-827</v>
      </c>
      <c r="C1104">
        <v>0</v>
      </c>
    </row>
    <row r="1105" spans="1:3" ht="14.5">
      <c r="A1105" t="s">
        <v>8102</v>
      </c>
      <c r="B1105" s="380" t="str">
        <f t="shared" si="17"/>
        <v>227-829</v>
      </c>
      <c r="C1105">
        <v>0</v>
      </c>
    </row>
    <row r="1106" spans="1:3" ht="14.5">
      <c r="A1106" t="s">
        <v>5279</v>
      </c>
      <c r="B1106" s="380" t="str">
        <f t="shared" si="17"/>
        <v>227-901</v>
      </c>
      <c r="C1106">
        <v>0.93</v>
      </c>
    </row>
    <row r="1107" spans="1:3" ht="14.5">
      <c r="A1107" t="s">
        <v>3225</v>
      </c>
      <c r="B1107" s="380" t="str">
        <f t="shared" si="17"/>
        <v>227-904</v>
      </c>
      <c r="C1107">
        <v>0.93</v>
      </c>
    </row>
    <row r="1108" spans="1:3" ht="14.5">
      <c r="A1108" t="s">
        <v>8103</v>
      </c>
      <c r="B1108" s="380" t="str">
        <f t="shared" si="17"/>
        <v>227-905</v>
      </c>
      <c r="C1108">
        <v>0</v>
      </c>
    </row>
    <row r="1109" spans="1:3" ht="14.5">
      <c r="A1109" t="s">
        <v>8105</v>
      </c>
      <c r="B1109" s="380" t="str">
        <f t="shared" si="17"/>
        <v>227-906</v>
      </c>
      <c r="C1109">
        <v>0</v>
      </c>
    </row>
    <row r="1110" spans="1:3" ht="14.5">
      <c r="A1110" t="s">
        <v>5280</v>
      </c>
      <c r="B1110" s="380" t="str">
        <f t="shared" si="17"/>
        <v>227-907</v>
      </c>
      <c r="C1110">
        <v>0.93</v>
      </c>
    </row>
    <row r="1111" spans="1:3" ht="14.5">
      <c r="A1111" t="s">
        <v>5281</v>
      </c>
      <c r="B1111" s="380" t="str">
        <f t="shared" si="17"/>
        <v>227-909</v>
      </c>
      <c r="C1111">
        <v>0.93</v>
      </c>
    </row>
    <row r="1112" spans="1:3" ht="14.5">
      <c r="A1112" t="s">
        <v>3226</v>
      </c>
      <c r="B1112" s="380" t="str">
        <f t="shared" si="17"/>
        <v>227-910</v>
      </c>
      <c r="C1112">
        <v>0.93</v>
      </c>
    </row>
    <row r="1113" spans="1:3" ht="14.5">
      <c r="A1113" t="s">
        <v>5282</v>
      </c>
      <c r="B1113" s="380" t="str">
        <f t="shared" si="17"/>
        <v>227-912</v>
      </c>
      <c r="C1113">
        <v>0.93</v>
      </c>
    </row>
    <row r="1114" spans="1:3" ht="14.5">
      <c r="A1114" t="s">
        <v>5283</v>
      </c>
      <c r="B1114" s="380" t="str">
        <f t="shared" si="17"/>
        <v>227-913</v>
      </c>
      <c r="C1114">
        <v>0.93</v>
      </c>
    </row>
    <row r="1115" spans="1:3" ht="14.5">
      <c r="A1115" t="s">
        <v>8520</v>
      </c>
      <c r="B1115" s="380" t="str">
        <f t="shared" si="17"/>
        <v>227-950</v>
      </c>
      <c r="C1115">
        <v>0</v>
      </c>
    </row>
    <row r="1116" spans="1:3" ht="14.5">
      <c r="A1116" t="s">
        <v>5888</v>
      </c>
      <c r="B1116" s="380" t="str">
        <f t="shared" si="17"/>
        <v>228-901</v>
      </c>
      <c r="C1116">
        <v>0.93</v>
      </c>
    </row>
    <row r="1117" spans="1:3" ht="14.5">
      <c r="A1117" t="s">
        <v>5284</v>
      </c>
      <c r="B1117" s="380" t="str">
        <f t="shared" si="17"/>
        <v>228-903</v>
      </c>
      <c r="C1117">
        <v>0.93</v>
      </c>
    </row>
    <row r="1118" spans="1:3" ht="14.5">
      <c r="A1118" t="s">
        <v>5889</v>
      </c>
      <c r="B1118" s="380" t="str">
        <f t="shared" si="17"/>
        <v>228-904</v>
      </c>
      <c r="C1118">
        <v>0.93</v>
      </c>
    </row>
    <row r="1119" spans="1:3" ht="14.5">
      <c r="A1119" t="s">
        <v>5890</v>
      </c>
      <c r="B1119" s="380" t="str">
        <f t="shared" si="17"/>
        <v>228-905</v>
      </c>
      <c r="C1119">
        <v>0.93</v>
      </c>
    </row>
    <row r="1120" spans="1:3" ht="14.5">
      <c r="A1120" t="s">
        <v>4736</v>
      </c>
      <c r="B1120" s="380" t="str">
        <f t="shared" si="17"/>
        <v>229-901</v>
      </c>
      <c r="C1120">
        <v>0.93</v>
      </c>
    </row>
    <row r="1121" spans="1:3" ht="14.5">
      <c r="A1121" t="s">
        <v>5285</v>
      </c>
      <c r="B1121" s="380" t="str">
        <f t="shared" si="17"/>
        <v>229-903</v>
      </c>
      <c r="C1121">
        <v>0.93</v>
      </c>
    </row>
    <row r="1122" spans="1:3" ht="14.5">
      <c r="A1122" t="s">
        <v>3227</v>
      </c>
      <c r="B1122" s="380" t="str">
        <f t="shared" si="17"/>
        <v>229-904</v>
      </c>
      <c r="C1122">
        <v>0.93</v>
      </c>
    </row>
    <row r="1123" spans="1:3" ht="14.5">
      <c r="A1123" t="s">
        <v>3228</v>
      </c>
      <c r="B1123" s="380" t="str">
        <f t="shared" si="17"/>
        <v>229-905</v>
      </c>
      <c r="C1123">
        <v>0.93</v>
      </c>
    </row>
    <row r="1124" spans="1:3" ht="14.5">
      <c r="A1124" t="s">
        <v>3229</v>
      </c>
      <c r="B1124" s="380" t="str">
        <f t="shared" si="17"/>
        <v>229-906</v>
      </c>
      <c r="C1124">
        <v>0.93</v>
      </c>
    </row>
    <row r="1125" spans="1:3" ht="14.5">
      <c r="A1125" t="s">
        <v>5286</v>
      </c>
      <c r="B1125" s="380" t="str">
        <f t="shared" si="17"/>
        <v>230-901</v>
      </c>
      <c r="C1125">
        <v>0.93</v>
      </c>
    </row>
    <row r="1126" spans="1:3" ht="14.5">
      <c r="A1126" t="s">
        <v>5287</v>
      </c>
      <c r="B1126" s="380" t="str">
        <f t="shared" si="17"/>
        <v>230-902</v>
      </c>
      <c r="C1126">
        <v>0.93</v>
      </c>
    </row>
    <row r="1127" spans="1:3" ht="14.5">
      <c r="A1127" t="s">
        <v>3230</v>
      </c>
      <c r="B1127" s="380" t="str">
        <f t="shared" si="17"/>
        <v>230-903</v>
      </c>
      <c r="C1127">
        <v>0.93</v>
      </c>
    </row>
    <row r="1128" spans="1:3" ht="14.5">
      <c r="A1128" t="s">
        <v>5891</v>
      </c>
      <c r="B1128" s="380" t="str">
        <f t="shared" si="17"/>
        <v>230-904</v>
      </c>
      <c r="C1128">
        <v>0.93</v>
      </c>
    </row>
    <row r="1129" spans="1:3" ht="14.5">
      <c r="A1129" t="s">
        <v>3231</v>
      </c>
      <c r="B1129" s="380" t="str">
        <f t="shared" si="17"/>
        <v>230-905</v>
      </c>
      <c r="C1129">
        <v>0.93</v>
      </c>
    </row>
    <row r="1130" spans="1:3" ht="14.5">
      <c r="A1130" t="s">
        <v>3232</v>
      </c>
      <c r="B1130" s="380" t="str">
        <f t="shared" si="17"/>
        <v>230-906</v>
      </c>
      <c r="C1130">
        <v>0.93</v>
      </c>
    </row>
    <row r="1131" spans="1:3" ht="14.5">
      <c r="A1131" t="s">
        <v>5288</v>
      </c>
      <c r="B1131" s="380" t="str">
        <f t="shared" si="17"/>
        <v>230-908</v>
      </c>
      <c r="C1131">
        <v>0.93</v>
      </c>
    </row>
    <row r="1132" spans="1:3" ht="14.5">
      <c r="A1132" t="s">
        <v>5892</v>
      </c>
      <c r="B1132" s="380" t="str">
        <f t="shared" si="17"/>
        <v>231-901</v>
      </c>
      <c r="C1132">
        <v>0.93</v>
      </c>
    </row>
    <row r="1133" spans="1:3" ht="14.5">
      <c r="A1133" t="s">
        <v>5289</v>
      </c>
      <c r="B1133" s="380" t="str">
        <f t="shared" si="17"/>
        <v>231-902</v>
      </c>
      <c r="C1133">
        <v>0.93</v>
      </c>
    </row>
    <row r="1134" spans="1:3" ht="14.5">
      <c r="A1134" t="s">
        <v>3233</v>
      </c>
      <c r="B1134" s="380" t="str">
        <f t="shared" si="17"/>
        <v>232-901</v>
      </c>
      <c r="C1134">
        <v>0.93</v>
      </c>
    </row>
    <row r="1135" spans="1:3" ht="14.5">
      <c r="A1135" t="s">
        <v>3234</v>
      </c>
      <c r="B1135" s="380" t="str">
        <f t="shared" si="17"/>
        <v>232-902</v>
      </c>
      <c r="C1135">
        <v>0.93</v>
      </c>
    </row>
    <row r="1136" spans="1:3" ht="14.5">
      <c r="A1136" t="s">
        <v>3235</v>
      </c>
      <c r="B1136" s="380" t="str">
        <f t="shared" si="17"/>
        <v>232-903</v>
      </c>
      <c r="C1136">
        <v>0.93</v>
      </c>
    </row>
    <row r="1137" spans="1:3" ht="14.5">
      <c r="A1137" t="s">
        <v>5893</v>
      </c>
      <c r="B1137" s="380" t="str">
        <f t="shared" si="17"/>
        <v>232-904</v>
      </c>
      <c r="C1137">
        <v>0.93</v>
      </c>
    </row>
    <row r="1138" spans="1:3" ht="14.5">
      <c r="A1138" t="s">
        <v>3236</v>
      </c>
      <c r="B1138" s="380" t="str">
        <f t="shared" si="17"/>
        <v>233-901</v>
      </c>
      <c r="C1138">
        <v>0.93</v>
      </c>
    </row>
    <row r="1139" spans="1:3" ht="14.5">
      <c r="A1139" t="s">
        <v>5290</v>
      </c>
      <c r="B1139" s="380" t="str">
        <f t="shared" si="17"/>
        <v>233-903</v>
      </c>
      <c r="C1139">
        <v>0.93</v>
      </c>
    </row>
    <row r="1140" spans="1:3" ht="14.5">
      <c r="A1140" t="s">
        <v>8107</v>
      </c>
      <c r="B1140" s="380" t="str">
        <f t="shared" si="17"/>
        <v>234-801</v>
      </c>
      <c r="C1140">
        <v>0</v>
      </c>
    </row>
    <row r="1141" spans="1:3" ht="14.5">
      <c r="A1141" t="s">
        <v>3237</v>
      </c>
      <c r="B1141" s="380" t="str">
        <f t="shared" si="17"/>
        <v>234-902</v>
      </c>
      <c r="C1141">
        <v>0.93</v>
      </c>
    </row>
    <row r="1142" spans="1:3" ht="14.5">
      <c r="A1142" t="s">
        <v>5291</v>
      </c>
      <c r="B1142" s="380" t="str">
        <f t="shared" si="17"/>
        <v>234-903</v>
      </c>
      <c r="C1142">
        <v>0.93</v>
      </c>
    </row>
    <row r="1143" spans="1:3" ht="14.5">
      <c r="A1143" t="s">
        <v>3238</v>
      </c>
      <c r="B1143" s="380" t="str">
        <f t="shared" si="17"/>
        <v>234-904</v>
      </c>
      <c r="C1143">
        <v>0.93</v>
      </c>
    </row>
    <row r="1144" spans="1:3" ht="14.5">
      <c r="A1144" t="s">
        <v>3239</v>
      </c>
      <c r="B1144" s="380" t="str">
        <f t="shared" si="17"/>
        <v>234-905</v>
      </c>
      <c r="C1144">
        <v>0.93</v>
      </c>
    </row>
    <row r="1145" spans="1:3" ht="14.5">
      <c r="A1145" t="s">
        <v>3240</v>
      </c>
      <c r="B1145" s="380" t="str">
        <f t="shared" si="17"/>
        <v>234-906</v>
      </c>
      <c r="C1145">
        <v>0.93</v>
      </c>
    </row>
    <row r="1146" spans="1:3" ht="14.5">
      <c r="A1146" t="s">
        <v>5292</v>
      </c>
      <c r="B1146" s="380" t="str">
        <f t="shared" si="17"/>
        <v>234-907</v>
      </c>
      <c r="C1146">
        <v>0.93</v>
      </c>
    </row>
    <row r="1147" spans="1:3" ht="14.5">
      <c r="A1147" t="s">
        <v>3241</v>
      </c>
      <c r="B1147" s="380" t="str">
        <f t="shared" si="17"/>
        <v>234-909</v>
      </c>
      <c r="C1147">
        <v>0.93</v>
      </c>
    </row>
    <row r="1148" spans="1:3" ht="14.5">
      <c r="A1148" t="s">
        <v>3242</v>
      </c>
      <c r="B1148" s="380" t="str">
        <f t="shared" si="17"/>
        <v>235-901</v>
      </c>
      <c r="C1148">
        <v>0.93</v>
      </c>
    </row>
    <row r="1149" spans="1:3" ht="14.5">
      <c r="A1149" t="s">
        <v>3243</v>
      </c>
      <c r="B1149" s="380" t="str">
        <f t="shared" si="17"/>
        <v>235-902</v>
      </c>
      <c r="C1149">
        <v>0.93</v>
      </c>
    </row>
    <row r="1150" spans="1:3" ht="14.5">
      <c r="A1150" t="s">
        <v>5293</v>
      </c>
      <c r="B1150" s="380" t="str">
        <f t="shared" si="17"/>
        <v>235-904</v>
      </c>
      <c r="C1150">
        <v>0.93</v>
      </c>
    </row>
    <row r="1151" spans="1:3" ht="14.5">
      <c r="A1151" t="s">
        <v>8521</v>
      </c>
      <c r="B1151" s="380" t="str">
        <f t="shared" si="17"/>
        <v>235-950</v>
      </c>
      <c r="C1151">
        <v>0</v>
      </c>
    </row>
    <row r="1152" spans="1:3" ht="14.5">
      <c r="A1152" t="s">
        <v>8108</v>
      </c>
      <c r="B1152" s="380" t="str">
        <f t="shared" si="17"/>
        <v>236-801</v>
      </c>
      <c r="C1152">
        <v>0</v>
      </c>
    </row>
    <row r="1153" spans="1:3" ht="14.5">
      <c r="A1153" t="s">
        <v>8109</v>
      </c>
      <c r="B1153" s="380" t="str">
        <f t="shared" si="17"/>
        <v>236-802</v>
      </c>
      <c r="C1153">
        <v>0</v>
      </c>
    </row>
    <row r="1154" spans="1:3" ht="14.5">
      <c r="A1154" t="s">
        <v>3244</v>
      </c>
      <c r="B1154" s="380" t="str">
        <f t="shared" si="17"/>
        <v>236-901</v>
      </c>
      <c r="C1154">
        <v>0.93</v>
      </c>
    </row>
    <row r="1155" spans="1:3" ht="14.5">
      <c r="A1155" t="s">
        <v>3245</v>
      </c>
      <c r="B1155" s="380" t="str">
        <f t="shared" ref="B1155:B1218" si="18">CONCATENATE(LEFT(RIGHT(CONCATENATE("000",A1155),6),3),"-",(RIGHT(RIGHT(CONCATENATE("000",A1155),6),3)))</f>
        <v>236-902</v>
      </c>
      <c r="C1155">
        <v>0.93</v>
      </c>
    </row>
    <row r="1156" spans="1:3" ht="14.5">
      <c r="A1156" t="s">
        <v>8110</v>
      </c>
      <c r="B1156" s="380" t="str">
        <f t="shared" si="18"/>
        <v>236-903</v>
      </c>
      <c r="C1156">
        <v>0</v>
      </c>
    </row>
    <row r="1157" spans="1:3" ht="14.5">
      <c r="A1157" t="s">
        <v>8522</v>
      </c>
      <c r="B1157" s="380" t="str">
        <f t="shared" si="18"/>
        <v>236-950</v>
      </c>
      <c r="C1157">
        <v>0</v>
      </c>
    </row>
    <row r="1158" spans="1:3" ht="14.5">
      <c r="A1158" t="s">
        <v>3246</v>
      </c>
      <c r="B1158" s="380" t="str">
        <f t="shared" si="18"/>
        <v>237-902</v>
      </c>
      <c r="C1158">
        <v>0.93</v>
      </c>
    </row>
    <row r="1159" spans="1:3" ht="14.5">
      <c r="A1159" t="s">
        <v>3247</v>
      </c>
      <c r="B1159" s="380" t="str">
        <f t="shared" si="18"/>
        <v>237-904</v>
      </c>
      <c r="C1159">
        <v>0.93</v>
      </c>
    </row>
    <row r="1160" spans="1:3" ht="14.5">
      <c r="A1160" t="s">
        <v>3248</v>
      </c>
      <c r="B1160" s="380" t="str">
        <f t="shared" si="18"/>
        <v>237-905</v>
      </c>
      <c r="C1160">
        <v>0.93</v>
      </c>
    </row>
    <row r="1161" spans="1:3" ht="14.5">
      <c r="A1161" t="s">
        <v>5294</v>
      </c>
      <c r="B1161" s="380" t="str">
        <f t="shared" si="18"/>
        <v>238-902</v>
      </c>
      <c r="C1161">
        <v>0.93</v>
      </c>
    </row>
    <row r="1162" spans="1:3" ht="14.5">
      <c r="A1162" t="s">
        <v>5894</v>
      </c>
      <c r="B1162" s="380" t="str">
        <f t="shared" si="18"/>
        <v>238-904</v>
      </c>
      <c r="C1162">
        <v>0.93</v>
      </c>
    </row>
    <row r="1163" spans="1:3" ht="14.5">
      <c r="A1163" t="s">
        <v>5295</v>
      </c>
      <c r="B1163" s="380" t="str">
        <f t="shared" si="18"/>
        <v>239-901</v>
      </c>
      <c r="C1163">
        <v>0.93</v>
      </c>
    </row>
    <row r="1164" spans="1:3" ht="14.5">
      <c r="A1164" t="s">
        <v>5296</v>
      </c>
      <c r="B1164" s="380" t="str">
        <f t="shared" si="18"/>
        <v>239-903</v>
      </c>
      <c r="C1164">
        <v>0.93</v>
      </c>
    </row>
    <row r="1165" spans="1:3" ht="14.5">
      <c r="A1165" t="s">
        <v>8112</v>
      </c>
      <c r="B1165" s="380" t="str">
        <f t="shared" si="18"/>
        <v>240-503</v>
      </c>
      <c r="C1165">
        <v>0</v>
      </c>
    </row>
    <row r="1166" spans="1:3" ht="14.5">
      <c r="A1166" t="s">
        <v>8114</v>
      </c>
      <c r="B1166" s="380" t="str">
        <f t="shared" si="18"/>
        <v>240-801</v>
      </c>
      <c r="C1166">
        <v>0</v>
      </c>
    </row>
    <row r="1167" spans="1:3" ht="14.5">
      <c r="A1167" t="s">
        <v>3249</v>
      </c>
      <c r="B1167" s="380" t="str">
        <f t="shared" si="18"/>
        <v>240-901</v>
      </c>
      <c r="C1167">
        <v>0.93</v>
      </c>
    </row>
    <row r="1168" spans="1:3" ht="14.5">
      <c r="A1168" t="s">
        <v>3250</v>
      </c>
      <c r="B1168" s="380" t="str">
        <f t="shared" si="18"/>
        <v>240-903</v>
      </c>
      <c r="C1168">
        <v>0.93</v>
      </c>
    </row>
    <row r="1169" spans="1:3" ht="14.5">
      <c r="A1169" t="s">
        <v>5297</v>
      </c>
      <c r="B1169" s="380" t="str">
        <f t="shared" si="18"/>
        <v>240-904</v>
      </c>
      <c r="C1169">
        <v>0.93</v>
      </c>
    </row>
    <row r="1170" spans="1:3" ht="14.5">
      <c r="A1170" t="s">
        <v>5895</v>
      </c>
      <c r="B1170" s="380" t="str">
        <f t="shared" si="18"/>
        <v>241-901</v>
      </c>
      <c r="C1170">
        <v>0.93</v>
      </c>
    </row>
    <row r="1171" spans="1:3" ht="14.5">
      <c r="A1171" t="s">
        <v>5298</v>
      </c>
      <c r="B1171" s="380" t="str">
        <f t="shared" si="18"/>
        <v>241-902</v>
      </c>
      <c r="C1171">
        <v>0.93</v>
      </c>
    </row>
    <row r="1172" spans="1:3" ht="14.5">
      <c r="A1172" t="s">
        <v>5299</v>
      </c>
      <c r="B1172" s="380" t="str">
        <f t="shared" si="18"/>
        <v>241-903</v>
      </c>
      <c r="C1172">
        <v>0.93</v>
      </c>
    </row>
    <row r="1173" spans="1:3" ht="14.5">
      <c r="A1173" t="s">
        <v>5300</v>
      </c>
      <c r="B1173" s="380" t="str">
        <f t="shared" si="18"/>
        <v>241-904</v>
      </c>
      <c r="C1173">
        <v>0.93</v>
      </c>
    </row>
    <row r="1174" spans="1:3" ht="14.5">
      <c r="A1174" t="s">
        <v>5301</v>
      </c>
      <c r="B1174" s="380" t="str">
        <f t="shared" si="18"/>
        <v>241-906</v>
      </c>
      <c r="C1174">
        <v>0.93</v>
      </c>
    </row>
    <row r="1175" spans="1:3" ht="14.5">
      <c r="A1175" t="s">
        <v>5896</v>
      </c>
      <c r="B1175" s="380" t="str">
        <f t="shared" si="18"/>
        <v>242-902</v>
      </c>
      <c r="C1175">
        <v>0.93</v>
      </c>
    </row>
    <row r="1176" spans="1:3" ht="14.5">
      <c r="A1176" t="s">
        <v>5302</v>
      </c>
      <c r="B1176" s="380" t="str">
        <f t="shared" si="18"/>
        <v>242-903</v>
      </c>
      <c r="C1176">
        <v>0.93</v>
      </c>
    </row>
    <row r="1177" spans="1:3" ht="14.5">
      <c r="A1177" t="s">
        <v>5897</v>
      </c>
      <c r="B1177" s="380" t="str">
        <f t="shared" si="18"/>
        <v>242-905</v>
      </c>
      <c r="C1177">
        <v>0.93</v>
      </c>
    </row>
    <row r="1178" spans="1:3" ht="14.5">
      <c r="A1178" t="s">
        <v>5303</v>
      </c>
      <c r="B1178" s="380" t="str">
        <f t="shared" si="18"/>
        <v>242-906</v>
      </c>
      <c r="C1178">
        <v>0.93</v>
      </c>
    </row>
    <row r="1179" spans="1:3" ht="14.5">
      <c r="A1179" t="s">
        <v>3251</v>
      </c>
      <c r="B1179" s="380" t="str">
        <f t="shared" si="18"/>
        <v>243-901</v>
      </c>
      <c r="C1179">
        <v>0.93</v>
      </c>
    </row>
    <row r="1180" spans="1:3" ht="14.5">
      <c r="A1180" t="s">
        <v>5304</v>
      </c>
      <c r="B1180" s="380" t="str">
        <f t="shared" si="18"/>
        <v>243-902</v>
      </c>
      <c r="C1180">
        <v>0.93</v>
      </c>
    </row>
    <row r="1181" spans="1:3" ht="14.5">
      <c r="A1181" t="s">
        <v>5305</v>
      </c>
      <c r="B1181" s="380" t="str">
        <f t="shared" si="18"/>
        <v>243-903</v>
      </c>
      <c r="C1181">
        <v>0.93</v>
      </c>
    </row>
    <row r="1182" spans="1:3" ht="14.5">
      <c r="A1182" t="s">
        <v>3252</v>
      </c>
      <c r="B1182" s="380" t="str">
        <f t="shared" si="18"/>
        <v>243-905</v>
      </c>
      <c r="C1182">
        <v>0.93</v>
      </c>
    </row>
    <row r="1183" spans="1:3" ht="14.5">
      <c r="A1183" t="s">
        <v>3253</v>
      </c>
      <c r="B1183" s="380" t="str">
        <f t="shared" si="18"/>
        <v>243-906</v>
      </c>
      <c r="C1183">
        <v>0.93</v>
      </c>
    </row>
    <row r="1184" spans="1:3" ht="14.5">
      <c r="A1184" t="s">
        <v>8523</v>
      </c>
      <c r="B1184" s="380" t="str">
        <f t="shared" si="18"/>
        <v>243-950</v>
      </c>
      <c r="C1184">
        <v>0</v>
      </c>
    </row>
    <row r="1185" spans="1:3" ht="14.5">
      <c r="A1185" t="s">
        <v>5898</v>
      </c>
      <c r="B1185" s="380" t="str">
        <f t="shared" si="18"/>
        <v>244-901</v>
      </c>
      <c r="C1185">
        <v>0.93</v>
      </c>
    </row>
    <row r="1186" spans="1:3" ht="14.5">
      <c r="A1186" t="s">
        <v>5306</v>
      </c>
      <c r="B1186" s="380" t="str">
        <f t="shared" si="18"/>
        <v>244-903</v>
      </c>
      <c r="C1186">
        <v>0.93</v>
      </c>
    </row>
    <row r="1187" spans="1:3" ht="14.5">
      <c r="A1187" t="s">
        <v>3254</v>
      </c>
      <c r="B1187" s="380" t="str">
        <f t="shared" si="18"/>
        <v>244-905</v>
      </c>
      <c r="C1187">
        <v>0.93</v>
      </c>
    </row>
    <row r="1188" spans="1:3" ht="14.5">
      <c r="A1188" t="s">
        <v>3255</v>
      </c>
      <c r="B1188" s="380" t="str">
        <f t="shared" si="18"/>
        <v>245-901</v>
      </c>
      <c r="C1188">
        <v>0.93</v>
      </c>
    </row>
    <row r="1189" spans="1:3" ht="14.5">
      <c r="A1189" t="s">
        <v>3256</v>
      </c>
      <c r="B1189" s="380" t="str">
        <f t="shared" si="18"/>
        <v>245-902</v>
      </c>
      <c r="C1189">
        <v>0.93</v>
      </c>
    </row>
    <row r="1190" spans="1:3" ht="14.5">
      <c r="A1190" t="s">
        <v>3257</v>
      </c>
      <c r="B1190" s="380" t="str">
        <f t="shared" si="18"/>
        <v>245-903</v>
      </c>
      <c r="C1190">
        <v>0.93</v>
      </c>
    </row>
    <row r="1191" spans="1:3" ht="14.5">
      <c r="A1191" t="s">
        <v>3258</v>
      </c>
      <c r="B1191" s="380" t="str">
        <f t="shared" si="18"/>
        <v>245-904</v>
      </c>
      <c r="C1191">
        <v>0.93</v>
      </c>
    </row>
    <row r="1192" spans="1:3" ht="14.5">
      <c r="A1192" t="s">
        <v>8115</v>
      </c>
      <c r="B1192" s="380" t="str">
        <f t="shared" si="18"/>
        <v>246-801</v>
      </c>
      <c r="C1192">
        <v>0</v>
      </c>
    </row>
    <row r="1193" spans="1:3" ht="14.5">
      <c r="A1193" t="s">
        <v>8116</v>
      </c>
      <c r="B1193" s="380" t="str">
        <f t="shared" si="18"/>
        <v>246-802</v>
      </c>
      <c r="C1193">
        <v>0</v>
      </c>
    </row>
    <row r="1194" spans="1:3" ht="14.5">
      <c r="A1194" t="s">
        <v>3259</v>
      </c>
      <c r="B1194" s="380" t="str">
        <f t="shared" si="18"/>
        <v>246-902</v>
      </c>
      <c r="C1194">
        <v>0.93</v>
      </c>
    </row>
    <row r="1195" spans="1:3" ht="14.5">
      <c r="A1195" t="s">
        <v>3260</v>
      </c>
      <c r="B1195" s="380" t="str">
        <f t="shared" si="18"/>
        <v>246-904</v>
      </c>
      <c r="C1195">
        <v>0.93</v>
      </c>
    </row>
    <row r="1196" spans="1:3" ht="14.5">
      <c r="A1196" t="s">
        <v>3261</v>
      </c>
      <c r="B1196" s="380" t="str">
        <f t="shared" si="18"/>
        <v>246-905</v>
      </c>
      <c r="C1196">
        <v>0.93</v>
      </c>
    </row>
    <row r="1197" spans="1:3" ht="14.5">
      <c r="A1197" t="s">
        <v>3262</v>
      </c>
      <c r="B1197" s="380" t="str">
        <f t="shared" si="18"/>
        <v>246-906</v>
      </c>
      <c r="C1197">
        <v>0.93</v>
      </c>
    </row>
    <row r="1198" spans="1:3" ht="14.5">
      <c r="A1198" t="s">
        <v>5307</v>
      </c>
      <c r="B1198" s="380" t="str">
        <f t="shared" si="18"/>
        <v>246-907</v>
      </c>
      <c r="C1198">
        <v>0.93</v>
      </c>
    </row>
    <row r="1199" spans="1:3" ht="14.5">
      <c r="A1199" t="s">
        <v>3263</v>
      </c>
      <c r="B1199" s="380" t="str">
        <f t="shared" si="18"/>
        <v>246-908</v>
      </c>
      <c r="C1199">
        <v>0.93</v>
      </c>
    </row>
    <row r="1200" spans="1:3" ht="14.5">
      <c r="A1200" t="s">
        <v>4857</v>
      </c>
      <c r="B1200" s="380" t="str">
        <f t="shared" si="18"/>
        <v>246-909</v>
      </c>
      <c r="C1200">
        <v>0.93</v>
      </c>
    </row>
    <row r="1201" spans="1:3" ht="14.5">
      <c r="A1201" t="s">
        <v>3264</v>
      </c>
      <c r="B1201" s="380" t="str">
        <f t="shared" si="18"/>
        <v>246-911</v>
      </c>
      <c r="C1201">
        <v>0.93</v>
      </c>
    </row>
    <row r="1202" spans="1:3" ht="14.5">
      <c r="A1202" t="s">
        <v>3265</v>
      </c>
      <c r="B1202" s="380" t="str">
        <f t="shared" si="18"/>
        <v>246-912</v>
      </c>
      <c r="C1202">
        <v>0.93</v>
      </c>
    </row>
    <row r="1203" spans="1:3" ht="14.5">
      <c r="A1203" t="s">
        <v>3266</v>
      </c>
      <c r="B1203" s="380" t="str">
        <f t="shared" si="18"/>
        <v>246-913</v>
      </c>
      <c r="C1203">
        <v>0.93</v>
      </c>
    </row>
    <row r="1204" spans="1:3" ht="14.5">
      <c r="A1204" t="s">
        <v>5899</v>
      </c>
      <c r="B1204" s="380" t="str">
        <f t="shared" si="18"/>
        <v>246-914</v>
      </c>
      <c r="C1204">
        <v>0.93</v>
      </c>
    </row>
    <row r="1205" spans="1:3" ht="14.5">
      <c r="A1205" t="s">
        <v>3267</v>
      </c>
      <c r="B1205" s="380" t="str">
        <f t="shared" si="18"/>
        <v>247-901</v>
      </c>
      <c r="C1205">
        <v>0.93</v>
      </c>
    </row>
    <row r="1206" spans="1:3" ht="14.5">
      <c r="A1206" t="s">
        <v>3268</v>
      </c>
      <c r="B1206" s="380" t="str">
        <f t="shared" si="18"/>
        <v>247-903</v>
      </c>
      <c r="C1206">
        <v>0.93</v>
      </c>
    </row>
    <row r="1207" spans="1:3" ht="14.5">
      <c r="A1207" t="s">
        <v>3269</v>
      </c>
      <c r="B1207" s="380" t="str">
        <f t="shared" si="18"/>
        <v>247-904</v>
      </c>
      <c r="C1207">
        <v>0.93</v>
      </c>
    </row>
    <row r="1208" spans="1:3" ht="14.5">
      <c r="A1208" t="s">
        <v>3270</v>
      </c>
      <c r="B1208" s="380" t="str">
        <f t="shared" si="18"/>
        <v>247-906</v>
      </c>
      <c r="C1208">
        <v>0.93</v>
      </c>
    </row>
    <row r="1209" spans="1:3" ht="14.5">
      <c r="A1209" t="s">
        <v>5308</v>
      </c>
      <c r="B1209" s="380" t="str">
        <f t="shared" si="18"/>
        <v>248-901</v>
      </c>
      <c r="C1209">
        <v>0.93</v>
      </c>
    </row>
    <row r="1210" spans="1:3" ht="14.5">
      <c r="A1210" t="s">
        <v>5309</v>
      </c>
      <c r="B1210" s="380" t="str">
        <f t="shared" si="18"/>
        <v>248-902</v>
      </c>
      <c r="C1210">
        <v>0.93</v>
      </c>
    </row>
    <row r="1211" spans="1:3" ht="14.5">
      <c r="A1211" t="s">
        <v>3271</v>
      </c>
      <c r="B1211" s="380" t="str">
        <f t="shared" si="18"/>
        <v>249-901</v>
      </c>
      <c r="C1211">
        <v>0.93</v>
      </c>
    </row>
    <row r="1212" spans="1:3" ht="14.5">
      <c r="A1212" t="s">
        <v>5310</v>
      </c>
      <c r="B1212" s="380" t="str">
        <f t="shared" si="18"/>
        <v>249-902</v>
      </c>
      <c r="C1212">
        <v>0.93</v>
      </c>
    </row>
    <row r="1213" spans="1:3" ht="14.5">
      <c r="A1213" t="s">
        <v>5311</v>
      </c>
      <c r="B1213" s="380" t="str">
        <f t="shared" si="18"/>
        <v>249-903</v>
      </c>
      <c r="C1213">
        <v>0.93</v>
      </c>
    </row>
    <row r="1214" spans="1:3" ht="14.5">
      <c r="A1214" t="s">
        <v>5312</v>
      </c>
      <c r="B1214" s="380" t="str">
        <f t="shared" si="18"/>
        <v>249-904</v>
      </c>
      <c r="C1214">
        <v>0.93</v>
      </c>
    </row>
    <row r="1215" spans="1:3" ht="14.5">
      <c r="A1215" t="s">
        <v>5313</v>
      </c>
      <c r="B1215" s="380" t="str">
        <f t="shared" si="18"/>
        <v>249-905</v>
      </c>
      <c r="C1215">
        <v>0.93</v>
      </c>
    </row>
    <row r="1216" spans="1:3" ht="14.5">
      <c r="A1216" t="s">
        <v>3272</v>
      </c>
      <c r="B1216" s="380" t="str">
        <f t="shared" si="18"/>
        <v>249-906</v>
      </c>
      <c r="C1216">
        <v>0.93</v>
      </c>
    </row>
    <row r="1217" spans="1:3" ht="14.5">
      <c r="A1217" t="s">
        <v>3273</v>
      </c>
      <c r="B1217" s="380" t="str">
        <f t="shared" si="18"/>
        <v>249-908</v>
      </c>
      <c r="C1217">
        <v>0.93</v>
      </c>
    </row>
    <row r="1218" spans="1:3" ht="14.5">
      <c r="A1218" t="s">
        <v>5314</v>
      </c>
      <c r="B1218" s="380" t="str">
        <f t="shared" si="18"/>
        <v>250-902</v>
      </c>
      <c r="C1218">
        <v>0.93</v>
      </c>
    </row>
    <row r="1219" spans="1:3" ht="14.5">
      <c r="A1219" t="s">
        <v>5900</v>
      </c>
      <c r="B1219" s="380" t="str">
        <f t="shared" ref="B1219:B1231" si="19">CONCATENATE(LEFT(RIGHT(CONCATENATE("000",A1219),6),3),"-",(RIGHT(RIGHT(CONCATENATE("000",A1219),6),3)))</f>
        <v>250-903</v>
      </c>
      <c r="C1219">
        <v>0.93</v>
      </c>
    </row>
    <row r="1220" spans="1:3" ht="14.5">
      <c r="A1220" t="s">
        <v>5315</v>
      </c>
      <c r="B1220" s="380" t="str">
        <f t="shared" si="19"/>
        <v>250-904</v>
      </c>
      <c r="C1220">
        <v>0.93</v>
      </c>
    </row>
    <row r="1221" spans="1:3" ht="14.5">
      <c r="A1221" t="s">
        <v>5316</v>
      </c>
      <c r="B1221" s="380" t="str">
        <f t="shared" si="19"/>
        <v>250-905</v>
      </c>
      <c r="C1221">
        <v>0.93</v>
      </c>
    </row>
    <row r="1222" spans="1:3" ht="14.5">
      <c r="A1222" t="s">
        <v>5317</v>
      </c>
      <c r="B1222" s="380" t="str">
        <f t="shared" si="19"/>
        <v>250-906</v>
      </c>
      <c r="C1222">
        <v>0.93</v>
      </c>
    </row>
    <row r="1223" spans="1:3" ht="14.5">
      <c r="A1223" t="s">
        <v>5901</v>
      </c>
      <c r="B1223" s="380" t="str">
        <f t="shared" si="19"/>
        <v>250-907</v>
      </c>
      <c r="C1223">
        <v>0.93</v>
      </c>
    </row>
    <row r="1224" spans="1:3" ht="14.5">
      <c r="A1224" t="s">
        <v>5318</v>
      </c>
      <c r="B1224" s="380" t="str">
        <f t="shared" si="19"/>
        <v>251-901</v>
      </c>
      <c r="C1224">
        <v>0.93</v>
      </c>
    </row>
    <row r="1225" spans="1:3" ht="14.5">
      <c r="A1225" t="s">
        <v>5319</v>
      </c>
      <c r="B1225" s="380" t="str">
        <f t="shared" si="19"/>
        <v>251-902</v>
      </c>
      <c r="C1225">
        <v>0.93</v>
      </c>
    </row>
    <row r="1226" spans="1:3" ht="14.5">
      <c r="A1226" t="s">
        <v>3274</v>
      </c>
      <c r="B1226" s="380" t="str">
        <f t="shared" si="19"/>
        <v>252-901</v>
      </c>
      <c r="C1226">
        <v>0.93</v>
      </c>
    </row>
    <row r="1227" spans="1:3" ht="14.5">
      <c r="A1227" t="s">
        <v>5320</v>
      </c>
      <c r="B1227" s="380" t="str">
        <f t="shared" si="19"/>
        <v>252-902</v>
      </c>
      <c r="C1227">
        <v>0.93</v>
      </c>
    </row>
    <row r="1228" spans="1:3" ht="14.5">
      <c r="A1228" t="s">
        <v>3275</v>
      </c>
      <c r="B1228" s="380" t="str">
        <f t="shared" si="19"/>
        <v>252-903</v>
      </c>
      <c r="C1228">
        <v>0.93</v>
      </c>
    </row>
    <row r="1229" spans="1:3" ht="14.5">
      <c r="A1229" t="s">
        <v>5902</v>
      </c>
      <c r="B1229" s="380" t="str">
        <f t="shared" si="19"/>
        <v>253-901</v>
      </c>
      <c r="C1229">
        <v>0.93</v>
      </c>
    </row>
    <row r="1230" spans="1:3" ht="14.5">
      <c r="A1230" t="s">
        <v>3276</v>
      </c>
      <c r="B1230" s="380" t="str">
        <f t="shared" si="19"/>
        <v>254-901</v>
      </c>
      <c r="C1230">
        <v>0.93</v>
      </c>
    </row>
    <row r="1231" spans="1:3" ht="14.5">
      <c r="A1231" t="s">
        <v>3277</v>
      </c>
      <c r="B1231" s="380" t="str">
        <f t="shared" si="19"/>
        <v>254-902</v>
      </c>
      <c r="C1231">
        <v>0.93</v>
      </c>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C1232"/>
  <sheetViews>
    <sheetView topLeftCell="A196" workbookViewId="0">
      <selection activeCell="B2" sqref="B2"/>
    </sheetView>
  </sheetViews>
  <sheetFormatPr defaultRowHeight="12.5"/>
  <cols>
    <col min="1" max="1" width="12" style="2042" customWidth="1"/>
    <col min="3" max="3" width="16.26953125" style="389" customWidth="1"/>
  </cols>
  <sheetData>
    <row r="1" spans="1:3">
      <c r="A1" s="2042" t="s">
        <v>3349</v>
      </c>
      <c r="C1" s="389" t="s">
        <v>8847</v>
      </c>
    </row>
    <row r="2" spans="1:3" ht="14.5">
      <c r="A2" s="2042" t="s">
        <v>5748</v>
      </c>
      <c r="B2" s="380" t="str">
        <f>CONCATENATE(LEFT(RIGHT(CONCATENATE("000",A2),6),3),"-",(RIGHT(RIGHT(CONCATENATE("000",A2),6),3)))</f>
        <v>001-902</v>
      </c>
      <c r="C2" s="389">
        <v>1</v>
      </c>
    </row>
    <row r="3" spans="1:3" ht="14.5">
      <c r="A3" s="2042" t="s">
        <v>2849</v>
      </c>
      <c r="B3" s="380" t="str">
        <f t="shared" ref="B3:B66" si="0">CONCATENATE(LEFT(RIGHT(CONCATENATE("000",A3),6),3),"-",(RIGHT(RIGHT(CONCATENATE("000",A3),6),3)))</f>
        <v>001-903</v>
      </c>
      <c r="C3" s="389">
        <v>1</v>
      </c>
    </row>
    <row r="4" spans="1:3" ht="14.5">
      <c r="A4" s="2042" t="s">
        <v>4918</v>
      </c>
      <c r="B4" s="380" t="str">
        <f t="shared" si="0"/>
        <v>001-904</v>
      </c>
      <c r="C4" s="389">
        <v>1</v>
      </c>
    </row>
    <row r="5" spans="1:3" ht="14.5">
      <c r="A5" s="2042" t="s">
        <v>4919</v>
      </c>
      <c r="B5" s="380" t="str">
        <f t="shared" si="0"/>
        <v>001-906</v>
      </c>
      <c r="C5" s="389">
        <v>1</v>
      </c>
    </row>
    <row r="6" spans="1:3" ht="14.5">
      <c r="A6" s="2042" t="s">
        <v>2850</v>
      </c>
      <c r="B6" s="380" t="str">
        <f t="shared" si="0"/>
        <v>001-907</v>
      </c>
      <c r="C6" s="389">
        <v>1</v>
      </c>
    </row>
    <row r="7" spans="1:3" ht="14.5">
      <c r="A7" s="2042" t="s">
        <v>5749</v>
      </c>
      <c r="B7" s="380" t="str">
        <f t="shared" si="0"/>
        <v>001-908</v>
      </c>
      <c r="C7" s="389">
        <v>1</v>
      </c>
    </row>
    <row r="8" spans="1:3" ht="14.5">
      <c r="A8" s="2042" t="s">
        <v>4920</v>
      </c>
      <c r="B8" s="380" t="str">
        <f t="shared" si="0"/>
        <v>001-909</v>
      </c>
      <c r="C8" s="389">
        <v>1</v>
      </c>
    </row>
    <row r="9" spans="1:3" ht="14.5">
      <c r="A9" s="2042" t="s">
        <v>4921</v>
      </c>
      <c r="B9" s="380" t="str">
        <f t="shared" si="0"/>
        <v>002-901</v>
      </c>
      <c r="C9" s="389">
        <v>1</v>
      </c>
    </row>
    <row r="10" spans="1:3" ht="14.5">
      <c r="A10" s="2042" t="s">
        <v>7918</v>
      </c>
      <c r="B10" s="380" t="str">
        <f t="shared" si="0"/>
        <v>003-801</v>
      </c>
      <c r="C10" s="389">
        <v>0</v>
      </c>
    </row>
    <row r="11" spans="1:3" ht="14.5">
      <c r="A11" s="2042" t="s">
        <v>2851</v>
      </c>
      <c r="B11" s="380" t="str">
        <f t="shared" si="0"/>
        <v>003-902</v>
      </c>
      <c r="C11" s="389">
        <v>1</v>
      </c>
    </row>
    <row r="12" spans="1:3" ht="14.5">
      <c r="A12" s="2042" t="s">
        <v>4922</v>
      </c>
      <c r="B12" s="380" t="str">
        <f t="shared" si="0"/>
        <v>003-903</v>
      </c>
      <c r="C12" s="389">
        <v>1</v>
      </c>
    </row>
    <row r="13" spans="1:3" ht="14.5">
      <c r="A13" s="2042" t="s">
        <v>2852</v>
      </c>
      <c r="B13" s="380" t="str">
        <f t="shared" si="0"/>
        <v>003-904</v>
      </c>
      <c r="C13" s="389">
        <v>1</v>
      </c>
    </row>
    <row r="14" spans="1:3" ht="14.5">
      <c r="A14" s="2042" t="s">
        <v>2853</v>
      </c>
      <c r="B14" s="380" t="str">
        <f t="shared" si="0"/>
        <v>003-905</v>
      </c>
      <c r="C14" s="389">
        <v>1</v>
      </c>
    </row>
    <row r="15" spans="1:3" ht="14.5">
      <c r="A15" s="2042" t="s">
        <v>4923</v>
      </c>
      <c r="B15" s="380" t="str">
        <f t="shared" si="0"/>
        <v>003-906</v>
      </c>
      <c r="C15" s="389">
        <v>1</v>
      </c>
    </row>
    <row r="16" spans="1:3" ht="14.5">
      <c r="A16" s="2042" t="s">
        <v>2854</v>
      </c>
      <c r="B16" s="380" t="str">
        <f t="shared" si="0"/>
        <v>003-907</v>
      </c>
      <c r="C16" s="389">
        <v>1</v>
      </c>
    </row>
    <row r="17" spans="1:3" ht="14.5">
      <c r="A17" s="2042" t="s">
        <v>4924</v>
      </c>
      <c r="B17" s="380" t="str">
        <f t="shared" si="0"/>
        <v>004-901</v>
      </c>
      <c r="C17" s="389">
        <v>1</v>
      </c>
    </row>
    <row r="18" spans="1:3" ht="14.5">
      <c r="A18" s="2042" t="s">
        <v>4925</v>
      </c>
      <c r="B18" s="380" t="str">
        <f t="shared" si="0"/>
        <v>005-901</v>
      </c>
      <c r="C18" s="389">
        <v>0.98</v>
      </c>
    </row>
    <row r="19" spans="1:3" ht="14.5">
      <c r="A19" s="2042" t="s">
        <v>4926</v>
      </c>
      <c r="B19" s="380" t="str">
        <f t="shared" si="0"/>
        <v>005-902</v>
      </c>
      <c r="C19" s="389">
        <v>1</v>
      </c>
    </row>
    <row r="20" spans="1:3" ht="14.5">
      <c r="A20" s="2042" t="s">
        <v>2855</v>
      </c>
      <c r="B20" s="380" t="str">
        <f t="shared" si="0"/>
        <v>005-904</v>
      </c>
      <c r="C20" s="389">
        <v>1</v>
      </c>
    </row>
    <row r="21" spans="1:3" ht="14.5">
      <c r="A21" s="2042" t="s">
        <v>2857</v>
      </c>
      <c r="B21" s="380" t="str">
        <f t="shared" si="0"/>
        <v>007-904</v>
      </c>
      <c r="C21" s="389">
        <v>1</v>
      </c>
    </row>
    <row r="22" spans="1:3" ht="14.5">
      <c r="A22" s="2042" t="s">
        <v>4927</v>
      </c>
      <c r="B22" s="380" t="str">
        <f t="shared" si="0"/>
        <v>006-902</v>
      </c>
      <c r="C22" s="389">
        <v>0.98</v>
      </c>
    </row>
    <row r="23" spans="1:3" ht="14.5">
      <c r="A23" s="2042" t="s">
        <v>2856</v>
      </c>
      <c r="B23" s="380" t="str">
        <f t="shared" si="0"/>
        <v>007-901</v>
      </c>
      <c r="C23" s="389">
        <v>1</v>
      </c>
    </row>
    <row r="24" spans="1:3" ht="14.5">
      <c r="A24" s="2042" t="s">
        <v>5750</v>
      </c>
      <c r="B24" s="380" t="str">
        <f t="shared" si="0"/>
        <v>007-902</v>
      </c>
      <c r="C24" s="389">
        <v>1</v>
      </c>
    </row>
    <row r="25" spans="1:3" ht="14.5">
      <c r="A25" s="2042" t="s">
        <v>2858</v>
      </c>
      <c r="B25" s="380" t="str">
        <f t="shared" si="0"/>
        <v>007-905</v>
      </c>
      <c r="C25" s="389">
        <v>1</v>
      </c>
    </row>
    <row r="26" spans="1:3" ht="14.5">
      <c r="A26" s="2042" t="s">
        <v>2859</v>
      </c>
      <c r="B26" s="380" t="str">
        <f t="shared" si="0"/>
        <v>007-906</v>
      </c>
      <c r="C26" s="389">
        <v>1</v>
      </c>
    </row>
    <row r="27" spans="1:3" ht="14.5">
      <c r="A27" s="2042" t="s">
        <v>4928</v>
      </c>
      <c r="B27" s="380" t="str">
        <f t="shared" si="0"/>
        <v>008-901</v>
      </c>
      <c r="C27" s="389">
        <v>1</v>
      </c>
    </row>
    <row r="28" spans="1:3" ht="14.5">
      <c r="A28" s="2042" t="s">
        <v>4929</v>
      </c>
      <c r="B28" s="380" t="str">
        <f t="shared" si="0"/>
        <v>008-902</v>
      </c>
      <c r="C28" s="389">
        <v>0.98</v>
      </c>
    </row>
    <row r="29" spans="1:3" ht="14.5">
      <c r="A29" s="2042" t="s">
        <v>4930</v>
      </c>
      <c r="B29" s="380" t="str">
        <f t="shared" si="0"/>
        <v>008-903</v>
      </c>
      <c r="C29" s="389">
        <v>1</v>
      </c>
    </row>
    <row r="30" spans="1:3" ht="14.5">
      <c r="A30" s="2042" t="s">
        <v>2862</v>
      </c>
      <c r="B30" s="380" t="str">
        <f t="shared" si="0"/>
        <v>011-901</v>
      </c>
      <c r="C30" s="389">
        <v>1</v>
      </c>
    </row>
    <row r="31" spans="1:3" ht="14.5">
      <c r="A31" s="2042" t="s">
        <v>2860</v>
      </c>
      <c r="B31" s="380" t="str">
        <f t="shared" si="0"/>
        <v>009-901</v>
      </c>
      <c r="C31" s="389">
        <v>1</v>
      </c>
    </row>
    <row r="32" spans="1:3" ht="14.5">
      <c r="A32" s="2042" t="s">
        <v>5751</v>
      </c>
      <c r="B32" s="380" t="str">
        <f t="shared" si="0"/>
        <v>010-901</v>
      </c>
      <c r="C32" s="389">
        <v>0.98</v>
      </c>
    </row>
    <row r="33" spans="1:3" ht="14.5">
      <c r="A33" s="2042" t="s">
        <v>2861</v>
      </c>
      <c r="B33" s="380" t="str">
        <f t="shared" si="0"/>
        <v>010-902</v>
      </c>
      <c r="C33" s="389">
        <v>0.98</v>
      </c>
    </row>
    <row r="34" spans="1:3" ht="14.5">
      <c r="A34" s="2042" t="s">
        <v>2863</v>
      </c>
      <c r="B34" s="380" t="str">
        <f t="shared" si="0"/>
        <v>011-902</v>
      </c>
      <c r="C34" s="389">
        <v>1</v>
      </c>
    </row>
    <row r="35" spans="1:3" ht="14.5">
      <c r="A35" s="2042" t="s">
        <v>2864</v>
      </c>
      <c r="B35" s="380" t="str">
        <f t="shared" si="0"/>
        <v>011-904</v>
      </c>
      <c r="C35" s="389">
        <v>1</v>
      </c>
    </row>
    <row r="36" spans="1:3" ht="14.5">
      <c r="A36" s="2042" t="s">
        <v>2865</v>
      </c>
      <c r="B36" s="380" t="str">
        <f t="shared" si="0"/>
        <v>011-905</v>
      </c>
      <c r="C36" s="389">
        <v>1</v>
      </c>
    </row>
    <row r="37" spans="1:3" ht="14.5">
      <c r="A37" s="2042" t="s">
        <v>5752</v>
      </c>
      <c r="B37" s="380" t="str">
        <f t="shared" si="0"/>
        <v>012-901</v>
      </c>
      <c r="C37" s="389">
        <v>1</v>
      </c>
    </row>
    <row r="38" spans="1:3" ht="14.5">
      <c r="A38" s="2042" t="s">
        <v>7919</v>
      </c>
      <c r="B38" s="380" t="str">
        <f t="shared" si="0"/>
        <v>013-801</v>
      </c>
      <c r="C38" s="389">
        <v>0</v>
      </c>
    </row>
    <row r="39" spans="1:3" ht="14.5">
      <c r="A39" s="2042" t="s">
        <v>2867</v>
      </c>
      <c r="B39" s="380" t="str">
        <f t="shared" si="0"/>
        <v>013-905</v>
      </c>
      <c r="C39" s="389">
        <v>1</v>
      </c>
    </row>
    <row r="40" spans="1:3" ht="14.5">
      <c r="A40" s="2042" t="s">
        <v>2866</v>
      </c>
      <c r="B40" s="380" t="str">
        <f t="shared" si="0"/>
        <v>013-901</v>
      </c>
      <c r="C40" s="389">
        <v>1</v>
      </c>
    </row>
    <row r="41" spans="1:3" ht="14.5">
      <c r="A41" s="2042" t="s">
        <v>4931</v>
      </c>
      <c r="B41" s="380" t="str">
        <f t="shared" si="0"/>
        <v>013-902</v>
      </c>
      <c r="C41" s="389">
        <v>0.97750000000000004</v>
      </c>
    </row>
    <row r="42" spans="1:3" ht="14.5">
      <c r="A42" s="2042" t="s">
        <v>4932</v>
      </c>
      <c r="B42" s="380" t="str">
        <f t="shared" si="0"/>
        <v>013-903</v>
      </c>
      <c r="C42" s="389">
        <v>1</v>
      </c>
    </row>
    <row r="43" spans="1:3" ht="14.5">
      <c r="A43" s="2042" t="s">
        <v>7920</v>
      </c>
      <c r="B43" s="380" t="str">
        <f t="shared" si="0"/>
        <v>014-801</v>
      </c>
      <c r="C43" s="389">
        <v>0</v>
      </c>
    </row>
    <row r="44" spans="1:3" ht="14.5">
      <c r="A44" s="2042" t="s">
        <v>7921</v>
      </c>
      <c r="B44" s="380" t="str">
        <f t="shared" si="0"/>
        <v>014-803</v>
      </c>
      <c r="C44" s="389">
        <v>0</v>
      </c>
    </row>
    <row r="45" spans="1:3" ht="14.5">
      <c r="A45" s="2042" t="s">
        <v>7922</v>
      </c>
      <c r="B45" s="380" t="str">
        <f t="shared" si="0"/>
        <v>014-804</v>
      </c>
      <c r="C45" s="389">
        <v>0</v>
      </c>
    </row>
    <row r="46" spans="1:3" ht="14.5">
      <c r="A46" s="2042" t="s">
        <v>4933</v>
      </c>
      <c r="B46" s="380" t="str">
        <f t="shared" si="0"/>
        <v>014-901</v>
      </c>
      <c r="C46" s="389">
        <v>0.99950000000000006</v>
      </c>
    </row>
    <row r="47" spans="1:3" ht="14.5">
      <c r="A47" s="2042" t="s">
        <v>2868</v>
      </c>
      <c r="B47" s="380" t="str">
        <f t="shared" si="0"/>
        <v>014-902</v>
      </c>
      <c r="C47" s="389">
        <v>1</v>
      </c>
    </row>
    <row r="48" spans="1:3" ht="14.5">
      <c r="A48" s="2042" t="s">
        <v>2869</v>
      </c>
      <c r="B48" s="380" t="str">
        <f t="shared" si="0"/>
        <v>014-903</v>
      </c>
      <c r="C48" s="389">
        <v>1</v>
      </c>
    </row>
    <row r="49" spans="1:3" ht="14.5">
      <c r="A49" s="2042" t="s">
        <v>2873</v>
      </c>
      <c r="B49" s="380" t="str">
        <f t="shared" si="0"/>
        <v>014-908</v>
      </c>
      <c r="C49" s="389">
        <v>0.98</v>
      </c>
    </row>
    <row r="50" spans="1:3" ht="14.5">
      <c r="A50" s="2042" t="s">
        <v>2870</v>
      </c>
      <c r="B50" s="380" t="str">
        <f t="shared" si="0"/>
        <v>014-905</v>
      </c>
      <c r="C50" s="389">
        <v>0.98</v>
      </c>
    </row>
    <row r="51" spans="1:3" ht="14.5">
      <c r="A51" s="2042" t="s">
        <v>2871</v>
      </c>
      <c r="B51" s="380" t="str">
        <f t="shared" si="0"/>
        <v>014-906</v>
      </c>
      <c r="C51" s="389">
        <v>0.98</v>
      </c>
    </row>
    <row r="52" spans="1:3" ht="14.5">
      <c r="A52" s="2042" t="s">
        <v>2872</v>
      </c>
      <c r="B52" s="380" t="str">
        <f t="shared" si="0"/>
        <v>014-907</v>
      </c>
      <c r="C52" s="389">
        <v>0.98330000000000006</v>
      </c>
    </row>
    <row r="53" spans="1:3" ht="14.5">
      <c r="A53" s="2042" t="s">
        <v>2874</v>
      </c>
      <c r="B53" s="380" t="str">
        <f t="shared" si="0"/>
        <v>014-909</v>
      </c>
      <c r="C53" s="389">
        <v>1</v>
      </c>
    </row>
    <row r="54" spans="1:3" ht="14.5">
      <c r="A54" s="2042" t="s">
        <v>2875</v>
      </c>
      <c r="B54" s="380" t="str">
        <f t="shared" si="0"/>
        <v>014-910</v>
      </c>
      <c r="C54" s="389">
        <v>0.99330000000000007</v>
      </c>
    </row>
    <row r="55" spans="1:3" ht="14.5">
      <c r="A55" s="2042" t="s">
        <v>7923</v>
      </c>
      <c r="B55" s="380" t="str">
        <f t="shared" si="0"/>
        <v>015-801</v>
      </c>
      <c r="C55" s="389">
        <v>0</v>
      </c>
    </row>
    <row r="56" spans="1:3" ht="14.5">
      <c r="A56" s="2042" t="s">
        <v>7924</v>
      </c>
      <c r="B56" s="380" t="str">
        <f t="shared" si="0"/>
        <v>015-802</v>
      </c>
      <c r="C56" s="389">
        <v>0</v>
      </c>
    </row>
    <row r="57" spans="1:3" ht="14.5">
      <c r="A57" s="2042" t="s">
        <v>7925</v>
      </c>
      <c r="B57" s="380" t="str">
        <f t="shared" si="0"/>
        <v>015-805</v>
      </c>
      <c r="C57" s="389">
        <v>0</v>
      </c>
    </row>
    <row r="58" spans="1:3" ht="14.5">
      <c r="A58" s="2042" t="s">
        <v>7926</v>
      </c>
      <c r="B58" s="380" t="str">
        <f t="shared" si="0"/>
        <v>015-806</v>
      </c>
      <c r="C58" s="389">
        <v>0</v>
      </c>
    </row>
    <row r="59" spans="1:3" ht="14.5">
      <c r="A59" s="2042" t="s">
        <v>7930</v>
      </c>
      <c r="B59" s="380" t="str">
        <f t="shared" si="0"/>
        <v>015-814</v>
      </c>
      <c r="C59" s="389">
        <v>0</v>
      </c>
    </row>
    <row r="60" spans="1:3" ht="14.5">
      <c r="A60" s="2042" t="s">
        <v>7927</v>
      </c>
      <c r="B60" s="380" t="str">
        <f t="shared" si="0"/>
        <v>015-807</v>
      </c>
      <c r="C60" s="389">
        <v>0</v>
      </c>
    </row>
    <row r="61" spans="1:3" ht="14.5">
      <c r="A61" s="2042" t="s">
        <v>7928</v>
      </c>
      <c r="B61" s="380" t="str">
        <f t="shared" si="0"/>
        <v>015-808</v>
      </c>
      <c r="C61" s="389">
        <v>0</v>
      </c>
    </row>
    <row r="62" spans="1:3" ht="14.5">
      <c r="A62" s="2042" t="s">
        <v>7929</v>
      </c>
      <c r="B62" s="380" t="str">
        <f t="shared" si="0"/>
        <v>015-809</v>
      </c>
      <c r="C62" s="389">
        <v>0</v>
      </c>
    </row>
    <row r="63" spans="1:3" ht="14.5">
      <c r="A63" s="2042" t="s">
        <v>7931</v>
      </c>
      <c r="B63" s="380" t="str">
        <f t="shared" si="0"/>
        <v>015-815</v>
      </c>
      <c r="C63" s="389">
        <v>0</v>
      </c>
    </row>
    <row r="64" spans="1:3" ht="14.5">
      <c r="A64" s="2042" t="s">
        <v>7932</v>
      </c>
      <c r="B64" s="380" t="str">
        <f t="shared" si="0"/>
        <v>015-822</v>
      </c>
      <c r="C64" s="389">
        <v>0</v>
      </c>
    </row>
    <row r="65" spans="1:3" ht="14.5">
      <c r="A65" s="2042" t="s">
        <v>7933</v>
      </c>
      <c r="B65" s="380" t="str">
        <f t="shared" si="0"/>
        <v>015-825</v>
      </c>
      <c r="C65" s="389">
        <v>0</v>
      </c>
    </row>
    <row r="66" spans="1:3" ht="14.5">
      <c r="A66" s="2042" t="s">
        <v>7934</v>
      </c>
      <c r="B66" s="380" t="str">
        <f t="shared" si="0"/>
        <v>015-827</v>
      </c>
      <c r="C66" s="389">
        <v>0</v>
      </c>
    </row>
    <row r="67" spans="1:3" ht="14.5">
      <c r="A67" s="2042" t="s">
        <v>7935</v>
      </c>
      <c r="B67" s="380" t="str">
        <f t="shared" ref="B67:B130" si="1">CONCATENATE(LEFT(RIGHT(CONCATENATE("000",A67),6),3),"-",(RIGHT(RIGHT(CONCATENATE("000",A67),6),3)))</f>
        <v>015-828</v>
      </c>
      <c r="C67" s="389">
        <v>0</v>
      </c>
    </row>
    <row r="68" spans="1:3" ht="14.5">
      <c r="A68" s="2042" t="s">
        <v>7936</v>
      </c>
      <c r="B68" s="380" t="str">
        <f t="shared" si="1"/>
        <v>015-830</v>
      </c>
      <c r="C68" s="389">
        <v>0</v>
      </c>
    </row>
    <row r="69" spans="1:3" ht="14.5">
      <c r="A69" s="2042" t="s">
        <v>7937</v>
      </c>
      <c r="B69" s="380" t="str">
        <f t="shared" si="1"/>
        <v>015-831</v>
      </c>
      <c r="C69" s="389">
        <v>0</v>
      </c>
    </row>
    <row r="70" spans="1:3" ht="14.5">
      <c r="A70" s="2042" t="s">
        <v>7938</v>
      </c>
      <c r="B70" s="380" t="str">
        <f t="shared" si="1"/>
        <v>015-833</v>
      </c>
      <c r="C70" s="389">
        <v>0</v>
      </c>
    </row>
    <row r="71" spans="1:3" ht="14.5">
      <c r="A71" s="2042" t="s">
        <v>7942</v>
      </c>
      <c r="B71" s="380" t="str">
        <f t="shared" si="1"/>
        <v>015-838</v>
      </c>
      <c r="C71" s="389">
        <v>0</v>
      </c>
    </row>
    <row r="72" spans="1:3" ht="14.5">
      <c r="A72" s="2042" t="s">
        <v>7939</v>
      </c>
      <c r="B72" s="380" t="str">
        <f t="shared" si="1"/>
        <v>015-834</v>
      </c>
      <c r="C72" s="389">
        <v>0</v>
      </c>
    </row>
    <row r="73" spans="1:3" ht="14.5">
      <c r="A73" s="2042" t="s">
        <v>7940</v>
      </c>
      <c r="B73" s="380" t="str">
        <f t="shared" si="1"/>
        <v>015-835</v>
      </c>
      <c r="C73" s="389">
        <v>0</v>
      </c>
    </row>
    <row r="74" spans="1:3" ht="14.5">
      <c r="A74" s="2042" t="s">
        <v>7941</v>
      </c>
      <c r="B74" s="380" t="str">
        <f t="shared" si="1"/>
        <v>015-836</v>
      </c>
      <c r="C74" s="389">
        <v>0</v>
      </c>
    </row>
    <row r="75" spans="1:3" ht="14.5">
      <c r="A75" s="2042" t="s">
        <v>7943</v>
      </c>
      <c r="B75" s="380" t="str">
        <f t="shared" si="1"/>
        <v>015-839</v>
      </c>
      <c r="C75" s="389">
        <v>0</v>
      </c>
    </row>
    <row r="76" spans="1:3" ht="14.5">
      <c r="A76" s="2042" t="s">
        <v>4934</v>
      </c>
      <c r="B76" s="380" t="str">
        <f t="shared" si="1"/>
        <v>015-901</v>
      </c>
      <c r="C76" s="389">
        <v>1</v>
      </c>
    </row>
    <row r="77" spans="1:3" ht="14.5">
      <c r="A77" s="2042" t="s">
        <v>2876</v>
      </c>
      <c r="B77" s="380" t="str">
        <f t="shared" si="1"/>
        <v>015-904</v>
      </c>
      <c r="C77" s="389">
        <v>1</v>
      </c>
    </row>
    <row r="78" spans="1:3" ht="14.5">
      <c r="A78" s="2042" t="s">
        <v>2877</v>
      </c>
      <c r="B78" s="380" t="str">
        <f t="shared" si="1"/>
        <v>015-905</v>
      </c>
      <c r="C78" s="389">
        <v>1</v>
      </c>
    </row>
    <row r="79" spans="1:3" ht="14.5">
      <c r="A79" s="2042" t="s">
        <v>7351</v>
      </c>
      <c r="B79" s="380" t="str">
        <f t="shared" si="1"/>
        <v>015-906</v>
      </c>
      <c r="C79" s="389">
        <v>0</v>
      </c>
    </row>
    <row r="80" spans="1:3" ht="14.5">
      <c r="A80" s="2042" t="s">
        <v>2878</v>
      </c>
      <c r="B80" s="380" t="str">
        <f t="shared" si="1"/>
        <v>015-907</v>
      </c>
      <c r="C80" s="389">
        <v>1</v>
      </c>
    </row>
    <row r="81" spans="1:3" ht="14.5">
      <c r="A81" s="2042" t="s">
        <v>2879</v>
      </c>
      <c r="B81" s="380" t="str">
        <f t="shared" si="1"/>
        <v>015-908</v>
      </c>
      <c r="C81" s="389">
        <v>1</v>
      </c>
    </row>
    <row r="82" spans="1:3" ht="14.5">
      <c r="A82" s="2042" t="s">
        <v>2883</v>
      </c>
      <c r="B82" s="380" t="str">
        <f t="shared" si="1"/>
        <v>015-912</v>
      </c>
      <c r="C82" s="389">
        <v>1</v>
      </c>
    </row>
    <row r="83" spans="1:3" ht="14.5">
      <c r="A83" s="2042" t="s">
        <v>2880</v>
      </c>
      <c r="B83" s="380" t="str">
        <f t="shared" si="1"/>
        <v>015-909</v>
      </c>
      <c r="C83" s="389">
        <v>1</v>
      </c>
    </row>
    <row r="84" spans="1:3" ht="14.5">
      <c r="A84" s="2042" t="s">
        <v>2881</v>
      </c>
      <c r="B84" s="380" t="str">
        <f t="shared" si="1"/>
        <v>015-910</v>
      </c>
      <c r="C84" s="389">
        <v>1</v>
      </c>
    </row>
    <row r="85" spans="1:3" ht="14.5">
      <c r="A85" s="2042" t="s">
        <v>2882</v>
      </c>
      <c r="B85" s="380" t="str">
        <f t="shared" si="1"/>
        <v>015-911</v>
      </c>
      <c r="C85" s="389">
        <v>1</v>
      </c>
    </row>
    <row r="86" spans="1:3" ht="14.5">
      <c r="A86" s="2042" t="s">
        <v>7352</v>
      </c>
      <c r="B86" s="380" t="str">
        <f t="shared" si="1"/>
        <v>015-913</v>
      </c>
      <c r="C86" s="389">
        <v>0</v>
      </c>
    </row>
    <row r="87" spans="1:3" ht="14.5">
      <c r="A87" s="2042" t="s">
        <v>7353</v>
      </c>
      <c r="B87" s="380" t="str">
        <f t="shared" si="1"/>
        <v>015-914</v>
      </c>
      <c r="C87" s="389">
        <v>0</v>
      </c>
    </row>
    <row r="88" spans="1:3" ht="14.5">
      <c r="A88" s="2042" t="s">
        <v>2884</v>
      </c>
      <c r="B88" s="380" t="str">
        <f t="shared" si="1"/>
        <v>015-915</v>
      </c>
      <c r="C88" s="389">
        <v>1</v>
      </c>
    </row>
    <row r="89" spans="1:3" ht="14.5">
      <c r="A89" s="2042" t="s">
        <v>2885</v>
      </c>
      <c r="B89" s="380" t="str">
        <f t="shared" si="1"/>
        <v>015-916</v>
      </c>
      <c r="C89" s="389">
        <v>1</v>
      </c>
    </row>
    <row r="90" spans="1:3" ht="14.5">
      <c r="A90" s="2042" t="s">
        <v>2886</v>
      </c>
      <c r="B90" s="380" t="str">
        <f t="shared" si="1"/>
        <v>015-917</v>
      </c>
      <c r="C90" s="389">
        <v>1</v>
      </c>
    </row>
    <row r="91" spans="1:3" ht="14.5">
      <c r="A91" s="2042" t="s">
        <v>4936</v>
      </c>
      <c r="B91" s="380" t="str">
        <f t="shared" si="1"/>
        <v>017-901</v>
      </c>
      <c r="C91" s="389">
        <v>0.98</v>
      </c>
    </row>
    <row r="92" spans="1:3" ht="14.5">
      <c r="A92" s="2042" t="s">
        <v>8502</v>
      </c>
      <c r="B92" s="380" t="str">
        <f t="shared" si="1"/>
        <v>015-950</v>
      </c>
      <c r="C92" s="389">
        <v>0</v>
      </c>
    </row>
    <row r="93" spans="1:3" ht="14.5">
      <c r="A93" s="2042" t="s">
        <v>4935</v>
      </c>
      <c r="B93" s="380" t="str">
        <f t="shared" si="1"/>
        <v>016-901</v>
      </c>
      <c r="C93" s="389">
        <v>0.98</v>
      </c>
    </row>
    <row r="94" spans="1:3" ht="14.5">
      <c r="A94" s="2042" t="s">
        <v>2887</v>
      </c>
      <c r="B94" s="380" t="str">
        <f t="shared" si="1"/>
        <v>016-902</v>
      </c>
      <c r="C94" s="389">
        <v>1</v>
      </c>
    </row>
    <row r="95" spans="1:3" ht="14.5">
      <c r="A95" s="2042" t="s">
        <v>2888</v>
      </c>
      <c r="B95" s="380" t="str">
        <f t="shared" si="1"/>
        <v>018-901</v>
      </c>
      <c r="C95" s="389">
        <v>0.98</v>
      </c>
    </row>
    <row r="96" spans="1:3" ht="14.5">
      <c r="A96" s="2042" t="s">
        <v>2889</v>
      </c>
      <c r="B96" s="380" t="str">
        <f t="shared" si="1"/>
        <v>018-902</v>
      </c>
      <c r="C96" s="389">
        <v>0.98</v>
      </c>
    </row>
    <row r="97" spans="1:3" ht="14.5">
      <c r="A97" s="2042" t="s">
        <v>5753</v>
      </c>
      <c r="B97" s="380" t="str">
        <f t="shared" si="1"/>
        <v>018-903</v>
      </c>
      <c r="C97" s="389">
        <v>0.98</v>
      </c>
    </row>
    <row r="98" spans="1:3" ht="14.5">
      <c r="A98" s="2042" t="s">
        <v>2890</v>
      </c>
      <c r="B98" s="380" t="str">
        <f t="shared" si="1"/>
        <v>018-904</v>
      </c>
      <c r="C98" s="389">
        <v>1</v>
      </c>
    </row>
    <row r="99" spans="1:3" ht="14.5">
      <c r="A99" s="2042" t="s">
        <v>3522</v>
      </c>
      <c r="B99" s="380" t="str">
        <f t="shared" si="1"/>
        <v>018-905</v>
      </c>
      <c r="C99" s="389">
        <v>0.88990000000000002</v>
      </c>
    </row>
    <row r="100" spans="1:3" ht="14.5">
      <c r="A100" s="2042" t="s">
        <v>4937</v>
      </c>
      <c r="B100" s="380" t="str">
        <f t="shared" si="1"/>
        <v>018-906</v>
      </c>
      <c r="C100" s="389">
        <v>0.98</v>
      </c>
    </row>
    <row r="101" spans="1:3" ht="14.5">
      <c r="A101" s="2042" t="s">
        <v>3524</v>
      </c>
      <c r="B101" s="380" t="str">
        <f t="shared" si="1"/>
        <v>019-901</v>
      </c>
      <c r="C101" s="389">
        <v>1</v>
      </c>
    </row>
    <row r="102" spans="1:3" ht="14.5">
      <c r="A102" s="2042" t="s">
        <v>4938</v>
      </c>
      <c r="B102" s="380" t="str">
        <f t="shared" si="1"/>
        <v>018-907</v>
      </c>
      <c r="C102" s="389">
        <v>0.98670000000000002</v>
      </c>
    </row>
    <row r="103" spans="1:3" ht="14.5">
      <c r="A103" s="2042" t="s">
        <v>5754</v>
      </c>
      <c r="B103" s="380" t="str">
        <f t="shared" si="1"/>
        <v>018-908</v>
      </c>
      <c r="C103" s="389">
        <v>0.98</v>
      </c>
    </row>
    <row r="104" spans="1:3" ht="14.5">
      <c r="A104" s="2042" t="s">
        <v>8503</v>
      </c>
      <c r="B104" s="380" t="str">
        <f t="shared" si="1"/>
        <v>019-000</v>
      </c>
      <c r="C104" s="389">
        <v>0</v>
      </c>
    </row>
    <row r="105" spans="1:3" ht="14.5">
      <c r="A105" s="2042" t="s">
        <v>2891</v>
      </c>
      <c r="B105" s="380" t="str">
        <f t="shared" si="1"/>
        <v>019-902</v>
      </c>
      <c r="C105" s="389">
        <v>1</v>
      </c>
    </row>
    <row r="106" spans="1:3" ht="14.5">
      <c r="A106" s="2042" t="s">
        <v>2892</v>
      </c>
      <c r="B106" s="380" t="str">
        <f t="shared" si="1"/>
        <v>019-903</v>
      </c>
      <c r="C106" s="389">
        <v>1</v>
      </c>
    </row>
    <row r="107" spans="1:3" ht="14.5">
      <c r="A107" s="2042" t="s">
        <v>2893</v>
      </c>
      <c r="B107" s="380" t="str">
        <f t="shared" si="1"/>
        <v>019-905</v>
      </c>
      <c r="C107" s="389">
        <v>1</v>
      </c>
    </row>
    <row r="108" spans="1:3" ht="14.5">
      <c r="A108" s="2042" t="s">
        <v>4939</v>
      </c>
      <c r="B108" s="380" t="str">
        <f t="shared" si="1"/>
        <v>019-906</v>
      </c>
      <c r="C108" s="389">
        <v>1</v>
      </c>
    </row>
    <row r="109" spans="1:3" ht="14.5">
      <c r="A109" s="2042" t="s">
        <v>4940</v>
      </c>
      <c r="B109" s="380" t="str">
        <f t="shared" si="1"/>
        <v>019-907</v>
      </c>
      <c r="C109" s="389">
        <v>1</v>
      </c>
    </row>
    <row r="110" spans="1:3" ht="14.5">
      <c r="A110" s="2042" t="s">
        <v>4941</v>
      </c>
      <c r="B110" s="380" t="str">
        <f t="shared" si="1"/>
        <v>019-908</v>
      </c>
      <c r="C110" s="389">
        <v>1</v>
      </c>
    </row>
    <row r="111" spans="1:3" ht="14.5">
      <c r="A111" s="2042" t="s">
        <v>4943</v>
      </c>
      <c r="B111" s="380" t="str">
        <f t="shared" si="1"/>
        <v>019-912</v>
      </c>
      <c r="C111" s="389">
        <v>1</v>
      </c>
    </row>
    <row r="112" spans="1:3" ht="14.5">
      <c r="A112" s="2042" t="s">
        <v>2894</v>
      </c>
      <c r="B112" s="380" t="str">
        <f t="shared" si="1"/>
        <v>019-909</v>
      </c>
      <c r="C112" s="389">
        <v>1</v>
      </c>
    </row>
    <row r="113" spans="1:3" ht="14.5">
      <c r="A113" s="2042" t="s">
        <v>2895</v>
      </c>
      <c r="B113" s="380" t="str">
        <f t="shared" si="1"/>
        <v>019-910</v>
      </c>
      <c r="C113" s="389">
        <v>0.98</v>
      </c>
    </row>
    <row r="114" spans="1:3" ht="14.5">
      <c r="A114" s="2042" t="s">
        <v>4942</v>
      </c>
      <c r="B114" s="380" t="str">
        <f t="shared" si="1"/>
        <v>019-911</v>
      </c>
      <c r="C114" s="389">
        <v>0.98</v>
      </c>
    </row>
    <row r="115" spans="1:3" ht="14.5">
      <c r="A115" s="2042" t="s">
        <v>5755</v>
      </c>
      <c r="B115" s="380" t="str">
        <f t="shared" si="1"/>
        <v>019-913</v>
      </c>
      <c r="C115" s="389">
        <v>0.98</v>
      </c>
    </row>
    <row r="116" spans="1:3" ht="14.5">
      <c r="A116" s="2042" t="s">
        <v>5756</v>
      </c>
      <c r="B116" s="380" t="str">
        <f t="shared" si="1"/>
        <v>019-914</v>
      </c>
      <c r="C116" s="389">
        <v>0.98</v>
      </c>
    </row>
    <row r="117" spans="1:3" ht="14.5">
      <c r="A117" s="2042" t="s">
        <v>2896</v>
      </c>
      <c r="B117" s="380" t="str">
        <f t="shared" si="1"/>
        <v>020-901</v>
      </c>
      <c r="C117" s="389">
        <v>1</v>
      </c>
    </row>
    <row r="118" spans="1:3" ht="14.5">
      <c r="A118" s="2042" t="s">
        <v>4944</v>
      </c>
      <c r="B118" s="380" t="str">
        <f t="shared" si="1"/>
        <v>020-902</v>
      </c>
      <c r="C118" s="389">
        <v>0.98</v>
      </c>
    </row>
    <row r="119" spans="1:3" ht="14.5">
      <c r="A119" s="2042" t="s">
        <v>2897</v>
      </c>
      <c r="B119" s="380" t="str">
        <f t="shared" si="1"/>
        <v>020-904</v>
      </c>
      <c r="C119" s="389">
        <v>1</v>
      </c>
    </row>
    <row r="120" spans="1:3" ht="14.5">
      <c r="A120" s="2042" t="s">
        <v>4945</v>
      </c>
      <c r="B120" s="380" t="str">
        <f t="shared" si="1"/>
        <v>020-905</v>
      </c>
      <c r="C120" s="389">
        <v>0.98</v>
      </c>
    </row>
    <row r="121" spans="1:3" ht="14.5">
      <c r="A121" s="2042" t="s">
        <v>2900</v>
      </c>
      <c r="B121" s="380" t="str">
        <f t="shared" si="1"/>
        <v>020-910</v>
      </c>
      <c r="C121" s="389">
        <v>1</v>
      </c>
    </row>
    <row r="122" spans="1:3" ht="14.5">
      <c r="A122" s="2042" t="s">
        <v>4946</v>
      </c>
      <c r="B122" s="380" t="str">
        <f t="shared" si="1"/>
        <v>020-906</v>
      </c>
      <c r="C122" s="389">
        <v>1</v>
      </c>
    </row>
    <row r="123" spans="1:3" ht="14.5">
      <c r="A123" s="2042" t="s">
        <v>2898</v>
      </c>
      <c r="B123" s="380" t="str">
        <f t="shared" si="1"/>
        <v>020-907</v>
      </c>
      <c r="C123" s="389">
        <v>1</v>
      </c>
    </row>
    <row r="124" spans="1:3" ht="14.5">
      <c r="A124" s="2042" t="s">
        <v>2899</v>
      </c>
      <c r="B124" s="380" t="str">
        <f t="shared" si="1"/>
        <v>020-908</v>
      </c>
      <c r="C124" s="389">
        <v>1</v>
      </c>
    </row>
    <row r="125" spans="1:3" ht="14.5">
      <c r="A125" s="2042" t="s">
        <v>7944</v>
      </c>
      <c r="B125" s="380" t="str">
        <f t="shared" si="1"/>
        <v>021-803</v>
      </c>
      <c r="C125" s="389">
        <v>0</v>
      </c>
    </row>
    <row r="126" spans="1:3" ht="14.5">
      <c r="A126" s="2042" t="s">
        <v>7945</v>
      </c>
      <c r="B126" s="380" t="str">
        <f t="shared" si="1"/>
        <v>021-805</v>
      </c>
      <c r="C126" s="389">
        <v>0</v>
      </c>
    </row>
    <row r="127" spans="1:3" ht="14.5">
      <c r="A127" s="2042" t="s">
        <v>2901</v>
      </c>
      <c r="B127" s="380" t="str">
        <f t="shared" si="1"/>
        <v>021-901</v>
      </c>
      <c r="C127" s="389">
        <v>1</v>
      </c>
    </row>
    <row r="128" spans="1:3" ht="14.5">
      <c r="A128" s="2042" t="s">
        <v>2902</v>
      </c>
      <c r="B128" s="380" t="str">
        <f t="shared" si="1"/>
        <v>021-902</v>
      </c>
      <c r="C128" s="389">
        <v>1</v>
      </c>
    </row>
    <row r="129" spans="1:3" ht="14.5">
      <c r="A129" s="2042" t="s">
        <v>5757</v>
      </c>
      <c r="B129" s="380" t="str">
        <f t="shared" si="1"/>
        <v>022-004</v>
      </c>
      <c r="C129" s="389">
        <v>0.98</v>
      </c>
    </row>
    <row r="130" spans="1:3" ht="14.5">
      <c r="A130" s="2042" t="s">
        <v>4947</v>
      </c>
      <c r="B130" s="380" t="str">
        <f t="shared" si="1"/>
        <v>022-901</v>
      </c>
      <c r="C130" s="389">
        <v>1</v>
      </c>
    </row>
    <row r="131" spans="1:3" ht="14.5">
      <c r="A131" s="2042" t="s">
        <v>4948</v>
      </c>
      <c r="B131" s="380" t="str">
        <f t="shared" ref="B131:B194" si="2">CONCATENATE(LEFT(RIGHT(CONCATENATE("000",A131),6),3),"-",(RIGHT(RIGHT(CONCATENATE("000",A131),6),3)))</f>
        <v>024-901</v>
      </c>
      <c r="C131" s="389">
        <v>1</v>
      </c>
    </row>
    <row r="132" spans="1:3" ht="14.5">
      <c r="A132" s="2042" t="s">
        <v>5758</v>
      </c>
      <c r="B132" s="380" t="str">
        <f t="shared" si="2"/>
        <v>022-902</v>
      </c>
      <c r="C132" s="389">
        <v>1</v>
      </c>
    </row>
    <row r="133" spans="1:3" ht="14.5">
      <c r="A133" s="2042" t="s">
        <v>5759</v>
      </c>
      <c r="B133" s="380" t="str">
        <f t="shared" si="2"/>
        <v>022-903</v>
      </c>
      <c r="C133" s="389">
        <v>0.98</v>
      </c>
    </row>
    <row r="134" spans="1:3" ht="14.5">
      <c r="A134" s="2042" t="s">
        <v>5760</v>
      </c>
      <c r="B134" s="380" t="str">
        <f t="shared" si="2"/>
        <v>023-902</v>
      </c>
      <c r="C134" s="389">
        <v>0.98</v>
      </c>
    </row>
    <row r="135" spans="1:3" ht="14.5">
      <c r="A135" s="2042" t="s">
        <v>4949</v>
      </c>
      <c r="B135" s="380" t="str">
        <f t="shared" si="2"/>
        <v>025-901</v>
      </c>
      <c r="C135" s="389">
        <v>0.98</v>
      </c>
    </row>
    <row r="136" spans="1:3" ht="14.5">
      <c r="A136" s="2042" t="s">
        <v>4950</v>
      </c>
      <c r="B136" s="380" t="str">
        <f t="shared" si="2"/>
        <v>025-902</v>
      </c>
      <c r="C136" s="389">
        <v>0.98</v>
      </c>
    </row>
    <row r="137" spans="1:3" ht="14.5">
      <c r="A137" s="2042" t="s">
        <v>2903</v>
      </c>
      <c r="B137" s="380" t="str">
        <f t="shared" si="2"/>
        <v>025-904</v>
      </c>
      <c r="C137" s="389">
        <v>1</v>
      </c>
    </row>
    <row r="138" spans="1:3" ht="14.5">
      <c r="A138" s="2042" t="s">
        <v>2904</v>
      </c>
      <c r="B138" s="380" t="str">
        <f t="shared" si="2"/>
        <v>025-905</v>
      </c>
      <c r="C138" s="389">
        <v>0.98</v>
      </c>
    </row>
    <row r="139" spans="1:3" ht="14.5">
      <c r="A139" s="2042" t="s">
        <v>2905</v>
      </c>
      <c r="B139" s="380" t="str">
        <f t="shared" si="2"/>
        <v>025-906</v>
      </c>
      <c r="C139" s="389">
        <v>0.98</v>
      </c>
    </row>
    <row r="140" spans="1:3" ht="14.5">
      <c r="A140" s="2042" t="s">
        <v>2906</v>
      </c>
      <c r="B140" s="380" t="str">
        <f t="shared" si="2"/>
        <v>025-908</v>
      </c>
      <c r="C140" s="389">
        <v>1</v>
      </c>
    </row>
    <row r="141" spans="1:3" ht="14.5">
      <c r="A141" s="2042" t="s">
        <v>2908</v>
      </c>
      <c r="B141" s="380" t="str">
        <f t="shared" si="2"/>
        <v>026-903</v>
      </c>
      <c r="C141" s="389">
        <v>1</v>
      </c>
    </row>
    <row r="142" spans="1:3" ht="14.5">
      <c r="A142" s="2042" t="s">
        <v>2907</v>
      </c>
      <c r="B142" s="380" t="str">
        <f t="shared" si="2"/>
        <v>025-909</v>
      </c>
      <c r="C142" s="389">
        <v>1</v>
      </c>
    </row>
    <row r="143" spans="1:3" ht="14.5">
      <c r="A143" s="2042" t="s">
        <v>4951</v>
      </c>
      <c r="B143" s="380" t="str">
        <f t="shared" si="2"/>
        <v>026-901</v>
      </c>
      <c r="C143" s="389">
        <v>1</v>
      </c>
    </row>
    <row r="144" spans="1:3" ht="14.5">
      <c r="A144" s="2042" t="s">
        <v>4952</v>
      </c>
      <c r="B144" s="380" t="str">
        <f t="shared" si="2"/>
        <v>026-902</v>
      </c>
      <c r="C144" s="389">
        <v>1</v>
      </c>
    </row>
    <row r="145" spans="1:3" ht="14.5">
      <c r="A145" s="2042" t="s">
        <v>2909</v>
      </c>
      <c r="B145" s="380" t="str">
        <f t="shared" si="2"/>
        <v>027-903</v>
      </c>
      <c r="C145" s="389">
        <v>1</v>
      </c>
    </row>
    <row r="146" spans="1:3" ht="14.5">
      <c r="A146" s="2042" t="s">
        <v>3582</v>
      </c>
      <c r="B146" s="380" t="str">
        <f t="shared" si="2"/>
        <v>027-904</v>
      </c>
      <c r="C146" s="389">
        <v>0.99330000000000007</v>
      </c>
    </row>
    <row r="147" spans="1:3" ht="14.5">
      <c r="A147" s="2042" t="s">
        <v>2910</v>
      </c>
      <c r="B147" s="380" t="str">
        <f t="shared" si="2"/>
        <v>028-902</v>
      </c>
      <c r="C147" s="389">
        <v>1</v>
      </c>
    </row>
    <row r="148" spans="1:3" ht="14.5">
      <c r="A148" s="2042" t="s">
        <v>2911</v>
      </c>
      <c r="B148" s="380" t="str">
        <f t="shared" si="2"/>
        <v>028-903</v>
      </c>
      <c r="C148" s="389">
        <v>0.97900000000000009</v>
      </c>
    </row>
    <row r="149" spans="1:3" ht="14.5">
      <c r="A149" s="2042" t="s">
        <v>5761</v>
      </c>
      <c r="B149" s="380" t="str">
        <f t="shared" si="2"/>
        <v>028-906</v>
      </c>
      <c r="C149" s="389">
        <v>0.96</v>
      </c>
    </row>
    <row r="150" spans="1:3" ht="14.5">
      <c r="A150" s="2042" t="s">
        <v>2913</v>
      </c>
      <c r="B150" s="380" t="str">
        <f t="shared" si="2"/>
        <v>030-903</v>
      </c>
      <c r="C150" s="389">
        <v>1</v>
      </c>
    </row>
    <row r="151" spans="1:3" ht="14.5">
      <c r="A151" s="2042" t="s">
        <v>4953</v>
      </c>
      <c r="B151" s="380" t="str">
        <f t="shared" si="2"/>
        <v>029-901</v>
      </c>
      <c r="C151" s="389">
        <v>0.98</v>
      </c>
    </row>
    <row r="152" spans="1:3" ht="14.5">
      <c r="A152" s="2042" t="s">
        <v>5762</v>
      </c>
      <c r="B152" s="380" t="str">
        <f t="shared" si="2"/>
        <v>030-901</v>
      </c>
      <c r="C152" s="389">
        <v>1</v>
      </c>
    </row>
    <row r="153" spans="1:3" ht="14.5">
      <c r="A153" s="2042" t="s">
        <v>2912</v>
      </c>
      <c r="B153" s="380" t="str">
        <f t="shared" si="2"/>
        <v>030-902</v>
      </c>
      <c r="C153" s="389">
        <v>1</v>
      </c>
    </row>
    <row r="154" spans="1:3" ht="14.5">
      <c r="A154" s="2042" t="s">
        <v>4954</v>
      </c>
      <c r="B154" s="380" t="str">
        <f t="shared" si="2"/>
        <v>030-906</v>
      </c>
      <c r="C154" s="389">
        <v>1</v>
      </c>
    </row>
    <row r="155" spans="1:3" ht="14.5">
      <c r="A155" s="2042" t="s">
        <v>7946</v>
      </c>
      <c r="B155" s="380" t="str">
        <f t="shared" si="2"/>
        <v>031-505</v>
      </c>
      <c r="C155" s="389">
        <v>0</v>
      </c>
    </row>
    <row r="156" spans="1:3" ht="14.5">
      <c r="A156" s="2042" t="s">
        <v>2914</v>
      </c>
      <c r="B156" s="380" t="str">
        <f t="shared" si="2"/>
        <v>031-901</v>
      </c>
      <c r="C156" s="389">
        <v>1</v>
      </c>
    </row>
    <row r="157" spans="1:3" ht="14.5">
      <c r="A157" s="2042" t="s">
        <v>2915</v>
      </c>
      <c r="B157" s="380" t="str">
        <f t="shared" si="2"/>
        <v>031-903</v>
      </c>
      <c r="C157" s="389">
        <v>1</v>
      </c>
    </row>
    <row r="158" spans="1:3" ht="14.5">
      <c r="A158" s="2042" t="s">
        <v>2916</v>
      </c>
      <c r="B158" s="380" t="str">
        <f t="shared" si="2"/>
        <v>031-905</v>
      </c>
      <c r="C158" s="389">
        <v>1</v>
      </c>
    </row>
    <row r="159" spans="1:3" ht="14.5">
      <c r="A159" s="2042" t="s">
        <v>2919</v>
      </c>
      <c r="B159" s="380" t="str">
        <f t="shared" si="2"/>
        <v>031-912</v>
      </c>
      <c r="C159" s="389">
        <v>1</v>
      </c>
    </row>
    <row r="160" spans="1:3" ht="14.5">
      <c r="A160" s="2042" t="s">
        <v>2917</v>
      </c>
      <c r="B160" s="380" t="str">
        <f t="shared" si="2"/>
        <v>031-906</v>
      </c>
      <c r="C160" s="389">
        <v>1</v>
      </c>
    </row>
    <row r="161" spans="1:3" ht="14.5">
      <c r="A161" s="2042" t="s">
        <v>4955</v>
      </c>
      <c r="B161" s="380" t="str">
        <f t="shared" si="2"/>
        <v>031-909</v>
      </c>
      <c r="C161" s="389">
        <v>0.98010000000000008</v>
      </c>
    </row>
    <row r="162" spans="1:3" ht="14.5">
      <c r="A162" s="2042" t="s">
        <v>2918</v>
      </c>
      <c r="B162" s="380" t="str">
        <f t="shared" si="2"/>
        <v>031-911</v>
      </c>
      <c r="C162" s="389">
        <v>1</v>
      </c>
    </row>
    <row r="163" spans="1:3" ht="14.5">
      <c r="A163" s="2042" t="s">
        <v>2920</v>
      </c>
      <c r="B163" s="380" t="str">
        <f t="shared" si="2"/>
        <v>031-913</v>
      </c>
      <c r="C163" s="389">
        <v>1</v>
      </c>
    </row>
    <row r="164" spans="1:3" ht="14.5">
      <c r="A164" s="2042" t="s">
        <v>2921</v>
      </c>
      <c r="B164" s="380" t="str">
        <f t="shared" si="2"/>
        <v>031-914</v>
      </c>
      <c r="C164" s="389">
        <v>1</v>
      </c>
    </row>
    <row r="165" spans="1:3" ht="14.5">
      <c r="A165" s="2042" t="s">
        <v>7354</v>
      </c>
      <c r="B165" s="380" t="str">
        <f t="shared" si="2"/>
        <v>031-916</v>
      </c>
      <c r="C165" s="389">
        <v>2.6100000000000002E-2</v>
      </c>
    </row>
    <row r="166" spans="1:3" ht="14.5">
      <c r="A166" s="2042" t="s">
        <v>4956</v>
      </c>
      <c r="B166" s="380" t="str">
        <f t="shared" si="2"/>
        <v>032-902</v>
      </c>
      <c r="C166" s="389">
        <v>0.98</v>
      </c>
    </row>
    <row r="167" spans="1:3" ht="14.5">
      <c r="A167" s="2042" t="s">
        <v>4957</v>
      </c>
      <c r="B167" s="380" t="str">
        <f t="shared" si="2"/>
        <v>033-901</v>
      </c>
      <c r="C167" s="389">
        <v>1</v>
      </c>
    </row>
    <row r="168" spans="1:3" ht="14.5">
      <c r="A168" s="2042" t="s">
        <v>4958</v>
      </c>
      <c r="B168" s="380" t="str">
        <f t="shared" si="2"/>
        <v>033-902</v>
      </c>
      <c r="C168" s="389">
        <v>1</v>
      </c>
    </row>
    <row r="169" spans="1:3" ht="14.5">
      <c r="A169" s="2042" t="s">
        <v>4961</v>
      </c>
      <c r="B169" s="380" t="str">
        <f t="shared" si="2"/>
        <v>034-903</v>
      </c>
      <c r="C169" s="389">
        <v>1</v>
      </c>
    </row>
    <row r="170" spans="1:3" ht="14.5">
      <c r="A170" s="2042" t="s">
        <v>4959</v>
      </c>
      <c r="B170" s="380" t="str">
        <f t="shared" si="2"/>
        <v>033-904</v>
      </c>
      <c r="C170" s="389">
        <v>0.99330000000000007</v>
      </c>
    </row>
    <row r="171" spans="1:3" ht="14.5">
      <c r="A171" s="2042" t="s">
        <v>4960</v>
      </c>
      <c r="B171" s="380" t="str">
        <f t="shared" si="2"/>
        <v>034-901</v>
      </c>
      <c r="C171" s="389">
        <v>1</v>
      </c>
    </row>
    <row r="172" spans="1:3" ht="14.5">
      <c r="A172" s="2042" t="s">
        <v>5763</v>
      </c>
      <c r="B172" s="380" t="str">
        <f t="shared" si="2"/>
        <v>034-902</v>
      </c>
      <c r="C172" s="389">
        <v>1</v>
      </c>
    </row>
    <row r="173" spans="1:3" ht="14.5">
      <c r="A173" s="2042" t="s">
        <v>5764</v>
      </c>
      <c r="B173" s="380" t="str">
        <f t="shared" si="2"/>
        <v>034-905</v>
      </c>
      <c r="C173" s="389">
        <v>1</v>
      </c>
    </row>
    <row r="174" spans="1:3" ht="14.5">
      <c r="A174" s="2042" t="s">
        <v>3647</v>
      </c>
      <c r="B174" s="380" t="str">
        <f t="shared" si="2"/>
        <v>034-906</v>
      </c>
      <c r="C174" s="389">
        <v>0.98010000000000008</v>
      </c>
    </row>
    <row r="175" spans="1:3" ht="14.5">
      <c r="A175" s="2042" t="s">
        <v>4962</v>
      </c>
      <c r="B175" s="380" t="str">
        <f t="shared" si="2"/>
        <v>034-907</v>
      </c>
      <c r="C175" s="389">
        <v>1</v>
      </c>
    </row>
    <row r="176" spans="1:3" ht="14.5">
      <c r="A176" s="2042" t="s">
        <v>4963</v>
      </c>
      <c r="B176" s="380" t="str">
        <f t="shared" si="2"/>
        <v>034-909</v>
      </c>
      <c r="C176" s="389">
        <v>1</v>
      </c>
    </row>
    <row r="177" spans="1:3" ht="14.5">
      <c r="A177" s="2042" t="s">
        <v>4964</v>
      </c>
      <c r="B177" s="380" t="str">
        <f t="shared" si="2"/>
        <v>035-901</v>
      </c>
      <c r="C177" s="389">
        <v>1</v>
      </c>
    </row>
    <row r="178" spans="1:3" ht="14.5">
      <c r="A178" s="2042" t="s">
        <v>5765</v>
      </c>
      <c r="B178" s="380" t="str">
        <f t="shared" si="2"/>
        <v>035-902</v>
      </c>
      <c r="C178" s="389">
        <v>1</v>
      </c>
    </row>
    <row r="179" spans="1:3" ht="14.5">
      <c r="A179" s="2042" t="s">
        <v>2924</v>
      </c>
      <c r="B179" s="380" t="str">
        <f t="shared" si="2"/>
        <v>036-903</v>
      </c>
      <c r="C179" s="389">
        <v>1</v>
      </c>
    </row>
    <row r="180" spans="1:3" ht="14.5">
      <c r="A180" s="2042" t="s">
        <v>2922</v>
      </c>
      <c r="B180" s="380" t="str">
        <f t="shared" si="2"/>
        <v>035-903</v>
      </c>
      <c r="C180" s="389">
        <v>1</v>
      </c>
    </row>
    <row r="181" spans="1:3" ht="14.5">
      <c r="A181" s="2042" t="s">
        <v>2923</v>
      </c>
      <c r="B181" s="380" t="str">
        <f t="shared" si="2"/>
        <v>036-901</v>
      </c>
      <c r="C181" s="389">
        <v>1</v>
      </c>
    </row>
    <row r="182" spans="1:3" ht="14.5">
      <c r="A182" s="2042" t="s">
        <v>4965</v>
      </c>
      <c r="B182" s="380" t="str">
        <f t="shared" si="2"/>
        <v>036-902</v>
      </c>
      <c r="C182" s="389">
        <v>1</v>
      </c>
    </row>
    <row r="183" spans="1:3" ht="14.5">
      <c r="A183" s="2042" t="s">
        <v>4966</v>
      </c>
      <c r="B183" s="380" t="str">
        <f t="shared" si="2"/>
        <v>037-901</v>
      </c>
      <c r="C183" s="389">
        <v>0.98</v>
      </c>
    </row>
    <row r="184" spans="1:3" ht="14.5">
      <c r="A184" s="2042" t="s">
        <v>2925</v>
      </c>
      <c r="B184" s="380" t="str">
        <f t="shared" si="2"/>
        <v>037-904</v>
      </c>
      <c r="C184" s="389">
        <v>0.98</v>
      </c>
    </row>
    <row r="185" spans="1:3" ht="14.5">
      <c r="A185" s="2042" t="s">
        <v>2926</v>
      </c>
      <c r="B185" s="380" t="str">
        <f t="shared" si="2"/>
        <v>037-907</v>
      </c>
      <c r="C185" s="389">
        <v>1</v>
      </c>
    </row>
    <row r="186" spans="1:3" ht="14.5">
      <c r="A186" s="2042" t="s">
        <v>3657</v>
      </c>
      <c r="B186" s="380" t="str">
        <f t="shared" si="2"/>
        <v>037-908</v>
      </c>
      <c r="C186" s="389">
        <v>1</v>
      </c>
    </row>
    <row r="187" spans="1:3" ht="14.5">
      <c r="A187" s="2042" t="s">
        <v>4967</v>
      </c>
      <c r="B187" s="380" t="str">
        <f t="shared" si="2"/>
        <v>037-909</v>
      </c>
      <c r="C187" s="389">
        <v>1</v>
      </c>
    </row>
    <row r="188" spans="1:3" ht="14.5">
      <c r="A188" s="2042" t="s">
        <v>5766</v>
      </c>
      <c r="B188" s="380" t="str">
        <f t="shared" si="2"/>
        <v>039-904</v>
      </c>
      <c r="C188" s="389">
        <v>1</v>
      </c>
    </row>
    <row r="189" spans="1:3" ht="14.5">
      <c r="A189" s="2042" t="s">
        <v>2927</v>
      </c>
      <c r="B189" s="380" t="str">
        <f t="shared" si="2"/>
        <v>038-901</v>
      </c>
      <c r="C189" s="389">
        <v>1</v>
      </c>
    </row>
    <row r="190" spans="1:3" ht="14.5">
      <c r="A190" s="2042" t="s">
        <v>4968</v>
      </c>
      <c r="B190" s="380" t="str">
        <f t="shared" si="2"/>
        <v>039-902</v>
      </c>
      <c r="C190" s="389">
        <v>0.98</v>
      </c>
    </row>
    <row r="191" spans="1:3" ht="14.5">
      <c r="A191" s="2042" t="s">
        <v>2928</v>
      </c>
      <c r="B191" s="380" t="str">
        <f t="shared" si="2"/>
        <v>039-903</v>
      </c>
      <c r="C191" s="389">
        <v>1</v>
      </c>
    </row>
    <row r="192" spans="1:3" ht="14.5">
      <c r="A192" s="2042" t="s">
        <v>5767</v>
      </c>
      <c r="B192" s="380" t="str">
        <f t="shared" si="2"/>
        <v>039-905</v>
      </c>
      <c r="C192" s="389">
        <v>1</v>
      </c>
    </row>
    <row r="193" spans="1:3" ht="14.5">
      <c r="A193" s="2042" t="s">
        <v>5768</v>
      </c>
      <c r="B193" s="380" t="str">
        <f t="shared" si="2"/>
        <v>040-901</v>
      </c>
      <c r="C193" s="389">
        <v>1</v>
      </c>
    </row>
    <row r="194" spans="1:3" ht="14.5">
      <c r="A194" s="2042" t="s">
        <v>4969</v>
      </c>
      <c r="B194" s="380" t="str">
        <f t="shared" si="2"/>
        <v>040-902</v>
      </c>
      <c r="C194" s="389">
        <v>1</v>
      </c>
    </row>
    <row r="195" spans="1:3" ht="14.5">
      <c r="A195" s="2042" t="s">
        <v>5769</v>
      </c>
      <c r="B195" s="380" t="str">
        <f t="shared" ref="B195:B258" si="3">CONCATENATE(LEFT(RIGHT(CONCATENATE("000",A195),6),3),"-",(RIGHT(RIGHT(CONCATENATE("000",A195),6),3)))</f>
        <v>041-901</v>
      </c>
      <c r="C195" s="389">
        <v>1</v>
      </c>
    </row>
    <row r="196" spans="1:3" ht="14.5">
      <c r="A196" s="2042" t="s">
        <v>4970</v>
      </c>
      <c r="B196" s="380" t="str">
        <f t="shared" si="3"/>
        <v>041-902</v>
      </c>
      <c r="C196" s="389">
        <v>1</v>
      </c>
    </row>
    <row r="197" spans="1:3" ht="14.5">
      <c r="A197" s="2042" t="s">
        <v>3664</v>
      </c>
      <c r="B197" s="380" t="str">
        <f t="shared" si="3"/>
        <v>042-901</v>
      </c>
      <c r="C197" s="389">
        <v>1</v>
      </c>
    </row>
    <row r="198" spans="1:3" ht="14.5">
      <c r="A198" s="2042" t="s">
        <v>7949</v>
      </c>
      <c r="B198" s="380" t="str">
        <f t="shared" si="3"/>
        <v>043-802</v>
      </c>
      <c r="C198" s="389">
        <v>0</v>
      </c>
    </row>
    <row r="199" spans="1:3" ht="14.5">
      <c r="A199" s="2042" t="s">
        <v>2929</v>
      </c>
      <c r="B199" s="380" t="str">
        <f t="shared" si="3"/>
        <v>042-903</v>
      </c>
      <c r="C199" s="389">
        <v>1</v>
      </c>
    </row>
    <row r="200" spans="1:3" ht="14.5">
      <c r="A200" s="2042" t="s">
        <v>4971</v>
      </c>
      <c r="B200" s="380" t="str">
        <f t="shared" si="3"/>
        <v>042-905</v>
      </c>
      <c r="C200" s="389">
        <v>1</v>
      </c>
    </row>
    <row r="201" spans="1:3" ht="14.5">
      <c r="A201" s="2042" t="s">
        <v>7948</v>
      </c>
      <c r="B201" s="380" t="str">
        <f t="shared" si="3"/>
        <v>043-801</v>
      </c>
      <c r="C201" s="389">
        <v>0</v>
      </c>
    </row>
    <row r="202" spans="1:3" ht="14.5">
      <c r="A202" s="2042" t="s">
        <v>2930</v>
      </c>
      <c r="B202" s="380" t="str">
        <f t="shared" si="3"/>
        <v>043-901</v>
      </c>
      <c r="C202" s="389">
        <v>1</v>
      </c>
    </row>
    <row r="203" spans="1:3" ht="14.5">
      <c r="A203" s="2042" t="s">
        <v>2931</v>
      </c>
      <c r="B203" s="380" t="str">
        <f t="shared" si="3"/>
        <v>043-902</v>
      </c>
      <c r="C203" s="389">
        <v>1</v>
      </c>
    </row>
    <row r="204" spans="1:3" ht="14.5">
      <c r="A204" s="2042" t="s">
        <v>2932</v>
      </c>
      <c r="B204" s="380" t="str">
        <f t="shared" si="3"/>
        <v>043-903</v>
      </c>
      <c r="C204" s="389">
        <v>1</v>
      </c>
    </row>
    <row r="205" spans="1:3" ht="14.5">
      <c r="A205" s="2042" t="s">
        <v>2933</v>
      </c>
      <c r="B205" s="380" t="str">
        <f t="shared" si="3"/>
        <v>043-904</v>
      </c>
      <c r="C205" s="389">
        <v>1</v>
      </c>
    </row>
    <row r="206" spans="1:3" ht="14.5">
      <c r="A206" s="2042" t="s">
        <v>2934</v>
      </c>
      <c r="B206" s="380" t="str">
        <f t="shared" si="3"/>
        <v>043-905</v>
      </c>
      <c r="C206" s="389">
        <v>1</v>
      </c>
    </row>
    <row r="207" spans="1:3" ht="14.5">
      <c r="A207" s="2042" t="s">
        <v>2937</v>
      </c>
      <c r="B207" s="380" t="str">
        <f t="shared" si="3"/>
        <v>043-911</v>
      </c>
      <c r="C207" s="389">
        <v>1</v>
      </c>
    </row>
    <row r="208" spans="1:3" ht="14.5">
      <c r="A208" s="2042" t="s">
        <v>2935</v>
      </c>
      <c r="B208" s="380" t="str">
        <f t="shared" si="3"/>
        <v>043-907</v>
      </c>
      <c r="C208" s="389">
        <v>1</v>
      </c>
    </row>
    <row r="209" spans="1:3" ht="14.5">
      <c r="A209" s="2042" t="s">
        <v>2936</v>
      </c>
      <c r="B209" s="380" t="str">
        <f t="shared" si="3"/>
        <v>043-908</v>
      </c>
      <c r="C209" s="389">
        <v>1</v>
      </c>
    </row>
    <row r="210" spans="1:3" ht="14.5">
      <c r="A210" s="2042" t="s">
        <v>4972</v>
      </c>
      <c r="B210" s="380" t="str">
        <f t="shared" si="3"/>
        <v>043-910</v>
      </c>
      <c r="C210" s="389">
        <v>1</v>
      </c>
    </row>
    <row r="211" spans="1:3" ht="14.5">
      <c r="A211" s="2042" t="s">
        <v>2938</v>
      </c>
      <c r="B211" s="380" t="str">
        <f t="shared" si="3"/>
        <v>043-912</v>
      </c>
      <c r="C211" s="389">
        <v>1</v>
      </c>
    </row>
    <row r="212" spans="1:3" ht="14.5">
      <c r="A212" s="2042" t="s">
        <v>2939</v>
      </c>
      <c r="B212" s="380" t="str">
        <f t="shared" si="3"/>
        <v>043-914</v>
      </c>
      <c r="C212" s="389">
        <v>1</v>
      </c>
    </row>
    <row r="213" spans="1:3" ht="14.5">
      <c r="A213" s="2042" t="s">
        <v>2940</v>
      </c>
      <c r="B213" s="380" t="str">
        <f t="shared" si="3"/>
        <v>043-917</v>
      </c>
      <c r="C213" s="389">
        <v>1</v>
      </c>
    </row>
    <row r="214" spans="1:3" ht="14.5">
      <c r="A214" s="2042" t="s">
        <v>2941</v>
      </c>
      <c r="B214" s="380" t="str">
        <f t="shared" si="3"/>
        <v>043-918</v>
      </c>
      <c r="C214" s="389">
        <v>1</v>
      </c>
    </row>
    <row r="215" spans="1:3" ht="14.5">
      <c r="A215" s="2042" t="s">
        <v>4973</v>
      </c>
      <c r="B215" s="380" t="str">
        <f t="shared" si="3"/>
        <v>043-919</v>
      </c>
      <c r="C215" s="389">
        <v>1</v>
      </c>
    </row>
    <row r="216" spans="1:3" ht="14.5">
      <c r="A216" s="2042" t="s">
        <v>4975</v>
      </c>
      <c r="B216" s="380" t="str">
        <f t="shared" si="3"/>
        <v>045-905</v>
      </c>
      <c r="C216" s="389">
        <v>0.98</v>
      </c>
    </row>
    <row r="217" spans="1:3" ht="14.5">
      <c r="A217" s="2042" t="s">
        <v>5770</v>
      </c>
      <c r="B217" s="380" t="str">
        <f t="shared" si="3"/>
        <v>044-902</v>
      </c>
      <c r="C217" s="389">
        <v>0.98</v>
      </c>
    </row>
    <row r="218" spans="1:3" ht="14.5">
      <c r="A218" s="2042" t="s">
        <v>2942</v>
      </c>
      <c r="B218" s="380" t="str">
        <f t="shared" si="3"/>
        <v>045-902</v>
      </c>
      <c r="C218" s="389">
        <v>0.98</v>
      </c>
    </row>
    <row r="219" spans="1:3" ht="14.5">
      <c r="A219" s="2042" t="s">
        <v>4974</v>
      </c>
      <c r="B219" s="380" t="str">
        <f t="shared" si="3"/>
        <v>045-903</v>
      </c>
      <c r="C219" s="389">
        <v>0.98</v>
      </c>
    </row>
    <row r="220" spans="1:3" ht="14.5">
      <c r="A220" s="2042" t="s">
        <v>7950</v>
      </c>
      <c r="B220" s="380" t="str">
        <f t="shared" si="3"/>
        <v>046-802</v>
      </c>
      <c r="C220" s="389">
        <v>0</v>
      </c>
    </row>
    <row r="221" spans="1:3" ht="14.5">
      <c r="A221" s="2042" t="s">
        <v>2943</v>
      </c>
      <c r="B221" s="380" t="str">
        <f t="shared" si="3"/>
        <v>046-901</v>
      </c>
      <c r="C221" s="389">
        <v>0.98</v>
      </c>
    </row>
    <row r="222" spans="1:3" ht="14.5">
      <c r="A222" s="2042" t="s">
        <v>4976</v>
      </c>
      <c r="B222" s="380" t="str">
        <f t="shared" si="3"/>
        <v>046-902</v>
      </c>
      <c r="C222" s="389">
        <v>1</v>
      </c>
    </row>
    <row r="223" spans="1:3" ht="14.5">
      <c r="A223" s="2042" t="s">
        <v>2944</v>
      </c>
      <c r="B223" s="380" t="str">
        <f t="shared" si="3"/>
        <v>047-901</v>
      </c>
      <c r="C223" s="389">
        <v>1</v>
      </c>
    </row>
    <row r="224" spans="1:3" ht="14.5">
      <c r="A224" s="2042" t="s">
        <v>2945</v>
      </c>
      <c r="B224" s="380" t="str">
        <f t="shared" si="3"/>
        <v>047-902</v>
      </c>
      <c r="C224" s="389">
        <v>1</v>
      </c>
    </row>
    <row r="225" spans="1:3" ht="14.5">
      <c r="A225" s="2042" t="s">
        <v>2946</v>
      </c>
      <c r="B225" s="380" t="str">
        <f t="shared" si="3"/>
        <v>047-903</v>
      </c>
      <c r="C225" s="389">
        <v>1</v>
      </c>
    </row>
    <row r="226" spans="1:3" ht="14.5">
      <c r="A226" s="2042" t="s">
        <v>2948</v>
      </c>
      <c r="B226" s="380" t="str">
        <f t="shared" si="3"/>
        <v>049-901</v>
      </c>
      <c r="C226" s="389">
        <v>1</v>
      </c>
    </row>
    <row r="227" spans="1:3" ht="14.5">
      <c r="A227" s="2042" t="s">
        <v>2947</v>
      </c>
      <c r="B227" s="380" t="str">
        <f t="shared" si="3"/>
        <v>047-905</v>
      </c>
      <c r="C227" s="389">
        <v>0.98</v>
      </c>
    </row>
    <row r="228" spans="1:3" ht="14.5">
      <c r="A228" s="2042" t="s">
        <v>5771</v>
      </c>
      <c r="B228" s="380" t="str">
        <f t="shared" si="3"/>
        <v>048-901</v>
      </c>
      <c r="C228" s="389">
        <v>0.99450000000000005</v>
      </c>
    </row>
    <row r="229" spans="1:3" ht="14.5">
      <c r="A229" s="2042" t="s">
        <v>4977</v>
      </c>
      <c r="B229" s="380" t="str">
        <f t="shared" si="3"/>
        <v>048-903</v>
      </c>
      <c r="C229" s="389">
        <v>1</v>
      </c>
    </row>
    <row r="230" spans="1:3" ht="14.5">
      <c r="A230" s="2042" t="s">
        <v>4978</v>
      </c>
      <c r="B230" s="380" t="str">
        <f t="shared" si="3"/>
        <v>049-902</v>
      </c>
      <c r="C230" s="389">
        <v>0.98</v>
      </c>
    </row>
    <row r="231" spans="1:3" ht="14.5">
      <c r="A231" s="2042" t="s">
        <v>2949</v>
      </c>
      <c r="B231" s="380" t="str">
        <f t="shared" si="3"/>
        <v>049-903</v>
      </c>
      <c r="C231" s="389">
        <v>1</v>
      </c>
    </row>
    <row r="232" spans="1:3" ht="14.5">
      <c r="A232" s="2042" t="s">
        <v>4979</v>
      </c>
      <c r="B232" s="380" t="str">
        <f t="shared" si="3"/>
        <v>049-905</v>
      </c>
      <c r="C232" s="389">
        <v>0.98</v>
      </c>
    </row>
    <row r="233" spans="1:3" ht="14.5">
      <c r="A233" s="2042" t="s">
        <v>2950</v>
      </c>
      <c r="B233" s="380" t="str">
        <f t="shared" si="3"/>
        <v>049-906</v>
      </c>
      <c r="C233" s="389">
        <v>0.98</v>
      </c>
    </row>
    <row r="234" spans="1:3" ht="14.5">
      <c r="A234" s="2042" t="s">
        <v>4980</v>
      </c>
      <c r="B234" s="380" t="str">
        <f t="shared" si="3"/>
        <v>049-907</v>
      </c>
      <c r="C234" s="389">
        <v>0.98</v>
      </c>
    </row>
    <row r="235" spans="1:3" ht="14.5">
      <c r="A235" s="2042" t="s">
        <v>5772</v>
      </c>
      <c r="B235" s="380" t="str">
        <f t="shared" si="3"/>
        <v>049-908</v>
      </c>
      <c r="C235" s="389">
        <v>1</v>
      </c>
    </row>
    <row r="236" spans="1:3" ht="14.5">
      <c r="A236" s="2042" t="s">
        <v>2951</v>
      </c>
      <c r="B236" s="380" t="str">
        <f t="shared" si="3"/>
        <v>050-904</v>
      </c>
      <c r="C236" s="389">
        <v>1</v>
      </c>
    </row>
    <row r="237" spans="1:3" ht="14.5">
      <c r="A237" s="2042" t="s">
        <v>5773</v>
      </c>
      <c r="B237" s="380" t="str">
        <f t="shared" si="3"/>
        <v>049-909</v>
      </c>
      <c r="C237" s="389">
        <v>0.98</v>
      </c>
    </row>
    <row r="238" spans="1:3" ht="14.5">
      <c r="A238" s="2042" t="s">
        <v>5774</v>
      </c>
      <c r="B238" s="380" t="str">
        <f t="shared" si="3"/>
        <v>050-901</v>
      </c>
      <c r="C238" s="389">
        <v>0.98</v>
      </c>
    </row>
    <row r="239" spans="1:3" ht="14.5">
      <c r="A239" s="2042" t="s">
        <v>4981</v>
      </c>
      <c r="B239" s="380" t="str">
        <f t="shared" si="3"/>
        <v>050-902</v>
      </c>
      <c r="C239" s="389">
        <v>0.98</v>
      </c>
    </row>
    <row r="240" spans="1:3" ht="14.5">
      <c r="A240" s="2042" t="s">
        <v>4982</v>
      </c>
      <c r="B240" s="380" t="str">
        <f t="shared" si="3"/>
        <v>050-909</v>
      </c>
      <c r="C240" s="389">
        <v>1</v>
      </c>
    </row>
    <row r="241" spans="1:3" ht="14.5">
      <c r="A241" s="2042" t="s">
        <v>2952</v>
      </c>
      <c r="B241" s="380" t="str">
        <f t="shared" si="3"/>
        <v>050-910</v>
      </c>
      <c r="C241" s="389">
        <v>1</v>
      </c>
    </row>
    <row r="242" spans="1:3" ht="14.5">
      <c r="A242" s="2042" t="s">
        <v>5775</v>
      </c>
      <c r="B242" s="380" t="str">
        <f t="shared" si="3"/>
        <v>051-901</v>
      </c>
      <c r="C242" s="389">
        <v>0.98</v>
      </c>
    </row>
    <row r="243" spans="1:3" ht="14.5">
      <c r="A243" s="2042" t="s">
        <v>4983</v>
      </c>
      <c r="B243" s="380" t="str">
        <f t="shared" si="3"/>
        <v>052-901</v>
      </c>
      <c r="C243" s="389">
        <v>1</v>
      </c>
    </row>
    <row r="244" spans="1:3" ht="14.5">
      <c r="A244" s="2042" t="s">
        <v>5776</v>
      </c>
      <c r="B244" s="380" t="str">
        <f t="shared" si="3"/>
        <v>053-001</v>
      </c>
      <c r="C244" s="389">
        <v>1</v>
      </c>
    </row>
    <row r="245" spans="1:3" ht="14.5">
      <c r="A245" s="2042" t="s">
        <v>5777</v>
      </c>
      <c r="B245" s="380" t="str">
        <f t="shared" si="3"/>
        <v>054-901</v>
      </c>
      <c r="C245" s="389">
        <v>1</v>
      </c>
    </row>
    <row r="246" spans="1:3" ht="14.5">
      <c r="A246" s="2042" t="s">
        <v>4985</v>
      </c>
      <c r="B246" s="380" t="str">
        <f t="shared" si="3"/>
        <v>056-901</v>
      </c>
      <c r="C246" s="389">
        <v>0.98</v>
      </c>
    </row>
    <row r="247" spans="1:3" ht="14.5">
      <c r="A247" s="2042" t="s">
        <v>5778</v>
      </c>
      <c r="B247" s="380" t="str">
        <f t="shared" si="3"/>
        <v>054-902</v>
      </c>
      <c r="C247" s="389">
        <v>0.96710000000000007</v>
      </c>
    </row>
    <row r="248" spans="1:3" ht="14.5">
      <c r="A248" s="2042" t="s">
        <v>5779</v>
      </c>
      <c r="B248" s="380" t="str">
        <f t="shared" si="3"/>
        <v>054-903</v>
      </c>
      <c r="C248" s="389">
        <v>0.98</v>
      </c>
    </row>
    <row r="249" spans="1:3" ht="14.5">
      <c r="A249" s="2042" t="s">
        <v>4984</v>
      </c>
      <c r="B249" s="380" t="str">
        <f t="shared" si="3"/>
        <v>055-901</v>
      </c>
      <c r="C249" s="389">
        <v>1</v>
      </c>
    </row>
    <row r="250" spans="1:3" ht="14.5">
      <c r="A250" s="2042" t="s">
        <v>5780</v>
      </c>
      <c r="B250" s="380" t="str">
        <f t="shared" si="3"/>
        <v>056-902</v>
      </c>
      <c r="C250" s="389">
        <v>1</v>
      </c>
    </row>
    <row r="251" spans="1:3" ht="14.5">
      <c r="A251" s="2042" t="s">
        <v>7951</v>
      </c>
      <c r="B251" s="380" t="str">
        <f t="shared" si="3"/>
        <v>057-802</v>
      </c>
      <c r="C251" s="389">
        <v>0</v>
      </c>
    </row>
    <row r="252" spans="1:3" ht="14.5">
      <c r="A252" s="2042" t="s">
        <v>7952</v>
      </c>
      <c r="B252" s="380" t="str">
        <f t="shared" si="3"/>
        <v>057-803</v>
      </c>
      <c r="C252" s="389">
        <v>0</v>
      </c>
    </row>
    <row r="253" spans="1:3" ht="14.5">
      <c r="A253" s="2042" t="s">
        <v>7953</v>
      </c>
      <c r="B253" s="380" t="str">
        <f t="shared" si="3"/>
        <v>057-804</v>
      </c>
      <c r="C253" s="389">
        <v>0</v>
      </c>
    </row>
    <row r="254" spans="1:3" ht="14.5">
      <c r="A254" s="2042" t="s">
        <v>7954</v>
      </c>
      <c r="B254" s="380" t="str">
        <f t="shared" si="3"/>
        <v>057-805</v>
      </c>
      <c r="C254" s="389">
        <v>0</v>
      </c>
    </row>
    <row r="255" spans="1:3" ht="14.5">
      <c r="A255" s="2042" t="s">
        <v>7955</v>
      </c>
      <c r="B255" s="380" t="str">
        <f t="shared" si="3"/>
        <v>057-806</v>
      </c>
      <c r="C255" s="389">
        <v>0</v>
      </c>
    </row>
    <row r="256" spans="1:3" ht="14.5">
      <c r="A256" s="2042" t="s">
        <v>7956</v>
      </c>
      <c r="B256" s="380" t="str">
        <f t="shared" si="3"/>
        <v>057-807</v>
      </c>
      <c r="C256" s="389">
        <v>0</v>
      </c>
    </row>
    <row r="257" spans="1:3" ht="14.5">
      <c r="A257" s="2042" t="s">
        <v>7960</v>
      </c>
      <c r="B257" s="380" t="str">
        <f t="shared" si="3"/>
        <v>057-813</v>
      </c>
      <c r="C257" s="389">
        <v>0</v>
      </c>
    </row>
    <row r="258" spans="1:3" ht="14.5">
      <c r="A258" s="2042" t="s">
        <v>7957</v>
      </c>
      <c r="B258" s="380" t="str">
        <f t="shared" si="3"/>
        <v>057-808</v>
      </c>
      <c r="C258" s="389">
        <v>0</v>
      </c>
    </row>
    <row r="259" spans="1:3" ht="14.5">
      <c r="A259" s="2042" t="s">
        <v>7958</v>
      </c>
      <c r="B259" s="380" t="str">
        <f t="shared" ref="B259:B322" si="4">CONCATENATE(LEFT(RIGHT(CONCATENATE("000",A259),6),3),"-",(RIGHT(RIGHT(CONCATENATE("000",A259),6),3)))</f>
        <v>057-809</v>
      </c>
      <c r="C259" s="389">
        <v>0</v>
      </c>
    </row>
    <row r="260" spans="1:3" ht="14.5">
      <c r="A260" s="2042" t="s">
        <v>7959</v>
      </c>
      <c r="B260" s="380" t="str">
        <f t="shared" si="4"/>
        <v>057-810</v>
      </c>
      <c r="C260" s="389">
        <v>0</v>
      </c>
    </row>
    <row r="261" spans="1:3" ht="14.5">
      <c r="A261" s="2042" t="s">
        <v>7961</v>
      </c>
      <c r="B261" s="380" t="str">
        <f t="shared" si="4"/>
        <v>057-814</v>
      </c>
      <c r="C261" s="389">
        <v>0</v>
      </c>
    </row>
    <row r="262" spans="1:3" ht="14.5">
      <c r="A262" s="2042" t="s">
        <v>7962</v>
      </c>
      <c r="B262" s="380" t="str">
        <f t="shared" si="4"/>
        <v>057-816</v>
      </c>
      <c r="C262" s="389">
        <v>0</v>
      </c>
    </row>
    <row r="263" spans="1:3" ht="14.5">
      <c r="A263" s="2042" t="s">
        <v>7963</v>
      </c>
      <c r="B263" s="380" t="str">
        <f t="shared" si="4"/>
        <v>057-819</v>
      </c>
      <c r="C263" s="389">
        <v>0</v>
      </c>
    </row>
    <row r="264" spans="1:3" ht="14.5">
      <c r="A264" s="2042" t="s">
        <v>7964</v>
      </c>
      <c r="B264" s="380" t="str">
        <f t="shared" si="4"/>
        <v>057-827</v>
      </c>
      <c r="C264" s="389">
        <v>0</v>
      </c>
    </row>
    <row r="265" spans="1:3" ht="14.5">
      <c r="A265" s="2042" t="s">
        <v>7965</v>
      </c>
      <c r="B265" s="380" t="str">
        <f t="shared" si="4"/>
        <v>057-828</v>
      </c>
      <c r="C265" s="389">
        <v>0</v>
      </c>
    </row>
    <row r="266" spans="1:3" ht="14.5">
      <c r="A266" s="2042" t="s">
        <v>7966</v>
      </c>
      <c r="B266" s="380" t="str">
        <f t="shared" si="4"/>
        <v>057-829</v>
      </c>
      <c r="C266" s="389">
        <v>0</v>
      </c>
    </row>
    <row r="267" spans="1:3" ht="14.5">
      <c r="A267" s="2042" t="s">
        <v>7967</v>
      </c>
      <c r="B267" s="380" t="str">
        <f t="shared" si="4"/>
        <v>057-830</v>
      </c>
      <c r="C267" s="389">
        <v>0</v>
      </c>
    </row>
    <row r="268" spans="1:3" ht="14.5">
      <c r="A268" s="2042" t="s">
        <v>7968</v>
      </c>
      <c r="B268" s="380" t="str">
        <f t="shared" si="4"/>
        <v>057-831</v>
      </c>
      <c r="C268" s="389">
        <v>0</v>
      </c>
    </row>
    <row r="269" spans="1:3" ht="14.5">
      <c r="A269" s="2042" t="s">
        <v>7972</v>
      </c>
      <c r="B269" s="380" t="str">
        <f t="shared" si="4"/>
        <v>057-836</v>
      </c>
      <c r="C269" s="389">
        <v>0</v>
      </c>
    </row>
    <row r="270" spans="1:3" ht="14.5">
      <c r="A270" s="2042" t="s">
        <v>7969</v>
      </c>
      <c r="B270" s="380" t="str">
        <f t="shared" si="4"/>
        <v>057-833</v>
      </c>
      <c r="C270" s="389">
        <v>0</v>
      </c>
    </row>
    <row r="271" spans="1:3" ht="14.5">
      <c r="A271" s="2042" t="s">
        <v>7970</v>
      </c>
      <c r="B271" s="380" t="str">
        <f t="shared" si="4"/>
        <v>057-834</v>
      </c>
      <c r="C271" s="389">
        <v>0</v>
      </c>
    </row>
    <row r="272" spans="1:3" ht="14.5">
      <c r="A272" s="2042" t="s">
        <v>7971</v>
      </c>
      <c r="B272" s="380" t="str">
        <f t="shared" si="4"/>
        <v>057-835</v>
      </c>
      <c r="C272" s="389">
        <v>0</v>
      </c>
    </row>
    <row r="273" spans="1:3" ht="14.5">
      <c r="A273" s="2042" t="s">
        <v>7973</v>
      </c>
      <c r="B273" s="380" t="str">
        <f t="shared" si="4"/>
        <v>057-839</v>
      </c>
      <c r="C273" s="389">
        <v>0</v>
      </c>
    </row>
    <row r="274" spans="1:3" ht="14.5">
      <c r="A274" s="2042" t="s">
        <v>7974</v>
      </c>
      <c r="B274" s="380" t="str">
        <f t="shared" si="4"/>
        <v>057-840</v>
      </c>
      <c r="C274" s="389">
        <v>0</v>
      </c>
    </row>
    <row r="275" spans="1:3" ht="14.5">
      <c r="A275" s="2042" t="s">
        <v>7975</v>
      </c>
      <c r="B275" s="380" t="str">
        <f t="shared" si="4"/>
        <v>057-841</v>
      </c>
      <c r="C275" s="389">
        <v>0</v>
      </c>
    </row>
    <row r="276" spans="1:3" ht="14.5">
      <c r="A276" s="2042" t="s">
        <v>7976</v>
      </c>
      <c r="B276" s="380" t="str">
        <f t="shared" si="4"/>
        <v>057-844</v>
      </c>
      <c r="C276" s="389">
        <v>0</v>
      </c>
    </row>
    <row r="277" spans="1:3" ht="14.5">
      <c r="A277" s="2042" t="s">
        <v>7977</v>
      </c>
      <c r="B277" s="380" t="str">
        <f t="shared" si="4"/>
        <v>057-845</v>
      </c>
      <c r="C277" s="389">
        <v>0</v>
      </c>
    </row>
    <row r="278" spans="1:3" ht="14.5">
      <c r="A278" s="2042" t="s">
        <v>7978</v>
      </c>
      <c r="B278" s="380" t="str">
        <f t="shared" si="4"/>
        <v>057-846</v>
      </c>
      <c r="C278" s="389">
        <v>0</v>
      </c>
    </row>
    <row r="279" spans="1:3" ht="14.5">
      <c r="A279" s="2042" t="s">
        <v>7979</v>
      </c>
      <c r="B279" s="380" t="str">
        <f t="shared" si="4"/>
        <v>057-847</v>
      </c>
      <c r="C279" s="389">
        <v>0</v>
      </c>
    </row>
    <row r="280" spans="1:3" ht="14.5">
      <c r="A280" s="2042" t="s">
        <v>7980</v>
      </c>
      <c r="B280" s="380" t="str">
        <f t="shared" si="4"/>
        <v>057-848</v>
      </c>
      <c r="C280" s="389">
        <v>0</v>
      </c>
    </row>
    <row r="281" spans="1:3" ht="14.5">
      <c r="A281" s="2042" t="s">
        <v>4987</v>
      </c>
      <c r="B281" s="380" t="str">
        <f t="shared" si="4"/>
        <v>057-904</v>
      </c>
      <c r="C281" s="389">
        <v>1</v>
      </c>
    </row>
    <row r="282" spans="1:3" ht="14.5">
      <c r="A282" s="2042" t="s">
        <v>7982</v>
      </c>
      <c r="B282" s="380" t="str">
        <f t="shared" si="4"/>
        <v>057-850</v>
      </c>
      <c r="C282" s="389">
        <v>0</v>
      </c>
    </row>
    <row r="283" spans="1:3" ht="14.5">
      <c r="A283" s="2042" t="s">
        <v>7983</v>
      </c>
      <c r="B283" s="380" t="str">
        <f t="shared" si="4"/>
        <v>057-851</v>
      </c>
      <c r="C283" s="389">
        <v>0</v>
      </c>
    </row>
    <row r="284" spans="1:3" ht="14.5">
      <c r="A284" s="2042" t="s">
        <v>4986</v>
      </c>
      <c r="B284" s="380" t="str">
        <f t="shared" si="4"/>
        <v>057-903</v>
      </c>
      <c r="C284" s="389">
        <v>1</v>
      </c>
    </row>
    <row r="285" spans="1:3" ht="14.5">
      <c r="A285" s="2042" t="s">
        <v>4988</v>
      </c>
      <c r="B285" s="380" t="str">
        <f t="shared" si="4"/>
        <v>057-905</v>
      </c>
      <c r="C285" s="389">
        <v>1</v>
      </c>
    </row>
    <row r="286" spans="1:3" ht="14.5">
      <c r="A286" s="2042" t="s">
        <v>2953</v>
      </c>
      <c r="B286" s="380" t="str">
        <f t="shared" si="4"/>
        <v>057-906</v>
      </c>
      <c r="C286" s="389">
        <v>1</v>
      </c>
    </row>
    <row r="287" spans="1:3" ht="14.5">
      <c r="A287" s="2042" t="s">
        <v>4989</v>
      </c>
      <c r="B287" s="380" t="str">
        <f t="shared" si="4"/>
        <v>057-907</v>
      </c>
      <c r="C287" s="389">
        <v>1</v>
      </c>
    </row>
    <row r="288" spans="1:3" ht="14.5">
      <c r="A288" s="2042" t="s">
        <v>2954</v>
      </c>
      <c r="B288" s="380" t="str">
        <f t="shared" si="4"/>
        <v>057-909</v>
      </c>
      <c r="C288" s="389">
        <v>0.98</v>
      </c>
    </row>
    <row r="289" spans="1:3" ht="14.5">
      <c r="A289" s="2042" t="s">
        <v>2955</v>
      </c>
      <c r="B289" s="380" t="str">
        <f t="shared" si="4"/>
        <v>057-910</v>
      </c>
      <c r="C289" s="389">
        <v>1</v>
      </c>
    </row>
    <row r="290" spans="1:3" ht="14.5">
      <c r="A290" s="2042" t="s">
        <v>2957</v>
      </c>
      <c r="B290" s="380" t="str">
        <f t="shared" si="4"/>
        <v>057-914</v>
      </c>
      <c r="C290" s="389">
        <v>0.98</v>
      </c>
    </row>
    <row r="291" spans="1:3" ht="14.5">
      <c r="A291" s="2042" t="s">
        <v>4990</v>
      </c>
      <c r="B291" s="380" t="str">
        <f t="shared" si="4"/>
        <v>057-911</v>
      </c>
      <c r="C291" s="389">
        <v>0.98</v>
      </c>
    </row>
    <row r="292" spans="1:3" ht="14.5">
      <c r="A292" s="2042" t="s">
        <v>2956</v>
      </c>
      <c r="B292" s="380" t="str">
        <f t="shared" si="4"/>
        <v>057-912</v>
      </c>
      <c r="C292" s="389">
        <v>1</v>
      </c>
    </row>
    <row r="293" spans="1:3" ht="14.5">
      <c r="A293" s="2042" t="s">
        <v>4991</v>
      </c>
      <c r="B293" s="380" t="str">
        <f t="shared" si="4"/>
        <v>057-913</v>
      </c>
      <c r="C293" s="389">
        <v>1</v>
      </c>
    </row>
    <row r="294" spans="1:3" ht="14.5">
      <c r="A294" s="2042" t="s">
        <v>4992</v>
      </c>
      <c r="B294" s="380" t="str">
        <f t="shared" si="4"/>
        <v>057-916</v>
      </c>
      <c r="C294" s="389">
        <v>1</v>
      </c>
    </row>
    <row r="295" spans="1:3" ht="14.5">
      <c r="A295" s="2042" t="s">
        <v>4993</v>
      </c>
      <c r="B295" s="380" t="str">
        <f t="shared" si="4"/>
        <v>057-919</v>
      </c>
      <c r="C295" s="389">
        <v>0.98</v>
      </c>
    </row>
    <row r="296" spans="1:3" ht="14.5">
      <c r="A296" s="2042" t="s">
        <v>4994</v>
      </c>
      <c r="B296" s="380" t="str">
        <f t="shared" si="4"/>
        <v>057-922</v>
      </c>
      <c r="C296" s="389">
        <v>1</v>
      </c>
    </row>
    <row r="297" spans="1:3" ht="14.5">
      <c r="A297" s="2042" t="s">
        <v>8504</v>
      </c>
      <c r="B297" s="380" t="str">
        <f t="shared" si="4"/>
        <v>057-950</v>
      </c>
      <c r="C297" s="389">
        <v>0</v>
      </c>
    </row>
    <row r="298" spans="1:3" ht="14.5">
      <c r="A298" s="2042" t="s">
        <v>5781</v>
      </c>
      <c r="B298" s="380" t="str">
        <f t="shared" si="4"/>
        <v>058-902</v>
      </c>
      <c r="C298" s="389">
        <v>1</v>
      </c>
    </row>
    <row r="299" spans="1:3" ht="14.5">
      <c r="A299" s="2042" t="s">
        <v>3768</v>
      </c>
      <c r="B299" s="380" t="str">
        <f t="shared" si="4"/>
        <v>059-901</v>
      </c>
      <c r="C299" s="389">
        <v>1</v>
      </c>
    </row>
    <row r="300" spans="1:3" ht="14.5">
      <c r="A300" s="2042" t="s">
        <v>4995</v>
      </c>
      <c r="B300" s="380" t="str">
        <f t="shared" si="4"/>
        <v>058-905</v>
      </c>
      <c r="C300" s="389">
        <v>1</v>
      </c>
    </row>
    <row r="301" spans="1:3" ht="14.5">
      <c r="A301" s="2042" t="s">
        <v>5782</v>
      </c>
      <c r="B301" s="380" t="str">
        <f t="shared" si="4"/>
        <v>058-906</v>
      </c>
      <c r="C301" s="389">
        <v>1</v>
      </c>
    </row>
    <row r="302" spans="1:3" ht="14.5">
      <c r="A302" s="2042" t="s">
        <v>4996</v>
      </c>
      <c r="B302" s="380" t="str">
        <f t="shared" si="4"/>
        <v>058-909</v>
      </c>
      <c r="C302" s="389">
        <v>1</v>
      </c>
    </row>
    <row r="303" spans="1:3" ht="14.5">
      <c r="A303" s="2042" t="s">
        <v>5783</v>
      </c>
      <c r="B303" s="380" t="str">
        <f t="shared" si="4"/>
        <v>059-902</v>
      </c>
      <c r="C303" s="389">
        <v>0.78210000000000002</v>
      </c>
    </row>
    <row r="304" spans="1:3" ht="14.5">
      <c r="A304" s="2042" t="s">
        <v>2958</v>
      </c>
      <c r="B304" s="380" t="str">
        <f t="shared" si="4"/>
        <v>060-902</v>
      </c>
      <c r="C304" s="389">
        <v>1</v>
      </c>
    </row>
    <row r="305" spans="1:3" ht="14.5">
      <c r="A305" s="2042" t="s">
        <v>2959</v>
      </c>
      <c r="B305" s="380" t="str">
        <f t="shared" si="4"/>
        <v>060-914</v>
      </c>
      <c r="C305" s="389">
        <v>1</v>
      </c>
    </row>
    <row r="306" spans="1:3" ht="14.5">
      <c r="A306" s="2042" t="s">
        <v>7984</v>
      </c>
      <c r="B306" s="380" t="str">
        <f t="shared" si="4"/>
        <v>061-501</v>
      </c>
      <c r="C306" s="389">
        <v>0</v>
      </c>
    </row>
    <row r="307" spans="1:3" ht="14.5">
      <c r="A307" s="2042" t="s">
        <v>7986</v>
      </c>
      <c r="B307" s="380" t="str">
        <f t="shared" si="4"/>
        <v>061-802</v>
      </c>
      <c r="C307" s="389">
        <v>0</v>
      </c>
    </row>
    <row r="308" spans="1:3" ht="14.5">
      <c r="A308" s="2042" t="s">
        <v>7987</v>
      </c>
      <c r="B308" s="380" t="str">
        <f t="shared" si="4"/>
        <v>061-804</v>
      </c>
      <c r="C308" s="389">
        <v>0</v>
      </c>
    </row>
    <row r="309" spans="1:3" ht="14.5">
      <c r="A309" s="2042" t="s">
        <v>7988</v>
      </c>
      <c r="B309" s="380" t="str">
        <f t="shared" si="4"/>
        <v>061-805</v>
      </c>
      <c r="C309" s="389">
        <v>0</v>
      </c>
    </row>
    <row r="310" spans="1:3" ht="14.5">
      <c r="A310" s="2042" t="s">
        <v>2961</v>
      </c>
      <c r="B310" s="380" t="str">
        <f t="shared" si="4"/>
        <v>061-905</v>
      </c>
      <c r="C310" s="389">
        <v>1</v>
      </c>
    </row>
    <row r="311" spans="1:3" ht="14.5">
      <c r="A311" s="2042" t="s">
        <v>4997</v>
      </c>
      <c r="B311" s="380" t="str">
        <f t="shared" si="4"/>
        <v>061-901</v>
      </c>
      <c r="C311" s="389">
        <v>1</v>
      </c>
    </row>
    <row r="312" spans="1:3" ht="14.5">
      <c r="A312" s="2042" t="s">
        <v>2960</v>
      </c>
      <c r="B312" s="380" t="str">
        <f t="shared" si="4"/>
        <v>061-902</v>
      </c>
      <c r="C312" s="389">
        <v>1</v>
      </c>
    </row>
    <row r="313" spans="1:3" ht="14.5">
      <c r="A313" s="2042" t="s">
        <v>3776</v>
      </c>
      <c r="B313" s="380" t="str">
        <f t="shared" si="4"/>
        <v>061-903</v>
      </c>
      <c r="C313" s="389">
        <v>1</v>
      </c>
    </row>
    <row r="314" spans="1:3" ht="14.5">
      <c r="A314" s="2042" t="s">
        <v>2962</v>
      </c>
      <c r="B314" s="380" t="str">
        <f t="shared" si="4"/>
        <v>061-906</v>
      </c>
      <c r="C314" s="389">
        <v>1</v>
      </c>
    </row>
    <row r="315" spans="1:3" ht="14.5">
      <c r="A315" s="2042" t="s">
        <v>2963</v>
      </c>
      <c r="B315" s="380" t="str">
        <f t="shared" si="4"/>
        <v>061-907</v>
      </c>
      <c r="C315" s="389">
        <v>1</v>
      </c>
    </row>
    <row r="316" spans="1:3" ht="14.5">
      <c r="A316" s="2042" t="s">
        <v>2964</v>
      </c>
      <c r="B316" s="380" t="str">
        <f t="shared" si="4"/>
        <v>061-908</v>
      </c>
      <c r="C316" s="389">
        <v>1</v>
      </c>
    </row>
    <row r="317" spans="1:3" ht="14.5">
      <c r="A317" s="2042" t="s">
        <v>4998</v>
      </c>
      <c r="B317" s="380" t="str">
        <f t="shared" si="4"/>
        <v>061-910</v>
      </c>
      <c r="C317" s="389">
        <v>1</v>
      </c>
    </row>
    <row r="318" spans="1:3" ht="14.5">
      <c r="A318" s="2042" t="s">
        <v>2965</v>
      </c>
      <c r="B318" s="380" t="str">
        <f t="shared" si="4"/>
        <v>061-911</v>
      </c>
      <c r="C318" s="389">
        <v>1</v>
      </c>
    </row>
    <row r="319" spans="1:3" ht="14.5">
      <c r="A319" s="2042" t="s">
        <v>4999</v>
      </c>
      <c r="B319" s="380" t="str">
        <f t="shared" si="4"/>
        <v>062-902</v>
      </c>
      <c r="C319" s="389">
        <v>1</v>
      </c>
    </row>
    <row r="320" spans="1:3" ht="14.5">
      <c r="A320" s="2042" t="s">
        <v>2966</v>
      </c>
      <c r="B320" s="380" t="str">
        <f t="shared" si="4"/>
        <v>061-912</v>
      </c>
      <c r="C320" s="389">
        <v>1</v>
      </c>
    </row>
    <row r="321" spans="1:3" ht="14.5">
      <c r="A321" s="2042" t="s">
        <v>2967</v>
      </c>
      <c r="B321" s="380" t="str">
        <f t="shared" si="4"/>
        <v>061-914</v>
      </c>
      <c r="C321" s="389">
        <v>1</v>
      </c>
    </row>
    <row r="322" spans="1:3" ht="14.5">
      <c r="A322" s="2042" t="s">
        <v>2968</v>
      </c>
      <c r="B322" s="380" t="str">
        <f t="shared" si="4"/>
        <v>062-901</v>
      </c>
      <c r="C322" s="389">
        <v>0.98</v>
      </c>
    </row>
    <row r="323" spans="1:3" ht="14.5">
      <c r="A323" s="2042" t="s">
        <v>2969</v>
      </c>
      <c r="B323" s="380" t="str">
        <f t="shared" ref="B323:B386" si="5">CONCATENATE(LEFT(RIGHT(CONCATENATE("000",A323),6),3),"-",(RIGHT(RIGHT(CONCATENATE("000",A323),6),3)))</f>
        <v>062-903</v>
      </c>
      <c r="C323" s="389">
        <v>1</v>
      </c>
    </row>
    <row r="324" spans="1:3" ht="14.5">
      <c r="A324" s="2042" t="s">
        <v>5000</v>
      </c>
      <c r="B324" s="380" t="str">
        <f t="shared" si="5"/>
        <v>062-904</v>
      </c>
      <c r="C324" s="389">
        <v>0.92</v>
      </c>
    </row>
    <row r="325" spans="1:3" ht="14.5">
      <c r="A325" s="2042" t="s">
        <v>5784</v>
      </c>
      <c r="B325" s="380" t="str">
        <f t="shared" si="5"/>
        <v>062-905</v>
      </c>
      <c r="C325" s="389">
        <v>0.98</v>
      </c>
    </row>
    <row r="326" spans="1:3" ht="14.5">
      <c r="A326" s="2042" t="s">
        <v>5785</v>
      </c>
      <c r="B326" s="380" t="str">
        <f t="shared" si="5"/>
        <v>062-906</v>
      </c>
      <c r="C326" s="389">
        <v>1</v>
      </c>
    </row>
    <row r="327" spans="1:3" ht="14.5">
      <c r="A327" s="2042" t="s">
        <v>5001</v>
      </c>
      <c r="B327" s="380" t="str">
        <f t="shared" si="5"/>
        <v>063-903</v>
      </c>
      <c r="C327" s="389">
        <v>1</v>
      </c>
    </row>
    <row r="328" spans="1:3" ht="14.5">
      <c r="A328" s="2042" t="s">
        <v>5786</v>
      </c>
      <c r="B328" s="380" t="str">
        <f t="shared" si="5"/>
        <v>063-906</v>
      </c>
      <c r="C328" s="389">
        <v>1</v>
      </c>
    </row>
    <row r="329" spans="1:3" ht="14.5">
      <c r="A329" s="2042" t="s">
        <v>5788</v>
      </c>
      <c r="B329" s="380" t="str">
        <f t="shared" si="5"/>
        <v>066-005</v>
      </c>
      <c r="C329" s="389">
        <v>1</v>
      </c>
    </row>
    <row r="330" spans="1:3" ht="14.5">
      <c r="A330" s="2042" t="s">
        <v>2970</v>
      </c>
      <c r="B330" s="380" t="str">
        <f t="shared" si="5"/>
        <v>064-903</v>
      </c>
      <c r="C330" s="389">
        <v>1</v>
      </c>
    </row>
    <row r="331" spans="1:3" ht="14.5">
      <c r="A331" s="2042" t="s">
        <v>5787</v>
      </c>
      <c r="B331" s="380" t="str">
        <f t="shared" si="5"/>
        <v>065-901</v>
      </c>
      <c r="C331" s="389">
        <v>1</v>
      </c>
    </row>
    <row r="332" spans="1:3" ht="14.5">
      <c r="A332" s="2042" t="s">
        <v>2971</v>
      </c>
      <c r="B332" s="380" t="str">
        <f t="shared" si="5"/>
        <v>065-902</v>
      </c>
      <c r="C332" s="389">
        <v>0.98</v>
      </c>
    </row>
    <row r="333" spans="1:3" ht="14.5">
      <c r="A333" s="2042" t="s">
        <v>5002</v>
      </c>
      <c r="B333" s="380" t="str">
        <f t="shared" si="5"/>
        <v>066-901</v>
      </c>
      <c r="C333" s="389">
        <v>1</v>
      </c>
    </row>
    <row r="334" spans="1:3" ht="14.5">
      <c r="A334" s="2042" t="s">
        <v>2972</v>
      </c>
      <c r="B334" s="380" t="str">
        <f t="shared" si="5"/>
        <v>066-902</v>
      </c>
      <c r="C334" s="389">
        <v>1</v>
      </c>
    </row>
    <row r="335" spans="1:3" ht="14.5">
      <c r="A335" s="2042" t="s">
        <v>5003</v>
      </c>
      <c r="B335" s="380" t="str">
        <f t="shared" si="5"/>
        <v>066-903</v>
      </c>
      <c r="C335" s="389">
        <v>1</v>
      </c>
    </row>
    <row r="336" spans="1:3" ht="14.5">
      <c r="A336" s="2042" t="s">
        <v>3827</v>
      </c>
      <c r="B336" s="380" t="str">
        <f t="shared" si="5"/>
        <v>067-902</v>
      </c>
      <c r="C336" s="389">
        <v>1</v>
      </c>
    </row>
    <row r="337" spans="1:3" ht="14.5">
      <c r="A337" s="2042" t="s">
        <v>5789</v>
      </c>
      <c r="B337" s="380" t="str">
        <f t="shared" si="5"/>
        <v>067-903</v>
      </c>
      <c r="C337" s="389">
        <v>0.98</v>
      </c>
    </row>
    <row r="338" spans="1:3" ht="14.5">
      <c r="A338" s="2042" t="s">
        <v>5004</v>
      </c>
      <c r="B338" s="380" t="str">
        <f t="shared" si="5"/>
        <v>067-904</v>
      </c>
      <c r="C338" s="389">
        <v>0.98</v>
      </c>
    </row>
    <row r="339" spans="1:3" ht="14.5">
      <c r="A339" s="2042" t="s">
        <v>7990</v>
      </c>
      <c r="B339" s="380" t="str">
        <f t="shared" si="5"/>
        <v>068-803</v>
      </c>
      <c r="C339" s="389">
        <v>0</v>
      </c>
    </row>
    <row r="340" spans="1:3" ht="14.5">
      <c r="A340" s="2042" t="s">
        <v>5790</v>
      </c>
      <c r="B340" s="380" t="str">
        <f t="shared" si="5"/>
        <v>067-907</v>
      </c>
      <c r="C340" s="389">
        <v>1</v>
      </c>
    </row>
    <row r="341" spans="1:3" ht="14.5">
      <c r="A341" s="2042" t="s">
        <v>5791</v>
      </c>
      <c r="B341" s="380" t="str">
        <f t="shared" si="5"/>
        <v>067-908</v>
      </c>
      <c r="C341" s="389">
        <v>1</v>
      </c>
    </row>
    <row r="342" spans="1:3" ht="14.5">
      <c r="A342" s="2042" t="s">
        <v>7989</v>
      </c>
      <c r="B342" s="380" t="str">
        <f t="shared" si="5"/>
        <v>068-802</v>
      </c>
      <c r="C342" s="389">
        <v>0</v>
      </c>
    </row>
    <row r="343" spans="1:3" ht="14.5">
      <c r="A343" s="2042" t="s">
        <v>5005</v>
      </c>
      <c r="B343" s="380" t="str">
        <f t="shared" si="5"/>
        <v>068-901</v>
      </c>
      <c r="C343" s="389">
        <v>1</v>
      </c>
    </row>
    <row r="344" spans="1:3" ht="14.5">
      <c r="A344" s="2042" t="s">
        <v>5006</v>
      </c>
      <c r="B344" s="380" t="str">
        <f t="shared" si="5"/>
        <v>069-901</v>
      </c>
      <c r="C344" s="389">
        <v>1</v>
      </c>
    </row>
    <row r="345" spans="1:3" ht="14.5">
      <c r="A345" s="2042" t="s">
        <v>5792</v>
      </c>
      <c r="B345" s="380" t="str">
        <f t="shared" si="5"/>
        <v>069-902</v>
      </c>
      <c r="C345" s="389">
        <v>1</v>
      </c>
    </row>
    <row r="346" spans="1:3" ht="14.5">
      <c r="A346" s="2042" t="s">
        <v>7991</v>
      </c>
      <c r="B346" s="380" t="str">
        <f t="shared" si="5"/>
        <v>070-801</v>
      </c>
      <c r="C346" s="389">
        <v>0</v>
      </c>
    </row>
    <row r="347" spans="1:3" ht="14.5">
      <c r="A347" s="2042" t="s">
        <v>2973</v>
      </c>
      <c r="B347" s="380" t="str">
        <f t="shared" si="5"/>
        <v>070-901</v>
      </c>
      <c r="C347" s="389">
        <v>1</v>
      </c>
    </row>
    <row r="348" spans="1:3" ht="14.5">
      <c r="A348" s="2042" t="s">
        <v>5007</v>
      </c>
      <c r="B348" s="380" t="str">
        <f t="shared" si="5"/>
        <v>070-903</v>
      </c>
      <c r="C348" s="389">
        <v>1</v>
      </c>
    </row>
    <row r="349" spans="1:3" ht="14.5">
      <c r="A349" s="2042" t="s">
        <v>5793</v>
      </c>
      <c r="B349" s="380" t="str">
        <f t="shared" si="5"/>
        <v>070-909</v>
      </c>
      <c r="C349" s="389">
        <v>1</v>
      </c>
    </row>
    <row r="350" spans="1:3" ht="14.5">
      <c r="A350" s="2042" t="s">
        <v>2974</v>
      </c>
      <c r="B350" s="380" t="str">
        <f t="shared" si="5"/>
        <v>070-905</v>
      </c>
      <c r="C350" s="389">
        <v>1</v>
      </c>
    </row>
    <row r="351" spans="1:3" ht="14.5">
      <c r="A351" s="2042" t="s">
        <v>2975</v>
      </c>
      <c r="B351" s="380" t="str">
        <f t="shared" si="5"/>
        <v>070-907</v>
      </c>
      <c r="C351" s="389">
        <v>1</v>
      </c>
    </row>
    <row r="352" spans="1:3" ht="14.5">
      <c r="A352" s="2042" t="s">
        <v>5008</v>
      </c>
      <c r="B352" s="380" t="str">
        <f t="shared" si="5"/>
        <v>070-908</v>
      </c>
      <c r="C352" s="389">
        <v>1</v>
      </c>
    </row>
    <row r="353" spans="1:3" ht="14.5">
      <c r="A353" s="2042" t="s">
        <v>2976</v>
      </c>
      <c r="B353" s="380" t="str">
        <f t="shared" si="5"/>
        <v>070-910</v>
      </c>
      <c r="C353" s="389">
        <v>1</v>
      </c>
    </row>
    <row r="354" spans="1:3" ht="14.5">
      <c r="A354" s="2042" t="s">
        <v>2977</v>
      </c>
      <c r="B354" s="380" t="str">
        <f t="shared" si="5"/>
        <v>070-911</v>
      </c>
      <c r="C354" s="389">
        <v>1</v>
      </c>
    </row>
    <row r="355" spans="1:3" ht="14.5">
      <c r="A355" s="2042" t="s">
        <v>2978</v>
      </c>
      <c r="B355" s="380" t="str">
        <f t="shared" si="5"/>
        <v>070-912</v>
      </c>
      <c r="C355" s="389">
        <v>1</v>
      </c>
    </row>
    <row r="356" spans="1:3" ht="14.5">
      <c r="A356" s="2042" t="s">
        <v>2979</v>
      </c>
      <c r="B356" s="380" t="str">
        <f t="shared" si="5"/>
        <v>070-915</v>
      </c>
      <c r="C356" s="389">
        <v>0.98</v>
      </c>
    </row>
    <row r="357" spans="1:3" ht="14.5">
      <c r="A357" s="2042" t="s">
        <v>7992</v>
      </c>
      <c r="B357" s="380" t="str">
        <f t="shared" si="5"/>
        <v>071-801</v>
      </c>
      <c r="C357" s="389">
        <v>0</v>
      </c>
    </row>
    <row r="358" spans="1:3" ht="14.5">
      <c r="A358" s="2042" t="s">
        <v>7996</v>
      </c>
      <c r="B358" s="380" t="str">
        <f t="shared" si="5"/>
        <v>071-807</v>
      </c>
      <c r="C358" s="389">
        <v>0</v>
      </c>
    </row>
    <row r="359" spans="1:3" ht="14.5">
      <c r="A359" s="2042" t="s">
        <v>7993</v>
      </c>
      <c r="B359" s="380" t="str">
        <f t="shared" si="5"/>
        <v>071-803</v>
      </c>
      <c r="C359" s="389">
        <v>0</v>
      </c>
    </row>
    <row r="360" spans="1:3" ht="14.5">
      <c r="A360" s="2042" t="s">
        <v>7994</v>
      </c>
      <c r="B360" s="380" t="str">
        <f t="shared" si="5"/>
        <v>071-804</v>
      </c>
      <c r="C360" s="389">
        <v>0</v>
      </c>
    </row>
    <row r="361" spans="1:3" ht="14.5">
      <c r="A361" s="2042" t="s">
        <v>7995</v>
      </c>
      <c r="B361" s="380" t="str">
        <f t="shared" si="5"/>
        <v>071-806</v>
      </c>
      <c r="C361" s="389">
        <v>0</v>
      </c>
    </row>
    <row r="362" spans="1:3" ht="14.5">
      <c r="A362" s="2042" t="s">
        <v>7997</v>
      </c>
      <c r="B362" s="380" t="str">
        <f t="shared" si="5"/>
        <v>071-809</v>
      </c>
      <c r="C362" s="389">
        <v>0</v>
      </c>
    </row>
    <row r="363" spans="1:3" ht="14.5">
      <c r="A363" s="2042" t="s">
        <v>7998</v>
      </c>
      <c r="B363" s="380" t="str">
        <f t="shared" si="5"/>
        <v>071-810</v>
      </c>
      <c r="C363" s="389">
        <v>0</v>
      </c>
    </row>
    <row r="364" spans="1:3" ht="14.5">
      <c r="A364" s="2042" t="s">
        <v>2980</v>
      </c>
      <c r="B364" s="380" t="str">
        <f t="shared" si="5"/>
        <v>071-901</v>
      </c>
      <c r="C364" s="389">
        <v>1</v>
      </c>
    </row>
    <row r="365" spans="1:3" ht="14.5">
      <c r="A365" s="2042" t="s">
        <v>2981</v>
      </c>
      <c r="B365" s="380" t="str">
        <f t="shared" si="5"/>
        <v>071-902</v>
      </c>
      <c r="C365" s="389">
        <v>1</v>
      </c>
    </row>
    <row r="366" spans="1:3" ht="14.5">
      <c r="A366" s="2042" t="s">
        <v>2982</v>
      </c>
      <c r="B366" s="380" t="str">
        <f t="shared" si="5"/>
        <v>071-903</v>
      </c>
      <c r="C366" s="389">
        <v>1</v>
      </c>
    </row>
    <row r="367" spans="1:3" ht="14.5">
      <c r="A367" s="2042" t="s">
        <v>3862</v>
      </c>
      <c r="B367" s="380" t="str">
        <f t="shared" si="5"/>
        <v>071-904</v>
      </c>
      <c r="C367" s="389">
        <v>1</v>
      </c>
    </row>
    <row r="368" spans="1:3" ht="14.5">
      <c r="A368" s="2042" t="s">
        <v>2985</v>
      </c>
      <c r="B368" s="380" t="str">
        <f t="shared" si="5"/>
        <v>071-908</v>
      </c>
      <c r="C368" s="389">
        <v>1</v>
      </c>
    </row>
    <row r="369" spans="1:3" ht="14.5">
      <c r="A369" s="2042" t="s">
        <v>3867</v>
      </c>
      <c r="B369" s="380" t="str">
        <f t="shared" si="5"/>
        <v>071-905</v>
      </c>
      <c r="C369" s="389">
        <v>1</v>
      </c>
    </row>
    <row r="370" spans="1:3" ht="14.5">
      <c r="A370" s="2042" t="s">
        <v>2983</v>
      </c>
      <c r="B370" s="380" t="str">
        <f t="shared" si="5"/>
        <v>071-906</v>
      </c>
      <c r="C370" s="389">
        <v>1</v>
      </c>
    </row>
    <row r="371" spans="1:3" ht="14.5">
      <c r="A371" s="2042" t="s">
        <v>2984</v>
      </c>
      <c r="B371" s="380" t="str">
        <f t="shared" si="5"/>
        <v>071-907</v>
      </c>
      <c r="C371" s="389">
        <v>1</v>
      </c>
    </row>
    <row r="372" spans="1:3" ht="14.5">
      <c r="A372" s="2042" t="s">
        <v>2986</v>
      </c>
      <c r="B372" s="380" t="str">
        <f t="shared" si="5"/>
        <v>071-909</v>
      </c>
      <c r="C372" s="389">
        <v>0.92160000000000009</v>
      </c>
    </row>
    <row r="373" spans="1:3" ht="14.5">
      <c r="A373" s="2042" t="s">
        <v>8505</v>
      </c>
      <c r="B373" s="380" t="str">
        <f t="shared" si="5"/>
        <v>071-950</v>
      </c>
      <c r="C373" s="389">
        <v>0</v>
      </c>
    </row>
    <row r="374" spans="1:3" ht="14.5">
      <c r="A374" s="2042" t="s">
        <v>7999</v>
      </c>
      <c r="B374" s="380" t="str">
        <f t="shared" si="5"/>
        <v>072-801</v>
      </c>
      <c r="C374" s="389">
        <v>0</v>
      </c>
    </row>
    <row r="375" spans="1:3" ht="14.5">
      <c r="A375" s="2042" t="s">
        <v>8000</v>
      </c>
      <c r="B375" s="380" t="str">
        <f t="shared" si="5"/>
        <v>072-802</v>
      </c>
      <c r="C375" s="389">
        <v>0</v>
      </c>
    </row>
    <row r="376" spans="1:3" ht="14.5">
      <c r="A376" s="2042" t="s">
        <v>5794</v>
      </c>
      <c r="B376" s="380" t="str">
        <f t="shared" si="5"/>
        <v>072-901</v>
      </c>
      <c r="C376" s="389">
        <v>0.98</v>
      </c>
    </row>
    <row r="377" spans="1:3" ht="14.5">
      <c r="A377" s="2042" t="s">
        <v>5009</v>
      </c>
      <c r="B377" s="380" t="str">
        <f t="shared" si="5"/>
        <v>072-902</v>
      </c>
      <c r="C377" s="389">
        <v>1</v>
      </c>
    </row>
    <row r="378" spans="1:3" ht="14.5">
      <c r="A378" s="2042" t="s">
        <v>2988</v>
      </c>
      <c r="B378" s="380" t="str">
        <f t="shared" si="5"/>
        <v>072-909</v>
      </c>
      <c r="C378" s="389">
        <v>0.98</v>
      </c>
    </row>
    <row r="379" spans="1:3" ht="14.5">
      <c r="A379" s="2042" t="s">
        <v>2987</v>
      </c>
      <c r="B379" s="380" t="str">
        <f t="shared" si="5"/>
        <v>072-903</v>
      </c>
      <c r="C379" s="389">
        <v>1</v>
      </c>
    </row>
    <row r="380" spans="1:3" ht="14.5">
      <c r="A380" s="2042" t="s">
        <v>5010</v>
      </c>
      <c r="B380" s="380" t="str">
        <f t="shared" si="5"/>
        <v>072-904</v>
      </c>
      <c r="C380" s="389">
        <v>1</v>
      </c>
    </row>
    <row r="381" spans="1:3" ht="14.5">
      <c r="A381" s="2042" t="s">
        <v>5795</v>
      </c>
      <c r="B381" s="380" t="str">
        <f t="shared" si="5"/>
        <v>072-908</v>
      </c>
      <c r="C381" s="389">
        <v>1</v>
      </c>
    </row>
    <row r="382" spans="1:3" ht="14.5">
      <c r="A382" s="2042" t="s">
        <v>5796</v>
      </c>
      <c r="B382" s="380" t="str">
        <f t="shared" si="5"/>
        <v>072-910</v>
      </c>
      <c r="C382" s="389">
        <v>0.98</v>
      </c>
    </row>
    <row r="383" spans="1:3" ht="14.5">
      <c r="A383" s="2042" t="s">
        <v>5011</v>
      </c>
      <c r="B383" s="380" t="str">
        <f t="shared" si="5"/>
        <v>073-901</v>
      </c>
      <c r="C383" s="389">
        <v>0.99330000000000007</v>
      </c>
    </row>
    <row r="384" spans="1:3" ht="14.5">
      <c r="A384" s="2042" t="s">
        <v>3901</v>
      </c>
      <c r="B384" s="380" t="str">
        <f t="shared" si="5"/>
        <v>073-903</v>
      </c>
      <c r="C384" s="389">
        <v>1</v>
      </c>
    </row>
    <row r="385" spans="1:3" ht="14.5">
      <c r="A385" s="2042" t="s">
        <v>3903</v>
      </c>
      <c r="B385" s="380" t="str">
        <f t="shared" si="5"/>
        <v>073-904</v>
      </c>
      <c r="C385" s="389">
        <v>0.98</v>
      </c>
    </row>
    <row r="386" spans="1:3" ht="14.5">
      <c r="A386" s="2042" t="s">
        <v>5797</v>
      </c>
      <c r="B386" s="380" t="str">
        <f t="shared" si="5"/>
        <v>073-905</v>
      </c>
      <c r="C386" s="389">
        <v>0.97740000000000005</v>
      </c>
    </row>
    <row r="387" spans="1:3" ht="14.5">
      <c r="A387" s="2042" t="s">
        <v>5012</v>
      </c>
      <c r="B387" s="380" t="str">
        <f t="shared" ref="B387:B450" si="6">CONCATENATE(LEFT(RIGHT(CONCATENATE("000",A387),6),3),"-",(RIGHT(RIGHT(CONCATENATE("000",A387),6),3)))</f>
        <v>074-903</v>
      </c>
      <c r="C387" s="389">
        <v>1</v>
      </c>
    </row>
    <row r="388" spans="1:3" ht="14.5">
      <c r="A388" s="2042" t="s">
        <v>5013</v>
      </c>
      <c r="B388" s="380" t="str">
        <f t="shared" si="6"/>
        <v>074-909</v>
      </c>
      <c r="C388" s="389">
        <v>1</v>
      </c>
    </row>
    <row r="389" spans="1:3" ht="14.5">
      <c r="A389" s="2042" t="s">
        <v>2989</v>
      </c>
      <c r="B389" s="380" t="str">
        <f t="shared" si="6"/>
        <v>074-904</v>
      </c>
      <c r="C389" s="389">
        <v>1</v>
      </c>
    </row>
    <row r="390" spans="1:3" ht="14.5">
      <c r="A390" s="2042" t="s">
        <v>2990</v>
      </c>
      <c r="B390" s="380" t="str">
        <f t="shared" si="6"/>
        <v>074-905</v>
      </c>
      <c r="C390" s="389">
        <v>1</v>
      </c>
    </row>
    <row r="391" spans="1:3" ht="14.5">
      <c r="A391" s="2042" t="s">
        <v>2991</v>
      </c>
      <c r="B391" s="380" t="str">
        <f t="shared" si="6"/>
        <v>074-907</v>
      </c>
      <c r="C391" s="389">
        <v>0.98</v>
      </c>
    </row>
    <row r="392" spans="1:3" ht="14.5">
      <c r="A392" s="2042" t="s">
        <v>5014</v>
      </c>
      <c r="B392" s="380" t="str">
        <f t="shared" si="6"/>
        <v>074-911</v>
      </c>
      <c r="C392" s="389">
        <v>1</v>
      </c>
    </row>
    <row r="393" spans="1:3" ht="14.5">
      <c r="A393" s="2042" t="s">
        <v>2992</v>
      </c>
      <c r="B393" s="380" t="str">
        <f t="shared" si="6"/>
        <v>074-912</v>
      </c>
      <c r="C393" s="389">
        <v>1</v>
      </c>
    </row>
    <row r="394" spans="1:3" ht="14.5">
      <c r="A394" s="2042" t="s">
        <v>2993</v>
      </c>
      <c r="B394" s="380" t="str">
        <f t="shared" si="6"/>
        <v>074-917</v>
      </c>
      <c r="C394" s="389">
        <v>1</v>
      </c>
    </row>
    <row r="395" spans="1:3" ht="14.5">
      <c r="A395" s="2042" t="s">
        <v>5015</v>
      </c>
      <c r="B395" s="380" t="str">
        <f t="shared" si="6"/>
        <v>075-901</v>
      </c>
      <c r="C395" s="389">
        <v>1</v>
      </c>
    </row>
    <row r="396" spans="1:3" ht="14.5">
      <c r="A396" s="2042" t="s">
        <v>5798</v>
      </c>
      <c r="B396" s="380" t="str">
        <f t="shared" si="6"/>
        <v>075-902</v>
      </c>
      <c r="C396" s="389">
        <v>1</v>
      </c>
    </row>
    <row r="397" spans="1:3" ht="14.5">
      <c r="A397" s="2042" t="s">
        <v>5016</v>
      </c>
      <c r="B397" s="380" t="str">
        <f t="shared" si="6"/>
        <v>075-903</v>
      </c>
      <c r="C397" s="389">
        <v>0.98</v>
      </c>
    </row>
    <row r="398" spans="1:3" ht="14.5">
      <c r="A398" s="2042" t="s">
        <v>2994</v>
      </c>
      <c r="B398" s="380" t="str">
        <f t="shared" si="6"/>
        <v>076-904</v>
      </c>
      <c r="C398" s="389">
        <v>1</v>
      </c>
    </row>
    <row r="399" spans="1:3" ht="14.5">
      <c r="A399" s="2042" t="s">
        <v>5799</v>
      </c>
      <c r="B399" s="380" t="str">
        <f t="shared" si="6"/>
        <v>075-906</v>
      </c>
      <c r="C399" s="389">
        <v>1</v>
      </c>
    </row>
    <row r="400" spans="1:3" ht="14.5">
      <c r="A400" s="2042" t="s">
        <v>5017</v>
      </c>
      <c r="B400" s="380" t="str">
        <f t="shared" si="6"/>
        <v>075-908</v>
      </c>
      <c r="C400" s="389">
        <v>1</v>
      </c>
    </row>
    <row r="401" spans="1:3" ht="14.5">
      <c r="A401" s="2042" t="s">
        <v>5800</v>
      </c>
      <c r="B401" s="380" t="str">
        <f t="shared" si="6"/>
        <v>076-903</v>
      </c>
      <c r="C401" s="389">
        <v>1</v>
      </c>
    </row>
    <row r="402" spans="1:3" ht="14.5">
      <c r="A402" s="2042" t="s">
        <v>5018</v>
      </c>
      <c r="B402" s="380" t="str">
        <f t="shared" si="6"/>
        <v>077-901</v>
      </c>
      <c r="C402" s="389">
        <v>1</v>
      </c>
    </row>
    <row r="403" spans="1:3" ht="14.5">
      <c r="A403" s="2042" t="s">
        <v>5801</v>
      </c>
      <c r="B403" s="380" t="str">
        <f t="shared" si="6"/>
        <v>077-902</v>
      </c>
      <c r="C403" s="389">
        <v>1</v>
      </c>
    </row>
    <row r="404" spans="1:3" ht="14.5">
      <c r="A404" s="2042" t="s">
        <v>5802</v>
      </c>
      <c r="B404" s="380" t="str">
        <f t="shared" si="6"/>
        <v>078-901</v>
      </c>
      <c r="C404" s="389">
        <v>1</v>
      </c>
    </row>
    <row r="405" spans="1:3" ht="14.5">
      <c r="A405" s="2042" t="s">
        <v>5019</v>
      </c>
      <c r="B405" s="380" t="str">
        <f t="shared" si="6"/>
        <v>079-901</v>
      </c>
      <c r="C405" s="389">
        <v>1</v>
      </c>
    </row>
    <row r="406" spans="1:3" ht="14.5">
      <c r="A406" s="2042" t="s">
        <v>2995</v>
      </c>
      <c r="B406" s="380" t="str">
        <f t="shared" si="6"/>
        <v>079-906</v>
      </c>
      <c r="C406" s="389">
        <v>1</v>
      </c>
    </row>
    <row r="407" spans="1:3" ht="14.5">
      <c r="A407" s="2042" t="s">
        <v>5022</v>
      </c>
      <c r="B407" s="380" t="str">
        <f t="shared" si="6"/>
        <v>081-902</v>
      </c>
      <c r="C407" s="389">
        <v>1</v>
      </c>
    </row>
    <row r="408" spans="1:3" ht="14.5">
      <c r="A408" s="2042" t="s">
        <v>2996</v>
      </c>
      <c r="B408" s="380" t="str">
        <f t="shared" si="6"/>
        <v>079-907</v>
      </c>
      <c r="C408" s="389">
        <v>1</v>
      </c>
    </row>
    <row r="409" spans="1:3" ht="14.5">
      <c r="A409" s="2042" t="s">
        <v>5020</v>
      </c>
      <c r="B409" s="380" t="str">
        <f t="shared" si="6"/>
        <v>079-910</v>
      </c>
      <c r="C409" s="389">
        <v>0.99330000000000007</v>
      </c>
    </row>
    <row r="410" spans="1:3" ht="14.5">
      <c r="A410" s="2042" t="s">
        <v>5021</v>
      </c>
      <c r="B410" s="380" t="str">
        <f t="shared" si="6"/>
        <v>080-901</v>
      </c>
      <c r="C410" s="389">
        <v>0.98010000000000008</v>
      </c>
    </row>
    <row r="411" spans="1:3" ht="14.5">
      <c r="A411" s="2042" t="s">
        <v>5023</v>
      </c>
      <c r="B411" s="380" t="str">
        <f t="shared" si="6"/>
        <v>081-904</v>
      </c>
      <c r="C411" s="389">
        <v>1</v>
      </c>
    </row>
    <row r="412" spans="1:3" ht="14.5">
      <c r="A412" s="2042" t="s">
        <v>5024</v>
      </c>
      <c r="B412" s="380" t="str">
        <f t="shared" si="6"/>
        <v>081-905</v>
      </c>
      <c r="C412" s="389">
        <v>1</v>
      </c>
    </row>
    <row r="413" spans="1:3" ht="14.5">
      <c r="A413" s="2042" t="s">
        <v>5025</v>
      </c>
      <c r="B413" s="380" t="str">
        <f t="shared" si="6"/>
        <v>081-906</v>
      </c>
      <c r="C413" s="389">
        <v>1</v>
      </c>
    </row>
    <row r="414" spans="1:3" ht="14.5">
      <c r="A414" s="2042" t="s">
        <v>2997</v>
      </c>
      <c r="B414" s="380" t="str">
        <f t="shared" si="6"/>
        <v>082-902</v>
      </c>
      <c r="C414" s="389">
        <v>1</v>
      </c>
    </row>
    <row r="415" spans="1:3" ht="14.5">
      <c r="A415" s="2042" t="s">
        <v>2998</v>
      </c>
      <c r="B415" s="380" t="str">
        <f t="shared" si="6"/>
        <v>082-903</v>
      </c>
      <c r="C415" s="389">
        <v>1</v>
      </c>
    </row>
    <row r="416" spans="1:3" ht="14.5">
      <c r="A416" s="2042" t="s">
        <v>8001</v>
      </c>
      <c r="B416" s="380" t="str">
        <f t="shared" si="6"/>
        <v>084-802</v>
      </c>
      <c r="C416" s="389">
        <v>0</v>
      </c>
    </row>
    <row r="417" spans="1:3" ht="14.5">
      <c r="A417" s="2042" t="s">
        <v>5026</v>
      </c>
      <c r="B417" s="380" t="str">
        <f t="shared" si="6"/>
        <v>083-901</v>
      </c>
      <c r="C417" s="389">
        <v>0.98</v>
      </c>
    </row>
    <row r="418" spans="1:3" ht="14.5">
      <c r="A418" s="2042" t="s">
        <v>5027</v>
      </c>
      <c r="B418" s="380" t="str">
        <f t="shared" si="6"/>
        <v>083-902</v>
      </c>
      <c r="C418" s="389">
        <v>1</v>
      </c>
    </row>
    <row r="419" spans="1:3" ht="14.5">
      <c r="A419" s="2042" t="s">
        <v>5028</v>
      </c>
      <c r="B419" s="380" t="str">
        <f t="shared" si="6"/>
        <v>083-903</v>
      </c>
      <c r="C419" s="389">
        <v>0.98</v>
      </c>
    </row>
    <row r="420" spans="1:3" ht="14.5">
      <c r="A420" s="2042" t="s">
        <v>8002</v>
      </c>
      <c r="B420" s="380" t="str">
        <f t="shared" si="6"/>
        <v>084-804</v>
      </c>
      <c r="C420" s="389">
        <v>0</v>
      </c>
    </row>
    <row r="421" spans="1:3" ht="14.5">
      <c r="A421" s="2042" t="s">
        <v>5029</v>
      </c>
      <c r="B421" s="380" t="str">
        <f t="shared" si="6"/>
        <v>084-901</v>
      </c>
      <c r="C421" s="389">
        <v>1</v>
      </c>
    </row>
    <row r="422" spans="1:3" ht="14.5">
      <c r="A422" s="2042" t="s">
        <v>5030</v>
      </c>
      <c r="B422" s="380" t="str">
        <f t="shared" si="6"/>
        <v>084-902</v>
      </c>
      <c r="C422" s="389">
        <v>1</v>
      </c>
    </row>
    <row r="423" spans="1:3" ht="14.5">
      <c r="A423" s="2042" t="s">
        <v>5031</v>
      </c>
      <c r="B423" s="380" t="str">
        <f t="shared" si="6"/>
        <v>084-903</v>
      </c>
      <c r="C423" s="389">
        <v>1</v>
      </c>
    </row>
    <row r="424" spans="1:3" ht="14.5">
      <c r="A424" s="2042" t="s">
        <v>5032</v>
      </c>
      <c r="B424" s="380" t="str">
        <f t="shared" si="6"/>
        <v>084-906</v>
      </c>
      <c r="C424" s="389">
        <v>1</v>
      </c>
    </row>
    <row r="425" spans="1:3" ht="14.5">
      <c r="A425" s="2042" t="s">
        <v>5033</v>
      </c>
      <c r="B425" s="380" t="str">
        <f t="shared" si="6"/>
        <v>084-908</v>
      </c>
      <c r="C425" s="389">
        <v>1</v>
      </c>
    </row>
    <row r="426" spans="1:3" ht="14.5">
      <c r="A426" s="2042" t="s">
        <v>5035</v>
      </c>
      <c r="B426" s="380" t="str">
        <f t="shared" si="6"/>
        <v>085-902</v>
      </c>
      <c r="C426" s="389">
        <v>0.98010000000000008</v>
      </c>
    </row>
    <row r="427" spans="1:3" ht="14.5">
      <c r="A427" s="2042" t="s">
        <v>2999</v>
      </c>
      <c r="B427" s="380" t="str">
        <f t="shared" si="6"/>
        <v>084-909</v>
      </c>
      <c r="C427" s="389">
        <v>0.98</v>
      </c>
    </row>
    <row r="428" spans="1:3" ht="14.5">
      <c r="A428" s="2042" t="s">
        <v>5034</v>
      </c>
      <c r="B428" s="380" t="str">
        <f t="shared" si="6"/>
        <v>084-910</v>
      </c>
      <c r="C428" s="389">
        <v>1</v>
      </c>
    </row>
    <row r="429" spans="1:3" ht="14.5">
      <c r="A429" s="2042" t="s">
        <v>3000</v>
      </c>
      <c r="B429" s="380" t="str">
        <f t="shared" si="6"/>
        <v>084-911</v>
      </c>
      <c r="C429" s="389">
        <v>1</v>
      </c>
    </row>
    <row r="430" spans="1:3" ht="14.5">
      <c r="A430" s="2042" t="s">
        <v>5803</v>
      </c>
      <c r="B430" s="380" t="str">
        <f t="shared" si="6"/>
        <v>085-903</v>
      </c>
      <c r="C430" s="389">
        <v>1</v>
      </c>
    </row>
    <row r="431" spans="1:3" ht="14.5">
      <c r="A431" s="2042" t="s">
        <v>5804</v>
      </c>
      <c r="B431" s="380" t="str">
        <f t="shared" si="6"/>
        <v>086-024</v>
      </c>
      <c r="C431" s="389">
        <v>0.92670000000000008</v>
      </c>
    </row>
    <row r="432" spans="1:3" ht="14.5">
      <c r="A432" s="2042" t="s">
        <v>5036</v>
      </c>
      <c r="B432" s="380" t="str">
        <f t="shared" si="6"/>
        <v>086-901</v>
      </c>
      <c r="C432" s="389">
        <v>0.98</v>
      </c>
    </row>
    <row r="433" spans="1:3" ht="14.5">
      <c r="A433" s="2042" t="s">
        <v>5805</v>
      </c>
      <c r="B433" s="380" t="str">
        <f t="shared" si="6"/>
        <v>086-902</v>
      </c>
      <c r="C433" s="389">
        <v>0.98</v>
      </c>
    </row>
    <row r="434" spans="1:3" ht="14.5">
      <c r="A434" s="2042" t="s">
        <v>5037</v>
      </c>
      <c r="B434" s="380" t="str">
        <f t="shared" si="6"/>
        <v>087-901</v>
      </c>
      <c r="C434" s="389">
        <v>0.98</v>
      </c>
    </row>
    <row r="435" spans="1:3" ht="14.5">
      <c r="A435" s="2042" t="s">
        <v>5038</v>
      </c>
      <c r="B435" s="380" t="str">
        <f t="shared" si="6"/>
        <v>088-902</v>
      </c>
      <c r="C435" s="389">
        <v>0.98</v>
      </c>
    </row>
    <row r="436" spans="1:3" ht="14.5">
      <c r="A436" s="2042" t="s">
        <v>5041</v>
      </c>
      <c r="B436" s="380" t="str">
        <f t="shared" si="6"/>
        <v>090-902</v>
      </c>
      <c r="C436" s="389">
        <v>1</v>
      </c>
    </row>
    <row r="437" spans="1:3" ht="14.5">
      <c r="A437" s="2042" t="s">
        <v>3001</v>
      </c>
      <c r="B437" s="380" t="str">
        <f t="shared" si="6"/>
        <v>089-901</v>
      </c>
      <c r="C437" s="389">
        <v>1</v>
      </c>
    </row>
    <row r="438" spans="1:3" ht="14.5">
      <c r="A438" s="2042" t="s">
        <v>5039</v>
      </c>
      <c r="B438" s="380" t="str">
        <f t="shared" si="6"/>
        <v>089-903</v>
      </c>
      <c r="C438" s="389">
        <v>1</v>
      </c>
    </row>
    <row r="439" spans="1:3" ht="14.5">
      <c r="A439" s="2042" t="s">
        <v>5040</v>
      </c>
      <c r="B439" s="380" t="str">
        <f t="shared" si="6"/>
        <v>089-905</v>
      </c>
      <c r="C439" s="389">
        <v>0.98</v>
      </c>
    </row>
    <row r="440" spans="1:3" ht="14.5">
      <c r="A440" s="2042" t="s">
        <v>5042</v>
      </c>
      <c r="B440" s="380" t="str">
        <f t="shared" si="6"/>
        <v>090-903</v>
      </c>
      <c r="C440" s="389">
        <v>1</v>
      </c>
    </row>
    <row r="441" spans="1:3" ht="14.5">
      <c r="A441" s="2042" t="s">
        <v>3002</v>
      </c>
      <c r="B441" s="380" t="str">
        <f t="shared" si="6"/>
        <v>090-904</v>
      </c>
      <c r="C441" s="389">
        <v>1</v>
      </c>
    </row>
    <row r="442" spans="1:3" ht="14.5">
      <c r="A442" s="2042" t="s">
        <v>5043</v>
      </c>
      <c r="B442" s="380" t="str">
        <f t="shared" si="6"/>
        <v>090-905</v>
      </c>
      <c r="C442" s="389">
        <v>0.91</v>
      </c>
    </row>
    <row r="443" spans="1:3" ht="14.5">
      <c r="A443" s="2042" t="s">
        <v>3003</v>
      </c>
      <c r="B443" s="380" t="str">
        <f t="shared" si="6"/>
        <v>091-901</v>
      </c>
      <c r="C443" s="389">
        <v>1</v>
      </c>
    </row>
    <row r="444" spans="1:3" ht="14.5">
      <c r="A444" s="2042" t="s">
        <v>3948</v>
      </c>
      <c r="B444" s="380" t="str">
        <f t="shared" si="6"/>
        <v>091-902</v>
      </c>
      <c r="C444" s="389">
        <v>1</v>
      </c>
    </row>
    <row r="445" spans="1:3" ht="14.5">
      <c r="A445" s="2042" t="s">
        <v>5044</v>
      </c>
      <c r="B445" s="380" t="str">
        <f t="shared" si="6"/>
        <v>091-903</v>
      </c>
      <c r="C445" s="389">
        <v>1</v>
      </c>
    </row>
    <row r="446" spans="1:3" ht="14.5">
      <c r="A446" s="2042" t="s">
        <v>3006</v>
      </c>
      <c r="B446" s="380" t="str">
        <f t="shared" si="6"/>
        <v>091-908</v>
      </c>
      <c r="C446" s="389">
        <v>1</v>
      </c>
    </row>
    <row r="447" spans="1:3" ht="14.5">
      <c r="A447" s="2042" t="s">
        <v>3004</v>
      </c>
      <c r="B447" s="380" t="str">
        <f t="shared" si="6"/>
        <v>091-905</v>
      </c>
      <c r="C447" s="389">
        <v>1</v>
      </c>
    </row>
    <row r="448" spans="1:3" ht="14.5">
      <c r="A448" s="2042" t="s">
        <v>3005</v>
      </c>
      <c r="B448" s="380" t="str">
        <f t="shared" si="6"/>
        <v>091-906</v>
      </c>
      <c r="C448" s="389">
        <v>1</v>
      </c>
    </row>
    <row r="449" spans="1:3" ht="14.5">
      <c r="A449" s="2042" t="s">
        <v>5045</v>
      </c>
      <c r="B449" s="380" t="str">
        <f t="shared" si="6"/>
        <v>091-907</v>
      </c>
      <c r="C449" s="389">
        <v>1</v>
      </c>
    </row>
    <row r="450" spans="1:3" ht="14.5">
      <c r="A450" s="2042" t="s">
        <v>3007</v>
      </c>
      <c r="B450" s="380" t="str">
        <f t="shared" si="6"/>
        <v>091-909</v>
      </c>
      <c r="C450" s="389">
        <v>1</v>
      </c>
    </row>
    <row r="451" spans="1:3" ht="14.5">
      <c r="A451" s="2042" t="s">
        <v>5046</v>
      </c>
      <c r="B451" s="380" t="str">
        <f t="shared" ref="B451:B514" si="7">CONCATENATE(LEFT(RIGHT(CONCATENATE("000",A451),6),3),"-",(RIGHT(RIGHT(CONCATENATE("000",A451),6),3)))</f>
        <v>091-910</v>
      </c>
      <c r="C451" s="389">
        <v>1</v>
      </c>
    </row>
    <row r="452" spans="1:3" ht="14.5">
      <c r="A452" s="2042" t="s">
        <v>3008</v>
      </c>
      <c r="B452" s="380" t="str">
        <f t="shared" si="7"/>
        <v>091-913</v>
      </c>
      <c r="C452" s="389">
        <v>0.98</v>
      </c>
    </row>
    <row r="453" spans="1:3" ht="14.5">
      <c r="A453" s="2042" t="s">
        <v>5047</v>
      </c>
      <c r="B453" s="380" t="str">
        <f t="shared" si="7"/>
        <v>091-914</v>
      </c>
      <c r="C453" s="389">
        <v>1</v>
      </c>
    </row>
    <row r="454" spans="1:3" ht="14.5">
      <c r="A454" s="2042" t="s">
        <v>3009</v>
      </c>
      <c r="B454" s="380" t="str">
        <f t="shared" si="7"/>
        <v>091-917</v>
      </c>
      <c r="C454" s="389">
        <v>1</v>
      </c>
    </row>
    <row r="455" spans="1:3" ht="14.5">
      <c r="A455" s="2042" t="s">
        <v>5050</v>
      </c>
      <c r="B455" s="380" t="str">
        <f t="shared" si="7"/>
        <v>092-902</v>
      </c>
      <c r="C455" s="389">
        <v>1</v>
      </c>
    </row>
    <row r="456" spans="1:3" ht="14.5">
      <c r="A456" s="2042" t="s">
        <v>5048</v>
      </c>
      <c r="B456" s="380" t="str">
        <f t="shared" si="7"/>
        <v>091-918</v>
      </c>
      <c r="C456" s="389">
        <v>1</v>
      </c>
    </row>
    <row r="457" spans="1:3" ht="14.5">
      <c r="A457" s="2042" t="s">
        <v>8003</v>
      </c>
      <c r="B457" s="380" t="str">
        <f t="shared" si="7"/>
        <v>092-801</v>
      </c>
      <c r="C457" s="389">
        <v>0</v>
      </c>
    </row>
    <row r="458" spans="1:3" ht="14.5">
      <c r="A458" s="2042" t="s">
        <v>5049</v>
      </c>
      <c r="B458" s="380" t="str">
        <f t="shared" si="7"/>
        <v>092-901</v>
      </c>
      <c r="C458" s="389">
        <v>1</v>
      </c>
    </row>
    <row r="459" spans="1:3" ht="14.5">
      <c r="A459" s="2042" t="s">
        <v>3969</v>
      </c>
      <c r="B459" s="380" t="str">
        <f t="shared" si="7"/>
        <v>092-903</v>
      </c>
      <c r="C459" s="389">
        <v>1</v>
      </c>
    </row>
    <row r="460" spans="1:3" ht="14.5">
      <c r="A460" s="2042" t="s">
        <v>5051</v>
      </c>
      <c r="B460" s="380" t="str">
        <f t="shared" si="7"/>
        <v>092-904</v>
      </c>
      <c r="C460" s="389">
        <v>1</v>
      </c>
    </row>
    <row r="461" spans="1:3" ht="14.5">
      <c r="A461" s="2042" t="s">
        <v>5052</v>
      </c>
      <c r="B461" s="380" t="str">
        <f t="shared" si="7"/>
        <v>092-906</v>
      </c>
      <c r="C461" s="389">
        <v>1</v>
      </c>
    </row>
    <row r="462" spans="1:3" ht="14.5">
      <c r="A462" s="2042" t="s">
        <v>3010</v>
      </c>
      <c r="B462" s="380" t="str">
        <f t="shared" si="7"/>
        <v>092-907</v>
      </c>
      <c r="C462" s="389">
        <v>1</v>
      </c>
    </row>
    <row r="463" spans="1:3" ht="14.5">
      <c r="A463" s="2042" t="s">
        <v>5053</v>
      </c>
      <c r="B463" s="380" t="str">
        <f t="shared" si="7"/>
        <v>092-908</v>
      </c>
      <c r="C463" s="389">
        <v>1</v>
      </c>
    </row>
    <row r="464" spans="1:3" ht="14.5">
      <c r="A464" s="2042" t="s">
        <v>8506</v>
      </c>
      <c r="B464" s="380" t="str">
        <f t="shared" si="7"/>
        <v>092-950</v>
      </c>
      <c r="C464" s="389">
        <v>0</v>
      </c>
    </row>
    <row r="465" spans="1:3" ht="14.5">
      <c r="A465" s="2042" t="s">
        <v>5806</v>
      </c>
      <c r="B465" s="380" t="str">
        <f t="shared" si="7"/>
        <v>093-905</v>
      </c>
      <c r="C465" s="389">
        <v>1</v>
      </c>
    </row>
    <row r="466" spans="1:3" ht="14.5">
      <c r="A466" s="2042" t="s">
        <v>5054</v>
      </c>
      <c r="B466" s="380" t="str">
        <f t="shared" si="7"/>
        <v>093-901</v>
      </c>
      <c r="C466" s="389">
        <v>1</v>
      </c>
    </row>
    <row r="467" spans="1:3" ht="14.5">
      <c r="A467" s="2042" t="s">
        <v>3011</v>
      </c>
      <c r="B467" s="380" t="str">
        <f t="shared" si="7"/>
        <v>093-903</v>
      </c>
      <c r="C467" s="389">
        <v>0.98</v>
      </c>
    </row>
    <row r="468" spans="1:3" ht="14.5">
      <c r="A468" s="2042" t="s">
        <v>5055</v>
      </c>
      <c r="B468" s="380" t="str">
        <f t="shared" si="7"/>
        <v>093-904</v>
      </c>
      <c r="C468" s="389">
        <v>1</v>
      </c>
    </row>
    <row r="469" spans="1:3" ht="14.5">
      <c r="A469" s="2042" t="s">
        <v>3012</v>
      </c>
      <c r="B469" s="380" t="str">
        <f t="shared" si="7"/>
        <v>094-901</v>
      </c>
      <c r="C469" s="389">
        <v>1</v>
      </c>
    </row>
    <row r="470" spans="1:3" ht="14.5">
      <c r="A470" s="2042" t="s">
        <v>3013</v>
      </c>
      <c r="B470" s="380" t="str">
        <f t="shared" si="7"/>
        <v>094-902</v>
      </c>
      <c r="C470" s="389">
        <v>1</v>
      </c>
    </row>
    <row r="471" spans="1:3" ht="14.5">
      <c r="A471" s="2042" t="s">
        <v>3014</v>
      </c>
      <c r="B471" s="380" t="str">
        <f t="shared" si="7"/>
        <v>094-903</v>
      </c>
      <c r="C471" s="389">
        <v>1</v>
      </c>
    </row>
    <row r="472" spans="1:3" ht="14.5">
      <c r="A472" s="2042" t="s">
        <v>3993</v>
      </c>
      <c r="B472" s="380" t="str">
        <f t="shared" si="7"/>
        <v>094-904</v>
      </c>
      <c r="C472" s="389">
        <v>1</v>
      </c>
    </row>
    <row r="473" spans="1:3" ht="14.5">
      <c r="A473" s="2042" t="s">
        <v>5056</v>
      </c>
      <c r="B473" s="380" t="str">
        <f t="shared" si="7"/>
        <v>095-901</v>
      </c>
      <c r="C473" s="389">
        <v>1</v>
      </c>
    </row>
    <row r="474" spans="1:3" ht="14.5">
      <c r="A474" s="2042" t="s">
        <v>5809</v>
      </c>
      <c r="B474" s="380" t="str">
        <f t="shared" si="7"/>
        <v>095-905</v>
      </c>
      <c r="C474" s="389">
        <v>1</v>
      </c>
    </row>
    <row r="475" spans="1:3" ht="14.5">
      <c r="A475" s="2042" t="s">
        <v>5807</v>
      </c>
      <c r="B475" s="380" t="str">
        <f t="shared" si="7"/>
        <v>095-902</v>
      </c>
      <c r="C475" s="389">
        <v>1</v>
      </c>
    </row>
    <row r="476" spans="1:3" ht="14.5">
      <c r="A476" s="2042" t="s">
        <v>5057</v>
      </c>
      <c r="B476" s="380" t="str">
        <f t="shared" si="7"/>
        <v>095-903</v>
      </c>
      <c r="C476" s="389">
        <v>1</v>
      </c>
    </row>
    <row r="477" spans="1:3" ht="14.5">
      <c r="A477" s="2042" t="s">
        <v>5808</v>
      </c>
      <c r="B477" s="380" t="str">
        <f t="shared" si="7"/>
        <v>095-904</v>
      </c>
      <c r="C477" s="389">
        <v>1</v>
      </c>
    </row>
    <row r="478" spans="1:3" ht="14.5">
      <c r="A478" s="2042" t="s">
        <v>5810</v>
      </c>
      <c r="B478" s="380" t="str">
        <f t="shared" si="7"/>
        <v>096-904</v>
      </c>
      <c r="C478" s="389">
        <v>1</v>
      </c>
    </row>
    <row r="479" spans="1:3" ht="14.5">
      <c r="A479" s="2042" t="s">
        <v>5058</v>
      </c>
      <c r="B479" s="380" t="str">
        <f t="shared" si="7"/>
        <v>096-905</v>
      </c>
      <c r="C479" s="389">
        <v>0.98</v>
      </c>
    </row>
    <row r="480" spans="1:3" ht="14.5">
      <c r="A480" s="2042" t="s">
        <v>5059</v>
      </c>
      <c r="B480" s="380" t="str">
        <f t="shared" si="7"/>
        <v>097-902</v>
      </c>
      <c r="C480" s="389">
        <v>1</v>
      </c>
    </row>
    <row r="481" spans="1:3" ht="14.5">
      <c r="A481" s="2042" t="s">
        <v>3015</v>
      </c>
      <c r="B481" s="380" t="str">
        <f t="shared" si="7"/>
        <v>097-903</v>
      </c>
      <c r="C481" s="389">
        <v>1</v>
      </c>
    </row>
    <row r="482" spans="1:3" ht="14.5">
      <c r="A482" s="2042" t="s">
        <v>5060</v>
      </c>
      <c r="B482" s="380" t="str">
        <f t="shared" si="7"/>
        <v>098-901</v>
      </c>
      <c r="C482" s="389">
        <v>1</v>
      </c>
    </row>
    <row r="483" spans="1:3" ht="14.5">
      <c r="A483" s="2042" t="s">
        <v>5061</v>
      </c>
      <c r="B483" s="380" t="str">
        <f t="shared" si="7"/>
        <v>098-903</v>
      </c>
      <c r="C483" s="389">
        <v>0.98</v>
      </c>
    </row>
    <row r="484" spans="1:3" ht="14.5">
      <c r="A484" s="2042" t="s">
        <v>5062</v>
      </c>
      <c r="B484" s="380" t="str">
        <f t="shared" si="7"/>
        <v>098-904</v>
      </c>
      <c r="C484" s="389">
        <v>1</v>
      </c>
    </row>
    <row r="485" spans="1:3" ht="14.5">
      <c r="A485" s="2042" t="s">
        <v>3016</v>
      </c>
      <c r="B485" s="380" t="str">
        <f t="shared" si="7"/>
        <v>100-904</v>
      </c>
      <c r="C485" s="389">
        <v>1</v>
      </c>
    </row>
    <row r="486" spans="1:3" ht="14.5">
      <c r="A486" s="2042" t="s">
        <v>5063</v>
      </c>
      <c r="B486" s="380" t="str">
        <f t="shared" si="7"/>
        <v>099-902</v>
      </c>
      <c r="C486" s="389">
        <v>0.98</v>
      </c>
    </row>
    <row r="487" spans="1:3" ht="14.5">
      <c r="A487" s="2042" t="s">
        <v>5811</v>
      </c>
      <c r="B487" s="380" t="str">
        <f t="shared" si="7"/>
        <v>099-903</v>
      </c>
      <c r="C487" s="389">
        <v>0.98</v>
      </c>
    </row>
    <row r="488" spans="1:3" ht="14.5">
      <c r="A488" s="2042" t="s">
        <v>5064</v>
      </c>
      <c r="B488" s="380" t="str">
        <f t="shared" si="7"/>
        <v>100-903</v>
      </c>
      <c r="C488" s="389">
        <v>1</v>
      </c>
    </row>
    <row r="489" spans="1:3" ht="14.5">
      <c r="A489" s="2042" t="s">
        <v>5065</v>
      </c>
      <c r="B489" s="380" t="str">
        <f t="shared" si="7"/>
        <v>100-905</v>
      </c>
      <c r="C489" s="389">
        <v>1</v>
      </c>
    </row>
    <row r="490" spans="1:3" ht="14.5">
      <c r="A490" s="2042" t="s">
        <v>3017</v>
      </c>
      <c r="B490" s="380" t="str">
        <f t="shared" si="7"/>
        <v>100-907</v>
      </c>
      <c r="C490" s="389">
        <v>0.98</v>
      </c>
    </row>
    <row r="491" spans="1:3" ht="14.5">
      <c r="A491" s="2042" t="s">
        <v>3018</v>
      </c>
      <c r="B491" s="380" t="str">
        <f t="shared" si="7"/>
        <v>100-908</v>
      </c>
      <c r="C491" s="389">
        <v>1</v>
      </c>
    </row>
    <row r="492" spans="1:3" ht="14.5">
      <c r="A492" s="2042" t="s">
        <v>8507</v>
      </c>
      <c r="B492" s="380" t="str">
        <f t="shared" si="7"/>
        <v>101-000</v>
      </c>
      <c r="C492" s="389">
        <v>0</v>
      </c>
    </row>
    <row r="493" spans="1:3" ht="14.5">
      <c r="A493" s="2042" t="s">
        <v>8004</v>
      </c>
      <c r="B493" s="380" t="str">
        <f t="shared" si="7"/>
        <v>101-802</v>
      </c>
      <c r="C493" s="389">
        <v>0</v>
      </c>
    </row>
    <row r="494" spans="1:3" ht="14.5">
      <c r="A494" s="2042" t="s">
        <v>8005</v>
      </c>
      <c r="B494" s="380" t="str">
        <f t="shared" si="7"/>
        <v>101-803</v>
      </c>
      <c r="C494" s="389">
        <v>0</v>
      </c>
    </row>
    <row r="495" spans="1:3" ht="14.5">
      <c r="A495" s="2042" t="s">
        <v>8009</v>
      </c>
      <c r="B495" s="380" t="str">
        <f t="shared" si="7"/>
        <v>101-810</v>
      </c>
      <c r="C495" s="389">
        <v>0</v>
      </c>
    </row>
    <row r="496" spans="1:3" ht="14.5">
      <c r="A496" s="2042" t="s">
        <v>8006</v>
      </c>
      <c r="B496" s="380" t="str">
        <f t="shared" si="7"/>
        <v>101-804</v>
      </c>
      <c r="C496" s="389">
        <v>0</v>
      </c>
    </row>
    <row r="497" spans="1:3" ht="14.5">
      <c r="A497" s="2042" t="s">
        <v>8007</v>
      </c>
      <c r="B497" s="380" t="str">
        <f t="shared" si="7"/>
        <v>101-806</v>
      </c>
      <c r="C497" s="389">
        <v>0</v>
      </c>
    </row>
    <row r="498" spans="1:3" ht="14.5">
      <c r="A498" s="2042" t="s">
        <v>8008</v>
      </c>
      <c r="B498" s="380" t="str">
        <f t="shared" si="7"/>
        <v>101-807</v>
      </c>
      <c r="C498" s="389">
        <v>0</v>
      </c>
    </row>
    <row r="499" spans="1:3" ht="14.5">
      <c r="A499" s="2042" t="s">
        <v>8010</v>
      </c>
      <c r="B499" s="380" t="str">
        <f t="shared" si="7"/>
        <v>101-811</v>
      </c>
      <c r="C499" s="389">
        <v>0</v>
      </c>
    </row>
    <row r="500" spans="1:3" ht="14.5">
      <c r="A500" s="2042" t="s">
        <v>8011</v>
      </c>
      <c r="B500" s="380" t="str">
        <f t="shared" si="7"/>
        <v>101-814</v>
      </c>
      <c r="C500" s="389">
        <v>0</v>
      </c>
    </row>
    <row r="501" spans="1:3" ht="14.5">
      <c r="A501" s="2042" t="s">
        <v>8012</v>
      </c>
      <c r="B501" s="380" t="str">
        <f t="shared" si="7"/>
        <v>101-815</v>
      </c>
      <c r="C501" s="389">
        <v>0</v>
      </c>
    </row>
    <row r="502" spans="1:3" ht="14.5">
      <c r="A502" s="2042" t="s">
        <v>8013</v>
      </c>
      <c r="B502" s="380" t="str">
        <f t="shared" si="7"/>
        <v>101-819</v>
      </c>
      <c r="C502" s="389">
        <v>0</v>
      </c>
    </row>
    <row r="503" spans="1:3" ht="14.5">
      <c r="A503" s="2042" t="s">
        <v>8014</v>
      </c>
      <c r="B503" s="380" t="str">
        <f t="shared" si="7"/>
        <v>101-821</v>
      </c>
      <c r="C503" s="389">
        <v>0</v>
      </c>
    </row>
    <row r="504" spans="1:3" ht="14.5">
      <c r="A504" s="2042" t="s">
        <v>8015</v>
      </c>
      <c r="B504" s="380" t="str">
        <f t="shared" si="7"/>
        <v>101-828</v>
      </c>
      <c r="C504" s="389">
        <v>0</v>
      </c>
    </row>
    <row r="505" spans="1:3" ht="14.5">
      <c r="A505" s="2042" t="s">
        <v>8016</v>
      </c>
      <c r="B505" s="380" t="str">
        <f t="shared" si="7"/>
        <v>101-837</v>
      </c>
      <c r="C505" s="389">
        <v>0</v>
      </c>
    </row>
    <row r="506" spans="1:3" ht="14.5">
      <c r="A506" s="2042" t="s">
        <v>8017</v>
      </c>
      <c r="B506" s="380" t="str">
        <f t="shared" si="7"/>
        <v>101-838</v>
      </c>
      <c r="C506" s="389">
        <v>0</v>
      </c>
    </row>
    <row r="507" spans="1:3" ht="14.5">
      <c r="A507" s="2042" t="s">
        <v>8021</v>
      </c>
      <c r="B507" s="380" t="str">
        <f t="shared" si="7"/>
        <v>101-846</v>
      </c>
      <c r="C507" s="389">
        <v>0</v>
      </c>
    </row>
    <row r="508" spans="1:3" ht="14.5">
      <c r="A508" s="2042" t="s">
        <v>8018</v>
      </c>
      <c r="B508" s="380" t="str">
        <f t="shared" si="7"/>
        <v>101-840</v>
      </c>
      <c r="C508" s="389">
        <v>0</v>
      </c>
    </row>
    <row r="509" spans="1:3" ht="14.5">
      <c r="A509" s="2042" t="s">
        <v>8019</v>
      </c>
      <c r="B509" s="380" t="str">
        <f t="shared" si="7"/>
        <v>101-842</v>
      </c>
      <c r="C509" s="389">
        <v>0</v>
      </c>
    </row>
    <row r="510" spans="1:3" ht="14.5">
      <c r="A510" s="2042" t="s">
        <v>8020</v>
      </c>
      <c r="B510" s="380" t="str">
        <f t="shared" si="7"/>
        <v>101-845</v>
      </c>
      <c r="C510" s="389">
        <v>0</v>
      </c>
    </row>
    <row r="511" spans="1:3" ht="14.5">
      <c r="A511" s="2042" t="s">
        <v>8022</v>
      </c>
      <c r="B511" s="380" t="str">
        <f t="shared" si="7"/>
        <v>101-847</v>
      </c>
      <c r="C511" s="389">
        <v>0</v>
      </c>
    </row>
    <row r="512" spans="1:3" ht="14.5">
      <c r="A512" s="2042" t="s">
        <v>8023</v>
      </c>
      <c r="B512" s="380" t="str">
        <f t="shared" si="7"/>
        <v>101-849</v>
      </c>
      <c r="C512" s="389">
        <v>0</v>
      </c>
    </row>
    <row r="513" spans="1:3" ht="14.5">
      <c r="A513" s="2042" t="s">
        <v>8024</v>
      </c>
      <c r="B513" s="380" t="str">
        <f t="shared" si="7"/>
        <v>101-853</v>
      </c>
      <c r="C513" s="389">
        <v>0</v>
      </c>
    </row>
    <row r="514" spans="1:3" ht="14.5">
      <c r="A514" s="2042" t="s">
        <v>8025</v>
      </c>
      <c r="B514" s="380" t="str">
        <f t="shared" si="7"/>
        <v>101-855</v>
      </c>
      <c r="C514" s="389">
        <v>0</v>
      </c>
    </row>
    <row r="515" spans="1:3" ht="14.5">
      <c r="A515" s="2042" t="s">
        <v>8026</v>
      </c>
      <c r="B515" s="380" t="str">
        <f t="shared" ref="B515:B578" si="8">CONCATENATE(LEFT(RIGHT(CONCATENATE("000",A515),6),3),"-",(RIGHT(RIGHT(CONCATENATE("000",A515),6),3)))</f>
        <v>101-856</v>
      </c>
      <c r="C515" s="389">
        <v>0</v>
      </c>
    </row>
    <row r="516" spans="1:3" ht="14.5">
      <c r="A516" s="2042" t="s">
        <v>8027</v>
      </c>
      <c r="B516" s="380" t="str">
        <f t="shared" si="8"/>
        <v>101-858</v>
      </c>
      <c r="C516" s="389">
        <v>0</v>
      </c>
    </row>
    <row r="517" spans="1:3" ht="14.5">
      <c r="A517" s="2042" t="s">
        <v>8028</v>
      </c>
      <c r="B517" s="380" t="str">
        <f t="shared" si="8"/>
        <v>101-859</v>
      </c>
      <c r="C517" s="389">
        <v>0</v>
      </c>
    </row>
    <row r="518" spans="1:3" ht="14.5">
      <c r="A518" s="2042" t="s">
        <v>8029</v>
      </c>
      <c r="B518" s="380" t="str">
        <f t="shared" si="8"/>
        <v>101-861</v>
      </c>
      <c r="C518" s="389">
        <v>0</v>
      </c>
    </row>
    <row r="519" spans="1:3" ht="14.5">
      <c r="A519" s="2042" t="s">
        <v>8033</v>
      </c>
      <c r="B519" s="380" t="str">
        <f t="shared" si="8"/>
        <v>101-870</v>
      </c>
      <c r="C519" s="389">
        <v>0</v>
      </c>
    </row>
    <row r="520" spans="1:3" ht="14.5">
      <c r="A520" s="2042" t="s">
        <v>8030</v>
      </c>
      <c r="B520" s="380" t="str">
        <f t="shared" si="8"/>
        <v>101-862</v>
      </c>
      <c r="C520" s="389">
        <v>0</v>
      </c>
    </row>
    <row r="521" spans="1:3" ht="14.5">
      <c r="A521" s="2042" t="s">
        <v>8031</v>
      </c>
      <c r="B521" s="380" t="str">
        <f t="shared" si="8"/>
        <v>101-864</v>
      </c>
      <c r="C521" s="389">
        <v>0</v>
      </c>
    </row>
    <row r="522" spans="1:3" ht="14.5">
      <c r="A522" s="2042" t="s">
        <v>8032</v>
      </c>
      <c r="B522" s="380" t="str">
        <f t="shared" si="8"/>
        <v>101-868</v>
      </c>
      <c r="C522" s="389">
        <v>0</v>
      </c>
    </row>
    <row r="523" spans="1:3" ht="14.5">
      <c r="A523" s="2042" t="s">
        <v>8034</v>
      </c>
      <c r="B523" s="380" t="str">
        <f t="shared" si="8"/>
        <v>101-871</v>
      </c>
      <c r="C523" s="389">
        <v>0</v>
      </c>
    </row>
    <row r="524" spans="1:3" ht="14.5">
      <c r="A524" s="2042" t="s">
        <v>8035</v>
      </c>
      <c r="B524" s="380" t="str">
        <f t="shared" si="8"/>
        <v>101-872</v>
      </c>
      <c r="C524" s="389">
        <v>0</v>
      </c>
    </row>
    <row r="525" spans="1:3" ht="14.5">
      <c r="A525" s="2042" t="s">
        <v>8036</v>
      </c>
      <c r="B525" s="380" t="str">
        <f t="shared" si="8"/>
        <v>101-873</v>
      </c>
      <c r="C525" s="389">
        <v>0</v>
      </c>
    </row>
    <row r="526" spans="1:3" ht="14.5">
      <c r="A526" s="2042" t="s">
        <v>8037</v>
      </c>
      <c r="B526" s="380" t="str">
        <f t="shared" si="8"/>
        <v>101-874</v>
      </c>
      <c r="C526" s="389">
        <v>0</v>
      </c>
    </row>
    <row r="527" spans="1:3" ht="14.5">
      <c r="A527" s="2042" t="s">
        <v>8038</v>
      </c>
      <c r="B527" s="380" t="str">
        <f t="shared" si="8"/>
        <v>101-875</v>
      </c>
      <c r="C527" s="389">
        <v>0</v>
      </c>
    </row>
    <row r="528" spans="1:3" ht="14.5">
      <c r="A528" s="2042" t="s">
        <v>8039</v>
      </c>
      <c r="B528" s="380" t="str">
        <f t="shared" si="8"/>
        <v>101-876</v>
      </c>
      <c r="C528" s="389">
        <v>0</v>
      </c>
    </row>
    <row r="529" spans="1:3" ht="14.5">
      <c r="A529" s="2042" t="s">
        <v>3019</v>
      </c>
      <c r="B529" s="380" t="str">
        <f t="shared" si="8"/>
        <v>101-902</v>
      </c>
      <c r="C529" s="389">
        <v>1.0933000000000002</v>
      </c>
    </row>
    <row r="530" spans="1:3" ht="14.5">
      <c r="A530" s="2042" t="s">
        <v>3020</v>
      </c>
      <c r="B530" s="380" t="str">
        <f t="shared" si="8"/>
        <v>101-903</v>
      </c>
      <c r="C530" s="389">
        <v>1</v>
      </c>
    </row>
    <row r="531" spans="1:3" ht="14.5">
      <c r="A531" s="2042" t="s">
        <v>5067</v>
      </c>
      <c r="B531" s="380" t="str">
        <f t="shared" si="8"/>
        <v>101-908</v>
      </c>
      <c r="C531" s="389">
        <v>1.0667</v>
      </c>
    </row>
    <row r="532" spans="1:3" ht="14.5">
      <c r="A532" s="2042" t="s">
        <v>3021</v>
      </c>
      <c r="B532" s="380" t="str">
        <f t="shared" si="8"/>
        <v>101-905</v>
      </c>
      <c r="C532" s="389">
        <v>0.9819</v>
      </c>
    </row>
    <row r="533" spans="1:3" ht="14.5">
      <c r="A533" s="2042" t="s">
        <v>3022</v>
      </c>
      <c r="B533" s="380" t="str">
        <f t="shared" si="8"/>
        <v>101-906</v>
      </c>
      <c r="C533" s="389">
        <v>1</v>
      </c>
    </row>
    <row r="534" spans="1:3" ht="14.5">
      <c r="A534" s="2042" t="s">
        <v>5066</v>
      </c>
      <c r="B534" s="380" t="str">
        <f t="shared" si="8"/>
        <v>101-907</v>
      </c>
      <c r="C534" s="389">
        <v>1</v>
      </c>
    </row>
    <row r="535" spans="1:3" ht="14.5">
      <c r="A535" s="2042" t="s">
        <v>3023</v>
      </c>
      <c r="B535" s="380" t="str">
        <f t="shared" si="8"/>
        <v>101-910</v>
      </c>
      <c r="C535" s="389">
        <v>1.0733000000000001</v>
      </c>
    </row>
    <row r="536" spans="1:3" ht="14.5">
      <c r="A536" s="2042" t="s">
        <v>5068</v>
      </c>
      <c r="B536" s="380" t="str">
        <f t="shared" si="8"/>
        <v>101-911</v>
      </c>
      <c r="C536" s="389">
        <v>1</v>
      </c>
    </row>
    <row r="537" spans="1:3" ht="14.5">
      <c r="A537" s="2042" t="s">
        <v>5069</v>
      </c>
      <c r="B537" s="380" t="str">
        <f t="shared" si="8"/>
        <v>101-912</v>
      </c>
      <c r="C537" s="389">
        <v>0.98</v>
      </c>
    </row>
    <row r="538" spans="1:3" ht="14.5">
      <c r="A538" s="2042" t="s">
        <v>3024</v>
      </c>
      <c r="B538" s="380" t="str">
        <f t="shared" si="8"/>
        <v>101-913</v>
      </c>
      <c r="C538" s="389">
        <v>1</v>
      </c>
    </row>
    <row r="539" spans="1:3" ht="14.5">
      <c r="A539" s="2042" t="s">
        <v>3027</v>
      </c>
      <c r="B539" s="380" t="str">
        <f t="shared" si="8"/>
        <v>101-917</v>
      </c>
      <c r="C539" s="389">
        <v>1.03</v>
      </c>
    </row>
    <row r="540" spans="1:3" ht="14.5">
      <c r="A540" s="2042" t="s">
        <v>3025</v>
      </c>
      <c r="B540" s="380" t="str">
        <f t="shared" si="8"/>
        <v>101-914</v>
      </c>
      <c r="C540" s="389">
        <v>1.0867</v>
      </c>
    </row>
    <row r="541" spans="1:3" ht="14.5">
      <c r="A541" s="2042" t="s">
        <v>3026</v>
      </c>
      <c r="B541" s="380" t="str">
        <f t="shared" si="8"/>
        <v>101-915</v>
      </c>
      <c r="C541" s="389">
        <v>1</v>
      </c>
    </row>
    <row r="542" spans="1:3" ht="14.5">
      <c r="A542" s="2042" t="s">
        <v>5070</v>
      </c>
      <c r="B542" s="380" t="str">
        <f t="shared" si="8"/>
        <v>101-916</v>
      </c>
      <c r="C542" s="389">
        <v>1</v>
      </c>
    </row>
    <row r="543" spans="1:3" ht="14.5">
      <c r="A543" s="2042" t="s">
        <v>5071</v>
      </c>
      <c r="B543" s="380" t="str">
        <f t="shared" si="8"/>
        <v>101-919</v>
      </c>
      <c r="C543" s="389">
        <v>1</v>
      </c>
    </row>
    <row r="544" spans="1:3" ht="14.5">
      <c r="A544" s="2042" t="s">
        <v>5072</v>
      </c>
      <c r="B544" s="380" t="str">
        <f t="shared" si="8"/>
        <v>101-920</v>
      </c>
      <c r="C544" s="389">
        <v>1.05</v>
      </c>
    </row>
    <row r="545" spans="1:3" ht="14.5">
      <c r="A545" s="2042" t="s">
        <v>5073</v>
      </c>
      <c r="B545" s="380" t="str">
        <f t="shared" si="8"/>
        <v>101-921</v>
      </c>
      <c r="C545" s="389">
        <v>0.98</v>
      </c>
    </row>
    <row r="546" spans="1:3" ht="14.5">
      <c r="A546" s="2042" t="s">
        <v>5074</v>
      </c>
      <c r="B546" s="380" t="str">
        <f t="shared" si="8"/>
        <v>101-924</v>
      </c>
      <c r="C546" s="389">
        <v>1</v>
      </c>
    </row>
    <row r="547" spans="1:3" ht="14.5">
      <c r="A547" s="2042" t="s">
        <v>5075</v>
      </c>
      <c r="B547" s="380" t="str">
        <f t="shared" si="8"/>
        <v>102-902</v>
      </c>
      <c r="C547" s="389">
        <v>1</v>
      </c>
    </row>
    <row r="548" spans="1:3" ht="14.5">
      <c r="A548" s="2042" t="s">
        <v>3028</v>
      </c>
      <c r="B548" s="380" t="str">
        <f t="shared" si="8"/>
        <v>101-925</v>
      </c>
      <c r="C548" s="389">
        <v>1</v>
      </c>
    </row>
    <row r="549" spans="1:3" ht="14.5">
      <c r="A549" s="2042" t="s">
        <v>8508</v>
      </c>
      <c r="B549" s="380" t="str">
        <f t="shared" si="8"/>
        <v>101-950</v>
      </c>
      <c r="C549" s="389">
        <v>0</v>
      </c>
    </row>
    <row r="550" spans="1:3" ht="14.5">
      <c r="A550" s="2042" t="s">
        <v>5812</v>
      </c>
      <c r="B550" s="380" t="str">
        <f t="shared" si="8"/>
        <v>102-901</v>
      </c>
      <c r="C550" s="389">
        <v>1</v>
      </c>
    </row>
    <row r="551" spans="1:3" ht="14.5">
      <c r="A551" s="2042" t="s">
        <v>5076</v>
      </c>
      <c r="B551" s="380" t="str">
        <f t="shared" si="8"/>
        <v>102-903</v>
      </c>
      <c r="C551" s="389">
        <v>1</v>
      </c>
    </row>
    <row r="552" spans="1:3" ht="14.5">
      <c r="A552" s="2042" t="s">
        <v>5077</v>
      </c>
      <c r="B552" s="380" t="str">
        <f t="shared" si="8"/>
        <v>102-904</v>
      </c>
      <c r="C552" s="389">
        <v>0.9820000000000001</v>
      </c>
    </row>
    <row r="553" spans="1:3" ht="14.5">
      <c r="A553" s="2042" t="s">
        <v>5078</v>
      </c>
      <c r="B553" s="380" t="str">
        <f t="shared" si="8"/>
        <v>102-905</v>
      </c>
      <c r="C553" s="389">
        <v>1</v>
      </c>
    </row>
    <row r="554" spans="1:3" ht="14.5">
      <c r="A554" s="2042" t="s">
        <v>5079</v>
      </c>
      <c r="B554" s="380" t="str">
        <f t="shared" si="8"/>
        <v>102-906</v>
      </c>
      <c r="C554" s="389">
        <v>0.98</v>
      </c>
    </row>
    <row r="555" spans="1:3" ht="14.5">
      <c r="A555" s="2042" t="s">
        <v>5080</v>
      </c>
      <c r="B555" s="380" t="str">
        <f t="shared" si="8"/>
        <v>103-901</v>
      </c>
      <c r="C555" s="389">
        <v>0.98770000000000002</v>
      </c>
    </row>
    <row r="556" spans="1:3" ht="14.5">
      <c r="A556" s="2042" t="s">
        <v>5081</v>
      </c>
      <c r="B556" s="380" t="str">
        <f t="shared" si="8"/>
        <v>103-902</v>
      </c>
      <c r="C556" s="389">
        <v>0.98730000000000007</v>
      </c>
    </row>
    <row r="557" spans="1:3" ht="14.5">
      <c r="A557" s="2042" t="s">
        <v>8040</v>
      </c>
      <c r="B557" s="380" t="str">
        <f t="shared" si="8"/>
        <v>105-801</v>
      </c>
      <c r="C557" s="389">
        <v>0</v>
      </c>
    </row>
    <row r="558" spans="1:3" ht="14.5">
      <c r="A558" s="2042" t="s">
        <v>3029</v>
      </c>
      <c r="B558" s="380" t="str">
        <f t="shared" si="8"/>
        <v>104-901</v>
      </c>
      <c r="C558" s="389">
        <v>1</v>
      </c>
    </row>
    <row r="559" spans="1:3" ht="14.5">
      <c r="A559" s="2042" t="s">
        <v>5813</v>
      </c>
      <c r="B559" s="380" t="str">
        <f t="shared" si="8"/>
        <v>104-903</v>
      </c>
      <c r="C559" s="389">
        <v>1</v>
      </c>
    </row>
    <row r="560" spans="1:3" ht="14.5">
      <c r="A560" s="2042" t="s">
        <v>5082</v>
      </c>
      <c r="B560" s="380" t="str">
        <f t="shared" si="8"/>
        <v>104-907</v>
      </c>
      <c r="C560" s="389">
        <v>1</v>
      </c>
    </row>
    <row r="561" spans="1:3" ht="14.5">
      <c r="A561" s="2042" t="s">
        <v>8041</v>
      </c>
      <c r="B561" s="380" t="str">
        <f t="shared" si="8"/>
        <v>105-802</v>
      </c>
      <c r="C561" s="389">
        <v>0</v>
      </c>
    </row>
    <row r="562" spans="1:3" ht="14.5">
      <c r="A562" s="2042" t="s">
        <v>8042</v>
      </c>
      <c r="B562" s="380" t="str">
        <f t="shared" si="8"/>
        <v>105-803</v>
      </c>
      <c r="C562" s="389">
        <v>0</v>
      </c>
    </row>
    <row r="563" spans="1:3" ht="14.5">
      <c r="A563" s="2042" t="s">
        <v>5083</v>
      </c>
      <c r="B563" s="380" t="str">
        <f t="shared" si="8"/>
        <v>105-902</v>
      </c>
      <c r="C563" s="389">
        <v>1</v>
      </c>
    </row>
    <row r="564" spans="1:3" ht="14.5">
      <c r="A564" s="2042" t="s">
        <v>3030</v>
      </c>
      <c r="B564" s="380" t="str">
        <f t="shared" si="8"/>
        <v>105-904</v>
      </c>
      <c r="C564" s="389">
        <v>1</v>
      </c>
    </row>
    <row r="565" spans="1:3" ht="14.5">
      <c r="A565" s="2042" t="s">
        <v>5084</v>
      </c>
      <c r="B565" s="380" t="str">
        <f t="shared" si="8"/>
        <v>105-905</v>
      </c>
      <c r="C565" s="389">
        <v>1</v>
      </c>
    </row>
    <row r="566" spans="1:3" ht="14.5">
      <c r="A566" s="2042" t="s">
        <v>3031</v>
      </c>
      <c r="B566" s="380" t="str">
        <f t="shared" si="8"/>
        <v>105-906</v>
      </c>
      <c r="C566" s="389">
        <v>0.99</v>
      </c>
    </row>
    <row r="567" spans="1:3" ht="14.5">
      <c r="A567" s="2042" t="s">
        <v>5088</v>
      </c>
      <c r="B567" s="380" t="str">
        <f t="shared" si="8"/>
        <v>107-904</v>
      </c>
      <c r="C567" s="389">
        <v>1</v>
      </c>
    </row>
    <row r="568" spans="1:3" ht="14.5">
      <c r="A568" s="2042" t="s">
        <v>5085</v>
      </c>
      <c r="B568" s="380" t="str">
        <f t="shared" si="8"/>
        <v>106-901</v>
      </c>
      <c r="C568" s="389">
        <v>0.87980000000000003</v>
      </c>
    </row>
    <row r="569" spans="1:3" ht="14.5">
      <c r="A569" s="2042" t="s">
        <v>5086</v>
      </c>
      <c r="B569" s="380" t="str">
        <f t="shared" si="8"/>
        <v>107-901</v>
      </c>
      <c r="C569" s="389">
        <v>0.97740000000000005</v>
      </c>
    </row>
    <row r="570" spans="1:3" ht="14.5">
      <c r="A570" s="2042" t="s">
        <v>5087</v>
      </c>
      <c r="B570" s="380" t="str">
        <f t="shared" si="8"/>
        <v>107-902</v>
      </c>
      <c r="C570" s="389">
        <v>1</v>
      </c>
    </row>
    <row r="571" spans="1:3" ht="14.5">
      <c r="A571" s="2042" t="s">
        <v>5089</v>
      </c>
      <c r="B571" s="380" t="str">
        <f t="shared" si="8"/>
        <v>107-905</v>
      </c>
      <c r="C571" s="389">
        <v>0.98</v>
      </c>
    </row>
    <row r="572" spans="1:3" ht="14.5">
      <c r="A572" s="2042" t="s">
        <v>5090</v>
      </c>
      <c r="B572" s="380" t="str">
        <f t="shared" si="8"/>
        <v>107-906</v>
      </c>
      <c r="C572" s="389">
        <v>0.98</v>
      </c>
    </row>
    <row r="573" spans="1:3" ht="14.5">
      <c r="A573" s="2042" t="s">
        <v>3032</v>
      </c>
      <c r="B573" s="380" t="str">
        <f t="shared" si="8"/>
        <v>107-907</v>
      </c>
      <c r="C573" s="389">
        <v>1</v>
      </c>
    </row>
    <row r="574" spans="1:3" ht="14.5">
      <c r="A574" s="2042" t="s">
        <v>4087</v>
      </c>
      <c r="B574" s="380" t="str">
        <f t="shared" si="8"/>
        <v>107-908</v>
      </c>
      <c r="C574" s="389">
        <v>0.98</v>
      </c>
    </row>
    <row r="575" spans="1:3" ht="14.5">
      <c r="A575" s="2042" t="s">
        <v>5091</v>
      </c>
      <c r="B575" s="380" t="str">
        <f t="shared" si="8"/>
        <v>107-910</v>
      </c>
      <c r="C575" s="389">
        <v>1</v>
      </c>
    </row>
    <row r="576" spans="1:3" ht="14.5">
      <c r="A576" s="2042" t="s">
        <v>8043</v>
      </c>
      <c r="B576" s="380" t="str">
        <f t="shared" si="8"/>
        <v>108-802</v>
      </c>
      <c r="C576" s="389">
        <v>0</v>
      </c>
    </row>
    <row r="577" spans="1:3" ht="14.5">
      <c r="A577" s="2042" t="s">
        <v>8047</v>
      </c>
      <c r="B577" s="380" t="str">
        <f t="shared" si="8"/>
        <v>108-809</v>
      </c>
      <c r="C577" s="389">
        <v>0</v>
      </c>
    </row>
    <row r="578" spans="1:3" ht="14.5">
      <c r="A578" s="2042" t="s">
        <v>8044</v>
      </c>
      <c r="B578" s="380" t="str">
        <f t="shared" si="8"/>
        <v>108-804</v>
      </c>
      <c r="C578" s="389">
        <v>0</v>
      </c>
    </row>
    <row r="579" spans="1:3" ht="14.5">
      <c r="A579" s="2042" t="s">
        <v>8045</v>
      </c>
      <c r="B579" s="380" t="str">
        <f t="shared" ref="B579:B642" si="9">CONCATENATE(LEFT(RIGHT(CONCATENATE("000",A579),6),3),"-",(RIGHT(RIGHT(CONCATENATE("000",A579),6),3)))</f>
        <v>108-807</v>
      </c>
      <c r="C579" s="389">
        <v>0</v>
      </c>
    </row>
    <row r="580" spans="1:3" ht="14.5">
      <c r="A580" s="2042" t="s">
        <v>8046</v>
      </c>
      <c r="B580" s="380" t="str">
        <f t="shared" si="9"/>
        <v>108-808</v>
      </c>
      <c r="C580" s="389">
        <v>0</v>
      </c>
    </row>
    <row r="581" spans="1:3" ht="14.5">
      <c r="A581" s="2042" t="s">
        <v>3033</v>
      </c>
      <c r="B581" s="380" t="str">
        <f t="shared" si="9"/>
        <v>108-902</v>
      </c>
      <c r="C581" s="389">
        <v>1</v>
      </c>
    </row>
    <row r="582" spans="1:3" ht="14.5">
      <c r="A582" s="2042" t="s">
        <v>3034</v>
      </c>
      <c r="B582" s="380" t="str">
        <f t="shared" si="9"/>
        <v>108-903</v>
      </c>
      <c r="C582" s="389">
        <v>1</v>
      </c>
    </row>
    <row r="583" spans="1:3" ht="14.5">
      <c r="A583" s="2042" t="s">
        <v>3035</v>
      </c>
      <c r="B583" s="380" t="str">
        <f t="shared" si="9"/>
        <v>108-904</v>
      </c>
      <c r="C583" s="389">
        <v>1</v>
      </c>
    </row>
    <row r="584" spans="1:3" ht="14.5">
      <c r="A584" s="2042" t="s">
        <v>3036</v>
      </c>
      <c r="B584" s="380" t="str">
        <f t="shared" si="9"/>
        <v>108-905</v>
      </c>
      <c r="C584" s="389">
        <v>1</v>
      </c>
    </row>
    <row r="585" spans="1:3" ht="14.5">
      <c r="A585" s="2042" t="s">
        <v>3037</v>
      </c>
      <c r="B585" s="380" t="str">
        <f t="shared" si="9"/>
        <v>108-906</v>
      </c>
      <c r="C585" s="389">
        <v>1</v>
      </c>
    </row>
    <row r="586" spans="1:3" ht="14.5">
      <c r="A586" s="2042" t="s">
        <v>3041</v>
      </c>
      <c r="B586" s="380" t="str">
        <f t="shared" si="9"/>
        <v>108-910</v>
      </c>
      <c r="C586" s="389">
        <v>1</v>
      </c>
    </row>
    <row r="587" spans="1:3" ht="14.5">
      <c r="A587" s="2042" t="s">
        <v>3038</v>
      </c>
      <c r="B587" s="380" t="str">
        <f t="shared" si="9"/>
        <v>108-907</v>
      </c>
      <c r="C587" s="389">
        <v>1</v>
      </c>
    </row>
    <row r="588" spans="1:3" ht="14.5">
      <c r="A588" s="2042" t="s">
        <v>3039</v>
      </c>
      <c r="B588" s="380" t="str">
        <f t="shared" si="9"/>
        <v>108-908</v>
      </c>
      <c r="C588" s="389">
        <v>1</v>
      </c>
    </row>
    <row r="589" spans="1:3" ht="14.5">
      <c r="A589" s="2042" t="s">
        <v>3040</v>
      </c>
      <c r="B589" s="380" t="str">
        <f t="shared" si="9"/>
        <v>108-909</v>
      </c>
      <c r="C589" s="389">
        <v>1</v>
      </c>
    </row>
    <row r="590" spans="1:3" ht="14.5">
      <c r="A590" s="2042" t="s">
        <v>3042</v>
      </c>
      <c r="B590" s="380" t="str">
        <f t="shared" si="9"/>
        <v>108-911</v>
      </c>
      <c r="C590" s="389">
        <v>1</v>
      </c>
    </row>
    <row r="591" spans="1:3" ht="14.5">
      <c r="A591" s="2042" t="s">
        <v>3043</v>
      </c>
      <c r="B591" s="380" t="str">
        <f t="shared" si="9"/>
        <v>108-912</v>
      </c>
      <c r="C591" s="389">
        <v>1</v>
      </c>
    </row>
    <row r="592" spans="1:3" ht="14.5">
      <c r="A592" s="2042" t="s">
        <v>3044</v>
      </c>
      <c r="B592" s="380" t="str">
        <f t="shared" si="9"/>
        <v>108-913</v>
      </c>
      <c r="C592" s="389">
        <v>1</v>
      </c>
    </row>
    <row r="593" spans="1:3" ht="14.5">
      <c r="A593" s="2042" t="s">
        <v>3045</v>
      </c>
      <c r="B593" s="380" t="str">
        <f t="shared" si="9"/>
        <v>108-914</v>
      </c>
      <c r="C593" s="389">
        <v>1</v>
      </c>
    </row>
    <row r="594" spans="1:3" ht="14.5">
      <c r="A594" s="2042" t="s">
        <v>3046</v>
      </c>
      <c r="B594" s="380" t="str">
        <f t="shared" si="9"/>
        <v>108-915</v>
      </c>
      <c r="C594" s="389">
        <v>1</v>
      </c>
    </row>
    <row r="595" spans="1:3" ht="14.5">
      <c r="A595" s="2042" t="s">
        <v>3047</v>
      </c>
      <c r="B595" s="380" t="str">
        <f t="shared" si="9"/>
        <v>108-916</v>
      </c>
      <c r="C595" s="389">
        <v>1</v>
      </c>
    </row>
    <row r="596" spans="1:3" ht="14.5">
      <c r="A596" s="2042" t="s">
        <v>4185</v>
      </c>
      <c r="B596" s="380" t="str">
        <f t="shared" si="9"/>
        <v>109-903</v>
      </c>
      <c r="C596" s="389">
        <v>1</v>
      </c>
    </row>
    <row r="597" spans="1:3" ht="14.5">
      <c r="A597" s="2042" t="s">
        <v>8509</v>
      </c>
      <c r="B597" s="380" t="str">
        <f t="shared" si="9"/>
        <v>108-950</v>
      </c>
      <c r="C597" s="389">
        <v>0</v>
      </c>
    </row>
    <row r="598" spans="1:3" ht="14.5">
      <c r="A598" s="2042" t="s">
        <v>3048</v>
      </c>
      <c r="B598" s="380" t="str">
        <f t="shared" si="9"/>
        <v>109-901</v>
      </c>
      <c r="C598" s="389">
        <v>1</v>
      </c>
    </row>
    <row r="599" spans="1:3" ht="14.5">
      <c r="A599" s="2042" t="s">
        <v>3049</v>
      </c>
      <c r="B599" s="380" t="str">
        <f t="shared" si="9"/>
        <v>109-902</v>
      </c>
      <c r="C599" s="389">
        <v>1</v>
      </c>
    </row>
    <row r="600" spans="1:3" ht="14.5">
      <c r="A600" s="2042" t="s">
        <v>3050</v>
      </c>
      <c r="B600" s="380" t="str">
        <f t="shared" si="9"/>
        <v>109-904</v>
      </c>
      <c r="C600" s="389">
        <v>1</v>
      </c>
    </row>
    <row r="601" spans="1:3" ht="14.5">
      <c r="A601" s="2042" t="s">
        <v>3051</v>
      </c>
      <c r="B601" s="380" t="str">
        <f t="shared" si="9"/>
        <v>109-905</v>
      </c>
      <c r="C601" s="389">
        <v>1</v>
      </c>
    </row>
    <row r="602" spans="1:3" ht="14.5">
      <c r="A602" s="2042" t="s">
        <v>3052</v>
      </c>
      <c r="B602" s="380" t="str">
        <f t="shared" si="9"/>
        <v>109-907</v>
      </c>
      <c r="C602" s="389">
        <v>1</v>
      </c>
    </row>
    <row r="603" spans="1:3" ht="14.5">
      <c r="A603" s="2042" t="s">
        <v>3053</v>
      </c>
      <c r="B603" s="380" t="str">
        <f t="shared" si="9"/>
        <v>109-908</v>
      </c>
      <c r="C603" s="389">
        <v>1</v>
      </c>
    </row>
    <row r="604" spans="1:3" ht="14.5">
      <c r="A604" s="2042" t="s">
        <v>3054</v>
      </c>
      <c r="B604" s="380" t="str">
        <f t="shared" si="9"/>
        <v>109-910</v>
      </c>
      <c r="C604" s="389">
        <v>1</v>
      </c>
    </row>
    <row r="605" spans="1:3" ht="14.5">
      <c r="A605" s="2042" t="s">
        <v>5092</v>
      </c>
      <c r="B605" s="380" t="str">
        <f t="shared" si="9"/>
        <v>109-911</v>
      </c>
      <c r="C605" s="389">
        <v>1</v>
      </c>
    </row>
    <row r="606" spans="1:3" ht="14.5">
      <c r="A606" s="2042" t="s">
        <v>5814</v>
      </c>
      <c r="B606" s="380" t="str">
        <f t="shared" si="9"/>
        <v>110-901</v>
      </c>
      <c r="C606" s="389">
        <v>1</v>
      </c>
    </row>
    <row r="607" spans="1:3" ht="14.5">
      <c r="A607" s="2042" t="s">
        <v>3055</v>
      </c>
      <c r="B607" s="380" t="str">
        <f t="shared" si="9"/>
        <v>109-912</v>
      </c>
      <c r="C607" s="389">
        <v>1</v>
      </c>
    </row>
    <row r="608" spans="1:3" ht="14.5">
      <c r="A608" s="2042" t="s">
        <v>4203</v>
      </c>
      <c r="B608" s="380" t="str">
        <f t="shared" si="9"/>
        <v>109-913</v>
      </c>
      <c r="C608" s="389">
        <v>1</v>
      </c>
    </row>
    <row r="609" spans="1:3" ht="14.5">
      <c r="A609" s="2042" t="s">
        <v>4205</v>
      </c>
      <c r="B609" s="380" t="str">
        <f t="shared" si="9"/>
        <v>109-914</v>
      </c>
      <c r="C609" s="389">
        <v>1</v>
      </c>
    </row>
    <row r="610" spans="1:3" ht="14.5">
      <c r="A610" s="2042" t="s">
        <v>5093</v>
      </c>
      <c r="B610" s="380" t="str">
        <f t="shared" si="9"/>
        <v>110-902</v>
      </c>
      <c r="C610" s="389">
        <v>1</v>
      </c>
    </row>
    <row r="611" spans="1:3" ht="14.5">
      <c r="A611" s="2042" t="s">
        <v>5094</v>
      </c>
      <c r="B611" s="380" t="str">
        <f t="shared" si="9"/>
        <v>110-905</v>
      </c>
      <c r="C611" s="389">
        <v>1</v>
      </c>
    </row>
    <row r="612" spans="1:3" ht="14.5">
      <c r="A612" s="2042" t="s">
        <v>3056</v>
      </c>
      <c r="B612" s="380" t="str">
        <f t="shared" si="9"/>
        <v>110-906</v>
      </c>
      <c r="C612" s="389">
        <v>1</v>
      </c>
    </row>
    <row r="613" spans="1:3" ht="14.5">
      <c r="A613" s="2042" t="s">
        <v>5815</v>
      </c>
      <c r="B613" s="380" t="str">
        <f t="shared" si="9"/>
        <v>110-907</v>
      </c>
      <c r="C613" s="389">
        <v>1</v>
      </c>
    </row>
    <row r="614" spans="1:3" ht="14.5">
      <c r="A614" s="2042" t="s">
        <v>5816</v>
      </c>
      <c r="B614" s="380" t="str">
        <f t="shared" si="9"/>
        <v>110-908</v>
      </c>
      <c r="C614" s="389">
        <v>1</v>
      </c>
    </row>
    <row r="615" spans="1:3" ht="14.5">
      <c r="A615" s="2042" t="s">
        <v>8048</v>
      </c>
      <c r="B615" s="380" t="str">
        <f t="shared" si="9"/>
        <v>111-801</v>
      </c>
      <c r="C615" s="389">
        <v>0</v>
      </c>
    </row>
    <row r="616" spans="1:3" ht="14.5">
      <c r="A616" s="2042" t="s">
        <v>3059</v>
      </c>
      <c r="B616" s="380" t="str">
        <f t="shared" si="9"/>
        <v>112-901</v>
      </c>
      <c r="C616" s="389">
        <v>0.98</v>
      </c>
    </row>
    <row r="617" spans="1:3" ht="14.5">
      <c r="A617" s="2042" t="s">
        <v>5095</v>
      </c>
      <c r="B617" s="380" t="str">
        <f t="shared" si="9"/>
        <v>111-901</v>
      </c>
      <c r="C617" s="389">
        <v>0.98</v>
      </c>
    </row>
    <row r="618" spans="1:3" ht="14.5">
      <c r="A618" s="2042" t="s">
        <v>3057</v>
      </c>
      <c r="B618" s="380" t="str">
        <f t="shared" si="9"/>
        <v>111-902</v>
      </c>
      <c r="C618" s="389">
        <v>1</v>
      </c>
    </row>
    <row r="619" spans="1:3" ht="14.5">
      <c r="A619" s="2042" t="s">
        <v>3058</v>
      </c>
      <c r="B619" s="380" t="str">
        <f t="shared" si="9"/>
        <v>111-903</v>
      </c>
      <c r="C619" s="389">
        <v>1</v>
      </c>
    </row>
    <row r="620" spans="1:3" ht="14.5">
      <c r="A620" s="2042" t="s">
        <v>3060</v>
      </c>
      <c r="B620" s="380" t="str">
        <f t="shared" si="9"/>
        <v>112-905</v>
      </c>
      <c r="C620" s="389">
        <v>1</v>
      </c>
    </row>
    <row r="621" spans="1:3" ht="14.5">
      <c r="A621" s="2042" t="s">
        <v>5096</v>
      </c>
      <c r="B621" s="380" t="str">
        <f t="shared" si="9"/>
        <v>112-906</v>
      </c>
      <c r="C621" s="389">
        <v>1</v>
      </c>
    </row>
    <row r="622" spans="1:3" ht="14.5">
      <c r="A622" s="2042" t="s">
        <v>3061</v>
      </c>
      <c r="B622" s="380" t="str">
        <f t="shared" si="9"/>
        <v>112-907</v>
      </c>
      <c r="C622" s="389">
        <v>1</v>
      </c>
    </row>
    <row r="623" spans="1:3" ht="14.5">
      <c r="A623" s="2042" t="s">
        <v>5817</v>
      </c>
      <c r="B623" s="380" t="str">
        <f t="shared" si="9"/>
        <v>112-908</v>
      </c>
      <c r="C623" s="389">
        <v>0.98</v>
      </c>
    </row>
    <row r="624" spans="1:3" ht="14.5">
      <c r="A624" s="2042" t="s">
        <v>5818</v>
      </c>
      <c r="B624" s="380" t="str">
        <f t="shared" si="9"/>
        <v>112-909</v>
      </c>
      <c r="C624" s="389">
        <v>0.98</v>
      </c>
    </row>
    <row r="625" spans="1:3" ht="14.5">
      <c r="A625" s="2042" t="s">
        <v>5819</v>
      </c>
      <c r="B625" s="380" t="str">
        <f t="shared" si="9"/>
        <v>113-903</v>
      </c>
      <c r="C625" s="389">
        <v>0.98</v>
      </c>
    </row>
    <row r="626" spans="1:3" ht="14.5">
      <c r="A626" s="2042" t="s">
        <v>3062</v>
      </c>
      <c r="B626" s="380" t="str">
        <f t="shared" si="9"/>
        <v>112-910</v>
      </c>
      <c r="C626" s="389">
        <v>1</v>
      </c>
    </row>
    <row r="627" spans="1:3" ht="14.5">
      <c r="A627" s="2042" t="s">
        <v>5097</v>
      </c>
      <c r="B627" s="380" t="str">
        <f t="shared" si="9"/>
        <v>113-901</v>
      </c>
      <c r="C627" s="389">
        <v>0.98</v>
      </c>
    </row>
    <row r="628" spans="1:3" ht="14.5">
      <c r="A628" s="2042" t="s">
        <v>5098</v>
      </c>
      <c r="B628" s="380" t="str">
        <f t="shared" si="9"/>
        <v>113-902</v>
      </c>
      <c r="C628" s="389">
        <v>0.98</v>
      </c>
    </row>
    <row r="629" spans="1:3" ht="14.5">
      <c r="A629" s="2042" t="s">
        <v>5099</v>
      </c>
      <c r="B629" s="380" t="str">
        <f t="shared" si="9"/>
        <v>113-905</v>
      </c>
      <c r="C629" s="389">
        <v>0.98030000000000006</v>
      </c>
    </row>
    <row r="630" spans="1:3" ht="14.5">
      <c r="A630" s="2042" t="s">
        <v>5820</v>
      </c>
      <c r="B630" s="380" t="str">
        <f t="shared" si="9"/>
        <v>113-906</v>
      </c>
      <c r="C630" s="389">
        <v>0.98</v>
      </c>
    </row>
    <row r="631" spans="1:3" ht="14.5">
      <c r="A631" s="2042" t="s">
        <v>3063</v>
      </c>
      <c r="B631" s="380" t="str">
        <f t="shared" si="9"/>
        <v>114-901</v>
      </c>
      <c r="C631" s="389">
        <v>1</v>
      </c>
    </row>
    <row r="632" spans="1:3" ht="14.5">
      <c r="A632" s="2042" t="s">
        <v>5100</v>
      </c>
      <c r="B632" s="380" t="str">
        <f t="shared" si="9"/>
        <v>114-902</v>
      </c>
      <c r="C632" s="389">
        <v>1</v>
      </c>
    </row>
    <row r="633" spans="1:3" ht="14.5">
      <c r="A633" s="2042" t="s">
        <v>5101</v>
      </c>
      <c r="B633" s="380" t="str">
        <f t="shared" si="9"/>
        <v>114-904</v>
      </c>
      <c r="C633" s="389">
        <v>1</v>
      </c>
    </row>
    <row r="634" spans="1:3" ht="14.5">
      <c r="A634" s="2042" t="s">
        <v>5102</v>
      </c>
      <c r="B634" s="380" t="str">
        <f t="shared" si="9"/>
        <v>115-901</v>
      </c>
      <c r="C634" s="389">
        <v>0.92330000000000001</v>
      </c>
    </row>
    <row r="635" spans="1:3" ht="14.5">
      <c r="A635" s="2042" t="s">
        <v>5821</v>
      </c>
      <c r="B635" s="380" t="str">
        <f t="shared" si="9"/>
        <v>115-902</v>
      </c>
      <c r="C635" s="389">
        <v>1</v>
      </c>
    </row>
    <row r="636" spans="1:3" ht="14.5">
      <c r="A636" s="2042" t="s">
        <v>3066</v>
      </c>
      <c r="B636" s="380" t="str">
        <f t="shared" si="9"/>
        <v>116-903</v>
      </c>
      <c r="C636" s="389">
        <v>1</v>
      </c>
    </row>
    <row r="637" spans="1:3" ht="14.5">
      <c r="A637" s="2042" t="s">
        <v>5822</v>
      </c>
      <c r="B637" s="380" t="str">
        <f t="shared" si="9"/>
        <v>115-903</v>
      </c>
      <c r="C637" s="389">
        <v>0.98670000000000002</v>
      </c>
    </row>
    <row r="638" spans="1:3" ht="14.5">
      <c r="A638" s="2042" t="s">
        <v>3064</v>
      </c>
      <c r="B638" s="380" t="str">
        <f t="shared" si="9"/>
        <v>116-901</v>
      </c>
      <c r="C638" s="389">
        <v>1</v>
      </c>
    </row>
    <row r="639" spans="1:3" ht="14.5">
      <c r="A639" s="2042" t="s">
        <v>3065</v>
      </c>
      <c r="B639" s="380" t="str">
        <f t="shared" si="9"/>
        <v>116-902</v>
      </c>
      <c r="C639" s="389">
        <v>1</v>
      </c>
    </row>
    <row r="640" spans="1:3" ht="14.5">
      <c r="A640" s="2042" t="s">
        <v>5103</v>
      </c>
      <c r="B640" s="380" t="str">
        <f t="shared" si="9"/>
        <v>116-905</v>
      </c>
      <c r="C640" s="389">
        <v>1</v>
      </c>
    </row>
    <row r="641" spans="1:3" ht="14.5">
      <c r="A641" s="2042" t="s">
        <v>3067</v>
      </c>
      <c r="B641" s="380" t="str">
        <f t="shared" si="9"/>
        <v>116-906</v>
      </c>
      <c r="C641" s="389">
        <v>0.98</v>
      </c>
    </row>
    <row r="642" spans="1:3" ht="14.5">
      <c r="A642" s="2042" t="s">
        <v>3068</v>
      </c>
      <c r="B642" s="380" t="str">
        <f t="shared" si="9"/>
        <v>116-908</v>
      </c>
      <c r="C642" s="389">
        <v>1</v>
      </c>
    </row>
    <row r="643" spans="1:3" ht="14.5">
      <c r="A643" s="2042" t="s">
        <v>3069</v>
      </c>
      <c r="B643" s="380" t="str">
        <f t="shared" ref="B643:B706" si="10">CONCATENATE(LEFT(RIGHT(CONCATENATE("000",A643),6),3),"-",(RIGHT(RIGHT(CONCATENATE("000",A643),6),3)))</f>
        <v>116-909</v>
      </c>
      <c r="C643" s="389">
        <v>1</v>
      </c>
    </row>
    <row r="644" spans="1:3" ht="14.5">
      <c r="A644" s="2042" t="s">
        <v>5104</v>
      </c>
      <c r="B644" s="380" t="str">
        <f t="shared" si="10"/>
        <v>116-910</v>
      </c>
      <c r="C644" s="389">
        <v>0.98</v>
      </c>
    </row>
    <row r="645" spans="1:3" ht="14.5">
      <c r="A645" s="2042" t="s">
        <v>5106</v>
      </c>
      <c r="B645" s="380" t="str">
        <f t="shared" si="10"/>
        <v>117-903</v>
      </c>
      <c r="C645" s="389">
        <v>1</v>
      </c>
    </row>
    <row r="646" spans="1:3" ht="14.5">
      <c r="A646" s="2042" t="s">
        <v>3070</v>
      </c>
      <c r="B646" s="380" t="str">
        <f t="shared" si="10"/>
        <v>116-915</v>
      </c>
      <c r="C646" s="389">
        <v>0.98</v>
      </c>
    </row>
    <row r="647" spans="1:3" ht="14.5">
      <c r="A647" s="2042" t="s">
        <v>3071</v>
      </c>
      <c r="B647" s="380" t="str">
        <f t="shared" si="10"/>
        <v>116-916</v>
      </c>
      <c r="C647" s="389">
        <v>1</v>
      </c>
    </row>
    <row r="648" spans="1:3" ht="14.5">
      <c r="A648" s="2042" t="s">
        <v>5105</v>
      </c>
      <c r="B648" s="380" t="str">
        <f t="shared" si="10"/>
        <v>117-901</v>
      </c>
      <c r="C648" s="389">
        <v>1</v>
      </c>
    </row>
    <row r="649" spans="1:3" ht="14.5">
      <c r="A649" s="2042" t="s">
        <v>5107</v>
      </c>
      <c r="B649" s="380" t="str">
        <f t="shared" si="10"/>
        <v>117-904</v>
      </c>
      <c r="C649" s="389">
        <v>0.98</v>
      </c>
    </row>
    <row r="650" spans="1:3" ht="14.5">
      <c r="A650" s="2042" t="s">
        <v>5823</v>
      </c>
      <c r="B650" s="380" t="str">
        <f t="shared" si="10"/>
        <v>117-907</v>
      </c>
      <c r="C650" s="389">
        <v>1</v>
      </c>
    </row>
    <row r="651" spans="1:3" ht="14.5">
      <c r="A651" s="2042" t="s">
        <v>5108</v>
      </c>
      <c r="B651" s="380" t="str">
        <f t="shared" si="10"/>
        <v>118-902</v>
      </c>
      <c r="C651" s="389">
        <v>1</v>
      </c>
    </row>
    <row r="652" spans="1:3" ht="14.5">
      <c r="A652" s="2042" t="s">
        <v>5109</v>
      </c>
      <c r="B652" s="380" t="str">
        <f t="shared" si="10"/>
        <v>119-901</v>
      </c>
      <c r="C652" s="389">
        <v>1</v>
      </c>
    </row>
    <row r="653" spans="1:3" ht="14.5">
      <c r="A653" s="2042" t="s">
        <v>5110</v>
      </c>
      <c r="B653" s="380" t="str">
        <f t="shared" si="10"/>
        <v>119-902</v>
      </c>
      <c r="C653" s="389">
        <v>1</v>
      </c>
    </row>
    <row r="654" spans="1:3" ht="14.5">
      <c r="A654" s="2042" t="s">
        <v>5111</v>
      </c>
      <c r="B654" s="380" t="str">
        <f t="shared" si="10"/>
        <v>119-903</v>
      </c>
      <c r="C654" s="389">
        <v>1</v>
      </c>
    </row>
    <row r="655" spans="1:3" ht="14.5">
      <c r="A655" s="2042" t="s">
        <v>5824</v>
      </c>
      <c r="B655" s="380" t="str">
        <f t="shared" si="10"/>
        <v>121-902</v>
      </c>
      <c r="C655" s="389">
        <v>1</v>
      </c>
    </row>
    <row r="656" spans="1:3" ht="14.5">
      <c r="A656" s="2042" t="s">
        <v>5112</v>
      </c>
      <c r="B656" s="380" t="str">
        <f t="shared" si="10"/>
        <v>120-901</v>
      </c>
      <c r="C656" s="389">
        <v>1</v>
      </c>
    </row>
    <row r="657" spans="1:3" ht="14.5">
      <c r="A657" s="2042" t="s">
        <v>3072</v>
      </c>
      <c r="B657" s="380" t="str">
        <f t="shared" si="10"/>
        <v>120-902</v>
      </c>
      <c r="C657" s="389">
        <v>1</v>
      </c>
    </row>
    <row r="658" spans="1:3" ht="14.5">
      <c r="A658" s="2042" t="s">
        <v>5113</v>
      </c>
      <c r="B658" s="380" t="str">
        <f t="shared" si="10"/>
        <v>120-905</v>
      </c>
      <c r="C658" s="389">
        <v>1</v>
      </c>
    </row>
    <row r="659" spans="1:3" ht="14.5">
      <c r="A659" s="2042" t="s">
        <v>3073</v>
      </c>
      <c r="B659" s="380" t="str">
        <f t="shared" si="10"/>
        <v>121-903</v>
      </c>
      <c r="C659" s="389">
        <v>1</v>
      </c>
    </row>
    <row r="660" spans="1:3" ht="14.5">
      <c r="A660" s="2042" t="s">
        <v>3074</v>
      </c>
      <c r="B660" s="380" t="str">
        <f t="shared" si="10"/>
        <v>121-904</v>
      </c>
      <c r="C660" s="389">
        <v>1</v>
      </c>
    </row>
    <row r="661" spans="1:3" ht="14.5">
      <c r="A661" s="2042" t="s">
        <v>3075</v>
      </c>
      <c r="B661" s="380" t="str">
        <f t="shared" si="10"/>
        <v>121-905</v>
      </c>
      <c r="C661" s="389">
        <v>1</v>
      </c>
    </row>
    <row r="662" spans="1:3" ht="14.5">
      <c r="A662" s="2042" t="s">
        <v>5114</v>
      </c>
      <c r="B662" s="380" t="str">
        <f t="shared" si="10"/>
        <v>121-906</v>
      </c>
      <c r="C662" s="389">
        <v>1</v>
      </c>
    </row>
    <row r="663" spans="1:3" ht="14.5">
      <c r="A663" s="2042" t="s">
        <v>5825</v>
      </c>
      <c r="B663" s="380" t="str">
        <f t="shared" si="10"/>
        <v>122-901</v>
      </c>
      <c r="C663" s="389">
        <v>1</v>
      </c>
    </row>
    <row r="664" spans="1:3" ht="14.5">
      <c r="A664" s="2042" t="s">
        <v>5826</v>
      </c>
      <c r="B664" s="380" t="str">
        <f t="shared" si="10"/>
        <v>122-902</v>
      </c>
      <c r="C664" s="389">
        <v>0.98</v>
      </c>
    </row>
    <row r="665" spans="1:3" ht="14.5">
      <c r="A665" s="2042" t="s">
        <v>8053</v>
      </c>
      <c r="B665" s="380" t="str">
        <f t="shared" si="10"/>
        <v>123-807</v>
      </c>
      <c r="C665" s="389">
        <v>0</v>
      </c>
    </row>
    <row r="666" spans="1:3" ht="14.5">
      <c r="A666" s="2042" t="s">
        <v>8049</v>
      </c>
      <c r="B666" s="380" t="str">
        <f t="shared" si="10"/>
        <v>123-503</v>
      </c>
      <c r="C666" s="389">
        <v>0</v>
      </c>
    </row>
    <row r="667" spans="1:3" ht="14.5">
      <c r="A667" s="2042" t="s">
        <v>8051</v>
      </c>
      <c r="B667" s="380" t="str">
        <f t="shared" si="10"/>
        <v>123-803</v>
      </c>
      <c r="C667" s="389">
        <v>0</v>
      </c>
    </row>
    <row r="668" spans="1:3" ht="14.5">
      <c r="A668" s="2042" t="s">
        <v>8052</v>
      </c>
      <c r="B668" s="380" t="str">
        <f t="shared" si="10"/>
        <v>123-805</v>
      </c>
      <c r="C668" s="389">
        <v>0</v>
      </c>
    </row>
    <row r="669" spans="1:3" ht="14.5">
      <c r="A669" s="2042" t="s">
        <v>3076</v>
      </c>
      <c r="B669" s="380" t="str">
        <f t="shared" si="10"/>
        <v>123-905</v>
      </c>
      <c r="C669" s="389">
        <v>0.98</v>
      </c>
    </row>
    <row r="670" spans="1:3" ht="14.5">
      <c r="A670" s="2042" t="s">
        <v>5115</v>
      </c>
      <c r="B670" s="380" t="str">
        <f t="shared" si="10"/>
        <v>123-907</v>
      </c>
      <c r="C670" s="389">
        <v>1</v>
      </c>
    </row>
    <row r="671" spans="1:3" ht="14.5">
      <c r="A671" s="2042" t="s">
        <v>5116</v>
      </c>
      <c r="B671" s="380" t="str">
        <f t="shared" si="10"/>
        <v>123-908</v>
      </c>
      <c r="C671" s="389">
        <v>1</v>
      </c>
    </row>
    <row r="672" spans="1:3" ht="14.5">
      <c r="A672" s="2042" t="s">
        <v>5117</v>
      </c>
      <c r="B672" s="380" t="str">
        <f t="shared" si="10"/>
        <v>123-910</v>
      </c>
      <c r="C672" s="389">
        <v>0.98330000000000006</v>
      </c>
    </row>
    <row r="673" spans="1:3" ht="14.5">
      <c r="A673" s="2042" t="s">
        <v>5118</v>
      </c>
      <c r="B673" s="380" t="str">
        <f t="shared" si="10"/>
        <v>123-913</v>
      </c>
      <c r="C673" s="389">
        <v>1</v>
      </c>
    </row>
    <row r="674" spans="1:3" ht="14.5">
      <c r="A674" s="2042" t="s">
        <v>3077</v>
      </c>
      <c r="B674" s="380" t="str">
        <f t="shared" si="10"/>
        <v>123-914</v>
      </c>
      <c r="C674" s="389">
        <v>1</v>
      </c>
    </row>
    <row r="675" spans="1:3" ht="14.5">
      <c r="A675" s="2042" t="s">
        <v>3080</v>
      </c>
      <c r="B675" s="380" t="str">
        <f t="shared" si="10"/>
        <v>125-903</v>
      </c>
      <c r="C675" s="389">
        <v>1</v>
      </c>
    </row>
    <row r="676" spans="1:3" ht="14.5">
      <c r="A676" s="2042" t="s">
        <v>5119</v>
      </c>
      <c r="B676" s="380" t="str">
        <f t="shared" si="10"/>
        <v>124-901</v>
      </c>
      <c r="C676" s="389">
        <v>1</v>
      </c>
    </row>
    <row r="677" spans="1:3" ht="14.5">
      <c r="A677" s="2042" t="s">
        <v>3078</v>
      </c>
      <c r="B677" s="380" t="str">
        <f t="shared" si="10"/>
        <v>125-901</v>
      </c>
      <c r="C677" s="389">
        <v>1</v>
      </c>
    </row>
    <row r="678" spans="1:3" ht="14.5">
      <c r="A678" s="2042" t="s">
        <v>3079</v>
      </c>
      <c r="B678" s="380" t="str">
        <f t="shared" si="10"/>
        <v>125-902</v>
      </c>
      <c r="C678" s="389">
        <v>1</v>
      </c>
    </row>
    <row r="679" spans="1:3" ht="14.5">
      <c r="A679" s="2042" t="s">
        <v>3081</v>
      </c>
      <c r="B679" s="380" t="str">
        <f t="shared" si="10"/>
        <v>125-905</v>
      </c>
      <c r="C679" s="389">
        <v>1</v>
      </c>
    </row>
    <row r="680" spans="1:3" ht="14.5">
      <c r="A680" s="2042" t="s">
        <v>5827</v>
      </c>
      <c r="B680" s="380" t="str">
        <f t="shared" si="10"/>
        <v>125-906</v>
      </c>
      <c r="C680" s="389">
        <v>1</v>
      </c>
    </row>
    <row r="681" spans="1:3" ht="14.5">
      <c r="A681" s="2042" t="s">
        <v>3082</v>
      </c>
      <c r="B681" s="380" t="str">
        <f t="shared" si="10"/>
        <v>126-901</v>
      </c>
      <c r="C681" s="389">
        <v>0.98330000000000006</v>
      </c>
    </row>
    <row r="682" spans="1:3" ht="14.5">
      <c r="A682" s="2042" t="s">
        <v>3083</v>
      </c>
      <c r="B682" s="380" t="str">
        <f t="shared" si="10"/>
        <v>126-902</v>
      </c>
      <c r="C682" s="389">
        <v>1</v>
      </c>
    </row>
    <row r="683" spans="1:3" ht="14.5">
      <c r="A683" s="2042" t="s">
        <v>5120</v>
      </c>
      <c r="B683" s="380" t="str">
        <f t="shared" si="10"/>
        <v>126-903</v>
      </c>
      <c r="C683" s="389">
        <v>1</v>
      </c>
    </row>
    <row r="684" spans="1:3" ht="14.5">
      <c r="A684" s="2042" t="s">
        <v>3086</v>
      </c>
      <c r="B684" s="380" t="str">
        <f t="shared" si="10"/>
        <v>126-907</v>
      </c>
      <c r="C684" s="389">
        <v>1</v>
      </c>
    </row>
    <row r="685" spans="1:3" ht="14.5">
      <c r="A685" s="2042" t="s">
        <v>4285</v>
      </c>
      <c r="B685" s="380" t="str">
        <f t="shared" si="10"/>
        <v>126-904</v>
      </c>
      <c r="C685" s="389">
        <v>1</v>
      </c>
    </row>
    <row r="686" spans="1:3" ht="14.5">
      <c r="A686" s="2042" t="s">
        <v>3084</v>
      </c>
      <c r="B686" s="380" t="str">
        <f t="shared" si="10"/>
        <v>126-905</v>
      </c>
      <c r="C686" s="389">
        <v>1</v>
      </c>
    </row>
    <row r="687" spans="1:3" ht="14.5">
      <c r="A687" s="2042" t="s">
        <v>3085</v>
      </c>
      <c r="B687" s="380" t="str">
        <f t="shared" si="10"/>
        <v>126-906</v>
      </c>
      <c r="C687" s="389">
        <v>1</v>
      </c>
    </row>
    <row r="688" spans="1:3" ht="14.5">
      <c r="A688" s="2042" t="s">
        <v>3087</v>
      </c>
      <c r="B688" s="380" t="str">
        <f t="shared" si="10"/>
        <v>126-908</v>
      </c>
      <c r="C688" s="389">
        <v>1</v>
      </c>
    </row>
    <row r="689" spans="1:3" ht="14.5">
      <c r="A689" s="2042" t="s">
        <v>3088</v>
      </c>
      <c r="B689" s="380" t="str">
        <f t="shared" si="10"/>
        <v>126-911</v>
      </c>
      <c r="C689" s="389">
        <v>0.98</v>
      </c>
    </row>
    <row r="690" spans="1:3" ht="14.5">
      <c r="A690" s="2042" t="s">
        <v>5121</v>
      </c>
      <c r="B690" s="380" t="str">
        <f t="shared" si="10"/>
        <v>127-901</v>
      </c>
      <c r="C690" s="389">
        <v>1</v>
      </c>
    </row>
    <row r="691" spans="1:3" ht="14.5">
      <c r="A691" s="2042" t="s">
        <v>5122</v>
      </c>
      <c r="B691" s="380" t="str">
        <f t="shared" si="10"/>
        <v>127-903</v>
      </c>
      <c r="C691" s="389">
        <v>1</v>
      </c>
    </row>
    <row r="692" spans="1:3" ht="14.5">
      <c r="A692" s="2042" t="s">
        <v>5123</v>
      </c>
      <c r="B692" s="380" t="str">
        <f t="shared" si="10"/>
        <v>127-904</v>
      </c>
      <c r="C692" s="389">
        <v>1</v>
      </c>
    </row>
    <row r="693" spans="1:3" ht="14.5">
      <c r="A693" s="2042" t="s">
        <v>3091</v>
      </c>
      <c r="B693" s="380" t="str">
        <f t="shared" si="10"/>
        <v>128-902</v>
      </c>
      <c r="C693" s="389">
        <v>1</v>
      </c>
    </row>
    <row r="694" spans="1:3" ht="14.5">
      <c r="A694" s="2042" t="s">
        <v>3089</v>
      </c>
      <c r="B694" s="380" t="str">
        <f t="shared" si="10"/>
        <v>127-905</v>
      </c>
      <c r="C694" s="389">
        <v>1</v>
      </c>
    </row>
    <row r="695" spans="1:3" ht="14.5">
      <c r="A695" s="2042" t="s">
        <v>3090</v>
      </c>
      <c r="B695" s="380" t="str">
        <f t="shared" si="10"/>
        <v>127-906</v>
      </c>
      <c r="C695" s="389">
        <v>1</v>
      </c>
    </row>
    <row r="696" spans="1:3" ht="14.5">
      <c r="A696" s="2042" t="s">
        <v>4305</v>
      </c>
      <c r="B696" s="380" t="str">
        <f t="shared" si="10"/>
        <v>128-901</v>
      </c>
      <c r="C696" s="389">
        <v>0.98</v>
      </c>
    </row>
    <row r="697" spans="1:3" ht="14.5">
      <c r="A697" s="2042" t="s">
        <v>5124</v>
      </c>
      <c r="B697" s="380" t="str">
        <f t="shared" si="10"/>
        <v>128-903</v>
      </c>
      <c r="C697" s="389">
        <v>1</v>
      </c>
    </row>
    <row r="698" spans="1:3" ht="14.5">
      <c r="A698" s="2042" t="s">
        <v>3092</v>
      </c>
      <c r="B698" s="380" t="str">
        <f t="shared" si="10"/>
        <v>128-904</v>
      </c>
      <c r="C698" s="389">
        <v>1</v>
      </c>
    </row>
    <row r="699" spans="1:3" ht="14.5">
      <c r="A699" s="2042" t="s">
        <v>3093</v>
      </c>
      <c r="B699" s="380" t="str">
        <f t="shared" si="10"/>
        <v>129-901</v>
      </c>
      <c r="C699" s="389">
        <v>1</v>
      </c>
    </row>
    <row r="700" spans="1:3" ht="14.5">
      <c r="A700" s="2042" t="s">
        <v>3094</v>
      </c>
      <c r="B700" s="380" t="str">
        <f t="shared" si="10"/>
        <v>129-902</v>
      </c>
      <c r="C700" s="389">
        <v>0.98</v>
      </c>
    </row>
    <row r="701" spans="1:3" ht="14.5">
      <c r="A701" s="2042" t="s">
        <v>3095</v>
      </c>
      <c r="B701" s="380" t="str">
        <f t="shared" si="10"/>
        <v>129-903</v>
      </c>
      <c r="C701" s="389">
        <v>1</v>
      </c>
    </row>
    <row r="702" spans="1:3" ht="14.5">
      <c r="A702" s="2042" t="s">
        <v>3096</v>
      </c>
      <c r="B702" s="380" t="str">
        <f t="shared" si="10"/>
        <v>129-904</v>
      </c>
      <c r="C702" s="389">
        <v>1</v>
      </c>
    </row>
    <row r="703" spans="1:3" ht="14.5">
      <c r="A703" s="2042" t="s">
        <v>8055</v>
      </c>
      <c r="B703" s="380" t="str">
        <f t="shared" si="10"/>
        <v>130-801</v>
      </c>
      <c r="C703" s="389">
        <v>0</v>
      </c>
    </row>
    <row r="704" spans="1:3" ht="14.5">
      <c r="A704" s="2042" t="s">
        <v>5125</v>
      </c>
      <c r="B704" s="380" t="str">
        <f t="shared" si="10"/>
        <v>129-905</v>
      </c>
      <c r="C704" s="389">
        <v>0.98</v>
      </c>
    </row>
    <row r="705" spans="1:3" ht="14.5">
      <c r="A705" s="2042" t="s">
        <v>5126</v>
      </c>
      <c r="B705" s="380" t="str">
        <f t="shared" si="10"/>
        <v>129-906</v>
      </c>
      <c r="C705" s="389">
        <v>1</v>
      </c>
    </row>
    <row r="706" spans="1:3" ht="14.5">
      <c r="A706" s="2042" t="s">
        <v>3097</v>
      </c>
      <c r="B706" s="380" t="str">
        <f t="shared" si="10"/>
        <v>129-910</v>
      </c>
      <c r="C706" s="389">
        <v>1</v>
      </c>
    </row>
    <row r="707" spans="1:3" ht="14.5">
      <c r="A707" s="2042" t="s">
        <v>5127</v>
      </c>
      <c r="B707" s="380" t="str">
        <f t="shared" ref="B707:B770" si="11">CONCATENATE(LEFT(RIGHT(CONCATENATE("000",A707),6),3),"-",(RIGHT(RIGHT(CONCATENATE("000",A707),6),3)))</f>
        <v>130-901</v>
      </c>
      <c r="C707" s="389">
        <v>0.98</v>
      </c>
    </row>
    <row r="708" spans="1:3" ht="14.5">
      <c r="A708" s="2042" t="s">
        <v>5128</v>
      </c>
      <c r="B708" s="380" t="str">
        <f t="shared" si="11"/>
        <v>130-902</v>
      </c>
      <c r="C708" s="389">
        <v>0.98</v>
      </c>
    </row>
    <row r="709" spans="1:3" ht="14.5">
      <c r="A709" s="2042" t="s">
        <v>5129</v>
      </c>
      <c r="B709" s="380" t="str">
        <f t="shared" si="11"/>
        <v>131-001</v>
      </c>
      <c r="C709" s="389">
        <v>1</v>
      </c>
    </row>
    <row r="710" spans="1:3" ht="14.5">
      <c r="A710" s="2042" t="s">
        <v>5828</v>
      </c>
      <c r="B710" s="380" t="str">
        <f t="shared" si="11"/>
        <v>132-902</v>
      </c>
      <c r="C710" s="389">
        <v>0.98</v>
      </c>
    </row>
    <row r="711" spans="1:3" ht="14.5">
      <c r="A711" s="2042" t="s">
        <v>3098</v>
      </c>
      <c r="B711" s="380" t="str">
        <f t="shared" si="11"/>
        <v>133-901</v>
      </c>
      <c r="C711" s="389">
        <v>0.98</v>
      </c>
    </row>
    <row r="712" spans="1:3" ht="14.5">
      <c r="A712" s="2042" t="s">
        <v>5130</v>
      </c>
      <c r="B712" s="380" t="str">
        <f t="shared" si="11"/>
        <v>133-902</v>
      </c>
      <c r="C712" s="389">
        <v>0.98670000000000002</v>
      </c>
    </row>
    <row r="713" spans="1:3" ht="14.5">
      <c r="A713" s="2042" t="s">
        <v>5830</v>
      </c>
      <c r="B713" s="380" t="str">
        <f t="shared" si="11"/>
        <v>134-901</v>
      </c>
      <c r="C713" s="389">
        <v>0.97330000000000005</v>
      </c>
    </row>
    <row r="714" spans="1:3" ht="14.5">
      <c r="A714" s="2042" t="s">
        <v>5131</v>
      </c>
      <c r="B714" s="380" t="str">
        <f t="shared" si="11"/>
        <v>133-903</v>
      </c>
      <c r="C714" s="389">
        <v>0.99330000000000007</v>
      </c>
    </row>
    <row r="715" spans="1:3" ht="14.5">
      <c r="A715" s="2042" t="s">
        <v>5132</v>
      </c>
      <c r="B715" s="380" t="str">
        <f t="shared" si="11"/>
        <v>133-904</v>
      </c>
      <c r="C715" s="389">
        <v>1</v>
      </c>
    </row>
    <row r="716" spans="1:3" ht="14.5">
      <c r="A716" s="2042" t="s">
        <v>5829</v>
      </c>
      <c r="B716" s="380" t="str">
        <f t="shared" si="11"/>
        <v>133-905</v>
      </c>
      <c r="C716" s="389">
        <v>0.81</v>
      </c>
    </row>
    <row r="717" spans="1:3" ht="14.5">
      <c r="A717" s="2042" t="s">
        <v>5133</v>
      </c>
      <c r="B717" s="380" t="str">
        <f t="shared" si="11"/>
        <v>135-001</v>
      </c>
      <c r="C717" s="389">
        <v>0.98</v>
      </c>
    </row>
    <row r="718" spans="1:3" ht="14.5">
      <c r="A718" s="2042" t="s">
        <v>5831</v>
      </c>
      <c r="B718" s="380" t="str">
        <f t="shared" si="11"/>
        <v>136-901</v>
      </c>
      <c r="C718" s="389">
        <v>0.98</v>
      </c>
    </row>
    <row r="719" spans="1:3" ht="14.5">
      <c r="A719" s="2042" t="s">
        <v>3099</v>
      </c>
      <c r="B719" s="380" t="str">
        <f t="shared" si="11"/>
        <v>137-901</v>
      </c>
      <c r="C719" s="389">
        <v>1</v>
      </c>
    </row>
    <row r="720" spans="1:3" ht="14.5">
      <c r="A720" s="2042" t="s">
        <v>5832</v>
      </c>
      <c r="B720" s="380" t="str">
        <f t="shared" si="11"/>
        <v>137-902</v>
      </c>
      <c r="C720" s="389">
        <v>1</v>
      </c>
    </row>
    <row r="721" spans="1:3" ht="14.5">
      <c r="A721" s="2042" t="s">
        <v>5833</v>
      </c>
      <c r="B721" s="380" t="str">
        <f t="shared" si="11"/>
        <v>137-903</v>
      </c>
      <c r="C721" s="389">
        <v>1</v>
      </c>
    </row>
    <row r="722" spans="1:3" ht="14.5">
      <c r="A722" s="2042" t="s">
        <v>5134</v>
      </c>
      <c r="B722" s="380" t="str">
        <f t="shared" si="11"/>
        <v>137-904</v>
      </c>
      <c r="C722" s="389">
        <v>1</v>
      </c>
    </row>
    <row r="723" spans="1:3" ht="14.5">
      <c r="A723" s="2042" t="s">
        <v>5135</v>
      </c>
      <c r="B723" s="380" t="str">
        <f t="shared" si="11"/>
        <v>139-905</v>
      </c>
      <c r="C723" s="389">
        <v>1</v>
      </c>
    </row>
    <row r="724" spans="1:3" ht="14.5">
      <c r="A724" s="2042" t="s">
        <v>3100</v>
      </c>
      <c r="B724" s="380" t="str">
        <f t="shared" si="11"/>
        <v>138-902</v>
      </c>
      <c r="C724" s="389">
        <v>1</v>
      </c>
    </row>
    <row r="725" spans="1:3" ht="14.5">
      <c r="A725" s="2042" t="s">
        <v>5834</v>
      </c>
      <c r="B725" s="380" t="str">
        <f t="shared" si="11"/>
        <v>138-903</v>
      </c>
      <c r="C725" s="389">
        <v>1</v>
      </c>
    </row>
    <row r="726" spans="1:3" ht="14.5">
      <c r="A726" s="2042" t="s">
        <v>5835</v>
      </c>
      <c r="B726" s="380" t="str">
        <f t="shared" si="11"/>
        <v>138-904</v>
      </c>
      <c r="C726" s="389">
        <v>1</v>
      </c>
    </row>
    <row r="727" spans="1:3" ht="14.5">
      <c r="A727" s="2042" t="s">
        <v>3102</v>
      </c>
      <c r="B727" s="380" t="str">
        <f t="shared" si="11"/>
        <v>139-909</v>
      </c>
      <c r="C727" s="389">
        <v>1</v>
      </c>
    </row>
    <row r="728" spans="1:3" ht="14.5">
      <c r="A728" s="2042" t="s">
        <v>5136</v>
      </c>
      <c r="B728" s="380" t="str">
        <f t="shared" si="11"/>
        <v>139-911</v>
      </c>
      <c r="C728" s="389">
        <v>0.98</v>
      </c>
    </row>
    <row r="729" spans="1:3" ht="14.5">
      <c r="A729" s="2042" t="s">
        <v>3103</v>
      </c>
      <c r="B729" s="380" t="str">
        <f t="shared" si="11"/>
        <v>139-912</v>
      </c>
      <c r="C729" s="389">
        <v>0.98</v>
      </c>
    </row>
    <row r="730" spans="1:3" ht="14.5">
      <c r="A730" s="2042" t="s">
        <v>5836</v>
      </c>
      <c r="B730" s="380" t="str">
        <f t="shared" si="11"/>
        <v>140-901</v>
      </c>
      <c r="C730" s="389">
        <v>1</v>
      </c>
    </row>
    <row r="731" spans="1:3" ht="14.5">
      <c r="A731" s="2042" t="s">
        <v>5837</v>
      </c>
      <c r="B731" s="380" t="str">
        <f t="shared" si="11"/>
        <v>140-904</v>
      </c>
      <c r="C731" s="389">
        <v>0.98</v>
      </c>
    </row>
    <row r="732" spans="1:3" ht="14.5">
      <c r="A732" s="2042" t="s">
        <v>4347</v>
      </c>
      <c r="B732" s="380" t="str">
        <f t="shared" si="11"/>
        <v>140-905</v>
      </c>
      <c r="C732" s="389">
        <v>1</v>
      </c>
    </row>
    <row r="733" spans="1:3" ht="14.5">
      <c r="A733" s="2042" t="s">
        <v>5138</v>
      </c>
      <c r="B733" s="380" t="str">
        <f t="shared" si="11"/>
        <v>141-902</v>
      </c>
      <c r="C733" s="389">
        <v>0.98</v>
      </c>
    </row>
    <row r="734" spans="1:3" ht="14.5">
      <c r="A734" s="2042" t="s">
        <v>5838</v>
      </c>
      <c r="B734" s="380" t="str">
        <f t="shared" si="11"/>
        <v>140-907</v>
      </c>
      <c r="C734" s="389">
        <v>1</v>
      </c>
    </row>
    <row r="735" spans="1:3" ht="14.5">
      <c r="A735" s="2042" t="s">
        <v>5137</v>
      </c>
      <c r="B735" s="380" t="str">
        <f t="shared" si="11"/>
        <v>140-908</v>
      </c>
      <c r="C735" s="389">
        <v>0.98</v>
      </c>
    </row>
    <row r="736" spans="1:3" ht="14.5">
      <c r="A736" s="2042" t="s">
        <v>3104</v>
      </c>
      <c r="B736" s="380" t="str">
        <f t="shared" si="11"/>
        <v>141-901</v>
      </c>
      <c r="C736" s="389">
        <v>1</v>
      </c>
    </row>
    <row r="737" spans="1:3" ht="14.5">
      <c r="A737" s="2042" t="s">
        <v>3105</v>
      </c>
      <c r="B737" s="380" t="str">
        <f t="shared" si="11"/>
        <v>142-901</v>
      </c>
      <c r="C737" s="389">
        <v>1</v>
      </c>
    </row>
    <row r="738" spans="1:3" ht="14.5">
      <c r="A738" s="2042" t="s">
        <v>5139</v>
      </c>
      <c r="B738" s="380" t="str">
        <f t="shared" si="11"/>
        <v>143-901</v>
      </c>
      <c r="C738" s="389">
        <v>0.98</v>
      </c>
    </row>
    <row r="739" spans="1:3" ht="14.5">
      <c r="A739" s="2042" t="s">
        <v>5839</v>
      </c>
      <c r="B739" s="380" t="str">
        <f t="shared" si="11"/>
        <v>143-902</v>
      </c>
      <c r="C739" s="389">
        <v>0.9467000000000001</v>
      </c>
    </row>
    <row r="740" spans="1:3" ht="14.5">
      <c r="A740" s="2042" t="s">
        <v>5840</v>
      </c>
      <c r="B740" s="380" t="str">
        <f t="shared" si="11"/>
        <v>143-903</v>
      </c>
      <c r="C740" s="389">
        <v>1</v>
      </c>
    </row>
    <row r="741" spans="1:3" ht="14.5">
      <c r="A741" s="2042" t="s">
        <v>5841</v>
      </c>
      <c r="B741" s="380" t="str">
        <f t="shared" si="11"/>
        <v>143-904</v>
      </c>
      <c r="C741" s="389">
        <v>0.98</v>
      </c>
    </row>
    <row r="742" spans="1:3" ht="14.5">
      <c r="A742" s="2042" t="s">
        <v>5842</v>
      </c>
      <c r="B742" s="380" t="str">
        <f t="shared" si="11"/>
        <v>143-905</v>
      </c>
      <c r="C742" s="389">
        <v>0.98670000000000002</v>
      </c>
    </row>
    <row r="743" spans="1:3" ht="14.5">
      <c r="A743" s="2042" t="s">
        <v>5843</v>
      </c>
      <c r="B743" s="380" t="str">
        <f t="shared" si="11"/>
        <v>144-903</v>
      </c>
      <c r="C743" s="389">
        <v>1</v>
      </c>
    </row>
    <row r="744" spans="1:3" ht="14.5">
      <c r="A744" s="2042" t="s">
        <v>5140</v>
      </c>
      <c r="B744" s="380" t="str">
        <f t="shared" si="11"/>
        <v>143-906</v>
      </c>
      <c r="C744" s="389">
        <v>0.93700000000000006</v>
      </c>
    </row>
    <row r="745" spans="1:3" ht="14.5">
      <c r="A745" s="2042" t="s">
        <v>5141</v>
      </c>
      <c r="B745" s="380" t="str">
        <f t="shared" si="11"/>
        <v>144-901</v>
      </c>
      <c r="C745" s="389">
        <v>1</v>
      </c>
    </row>
    <row r="746" spans="1:3" ht="14.5">
      <c r="A746" s="2042" t="s">
        <v>5142</v>
      </c>
      <c r="B746" s="380" t="str">
        <f t="shared" si="11"/>
        <v>144-902</v>
      </c>
      <c r="C746" s="389">
        <v>1</v>
      </c>
    </row>
    <row r="747" spans="1:3" ht="14.5">
      <c r="A747" s="2042" t="s">
        <v>5143</v>
      </c>
      <c r="B747" s="380" t="str">
        <f t="shared" si="11"/>
        <v>145-901</v>
      </c>
      <c r="C747" s="389">
        <v>1</v>
      </c>
    </row>
    <row r="748" spans="1:3" ht="14.5">
      <c r="A748" s="2042" t="s">
        <v>5144</v>
      </c>
      <c r="B748" s="380" t="str">
        <f t="shared" si="11"/>
        <v>145-902</v>
      </c>
      <c r="C748" s="389">
        <v>1</v>
      </c>
    </row>
    <row r="749" spans="1:3" ht="14.5">
      <c r="A749" s="2042" t="s">
        <v>5145</v>
      </c>
      <c r="B749" s="380" t="str">
        <f t="shared" si="11"/>
        <v>145-906</v>
      </c>
      <c r="C749" s="389">
        <v>1</v>
      </c>
    </row>
    <row r="750" spans="1:3" ht="14.5">
      <c r="A750" s="2042" t="s">
        <v>5146</v>
      </c>
      <c r="B750" s="380" t="str">
        <f t="shared" si="11"/>
        <v>145-907</v>
      </c>
      <c r="C750" s="389">
        <v>1</v>
      </c>
    </row>
    <row r="751" spans="1:3" ht="14.5">
      <c r="A751" s="2042" t="s">
        <v>5147</v>
      </c>
      <c r="B751" s="380" t="str">
        <f t="shared" si="11"/>
        <v>145-911</v>
      </c>
      <c r="C751" s="389">
        <v>0.98</v>
      </c>
    </row>
    <row r="752" spans="1:3" ht="14.5">
      <c r="A752" s="2042" t="s">
        <v>3106</v>
      </c>
      <c r="B752" s="380" t="str">
        <f t="shared" si="11"/>
        <v>146-901</v>
      </c>
      <c r="C752" s="389">
        <v>0.98</v>
      </c>
    </row>
    <row r="753" spans="1:3" ht="14.5">
      <c r="A753" s="2042" t="s">
        <v>3109</v>
      </c>
      <c r="B753" s="380" t="str">
        <f t="shared" si="11"/>
        <v>146-905</v>
      </c>
      <c r="C753" s="389">
        <v>1</v>
      </c>
    </row>
    <row r="754" spans="1:3" ht="14.5">
      <c r="A754" s="2042" t="s">
        <v>3107</v>
      </c>
      <c r="B754" s="380" t="str">
        <f t="shared" si="11"/>
        <v>146-902</v>
      </c>
      <c r="C754" s="389">
        <v>1</v>
      </c>
    </row>
    <row r="755" spans="1:3" ht="14.5">
      <c r="A755" s="2042" t="s">
        <v>5148</v>
      </c>
      <c r="B755" s="380" t="str">
        <f t="shared" si="11"/>
        <v>146-903</v>
      </c>
      <c r="C755" s="389">
        <v>0.98</v>
      </c>
    </row>
    <row r="756" spans="1:3" ht="14.5">
      <c r="A756" s="2042" t="s">
        <v>3108</v>
      </c>
      <c r="B756" s="380" t="str">
        <f t="shared" si="11"/>
        <v>146-904</v>
      </c>
      <c r="C756" s="389">
        <v>0.98</v>
      </c>
    </row>
    <row r="757" spans="1:3" ht="14.5">
      <c r="A757" s="2042" t="s">
        <v>5149</v>
      </c>
      <c r="B757" s="380" t="str">
        <f t="shared" si="11"/>
        <v>146-906</v>
      </c>
      <c r="C757" s="389">
        <v>1</v>
      </c>
    </row>
    <row r="758" spans="1:3" ht="14.5">
      <c r="A758" s="2042" t="s">
        <v>5150</v>
      </c>
      <c r="B758" s="380" t="str">
        <f t="shared" si="11"/>
        <v>146-907</v>
      </c>
      <c r="C758" s="389">
        <v>1</v>
      </c>
    </row>
    <row r="759" spans="1:3" ht="14.5">
      <c r="A759" s="2042" t="s">
        <v>3110</v>
      </c>
      <c r="B759" s="380" t="str">
        <f t="shared" si="11"/>
        <v>147-901</v>
      </c>
      <c r="C759" s="389">
        <v>1</v>
      </c>
    </row>
    <row r="760" spans="1:3" ht="14.5">
      <c r="A760" s="2042" t="s">
        <v>5151</v>
      </c>
      <c r="B760" s="380" t="str">
        <f t="shared" si="11"/>
        <v>147-902</v>
      </c>
      <c r="C760" s="389">
        <v>0.98</v>
      </c>
    </row>
    <row r="761" spans="1:3" ht="14.5">
      <c r="A761" s="2042" t="s">
        <v>5152</v>
      </c>
      <c r="B761" s="380" t="str">
        <f t="shared" si="11"/>
        <v>147-903</v>
      </c>
      <c r="C761" s="389">
        <v>1</v>
      </c>
    </row>
    <row r="762" spans="1:3" ht="14.5">
      <c r="A762" s="2042" t="s">
        <v>5156</v>
      </c>
      <c r="B762" s="380" t="str">
        <f t="shared" si="11"/>
        <v>148-905</v>
      </c>
      <c r="C762" s="389">
        <v>0.98010000000000008</v>
      </c>
    </row>
    <row r="763" spans="1:3" ht="14.5">
      <c r="A763" s="2042" t="s">
        <v>5153</v>
      </c>
      <c r="B763" s="380" t="str">
        <f t="shared" si="11"/>
        <v>148-901</v>
      </c>
      <c r="C763" s="389">
        <v>1</v>
      </c>
    </row>
    <row r="764" spans="1:3" ht="14.5">
      <c r="A764" s="2042" t="s">
        <v>5154</v>
      </c>
      <c r="B764" s="380" t="str">
        <f t="shared" si="11"/>
        <v>148-902</v>
      </c>
      <c r="C764" s="389">
        <v>1</v>
      </c>
    </row>
    <row r="765" spans="1:3" ht="14.5">
      <c r="A765" s="2042" t="s">
        <v>5155</v>
      </c>
      <c r="B765" s="380" t="str">
        <f t="shared" si="11"/>
        <v>148-903</v>
      </c>
      <c r="C765" s="389">
        <v>1</v>
      </c>
    </row>
    <row r="766" spans="1:3" ht="14.5">
      <c r="A766" s="2042" t="s">
        <v>5157</v>
      </c>
      <c r="B766" s="380" t="str">
        <f t="shared" si="11"/>
        <v>149-901</v>
      </c>
      <c r="C766" s="389">
        <v>0.98670000000000002</v>
      </c>
    </row>
    <row r="767" spans="1:3" ht="14.5">
      <c r="A767" s="2042" t="s">
        <v>5158</v>
      </c>
      <c r="B767" s="380" t="str">
        <f t="shared" si="11"/>
        <v>149-902</v>
      </c>
      <c r="C767" s="389">
        <v>0.98</v>
      </c>
    </row>
    <row r="768" spans="1:3" ht="14.5">
      <c r="A768" s="2042" t="s">
        <v>5159</v>
      </c>
      <c r="B768" s="380" t="str">
        <f t="shared" si="11"/>
        <v>150-901</v>
      </c>
      <c r="C768" s="389">
        <v>0.98</v>
      </c>
    </row>
    <row r="769" spans="1:3" ht="14.5">
      <c r="A769" s="2042" t="s">
        <v>8056</v>
      </c>
      <c r="B769" s="380" t="str">
        <f t="shared" si="11"/>
        <v>152-802</v>
      </c>
      <c r="C769" s="389">
        <v>0</v>
      </c>
    </row>
    <row r="770" spans="1:3" ht="14.5">
      <c r="A770" s="2042" t="s">
        <v>8057</v>
      </c>
      <c r="B770" s="380" t="str">
        <f t="shared" si="11"/>
        <v>152-803</v>
      </c>
      <c r="C770" s="389">
        <v>0</v>
      </c>
    </row>
    <row r="771" spans="1:3" ht="14.5">
      <c r="A771" s="2042" t="s">
        <v>8058</v>
      </c>
      <c r="B771" s="380" t="str">
        <f t="shared" ref="B771:B834" si="12">CONCATENATE(LEFT(RIGHT(CONCATENATE("000",A771),6),3),"-",(RIGHT(RIGHT(CONCATENATE("000",A771),6),3)))</f>
        <v>152-806</v>
      </c>
      <c r="C771" s="389">
        <v>0</v>
      </c>
    </row>
    <row r="772" spans="1:3" ht="14.5">
      <c r="A772" s="2042" t="s">
        <v>4363</v>
      </c>
      <c r="B772" s="380" t="str">
        <f t="shared" si="12"/>
        <v>152-901</v>
      </c>
      <c r="C772" s="389">
        <v>1</v>
      </c>
    </row>
    <row r="773" spans="1:3" ht="14.5">
      <c r="A773" s="2042" t="s">
        <v>3112</v>
      </c>
      <c r="B773" s="380" t="str">
        <f t="shared" si="12"/>
        <v>152-907</v>
      </c>
      <c r="C773" s="389">
        <v>1</v>
      </c>
    </row>
    <row r="774" spans="1:3" ht="14.5">
      <c r="A774" s="2042" t="s">
        <v>5844</v>
      </c>
      <c r="B774" s="380" t="str">
        <f t="shared" si="12"/>
        <v>152-902</v>
      </c>
      <c r="C774" s="389">
        <v>1</v>
      </c>
    </row>
    <row r="775" spans="1:3" ht="14.5">
      <c r="A775" s="2042" t="s">
        <v>5160</v>
      </c>
      <c r="B775" s="380" t="str">
        <f t="shared" si="12"/>
        <v>152-903</v>
      </c>
      <c r="C775" s="389">
        <v>1</v>
      </c>
    </row>
    <row r="776" spans="1:3" ht="14.5">
      <c r="A776" s="2042" t="s">
        <v>3111</v>
      </c>
      <c r="B776" s="380" t="str">
        <f t="shared" si="12"/>
        <v>152-906</v>
      </c>
      <c r="C776" s="389">
        <v>0.98</v>
      </c>
    </row>
    <row r="777" spans="1:3" ht="14.5">
      <c r="A777" s="2042" t="s">
        <v>5161</v>
      </c>
      <c r="B777" s="380" t="str">
        <f t="shared" si="12"/>
        <v>152-908</v>
      </c>
      <c r="C777" s="389">
        <v>1</v>
      </c>
    </row>
    <row r="778" spans="1:3" ht="14.5">
      <c r="A778" s="2042" t="s">
        <v>3113</v>
      </c>
      <c r="B778" s="380" t="str">
        <f t="shared" si="12"/>
        <v>152-909</v>
      </c>
      <c r="C778" s="389">
        <v>1</v>
      </c>
    </row>
    <row r="779" spans="1:3" ht="14.5">
      <c r="A779" s="2042" t="s">
        <v>3114</v>
      </c>
      <c r="B779" s="380" t="str">
        <f t="shared" si="12"/>
        <v>152-910</v>
      </c>
      <c r="C779" s="389">
        <v>1</v>
      </c>
    </row>
    <row r="780" spans="1:3" ht="14.5">
      <c r="A780" s="2042" t="s">
        <v>8510</v>
      </c>
      <c r="B780" s="380" t="str">
        <f t="shared" si="12"/>
        <v>152-950</v>
      </c>
      <c r="C780" s="389">
        <v>0</v>
      </c>
    </row>
    <row r="781" spans="1:3" ht="14.5">
      <c r="A781" s="2042" t="s">
        <v>5162</v>
      </c>
      <c r="B781" s="380" t="str">
        <f t="shared" si="12"/>
        <v>153-903</v>
      </c>
      <c r="C781" s="389">
        <v>1</v>
      </c>
    </row>
    <row r="782" spans="1:3" ht="14.5">
      <c r="A782" s="2042" t="s">
        <v>5845</v>
      </c>
      <c r="B782" s="380" t="str">
        <f t="shared" si="12"/>
        <v>153-904</v>
      </c>
      <c r="C782" s="389">
        <v>1</v>
      </c>
    </row>
    <row r="783" spans="1:3" ht="14.5">
      <c r="A783" s="2042" t="s">
        <v>3116</v>
      </c>
      <c r="B783" s="380" t="str">
        <f t="shared" si="12"/>
        <v>154-903</v>
      </c>
      <c r="C783" s="389">
        <v>1</v>
      </c>
    </row>
    <row r="784" spans="1:3" ht="14.5">
      <c r="A784" s="2042" t="s">
        <v>5163</v>
      </c>
      <c r="B784" s="380" t="str">
        <f t="shared" si="12"/>
        <v>153-905</v>
      </c>
      <c r="C784" s="389">
        <v>1</v>
      </c>
    </row>
    <row r="785" spans="1:3" ht="14.5">
      <c r="A785" s="2042" t="s">
        <v>5846</v>
      </c>
      <c r="B785" s="380" t="str">
        <f t="shared" si="12"/>
        <v>153-907</v>
      </c>
      <c r="C785" s="389">
        <v>1</v>
      </c>
    </row>
    <row r="786" spans="1:3" ht="14.5">
      <c r="A786" s="2042" t="s">
        <v>3115</v>
      </c>
      <c r="B786" s="380" t="str">
        <f t="shared" si="12"/>
        <v>154-901</v>
      </c>
      <c r="C786" s="389">
        <v>1</v>
      </c>
    </row>
    <row r="787" spans="1:3" ht="14.5">
      <c r="A787" s="2042" t="s">
        <v>5164</v>
      </c>
      <c r="B787" s="380" t="str">
        <f t="shared" si="12"/>
        <v>155-901</v>
      </c>
      <c r="C787" s="389">
        <v>0.98</v>
      </c>
    </row>
    <row r="788" spans="1:3" ht="14.5">
      <c r="A788" s="2042" t="s">
        <v>5165</v>
      </c>
      <c r="B788" s="380" t="str">
        <f t="shared" si="12"/>
        <v>156-902</v>
      </c>
      <c r="C788" s="389">
        <v>0.98</v>
      </c>
    </row>
    <row r="789" spans="1:3" ht="14.5">
      <c r="A789" s="2042" t="s">
        <v>5166</v>
      </c>
      <c r="B789" s="380" t="str">
        <f t="shared" si="12"/>
        <v>156-905</v>
      </c>
      <c r="C789" s="389">
        <v>0.98</v>
      </c>
    </row>
    <row r="790" spans="1:3" ht="14.5">
      <c r="A790" s="2042" t="s">
        <v>5167</v>
      </c>
      <c r="B790" s="380" t="str">
        <f t="shared" si="12"/>
        <v>157-901</v>
      </c>
      <c r="C790" s="389">
        <v>1</v>
      </c>
    </row>
    <row r="791" spans="1:3" ht="14.5">
      <c r="A791" s="2042" t="s">
        <v>5168</v>
      </c>
      <c r="B791" s="380" t="str">
        <f t="shared" si="12"/>
        <v>158-901</v>
      </c>
      <c r="C791" s="389">
        <v>1</v>
      </c>
    </row>
    <row r="792" spans="1:3" ht="14.5">
      <c r="A792" s="2042" t="s">
        <v>5169</v>
      </c>
      <c r="B792" s="380" t="str">
        <f t="shared" si="12"/>
        <v>158-902</v>
      </c>
      <c r="C792" s="389">
        <v>0.94500000000000006</v>
      </c>
    </row>
    <row r="793" spans="1:3" ht="14.5">
      <c r="A793" s="2042" t="s">
        <v>3117</v>
      </c>
      <c r="B793" s="380" t="str">
        <f t="shared" si="12"/>
        <v>159-901</v>
      </c>
      <c r="C793" s="389">
        <v>1</v>
      </c>
    </row>
    <row r="794" spans="1:3" ht="14.5">
      <c r="A794" s="2042" t="s">
        <v>5170</v>
      </c>
      <c r="B794" s="380" t="str">
        <f t="shared" si="12"/>
        <v>158-904</v>
      </c>
      <c r="C794" s="389">
        <v>0.96</v>
      </c>
    </row>
    <row r="795" spans="1:3" ht="14.5">
      <c r="A795" s="2042" t="s">
        <v>5171</v>
      </c>
      <c r="B795" s="380" t="str">
        <f t="shared" si="12"/>
        <v>158-905</v>
      </c>
      <c r="C795" s="389">
        <v>0.98</v>
      </c>
    </row>
    <row r="796" spans="1:3" ht="14.5">
      <c r="A796" s="2042" t="s">
        <v>5847</v>
      </c>
      <c r="B796" s="380" t="str">
        <f t="shared" si="12"/>
        <v>158-906</v>
      </c>
      <c r="C796" s="389">
        <v>0.98</v>
      </c>
    </row>
    <row r="797" spans="1:3" ht="14.5">
      <c r="A797" s="2042" t="s">
        <v>3118</v>
      </c>
      <c r="B797" s="380" t="str">
        <f t="shared" si="12"/>
        <v>160-901</v>
      </c>
      <c r="C797" s="389">
        <v>1</v>
      </c>
    </row>
    <row r="798" spans="1:3" ht="14.5">
      <c r="A798" s="2042" t="s">
        <v>5848</v>
      </c>
      <c r="B798" s="380" t="str">
        <f t="shared" si="12"/>
        <v>160-904</v>
      </c>
      <c r="C798" s="389">
        <v>1</v>
      </c>
    </row>
    <row r="799" spans="1:3" ht="14.5">
      <c r="A799" s="2042" t="s">
        <v>3119</v>
      </c>
      <c r="B799" s="380" t="str">
        <f t="shared" si="12"/>
        <v>160-905</v>
      </c>
      <c r="C799" s="389">
        <v>1</v>
      </c>
    </row>
    <row r="800" spans="1:3" ht="14.5">
      <c r="A800" s="2042" t="s">
        <v>8059</v>
      </c>
      <c r="B800" s="380" t="str">
        <f t="shared" si="12"/>
        <v>161-801</v>
      </c>
      <c r="C800" s="389">
        <v>0</v>
      </c>
    </row>
    <row r="801" spans="1:3" ht="14.5">
      <c r="A801" s="2042" t="s">
        <v>8060</v>
      </c>
      <c r="B801" s="380" t="str">
        <f t="shared" si="12"/>
        <v>161-802</v>
      </c>
      <c r="C801" s="389">
        <v>0</v>
      </c>
    </row>
    <row r="802" spans="1:3" ht="14.5">
      <c r="A802" s="2042" t="s">
        <v>8061</v>
      </c>
      <c r="B802" s="380" t="str">
        <f t="shared" si="12"/>
        <v>161-807</v>
      </c>
      <c r="C802" s="389">
        <v>0</v>
      </c>
    </row>
    <row r="803" spans="1:3" ht="14.5">
      <c r="A803" s="2042" t="s">
        <v>3122</v>
      </c>
      <c r="B803" s="380" t="str">
        <f t="shared" si="12"/>
        <v>161-907</v>
      </c>
      <c r="C803" s="389">
        <v>1</v>
      </c>
    </row>
    <row r="804" spans="1:3" ht="14.5">
      <c r="A804" s="2042" t="s">
        <v>3120</v>
      </c>
      <c r="B804" s="380" t="str">
        <f t="shared" si="12"/>
        <v>161-901</v>
      </c>
      <c r="C804" s="389">
        <v>1</v>
      </c>
    </row>
    <row r="805" spans="1:3" ht="14.5">
      <c r="A805" s="2042" t="s">
        <v>5172</v>
      </c>
      <c r="B805" s="380" t="str">
        <f t="shared" si="12"/>
        <v>161-903</v>
      </c>
      <c r="C805" s="389">
        <v>0.98</v>
      </c>
    </row>
    <row r="806" spans="1:3" ht="14.5">
      <c r="A806" s="2042" t="s">
        <v>3121</v>
      </c>
      <c r="B806" s="380" t="str">
        <f t="shared" si="12"/>
        <v>161-906</v>
      </c>
      <c r="C806" s="389">
        <v>1</v>
      </c>
    </row>
    <row r="807" spans="1:3" ht="14.5">
      <c r="A807" s="2042" t="s">
        <v>3123</v>
      </c>
      <c r="B807" s="380" t="str">
        <f t="shared" si="12"/>
        <v>161-908</v>
      </c>
      <c r="C807" s="389">
        <v>0.98</v>
      </c>
    </row>
    <row r="808" spans="1:3" ht="14.5">
      <c r="A808" s="2042" t="s">
        <v>3124</v>
      </c>
      <c r="B808" s="380" t="str">
        <f t="shared" si="12"/>
        <v>161-909</v>
      </c>
      <c r="C808" s="389">
        <v>0.99330000000000007</v>
      </c>
    </row>
    <row r="809" spans="1:3" ht="14.5">
      <c r="A809" s="2042" t="s">
        <v>3125</v>
      </c>
      <c r="B809" s="380" t="str">
        <f t="shared" si="12"/>
        <v>161-910</v>
      </c>
      <c r="C809" s="389">
        <v>1</v>
      </c>
    </row>
    <row r="810" spans="1:3" ht="14.5">
      <c r="A810" s="2042" t="s">
        <v>3126</v>
      </c>
      <c r="B810" s="380" t="str">
        <f t="shared" si="12"/>
        <v>161-912</v>
      </c>
      <c r="C810" s="389">
        <v>1</v>
      </c>
    </row>
    <row r="811" spans="1:3" ht="14.5">
      <c r="A811" s="2042" t="s">
        <v>3127</v>
      </c>
      <c r="B811" s="380" t="str">
        <f t="shared" si="12"/>
        <v>161-914</v>
      </c>
      <c r="C811" s="389">
        <v>1</v>
      </c>
    </row>
    <row r="812" spans="1:3" ht="14.5">
      <c r="A812" s="2042" t="s">
        <v>3130</v>
      </c>
      <c r="B812" s="380" t="str">
        <f t="shared" si="12"/>
        <v>161-920</v>
      </c>
      <c r="C812" s="389">
        <v>0.98</v>
      </c>
    </row>
    <row r="813" spans="1:3" ht="14.5">
      <c r="A813" s="2042" t="s">
        <v>3128</v>
      </c>
      <c r="B813" s="380" t="str">
        <f t="shared" si="12"/>
        <v>161-916</v>
      </c>
      <c r="C813" s="389">
        <v>1</v>
      </c>
    </row>
    <row r="814" spans="1:3" ht="14.5">
      <c r="A814" s="2042" t="s">
        <v>5849</v>
      </c>
      <c r="B814" s="380" t="str">
        <f t="shared" si="12"/>
        <v>161-918</v>
      </c>
      <c r="C814" s="389">
        <v>1</v>
      </c>
    </row>
    <row r="815" spans="1:3" ht="14.5">
      <c r="A815" s="2042" t="s">
        <v>3129</v>
      </c>
      <c r="B815" s="380" t="str">
        <f t="shared" si="12"/>
        <v>161-919</v>
      </c>
      <c r="C815" s="389">
        <v>1</v>
      </c>
    </row>
    <row r="816" spans="1:3" ht="14.5">
      <c r="A816" s="2042" t="s">
        <v>3131</v>
      </c>
      <c r="B816" s="380" t="str">
        <f t="shared" si="12"/>
        <v>161-921</v>
      </c>
      <c r="C816" s="389">
        <v>1</v>
      </c>
    </row>
    <row r="817" spans="1:3" ht="14.5">
      <c r="A817" s="2042" t="s">
        <v>3132</v>
      </c>
      <c r="B817" s="380" t="str">
        <f t="shared" si="12"/>
        <v>161-922</v>
      </c>
      <c r="C817" s="389">
        <v>1</v>
      </c>
    </row>
    <row r="818" spans="1:3" ht="14.5">
      <c r="A818" s="2042" t="s">
        <v>3133</v>
      </c>
      <c r="B818" s="380" t="str">
        <f t="shared" si="12"/>
        <v>161-923</v>
      </c>
      <c r="C818" s="389">
        <v>1</v>
      </c>
    </row>
    <row r="819" spans="1:3" ht="14.5">
      <c r="A819" s="2042" t="s">
        <v>5173</v>
      </c>
      <c r="B819" s="380" t="str">
        <f t="shared" si="12"/>
        <v>161-924</v>
      </c>
      <c r="C819" s="389">
        <v>1</v>
      </c>
    </row>
    <row r="820" spans="1:3" ht="14.5">
      <c r="A820" s="2042" t="s">
        <v>5850</v>
      </c>
      <c r="B820" s="380" t="str">
        <f t="shared" si="12"/>
        <v>161-925</v>
      </c>
      <c r="C820" s="389">
        <v>0.98</v>
      </c>
    </row>
    <row r="821" spans="1:3" ht="14.5">
      <c r="A821" s="2042" t="s">
        <v>8511</v>
      </c>
      <c r="B821" s="380" t="str">
        <f t="shared" si="12"/>
        <v>161-950</v>
      </c>
      <c r="C821" s="389">
        <v>0</v>
      </c>
    </row>
    <row r="822" spans="1:3" ht="14.5">
      <c r="A822" s="2042" t="s">
        <v>3136</v>
      </c>
      <c r="B822" s="380" t="str">
        <f t="shared" si="12"/>
        <v>163-903</v>
      </c>
      <c r="C822" s="389">
        <v>1</v>
      </c>
    </row>
    <row r="823" spans="1:3" ht="14.5">
      <c r="A823" s="2042" t="s">
        <v>5174</v>
      </c>
      <c r="B823" s="380" t="str">
        <f t="shared" si="12"/>
        <v>162-904</v>
      </c>
      <c r="C823" s="389">
        <v>0.93330000000000002</v>
      </c>
    </row>
    <row r="824" spans="1:3" ht="14.5">
      <c r="A824" s="2042" t="s">
        <v>3134</v>
      </c>
      <c r="B824" s="380" t="str">
        <f t="shared" si="12"/>
        <v>163-901</v>
      </c>
      <c r="C824" s="389">
        <v>1</v>
      </c>
    </row>
    <row r="825" spans="1:3" ht="14.5">
      <c r="A825" s="2042" t="s">
        <v>3135</v>
      </c>
      <c r="B825" s="380" t="str">
        <f t="shared" si="12"/>
        <v>163-902</v>
      </c>
      <c r="C825" s="389">
        <v>0.98010000000000008</v>
      </c>
    </row>
    <row r="826" spans="1:3" ht="14.5">
      <c r="A826" s="2042" t="s">
        <v>3137</v>
      </c>
      <c r="B826" s="380" t="str">
        <f t="shared" si="12"/>
        <v>163-904</v>
      </c>
      <c r="C826" s="389">
        <v>1</v>
      </c>
    </row>
    <row r="827" spans="1:3" ht="14.5">
      <c r="A827" s="2042" t="s">
        <v>3138</v>
      </c>
      <c r="B827" s="380" t="str">
        <f t="shared" si="12"/>
        <v>163-908</v>
      </c>
      <c r="C827" s="389">
        <v>0.9850000000000001</v>
      </c>
    </row>
    <row r="828" spans="1:3" ht="14.5">
      <c r="A828" s="2042" t="s">
        <v>5851</v>
      </c>
      <c r="B828" s="380" t="str">
        <f t="shared" si="12"/>
        <v>164-901</v>
      </c>
      <c r="C828" s="389">
        <v>1</v>
      </c>
    </row>
    <row r="829" spans="1:3" ht="14.5">
      <c r="A829" s="2042" t="s">
        <v>8062</v>
      </c>
      <c r="B829" s="380" t="str">
        <f t="shared" si="12"/>
        <v>165-802</v>
      </c>
      <c r="C829" s="389">
        <v>0</v>
      </c>
    </row>
    <row r="830" spans="1:3" ht="14.5">
      <c r="A830" s="2042" t="s">
        <v>3139</v>
      </c>
      <c r="B830" s="380" t="str">
        <f t="shared" si="12"/>
        <v>165-901</v>
      </c>
      <c r="C830" s="389">
        <v>1</v>
      </c>
    </row>
    <row r="831" spans="1:3" ht="14.5">
      <c r="A831" s="2042" t="s">
        <v>5852</v>
      </c>
      <c r="B831" s="380" t="str">
        <f t="shared" si="12"/>
        <v>166-902</v>
      </c>
      <c r="C831" s="389">
        <v>0.98670000000000002</v>
      </c>
    </row>
    <row r="832" spans="1:3" ht="14.5">
      <c r="A832" s="2042" t="s">
        <v>5175</v>
      </c>
      <c r="B832" s="380" t="str">
        <f t="shared" si="12"/>
        <v>165-902</v>
      </c>
      <c r="C832" s="389">
        <v>1</v>
      </c>
    </row>
    <row r="833" spans="1:3" ht="14.5">
      <c r="A833" s="2042" t="s">
        <v>8512</v>
      </c>
      <c r="B833" s="380" t="str">
        <f t="shared" si="12"/>
        <v>165-950</v>
      </c>
      <c r="C833" s="389">
        <v>0</v>
      </c>
    </row>
    <row r="834" spans="1:3" ht="14.5">
      <c r="A834" s="2042" t="s">
        <v>3140</v>
      </c>
      <c r="B834" s="380" t="str">
        <f t="shared" si="12"/>
        <v>166-901</v>
      </c>
      <c r="C834" s="389">
        <v>0.98</v>
      </c>
    </row>
    <row r="835" spans="1:3" ht="14.5">
      <c r="A835" s="2042" t="s">
        <v>5176</v>
      </c>
      <c r="B835" s="380" t="str">
        <f t="shared" ref="B835:B898" si="13">CONCATENATE(LEFT(RIGHT(CONCATENATE("000",A835),6),3),"-",(RIGHT(RIGHT(CONCATENATE("000",A835),6),3)))</f>
        <v>166-903</v>
      </c>
      <c r="C835" s="389">
        <v>1</v>
      </c>
    </row>
    <row r="836" spans="1:3" ht="14.5">
      <c r="A836" s="2042" t="s">
        <v>5177</v>
      </c>
      <c r="B836" s="380" t="str">
        <f t="shared" si="13"/>
        <v>166-904</v>
      </c>
      <c r="C836" s="389">
        <v>1</v>
      </c>
    </row>
    <row r="837" spans="1:3" ht="14.5">
      <c r="A837" s="2042" t="s">
        <v>5178</v>
      </c>
      <c r="B837" s="380" t="str">
        <f t="shared" si="13"/>
        <v>166-905</v>
      </c>
      <c r="C837" s="389">
        <v>1</v>
      </c>
    </row>
    <row r="838" spans="1:3" ht="14.5">
      <c r="A838" s="2042" t="s">
        <v>3141</v>
      </c>
      <c r="B838" s="380" t="str">
        <f t="shared" si="13"/>
        <v>166-907</v>
      </c>
      <c r="C838" s="389">
        <v>0.99</v>
      </c>
    </row>
    <row r="839" spans="1:3" ht="14.5">
      <c r="A839" s="2042" t="s">
        <v>3142</v>
      </c>
      <c r="B839" s="380" t="str">
        <f t="shared" si="13"/>
        <v>167-901</v>
      </c>
      <c r="C839" s="389">
        <v>0.98</v>
      </c>
    </row>
    <row r="840" spans="1:3" ht="14.5">
      <c r="A840" s="2042" t="s">
        <v>5853</v>
      </c>
      <c r="B840" s="380" t="str">
        <f t="shared" si="13"/>
        <v>167-902</v>
      </c>
      <c r="C840" s="389">
        <v>0.98</v>
      </c>
    </row>
    <row r="841" spans="1:3" ht="14.5">
      <c r="A841" s="2042" t="s">
        <v>3143</v>
      </c>
      <c r="B841" s="380" t="str">
        <f t="shared" si="13"/>
        <v>167-904</v>
      </c>
      <c r="C841" s="389">
        <v>0.85</v>
      </c>
    </row>
    <row r="842" spans="1:3" ht="14.5">
      <c r="A842" s="2042" t="s">
        <v>3144</v>
      </c>
      <c r="B842" s="380" t="str">
        <f t="shared" si="13"/>
        <v>169-901</v>
      </c>
      <c r="C842" s="389">
        <v>0.98670000000000002</v>
      </c>
    </row>
    <row r="843" spans="1:3" ht="14.5">
      <c r="A843" s="2042" t="s">
        <v>5179</v>
      </c>
      <c r="B843" s="380" t="str">
        <f t="shared" si="13"/>
        <v>168-901</v>
      </c>
      <c r="C843" s="389">
        <v>1</v>
      </c>
    </row>
    <row r="844" spans="1:3" ht="14.5">
      <c r="A844" s="2042" t="s">
        <v>5180</v>
      </c>
      <c r="B844" s="380" t="str">
        <f t="shared" si="13"/>
        <v>168-902</v>
      </c>
      <c r="C844" s="389">
        <v>1</v>
      </c>
    </row>
    <row r="845" spans="1:3" ht="14.5">
      <c r="A845" s="2042" t="s">
        <v>5854</v>
      </c>
      <c r="B845" s="380" t="str">
        <f t="shared" si="13"/>
        <v>168-903</v>
      </c>
      <c r="C845" s="389">
        <v>0.98</v>
      </c>
    </row>
    <row r="846" spans="1:3" ht="14.5">
      <c r="A846" s="2042" t="s">
        <v>5855</v>
      </c>
      <c r="B846" s="380" t="str">
        <f t="shared" si="13"/>
        <v>169-902</v>
      </c>
      <c r="C846" s="389">
        <v>1</v>
      </c>
    </row>
    <row r="847" spans="1:3" ht="14.5">
      <c r="A847" s="2042" t="s">
        <v>5181</v>
      </c>
      <c r="B847" s="380" t="str">
        <f t="shared" si="13"/>
        <v>169-906</v>
      </c>
      <c r="C847" s="389">
        <v>1</v>
      </c>
    </row>
    <row r="848" spans="1:3" ht="14.5">
      <c r="A848" s="2042" t="s">
        <v>5856</v>
      </c>
      <c r="B848" s="380" t="str">
        <f t="shared" si="13"/>
        <v>169-908</v>
      </c>
      <c r="C848" s="389">
        <v>1</v>
      </c>
    </row>
    <row r="849" spans="1:3" ht="14.5">
      <c r="A849" s="2042" t="s">
        <v>5857</v>
      </c>
      <c r="B849" s="380" t="str">
        <f t="shared" si="13"/>
        <v>169-909</v>
      </c>
      <c r="C849" s="389">
        <v>1</v>
      </c>
    </row>
    <row r="850" spans="1:3" ht="14.5">
      <c r="A850" s="2042" t="s">
        <v>5182</v>
      </c>
      <c r="B850" s="380" t="str">
        <f t="shared" si="13"/>
        <v>169-910</v>
      </c>
      <c r="C850" s="389">
        <v>1</v>
      </c>
    </row>
    <row r="851" spans="1:3" ht="14.5">
      <c r="A851" s="2042" t="s">
        <v>5183</v>
      </c>
      <c r="B851" s="380" t="str">
        <f t="shared" si="13"/>
        <v>169-911</v>
      </c>
      <c r="C851" s="389">
        <v>1</v>
      </c>
    </row>
    <row r="852" spans="1:3" ht="14.5">
      <c r="A852" s="2042" t="s">
        <v>3146</v>
      </c>
      <c r="B852" s="380" t="str">
        <f t="shared" si="13"/>
        <v>170-904</v>
      </c>
      <c r="C852" s="389">
        <v>0.98670000000000002</v>
      </c>
    </row>
    <row r="853" spans="1:3" ht="14.5">
      <c r="A853" s="2042" t="s">
        <v>8063</v>
      </c>
      <c r="B853" s="380" t="str">
        <f t="shared" si="13"/>
        <v>170-801</v>
      </c>
      <c r="C853" s="389">
        <v>0</v>
      </c>
    </row>
    <row r="854" spans="1:3" ht="14.5">
      <c r="A854" s="2042" t="s">
        <v>3145</v>
      </c>
      <c r="B854" s="380" t="str">
        <f t="shared" si="13"/>
        <v>170-902</v>
      </c>
      <c r="C854" s="389">
        <v>0.99330000000000007</v>
      </c>
    </row>
    <row r="855" spans="1:3" ht="14.5">
      <c r="A855" s="2042" t="s">
        <v>5184</v>
      </c>
      <c r="B855" s="380" t="str">
        <f t="shared" si="13"/>
        <v>170-903</v>
      </c>
      <c r="C855" s="389">
        <v>0.98</v>
      </c>
    </row>
    <row r="856" spans="1:3" ht="14.5">
      <c r="A856" s="2042" t="s">
        <v>3147</v>
      </c>
      <c r="B856" s="380" t="str">
        <f t="shared" si="13"/>
        <v>170-906</v>
      </c>
      <c r="C856" s="389">
        <v>0.98</v>
      </c>
    </row>
    <row r="857" spans="1:3" ht="14.5">
      <c r="A857" s="2042" t="s">
        <v>3148</v>
      </c>
      <c r="B857" s="380" t="str">
        <f t="shared" si="13"/>
        <v>170-907</v>
      </c>
      <c r="C857" s="389">
        <v>1</v>
      </c>
    </row>
    <row r="858" spans="1:3" ht="14.5">
      <c r="A858" s="2042" t="s">
        <v>3149</v>
      </c>
      <c r="B858" s="380" t="str">
        <f t="shared" si="13"/>
        <v>170-908</v>
      </c>
      <c r="C858" s="389">
        <v>1</v>
      </c>
    </row>
    <row r="859" spans="1:3" ht="14.5">
      <c r="A859" s="2042" t="s">
        <v>5185</v>
      </c>
      <c r="B859" s="380" t="str">
        <f t="shared" si="13"/>
        <v>171-901</v>
      </c>
      <c r="C859" s="389">
        <v>0.98940000000000006</v>
      </c>
    </row>
    <row r="860" spans="1:3" ht="14.5">
      <c r="A860" s="2042" t="s">
        <v>5186</v>
      </c>
      <c r="B860" s="380" t="str">
        <f t="shared" si="13"/>
        <v>171-902</v>
      </c>
      <c r="C860" s="389">
        <v>0.98</v>
      </c>
    </row>
    <row r="861" spans="1:3" ht="14.5">
      <c r="A861" s="2042" t="s">
        <v>8064</v>
      </c>
      <c r="B861" s="380" t="str">
        <f t="shared" si="13"/>
        <v>174-801</v>
      </c>
      <c r="C861" s="389">
        <v>0</v>
      </c>
    </row>
    <row r="862" spans="1:3" ht="14.5">
      <c r="A862" s="2042" t="s">
        <v>5187</v>
      </c>
      <c r="B862" s="380" t="str">
        <f t="shared" si="13"/>
        <v>172-902</v>
      </c>
      <c r="C862" s="389">
        <v>1</v>
      </c>
    </row>
    <row r="863" spans="1:3" ht="14.5">
      <c r="A863" s="2042" t="s">
        <v>5188</v>
      </c>
      <c r="B863" s="380" t="str">
        <f t="shared" si="13"/>
        <v>172-905</v>
      </c>
      <c r="C863" s="389">
        <v>0.98</v>
      </c>
    </row>
    <row r="864" spans="1:3" ht="14.5">
      <c r="A864" s="2042" t="s">
        <v>5858</v>
      </c>
      <c r="B864" s="380" t="str">
        <f t="shared" si="13"/>
        <v>173-901</v>
      </c>
      <c r="C864" s="389">
        <v>1</v>
      </c>
    </row>
    <row r="865" spans="1:3" ht="14.5">
      <c r="A865" s="2042" t="s">
        <v>3150</v>
      </c>
      <c r="B865" s="380" t="str">
        <f t="shared" si="13"/>
        <v>174-901</v>
      </c>
      <c r="C865" s="389">
        <v>1</v>
      </c>
    </row>
    <row r="866" spans="1:3" ht="14.5">
      <c r="A866" s="2042" t="s">
        <v>5189</v>
      </c>
      <c r="B866" s="380" t="str">
        <f t="shared" si="13"/>
        <v>174-902</v>
      </c>
      <c r="C866" s="389">
        <v>1</v>
      </c>
    </row>
    <row r="867" spans="1:3" ht="14.5">
      <c r="A867" s="2042" t="s">
        <v>3151</v>
      </c>
      <c r="B867" s="380" t="str">
        <f t="shared" si="13"/>
        <v>174-903</v>
      </c>
      <c r="C867" s="389">
        <v>1</v>
      </c>
    </row>
    <row r="868" spans="1:3" ht="14.5">
      <c r="A868" s="2042" t="s">
        <v>5190</v>
      </c>
      <c r="B868" s="380" t="str">
        <f t="shared" si="13"/>
        <v>174-904</v>
      </c>
      <c r="C868" s="389">
        <v>1</v>
      </c>
    </row>
    <row r="869" spans="1:3" ht="14.5">
      <c r="A869" s="2042" t="s">
        <v>3152</v>
      </c>
      <c r="B869" s="380" t="str">
        <f t="shared" si="13"/>
        <v>174-906</v>
      </c>
      <c r="C869" s="389">
        <v>1</v>
      </c>
    </row>
    <row r="870" spans="1:3" ht="14.5">
      <c r="A870" s="2042" t="s">
        <v>3153</v>
      </c>
      <c r="B870" s="380" t="str">
        <f t="shared" si="13"/>
        <v>174-908</v>
      </c>
      <c r="C870" s="389">
        <v>1</v>
      </c>
    </row>
    <row r="871" spans="1:3" ht="14.5">
      <c r="A871" s="2042" t="s">
        <v>5192</v>
      </c>
      <c r="B871" s="380" t="str">
        <f t="shared" si="13"/>
        <v>175-902</v>
      </c>
      <c r="C871" s="389">
        <v>1</v>
      </c>
    </row>
    <row r="872" spans="1:3" ht="14.5">
      <c r="A872" s="2042" t="s">
        <v>4500</v>
      </c>
      <c r="B872" s="380" t="str">
        <f t="shared" si="13"/>
        <v>174-909</v>
      </c>
      <c r="C872" s="389">
        <v>1</v>
      </c>
    </row>
    <row r="873" spans="1:3" ht="14.5">
      <c r="A873" s="2042" t="s">
        <v>5191</v>
      </c>
      <c r="B873" s="380" t="str">
        <f t="shared" si="13"/>
        <v>174-910</v>
      </c>
      <c r="C873" s="389">
        <v>1</v>
      </c>
    </row>
    <row r="874" spans="1:3" ht="14.5">
      <c r="A874" s="2042" t="s">
        <v>5859</v>
      </c>
      <c r="B874" s="380" t="str">
        <f t="shared" si="13"/>
        <v>174-911</v>
      </c>
      <c r="C874" s="389">
        <v>1</v>
      </c>
    </row>
    <row r="875" spans="1:3" ht="14.5">
      <c r="A875" s="2042" t="s">
        <v>3154</v>
      </c>
      <c r="B875" s="380" t="str">
        <f t="shared" si="13"/>
        <v>175-903</v>
      </c>
      <c r="C875" s="389">
        <v>0.98</v>
      </c>
    </row>
    <row r="876" spans="1:3" ht="14.5">
      <c r="A876" s="2042" t="s">
        <v>3155</v>
      </c>
      <c r="B876" s="380" t="str">
        <f t="shared" si="13"/>
        <v>175-904</v>
      </c>
      <c r="C876" s="389">
        <v>1</v>
      </c>
    </row>
    <row r="877" spans="1:3" ht="14.5">
      <c r="A877" s="2042" t="s">
        <v>5193</v>
      </c>
      <c r="B877" s="380" t="str">
        <f t="shared" si="13"/>
        <v>175-905</v>
      </c>
      <c r="C877" s="389">
        <v>1</v>
      </c>
    </row>
    <row r="878" spans="1:3" ht="14.5">
      <c r="A878" s="2042" t="s">
        <v>3156</v>
      </c>
      <c r="B878" s="380" t="str">
        <f t="shared" si="13"/>
        <v>175-907</v>
      </c>
      <c r="C878" s="389">
        <v>0.98</v>
      </c>
    </row>
    <row r="879" spans="1:3" ht="14.5">
      <c r="A879" s="2042" t="s">
        <v>5194</v>
      </c>
      <c r="B879" s="380" t="str">
        <f t="shared" si="13"/>
        <v>175-910</v>
      </c>
      <c r="C879" s="389">
        <v>0.98010000000000008</v>
      </c>
    </row>
    <row r="880" spans="1:3" ht="14.5">
      <c r="A880" s="2042" t="s">
        <v>3157</v>
      </c>
      <c r="B880" s="380" t="str">
        <f t="shared" si="13"/>
        <v>175-911</v>
      </c>
      <c r="C880" s="389">
        <v>1</v>
      </c>
    </row>
    <row r="881" spans="1:3" ht="14.5">
      <c r="A881" s="2042" t="s">
        <v>3160</v>
      </c>
      <c r="B881" s="380" t="str">
        <f t="shared" si="13"/>
        <v>177-901</v>
      </c>
      <c r="C881" s="389">
        <v>1</v>
      </c>
    </row>
    <row r="882" spans="1:3" ht="14.5">
      <c r="A882" s="2042" t="s">
        <v>5195</v>
      </c>
      <c r="B882" s="380" t="str">
        <f t="shared" si="13"/>
        <v>176-901</v>
      </c>
      <c r="C882" s="389">
        <v>1</v>
      </c>
    </row>
    <row r="883" spans="1:3" ht="14.5">
      <c r="A883" s="2042" t="s">
        <v>3158</v>
      </c>
      <c r="B883" s="380" t="str">
        <f t="shared" si="13"/>
        <v>176-902</v>
      </c>
      <c r="C883" s="389">
        <v>1</v>
      </c>
    </row>
    <row r="884" spans="1:3" ht="14.5">
      <c r="A884" s="2042" t="s">
        <v>3159</v>
      </c>
      <c r="B884" s="380" t="str">
        <f t="shared" si="13"/>
        <v>176-903</v>
      </c>
      <c r="C884" s="389">
        <v>0.98670000000000002</v>
      </c>
    </row>
    <row r="885" spans="1:3" ht="14.5">
      <c r="A885" s="2042" t="s">
        <v>5196</v>
      </c>
      <c r="B885" s="380" t="str">
        <f t="shared" si="13"/>
        <v>177-902</v>
      </c>
      <c r="C885" s="389">
        <v>1</v>
      </c>
    </row>
    <row r="886" spans="1:3" ht="14.5">
      <c r="A886" s="2042" t="s">
        <v>5197</v>
      </c>
      <c r="B886" s="380" t="str">
        <f t="shared" si="13"/>
        <v>177-903</v>
      </c>
      <c r="C886" s="389">
        <v>1</v>
      </c>
    </row>
    <row r="887" spans="1:3" ht="14.5">
      <c r="A887" s="2042" t="s">
        <v>5198</v>
      </c>
      <c r="B887" s="380" t="str">
        <f t="shared" si="13"/>
        <v>177-905</v>
      </c>
      <c r="C887" s="389">
        <v>1</v>
      </c>
    </row>
    <row r="888" spans="1:3" ht="14.5">
      <c r="A888" s="2042" t="s">
        <v>8065</v>
      </c>
      <c r="B888" s="380" t="str">
        <f t="shared" si="13"/>
        <v>178-801</v>
      </c>
      <c r="C888" s="389">
        <v>0</v>
      </c>
    </row>
    <row r="889" spans="1:3" ht="14.5">
      <c r="A889" s="2042" t="s">
        <v>8066</v>
      </c>
      <c r="B889" s="380" t="str">
        <f t="shared" si="13"/>
        <v>178-807</v>
      </c>
      <c r="C889" s="389">
        <v>0</v>
      </c>
    </row>
    <row r="890" spans="1:3" ht="14.5">
      <c r="A890" s="2042" t="s">
        <v>8067</v>
      </c>
      <c r="B890" s="380" t="str">
        <f t="shared" si="13"/>
        <v>178-808</v>
      </c>
      <c r="C890" s="389">
        <v>0</v>
      </c>
    </row>
    <row r="891" spans="1:3" ht="14.5">
      <c r="A891" s="2042" t="s">
        <v>3161</v>
      </c>
      <c r="B891" s="380" t="str">
        <f t="shared" si="13"/>
        <v>178-904</v>
      </c>
      <c r="C891" s="389">
        <v>1</v>
      </c>
    </row>
    <row r="892" spans="1:3" ht="14.5">
      <c r="A892" s="2042" t="s">
        <v>5199</v>
      </c>
      <c r="B892" s="380" t="str">
        <f t="shared" si="13"/>
        <v>178-901</v>
      </c>
      <c r="C892" s="389">
        <v>1</v>
      </c>
    </row>
    <row r="893" spans="1:3" ht="14.5">
      <c r="A893" s="2042" t="s">
        <v>5200</v>
      </c>
      <c r="B893" s="380" t="str">
        <f t="shared" si="13"/>
        <v>178-902</v>
      </c>
      <c r="C893" s="389">
        <v>0.98670000000000002</v>
      </c>
    </row>
    <row r="894" spans="1:3" ht="14.5">
      <c r="A894" s="2042" t="s">
        <v>5201</v>
      </c>
      <c r="B894" s="380" t="str">
        <f t="shared" si="13"/>
        <v>178-903</v>
      </c>
      <c r="C894" s="389">
        <v>1</v>
      </c>
    </row>
    <row r="895" spans="1:3" ht="14.5">
      <c r="A895" s="2042" t="s">
        <v>5202</v>
      </c>
      <c r="B895" s="380" t="str">
        <f t="shared" si="13"/>
        <v>178-905</v>
      </c>
      <c r="C895" s="389">
        <v>1</v>
      </c>
    </row>
    <row r="896" spans="1:3" ht="14.5">
      <c r="A896" s="2042" t="s">
        <v>5203</v>
      </c>
      <c r="B896" s="380" t="str">
        <f t="shared" si="13"/>
        <v>178-906</v>
      </c>
      <c r="C896" s="389">
        <v>0.86510000000000009</v>
      </c>
    </row>
    <row r="897" spans="1:3" ht="14.5">
      <c r="A897" s="2042" t="s">
        <v>5204</v>
      </c>
      <c r="B897" s="380" t="str">
        <f t="shared" si="13"/>
        <v>178-908</v>
      </c>
      <c r="C897" s="389">
        <v>0.97330000000000005</v>
      </c>
    </row>
    <row r="898" spans="1:3" ht="14.5">
      <c r="A898" s="2042" t="s">
        <v>3162</v>
      </c>
      <c r="B898" s="380" t="str">
        <f t="shared" si="13"/>
        <v>178-909</v>
      </c>
      <c r="C898" s="389">
        <v>1</v>
      </c>
    </row>
    <row r="899" spans="1:3" ht="14.5">
      <c r="A899" s="2042" t="s">
        <v>5205</v>
      </c>
      <c r="B899" s="380" t="str">
        <f t="shared" ref="B899:B962" si="14">CONCATENATE(LEFT(RIGHT(CONCATENATE("000",A899),6),3),"-",(RIGHT(RIGHT(CONCATENATE("000",A899),6),3)))</f>
        <v>178-912</v>
      </c>
      <c r="C899" s="389">
        <v>1</v>
      </c>
    </row>
    <row r="900" spans="1:3" ht="14.5">
      <c r="A900" s="2042" t="s">
        <v>8513</v>
      </c>
      <c r="B900" s="380" t="str">
        <f t="shared" si="14"/>
        <v>178-950</v>
      </c>
      <c r="C900" s="389">
        <v>0</v>
      </c>
    </row>
    <row r="901" spans="1:3" ht="14.5">
      <c r="A901" s="2042" t="s">
        <v>3163</v>
      </c>
      <c r="B901" s="380" t="str">
        <f t="shared" si="14"/>
        <v>178-913</v>
      </c>
      <c r="C901" s="389">
        <v>1</v>
      </c>
    </row>
    <row r="902" spans="1:3" ht="14.5">
      <c r="A902" s="2042" t="s">
        <v>5206</v>
      </c>
      <c r="B902" s="380" t="str">
        <f t="shared" si="14"/>
        <v>178-914</v>
      </c>
      <c r="C902" s="389">
        <v>0.98940000000000006</v>
      </c>
    </row>
    <row r="903" spans="1:3" ht="14.5">
      <c r="A903" s="2042" t="s">
        <v>3164</v>
      </c>
      <c r="B903" s="380" t="str">
        <f t="shared" si="14"/>
        <v>178-915</v>
      </c>
      <c r="C903" s="389">
        <v>1</v>
      </c>
    </row>
    <row r="904" spans="1:3" ht="14.5">
      <c r="A904" s="2042" t="s">
        <v>3165</v>
      </c>
      <c r="B904" s="380" t="str">
        <f t="shared" si="14"/>
        <v>179-901</v>
      </c>
      <c r="C904" s="389">
        <v>1</v>
      </c>
    </row>
    <row r="905" spans="1:3" ht="14.5">
      <c r="A905" s="2042" t="s">
        <v>7356</v>
      </c>
      <c r="B905" s="380" t="str">
        <f t="shared" si="14"/>
        <v>180-901</v>
      </c>
      <c r="C905" s="389">
        <v>0</v>
      </c>
    </row>
    <row r="906" spans="1:3" ht="14.5">
      <c r="A906" s="2042" t="s">
        <v>5207</v>
      </c>
      <c r="B906" s="380" t="str">
        <f t="shared" si="14"/>
        <v>180-902</v>
      </c>
      <c r="C906" s="389">
        <v>0.98</v>
      </c>
    </row>
    <row r="907" spans="1:3" ht="14.5">
      <c r="A907" s="2042" t="s">
        <v>5860</v>
      </c>
      <c r="B907" s="380" t="str">
        <f t="shared" si="14"/>
        <v>180-903</v>
      </c>
      <c r="C907" s="389">
        <v>0.98</v>
      </c>
    </row>
    <row r="908" spans="1:3" ht="14.5">
      <c r="A908" s="2042" t="s">
        <v>5208</v>
      </c>
      <c r="B908" s="380" t="str">
        <f t="shared" si="14"/>
        <v>180-904</v>
      </c>
      <c r="C908" s="389">
        <v>1</v>
      </c>
    </row>
    <row r="909" spans="1:3" ht="14.5">
      <c r="A909" s="2042" t="s">
        <v>3166</v>
      </c>
      <c r="B909" s="380" t="str">
        <f t="shared" si="14"/>
        <v>181-901</v>
      </c>
      <c r="C909" s="389">
        <v>0.9991000000000001</v>
      </c>
    </row>
    <row r="910" spans="1:3" ht="14.5">
      <c r="A910" s="2042" t="s">
        <v>5211</v>
      </c>
      <c r="B910" s="380" t="str">
        <f t="shared" si="14"/>
        <v>181-908</v>
      </c>
      <c r="C910" s="389">
        <v>1</v>
      </c>
    </row>
    <row r="911" spans="1:3" ht="14.5">
      <c r="A911" s="2042" t="s">
        <v>5209</v>
      </c>
      <c r="B911" s="380" t="str">
        <f t="shared" si="14"/>
        <v>181-905</v>
      </c>
      <c r="C911" s="389">
        <v>1</v>
      </c>
    </row>
    <row r="912" spans="1:3" ht="14.5">
      <c r="A912" s="2042" t="s">
        <v>5210</v>
      </c>
      <c r="B912" s="380" t="str">
        <f t="shared" si="14"/>
        <v>181-906</v>
      </c>
      <c r="C912" s="389">
        <v>1</v>
      </c>
    </row>
    <row r="913" spans="1:3" ht="14.5">
      <c r="A913" s="2042" t="s">
        <v>3167</v>
      </c>
      <c r="B913" s="380" t="str">
        <f t="shared" si="14"/>
        <v>181-907</v>
      </c>
      <c r="C913" s="389">
        <v>1</v>
      </c>
    </row>
    <row r="914" spans="1:3" ht="14.5">
      <c r="A914" s="2042" t="s">
        <v>8514</v>
      </c>
      <c r="B914" s="380" t="str">
        <f t="shared" si="14"/>
        <v>181-950</v>
      </c>
      <c r="C914" s="389">
        <v>0</v>
      </c>
    </row>
    <row r="915" spans="1:3" ht="14.5">
      <c r="A915" s="2042" t="s">
        <v>5212</v>
      </c>
      <c r="B915" s="380" t="str">
        <f t="shared" si="14"/>
        <v>182-901</v>
      </c>
      <c r="C915" s="389">
        <v>0.99130000000000007</v>
      </c>
    </row>
    <row r="916" spans="1:3" ht="14.5">
      <c r="A916" s="2042" t="s">
        <v>5213</v>
      </c>
      <c r="B916" s="380" t="str">
        <f t="shared" si="14"/>
        <v>182-902</v>
      </c>
      <c r="C916" s="389">
        <v>0.98010000000000008</v>
      </c>
    </row>
    <row r="917" spans="1:3" ht="14.5">
      <c r="A917" s="2042" t="s">
        <v>3168</v>
      </c>
      <c r="B917" s="380" t="str">
        <f t="shared" si="14"/>
        <v>182-903</v>
      </c>
      <c r="C917" s="389">
        <v>1</v>
      </c>
    </row>
    <row r="918" spans="1:3" ht="14.5">
      <c r="A918" s="2042" t="s">
        <v>5214</v>
      </c>
      <c r="B918" s="380" t="str">
        <f t="shared" si="14"/>
        <v>182-904</v>
      </c>
      <c r="C918" s="389">
        <v>1</v>
      </c>
    </row>
    <row r="919" spans="1:3" ht="14.5">
      <c r="A919" s="2042" t="s">
        <v>5861</v>
      </c>
      <c r="B919" s="380" t="str">
        <f t="shared" si="14"/>
        <v>182-905</v>
      </c>
      <c r="C919" s="389">
        <v>1</v>
      </c>
    </row>
    <row r="920" spans="1:3" ht="14.5">
      <c r="A920" s="2042" t="s">
        <v>5217</v>
      </c>
      <c r="B920" s="380" t="str">
        <f t="shared" si="14"/>
        <v>183-902</v>
      </c>
      <c r="C920" s="389">
        <v>1</v>
      </c>
    </row>
    <row r="921" spans="1:3" ht="14.5">
      <c r="A921" s="2042" t="s">
        <v>5215</v>
      </c>
      <c r="B921" s="380" t="str">
        <f t="shared" si="14"/>
        <v>182-906</v>
      </c>
      <c r="C921" s="389">
        <v>1</v>
      </c>
    </row>
    <row r="922" spans="1:3" ht="14.5">
      <c r="A922" s="2042" t="s">
        <v>8068</v>
      </c>
      <c r="B922" s="380" t="str">
        <f t="shared" si="14"/>
        <v>183-801</v>
      </c>
      <c r="C922" s="389">
        <v>0</v>
      </c>
    </row>
    <row r="923" spans="1:3" ht="14.5">
      <c r="A923" s="2042" t="s">
        <v>5216</v>
      </c>
      <c r="B923" s="380" t="str">
        <f t="shared" si="14"/>
        <v>183-901</v>
      </c>
      <c r="C923" s="389">
        <v>0.98</v>
      </c>
    </row>
    <row r="924" spans="1:3" ht="14.5">
      <c r="A924" s="2042" t="s">
        <v>3169</v>
      </c>
      <c r="B924" s="380" t="str">
        <f t="shared" si="14"/>
        <v>183-904</v>
      </c>
      <c r="C924" s="389">
        <v>0.98</v>
      </c>
    </row>
    <row r="925" spans="1:3" ht="14.5">
      <c r="A925" s="2042" t="s">
        <v>8069</v>
      </c>
      <c r="B925" s="380" t="str">
        <f t="shared" si="14"/>
        <v>184-801</v>
      </c>
      <c r="C925" s="389">
        <v>0</v>
      </c>
    </row>
    <row r="926" spans="1:3" ht="14.5">
      <c r="A926" s="2042" t="s">
        <v>3170</v>
      </c>
      <c r="B926" s="380" t="str">
        <f t="shared" si="14"/>
        <v>184-901</v>
      </c>
      <c r="C926" s="389">
        <v>1</v>
      </c>
    </row>
    <row r="927" spans="1:3" ht="14.5">
      <c r="A927" s="2042" t="s">
        <v>3171</v>
      </c>
      <c r="B927" s="380" t="str">
        <f t="shared" si="14"/>
        <v>184-902</v>
      </c>
      <c r="C927" s="389">
        <v>1</v>
      </c>
    </row>
    <row r="928" spans="1:3" ht="14.5">
      <c r="A928" s="2042" t="s">
        <v>3172</v>
      </c>
      <c r="B928" s="380" t="str">
        <f t="shared" si="14"/>
        <v>184-903</v>
      </c>
      <c r="C928" s="389">
        <v>1</v>
      </c>
    </row>
    <row r="929" spans="1:3" ht="14.5">
      <c r="A929" s="2042" t="s">
        <v>3173</v>
      </c>
      <c r="B929" s="380" t="str">
        <f t="shared" si="14"/>
        <v>184-904</v>
      </c>
      <c r="C929" s="389">
        <v>1</v>
      </c>
    </row>
    <row r="930" spans="1:3" ht="14.5">
      <c r="A930" s="2042" t="s">
        <v>5219</v>
      </c>
      <c r="B930" s="380" t="str">
        <f t="shared" si="14"/>
        <v>184-911</v>
      </c>
      <c r="C930" s="389">
        <v>1</v>
      </c>
    </row>
    <row r="931" spans="1:3" ht="14.5">
      <c r="A931" s="2042" t="s">
        <v>5218</v>
      </c>
      <c r="B931" s="380" t="str">
        <f t="shared" si="14"/>
        <v>184-907</v>
      </c>
      <c r="C931" s="389">
        <v>1</v>
      </c>
    </row>
    <row r="932" spans="1:3" ht="14.5">
      <c r="A932" s="2042" t="s">
        <v>3174</v>
      </c>
      <c r="B932" s="380" t="str">
        <f t="shared" si="14"/>
        <v>184-908</v>
      </c>
      <c r="C932" s="389">
        <v>1</v>
      </c>
    </row>
    <row r="933" spans="1:3" ht="14.5">
      <c r="A933" s="2042" t="s">
        <v>3175</v>
      </c>
      <c r="B933" s="380" t="str">
        <f t="shared" si="14"/>
        <v>184-909</v>
      </c>
      <c r="C933" s="389">
        <v>1</v>
      </c>
    </row>
    <row r="934" spans="1:3" ht="14.5">
      <c r="A934" s="2042" t="s">
        <v>5862</v>
      </c>
      <c r="B934" s="380" t="str">
        <f t="shared" si="14"/>
        <v>185-901</v>
      </c>
      <c r="C934" s="389">
        <v>0.98</v>
      </c>
    </row>
    <row r="935" spans="1:3" ht="14.5">
      <c r="A935" s="2042" t="s">
        <v>5863</v>
      </c>
      <c r="B935" s="380" t="str">
        <f t="shared" si="14"/>
        <v>185-902</v>
      </c>
      <c r="C935" s="389">
        <v>1</v>
      </c>
    </row>
    <row r="936" spans="1:3" ht="14.5">
      <c r="A936" s="2042" t="s">
        <v>5220</v>
      </c>
      <c r="B936" s="380" t="str">
        <f t="shared" si="14"/>
        <v>185-903</v>
      </c>
      <c r="C936" s="389">
        <v>0.98</v>
      </c>
    </row>
    <row r="937" spans="1:3" ht="14.5">
      <c r="A937" s="2042" t="s">
        <v>5864</v>
      </c>
      <c r="B937" s="380" t="str">
        <f t="shared" si="14"/>
        <v>185-904</v>
      </c>
      <c r="C937" s="389">
        <v>1</v>
      </c>
    </row>
    <row r="938" spans="1:3" ht="14.5">
      <c r="A938" s="2042" t="s">
        <v>5221</v>
      </c>
      <c r="B938" s="380" t="str">
        <f t="shared" si="14"/>
        <v>186-901</v>
      </c>
      <c r="C938" s="389">
        <v>1</v>
      </c>
    </row>
    <row r="939" spans="1:3" ht="14.5">
      <c r="A939" s="2042" t="s">
        <v>5222</v>
      </c>
      <c r="B939" s="380" t="str">
        <f t="shared" si="14"/>
        <v>186-902</v>
      </c>
      <c r="C939" s="389">
        <v>1</v>
      </c>
    </row>
    <row r="940" spans="1:3" ht="14.5">
      <c r="A940" s="2042" t="s">
        <v>5225</v>
      </c>
      <c r="B940" s="380" t="str">
        <f t="shared" si="14"/>
        <v>187-904</v>
      </c>
      <c r="C940" s="389">
        <v>0.98330000000000006</v>
      </c>
    </row>
    <row r="941" spans="1:3" ht="14.5">
      <c r="A941" s="2042" t="s">
        <v>5223</v>
      </c>
      <c r="B941" s="380" t="str">
        <f t="shared" si="14"/>
        <v>186-903</v>
      </c>
      <c r="C941" s="389">
        <v>1</v>
      </c>
    </row>
    <row r="942" spans="1:3" ht="14.5">
      <c r="A942" s="2042" t="s">
        <v>5224</v>
      </c>
      <c r="B942" s="380" t="str">
        <f t="shared" si="14"/>
        <v>187-901</v>
      </c>
      <c r="C942" s="389">
        <v>1</v>
      </c>
    </row>
    <row r="943" spans="1:3" ht="14.5">
      <c r="A943" s="2042" t="s">
        <v>5865</v>
      </c>
      <c r="B943" s="380" t="str">
        <f t="shared" si="14"/>
        <v>187-903</v>
      </c>
      <c r="C943" s="389">
        <v>1</v>
      </c>
    </row>
    <row r="944" spans="1:3" ht="14.5">
      <c r="A944" s="2042" t="s">
        <v>5226</v>
      </c>
      <c r="B944" s="380" t="str">
        <f t="shared" si="14"/>
        <v>187-906</v>
      </c>
      <c r="C944" s="389">
        <v>1</v>
      </c>
    </row>
    <row r="945" spans="1:3" ht="14.5">
      <c r="A945" s="2042" t="s">
        <v>3176</v>
      </c>
      <c r="B945" s="380" t="str">
        <f t="shared" si="14"/>
        <v>187-907</v>
      </c>
      <c r="C945" s="389">
        <v>1</v>
      </c>
    </row>
    <row r="946" spans="1:3" ht="14.5">
      <c r="A946" s="2042" t="s">
        <v>5227</v>
      </c>
      <c r="B946" s="380" t="str">
        <f t="shared" si="14"/>
        <v>187-910</v>
      </c>
      <c r="C946" s="389">
        <v>1</v>
      </c>
    </row>
    <row r="947" spans="1:3" ht="14.5">
      <c r="A947" s="2042" t="s">
        <v>3177</v>
      </c>
      <c r="B947" s="380" t="str">
        <f t="shared" si="14"/>
        <v>188-901</v>
      </c>
      <c r="C947" s="389">
        <v>1</v>
      </c>
    </row>
    <row r="948" spans="1:3" ht="14.5">
      <c r="A948" s="2042" t="s">
        <v>3178</v>
      </c>
      <c r="B948" s="380" t="str">
        <f t="shared" si="14"/>
        <v>188-902</v>
      </c>
      <c r="C948" s="389">
        <v>1</v>
      </c>
    </row>
    <row r="949" spans="1:3" ht="14.5">
      <c r="A949" s="2042" t="s">
        <v>3179</v>
      </c>
      <c r="B949" s="380" t="str">
        <f t="shared" si="14"/>
        <v>189-901</v>
      </c>
      <c r="C949" s="389">
        <v>1</v>
      </c>
    </row>
    <row r="950" spans="1:3" ht="14.5">
      <c r="A950" s="2042" t="s">
        <v>5228</v>
      </c>
      <c r="B950" s="380" t="str">
        <f t="shared" si="14"/>
        <v>188-903</v>
      </c>
      <c r="C950" s="389">
        <v>0.98</v>
      </c>
    </row>
    <row r="951" spans="1:3" ht="14.5">
      <c r="A951" s="2042" t="s">
        <v>5229</v>
      </c>
      <c r="B951" s="380" t="str">
        <f t="shared" si="14"/>
        <v>188-904</v>
      </c>
      <c r="C951" s="389">
        <v>0.98110000000000008</v>
      </c>
    </row>
    <row r="952" spans="1:3" ht="14.5">
      <c r="A952" s="2042" t="s">
        <v>8515</v>
      </c>
      <c r="B952" s="380" t="str">
        <f t="shared" si="14"/>
        <v>188-950</v>
      </c>
      <c r="C952" s="389">
        <v>0</v>
      </c>
    </row>
    <row r="953" spans="1:3" ht="14.5">
      <c r="A953" s="2042" t="s">
        <v>3180</v>
      </c>
      <c r="B953" s="380" t="str">
        <f t="shared" si="14"/>
        <v>189-902</v>
      </c>
      <c r="C953" s="389">
        <v>1</v>
      </c>
    </row>
    <row r="954" spans="1:3" ht="14.5">
      <c r="A954" s="2042" t="s">
        <v>5230</v>
      </c>
      <c r="B954" s="380" t="str">
        <f t="shared" si="14"/>
        <v>190-903</v>
      </c>
      <c r="C954" s="389">
        <v>0.98</v>
      </c>
    </row>
    <row r="955" spans="1:3" ht="14.5">
      <c r="A955" s="2042" t="s">
        <v>5231</v>
      </c>
      <c r="B955" s="380" t="str">
        <f t="shared" si="14"/>
        <v>191-901</v>
      </c>
      <c r="C955" s="389">
        <v>0.99830000000000008</v>
      </c>
    </row>
    <row r="956" spans="1:3" ht="14.5">
      <c r="A956" s="2042" t="s">
        <v>5232</v>
      </c>
      <c r="B956" s="380" t="str">
        <f t="shared" si="14"/>
        <v>192-901</v>
      </c>
      <c r="C956" s="389">
        <v>1</v>
      </c>
    </row>
    <row r="957" spans="1:3" ht="14.5">
      <c r="A957" s="2042" t="s">
        <v>8070</v>
      </c>
      <c r="B957" s="380" t="str">
        <f t="shared" si="14"/>
        <v>193-801</v>
      </c>
      <c r="C957" s="389">
        <v>0</v>
      </c>
    </row>
    <row r="958" spans="1:3" ht="14.5">
      <c r="A958" s="2042" t="s">
        <v>5233</v>
      </c>
      <c r="B958" s="380" t="str">
        <f t="shared" si="14"/>
        <v>193-902</v>
      </c>
      <c r="C958" s="389">
        <v>0.98</v>
      </c>
    </row>
    <row r="959" spans="1:3" ht="14.5">
      <c r="A959" s="2042" t="s">
        <v>3182</v>
      </c>
      <c r="B959" s="380" t="str">
        <f t="shared" si="14"/>
        <v>194-905</v>
      </c>
      <c r="C959" s="389">
        <v>1</v>
      </c>
    </row>
    <row r="960" spans="1:3" ht="14.5">
      <c r="A960" s="2042" t="s">
        <v>5866</v>
      </c>
      <c r="B960" s="380" t="str">
        <f t="shared" si="14"/>
        <v>194-902</v>
      </c>
      <c r="C960" s="389">
        <v>1</v>
      </c>
    </row>
    <row r="961" spans="1:3" ht="14.5">
      <c r="A961" s="2042" t="s">
        <v>3181</v>
      </c>
      <c r="B961" s="380" t="str">
        <f t="shared" si="14"/>
        <v>194-903</v>
      </c>
      <c r="C961" s="389">
        <v>1</v>
      </c>
    </row>
    <row r="962" spans="1:3" ht="14.5">
      <c r="A962" s="2042" t="s">
        <v>5867</v>
      </c>
      <c r="B962" s="380" t="str">
        <f t="shared" si="14"/>
        <v>194-904</v>
      </c>
      <c r="C962" s="389">
        <v>0.98</v>
      </c>
    </row>
    <row r="963" spans="1:3" ht="14.5">
      <c r="A963" s="2042" t="s">
        <v>5234</v>
      </c>
      <c r="B963" s="380" t="str">
        <f t="shared" ref="B963:B1026" si="15">CONCATENATE(LEFT(RIGHT(CONCATENATE("000",A963),6),3),"-",(RIGHT(RIGHT(CONCATENATE("000",A963),6),3)))</f>
        <v>195-901</v>
      </c>
      <c r="C963" s="389">
        <v>1</v>
      </c>
    </row>
    <row r="964" spans="1:3" ht="14.5">
      <c r="A964" s="611" t="s">
        <v>3183</v>
      </c>
      <c r="B964" s="380" t="str">
        <f t="shared" si="15"/>
        <v>195-902</v>
      </c>
      <c r="C964" s="389">
        <v>1</v>
      </c>
    </row>
    <row r="965" spans="1:3" ht="14.5">
      <c r="A965" s="2042" t="s">
        <v>5235</v>
      </c>
      <c r="B965" s="380" t="str">
        <f t="shared" si="15"/>
        <v>196-901</v>
      </c>
      <c r="C965" s="389">
        <v>1</v>
      </c>
    </row>
    <row r="966" spans="1:3" ht="14.5">
      <c r="A966" s="2042" t="s">
        <v>5236</v>
      </c>
      <c r="B966" s="380" t="str">
        <f t="shared" si="15"/>
        <v>196-902</v>
      </c>
      <c r="C966" s="389">
        <v>1</v>
      </c>
    </row>
    <row r="967" spans="1:3" ht="14.5">
      <c r="A967" s="2042" t="s">
        <v>5237</v>
      </c>
      <c r="B967" s="380" t="str">
        <f t="shared" si="15"/>
        <v>196-903</v>
      </c>
      <c r="C967" s="389">
        <v>0.98</v>
      </c>
    </row>
    <row r="968" spans="1:3" ht="14.5">
      <c r="A968" s="2042" t="s">
        <v>5238</v>
      </c>
      <c r="B968" s="380" t="str">
        <f t="shared" si="15"/>
        <v>197-902</v>
      </c>
      <c r="C968" s="389">
        <v>1</v>
      </c>
    </row>
    <row r="969" spans="1:3" ht="14.5">
      <c r="A969" s="2042" t="s">
        <v>5241</v>
      </c>
      <c r="B969" s="380" t="str">
        <f t="shared" si="15"/>
        <v>198-905</v>
      </c>
      <c r="C969" s="389">
        <v>1</v>
      </c>
    </row>
    <row r="970" spans="1:3" ht="14.5">
      <c r="A970" s="2042" t="s">
        <v>5239</v>
      </c>
      <c r="B970" s="380" t="str">
        <f t="shared" si="15"/>
        <v>198-901</v>
      </c>
      <c r="C970" s="389">
        <v>1</v>
      </c>
    </row>
    <row r="971" spans="1:3" ht="14.5">
      <c r="A971" s="2042" t="s">
        <v>5868</v>
      </c>
      <c r="B971" s="380" t="str">
        <f t="shared" si="15"/>
        <v>198-902</v>
      </c>
      <c r="C971" s="389">
        <v>1</v>
      </c>
    </row>
    <row r="972" spans="1:3" ht="14.5">
      <c r="A972" s="2042" t="s">
        <v>5240</v>
      </c>
      <c r="B972" s="380" t="str">
        <f t="shared" si="15"/>
        <v>198-903</v>
      </c>
      <c r="C972" s="389">
        <v>0.98</v>
      </c>
    </row>
    <row r="973" spans="1:3" ht="14.5">
      <c r="A973" s="2042" t="s">
        <v>5869</v>
      </c>
      <c r="B973" s="380" t="str">
        <f t="shared" si="15"/>
        <v>198-906</v>
      </c>
      <c r="C973" s="389">
        <v>0.98</v>
      </c>
    </row>
    <row r="974" spans="1:3" ht="14.5">
      <c r="A974" s="2042" t="s">
        <v>5242</v>
      </c>
      <c r="B974" s="380" t="str">
        <f t="shared" si="15"/>
        <v>199-901</v>
      </c>
      <c r="C974" s="389">
        <v>1</v>
      </c>
    </row>
    <row r="975" spans="1:3" ht="14.5">
      <c r="A975" s="2042" t="s">
        <v>3184</v>
      </c>
      <c r="B975" s="380" t="str">
        <f t="shared" si="15"/>
        <v>199-902</v>
      </c>
      <c r="C975" s="389">
        <v>1</v>
      </c>
    </row>
    <row r="976" spans="1:3" ht="14.5">
      <c r="A976" s="2042" t="s">
        <v>5870</v>
      </c>
      <c r="B976" s="380" t="str">
        <f t="shared" si="15"/>
        <v>200-901</v>
      </c>
      <c r="C976" s="389">
        <v>1</v>
      </c>
    </row>
    <row r="977" spans="1:3" ht="14.5">
      <c r="A977" s="2042" t="s">
        <v>3185</v>
      </c>
      <c r="B977" s="380" t="str">
        <f t="shared" si="15"/>
        <v>200-902</v>
      </c>
      <c r="C977" s="389">
        <v>1</v>
      </c>
    </row>
    <row r="978" spans="1:3" ht="14.5">
      <c r="A978" s="2042" t="s">
        <v>4591</v>
      </c>
      <c r="B978" s="380" t="str">
        <f t="shared" si="15"/>
        <v>200-904</v>
      </c>
      <c r="C978" s="389">
        <v>0.98</v>
      </c>
    </row>
    <row r="979" spans="1:3" ht="14.5">
      <c r="A979" s="2042" t="s">
        <v>5872</v>
      </c>
      <c r="B979" s="380" t="str">
        <f t="shared" si="15"/>
        <v>201-904</v>
      </c>
      <c r="C979" s="389">
        <v>1</v>
      </c>
    </row>
    <row r="980" spans="1:3" ht="14.5">
      <c r="A980" s="2042" t="s">
        <v>3186</v>
      </c>
      <c r="B980" s="380" t="str">
        <f t="shared" si="15"/>
        <v>200-906</v>
      </c>
      <c r="C980" s="389">
        <v>1</v>
      </c>
    </row>
    <row r="981" spans="1:3" ht="14.5">
      <c r="A981" s="2042" t="s">
        <v>5243</v>
      </c>
      <c r="B981" s="380" t="str">
        <f t="shared" si="15"/>
        <v>201-902</v>
      </c>
      <c r="C981" s="389">
        <v>1</v>
      </c>
    </row>
    <row r="982" spans="1:3" ht="14.5">
      <c r="A982" s="2042" t="s">
        <v>5871</v>
      </c>
      <c r="B982" s="380" t="str">
        <f t="shared" si="15"/>
        <v>201-903</v>
      </c>
      <c r="C982" s="389">
        <v>1</v>
      </c>
    </row>
    <row r="983" spans="1:3" ht="14.5">
      <c r="A983" s="2042" t="s">
        <v>4595</v>
      </c>
      <c r="B983" s="380" t="str">
        <f t="shared" si="15"/>
        <v>201-907</v>
      </c>
      <c r="C983" s="389">
        <v>1</v>
      </c>
    </row>
    <row r="984" spans="1:3" ht="14.5">
      <c r="A984" s="2042" t="s">
        <v>3187</v>
      </c>
      <c r="B984" s="380" t="str">
        <f t="shared" si="15"/>
        <v>201-908</v>
      </c>
      <c r="C984" s="389">
        <v>1</v>
      </c>
    </row>
    <row r="985" spans="1:3" ht="14.5">
      <c r="A985" s="2042" t="s">
        <v>5244</v>
      </c>
      <c r="B985" s="380" t="str">
        <f t="shared" si="15"/>
        <v>201-910</v>
      </c>
      <c r="C985" s="389">
        <v>0.98</v>
      </c>
    </row>
    <row r="986" spans="1:3" ht="14.5">
      <c r="A986" s="2042" t="s">
        <v>3188</v>
      </c>
      <c r="B986" s="380" t="str">
        <f t="shared" si="15"/>
        <v>201-913</v>
      </c>
      <c r="C986" s="389">
        <v>1</v>
      </c>
    </row>
    <row r="987" spans="1:3" ht="14.5">
      <c r="A987" s="2042" t="s">
        <v>5245</v>
      </c>
      <c r="B987" s="380" t="str">
        <f t="shared" si="15"/>
        <v>201-914</v>
      </c>
      <c r="C987" s="389">
        <v>1</v>
      </c>
    </row>
    <row r="988" spans="1:3" ht="14.5">
      <c r="A988" s="2042" t="s">
        <v>5873</v>
      </c>
      <c r="B988" s="380" t="str">
        <f t="shared" si="15"/>
        <v>202-903</v>
      </c>
      <c r="C988" s="389">
        <v>0.98</v>
      </c>
    </row>
    <row r="989" spans="1:3" ht="14.5">
      <c r="A989" s="2042" t="s">
        <v>5246</v>
      </c>
      <c r="B989" s="380" t="str">
        <f t="shared" si="15"/>
        <v>204-901</v>
      </c>
      <c r="C989" s="389">
        <v>0.98</v>
      </c>
    </row>
    <row r="990" spans="1:3" ht="14.5">
      <c r="A990" s="2042" t="s">
        <v>3189</v>
      </c>
      <c r="B990" s="380" t="str">
        <f t="shared" si="15"/>
        <v>202-905</v>
      </c>
      <c r="C990" s="389">
        <v>0.98</v>
      </c>
    </row>
    <row r="991" spans="1:3" ht="14.5">
      <c r="A991" s="2042" t="s">
        <v>3190</v>
      </c>
      <c r="B991" s="380" t="str">
        <f t="shared" si="15"/>
        <v>203-901</v>
      </c>
      <c r="C991" s="389">
        <v>1</v>
      </c>
    </row>
    <row r="992" spans="1:3" ht="14.5">
      <c r="A992" s="2042" t="s">
        <v>5874</v>
      </c>
      <c r="B992" s="380" t="str">
        <f t="shared" si="15"/>
        <v>203-902</v>
      </c>
      <c r="C992" s="389">
        <v>1</v>
      </c>
    </row>
    <row r="993" spans="1:3" ht="14.5">
      <c r="A993" s="2042" t="s">
        <v>3191</v>
      </c>
      <c r="B993" s="380" t="str">
        <f t="shared" si="15"/>
        <v>204-904</v>
      </c>
      <c r="C993" s="389">
        <v>1</v>
      </c>
    </row>
    <row r="994" spans="1:3" ht="14.5">
      <c r="A994" s="2042" t="s">
        <v>3192</v>
      </c>
      <c r="B994" s="380" t="str">
        <f t="shared" si="15"/>
        <v>205-901</v>
      </c>
      <c r="C994" s="389">
        <v>0.99099999999999999</v>
      </c>
    </row>
    <row r="995" spans="1:3" ht="14.5">
      <c r="A995" s="2042" t="s">
        <v>5247</v>
      </c>
      <c r="B995" s="380" t="str">
        <f t="shared" si="15"/>
        <v>205-902</v>
      </c>
      <c r="C995" s="389">
        <v>1</v>
      </c>
    </row>
    <row r="996" spans="1:3" ht="14.5">
      <c r="A996" s="2042" t="s">
        <v>5248</v>
      </c>
      <c r="B996" s="380" t="str">
        <f t="shared" si="15"/>
        <v>205-903</v>
      </c>
      <c r="C996" s="389">
        <v>1</v>
      </c>
    </row>
    <row r="997" spans="1:3" ht="14.5">
      <c r="A997" s="2042" t="s">
        <v>3193</v>
      </c>
      <c r="B997" s="380" t="str">
        <f t="shared" si="15"/>
        <v>205-904</v>
      </c>
      <c r="C997" s="389">
        <v>1</v>
      </c>
    </row>
    <row r="998" spans="1:3" ht="14.5">
      <c r="A998" s="2042" t="s">
        <v>3197</v>
      </c>
      <c r="B998" s="380" t="str">
        <f t="shared" si="15"/>
        <v>206-901</v>
      </c>
      <c r="C998" s="389">
        <v>0.98</v>
      </c>
    </row>
    <row r="999" spans="1:3" ht="14.5">
      <c r="A999" s="2042" t="s">
        <v>3194</v>
      </c>
      <c r="B999" s="380" t="str">
        <f t="shared" si="15"/>
        <v>205-905</v>
      </c>
      <c r="C999" s="389">
        <v>1</v>
      </c>
    </row>
    <row r="1000" spans="1:3" ht="14.5">
      <c r="A1000" s="2042" t="s">
        <v>3195</v>
      </c>
      <c r="B1000" s="380" t="str">
        <f t="shared" si="15"/>
        <v>205-906</v>
      </c>
      <c r="C1000" s="389">
        <v>1</v>
      </c>
    </row>
    <row r="1001" spans="1:3" ht="14.5">
      <c r="A1001" s="2042" t="s">
        <v>3196</v>
      </c>
      <c r="B1001" s="380" t="str">
        <f t="shared" si="15"/>
        <v>205-907</v>
      </c>
      <c r="C1001" s="389">
        <v>1</v>
      </c>
    </row>
    <row r="1002" spans="1:3" ht="14.5">
      <c r="A1002" s="2042" t="s">
        <v>5875</v>
      </c>
      <c r="B1002" s="380" t="str">
        <f t="shared" si="15"/>
        <v>206-902</v>
      </c>
      <c r="C1002" s="389">
        <v>1</v>
      </c>
    </row>
    <row r="1003" spans="1:3" ht="14.5">
      <c r="A1003" s="2042" t="s">
        <v>5876</v>
      </c>
      <c r="B1003" s="380" t="str">
        <f t="shared" si="15"/>
        <v>206-903</v>
      </c>
      <c r="C1003" s="389">
        <v>1</v>
      </c>
    </row>
    <row r="1004" spans="1:3" ht="14.5">
      <c r="A1004" s="2042" t="s">
        <v>5877</v>
      </c>
      <c r="B1004" s="380" t="str">
        <f t="shared" si="15"/>
        <v>207-901</v>
      </c>
      <c r="C1004" s="389">
        <v>1</v>
      </c>
    </row>
    <row r="1005" spans="1:3" ht="14.5">
      <c r="A1005" s="2042" t="s">
        <v>5249</v>
      </c>
      <c r="B1005" s="380" t="str">
        <f t="shared" si="15"/>
        <v>208-901</v>
      </c>
      <c r="C1005" s="389">
        <v>1</v>
      </c>
    </row>
    <row r="1006" spans="1:3" ht="14.5">
      <c r="A1006" s="2042" t="s">
        <v>5250</v>
      </c>
      <c r="B1006" s="380" t="str">
        <f t="shared" si="15"/>
        <v>208-902</v>
      </c>
      <c r="C1006" s="389">
        <v>1</v>
      </c>
    </row>
    <row r="1007" spans="1:3" ht="14.5">
      <c r="A1007" s="2042" t="s">
        <v>5251</v>
      </c>
      <c r="B1007" s="380" t="str">
        <f t="shared" si="15"/>
        <v>208-903</v>
      </c>
      <c r="C1007" s="389">
        <v>1</v>
      </c>
    </row>
    <row r="1008" spans="1:3" ht="14.5">
      <c r="A1008" s="2042" t="s">
        <v>5252</v>
      </c>
      <c r="B1008" s="380" t="str">
        <f t="shared" si="15"/>
        <v>210-902</v>
      </c>
      <c r="C1008" s="389">
        <v>1</v>
      </c>
    </row>
    <row r="1009" spans="1:3" ht="14.5">
      <c r="A1009" s="2042" t="s">
        <v>5878</v>
      </c>
      <c r="B1009" s="380" t="str">
        <f t="shared" si="15"/>
        <v>209-901</v>
      </c>
      <c r="C1009" s="389">
        <v>0.98</v>
      </c>
    </row>
    <row r="1010" spans="1:3" ht="14.5">
      <c r="A1010" s="2042" t="s">
        <v>5879</v>
      </c>
      <c r="B1010" s="380" t="str">
        <f t="shared" si="15"/>
        <v>209-902</v>
      </c>
      <c r="C1010" s="389">
        <v>0.98</v>
      </c>
    </row>
    <row r="1011" spans="1:3" ht="14.5">
      <c r="A1011" s="2042" t="s">
        <v>3198</v>
      </c>
      <c r="B1011" s="380" t="str">
        <f t="shared" si="15"/>
        <v>210-901</v>
      </c>
      <c r="C1011" s="389">
        <v>1</v>
      </c>
    </row>
    <row r="1012" spans="1:3" ht="14.5">
      <c r="A1012" s="2042" t="s">
        <v>3199</v>
      </c>
      <c r="B1012" s="380" t="str">
        <f t="shared" si="15"/>
        <v>210-903</v>
      </c>
      <c r="C1012" s="389">
        <v>1</v>
      </c>
    </row>
    <row r="1013" spans="1:3" ht="14.5">
      <c r="A1013" s="2042" t="s">
        <v>5253</v>
      </c>
      <c r="B1013" s="380" t="str">
        <f t="shared" si="15"/>
        <v>210-904</v>
      </c>
      <c r="C1013" s="389">
        <v>1</v>
      </c>
    </row>
    <row r="1014" spans="1:3" ht="14.5">
      <c r="A1014" s="2042" t="s">
        <v>5880</v>
      </c>
      <c r="B1014" s="380" t="str">
        <f t="shared" si="15"/>
        <v>210-905</v>
      </c>
      <c r="C1014" s="389">
        <v>1</v>
      </c>
    </row>
    <row r="1015" spans="1:3" ht="14.5">
      <c r="A1015" s="2042" t="s">
        <v>5881</v>
      </c>
      <c r="B1015" s="380" t="str">
        <f t="shared" si="15"/>
        <v>210-906</v>
      </c>
      <c r="C1015" s="389">
        <v>1</v>
      </c>
    </row>
    <row r="1016" spans="1:3" ht="14.5">
      <c r="A1016" s="2042" t="s">
        <v>5254</v>
      </c>
      <c r="B1016" s="380" t="str">
        <f t="shared" si="15"/>
        <v>211-901</v>
      </c>
      <c r="C1016" s="389">
        <v>0.98</v>
      </c>
    </row>
    <row r="1017" spans="1:3" ht="14.5">
      <c r="A1017" s="2042" t="s">
        <v>5882</v>
      </c>
      <c r="B1017" s="380" t="str">
        <f t="shared" si="15"/>
        <v>211-902</v>
      </c>
      <c r="C1017" s="389">
        <v>1</v>
      </c>
    </row>
    <row r="1018" spans="1:3" ht="14.5">
      <c r="A1018" s="2042" t="s">
        <v>5255</v>
      </c>
      <c r="B1018" s="380" t="str">
        <f t="shared" si="15"/>
        <v>212-902</v>
      </c>
      <c r="C1018" s="389">
        <v>1</v>
      </c>
    </row>
    <row r="1019" spans="1:3" ht="14.5">
      <c r="A1019" s="2042" t="s">
        <v>8071</v>
      </c>
      <c r="B1019" s="380" t="str">
        <f t="shared" si="15"/>
        <v>212-801</v>
      </c>
      <c r="C1019" s="389">
        <v>0</v>
      </c>
    </row>
    <row r="1020" spans="1:3" ht="14.5">
      <c r="A1020" s="2042" t="s">
        <v>8072</v>
      </c>
      <c r="B1020" s="380" t="str">
        <f t="shared" si="15"/>
        <v>212-804</v>
      </c>
      <c r="C1020" s="389">
        <v>0</v>
      </c>
    </row>
    <row r="1021" spans="1:3" ht="14.5">
      <c r="A1021" s="2042" t="s">
        <v>3200</v>
      </c>
      <c r="B1021" s="380" t="str">
        <f t="shared" si="15"/>
        <v>212-901</v>
      </c>
      <c r="C1021" s="389">
        <v>1</v>
      </c>
    </row>
    <row r="1022" spans="1:3" ht="14.5">
      <c r="A1022" s="2042" t="s">
        <v>3201</v>
      </c>
      <c r="B1022" s="380" t="str">
        <f t="shared" si="15"/>
        <v>212-903</v>
      </c>
      <c r="C1022" s="389">
        <v>1</v>
      </c>
    </row>
    <row r="1023" spans="1:3" ht="14.5">
      <c r="A1023" s="2042" t="s">
        <v>5256</v>
      </c>
      <c r="B1023" s="380" t="str">
        <f t="shared" si="15"/>
        <v>212-904</v>
      </c>
      <c r="C1023" s="389">
        <v>1</v>
      </c>
    </row>
    <row r="1024" spans="1:3" ht="14.5">
      <c r="A1024" s="2042" t="s">
        <v>5257</v>
      </c>
      <c r="B1024" s="380" t="str">
        <f t="shared" si="15"/>
        <v>212-905</v>
      </c>
      <c r="C1024" s="389">
        <v>0.98</v>
      </c>
    </row>
    <row r="1025" spans="1:3" ht="14.5">
      <c r="A1025" s="2042" t="s">
        <v>3202</v>
      </c>
      <c r="B1025" s="380" t="str">
        <f t="shared" si="15"/>
        <v>212-906</v>
      </c>
      <c r="C1025" s="389">
        <v>1</v>
      </c>
    </row>
    <row r="1026" spans="1:3" ht="14.5">
      <c r="A1026" s="2042" t="s">
        <v>3203</v>
      </c>
      <c r="B1026" s="380" t="str">
        <f t="shared" si="15"/>
        <v>212-909</v>
      </c>
      <c r="C1026" s="389">
        <v>1</v>
      </c>
    </row>
    <row r="1027" spans="1:3" ht="14.5">
      <c r="A1027" s="2042" t="s">
        <v>5258</v>
      </c>
      <c r="B1027" s="380" t="str">
        <f t="shared" ref="B1027:B1090" si="16">CONCATENATE(LEFT(RIGHT(CONCATENATE("000",A1027),6),3),"-",(RIGHT(RIGHT(CONCATENATE("000",A1027),6),3)))</f>
        <v>212-910</v>
      </c>
      <c r="C1027" s="389">
        <v>1</v>
      </c>
    </row>
    <row r="1028" spans="1:3" ht="14.5">
      <c r="A1028" s="2042" t="s">
        <v>5260</v>
      </c>
      <c r="B1028" s="380" t="str">
        <f t="shared" si="16"/>
        <v>214-902</v>
      </c>
      <c r="C1028" s="389">
        <v>1</v>
      </c>
    </row>
    <row r="1029" spans="1:3" ht="14.5">
      <c r="A1029" s="2042" t="s">
        <v>8073</v>
      </c>
      <c r="B1029" s="380" t="str">
        <f t="shared" si="16"/>
        <v>213-801</v>
      </c>
      <c r="C1029" s="389">
        <v>0</v>
      </c>
    </row>
    <row r="1030" spans="1:3" ht="14.5">
      <c r="A1030" s="2042" t="s">
        <v>5259</v>
      </c>
      <c r="B1030" s="380" t="str">
        <f t="shared" si="16"/>
        <v>213-901</v>
      </c>
      <c r="C1030" s="389">
        <v>0.84</v>
      </c>
    </row>
    <row r="1031" spans="1:3" ht="14.5">
      <c r="A1031" s="2042" t="s">
        <v>3204</v>
      </c>
      <c r="B1031" s="380" t="str">
        <f t="shared" si="16"/>
        <v>214-901</v>
      </c>
      <c r="C1031" s="389">
        <v>1</v>
      </c>
    </row>
    <row r="1032" spans="1:3" ht="14.5">
      <c r="A1032" s="2042" t="s">
        <v>3205</v>
      </c>
      <c r="B1032" s="380" t="str">
        <f t="shared" si="16"/>
        <v>214-903</v>
      </c>
      <c r="C1032" s="389">
        <v>1</v>
      </c>
    </row>
    <row r="1033" spans="1:3" ht="14.5">
      <c r="A1033" s="2042" t="s">
        <v>5261</v>
      </c>
      <c r="B1033" s="380" t="str">
        <f t="shared" si="16"/>
        <v>215-901</v>
      </c>
      <c r="C1033" s="389">
        <v>1</v>
      </c>
    </row>
    <row r="1034" spans="1:3" ht="14.5">
      <c r="A1034" s="2042" t="s">
        <v>5262</v>
      </c>
      <c r="B1034" s="380" t="str">
        <f t="shared" si="16"/>
        <v>216-901</v>
      </c>
      <c r="C1034" s="389">
        <v>1</v>
      </c>
    </row>
    <row r="1035" spans="1:3" ht="14.5">
      <c r="A1035" s="2042" t="s">
        <v>5263</v>
      </c>
      <c r="B1035" s="380" t="str">
        <f t="shared" si="16"/>
        <v>217-901</v>
      </c>
      <c r="C1035" s="389">
        <v>0.98</v>
      </c>
    </row>
    <row r="1036" spans="1:3" ht="14.5">
      <c r="A1036" s="2042" t="s">
        <v>5264</v>
      </c>
      <c r="B1036" s="380" t="str">
        <f t="shared" si="16"/>
        <v>218-901</v>
      </c>
      <c r="C1036" s="389">
        <v>1</v>
      </c>
    </row>
    <row r="1037" spans="1:3" ht="14.5">
      <c r="A1037" s="2042" t="s">
        <v>5883</v>
      </c>
      <c r="B1037" s="380" t="str">
        <f t="shared" si="16"/>
        <v>219-901</v>
      </c>
      <c r="C1037" s="389">
        <v>0.98</v>
      </c>
    </row>
    <row r="1038" spans="1:3" ht="14.5">
      <c r="A1038" s="2042" t="s">
        <v>8075</v>
      </c>
      <c r="B1038" s="380" t="str">
        <f t="shared" si="16"/>
        <v>220-802</v>
      </c>
      <c r="C1038" s="389">
        <v>0</v>
      </c>
    </row>
    <row r="1039" spans="1:3" ht="14.5">
      <c r="A1039" s="2042" t="s">
        <v>5884</v>
      </c>
      <c r="B1039" s="380" t="str">
        <f t="shared" si="16"/>
        <v>219-903</v>
      </c>
      <c r="C1039" s="389">
        <v>1</v>
      </c>
    </row>
    <row r="1040" spans="1:3" ht="14.5">
      <c r="A1040" s="2042" t="s">
        <v>5265</v>
      </c>
      <c r="B1040" s="380" t="str">
        <f t="shared" si="16"/>
        <v>219-905</v>
      </c>
      <c r="C1040" s="389">
        <v>1</v>
      </c>
    </row>
    <row r="1041" spans="1:3" ht="14.5">
      <c r="A1041" s="2042" t="s">
        <v>8074</v>
      </c>
      <c r="B1041" s="380" t="str">
        <f t="shared" si="16"/>
        <v>220-801</v>
      </c>
      <c r="C1041" s="389">
        <v>0</v>
      </c>
    </row>
    <row r="1042" spans="1:3" ht="14.5">
      <c r="A1042" s="2042" t="s">
        <v>8076</v>
      </c>
      <c r="B1042" s="380" t="str">
        <f t="shared" si="16"/>
        <v>220-809</v>
      </c>
      <c r="C1042" s="389">
        <v>0</v>
      </c>
    </row>
    <row r="1043" spans="1:3" ht="14.5">
      <c r="A1043" s="2042" t="s">
        <v>8077</v>
      </c>
      <c r="B1043" s="380" t="str">
        <f t="shared" si="16"/>
        <v>220-810</v>
      </c>
      <c r="C1043" s="389">
        <v>0</v>
      </c>
    </row>
    <row r="1044" spans="1:3" ht="14.5">
      <c r="A1044" s="2042" t="s">
        <v>8078</v>
      </c>
      <c r="B1044" s="380" t="str">
        <f t="shared" si="16"/>
        <v>220-811</v>
      </c>
      <c r="C1044" s="389">
        <v>0</v>
      </c>
    </row>
    <row r="1045" spans="1:3" ht="14.5">
      <c r="A1045" s="2042" t="s">
        <v>8079</v>
      </c>
      <c r="B1045" s="380" t="str">
        <f t="shared" si="16"/>
        <v>220-814</v>
      </c>
      <c r="C1045" s="389">
        <v>0</v>
      </c>
    </row>
    <row r="1046" spans="1:3" ht="14.5">
      <c r="A1046" s="2042" t="s">
        <v>8080</v>
      </c>
      <c r="B1046" s="380" t="str">
        <f t="shared" si="16"/>
        <v>220-815</v>
      </c>
      <c r="C1046" s="389">
        <v>0</v>
      </c>
    </row>
    <row r="1047" spans="1:3" ht="14.5">
      <c r="A1047" s="2042" t="s">
        <v>8081</v>
      </c>
      <c r="B1047" s="380" t="str">
        <f t="shared" si="16"/>
        <v>220-817</v>
      </c>
      <c r="C1047" s="389">
        <v>0</v>
      </c>
    </row>
    <row r="1048" spans="1:3" ht="14.5">
      <c r="A1048" s="2042" t="s">
        <v>8082</v>
      </c>
      <c r="B1048" s="380" t="str">
        <f t="shared" si="16"/>
        <v>220-819</v>
      </c>
      <c r="C1048" s="389">
        <v>0</v>
      </c>
    </row>
    <row r="1049" spans="1:3" ht="14.5">
      <c r="A1049" s="2042" t="s">
        <v>5266</v>
      </c>
      <c r="B1049" s="380" t="str">
        <f t="shared" si="16"/>
        <v>220-905</v>
      </c>
      <c r="C1049" s="389">
        <v>1</v>
      </c>
    </row>
    <row r="1050" spans="1:3" ht="14.5">
      <c r="A1050" s="2042" t="s">
        <v>3206</v>
      </c>
      <c r="B1050" s="380" t="str">
        <f t="shared" si="16"/>
        <v>220-901</v>
      </c>
      <c r="C1050" s="389">
        <v>1</v>
      </c>
    </row>
    <row r="1051" spans="1:3" ht="14.5">
      <c r="A1051" s="2042" t="s">
        <v>3207</v>
      </c>
      <c r="B1051" s="380" t="str">
        <f t="shared" si="16"/>
        <v>220-902</v>
      </c>
      <c r="C1051" s="389">
        <v>0.98</v>
      </c>
    </row>
    <row r="1052" spans="1:3" ht="14.5">
      <c r="A1052" s="2042" t="s">
        <v>3208</v>
      </c>
      <c r="B1052" s="380" t="str">
        <f t="shared" si="16"/>
        <v>220-904</v>
      </c>
      <c r="C1052" s="389">
        <v>1</v>
      </c>
    </row>
    <row r="1053" spans="1:3" ht="14.5">
      <c r="A1053" s="2042" t="s">
        <v>5267</v>
      </c>
      <c r="B1053" s="380" t="str">
        <f t="shared" si="16"/>
        <v>220-906</v>
      </c>
      <c r="C1053" s="389">
        <v>0.98070000000000002</v>
      </c>
    </row>
    <row r="1054" spans="1:3" ht="14.5">
      <c r="A1054" s="2042" t="s">
        <v>3209</v>
      </c>
      <c r="B1054" s="380" t="str">
        <f t="shared" si="16"/>
        <v>220-907</v>
      </c>
      <c r="C1054" s="389">
        <v>1</v>
      </c>
    </row>
    <row r="1055" spans="1:3" ht="14.5">
      <c r="A1055" s="2042" t="s">
        <v>3210</v>
      </c>
      <c r="B1055" s="380" t="str">
        <f t="shared" si="16"/>
        <v>220-908</v>
      </c>
      <c r="C1055" s="389">
        <v>0.98</v>
      </c>
    </row>
    <row r="1056" spans="1:3" ht="14.5">
      <c r="A1056" s="2042" t="s">
        <v>3211</v>
      </c>
      <c r="B1056" s="380" t="str">
        <f t="shared" si="16"/>
        <v>220-910</v>
      </c>
      <c r="C1056" s="389">
        <v>1</v>
      </c>
    </row>
    <row r="1057" spans="1:3" ht="14.5">
      <c r="A1057" s="2042" t="s">
        <v>3215</v>
      </c>
      <c r="B1057" s="380" t="str">
        <f t="shared" si="16"/>
        <v>220-916</v>
      </c>
      <c r="C1057" s="389">
        <v>0.98050000000000004</v>
      </c>
    </row>
    <row r="1058" spans="1:3" ht="14.5">
      <c r="A1058" s="2042" t="s">
        <v>3212</v>
      </c>
      <c r="B1058" s="380" t="str">
        <f t="shared" si="16"/>
        <v>220-912</v>
      </c>
      <c r="C1058" s="389">
        <v>1</v>
      </c>
    </row>
    <row r="1059" spans="1:3" ht="14.5">
      <c r="A1059" s="2042" t="s">
        <v>3213</v>
      </c>
      <c r="B1059" s="380" t="str">
        <f t="shared" si="16"/>
        <v>220-914</v>
      </c>
      <c r="C1059" s="389">
        <v>1</v>
      </c>
    </row>
    <row r="1060" spans="1:3" ht="14.5">
      <c r="A1060" s="2042" t="s">
        <v>3214</v>
      </c>
      <c r="B1060" s="380" t="str">
        <f t="shared" si="16"/>
        <v>220-915</v>
      </c>
      <c r="C1060" s="389">
        <v>1</v>
      </c>
    </row>
    <row r="1061" spans="1:3" ht="14.5">
      <c r="A1061" s="2042" t="s">
        <v>3216</v>
      </c>
      <c r="B1061" s="380" t="str">
        <f t="shared" si="16"/>
        <v>220-917</v>
      </c>
      <c r="C1061" s="389">
        <v>1</v>
      </c>
    </row>
    <row r="1062" spans="1:3" ht="14.5">
      <c r="A1062" s="2042" t="s">
        <v>3217</v>
      </c>
      <c r="B1062" s="380" t="str">
        <f t="shared" si="16"/>
        <v>220-918</v>
      </c>
      <c r="C1062" s="389">
        <v>1</v>
      </c>
    </row>
    <row r="1063" spans="1:3" ht="14.5">
      <c r="A1063" s="2042" t="s">
        <v>4710</v>
      </c>
      <c r="B1063" s="380" t="str">
        <f t="shared" si="16"/>
        <v>220-919</v>
      </c>
      <c r="C1063" s="389">
        <v>1</v>
      </c>
    </row>
    <row r="1064" spans="1:3" ht="14.5">
      <c r="A1064" s="2042" t="s">
        <v>3218</v>
      </c>
      <c r="B1064" s="380" t="str">
        <f t="shared" si="16"/>
        <v>220-920</v>
      </c>
      <c r="C1064" s="389">
        <v>1</v>
      </c>
    </row>
    <row r="1065" spans="1:3" ht="14.5">
      <c r="A1065" s="2042" t="s">
        <v>8516</v>
      </c>
      <c r="B1065" s="380" t="str">
        <f t="shared" si="16"/>
        <v>220-950</v>
      </c>
      <c r="C1065" s="389">
        <v>0</v>
      </c>
    </row>
    <row r="1066" spans="1:3" ht="14.5">
      <c r="A1066" s="2042" t="s">
        <v>5270</v>
      </c>
      <c r="B1066" s="380" t="str">
        <f t="shared" si="16"/>
        <v>221-905</v>
      </c>
      <c r="C1066" s="389">
        <v>1</v>
      </c>
    </row>
    <row r="1067" spans="1:3" ht="14.5">
      <c r="A1067" s="2042" t="s">
        <v>8083</v>
      </c>
      <c r="B1067" s="380" t="str">
        <f t="shared" si="16"/>
        <v>221-801</v>
      </c>
      <c r="C1067" s="389">
        <v>0</v>
      </c>
    </row>
    <row r="1068" spans="1:3" ht="14.5">
      <c r="A1068" s="2042" t="s">
        <v>5268</v>
      </c>
      <c r="B1068" s="380" t="str">
        <f t="shared" si="16"/>
        <v>221-901</v>
      </c>
      <c r="C1068" s="389">
        <v>1</v>
      </c>
    </row>
    <row r="1069" spans="1:3" ht="14.5">
      <c r="A1069" s="2042" t="s">
        <v>5269</v>
      </c>
      <c r="B1069" s="380" t="str">
        <f t="shared" si="16"/>
        <v>221-904</v>
      </c>
      <c r="C1069" s="389">
        <v>0.98</v>
      </c>
    </row>
    <row r="1070" spans="1:3" ht="14.5">
      <c r="A1070" s="2042" t="s">
        <v>5271</v>
      </c>
      <c r="B1070" s="380" t="str">
        <f t="shared" si="16"/>
        <v>221-911</v>
      </c>
      <c r="C1070" s="389">
        <v>0.98</v>
      </c>
    </row>
    <row r="1071" spans="1:3" ht="14.5">
      <c r="A1071" s="2042" t="s">
        <v>5272</v>
      </c>
      <c r="B1071" s="380" t="str">
        <f t="shared" si="16"/>
        <v>221-912</v>
      </c>
      <c r="C1071" s="389">
        <v>0.98</v>
      </c>
    </row>
    <row r="1072" spans="1:3" ht="14.5">
      <c r="A1072" s="2042" t="s">
        <v>8517</v>
      </c>
      <c r="B1072" s="380" t="str">
        <f t="shared" si="16"/>
        <v>221-950</v>
      </c>
      <c r="C1072" s="389">
        <v>0</v>
      </c>
    </row>
    <row r="1073" spans="1:3" ht="14.5">
      <c r="A1073" s="2042" t="s">
        <v>5273</v>
      </c>
      <c r="B1073" s="380" t="str">
        <f t="shared" si="16"/>
        <v>222-901</v>
      </c>
      <c r="C1073" s="389">
        <v>0.98</v>
      </c>
    </row>
    <row r="1074" spans="1:3" ht="14.5">
      <c r="A1074" s="2042" t="s">
        <v>5274</v>
      </c>
      <c r="B1074" s="380" t="str">
        <f t="shared" si="16"/>
        <v>223-901</v>
      </c>
      <c r="C1074" s="389">
        <v>1</v>
      </c>
    </row>
    <row r="1075" spans="1:3" ht="14.5">
      <c r="A1075" s="2042" t="s">
        <v>3219</v>
      </c>
      <c r="B1075" s="380" t="str">
        <f t="shared" si="16"/>
        <v>223-902</v>
      </c>
      <c r="C1075" s="389">
        <v>1</v>
      </c>
    </row>
    <row r="1076" spans="1:3" ht="14.5">
      <c r="A1076" s="2042" t="s">
        <v>5276</v>
      </c>
      <c r="B1076" s="380" t="str">
        <f t="shared" si="16"/>
        <v>225-902</v>
      </c>
      <c r="C1076" s="389">
        <v>1</v>
      </c>
    </row>
    <row r="1077" spans="1:3" ht="14.5">
      <c r="A1077" s="2042" t="s">
        <v>5275</v>
      </c>
      <c r="B1077" s="380" t="str">
        <f t="shared" si="16"/>
        <v>223-904</v>
      </c>
      <c r="C1077" s="389">
        <v>1</v>
      </c>
    </row>
    <row r="1078" spans="1:3" ht="14.5">
      <c r="A1078" s="2042" t="s">
        <v>5885</v>
      </c>
      <c r="B1078" s="380" t="str">
        <f t="shared" si="16"/>
        <v>224-901</v>
      </c>
      <c r="C1078" s="389">
        <v>1</v>
      </c>
    </row>
    <row r="1079" spans="1:3" ht="14.5">
      <c r="A1079" s="2042" t="s">
        <v>5886</v>
      </c>
      <c r="B1079" s="380" t="str">
        <f t="shared" si="16"/>
        <v>224-902</v>
      </c>
      <c r="C1079" s="389">
        <v>1</v>
      </c>
    </row>
    <row r="1080" spans="1:3" ht="14.5">
      <c r="A1080" s="2042" t="s">
        <v>3220</v>
      </c>
      <c r="B1080" s="380" t="str">
        <f t="shared" si="16"/>
        <v>225-906</v>
      </c>
      <c r="C1080" s="389">
        <v>1</v>
      </c>
    </row>
    <row r="1081" spans="1:3" ht="14.5">
      <c r="A1081" s="2042" t="s">
        <v>5887</v>
      </c>
      <c r="B1081" s="380" t="str">
        <f t="shared" si="16"/>
        <v>225-907</v>
      </c>
      <c r="C1081" s="389">
        <v>0.98</v>
      </c>
    </row>
    <row r="1082" spans="1:3" ht="14.5">
      <c r="A1082" s="2042" t="s">
        <v>8518</v>
      </c>
      <c r="B1082" s="380" t="str">
        <f t="shared" si="16"/>
        <v>225-950</v>
      </c>
      <c r="C1082" s="389">
        <v>0</v>
      </c>
    </row>
    <row r="1083" spans="1:3" ht="14.5">
      <c r="A1083" s="2042" t="s">
        <v>8084</v>
      </c>
      <c r="B1083" s="380" t="str">
        <f t="shared" si="16"/>
        <v>226-801</v>
      </c>
      <c r="C1083" s="389">
        <v>0</v>
      </c>
    </row>
    <row r="1084" spans="1:3" ht="14.5">
      <c r="A1084" s="2042" t="s">
        <v>5277</v>
      </c>
      <c r="B1084" s="380" t="str">
        <f t="shared" si="16"/>
        <v>226-901</v>
      </c>
      <c r="C1084" s="389">
        <v>1</v>
      </c>
    </row>
    <row r="1085" spans="1:3" ht="14.5">
      <c r="A1085" s="2042" t="s">
        <v>3221</v>
      </c>
      <c r="B1085" s="380" t="str">
        <f t="shared" si="16"/>
        <v>226-903</v>
      </c>
      <c r="C1085" s="389">
        <v>1</v>
      </c>
    </row>
    <row r="1086" spans="1:3" ht="14.5">
      <c r="A1086" s="2042" t="s">
        <v>3224</v>
      </c>
      <c r="B1086" s="380" t="str">
        <f t="shared" si="16"/>
        <v>226-908</v>
      </c>
      <c r="C1086" s="389">
        <v>1</v>
      </c>
    </row>
    <row r="1087" spans="1:3" ht="14.5">
      <c r="A1087" s="2042" t="s">
        <v>5278</v>
      </c>
      <c r="B1087" s="380" t="str">
        <f t="shared" si="16"/>
        <v>226-905</v>
      </c>
      <c r="C1087" s="389">
        <v>1</v>
      </c>
    </row>
    <row r="1088" spans="1:3" ht="14.5">
      <c r="A1088" s="2042" t="s">
        <v>3222</v>
      </c>
      <c r="B1088" s="380" t="str">
        <f t="shared" si="16"/>
        <v>226-906</v>
      </c>
      <c r="C1088" s="389">
        <v>1</v>
      </c>
    </row>
    <row r="1089" spans="1:3" ht="14.5">
      <c r="A1089" s="2042" t="s">
        <v>3223</v>
      </c>
      <c r="B1089" s="380" t="str">
        <f t="shared" si="16"/>
        <v>226-907</v>
      </c>
      <c r="C1089" s="389">
        <v>1</v>
      </c>
    </row>
    <row r="1090" spans="1:3" ht="14.5">
      <c r="A1090" s="2042" t="s">
        <v>8519</v>
      </c>
      <c r="B1090" s="380" t="str">
        <f t="shared" si="16"/>
        <v>226-950</v>
      </c>
      <c r="C1090" s="389">
        <v>0</v>
      </c>
    </row>
    <row r="1091" spans="1:3" ht="14.5">
      <c r="A1091" s="2042" t="s">
        <v>8085</v>
      </c>
      <c r="B1091" s="380" t="str">
        <f t="shared" ref="B1091:B1154" si="17">CONCATENATE(LEFT(RIGHT(CONCATENATE("000",A1091),6),3),"-",(RIGHT(RIGHT(CONCATENATE("000",A1091),6),3)))</f>
        <v>227-622</v>
      </c>
      <c r="C1091" s="389">
        <v>0</v>
      </c>
    </row>
    <row r="1092" spans="1:3" ht="14.5">
      <c r="A1092" s="2042" t="s">
        <v>8087</v>
      </c>
      <c r="B1092" s="380" t="str">
        <f t="shared" si="17"/>
        <v>227-803</v>
      </c>
      <c r="C1092" s="389">
        <v>0</v>
      </c>
    </row>
    <row r="1093" spans="1:3" ht="14.5">
      <c r="A1093" s="2042" t="s">
        <v>8088</v>
      </c>
      <c r="B1093" s="380" t="str">
        <f t="shared" si="17"/>
        <v>227-804</v>
      </c>
      <c r="C1093" s="389">
        <v>0</v>
      </c>
    </row>
    <row r="1094" spans="1:3" ht="14.5">
      <c r="A1094" s="2042" t="s">
        <v>8089</v>
      </c>
      <c r="B1094" s="380" t="str">
        <f t="shared" si="17"/>
        <v>227-805</v>
      </c>
      <c r="C1094" s="389">
        <v>0</v>
      </c>
    </row>
    <row r="1095" spans="1:3" ht="14.5">
      <c r="A1095" s="2042" t="s">
        <v>8090</v>
      </c>
      <c r="B1095" s="380" t="str">
        <f t="shared" si="17"/>
        <v>227-806</v>
      </c>
      <c r="C1095" s="389">
        <v>0</v>
      </c>
    </row>
    <row r="1096" spans="1:3" ht="14.5">
      <c r="A1096" s="2042" t="s">
        <v>8091</v>
      </c>
      <c r="B1096" s="380" t="str">
        <f t="shared" si="17"/>
        <v>227-814</v>
      </c>
      <c r="C1096" s="389">
        <v>0</v>
      </c>
    </row>
    <row r="1097" spans="1:3" ht="14.5">
      <c r="A1097" s="2042" t="s">
        <v>8095</v>
      </c>
      <c r="B1097" s="380" t="str">
        <f t="shared" si="17"/>
        <v>227-820</v>
      </c>
      <c r="C1097" s="389">
        <v>0</v>
      </c>
    </row>
    <row r="1098" spans="1:3" ht="14.5">
      <c r="A1098" s="2042" t="s">
        <v>8092</v>
      </c>
      <c r="B1098" s="380" t="str">
        <f t="shared" si="17"/>
        <v>227-816</v>
      </c>
      <c r="C1098" s="389">
        <v>0</v>
      </c>
    </row>
    <row r="1099" spans="1:3" ht="14.5">
      <c r="A1099" s="2042" t="s">
        <v>8093</v>
      </c>
      <c r="B1099" s="380" t="str">
        <f t="shared" si="17"/>
        <v>227-817</v>
      </c>
      <c r="C1099" s="389">
        <v>0</v>
      </c>
    </row>
    <row r="1100" spans="1:3" ht="14.5">
      <c r="A1100" s="2042" t="s">
        <v>8094</v>
      </c>
      <c r="B1100" s="380" t="str">
        <f t="shared" si="17"/>
        <v>227-819</v>
      </c>
      <c r="C1100" s="389">
        <v>0</v>
      </c>
    </row>
    <row r="1101" spans="1:3" ht="14.5">
      <c r="A1101" s="2042" t="s">
        <v>8096</v>
      </c>
      <c r="B1101" s="380" t="str">
        <f t="shared" si="17"/>
        <v>227-821</v>
      </c>
      <c r="C1101" s="389">
        <v>0</v>
      </c>
    </row>
    <row r="1102" spans="1:3" ht="14.5">
      <c r="A1102" s="2042" t="s">
        <v>8097</v>
      </c>
      <c r="B1102" s="380" t="str">
        <f t="shared" si="17"/>
        <v>227-824</v>
      </c>
      <c r="C1102" s="389">
        <v>0</v>
      </c>
    </row>
    <row r="1103" spans="1:3" ht="14.5">
      <c r="A1103" s="2042" t="s">
        <v>8098</v>
      </c>
      <c r="B1103" s="380" t="str">
        <f t="shared" si="17"/>
        <v>227-825</v>
      </c>
      <c r="C1103" s="389">
        <v>0</v>
      </c>
    </row>
    <row r="1104" spans="1:3" ht="14.5">
      <c r="A1104" s="2042" t="s">
        <v>8099</v>
      </c>
      <c r="B1104" s="380" t="str">
        <f t="shared" si="17"/>
        <v>227-826</v>
      </c>
      <c r="C1104" s="389">
        <v>0</v>
      </c>
    </row>
    <row r="1105" spans="1:3" ht="14.5">
      <c r="A1105" s="2042" t="s">
        <v>8100</v>
      </c>
      <c r="B1105" s="380" t="str">
        <f t="shared" si="17"/>
        <v>227-827</v>
      </c>
      <c r="C1105" s="389">
        <v>0</v>
      </c>
    </row>
    <row r="1106" spans="1:3" ht="14.5">
      <c r="A1106" s="2042" t="s">
        <v>8102</v>
      </c>
      <c r="B1106" s="380" t="str">
        <f t="shared" si="17"/>
        <v>227-829</v>
      </c>
      <c r="C1106" s="389">
        <v>0</v>
      </c>
    </row>
    <row r="1107" spans="1:3" ht="14.5">
      <c r="A1107" s="2042" t="s">
        <v>5279</v>
      </c>
      <c r="B1107" s="380" t="str">
        <f t="shared" si="17"/>
        <v>227-901</v>
      </c>
      <c r="C1107" s="389">
        <v>1</v>
      </c>
    </row>
    <row r="1108" spans="1:3" ht="14.5">
      <c r="A1108" s="2042" t="s">
        <v>5280</v>
      </c>
      <c r="B1108" s="380" t="str">
        <f t="shared" si="17"/>
        <v>227-907</v>
      </c>
      <c r="C1108" s="389">
        <v>0.98</v>
      </c>
    </row>
    <row r="1109" spans="1:3" ht="14.5">
      <c r="A1109" s="2042" t="s">
        <v>3225</v>
      </c>
      <c r="B1109" s="380" t="str">
        <f t="shared" si="17"/>
        <v>227-904</v>
      </c>
      <c r="C1109" s="389">
        <v>1</v>
      </c>
    </row>
    <row r="1110" spans="1:3" ht="14.5">
      <c r="A1110" s="2042" t="s">
        <v>8103</v>
      </c>
      <c r="B1110" s="380" t="str">
        <f t="shared" si="17"/>
        <v>227-905</v>
      </c>
      <c r="C1110" s="389">
        <v>0</v>
      </c>
    </row>
    <row r="1111" spans="1:3" ht="14.5">
      <c r="A1111" s="2042" t="s">
        <v>8105</v>
      </c>
      <c r="B1111" s="380" t="str">
        <f t="shared" si="17"/>
        <v>227-906</v>
      </c>
      <c r="C1111" s="389">
        <v>0</v>
      </c>
    </row>
    <row r="1112" spans="1:3" ht="14.5">
      <c r="A1112" s="2042" t="s">
        <v>5281</v>
      </c>
      <c r="B1112" s="380" t="str">
        <f t="shared" si="17"/>
        <v>227-909</v>
      </c>
      <c r="C1112" s="389">
        <v>1</v>
      </c>
    </row>
    <row r="1113" spans="1:3" ht="14.5">
      <c r="A1113" s="2042" t="s">
        <v>3226</v>
      </c>
      <c r="B1113" s="380" t="str">
        <f t="shared" si="17"/>
        <v>227-910</v>
      </c>
      <c r="C1113" s="389">
        <v>1</v>
      </c>
    </row>
    <row r="1114" spans="1:3" ht="14.5">
      <c r="A1114" s="2042" t="s">
        <v>5282</v>
      </c>
      <c r="B1114" s="380" t="str">
        <f t="shared" si="17"/>
        <v>227-912</v>
      </c>
      <c r="C1114" s="389">
        <v>1</v>
      </c>
    </row>
    <row r="1115" spans="1:3" ht="14.5">
      <c r="A1115" s="2042" t="s">
        <v>5283</v>
      </c>
      <c r="B1115" s="380" t="str">
        <f t="shared" si="17"/>
        <v>227-913</v>
      </c>
      <c r="C1115" s="389">
        <v>1</v>
      </c>
    </row>
    <row r="1116" spans="1:3" ht="14.5">
      <c r="A1116" s="2042" t="s">
        <v>8520</v>
      </c>
      <c r="B1116" s="380" t="str">
        <f t="shared" si="17"/>
        <v>227-950</v>
      </c>
      <c r="C1116" s="389">
        <v>0</v>
      </c>
    </row>
    <row r="1117" spans="1:3" ht="14.5">
      <c r="A1117" s="2042" t="s">
        <v>5888</v>
      </c>
      <c r="B1117" s="380" t="str">
        <f t="shared" si="17"/>
        <v>228-901</v>
      </c>
      <c r="C1117" s="389">
        <v>0.98</v>
      </c>
    </row>
    <row r="1118" spans="1:3" ht="14.5">
      <c r="A1118" s="2042" t="s">
        <v>4736</v>
      </c>
      <c r="B1118" s="380" t="str">
        <f t="shared" si="17"/>
        <v>229-901</v>
      </c>
      <c r="C1118" s="389">
        <v>1</v>
      </c>
    </row>
    <row r="1119" spans="1:3" ht="14.5">
      <c r="A1119" s="2042" t="s">
        <v>5284</v>
      </c>
      <c r="B1119" s="380" t="str">
        <f t="shared" si="17"/>
        <v>228-903</v>
      </c>
      <c r="C1119" s="389">
        <v>1</v>
      </c>
    </row>
    <row r="1120" spans="1:3" ht="14.5">
      <c r="A1120" s="2042" t="s">
        <v>5889</v>
      </c>
      <c r="B1120" s="380" t="str">
        <f t="shared" si="17"/>
        <v>228-904</v>
      </c>
      <c r="C1120" s="389">
        <v>1</v>
      </c>
    </row>
    <row r="1121" spans="1:3" ht="14.5">
      <c r="A1121" s="2042" t="s">
        <v>5890</v>
      </c>
      <c r="B1121" s="380" t="str">
        <f t="shared" si="17"/>
        <v>228-905</v>
      </c>
      <c r="C1121" s="389">
        <v>0.98</v>
      </c>
    </row>
    <row r="1122" spans="1:3" ht="14.5">
      <c r="A1122" s="2042" t="s">
        <v>5285</v>
      </c>
      <c r="B1122" s="380" t="str">
        <f t="shared" si="17"/>
        <v>229-903</v>
      </c>
      <c r="C1122" s="389">
        <v>1</v>
      </c>
    </row>
    <row r="1123" spans="1:3" ht="14.5">
      <c r="A1123" s="2042" t="s">
        <v>3227</v>
      </c>
      <c r="B1123" s="380" t="str">
        <f t="shared" si="17"/>
        <v>229-904</v>
      </c>
      <c r="C1123" s="389">
        <v>1</v>
      </c>
    </row>
    <row r="1124" spans="1:3" ht="14.5">
      <c r="A1124" s="2042" t="s">
        <v>3228</v>
      </c>
      <c r="B1124" s="380" t="str">
        <f t="shared" si="17"/>
        <v>229-905</v>
      </c>
      <c r="C1124" s="389">
        <v>1</v>
      </c>
    </row>
    <row r="1125" spans="1:3" ht="14.5">
      <c r="A1125" s="2042" t="s">
        <v>3229</v>
      </c>
      <c r="B1125" s="380" t="str">
        <f t="shared" si="17"/>
        <v>229-906</v>
      </c>
      <c r="C1125" s="389">
        <v>1</v>
      </c>
    </row>
    <row r="1126" spans="1:3" ht="14.5">
      <c r="A1126" s="2042" t="s">
        <v>5286</v>
      </c>
      <c r="B1126" s="380" t="str">
        <f t="shared" si="17"/>
        <v>230-901</v>
      </c>
      <c r="C1126" s="389">
        <v>1</v>
      </c>
    </row>
    <row r="1127" spans="1:3" ht="14.5">
      <c r="A1127" s="2042" t="s">
        <v>5287</v>
      </c>
      <c r="B1127" s="380" t="str">
        <f t="shared" si="17"/>
        <v>230-902</v>
      </c>
      <c r="C1127" s="389">
        <v>1</v>
      </c>
    </row>
    <row r="1128" spans="1:3" ht="14.5">
      <c r="A1128" s="2042" t="s">
        <v>3232</v>
      </c>
      <c r="B1128" s="380" t="str">
        <f t="shared" si="17"/>
        <v>230-906</v>
      </c>
      <c r="C1128" s="389">
        <v>1</v>
      </c>
    </row>
    <row r="1129" spans="1:3" ht="14.5">
      <c r="A1129" s="2042" t="s">
        <v>3230</v>
      </c>
      <c r="B1129" s="380" t="str">
        <f t="shared" si="17"/>
        <v>230-903</v>
      </c>
      <c r="C1129" s="389">
        <v>1</v>
      </c>
    </row>
    <row r="1130" spans="1:3" ht="14.5">
      <c r="A1130" s="2042" t="s">
        <v>5891</v>
      </c>
      <c r="B1130" s="380" t="str">
        <f t="shared" si="17"/>
        <v>230-904</v>
      </c>
      <c r="C1130" s="389">
        <v>1</v>
      </c>
    </row>
    <row r="1131" spans="1:3" ht="14.5">
      <c r="A1131" s="2042" t="s">
        <v>3231</v>
      </c>
      <c r="B1131" s="380" t="str">
        <f t="shared" si="17"/>
        <v>230-905</v>
      </c>
      <c r="C1131" s="389">
        <v>1</v>
      </c>
    </row>
    <row r="1132" spans="1:3" ht="14.5">
      <c r="A1132" s="2042" t="s">
        <v>5288</v>
      </c>
      <c r="B1132" s="380" t="str">
        <f t="shared" si="17"/>
        <v>230-908</v>
      </c>
      <c r="C1132" s="389">
        <v>1</v>
      </c>
    </row>
    <row r="1133" spans="1:3" ht="14.5">
      <c r="A1133" s="2042" t="s">
        <v>5892</v>
      </c>
      <c r="B1133" s="380" t="str">
        <f t="shared" si="17"/>
        <v>231-901</v>
      </c>
      <c r="C1133" s="389">
        <v>1</v>
      </c>
    </row>
    <row r="1134" spans="1:3" ht="14.5">
      <c r="A1134" s="2042" t="s">
        <v>5289</v>
      </c>
      <c r="B1134" s="380" t="str">
        <f t="shared" si="17"/>
        <v>231-902</v>
      </c>
      <c r="C1134" s="389">
        <v>0.97630000000000006</v>
      </c>
    </row>
    <row r="1135" spans="1:3" ht="14.5">
      <c r="A1135" s="2042" t="s">
        <v>3233</v>
      </c>
      <c r="B1135" s="380" t="str">
        <f t="shared" si="17"/>
        <v>232-901</v>
      </c>
      <c r="C1135" s="389">
        <v>1</v>
      </c>
    </row>
    <row r="1136" spans="1:3" ht="14.5">
      <c r="A1136" s="2042" t="s">
        <v>3234</v>
      </c>
      <c r="B1136" s="380" t="str">
        <f t="shared" si="17"/>
        <v>232-902</v>
      </c>
      <c r="C1136" s="389">
        <v>0.98</v>
      </c>
    </row>
    <row r="1137" spans="1:3" ht="14.5">
      <c r="A1137" s="2042" t="s">
        <v>5290</v>
      </c>
      <c r="B1137" s="380" t="str">
        <f t="shared" si="17"/>
        <v>233-903</v>
      </c>
      <c r="C1137" s="389">
        <v>1</v>
      </c>
    </row>
    <row r="1138" spans="1:3" ht="14.5">
      <c r="A1138" s="2042" t="s">
        <v>3235</v>
      </c>
      <c r="B1138" s="380" t="str">
        <f t="shared" si="17"/>
        <v>232-903</v>
      </c>
      <c r="C1138" s="389">
        <v>1</v>
      </c>
    </row>
    <row r="1139" spans="1:3" ht="14.5">
      <c r="A1139" s="2042" t="s">
        <v>5893</v>
      </c>
      <c r="B1139" s="380" t="str">
        <f t="shared" si="17"/>
        <v>232-904</v>
      </c>
      <c r="C1139" s="389">
        <v>0.98</v>
      </c>
    </row>
    <row r="1140" spans="1:3" ht="14.5">
      <c r="A1140" s="2042" t="s">
        <v>3236</v>
      </c>
      <c r="B1140" s="380" t="str">
        <f t="shared" si="17"/>
        <v>233-901</v>
      </c>
      <c r="C1140" s="389">
        <v>1</v>
      </c>
    </row>
    <row r="1141" spans="1:3" ht="14.5">
      <c r="A1141" s="2042" t="s">
        <v>8107</v>
      </c>
      <c r="B1141" s="380" t="str">
        <f t="shared" si="17"/>
        <v>234-801</v>
      </c>
      <c r="C1141" s="389">
        <v>0</v>
      </c>
    </row>
    <row r="1142" spans="1:3" ht="14.5">
      <c r="A1142" s="2042" t="s">
        <v>3237</v>
      </c>
      <c r="B1142" s="380" t="str">
        <f t="shared" si="17"/>
        <v>234-902</v>
      </c>
      <c r="C1142" s="389">
        <v>0.98</v>
      </c>
    </row>
    <row r="1143" spans="1:3" ht="14.5">
      <c r="A1143" s="2042" t="s">
        <v>5291</v>
      </c>
      <c r="B1143" s="380" t="str">
        <f t="shared" si="17"/>
        <v>234-903</v>
      </c>
      <c r="C1143" s="389">
        <v>1</v>
      </c>
    </row>
    <row r="1144" spans="1:3" ht="14.5">
      <c r="A1144" s="2042" t="s">
        <v>3238</v>
      </c>
      <c r="B1144" s="380" t="str">
        <f t="shared" si="17"/>
        <v>234-904</v>
      </c>
      <c r="C1144" s="389">
        <v>1</v>
      </c>
    </row>
    <row r="1145" spans="1:3" ht="14.5">
      <c r="A1145" s="2042" t="s">
        <v>3239</v>
      </c>
      <c r="B1145" s="380" t="str">
        <f t="shared" si="17"/>
        <v>234-905</v>
      </c>
      <c r="C1145" s="389">
        <v>0.98</v>
      </c>
    </row>
    <row r="1146" spans="1:3" ht="14.5">
      <c r="A1146" s="2042" t="s">
        <v>3240</v>
      </c>
      <c r="B1146" s="380" t="str">
        <f t="shared" si="17"/>
        <v>234-906</v>
      </c>
      <c r="C1146" s="389">
        <v>1</v>
      </c>
    </row>
    <row r="1147" spans="1:3" ht="14.5">
      <c r="A1147" s="2042" t="s">
        <v>3243</v>
      </c>
      <c r="B1147" s="380" t="str">
        <f t="shared" si="17"/>
        <v>235-902</v>
      </c>
      <c r="C1147" s="389">
        <v>0.98</v>
      </c>
    </row>
    <row r="1148" spans="1:3" ht="14.5">
      <c r="A1148" s="2042" t="s">
        <v>5292</v>
      </c>
      <c r="B1148" s="380" t="str">
        <f t="shared" si="17"/>
        <v>234-907</v>
      </c>
      <c r="C1148" s="389">
        <v>1</v>
      </c>
    </row>
    <row r="1149" spans="1:3" ht="14.5">
      <c r="A1149" s="2042" t="s">
        <v>3241</v>
      </c>
      <c r="B1149" s="380" t="str">
        <f t="shared" si="17"/>
        <v>234-909</v>
      </c>
      <c r="C1149" s="389">
        <v>1</v>
      </c>
    </row>
    <row r="1150" spans="1:3" ht="14.5">
      <c r="A1150" s="2042" t="s">
        <v>3242</v>
      </c>
      <c r="B1150" s="380" t="str">
        <f t="shared" si="17"/>
        <v>235-901</v>
      </c>
      <c r="C1150" s="389">
        <v>1</v>
      </c>
    </row>
    <row r="1151" spans="1:3" ht="14.5">
      <c r="A1151" s="2042" t="s">
        <v>5293</v>
      </c>
      <c r="B1151" s="380" t="str">
        <f t="shared" si="17"/>
        <v>235-904</v>
      </c>
      <c r="C1151" s="389">
        <v>0.95000000000000007</v>
      </c>
    </row>
    <row r="1152" spans="1:3" ht="14.5">
      <c r="A1152" s="2042" t="s">
        <v>8521</v>
      </c>
      <c r="B1152" s="380" t="str">
        <f t="shared" si="17"/>
        <v>235-950</v>
      </c>
      <c r="C1152" s="389">
        <v>0</v>
      </c>
    </row>
    <row r="1153" spans="1:3" ht="14.5">
      <c r="A1153" s="2042" t="s">
        <v>8108</v>
      </c>
      <c r="B1153" s="380" t="str">
        <f t="shared" si="17"/>
        <v>236-801</v>
      </c>
      <c r="C1153" s="389">
        <v>0</v>
      </c>
    </row>
    <row r="1154" spans="1:3" ht="14.5">
      <c r="A1154" s="2042" t="s">
        <v>8109</v>
      </c>
      <c r="B1154" s="380" t="str">
        <f t="shared" si="17"/>
        <v>236-802</v>
      </c>
      <c r="C1154" s="389">
        <v>0</v>
      </c>
    </row>
    <row r="1155" spans="1:3" ht="14.5">
      <c r="A1155" s="2042" t="s">
        <v>3244</v>
      </c>
      <c r="B1155" s="380" t="str">
        <f t="shared" ref="B1155:B1218" si="18">CONCATENATE(LEFT(RIGHT(CONCATENATE("000",A1155),6),3),"-",(RIGHT(RIGHT(CONCATENATE("000",A1155),6),3)))</f>
        <v>236-901</v>
      </c>
      <c r="C1155" s="389">
        <v>1</v>
      </c>
    </row>
    <row r="1156" spans="1:3" ht="14.5">
      <c r="A1156" s="2042" t="s">
        <v>3245</v>
      </c>
      <c r="B1156" s="380" t="str">
        <f t="shared" si="18"/>
        <v>236-902</v>
      </c>
      <c r="C1156" s="389">
        <v>1</v>
      </c>
    </row>
    <row r="1157" spans="1:3" ht="14.5">
      <c r="A1157" s="2042" t="s">
        <v>8110</v>
      </c>
      <c r="B1157" s="380" t="str">
        <f t="shared" si="18"/>
        <v>236-903</v>
      </c>
      <c r="C1157" s="389">
        <v>0</v>
      </c>
    </row>
    <row r="1158" spans="1:3" ht="14.5">
      <c r="A1158" s="2042" t="s">
        <v>3248</v>
      </c>
      <c r="B1158" s="380" t="str">
        <f t="shared" si="18"/>
        <v>237-905</v>
      </c>
      <c r="C1158" s="389">
        <v>1</v>
      </c>
    </row>
    <row r="1159" spans="1:3" ht="14.5">
      <c r="A1159" s="2042" t="s">
        <v>8522</v>
      </c>
      <c r="B1159" s="380" t="str">
        <f t="shared" si="18"/>
        <v>236-950</v>
      </c>
      <c r="C1159" s="389">
        <v>0</v>
      </c>
    </row>
    <row r="1160" spans="1:3" ht="14.5">
      <c r="A1160" s="2042" t="s">
        <v>3246</v>
      </c>
      <c r="B1160" s="380" t="str">
        <f t="shared" si="18"/>
        <v>237-902</v>
      </c>
      <c r="C1160" s="389">
        <v>1</v>
      </c>
    </row>
    <row r="1161" spans="1:3" ht="14.5">
      <c r="A1161" s="2042" t="s">
        <v>3247</v>
      </c>
      <c r="B1161" s="380" t="str">
        <f t="shared" si="18"/>
        <v>237-904</v>
      </c>
      <c r="C1161" s="389">
        <v>1</v>
      </c>
    </row>
    <row r="1162" spans="1:3" ht="14.5">
      <c r="A1162" s="2042" t="s">
        <v>5294</v>
      </c>
      <c r="B1162" s="380" t="str">
        <f t="shared" si="18"/>
        <v>238-902</v>
      </c>
      <c r="C1162" s="389">
        <v>0.93330000000000002</v>
      </c>
    </row>
    <row r="1163" spans="1:3" ht="14.5">
      <c r="A1163" s="2042" t="s">
        <v>5894</v>
      </c>
      <c r="B1163" s="380" t="str">
        <f t="shared" si="18"/>
        <v>238-904</v>
      </c>
      <c r="C1163" s="389">
        <v>1</v>
      </c>
    </row>
    <row r="1164" spans="1:3" ht="14.5">
      <c r="A1164" s="2042" t="s">
        <v>5295</v>
      </c>
      <c r="B1164" s="380" t="str">
        <f t="shared" si="18"/>
        <v>239-901</v>
      </c>
      <c r="C1164" s="389">
        <v>0.98</v>
      </c>
    </row>
    <row r="1165" spans="1:3" ht="14.5">
      <c r="A1165" s="2042" t="s">
        <v>5296</v>
      </c>
      <c r="B1165" s="380" t="str">
        <f t="shared" si="18"/>
        <v>239-903</v>
      </c>
      <c r="C1165" s="389">
        <v>1</v>
      </c>
    </row>
    <row r="1166" spans="1:3" ht="14.5">
      <c r="A1166" s="2042" t="s">
        <v>8112</v>
      </c>
      <c r="B1166" s="380" t="str">
        <f t="shared" si="18"/>
        <v>240-503</v>
      </c>
      <c r="C1166" s="389">
        <v>0</v>
      </c>
    </row>
    <row r="1167" spans="1:3" ht="14.5">
      <c r="A1167" s="2042" t="s">
        <v>8114</v>
      </c>
      <c r="B1167" s="380" t="str">
        <f t="shared" si="18"/>
        <v>240-801</v>
      </c>
      <c r="C1167" s="389">
        <v>0</v>
      </c>
    </row>
    <row r="1168" spans="1:3" ht="14.5">
      <c r="A1168" s="2042" t="s">
        <v>5895</v>
      </c>
      <c r="B1168" s="380" t="str">
        <f t="shared" si="18"/>
        <v>241-901</v>
      </c>
      <c r="C1168" s="389">
        <v>1</v>
      </c>
    </row>
    <row r="1169" spans="1:3" ht="14.5">
      <c r="A1169" s="2042" t="s">
        <v>3249</v>
      </c>
      <c r="B1169" s="380" t="str">
        <f t="shared" si="18"/>
        <v>240-901</v>
      </c>
      <c r="C1169" s="389">
        <v>0.98</v>
      </c>
    </row>
    <row r="1170" spans="1:3" ht="14.5">
      <c r="A1170" s="2042" t="s">
        <v>3250</v>
      </c>
      <c r="B1170" s="380" t="str">
        <f t="shared" si="18"/>
        <v>240-903</v>
      </c>
      <c r="C1170" s="389">
        <v>0.98</v>
      </c>
    </row>
    <row r="1171" spans="1:3" ht="14.5">
      <c r="A1171" s="2042" t="s">
        <v>5297</v>
      </c>
      <c r="B1171" s="380" t="str">
        <f t="shared" si="18"/>
        <v>240-904</v>
      </c>
      <c r="C1171" s="389">
        <v>0.94000000000000006</v>
      </c>
    </row>
    <row r="1172" spans="1:3" ht="14.5">
      <c r="A1172" s="2042" t="s">
        <v>5298</v>
      </c>
      <c r="B1172" s="380" t="str">
        <f t="shared" si="18"/>
        <v>241-902</v>
      </c>
      <c r="C1172" s="389">
        <v>1</v>
      </c>
    </row>
    <row r="1173" spans="1:3" ht="14.5">
      <c r="A1173" s="2042" t="s">
        <v>5299</v>
      </c>
      <c r="B1173" s="380" t="str">
        <f t="shared" si="18"/>
        <v>241-903</v>
      </c>
      <c r="C1173" s="389">
        <v>1</v>
      </c>
    </row>
    <row r="1174" spans="1:3" ht="14.5">
      <c r="A1174" s="2042" t="s">
        <v>5300</v>
      </c>
      <c r="B1174" s="380" t="str">
        <f t="shared" si="18"/>
        <v>241-904</v>
      </c>
      <c r="C1174" s="389">
        <v>1</v>
      </c>
    </row>
    <row r="1175" spans="1:3" ht="14.5">
      <c r="A1175" s="2042" t="s">
        <v>5301</v>
      </c>
      <c r="B1175" s="380" t="str">
        <f t="shared" si="18"/>
        <v>241-906</v>
      </c>
      <c r="C1175" s="389">
        <v>1</v>
      </c>
    </row>
    <row r="1176" spans="1:3" ht="14.5">
      <c r="A1176" s="2042" t="s">
        <v>5896</v>
      </c>
      <c r="B1176" s="380" t="str">
        <f t="shared" si="18"/>
        <v>242-902</v>
      </c>
      <c r="C1176" s="389">
        <v>0.98670000000000002</v>
      </c>
    </row>
    <row r="1177" spans="1:3" ht="14.5">
      <c r="A1177" s="2042" t="s">
        <v>3251</v>
      </c>
      <c r="B1177" s="380" t="str">
        <f t="shared" si="18"/>
        <v>243-901</v>
      </c>
      <c r="C1177" s="389">
        <v>1</v>
      </c>
    </row>
    <row r="1178" spans="1:3" ht="14.5">
      <c r="A1178" s="2042" t="s">
        <v>5302</v>
      </c>
      <c r="B1178" s="380" t="str">
        <f t="shared" si="18"/>
        <v>242-903</v>
      </c>
      <c r="C1178" s="389">
        <v>1</v>
      </c>
    </row>
    <row r="1179" spans="1:3" ht="14.5">
      <c r="A1179" s="2042" t="s">
        <v>5897</v>
      </c>
      <c r="B1179" s="380" t="str">
        <f t="shared" si="18"/>
        <v>242-905</v>
      </c>
      <c r="C1179" s="389">
        <v>0.64660000000000006</v>
      </c>
    </row>
    <row r="1180" spans="1:3" ht="14.5">
      <c r="A1180" s="2042" t="s">
        <v>5303</v>
      </c>
      <c r="B1180" s="380" t="str">
        <f t="shared" si="18"/>
        <v>242-906</v>
      </c>
      <c r="C1180" s="389">
        <v>0.98</v>
      </c>
    </row>
    <row r="1181" spans="1:3" ht="14.5">
      <c r="A1181" s="2042" t="s">
        <v>5304</v>
      </c>
      <c r="B1181" s="380" t="str">
        <f t="shared" si="18"/>
        <v>243-902</v>
      </c>
      <c r="C1181" s="389">
        <v>1</v>
      </c>
    </row>
    <row r="1182" spans="1:3" ht="14.5">
      <c r="A1182" s="2042" t="s">
        <v>5305</v>
      </c>
      <c r="B1182" s="380" t="str">
        <f t="shared" si="18"/>
        <v>243-903</v>
      </c>
      <c r="C1182" s="389">
        <v>1</v>
      </c>
    </row>
    <row r="1183" spans="1:3" ht="14.5">
      <c r="A1183" s="2042" t="s">
        <v>3252</v>
      </c>
      <c r="B1183" s="380" t="str">
        <f t="shared" si="18"/>
        <v>243-905</v>
      </c>
      <c r="C1183" s="389">
        <v>1</v>
      </c>
    </row>
    <row r="1184" spans="1:3" ht="14.5">
      <c r="A1184" s="2042" t="s">
        <v>3253</v>
      </c>
      <c r="B1184" s="380" t="str">
        <f t="shared" si="18"/>
        <v>243-906</v>
      </c>
      <c r="C1184" s="389">
        <v>1</v>
      </c>
    </row>
    <row r="1185" spans="1:3" ht="14.5">
      <c r="A1185" s="2042" t="s">
        <v>8523</v>
      </c>
      <c r="B1185" s="380" t="str">
        <f t="shared" si="18"/>
        <v>243-950</v>
      </c>
      <c r="C1185" s="389">
        <v>0</v>
      </c>
    </row>
    <row r="1186" spans="1:3" ht="14.5">
      <c r="A1186" s="2042" t="s">
        <v>5898</v>
      </c>
      <c r="B1186" s="380" t="str">
        <f t="shared" si="18"/>
        <v>244-901</v>
      </c>
      <c r="C1186" s="389">
        <v>1</v>
      </c>
    </row>
    <row r="1187" spans="1:3" ht="14.5">
      <c r="A1187" s="2042" t="s">
        <v>3256</v>
      </c>
      <c r="B1187" s="380" t="str">
        <f t="shared" si="18"/>
        <v>245-902</v>
      </c>
      <c r="C1187" s="389">
        <v>1</v>
      </c>
    </row>
    <row r="1188" spans="1:3" ht="14.5">
      <c r="A1188" s="2042" t="s">
        <v>5306</v>
      </c>
      <c r="B1188" s="380" t="str">
        <f t="shared" si="18"/>
        <v>244-903</v>
      </c>
      <c r="C1188" s="389">
        <v>1</v>
      </c>
    </row>
    <row r="1189" spans="1:3" ht="14.5">
      <c r="A1189" s="2042" t="s">
        <v>3254</v>
      </c>
      <c r="B1189" s="380" t="str">
        <f t="shared" si="18"/>
        <v>244-905</v>
      </c>
      <c r="C1189" s="389">
        <v>1</v>
      </c>
    </row>
    <row r="1190" spans="1:3" ht="14.5">
      <c r="A1190" s="2042" t="s">
        <v>3255</v>
      </c>
      <c r="B1190" s="380" t="str">
        <f t="shared" si="18"/>
        <v>245-901</v>
      </c>
      <c r="C1190" s="389">
        <v>1</v>
      </c>
    </row>
    <row r="1191" spans="1:3" ht="14.5">
      <c r="A1191" s="2042" t="s">
        <v>3257</v>
      </c>
      <c r="B1191" s="380" t="str">
        <f t="shared" si="18"/>
        <v>245-903</v>
      </c>
      <c r="C1191" s="389">
        <v>1</v>
      </c>
    </row>
    <row r="1192" spans="1:3" ht="14.5">
      <c r="A1192" s="2042" t="s">
        <v>3258</v>
      </c>
      <c r="B1192" s="380" t="str">
        <f t="shared" si="18"/>
        <v>245-904</v>
      </c>
      <c r="C1192" s="389">
        <v>1</v>
      </c>
    </row>
    <row r="1193" spans="1:3" ht="14.5">
      <c r="A1193" s="2042" t="s">
        <v>8115</v>
      </c>
      <c r="B1193" s="380" t="str">
        <f t="shared" si="18"/>
        <v>246-801</v>
      </c>
      <c r="C1193" s="389">
        <v>0</v>
      </c>
    </row>
    <row r="1194" spans="1:3" ht="14.5">
      <c r="A1194" s="2042" t="s">
        <v>8116</v>
      </c>
      <c r="B1194" s="380" t="str">
        <f t="shared" si="18"/>
        <v>246-802</v>
      </c>
      <c r="C1194" s="389">
        <v>0</v>
      </c>
    </row>
    <row r="1195" spans="1:3" ht="14.5">
      <c r="A1195" s="2042" t="s">
        <v>3259</v>
      </c>
      <c r="B1195" s="380" t="str">
        <f t="shared" si="18"/>
        <v>246-902</v>
      </c>
      <c r="C1195" s="389">
        <v>1</v>
      </c>
    </row>
    <row r="1196" spans="1:3" ht="14.5">
      <c r="A1196" s="629" t="s">
        <v>3260</v>
      </c>
      <c r="B1196" s="380" t="str">
        <f t="shared" si="18"/>
        <v>246-904</v>
      </c>
      <c r="C1196" s="389">
        <v>1</v>
      </c>
    </row>
    <row r="1197" spans="1:3" ht="14.5">
      <c r="A1197" s="2042" t="s">
        <v>3263</v>
      </c>
      <c r="B1197" s="380" t="str">
        <f t="shared" si="18"/>
        <v>246-908</v>
      </c>
      <c r="C1197" s="389">
        <v>1</v>
      </c>
    </row>
    <row r="1198" spans="1:3" ht="14.5">
      <c r="A1198" s="2042" t="s">
        <v>3261</v>
      </c>
      <c r="B1198" s="380" t="str">
        <f t="shared" si="18"/>
        <v>246-905</v>
      </c>
      <c r="C1198" s="389">
        <v>1</v>
      </c>
    </row>
    <row r="1199" spans="1:3" ht="14.5">
      <c r="A1199" s="2042" t="s">
        <v>3262</v>
      </c>
      <c r="B1199" s="380" t="str">
        <f t="shared" si="18"/>
        <v>246-906</v>
      </c>
      <c r="C1199" s="389">
        <v>1</v>
      </c>
    </row>
    <row r="1200" spans="1:3" ht="14.5">
      <c r="A1200" s="2042" t="s">
        <v>5307</v>
      </c>
      <c r="B1200" s="380" t="str">
        <f t="shared" si="18"/>
        <v>246-907</v>
      </c>
      <c r="C1200" s="389">
        <v>1</v>
      </c>
    </row>
    <row r="1201" spans="1:3" ht="14.5">
      <c r="A1201" s="2042" t="s">
        <v>4857</v>
      </c>
      <c r="B1201" s="380" t="str">
        <f t="shared" si="18"/>
        <v>246-909</v>
      </c>
      <c r="C1201" s="389">
        <v>0.99790000000000001</v>
      </c>
    </row>
    <row r="1202" spans="1:3" ht="14.5">
      <c r="A1202" s="2042" t="s">
        <v>3264</v>
      </c>
      <c r="B1202" s="380" t="str">
        <f t="shared" si="18"/>
        <v>246-911</v>
      </c>
      <c r="C1202" s="389">
        <v>1</v>
      </c>
    </row>
    <row r="1203" spans="1:3" ht="14.5">
      <c r="A1203" s="2042" t="s">
        <v>3265</v>
      </c>
      <c r="B1203" s="380" t="str">
        <f t="shared" si="18"/>
        <v>246-912</v>
      </c>
      <c r="C1203" s="389">
        <v>1</v>
      </c>
    </row>
    <row r="1204" spans="1:3" ht="14.5">
      <c r="A1204" s="2042" t="s">
        <v>3266</v>
      </c>
      <c r="B1204" s="380" t="str">
        <f t="shared" si="18"/>
        <v>246-913</v>
      </c>
      <c r="C1204" s="389">
        <v>0.98</v>
      </c>
    </row>
    <row r="1205" spans="1:3" ht="14.5">
      <c r="A1205" s="2042" t="s">
        <v>5899</v>
      </c>
      <c r="B1205" s="380" t="str">
        <f t="shared" si="18"/>
        <v>246-914</v>
      </c>
      <c r="C1205" s="389">
        <v>1</v>
      </c>
    </row>
    <row r="1206" spans="1:3" ht="14.5">
      <c r="A1206" s="2042" t="s">
        <v>3270</v>
      </c>
      <c r="B1206" s="380" t="str">
        <f t="shared" si="18"/>
        <v>247-906</v>
      </c>
      <c r="C1206" s="389">
        <v>0.98670000000000002</v>
      </c>
    </row>
    <row r="1207" spans="1:3" ht="14.5">
      <c r="A1207" s="2042" t="s">
        <v>3267</v>
      </c>
      <c r="B1207" s="380" t="str">
        <f t="shared" si="18"/>
        <v>247-901</v>
      </c>
      <c r="C1207" s="389">
        <v>1</v>
      </c>
    </row>
    <row r="1208" spans="1:3" ht="14.5">
      <c r="A1208" s="2042" t="s">
        <v>3268</v>
      </c>
      <c r="B1208" s="380" t="str">
        <f t="shared" si="18"/>
        <v>247-903</v>
      </c>
      <c r="C1208" s="389">
        <v>1</v>
      </c>
    </row>
    <row r="1209" spans="1:3" ht="14.5">
      <c r="A1209" s="2042" t="s">
        <v>3269</v>
      </c>
      <c r="B1209" s="380" t="str">
        <f t="shared" si="18"/>
        <v>247-904</v>
      </c>
      <c r="C1209" s="389">
        <v>0.99330000000000007</v>
      </c>
    </row>
    <row r="1210" spans="1:3" ht="14.5">
      <c r="A1210" s="2042" t="s">
        <v>5308</v>
      </c>
      <c r="B1210" s="380" t="str">
        <f t="shared" si="18"/>
        <v>248-901</v>
      </c>
      <c r="C1210" s="389">
        <v>1</v>
      </c>
    </row>
    <row r="1211" spans="1:3" ht="14.5">
      <c r="A1211" s="2042" t="s">
        <v>5309</v>
      </c>
      <c r="B1211" s="380" t="str">
        <f t="shared" si="18"/>
        <v>248-902</v>
      </c>
      <c r="C1211" s="389">
        <v>1</v>
      </c>
    </row>
    <row r="1212" spans="1:3" ht="14.5">
      <c r="A1212" s="2042" t="s">
        <v>3271</v>
      </c>
      <c r="B1212" s="380" t="str">
        <f t="shared" si="18"/>
        <v>249-901</v>
      </c>
      <c r="C1212" s="389">
        <v>1</v>
      </c>
    </row>
    <row r="1213" spans="1:3" ht="14.5">
      <c r="A1213" s="2042" t="s">
        <v>5310</v>
      </c>
      <c r="B1213" s="380" t="str">
        <f t="shared" si="18"/>
        <v>249-902</v>
      </c>
      <c r="C1213" s="389">
        <v>0.98</v>
      </c>
    </row>
    <row r="1214" spans="1:3" ht="14.5">
      <c r="A1214" s="2042" t="s">
        <v>5311</v>
      </c>
      <c r="B1214" s="380" t="str">
        <f t="shared" si="18"/>
        <v>249-903</v>
      </c>
      <c r="C1214" s="389">
        <v>0.98</v>
      </c>
    </row>
    <row r="1215" spans="1:3" ht="14.5">
      <c r="A1215" s="2042" t="s">
        <v>3273</v>
      </c>
      <c r="B1215" s="380" t="str">
        <f t="shared" si="18"/>
        <v>249-908</v>
      </c>
      <c r="C1215" s="389">
        <v>1</v>
      </c>
    </row>
    <row r="1216" spans="1:3" ht="14.5">
      <c r="A1216" s="2042" t="s">
        <v>5312</v>
      </c>
      <c r="B1216" s="380" t="str">
        <f t="shared" si="18"/>
        <v>249-904</v>
      </c>
      <c r="C1216" s="389">
        <v>0.98</v>
      </c>
    </row>
    <row r="1217" spans="1:3" ht="14.5">
      <c r="A1217" s="2042" t="s">
        <v>5313</v>
      </c>
      <c r="B1217" s="380" t="str">
        <f t="shared" si="18"/>
        <v>249-905</v>
      </c>
      <c r="C1217" s="389">
        <v>0.98</v>
      </c>
    </row>
    <row r="1218" spans="1:3" ht="14.5">
      <c r="A1218" s="2042" t="s">
        <v>3272</v>
      </c>
      <c r="B1218" s="380" t="str">
        <f t="shared" si="18"/>
        <v>249-906</v>
      </c>
      <c r="C1218" s="389">
        <v>1</v>
      </c>
    </row>
    <row r="1219" spans="1:3" ht="14.5">
      <c r="A1219" s="2042" t="s">
        <v>5314</v>
      </c>
      <c r="B1219" s="380" t="str">
        <f t="shared" ref="B1219:B1232" si="19">CONCATENATE(LEFT(RIGHT(CONCATENATE("000",A1219),6),3),"-",(RIGHT(RIGHT(CONCATENATE("000",A1219),6),3)))</f>
        <v>250-902</v>
      </c>
      <c r="C1219" s="389">
        <v>0.98</v>
      </c>
    </row>
    <row r="1220" spans="1:3" ht="14.5">
      <c r="A1220" s="2042" t="s">
        <v>5900</v>
      </c>
      <c r="B1220" s="380" t="str">
        <f t="shared" si="19"/>
        <v>250-903</v>
      </c>
      <c r="C1220" s="389">
        <v>1</v>
      </c>
    </row>
    <row r="1221" spans="1:3" ht="14.5">
      <c r="A1221" s="2042" t="s">
        <v>5315</v>
      </c>
      <c r="B1221" s="380" t="str">
        <f t="shared" si="19"/>
        <v>250-904</v>
      </c>
      <c r="C1221" s="389">
        <v>1</v>
      </c>
    </row>
    <row r="1222" spans="1:3" ht="14.5">
      <c r="A1222" s="2042" t="s">
        <v>5316</v>
      </c>
      <c r="B1222" s="380" t="str">
        <f t="shared" si="19"/>
        <v>250-905</v>
      </c>
      <c r="C1222" s="389">
        <v>0.98</v>
      </c>
    </row>
    <row r="1223" spans="1:3" ht="14.5">
      <c r="A1223" s="2042" t="s">
        <v>5317</v>
      </c>
      <c r="B1223" s="380" t="str">
        <f t="shared" si="19"/>
        <v>250-906</v>
      </c>
      <c r="C1223" s="389">
        <v>1</v>
      </c>
    </row>
    <row r="1224" spans="1:3" ht="14.5">
      <c r="A1224" s="2042" t="s">
        <v>5901</v>
      </c>
      <c r="B1224" s="380" t="str">
        <f t="shared" si="19"/>
        <v>250-907</v>
      </c>
      <c r="C1224" s="389">
        <v>1</v>
      </c>
    </row>
    <row r="1225" spans="1:3" ht="14.5">
      <c r="A1225" s="2042" t="s">
        <v>5320</v>
      </c>
      <c r="B1225" s="380" t="str">
        <f t="shared" si="19"/>
        <v>252-902</v>
      </c>
      <c r="C1225" s="389">
        <v>1</v>
      </c>
    </row>
    <row r="1226" spans="1:3" ht="14.5">
      <c r="A1226" s="2042" t="s">
        <v>5318</v>
      </c>
      <c r="B1226" s="380" t="str">
        <f t="shared" si="19"/>
        <v>251-901</v>
      </c>
      <c r="C1226" s="389">
        <v>1</v>
      </c>
    </row>
    <row r="1227" spans="1:3" ht="14.5">
      <c r="A1227" s="2042" t="s">
        <v>5319</v>
      </c>
      <c r="B1227" s="380" t="str">
        <f t="shared" si="19"/>
        <v>251-902</v>
      </c>
      <c r="C1227" s="389">
        <v>0.98</v>
      </c>
    </row>
    <row r="1228" spans="1:3" ht="14.5">
      <c r="A1228" s="2042" t="s">
        <v>3274</v>
      </c>
      <c r="B1228" s="380" t="str">
        <f t="shared" si="19"/>
        <v>252-901</v>
      </c>
      <c r="C1228" s="389">
        <v>0.98</v>
      </c>
    </row>
    <row r="1229" spans="1:3" ht="14.5">
      <c r="A1229" s="2042" t="s">
        <v>3275</v>
      </c>
      <c r="B1229" s="380" t="str">
        <f t="shared" si="19"/>
        <v>252-903</v>
      </c>
      <c r="C1229" s="389">
        <v>1</v>
      </c>
    </row>
    <row r="1230" spans="1:3" ht="14.5">
      <c r="A1230" s="2042" t="s">
        <v>5902</v>
      </c>
      <c r="B1230" s="380" t="str">
        <f t="shared" si="19"/>
        <v>253-901</v>
      </c>
      <c r="C1230" s="389">
        <v>1</v>
      </c>
    </row>
    <row r="1231" spans="1:3" ht="14.5">
      <c r="A1231" s="2042" t="s">
        <v>3276</v>
      </c>
      <c r="B1231" s="380" t="str">
        <f t="shared" si="19"/>
        <v>254-901</v>
      </c>
      <c r="C1231" s="389">
        <v>0.98670000000000002</v>
      </c>
    </row>
    <row r="1232" spans="1:3" ht="14.5">
      <c r="A1232" s="2042" t="s">
        <v>3277</v>
      </c>
      <c r="B1232" s="380" t="str">
        <f t="shared" si="19"/>
        <v>254-902</v>
      </c>
      <c r="C1232" s="389">
        <v>1</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P1023"/>
  <sheetViews>
    <sheetView workbookViewId="0">
      <selection activeCell="B2" sqref="B2"/>
    </sheetView>
  </sheetViews>
  <sheetFormatPr defaultColWidth="8.7265625" defaultRowHeight="12.5"/>
  <cols>
    <col min="1" max="2" width="8.7265625" style="2042"/>
    <col min="3" max="3" width="19" style="2042" customWidth="1"/>
    <col min="4" max="6" width="15.54296875" style="2043" customWidth="1"/>
    <col min="7" max="7" width="13.453125" style="2042" customWidth="1"/>
    <col min="8" max="8" width="12.453125" style="2042" customWidth="1"/>
    <col min="9" max="9" width="12.7265625" style="2042" customWidth="1"/>
    <col min="10" max="10" width="9.453125" style="41" customWidth="1"/>
    <col min="11" max="11" width="9" style="2042" customWidth="1"/>
    <col min="12" max="12" width="15.54296875" style="2042" customWidth="1"/>
    <col min="13" max="13" width="12.54296875" style="2042" customWidth="1"/>
    <col min="14" max="16" width="12.54296875" style="2043" customWidth="1"/>
    <col min="17" max="16384" width="8.7265625" style="2042"/>
  </cols>
  <sheetData>
    <row r="1" spans="1:16" ht="58">
      <c r="A1" s="2199" t="s">
        <v>9103</v>
      </c>
      <c r="B1" s="2199"/>
      <c r="C1" s="2199" t="s">
        <v>9055</v>
      </c>
      <c r="D1" s="2200" t="s">
        <v>9056</v>
      </c>
      <c r="E1" s="2200" t="s">
        <v>9057</v>
      </c>
      <c r="F1" s="2200" t="s">
        <v>9058</v>
      </c>
      <c r="G1" s="2201" t="s">
        <v>9104</v>
      </c>
      <c r="H1" s="2202" t="s">
        <v>9105</v>
      </c>
      <c r="I1" s="2203" t="s">
        <v>9059</v>
      </c>
      <c r="J1" s="2199" t="s">
        <v>9060</v>
      </c>
      <c r="K1" s="2204" t="s">
        <v>2609</v>
      </c>
      <c r="L1" s="2205" t="s">
        <v>9106</v>
      </c>
      <c r="M1" s="2206" t="s">
        <v>9107</v>
      </c>
      <c r="N1" s="2207" t="s">
        <v>9108</v>
      </c>
      <c r="O1" s="2207" t="s">
        <v>9109</v>
      </c>
      <c r="P1" s="2207" t="s">
        <v>9110</v>
      </c>
    </row>
    <row r="2" spans="1:16" ht="14.5">
      <c r="A2" s="2042" t="s">
        <v>5069</v>
      </c>
      <c r="B2" s="380" t="str">
        <f>CONCATENATE(LEFT(RIGHT(CONCATENATE("000",A2),6),3),"-",(RIGHT(RIGHT(CONCATENATE("000",A2),6),3)))</f>
        <v>101-912</v>
      </c>
      <c r="C2" s="2042" t="s">
        <v>456</v>
      </c>
      <c r="D2" s="2043">
        <v>210518</v>
      </c>
      <c r="E2" s="2043">
        <v>188921</v>
      </c>
      <c r="F2" s="2043">
        <f>MAX(0,E2-D2)</f>
        <v>0</v>
      </c>
      <c r="G2" s="2043">
        <f>MAX(0,F2-250)</f>
        <v>0</v>
      </c>
      <c r="H2" s="2208">
        <v>0</v>
      </c>
      <c r="I2" s="2209">
        <v>0</v>
      </c>
      <c r="J2" s="2210">
        <v>0</v>
      </c>
      <c r="K2" s="2208">
        <v>0</v>
      </c>
      <c r="L2" s="2208">
        <v>0</v>
      </c>
      <c r="M2" s="2211">
        <v>0</v>
      </c>
      <c r="N2" s="2212">
        <v>0</v>
      </c>
      <c r="O2" s="1118">
        <f>IF(M2&gt;N2,M2-N2,0)</f>
        <v>0</v>
      </c>
      <c r="P2" s="2213">
        <f>(40000000/$O$1022)*O2</f>
        <v>0</v>
      </c>
    </row>
    <row r="3" spans="1:16" ht="14.5">
      <c r="A3" s="2042" t="s">
        <v>4988</v>
      </c>
      <c r="B3" s="380" t="str">
        <f t="shared" ref="B3:B66" si="0">CONCATENATE(LEFT(RIGHT(CONCATENATE("000",A3),6),3),"-",(RIGHT(RIGHT(CONCATENATE("000",A3),6),3)))</f>
        <v>057-905</v>
      </c>
      <c r="C3" s="2042" t="s">
        <v>118</v>
      </c>
      <c r="D3" s="2043">
        <v>158604</v>
      </c>
      <c r="E3" s="2043">
        <v>145113</v>
      </c>
      <c r="F3" s="2043">
        <f t="shared" ref="F3:F66" si="1">MAX(0,E3-D3)</f>
        <v>0</v>
      </c>
      <c r="G3" s="2043">
        <f t="shared" ref="G3:G66" si="2">MAX(0,F3-250)</f>
        <v>0</v>
      </c>
      <c r="H3" s="2208">
        <v>0</v>
      </c>
      <c r="I3" s="2209">
        <v>0</v>
      </c>
      <c r="J3" s="2210">
        <v>0</v>
      </c>
      <c r="K3" s="2208">
        <v>0</v>
      </c>
      <c r="L3" s="2208">
        <v>0</v>
      </c>
      <c r="M3" s="2211">
        <v>0</v>
      </c>
      <c r="N3" s="2212">
        <v>0</v>
      </c>
      <c r="O3" s="1118">
        <f t="shared" ref="O3:O66" si="3">IF(M3&gt;N3,M3-N3,0)</f>
        <v>0</v>
      </c>
      <c r="P3" s="2213">
        <f t="shared" ref="P3:P66" si="4">(40000000/$O$1022)*O3</f>
        <v>0</v>
      </c>
    </row>
    <row r="4" spans="1:16" ht="14.5">
      <c r="A4" s="2042" t="s">
        <v>5266</v>
      </c>
      <c r="B4" s="380" t="str">
        <f t="shared" si="0"/>
        <v>220-905</v>
      </c>
      <c r="C4" s="2042" t="s">
        <v>1203</v>
      </c>
      <c r="D4" s="2043">
        <v>87080</v>
      </c>
      <c r="E4" s="2043">
        <v>76858</v>
      </c>
      <c r="F4" s="2043">
        <f t="shared" si="1"/>
        <v>0</v>
      </c>
      <c r="G4" s="2043">
        <f t="shared" si="2"/>
        <v>0</v>
      </c>
      <c r="H4" s="2208">
        <v>0</v>
      </c>
      <c r="I4" s="2209">
        <v>0</v>
      </c>
      <c r="J4" s="2210">
        <v>0</v>
      </c>
      <c r="K4" s="2208">
        <v>0</v>
      </c>
      <c r="L4" s="2208">
        <v>0</v>
      </c>
      <c r="M4" s="2211">
        <v>0</v>
      </c>
      <c r="N4" s="2212">
        <v>0</v>
      </c>
      <c r="O4" s="1118">
        <f t="shared" si="3"/>
        <v>0</v>
      </c>
      <c r="P4" s="2213">
        <f t="shared" si="4"/>
        <v>0</v>
      </c>
    </row>
    <row r="5" spans="1:16" ht="14.5">
      <c r="A5" s="2042" t="s">
        <v>2981</v>
      </c>
      <c r="B5" s="380" t="str">
        <f t="shared" si="0"/>
        <v>071-902</v>
      </c>
      <c r="C5" s="2042" t="s">
        <v>1866</v>
      </c>
      <c r="D5" s="2043">
        <v>60047</v>
      </c>
      <c r="E5" s="2043">
        <v>50661</v>
      </c>
      <c r="F5" s="2043">
        <f t="shared" si="1"/>
        <v>0</v>
      </c>
      <c r="G5" s="2043">
        <f t="shared" si="2"/>
        <v>0</v>
      </c>
      <c r="H5" s="2208">
        <v>0</v>
      </c>
      <c r="I5" s="2209">
        <v>0</v>
      </c>
      <c r="J5" s="2210">
        <v>0</v>
      </c>
      <c r="K5" s="2208">
        <v>0</v>
      </c>
      <c r="L5" s="2208">
        <v>0</v>
      </c>
      <c r="M5" s="2211">
        <v>0</v>
      </c>
      <c r="N5" s="2212">
        <v>0</v>
      </c>
      <c r="O5" s="1118">
        <f t="shared" si="3"/>
        <v>0</v>
      </c>
      <c r="P5" s="2213">
        <f t="shared" si="4"/>
        <v>0</v>
      </c>
    </row>
    <row r="6" spans="1:16" ht="14.5">
      <c r="A6" s="2042" t="s">
        <v>5279</v>
      </c>
      <c r="B6" s="380" t="str">
        <f t="shared" si="0"/>
        <v>227-901</v>
      </c>
      <c r="C6" s="2042" t="s">
        <v>1801</v>
      </c>
      <c r="D6" s="2043">
        <v>83648</v>
      </c>
      <c r="E6" s="2043">
        <v>74871</v>
      </c>
      <c r="F6" s="2043">
        <f t="shared" si="1"/>
        <v>0</v>
      </c>
      <c r="G6" s="2043">
        <f t="shared" si="2"/>
        <v>0</v>
      </c>
      <c r="H6" s="2208">
        <v>0</v>
      </c>
      <c r="I6" s="2209">
        <v>0</v>
      </c>
      <c r="J6" s="2210">
        <v>0</v>
      </c>
      <c r="K6" s="2208">
        <v>0</v>
      </c>
      <c r="L6" s="2208">
        <v>0</v>
      </c>
      <c r="M6" s="2211">
        <v>0</v>
      </c>
      <c r="N6" s="2212">
        <v>0</v>
      </c>
      <c r="O6" s="1118">
        <f t="shared" si="3"/>
        <v>0</v>
      </c>
      <c r="P6" s="2213">
        <f t="shared" si="4"/>
        <v>0</v>
      </c>
    </row>
    <row r="7" spans="1:16" ht="14.5">
      <c r="A7" s="2042" t="s">
        <v>2881</v>
      </c>
      <c r="B7" s="380" t="str">
        <f t="shared" si="0"/>
        <v>015-910</v>
      </c>
      <c r="C7" s="2042" t="s">
        <v>2163</v>
      </c>
      <c r="D7" s="2043">
        <v>67779</v>
      </c>
      <c r="E7" s="2043">
        <v>60483</v>
      </c>
      <c r="F7" s="2043">
        <f t="shared" si="1"/>
        <v>0</v>
      </c>
      <c r="G7" s="2043">
        <f t="shared" si="2"/>
        <v>0</v>
      </c>
      <c r="H7" s="2208">
        <v>0</v>
      </c>
      <c r="I7" s="2209">
        <v>0</v>
      </c>
      <c r="J7" s="2210">
        <v>0</v>
      </c>
      <c r="K7" s="2208">
        <v>0</v>
      </c>
      <c r="L7" s="2208">
        <v>0</v>
      </c>
      <c r="M7" s="2211">
        <v>0</v>
      </c>
      <c r="N7" s="2212">
        <v>0</v>
      </c>
      <c r="O7" s="1118">
        <f t="shared" si="3"/>
        <v>0</v>
      </c>
      <c r="P7" s="2213">
        <f t="shared" si="4"/>
        <v>0</v>
      </c>
    </row>
    <row r="8" spans="1:16" ht="14.5">
      <c r="A8" s="2042" t="s">
        <v>2878</v>
      </c>
      <c r="B8" s="380" t="str">
        <f t="shared" si="0"/>
        <v>015-907</v>
      </c>
      <c r="C8" s="2042" t="s">
        <v>1915</v>
      </c>
      <c r="D8" s="2043">
        <v>53069</v>
      </c>
      <c r="E8" s="2043">
        <v>45802</v>
      </c>
      <c r="F8" s="2043">
        <f t="shared" si="1"/>
        <v>0</v>
      </c>
      <c r="G8" s="2043">
        <f t="shared" si="2"/>
        <v>0</v>
      </c>
      <c r="H8" s="2208">
        <v>0</v>
      </c>
      <c r="I8" s="2209">
        <v>0</v>
      </c>
      <c r="J8" s="2210">
        <v>0</v>
      </c>
      <c r="K8" s="2208">
        <v>0</v>
      </c>
      <c r="L8" s="2208">
        <v>0</v>
      </c>
      <c r="M8" s="2211">
        <v>0</v>
      </c>
      <c r="N8" s="2212">
        <v>0</v>
      </c>
      <c r="O8" s="1118">
        <f t="shared" si="3"/>
        <v>0</v>
      </c>
      <c r="P8" s="2213">
        <f t="shared" si="4"/>
        <v>0</v>
      </c>
    </row>
    <row r="9" spans="1:16" ht="14.5">
      <c r="A9" s="2042" t="s">
        <v>3019</v>
      </c>
      <c r="B9" s="380" t="str">
        <f t="shared" si="0"/>
        <v>101-902</v>
      </c>
      <c r="C9" s="2042" t="s">
        <v>658</v>
      </c>
      <c r="D9" s="2043">
        <v>70417</v>
      </c>
      <c r="E9" s="2043">
        <v>63302</v>
      </c>
      <c r="F9" s="2043">
        <f t="shared" si="1"/>
        <v>0</v>
      </c>
      <c r="G9" s="2043">
        <f t="shared" si="2"/>
        <v>0</v>
      </c>
      <c r="H9" s="2208">
        <v>0</v>
      </c>
      <c r="I9" s="2209">
        <v>0</v>
      </c>
      <c r="J9" s="2210">
        <v>0</v>
      </c>
      <c r="K9" s="2208">
        <v>0</v>
      </c>
      <c r="L9" s="2208">
        <v>0</v>
      </c>
      <c r="M9" s="2211">
        <v>0</v>
      </c>
      <c r="N9" s="2212">
        <v>0</v>
      </c>
      <c r="O9" s="1118">
        <f t="shared" si="3"/>
        <v>0</v>
      </c>
      <c r="P9" s="2213">
        <f t="shared" si="4"/>
        <v>0</v>
      </c>
    </row>
    <row r="10" spans="1:16" ht="14.5">
      <c r="A10" s="2042" t="s">
        <v>2914</v>
      </c>
      <c r="B10" s="380" t="str">
        <f t="shared" si="0"/>
        <v>031-901</v>
      </c>
      <c r="C10" s="2042" t="s">
        <v>2490</v>
      </c>
      <c r="D10" s="2043">
        <v>47749</v>
      </c>
      <c r="E10" s="2043">
        <v>40765</v>
      </c>
      <c r="F10" s="2043">
        <f t="shared" si="1"/>
        <v>0</v>
      </c>
      <c r="G10" s="2043">
        <f t="shared" si="2"/>
        <v>0</v>
      </c>
      <c r="H10" s="2208">
        <v>0</v>
      </c>
      <c r="I10" s="2209">
        <v>0</v>
      </c>
      <c r="J10" s="2210">
        <v>0</v>
      </c>
      <c r="K10" s="2208">
        <v>0</v>
      </c>
      <c r="L10" s="2208">
        <v>0</v>
      </c>
      <c r="M10" s="2211">
        <v>0</v>
      </c>
      <c r="N10" s="2212">
        <v>0</v>
      </c>
      <c r="O10" s="1118">
        <f t="shared" si="3"/>
        <v>0</v>
      </c>
      <c r="P10" s="2213">
        <f t="shared" si="4"/>
        <v>0</v>
      </c>
    </row>
    <row r="11" spans="1:16" ht="14.5">
      <c r="A11" s="2042" t="s">
        <v>3206</v>
      </c>
      <c r="B11" s="380" t="str">
        <f t="shared" si="0"/>
        <v>220-901</v>
      </c>
      <c r="C11" s="2042" t="s">
        <v>2283</v>
      </c>
      <c r="D11" s="2043">
        <v>63210</v>
      </c>
      <c r="E11" s="2043">
        <v>56840</v>
      </c>
      <c r="F11" s="2043">
        <f t="shared" si="1"/>
        <v>0</v>
      </c>
      <c r="G11" s="2043">
        <f t="shared" si="2"/>
        <v>0</v>
      </c>
      <c r="H11" s="2208">
        <v>0</v>
      </c>
      <c r="I11" s="2209">
        <v>0</v>
      </c>
      <c r="J11" s="2210">
        <v>0</v>
      </c>
      <c r="K11" s="2208">
        <v>0</v>
      </c>
      <c r="L11" s="2208">
        <v>0</v>
      </c>
      <c r="M11" s="2211">
        <v>0</v>
      </c>
      <c r="N11" s="2212">
        <v>0</v>
      </c>
      <c r="O11" s="1118">
        <f t="shared" si="3"/>
        <v>0</v>
      </c>
      <c r="P11" s="2213">
        <f t="shared" si="4"/>
        <v>0</v>
      </c>
    </row>
    <row r="12" spans="1:16" ht="14.5">
      <c r="A12" s="2042" t="s">
        <v>3020</v>
      </c>
      <c r="B12" s="380" t="str">
        <f t="shared" si="0"/>
        <v>101-903</v>
      </c>
      <c r="C12" s="2042" t="s">
        <v>1874</v>
      </c>
      <c r="D12" s="2043">
        <v>47265</v>
      </c>
      <c r="E12" s="2043">
        <v>41724</v>
      </c>
      <c r="F12" s="2043">
        <f t="shared" si="1"/>
        <v>0</v>
      </c>
      <c r="G12" s="2043">
        <f t="shared" si="2"/>
        <v>0</v>
      </c>
      <c r="H12" s="2208">
        <v>0</v>
      </c>
      <c r="I12" s="2209">
        <v>0</v>
      </c>
      <c r="J12" s="2210">
        <v>0</v>
      </c>
      <c r="K12" s="2208">
        <v>0</v>
      </c>
      <c r="L12" s="2208">
        <v>0</v>
      </c>
      <c r="M12" s="2211">
        <v>0</v>
      </c>
      <c r="N12" s="2212">
        <v>0</v>
      </c>
      <c r="O12" s="1118">
        <f t="shared" si="3"/>
        <v>0</v>
      </c>
      <c r="P12" s="2213">
        <f t="shared" si="4"/>
        <v>0</v>
      </c>
    </row>
    <row r="13" spans="1:16" ht="14.5">
      <c r="A13" s="2042" t="s">
        <v>3027</v>
      </c>
      <c r="B13" s="380" t="str">
        <f t="shared" si="0"/>
        <v>101-917</v>
      </c>
      <c r="C13" s="2042" t="s">
        <v>258</v>
      </c>
      <c r="D13" s="2043">
        <v>56019</v>
      </c>
      <c r="E13" s="2043">
        <v>50614</v>
      </c>
      <c r="F13" s="2043">
        <f t="shared" si="1"/>
        <v>0</v>
      </c>
      <c r="G13" s="2043">
        <f t="shared" si="2"/>
        <v>0</v>
      </c>
      <c r="H13" s="2208">
        <v>0</v>
      </c>
      <c r="I13" s="2209">
        <v>0</v>
      </c>
      <c r="J13" s="2210">
        <v>0</v>
      </c>
      <c r="K13" s="2208">
        <v>0</v>
      </c>
      <c r="L13" s="2208">
        <v>0</v>
      </c>
      <c r="M13" s="2211">
        <v>0</v>
      </c>
      <c r="N13" s="2212">
        <v>0</v>
      </c>
      <c r="O13" s="1118">
        <f t="shared" si="3"/>
        <v>0</v>
      </c>
      <c r="P13" s="2213">
        <f t="shared" si="4"/>
        <v>0</v>
      </c>
    </row>
    <row r="14" spans="1:16" ht="14.5">
      <c r="A14" s="2042" t="s">
        <v>4972</v>
      </c>
      <c r="B14" s="380" t="str">
        <f t="shared" si="0"/>
        <v>043-910</v>
      </c>
      <c r="C14" s="2042" t="s">
        <v>2077</v>
      </c>
      <c r="D14" s="2043">
        <v>54570</v>
      </c>
      <c r="E14" s="2043">
        <v>50154</v>
      </c>
      <c r="F14" s="2043">
        <f t="shared" si="1"/>
        <v>0</v>
      </c>
      <c r="G14" s="2043">
        <f t="shared" si="2"/>
        <v>0</v>
      </c>
      <c r="H14" s="2208">
        <v>0</v>
      </c>
      <c r="I14" s="2209">
        <v>0</v>
      </c>
      <c r="J14" s="2210">
        <v>0</v>
      </c>
      <c r="K14" s="2208">
        <v>0</v>
      </c>
      <c r="L14" s="2208">
        <v>0</v>
      </c>
      <c r="M14" s="2211">
        <v>0</v>
      </c>
      <c r="N14" s="2212">
        <v>0</v>
      </c>
      <c r="O14" s="1118">
        <f t="shared" si="3"/>
        <v>0</v>
      </c>
      <c r="P14" s="2213">
        <f t="shared" si="4"/>
        <v>0</v>
      </c>
    </row>
    <row r="15" spans="1:16" ht="14.5">
      <c r="A15" s="2042" t="s">
        <v>2960</v>
      </c>
      <c r="B15" s="380" t="str">
        <f t="shared" si="0"/>
        <v>061-902</v>
      </c>
      <c r="C15" s="2042" t="s">
        <v>2327</v>
      </c>
      <c r="D15" s="2043">
        <v>53490</v>
      </c>
      <c r="E15" s="2043">
        <v>49361</v>
      </c>
      <c r="F15" s="2043">
        <f t="shared" si="1"/>
        <v>0</v>
      </c>
      <c r="G15" s="2043">
        <f t="shared" si="2"/>
        <v>0</v>
      </c>
      <c r="H15" s="2208">
        <v>0</v>
      </c>
      <c r="I15" s="2209">
        <v>0</v>
      </c>
      <c r="J15" s="2210">
        <v>0</v>
      </c>
      <c r="K15" s="2208">
        <v>0</v>
      </c>
      <c r="L15" s="2208">
        <v>0</v>
      </c>
      <c r="M15" s="2211">
        <v>0</v>
      </c>
      <c r="N15" s="2212">
        <v>0</v>
      </c>
      <c r="O15" s="1118">
        <f t="shared" si="3"/>
        <v>0</v>
      </c>
      <c r="P15" s="2213">
        <f t="shared" si="4"/>
        <v>0</v>
      </c>
    </row>
    <row r="16" spans="1:16" ht="14.5">
      <c r="A16" s="2042" t="s">
        <v>3161</v>
      </c>
      <c r="B16" s="380" t="str">
        <f t="shared" si="0"/>
        <v>178-904</v>
      </c>
      <c r="C16" s="2042" t="s">
        <v>1038</v>
      </c>
      <c r="D16" s="2043">
        <v>38614</v>
      </c>
      <c r="E16" s="2043">
        <v>34511</v>
      </c>
      <c r="F16" s="2043">
        <f t="shared" si="1"/>
        <v>0</v>
      </c>
      <c r="G16" s="2043">
        <f t="shared" si="2"/>
        <v>0</v>
      </c>
      <c r="H16" s="2208">
        <v>0</v>
      </c>
      <c r="I16" s="2209">
        <v>0</v>
      </c>
      <c r="J16" s="2210">
        <v>0</v>
      </c>
      <c r="K16" s="2208">
        <v>0</v>
      </c>
      <c r="L16" s="2208">
        <v>0</v>
      </c>
      <c r="M16" s="2211">
        <v>0</v>
      </c>
      <c r="N16" s="2212">
        <v>0</v>
      </c>
      <c r="O16" s="1118">
        <f t="shared" si="3"/>
        <v>0</v>
      </c>
      <c r="P16" s="2213">
        <f t="shared" si="4"/>
        <v>0</v>
      </c>
    </row>
    <row r="17" spans="1:16" ht="14.5">
      <c r="A17" s="2042" t="s">
        <v>3867</v>
      </c>
      <c r="B17" s="380" t="str">
        <f t="shared" si="0"/>
        <v>071-905</v>
      </c>
      <c r="C17" s="2042" t="s">
        <v>716</v>
      </c>
      <c r="D17" s="2043">
        <v>42266</v>
      </c>
      <c r="E17" s="2043">
        <v>38390</v>
      </c>
      <c r="F17" s="2043">
        <f t="shared" si="1"/>
        <v>0</v>
      </c>
      <c r="G17" s="2043">
        <f t="shared" si="2"/>
        <v>0</v>
      </c>
      <c r="H17" s="2208">
        <v>0</v>
      </c>
      <c r="I17" s="2209">
        <v>0</v>
      </c>
      <c r="J17" s="2210">
        <v>0</v>
      </c>
      <c r="K17" s="2208">
        <v>0</v>
      </c>
      <c r="L17" s="2208">
        <v>0</v>
      </c>
      <c r="M17" s="2211">
        <v>0</v>
      </c>
      <c r="N17" s="2212">
        <v>0</v>
      </c>
      <c r="O17" s="1118">
        <f t="shared" si="3"/>
        <v>0</v>
      </c>
      <c r="P17" s="2213">
        <f t="shared" si="4"/>
        <v>0</v>
      </c>
    </row>
    <row r="18" spans="1:16" ht="14.5">
      <c r="A18" s="2042" t="s">
        <v>2954</v>
      </c>
      <c r="B18" s="380" t="str">
        <f t="shared" si="0"/>
        <v>057-909</v>
      </c>
      <c r="C18" s="2042" t="s">
        <v>1394</v>
      </c>
      <c r="D18" s="2043">
        <v>57517</v>
      </c>
      <c r="E18" s="2043">
        <v>53921</v>
      </c>
      <c r="F18" s="2043">
        <f t="shared" si="1"/>
        <v>0</v>
      </c>
      <c r="G18" s="2043">
        <f t="shared" si="2"/>
        <v>0</v>
      </c>
      <c r="H18" s="2208">
        <v>0</v>
      </c>
      <c r="I18" s="2209">
        <v>0</v>
      </c>
      <c r="J18" s="2210">
        <v>0</v>
      </c>
      <c r="K18" s="2208">
        <v>0</v>
      </c>
      <c r="L18" s="2208">
        <v>0</v>
      </c>
      <c r="M18" s="2211">
        <v>0</v>
      </c>
      <c r="N18" s="2212">
        <v>0</v>
      </c>
      <c r="O18" s="1118">
        <f t="shared" si="3"/>
        <v>0</v>
      </c>
      <c r="P18" s="2213">
        <f t="shared" si="4"/>
        <v>0</v>
      </c>
    </row>
    <row r="19" spans="1:16" ht="14.5">
      <c r="A19" s="2042" t="s">
        <v>5071</v>
      </c>
      <c r="B19" s="380" t="str">
        <f t="shared" si="0"/>
        <v>101-919</v>
      </c>
      <c r="C19" s="2042" t="s">
        <v>458</v>
      </c>
      <c r="D19" s="2043">
        <v>36890</v>
      </c>
      <c r="E19" s="2043">
        <v>33567</v>
      </c>
      <c r="F19" s="2043">
        <f t="shared" si="1"/>
        <v>0</v>
      </c>
      <c r="G19" s="2043">
        <f t="shared" si="2"/>
        <v>0</v>
      </c>
      <c r="H19" s="2208">
        <v>0</v>
      </c>
      <c r="I19" s="2209">
        <v>0</v>
      </c>
      <c r="J19" s="2210">
        <v>0</v>
      </c>
      <c r="K19" s="2208">
        <v>0</v>
      </c>
      <c r="L19" s="2208">
        <v>0</v>
      </c>
      <c r="M19" s="2211">
        <v>0</v>
      </c>
      <c r="N19" s="2212">
        <v>0</v>
      </c>
      <c r="O19" s="1118">
        <f t="shared" si="3"/>
        <v>0</v>
      </c>
      <c r="P19" s="2213">
        <f t="shared" si="4"/>
        <v>0</v>
      </c>
    </row>
    <row r="20" spans="1:16" ht="14.5">
      <c r="A20" s="2042" t="s">
        <v>3043</v>
      </c>
      <c r="B20" s="380" t="str">
        <f t="shared" si="0"/>
        <v>108-912</v>
      </c>
      <c r="C20" s="2042" t="s">
        <v>1790</v>
      </c>
      <c r="D20" s="2043">
        <v>29590</v>
      </c>
      <c r="E20" s="2043">
        <v>26638</v>
      </c>
      <c r="F20" s="2043">
        <f t="shared" si="1"/>
        <v>0</v>
      </c>
      <c r="G20" s="2043">
        <f t="shared" si="2"/>
        <v>0</v>
      </c>
      <c r="H20" s="2208">
        <v>0</v>
      </c>
      <c r="I20" s="2209">
        <v>0</v>
      </c>
      <c r="J20" s="2210">
        <v>0</v>
      </c>
      <c r="K20" s="2208">
        <v>0</v>
      </c>
      <c r="L20" s="2208">
        <v>0</v>
      </c>
      <c r="M20" s="2211">
        <v>0</v>
      </c>
      <c r="N20" s="2212">
        <v>0</v>
      </c>
      <c r="O20" s="1118">
        <f t="shared" si="3"/>
        <v>0</v>
      </c>
      <c r="P20" s="2213">
        <f t="shared" si="4"/>
        <v>0</v>
      </c>
    </row>
    <row r="21" spans="1:16" ht="14.5">
      <c r="A21" s="2042" t="s">
        <v>3037</v>
      </c>
      <c r="B21" s="380" t="str">
        <f t="shared" si="0"/>
        <v>108-906</v>
      </c>
      <c r="C21" s="2042" t="s">
        <v>771</v>
      </c>
      <c r="D21" s="2043">
        <v>24330</v>
      </c>
      <c r="E21" s="2043">
        <v>21602</v>
      </c>
      <c r="F21" s="2043">
        <f t="shared" si="1"/>
        <v>0</v>
      </c>
      <c r="G21" s="2043">
        <f t="shared" si="2"/>
        <v>0</v>
      </c>
      <c r="H21" s="2208">
        <v>0</v>
      </c>
      <c r="I21" s="2209">
        <v>0</v>
      </c>
      <c r="J21" s="2210">
        <v>0</v>
      </c>
      <c r="K21" s="2208">
        <v>0</v>
      </c>
      <c r="L21" s="2208">
        <v>0</v>
      </c>
      <c r="M21" s="2211">
        <v>0</v>
      </c>
      <c r="N21" s="2212">
        <v>0</v>
      </c>
      <c r="O21" s="1118">
        <f t="shared" si="3"/>
        <v>0</v>
      </c>
      <c r="P21" s="2213">
        <f t="shared" si="4"/>
        <v>0</v>
      </c>
    </row>
    <row r="22" spans="1:16" ht="14.5">
      <c r="A22" s="2042" t="s">
        <v>2876</v>
      </c>
      <c r="B22" s="380" t="str">
        <f t="shared" si="0"/>
        <v>015-904</v>
      </c>
      <c r="C22" s="2042" t="s">
        <v>683</v>
      </c>
      <c r="D22" s="2043">
        <v>15086</v>
      </c>
      <c r="E22" s="2043">
        <v>12522</v>
      </c>
      <c r="F22" s="2043">
        <f t="shared" si="1"/>
        <v>0</v>
      </c>
      <c r="G22" s="2043">
        <f t="shared" si="2"/>
        <v>0</v>
      </c>
      <c r="H22" s="2208">
        <v>0</v>
      </c>
      <c r="I22" s="2209">
        <v>0</v>
      </c>
      <c r="J22" s="2210">
        <v>0</v>
      </c>
      <c r="K22" s="2208">
        <v>0</v>
      </c>
      <c r="L22" s="2208">
        <v>0</v>
      </c>
      <c r="M22" s="2211">
        <v>0</v>
      </c>
      <c r="N22" s="2212">
        <v>0</v>
      </c>
      <c r="O22" s="1118">
        <f t="shared" si="3"/>
        <v>0</v>
      </c>
      <c r="P22" s="2213">
        <f t="shared" si="4"/>
        <v>0</v>
      </c>
    </row>
    <row r="23" spans="1:16" ht="14.5">
      <c r="A23" s="2042" t="s">
        <v>4363</v>
      </c>
      <c r="B23" s="380" t="str">
        <f t="shared" si="0"/>
        <v>152-901</v>
      </c>
      <c r="C23" s="2042" t="s">
        <v>549</v>
      </c>
      <c r="D23" s="2043">
        <v>28921</v>
      </c>
      <c r="E23" s="2043">
        <v>26451</v>
      </c>
      <c r="F23" s="2043">
        <f t="shared" si="1"/>
        <v>0</v>
      </c>
      <c r="G23" s="2043">
        <f t="shared" si="2"/>
        <v>0</v>
      </c>
      <c r="H23" s="2208">
        <v>0</v>
      </c>
      <c r="I23" s="2209">
        <v>0</v>
      </c>
      <c r="J23" s="2210">
        <v>0</v>
      </c>
      <c r="K23" s="2208">
        <v>0</v>
      </c>
      <c r="L23" s="2208">
        <v>0</v>
      </c>
      <c r="M23" s="2211">
        <v>0</v>
      </c>
      <c r="N23" s="2212">
        <v>0</v>
      </c>
      <c r="O23" s="1118">
        <f t="shared" si="3"/>
        <v>0</v>
      </c>
      <c r="P23" s="2213">
        <f t="shared" si="4"/>
        <v>0</v>
      </c>
    </row>
    <row r="24" spans="1:16" ht="14.5">
      <c r="A24" s="2042" t="s">
        <v>3177</v>
      </c>
      <c r="B24" s="380" t="str">
        <f t="shared" si="0"/>
        <v>188-901</v>
      </c>
      <c r="C24" s="2042" t="s">
        <v>998</v>
      </c>
      <c r="D24" s="2043">
        <v>33673</v>
      </c>
      <c r="E24" s="2043">
        <v>31388</v>
      </c>
      <c r="F24" s="2043">
        <f t="shared" si="1"/>
        <v>0</v>
      </c>
      <c r="G24" s="2043">
        <f t="shared" si="2"/>
        <v>0</v>
      </c>
      <c r="H24" s="2208">
        <v>0</v>
      </c>
      <c r="I24" s="2209">
        <v>0</v>
      </c>
      <c r="J24" s="2210">
        <v>0</v>
      </c>
      <c r="K24" s="2208">
        <v>0</v>
      </c>
      <c r="L24" s="2208">
        <v>0</v>
      </c>
      <c r="M24" s="2211">
        <v>0</v>
      </c>
      <c r="N24" s="2212">
        <v>0</v>
      </c>
      <c r="O24" s="1118">
        <f t="shared" si="3"/>
        <v>0</v>
      </c>
      <c r="P24" s="2213">
        <f t="shared" si="4"/>
        <v>0</v>
      </c>
    </row>
    <row r="25" spans="1:16" ht="14.5">
      <c r="A25" s="2042" t="s">
        <v>2957</v>
      </c>
      <c r="B25" s="380" t="str">
        <f t="shared" si="0"/>
        <v>057-914</v>
      </c>
      <c r="C25" s="2042" t="s">
        <v>2112</v>
      </c>
      <c r="D25" s="2043">
        <v>40805</v>
      </c>
      <c r="E25" s="2043">
        <v>38527</v>
      </c>
      <c r="F25" s="2043">
        <f t="shared" si="1"/>
        <v>0</v>
      </c>
      <c r="G25" s="2043">
        <f t="shared" si="2"/>
        <v>0</v>
      </c>
      <c r="H25" s="2208">
        <v>0</v>
      </c>
      <c r="I25" s="2209">
        <v>0</v>
      </c>
      <c r="J25" s="2210">
        <v>0</v>
      </c>
      <c r="K25" s="2208">
        <v>0</v>
      </c>
      <c r="L25" s="2208">
        <v>0</v>
      </c>
      <c r="M25" s="2211">
        <v>0</v>
      </c>
      <c r="N25" s="2212">
        <v>0</v>
      </c>
      <c r="O25" s="1118">
        <f t="shared" si="3"/>
        <v>0</v>
      </c>
      <c r="P25" s="2213">
        <f t="shared" si="4"/>
        <v>0</v>
      </c>
    </row>
    <row r="26" spans="1:16" ht="14.5">
      <c r="A26" s="2042" t="s">
        <v>2956</v>
      </c>
      <c r="B26" s="380" t="str">
        <f t="shared" si="0"/>
        <v>057-912</v>
      </c>
      <c r="C26" s="2042" t="s">
        <v>1195</v>
      </c>
      <c r="D26" s="2043">
        <v>34929</v>
      </c>
      <c r="E26" s="2043">
        <v>32682</v>
      </c>
      <c r="F26" s="2043">
        <f t="shared" si="1"/>
        <v>0</v>
      </c>
      <c r="G26" s="2043">
        <f t="shared" si="2"/>
        <v>0</v>
      </c>
      <c r="H26" s="2208">
        <v>0</v>
      </c>
      <c r="I26" s="2209">
        <v>0</v>
      </c>
      <c r="J26" s="2210">
        <v>0</v>
      </c>
      <c r="K26" s="2208">
        <v>0</v>
      </c>
      <c r="L26" s="2208">
        <v>0</v>
      </c>
      <c r="M26" s="2211">
        <v>0</v>
      </c>
      <c r="N26" s="2212">
        <v>0</v>
      </c>
      <c r="O26" s="1118">
        <f t="shared" si="3"/>
        <v>0</v>
      </c>
      <c r="P26" s="2213">
        <f t="shared" si="4"/>
        <v>0</v>
      </c>
    </row>
    <row r="27" spans="1:16" ht="14.5">
      <c r="A27" s="2042" t="s">
        <v>3249</v>
      </c>
      <c r="B27" s="380" t="str">
        <f t="shared" si="0"/>
        <v>240-901</v>
      </c>
      <c r="C27" s="2042" t="s">
        <v>2219</v>
      </c>
      <c r="D27" s="2043">
        <v>24199</v>
      </c>
      <c r="E27" s="2043">
        <v>22041</v>
      </c>
      <c r="F27" s="2043">
        <f t="shared" si="1"/>
        <v>0</v>
      </c>
      <c r="G27" s="2043">
        <f t="shared" si="2"/>
        <v>0</v>
      </c>
      <c r="H27" s="2208">
        <v>0</v>
      </c>
      <c r="I27" s="2209">
        <v>0</v>
      </c>
      <c r="J27" s="2210">
        <v>0</v>
      </c>
      <c r="K27" s="2208">
        <v>0</v>
      </c>
      <c r="L27" s="2208">
        <v>0</v>
      </c>
      <c r="M27" s="2211">
        <v>0</v>
      </c>
      <c r="N27" s="2212">
        <v>0</v>
      </c>
      <c r="O27" s="1118">
        <f t="shared" si="3"/>
        <v>0</v>
      </c>
      <c r="P27" s="2213">
        <f t="shared" si="4"/>
        <v>0</v>
      </c>
    </row>
    <row r="28" spans="1:16" ht="14.5">
      <c r="A28" s="2042" t="s">
        <v>2877</v>
      </c>
      <c r="B28" s="380" t="str">
        <f t="shared" si="0"/>
        <v>015-905</v>
      </c>
      <c r="C28" s="2042" t="s">
        <v>841</v>
      </c>
      <c r="D28" s="2043">
        <v>11293</v>
      </c>
      <c r="E28" s="2043">
        <v>9152</v>
      </c>
      <c r="F28" s="2043">
        <f t="shared" si="1"/>
        <v>0</v>
      </c>
      <c r="G28" s="2043">
        <f t="shared" si="2"/>
        <v>0</v>
      </c>
      <c r="H28" s="2208">
        <v>0</v>
      </c>
      <c r="I28" s="2209">
        <v>0</v>
      </c>
      <c r="J28" s="2210">
        <v>0</v>
      </c>
      <c r="K28" s="2208">
        <v>0</v>
      </c>
      <c r="L28" s="2208">
        <v>0</v>
      </c>
      <c r="M28" s="2211">
        <v>0</v>
      </c>
      <c r="N28" s="2212">
        <v>0</v>
      </c>
      <c r="O28" s="1118">
        <f t="shared" si="3"/>
        <v>0</v>
      </c>
      <c r="P28" s="2213">
        <f t="shared" si="4"/>
        <v>0</v>
      </c>
    </row>
    <row r="29" spans="1:16" ht="14.5">
      <c r="A29" s="2042" t="s">
        <v>5117</v>
      </c>
      <c r="B29" s="380" t="str">
        <f t="shared" si="0"/>
        <v>123-910</v>
      </c>
      <c r="C29" s="2042" t="s">
        <v>2544</v>
      </c>
      <c r="D29" s="2043">
        <v>19232</v>
      </c>
      <c r="E29" s="2043">
        <v>17128</v>
      </c>
      <c r="F29" s="2043">
        <f t="shared" si="1"/>
        <v>0</v>
      </c>
      <c r="G29" s="2043">
        <f t="shared" si="2"/>
        <v>0</v>
      </c>
      <c r="H29" s="2208">
        <v>0</v>
      </c>
      <c r="I29" s="2209">
        <v>0</v>
      </c>
      <c r="J29" s="2210">
        <v>0</v>
      </c>
      <c r="K29" s="2208">
        <v>0</v>
      </c>
      <c r="L29" s="2208">
        <v>0</v>
      </c>
      <c r="M29" s="2211">
        <v>0</v>
      </c>
      <c r="N29" s="2212">
        <v>0</v>
      </c>
      <c r="O29" s="1118">
        <f t="shared" si="3"/>
        <v>0</v>
      </c>
      <c r="P29" s="2213">
        <f t="shared" si="4"/>
        <v>0</v>
      </c>
    </row>
    <row r="30" spans="1:16" ht="14.5">
      <c r="A30" s="2042" t="s">
        <v>5072</v>
      </c>
      <c r="B30" s="380" t="str">
        <f t="shared" si="0"/>
        <v>101-920</v>
      </c>
      <c r="C30" s="2042" t="s">
        <v>2067</v>
      </c>
      <c r="D30" s="2043">
        <v>35301</v>
      </c>
      <c r="E30" s="2043">
        <v>33288</v>
      </c>
      <c r="F30" s="2043">
        <f t="shared" si="1"/>
        <v>0</v>
      </c>
      <c r="G30" s="2043">
        <f t="shared" si="2"/>
        <v>0</v>
      </c>
      <c r="H30" s="2208">
        <v>0</v>
      </c>
      <c r="I30" s="2209">
        <v>0</v>
      </c>
      <c r="J30" s="2210">
        <v>0</v>
      </c>
      <c r="K30" s="2208">
        <v>0</v>
      </c>
      <c r="L30" s="2208">
        <v>0</v>
      </c>
      <c r="M30" s="2211">
        <v>0</v>
      </c>
      <c r="N30" s="2212">
        <v>0</v>
      </c>
      <c r="O30" s="1118">
        <f t="shared" si="3"/>
        <v>0</v>
      </c>
      <c r="P30" s="2213">
        <f t="shared" si="4"/>
        <v>0</v>
      </c>
    </row>
    <row r="31" spans="1:16" ht="14.5">
      <c r="A31" s="2042" t="s">
        <v>2884</v>
      </c>
      <c r="B31" s="380" t="str">
        <f t="shared" si="0"/>
        <v>015-915</v>
      </c>
      <c r="C31" s="2042" t="s">
        <v>2165</v>
      </c>
      <c r="D31" s="2043">
        <v>105110</v>
      </c>
      <c r="E31" s="2043">
        <v>103151</v>
      </c>
      <c r="F31" s="2043">
        <f t="shared" si="1"/>
        <v>0</v>
      </c>
      <c r="G31" s="2043">
        <f t="shared" si="2"/>
        <v>0</v>
      </c>
      <c r="H31" s="2208">
        <v>0</v>
      </c>
      <c r="I31" s="2209">
        <v>0</v>
      </c>
      <c r="J31" s="2210">
        <v>0</v>
      </c>
      <c r="K31" s="2208">
        <v>0</v>
      </c>
      <c r="L31" s="2208">
        <v>0</v>
      </c>
      <c r="M31" s="2211">
        <v>0</v>
      </c>
      <c r="N31" s="2212">
        <v>0</v>
      </c>
      <c r="O31" s="1118">
        <f t="shared" si="3"/>
        <v>0</v>
      </c>
      <c r="P31" s="2213">
        <f t="shared" si="4"/>
        <v>0</v>
      </c>
    </row>
    <row r="32" spans="1:16" ht="14.5">
      <c r="A32" s="2042" t="s">
        <v>2953</v>
      </c>
      <c r="B32" s="380" t="str">
        <f t="shared" si="0"/>
        <v>057-906</v>
      </c>
      <c r="C32" s="2042" t="s">
        <v>119</v>
      </c>
      <c r="D32" s="2043">
        <v>9740</v>
      </c>
      <c r="E32" s="2043">
        <v>7929</v>
      </c>
      <c r="F32" s="2043">
        <f t="shared" si="1"/>
        <v>0</v>
      </c>
      <c r="G32" s="2043">
        <f t="shared" si="2"/>
        <v>0</v>
      </c>
      <c r="H32" s="2208">
        <v>0</v>
      </c>
      <c r="I32" s="2209">
        <v>0</v>
      </c>
      <c r="J32" s="2210">
        <v>0</v>
      </c>
      <c r="K32" s="2208">
        <v>0</v>
      </c>
      <c r="L32" s="2208">
        <v>0</v>
      </c>
      <c r="M32" s="2211">
        <v>0</v>
      </c>
      <c r="N32" s="2212">
        <v>0</v>
      </c>
      <c r="O32" s="1118">
        <f t="shared" si="3"/>
        <v>0</v>
      </c>
      <c r="P32" s="2213">
        <f t="shared" si="4"/>
        <v>0</v>
      </c>
    </row>
    <row r="33" spans="1:16" ht="14.5">
      <c r="A33" s="2042" t="s">
        <v>3250</v>
      </c>
      <c r="B33" s="380" t="str">
        <f t="shared" si="0"/>
        <v>240-903</v>
      </c>
      <c r="C33" s="2042" t="s">
        <v>2229</v>
      </c>
      <c r="D33" s="2043">
        <v>43710</v>
      </c>
      <c r="E33" s="2043">
        <v>41902</v>
      </c>
      <c r="F33" s="2043">
        <f t="shared" si="1"/>
        <v>0</v>
      </c>
      <c r="G33" s="2043">
        <f t="shared" si="2"/>
        <v>0</v>
      </c>
      <c r="H33" s="2208">
        <v>0</v>
      </c>
      <c r="I33" s="2209">
        <v>0</v>
      </c>
      <c r="J33" s="2210">
        <v>0</v>
      </c>
      <c r="K33" s="2208">
        <v>0</v>
      </c>
      <c r="L33" s="2208">
        <v>0</v>
      </c>
      <c r="M33" s="2211">
        <v>0</v>
      </c>
      <c r="N33" s="2212">
        <v>0</v>
      </c>
      <c r="O33" s="1118">
        <f t="shared" si="3"/>
        <v>0</v>
      </c>
      <c r="P33" s="2213">
        <f t="shared" si="4"/>
        <v>0</v>
      </c>
    </row>
    <row r="34" spans="1:16" ht="14.5">
      <c r="A34" s="2042" t="s">
        <v>3035</v>
      </c>
      <c r="B34" s="380" t="str">
        <f t="shared" si="0"/>
        <v>108-904</v>
      </c>
      <c r="C34" s="2042" t="s">
        <v>31</v>
      </c>
      <c r="D34" s="2043">
        <v>34570</v>
      </c>
      <c r="E34" s="2043">
        <v>32797</v>
      </c>
      <c r="F34" s="2043">
        <f t="shared" si="1"/>
        <v>0</v>
      </c>
      <c r="G34" s="2043">
        <f t="shared" si="2"/>
        <v>0</v>
      </c>
      <c r="H34" s="2208">
        <v>0</v>
      </c>
      <c r="I34" s="2209">
        <v>0</v>
      </c>
      <c r="J34" s="2210">
        <v>0</v>
      </c>
      <c r="K34" s="2208">
        <v>0</v>
      </c>
      <c r="L34" s="2208">
        <v>0</v>
      </c>
      <c r="M34" s="2211">
        <v>0</v>
      </c>
      <c r="N34" s="2212">
        <v>0</v>
      </c>
      <c r="O34" s="1118">
        <f t="shared" si="3"/>
        <v>0</v>
      </c>
      <c r="P34" s="2213">
        <f t="shared" si="4"/>
        <v>0</v>
      </c>
    </row>
    <row r="35" spans="1:16" ht="14.5">
      <c r="A35" s="2042" t="s">
        <v>3207</v>
      </c>
      <c r="B35" s="380" t="str">
        <f t="shared" si="0"/>
        <v>220-902</v>
      </c>
      <c r="C35" s="2042" t="s">
        <v>752</v>
      </c>
      <c r="D35" s="2043">
        <v>24328</v>
      </c>
      <c r="E35" s="2043">
        <v>22736</v>
      </c>
      <c r="F35" s="2043">
        <f t="shared" si="1"/>
        <v>0</v>
      </c>
      <c r="G35" s="2043">
        <f t="shared" si="2"/>
        <v>0</v>
      </c>
      <c r="H35" s="2208">
        <v>0</v>
      </c>
      <c r="I35" s="2209">
        <v>0</v>
      </c>
      <c r="J35" s="2210">
        <v>0</v>
      </c>
      <c r="K35" s="2208">
        <v>0</v>
      </c>
      <c r="L35" s="2208">
        <v>0</v>
      </c>
      <c r="M35" s="2211">
        <v>0</v>
      </c>
      <c r="N35" s="2212">
        <v>0</v>
      </c>
      <c r="O35" s="1118">
        <f t="shared" si="3"/>
        <v>0</v>
      </c>
      <c r="P35" s="2213">
        <f t="shared" si="4"/>
        <v>0</v>
      </c>
    </row>
    <row r="36" spans="1:16" ht="14.5">
      <c r="A36" s="2042" t="s">
        <v>2879</v>
      </c>
      <c r="B36" s="380" t="str">
        <f t="shared" si="0"/>
        <v>015-908</v>
      </c>
      <c r="C36" s="2042" t="s">
        <v>1825</v>
      </c>
      <c r="D36" s="2043">
        <v>9854</v>
      </c>
      <c r="E36" s="2043">
        <v>8267</v>
      </c>
      <c r="F36" s="2043">
        <f t="shared" si="1"/>
        <v>0</v>
      </c>
      <c r="G36" s="2043">
        <f t="shared" si="2"/>
        <v>0</v>
      </c>
      <c r="H36" s="2208">
        <v>0</v>
      </c>
      <c r="I36" s="2209">
        <v>0</v>
      </c>
      <c r="J36" s="2210">
        <v>0</v>
      </c>
      <c r="K36" s="2208">
        <v>0</v>
      </c>
      <c r="L36" s="2208">
        <v>0</v>
      </c>
      <c r="M36" s="2211">
        <v>0</v>
      </c>
      <c r="N36" s="2212">
        <v>0</v>
      </c>
      <c r="O36" s="1118">
        <f t="shared" si="3"/>
        <v>0</v>
      </c>
      <c r="P36" s="2213">
        <f t="shared" si="4"/>
        <v>0</v>
      </c>
    </row>
    <row r="37" spans="1:16" ht="14.5">
      <c r="A37" s="2042" t="s">
        <v>3033</v>
      </c>
      <c r="B37" s="380" t="str">
        <f t="shared" si="0"/>
        <v>108-902</v>
      </c>
      <c r="C37" s="2042" t="s">
        <v>30</v>
      </c>
      <c r="D37" s="2043">
        <v>15334</v>
      </c>
      <c r="E37" s="2043">
        <v>13853</v>
      </c>
      <c r="F37" s="2043">
        <f t="shared" si="1"/>
        <v>0</v>
      </c>
      <c r="G37" s="2043">
        <f t="shared" si="2"/>
        <v>0</v>
      </c>
      <c r="H37" s="2208">
        <v>0</v>
      </c>
      <c r="I37" s="2209">
        <v>0</v>
      </c>
      <c r="J37" s="2210">
        <v>0</v>
      </c>
      <c r="K37" s="2208">
        <v>0</v>
      </c>
      <c r="L37" s="2208">
        <v>0</v>
      </c>
      <c r="M37" s="2211">
        <v>0</v>
      </c>
      <c r="N37" s="2212">
        <v>0</v>
      </c>
      <c r="O37" s="1118">
        <f t="shared" si="3"/>
        <v>0</v>
      </c>
      <c r="P37" s="2213">
        <f t="shared" si="4"/>
        <v>0</v>
      </c>
    </row>
    <row r="38" spans="1:16" ht="14.5">
      <c r="A38" s="2042" t="s">
        <v>3040</v>
      </c>
      <c r="B38" s="380" t="str">
        <f t="shared" si="0"/>
        <v>108-909</v>
      </c>
      <c r="C38" s="2042" t="s">
        <v>945</v>
      </c>
      <c r="D38" s="2043">
        <v>32612</v>
      </c>
      <c r="E38" s="2043">
        <v>31234</v>
      </c>
      <c r="F38" s="2043">
        <f t="shared" si="1"/>
        <v>0</v>
      </c>
      <c r="G38" s="2043">
        <f t="shared" si="2"/>
        <v>0</v>
      </c>
      <c r="H38" s="2208">
        <v>0</v>
      </c>
      <c r="I38" s="2209">
        <v>0</v>
      </c>
      <c r="J38" s="2210">
        <v>0</v>
      </c>
      <c r="K38" s="2208">
        <v>0</v>
      </c>
      <c r="L38" s="2208">
        <v>0</v>
      </c>
      <c r="M38" s="2211">
        <v>0</v>
      </c>
      <c r="N38" s="2212">
        <v>0</v>
      </c>
      <c r="O38" s="1118">
        <f t="shared" si="3"/>
        <v>0</v>
      </c>
      <c r="P38" s="2213">
        <f t="shared" si="4"/>
        <v>0</v>
      </c>
    </row>
    <row r="39" spans="1:16" ht="14.5">
      <c r="A39" s="2042" t="s">
        <v>2935</v>
      </c>
      <c r="B39" s="380" t="str">
        <f t="shared" si="0"/>
        <v>043-907</v>
      </c>
      <c r="C39" s="2042" t="s">
        <v>774</v>
      </c>
      <c r="D39" s="2043">
        <v>24765</v>
      </c>
      <c r="E39" s="2043">
        <v>23398</v>
      </c>
      <c r="F39" s="2043">
        <f t="shared" si="1"/>
        <v>0</v>
      </c>
      <c r="G39" s="2043">
        <f t="shared" si="2"/>
        <v>0</v>
      </c>
      <c r="H39" s="2208">
        <v>0</v>
      </c>
      <c r="I39" s="2209">
        <v>0</v>
      </c>
      <c r="J39" s="2210">
        <v>0</v>
      </c>
      <c r="K39" s="2208">
        <v>0</v>
      </c>
      <c r="L39" s="2208">
        <v>0</v>
      </c>
      <c r="M39" s="2211">
        <v>0</v>
      </c>
      <c r="N39" s="2212">
        <v>0</v>
      </c>
      <c r="O39" s="1118">
        <f t="shared" si="3"/>
        <v>0</v>
      </c>
      <c r="P39" s="2213">
        <f t="shared" si="4"/>
        <v>0</v>
      </c>
    </row>
    <row r="40" spans="1:16" ht="14.5">
      <c r="A40" s="2042" t="s">
        <v>5268</v>
      </c>
      <c r="B40" s="380" t="str">
        <f t="shared" si="0"/>
        <v>221-901</v>
      </c>
      <c r="C40" s="2042" t="s">
        <v>1206</v>
      </c>
      <c r="D40" s="2043">
        <v>16978</v>
      </c>
      <c r="E40" s="2043">
        <v>15680</v>
      </c>
      <c r="F40" s="2043">
        <f t="shared" si="1"/>
        <v>0</v>
      </c>
      <c r="G40" s="2043">
        <f t="shared" si="2"/>
        <v>0</v>
      </c>
      <c r="H40" s="2208">
        <v>0</v>
      </c>
      <c r="I40" s="2209">
        <v>0</v>
      </c>
      <c r="J40" s="2210">
        <v>0</v>
      </c>
      <c r="K40" s="2208">
        <v>0</v>
      </c>
      <c r="L40" s="2208">
        <v>0</v>
      </c>
      <c r="M40" s="2211">
        <v>0</v>
      </c>
      <c r="N40" s="2212">
        <v>0</v>
      </c>
      <c r="O40" s="1118">
        <f t="shared" si="3"/>
        <v>0</v>
      </c>
      <c r="P40" s="2213">
        <f t="shared" si="4"/>
        <v>0</v>
      </c>
    </row>
    <row r="41" spans="1:16" ht="14.5">
      <c r="A41" s="2042" t="s">
        <v>3044</v>
      </c>
      <c r="B41" s="380" t="str">
        <f t="shared" si="0"/>
        <v>108-913</v>
      </c>
      <c r="C41" s="2042" t="s">
        <v>132</v>
      </c>
      <c r="D41" s="2043">
        <v>17806</v>
      </c>
      <c r="E41" s="2043">
        <v>16571</v>
      </c>
      <c r="F41" s="2043">
        <f t="shared" si="1"/>
        <v>0</v>
      </c>
      <c r="G41" s="2043">
        <f t="shared" si="2"/>
        <v>0</v>
      </c>
      <c r="H41" s="2208">
        <v>0</v>
      </c>
      <c r="I41" s="2209">
        <v>0</v>
      </c>
      <c r="J41" s="2210">
        <v>0</v>
      </c>
      <c r="K41" s="2208">
        <v>0</v>
      </c>
      <c r="L41" s="2208">
        <v>0</v>
      </c>
      <c r="M41" s="2211">
        <v>0</v>
      </c>
      <c r="N41" s="2212">
        <v>0</v>
      </c>
      <c r="O41" s="1118">
        <f t="shared" si="3"/>
        <v>0</v>
      </c>
      <c r="P41" s="2213">
        <f t="shared" si="4"/>
        <v>0</v>
      </c>
    </row>
    <row r="42" spans="1:16" ht="14.5">
      <c r="A42" s="2042" t="s">
        <v>2919</v>
      </c>
      <c r="B42" s="380" t="str">
        <f t="shared" si="0"/>
        <v>031-912</v>
      </c>
      <c r="C42" s="2042" t="s">
        <v>37</v>
      </c>
      <c r="D42" s="2043">
        <v>10899</v>
      </c>
      <c r="E42" s="2043">
        <v>9728</v>
      </c>
      <c r="F42" s="2043">
        <f t="shared" si="1"/>
        <v>0</v>
      </c>
      <c r="G42" s="2043">
        <f t="shared" si="2"/>
        <v>0</v>
      </c>
      <c r="H42" s="2208">
        <v>0</v>
      </c>
      <c r="I42" s="2209">
        <v>0</v>
      </c>
      <c r="J42" s="2210">
        <v>0</v>
      </c>
      <c r="K42" s="2208">
        <v>0</v>
      </c>
      <c r="L42" s="2208">
        <v>0</v>
      </c>
      <c r="M42" s="2211">
        <v>0</v>
      </c>
      <c r="N42" s="2212">
        <v>0</v>
      </c>
      <c r="O42" s="1118">
        <f t="shared" si="3"/>
        <v>0</v>
      </c>
      <c r="P42" s="2213">
        <f t="shared" si="4"/>
        <v>0</v>
      </c>
    </row>
    <row r="43" spans="1:16" ht="14.5">
      <c r="A43" s="2042" t="s">
        <v>2955</v>
      </c>
      <c r="B43" s="380" t="str">
        <f t="shared" si="0"/>
        <v>057-910</v>
      </c>
      <c r="C43" s="2042" t="s">
        <v>816</v>
      </c>
      <c r="D43" s="2043">
        <v>29339</v>
      </c>
      <c r="E43" s="2043">
        <v>28230</v>
      </c>
      <c r="F43" s="2043">
        <f t="shared" si="1"/>
        <v>0</v>
      </c>
      <c r="G43" s="2043">
        <f t="shared" si="2"/>
        <v>0</v>
      </c>
      <c r="H43" s="2208">
        <v>0</v>
      </c>
      <c r="I43" s="2209">
        <v>0</v>
      </c>
      <c r="J43" s="2210">
        <v>0</v>
      </c>
      <c r="K43" s="2208">
        <v>0</v>
      </c>
      <c r="L43" s="2208">
        <v>0</v>
      </c>
      <c r="M43" s="2211">
        <v>0</v>
      </c>
      <c r="N43" s="2212">
        <v>0</v>
      </c>
      <c r="O43" s="1118">
        <f t="shared" si="3"/>
        <v>0</v>
      </c>
      <c r="P43" s="2213">
        <f t="shared" si="4"/>
        <v>0</v>
      </c>
    </row>
    <row r="44" spans="1:16" ht="14.5">
      <c r="A44" s="2042" t="s">
        <v>3117</v>
      </c>
      <c r="B44" s="380" t="str">
        <f t="shared" si="0"/>
        <v>159-901</v>
      </c>
      <c r="C44" s="2042" t="s">
        <v>1006</v>
      </c>
      <c r="D44" s="2043">
        <v>15093</v>
      </c>
      <c r="E44" s="2043">
        <v>14028</v>
      </c>
      <c r="F44" s="2043">
        <f t="shared" si="1"/>
        <v>0</v>
      </c>
      <c r="G44" s="2043">
        <f t="shared" si="2"/>
        <v>0</v>
      </c>
      <c r="H44" s="2208">
        <v>0</v>
      </c>
      <c r="I44" s="2209">
        <v>0</v>
      </c>
      <c r="J44" s="2210">
        <v>0</v>
      </c>
      <c r="K44" s="2208">
        <v>0</v>
      </c>
      <c r="L44" s="2208">
        <v>0</v>
      </c>
      <c r="M44" s="2211">
        <v>0</v>
      </c>
      <c r="N44" s="2212">
        <v>0</v>
      </c>
      <c r="O44" s="1118">
        <f t="shared" si="3"/>
        <v>0</v>
      </c>
      <c r="P44" s="2213">
        <f t="shared" si="4"/>
        <v>0</v>
      </c>
    </row>
    <row r="45" spans="1:16" ht="14.5">
      <c r="A45" s="2042" t="s">
        <v>3221</v>
      </c>
      <c r="B45" s="380" t="str">
        <f t="shared" si="0"/>
        <v>226-903</v>
      </c>
      <c r="C45" s="2042" t="s">
        <v>1914</v>
      </c>
      <c r="D45" s="2043">
        <v>15149</v>
      </c>
      <c r="E45" s="2043">
        <v>14100</v>
      </c>
      <c r="F45" s="2043">
        <f t="shared" si="1"/>
        <v>0</v>
      </c>
      <c r="G45" s="2043">
        <f t="shared" si="2"/>
        <v>0</v>
      </c>
      <c r="H45" s="2208">
        <v>0</v>
      </c>
      <c r="I45" s="2209">
        <v>0</v>
      </c>
      <c r="J45" s="2210">
        <v>0</v>
      </c>
      <c r="K45" s="2208">
        <v>0</v>
      </c>
      <c r="L45" s="2208">
        <v>0</v>
      </c>
      <c r="M45" s="2211">
        <v>0</v>
      </c>
      <c r="N45" s="2212">
        <v>0</v>
      </c>
      <c r="O45" s="1118">
        <f t="shared" si="3"/>
        <v>0</v>
      </c>
      <c r="P45" s="2213">
        <f t="shared" si="4"/>
        <v>0</v>
      </c>
    </row>
    <row r="46" spans="1:16" ht="14.5">
      <c r="A46" s="2042" t="s">
        <v>2980</v>
      </c>
      <c r="B46" s="380" t="str">
        <f t="shared" si="0"/>
        <v>071-901</v>
      </c>
      <c r="C46" s="2042" t="s">
        <v>1096</v>
      </c>
      <c r="D46" s="2043">
        <v>11712</v>
      </c>
      <c r="E46" s="2043">
        <v>10663</v>
      </c>
      <c r="F46" s="2043">
        <f t="shared" si="1"/>
        <v>0</v>
      </c>
      <c r="G46" s="2043">
        <f t="shared" si="2"/>
        <v>0</v>
      </c>
      <c r="H46" s="2208">
        <v>0</v>
      </c>
      <c r="I46" s="2209">
        <v>0</v>
      </c>
      <c r="J46" s="2210">
        <v>0</v>
      </c>
      <c r="K46" s="2208">
        <v>0</v>
      </c>
      <c r="L46" s="2208">
        <v>0</v>
      </c>
      <c r="M46" s="2211">
        <v>0</v>
      </c>
      <c r="N46" s="2212">
        <v>0</v>
      </c>
      <c r="O46" s="1118">
        <f t="shared" si="3"/>
        <v>0</v>
      </c>
      <c r="P46" s="2213">
        <f t="shared" si="4"/>
        <v>0</v>
      </c>
    </row>
    <row r="47" spans="1:16" ht="14.5">
      <c r="A47" s="2042" t="s">
        <v>3243</v>
      </c>
      <c r="B47" s="380" t="str">
        <f t="shared" si="0"/>
        <v>235-902</v>
      </c>
      <c r="C47" s="2042" t="s">
        <v>125</v>
      </c>
      <c r="D47" s="2043">
        <v>14502</v>
      </c>
      <c r="E47" s="2043">
        <v>13479</v>
      </c>
      <c r="F47" s="2043">
        <f t="shared" si="1"/>
        <v>0</v>
      </c>
      <c r="G47" s="2043">
        <f t="shared" si="2"/>
        <v>0</v>
      </c>
      <c r="H47" s="2208">
        <v>0</v>
      </c>
      <c r="I47" s="2209">
        <v>0</v>
      </c>
      <c r="J47" s="2210">
        <v>0</v>
      </c>
      <c r="K47" s="2208">
        <v>0</v>
      </c>
      <c r="L47" s="2208">
        <v>0</v>
      </c>
      <c r="M47" s="2211">
        <v>0</v>
      </c>
      <c r="N47" s="2212">
        <v>0</v>
      </c>
      <c r="O47" s="1118">
        <f t="shared" si="3"/>
        <v>0</v>
      </c>
      <c r="P47" s="2213">
        <f t="shared" si="4"/>
        <v>0</v>
      </c>
    </row>
    <row r="48" spans="1:16" ht="14.5">
      <c r="A48" s="2042" t="s">
        <v>4989</v>
      </c>
      <c r="B48" s="380" t="str">
        <f t="shared" si="0"/>
        <v>057-907</v>
      </c>
      <c r="C48" s="2042" t="s">
        <v>120</v>
      </c>
      <c r="D48" s="2043">
        <v>12768</v>
      </c>
      <c r="E48" s="2043">
        <v>11748</v>
      </c>
      <c r="F48" s="2043">
        <f t="shared" si="1"/>
        <v>0</v>
      </c>
      <c r="G48" s="2043">
        <f t="shared" si="2"/>
        <v>0</v>
      </c>
      <c r="H48" s="2208">
        <v>0</v>
      </c>
      <c r="I48" s="2209">
        <v>0</v>
      </c>
      <c r="J48" s="2210">
        <v>0</v>
      </c>
      <c r="K48" s="2208">
        <v>0</v>
      </c>
      <c r="L48" s="2208">
        <v>0</v>
      </c>
      <c r="M48" s="2211">
        <v>0</v>
      </c>
      <c r="N48" s="2212">
        <v>0</v>
      </c>
      <c r="O48" s="1118">
        <f t="shared" si="3"/>
        <v>0</v>
      </c>
      <c r="P48" s="2213">
        <f t="shared" si="4"/>
        <v>0</v>
      </c>
    </row>
    <row r="49" spans="1:16" ht="14.5">
      <c r="A49" s="2042" t="s">
        <v>5115</v>
      </c>
      <c r="B49" s="380" t="str">
        <f t="shared" si="0"/>
        <v>123-907</v>
      </c>
      <c r="C49" s="2042" t="s">
        <v>2172</v>
      </c>
      <c r="D49" s="2043">
        <v>8972</v>
      </c>
      <c r="E49" s="2043">
        <v>7957</v>
      </c>
      <c r="F49" s="2043">
        <f t="shared" si="1"/>
        <v>0</v>
      </c>
      <c r="G49" s="2043">
        <f t="shared" si="2"/>
        <v>0</v>
      </c>
      <c r="H49" s="2208">
        <v>0</v>
      </c>
      <c r="I49" s="2209">
        <v>0</v>
      </c>
      <c r="J49" s="2210">
        <v>0</v>
      </c>
      <c r="K49" s="2208">
        <v>0</v>
      </c>
      <c r="L49" s="2208">
        <v>0</v>
      </c>
      <c r="M49" s="2211">
        <v>0</v>
      </c>
      <c r="N49" s="2212">
        <v>0</v>
      </c>
      <c r="O49" s="1118">
        <f t="shared" si="3"/>
        <v>0</v>
      </c>
      <c r="P49" s="2213">
        <f t="shared" si="4"/>
        <v>0</v>
      </c>
    </row>
    <row r="50" spans="1:16" ht="14.5">
      <c r="A50" s="2042" t="s">
        <v>3038</v>
      </c>
      <c r="B50" s="380" t="str">
        <f t="shared" si="0"/>
        <v>108-907</v>
      </c>
      <c r="C50" s="2042" t="s">
        <v>2111</v>
      </c>
      <c r="D50" s="2043">
        <v>5664</v>
      </c>
      <c r="E50" s="2043">
        <v>4681</v>
      </c>
      <c r="F50" s="2043">
        <f t="shared" si="1"/>
        <v>0</v>
      </c>
      <c r="G50" s="2043">
        <f t="shared" si="2"/>
        <v>0</v>
      </c>
      <c r="H50" s="2208">
        <v>0</v>
      </c>
      <c r="I50" s="2209">
        <v>0</v>
      </c>
      <c r="J50" s="2210">
        <v>0</v>
      </c>
      <c r="K50" s="2208">
        <v>0</v>
      </c>
      <c r="L50" s="2208">
        <v>0</v>
      </c>
      <c r="M50" s="2211">
        <v>0</v>
      </c>
      <c r="N50" s="2212">
        <v>0</v>
      </c>
      <c r="O50" s="1118">
        <f t="shared" si="3"/>
        <v>0</v>
      </c>
      <c r="P50" s="2213">
        <f t="shared" si="4"/>
        <v>0</v>
      </c>
    </row>
    <row r="51" spans="1:16" ht="14.5">
      <c r="A51" s="2042" t="s">
        <v>4992</v>
      </c>
      <c r="B51" s="380" t="str">
        <f t="shared" si="0"/>
        <v>057-916</v>
      </c>
      <c r="C51" s="2042" t="s">
        <v>2466</v>
      </c>
      <c r="D51" s="2043">
        <v>38738</v>
      </c>
      <c r="E51" s="2043">
        <v>37787</v>
      </c>
      <c r="F51" s="2043">
        <f t="shared" si="1"/>
        <v>0</v>
      </c>
      <c r="G51" s="2043">
        <f t="shared" si="2"/>
        <v>0</v>
      </c>
      <c r="H51" s="2208">
        <v>0</v>
      </c>
      <c r="I51" s="2209">
        <v>0</v>
      </c>
      <c r="J51" s="2210">
        <v>0</v>
      </c>
      <c r="K51" s="2208">
        <v>0</v>
      </c>
      <c r="L51" s="2208">
        <v>0</v>
      </c>
      <c r="M51" s="2211">
        <v>0</v>
      </c>
      <c r="N51" s="2212">
        <v>0</v>
      </c>
      <c r="O51" s="1118">
        <f t="shared" si="3"/>
        <v>0</v>
      </c>
      <c r="P51" s="2213">
        <f t="shared" si="4"/>
        <v>0</v>
      </c>
    </row>
    <row r="52" spans="1:16" ht="14.5">
      <c r="A52" s="2042" t="s">
        <v>4986</v>
      </c>
      <c r="B52" s="380" t="str">
        <f t="shared" si="0"/>
        <v>057-903</v>
      </c>
      <c r="C52" s="2042" t="s">
        <v>116</v>
      </c>
      <c r="D52" s="2043">
        <v>25796</v>
      </c>
      <c r="E52" s="2043">
        <v>24858</v>
      </c>
      <c r="F52" s="2043">
        <f t="shared" si="1"/>
        <v>0</v>
      </c>
      <c r="G52" s="2043">
        <f t="shared" si="2"/>
        <v>0</v>
      </c>
      <c r="H52" s="2208">
        <v>0</v>
      </c>
      <c r="I52" s="2209">
        <v>0</v>
      </c>
      <c r="J52" s="2210">
        <v>0</v>
      </c>
      <c r="K52" s="2208">
        <v>0</v>
      </c>
      <c r="L52" s="2208">
        <v>0</v>
      </c>
      <c r="M52" s="2211">
        <v>0</v>
      </c>
      <c r="N52" s="2212">
        <v>0</v>
      </c>
      <c r="O52" s="1118">
        <f t="shared" si="3"/>
        <v>0</v>
      </c>
      <c r="P52" s="2213">
        <f t="shared" si="4"/>
        <v>0</v>
      </c>
    </row>
    <row r="53" spans="1:16" ht="14.5">
      <c r="A53" s="2042" t="s">
        <v>3204</v>
      </c>
      <c r="B53" s="380" t="str">
        <f t="shared" si="0"/>
        <v>214-901</v>
      </c>
      <c r="C53" s="2042" t="s">
        <v>2546</v>
      </c>
      <c r="D53" s="2043">
        <v>10930</v>
      </c>
      <c r="E53" s="2043">
        <v>9997</v>
      </c>
      <c r="F53" s="2043">
        <f t="shared" si="1"/>
        <v>0</v>
      </c>
      <c r="G53" s="2043">
        <f t="shared" si="2"/>
        <v>0</v>
      </c>
      <c r="H53" s="2208">
        <v>0</v>
      </c>
      <c r="I53" s="2209">
        <v>0</v>
      </c>
      <c r="J53" s="2210">
        <v>0</v>
      </c>
      <c r="K53" s="2208">
        <v>0</v>
      </c>
      <c r="L53" s="2208">
        <v>0</v>
      </c>
      <c r="M53" s="2211">
        <v>0</v>
      </c>
      <c r="N53" s="2212">
        <v>0</v>
      </c>
      <c r="O53" s="1118">
        <f t="shared" si="3"/>
        <v>0</v>
      </c>
      <c r="P53" s="2213">
        <f t="shared" si="4"/>
        <v>0</v>
      </c>
    </row>
    <row r="54" spans="1:16" ht="14.5">
      <c r="A54" s="2042" t="s">
        <v>4945</v>
      </c>
      <c r="B54" s="380" t="str">
        <f t="shared" si="0"/>
        <v>020-905</v>
      </c>
      <c r="C54" s="2042" t="s">
        <v>2351</v>
      </c>
      <c r="D54" s="2043">
        <v>12342</v>
      </c>
      <c r="E54" s="2043">
        <v>11424</v>
      </c>
      <c r="F54" s="2043">
        <f t="shared" si="1"/>
        <v>0</v>
      </c>
      <c r="G54" s="2043">
        <f t="shared" si="2"/>
        <v>0</v>
      </c>
      <c r="H54" s="2208">
        <v>0</v>
      </c>
      <c r="I54" s="2209">
        <v>0</v>
      </c>
      <c r="J54" s="2210">
        <v>0</v>
      </c>
      <c r="K54" s="2208">
        <v>0</v>
      </c>
      <c r="L54" s="2208">
        <v>0</v>
      </c>
      <c r="M54" s="2211">
        <v>0</v>
      </c>
      <c r="N54" s="2212">
        <v>0</v>
      </c>
      <c r="O54" s="1118">
        <f t="shared" si="3"/>
        <v>0</v>
      </c>
      <c r="P54" s="2213">
        <f t="shared" si="4"/>
        <v>0</v>
      </c>
    </row>
    <row r="55" spans="1:16" ht="14.5">
      <c r="A55" s="2042" t="s">
        <v>5067</v>
      </c>
      <c r="B55" s="380" t="str">
        <f t="shared" si="0"/>
        <v>101-908</v>
      </c>
      <c r="C55" s="2042" t="s">
        <v>454</v>
      </c>
      <c r="D55" s="2043">
        <v>13278</v>
      </c>
      <c r="E55" s="2043">
        <v>12370</v>
      </c>
      <c r="F55" s="2043">
        <f t="shared" si="1"/>
        <v>0</v>
      </c>
      <c r="G55" s="2043">
        <f t="shared" si="2"/>
        <v>0</v>
      </c>
      <c r="H55" s="2208">
        <v>0</v>
      </c>
      <c r="I55" s="2209">
        <v>0</v>
      </c>
      <c r="J55" s="2210">
        <v>0</v>
      </c>
      <c r="K55" s="2208">
        <v>0</v>
      </c>
      <c r="L55" s="2208">
        <v>0</v>
      </c>
      <c r="M55" s="2211">
        <v>0</v>
      </c>
      <c r="N55" s="2212">
        <v>0</v>
      </c>
      <c r="O55" s="1118">
        <f t="shared" si="3"/>
        <v>0</v>
      </c>
      <c r="P55" s="2213">
        <f t="shared" si="4"/>
        <v>0</v>
      </c>
    </row>
    <row r="56" spans="1:16" ht="14.5">
      <c r="A56" s="2042" t="s">
        <v>3226</v>
      </c>
      <c r="B56" s="380" t="str">
        <f t="shared" si="0"/>
        <v>227-910</v>
      </c>
      <c r="C56" s="2042" t="s">
        <v>2520</v>
      </c>
      <c r="D56" s="2043">
        <v>11559</v>
      </c>
      <c r="E56" s="2043">
        <v>10654</v>
      </c>
      <c r="F56" s="2043">
        <f t="shared" si="1"/>
        <v>0</v>
      </c>
      <c r="G56" s="2043">
        <f t="shared" si="2"/>
        <v>0</v>
      </c>
      <c r="H56" s="2208">
        <v>0</v>
      </c>
      <c r="I56" s="2209">
        <v>0</v>
      </c>
      <c r="J56" s="2210">
        <v>0</v>
      </c>
      <c r="K56" s="2208">
        <v>0</v>
      </c>
      <c r="L56" s="2208">
        <v>0</v>
      </c>
      <c r="M56" s="2211">
        <v>0</v>
      </c>
      <c r="N56" s="2212">
        <v>0</v>
      </c>
      <c r="O56" s="1118">
        <f t="shared" si="3"/>
        <v>0</v>
      </c>
      <c r="P56" s="2213">
        <f t="shared" si="4"/>
        <v>0</v>
      </c>
    </row>
    <row r="57" spans="1:16" ht="14.5">
      <c r="A57" s="2042" t="s">
        <v>2915</v>
      </c>
      <c r="B57" s="380" t="str">
        <f t="shared" si="0"/>
        <v>031-903</v>
      </c>
      <c r="C57" s="2042" t="s">
        <v>32</v>
      </c>
      <c r="D57" s="2043">
        <v>18721</v>
      </c>
      <c r="E57" s="2043">
        <v>17882</v>
      </c>
      <c r="F57" s="2043">
        <f t="shared" si="1"/>
        <v>0</v>
      </c>
      <c r="G57" s="2043">
        <f t="shared" si="2"/>
        <v>0</v>
      </c>
      <c r="H57" s="2208">
        <v>0</v>
      </c>
      <c r="I57" s="2209">
        <v>0</v>
      </c>
      <c r="J57" s="2210">
        <v>0</v>
      </c>
      <c r="K57" s="2208">
        <v>0</v>
      </c>
      <c r="L57" s="2208">
        <v>0</v>
      </c>
      <c r="M57" s="2211">
        <v>0</v>
      </c>
      <c r="N57" s="2212">
        <v>0</v>
      </c>
      <c r="O57" s="1118">
        <f t="shared" si="3"/>
        <v>0</v>
      </c>
      <c r="P57" s="2213">
        <f t="shared" si="4"/>
        <v>0</v>
      </c>
    </row>
    <row r="58" spans="1:16" ht="14.5">
      <c r="A58" s="2042" t="s">
        <v>5809</v>
      </c>
      <c r="B58" s="380" t="str">
        <f t="shared" si="0"/>
        <v>095-905</v>
      </c>
      <c r="C58" s="2042" t="s">
        <v>223</v>
      </c>
      <c r="D58" s="2043">
        <v>5679</v>
      </c>
      <c r="E58" s="2043">
        <v>4843</v>
      </c>
      <c r="F58" s="2043">
        <f t="shared" si="1"/>
        <v>0</v>
      </c>
      <c r="G58" s="2043">
        <f t="shared" si="2"/>
        <v>0</v>
      </c>
      <c r="H58" s="2208">
        <v>0</v>
      </c>
      <c r="I58" s="2209">
        <v>0</v>
      </c>
      <c r="J58" s="2210">
        <v>0</v>
      </c>
      <c r="K58" s="2208">
        <v>0</v>
      </c>
      <c r="L58" s="2208">
        <v>0</v>
      </c>
      <c r="M58" s="2211">
        <v>0</v>
      </c>
      <c r="N58" s="2212">
        <v>0</v>
      </c>
      <c r="O58" s="1118">
        <f t="shared" si="3"/>
        <v>0</v>
      </c>
      <c r="P58" s="2213">
        <f t="shared" si="4"/>
        <v>0</v>
      </c>
    </row>
    <row r="59" spans="1:16" ht="14.5">
      <c r="A59" s="2042" t="s">
        <v>4922</v>
      </c>
      <c r="B59" s="380" t="str">
        <f t="shared" si="0"/>
        <v>003-903</v>
      </c>
      <c r="C59" s="2042" t="s">
        <v>1120</v>
      </c>
      <c r="D59" s="2043">
        <v>8266</v>
      </c>
      <c r="E59" s="2043">
        <v>7432</v>
      </c>
      <c r="F59" s="2043">
        <f t="shared" si="1"/>
        <v>0</v>
      </c>
      <c r="G59" s="2043">
        <f t="shared" si="2"/>
        <v>0</v>
      </c>
      <c r="H59" s="2208">
        <v>0</v>
      </c>
      <c r="I59" s="2209">
        <v>0</v>
      </c>
      <c r="J59" s="2210">
        <v>0</v>
      </c>
      <c r="K59" s="2208">
        <v>0</v>
      </c>
      <c r="L59" s="2208">
        <v>0</v>
      </c>
      <c r="M59" s="2211">
        <v>0</v>
      </c>
      <c r="N59" s="2212">
        <v>0</v>
      </c>
      <c r="O59" s="1118">
        <f t="shared" si="3"/>
        <v>0</v>
      </c>
      <c r="P59" s="2213">
        <f t="shared" si="4"/>
        <v>0</v>
      </c>
    </row>
    <row r="60" spans="1:16" ht="14.5">
      <c r="A60" s="2042" t="s">
        <v>4987</v>
      </c>
      <c r="B60" s="380" t="str">
        <f t="shared" si="0"/>
        <v>057-904</v>
      </c>
      <c r="C60" s="2042" t="s">
        <v>117</v>
      </c>
      <c r="D60" s="2043">
        <v>8020</v>
      </c>
      <c r="E60" s="2043">
        <v>7253</v>
      </c>
      <c r="F60" s="2043">
        <f t="shared" si="1"/>
        <v>0</v>
      </c>
      <c r="G60" s="2043">
        <f t="shared" si="2"/>
        <v>0</v>
      </c>
      <c r="H60" s="2208">
        <v>0</v>
      </c>
      <c r="I60" s="2209">
        <v>0</v>
      </c>
      <c r="J60" s="2210">
        <v>0</v>
      </c>
      <c r="K60" s="2208">
        <v>0</v>
      </c>
      <c r="L60" s="2208">
        <v>0</v>
      </c>
      <c r="M60" s="2211">
        <v>0</v>
      </c>
      <c r="N60" s="2212">
        <v>0</v>
      </c>
      <c r="O60" s="1118">
        <f t="shared" si="3"/>
        <v>0</v>
      </c>
      <c r="P60" s="2213">
        <f t="shared" si="4"/>
        <v>0</v>
      </c>
    </row>
    <row r="61" spans="1:16" ht="14.5">
      <c r="A61" s="2042" t="s">
        <v>3862</v>
      </c>
      <c r="B61" s="380" t="str">
        <f t="shared" si="0"/>
        <v>071-904</v>
      </c>
      <c r="C61" s="2042" t="s">
        <v>1918</v>
      </c>
      <c r="D61" s="2043">
        <v>3958</v>
      </c>
      <c r="E61" s="2043">
        <v>3191</v>
      </c>
      <c r="F61" s="2043">
        <f t="shared" si="1"/>
        <v>0</v>
      </c>
      <c r="G61" s="2043">
        <f t="shared" si="2"/>
        <v>0</v>
      </c>
      <c r="H61" s="2208">
        <v>0</v>
      </c>
      <c r="I61" s="2209">
        <v>0</v>
      </c>
      <c r="J61" s="2210">
        <v>0</v>
      </c>
      <c r="K61" s="2208">
        <v>0</v>
      </c>
      <c r="L61" s="2208">
        <v>0</v>
      </c>
      <c r="M61" s="2211">
        <v>0</v>
      </c>
      <c r="N61" s="2212">
        <v>0</v>
      </c>
      <c r="O61" s="1118">
        <f t="shared" si="3"/>
        <v>0</v>
      </c>
      <c r="P61" s="2213">
        <f t="shared" si="4"/>
        <v>0</v>
      </c>
    </row>
    <row r="62" spans="1:16" ht="14.5">
      <c r="A62" s="2042" t="s">
        <v>5070</v>
      </c>
      <c r="B62" s="380" t="str">
        <f t="shared" si="0"/>
        <v>101-916</v>
      </c>
      <c r="C62" s="2042" t="s">
        <v>457</v>
      </c>
      <c r="D62" s="2043">
        <v>7753</v>
      </c>
      <c r="E62" s="2043">
        <v>6999</v>
      </c>
      <c r="F62" s="2043">
        <f t="shared" si="1"/>
        <v>0</v>
      </c>
      <c r="G62" s="2043">
        <f t="shared" si="2"/>
        <v>0</v>
      </c>
      <c r="H62" s="2208">
        <v>0</v>
      </c>
      <c r="I62" s="2209">
        <v>0</v>
      </c>
      <c r="J62" s="2210">
        <v>0</v>
      </c>
      <c r="K62" s="2208">
        <v>0</v>
      </c>
      <c r="L62" s="2208">
        <v>0</v>
      </c>
      <c r="M62" s="2211">
        <v>0</v>
      </c>
      <c r="N62" s="2212">
        <v>0</v>
      </c>
      <c r="O62" s="1118">
        <f t="shared" si="3"/>
        <v>0</v>
      </c>
      <c r="P62" s="2213">
        <f t="shared" si="4"/>
        <v>0</v>
      </c>
    </row>
    <row r="63" spans="1:16" ht="14.5">
      <c r="A63" s="2042" t="s">
        <v>3039</v>
      </c>
      <c r="B63" s="380" t="str">
        <f t="shared" si="0"/>
        <v>108-908</v>
      </c>
      <c r="C63" s="2042" t="s">
        <v>36</v>
      </c>
      <c r="D63" s="2043">
        <v>15765</v>
      </c>
      <c r="E63" s="2043">
        <v>15044</v>
      </c>
      <c r="F63" s="2043">
        <f t="shared" si="1"/>
        <v>0</v>
      </c>
      <c r="G63" s="2043">
        <f t="shared" si="2"/>
        <v>0</v>
      </c>
      <c r="H63" s="2208">
        <v>0</v>
      </c>
      <c r="I63" s="2209">
        <v>0</v>
      </c>
      <c r="J63" s="2210">
        <v>0</v>
      </c>
      <c r="K63" s="2208">
        <v>0</v>
      </c>
      <c r="L63" s="2208">
        <v>0</v>
      </c>
      <c r="M63" s="2211">
        <v>0</v>
      </c>
      <c r="N63" s="2212">
        <v>0</v>
      </c>
      <c r="O63" s="1118">
        <f t="shared" si="3"/>
        <v>0</v>
      </c>
      <c r="P63" s="2213">
        <f t="shared" si="4"/>
        <v>0</v>
      </c>
    </row>
    <row r="64" spans="1:16" ht="14.5">
      <c r="A64" s="2042" t="s">
        <v>5267</v>
      </c>
      <c r="B64" s="380" t="str">
        <f t="shared" si="0"/>
        <v>220-906</v>
      </c>
      <c r="C64" s="2042" t="s">
        <v>1204</v>
      </c>
      <c r="D64" s="2043">
        <v>13439</v>
      </c>
      <c r="E64" s="2043">
        <v>12727</v>
      </c>
      <c r="F64" s="2043">
        <f t="shared" si="1"/>
        <v>0</v>
      </c>
      <c r="G64" s="2043">
        <f t="shared" si="2"/>
        <v>0</v>
      </c>
      <c r="H64" s="2208">
        <v>0</v>
      </c>
      <c r="I64" s="2209">
        <v>0</v>
      </c>
      <c r="J64" s="2210">
        <v>0</v>
      </c>
      <c r="K64" s="2208">
        <v>0</v>
      </c>
      <c r="L64" s="2208">
        <v>0</v>
      </c>
      <c r="M64" s="2211">
        <v>0</v>
      </c>
      <c r="N64" s="2212">
        <v>0</v>
      </c>
      <c r="O64" s="1118">
        <f t="shared" si="3"/>
        <v>0</v>
      </c>
      <c r="P64" s="2213">
        <f t="shared" si="4"/>
        <v>0</v>
      </c>
    </row>
    <row r="65" spans="1:16" ht="14.5">
      <c r="A65" s="2042" t="s">
        <v>3236</v>
      </c>
      <c r="B65" s="380" t="str">
        <f t="shared" si="0"/>
        <v>233-901</v>
      </c>
      <c r="C65" s="2042" t="s">
        <v>2027</v>
      </c>
      <c r="D65" s="2043">
        <v>10515</v>
      </c>
      <c r="E65" s="2043">
        <v>9874</v>
      </c>
      <c r="F65" s="2043">
        <f t="shared" si="1"/>
        <v>0</v>
      </c>
      <c r="G65" s="2043">
        <f t="shared" si="2"/>
        <v>0</v>
      </c>
      <c r="H65" s="2208">
        <v>0</v>
      </c>
      <c r="I65" s="2209">
        <v>0</v>
      </c>
      <c r="J65" s="2210">
        <v>0</v>
      </c>
      <c r="K65" s="2208">
        <v>0</v>
      </c>
      <c r="L65" s="2208">
        <v>0</v>
      </c>
      <c r="M65" s="2211">
        <v>0</v>
      </c>
      <c r="N65" s="2212">
        <v>0</v>
      </c>
      <c r="O65" s="1118">
        <f t="shared" si="3"/>
        <v>0</v>
      </c>
      <c r="P65" s="2213">
        <f t="shared" si="4"/>
        <v>0</v>
      </c>
    </row>
    <row r="66" spans="1:16" ht="14.5">
      <c r="A66" s="2042" t="s">
        <v>3167</v>
      </c>
      <c r="B66" s="380" t="str">
        <f t="shared" si="0"/>
        <v>181-907</v>
      </c>
      <c r="C66" s="2042" t="s">
        <v>126</v>
      </c>
      <c r="D66" s="2043">
        <v>4868</v>
      </c>
      <c r="E66" s="2043">
        <v>4236</v>
      </c>
      <c r="F66" s="2043">
        <f t="shared" si="1"/>
        <v>0</v>
      </c>
      <c r="G66" s="2043">
        <f t="shared" si="2"/>
        <v>0</v>
      </c>
      <c r="H66" s="2208">
        <v>0</v>
      </c>
      <c r="I66" s="2209">
        <v>0</v>
      </c>
      <c r="J66" s="2210">
        <v>0</v>
      </c>
      <c r="K66" s="2208">
        <v>0</v>
      </c>
      <c r="L66" s="2208">
        <v>0</v>
      </c>
      <c r="M66" s="2211">
        <v>0</v>
      </c>
      <c r="N66" s="2212">
        <v>0</v>
      </c>
      <c r="O66" s="1118">
        <f t="shared" si="3"/>
        <v>0</v>
      </c>
      <c r="P66" s="2213">
        <f t="shared" si="4"/>
        <v>0</v>
      </c>
    </row>
    <row r="67" spans="1:16" ht="14.5">
      <c r="A67" s="2042" t="s">
        <v>3023</v>
      </c>
      <c r="B67" s="380" t="str">
        <f t="shared" ref="B67:B130" si="5">CONCATENATE(LEFT(RIGHT(CONCATENATE("000",A67),6),3),"-",(RIGHT(RIGHT(CONCATENATE("000",A67),6),3)))</f>
        <v>101-910</v>
      </c>
      <c r="C67" s="2042" t="s">
        <v>1392</v>
      </c>
      <c r="D67" s="2043">
        <v>22549</v>
      </c>
      <c r="E67" s="2043">
        <v>21918</v>
      </c>
      <c r="F67" s="2043">
        <f t="shared" ref="F67:F130" si="6">MAX(0,E67-D67)</f>
        <v>0</v>
      </c>
      <c r="G67" s="2043">
        <f t="shared" ref="G67:G130" si="7">MAX(0,F67-250)</f>
        <v>0</v>
      </c>
      <c r="H67" s="2208">
        <v>0</v>
      </c>
      <c r="I67" s="2209">
        <v>0</v>
      </c>
      <c r="J67" s="2210">
        <v>0</v>
      </c>
      <c r="K67" s="2208">
        <v>0</v>
      </c>
      <c r="L67" s="2208">
        <v>0</v>
      </c>
      <c r="M67" s="2211">
        <v>0</v>
      </c>
      <c r="N67" s="2212">
        <v>0</v>
      </c>
      <c r="O67" s="1118">
        <f t="shared" ref="O67:O87" si="8">IF(M67&gt;N67,M67-N67,0)</f>
        <v>0</v>
      </c>
      <c r="P67" s="2213">
        <f t="shared" ref="P67:P130" si="9">(40000000/$O$1022)*O67</f>
        <v>0</v>
      </c>
    </row>
    <row r="68" spans="1:16" ht="14.5">
      <c r="A68" s="2042" t="s">
        <v>3235</v>
      </c>
      <c r="B68" s="380" t="str">
        <f t="shared" si="5"/>
        <v>232-903</v>
      </c>
      <c r="C68" s="2042" t="s">
        <v>279</v>
      </c>
      <c r="D68" s="2043">
        <v>4771</v>
      </c>
      <c r="E68" s="2043">
        <v>4150</v>
      </c>
      <c r="F68" s="2043">
        <f t="shared" si="6"/>
        <v>0</v>
      </c>
      <c r="G68" s="2043">
        <f t="shared" si="7"/>
        <v>0</v>
      </c>
      <c r="H68" s="2208">
        <v>0</v>
      </c>
      <c r="I68" s="2209">
        <v>0</v>
      </c>
      <c r="J68" s="2210">
        <v>0</v>
      </c>
      <c r="K68" s="2208">
        <v>0</v>
      </c>
      <c r="L68" s="2208">
        <v>0</v>
      </c>
      <c r="M68" s="2211">
        <v>0</v>
      </c>
      <c r="N68" s="2212">
        <v>0</v>
      </c>
      <c r="O68" s="1118">
        <f t="shared" si="8"/>
        <v>0</v>
      </c>
      <c r="P68" s="2213">
        <f t="shared" si="9"/>
        <v>0</v>
      </c>
    </row>
    <row r="69" spans="1:16" ht="14.5">
      <c r="A69" s="2042" t="s">
        <v>3034</v>
      </c>
      <c r="B69" s="380" t="str">
        <f t="shared" si="5"/>
        <v>108-903</v>
      </c>
      <c r="C69" s="2042" t="s">
        <v>1010</v>
      </c>
      <c r="D69" s="2043">
        <v>5135</v>
      </c>
      <c r="E69" s="2043">
        <v>4538</v>
      </c>
      <c r="F69" s="2043">
        <f t="shared" si="6"/>
        <v>0</v>
      </c>
      <c r="G69" s="2043">
        <f t="shared" si="7"/>
        <v>0</v>
      </c>
      <c r="H69" s="2208">
        <v>0</v>
      </c>
      <c r="I69" s="2209">
        <v>0</v>
      </c>
      <c r="J69" s="2210">
        <v>0</v>
      </c>
      <c r="K69" s="2208">
        <v>0</v>
      </c>
      <c r="L69" s="2208">
        <v>0</v>
      </c>
      <c r="M69" s="2211">
        <v>0</v>
      </c>
      <c r="N69" s="2212">
        <v>0</v>
      </c>
      <c r="O69" s="1118">
        <f t="shared" si="8"/>
        <v>0</v>
      </c>
      <c r="P69" s="2213">
        <f t="shared" si="9"/>
        <v>0</v>
      </c>
    </row>
    <row r="70" spans="1:16" ht="14.5">
      <c r="A70" s="2042" t="s">
        <v>3012</v>
      </c>
      <c r="B70" s="380" t="str">
        <f t="shared" si="5"/>
        <v>094-901</v>
      </c>
      <c r="C70" s="2042" t="s">
        <v>1175</v>
      </c>
      <c r="D70" s="2043">
        <v>7492</v>
      </c>
      <c r="E70" s="2043">
        <v>6899</v>
      </c>
      <c r="F70" s="2043">
        <f t="shared" si="6"/>
        <v>0</v>
      </c>
      <c r="G70" s="2043">
        <f t="shared" si="7"/>
        <v>0</v>
      </c>
      <c r="H70" s="2208">
        <v>0</v>
      </c>
      <c r="I70" s="2209">
        <v>0</v>
      </c>
      <c r="J70" s="2210">
        <v>0</v>
      </c>
      <c r="K70" s="2208">
        <v>0</v>
      </c>
      <c r="L70" s="2208">
        <v>0</v>
      </c>
      <c r="M70" s="2211">
        <v>0</v>
      </c>
      <c r="N70" s="2212">
        <v>0</v>
      </c>
      <c r="O70" s="1118">
        <f t="shared" si="8"/>
        <v>0</v>
      </c>
      <c r="P70" s="2213">
        <f t="shared" si="9"/>
        <v>0</v>
      </c>
    </row>
    <row r="71" spans="1:16" ht="14.5">
      <c r="A71" s="2042" t="s">
        <v>3099</v>
      </c>
      <c r="B71" s="380" t="str">
        <f t="shared" si="5"/>
        <v>137-901</v>
      </c>
      <c r="C71" s="2042" t="s">
        <v>1903</v>
      </c>
      <c r="D71" s="2043">
        <v>3444</v>
      </c>
      <c r="E71" s="2043">
        <v>2861</v>
      </c>
      <c r="F71" s="2043">
        <f t="shared" si="6"/>
        <v>0</v>
      </c>
      <c r="G71" s="2043">
        <f t="shared" si="7"/>
        <v>0</v>
      </c>
      <c r="H71" s="2208">
        <v>0</v>
      </c>
      <c r="I71" s="2209">
        <v>0</v>
      </c>
      <c r="J71" s="2210">
        <v>0</v>
      </c>
      <c r="K71" s="2208">
        <v>0</v>
      </c>
      <c r="L71" s="2208">
        <v>0</v>
      </c>
      <c r="M71" s="2211">
        <v>0</v>
      </c>
      <c r="N71" s="2212">
        <v>0</v>
      </c>
      <c r="O71" s="1118">
        <f t="shared" si="8"/>
        <v>0</v>
      </c>
      <c r="P71" s="2213">
        <f t="shared" si="9"/>
        <v>0</v>
      </c>
    </row>
    <row r="72" spans="1:16" ht="14.5">
      <c r="A72" s="2042" t="s">
        <v>3969</v>
      </c>
      <c r="B72" s="380" t="str">
        <f t="shared" si="5"/>
        <v>092-903</v>
      </c>
      <c r="C72" s="2042" t="s">
        <v>2007</v>
      </c>
      <c r="D72" s="2043">
        <v>8824</v>
      </c>
      <c r="E72" s="2043">
        <v>8254</v>
      </c>
      <c r="F72" s="2043">
        <f t="shared" si="6"/>
        <v>0</v>
      </c>
      <c r="G72" s="2043">
        <f t="shared" si="7"/>
        <v>0</v>
      </c>
      <c r="H72" s="2208">
        <v>0</v>
      </c>
      <c r="I72" s="2209">
        <v>0</v>
      </c>
      <c r="J72" s="2210">
        <v>0</v>
      </c>
      <c r="K72" s="2208">
        <v>0</v>
      </c>
      <c r="L72" s="2208">
        <v>0</v>
      </c>
      <c r="M72" s="2211">
        <v>0</v>
      </c>
      <c r="N72" s="2212">
        <v>0</v>
      </c>
      <c r="O72" s="1118">
        <f t="shared" si="8"/>
        <v>0</v>
      </c>
      <c r="P72" s="2213">
        <f t="shared" si="9"/>
        <v>0</v>
      </c>
    </row>
    <row r="73" spans="1:16" ht="14.5">
      <c r="A73" s="2042" t="s">
        <v>3252</v>
      </c>
      <c r="B73" s="380" t="str">
        <f t="shared" si="5"/>
        <v>243-905</v>
      </c>
      <c r="C73" s="2042" t="s">
        <v>1517</v>
      </c>
      <c r="D73" s="2043">
        <v>14159</v>
      </c>
      <c r="E73" s="2043">
        <v>13600</v>
      </c>
      <c r="F73" s="2043">
        <f t="shared" si="6"/>
        <v>0</v>
      </c>
      <c r="G73" s="2043">
        <f t="shared" si="7"/>
        <v>0</v>
      </c>
      <c r="H73" s="2208">
        <v>0</v>
      </c>
      <c r="I73" s="2209">
        <v>0</v>
      </c>
      <c r="J73" s="2210">
        <v>0</v>
      </c>
      <c r="K73" s="2208">
        <v>0</v>
      </c>
      <c r="L73" s="2208">
        <v>0</v>
      </c>
      <c r="M73" s="2211">
        <v>0</v>
      </c>
      <c r="N73" s="2212">
        <v>0</v>
      </c>
      <c r="O73" s="1118">
        <f t="shared" si="8"/>
        <v>0</v>
      </c>
      <c r="P73" s="2213">
        <f t="shared" si="9"/>
        <v>0</v>
      </c>
    </row>
    <row r="74" spans="1:16" ht="14.5">
      <c r="A74" s="2042" t="s">
        <v>2916</v>
      </c>
      <c r="B74" s="380" t="str">
        <f t="shared" si="5"/>
        <v>031-905</v>
      </c>
      <c r="C74" s="2042" t="s">
        <v>1775</v>
      </c>
      <c r="D74" s="2043">
        <v>3647</v>
      </c>
      <c r="E74" s="2043">
        <v>3094</v>
      </c>
      <c r="F74" s="2043">
        <f t="shared" si="6"/>
        <v>0</v>
      </c>
      <c r="G74" s="2043">
        <f t="shared" si="7"/>
        <v>0</v>
      </c>
      <c r="H74" s="2208">
        <v>0</v>
      </c>
      <c r="I74" s="2209">
        <v>0</v>
      </c>
      <c r="J74" s="2210">
        <v>0</v>
      </c>
      <c r="K74" s="2208">
        <v>0</v>
      </c>
      <c r="L74" s="2208">
        <v>0</v>
      </c>
      <c r="M74" s="2211">
        <v>0</v>
      </c>
      <c r="N74" s="2212">
        <v>0</v>
      </c>
      <c r="O74" s="1118">
        <f t="shared" si="8"/>
        <v>0</v>
      </c>
      <c r="P74" s="2213">
        <f t="shared" si="9"/>
        <v>0</v>
      </c>
    </row>
    <row r="75" spans="1:16" ht="14.5">
      <c r="A75" s="2042" t="s">
        <v>5190</v>
      </c>
      <c r="B75" s="380" t="str">
        <f t="shared" si="5"/>
        <v>174-904</v>
      </c>
      <c r="C75" s="2042" t="s">
        <v>2133</v>
      </c>
      <c r="D75" s="2043">
        <v>6464</v>
      </c>
      <c r="E75" s="2043">
        <v>5940</v>
      </c>
      <c r="F75" s="2043">
        <f t="shared" si="6"/>
        <v>0</v>
      </c>
      <c r="G75" s="2043">
        <f t="shared" si="7"/>
        <v>0</v>
      </c>
      <c r="H75" s="2208">
        <v>0</v>
      </c>
      <c r="I75" s="2209">
        <v>0</v>
      </c>
      <c r="J75" s="2210">
        <v>0</v>
      </c>
      <c r="K75" s="2208">
        <v>0</v>
      </c>
      <c r="L75" s="2208">
        <v>0</v>
      </c>
      <c r="M75" s="2211">
        <v>0</v>
      </c>
      <c r="N75" s="2212">
        <v>0</v>
      </c>
      <c r="O75" s="1118">
        <f t="shared" si="8"/>
        <v>0</v>
      </c>
      <c r="P75" s="2213">
        <f t="shared" si="9"/>
        <v>0</v>
      </c>
    </row>
    <row r="76" spans="1:16" ht="14.5">
      <c r="A76" s="2042" t="s">
        <v>3127</v>
      </c>
      <c r="B76" s="380" t="str">
        <f t="shared" si="5"/>
        <v>161-914</v>
      </c>
      <c r="C76" s="2042" t="s">
        <v>127</v>
      </c>
      <c r="D76" s="2043">
        <v>14946</v>
      </c>
      <c r="E76" s="2043">
        <v>14428</v>
      </c>
      <c r="F76" s="2043">
        <f t="shared" si="6"/>
        <v>0</v>
      </c>
      <c r="G76" s="2043">
        <f t="shared" si="7"/>
        <v>0</v>
      </c>
      <c r="H76" s="2208">
        <v>0</v>
      </c>
      <c r="I76" s="2209">
        <v>0</v>
      </c>
      <c r="J76" s="2210">
        <v>0</v>
      </c>
      <c r="K76" s="2208">
        <v>0</v>
      </c>
      <c r="L76" s="2208">
        <v>0</v>
      </c>
      <c r="M76" s="2211">
        <v>0</v>
      </c>
      <c r="N76" s="2212">
        <v>0</v>
      </c>
      <c r="O76" s="1118">
        <f t="shared" si="8"/>
        <v>0</v>
      </c>
      <c r="P76" s="2213">
        <f t="shared" si="9"/>
        <v>0</v>
      </c>
    </row>
    <row r="77" spans="1:16" ht="14.5">
      <c r="A77" s="2042" t="s">
        <v>5075</v>
      </c>
      <c r="B77" s="380" t="str">
        <f t="shared" si="5"/>
        <v>102-902</v>
      </c>
      <c r="C77" s="2042" t="s">
        <v>2071</v>
      </c>
      <c r="D77" s="2043">
        <v>5580</v>
      </c>
      <c r="E77" s="2043">
        <v>5064</v>
      </c>
      <c r="F77" s="2043">
        <f t="shared" si="6"/>
        <v>0</v>
      </c>
      <c r="G77" s="2043">
        <f t="shared" si="7"/>
        <v>0</v>
      </c>
      <c r="H77" s="2208">
        <v>0</v>
      </c>
      <c r="I77" s="2209">
        <v>0</v>
      </c>
      <c r="J77" s="2210">
        <v>0</v>
      </c>
      <c r="K77" s="2208">
        <v>0</v>
      </c>
      <c r="L77" s="2208">
        <v>0</v>
      </c>
      <c r="M77" s="2211">
        <v>0</v>
      </c>
      <c r="N77" s="2212">
        <v>0</v>
      </c>
      <c r="O77" s="1118">
        <f t="shared" si="8"/>
        <v>0</v>
      </c>
      <c r="P77" s="2213">
        <f t="shared" si="9"/>
        <v>0</v>
      </c>
    </row>
    <row r="78" spans="1:16" ht="14.5">
      <c r="A78" s="2042" t="s">
        <v>4953</v>
      </c>
      <c r="B78" s="380" t="str">
        <f t="shared" si="5"/>
        <v>029-901</v>
      </c>
      <c r="C78" s="2042" t="s">
        <v>971</v>
      </c>
      <c r="D78" s="2043">
        <v>4179</v>
      </c>
      <c r="E78" s="2043">
        <v>3681</v>
      </c>
      <c r="F78" s="2043">
        <f t="shared" si="6"/>
        <v>0</v>
      </c>
      <c r="G78" s="2043">
        <f t="shared" si="7"/>
        <v>0</v>
      </c>
      <c r="H78" s="2208">
        <v>0</v>
      </c>
      <c r="I78" s="2209">
        <v>0</v>
      </c>
      <c r="J78" s="2210">
        <v>0</v>
      </c>
      <c r="K78" s="2208">
        <v>0</v>
      </c>
      <c r="L78" s="2208">
        <v>0</v>
      </c>
      <c r="M78" s="2211">
        <v>0</v>
      </c>
      <c r="N78" s="2212">
        <v>0</v>
      </c>
      <c r="O78" s="1118">
        <f t="shared" si="8"/>
        <v>0</v>
      </c>
      <c r="P78" s="2213">
        <f t="shared" si="9"/>
        <v>0</v>
      </c>
    </row>
    <row r="79" spans="1:16" ht="14.5">
      <c r="A79" s="2042" t="s">
        <v>5034</v>
      </c>
      <c r="B79" s="380" t="str">
        <f t="shared" si="5"/>
        <v>084-910</v>
      </c>
      <c r="C79" s="2042" t="s">
        <v>350</v>
      </c>
      <c r="D79" s="2043">
        <v>41226</v>
      </c>
      <c r="E79" s="2043">
        <v>40737</v>
      </c>
      <c r="F79" s="2043">
        <f t="shared" si="6"/>
        <v>0</v>
      </c>
      <c r="G79" s="2043">
        <f t="shared" si="7"/>
        <v>0</v>
      </c>
      <c r="H79" s="2208">
        <v>0</v>
      </c>
      <c r="I79" s="2209">
        <v>0</v>
      </c>
      <c r="J79" s="2210">
        <v>0</v>
      </c>
      <c r="K79" s="2208">
        <v>0</v>
      </c>
      <c r="L79" s="2208">
        <v>0</v>
      </c>
      <c r="M79" s="2211">
        <v>0</v>
      </c>
      <c r="N79" s="2212">
        <v>0</v>
      </c>
      <c r="O79" s="1118">
        <f t="shared" si="8"/>
        <v>0</v>
      </c>
      <c r="P79" s="2213">
        <f t="shared" si="9"/>
        <v>0</v>
      </c>
    </row>
    <row r="80" spans="1:16" ht="14.5">
      <c r="A80" s="2042" t="s">
        <v>3078</v>
      </c>
      <c r="B80" s="380" t="str">
        <f t="shared" si="5"/>
        <v>125-901</v>
      </c>
      <c r="C80" s="2042" t="s">
        <v>660</v>
      </c>
      <c r="D80" s="2043">
        <v>5143</v>
      </c>
      <c r="E80" s="2043">
        <v>4676</v>
      </c>
      <c r="F80" s="2043">
        <f t="shared" si="6"/>
        <v>0</v>
      </c>
      <c r="G80" s="2043">
        <f t="shared" si="7"/>
        <v>0</v>
      </c>
      <c r="H80" s="2208">
        <v>0</v>
      </c>
      <c r="I80" s="2209">
        <v>0</v>
      </c>
      <c r="J80" s="2210">
        <v>0</v>
      </c>
      <c r="K80" s="2208">
        <v>0</v>
      </c>
      <c r="L80" s="2208">
        <v>0</v>
      </c>
      <c r="M80" s="2211">
        <v>0</v>
      </c>
      <c r="N80" s="2212">
        <v>0</v>
      </c>
      <c r="O80" s="1118">
        <f t="shared" si="8"/>
        <v>0</v>
      </c>
      <c r="P80" s="2213">
        <f t="shared" si="9"/>
        <v>0</v>
      </c>
    </row>
    <row r="81" spans="1:16" ht="14.5">
      <c r="A81" s="2042" t="s">
        <v>4955</v>
      </c>
      <c r="B81" s="380" t="str">
        <f t="shared" si="5"/>
        <v>031-909</v>
      </c>
      <c r="C81" s="2042" t="s">
        <v>1512</v>
      </c>
      <c r="D81" s="2043">
        <v>2530</v>
      </c>
      <c r="E81" s="2043">
        <v>2072</v>
      </c>
      <c r="F81" s="2043">
        <f t="shared" si="6"/>
        <v>0</v>
      </c>
      <c r="G81" s="2043">
        <f t="shared" si="7"/>
        <v>0</v>
      </c>
      <c r="H81" s="2208">
        <v>0</v>
      </c>
      <c r="I81" s="2209">
        <v>0</v>
      </c>
      <c r="J81" s="2210">
        <v>0</v>
      </c>
      <c r="K81" s="2208">
        <v>0</v>
      </c>
      <c r="L81" s="2208">
        <v>0</v>
      </c>
      <c r="M81" s="2211">
        <v>0</v>
      </c>
      <c r="N81" s="2212">
        <v>0</v>
      </c>
      <c r="O81" s="1118">
        <f t="shared" si="8"/>
        <v>0</v>
      </c>
      <c r="P81" s="2213">
        <f t="shared" si="9"/>
        <v>0</v>
      </c>
    </row>
    <row r="82" spans="1:16" ht="14.5">
      <c r="A82" s="2042" t="s">
        <v>3205</v>
      </c>
      <c r="B82" s="380" t="str">
        <f t="shared" si="5"/>
        <v>214-903</v>
      </c>
      <c r="C82" s="2042" t="s">
        <v>571</v>
      </c>
      <c r="D82" s="2043">
        <v>6516</v>
      </c>
      <c r="E82" s="2043">
        <v>6060</v>
      </c>
      <c r="F82" s="2043">
        <f t="shared" si="6"/>
        <v>0</v>
      </c>
      <c r="G82" s="2043">
        <f t="shared" si="7"/>
        <v>0</v>
      </c>
      <c r="H82" s="2208">
        <v>0</v>
      </c>
      <c r="I82" s="2209">
        <v>0</v>
      </c>
      <c r="J82" s="2210">
        <v>0</v>
      </c>
      <c r="K82" s="2208">
        <v>0</v>
      </c>
      <c r="L82" s="2208">
        <v>0</v>
      </c>
      <c r="M82" s="2211">
        <v>0</v>
      </c>
      <c r="N82" s="2212">
        <v>0</v>
      </c>
      <c r="O82" s="1118">
        <f t="shared" si="8"/>
        <v>0</v>
      </c>
      <c r="P82" s="2213">
        <f t="shared" si="9"/>
        <v>0</v>
      </c>
    </row>
    <row r="83" spans="1:16" ht="14.5">
      <c r="A83" s="2042" t="s">
        <v>5257</v>
      </c>
      <c r="B83" s="380" t="str">
        <f t="shared" si="5"/>
        <v>212-905</v>
      </c>
      <c r="C83" s="2042" t="s">
        <v>1885</v>
      </c>
      <c r="D83" s="2043">
        <v>18171</v>
      </c>
      <c r="E83" s="2043">
        <v>17721</v>
      </c>
      <c r="F83" s="2043">
        <f t="shared" si="6"/>
        <v>0</v>
      </c>
      <c r="G83" s="2043">
        <f t="shared" si="7"/>
        <v>0</v>
      </c>
      <c r="H83" s="2208">
        <v>0</v>
      </c>
      <c r="I83" s="2209">
        <v>0</v>
      </c>
      <c r="J83" s="2210">
        <v>0</v>
      </c>
      <c r="K83" s="2208">
        <v>0</v>
      </c>
      <c r="L83" s="2208">
        <v>0</v>
      </c>
      <c r="M83" s="2211">
        <v>0</v>
      </c>
      <c r="N83" s="2212">
        <v>0</v>
      </c>
      <c r="O83" s="1118">
        <f t="shared" si="8"/>
        <v>0</v>
      </c>
      <c r="P83" s="2213">
        <f t="shared" si="9"/>
        <v>0</v>
      </c>
    </row>
    <row r="84" spans="1:16" ht="14.5">
      <c r="A84" s="2042" t="s">
        <v>3041</v>
      </c>
      <c r="B84" s="380" t="str">
        <f t="shared" si="5"/>
        <v>108-910</v>
      </c>
      <c r="C84" s="2042" t="s">
        <v>73</v>
      </c>
      <c r="D84" s="2043">
        <v>1978</v>
      </c>
      <c r="E84" s="2043">
        <v>1533</v>
      </c>
      <c r="F84" s="2043">
        <f t="shared" si="6"/>
        <v>0</v>
      </c>
      <c r="G84" s="2043">
        <f t="shared" si="7"/>
        <v>0</v>
      </c>
      <c r="H84" s="2208">
        <v>0</v>
      </c>
      <c r="I84" s="2209">
        <v>0</v>
      </c>
      <c r="J84" s="2210">
        <v>0</v>
      </c>
      <c r="K84" s="2208">
        <v>0</v>
      </c>
      <c r="L84" s="2208">
        <v>0</v>
      </c>
      <c r="M84" s="2211">
        <v>0</v>
      </c>
      <c r="N84" s="2212">
        <v>0</v>
      </c>
      <c r="O84" s="1118">
        <f t="shared" si="8"/>
        <v>0</v>
      </c>
      <c r="P84" s="2213">
        <f t="shared" si="9"/>
        <v>0</v>
      </c>
    </row>
    <row r="85" spans="1:16" ht="14.5">
      <c r="A85" s="2042" t="s">
        <v>4990</v>
      </c>
      <c r="B85" s="380" t="str">
        <f t="shared" si="5"/>
        <v>057-911</v>
      </c>
      <c r="C85" s="2042" t="s">
        <v>121</v>
      </c>
      <c r="D85" s="2043">
        <v>7081</v>
      </c>
      <c r="E85" s="2043">
        <v>6648</v>
      </c>
      <c r="F85" s="2043">
        <f t="shared" si="6"/>
        <v>0</v>
      </c>
      <c r="G85" s="2043">
        <f t="shared" si="7"/>
        <v>0</v>
      </c>
      <c r="H85" s="2208">
        <v>0</v>
      </c>
      <c r="I85" s="2209">
        <v>0</v>
      </c>
      <c r="J85" s="2210">
        <v>0</v>
      </c>
      <c r="K85" s="2208">
        <v>0</v>
      </c>
      <c r="L85" s="2208">
        <v>0</v>
      </c>
      <c r="M85" s="2211">
        <v>0</v>
      </c>
      <c r="N85" s="2212">
        <v>0</v>
      </c>
      <c r="O85" s="1118">
        <f t="shared" si="8"/>
        <v>0</v>
      </c>
      <c r="P85" s="2213">
        <f t="shared" si="9"/>
        <v>0</v>
      </c>
    </row>
    <row r="86" spans="1:16" ht="14.5">
      <c r="A86" s="2042" t="s">
        <v>5068</v>
      </c>
      <c r="B86" s="380" t="str">
        <f t="shared" si="5"/>
        <v>101-911</v>
      </c>
      <c r="C86" s="2042" t="s">
        <v>455</v>
      </c>
      <c r="D86" s="2043">
        <v>23748</v>
      </c>
      <c r="E86" s="2043">
        <v>23318</v>
      </c>
      <c r="F86" s="2043">
        <f t="shared" si="6"/>
        <v>0</v>
      </c>
      <c r="G86" s="2043">
        <f t="shared" si="7"/>
        <v>0</v>
      </c>
      <c r="H86" s="2208">
        <v>0</v>
      </c>
      <c r="I86" s="2209">
        <v>0</v>
      </c>
      <c r="J86" s="2210">
        <v>0</v>
      </c>
      <c r="K86" s="2208">
        <v>0</v>
      </c>
      <c r="L86" s="2208">
        <v>0</v>
      </c>
      <c r="M86" s="2211">
        <v>0</v>
      </c>
      <c r="N86" s="2212">
        <v>0</v>
      </c>
      <c r="O86" s="1118">
        <f t="shared" si="8"/>
        <v>0</v>
      </c>
      <c r="P86" s="2213">
        <f t="shared" si="9"/>
        <v>0</v>
      </c>
    </row>
    <row r="87" spans="1:16" ht="14.5">
      <c r="A87" s="2042" t="s">
        <v>3216</v>
      </c>
      <c r="B87" s="380" t="str">
        <f t="shared" si="5"/>
        <v>220-917</v>
      </c>
      <c r="C87" s="2042" t="s">
        <v>616</v>
      </c>
      <c r="D87" s="2043">
        <v>4046</v>
      </c>
      <c r="E87" s="2043">
        <v>3617</v>
      </c>
      <c r="F87" s="2043">
        <f t="shared" si="6"/>
        <v>0</v>
      </c>
      <c r="G87" s="2043">
        <f t="shared" si="7"/>
        <v>0</v>
      </c>
      <c r="H87" s="2208">
        <v>0</v>
      </c>
      <c r="I87" s="2209">
        <v>0</v>
      </c>
      <c r="J87" s="2210">
        <v>0</v>
      </c>
      <c r="K87" s="2208">
        <v>0</v>
      </c>
      <c r="L87" s="2208">
        <v>0</v>
      </c>
      <c r="M87" s="2211">
        <v>0</v>
      </c>
      <c r="N87" s="2212">
        <v>0</v>
      </c>
      <c r="O87" s="1118">
        <f t="shared" si="8"/>
        <v>0</v>
      </c>
      <c r="P87" s="2213">
        <f t="shared" si="9"/>
        <v>0</v>
      </c>
    </row>
    <row r="88" spans="1:16" ht="14.5">
      <c r="A88" s="2042" t="s">
        <v>3063</v>
      </c>
      <c r="B88" s="380" t="str">
        <f t="shared" si="5"/>
        <v>114-901</v>
      </c>
      <c r="C88" s="2042" t="s">
        <v>1481</v>
      </c>
      <c r="D88" s="2043">
        <v>4122</v>
      </c>
      <c r="E88" s="2043">
        <v>3698</v>
      </c>
      <c r="F88" s="2043">
        <f t="shared" si="6"/>
        <v>0</v>
      </c>
      <c r="G88" s="2043">
        <f t="shared" si="7"/>
        <v>0</v>
      </c>
      <c r="H88" s="2208">
        <v>0</v>
      </c>
      <c r="I88" s="2209">
        <v>0</v>
      </c>
      <c r="J88" s="2210">
        <v>0</v>
      </c>
      <c r="K88" s="2208">
        <v>0</v>
      </c>
      <c r="L88" s="2208">
        <v>0</v>
      </c>
      <c r="M88" s="2211">
        <v>0</v>
      </c>
      <c r="N88" s="2212">
        <v>895343</v>
      </c>
      <c r="O88" s="1118">
        <f>IF(N88&gt;M88,N88-M88,0)</f>
        <v>895343</v>
      </c>
      <c r="P88" s="2213">
        <f t="shared" si="9"/>
        <v>241069.74924103401</v>
      </c>
    </row>
    <row r="89" spans="1:16" ht="14.5">
      <c r="A89" s="2042" t="s">
        <v>2918</v>
      </c>
      <c r="B89" s="380" t="str">
        <f t="shared" si="5"/>
        <v>031-911</v>
      </c>
      <c r="C89" s="2042" t="s">
        <v>2547</v>
      </c>
      <c r="D89" s="2043">
        <v>2140</v>
      </c>
      <c r="E89" s="2043">
        <v>1731</v>
      </c>
      <c r="F89" s="2043">
        <f t="shared" si="6"/>
        <v>0</v>
      </c>
      <c r="G89" s="2043">
        <f t="shared" si="7"/>
        <v>0</v>
      </c>
      <c r="H89" s="2208">
        <v>0</v>
      </c>
      <c r="I89" s="2209">
        <v>0</v>
      </c>
      <c r="J89" s="2210">
        <v>0</v>
      </c>
      <c r="K89" s="2208">
        <v>0</v>
      </c>
      <c r="L89" s="2208">
        <v>0</v>
      </c>
      <c r="M89" s="2211">
        <v>0</v>
      </c>
      <c r="N89" s="2212">
        <v>0</v>
      </c>
      <c r="O89" s="1118">
        <f t="shared" ref="O89:O152" si="10">IF(N89&gt;M89,N89-M89,0)</f>
        <v>0</v>
      </c>
      <c r="P89" s="2213">
        <f t="shared" si="9"/>
        <v>0</v>
      </c>
    </row>
    <row r="90" spans="1:16" ht="14.5">
      <c r="A90" s="2042" t="s">
        <v>2902</v>
      </c>
      <c r="B90" s="380" t="str">
        <f t="shared" si="5"/>
        <v>021-902</v>
      </c>
      <c r="C90" s="2042" t="s">
        <v>2491</v>
      </c>
      <c r="D90" s="2043">
        <v>16164</v>
      </c>
      <c r="E90" s="2043">
        <v>15761</v>
      </c>
      <c r="F90" s="2043">
        <f t="shared" si="6"/>
        <v>0</v>
      </c>
      <c r="G90" s="2043">
        <f t="shared" si="7"/>
        <v>0</v>
      </c>
      <c r="H90" s="2208">
        <v>0</v>
      </c>
      <c r="I90" s="2209">
        <v>0</v>
      </c>
      <c r="J90" s="2210">
        <v>0</v>
      </c>
      <c r="K90" s="2208">
        <v>0</v>
      </c>
      <c r="L90" s="2208">
        <v>0</v>
      </c>
      <c r="M90" s="2211">
        <v>0</v>
      </c>
      <c r="N90" s="2212">
        <v>0</v>
      </c>
      <c r="O90" s="1118">
        <f t="shared" si="10"/>
        <v>0</v>
      </c>
      <c r="P90" s="2213">
        <f t="shared" si="9"/>
        <v>0</v>
      </c>
    </row>
    <row r="91" spans="1:16" ht="14.5">
      <c r="A91" s="2042" t="s">
        <v>3245</v>
      </c>
      <c r="B91" s="380" t="str">
        <f t="shared" si="5"/>
        <v>236-902</v>
      </c>
      <c r="C91" s="2042" t="s">
        <v>90</v>
      </c>
      <c r="D91" s="2043">
        <v>6304</v>
      </c>
      <c r="E91" s="2043">
        <v>5906</v>
      </c>
      <c r="F91" s="2043">
        <f t="shared" si="6"/>
        <v>0</v>
      </c>
      <c r="G91" s="2043">
        <f t="shared" si="7"/>
        <v>0</v>
      </c>
      <c r="H91" s="2208">
        <v>0</v>
      </c>
      <c r="I91" s="2209">
        <v>0</v>
      </c>
      <c r="J91" s="2210">
        <v>0</v>
      </c>
      <c r="K91" s="2208">
        <v>0</v>
      </c>
      <c r="L91" s="2208">
        <v>0</v>
      </c>
      <c r="M91" s="2211">
        <v>0</v>
      </c>
      <c r="N91" s="2212">
        <v>2103116</v>
      </c>
      <c r="O91" s="1118">
        <f t="shared" si="10"/>
        <v>2103116</v>
      </c>
      <c r="P91" s="2213">
        <f t="shared" si="9"/>
        <v>566260.80367502337</v>
      </c>
    </row>
    <row r="92" spans="1:16" ht="14.5">
      <c r="A92" s="2042" t="s">
        <v>4924</v>
      </c>
      <c r="B92" s="380" t="str">
        <f t="shared" si="5"/>
        <v>004-901</v>
      </c>
      <c r="C92" s="2042" t="s">
        <v>1124</v>
      </c>
      <c r="D92" s="2043">
        <v>3405</v>
      </c>
      <c r="E92" s="2043">
        <v>3010</v>
      </c>
      <c r="F92" s="2043">
        <f t="shared" si="6"/>
        <v>0</v>
      </c>
      <c r="G92" s="2043">
        <f t="shared" si="7"/>
        <v>0</v>
      </c>
      <c r="H92" s="2208">
        <v>0</v>
      </c>
      <c r="I92" s="2209">
        <v>0</v>
      </c>
      <c r="J92" s="2210">
        <v>0</v>
      </c>
      <c r="K92" s="2208">
        <v>0</v>
      </c>
      <c r="L92" s="2208">
        <v>0</v>
      </c>
      <c r="M92" s="2211">
        <v>0</v>
      </c>
      <c r="N92" s="2212">
        <v>0</v>
      </c>
      <c r="O92" s="1118">
        <f t="shared" si="10"/>
        <v>0</v>
      </c>
      <c r="P92" s="2213">
        <f t="shared" si="9"/>
        <v>0</v>
      </c>
    </row>
    <row r="93" spans="1:16" ht="14.5">
      <c r="A93" s="2042" t="s">
        <v>3768</v>
      </c>
      <c r="B93" s="380" t="str">
        <f t="shared" si="5"/>
        <v>059-901</v>
      </c>
      <c r="C93" s="2042" t="s">
        <v>2239</v>
      </c>
      <c r="D93" s="2043">
        <v>4262</v>
      </c>
      <c r="E93" s="2043">
        <v>3868</v>
      </c>
      <c r="F93" s="2043">
        <f t="shared" si="6"/>
        <v>0</v>
      </c>
      <c r="G93" s="2043">
        <f t="shared" si="7"/>
        <v>0</v>
      </c>
      <c r="H93" s="2208">
        <v>0</v>
      </c>
      <c r="I93" s="2209">
        <v>0</v>
      </c>
      <c r="J93" s="2210">
        <v>0</v>
      </c>
      <c r="K93" s="2208">
        <v>0</v>
      </c>
      <c r="L93" s="2208">
        <v>0</v>
      </c>
      <c r="M93" s="2211">
        <v>0</v>
      </c>
      <c r="N93" s="2212">
        <v>0</v>
      </c>
      <c r="O93" s="1118">
        <f t="shared" si="10"/>
        <v>0</v>
      </c>
      <c r="P93" s="2213">
        <f t="shared" si="9"/>
        <v>0</v>
      </c>
    </row>
    <row r="94" spans="1:16" ht="14.5">
      <c r="A94" s="2042" t="s">
        <v>3047</v>
      </c>
      <c r="B94" s="380" t="str">
        <f t="shared" si="5"/>
        <v>108-916</v>
      </c>
      <c r="C94" s="2042" t="s">
        <v>2231</v>
      </c>
      <c r="D94" s="2043">
        <v>4524</v>
      </c>
      <c r="E94" s="2043">
        <v>4132</v>
      </c>
      <c r="F94" s="2043">
        <f t="shared" si="6"/>
        <v>0</v>
      </c>
      <c r="G94" s="2043">
        <f t="shared" si="7"/>
        <v>0</v>
      </c>
      <c r="H94" s="2208">
        <v>0</v>
      </c>
      <c r="I94" s="2209">
        <v>0</v>
      </c>
      <c r="J94" s="2210">
        <v>0</v>
      </c>
      <c r="K94" s="2208">
        <v>0</v>
      </c>
      <c r="L94" s="2208">
        <v>0</v>
      </c>
      <c r="M94" s="2211">
        <v>0</v>
      </c>
      <c r="N94" s="2212">
        <v>0</v>
      </c>
      <c r="O94" s="1118">
        <f t="shared" si="10"/>
        <v>0</v>
      </c>
      <c r="P94" s="2213">
        <f t="shared" si="9"/>
        <v>0</v>
      </c>
    </row>
    <row r="95" spans="1:16" ht="14.5">
      <c r="A95" s="2042" t="s">
        <v>5185</v>
      </c>
      <c r="B95" s="380" t="str">
        <f t="shared" si="5"/>
        <v>171-901</v>
      </c>
      <c r="C95" s="2042" t="s">
        <v>2127</v>
      </c>
      <c r="D95" s="2043">
        <v>4545</v>
      </c>
      <c r="E95" s="2043">
        <v>4170</v>
      </c>
      <c r="F95" s="2043">
        <f t="shared" si="6"/>
        <v>0</v>
      </c>
      <c r="G95" s="2043">
        <f t="shared" si="7"/>
        <v>0</v>
      </c>
      <c r="H95" s="2208">
        <v>0</v>
      </c>
      <c r="I95" s="2209">
        <v>0</v>
      </c>
      <c r="J95" s="2210">
        <v>0</v>
      </c>
      <c r="K95" s="2208">
        <v>0</v>
      </c>
      <c r="L95" s="2208">
        <v>0</v>
      </c>
      <c r="M95" s="2211">
        <v>0</v>
      </c>
      <c r="N95" s="2212">
        <v>0</v>
      </c>
      <c r="O95" s="1118">
        <f t="shared" si="10"/>
        <v>0</v>
      </c>
      <c r="P95" s="2213">
        <f t="shared" si="9"/>
        <v>0</v>
      </c>
    </row>
    <row r="96" spans="1:16" ht="14.5">
      <c r="A96" s="2042" t="s">
        <v>3176</v>
      </c>
      <c r="B96" s="380" t="str">
        <f t="shared" si="5"/>
        <v>187-907</v>
      </c>
      <c r="C96" s="2042" t="s">
        <v>2103</v>
      </c>
      <c r="D96" s="2043">
        <v>4171</v>
      </c>
      <c r="E96" s="2043">
        <v>3804</v>
      </c>
      <c r="F96" s="2043">
        <f t="shared" si="6"/>
        <v>0</v>
      </c>
      <c r="G96" s="2043">
        <f t="shared" si="7"/>
        <v>0</v>
      </c>
      <c r="H96" s="2208">
        <v>0</v>
      </c>
      <c r="I96" s="2209">
        <v>0</v>
      </c>
      <c r="J96" s="2210">
        <v>0</v>
      </c>
      <c r="K96" s="2208">
        <v>0</v>
      </c>
      <c r="L96" s="2208">
        <v>0</v>
      </c>
      <c r="M96" s="2211">
        <v>0</v>
      </c>
      <c r="N96" s="2212">
        <v>0</v>
      </c>
      <c r="O96" s="1118">
        <f t="shared" si="10"/>
        <v>0</v>
      </c>
      <c r="P96" s="2213">
        <f t="shared" si="9"/>
        <v>0</v>
      </c>
    </row>
    <row r="97" spans="1:16" ht="14.5">
      <c r="A97" s="2042" t="s">
        <v>2917</v>
      </c>
      <c r="B97" s="380" t="str">
        <f t="shared" si="5"/>
        <v>031-906</v>
      </c>
      <c r="C97" s="2042" t="s">
        <v>34</v>
      </c>
      <c r="D97" s="2043">
        <v>10886</v>
      </c>
      <c r="E97" s="2043">
        <v>10529</v>
      </c>
      <c r="F97" s="2043">
        <f t="shared" si="6"/>
        <v>0</v>
      </c>
      <c r="G97" s="2043">
        <f t="shared" si="7"/>
        <v>0</v>
      </c>
      <c r="H97" s="2208">
        <v>0</v>
      </c>
      <c r="I97" s="2209">
        <v>0</v>
      </c>
      <c r="J97" s="2210">
        <v>0</v>
      </c>
      <c r="K97" s="2208">
        <v>0</v>
      </c>
      <c r="L97" s="2208">
        <v>0</v>
      </c>
      <c r="M97" s="2211">
        <v>0</v>
      </c>
      <c r="N97" s="2212">
        <v>0</v>
      </c>
      <c r="O97" s="1118">
        <f t="shared" si="10"/>
        <v>0</v>
      </c>
      <c r="P97" s="2213">
        <f t="shared" si="9"/>
        <v>0</v>
      </c>
    </row>
    <row r="98" spans="1:16" ht="14.5">
      <c r="A98" s="2042" t="s">
        <v>2999</v>
      </c>
      <c r="B98" s="380" t="str">
        <f t="shared" si="5"/>
        <v>084-909</v>
      </c>
      <c r="C98" s="2042" t="s">
        <v>83</v>
      </c>
      <c r="D98" s="2043">
        <v>4697</v>
      </c>
      <c r="E98" s="2043">
        <v>4343</v>
      </c>
      <c r="F98" s="2043">
        <f t="shared" si="6"/>
        <v>0</v>
      </c>
      <c r="G98" s="2043">
        <f t="shared" si="7"/>
        <v>0</v>
      </c>
      <c r="H98" s="2208">
        <v>0</v>
      </c>
      <c r="I98" s="2209">
        <v>0</v>
      </c>
      <c r="J98" s="2210">
        <v>0</v>
      </c>
      <c r="K98" s="2208">
        <v>0</v>
      </c>
      <c r="L98" s="2208">
        <v>0</v>
      </c>
      <c r="M98" s="2211">
        <v>0</v>
      </c>
      <c r="N98" s="2212">
        <v>0</v>
      </c>
      <c r="O98" s="1118">
        <f t="shared" si="10"/>
        <v>0</v>
      </c>
      <c r="P98" s="2213">
        <f t="shared" si="9"/>
        <v>0</v>
      </c>
    </row>
    <row r="99" spans="1:16" ht="14.5">
      <c r="A99" s="2042" t="s">
        <v>5136</v>
      </c>
      <c r="B99" s="380" t="str">
        <f t="shared" si="5"/>
        <v>139-911</v>
      </c>
      <c r="C99" s="2042" t="s">
        <v>2290</v>
      </c>
      <c r="D99" s="2043">
        <v>2715</v>
      </c>
      <c r="E99" s="2043">
        <v>2361</v>
      </c>
      <c r="F99" s="2043">
        <f t="shared" si="6"/>
        <v>0</v>
      </c>
      <c r="G99" s="2043">
        <f t="shared" si="7"/>
        <v>0</v>
      </c>
      <c r="H99" s="2208">
        <v>0</v>
      </c>
      <c r="I99" s="2209">
        <v>0</v>
      </c>
      <c r="J99" s="2210">
        <v>0</v>
      </c>
      <c r="K99" s="2208">
        <v>0</v>
      </c>
      <c r="L99" s="2208">
        <v>0</v>
      </c>
      <c r="M99" s="2211">
        <v>0</v>
      </c>
      <c r="N99" s="2212">
        <v>0</v>
      </c>
      <c r="O99" s="1118">
        <f t="shared" si="10"/>
        <v>0</v>
      </c>
      <c r="P99" s="2213">
        <f t="shared" si="9"/>
        <v>0</v>
      </c>
    </row>
    <row r="100" spans="1:16" ht="14.5">
      <c r="A100" s="2042" t="s">
        <v>3198</v>
      </c>
      <c r="B100" s="380" t="str">
        <f t="shared" si="5"/>
        <v>210-901</v>
      </c>
      <c r="C100" s="2042" t="s">
        <v>1679</v>
      </c>
      <c r="D100" s="2043">
        <v>2811</v>
      </c>
      <c r="E100" s="2043">
        <v>2477</v>
      </c>
      <c r="F100" s="2043">
        <f t="shared" si="6"/>
        <v>0</v>
      </c>
      <c r="G100" s="2043">
        <f t="shared" si="7"/>
        <v>0</v>
      </c>
      <c r="H100" s="2208">
        <v>0</v>
      </c>
      <c r="I100" s="2209">
        <v>0</v>
      </c>
      <c r="J100" s="2210">
        <v>0</v>
      </c>
      <c r="K100" s="2208">
        <v>0</v>
      </c>
      <c r="L100" s="2208">
        <v>0</v>
      </c>
      <c r="M100" s="2211">
        <v>0</v>
      </c>
      <c r="N100" s="2212">
        <v>0</v>
      </c>
      <c r="O100" s="1118">
        <f t="shared" si="10"/>
        <v>0</v>
      </c>
      <c r="P100" s="2213">
        <f t="shared" si="9"/>
        <v>0</v>
      </c>
    </row>
    <row r="101" spans="1:16" ht="14.5">
      <c r="A101" s="2042" t="s">
        <v>4941</v>
      </c>
      <c r="B101" s="380" t="str">
        <f t="shared" si="5"/>
        <v>019-908</v>
      </c>
      <c r="C101" s="2042" t="s">
        <v>2346</v>
      </c>
      <c r="D101" s="2043">
        <v>2612</v>
      </c>
      <c r="E101" s="2043">
        <v>2282</v>
      </c>
      <c r="F101" s="2043">
        <f t="shared" si="6"/>
        <v>0</v>
      </c>
      <c r="G101" s="2043">
        <f t="shared" si="7"/>
        <v>0</v>
      </c>
      <c r="H101" s="2208">
        <v>0</v>
      </c>
      <c r="I101" s="2209">
        <v>0</v>
      </c>
      <c r="J101" s="2210">
        <v>0</v>
      </c>
      <c r="K101" s="2208">
        <v>0</v>
      </c>
      <c r="L101" s="2208">
        <v>0</v>
      </c>
      <c r="M101" s="2211">
        <v>0</v>
      </c>
      <c r="N101" s="2212">
        <v>0</v>
      </c>
      <c r="O101" s="1118">
        <f t="shared" si="10"/>
        <v>0</v>
      </c>
      <c r="P101" s="2213">
        <f t="shared" si="9"/>
        <v>0</v>
      </c>
    </row>
    <row r="102" spans="1:16" ht="14.5">
      <c r="A102" s="2042" t="s">
        <v>2982</v>
      </c>
      <c r="B102" s="380" t="str">
        <f t="shared" si="5"/>
        <v>071-903</v>
      </c>
      <c r="C102" s="2042" t="s">
        <v>845</v>
      </c>
      <c r="D102" s="2043">
        <v>2366</v>
      </c>
      <c r="E102" s="2043">
        <v>2048</v>
      </c>
      <c r="F102" s="2043">
        <f t="shared" si="6"/>
        <v>0</v>
      </c>
      <c r="G102" s="2043">
        <f t="shared" si="7"/>
        <v>0</v>
      </c>
      <c r="H102" s="2208">
        <v>0</v>
      </c>
      <c r="I102" s="2209">
        <v>0</v>
      </c>
      <c r="J102" s="2210">
        <v>0</v>
      </c>
      <c r="K102" s="2208">
        <v>0</v>
      </c>
      <c r="L102" s="2208">
        <v>0</v>
      </c>
      <c r="M102" s="2211">
        <v>0</v>
      </c>
      <c r="N102" s="2212">
        <v>0</v>
      </c>
      <c r="O102" s="1118">
        <f t="shared" si="10"/>
        <v>0</v>
      </c>
      <c r="P102" s="2213">
        <f t="shared" si="9"/>
        <v>0</v>
      </c>
    </row>
    <row r="103" spans="1:16" ht="14.5">
      <c r="A103" s="2042" t="s">
        <v>2882</v>
      </c>
      <c r="B103" s="380" t="str">
        <f t="shared" si="5"/>
        <v>015-911</v>
      </c>
      <c r="C103" s="2042" t="s">
        <v>1008</v>
      </c>
      <c r="D103" s="2043">
        <v>10087</v>
      </c>
      <c r="E103" s="2043">
        <v>9770</v>
      </c>
      <c r="F103" s="2043">
        <f t="shared" si="6"/>
        <v>0</v>
      </c>
      <c r="G103" s="2043">
        <f t="shared" si="7"/>
        <v>0</v>
      </c>
      <c r="H103" s="2208">
        <v>0</v>
      </c>
      <c r="I103" s="2209">
        <v>0</v>
      </c>
      <c r="J103" s="2210">
        <v>0</v>
      </c>
      <c r="K103" s="2208">
        <v>0</v>
      </c>
      <c r="L103" s="2208">
        <v>0</v>
      </c>
      <c r="M103" s="2211">
        <v>0</v>
      </c>
      <c r="N103" s="2212">
        <v>0</v>
      </c>
      <c r="O103" s="1118">
        <f t="shared" si="10"/>
        <v>0</v>
      </c>
      <c r="P103" s="2213">
        <f t="shared" si="9"/>
        <v>0</v>
      </c>
    </row>
    <row r="104" spans="1:16" ht="14.5">
      <c r="A104" s="2042" t="s">
        <v>2925</v>
      </c>
      <c r="B104" s="380" t="str">
        <f t="shared" si="5"/>
        <v>037-904</v>
      </c>
      <c r="C104" s="2042" t="s">
        <v>383</v>
      </c>
      <c r="D104" s="2043">
        <v>4981</v>
      </c>
      <c r="E104" s="2043">
        <v>4668</v>
      </c>
      <c r="F104" s="2043">
        <f t="shared" si="6"/>
        <v>0</v>
      </c>
      <c r="G104" s="2043">
        <f t="shared" si="7"/>
        <v>0</v>
      </c>
      <c r="H104" s="2208">
        <v>0</v>
      </c>
      <c r="I104" s="2209">
        <v>0</v>
      </c>
      <c r="J104" s="2210">
        <v>0</v>
      </c>
      <c r="K104" s="2208">
        <v>0</v>
      </c>
      <c r="L104" s="2208">
        <v>0</v>
      </c>
      <c r="M104" s="2211">
        <v>0</v>
      </c>
      <c r="N104" s="2212">
        <v>0</v>
      </c>
      <c r="O104" s="1118">
        <f t="shared" si="10"/>
        <v>0</v>
      </c>
      <c r="P104" s="2213">
        <f t="shared" si="9"/>
        <v>0</v>
      </c>
    </row>
    <row r="105" spans="1:16" ht="14.5">
      <c r="A105" s="2042" t="s">
        <v>5300</v>
      </c>
      <c r="B105" s="380" t="str">
        <f t="shared" si="5"/>
        <v>241-904</v>
      </c>
      <c r="C105" s="2042" t="s">
        <v>1152</v>
      </c>
      <c r="D105" s="2043">
        <v>2225</v>
      </c>
      <c r="E105" s="2043">
        <v>1914</v>
      </c>
      <c r="F105" s="2043">
        <f t="shared" si="6"/>
        <v>0</v>
      </c>
      <c r="G105" s="2043">
        <f t="shared" si="7"/>
        <v>0</v>
      </c>
      <c r="H105" s="2208">
        <v>0</v>
      </c>
      <c r="I105" s="2209">
        <v>0</v>
      </c>
      <c r="J105" s="2210">
        <v>0</v>
      </c>
      <c r="K105" s="2208">
        <v>0</v>
      </c>
      <c r="L105" s="2208">
        <v>0</v>
      </c>
      <c r="M105" s="2211">
        <v>0</v>
      </c>
      <c r="N105" s="2212">
        <v>0</v>
      </c>
      <c r="O105" s="1118">
        <f t="shared" si="10"/>
        <v>0</v>
      </c>
      <c r="P105" s="2213">
        <f t="shared" si="9"/>
        <v>0</v>
      </c>
    </row>
    <row r="106" spans="1:16" ht="14.5">
      <c r="A106" s="2042" t="s">
        <v>5782</v>
      </c>
      <c r="B106" s="380" t="str">
        <f t="shared" si="5"/>
        <v>058-906</v>
      </c>
      <c r="C106" s="2042" t="s">
        <v>2470</v>
      </c>
      <c r="D106" s="2043">
        <v>2038</v>
      </c>
      <c r="E106" s="2043">
        <v>1729</v>
      </c>
      <c r="F106" s="2043">
        <f t="shared" si="6"/>
        <v>0</v>
      </c>
      <c r="G106" s="2043">
        <f t="shared" si="7"/>
        <v>0</v>
      </c>
      <c r="H106" s="2208">
        <v>0</v>
      </c>
      <c r="I106" s="2209">
        <v>0</v>
      </c>
      <c r="J106" s="2210">
        <v>0</v>
      </c>
      <c r="K106" s="2208">
        <v>0</v>
      </c>
      <c r="L106" s="2208">
        <v>0</v>
      </c>
      <c r="M106" s="2211">
        <v>0</v>
      </c>
      <c r="N106" s="2212">
        <v>0</v>
      </c>
      <c r="O106" s="1118">
        <f t="shared" si="10"/>
        <v>0</v>
      </c>
      <c r="P106" s="2213">
        <f t="shared" si="9"/>
        <v>0</v>
      </c>
    </row>
    <row r="107" spans="1:16" ht="14.5">
      <c r="A107" s="2042" t="s">
        <v>3180</v>
      </c>
      <c r="B107" s="380" t="str">
        <f t="shared" si="5"/>
        <v>189-902</v>
      </c>
      <c r="C107" s="2042" t="s">
        <v>1984</v>
      </c>
      <c r="D107" s="2043">
        <v>1366</v>
      </c>
      <c r="E107" s="2043">
        <v>1058</v>
      </c>
      <c r="F107" s="2043">
        <f t="shared" si="6"/>
        <v>0</v>
      </c>
      <c r="G107" s="2043">
        <f t="shared" si="7"/>
        <v>0</v>
      </c>
      <c r="H107" s="2208">
        <v>0</v>
      </c>
      <c r="I107" s="2209">
        <v>0</v>
      </c>
      <c r="J107" s="2210">
        <v>0</v>
      </c>
      <c r="K107" s="2208">
        <v>0</v>
      </c>
      <c r="L107" s="2208">
        <v>0</v>
      </c>
      <c r="M107" s="2211">
        <v>0</v>
      </c>
      <c r="N107" s="2212">
        <v>0</v>
      </c>
      <c r="O107" s="1118">
        <f t="shared" si="10"/>
        <v>0</v>
      </c>
      <c r="P107" s="2213">
        <f t="shared" si="9"/>
        <v>0</v>
      </c>
    </row>
    <row r="108" spans="1:16" ht="14.5">
      <c r="A108" s="2042" t="s">
        <v>5151</v>
      </c>
      <c r="B108" s="380" t="str">
        <f t="shared" si="5"/>
        <v>147-902</v>
      </c>
      <c r="C108" s="2042" t="s">
        <v>510</v>
      </c>
      <c r="D108" s="2043">
        <v>1829</v>
      </c>
      <c r="E108" s="2043">
        <v>1522</v>
      </c>
      <c r="F108" s="2043">
        <f t="shared" si="6"/>
        <v>0</v>
      </c>
      <c r="G108" s="2043">
        <f t="shared" si="7"/>
        <v>0</v>
      </c>
      <c r="H108" s="2208">
        <v>0</v>
      </c>
      <c r="I108" s="2209">
        <v>0</v>
      </c>
      <c r="J108" s="2210">
        <v>0</v>
      </c>
      <c r="K108" s="2208">
        <v>0</v>
      </c>
      <c r="L108" s="2208">
        <v>0</v>
      </c>
      <c r="M108" s="2211">
        <v>0</v>
      </c>
      <c r="N108" s="2212">
        <v>0</v>
      </c>
      <c r="O108" s="1118">
        <f t="shared" si="10"/>
        <v>0</v>
      </c>
      <c r="P108" s="2213">
        <f t="shared" si="9"/>
        <v>0</v>
      </c>
    </row>
    <row r="109" spans="1:16" ht="14.5">
      <c r="A109" s="2042" t="s">
        <v>5030</v>
      </c>
      <c r="B109" s="380" t="str">
        <f t="shared" si="5"/>
        <v>084-902</v>
      </c>
      <c r="C109" s="2042" t="s">
        <v>346</v>
      </c>
      <c r="D109" s="2043">
        <v>7002</v>
      </c>
      <c r="E109" s="2043">
        <v>6698</v>
      </c>
      <c r="F109" s="2043">
        <f t="shared" si="6"/>
        <v>0</v>
      </c>
      <c r="G109" s="2043">
        <f t="shared" si="7"/>
        <v>0</v>
      </c>
      <c r="H109" s="2208">
        <v>0</v>
      </c>
      <c r="I109" s="2209">
        <v>0</v>
      </c>
      <c r="J109" s="2210">
        <v>0</v>
      </c>
      <c r="K109" s="2208">
        <v>0</v>
      </c>
      <c r="L109" s="2208">
        <v>0</v>
      </c>
      <c r="M109" s="2211">
        <v>0</v>
      </c>
      <c r="N109" s="2212">
        <v>0</v>
      </c>
      <c r="O109" s="1118">
        <f t="shared" si="10"/>
        <v>0</v>
      </c>
      <c r="P109" s="2213">
        <f t="shared" si="9"/>
        <v>0</v>
      </c>
    </row>
    <row r="110" spans="1:16" ht="14.5">
      <c r="A110" s="2042" t="s">
        <v>5250</v>
      </c>
      <c r="B110" s="380" t="str">
        <f t="shared" si="5"/>
        <v>208-902</v>
      </c>
      <c r="C110" s="2042" t="s">
        <v>341</v>
      </c>
      <c r="D110" s="2043">
        <v>2903</v>
      </c>
      <c r="E110" s="2043">
        <v>2610</v>
      </c>
      <c r="F110" s="2043">
        <f t="shared" si="6"/>
        <v>0</v>
      </c>
      <c r="G110" s="2043">
        <f t="shared" si="7"/>
        <v>0</v>
      </c>
      <c r="H110" s="2208">
        <v>0</v>
      </c>
      <c r="I110" s="2209">
        <v>0</v>
      </c>
      <c r="J110" s="2210">
        <v>0</v>
      </c>
      <c r="K110" s="2208">
        <v>0</v>
      </c>
      <c r="L110" s="2208">
        <v>0</v>
      </c>
      <c r="M110" s="2211">
        <v>0</v>
      </c>
      <c r="N110" s="2212">
        <v>0</v>
      </c>
      <c r="O110" s="1118">
        <f t="shared" si="10"/>
        <v>0</v>
      </c>
      <c r="P110" s="2213">
        <f t="shared" si="9"/>
        <v>0</v>
      </c>
    </row>
    <row r="111" spans="1:16" ht="14.5">
      <c r="A111" s="2042" t="s">
        <v>3042</v>
      </c>
      <c r="B111" s="380" t="str">
        <f t="shared" si="5"/>
        <v>108-911</v>
      </c>
      <c r="C111" s="2042" t="s">
        <v>2458</v>
      </c>
      <c r="D111" s="2043">
        <v>10054</v>
      </c>
      <c r="E111" s="2043">
        <v>9765</v>
      </c>
      <c r="F111" s="2043">
        <f t="shared" si="6"/>
        <v>0</v>
      </c>
      <c r="G111" s="2043">
        <f t="shared" si="7"/>
        <v>0</v>
      </c>
      <c r="H111" s="2208">
        <v>0</v>
      </c>
      <c r="I111" s="2209">
        <v>0</v>
      </c>
      <c r="J111" s="2210">
        <v>0</v>
      </c>
      <c r="K111" s="2208">
        <v>0</v>
      </c>
      <c r="L111" s="2208">
        <v>0</v>
      </c>
      <c r="M111" s="2211">
        <v>0</v>
      </c>
      <c r="N111" s="2212">
        <v>0</v>
      </c>
      <c r="O111" s="1118">
        <f t="shared" si="10"/>
        <v>0</v>
      </c>
      <c r="P111" s="2213">
        <f t="shared" si="9"/>
        <v>0</v>
      </c>
    </row>
    <row r="112" spans="1:16" ht="14.5">
      <c r="A112" s="2042" t="s">
        <v>5105</v>
      </c>
      <c r="B112" s="380" t="str">
        <f t="shared" si="5"/>
        <v>117-901</v>
      </c>
      <c r="C112" s="2042" t="s">
        <v>1490</v>
      </c>
      <c r="D112" s="2043">
        <v>2761</v>
      </c>
      <c r="E112" s="2043">
        <v>2472</v>
      </c>
      <c r="F112" s="2043">
        <f t="shared" si="6"/>
        <v>0</v>
      </c>
      <c r="G112" s="2043">
        <f t="shared" si="7"/>
        <v>0</v>
      </c>
      <c r="H112" s="2208">
        <v>0</v>
      </c>
      <c r="I112" s="2209">
        <v>0</v>
      </c>
      <c r="J112" s="2210">
        <v>0</v>
      </c>
      <c r="K112" s="2208">
        <v>0</v>
      </c>
      <c r="L112" s="2208">
        <v>0</v>
      </c>
      <c r="M112" s="2211">
        <v>0</v>
      </c>
      <c r="N112" s="2212">
        <v>0</v>
      </c>
      <c r="O112" s="1118">
        <f t="shared" si="10"/>
        <v>0</v>
      </c>
      <c r="P112" s="2213">
        <f t="shared" si="9"/>
        <v>0</v>
      </c>
    </row>
    <row r="113" spans="1:16" ht="14.5">
      <c r="A113" s="2042" t="s">
        <v>3118</v>
      </c>
      <c r="B113" s="380" t="str">
        <f t="shared" si="5"/>
        <v>160-901</v>
      </c>
      <c r="C113" s="2042" t="s">
        <v>1750</v>
      </c>
      <c r="D113" s="2043">
        <v>1278</v>
      </c>
      <c r="E113" s="2043">
        <v>991</v>
      </c>
      <c r="F113" s="2043">
        <f t="shared" si="6"/>
        <v>0</v>
      </c>
      <c r="G113" s="2043">
        <f t="shared" si="7"/>
        <v>0</v>
      </c>
      <c r="H113" s="2208">
        <v>0</v>
      </c>
      <c r="I113" s="2209">
        <v>0</v>
      </c>
      <c r="J113" s="2210">
        <v>0</v>
      </c>
      <c r="K113" s="2208">
        <v>0</v>
      </c>
      <c r="L113" s="2208">
        <v>0</v>
      </c>
      <c r="M113" s="2211">
        <v>0</v>
      </c>
      <c r="N113" s="2212">
        <v>0</v>
      </c>
      <c r="O113" s="1118">
        <f t="shared" si="10"/>
        <v>0</v>
      </c>
      <c r="P113" s="2213">
        <f t="shared" si="9"/>
        <v>0</v>
      </c>
    </row>
    <row r="114" spans="1:16" ht="14.5">
      <c r="A114" s="2042" t="s">
        <v>2985</v>
      </c>
      <c r="B114" s="380" t="str">
        <f t="shared" si="5"/>
        <v>071-908</v>
      </c>
      <c r="C114" s="2042" t="s">
        <v>569</v>
      </c>
      <c r="D114" s="2043">
        <v>1199</v>
      </c>
      <c r="E114" s="2043">
        <v>914</v>
      </c>
      <c r="F114" s="2043">
        <f t="shared" si="6"/>
        <v>0</v>
      </c>
      <c r="G114" s="2043">
        <f t="shared" si="7"/>
        <v>0</v>
      </c>
      <c r="H114" s="2208">
        <v>0</v>
      </c>
      <c r="I114" s="2209">
        <v>0</v>
      </c>
      <c r="J114" s="2210">
        <v>0</v>
      </c>
      <c r="K114" s="2208">
        <v>0</v>
      </c>
      <c r="L114" s="2208">
        <v>0</v>
      </c>
      <c r="M114" s="2211">
        <v>0</v>
      </c>
      <c r="N114" s="2212">
        <v>0</v>
      </c>
      <c r="O114" s="1118">
        <f t="shared" si="10"/>
        <v>0</v>
      </c>
      <c r="P114" s="2213">
        <f t="shared" si="9"/>
        <v>0</v>
      </c>
    </row>
    <row r="115" spans="1:16" ht="14.5">
      <c r="A115" s="2042" t="s">
        <v>2998</v>
      </c>
      <c r="B115" s="380" t="str">
        <f t="shared" si="5"/>
        <v>082-903</v>
      </c>
      <c r="C115" s="2042" t="s">
        <v>2448</v>
      </c>
      <c r="D115" s="2043">
        <v>2308</v>
      </c>
      <c r="E115" s="2043">
        <v>2025</v>
      </c>
      <c r="F115" s="2043">
        <f t="shared" si="6"/>
        <v>0</v>
      </c>
      <c r="G115" s="2043">
        <f t="shared" si="7"/>
        <v>0</v>
      </c>
      <c r="H115" s="2208">
        <v>0</v>
      </c>
      <c r="I115" s="2209">
        <v>0</v>
      </c>
      <c r="J115" s="2210">
        <v>0</v>
      </c>
      <c r="K115" s="2208">
        <v>0</v>
      </c>
      <c r="L115" s="2208">
        <v>0</v>
      </c>
      <c r="M115" s="2211">
        <v>0</v>
      </c>
      <c r="N115" s="2212">
        <v>0</v>
      </c>
      <c r="O115" s="1118">
        <f t="shared" si="10"/>
        <v>0</v>
      </c>
      <c r="P115" s="2213">
        <f t="shared" si="9"/>
        <v>0</v>
      </c>
    </row>
    <row r="116" spans="1:16" ht="14.5">
      <c r="A116" s="2042" t="s">
        <v>5093</v>
      </c>
      <c r="B116" s="380" t="str">
        <f t="shared" si="5"/>
        <v>110-902</v>
      </c>
      <c r="C116" s="2042" t="s">
        <v>2461</v>
      </c>
      <c r="D116" s="2043">
        <v>3079</v>
      </c>
      <c r="E116" s="2043">
        <v>2799</v>
      </c>
      <c r="F116" s="2043">
        <f t="shared" si="6"/>
        <v>0</v>
      </c>
      <c r="G116" s="2043">
        <f t="shared" si="7"/>
        <v>0</v>
      </c>
      <c r="H116" s="2208">
        <v>0</v>
      </c>
      <c r="I116" s="2209">
        <v>0</v>
      </c>
      <c r="J116" s="2210">
        <v>0</v>
      </c>
      <c r="K116" s="2208">
        <v>0</v>
      </c>
      <c r="L116" s="2208">
        <v>0</v>
      </c>
      <c r="M116" s="2211">
        <v>0</v>
      </c>
      <c r="N116" s="2212">
        <v>0</v>
      </c>
      <c r="O116" s="1118">
        <f t="shared" si="10"/>
        <v>0</v>
      </c>
      <c r="P116" s="2213">
        <f t="shared" si="9"/>
        <v>0</v>
      </c>
    </row>
    <row r="117" spans="1:16" ht="14.5">
      <c r="A117" s="2042" t="s">
        <v>5274</v>
      </c>
      <c r="B117" s="380" t="str">
        <f t="shared" si="5"/>
        <v>223-901</v>
      </c>
      <c r="C117" s="2042" t="s">
        <v>288</v>
      </c>
      <c r="D117" s="2043">
        <v>1876</v>
      </c>
      <c r="E117" s="2043">
        <v>1598</v>
      </c>
      <c r="F117" s="2043">
        <f t="shared" si="6"/>
        <v>0</v>
      </c>
      <c r="G117" s="2043">
        <f t="shared" si="7"/>
        <v>0</v>
      </c>
      <c r="H117" s="2208">
        <v>0</v>
      </c>
      <c r="I117" s="2209">
        <v>0</v>
      </c>
      <c r="J117" s="2210">
        <v>0</v>
      </c>
      <c r="K117" s="2208">
        <v>0</v>
      </c>
      <c r="L117" s="2208">
        <v>0</v>
      </c>
      <c r="M117" s="2211">
        <v>0</v>
      </c>
      <c r="N117" s="2212">
        <v>0</v>
      </c>
      <c r="O117" s="1118">
        <f t="shared" si="10"/>
        <v>0</v>
      </c>
      <c r="P117" s="2213">
        <f t="shared" si="9"/>
        <v>0</v>
      </c>
    </row>
    <row r="118" spans="1:16" ht="14.5">
      <c r="A118" s="2042" t="s">
        <v>3036</v>
      </c>
      <c r="B118" s="380" t="str">
        <f t="shared" si="5"/>
        <v>108-905</v>
      </c>
      <c r="C118" s="2042" t="s">
        <v>2241</v>
      </c>
      <c r="D118" s="2043">
        <v>3268</v>
      </c>
      <c r="E118" s="2043">
        <v>2996</v>
      </c>
      <c r="F118" s="2043">
        <f t="shared" si="6"/>
        <v>0</v>
      </c>
      <c r="G118" s="2043">
        <f t="shared" si="7"/>
        <v>0</v>
      </c>
      <c r="H118" s="2208">
        <v>0</v>
      </c>
      <c r="I118" s="2209">
        <v>0</v>
      </c>
      <c r="J118" s="2210">
        <v>0</v>
      </c>
      <c r="K118" s="2208">
        <v>0</v>
      </c>
      <c r="L118" s="2208">
        <v>0</v>
      </c>
      <c r="M118" s="2211">
        <v>0</v>
      </c>
      <c r="N118" s="2212">
        <v>0</v>
      </c>
      <c r="O118" s="1118">
        <f t="shared" si="10"/>
        <v>0</v>
      </c>
      <c r="P118" s="2213">
        <f t="shared" si="9"/>
        <v>0</v>
      </c>
    </row>
    <row r="119" spans="1:16" ht="14.5">
      <c r="A119" s="2042" t="s">
        <v>3074</v>
      </c>
      <c r="B119" s="380" t="str">
        <f t="shared" si="5"/>
        <v>121-904</v>
      </c>
      <c r="C119" s="2042" t="s">
        <v>384</v>
      </c>
      <c r="D119" s="2043">
        <v>2505</v>
      </c>
      <c r="E119" s="2043">
        <v>2234</v>
      </c>
      <c r="F119" s="2043">
        <f t="shared" si="6"/>
        <v>0</v>
      </c>
      <c r="G119" s="2043">
        <f t="shared" si="7"/>
        <v>0</v>
      </c>
      <c r="H119" s="2208">
        <v>0</v>
      </c>
      <c r="I119" s="2209">
        <v>0</v>
      </c>
      <c r="J119" s="2210">
        <v>0</v>
      </c>
      <c r="K119" s="2208">
        <v>0</v>
      </c>
      <c r="L119" s="2208">
        <v>0</v>
      </c>
      <c r="M119" s="2211">
        <v>0</v>
      </c>
      <c r="N119" s="2212">
        <v>0</v>
      </c>
      <c r="O119" s="1118">
        <f t="shared" si="10"/>
        <v>0</v>
      </c>
      <c r="P119" s="2213">
        <f t="shared" si="9"/>
        <v>0</v>
      </c>
    </row>
    <row r="120" spans="1:16" ht="14.5">
      <c r="A120" s="2042" t="s">
        <v>4950</v>
      </c>
      <c r="B120" s="380" t="str">
        <f t="shared" si="5"/>
        <v>025-902</v>
      </c>
      <c r="C120" s="2042" t="s">
        <v>1503</v>
      </c>
      <c r="D120" s="2043">
        <v>3705</v>
      </c>
      <c r="E120" s="2043">
        <v>3439</v>
      </c>
      <c r="F120" s="2043">
        <f t="shared" si="6"/>
        <v>0</v>
      </c>
      <c r="G120" s="2043">
        <f t="shared" si="7"/>
        <v>0</v>
      </c>
      <c r="H120" s="2208">
        <v>0</v>
      </c>
      <c r="I120" s="2209">
        <v>0</v>
      </c>
      <c r="J120" s="2210">
        <v>0</v>
      </c>
      <c r="K120" s="2208">
        <v>0</v>
      </c>
      <c r="L120" s="2208">
        <v>0</v>
      </c>
      <c r="M120" s="2211">
        <v>0</v>
      </c>
      <c r="N120" s="2212">
        <v>0</v>
      </c>
      <c r="O120" s="1118">
        <f t="shared" si="10"/>
        <v>0</v>
      </c>
      <c r="P120" s="2213">
        <f t="shared" si="9"/>
        <v>0</v>
      </c>
    </row>
    <row r="121" spans="1:16" ht="14.5">
      <c r="A121" s="2042" t="s">
        <v>2968</v>
      </c>
      <c r="B121" s="380" t="str">
        <f t="shared" si="5"/>
        <v>062-901</v>
      </c>
      <c r="C121" s="2042" t="s">
        <v>399</v>
      </c>
      <c r="D121" s="2043">
        <v>2173</v>
      </c>
      <c r="E121" s="2043">
        <v>1911</v>
      </c>
      <c r="F121" s="2043">
        <f t="shared" si="6"/>
        <v>0</v>
      </c>
      <c r="G121" s="2043">
        <f t="shared" si="7"/>
        <v>0</v>
      </c>
      <c r="H121" s="2208">
        <v>0</v>
      </c>
      <c r="I121" s="2209">
        <v>0</v>
      </c>
      <c r="J121" s="2210">
        <v>0</v>
      </c>
      <c r="K121" s="2208">
        <v>0</v>
      </c>
      <c r="L121" s="2208">
        <v>0</v>
      </c>
      <c r="M121" s="2211">
        <v>0</v>
      </c>
      <c r="N121" s="2212">
        <v>0</v>
      </c>
      <c r="O121" s="1118">
        <f t="shared" si="10"/>
        <v>0</v>
      </c>
      <c r="P121" s="2213">
        <f t="shared" si="9"/>
        <v>0</v>
      </c>
    </row>
    <row r="122" spans="1:16" ht="14.5">
      <c r="A122" s="2042" t="s">
        <v>3213</v>
      </c>
      <c r="B122" s="380" t="str">
        <f t="shared" si="5"/>
        <v>220-914</v>
      </c>
      <c r="C122" s="2042" t="s">
        <v>2376</v>
      </c>
      <c r="D122" s="2043">
        <v>3145</v>
      </c>
      <c r="E122" s="2043">
        <v>2885</v>
      </c>
      <c r="F122" s="2043">
        <f t="shared" si="6"/>
        <v>0</v>
      </c>
      <c r="G122" s="2043">
        <f t="shared" si="7"/>
        <v>0</v>
      </c>
      <c r="H122" s="2208">
        <v>0</v>
      </c>
      <c r="I122" s="2209">
        <v>0</v>
      </c>
      <c r="J122" s="2210">
        <v>0</v>
      </c>
      <c r="K122" s="2208">
        <v>0</v>
      </c>
      <c r="L122" s="2208">
        <v>0</v>
      </c>
      <c r="M122" s="2211">
        <v>0</v>
      </c>
      <c r="N122" s="2212">
        <v>0</v>
      </c>
      <c r="O122" s="1118">
        <f t="shared" si="10"/>
        <v>0</v>
      </c>
      <c r="P122" s="2213">
        <f t="shared" si="9"/>
        <v>0</v>
      </c>
    </row>
    <row r="123" spans="1:16" ht="14.5">
      <c r="A123" s="2042" t="s">
        <v>5749</v>
      </c>
      <c r="B123" s="380" t="str">
        <f t="shared" si="5"/>
        <v>001-908</v>
      </c>
      <c r="C123" s="2042" t="s">
        <v>1117</v>
      </c>
      <c r="D123" s="2043">
        <v>1610</v>
      </c>
      <c r="E123" s="2043">
        <v>1352</v>
      </c>
      <c r="F123" s="2043">
        <f t="shared" si="6"/>
        <v>0</v>
      </c>
      <c r="G123" s="2043">
        <f t="shared" si="7"/>
        <v>0</v>
      </c>
      <c r="H123" s="2208">
        <v>0</v>
      </c>
      <c r="I123" s="2209">
        <v>0</v>
      </c>
      <c r="J123" s="2210">
        <v>0</v>
      </c>
      <c r="K123" s="2208">
        <v>0</v>
      </c>
      <c r="L123" s="2208">
        <v>0</v>
      </c>
      <c r="M123" s="2211">
        <v>0</v>
      </c>
      <c r="N123" s="2212">
        <v>0</v>
      </c>
      <c r="O123" s="1118">
        <f t="shared" si="10"/>
        <v>0</v>
      </c>
      <c r="P123" s="2213">
        <f t="shared" si="9"/>
        <v>0</v>
      </c>
    </row>
    <row r="124" spans="1:16" ht="14.5">
      <c r="A124" s="2042" t="s">
        <v>2970</v>
      </c>
      <c r="B124" s="380" t="str">
        <f t="shared" si="5"/>
        <v>064-903</v>
      </c>
      <c r="C124" s="2042" t="s">
        <v>28</v>
      </c>
      <c r="D124" s="2043">
        <v>2314</v>
      </c>
      <c r="E124" s="2043">
        <v>2066</v>
      </c>
      <c r="F124" s="2043">
        <f t="shared" si="6"/>
        <v>0</v>
      </c>
      <c r="G124" s="2043">
        <f t="shared" si="7"/>
        <v>0</v>
      </c>
      <c r="H124" s="2208">
        <v>0</v>
      </c>
      <c r="I124" s="2209">
        <v>0</v>
      </c>
      <c r="J124" s="2210">
        <v>0</v>
      </c>
      <c r="K124" s="2208">
        <v>0</v>
      </c>
      <c r="L124" s="2208">
        <v>0</v>
      </c>
      <c r="M124" s="2211">
        <v>0</v>
      </c>
      <c r="N124" s="2212">
        <v>0</v>
      </c>
      <c r="O124" s="1118">
        <f t="shared" si="10"/>
        <v>0</v>
      </c>
      <c r="P124" s="2213">
        <f t="shared" si="9"/>
        <v>0</v>
      </c>
    </row>
    <row r="125" spans="1:16" ht="14.5">
      <c r="A125" s="2042" t="s">
        <v>2866</v>
      </c>
      <c r="B125" s="380" t="str">
        <f t="shared" si="5"/>
        <v>013-901</v>
      </c>
      <c r="C125" s="2042" t="s">
        <v>2005</v>
      </c>
      <c r="D125" s="2043">
        <v>3403</v>
      </c>
      <c r="E125" s="2043">
        <v>3157</v>
      </c>
      <c r="F125" s="2043">
        <f t="shared" si="6"/>
        <v>0</v>
      </c>
      <c r="G125" s="2043">
        <f t="shared" si="7"/>
        <v>0</v>
      </c>
      <c r="H125" s="2208">
        <v>0</v>
      </c>
      <c r="I125" s="2209">
        <v>0</v>
      </c>
      <c r="J125" s="2210">
        <v>0</v>
      </c>
      <c r="K125" s="2208">
        <v>0</v>
      </c>
      <c r="L125" s="2208">
        <v>0</v>
      </c>
      <c r="M125" s="2211">
        <v>0</v>
      </c>
      <c r="N125" s="2212">
        <v>0</v>
      </c>
      <c r="O125" s="1118">
        <f t="shared" si="10"/>
        <v>0</v>
      </c>
      <c r="P125" s="2213">
        <f t="shared" si="9"/>
        <v>0</v>
      </c>
    </row>
    <row r="126" spans="1:16" ht="14.5">
      <c r="A126" s="2042" t="s">
        <v>5168</v>
      </c>
      <c r="B126" s="380" t="str">
        <f t="shared" si="5"/>
        <v>158-901</v>
      </c>
      <c r="C126" s="2042" t="s">
        <v>532</v>
      </c>
      <c r="D126" s="2043">
        <v>3781</v>
      </c>
      <c r="E126" s="2043">
        <v>3536</v>
      </c>
      <c r="F126" s="2043">
        <f t="shared" si="6"/>
        <v>0</v>
      </c>
      <c r="G126" s="2043">
        <f t="shared" si="7"/>
        <v>0</v>
      </c>
      <c r="H126" s="2208">
        <v>0</v>
      </c>
      <c r="I126" s="2209">
        <v>0</v>
      </c>
      <c r="J126" s="2210">
        <v>0</v>
      </c>
      <c r="K126" s="2208">
        <v>0</v>
      </c>
      <c r="L126" s="2208">
        <v>0</v>
      </c>
      <c r="M126" s="2211">
        <v>0</v>
      </c>
      <c r="N126" s="2212">
        <v>0</v>
      </c>
      <c r="O126" s="1118">
        <f t="shared" si="10"/>
        <v>0</v>
      </c>
      <c r="P126" s="2213">
        <f t="shared" si="9"/>
        <v>0</v>
      </c>
    </row>
    <row r="127" spans="1:16" ht="14.5">
      <c r="A127" s="2042" t="s">
        <v>5131</v>
      </c>
      <c r="B127" s="380" t="str">
        <f t="shared" si="5"/>
        <v>133-903</v>
      </c>
      <c r="C127" s="2042" t="s">
        <v>1931</v>
      </c>
      <c r="D127" s="2043">
        <v>5024</v>
      </c>
      <c r="E127" s="2043">
        <v>4781</v>
      </c>
      <c r="F127" s="2043">
        <f t="shared" si="6"/>
        <v>0</v>
      </c>
      <c r="G127" s="2043">
        <f t="shared" si="7"/>
        <v>0</v>
      </c>
      <c r="H127" s="2208">
        <v>0</v>
      </c>
      <c r="I127" s="2209">
        <v>0</v>
      </c>
      <c r="J127" s="2210">
        <v>0</v>
      </c>
      <c r="K127" s="2208">
        <v>0</v>
      </c>
      <c r="L127" s="2208">
        <v>0</v>
      </c>
      <c r="M127" s="2211">
        <v>0</v>
      </c>
      <c r="N127" s="2212">
        <v>0</v>
      </c>
      <c r="O127" s="1118">
        <f t="shared" si="10"/>
        <v>0</v>
      </c>
      <c r="P127" s="2213">
        <f t="shared" si="9"/>
        <v>0</v>
      </c>
    </row>
    <row r="128" spans="1:16" ht="14.5">
      <c r="A128" s="2042" t="s">
        <v>3137</v>
      </c>
      <c r="B128" s="380" t="str">
        <f t="shared" si="5"/>
        <v>163-904</v>
      </c>
      <c r="C128" s="2042" t="s">
        <v>2245</v>
      </c>
      <c r="D128" s="2043">
        <v>2064</v>
      </c>
      <c r="E128" s="2043">
        <v>1823</v>
      </c>
      <c r="F128" s="2043">
        <f t="shared" si="6"/>
        <v>0</v>
      </c>
      <c r="G128" s="2043">
        <f t="shared" si="7"/>
        <v>0</v>
      </c>
      <c r="H128" s="2208">
        <v>0</v>
      </c>
      <c r="I128" s="2209">
        <v>0</v>
      </c>
      <c r="J128" s="2210">
        <v>0</v>
      </c>
      <c r="K128" s="2208">
        <v>0</v>
      </c>
      <c r="L128" s="2208">
        <v>0</v>
      </c>
      <c r="M128" s="2211">
        <v>0</v>
      </c>
      <c r="N128" s="2212">
        <v>0</v>
      </c>
      <c r="O128" s="1118">
        <f t="shared" si="10"/>
        <v>0</v>
      </c>
      <c r="P128" s="2213">
        <f t="shared" si="9"/>
        <v>0</v>
      </c>
    </row>
    <row r="129" spans="1:16" ht="14.5">
      <c r="A129" s="2042" t="s">
        <v>3080</v>
      </c>
      <c r="B129" s="380" t="str">
        <f t="shared" si="5"/>
        <v>125-903</v>
      </c>
      <c r="C129" s="2042" t="s">
        <v>961</v>
      </c>
      <c r="D129" s="2043">
        <v>1953</v>
      </c>
      <c r="E129" s="2043">
        <v>1714</v>
      </c>
      <c r="F129" s="2043">
        <f t="shared" si="6"/>
        <v>0</v>
      </c>
      <c r="G129" s="2043">
        <f t="shared" si="7"/>
        <v>0</v>
      </c>
      <c r="H129" s="2208">
        <v>0</v>
      </c>
      <c r="I129" s="2209">
        <v>0</v>
      </c>
      <c r="J129" s="2210">
        <v>0</v>
      </c>
      <c r="K129" s="2208">
        <v>0</v>
      </c>
      <c r="L129" s="2208">
        <v>0</v>
      </c>
      <c r="M129" s="2211">
        <v>0</v>
      </c>
      <c r="N129" s="2212">
        <v>0</v>
      </c>
      <c r="O129" s="1118">
        <f t="shared" si="10"/>
        <v>0</v>
      </c>
      <c r="P129" s="2213">
        <f t="shared" si="9"/>
        <v>0</v>
      </c>
    </row>
    <row r="130" spans="1:16" ht="14.5">
      <c r="A130" s="2042" t="s">
        <v>3162</v>
      </c>
      <c r="B130" s="380" t="str">
        <f t="shared" si="5"/>
        <v>178-909</v>
      </c>
      <c r="C130" s="2042" t="s">
        <v>2552</v>
      </c>
      <c r="D130" s="2043">
        <v>2839</v>
      </c>
      <c r="E130" s="2043">
        <v>2601</v>
      </c>
      <c r="F130" s="2043">
        <f t="shared" si="6"/>
        <v>0</v>
      </c>
      <c r="G130" s="2043">
        <f t="shared" si="7"/>
        <v>0</v>
      </c>
      <c r="H130" s="2208">
        <v>0</v>
      </c>
      <c r="I130" s="2209">
        <v>0</v>
      </c>
      <c r="J130" s="2210">
        <v>0</v>
      </c>
      <c r="K130" s="2208">
        <v>0</v>
      </c>
      <c r="L130" s="2208">
        <v>0</v>
      </c>
      <c r="M130" s="2211">
        <v>0</v>
      </c>
      <c r="N130" s="2212">
        <v>0</v>
      </c>
      <c r="O130" s="1118">
        <f t="shared" si="10"/>
        <v>0</v>
      </c>
      <c r="P130" s="2213">
        <f t="shared" si="9"/>
        <v>0</v>
      </c>
    </row>
    <row r="131" spans="1:16" ht="14.5">
      <c r="A131" s="2042" t="s">
        <v>3165</v>
      </c>
      <c r="B131" s="380" t="str">
        <f t="shared" ref="B131:B194" si="11">CONCATENATE(LEFT(RIGHT(CONCATENATE("000",A131),6),3),"-",(RIGHT(RIGHT(CONCATENATE("000",A131),6),3)))</f>
        <v>179-901</v>
      </c>
      <c r="C131" s="2042" t="s">
        <v>942</v>
      </c>
      <c r="D131" s="2043">
        <v>2367</v>
      </c>
      <c r="E131" s="2043">
        <v>2133</v>
      </c>
      <c r="F131" s="2043">
        <f t="shared" ref="F131:F194" si="12">MAX(0,E131-D131)</f>
        <v>0</v>
      </c>
      <c r="G131" s="2043">
        <f t="shared" ref="G131:G194" si="13">MAX(0,F131-250)</f>
        <v>0</v>
      </c>
      <c r="H131" s="2208">
        <v>0</v>
      </c>
      <c r="I131" s="2209">
        <v>0</v>
      </c>
      <c r="J131" s="2210">
        <v>0</v>
      </c>
      <c r="K131" s="2208">
        <v>0</v>
      </c>
      <c r="L131" s="2208">
        <v>0</v>
      </c>
      <c r="M131" s="2211">
        <v>0</v>
      </c>
      <c r="N131" s="2212">
        <v>0</v>
      </c>
      <c r="O131" s="1118">
        <f t="shared" si="10"/>
        <v>0</v>
      </c>
      <c r="P131" s="2213">
        <f t="shared" ref="P131:P194" si="14">(40000000/$O$1022)*O131</f>
        <v>0</v>
      </c>
    </row>
    <row r="132" spans="1:16" ht="14.5">
      <c r="A132" s="2042" t="s">
        <v>2874</v>
      </c>
      <c r="B132" s="380" t="str">
        <f t="shared" si="11"/>
        <v>014-909</v>
      </c>
      <c r="C132" s="2042" t="s">
        <v>566</v>
      </c>
      <c r="D132" s="2043">
        <v>8636</v>
      </c>
      <c r="E132" s="2043">
        <v>8403</v>
      </c>
      <c r="F132" s="2043">
        <f t="shared" si="12"/>
        <v>0</v>
      </c>
      <c r="G132" s="2043">
        <f t="shared" si="13"/>
        <v>0</v>
      </c>
      <c r="H132" s="2208">
        <v>0</v>
      </c>
      <c r="I132" s="2209">
        <v>0</v>
      </c>
      <c r="J132" s="2210">
        <v>0</v>
      </c>
      <c r="K132" s="2208">
        <v>0</v>
      </c>
      <c r="L132" s="2208">
        <v>0</v>
      </c>
      <c r="M132" s="2211">
        <v>0</v>
      </c>
      <c r="N132" s="2212">
        <v>0</v>
      </c>
      <c r="O132" s="1118">
        <f t="shared" si="10"/>
        <v>0</v>
      </c>
      <c r="P132" s="2213">
        <f t="shared" si="14"/>
        <v>0</v>
      </c>
    </row>
    <row r="133" spans="1:16" ht="14.5">
      <c r="A133" s="2042" t="s">
        <v>5055</v>
      </c>
      <c r="B133" s="380" t="str">
        <f t="shared" si="11"/>
        <v>093-904</v>
      </c>
      <c r="C133" s="2042" t="s">
        <v>216</v>
      </c>
      <c r="D133" s="2043">
        <v>3078</v>
      </c>
      <c r="E133" s="2043">
        <v>2847</v>
      </c>
      <c r="F133" s="2043">
        <f t="shared" si="12"/>
        <v>0</v>
      </c>
      <c r="G133" s="2043">
        <f t="shared" si="13"/>
        <v>0</v>
      </c>
      <c r="H133" s="2208">
        <v>0</v>
      </c>
      <c r="I133" s="2209">
        <v>0</v>
      </c>
      <c r="J133" s="2210">
        <v>0</v>
      </c>
      <c r="K133" s="2208">
        <v>0</v>
      </c>
      <c r="L133" s="2208">
        <v>0</v>
      </c>
      <c r="M133" s="2211">
        <v>0</v>
      </c>
      <c r="N133" s="2212">
        <v>0</v>
      </c>
      <c r="O133" s="1118">
        <f t="shared" si="10"/>
        <v>0</v>
      </c>
      <c r="P133" s="2213">
        <f t="shared" si="14"/>
        <v>0</v>
      </c>
    </row>
    <row r="134" spans="1:16" ht="14.5">
      <c r="A134" s="2042" t="s">
        <v>5206</v>
      </c>
      <c r="B134" s="380" t="str">
        <f t="shared" si="11"/>
        <v>178-914</v>
      </c>
      <c r="C134" s="2042" t="s">
        <v>305</v>
      </c>
      <c r="D134" s="2043">
        <v>5775</v>
      </c>
      <c r="E134" s="2043">
        <v>5553</v>
      </c>
      <c r="F134" s="2043">
        <f t="shared" si="12"/>
        <v>0</v>
      </c>
      <c r="G134" s="2043">
        <f t="shared" si="13"/>
        <v>0</v>
      </c>
      <c r="H134" s="2208">
        <v>0</v>
      </c>
      <c r="I134" s="2209">
        <v>0</v>
      </c>
      <c r="J134" s="2210">
        <v>0</v>
      </c>
      <c r="K134" s="2208">
        <v>0</v>
      </c>
      <c r="L134" s="2208">
        <v>0</v>
      </c>
      <c r="M134" s="2211">
        <v>0</v>
      </c>
      <c r="N134" s="2212">
        <v>0</v>
      </c>
      <c r="O134" s="1118">
        <f t="shared" si="10"/>
        <v>0</v>
      </c>
      <c r="P134" s="2213">
        <f t="shared" si="14"/>
        <v>0</v>
      </c>
    </row>
    <row r="135" spans="1:16" ht="14.5">
      <c r="A135" s="2042" t="s">
        <v>5248</v>
      </c>
      <c r="B135" s="380" t="str">
        <f t="shared" si="11"/>
        <v>205-903</v>
      </c>
      <c r="C135" s="2042" t="s">
        <v>336</v>
      </c>
      <c r="D135" s="2043">
        <v>2274</v>
      </c>
      <c r="E135" s="2043">
        <v>2052</v>
      </c>
      <c r="F135" s="2043">
        <f t="shared" si="12"/>
        <v>0</v>
      </c>
      <c r="G135" s="2043">
        <f t="shared" si="13"/>
        <v>0</v>
      </c>
      <c r="H135" s="2208">
        <v>0</v>
      </c>
      <c r="I135" s="2209">
        <v>0</v>
      </c>
      <c r="J135" s="2210">
        <v>0</v>
      </c>
      <c r="K135" s="2208">
        <v>0</v>
      </c>
      <c r="L135" s="2208">
        <v>0</v>
      </c>
      <c r="M135" s="2211">
        <v>0</v>
      </c>
      <c r="N135" s="2212">
        <v>0</v>
      </c>
      <c r="O135" s="1118">
        <f t="shared" si="10"/>
        <v>0</v>
      </c>
      <c r="P135" s="2213">
        <f t="shared" si="14"/>
        <v>0</v>
      </c>
    </row>
    <row r="136" spans="1:16" ht="14.5">
      <c r="A136" s="2042" t="s">
        <v>2883</v>
      </c>
      <c r="B136" s="380" t="str">
        <f t="shared" si="11"/>
        <v>015-912</v>
      </c>
      <c r="C136" s="2042" t="s">
        <v>1827</v>
      </c>
      <c r="D136" s="2043">
        <v>13692</v>
      </c>
      <c r="E136" s="2043">
        <v>13474</v>
      </c>
      <c r="F136" s="2043">
        <f t="shared" si="12"/>
        <v>0</v>
      </c>
      <c r="G136" s="2043">
        <f t="shared" si="13"/>
        <v>0</v>
      </c>
      <c r="H136" s="2208">
        <v>0</v>
      </c>
      <c r="I136" s="2209">
        <v>0</v>
      </c>
      <c r="J136" s="2210">
        <v>0</v>
      </c>
      <c r="K136" s="2208">
        <v>0</v>
      </c>
      <c r="L136" s="2208">
        <v>0</v>
      </c>
      <c r="M136" s="2211">
        <v>0</v>
      </c>
      <c r="N136" s="2212">
        <v>0</v>
      </c>
      <c r="O136" s="1118">
        <f t="shared" si="10"/>
        <v>0</v>
      </c>
      <c r="P136" s="2213">
        <f t="shared" si="14"/>
        <v>0</v>
      </c>
    </row>
    <row r="137" spans="1:16" ht="14.5">
      <c r="A137" s="2042" t="s">
        <v>5244</v>
      </c>
      <c r="B137" s="380" t="str">
        <f t="shared" si="11"/>
        <v>201-910</v>
      </c>
      <c r="C137" s="2042" t="s">
        <v>1437</v>
      </c>
      <c r="D137" s="2043">
        <v>1686</v>
      </c>
      <c r="E137" s="2043">
        <v>1473</v>
      </c>
      <c r="F137" s="2043">
        <f t="shared" si="12"/>
        <v>0</v>
      </c>
      <c r="G137" s="2043">
        <f t="shared" si="13"/>
        <v>0</v>
      </c>
      <c r="H137" s="2208">
        <v>0</v>
      </c>
      <c r="I137" s="2209">
        <v>0</v>
      </c>
      <c r="J137" s="2210">
        <v>0</v>
      </c>
      <c r="K137" s="2208">
        <v>0</v>
      </c>
      <c r="L137" s="2208">
        <v>0</v>
      </c>
      <c r="M137" s="2211">
        <v>0</v>
      </c>
      <c r="N137" s="2212">
        <v>0</v>
      </c>
      <c r="O137" s="1118">
        <f t="shared" si="10"/>
        <v>0</v>
      </c>
      <c r="P137" s="2213">
        <f t="shared" si="14"/>
        <v>0</v>
      </c>
    </row>
    <row r="138" spans="1:16" ht="14.5">
      <c r="A138" s="2042" t="s">
        <v>5264</v>
      </c>
      <c r="B138" s="380" t="str">
        <f t="shared" si="11"/>
        <v>218-901</v>
      </c>
      <c r="C138" s="2042" t="s">
        <v>2423</v>
      </c>
      <c r="D138" s="2043">
        <v>911</v>
      </c>
      <c r="E138" s="2043">
        <v>699</v>
      </c>
      <c r="F138" s="2043">
        <f t="shared" si="12"/>
        <v>0</v>
      </c>
      <c r="G138" s="2043">
        <f t="shared" si="13"/>
        <v>0</v>
      </c>
      <c r="H138" s="2208">
        <v>0</v>
      </c>
      <c r="I138" s="2209">
        <v>0</v>
      </c>
      <c r="J138" s="2210">
        <v>0</v>
      </c>
      <c r="K138" s="2208">
        <v>0</v>
      </c>
      <c r="L138" s="2208">
        <v>0</v>
      </c>
      <c r="M138" s="2211">
        <v>0</v>
      </c>
      <c r="N138" s="2212">
        <v>0</v>
      </c>
      <c r="O138" s="1118">
        <f t="shared" si="10"/>
        <v>0</v>
      </c>
      <c r="P138" s="2213">
        <f t="shared" si="14"/>
        <v>0</v>
      </c>
    </row>
    <row r="139" spans="1:16" ht="14.5">
      <c r="A139" s="2042" t="s">
        <v>5902</v>
      </c>
      <c r="B139" s="380" t="str">
        <f t="shared" si="11"/>
        <v>253-901</v>
      </c>
      <c r="C139" s="2042" t="s">
        <v>1300</v>
      </c>
      <c r="D139" s="2043">
        <v>3697</v>
      </c>
      <c r="E139" s="2043">
        <v>3486</v>
      </c>
      <c r="F139" s="2043">
        <f t="shared" si="12"/>
        <v>0</v>
      </c>
      <c r="G139" s="2043">
        <f t="shared" si="13"/>
        <v>0</v>
      </c>
      <c r="H139" s="2208">
        <v>0</v>
      </c>
      <c r="I139" s="2209">
        <v>0</v>
      </c>
      <c r="J139" s="2210">
        <v>0</v>
      </c>
      <c r="K139" s="2208">
        <v>0</v>
      </c>
      <c r="L139" s="2208">
        <v>0</v>
      </c>
      <c r="M139" s="2211">
        <v>0</v>
      </c>
      <c r="N139" s="2212">
        <v>0</v>
      </c>
      <c r="O139" s="1118">
        <f t="shared" si="10"/>
        <v>0</v>
      </c>
      <c r="P139" s="2213">
        <f t="shared" si="14"/>
        <v>0</v>
      </c>
    </row>
    <row r="140" spans="1:16" ht="14.5">
      <c r="A140" s="2042" t="s">
        <v>5853</v>
      </c>
      <c r="B140" s="380" t="str">
        <f t="shared" si="11"/>
        <v>167-902</v>
      </c>
      <c r="C140" s="2042" t="s">
        <v>1665</v>
      </c>
      <c r="D140" s="2043">
        <v>427</v>
      </c>
      <c r="E140" s="2043">
        <v>217</v>
      </c>
      <c r="F140" s="2043">
        <f t="shared" si="12"/>
        <v>0</v>
      </c>
      <c r="G140" s="2043">
        <f t="shared" si="13"/>
        <v>0</v>
      </c>
      <c r="H140" s="2208">
        <v>0</v>
      </c>
      <c r="I140" s="2209">
        <v>0</v>
      </c>
      <c r="J140" s="2210">
        <v>0</v>
      </c>
      <c r="K140" s="2208">
        <v>0</v>
      </c>
      <c r="L140" s="2208">
        <v>0</v>
      </c>
      <c r="M140" s="2211">
        <v>0</v>
      </c>
      <c r="N140" s="2212">
        <v>0</v>
      </c>
      <c r="O140" s="1118">
        <f t="shared" si="10"/>
        <v>0</v>
      </c>
      <c r="P140" s="2213">
        <f t="shared" si="14"/>
        <v>0</v>
      </c>
    </row>
    <row r="141" spans="1:16" ht="14.5">
      <c r="A141" s="2042" t="s">
        <v>3264</v>
      </c>
      <c r="B141" s="380" t="str">
        <f t="shared" si="11"/>
        <v>246-911</v>
      </c>
      <c r="C141" s="2042" t="s">
        <v>565</v>
      </c>
      <c r="D141" s="2043">
        <v>3182</v>
      </c>
      <c r="E141" s="2043">
        <v>2973</v>
      </c>
      <c r="F141" s="2043">
        <f t="shared" si="12"/>
        <v>0</v>
      </c>
      <c r="G141" s="2043">
        <f t="shared" si="13"/>
        <v>0</v>
      </c>
      <c r="H141" s="2208">
        <v>0</v>
      </c>
      <c r="I141" s="2209">
        <v>0</v>
      </c>
      <c r="J141" s="2210">
        <v>0</v>
      </c>
      <c r="K141" s="2208">
        <v>0</v>
      </c>
      <c r="L141" s="2208">
        <v>0</v>
      </c>
      <c r="M141" s="2211">
        <v>0</v>
      </c>
      <c r="N141" s="2212">
        <v>0</v>
      </c>
      <c r="O141" s="1118">
        <f t="shared" si="10"/>
        <v>0</v>
      </c>
      <c r="P141" s="2213">
        <f t="shared" si="14"/>
        <v>0</v>
      </c>
    </row>
    <row r="142" spans="1:16" ht="14.5">
      <c r="A142" s="2042" t="s">
        <v>2921</v>
      </c>
      <c r="B142" s="380" t="str">
        <f t="shared" si="11"/>
        <v>031-914</v>
      </c>
      <c r="C142" s="2042" t="s">
        <v>85</v>
      </c>
      <c r="D142" s="2043">
        <v>1139</v>
      </c>
      <c r="E142" s="2043">
        <v>935</v>
      </c>
      <c r="F142" s="2043">
        <f t="shared" si="12"/>
        <v>0</v>
      </c>
      <c r="G142" s="2043">
        <f t="shared" si="13"/>
        <v>0</v>
      </c>
      <c r="H142" s="2208">
        <v>0</v>
      </c>
      <c r="I142" s="2209">
        <v>0</v>
      </c>
      <c r="J142" s="2210">
        <v>0</v>
      </c>
      <c r="K142" s="2208">
        <v>0</v>
      </c>
      <c r="L142" s="2208">
        <v>0</v>
      </c>
      <c r="M142" s="2211">
        <v>0</v>
      </c>
      <c r="N142" s="2212">
        <v>0</v>
      </c>
      <c r="O142" s="1118">
        <f t="shared" si="10"/>
        <v>0</v>
      </c>
      <c r="P142" s="2213">
        <f t="shared" si="14"/>
        <v>0</v>
      </c>
    </row>
    <row r="143" spans="1:16" ht="14.5">
      <c r="A143" s="2042" t="s">
        <v>5086</v>
      </c>
      <c r="B143" s="380" t="str">
        <f t="shared" si="11"/>
        <v>107-901</v>
      </c>
      <c r="C143" s="2042" t="s">
        <v>1273</v>
      </c>
      <c r="D143" s="2043">
        <v>3184</v>
      </c>
      <c r="E143" s="2043">
        <v>2982</v>
      </c>
      <c r="F143" s="2043">
        <f t="shared" si="12"/>
        <v>0</v>
      </c>
      <c r="G143" s="2043">
        <f t="shared" si="13"/>
        <v>0</v>
      </c>
      <c r="H143" s="2208">
        <v>0</v>
      </c>
      <c r="I143" s="2209">
        <v>0</v>
      </c>
      <c r="J143" s="2210">
        <v>0</v>
      </c>
      <c r="K143" s="2208">
        <v>0</v>
      </c>
      <c r="L143" s="2208">
        <v>0</v>
      </c>
      <c r="M143" s="2211">
        <v>0</v>
      </c>
      <c r="N143" s="2212">
        <v>0</v>
      </c>
      <c r="O143" s="1118">
        <f t="shared" si="10"/>
        <v>0</v>
      </c>
      <c r="P143" s="2213">
        <f t="shared" si="14"/>
        <v>0</v>
      </c>
    </row>
    <row r="144" spans="1:16" ht="14.5">
      <c r="A144" s="2042" t="s">
        <v>3001</v>
      </c>
      <c r="B144" s="380" t="str">
        <f t="shared" si="11"/>
        <v>089-901</v>
      </c>
      <c r="C144" s="2042" t="s">
        <v>814</v>
      </c>
      <c r="D144" s="2043">
        <v>2853</v>
      </c>
      <c r="E144" s="2043">
        <v>2654</v>
      </c>
      <c r="F144" s="2043">
        <f t="shared" si="12"/>
        <v>0</v>
      </c>
      <c r="G144" s="2043">
        <f t="shared" si="13"/>
        <v>0</v>
      </c>
      <c r="H144" s="2208">
        <v>0</v>
      </c>
      <c r="I144" s="2209">
        <v>0</v>
      </c>
      <c r="J144" s="2210">
        <v>0</v>
      </c>
      <c r="K144" s="2208">
        <v>0</v>
      </c>
      <c r="L144" s="2208">
        <v>0</v>
      </c>
      <c r="M144" s="2211">
        <v>0</v>
      </c>
      <c r="N144" s="2212">
        <v>0</v>
      </c>
      <c r="O144" s="1118">
        <f t="shared" si="10"/>
        <v>0</v>
      </c>
      <c r="P144" s="2213">
        <f t="shared" si="14"/>
        <v>0</v>
      </c>
    </row>
    <row r="145" spans="1:16" ht="14.5">
      <c r="A145" s="2042" t="s">
        <v>2926</v>
      </c>
      <c r="B145" s="380" t="str">
        <f t="shared" si="11"/>
        <v>037-907</v>
      </c>
      <c r="C145" s="2042" t="s">
        <v>577</v>
      </c>
      <c r="D145" s="2043">
        <v>2166</v>
      </c>
      <c r="E145" s="2043">
        <v>1969</v>
      </c>
      <c r="F145" s="2043">
        <f t="shared" si="12"/>
        <v>0</v>
      </c>
      <c r="G145" s="2043">
        <f t="shared" si="13"/>
        <v>0</v>
      </c>
      <c r="H145" s="2208">
        <v>0</v>
      </c>
      <c r="I145" s="2209">
        <v>0</v>
      </c>
      <c r="J145" s="2210">
        <v>0</v>
      </c>
      <c r="K145" s="2208">
        <v>0</v>
      </c>
      <c r="L145" s="2208">
        <v>0</v>
      </c>
      <c r="M145" s="2211">
        <v>0</v>
      </c>
      <c r="N145" s="2212">
        <v>0</v>
      </c>
      <c r="O145" s="1118">
        <f t="shared" si="10"/>
        <v>0</v>
      </c>
      <c r="P145" s="2213">
        <f t="shared" si="14"/>
        <v>0</v>
      </c>
    </row>
    <row r="146" spans="1:16" ht="14.5">
      <c r="A146" s="2042" t="s">
        <v>4946</v>
      </c>
      <c r="B146" s="380" t="str">
        <f t="shared" si="11"/>
        <v>020-906</v>
      </c>
      <c r="C146" s="2042" t="s">
        <v>2352</v>
      </c>
      <c r="D146" s="2043">
        <v>2040</v>
      </c>
      <c r="E146" s="2043">
        <v>1848</v>
      </c>
      <c r="F146" s="2043">
        <f t="shared" si="12"/>
        <v>0</v>
      </c>
      <c r="G146" s="2043">
        <f t="shared" si="13"/>
        <v>0</v>
      </c>
      <c r="H146" s="2208">
        <v>0</v>
      </c>
      <c r="I146" s="2209">
        <v>0</v>
      </c>
      <c r="J146" s="2210">
        <v>0</v>
      </c>
      <c r="K146" s="2208">
        <v>0</v>
      </c>
      <c r="L146" s="2208">
        <v>0</v>
      </c>
      <c r="M146" s="2211">
        <v>0</v>
      </c>
      <c r="N146" s="2212">
        <v>0</v>
      </c>
      <c r="O146" s="1118">
        <f t="shared" si="10"/>
        <v>0</v>
      </c>
      <c r="P146" s="2213">
        <f t="shared" si="14"/>
        <v>0</v>
      </c>
    </row>
    <row r="147" spans="1:16" ht="14.5">
      <c r="A147" s="2042" t="s">
        <v>3203</v>
      </c>
      <c r="B147" s="380" t="str">
        <f t="shared" si="11"/>
        <v>212-909</v>
      </c>
      <c r="C147" s="2042" t="s">
        <v>619</v>
      </c>
      <c r="D147" s="2043">
        <v>3608</v>
      </c>
      <c r="E147" s="2043">
        <v>3416</v>
      </c>
      <c r="F147" s="2043">
        <f t="shared" si="12"/>
        <v>0</v>
      </c>
      <c r="G147" s="2043">
        <f t="shared" si="13"/>
        <v>0</v>
      </c>
      <c r="H147" s="2208">
        <v>0</v>
      </c>
      <c r="I147" s="2209">
        <v>0</v>
      </c>
      <c r="J147" s="2210">
        <v>0</v>
      </c>
      <c r="K147" s="2208">
        <v>0</v>
      </c>
      <c r="L147" s="2208">
        <v>0</v>
      </c>
      <c r="M147" s="2211">
        <v>0</v>
      </c>
      <c r="N147" s="2212">
        <v>0</v>
      </c>
      <c r="O147" s="1118">
        <f t="shared" si="10"/>
        <v>0</v>
      </c>
      <c r="P147" s="2213">
        <f t="shared" si="14"/>
        <v>0</v>
      </c>
    </row>
    <row r="148" spans="1:16" ht="14.5">
      <c r="A148" s="2042" t="s">
        <v>2898</v>
      </c>
      <c r="B148" s="380" t="str">
        <f t="shared" si="11"/>
        <v>020-907</v>
      </c>
      <c r="C148" s="2042" t="s">
        <v>1458</v>
      </c>
      <c r="D148" s="2043">
        <v>3064</v>
      </c>
      <c r="E148" s="2043">
        <v>2873</v>
      </c>
      <c r="F148" s="2043">
        <f t="shared" si="12"/>
        <v>0</v>
      </c>
      <c r="G148" s="2043">
        <f t="shared" si="13"/>
        <v>0</v>
      </c>
      <c r="H148" s="2208">
        <v>0</v>
      </c>
      <c r="I148" s="2209">
        <v>0</v>
      </c>
      <c r="J148" s="2210">
        <v>0</v>
      </c>
      <c r="K148" s="2208">
        <v>0</v>
      </c>
      <c r="L148" s="2208">
        <v>0</v>
      </c>
      <c r="M148" s="2211">
        <v>0</v>
      </c>
      <c r="N148" s="2212">
        <v>0</v>
      </c>
      <c r="O148" s="1118">
        <f t="shared" si="10"/>
        <v>0</v>
      </c>
      <c r="P148" s="2213">
        <f t="shared" si="14"/>
        <v>0</v>
      </c>
    </row>
    <row r="149" spans="1:16" ht="14.5">
      <c r="A149" s="2042" t="s">
        <v>5306</v>
      </c>
      <c r="B149" s="380" t="str">
        <f t="shared" si="11"/>
        <v>244-903</v>
      </c>
      <c r="C149" s="2042" t="s">
        <v>1519</v>
      </c>
      <c r="D149" s="2043">
        <v>2090</v>
      </c>
      <c r="E149" s="2043">
        <v>1899</v>
      </c>
      <c r="F149" s="2043">
        <f t="shared" si="12"/>
        <v>0</v>
      </c>
      <c r="G149" s="2043">
        <f t="shared" si="13"/>
        <v>0</v>
      </c>
      <c r="H149" s="2208">
        <v>0</v>
      </c>
      <c r="I149" s="2209">
        <v>0</v>
      </c>
      <c r="J149" s="2210">
        <v>0</v>
      </c>
      <c r="K149" s="2208">
        <v>0</v>
      </c>
      <c r="L149" s="2208">
        <v>0</v>
      </c>
      <c r="M149" s="2211">
        <v>0</v>
      </c>
      <c r="N149" s="2212">
        <v>0</v>
      </c>
      <c r="O149" s="1118">
        <f t="shared" si="10"/>
        <v>0</v>
      </c>
      <c r="P149" s="2213">
        <f t="shared" si="14"/>
        <v>0</v>
      </c>
    </row>
    <row r="150" spans="1:16" ht="14.5">
      <c r="A150" s="2042" t="s">
        <v>3193</v>
      </c>
      <c r="B150" s="380" t="str">
        <f t="shared" si="11"/>
        <v>205-904</v>
      </c>
      <c r="C150" s="2042" t="s">
        <v>1953</v>
      </c>
      <c r="D150" s="2043">
        <v>1692</v>
      </c>
      <c r="E150" s="2043">
        <v>1504</v>
      </c>
      <c r="F150" s="2043">
        <f t="shared" si="12"/>
        <v>0</v>
      </c>
      <c r="G150" s="2043">
        <f t="shared" si="13"/>
        <v>0</v>
      </c>
      <c r="H150" s="2208">
        <v>0</v>
      </c>
      <c r="I150" s="2209">
        <v>0</v>
      </c>
      <c r="J150" s="2210">
        <v>0</v>
      </c>
      <c r="K150" s="2208">
        <v>0</v>
      </c>
      <c r="L150" s="2208">
        <v>0</v>
      </c>
      <c r="M150" s="2211">
        <v>0</v>
      </c>
      <c r="N150" s="2212">
        <v>0</v>
      </c>
      <c r="O150" s="1118">
        <f t="shared" si="10"/>
        <v>0</v>
      </c>
      <c r="P150" s="2213">
        <f t="shared" si="14"/>
        <v>0</v>
      </c>
    </row>
    <row r="151" spans="1:16" ht="14.5">
      <c r="A151" s="2042" t="s">
        <v>5308</v>
      </c>
      <c r="B151" s="380" t="str">
        <f t="shared" si="11"/>
        <v>248-901</v>
      </c>
      <c r="C151" s="2042" t="s">
        <v>1522</v>
      </c>
      <c r="D151" s="2043">
        <v>1461</v>
      </c>
      <c r="E151" s="2043">
        <v>1275</v>
      </c>
      <c r="F151" s="2043">
        <f t="shared" si="12"/>
        <v>0</v>
      </c>
      <c r="G151" s="2043">
        <f t="shared" si="13"/>
        <v>0</v>
      </c>
      <c r="H151" s="2208">
        <v>0</v>
      </c>
      <c r="I151" s="2209">
        <v>0</v>
      </c>
      <c r="J151" s="2210">
        <v>0</v>
      </c>
      <c r="K151" s="2208">
        <v>0</v>
      </c>
      <c r="L151" s="2208">
        <v>0</v>
      </c>
      <c r="M151" s="2211">
        <v>0</v>
      </c>
      <c r="N151" s="2212">
        <v>317088</v>
      </c>
      <c r="O151" s="1118">
        <f t="shared" si="10"/>
        <v>317088</v>
      </c>
      <c r="P151" s="2213">
        <f t="shared" si="14"/>
        <v>85375.464651358183</v>
      </c>
    </row>
    <row r="152" spans="1:16" ht="14.5">
      <c r="A152" s="2042" t="s">
        <v>2859</v>
      </c>
      <c r="B152" s="380" t="str">
        <f t="shared" si="11"/>
        <v>007-906</v>
      </c>
      <c r="C152" s="2042" t="s">
        <v>950</v>
      </c>
      <c r="D152" s="2043">
        <v>1788</v>
      </c>
      <c r="E152" s="2043">
        <v>1603</v>
      </c>
      <c r="F152" s="2043">
        <f t="shared" si="12"/>
        <v>0</v>
      </c>
      <c r="G152" s="2043">
        <f t="shared" si="13"/>
        <v>0</v>
      </c>
      <c r="H152" s="2208">
        <v>0</v>
      </c>
      <c r="I152" s="2209">
        <v>0</v>
      </c>
      <c r="J152" s="2210">
        <v>0</v>
      </c>
      <c r="K152" s="2208">
        <v>0</v>
      </c>
      <c r="L152" s="2208">
        <v>0</v>
      </c>
      <c r="M152" s="2211">
        <v>0</v>
      </c>
      <c r="N152" s="2212">
        <v>0</v>
      </c>
      <c r="O152" s="1118">
        <f t="shared" si="10"/>
        <v>0</v>
      </c>
      <c r="P152" s="2213">
        <f t="shared" si="14"/>
        <v>0</v>
      </c>
    </row>
    <row r="153" spans="1:16" ht="14.5">
      <c r="A153" s="2042" t="s">
        <v>2893</v>
      </c>
      <c r="B153" s="380" t="str">
        <f t="shared" si="11"/>
        <v>019-905</v>
      </c>
      <c r="C153" s="2042" t="s">
        <v>1313</v>
      </c>
      <c r="D153" s="2043">
        <v>1357</v>
      </c>
      <c r="E153" s="2043">
        <v>1174</v>
      </c>
      <c r="F153" s="2043">
        <f t="shared" si="12"/>
        <v>0</v>
      </c>
      <c r="G153" s="2043">
        <f t="shared" si="13"/>
        <v>0</v>
      </c>
      <c r="H153" s="2208">
        <v>0</v>
      </c>
      <c r="I153" s="2209">
        <v>0</v>
      </c>
      <c r="J153" s="2210">
        <v>0</v>
      </c>
      <c r="K153" s="2208">
        <v>0</v>
      </c>
      <c r="L153" s="2208">
        <v>0</v>
      </c>
      <c r="M153" s="2211">
        <v>0</v>
      </c>
      <c r="N153" s="2212">
        <v>0</v>
      </c>
      <c r="O153" s="1118">
        <f t="shared" ref="O153:O216" si="15">IF(N153&gt;M153,N153-M153,0)</f>
        <v>0</v>
      </c>
      <c r="P153" s="2213">
        <f t="shared" si="14"/>
        <v>0</v>
      </c>
    </row>
    <row r="154" spans="1:16" ht="14.5">
      <c r="A154" s="2042" t="s">
        <v>5211</v>
      </c>
      <c r="B154" s="380" t="str">
        <f t="shared" si="11"/>
        <v>181-908</v>
      </c>
      <c r="C154" s="2042" t="s">
        <v>3321</v>
      </c>
      <c r="D154" s="2043">
        <v>3377</v>
      </c>
      <c r="E154" s="2043">
        <v>3194</v>
      </c>
      <c r="F154" s="2043">
        <f t="shared" si="12"/>
        <v>0</v>
      </c>
      <c r="G154" s="2043">
        <f t="shared" si="13"/>
        <v>0</v>
      </c>
      <c r="H154" s="2208">
        <v>0</v>
      </c>
      <c r="I154" s="2209">
        <v>0</v>
      </c>
      <c r="J154" s="2210">
        <v>0</v>
      </c>
      <c r="K154" s="2208">
        <v>0</v>
      </c>
      <c r="L154" s="2208">
        <v>0</v>
      </c>
      <c r="M154" s="2211">
        <v>0</v>
      </c>
      <c r="N154" s="2212">
        <v>0</v>
      </c>
      <c r="O154" s="1118">
        <f t="shared" si="15"/>
        <v>0</v>
      </c>
      <c r="P154" s="2213">
        <f t="shared" si="14"/>
        <v>0</v>
      </c>
    </row>
    <row r="155" spans="1:16" ht="14.5">
      <c r="A155" s="2042" t="s">
        <v>3076</v>
      </c>
      <c r="B155" s="380" t="str">
        <f t="shared" si="11"/>
        <v>123-905</v>
      </c>
      <c r="C155" s="2042" t="s">
        <v>371</v>
      </c>
      <c r="D155" s="2043">
        <v>5203</v>
      </c>
      <c r="E155" s="2043">
        <v>5022</v>
      </c>
      <c r="F155" s="2043">
        <f t="shared" si="12"/>
        <v>0</v>
      </c>
      <c r="G155" s="2043">
        <f t="shared" si="13"/>
        <v>0</v>
      </c>
      <c r="H155" s="2208">
        <v>0</v>
      </c>
      <c r="I155" s="2209">
        <v>0</v>
      </c>
      <c r="J155" s="2210">
        <v>0</v>
      </c>
      <c r="K155" s="2208">
        <v>0</v>
      </c>
      <c r="L155" s="2208">
        <v>0</v>
      </c>
      <c r="M155" s="2211">
        <v>0</v>
      </c>
      <c r="N155" s="2212">
        <v>0</v>
      </c>
      <c r="O155" s="1118">
        <f t="shared" si="15"/>
        <v>0</v>
      </c>
      <c r="P155" s="2213">
        <f t="shared" si="14"/>
        <v>0</v>
      </c>
    </row>
    <row r="156" spans="1:16" ht="14.5">
      <c r="A156" s="2042" t="s">
        <v>5223</v>
      </c>
      <c r="B156" s="380" t="str">
        <f t="shared" si="11"/>
        <v>186-903</v>
      </c>
      <c r="C156" s="2042" t="s">
        <v>420</v>
      </c>
      <c r="D156" s="2043">
        <v>519</v>
      </c>
      <c r="E156" s="2043">
        <v>338</v>
      </c>
      <c r="F156" s="2043">
        <f t="shared" si="12"/>
        <v>0</v>
      </c>
      <c r="G156" s="2043">
        <f t="shared" si="13"/>
        <v>0</v>
      </c>
      <c r="H156" s="2208">
        <v>0</v>
      </c>
      <c r="I156" s="2209">
        <v>0</v>
      </c>
      <c r="J156" s="2210">
        <v>0</v>
      </c>
      <c r="K156" s="2208">
        <v>0</v>
      </c>
      <c r="L156" s="2208">
        <v>0</v>
      </c>
      <c r="M156" s="2211">
        <v>0</v>
      </c>
      <c r="N156" s="2212">
        <v>0</v>
      </c>
      <c r="O156" s="1118">
        <f t="shared" si="15"/>
        <v>0</v>
      </c>
      <c r="P156" s="2213">
        <f t="shared" si="14"/>
        <v>0</v>
      </c>
    </row>
    <row r="157" spans="1:16" ht="14.5">
      <c r="A157" s="2042" t="s">
        <v>5294</v>
      </c>
      <c r="B157" s="380" t="str">
        <f t="shared" si="11"/>
        <v>238-902</v>
      </c>
      <c r="C157" s="2042" t="s">
        <v>840</v>
      </c>
      <c r="D157" s="2043">
        <v>2283</v>
      </c>
      <c r="E157" s="2043">
        <v>2103</v>
      </c>
      <c r="F157" s="2043">
        <f t="shared" si="12"/>
        <v>0</v>
      </c>
      <c r="G157" s="2043">
        <f t="shared" si="13"/>
        <v>0</v>
      </c>
      <c r="H157" s="2208">
        <v>0</v>
      </c>
      <c r="I157" s="2209">
        <v>0</v>
      </c>
      <c r="J157" s="2210">
        <v>0</v>
      </c>
      <c r="K157" s="2208">
        <v>0</v>
      </c>
      <c r="L157" s="2208">
        <v>0</v>
      </c>
      <c r="M157" s="2211">
        <v>0</v>
      </c>
      <c r="N157" s="2212">
        <v>543276</v>
      </c>
      <c r="O157" s="1118">
        <f t="shared" si="15"/>
        <v>543276</v>
      </c>
      <c r="P157" s="2213">
        <f t="shared" si="14"/>
        <v>146276.24171817055</v>
      </c>
    </row>
    <row r="158" spans="1:16" ht="14.5">
      <c r="A158" s="2042" t="s">
        <v>3196</v>
      </c>
      <c r="B158" s="380" t="str">
        <f t="shared" si="11"/>
        <v>205-907</v>
      </c>
      <c r="C158" s="2042" t="s">
        <v>564</v>
      </c>
      <c r="D158" s="2043">
        <v>1119</v>
      </c>
      <c r="E158" s="2043">
        <v>940</v>
      </c>
      <c r="F158" s="2043">
        <f t="shared" si="12"/>
        <v>0</v>
      </c>
      <c r="G158" s="2043">
        <f t="shared" si="13"/>
        <v>0</v>
      </c>
      <c r="H158" s="2208">
        <v>0</v>
      </c>
      <c r="I158" s="2209">
        <v>0</v>
      </c>
      <c r="J158" s="2210">
        <v>0</v>
      </c>
      <c r="K158" s="2208">
        <v>0</v>
      </c>
      <c r="L158" s="2208">
        <v>0</v>
      </c>
      <c r="M158" s="2211">
        <v>0</v>
      </c>
      <c r="N158" s="2212">
        <v>0</v>
      </c>
      <c r="O158" s="1118">
        <f t="shared" si="15"/>
        <v>0</v>
      </c>
      <c r="P158" s="2213">
        <f t="shared" si="14"/>
        <v>0</v>
      </c>
    </row>
    <row r="159" spans="1:16" ht="14.5">
      <c r="A159" s="2042" t="s">
        <v>5241</v>
      </c>
      <c r="B159" s="380" t="str">
        <f t="shared" si="11"/>
        <v>198-905</v>
      </c>
      <c r="C159" s="2042" t="s">
        <v>1539</v>
      </c>
      <c r="D159" s="2043">
        <v>899</v>
      </c>
      <c r="E159" s="2043">
        <v>721</v>
      </c>
      <c r="F159" s="2043">
        <f t="shared" si="12"/>
        <v>0</v>
      </c>
      <c r="G159" s="2043">
        <f t="shared" si="13"/>
        <v>0</v>
      </c>
      <c r="H159" s="2208">
        <v>0</v>
      </c>
      <c r="I159" s="2209">
        <v>0</v>
      </c>
      <c r="J159" s="2210">
        <v>0</v>
      </c>
      <c r="K159" s="2208">
        <v>0</v>
      </c>
      <c r="L159" s="2208">
        <v>0</v>
      </c>
      <c r="M159" s="2211">
        <v>0</v>
      </c>
      <c r="N159" s="2212">
        <v>0</v>
      </c>
      <c r="O159" s="1118">
        <f t="shared" si="15"/>
        <v>0</v>
      </c>
      <c r="P159" s="2213">
        <f t="shared" si="14"/>
        <v>0</v>
      </c>
    </row>
    <row r="160" spans="1:16" ht="14.5">
      <c r="A160" s="2042" t="s">
        <v>3276</v>
      </c>
      <c r="B160" s="380" t="str">
        <f t="shared" si="11"/>
        <v>254-901</v>
      </c>
      <c r="C160" s="2042" t="s">
        <v>398</v>
      </c>
      <c r="D160" s="2043">
        <v>2016</v>
      </c>
      <c r="E160" s="2043">
        <v>1838</v>
      </c>
      <c r="F160" s="2043">
        <f t="shared" si="12"/>
        <v>0</v>
      </c>
      <c r="G160" s="2043">
        <f t="shared" si="13"/>
        <v>0</v>
      </c>
      <c r="H160" s="2208">
        <v>0</v>
      </c>
      <c r="I160" s="2209">
        <v>0</v>
      </c>
      <c r="J160" s="2210">
        <v>0</v>
      </c>
      <c r="K160" s="2208">
        <v>0</v>
      </c>
      <c r="L160" s="2208">
        <v>0</v>
      </c>
      <c r="M160" s="2211">
        <v>0</v>
      </c>
      <c r="N160" s="2212">
        <v>0</v>
      </c>
      <c r="O160" s="1118">
        <f t="shared" si="15"/>
        <v>0</v>
      </c>
      <c r="P160" s="2213">
        <f t="shared" si="14"/>
        <v>0</v>
      </c>
    </row>
    <row r="161" spans="1:16" ht="14.5">
      <c r="A161" s="2042" t="s">
        <v>5021</v>
      </c>
      <c r="B161" s="380" t="str">
        <f t="shared" si="11"/>
        <v>080-901</v>
      </c>
      <c r="C161" s="2042" t="s">
        <v>807</v>
      </c>
      <c r="D161" s="2043">
        <v>1655</v>
      </c>
      <c r="E161" s="2043">
        <v>1478</v>
      </c>
      <c r="F161" s="2043">
        <f t="shared" si="12"/>
        <v>0</v>
      </c>
      <c r="G161" s="2043">
        <f t="shared" si="13"/>
        <v>0</v>
      </c>
      <c r="H161" s="2208">
        <v>0</v>
      </c>
      <c r="I161" s="2209">
        <v>0</v>
      </c>
      <c r="J161" s="2210">
        <v>0</v>
      </c>
      <c r="K161" s="2208">
        <v>0</v>
      </c>
      <c r="L161" s="2208">
        <v>0</v>
      </c>
      <c r="M161" s="2211">
        <v>0</v>
      </c>
      <c r="N161" s="2212">
        <v>0</v>
      </c>
      <c r="O161" s="1118">
        <f t="shared" si="15"/>
        <v>0</v>
      </c>
      <c r="P161" s="2213">
        <f t="shared" si="14"/>
        <v>0</v>
      </c>
    </row>
    <row r="162" spans="1:16" ht="14.5">
      <c r="A162" s="2042" t="s">
        <v>5225</v>
      </c>
      <c r="B162" s="380" t="str">
        <f t="shared" si="11"/>
        <v>187-904</v>
      </c>
      <c r="C162" s="2042" t="s">
        <v>423</v>
      </c>
      <c r="D162" s="2043">
        <v>966</v>
      </c>
      <c r="E162" s="2043">
        <v>789</v>
      </c>
      <c r="F162" s="2043">
        <f t="shared" si="12"/>
        <v>0</v>
      </c>
      <c r="G162" s="2043">
        <f t="shared" si="13"/>
        <v>0</v>
      </c>
      <c r="H162" s="2208">
        <v>0</v>
      </c>
      <c r="I162" s="2209">
        <v>0</v>
      </c>
      <c r="J162" s="2210">
        <v>0</v>
      </c>
      <c r="K162" s="2208">
        <v>0</v>
      </c>
      <c r="L162" s="2208">
        <v>0</v>
      </c>
      <c r="M162" s="2211">
        <v>0</v>
      </c>
      <c r="N162" s="2212">
        <v>0</v>
      </c>
      <c r="O162" s="1118">
        <f t="shared" si="15"/>
        <v>0</v>
      </c>
      <c r="P162" s="2213">
        <f t="shared" si="14"/>
        <v>0</v>
      </c>
    </row>
    <row r="163" spans="1:16" ht="14.5">
      <c r="A163" s="2042" t="s">
        <v>5837</v>
      </c>
      <c r="B163" s="380" t="str">
        <f t="shared" si="11"/>
        <v>140-904</v>
      </c>
      <c r="C163" s="2042" t="s">
        <v>890</v>
      </c>
      <c r="D163" s="2043">
        <v>1444</v>
      </c>
      <c r="E163" s="2043">
        <v>1268</v>
      </c>
      <c r="F163" s="2043">
        <f t="shared" si="12"/>
        <v>0</v>
      </c>
      <c r="G163" s="2043">
        <f t="shared" si="13"/>
        <v>0</v>
      </c>
      <c r="H163" s="2208">
        <v>0</v>
      </c>
      <c r="I163" s="2209">
        <v>0</v>
      </c>
      <c r="J163" s="2210">
        <v>0</v>
      </c>
      <c r="K163" s="2208">
        <v>0</v>
      </c>
      <c r="L163" s="2208">
        <v>0</v>
      </c>
      <c r="M163" s="2211">
        <v>0</v>
      </c>
      <c r="N163" s="2212">
        <v>0</v>
      </c>
      <c r="O163" s="1118">
        <f t="shared" si="15"/>
        <v>0</v>
      </c>
      <c r="P163" s="2213">
        <f t="shared" si="14"/>
        <v>0</v>
      </c>
    </row>
    <row r="164" spans="1:16" ht="14.5">
      <c r="A164" s="2042" t="s">
        <v>2853</v>
      </c>
      <c r="B164" s="380" t="str">
        <f t="shared" si="11"/>
        <v>003-905</v>
      </c>
      <c r="C164" s="2042" t="s">
        <v>1121</v>
      </c>
      <c r="D164" s="2043">
        <v>1889</v>
      </c>
      <c r="E164" s="2043">
        <v>1714</v>
      </c>
      <c r="F164" s="2043">
        <f t="shared" si="12"/>
        <v>0</v>
      </c>
      <c r="G164" s="2043">
        <f t="shared" si="13"/>
        <v>0</v>
      </c>
      <c r="H164" s="2208">
        <v>0</v>
      </c>
      <c r="I164" s="2209">
        <v>0</v>
      </c>
      <c r="J164" s="2210">
        <v>0</v>
      </c>
      <c r="K164" s="2208">
        <v>0</v>
      </c>
      <c r="L164" s="2208">
        <v>0</v>
      </c>
      <c r="M164" s="2211">
        <v>0</v>
      </c>
      <c r="N164" s="2212">
        <v>0</v>
      </c>
      <c r="O164" s="1118">
        <f t="shared" si="15"/>
        <v>0</v>
      </c>
      <c r="P164" s="2213">
        <f t="shared" si="14"/>
        <v>0</v>
      </c>
    </row>
    <row r="165" spans="1:16" ht="14.5">
      <c r="A165" s="2042" t="s">
        <v>3108</v>
      </c>
      <c r="B165" s="380" t="str">
        <f t="shared" si="11"/>
        <v>146-904</v>
      </c>
      <c r="C165" s="2042" t="s">
        <v>1639</v>
      </c>
      <c r="D165" s="2043">
        <v>1399</v>
      </c>
      <c r="E165" s="2043">
        <v>1225</v>
      </c>
      <c r="F165" s="2043">
        <f t="shared" si="12"/>
        <v>0</v>
      </c>
      <c r="G165" s="2043">
        <f t="shared" si="13"/>
        <v>0</v>
      </c>
      <c r="H165" s="2208">
        <v>0</v>
      </c>
      <c r="I165" s="2209">
        <v>0</v>
      </c>
      <c r="J165" s="2210">
        <v>0</v>
      </c>
      <c r="K165" s="2208">
        <v>0</v>
      </c>
      <c r="L165" s="2208">
        <v>0</v>
      </c>
      <c r="M165" s="2211">
        <v>0</v>
      </c>
      <c r="N165" s="2212">
        <v>0</v>
      </c>
      <c r="O165" s="1118">
        <f t="shared" si="15"/>
        <v>0</v>
      </c>
      <c r="P165" s="2213">
        <f t="shared" si="14"/>
        <v>0</v>
      </c>
    </row>
    <row r="166" spans="1:16" ht="14.5">
      <c r="A166" s="2042" t="s">
        <v>5196</v>
      </c>
      <c r="B166" s="380" t="str">
        <f t="shared" si="11"/>
        <v>177-902</v>
      </c>
      <c r="C166" s="2042" t="s">
        <v>294</v>
      </c>
      <c r="D166" s="2043">
        <v>2255</v>
      </c>
      <c r="E166" s="2043">
        <v>2083</v>
      </c>
      <c r="F166" s="2043">
        <f t="shared" si="12"/>
        <v>0</v>
      </c>
      <c r="G166" s="2043">
        <f t="shared" si="13"/>
        <v>0</v>
      </c>
      <c r="H166" s="2208">
        <v>0</v>
      </c>
      <c r="I166" s="2209">
        <v>0</v>
      </c>
      <c r="J166" s="2210">
        <v>0</v>
      </c>
      <c r="K166" s="2208">
        <v>0</v>
      </c>
      <c r="L166" s="2208">
        <v>0</v>
      </c>
      <c r="M166" s="2211">
        <v>0</v>
      </c>
      <c r="N166" s="2212">
        <v>0</v>
      </c>
      <c r="O166" s="1118">
        <f t="shared" si="15"/>
        <v>0</v>
      </c>
      <c r="P166" s="2213">
        <f t="shared" si="14"/>
        <v>0</v>
      </c>
    </row>
    <row r="167" spans="1:16" ht="14.5">
      <c r="A167" s="2042" t="s">
        <v>3194</v>
      </c>
      <c r="B167" s="380" t="str">
        <f t="shared" si="11"/>
        <v>205-905</v>
      </c>
      <c r="C167" s="2042" t="s">
        <v>246</v>
      </c>
      <c r="D167" s="2043">
        <v>1017</v>
      </c>
      <c r="E167" s="2043">
        <v>846</v>
      </c>
      <c r="F167" s="2043">
        <f t="shared" si="12"/>
        <v>0</v>
      </c>
      <c r="G167" s="2043">
        <f t="shared" si="13"/>
        <v>0</v>
      </c>
      <c r="H167" s="2208">
        <v>0</v>
      </c>
      <c r="I167" s="2209">
        <v>0</v>
      </c>
      <c r="J167" s="2210">
        <v>0</v>
      </c>
      <c r="K167" s="2208">
        <v>0</v>
      </c>
      <c r="L167" s="2208">
        <v>0</v>
      </c>
      <c r="M167" s="2211">
        <v>0</v>
      </c>
      <c r="N167" s="2212">
        <v>0</v>
      </c>
      <c r="O167" s="1118">
        <f t="shared" si="15"/>
        <v>0</v>
      </c>
      <c r="P167" s="2213">
        <f t="shared" si="14"/>
        <v>0</v>
      </c>
    </row>
    <row r="168" spans="1:16" ht="14.5">
      <c r="A168" s="2042" t="s">
        <v>3046</v>
      </c>
      <c r="B168" s="380" t="str">
        <f t="shared" si="11"/>
        <v>108-915</v>
      </c>
      <c r="C168" s="2042" t="s">
        <v>2119</v>
      </c>
      <c r="D168" s="2043">
        <v>1062</v>
      </c>
      <c r="E168" s="2043">
        <v>891</v>
      </c>
      <c r="F168" s="2043">
        <f t="shared" si="12"/>
        <v>0</v>
      </c>
      <c r="G168" s="2043">
        <f t="shared" si="13"/>
        <v>0</v>
      </c>
      <c r="H168" s="2208">
        <v>0</v>
      </c>
      <c r="I168" s="2209">
        <v>0</v>
      </c>
      <c r="J168" s="2210">
        <v>0</v>
      </c>
      <c r="K168" s="2208">
        <v>0</v>
      </c>
      <c r="L168" s="2208">
        <v>0</v>
      </c>
      <c r="M168" s="2211">
        <v>0</v>
      </c>
      <c r="N168" s="2212">
        <v>0</v>
      </c>
      <c r="O168" s="1118">
        <f t="shared" si="15"/>
        <v>0</v>
      </c>
      <c r="P168" s="2213">
        <f t="shared" si="14"/>
        <v>0</v>
      </c>
    </row>
    <row r="169" spans="1:16" ht="14.5">
      <c r="A169" s="2042" t="s">
        <v>3002</v>
      </c>
      <c r="B169" s="380" t="str">
        <f t="shared" si="11"/>
        <v>090-904</v>
      </c>
      <c r="C169" s="2042" t="s">
        <v>1288</v>
      </c>
      <c r="D169" s="2043">
        <v>3674</v>
      </c>
      <c r="E169" s="2043">
        <v>3506</v>
      </c>
      <c r="F169" s="2043">
        <f t="shared" si="12"/>
        <v>0</v>
      </c>
      <c r="G169" s="2043">
        <f t="shared" si="13"/>
        <v>0</v>
      </c>
      <c r="H169" s="2208">
        <v>0</v>
      </c>
      <c r="I169" s="2209">
        <v>0</v>
      </c>
      <c r="J169" s="2210">
        <v>0</v>
      </c>
      <c r="K169" s="2208">
        <v>0</v>
      </c>
      <c r="L169" s="2208">
        <v>0</v>
      </c>
      <c r="M169" s="2211">
        <v>0</v>
      </c>
      <c r="N169" s="2212">
        <v>0</v>
      </c>
      <c r="O169" s="1118">
        <f t="shared" si="15"/>
        <v>0</v>
      </c>
      <c r="P169" s="2213">
        <f t="shared" si="14"/>
        <v>0</v>
      </c>
    </row>
    <row r="170" spans="1:16" ht="14.5">
      <c r="A170" s="2042" t="s">
        <v>3274</v>
      </c>
      <c r="B170" s="380" t="str">
        <f t="shared" si="11"/>
        <v>252-901</v>
      </c>
      <c r="C170" s="2042" t="s">
        <v>815</v>
      </c>
      <c r="D170" s="2043">
        <v>2446</v>
      </c>
      <c r="E170" s="2043">
        <v>2279</v>
      </c>
      <c r="F170" s="2043">
        <f t="shared" si="12"/>
        <v>0</v>
      </c>
      <c r="G170" s="2043">
        <f t="shared" si="13"/>
        <v>0</v>
      </c>
      <c r="H170" s="2208">
        <v>0</v>
      </c>
      <c r="I170" s="2209">
        <v>0</v>
      </c>
      <c r="J170" s="2210">
        <v>0</v>
      </c>
      <c r="K170" s="2208">
        <v>0</v>
      </c>
      <c r="L170" s="2208">
        <v>0</v>
      </c>
      <c r="M170" s="2211">
        <v>0</v>
      </c>
      <c r="N170" s="2212">
        <v>0</v>
      </c>
      <c r="O170" s="1118">
        <f t="shared" si="15"/>
        <v>0</v>
      </c>
      <c r="P170" s="2213">
        <f t="shared" si="14"/>
        <v>0</v>
      </c>
    </row>
    <row r="171" spans="1:16" ht="14.5">
      <c r="A171" s="2042" t="s">
        <v>5150</v>
      </c>
      <c r="B171" s="380" t="str">
        <f t="shared" si="11"/>
        <v>146-907</v>
      </c>
      <c r="C171" s="2042" t="s">
        <v>509</v>
      </c>
      <c r="D171" s="2043">
        <v>1885</v>
      </c>
      <c r="E171" s="2043">
        <v>1718</v>
      </c>
      <c r="F171" s="2043">
        <f t="shared" si="12"/>
        <v>0</v>
      </c>
      <c r="G171" s="2043">
        <f t="shared" si="13"/>
        <v>0</v>
      </c>
      <c r="H171" s="2208">
        <v>0</v>
      </c>
      <c r="I171" s="2209">
        <v>0</v>
      </c>
      <c r="J171" s="2210">
        <v>0</v>
      </c>
      <c r="K171" s="2208">
        <v>0</v>
      </c>
      <c r="L171" s="2208">
        <v>0</v>
      </c>
      <c r="M171" s="2211">
        <v>0</v>
      </c>
      <c r="N171" s="2212">
        <v>0</v>
      </c>
      <c r="O171" s="1118">
        <f t="shared" si="15"/>
        <v>0</v>
      </c>
      <c r="P171" s="2213">
        <f t="shared" si="14"/>
        <v>0</v>
      </c>
    </row>
    <row r="172" spans="1:16" ht="14.5">
      <c r="A172" s="2042" t="s">
        <v>5884</v>
      </c>
      <c r="B172" s="380" t="str">
        <f t="shared" si="11"/>
        <v>219-903</v>
      </c>
      <c r="C172" s="2042" t="s">
        <v>2425</v>
      </c>
      <c r="D172" s="2043">
        <v>1113</v>
      </c>
      <c r="E172" s="2043">
        <v>950</v>
      </c>
      <c r="F172" s="2043">
        <f t="shared" si="12"/>
        <v>0</v>
      </c>
      <c r="G172" s="2043">
        <f t="shared" si="13"/>
        <v>0</v>
      </c>
      <c r="H172" s="2208">
        <v>0</v>
      </c>
      <c r="I172" s="2209">
        <v>0</v>
      </c>
      <c r="J172" s="2210">
        <v>0</v>
      </c>
      <c r="K172" s="2208">
        <v>0</v>
      </c>
      <c r="L172" s="2208">
        <v>0</v>
      </c>
      <c r="M172" s="2211">
        <v>0</v>
      </c>
      <c r="N172" s="2212">
        <v>0</v>
      </c>
      <c r="O172" s="1118">
        <f t="shared" si="15"/>
        <v>0</v>
      </c>
      <c r="P172" s="2213">
        <f t="shared" si="14"/>
        <v>0</v>
      </c>
    </row>
    <row r="173" spans="1:16" ht="14.5">
      <c r="A173" s="2042" t="s">
        <v>5085</v>
      </c>
      <c r="B173" s="380" t="str">
        <f t="shared" si="11"/>
        <v>106-901</v>
      </c>
      <c r="C173" s="2042" t="s">
        <v>154</v>
      </c>
      <c r="D173" s="2043">
        <v>1040</v>
      </c>
      <c r="E173" s="2043">
        <v>877</v>
      </c>
      <c r="F173" s="2043">
        <f t="shared" si="12"/>
        <v>0</v>
      </c>
      <c r="G173" s="2043">
        <f t="shared" si="13"/>
        <v>0</v>
      </c>
      <c r="H173" s="2208">
        <v>0</v>
      </c>
      <c r="I173" s="2209">
        <v>0</v>
      </c>
      <c r="J173" s="2210">
        <v>0</v>
      </c>
      <c r="K173" s="2208">
        <v>0</v>
      </c>
      <c r="L173" s="2208">
        <v>0</v>
      </c>
      <c r="M173" s="2211">
        <v>0</v>
      </c>
      <c r="N173" s="2212">
        <v>0</v>
      </c>
      <c r="O173" s="1118">
        <f t="shared" si="15"/>
        <v>0</v>
      </c>
      <c r="P173" s="2213">
        <f t="shared" si="14"/>
        <v>0</v>
      </c>
    </row>
    <row r="174" spans="1:16" ht="14.5">
      <c r="A174" s="2042" t="s">
        <v>3192</v>
      </c>
      <c r="B174" s="380" t="str">
        <f t="shared" si="11"/>
        <v>205-901</v>
      </c>
      <c r="C174" s="2042" t="s">
        <v>2282</v>
      </c>
      <c r="D174" s="2043">
        <v>1806</v>
      </c>
      <c r="E174" s="2043">
        <v>1645</v>
      </c>
      <c r="F174" s="2043">
        <f t="shared" si="12"/>
        <v>0</v>
      </c>
      <c r="G174" s="2043">
        <f t="shared" si="13"/>
        <v>0</v>
      </c>
      <c r="H174" s="2208">
        <v>0</v>
      </c>
      <c r="I174" s="2209">
        <v>0</v>
      </c>
      <c r="J174" s="2210">
        <v>0</v>
      </c>
      <c r="K174" s="2208">
        <v>0</v>
      </c>
      <c r="L174" s="2208">
        <v>0</v>
      </c>
      <c r="M174" s="2211">
        <v>0</v>
      </c>
      <c r="N174" s="2212">
        <v>0</v>
      </c>
      <c r="O174" s="1118">
        <f t="shared" si="15"/>
        <v>0</v>
      </c>
      <c r="P174" s="2213">
        <f t="shared" si="14"/>
        <v>0</v>
      </c>
    </row>
    <row r="175" spans="1:16" ht="14.5">
      <c r="A175" s="2042" t="s">
        <v>3246</v>
      </c>
      <c r="B175" s="380" t="str">
        <f t="shared" si="11"/>
        <v>237-902</v>
      </c>
      <c r="C175" s="2042" t="s">
        <v>2238</v>
      </c>
      <c r="D175" s="2043">
        <v>1668</v>
      </c>
      <c r="E175" s="2043">
        <v>1511</v>
      </c>
      <c r="F175" s="2043">
        <f t="shared" si="12"/>
        <v>0</v>
      </c>
      <c r="G175" s="2043">
        <f t="shared" si="13"/>
        <v>0</v>
      </c>
      <c r="H175" s="2208">
        <v>0</v>
      </c>
      <c r="I175" s="2209">
        <v>0</v>
      </c>
      <c r="J175" s="2210">
        <v>0</v>
      </c>
      <c r="K175" s="2208">
        <v>0</v>
      </c>
      <c r="L175" s="2208">
        <v>0</v>
      </c>
      <c r="M175" s="2211">
        <v>0</v>
      </c>
      <c r="N175" s="2212">
        <v>0</v>
      </c>
      <c r="O175" s="1118">
        <f t="shared" si="15"/>
        <v>0</v>
      </c>
      <c r="P175" s="2213">
        <f t="shared" si="14"/>
        <v>0</v>
      </c>
    </row>
    <row r="176" spans="1:16" ht="14.5">
      <c r="A176" s="2042" t="s">
        <v>3129</v>
      </c>
      <c r="B176" s="380" t="str">
        <f t="shared" si="11"/>
        <v>161-919</v>
      </c>
      <c r="C176" s="2042" t="s">
        <v>1655</v>
      </c>
      <c r="D176" s="2043">
        <v>771</v>
      </c>
      <c r="E176" s="2043">
        <v>614</v>
      </c>
      <c r="F176" s="2043">
        <f t="shared" si="12"/>
        <v>0</v>
      </c>
      <c r="G176" s="2043">
        <f t="shared" si="13"/>
        <v>0</v>
      </c>
      <c r="H176" s="2208">
        <v>0</v>
      </c>
      <c r="I176" s="2209">
        <v>0</v>
      </c>
      <c r="J176" s="2210">
        <v>0</v>
      </c>
      <c r="K176" s="2208">
        <v>0</v>
      </c>
      <c r="L176" s="2208">
        <v>0</v>
      </c>
      <c r="M176" s="2211">
        <v>0</v>
      </c>
      <c r="N176" s="2212">
        <v>0</v>
      </c>
      <c r="O176" s="1118">
        <f t="shared" si="15"/>
        <v>0</v>
      </c>
      <c r="P176" s="2213">
        <f t="shared" si="14"/>
        <v>0</v>
      </c>
    </row>
    <row r="177" spans="1:16" ht="14.5">
      <c r="A177" s="2042" t="s">
        <v>5222</v>
      </c>
      <c r="B177" s="380" t="str">
        <f t="shared" si="11"/>
        <v>186-902</v>
      </c>
      <c r="C177" s="2042" t="s">
        <v>2206</v>
      </c>
      <c r="D177" s="2043">
        <v>2464</v>
      </c>
      <c r="E177" s="2043">
        <v>2310</v>
      </c>
      <c r="F177" s="2043">
        <f t="shared" si="12"/>
        <v>0</v>
      </c>
      <c r="G177" s="2043">
        <f t="shared" si="13"/>
        <v>0</v>
      </c>
      <c r="H177" s="2208">
        <v>0</v>
      </c>
      <c r="I177" s="2209">
        <v>0</v>
      </c>
      <c r="J177" s="2210">
        <v>0</v>
      </c>
      <c r="K177" s="2208">
        <v>0</v>
      </c>
      <c r="L177" s="2208">
        <v>0</v>
      </c>
      <c r="M177" s="2211">
        <v>0</v>
      </c>
      <c r="N177" s="2212">
        <v>0</v>
      </c>
      <c r="O177" s="1118">
        <f t="shared" si="15"/>
        <v>0</v>
      </c>
      <c r="P177" s="2213">
        <f t="shared" si="14"/>
        <v>0</v>
      </c>
    </row>
    <row r="178" spans="1:16" ht="14.5">
      <c r="A178" s="2042" t="s">
        <v>4949</v>
      </c>
      <c r="B178" s="380" t="str">
        <f t="shared" si="11"/>
        <v>025-901</v>
      </c>
      <c r="C178" s="2042" t="s">
        <v>1502</v>
      </c>
      <c r="D178" s="2043">
        <v>991</v>
      </c>
      <c r="E178" s="2043">
        <v>837</v>
      </c>
      <c r="F178" s="2043">
        <f t="shared" si="12"/>
        <v>0</v>
      </c>
      <c r="G178" s="2043">
        <f t="shared" si="13"/>
        <v>0</v>
      </c>
      <c r="H178" s="2208">
        <v>0</v>
      </c>
      <c r="I178" s="2209">
        <v>0</v>
      </c>
      <c r="J178" s="2210">
        <v>0</v>
      </c>
      <c r="K178" s="2208">
        <v>0</v>
      </c>
      <c r="L178" s="2208">
        <v>0</v>
      </c>
      <c r="M178" s="2211">
        <v>0</v>
      </c>
      <c r="N178" s="2212">
        <v>0</v>
      </c>
      <c r="O178" s="1118">
        <f t="shared" si="15"/>
        <v>0</v>
      </c>
      <c r="P178" s="2213">
        <f t="shared" si="14"/>
        <v>0</v>
      </c>
    </row>
    <row r="179" spans="1:16" ht="14.5">
      <c r="A179" s="2042" t="s">
        <v>4991</v>
      </c>
      <c r="B179" s="380" t="str">
        <f t="shared" si="11"/>
        <v>057-913</v>
      </c>
      <c r="C179" s="2042" t="s">
        <v>122</v>
      </c>
      <c r="D179" s="2043">
        <v>7324</v>
      </c>
      <c r="E179" s="2043">
        <v>7176</v>
      </c>
      <c r="F179" s="2043">
        <f t="shared" si="12"/>
        <v>0</v>
      </c>
      <c r="G179" s="2043">
        <f t="shared" si="13"/>
        <v>0</v>
      </c>
      <c r="H179" s="2208">
        <v>0</v>
      </c>
      <c r="I179" s="2209">
        <v>0</v>
      </c>
      <c r="J179" s="2210">
        <v>0</v>
      </c>
      <c r="K179" s="2208">
        <v>0</v>
      </c>
      <c r="L179" s="2208">
        <v>0</v>
      </c>
      <c r="M179" s="2211">
        <v>0</v>
      </c>
      <c r="N179" s="2212">
        <v>0</v>
      </c>
      <c r="O179" s="1118">
        <f t="shared" si="15"/>
        <v>0</v>
      </c>
      <c r="P179" s="2213">
        <f t="shared" si="14"/>
        <v>0</v>
      </c>
    </row>
    <row r="180" spans="1:16" ht="14.5">
      <c r="A180" s="2042" t="s">
        <v>3255</v>
      </c>
      <c r="B180" s="380" t="str">
        <f t="shared" si="11"/>
        <v>245-901</v>
      </c>
      <c r="C180" s="2042" t="s">
        <v>2220</v>
      </c>
      <c r="D180" s="2043">
        <v>459</v>
      </c>
      <c r="E180" s="2043">
        <v>313</v>
      </c>
      <c r="F180" s="2043">
        <f t="shared" si="12"/>
        <v>0</v>
      </c>
      <c r="G180" s="2043">
        <f t="shared" si="13"/>
        <v>0</v>
      </c>
      <c r="H180" s="2208">
        <v>0</v>
      </c>
      <c r="I180" s="2209">
        <v>0</v>
      </c>
      <c r="J180" s="2210">
        <v>0</v>
      </c>
      <c r="K180" s="2208">
        <v>0</v>
      </c>
      <c r="L180" s="2208">
        <v>0</v>
      </c>
      <c r="M180" s="2211">
        <v>0</v>
      </c>
      <c r="N180" s="2212">
        <v>0</v>
      </c>
      <c r="O180" s="1118">
        <f t="shared" si="15"/>
        <v>0</v>
      </c>
      <c r="P180" s="2213">
        <f t="shared" si="14"/>
        <v>0</v>
      </c>
    </row>
    <row r="181" spans="1:16" ht="14.5">
      <c r="A181" s="2042" t="s">
        <v>5318</v>
      </c>
      <c r="B181" s="380" t="str">
        <f t="shared" si="11"/>
        <v>251-901</v>
      </c>
      <c r="C181" s="2042" t="s">
        <v>1297</v>
      </c>
      <c r="D181" s="2043">
        <v>1782</v>
      </c>
      <c r="E181" s="2043">
        <v>1638</v>
      </c>
      <c r="F181" s="2043">
        <f t="shared" si="12"/>
        <v>0</v>
      </c>
      <c r="G181" s="2043">
        <f t="shared" si="13"/>
        <v>0</v>
      </c>
      <c r="H181" s="2208">
        <v>0</v>
      </c>
      <c r="I181" s="2209">
        <v>0</v>
      </c>
      <c r="J181" s="2210">
        <v>0</v>
      </c>
      <c r="K181" s="2208">
        <v>0</v>
      </c>
      <c r="L181" s="2208">
        <v>0</v>
      </c>
      <c r="M181" s="2211">
        <v>0</v>
      </c>
      <c r="N181" s="2212">
        <v>0</v>
      </c>
      <c r="O181" s="1118">
        <f t="shared" si="15"/>
        <v>0</v>
      </c>
      <c r="P181" s="2213">
        <f t="shared" si="14"/>
        <v>0</v>
      </c>
    </row>
    <row r="182" spans="1:16" ht="14.5">
      <c r="A182" s="2042" t="s">
        <v>3066</v>
      </c>
      <c r="B182" s="380" t="str">
        <f t="shared" si="11"/>
        <v>116-903</v>
      </c>
      <c r="C182" s="2042" t="s">
        <v>1460</v>
      </c>
      <c r="D182" s="2043">
        <v>1604</v>
      </c>
      <c r="E182" s="2043">
        <v>1462</v>
      </c>
      <c r="F182" s="2043">
        <f t="shared" si="12"/>
        <v>0</v>
      </c>
      <c r="G182" s="2043">
        <f t="shared" si="13"/>
        <v>0</v>
      </c>
      <c r="H182" s="2208">
        <v>0</v>
      </c>
      <c r="I182" s="2209">
        <v>0</v>
      </c>
      <c r="J182" s="2210">
        <v>0</v>
      </c>
      <c r="K182" s="2208">
        <v>0</v>
      </c>
      <c r="L182" s="2208">
        <v>0</v>
      </c>
      <c r="M182" s="2211">
        <v>0</v>
      </c>
      <c r="N182" s="2212">
        <v>0</v>
      </c>
      <c r="O182" s="1118">
        <f t="shared" si="15"/>
        <v>0</v>
      </c>
      <c r="P182" s="2213">
        <f t="shared" si="14"/>
        <v>0</v>
      </c>
    </row>
    <row r="183" spans="1:16" ht="14.5">
      <c r="A183" s="2042" t="s">
        <v>3075</v>
      </c>
      <c r="B183" s="380" t="str">
        <f t="shared" si="11"/>
        <v>121-905</v>
      </c>
      <c r="C183" s="2042" t="s">
        <v>1904</v>
      </c>
      <c r="D183" s="2043">
        <v>1541</v>
      </c>
      <c r="E183" s="2043">
        <v>1401</v>
      </c>
      <c r="F183" s="2043">
        <f t="shared" si="12"/>
        <v>0</v>
      </c>
      <c r="G183" s="2043">
        <f t="shared" si="13"/>
        <v>0</v>
      </c>
      <c r="H183" s="2208">
        <v>0</v>
      </c>
      <c r="I183" s="2209">
        <v>0</v>
      </c>
      <c r="J183" s="2210">
        <v>0</v>
      </c>
      <c r="K183" s="2208">
        <v>0</v>
      </c>
      <c r="L183" s="2208">
        <v>0</v>
      </c>
      <c r="M183" s="2211">
        <v>0</v>
      </c>
      <c r="N183" s="2212">
        <v>0</v>
      </c>
      <c r="O183" s="1118">
        <f t="shared" si="15"/>
        <v>0</v>
      </c>
      <c r="P183" s="2213">
        <f t="shared" si="14"/>
        <v>0</v>
      </c>
    </row>
    <row r="184" spans="1:16" ht="14.5">
      <c r="A184" s="2042" t="s">
        <v>2927</v>
      </c>
      <c r="B184" s="380" t="str">
        <f t="shared" si="11"/>
        <v>038-901</v>
      </c>
      <c r="C184" s="2042" t="s">
        <v>2062</v>
      </c>
      <c r="D184" s="2043">
        <v>1135</v>
      </c>
      <c r="E184" s="2043">
        <v>997</v>
      </c>
      <c r="F184" s="2043">
        <f t="shared" si="12"/>
        <v>0</v>
      </c>
      <c r="G184" s="2043">
        <f t="shared" si="13"/>
        <v>0</v>
      </c>
      <c r="H184" s="2208">
        <v>0</v>
      </c>
      <c r="I184" s="2209">
        <v>0</v>
      </c>
      <c r="J184" s="2210">
        <v>0</v>
      </c>
      <c r="K184" s="2208">
        <v>0</v>
      </c>
      <c r="L184" s="2208">
        <v>0</v>
      </c>
      <c r="M184" s="2211">
        <v>0</v>
      </c>
      <c r="N184" s="2212">
        <v>0</v>
      </c>
      <c r="O184" s="1118">
        <f t="shared" si="15"/>
        <v>0</v>
      </c>
      <c r="P184" s="2213">
        <f t="shared" si="14"/>
        <v>0</v>
      </c>
    </row>
    <row r="185" spans="1:16" ht="14.5">
      <c r="A185" s="2042" t="s">
        <v>2854</v>
      </c>
      <c r="B185" s="380" t="str">
        <f t="shared" si="11"/>
        <v>003-907</v>
      </c>
      <c r="C185" s="2042" t="s">
        <v>1123</v>
      </c>
      <c r="D185" s="2043">
        <v>1583</v>
      </c>
      <c r="E185" s="2043">
        <v>1445</v>
      </c>
      <c r="F185" s="2043">
        <f t="shared" si="12"/>
        <v>0</v>
      </c>
      <c r="G185" s="2043">
        <f t="shared" si="13"/>
        <v>0</v>
      </c>
      <c r="H185" s="2208">
        <v>0</v>
      </c>
      <c r="I185" s="2209">
        <v>0</v>
      </c>
      <c r="J185" s="2210">
        <v>0</v>
      </c>
      <c r="K185" s="2208">
        <v>0</v>
      </c>
      <c r="L185" s="2208">
        <v>0</v>
      </c>
      <c r="M185" s="2211">
        <v>0</v>
      </c>
      <c r="N185" s="2212">
        <v>0</v>
      </c>
      <c r="O185" s="1118">
        <f t="shared" si="15"/>
        <v>0</v>
      </c>
      <c r="P185" s="2213">
        <f t="shared" si="14"/>
        <v>0</v>
      </c>
    </row>
    <row r="186" spans="1:16" ht="14.5">
      <c r="A186" s="2042" t="s">
        <v>5051</v>
      </c>
      <c r="B186" s="380" t="str">
        <f t="shared" si="11"/>
        <v>092-904</v>
      </c>
      <c r="C186" s="2042" t="s">
        <v>211</v>
      </c>
      <c r="D186" s="2043">
        <v>4682</v>
      </c>
      <c r="E186" s="2043">
        <v>4545</v>
      </c>
      <c r="F186" s="2043">
        <f t="shared" si="12"/>
        <v>0</v>
      </c>
      <c r="G186" s="2043">
        <f t="shared" si="13"/>
        <v>0</v>
      </c>
      <c r="H186" s="2208">
        <v>0</v>
      </c>
      <c r="I186" s="2209">
        <v>0</v>
      </c>
      <c r="J186" s="2210">
        <v>0</v>
      </c>
      <c r="K186" s="2208">
        <v>0</v>
      </c>
      <c r="L186" s="2208">
        <v>0</v>
      </c>
      <c r="M186" s="2211">
        <v>0</v>
      </c>
      <c r="N186" s="2212">
        <v>0</v>
      </c>
      <c r="O186" s="1118">
        <f t="shared" si="15"/>
        <v>0</v>
      </c>
      <c r="P186" s="2213">
        <f t="shared" si="14"/>
        <v>0</v>
      </c>
    </row>
    <row r="187" spans="1:16" ht="14.5">
      <c r="A187" s="2042" t="s">
        <v>5285</v>
      </c>
      <c r="B187" s="380" t="str">
        <f t="shared" si="11"/>
        <v>229-903</v>
      </c>
      <c r="C187" s="2042" t="s">
        <v>1809</v>
      </c>
      <c r="D187" s="2043">
        <v>1369</v>
      </c>
      <c r="E187" s="2043">
        <v>1236</v>
      </c>
      <c r="F187" s="2043">
        <f t="shared" si="12"/>
        <v>0</v>
      </c>
      <c r="G187" s="2043">
        <f t="shared" si="13"/>
        <v>0</v>
      </c>
      <c r="H187" s="2208">
        <v>0</v>
      </c>
      <c r="I187" s="2209">
        <v>0</v>
      </c>
      <c r="J187" s="2210">
        <v>0</v>
      </c>
      <c r="K187" s="2208">
        <v>0</v>
      </c>
      <c r="L187" s="2208">
        <v>0</v>
      </c>
      <c r="M187" s="2211">
        <v>0</v>
      </c>
      <c r="N187" s="2212">
        <v>0</v>
      </c>
      <c r="O187" s="1118">
        <f t="shared" si="15"/>
        <v>0</v>
      </c>
      <c r="P187" s="2213">
        <f t="shared" si="14"/>
        <v>0</v>
      </c>
    </row>
    <row r="188" spans="1:16" ht="14.5">
      <c r="A188" s="2042" t="s">
        <v>3251</v>
      </c>
      <c r="B188" s="380" t="str">
        <f t="shared" si="11"/>
        <v>243-901</v>
      </c>
      <c r="C188" s="2042" t="s">
        <v>1363</v>
      </c>
      <c r="D188" s="2043">
        <v>3332</v>
      </c>
      <c r="E188" s="2043">
        <v>3199</v>
      </c>
      <c r="F188" s="2043">
        <f t="shared" si="12"/>
        <v>0</v>
      </c>
      <c r="G188" s="2043">
        <f t="shared" si="13"/>
        <v>0</v>
      </c>
      <c r="H188" s="2208">
        <v>0</v>
      </c>
      <c r="I188" s="2209">
        <v>0</v>
      </c>
      <c r="J188" s="2210">
        <v>0</v>
      </c>
      <c r="K188" s="2208">
        <v>0</v>
      </c>
      <c r="L188" s="2208">
        <v>0</v>
      </c>
      <c r="M188" s="2211">
        <v>0</v>
      </c>
      <c r="N188" s="2212">
        <v>0</v>
      </c>
      <c r="O188" s="1118">
        <f t="shared" si="15"/>
        <v>0</v>
      </c>
      <c r="P188" s="2213">
        <f t="shared" si="14"/>
        <v>0</v>
      </c>
    </row>
    <row r="189" spans="1:16" ht="14.5">
      <c r="A189" s="2042" t="s">
        <v>5158</v>
      </c>
      <c r="B189" s="380" t="str">
        <f t="shared" si="11"/>
        <v>149-902</v>
      </c>
      <c r="C189" s="2042" t="s">
        <v>517</v>
      </c>
      <c r="D189" s="2043">
        <v>702</v>
      </c>
      <c r="E189" s="2043">
        <v>570</v>
      </c>
      <c r="F189" s="2043">
        <f t="shared" si="12"/>
        <v>0</v>
      </c>
      <c r="G189" s="2043">
        <f t="shared" si="13"/>
        <v>0</v>
      </c>
      <c r="H189" s="2208">
        <v>0</v>
      </c>
      <c r="I189" s="2209">
        <v>0</v>
      </c>
      <c r="J189" s="2210">
        <v>0</v>
      </c>
      <c r="K189" s="2208">
        <v>0</v>
      </c>
      <c r="L189" s="2208">
        <v>0</v>
      </c>
      <c r="M189" s="2211">
        <v>0</v>
      </c>
      <c r="N189" s="2212">
        <v>0</v>
      </c>
      <c r="O189" s="1118">
        <f t="shared" si="15"/>
        <v>0</v>
      </c>
      <c r="P189" s="2213">
        <f t="shared" si="14"/>
        <v>0</v>
      </c>
    </row>
    <row r="190" spans="1:16" ht="14.5">
      <c r="A190" s="2042" t="s">
        <v>5798</v>
      </c>
      <c r="B190" s="380" t="str">
        <f t="shared" si="11"/>
        <v>075-902</v>
      </c>
      <c r="C190" s="2042" t="s">
        <v>435</v>
      </c>
      <c r="D190" s="2043">
        <v>2008</v>
      </c>
      <c r="E190" s="2043">
        <v>1876</v>
      </c>
      <c r="F190" s="2043">
        <f t="shared" si="12"/>
        <v>0</v>
      </c>
      <c r="G190" s="2043">
        <f t="shared" si="13"/>
        <v>0</v>
      </c>
      <c r="H190" s="2208">
        <v>0</v>
      </c>
      <c r="I190" s="2209">
        <v>0</v>
      </c>
      <c r="J190" s="2210">
        <v>0</v>
      </c>
      <c r="K190" s="2208">
        <v>0</v>
      </c>
      <c r="L190" s="2208">
        <v>0</v>
      </c>
      <c r="M190" s="2211">
        <v>0</v>
      </c>
      <c r="N190" s="2212">
        <v>0</v>
      </c>
      <c r="O190" s="1118">
        <f t="shared" si="15"/>
        <v>0</v>
      </c>
      <c r="P190" s="2213">
        <f t="shared" si="14"/>
        <v>0</v>
      </c>
    </row>
    <row r="191" spans="1:16" ht="14.5">
      <c r="A191" s="2042" t="s">
        <v>2969</v>
      </c>
      <c r="B191" s="380" t="str">
        <f t="shared" si="11"/>
        <v>062-903</v>
      </c>
      <c r="C191" s="2042" t="s">
        <v>2073</v>
      </c>
      <c r="D191" s="2043">
        <v>1626</v>
      </c>
      <c r="E191" s="2043">
        <v>1495</v>
      </c>
      <c r="F191" s="2043">
        <f t="shared" si="12"/>
        <v>0</v>
      </c>
      <c r="G191" s="2043">
        <f t="shared" si="13"/>
        <v>0</v>
      </c>
      <c r="H191" s="2208">
        <v>0</v>
      </c>
      <c r="I191" s="2209">
        <v>0</v>
      </c>
      <c r="J191" s="2210">
        <v>0</v>
      </c>
      <c r="K191" s="2208">
        <v>0</v>
      </c>
      <c r="L191" s="2208">
        <v>0</v>
      </c>
      <c r="M191" s="2211">
        <v>0</v>
      </c>
      <c r="N191" s="2212">
        <v>0</v>
      </c>
      <c r="O191" s="1118">
        <f t="shared" si="15"/>
        <v>0</v>
      </c>
      <c r="P191" s="2213">
        <f t="shared" si="14"/>
        <v>0</v>
      </c>
    </row>
    <row r="192" spans="1:16" ht="14.5">
      <c r="A192" s="2042" t="s">
        <v>2860</v>
      </c>
      <c r="B192" s="380" t="str">
        <f t="shared" si="11"/>
        <v>009-901</v>
      </c>
      <c r="C192" s="2042" t="s">
        <v>1133</v>
      </c>
      <c r="D192" s="2043">
        <v>1468</v>
      </c>
      <c r="E192" s="2043">
        <v>1337</v>
      </c>
      <c r="F192" s="2043">
        <f t="shared" si="12"/>
        <v>0</v>
      </c>
      <c r="G192" s="2043">
        <f t="shared" si="13"/>
        <v>0</v>
      </c>
      <c r="H192" s="2208">
        <v>0</v>
      </c>
      <c r="I192" s="2209">
        <v>0</v>
      </c>
      <c r="J192" s="2210">
        <v>0</v>
      </c>
      <c r="K192" s="2208">
        <v>0</v>
      </c>
      <c r="L192" s="2208">
        <v>0</v>
      </c>
      <c r="M192" s="2211">
        <v>0</v>
      </c>
      <c r="N192" s="2212">
        <v>0</v>
      </c>
      <c r="O192" s="1118">
        <f t="shared" si="15"/>
        <v>0</v>
      </c>
      <c r="P192" s="2213">
        <f t="shared" si="14"/>
        <v>0</v>
      </c>
    </row>
    <row r="193" spans="1:16" ht="14.5">
      <c r="A193" s="2042" t="s">
        <v>5284</v>
      </c>
      <c r="B193" s="380" t="str">
        <f t="shared" si="11"/>
        <v>228-903</v>
      </c>
      <c r="C193" s="2042" t="s">
        <v>1807</v>
      </c>
      <c r="D193" s="2043">
        <v>1290</v>
      </c>
      <c r="E193" s="2043">
        <v>1161</v>
      </c>
      <c r="F193" s="2043">
        <f t="shared" si="12"/>
        <v>0</v>
      </c>
      <c r="G193" s="2043">
        <f t="shared" si="13"/>
        <v>0</v>
      </c>
      <c r="H193" s="2208">
        <v>0</v>
      </c>
      <c r="I193" s="2209">
        <v>0</v>
      </c>
      <c r="J193" s="2210">
        <v>0</v>
      </c>
      <c r="K193" s="2208">
        <v>0</v>
      </c>
      <c r="L193" s="2208">
        <v>0</v>
      </c>
      <c r="M193" s="2211">
        <v>0</v>
      </c>
      <c r="N193" s="2212">
        <v>0</v>
      </c>
      <c r="O193" s="1118">
        <f t="shared" si="15"/>
        <v>0</v>
      </c>
      <c r="P193" s="2213">
        <f t="shared" si="14"/>
        <v>0</v>
      </c>
    </row>
    <row r="194" spans="1:16" ht="14.5">
      <c r="A194" s="2042" t="s">
        <v>4956</v>
      </c>
      <c r="B194" s="380" t="str">
        <f t="shared" si="11"/>
        <v>032-902</v>
      </c>
      <c r="C194" s="2042" t="s">
        <v>1513</v>
      </c>
      <c r="D194" s="2043">
        <v>2476</v>
      </c>
      <c r="E194" s="2043">
        <v>2347</v>
      </c>
      <c r="F194" s="2043">
        <f t="shared" si="12"/>
        <v>0</v>
      </c>
      <c r="G194" s="2043">
        <f t="shared" si="13"/>
        <v>0</v>
      </c>
      <c r="H194" s="2208">
        <v>0</v>
      </c>
      <c r="I194" s="2209">
        <v>0</v>
      </c>
      <c r="J194" s="2210">
        <v>0</v>
      </c>
      <c r="K194" s="2208">
        <v>0</v>
      </c>
      <c r="L194" s="2208">
        <v>0</v>
      </c>
      <c r="M194" s="2211">
        <v>0</v>
      </c>
      <c r="N194" s="2212">
        <v>0</v>
      </c>
      <c r="O194" s="1118">
        <f t="shared" si="15"/>
        <v>0</v>
      </c>
      <c r="P194" s="2213">
        <f t="shared" si="14"/>
        <v>0</v>
      </c>
    </row>
    <row r="195" spans="1:16" ht="14.5">
      <c r="A195" s="2042" t="s">
        <v>2852</v>
      </c>
      <c r="B195" s="380" t="str">
        <f t="shared" ref="B195:B258" si="16">CONCATENATE(LEFT(RIGHT(CONCATENATE("000",A195),6),3),"-",(RIGHT(RIGHT(CONCATENATE("000",A195),6),3)))</f>
        <v>003-904</v>
      </c>
      <c r="C195" s="2042" t="s">
        <v>1192</v>
      </c>
      <c r="D195" s="2043">
        <v>1700</v>
      </c>
      <c r="E195" s="2043">
        <v>1572</v>
      </c>
      <c r="F195" s="2043">
        <f t="shared" ref="F195:F258" si="17">MAX(0,E195-D195)</f>
        <v>0</v>
      </c>
      <c r="G195" s="2043">
        <f t="shared" ref="G195:G258" si="18">MAX(0,F195-250)</f>
        <v>0</v>
      </c>
      <c r="H195" s="2208">
        <v>0</v>
      </c>
      <c r="I195" s="2209">
        <v>0</v>
      </c>
      <c r="J195" s="2210">
        <v>0</v>
      </c>
      <c r="K195" s="2208">
        <v>0</v>
      </c>
      <c r="L195" s="2208">
        <v>0</v>
      </c>
      <c r="M195" s="2211">
        <v>0</v>
      </c>
      <c r="N195" s="2212">
        <v>0</v>
      </c>
      <c r="O195" s="1118">
        <f t="shared" si="15"/>
        <v>0</v>
      </c>
      <c r="P195" s="2213">
        <f t="shared" ref="P195:P258" si="19">(40000000/$O$1022)*O195</f>
        <v>0</v>
      </c>
    </row>
    <row r="196" spans="1:16" ht="14.5">
      <c r="A196" s="2042" t="s">
        <v>2964</v>
      </c>
      <c r="B196" s="380" t="str">
        <f t="shared" si="16"/>
        <v>061-908</v>
      </c>
      <c r="C196" s="2042" t="s">
        <v>1947</v>
      </c>
      <c r="D196" s="2043">
        <v>2696</v>
      </c>
      <c r="E196" s="2043">
        <v>2569</v>
      </c>
      <c r="F196" s="2043">
        <f t="shared" si="17"/>
        <v>0</v>
      </c>
      <c r="G196" s="2043">
        <f t="shared" si="18"/>
        <v>0</v>
      </c>
      <c r="H196" s="2208">
        <v>0</v>
      </c>
      <c r="I196" s="2209">
        <v>0</v>
      </c>
      <c r="J196" s="2210">
        <v>0</v>
      </c>
      <c r="K196" s="2208">
        <v>0</v>
      </c>
      <c r="L196" s="2208">
        <v>0</v>
      </c>
      <c r="M196" s="2211">
        <v>0</v>
      </c>
      <c r="N196" s="2212">
        <v>0</v>
      </c>
      <c r="O196" s="1118">
        <f t="shared" si="15"/>
        <v>0</v>
      </c>
      <c r="P196" s="2213">
        <f t="shared" si="19"/>
        <v>0</v>
      </c>
    </row>
    <row r="197" spans="1:16" ht="14.5">
      <c r="A197" s="2042" t="s">
        <v>3189</v>
      </c>
      <c r="B197" s="380" t="str">
        <f t="shared" si="16"/>
        <v>202-905</v>
      </c>
      <c r="C197" s="2042" t="s">
        <v>1440</v>
      </c>
      <c r="D197" s="2043">
        <v>696</v>
      </c>
      <c r="E197" s="2043">
        <v>569</v>
      </c>
      <c r="F197" s="2043">
        <f t="shared" si="17"/>
        <v>0</v>
      </c>
      <c r="G197" s="2043">
        <f t="shared" si="18"/>
        <v>0</v>
      </c>
      <c r="H197" s="2208">
        <v>0</v>
      </c>
      <c r="I197" s="2209">
        <v>0</v>
      </c>
      <c r="J197" s="2210">
        <v>0</v>
      </c>
      <c r="K197" s="2208">
        <v>0</v>
      </c>
      <c r="L197" s="2208">
        <v>0</v>
      </c>
      <c r="M197" s="2211">
        <v>0</v>
      </c>
      <c r="N197" s="2212">
        <v>0</v>
      </c>
      <c r="O197" s="1118">
        <f t="shared" si="15"/>
        <v>0</v>
      </c>
      <c r="P197" s="2213">
        <f t="shared" si="19"/>
        <v>0</v>
      </c>
    </row>
    <row r="198" spans="1:16" ht="14.5">
      <c r="A198" s="2042" t="s">
        <v>4985</v>
      </c>
      <c r="B198" s="380" t="str">
        <f t="shared" si="16"/>
        <v>056-901</v>
      </c>
      <c r="C198" s="2042" t="s">
        <v>114</v>
      </c>
      <c r="D198" s="2043">
        <v>1758</v>
      </c>
      <c r="E198" s="2043">
        <v>1632</v>
      </c>
      <c r="F198" s="2043">
        <f t="shared" si="17"/>
        <v>0</v>
      </c>
      <c r="G198" s="2043">
        <f t="shared" si="18"/>
        <v>0</v>
      </c>
      <c r="H198" s="2208">
        <v>0</v>
      </c>
      <c r="I198" s="2209">
        <v>0</v>
      </c>
      <c r="J198" s="2210">
        <v>0</v>
      </c>
      <c r="K198" s="2208">
        <v>0</v>
      </c>
      <c r="L198" s="2208">
        <v>0</v>
      </c>
      <c r="M198" s="2211">
        <v>0</v>
      </c>
      <c r="N198" s="2212">
        <v>0</v>
      </c>
      <c r="O198" s="1118">
        <f t="shared" si="15"/>
        <v>0</v>
      </c>
      <c r="P198" s="2213">
        <f t="shared" si="19"/>
        <v>0</v>
      </c>
    </row>
    <row r="199" spans="1:16" ht="14.5">
      <c r="A199" s="2042" t="s">
        <v>5022</v>
      </c>
      <c r="B199" s="380" t="str">
        <f t="shared" si="16"/>
        <v>081-902</v>
      </c>
      <c r="C199" s="2042" t="s">
        <v>808</v>
      </c>
      <c r="D199" s="2043">
        <v>1828</v>
      </c>
      <c r="E199" s="2043">
        <v>1703</v>
      </c>
      <c r="F199" s="2043">
        <f t="shared" si="17"/>
        <v>0</v>
      </c>
      <c r="G199" s="2043">
        <f t="shared" si="18"/>
        <v>0</v>
      </c>
      <c r="H199" s="2208">
        <v>0</v>
      </c>
      <c r="I199" s="2209">
        <v>0</v>
      </c>
      <c r="J199" s="2210">
        <v>0</v>
      </c>
      <c r="K199" s="2208">
        <v>0</v>
      </c>
      <c r="L199" s="2208">
        <v>0</v>
      </c>
      <c r="M199" s="2211">
        <v>0</v>
      </c>
      <c r="N199" s="2212">
        <v>0</v>
      </c>
      <c r="O199" s="1118">
        <f t="shared" si="15"/>
        <v>0</v>
      </c>
      <c r="P199" s="2213">
        <f t="shared" si="19"/>
        <v>0</v>
      </c>
    </row>
    <row r="200" spans="1:16" ht="14.5">
      <c r="A200" s="2042" t="s">
        <v>3140</v>
      </c>
      <c r="B200" s="380" t="str">
        <f t="shared" si="16"/>
        <v>166-901</v>
      </c>
      <c r="C200" s="2042" t="s">
        <v>611</v>
      </c>
      <c r="D200" s="2043">
        <v>1755</v>
      </c>
      <c r="E200" s="2043">
        <v>1631</v>
      </c>
      <c r="F200" s="2043">
        <f t="shared" si="17"/>
        <v>0</v>
      </c>
      <c r="G200" s="2043">
        <f t="shared" si="18"/>
        <v>0</v>
      </c>
      <c r="H200" s="2208">
        <v>0</v>
      </c>
      <c r="I200" s="2209">
        <v>0</v>
      </c>
      <c r="J200" s="2210">
        <v>0</v>
      </c>
      <c r="K200" s="2208">
        <v>0</v>
      </c>
      <c r="L200" s="2208">
        <v>0</v>
      </c>
      <c r="M200" s="2211">
        <v>0</v>
      </c>
      <c r="N200" s="2212">
        <v>0</v>
      </c>
      <c r="O200" s="1118">
        <f t="shared" si="15"/>
        <v>0</v>
      </c>
      <c r="P200" s="2213">
        <f t="shared" si="19"/>
        <v>0</v>
      </c>
    </row>
    <row r="201" spans="1:16" ht="14.5">
      <c r="A201" s="2042" t="s">
        <v>5087</v>
      </c>
      <c r="B201" s="380" t="str">
        <f t="shared" si="16"/>
        <v>107-902</v>
      </c>
      <c r="C201" s="2042" t="s">
        <v>1274</v>
      </c>
      <c r="D201" s="2043">
        <v>2717</v>
      </c>
      <c r="E201" s="2043">
        <v>2593</v>
      </c>
      <c r="F201" s="2043">
        <f t="shared" si="17"/>
        <v>0</v>
      </c>
      <c r="G201" s="2043">
        <f t="shared" si="18"/>
        <v>0</v>
      </c>
      <c r="H201" s="2208">
        <v>0</v>
      </c>
      <c r="I201" s="2209">
        <v>0</v>
      </c>
      <c r="J201" s="2210">
        <v>0</v>
      </c>
      <c r="K201" s="2208">
        <v>0</v>
      </c>
      <c r="L201" s="2208">
        <v>0</v>
      </c>
      <c r="M201" s="2211">
        <v>0</v>
      </c>
      <c r="N201" s="2212">
        <v>0</v>
      </c>
      <c r="O201" s="1118">
        <f t="shared" si="15"/>
        <v>0</v>
      </c>
      <c r="P201" s="2213">
        <f t="shared" si="19"/>
        <v>0</v>
      </c>
    </row>
    <row r="202" spans="1:16" ht="14.5">
      <c r="A202" s="2042" t="s">
        <v>3168</v>
      </c>
      <c r="B202" s="380" t="str">
        <f t="shared" si="16"/>
        <v>182-903</v>
      </c>
      <c r="C202" s="2042" t="s">
        <v>2117</v>
      </c>
      <c r="D202" s="2043">
        <v>3239</v>
      </c>
      <c r="E202" s="2043">
        <v>3116</v>
      </c>
      <c r="F202" s="2043">
        <f t="shared" si="17"/>
        <v>0</v>
      </c>
      <c r="G202" s="2043">
        <f t="shared" si="18"/>
        <v>0</v>
      </c>
      <c r="H202" s="2208">
        <v>0</v>
      </c>
      <c r="I202" s="2209">
        <v>0</v>
      </c>
      <c r="J202" s="2210">
        <v>0</v>
      </c>
      <c r="K202" s="2208">
        <v>0</v>
      </c>
      <c r="L202" s="2208">
        <v>0</v>
      </c>
      <c r="M202" s="2211">
        <v>0</v>
      </c>
      <c r="N202" s="2212">
        <v>0</v>
      </c>
      <c r="O202" s="1118">
        <f t="shared" si="15"/>
        <v>0</v>
      </c>
      <c r="P202" s="2213">
        <f t="shared" si="19"/>
        <v>0</v>
      </c>
    </row>
    <row r="203" spans="1:16" ht="14.5">
      <c r="A203" s="2042" t="s">
        <v>3050</v>
      </c>
      <c r="B203" s="380" t="str">
        <f t="shared" si="16"/>
        <v>109-904</v>
      </c>
      <c r="C203" s="2042" t="s">
        <v>2243</v>
      </c>
      <c r="D203" s="2043">
        <v>1999</v>
      </c>
      <c r="E203" s="2043">
        <v>1876</v>
      </c>
      <c r="F203" s="2043">
        <f t="shared" si="17"/>
        <v>0</v>
      </c>
      <c r="G203" s="2043">
        <f t="shared" si="18"/>
        <v>0</v>
      </c>
      <c r="H203" s="2208">
        <v>0</v>
      </c>
      <c r="I203" s="2209">
        <v>0</v>
      </c>
      <c r="J203" s="2210">
        <v>0</v>
      </c>
      <c r="K203" s="2208">
        <v>0</v>
      </c>
      <c r="L203" s="2208">
        <v>0</v>
      </c>
      <c r="M203" s="2211">
        <v>0</v>
      </c>
      <c r="N203" s="2212">
        <v>0</v>
      </c>
      <c r="O203" s="1118">
        <f t="shared" si="15"/>
        <v>0</v>
      </c>
      <c r="P203" s="2213">
        <f t="shared" si="19"/>
        <v>0</v>
      </c>
    </row>
    <row r="204" spans="1:16" ht="14.5">
      <c r="A204" s="2042" t="s">
        <v>4961</v>
      </c>
      <c r="B204" s="380" t="str">
        <f t="shared" si="16"/>
        <v>034-903</v>
      </c>
      <c r="C204" s="2042" t="s">
        <v>2051</v>
      </c>
      <c r="D204" s="2043">
        <v>1243</v>
      </c>
      <c r="E204" s="2043">
        <v>1121</v>
      </c>
      <c r="F204" s="2043">
        <f t="shared" si="17"/>
        <v>0</v>
      </c>
      <c r="G204" s="2043">
        <f t="shared" si="18"/>
        <v>0</v>
      </c>
      <c r="H204" s="2208">
        <v>0</v>
      </c>
      <c r="I204" s="2209">
        <v>0</v>
      </c>
      <c r="J204" s="2210">
        <v>0</v>
      </c>
      <c r="K204" s="2208">
        <v>0</v>
      </c>
      <c r="L204" s="2208">
        <v>0</v>
      </c>
      <c r="M204" s="2211">
        <v>0</v>
      </c>
      <c r="N204" s="2212">
        <v>0</v>
      </c>
      <c r="O204" s="1118">
        <f t="shared" si="15"/>
        <v>0</v>
      </c>
      <c r="P204" s="2213">
        <f t="shared" si="19"/>
        <v>0</v>
      </c>
    </row>
    <row r="205" spans="1:16" ht="14.5">
      <c r="A205" s="2042" t="s">
        <v>4923</v>
      </c>
      <c r="B205" s="380" t="str">
        <f t="shared" si="16"/>
        <v>003-906</v>
      </c>
      <c r="C205" s="2042" t="s">
        <v>1122</v>
      </c>
      <c r="D205" s="2043">
        <v>420</v>
      </c>
      <c r="E205" s="2043">
        <v>300</v>
      </c>
      <c r="F205" s="2043">
        <f t="shared" si="17"/>
        <v>0</v>
      </c>
      <c r="G205" s="2043">
        <f t="shared" si="18"/>
        <v>0</v>
      </c>
      <c r="H205" s="2208">
        <v>0</v>
      </c>
      <c r="I205" s="2209">
        <v>0</v>
      </c>
      <c r="J205" s="2210">
        <v>0</v>
      </c>
      <c r="K205" s="2208">
        <v>0</v>
      </c>
      <c r="L205" s="2208">
        <v>0</v>
      </c>
      <c r="M205" s="2211">
        <v>0</v>
      </c>
      <c r="N205" s="2212">
        <v>0</v>
      </c>
      <c r="O205" s="1118">
        <f t="shared" si="15"/>
        <v>0</v>
      </c>
      <c r="P205" s="2213">
        <f t="shared" si="19"/>
        <v>0</v>
      </c>
    </row>
    <row r="206" spans="1:16" ht="14.5">
      <c r="A206" s="2042" t="s">
        <v>5171</v>
      </c>
      <c r="B206" s="380" t="str">
        <f t="shared" si="16"/>
        <v>158-905</v>
      </c>
      <c r="C206" s="2042" t="s">
        <v>1650</v>
      </c>
      <c r="D206" s="2043">
        <v>1435</v>
      </c>
      <c r="E206" s="2043">
        <v>1316</v>
      </c>
      <c r="F206" s="2043">
        <f t="shared" si="17"/>
        <v>0</v>
      </c>
      <c r="G206" s="2043">
        <f t="shared" si="18"/>
        <v>0</v>
      </c>
      <c r="H206" s="2208">
        <v>0</v>
      </c>
      <c r="I206" s="2209">
        <v>0</v>
      </c>
      <c r="J206" s="2210">
        <v>0</v>
      </c>
      <c r="K206" s="2208">
        <v>0</v>
      </c>
      <c r="L206" s="2208">
        <v>0</v>
      </c>
      <c r="M206" s="2211">
        <v>0</v>
      </c>
      <c r="N206" s="2212">
        <v>0</v>
      </c>
      <c r="O206" s="1118">
        <f t="shared" si="15"/>
        <v>0</v>
      </c>
      <c r="P206" s="2213">
        <f t="shared" si="19"/>
        <v>0</v>
      </c>
    </row>
    <row r="207" spans="1:16" ht="14.5">
      <c r="A207" s="2042" t="s">
        <v>5779</v>
      </c>
      <c r="B207" s="380" t="str">
        <f t="shared" si="16"/>
        <v>054-903</v>
      </c>
      <c r="C207" s="2042" t="s">
        <v>624</v>
      </c>
      <c r="D207" s="2043">
        <v>581</v>
      </c>
      <c r="E207" s="2043">
        <v>462</v>
      </c>
      <c r="F207" s="2043">
        <f t="shared" si="17"/>
        <v>0</v>
      </c>
      <c r="G207" s="2043">
        <f t="shared" si="18"/>
        <v>0</v>
      </c>
      <c r="H207" s="2208">
        <v>0</v>
      </c>
      <c r="I207" s="2209">
        <v>0</v>
      </c>
      <c r="J207" s="2210">
        <v>0</v>
      </c>
      <c r="K207" s="2208">
        <v>0</v>
      </c>
      <c r="L207" s="2208">
        <v>0</v>
      </c>
      <c r="M207" s="2211">
        <v>0</v>
      </c>
      <c r="N207" s="2212">
        <v>0</v>
      </c>
      <c r="O207" s="1118">
        <f t="shared" si="15"/>
        <v>0</v>
      </c>
      <c r="P207" s="2213">
        <f t="shared" si="19"/>
        <v>0</v>
      </c>
    </row>
    <row r="208" spans="1:16" ht="14.5">
      <c r="A208" s="2042" t="s">
        <v>5188</v>
      </c>
      <c r="B208" s="380" t="str">
        <f t="shared" si="16"/>
        <v>172-905</v>
      </c>
      <c r="C208" s="2042" t="s">
        <v>2484</v>
      </c>
      <c r="D208" s="2043">
        <v>979</v>
      </c>
      <c r="E208" s="2043">
        <v>861</v>
      </c>
      <c r="F208" s="2043">
        <f t="shared" si="17"/>
        <v>0</v>
      </c>
      <c r="G208" s="2043">
        <f t="shared" si="18"/>
        <v>0</v>
      </c>
      <c r="H208" s="2208">
        <v>0</v>
      </c>
      <c r="I208" s="2209">
        <v>0</v>
      </c>
      <c r="J208" s="2210">
        <v>0</v>
      </c>
      <c r="K208" s="2208">
        <v>0</v>
      </c>
      <c r="L208" s="2208">
        <v>0</v>
      </c>
      <c r="M208" s="2211">
        <v>0</v>
      </c>
      <c r="N208" s="2212">
        <v>0</v>
      </c>
      <c r="O208" s="1118">
        <f t="shared" si="15"/>
        <v>0</v>
      </c>
      <c r="P208" s="2213">
        <f t="shared" si="19"/>
        <v>0</v>
      </c>
    </row>
    <row r="209" spans="1:16" ht="14.5">
      <c r="A209" s="2042" t="s">
        <v>5114</v>
      </c>
      <c r="B209" s="380" t="str">
        <f t="shared" si="16"/>
        <v>121-906</v>
      </c>
      <c r="C209" s="2042" t="s">
        <v>2360</v>
      </c>
      <c r="D209" s="2043">
        <v>503</v>
      </c>
      <c r="E209" s="2043">
        <v>389</v>
      </c>
      <c r="F209" s="2043">
        <f t="shared" si="17"/>
        <v>0</v>
      </c>
      <c r="G209" s="2043">
        <f t="shared" si="18"/>
        <v>0</v>
      </c>
      <c r="H209" s="2208">
        <v>0</v>
      </c>
      <c r="I209" s="2209">
        <v>0</v>
      </c>
      <c r="J209" s="2210">
        <v>0</v>
      </c>
      <c r="K209" s="2208">
        <v>0</v>
      </c>
      <c r="L209" s="2208">
        <v>0</v>
      </c>
      <c r="M209" s="2211">
        <v>0</v>
      </c>
      <c r="N209" s="2212">
        <v>0</v>
      </c>
      <c r="O209" s="1118">
        <f t="shared" si="15"/>
        <v>0</v>
      </c>
      <c r="P209" s="2213">
        <f t="shared" si="19"/>
        <v>0</v>
      </c>
    </row>
    <row r="210" spans="1:16" ht="14.5">
      <c r="A210" s="2042" t="s">
        <v>5077</v>
      </c>
      <c r="B210" s="380" t="str">
        <f t="shared" si="16"/>
        <v>102-904</v>
      </c>
      <c r="C210" s="2042" t="s">
        <v>1961</v>
      </c>
      <c r="D210" s="2043">
        <v>4929</v>
      </c>
      <c r="E210" s="2043">
        <v>4817</v>
      </c>
      <c r="F210" s="2043">
        <f t="shared" si="17"/>
        <v>0</v>
      </c>
      <c r="G210" s="2043">
        <f t="shared" si="18"/>
        <v>0</v>
      </c>
      <c r="H210" s="2208">
        <v>0</v>
      </c>
      <c r="I210" s="2209">
        <v>0</v>
      </c>
      <c r="J210" s="2210">
        <v>0</v>
      </c>
      <c r="K210" s="2208">
        <v>0</v>
      </c>
      <c r="L210" s="2208">
        <v>0</v>
      </c>
      <c r="M210" s="2211">
        <v>0</v>
      </c>
      <c r="N210" s="2212">
        <v>2857024</v>
      </c>
      <c r="O210" s="1118">
        <f t="shared" si="15"/>
        <v>2857024</v>
      </c>
      <c r="P210" s="2213">
        <f t="shared" si="19"/>
        <v>769249.39297634084</v>
      </c>
    </row>
    <row r="211" spans="1:16" ht="14.5">
      <c r="A211" s="2042" t="s">
        <v>5179</v>
      </c>
      <c r="B211" s="380" t="str">
        <f t="shared" si="16"/>
        <v>168-901</v>
      </c>
      <c r="C211" s="2042" t="s">
        <v>1667</v>
      </c>
      <c r="D211" s="2043">
        <v>1013</v>
      </c>
      <c r="E211" s="2043">
        <v>901</v>
      </c>
      <c r="F211" s="2043">
        <f t="shared" si="17"/>
        <v>0</v>
      </c>
      <c r="G211" s="2043">
        <f t="shared" si="18"/>
        <v>0</v>
      </c>
      <c r="H211" s="2208">
        <v>0</v>
      </c>
      <c r="I211" s="2209">
        <v>0</v>
      </c>
      <c r="J211" s="2210">
        <v>0</v>
      </c>
      <c r="K211" s="2208">
        <v>0</v>
      </c>
      <c r="L211" s="2208">
        <v>0</v>
      </c>
      <c r="M211" s="2211">
        <v>0</v>
      </c>
      <c r="N211" s="2212">
        <v>0</v>
      </c>
      <c r="O211" s="1118">
        <f t="shared" si="15"/>
        <v>0</v>
      </c>
      <c r="P211" s="2213">
        <f t="shared" si="19"/>
        <v>0</v>
      </c>
    </row>
    <row r="212" spans="1:16" ht="14.5">
      <c r="A212" s="2042" t="s">
        <v>2966</v>
      </c>
      <c r="B212" s="380" t="str">
        <f t="shared" si="16"/>
        <v>061-912</v>
      </c>
      <c r="C212" s="2042" t="s">
        <v>2176</v>
      </c>
      <c r="D212" s="2043">
        <v>3979</v>
      </c>
      <c r="E212" s="2043">
        <v>3871</v>
      </c>
      <c r="F212" s="2043">
        <f t="shared" si="17"/>
        <v>0</v>
      </c>
      <c r="G212" s="2043">
        <f t="shared" si="18"/>
        <v>0</v>
      </c>
      <c r="H212" s="2208">
        <v>0</v>
      </c>
      <c r="I212" s="2209">
        <v>0</v>
      </c>
      <c r="J212" s="2210">
        <v>0</v>
      </c>
      <c r="K212" s="2208">
        <v>0</v>
      </c>
      <c r="L212" s="2208">
        <v>0</v>
      </c>
      <c r="M212" s="2211">
        <v>0</v>
      </c>
      <c r="N212" s="2212">
        <v>0</v>
      </c>
      <c r="O212" s="1118">
        <f t="shared" si="15"/>
        <v>0</v>
      </c>
      <c r="P212" s="2213">
        <f t="shared" si="19"/>
        <v>0</v>
      </c>
    </row>
    <row r="213" spans="1:16" ht="14.5">
      <c r="A213" s="2042" t="s">
        <v>4947</v>
      </c>
      <c r="B213" s="380" t="str">
        <f t="shared" si="16"/>
        <v>022-901</v>
      </c>
      <c r="C213" s="2042" t="s">
        <v>2355</v>
      </c>
      <c r="D213" s="2043">
        <v>1082</v>
      </c>
      <c r="E213" s="2043">
        <v>974</v>
      </c>
      <c r="F213" s="2043">
        <f t="shared" si="17"/>
        <v>0</v>
      </c>
      <c r="G213" s="2043">
        <f t="shared" si="18"/>
        <v>0</v>
      </c>
      <c r="H213" s="2208">
        <v>0</v>
      </c>
      <c r="I213" s="2209">
        <v>0</v>
      </c>
      <c r="J213" s="2210">
        <v>0</v>
      </c>
      <c r="K213" s="2208">
        <v>0</v>
      </c>
      <c r="L213" s="2208">
        <v>0</v>
      </c>
      <c r="M213" s="2211">
        <v>0</v>
      </c>
      <c r="N213" s="2212">
        <v>0</v>
      </c>
      <c r="O213" s="1118">
        <f t="shared" si="15"/>
        <v>0</v>
      </c>
      <c r="P213" s="2213">
        <f t="shared" si="19"/>
        <v>0</v>
      </c>
    </row>
    <row r="214" spans="1:16" ht="14.5">
      <c r="A214" s="2042" t="s">
        <v>5281</v>
      </c>
      <c r="B214" s="380" t="str">
        <f t="shared" si="16"/>
        <v>227-909</v>
      </c>
      <c r="C214" s="2042" t="s">
        <v>1803</v>
      </c>
      <c r="D214" s="2043">
        <v>8075</v>
      </c>
      <c r="E214" s="2043">
        <v>7968</v>
      </c>
      <c r="F214" s="2043">
        <f t="shared" si="17"/>
        <v>0</v>
      </c>
      <c r="G214" s="2043">
        <f t="shared" si="18"/>
        <v>0</v>
      </c>
      <c r="H214" s="2208">
        <v>0</v>
      </c>
      <c r="I214" s="2209">
        <v>0</v>
      </c>
      <c r="J214" s="2210">
        <v>0</v>
      </c>
      <c r="K214" s="2208">
        <v>0</v>
      </c>
      <c r="L214" s="2208">
        <v>0</v>
      </c>
      <c r="M214" s="2211">
        <v>0</v>
      </c>
      <c r="N214" s="2212">
        <v>0</v>
      </c>
      <c r="O214" s="1118">
        <f t="shared" si="15"/>
        <v>0</v>
      </c>
      <c r="P214" s="2213">
        <f t="shared" si="19"/>
        <v>0</v>
      </c>
    </row>
    <row r="215" spans="1:16" ht="14.5">
      <c r="A215" s="2042" t="s">
        <v>5002</v>
      </c>
      <c r="B215" s="380" t="str">
        <f t="shared" si="16"/>
        <v>066-901</v>
      </c>
      <c r="C215" s="2042" t="s">
        <v>1853</v>
      </c>
      <c r="D215" s="2043">
        <v>361</v>
      </c>
      <c r="E215" s="2043">
        <v>255</v>
      </c>
      <c r="F215" s="2043">
        <f t="shared" si="17"/>
        <v>0</v>
      </c>
      <c r="G215" s="2043">
        <f t="shared" si="18"/>
        <v>0</v>
      </c>
      <c r="H215" s="2208">
        <v>0</v>
      </c>
      <c r="I215" s="2209">
        <v>0</v>
      </c>
      <c r="J215" s="2210">
        <v>0</v>
      </c>
      <c r="K215" s="2208">
        <v>0</v>
      </c>
      <c r="L215" s="2208">
        <v>0</v>
      </c>
      <c r="M215" s="2211">
        <v>0</v>
      </c>
      <c r="N215" s="2212">
        <v>0</v>
      </c>
      <c r="O215" s="1118">
        <f t="shared" si="15"/>
        <v>0</v>
      </c>
      <c r="P215" s="2213">
        <f t="shared" si="19"/>
        <v>0</v>
      </c>
    </row>
    <row r="216" spans="1:16" ht="14.5">
      <c r="A216" s="2042" t="s">
        <v>5026</v>
      </c>
      <c r="B216" s="380" t="str">
        <f t="shared" si="16"/>
        <v>083-901</v>
      </c>
      <c r="C216" s="2042" t="s">
        <v>812</v>
      </c>
      <c r="D216" s="2043">
        <v>615</v>
      </c>
      <c r="E216" s="2043">
        <v>510</v>
      </c>
      <c r="F216" s="2043">
        <f t="shared" si="17"/>
        <v>0</v>
      </c>
      <c r="G216" s="2043">
        <f t="shared" si="18"/>
        <v>0</v>
      </c>
      <c r="H216" s="2208">
        <v>0</v>
      </c>
      <c r="I216" s="2209">
        <v>0</v>
      </c>
      <c r="J216" s="2210">
        <v>0</v>
      </c>
      <c r="K216" s="2208">
        <v>0</v>
      </c>
      <c r="L216" s="2208">
        <v>0</v>
      </c>
      <c r="M216" s="2211">
        <v>0</v>
      </c>
      <c r="N216" s="2212">
        <v>0</v>
      </c>
      <c r="O216" s="1118">
        <f t="shared" si="15"/>
        <v>0</v>
      </c>
      <c r="P216" s="2213">
        <f t="shared" si="19"/>
        <v>0</v>
      </c>
    </row>
    <row r="217" spans="1:16" ht="14.5">
      <c r="A217" s="2042" t="s">
        <v>4948</v>
      </c>
      <c r="B217" s="380" t="str">
        <f t="shared" si="16"/>
        <v>024-901</v>
      </c>
      <c r="C217" s="2042" t="s">
        <v>1501</v>
      </c>
      <c r="D217" s="2043">
        <v>1542</v>
      </c>
      <c r="E217" s="2043">
        <v>1438</v>
      </c>
      <c r="F217" s="2043">
        <f t="shared" si="17"/>
        <v>0</v>
      </c>
      <c r="G217" s="2043">
        <f t="shared" si="18"/>
        <v>0</v>
      </c>
      <c r="H217" s="2208">
        <v>0</v>
      </c>
      <c r="I217" s="2209">
        <v>0</v>
      </c>
      <c r="J217" s="2210">
        <v>0</v>
      </c>
      <c r="K217" s="2208">
        <v>0</v>
      </c>
      <c r="L217" s="2208">
        <v>0</v>
      </c>
      <c r="M217" s="2211">
        <v>0</v>
      </c>
      <c r="N217" s="2212">
        <v>0</v>
      </c>
      <c r="O217" s="1118">
        <f t="shared" ref="O217:O280" si="20">IF(N217&gt;M217,N217-M217,0)</f>
        <v>0</v>
      </c>
      <c r="P217" s="2213">
        <f t="shared" si="19"/>
        <v>0</v>
      </c>
    </row>
    <row r="218" spans="1:16" ht="14.5">
      <c r="A218" s="2042" t="s">
        <v>5076</v>
      </c>
      <c r="B218" s="380" t="str">
        <f t="shared" si="16"/>
        <v>102-903</v>
      </c>
      <c r="C218" s="2042" t="s">
        <v>2072</v>
      </c>
      <c r="D218" s="2043">
        <v>928</v>
      </c>
      <c r="E218" s="2043">
        <v>824</v>
      </c>
      <c r="F218" s="2043">
        <f t="shared" si="17"/>
        <v>0</v>
      </c>
      <c r="G218" s="2043">
        <f t="shared" si="18"/>
        <v>0</v>
      </c>
      <c r="H218" s="2208">
        <v>0</v>
      </c>
      <c r="I218" s="2209">
        <v>0</v>
      </c>
      <c r="J218" s="2210">
        <v>0</v>
      </c>
      <c r="K218" s="2208">
        <v>0</v>
      </c>
      <c r="L218" s="2208">
        <v>0</v>
      </c>
      <c r="M218" s="2211">
        <v>0</v>
      </c>
      <c r="N218" s="2212">
        <v>0</v>
      </c>
      <c r="O218" s="1118">
        <f t="shared" si="20"/>
        <v>0</v>
      </c>
      <c r="P218" s="2213">
        <f t="shared" si="19"/>
        <v>0</v>
      </c>
    </row>
    <row r="219" spans="1:16" ht="14.5">
      <c r="A219" s="2042" t="s">
        <v>5870</v>
      </c>
      <c r="B219" s="380" t="str">
        <f t="shared" si="16"/>
        <v>200-901</v>
      </c>
      <c r="C219" s="2042" t="s">
        <v>1787</v>
      </c>
      <c r="D219" s="2043">
        <v>958</v>
      </c>
      <c r="E219" s="2043">
        <v>854</v>
      </c>
      <c r="F219" s="2043">
        <f t="shared" si="17"/>
        <v>0</v>
      </c>
      <c r="G219" s="2043">
        <f t="shared" si="18"/>
        <v>0</v>
      </c>
      <c r="H219" s="2208">
        <v>0</v>
      </c>
      <c r="I219" s="2209">
        <v>0</v>
      </c>
      <c r="J219" s="2210">
        <v>0</v>
      </c>
      <c r="K219" s="2208">
        <v>0</v>
      </c>
      <c r="L219" s="2208">
        <v>0</v>
      </c>
      <c r="M219" s="2211">
        <v>0</v>
      </c>
      <c r="N219" s="2212">
        <v>0</v>
      </c>
      <c r="O219" s="1118">
        <f t="shared" si="20"/>
        <v>0</v>
      </c>
      <c r="P219" s="2213">
        <f t="shared" si="19"/>
        <v>0</v>
      </c>
    </row>
    <row r="220" spans="1:16" ht="14.5">
      <c r="A220" s="2042" t="s">
        <v>5023</v>
      </c>
      <c r="B220" s="380" t="str">
        <f t="shared" si="16"/>
        <v>081-904</v>
      </c>
      <c r="C220" s="2042" t="s">
        <v>809</v>
      </c>
      <c r="D220" s="2043">
        <v>1267</v>
      </c>
      <c r="E220" s="2043">
        <v>1163</v>
      </c>
      <c r="F220" s="2043">
        <f t="shared" si="17"/>
        <v>0</v>
      </c>
      <c r="G220" s="2043">
        <f t="shared" si="18"/>
        <v>0</v>
      </c>
      <c r="H220" s="2208">
        <v>0</v>
      </c>
      <c r="I220" s="2209">
        <v>0</v>
      </c>
      <c r="J220" s="2210">
        <v>0</v>
      </c>
      <c r="K220" s="2208">
        <v>0</v>
      </c>
      <c r="L220" s="2208">
        <v>0</v>
      </c>
      <c r="M220" s="2211">
        <v>0</v>
      </c>
      <c r="N220" s="2212">
        <v>0</v>
      </c>
      <c r="O220" s="1118">
        <f t="shared" si="20"/>
        <v>0</v>
      </c>
      <c r="P220" s="2213">
        <f t="shared" si="19"/>
        <v>0</v>
      </c>
    </row>
    <row r="221" spans="1:16" ht="14.5">
      <c r="A221" s="2042" t="s">
        <v>5035</v>
      </c>
      <c r="B221" s="380" t="str">
        <f t="shared" si="16"/>
        <v>085-902</v>
      </c>
      <c r="C221" s="2042" t="s">
        <v>351</v>
      </c>
      <c r="D221" s="2043">
        <v>899</v>
      </c>
      <c r="E221" s="2043">
        <v>797</v>
      </c>
      <c r="F221" s="2043">
        <f t="shared" si="17"/>
        <v>0</v>
      </c>
      <c r="G221" s="2043">
        <f t="shared" si="18"/>
        <v>0</v>
      </c>
      <c r="H221" s="2208">
        <v>0</v>
      </c>
      <c r="I221" s="2209">
        <v>0</v>
      </c>
      <c r="J221" s="2210">
        <v>0</v>
      </c>
      <c r="K221" s="2208">
        <v>0</v>
      </c>
      <c r="L221" s="2208">
        <v>0</v>
      </c>
      <c r="M221" s="2211">
        <v>0</v>
      </c>
      <c r="N221" s="2212">
        <v>0</v>
      </c>
      <c r="O221" s="1118">
        <f t="shared" si="20"/>
        <v>0</v>
      </c>
      <c r="P221" s="2213">
        <f t="shared" si="19"/>
        <v>0</v>
      </c>
    </row>
    <row r="222" spans="1:16" ht="14.5">
      <c r="A222" s="2042" t="s">
        <v>3159</v>
      </c>
      <c r="B222" s="380" t="str">
        <f t="shared" si="16"/>
        <v>176-903</v>
      </c>
      <c r="C222" s="2042" t="s">
        <v>2523</v>
      </c>
      <c r="D222" s="2043">
        <v>636</v>
      </c>
      <c r="E222" s="2043">
        <v>534</v>
      </c>
      <c r="F222" s="2043">
        <f t="shared" si="17"/>
        <v>0</v>
      </c>
      <c r="G222" s="2043">
        <f t="shared" si="18"/>
        <v>0</v>
      </c>
      <c r="H222" s="2208">
        <v>0</v>
      </c>
      <c r="I222" s="2209">
        <v>0</v>
      </c>
      <c r="J222" s="2210">
        <v>0</v>
      </c>
      <c r="K222" s="2208">
        <v>0</v>
      </c>
      <c r="L222" s="2208">
        <v>0</v>
      </c>
      <c r="M222" s="2211">
        <v>0</v>
      </c>
      <c r="N222" s="2212">
        <v>0</v>
      </c>
      <c r="O222" s="1118">
        <f t="shared" si="20"/>
        <v>0</v>
      </c>
      <c r="P222" s="2213">
        <f t="shared" si="19"/>
        <v>0</v>
      </c>
    </row>
    <row r="223" spans="1:16" ht="14.5">
      <c r="A223" s="2042" t="s">
        <v>5177</v>
      </c>
      <c r="B223" s="380" t="str">
        <f t="shared" si="16"/>
        <v>166-904</v>
      </c>
      <c r="C223" s="2042" t="s">
        <v>1663</v>
      </c>
      <c r="D223" s="2043">
        <v>1552</v>
      </c>
      <c r="E223" s="2043">
        <v>1453</v>
      </c>
      <c r="F223" s="2043">
        <f t="shared" si="17"/>
        <v>0</v>
      </c>
      <c r="G223" s="2043">
        <f t="shared" si="18"/>
        <v>0</v>
      </c>
      <c r="H223" s="2208">
        <v>0</v>
      </c>
      <c r="I223" s="2209">
        <v>0</v>
      </c>
      <c r="J223" s="2210">
        <v>0</v>
      </c>
      <c r="K223" s="2208">
        <v>0</v>
      </c>
      <c r="L223" s="2208">
        <v>0</v>
      </c>
      <c r="M223" s="2211">
        <v>0</v>
      </c>
      <c r="N223" s="2212">
        <v>0</v>
      </c>
      <c r="O223" s="1118">
        <f t="shared" si="20"/>
        <v>0</v>
      </c>
      <c r="P223" s="2213">
        <f t="shared" si="19"/>
        <v>0</v>
      </c>
    </row>
    <row r="224" spans="1:16" ht="14.5">
      <c r="A224" s="2042" t="s">
        <v>5038</v>
      </c>
      <c r="B224" s="380" t="str">
        <f t="shared" si="16"/>
        <v>088-902</v>
      </c>
      <c r="C224" s="2042" t="s">
        <v>1690</v>
      </c>
      <c r="D224" s="2043">
        <v>1368</v>
      </c>
      <c r="E224" s="2043">
        <v>1271</v>
      </c>
      <c r="F224" s="2043">
        <f t="shared" si="17"/>
        <v>0</v>
      </c>
      <c r="G224" s="2043">
        <f t="shared" si="18"/>
        <v>0</v>
      </c>
      <c r="H224" s="2208">
        <v>0</v>
      </c>
      <c r="I224" s="2209">
        <v>0</v>
      </c>
      <c r="J224" s="2210">
        <v>0</v>
      </c>
      <c r="K224" s="2208">
        <v>0</v>
      </c>
      <c r="L224" s="2208">
        <v>0</v>
      </c>
      <c r="M224" s="2211">
        <v>0</v>
      </c>
      <c r="N224" s="2212">
        <v>0</v>
      </c>
      <c r="O224" s="1118">
        <f t="shared" si="20"/>
        <v>0</v>
      </c>
      <c r="P224" s="2213">
        <f t="shared" si="19"/>
        <v>0</v>
      </c>
    </row>
    <row r="225" spans="1:16" ht="14.5">
      <c r="A225" s="2042" t="s">
        <v>5049</v>
      </c>
      <c r="B225" s="380" t="str">
        <f t="shared" si="16"/>
        <v>092-901</v>
      </c>
      <c r="C225" s="2042" t="s">
        <v>209</v>
      </c>
      <c r="D225" s="2043">
        <v>1852</v>
      </c>
      <c r="E225" s="2043">
        <v>1755</v>
      </c>
      <c r="F225" s="2043">
        <f t="shared" si="17"/>
        <v>0</v>
      </c>
      <c r="G225" s="2043">
        <f t="shared" si="18"/>
        <v>0</v>
      </c>
      <c r="H225" s="2208">
        <v>0</v>
      </c>
      <c r="I225" s="2209">
        <v>0</v>
      </c>
      <c r="J225" s="2210">
        <v>0</v>
      </c>
      <c r="K225" s="2208">
        <v>0</v>
      </c>
      <c r="L225" s="2208">
        <v>0</v>
      </c>
      <c r="M225" s="2211">
        <v>0</v>
      </c>
      <c r="N225" s="2212">
        <v>0</v>
      </c>
      <c r="O225" s="1118">
        <f t="shared" si="20"/>
        <v>0</v>
      </c>
      <c r="P225" s="2213">
        <f t="shared" si="19"/>
        <v>0</v>
      </c>
    </row>
    <row r="226" spans="1:16" ht="14.5">
      <c r="A226" s="2042" t="s">
        <v>3105</v>
      </c>
      <c r="B226" s="380" t="str">
        <f t="shared" si="16"/>
        <v>142-901</v>
      </c>
      <c r="C226" s="2042" t="s">
        <v>1040</v>
      </c>
      <c r="D226" s="2043">
        <v>1361</v>
      </c>
      <c r="E226" s="2043">
        <v>1265</v>
      </c>
      <c r="F226" s="2043">
        <f t="shared" si="17"/>
        <v>0</v>
      </c>
      <c r="G226" s="2043">
        <f t="shared" si="18"/>
        <v>0</v>
      </c>
      <c r="H226" s="2208">
        <v>0</v>
      </c>
      <c r="I226" s="2209">
        <v>0</v>
      </c>
      <c r="J226" s="2210">
        <v>0</v>
      </c>
      <c r="K226" s="2208">
        <v>0</v>
      </c>
      <c r="L226" s="2208">
        <v>0</v>
      </c>
      <c r="M226" s="2211">
        <v>0</v>
      </c>
      <c r="N226" s="2212">
        <v>0</v>
      </c>
      <c r="O226" s="1118">
        <f t="shared" si="20"/>
        <v>0</v>
      </c>
      <c r="P226" s="2213">
        <f t="shared" si="19"/>
        <v>0</v>
      </c>
    </row>
    <row r="227" spans="1:16" ht="14.5">
      <c r="A227" s="2042" t="s">
        <v>5064</v>
      </c>
      <c r="B227" s="380" t="str">
        <f t="shared" si="16"/>
        <v>100-903</v>
      </c>
      <c r="C227" s="2042" t="s">
        <v>450</v>
      </c>
      <c r="D227" s="2043">
        <v>1182</v>
      </c>
      <c r="E227" s="2043">
        <v>1086</v>
      </c>
      <c r="F227" s="2043">
        <f t="shared" si="17"/>
        <v>0</v>
      </c>
      <c r="G227" s="2043">
        <f t="shared" si="18"/>
        <v>0</v>
      </c>
      <c r="H227" s="2208">
        <v>0</v>
      </c>
      <c r="I227" s="2209">
        <v>0</v>
      </c>
      <c r="J227" s="2210">
        <v>0</v>
      </c>
      <c r="K227" s="2208">
        <v>0</v>
      </c>
      <c r="L227" s="2208">
        <v>0</v>
      </c>
      <c r="M227" s="2211">
        <v>0</v>
      </c>
      <c r="N227" s="2212">
        <v>0</v>
      </c>
      <c r="O227" s="1118">
        <f t="shared" si="20"/>
        <v>0</v>
      </c>
      <c r="P227" s="2213">
        <f t="shared" si="19"/>
        <v>0</v>
      </c>
    </row>
    <row r="228" spans="1:16" ht="14.5">
      <c r="A228" s="2042" t="s">
        <v>5831</v>
      </c>
      <c r="B228" s="380" t="str">
        <f t="shared" si="16"/>
        <v>136-901</v>
      </c>
      <c r="C228" s="2042" t="s">
        <v>1936</v>
      </c>
      <c r="D228" s="2043">
        <v>615</v>
      </c>
      <c r="E228" s="2043">
        <v>519</v>
      </c>
      <c r="F228" s="2043">
        <f t="shared" si="17"/>
        <v>0</v>
      </c>
      <c r="G228" s="2043">
        <f t="shared" si="18"/>
        <v>0</v>
      </c>
      <c r="H228" s="2208">
        <v>0</v>
      </c>
      <c r="I228" s="2209">
        <v>0</v>
      </c>
      <c r="J228" s="2210">
        <v>0</v>
      </c>
      <c r="K228" s="2208">
        <v>0</v>
      </c>
      <c r="L228" s="2208">
        <v>0</v>
      </c>
      <c r="M228" s="2211">
        <v>0</v>
      </c>
      <c r="N228" s="2212">
        <v>0</v>
      </c>
      <c r="O228" s="1118">
        <f t="shared" si="20"/>
        <v>0</v>
      </c>
      <c r="P228" s="2213">
        <f t="shared" si="19"/>
        <v>0</v>
      </c>
    </row>
    <row r="229" spans="1:16" ht="14.5">
      <c r="A229" s="2042" t="s">
        <v>5236</v>
      </c>
      <c r="B229" s="380" t="str">
        <f t="shared" si="16"/>
        <v>196-902</v>
      </c>
      <c r="C229" s="2042" t="s">
        <v>1533</v>
      </c>
      <c r="D229" s="2043">
        <v>524</v>
      </c>
      <c r="E229" s="2043">
        <v>428</v>
      </c>
      <c r="F229" s="2043">
        <f t="shared" si="17"/>
        <v>0</v>
      </c>
      <c r="G229" s="2043">
        <f t="shared" si="18"/>
        <v>0</v>
      </c>
      <c r="H229" s="2208">
        <v>0</v>
      </c>
      <c r="I229" s="2209">
        <v>0</v>
      </c>
      <c r="J229" s="2210">
        <v>0</v>
      </c>
      <c r="K229" s="2208">
        <v>0</v>
      </c>
      <c r="L229" s="2208">
        <v>0</v>
      </c>
      <c r="M229" s="2211">
        <v>0</v>
      </c>
      <c r="N229" s="2212">
        <v>0</v>
      </c>
      <c r="O229" s="1118">
        <f t="shared" si="20"/>
        <v>0</v>
      </c>
      <c r="P229" s="2213">
        <f t="shared" si="19"/>
        <v>0</v>
      </c>
    </row>
    <row r="230" spans="1:16" ht="14.5">
      <c r="A230" s="2042" t="s">
        <v>5229</v>
      </c>
      <c r="B230" s="380" t="str">
        <f t="shared" si="16"/>
        <v>188-904</v>
      </c>
      <c r="C230" s="2042" t="s">
        <v>426</v>
      </c>
      <c r="D230" s="2043">
        <v>1543</v>
      </c>
      <c r="E230" s="2043">
        <v>1448</v>
      </c>
      <c r="F230" s="2043">
        <f t="shared" si="17"/>
        <v>0</v>
      </c>
      <c r="G230" s="2043">
        <f t="shared" si="18"/>
        <v>0</v>
      </c>
      <c r="H230" s="2208">
        <v>0</v>
      </c>
      <c r="I230" s="2209">
        <v>0</v>
      </c>
      <c r="J230" s="2210">
        <v>0</v>
      </c>
      <c r="K230" s="2208">
        <v>0</v>
      </c>
      <c r="L230" s="2208">
        <v>0</v>
      </c>
      <c r="M230" s="2211">
        <v>0</v>
      </c>
      <c r="N230" s="2212">
        <v>0</v>
      </c>
      <c r="O230" s="1118">
        <f t="shared" si="20"/>
        <v>0</v>
      </c>
      <c r="P230" s="2213">
        <f t="shared" si="19"/>
        <v>0</v>
      </c>
    </row>
    <row r="231" spans="1:16" ht="14.5">
      <c r="A231" s="2042" t="s">
        <v>3195</v>
      </c>
      <c r="B231" s="380" t="str">
        <f t="shared" si="16"/>
        <v>205-906</v>
      </c>
      <c r="C231" s="2042" t="s">
        <v>253</v>
      </c>
      <c r="D231" s="2043">
        <v>2168</v>
      </c>
      <c r="E231" s="2043">
        <v>2074</v>
      </c>
      <c r="F231" s="2043">
        <f t="shared" si="17"/>
        <v>0</v>
      </c>
      <c r="G231" s="2043">
        <f t="shared" si="18"/>
        <v>0</v>
      </c>
      <c r="H231" s="2208">
        <v>0</v>
      </c>
      <c r="I231" s="2209">
        <v>0</v>
      </c>
      <c r="J231" s="2210">
        <v>0</v>
      </c>
      <c r="K231" s="2208">
        <v>0</v>
      </c>
      <c r="L231" s="2208">
        <v>0</v>
      </c>
      <c r="M231" s="2211">
        <v>0</v>
      </c>
      <c r="N231" s="2212">
        <v>0</v>
      </c>
      <c r="O231" s="1118">
        <f t="shared" si="20"/>
        <v>0</v>
      </c>
      <c r="P231" s="2213">
        <f t="shared" si="19"/>
        <v>0</v>
      </c>
    </row>
    <row r="232" spans="1:16" ht="14.5">
      <c r="A232" s="2042" t="s">
        <v>5243</v>
      </c>
      <c r="B232" s="380" t="str">
        <f t="shared" si="16"/>
        <v>201-902</v>
      </c>
      <c r="C232" s="2042" t="s">
        <v>1788</v>
      </c>
      <c r="D232" s="2043">
        <v>3437</v>
      </c>
      <c r="E232" s="2043">
        <v>3344</v>
      </c>
      <c r="F232" s="2043">
        <f t="shared" si="17"/>
        <v>0</v>
      </c>
      <c r="G232" s="2043">
        <f t="shared" si="18"/>
        <v>0</v>
      </c>
      <c r="H232" s="2208">
        <v>0</v>
      </c>
      <c r="I232" s="2209">
        <v>0</v>
      </c>
      <c r="J232" s="2210">
        <v>0</v>
      </c>
      <c r="K232" s="2208">
        <v>0</v>
      </c>
      <c r="L232" s="2208">
        <v>0</v>
      </c>
      <c r="M232" s="2211">
        <v>0</v>
      </c>
      <c r="N232" s="2212">
        <v>0</v>
      </c>
      <c r="O232" s="1118">
        <f t="shared" si="20"/>
        <v>0</v>
      </c>
      <c r="P232" s="2213">
        <f t="shared" si="19"/>
        <v>0</v>
      </c>
    </row>
    <row r="233" spans="1:16" ht="14.5">
      <c r="A233" s="2042" t="s">
        <v>5270</v>
      </c>
      <c r="B233" s="380" t="str">
        <f t="shared" si="16"/>
        <v>221-905</v>
      </c>
      <c r="C233" s="2042" t="s">
        <v>1208</v>
      </c>
      <c r="D233" s="2043">
        <v>224</v>
      </c>
      <c r="E233" s="2043">
        <v>131</v>
      </c>
      <c r="F233" s="2043">
        <f t="shared" si="17"/>
        <v>0</v>
      </c>
      <c r="G233" s="2043">
        <f t="shared" si="18"/>
        <v>0</v>
      </c>
      <c r="H233" s="2208">
        <v>0</v>
      </c>
      <c r="I233" s="2209">
        <v>0</v>
      </c>
      <c r="J233" s="2210">
        <v>0</v>
      </c>
      <c r="K233" s="2208">
        <v>0</v>
      </c>
      <c r="L233" s="2208">
        <v>0</v>
      </c>
      <c r="M233" s="2211">
        <v>0</v>
      </c>
      <c r="N233" s="2212">
        <v>0</v>
      </c>
      <c r="O233" s="1118">
        <f t="shared" si="20"/>
        <v>0</v>
      </c>
      <c r="P233" s="2213">
        <f t="shared" si="19"/>
        <v>0</v>
      </c>
    </row>
    <row r="234" spans="1:16" ht="14.5">
      <c r="A234" s="2042" t="s">
        <v>3256</v>
      </c>
      <c r="B234" s="380" t="str">
        <f t="shared" si="16"/>
        <v>245-902</v>
      </c>
      <c r="C234" s="2042" t="s">
        <v>794</v>
      </c>
      <c r="D234" s="2043">
        <v>1542</v>
      </c>
      <c r="E234" s="2043">
        <v>1449</v>
      </c>
      <c r="F234" s="2043">
        <f t="shared" si="17"/>
        <v>0</v>
      </c>
      <c r="G234" s="2043">
        <f t="shared" si="18"/>
        <v>0</v>
      </c>
      <c r="H234" s="2208">
        <v>0</v>
      </c>
      <c r="I234" s="2209">
        <v>0</v>
      </c>
      <c r="J234" s="2210">
        <v>0</v>
      </c>
      <c r="K234" s="2208">
        <v>0</v>
      </c>
      <c r="L234" s="2208">
        <v>0</v>
      </c>
      <c r="M234" s="2211">
        <v>0</v>
      </c>
      <c r="N234" s="2212">
        <v>0</v>
      </c>
      <c r="O234" s="1118">
        <f t="shared" si="20"/>
        <v>0</v>
      </c>
      <c r="P234" s="2213">
        <f t="shared" si="19"/>
        <v>0</v>
      </c>
    </row>
    <row r="235" spans="1:16" ht="14.5">
      <c r="A235" s="2042" t="s">
        <v>5050</v>
      </c>
      <c r="B235" s="380" t="str">
        <f t="shared" si="16"/>
        <v>092-902</v>
      </c>
      <c r="C235" s="2042" t="s">
        <v>210</v>
      </c>
      <c r="D235" s="2043">
        <v>4039</v>
      </c>
      <c r="E235" s="2043">
        <v>3948</v>
      </c>
      <c r="F235" s="2043">
        <f t="shared" si="17"/>
        <v>0</v>
      </c>
      <c r="G235" s="2043">
        <f t="shared" si="18"/>
        <v>0</v>
      </c>
      <c r="H235" s="2208">
        <v>0</v>
      </c>
      <c r="I235" s="2209">
        <v>0</v>
      </c>
      <c r="J235" s="2210">
        <v>0</v>
      </c>
      <c r="K235" s="2208">
        <v>0</v>
      </c>
      <c r="L235" s="2208">
        <v>0</v>
      </c>
      <c r="M235" s="2211">
        <v>0</v>
      </c>
      <c r="N235" s="2212">
        <v>0</v>
      </c>
      <c r="O235" s="1118">
        <f t="shared" si="20"/>
        <v>0</v>
      </c>
      <c r="P235" s="2213">
        <f t="shared" si="19"/>
        <v>0</v>
      </c>
    </row>
    <row r="236" spans="1:16" ht="14.5">
      <c r="A236" s="2042" t="s">
        <v>5159</v>
      </c>
      <c r="B236" s="380" t="str">
        <f t="shared" si="16"/>
        <v>150-901</v>
      </c>
      <c r="C236" s="2042" t="s">
        <v>518</v>
      </c>
      <c r="D236" s="2043">
        <v>1821</v>
      </c>
      <c r="E236" s="2043">
        <v>1731</v>
      </c>
      <c r="F236" s="2043">
        <f t="shared" si="17"/>
        <v>0</v>
      </c>
      <c r="G236" s="2043">
        <f t="shared" si="18"/>
        <v>0</v>
      </c>
      <c r="H236" s="2208">
        <v>0</v>
      </c>
      <c r="I236" s="2209">
        <v>0</v>
      </c>
      <c r="J236" s="2210">
        <v>0</v>
      </c>
      <c r="K236" s="2208">
        <v>0</v>
      </c>
      <c r="L236" s="2208">
        <v>0</v>
      </c>
      <c r="M236" s="2211">
        <v>0</v>
      </c>
      <c r="N236" s="2212">
        <v>0</v>
      </c>
      <c r="O236" s="1118">
        <f t="shared" si="20"/>
        <v>0</v>
      </c>
      <c r="P236" s="2213">
        <f t="shared" si="19"/>
        <v>0</v>
      </c>
    </row>
    <row r="237" spans="1:16" ht="14.5">
      <c r="A237" s="2042" t="s">
        <v>5106</v>
      </c>
      <c r="B237" s="380" t="str">
        <f t="shared" si="16"/>
        <v>117-903</v>
      </c>
      <c r="C237" s="2042" t="s">
        <v>990</v>
      </c>
      <c r="D237" s="2043">
        <v>774</v>
      </c>
      <c r="E237" s="2043">
        <v>685</v>
      </c>
      <c r="F237" s="2043">
        <f t="shared" si="17"/>
        <v>0</v>
      </c>
      <c r="G237" s="2043">
        <f t="shared" si="18"/>
        <v>0</v>
      </c>
      <c r="H237" s="2208">
        <v>0</v>
      </c>
      <c r="I237" s="2209">
        <v>0</v>
      </c>
      <c r="J237" s="2210">
        <v>0</v>
      </c>
      <c r="K237" s="2208">
        <v>0</v>
      </c>
      <c r="L237" s="2208">
        <v>0</v>
      </c>
      <c r="M237" s="2211">
        <v>0</v>
      </c>
      <c r="N237" s="2212">
        <v>0</v>
      </c>
      <c r="O237" s="1118">
        <f t="shared" si="20"/>
        <v>0</v>
      </c>
      <c r="P237" s="2213">
        <f t="shared" si="19"/>
        <v>0</v>
      </c>
    </row>
    <row r="238" spans="1:16" ht="14.5">
      <c r="A238" s="2042" t="s">
        <v>2920</v>
      </c>
      <c r="B238" s="380" t="str">
        <f t="shared" si="16"/>
        <v>031-913</v>
      </c>
      <c r="C238" s="2042" t="s">
        <v>84</v>
      </c>
      <c r="D238" s="2043">
        <v>692</v>
      </c>
      <c r="E238" s="2043">
        <v>604</v>
      </c>
      <c r="F238" s="2043">
        <f t="shared" si="17"/>
        <v>0</v>
      </c>
      <c r="G238" s="2043">
        <f t="shared" si="18"/>
        <v>0</v>
      </c>
      <c r="H238" s="2208">
        <v>0</v>
      </c>
      <c r="I238" s="2209">
        <v>0</v>
      </c>
      <c r="J238" s="2210">
        <v>0</v>
      </c>
      <c r="K238" s="2208">
        <v>0</v>
      </c>
      <c r="L238" s="2208">
        <v>0</v>
      </c>
      <c r="M238" s="2211">
        <v>0</v>
      </c>
      <c r="N238" s="2212">
        <v>0</v>
      </c>
      <c r="O238" s="1118">
        <f t="shared" si="20"/>
        <v>0</v>
      </c>
      <c r="P238" s="2213">
        <f t="shared" si="19"/>
        <v>0</v>
      </c>
    </row>
    <row r="239" spans="1:16" ht="14.5">
      <c r="A239" s="2042" t="s">
        <v>5892</v>
      </c>
      <c r="B239" s="380" t="str">
        <f t="shared" si="16"/>
        <v>231-901</v>
      </c>
      <c r="C239" s="2042" t="s">
        <v>734</v>
      </c>
      <c r="D239" s="2043">
        <v>581</v>
      </c>
      <c r="E239" s="2043">
        <v>494</v>
      </c>
      <c r="F239" s="2043">
        <f t="shared" si="17"/>
        <v>0</v>
      </c>
      <c r="G239" s="2043">
        <f t="shared" si="18"/>
        <v>0</v>
      </c>
      <c r="H239" s="2208">
        <v>0</v>
      </c>
      <c r="I239" s="2209">
        <v>0</v>
      </c>
      <c r="J239" s="2210">
        <v>0</v>
      </c>
      <c r="K239" s="2208">
        <v>0</v>
      </c>
      <c r="L239" s="2208">
        <v>0</v>
      </c>
      <c r="M239" s="2211">
        <v>0</v>
      </c>
      <c r="N239" s="2212">
        <v>121443</v>
      </c>
      <c r="O239" s="1118">
        <f t="shared" si="20"/>
        <v>121443</v>
      </c>
      <c r="P239" s="2213">
        <f t="shared" si="19"/>
        <v>32698.344162046156</v>
      </c>
    </row>
    <row r="240" spans="1:16" ht="14.5">
      <c r="A240" s="2042" t="s">
        <v>5764</v>
      </c>
      <c r="B240" s="380" t="str">
        <f t="shared" si="16"/>
        <v>034-905</v>
      </c>
      <c r="C240" s="2042" t="s">
        <v>972</v>
      </c>
      <c r="D240" s="2043">
        <v>713</v>
      </c>
      <c r="E240" s="2043">
        <v>626</v>
      </c>
      <c r="F240" s="2043">
        <f t="shared" si="17"/>
        <v>0</v>
      </c>
      <c r="G240" s="2043">
        <f t="shared" si="18"/>
        <v>0</v>
      </c>
      <c r="H240" s="2208">
        <v>0</v>
      </c>
      <c r="I240" s="2209">
        <v>0</v>
      </c>
      <c r="J240" s="2210">
        <v>0</v>
      </c>
      <c r="K240" s="2208">
        <v>0</v>
      </c>
      <c r="L240" s="2208">
        <v>0</v>
      </c>
      <c r="M240" s="2211">
        <v>0</v>
      </c>
      <c r="N240" s="2212">
        <v>0</v>
      </c>
      <c r="O240" s="1118">
        <f t="shared" si="20"/>
        <v>0</v>
      </c>
      <c r="P240" s="2213">
        <f t="shared" si="19"/>
        <v>0</v>
      </c>
    </row>
    <row r="241" spans="1:16" ht="14.5">
      <c r="A241" s="2042" t="s">
        <v>4951</v>
      </c>
      <c r="B241" s="380" t="str">
        <f t="shared" si="16"/>
        <v>026-901</v>
      </c>
      <c r="C241" s="2042" t="s">
        <v>1504</v>
      </c>
      <c r="D241" s="2043">
        <v>1795</v>
      </c>
      <c r="E241" s="2043">
        <v>1708</v>
      </c>
      <c r="F241" s="2043">
        <f t="shared" si="17"/>
        <v>0</v>
      </c>
      <c r="G241" s="2043">
        <f t="shared" si="18"/>
        <v>0</v>
      </c>
      <c r="H241" s="2208">
        <v>0</v>
      </c>
      <c r="I241" s="2209">
        <v>0</v>
      </c>
      <c r="J241" s="2210">
        <v>0</v>
      </c>
      <c r="K241" s="2208">
        <v>0</v>
      </c>
      <c r="L241" s="2208">
        <v>0</v>
      </c>
      <c r="M241" s="2211">
        <v>0</v>
      </c>
      <c r="N241" s="2212">
        <v>0</v>
      </c>
      <c r="O241" s="1118">
        <f t="shared" si="20"/>
        <v>0</v>
      </c>
      <c r="P241" s="2213">
        <f t="shared" si="19"/>
        <v>0</v>
      </c>
    </row>
    <row r="242" spans="1:16" ht="14.5">
      <c r="A242" s="2042" t="s">
        <v>5815</v>
      </c>
      <c r="B242" s="380" t="str">
        <f t="shared" si="16"/>
        <v>110-907</v>
      </c>
      <c r="C242" s="2042" t="s">
        <v>2463</v>
      </c>
      <c r="D242" s="2043">
        <v>670</v>
      </c>
      <c r="E242" s="2043">
        <v>583</v>
      </c>
      <c r="F242" s="2043">
        <f t="shared" si="17"/>
        <v>0</v>
      </c>
      <c r="G242" s="2043">
        <f t="shared" si="18"/>
        <v>0</v>
      </c>
      <c r="H242" s="2208">
        <v>0</v>
      </c>
      <c r="I242" s="2209">
        <v>0</v>
      </c>
      <c r="J242" s="2210">
        <v>0</v>
      </c>
      <c r="K242" s="2208">
        <v>0</v>
      </c>
      <c r="L242" s="2208">
        <v>0</v>
      </c>
      <c r="M242" s="2211">
        <v>0</v>
      </c>
      <c r="N242" s="2212">
        <v>0</v>
      </c>
      <c r="O242" s="1118">
        <f t="shared" si="20"/>
        <v>0</v>
      </c>
      <c r="P242" s="2213">
        <f t="shared" si="19"/>
        <v>0</v>
      </c>
    </row>
    <row r="243" spans="1:16" ht="14.5">
      <c r="A243" s="2042" t="s">
        <v>5020</v>
      </c>
      <c r="B243" s="380" t="str">
        <f t="shared" si="16"/>
        <v>079-910</v>
      </c>
      <c r="C243" s="2042" t="s">
        <v>982</v>
      </c>
      <c r="D243" s="2043">
        <v>3402</v>
      </c>
      <c r="E243" s="2043">
        <v>3316</v>
      </c>
      <c r="F243" s="2043">
        <f t="shared" si="17"/>
        <v>0</v>
      </c>
      <c r="G243" s="2043">
        <f t="shared" si="18"/>
        <v>0</v>
      </c>
      <c r="H243" s="2208">
        <v>0</v>
      </c>
      <c r="I243" s="2209">
        <v>0</v>
      </c>
      <c r="J243" s="2210">
        <v>0</v>
      </c>
      <c r="K243" s="2208">
        <v>0</v>
      </c>
      <c r="L243" s="2208">
        <v>0</v>
      </c>
      <c r="M243" s="2211">
        <v>0</v>
      </c>
      <c r="N243" s="2212">
        <v>0</v>
      </c>
      <c r="O243" s="1118">
        <f t="shared" si="20"/>
        <v>0</v>
      </c>
      <c r="P243" s="2213">
        <f t="shared" si="19"/>
        <v>0</v>
      </c>
    </row>
    <row r="244" spans="1:16" ht="14.5">
      <c r="A244" s="2042" t="s">
        <v>5201</v>
      </c>
      <c r="B244" s="380" t="str">
        <f t="shared" si="16"/>
        <v>178-903</v>
      </c>
      <c r="C244" s="2042" t="s">
        <v>299</v>
      </c>
      <c r="D244" s="2043">
        <v>4041</v>
      </c>
      <c r="E244" s="2043">
        <v>3956</v>
      </c>
      <c r="F244" s="2043">
        <f t="shared" si="17"/>
        <v>0</v>
      </c>
      <c r="G244" s="2043">
        <f t="shared" si="18"/>
        <v>0</v>
      </c>
      <c r="H244" s="2208">
        <v>0</v>
      </c>
      <c r="I244" s="2209">
        <v>0</v>
      </c>
      <c r="J244" s="2210">
        <v>0</v>
      </c>
      <c r="K244" s="2208">
        <v>0</v>
      </c>
      <c r="L244" s="2208">
        <v>0</v>
      </c>
      <c r="M244" s="2211">
        <v>0</v>
      </c>
      <c r="N244" s="2212">
        <v>0</v>
      </c>
      <c r="O244" s="1118">
        <f t="shared" si="20"/>
        <v>0</v>
      </c>
      <c r="P244" s="2213">
        <f t="shared" si="19"/>
        <v>0</v>
      </c>
    </row>
    <row r="245" spans="1:16" ht="14.5">
      <c r="A245" s="2042" t="s">
        <v>5245</v>
      </c>
      <c r="B245" s="380" t="str">
        <f t="shared" si="16"/>
        <v>201-914</v>
      </c>
      <c r="C245" s="2042" t="s">
        <v>3322</v>
      </c>
      <c r="D245" s="2043">
        <v>1112</v>
      </c>
      <c r="E245" s="2043">
        <v>1027</v>
      </c>
      <c r="F245" s="2043">
        <f t="shared" si="17"/>
        <v>0</v>
      </c>
      <c r="G245" s="2043">
        <f t="shared" si="18"/>
        <v>0</v>
      </c>
      <c r="H245" s="2208">
        <v>0</v>
      </c>
      <c r="I245" s="2209">
        <v>0</v>
      </c>
      <c r="J245" s="2210">
        <v>0</v>
      </c>
      <c r="K245" s="2208">
        <v>0</v>
      </c>
      <c r="L245" s="2208">
        <v>0</v>
      </c>
      <c r="M245" s="2211">
        <v>0</v>
      </c>
      <c r="N245" s="2212">
        <v>0</v>
      </c>
      <c r="O245" s="1118">
        <f t="shared" si="20"/>
        <v>0</v>
      </c>
      <c r="P245" s="2213">
        <f t="shared" si="19"/>
        <v>0</v>
      </c>
    </row>
    <row r="246" spans="1:16" ht="14.5">
      <c r="A246" s="2042" t="s">
        <v>3163</v>
      </c>
      <c r="B246" s="380" t="str">
        <f t="shared" si="16"/>
        <v>178-913</v>
      </c>
      <c r="C246" s="2042" t="s">
        <v>304</v>
      </c>
      <c r="D246" s="2043">
        <v>940</v>
      </c>
      <c r="E246" s="2043">
        <v>855</v>
      </c>
      <c r="F246" s="2043">
        <f t="shared" si="17"/>
        <v>0</v>
      </c>
      <c r="G246" s="2043">
        <f t="shared" si="18"/>
        <v>0</v>
      </c>
      <c r="H246" s="2208">
        <v>0</v>
      </c>
      <c r="I246" s="2209">
        <v>0</v>
      </c>
      <c r="J246" s="2210">
        <v>0</v>
      </c>
      <c r="K246" s="2208">
        <v>0</v>
      </c>
      <c r="L246" s="2208">
        <v>0</v>
      </c>
      <c r="M246" s="2211">
        <v>0</v>
      </c>
      <c r="N246" s="2212">
        <v>0</v>
      </c>
      <c r="O246" s="1118">
        <f t="shared" si="20"/>
        <v>0</v>
      </c>
      <c r="P246" s="2213">
        <f t="shared" si="19"/>
        <v>0</v>
      </c>
    </row>
    <row r="247" spans="1:16" ht="14.5">
      <c r="A247" s="2042" t="s">
        <v>5009</v>
      </c>
      <c r="B247" s="380" t="str">
        <f t="shared" si="16"/>
        <v>072-902</v>
      </c>
      <c r="C247" s="2042" t="s">
        <v>1868</v>
      </c>
      <c r="D247" s="2043">
        <v>1177</v>
      </c>
      <c r="E247" s="2043">
        <v>1093</v>
      </c>
      <c r="F247" s="2043">
        <f t="shared" si="17"/>
        <v>0</v>
      </c>
      <c r="G247" s="2043">
        <f t="shared" si="18"/>
        <v>0</v>
      </c>
      <c r="H247" s="2208">
        <v>0</v>
      </c>
      <c r="I247" s="2209">
        <v>0</v>
      </c>
      <c r="J247" s="2210">
        <v>0</v>
      </c>
      <c r="K247" s="2208">
        <v>0</v>
      </c>
      <c r="L247" s="2208">
        <v>0</v>
      </c>
      <c r="M247" s="2211">
        <v>0</v>
      </c>
      <c r="N247" s="2212">
        <v>0</v>
      </c>
      <c r="O247" s="1118">
        <f t="shared" si="20"/>
        <v>0</v>
      </c>
      <c r="P247" s="2213">
        <f t="shared" si="19"/>
        <v>0</v>
      </c>
    </row>
    <row r="248" spans="1:16" ht="14.5">
      <c r="A248" s="2042" t="s">
        <v>3103</v>
      </c>
      <c r="B248" s="380" t="str">
        <f t="shared" si="16"/>
        <v>139-912</v>
      </c>
      <c r="C248" s="2042" t="s">
        <v>1982</v>
      </c>
      <c r="D248" s="2043">
        <v>1120</v>
      </c>
      <c r="E248" s="2043">
        <v>1036</v>
      </c>
      <c r="F248" s="2043">
        <f t="shared" si="17"/>
        <v>0</v>
      </c>
      <c r="G248" s="2043">
        <f t="shared" si="18"/>
        <v>0</v>
      </c>
      <c r="H248" s="2208">
        <v>0</v>
      </c>
      <c r="I248" s="2209">
        <v>0</v>
      </c>
      <c r="J248" s="2210">
        <v>0</v>
      </c>
      <c r="K248" s="2208">
        <v>0</v>
      </c>
      <c r="L248" s="2208">
        <v>0</v>
      </c>
      <c r="M248" s="2211">
        <v>0</v>
      </c>
      <c r="N248" s="2212">
        <v>0</v>
      </c>
      <c r="O248" s="1118">
        <f t="shared" si="20"/>
        <v>0</v>
      </c>
      <c r="P248" s="2213">
        <f t="shared" si="19"/>
        <v>0</v>
      </c>
    </row>
    <row r="249" spans="1:16" ht="14.5">
      <c r="A249" s="2042" t="s">
        <v>2997</v>
      </c>
      <c r="B249" s="380" t="str">
        <f t="shared" si="16"/>
        <v>082-902</v>
      </c>
      <c r="C249" s="2042" t="s">
        <v>2057</v>
      </c>
      <c r="D249" s="2043">
        <v>978</v>
      </c>
      <c r="E249" s="2043">
        <v>894</v>
      </c>
      <c r="F249" s="2043">
        <f t="shared" si="17"/>
        <v>0</v>
      </c>
      <c r="G249" s="2043">
        <f t="shared" si="18"/>
        <v>0</v>
      </c>
      <c r="H249" s="2208">
        <v>0</v>
      </c>
      <c r="I249" s="2209">
        <v>0</v>
      </c>
      <c r="J249" s="2210">
        <v>0</v>
      </c>
      <c r="K249" s="2208">
        <v>0</v>
      </c>
      <c r="L249" s="2208">
        <v>0</v>
      </c>
      <c r="M249" s="2211">
        <v>0</v>
      </c>
      <c r="N249" s="2212">
        <v>0</v>
      </c>
      <c r="O249" s="1118">
        <f t="shared" si="20"/>
        <v>0</v>
      </c>
      <c r="P249" s="2213">
        <f t="shared" si="19"/>
        <v>0</v>
      </c>
    </row>
    <row r="250" spans="1:16" ht="14.5">
      <c r="A250" s="2042" t="s">
        <v>5012</v>
      </c>
      <c r="B250" s="380" t="str">
        <f t="shared" si="16"/>
        <v>074-903</v>
      </c>
      <c r="C250" s="2042" t="s">
        <v>1</v>
      </c>
      <c r="D250" s="2043">
        <v>1880</v>
      </c>
      <c r="E250" s="2043">
        <v>1796</v>
      </c>
      <c r="F250" s="2043">
        <f t="shared" si="17"/>
        <v>0</v>
      </c>
      <c r="G250" s="2043">
        <f t="shared" si="18"/>
        <v>0</v>
      </c>
      <c r="H250" s="2208">
        <v>0</v>
      </c>
      <c r="I250" s="2209">
        <v>0</v>
      </c>
      <c r="J250" s="2210">
        <v>0</v>
      </c>
      <c r="K250" s="2208">
        <v>0</v>
      </c>
      <c r="L250" s="2208">
        <v>0</v>
      </c>
      <c r="M250" s="2211">
        <v>0</v>
      </c>
      <c r="N250" s="2212">
        <v>0</v>
      </c>
      <c r="O250" s="1118">
        <f t="shared" si="20"/>
        <v>0</v>
      </c>
      <c r="P250" s="2213">
        <f t="shared" si="19"/>
        <v>0</v>
      </c>
    </row>
    <row r="251" spans="1:16" ht="14.5">
      <c r="A251" s="2042" t="s">
        <v>7353</v>
      </c>
      <c r="B251" s="380" t="str">
        <f t="shared" si="16"/>
        <v>015-914</v>
      </c>
      <c r="C251" s="2042" t="s">
        <v>970</v>
      </c>
      <c r="D251" s="2043">
        <v>1585</v>
      </c>
      <c r="E251" s="2043">
        <v>1501</v>
      </c>
      <c r="F251" s="2043">
        <f t="shared" si="17"/>
        <v>0</v>
      </c>
      <c r="G251" s="2043">
        <f t="shared" si="18"/>
        <v>0</v>
      </c>
      <c r="H251" s="2208">
        <v>0</v>
      </c>
      <c r="I251" s="2209">
        <v>0</v>
      </c>
      <c r="J251" s="2210">
        <v>0</v>
      </c>
      <c r="K251" s="2208">
        <v>0</v>
      </c>
      <c r="L251" s="2208">
        <v>0</v>
      </c>
      <c r="M251" s="2211">
        <v>0</v>
      </c>
      <c r="N251" s="2212">
        <v>0</v>
      </c>
      <c r="O251" s="1118">
        <f t="shared" si="20"/>
        <v>0</v>
      </c>
      <c r="P251" s="2213">
        <f t="shared" si="19"/>
        <v>0</v>
      </c>
    </row>
    <row r="252" spans="1:16" ht="14.5">
      <c r="A252" s="2042" t="s">
        <v>4935</v>
      </c>
      <c r="B252" s="380" t="str">
        <f t="shared" si="16"/>
        <v>016-901</v>
      </c>
      <c r="C252" s="2042" t="s">
        <v>2157</v>
      </c>
      <c r="D252" s="2043">
        <v>698</v>
      </c>
      <c r="E252" s="2043">
        <v>614</v>
      </c>
      <c r="F252" s="2043">
        <f t="shared" si="17"/>
        <v>0</v>
      </c>
      <c r="G252" s="2043">
        <f t="shared" si="18"/>
        <v>0</v>
      </c>
      <c r="H252" s="2208">
        <v>0</v>
      </c>
      <c r="I252" s="2209">
        <v>0</v>
      </c>
      <c r="J252" s="2210">
        <v>0</v>
      </c>
      <c r="K252" s="2208">
        <v>0</v>
      </c>
      <c r="L252" s="2208">
        <v>0</v>
      </c>
      <c r="M252" s="2211">
        <v>0</v>
      </c>
      <c r="N252" s="2212">
        <v>0</v>
      </c>
      <c r="O252" s="1118">
        <f t="shared" si="20"/>
        <v>0</v>
      </c>
      <c r="P252" s="2213">
        <f t="shared" si="19"/>
        <v>0</v>
      </c>
    </row>
    <row r="253" spans="1:16" ht="14.5">
      <c r="A253" s="2042" t="s">
        <v>5018</v>
      </c>
      <c r="B253" s="380" t="str">
        <f t="shared" si="16"/>
        <v>077-901</v>
      </c>
      <c r="C253" s="2042" t="s">
        <v>801</v>
      </c>
      <c r="D253" s="2043">
        <v>789</v>
      </c>
      <c r="E253" s="2043">
        <v>705</v>
      </c>
      <c r="F253" s="2043">
        <f t="shared" si="17"/>
        <v>0</v>
      </c>
      <c r="G253" s="2043">
        <f t="shared" si="18"/>
        <v>0</v>
      </c>
      <c r="H253" s="2208">
        <v>0</v>
      </c>
      <c r="I253" s="2209">
        <v>0</v>
      </c>
      <c r="J253" s="2210">
        <v>0</v>
      </c>
      <c r="K253" s="2208">
        <v>0</v>
      </c>
      <c r="L253" s="2208">
        <v>0</v>
      </c>
      <c r="M253" s="2211">
        <v>0</v>
      </c>
      <c r="N253" s="2212">
        <v>0</v>
      </c>
      <c r="O253" s="1118">
        <f t="shared" si="20"/>
        <v>0</v>
      </c>
      <c r="P253" s="2213">
        <f t="shared" si="19"/>
        <v>0</v>
      </c>
    </row>
    <row r="254" spans="1:16" ht="14.5">
      <c r="A254" s="2042" t="s">
        <v>3234</v>
      </c>
      <c r="B254" s="380" t="str">
        <f t="shared" si="16"/>
        <v>232-902</v>
      </c>
      <c r="C254" s="2042" t="s">
        <v>578</v>
      </c>
      <c r="D254" s="2043">
        <v>510</v>
      </c>
      <c r="E254" s="2043">
        <v>426</v>
      </c>
      <c r="F254" s="2043">
        <f t="shared" si="17"/>
        <v>0</v>
      </c>
      <c r="G254" s="2043">
        <f t="shared" si="18"/>
        <v>0</v>
      </c>
      <c r="H254" s="2208">
        <v>0</v>
      </c>
      <c r="I254" s="2209">
        <v>0</v>
      </c>
      <c r="J254" s="2210">
        <v>0</v>
      </c>
      <c r="K254" s="2208">
        <v>0</v>
      </c>
      <c r="L254" s="2208">
        <v>0</v>
      </c>
      <c r="M254" s="2211">
        <v>0</v>
      </c>
      <c r="N254" s="2212">
        <v>0</v>
      </c>
      <c r="O254" s="1118">
        <f t="shared" si="20"/>
        <v>0</v>
      </c>
      <c r="P254" s="2213">
        <f t="shared" si="19"/>
        <v>0</v>
      </c>
    </row>
    <row r="255" spans="1:16" ht="14.5">
      <c r="A255" s="2042" t="s">
        <v>5152</v>
      </c>
      <c r="B255" s="380" t="str">
        <f t="shared" si="16"/>
        <v>147-903</v>
      </c>
      <c r="C255" s="2042" t="s">
        <v>511</v>
      </c>
      <c r="D255" s="2043">
        <v>1927</v>
      </c>
      <c r="E255" s="2043">
        <v>1844</v>
      </c>
      <c r="F255" s="2043">
        <f t="shared" si="17"/>
        <v>0</v>
      </c>
      <c r="G255" s="2043">
        <f t="shared" si="18"/>
        <v>0</v>
      </c>
      <c r="H255" s="2208">
        <v>0</v>
      </c>
      <c r="I255" s="2209">
        <v>0</v>
      </c>
      <c r="J255" s="2210">
        <v>0</v>
      </c>
      <c r="K255" s="2208">
        <v>0</v>
      </c>
      <c r="L255" s="2208">
        <v>0</v>
      </c>
      <c r="M255" s="2211">
        <v>0</v>
      </c>
      <c r="N255" s="2212">
        <v>422008</v>
      </c>
      <c r="O255" s="1118">
        <f t="shared" si="20"/>
        <v>422008</v>
      </c>
      <c r="P255" s="2213">
        <f t="shared" si="19"/>
        <v>113625.01604157321</v>
      </c>
    </row>
    <row r="256" spans="1:16" ht="14.5">
      <c r="A256" s="2042" t="s">
        <v>5261</v>
      </c>
      <c r="B256" s="380" t="str">
        <f t="shared" si="16"/>
        <v>215-901</v>
      </c>
      <c r="C256" s="2042" t="s">
        <v>1889</v>
      </c>
      <c r="D256" s="2043">
        <v>1484</v>
      </c>
      <c r="E256" s="2043">
        <v>1402</v>
      </c>
      <c r="F256" s="2043">
        <f t="shared" si="17"/>
        <v>0</v>
      </c>
      <c r="G256" s="2043">
        <f t="shared" si="18"/>
        <v>0</v>
      </c>
      <c r="H256" s="2208">
        <v>0</v>
      </c>
      <c r="I256" s="2209">
        <v>0</v>
      </c>
      <c r="J256" s="2210">
        <v>0</v>
      </c>
      <c r="K256" s="2208">
        <v>0</v>
      </c>
      <c r="L256" s="2208">
        <v>0</v>
      </c>
      <c r="M256" s="2211">
        <v>0</v>
      </c>
      <c r="N256" s="2212">
        <v>0</v>
      </c>
      <c r="O256" s="1118">
        <f t="shared" si="20"/>
        <v>0</v>
      </c>
      <c r="P256" s="2213">
        <f t="shared" si="19"/>
        <v>0</v>
      </c>
    </row>
    <row r="257" spans="1:16" ht="14.5">
      <c r="A257" s="2042" t="s">
        <v>2856</v>
      </c>
      <c r="B257" s="380" t="str">
        <f t="shared" si="16"/>
        <v>007-901</v>
      </c>
      <c r="C257" s="2042" t="s">
        <v>620</v>
      </c>
      <c r="D257" s="2043">
        <v>499</v>
      </c>
      <c r="E257" s="2043">
        <v>419</v>
      </c>
      <c r="F257" s="2043">
        <f t="shared" si="17"/>
        <v>0</v>
      </c>
      <c r="G257" s="2043">
        <f t="shared" si="18"/>
        <v>0</v>
      </c>
      <c r="H257" s="2208">
        <v>0</v>
      </c>
      <c r="I257" s="2209">
        <v>0</v>
      </c>
      <c r="J257" s="2210">
        <v>0</v>
      </c>
      <c r="K257" s="2208">
        <v>0</v>
      </c>
      <c r="L257" s="2208">
        <v>0</v>
      </c>
      <c r="M257" s="2211">
        <v>0</v>
      </c>
      <c r="N257" s="2212">
        <v>0</v>
      </c>
      <c r="O257" s="1118">
        <f t="shared" si="20"/>
        <v>0</v>
      </c>
      <c r="P257" s="2213">
        <f t="shared" si="19"/>
        <v>0</v>
      </c>
    </row>
    <row r="258" spans="1:16" ht="14.5">
      <c r="A258" s="2042" t="s">
        <v>2900</v>
      </c>
      <c r="B258" s="380" t="str">
        <f t="shared" si="16"/>
        <v>020-910</v>
      </c>
      <c r="C258" s="2042" t="s">
        <v>2353</v>
      </c>
      <c r="D258" s="2043">
        <v>195</v>
      </c>
      <c r="E258" s="2043">
        <v>115</v>
      </c>
      <c r="F258" s="2043">
        <f t="shared" si="17"/>
        <v>0</v>
      </c>
      <c r="G258" s="2043">
        <f t="shared" si="18"/>
        <v>0</v>
      </c>
      <c r="H258" s="2208">
        <v>0</v>
      </c>
      <c r="I258" s="2209">
        <v>0</v>
      </c>
      <c r="J258" s="2210">
        <v>0</v>
      </c>
      <c r="K258" s="2208">
        <v>0</v>
      </c>
      <c r="L258" s="2208">
        <v>0</v>
      </c>
      <c r="M258" s="2211">
        <v>0</v>
      </c>
      <c r="N258" s="2212">
        <v>0</v>
      </c>
      <c r="O258" s="1118">
        <f t="shared" si="20"/>
        <v>0</v>
      </c>
      <c r="P258" s="2213">
        <f t="shared" si="19"/>
        <v>0</v>
      </c>
    </row>
    <row r="259" spans="1:16" ht="14.5">
      <c r="A259" s="2042" t="s">
        <v>3231</v>
      </c>
      <c r="B259" s="380" t="str">
        <f t="shared" ref="B259:B322" si="21">CONCATENATE(LEFT(RIGHT(CONCATENATE("000",A259),6),3),"-",(RIGHT(RIGHT(CONCATENATE("000",A259),6),3)))</f>
        <v>230-905</v>
      </c>
      <c r="C259" s="2042" t="s">
        <v>781</v>
      </c>
      <c r="D259" s="2043">
        <v>1104</v>
      </c>
      <c r="E259" s="2043">
        <v>1025</v>
      </c>
      <c r="F259" s="2043">
        <f t="shared" ref="F259:F322" si="22">MAX(0,E259-D259)</f>
        <v>0</v>
      </c>
      <c r="G259" s="2043">
        <f t="shared" ref="G259:G322" si="23">MAX(0,F259-250)</f>
        <v>0</v>
      </c>
      <c r="H259" s="2208">
        <v>0</v>
      </c>
      <c r="I259" s="2209">
        <v>0</v>
      </c>
      <c r="J259" s="2210">
        <v>0</v>
      </c>
      <c r="K259" s="2208">
        <v>0</v>
      </c>
      <c r="L259" s="2208">
        <v>0</v>
      </c>
      <c r="M259" s="2211">
        <v>0</v>
      </c>
      <c r="N259" s="2212">
        <v>0</v>
      </c>
      <c r="O259" s="1118">
        <f t="shared" si="20"/>
        <v>0</v>
      </c>
      <c r="P259" s="2213">
        <f t="shared" ref="P259:P322" si="24">(40000000/$O$1022)*O259</f>
        <v>0</v>
      </c>
    </row>
    <row r="260" spans="1:16" ht="14.5">
      <c r="A260" s="2042" t="s">
        <v>5838</v>
      </c>
      <c r="B260" s="380" t="str">
        <f t="shared" si="21"/>
        <v>140-907</v>
      </c>
      <c r="C260" s="2042" t="s">
        <v>892</v>
      </c>
      <c r="D260" s="2043">
        <v>385</v>
      </c>
      <c r="E260" s="2043">
        <v>306</v>
      </c>
      <c r="F260" s="2043">
        <f t="shared" si="22"/>
        <v>0</v>
      </c>
      <c r="G260" s="2043">
        <f t="shared" si="23"/>
        <v>0</v>
      </c>
      <c r="H260" s="2208">
        <v>0</v>
      </c>
      <c r="I260" s="2209">
        <v>0</v>
      </c>
      <c r="J260" s="2210">
        <v>0</v>
      </c>
      <c r="K260" s="2208">
        <v>0</v>
      </c>
      <c r="L260" s="2208">
        <v>0</v>
      </c>
      <c r="M260" s="2211">
        <v>0</v>
      </c>
      <c r="N260" s="2212">
        <v>0</v>
      </c>
      <c r="O260" s="1118">
        <f t="shared" si="20"/>
        <v>0</v>
      </c>
      <c r="P260" s="2213">
        <f t="shared" si="24"/>
        <v>0</v>
      </c>
    </row>
    <row r="261" spans="1:16" ht="14.5">
      <c r="A261" s="2042" t="s">
        <v>5314</v>
      </c>
      <c r="B261" s="380" t="str">
        <f t="shared" si="21"/>
        <v>250-902</v>
      </c>
      <c r="C261" s="2042" t="s">
        <v>1528</v>
      </c>
      <c r="D261" s="2043">
        <v>735</v>
      </c>
      <c r="E261" s="2043">
        <v>657</v>
      </c>
      <c r="F261" s="2043">
        <f t="shared" si="22"/>
        <v>0</v>
      </c>
      <c r="G261" s="2043">
        <f t="shared" si="23"/>
        <v>0</v>
      </c>
      <c r="H261" s="2208">
        <v>0</v>
      </c>
      <c r="I261" s="2209">
        <v>0</v>
      </c>
      <c r="J261" s="2210">
        <v>0</v>
      </c>
      <c r="K261" s="2208">
        <v>0</v>
      </c>
      <c r="L261" s="2208">
        <v>0</v>
      </c>
      <c r="M261" s="2211">
        <v>0</v>
      </c>
      <c r="N261" s="2212">
        <v>0</v>
      </c>
      <c r="O261" s="1118">
        <f t="shared" si="20"/>
        <v>0</v>
      </c>
      <c r="P261" s="2213">
        <f t="shared" si="24"/>
        <v>0</v>
      </c>
    </row>
    <row r="262" spans="1:16" ht="14.5">
      <c r="A262" s="2042" t="s">
        <v>5220</v>
      </c>
      <c r="B262" s="380" t="str">
        <f t="shared" si="21"/>
        <v>185-903</v>
      </c>
      <c r="C262" s="2042" t="s">
        <v>416</v>
      </c>
      <c r="D262" s="2043">
        <v>1164</v>
      </c>
      <c r="E262" s="2043">
        <v>1086</v>
      </c>
      <c r="F262" s="2043">
        <f t="shared" si="22"/>
        <v>0</v>
      </c>
      <c r="G262" s="2043">
        <f t="shared" si="23"/>
        <v>0</v>
      </c>
      <c r="H262" s="2208">
        <v>0</v>
      </c>
      <c r="I262" s="2209">
        <v>0</v>
      </c>
      <c r="J262" s="2210">
        <v>0</v>
      </c>
      <c r="K262" s="2208">
        <v>0</v>
      </c>
      <c r="L262" s="2208">
        <v>0</v>
      </c>
      <c r="M262" s="2211">
        <v>0</v>
      </c>
      <c r="N262" s="2212">
        <v>0</v>
      </c>
      <c r="O262" s="1118">
        <f t="shared" si="20"/>
        <v>0</v>
      </c>
      <c r="P262" s="2213">
        <f t="shared" si="24"/>
        <v>0</v>
      </c>
    </row>
    <row r="263" spans="1:16" ht="14.5">
      <c r="A263" s="2042" t="s">
        <v>3091</v>
      </c>
      <c r="B263" s="380" t="str">
        <f t="shared" si="21"/>
        <v>128-902</v>
      </c>
      <c r="C263" s="2042" t="s">
        <v>392</v>
      </c>
      <c r="D263" s="2043">
        <v>803</v>
      </c>
      <c r="E263" s="2043">
        <v>725</v>
      </c>
      <c r="F263" s="2043">
        <f t="shared" si="22"/>
        <v>0</v>
      </c>
      <c r="G263" s="2043">
        <f t="shared" si="23"/>
        <v>0</v>
      </c>
      <c r="H263" s="2208">
        <v>0</v>
      </c>
      <c r="I263" s="2209">
        <v>0</v>
      </c>
      <c r="J263" s="2210">
        <v>0</v>
      </c>
      <c r="K263" s="2208">
        <v>0</v>
      </c>
      <c r="L263" s="2208">
        <v>0</v>
      </c>
      <c r="M263" s="2211">
        <v>0</v>
      </c>
      <c r="N263" s="2212">
        <v>0</v>
      </c>
      <c r="O263" s="1118">
        <f t="shared" si="20"/>
        <v>0</v>
      </c>
      <c r="P263" s="2213">
        <f t="shared" si="24"/>
        <v>0</v>
      </c>
    </row>
    <row r="264" spans="1:16" ht="14.5">
      <c r="A264" s="2042" t="s">
        <v>5810</v>
      </c>
      <c r="B264" s="380" t="str">
        <f t="shared" si="21"/>
        <v>096-904</v>
      </c>
      <c r="C264" s="2042" t="s">
        <v>224</v>
      </c>
      <c r="D264" s="2043">
        <v>520</v>
      </c>
      <c r="E264" s="2043">
        <v>443</v>
      </c>
      <c r="F264" s="2043">
        <f t="shared" si="22"/>
        <v>0</v>
      </c>
      <c r="G264" s="2043">
        <f t="shared" si="23"/>
        <v>0</v>
      </c>
      <c r="H264" s="2208">
        <v>0</v>
      </c>
      <c r="I264" s="2209">
        <v>0</v>
      </c>
      <c r="J264" s="2210">
        <v>0</v>
      </c>
      <c r="K264" s="2208">
        <v>0</v>
      </c>
      <c r="L264" s="2208">
        <v>0</v>
      </c>
      <c r="M264" s="2211">
        <v>0</v>
      </c>
      <c r="N264" s="2212">
        <v>0</v>
      </c>
      <c r="O264" s="1118">
        <f t="shared" si="20"/>
        <v>0</v>
      </c>
      <c r="P264" s="2213">
        <f t="shared" si="24"/>
        <v>0</v>
      </c>
    </row>
    <row r="265" spans="1:16" ht="14.5">
      <c r="A265" s="2042" t="s">
        <v>3142</v>
      </c>
      <c r="B265" s="380" t="str">
        <f t="shared" si="21"/>
        <v>167-901</v>
      </c>
      <c r="C265" s="2042" t="s">
        <v>813</v>
      </c>
      <c r="D265" s="2043">
        <v>592</v>
      </c>
      <c r="E265" s="2043">
        <v>515</v>
      </c>
      <c r="F265" s="2043">
        <f t="shared" si="22"/>
        <v>0</v>
      </c>
      <c r="G265" s="2043">
        <f t="shared" si="23"/>
        <v>0</v>
      </c>
      <c r="H265" s="2208">
        <v>0</v>
      </c>
      <c r="I265" s="2209">
        <v>0</v>
      </c>
      <c r="J265" s="2210">
        <v>0</v>
      </c>
      <c r="K265" s="2208">
        <v>0</v>
      </c>
      <c r="L265" s="2208">
        <v>0</v>
      </c>
      <c r="M265" s="2211">
        <v>0</v>
      </c>
      <c r="N265" s="2212">
        <v>0</v>
      </c>
      <c r="O265" s="1118">
        <f t="shared" si="20"/>
        <v>0</v>
      </c>
      <c r="P265" s="2213">
        <f t="shared" si="24"/>
        <v>0</v>
      </c>
    </row>
    <row r="266" spans="1:16" ht="14.5">
      <c r="A266" s="2042" t="s">
        <v>3664</v>
      </c>
      <c r="B266" s="380" t="str">
        <f t="shared" si="21"/>
        <v>042-901</v>
      </c>
      <c r="C266" s="2042" t="s">
        <v>1098</v>
      </c>
      <c r="D266" s="2043">
        <v>918</v>
      </c>
      <c r="E266" s="2043">
        <v>842</v>
      </c>
      <c r="F266" s="2043">
        <f t="shared" si="22"/>
        <v>0</v>
      </c>
      <c r="G266" s="2043">
        <f t="shared" si="23"/>
        <v>0</v>
      </c>
      <c r="H266" s="2208">
        <v>0</v>
      </c>
      <c r="I266" s="2209">
        <v>0</v>
      </c>
      <c r="J266" s="2210">
        <v>0</v>
      </c>
      <c r="K266" s="2208">
        <v>0</v>
      </c>
      <c r="L266" s="2208">
        <v>0</v>
      </c>
      <c r="M266" s="2211">
        <v>0</v>
      </c>
      <c r="N266" s="2212">
        <v>0</v>
      </c>
      <c r="O266" s="1118">
        <f t="shared" si="20"/>
        <v>0</v>
      </c>
      <c r="P266" s="2213">
        <f t="shared" si="24"/>
        <v>0</v>
      </c>
    </row>
    <row r="267" spans="1:16" ht="14.5">
      <c r="A267" s="2042" t="s">
        <v>7352</v>
      </c>
      <c r="B267" s="380" t="str">
        <f t="shared" si="21"/>
        <v>015-913</v>
      </c>
      <c r="C267" s="2042" t="s">
        <v>969</v>
      </c>
      <c r="D267" s="2043">
        <v>965</v>
      </c>
      <c r="E267" s="2043">
        <v>890</v>
      </c>
      <c r="F267" s="2043">
        <f t="shared" si="22"/>
        <v>0</v>
      </c>
      <c r="G267" s="2043">
        <f t="shared" si="23"/>
        <v>0</v>
      </c>
      <c r="H267" s="2208">
        <v>0</v>
      </c>
      <c r="I267" s="2209">
        <v>0</v>
      </c>
      <c r="J267" s="2210">
        <v>0</v>
      </c>
      <c r="K267" s="2208">
        <v>0</v>
      </c>
      <c r="L267" s="2208">
        <v>0</v>
      </c>
      <c r="M267" s="2211">
        <v>0</v>
      </c>
      <c r="N267" s="2212">
        <v>239588</v>
      </c>
      <c r="O267" s="1118">
        <f t="shared" si="20"/>
        <v>239588</v>
      </c>
      <c r="P267" s="2213">
        <f t="shared" si="24"/>
        <v>64508.706809748728</v>
      </c>
    </row>
    <row r="268" spans="1:16" ht="14.5">
      <c r="A268" s="2042" t="s">
        <v>3582</v>
      </c>
      <c r="B268" s="380" t="str">
        <f t="shared" si="21"/>
        <v>027-904</v>
      </c>
      <c r="C268" s="2042" t="s">
        <v>276</v>
      </c>
      <c r="D268" s="2043">
        <v>4174</v>
      </c>
      <c r="E268" s="2043">
        <v>4099</v>
      </c>
      <c r="F268" s="2043">
        <f t="shared" si="22"/>
        <v>0</v>
      </c>
      <c r="G268" s="2043">
        <f t="shared" si="23"/>
        <v>0</v>
      </c>
      <c r="H268" s="2208">
        <v>0</v>
      </c>
      <c r="I268" s="2209">
        <v>0</v>
      </c>
      <c r="J268" s="2210">
        <v>0</v>
      </c>
      <c r="K268" s="2208">
        <v>0</v>
      </c>
      <c r="L268" s="2208">
        <v>0</v>
      </c>
      <c r="M268" s="2211">
        <v>0</v>
      </c>
      <c r="N268" s="2212">
        <v>0</v>
      </c>
      <c r="O268" s="1118">
        <f t="shared" si="20"/>
        <v>0</v>
      </c>
      <c r="P268" s="2213">
        <f t="shared" si="24"/>
        <v>0</v>
      </c>
    </row>
    <row r="269" spans="1:16" ht="14.5">
      <c r="A269" s="2042" t="s">
        <v>7356</v>
      </c>
      <c r="B269" s="380" t="str">
        <f t="shared" si="21"/>
        <v>180-901</v>
      </c>
      <c r="C269" s="2042" t="s">
        <v>7357</v>
      </c>
      <c r="D269" s="2043">
        <v>281</v>
      </c>
      <c r="E269" s="2043">
        <v>206</v>
      </c>
      <c r="F269" s="2043">
        <f t="shared" si="22"/>
        <v>0</v>
      </c>
      <c r="G269" s="2043">
        <f t="shared" si="23"/>
        <v>0</v>
      </c>
      <c r="H269" s="2208">
        <v>0</v>
      </c>
      <c r="I269" s="2209">
        <v>0</v>
      </c>
      <c r="J269" s="2210">
        <v>0</v>
      </c>
      <c r="K269" s="2208">
        <v>0</v>
      </c>
      <c r="L269" s="2208">
        <v>0</v>
      </c>
      <c r="M269" s="2211">
        <v>0</v>
      </c>
      <c r="N269" s="2212">
        <v>74955</v>
      </c>
      <c r="O269" s="1118">
        <f t="shared" si="20"/>
        <v>74955</v>
      </c>
      <c r="P269" s="2213">
        <f t="shared" si="24"/>
        <v>20181.520438939828</v>
      </c>
    </row>
    <row r="270" spans="1:16" ht="14.5">
      <c r="A270" s="2042" t="s">
        <v>5256</v>
      </c>
      <c r="B270" s="380" t="str">
        <f t="shared" si="21"/>
        <v>212-904</v>
      </c>
      <c r="C270" s="2042" t="s">
        <v>1884</v>
      </c>
      <c r="D270" s="2043">
        <v>1098</v>
      </c>
      <c r="E270" s="2043">
        <v>1023</v>
      </c>
      <c r="F270" s="2043">
        <f t="shared" si="22"/>
        <v>0</v>
      </c>
      <c r="G270" s="2043">
        <f t="shared" si="23"/>
        <v>0</v>
      </c>
      <c r="H270" s="2208">
        <v>0</v>
      </c>
      <c r="I270" s="2209">
        <v>0</v>
      </c>
      <c r="J270" s="2210">
        <v>0</v>
      </c>
      <c r="K270" s="2208">
        <v>0</v>
      </c>
      <c r="L270" s="2208">
        <v>0</v>
      </c>
      <c r="M270" s="2211">
        <v>0</v>
      </c>
      <c r="N270" s="2212">
        <v>0</v>
      </c>
      <c r="O270" s="1118">
        <f t="shared" si="20"/>
        <v>0</v>
      </c>
      <c r="P270" s="2213">
        <f t="shared" si="24"/>
        <v>0</v>
      </c>
    </row>
    <row r="271" spans="1:16" ht="14.5">
      <c r="A271" s="2042" t="s">
        <v>5253</v>
      </c>
      <c r="B271" s="380" t="str">
        <f t="shared" si="21"/>
        <v>210-904</v>
      </c>
      <c r="C271" s="2042" t="s">
        <v>1681</v>
      </c>
      <c r="D271" s="2043">
        <v>575</v>
      </c>
      <c r="E271" s="2043">
        <v>500</v>
      </c>
      <c r="F271" s="2043">
        <f t="shared" si="22"/>
        <v>0</v>
      </c>
      <c r="G271" s="2043">
        <f t="shared" si="23"/>
        <v>0</v>
      </c>
      <c r="H271" s="2208">
        <v>0</v>
      </c>
      <c r="I271" s="2209">
        <v>0</v>
      </c>
      <c r="J271" s="2210">
        <v>0</v>
      </c>
      <c r="K271" s="2208">
        <v>0</v>
      </c>
      <c r="L271" s="2208">
        <v>0</v>
      </c>
      <c r="M271" s="2211">
        <v>0</v>
      </c>
      <c r="N271" s="2212">
        <v>0</v>
      </c>
      <c r="O271" s="1118">
        <f t="shared" si="20"/>
        <v>0</v>
      </c>
      <c r="P271" s="2213">
        <f t="shared" si="24"/>
        <v>0</v>
      </c>
    </row>
    <row r="272" spans="1:16" ht="14.5">
      <c r="A272" s="2042" t="s">
        <v>5124</v>
      </c>
      <c r="B272" s="380" t="str">
        <f t="shared" si="21"/>
        <v>128-903</v>
      </c>
      <c r="C272" s="2042" t="s">
        <v>1923</v>
      </c>
      <c r="D272" s="2043">
        <v>304</v>
      </c>
      <c r="E272" s="2043">
        <v>229</v>
      </c>
      <c r="F272" s="2043">
        <f t="shared" si="22"/>
        <v>0</v>
      </c>
      <c r="G272" s="2043">
        <f t="shared" si="23"/>
        <v>0</v>
      </c>
      <c r="H272" s="2208">
        <v>0</v>
      </c>
      <c r="I272" s="2209">
        <v>0</v>
      </c>
      <c r="J272" s="2210">
        <v>0</v>
      </c>
      <c r="K272" s="2208">
        <v>0</v>
      </c>
      <c r="L272" s="2208">
        <v>0</v>
      </c>
      <c r="M272" s="2211">
        <v>0</v>
      </c>
      <c r="N272" s="2212">
        <v>0</v>
      </c>
      <c r="O272" s="1118">
        <f t="shared" si="20"/>
        <v>0</v>
      </c>
      <c r="P272" s="2213">
        <f t="shared" si="24"/>
        <v>0</v>
      </c>
    </row>
    <row r="273" spans="1:16" ht="14.5">
      <c r="A273" s="2042" t="s">
        <v>5790</v>
      </c>
      <c r="B273" s="380" t="str">
        <f t="shared" si="21"/>
        <v>067-907</v>
      </c>
      <c r="C273" s="2042" t="s">
        <v>1857</v>
      </c>
      <c r="D273" s="2043">
        <v>426</v>
      </c>
      <c r="E273" s="2043">
        <v>351</v>
      </c>
      <c r="F273" s="2043">
        <f t="shared" si="22"/>
        <v>0</v>
      </c>
      <c r="G273" s="2043">
        <f t="shared" si="23"/>
        <v>0</v>
      </c>
      <c r="H273" s="2208">
        <v>0</v>
      </c>
      <c r="I273" s="2209">
        <v>0</v>
      </c>
      <c r="J273" s="2210">
        <v>0</v>
      </c>
      <c r="K273" s="2208">
        <v>0</v>
      </c>
      <c r="L273" s="2208">
        <v>0</v>
      </c>
      <c r="M273" s="2211">
        <v>0</v>
      </c>
      <c r="N273" s="2212">
        <v>0</v>
      </c>
      <c r="O273" s="1118">
        <f t="shared" si="20"/>
        <v>0</v>
      </c>
      <c r="P273" s="2213">
        <f t="shared" si="24"/>
        <v>0</v>
      </c>
    </row>
    <row r="274" spans="1:16" ht="14.5">
      <c r="A274" s="2042" t="s">
        <v>5112</v>
      </c>
      <c r="B274" s="380" t="str">
        <f t="shared" si="21"/>
        <v>120-901</v>
      </c>
      <c r="C274" s="2042" t="s">
        <v>583</v>
      </c>
      <c r="D274" s="2043">
        <v>1557</v>
      </c>
      <c r="E274" s="2043">
        <v>1483</v>
      </c>
      <c r="F274" s="2043">
        <f t="shared" si="22"/>
        <v>0</v>
      </c>
      <c r="G274" s="2043">
        <f t="shared" si="23"/>
        <v>0</v>
      </c>
      <c r="H274" s="2208">
        <v>0</v>
      </c>
      <c r="I274" s="2209">
        <v>0</v>
      </c>
      <c r="J274" s="2210">
        <v>0</v>
      </c>
      <c r="K274" s="2208">
        <v>0</v>
      </c>
      <c r="L274" s="2208">
        <v>0</v>
      </c>
      <c r="M274" s="2211">
        <v>0</v>
      </c>
      <c r="N274" s="2212">
        <v>0</v>
      </c>
      <c r="O274" s="1118">
        <f t="shared" si="20"/>
        <v>0</v>
      </c>
      <c r="P274" s="2213">
        <f t="shared" si="24"/>
        <v>0</v>
      </c>
    </row>
    <row r="275" spans="1:16" ht="14.5">
      <c r="A275" s="2042" t="s">
        <v>5079</v>
      </c>
      <c r="B275" s="380" t="str">
        <f t="shared" si="21"/>
        <v>102-906</v>
      </c>
      <c r="C275" s="2042" t="s">
        <v>147</v>
      </c>
      <c r="D275" s="2043">
        <v>920</v>
      </c>
      <c r="E275" s="2043">
        <v>846</v>
      </c>
      <c r="F275" s="2043">
        <f t="shared" si="22"/>
        <v>0</v>
      </c>
      <c r="G275" s="2043">
        <f t="shared" si="23"/>
        <v>0</v>
      </c>
      <c r="H275" s="2208">
        <v>0</v>
      </c>
      <c r="I275" s="2209">
        <v>0</v>
      </c>
      <c r="J275" s="2210">
        <v>0</v>
      </c>
      <c r="K275" s="2208">
        <v>0</v>
      </c>
      <c r="L275" s="2208">
        <v>0</v>
      </c>
      <c r="M275" s="2211">
        <v>0</v>
      </c>
      <c r="N275" s="2212">
        <v>0</v>
      </c>
      <c r="O275" s="1118">
        <f t="shared" si="20"/>
        <v>0</v>
      </c>
      <c r="P275" s="2213">
        <f t="shared" si="24"/>
        <v>0</v>
      </c>
    </row>
    <row r="276" spans="1:16" ht="14.5">
      <c r="A276" s="2042" t="s">
        <v>4918</v>
      </c>
      <c r="B276" s="380" t="str">
        <f t="shared" si="21"/>
        <v>001-904</v>
      </c>
      <c r="C276" s="2042" t="s">
        <v>267</v>
      </c>
      <c r="D276" s="2043">
        <v>842</v>
      </c>
      <c r="E276" s="2043">
        <v>769</v>
      </c>
      <c r="F276" s="2043">
        <f t="shared" si="22"/>
        <v>0</v>
      </c>
      <c r="G276" s="2043">
        <f t="shared" si="23"/>
        <v>0</v>
      </c>
      <c r="H276" s="2208">
        <v>0</v>
      </c>
      <c r="I276" s="2209">
        <v>0</v>
      </c>
      <c r="J276" s="2210">
        <v>0</v>
      </c>
      <c r="K276" s="2208">
        <v>0</v>
      </c>
      <c r="L276" s="2208">
        <v>0</v>
      </c>
      <c r="M276" s="2211">
        <v>0</v>
      </c>
      <c r="N276" s="2212">
        <v>0</v>
      </c>
      <c r="O276" s="1118">
        <f t="shared" si="20"/>
        <v>0</v>
      </c>
      <c r="P276" s="2213">
        <f t="shared" si="24"/>
        <v>0</v>
      </c>
    </row>
    <row r="277" spans="1:16" ht="14.5">
      <c r="A277" s="2042" t="s">
        <v>5078</v>
      </c>
      <c r="B277" s="380" t="str">
        <f t="shared" si="21"/>
        <v>102-905</v>
      </c>
      <c r="C277" s="2042" t="s">
        <v>1962</v>
      </c>
      <c r="D277" s="2043">
        <v>787</v>
      </c>
      <c r="E277" s="2043">
        <v>714</v>
      </c>
      <c r="F277" s="2043">
        <f t="shared" si="22"/>
        <v>0</v>
      </c>
      <c r="G277" s="2043">
        <f t="shared" si="23"/>
        <v>0</v>
      </c>
      <c r="H277" s="2208">
        <v>0</v>
      </c>
      <c r="I277" s="2209">
        <v>0</v>
      </c>
      <c r="J277" s="2210">
        <v>0</v>
      </c>
      <c r="K277" s="2208">
        <v>0</v>
      </c>
      <c r="L277" s="2208">
        <v>0</v>
      </c>
      <c r="M277" s="2211">
        <v>0</v>
      </c>
      <c r="N277" s="2212">
        <v>0</v>
      </c>
      <c r="O277" s="1118">
        <f t="shared" si="20"/>
        <v>0</v>
      </c>
      <c r="P277" s="2213">
        <f t="shared" si="24"/>
        <v>0</v>
      </c>
    </row>
    <row r="278" spans="1:16" ht="14.5">
      <c r="A278" s="2042" t="s">
        <v>5299</v>
      </c>
      <c r="B278" s="380" t="str">
        <f t="shared" si="21"/>
        <v>241-903</v>
      </c>
      <c r="C278" s="2042" t="s">
        <v>1151</v>
      </c>
      <c r="D278" s="2043">
        <v>3601</v>
      </c>
      <c r="E278" s="2043">
        <v>3530</v>
      </c>
      <c r="F278" s="2043">
        <f t="shared" si="22"/>
        <v>0</v>
      </c>
      <c r="G278" s="2043">
        <f t="shared" si="23"/>
        <v>0</v>
      </c>
      <c r="H278" s="2208">
        <v>0</v>
      </c>
      <c r="I278" s="2209">
        <v>0</v>
      </c>
      <c r="J278" s="2210">
        <v>0</v>
      </c>
      <c r="K278" s="2208">
        <v>0</v>
      </c>
      <c r="L278" s="2208">
        <v>0</v>
      </c>
      <c r="M278" s="2211">
        <v>0</v>
      </c>
      <c r="N278" s="2212">
        <v>0</v>
      </c>
      <c r="O278" s="1118">
        <f t="shared" si="20"/>
        <v>0</v>
      </c>
      <c r="P278" s="2213">
        <f t="shared" si="24"/>
        <v>0</v>
      </c>
    </row>
    <row r="279" spans="1:16" ht="14.5">
      <c r="A279" s="2042" t="s">
        <v>2858</v>
      </c>
      <c r="B279" s="380" t="str">
        <f t="shared" si="21"/>
        <v>007-905</v>
      </c>
      <c r="C279" s="2042" t="s">
        <v>947</v>
      </c>
      <c r="D279" s="2043">
        <v>3508</v>
      </c>
      <c r="E279" s="2043">
        <v>3437</v>
      </c>
      <c r="F279" s="2043">
        <f t="shared" si="22"/>
        <v>0</v>
      </c>
      <c r="G279" s="2043">
        <f t="shared" si="23"/>
        <v>0</v>
      </c>
      <c r="H279" s="2208">
        <v>0</v>
      </c>
      <c r="I279" s="2209">
        <v>0</v>
      </c>
      <c r="J279" s="2210">
        <v>0</v>
      </c>
      <c r="K279" s="2208">
        <v>0</v>
      </c>
      <c r="L279" s="2208">
        <v>0</v>
      </c>
      <c r="M279" s="2211">
        <v>0</v>
      </c>
      <c r="N279" s="2212">
        <v>0</v>
      </c>
      <c r="O279" s="1118">
        <f t="shared" si="20"/>
        <v>0</v>
      </c>
      <c r="P279" s="2213">
        <f t="shared" si="24"/>
        <v>0</v>
      </c>
    </row>
    <row r="280" spans="1:16" ht="14.5">
      <c r="A280" s="2042" t="s">
        <v>5161</v>
      </c>
      <c r="B280" s="380" t="str">
        <f t="shared" si="21"/>
        <v>152-908</v>
      </c>
      <c r="C280" s="2042" t="s">
        <v>521</v>
      </c>
      <c r="D280" s="2043">
        <v>1085</v>
      </c>
      <c r="E280" s="2043">
        <v>1014</v>
      </c>
      <c r="F280" s="2043">
        <f t="shared" si="22"/>
        <v>0</v>
      </c>
      <c r="G280" s="2043">
        <f t="shared" si="23"/>
        <v>0</v>
      </c>
      <c r="H280" s="2208">
        <v>0</v>
      </c>
      <c r="I280" s="2209">
        <v>0</v>
      </c>
      <c r="J280" s="2210">
        <v>0</v>
      </c>
      <c r="K280" s="2208">
        <v>0</v>
      </c>
      <c r="L280" s="2208">
        <v>0</v>
      </c>
      <c r="M280" s="2211">
        <v>0</v>
      </c>
      <c r="N280" s="2212">
        <v>0</v>
      </c>
      <c r="O280" s="1118">
        <f t="shared" si="20"/>
        <v>0</v>
      </c>
      <c r="P280" s="2213">
        <f t="shared" si="24"/>
        <v>0</v>
      </c>
    </row>
    <row r="281" spans="1:16" ht="14.5">
      <c r="A281" s="2042" t="s">
        <v>5777</v>
      </c>
      <c r="B281" s="380" t="str">
        <f t="shared" si="21"/>
        <v>054-901</v>
      </c>
      <c r="C281" s="2042" t="s">
        <v>978</v>
      </c>
      <c r="D281" s="2043">
        <v>387</v>
      </c>
      <c r="E281" s="2043">
        <v>316</v>
      </c>
      <c r="F281" s="2043">
        <f t="shared" si="22"/>
        <v>0</v>
      </c>
      <c r="G281" s="2043">
        <f t="shared" si="23"/>
        <v>0</v>
      </c>
      <c r="H281" s="2208">
        <v>0</v>
      </c>
      <c r="I281" s="2209">
        <v>0</v>
      </c>
      <c r="J281" s="2210">
        <v>0</v>
      </c>
      <c r="K281" s="2208">
        <v>0</v>
      </c>
      <c r="L281" s="2208">
        <v>0</v>
      </c>
      <c r="M281" s="2211">
        <v>0</v>
      </c>
      <c r="N281" s="2212">
        <v>0</v>
      </c>
      <c r="O281" s="1118">
        <f t="shared" ref="O281:O344" si="25">IF(N281&gt;M281,N281-M281,0)</f>
        <v>0</v>
      </c>
      <c r="P281" s="2213">
        <f t="shared" si="24"/>
        <v>0</v>
      </c>
    </row>
    <row r="282" spans="1:16" ht="14.5">
      <c r="A282" s="2042" t="s">
        <v>5302</v>
      </c>
      <c r="B282" s="380" t="str">
        <f t="shared" si="21"/>
        <v>242-903</v>
      </c>
      <c r="C282" s="2042" t="s">
        <v>1155</v>
      </c>
      <c r="D282" s="2043">
        <v>487</v>
      </c>
      <c r="E282" s="2043">
        <v>417</v>
      </c>
      <c r="F282" s="2043">
        <f t="shared" si="22"/>
        <v>0</v>
      </c>
      <c r="G282" s="2043">
        <f t="shared" si="23"/>
        <v>0</v>
      </c>
      <c r="H282" s="2208">
        <v>0</v>
      </c>
      <c r="I282" s="2209">
        <v>0</v>
      </c>
      <c r="J282" s="2210">
        <v>0</v>
      </c>
      <c r="K282" s="2208">
        <v>0</v>
      </c>
      <c r="L282" s="2208">
        <v>0</v>
      </c>
      <c r="M282" s="2211">
        <v>0</v>
      </c>
      <c r="N282" s="2212">
        <v>104052</v>
      </c>
      <c r="O282" s="1118">
        <f t="shared" si="25"/>
        <v>104052</v>
      </c>
      <c r="P282" s="2213">
        <f t="shared" si="24"/>
        <v>28015.843702388996</v>
      </c>
    </row>
    <row r="283" spans="1:16" ht="14.5">
      <c r="A283" s="2042" t="s">
        <v>5232</v>
      </c>
      <c r="B283" s="380" t="str">
        <f t="shared" si="21"/>
        <v>192-901</v>
      </c>
      <c r="C283" s="2042" t="s">
        <v>145</v>
      </c>
      <c r="D283" s="2043">
        <v>907</v>
      </c>
      <c r="E283" s="2043">
        <v>837</v>
      </c>
      <c r="F283" s="2043">
        <f t="shared" si="22"/>
        <v>0</v>
      </c>
      <c r="G283" s="2043">
        <f t="shared" si="23"/>
        <v>0</v>
      </c>
      <c r="H283" s="2208">
        <v>0</v>
      </c>
      <c r="I283" s="2209">
        <v>0</v>
      </c>
      <c r="J283" s="2210">
        <v>0</v>
      </c>
      <c r="K283" s="2208">
        <v>0</v>
      </c>
      <c r="L283" s="2208">
        <v>0</v>
      </c>
      <c r="M283" s="2211">
        <v>0</v>
      </c>
      <c r="N283" s="2212">
        <v>0</v>
      </c>
      <c r="O283" s="1118">
        <f t="shared" si="25"/>
        <v>0</v>
      </c>
      <c r="P283" s="2213">
        <f t="shared" si="24"/>
        <v>0</v>
      </c>
    </row>
    <row r="284" spans="1:16" ht="14.5">
      <c r="A284" s="2042" t="s">
        <v>5088</v>
      </c>
      <c r="B284" s="380" t="str">
        <f t="shared" si="21"/>
        <v>107-904</v>
      </c>
      <c r="C284" s="2042" t="s">
        <v>1275</v>
      </c>
      <c r="D284" s="2043">
        <v>598</v>
      </c>
      <c r="E284" s="2043">
        <v>528</v>
      </c>
      <c r="F284" s="2043">
        <f t="shared" si="22"/>
        <v>0</v>
      </c>
      <c r="G284" s="2043">
        <f t="shared" si="23"/>
        <v>0</v>
      </c>
      <c r="H284" s="2208">
        <v>0</v>
      </c>
      <c r="I284" s="2209">
        <v>0</v>
      </c>
      <c r="J284" s="2210">
        <v>0</v>
      </c>
      <c r="K284" s="2208">
        <v>0</v>
      </c>
      <c r="L284" s="2208">
        <v>0</v>
      </c>
      <c r="M284" s="2211">
        <v>0</v>
      </c>
      <c r="N284" s="2212">
        <v>0</v>
      </c>
      <c r="O284" s="1118">
        <f t="shared" si="25"/>
        <v>0</v>
      </c>
      <c r="P284" s="2213">
        <f t="shared" si="24"/>
        <v>0</v>
      </c>
    </row>
    <row r="285" spans="1:16" ht="14.5">
      <c r="A285" s="2042" t="s">
        <v>5298</v>
      </c>
      <c r="B285" s="380" t="str">
        <f t="shared" si="21"/>
        <v>241-902</v>
      </c>
      <c r="C285" s="2042" t="s">
        <v>1150</v>
      </c>
      <c r="D285" s="2043">
        <v>1001</v>
      </c>
      <c r="E285" s="2043">
        <v>931</v>
      </c>
      <c r="F285" s="2043">
        <f t="shared" si="22"/>
        <v>0</v>
      </c>
      <c r="G285" s="2043">
        <f t="shared" si="23"/>
        <v>0</v>
      </c>
      <c r="H285" s="2208">
        <v>0</v>
      </c>
      <c r="I285" s="2209">
        <v>0</v>
      </c>
      <c r="J285" s="2210">
        <v>0</v>
      </c>
      <c r="K285" s="2208">
        <v>0</v>
      </c>
      <c r="L285" s="2208">
        <v>0</v>
      </c>
      <c r="M285" s="2211">
        <v>0</v>
      </c>
      <c r="N285" s="2212">
        <v>0</v>
      </c>
      <c r="O285" s="1118">
        <f t="shared" si="25"/>
        <v>0</v>
      </c>
      <c r="P285" s="2213">
        <f t="shared" si="24"/>
        <v>0</v>
      </c>
    </row>
    <row r="286" spans="1:16" ht="14.5">
      <c r="A286" s="2042" t="s">
        <v>3029</v>
      </c>
      <c r="B286" s="380" t="str">
        <f t="shared" si="21"/>
        <v>104-901</v>
      </c>
      <c r="C286" s="2042" t="s">
        <v>782</v>
      </c>
      <c r="D286" s="2043">
        <v>620</v>
      </c>
      <c r="E286" s="2043">
        <v>550</v>
      </c>
      <c r="F286" s="2043">
        <f t="shared" si="22"/>
        <v>0</v>
      </c>
      <c r="G286" s="2043">
        <f t="shared" si="23"/>
        <v>0</v>
      </c>
      <c r="H286" s="2208">
        <v>0</v>
      </c>
      <c r="I286" s="2209">
        <v>0</v>
      </c>
      <c r="J286" s="2210">
        <v>0</v>
      </c>
      <c r="K286" s="2208">
        <v>0</v>
      </c>
      <c r="L286" s="2208">
        <v>0</v>
      </c>
      <c r="M286" s="2211">
        <v>0</v>
      </c>
      <c r="N286" s="2212">
        <v>0</v>
      </c>
      <c r="O286" s="1118">
        <f t="shared" si="25"/>
        <v>0</v>
      </c>
      <c r="P286" s="2213">
        <f t="shared" si="24"/>
        <v>0</v>
      </c>
    </row>
    <row r="287" spans="1:16" ht="14.5">
      <c r="A287" s="2042" t="s">
        <v>2912</v>
      </c>
      <c r="B287" s="380" t="str">
        <f t="shared" si="21"/>
        <v>030-902</v>
      </c>
      <c r="C287" s="2042" t="s">
        <v>29</v>
      </c>
      <c r="D287" s="2043">
        <v>1466</v>
      </c>
      <c r="E287" s="2043">
        <v>1397</v>
      </c>
      <c r="F287" s="2043">
        <f t="shared" si="22"/>
        <v>0</v>
      </c>
      <c r="G287" s="2043">
        <f t="shared" si="23"/>
        <v>0</v>
      </c>
      <c r="H287" s="2208">
        <v>0</v>
      </c>
      <c r="I287" s="2209">
        <v>0</v>
      </c>
      <c r="J287" s="2210">
        <v>0</v>
      </c>
      <c r="K287" s="2208">
        <v>0</v>
      </c>
      <c r="L287" s="2208">
        <v>0</v>
      </c>
      <c r="M287" s="2211">
        <v>0</v>
      </c>
      <c r="N287" s="2212">
        <v>0</v>
      </c>
      <c r="O287" s="1118">
        <f t="shared" si="25"/>
        <v>0</v>
      </c>
      <c r="P287" s="2213">
        <f t="shared" si="24"/>
        <v>0</v>
      </c>
    </row>
    <row r="288" spans="1:16" ht="14.5">
      <c r="A288" s="2042" t="s">
        <v>5778</v>
      </c>
      <c r="B288" s="380" t="str">
        <f t="shared" si="21"/>
        <v>054-902</v>
      </c>
      <c r="C288" s="2042" t="s">
        <v>623</v>
      </c>
      <c r="D288" s="2043">
        <v>298</v>
      </c>
      <c r="E288" s="2043">
        <v>229</v>
      </c>
      <c r="F288" s="2043">
        <f t="shared" si="22"/>
        <v>0</v>
      </c>
      <c r="G288" s="2043">
        <f t="shared" si="23"/>
        <v>0</v>
      </c>
      <c r="H288" s="2208">
        <v>0</v>
      </c>
      <c r="I288" s="2209">
        <v>0</v>
      </c>
      <c r="J288" s="2210">
        <v>0</v>
      </c>
      <c r="K288" s="2208">
        <v>0</v>
      </c>
      <c r="L288" s="2208">
        <v>0</v>
      </c>
      <c r="M288" s="2211">
        <v>0</v>
      </c>
      <c r="N288" s="2212">
        <v>0</v>
      </c>
      <c r="O288" s="1118">
        <f t="shared" si="25"/>
        <v>0</v>
      </c>
      <c r="P288" s="2213">
        <f t="shared" si="24"/>
        <v>0</v>
      </c>
    </row>
    <row r="289" spans="1:16" ht="14.5">
      <c r="A289" s="2042" t="s">
        <v>5237</v>
      </c>
      <c r="B289" s="380" t="str">
        <f t="shared" si="21"/>
        <v>196-903</v>
      </c>
      <c r="C289" s="2042" t="s">
        <v>1534</v>
      </c>
      <c r="D289" s="2043">
        <v>751</v>
      </c>
      <c r="E289" s="2043">
        <v>682</v>
      </c>
      <c r="F289" s="2043">
        <f t="shared" si="22"/>
        <v>0</v>
      </c>
      <c r="G289" s="2043">
        <f t="shared" si="23"/>
        <v>0</v>
      </c>
      <c r="H289" s="2208">
        <v>0</v>
      </c>
      <c r="I289" s="2209">
        <v>0</v>
      </c>
      <c r="J289" s="2210">
        <v>0</v>
      </c>
      <c r="K289" s="2208">
        <v>0</v>
      </c>
      <c r="L289" s="2208">
        <v>0</v>
      </c>
      <c r="M289" s="2211">
        <v>0</v>
      </c>
      <c r="N289" s="2212">
        <v>0</v>
      </c>
      <c r="O289" s="1118">
        <f t="shared" si="25"/>
        <v>0</v>
      </c>
      <c r="P289" s="2213">
        <f t="shared" si="24"/>
        <v>0</v>
      </c>
    </row>
    <row r="290" spans="1:16" ht="14.5">
      <c r="A290" s="2042" t="s">
        <v>2928</v>
      </c>
      <c r="B290" s="380" t="str">
        <f t="shared" si="21"/>
        <v>039-903</v>
      </c>
      <c r="C290" s="2042" t="s">
        <v>3318</v>
      </c>
      <c r="D290" s="2043">
        <v>515</v>
      </c>
      <c r="E290" s="2043">
        <v>446</v>
      </c>
      <c r="F290" s="2043">
        <f t="shared" si="22"/>
        <v>0</v>
      </c>
      <c r="G290" s="2043">
        <f t="shared" si="23"/>
        <v>0</v>
      </c>
      <c r="H290" s="2208">
        <v>0</v>
      </c>
      <c r="I290" s="2209">
        <v>0</v>
      </c>
      <c r="J290" s="2210">
        <v>0</v>
      </c>
      <c r="K290" s="2208">
        <v>0</v>
      </c>
      <c r="L290" s="2208">
        <v>0</v>
      </c>
      <c r="M290" s="2211">
        <v>0</v>
      </c>
      <c r="N290" s="2212">
        <v>0</v>
      </c>
      <c r="O290" s="1118">
        <f t="shared" si="25"/>
        <v>0</v>
      </c>
      <c r="P290" s="2213">
        <f t="shared" si="24"/>
        <v>0</v>
      </c>
    </row>
    <row r="291" spans="1:16" ht="14.5">
      <c r="A291" s="2042" t="s">
        <v>5104</v>
      </c>
      <c r="B291" s="380" t="str">
        <f t="shared" si="21"/>
        <v>116-910</v>
      </c>
      <c r="C291" s="2042" t="s">
        <v>1489</v>
      </c>
      <c r="D291" s="2043">
        <v>354</v>
      </c>
      <c r="E291" s="2043">
        <v>287</v>
      </c>
      <c r="F291" s="2043">
        <f t="shared" si="22"/>
        <v>0</v>
      </c>
      <c r="G291" s="2043">
        <f t="shared" si="23"/>
        <v>0</v>
      </c>
      <c r="H291" s="2208">
        <v>0</v>
      </c>
      <c r="I291" s="2209">
        <v>0</v>
      </c>
      <c r="J291" s="2210">
        <v>0</v>
      </c>
      <c r="K291" s="2208">
        <v>0</v>
      </c>
      <c r="L291" s="2208">
        <v>0</v>
      </c>
      <c r="M291" s="2211">
        <v>0</v>
      </c>
      <c r="N291" s="2212">
        <v>0</v>
      </c>
      <c r="O291" s="1118">
        <f t="shared" si="25"/>
        <v>0</v>
      </c>
      <c r="P291" s="2213">
        <f t="shared" si="24"/>
        <v>0</v>
      </c>
    </row>
    <row r="292" spans="1:16" ht="14.5">
      <c r="A292" s="2042" t="s">
        <v>3257</v>
      </c>
      <c r="B292" s="380" t="str">
        <f t="shared" si="21"/>
        <v>245-903</v>
      </c>
      <c r="C292" s="2042" t="s">
        <v>76</v>
      </c>
      <c r="D292" s="2043">
        <v>2147</v>
      </c>
      <c r="E292" s="2043">
        <v>2080</v>
      </c>
      <c r="F292" s="2043">
        <f t="shared" si="22"/>
        <v>0</v>
      </c>
      <c r="G292" s="2043">
        <f t="shared" si="23"/>
        <v>0</v>
      </c>
      <c r="H292" s="2208">
        <v>0</v>
      </c>
      <c r="I292" s="2209">
        <v>0</v>
      </c>
      <c r="J292" s="2210">
        <v>0</v>
      </c>
      <c r="K292" s="2208">
        <v>0</v>
      </c>
      <c r="L292" s="2208">
        <v>0</v>
      </c>
      <c r="M292" s="2211">
        <v>0</v>
      </c>
      <c r="N292" s="2212">
        <v>0</v>
      </c>
      <c r="O292" s="1118">
        <f t="shared" si="25"/>
        <v>0</v>
      </c>
      <c r="P292" s="2213">
        <f t="shared" si="24"/>
        <v>0</v>
      </c>
    </row>
    <row r="293" spans="1:16" ht="14.5">
      <c r="A293" s="2042" t="s">
        <v>3052</v>
      </c>
      <c r="B293" s="380" t="str">
        <f t="shared" si="21"/>
        <v>109-907</v>
      </c>
      <c r="C293" s="2042" t="s">
        <v>382</v>
      </c>
      <c r="D293" s="2043">
        <v>682</v>
      </c>
      <c r="E293" s="2043">
        <v>616</v>
      </c>
      <c r="F293" s="2043">
        <f t="shared" si="22"/>
        <v>0</v>
      </c>
      <c r="G293" s="2043">
        <f t="shared" si="23"/>
        <v>0</v>
      </c>
      <c r="H293" s="2208">
        <v>0</v>
      </c>
      <c r="I293" s="2209">
        <v>0</v>
      </c>
      <c r="J293" s="2210">
        <v>0</v>
      </c>
      <c r="K293" s="2208">
        <v>0</v>
      </c>
      <c r="L293" s="2208">
        <v>0</v>
      </c>
      <c r="M293" s="2211">
        <v>0</v>
      </c>
      <c r="N293" s="2212">
        <v>0</v>
      </c>
      <c r="O293" s="1118">
        <f t="shared" si="25"/>
        <v>0</v>
      </c>
      <c r="P293" s="2213">
        <f t="shared" si="24"/>
        <v>0</v>
      </c>
    </row>
    <row r="294" spans="1:16" ht="14.5">
      <c r="A294" s="2042" t="s">
        <v>5062</v>
      </c>
      <c r="B294" s="380" t="str">
        <f t="shared" si="21"/>
        <v>098-904</v>
      </c>
      <c r="C294" s="2042" t="s">
        <v>2452</v>
      </c>
      <c r="D294" s="2043">
        <v>878</v>
      </c>
      <c r="E294" s="2043">
        <v>812</v>
      </c>
      <c r="F294" s="2043">
        <f t="shared" si="22"/>
        <v>0</v>
      </c>
      <c r="G294" s="2043">
        <f t="shared" si="23"/>
        <v>0</v>
      </c>
      <c r="H294" s="2208">
        <v>0</v>
      </c>
      <c r="I294" s="2209">
        <v>0</v>
      </c>
      <c r="J294" s="2210">
        <v>0</v>
      </c>
      <c r="K294" s="2208">
        <v>0</v>
      </c>
      <c r="L294" s="2208">
        <v>0</v>
      </c>
      <c r="M294" s="2211">
        <v>0</v>
      </c>
      <c r="N294" s="2212">
        <v>0</v>
      </c>
      <c r="O294" s="1118">
        <f t="shared" si="25"/>
        <v>0</v>
      </c>
      <c r="P294" s="2213">
        <f t="shared" si="24"/>
        <v>0</v>
      </c>
    </row>
    <row r="295" spans="1:16" ht="14.5">
      <c r="A295" s="2042" t="s">
        <v>3179</v>
      </c>
      <c r="B295" s="380" t="str">
        <f t="shared" si="21"/>
        <v>189-901</v>
      </c>
      <c r="C295" s="2042" t="s">
        <v>277</v>
      </c>
      <c r="D295" s="2043">
        <v>360</v>
      </c>
      <c r="E295" s="2043">
        <v>294</v>
      </c>
      <c r="F295" s="2043">
        <f t="shared" si="22"/>
        <v>0</v>
      </c>
      <c r="G295" s="2043">
        <f t="shared" si="23"/>
        <v>0</v>
      </c>
      <c r="H295" s="2208">
        <v>0</v>
      </c>
      <c r="I295" s="2209">
        <v>0</v>
      </c>
      <c r="J295" s="2210">
        <v>0</v>
      </c>
      <c r="K295" s="2208">
        <v>0</v>
      </c>
      <c r="L295" s="2208">
        <v>0</v>
      </c>
      <c r="M295" s="2211">
        <v>0</v>
      </c>
      <c r="N295" s="2212">
        <v>0</v>
      </c>
      <c r="O295" s="1118">
        <f t="shared" si="25"/>
        <v>0</v>
      </c>
      <c r="P295" s="2213">
        <f t="shared" si="24"/>
        <v>0</v>
      </c>
    </row>
    <row r="296" spans="1:16" ht="14.5">
      <c r="A296" s="2042" t="s">
        <v>5170</v>
      </c>
      <c r="B296" s="380" t="str">
        <f t="shared" si="21"/>
        <v>158-904</v>
      </c>
      <c r="C296" s="2042" t="s">
        <v>1649</v>
      </c>
      <c r="D296" s="2043">
        <v>172</v>
      </c>
      <c r="E296" s="2043">
        <v>106</v>
      </c>
      <c r="F296" s="2043">
        <f t="shared" si="22"/>
        <v>0</v>
      </c>
      <c r="G296" s="2043">
        <f t="shared" si="23"/>
        <v>0</v>
      </c>
      <c r="H296" s="2208">
        <v>0</v>
      </c>
      <c r="I296" s="2209">
        <v>0</v>
      </c>
      <c r="J296" s="2210">
        <v>0</v>
      </c>
      <c r="K296" s="2208">
        <v>0</v>
      </c>
      <c r="L296" s="2208">
        <v>0</v>
      </c>
      <c r="M296" s="2211">
        <v>0</v>
      </c>
      <c r="N296" s="2212">
        <v>0</v>
      </c>
      <c r="O296" s="1118">
        <f t="shared" si="25"/>
        <v>0</v>
      </c>
      <c r="P296" s="2213">
        <f t="shared" si="24"/>
        <v>0</v>
      </c>
    </row>
    <row r="297" spans="1:16" ht="14.5">
      <c r="A297" s="2042" t="s">
        <v>5805</v>
      </c>
      <c r="B297" s="380" t="str">
        <f t="shared" si="21"/>
        <v>086-902</v>
      </c>
      <c r="C297" s="2042" t="s">
        <v>1688</v>
      </c>
      <c r="D297" s="2043">
        <v>620</v>
      </c>
      <c r="E297" s="2043">
        <v>554</v>
      </c>
      <c r="F297" s="2043">
        <f t="shared" si="22"/>
        <v>0</v>
      </c>
      <c r="G297" s="2043">
        <f t="shared" si="23"/>
        <v>0</v>
      </c>
      <c r="H297" s="2208">
        <v>0</v>
      </c>
      <c r="I297" s="2209">
        <v>0</v>
      </c>
      <c r="J297" s="2210">
        <v>0</v>
      </c>
      <c r="K297" s="2208">
        <v>0</v>
      </c>
      <c r="L297" s="2208">
        <v>0</v>
      </c>
      <c r="M297" s="2211">
        <v>0</v>
      </c>
      <c r="N297" s="2212">
        <v>0</v>
      </c>
      <c r="O297" s="1118">
        <f t="shared" si="25"/>
        <v>0</v>
      </c>
      <c r="P297" s="2213">
        <f t="shared" si="24"/>
        <v>0</v>
      </c>
    </row>
    <row r="298" spans="1:16" ht="14.5">
      <c r="A298" s="2042" t="s">
        <v>3100</v>
      </c>
      <c r="B298" s="380" t="str">
        <f t="shared" si="21"/>
        <v>138-902</v>
      </c>
      <c r="C298" s="2042" t="s">
        <v>1597</v>
      </c>
      <c r="D298" s="2043">
        <v>304</v>
      </c>
      <c r="E298" s="2043">
        <v>239</v>
      </c>
      <c r="F298" s="2043">
        <f t="shared" si="22"/>
        <v>0</v>
      </c>
      <c r="G298" s="2043">
        <f t="shared" si="23"/>
        <v>0</v>
      </c>
      <c r="H298" s="2208">
        <v>0</v>
      </c>
      <c r="I298" s="2209">
        <v>0</v>
      </c>
      <c r="J298" s="2210">
        <v>0</v>
      </c>
      <c r="K298" s="2208">
        <v>0</v>
      </c>
      <c r="L298" s="2208">
        <v>0</v>
      </c>
      <c r="M298" s="2211">
        <v>0</v>
      </c>
      <c r="N298" s="2212">
        <v>0</v>
      </c>
      <c r="O298" s="1118">
        <f t="shared" si="25"/>
        <v>0</v>
      </c>
      <c r="P298" s="2213">
        <f t="shared" si="24"/>
        <v>0</v>
      </c>
    </row>
    <row r="299" spans="1:16" ht="14.5">
      <c r="A299" s="2042" t="s">
        <v>2903</v>
      </c>
      <c r="B299" s="380" t="str">
        <f t="shared" si="21"/>
        <v>025-904</v>
      </c>
      <c r="C299" s="2042" t="s">
        <v>1267</v>
      </c>
      <c r="D299" s="2043">
        <v>208</v>
      </c>
      <c r="E299" s="2043">
        <v>143</v>
      </c>
      <c r="F299" s="2043">
        <f t="shared" si="22"/>
        <v>0</v>
      </c>
      <c r="G299" s="2043">
        <f t="shared" si="23"/>
        <v>0</v>
      </c>
      <c r="H299" s="2208">
        <v>0</v>
      </c>
      <c r="I299" s="2209">
        <v>0</v>
      </c>
      <c r="J299" s="2210">
        <v>0</v>
      </c>
      <c r="K299" s="2208">
        <v>0</v>
      </c>
      <c r="L299" s="2208">
        <v>0</v>
      </c>
      <c r="M299" s="2211">
        <v>0</v>
      </c>
      <c r="N299" s="2212">
        <v>0</v>
      </c>
      <c r="O299" s="1118">
        <f t="shared" si="25"/>
        <v>0</v>
      </c>
      <c r="P299" s="2213">
        <f t="shared" si="24"/>
        <v>0</v>
      </c>
    </row>
    <row r="300" spans="1:16" ht="14.5">
      <c r="A300" s="2042" t="s">
        <v>5033</v>
      </c>
      <c r="B300" s="380" t="str">
        <f t="shared" si="21"/>
        <v>084-908</v>
      </c>
      <c r="C300" s="2042" t="s">
        <v>349</v>
      </c>
      <c r="D300" s="2043">
        <v>1708</v>
      </c>
      <c r="E300" s="2043">
        <v>1644</v>
      </c>
      <c r="F300" s="2043">
        <f t="shared" si="22"/>
        <v>0</v>
      </c>
      <c r="G300" s="2043">
        <f t="shared" si="23"/>
        <v>0</v>
      </c>
      <c r="H300" s="2208">
        <v>0</v>
      </c>
      <c r="I300" s="2209">
        <v>0</v>
      </c>
      <c r="J300" s="2210">
        <v>0</v>
      </c>
      <c r="K300" s="2208">
        <v>0</v>
      </c>
      <c r="L300" s="2208">
        <v>0</v>
      </c>
      <c r="M300" s="2211">
        <v>0</v>
      </c>
      <c r="N300" s="2212">
        <v>0</v>
      </c>
      <c r="O300" s="1118">
        <f t="shared" si="25"/>
        <v>0</v>
      </c>
      <c r="P300" s="2213">
        <f t="shared" si="24"/>
        <v>0</v>
      </c>
    </row>
    <row r="301" spans="1:16" ht="14.5">
      <c r="A301" s="2042" t="s">
        <v>3219</v>
      </c>
      <c r="B301" s="380" t="str">
        <f t="shared" si="21"/>
        <v>223-902</v>
      </c>
      <c r="C301" s="2042" t="s">
        <v>776</v>
      </c>
      <c r="D301" s="2043">
        <v>329</v>
      </c>
      <c r="E301" s="2043">
        <v>265</v>
      </c>
      <c r="F301" s="2043">
        <f t="shared" si="22"/>
        <v>0</v>
      </c>
      <c r="G301" s="2043">
        <f t="shared" si="23"/>
        <v>0</v>
      </c>
      <c r="H301" s="2208">
        <v>0</v>
      </c>
      <c r="I301" s="2209">
        <v>0</v>
      </c>
      <c r="J301" s="2210">
        <v>0</v>
      </c>
      <c r="K301" s="2208">
        <v>0</v>
      </c>
      <c r="L301" s="2208">
        <v>0</v>
      </c>
      <c r="M301" s="2211">
        <v>0</v>
      </c>
      <c r="N301" s="2212">
        <v>0</v>
      </c>
      <c r="O301" s="1118">
        <f t="shared" si="25"/>
        <v>0</v>
      </c>
      <c r="P301" s="2213">
        <f t="shared" si="24"/>
        <v>0</v>
      </c>
    </row>
    <row r="302" spans="1:16" ht="14.5">
      <c r="A302" s="2042" t="s">
        <v>5776</v>
      </c>
      <c r="B302" s="380" t="str">
        <f t="shared" si="21"/>
        <v>053-001</v>
      </c>
      <c r="C302" s="2042" t="s">
        <v>3319</v>
      </c>
      <c r="D302" s="2043">
        <v>828</v>
      </c>
      <c r="E302" s="2043">
        <v>764</v>
      </c>
      <c r="F302" s="2043">
        <f t="shared" si="22"/>
        <v>0</v>
      </c>
      <c r="G302" s="2043">
        <f t="shared" si="23"/>
        <v>0</v>
      </c>
      <c r="H302" s="2208">
        <v>0</v>
      </c>
      <c r="I302" s="2209">
        <v>0</v>
      </c>
      <c r="J302" s="2210">
        <v>0</v>
      </c>
      <c r="K302" s="2208">
        <v>0</v>
      </c>
      <c r="L302" s="2208">
        <v>0</v>
      </c>
      <c r="M302" s="2211">
        <v>0</v>
      </c>
      <c r="N302" s="2212">
        <v>0</v>
      </c>
      <c r="O302" s="1118">
        <f t="shared" si="25"/>
        <v>0</v>
      </c>
      <c r="P302" s="2213">
        <f t="shared" si="24"/>
        <v>0</v>
      </c>
    </row>
    <row r="303" spans="1:16" ht="14.5">
      <c r="A303" s="2042" t="s">
        <v>3072</v>
      </c>
      <c r="B303" s="380" t="str">
        <f t="shared" si="21"/>
        <v>120-902</v>
      </c>
      <c r="C303" s="2042" t="s">
        <v>1393</v>
      </c>
      <c r="D303" s="2043">
        <v>775</v>
      </c>
      <c r="E303" s="2043">
        <v>713</v>
      </c>
      <c r="F303" s="2043">
        <f t="shared" si="22"/>
        <v>0</v>
      </c>
      <c r="G303" s="2043">
        <f t="shared" si="23"/>
        <v>0</v>
      </c>
      <c r="H303" s="2208">
        <v>0</v>
      </c>
      <c r="I303" s="2209">
        <v>0</v>
      </c>
      <c r="J303" s="2210">
        <v>0</v>
      </c>
      <c r="K303" s="2208">
        <v>0</v>
      </c>
      <c r="L303" s="2208">
        <v>0</v>
      </c>
      <c r="M303" s="2211">
        <v>0</v>
      </c>
      <c r="N303" s="2212">
        <v>0</v>
      </c>
      <c r="O303" s="1118">
        <f t="shared" si="25"/>
        <v>0</v>
      </c>
      <c r="P303" s="2213">
        <f t="shared" si="24"/>
        <v>0</v>
      </c>
    </row>
    <row r="304" spans="1:16" ht="14.5">
      <c r="A304" s="2042" t="s">
        <v>5147</v>
      </c>
      <c r="B304" s="380" t="str">
        <f t="shared" si="21"/>
        <v>145-911</v>
      </c>
      <c r="C304" s="2042" t="s">
        <v>1892</v>
      </c>
      <c r="D304" s="2043">
        <v>797</v>
      </c>
      <c r="E304" s="2043">
        <v>735</v>
      </c>
      <c r="F304" s="2043">
        <f t="shared" si="22"/>
        <v>0</v>
      </c>
      <c r="G304" s="2043">
        <f t="shared" si="23"/>
        <v>0</v>
      </c>
      <c r="H304" s="2208">
        <v>0</v>
      </c>
      <c r="I304" s="2209">
        <v>0</v>
      </c>
      <c r="J304" s="2210">
        <v>0</v>
      </c>
      <c r="K304" s="2208">
        <v>0</v>
      </c>
      <c r="L304" s="2208">
        <v>0</v>
      </c>
      <c r="M304" s="2211">
        <v>0</v>
      </c>
      <c r="N304" s="2212">
        <v>0</v>
      </c>
      <c r="O304" s="1118">
        <f t="shared" si="25"/>
        <v>0</v>
      </c>
      <c r="P304" s="2213">
        <f t="shared" si="24"/>
        <v>0</v>
      </c>
    </row>
    <row r="305" spans="1:16" ht="14.5">
      <c r="A305" s="2042" t="s">
        <v>5286</v>
      </c>
      <c r="B305" s="380" t="str">
        <f t="shared" si="21"/>
        <v>230-901</v>
      </c>
      <c r="C305" s="2042" t="s">
        <v>421</v>
      </c>
      <c r="D305" s="2043">
        <v>704</v>
      </c>
      <c r="E305" s="2043">
        <v>643</v>
      </c>
      <c r="F305" s="2043">
        <f t="shared" si="22"/>
        <v>0</v>
      </c>
      <c r="G305" s="2043">
        <f t="shared" si="23"/>
        <v>0</v>
      </c>
      <c r="H305" s="2208">
        <v>0</v>
      </c>
      <c r="I305" s="2209">
        <v>0</v>
      </c>
      <c r="J305" s="2210">
        <v>0</v>
      </c>
      <c r="K305" s="2208">
        <v>0</v>
      </c>
      <c r="L305" s="2208">
        <v>0</v>
      </c>
      <c r="M305" s="2211">
        <v>0</v>
      </c>
      <c r="N305" s="2212">
        <v>0</v>
      </c>
      <c r="O305" s="1118">
        <f t="shared" si="25"/>
        <v>0</v>
      </c>
      <c r="P305" s="2213">
        <f t="shared" si="24"/>
        <v>0</v>
      </c>
    </row>
    <row r="306" spans="1:16" ht="14.5">
      <c r="A306" s="2042" t="s">
        <v>2942</v>
      </c>
      <c r="B306" s="380" t="str">
        <f t="shared" si="21"/>
        <v>045-902</v>
      </c>
      <c r="C306" s="2042" t="s">
        <v>1459</v>
      </c>
      <c r="D306" s="2043">
        <v>1597</v>
      </c>
      <c r="E306" s="2043">
        <v>1536</v>
      </c>
      <c r="F306" s="2043">
        <f t="shared" si="22"/>
        <v>0</v>
      </c>
      <c r="G306" s="2043">
        <f t="shared" si="23"/>
        <v>0</v>
      </c>
      <c r="H306" s="2208">
        <v>0</v>
      </c>
      <c r="I306" s="2209">
        <v>0</v>
      </c>
      <c r="J306" s="2210">
        <v>0</v>
      </c>
      <c r="K306" s="2208">
        <v>0</v>
      </c>
      <c r="L306" s="2208">
        <v>0</v>
      </c>
      <c r="M306" s="2211">
        <v>0</v>
      </c>
      <c r="N306" s="2212">
        <v>0</v>
      </c>
      <c r="O306" s="1118">
        <f t="shared" si="25"/>
        <v>0</v>
      </c>
      <c r="P306" s="2213">
        <f t="shared" si="24"/>
        <v>0</v>
      </c>
    </row>
    <row r="307" spans="1:16" ht="14.5">
      <c r="A307" s="2042" t="s">
        <v>5297</v>
      </c>
      <c r="B307" s="380" t="str">
        <f t="shared" si="21"/>
        <v>240-904</v>
      </c>
      <c r="C307" s="2042" t="s">
        <v>2212</v>
      </c>
      <c r="D307" s="2043">
        <v>330</v>
      </c>
      <c r="E307" s="2043">
        <v>269</v>
      </c>
      <c r="F307" s="2043">
        <f t="shared" si="22"/>
        <v>0</v>
      </c>
      <c r="G307" s="2043">
        <f t="shared" si="23"/>
        <v>0</v>
      </c>
      <c r="H307" s="2208">
        <v>0</v>
      </c>
      <c r="I307" s="2209">
        <v>0</v>
      </c>
      <c r="J307" s="2210">
        <v>0</v>
      </c>
      <c r="K307" s="2208">
        <v>0</v>
      </c>
      <c r="L307" s="2208">
        <v>0</v>
      </c>
      <c r="M307" s="2211">
        <v>0</v>
      </c>
      <c r="N307" s="2212">
        <v>0</v>
      </c>
      <c r="O307" s="1118">
        <f t="shared" si="25"/>
        <v>0</v>
      </c>
      <c r="P307" s="2213">
        <f t="shared" si="24"/>
        <v>0</v>
      </c>
    </row>
    <row r="308" spans="1:16" ht="14.5">
      <c r="A308" s="2042" t="s">
        <v>3090</v>
      </c>
      <c r="B308" s="380" t="str">
        <f t="shared" si="21"/>
        <v>127-906</v>
      </c>
      <c r="C308" s="2042" t="s">
        <v>1832</v>
      </c>
      <c r="D308" s="2043">
        <v>655</v>
      </c>
      <c r="E308" s="2043">
        <v>595</v>
      </c>
      <c r="F308" s="2043">
        <f t="shared" si="22"/>
        <v>0</v>
      </c>
      <c r="G308" s="2043">
        <f t="shared" si="23"/>
        <v>0</v>
      </c>
      <c r="H308" s="2208">
        <v>0</v>
      </c>
      <c r="I308" s="2209">
        <v>0</v>
      </c>
      <c r="J308" s="2210">
        <v>0</v>
      </c>
      <c r="K308" s="2208">
        <v>0</v>
      </c>
      <c r="L308" s="2208">
        <v>0</v>
      </c>
      <c r="M308" s="2211">
        <v>0</v>
      </c>
      <c r="N308" s="2212">
        <v>0</v>
      </c>
      <c r="O308" s="1118">
        <f t="shared" si="25"/>
        <v>0</v>
      </c>
      <c r="P308" s="2213">
        <f t="shared" si="24"/>
        <v>0</v>
      </c>
    </row>
    <row r="309" spans="1:16" ht="14.5">
      <c r="A309" s="2042" t="s">
        <v>5217</v>
      </c>
      <c r="B309" s="380" t="str">
        <f t="shared" si="21"/>
        <v>183-902</v>
      </c>
      <c r="C309" s="2042" t="s">
        <v>411</v>
      </c>
      <c r="D309" s="2043">
        <v>2712</v>
      </c>
      <c r="E309" s="2043">
        <v>2653</v>
      </c>
      <c r="F309" s="2043">
        <f t="shared" si="22"/>
        <v>0</v>
      </c>
      <c r="G309" s="2043">
        <f t="shared" si="23"/>
        <v>0</v>
      </c>
      <c r="H309" s="2208">
        <v>0</v>
      </c>
      <c r="I309" s="2209">
        <v>0</v>
      </c>
      <c r="J309" s="2210">
        <v>0</v>
      </c>
      <c r="K309" s="2208">
        <v>0</v>
      </c>
      <c r="L309" s="2208">
        <v>0</v>
      </c>
      <c r="M309" s="2211">
        <v>0</v>
      </c>
      <c r="N309" s="2212">
        <v>0</v>
      </c>
      <c r="O309" s="1118">
        <f t="shared" si="25"/>
        <v>0</v>
      </c>
      <c r="P309" s="2213">
        <f t="shared" si="24"/>
        <v>0</v>
      </c>
    </row>
    <row r="310" spans="1:16" ht="14.5">
      <c r="A310" s="2042" t="s">
        <v>4968</v>
      </c>
      <c r="B310" s="380" t="str">
        <f t="shared" si="21"/>
        <v>039-902</v>
      </c>
      <c r="C310" s="2042" t="s">
        <v>1813</v>
      </c>
      <c r="D310" s="2043">
        <v>967</v>
      </c>
      <c r="E310" s="2043">
        <v>908</v>
      </c>
      <c r="F310" s="2043">
        <f t="shared" si="22"/>
        <v>0</v>
      </c>
      <c r="G310" s="2043">
        <f t="shared" si="23"/>
        <v>0</v>
      </c>
      <c r="H310" s="2208">
        <v>0</v>
      </c>
      <c r="I310" s="2209">
        <v>0</v>
      </c>
      <c r="J310" s="2210">
        <v>0</v>
      </c>
      <c r="K310" s="2208">
        <v>0</v>
      </c>
      <c r="L310" s="2208">
        <v>0</v>
      </c>
      <c r="M310" s="2211">
        <v>0</v>
      </c>
      <c r="N310" s="2212">
        <v>0</v>
      </c>
      <c r="O310" s="1118">
        <f t="shared" si="25"/>
        <v>0</v>
      </c>
      <c r="P310" s="2213">
        <f t="shared" si="24"/>
        <v>0</v>
      </c>
    </row>
    <row r="311" spans="1:16" ht="14.5">
      <c r="A311" s="2042" t="s">
        <v>5877</v>
      </c>
      <c r="B311" s="380" t="str">
        <f t="shared" si="21"/>
        <v>207-901</v>
      </c>
      <c r="C311" s="2042" t="s">
        <v>339</v>
      </c>
      <c r="D311" s="2043">
        <v>580</v>
      </c>
      <c r="E311" s="2043">
        <v>521</v>
      </c>
      <c r="F311" s="2043">
        <f t="shared" si="22"/>
        <v>0</v>
      </c>
      <c r="G311" s="2043">
        <f t="shared" si="23"/>
        <v>0</v>
      </c>
      <c r="H311" s="2208">
        <v>0</v>
      </c>
      <c r="I311" s="2209">
        <v>0</v>
      </c>
      <c r="J311" s="2210">
        <v>0</v>
      </c>
      <c r="K311" s="2208">
        <v>0</v>
      </c>
      <c r="L311" s="2208">
        <v>0</v>
      </c>
      <c r="M311" s="2211">
        <v>0</v>
      </c>
      <c r="N311" s="2212">
        <v>0</v>
      </c>
      <c r="O311" s="1118">
        <f t="shared" si="25"/>
        <v>0</v>
      </c>
      <c r="P311" s="2213">
        <f t="shared" si="24"/>
        <v>0</v>
      </c>
    </row>
    <row r="312" spans="1:16" ht="14.5">
      <c r="A312" s="2042" t="s">
        <v>4981</v>
      </c>
      <c r="B312" s="380" t="str">
        <f t="shared" si="21"/>
        <v>050-902</v>
      </c>
      <c r="C312" s="2042" t="s">
        <v>2096</v>
      </c>
      <c r="D312" s="2043">
        <v>2849</v>
      </c>
      <c r="E312" s="2043">
        <v>2790</v>
      </c>
      <c r="F312" s="2043">
        <f t="shared" si="22"/>
        <v>0</v>
      </c>
      <c r="G312" s="2043">
        <f t="shared" si="23"/>
        <v>0</v>
      </c>
      <c r="H312" s="2208">
        <v>0</v>
      </c>
      <c r="I312" s="2209">
        <v>0</v>
      </c>
      <c r="J312" s="2210">
        <v>0</v>
      </c>
      <c r="K312" s="2208">
        <v>0</v>
      </c>
      <c r="L312" s="2208">
        <v>0</v>
      </c>
      <c r="M312" s="2211">
        <v>0</v>
      </c>
      <c r="N312" s="2212">
        <v>0</v>
      </c>
      <c r="O312" s="1118">
        <f t="shared" si="25"/>
        <v>0</v>
      </c>
      <c r="P312" s="2213">
        <f t="shared" si="24"/>
        <v>0</v>
      </c>
    </row>
    <row r="313" spans="1:16" ht="14.5">
      <c r="A313" s="2042" t="s">
        <v>2889</v>
      </c>
      <c r="B313" s="380" t="str">
        <f t="shared" si="21"/>
        <v>018-902</v>
      </c>
      <c r="C313" s="2042" t="s">
        <v>2535</v>
      </c>
      <c r="D313" s="2043">
        <v>476</v>
      </c>
      <c r="E313" s="2043">
        <v>418</v>
      </c>
      <c r="F313" s="2043">
        <f t="shared" si="22"/>
        <v>0</v>
      </c>
      <c r="G313" s="2043">
        <f t="shared" si="23"/>
        <v>0</v>
      </c>
      <c r="H313" s="2208">
        <v>0</v>
      </c>
      <c r="I313" s="2209">
        <v>0</v>
      </c>
      <c r="J313" s="2210">
        <v>0</v>
      </c>
      <c r="K313" s="2208">
        <v>0</v>
      </c>
      <c r="L313" s="2208">
        <v>0</v>
      </c>
      <c r="M313" s="2211">
        <v>0</v>
      </c>
      <c r="N313" s="2212">
        <v>0</v>
      </c>
      <c r="O313" s="1118">
        <f t="shared" si="25"/>
        <v>0</v>
      </c>
      <c r="P313" s="2213">
        <f t="shared" si="24"/>
        <v>0</v>
      </c>
    </row>
    <row r="314" spans="1:16" ht="14.5">
      <c r="A314" s="2042" t="s">
        <v>5874</v>
      </c>
      <c r="B314" s="380" t="str">
        <f t="shared" si="21"/>
        <v>203-902</v>
      </c>
      <c r="C314" s="2042" t="s">
        <v>1958</v>
      </c>
      <c r="D314" s="2043">
        <v>409</v>
      </c>
      <c r="E314" s="2043">
        <v>351</v>
      </c>
      <c r="F314" s="2043">
        <f t="shared" si="22"/>
        <v>0</v>
      </c>
      <c r="G314" s="2043">
        <f t="shared" si="23"/>
        <v>0</v>
      </c>
      <c r="H314" s="2208">
        <v>0</v>
      </c>
      <c r="I314" s="2209">
        <v>0</v>
      </c>
      <c r="J314" s="2210">
        <v>0</v>
      </c>
      <c r="K314" s="2208">
        <v>0</v>
      </c>
      <c r="L314" s="2208">
        <v>0</v>
      </c>
      <c r="M314" s="2211">
        <v>0</v>
      </c>
      <c r="N314" s="2212">
        <v>0</v>
      </c>
      <c r="O314" s="1118">
        <f t="shared" si="25"/>
        <v>0</v>
      </c>
      <c r="P314" s="2213">
        <f t="shared" si="24"/>
        <v>0</v>
      </c>
    </row>
    <row r="315" spans="1:16" ht="14.5">
      <c r="A315" s="2042" t="s">
        <v>5814</v>
      </c>
      <c r="B315" s="380" t="str">
        <f t="shared" si="21"/>
        <v>110-901</v>
      </c>
      <c r="C315" s="2042" t="s">
        <v>2460</v>
      </c>
      <c r="D315" s="2043">
        <v>242</v>
      </c>
      <c r="E315" s="2043">
        <v>184</v>
      </c>
      <c r="F315" s="2043">
        <f t="shared" si="22"/>
        <v>0</v>
      </c>
      <c r="G315" s="2043">
        <f t="shared" si="23"/>
        <v>0</v>
      </c>
      <c r="H315" s="2208">
        <v>0</v>
      </c>
      <c r="I315" s="2209">
        <v>0</v>
      </c>
      <c r="J315" s="2210">
        <v>0</v>
      </c>
      <c r="K315" s="2208">
        <v>0</v>
      </c>
      <c r="L315" s="2208">
        <v>0</v>
      </c>
      <c r="M315" s="2211">
        <v>0</v>
      </c>
      <c r="N315" s="2212">
        <v>0</v>
      </c>
      <c r="O315" s="1118">
        <f t="shared" si="25"/>
        <v>0</v>
      </c>
      <c r="P315" s="2213">
        <f t="shared" si="24"/>
        <v>0</v>
      </c>
    </row>
    <row r="316" spans="1:16" ht="14.5">
      <c r="A316" s="2042" t="s">
        <v>3079</v>
      </c>
      <c r="B316" s="380" t="str">
        <f t="shared" si="21"/>
        <v>125-902</v>
      </c>
      <c r="C316" s="2042" t="s">
        <v>2534</v>
      </c>
      <c r="D316" s="2043">
        <v>579</v>
      </c>
      <c r="E316" s="2043">
        <v>521</v>
      </c>
      <c r="F316" s="2043">
        <f t="shared" si="22"/>
        <v>0</v>
      </c>
      <c r="G316" s="2043">
        <f t="shared" si="23"/>
        <v>0</v>
      </c>
      <c r="H316" s="2208">
        <v>0</v>
      </c>
      <c r="I316" s="2209">
        <v>0</v>
      </c>
      <c r="J316" s="2210">
        <v>0</v>
      </c>
      <c r="K316" s="2208">
        <v>0</v>
      </c>
      <c r="L316" s="2208">
        <v>0</v>
      </c>
      <c r="M316" s="2211">
        <v>0</v>
      </c>
      <c r="N316" s="2212">
        <v>0</v>
      </c>
      <c r="O316" s="1118">
        <f t="shared" si="25"/>
        <v>0</v>
      </c>
      <c r="P316" s="2213">
        <f t="shared" si="24"/>
        <v>0</v>
      </c>
    </row>
    <row r="317" spans="1:16" ht="14.5">
      <c r="A317" s="2042" t="s">
        <v>4932</v>
      </c>
      <c r="B317" s="380" t="str">
        <f t="shared" si="21"/>
        <v>013-903</v>
      </c>
      <c r="C317" s="2042" t="s">
        <v>1137</v>
      </c>
      <c r="D317" s="2043">
        <v>431</v>
      </c>
      <c r="E317" s="2043">
        <v>374</v>
      </c>
      <c r="F317" s="2043">
        <f t="shared" si="22"/>
        <v>0</v>
      </c>
      <c r="G317" s="2043">
        <f t="shared" si="23"/>
        <v>0</v>
      </c>
      <c r="H317" s="2208">
        <v>0</v>
      </c>
      <c r="I317" s="2209">
        <v>0</v>
      </c>
      <c r="J317" s="2210">
        <v>0</v>
      </c>
      <c r="K317" s="2208">
        <v>0</v>
      </c>
      <c r="L317" s="2208">
        <v>0</v>
      </c>
      <c r="M317" s="2211">
        <v>0</v>
      </c>
      <c r="N317" s="2212">
        <v>0</v>
      </c>
      <c r="O317" s="1118">
        <f t="shared" si="25"/>
        <v>0</v>
      </c>
      <c r="P317" s="2213">
        <f t="shared" si="24"/>
        <v>0</v>
      </c>
    </row>
    <row r="318" spans="1:16" ht="14.5">
      <c r="A318" s="2042" t="s">
        <v>5854</v>
      </c>
      <c r="B318" s="380" t="str">
        <f t="shared" si="21"/>
        <v>168-903</v>
      </c>
      <c r="C318" s="2042" t="s">
        <v>1669</v>
      </c>
      <c r="D318" s="2043">
        <v>283</v>
      </c>
      <c r="E318" s="2043">
        <v>227</v>
      </c>
      <c r="F318" s="2043">
        <f t="shared" si="22"/>
        <v>0</v>
      </c>
      <c r="G318" s="2043">
        <f t="shared" si="23"/>
        <v>0</v>
      </c>
      <c r="H318" s="2208">
        <v>0</v>
      </c>
      <c r="I318" s="2209">
        <v>0</v>
      </c>
      <c r="J318" s="2210">
        <v>0</v>
      </c>
      <c r="K318" s="2208">
        <v>0</v>
      </c>
      <c r="L318" s="2208">
        <v>0</v>
      </c>
      <c r="M318" s="2211">
        <v>0</v>
      </c>
      <c r="N318" s="2212">
        <v>0</v>
      </c>
      <c r="O318" s="1118">
        <f t="shared" si="25"/>
        <v>0</v>
      </c>
      <c r="P318" s="2213">
        <f t="shared" si="24"/>
        <v>0</v>
      </c>
    </row>
    <row r="319" spans="1:16" ht="14.5">
      <c r="A319" s="2042" t="s">
        <v>2913</v>
      </c>
      <c r="B319" s="380" t="str">
        <f t="shared" si="21"/>
        <v>030-903</v>
      </c>
      <c r="C319" s="2042" t="s">
        <v>1510</v>
      </c>
      <c r="D319" s="2043">
        <v>337</v>
      </c>
      <c r="E319" s="2043">
        <v>281</v>
      </c>
      <c r="F319" s="2043">
        <f t="shared" si="22"/>
        <v>0</v>
      </c>
      <c r="G319" s="2043">
        <f t="shared" si="23"/>
        <v>0</v>
      </c>
      <c r="H319" s="2208">
        <v>0</v>
      </c>
      <c r="I319" s="2209">
        <v>0</v>
      </c>
      <c r="J319" s="2210">
        <v>0</v>
      </c>
      <c r="K319" s="2208">
        <v>0</v>
      </c>
      <c r="L319" s="2208">
        <v>0</v>
      </c>
      <c r="M319" s="2211">
        <v>0</v>
      </c>
      <c r="N319" s="2212">
        <v>0</v>
      </c>
      <c r="O319" s="1118">
        <f t="shared" si="25"/>
        <v>0</v>
      </c>
      <c r="P319" s="2213">
        <f t="shared" si="24"/>
        <v>0</v>
      </c>
    </row>
    <row r="320" spans="1:16" ht="14.5">
      <c r="A320" s="2042" t="s">
        <v>3239</v>
      </c>
      <c r="B320" s="380" t="str">
        <f t="shared" si="21"/>
        <v>234-905</v>
      </c>
      <c r="C320" s="2042" t="s">
        <v>1952</v>
      </c>
      <c r="D320" s="2043">
        <v>512</v>
      </c>
      <c r="E320" s="2043">
        <v>457</v>
      </c>
      <c r="F320" s="2043">
        <f t="shared" si="22"/>
        <v>0</v>
      </c>
      <c r="G320" s="2043">
        <f t="shared" si="23"/>
        <v>0</v>
      </c>
      <c r="H320" s="2208">
        <v>0</v>
      </c>
      <c r="I320" s="2209">
        <v>0</v>
      </c>
      <c r="J320" s="2210">
        <v>0</v>
      </c>
      <c r="K320" s="2208">
        <v>0</v>
      </c>
      <c r="L320" s="2208">
        <v>0</v>
      </c>
      <c r="M320" s="2211">
        <v>0</v>
      </c>
      <c r="N320" s="2212">
        <v>0</v>
      </c>
      <c r="O320" s="1118">
        <f t="shared" si="25"/>
        <v>0</v>
      </c>
      <c r="P320" s="2213">
        <f t="shared" si="24"/>
        <v>0</v>
      </c>
    </row>
    <row r="321" spans="1:16" ht="14.5">
      <c r="A321" s="2042" t="s">
        <v>2907</v>
      </c>
      <c r="B321" s="380" t="str">
        <f t="shared" si="21"/>
        <v>025-909</v>
      </c>
      <c r="C321" s="2042" t="s">
        <v>1007</v>
      </c>
      <c r="D321" s="2043">
        <v>1196</v>
      </c>
      <c r="E321" s="2043">
        <v>1141</v>
      </c>
      <c r="F321" s="2043">
        <f t="shared" si="22"/>
        <v>0</v>
      </c>
      <c r="G321" s="2043">
        <f t="shared" si="23"/>
        <v>0</v>
      </c>
      <c r="H321" s="2208">
        <v>0</v>
      </c>
      <c r="I321" s="2209">
        <v>0</v>
      </c>
      <c r="J321" s="2210">
        <v>0</v>
      </c>
      <c r="K321" s="2208">
        <v>0</v>
      </c>
      <c r="L321" s="2208">
        <v>0</v>
      </c>
      <c r="M321" s="2211">
        <v>0</v>
      </c>
      <c r="N321" s="2212">
        <v>0</v>
      </c>
      <c r="O321" s="1118">
        <f t="shared" si="25"/>
        <v>0</v>
      </c>
      <c r="P321" s="2213">
        <f t="shared" si="24"/>
        <v>0</v>
      </c>
    </row>
    <row r="322" spans="1:16" ht="14.5">
      <c r="A322" s="2042" t="s">
        <v>3190</v>
      </c>
      <c r="B322" s="380" t="str">
        <f t="shared" si="21"/>
        <v>203-901</v>
      </c>
      <c r="C322" s="2042" t="s">
        <v>1957</v>
      </c>
      <c r="D322" s="2043">
        <v>741</v>
      </c>
      <c r="E322" s="2043">
        <v>687</v>
      </c>
      <c r="F322" s="2043">
        <f t="shared" si="22"/>
        <v>0</v>
      </c>
      <c r="G322" s="2043">
        <f t="shared" si="23"/>
        <v>0</v>
      </c>
      <c r="H322" s="2208">
        <v>0</v>
      </c>
      <c r="I322" s="2209">
        <v>0</v>
      </c>
      <c r="J322" s="2210">
        <v>0</v>
      </c>
      <c r="K322" s="2208">
        <v>0</v>
      </c>
      <c r="L322" s="2208">
        <v>0</v>
      </c>
      <c r="M322" s="2211">
        <v>0</v>
      </c>
      <c r="N322" s="2212">
        <v>0</v>
      </c>
      <c r="O322" s="1118">
        <f t="shared" si="25"/>
        <v>0</v>
      </c>
      <c r="P322" s="2213">
        <f t="shared" si="24"/>
        <v>0</v>
      </c>
    </row>
    <row r="323" spans="1:16" ht="14.5">
      <c r="A323" s="2042" t="s">
        <v>2989</v>
      </c>
      <c r="B323" s="380" t="str">
        <f t="shared" ref="B323:B386" si="26">CONCATENATE(LEFT(RIGHT(CONCATENATE("000",A323),6),3),"-",(RIGHT(RIGHT(CONCATENATE("000",A323),6),3)))</f>
        <v>074-904</v>
      </c>
      <c r="C323" s="2042" t="s">
        <v>2058</v>
      </c>
      <c r="D323" s="2043">
        <v>391</v>
      </c>
      <c r="E323" s="2043">
        <v>337</v>
      </c>
      <c r="F323" s="2043">
        <f t="shared" ref="F323:F386" si="27">MAX(0,E323-D323)</f>
        <v>0</v>
      </c>
      <c r="G323" s="2043">
        <f t="shared" ref="G323:G386" si="28">MAX(0,F323-250)</f>
        <v>0</v>
      </c>
      <c r="H323" s="2208">
        <v>0</v>
      </c>
      <c r="I323" s="2209">
        <v>0</v>
      </c>
      <c r="J323" s="2210">
        <v>0</v>
      </c>
      <c r="K323" s="2208">
        <v>0</v>
      </c>
      <c r="L323" s="2208">
        <v>0</v>
      </c>
      <c r="M323" s="2211">
        <v>0</v>
      </c>
      <c r="N323" s="2212">
        <v>0</v>
      </c>
      <c r="O323" s="1118">
        <f t="shared" si="25"/>
        <v>0</v>
      </c>
      <c r="P323" s="2213">
        <f t="shared" ref="P323:P386" si="29">(40000000/$O$1022)*O323</f>
        <v>0</v>
      </c>
    </row>
    <row r="324" spans="1:16" ht="14.5">
      <c r="A324" s="2042" t="s">
        <v>2904</v>
      </c>
      <c r="B324" s="380" t="str">
        <f t="shared" si="26"/>
        <v>025-905</v>
      </c>
      <c r="C324" s="2042" t="s">
        <v>1955</v>
      </c>
      <c r="D324" s="2043">
        <v>307</v>
      </c>
      <c r="E324" s="2043">
        <v>253</v>
      </c>
      <c r="F324" s="2043">
        <f t="shared" si="27"/>
        <v>0</v>
      </c>
      <c r="G324" s="2043">
        <f t="shared" si="28"/>
        <v>0</v>
      </c>
      <c r="H324" s="2208">
        <v>0</v>
      </c>
      <c r="I324" s="2209">
        <v>0</v>
      </c>
      <c r="J324" s="2210">
        <v>0</v>
      </c>
      <c r="K324" s="2208">
        <v>0</v>
      </c>
      <c r="L324" s="2208">
        <v>0</v>
      </c>
      <c r="M324" s="2211">
        <v>0</v>
      </c>
      <c r="N324" s="2212">
        <v>0</v>
      </c>
      <c r="O324" s="1118">
        <f t="shared" si="25"/>
        <v>0</v>
      </c>
      <c r="P324" s="2213">
        <f t="shared" si="29"/>
        <v>0</v>
      </c>
    </row>
    <row r="325" spans="1:16" ht="14.5">
      <c r="A325" s="2042" t="s">
        <v>5157</v>
      </c>
      <c r="B325" s="380" t="str">
        <f t="shared" si="26"/>
        <v>149-901</v>
      </c>
      <c r="C325" s="2042" t="s">
        <v>516</v>
      </c>
      <c r="D325" s="2043">
        <v>1086</v>
      </c>
      <c r="E325" s="2043">
        <v>1033</v>
      </c>
      <c r="F325" s="2043">
        <f t="shared" si="27"/>
        <v>0</v>
      </c>
      <c r="G325" s="2043">
        <f t="shared" si="28"/>
        <v>0</v>
      </c>
      <c r="H325" s="2208">
        <v>0</v>
      </c>
      <c r="I325" s="2209">
        <v>0</v>
      </c>
      <c r="J325" s="2210">
        <v>0</v>
      </c>
      <c r="K325" s="2208">
        <v>0</v>
      </c>
      <c r="L325" s="2208">
        <v>0</v>
      </c>
      <c r="M325" s="2211">
        <v>0</v>
      </c>
      <c r="N325" s="2212">
        <v>0</v>
      </c>
      <c r="O325" s="1118">
        <f t="shared" si="25"/>
        <v>0</v>
      </c>
      <c r="P325" s="2213">
        <f t="shared" si="29"/>
        <v>0</v>
      </c>
    </row>
    <row r="326" spans="1:16" ht="14.5">
      <c r="A326" s="2042" t="s">
        <v>4962</v>
      </c>
      <c r="B326" s="380" t="str">
        <f t="shared" si="26"/>
        <v>034-907</v>
      </c>
      <c r="C326" s="2042" t="s">
        <v>1610</v>
      </c>
      <c r="D326" s="2043">
        <v>1011</v>
      </c>
      <c r="E326" s="2043">
        <v>959</v>
      </c>
      <c r="F326" s="2043">
        <f t="shared" si="27"/>
        <v>0</v>
      </c>
      <c r="G326" s="2043">
        <f t="shared" si="28"/>
        <v>0</v>
      </c>
      <c r="H326" s="2208">
        <v>0</v>
      </c>
      <c r="I326" s="2209">
        <v>0</v>
      </c>
      <c r="J326" s="2210">
        <v>0</v>
      </c>
      <c r="K326" s="2208">
        <v>0</v>
      </c>
      <c r="L326" s="2208">
        <v>0</v>
      </c>
      <c r="M326" s="2211">
        <v>0</v>
      </c>
      <c r="N326" s="2212">
        <v>231845</v>
      </c>
      <c r="O326" s="1118">
        <f t="shared" si="25"/>
        <v>231845</v>
      </c>
      <c r="P326" s="2213">
        <f t="shared" si="29"/>
        <v>62423.915765005731</v>
      </c>
    </row>
    <row r="327" spans="1:16" ht="14.5">
      <c r="A327" s="2042" t="s">
        <v>3128</v>
      </c>
      <c r="B327" s="380" t="str">
        <f t="shared" si="26"/>
        <v>161-916</v>
      </c>
      <c r="C327" s="2042" t="s">
        <v>1345</v>
      </c>
      <c r="D327" s="2043">
        <v>1316</v>
      </c>
      <c r="E327" s="2043">
        <v>1264</v>
      </c>
      <c r="F327" s="2043">
        <f t="shared" si="27"/>
        <v>0</v>
      </c>
      <c r="G327" s="2043">
        <f t="shared" si="28"/>
        <v>0</v>
      </c>
      <c r="H327" s="2208">
        <v>0</v>
      </c>
      <c r="I327" s="2209">
        <v>0</v>
      </c>
      <c r="J327" s="2210">
        <v>0</v>
      </c>
      <c r="K327" s="2208">
        <v>0</v>
      </c>
      <c r="L327" s="2208">
        <v>0</v>
      </c>
      <c r="M327" s="2211">
        <v>0</v>
      </c>
      <c r="N327" s="2212">
        <v>0</v>
      </c>
      <c r="O327" s="1118">
        <f t="shared" si="25"/>
        <v>0</v>
      </c>
      <c r="P327" s="2213">
        <f t="shared" si="29"/>
        <v>0</v>
      </c>
    </row>
    <row r="328" spans="1:16" ht="14.5">
      <c r="A328" s="2042" t="s">
        <v>3158</v>
      </c>
      <c r="B328" s="380" t="str">
        <f t="shared" si="26"/>
        <v>176-902</v>
      </c>
      <c r="C328" s="2042" t="s">
        <v>2162</v>
      </c>
      <c r="D328" s="2043">
        <v>1021</v>
      </c>
      <c r="E328" s="2043">
        <v>969</v>
      </c>
      <c r="F328" s="2043">
        <f t="shared" si="27"/>
        <v>0</v>
      </c>
      <c r="G328" s="2043">
        <f t="shared" si="28"/>
        <v>0</v>
      </c>
      <c r="H328" s="2208">
        <v>0</v>
      </c>
      <c r="I328" s="2209">
        <v>0</v>
      </c>
      <c r="J328" s="2210">
        <v>0</v>
      </c>
      <c r="K328" s="2208">
        <v>0</v>
      </c>
      <c r="L328" s="2208">
        <v>0</v>
      </c>
      <c r="M328" s="2211">
        <v>0</v>
      </c>
      <c r="N328" s="2212">
        <v>0</v>
      </c>
      <c r="O328" s="1118">
        <f t="shared" si="25"/>
        <v>0</v>
      </c>
      <c r="P328" s="2213">
        <f t="shared" si="29"/>
        <v>0</v>
      </c>
    </row>
    <row r="329" spans="1:16" ht="14.5">
      <c r="A329" s="2042" t="s">
        <v>5039</v>
      </c>
      <c r="B329" s="380" t="str">
        <f t="shared" si="26"/>
        <v>089-903</v>
      </c>
      <c r="C329" s="2042" t="s">
        <v>984</v>
      </c>
      <c r="D329" s="2043">
        <v>1067</v>
      </c>
      <c r="E329" s="2043">
        <v>1015</v>
      </c>
      <c r="F329" s="2043">
        <f t="shared" si="27"/>
        <v>0</v>
      </c>
      <c r="G329" s="2043">
        <f t="shared" si="28"/>
        <v>0</v>
      </c>
      <c r="H329" s="2208">
        <v>0</v>
      </c>
      <c r="I329" s="2209">
        <v>0</v>
      </c>
      <c r="J329" s="2210">
        <v>0</v>
      </c>
      <c r="K329" s="2208">
        <v>0</v>
      </c>
      <c r="L329" s="2208">
        <v>0</v>
      </c>
      <c r="M329" s="2211">
        <v>0</v>
      </c>
      <c r="N329" s="2212">
        <v>0</v>
      </c>
      <c r="O329" s="1118">
        <f t="shared" si="25"/>
        <v>0</v>
      </c>
      <c r="P329" s="2213">
        <f t="shared" si="29"/>
        <v>0</v>
      </c>
    </row>
    <row r="330" spans="1:16" ht="14.5">
      <c r="A330" s="2042" t="s">
        <v>5017</v>
      </c>
      <c r="B330" s="380" t="str">
        <f t="shared" si="26"/>
        <v>075-908</v>
      </c>
      <c r="C330" s="2042" t="s">
        <v>167</v>
      </c>
      <c r="D330" s="2043">
        <v>288</v>
      </c>
      <c r="E330" s="2043">
        <v>236</v>
      </c>
      <c r="F330" s="2043">
        <f t="shared" si="27"/>
        <v>0</v>
      </c>
      <c r="G330" s="2043">
        <f t="shared" si="28"/>
        <v>0</v>
      </c>
      <c r="H330" s="2208">
        <v>0</v>
      </c>
      <c r="I330" s="2209">
        <v>0</v>
      </c>
      <c r="J330" s="2210">
        <v>0</v>
      </c>
      <c r="K330" s="2208">
        <v>0</v>
      </c>
      <c r="L330" s="2208">
        <v>0</v>
      </c>
      <c r="M330" s="2211">
        <v>0</v>
      </c>
      <c r="N330" s="2212">
        <v>0</v>
      </c>
      <c r="O330" s="1118">
        <f t="shared" si="25"/>
        <v>0</v>
      </c>
      <c r="P330" s="2213">
        <f t="shared" si="29"/>
        <v>0</v>
      </c>
    </row>
    <row r="331" spans="1:16" ht="14.5">
      <c r="A331" s="2042" t="s">
        <v>5260</v>
      </c>
      <c r="B331" s="380" t="str">
        <f t="shared" si="26"/>
        <v>214-902</v>
      </c>
      <c r="C331" s="2042" t="s">
        <v>1888</v>
      </c>
      <c r="D331" s="2043">
        <v>249</v>
      </c>
      <c r="E331" s="2043">
        <v>197</v>
      </c>
      <c r="F331" s="2043">
        <f t="shared" si="27"/>
        <v>0</v>
      </c>
      <c r="G331" s="2043">
        <f t="shared" si="28"/>
        <v>0</v>
      </c>
      <c r="H331" s="2208">
        <v>0</v>
      </c>
      <c r="I331" s="2209">
        <v>0</v>
      </c>
      <c r="J331" s="2210">
        <v>0</v>
      </c>
      <c r="K331" s="2208">
        <v>0</v>
      </c>
      <c r="L331" s="2208">
        <v>0</v>
      </c>
      <c r="M331" s="2211">
        <v>0</v>
      </c>
      <c r="N331" s="2212">
        <v>0</v>
      </c>
      <c r="O331" s="1118">
        <f t="shared" si="25"/>
        <v>0</v>
      </c>
      <c r="P331" s="2213">
        <f t="shared" si="29"/>
        <v>0</v>
      </c>
    </row>
    <row r="332" spans="1:16" ht="14.5">
      <c r="A332" s="2042" t="s">
        <v>5830</v>
      </c>
      <c r="B332" s="380" t="str">
        <f t="shared" si="26"/>
        <v>134-901</v>
      </c>
      <c r="C332" s="2042" t="s">
        <v>1934</v>
      </c>
      <c r="D332" s="2043">
        <v>651</v>
      </c>
      <c r="E332" s="2043">
        <v>599</v>
      </c>
      <c r="F332" s="2043">
        <f t="shared" si="27"/>
        <v>0</v>
      </c>
      <c r="G332" s="2043">
        <f t="shared" si="28"/>
        <v>0</v>
      </c>
      <c r="H332" s="2208">
        <v>0</v>
      </c>
      <c r="I332" s="2209">
        <v>0</v>
      </c>
      <c r="J332" s="2210">
        <v>0</v>
      </c>
      <c r="K332" s="2208">
        <v>0</v>
      </c>
      <c r="L332" s="2208">
        <v>0</v>
      </c>
      <c r="M332" s="2211">
        <v>0</v>
      </c>
      <c r="N332" s="2212">
        <v>0</v>
      </c>
      <c r="O332" s="1118">
        <f t="shared" si="25"/>
        <v>0</v>
      </c>
      <c r="P332" s="2213">
        <f t="shared" si="29"/>
        <v>0</v>
      </c>
    </row>
    <row r="333" spans="1:16" ht="14.5">
      <c r="A333" s="2042" t="s">
        <v>2983</v>
      </c>
      <c r="B333" s="380" t="str">
        <f t="shared" si="26"/>
        <v>071-906</v>
      </c>
      <c r="C333" s="2042" t="s">
        <v>123</v>
      </c>
      <c r="D333" s="2043">
        <v>838</v>
      </c>
      <c r="E333" s="2043">
        <v>787</v>
      </c>
      <c r="F333" s="2043">
        <f t="shared" si="27"/>
        <v>0</v>
      </c>
      <c r="G333" s="2043">
        <f t="shared" si="28"/>
        <v>0</v>
      </c>
      <c r="H333" s="2208">
        <v>0</v>
      </c>
      <c r="I333" s="2209">
        <v>0</v>
      </c>
      <c r="J333" s="2210">
        <v>0</v>
      </c>
      <c r="K333" s="2208">
        <v>0</v>
      </c>
      <c r="L333" s="2208">
        <v>0</v>
      </c>
      <c r="M333" s="2211">
        <v>0</v>
      </c>
      <c r="N333" s="2212">
        <v>0</v>
      </c>
      <c r="O333" s="1118">
        <f t="shared" si="25"/>
        <v>0</v>
      </c>
      <c r="P333" s="2213">
        <f t="shared" si="29"/>
        <v>0</v>
      </c>
    </row>
    <row r="334" spans="1:16" ht="14.5">
      <c r="A334" s="2042" t="s">
        <v>5770</v>
      </c>
      <c r="B334" s="380" t="str">
        <f t="shared" si="26"/>
        <v>044-902</v>
      </c>
      <c r="C334" s="2042" t="s">
        <v>2079</v>
      </c>
      <c r="D334" s="2043">
        <v>593</v>
      </c>
      <c r="E334" s="2043">
        <v>542</v>
      </c>
      <c r="F334" s="2043">
        <f t="shared" si="27"/>
        <v>0</v>
      </c>
      <c r="G334" s="2043">
        <f t="shared" si="28"/>
        <v>0</v>
      </c>
      <c r="H334" s="2208">
        <v>0</v>
      </c>
      <c r="I334" s="2209">
        <v>0</v>
      </c>
      <c r="J334" s="2210">
        <v>0</v>
      </c>
      <c r="K334" s="2208">
        <v>0</v>
      </c>
      <c r="L334" s="2208">
        <v>0</v>
      </c>
      <c r="M334" s="2211">
        <v>0</v>
      </c>
      <c r="N334" s="2212">
        <v>0</v>
      </c>
      <c r="O334" s="1118">
        <f t="shared" si="25"/>
        <v>0</v>
      </c>
      <c r="P334" s="2213">
        <f t="shared" si="29"/>
        <v>0</v>
      </c>
    </row>
    <row r="335" spans="1:16" ht="14.5">
      <c r="A335" s="2042" t="s">
        <v>5082</v>
      </c>
      <c r="B335" s="380" t="str">
        <f t="shared" si="26"/>
        <v>104-907</v>
      </c>
      <c r="C335" s="2042" t="s">
        <v>151</v>
      </c>
      <c r="D335" s="2043">
        <v>142</v>
      </c>
      <c r="E335" s="2043">
        <v>91</v>
      </c>
      <c r="F335" s="2043">
        <f t="shared" si="27"/>
        <v>0</v>
      </c>
      <c r="G335" s="2043">
        <f t="shared" si="28"/>
        <v>0</v>
      </c>
      <c r="H335" s="2208">
        <v>0</v>
      </c>
      <c r="I335" s="2209">
        <v>0</v>
      </c>
      <c r="J335" s="2210">
        <v>0</v>
      </c>
      <c r="K335" s="2208">
        <v>0</v>
      </c>
      <c r="L335" s="2208">
        <v>0</v>
      </c>
      <c r="M335" s="2211">
        <v>0</v>
      </c>
      <c r="N335" s="2212">
        <v>0</v>
      </c>
      <c r="O335" s="1118">
        <f t="shared" si="25"/>
        <v>0</v>
      </c>
      <c r="P335" s="2213">
        <f t="shared" si="29"/>
        <v>0</v>
      </c>
    </row>
    <row r="336" spans="1:16" ht="14.5">
      <c r="A336" s="2042" t="s">
        <v>3116</v>
      </c>
      <c r="B336" s="380" t="str">
        <f t="shared" si="26"/>
        <v>154-903</v>
      </c>
      <c r="C336" s="2042" t="s">
        <v>527</v>
      </c>
      <c r="D336" s="2043">
        <v>350</v>
      </c>
      <c r="E336" s="2043">
        <v>300</v>
      </c>
      <c r="F336" s="2043">
        <f t="shared" si="27"/>
        <v>0</v>
      </c>
      <c r="G336" s="2043">
        <f t="shared" si="28"/>
        <v>0</v>
      </c>
      <c r="H336" s="2208">
        <v>0</v>
      </c>
      <c r="I336" s="2209">
        <v>0</v>
      </c>
      <c r="J336" s="2210">
        <v>0</v>
      </c>
      <c r="K336" s="2208">
        <v>0</v>
      </c>
      <c r="L336" s="2208">
        <v>0</v>
      </c>
      <c r="M336" s="2211">
        <v>0</v>
      </c>
      <c r="N336" s="2212">
        <v>0</v>
      </c>
      <c r="O336" s="1118">
        <f t="shared" si="25"/>
        <v>0</v>
      </c>
      <c r="P336" s="2213">
        <f t="shared" si="29"/>
        <v>0</v>
      </c>
    </row>
    <row r="337" spans="1:16" ht="14.5">
      <c r="A337" s="2042" t="s">
        <v>5128</v>
      </c>
      <c r="B337" s="380" t="str">
        <f t="shared" si="26"/>
        <v>130-902</v>
      </c>
      <c r="C337" s="2042" t="s">
        <v>1927</v>
      </c>
      <c r="D337" s="2043">
        <v>1114</v>
      </c>
      <c r="E337" s="2043">
        <v>1064</v>
      </c>
      <c r="F337" s="2043">
        <f t="shared" si="27"/>
        <v>0</v>
      </c>
      <c r="G337" s="2043">
        <f t="shared" si="28"/>
        <v>0</v>
      </c>
      <c r="H337" s="2208">
        <v>0</v>
      </c>
      <c r="I337" s="2209">
        <v>0</v>
      </c>
      <c r="J337" s="2210">
        <v>0</v>
      </c>
      <c r="K337" s="2208">
        <v>0</v>
      </c>
      <c r="L337" s="2208">
        <v>0</v>
      </c>
      <c r="M337" s="2211">
        <v>0</v>
      </c>
      <c r="N337" s="2212">
        <v>0</v>
      </c>
      <c r="O337" s="1118">
        <f t="shared" si="25"/>
        <v>0</v>
      </c>
      <c r="P337" s="2213">
        <f t="shared" si="29"/>
        <v>0</v>
      </c>
    </row>
    <row r="338" spans="1:16" ht="14.5">
      <c r="A338" s="2042" t="s">
        <v>5817</v>
      </c>
      <c r="B338" s="380" t="str">
        <f t="shared" si="26"/>
        <v>112-908</v>
      </c>
      <c r="C338" s="2042" t="s">
        <v>595</v>
      </c>
      <c r="D338" s="2043">
        <v>759</v>
      </c>
      <c r="E338" s="2043">
        <v>709</v>
      </c>
      <c r="F338" s="2043">
        <f t="shared" si="27"/>
        <v>0</v>
      </c>
      <c r="G338" s="2043">
        <f t="shared" si="28"/>
        <v>0</v>
      </c>
      <c r="H338" s="2208">
        <v>0</v>
      </c>
      <c r="I338" s="2209">
        <v>0</v>
      </c>
      <c r="J338" s="2210">
        <v>0</v>
      </c>
      <c r="K338" s="2208">
        <v>0</v>
      </c>
      <c r="L338" s="2208">
        <v>0</v>
      </c>
      <c r="M338" s="2211">
        <v>0</v>
      </c>
      <c r="N338" s="2212">
        <v>0</v>
      </c>
      <c r="O338" s="1118">
        <f t="shared" si="25"/>
        <v>0</v>
      </c>
      <c r="P338" s="2213">
        <f t="shared" si="29"/>
        <v>0</v>
      </c>
    </row>
    <row r="339" spans="1:16" ht="14.5">
      <c r="A339" s="2042" t="s">
        <v>3018</v>
      </c>
      <c r="B339" s="380" t="str">
        <f t="shared" si="26"/>
        <v>100-908</v>
      </c>
      <c r="C339" s="2042" t="s">
        <v>280</v>
      </c>
      <c r="D339" s="2043">
        <v>585</v>
      </c>
      <c r="E339" s="2043">
        <v>535</v>
      </c>
      <c r="F339" s="2043">
        <f t="shared" si="27"/>
        <v>0</v>
      </c>
      <c r="G339" s="2043">
        <f t="shared" si="28"/>
        <v>0</v>
      </c>
      <c r="H339" s="2208">
        <v>0</v>
      </c>
      <c r="I339" s="2209">
        <v>0</v>
      </c>
      <c r="J339" s="2210">
        <v>0</v>
      </c>
      <c r="K339" s="2208">
        <v>0</v>
      </c>
      <c r="L339" s="2208">
        <v>0</v>
      </c>
      <c r="M339" s="2211">
        <v>0</v>
      </c>
      <c r="N339" s="2212">
        <v>0</v>
      </c>
      <c r="O339" s="1118">
        <f t="shared" si="25"/>
        <v>0</v>
      </c>
      <c r="P339" s="2213">
        <f t="shared" si="29"/>
        <v>0</v>
      </c>
    </row>
    <row r="340" spans="1:16" ht="14.5">
      <c r="A340" s="2042" t="s">
        <v>3199</v>
      </c>
      <c r="B340" s="380" t="str">
        <f t="shared" si="26"/>
        <v>210-903</v>
      </c>
      <c r="C340" s="2042" t="s">
        <v>1177</v>
      </c>
      <c r="D340" s="2043">
        <v>820</v>
      </c>
      <c r="E340" s="2043">
        <v>770</v>
      </c>
      <c r="F340" s="2043">
        <f t="shared" si="27"/>
        <v>0</v>
      </c>
      <c r="G340" s="2043">
        <f t="shared" si="28"/>
        <v>0</v>
      </c>
      <c r="H340" s="2208">
        <v>0</v>
      </c>
      <c r="I340" s="2209">
        <v>0</v>
      </c>
      <c r="J340" s="2210">
        <v>0</v>
      </c>
      <c r="K340" s="2208">
        <v>0</v>
      </c>
      <c r="L340" s="2208">
        <v>0</v>
      </c>
      <c r="M340" s="2211">
        <v>0</v>
      </c>
      <c r="N340" s="2212">
        <v>0</v>
      </c>
      <c r="O340" s="1118">
        <f t="shared" si="25"/>
        <v>0</v>
      </c>
      <c r="P340" s="2213">
        <f t="shared" si="29"/>
        <v>0</v>
      </c>
    </row>
    <row r="341" spans="1:16" ht="14.5">
      <c r="A341" s="2042" t="s">
        <v>3135</v>
      </c>
      <c r="B341" s="380" t="str">
        <f t="shared" si="26"/>
        <v>163-902</v>
      </c>
      <c r="C341" s="2042" t="s">
        <v>2056</v>
      </c>
      <c r="D341" s="2043">
        <v>364</v>
      </c>
      <c r="E341" s="2043">
        <v>315</v>
      </c>
      <c r="F341" s="2043">
        <f t="shared" si="27"/>
        <v>0</v>
      </c>
      <c r="G341" s="2043">
        <f t="shared" si="28"/>
        <v>0</v>
      </c>
      <c r="H341" s="2208">
        <v>0</v>
      </c>
      <c r="I341" s="2209">
        <v>0</v>
      </c>
      <c r="J341" s="2210">
        <v>0</v>
      </c>
      <c r="K341" s="2208">
        <v>0</v>
      </c>
      <c r="L341" s="2208">
        <v>0</v>
      </c>
      <c r="M341" s="2211">
        <v>0</v>
      </c>
      <c r="N341" s="2212">
        <v>0</v>
      </c>
      <c r="O341" s="1118">
        <f t="shared" si="25"/>
        <v>0</v>
      </c>
      <c r="P341" s="2213">
        <f t="shared" si="29"/>
        <v>0</v>
      </c>
    </row>
    <row r="342" spans="1:16" ht="14.5">
      <c r="A342" s="2042" t="s">
        <v>4983</v>
      </c>
      <c r="B342" s="380" t="str">
        <f t="shared" si="26"/>
        <v>052-901</v>
      </c>
      <c r="C342" s="2042" t="s">
        <v>2099</v>
      </c>
      <c r="D342" s="2043">
        <v>1148</v>
      </c>
      <c r="E342" s="2043">
        <v>1099</v>
      </c>
      <c r="F342" s="2043">
        <f t="shared" si="27"/>
        <v>0</v>
      </c>
      <c r="G342" s="2043">
        <f t="shared" si="28"/>
        <v>0</v>
      </c>
      <c r="H342" s="2208">
        <v>0</v>
      </c>
      <c r="I342" s="2209">
        <v>0</v>
      </c>
      <c r="J342" s="2210">
        <v>0</v>
      </c>
      <c r="K342" s="2208">
        <v>0</v>
      </c>
      <c r="L342" s="2208">
        <v>0</v>
      </c>
      <c r="M342" s="2211">
        <v>0</v>
      </c>
      <c r="N342" s="2212">
        <v>258904</v>
      </c>
      <c r="O342" s="1118">
        <f t="shared" si="25"/>
        <v>258904</v>
      </c>
      <c r="P342" s="2213">
        <f t="shared" si="29"/>
        <v>69709.510609342644</v>
      </c>
    </row>
    <row r="343" spans="1:16" ht="14.5">
      <c r="A343" s="2042" t="s">
        <v>5750</v>
      </c>
      <c r="B343" s="380" t="str">
        <f t="shared" si="26"/>
        <v>007-902</v>
      </c>
      <c r="C343" s="2042" t="s">
        <v>1128</v>
      </c>
      <c r="D343" s="2043">
        <v>1611</v>
      </c>
      <c r="E343" s="2043">
        <v>1562</v>
      </c>
      <c r="F343" s="2043">
        <f t="shared" si="27"/>
        <v>0</v>
      </c>
      <c r="G343" s="2043">
        <f t="shared" si="28"/>
        <v>0</v>
      </c>
      <c r="H343" s="2208">
        <v>0</v>
      </c>
      <c r="I343" s="2209">
        <v>0</v>
      </c>
      <c r="J343" s="2210">
        <v>0</v>
      </c>
      <c r="K343" s="2208">
        <v>0</v>
      </c>
      <c r="L343" s="2208">
        <v>0</v>
      </c>
      <c r="M343" s="2211">
        <v>0</v>
      </c>
      <c r="N343" s="2212">
        <v>0</v>
      </c>
      <c r="O343" s="1118">
        <f t="shared" si="25"/>
        <v>0</v>
      </c>
      <c r="P343" s="2213">
        <f t="shared" si="29"/>
        <v>0</v>
      </c>
    </row>
    <row r="344" spans="1:16" ht="14.5">
      <c r="A344" s="2042" t="s">
        <v>4920</v>
      </c>
      <c r="B344" s="380" t="str">
        <f t="shared" si="26"/>
        <v>001-909</v>
      </c>
      <c r="C344" s="2042" t="s">
        <v>1118</v>
      </c>
      <c r="D344" s="2043">
        <v>415</v>
      </c>
      <c r="E344" s="2043">
        <v>366</v>
      </c>
      <c r="F344" s="2043">
        <f t="shared" si="27"/>
        <v>0</v>
      </c>
      <c r="G344" s="2043">
        <f t="shared" si="28"/>
        <v>0</v>
      </c>
      <c r="H344" s="2208">
        <v>0</v>
      </c>
      <c r="I344" s="2209">
        <v>0</v>
      </c>
      <c r="J344" s="2210">
        <v>0</v>
      </c>
      <c r="K344" s="2208">
        <v>0</v>
      </c>
      <c r="L344" s="2208">
        <v>0</v>
      </c>
      <c r="M344" s="2211">
        <v>0</v>
      </c>
      <c r="N344" s="2212">
        <v>0</v>
      </c>
      <c r="O344" s="1118">
        <f t="shared" si="25"/>
        <v>0</v>
      </c>
      <c r="P344" s="2213">
        <f t="shared" si="29"/>
        <v>0</v>
      </c>
    </row>
    <row r="345" spans="1:16" ht="14.5">
      <c r="A345" s="2042" t="s">
        <v>3258</v>
      </c>
      <c r="B345" s="380" t="str">
        <f t="shared" si="26"/>
        <v>245-904</v>
      </c>
      <c r="C345" s="2042" t="s">
        <v>501</v>
      </c>
      <c r="D345" s="2043">
        <v>281</v>
      </c>
      <c r="E345" s="2043">
        <v>232</v>
      </c>
      <c r="F345" s="2043">
        <f t="shared" si="27"/>
        <v>0</v>
      </c>
      <c r="G345" s="2043">
        <f t="shared" si="28"/>
        <v>0</v>
      </c>
      <c r="H345" s="2208">
        <v>0</v>
      </c>
      <c r="I345" s="2209">
        <v>0</v>
      </c>
      <c r="J345" s="2210">
        <v>0</v>
      </c>
      <c r="K345" s="2208">
        <v>0</v>
      </c>
      <c r="L345" s="2208">
        <v>0</v>
      </c>
      <c r="M345" s="2211">
        <v>0</v>
      </c>
      <c r="N345" s="2212">
        <v>0</v>
      </c>
      <c r="O345" s="1118">
        <f t="shared" ref="O345:O408" si="30">IF(N345&gt;M345,N345-M345,0)</f>
        <v>0</v>
      </c>
      <c r="P345" s="2213">
        <f t="shared" si="29"/>
        <v>0</v>
      </c>
    </row>
    <row r="346" spans="1:16" ht="14.5">
      <c r="A346" s="2042" t="s">
        <v>5824</v>
      </c>
      <c r="B346" s="380" t="str">
        <f t="shared" si="26"/>
        <v>121-902</v>
      </c>
      <c r="C346" s="2042" t="s">
        <v>2359</v>
      </c>
      <c r="D346" s="2043">
        <v>417</v>
      </c>
      <c r="E346" s="2043">
        <v>368</v>
      </c>
      <c r="F346" s="2043">
        <f t="shared" si="27"/>
        <v>0</v>
      </c>
      <c r="G346" s="2043">
        <f t="shared" si="28"/>
        <v>0</v>
      </c>
      <c r="H346" s="2208">
        <v>0</v>
      </c>
      <c r="I346" s="2209">
        <v>0</v>
      </c>
      <c r="J346" s="2210">
        <v>0</v>
      </c>
      <c r="K346" s="2208">
        <v>0</v>
      </c>
      <c r="L346" s="2208">
        <v>0</v>
      </c>
      <c r="M346" s="2211">
        <v>0</v>
      </c>
      <c r="N346" s="2212">
        <v>0</v>
      </c>
      <c r="O346" s="1118">
        <f t="shared" si="30"/>
        <v>0</v>
      </c>
      <c r="P346" s="2213">
        <f t="shared" si="29"/>
        <v>0</v>
      </c>
    </row>
    <row r="347" spans="1:16" ht="14.5">
      <c r="A347" s="2042" t="s">
        <v>4984</v>
      </c>
      <c r="B347" s="380" t="str">
        <f t="shared" si="26"/>
        <v>055-901</v>
      </c>
      <c r="C347" s="2042" t="s">
        <v>113</v>
      </c>
      <c r="D347" s="2043">
        <v>436</v>
      </c>
      <c r="E347" s="2043">
        <v>387</v>
      </c>
      <c r="F347" s="2043">
        <f t="shared" si="27"/>
        <v>0</v>
      </c>
      <c r="G347" s="2043">
        <f t="shared" si="28"/>
        <v>0</v>
      </c>
      <c r="H347" s="2208">
        <v>0</v>
      </c>
      <c r="I347" s="2209">
        <v>0</v>
      </c>
      <c r="J347" s="2210">
        <v>0</v>
      </c>
      <c r="K347" s="2208">
        <v>0</v>
      </c>
      <c r="L347" s="2208">
        <v>0</v>
      </c>
      <c r="M347" s="2211">
        <v>0</v>
      </c>
      <c r="N347" s="2212">
        <v>0</v>
      </c>
      <c r="O347" s="1118">
        <f t="shared" si="30"/>
        <v>0</v>
      </c>
      <c r="P347" s="2213">
        <f t="shared" si="29"/>
        <v>0</v>
      </c>
    </row>
    <row r="348" spans="1:16" ht="14.5">
      <c r="A348" s="2042" t="s">
        <v>3136</v>
      </c>
      <c r="B348" s="380" t="str">
        <f t="shared" si="26"/>
        <v>163-903</v>
      </c>
      <c r="C348" s="2042" t="s">
        <v>2121</v>
      </c>
      <c r="D348" s="2043">
        <v>1072</v>
      </c>
      <c r="E348" s="2043">
        <v>1024</v>
      </c>
      <c r="F348" s="2043">
        <f t="shared" si="27"/>
        <v>0</v>
      </c>
      <c r="G348" s="2043">
        <f t="shared" si="28"/>
        <v>0</v>
      </c>
      <c r="H348" s="2208">
        <v>0</v>
      </c>
      <c r="I348" s="2209">
        <v>0</v>
      </c>
      <c r="J348" s="2210">
        <v>0</v>
      </c>
      <c r="K348" s="2208">
        <v>0</v>
      </c>
      <c r="L348" s="2208">
        <v>0</v>
      </c>
      <c r="M348" s="2211">
        <v>0</v>
      </c>
      <c r="N348" s="2212">
        <v>0</v>
      </c>
      <c r="O348" s="1118">
        <f t="shared" si="30"/>
        <v>0</v>
      </c>
      <c r="P348" s="2213">
        <f t="shared" si="29"/>
        <v>0</v>
      </c>
    </row>
    <row r="349" spans="1:16" ht="14.5">
      <c r="A349" s="2042" t="s">
        <v>4929</v>
      </c>
      <c r="B349" s="380" t="str">
        <f t="shared" si="26"/>
        <v>008-902</v>
      </c>
      <c r="C349" s="2042" t="s">
        <v>1131</v>
      </c>
      <c r="D349" s="2043">
        <v>2862</v>
      </c>
      <c r="E349" s="2043">
        <v>2814</v>
      </c>
      <c r="F349" s="2043">
        <f t="shared" si="27"/>
        <v>0</v>
      </c>
      <c r="G349" s="2043">
        <f t="shared" si="28"/>
        <v>0</v>
      </c>
      <c r="H349" s="2208">
        <v>0</v>
      </c>
      <c r="I349" s="2209">
        <v>0</v>
      </c>
      <c r="J349" s="2210">
        <v>0</v>
      </c>
      <c r="K349" s="2208">
        <v>0</v>
      </c>
      <c r="L349" s="2208">
        <v>0</v>
      </c>
      <c r="M349" s="2211">
        <v>0</v>
      </c>
      <c r="N349" s="2212">
        <v>0</v>
      </c>
      <c r="O349" s="1118">
        <f t="shared" si="30"/>
        <v>0</v>
      </c>
      <c r="P349" s="2213">
        <f t="shared" si="29"/>
        <v>0</v>
      </c>
    </row>
    <row r="350" spans="1:16" ht="14.5">
      <c r="A350" s="2042" t="s">
        <v>5099</v>
      </c>
      <c r="B350" s="380" t="str">
        <f t="shared" si="26"/>
        <v>113-905</v>
      </c>
      <c r="C350" s="2042" t="s">
        <v>1479</v>
      </c>
      <c r="D350" s="2043">
        <v>512</v>
      </c>
      <c r="E350" s="2043">
        <v>464</v>
      </c>
      <c r="F350" s="2043">
        <f t="shared" si="27"/>
        <v>0</v>
      </c>
      <c r="G350" s="2043">
        <f t="shared" si="28"/>
        <v>0</v>
      </c>
      <c r="H350" s="2208">
        <v>0</v>
      </c>
      <c r="I350" s="2209">
        <v>0</v>
      </c>
      <c r="J350" s="2210">
        <v>0</v>
      </c>
      <c r="K350" s="2208">
        <v>0</v>
      </c>
      <c r="L350" s="2208">
        <v>0</v>
      </c>
      <c r="M350" s="2211">
        <v>0</v>
      </c>
      <c r="N350" s="2212">
        <v>0</v>
      </c>
      <c r="O350" s="1118">
        <f t="shared" si="30"/>
        <v>0</v>
      </c>
      <c r="P350" s="2213">
        <f t="shared" si="29"/>
        <v>0</v>
      </c>
    </row>
    <row r="351" spans="1:16" ht="14.5">
      <c r="A351" s="2042" t="s">
        <v>3240</v>
      </c>
      <c r="B351" s="380" t="str">
        <f t="shared" si="26"/>
        <v>234-906</v>
      </c>
      <c r="C351" s="2042" t="s">
        <v>1077</v>
      </c>
      <c r="D351" s="2043">
        <v>2401</v>
      </c>
      <c r="E351" s="2043">
        <v>2354</v>
      </c>
      <c r="F351" s="2043">
        <f t="shared" si="27"/>
        <v>0</v>
      </c>
      <c r="G351" s="2043">
        <f t="shared" si="28"/>
        <v>0</v>
      </c>
      <c r="H351" s="2208">
        <v>0</v>
      </c>
      <c r="I351" s="2209">
        <v>0</v>
      </c>
      <c r="J351" s="2210">
        <v>0</v>
      </c>
      <c r="K351" s="2208">
        <v>0</v>
      </c>
      <c r="L351" s="2208">
        <v>0</v>
      </c>
      <c r="M351" s="2211">
        <v>0</v>
      </c>
      <c r="N351" s="2212">
        <v>0</v>
      </c>
      <c r="O351" s="1118">
        <f t="shared" si="30"/>
        <v>0</v>
      </c>
      <c r="P351" s="2213">
        <f t="shared" si="29"/>
        <v>0</v>
      </c>
    </row>
    <row r="352" spans="1:16" ht="14.5">
      <c r="A352" s="2042" t="s">
        <v>5867</v>
      </c>
      <c r="B352" s="380" t="str">
        <f t="shared" si="26"/>
        <v>194-904</v>
      </c>
      <c r="C352" s="2042" t="s">
        <v>1530</v>
      </c>
      <c r="D352" s="2043">
        <v>528</v>
      </c>
      <c r="E352" s="2043">
        <v>481</v>
      </c>
      <c r="F352" s="2043">
        <f t="shared" si="27"/>
        <v>0</v>
      </c>
      <c r="G352" s="2043">
        <f t="shared" si="28"/>
        <v>0</v>
      </c>
      <c r="H352" s="2208">
        <v>0</v>
      </c>
      <c r="I352" s="2209">
        <v>0</v>
      </c>
      <c r="J352" s="2210">
        <v>0</v>
      </c>
      <c r="K352" s="2208">
        <v>0</v>
      </c>
      <c r="L352" s="2208">
        <v>0</v>
      </c>
      <c r="M352" s="2211">
        <v>0</v>
      </c>
      <c r="N352" s="2212">
        <v>0</v>
      </c>
      <c r="O352" s="1118">
        <f t="shared" si="30"/>
        <v>0</v>
      </c>
      <c r="P352" s="2213">
        <f t="shared" si="29"/>
        <v>0</v>
      </c>
    </row>
    <row r="353" spans="1:16" ht="14.5">
      <c r="A353" s="2042" t="s">
        <v>5053</v>
      </c>
      <c r="B353" s="380" t="str">
        <f t="shared" si="26"/>
        <v>092-908</v>
      </c>
      <c r="C353" s="2042" t="s">
        <v>213</v>
      </c>
      <c r="D353" s="2043">
        <v>1515</v>
      </c>
      <c r="E353" s="2043">
        <v>1468</v>
      </c>
      <c r="F353" s="2043">
        <f t="shared" si="27"/>
        <v>0</v>
      </c>
      <c r="G353" s="2043">
        <f t="shared" si="28"/>
        <v>0</v>
      </c>
      <c r="H353" s="2208">
        <v>0</v>
      </c>
      <c r="I353" s="2209">
        <v>0</v>
      </c>
      <c r="J353" s="2210">
        <v>0</v>
      </c>
      <c r="K353" s="2208">
        <v>0</v>
      </c>
      <c r="L353" s="2208">
        <v>0</v>
      </c>
      <c r="M353" s="2211">
        <v>0</v>
      </c>
      <c r="N353" s="2212">
        <v>0</v>
      </c>
      <c r="O353" s="1118">
        <f t="shared" si="30"/>
        <v>0</v>
      </c>
      <c r="P353" s="2213">
        <f t="shared" si="29"/>
        <v>0</v>
      </c>
    </row>
    <row r="354" spans="1:16" ht="14.5">
      <c r="A354" s="2042" t="s">
        <v>2973</v>
      </c>
      <c r="B354" s="380" t="str">
        <f t="shared" si="26"/>
        <v>070-901</v>
      </c>
      <c r="C354" s="2042" t="s">
        <v>1998</v>
      </c>
      <c r="D354" s="2043">
        <v>379</v>
      </c>
      <c r="E354" s="2043">
        <v>332</v>
      </c>
      <c r="F354" s="2043">
        <f t="shared" si="27"/>
        <v>0</v>
      </c>
      <c r="G354" s="2043">
        <f t="shared" si="28"/>
        <v>0</v>
      </c>
      <c r="H354" s="2208">
        <v>0</v>
      </c>
      <c r="I354" s="2209">
        <v>0</v>
      </c>
      <c r="J354" s="2210">
        <v>0</v>
      </c>
      <c r="K354" s="2208">
        <v>0</v>
      </c>
      <c r="L354" s="2208">
        <v>0</v>
      </c>
      <c r="M354" s="2211">
        <v>0</v>
      </c>
      <c r="N354" s="2212">
        <v>0</v>
      </c>
      <c r="O354" s="1118">
        <f t="shared" si="30"/>
        <v>0</v>
      </c>
      <c r="P354" s="2213">
        <f t="shared" si="29"/>
        <v>0</v>
      </c>
    </row>
    <row r="355" spans="1:16" ht="14.5">
      <c r="A355" s="2042" t="s">
        <v>5276</v>
      </c>
      <c r="B355" s="380" t="str">
        <f t="shared" si="26"/>
        <v>225-902</v>
      </c>
      <c r="C355" s="2042" t="s">
        <v>601</v>
      </c>
      <c r="D355" s="2043">
        <v>5352</v>
      </c>
      <c r="E355" s="2043">
        <v>5306</v>
      </c>
      <c r="F355" s="2043">
        <f t="shared" si="27"/>
        <v>0</v>
      </c>
      <c r="G355" s="2043">
        <f t="shared" si="28"/>
        <v>0</v>
      </c>
      <c r="H355" s="2208">
        <v>0</v>
      </c>
      <c r="I355" s="2209">
        <v>0</v>
      </c>
      <c r="J355" s="2210">
        <v>0</v>
      </c>
      <c r="K355" s="2208">
        <v>0</v>
      </c>
      <c r="L355" s="2208">
        <v>0</v>
      </c>
      <c r="M355" s="2211">
        <v>0</v>
      </c>
      <c r="N355" s="2212">
        <v>0</v>
      </c>
      <c r="O355" s="1118">
        <f t="shared" si="30"/>
        <v>0</v>
      </c>
      <c r="P355" s="2213">
        <f t="shared" si="29"/>
        <v>0</v>
      </c>
    </row>
    <row r="356" spans="1:16" ht="14.5">
      <c r="A356" s="2042" t="s">
        <v>5004</v>
      </c>
      <c r="B356" s="380" t="str">
        <f t="shared" si="26"/>
        <v>067-904</v>
      </c>
      <c r="C356" s="2042" t="s">
        <v>1856</v>
      </c>
      <c r="D356" s="2043">
        <v>322</v>
      </c>
      <c r="E356" s="2043">
        <v>276</v>
      </c>
      <c r="F356" s="2043">
        <f t="shared" si="27"/>
        <v>0</v>
      </c>
      <c r="G356" s="2043">
        <f t="shared" si="28"/>
        <v>0</v>
      </c>
      <c r="H356" s="2208">
        <v>0</v>
      </c>
      <c r="I356" s="2209">
        <v>0</v>
      </c>
      <c r="J356" s="2210">
        <v>0</v>
      </c>
      <c r="K356" s="2208">
        <v>0</v>
      </c>
      <c r="L356" s="2208">
        <v>0</v>
      </c>
      <c r="M356" s="2211">
        <v>0</v>
      </c>
      <c r="N356" s="2212">
        <v>0</v>
      </c>
      <c r="O356" s="1118">
        <f t="shared" si="30"/>
        <v>0</v>
      </c>
      <c r="P356" s="2213">
        <f t="shared" si="29"/>
        <v>0</v>
      </c>
    </row>
    <row r="357" spans="1:16" ht="14.5">
      <c r="A357" s="2042" t="s">
        <v>3115</v>
      </c>
      <c r="B357" s="380" t="str">
        <f t="shared" si="26"/>
        <v>154-901</v>
      </c>
      <c r="C357" s="2042" t="s">
        <v>35</v>
      </c>
      <c r="D357" s="2043">
        <v>2339</v>
      </c>
      <c r="E357" s="2043">
        <v>2294</v>
      </c>
      <c r="F357" s="2043">
        <f t="shared" si="27"/>
        <v>0</v>
      </c>
      <c r="G357" s="2043">
        <f t="shared" si="28"/>
        <v>0</v>
      </c>
      <c r="H357" s="2208">
        <v>0</v>
      </c>
      <c r="I357" s="2209">
        <v>0</v>
      </c>
      <c r="J357" s="2210">
        <v>0</v>
      </c>
      <c r="K357" s="2208">
        <v>0</v>
      </c>
      <c r="L357" s="2208">
        <v>0</v>
      </c>
      <c r="M357" s="2211">
        <v>0</v>
      </c>
      <c r="N357" s="2212">
        <v>542085</v>
      </c>
      <c r="O357" s="1118">
        <f t="shared" si="30"/>
        <v>542085</v>
      </c>
      <c r="P357" s="2213">
        <f t="shared" si="29"/>
        <v>145955.56676863047</v>
      </c>
    </row>
    <row r="358" spans="1:16" ht="14.5">
      <c r="A358" s="2042" t="s">
        <v>5768</v>
      </c>
      <c r="B358" s="380" t="str">
        <f t="shared" si="26"/>
        <v>040-901</v>
      </c>
      <c r="C358" s="2042" t="s">
        <v>2035</v>
      </c>
      <c r="D358" s="2043">
        <v>419</v>
      </c>
      <c r="E358" s="2043">
        <v>374</v>
      </c>
      <c r="F358" s="2043">
        <f t="shared" si="27"/>
        <v>0</v>
      </c>
      <c r="G358" s="2043">
        <f t="shared" si="28"/>
        <v>0</v>
      </c>
      <c r="H358" s="2208">
        <v>0</v>
      </c>
      <c r="I358" s="2209">
        <v>0</v>
      </c>
      <c r="J358" s="2210">
        <v>0</v>
      </c>
      <c r="K358" s="2208">
        <v>0</v>
      </c>
      <c r="L358" s="2208">
        <v>0</v>
      </c>
      <c r="M358" s="2211">
        <v>0</v>
      </c>
      <c r="N358" s="2212">
        <v>0</v>
      </c>
      <c r="O358" s="1118">
        <f t="shared" si="30"/>
        <v>0</v>
      </c>
      <c r="P358" s="2213">
        <f t="shared" si="29"/>
        <v>0</v>
      </c>
    </row>
    <row r="359" spans="1:16" ht="14.5">
      <c r="A359" s="2042" t="s">
        <v>2849</v>
      </c>
      <c r="B359" s="380" t="str">
        <f t="shared" si="26"/>
        <v>001-903</v>
      </c>
      <c r="C359" s="2042" t="s">
        <v>266</v>
      </c>
      <c r="D359" s="2043">
        <v>1244</v>
      </c>
      <c r="E359" s="2043">
        <v>1200</v>
      </c>
      <c r="F359" s="2043">
        <f t="shared" si="27"/>
        <v>0</v>
      </c>
      <c r="G359" s="2043">
        <f t="shared" si="28"/>
        <v>0</v>
      </c>
      <c r="H359" s="2208">
        <v>0</v>
      </c>
      <c r="I359" s="2209">
        <v>0</v>
      </c>
      <c r="J359" s="2210">
        <v>0</v>
      </c>
      <c r="K359" s="2208">
        <v>0</v>
      </c>
      <c r="L359" s="2208">
        <v>0</v>
      </c>
      <c r="M359" s="2211">
        <v>0</v>
      </c>
      <c r="N359" s="2212">
        <v>0</v>
      </c>
      <c r="O359" s="1118">
        <f t="shared" si="30"/>
        <v>0</v>
      </c>
      <c r="P359" s="2213">
        <f t="shared" si="29"/>
        <v>0</v>
      </c>
    </row>
    <row r="360" spans="1:16" ht="14.5">
      <c r="A360" s="2042" t="s">
        <v>2987</v>
      </c>
      <c r="B360" s="380" t="str">
        <f t="shared" si="26"/>
        <v>072-903</v>
      </c>
      <c r="C360" s="2042" t="s">
        <v>1980</v>
      </c>
      <c r="D360" s="2043">
        <v>3703</v>
      </c>
      <c r="E360" s="2043">
        <v>3659</v>
      </c>
      <c r="F360" s="2043">
        <f t="shared" si="27"/>
        <v>0</v>
      </c>
      <c r="G360" s="2043">
        <f t="shared" si="28"/>
        <v>0</v>
      </c>
      <c r="H360" s="2208">
        <v>0</v>
      </c>
      <c r="I360" s="2209">
        <v>0</v>
      </c>
      <c r="J360" s="2210">
        <v>0</v>
      </c>
      <c r="K360" s="2208">
        <v>0</v>
      </c>
      <c r="L360" s="2208">
        <v>0</v>
      </c>
      <c r="M360" s="2211">
        <v>0</v>
      </c>
      <c r="N360" s="2212">
        <v>0</v>
      </c>
      <c r="O360" s="1118">
        <f t="shared" si="30"/>
        <v>0</v>
      </c>
      <c r="P360" s="2213">
        <f t="shared" si="29"/>
        <v>0</v>
      </c>
    </row>
    <row r="361" spans="1:16" ht="14.5">
      <c r="A361" s="2042" t="s">
        <v>4919</v>
      </c>
      <c r="B361" s="380" t="str">
        <f t="shared" si="26"/>
        <v>001-906</v>
      </c>
      <c r="C361" s="2042" t="s">
        <v>268</v>
      </c>
      <c r="D361" s="2043">
        <v>383</v>
      </c>
      <c r="E361" s="2043">
        <v>339</v>
      </c>
      <c r="F361" s="2043">
        <f t="shared" si="27"/>
        <v>0</v>
      </c>
      <c r="G361" s="2043">
        <f t="shared" si="28"/>
        <v>0</v>
      </c>
      <c r="H361" s="2208">
        <v>0</v>
      </c>
      <c r="I361" s="2209">
        <v>0</v>
      </c>
      <c r="J361" s="2210">
        <v>0</v>
      </c>
      <c r="K361" s="2208">
        <v>0</v>
      </c>
      <c r="L361" s="2208">
        <v>0</v>
      </c>
      <c r="M361" s="2211">
        <v>0</v>
      </c>
      <c r="N361" s="2212">
        <v>0</v>
      </c>
      <c r="O361" s="1118">
        <f t="shared" si="30"/>
        <v>0</v>
      </c>
      <c r="P361" s="2213">
        <f t="shared" si="29"/>
        <v>0</v>
      </c>
    </row>
    <row r="362" spans="1:16" ht="14.5">
      <c r="A362" s="2042" t="s">
        <v>5873</v>
      </c>
      <c r="B362" s="380" t="str">
        <f t="shared" si="26"/>
        <v>202-903</v>
      </c>
      <c r="C362" s="2042" t="s">
        <v>1439</v>
      </c>
      <c r="D362" s="2043">
        <v>923</v>
      </c>
      <c r="E362" s="2043">
        <v>879</v>
      </c>
      <c r="F362" s="2043">
        <f t="shared" si="27"/>
        <v>0</v>
      </c>
      <c r="G362" s="2043">
        <f t="shared" si="28"/>
        <v>0</v>
      </c>
      <c r="H362" s="2208">
        <v>0</v>
      </c>
      <c r="I362" s="2209">
        <v>0</v>
      </c>
      <c r="J362" s="2210">
        <v>0</v>
      </c>
      <c r="K362" s="2208">
        <v>0</v>
      </c>
      <c r="L362" s="2208">
        <v>0</v>
      </c>
      <c r="M362" s="2211">
        <v>0</v>
      </c>
      <c r="N362" s="2212">
        <v>0</v>
      </c>
      <c r="O362" s="1118">
        <f t="shared" si="30"/>
        <v>0</v>
      </c>
      <c r="P362" s="2213">
        <f t="shared" si="29"/>
        <v>0</v>
      </c>
    </row>
    <row r="363" spans="1:16" ht="14.5">
      <c r="A363" s="2042" t="s">
        <v>5765</v>
      </c>
      <c r="B363" s="380" t="str">
        <f t="shared" si="26"/>
        <v>035-902</v>
      </c>
      <c r="C363" s="2042" t="s">
        <v>1614</v>
      </c>
      <c r="D363" s="2043">
        <v>256</v>
      </c>
      <c r="E363" s="2043">
        <v>212</v>
      </c>
      <c r="F363" s="2043">
        <f t="shared" si="27"/>
        <v>0</v>
      </c>
      <c r="G363" s="2043">
        <f t="shared" si="28"/>
        <v>0</v>
      </c>
      <c r="H363" s="2208">
        <v>0</v>
      </c>
      <c r="I363" s="2209">
        <v>0</v>
      </c>
      <c r="J363" s="2210">
        <v>0</v>
      </c>
      <c r="K363" s="2208">
        <v>0</v>
      </c>
      <c r="L363" s="2208">
        <v>0</v>
      </c>
      <c r="M363" s="2211">
        <v>0</v>
      </c>
      <c r="N363" s="2212">
        <v>0</v>
      </c>
      <c r="O363" s="1118">
        <f t="shared" si="30"/>
        <v>0</v>
      </c>
      <c r="P363" s="2213">
        <f t="shared" si="29"/>
        <v>0</v>
      </c>
    </row>
    <row r="364" spans="1:16" ht="14.5">
      <c r="A364" s="2042" t="s">
        <v>2946</v>
      </c>
      <c r="B364" s="380" t="str">
        <f t="shared" si="26"/>
        <v>047-903</v>
      </c>
      <c r="C364" s="2042" t="s">
        <v>1637</v>
      </c>
      <c r="D364" s="2043">
        <v>194</v>
      </c>
      <c r="E364" s="2043">
        <v>150</v>
      </c>
      <c r="F364" s="2043">
        <f t="shared" si="27"/>
        <v>0</v>
      </c>
      <c r="G364" s="2043">
        <f t="shared" si="28"/>
        <v>0</v>
      </c>
      <c r="H364" s="2208">
        <v>0</v>
      </c>
      <c r="I364" s="2209">
        <v>0</v>
      </c>
      <c r="J364" s="2210">
        <v>0</v>
      </c>
      <c r="K364" s="2208">
        <v>0</v>
      </c>
      <c r="L364" s="2208">
        <v>0</v>
      </c>
      <c r="M364" s="2211">
        <v>0</v>
      </c>
      <c r="N364" s="2212">
        <v>0</v>
      </c>
      <c r="O364" s="1118">
        <f t="shared" si="30"/>
        <v>0</v>
      </c>
      <c r="P364" s="2213">
        <f t="shared" si="29"/>
        <v>0</v>
      </c>
    </row>
    <row r="365" spans="1:16" ht="14.5">
      <c r="A365" s="2042" t="s">
        <v>3114</v>
      </c>
      <c r="B365" s="380" t="str">
        <f t="shared" si="26"/>
        <v>152-910</v>
      </c>
      <c r="C365" s="2042" t="s">
        <v>522</v>
      </c>
      <c r="D365" s="2043">
        <v>1004</v>
      </c>
      <c r="E365" s="2043">
        <v>961</v>
      </c>
      <c r="F365" s="2043">
        <f t="shared" si="27"/>
        <v>0</v>
      </c>
      <c r="G365" s="2043">
        <f t="shared" si="28"/>
        <v>0</v>
      </c>
      <c r="H365" s="2208">
        <v>0</v>
      </c>
      <c r="I365" s="2209">
        <v>0</v>
      </c>
      <c r="J365" s="2210">
        <v>0</v>
      </c>
      <c r="K365" s="2208">
        <v>0</v>
      </c>
      <c r="L365" s="2208">
        <v>0</v>
      </c>
      <c r="M365" s="2211">
        <v>0</v>
      </c>
      <c r="N365" s="2212">
        <v>0</v>
      </c>
      <c r="O365" s="1118">
        <f t="shared" si="30"/>
        <v>0</v>
      </c>
      <c r="P365" s="2213">
        <f t="shared" si="29"/>
        <v>0</v>
      </c>
    </row>
    <row r="366" spans="1:16" ht="14.5">
      <c r="A366" s="2042" t="s">
        <v>5216</v>
      </c>
      <c r="B366" s="380" t="str">
        <f t="shared" si="26"/>
        <v>183-901</v>
      </c>
      <c r="C366" s="2042" t="s">
        <v>410</v>
      </c>
      <c r="D366" s="2043">
        <v>716</v>
      </c>
      <c r="E366" s="2043">
        <v>673</v>
      </c>
      <c r="F366" s="2043">
        <f t="shared" si="27"/>
        <v>0</v>
      </c>
      <c r="G366" s="2043">
        <f t="shared" si="28"/>
        <v>0</v>
      </c>
      <c r="H366" s="2208">
        <v>0</v>
      </c>
      <c r="I366" s="2209">
        <v>0</v>
      </c>
      <c r="J366" s="2210">
        <v>0</v>
      </c>
      <c r="K366" s="2208">
        <v>0</v>
      </c>
      <c r="L366" s="2208">
        <v>0</v>
      </c>
      <c r="M366" s="2211">
        <v>0</v>
      </c>
      <c r="N366" s="2212">
        <v>153515</v>
      </c>
      <c r="O366" s="1118">
        <f t="shared" si="30"/>
        <v>153515</v>
      </c>
      <c r="P366" s="2213">
        <f t="shared" si="29"/>
        <v>41333.681678124849</v>
      </c>
    </row>
    <row r="367" spans="1:16" ht="14.5">
      <c r="A367" s="2042" t="s">
        <v>5191</v>
      </c>
      <c r="B367" s="380" t="str">
        <f t="shared" si="26"/>
        <v>174-910</v>
      </c>
      <c r="C367" s="2042" t="s">
        <v>844</v>
      </c>
      <c r="D367" s="2043">
        <v>133</v>
      </c>
      <c r="E367" s="2043">
        <v>91</v>
      </c>
      <c r="F367" s="2043">
        <f t="shared" si="27"/>
        <v>0</v>
      </c>
      <c r="G367" s="2043">
        <f t="shared" si="28"/>
        <v>0</v>
      </c>
      <c r="H367" s="2208">
        <v>0</v>
      </c>
      <c r="I367" s="2209">
        <v>0</v>
      </c>
      <c r="J367" s="2210">
        <v>0</v>
      </c>
      <c r="K367" s="2208">
        <v>0</v>
      </c>
      <c r="L367" s="2208">
        <v>0</v>
      </c>
      <c r="M367" s="2211">
        <v>0</v>
      </c>
      <c r="N367" s="2212">
        <v>0</v>
      </c>
      <c r="O367" s="1118">
        <f t="shared" si="30"/>
        <v>0</v>
      </c>
      <c r="P367" s="2213">
        <f t="shared" si="29"/>
        <v>0</v>
      </c>
    </row>
    <row r="368" spans="1:16" ht="14.5">
      <c r="A368" s="2042" t="s">
        <v>5153</v>
      </c>
      <c r="B368" s="380" t="str">
        <f t="shared" si="26"/>
        <v>148-901</v>
      </c>
      <c r="C368" s="2042" t="s">
        <v>512</v>
      </c>
      <c r="D368" s="2043">
        <v>404</v>
      </c>
      <c r="E368" s="2043">
        <v>362</v>
      </c>
      <c r="F368" s="2043">
        <f t="shared" si="27"/>
        <v>0</v>
      </c>
      <c r="G368" s="2043">
        <f t="shared" si="28"/>
        <v>0</v>
      </c>
      <c r="H368" s="2208">
        <v>0</v>
      </c>
      <c r="I368" s="2209">
        <v>0</v>
      </c>
      <c r="J368" s="2210">
        <v>0</v>
      </c>
      <c r="K368" s="2208">
        <v>0</v>
      </c>
      <c r="L368" s="2208">
        <v>0</v>
      </c>
      <c r="M368" s="2211">
        <v>0</v>
      </c>
      <c r="N368" s="2212">
        <v>0</v>
      </c>
      <c r="O368" s="1118">
        <f t="shared" si="30"/>
        <v>0</v>
      </c>
      <c r="P368" s="2213">
        <f t="shared" si="29"/>
        <v>0</v>
      </c>
    </row>
    <row r="369" spans="1:16" ht="14.5">
      <c r="A369" s="2042" t="s">
        <v>5204</v>
      </c>
      <c r="B369" s="380" t="str">
        <f t="shared" si="26"/>
        <v>178-908</v>
      </c>
      <c r="C369" s="2042" t="s">
        <v>302</v>
      </c>
      <c r="D369" s="2043">
        <v>545</v>
      </c>
      <c r="E369" s="2043">
        <v>503</v>
      </c>
      <c r="F369" s="2043">
        <f t="shared" si="27"/>
        <v>0</v>
      </c>
      <c r="G369" s="2043">
        <f t="shared" si="28"/>
        <v>0</v>
      </c>
      <c r="H369" s="2208">
        <v>0</v>
      </c>
      <c r="I369" s="2209">
        <v>0</v>
      </c>
      <c r="J369" s="2210">
        <v>0</v>
      </c>
      <c r="K369" s="2208">
        <v>0</v>
      </c>
      <c r="L369" s="2208">
        <v>0</v>
      </c>
      <c r="M369" s="2211">
        <v>0</v>
      </c>
      <c r="N369" s="2212">
        <v>0</v>
      </c>
      <c r="O369" s="1118">
        <f t="shared" si="30"/>
        <v>0</v>
      </c>
      <c r="P369" s="2213">
        <f t="shared" si="29"/>
        <v>0</v>
      </c>
    </row>
    <row r="370" spans="1:16" ht="14.5">
      <c r="A370" s="2042" t="s">
        <v>2867</v>
      </c>
      <c r="B370" s="380" t="str">
        <f t="shared" si="26"/>
        <v>013-905</v>
      </c>
      <c r="C370" s="2042" t="s">
        <v>1725</v>
      </c>
      <c r="D370" s="2043">
        <v>847</v>
      </c>
      <c r="E370" s="2043">
        <v>806</v>
      </c>
      <c r="F370" s="2043">
        <f t="shared" si="27"/>
        <v>0</v>
      </c>
      <c r="G370" s="2043">
        <f t="shared" si="28"/>
        <v>0</v>
      </c>
      <c r="H370" s="2208">
        <v>0</v>
      </c>
      <c r="I370" s="2209">
        <v>0</v>
      </c>
      <c r="J370" s="2210">
        <v>0</v>
      </c>
      <c r="K370" s="2208">
        <v>0</v>
      </c>
      <c r="L370" s="2208">
        <v>0</v>
      </c>
      <c r="M370" s="2211">
        <v>0</v>
      </c>
      <c r="N370" s="2212">
        <v>0</v>
      </c>
      <c r="O370" s="1118">
        <f t="shared" si="30"/>
        <v>0</v>
      </c>
      <c r="P370" s="2213">
        <f t="shared" si="29"/>
        <v>0</v>
      </c>
    </row>
    <row r="371" spans="1:16" ht="14.5">
      <c r="A371" s="2042" t="s">
        <v>5311</v>
      </c>
      <c r="B371" s="380" t="str">
        <f t="shared" si="26"/>
        <v>249-903</v>
      </c>
      <c r="C371" s="2042" t="s">
        <v>1525</v>
      </c>
      <c r="D371" s="2043">
        <v>2092</v>
      </c>
      <c r="E371" s="2043">
        <v>2051</v>
      </c>
      <c r="F371" s="2043">
        <f t="shared" si="27"/>
        <v>0</v>
      </c>
      <c r="G371" s="2043">
        <f t="shared" si="28"/>
        <v>0</v>
      </c>
      <c r="H371" s="2208">
        <v>0</v>
      </c>
      <c r="I371" s="2209">
        <v>0</v>
      </c>
      <c r="J371" s="2210">
        <v>0</v>
      </c>
      <c r="K371" s="2208">
        <v>0</v>
      </c>
      <c r="L371" s="2208">
        <v>0</v>
      </c>
      <c r="M371" s="2211">
        <v>0</v>
      </c>
      <c r="N371" s="2212">
        <v>0</v>
      </c>
      <c r="O371" s="1118">
        <f t="shared" si="30"/>
        <v>0</v>
      </c>
      <c r="P371" s="2213">
        <f t="shared" si="29"/>
        <v>0</v>
      </c>
    </row>
    <row r="372" spans="1:16" ht="14.5">
      <c r="A372" s="2042" t="s">
        <v>4185</v>
      </c>
      <c r="B372" s="380" t="str">
        <f t="shared" si="26"/>
        <v>109-903</v>
      </c>
      <c r="C372" s="2042" t="s">
        <v>626</v>
      </c>
      <c r="D372" s="2043">
        <v>317</v>
      </c>
      <c r="E372" s="2043">
        <v>276</v>
      </c>
      <c r="F372" s="2043">
        <f t="shared" si="27"/>
        <v>0</v>
      </c>
      <c r="G372" s="2043">
        <f t="shared" si="28"/>
        <v>0</v>
      </c>
      <c r="H372" s="2208">
        <v>0</v>
      </c>
      <c r="I372" s="2209">
        <v>0</v>
      </c>
      <c r="J372" s="2210">
        <v>0</v>
      </c>
      <c r="K372" s="2208">
        <v>0</v>
      </c>
      <c r="L372" s="2208">
        <v>0</v>
      </c>
      <c r="M372" s="2211">
        <v>0</v>
      </c>
      <c r="N372" s="2212">
        <v>66792</v>
      </c>
      <c r="O372" s="1118">
        <f t="shared" si="30"/>
        <v>66792</v>
      </c>
      <c r="P372" s="2213">
        <f t="shared" si="29"/>
        <v>17983.645029119725</v>
      </c>
    </row>
    <row r="373" spans="1:16" ht="14.5">
      <c r="A373" s="2042" t="s">
        <v>5040</v>
      </c>
      <c r="B373" s="380" t="str">
        <f t="shared" si="26"/>
        <v>089-905</v>
      </c>
      <c r="C373" s="2042" t="s">
        <v>1356</v>
      </c>
      <c r="D373" s="2043">
        <v>339</v>
      </c>
      <c r="E373" s="2043">
        <v>298</v>
      </c>
      <c r="F373" s="2043">
        <f t="shared" si="27"/>
        <v>0</v>
      </c>
      <c r="G373" s="2043">
        <f t="shared" si="28"/>
        <v>0</v>
      </c>
      <c r="H373" s="2208">
        <v>0</v>
      </c>
      <c r="I373" s="2209">
        <v>0</v>
      </c>
      <c r="J373" s="2210">
        <v>0</v>
      </c>
      <c r="K373" s="2208">
        <v>0</v>
      </c>
      <c r="L373" s="2208">
        <v>0</v>
      </c>
      <c r="M373" s="2211">
        <v>0</v>
      </c>
      <c r="N373" s="2212">
        <v>0</v>
      </c>
      <c r="O373" s="1118">
        <f t="shared" si="30"/>
        <v>0</v>
      </c>
      <c r="P373" s="2213">
        <f t="shared" si="29"/>
        <v>0</v>
      </c>
    </row>
    <row r="374" spans="1:16" ht="14.5">
      <c r="A374" s="2042" t="s">
        <v>5811</v>
      </c>
      <c r="B374" s="380" t="str">
        <f t="shared" si="26"/>
        <v>099-903</v>
      </c>
      <c r="C374" s="2042" t="s">
        <v>449</v>
      </c>
      <c r="D374" s="2043">
        <v>569</v>
      </c>
      <c r="E374" s="2043">
        <v>528</v>
      </c>
      <c r="F374" s="2043">
        <f t="shared" si="27"/>
        <v>0</v>
      </c>
      <c r="G374" s="2043">
        <f t="shared" si="28"/>
        <v>0</v>
      </c>
      <c r="H374" s="2208">
        <v>0</v>
      </c>
      <c r="I374" s="2209">
        <v>0</v>
      </c>
      <c r="J374" s="2210">
        <v>0</v>
      </c>
      <c r="K374" s="2208">
        <v>0</v>
      </c>
      <c r="L374" s="2208">
        <v>0</v>
      </c>
      <c r="M374" s="2211">
        <v>0</v>
      </c>
      <c r="N374" s="2212">
        <v>0</v>
      </c>
      <c r="O374" s="1118">
        <f t="shared" si="30"/>
        <v>0</v>
      </c>
      <c r="P374" s="2213">
        <f t="shared" si="29"/>
        <v>0</v>
      </c>
    </row>
    <row r="375" spans="1:16" ht="14.5">
      <c r="A375" s="2042" t="s">
        <v>5013</v>
      </c>
      <c r="B375" s="380" t="str">
        <f t="shared" si="26"/>
        <v>074-909</v>
      </c>
      <c r="C375" s="2042" t="s">
        <v>3</v>
      </c>
      <c r="D375" s="2043">
        <v>871</v>
      </c>
      <c r="E375" s="2043">
        <v>831</v>
      </c>
      <c r="F375" s="2043">
        <f t="shared" si="27"/>
        <v>0</v>
      </c>
      <c r="G375" s="2043">
        <f t="shared" si="28"/>
        <v>0</v>
      </c>
      <c r="H375" s="2208">
        <v>0</v>
      </c>
      <c r="I375" s="2209">
        <v>0</v>
      </c>
      <c r="J375" s="2210">
        <v>0</v>
      </c>
      <c r="K375" s="2208">
        <v>0</v>
      </c>
      <c r="L375" s="2208">
        <v>0</v>
      </c>
      <c r="M375" s="2211">
        <v>0</v>
      </c>
      <c r="N375" s="2212">
        <v>0</v>
      </c>
      <c r="O375" s="1118">
        <f t="shared" si="30"/>
        <v>0</v>
      </c>
      <c r="P375" s="2213">
        <f t="shared" si="29"/>
        <v>0</v>
      </c>
    </row>
    <row r="376" spans="1:16" ht="14.5">
      <c r="A376" s="2042" t="s">
        <v>5787</v>
      </c>
      <c r="B376" s="380" t="str">
        <f t="shared" si="26"/>
        <v>065-901</v>
      </c>
      <c r="C376" s="2042" t="s">
        <v>1851</v>
      </c>
      <c r="D376" s="2043">
        <v>481</v>
      </c>
      <c r="E376" s="2043">
        <v>441</v>
      </c>
      <c r="F376" s="2043">
        <f t="shared" si="27"/>
        <v>0</v>
      </c>
      <c r="G376" s="2043">
        <f t="shared" si="28"/>
        <v>0</v>
      </c>
      <c r="H376" s="2208">
        <v>0</v>
      </c>
      <c r="I376" s="2209">
        <v>0</v>
      </c>
      <c r="J376" s="2210">
        <v>0</v>
      </c>
      <c r="K376" s="2208">
        <v>0</v>
      </c>
      <c r="L376" s="2208">
        <v>0</v>
      </c>
      <c r="M376" s="2211">
        <v>0</v>
      </c>
      <c r="N376" s="2212">
        <v>0</v>
      </c>
      <c r="O376" s="1118">
        <f t="shared" si="30"/>
        <v>0</v>
      </c>
      <c r="P376" s="2213">
        <f t="shared" si="29"/>
        <v>0</v>
      </c>
    </row>
    <row r="377" spans="1:16" ht="14.5">
      <c r="A377" s="2042" t="s">
        <v>5111</v>
      </c>
      <c r="B377" s="380" t="str">
        <f t="shared" si="26"/>
        <v>119-903</v>
      </c>
      <c r="C377" s="2042" t="s">
        <v>993</v>
      </c>
      <c r="D377" s="2043">
        <v>356</v>
      </c>
      <c r="E377" s="2043">
        <v>316</v>
      </c>
      <c r="F377" s="2043">
        <f t="shared" si="27"/>
        <v>0</v>
      </c>
      <c r="G377" s="2043">
        <f t="shared" si="28"/>
        <v>0</v>
      </c>
      <c r="H377" s="2208">
        <v>0</v>
      </c>
      <c r="I377" s="2209">
        <v>0</v>
      </c>
      <c r="J377" s="2210">
        <v>0</v>
      </c>
      <c r="K377" s="2208">
        <v>0</v>
      </c>
      <c r="L377" s="2208">
        <v>0</v>
      </c>
      <c r="M377" s="2211">
        <v>0</v>
      </c>
      <c r="N377" s="2212">
        <v>0</v>
      </c>
      <c r="O377" s="1118">
        <f t="shared" si="30"/>
        <v>0</v>
      </c>
      <c r="P377" s="2213">
        <f t="shared" si="29"/>
        <v>0</v>
      </c>
    </row>
    <row r="378" spans="1:16" ht="14.5">
      <c r="A378" s="2042" t="s">
        <v>4938</v>
      </c>
      <c r="B378" s="380" t="str">
        <f t="shared" si="26"/>
        <v>018-907</v>
      </c>
      <c r="C378" s="2042" t="s">
        <v>2539</v>
      </c>
      <c r="D378" s="2043">
        <v>224</v>
      </c>
      <c r="E378" s="2043">
        <v>184</v>
      </c>
      <c r="F378" s="2043">
        <f t="shared" si="27"/>
        <v>0</v>
      </c>
      <c r="G378" s="2043">
        <f t="shared" si="28"/>
        <v>0</v>
      </c>
      <c r="H378" s="2208">
        <v>0</v>
      </c>
      <c r="I378" s="2209">
        <v>0</v>
      </c>
      <c r="J378" s="2210">
        <v>0</v>
      </c>
      <c r="K378" s="2208">
        <v>0</v>
      </c>
      <c r="L378" s="2208">
        <v>0</v>
      </c>
      <c r="M378" s="2211">
        <v>0</v>
      </c>
      <c r="N378" s="2212">
        <v>0</v>
      </c>
      <c r="O378" s="1118">
        <f t="shared" si="30"/>
        <v>0</v>
      </c>
      <c r="P378" s="2213">
        <f t="shared" si="29"/>
        <v>0</v>
      </c>
    </row>
    <row r="379" spans="1:16" ht="14.5">
      <c r="A379" s="2042" t="s">
        <v>5866</v>
      </c>
      <c r="B379" s="380" t="str">
        <f t="shared" si="26"/>
        <v>194-902</v>
      </c>
      <c r="C379" s="2042" t="s">
        <v>1999</v>
      </c>
      <c r="D379" s="2043">
        <v>361</v>
      </c>
      <c r="E379" s="2043">
        <v>322</v>
      </c>
      <c r="F379" s="2043">
        <f t="shared" si="27"/>
        <v>0</v>
      </c>
      <c r="G379" s="2043">
        <f t="shared" si="28"/>
        <v>0</v>
      </c>
      <c r="H379" s="2208">
        <v>0</v>
      </c>
      <c r="I379" s="2209">
        <v>0</v>
      </c>
      <c r="J379" s="2210">
        <v>0</v>
      </c>
      <c r="K379" s="2208">
        <v>0</v>
      </c>
      <c r="L379" s="2208">
        <v>0</v>
      </c>
      <c r="M379" s="2211">
        <v>0</v>
      </c>
      <c r="N379" s="2212">
        <v>0</v>
      </c>
      <c r="O379" s="1118">
        <f t="shared" si="30"/>
        <v>0</v>
      </c>
      <c r="P379" s="2213">
        <f t="shared" si="29"/>
        <v>0</v>
      </c>
    </row>
    <row r="380" spans="1:16" ht="14.5">
      <c r="A380" s="2042" t="s">
        <v>5803</v>
      </c>
      <c r="B380" s="380" t="str">
        <f t="shared" si="26"/>
        <v>085-903</v>
      </c>
      <c r="C380" s="2042" t="s">
        <v>352</v>
      </c>
      <c r="D380" s="2043">
        <v>156</v>
      </c>
      <c r="E380" s="2043">
        <v>117</v>
      </c>
      <c r="F380" s="2043">
        <f t="shared" si="27"/>
        <v>0</v>
      </c>
      <c r="G380" s="2043">
        <f t="shared" si="28"/>
        <v>0</v>
      </c>
      <c r="H380" s="2208">
        <v>0</v>
      </c>
      <c r="I380" s="2209">
        <v>0</v>
      </c>
      <c r="J380" s="2210">
        <v>0</v>
      </c>
      <c r="K380" s="2208">
        <v>0</v>
      </c>
      <c r="L380" s="2208">
        <v>0</v>
      </c>
      <c r="M380" s="2211">
        <v>0</v>
      </c>
      <c r="N380" s="2212">
        <v>0</v>
      </c>
      <c r="O380" s="1118">
        <f t="shared" si="30"/>
        <v>0</v>
      </c>
      <c r="P380" s="2213">
        <f t="shared" si="29"/>
        <v>0</v>
      </c>
    </row>
    <row r="381" spans="1:16" ht="14.5">
      <c r="A381" s="2042" t="s">
        <v>3242</v>
      </c>
      <c r="B381" s="380" t="str">
        <f t="shared" si="26"/>
        <v>235-901</v>
      </c>
      <c r="C381" s="2042" t="s">
        <v>1268</v>
      </c>
      <c r="D381" s="2043">
        <v>926</v>
      </c>
      <c r="E381" s="2043">
        <v>887</v>
      </c>
      <c r="F381" s="2043">
        <f t="shared" si="27"/>
        <v>0</v>
      </c>
      <c r="G381" s="2043">
        <f t="shared" si="28"/>
        <v>0</v>
      </c>
      <c r="H381" s="2208">
        <v>0</v>
      </c>
      <c r="I381" s="2209">
        <v>0</v>
      </c>
      <c r="J381" s="2210">
        <v>0</v>
      </c>
      <c r="K381" s="2208">
        <v>0</v>
      </c>
      <c r="L381" s="2208">
        <v>0</v>
      </c>
      <c r="M381" s="2211">
        <v>0</v>
      </c>
      <c r="N381" s="2212">
        <v>0</v>
      </c>
      <c r="O381" s="1118">
        <f t="shared" si="30"/>
        <v>0</v>
      </c>
      <c r="P381" s="2213">
        <f t="shared" si="29"/>
        <v>0</v>
      </c>
    </row>
    <row r="382" spans="1:16" ht="14.5">
      <c r="A382" s="2042" t="s">
        <v>5042</v>
      </c>
      <c r="B382" s="380" t="str">
        <f t="shared" si="26"/>
        <v>090-903</v>
      </c>
      <c r="C382" s="2042" t="s">
        <v>1358</v>
      </c>
      <c r="D382" s="2043">
        <v>239</v>
      </c>
      <c r="E382" s="2043">
        <v>201</v>
      </c>
      <c r="F382" s="2043">
        <f t="shared" si="27"/>
        <v>0</v>
      </c>
      <c r="G382" s="2043">
        <f t="shared" si="28"/>
        <v>0</v>
      </c>
      <c r="H382" s="2208">
        <v>0</v>
      </c>
      <c r="I382" s="2209">
        <v>0</v>
      </c>
      <c r="J382" s="2210">
        <v>0</v>
      </c>
      <c r="K382" s="2208">
        <v>0</v>
      </c>
      <c r="L382" s="2208">
        <v>0</v>
      </c>
      <c r="M382" s="2211">
        <v>0</v>
      </c>
      <c r="N382" s="2212">
        <v>0</v>
      </c>
      <c r="O382" s="1118">
        <f t="shared" si="30"/>
        <v>0</v>
      </c>
      <c r="P382" s="2213">
        <f t="shared" si="29"/>
        <v>0</v>
      </c>
    </row>
    <row r="383" spans="1:16" ht="14.5">
      <c r="A383" s="2042" t="s">
        <v>5092</v>
      </c>
      <c r="B383" s="380" t="str">
        <f t="shared" si="26"/>
        <v>109-911</v>
      </c>
      <c r="C383" s="2042" t="s">
        <v>2459</v>
      </c>
      <c r="D383" s="2043">
        <v>1480</v>
      </c>
      <c r="E383" s="2043">
        <v>1443</v>
      </c>
      <c r="F383" s="2043">
        <f t="shared" si="27"/>
        <v>0</v>
      </c>
      <c r="G383" s="2043">
        <f t="shared" si="28"/>
        <v>0</v>
      </c>
      <c r="H383" s="2208">
        <v>0</v>
      </c>
      <c r="I383" s="2209">
        <v>0</v>
      </c>
      <c r="J383" s="2210">
        <v>0</v>
      </c>
      <c r="K383" s="2208">
        <v>0</v>
      </c>
      <c r="L383" s="2208">
        <v>0</v>
      </c>
      <c r="M383" s="2211">
        <v>0</v>
      </c>
      <c r="N383" s="2212">
        <v>0</v>
      </c>
      <c r="O383" s="1118">
        <f t="shared" si="30"/>
        <v>0</v>
      </c>
      <c r="P383" s="2213">
        <f t="shared" si="29"/>
        <v>0</v>
      </c>
    </row>
    <row r="384" spans="1:16" ht="14.5">
      <c r="A384" s="2042" t="s">
        <v>4927</v>
      </c>
      <c r="B384" s="380" t="str">
        <f t="shared" si="26"/>
        <v>006-902</v>
      </c>
      <c r="C384" s="2042" t="s">
        <v>1127</v>
      </c>
      <c r="D384" s="2043">
        <v>353</v>
      </c>
      <c r="E384" s="2043">
        <v>316</v>
      </c>
      <c r="F384" s="2043">
        <f t="shared" si="27"/>
        <v>0</v>
      </c>
      <c r="G384" s="2043">
        <f t="shared" si="28"/>
        <v>0</v>
      </c>
      <c r="H384" s="2208">
        <v>0</v>
      </c>
      <c r="I384" s="2209">
        <v>0</v>
      </c>
      <c r="J384" s="2210">
        <v>0</v>
      </c>
      <c r="K384" s="2208">
        <v>0</v>
      </c>
      <c r="L384" s="2208">
        <v>0</v>
      </c>
      <c r="M384" s="2211">
        <v>0</v>
      </c>
      <c r="N384" s="2212">
        <v>75081</v>
      </c>
      <c r="O384" s="1118">
        <f t="shared" si="30"/>
        <v>75081</v>
      </c>
      <c r="P384" s="2213">
        <f t="shared" si="29"/>
        <v>20215.44574846296</v>
      </c>
    </row>
    <row r="385" spans="1:16" ht="14.5">
      <c r="A385" s="2042" t="s">
        <v>5036</v>
      </c>
      <c r="B385" s="380" t="str">
        <f t="shared" si="26"/>
        <v>086-901</v>
      </c>
      <c r="C385" s="2042" t="s">
        <v>354</v>
      </c>
      <c r="D385" s="2043">
        <v>3138</v>
      </c>
      <c r="E385" s="2043">
        <v>3101</v>
      </c>
      <c r="F385" s="2043">
        <f t="shared" si="27"/>
        <v>0</v>
      </c>
      <c r="G385" s="2043">
        <f t="shared" si="28"/>
        <v>0</v>
      </c>
      <c r="H385" s="2208">
        <v>0</v>
      </c>
      <c r="I385" s="2209">
        <v>0</v>
      </c>
      <c r="J385" s="2210">
        <v>0</v>
      </c>
      <c r="K385" s="2208">
        <v>0</v>
      </c>
      <c r="L385" s="2208">
        <v>0</v>
      </c>
      <c r="M385" s="2211">
        <v>0</v>
      </c>
      <c r="N385" s="2212">
        <v>0</v>
      </c>
      <c r="O385" s="1118">
        <f t="shared" si="30"/>
        <v>0</v>
      </c>
      <c r="P385" s="2213">
        <f t="shared" si="29"/>
        <v>0</v>
      </c>
    </row>
    <row r="386" spans="1:16" ht="14.5">
      <c r="A386" s="2042" t="s">
        <v>5273</v>
      </c>
      <c r="B386" s="380" t="str">
        <f t="shared" si="26"/>
        <v>222-901</v>
      </c>
      <c r="C386" s="2042" t="s">
        <v>1210</v>
      </c>
      <c r="D386" s="2043">
        <v>158</v>
      </c>
      <c r="E386" s="2043">
        <v>121</v>
      </c>
      <c r="F386" s="2043">
        <f t="shared" si="27"/>
        <v>0</v>
      </c>
      <c r="G386" s="2043">
        <f t="shared" si="28"/>
        <v>0</v>
      </c>
      <c r="H386" s="2208">
        <v>0</v>
      </c>
      <c r="I386" s="2209">
        <v>0</v>
      </c>
      <c r="J386" s="2210">
        <v>0</v>
      </c>
      <c r="K386" s="2208">
        <v>0</v>
      </c>
      <c r="L386" s="2208">
        <v>0</v>
      </c>
      <c r="M386" s="2211">
        <v>0</v>
      </c>
      <c r="N386" s="2212">
        <v>0</v>
      </c>
      <c r="O386" s="1118">
        <f t="shared" si="30"/>
        <v>0</v>
      </c>
      <c r="P386" s="2213">
        <f t="shared" si="29"/>
        <v>0</v>
      </c>
    </row>
    <row r="387" spans="1:16" ht="14.5">
      <c r="A387" s="2042" t="s">
        <v>5309</v>
      </c>
      <c r="B387" s="380" t="str">
        <f t="shared" ref="B387:B450" si="31">CONCATENATE(LEFT(RIGHT(CONCATENATE("000",A387),6),3),"-",(RIGHT(RIGHT(CONCATENATE("000",A387),6),3)))</f>
        <v>248-902</v>
      </c>
      <c r="C387" s="2042" t="s">
        <v>1523</v>
      </c>
      <c r="D387" s="2043">
        <v>439</v>
      </c>
      <c r="E387" s="2043">
        <v>403</v>
      </c>
      <c r="F387" s="2043">
        <f t="shared" ref="F387:F450" si="32">MAX(0,E387-D387)</f>
        <v>0</v>
      </c>
      <c r="G387" s="2043">
        <f t="shared" ref="G387:G450" si="33">MAX(0,F387-250)</f>
        <v>0</v>
      </c>
      <c r="H387" s="2208">
        <v>0</v>
      </c>
      <c r="I387" s="2209">
        <v>0</v>
      </c>
      <c r="J387" s="2210">
        <v>0</v>
      </c>
      <c r="K387" s="2208">
        <v>0</v>
      </c>
      <c r="L387" s="2208">
        <v>0</v>
      </c>
      <c r="M387" s="2211">
        <v>0</v>
      </c>
      <c r="N387" s="2212">
        <v>99824</v>
      </c>
      <c r="O387" s="1118">
        <f t="shared" si="30"/>
        <v>99824</v>
      </c>
      <c r="P387" s="2213">
        <f t="shared" ref="P387:P450" si="34">(40000000/$O$1022)*O387</f>
        <v>26877.461093946094</v>
      </c>
    </row>
    <row r="388" spans="1:16" ht="14.5">
      <c r="A388" s="2042" t="s">
        <v>5319</v>
      </c>
      <c r="B388" s="380" t="str">
        <f t="shared" si="31"/>
        <v>251-902</v>
      </c>
      <c r="C388" s="2042" t="s">
        <v>1298</v>
      </c>
      <c r="D388" s="2043">
        <v>467</v>
      </c>
      <c r="E388" s="2043">
        <v>431</v>
      </c>
      <c r="F388" s="2043">
        <f t="shared" si="32"/>
        <v>0</v>
      </c>
      <c r="G388" s="2043">
        <f t="shared" si="33"/>
        <v>0</v>
      </c>
      <c r="H388" s="2208">
        <v>0</v>
      </c>
      <c r="I388" s="2209">
        <v>0</v>
      </c>
      <c r="J388" s="2210">
        <v>0</v>
      </c>
      <c r="K388" s="2208">
        <v>0</v>
      </c>
      <c r="L388" s="2208">
        <v>0</v>
      </c>
      <c r="M388" s="2211">
        <v>0</v>
      </c>
      <c r="N388" s="2212">
        <v>107225</v>
      </c>
      <c r="O388" s="1118">
        <f t="shared" si="30"/>
        <v>107225</v>
      </c>
      <c r="P388" s="2213">
        <f t="shared" si="34"/>
        <v>28870.169155697728</v>
      </c>
    </row>
    <row r="389" spans="1:16" ht="14.5">
      <c r="A389" s="2042" t="s">
        <v>3164</v>
      </c>
      <c r="B389" s="380" t="str">
        <f t="shared" si="31"/>
        <v>178-915</v>
      </c>
      <c r="C389" s="2042" t="s">
        <v>306</v>
      </c>
      <c r="D389" s="2043">
        <v>2012</v>
      </c>
      <c r="E389" s="2043">
        <v>1977</v>
      </c>
      <c r="F389" s="2043">
        <f t="shared" si="32"/>
        <v>0</v>
      </c>
      <c r="G389" s="2043">
        <f t="shared" si="33"/>
        <v>0</v>
      </c>
      <c r="H389" s="2208">
        <v>0</v>
      </c>
      <c r="I389" s="2209">
        <v>0</v>
      </c>
      <c r="J389" s="2210">
        <v>0</v>
      </c>
      <c r="K389" s="2208">
        <v>0</v>
      </c>
      <c r="L389" s="2208">
        <v>0</v>
      </c>
      <c r="M389" s="2211">
        <v>0</v>
      </c>
      <c r="N389" s="2212">
        <v>0</v>
      </c>
      <c r="O389" s="1118">
        <f t="shared" si="30"/>
        <v>0</v>
      </c>
      <c r="P389" s="2213">
        <f t="shared" si="34"/>
        <v>0</v>
      </c>
    </row>
    <row r="390" spans="1:16" ht="14.5">
      <c r="A390" s="2042" t="s">
        <v>4966</v>
      </c>
      <c r="B390" s="380" t="str">
        <f t="shared" si="31"/>
        <v>037-901</v>
      </c>
      <c r="C390" s="2042" t="s">
        <v>1411</v>
      </c>
      <c r="D390" s="2043">
        <v>644</v>
      </c>
      <c r="E390" s="2043">
        <v>609</v>
      </c>
      <c r="F390" s="2043">
        <f t="shared" si="32"/>
        <v>0</v>
      </c>
      <c r="G390" s="2043">
        <f t="shared" si="33"/>
        <v>0</v>
      </c>
      <c r="H390" s="2208">
        <v>0</v>
      </c>
      <c r="I390" s="2209">
        <v>0</v>
      </c>
      <c r="J390" s="2210">
        <v>0</v>
      </c>
      <c r="K390" s="2208">
        <v>0</v>
      </c>
      <c r="L390" s="2208">
        <v>0</v>
      </c>
      <c r="M390" s="2211">
        <v>0</v>
      </c>
      <c r="N390" s="2212">
        <v>143236</v>
      </c>
      <c r="O390" s="1118">
        <f t="shared" si="30"/>
        <v>143236</v>
      </c>
      <c r="P390" s="2213">
        <f t="shared" si="34"/>
        <v>38566.076467106737</v>
      </c>
    </row>
    <row r="391" spans="1:16" ht="14.5">
      <c r="A391" s="2042" t="s">
        <v>2864</v>
      </c>
      <c r="B391" s="380" t="str">
        <f t="shared" si="31"/>
        <v>011-904</v>
      </c>
      <c r="C391" s="2042" t="s">
        <v>1821</v>
      </c>
      <c r="D391" s="2043">
        <v>1788</v>
      </c>
      <c r="E391" s="2043">
        <v>1753</v>
      </c>
      <c r="F391" s="2043">
        <f t="shared" si="32"/>
        <v>0</v>
      </c>
      <c r="G391" s="2043">
        <f t="shared" si="33"/>
        <v>0</v>
      </c>
      <c r="H391" s="2208">
        <v>0</v>
      </c>
      <c r="I391" s="2209">
        <v>0</v>
      </c>
      <c r="J391" s="2210">
        <v>0</v>
      </c>
      <c r="K391" s="2208">
        <v>0</v>
      </c>
      <c r="L391" s="2208">
        <v>0</v>
      </c>
      <c r="M391" s="2211">
        <v>0</v>
      </c>
      <c r="N391" s="2212">
        <v>0</v>
      </c>
      <c r="O391" s="1118">
        <f t="shared" si="30"/>
        <v>0</v>
      </c>
      <c r="P391" s="2213">
        <f t="shared" si="34"/>
        <v>0</v>
      </c>
    </row>
    <row r="392" spans="1:16" ht="14.5">
      <c r="A392" s="2042" t="s">
        <v>3098</v>
      </c>
      <c r="B392" s="380" t="str">
        <f t="shared" si="31"/>
        <v>133-901</v>
      </c>
      <c r="C392" s="2042" t="s">
        <v>618</v>
      </c>
      <c r="D392" s="2043">
        <v>569</v>
      </c>
      <c r="E392" s="2043">
        <v>534</v>
      </c>
      <c r="F392" s="2043">
        <f t="shared" si="32"/>
        <v>0</v>
      </c>
      <c r="G392" s="2043">
        <f t="shared" si="33"/>
        <v>0</v>
      </c>
      <c r="H392" s="2208">
        <v>0</v>
      </c>
      <c r="I392" s="2209">
        <v>0</v>
      </c>
      <c r="J392" s="2210">
        <v>0</v>
      </c>
      <c r="K392" s="2208">
        <v>0</v>
      </c>
      <c r="L392" s="2208">
        <v>0</v>
      </c>
      <c r="M392" s="2211">
        <v>0</v>
      </c>
      <c r="N392" s="2212">
        <v>0</v>
      </c>
      <c r="O392" s="1118">
        <f t="shared" si="30"/>
        <v>0</v>
      </c>
      <c r="P392" s="2213">
        <f t="shared" si="34"/>
        <v>0</v>
      </c>
    </row>
    <row r="393" spans="1:16" ht="14.5">
      <c r="A393" s="2042" t="s">
        <v>5748</v>
      </c>
      <c r="B393" s="380" t="str">
        <f t="shared" si="31"/>
        <v>001-902</v>
      </c>
      <c r="C393" s="2042" t="s">
        <v>265</v>
      </c>
      <c r="D393" s="2043">
        <v>570</v>
      </c>
      <c r="E393" s="2043">
        <v>535</v>
      </c>
      <c r="F393" s="2043">
        <f t="shared" si="32"/>
        <v>0</v>
      </c>
      <c r="G393" s="2043">
        <f t="shared" si="33"/>
        <v>0</v>
      </c>
      <c r="H393" s="2208">
        <v>0</v>
      </c>
      <c r="I393" s="2209">
        <v>0</v>
      </c>
      <c r="J393" s="2210">
        <v>0</v>
      </c>
      <c r="K393" s="2208">
        <v>0</v>
      </c>
      <c r="L393" s="2208">
        <v>0</v>
      </c>
      <c r="M393" s="2211">
        <v>0</v>
      </c>
      <c r="N393" s="2212">
        <v>0</v>
      </c>
      <c r="O393" s="1118">
        <f t="shared" si="30"/>
        <v>0</v>
      </c>
      <c r="P393" s="2213">
        <f t="shared" si="34"/>
        <v>0</v>
      </c>
    </row>
    <row r="394" spans="1:16" ht="14.5">
      <c r="A394" s="2042" t="s">
        <v>5046</v>
      </c>
      <c r="B394" s="380" t="str">
        <f t="shared" si="31"/>
        <v>091-910</v>
      </c>
      <c r="C394" s="2042" t="s">
        <v>1558</v>
      </c>
      <c r="D394" s="2043">
        <v>776</v>
      </c>
      <c r="E394" s="2043">
        <v>743</v>
      </c>
      <c r="F394" s="2043">
        <f t="shared" si="32"/>
        <v>0</v>
      </c>
      <c r="G394" s="2043">
        <f t="shared" si="33"/>
        <v>0</v>
      </c>
      <c r="H394" s="2208">
        <v>0</v>
      </c>
      <c r="I394" s="2209">
        <v>0</v>
      </c>
      <c r="J394" s="2210">
        <v>0</v>
      </c>
      <c r="K394" s="2208">
        <v>0</v>
      </c>
      <c r="L394" s="2208">
        <v>0</v>
      </c>
      <c r="M394" s="2211">
        <v>0</v>
      </c>
      <c r="N394" s="2212">
        <v>189173</v>
      </c>
      <c r="O394" s="1118">
        <f t="shared" si="30"/>
        <v>189173</v>
      </c>
      <c r="P394" s="2213">
        <f t="shared" si="34"/>
        <v>50934.544273171428</v>
      </c>
    </row>
    <row r="395" spans="1:16" ht="14.5">
      <c r="A395" s="2042" t="s">
        <v>5820</v>
      </c>
      <c r="B395" s="380" t="str">
        <f t="shared" si="31"/>
        <v>113-906</v>
      </c>
      <c r="C395" s="2042" t="s">
        <v>1480</v>
      </c>
      <c r="D395" s="2043">
        <v>256</v>
      </c>
      <c r="E395" s="2043">
        <v>223</v>
      </c>
      <c r="F395" s="2043">
        <f t="shared" si="32"/>
        <v>0</v>
      </c>
      <c r="G395" s="2043">
        <f t="shared" si="33"/>
        <v>0</v>
      </c>
      <c r="H395" s="2208">
        <v>0</v>
      </c>
      <c r="I395" s="2209">
        <v>0</v>
      </c>
      <c r="J395" s="2210">
        <v>0</v>
      </c>
      <c r="K395" s="2208">
        <v>0</v>
      </c>
      <c r="L395" s="2208">
        <v>0</v>
      </c>
      <c r="M395" s="2211">
        <v>0</v>
      </c>
      <c r="N395" s="2212">
        <v>0</v>
      </c>
      <c r="O395" s="1118">
        <f t="shared" si="30"/>
        <v>0</v>
      </c>
      <c r="P395" s="2213">
        <f t="shared" si="34"/>
        <v>0</v>
      </c>
    </row>
    <row r="396" spans="1:16" ht="14.5">
      <c r="A396" s="2042" t="s">
        <v>5213</v>
      </c>
      <c r="B396" s="380" t="str">
        <f t="shared" si="31"/>
        <v>182-902</v>
      </c>
      <c r="C396" s="2042" t="s">
        <v>314</v>
      </c>
      <c r="D396" s="2043">
        <v>349</v>
      </c>
      <c r="E396" s="2043">
        <v>316</v>
      </c>
      <c r="F396" s="2043">
        <f t="shared" si="32"/>
        <v>0</v>
      </c>
      <c r="G396" s="2043">
        <f t="shared" si="33"/>
        <v>0</v>
      </c>
      <c r="H396" s="2208">
        <v>0</v>
      </c>
      <c r="I396" s="2209">
        <v>0</v>
      </c>
      <c r="J396" s="2210">
        <v>0</v>
      </c>
      <c r="K396" s="2208">
        <v>0</v>
      </c>
      <c r="L396" s="2208">
        <v>0</v>
      </c>
      <c r="M396" s="2211">
        <v>0</v>
      </c>
      <c r="N396" s="2212">
        <v>0</v>
      </c>
      <c r="O396" s="1118">
        <f t="shared" si="30"/>
        <v>0</v>
      </c>
      <c r="P396" s="2213">
        <f t="shared" si="34"/>
        <v>0</v>
      </c>
    </row>
    <row r="397" spans="1:16" ht="14.5">
      <c r="A397" s="2042" t="s">
        <v>2994</v>
      </c>
      <c r="B397" s="380" t="str">
        <f t="shared" si="31"/>
        <v>076-904</v>
      </c>
      <c r="C397" s="2042" t="s">
        <v>573</v>
      </c>
      <c r="D397" s="2043">
        <v>272</v>
      </c>
      <c r="E397" s="2043">
        <v>239</v>
      </c>
      <c r="F397" s="2043">
        <f t="shared" si="32"/>
        <v>0</v>
      </c>
      <c r="G397" s="2043">
        <f t="shared" si="33"/>
        <v>0</v>
      </c>
      <c r="H397" s="2208">
        <v>0</v>
      </c>
      <c r="I397" s="2209">
        <v>0</v>
      </c>
      <c r="J397" s="2210">
        <v>0</v>
      </c>
      <c r="K397" s="2208">
        <v>0</v>
      </c>
      <c r="L397" s="2208">
        <v>0</v>
      </c>
      <c r="M397" s="2211">
        <v>0</v>
      </c>
      <c r="N397" s="2212">
        <v>57224</v>
      </c>
      <c r="O397" s="1118">
        <f t="shared" si="30"/>
        <v>57224</v>
      </c>
      <c r="P397" s="2213">
        <f t="shared" si="34"/>
        <v>15407.475493267864</v>
      </c>
    </row>
    <row r="398" spans="1:16" ht="14.5">
      <c r="A398" s="2042" t="s">
        <v>5839</v>
      </c>
      <c r="B398" s="380" t="str">
        <f t="shared" si="31"/>
        <v>143-902</v>
      </c>
      <c r="C398" s="2042" t="s">
        <v>897</v>
      </c>
      <c r="D398" s="2043">
        <v>319</v>
      </c>
      <c r="E398" s="2043">
        <v>286</v>
      </c>
      <c r="F398" s="2043">
        <f t="shared" si="32"/>
        <v>0</v>
      </c>
      <c r="G398" s="2043">
        <f t="shared" si="33"/>
        <v>0</v>
      </c>
      <c r="H398" s="2208">
        <v>0</v>
      </c>
      <c r="I398" s="2209">
        <v>0</v>
      </c>
      <c r="J398" s="2210">
        <v>0</v>
      </c>
      <c r="K398" s="2208">
        <v>0</v>
      </c>
      <c r="L398" s="2208">
        <v>0</v>
      </c>
      <c r="M398" s="2211">
        <v>0</v>
      </c>
      <c r="N398" s="2212">
        <v>0</v>
      </c>
      <c r="O398" s="1118">
        <f t="shared" si="30"/>
        <v>0</v>
      </c>
      <c r="P398" s="2213">
        <f t="shared" si="34"/>
        <v>0</v>
      </c>
    </row>
    <row r="399" spans="1:16" ht="14.5">
      <c r="A399" s="2042" t="s">
        <v>5176</v>
      </c>
      <c r="B399" s="380" t="str">
        <f t="shared" si="31"/>
        <v>166-903</v>
      </c>
      <c r="C399" s="2042" t="s">
        <v>1662</v>
      </c>
      <c r="D399" s="2043">
        <v>428</v>
      </c>
      <c r="E399" s="2043">
        <v>396</v>
      </c>
      <c r="F399" s="2043">
        <f t="shared" si="32"/>
        <v>0</v>
      </c>
      <c r="G399" s="2043">
        <f t="shared" si="33"/>
        <v>0</v>
      </c>
      <c r="H399" s="2208">
        <v>0</v>
      </c>
      <c r="I399" s="2209">
        <v>0</v>
      </c>
      <c r="J399" s="2210">
        <v>0</v>
      </c>
      <c r="K399" s="2208">
        <v>0</v>
      </c>
      <c r="L399" s="2208">
        <v>0</v>
      </c>
      <c r="M399" s="2211">
        <v>0</v>
      </c>
      <c r="N399" s="2212">
        <v>98054</v>
      </c>
      <c r="O399" s="1118">
        <f t="shared" si="30"/>
        <v>98054</v>
      </c>
      <c r="P399" s="2213">
        <f t="shared" si="34"/>
        <v>26400.891269692562</v>
      </c>
    </row>
    <row r="400" spans="1:16" ht="14.5">
      <c r="A400" s="2042" t="s">
        <v>3776</v>
      </c>
      <c r="B400" s="380" t="str">
        <f t="shared" si="31"/>
        <v>061-903</v>
      </c>
      <c r="C400" s="2042" t="s">
        <v>946</v>
      </c>
      <c r="D400" s="2043">
        <v>1394</v>
      </c>
      <c r="E400" s="2043">
        <v>1362</v>
      </c>
      <c r="F400" s="2043">
        <f t="shared" si="32"/>
        <v>0</v>
      </c>
      <c r="G400" s="2043">
        <f t="shared" si="33"/>
        <v>0</v>
      </c>
      <c r="H400" s="2208">
        <v>0</v>
      </c>
      <c r="I400" s="2209">
        <v>0</v>
      </c>
      <c r="J400" s="2210">
        <v>0</v>
      </c>
      <c r="K400" s="2208">
        <v>0</v>
      </c>
      <c r="L400" s="2208">
        <v>0</v>
      </c>
      <c r="M400" s="2211">
        <v>0</v>
      </c>
      <c r="N400" s="2212">
        <v>0</v>
      </c>
      <c r="O400" s="1118">
        <f t="shared" si="30"/>
        <v>0</v>
      </c>
      <c r="P400" s="2213">
        <f t="shared" si="34"/>
        <v>0</v>
      </c>
    </row>
    <row r="401" spans="1:16" ht="14.5">
      <c r="A401" s="2042" t="s">
        <v>5825</v>
      </c>
      <c r="B401" s="380" t="str">
        <f t="shared" si="31"/>
        <v>122-901</v>
      </c>
      <c r="C401" s="2042" t="s">
        <v>2361</v>
      </c>
      <c r="D401" s="2043">
        <v>229</v>
      </c>
      <c r="E401" s="2043">
        <v>197</v>
      </c>
      <c r="F401" s="2043">
        <f t="shared" si="32"/>
        <v>0</v>
      </c>
      <c r="G401" s="2043">
        <f t="shared" si="33"/>
        <v>0</v>
      </c>
      <c r="H401" s="2208">
        <v>0</v>
      </c>
      <c r="I401" s="2209">
        <v>0</v>
      </c>
      <c r="J401" s="2210">
        <v>0</v>
      </c>
      <c r="K401" s="2208">
        <v>0</v>
      </c>
      <c r="L401" s="2208">
        <v>0</v>
      </c>
      <c r="M401" s="2211">
        <v>0</v>
      </c>
      <c r="N401" s="2212">
        <v>0</v>
      </c>
      <c r="O401" s="1118">
        <f t="shared" si="30"/>
        <v>0</v>
      </c>
      <c r="P401" s="2213">
        <f t="shared" si="34"/>
        <v>0</v>
      </c>
    </row>
    <row r="402" spans="1:16" ht="14.5">
      <c r="A402" s="2042" t="s">
        <v>5792</v>
      </c>
      <c r="B402" s="380" t="str">
        <f t="shared" si="31"/>
        <v>069-902</v>
      </c>
      <c r="C402" s="2042" t="s">
        <v>1861</v>
      </c>
      <c r="D402" s="2043">
        <v>292</v>
      </c>
      <c r="E402" s="2043">
        <v>260</v>
      </c>
      <c r="F402" s="2043">
        <f t="shared" si="32"/>
        <v>0</v>
      </c>
      <c r="G402" s="2043">
        <f t="shared" si="33"/>
        <v>0</v>
      </c>
      <c r="H402" s="2208">
        <v>0</v>
      </c>
      <c r="I402" s="2209">
        <v>0</v>
      </c>
      <c r="J402" s="2210">
        <v>0</v>
      </c>
      <c r="K402" s="2208">
        <v>0</v>
      </c>
      <c r="L402" s="2208">
        <v>0</v>
      </c>
      <c r="M402" s="2211">
        <v>0</v>
      </c>
      <c r="N402" s="2212">
        <v>0</v>
      </c>
      <c r="O402" s="1118">
        <f t="shared" si="30"/>
        <v>0</v>
      </c>
      <c r="P402" s="2213">
        <f t="shared" si="34"/>
        <v>0</v>
      </c>
    </row>
    <row r="403" spans="1:16" ht="14.5">
      <c r="A403" s="2042" t="s">
        <v>5214</v>
      </c>
      <c r="B403" s="380" t="str">
        <f t="shared" si="31"/>
        <v>182-904</v>
      </c>
      <c r="C403" s="2042" t="s">
        <v>315</v>
      </c>
      <c r="D403" s="2043">
        <v>485</v>
      </c>
      <c r="E403" s="2043">
        <v>453</v>
      </c>
      <c r="F403" s="2043">
        <f t="shared" si="32"/>
        <v>0</v>
      </c>
      <c r="G403" s="2043">
        <f t="shared" si="33"/>
        <v>0</v>
      </c>
      <c r="H403" s="2208">
        <v>0</v>
      </c>
      <c r="I403" s="2209">
        <v>0</v>
      </c>
      <c r="J403" s="2210">
        <v>0</v>
      </c>
      <c r="K403" s="2208">
        <v>0</v>
      </c>
      <c r="L403" s="2208">
        <v>0</v>
      </c>
      <c r="M403" s="2211">
        <v>0</v>
      </c>
      <c r="N403" s="2212">
        <v>0</v>
      </c>
      <c r="O403" s="1118">
        <f t="shared" si="30"/>
        <v>0</v>
      </c>
      <c r="P403" s="2213">
        <f t="shared" si="34"/>
        <v>0</v>
      </c>
    </row>
    <row r="404" spans="1:16" ht="14.5">
      <c r="A404" s="2042" t="s">
        <v>5001</v>
      </c>
      <c r="B404" s="380" t="str">
        <f t="shared" si="31"/>
        <v>063-903</v>
      </c>
      <c r="C404" s="2042" t="s">
        <v>2480</v>
      </c>
      <c r="D404" s="2043">
        <v>272</v>
      </c>
      <c r="E404" s="2043">
        <v>240</v>
      </c>
      <c r="F404" s="2043">
        <f t="shared" si="32"/>
        <v>0</v>
      </c>
      <c r="G404" s="2043">
        <f t="shared" si="33"/>
        <v>0</v>
      </c>
      <c r="H404" s="2208">
        <v>0</v>
      </c>
      <c r="I404" s="2209">
        <v>0</v>
      </c>
      <c r="J404" s="2210">
        <v>0</v>
      </c>
      <c r="K404" s="2208">
        <v>0</v>
      </c>
      <c r="L404" s="2208">
        <v>0</v>
      </c>
      <c r="M404" s="2211">
        <v>0</v>
      </c>
      <c r="N404" s="2212">
        <v>0</v>
      </c>
      <c r="O404" s="1118">
        <f t="shared" si="30"/>
        <v>0</v>
      </c>
      <c r="P404" s="2213">
        <f t="shared" si="34"/>
        <v>0</v>
      </c>
    </row>
    <row r="405" spans="1:16" ht="14.5">
      <c r="A405" s="2042" t="s">
        <v>5048</v>
      </c>
      <c r="B405" s="380" t="str">
        <f t="shared" si="31"/>
        <v>091-918</v>
      </c>
      <c r="C405" s="2042" t="s">
        <v>208</v>
      </c>
      <c r="D405" s="2043">
        <v>691</v>
      </c>
      <c r="E405" s="2043">
        <v>659</v>
      </c>
      <c r="F405" s="2043">
        <f t="shared" si="32"/>
        <v>0</v>
      </c>
      <c r="G405" s="2043">
        <f t="shared" si="33"/>
        <v>0</v>
      </c>
      <c r="H405" s="2208">
        <v>0</v>
      </c>
      <c r="I405" s="2209">
        <v>0</v>
      </c>
      <c r="J405" s="2210">
        <v>0</v>
      </c>
      <c r="K405" s="2208">
        <v>0</v>
      </c>
      <c r="L405" s="2208">
        <v>0</v>
      </c>
      <c r="M405" s="2211">
        <v>0</v>
      </c>
      <c r="N405" s="2212">
        <v>0</v>
      </c>
      <c r="O405" s="1118">
        <f t="shared" si="30"/>
        <v>0</v>
      </c>
      <c r="P405" s="2213">
        <f t="shared" si="34"/>
        <v>0</v>
      </c>
    </row>
    <row r="406" spans="1:16" ht="14.5">
      <c r="A406" s="2042" t="s">
        <v>4347</v>
      </c>
      <c r="B406" s="380" t="str">
        <f t="shared" si="31"/>
        <v>140-905</v>
      </c>
      <c r="C406" s="2042" t="s">
        <v>780</v>
      </c>
      <c r="D406" s="2043">
        <v>628</v>
      </c>
      <c r="E406" s="2043">
        <v>596</v>
      </c>
      <c r="F406" s="2043">
        <f t="shared" si="32"/>
        <v>0</v>
      </c>
      <c r="G406" s="2043">
        <f t="shared" si="33"/>
        <v>0</v>
      </c>
      <c r="H406" s="2208">
        <v>0</v>
      </c>
      <c r="I406" s="2209">
        <v>0</v>
      </c>
      <c r="J406" s="2210">
        <v>0</v>
      </c>
      <c r="K406" s="2208">
        <v>0</v>
      </c>
      <c r="L406" s="2208">
        <v>0</v>
      </c>
      <c r="M406" s="2211">
        <v>0</v>
      </c>
      <c r="N406" s="2212">
        <v>0</v>
      </c>
      <c r="O406" s="1118">
        <f t="shared" si="30"/>
        <v>0</v>
      </c>
      <c r="P406" s="2213">
        <f t="shared" si="34"/>
        <v>0</v>
      </c>
    </row>
    <row r="407" spans="1:16" ht="14.5">
      <c r="A407" s="2042" t="s">
        <v>4974</v>
      </c>
      <c r="B407" s="380" t="str">
        <f t="shared" si="31"/>
        <v>045-903</v>
      </c>
      <c r="C407" s="2042" t="s">
        <v>975</v>
      </c>
      <c r="D407" s="2043">
        <v>1320</v>
      </c>
      <c r="E407" s="2043">
        <v>1289</v>
      </c>
      <c r="F407" s="2043">
        <f t="shared" si="32"/>
        <v>0</v>
      </c>
      <c r="G407" s="2043">
        <f t="shared" si="33"/>
        <v>0</v>
      </c>
      <c r="H407" s="2208">
        <v>0</v>
      </c>
      <c r="I407" s="2209">
        <v>0</v>
      </c>
      <c r="J407" s="2210">
        <v>0</v>
      </c>
      <c r="K407" s="2208">
        <v>0</v>
      </c>
      <c r="L407" s="2208">
        <v>0</v>
      </c>
      <c r="M407" s="2211">
        <v>0</v>
      </c>
      <c r="N407" s="2212">
        <v>303900</v>
      </c>
      <c r="O407" s="1118">
        <f t="shared" si="30"/>
        <v>303900</v>
      </c>
      <c r="P407" s="2213">
        <f t="shared" si="34"/>
        <v>81824.615587936947</v>
      </c>
    </row>
    <row r="408" spans="1:16" ht="14.5">
      <c r="A408" s="2042" t="s">
        <v>3082</v>
      </c>
      <c r="B408" s="380" t="str">
        <f t="shared" si="31"/>
        <v>126-901</v>
      </c>
      <c r="C408" s="2042" t="s">
        <v>995</v>
      </c>
      <c r="D408" s="2043">
        <v>3596</v>
      </c>
      <c r="E408" s="2043">
        <v>3565</v>
      </c>
      <c r="F408" s="2043">
        <f t="shared" si="32"/>
        <v>0</v>
      </c>
      <c r="G408" s="2043">
        <f t="shared" si="33"/>
        <v>0</v>
      </c>
      <c r="H408" s="2208">
        <v>0</v>
      </c>
      <c r="I408" s="2209">
        <v>0</v>
      </c>
      <c r="J408" s="2210">
        <v>0</v>
      </c>
      <c r="K408" s="2208">
        <v>0</v>
      </c>
      <c r="L408" s="2208">
        <v>0</v>
      </c>
      <c r="M408" s="2211">
        <v>0</v>
      </c>
      <c r="N408" s="2212">
        <v>0</v>
      </c>
      <c r="O408" s="1118">
        <f t="shared" si="30"/>
        <v>0</v>
      </c>
      <c r="P408" s="2213">
        <f t="shared" si="34"/>
        <v>0</v>
      </c>
    </row>
    <row r="409" spans="1:16" ht="14.5">
      <c r="A409" s="2042" t="s">
        <v>3178</v>
      </c>
      <c r="B409" s="380" t="str">
        <f t="shared" si="31"/>
        <v>188-902</v>
      </c>
      <c r="C409" s="2042" t="s">
        <v>2549</v>
      </c>
      <c r="D409" s="2043">
        <v>1303</v>
      </c>
      <c r="E409" s="2043">
        <v>1272</v>
      </c>
      <c r="F409" s="2043">
        <f t="shared" si="32"/>
        <v>0</v>
      </c>
      <c r="G409" s="2043">
        <f t="shared" si="33"/>
        <v>0</v>
      </c>
      <c r="H409" s="2208">
        <v>0</v>
      </c>
      <c r="I409" s="2209">
        <v>0</v>
      </c>
      <c r="J409" s="2210">
        <v>0</v>
      </c>
      <c r="K409" s="2208">
        <v>0</v>
      </c>
      <c r="L409" s="2208">
        <v>0</v>
      </c>
      <c r="M409" s="2211">
        <v>0</v>
      </c>
      <c r="N409" s="2212">
        <v>292297</v>
      </c>
      <c r="O409" s="1118">
        <f t="shared" ref="O409:O472" si="35">IF(N409&gt;M409,N409-M409,0)</f>
        <v>292297</v>
      </c>
      <c r="P409" s="2213">
        <f t="shared" si="34"/>
        <v>78700.525378437669</v>
      </c>
    </row>
    <row r="410" spans="1:16" ht="14.5">
      <c r="A410" s="2042" t="s">
        <v>2891</v>
      </c>
      <c r="B410" s="380" t="str">
        <f t="shared" si="31"/>
        <v>019-902</v>
      </c>
      <c r="C410" s="2042" t="s">
        <v>2246</v>
      </c>
      <c r="D410" s="2043">
        <v>875</v>
      </c>
      <c r="E410" s="2043">
        <v>844</v>
      </c>
      <c r="F410" s="2043">
        <f t="shared" si="32"/>
        <v>0</v>
      </c>
      <c r="G410" s="2043">
        <f t="shared" si="33"/>
        <v>0</v>
      </c>
      <c r="H410" s="2208">
        <v>0</v>
      </c>
      <c r="I410" s="2209">
        <v>0</v>
      </c>
      <c r="J410" s="2210">
        <v>0</v>
      </c>
      <c r="K410" s="2208">
        <v>0</v>
      </c>
      <c r="L410" s="2208">
        <v>0</v>
      </c>
      <c r="M410" s="2211">
        <v>0</v>
      </c>
      <c r="N410" s="2212">
        <v>0</v>
      </c>
      <c r="O410" s="1118">
        <f t="shared" si="35"/>
        <v>0</v>
      </c>
      <c r="P410" s="2213">
        <f t="shared" si="34"/>
        <v>0</v>
      </c>
    </row>
    <row r="411" spans="1:16" ht="14.5">
      <c r="A411" s="2042" t="s">
        <v>4970</v>
      </c>
      <c r="B411" s="380" t="str">
        <f t="shared" si="31"/>
        <v>041-902</v>
      </c>
      <c r="C411" s="2042" t="s">
        <v>2038</v>
      </c>
      <c r="D411" s="2043">
        <v>289</v>
      </c>
      <c r="E411" s="2043">
        <v>258</v>
      </c>
      <c r="F411" s="2043">
        <f t="shared" si="32"/>
        <v>0</v>
      </c>
      <c r="G411" s="2043">
        <f t="shared" si="33"/>
        <v>0</v>
      </c>
      <c r="H411" s="2208">
        <v>0</v>
      </c>
      <c r="I411" s="2209">
        <v>0</v>
      </c>
      <c r="J411" s="2210">
        <v>0</v>
      </c>
      <c r="K411" s="2208">
        <v>0</v>
      </c>
      <c r="L411" s="2208">
        <v>0</v>
      </c>
      <c r="M411" s="2211">
        <v>0</v>
      </c>
      <c r="N411" s="2212">
        <v>0</v>
      </c>
      <c r="O411" s="1118">
        <f t="shared" si="35"/>
        <v>0</v>
      </c>
      <c r="P411" s="2213">
        <f t="shared" si="34"/>
        <v>0</v>
      </c>
    </row>
    <row r="412" spans="1:16" ht="14.5">
      <c r="A412" s="2042" t="s">
        <v>3827</v>
      </c>
      <c r="B412" s="380" t="str">
        <f t="shared" si="31"/>
        <v>067-902</v>
      </c>
      <c r="C412" s="2042" t="s">
        <v>2032</v>
      </c>
      <c r="D412" s="2043">
        <v>870</v>
      </c>
      <c r="E412" s="2043">
        <v>839</v>
      </c>
      <c r="F412" s="2043">
        <f t="shared" si="32"/>
        <v>0</v>
      </c>
      <c r="G412" s="2043">
        <f t="shared" si="33"/>
        <v>0</v>
      </c>
      <c r="H412" s="2208">
        <v>0</v>
      </c>
      <c r="I412" s="2209">
        <v>0</v>
      </c>
      <c r="J412" s="2210">
        <v>0</v>
      </c>
      <c r="K412" s="2208">
        <v>0</v>
      </c>
      <c r="L412" s="2208">
        <v>0</v>
      </c>
      <c r="M412" s="2211">
        <v>0</v>
      </c>
      <c r="N412" s="2212">
        <v>0</v>
      </c>
      <c r="O412" s="1118">
        <f t="shared" si="35"/>
        <v>0</v>
      </c>
      <c r="P412" s="2213">
        <f t="shared" si="34"/>
        <v>0</v>
      </c>
    </row>
    <row r="413" spans="1:16" ht="14.5">
      <c r="A413" s="2042" t="s">
        <v>3524</v>
      </c>
      <c r="B413" s="380" t="str">
        <f t="shared" si="31"/>
        <v>019-901</v>
      </c>
      <c r="C413" s="2042" t="s">
        <v>2519</v>
      </c>
      <c r="D413" s="2043">
        <v>789</v>
      </c>
      <c r="E413" s="2043">
        <v>759</v>
      </c>
      <c r="F413" s="2043">
        <f t="shared" si="32"/>
        <v>0</v>
      </c>
      <c r="G413" s="2043">
        <f t="shared" si="33"/>
        <v>0</v>
      </c>
      <c r="H413" s="2208">
        <v>0</v>
      </c>
      <c r="I413" s="2209">
        <v>0</v>
      </c>
      <c r="J413" s="2210">
        <v>0</v>
      </c>
      <c r="K413" s="2208">
        <v>0</v>
      </c>
      <c r="L413" s="2208">
        <v>0</v>
      </c>
      <c r="M413" s="2211">
        <v>0</v>
      </c>
      <c r="N413" s="2212">
        <v>0</v>
      </c>
      <c r="O413" s="1118">
        <f t="shared" si="35"/>
        <v>0</v>
      </c>
      <c r="P413" s="2213">
        <f t="shared" si="34"/>
        <v>0</v>
      </c>
    </row>
    <row r="414" spans="1:16" ht="14.5">
      <c r="A414" s="2042" t="s">
        <v>4087</v>
      </c>
      <c r="B414" s="380" t="str">
        <f t="shared" si="31"/>
        <v>107-908</v>
      </c>
      <c r="C414" s="2042" t="s">
        <v>1986</v>
      </c>
      <c r="D414" s="2043">
        <v>198</v>
      </c>
      <c r="E414" s="2043">
        <v>168</v>
      </c>
      <c r="F414" s="2043">
        <f t="shared" si="32"/>
        <v>0</v>
      </c>
      <c r="G414" s="2043">
        <f t="shared" si="33"/>
        <v>0</v>
      </c>
      <c r="H414" s="2208">
        <v>0</v>
      </c>
      <c r="I414" s="2209">
        <v>0</v>
      </c>
      <c r="J414" s="2210">
        <v>0</v>
      </c>
      <c r="K414" s="2208">
        <v>0</v>
      </c>
      <c r="L414" s="2208">
        <v>0</v>
      </c>
      <c r="M414" s="2211">
        <v>0</v>
      </c>
      <c r="N414" s="2212">
        <v>0</v>
      </c>
      <c r="O414" s="1118">
        <f t="shared" si="35"/>
        <v>0</v>
      </c>
      <c r="P414" s="2213">
        <f t="shared" si="34"/>
        <v>0</v>
      </c>
    </row>
    <row r="415" spans="1:16" ht="14.5">
      <c r="A415" s="2042" t="s">
        <v>5252</v>
      </c>
      <c r="B415" s="380" t="str">
        <f t="shared" si="31"/>
        <v>210-902</v>
      </c>
      <c r="C415" s="2042" t="s">
        <v>1680</v>
      </c>
      <c r="D415" s="2043">
        <v>701</v>
      </c>
      <c r="E415" s="2043">
        <v>671</v>
      </c>
      <c r="F415" s="2043">
        <f t="shared" si="32"/>
        <v>0</v>
      </c>
      <c r="G415" s="2043">
        <f t="shared" si="33"/>
        <v>0</v>
      </c>
      <c r="H415" s="2208">
        <v>0</v>
      </c>
      <c r="I415" s="2209">
        <v>0</v>
      </c>
      <c r="J415" s="2210">
        <v>0</v>
      </c>
      <c r="K415" s="2208">
        <v>0</v>
      </c>
      <c r="L415" s="2208">
        <v>0</v>
      </c>
      <c r="M415" s="2211">
        <v>0</v>
      </c>
      <c r="N415" s="2212">
        <v>0</v>
      </c>
      <c r="O415" s="1118">
        <f t="shared" si="35"/>
        <v>0</v>
      </c>
      <c r="P415" s="2213">
        <f t="shared" si="34"/>
        <v>0</v>
      </c>
    </row>
    <row r="416" spans="1:16" ht="14.5">
      <c r="A416" s="2042" t="s">
        <v>5295</v>
      </c>
      <c r="B416" s="380" t="str">
        <f t="shared" si="31"/>
        <v>239-901</v>
      </c>
      <c r="C416" s="2042" t="s">
        <v>1146</v>
      </c>
      <c r="D416" s="2043">
        <v>4973</v>
      </c>
      <c r="E416" s="2043">
        <v>4944</v>
      </c>
      <c r="F416" s="2043">
        <f t="shared" si="32"/>
        <v>0</v>
      </c>
      <c r="G416" s="2043">
        <f t="shared" si="33"/>
        <v>0</v>
      </c>
      <c r="H416" s="2208">
        <v>0</v>
      </c>
      <c r="I416" s="2209">
        <v>0</v>
      </c>
      <c r="J416" s="2210">
        <v>0</v>
      </c>
      <c r="K416" s="2208">
        <v>0</v>
      </c>
      <c r="L416" s="2208">
        <v>0</v>
      </c>
      <c r="M416" s="2211">
        <v>0</v>
      </c>
      <c r="N416" s="2212">
        <v>0</v>
      </c>
      <c r="O416" s="1118">
        <f t="shared" si="35"/>
        <v>0</v>
      </c>
      <c r="P416" s="2213">
        <f t="shared" si="34"/>
        <v>0</v>
      </c>
    </row>
    <row r="417" spans="1:16" ht="14.5">
      <c r="A417" s="2042" t="s">
        <v>5850</v>
      </c>
      <c r="B417" s="380" t="str">
        <f t="shared" si="31"/>
        <v>161-925</v>
      </c>
      <c r="C417" s="2042" t="s">
        <v>1657</v>
      </c>
      <c r="D417" s="2043">
        <v>247</v>
      </c>
      <c r="E417" s="2043">
        <v>218</v>
      </c>
      <c r="F417" s="2043">
        <f t="shared" si="32"/>
        <v>0</v>
      </c>
      <c r="G417" s="2043">
        <f t="shared" si="33"/>
        <v>0</v>
      </c>
      <c r="H417" s="2208">
        <v>0</v>
      </c>
      <c r="I417" s="2209">
        <v>0</v>
      </c>
      <c r="J417" s="2210">
        <v>0</v>
      </c>
      <c r="K417" s="2208">
        <v>0</v>
      </c>
      <c r="L417" s="2208">
        <v>0</v>
      </c>
      <c r="M417" s="2211">
        <v>0</v>
      </c>
      <c r="N417" s="2212">
        <v>0</v>
      </c>
      <c r="O417" s="1118">
        <f t="shared" si="35"/>
        <v>0</v>
      </c>
      <c r="P417" s="2213">
        <f t="shared" si="34"/>
        <v>0</v>
      </c>
    </row>
    <row r="418" spans="1:16" ht="14.5">
      <c r="A418" s="2042" t="s">
        <v>5263</v>
      </c>
      <c r="B418" s="380" t="str">
        <f t="shared" si="31"/>
        <v>217-901</v>
      </c>
      <c r="C418" s="2042" t="s">
        <v>2422</v>
      </c>
      <c r="D418" s="2043">
        <v>242</v>
      </c>
      <c r="E418" s="2043">
        <v>213</v>
      </c>
      <c r="F418" s="2043">
        <f t="shared" si="32"/>
        <v>0</v>
      </c>
      <c r="G418" s="2043">
        <f t="shared" si="33"/>
        <v>0</v>
      </c>
      <c r="H418" s="2208">
        <v>0</v>
      </c>
      <c r="I418" s="2209">
        <v>0</v>
      </c>
      <c r="J418" s="2210">
        <v>0</v>
      </c>
      <c r="K418" s="2208">
        <v>0</v>
      </c>
      <c r="L418" s="2208">
        <v>0</v>
      </c>
      <c r="M418" s="2211">
        <v>0</v>
      </c>
      <c r="N418" s="2212">
        <v>0</v>
      </c>
      <c r="O418" s="1118">
        <f t="shared" si="35"/>
        <v>0</v>
      </c>
      <c r="P418" s="2213">
        <f t="shared" si="34"/>
        <v>0</v>
      </c>
    </row>
    <row r="419" spans="1:16" ht="14.5">
      <c r="A419" s="2042" t="s">
        <v>4931</v>
      </c>
      <c r="B419" s="380" t="str">
        <f t="shared" si="31"/>
        <v>013-902</v>
      </c>
      <c r="C419" s="2042" t="s">
        <v>1136</v>
      </c>
      <c r="D419" s="2043">
        <v>344</v>
      </c>
      <c r="E419" s="2043">
        <v>315</v>
      </c>
      <c r="F419" s="2043">
        <f t="shared" si="32"/>
        <v>0</v>
      </c>
      <c r="G419" s="2043">
        <f t="shared" si="33"/>
        <v>0</v>
      </c>
      <c r="H419" s="2208">
        <v>0</v>
      </c>
      <c r="I419" s="2209">
        <v>0</v>
      </c>
      <c r="J419" s="2210">
        <v>0</v>
      </c>
      <c r="K419" s="2208">
        <v>0</v>
      </c>
      <c r="L419" s="2208">
        <v>0</v>
      </c>
      <c r="M419" s="2211">
        <v>0</v>
      </c>
      <c r="N419" s="2212">
        <v>0</v>
      </c>
      <c r="O419" s="1118">
        <f t="shared" si="35"/>
        <v>0</v>
      </c>
      <c r="P419" s="2213">
        <f t="shared" si="34"/>
        <v>0</v>
      </c>
    </row>
    <row r="420" spans="1:16" ht="14.5">
      <c r="A420" s="2042" t="s">
        <v>5024</v>
      </c>
      <c r="B420" s="380" t="str">
        <f t="shared" si="31"/>
        <v>081-905</v>
      </c>
      <c r="C420" s="2042" t="s">
        <v>810</v>
      </c>
      <c r="D420" s="2043">
        <v>524</v>
      </c>
      <c r="E420" s="2043">
        <v>495</v>
      </c>
      <c r="F420" s="2043">
        <f t="shared" si="32"/>
        <v>0</v>
      </c>
      <c r="G420" s="2043">
        <f t="shared" si="33"/>
        <v>0</v>
      </c>
      <c r="H420" s="2208">
        <v>0</v>
      </c>
      <c r="I420" s="2209">
        <v>0</v>
      </c>
      <c r="J420" s="2210">
        <v>0</v>
      </c>
      <c r="K420" s="2208">
        <v>0</v>
      </c>
      <c r="L420" s="2208">
        <v>0</v>
      </c>
      <c r="M420" s="2211">
        <v>0</v>
      </c>
      <c r="N420" s="2212">
        <v>0</v>
      </c>
      <c r="O420" s="1118">
        <f t="shared" si="35"/>
        <v>0</v>
      </c>
      <c r="P420" s="2213">
        <f t="shared" si="34"/>
        <v>0</v>
      </c>
    </row>
    <row r="421" spans="1:16" ht="14.5">
      <c r="A421" s="2042" t="s">
        <v>5864</v>
      </c>
      <c r="B421" s="380" t="str">
        <f t="shared" si="31"/>
        <v>185-904</v>
      </c>
      <c r="C421" s="2042" t="s">
        <v>417</v>
      </c>
      <c r="D421" s="2043">
        <v>211</v>
      </c>
      <c r="E421" s="2043">
        <v>182</v>
      </c>
      <c r="F421" s="2043">
        <f t="shared" si="32"/>
        <v>0</v>
      </c>
      <c r="G421" s="2043">
        <f t="shared" si="33"/>
        <v>0</v>
      </c>
      <c r="H421" s="2208">
        <v>0</v>
      </c>
      <c r="I421" s="2209">
        <v>0</v>
      </c>
      <c r="J421" s="2210">
        <v>0</v>
      </c>
      <c r="K421" s="2208">
        <v>0</v>
      </c>
      <c r="L421" s="2208">
        <v>0</v>
      </c>
      <c r="M421" s="2211">
        <v>0</v>
      </c>
      <c r="N421" s="2212">
        <v>0</v>
      </c>
      <c r="O421" s="1118">
        <f t="shared" si="35"/>
        <v>0</v>
      </c>
      <c r="P421" s="2213">
        <f t="shared" si="34"/>
        <v>0</v>
      </c>
    </row>
    <row r="422" spans="1:16" ht="14.5">
      <c r="A422" s="2042" t="s">
        <v>3028</v>
      </c>
      <c r="B422" s="380" t="str">
        <f t="shared" si="31"/>
        <v>101-925</v>
      </c>
      <c r="C422" s="2042" t="s">
        <v>2250</v>
      </c>
      <c r="D422" s="2043">
        <v>3467</v>
      </c>
      <c r="E422" s="2043">
        <v>3439</v>
      </c>
      <c r="F422" s="2043">
        <f t="shared" si="32"/>
        <v>0</v>
      </c>
      <c r="G422" s="2043">
        <f t="shared" si="33"/>
        <v>0</v>
      </c>
      <c r="H422" s="2208">
        <v>0</v>
      </c>
      <c r="I422" s="2209">
        <v>0</v>
      </c>
      <c r="J422" s="2210">
        <v>0</v>
      </c>
      <c r="K422" s="2208">
        <v>0</v>
      </c>
      <c r="L422" s="2208">
        <v>0</v>
      </c>
      <c r="M422" s="2211">
        <v>0</v>
      </c>
      <c r="N422" s="2212">
        <v>826321</v>
      </c>
      <c r="O422" s="1118">
        <f t="shared" si="35"/>
        <v>826321</v>
      </c>
      <c r="P422" s="2213">
        <f t="shared" si="34"/>
        <v>222485.68008305249</v>
      </c>
    </row>
    <row r="423" spans="1:16" ht="14.5">
      <c r="A423" s="2042" t="s">
        <v>3223</v>
      </c>
      <c r="B423" s="380" t="str">
        <f t="shared" si="31"/>
        <v>226-907</v>
      </c>
      <c r="C423" s="2042" t="s">
        <v>1635</v>
      </c>
      <c r="D423" s="2043">
        <v>1127</v>
      </c>
      <c r="E423" s="2043">
        <v>1099</v>
      </c>
      <c r="F423" s="2043">
        <f t="shared" si="32"/>
        <v>0</v>
      </c>
      <c r="G423" s="2043">
        <f t="shared" si="33"/>
        <v>0</v>
      </c>
      <c r="H423" s="2208">
        <v>0</v>
      </c>
      <c r="I423" s="2209">
        <v>0</v>
      </c>
      <c r="J423" s="2210">
        <v>0</v>
      </c>
      <c r="K423" s="2208">
        <v>0</v>
      </c>
      <c r="L423" s="2208">
        <v>0</v>
      </c>
      <c r="M423" s="2211">
        <v>0</v>
      </c>
      <c r="N423" s="2212">
        <v>268709</v>
      </c>
      <c r="O423" s="1118">
        <f t="shared" si="35"/>
        <v>268709</v>
      </c>
      <c r="P423" s="2213">
        <f t="shared" si="34"/>
        <v>72349.492036916577</v>
      </c>
    </row>
    <row r="424" spans="1:16" ht="14.5">
      <c r="A424" s="2042" t="s">
        <v>5881</v>
      </c>
      <c r="B424" s="380" t="str">
        <f t="shared" si="31"/>
        <v>210-906</v>
      </c>
      <c r="C424" s="2042" t="s">
        <v>1683</v>
      </c>
      <c r="D424" s="2043">
        <v>99</v>
      </c>
      <c r="E424" s="2043">
        <v>71</v>
      </c>
      <c r="F424" s="2043">
        <f t="shared" si="32"/>
        <v>0</v>
      </c>
      <c r="G424" s="2043">
        <f t="shared" si="33"/>
        <v>0</v>
      </c>
      <c r="H424" s="2208">
        <v>0</v>
      </c>
      <c r="I424" s="2209">
        <v>0</v>
      </c>
      <c r="J424" s="2210">
        <v>0</v>
      </c>
      <c r="K424" s="2208">
        <v>0</v>
      </c>
      <c r="L424" s="2208">
        <v>0</v>
      </c>
      <c r="M424" s="2211">
        <v>0</v>
      </c>
      <c r="N424" s="2212">
        <v>0</v>
      </c>
      <c r="O424" s="1118">
        <f t="shared" si="35"/>
        <v>0</v>
      </c>
      <c r="P424" s="2213">
        <f t="shared" si="34"/>
        <v>0</v>
      </c>
    </row>
    <row r="425" spans="1:16" ht="14.5">
      <c r="A425" s="2042" t="s">
        <v>5312</v>
      </c>
      <c r="B425" s="380" t="str">
        <f t="shared" si="31"/>
        <v>249-904</v>
      </c>
      <c r="C425" s="2042" t="s">
        <v>1526</v>
      </c>
      <c r="D425" s="2043">
        <v>616</v>
      </c>
      <c r="E425" s="2043">
        <v>588</v>
      </c>
      <c r="F425" s="2043">
        <f t="shared" si="32"/>
        <v>0</v>
      </c>
      <c r="G425" s="2043">
        <f t="shared" si="33"/>
        <v>0</v>
      </c>
      <c r="H425" s="2208">
        <v>0</v>
      </c>
      <c r="I425" s="2209">
        <v>0</v>
      </c>
      <c r="J425" s="2210">
        <v>0</v>
      </c>
      <c r="K425" s="2208">
        <v>0</v>
      </c>
      <c r="L425" s="2208">
        <v>0</v>
      </c>
      <c r="M425" s="2211">
        <v>0</v>
      </c>
      <c r="N425" s="2212">
        <v>0</v>
      </c>
      <c r="O425" s="1118">
        <f t="shared" si="35"/>
        <v>0</v>
      </c>
      <c r="P425" s="2213">
        <f t="shared" si="34"/>
        <v>0</v>
      </c>
    </row>
    <row r="426" spans="1:16" ht="14.5">
      <c r="A426" s="2042" t="s">
        <v>3188</v>
      </c>
      <c r="B426" s="380" t="str">
        <f t="shared" si="31"/>
        <v>201-913</v>
      </c>
      <c r="C426" s="2042" t="s">
        <v>613</v>
      </c>
      <c r="D426" s="2043">
        <v>640</v>
      </c>
      <c r="E426" s="2043">
        <v>612</v>
      </c>
      <c r="F426" s="2043">
        <f t="shared" si="32"/>
        <v>0</v>
      </c>
      <c r="G426" s="2043">
        <f t="shared" si="33"/>
        <v>0</v>
      </c>
      <c r="H426" s="2208">
        <v>0</v>
      </c>
      <c r="I426" s="2209">
        <v>0</v>
      </c>
      <c r="J426" s="2210">
        <v>0</v>
      </c>
      <c r="K426" s="2208">
        <v>0</v>
      </c>
      <c r="L426" s="2208">
        <v>0</v>
      </c>
      <c r="M426" s="2211">
        <v>0</v>
      </c>
      <c r="N426" s="2212">
        <v>0</v>
      </c>
      <c r="O426" s="1118">
        <f t="shared" si="35"/>
        <v>0</v>
      </c>
      <c r="P426" s="2213">
        <f t="shared" si="34"/>
        <v>0</v>
      </c>
    </row>
    <row r="427" spans="1:16" ht="14.5">
      <c r="A427" s="2042" t="s">
        <v>3110</v>
      </c>
      <c r="B427" s="380" t="str">
        <f t="shared" si="31"/>
        <v>147-901</v>
      </c>
      <c r="C427" s="2042" t="s">
        <v>1464</v>
      </c>
      <c r="D427" s="2043">
        <v>337</v>
      </c>
      <c r="E427" s="2043">
        <v>309</v>
      </c>
      <c r="F427" s="2043">
        <f t="shared" si="32"/>
        <v>0</v>
      </c>
      <c r="G427" s="2043">
        <f t="shared" si="33"/>
        <v>0</v>
      </c>
      <c r="H427" s="2208">
        <v>0</v>
      </c>
      <c r="I427" s="2209">
        <v>0</v>
      </c>
      <c r="J427" s="2210">
        <v>0</v>
      </c>
      <c r="K427" s="2208">
        <v>0</v>
      </c>
      <c r="L427" s="2208">
        <v>0</v>
      </c>
      <c r="M427" s="2211">
        <v>0</v>
      </c>
      <c r="N427" s="2212">
        <v>0</v>
      </c>
      <c r="O427" s="1118">
        <f t="shared" si="35"/>
        <v>0</v>
      </c>
      <c r="P427" s="2213">
        <f t="shared" si="34"/>
        <v>0</v>
      </c>
    </row>
    <row r="428" spans="1:16" ht="14.5">
      <c r="A428" s="2042" t="s">
        <v>2909</v>
      </c>
      <c r="B428" s="380" t="str">
        <f t="shared" si="31"/>
        <v>027-903</v>
      </c>
      <c r="C428" s="2042" t="s">
        <v>124</v>
      </c>
      <c r="D428" s="2043">
        <v>3140</v>
      </c>
      <c r="E428" s="2043">
        <v>3113</v>
      </c>
      <c r="F428" s="2043">
        <f t="shared" si="32"/>
        <v>0</v>
      </c>
      <c r="G428" s="2043">
        <f t="shared" si="33"/>
        <v>0</v>
      </c>
      <c r="H428" s="2208">
        <v>0</v>
      </c>
      <c r="I428" s="2209">
        <v>0</v>
      </c>
      <c r="J428" s="2210">
        <v>0</v>
      </c>
      <c r="K428" s="2208">
        <v>0</v>
      </c>
      <c r="L428" s="2208">
        <v>0</v>
      </c>
      <c r="M428" s="2211">
        <v>0</v>
      </c>
      <c r="N428" s="2212">
        <v>733817</v>
      </c>
      <c r="O428" s="1118">
        <f t="shared" si="35"/>
        <v>733817</v>
      </c>
      <c r="P428" s="2213">
        <f t="shared" si="34"/>
        <v>197579.11792330744</v>
      </c>
    </row>
    <row r="429" spans="1:16" ht="14.5">
      <c r="A429" s="2042" t="s">
        <v>5789</v>
      </c>
      <c r="B429" s="380" t="str">
        <f t="shared" si="31"/>
        <v>067-903</v>
      </c>
      <c r="C429" s="2042" t="s">
        <v>1855</v>
      </c>
      <c r="D429" s="2043">
        <v>1099</v>
      </c>
      <c r="E429" s="2043">
        <v>1072</v>
      </c>
      <c r="F429" s="2043">
        <f t="shared" si="32"/>
        <v>0</v>
      </c>
      <c r="G429" s="2043">
        <f t="shared" si="33"/>
        <v>0</v>
      </c>
      <c r="H429" s="2208">
        <v>0</v>
      </c>
      <c r="I429" s="2209">
        <v>0</v>
      </c>
      <c r="J429" s="2210">
        <v>0</v>
      </c>
      <c r="K429" s="2208">
        <v>0</v>
      </c>
      <c r="L429" s="2208">
        <v>0</v>
      </c>
      <c r="M429" s="2211">
        <v>0</v>
      </c>
      <c r="N429" s="2212">
        <v>0</v>
      </c>
      <c r="O429" s="1118">
        <f t="shared" si="35"/>
        <v>0</v>
      </c>
      <c r="P429" s="2213">
        <f t="shared" si="34"/>
        <v>0</v>
      </c>
    </row>
    <row r="430" spans="1:16" ht="14.5">
      <c r="A430" s="2042" t="s">
        <v>5180</v>
      </c>
      <c r="B430" s="380" t="str">
        <f t="shared" si="31"/>
        <v>168-902</v>
      </c>
      <c r="C430" s="2042" t="s">
        <v>1668</v>
      </c>
      <c r="D430" s="2043">
        <v>170</v>
      </c>
      <c r="E430" s="2043">
        <v>143</v>
      </c>
      <c r="F430" s="2043">
        <f t="shared" si="32"/>
        <v>0</v>
      </c>
      <c r="G430" s="2043">
        <f t="shared" si="33"/>
        <v>0</v>
      </c>
      <c r="H430" s="2208">
        <v>0</v>
      </c>
      <c r="I430" s="2209">
        <v>0</v>
      </c>
      <c r="J430" s="2210">
        <v>0</v>
      </c>
      <c r="K430" s="2208">
        <v>0</v>
      </c>
      <c r="L430" s="2208">
        <v>0</v>
      </c>
      <c r="M430" s="2211">
        <v>0</v>
      </c>
      <c r="N430" s="2212">
        <v>0</v>
      </c>
      <c r="O430" s="1118">
        <f t="shared" si="35"/>
        <v>0</v>
      </c>
      <c r="P430" s="2213">
        <f t="shared" si="34"/>
        <v>0</v>
      </c>
    </row>
    <row r="431" spans="1:16" ht="14.5">
      <c r="A431" s="2042" t="s">
        <v>3156</v>
      </c>
      <c r="B431" s="380" t="str">
        <f t="shared" si="31"/>
        <v>175-907</v>
      </c>
      <c r="C431" s="2042" t="s">
        <v>2377</v>
      </c>
      <c r="D431" s="2043">
        <v>597</v>
      </c>
      <c r="E431" s="2043">
        <v>570</v>
      </c>
      <c r="F431" s="2043">
        <f t="shared" si="32"/>
        <v>0</v>
      </c>
      <c r="G431" s="2043">
        <f t="shared" si="33"/>
        <v>0</v>
      </c>
      <c r="H431" s="2208">
        <v>0</v>
      </c>
      <c r="I431" s="2209">
        <v>0</v>
      </c>
      <c r="J431" s="2210">
        <v>0</v>
      </c>
      <c r="K431" s="2208">
        <v>0</v>
      </c>
      <c r="L431" s="2208">
        <v>0</v>
      </c>
      <c r="M431" s="2211">
        <v>0</v>
      </c>
      <c r="N431" s="2212">
        <v>0</v>
      </c>
      <c r="O431" s="1118">
        <f t="shared" si="35"/>
        <v>0</v>
      </c>
      <c r="P431" s="2213">
        <f t="shared" si="34"/>
        <v>0</v>
      </c>
    </row>
    <row r="432" spans="1:16" ht="14.5">
      <c r="A432" s="2042" t="s">
        <v>2899</v>
      </c>
      <c r="B432" s="380" t="str">
        <f t="shared" si="31"/>
        <v>020-908</v>
      </c>
      <c r="C432" s="2042" t="s">
        <v>259</v>
      </c>
      <c r="D432" s="2043">
        <v>21093</v>
      </c>
      <c r="E432" s="2043">
        <v>21067</v>
      </c>
      <c r="F432" s="2043">
        <f t="shared" si="32"/>
        <v>0</v>
      </c>
      <c r="G432" s="2043">
        <f t="shared" si="33"/>
        <v>0</v>
      </c>
      <c r="H432" s="2208">
        <v>0</v>
      </c>
      <c r="I432" s="2209">
        <v>0</v>
      </c>
      <c r="J432" s="2210">
        <v>0</v>
      </c>
      <c r="K432" s="2208">
        <v>0</v>
      </c>
      <c r="L432" s="2208">
        <v>0</v>
      </c>
      <c r="M432" s="2211">
        <v>0</v>
      </c>
      <c r="N432" s="2212">
        <v>0</v>
      </c>
      <c r="O432" s="1118">
        <f t="shared" si="35"/>
        <v>0</v>
      </c>
      <c r="P432" s="2213">
        <f t="shared" si="34"/>
        <v>0</v>
      </c>
    </row>
    <row r="433" spans="1:16" ht="14.5">
      <c r="A433" s="2042" t="s">
        <v>3059</v>
      </c>
      <c r="B433" s="380" t="str">
        <f t="shared" si="31"/>
        <v>112-901</v>
      </c>
      <c r="C433" s="2042" t="s">
        <v>206</v>
      </c>
      <c r="D433" s="2043">
        <v>4339</v>
      </c>
      <c r="E433" s="2043">
        <v>4313</v>
      </c>
      <c r="F433" s="2043">
        <f t="shared" si="32"/>
        <v>0</v>
      </c>
      <c r="G433" s="2043">
        <f t="shared" si="33"/>
        <v>0</v>
      </c>
      <c r="H433" s="2208">
        <v>0</v>
      </c>
      <c r="I433" s="2209">
        <v>0</v>
      </c>
      <c r="J433" s="2210">
        <v>0</v>
      </c>
      <c r="K433" s="2208">
        <v>0</v>
      </c>
      <c r="L433" s="2208">
        <v>0</v>
      </c>
      <c r="M433" s="2211">
        <v>0</v>
      </c>
      <c r="N433" s="2212">
        <v>0</v>
      </c>
      <c r="O433" s="1118">
        <f t="shared" si="35"/>
        <v>0</v>
      </c>
      <c r="P433" s="2213">
        <f t="shared" si="34"/>
        <v>0</v>
      </c>
    </row>
    <row r="434" spans="1:16" ht="14.5">
      <c r="A434" s="2042" t="s">
        <v>4939</v>
      </c>
      <c r="B434" s="380" t="str">
        <f t="shared" si="31"/>
        <v>019-906</v>
      </c>
      <c r="C434" s="2042" t="s">
        <v>1314</v>
      </c>
      <c r="D434" s="2043">
        <v>1133</v>
      </c>
      <c r="E434" s="2043">
        <v>1107</v>
      </c>
      <c r="F434" s="2043">
        <f t="shared" si="32"/>
        <v>0</v>
      </c>
      <c r="G434" s="2043">
        <f t="shared" si="33"/>
        <v>0</v>
      </c>
      <c r="H434" s="2208">
        <v>0</v>
      </c>
      <c r="I434" s="2209">
        <v>0</v>
      </c>
      <c r="J434" s="2210">
        <v>0</v>
      </c>
      <c r="K434" s="2208">
        <v>0</v>
      </c>
      <c r="L434" s="2208">
        <v>0</v>
      </c>
      <c r="M434" s="2211">
        <v>0</v>
      </c>
      <c r="N434" s="2212">
        <v>0</v>
      </c>
      <c r="O434" s="1118">
        <f t="shared" si="35"/>
        <v>0</v>
      </c>
      <c r="P434" s="2213">
        <f t="shared" si="34"/>
        <v>0</v>
      </c>
    </row>
    <row r="435" spans="1:16" ht="14.5">
      <c r="A435" s="2042" t="s">
        <v>5144</v>
      </c>
      <c r="B435" s="380" t="str">
        <f t="shared" si="31"/>
        <v>145-902</v>
      </c>
      <c r="C435" s="2042" t="s">
        <v>1721</v>
      </c>
      <c r="D435" s="2043">
        <v>672</v>
      </c>
      <c r="E435" s="2043">
        <v>646</v>
      </c>
      <c r="F435" s="2043">
        <f t="shared" si="32"/>
        <v>0</v>
      </c>
      <c r="G435" s="2043">
        <f t="shared" si="33"/>
        <v>0</v>
      </c>
      <c r="H435" s="2208">
        <v>0</v>
      </c>
      <c r="I435" s="2209">
        <v>0</v>
      </c>
      <c r="J435" s="2210">
        <v>0</v>
      </c>
      <c r="K435" s="2208">
        <v>0</v>
      </c>
      <c r="L435" s="2208">
        <v>0</v>
      </c>
      <c r="M435" s="2211">
        <v>0</v>
      </c>
      <c r="N435" s="2212">
        <v>0</v>
      </c>
      <c r="O435" s="1118">
        <f t="shared" si="35"/>
        <v>0</v>
      </c>
      <c r="P435" s="2213">
        <f t="shared" si="34"/>
        <v>0</v>
      </c>
    </row>
    <row r="436" spans="1:16" ht="14.5">
      <c r="A436" s="2042" t="s">
        <v>5759</v>
      </c>
      <c r="B436" s="380" t="str">
        <f t="shared" si="31"/>
        <v>022-903</v>
      </c>
      <c r="C436" s="2042" t="s">
        <v>1499</v>
      </c>
      <c r="D436" s="2043">
        <v>31</v>
      </c>
      <c r="E436" s="2043">
        <v>5</v>
      </c>
      <c r="F436" s="2043">
        <f t="shared" si="32"/>
        <v>0</v>
      </c>
      <c r="G436" s="2043">
        <f t="shared" si="33"/>
        <v>0</v>
      </c>
      <c r="H436" s="2208">
        <v>0</v>
      </c>
      <c r="I436" s="2209">
        <v>0</v>
      </c>
      <c r="J436" s="2210">
        <v>0</v>
      </c>
      <c r="K436" s="2208">
        <v>0</v>
      </c>
      <c r="L436" s="2208">
        <v>0</v>
      </c>
      <c r="M436" s="2211">
        <v>0</v>
      </c>
      <c r="N436" s="2212">
        <v>0</v>
      </c>
      <c r="O436" s="1118">
        <f t="shared" si="35"/>
        <v>0</v>
      </c>
      <c r="P436" s="2213">
        <f t="shared" si="34"/>
        <v>0</v>
      </c>
    </row>
    <row r="437" spans="1:16" ht="14.5">
      <c r="A437" s="2042" t="s">
        <v>5254</v>
      </c>
      <c r="B437" s="380" t="str">
        <f t="shared" si="31"/>
        <v>211-901</v>
      </c>
      <c r="C437" s="2042" t="s">
        <v>1684</v>
      </c>
      <c r="D437" s="2043">
        <v>195</v>
      </c>
      <c r="E437" s="2043">
        <v>169</v>
      </c>
      <c r="F437" s="2043">
        <f t="shared" si="32"/>
        <v>0</v>
      </c>
      <c r="G437" s="2043">
        <f t="shared" si="33"/>
        <v>0</v>
      </c>
      <c r="H437" s="2208">
        <v>0</v>
      </c>
      <c r="I437" s="2209">
        <v>0</v>
      </c>
      <c r="J437" s="2210">
        <v>0</v>
      </c>
      <c r="K437" s="2208">
        <v>0</v>
      </c>
      <c r="L437" s="2208">
        <v>0</v>
      </c>
      <c r="M437" s="2211">
        <v>0</v>
      </c>
      <c r="N437" s="2212">
        <v>0</v>
      </c>
      <c r="O437" s="1118">
        <f t="shared" si="35"/>
        <v>0</v>
      </c>
      <c r="P437" s="2213">
        <f t="shared" si="34"/>
        <v>0</v>
      </c>
    </row>
    <row r="438" spans="1:16" ht="14.5">
      <c r="A438" s="2042" t="s">
        <v>5102</v>
      </c>
      <c r="B438" s="380" t="str">
        <f t="shared" si="31"/>
        <v>115-901</v>
      </c>
      <c r="C438" s="2042" t="s">
        <v>1484</v>
      </c>
      <c r="D438" s="2043">
        <v>435</v>
      </c>
      <c r="E438" s="2043">
        <v>409</v>
      </c>
      <c r="F438" s="2043">
        <f t="shared" si="32"/>
        <v>0</v>
      </c>
      <c r="G438" s="2043">
        <f t="shared" si="33"/>
        <v>0</v>
      </c>
      <c r="H438" s="2208">
        <v>0</v>
      </c>
      <c r="I438" s="2209">
        <v>0</v>
      </c>
      <c r="J438" s="2210">
        <v>0</v>
      </c>
      <c r="K438" s="2208">
        <v>0</v>
      </c>
      <c r="L438" s="2208">
        <v>0</v>
      </c>
      <c r="M438" s="2211">
        <v>0</v>
      </c>
      <c r="N438" s="2212">
        <v>0</v>
      </c>
      <c r="O438" s="1118">
        <f t="shared" si="35"/>
        <v>0</v>
      </c>
      <c r="P438" s="2213">
        <f t="shared" si="34"/>
        <v>0</v>
      </c>
    </row>
    <row r="439" spans="1:16" ht="14.5">
      <c r="A439" s="2042" t="s">
        <v>5113</v>
      </c>
      <c r="B439" s="380" t="str">
        <f t="shared" si="31"/>
        <v>120-905</v>
      </c>
      <c r="C439" s="2042" t="s">
        <v>584</v>
      </c>
      <c r="D439" s="2043">
        <v>1221</v>
      </c>
      <c r="E439" s="2043">
        <v>1195</v>
      </c>
      <c r="F439" s="2043">
        <f t="shared" si="32"/>
        <v>0</v>
      </c>
      <c r="G439" s="2043">
        <f t="shared" si="33"/>
        <v>0</v>
      </c>
      <c r="H439" s="2208">
        <v>0</v>
      </c>
      <c r="I439" s="2209">
        <v>0</v>
      </c>
      <c r="J439" s="2210">
        <v>0</v>
      </c>
      <c r="K439" s="2208">
        <v>0</v>
      </c>
      <c r="L439" s="2208">
        <v>0</v>
      </c>
      <c r="M439" s="2211">
        <v>0</v>
      </c>
      <c r="N439" s="2212">
        <v>0</v>
      </c>
      <c r="O439" s="1118">
        <f t="shared" si="35"/>
        <v>0</v>
      </c>
      <c r="P439" s="2213">
        <f t="shared" si="34"/>
        <v>0</v>
      </c>
    </row>
    <row r="440" spans="1:16" ht="14.5">
      <c r="A440" s="2042" t="s">
        <v>4964</v>
      </c>
      <c r="B440" s="380" t="str">
        <f t="shared" si="31"/>
        <v>035-901</v>
      </c>
      <c r="C440" s="2042" t="s">
        <v>1613</v>
      </c>
      <c r="D440" s="2043">
        <v>1207</v>
      </c>
      <c r="E440" s="2043">
        <v>1182</v>
      </c>
      <c r="F440" s="2043">
        <f t="shared" si="32"/>
        <v>0</v>
      </c>
      <c r="G440" s="2043">
        <f t="shared" si="33"/>
        <v>0</v>
      </c>
      <c r="H440" s="2208">
        <v>0</v>
      </c>
      <c r="I440" s="2209">
        <v>0</v>
      </c>
      <c r="J440" s="2210">
        <v>0</v>
      </c>
      <c r="K440" s="2208">
        <v>0</v>
      </c>
      <c r="L440" s="2208">
        <v>0</v>
      </c>
      <c r="M440" s="2211">
        <v>0</v>
      </c>
      <c r="N440" s="2212">
        <v>0</v>
      </c>
      <c r="O440" s="1118">
        <f t="shared" si="35"/>
        <v>0</v>
      </c>
      <c r="P440" s="2213">
        <f t="shared" si="34"/>
        <v>0</v>
      </c>
    </row>
    <row r="441" spans="1:16" ht="14.5">
      <c r="A441" s="2042" t="s">
        <v>3187</v>
      </c>
      <c r="B441" s="380" t="str">
        <f t="shared" si="31"/>
        <v>201-908</v>
      </c>
      <c r="C441" s="2042" t="s">
        <v>1286</v>
      </c>
      <c r="D441" s="2043">
        <v>502</v>
      </c>
      <c r="E441" s="2043">
        <v>477</v>
      </c>
      <c r="F441" s="2043">
        <f t="shared" si="32"/>
        <v>0</v>
      </c>
      <c r="G441" s="2043">
        <f t="shared" si="33"/>
        <v>0</v>
      </c>
      <c r="H441" s="2208">
        <v>0</v>
      </c>
      <c r="I441" s="2209">
        <v>0</v>
      </c>
      <c r="J441" s="2210">
        <v>0</v>
      </c>
      <c r="K441" s="2208">
        <v>0</v>
      </c>
      <c r="L441" s="2208">
        <v>0</v>
      </c>
      <c r="M441" s="2211">
        <v>0</v>
      </c>
      <c r="N441" s="2212">
        <v>0</v>
      </c>
      <c r="O441" s="1118">
        <f t="shared" si="35"/>
        <v>0</v>
      </c>
      <c r="P441" s="2213">
        <f t="shared" si="34"/>
        <v>0</v>
      </c>
    </row>
    <row r="442" spans="1:16" ht="14.5">
      <c r="A442" s="2042" t="s">
        <v>5772</v>
      </c>
      <c r="B442" s="380" t="str">
        <f t="shared" si="31"/>
        <v>049-908</v>
      </c>
      <c r="C442" s="2042" t="s">
        <v>2093</v>
      </c>
      <c r="D442" s="2043">
        <v>83</v>
      </c>
      <c r="E442" s="2043">
        <v>58</v>
      </c>
      <c r="F442" s="2043">
        <f t="shared" si="32"/>
        <v>0</v>
      </c>
      <c r="G442" s="2043">
        <f t="shared" si="33"/>
        <v>0</v>
      </c>
      <c r="H442" s="2208">
        <v>0</v>
      </c>
      <c r="I442" s="2209">
        <v>0</v>
      </c>
      <c r="J442" s="2210">
        <v>0</v>
      </c>
      <c r="K442" s="2208">
        <v>0</v>
      </c>
      <c r="L442" s="2208">
        <v>0</v>
      </c>
      <c r="M442" s="2211">
        <v>0</v>
      </c>
      <c r="N442" s="2212">
        <v>14918</v>
      </c>
      <c r="O442" s="1118">
        <f t="shared" si="35"/>
        <v>14918</v>
      </c>
      <c r="P442" s="2213">
        <f t="shared" si="34"/>
        <v>4016.6489481436111</v>
      </c>
    </row>
    <row r="443" spans="1:16" ht="14.5">
      <c r="A443" s="2042" t="s">
        <v>2971</v>
      </c>
      <c r="B443" s="380" t="str">
        <f t="shared" si="31"/>
        <v>065-902</v>
      </c>
      <c r="C443" s="2042" t="s">
        <v>2237</v>
      </c>
      <c r="D443" s="2043">
        <v>138</v>
      </c>
      <c r="E443" s="2043">
        <v>113</v>
      </c>
      <c r="F443" s="2043">
        <f t="shared" si="32"/>
        <v>0</v>
      </c>
      <c r="G443" s="2043">
        <f t="shared" si="33"/>
        <v>0</v>
      </c>
      <c r="H443" s="2208">
        <v>0</v>
      </c>
      <c r="I443" s="2209">
        <v>0</v>
      </c>
      <c r="J443" s="2210">
        <v>0</v>
      </c>
      <c r="K443" s="2208">
        <v>0</v>
      </c>
      <c r="L443" s="2208">
        <v>0</v>
      </c>
      <c r="M443" s="2211">
        <v>0</v>
      </c>
      <c r="N443" s="2212">
        <v>0</v>
      </c>
      <c r="O443" s="1118">
        <f t="shared" si="35"/>
        <v>0</v>
      </c>
      <c r="P443" s="2213">
        <f t="shared" si="34"/>
        <v>0</v>
      </c>
    </row>
    <row r="444" spans="1:16" ht="14.5">
      <c r="A444" s="2042" t="s">
        <v>5303</v>
      </c>
      <c r="B444" s="380" t="str">
        <f t="shared" si="31"/>
        <v>242-906</v>
      </c>
      <c r="C444" s="2042" t="s">
        <v>1157</v>
      </c>
      <c r="D444" s="2043">
        <v>169</v>
      </c>
      <c r="E444" s="2043">
        <v>144</v>
      </c>
      <c r="F444" s="2043">
        <f t="shared" si="32"/>
        <v>0</v>
      </c>
      <c r="G444" s="2043">
        <f t="shared" si="33"/>
        <v>0</v>
      </c>
      <c r="H444" s="2208">
        <v>0</v>
      </c>
      <c r="I444" s="2209">
        <v>0</v>
      </c>
      <c r="J444" s="2210">
        <v>0</v>
      </c>
      <c r="K444" s="2208">
        <v>0</v>
      </c>
      <c r="L444" s="2208">
        <v>0</v>
      </c>
      <c r="M444" s="2211">
        <v>0</v>
      </c>
      <c r="N444" s="2212">
        <v>0</v>
      </c>
      <c r="O444" s="1118">
        <f t="shared" si="35"/>
        <v>0</v>
      </c>
      <c r="P444" s="2213">
        <f t="shared" si="34"/>
        <v>0</v>
      </c>
    </row>
    <row r="445" spans="1:16" ht="14.5">
      <c r="A445" s="2042" t="s">
        <v>5781</v>
      </c>
      <c r="B445" s="380" t="str">
        <f t="shared" si="31"/>
        <v>058-902</v>
      </c>
      <c r="C445" s="2042" t="s">
        <v>2516</v>
      </c>
      <c r="D445" s="2043">
        <v>176</v>
      </c>
      <c r="E445" s="2043">
        <v>151</v>
      </c>
      <c r="F445" s="2043">
        <f t="shared" si="32"/>
        <v>0</v>
      </c>
      <c r="G445" s="2043">
        <f t="shared" si="33"/>
        <v>0</v>
      </c>
      <c r="H445" s="2208">
        <v>0</v>
      </c>
      <c r="I445" s="2209">
        <v>0</v>
      </c>
      <c r="J445" s="2210">
        <v>0</v>
      </c>
      <c r="K445" s="2208">
        <v>0</v>
      </c>
      <c r="L445" s="2208">
        <v>0</v>
      </c>
      <c r="M445" s="2211">
        <v>0</v>
      </c>
      <c r="N445" s="2212">
        <v>0</v>
      </c>
      <c r="O445" s="1118">
        <f t="shared" si="35"/>
        <v>0</v>
      </c>
      <c r="P445" s="2213">
        <f t="shared" si="34"/>
        <v>0</v>
      </c>
    </row>
    <row r="446" spans="1:16" ht="14.5">
      <c r="A446" s="2042" t="s">
        <v>3270</v>
      </c>
      <c r="B446" s="380" t="str">
        <f t="shared" si="31"/>
        <v>247-906</v>
      </c>
      <c r="C446" s="2042" t="s">
        <v>1834</v>
      </c>
      <c r="D446" s="2043">
        <v>804</v>
      </c>
      <c r="E446" s="2043">
        <v>780</v>
      </c>
      <c r="F446" s="2043">
        <f t="shared" si="32"/>
        <v>0</v>
      </c>
      <c r="G446" s="2043">
        <f t="shared" si="33"/>
        <v>0</v>
      </c>
      <c r="H446" s="2208">
        <v>0</v>
      </c>
      <c r="I446" s="2209">
        <v>0</v>
      </c>
      <c r="J446" s="2210">
        <v>0</v>
      </c>
      <c r="K446" s="2208">
        <v>0</v>
      </c>
      <c r="L446" s="2208">
        <v>0</v>
      </c>
      <c r="M446" s="2211">
        <v>0</v>
      </c>
      <c r="N446" s="2212">
        <v>187257</v>
      </c>
      <c r="O446" s="1118">
        <f t="shared" si="35"/>
        <v>187257</v>
      </c>
      <c r="P446" s="2213">
        <f t="shared" si="34"/>
        <v>50418.664169629184</v>
      </c>
    </row>
    <row r="447" spans="1:16" ht="14.5">
      <c r="A447" s="2042" t="s">
        <v>4963</v>
      </c>
      <c r="B447" s="380" t="str">
        <f t="shared" si="31"/>
        <v>034-909</v>
      </c>
      <c r="C447" s="2042" t="s">
        <v>1612</v>
      </c>
      <c r="D447" s="2043">
        <v>274</v>
      </c>
      <c r="E447" s="2043">
        <v>250</v>
      </c>
      <c r="F447" s="2043">
        <f t="shared" si="32"/>
        <v>0</v>
      </c>
      <c r="G447" s="2043">
        <f t="shared" si="33"/>
        <v>0</v>
      </c>
      <c r="H447" s="2208">
        <v>0</v>
      </c>
      <c r="I447" s="2209">
        <v>0</v>
      </c>
      <c r="J447" s="2210">
        <v>0</v>
      </c>
      <c r="K447" s="2208">
        <v>0</v>
      </c>
      <c r="L447" s="2208">
        <v>0</v>
      </c>
      <c r="M447" s="2211">
        <v>0</v>
      </c>
      <c r="N447" s="2212">
        <v>0</v>
      </c>
      <c r="O447" s="1118">
        <f t="shared" si="35"/>
        <v>0</v>
      </c>
      <c r="P447" s="2213">
        <f t="shared" si="34"/>
        <v>0</v>
      </c>
    </row>
    <row r="448" spans="1:16" ht="14.5">
      <c r="A448" s="2042" t="s">
        <v>5773</v>
      </c>
      <c r="B448" s="380" t="str">
        <f t="shared" si="31"/>
        <v>049-909</v>
      </c>
      <c r="C448" s="2042" t="s">
        <v>2094</v>
      </c>
      <c r="D448" s="2043">
        <v>73</v>
      </c>
      <c r="E448" s="2043">
        <v>49</v>
      </c>
      <c r="F448" s="2043">
        <f t="shared" si="32"/>
        <v>0</v>
      </c>
      <c r="G448" s="2043">
        <f t="shared" si="33"/>
        <v>0</v>
      </c>
      <c r="H448" s="2208">
        <v>0</v>
      </c>
      <c r="I448" s="2209">
        <v>0</v>
      </c>
      <c r="J448" s="2210">
        <v>0</v>
      </c>
      <c r="K448" s="2208">
        <v>0</v>
      </c>
      <c r="L448" s="2208">
        <v>0</v>
      </c>
      <c r="M448" s="2211">
        <v>0</v>
      </c>
      <c r="N448" s="2212">
        <v>0</v>
      </c>
      <c r="O448" s="1118">
        <f t="shared" si="35"/>
        <v>0</v>
      </c>
      <c r="P448" s="2213">
        <f t="shared" si="34"/>
        <v>0</v>
      </c>
    </row>
    <row r="449" spans="1:16" ht="14.5">
      <c r="A449" s="2042" t="s">
        <v>5215</v>
      </c>
      <c r="B449" s="380" t="str">
        <f t="shared" si="31"/>
        <v>182-906</v>
      </c>
      <c r="C449" s="2042" t="s">
        <v>409</v>
      </c>
      <c r="D449" s="2043">
        <v>108</v>
      </c>
      <c r="E449" s="2043">
        <v>84</v>
      </c>
      <c r="F449" s="2043">
        <f t="shared" si="32"/>
        <v>0</v>
      </c>
      <c r="G449" s="2043">
        <f t="shared" si="33"/>
        <v>0</v>
      </c>
      <c r="H449" s="2208">
        <v>0</v>
      </c>
      <c r="I449" s="2209">
        <v>0</v>
      </c>
      <c r="J449" s="2210">
        <v>0</v>
      </c>
      <c r="K449" s="2208">
        <v>0</v>
      </c>
      <c r="L449" s="2208">
        <v>0</v>
      </c>
      <c r="M449" s="2211">
        <v>0</v>
      </c>
      <c r="N449" s="2212">
        <v>0</v>
      </c>
      <c r="O449" s="1118">
        <f t="shared" si="35"/>
        <v>0</v>
      </c>
      <c r="P449" s="2213">
        <f t="shared" si="34"/>
        <v>0</v>
      </c>
    </row>
    <row r="450" spans="1:16" ht="14.5">
      <c r="A450" s="2042" t="s">
        <v>5786</v>
      </c>
      <c r="B450" s="380" t="str">
        <f t="shared" si="31"/>
        <v>063-906</v>
      </c>
      <c r="C450" s="2042" t="s">
        <v>2481</v>
      </c>
      <c r="D450" s="2043">
        <v>114</v>
      </c>
      <c r="E450" s="2043">
        <v>90</v>
      </c>
      <c r="F450" s="2043">
        <f t="shared" si="32"/>
        <v>0</v>
      </c>
      <c r="G450" s="2043">
        <f t="shared" si="33"/>
        <v>0</v>
      </c>
      <c r="H450" s="2208">
        <v>0</v>
      </c>
      <c r="I450" s="2209">
        <v>0</v>
      </c>
      <c r="J450" s="2210">
        <v>0</v>
      </c>
      <c r="K450" s="2208">
        <v>0</v>
      </c>
      <c r="L450" s="2208">
        <v>0</v>
      </c>
      <c r="M450" s="2211">
        <v>0</v>
      </c>
      <c r="N450" s="2212">
        <v>0</v>
      </c>
      <c r="O450" s="1118">
        <f t="shared" si="35"/>
        <v>0</v>
      </c>
      <c r="P450" s="2213">
        <f t="shared" si="34"/>
        <v>0</v>
      </c>
    </row>
    <row r="451" spans="1:16" ht="14.5">
      <c r="A451" s="2042" t="s">
        <v>2870</v>
      </c>
      <c r="B451" s="380" t="str">
        <f t="shared" ref="B451:B514" si="36">CONCATENATE(LEFT(RIGHT(CONCATENATE("000",A451),6),3),"-",(RIGHT(RIGHT(CONCATENATE("000",A451),6),3)))</f>
        <v>014-905</v>
      </c>
      <c r="C451" s="2042" t="s">
        <v>2244</v>
      </c>
      <c r="D451" s="2043">
        <v>678</v>
      </c>
      <c r="E451" s="2043">
        <v>654</v>
      </c>
      <c r="F451" s="2043">
        <f t="shared" ref="F451:F514" si="37">MAX(0,E451-D451)</f>
        <v>0</v>
      </c>
      <c r="G451" s="2043">
        <f t="shared" ref="G451:G514" si="38">MAX(0,F451-250)</f>
        <v>0</v>
      </c>
      <c r="H451" s="2208">
        <v>0</v>
      </c>
      <c r="I451" s="2209">
        <v>0</v>
      </c>
      <c r="J451" s="2210">
        <v>0</v>
      </c>
      <c r="K451" s="2208">
        <v>0</v>
      </c>
      <c r="L451" s="2208">
        <v>0</v>
      </c>
      <c r="M451" s="2211">
        <v>0</v>
      </c>
      <c r="N451" s="2212">
        <v>0</v>
      </c>
      <c r="O451" s="1118">
        <f t="shared" si="35"/>
        <v>0</v>
      </c>
      <c r="P451" s="2213">
        <f t="shared" ref="P451:P514" si="39">(40000000/$O$1022)*O451</f>
        <v>0</v>
      </c>
    </row>
    <row r="452" spans="1:16" ht="14.5">
      <c r="A452" s="2042" t="s">
        <v>5843</v>
      </c>
      <c r="B452" s="380" t="str">
        <f t="shared" si="36"/>
        <v>144-903</v>
      </c>
      <c r="C452" s="2042" t="s">
        <v>904</v>
      </c>
      <c r="D452" s="2043">
        <v>184</v>
      </c>
      <c r="E452" s="2043">
        <v>160</v>
      </c>
      <c r="F452" s="2043">
        <f t="shared" si="37"/>
        <v>0</v>
      </c>
      <c r="G452" s="2043">
        <f t="shared" si="38"/>
        <v>0</v>
      </c>
      <c r="H452" s="2208">
        <v>0</v>
      </c>
      <c r="I452" s="2209">
        <v>0</v>
      </c>
      <c r="J452" s="2210">
        <v>0</v>
      </c>
      <c r="K452" s="2208">
        <v>0</v>
      </c>
      <c r="L452" s="2208">
        <v>0</v>
      </c>
      <c r="M452" s="2211">
        <v>0</v>
      </c>
      <c r="N452" s="2212">
        <v>0</v>
      </c>
      <c r="O452" s="1118">
        <f t="shared" si="35"/>
        <v>0</v>
      </c>
      <c r="P452" s="2213">
        <f t="shared" si="39"/>
        <v>0</v>
      </c>
    </row>
    <row r="453" spans="1:16" ht="14.5">
      <c r="A453" s="2042" t="s">
        <v>3067</v>
      </c>
      <c r="B453" s="380" t="str">
        <f t="shared" si="36"/>
        <v>116-906</v>
      </c>
      <c r="C453" s="2042" t="s">
        <v>2006</v>
      </c>
      <c r="D453" s="2043">
        <v>990</v>
      </c>
      <c r="E453" s="2043">
        <v>967</v>
      </c>
      <c r="F453" s="2043">
        <f t="shared" si="37"/>
        <v>0</v>
      </c>
      <c r="G453" s="2043">
        <f t="shared" si="38"/>
        <v>0</v>
      </c>
      <c r="H453" s="2208">
        <v>0</v>
      </c>
      <c r="I453" s="2209">
        <v>0</v>
      </c>
      <c r="J453" s="2210">
        <v>0</v>
      </c>
      <c r="K453" s="2208">
        <v>0</v>
      </c>
      <c r="L453" s="2208">
        <v>0</v>
      </c>
      <c r="M453" s="2211">
        <v>0</v>
      </c>
      <c r="N453" s="2212">
        <v>0</v>
      </c>
      <c r="O453" s="1118">
        <f t="shared" si="35"/>
        <v>0</v>
      </c>
      <c r="P453" s="2213">
        <f t="shared" si="39"/>
        <v>0</v>
      </c>
    </row>
    <row r="454" spans="1:16" ht="14.5">
      <c r="A454" s="2042" t="s">
        <v>5861</v>
      </c>
      <c r="B454" s="380" t="str">
        <f t="shared" si="36"/>
        <v>182-905</v>
      </c>
      <c r="C454" s="2042" t="s">
        <v>316</v>
      </c>
      <c r="D454" s="2043">
        <v>165</v>
      </c>
      <c r="E454" s="2043">
        <v>142</v>
      </c>
      <c r="F454" s="2043">
        <f t="shared" si="37"/>
        <v>0</v>
      </c>
      <c r="G454" s="2043">
        <f t="shared" si="38"/>
        <v>0</v>
      </c>
      <c r="H454" s="2208">
        <v>0</v>
      </c>
      <c r="I454" s="2209">
        <v>0</v>
      </c>
      <c r="J454" s="2210">
        <v>0</v>
      </c>
      <c r="K454" s="2208">
        <v>0</v>
      </c>
      <c r="L454" s="2208">
        <v>0</v>
      </c>
      <c r="M454" s="2211">
        <v>0</v>
      </c>
      <c r="N454" s="2212">
        <v>0</v>
      </c>
      <c r="O454" s="1118">
        <f t="shared" si="35"/>
        <v>0</v>
      </c>
      <c r="P454" s="2213">
        <f t="shared" si="39"/>
        <v>0</v>
      </c>
    </row>
    <row r="455" spans="1:16" ht="14.5">
      <c r="A455" s="2042" t="s">
        <v>5885</v>
      </c>
      <c r="B455" s="380" t="str">
        <f t="shared" si="36"/>
        <v>224-901</v>
      </c>
      <c r="C455" s="2042" t="s">
        <v>599</v>
      </c>
      <c r="D455" s="2043">
        <v>163</v>
      </c>
      <c r="E455" s="2043">
        <v>140</v>
      </c>
      <c r="F455" s="2043">
        <f t="shared" si="37"/>
        <v>0</v>
      </c>
      <c r="G455" s="2043">
        <f t="shared" si="38"/>
        <v>0</v>
      </c>
      <c r="H455" s="2208">
        <v>0</v>
      </c>
      <c r="I455" s="2209">
        <v>0</v>
      </c>
      <c r="J455" s="2210">
        <v>0</v>
      </c>
      <c r="K455" s="2208">
        <v>0</v>
      </c>
      <c r="L455" s="2208">
        <v>0</v>
      </c>
      <c r="M455" s="2211">
        <v>0</v>
      </c>
      <c r="N455" s="2212">
        <v>0</v>
      </c>
      <c r="O455" s="1118">
        <f t="shared" si="35"/>
        <v>0</v>
      </c>
      <c r="P455" s="2213">
        <f t="shared" si="39"/>
        <v>0</v>
      </c>
    </row>
    <row r="456" spans="1:16" ht="14.5">
      <c r="A456" s="2042" t="s">
        <v>5195</v>
      </c>
      <c r="B456" s="380" t="str">
        <f t="shared" si="36"/>
        <v>176-901</v>
      </c>
      <c r="C456" s="2042" t="s">
        <v>293</v>
      </c>
      <c r="D456" s="2043">
        <v>292</v>
      </c>
      <c r="E456" s="2043">
        <v>269</v>
      </c>
      <c r="F456" s="2043">
        <f t="shared" si="37"/>
        <v>0</v>
      </c>
      <c r="G456" s="2043">
        <f t="shared" si="38"/>
        <v>0</v>
      </c>
      <c r="H456" s="2208">
        <v>0</v>
      </c>
      <c r="I456" s="2209">
        <v>0</v>
      </c>
      <c r="J456" s="2210">
        <v>0</v>
      </c>
      <c r="K456" s="2208">
        <v>0</v>
      </c>
      <c r="L456" s="2208">
        <v>0</v>
      </c>
      <c r="M456" s="2211">
        <v>0</v>
      </c>
      <c r="N456" s="2212">
        <v>0</v>
      </c>
      <c r="O456" s="1118">
        <f t="shared" si="35"/>
        <v>0</v>
      </c>
      <c r="P456" s="2213">
        <f t="shared" si="39"/>
        <v>0</v>
      </c>
    </row>
    <row r="457" spans="1:16" ht="14.5">
      <c r="A457" s="2042" t="s">
        <v>4500</v>
      </c>
      <c r="B457" s="380" t="str">
        <f t="shared" si="36"/>
        <v>174-909</v>
      </c>
      <c r="C457" s="2042" t="s">
        <v>2135</v>
      </c>
      <c r="D457" s="2043">
        <v>363</v>
      </c>
      <c r="E457" s="2043">
        <v>341</v>
      </c>
      <c r="F457" s="2043">
        <f t="shared" si="37"/>
        <v>0</v>
      </c>
      <c r="G457" s="2043">
        <f t="shared" si="38"/>
        <v>0</v>
      </c>
      <c r="H457" s="2208">
        <v>0</v>
      </c>
      <c r="I457" s="2209">
        <v>0</v>
      </c>
      <c r="J457" s="2210">
        <v>0</v>
      </c>
      <c r="K457" s="2208">
        <v>0</v>
      </c>
      <c r="L457" s="2208">
        <v>0</v>
      </c>
      <c r="M457" s="2211">
        <v>0</v>
      </c>
      <c r="N457" s="2212">
        <v>85940</v>
      </c>
      <c r="O457" s="1118">
        <f t="shared" si="35"/>
        <v>85940</v>
      </c>
      <c r="P457" s="2213">
        <f t="shared" si="39"/>
        <v>23139.215082682796</v>
      </c>
    </row>
    <row r="458" spans="1:16" ht="14.5">
      <c r="A458" s="2042" t="s">
        <v>5003</v>
      </c>
      <c r="B458" s="380" t="str">
        <f t="shared" si="36"/>
        <v>066-903</v>
      </c>
      <c r="C458" s="2042" t="s">
        <v>1854</v>
      </c>
      <c r="D458" s="2043">
        <v>805</v>
      </c>
      <c r="E458" s="2043">
        <v>783</v>
      </c>
      <c r="F458" s="2043">
        <f t="shared" si="37"/>
        <v>0</v>
      </c>
      <c r="G458" s="2043">
        <f t="shared" si="38"/>
        <v>0</v>
      </c>
      <c r="H458" s="2208">
        <v>0</v>
      </c>
      <c r="I458" s="2209">
        <v>0</v>
      </c>
      <c r="J458" s="2210">
        <v>0</v>
      </c>
      <c r="K458" s="2208">
        <v>0</v>
      </c>
      <c r="L458" s="2208">
        <v>0</v>
      </c>
      <c r="M458" s="2211">
        <v>0</v>
      </c>
      <c r="N458" s="2212">
        <v>0</v>
      </c>
      <c r="O458" s="1118">
        <f t="shared" si="35"/>
        <v>0</v>
      </c>
      <c r="P458" s="2213">
        <f t="shared" si="39"/>
        <v>0</v>
      </c>
    </row>
    <row r="459" spans="1:16" ht="14.5">
      <c r="A459" s="2042" t="s">
        <v>5872</v>
      </c>
      <c r="B459" s="380" t="str">
        <f t="shared" si="36"/>
        <v>201-904</v>
      </c>
      <c r="C459" s="2042" t="s">
        <v>1436</v>
      </c>
      <c r="D459" s="2043">
        <v>259</v>
      </c>
      <c r="E459" s="2043">
        <v>237</v>
      </c>
      <c r="F459" s="2043">
        <f t="shared" si="37"/>
        <v>0</v>
      </c>
      <c r="G459" s="2043">
        <f t="shared" si="38"/>
        <v>0</v>
      </c>
      <c r="H459" s="2208">
        <v>0</v>
      </c>
      <c r="I459" s="2209">
        <v>0</v>
      </c>
      <c r="J459" s="2210">
        <v>0</v>
      </c>
      <c r="K459" s="2208">
        <v>0</v>
      </c>
      <c r="L459" s="2208">
        <v>0</v>
      </c>
      <c r="M459" s="2211">
        <v>0</v>
      </c>
      <c r="N459" s="2212">
        <v>0</v>
      </c>
      <c r="O459" s="1118">
        <f t="shared" si="35"/>
        <v>0</v>
      </c>
      <c r="P459" s="2213">
        <f t="shared" si="39"/>
        <v>0</v>
      </c>
    </row>
    <row r="460" spans="1:16" ht="14.5">
      <c r="A460" s="2042" t="s">
        <v>3228</v>
      </c>
      <c r="B460" s="380" t="str">
        <f t="shared" si="36"/>
        <v>229-905</v>
      </c>
      <c r="C460" s="2042" t="s">
        <v>1831</v>
      </c>
      <c r="D460" s="2043">
        <v>380</v>
      </c>
      <c r="E460" s="2043">
        <v>358</v>
      </c>
      <c r="F460" s="2043">
        <f t="shared" si="37"/>
        <v>0</v>
      </c>
      <c r="G460" s="2043">
        <f t="shared" si="38"/>
        <v>0</v>
      </c>
      <c r="H460" s="2208">
        <v>0</v>
      </c>
      <c r="I460" s="2209">
        <v>0</v>
      </c>
      <c r="J460" s="2210">
        <v>0</v>
      </c>
      <c r="K460" s="2208">
        <v>0</v>
      </c>
      <c r="L460" s="2208">
        <v>0</v>
      </c>
      <c r="M460" s="2211">
        <v>0</v>
      </c>
      <c r="N460" s="2212">
        <v>0</v>
      </c>
      <c r="O460" s="1118">
        <f t="shared" si="35"/>
        <v>0</v>
      </c>
      <c r="P460" s="2213">
        <f t="shared" si="39"/>
        <v>0</v>
      </c>
    </row>
    <row r="461" spans="1:16" ht="14.5">
      <c r="A461" s="2042" t="s">
        <v>5836</v>
      </c>
      <c r="B461" s="380" t="str">
        <f t="shared" si="36"/>
        <v>140-901</v>
      </c>
      <c r="C461" s="2042" t="s">
        <v>2291</v>
      </c>
      <c r="D461" s="2043">
        <v>155</v>
      </c>
      <c r="E461" s="2043">
        <v>133</v>
      </c>
      <c r="F461" s="2043">
        <f t="shared" si="37"/>
        <v>0</v>
      </c>
      <c r="G461" s="2043">
        <f t="shared" si="38"/>
        <v>0</v>
      </c>
      <c r="H461" s="2208">
        <v>0</v>
      </c>
      <c r="I461" s="2209">
        <v>0</v>
      </c>
      <c r="J461" s="2210">
        <v>0</v>
      </c>
      <c r="K461" s="2208">
        <v>0</v>
      </c>
      <c r="L461" s="2208">
        <v>0</v>
      </c>
      <c r="M461" s="2211">
        <v>0</v>
      </c>
      <c r="N461" s="2212">
        <v>0</v>
      </c>
      <c r="O461" s="1118">
        <f t="shared" si="35"/>
        <v>0</v>
      </c>
      <c r="P461" s="2213">
        <f t="shared" si="39"/>
        <v>0</v>
      </c>
    </row>
    <row r="462" spans="1:16" ht="14.5">
      <c r="A462" s="2042" t="s">
        <v>5769</v>
      </c>
      <c r="B462" s="380" t="str">
        <f t="shared" si="36"/>
        <v>041-901</v>
      </c>
      <c r="C462" s="2042" t="s">
        <v>2037</v>
      </c>
      <c r="D462" s="2043">
        <v>262</v>
      </c>
      <c r="E462" s="2043">
        <v>240</v>
      </c>
      <c r="F462" s="2043">
        <f t="shared" si="37"/>
        <v>0</v>
      </c>
      <c r="G462" s="2043">
        <f t="shared" si="38"/>
        <v>0</v>
      </c>
      <c r="H462" s="2208">
        <v>0</v>
      </c>
      <c r="I462" s="2209">
        <v>0</v>
      </c>
      <c r="J462" s="2210">
        <v>0</v>
      </c>
      <c r="K462" s="2208">
        <v>0</v>
      </c>
      <c r="L462" s="2208">
        <v>0</v>
      </c>
      <c r="M462" s="2211">
        <v>0</v>
      </c>
      <c r="N462" s="2212">
        <v>0</v>
      </c>
      <c r="O462" s="1118">
        <f t="shared" si="35"/>
        <v>0</v>
      </c>
      <c r="P462" s="2213">
        <f t="shared" si="39"/>
        <v>0</v>
      </c>
    </row>
    <row r="463" spans="1:16" ht="14.5">
      <c r="A463" s="2042" t="s">
        <v>5849</v>
      </c>
      <c r="B463" s="380" t="str">
        <f t="shared" si="36"/>
        <v>161-918</v>
      </c>
      <c r="C463" s="2042" t="s">
        <v>1654</v>
      </c>
      <c r="D463" s="2043">
        <v>793</v>
      </c>
      <c r="E463" s="2043">
        <v>772</v>
      </c>
      <c r="F463" s="2043">
        <f t="shared" si="37"/>
        <v>0</v>
      </c>
      <c r="G463" s="2043">
        <f t="shared" si="38"/>
        <v>0</v>
      </c>
      <c r="H463" s="2208">
        <v>0</v>
      </c>
      <c r="I463" s="2209">
        <v>0</v>
      </c>
      <c r="J463" s="2210">
        <v>0</v>
      </c>
      <c r="K463" s="2208">
        <v>0</v>
      </c>
      <c r="L463" s="2208">
        <v>0</v>
      </c>
      <c r="M463" s="2211">
        <v>0</v>
      </c>
      <c r="N463" s="2212">
        <v>176913</v>
      </c>
      <c r="O463" s="1118">
        <f t="shared" si="35"/>
        <v>176913</v>
      </c>
      <c r="P463" s="2213">
        <f t="shared" si="39"/>
        <v>47633.557806872952</v>
      </c>
    </row>
    <row r="464" spans="1:16" ht="14.5">
      <c r="A464" s="2042" t="s">
        <v>3069</v>
      </c>
      <c r="B464" s="380" t="str">
        <f t="shared" si="36"/>
        <v>116-909</v>
      </c>
      <c r="C464" s="2042" t="s">
        <v>1064</v>
      </c>
      <c r="D464" s="2043">
        <v>662</v>
      </c>
      <c r="E464" s="2043">
        <v>641</v>
      </c>
      <c r="F464" s="2043">
        <f t="shared" si="37"/>
        <v>0</v>
      </c>
      <c r="G464" s="2043">
        <f t="shared" si="38"/>
        <v>0</v>
      </c>
      <c r="H464" s="2208">
        <v>0</v>
      </c>
      <c r="I464" s="2209">
        <v>0</v>
      </c>
      <c r="J464" s="2210">
        <v>0</v>
      </c>
      <c r="K464" s="2208">
        <v>0</v>
      </c>
      <c r="L464" s="2208">
        <v>0</v>
      </c>
      <c r="M464" s="2211">
        <v>0</v>
      </c>
      <c r="N464" s="2212">
        <v>154667</v>
      </c>
      <c r="O464" s="1118">
        <f t="shared" si="35"/>
        <v>154667</v>
      </c>
      <c r="P464" s="2213">
        <f t="shared" si="39"/>
        <v>41643.855936622058</v>
      </c>
    </row>
    <row r="465" spans="1:16" ht="14.5">
      <c r="A465" s="2042" t="s">
        <v>5901</v>
      </c>
      <c r="B465" s="380" t="str">
        <f t="shared" si="36"/>
        <v>250-907</v>
      </c>
      <c r="C465" s="2042" t="s">
        <v>1296</v>
      </c>
      <c r="D465" s="2043">
        <v>1488</v>
      </c>
      <c r="E465" s="2043">
        <v>1467</v>
      </c>
      <c r="F465" s="2043">
        <f t="shared" si="37"/>
        <v>0</v>
      </c>
      <c r="G465" s="2043">
        <f t="shared" si="38"/>
        <v>0</v>
      </c>
      <c r="H465" s="2208">
        <v>0</v>
      </c>
      <c r="I465" s="2209">
        <v>0</v>
      </c>
      <c r="J465" s="2210">
        <v>0</v>
      </c>
      <c r="K465" s="2208">
        <v>0</v>
      </c>
      <c r="L465" s="2208">
        <v>0</v>
      </c>
      <c r="M465" s="2211">
        <v>0</v>
      </c>
      <c r="N465" s="2212">
        <v>0</v>
      </c>
      <c r="O465" s="1118">
        <f t="shared" si="35"/>
        <v>0</v>
      </c>
      <c r="P465" s="2213">
        <f t="shared" si="39"/>
        <v>0</v>
      </c>
    </row>
    <row r="466" spans="1:16" ht="14.5">
      <c r="A466" s="2042" t="s">
        <v>5775</v>
      </c>
      <c r="B466" s="380" t="str">
        <f t="shared" si="36"/>
        <v>051-901</v>
      </c>
      <c r="C466" s="2042" t="s">
        <v>2098</v>
      </c>
      <c r="D466" s="2043">
        <v>204</v>
      </c>
      <c r="E466" s="2043">
        <v>183</v>
      </c>
      <c r="F466" s="2043">
        <f t="shared" si="37"/>
        <v>0</v>
      </c>
      <c r="G466" s="2043">
        <f t="shared" si="38"/>
        <v>0</v>
      </c>
      <c r="H466" s="2208">
        <v>0</v>
      </c>
      <c r="I466" s="2209">
        <v>0</v>
      </c>
      <c r="J466" s="2210">
        <v>0</v>
      </c>
      <c r="K466" s="2208">
        <v>0</v>
      </c>
      <c r="L466" s="2208">
        <v>0</v>
      </c>
      <c r="M466" s="2211">
        <v>0</v>
      </c>
      <c r="N466" s="2212">
        <v>0</v>
      </c>
      <c r="O466" s="1118">
        <f t="shared" si="35"/>
        <v>0</v>
      </c>
      <c r="P466" s="2213">
        <f t="shared" si="39"/>
        <v>0</v>
      </c>
    </row>
    <row r="467" spans="1:16" ht="14.5">
      <c r="A467" s="2042" t="s">
        <v>3008</v>
      </c>
      <c r="B467" s="380" t="str">
        <f t="shared" si="36"/>
        <v>091-913</v>
      </c>
      <c r="C467" s="2042" t="s">
        <v>1981</v>
      </c>
      <c r="D467" s="2043">
        <v>1424</v>
      </c>
      <c r="E467" s="2043">
        <v>1403</v>
      </c>
      <c r="F467" s="2043">
        <f t="shared" si="37"/>
        <v>0</v>
      </c>
      <c r="G467" s="2043">
        <f t="shared" si="38"/>
        <v>0</v>
      </c>
      <c r="H467" s="2208">
        <v>0</v>
      </c>
      <c r="I467" s="2209">
        <v>0</v>
      </c>
      <c r="J467" s="2210">
        <v>0</v>
      </c>
      <c r="K467" s="2208">
        <v>0</v>
      </c>
      <c r="L467" s="2208">
        <v>0</v>
      </c>
      <c r="M467" s="2211">
        <v>0</v>
      </c>
      <c r="N467" s="2212">
        <v>0</v>
      </c>
      <c r="O467" s="1118">
        <f t="shared" si="35"/>
        <v>0</v>
      </c>
      <c r="P467" s="2213">
        <f t="shared" si="39"/>
        <v>0</v>
      </c>
    </row>
    <row r="468" spans="1:16" ht="14.5">
      <c r="A468" s="2042" t="s">
        <v>5317</v>
      </c>
      <c r="B468" s="380" t="str">
        <f t="shared" si="36"/>
        <v>250-906</v>
      </c>
      <c r="C468" s="2042" t="s">
        <v>1295</v>
      </c>
      <c r="D468" s="2043">
        <v>881</v>
      </c>
      <c r="E468" s="2043">
        <v>861</v>
      </c>
      <c r="F468" s="2043">
        <f t="shared" si="37"/>
        <v>0</v>
      </c>
      <c r="G468" s="2043">
        <f t="shared" si="38"/>
        <v>0</v>
      </c>
      <c r="H468" s="2208">
        <v>0</v>
      </c>
      <c r="I468" s="2209">
        <v>0</v>
      </c>
      <c r="J468" s="2210">
        <v>0</v>
      </c>
      <c r="K468" s="2208">
        <v>0</v>
      </c>
      <c r="L468" s="2208">
        <v>0</v>
      </c>
      <c r="M468" s="2211">
        <v>0</v>
      </c>
      <c r="N468" s="2212">
        <v>0</v>
      </c>
      <c r="O468" s="1118">
        <f t="shared" si="35"/>
        <v>0</v>
      </c>
      <c r="P468" s="2213">
        <f t="shared" si="39"/>
        <v>0</v>
      </c>
    </row>
    <row r="469" spans="1:16" ht="14.5">
      <c r="A469" s="2042" t="s">
        <v>4967</v>
      </c>
      <c r="B469" s="380" t="str">
        <f t="shared" si="36"/>
        <v>037-909</v>
      </c>
      <c r="C469" s="2042" t="s">
        <v>23</v>
      </c>
      <c r="D469" s="2043">
        <v>283</v>
      </c>
      <c r="E469" s="2043">
        <v>263</v>
      </c>
      <c r="F469" s="2043">
        <f t="shared" si="37"/>
        <v>0</v>
      </c>
      <c r="G469" s="2043">
        <f t="shared" si="38"/>
        <v>0</v>
      </c>
      <c r="H469" s="2208">
        <v>0</v>
      </c>
      <c r="I469" s="2209">
        <v>0</v>
      </c>
      <c r="J469" s="2210">
        <v>0</v>
      </c>
      <c r="K469" s="2208">
        <v>0</v>
      </c>
      <c r="L469" s="2208">
        <v>0</v>
      </c>
      <c r="M469" s="2211">
        <v>0</v>
      </c>
      <c r="N469" s="2212">
        <v>62022</v>
      </c>
      <c r="O469" s="1118">
        <f t="shared" si="35"/>
        <v>62022</v>
      </c>
      <c r="P469" s="2213">
        <f t="shared" si="39"/>
        <v>16699.329740029698</v>
      </c>
    </row>
    <row r="470" spans="1:16" ht="14.5">
      <c r="A470" s="2042" t="s">
        <v>5862</v>
      </c>
      <c r="B470" s="380" t="str">
        <f t="shared" si="36"/>
        <v>185-901</v>
      </c>
      <c r="C470" s="2042" t="s">
        <v>414</v>
      </c>
      <c r="D470" s="2043">
        <v>485</v>
      </c>
      <c r="E470" s="2043">
        <v>465</v>
      </c>
      <c r="F470" s="2043">
        <f t="shared" si="37"/>
        <v>0</v>
      </c>
      <c r="G470" s="2043">
        <f t="shared" si="38"/>
        <v>0</v>
      </c>
      <c r="H470" s="2208">
        <v>0</v>
      </c>
      <c r="I470" s="2209">
        <v>0</v>
      </c>
      <c r="J470" s="2210">
        <v>0</v>
      </c>
      <c r="K470" s="2208">
        <v>0</v>
      </c>
      <c r="L470" s="2208">
        <v>0</v>
      </c>
      <c r="M470" s="2211">
        <v>0</v>
      </c>
      <c r="N470" s="2212">
        <v>0</v>
      </c>
      <c r="O470" s="1118">
        <f t="shared" si="35"/>
        <v>0</v>
      </c>
      <c r="P470" s="2213">
        <f t="shared" si="39"/>
        <v>0</v>
      </c>
    </row>
    <row r="471" spans="1:16" ht="14.5">
      <c r="A471" s="2042" t="s">
        <v>2894</v>
      </c>
      <c r="B471" s="380" t="str">
        <f t="shared" si="36"/>
        <v>019-909</v>
      </c>
      <c r="C471" s="2042" t="s">
        <v>252</v>
      </c>
      <c r="D471" s="2043">
        <v>503</v>
      </c>
      <c r="E471" s="2043">
        <v>483</v>
      </c>
      <c r="F471" s="2043">
        <f t="shared" si="37"/>
        <v>0</v>
      </c>
      <c r="G471" s="2043">
        <f t="shared" si="38"/>
        <v>0</v>
      </c>
      <c r="H471" s="2208">
        <v>0</v>
      </c>
      <c r="I471" s="2209">
        <v>0</v>
      </c>
      <c r="J471" s="2210">
        <v>0</v>
      </c>
      <c r="K471" s="2208">
        <v>0</v>
      </c>
      <c r="L471" s="2208">
        <v>0</v>
      </c>
      <c r="M471" s="2211">
        <v>0</v>
      </c>
      <c r="N471" s="2212">
        <v>113291</v>
      </c>
      <c r="O471" s="1118">
        <f t="shared" si="35"/>
        <v>113291</v>
      </c>
      <c r="P471" s="2213">
        <f t="shared" si="39"/>
        <v>30503.43048559712</v>
      </c>
    </row>
    <row r="472" spans="1:16" ht="14.5">
      <c r="A472" s="2042" t="s">
        <v>3182</v>
      </c>
      <c r="B472" s="380" t="str">
        <f t="shared" si="36"/>
        <v>194-905</v>
      </c>
      <c r="C472" s="2042" t="s">
        <v>2521</v>
      </c>
      <c r="D472" s="2043">
        <v>536</v>
      </c>
      <c r="E472" s="2043">
        <v>516</v>
      </c>
      <c r="F472" s="2043">
        <f t="shared" si="37"/>
        <v>0</v>
      </c>
      <c r="G472" s="2043">
        <f t="shared" si="38"/>
        <v>0</v>
      </c>
      <c r="H472" s="2208">
        <v>0</v>
      </c>
      <c r="I472" s="2209">
        <v>0</v>
      </c>
      <c r="J472" s="2210">
        <v>0</v>
      </c>
      <c r="K472" s="2208">
        <v>0</v>
      </c>
      <c r="L472" s="2208">
        <v>0</v>
      </c>
      <c r="M472" s="2211">
        <v>0</v>
      </c>
      <c r="N472" s="2212">
        <v>0</v>
      </c>
      <c r="O472" s="1118">
        <f t="shared" si="35"/>
        <v>0</v>
      </c>
      <c r="P472" s="2213">
        <f t="shared" si="39"/>
        <v>0</v>
      </c>
    </row>
    <row r="473" spans="1:16" ht="14.5">
      <c r="A473" s="2042" t="s">
        <v>2908</v>
      </c>
      <c r="B473" s="380" t="str">
        <f t="shared" si="36"/>
        <v>026-903</v>
      </c>
      <c r="C473" s="2042" t="s">
        <v>1506</v>
      </c>
      <c r="D473" s="2043">
        <v>509</v>
      </c>
      <c r="E473" s="2043">
        <v>489</v>
      </c>
      <c r="F473" s="2043">
        <f t="shared" si="37"/>
        <v>0</v>
      </c>
      <c r="G473" s="2043">
        <f t="shared" si="38"/>
        <v>0</v>
      </c>
      <c r="H473" s="2208">
        <v>0</v>
      </c>
      <c r="I473" s="2209">
        <v>0</v>
      </c>
      <c r="J473" s="2210">
        <v>0</v>
      </c>
      <c r="K473" s="2208">
        <v>0</v>
      </c>
      <c r="L473" s="2208">
        <v>0</v>
      </c>
      <c r="M473" s="2211">
        <v>0</v>
      </c>
      <c r="N473" s="2212">
        <v>109415</v>
      </c>
      <c r="O473" s="1118">
        <f t="shared" ref="O473:O536" si="40">IF(N473&gt;M473,N473-M473,0)</f>
        <v>109415</v>
      </c>
      <c r="P473" s="2213">
        <f t="shared" si="39"/>
        <v>29459.82334502837</v>
      </c>
    </row>
    <row r="474" spans="1:16" ht="14.5">
      <c r="A474" s="2042" t="s">
        <v>5878</v>
      </c>
      <c r="B474" s="380" t="str">
        <f t="shared" si="36"/>
        <v>209-901</v>
      </c>
      <c r="C474" s="2042" t="s">
        <v>343</v>
      </c>
      <c r="D474" s="2043">
        <v>523</v>
      </c>
      <c r="E474" s="2043">
        <v>503</v>
      </c>
      <c r="F474" s="2043">
        <f t="shared" si="37"/>
        <v>0</v>
      </c>
      <c r="G474" s="2043">
        <f t="shared" si="38"/>
        <v>0</v>
      </c>
      <c r="H474" s="2208">
        <v>0</v>
      </c>
      <c r="I474" s="2209">
        <v>0</v>
      </c>
      <c r="J474" s="2210">
        <v>0</v>
      </c>
      <c r="K474" s="2208">
        <v>0</v>
      </c>
      <c r="L474" s="2208">
        <v>0</v>
      </c>
      <c r="M474" s="2211">
        <v>0</v>
      </c>
      <c r="N474" s="2212">
        <v>0</v>
      </c>
      <c r="O474" s="1118">
        <f t="shared" si="40"/>
        <v>0</v>
      </c>
      <c r="P474" s="2213">
        <f t="shared" si="39"/>
        <v>0</v>
      </c>
    </row>
    <row r="475" spans="1:16" ht="14.5">
      <c r="A475" s="2042" t="s">
        <v>5896</v>
      </c>
      <c r="B475" s="380" t="str">
        <f t="shared" si="36"/>
        <v>242-902</v>
      </c>
      <c r="C475" s="2042" t="s">
        <v>1154</v>
      </c>
      <c r="D475" s="2043">
        <v>427</v>
      </c>
      <c r="E475" s="2043">
        <v>407</v>
      </c>
      <c r="F475" s="2043">
        <f t="shared" si="37"/>
        <v>0</v>
      </c>
      <c r="G475" s="2043">
        <f t="shared" si="38"/>
        <v>0</v>
      </c>
      <c r="H475" s="2208">
        <v>0</v>
      </c>
      <c r="I475" s="2209">
        <v>0</v>
      </c>
      <c r="J475" s="2210">
        <v>0</v>
      </c>
      <c r="K475" s="2208">
        <v>0</v>
      </c>
      <c r="L475" s="2208">
        <v>0</v>
      </c>
      <c r="M475" s="2211">
        <v>0</v>
      </c>
      <c r="N475" s="2212">
        <v>0</v>
      </c>
      <c r="O475" s="1118">
        <f t="shared" si="40"/>
        <v>0</v>
      </c>
      <c r="P475" s="2213">
        <f t="shared" si="39"/>
        <v>0</v>
      </c>
    </row>
    <row r="476" spans="1:16" ht="14.5">
      <c r="A476" s="2042" t="s">
        <v>3071</v>
      </c>
      <c r="B476" s="380" t="str">
        <f t="shared" si="36"/>
        <v>116-916</v>
      </c>
      <c r="C476" s="2042" t="s">
        <v>1271</v>
      </c>
      <c r="D476" s="2043">
        <v>516</v>
      </c>
      <c r="E476" s="2043">
        <v>497</v>
      </c>
      <c r="F476" s="2043">
        <f t="shared" si="37"/>
        <v>0</v>
      </c>
      <c r="G476" s="2043">
        <f t="shared" si="38"/>
        <v>0</v>
      </c>
      <c r="H476" s="2208">
        <v>0</v>
      </c>
      <c r="I476" s="2209">
        <v>0</v>
      </c>
      <c r="J476" s="2210">
        <v>0</v>
      </c>
      <c r="K476" s="2208">
        <v>0</v>
      </c>
      <c r="L476" s="2208">
        <v>0</v>
      </c>
      <c r="M476" s="2211">
        <v>0</v>
      </c>
      <c r="N476" s="2212">
        <v>119925</v>
      </c>
      <c r="O476" s="1118">
        <f t="shared" si="40"/>
        <v>119925</v>
      </c>
      <c r="P476" s="2213">
        <f t="shared" si="39"/>
        <v>32289.624956838888</v>
      </c>
    </row>
    <row r="477" spans="1:16" ht="14.5">
      <c r="A477" s="2042" t="s">
        <v>3056</v>
      </c>
      <c r="B477" s="380" t="str">
        <f t="shared" si="36"/>
        <v>110-906</v>
      </c>
      <c r="C477" s="2042" t="s">
        <v>1822</v>
      </c>
      <c r="D477" s="2043">
        <v>431</v>
      </c>
      <c r="E477" s="2043">
        <v>412</v>
      </c>
      <c r="F477" s="2043">
        <f t="shared" si="37"/>
        <v>0</v>
      </c>
      <c r="G477" s="2043">
        <f t="shared" si="38"/>
        <v>0</v>
      </c>
      <c r="H477" s="2208">
        <v>0</v>
      </c>
      <c r="I477" s="2209">
        <v>0</v>
      </c>
      <c r="J477" s="2210">
        <v>0</v>
      </c>
      <c r="K477" s="2208">
        <v>0</v>
      </c>
      <c r="L477" s="2208">
        <v>0</v>
      </c>
      <c r="M477" s="2211">
        <v>0</v>
      </c>
      <c r="N477" s="2212">
        <v>0</v>
      </c>
      <c r="O477" s="1118">
        <f t="shared" si="40"/>
        <v>0</v>
      </c>
      <c r="P477" s="2213">
        <f t="shared" si="39"/>
        <v>0</v>
      </c>
    </row>
    <row r="478" spans="1:16" ht="14.5">
      <c r="A478" s="2042" t="s">
        <v>5301</v>
      </c>
      <c r="B478" s="380" t="str">
        <f t="shared" si="36"/>
        <v>241-906</v>
      </c>
      <c r="C478" s="2042" t="s">
        <v>1153</v>
      </c>
      <c r="D478" s="2043">
        <v>512</v>
      </c>
      <c r="E478" s="2043">
        <v>493</v>
      </c>
      <c r="F478" s="2043">
        <f t="shared" si="37"/>
        <v>0</v>
      </c>
      <c r="G478" s="2043">
        <f t="shared" si="38"/>
        <v>0</v>
      </c>
      <c r="H478" s="2208">
        <v>0</v>
      </c>
      <c r="I478" s="2209">
        <v>0</v>
      </c>
      <c r="J478" s="2210">
        <v>0</v>
      </c>
      <c r="K478" s="2208">
        <v>0</v>
      </c>
      <c r="L478" s="2208">
        <v>0</v>
      </c>
      <c r="M478" s="2211">
        <v>0</v>
      </c>
      <c r="N478" s="2212">
        <v>117122</v>
      </c>
      <c r="O478" s="1118">
        <f t="shared" si="40"/>
        <v>117122</v>
      </c>
      <c r="P478" s="2213">
        <f t="shared" si="39"/>
        <v>31534.921444193325</v>
      </c>
    </row>
    <row r="479" spans="1:16" ht="14.5">
      <c r="A479" s="2042" t="s">
        <v>5756</v>
      </c>
      <c r="B479" s="380" t="str">
        <f t="shared" si="36"/>
        <v>019-914</v>
      </c>
      <c r="C479" s="2042" t="s">
        <v>2349</v>
      </c>
      <c r="D479" s="2043">
        <v>122</v>
      </c>
      <c r="E479" s="2043">
        <v>103</v>
      </c>
      <c r="F479" s="2043">
        <f t="shared" si="37"/>
        <v>0</v>
      </c>
      <c r="G479" s="2043">
        <f t="shared" si="38"/>
        <v>0</v>
      </c>
      <c r="H479" s="2208">
        <v>0</v>
      </c>
      <c r="I479" s="2209">
        <v>0</v>
      </c>
      <c r="J479" s="2210">
        <v>0</v>
      </c>
      <c r="K479" s="2208">
        <v>0</v>
      </c>
      <c r="L479" s="2208">
        <v>0</v>
      </c>
      <c r="M479" s="2211">
        <v>0</v>
      </c>
      <c r="N479" s="2212">
        <v>26091</v>
      </c>
      <c r="O479" s="1118">
        <f t="shared" si="40"/>
        <v>26091</v>
      </c>
      <c r="P479" s="2213">
        <f t="shared" si="39"/>
        <v>7024.9623076829976</v>
      </c>
    </row>
    <row r="480" spans="1:16" ht="14.5">
      <c r="A480" s="2042" t="s">
        <v>5140</v>
      </c>
      <c r="B480" s="380" t="str">
        <f t="shared" si="36"/>
        <v>143-906</v>
      </c>
      <c r="C480" s="2042" t="s">
        <v>901</v>
      </c>
      <c r="D480" s="2043">
        <v>96</v>
      </c>
      <c r="E480" s="2043">
        <v>77</v>
      </c>
      <c r="F480" s="2043">
        <f t="shared" si="37"/>
        <v>0</v>
      </c>
      <c r="G480" s="2043">
        <f t="shared" si="38"/>
        <v>0</v>
      </c>
      <c r="H480" s="2208">
        <v>0</v>
      </c>
      <c r="I480" s="2209">
        <v>0</v>
      </c>
      <c r="J480" s="2210">
        <v>0</v>
      </c>
      <c r="K480" s="2208">
        <v>0</v>
      </c>
      <c r="L480" s="2208">
        <v>0</v>
      </c>
      <c r="M480" s="2211">
        <v>0</v>
      </c>
      <c r="N480" s="2212">
        <v>0</v>
      </c>
      <c r="O480" s="1118">
        <f t="shared" si="40"/>
        <v>0</v>
      </c>
      <c r="P480" s="2213">
        <f t="shared" si="39"/>
        <v>0</v>
      </c>
    </row>
    <row r="481" spans="1:16" ht="14.5">
      <c r="A481" s="2042" t="s">
        <v>5037</v>
      </c>
      <c r="B481" s="380" t="str">
        <f t="shared" si="36"/>
        <v>087-901</v>
      </c>
      <c r="C481" s="2042" t="s">
        <v>1689</v>
      </c>
      <c r="D481" s="2043">
        <v>312</v>
      </c>
      <c r="E481" s="2043">
        <v>293</v>
      </c>
      <c r="F481" s="2043">
        <f t="shared" si="37"/>
        <v>0</v>
      </c>
      <c r="G481" s="2043">
        <f t="shared" si="38"/>
        <v>0</v>
      </c>
      <c r="H481" s="2208">
        <v>0</v>
      </c>
      <c r="I481" s="2209">
        <v>0</v>
      </c>
      <c r="J481" s="2210">
        <v>0</v>
      </c>
      <c r="K481" s="2208">
        <v>0</v>
      </c>
      <c r="L481" s="2208">
        <v>0</v>
      </c>
      <c r="M481" s="2211">
        <v>0</v>
      </c>
      <c r="N481" s="2212">
        <v>0</v>
      </c>
      <c r="O481" s="1118">
        <f t="shared" si="40"/>
        <v>0</v>
      </c>
      <c r="P481" s="2213">
        <f t="shared" si="39"/>
        <v>0</v>
      </c>
    </row>
    <row r="482" spans="1:16" ht="14.5">
      <c r="A482" s="2042" t="s">
        <v>5871</v>
      </c>
      <c r="B482" s="380" t="str">
        <f t="shared" si="36"/>
        <v>201-903</v>
      </c>
      <c r="C482" s="2042" t="s">
        <v>1435</v>
      </c>
      <c r="D482" s="2043">
        <v>182</v>
      </c>
      <c r="E482" s="2043">
        <v>163</v>
      </c>
      <c r="F482" s="2043">
        <f t="shared" si="37"/>
        <v>0</v>
      </c>
      <c r="G482" s="2043">
        <f t="shared" si="38"/>
        <v>0</v>
      </c>
      <c r="H482" s="2208">
        <v>0</v>
      </c>
      <c r="I482" s="2209">
        <v>0</v>
      </c>
      <c r="J482" s="2210">
        <v>0</v>
      </c>
      <c r="K482" s="2208">
        <v>0</v>
      </c>
      <c r="L482" s="2208">
        <v>0</v>
      </c>
      <c r="M482" s="2211">
        <v>0</v>
      </c>
      <c r="N482" s="2212">
        <v>0</v>
      </c>
      <c r="O482" s="1118">
        <f t="shared" si="40"/>
        <v>0</v>
      </c>
      <c r="P482" s="2213">
        <f t="shared" si="39"/>
        <v>0</v>
      </c>
    </row>
    <row r="483" spans="1:16" ht="14.5">
      <c r="A483" s="2042" t="s">
        <v>3089</v>
      </c>
      <c r="B483" s="380" t="str">
        <f t="shared" si="36"/>
        <v>127-905</v>
      </c>
      <c r="C483" s="2042" t="s">
        <v>135</v>
      </c>
      <c r="D483" s="2043">
        <v>126</v>
      </c>
      <c r="E483" s="2043">
        <v>107</v>
      </c>
      <c r="F483" s="2043">
        <f t="shared" si="37"/>
        <v>0</v>
      </c>
      <c r="G483" s="2043">
        <f t="shared" si="38"/>
        <v>0</v>
      </c>
      <c r="H483" s="2208">
        <v>0</v>
      </c>
      <c r="I483" s="2209">
        <v>0</v>
      </c>
      <c r="J483" s="2210">
        <v>0</v>
      </c>
      <c r="K483" s="2208">
        <v>0</v>
      </c>
      <c r="L483" s="2208">
        <v>0</v>
      </c>
      <c r="M483" s="2211">
        <v>0</v>
      </c>
      <c r="N483" s="2212">
        <v>0</v>
      </c>
      <c r="O483" s="1118">
        <f t="shared" si="40"/>
        <v>0</v>
      </c>
      <c r="P483" s="2213">
        <f t="shared" si="39"/>
        <v>0</v>
      </c>
    </row>
    <row r="484" spans="1:16" ht="14.5">
      <c r="A484" s="2042" t="s">
        <v>2944</v>
      </c>
      <c r="B484" s="380" t="str">
        <f t="shared" si="36"/>
        <v>047-901</v>
      </c>
      <c r="C484" s="2042" t="s">
        <v>2085</v>
      </c>
      <c r="D484" s="2043">
        <v>1337</v>
      </c>
      <c r="E484" s="2043">
        <v>1318</v>
      </c>
      <c r="F484" s="2043">
        <f t="shared" si="37"/>
        <v>0</v>
      </c>
      <c r="G484" s="2043">
        <f t="shared" si="38"/>
        <v>0</v>
      </c>
      <c r="H484" s="2208">
        <v>0</v>
      </c>
      <c r="I484" s="2209">
        <v>0</v>
      </c>
      <c r="J484" s="2210">
        <v>0</v>
      </c>
      <c r="K484" s="2208">
        <v>0</v>
      </c>
      <c r="L484" s="2208">
        <v>0</v>
      </c>
      <c r="M484" s="2211">
        <v>0</v>
      </c>
      <c r="N484" s="2212">
        <v>0</v>
      </c>
      <c r="O484" s="1118">
        <f t="shared" si="40"/>
        <v>0</v>
      </c>
      <c r="P484" s="2213">
        <f t="shared" si="39"/>
        <v>0</v>
      </c>
    </row>
    <row r="485" spans="1:16" ht="14.5">
      <c r="A485" s="2042" t="s">
        <v>5320</v>
      </c>
      <c r="B485" s="380" t="str">
        <f t="shared" si="36"/>
        <v>252-902</v>
      </c>
      <c r="C485" s="2042" t="s">
        <v>1299</v>
      </c>
      <c r="D485" s="2043">
        <v>229</v>
      </c>
      <c r="E485" s="2043">
        <v>210</v>
      </c>
      <c r="F485" s="2043">
        <f t="shared" si="37"/>
        <v>0</v>
      </c>
      <c r="G485" s="2043">
        <f t="shared" si="38"/>
        <v>0</v>
      </c>
      <c r="H485" s="2208">
        <v>0</v>
      </c>
      <c r="I485" s="2209">
        <v>0</v>
      </c>
      <c r="J485" s="2210">
        <v>0</v>
      </c>
      <c r="K485" s="2208">
        <v>0</v>
      </c>
      <c r="L485" s="2208">
        <v>0</v>
      </c>
      <c r="M485" s="2211">
        <v>0</v>
      </c>
      <c r="N485" s="2212">
        <v>0</v>
      </c>
      <c r="O485" s="1118">
        <f t="shared" si="40"/>
        <v>0</v>
      </c>
      <c r="P485" s="2213">
        <f t="shared" si="39"/>
        <v>0</v>
      </c>
    </row>
    <row r="486" spans="1:16" ht="14.5">
      <c r="A486" s="2042" t="s">
        <v>5832</v>
      </c>
      <c r="B486" s="380" t="str">
        <f t="shared" si="36"/>
        <v>137-902</v>
      </c>
      <c r="C486" s="2042" t="s">
        <v>1937</v>
      </c>
      <c r="D486" s="2043">
        <v>672</v>
      </c>
      <c r="E486" s="2043">
        <v>654</v>
      </c>
      <c r="F486" s="2043">
        <f t="shared" si="37"/>
        <v>0</v>
      </c>
      <c r="G486" s="2043">
        <f t="shared" si="38"/>
        <v>0</v>
      </c>
      <c r="H486" s="2208">
        <v>0</v>
      </c>
      <c r="I486" s="2209">
        <v>0</v>
      </c>
      <c r="J486" s="2210">
        <v>0</v>
      </c>
      <c r="K486" s="2208">
        <v>0</v>
      </c>
      <c r="L486" s="2208">
        <v>0</v>
      </c>
      <c r="M486" s="2211">
        <v>0</v>
      </c>
      <c r="N486" s="2212">
        <v>0</v>
      </c>
      <c r="O486" s="1118">
        <f t="shared" si="40"/>
        <v>0</v>
      </c>
      <c r="P486" s="2213">
        <f t="shared" si="39"/>
        <v>0</v>
      </c>
    </row>
    <row r="487" spans="1:16" ht="14.5">
      <c r="A487" s="2042" t="s">
        <v>5238</v>
      </c>
      <c r="B487" s="380" t="str">
        <f t="shared" si="36"/>
        <v>197-902</v>
      </c>
      <c r="C487" s="2042" t="s">
        <v>1535</v>
      </c>
      <c r="D487" s="2043">
        <v>213</v>
      </c>
      <c r="E487" s="2043">
        <v>195</v>
      </c>
      <c r="F487" s="2043">
        <f t="shared" si="37"/>
        <v>0</v>
      </c>
      <c r="G487" s="2043">
        <f t="shared" si="38"/>
        <v>0</v>
      </c>
      <c r="H487" s="2208">
        <v>0</v>
      </c>
      <c r="I487" s="2209">
        <v>0</v>
      </c>
      <c r="J487" s="2210">
        <v>0</v>
      </c>
      <c r="K487" s="2208">
        <v>0</v>
      </c>
      <c r="L487" s="2208">
        <v>0</v>
      </c>
      <c r="M487" s="2211">
        <v>0</v>
      </c>
      <c r="N487" s="2212">
        <v>43140</v>
      </c>
      <c r="O487" s="1118">
        <f t="shared" si="40"/>
        <v>43140</v>
      </c>
      <c r="P487" s="2213">
        <f t="shared" si="39"/>
        <v>11615.379784348799</v>
      </c>
    </row>
    <row r="488" spans="1:16" ht="14.5">
      <c r="A488" s="2042" t="s">
        <v>3522</v>
      </c>
      <c r="B488" s="380" t="str">
        <f t="shared" si="36"/>
        <v>018-905</v>
      </c>
      <c r="C488" s="2042" t="s">
        <v>1911</v>
      </c>
      <c r="D488" s="2043">
        <v>188</v>
      </c>
      <c r="E488" s="2043">
        <v>170</v>
      </c>
      <c r="F488" s="2043">
        <f t="shared" si="37"/>
        <v>0</v>
      </c>
      <c r="G488" s="2043">
        <f t="shared" si="38"/>
        <v>0</v>
      </c>
      <c r="H488" s="2208">
        <v>0</v>
      </c>
      <c r="I488" s="2209">
        <v>0</v>
      </c>
      <c r="J488" s="2210">
        <v>0</v>
      </c>
      <c r="K488" s="2208">
        <v>0</v>
      </c>
      <c r="L488" s="2208">
        <v>0</v>
      </c>
      <c r="M488" s="2211">
        <v>0</v>
      </c>
      <c r="N488" s="2212">
        <v>0</v>
      </c>
      <c r="O488" s="1118">
        <f t="shared" si="40"/>
        <v>0</v>
      </c>
      <c r="P488" s="2213">
        <f t="shared" si="39"/>
        <v>0</v>
      </c>
    </row>
    <row r="489" spans="1:16" ht="14.5">
      <c r="A489" s="2042" t="s">
        <v>3657</v>
      </c>
      <c r="B489" s="380" t="str">
        <f t="shared" si="36"/>
        <v>037-908</v>
      </c>
      <c r="C489" s="2042" t="s">
        <v>1073</v>
      </c>
      <c r="D489" s="2043">
        <v>547</v>
      </c>
      <c r="E489" s="2043">
        <v>529</v>
      </c>
      <c r="F489" s="2043">
        <f t="shared" si="37"/>
        <v>0</v>
      </c>
      <c r="G489" s="2043">
        <f t="shared" si="38"/>
        <v>0</v>
      </c>
      <c r="H489" s="2208">
        <v>0</v>
      </c>
      <c r="I489" s="2209">
        <v>0</v>
      </c>
      <c r="J489" s="2210">
        <v>0</v>
      </c>
      <c r="K489" s="2208">
        <v>0</v>
      </c>
      <c r="L489" s="2208">
        <v>0</v>
      </c>
      <c r="M489" s="2211">
        <v>0</v>
      </c>
      <c r="N489" s="2212">
        <v>0</v>
      </c>
      <c r="O489" s="1118">
        <f t="shared" si="40"/>
        <v>0</v>
      </c>
      <c r="P489" s="2213">
        <f t="shared" si="39"/>
        <v>0</v>
      </c>
    </row>
    <row r="490" spans="1:16" ht="14.5">
      <c r="A490" s="2042" t="s">
        <v>5182</v>
      </c>
      <c r="B490" s="380" t="str">
        <f t="shared" si="36"/>
        <v>169-910</v>
      </c>
      <c r="C490" s="2042" t="s">
        <v>2124</v>
      </c>
      <c r="D490" s="2043">
        <v>181</v>
      </c>
      <c r="E490" s="2043">
        <v>163</v>
      </c>
      <c r="F490" s="2043">
        <f t="shared" si="37"/>
        <v>0</v>
      </c>
      <c r="G490" s="2043">
        <f t="shared" si="38"/>
        <v>0</v>
      </c>
      <c r="H490" s="2208">
        <v>0</v>
      </c>
      <c r="I490" s="2209">
        <v>0</v>
      </c>
      <c r="J490" s="2210">
        <v>0</v>
      </c>
      <c r="K490" s="2208">
        <v>0</v>
      </c>
      <c r="L490" s="2208">
        <v>0</v>
      </c>
      <c r="M490" s="2211">
        <v>0</v>
      </c>
      <c r="N490" s="2212">
        <v>35946</v>
      </c>
      <c r="O490" s="1118">
        <f t="shared" si="40"/>
        <v>35946</v>
      </c>
      <c r="P490" s="2213">
        <f t="shared" si="39"/>
        <v>9678.4061596708834</v>
      </c>
    </row>
    <row r="491" spans="1:16" ht="14.5">
      <c r="A491" s="2042" t="s">
        <v>5801</v>
      </c>
      <c r="B491" s="380" t="str">
        <f t="shared" si="36"/>
        <v>077-902</v>
      </c>
      <c r="C491" s="2042" t="s">
        <v>802</v>
      </c>
      <c r="D491" s="2043">
        <v>474</v>
      </c>
      <c r="E491" s="2043">
        <v>456</v>
      </c>
      <c r="F491" s="2043">
        <f t="shared" si="37"/>
        <v>0</v>
      </c>
      <c r="G491" s="2043">
        <f t="shared" si="38"/>
        <v>0</v>
      </c>
      <c r="H491" s="2208">
        <v>0</v>
      </c>
      <c r="I491" s="2209">
        <v>0</v>
      </c>
      <c r="J491" s="2210">
        <v>0</v>
      </c>
      <c r="K491" s="2208">
        <v>0</v>
      </c>
      <c r="L491" s="2208">
        <v>0</v>
      </c>
      <c r="M491" s="2211">
        <v>0</v>
      </c>
      <c r="N491" s="2212">
        <v>0</v>
      </c>
      <c r="O491" s="1118">
        <f t="shared" si="40"/>
        <v>0</v>
      </c>
      <c r="P491" s="2213">
        <f t="shared" si="39"/>
        <v>0</v>
      </c>
    </row>
    <row r="492" spans="1:16" ht="14.5">
      <c r="A492" s="2042" t="s">
        <v>3141</v>
      </c>
      <c r="B492" s="380" t="str">
        <f t="shared" si="36"/>
        <v>166-907</v>
      </c>
      <c r="C492" s="2042" t="s">
        <v>2492</v>
      </c>
      <c r="D492" s="2043">
        <v>159</v>
      </c>
      <c r="E492" s="2043">
        <v>141</v>
      </c>
      <c r="F492" s="2043">
        <f t="shared" si="37"/>
        <v>0</v>
      </c>
      <c r="G492" s="2043">
        <f t="shared" si="38"/>
        <v>0</v>
      </c>
      <c r="H492" s="2208">
        <v>0</v>
      </c>
      <c r="I492" s="2209">
        <v>0</v>
      </c>
      <c r="J492" s="2210">
        <v>0</v>
      </c>
      <c r="K492" s="2208">
        <v>0</v>
      </c>
      <c r="L492" s="2208">
        <v>0</v>
      </c>
      <c r="M492" s="2211">
        <v>0</v>
      </c>
      <c r="N492" s="2212">
        <v>0</v>
      </c>
      <c r="O492" s="1118">
        <f t="shared" si="40"/>
        <v>0</v>
      </c>
      <c r="P492" s="2213">
        <f t="shared" si="39"/>
        <v>0</v>
      </c>
    </row>
    <row r="493" spans="1:16" ht="14.5">
      <c r="A493" s="2042" t="s">
        <v>4928</v>
      </c>
      <c r="B493" s="380" t="str">
        <f t="shared" si="36"/>
        <v>008-901</v>
      </c>
      <c r="C493" s="2042" t="s">
        <v>1130</v>
      </c>
      <c r="D493" s="2043">
        <v>2213</v>
      </c>
      <c r="E493" s="2043">
        <v>2196</v>
      </c>
      <c r="F493" s="2043">
        <f t="shared" si="37"/>
        <v>0</v>
      </c>
      <c r="G493" s="2043">
        <f t="shared" si="38"/>
        <v>0</v>
      </c>
      <c r="H493" s="2208">
        <v>0</v>
      </c>
      <c r="I493" s="2209">
        <v>0</v>
      </c>
      <c r="J493" s="2210">
        <v>0</v>
      </c>
      <c r="K493" s="2208">
        <v>0</v>
      </c>
      <c r="L493" s="2208">
        <v>0</v>
      </c>
      <c r="M493" s="2211">
        <v>0</v>
      </c>
      <c r="N493" s="2212">
        <v>0</v>
      </c>
      <c r="O493" s="1118">
        <f t="shared" si="40"/>
        <v>0</v>
      </c>
      <c r="P493" s="2213">
        <f t="shared" si="39"/>
        <v>0</v>
      </c>
    </row>
    <row r="494" spans="1:16" ht="14.5">
      <c r="A494" s="2042" t="s">
        <v>3049</v>
      </c>
      <c r="B494" s="380" t="str">
        <f t="shared" si="36"/>
        <v>109-902</v>
      </c>
      <c r="C494" s="2042" t="s">
        <v>851</v>
      </c>
      <c r="D494" s="2043">
        <v>212</v>
      </c>
      <c r="E494" s="2043">
        <v>195</v>
      </c>
      <c r="F494" s="2043">
        <f t="shared" si="37"/>
        <v>0</v>
      </c>
      <c r="G494" s="2043">
        <f t="shared" si="38"/>
        <v>0</v>
      </c>
      <c r="H494" s="2208">
        <v>0</v>
      </c>
      <c r="I494" s="2209">
        <v>0</v>
      </c>
      <c r="J494" s="2210">
        <v>0</v>
      </c>
      <c r="K494" s="2208">
        <v>0</v>
      </c>
      <c r="L494" s="2208">
        <v>0</v>
      </c>
      <c r="M494" s="2211">
        <v>0</v>
      </c>
      <c r="N494" s="2212">
        <v>47381</v>
      </c>
      <c r="O494" s="1118">
        <f t="shared" si="40"/>
        <v>47381</v>
      </c>
      <c r="P494" s="2213">
        <f t="shared" si="39"/>
        <v>12757.262623139324</v>
      </c>
    </row>
    <row r="495" spans="1:16" ht="14.5">
      <c r="A495" s="2042" t="s">
        <v>5315</v>
      </c>
      <c r="B495" s="380" t="str">
        <f t="shared" si="36"/>
        <v>250-904</v>
      </c>
      <c r="C495" s="2042" t="s">
        <v>22</v>
      </c>
      <c r="D495" s="2043">
        <v>1147</v>
      </c>
      <c r="E495" s="2043">
        <v>1130</v>
      </c>
      <c r="F495" s="2043">
        <f t="shared" si="37"/>
        <v>0</v>
      </c>
      <c r="G495" s="2043">
        <f t="shared" si="38"/>
        <v>0</v>
      </c>
      <c r="H495" s="2208">
        <v>0</v>
      </c>
      <c r="I495" s="2209">
        <v>0</v>
      </c>
      <c r="J495" s="2210">
        <v>0</v>
      </c>
      <c r="K495" s="2208">
        <v>0</v>
      </c>
      <c r="L495" s="2208">
        <v>0</v>
      </c>
      <c r="M495" s="2211">
        <v>0</v>
      </c>
      <c r="N495" s="2212">
        <v>0</v>
      </c>
      <c r="O495" s="1118">
        <f t="shared" si="40"/>
        <v>0</v>
      </c>
      <c r="P495" s="2213">
        <f t="shared" si="39"/>
        <v>0</v>
      </c>
    </row>
    <row r="496" spans="1:16" ht="14.5">
      <c r="A496" s="2042" t="s">
        <v>5900</v>
      </c>
      <c r="B496" s="380" t="str">
        <f t="shared" si="36"/>
        <v>250-903</v>
      </c>
      <c r="C496" s="2042" t="s">
        <v>1529</v>
      </c>
      <c r="D496" s="2043">
        <v>1607</v>
      </c>
      <c r="E496" s="2043">
        <v>1591</v>
      </c>
      <c r="F496" s="2043">
        <f t="shared" si="37"/>
        <v>0</v>
      </c>
      <c r="G496" s="2043">
        <f t="shared" si="38"/>
        <v>0</v>
      </c>
      <c r="H496" s="2208">
        <v>0</v>
      </c>
      <c r="I496" s="2209">
        <v>0</v>
      </c>
      <c r="J496" s="2210">
        <v>0</v>
      </c>
      <c r="K496" s="2208">
        <v>0</v>
      </c>
      <c r="L496" s="2208">
        <v>0</v>
      </c>
      <c r="M496" s="2211">
        <v>0</v>
      </c>
      <c r="N496" s="2212">
        <v>0</v>
      </c>
      <c r="O496" s="1118">
        <f t="shared" si="40"/>
        <v>0</v>
      </c>
      <c r="P496" s="2213">
        <f t="shared" si="39"/>
        <v>0</v>
      </c>
    </row>
    <row r="497" spans="1:16" ht="14.5">
      <c r="A497" s="2042" t="s">
        <v>4977</v>
      </c>
      <c r="B497" s="380" t="str">
        <f t="shared" si="36"/>
        <v>048-903</v>
      </c>
      <c r="C497" s="2042" t="s">
        <v>2088</v>
      </c>
      <c r="D497" s="2043">
        <v>253</v>
      </c>
      <c r="E497" s="2043">
        <v>237</v>
      </c>
      <c r="F497" s="2043">
        <f t="shared" si="37"/>
        <v>0</v>
      </c>
      <c r="G497" s="2043">
        <f t="shared" si="38"/>
        <v>0</v>
      </c>
      <c r="H497" s="2208">
        <v>0</v>
      </c>
      <c r="I497" s="2209">
        <v>0</v>
      </c>
      <c r="J497" s="2210">
        <v>0</v>
      </c>
      <c r="K497" s="2208">
        <v>0</v>
      </c>
      <c r="L497" s="2208">
        <v>0</v>
      </c>
      <c r="M497" s="2211">
        <v>0</v>
      </c>
      <c r="N497" s="2212">
        <v>51284</v>
      </c>
      <c r="O497" s="1118">
        <f t="shared" si="40"/>
        <v>51284</v>
      </c>
      <c r="P497" s="2213">
        <f t="shared" si="39"/>
        <v>13808.139472891604</v>
      </c>
    </row>
    <row r="498" spans="1:16" ht="14.5">
      <c r="A498" s="2042" t="s">
        <v>2897</v>
      </c>
      <c r="B498" s="380" t="str">
        <f t="shared" si="36"/>
        <v>020-904</v>
      </c>
      <c r="C498" s="2042" t="s">
        <v>2515</v>
      </c>
      <c r="D498" s="2043">
        <v>774</v>
      </c>
      <c r="E498" s="2043">
        <v>759</v>
      </c>
      <c r="F498" s="2043">
        <f t="shared" si="37"/>
        <v>0</v>
      </c>
      <c r="G498" s="2043">
        <f t="shared" si="38"/>
        <v>0</v>
      </c>
      <c r="H498" s="2208">
        <v>0</v>
      </c>
      <c r="I498" s="2209">
        <v>0</v>
      </c>
      <c r="J498" s="2210">
        <v>0</v>
      </c>
      <c r="K498" s="2208">
        <v>0</v>
      </c>
      <c r="L498" s="2208">
        <v>0</v>
      </c>
      <c r="M498" s="2211">
        <v>0</v>
      </c>
      <c r="N498" s="2212">
        <v>0</v>
      </c>
      <c r="O498" s="1118">
        <f t="shared" si="40"/>
        <v>0</v>
      </c>
      <c r="P498" s="2213">
        <f t="shared" si="39"/>
        <v>0</v>
      </c>
    </row>
    <row r="499" spans="1:16" ht="14.5">
      <c r="A499" s="2042" t="s">
        <v>5751</v>
      </c>
      <c r="B499" s="380" t="str">
        <f t="shared" si="36"/>
        <v>010-901</v>
      </c>
      <c r="C499" s="2042" t="s">
        <v>1134</v>
      </c>
      <c r="D499" s="2043">
        <v>289</v>
      </c>
      <c r="E499" s="2043">
        <v>274</v>
      </c>
      <c r="F499" s="2043">
        <f t="shared" si="37"/>
        <v>0</v>
      </c>
      <c r="G499" s="2043">
        <f t="shared" si="38"/>
        <v>0</v>
      </c>
      <c r="H499" s="2208">
        <v>0</v>
      </c>
      <c r="I499" s="2209">
        <v>0</v>
      </c>
      <c r="J499" s="2210">
        <v>0</v>
      </c>
      <c r="K499" s="2208">
        <v>0</v>
      </c>
      <c r="L499" s="2208">
        <v>0</v>
      </c>
      <c r="M499" s="2211">
        <v>0</v>
      </c>
      <c r="N499" s="2212">
        <v>0</v>
      </c>
      <c r="O499" s="1118">
        <f t="shared" si="40"/>
        <v>0</v>
      </c>
      <c r="P499" s="2213">
        <f t="shared" si="39"/>
        <v>0</v>
      </c>
    </row>
    <row r="500" spans="1:16" ht="14.5">
      <c r="A500" s="2042" t="s">
        <v>4999</v>
      </c>
      <c r="B500" s="380" t="str">
        <f t="shared" si="36"/>
        <v>062-902</v>
      </c>
      <c r="C500" s="2042" t="s">
        <v>2476</v>
      </c>
      <c r="D500" s="2043">
        <v>159</v>
      </c>
      <c r="E500" s="2043">
        <v>144</v>
      </c>
      <c r="F500" s="2043">
        <f t="shared" si="37"/>
        <v>0</v>
      </c>
      <c r="G500" s="2043">
        <f t="shared" si="38"/>
        <v>0</v>
      </c>
      <c r="H500" s="2208">
        <v>0</v>
      </c>
      <c r="I500" s="2209">
        <v>0</v>
      </c>
      <c r="J500" s="2210">
        <v>0</v>
      </c>
      <c r="K500" s="2208">
        <v>0</v>
      </c>
      <c r="L500" s="2208">
        <v>0</v>
      </c>
      <c r="M500" s="2211">
        <v>0</v>
      </c>
      <c r="N500" s="2212">
        <v>0</v>
      </c>
      <c r="O500" s="1118">
        <f t="shared" si="40"/>
        <v>0</v>
      </c>
      <c r="P500" s="2213">
        <f t="shared" si="39"/>
        <v>0</v>
      </c>
    </row>
    <row r="501" spans="1:16" ht="14.5">
      <c r="A501" s="2042" t="s">
        <v>3153</v>
      </c>
      <c r="B501" s="380" t="str">
        <f t="shared" si="36"/>
        <v>174-908</v>
      </c>
      <c r="C501" s="2042" t="s">
        <v>2134</v>
      </c>
      <c r="D501" s="2043">
        <v>1145</v>
      </c>
      <c r="E501" s="2043">
        <v>1131</v>
      </c>
      <c r="F501" s="2043">
        <f t="shared" si="37"/>
        <v>0</v>
      </c>
      <c r="G501" s="2043">
        <f t="shared" si="38"/>
        <v>0</v>
      </c>
      <c r="H501" s="2208">
        <v>0</v>
      </c>
      <c r="I501" s="2209">
        <v>0</v>
      </c>
      <c r="J501" s="2210">
        <v>0</v>
      </c>
      <c r="K501" s="2208">
        <v>0</v>
      </c>
      <c r="L501" s="2208">
        <v>0</v>
      </c>
      <c r="M501" s="2211">
        <v>0</v>
      </c>
      <c r="N501" s="2212">
        <v>0</v>
      </c>
      <c r="O501" s="1118">
        <f t="shared" si="40"/>
        <v>0</v>
      </c>
      <c r="P501" s="2213">
        <f t="shared" si="39"/>
        <v>0</v>
      </c>
    </row>
    <row r="502" spans="1:16" ht="14.5">
      <c r="A502" s="2042" t="s">
        <v>3125</v>
      </c>
      <c r="B502" s="380" t="str">
        <f t="shared" si="36"/>
        <v>161-910</v>
      </c>
      <c r="C502" s="2042" t="s">
        <v>1653</v>
      </c>
      <c r="D502" s="2043">
        <v>680</v>
      </c>
      <c r="E502" s="2043">
        <v>666</v>
      </c>
      <c r="F502" s="2043">
        <f t="shared" si="37"/>
        <v>0</v>
      </c>
      <c r="G502" s="2043">
        <f t="shared" si="38"/>
        <v>0</v>
      </c>
      <c r="H502" s="2208">
        <v>0</v>
      </c>
      <c r="I502" s="2209">
        <v>0</v>
      </c>
      <c r="J502" s="2210">
        <v>0</v>
      </c>
      <c r="K502" s="2208">
        <v>0</v>
      </c>
      <c r="L502" s="2208">
        <v>0</v>
      </c>
      <c r="M502" s="2211">
        <v>0</v>
      </c>
      <c r="N502" s="2212">
        <v>155968</v>
      </c>
      <c r="O502" s="1118">
        <f t="shared" si="40"/>
        <v>155968</v>
      </c>
      <c r="P502" s="2213">
        <f t="shared" si="39"/>
        <v>41994.148219872819</v>
      </c>
    </row>
    <row r="503" spans="1:16" ht="14.5">
      <c r="A503" s="2042" t="s">
        <v>5119</v>
      </c>
      <c r="B503" s="380" t="str">
        <f t="shared" si="36"/>
        <v>124-901</v>
      </c>
      <c r="C503" s="2042" t="s">
        <v>1641</v>
      </c>
      <c r="D503" s="2043">
        <v>1156</v>
      </c>
      <c r="E503" s="2043">
        <v>1142</v>
      </c>
      <c r="F503" s="2043">
        <f t="shared" si="37"/>
        <v>0</v>
      </c>
      <c r="G503" s="2043">
        <f t="shared" si="38"/>
        <v>0</v>
      </c>
      <c r="H503" s="2208">
        <v>0</v>
      </c>
      <c r="I503" s="2209">
        <v>0</v>
      </c>
      <c r="J503" s="2210">
        <v>0</v>
      </c>
      <c r="K503" s="2208">
        <v>0</v>
      </c>
      <c r="L503" s="2208">
        <v>0</v>
      </c>
      <c r="M503" s="2211">
        <v>0</v>
      </c>
      <c r="N503" s="2212">
        <v>0</v>
      </c>
      <c r="O503" s="1118">
        <f t="shared" si="40"/>
        <v>0</v>
      </c>
      <c r="P503" s="2213">
        <f t="shared" si="39"/>
        <v>0</v>
      </c>
    </row>
    <row r="504" spans="1:16" ht="14.5">
      <c r="A504" s="2042" t="s">
        <v>5235</v>
      </c>
      <c r="B504" s="380" t="str">
        <f t="shared" si="36"/>
        <v>196-901</v>
      </c>
      <c r="C504" s="2042" t="s">
        <v>1532</v>
      </c>
      <c r="D504" s="2043">
        <v>151</v>
      </c>
      <c r="E504" s="2043">
        <v>137</v>
      </c>
      <c r="F504" s="2043">
        <f t="shared" si="37"/>
        <v>0</v>
      </c>
      <c r="G504" s="2043">
        <f t="shared" si="38"/>
        <v>0</v>
      </c>
      <c r="H504" s="2208">
        <v>0</v>
      </c>
      <c r="I504" s="2209">
        <v>0</v>
      </c>
      <c r="J504" s="2210">
        <v>0</v>
      </c>
      <c r="K504" s="2208">
        <v>0</v>
      </c>
      <c r="L504" s="2208">
        <v>0</v>
      </c>
      <c r="M504" s="2211">
        <v>0</v>
      </c>
      <c r="N504" s="2212">
        <v>0</v>
      </c>
      <c r="O504" s="1118">
        <f t="shared" si="40"/>
        <v>0</v>
      </c>
      <c r="P504" s="2213">
        <f t="shared" si="39"/>
        <v>0</v>
      </c>
    </row>
    <row r="505" spans="1:16" ht="14.5">
      <c r="A505" s="2042" t="s">
        <v>3134</v>
      </c>
      <c r="B505" s="380" t="str">
        <f t="shared" si="36"/>
        <v>163-901</v>
      </c>
      <c r="C505" s="2042" t="s">
        <v>2522</v>
      </c>
      <c r="D505" s="2043">
        <v>1998</v>
      </c>
      <c r="E505" s="2043">
        <v>1984</v>
      </c>
      <c r="F505" s="2043">
        <f t="shared" si="37"/>
        <v>0</v>
      </c>
      <c r="G505" s="2043">
        <f t="shared" si="38"/>
        <v>0</v>
      </c>
      <c r="H505" s="2208">
        <v>0</v>
      </c>
      <c r="I505" s="2209">
        <v>0</v>
      </c>
      <c r="J505" s="2210">
        <v>0</v>
      </c>
      <c r="K505" s="2208">
        <v>0</v>
      </c>
      <c r="L505" s="2208">
        <v>0</v>
      </c>
      <c r="M505" s="2211">
        <v>0</v>
      </c>
      <c r="N505" s="2212">
        <v>0</v>
      </c>
      <c r="O505" s="1118">
        <f t="shared" si="40"/>
        <v>0</v>
      </c>
      <c r="P505" s="2213">
        <f t="shared" si="39"/>
        <v>0</v>
      </c>
    </row>
    <row r="506" spans="1:16" ht="14.5">
      <c r="A506" s="2042" t="s">
        <v>3000</v>
      </c>
      <c r="B506" s="380" t="str">
        <f t="shared" si="36"/>
        <v>084-911</v>
      </c>
      <c r="C506" s="2042" t="s">
        <v>1388</v>
      </c>
      <c r="D506" s="2043">
        <v>6133</v>
      </c>
      <c r="E506" s="2043">
        <v>6119</v>
      </c>
      <c r="F506" s="2043">
        <f t="shared" si="37"/>
        <v>0</v>
      </c>
      <c r="G506" s="2043">
        <f t="shared" si="38"/>
        <v>0</v>
      </c>
      <c r="H506" s="2208">
        <v>0</v>
      </c>
      <c r="I506" s="2209">
        <v>0</v>
      </c>
      <c r="J506" s="2210">
        <v>0</v>
      </c>
      <c r="K506" s="2208">
        <v>0</v>
      </c>
      <c r="L506" s="2208">
        <v>0</v>
      </c>
      <c r="M506" s="2211">
        <v>0</v>
      </c>
      <c r="N506" s="2212">
        <v>0</v>
      </c>
      <c r="O506" s="1118">
        <f t="shared" si="40"/>
        <v>0</v>
      </c>
      <c r="P506" s="2213">
        <f t="shared" si="39"/>
        <v>0</v>
      </c>
    </row>
    <row r="507" spans="1:16" ht="14.5">
      <c r="A507" s="2042" t="s">
        <v>5097</v>
      </c>
      <c r="B507" s="380" t="str">
        <f t="shared" si="36"/>
        <v>113-901</v>
      </c>
      <c r="C507" s="2042" t="s">
        <v>597</v>
      </c>
      <c r="D507" s="2043">
        <v>1286</v>
      </c>
      <c r="E507" s="2043">
        <v>1273</v>
      </c>
      <c r="F507" s="2043">
        <f t="shared" si="37"/>
        <v>0</v>
      </c>
      <c r="G507" s="2043">
        <f t="shared" si="38"/>
        <v>0</v>
      </c>
      <c r="H507" s="2208">
        <v>0</v>
      </c>
      <c r="I507" s="2209">
        <v>0</v>
      </c>
      <c r="J507" s="2210">
        <v>0</v>
      </c>
      <c r="K507" s="2208">
        <v>0</v>
      </c>
      <c r="L507" s="2208">
        <v>0</v>
      </c>
      <c r="M507" s="2211">
        <v>0</v>
      </c>
      <c r="N507" s="2212">
        <v>0</v>
      </c>
      <c r="O507" s="1118">
        <f t="shared" si="40"/>
        <v>0</v>
      </c>
      <c r="P507" s="2213">
        <f t="shared" si="39"/>
        <v>0</v>
      </c>
    </row>
    <row r="508" spans="1:16" ht="14.5">
      <c r="A508" s="2042" t="s">
        <v>5851</v>
      </c>
      <c r="B508" s="380" t="str">
        <f t="shared" si="36"/>
        <v>164-901</v>
      </c>
      <c r="C508" s="2042" t="s">
        <v>1659</v>
      </c>
      <c r="D508" s="2043">
        <v>292</v>
      </c>
      <c r="E508" s="2043">
        <v>279</v>
      </c>
      <c r="F508" s="2043">
        <f t="shared" si="37"/>
        <v>0</v>
      </c>
      <c r="G508" s="2043">
        <f t="shared" si="38"/>
        <v>0</v>
      </c>
      <c r="H508" s="2208">
        <v>0</v>
      </c>
      <c r="I508" s="2209">
        <v>0</v>
      </c>
      <c r="J508" s="2210">
        <v>0</v>
      </c>
      <c r="K508" s="2208">
        <v>0</v>
      </c>
      <c r="L508" s="2208">
        <v>0</v>
      </c>
      <c r="M508" s="2211">
        <v>0</v>
      </c>
      <c r="N508" s="2212">
        <v>68340</v>
      </c>
      <c r="O508" s="1118">
        <f t="shared" si="40"/>
        <v>68340</v>
      </c>
      <c r="P508" s="2213">
        <f t="shared" si="39"/>
        <v>18400.441688975359</v>
      </c>
    </row>
    <row r="509" spans="1:16" ht="14.5">
      <c r="A509" s="2042" t="s">
        <v>3032</v>
      </c>
      <c r="B509" s="380" t="str">
        <f t="shared" si="36"/>
        <v>107-907</v>
      </c>
      <c r="C509" s="2042" t="s">
        <v>570</v>
      </c>
      <c r="D509" s="2043">
        <v>171</v>
      </c>
      <c r="E509" s="2043">
        <v>158</v>
      </c>
      <c r="F509" s="2043">
        <f t="shared" si="37"/>
        <v>0</v>
      </c>
      <c r="G509" s="2043">
        <f t="shared" si="38"/>
        <v>0</v>
      </c>
      <c r="H509" s="2208">
        <v>0</v>
      </c>
      <c r="I509" s="2209">
        <v>0</v>
      </c>
      <c r="J509" s="2210">
        <v>0</v>
      </c>
      <c r="K509" s="2208">
        <v>0</v>
      </c>
      <c r="L509" s="2208">
        <v>0</v>
      </c>
      <c r="M509" s="2211">
        <v>0</v>
      </c>
      <c r="N509" s="2212">
        <v>37649</v>
      </c>
      <c r="O509" s="1118">
        <f t="shared" si="40"/>
        <v>37649</v>
      </c>
      <c r="P509" s="2213">
        <f t="shared" si="39"/>
        <v>10136.936335209733</v>
      </c>
    </row>
    <row r="510" spans="1:16" ht="14.5">
      <c r="A510" s="2042" t="s">
        <v>5868</v>
      </c>
      <c r="B510" s="380" t="str">
        <f t="shared" si="36"/>
        <v>198-902</v>
      </c>
      <c r="C510" s="2042" t="s">
        <v>1537</v>
      </c>
      <c r="D510" s="2043">
        <v>156</v>
      </c>
      <c r="E510" s="2043">
        <v>143</v>
      </c>
      <c r="F510" s="2043">
        <f t="shared" si="37"/>
        <v>0</v>
      </c>
      <c r="G510" s="2043">
        <f t="shared" si="38"/>
        <v>0</v>
      </c>
      <c r="H510" s="2208">
        <v>0</v>
      </c>
      <c r="I510" s="2209">
        <v>0</v>
      </c>
      <c r="J510" s="2210">
        <v>0</v>
      </c>
      <c r="K510" s="2208">
        <v>0</v>
      </c>
      <c r="L510" s="2208">
        <v>0</v>
      </c>
      <c r="M510" s="2211">
        <v>0</v>
      </c>
      <c r="N510" s="2212">
        <v>0</v>
      </c>
      <c r="O510" s="1118">
        <f t="shared" si="40"/>
        <v>0</v>
      </c>
      <c r="P510" s="2213">
        <f t="shared" si="39"/>
        <v>0</v>
      </c>
    </row>
    <row r="511" spans="1:16" ht="14.5">
      <c r="A511" s="2042" t="s">
        <v>5060</v>
      </c>
      <c r="B511" s="380" t="str">
        <f t="shared" si="36"/>
        <v>098-901</v>
      </c>
      <c r="C511" s="2042" t="s">
        <v>227</v>
      </c>
      <c r="D511" s="2043">
        <v>452</v>
      </c>
      <c r="E511" s="2043">
        <v>439</v>
      </c>
      <c r="F511" s="2043">
        <f t="shared" si="37"/>
        <v>0</v>
      </c>
      <c r="G511" s="2043">
        <f t="shared" si="38"/>
        <v>0</v>
      </c>
      <c r="H511" s="2208">
        <v>0</v>
      </c>
      <c r="I511" s="2209">
        <v>0</v>
      </c>
      <c r="J511" s="2210">
        <v>0</v>
      </c>
      <c r="K511" s="2208">
        <v>0</v>
      </c>
      <c r="L511" s="2208">
        <v>0</v>
      </c>
      <c r="M511" s="2211">
        <v>0</v>
      </c>
      <c r="N511" s="2212">
        <v>103799</v>
      </c>
      <c r="O511" s="1118">
        <f t="shared" si="40"/>
        <v>103799</v>
      </c>
      <c r="P511" s="2213">
        <f t="shared" si="39"/>
        <v>27947.723834854449</v>
      </c>
    </row>
    <row r="512" spans="1:16" ht="14.5">
      <c r="A512" s="2042" t="s">
        <v>2959</v>
      </c>
      <c r="B512" s="380" t="str">
        <f t="shared" si="36"/>
        <v>060-914</v>
      </c>
      <c r="C512" s="2042" t="s">
        <v>98</v>
      </c>
      <c r="D512" s="2043">
        <v>172</v>
      </c>
      <c r="E512" s="2043">
        <v>159</v>
      </c>
      <c r="F512" s="2043">
        <f t="shared" si="37"/>
        <v>0</v>
      </c>
      <c r="G512" s="2043">
        <f t="shared" si="38"/>
        <v>0</v>
      </c>
      <c r="H512" s="2208">
        <v>0</v>
      </c>
      <c r="I512" s="2209">
        <v>0</v>
      </c>
      <c r="J512" s="2210">
        <v>0</v>
      </c>
      <c r="K512" s="2208">
        <v>0</v>
      </c>
      <c r="L512" s="2208">
        <v>0</v>
      </c>
      <c r="M512" s="2211">
        <v>0</v>
      </c>
      <c r="N512" s="2212">
        <v>0</v>
      </c>
      <c r="O512" s="1118">
        <f t="shared" si="40"/>
        <v>0</v>
      </c>
      <c r="P512" s="2213">
        <f t="shared" si="39"/>
        <v>0</v>
      </c>
    </row>
    <row r="513" spans="1:16" ht="14.5">
      <c r="A513" s="2042" t="s">
        <v>2906</v>
      </c>
      <c r="B513" s="380" t="str">
        <f t="shared" si="36"/>
        <v>025-908</v>
      </c>
      <c r="C513" s="2042" t="s">
        <v>2278</v>
      </c>
      <c r="D513" s="2043">
        <v>171</v>
      </c>
      <c r="E513" s="2043">
        <v>158</v>
      </c>
      <c r="F513" s="2043">
        <f t="shared" si="37"/>
        <v>0</v>
      </c>
      <c r="G513" s="2043">
        <f t="shared" si="38"/>
        <v>0</v>
      </c>
      <c r="H513" s="2208">
        <v>0</v>
      </c>
      <c r="I513" s="2209">
        <v>0</v>
      </c>
      <c r="J513" s="2210">
        <v>0</v>
      </c>
      <c r="K513" s="2208">
        <v>0</v>
      </c>
      <c r="L513" s="2208">
        <v>0</v>
      </c>
      <c r="M513" s="2211">
        <v>0</v>
      </c>
      <c r="N513" s="2212">
        <v>33775</v>
      </c>
      <c r="O513" s="1118">
        <f t="shared" si="40"/>
        <v>33775</v>
      </c>
      <c r="P513" s="2213">
        <f t="shared" si="39"/>
        <v>9093.8676916175409</v>
      </c>
    </row>
    <row r="514" spans="1:16" ht="14.5">
      <c r="A514" s="2042" t="s">
        <v>5041</v>
      </c>
      <c r="B514" s="380" t="str">
        <f t="shared" si="36"/>
        <v>090-902</v>
      </c>
      <c r="C514" s="2042" t="s">
        <v>1357</v>
      </c>
      <c r="D514" s="2043">
        <v>182</v>
      </c>
      <c r="E514" s="2043">
        <v>169</v>
      </c>
      <c r="F514" s="2043">
        <f t="shared" si="37"/>
        <v>0</v>
      </c>
      <c r="G514" s="2043">
        <f t="shared" si="38"/>
        <v>0</v>
      </c>
      <c r="H514" s="2208">
        <v>0</v>
      </c>
      <c r="I514" s="2209">
        <v>0</v>
      </c>
      <c r="J514" s="2210">
        <v>0</v>
      </c>
      <c r="K514" s="2208">
        <v>0</v>
      </c>
      <c r="L514" s="2208">
        <v>0</v>
      </c>
      <c r="M514" s="2211">
        <v>0</v>
      </c>
      <c r="N514" s="2212">
        <v>0</v>
      </c>
      <c r="O514" s="1118">
        <f t="shared" si="40"/>
        <v>0</v>
      </c>
      <c r="P514" s="2213">
        <f t="shared" si="39"/>
        <v>0</v>
      </c>
    </row>
    <row r="515" spans="1:16" ht="14.5">
      <c r="A515" s="2042" t="s">
        <v>5771</v>
      </c>
      <c r="B515" s="380" t="str">
        <f t="shared" ref="B515:B578" si="41">CONCATENATE(LEFT(RIGHT(CONCATENATE("000",A515),6),3),"-",(RIGHT(RIGHT(CONCATENATE("000",A515),6),3)))</f>
        <v>048-901</v>
      </c>
      <c r="C515" s="2042" t="s">
        <v>976</v>
      </c>
      <c r="D515" s="2043">
        <v>245</v>
      </c>
      <c r="E515" s="2043">
        <v>232</v>
      </c>
      <c r="F515" s="2043">
        <f t="shared" ref="F515:F578" si="42">MAX(0,E515-D515)</f>
        <v>0</v>
      </c>
      <c r="G515" s="2043">
        <f t="shared" ref="G515:G578" si="43">MAX(0,F515-250)</f>
        <v>0</v>
      </c>
      <c r="H515" s="2208">
        <v>0</v>
      </c>
      <c r="I515" s="2209">
        <v>0</v>
      </c>
      <c r="J515" s="2210">
        <v>0</v>
      </c>
      <c r="K515" s="2208">
        <v>0</v>
      </c>
      <c r="L515" s="2208">
        <v>0</v>
      </c>
      <c r="M515" s="2211">
        <v>0</v>
      </c>
      <c r="N515" s="2212">
        <v>0</v>
      </c>
      <c r="O515" s="1118">
        <f t="shared" si="40"/>
        <v>0</v>
      </c>
      <c r="P515" s="2213">
        <f t="shared" ref="P515:P578" si="44">(40000000/$O$1022)*O515</f>
        <v>0</v>
      </c>
    </row>
    <row r="516" spans="1:16" ht="14.5">
      <c r="A516" s="2042" t="s">
        <v>4957</v>
      </c>
      <c r="B516" s="380" t="str">
        <f t="shared" si="41"/>
        <v>033-901</v>
      </c>
      <c r="C516" s="2042" t="s">
        <v>1514</v>
      </c>
      <c r="D516" s="2043">
        <v>149</v>
      </c>
      <c r="E516" s="2043">
        <v>137</v>
      </c>
      <c r="F516" s="2043">
        <f t="shared" si="42"/>
        <v>0</v>
      </c>
      <c r="G516" s="2043">
        <f t="shared" si="43"/>
        <v>0</v>
      </c>
      <c r="H516" s="2208">
        <v>0</v>
      </c>
      <c r="I516" s="2209">
        <v>0</v>
      </c>
      <c r="J516" s="2210">
        <v>0</v>
      </c>
      <c r="K516" s="2208">
        <v>0</v>
      </c>
      <c r="L516" s="2208">
        <v>0</v>
      </c>
      <c r="M516" s="2211">
        <v>0</v>
      </c>
      <c r="N516" s="2212">
        <v>35756</v>
      </c>
      <c r="O516" s="1118">
        <f t="shared" si="40"/>
        <v>35756</v>
      </c>
      <c r="P516" s="2213">
        <f t="shared" si="44"/>
        <v>9627.2489468979056</v>
      </c>
    </row>
    <row r="517" spans="1:16" ht="14.5">
      <c r="A517" s="2042" t="s">
        <v>5198</v>
      </c>
      <c r="B517" s="380" t="str">
        <f t="shared" si="41"/>
        <v>177-905</v>
      </c>
      <c r="C517" s="2042" t="s">
        <v>296</v>
      </c>
      <c r="D517" s="2043">
        <v>230</v>
      </c>
      <c r="E517" s="2043">
        <v>218</v>
      </c>
      <c r="F517" s="2043">
        <f t="shared" si="42"/>
        <v>0</v>
      </c>
      <c r="G517" s="2043">
        <f t="shared" si="43"/>
        <v>0</v>
      </c>
      <c r="H517" s="2208">
        <v>0</v>
      </c>
      <c r="I517" s="2209">
        <v>0</v>
      </c>
      <c r="J517" s="2210">
        <v>0</v>
      </c>
      <c r="K517" s="2208">
        <v>0</v>
      </c>
      <c r="L517" s="2208">
        <v>0</v>
      </c>
      <c r="M517" s="2211">
        <v>0</v>
      </c>
      <c r="N517" s="2212">
        <v>53394</v>
      </c>
      <c r="O517" s="1118">
        <f t="shared" si="40"/>
        <v>53394</v>
      </c>
      <c r="P517" s="2213">
        <f t="shared" si="44"/>
        <v>14376.253783159938</v>
      </c>
    </row>
    <row r="518" spans="1:16" ht="14.5">
      <c r="A518" s="2042" t="s">
        <v>5827</v>
      </c>
      <c r="B518" s="380" t="str">
        <f t="shared" si="41"/>
        <v>125-906</v>
      </c>
      <c r="C518" s="2042" t="s">
        <v>1642</v>
      </c>
      <c r="D518" s="2043">
        <v>118</v>
      </c>
      <c r="E518" s="2043">
        <v>106</v>
      </c>
      <c r="F518" s="2043">
        <f t="shared" si="42"/>
        <v>0</v>
      </c>
      <c r="G518" s="2043">
        <f t="shared" si="43"/>
        <v>0</v>
      </c>
      <c r="H518" s="2208">
        <v>0</v>
      </c>
      <c r="I518" s="2209">
        <v>0</v>
      </c>
      <c r="J518" s="2210">
        <v>0</v>
      </c>
      <c r="K518" s="2208">
        <v>0</v>
      </c>
      <c r="L518" s="2208">
        <v>0</v>
      </c>
      <c r="M518" s="2211">
        <v>0</v>
      </c>
      <c r="N518" s="2212">
        <v>29421</v>
      </c>
      <c r="O518" s="1118">
        <f t="shared" si="40"/>
        <v>29421</v>
      </c>
      <c r="P518" s="2213">
        <f t="shared" si="44"/>
        <v>7921.5597736515074</v>
      </c>
    </row>
    <row r="519" spans="1:16" ht="14.5">
      <c r="A519" s="2042" t="s">
        <v>5061</v>
      </c>
      <c r="B519" s="380" t="str">
        <f t="shared" si="41"/>
        <v>098-903</v>
      </c>
      <c r="C519" s="2042" t="s">
        <v>988</v>
      </c>
      <c r="D519" s="2043">
        <v>125</v>
      </c>
      <c r="E519" s="2043">
        <v>113</v>
      </c>
      <c r="F519" s="2043">
        <f t="shared" si="42"/>
        <v>0</v>
      </c>
      <c r="G519" s="2043">
        <f t="shared" si="43"/>
        <v>0</v>
      </c>
      <c r="H519" s="2208">
        <v>0</v>
      </c>
      <c r="I519" s="2209">
        <v>0</v>
      </c>
      <c r="J519" s="2210">
        <v>0</v>
      </c>
      <c r="K519" s="2208">
        <v>0</v>
      </c>
      <c r="L519" s="2208">
        <v>0</v>
      </c>
      <c r="M519" s="2211">
        <v>0</v>
      </c>
      <c r="N519" s="2212">
        <v>0</v>
      </c>
      <c r="O519" s="1118">
        <f t="shared" si="40"/>
        <v>0</v>
      </c>
      <c r="P519" s="2213">
        <f t="shared" si="44"/>
        <v>0</v>
      </c>
    </row>
    <row r="520" spans="1:16" ht="14.5">
      <c r="A520" s="2042" t="s">
        <v>5173</v>
      </c>
      <c r="B520" s="380" t="str">
        <f t="shared" si="41"/>
        <v>161-924</v>
      </c>
      <c r="C520" s="2042" t="s">
        <v>1656</v>
      </c>
      <c r="D520" s="2043">
        <v>176</v>
      </c>
      <c r="E520" s="2043">
        <v>164</v>
      </c>
      <c r="F520" s="2043">
        <f t="shared" si="42"/>
        <v>0</v>
      </c>
      <c r="G520" s="2043">
        <f t="shared" si="43"/>
        <v>0</v>
      </c>
      <c r="H520" s="2208">
        <v>0</v>
      </c>
      <c r="I520" s="2209">
        <v>0</v>
      </c>
      <c r="J520" s="2210">
        <v>0</v>
      </c>
      <c r="K520" s="2208">
        <v>0</v>
      </c>
      <c r="L520" s="2208">
        <v>0</v>
      </c>
      <c r="M520" s="2211">
        <v>0</v>
      </c>
      <c r="N520" s="2212">
        <v>0</v>
      </c>
      <c r="O520" s="1118">
        <f t="shared" si="40"/>
        <v>0</v>
      </c>
      <c r="P520" s="2213">
        <f t="shared" si="44"/>
        <v>0</v>
      </c>
    </row>
    <row r="521" spans="1:16" ht="14.5">
      <c r="A521" s="2042" t="s">
        <v>4936</v>
      </c>
      <c r="B521" s="380" t="str">
        <f t="shared" si="41"/>
        <v>017-901</v>
      </c>
      <c r="C521" s="2042" t="s">
        <v>2158</v>
      </c>
      <c r="D521" s="2043">
        <v>243</v>
      </c>
      <c r="E521" s="2043">
        <v>231</v>
      </c>
      <c r="F521" s="2043">
        <f t="shared" si="42"/>
        <v>0</v>
      </c>
      <c r="G521" s="2043">
        <f t="shared" si="43"/>
        <v>0</v>
      </c>
      <c r="H521" s="2208">
        <v>0</v>
      </c>
      <c r="I521" s="2209">
        <v>0</v>
      </c>
      <c r="J521" s="2210">
        <v>0</v>
      </c>
      <c r="K521" s="2208">
        <v>0</v>
      </c>
      <c r="L521" s="2208">
        <v>0</v>
      </c>
      <c r="M521" s="2211">
        <v>0</v>
      </c>
      <c r="N521" s="2212">
        <v>0</v>
      </c>
      <c r="O521" s="1118">
        <f t="shared" si="40"/>
        <v>0</v>
      </c>
      <c r="P521" s="2213">
        <f t="shared" si="44"/>
        <v>0</v>
      </c>
    </row>
    <row r="522" spans="1:16" ht="14.5">
      <c r="A522" s="2042" t="s">
        <v>3268</v>
      </c>
      <c r="B522" s="380" t="str">
        <f t="shared" si="41"/>
        <v>247-903</v>
      </c>
      <c r="C522" s="2042" t="s">
        <v>1793</v>
      </c>
      <c r="D522" s="2043">
        <v>3234</v>
      </c>
      <c r="E522" s="2043">
        <v>3223</v>
      </c>
      <c r="F522" s="2043">
        <f t="shared" si="42"/>
        <v>0</v>
      </c>
      <c r="G522" s="2043">
        <f t="shared" si="43"/>
        <v>0</v>
      </c>
      <c r="H522" s="2208">
        <v>0</v>
      </c>
      <c r="I522" s="2209">
        <v>0</v>
      </c>
      <c r="J522" s="2210">
        <v>0</v>
      </c>
      <c r="K522" s="2208">
        <v>0</v>
      </c>
      <c r="L522" s="2208">
        <v>0</v>
      </c>
      <c r="M522" s="2211">
        <v>0</v>
      </c>
      <c r="N522" s="2212">
        <v>780505</v>
      </c>
      <c r="O522" s="1118">
        <f t="shared" si="40"/>
        <v>780505</v>
      </c>
      <c r="P522" s="2213">
        <f t="shared" si="44"/>
        <v>210149.79134406953</v>
      </c>
    </row>
    <row r="523" spans="1:16" ht="14.5">
      <c r="A523" s="2042" t="s">
        <v>3197</v>
      </c>
      <c r="B523" s="380" t="str">
        <f t="shared" si="41"/>
        <v>206-901</v>
      </c>
      <c r="C523" s="2042" t="s">
        <v>1319</v>
      </c>
      <c r="D523" s="2043">
        <v>733</v>
      </c>
      <c r="E523" s="2043">
        <v>722</v>
      </c>
      <c r="F523" s="2043">
        <f t="shared" si="42"/>
        <v>0</v>
      </c>
      <c r="G523" s="2043">
        <f t="shared" si="43"/>
        <v>0</v>
      </c>
      <c r="H523" s="2208">
        <v>0</v>
      </c>
      <c r="I523" s="2209">
        <v>0</v>
      </c>
      <c r="J523" s="2210">
        <v>0</v>
      </c>
      <c r="K523" s="2208">
        <v>0</v>
      </c>
      <c r="L523" s="2208">
        <v>0</v>
      </c>
      <c r="M523" s="2211">
        <v>0</v>
      </c>
      <c r="N523" s="2212">
        <v>0</v>
      </c>
      <c r="O523" s="1118">
        <f t="shared" si="40"/>
        <v>0</v>
      </c>
      <c r="P523" s="2213">
        <f t="shared" si="44"/>
        <v>0</v>
      </c>
    </row>
    <row r="524" spans="1:16" ht="14.5">
      <c r="A524" s="2042" t="s">
        <v>5016</v>
      </c>
      <c r="B524" s="380" t="str">
        <f t="shared" si="41"/>
        <v>075-903</v>
      </c>
      <c r="C524" s="2042" t="s">
        <v>436</v>
      </c>
      <c r="D524" s="2043">
        <v>707</v>
      </c>
      <c r="E524" s="2043">
        <v>696</v>
      </c>
      <c r="F524" s="2043">
        <f t="shared" si="42"/>
        <v>0</v>
      </c>
      <c r="G524" s="2043">
        <f t="shared" si="43"/>
        <v>0</v>
      </c>
      <c r="H524" s="2208">
        <v>0</v>
      </c>
      <c r="I524" s="2209">
        <v>0</v>
      </c>
      <c r="J524" s="2210">
        <v>0</v>
      </c>
      <c r="K524" s="2208">
        <v>0</v>
      </c>
      <c r="L524" s="2208">
        <v>0</v>
      </c>
      <c r="M524" s="2211">
        <v>0</v>
      </c>
      <c r="N524" s="2212">
        <v>0</v>
      </c>
      <c r="O524" s="1118">
        <f t="shared" si="40"/>
        <v>0</v>
      </c>
      <c r="P524" s="2213">
        <f t="shared" si="44"/>
        <v>0</v>
      </c>
    </row>
    <row r="525" spans="1:16" ht="14.5">
      <c r="A525" s="2042" t="s">
        <v>2950</v>
      </c>
      <c r="B525" s="380" t="str">
        <f t="shared" si="41"/>
        <v>049-906</v>
      </c>
      <c r="C525" s="2042" t="s">
        <v>2091</v>
      </c>
      <c r="D525" s="2043">
        <v>483</v>
      </c>
      <c r="E525" s="2043">
        <v>472</v>
      </c>
      <c r="F525" s="2043">
        <f t="shared" si="42"/>
        <v>0</v>
      </c>
      <c r="G525" s="2043">
        <f t="shared" si="43"/>
        <v>0</v>
      </c>
      <c r="H525" s="2208">
        <v>0</v>
      </c>
      <c r="I525" s="2209">
        <v>0</v>
      </c>
      <c r="J525" s="2210">
        <v>0</v>
      </c>
      <c r="K525" s="2208">
        <v>0</v>
      </c>
      <c r="L525" s="2208">
        <v>0</v>
      </c>
      <c r="M525" s="2211">
        <v>0</v>
      </c>
      <c r="N525" s="2212">
        <v>114224</v>
      </c>
      <c r="O525" s="1118">
        <f t="shared" si="40"/>
        <v>114224</v>
      </c>
      <c r="P525" s="2213">
        <f t="shared" si="44"/>
        <v>30754.639325161272</v>
      </c>
    </row>
    <row r="526" spans="1:16" ht="14.5">
      <c r="A526" s="2042" t="s">
        <v>5826</v>
      </c>
      <c r="B526" s="380" t="str">
        <f t="shared" si="41"/>
        <v>122-902</v>
      </c>
      <c r="C526" s="2042" t="s">
        <v>2171</v>
      </c>
      <c r="D526" s="2043">
        <v>46</v>
      </c>
      <c r="E526" s="2043">
        <v>35</v>
      </c>
      <c r="F526" s="2043">
        <f t="shared" si="42"/>
        <v>0</v>
      </c>
      <c r="G526" s="2043">
        <f t="shared" si="43"/>
        <v>0</v>
      </c>
      <c r="H526" s="2208">
        <v>0</v>
      </c>
      <c r="I526" s="2209">
        <v>0</v>
      </c>
      <c r="J526" s="2210">
        <v>0</v>
      </c>
      <c r="K526" s="2208">
        <v>0</v>
      </c>
      <c r="L526" s="2208">
        <v>0</v>
      </c>
      <c r="M526" s="2211">
        <v>0</v>
      </c>
      <c r="N526" s="2212">
        <v>0</v>
      </c>
      <c r="O526" s="1118">
        <f t="shared" si="40"/>
        <v>0</v>
      </c>
      <c r="P526" s="2213">
        <f t="shared" si="44"/>
        <v>0</v>
      </c>
    </row>
    <row r="527" spans="1:16" ht="14.5">
      <c r="A527" s="2042" t="s">
        <v>4591</v>
      </c>
      <c r="B527" s="380" t="str">
        <f t="shared" si="41"/>
        <v>200-904</v>
      </c>
      <c r="C527" s="2042" t="s">
        <v>1062</v>
      </c>
      <c r="D527" s="2043">
        <v>567</v>
      </c>
      <c r="E527" s="2043">
        <v>556</v>
      </c>
      <c r="F527" s="2043">
        <f t="shared" si="42"/>
        <v>0</v>
      </c>
      <c r="G527" s="2043">
        <f t="shared" si="43"/>
        <v>0</v>
      </c>
      <c r="H527" s="2208">
        <v>0</v>
      </c>
      <c r="I527" s="2209">
        <v>0</v>
      </c>
      <c r="J527" s="2210">
        <v>0</v>
      </c>
      <c r="K527" s="2208">
        <v>0</v>
      </c>
      <c r="L527" s="2208">
        <v>0</v>
      </c>
      <c r="M527" s="2211">
        <v>0</v>
      </c>
      <c r="N527" s="2212">
        <v>0</v>
      </c>
      <c r="O527" s="1118">
        <f t="shared" si="40"/>
        <v>0</v>
      </c>
      <c r="P527" s="2213">
        <f t="shared" si="44"/>
        <v>0</v>
      </c>
    </row>
    <row r="528" spans="1:16" ht="14.5">
      <c r="A528" s="2042" t="s">
        <v>5822</v>
      </c>
      <c r="B528" s="380" t="str">
        <f t="shared" si="41"/>
        <v>115-903</v>
      </c>
      <c r="C528" s="2042" t="s">
        <v>1486</v>
      </c>
      <c r="D528" s="2043">
        <v>82</v>
      </c>
      <c r="E528" s="2043">
        <v>71</v>
      </c>
      <c r="F528" s="2043">
        <f t="shared" si="42"/>
        <v>0</v>
      </c>
      <c r="G528" s="2043">
        <f t="shared" si="43"/>
        <v>0</v>
      </c>
      <c r="H528" s="2208">
        <v>0</v>
      </c>
      <c r="I528" s="2209">
        <v>0</v>
      </c>
      <c r="J528" s="2210">
        <v>0</v>
      </c>
      <c r="K528" s="2208">
        <v>0</v>
      </c>
      <c r="L528" s="2208">
        <v>0</v>
      </c>
      <c r="M528" s="2211">
        <v>0</v>
      </c>
      <c r="N528" s="2212">
        <v>0</v>
      </c>
      <c r="O528" s="1118">
        <f t="shared" si="40"/>
        <v>0</v>
      </c>
      <c r="P528" s="2213">
        <f t="shared" si="44"/>
        <v>0</v>
      </c>
    </row>
    <row r="529" spans="1:16" ht="14.5">
      <c r="A529" s="2042" t="s">
        <v>3183</v>
      </c>
      <c r="B529" s="380" t="str">
        <f t="shared" si="41"/>
        <v>195-902</v>
      </c>
      <c r="C529" s="2042" t="s">
        <v>2001</v>
      </c>
      <c r="D529" s="2043">
        <v>165</v>
      </c>
      <c r="E529" s="2043">
        <v>155</v>
      </c>
      <c r="F529" s="2043">
        <f t="shared" si="42"/>
        <v>0</v>
      </c>
      <c r="G529" s="2043">
        <f t="shared" si="43"/>
        <v>0</v>
      </c>
      <c r="H529" s="2208">
        <v>0</v>
      </c>
      <c r="I529" s="2209">
        <v>0</v>
      </c>
      <c r="J529" s="2210">
        <v>0</v>
      </c>
      <c r="K529" s="2208">
        <v>0</v>
      </c>
      <c r="L529" s="2208">
        <v>0</v>
      </c>
      <c r="M529" s="2211">
        <v>0</v>
      </c>
      <c r="N529" s="2212">
        <v>35686</v>
      </c>
      <c r="O529" s="1118">
        <f t="shared" si="40"/>
        <v>35686</v>
      </c>
      <c r="P529" s="2213">
        <f t="shared" si="44"/>
        <v>9608.4015527183874</v>
      </c>
    </row>
    <row r="530" spans="1:16" ht="14.5">
      <c r="A530" s="2042" t="s">
        <v>5807</v>
      </c>
      <c r="B530" s="380" t="str">
        <f t="shared" si="41"/>
        <v>095-902</v>
      </c>
      <c r="C530" s="2042" t="s">
        <v>220</v>
      </c>
      <c r="D530" s="2043">
        <v>106</v>
      </c>
      <c r="E530" s="2043">
        <v>96</v>
      </c>
      <c r="F530" s="2043">
        <f t="shared" si="42"/>
        <v>0</v>
      </c>
      <c r="G530" s="2043">
        <f t="shared" si="43"/>
        <v>0</v>
      </c>
      <c r="H530" s="2208">
        <v>0</v>
      </c>
      <c r="I530" s="2209">
        <v>0</v>
      </c>
      <c r="J530" s="2210">
        <v>0</v>
      </c>
      <c r="K530" s="2208">
        <v>0</v>
      </c>
      <c r="L530" s="2208">
        <v>0</v>
      </c>
      <c r="M530" s="2211">
        <v>0</v>
      </c>
      <c r="N530" s="2212">
        <v>21972</v>
      </c>
      <c r="O530" s="1118">
        <f t="shared" si="40"/>
        <v>21972</v>
      </c>
      <c r="P530" s="2213">
        <f t="shared" si="44"/>
        <v>5915.9277844624894</v>
      </c>
    </row>
    <row r="531" spans="1:16" ht="14.5">
      <c r="A531" s="2042" t="s">
        <v>5793</v>
      </c>
      <c r="B531" s="380" t="str">
        <f t="shared" si="41"/>
        <v>070-909</v>
      </c>
      <c r="C531" s="2042" t="s">
        <v>1865</v>
      </c>
      <c r="D531" s="2043">
        <v>255</v>
      </c>
      <c r="E531" s="2043">
        <v>245</v>
      </c>
      <c r="F531" s="2043">
        <f t="shared" si="42"/>
        <v>0</v>
      </c>
      <c r="G531" s="2043">
        <f t="shared" si="43"/>
        <v>0</v>
      </c>
      <c r="H531" s="2208">
        <v>0</v>
      </c>
      <c r="I531" s="2209">
        <v>0</v>
      </c>
      <c r="J531" s="2210">
        <v>0</v>
      </c>
      <c r="K531" s="2208">
        <v>0</v>
      </c>
      <c r="L531" s="2208">
        <v>0</v>
      </c>
      <c r="M531" s="2211">
        <v>0</v>
      </c>
      <c r="N531" s="2212">
        <v>55941</v>
      </c>
      <c r="O531" s="1118">
        <f t="shared" si="40"/>
        <v>55941</v>
      </c>
      <c r="P531" s="2213">
        <f t="shared" si="44"/>
        <v>15062.029682806124</v>
      </c>
    </row>
    <row r="532" spans="1:16" ht="14.5">
      <c r="A532" s="2042" t="s">
        <v>5043</v>
      </c>
      <c r="B532" s="380" t="str">
        <f t="shared" si="41"/>
        <v>090-905</v>
      </c>
      <c r="C532" s="2042" t="s">
        <v>1359</v>
      </c>
      <c r="D532" s="2043">
        <v>48</v>
      </c>
      <c r="E532" s="2043">
        <v>38</v>
      </c>
      <c r="F532" s="2043">
        <f t="shared" si="42"/>
        <v>0</v>
      </c>
      <c r="G532" s="2043">
        <f t="shared" si="43"/>
        <v>0</v>
      </c>
      <c r="H532" s="2208">
        <v>0</v>
      </c>
      <c r="I532" s="2209">
        <v>0</v>
      </c>
      <c r="J532" s="2210">
        <v>0</v>
      </c>
      <c r="K532" s="2208">
        <v>0</v>
      </c>
      <c r="L532" s="2208">
        <v>0</v>
      </c>
      <c r="M532" s="2211">
        <v>0</v>
      </c>
      <c r="N532" s="2212">
        <v>11050</v>
      </c>
      <c r="O532" s="1118">
        <f t="shared" si="40"/>
        <v>11050</v>
      </c>
      <c r="P532" s="2213">
        <f t="shared" si="44"/>
        <v>2975.19579548109</v>
      </c>
    </row>
    <row r="533" spans="1:16" ht="14.5">
      <c r="A533" s="2042" t="s">
        <v>5181</v>
      </c>
      <c r="B533" s="380" t="str">
        <f t="shared" si="41"/>
        <v>169-906</v>
      </c>
      <c r="C533" s="2042" t="s">
        <v>1292</v>
      </c>
      <c r="D533" s="2043">
        <v>143</v>
      </c>
      <c r="E533" s="2043">
        <v>133</v>
      </c>
      <c r="F533" s="2043">
        <f t="shared" si="42"/>
        <v>0</v>
      </c>
      <c r="G533" s="2043">
        <f t="shared" si="43"/>
        <v>0</v>
      </c>
      <c r="H533" s="2208">
        <v>0</v>
      </c>
      <c r="I533" s="2209">
        <v>0</v>
      </c>
      <c r="J533" s="2210">
        <v>0</v>
      </c>
      <c r="K533" s="2208">
        <v>0</v>
      </c>
      <c r="L533" s="2208">
        <v>0</v>
      </c>
      <c r="M533" s="2211">
        <v>0</v>
      </c>
      <c r="N533" s="2212">
        <v>29410</v>
      </c>
      <c r="O533" s="1118">
        <f t="shared" si="40"/>
        <v>29410</v>
      </c>
      <c r="P533" s="2213">
        <f t="shared" si="44"/>
        <v>7918.5980402804398</v>
      </c>
    </row>
    <row r="534" spans="1:16" ht="14.5">
      <c r="A534" s="2042" t="s">
        <v>5879</v>
      </c>
      <c r="B534" s="380" t="str">
        <f t="shared" si="41"/>
        <v>209-902</v>
      </c>
      <c r="C534" s="2042" t="s">
        <v>344</v>
      </c>
      <c r="D534" s="2043">
        <v>128</v>
      </c>
      <c r="E534" s="2043">
        <v>118</v>
      </c>
      <c r="F534" s="2043">
        <f t="shared" si="42"/>
        <v>0</v>
      </c>
      <c r="G534" s="2043">
        <f t="shared" si="43"/>
        <v>0</v>
      </c>
      <c r="H534" s="2208">
        <v>0</v>
      </c>
      <c r="I534" s="2209">
        <v>0</v>
      </c>
      <c r="J534" s="2210">
        <v>0</v>
      </c>
      <c r="K534" s="2208">
        <v>0</v>
      </c>
      <c r="L534" s="2208">
        <v>0</v>
      </c>
      <c r="M534" s="2211">
        <v>0</v>
      </c>
      <c r="N534" s="2212">
        <v>0</v>
      </c>
      <c r="O534" s="1118">
        <f t="shared" si="40"/>
        <v>0</v>
      </c>
      <c r="P534" s="2213">
        <f t="shared" si="44"/>
        <v>0</v>
      </c>
    </row>
    <row r="535" spans="1:16" ht="14.5">
      <c r="A535" s="2042" t="s">
        <v>2851</v>
      </c>
      <c r="B535" s="380" t="str">
        <f t="shared" si="41"/>
        <v>003-902</v>
      </c>
      <c r="C535" s="2042" t="s">
        <v>2249</v>
      </c>
      <c r="D535" s="2043">
        <v>2782</v>
      </c>
      <c r="E535" s="2043">
        <v>2773</v>
      </c>
      <c r="F535" s="2043">
        <f t="shared" si="42"/>
        <v>0</v>
      </c>
      <c r="G535" s="2043">
        <f t="shared" si="43"/>
        <v>0</v>
      </c>
      <c r="H535" s="2208">
        <v>0</v>
      </c>
      <c r="I535" s="2209">
        <v>0</v>
      </c>
      <c r="J535" s="2210">
        <v>0</v>
      </c>
      <c r="K535" s="2208">
        <v>0</v>
      </c>
      <c r="L535" s="2208">
        <v>0</v>
      </c>
      <c r="M535" s="2211">
        <v>0</v>
      </c>
      <c r="N535" s="2212">
        <v>681986</v>
      </c>
      <c r="O535" s="1118">
        <f t="shared" si="40"/>
        <v>681986</v>
      </c>
      <c r="P535" s="2213">
        <f t="shared" si="44"/>
        <v>183623.69952732732</v>
      </c>
    </row>
    <row r="536" spans="1:16" ht="14.5">
      <c r="A536" s="2042" t="s">
        <v>5863</v>
      </c>
      <c r="B536" s="380" t="str">
        <f t="shared" si="41"/>
        <v>185-902</v>
      </c>
      <c r="C536" s="2042" t="s">
        <v>415</v>
      </c>
      <c r="D536" s="2043">
        <v>552</v>
      </c>
      <c r="E536" s="2043">
        <v>543</v>
      </c>
      <c r="F536" s="2043">
        <f t="shared" si="42"/>
        <v>0</v>
      </c>
      <c r="G536" s="2043">
        <f t="shared" si="43"/>
        <v>0</v>
      </c>
      <c r="H536" s="2208">
        <v>0</v>
      </c>
      <c r="I536" s="2209">
        <v>0</v>
      </c>
      <c r="J536" s="2210">
        <v>0</v>
      </c>
      <c r="K536" s="2208">
        <v>0</v>
      </c>
      <c r="L536" s="2208">
        <v>0</v>
      </c>
      <c r="M536" s="2211">
        <v>0</v>
      </c>
      <c r="N536" s="2212">
        <v>0</v>
      </c>
      <c r="O536" s="1118">
        <f t="shared" si="40"/>
        <v>0</v>
      </c>
      <c r="P536" s="2213">
        <f t="shared" si="44"/>
        <v>0</v>
      </c>
    </row>
    <row r="537" spans="1:16" ht="14.5">
      <c r="A537" s="2042" t="s">
        <v>5278</v>
      </c>
      <c r="B537" s="380" t="str">
        <f t="shared" si="41"/>
        <v>226-905</v>
      </c>
      <c r="C537" s="2042" t="s">
        <v>1800</v>
      </c>
      <c r="D537" s="2043">
        <v>321</v>
      </c>
      <c r="E537" s="2043">
        <v>313</v>
      </c>
      <c r="F537" s="2043">
        <f t="shared" si="42"/>
        <v>0</v>
      </c>
      <c r="G537" s="2043">
        <f t="shared" si="43"/>
        <v>0</v>
      </c>
      <c r="H537" s="2208">
        <v>0</v>
      </c>
      <c r="I537" s="2209">
        <v>0</v>
      </c>
      <c r="J537" s="2210">
        <v>0</v>
      </c>
      <c r="K537" s="2208">
        <v>0</v>
      </c>
      <c r="L537" s="2208">
        <v>0</v>
      </c>
      <c r="M537" s="2211">
        <v>0</v>
      </c>
      <c r="N537" s="2212">
        <v>0</v>
      </c>
      <c r="O537" s="1118">
        <f t="shared" ref="O537:O600" si="45">IF(N537&gt;M537,N537-M537,0)</f>
        <v>0</v>
      </c>
      <c r="P537" s="2213">
        <f t="shared" si="44"/>
        <v>0</v>
      </c>
    </row>
    <row r="538" spans="1:16" ht="14.5">
      <c r="A538" s="2042" t="s">
        <v>3151</v>
      </c>
      <c r="B538" s="380" t="str">
        <f t="shared" si="41"/>
        <v>174-903</v>
      </c>
      <c r="C538" s="2042" t="s">
        <v>429</v>
      </c>
      <c r="D538" s="2043">
        <v>699</v>
      </c>
      <c r="E538" s="2043">
        <v>691</v>
      </c>
      <c r="F538" s="2043">
        <f t="shared" si="42"/>
        <v>0</v>
      </c>
      <c r="G538" s="2043">
        <f t="shared" si="43"/>
        <v>0</v>
      </c>
      <c r="H538" s="2208">
        <v>0</v>
      </c>
      <c r="I538" s="2209">
        <v>0</v>
      </c>
      <c r="J538" s="2210">
        <v>0</v>
      </c>
      <c r="K538" s="2208">
        <v>0</v>
      </c>
      <c r="L538" s="2208">
        <v>0</v>
      </c>
      <c r="M538" s="2211">
        <v>0</v>
      </c>
      <c r="N538" s="2212">
        <v>0</v>
      </c>
      <c r="O538" s="1118">
        <f t="shared" si="45"/>
        <v>0</v>
      </c>
      <c r="P538" s="2213">
        <f t="shared" si="44"/>
        <v>0</v>
      </c>
    </row>
    <row r="539" spans="1:16" ht="14.5">
      <c r="A539" s="2042" t="s">
        <v>5875</v>
      </c>
      <c r="B539" s="380" t="str">
        <f t="shared" si="41"/>
        <v>206-902</v>
      </c>
      <c r="C539" s="2042" t="s">
        <v>337</v>
      </c>
      <c r="D539" s="2043">
        <v>120</v>
      </c>
      <c r="E539" s="2043">
        <v>112</v>
      </c>
      <c r="F539" s="2043">
        <f t="shared" si="42"/>
        <v>0</v>
      </c>
      <c r="G539" s="2043">
        <f t="shared" si="43"/>
        <v>0</v>
      </c>
      <c r="H539" s="2208">
        <v>0</v>
      </c>
      <c r="I539" s="2209">
        <v>0</v>
      </c>
      <c r="J539" s="2210">
        <v>0</v>
      </c>
      <c r="K539" s="2208">
        <v>0</v>
      </c>
      <c r="L539" s="2208">
        <v>0</v>
      </c>
      <c r="M539" s="2211">
        <v>0</v>
      </c>
      <c r="N539" s="2212">
        <v>27026</v>
      </c>
      <c r="O539" s="1118">
        <f t="shared" si="45"/>
        <v>27026</v>
      </c>
      <c r="P539" s="2213">
        <f t="shared" si="44"/>
        <v>7276.7096442237053</v>
      </c>
    </row>
    <row r="540" spans="1:16" ht="14.5">
      <c r="A540" s="2042" t="s">
        <v>5162</v>
      </c>
      <c r="B540" s="380" t="str">
        <f t="shared" si="41"/>
        <v>153-903</v>
      </c>
      <c r="C540" s="2042" t="s">
        <v>523</v>
      </c>
      <c r="D540" s="2043">
        <v>306</v>
      </c>
      <c r="E540" s="2043">
        <v>298</v>
      </c>
      <c r="F540" s="2043">
        <f t="shared" si="42"/>
        <v>0</v>
      </c>
      <c r="G540" s="2043">
        <f t="shared" si="43"/>
        <v>0</v>
      </c>
      <c r="H540" s="2208">
        <v>0</v>
      </c>
      <c r="I540" s="2209">
        <v>0</v>
      </c>
      <c r="J540" s="2210">
        <v>0</v>
      </c>
      <c r="K540" s="2208">
        <v>0</v>
      </c>
      <c r="L540" s="2208">
        <v>0</v>
      </c>
      <c r="M540" s="2211">
        <v>0</v>
      </c>
      <c r="N540" s="2212">
        <v>70212</v>
      </c>
      <c r="O540" s="1118">
        <f t="shared" si="45"/>
        <v>70212</v>
      </c>
      <c r="P540" s="2213">
        <f t="shared" si="44"/>
        <v>18904.474859033329</v>
      </c>
    </row>
    <row r="541" spans="1:16" ht="14.5">
      <c r="A541" s="2042" t="s">
        <v>3016</v>
      </c>
      <c r="B541" s="380" t="str">
        <f t="shared" si="41"/>
        <v>100-904</v>
      </c>
      <c r="C541" s="2042" t="s">
        <v>1406</v>
      </c>
      <c r="D541" s="2043">
        <v>2750</v>
      </c>
      <c r="E541" s="2043">
        <v>2743</v>
      </c>
      <c r="F541" s="2043">
        <f t="shared" si="42"/>
        <v>0</v>
      </c>
      <c r="G541" s="2043">
        <f t="shared" si="43"/>
        <v>0</v>
      </c>
      <c r="H541" s="2208">
        <v>0</v>
      </c>
      <c r="I541" s="2209">
        <v>0</v>
      </c>
      <c r="J541" s="2210">
        <v>0</v>
      </c>
      <c r="K541" s="2208">
        <v>0</v>
      </c>
      <c r="L541" s="2208">
        <v>0</v>
      </c>
      <c r="M541" s="2211">
        <v>0</v>
      </c>
      <c r="N541" s="2212">
        <v>657967</v>
      </c>
      <c r="O541" s="1118">
        <f t="shared" si="45"/>
        <v>657967</v>
      </c>
      <c r="P541" s="2213">
        <f t="shared" si="44"/>
        <v>177156.62008735805</v>
      </c>
    </row>
    <row r="542" spans="1:16" ht="14.5">
      <c r="A542" s="2042" t="s">
        <v>3218</v>
      </c>
      <c r="B542" s="380" t="str">
        <f t="shared" si="41"/>
        <v>220-920</v>
      </c>
      <c r="C542" s="2042" t="s">
        <v>1257</v>
      </c>
      <c r="D542" s="2043">
        <v>6708</v>
      </c>
      <c r="E542" s="2043">
        <v>6701</v>
      </c>
      <c r="F542" s="2043">
        <f t="shared" si="42"/>
        <v>0</v>
      </c>
      <c r="G542" s="2043">
        <f t="shared" si="43"/>
        <v>0</v>
      </c>
      <c r="H542" s="2208">
        <v>0</v>
      </c>
      <c r="I542" s="2209">
        <v>0</v>
      </c>
      <c r="J542" s="2210">
        <v>0</v>
      </c>
      <c r="K542" s="2208">
        <v>0</v>
      </c>
      <c r="L542" s="2208">
        <v>0</v>
      </c>
      <c r="M542" s="2211">
        <v>0</v>
      </c>
      <c r="N542" s="2212">
        <v>0</v>
      </c>
      <c r="O542" s="1118">
        <f t="shared" si="45"/>
        <v>0</v>
      </c>
      <c r="P542" s="2213">
        <f t="shared" si="44"/>
        <v>0</v>
      </c>
    </row>
    <row r="543" spans="1:16" ht="14.5">
      <c r="A543" s="2042" t="s">
        <v>5895</v>
      </c>
      <c r="B543" s="380" t="str">
        <f t="shared" si="41"/>
        <v>241-901</v>
      </c>
      <c r="C543" s="2042" t="s">
        <v>1149</v>
      </c>
      <c r="D543" s="2043">
        <v>1108</v>
      </c>
      <c r="E543" s="2043">
        <v>1101</v>
      </c>
      <c r="F543" s="2043">
        <f t="shared" si="42"/>
        <v>0</v>
      </c>
      <c r="G543" s="2043">
        <f t="shared" si="43"/>
        <v>0</v>
      </c>
      <c r="H543" s="2208">
        <v>0</v>
      </c>
      <c r="I543" s="2209">
        <v>0</v>
      </c>
      <c r="J543" s="2210">
        <v>0</v>
      </c>
      <c r="K543" s="2208">
        <v>0</v>
      </c>
      <c r="L543" s="2208">
        <v>0</v>
      </c>
      <c r="M543" s="2211">
        <v>0</v>
      </c>
      <c r="N543" s="2212">
        <v>0</v>
      </c>
      <c r="O543" s="1118">
        <f t="shared" si="45"/>
        <v>0</v>
      </c>
      <c r="P543" s="2213">
        <f t="shared" si="44"/>
        <v>0</v>
      </c>
    </row>
    <row r="544" spans="1:16" ht="14.5">
      <c r="A544" s="2042" t="s">
        <v>5842</v>
      </c>
      <c r="B544" s="380" t="str">
        <f t="shared" si="41"/>
        <v>143-905</v>
      </c>
      <c r="C544" s="2042" t="s">
        <v>900</v>
      </c>
      <c r="D544" s="2043">
        <v>150</v>
      </c>
      <c r="E544" s="2043">
        <v>143</v>
      </c>
      <c r="F544" s="2043">
        <f t="shared" si="42"/>
        <v>0</v>
      </c>
      <c r="G544" s="2043">
        <f t="shared" si="43"/>
        <v>0</v>
      </c>
      <c r="H544" s="2208">
        <v>0</v>
      </c>
      <c r="I544" s="2209">
        <v>0</v>
      </c>
      <c r="J544" s="2210">
        <v>0</v>
      </c>
      <c r="K544" s="2208">
        <v>0</v>
      </c>
      <c r="L544" s="2208">
        <v>0</v>
      </c>
      <c r="M544" s="2211">
        <v>0</v>
      </c>
      <c r="N544" s="2212">
        <v>0</v>
      </c>
      <c r="O544" s="1118">
        <f t="shared" si="45"/>
        <v>0</v>
      </c>
      <c r="P544" s="2213">
        <f t="shared" si="44"/>
        <v>0</v>
      </c>
    </row>
    <row r="545" spans="1:16" ht="14.5">
      <c r="A545" s="2042" t="s">
        <v>5816</v>
      </c>
      <c r="B545" s="380" t="str">
        <f t="shared" si="41"/>
        <v>110-908</v>
      </c>
      <c r="C545" s="2042" t="s">
        <v>2464</v>
      </c>
      <c r="D545" s="2043">
        <v>183</v>
      </c>
      <c r="E545" s="2043">
        <v>176</v>
      </c>
      <c r="F545" s="2043">
        <f t="shared" si="42"/>
        <v>0</v>
      </c>
      <c r="G545" s="2043">
        <f t="shared" si="43"/>
        <v>0</v>
      </c>
      <c r="H545" s="2208">
        <v>0</v>
      </c>
      <c r="I545" s="2209">
        <v>0</v>
      </c>
      <c r="J545" s="2210">
        <v>0</v>
      </c>
      <c r="K545" s="2208">
        <v>0</v>
      </c>
      <c r="L545" s="2208">
        <v>0</v>
      </c>
      <c r="M545" s="2211">
        <v>0</v>
      </c>
      <c r="N545" s="2212">
        <v>0</v>
      </c>
      <c r="O545" s="1118">
        <f t="shared" si="45"/>
        <v>0</v>
      </c>
      <c r="P545" s="2213">
        <f t="shared" si="44"/>
        <v>0</v>
      </c>
    </row>
    <row r="546" spans="1:16" ht="14.5">
      <c r="A546" s="2042" t="s">
        <v>5852</v>
      </c>
      <c r="B546" s="380" t="str">
        <f t="shared" si="41"/>
        <v>166-902</v>
      </c>
      <c r="C546" s="2042" t="s">
        <v>1661</v>
      </c>
      <c r="D546" s="2043">
        <v>174</v>
      </c>
      <c r="E546" s="2043">
        <v>167</v>
      </c>
      <c r="F546" s="2043">
        <f t="shared" si="42"/>
        <v>0</v>
      </c>
      <c r="G546" s="2043">
        <f t="shared" si="43"/>
        <v>0</v>
      </c>
      <c r="H546" s="2208">
        <v>0</v>
      </c>
      <c r="I546" s="2209">
        <v>0</v>
      </c>
      <c r="J546" s="2210">
        <v>0</v>
      </c>
      <c r="K546" s="2208">
        <v>0</v>
      </c>
      <c r="L546" s="2208">
        <v>0</v>
      </c>
      <c r="M546" s="2211">
        <v>0</v>
      </c>
      <c r="N546" s="2212">
        <v>0</v>
      </c>
      <c r="O546" s="1118">
        <f t="shared" si="45"/>
        <v>0</v>
      </c>
      <c r="P546" s="2213">
        <f t="shared" si="44"/>
        <v>0</v>
      </c>
    </row>
    <row r="547" spans="1:16" ht="14.5">
      <c r="A547" s="2042" t="s">
        <v>5860</v>
      </c>
      <c r="B547" s="380" t="str">
        <f t="shared" si="41"/>
        <v>180-903</v>
      </c>
      <c r="C547" s="2042" t="s">
        <v>308</v>
      </c>
      <c r="D547" s="2043">
        <v>129</v>
      </c>
      <c r="E547" s="2043">
        <v>122</v>
      </c>
      <c r="F547" s="2043">
        <f t="shared" si="42"/>
        <v>0</v>
      </c>
      <c r="G547" s="2043">
        <f t="shared" si="43"/>
        <v>0</v>
      </c>
      <c r="H547" s="2208">
        <v>0</v>
      </c>
      <c r="I547" s="2209">
        <v>0</v>
      </c>
      <c r="J547" s="2210">
        <v>0</v>
      </c>
      <c r="K547" s="2208">
        <v>0</v>
      </c>
      <c r="L547" s="2208">
        <v>0</v>
      </c>
      <c r="M547" s="2211">
        <v>0</v>
      </c>
      <c r="N547" s="2212">
        <v>0</v>
      </c>
      <c r="O547" s="1118">
        <f t="shared" si="45"/>
        <v>0</v>
      </c>
      <c r="P547" s="2213">
        <f t="shared" si="44"/>
        <v>0</v>
      </c>
    </row>
    <row r="548" spans="1:16" ht="14.5">
      <c r="A548" s="2042" t="s">
        <v>5818</v>
      </c>
      <c r="B548" s="380" t="str">
        <f t="shared" si="41"/>
        <v>112-909</v>
      </c>
      <c r="C548" s="2042" t="s">
        <v>596</v>
      </c>
      <c r="D548" s="2043">
        <v>262</v>
      </c>
      <c r="E548" s="2043">
        <v>255</v>
      </c>
      <c r="F548" s="2043">
        <f t="shared" si="42"/>
        <v>0</v>
      </c>
      <c r="G548" s="2043">
        <f t="shared" si="43"/>
        <v>0</v>
      </c>
      <c r="H548" s="2208">
        <v>0</v>
      </c>
      <c r="I548" s="2209">
        <v>0</v>
      </c>
      <c r="J548" s="2210">
        <v>0</v>
      </c>
      <c r="K548" s="2208">
        <v>0</v>
      </c>
      <c r="L548" s="2208">
        <v>0</v>
      </c>
      <c r="M548" s="2211">
        <v>0</v>
      </c>
      <c r="N548" s="2212">
        <v>0</v>
      </c>
      <c r="O548" s="1118">
        <f t="shared" si="45"/>
        <v>0</v>
      </c>
      <c r="P548" s="2213">
        <f t="shared" si="44"/>
        <v>0</v>
      </c>
    </row>
    <row r="549" spans="1:16" ht="14.5">
      <c r="A549" s="2042" t="s">
        <v>2855</v>
      </c>
      <c r="B549" s="380" t="str">
        <f t="shared" si="41"/>
        <v>005-904</v>
      </c>
      <c r="C549" s="2042" t="s">
        <v>1061</v>
      </c>
      <c r="D549" s="2043">
        <v>441</v>
      </c>
      <c r="E549" s="2043">
        <v>434</v>
      </c>
      <c r="F549" s="2043">
        <f t="shared" si="42"/>
        <v>0</v>
      </c>
      <c r="G549" s="2043">
        <f t="shared" si="43"/>
        <v>0</v>
      </c>
      <c r="H549" s="2208">
        <v>0</v>
      </c>
      <c r="I549" s="2209">
        <v>0</v>
      </c>
      <c r="J549" s="2210">
        <v>0</v>
      </c>
      <c r="K549" s="2208">
        <v>0</v>
      </c>
      <c r="L549" s="2208">
        <v>0</v>
      </c>
      <c r="M549" s="2211">
        <v>0</v>
      </c>
      <c r="N549" s="2212">
        <v>0</v>
      </c>
      <c r="O549" s="1118">
        <f t="shared" si="45"/>
        <v>0</v>
      </c>
      <c r="P549" s="2213">
        <f t="shared" si="44"/>
        <v>0</v>
      </c>
    </row>
    <row r="550" spans="1:16" ht="14.5">
      <c r="A550" s="2042" t="s">
        <v>5755</v>
      </c>
      <c r="B550" s="380" t="str">
        <f t="shared" si="41"/>
        <v>019-913</v>
      </c>
      <c r="C550" s="2042" t="s">
        <v>2248</v>
      </c>
      <c r="D550" s="2043">
        <v>83</v>
      </c>
      <c r="E550" s="2043">
        <v>77</v>
      </c>
      <c r="F550" s="2043">
        <f t="shared" si="42"/>
        <v>0</v>
      </c>
      <c r="G550" s="2043">
        <f t="shared" si="43"/>
        <v>0</v>
      </c>
      <c r="H550" s="2208">
        <v>0</v>
      </c>
      <c r="I550" s="2209">
        <v>0</v>
      </c>
      <c r="J550" s="2210">
        <v>0</v>
      </c>
      <c r="K550" s="2208">
        <v>0</v>
      </c>
      <c r="L550" s="2208">
        <v>0</v>
      </c>
      <c r="M550" s="2211">
        <v>0</v>
      </c>
      <c r="N550" s="2212">
        <v>23192</v>
      </c>
      <c r="O550" s="1118">
        <f t="shared" si="45"/>
        <v>23192</v>
      </c>
      <c r="P550" s="2213">
        <f t="shared" si="44"/>
        <v>6244.4109401626647</v>
      </c>
    </row>
    <row r="551" spans="1:16" ht="14.5">
      <c r="A551" s="2042" t="s">
        <v>3152</v>
      </c>
      <c r="B551" s="380" t="str">
        <f t="shared" si="41"/>
        <v>174-906</v>
      </c>
      <c r="C551" s="2042" t="s">
        <v>1063</v>
      </c>
      <c r="D551" s="2043">
        <v>770</v>
      </c>
      <c r="E551" s="2043">
        <v>764</v>
      </c>
      <c r="F551" s="2043">
        <f t="shared" si="42"/>
        <v>0</v>
      </c>
      <c r="G551" s="2043">
        <f t="shared" si="43"/>
        <v>0</v>
      </c>
      <c r="H551" s="2208">
        <v>0</v>
      </c>
      <c r="I551" s="2209">
        <v>0</v>
      </c>
      <c r="J551" s="2210">
        <v>0</v>
      </c>
      <c r="K551" s="2208">
        <v>0</v>
      </c>
      <c r="L551" s="2208">
        <v>0</v>
      </c>
      <c r="M551" s="2211">
        <v>0</v>
      </c>
      <c r="N551" s="2212">
        <v>0</v>
      </c>
      <c r="O551" s="1118">
        <f t="shared" si="45"/>
        <v>0</v>
      </c>
      <c r="P551" s="2213">
        <f t="shared" si="44"/>
        <v>0</v>
      </c>
    </row>
    <row r="552" spans="1:16" ht="14.5">
      <c r="A552" s="2042" t="s">
        <v>3169</v>
      </c>
      <c r="B552" s="380" t="str">
        <f t="shared" si="41"/>
        <v>183-904</v>
      </c>
      <c r="C552" s="2042" t="s">
        <v>430</v>
      </c>
      <c r="D552" s="2043">
        <v>478</v>
      </c>
      <c r="E552" s="2043">
        <v>472</v>
      </c>
      <c r="F552" s="2043">
        <f t="shared" si="42"/>
        <v>0</v>
      </c>
      <c r="G552" s="2043">
        <f t="shared" si="43"/>
        <v>0</v>
      </c>
      <c r="H552" s="2208">
        <v>0</v>
      </c>
      <c r="I552" s="2209">
        <v>0</v>
      </c>
      <c r="J552" s="2210">
        <v>0</v>
      </c>
      <c r="K552" s="2208">
        <v>0</v>
      </c>
      <c r="L552" s="2208">
        <v>0</v>
      </c>
      <c r="M552" s="2211">
        <v>0</v>
      </c>
      <c r="N552" s="2212">
        <v>0</v>
      </c>
      <c r="O552" s="1118">
        <f t="shared" si="45"/>
        <v>0</v>
      </c>
      <c r="P552" s="2213">
        <f t="shared" si="44"/>
        <v>0</v>
      </c>
    </row>
    <row r="553" spans="1:16" ht="14.5">
      <c r="A553" s="2042" t="s">
        <v>2888</v>
      </c>
      <c r="B553" s="380" t="str">
        <f t="shared" si="41"/>
        <v>018-901</v>
      </c>
      <c r="C553" s="2042" t="s">
        <v>1095</v>
      </c>
      <c r="D553" s="2043">
        <v>966</v>
      </c>
      <c r="E553" s="2043">
        <v>961</v>
      </c>
      <c r="F553" s="2043">
        <f t="shared" si="42"/>
        <v>0</v>
      </c>
      <c r="G553" s="2043">
        <f t="shared" si="43"/>
        <v>0</v>
      </c>
      <c r="H553" s="2208">
        <v>0</v>
      </c>
      <c r="I553" s="2209">
        <v>0</v>
      </c>
      <c r="J553" s="2210">
        <v>0</v>
      </c>
      <c r="K553" s="2208">
        <v>0</v>
      </c>
      <c r="L553" s="2208">
        <v>0</v>
      </c>
      <c r="M553" s="2211">
        <v>0</v>
      </c>
      <c r="N553" s="2212">
        <v>0</v>
      </c>
      <c r="O553" s="1118">
        <f t="shared" si="45"/>
        <v>0</v>
      </c>
      <c r="P553" s="2213">
        <f t="shared" si="44"/>
        <v>0</v>
      </c>
    </row>
    <row r="554" spans="1:16" ht="14.5">
      <c r="A554" s="2042" t="s">
        <v>5288</v>
      </c>
      <c r="B554" s="380" t="str">
        <f t="shared" si="41"/>
        <v>230-908</v>
      </c>
      <c r="C554" s="2042" t="s">
        <v>733</v>
      </c>
      <c r="D554" s="2043">
        <v>726</v>
      </c>
      <c r="E554" s="2043">
        <v>721</v>
      </c>
      <c r="F554" s="2043">
        <f t="shared" si="42"/>
        <v>0</v>
      </c>
      <c r="G554" s="2043">
        <f t="shared" si="43"/>
        <v>0</v>
      </c>
      <c r="H554" s="2208">
        <v>0</v>
      </c>
      <c r="I554" s="2209">
        <v>0</v>
      </c>
      <c r="J554" s="2210">
        <v>0</v>
      </c>
      <c r="K554" s="2208">
        <v>0</v>
      </c>
      <c r="L554" s="2208">
        <v>0</v>
      </c>
      <c r="M554" s="2211">
        <v>0</v>
      </c>
      <c r="N554" s="2212">
        <v>0</v>
      </c>
      <c r="O554" s="1118">
        <f t="shared" si="45"/>
        <v>0</v>
      </c>
      <c r="P554" s="2213">
        <f t="shared" si="44"/>
        <v>0</v>
      </c>
    </row>
    <row r="555" spans="1:16" ht="14.5">
      <c r="A555" s="2042" t="s">
        <v>5057</v>
      </c>
      <c r="B555" s="380" t="str">
        <f t="shared" si="41"/>
        <v>095-903</v>
      </c>
      <c r="C555" s="2042" t="s">
        <v>221</v>
      </c>
      <c r="D555" s="2043">
        <v>623</v>
      </c>
      <c r="E555" s="2043">
        <v>618</v>
      </c>
      <c r="F555" s="2043">
        <f t="shared" si="42"/>
        <v>0</v>
      </c>
      <c r="G555" s="2043">
        <f t="shared" si="43"/>
        <v>0</v>
      </c>
      <c r="H555" s="2208">
        <v>0</v>
      </c>
      <c r="I555" s="2209">
        <v>0</v>
      </c>
      <c r="J555" s="2210">
        <v>0</v>
      </c>
      <c r="K555" s="2208">
        <v>0</v>
      </c>
      <c r="L555" s="2208">
        <v>0</v>
      </c>
      <c r="M555" s="2211">
        <v>0</v>
      </c>
      <c r="N555" s="2212">
        <v>141903</v>
      </c>
      <c r="O555" s="1118">
        <f t="shared" si="45"/>
        <v>141903</v>
      </c>
      <c r="P555" s="2213">
        <f t="shared" si="44"/>
        <v>38207.168232231052</v>
      </c>
    </row>
    <row r="556" spans="1:16" ht="14.5">
      <c r="A556" s="2042" t="s">
        <v>4979</v>
      </c>
      <c r="B556" s="380" t="str">
        <f t="shared" si="41"/>
        <v>049-905</v>
      </c>
      <c r="C556" s="2042" t="s">
        <v>2090</v>
      </c>
      <c r="D556" s="2043">
        <v>1136</v>
      </c>
      <c r="E556" s="2043">
        <v>1131</v>
      </c>
      <c r="F556" s="2043">
        <f t="shared" si="42"/>
        <v>0</v>
      </c>
      <c r="G556" s="2043">
        <f t="shared" si="43"/>
        <v>0</v>
      </c>
      <c r="H556" s="2208">
        <v>0</v>
      </c>
      <c r="I556" s="2209">
        <v>0</v>
      </c>
      <c r="J556" s="2210">
        <v>0</v>
      </c>
      <c r="K556" s="2208">
        <v>0</v>
      </c>
      <c r="L556" s="2208">
        <v>0</v>
      </c>
      <c r="M556" s="2211">
        <v>0</v>
      </c>
      <c r="N556" s="2212">
        <v>0</v>
      </c>
      <c r="O556" s="1118">
        <f t="shared" si="45"/>
        <v>0</v>
      </c>
      <c r="P556" s="2213">
        <f t="shared" si="44"/>
        <v>0</v>
      </c>
    </row>
    <row r="557" spans="1:16" ht="14.5">
      <c r="A557" s="2042" t="s">
        <v>5763</v>
      </c>
      <c r="B557" s="380" t="str">
        <f t="shared" si="41"/>
        <v>034-902</v>
      </c>
      <c r="C557" s="2042" t="s">
        <v>2050</v>
      </c>
      <c r="D557" s="2043">
        <v>145</v>
      </c>
      <c r="E557" s="2043">
        <v>140</v>
      </c>
      <c r="F557" s="2043">
        <f t="shared" si="42"/>
        <v>0</v>
      </c>
      <c r="G557" s="2043">
        <f t="shared" si="43"/>
        <v>0</v>
      </c>
      <c r="H557" s="2208">
        <v>0</v>
      </c>
      <c r="I557" s="2209">
        <v>0</v>
      </c>
      <c r="J557" s="2210">
        <v>0</v>
      </c>
      <c r="K557" s="2208">
        <v>0</v>
      </c>
      <c r="L557" s="2208">
        <v>0</v>
      </c>
      <c r="M557" s="2211">
        <v>0</v>
      </c>
      <c r="N557" s="2212">
        <v>33466</v>
      </c>
      <c r="O557" s="1118">
        <f t="shared" si="45"/>
        <v>33466</v>
      </c>
      <c r="P557" s="2213">
        <f t="shared" si="44"/>
        <v>9010.6699087393808</v>
      </c>
    </row>
    <row r="558" spans="1:16" ht="14.5">
      <c r="A558" s="2042" t="s">
        <v>3065</v>
      </c>
      <c r="B558" s="380" t="str">
        <f t="shared" si="41"/>
        <v>116-902</v>
      </c>
      <c r="C558" s="2042" t="s">
        <v>1487</v>
      </c>
      <c r="D558" s="2043">
        <v>499</v>
      </c>
      <c r="E558" s="2043">
        <v>494</v>
      </c>
      <c r="F558" s="2043">
        <f t="shared" si="42"/>
        <v>0</v>
      </c>
      <c r="G558" s="2043">
        <f t="shared" si="43"/>
        <v>0</v>
      </c>
      <c r="H558" s="2208">
        <v>0</v>
      </c>
      <c r="I558" s="2209">
        <v>0</v>
      </c>
      <c r="J558" s="2210">
        <v>0</v>
      </c>
      <c r="K558" s="2208">
        <v>0</v>
      </c>
      <c r="L558" s="2208">
        <v>0</v>
      </c>
      <c r="M558" s="2211">
        <v>0</v>
      </c>
      <c r="N558" s="2212">
        <v>0</v>
      </c>
      <c r="O558" s="1118">
        <f t="shared" si="45"/>
        <v>0</v>
      </c>
      <c r="P558" s="2213">
        <f t="shared" si="44"/>
        <v>0</v>
      </c>
    </row>
    <row r="559" spans="1:16" ht="14.5">
      <c r="A559" s="2042" t="s">
        <v>5859</v>
      </c>
      <c r="B559" s="380" t="str">
        <f t="shared" si="41"/>
        <v>174-911</v>
      </c>
      <c r="C559" s="2042" t="s">
        <v>2136</v>
      </c>
      <c r="D559" s="2043">
        <v>462</v>
      </c>
      <c r="E559" s="2043">
        <v>457</v>
      </c>
      <c r="F559" s="2043">
        <f t="shared" si="42"/>
        <v>0</v>
      </c>
      <c r="G559" s="2043">
        <f t="shared" si="43"/>
        <v>0</v>
      </c>
      <c r="H559" s="2208">
        <v>0</v>
      </c>
      <c r="I559" s="2209">
        <v>0</v>
      </c>
      <c r="J559" s="2210">
        <v>0</v>
      </c>
      <c r="K559" s="2208">
        <v>0</v>
      </c>
      <c r="L559" s="2208">
        <v>0</v>
      </c>
      <c r="M559" s="2211">
        <v>0</v>
      </c>
      <c r="N559" s="2212">
        <v>0</v>
      </c>
      <c r="O559" s="1118">
        <f t="shared" si="45"/>
        <v>0</v>
      </c>
      <c r="P559" s="2213">
        <f t="shared" si="44"/>
        <v>0</v>
      </c>
    </row>
    <row r="560" spans="1:16" ht="14.5">
      <c r="A560" s="2042" t="s">
        <v>5802</v>
      </c>
      <c r="B560" s="380" t="str">
        <f t="shared" si="41"/>
        <v>078-901</v>
      </c>
      <c r="C560" s="2042" t="s">
        <v>803</v>
      </c>
      <c r="D560" s="2043">
        <v>207</v>
      </c>
      <c r="E560" s="2043">
        <v>202</v>
      </c>
      <c r="F560" s="2043">
        <f t="shared" si="42"/>
        <v>0</v>
      </c>
      <c r="G560" s="2043">
        <f t="shared" si="43"/>
        <v>0</v>
      </c>
      <c r="H560" s="2208">
        <v>0</v>
      </c>
      <c r="I560" s="2209">
        <v>0</v>
      </c>
      <c r="J560" s="2210">
        <v>0</v>
      </c>
      <c r="K560" s="2208">
        <v>0</v>
      </c>
      <c r="L560" s="2208">
        <v>0</v>
      </c>
      <c r="M560" s="2211">
        <v>0</v>
      </c>
      <c r="N560" s="2212">
        <v>0</v>
      </c>
      <c r="O560" s="1118">
        <f t="shared" si="45"/>
        <v>0</v>
      </c>
      <c r="P560" s="2213">
        <f t="shared" si="44"/>
        <v>0</v>
      </c>
    </row>
    <row r="561" spans="1:16" ht="14.5">
      <c r="A561" s="2042" t="s">
        <v>4969</v>
      </c>
      <c r="B561" s="380" t="str">
        <f t="shared" si="41"/>
        <v>040-902</v>
      </c>
      <c r="C561" s="2042" t="s">
        <v>973</v>
      </c>
      <c r="D561" s="2043">
        <v>344</v>
      </c>
      <c r="E561" s="2043">
        <v>339</v>
      </c>
      <c r="F561" s="2043">
        <f t="shared" si="42"/>
        <v>0</v>
      </c>
      <c r="G561" s="2043">
        <f t="shared" si="43"/>
        <v>0</v>
      </c>
      <c r="H561" s="2208">
        <v>0</v>
      </c>
      <c r="I561" s="2209">
        <v>0</v>
      </c>
      <c r="J561" s="2210">
        <v>0</v>
      </c>
      <c r="K561" s="2208">
        <v>0</v>
      </c>
      <c r="L561" s="2208">
        <v>0</v>
      </c>
      <c r="M561" s="2211">
        <v>0</v>
      </c>
      <c r="N561" s="2212">
        <v>0</v>
      </c>
      <c r="O561" s="1118">
        <f t="shared" si="45"/>
        <v>0</v>
      </c>
      <c r="P561" s="2213">
        <f t="shared" si="44"/>
        <v>0</v>
      </c>
    </row>
    <row r="562" spans="1:16" ht="14.5">
      <c r="A562" s="2042" t="s">
        <v>5205</v>
      </c>
      <c r="B562" s="380" t="str">
        <f t="shared" si="41"/>
        <v>178-912</v>
      </c>
      <c r="C562" s="2042" t="s">
        <v>303</v>
      </c>
      <c r="D562" s="2043">
        <v>3850</v>
      </c>
      <c r="E562" s="2043">
        <v>3846</v>
      </c>
      <c r="F562" s="2043">
        <f t="shared" si="42"/>
        <v>0</v>
      </c>
      <c r="G562" s="2043">
        <f t="shared" si="43"/>
        <v>0</v>
      </c>
      <c r="H562" s="2208">
        <v>0</v>
      </c>
      <c r="I562" s="2209">
        <v>0</v>
      </c>
      <c r="J562" s="2210">
        <v>0</v>
      </c>
      <c r="K562" s="2208">
        <v>0</v>
      </c>
      <c r="L562" s="2208">
        <v>0</v>
      </c>
      <c r="M562" s="2211">
        <v>0</v>
      </c>
      <c r="N562" s="2212">
        <v>0</v>
      </c>
      <c r="O562" s="1118">
        <f t="shared" si="45"/>
        <v>0</v>
      </c>
      <c r="P562" s="2213">
        <f t="shared" si="44"/>
        <v>0</v>
      </c>
    </row>
    <row r="563" spans="1:16" ht="14.5">
      <c r="A563" s="2042" t="s">
        <v>5207</v>
      </c>
      <c r="B563" s="380" t="str">
        <f t="shared" si="41"/>
        <v>180-902</v>
      </c>
      <c r="C563" s="2042" t="s">
        <v>307</v>
      </c>
      <c r="D563" s="2043">
        <v>364</v>
      </c>
      <c r="E563" s="2043">
        <v>360</v>
      </c>
      <c r="F563" s="2043">
        <f t="shared" si="42"/>
        <v>0</v>
      </c>
      <c r="G563" s="2043">
        <f t="shared" si="43"/>
        <v>0</v>
      </c>
      <c r="H563" s="2208">
        <v>0</v>
      </c>
      <c r="I563" s="2209">
        <v>0</v>
      </c>
      <c r="J563" s="2210">
        <v>0</v>
      </c>
      <c r="K563" s="2208">
        <v>0</v>
      </c>
      <c r="L563" s="2208">
        <v>0</v>
      </c>
      <c r="M563" s="2211">
        <v>0</v>
      </c>
      <c r="N563" s="2212">
        <v>0</v>
      </c>
      <c r="O563" s="1118">
        <f t="shared" si="45"/>
        <v>0</v>
      </c>
      <c r="P563" s="2213">
        <f t="shared" si="44"/>
        <v>0</v>
      </c>
    </row>
    <row r="564" spans="1:16" ht="14.5">
      <c r="A564" s="2042" t="s">
        <v>3271</v>
      </c>
      <c r="B564" s="380" t="str">
        <f t="shared" si="41"/>
        <v>249-901</v>
      </c>
      <c r="C564" s="2042" t="s">
        <v>997</v>
      </c>
      <c r="D564" s="2043">
        <v>713</v>
      </c>
      <c r="E564" s="2043">
        <v>709</v>
      </c>
      <c r="F564" s="2043">
        <f t="shared" si="42"/>
        <v>0</v>
      </c>
      <c r="G564" s="2043">
        <f t="shared" si="43"/>
        <v>0</v>
      </c>
      <c r="H564" s="2208">
        <v>0</v>
      </c>
      <c r="I564" s="2209">
        <v>0</v>
      </c>
      <c r="J564" s="2210">
        <v>0</v>
      </c>
      <c r="K564" s="2208">
        <v>0</v>
      </c>
      <c r="L564" s="2208">
        <v>0</v>
      </c>
      <c r="M564" s="2211">
        <v>0</v>
      </c>
      <c r="N564" s="2212">
        <v>0</v>
      </c>
      <c r="O564" s="1118">
        <f t="shared" si="45"/>
        <v>0</v>
      </c>
      <c r="P564" s="2213">
        <f t="shared" si="44"/>
        <v>0</v>
      </c>
    </row>
    <row r="565" spans="1:16" ht="14.5">
      <c r="A565" s="2042" t="s">
        <v>5882</v>
      </c>
      <c r="B565" s="380" t="str">
        <f t="shared" si="41"/>
        <v>211-902</v>
      </c>
      <c r="C565" s="2042" t="s">
        <v>1881</v>
      </c>
      <c r="D565" s="2043">
        <v>580</v>
      </c>
      <c r="E565" s="2043">
        <v>576</v>
      </c>
      <c r="F565" s="2043">
        <f t="shared" si="42"/>
        <v>0</v>
      </c>
      <c r="G565" s="2043">
        <f t="shared" si="43"/>
        <v>0</v>
      </c>
      <c r="H565" s="2208">
        <v>0</v>
      </c>
      <c r="I565" s="2209">
        <v>0</v>
      </c>
      <c r="J565" s="2210">
        <v>0</v>
      </c>
      <c r="K565" s="2208">
        <v>0</v>
      </c>
      <c r="L565" s="2208">
        <v>0</v>
      </c>
      <c r="M565" s="2211">
        <v>0</v>
      </c>
      <c r="N565" s="2212">
        <v>0</v>
      </c>
      <c r="O565" s="1118">
        <f t="shared" si="45"/>
        <v>0</v>
      </c>
      <c r="P565" s="2213">
        <f t="shared" si="44"/>
        <v>0</v>
      </c>
    </row>
    <row r="566" spans="1:16" ht="14.5">
      <c r="A566" s="2042" t="s">
        <v>4995</v>
      </c>
      <c r="B566" s="380" t="str">
        <f t="shared" si="41"/>
        <v>058-905</v>
      </c>
      <c r="C566" s="2042" t="s">
        <v>2469</v>
      </c>
      <c r="D566" s="2043">
        <v>268</v>
      </c>
      <c r="E566" s="2043">
        <v>264</v>
      </c>
      <c r="F566" s="2043">
        <f t="shared" si="42"/>
        <v>0</v>
      </c>
      <c r="G566" s="2043">
        <f t="shared" si="43"/>
        <v>0</v>
      </c>
      <c r="H566" s="2208">
        <v>0</v>
      </c>
      <c r="I566" s="2209">
        <v>0</v>
      </c>
      <c r="J566" s="2210">
        <v>0</v>
      </c>
      <c r="K566" s="2208">
        <v>0</v>
      </c>
      <c r="L566" s="2208">
        <v>0</v>
      </c>
      <c r="M566" s="2211">
        <v>0</v>
      </c>
      <c r="N566" s="2212">
        <v>0</v>
      </c>
      <c r="O566" s="1118">
        <f t="shared" si="45"/>
        <v>0</v>
      </c>
      <c r="P566" s="2213">
        <f t="shared" si="44"/>
        <v>0</v>
      </c>
    </row>
    <row r="567" spans="1:16" ht="14.5">
      <c r="A567" s="2042" t="s">
        <v>5251</v>
      </c>
      <c r="B567" s="380" t="str">
        <f t="shared" si="41"/>
        <v>208-903</v>
      </c>
      <c r="C567" s="2042" t="s">
        <v>342</v>
      </c>
      <c r="D567" s="2043">
        <v>277</v>
      </c>
      <c r="E567" s="2043">
        <v>273</v>
      </c>
      <c r="F567" s="2043">
        <f t="shared" si="42"/>
        <v>0</v>
      </c>
      <c r="G567" s="2043">
        <f t="shared" si="43"/>
        <v>0</v>
      </c>
      <c r="H567" s="2208">
        <v>0</v>
      </c>
      <c r="I567" s="2209">
        <v>0</v>
      </c>
      <c r="J567" s="2210">
        <v>0</v>
      </c>
      <c r="K567" s="2208">
        <v>0</v>
      </c>
      <c r="L567" s="2208">
        <v>0</v>
      </c>
      <c r="M567" s="2211">
        <v>0</v>
      </c>
      <c r="N567" s="2212">
        <v>0</v>
      </c>
      <c r="O567" s="1118">
        <f t="shared" si="45"/>
        <v>0</v>
      </c>
      <c r="P567" s="2213">
        <f t="shared" si="44"/>
        <v>0</v>
      </c>
    </row>
    <row r="568" spans="1:16" ht="14.5">
      <c r="A568" s="2042" t="s">
        <v>5154</v>
      </c>
      <c r="B568" s="380" t="str">
        <f t="shared" si="41"/>
        <v>148-902</v>
      </c>
      <c r="C568" s="2042" t="s">
        <v>513</v>
      </c>
      <c r="D568" s="2043">
        <v>174</v>
      </c>
      <c r="E568" s="2043">
        <v>170</v>
      </c>
      <c r="F568" s="2043">
        <f t="shared" si="42"/>
        <v>0</v>
      </c>
      <c r="G568" s="2043">
        <f t="shared" si="43"/>
        <v>0</v>
      </c>
      <c r="H568" s="2208">
        <v>0</v>
      </c>
      <c r="I568" s="2209">
        <v>0</v>
      </c>
      <c r="J568" s="2210">
        <v>0</v>
      </c>
      <c r="K568" s="2208">
        <v>0</v>
      </c>
      <c r="L568" s="2208">
        <v>0</v>
      </c>
      <c r="M568" s="2211">
        <v>0</v>
      </c>
      <c r="N568" s="2212">
        <v>0</v>
      </c>
      <c r="O568" s="1118">
        <f t="shared" si="45"/>
        <v>0</v>
      </c>
      <c r="P568" s="2213">
        <f t="shared" si="44"/>
        <v>0</v>
      </c>
    </row>
    <row r="569" spans="1:16" ht="14.5">
      <c r="A569" s="2042" t="s">
        <v>5258</v>
      </c>
      <c r="B569" s="380" t="str">
        <f t="shared" si="41"/>
        <v>212-910</v>
      </c>
      <c r="C569" s="2042" t="s">
        <v>1886</v>
      </c>
      <c r="D569" s="2043">
        <v>1056</v>
      </c>
      <c r="E569" s="2043">
        <v>1053</v>
      </c>
      <c r="F569" s="2043">
        <f t="shared" si="42"/>
        <v>0</v>
      </c>
      <c r="G569" s="2043">
        <f t="shared" si="43"/>
        <v>0</v>
      </c>
      <c r="H569" s="2208">
        <v>0</v>
      </c>
      <c r="I569" s="2209">
        <v>0</v>
      </c>
      <c r="J569" s="2210">
        <v>0</v>
      </c>
      <c r="K569" s="2208">
        <v>0</v>
      </c>
      <c r="L569" s="2208">
        <v>0</v>
      </c>
      <c r="M569" s="2211">
        <v>0</v>
      </c>
      <c r="N569" s="2212">
        <v>245002</v>
      </c>
      <c r="O569" s="1118">
        <f t="shared" si="45"/>
        <v>245002</v>
      </c>
      <c r="P569" s="2213">
        <f t="shared" si="44"/>
        <v>65966.418125290322</v>
      </c>
    </row>
    <row r="570" spans="1:16" ht="14.5">
      <c r="A570" s="2042" t="s">
        <v>3253</v>
      </c>
      <c r="B570" s="380" t="str">
        <f t="shared" si="41"/>
        <v>243-906</v>
      </c>
      <c r="C570" s="2042" t="s">
        <v>1092</v>
      </c>
      <c r="D570" s="2043">
        <v>1026</v>
      </c>
      <c r="E570" s="2043">
        <v>1023</v>
      </c>
      <c r="F570" s="2043">
        <f t="shared" si="42"/>
        <v>0</v>
      </c>
      <c r="G570" s="2043">
        <f t="shared" si="43"/>
        <v>0</v>
      </c>
      <c r="H570" s="2208">
        <v>0</v>
      </c>
      <c r="I570" s="2209">
        <v>0</v>
      </c>
      <c r="J570" s="2210">
        <v>0</v>
      </c>
      <c r="K570" s="2208">
        <v>0</v>
      </c>
      <c r="L570" s="2208">
        <v>0</v>
      </c>
      <c r="M570" s="2211">
        <v>0</v>
      </c>
      <c r="N570" s="2212">
        <v>248567</v>
      </c>
      <c r="O570" s="1118">
        <f t="shared" si="45"/>
        <v>248567</v>
      </c>
      <c r="P570" s="2213">
        <f t="shared" si="44"/>
        <v>66926.288986004351</v>
      </c>
    </row>
    <row r="571" spans="1:16" ht="14.5">
      <c r="A571" s="2042" t="s">
        <v>4980</v>
      </c>
      <c r="B571" s="380" t="str">
        <f t="shared" si="41"/>
        <v>049-907</v>
      </c>
      <c r="C571" s="2042" t="s">
        <v>2092</v>
      </c>
      <c r="D571" s="2043">
        <v>492</v>
      </c>
      <c r="E571" s="2043">
        <v>489</v>
      </c>
      <c r="F571" s="2043">
        <f t="shared" si="42"/>
        <v>0</v>
      </c>
      <c r="G571" s="2043">
        <f t="shared" si="43"/>
        <v>0</v>
      </c>
      <c r="H571" s="2208">
        <v>0</v>
      </c>
      <c r="I571" s="2209">
        <v>0</v>
      </c>
      <c r="J571" s="2210">
        <v>0</v>
      </c>
      <c r="K571" s="2208">
        <v>0</v>
      </c>
      <c r="L571" s="2208">
        <v>0</v>
      </c>
      <c r="M571" s="2211">
        <v>0</v>
      </c>
      <c r="N571" s="2212">
        <v>122672</v>
      </c>
      <c r="O571" s="1118">
        <f t="shared" si="45"/>
        <v>122672</v>
      </c>
      <c r="P571" s="2213">
        <f t="shared" si="44"/>
        <v>33029.250554140839</v>
      </c>
    </row>
    <row r="572" spans="1:16" ht="14.5">
      <c r="A572" s="2042" t="s">
        <v>3224</v>
      </c>
      <c r="B572" s="380" t="str">
        <f t="shared" si="41"/>
        <v>226-908</v>
      </c>
      <c r="C572" s="2042" t="s">
        <v>2500</v>
      </c>
      <c r="D572" s="2043">
        <v>261</v>
      </c>
      <c r="E572" s="2043">
        <v>258</v>
      </c>
      <c r="F572" s="2043">
        <f t="shared" si="42"/>
        <v>0</v>
      </c>
      <c r="G572" s="2043">
        <f t="shared" si="43"/>
        <v>0</v>
      </c>
      <c r="H572" s="2208">
        <v>0</v>
      </c>
      <c r="I572" s="2209">
        <v>0</v>
      </c>
      <c r="J572" s="2210">
        <v>0</v>
      </c>
      <c r="K572" s="2208">
        <v>0</v>
      </c>
      <c r="L572" s="2208">
        <v>0</v>
      </c>
      <c r="M572" s="2211">
        <v>0</v>
      </c>
      <c r="N572" s="2212">
        <v>57570</v>
      </c>
      <c r="O572" s="1118">
        <f t="shared" si="45"/>
        <v>57570</v>
      </c>
      <c r="P572" s="2213">
        <f t="shared" si="44"/>
        <v>15500.635470212341</v>
      </c>
    </row>
    <row r="573" spans="1:16" ht="14.5">
      <c r="A573" s="2042" t="s">
        <v>4595</v>
      </c>
      <c r="B573" s="380" t="str">
        <f t="shared" si="41"/>
        <v>201-907</v>
      </c>
      <c r="C573" s="2042" t="s">
        <v>2034</v>
      </c>
      <c r="D573" s="2043">
        <v>406</v>
      </c>
      <c r="E573" s="2043">
        <v>403</v>
      </c>
      <c r="F573" s="2043">
        <f t="shared" si="42"/>
        <v>0</v>
      </c>
      <c r="G573" s="2043">
        <f t="shared" si="43"/>
        <v>0</v>
      </c>
      <c r="H573" s="2208">
        <v>0</v>
      </c>
      <c r="I573" s="2209">
        <v>0</v>
      </c>
      <c r="J573" s="2210">
        <v>0</v>
      </c>
      <c r="K573" s="2208">
        <v>0</v>
      </c>
      <c r="L573" s="2208">
        <v>0</v>
      </c>
      <c r="M573" s="2211">
        <v>0</v>
      </c>
      <c r="N573" s="2212">
        <v>0</v>
      </c>
      <c r="O573" s="1118">
        <f t="shared" si="45"/>
        <v>0</v>
      </c>
      <c r="P573" s="2213">
        <f t="shared" si="44"/>
        <v>0</v>
      </c>
    </row>
    <row r="574" spans="1:16" ht="14.5">
      <c r="A574" s="2042" t="s">
        <v>5109</v>
      </c>
      <c r="B574" s="380" t="str">
        <f t="shared" si="41"/>
        <v>119-901</v>
      </c>
      <c r="C574" s="2042" t="s">
        <v>2323</v>
      </c>
      <c r="D574" s="2043">
        <v>263</v>
      </c>
      <c r="E574" s="2043">
        <v>260</v>
      </c>
      <c r="F574" s="2043">
        <f t="shared" si="42"/>
        <v>0</v>
      </c>
      <c r="G574" s="2043">
        <f t="shared" si="43"/>
        <v>0</v>
      </c>
      <c r="H574" s="2208">
        <v>0</v>
      </c>
      <c r="I574" s="2209">
        <v>0</v>
      </c>
      <c r="J574" s="2210">
        <v>0</v>
      </c>
      <c r="K574" s="2208">
        <v>0</v>
      </c>
      <c r="L574" s="2208">
        <v>0</v>
      </c>
      <c r="M574" s="2211">
        <v>0</v>
      </c>
      <c r="N574" s="2212">
        <v>0</v>
      </c>
      <c r="O574" s="1118">
        <f t="shared" si="45"/>
        <v>0</v>
      </c>
      <c r="P574" s="2213">
        <f t="shared" si="44"/>
        <v>0</v>
      </c>
    </row>
    <row r="575" spans="1:16" ht="14.5">
      <c r="A575" s="2042" t="s">
        <v>2892</v>
      </c>
      <c r="B575" s="380" t="str">
        <f t="shared" si="41"/>
        <v>019-903</v>
      </c>
      <c r="C575" s="2042" t="s">
        <v>1954</v>
      </c>
      <c r="D575" s="2043">
        <v>481</v>
      </c>
      <c r="E575" s="2043">
        <v>478</v>
      </c>
      <c r="F575" s="2043">
        <f t="shared" si="42"/>
        <v>0</v>
      </c>
      <c r="G575" s="2043">
        <f t="shared" si="43"/>
        <v>0</v>
      </c>
      <c r="H575" s="2208">
        <v>0</v>
      </c>
      <c r="I575" s="2209">
        <v>0</v>
      </c>
      <c r="J575" s="2210">
        <v>0</v>
      </c>
      <c r="K575" s="2208">
        <v>0</v>
      </c>
      <c r="L575" s="2208">
        <v>0</v>
      </c>
      <c r="M575" s="2211">
        <v>0</v>
      </c>
      <c r="N575" s="2212">
        <v>0</v>
      </c>
      <c r="O575" s="1118">
        <f t="shared" si="45"/>
        <v>0</v>
      </c>
      <c r="P575" s="2213">
        <f t="shared" si="44"/>
        <v>0</v>
      </c>
    </row>
    <row r="576" spans="1:16" ht="14.5">
      <c r="A576" s="2042" t="s">
        <v>4959</v>
      </c>
      <c r="B576" s="380" t="str">
        <f t="shared" si="41"/>
        <v>033-904</v>
      </c>
      <c r="C576" s="2042" t="s">
        <v>2048</v>
      </c>
      <c r="D576" s="2043">
        <v>376</v>
      </c>
      <c r="E576" s="2043">
        <v>373</v>
      </c>
      <c r="F576" s="2043">
        <f t="shared" si="42"/>
        <v>0</v>
      </c>
      <c r="G576" s="2043">
        <f t="shared" si="43"/>
        <v>0</v>
      </c>
      <c r="H576" s="2208">
        <v>0</v>
      </c>
      <c r="I576" s="2209">
        <v>0</v>
      </c>
      <c r="J576" s="2210">
        <v>0</v>
      </c>
      <c r="K576" s="2208">
        <v>0</v>
      </c>
      <c r="L576" s="2208">
        <v>0</v>
      </c>
      <c r="M576" s="2211">
        <v>0</v>
      </c>
      <c r="N576" s="2212">
        <v>0</v>
      </c>
      <c r="O576" s="1118">
        <f t="shared" si="45"/>
        <v>0</v>
      </c>
      <c r="P576" s="2213">
        <f t="shared" si="44"/>
        <v>0</v>
      </c>
    </row>
    <row r="577" spans="1:16" ht="14.5">
      <c r="A577" s="2042" t="s">
        <v>5108</v>
      </c>
      <c r="B577" s="380" t="str">
        <f t="shared" si="41"/>
        <v>118-902</v>
      </c>
      <c r="C577" s="2042" t="s">
        <v>992</v>
      </c>
      <c r="D577" s="2043">
        <v>326</v>
      </c>
      <c r="E577" s="2043">
        <v>323</v>
      </c>
      <c r="F577" s="2043">
        <f t="shared" si="42"/>
        <v>0</v>
      </c>
      <c r="G577" s="2043">
        <f t="shared" si="43"/>
        <v>0</v>
      </c>
      <c r="H577" s="2208">
        <v>0</v>
      </c>
      <c r="I577" s="2209">
        <v>0</v>
      </c>
      <c r="J577" s="2210">
        <v>0</v>
      </c>
      <c r="K577" s="2208">
        <v>0</v>
      </c>
      <c r="L577" s="2208">
        <v>0</v>
      </c>
      <c r="M577" s="2211">
        <v>0</v>
      </c>
      <c r="N577" s="2212">
        <v>0</v>
      </c>
      <c r="O577" s="1118">
        <f t="shared" si="45"/>
        <v>0</v>
      </c>
      <c r="P577" s="2213">
        <f t="shared" si="44"/>
        <v>0</v>
      </c>
    </row>
    <row r="578" spans="1:16" ht="14.5">
      <c r="A578" s="2042" t="s">
        <v>5784</v>
      </c>
      <c r="B578" s="380" t="str">
        <f t="shared" si="41"/>
        <v>062-905</v>
      </c>
      <c r="C578" s="2042" t="s">
        <v>2478</v>
      </c>
      <c r="D578" s="2043">
        <v>68</v>
      </c>
      <c r="E578" s="2043">
        <v>66</v>
      </c>
      <c r="F578" s="2043">
        <f t="shared" si="42"/>
        <v>0</v>
      </c>
      <c r="G578" s="2043">
        <f t="shared" si="43"/>
        <v>0</v>
      </c>
      <c r="H578" s="2208">
        <v>0</v>
      </c>
      <c r="I578" s="2209">
        <v>0</v>
      </c>
      <c r="J578" s="2210">
        <v>0</v>
      </c>
      <c r="K578" s="2208">
        <v>0</v>
      </c>
      <c r="L578" s="2208">
        <v>0</v>
      </c>
      <c r="M578" s="2211">
        <v>0</v>
      </c>
      <c r="N578" s="2212">
        <v>17568</v>
      </c>
      <c r="O578" s="1118">
        <f t="shared" si="45"/>
        <v>17568</v>
      </c>
      <c r="P578" s="2213">
        <f t="shared" si="44"/>
        <v>4730.1574420825154</v>
      </c>
    </row>
    <row r="579" spans="1:16" ht="14.5">
      <c r="A579" s="2042" t="s">
        <v>5014</v>
      </c>
      <c r="B579" s="380" t="str">
        <f t="shared" ref="B579:B642" si="46">CONCATENATE(LEFT(RIGHT(CONCATENATE("000",A579),6),3),"-",(RIGHT(RIGHT(CONCATENATE("000",A579),6),3)))</f>
        <v>074-911</v>
      </c>
      <c r="C579" s="2042" t="s">
        <v>4</v>
      </c>
      <c r="D579" s="2043">
        <v>305</v>
      </c>
      <c r="E579" s="2043">
        <v>303</v>
      </c>
      <c r="F579" s="2043">
        <f t="shared" ref="F579:F642" si="47">MAX(0,E579-D579)</f>
        <v>0</v>
      </c>
      <c r="G579" s="2043">
        <f t="shared" ref="G579:G642" si="48">MAX(0,F579-250)</f>
        <v>0</v>
      </c>
      <c r="H579" s="2208">
        <v>0</v>
      </c>
      <c r="I579" s="2209">
        <v>0</v>
      </c>
      <c r="J579" s="2210">
        <v>0</v>
      </c>
      <c r="K579" s="2208">
        <v>0</v>
      </c>
      <c r="L579" s="2208">
        <v>0</v>
      </c>
      <c r="M579" s="2211">
        <v>0</v>
      </c>
      <c r="N579" s="2212">
        <v>74857</v>
      </c>
      <c r="O579" s="1118">
        <f t="shared" si="45"/>
        <v>74857</v>
      </c>
      <c r="P579" s="2213">
        <f t="shared" ref="P579:P642" si="49">(40000000/$O$1022)*O579</f>
        <v>20155.134087088503</v>
      </c>
    </row>
    <row r="580" spans="1:16" ht="14.5">
      <c r="A580" s="2042" t="s">
        <v>5269</v>
      </c>
      <c r="B580" s="380" t="str">
        <f t="shared" si="46"/>
        <v>221-904</v>
      </c>
      <c r="C580" s="2042" t="s">
        <v>1207</v>
      </c>
      <c r="D580" s="2043">
        <v>1098</v>
      </c>
      <c r="E580" s="2043">
        <v>1097</v>
      </c>
      <c r="F580" s="2043">
        <f t="shared" si="47"/>
        <v>0</v>
      </c>
      <c r="G580" s="2043">
        <f t="shared" si="48"/>
        <v>0</v>
      </c>
      <c r="H580" s="2208">
        <v>0</v>
      </c>
      <c r="I580" s="2209">
        <v>0</v>
      </c>
      <c r="J580" s="2210">
        <v>0</v>
      </c>
      <c r="K580" s="2208">
        <v>0</v>
      </c>
      <c r="L580" s="2208">
        <v>0</v>
      </c>
      <c r="M580" s="2211">
        <v>0</v>
      </c>
      <c r="N580" s="2212">
        <v>248310</v>
      </c>
      <c r="O580" s="1118">
        <f t="shared" si="45"/>
        <v>248310</v>
      </c>
      <c r="P580" s="2213">
        <f t="shared" si="49"/>
        <v>66857.092124516697</v>
      </c>
    </row>
    <row r="581" spans="1:16" ht="14.5">
      <c r="A581" s="2042" t="s">
        <v>3015</v>
      </c>
      <c r="B581" s="380" t="str">
        <f t="shared" si="46"/>
        <v>097-903</v>
      </c>
      <c r="C581" s="2042" t="s">
        <v>2240</v>
      </c>
      <c r="D581" s="2043">
        <v>570</v>
      </c>
      <c r="E581" s="2043">
        <v>569</v>
      </c>
      <c r="F581" s="2043">
        <f t="shared" si="47"/>
        <v>0</v>
      </c>
      <c r="G581" s="2043">
        <f t="shared" si="48"/>
        <v>0</v>
      </c>
      <c r="H581" s="2208">
        <v>0</v>
      </c>
      <c r="I581" s="2209">
        <v>0</v>
      </c>
      <c r="J581" s="2210">
        <v>0</v>
      </c>
      <c r="K581" s="2208">
        <v>0</v>
      </c>
      <c r="L581" s="2208">
        <v>0</v>
      </c>
      <c r="M581" s="2211">
        <v>0</v>
      </c>
      <c r="N581" s="2212">
        <v>126621</v>
      </c>
      <c r="O581" s="1118">
        <f t="shared" si="45"/>
        <v>126621</v>
      </c>
      <c r="P581" s="2213">
        <f t="shared" si="49"/>
        <v>34092.512834353947</v>
      </c>
    </row>
    <row r="582" spans="1:16" ht="14.5">
      <c r="A582" s="2042" t="s">
        <v>2890</v>
      </c>
      <c r="B582" s="380" t="str">
        <f t="shared" si="46"/>
        <v>018-904</v>
      </c>
      <c r="C582" s="2042" t="s">
        <v>2537</v>
      </c>
      <c r="D582" s="2043">
        <v>619</v>
      </c>
      <c r="E582" s="2043">
        <v>618</v>
      </c>
      <c r="F582" s="2043">
        <f t="shared" si="47"/>
        <v>0</v>
      </c>
      <c r="G582" s="2043">
        <f t="shared" si="48"/>
        <v>0</v>
      </c>
      <c r="H582" s="2208">
        <v>0</v>
      </c>
      <c r="I582" s="2209">
        <v>0</v>
      </c>
      <c r="J582" s="2210">
        <v>0</v>
      </c>
      <c r="K582" s="2208">
        <v>0</v>
      </c>
      <c r="L582" s="2208">
        <v>0</v>
      </c>
      <c r="M582" s="2211">
        <v>0</v>
      </c>
      <c r="N582" s="2212">
        <v>145633</v>
      </c>
      <c r="O582" s="1118">
        <f t="shared" si="45"/>
        <v>145633</v>
      </c>
      <c r="P582" s="2213">
        <f t="shared" si="49"/>
        <v>39211.465093511099</v>
      </c>
    </row>
    <row r="583" spans="1:16" ht="14.5">
      <c r="A583" s="2042" t="s">
        <v>4930</v>
      </c>
      <c r="B583" s="380" t="str">
        <f t="shared" si="46"/>
        <v>008-903</v>
      </c>
      <c r="C583" s="2042" t="s">
        <v>1132</v>
      </c>
      <c r="D583" s="2043">
        <v>796</v>
      </c>
      <c r="E583" s="2043">
        <v>795</v>
      </c>
      <c r="F583" s="2043">
        <f t="shared" si="47"/>
        <v>0</v>
      </c>
      <c r="G583" s="2043">
        <f t="shared" si="48"/>
        <v>0</v>
      </c>
      <c r="H583" s="2208">
        <v>0</v>
      </c>
      <c r="I583" s="2209">
        <v>0</v>
      </c>
      <c r="J583" s="2210">
        <v>0</v>
      </c>
      <c r="K583" s="2208">
        <v>0</v>
      </c>
      <c r="L583" s="2208">
        <v>0</v>
      </c>
      <c r="M583" s="2211">
        <v>0</v>
      </c>
      <c r="N583" s="2212">
        <v>195057</v>
      </c>
      <c r="O583" s="1118">
        <f t="shared" si="45"/>
        <v>195057</v>
      </c>
      <c r="P583" s="2213">
        <f t="shared" si="49"/>
        <v>52518.802378204069</v>
      </c>
    </row>
    <row r="584" spans="1:16" ht="14.5">
      <c r="A584" s="2042" t="s">
        <v>5754</v>
      </c>
      <c r="B584" s="380" t="str">
        <f t="shared" si="46"/>
        <v>018-908</v>
      </c>
      <c r="C584" s="2042" t="s">
        <v>2540</v>
      </c>
      <c r="D584" s="2043">
        <v>130</v>
      </c>
      <c r="E584" s="2043">
        <v>129</v>
      </c>
      <c r="F584" s="2043">
        <f t="shared" si="47"/>
        <v>0</v>
      </c>
      <c r="G584" s="2043">
        <f t="shared" si="48"/>
        <v>0</v>
      </c>
      <c r="H584" s="2208">
        <v>0</v>
      </c>
      <c r="I584" s="2209">
        <v>0</v>
      </c>
      <c r="J584" s="2210">
        <v>0</v>
      </c>
      <c r="K584" s="2208">
        <v>0</v>
      </c>
      <c r="L584" s="2208">
        <v>0</v>
      </c>
      <c r="M584" s="2211">
        <v>0</v>
      </c>
      <c r="N584" s="2212">
        <v>0</v>
      </c>
      <c r="O584" s="1118">
        <f t="shared" si="45"/>
        <v>0</v>
      </c>
      <c r="P584" s="2213">
        <f t="shared" si="49"/>
        <v>0</v>
      </c>
    </row>
    <row r="585" spans="1:16" ht="14.5">
      <c r="A585" s="2042" t="s">
        <v>5091</v>
      </c>
      <c r="B585" s="380" t="str">
        <f t="shared" si="46"/>
        <v>107-910</v>
      </c>
      <c r="C585" s="2042" t="s">
        <v>2456</v>
      </c>
      <c r="D585" s="2043">
        <v>475</v>
      </c>
      <c r="E585" s="2043">
        <v>474</v>
      </c>
      <c r="F585" s="2043">
        <f t="shared" si="47"/>
        <v>0</v>
      </c>
      <c r="G585" s="2043">
        <f t="shared" si="48"/>
        <v>0</v>
      </c>
      <c r="H585" s="2208">
        <v>0</v>
      </c>
      <c r="I585" s="2209">
        <v>0</v>
      </c>
      <c r="J585" s="2210">
        <v>0</v>
      </c>
      <c r="K585" s="2208">
        <v>0</v>
      </c>
      <c r="L585" s="2208">
        <v>0</v>
      </c>
      <c r="M585" s="2211">
        <v>0</v>
      </c>
      <c r="N585" s="2212">
        <v>0</v>
      </c>
      <c r="O585" s="1118">
        <f t="shared" si="45"/>
        <v>0</v>
      </c>
      <c r="P585" s="2213">
        <f t="shared" si="49"/>
        <v>0</v>
      </c>
    </row>
    <row r="586" spans="1:16" ht="14.5">
      <c r="A586" s="2042" t="s">
        <v>3948</v>
      </c>
      <c r="B586" s="380" t="str">
        <f t="shared" si="46"/>
        <v>091-902</v>
      </c>
      <c r="C586" s="2042" t="s">
        <v>1360</v>
      </c>
      <c r="D586" s="2043">
        <v>540</v>
      </c>
      <c r="E586" s="2043">
        <v>539</v>
      </c>
      <c r="F586" s="2043">
        <f t="shared" si="47"/>
        <v>0</v>
      </c>
      <c r="G586" s="2043">
        <f t="shared" si="48"/>
        <v>0</v>
      </c>
      <c r="H586" s="2208">
        <v>0</v>
      </c>
      <c r="I586" s="2209">
        <v>0</v>
      </c>
      <c r="J586" s="2210">
        <v>0</v>
      </c>
      <c r="K586" s="2208">
        <v>0</v>
      </c>
      <c r="L586" s="2208">
        <v>0</v>
      </c>
      <c r="M586" s="2211">
        <v>0</v>
      </c>
      <c r="N586" s="2212">
        <v>0</v>
      </c>
      <c r="O586" s="1118">
        <f t="shared" si="45"/>
        <v>0</v>
      </c>
      <c r="P586" s="2213">
        <f t="shared" si="49"/>
        <v>0</v>
      </c>
    </row>
    <row r="587" spans="1:16" ht="14.5">
      <c r="A587" s="2042" t="s">
        <v>5766</v>
      </c>
      <c r="B587" s="380" t="str">
        <f t="shared" si="46"/>
        <v>039-904</v>
      </c>
      <c r="C587" s="2042" t="s">
        <v>1814</v>
      </c>
      <c r="D587" s="2043">
        <v>146</v>
      </c>
      <c r="E587" s="2043">
        <v>145</v>
      </c>
      <c r="F587" s="2043">
        <f t="shared" si="47"/>
        <v>0</v>
      </c>
      <c r="G587" s="2043">
        <f t="shared" si="48"/>
        <v>0</v>
      </c>
      <c r="H587" s="2208">
        <v>0</v>
      </c>
      <c r="I587" s="2209">
        <v>0</v>
      </c>
      <c r="J587" s="2210">
        <v>0</v>
      </c>
      <c r="K587" s="2208">
        <v>0</v>
      </c>
      <c r="L587" s="2208">
        <v>0</v>
      </c>
      <c r="M587" s="2211">
        <v>0</v>
      </c>
      <c r="N587" s="2212">
        <v>0</v>
      </c>
      <c r="O587" s="1118">
        <f t="shared" si="45"/>
        <v>0</v>
      </c>
      <c r="P587" s="2213">
        <f t="shared" si="49"/>
        <v>0</v>
      </c>
    </row>
    <row r="588" spans="1:16" ht="14.5">
      <c r="A588" s="2042" t="s">
        <v>3120</v>
      </c>
      <c r="B588" s="380" t="str">
        <f t="shared" si="46"/>
        <v>161-901</v>
      </c>
      <c r="C588" s="2042" t="s">
        <v>395</v>
      </c>
      <c r="D588" s="2043">
        <v>561</v>
      </c>
      <c r="E588" s="2043">
        <v>561</v>
      </c>
      <c r="F588" s="2043">
        <f t="shared" si="47"/>
        <v>0</v>
      </c>
      <c r="G588" s="2043">
        <f t="shared" si="48"/>
        <v>0</v>
      </c>
      <c r="H588" s="2208">
        <v>0</v>
      </c>
      <c r="I588" s="2209">
        <v>0</v>
      </c>
      <c r="J588" s="2210">
        <v>0</v>
      </c>
      <c r="K588" s="2208">
        <v>0</v>
      </c>
      <c r="L588" s="2208">
        <v>0</v>
      </c>
      <c r="M588" s="2211">
        <v>0</v>
      </c>
      <c r="N588" s="2212">
        <v>138778</v>
      </c>
      <c r="O588" s="1118">
        <f t="shared" si="45"/>
        <v>138778</v>
      </c>
      <c r="P588" s="2213">
        <f t="shared" si="49"/>
        <v>37365.766706359704</v>
      </c>
    </row>
    <row r="589" spans="1:16" ht="14.5">
      <c r="A589" s="2042" t="s">
        <v>3144</v>
      </c>
      <c r="B589" s="380" t="str">
        <f t="shared" si="46"/>
        <v>169-901</v>
      </c>
      <c r="C589" s="2042" t="s">
        <v>1290</v>
      </c>
      <c r="D589" s="2043">
        <v>1693</v>
      </c>
      <c r="E589" s="2043">
        <v>1693</v>
      </c>
      <c r="F589" s="2043">
        <f t="shared" si="47"/>
        <v>0</v>
      </c>
      <c r="G589" s="2043">
        <f t="shared" si="48"/>
        <v>0</v>
      </c>
      <c r="H589" s="2208">
        <v>0</v>
      </c>
      <c r="I589" s="2209">
        <v>0</v>
      </c>
      <c r="J589" s="2210">
        <v>0</v>
      </c>
      <c r="K589" s="2208">
        <v>0</v>
      </c>
      <c r="L589" s="2208">
        <v>0</v>
      </c>
      <c r="M589" s="2211">
        <v>0</v>
      </c>
      <c r="N589" s="2212">
        <v>0</v>
      </c>
      <c r="O589" s="1118">
        <f t="shared" si="45"/>
        <v>0</v>
      </c>
      <c r="P589" s="2213">
        <f t="shared" si="49"/>
        <v>0</v>
      </c>
    </row>
    <row r="590" spans="1:16" ht="14.5">
      <c r="A590" s="2042" t="s">
        <v>2905</v>
      </c>
      <c r="B590" s="380" t="str">
        <f t="shared" si="46"/>
        <v>025-906</v>
      </c>
      <c r="C590" s="2042" t="s">
        <v>2528</v>
      </c>
      <c r="D590" s="2043">
        <v>199</v>
      </c>
      <c r="E590" s="2043">
        <v>199</v>
      </c>
      <c r="F590" s="2043">
        <f t="shared" si="47"/>
        <v>0</v>
      </c>
      <c r="G590" s="2043">
        <f t="shared" si="48"/>
        <v>0</v>
      </c>
      <c r="H590" s="2208">
        <v>0</v>
      </c>
      <c r="I590" s="2209">
        <v>0</v>
      </c>
      <c r="J590" s="2210">
        <v>0</v>
      </c>
      <c r="K590" s="2208">
        <v>0</v>
      </c>
      <c r="L590" s="2208">
        <v>0</v>
      </c>
      <c r="M590" s="2211">
        <v>0</v>
      </c>
      <c r="N590" s="2212">
        <v>0</v>
      </c>
      <c r="O590" s="1118">
        <f t="shared" si="45"/>
        <v>0</v>
      </c>
      <c r="P590" s="2213">
        <f t="shared" si="49"/>
        <v>0</v>
      </c>
    </row>
    <row r="591" spans="1:16" ht="14.5">
      <c r="A591" s="2042" t="s">
        <v>3901</v>
      </c>
      <c r="B591" s="380" t="str">
        <f t="shared" si="46"/>
        <v>073-903</v>
      </c>
      <c r="C591" s="2042" t="s">
        <v>1950</v>
      </c>
      <c r="D591" s="2043">
        <v>881</v>
      </c>
      <c r="E591" s="2043">
        <v>881</v>
      </c>
      <c r="F591" s="2043">
        <f t="shared" si="47"/>
        <v>0</v>
      </c>
      <c r="G591" s="2043">
        <f t="shared" si="48"/>
        <v>0</v>
      </c>
      <c r="H591" s="2208">
        <v>0</v>
      </c>
      <c r="I591" s="2209">
        <v>0</v>
      </c>
      <c r="J591" s="2210">
        <v>0</v>
      </c>
      <c r="K591" s="2208">
        <v>0</v>
      </c>
      <c r="L591" s="2208">
        <v>0</v>
      </c>
      <c r="M591" s="2211">
        <v>0</v>
      </c>
      <c r="N591" s="2212">
        <v>0</v>
      </c>
      <c r="O591" s="1118">
        <f t="shared" si="45"/>
        <v>0</v>
      </c>
      <c r="P591" s="2213">
        <f t="shared" si="49"/>
        <v>0</v>
      </c>
    </row>
    <row r="592" spans="1:16" ht="14.5">
      <c r="A592" s="2042" t="s">
        <v>5834</v>
      </c>
      <c r="B592" s="380" t="str">
        <f t="shared" si="46"/>
        <v>138-903</v>
      </c>
      <c r="C592" s="2042" t="s">
        <v>1940</v>
      </c>
      <c r="D592" s="2043">
        <v>396</v>
      </c>
      <c r="E592" s="2043">
        <v>396</v>
      </c>
      <c r="F592" s="2043">
        <f t="shared" si="47"/>
        <v>0</v>
      </c>
      <c r="G592" s="2043">
        <f t="shared" si="48"/>
        <v>0</v>
      </c>
      <c r="H592" s="2208">
        <v>0</v>
      </c>
      <c r="I592" s="2209">
        <v>0</v>
      </c>
      <c r="J592" s="2210">
        <v>0</v>
      </c>
      <c r="K592" s="2208">
        <v>0</v>
      </c>
      <c r="L592" s="2208">
        <v>0</v>
      </c>
      <c r="M592" s="2211">
        <v>0</v>
      </c>
      <c r="N592" s="2212">
        <v>0</v>
      </c>
      <c r="O592" s="1118">
        <f t="shared" si="45"/>
        <v>0</v>
      </c>
      <c r="P592" s="2213">
        <f t="shared" si="49"/>
        <v>0</v>
      </c>
    </row>
    <row r="593" spans="1:16" ht="14.5">
      <c r="A593" s="2042" t="s">
        <v>3181</v>
      </c>
      <c r="B593" s="380" t="str">
        <f t="shared" si="46"/>
        <v>194-903</v>
      </c>
      <c r="C593" s="2042" t="s">
        <v>2550</v>
      </c>
      <c r="D593" s="2043">
        <v>656</v>
      </c>
      <c r="E593" s="2043">
        <v>657</v>
      </c>
      <c r="F593" s="2043">
        <f t="shared" si="47"/>
        <v>1</v>
      </c>
      <c r="G593" s="2043">
        <f t="shared" si="48"/>
        <v>0</v>
      </c>
      <c r="H593" s="2208">
        <v>0</v>
      </c>
      <c r="I593" s="2209">
        <v>0</v>
      </c>
      <c r="J593" s="2210">
        <v>0</v>
      </c>
      <c r="K593" s="2208">
        <v>0</v>
      </c>
      <c r="L593" s="2208">
        <v>0</v>
      </c>
      <c r="M593" s="2211">
        <v>0</v>
      </c>
      <c r="N593" s="2212">
        <v>164085</v>
      </c>
      <c r="O593" s="1118">
        <f t="shared" si="45"/>
        <v>164085</v>
      </c>
      <c r="P593" s="2213">
        <f t="shared" si="49"/>
        <v>44179.638199232097</v>
      </c>
    </row>
    <row r="594" spans="1:16" ht="14.5">
      <c r="A594" s="2042" t="s">
        <v>5891</v>
      </c>
      <c r="B594" s="380" t="str">
        <f t="shared" si="46"/>
        <v>230-904</v>
      </c>
      <c r="C594" s="2042" t="s">
        <v>732</v>
      </c>
      <c r="D594" s="2043">
        <v>306</v>
      </c>
      <c r="E594" s="2043">
        <v>307</v>
      </c>
      <c r="F594" s="2043">
        <f t="shared" si="47"/>
        <v>1</v>
      </c>
      <c r="G594" s="2043">
        <f t="shared" si="48"/>
        <v>0</v>
      </c>
      <c r="H594" s="2208">
        <v>0</v>
      </c>
      <c r="I594" s="2209">
        <v>0</v>
      </c>
      <c r="J594" s="2210">
        <v>0</v>
      </c>
      <c r="K594" s="2208">
        <v>0</v>
      </c>
      <c r="L594" s="2208">
        <v>0</v>
      </c>
      <c r="M594" s="2211">
        <v>0</v>
      </c>
      <c r="N594" s="2212">
        <v>0</v>
      </c>
      <c r="O594" s="1118">
        <f t="shared" si="45"/>
        <v>0</v>
      </c>
      <c r="P594" s="2213">
        <f t="shared" si="49"/>
        <v>0</v>
      </c>
    </row>
    <row r="595" spans="1:16" ht="14.5">
      <c r="A595" s="2042" t="s">
        <v>5841</v>
      </c>
      <c r="B595" s="380" t="str">
        <f t="shared" si="46"/>
        <v>143-904</v>
      </c>
      <c r="C595" s="2042" t="s">
        <v>899</v>
      </c>
      <c r="D595" s="2043">
        <v>106</v>
      </c>
      <c r="E595" s="2043">
        <v>107</v>
      </c>
      <c r="F595" s="2043">
        <f t="shared" si="47"/>
        <v>1</v>
      </c>
      <c r="G595" s="2043">
        <f t="shared" si="48"/>
        <v>0</v>
      </c>
      <c r="H595" s="2208">
        <v>0</v>
      </c>
      <c r="I595" s="2209">
        <v>0</v>
      </c>
      <c r="J595" s="2210">
        <v>0</v>
      </c>
      <c r="K595" s="2208">
        <v>0</v>
      </c>
      <c r="L595" s="2208">
        <v>0</v>
      </c>
      <c r="M595" s="2211">
        <v>0</v>
      </c>
      <c r="N595" s="2212">
        <v>25237</v>
      </c>
      <c r="O595" s="1118">
        <f t="shared" si="45"/>
        <v>25237</v>
      </c>
      <c r="P595" s="2213">
        <f t="shared" si="49"/>
        <v>6795.0240986928757</v>
      </c>
    </row>
    <row r="596" spans="1:16" ht="14.5">
      <c r="A596" s="2042" t="s">
        <v>2990</v>
      </c>
      <c r="B596" s="380" t="str">
        <f t="shared" si="46"/>
        <v>074-905</v>
      </c>
      <c r="C596" s="2042" t="s">
        <v>1009</v>
      </c>
      <c r="D596" s="2043">
        <v>255</v>
      </c>
      <c r="E596" s="2043">
        <v>256</v>
      </c>
      <c r="F596" s="2043">
        <f t="shared" si="47"/>
        <v>1</v>
      </c>
      <c r="G596" s="2043">
        <f t="shared" si="48"/>
        <v>0</v>
      </c>
      <c r="H596" s="2208">
        <v>0</v>
      </c>
      <c r="I596" s="2209">
        <v>0</v>
      </c>
      <c r="J596" s="2210">
        <v>0</v>
      </c>
      <c r="K596" s="2208">
        <v>0</v>
      </c>
      <c r="L596" s="2208">
        <v>0</v>
      </c>
      <c r="M596" s="2211">
        <v>0</v>
      </c>
      <c r="N596" s="2212">
        <v>62045</v>
      </c>
      <c r="O596" s="1118">
        <f t="shared" si="45"/>
        <v>62045</v>
      </c>
      <c r="P596" s="2213">
        <f t="shared" si="49"/>
        <v>16705.52245526011</v>
      </c>
    </row>
    <row r="597" spans="1:16" ht="14.5">
      <c r="A597" s="2042" t="s">
        <v>5760</v>
      </c>
      <c r="B597" s="380" t="str">
        <f t="shared" si="46"/>
        <v>023-902</v>
      </c>
      <c r="C597" s="2042" t="s">
        <v>1500</v>
      </c>
      <c r="D597" s="2043">
        <v>187</v>
      </c>
      <c r="E597" s="2043">
        <v>188</v>
      </c>
      <c r="F597" s="2043">
        <f t="shared" si="47"/>
        <v>1</v>
      </c>
      <c r="G597" s="2043">
        <f t="shared" si="48"/>
        <v>0</v>
      </c>
      <c r="H597" s="2208">
        <v>0</v>
      </c>
      <c r="I597" s="2209">
        <v>0</v>
      </c>
      <c r="J597" s="2210">
        <v>0</v>
      </c>
      <c r="K597" s="2208">
        <v>0</v>
      </c>
      <c r="L597" s="2208">
        <v>0</v>
      </c>
      <c r="M597" s="2211">
        <v>0</v>
      </c>
      <c r="N597" s="2212">
        <v>0</v>
      </c>
      <c r="O597" s="1118">
        <f t="shared" si="45"/>
        <v>0</v>
      </c>
      <c r="P597" s="2213">
        <f t="shared" si="49"/>
        <v>0</v>
      </c>
    </row>
    <row r="598" spans="1:16" ht="14.5">
      <c r="A598" s="2042" t="s">
        <v>5890</v>
      </c>
      <c r="B598" s="380" t="str">
        <f t="shared" si="46"/>
        <v>228-905</v>
      </c>
      <c r="C598" s="2042" t="s">
        <v>1808</v>
      </c>
      <c r="D598" s="2043">
        <v>205</v>
      </c>
      <c r="E598" s="2043">
        <v>206</v>
      </c>
      <c r="F598" s="2043">
        <f t="shared" si="47"/>
        <v>1</v>
      </c>
      <c r="G598" s="2043">
        <f t="shared" si="48"/>
        <v>0</v>
      </c>
      <c r="H598" s="2208">
        <v>0</v>
      </c>
      <c r="I598" s="2209">
        <v>0</v>
      </c>
      <c r="J598" s="2210">
        <v>0</v>
      </c>
      <c r="K598" s="2208">
        <v>0</v>
      </c>
      <c r="L598" s="2208">
        <v>0</v>
      </c>
      <c r="M598" s="2211">
        <v>0</v>
      </c>
      <c r="N598" s="2212">
        <v>43781</v>
      </c>
      <c r="O598" s="1118">
        <f t="shared" si="45"/>
        <v>43781</v>
      </c>
      <c r="P598" s="2213">
        <f t="shared" si="49"/>
        <v>11787.96806533553</v>
      </c>
    </row>
    <row r="599" spans="1:16" ht="14.5">
      <c r="A599" s="2042" t="s">
        <v>5753</v>
      </c>
      <c r="B599" s="380" t="str">
        <f t="shared" si="46"/>
        <v>018-903</v>
      </c>
      <c r="C599" s="2042" t="s">
        <v>2536</v>
      </c>
      <c r="D599" s="2043">
        <v>135</v>
      </c>
      <c r="E599" s="2043">
        <v>136</v>
      </c>
      <c r="F599" s="2043">
        <f t="shared" si="47"/>
        <v>1</v>
      </c>
      <c r="G599" s="2043">
        <f t="shared" si="48"/>
        <v>0</v>
      </c>
      <c r="H599" s="2208">
        <v>0</v>
      </c>
      <c r="I599" s="2209">
        <v>0</v>
      </c>
      <c r="J599" s="2210">
        <v>0</v>
      </c>
      <c r="K599" s="2208">
        <v>0</v>
      </c>
      <c r="L599" s="2208">
        <v>0</v>
      </c>
      <c r="M599" s="2211">
        <v>0</v>
      </c>
      <c r="N599" s="2212">
        <v>28158</v>
      </c>
      <c r="O599" s="1118">
        <f t="shared" si="45"/>
        <v>28158</v>
      </c>
      <c r="P599" s="2213">
        <f t="shared" si="49"/>
        <v>7581.4989329553428</v>
      </c>
    </row>
    <row r="600" spans="1:16" ht="14.5">
      <c r="A600" s="2042" t="s">
        <v>5116</v>
      </c>
      <c r="B600" s="380" t="str">
        <f t="shared" si="46"/>
        <v>123-908</v>
      </c>
      <c r="C600" s="2042" t="s">
        <v>2543</v>
      </c>
      <c r="D600" s="2043">
        <v>4982</v>
      </c>
      <c r="E600" s="2043">
        <v>4984</v>
      </c>
      <c r="F600" s="2043">
        <f t="shared" si="47"/>
        <v>2</v>
      </c>
      <c r="G600" s="2043">
        <f t="shared" si="48"/>
        <v>0</v>
      </c>
      <c r="H600" s="2208">
        <v>0</v>
      </c>
      <c r="I600" s="2209">
        <v>0</v>
      </c>
      <c r="J600" s="2210">
        <v>0</v>
      </c>
      <c r="K600" s="2208">
        <v>0</v>
      </c>
      <c r="L600" s="2208">
        <v>0</v>
      </c>
      <c r="M600" s="2211">
        <v>0</v>
      </c>
      <c r="N600" s="2212">
        <v>0</v>
      </c>
      <c r="O600" s="1118">
        <f t="shared" si="45"/>
        <v>0</v>
      </c>
      <c r="P600" s="2213">
        <f t="shared" si="49"/>
        <v>0</v>
      </c>
    </row>
    <row r="601" spans="1:16" ht="14.5">
      <c r="A601" s="2042" t="s">
        <v>3109</v>
      </c>
      <c r="B601" s="380" t="str">
        <f t="shared" si="46"/>
        <v>146-905</v>
      </c>
      <c r="C601" s="2042" t="s">
        <v>2251</v>
      </c>
      <c r="D601" s="2043">
        <v>459</v>
      </c>
      <c r="E601" s="2043">
        <v>461</v>
      </c>
      <c r="F601" s="2043">
        <f t="shared" si="47"/>
        <v>2</v>
      </c>
      <c r="G601" s="2043">
        <f t="shared" si="48"/>
        <v>0</v>
      </c>
      <c r="H601" s="2208">
        <v>0</v>
      </c>
      <c r="I601" s="2209">
        <v>0</v>
      </c>
      <c r="J601" s="2210">
        <v>0</v>
      </c>
      <c r="K601" s="2208">
        <v>0</v>
      </c>
      <c r="L601" s="2208">
        <v>0</v>
      </c>
      <c r="M601" s="2211">
        <v>0</v>
      </c>
      <c r="N601" s="2212">
        <v>0</v>
      </c>
      <c r="O601" s="1118">
        <f t="shared" ref="O601:O664" si="50">IF(N601&gt;M601,N601-M601,0)</f>
        <v>0</v>
      </c>
      <c r="P601" s="2213">
        <f t="shared" si="49"/>
        <v>0</v>
      </c>
    </row>
    <row r="602" spans="1:16" ht="14.5">
      <c r="A602" s="2042" t="s">
        <v>5224</v>
      </c>
      <c r="B602" s="380" t="str">
        <f t="shared" si="46"/>
        <v>187-901</v>
      </c>
      <c r="C602" s="2042" t="s">
        <v>421</v>
      </c>
      <c r="D602" s="2043">
        <v>494</v>
      </c>
      <c r="E602" s="2043">
        <v>496</v>
      </c>
      <c r="F602" s="2043">
        <f t="shared" si="47"/>
        <v>2</v>
      </c>
      <c r="G602" s="2043">
        <f t="shared" si="48"/>
        <v>0</v>
      </c>
      <c r="H602" s="2208">
        <v>0</v>
      </c>
      <c r="I602" s="2209">
        <v>0</v>
      </c>
      <c r="J602" s="2210">
        <v>0</v>
      </c>
      <c r="K602" s="2208">
        <v>0</v>
      </c>
      <c r="L602" s="2208">
        <v>0</v>
      </c>
      <c r="M602" s="2211">
        <v>0</v>
      </c>
      <c r="N602" s="2212">
        <v>0</v>
      </c>
      <c r="O602" s="1118">
        <f t="shared" si="50"/>
        <v>0</v>
      </c>
      <c r="P602" s="2213">
        <f t="shared" si="49"/>
        <v>0</v>
      </c>
    </row>
    <row r="603" spans="1:16" ht="14.5">
      <c r="A603" s="2042" t="s">
        <v>2947</v>
      </c>
      <c r="B603" s="380" t="str">
        <f t="shared" si="46"/>
        <v>047-905</v>
      </c>
      <c r="C603" s="2042" t="s">
        <v>2086</v>
      </c>
      <c r="D603" s="2043">
        <v>140</v>
      </c>
      <c r="E603" s="2043">
        <v>142</v>
      </c>
      <c r="F603" s="2043">
        <f t="shared" si="47"/>
        <v>2</v>
      </c>
      <c r="G603" s="2043">
        <f t="shared" si="48"/>
        <v>0</v>
      </c>
      <c r="H603" s="2208">
        <v>0</v>
      </c>
      <c r="I603" s="2209">
        <v>0</v>
      </c>
      <c r="J603" s="2210">
        <v>0</v>
      </c>
      <c r="K603" s="2208">
        <v>0</v>
      </c>
      <c r="L603" s="2208">
        <v>0</v>
      </c>
      <c r="M603" s="2211">
        <v>0</v>
      </c>
      <c r="N603" s="2212">
        <v>0</v>
      </c>
      <c r="O603" s="1118">
        <f t="shared" si="50"/>
        <v>0</v>
      </c>
      <c r="P603" s="2213">
        <f t="shared" si="49"/>
        <v>0</v>
      </c>
    </row>
    <row r="604" spans="1:16" ht="14.5">
      <c r="A604" s="2042" t="s">
        <v>5118</v>
      </c>
      <c r="B604" s="380" t="str">
        <f t="shared" si="46"/>
        <v>123-913</v>
      </c>
      <c r="C604" s="2042" t="s">
        <v>2545</v>
      </c>
      <c r="D604" s="2043">
        <v>386</v>
      </c>
      <c r="E604" s="2043">
        <v>388</v>
      </c>
      <c r="F604" s="2043">
        <f t="shared" si="47"/>
        <v>2</v>
      </c>
      <c r="G604" s="2043">
        <f t="shared" si="48"/>
        <v>0</v>
      </c>
      <c r="H604" s="2208">
        <v>0</v>
      </c>
      <c r="I604" s="2209">
        <v>0</v>
      </c>
      <c r="J604" s="2210">
        <v>0</v>
      </c>
      <c r="K604" s="2208">
        <v>0</v>
      </c>
      <c r="L604" s="2208">
        <v>0</v>
      </c>
      <c r="M604" s="2211">
        <v>0</v>
      </c>
      <c r="N604" s="2212">
        <v>0</v>
      </c>
      <c r="O604" s="1118">
        <f t="shared" si="50"/>
        <v>0</v>
      </c>
      <c r="P604" s="2213">
        <f t="shared" si="49"/>
        <v>0</v>
      </c>
    </row>
    <row r="605" spans="1:16" ht="14.5">
      <c r="A605" s="2042" t="s">
        <v>5174</v>
      </c>
      <c r="B605" s="380" t="str">
        <f t="shared" si="46"/>
        <v>162-904</v>
      </c>
      <c r="C605" s="2042" t="s">
        <v>1658</v>
      </c>
      <c r="D605" s="2043">
        <v>264</v>
      </c>
      <c r="E605" s="2043">
        <v>267</v>
      </c>
      <c r="F605" s="2043">
        <f t="shared" si="47"/>
        <v>3</v>
      </c>
      <c r="G605" s="2043">
        <f t="shared" si="48"/>
        <v>0</v>
      </c>
      <c r="H605" s="2208">
        <v>0</v>
      </c>
      <c r="I605" s="2209">
        <v>0</v>
      </c>
      <c r="J605" s="2210">
        <v>0</v>
      </c>
      <c r="K605" s="2208">
        <v>0</v>
      </c>
      <c r="L605" s="2208">
        <v>0</v>
      </c>
      <c r="M605" s="2211">
        <v>0</v>
      </c>
      <c r="N605" s="2212">
        <v>63699</v>
      </c>
      <c r="O605" s="1118">
        <f t="shared" si="50"/>
        <v>63699</v>
      </c>
      <c r="P605" s="2213">
        <f t="shared" si="49"/>
        <v>17150.859454873298</v>
      </c>
    </row>
    <row r="606" spans="1:16" ht="14.5">
      <c r="A606" s="2042" t="s">
        <v>3227</v>
      </c>
      <c r="B606" s="380" t="str">
        <f t="shared" si="46"/>
        <v>229-904</v>
      </c>
      <c r="C606" s="2042" t="s">
        <v>1810</v>
      </c>
      <c r="D606" s="2043">
        <v>1265</v>
      </c>
      <c r="E606" s="2043">
        <v>1268</v>
      </c>
      <c r="F606" s="2043">
        <f t="shared" si="47"/>
        <v>3</v>
      </c>
      <c r="G606" s="2043">
        <f t="shared" si="48"/>
        <v>0</v>
      </c>
      <c r="H606" s="2208">
        <v>0</v>
      </c>
      <c r="I606" s="2209">
        <v>0</v>
      </c>
      <c r="J606" s="2210">
        <v>0</v>
      </c>
      <c r="K606" s="2208">
        <v>0</v>
      </c>
      <c r="L606" s="2208">
        <v>0</v>
      </c>
      <c r="M606" s="2211">
        <v>0</v>
      </c>
      <c r="N606" s="2212">
        <v>0</v>
      </c>
      <c r="O606" s="1118">
        <f t="shared" si="50"/>
        <v>0</v>
      </c>
      <c r="P606" s="2213">
        <f t="shared" si="49"/>
        <v>0</v>
      </c>
    </row>
    <row r="607" spans="1:16" ht="14.5">
      <c r="A607" s="2042" t="s">
        <v>5783</v>
      </c>
      <c r="B607" s="380" t="str">
        <f t="shared" si="46"/>
        <v>059-902</v>
      </c>
      <c r="C607" s="2042" t="s">
        <v>2472</v>
      </c>
      <c r="D607" s="2043">
        <v>139</v>
      </c>
      <c r="E607" s="2043">
        <v>142</v>
      </c>
      <c r="F607" s="2043">
        <f t="shared" si="47"/>
        <v>3</v>
      </c>
      <c r="G607" s="2043">
        <f t="shared" si="48"/>
        <v>0</v>
      </c>
      <c r="H607" s="2208">
        <v>0</v>
      </c>
      <c r="I607" s="2209">
        <v>0</v>
      </c>
      <c r="J607" s="2210">
        <v>0</v>
      </c>
      <c r="K607" s="2208">
        <v>0</v>
      </c>
      <c r="L607" s="2208">
        <v>0</v>
      </c>
      <c r="M607" s="2211">
        <v>0</v>
      </c>
      <c r="N607" s="2212">
        <v>31200</v>
      </c>
      <c r="O607" s="1118">
        <f t="shared" si="50"/>
        <v>31200</v>
      </c>
      <c r="P607" s="2213">
        <f t="shared" si="49"/>
        <v>8400.5528342995494</v>
      </c>
    </row>
    <row r="608" spans="1:16" ht="14.5">
      <c r="A608" s="2042" t="s">
        <v>5829</v>
      </c>
      <c r="B608" s="380" t="str">
        <f t="shared" si="46"/>
        <v>133-905</v>
      </c>
      <c r="C608" s="2042" t="s">
        <v>1933</v>
      </c>
      <c r="D608" s="2043">
        <v>19</v>
      </c>
      <c r="E608" s="2043">
        <v>22</v>
      </c>
      <c r="F608" s="2043">
        <f t="shared" si="47"/>
        <v>3</v>
      </c>
      <c r="G608" s="2043">
        <f t="shared" si="48"/>
        <v>0</v>
      </c>
      <c r="H608" s="2208">
        <v>0</v>
      </c>
      <c r="I608" s="2209">
        <v>0</v>
      </c>
      <c r="J608" s="2210">
        <v>0</v>
      </c>
      <c r="K608" s="2208">
        <v>0</v>
      </c>
      <c r="L608" s="2208">
        <v>0</v>
      </c>
      <c r="M608" s="2211">
        <v>0</v>
      </c>
      <c r="N608" s="2212">
        <v>3618</v>
      </c>
      <c r="O608" s="1118">
        <f t="shared" si="50"/>
        <v>3618</v>
      </c>
      <c r="P608" s="2213">
        <f t="shared" si="49"/>
        <v>974.14103059281308</v>
      </c>
    </row>
    <row r="609" spans="1:16" ht="14.5">
      <c r="A609" s="2042" t="s">
        <v>5869</v>
      </c>
      <c r="B609" s="380" t="str">
        <f t="shared" si="46"/>
        <v>198-906</v>
      </c>
      <c r="C609" s="2042" t="s">
        <v>923</v>
      </c>
      <c r="D609" s="2043">
        <v>612</v>
      </c>
      <c r="E609" s="2043">
        <v>615</v>
      </c>
      <c r="F609" s="2043">
        <f t="shared" si="47"/>
        <v>3</v>
      </c>
      <c r="G609" s="2043">
        <f t="shared" si="48"/>
        <v>0</v>
      </c>
      <c r="H609" s="2208">
        <v>0</v>
      </c>
      <c r="I609" s="2209">
        <v>0</v>
      </c>
      <c r="J609" s="2210">
        <v>0</v>
      </c>
      <c r="K609" s="2208">
        <v>0</v>
      </c>
      <c r="L609" s="2208">
        <v>0</v>
      </c>
      <c r="M609" s="2211">
        <v>0</v>
      </c>
      <c r="N609" s="2212">
        <v>0</v>
      </c>
      <c r="O609" s="1118">
        <f t="shared" si="50"/>
        <v>0</v>
      </c>
      <c r="P609" s="2213">
        <f t="shared" si="49"/>
        <v>0</v>
      </c>
    </row>
    <row r="610" spans="1:16" ht="14.5">
      <c r="A610" s="2042" t="s">
        <v>3903</v>
      </c>
      <c r="B610" s="380" t="str">
        <f t="shared" si="46"/>
        <v>073-904</v>
      </c>
      <c r="C610" s="2042" t="s">
        <v>1256</v>
      </c>
      <c r="D610" s="2043">
        <v>157</v>
      </c>
      <c r="E610" s="2043">
        <v>160</v>
      </c>
      <c r="F610" s="2043">
        <f t="shared" si="47"/>
        <v>3</v>
      </c>
      <c r="G610" s="2043">
        <f t="shared" si="48"/>
        <v>0</v>
      </c>
      <c r="H610" s="2208">
        <v>0</v>
      </c>
      <c r="I610" s="2209">
        <v>0</v>
      </c>
      <c r="J610" s="2210">
        <v>0</v>
      </c>
      <c r="K610" s="2208">
        <v>0</v>
      </c>
      <c r="L610" s="2208">
        <v>0</v>
      </c>
      <c r="M610" s="2211">
        <v>0</v>
      </c>
      <c r="N610" s="2212">
        <v>0</v>
      </c>
      <c r="O610" s="1118">
        <f t="shared" si="50"/>
        <v>0</v>
      </c>
      <c r="P610" s="2213">
        <f t="shared" si="49"/>
        <v>0</v>
      </c>
    </row>
    <row r="611" spans="1:16" ht="14.5">
      <c r="A611" s="2042" t="s">
        <v>5848</v>
      </c>
      <c r="B611" s="380" t="str">
        <f t="shared" si="46"/>
        <v>160-904</v>
      </c>
      <c r="C611" s="2042" t="s">
        <v>1652</v>
      </c>
      <c r="D611" s="2043">
        <v>192</v>
      </c>
      <c r="E611" s="2043">
        <v>195</v>
      </c>
      <c r="F611" s="2043">
        <f t="shared" si="47"/>
        <v>3</v>
      </c>
      <c r="G611" s="2043">
        <f t="shared" si="48"/>
        <v>0</v>
      </c>
      <c r="H611" s="2208">
        <v>0</v>
      </c>
      <c r="I611" s="2209">
        <v>0</v>
      </c>
      <c r="J611" s="2210">
        <v>0</v>
      </c>
      <c r="K611" s="2208">
        <v>0</v>
      </c>
      <c r="L611" s="2208">
        <v>0</v>
      </c>
      <c r="M611" s="2211">
        <v>0</v>
      </c>
      <c r="N611" s="2212">
        <v>0</v>
      </c>
      <c r="O611" s="1118">
        <f t="shared" si="50"/>
        <v>0</v>
      </c>
      <c r="P611" s="2213">
        <f t="shared" si="49"/>
        <v>0</v>
      </c>
    </row>
    <row r="612" spans="1:16" ht="14.5">
      <c r="A612" s="2042" t="s">
        <v>5133</v>
      </c>
      <c r="B612" s="380" t="str">
        <f t="shared" si="46"/>
        <v>135-001</v>
      </c>
      <c r="C612" s="2042" t="s">
        <v>1935</v>
      </c>
      <c r="D612" s="2043">
        <v>124</v>
      </c>
      <c r="E612" s="2043">
        <v>127</v>
      </c>
      <c r="F612" s="2043">
        <f t="shared" si="47"/>
        <v>3</v>
      </c>
      <c r="G612" s="2043">
        <f t="shared" si="48"/>
        <v>0</v>
      </c>
      <c r="H612" s="2208">
        <v>0</v>
      </c>
      <c r="I612" s="2209">
        <v>0</v>
      </c>
      <c r="J612" s="2210">
        <v>0</v>
      </c>
      <c r="K612" s="2208">
        <v>0</v>
      </c>
      <c r="L612" s="2208">
        <v>0</v>
      </c>
      <c r="M612" s="2211">
        <v>0</v>
      </c>
      <c r="N612" s="2212">
        <v>0</v>
      </c>
      <c r="O612" s="1118">
        <f t="shared" si="50"/>
        <v>0</v>
      </c>
      <c r="P612" s="2213">
        <f t="shared" si="49"/>
        <v>0</v>
      </c>
    </row>
    <row r="613" spans="1:16" ht="14.5">
      <c r="A613" s="2042" t="s">
        <v>5006</v>
      </c>
      <c r="B613" s="380" t="str">
        <f t="shared" si="46"/>
        <v>069-901</v>
      </c>
      <c r="C613" s="2042" t="s">
        <v>1860</v>
      </c>
      <c r="D613" s="2043">
        <v>266</v>
      </c>
      <c r="E613" s="2043">
        <v>270</v>
      </c>
      <c r="F613" s="2043">
        <f t="shared" si="47"/>
        <v>4</v>
      </c>
      <c r="G613" s="2043">
        <f t="shared" si="48"/>
        <v>0</v>
      </c>
      <c r="H613" s="2208">
        <v>0</v>
      </c>
      <c r="I613" s="2209">
        <v>0</v>
      </c>
      <c r="J613" s="2210">
        <v>0</v>
      </c>
      <c r="K613" s="2208">
        <v>0</v>
      </c>
      <c r="L613" s="2208">
        <v>0</v>
      </c>
      <c r="M613" s="2211">
        <v>0</v>
      </c>
      <c r="N613" s="2212">
        <v>68377</v>
      </c>
      <c r="O613" s="1118">
        <f t="shared" si="50"/>
        <v>68377</v>
      </c>
      <c r="P613" s="2213">
        <f t="shared" si="49"/>
        <v>18410.403883041676</v>
      </c>
    </row>
    <row r="614" spans="1:16" ht="14.5">
      <c r="A614" s="2042" t="s">
        <v>5819</v>
      </c>
      <c r="B614" s="380" t="str">
        <f t="shared" si="46"/>
        <v>113-903</v>
      </c>
      <c r="C614" s="2042" t="s">
        <v>2380</v>
      </c>
      <c r="D614" s="2043">
        <v>508</v>
      </c>
      <c r="E614" s="2043">
        <v>512</v>
      </c>
      <c r="F614" s="2043">
        <f t="shared" si="47"/>
        <v>4</v>
      </c>
      <c r="G614" s="2043">
        <f t="shared" si="48"/>
        <v>0</v>
      </c>
      <c r="H614" s="2208">
        <v>0</v>
      </c>
      <c r="I614" s="2209">
        <v>0</v>
      </c>
      <c r="J614" s="2210">
        <v>0</v>
      </c>
      <c r="K614" s="2208">
        <v>0</v>
      </c>
      <c r="L614" s="2208">
        <v>0</v>
      </c>
      <c r="M614" s="2211">
        <v>0</v>
      </c>
      <c r="N614" s="2212">
        <v>0</v>
      </c>
      <c r="O614" s="1118">
        <f t="shared" si="50"/>
        <v>0</v>
      </c>
      <c r="P614" s="2213">
        <f t="shared" si="49"/>
        <v>0</v>
      </c>
    </row>
    <row r="615" spans="1:16" ht="14.5">
      <c r="A615" s="2042" t="s">
        <v>3054</v>
      </c>
      <c r="B615" s="380" t="str">
        <f t="shared" si="46"/>
        <v>109-910</v>
      </c>
      <c r="C615" s="2042" t="s">
        <v>2120</v>
      </c>
      <c r="D615" s="2043">
        <v>180</v>
      </c>
      <c r="E615" s="2043">
        <v>184</v>
      </c>
      <c r="F615" s="2043">
        <f t="shared" si="47"/>
        <v>4</v>
      </c>
      <c r="G615" s="2043">
        <f t="shared" si="48"/>
        <v>0</v>
      </c>
      <c r="H615" s="2208">
        <v>0</v>
      </c>
      <c r="I615" s="2209">
        <v>0</v>
      </c>
      <c r="J615" s="2210">
        <v>0</v>
      </c>
      <c r="K615" s="2208">
        <v>0</v>
      </c>
      <c r="L615" s="2208">
        <v>0</v>
      </c>
      <c r="M615" s="2211">
        <v>0</v>
      </c>
      <c r="N615" s="2212">
        <v>42876</v>
      </c>
      <c r="O615" s="1118">
        <f t="shared" si="50"/>
        <v>42876</v>
      </c>
      <c r="P615" s="2213">
        <f t="shared" si="49"/>
        <v>11544.298183443187</v>
      </c>
    </row>
    <row r="616" spans="1:16" ht="14.5">
      <c r="A616" s="2042" t="s">
        <v>5146</v>
      </c>
      <c r="B616" s="380" t="str">
        <f t="shared" si="46"/>
        <v>145-907</v>
      </c>
      <c r="C616" s="2042" t="s">
        <v>1723</v>
      </c>
      <c r="D616" s="2043">
        <v>188</v>
      </c>
      <c r="E616" s="2043">
        <v>192</v>
      </c>
      <c r="F616" s="2043">
        <f t="shared" si="47"/>
        <v>4</v>
      </c>
      <c r="G616" s="2043">
        <f t="shared" si="48"/>
        <v>0</v>
      </c>
      <c r="H616" s="2208">
        <v>0</v>
      </c>
      <c r="I616" s="2209">
        <v>0</v>
      </c>
      <c r="J616" s="2210">
        <v>0</v>
      </c>
      <c r="K616" s="2208">
        <v>0</v>
      </c>
      <c r="L616" s="2208">
        <v>0</v>
      </c>
      <c r="M616" s="2211">
        <v>0</v>
      </c>
      <c r="N616" s="2212">
        <v>41585</v>
      </c>
      <c r="O616" s="1118">
        <f t="shared" si="50"/>
        <v>41585</v>
      </c>
      <c r="P616" s="2213">
        <f t="shared" si="49"/>
        <v>11196.698385075215</v>
      </c>
    </row>
    <row r="617" spans="1:16" ht="14.5">
      <c r="A617" s="2042" t="s">
        <v>2958</v>
      </c>
      <c r="B617" s="380" t="str">
        <f t="shared" si="46"/>
        <v>060-902</v>
      </c>
      <c r="C617" s="2042" t="s">
        <v>2473</v>
      </c>
      <c r="D617" s="2043">
        <v>802</v>
      </c>
      <c r="E617" s="2043">
        <v>806</v>
      </c>
      <c r="F617" s="2043">
        <f t="shared" si="47"/>
        <v>4</v>
      </c>
      <c r="G617" s="2043">
        <f t="shared" si="48"/>
        <v>0</v>
      </c>
      <c r="H617" s="2208">
        <v>0</v>
      </c>
      <c r="I617" s="2209">
        <v>0</v>
      </c>
      <c r="J617" s="2210">
        <v>0</v>
      </c>
      <c r="K617" s="2208">
        <v>0</v>
      </c>
      <c r="L617" s="2208">
        <v>0</v>
      </c>
      <c r="M617" s="2211">
        <v>0</v>
      </c>
      <c r="N617" s="2212">
        <v>0</v>
      </c>
      <c r="O617" s="1118">
        <f t="shared" si="50"/>
        <v>0</v>
      </c>
      <c r="P617" s="2213">
        <f t="shared" si="49"/>
        <v>0</v>
      </c>
    </row>
    <row r="618" spans="1:16" ht="14.5">
      <c r="A618" s="2042" t="s">
        <v>3048</v>
      </c>
      <c r="B618" s="380" t="str">
        <f t="shared" si="46"/>
        <v>109-901</v>
      </c>
      <c r="C618" s="2042" t="s">
        <v>2031</v>
      </c>
      <c r="D618" s="2043">
        <v>270</v>
      </c>
      <c r="E618" s="2043">
        <v>274</v>
      </c>
      <c r="F618" s="2043">
        <f t="shared" si="47"/>
        <v>4</v>
      </c>
      <c r="G618" s="2043">
        <f t="shared" si="48"/>
        <v>0</v>
      </c>
      <c r="H618" s="2208">
        <v>0</v>
      </c>
      <c r="I618" s="2209">
        <v>0</v>
      </c>
      <c r="J618" s="2210">
        <v>0</v>
      </c>
      <c r="K618" s="2208">
        <v>0</v>
      </c>
      <c r="L618" s="2208">
        <v>0</v>
      </c>
      <c r="M618" s="2211">
        <v>0</v>
      </c>
      <c r="N618" s="2212">
        <v>0</v>
      </c>
      <c r="O618" s="1118">
        <f t="shared" si="50"/>
        <v>0</v>
      </c>
      <c r="P618" s="2213">
        <f t="shared" si="49"/>
        <v>0</v>
      </c>
    </row>
    <row r="619" spans="1:16" ht="14.5">
      <c r="A619" s="2042" t="s">
        <v>5025</v>
      </c>
      <c r="B619" s="380" t="str">
        <f t="shared" si="46"/>
        <v>081-906</v>
      </c>
      <c r="C619" s="2042" t="s">
        <v>811</v>
      </c>
      <c r="D619" s="2043">
        <v>160</v>
      </c>
      <c r="E619" s="2043">
        <v>164</v>
      </c>
      <c r="F619" s="2043">
        <f t="shared" si="47"/>
        <v>4</v>
      </c>
      <c r="G619" s="2043">
        <f t="shared" si="48"/>
        <v>0</v>
      </c>
      <c r="H619" s="2208">
        <v>0</v>
      </c>
      <c r="I619" s="2209">
        <v>0</v>
      </c>
      <c r="J619" s="2210">
        <v>0</v>
      </c>
      <c r="K619" s="2208">
        <v>0</v>
      </c>
      <c r="L619" s="2208">
        <v>0</v>
      </c>
      <c r="M619" s="2211">
        <v>0</v>
      </c>
      <c r="N619" s="2212">
        <v>0</v>
      </c>
      <c r="O619" s="1118">
        <f t="shared" si="50"/>
        <v>0</v>
      </c>
      <c r="P619" s="2213">
        <f t="shared" si="49"/>
        <v>0</v>
      </c>
    </row>
    <row r="620" spans="1:16" ht="14.5">
      <c r="A620" s="2042" t="s">
        <v>5178</v>
      </c>
      <c r="B620" s="380" t="str">
        <f t="shared" si="46"/>
        <v>166-905</v>
      </c>
      <c r="C620" s="2042" t="s">
        <v>1664</v>
      </c>
      <c r="D620" s="2043">
        <v>572</v>
      </c>
      <c r="E620" s="2043">
        <v>576</v>
      </c>
      <c r="F620" s="2043">
        <f t="shared" si="47"/>
        <v>4</v>
      </c>
      <c r="G620" s="2043">
        <f t="shared" si="48"/>
        <v>0</v>
      </c>
      <c r="H620" s="2208">
        <v>0</v>
      </c>
      <c r="I620" s="2209">
        <v>0</v>
      </c>
      <c r="J620" s="2210">
        <v>0</v>
      </c>
      <c r="K620" s="2208">
        <v>0</v>
      </c>
      <c r="L620" s="2208">
        <v>0</v>
      </c>
      <c r="M620" s="2211">
        <v>0</v>
      </c>
      <c r="N620" s="2212">
        <v>0</v>
      </c>
      <c r="O620" s="1118">
        <f t="shared" si="50"/>
        <v>0</v>
      </c>
      <c r="P620" s="2213">
        <f t="shared" si="49"/>
        <v>0</v>
      </c>
    </row>
    <row r="621" spans="1:16" ht="14.5">
      <c r="A621" s="2042" t="s">
        <v>5166</v>
      </c>
      <c r="B621" s="380" t="str">
        <f t="shared" si="46"/>
        <v>156-905</v>
      </c>
      <c r="C621" s="2042" t="s">
        <v>530</v>
      </c>
      <c r="D621" s="2043">
        <v>221</v>
      </c>
      <c r="E621" s="2043">
        <v>226</v>
      </c>
      <c r="F621" s="2043">
        <f t="shared" si="47"/>
        <v>5</v>
      </c>
      <c r="G621" s="2043">
        <f t="shared" si="48"/>
        <v>0</v>
      </c>
      <c r="H621" s="2208">
        <v>0</v>
      </c>
      <c r="I621" s="2209">
        <v>0</v>
      </c>
      <c r="J621" s="2210">
        <v>0</v>
      </c>
      <c r="K621" s="2208">
        <v>0</v>
      </c>
      <c r="L621" s="2208">
        <v>0</v>
      </c>
      <c r="M621" s="2211">
        <v>0</v>
      </c>
      <c r="N621" s="2212">
        <v>0</v>
      </c>
      <c r="O621" s="1118">
        <f t="shared" si="50"/>
        <v>0</v>
      </c>
      <c r="P621" s="2213">
        <f t="shared" si="49"/>
        <v>0</v>
      </c>
    </row>
    <row r="622" spans="1:16" ht="14.5">
      <c r="A622" s="2042" t="s">
        <v>2861</v>
      </c>
      <c r="B622" s="380" t="str">
        <f t="shared" si="46"/>
        <v>010-902</v>
      </c>
      <c r="C622" s="2042" t="s">
        <v>2002</v>
      </c>
      <c r="D622" s="2043">
        <v>2213</v>
      </c>
      <c r="E622" s="2043">
        <v>2218</v>
      </c>
      <c r="F622" s="2043">
        <f t="shared" si="47"/>
        <v>5</v>
      </c>
      <c r="G622" s="2043">
        <f t="shared" si="48"/>
        <v>0</v>
      </c>
      <c r="H622" s="2208">
        <v>0</v>
      </c>
      <c r="I622" s="2209">
        <v>0</v>
      </c>
      <c r="J622" s="2210">
        <v>0</v>
      </c>
      <c r="K622" s="2208">
        <v>0</v>
      </c>
      <c r="L622" s="2208">
        <v>0</v>
      </c>
      <c r="M622" s="2211">
        <v>0</v>
      </c>
      <c r="N622" s="2212">
        <v>0</v>
      </c>
      <c r="O622" s="1118">
        <f t="shared" si="50"/>
        <v>0</v>
      </c>
      <c r="P622" s="2213">
        <f t="shared" si="49"/>
        <v>0</v>
      </c>
    </row>
    <row r="623" spans="1:16" ht="14.5">
      <c r="A623" s="2042" t="s">
        <v>5857</v>
      </c>
      <c r="B623" s="380" t="str">
        <f t="shared" si="46"/>
        <v>169-909</v>
      </c>
      <c r="C623" s="2042" t="s">
        <v>2123</v>
      </c>
      <c r="D623" s="2043">
        <v>147</v>
      </c>
      <c r="E623" s="2043">
        <v>152</v>
      </c>
      <c r="F623" s="2043">
        <f t="shared" si="47"/>
        <v>5</v>
      </c>
      <c r="G623" s="2043">
        <f t="shared" si="48"/>
        <v>0</v>
      </c>
      <c r="H623" s="2208">
        <v>0</v>
      </c>
      <c r="I623" s="2209">
        <v>0</v>
      </c>
      <c r="J623" s="2210">
        <v>0</v>
      </c>
      <c r="K623" s="2208">
        <v>0</v>
      </c>
      <c r="L623" s="2208">
        <v>0</v>
      </c>
      <c r="M623" s="2211">
        <v>0</v>
      </c>
      <c r="N623" s="2212">
        <v>32815</v>
      </c>
      <c r="O623" s="1118">
        <f t="shared" si="50"/>
        <v>32815</v>
      </c>
      <c r="P623" s="2213">
        <f t="shared" si="49"/>
        <v>8835.3891428698626</v>
      </c>
    </row>
    <row r="624" spans="1:16" ht="14.5">
      <c r="A624" s="2042" t="s">
        <v>5193</v>
      </c>
      <c r="B624" s="380" t="str">
        <f t="shared" si="46"/>
        <v>175-905</v>
      </c>
      <c r="C624" s="2042" t="s">
        <v>291</v>
      </c>
      <c r="D624" s="2043">
        <v>429</v>
      </c>
      <c r="E624" s="2043">
        <v>434</v>
      </c>
      <c r="F624" s="2043">
        <f t="shared" si="47"/>
        <v>5</v>
      </c>
      <c r="G624" s="2043">
        <f t="shared" si="48"/>
        <v>0</v>
      </c>
      <c r="H624" s="2208">
        <v>0</v>
      </c>
      <c r="I624" s="2209">
        <v>0</v>
      </c>
      <c r="J624" s="2210">
        <v>0</v>
      </c>
      <c r="K624" s="2208">
        <v>0</v>
      </c>
      <c r="L624" s="2208">
        <v>0</v>
      </c>
      <c r="M624" s="2211">
        <v>0</v>
      </c>
      <c r="N624" s="2212">
        <v>0</v>
      </c>
      <c r="O624" s="1118">
        <f t="shared" si="50"/>
        <v>0</v>
      </c>
      <c r="P624" s="2213">
        <f t="shared" si="49"/>
        <v>0</v>
      </c>
    </row>
    <row r="625" spans="1:16" ht="14.5">
      <c r="A625" s="2042" t="s">
        <v>5796</v>
      </c>
      <c r="B625" s="380" t="str">
        <f t="shared" si="46"/>
        <v>072-910</v>
      </c>
      <c r="C625" s="2042" t="s">
        <v>1871</v>
      </c>
      <c r="D625" s="2043">
        <v>124</v>
      </c>
      <c r="E625" s="2043">
        <v>129</v>
      </c>
      <c r="F625" s="2043">
        <f t="shared" si="47"/>
        <v>5</v>
      </c>
      <c r="G625" s="2043">
        <f t="shared" si="48"/>
        <v>0</v>
      </c>
      <c r="H625" s="2208">
        <v>0</v>
      </c>
      <c r="I625" s="2209">
        <v>0</v>
      </c>
      <c r="J625" s="2210">
        <v>0</v>
      </c>
      <c r="K625" s="2208">
        <v>0</v>
      </c>
      <c r="L625" s="2208">
        <v>0</v>
      </c>
      <c r="M625" s="2211">
        <v>0</v>
      </c>
      <c r="N625" s="2212">
        <v>24668</v>
      </c>
      <c r="O625" s="1118">
        <f t="shared" si="50"/>
        <v>24668</v>
      </c>
      <c r="P625" s="2213">
        <f t="shared" si="49"/>
        <v>6641.8217088622205</v>
      </c>
    </row>
    <row r="626" spans="1:16" ht="14.5">
      <c r="A626" s="2042" t="s">
        <v>5823</v>
      </c>
      <c r="B626" s="380" t="str">
        <f t="shared" si="46"/>
        <v>117-907</v>
      </c>
      <c r="C626" s="2042" t="s">
        <v>2384</v>
      </c>
      <c r="D626" s="2043">
        <v>101</v>
      </c>
      <c r="E626" s="2043">
        <v>106</v>
      </c>
      <c r="F626" s="2043">
        <f t="shared" si="47"/>
        <v>5</v>
      </c>
      <c r="G626" s="2043">
        <f t="shared" si="48"/>
        <v>0</v>
      </c>
      <c r="H626" s="2208">
        <v>0</v>
      </c>
      <c r="I626" s="2209">
        <v>0</v>
      </c>
      <c r="J626" s="2210">
        <v>0</v>
      </c>
      <c r="K626" s="2208">
        <v>0</v>
      </c>
      <c r="L626" s="2208">
        <v>0</v>
      </c>
      <c r="M626" s="2211">
        <v>0</v>
      </c>
      <c r="N626" s="2212">
        <v>0</v>
      </c>
      <c r="O626" s="1118">
        <f t="shared" si="50"/>
        <v>0</v>
      </c>
      <c r="P626" s="2213">
        <f t="shared" si="49"/>
        <v>0</v>
      </c>
    </row>
    <row r="627" spans="1:16" ht="14.5">
      <c r="A627" s="2042" t="s">
        <v>3143</v>
      </c>
      <c r="B627" s="380" t="str">
        <f t="shared" si="46"/>
        <v>167-904</v>
      </c>
      <c r="C627" s="2042" t="s">
        <v>71</v>
      </c>
      <c r="D627" s="2043">
        <v>111</v>
      </c>
      <c r="E627" s="2043">
        <v>116</v>
      </c>
      <c r="F627" s="2043">
        <f t="shared" si="47"/>
        <v>5</v>
      </c>
      <c r="G627" s="2043">
        <f t="shared" si="48"/>
        <v>0</v>
      </c>
      <c r="H627" s="2208">
        <v>0</v>
      </c>
      <c r="I627" s="2209">
        <v>0</v>
      </c>
      <c r="J627" s="2210">
        <v>0</v>
      </c>
      <c r="K627" s="2208">
        <v>0</v>
      </c>
      <c r="L627" s="2208">
        <v>0</v>
      </c>
      <c r="M627" s="2211">
        <v>0</v>
      </c>
      <c r="N627" s="2212">
        <v>0</v>
      </c>
      <c r="O627" s="1118">
        <f t="shared" si="50"/>
        <v>0</v>
      </c>
      <c r="P627" s="2213">
        <f t="shared" si="49"/>
        <v>0</v>
      </c>
    </row>
    <row r="628" spans="1:16" ht="14.5">
      <c r="A628" s="2042" t="s">
        <v>5141</v>
      </c>
      <c r="B628" s="380" t="str">
        <f t="shared" si="46"/>
        <v>144-901</v>
      </c>
      <c r="C628" s="2042" t="s">
        <v>902</v>
      </c>
      <c r="D628" s="2043">
        <v>1909</v>
      </c>
      <c r="E628" s="2043">
        <v>1914</v>
      </c>
      <c r="F628" s="2043">
        <f t="shared" si="47"/>
        <v>5</v>
      </c>
      <c r="G628" s="2043">
        <f t="shared" si="48"/>
        <v>0</v>
      </c>
      <c r="H628" s="2208">
        <v>0</v>
      </c>
      <c r="I628" s="2209">
        <v>0</v>
      </c>
      <c r="J628" s="2210">
        <v>0</v>
      </c>
      <c r="K628" s="2208">
        <v>0</v>
      </c>
      <c r="L628" s="2208">
        <v>0</v>
      </c>
      <c r="M628" s="2211">
        <v>0</v>
      </c>
      <c r="N628" s="2212">
        <v>0</v>
      </c>
      <c r="O628" s="1118">
        <f t="shared" si="50"/>
        <v>0</v>
      </c>
      <c r="P628" s="2213">
        <f t="shared" si="49"/>
        <v>0</v>
      </c>
    </row>
    <row r="629" spans="1:16" ht="14.5">
      <c r="A629" s="2042" t="s">
        <v>3220</v>
      </c>
      <c r="B629" s="380" t="str">
        <f t="shared" si="46"/>
        <v>225-906</v>
      </c>
      <c r="C629" s="2042" t="s">
        <v>619</v>
      </c>
      <c r="D629" s="2043">
        <v>986</v>
      </c>
      <c r="E629" s="2043">
        <v>992</v>
      </c>
      <c r="F629" s="2043">
        <f t="shared" si="47"/>
        <v>6</v>
      </c>
      <c r="G629" s="2043">
        <f t="shared" si="48"/>
        <v>0</v>
      </c>
      <c r="H629" s="2208">
        <v>0</v>
      </c>
      <c r="I629" s="2209">
        <v>0</v>
      </c>
      <c r="J629" s="2210">
        <v>0</v>
      </c>
      <c r="K629" s="2208">
        <v>0</v>
      </c>
      <c r="L629" s="2208">
        <v>0</v>
      </c>
      <c r="M629" s="2211">
        <v>0</v>
      </c>
      <c r="N629" s="2212">
        <v>0</v>
      </c>
      <c r="O629" s="1118">
        <f t="shared" si="50"/>
        <v>0</v>
      </c>
      <c r="P629" s="2213">
        <f t="shared" si="49"/>
        <v>0</v>
      </c>
    </row>
    <row r="630" spans="1:16" ht="14.5">
      <c r="A630" s="2042" t="s">
        <v>5000</v>
      </c>
      <c r="B630" s="380" t="str">
        <f t="shared" si="46"/>
        <v>062-904</v>
      </c>
      <c r="C630" s="2042" t="s">
        <v>2477</v>
      </c>
      <c r="D630" s="2043">
        <v>518</v>
      </c>
      <c r="E630" s="2043">
        <v>524</v>
      </c>
      <c r="F630" s="2043">
        <f t="shared" si="47"/>
        <v>6</v>
      </c>
      <c r="G630" s="2043">
        <f t="shared" si="48"/>
        <v>0</v>
      </c>
      <c r="H630" s="2208">
        <v>0</v>
      </c>
      <c r="I630" s="2209">
        <v>0</v>
      </c>
      <c r="J630" s="2210">
        <v>0</v>
      </c>
      <c r="K630" s="2208">
        <v>0</v>
      </c>
      <c r="L630" s="2208">
        <v>0</v>
      </c>
      <c r="M630" s="2211">
        <v>0</v>
      </c>
      <c r="N630" s="2212">
        <v>126614</v>
      </c>
      <c r="O630" s="1118">
        <f t="shared" si="50"/>
        <v>126614</v>
      </c>
      <c r="P630" s="2213">
        <f t="shared" si="49"/>
        <v>34090.628094935993</v>
      </c>
    </row>
    <row r="631" spans="1:16" ht="14.5">
      <c r="A631" s="2042" t="s">
        <v>5202</v>
      </c>
      <c r="B631" s="380" t="str">
        <f t="shared" si="46"/>
        <v>178-905</v>
      </c>
      <c r="C631" s="2042" t="s">
        <v>300</v>
      </c>
      <c r="D631" s="2043">
        <v>283</v>
      </c>
      <c r="E631" s="2043">
        <v>289</v>
      </c>
      <c r="F631" s="2043">
        <f t="shared" si="47"/>
        <v>6</v>
      </c>
      <c r="G631" s="2043">
        <f t="shared" si="48"/>
        <v>0</v>
      </c>
      <c r="H631" s="2208">
        <v>0</v>
      </c>
      <c r="I631" s="2209">
        <v>0</v>
      </c>
      <c r="J631" s="2210">
        <v>0</v>
      </c>
      <c r="K631" s="2208">
        <v>0</v>
      </c>
      <c r="L631" s="2208">
        <v>0</v>
      </c>
      <c r="M631" s="2211">
        <v>0</v>
      </c>
      <c r="N631" s="2212">
        <v>0</v>
      </c>
      <c r="O631" s="1118">
        <f t="shared" si="50"/>
        <v>0</v>
      </c>
      <c r="P631" s="2213">
        <f t="shared" si="49"/>
        <v>0</v>
      </c>
    </row>
    <row r="632" spans="1:16" ht="14.5">
      <c r="A632" s="2042" t="s">
        <v>5316</v>
      </c>
      <c r="B632" s="380" t="str">
        <f t="shared" si="46"/>
        <v>250-905</v>
      </c>
      <c r="C632" s="2042" t="s">
        <v>1294</v>
      </c>
      <c r="D632" s="2043">
        <v>365</v>
      </c>
      <c r="E632" s="2043">
        <v>371</v>
      </c>
      <c r="F632" s="2043">
        <f t="shared" si="47"/>
        <v>6</v>
      </c>
      <c r="G632" s="2043">
        <f t="shared" si="48"/>
        <v>0</v>
      </c>
      <c r="H632" s="2208">
        <v>0</v>
      </c>
      <c r="I632" s="2209">
        <v>0</v>
      </c>
      <c r="J632" s="2210">
        <v>0</v>
      </c>
      <c r="K632" s="2208">
        <v>0</v>
      </c>
      <c r="L632" s="2208">
        <v>0</v>
      </c>
      <c r="M632" s="2211">
        <v>0</v>
      </c>
      <c r="N632" s="2212">
        <v>0</v>
      </c>
      <c r="O632" s="1118">
        <f t="shared" si="50"/>
        <v>0</v>
      </c>
      <c r="P632" s="2213">
        <f t="shared" si="49"/>
        <v>0</v>
      </c>
    </row>
    <row r="633" spans="1:16" ht="14.5">
      <c r="A633" s="2042" t="s">
        <v>5804</v>
      </c>
      <c r="B633" s="380" t="str">
        <f t="shared" si="46"/>
        <v>086-024</v>
      </c>
      <c r="C633" s="2042" t="s">
        <v>983</v>
      </c>
      <c r="D633" s="2043">
        <v>12</v>
      </c>
      <c r="E633" s="2043">
        <v>18</v>
      </c>
      <c r="F633" s="2043">
        <f t="shared" si="47"/>
        <v>6</v>
      </c>
      <c r="G633" s="2043">
        <f t="shared" si="48"/>
        <v>0</v>
      </c>
      <c r="H633" s="2208">
        <v>0</v>
      </c>
      <c r="I633" s="2209">
        <v>0</v>
      </c>
      <c r="J633" s="2210">
        <v>0</v>
      </c>
      <c r="K633" s="2208">
        <v>0</v>
      </c>
      <c r="L633" s="2208">
        <v>0</v>
      </c>
      <c r="M633" s="2211">
        <v>0</v>
      </c>
      <c r="N633" s="2212">
        <v>4769</v>
      </c>
      <c r="O633" s="1118">
        <f t="shared" si="50"/>
        <v>4769</v>
      </c>
      <c r="P633" s="2213">
        <f t="shared" si="49"/>
        <v>1284.0460406017482</v>
      </c>
    </row>
    <row r="634" spans="1:16" ht="14.5">
      <c r="A634" s="2042" t="s">
        <v>5898</v>
      </c>
      <c r="B634" s="380" t="str">
        <f t="shared" si="46"/>
        <v>244-901</v>
      </c>
      <c r="C634" s="2042" t="s">
        <v>1518</v>
      </c>
      <c r="D634" s="2043">
        <v>101</v>
      </c>
      <c r="E634" s="2043">
        <v>107</v>
      </c>
      <c r="F634" s="2043">
        <f t="shared" si="47"/>
        <v>6</v>
      </c>
      <c r="G634" s="2043">
        <f t="shared" si="48"/>
        <v>0</v>
      </c>
      <c r="H634" s="2208">
        <v>0</v>
      </c>
      <c r="I634" s="2209">
        <v>0</v>
      </c>
      <c r="J634" s="2210">
        <v>0</v>
      </c>
      <c r="K634" s="2208">
        <v>0</v>
      </c>
      <c r="L634" s="2208">
        <v>0</v>
      </c>
      <c r="M634" s="2211">
        <v>0</v>
      </c>
      <c r="N634" s="2212">
        <v>0</v>
      </c>
      <c r="O634" s="1118">
        <f t="shared" si="50"/>
        <v>0</v>
      </c>
      <c r="P634" s="2213">
        <f t="shared" si="49"/>
        <v>0</v>
      </c>
    </row>
    <row r="635" spans="1:16" ht="14.5">
      <c r="A635" s="2042" t="s">
        <v>4203</v>
      </c>
      <c r="B635" s="380" t="str">
        <f t="shared" si="46"/>
        <v>109-913</v>
      </c>
      <c r="C635" s="2042" t="s">
        <v>1270</v>
      </c>
      <c r="D635" s="2043">
        <v>359</v>
      </c>
      <c r="E635" s="2043">
        <v>365</v>
      </c>
      <c r="F635" s="2043">
        <f t="shared" si="47"/>
        <v>6</v>
      </c>
      <c r="G635" s="2043">
        <f t="shared" si="48"/>
        <v>0</v>
      </c>
      <c r="H635" s="2208">
        <v>0</v>
      </c>
      <c r="I635" s="2209">
        <v>0</v>
      </c>
      <c r="J635" s="2210">
        <v>0</v>
      </c>
      <c r="K635" s="2208">
        <v>0</v>
      </c>
      <c r="L635" s="2208">
        <v>0</v>
      </c>
      <c r="M635" s="2211">
        <v>0</v>
      </c>
      <c r="N635" s="2212">
        <v>0</v>
      </c>
      <c r="O635" s="1118">
        <f t="shared" si="50"/>
        <v>0</v>
      </c>
      <c r="P635" s="2213">
        <f t="shared" si="49"/>
        <v>0</v>
      </c>
    </row>
    <row r="636" spans="1:16" ht="14.5">
      <c r="A636" s="2042" t="s">
        <v>5758</v>
      </c>
      <c r="B636" s="380" t="str">
        <f t="shared" si="46"/>
        <v>022-902</v>
      </c>
      <c r="C636" s="2042" t="s">
        <v>1498</v>
      </c>
      <c r="D636" s="2043">
        <v>54</v>
      </c>
      <c r="E636" s="2043">
        <v>60</v>
      </c>
      <c r="F636" s="2043">
        <f t="shared" si="47"/>
        <v>6</v>
      </c>
      <c r="G636" s="2043">
        <f t="shared" si="48"/>
        <v>0</v>
      </c>
      <c r="H636" s="2208">
        <v>0</v>
      </c>
      <c r="I636" s="2209">
        <v>0</v>
      </c>
      <c r="J636" s="2210">
        <v>0</v>
      </c>
      <c r="K636" s="2208">
        <v>0</v>
      </c>
      <c r="L636" s="2208">
        <v>0</v>
      </c>
      <c r="M636" s="2211">
        <v>0</v>
      </c>
      <c r="N636" s="2212">
        <v>0</v>
      </c>
      <c r="O636" s="1118">
        <f t="shared" si="50"/>
        <v>0</v>
      </c>
      <c r="P636" s="2213">
        <f t="shared" si="49"/>
        <v>0</v>
      </c>
    </row>
    <row r="637" spans="1:16" ht="14.5">
      <c r="A637" s="2042" t="s">
        <v>4971</v>
      </c>
      <c r="B637" s="380" t="str">
        <f t="shared" si="46"/>
        <v>042-905</v>
      </c>
      <c r="C637" s="2042" t="s">
        <v>974</v>
      </c>
      <c r="D637" s="2043">
        <v>150</v>
      </c>
      <c r="E637" s="2043">
        <v>156</v>
      </c>
      <c r="F637" s="2043">
        <f t="shared" si="47"/>
        <v>6</v>
      </c>
      <c r="G637" s="2043">
        <f t="shared" si="48"/>
        <v>0</v>
      </c>
      <c r="H637" s="2208">
        <v>0</v>
      </c>
      <c r="I637" s="2209">
        <v>0</v>
      </c>
      <c r="J637" s="2210">
        <v>0</v>
      </c>
      <c r="K637" s="2208">
        <v>0</v>
      </c>
      <c r="L637" s="2208">
        <v>0</v>
      </c>
      <c r="M637" s="2211">
        <v>0</v>
      </c>
      <c r="N637" s="2212">
        <v>0</v>
      </c>
      <c r="O637" s="1118">
        <f t="shared" si="50"/>
        <v>0</v>
      </c>
      <c r="P637" s="2213">
        <f t="shared" si="49"/>
        <v>0</v>
      </c>
    </row>
    <row r="638" spans="1:16" ht="14.5">
      <c r="A638" s="2042" t="s">
        <v>4996</v>
      </c>
      <c r="B638" s="380" t="str">
        <f t="shared" si="46"/>
        <v>058-909</v>
      </c>
      <c r="C638" s="2042" t="s">
        <v>2471</v>
      </c>
      <c r="D638" s="2043">
        <v>257</v>
      </c>
      <c r="E638" s="2043">
        <v>263</v>
      </c>
      <c r="F638" s="2043">
        <f t="shared" si="47"/>
        <v>6</v>
      </c>
      <c r="G638" s="2043">
        <f t="shared" si="48"/>
        <v>0</v>
      </c>
      <c r="H638" s="2208">
        <v>0</v>
      </c>
      <c r="I638" s="2209">
        <v>0</v>
      </c>
      <c r="J638" s="2210">
        <v>0</v>
      </c>
      <c r="K638" s="2208">
        <v>0</v>
      </c>
      <c r="L638" s="2208">
        <v>0</v>
      </c>
      <c r="M638" s="2211">
        <v>0</v>
      </c>
      <c r="N638" s="2212">
        <v>60812</v>
      </c>
      <c r="O638" s="1118">
        <f t="shared" si="50"/>
        <v>60812</v>
      </c>
      <c r="P638" s="2213">
        <f t="shared" si="49"/>
        <v>16373.539069212313</v>
      </c>
    </row>
    <row r="639" spans="1:16" ht="14.5">
      <c r="A639" s="2042" t="s">
        <v>5821</v>
      </c>
      <c r="B639" s="380" t="str">
        <f t="shared" si="46"/>
        <v>115-902</v>
      </c>
      <c r="C639" s="2042" t="s">
        <v>1485</v>
      </c>
      <c r="D639" s="2043">
        <v>123</v>
      </c>
      <c r="E639" s="2043">
        <v>129</v>
      </c>
      <c r="F639" s="2043">
        <f t="shared" si="47"/>
        <v>6</v>
      </c>
      <c r="G639" s="2043">
        <f t="shared" si="48"/>
        <v>0</v>
      </c>
      <c r="H639" s="2208">
        <v>0</v>
      </c>
      <c r="I639" s="2209">
        <v>0</v>
      </c>
      <c r="J639" s="2210">
        <v>0</v>
      </c>
      <c r="K639" s="2208">
        <v>0</v>
      </c>
      <c r="L639" s="2208">
        <v>0</v>
      </c>
      <c r="M639" s="2211">
        <v>0</v>
      </c>
      <c r="N639" s="2212">
        <v>0</v>
      </c>
      <c r="O639" s="1118">
        <f t="shared" si="50"/>
        <v>0</v>
      </c>
      <c r="P639" s="2213">
        <f t="shared" si="49"/>
        <v>0</v>
      </c>
    </row>
    <row r="640" spans="1:16" ht="14.5">
      <c r="A640" s="2042" t="s">
        <v>5138</v>
      </c>
      <c r="B640" s="380" t="str">
        <f t="shared" si="46"/>
        <v>141-902</v>
      </c>
      <c r="C640" s="2042" t="s">
        <v>895</v>
      </c>
      <c r="D640" s="2043">
        <v>310</v>
      </c>
      <c r="E640" s="2043">
        <v>316</v>
      </c>
      <c r="F640" s="2043">
        <f t="shared" si="47"/>
        <v>6</v>
      </c>
      <c r="G640" s="2043">
        <f t="shared" si="48"/>
        <v>0</v>
      </c>
      <c r="H640" s="2208">
        <v>0</v>
      </c>
      <c r="I640" s="2209">
        <v>0</v>
      </c>
      <c r="J640" s="2210">
        <v>0</v>
      </c>
      <c r="K640" s="2208">
        <v>0</v>
      </c>
      <c r="L640" s="2208">
        <v>0</v>
      </c>
      <c r="M640" s="2211">
        <v>0</v>
      </c>
      <c r="N640" s="2212">
        <v>75771</v>
      </c>
      <c r="O640" s="1118">
        <f t="shared" si="50"/>
        <v>75771</v>
      </c>
      <c r="P640" s="2213">
        <f t="shared" si="49"/>
        <v>20401.227205375355</v>
      </c>
    </row>
    <row r="641" spans="1:16" ht="14.5">
      <c r="A641" s="2042" t="s">
        <v>3045</v>
      </c>
      <c r="B641" s="380" t="str">
        <f t="shared" si="46"/>
        <v>108-914</v>
      </c>
      <c r="C641" s="2042" t="s">
        <v>2175</v>
      </c>
      <c r="D641" s="2043">
        <v>591</v>
      </c>
      <c r="E641" s="2043">
        <v>597</v>
      </c>
      <c r="F641" s="2043">
        <f t="shared" si="47"/>
        <v>6</v>
      </c>
      <c r="G641" s="2043">
        <f t="shared" si="48"/>
        <v>0</v>
      </c>
      <c r="H641" s="2208">
        <v>0</v>
      </c>
      <c r="I641" s="2209">
        <v>0</v>
      </c>
      <c r="J641" s="2210">
        <v>0</v>
      </c>
      <c r="K641" s="2208">
        <v>0</v>
      </c>
      <c r="L641" s="2208">
        <v>0</v>
      </c>
      <c r="M641" s="2211">
        <v>0</v>
      </c>
      <c r="N641" s="2212">
        <v>0</v>
      </c>
      <c r="O641" s="1118">
        <f t="shared" si="50"/>
        <v>0</v>
      </c>
      <c r="P641" s="2213">
        <f t="shared" si="49"/>
        <v>0</v>
      </c>
    </row>
    <row r="642" spans="1:16" ht="14.5">
      <c r="A642" s="2042" t="s">
        <v>5058</v>
      </c>
      <c r="B642" s="380" t="str">
        <f t="shared" si="46"/>
        <v>096-905</v>
      </c>
      <c r="C642" s="2042" t="s">
        <v>225</v>
      </c>
      <c r="D642" s="2043">
        <v>188</v>
      </c>
      <c r="E642" s="2043">
        <v>195</v>
      </c>
      <c r="F642" s="2043">
        <f t="shared" si="47"/>
        <v>7</v>
      </c>
      <c r="G642" s="2043">
        <f t="shared" si="48"/>
        <v>0</v>
      </c>
      <c r="H642" s="2208">
        <v>0</v>
      </c>
      <c r="I642" s="2209">
        <v>0</v>
      </c>
      <c r="J642" s="2210">
        <v>0</v>
      </c>
      <c r="K642" s="2208">
        <v>0</v>
      </c>
      <c r="L642" s="2208">
        <v>0</v>
      </c>
      <c r="M642" s="2211">
        <v>0</v>
      </c>
      <c r="N642" s="2212">
        <v>44980</v>
      </c>
      <c r="O642" s="1118">
        <f t="shared" si="50"/>
        <v>44980</v>
      </c>
      <c r="P642" s="2213">
        <f t="shared" si="49"/>
        <v>12110.79700278185</v>
      </c>
    </row>
    <row r="643" spans="1:16" ht="14.5">
      <c r="A643" s="2042" t="s">
        <v>2886</v>
      </c>
      <c r="B643" s="380" t="str">
        <f t="shared" ref="B643:B706" si="51">CONCATENATE(LEFT(RIGHT(CONCATENATE("000",A643),6),3),"-",(RIGHT(RIGHT(CONCATENATE("000",A643),6),3)))</f>
        <v>015-917</v>
      </c>
      <c r="C643" s="2042" t="s">
        <v>1826</v>
      </c>
      <c r="D643" s="2043">
        <v>5587</v>
      </c>
      <c r="E643" s="2043">
        <v>5595</v>
      </c>
      <c r="F643" s="2043">
        <f t="shared" ref="F643:F706" si="52">MAX(0,E643-D643)</f>
        <v>8</v>
      </c>
      <c r="G643" s="2043">
        <f t="shared" ref="G643:G706" si="53">MAX(0,F643-250)</f>
        <v>0</v>
      </c>
      <c r="H643" s="2208">
        <v>0</v>
      </c>
      <c r="I643" s="2209">
        <v>0</v>
      </c>
      <c r="J643" s="2210">
        <v>0</v>
      </c>
      <c r="K643" s="2208">
        <v>0</v>
      </c>
      <c r="L643" s="2208">
        <v>0</v>
      </c>
      <c r="M643" s="2211">
        <v>0</v>
      </c>
      <c r="N643" s="2212">
        <v>0</v>
      </c>
      <c r="O643" s="1118">
        <f t="shared" si="50"/>
        <v>0</v>
      </c>
      <c r="P643" s="2213">
        <f t="shared" ref="P643:P706" si="54">(40000000/$O$1022)*O643</f>
        <v>0</v>
      </c>
    </row>
    <row r="644" spans="1:16" ht="14.5">
      <c r="A644" s="2042" t="s">
        <v>5856</v>
      </c>
      <c r="B644" s="380" t="str">
        <f t="shared" si="51"/>
        <v>169-908</v>
      </c>
      <c r="C644" s="2042" t="s">
        <v>2122</v>
      </c>
      <c r="D644" s="2043">
        <v>143</v>
      </c>
      <c r="E644" s="2043">
        <v>151</v>
      </c>
      <c r="F644" s="2043">
        <f t="shared" si="52"/>
        <v>8</v>
      </c>
      <c r="G644" s="2043">
        <f t="shared" si="53"/>
        <v>0</v>
      </c>
      <c r="H644" s="2208">
        <v>0</v>
      </c>
      <c r="I644" s="2209">
        <v>0</v>
      </c>
      <c r="J644" s="2210">
        <v>0</v>
      </c>
      <c r="K644" s="2208">
        <v>0</v>
      </c>
      <c r="L644" s="2208">
        <v>0</v>
      </c>
      <c r="M644" s="2211">
        <v>0</v>
      </c>
      <c r="N644" s="2212">
        <v>38023</v>
      </c>
      <c r="O644" s="1118">
        <f t="shared" si="50"/>
        <v>38023</v>
      </c>
      <c r="P644" s="2213">
        <f t="shared" si="54"/>
        <v>10237.635269826018</v>
      </c>
    </row>
    <row r="645" spans="1:16" ht="14.5">
      <c r="A645" s="2042" t="s">
        <v>5289</v>
      </c>
      <c r="B645" s="380" t="str">
        <f t="shared" si="51"/>
        <v>231-902</v>
      </c>
      <c r="C645" s="2042" t="s">
        <v>735</v>
      </c>
      <c r="D645" s="2043">
        <v>281</v>
      </c>
      <c r="E645" s="2043">
        <v>289</v>
      </c>
      <c r="F645" s="2043">
        <f t="shared" si="52"/>
        <v>8</v>
      </c>
      <c r="G645" s="2043">
        <f t="shared" si="53"/>
        <v>0</v>
      </c>
      <c r="H645" s="2208">
        <v>0</v>
      </c>
      <c r="I645" s="2209">
        <v>0</v>
      </c>
      <c r="J645" s="2210">
        <v>0</v>
      </c>
      <c r="K645" s="2208">
        <v>0</v>
      </c>
      <c r="L645" s="2208">
        <v>0</v>
      </c>
      <c r="M645" s="2211">
        <v>0</v>
      </c>
      <c r="N645" s="2212">
        <v>69082</v>
      </c>
      <c r="O645" s="1118">
        <f t="shared" si="50"/>
        <v>69082</v>
      </c>
      <c r="P645" s="2213">
        <f t="shared" si="54"/>
        <v>18600.22406727825</v>
      </c>
    </row>
    <row r="646" spans="1:16" ht="14.5">
      <c r="A646" s="2042" t="s">
        <v>5123</v>
      </c>
      <c r="B646" s="380" t="str">
        <f t="shared" si="51"/>
        <v>127-904</v>
      </c>
      <c r="C646" s="2042" t="s">
        <v>783</v>
      </c>
      <c r="D646" s="2043">
        <v>772</v>
      </c>
      <c r="E646" s="2043">
        <v>780</v>
      </c>
      <c r="F646" s="2043">
        <f t="shared" si="52"/>
        <v>8</v>
      </c>
      <c r="G646" s="2043">
        <f t="shared" si="53"/>
        <v>0</v>
      </c>
      <c r="H646" s="2208">
        <v>0</v>
      </c>
      <c r="I646" s="2209">
        <v>0</v>
      </c>
      <c r="J646" s="2210">
        <v>0</v>
      </c>
      <c r="K646" s="2208">
        <v>0</v>
      </c>
      <c r="L646" s="2208">
        <v>0</v>
      </c>
      <c r="M646" s="2211">
        <v>0</v>
      </c>
      <c r="N646" s="2212">
        <v>187921</v>
      </c>
      <c r="O646" s="1118">
        <f t="shared" si="50"/>
        <v>187921</v>
      </c>
      <c r="P646" s="2213">
        <f t="shared" si="54"/>
        <v>50597.445165846329</v>
      </c>
    </row>
    <row r="647" spans="1:16" ht="14.5">
      <c r="A647" s="2042" t="s">
        <v>5897</v>
      </c>
      <c r="B647" s="380" t="str">
        <f t="shared" si="51"/>
        <v>242-905</v>
      </c>
      <c r="C647" s="2042" t="s">
        <v>1156</v>
      </c>
      <c r="D647" s="2043">
        <v>111</v>
      </c>
      <c r="E647" s="2043">
        <v>119</v>
      </c>
      <c r="F647" s="2043">
        <f t="shared" si="52"/>
        <v>8</v>
      </c>
      <c r="G647" s="2043">
        <f t="shared" si="53"/>
        <v>0</v>
      </c>
      <c r="H647" s="2208">
        <v>0</v>
      </c>
      <c r="I647" s="2209">
        <v>0</v>
      </c>
      <c r="J647" s="2210">
        <v>0</v>
      </c>
      <c r="K647" s="2208">
        <v>0</v>
      </c>
      <c r="L647" s="2208">
        <v>0</v>
      </c>
      <c r="M647" s="2211">
        <v>0</v>
      </c>
      <c r="N647" s="2212">
        <v>0</v>
      </c>
      <c r="O647" s="1118">
        <f t="shared" si="50"/>
        <v>0</v>
      </c>
      <c r="P647" s="2213">
        <f t="shared" si="54"/>
        <v>0</v>
      </c>
    </row>
    <row r="648" spans="1:16" ht="14.5">
      <c r="A648" s="2042" t="s">
        <v>3191</v>
      </c>
      <c r="B648" s="380" t="str">
        <f t="shared" si="51"/>
        <v>204-904</v>
      </c>
      <c r="C648" s="2042" t="s">
        <v>334</v>
      </c>
      <c r="D648" s="2043">
        <v>1921</v>
      </c>
      <c r="E648" s="2043">
        <v>1930</v>
      </c>
      <c r="F648" s="2043">
        <f t="shared" si="52"/>
        <v>9</v>
      </c>
      <c r="G648" s="2043">
        <f t="shared" si="53"/>
        <v>0</v>
      </c>
      <c r="H648" s="2208">
        <v>0</v>
      </c>
      <c r="I648" s="2209">
        <v>0</v>
      </c>
      <c r="J648" s="2210">
        <v>0</v>
      </c>
      <c r="K648" s="2208">
        <v>0</v>
      </c>
      <c r="L648" s="2208">
        <v>0</v>
      </c>
      <c r="M648" s="2211">
        <v>0</v>
      </c>
      <c r="N648" s="2212">
        <v>0</v>
      </c>
      <c r="O648" s="1118">
        <f t="shared" si="50"/>
        <v>0</v>
      </c>
      <c r="P648" s="2213">
        <f t="shared" si="54"/>
        <v>0</v>
      </c>
    </row>
    <row r="649" spans="1:16" ht="14.5">
      <c r="A649" s="2042" t="s">
        <v>5059</v>
      </c>
      <c r="B649" s="380" t="str">
        <f t="shared" si="51"/>
        <v>097-902</v>
      </c>
      <c r="C649" s="2042" t="s">
        <v>987</v>
      </c>
      <c r="D649" s="2043">
        <v>783</v>
      </c>
      <c r="E649" s="2043">
        <v>792</v>
      </c>
      <c r="F649" s="2043">
        <f t="shared" si="52"/>
        <v>9</v>
      </c>
      <c r="G649" s="2043">
        <f t="shared" si="53"/>
        <v>0</v>
      </c>
      <c r="H649" s="2208">
        <v>0</v>
      </c>
      <c r="I649" s="2209">
        <v>0</v>
      </c>
      <c r="J649" s="2210">
        <v>0</v>
      </c>
      <c r="K649" s="2208">
        <v>0</v>
      </c>
      <c r="L649" s="2208">
        <v>0</v>
      </c>
      <c r="M649" s="2211">
        <v>0</v>
      </c>
      <c r="N649" s="2212">
        <v>0</v>
      </c>
      <c r="O649" s="1118">
        <f t="shared" si="50"/>
        <v>0</v>
      </c>
      <c r="P649" s="2213">
        <f t="shared" si="54"/>
        <v>0</v>
      </c>
    </row>
    <row r="650" spans="1:16" ht="14.5">
      <c r="A650" s="2042" t="s">
        <v>5845</v>
      </c>
      <c r="B650" s="380" t="str">
        <f t="shared" si="51"/>
        <v>153-904</v>
      </c>
      <c r="C650" s="2042" t="s">
        <v>524</v>
      </c>
      <c r="D650" s="2043">
        <v>588</v>
      </c>
      <c r="E650" s="2043">
        <v>597</v>
      </c>
      <c r="F650" s="2043">
        <f t="shared" si="52"/>
        <v>9</v>
      </c>
      <c r="G650" s="2043">
        <f t="shared" si="53"/>
        <v>0</v>
      </c>
      <c r="H650" s="2208">
        <v>0</v>
      </c>
      <c r="I650" s="2209">
        <v>0</v>
      </c>
      <c r="J650" s="2210">
        <v>0</v>
      </c>
      <c r="K650" s="2208">
        <v>0</v>
      </c>
      <c r="L650" s="2208">
        <v>0</v>
      </c>
      <c r="M650" s="2211">
        <v>0</v>
      </c>
      <c r="N650" s="2212">
        <v>139170</v>
      </c>
      <c r="O650" s="1118">
        <f t="shared" si="50"/>
        <v>139170</v>
      </c>
      <c r="P650" s="2213">
        <f t="shared" si="54"/>
        <v>37471.312113765009</v>
      </c>
    </row>
    <row r="651" spans="1:16" ht="14.5">
      <c r="A651" s="2042" t="s">
        <v>5080</v>
      </c>
      <c r="B651" s="380" t="str">
        <f t="shared" si="51"/>
        <v>103-901</v>
      </c>
      <c r="C651" s="2042" t="s">
        <v>148</v>
      </c>
      <c r="D651" s="2043">
        <v>159</v>
      </c>
      <c r="E651" s="2043">
        <v>168</v>
      </c>
      <c r="F651" s="2043">
        <f t="shared" si="52"/>
        <v>9</v>
      </c>
      <c r="G651" s="2043">
        <f t="shared" si="53"/>
        <v>0</v>
      </c>
      <c r="H651" s="2208">
        <v>0</v>
      </c>
      <c r="I651" s="2209">
        <v>0</v>
      </c>
      <c r="J651" s="2210">
        <v>0</v>
      </c>
      <c r="K651" s="2208">
        <v>0</v>
      </c>
      <c r="L651" s="2208">
        <v>0</v>
      </c>
      <c r="M651" s="2211">
        <v>0</v>
      </c>
      <c r="N651" s="2212">
        <v>0</v>
      </c>
      <c r="O651" s="1118">
        <f t="shared" si="50"/>
        <v>0</v>
      </c>
      <c r="P651" s="2213">
        <f t="shared" si="54"/>
        <v>0</v>
      </c>
    </row>
    <row r="652" spans="1:16" ht="14.5">
      <c r="A652" s="2042" t="s">
        <v>2929</v>
      </c>
      <c r="B652" s="380" t="str">
        <f t="shared" si="51"/>
        <v>042-903</v>
      </c>
      <c r="C652" s="2042" t="s">
        <v>82</v>
      </c>
      <c r="D652" s="2043">
        <v>256</v>
      </c>
      <c r="E652" s="2043">
        <v>265</v>
      </c>
      <c r="F652" s="2043">
        <f t="shared" si="52"/>
        <v>9</v>
      </c>
      <c r="G652" s="2043">
        <f t="shared" si="53"/>
        <v>0</v>
      </c>
      <c r="H652" s="2208">
        <v>0</v>
      </c>
      <c r="I652" s="2209">
        <v>0</v>
      </c>
      <c r="J652" s="2210">
        <v>0</v>
      </c>
      <c r="K652" s="2208">
        <v>0</v>
      </c>
      <c r="L652" s="2208">
        <v>0</v>
      </c>
      <c r="M652" s="2211">
        <v>0</v>
      </c>
      <c r="N652" s="2212">
        <v>0</v>
      </c>
      <c r="O652" s="1118">
        <f t="shared" si="50"/>
        <v>0</v>
      </c>
      <c r="P652" s="2213">
        <f t="shared" si="54"/>
        <v>0</v>
      </c>
    </row>
    <row r="653" spans="1:16" ht="14.5">
      <c r="A653" s="2042" t="s">
        <v>5858</v>
      </c>
      <c r="B653" s="380" t="str">
        <f t="shared" si="51"/>
        <v>173-901</v>
      </c>
      <c r="C653" s="2042" t="s">
        <v>2131</v>
      </c>
      <c r="D653" s="2043">
        <v>158</v>
      </c>
      <c r="E653" s="2043">
        <v>167</v>
      </c>
      <c r="F653" s="2043">
        <f t="shared" si="52"/>
        <v>9</v>
      </c>
      <c r="G653" s="2043">
        <f t="shared" si="53"/>
        <v>0</v>
      </c>
      <c r="H653" s="2208">
        <v>0</v>
      </c>
      <c r="I653" s="2209">
        <v>0</v>
      </c>
      <c r="J653" s="2210">
        <v>0</v>
      </c>
      <c r="K653" s="2208">
        <v>0</v>
      </c>
      <c r="L653" s="2208">
        <v>0</v>
      </c>
      <c r="M653" s="2211">
        <v>0</v>
      </c>
      <c r="N653" s="2212">
        <v>0</v>
      </c>
      <c r="O653" s="1118">
        <f t="shared" si="50"/>
        <v>0</v>
      </c>
      <c r="P653" s="2213">
        <f t="shared" si="54"/>
        <v>0</v>
      </c>
    </row>
    <row r="654" spans="1:16" ht="14.5">
      <c r="A654" s="2042" t="s">
        <v>5262</v>
      </c>
      <c r="B654" s="380" t="str">
        <f t="shared" si="51"/>
        <v>216-901</v>
      </c>
      <c r="C654" s="2042" t="s">
        <v>2421</v>
      </c>
      <c r="D654" s="2043">
        <v>329</v>
      </c>
      <c r="E654" s="2043">
        <v>338</v>
      </c>
      <c r="F654" s="2043">
        <f t="shared" si="52"/>
        <v>9</v>
      </c>
      <c r="G654" s="2043">
        <f t="shared" si="53"/>
        <v>0</v>
      </c>
      <c r="H654" s="2208">
        <v>0</v>
      </c>
      <c r="I654" s="2209">
        <v>0</v>
      </c>
      <c r="J654" s="2210">
        <v>0</v>
      </c>
      <c r="K654" s="2208">
        <v>0</v>
      </c>
      <c r="L654" s="2208">
        <v>0</v>
      </c>
      <c r="M654" s="2211">
        <v>0</v>
      </c>
      <c r="N654" s="2212">
        <v>78522</v>
      </c>
      <c r="O654" s="1118">
        <f t="shared" si="50"/>
        <v>78522</v>
      </c>
      <c r="P654" s="2213">
        <f t="shared" si="54"/>
        <v>21141.929796630422</v>
      </c>
    </row>
    <row r="655" spans="1:16" ht="14.5">
      <c r="A655" s="2042" t="s">
        <v>2911</v>
      </c>
      <c r="B655" s="380" t="str">
        <f t="shared" si="51"/>
        <v>028-903</v>
      </c>
      <c r="C655" s="2042" t="s">
        <v>792</v>
      </c>
      <c r="D655" s="2043">
        <v>1409</v>
      </c>
      <c r="E655" s="2043">
        <v>1418</v>
      </c>
      <c r="F655" s="2043">
        <f t="shared" si="52"/>
        <v>9</v>
      </c>
      <c r="G655" s="2043">
        <f t="shared" si="53"/>
        <v>0</v>
      </c>
      <c r="H655" s="2208">
        <v>0</v>
      </c>
      <c r="I655" s="2209">
        <v>0</v>
      </c>
      <c r="J655" s="2210">
        <v>0</v>
      </c>
      <c r="K655" s="2208">
        <v>0</v>
      </c>
      <c r="L655" s="2208">
        <v>0</v>
      </c>
      <c r="M655" s="2211">
        <v>0</v>
      </c>
      <c r="N655" s="2212">
        <v>0</v>
      </c>
      <c r="O655" s="1118">
        <f t="shared" si="50"/>
        <v>0</v>
      </c>
      <c r="P655" s="2213">
        <f t="shared" si="54"/>
        <v>0</v>
      </c>
    </row>
    <row r="656" spans="1:16" ht="14.5">
      <c r="A656" s="2042" t="s">
        <v>4942</v>
      </c>
      <c r="B656" s="380" t="str">
        <f t="shared" si="51"/>
        <v>019-911</v>
      </c>
      <c r="C656" s="2042" t="s">
        <v>2347</v>
      </c>
      <c r="D656" s="2043">
        <v>509</v>
      </c>
      <c r="E656" s="2043">
        <v>518</v>
      </c>
      <c r="F656" s="2043">
        <f t="shared" si="52"/>
        <v>9</v>
      </c>
      <c r="G656" s="2043">
        <f t="shared" si="53"/>
        <v>0</v>
      </c>
      <c r="H656" s="2208">
        <v>0</v>
      </c>
      <c r="I656" s="2209">
        <v>0</v>
      </c>
      <c r="J656" s="2210">
        <v>0</v>
      </c>
      <c r="K656" s="2208">
        <v>0</v>
      </c>
      <c r="L656" s="2208">
        <v>0</v>
      </c>
      <c r="M656" s="2211">
        <v>0</v>
      </c>
      <c r="N656" s="2212">
        <v>0</v>
      </c>
      <c r="O656" s="1118">
        <f t="shared" si="50"/>
        <v>0</v>
      </c>
      <c r="P656" s="2213">
        <f t="shared" si="54"/>
        <v>0</v>
      </c>
    </row>
    <row r="657" spans="1:16" ht="14.5">
      <c r="A657" s="2042" t="s">
        <v>5044</v>
      </c>
      <c r="B657" s="380" t="str">
        <f t="shared" si="51"/>
        <v>091-903</v>
      </c>
      <c r="C657" s="2042" t="s">
        <v>1361</v>
      </c>
      <c r="D657" s="2043">
        <v>4581</v>
      </c>
      <c r="E657" s="2043">
        <v>4591</v>
      </c>
      <c r="F657" s="2043">
        <f t="shared" si="52"/>
        <v>10</v>
      </c>
      <c r="G657" s="2043">
        <f t="shared" si="53"/>
        <v>0</v>
      </c>
      <c r="H657" s="2208">
        <v>0</v>
      </c>
      <c r="I657" s="2209">
        <v>0</v>
      </c>
      <c r="J657" s="2210">
        <v>0</v>
      </c>
      <c r="K657" s="2208">
        <v>0</v>
      </c>
      <c r="L657" s="2208">
        <v>0</v>
      </c>
      <c r="M657" s="2211">
        <v>0</v>
      </c>
      <c r="N657" s="2212">
        <v>1073241</v>
      </c>
      <c r="O657" s="1118">
        <f t="shared" si="50"/>
        <v>1073241</v>
      </c>
      <c r="P657" s="2213">
        <f t="shared" si="54"/>
        <v>288968.51680886158</v>
      </c>
    </row>
    <row r="658" spans="1:16" ht="14.5">
      <c r="A658" s="2042" t="s">
        <v>3267</v>
      </c>
      <c r="B658" s="380" t="str">
        <f t="shared" si="51"/>
        <v>247-901</v>
      </c>
      <c r="C658" s="2042" t="s">
        <v>101</v>
      </c>
      <c r="D658" s="2043">
        <v>3982</v>
      </c>
      <c r="E658" s="2043">
        <v>3992</v>
      </c>
      <c r="F658" s="2043">
        <f t="shared" si="52"/>
        <v>10</v>
      </c>
      <c r="G658" s="2043">
        <f t="shared" si="53"/>
        <v>0</v>
      </c>
      <c r="H658" s="2208">
        <v>0</v>
      </c>
      <c r="I658" s="2209">
        <v>0</v>
      </c>
      <c r="J658" s="2210">
        <v>0</v>
      </c>
      <c r="K658" s="2208">
        <v>0</v>
      </c>
      <c r="L658" s="2208">
        <v>0</v>
      </c>
      <c r="M658" s="2211">
        <v>0</v>
      </c>
      <c r="N658" s="2212">
        <v>0</v>
      </c>
      <c r="O658" s="1118">
        <f t="shared" si="50"/>
        <v>0</v>
      </c>
      <c r="P658" s="2213">
        <f t="shared" si="54"/>
        <v>0</v>
      </c>
    </row>
    <row r="659" spans="1:16" ht="14.5">
      <c r="A659" s="2042" t="s">
        <v>3211</v>
      </c>
      <c r="B659" s="380" t="str">
        <f t="shared" si="51"/>
        <v>220-910</v>
      </c>
      <c r="C659" s="2042" t="s">
        <v>2177</v>
      </c>
      <c r="D659" s="2043">
        <v>3301</v>
      </c>
      <c r="E659" s="2043">
        <v>3311</v>
      </c>
      <c r="F659" s="2043">
        <f t="shared" si="52"/>
        <v>10</v>
      </c>
      <c r="G659" s="2043">
        <f t="shared" si="53"/>
        <v>0</v>
      </c>
      <c r="H659" s="2208">
        <v>0</v>
      </c>
      <c r="I659" s="2209">
        <v>0</v>
      </c>
      <c r="J659" s="2210">
        <v>0</v>
      </c>
      <c r="K659" s="2208">
        <v>0</v>
      </c>
      <c r="L659" s="2208">
        <v>0</v>
      </c>
      <c r="M659" s="2211">
        <v>0</v>
      </c>
      <c r="N659" s="2212">
        <v>0</v>
      </c>
      <c r="O659" s="1118">
        <f t="shared" si="50"/>
        <v>0</v>
      </c>
      <c r="P659" s="2213">
        <f t="shared" si="54"/>
        <v>0</v>
      </c>
    </row>
    <row r="660" spans="1:16" ht="14.5">
      <c r="A660" s="2042" t="s">
        <v>5893</v>
      </c>
      <c r="B660" s="380" t="str">
        <f t="shared" si="51"/>
        <v>232-904</v>
      </c>
      <c r="C660" s="2042" t="s">
        <v>585</v>
      </c>
      <c r="D660" s="2043">
        <v>196</v>
      </c>
      <c r="E660" s="2043">
        <v>206</v>
      </c>
      <c r="F660" s="2043">
        <f t="shared" si="52"/>
        <v>10</v>
      </c>
      <c r="G660" s="2043">
        <f t="shared" si="53"/>
        <v>0</v>
      </c>
      <c r="H660" s="2208">
        <v>0</v>
      </c>
      <c r="I660" s="2209">
        <v>0</v>
      </c>
      <c r="J660" s="2210">
        <v>0</v>
      </c>
      <c r="K660" s="2208">
        <v>0</v>
      </c>
      <c r="L660" s="2208">
        <v>0</v>
      </c>
      <c r="M660" s="2211">
        <v>0</v>
      </c>
      <c r="N660" s="2212">
        <v>49510</v>
      </c>
      <c r="O660" s="1118">
        <f t="shared" si="50"/>
        <v>49510</v>
      </c>
      <c r="P660" s="2213">
        <f t="shared" si="54"/>
        <v>13330.492654684957</v>
      </c>
    </row>
    <row r="661" spans="1:16" ht="14.5">
      <c r="A661" s="2042" t="s">
        <v>3150</v>
      </c>
      <c r="B661" s="380" t="str">
        <f t="shared" si="51"/>
        <v>174-901</v>
      </c>
      <c r="C661" s="2042" t="s">
        <v>1091</v>
      </c>
      <c r="D661" s="2043">
        <v>384</v>
      </c>
      <c r="E661" s="2043">
        <v>394</v>
      </c>
      <c r="F661" s="2043">
        <f t="shared" si="52"/>
        <v>10</v>
      </c>
      <c r="G661" s="2043">
        <f t="shared" si="53"/>
        <v>0</v>
      </c>
      <c r="H661" s="2208">
        <v>0</v>
      </c>
      <c r="I661" s="2209">
        <v>0</v>
      </c>
      <c r="J661" s="2210">
        <v>0</v>
      </c>
      <c r="K661" s="2208">
        <v>0</v>
      </c>
      <c r="L661" s="2208">
        <v>0</v>
      </c>
      <c r="M661" s="2211">
        <v>0</v>
      </c>
      <c r="N661" s="2212">
        <v>0</v>
      </c>
      <c r="O661" s="1118">
        <f t="shared" si="50"/>
        <v>0</v>
      </c>
      <c r="P661" s="2213">
        <f t="shared" si="54"/>
        <v>0</v>
      </c>
    </row>
    <row r="662" spans="1:16" ht="14.5">
      <c r="A662" s="2042" t="s">
        <v>5883</v>
      </c>
      <c r="B662" s="380" t="str">
        <f t="shared" si="51"/>
        <v>219-901</v>
      </c>
      <c r="C662" s="2042" t="s">
        <v>2424</v>
      </c>
      <c r="D662" s="2043">
        <v>259</v>
      </c>
      <c r="E662" s="2043">
        <v>269</v>
      </c>
      <c r="F662" s="2043">
        <f t="shared" si="52"/>
        <v>10</v>
      </c>
      <c r="G662" s="2043">
        <f t="shared" si="53"/>
        <v>0</v>
      </c>
      <c r="H662" s="2208">
        <v>0</v>
      </c>
      <c r="I662" s="2209">
        <v>0</v>
      </c>
      <c r="J662" s="2210">
        <v>0</v>
      </c>
      <c r="K662" s="2208">
        <v>0</v>
      </c>
      <c r="L662" s="2208">
        <v>0</v>
      </c>
      <c r="M662" s="2211">
        <v>0</v>
      </c>
      <c r="N662" s="2212">
        <v>0</v>
      </c>
      <c r="O662" s="1118">
        <f t="shared" si="50"/>
        <v>0</v>
      </c>
      <c r="P662" s="2213">
        <f t="shared" si="54"/>
        <v>0</v>
      </c>
    </row>
    <row r="663" spans="1:16" ht="14.5">
      <c r="A663" s="2042" t="s">
        <v>5788</v>
      </c>
      <c r="B663" s="380" t="str">
        <f t="shared" si="51"/>
        <v>066-005</v>
      </c>
      <c r="C663" s="2042" t="s">
        <v>1852</v>
      </c>
      <c r="D663" s="2043">
        <v>34</v>
      </c>
      <c r="E663" s="2043">
        <v>44</v>
      </c>
      <c r="F663" s="2043">
        <f t="shared" si="52"/>
        <v>10</v>
      </c>
      <c r="G663" s="2043">
        <f t="shared" si="53"/>
        <v>0</v>
      </c>
      <c r="H663" s="2208">
        <v>0</v>
      </c>
      <c r="I663" s="2209">
        <v>0</v>
      </c>
      <c r="J663" s="2210">
        <v>0</v>
      </c>
      <c r="K663" s="2208">
        <v>0</v>
      </c>
      <c r="L663" s="2208">
        <v>0</v>
      </c>
      <c r="M663" s="2211">
        <v>0</v>
      </c>
      <c r="N663" s="2212">
        <v>0</v>
      </c>
      <c r="O663" s="1118">
        <f t="shared" si="50"/>
        <v>0</v>
      </c>
      <c r="P663" s="2213">
        <f t="shared" si="54"/>
        <v>0</v>
      </c>
    </row>
    <row r="664" spans="1:16" ht="14.5">
      <c r="A664" s="2042" t="s">
        <v>3119</v>
      </c>
      <c r="B664" s="380" t="str">
        <f t="shared" si="51"/>
        <v>160-905</v>
      </c>
      <c r="C664" s="2042" t="s">
        <v>2105</v>
      </c>
      <c r="D664" s="2043">
        <v>92</v>
      </c>
      <c r="E664" s="2043">
        <v>102</v>
      </c>
      <c r="F664" s="2043">
        <f t="shared" si="52"/>
        <v>10</v>
      </c>
      <c r="G664" s="2043">
        <f t="shared" si="53"/>
        <v>0</v>
      </c>
      <c r="H664" s="2208">
        <v>0</v>
      </c>
      <c r="I664" s="2209">
        <v>0</v>
      </c>
      <c r="J664" s="2210">
        <v>0</v>
      </c>
      <c r="K664" s="2208">
        <v>0</v>
      </c>
      <c r="L664" s="2208">
        <v>0</v>
      </c>
      <c r="M664" s="2211">
        <v>0</v>
      </c>
      <c r="N664" s="2212">
        <v>0</v>
      </c>
      <c r="O664" s="1118">
        <f t="shared" si="50"/>
        <v>0</v>
      </c>
      <c r="P664" s="2213">
        <f t="shared" si="54"/>
        <v>0</v>
      </c>
    </row>
    <row r="665" spans="1:16" ht="14.5">
      <c r="A665" s="2042" t="s">
        <v>4736</v>
      </c>
      <c r="B665" s="380" t="str">
        <f t="shared" si="51"/>
        <v>229-901</v>
      </c>
      <c r="C665" s="2042" t="s">
        <v>1457</v>
      </c>
      <c r="D665" s="2043">
        <v>424</v>
      </c>
      <c r="E665" s="2043">
        <v>435</v>
      </c>
      <c r="F665" s="2043">
        <f t="shared" si="52"/>
        <v>11</v>
      </c>
      <c r="G665" s="2043">
        <f t="shared" si="53"/>
        <v>0</v>
      </c>
      <c r="H665" s="2208">
        <v>0</v>
      </c>
      <c r="I665" s="2209">
        <v>0</v>
      </c>
      <c r="J665" s="2210">
        <v>0</v>
      </c>
      <c r="K665" s="2208">
        <v>0</v>
      </c>
      <c r="L665" s="2208">
        <v>0</v>
      </c>
      <c r="M665" s="2211">
        <v>0</v>
      </c>
      <c r="N665" s="2212">
        <v>0</v>
      </c>
      <c r="O665" s="1118">
        <f t="shared" ref="O665:O728" si="55">IF(N665&gt;M665,N665-M665,0)</f>
        <v>0</v>
      </c>
      <c r="P665" s="2213">
        <f t="shared" si="54"/>
        <v>0</v>
      </c>
    </row>
    <row r="666" spans="1:16" ht="14.5">
      <c r="A666" s="2042" t="s">
        <v>3237</v>
      </c>
      <c r="B666" s="380" t="str">
        <f t="shared" si="51"/>
        <v>234-902</v>
      </c>
      <c r="C666" s="2042" t="s">
        <v>1076</v>
      </c>
      <c r="D666" s="2043">
        <v>2123</v>
      </c>
      <c r="E666" s="2043">
        <v>2134</v>
      </c>
      <c r="F666" s="2043">
        <f t="shared" si="52"/>
        <v>11</v>
      </c>
      <c r="G666" s="2043">
        <f t="shared" si="53"/>
        <v>0</v>
      </c>
      <c r="H666" s="2208">
        <v>0</v>
      </c>
      <c r="I666" s="2209">
        <v>0</v>
      </c>
      <c r="J666" s="2210">
        <v>0</v>
      </c>
      <c r="K666" s="2208">
        <v>0</v>
      </c>
      <c r="L666" s="2208">
        <v>0</v>
      </c>
      <c r="M666" s="2211">
        <v>0</v>
      </c>
      <c r="N666" s="2212">
        <v>0</v>
      </c>
      <c r="O666" s="1118">
        <f t="shared" si="55"/>
        <v>0</v>
      </c>
      <c r="P666" s="2213">
        <f t="shared" si="54"/>
        <v>0</v>
      </c>
    </row>
    <row r="667" spans="1:16" ht="14.5">
      <c r="A667" s="2042" t="s">
        <v>3062</v>
      </c>
      <c r="B667" s="380" t="str">
        <f t="shared" si="51"/>
        <v>112-910</v>
      </c>
      <c r="C667" s="2042" t="s">
        <v>1835</v>
      </c>
      <c r="D667" s="2043">
        <v>207</v>
      </c>
      <c r="E667" s="2043">
        <v>218</v>
      </c>
      <c r="F667" s="2043">
        <f t="shared" si="52"/>
        <v>11</v>
      </c>
      <c r="G667" s="2043">
        <f t="shared" si="53"/>
        <v>0</v>
      </c>
      <c r="H667" s="2208">
        <v>0</v>
      </c>
      <c r="I667" s="2209">
        <v>0</v>
      </c>
      <c r="J667" s="2210">
        <v>0</v>
      </c>
      <c r="K667" s="2208">
        <v>0</v>
      </c>
      <c r="L667" s="2208">
        <v>0</v>
      </c>
      <c r="M667" s="2211">
        <v>0</v>
      </c>
      <c r="N667" s="2212">
        <v>51037</v>
      </c>
      <c r="O667" s="1118">
        <f t="shared" si="55"/>
        <v>51037</v>
      </c>
      <c r="P667" s="2213">
        <f t="shared" si="54"/>
        <v>13741.635096286733</v>
      </c>
    </row>
    <row r="668" spans="1:16" ht="14.5">
      <c r="A668" s="2042" t="s">
        <v>3131</v>
      </c>
      <c r="B668" s="380" t="str">
        <f t="shared" si="51"/>
        <v>161-921</v>
      </c>
      <c r="C668" s="2042" t="s">
        <v>1462</v>
      </c>
      <c r="D668" s="2043">
        <v>2331</v>
      </c>
      <c r="E668" s="2043">
        <v>2342</v>
      </c>
      <c r="F668" s="2043">
        <f t="shared" si="52"/>
        <v>11</v>
      </c>
      <c r="G668" s="2043">
        <f t="shared" si="53"/>
        <v>0</v>
      </c>
      <c r="H668" s="2208">
        <v>0</v>
      </c>
      <c r="I668" s="2209">
        <v>0</v>
      </c>
      <c r="J668" s="2210">
        <v>0</v>
      </c>
      <c r="K668" s="2208">
        <v>0</v>
      </c>
      <c r="L668" s="2208">
        <v>0</v>
      </c>
      <c r="M668" s="2211">
        <v>0</v>
      </c>
      <c r="N668" s="2212">
        <v>0</v>
      </c>
      <c r="O668" s="1118">
        <f t="shared" si="55"/>
        <v>0</v>
      </c>
      <c r="P668" s="2213">
        <f t="shared" si="54"/>
        <v>0</v>
      </c>
    </row>
    <row r="669" spans="1:16" ht="14.5">
      <c r="A669" s="2042" t="s">
        <v>4937</v>
      </c>
      <c r="B669" s="380" t="str">
        <f t="shared" si="51"/>
        <v>018-906</v>
      </c>
      <c r="C669" s="2042" t="s">
        <v>2538</v>
      </c>
      <c r="D669" s="2043">
        <v>134</v>
      </c>
      <c r="E669" s="2043">
        <v>145</v>
      </c>
      <c r="F669" s="2043">
        <f t="shared" si="52"/>
        <v>11</v>
      </c>
      <c r="G669" s="2043">
        <f t="shared" si="53"/>
        <v>0</v>
      </c>
      <c r="H669" s="2208">
        <v>0</v>
      </c>
      <c r="I669" s="2209">
        <v>0</v>
      </c>
      <c r="J669" s="2210">
        <v>0</v>
      </c>
      <c r="K669" s="2208">
        <v>0</v>
      </c>
      <c r="L669" s="2208">
        <v>0</v>
      </c>
      <c r="M669" s="2211">
        <v>0</v>
      </c>
      <c r="N669" s="2212">
        <v>0</v>
      </c>
      <c r="O669" s="1118">
        <f t="shared" si="55"/>
        <v>0</v>
      </c>
      <c r="P669" s="2213">
        <f t="shared" si="54"/>
        <v>0</v>
      </c>
    </row>
    <row r="670" spans="1:16" ht="14.5">
      <c r="A670" s="2042" t="s">
        <v>5063</v>
      </c>
      <c r="B670" s="380" t="str">
        <f t="shared" si="51"/>
        <v>099-902</v>
      </c>
      <c r="C670" s="2042" t="s">
        <v>448</v>
      </c>
      <c r="D670" s="2043">
        <v>196</v>
      </c>
      <c r="E670" s="2043">
        <v>207</v>
      </c>
      <c r="F670" s="2043">
        <f t="shared" si="52"/>
        <v>11</v>
      </c>
      <c r="G670" s="2043">
        <f t="shared" si="53"/>
        <v>0</v>
      </c>
      <c r="H670" s="2208">
        <v>0</v>
      </c>
      <c r="I670" s="2209">
        <v>0</v>
      </c>
      <c r="J670" s="2210">
        <v>0</v>
      </c>
      <c r="K670" s="2208">
        <v>0</v>
      </c>
      <c r="L670" s="2208">
        <v>0</v>
      </c>
      <c r="M670" s="2211">
        <v>0</v>
      </c>
      <c r="N670" s="2212">
        <v>43672</v>
      </c>
      <c r="O670" s="1118">
        <f t="shared" si="55"/>
        <v>43672</v>
      </c>
      <c r="P670" s="2213">
        <f t="shared" si="54"/>
        <v>11758.619980113137</v>
      </c>
    </row>
    <row r="671" spans="1:16" ht="14.5">
      <c r="A671" s="2042" t="s">
        <v>2868</v>
      </c>
      <c r="B671" s="380" t="str">
        <f t="shared" si="51"/>
        <v>014-902</v>
      </c>
      <c r="C671" s="2042" t="s">
        <v>2003</v>
      </c>
      <c r="D671" s="2043">
        <v>369</v>
      </c>
      <c r="E671" s="2043">
        <v>380</v>
      </c>
      <c r="F671" s="2043">
        <f t="shared" si="52"/>
        <v>11</v>
      </c>
      <c r="G671" s="2043">
        <f t="shared" si="53"/>
        <v>0</v>
      </c>
      <c r="H671" s="2208">
        <v>0</v>
      </c>
      <c r="I671" s="2209">
        <v>0</v>
      </c>
      <c r="J671" s="2210">
        <v>0</v>
      </c>
      <c r="K671" s="2208">
        <v>0</v>
      </c>
      <c r="L671" s="2208">
        <v>0</v>
      </c>
      <c r="M671" s="2211">
        <v>0</v>
      </c>
      <c r="N671" s="2212">
        <v>0</v>
      </c>
      <c r="O671" s="1118">
        <f t="shared" si="55"/>
        <v>0</v>
      </c>
      <c r="P671" s="2213">
        <f t="shared" si="54"/>
        <v>0</v>
      </c>
    </row>
    <row r="672" spans="1:16" ht="14.5">
      <c r="A672" s="2042" t="s">
        <v>3238</v>
      </c>
      <c r="B672" s="380" t="str">
        <f t="shared" si="51"/>
        <v>234-904</v>
      </c>
      <c r="C672" s="2042" t="s">
        <v>817</v>
      </c>
      <c r="D672" s="2043">
        <v>1103</v>
      </c>
      <c r="E672" s="2043">
        <v>1115</v>
      </c>
      <c r="F672" s="2043">
        <f t="shared" si="52"/>
        <v>12</v>
      </c>
      <c r="G672" s="2043">
        <f t="shared" si="53"/>
        <v>0</v>
      </c>
      <c r="H672" s="2208">
        <v>0</v>
      </c>
      <c r="I672" s="2209">
        <v>0</v>
      </c>
      <c r="J672" s="2210">
        <v>0</v>
      </c>
      <c r="K672" s="2208">
        <v>0</v>
      </c>
      <c r="L672" s="2208">
        <v>0</v>
      </c>
      <c r="M672" s="2211">
        <v>0</v>
      </c>
      <c r="N672" s="2212">
        <v>249169</v>
      </c>
      <c r="O672" s="1118">
        <f t="shared" si="55"/>
        <v>249169</v>
      </c>
      <c r="P672" s="2213">
        <f t="shared" si="54"/>
        <v>67088.376575948219</v>
      </c>
    </row>
    <row r="673" spans="1:16" ht="14.5">
      <c r="A673" s="2042" t="s">
        <v>5757</v>
      </c>
      <c r="B673" s="380" t="str">
        <f t="shared" si="51"/>
        <v>022-004</v>
      </c>
      <c r="C673" s="2042" t="s">
        <v>2354</v>
      </c>
      <c r="D673" s="2043">
        <v>86</v>
      </c>
      <c r="E673" s="2043">
        <v>98</v>
      </c>
      <c r="F673" s="2043">
        <f t="shared" si="52"/>
        <v>12</v>
      </c>
      <c r="G673" s="2043">
        <f t="shared" si="53"/>
        <v>0</v>
      </c>
      <c r="H673" s="2208">
        <v>0</v>
      </c>
      <c r="I673" s="2209">
        <v>0</v>
      </c>
      <c r="J673" s="2210">
        <v>0</v>
      </c>
      <c r="K673" s="2208">
        <v>0</v>
      </c>
      <c r="L673" s="2208">
        <v>0</v>
      </c>
      <c r="M673" s="2211">
        <v>0</v>
      </c>
      <c r="N673" s="2212">
        <v>0</v>
      </c>
      <c r="O673" s="1118">
        <f t="shared" si="55"/>
        <v>0</v>
      </c>
      <c r="P673" s="2213">
        <f t="shared" si="54"/>
        <v>0</v>
      </c>
    </row>
    <row r="674" spans="1:16" ht="14.5">
      <c r="A674" s="2042" t="s">
        <v>2872</v>
      </c>
      <c r="B674" s="380" t="str">
        <f t="shared" si="51"/>
        <v>014-907</v>
      </c>
      <c r="C674" s="2042" t="s">
        <v>1317</v>
      </c>
      <c r="D674" s="2043">
        <v>880</v>
      </c>
      <c r="E674" s="2043">
        <v>892</v>
      </c>
      <c r="F674" s="2043">
        <f t="shared" si="52"/>
        <v>12</v>
      </c>
      <c r="G674" s="2043">
        <f t="shared" si="53"/>
        <v>0</v>
      </c>
      <c r="H674" s="2208">
        <v>0</v>
      </c>
      <c r="I674" s="2209">
        <v>0</v>
      </c>
      <c r="J674" s="2210">
        <v>0</v>
      </c>
      <c r="K674" s="2208">
        <v>0</v>
      </c>
      <c r="L674" s="2208">
        <v>0</v>
      </c>
      <c r="M674" s="2211">
        <v>0</v>
      </c>
      <c r="N674" s="2212">
        <v>0</v>
      </c>
      <c r="O674" s="1118">
        <f t="shared" si="55"/>
        <v>0</v>
      </c>
      <c r="P674" s="2213">
        <f t="shared" si="54"/>
        <v>0</v>
      </c>
    </row>
    <row r="675" spans="1:16" ht="14.5">
      <c r="A675" s="2042" t="s">
        <v>5855</v>
      </c>
      <c r="B675" s="380" t="str">
        <f t="shared" si="51"/>
        <v>169-902</v>
      </c>
      <c r="C675" s="2042" t="s">
        <v>1291</v>
      </c>
      <c r="D675" s="2043">
        <v>793</v>
      </c>
      <c r="E675" s="2043">
        <v>805</v>
      </c>
      <c r="F675" s="2043">
        <f t="shared" si="52"/>
        <v>12</v>
      </c>
      <c r="G675" s="2043">
        <f t="shared" si="53"/>
        <v>0</v>
      </c>
      <c r="H675" s="2208">
        <v>0</v>
      </c>
      <c r="I675" s="2209">
        <v>0</v>
      </c>
      <c r="J675" s="2210">
        <v>0</v>
      </c>
      <c r="K675" s="2208">
        <v>0</v>
      </c>
      <c r="L675" s="2208">
        <v>0</v>
      </c>
      <c r="M675" s="2211">
        <v>0</v>
      </c>
      <c r="N675" s="2212">
        <v>0</v>
      </c>
      <c r="O675" s="1118">
        <f t="shared" si="55"/>
        <v>0</v>
      </c>
      <c r="P675" s="2213">
        <f t="shared" si="54"/>
        <v>0</v>
      </c>
    </row>
    <row r="676" spans="1:16" ht="14.5">
      <c r="A676" s="2042" t="s">
        <v>5894</v>
      </c>
      <c r="B676" s="380" t="str">
        <f t="shared" si="51"/>
        <v>238-904</v>
      </c>
      <c r="C676" s="2042" t="s">
        <v>1145</v>
      </c>
      <c r="D676" s="2043">
        <v>153</v>
      </c>
      <c r="E676" s="2043">
        <v>166</v>
      </c>
      <c r="F676" s="2043">
        <f t="shared" si="52"/>
        <v>13</v>
      </c>
      <c r="G676" s="2043">
        <f t="shared" si="53"/>
        <v>0</v>
      </c>
      <c r="H676" s="2208">
        <v>0</v>
      </c>
      <c r="I676" s="2209">
        <v>0</v>
      </c>
      <c r="J676" s="2210">
        <v>0</v>
      </c>
      <c r="K676" s="2208">
        <v>0</v>
      </c>
      <c r="L676" s="2208">
        <v>0</v>
      </c>
      <c r="M676" s="2211">
        <v>0</v>
      </c>
      <c r="N676" s="2212">
        <v>38619</v>
      </c>
      <c r="O676" s="1118">
        <f t="shared" si="55"/>
        <v>38619</v>
      </c>
      <c r="P676" s="2213">
        <f t="shared" si="54"/>
        <v>10398.107368840201</v>
      </c>
    </row>
    <row r="677" spans="1:16" ht="14.5">
      <c r="A677" s="2042" t="s">
        <v>5129</v>
      </c>
      <c r="B677" s="380" t="str">
        <f t="shared" si="51"/>
        <v>131-001</v>
      </c>
      <c r="C677" s="2042" t="s">
        <v>1928</v>
      </c>
      <c r="D677" s="2043">
        <v>76</v>
      </c>
      <c r="E677" s="2043">
        <v>89</v>
      </c>
      <c r="F677" s="2043">
        <f t="shared" si="52"/>
        <v>13</v>
      </c>
      <c r="G677" s="2043">
        <f t="shared" si="53"/>
        <v>0</v>
      </c>
      <c r="H677" s="2208">
        <v>0</v>
      </c>
      <c r="I677" s="2209">
        <v>0</v>
      </c>
      <c r="J677" s="2210">
        <v>0</v>
      </c>
      <c r="K677" s="2208">
        <v>0</v>
      </c>
      <c r="L677" s="2208">
        <v>0</v>
      </c>
      <c r="M677" s="2211">
        <v>0</v>
      </c>
      <c r="N677" s="2212">
        <v>0</v>
      </c>
      <c r="O677" s="1118">
        <f t="shared" si="55"/>
        <v>0</v>
      </c>
      <c r="P677" s="2213">
        <f t="shared" si="54"/>
        <v>0</v>
      </c>
    </row>
    <row r="678" spans="1:16" ht="14.5">
      <c r="A678" s="2042" t="s">
        <v>5889</v>
      </c>
      <c r="B678" s="380" t="str">
        <f t="shared" si="51"/>
        <v>228-904</v>
      </c>
      <c r="C678" s="2042" t="s">
        <v>1721</v>
      </c>
      <c r="D678" s="2043">
        <v>125</v>
      </c>
      <c r="E678" s="2043">
        <v>139</v>
      </c>
      <c r="F678" s="2043">
        <f t="shared" si="52"/>
        <v>14</v>
      </c>
      <c r="G678" s="2043">
        <f t="shared" si="53"/>
        <v>0</v>
      </c>
      <c r="H678" s="2208">
        <v>0</v>
      </c>
      <c r="I678" s="2209">
        <v>0</v>
      </c>
      <c r="J678" s="2210">
        <v>0</v>
      </c>
      <c r="K678" s="2208">
        <v>0</v>
      </c>
      <c r="L678" s="2208">
        <v>0</v>
      </c>
      <c r="M678" s="2211">
        <v>0</v>
      </c>
      <c r="N678" s="2212">
        <v>34706</v>
      </c>
      <c r="O678" s="1118">
        <f t="shared" si="55"/>
        <v>34706</v>
      </c>
      <c r="P678" s="2213">
        <f t="shared" si="54"/>
        <v>9344.5380342051321</v>
      </c>
    </row>
    <row r="679" spans="1:16" ht="14.5">
      <c r="A679" s="2042" t="s">
        <v>5762</v>
      </c>
      <c r="B679" s="380" t="str">
        <f t="shared" si="51"/>
        <v>030-901</v>
      </c>
      <c r="C679" s="2042" t="s">
        <v>1509</v>
      </c>
      <c r="D679" s="2043">
        <v>349</v>
      </c>
      <c r="E679" s="2043">
        <v>363</v>
      </c>
      <c r="F679" s="2043">
        <f t="shared" si="52"/>
        <v>14</v>
      </c>
      <c r="G679" s="2043">
        <f t="shared" si="53"/>
        <v>0</v>
      </c>
      <c r="H679" s="2208">
        <v>0</v>
      </c>
      <c r="I679" s="2209">
        <v>0</v>
      </c>
      <c r="J679" s="2210">
        <v>0</v>
      </c>
      <c r="K679" s="2208">
        <v>0</v>
      </c>
      <c r="L679" s="2208">
        <v>0</v>
      </c>
      <c r="M679" s="2211">
        <v>0</v>
      </c>
      <c r="N679" s="2212">
        <v>0</v>
      </c>
      <c r="O679" s="1118">
        <f t="shared" si="55"/>
        <v>0</v>
      </c>
      <c r="P679" s="2213">
        <f t="shared" si="54"/>
        <v>0</v>
      </c>
    </row>
    <row r="680" spans="1:16" ht="14.5">
      <c r="A680" s="2042" t="s">
        <v>5833</v>
      </c>
      <c r="B680" s="380" t="str">
        <f t="shared" si="51"/>
        <v>137-903</v>
      </c>
      <c r="C680" s="2042" t="s">
        <v>1938</v>
      </c>
      <c r="D680" s="2043">
        <v>420</v>
      </c>
      <c r="E680" s="2043">
        <v>435</v>
      </c>
      <c r="F680" s="2043">
        <f t="shared" si="52"/>
        <v>15</v>
      </c>
      <c r="G680" s="2043">
        <f t="shared" si="53"/>
        <v>0</v>
      </c>
      <c r="H680" s="2208">
        <v>0</v>
      </c>
      <c r="I680" s="2209">
        <v>0</v>
      </c>
      <c r="J680" s="2210">
        <v>0</v>
      </c>
      <c r="K680" s="2208">
        <v>0</v>
      </c>
      <c r="L680" s="2208">
        <v>0</v>
      </c>
      <c r="M680" s="2211">
        <v>0</v>
      </c>
      <c r="N680" s="2212">
        <v>94596</v>
      </c>
      <c r="O680" s="1118">
        <f t="shared" si="55"/>
        <v>94596</v>
      </c>
      <c r="P680" s="2213">
        <f t="shared" si="54"/>
        <v>25469.829997224362</v>
      </c>
    </row>
    <row r="681" spans="1:16" ht="14.5">
      <c r="A681" s="2042" t="s">
        <v>5015</v>
      </c>
      <c r="B681" s="380" t="str">
        <f t="shared" si="51"/>
        <v>075-901</v>
      </c>
      <c r="C681" s="2042" t="s">
        <v>434</v>
      </c>
      <c r="D681" s="2043">
        <v>587</v>
      </c>
      <c r="E681" s="2043">
        <v>602</v>
      </c>
      <c r="F681" s="2043">
        <f t="shared" si="52"/>
        <v>15</v>
      </c>
      <c r="G681" s="2043">
        <f t="shared" si="53"/>
        <v>0</v>
      </c>
      <c r="H681" s="2208">
        <v>0</v>
      </c>
      <c r="I681" s="2209">
        <v>0</v>
      </c>
      <c r="J681" s="2210">
        <v>0</v>
      </c>
      <c r="K681" s="2208">
        <v>0</v>
      </c>
      <c r="L681" s="2208">
        <v>0</v>
      </c>
      <c r="M681" s="2211">
        <v>0</v>
      </c>
      <c r="N681" s="2212">
        <v>137747</v>
      </c>
      <c r="O681" s="1118">
        <f t="shared" si="55"/>
        <v>137747</v>
      </c>
      <c r="P681" s="2213">
        <f t="shared" si="54"/>
        <v>37088.171514944232</v>
      </c>
    </row>
    <row r="682" spans="1:16" ht="14.5">
      <c r="A682" s="2042" t="s">
        <v>5137</v>
      </c>
      <c r="B682" s="380" t="str">
        <f t="shared" si="51"/>
        <v>140-908</v>
      </c>
      <c r="C682" s="2042" t="s">
        <v>893</v>
      </c>
      <c r="D682" s="2043">
        <v>465</v>
      </c>
      <c r="E682" s="2043">
        <v>480</v>
      </c>
      <c r="F682" s="2043">
        <f t="shared" si="52"/>
        <v>15</v>
      </c>
      <c r="G682" s="2043">
        <f t="shared" si="53"/>
        <v>0</v>
      </c>
      <c r="H682" s="2208">
        <v>0</v>
      </c>
      <c r="I682" s="2209">
        <v>0</v>
      </c>
      <c r="J682" s="2210">
        <v>0</v>
      </c>
      <c r="K682" s="2208">
        <v>0</v>
      </c>
      <c r="L682" s="2208">
        <v>0</v>
      </c>
      <c r="M682" s="2211">
        <v>0</v>
      </c>
      <c r="N682" s="2212">
        <v>0</v>
      </c>
      <c r="O682" s="1118">
        <f t="shared" si="55"/>
        <v>0</v>
      </c>
      <c r="P682" s="2213">
        <f t="shared" si="54"/>
        <v>0</v>
      </c>
    </row>
    <row r="683" spans="1:16" ht="14.5">
      <c r="A683" s="2042" t="s">
        <v>2850</v>
      </c>
      <c r="B683" s="380" t="str">
        <f t="shared" si="51"/>
        <v>001-907</v>
      </c>
      <c r="C683" s="2042" t="s">
        <v>269</v>
      </c>
      <c r="D683" s="2043">
        <v>3385</v>
      </c>
      <c r="E683" s="2043">
        <v>3400</v>
      </c>
      <c r="F683" s="2043">
        <f t="shared" si="52"/>
        <v>15</v>
      </c>
      <c r="G683" s="2043">
        <f t="shared" si="53"/>
        <v>0</v>
      </c>
      <c r="H683" s="2208">
        <v>0</v>
      </c>
      <c r="I683" s="2209">
        <v>0</v>
      </c>
      <c r="J683" s="2210">
        <v>0</v>
      </c>
      <c r="K683" s="2208">
        <v>0</v>
      </c>
      <c r="L683" s="2208">
        <v>0</v>
      </c>
      <c r="M683" s="2211">
        <v>0</v>
      </c>
      <c r="N683" s="2212">
        <v>0</v>
      </c>
      <c r="O683" s="1118">
        <f t="shared" si="55"/>
        <v>0</v>
      </c>
      <c r="P683" s="2213">
        <f t="shared" si="54"/>
        <v>0</v>
      </c>
    </row>
    <row r="684" spans="1:16" ht="14.5">
      <c r="A684" s="2042" t="s">
        <v>5813</v>
      </c>
      <c r="B684" s="380" t="str">
        <f t="shared" si="51"/>
        <v>104-903</v>
      </c>
      <c r="C684" s="2042" t="s">
        <v>150</v>
      </c>
      <c r="D684" s="2043">
        <v>125</v>
      </c>
      <c r="E684" s="2043">
        <v>141</v>
      </c>
      <c r="F684" s="2043">
        <f t="shared" si="52"/>
        <v>16</v>
      </c>
      <c r="G684" s="2043">
        <f t="shared" si="53"/>
        <v>0</v>
      </c>
      <c r="H684" s="2208">
        <v>0</v>
      </c>
      <c r="I684" s="2209">
        <v>0</v>
      </c>
      <c r="J684" s="2210">
        <v>0</v>
      </c>
      <c r="K684" s="2208">
        <v>0</v>
      </c>
      <c r="L684" s="2208">
        <v>0</v>
      </c>
      <c r="M684" s="2211">
        <v>0</v>
      </c>
      <c r="N684" s="2212">
        <v>0</v>
      </c>
      <c r="O684" s="1118">
        <f t="shared" si="55"/>
        <v>0</v>
      </c>
      <c r="P684" s="2213">
        <f t="shared" si="54"/>
        <v>0</v>
      </c>
    </row>
    <row r="685" spans="1:16" ht="14.5">
      <c r="A685" s="2042" t="s">
        <v>5304</v>
      </c>
      <c r="B685" s="380" t="str">
        <f t="shared" si="51"/>
        <v>243-902</v>
      </c>
      <c r="C685" s="2042" t="s">
        <v>1515</v>
      </c>
      <c r="D685" s="2043">
        <v>425</v>
      </c>
      <c r="E685" s="2043">
        <v>441</v>
      </c>
      <c r="F685" s="2043">
        <f t="shared" si="52"/>
        <v>16</v>
      </c>
      <c r="G685" s="2043">
        <f t="shared" si="53"/>
        <v>0</v>
      </c>
      <c r="H685" s="2208">
        <v>0</v>
      </c>
      <c r="I685" s="2209">
        <v>0</v>
      </c>
      <c r="J685" s="2210">
        <v>0</v>
      </c>
      <c r="K685" s="2208">
        <v>0</v>
      </c>
      <c r="L685" s="2208">
        <v>0</v>
      </c>
      <c r="M685" s="2211">
        <v>0</v>
      </c>
      <c r="N685" s="2212">
        <v>0</v>
      </c>
      <c r="O685" s="1118">
        <f t="shared" si="55"/>
        <v>0</v>
      </c>
      <c r="P685" s="2213">
        <f t="shared" si="54"/>
        <v>0</v>
      </c>
    </row>
    <row r="686" spans="1:16" ht="14.5">
      <c r="A686" s="2042" t="s">
        <v>5148</v>
      </c>
      <c r="B686" s="380" t="str">
        <f t="shared" si="51"/>
        <v>146-903</v>
      </c>
      <c r="C686" s="2042" t="s">
        <v>1893</v>
      </c>
      <c r="D686" s="2043">
        <v>189</v>
      </c>
      <c r="E686" s="2043">
        <v>205</v>
      </c>
      <c r="F686" s="2043">
        <f t="shared" si="52"/>
        <v>16</v>
      </c>
      <c r="G686" s="2043">
        <f t="shared" si="53"/>
        <v>0</v>
      </c>
      <c r="H686" s="2208">
        <v>0</v>
      </c>
      <c r="I686" s="2209">
        <v>0</v>
      </c>
      <c r="J686" s="2210">
        <v>0</v>
      </c>
      <c r="K686" s="2208">
        <v>0</v>
      </c>
      <c r="L686" s="2208">
        <v>0</v>
      </c>
      <c r="M686" s="2211">
        <v>0</v>
      </c>
      <c r="N686" s="2212">
        <v>0</v>
      </c>
      <c r="O686" s="1118">
        <f t="shared" si="55"/>
        <v>0</v>
      </c>
      <c r="P686" s="2213">
        <f t="shared" si="54"/>
        <v>0</v>
      </c>
    </row>
    <row r="687" spans="1:16" ht="14.5">
      <c r="A687" s="2042" t="s">
        <v>5233</v>
      </c>
      <c r="B687" s="380" t="str">
        <f t="shared" si="51"/>
        <v>193-902</v>
      </c>
      <c r="C687" s="2042" t="s">
        <v>146</v>
      </c>
      <c r="D687" s="2043">
        <v>269</v>
      </c>
      <c r="E687" s="2043">
        <v>286</v>
      </c>
      <c r="F687" s="2043">
        <f t="shared" si="52"/>
        <v>17</v>
      </c>
      <c r="G687" s="2043">
        <f t="shared" si="53"/>
        <v>0</v>
      </c>
      <c r="H687" s="2208">
        <v>0</v>
      </c>
      <c r="I687" s="2209">
        <v>0</v>
      </c>
      <c r="J687" s="2210">
        <v>0</v>
      </c>
      <c r="K687" s="2208">
        <v>0</v>
      </c>
      <c r="L687" s="2208">
        <v>0</v>
      </c>
      <c r="M687" s="2211">
        <v>0</v>
      </c>
      <c r="N687" s="2212">
        <v>0</v>
      </c>
      <c r="O687" s="1118">
        <f t="shared" si="55"/>
        <v>0</v>
      </c>
      <c r="P687" s="2213">
        <f t="shared" si="54"/>
        <v>0</v>
      </c>
    </row>
    <row r="688" spans="1:16" ht="14.5">
      <c r="A688" s="2042" t="s">
        <v>2887</v>
      </c>
      <c r="B688" s="380" t="str">
        <f t="shared" si="51"/>
        <v>016-902</v>
      </c>
      <c r="C688" s="2042" t="s">
        <v>753</v>
      </c>
      <c r="D688" s="2043">
        <v>994</v>
      </c>
      <c r="E688" s="2043">
        <v>1011</v>
      </c>
      <c r="F688" s="2043">
        <f t="shared" si="52"/>
        <v>17</v>
      </c>
      <c r="G688" s="2043">
        <f t="shared" si="53"/>
        <v>0</v>
      </c>
      <c r="H688" s="2208">
        <v>0</v>
      </c>
      <c r="I688" s="2209">
        <v>0</v>
      </c>
      <c r="J688" s="2210">
        <v>0</v>
      </c>
      <c r="K688" s="2208">
        <v>0</v>
      </c>
      <c r="L688" s="2208">
        <v>0</v>
      </c>
      <c r="M688" s="2211">
        <v>0</v>
      </c>
      <c r="N688" s="2212">
        <v>0</v>
      </c>
      <c r="O688" s="1118">
        <f t="shared" si="55"/>
        <v>0</v>
      </c>
      <c r="P688" s="2213">
        <f t="shared" si="54"/>
        <v>0</v>
      </c>
    </row>
    <row r="689" spans="1:16" ht="14.5">
      <c r="A689" s="2042" t="s">
        <v>5812</v>
      </c>
      <c r="B689" s="380" t="str">
        <f t="shared" si="51"/>
        <v>102-901</v>
      </c>
      <c r="C689" s="2042" t="s">
        <v>2070</v>
      </c>
      <c r="D689" s="2043">
        <v>126</v>
      </c>
      <c r="E689" s="2043">
        <v>143</v>
      </c>
      <c r="F689" s="2043">
        <f t="shared" si="52"/>
        <v>17</v>
      </c>
      <c r="G689" s="2043">
        <f t="shared" si="53"/>
        <v>0</v>
      </c>
      <c r="H689" s="2208">
        <v>0</v>
      </c>
      <c r="I689" s="2209">
        <v>0</v>
      </c>
      <c r="J689" s="2210">
        <v>0</v>
      </c>
      <c r="K689" s="2208">
        <v>0</v>
      </c>
      <c r="L689" s="2208">
        <v>0</v>
      </c>
      <c r="M689" s="2211">
        <v>0</v>
      </c>
      <c r="N689" s="2212">
        <v>0</v>
      </c>
      <c r="O689" s="1118">
        <f t="shared" si="55"/>
        <v>0</v>
      </c>
      <c r="P689" s="2213">
        <f t="shared" si="54"/>
        <v>0</v>
      </c>
    </row>
    <row r="690" spans="1:16" ht="14.5">
      <c r="A690" s="2042" t="s">
        <v>5888</v>
      </c>
      <c r="B690" s="380" t="str">
        <f t="shared" si="51"/>
        <v>228-901</v>
      </c>
      <c r="C690" s="2042" t="s">
        <v>1806</v>
      </c>
      <c r="D690" s="2043">
        <v>745</v>
      </c>
      <c r="E690" s="2043">
        <v>762</v>
      </c>
      <c r="F690" s="2043">
        <f t="shared" si="52"/>
        <v>17</v>
      </c>
      <c r="G690" s="2043">
        <f t="shared" si="53"/>
        <v>0</v>
      </c>
      <c r="H690" s="2208">
        <v>0</v>
      </c>
      <c r="I690" s="2209">
        <v>0</v>
      </c>
      <c r="J690" s="2210">
        <v>0</v>
      </c>
      <c r="K690" s="2208">
        <v>0</v>
      </c>
      <c r="L690" s="2208">
        <v>0</v>
      </c>
      <c r="M690" s="2211">
        <v>0</v>
      </c>
      <c r="N690" s="2212">
        <v>0</v>
      </c>
      <c r="O690" s="1118">
        <f t="shared" si="55"/>
        <v>0</v>
      </c>
      <c r="P690" s="2213">
        <f t="shared" si="54"/>
        <v>0</v>
      </c>
    </row>
    <row r="691" spans="1:16" ht="14.5">
      <c r="A691" s="2042" t="s">
        <v>5121</v>
      </c>
      <c r="B691" s="380" t="str">
        <f t="shared" si="51"/>
        <v>127-901</v>
      </c>
      <c r="C691" s="2042" t="s">
        <v>2279</v>
      </c>
      <c r="D691" s="2043">
        <v>690</v>
      </c>
      <c r="E691" s="2043">
        <v>708</v>
      </c>
      <c r="F691" s="2043">
        <f t="shared" si="52"/>
        <v>18</v>
      </c>
      <c r="G691" s="2043">
        <f t="shared" si="53"/>
        <v>0</v>
      </c>
      <c r="H691" s="2208">
        <v>0</v>
      </c>
      <c r="I691" s="2209">
        <v>0</v>
      </c>
      <c r="J691" s="2210">
        <v>0</v>
      </c>
      <c r="K691" s="2208">
        <v>0</v>
      </c>
      <c r="L691" s="2208">
        <v>0</v>
      </c>
      <c r="M691" s="2211">
        <v>0</v>
      </c>
      <c r="N691" s="2212">
        <v>0</v>
      </c>
      <c r="O691" s="1118">
        <f t="shared" si="55"/>
        <v>0</v>
      </c>
      <c r="P691" s="2213">
        <f t="shared" si="54"/>
        <v>0</v>
      </c>
    </row>
    <row r="692" spans="1:16" ht="14.5">
      <c r="A692" s="2042" t="s">
        <v>4958</v>
      </c>
      <c r="B692" s="380" t="str">
        <f t="shared" si="51"/>
        <v>033-902</v>
      </c>
      <c r="C692" s="2042" t="s">
        <v>2047</v>
      </c>
      <c r="D692" s="2043">
        <v>651</v>
      </c>
      <c r="E692" s="2043">
        <v>669</v>
      </c>
      <c r="F692" s="2043">
        <f t="shared" si="52"/>
        <v>18</v>
      </c>
      <c r="G692" s="2043">
        <f t="shared" si="53"/>
        <v>0</v>
      </c>
      <c r="H692" s="2208">
        <v>0</v>
      </c>
      <c r="I692" s="2209">
        <v>0</v>
      </c>
      <c r="J692" s="2210">
        <v>0</v>
      </c>
      <c r="K692" s="2208">
        <v>0</v>
      </c>
      <c r="L692" s="2208">
        <v>0</v>
      </c>
      <c r="M692" s="2211">
        <v>0</v>
      </c>
      <c r="N692" s="2212">
        <v>0</v>
      </c>
      <c r="O692" s="1118">
        <f t="shared" si="55"/>
        <v>0</v>
      </c>
      <c r="P692" s="2213">
        <f t="shared" si="54"/>
        <v>0</v>
      </c>
    </row>
    <row r="693" spans="1:16" ht="14.5">
      <c r="A693" s="2042" t="s">
        <v>3007</v>
      </c>
      <c r="B693" s="380" t="str">
        <f t="shared" si="51"/>
        <v>091-909</v>
      </c>
      <c r="C693" s="2042" t="s">
        <v>1259</v>
      </c>
      <c r="D693" s="2043">
        <v>1578</v>
      </c>
      <c r="E693" s="2043">
        <v>1596</v>
      </c>
      <c r="F693" s="2043">
        <f t="shared" si="52"/>
        <v>18</v>
      </c>
      <c r="G693" s="2043">
        <f t="shared" si="53"/>
        <v>0</v>
      </c>
      <c r="H693" s="2208">
        <v>0</v>
      </c>
      <c r="I693" s="2209">
        <v>0</v>
      </c>
      <c r="J693" s="2210">
        <v>0</v>
      </c>
      <c r="K693" s="2208">
        <v>0</v>
      </c>
      <c r="L693" s="2208">
        <v>0</v>
      </c>
      <c r="M693" s="2211">
        <v>0</v>
      </c>
      <c r="N693" s="2212">
        <v>0</v>
      </c>
      <c r="O693" s="1118">
        <f t="shared" si="55"/>
        <v>0</v>
      </c>
      <c r="P693" s="2213">
        <f t="shared" si="54"/>
        <v>0</v>
      </c>
    </row>
    <row r="694" spans="1:16" ht="14.5">
      <c r="A694" s="2042" t="s">
        <v>3275</v>
      </c>
      <c r="B694" s="380" t="str">
        <f t="shared" si="51"/>
        <v>252-903</v>
      </c>
      <c r="C694" s="2042" t="s">
        <v>779</v>
      </c>
      <c r="D694" s="2043">
        <v>689</v>
      </c>
      <c r="E694" s="2043">
        <v>707</v>
      </c>
      <c r="F694" s="2043">
        <f t="shared" si="52"/>
        <v>18</v>
      </c>
      <c r="G694" s="2043">
        <f t="shared" si="53"/>
        <v>0</v>
      </c>
      <c r="H694" s="2208">
        <v>0</v>
      </c>
      <c r="I694" s="2209">
        <v>0</v>
      </c>
      <c r="J694" s="2210">
        <v>0</v>
      </c>
      <c r="K694" s="2208">
        <v>0</v>
      </c>
      <c r="L694" s="2208">
        <v>0</v>
      </c>
      <c r="M694" s="2211">
        <v>0</v>
      </c>
      <c r="N694" s="2212">
        <v>0</v>
      </c>
      <c r="O694" s="1118">
        <f t="shared" si="55"/>
        <v>0</v>
      </c>
      <c r="P694" s="2213">
        <f t="shared" si="54"/>
        <v>0</v>
      </c>
    </row>
    <row r="695" spans="1:16" ht="14.5">
      <c r="A695" s="2042" t="s">
        <v>3068</v>
      </c>
      <c r="B695" s="380" t="str">
        <f t="shared" si="51"/>
        <v>116-908</v>
      </c>
      <c r="C695" s="2042" t="s">
        <v>75</v>
      </c>
      <c r="D695" s="2043">
        <v>2573</v>
      </c>
      <c r="E695" s="2043">
        <v>2592</v>
      </c>
      <c r="F695" s="2043">
        <f t="shared" si="52"/>
        <v>19</v>
      </c>
      <c r="G695" s="2043">
        <f t="shared" si="53"/>
        <v>0</v>
      </c>
      <c r="H695" s="2208">
        <v>0</v>
      </c>
      <c r="I695" s="2209">
        <v>0</v>
      </c>
      <c r="J695" s="2210">
        <v>0</v>
      </c>
      <c r="K695" s="2208">
        <v>0</v>
      </c>
      <c r="L695" s="2208">
        <v>0</v>
      </c>
      <c r="M695" s="2211">
        <v>0</v>
      </c>
      <c r="N695" s="2212">
        <v>0</v>
      </c>
      <c r="O695" s="1118">
        <f t="shared" si="55"/>
        <v>0</v>
      </c>
      <c r="P695" s="2213">
        <f t="shared" si="54"/>
        <v>0</v>
      </c>
    </row>
    <row r="696" spans="1:16" ht="14.5">
      <c r="A696" s="2042" t="s">
        <v>5880</v>
      </c>
      <c r="B696" s="380" t="str">
        <f t="shared" si="51"/>
        <v>210-905</v>
      </c>
      <c r="C696" s="2042" t="s">
        <v>1682</v>
      </c>
      <c r="D696" s="2043">
        <v>630</v>
      </c>
      <c r="E696" s="2043">
        <v>649</v>
      </c>
      <c r="F696" s="2043">
        <f t="shared" si="52"/>
        <v>19</v>
      </c>
      <c r="G696" s="2043">
        <f t="shared" si="53"/>
        <v>0</v>
      </c>
      <c r="H696" s="2208">
        <v>0</v>
      </c>
      <c r="I696" s="2209">
        <v>0</v>
      </c>
      <c r="J696" s="2210">
        <v>0</v>
      </c>
      <c r="K696" s="2208">
        <v>0</v>
      </c>
      <c r="L696" s="2208">
        <v>0</v>
      </c>
      <c r="M696" s="2211">
        <v>0</v>
      </c>
      <c r="N696" s="2212">
        <v>158607</v>
      </c>
      <c r="O696" s="1118">
        <f t="shared" si="55"/>
        <v>158607</v>
      </c>
      <c r="P696" s="2213">
        <f t="shared" si="54"/>
        <v>42704.694980440654</v>
      </c>
    </row>
    <row r="697" spans="1:16" ht="14.5">
      <c r="A697" s="2042" t="s">
        <v>2922</v>
      </c>
      <c r="B697" s="380" t="str">
        <f t="shared" si="51"/>
        <v>035-903</v>
      </c>
      <c r="C697" s="2042" t="s">
        <v>370</v>
      </c>
      <c r="D697" s="2043">
        <v>231</v>
      </c>
      <c r="E697" s="2043">
        <v>250</v>
      </c>
      <c r="F697" s="2043">
        <f t="shared" si="52"/>
        <v>19</v>
      </c>
      <c r="G697" s="2043">
        <f t="shared" si="53"/>
        <v>0</v>
      </c>
      <c r="H697" s="2208">
        <v>0</v>
      </c>
      <c r="I697" s="2209">
        <v>0</v>
      </c>
      <c r="J697" s="2210">
        <v>0</v>
      </c>
      <c r="K697" s="2208">
        <v>0</v>
      </c>
      <c r="L697" s="2208">
        <v>0</v>
      </c>
      <c r="M697" s="2211">
        <v>0</v>
      </c>
      <c r="N697" s="2212">
        <v>55535</v>
      </c>
      <c r="O697" s="1118">
        <f t="shared" si="55"/>
        <v>55535</v>
      </c>
      <c r="P697" s="2213">
        <f t="shared" si="54"/>
        <v>14952.714796564918</v>
      </c>
    </row>
    <row r="698" spans="1:16" ht="14.5">
      <c r="A698" s="2042" t="s">
        <v>5886</v>
      </c>
      <c r="B698" s="380" t="str">
        <f t="shared" si="51"/>
        <v>224-902</v>
      </c>
      <c r="C698" s="2042" t="s">
        <v>600</v>
      </c>
      <c r="D698" s="2043">
        <v>142</v>
      </c>
      <c r="E698" s="2043">
        <v>161</v>
      </c>
      <c r="F698" s="2043">
        <f t="shared" si="52"/>
        <v>19</v>
      </c>
      <c r="G698" s="2043">
        <f t="shared" si="53"/>
        <v>0</v>
      </c>
      <c r="H698" s="2208">
        <v>0</v>
      </c>
      <c r="I698" s="2209">
        <v>0</v>
      </c>
      <c r="J698" s="2210">
        <v>0</v>
      </c>
      <c r="K698" s="2208">
        <v>0</v>
      </c>
      <c r="L698" s="2208">
        <v>0</v>
      </c>
      <c r="M698" s="2211">
        <v>0</v>
      </c>
      <c r="N698" s="2212">
        <v>0</v>
      </c>
      <c r="O698" s="1118">
        <f t="shared" si="55"/>
        <v>0</v>
      </c>
      <c r="P698" s="2213">
        <f t="shared" si="54"/>
        <v>0</v>
      </c>
    </row>
    <row r="699" spans="1:16" ht="14.5">
      <c r="A699" s="2042" t="s">
        <v>5107</v>
      </c>
      <c r="B699" s="380" t="str">
        <f t="shared" si="51"/>
        <v>117-904</v>
      </c>
      <c r="C699" s="2042" t="s">
        <v>991</v>
      </c>
      <c r="D699" s="2043">
        <v>653</v>
      </c>
      <c r="E699" s="2043">
        <v>673</v>
      </c>
      <c r="F699" s="2043">
        <f t="shared" si="52"/>
        <v>20</v>
      </c>
      <c r="G699" s="2043">
        <f t="shared" si="53"/>
        <v>0</v>
      </c>
      <c r="H699" s="2208">
        <v>0</v>
      </c>
      <c r="I699" s="2209">
        <v>0</v>
      </c>
      <c r="J699" s="2210">
        <v>0</v>
      </c>
      <c r="K699" s="2208">
        <v>0</v>
      </c>
      <c r="L699" s="2208">
        <v>0</v>
      </c>
      <c r="M699" s="2211">
        <v>0</v>
      </c>
      <c r="N699" s="2212">
        <v>0</v>
      </c>
      <c r="O699" s="1118">
        <f t="shared" si="55"/>
        <v>0</v>
      </c>
      <c r="P699" s="2213">
        <f t="shared" si="54"/>
        <v>0</v>
      </c>
    </row>
    <row r="700" spans="1:16" ht="14.5">
      <c r="A700" s="2042" t="s">
        <v>3061</v>
      </c>
      <c r="B700" s="380" t="str">
        <f t="shared" si="51"/>
        <v>112-907</v>
      </c>
      <c r="C700" s="2042" t="s">
        <v>2115</v>
      </c>
      <c r="D700" s="2043">
        <v>286</v>
      </c>
      <c r="E700" s="2043">
        <v>306</v>
      </c>
      <c r="F700" s="2043">
        <f t="shared" si="52"/>
        <v>20</v>
      </c>
      <c r="G700" s="2043">
        <f t="shared" si="53"/>
        <v>0</v>
      </c>
      <c r="H700" s="2208">
        <v>0</v>
      </c>
      <c r="I700" s="2209">
        <v>0</v>
      </c>
      <c r="J700" s="2210">
        <v>0</v>
      </c>
      <c r="K700" s="2208">
        <v>0</v>
      </c>
      <c r="L700" s="2208">
        <v>0</v>
      </c>
      <c r="M700" s="2211">
        <v>0</v>
      </c>
      <c r="N700" s="2212">
        <v>76150</v>
      </c>
      <c r="O700" s="1118">
        <f t="shared" si="55"/>
        <v>76150</v>
      </c>
      <c r="P700" s="2213">
        <f t="shared" si="54"/>
        <v>20503.272382433031</v>
      </c>
    </row>
    <row r="701" spans="1:16" ht="14.5">
      <c r="A701" s="2042" t="s">
        <v>5865</v>
      </c>
      <c r="B701" s="380" t="str">
        <f t="shared" si="51"/>
        <v>187-903</v>
      </c>
      <c r="C701" s="2042" t="s">
        <v>422</v>
      </c>
      <c r="D701" s="2043">
        <v>234</v>
      </c>
      <c r="E701" s="2043">
        <v>254</v>
      </c>
      <c r="F701" s="2043">
        <f t="shared" si="52"/>
        <v>20</v>
      </c>
      <c r="G701" s="2043">
        <f t="shared" si="53"/>
        <v>0</v>
      </c>
      <c r="H701" s="2208">
        <v>0</v>
      </c>
      <c r="I701" s="2209">
        <v>0</v>
      </c>
      <c r="J701" s="2210">
        <v>0</v>
      </c>
      <c r="K701" s="2208">
        <v>0</v>
      </c>
      <c r="L701" s="2208">
        <v>0</v>
      </c>
      <c r="M701" s="2211">
        <v>0</v>
      </c>
      <c r="N701" s="2212">
        <v>57832</v>
      </c>
      <c r="O701" s="1118">
        <f t="shared" si="55"/>
        <v>57832</v>
      </c>
      <c r="P701" s="2213">
        <f t="shared" si="54"/>
        <v>15571.178574141395</v>
      </c>
    </row>
    <row r="702" spans="1:16" ht="14.5">
      <c r="A702" s="2042" t="s">
        <v>2951</v>
      </c>
      <c r="B702" s="380" t="str">
        <f t="shared" si="51"/>
        <v>050-904</v>
      </c>
      <c r="C702" s="2042" t="s">
        <v>247</v>
      </c>
      <c r="D702" s="2043">
        <v>165</v>
      </c>
      <c r="E702" s="2043">
        <v>185</v>
      </c>
      <c r="F702" s="2043">
        <f t="shared" si="52"/>
        <v>20</v>
      </c>
      <c r="G702" s="2043">
        <f t="shared" si="53"/>
        <v>0</v>
      </c>
      <c r="H702" s="2208">
        <v>0</v>
      </c>
      <c r="I702" s="2209">
        <v>0</v>
      </c>
      <c r="J702" s="2210">
        <v>0</v>
      </c>
      <c r="K702" s="2208">
        <v>0</v>
      </c>
      <c r="L702" s="2208">
        <v>0</v>
      </c>
      <c r="M702" s="2211">
        <v>0</v>
      </c>
      <c r="N702" s="2212">
        <v>37430</v>
      </c>
      <c r="O702" s="1118">
        <f t="shared" si="55"/>
        <v>37430</v>
      </c>
      <c r="P702" s="2213">
        <f t="shared" si="54"/>
        <v>10077.97091627667</v>
      </c>
    </row>
    <row r="703" spans="1:16" ht="14.5">
      <c r="A703" s="2042" t="s">
        <v>5164</v>
      </c>
      <c r="B703" s="380" t="str">
        <f t="shared" si="51"/>
        <v>155-901</v>
      </c>
      <c r="C703" s="2042" t="s">
        <v>528</v>
      </c>
      <c r="D703" s="2043">
        <v>1206</v>
      </c>
      <c r="E703" s="2043">
        <v>1227</v>
      </c>
      <c r="F703" s="2043">
        <f t="shared" si="52"/>
        <v>21</v>
      </c>
      <c r="G703" s="2043">
        <f t="shared" si="53"/>
        <v>0</v>
      </c>
      <c r="H703" s="2208">
        <v>0</v>
      </c>
      <c r="I703" s="2209">
        <v>0</v>
      </c>
      <c r="J703" s="2210">
        <v>0</v>
      </c>
      <c r="K703" s="2208">
        <v>0</v>
      </c>
      <c r="L703" s="2208">
        <v>0</v>
      </c>
      <c r="M703" s="2211">
        <v>0</v>
      </c>
      <c r="N703" s="2212">
        <v>280430</v>
      </c>
      <c r="O703" s="1118">
        <f t="shared" si="55"/>
        <v>280430</v>
      </c>
      <c r="P703" s="2213">
        <f t="shared" si="54"/>
        <v>75505.353568032777</v>
      </c>
    </row>
    <row r="704" spans="1:16" ht="14.5">
      <c r="A704" s="2042" t="s">
        <v>3155</v>
      </c>
      <c r="B704" s="380" t="str">
        <f t="shared" si="51"/>
        <v>175-904</v>
      </c>
      <c r="C704" s="2042" t="s">
        <v>2516</v>
      </c>
      <c r="D704" s="2043">
        <v>488</v>
      </c>
      <c r="E704" s="2043">
        <v>509</v>
      </c>
      <c r="F704" s="2043">
        <f t="shared" si="52"/>
        <v>21</v>
      </c>
      <c r="G704" s="2043">
        <f t="shared" si="53"/>
        <v>0</v>
      </c>
      <c r="H704" s="2208">
        <v>0</v>
      </c>
      <c r="I704" s="2209">
        <v>0</v>
      </c>
      <c r="J704" s="2210">
        <v>0</v>
      </c>
      <c r="K704" s="2208">
        <v>0</v>
      </c>
      <c r="L704" s="2208">
        <v>0</v>
      </c>
      <c r="M704" s="2211">
        <v>0</v>
      </c>
      <c r="N704" s="2212">
        <v>122955</v>
      </c>
      <c r="O704" s="1118">
        <f t="shared" si="55"/>
        <v>122955</v>
      </c>
      <c r="P704" s="2213">
        <f t="shared" si="54"/>
        <v>33105.447876323749</v>
      </c>
    </row>
    <row r="705" spans="1:16" ht="14.5">
      <c r="A705" s="2042" t="s">
        <v>5143</v>
      </c>
      <c r="B705" s="380" t="str">
        <f t="shared" si="51"/>
        <v>145-901</v>
      </c>
      <c r="C705" s="2042" t="s">
        <v>905</v>
      </c>
      <c r="D705" s="2043">
        <v>926</v>
      </c>
      <c r="E705" s="2043">
        <v>947</v>
      </c>
      <c r="F705" s="2043">
        <f t="shared" si="52"/>
        <v>21</v>
      </c>
      <c r="G705" s="2043">
        <f t="shared" si="53"/>
        <v>0</v>
      </c>
      <c r="H705" s="2208">
        <v>0</v>
      </c>
      <c r="I705" s="2209">
        <v>0</v>
      </c>
      <c r="J705" s="2210">
        <v>0</v>
      </c>
      <c r="K705" s="2208">
        <v>0</v>
      </c>
      <c r="L705" s="2208">
        <v>0</v>
      </c>
      <c r="M705" s="2211">
        <v>0</v>
      </c>
      <c r="N705" s="2212">
        <v>0</v>
      </c>
      <c r="O705" s="1118">
        <f t="shared" si="55"/>
        <v>0</v>
      </c>
      <c r="P705" s="2213">
        <f t="shared" si="54"/>
        <v>0</v>
      </c>
    </row>
    <row r="706" spans="1:16" ht="14.5">
      <c r="A706" s="2042" t="s">
        <v>3269</v>
      </c>
      <c r="B706" s="380" t="str">
        <f t="shared" si="51"/>
        <v>247-904</v>
      </c>
      <c r="C706" s="2042" t="s">
        <v>951</v>
      </c>
      <c r="D706" s="2043">
        <v>825</v>
      </c>
      <c r="E706" s="2043">
        <v>846</v>
      </c>
      <c r="F706" s="2043">
        <f t="shared" si="52"/>
        <v>21</v>
      </c>
      <c r="G706" s="2043">
        <f t="shared" si="53"/>
        <v>0</v>
      </c>
      <c r="H706" s="2208">
        <v>0</v>
      </c>
      <c r="I706" s="2209">
        <v>0</v>
      </c>
      <c r="J706" s="2210">
        <v>0</v>
      </c>
      <c r="K706" s="2208">
        <v>0</v>
      </c>
      <c r="L706" s="2208">
        <v>0</v>
      </c>
      <c r="M706" s="2211">
        <v>0</v>
      </c>
      <c r="N706" s="2212">
        <v>0</v>
      </c>
      <c r="O706" s="1118">
        <f t="shared" si="55"/>
        <v>0</v>
      </c>
      <c r="P706" s="2213">
        <f t="shared" si="54"/>
        <v>0</v>
      </c>
    </row>
    <row r="707" spans="1:16" ht="14.5">
      <c r="A707" s="2042" t="s">
        <v>5081</v>
      </c>
      <c r="B707" s="380" t="str">
        <f t="shared" ref="B707:B770" si="56">CONCATENATE(LEFT(RIGHT(CONCATENATE("000",A707),6),3),"-",(RIGHT(RIGHT(CONCATENATE("000",A707),6),3)))</f>
        <v>103-902</v>
      </c>
      <c r="C707" s="2042" t="s">
        <v>149</v>
      </c>
      <c r="D707" s="2043">
        <v>215</v>
      </c>
      <c r="E707" s="2043">
        <v>236</v>
      </c>
      <c r="F707" s="2043">
        <f t="shared" ref="F707:F770" si="57">MAX(0,E707-D707)</f>
        <v>21</v>
      </c>
      <c r="G707" s="2043">
        <f t="shared" ref="G707:G770" si="58">MAX(0,F707-250)</f>
        <v>0</v>
      </c>
      <c r="H707" s="2208">
        <v>0</v>
      </c>
      <c r="I707" s="2209">
        <v>0</v>
      </c>
      <c r="J707" s="2210">
        <v>0</v>
      </c>
      <c r="K707" s="2208">
        <v>0</v>
      </c>
      <c r="L707" s="2208">
        <v>0</v>
      </c>
      <c r="M707" s="2211">
        <v>0</v>
      </c>
      <c r="N707" s="2212">
        <v>0</v>
      </c>
      <c r="O707" s="1118">
        <f t="shared" si="55"/>
        <v>0</v>
      </c>
      <c r="P707" s="2213">
        <f t="shared" ref="P707:P770" si="59">(40000000/$O$1022)*O707</f>
        <v>0</v>
      </c>
    </row>
    <row r="708" spans="1:16" ht="14.5">
      <c r="A708" s="2042" t="s">
        <v>5876</v>
      </c>
      <c r="B708" s="380" t="str">
        <f t="shared" si="56"/>
        <v>206-903</v>
      </c>
      <c r="C708" s="2042" t="s">
        <v>338</v>
      </c>
      <c r="D708" s="2043">
        <v>110</v>
      </c>
      <c r="E708" s="2043">
        <v>131</v>
      </c>
      <c r="F708" s="2043">
        <f t="shared" si="57"/>
        <v>21</v>
      </c>
      <c r="G708" s="2043">
        <f t="shared" si="58"/>
        <v>0</v>
      </c>
      <c r="H708" s="2208">
        <v>0</v>
      </c>
      <c r="I708" s="2209">
        <v>0</v>
      </c>
      <c r="J708" s="2210">
        <v>0</v>
      </c>
      <c r="K708" s="2208">
        <v>0</v>
      </c>
      <c r="L708" s="2208">
        <v>0</v>
      </c>
      <c r="M708" s="2211">
        <v>0</v>
      </c>
      <c r="N708" s="2212">
        <v>0</v>
      </c>
      <c r="O708" s="1118">
        <f t="shared" si="55"/>
        <v>0</v>
      </c>
      <c r="P708" s="2213">
        <f t="shared" si="59"/>
        <v>0</v>
      </c>
    </row>
    <row r="709" spans="1:16" ht="14.5">
      <c r="A709" s="2042" t="s">
        <v>5846</v>
      </c>
      <c r="B709" s="380" t="str">
        <f t="shared" si="56"/>
        <v>153-907</v>
      </c>
      <c r="C709" s="2042" t="s">
        <v>526</v>
      </c>
      <c r="D709" s="2043">
        <v>114</v>
      </c>
      <c r="E709" s="2043">
        <v>135</v>
      </c>
      <c r="F709" s="2043">
        <f t="shared" si="57"/>
        <v>21</v>
      </c>
      <c r="G709" s="2043">
        <f t="shared" si="58"/>
        <v>0</v>
      </c>
      <c r="H709" s="2208">
        <v>0</v>
      </c>
      <c r="I709" s="2209">
        <v>0</v>
      </c>
      <c r="J709" s="2210">
        <v>0</v>
      </c>
      <c r="K709" s="2208">
        <v>0</v>
      </c>
      <c r="L709" s="2208">
        <v>0</v>
      </c>
      <c r="M709" s="2211">
        <v>0</v>
      </c>
      <c r="N709" s="2212">
        <v>0</v>
      </c>
      <c r="O709" s="1118">
        <f t="shared" si="55"/>
        <v>0</v>
      </c>
      <c r="P709" s="2213">
        <f t="shared" si="59"/>
        <v>0</v>
      </c>
    </row>
    <row r="710" spans="1:16" ht="14.5">
      <c r="A710" s="2042" t="s">
        <v>4934</v>
      </c>
      <c r="B710" s="380" t="str">
        <f t="shared" si="56"/>
        <v>015-901</v>
      </c>
      <c r="C710" s="2042" t="s">
        <v>2156</v>
      </c>
      <c r="D710" s="2043">
        <v>4824</v>
      </c>
      <c r="E710" s="2043">
        <v>4846</v>
      </c>
      <c r="F710" s="2043">
        <f t="shared" si="57"/>
        <v>22</v>
      </c>
      <c r="G710" s="2043">
        <f t="shared" si="58"/>
        <v>0</v>
      </c>
      <c r="H710" s="2208">
        <v>0</v>
      </c>
      <c r="I710" s="2209">
        <v>0</v>
      </c>
      <c r="J710" s="2210">
        <v>0</v>
      </c>
      <c r="K710" s="2208">
        <v>0</v>
      </c>
      <c r="L710" s="2208">
        <v>0</v>
      </c>
      <c r="M710" s="2211">
        <v>0</v>
      </c>
      <c r="N710" s="2212">
        <v>0</v>
      </c>
      <c r="O710" s="1118">
        <f t="shared" si="55"/>
        <v>0</v>
      </c>
      <c r="P710" s="2213">
        <f t="shared" si="59"/>
        <v>0</v>
      </c>
    </row>
    <row r="711" spans="1:16" ht="14.5">
      <c r="A711" s="2042" t="s">
        <v>2988</v>
      </c>
      <c r="B711" s="380" t="str">
        <f t="shared" si="56"/>
        <v>072-909</v>
      </c>
      <c r="C711" s="2042" t="s">
        <v>2329</v>
      </c>
      <c r="D711" s="2043">
        <v>256</v>
      </c>
      <c r="E711" s="2043">
        <v>278</v>
      </c>
      <c r="F711" s="2043">
        <f t="shared" si="57"/>
        <v>22</v>
      </c>
      <c r="G711" s="2043">
        <f t="shared" si="58"/>
        <v>0</v>
      </c>
      <c r="H711" s="2208">
        <v>0</v>
      </c>
      <c r="I711" s="2209">
        <v>0</v>
      </c>
      <c r="J711" s="2210">
        <v>0</v>
      </c>
      <c r="K711" s="2208">
        <v>0</v>
      </c>
      <c r="L711" s="2208">
        <v>0</v>
      </c>
      <c r="M711" s="2211">
        <v>0</v>
      </c>
      <c r="N711" s="2212">
        <v>0</v>
      </c>
      <c r="O711" s="1118">
        <f t="shared" si="55"/>
        <v>0</v>
      </c>
      <c r="P711" s="2213">
        <f t="shared" si="59"/>
        <v>0</v>
      </c>
    </row>
    <row r="712" spans="1:16" ht="14.5">
      <c r="A712" s="2042" t="s">
        <v>5239</v>
      </c>
      <c r="B712" s="380" t="str">
        <f t="shared" si="56"/>
        <v>198-901</v>
      </c>
      <c r="C712" s="2042" t="s">
        <v>1536</v>
      </c>
      <c r="D712" s="2043">
        <v>472</v>
      </c>
      <c r="E712" s="2043">
        <v>494</v>
      </c>
      <c r="F712" s="2043">
        <f t="shared" si="57"/>
        <v>22</v>
      </c>
      <c r="G712" s="2043">
        <f t="shared" si="58"/>
        <v>0</v>
      </c>
      <c r="H712" s="2208">
        <v>0</v>
      </c>
      <c r="I712" s="2209">
        <v>0</v>
      </c>
      <c r="J712" s="2210">
        <v>0</v>
      </c>
      <c r="K712" s="2208">
        <v>0</v>
      </c>
      <c r="L712" s="2208">
        <v>0</v>
      </c>
      <c r="M712" s="2211">
        <v>0</v>
      </c>
      <c r="N712" s="2212">
        <v>111421</v>
      </c>
      <c r="O712" s="1118">
        <f t="shared" si="55"/>
        <v>111421</v>
      </c>
      <c r="P712" s="2213">
        <f t="shared" si="59"/>
        <v>29999.935812515705</v>
      </c>
    </row>
    <row r="713" spans="1:16" ht="14.5">
      <c r="A713" s="2042" t="s">
        <v>5780</v>
      </c>
      <c r="B713" s="380" t="str">
        <f t="shared" si="56"/>
        <v>056-902</v>
      </c>
      <c r="C713" s="2042" t="s">
        <v>115</v>
      </c>
      <c r="D713" s="2043">
        <v>177</v>
      </c>
      <c r="E713" s="2043">
        <v>199</v>
      </c>
      <c r="F713" s="2043">
        <f t="shared" si="57"/>
        <v>22</v>
      </c>
      <c r="G713" s="2043">
        <f t="shared" si="58"/>
        <v>0</v>
      </c>
      <c r="H713" s="2208">
        <v>0</v>
      </c>
      <c r="I713" s="2209">
        <v>0</v>
      </c>
      <c r="J713" s="2210">
        <v>0</v>
      </c>
      <c r="K713" s="2208">
        <v>0</v>
      </c>
      <c r="L713" s="2208">
        <v>0</v>
      </c>
      <c r="M713" s="2211">
        <v>0</v>
      </c>
      <c r="N713" s="2212">
        <v>0</v>
      </c>
      <c r="O713" s="1118">
        <f t="shared" si="55"/>
        <v>0</v>
      </c>
      <c r="P713" s="2213">
        <f t="shared" si="59"/>
        <v>0</v>
      </c>
    </row>
    <row r="714" spans="1:16" ht="14.5">
      <c r="A714" s="2042" t="s">
        <v>5096</v>
      </c>
      <c r="B714" s="380" t="str">
        <f t="shared" si="56"/>
        <v>112-906</v>
      </c>
      <c r="C714" s="2042" t="s">
        <v>207</v>
      </c>
      <c r="D714" s="2043">
        <v>533</v>
      </c>
      <c r="E714" s="2043">
        <v>555</v>
      </c>
      <c r="F714" s="2043">
        <f t="shared" si="57"/>
        <v>22</v>
      </c>
      <c r="G714" s="2043">
        <f t="shared" si="58"/>
        <v>0</v>
      </c>
      <c r="H714" s="2208">
        <v>0</v>
      </c>
      <c r="I714" s="2209">
        <v>0</v>
      </c>
      <c r="J714" s="2210">
        <v>0</v>
      </c>
      <c r="K714" s="2208">
        <v>0</v>
      </c>
      <c r="L714" s="2208">
        <v>0</v>
      </c>
      <c r="M714" s="2211">
        <v>0</v>
      </c>
      <c r="N714" s="2212">
        <v>0</v>
      </c>
      <c r="O714" s="1118">
        <f t="shared" si="55"/>
        <v>0</v>
      </c>
      <c r="P714" s="2213">
        <f t="shared" si="59"/>
        <v>0</v>
      </c>
    </row>
    <row r="715" spans="1:16" ht="14.5">
      <c r="A715" s="2042" t="s">
        <v>2984</v>
      </c>
      <c r="B715" s="380" t="str">
        <f t="shared" si="56"/>
        <v>071-907</v>
      </c>
      <c r="C715" s="2042" t="s">
        <v>612</v>
      </c>
      <c r="D715" s="2043">
        <v>6012</v>
      </c>
      <c r="E715" s="2043">
        <v>6035</v>
      </c>
      <c r="F715" s="2043">
        <f t="shared" si="57"/>
        <v>23</v>
      </c>
      <c r="G715" s="2043">
        <f t="shared" si="58"/>
        <v>0</v>
      </c>
      <c r="H715" s="2208">
        <v>0</v>
      </c>
      <c r="I715" s="2209">
        <v>0</v>
      </c>
      <c r="J715" s="2210">
        <v>0</v>
      </c>
      <c r="K715" s="2208">
        <v>0</v>
      </c>
      <c r="L715" s="2208">
        <v>0</v>
      </c>
      <c r="M715" s="2211">
        <v>0</v>
      </c>
      <c r="N715" s="2212">
        <v>1426700</v>
      </c>
      <c r="O715" s="1118">
        <f t="shared" si="55"/>
        <v>1426700</v>
      </c>
      <c r="P715" s="2213">
        <f t="shared" si="59"/>
        <v>384136.81822740915</v>
      </c>
    </row>
    <row r="716" spans="1:16" ht="14.5">
      <c r="A716" s="2042" t="s">
        <v>5132</v>
      </c>
      <c r="B716" s="380" t="str">
        <f t="shared" si="56"/>
        <v>133-904</v>
      </c>
      <c r="C716" s="2042" t="s">
        <v>1932</v>
      </c>
      <c r="D716" s="2043">
        <v>1079</v>
      </c>
      <c r="E716" s="2043">
        <v>1102</v>
      </c>
      <c r="F716" s="2043">
        <f t="shared" si="57"/>
        <v>23</v>
      </c>
      <c r="G716" s="2043">
        <f t="shared" si="58"/>
        <v>0</v>
      </c>
      <c r="H716" s="2208">
        <v>0</v>
      </c>
      <c r="I716" s="2209">
        <v>0</v>
      </c>
      <c r="J716" s="2210">
        <v>0</v>
      </c>
      <c r="K716" s="2208">
        <v>0</v>
      </c>
      <c r="L716" s="2208">
        <v>0</v>
      </c>
      <c r="M716" s="2211">
        <v>0</v>
      </c>
      <c r="N716" s="2212">
        <v>258085</v>
      </c>
      <c r="O716" s="1118">
        <f t="shared" si="55"/>
        <v>258085</v>
      </c>
      <c r="P716" s="2213">
        <f t="shared" si="59"/>
        <v>69488.996097442272</v>
      </c>
    </row>
    <row r="717" spans="1:16" ht="14.5">
      <c r="A717" s="2042" t="s">
        <v>2923</v>
      </c>
      <c r="B717" s="380" t="str">
        <f t="shared" si="56"/>
        <v>036-901</v>
      </c>
      <c r="C717" s="2042" t="s">
        <v>999</v>
      </c>
      <c r="D717" s="2043">
        <v>1303</v>
      </c>
      <c r="E717" s="2043">
        <v>1326</v>
      </c>
      <c r="F717" s="2043">
        <f t="shared" si="57"/>
        <v>23</v>
      </c>
      <c r="G717" s="2043">
        <f t="shared" si="58"/>
        <v>0</v>
      </c>
      <c r="H717" s="2208">
        <v>0</v>
      </c>
      <c r="I717" s="2209">
        <v>0</v>
      </c>
      <c r="J717" s="2210">
        <v>0</v>
      </c>
      <c r="K717" s="2208">
        <v>0</v>
      </c>
      <c r="L717" s="2208">
        <v>0</v>
      </c>
      <c r="M717" s="2211">
        <v>0</v>
      </c>
      <c r="N717" s="2212">
        <v>0</v>
      </c>
      <c r="O717" s="1118">
        <f t="shared" si="55"/>
        <v>0</v>
      </c>
      <c r="P717" s="2213">
        <f t="shared" si="59"/>
        <v>0</v>
      </c>
    </row>
    <row r="718" spans="1:16" ht="14.5">
      <c r="A718" s="2042" t="s">
        <v>5899</v>
      </c>
      <c r="B718" s="380" t="str">
        <f t="shared" si="56"/>
        <v>246-914</v>
      </c>
      <c r="C718" s="2042" t="s">
        <v>1521</v>
      </c>
      <c r="D718" s="2043">
        <v>150</v>
      </c>
      <c r="E718" s="2043">
        <v>173</v>
      </c>
      <c r="F718" s="2043">
        <f t="shared" si="57"/>
        <v>23</v>
      </c>
      <c r="G718" s="2043">
        <f t="shared" si="58"/>
        <v>0</v>
      </c>
      <c r="H718" s="2208">
        <v>0</v>
      </c>
      <c r="I718" s="2209">
        <v>0</v>
      </c>
      <c r="J718" s="2210">
        <v>0</v>
      </c>
      <c r="K718" s="2208">
        <v>0</v>
      </c>
      <c r="L718" s="2208">
        <v>0</v>
      </c>
      <c r="M718" s="2211">
        <v>0</v>
      </c>
      <c r="N718" s="2212">
        <v>0</v>
      </c>
      <c r="O718" s="1118">
        <f t="shared" si="55"/>
        <v>0</v>
      </c>
      <c r="P718" s="2213">
        <f t="shared" si="59"/>
        <v>0</v>
      </c>
    </row>
    <row r="719" spans="1:16" ht="14.5">
      <c r="A719" s="2042" t="s">
        <v>5249</v>
      </c>
      <c r="B719" s="380" t="str">
        <f t="shared" si="56"/>
        <v>208-901</v>
      </c>
      <c r="C719" s="2042" t="s">
        <v>340</v>
      </c>
      <c r="D719" s="2043">
        <v>242</v>
      </c>
      <c r="E719" s="2043">
        <v>265</v>
      </c>
      <c r="F719" s="2043">
        <f t="shared" si="57"/>
        <v>23</v>
      </c>
      <c r="G719" s="2043">
        <f t="shared" si="58"/>
        <v>0</v>
      </c>
      <c r="H719" s="2208">
        <v>0</v>
      </c>
      <c r="I719" s="2209">
        <v>0</v>
      </c>
      <c r="J719" s="2210">
        <v>0</v>
      </c>
      <c r="K719" s="2208">
        <v>0</v>
      </c>
      <c r="L719" s="2208">
        <v>0</v>
      </c>
      <c r="M719" s="2211">
        <v>0</v>
      </c>
      <c r="N719" s="2212">
        <v>0</v>
      </c>
      <c r="O719" s="1118">
        <f t="shared" si="55"/>
        <v>0</v>
      </c>
      <c r="P719" s="2213">
        <f t="shared" si="59"/>
        <v>0</v>
      </c>
    </row>
    <row r="720" spans="1:16" ht="14.5">
      <c r="A720" s="2042" t="s">
        <v>5122</v>
      </c>
      <c r="B720" s="380" t="str">
        <f t="shared" si="56"/>
        <v>127-903</v>
      </c>
      <c r="C720" s="2042" t="s">
        <v>1922</v>
      </c>
      <c r="D720" s="2043">
        <v>420</v>
      </c>
      <c r="E720" s="2043">
        <v>443</v>
      </c>
      <c r="F720" s="2043">
        <f t="shared" si="57"/>
        <v>23</v>
      </c>
      <c r="G720" s="2043">
        <f t="shared" si="58"/>
        <v>0</v>
      </c>
      <c r="H720" s="2208">
        <v>0</v>
      </c>
      <c r="I720" s="2209">
        <v>0</v>
      </c>
      <c r="J720" s="2210">
        <v>0</v>
      </c>
      <c r="K720" s="2208">
        <v>0</v>
      </c>
      <c r="L720" s="2208">
        <v>0</v>
      </c>
      <c r="M720" s="2211">
        <v>0</v>
      </c>
      <c r="N720" s="2212">
        <v>0</v>
      </c>
      <c r="O720" s="1118">
        <f t="shared" si="55"/>
        <v>0</v>
      </c>
      <c r="P720" s="2213">
        <f t="shared" si="59"/>
        <v>0</v>
      </c>
    </row>
    <row r="721" spans="1:16" ht="14.5">
      <c r="A721" s="2042" t="s">
        <v>4205</v>
      </c>
      <c r="B721" s="380" t="str">
        <f t="shared" si="56"/>
        <v>109-914</v>
      </c>
      <c r="C721" s="2042" t="s">
        <v>2450</v>
      </c>
      <c r="D721" s="2043">
        <v>187</v>
      </c>
      <c r="E721" s="2043">
        <v>211</v>
      </c>
      <c r="F721" s="2043">
        <f t="shared" si="57"/>
        <v>24</v>
      </c>
      <c r="G721" s="2043">
        <f t="shared" si="58"/>
        <v>0</v>
      </c>
      <c r="H721" s="2208">
        <v>0</v>
      </c>
      <c r="I721" s="2209">
        <v>0</v>
      </c>
      <c r="J721" s="2210">
        <v>0</v>
      </c>
      <c r="K721" s="2208">
        <v>0</v>
      </c>
      <c r="L721" s="2208">
        <v>0</v>
      </c>
      <c r="M721" s="2211">
        <v>0</v>
      </c>
      <c r="N721" s="2212">
        <v>0</v>
      </c>
      <c r="O721" s="1118">
        <f t="shared" si="55"/>
        <v>0</v>
      </c>
      <c r="P721" s="2213">
        <f t="shared" si="59"/>
        <v>0</v>
      </c>
    </row>
    <row r="722" spans="1:16" ht="14.5">
      <c r="A722" s="2042" t="s">
        <v>5187</v>
      </c>
      <c r="B722" s="380" t="str">
        <f t="shared" si="56"/>
        <v>172-902</v>
      </c>
      <c r="C722" s="2042" t="s">
        <v>2129</v>
      </c>
      <c r="D722" s="2043">
        <v>1033</v>
      </c>
      <c r="E722" s="2043">
        <v>1057</v>
      </c>
      <c r="F722" s="2043">
        <f t="shared" si="57"/>
        <v>24</v>
      </c>
      <c r="G722" s="2043">
        <f t="shared" si="58"/>
        <v>0</v>
      </c>
      <c r="H722" s="2208">
        <v>0</v>
      </c>
      <c r="I722" s="2209">
        <v>0</v>
      </c>
      <c r="J722" s="2210">
        <v>0</v>
      </c>
      <c r="K722" s="2208">
        <v>0</v>
      </c>
      <c r="L722" s="2208">
        <v>0</v>
      </c>
      <c r="M722" s="2211">
        <v>0</v>
      </c>
      <c r="N722" s="2212">
        <v>0</v>
      </c>
      <c r="O722" s="1118">
        <f t="shared" si="55"/>
        <v>0</v>
      </c>
      <c r="P722" s="2213">
        <f t="shared" si="59"/>
        <v>0</v>
      </c>
    </row>
    <row r="723" spans="1:16" ht="14.5">
      <c r="A723" s="2042" t="s">
        <v>5752</v>
      </c>
      <c r="B723" s="380" t="str">
        <f t="shared" si="56"/>
        <v>012-901</v>
      </c>
      <c r="C723" s="2042" t="s">
        <v>1135</v>
      </c>
      <c r="D723" s="2043">
        <v>596</v>
      </c>
      <c r="E723" s="2043">
        <v>621</v>
      </c>
      <c r="F723" s="2043">
        <f t="shared" si="57"/>
        <v>25</v>
      </c>
      <c r="G723" s="2043">
        <f t="shared" si="58"/>
        <v>0</v>
      </c>
      <c r="H723" s="2208">
        <v>0</v>
      </c>
      <c r="I723" s="2209">
        <v>0</v>
      </c>
      <c r="J723" s="2210">
        <v>0</v>
      </c>
      <c r="K723" s="2208">
        <v>0</v>
      </c>
      <c r="L723" s="2208">
        <v>0</v>
      </c>
      <c r="M723" s="2211">
        <v>0</v>
      </c>
      <c r="N723" s="2212">
        <v>0</v>
      </c>
      <c r="O723" s="1118">
        <f t="shared" si="55"/>
        <v>0</v>
      </c>
      <c r="P723" s="2213">
        <f t="shared" si="59"/>
        <v>0</v>
      </c>
    </row>
    <row r="724" spans="1:16" ht="14.5">
      <c r="A724" s="2042" t="s">
        <v>5130</v>
      </c>
      <c r="B724" s="380" t="str">
        <f t="shared" si="56"/>
        <v>133-902</v>
      </c>
      <c r="C724" s="2042" t="s">
        <v>1930</v>
      </c>
      <c r="D724" s="2043">
        <v>158</v>
      </c>
      <c r="E724" s="2043">
        <v>184</v>
      </c>
      <c r="F724" s="2043">
        <f t="shared" si="57"/>
        <v>26</v>
      </c>
      <c r="G724" s="2043">
        <f t="shared" si="58"/>
        <v>0</v>
      </c>
      <c r="H724" s="2208">
        <v>0</v>
      </c>
      <c r="I724" s="2209">
        <v>0</v>
      </c>
      <c r="J724" s="2210">
        <v>0</v>
      </c>
      <c r="K724" s="2208">
        <v>0</v>
      </c>
      <c r="L724" s="2208">
        <v>0</v>
      </c>
      <c r="M724" s="2211">
        <v>0</v>
      </c>
      <c r="N724" s="2212">
        <v>45286</v>
      </c>
      <c r="O724" s="1118">
        <f t="shared" si="55"/>
        <v>45286</v>
      </c>
      <c r="P724" s="2213">
        <f t="shared" si="59"/>
        <v>12193.187040195171</v>
      </c>
    </row>
    <row r="725" spans="1:16" ht="14.5">
      <c r="A725" s="2042" t="s">
        <v>5800</v>
      </c>
      <c r="B725" s="380" t="str">
        <f t="shared" si="56"/>
        <v>076-903</v>
      </c>
      <c r="C725" s="2042" t="s">
        <v>980</v>
      </c>
      <c r="D725" s="2043">
        <v>288</v>
      </c>
      <c r="E725" s="2043">
        <v>314</v>
      </c>
      <c r="F725" s="2043">
        <f t="shared" si="57"/>
        <v>26</v>
      </c>
      <c r="G725" s="2043">
        <f t="shared" si="58"/>
        <v>0</v>
      </c>
      <c r="H725" s="2208">
        <v>0</v>
      </c>
      <c r="I725" s="2209">
        <v>0</v>
      </c>
      <c r="J725" s="2210">
        <v>0</v>
      </c>
      <c r="K725" s="2208">
        <v>0</v>
      </c>
      <c r="L725" s="2208">
        <v>0</v>
      </c>
      <c r="M725" s="2211">
        <v>0</v>
      </c>
      <c r="N725" s="2212">
        <v>0</v>
      </c>
      <c r="O725" s="1118">
        <f t="shared" si="55"/>
        <v>0</v>
      </c>
      <c r="P725" s="2213">
        <f t="shared" si="59"/>
        <v>0</v>
      </c>
    </row>
    <row r="726" spans="1:16" ht="14.5">
      <c r="A726" s="2042" t="s">
        <v>5791</v>
      </c>
      <c r="B726" s="380" t="str">
        <f t="shared" si="56"/>
        <v>067-908</v>
      </c>
      <c r="C726" s="2042" t="s">
        <v>1858</v>
      </c>
      <c r="D726" s="2043">
        <v>160</v>
      </c>
      <c r="E726" s="2043">
        <v>186</v>
      </c>
      <c r="F726" s="2043">
        <f t="shared" si="57"/>
        <v>26</v>
      </c>
      <c r="G726" s="2043">
        <f t="shared" si="58"/>
        <v>0</v>
      </c>
      <c r="H726" s="2208">
        <v>0</v>
      </c>
      <c r="I726" s="2209">
        <v>0</v>
      </c>
      <c r="J726" s="2210">
        <v>0</v>
      </c>
      <c r="K726" s="2208">
        <v>0</v>
      </c>
      <c r="L726" s="2208">
        <v>0</v>
      </c>
      <c r="M726" s="2211">
        <v>0</v>
      </c>
      <c r="N726" s="2212">
        <v>37823</v>
      </c>
      <c r="O726" s="1118">
        <f t="shared" si="55"/>
        <v>37823</v>
      </c>
      <c r="P726" s="2213">
        <f t="shared" si="59"/>
        <v>10183.785572170251</v>
      </c>
    </row>
    <row r="727" spans="1:16" ht="14.5">
      <c r="A727" s="2042" t="s">
        <v>5156</v>
      </c>
      <c r="B727" s="380" t="str">
        <f t="shared" si="56"/>
        <v>148-905</v>
      </c>
      <c r="C727" s="2042" t="s">
        <v>515</v>
      </c>
      <c r="D727" s="2043">
        <v>113</v>
      </c>
      <c r="E727" s="2043">
        <v>139</v>
      </c>
      <c r="F727" s="2043">
        <f t="shared" si="57"/>
        <v>26</v>
      </c>
      <c r="G727" s="2043">
        <f t="shared" si="58"/>
        <v>0</v>
      </c>
      <c r="H727" s="2208">
        <v>0</v>
      </c>
      <c r="I727" s="2209">
        <v>0</v>
      </c>
      <c r="J727" s="2210">
        <v>0</v>
      </c>
      <c r="K727" s="2208">
        <v>0</v>
      </c>
      <c r="L727" s="2208">
        <v>0</v>
      </c>
      <c r="M727" s="2211">
        <v>0</v>
      </c>
      <c r="N727" s="2212">
        <v>0</v>
      </c>
      <c r="O727" s="1118">
        <f t="shared" si="55"/>
        <v>0</v>
      </c>
      <c r="P727" s="2213">
        <f t="shared" si="59"/>
        <v>0</v>
      </c>
    </row>
    <row r="728" spans="1:16" ht="14.5">
      <c r="A728" s="2042" t="s">
        <v>5089</v>
      </c>
      <c r="B728" s="380" t="str">
        <f t="shared" si="56"/>
        <v>107-905</v>
      </c>
      <c r="C728" s="2042" t="s">
        <v>1276</v>
      </c>
      <c r="D728" s="2043">
        <v>1566</v>
      </c>
      <c r="E728" s="2043">
        <v>1592</v>
      </c>
      <c r="F728" s="2043">
        <f t="shared" si="57"/>
        <v>26</v>
      </c>
      <c r="G728" s="2043">
        <f t="shared" si="58"/>
        <v>0</v>
      </c>
      <c r="H728" s="2208">
        <v>0</v>
      </c>
      <c r="I728" s="2209">
        <v>0</v>
      </c>
      <c r="J728" s="2210">
        <v>0</v>
      </c>
      <c r="K728" s="2208">
        <v>0</v>
      </c>
      <c r="L728" s="2208">
        <v>0</v>
      </c>
      <c r="M728" s="2211">
        <v>0</v>
      </c>
      <c r="N728" s="2212">
        <v>0</v>
      </c>
      <c r="O728" s="1118">
        <f t="shared" si="55"/>
        <v>0</v>
      </c>
      <c r="P728" s="2213">
        <f t="shared" si="59"/>
        <v>0</v>
      </c>
    </row>
    <row r="729" spans="1:16" ht="14.5">
      <c r="A729" s="2042" t="s">
        <v>5199</v>
      </c>
      <c r="B729" s="380" t="str">
        <f t="shared" si="56"/>
        <v>178-901</v>
      </c>
      <c r="C729" s="2042" t="s">
        <v>297</v>
      </c>
      <c r="D729" s="2043">
        <v>380</v>
      </c>
      <c r="E729" s="2043">
        <v>406</v>
      </c>
      <c r="F729" s="2043">
        <f t="shared" si="57"/>
        <v>26</v>
      </c>
      <c r="G729" s="2043">
        <f t="shared" si="58"/>
        <v>0</v>
      </c>
      <c r="H729" s="2208">
        <v>0</v>
      </c>
      <c r="I729" s="2209">
        <v>0</v>
      </c>
      <c r="J729" s="2210">
        <v>0</v>
      </c>
      <c r="K729" s="2208">
        <v>0</v>
      </c>
      <c r="L729" s="2208">
        <v>0</v>
      </c>
      <c r="M729" s="2211">
        <v>0</v>
      </c>
      <c r="N729" s="2212">
        <v>0</v>
      </c>
      <c r="O729" s="1118">
        <f t="shared" ref="O729:O792" si="60">IF(N729&gt;M729,N729-M729,0)</f>
        <v>0</v>
      </c>
      <c r="P729" s="2213">
        <f t="shared" si="59"/>
        <v>0</v>
      </c>
    </row>
    <row r="730" spans="1:16" ht="14.5">
      <c r="A730" s="2042" t="s">
        <v>3208</v>
      </c>
      <c r="B730" s="380" t="str">
        <f t="shared" si="56"/>
        <v>220-904</v>
      </c>
      <c r="C730" s="2042" t="s">
        <v>2427</v>
      </c>
      <c r="D730" s="2043">
        <v>5621</v>
      </c>
      <c r="E730" s="2043">
        <v>5648</v>
      </c>
      <c r="F730" s="2043">
        <f t="shared" si="57"/>
        <v>27</v>
      </c>
      <c r="G730" s="2043">
        <f t="shared" si="58"/>
        <v>0</v>
      </c>
      <c r="H730" s="2208">
        <v>0</v>
      </c>
      <c r="I730" s="2209">
        <v>0</v>
      </c>
      <c r="J730" s="2210">
        <v>0</v>
      </c>
      <c r="K730" s="2208">
        <v>0</v>
      </c>
      <c r="L730" s="2208">
        <v>0</v>
      </c>
      <c r="M730" s="2211">
        <v>0</v>
      </c>
      <c r="N730" s="2212">
        <v>1354526</v>
      </c>
      <c r="O730" s="1118">
        <f t="shared" si="60"/>
        <v>1354526</v>
      </c>
      <c r="P730" s="2213">
        <f t="shared" si="59"/>
        <v>364704.07783437276</v>
      </c>
    </row>
    <row r="731" spans="1:16" ht="14.5">
      <c r="A731" s="2042" t="s">
        <v>2880</v>
      </c>
      <c r="B731" s="380" t="str">
        <f t="shared" si="56"/>
        <v>015-909</v>
      </c>
      <c r="C731" s="2042" t="s">
        <v>1824</v>
      </c>
      <c r="D731" s="2043">
        <v>3994</v>
      </c>
      <c r="E731" s="2043">
        <v>4021</v>
      </c>
      <c r="F731" s="2043">
        <f t="shared" si="57"/>
        <v>27</v>
      </c>
      <c r="G731" s="2043">
        <f t="shared" si="58"/>
        <v>0</v>
      </c>
      <c r="H731" s="2208">
        <v>0</v>
      </c>
      <c r="I731" s="2209">
        <v>0</v>
      </c>
      <c r="J731" s="2210">
        <v>0</v>
      </c>
      <c r="K731" s="2208">
        <v>0</v>
      </c>
      <c r="L731" s="2208">
        <v>0</v>
      </c>
      <c r="M731" s="2211">
        <v>0</v>
      </c>
      <c r="N731" s="2212">
        <v>0</v>
      </c>
      <c r="O731" s="1118">
        <f t="shared" si="60"/>
        <v>0</v>
      </c>
      <c r="P731" s="2213">
        <f t="shared" si="59"/>
        <v>0</v>
      </c>
    </row>
    <row r="732" spans="1:16" ht="14.5">
      <c r="A732" s="2042" t="s">
        <v>5808</v>
      </c>
      <c r="B732" s="380" t="str">
        <f t="shared" si="56"/>
        <v>095-904</v>
      </c>
      <c r="C732" s="2042" t="s">
        <v>222</v>
      </c>
      <c r="D732" s="2043">
        <v>264</v>
      </c>
      <c r="E732" s="2043">
        <v>291</v>
      </c>
      <c r="F732" s="2043">
        <f t="shared" si="57"/>
        <v>27</v>
      </c>
      <c r="G732" s="2043">
        <f t="shared" si="58"/>
        <v>0</v>
      </c>
      <c r="H732" s="2208">
        <v>0</v>
      </c>
      <c r="I732" s="2209">
        <v>0</v>
      </c>
      <c r="J732" s="2210">
        <v>0</v>
      </c>
      <c r="K732" s="2208">
        <v>0</v>
      </c>
      <c r="L732" s="2208">
        <v>0</v>
      </c>
      <c r="M732" s="2211">
        <v>0</v>
      </c>
      <c r="N732" s="2212">
        <v>65624</v>
      </c>
      <c r="O732" s="1118">
        <f t="shared" si="60"/>
        <v>65624</v>
      </c>
      <c r="P732" s="2213">
        <f t="shared" si="59"/>
        <v>17669.16279481005</v>
      </c>
    </row>
    <row r="733" spans="1:16" ht="14.5">
      <c r="A733" s="2042" t="s">
        <v>3058</v>
      </c>
      <c r="B733" s="380" t="str">
        <f t="shared" si="56"/>
        <v>111-903</v>
      </c>
      <c r="C733" s="2042" t="s">
        <v>568</v>
      </c>
      <c r="D733" s="2043">
        <v>779</v>
      </c>
      <c r="E733" s="2043">
        <v>806</v>
      </c>
      <c r="F733" s="2043">
        <f t="shared" si="57"/>
        <v>27</v>
      </c>
      <c r="G733" s="2043">
        <f t="shared" si="58"/>
        <v>0</v>
      </c>
      <c r="H733" s="2208">
        <v>0</v>
      </c>
      <c r="I733" s="2209">
        <v>0</v>
      </c>
      <c r="J733" s="2210">
        <v>0</v>
      </c>
      <c r="K733" s="2208">
        <v>0</v>
      </c>
      <c r="L733" s="2208">
        <v>0</v>
      </c>
      <c r="M733" s="2211">
        <v>0</v>
      </c>
      <c r="N733" s="2212">
        <v>0</v>
      </c>
      <c r="O733" s="1118">
        <f t="shared" si="60"/>
        <v>0</v>
      </c>
      <c r="P733" s="2213">
        <f t="shared" si="59"/>
        <v>0</v>
      </c>
    </row>
    <row r="734" spans="1:16" ht="14.5">
      <c r="A734" s="2042" t="s">
        <v>5192</v>
      </c>
      <c r="B734" s="380" t="str">
        <f t="shared" si="56"/>
        <v>175-902</v>
      </c>
      <c r="C734" s="2042" t="s">
        <v>290</v>
      </c>
      <c r="D734" s="2043">
        <v>869</v>
      </c>
      <c r="E734" s="2043">
        <v>897</v>
      </c>
      <c r="F734" s="2043">
        <f t="shared" si="57"/>
        <v>28</v>
      </c>
      <c r="G734" s="2043">
        <f t="shared" si="58"/>
        <v>0</v>
      </c>
      <c r="H734" s="2208">
        <v>0</v>
      </c>
      <c r="I734" s="2209">
        <v>0</v>
      </c>
      <c r="J734" s="2210">
        <v>0</v>
      </c>
      <c r="K734" s="2208">
        <v>0</v>
      </c>
      <c r="L734" s="2208">
        <v>0</v>
      </c>
      <c r="M734" s="2211">
        <v>0</v>
      </c>
      <c r="N734" s="2212">
        <v>0</v>
      </c>
      <c r="O734" s="1118">
        <f t="shared" si="60"/>
        <v>0</v>
      </c>
      <c r="P734" s="2213">
        <f t="shared" si="59"/>
        <v>0</v>
      </c>
    </row>
    <row r="735" spans="1:16" ht="14.5">
      <c r="A735" s="2042" t="s">
        <v>5767</v>
      </c>
      <c r="B735" s="380" t="str">
        <f t="shared" si="56"/>
        <v>039-905</v>
      </c>
      <c r="C735" s="2042" t="s">
        <v>1815</v>
      </c>
      <c r="D735" s="2043">
        <v>104</v>
      </c>
      <c r="E735" s="2043">
        <v>132</v>
      </c>
      <c r="F735" s="2043">
        <f t="shared" si="57"/>
        <v>28</v>
      </c>
      <c r="G735" s="2043">
        <f t="shared" si="58"/>
        <v>0</v>
      </c>
      <c r="H735" s="2208">
        <v>0</v>
      </c>
      <c r="I735" s="2209">
        <v>0</v>
      </c>
      <c r="J735" s="2210">
        <v>0</v>
      </c>
      <c r="K735" s="2208">
        <v>0</v>
      </c>
      <c r="L735" s="2208">
        <v>0</v>
      </c>
      <c r="M735" s="2211">
        <v>0</v>
      </c>
      <c r="N735" s="2212">
        <v>0</v>
      </c>
      <c r="O735" s="1118">
        <f t="shared" si="60"/>
        <v>0</v>
      </c>
      <c r="P735" s="2213">
        <f t="shared" si="59"/>
        <v>0</v>
      </c>
    </row>
    <row r="736" spans="1:16" ht="14.5">
      <c r="A736" s="2042" t="s">
        <v>5031</v>
      </c>
      <c r="B736" s="380" t="str">
        <f t="shared" si="56"/>
        <v>084-903</v>
      </c>
      <c r="C736" s="2042" t="s">
        <v>2242</v>
      </c>
      <c r="D736" s="2043">
        <v>143</v>
      </c>
      <c r="E736" s="2043">
        <v>171</v>
      </c>
      <c r="F736" s="2043">
        <f t="shared" si="57"/>
        <v>28</v>
      </c>
      <c r="G736" s="2043">
        <f t="shared" si="58"/>
        <v>0</v>
      </c>
      <c r="H736" s="2208">
        <v>0</v>
      </c>
      <c r="I736" s="2209">
        <v>0</v>
      </c>
      <c r="J736" s="2210">
        <v>0</v>
      </c>
      <c r="K736" s="2208">
        <v>0</v>
      </c>
      <c r="L736" s="2208">
        <v>0</v>
      </c>
      <c r="M736" s="2211">
        <v>0</v>
      </c>
      <c r="N736" s="2212">
        <v>0</v>
      </c>
      <c r="O736" s="1118">
        <f t="shared" si="60"/>
        <v>0</v>
      </c>
      <c r="P736" s="2213">
        <f t="shared" si="59"/>
        <v>0</v>
      </c>
    </row>
    <row r="737" spans="1:16" ht="14.5">
      <c r="A737" s="2042" t="s">
        <v>5209</v>
      </c>
      <c r="B737" s="380" t="str">
        <f t="shared" si="56"/>
        <v>181-905</v>
      </c>
      <c r="C737" s="2042" t="s">
        <v>310</v>
      </c>
      <c r="D737" s="2043">
        <v>1762</v>
      </c>
      <c r="E737" s="2043">
        <v>1791</v>
      </c>
      <c r="F737" s="2043">
        <f t="shared" si="57"/>
        <v>29</v>
      </c>
      <c r="G737" s="2043">
        <f t="shared" si="58"/>
        <v>0</v>
      </c>
      <c r="H737" s="2208">
        <v>0</v>
      </c>
      <c r="I737" s="2209">
        <v>0</v>
      </c>
      <c r="J737" s="2210">
        <v>0</v>
      </c>
      <c r="K737" s="2208">
        <v>0</v>
      </c>
      <c r="L737" s="2208">
        <v>0</v>
      </c>
      <c r="M737" s="2211">
        <v>0</v>
      </c>
      <c r="N737" s="2212">
        <v>418087</v>
      </c>
      <c r="O737" s="1118">
        <f t="shared" si="60"/>
        <v>418087</v>
      </c>
      <c r="P737" s="2213">
        <f t="shared" si="59"/>
        <v>112569.2927190319</v>
      </c>
    </row>
    <row r="738" spans="1:16" ht="14.5">
      <c r="A738" s="2042" t="s">
        <v>5221</v>
      </c>
      <c r="B738" s="380" t="str">
        <f t="shared" si="56"/>
        <v>186-901</v>
      </c>
      <c r="C738" s="2042" t="s">
        <v>418</v>
      </c>
      <c r="D738" s="2043">
        <v>211</v>
      </c>
      <c r="E738" s="2043">
        <v>240</v>
      </c>
      <c r="F738" s="2043">
        <f t="shared" si="57"/>
        <v>29</v>
      </c>
      <c r="G738" s="2043">
        <f t="shared" si="58"/>
        <v>0</v>
      </c>
      <c r="H738" s="2208">
        <v>0</v>
      </c>
      <c r="I738" s="2209">
        <v>0</v>
      </c>
      <c r="J738" s="2210">
        <v>0</v>
      </c>
      <c r="K738" s="2208">
        <v>0</v>
      </c>
      <c r="L738" s="2208">
        <v>0</v>
      </c>
      <c r="M738" s="2211">
        <v>0</v>
      </c>
      <c r="N738" s="2212">
        <v>48825</v>
      </c>
      <c r="O738" s="1118">
        <f t="shared" si="60"/>
        <v>48825</v>
      </c>
      <c r="P738" s="2213">
        <f t="shared" si="59"/>
        <v>13146.057440213957</v>
      </c>
    </row>
    <row r="739" spans="1:16" ht="14.5">
      <c r="A739" s="2042" t="s">
        <v>5212</v>
      </c>
      <c r="B739" s="380" t="str">
        <f t="shared" si="56"/>
        <v>182-901</v>
      </c>
      <c r="C739" s="2042" t="s">
        <v>313</v>
      </c>
      <c r="D739" s="2043">
        <v>191</v>
      </c>
      <c r="E739" s="2043">
        <v>220</v>
      </c>
      <c r="F739" s="2043">
        <f t="shared" si="57"/>
        <v>29</v>
      </c>
      <c r="G739" s="2043">
        <f t="shared" si="58"/>
        <v>0</v>
      </c>
      <c r="H739" s="2208">
        <v>0</v>
      </c>
      <c r="I739" s="2209">
        <v>0</v>
      </c>
      <c r="J739" s="2210">
        <v>0</v>
      </c>
      <c r="K739" s="2208">
        <v>0</v>
      </c>
      <c r="L739" s="2208">
        <v>0</v>
      </c>
      <c r="M739" s="2211">
        <v>0</v>
      </c>
      <c r="N739" s="2212">
        <v>0</v>
      </c>
      <c r="O739" s="1118">
        <f t="shared" si="60"/>
        <v>0</v>
      </c>
      <c r="P739" s="2213">
        <f t="shared" si="59"/>
        <v>0</v>
      </c>
    </row>
    <row r="740" spans="1:16" ht="14.5">
      <c r="A740" s="2042" t="s">
        <v>5056</v>
      </c>
      <c r="B740" s="380" t="str">
        <f t="shared" si="56"/>
        <v>095-901</v>
      </c>
      <c r="C740" s="2042" t="s">
        <v>219</v>
      </c>
      <c r="D740" s="2043">
        <v>780</v>
      </c>
      <c r="E740" s="2043">
        <v>810</v>
      </c>
      <c r="F740" s="2043">
        <f t="shared" si="57"/>
        <v>30</v>
      </c>
      <c r="G740" s="2043">
        <f t="shared" si="58"/>
        <v>0</v>
      </c>
      <c r="H740" s="2208">
        <v>0</v>
      </c>
      <c r="I740" s="2209">
        <v>0</v>
      </c>
      <c r="J740" s="2210">
        <v>0</v>
      </c>
      <c r="K740" s="2208">
        <v>0</v>
      </c>
      <c r="L740" s="2208">
        <v>0</v>
      </c>
      <c r="M740" s="2211">
        <v>0</v>
      </c>
      <c r="N740" s="2212">
        <v>0</v>
      </c>
      <c r="O740" s="1118">
        <f t="shared" si="60"/>
        <v>0</v>
      </c>
      <c r="P740" s="2213">
        <f t="shared" si="59"/>
        <v>0</v>
      </c>
    </row>
    <row r="741" spans="1:16" ht="14.5">
      <c r="A741" s="2042" t="s">
        <v>5228</v>
      </c>
      <c r="B741" s="380" t="str">
        <f t="shared" si="56"/>
        <v>188-903</v>
      </c>
      <c r="C741" s="2042" t="s">
        <v>121</v>
      </c>
      <c r="D741" s="2043">
        <v>855</v>
      </c>
      <c r="E741" s="2043">
        <v>886</v>
      </c>
      <c r="F741" s="2043">
        <f t="shared" si="57"/>
        <v>31</v>
      </c>
      <c r="G741" s="2043">
        <f t="shared" si="58"/>
        <v>0</v>
      </c>
      <c r="H741" s="2208">
        <v>0</v>
      </c>
      <c r="I741" s="2209">
        <v>0</v>
      </c>
      <c r="J741" s="2210">
        <v>0</v>
      </c>
      <c r="K741" s="2208">
        <v>0</v>
      </c>
      <c r="L741" s="2208">
        <v>0</v>
      </c>
      <c r="M741" s="2211">
        <v>0</v>
      </c>
      <c r="N741" s="2212">
        <v>0</v>
      </c>
      <c r="O741" s="1118">
        <f t="shared" si="60"/>
        <v>0</v>
      </c>
      <c r="P741" s="2213">
        <f t="shared" si="59"/>
        <v>0</v>
      </c>
    </row>
    <row r="742" spans="1:16" ht="14.5">
      <c r="A742" s="2042" t="s">
        <v>3277</v>
      </c>
      <c r="B742" s="380" t="str">
        <f t="shared" si="56"/>
        <v>254-902</v>
      </c>
      <c r="C742" s="2042" t="s">
        <v>1791</v>
      </c>
      <c r="D742" s="2043">
        <v>496</v>
      </c>
      <c r="E742" s="2043">
        <v>527</v>
      </c>
      <c r="F742" s="2043">
        <f t="shared" si="57"/>
        <v>31</v>
      </c>
      <c r="G742" s="2043">
        <f t="shared" si="58"/>
        <v>0</v>
      </c>
      <c r="H742" s="2208">
        <v>0</v>
      </c>
      <c r="I742" s="2209">
        <v>0</v>
      </c>
      <c r="J742" s="2210">
        <v>0</v>
      </c>
      <c r="K742" s="2208">
        <v>0</v>
      </c>
      <c r="L742" s="2208">
        <v>0</v>
      </c>
      <c r="M742" s="2211">
        <v>0</v>
      </c>
      <c r="N742" s="2212">
        <v>113361</v>
      </c>
      <c r="O742" s="1118">
        <f t="shared" si="60"/>
        <v>113361</v>
      </c>
      <c r="P742" s="2213">
        <f t="shared" si="59"/>
        <v>30522.27787977664</v>
      </c>
    </row>
    <row r="743" spans="1:16" ht="14.5">
      <c r="A743" s="2042" t="s">
        <v>3123</v>
      </c>
      <c r="B743" s="380" t="str">
        <f t="shared" si="56"/>
        <v>161-908</v>
      </c>
      <c r="C743" s="2042" t="s">
        <v>1951</v>
      </c>
      <c r="D743" s="2043">
        <v>510</v>
      </c>
      <c r="E743" s="2043">
        <v>541</v>
      </c>
      <c r="F743" s="2043">
        <f t="shared" si="57"/>
        <v>31</v>
      </c>
      <c r="G743" s="2043">
        <f t="shared" si="58"/>
        <v>0</v>
      </c>
      <c r="H743" s="2208">
        <v>0</v>
      </c>
      <c r="I743" s="2209">
        <v>0</v>
      </c>
      <c r="J743" s="2210">
        <v>0</v>
      </c>
      <c r="K743" s="2208">
        <v>0</v>
      </c>
      <c r="L743" s="2208">
        <v>0</v>
      </c>
      <c r="M743" s="2211">
        <v>0</v>
      </c>
      <c r="N743" s="2212">
        <v>0</v>
      </c>
      <c r="O743" s="1118">
        <f t="shared" si="60"/>
        <v>0</v>
      </c>
      <c r="P743" s="2213">
        <f t="shared" si="59"/>
        <v>0</v>
      </c>
    </row>
    <row r="744" spans="1:16" ht="14.5">
      <c r="A744" s="2042" t="s">
        <v>5291</v>
      </c>
      <c r="B744" s="380" t="str">
        <f t="shared" si="56"/>
        <v>234-903</v>
      </c>
      <c r="C744" s="2042" t="s">
        <v>841</v>
      </c>
      <c r="D744" s="2043">
        <v>931</v>
      </c>
      <c r="E744" s="2043">
        <v>963</v>
      </c>
      <c r="F744" s="2043">
        <f t="shared" si="57"/>
        <v>32</v>
      </c>
      <c r="G744" s="2043">
        <f t="shared" si="58"/>
        <v>0</v>
      </c>
      <c r="H744" s="2208">
        <v>0</v>
      </c>
      <c r="I744" s="2209">
        <v>0</v>
      </c>
      <c r="J744" s="2210">
        <v>0</v>
      </c>
      <c r="K744" s="2208">
        <v>0</v>
      </c>
      <c r="L744" s="2208">
        <v>0</v>
      </c>
      <c r="M744" s="2211">
        <v>0</v>
      </c>
      <c r="N744" s="2212">
        <v>228422</v>
      </c>
      <c r="O744" s="1118">
        <f t="shared" si="60"/>
        <v>228422</v>
      </c>
      <c r="P744" s="2213">
        <f t="shared" si="59"/>
        <v>61502.278189627294</v>
      </c>
    </row>
    <row r="745" spans="1:16" ht="14.5">
      <c r="A745" s="2042" t="s">
        <v>4975</v>
      </c>
      <c r="B745" s="380" t="str">
        <f t="shared" si="56"/>
        <v>045-905</v>
      </c>
      <c r="C745" s="2042" t="s">
        <v>2082</v>
      </c>
      <c r="D745" s="2043">
        <v>638</v>
      </c>
      <c r="E745" s="2043">
        <v>670</v>
      </c>
      <c r="F745" s="2043">
        <f t="shared" si="57"/>
        <v>32</v>
      </c>
      <c r="G745" s="2043">
        <f t="shared" si="58"/>
        <v>0</v>
      </c>
      <c r="H745" s="2208">
        <v>0</v>
      </c>
      <c r="I745" s="2209">
        <v>0</v>
      </c>
      <c r="J745" s="2210">
        <v>0</v>
      </c>
      <c r="K745" s="2208">
        <v>0</v>
      </c>
      <c r="L745" s="2208">
        <v>0</v>
      </c>
      <c r="M745" s="2211">
        <v>0</v>
      </c>
      <c r="N745" s="2212">
        <v>153704</v>
      </c>
      <c r="O745" s="1118">
        <f t="shared" si="60"/>
        <v>153704</v>
      </c>
      <c r="P745" s="2213">
        <f t="shared" si="59"/>
        <v>41384.569642409544</v>
      </c>
    </row>
    <row r="746" spans="1:16" ht="14.5">
      <c r="A746" s="2042" t="s">
        <v>5011</v>
      </c>
      <c r="B746" s="380" t="str">
        <f t="shared" si="56"/>
        <v>073-901</v>
      </c>
      <c r="C746" s="2042" t="s">
        <v>979</v>
      </c>
      <c r="D746" s="2043">
        <v>497</v>
      </c>
      <c r="E746" s="2043">
        <v>529</v>
      </c>
      <c r="F746" s="2043">
        <f t="shared" si="57"/>
        <v>32</v>
      </c>
      <c r="G746" s="2043">
        <f t="shared" si="58"/>
        <v>0</v>
      </c>
      <c r="H746" s="2208">
        <v>0</v>
      </c>
      <c r="I746" s="2209">
        <v>0</v>
      </c>
      <c r="J746" s="2210">
        <v>0</v>
      </c>
      <c r="K746" s="2208">
        <v>0</v>
      </c>
      <c r="L746" s="2208">
        <v>0</v>
      </c>
      <c r="M746" s="2211">
        <v>0</v>
      </c>
      <c r="N746" s="2212">
        <v>121385</v>
      </c>
      <c r="O746" s="1118">
        <f t="shared" si="60"/>
        <v>121385</v>
      </c>
      <c r="P746" s="2213">
        <f t="shared" si="59"/>
        <v>32682.727749725986</v>
      </c>
    </row>
    <row r="747" spans="1:16" ht="14.5">
      <c r="A747" s="2042" t="s">
        <v>5797</v>
      </c>
      <c r="B747" s="380" t="str">
        <f t="shared" si="56"/>
        <v>073-905</v>
      </c>
      <c r="C747" s="2042" t="s">
        <v>1873</v>
      </c>
      <c r="D747" s="2043">
        <v>657</v>
      </c>
      <c r="E747" s="2043">
        <v>689</v>
      </c>
      <c r="F747" s="2043">
        <f t="shared" si="57"/>
        <v>32</v>
      </c>
      <c r="G747" s="2043">
        <f t="shared" si="58"/>
        <v>0</v>
      </c>
      <c r="H747" s="2208">
        <v>0</v>
      </c>
      <c r="I747" s="2209">
        <v>0</v>
      </c>
      <c r="J747" s="2210">
        <v>0</v>
      </c>
      <c r="K747" s="2208">
        <v>0</v>
      </c>
      <c r="L747" s="2208">
        <v>0</v>
      </c>
      <c r="M747" s="2211">
        <v>0</v>
      </c>
      <c r="N747" s="2212">
        <v>152995</v>
      </c>
      <c r="O747" s="1118">
        <f t="shared" si="60"/>
        <v>152995</v>
      </c>
      <c r="P747" s="2213">
        <f t="shared" si="59"/>
        <v>41193.672464219853</v>
      </c>
    </row>
    <row r="748" spans="1:16" ht="14.5">
      <c r="A748" s="2042" t="s">
        <v>5197</v>
      </c>
      <c r="B748" s="380" t="str">
        <f t="shared" si="56"/>
        <v>177-903</v>
      </c>
      <c r="C748" s="2042" t="s">
        <v>2203</v>
      </c>
      <c r="D748" s="2043">
        <v>136</v>
      </c>
      <c r="E748" s="2043">
        <v>168</v>
      </c>
      <c r="F748" s="2043">
        <f t="shared" si="57"/>
        <v>32</v>
      </c>
      <c r="G748" s="2043">
        <f t="shared" si="58"/>
        <v>0</v>
      </c>
      <c r="H748" s="2208">
        <v>0</v>
      </c>
      <c r="I748" s="2209">
        <v>0</v>
      </c>
      <c r="J748" s="2210">
        <v>0</v>
      </c>
      <c r="K748" s="2208">
        <v>0</v>
      </c>
      <c r="L748" s="2208">
        <v>0</v>
      </c>
      <c r="M748" s="2211">
        <v>0</v>
      </c>
      <c r="N748" s="2212">
        <v>0</v>
      </c>
      <c r="O748" s="1118">
        <f t="shared" si="60"/>
        <v>0</v>
      </c>
      <c r="P748" s="2213">
        <f t="shared" si="59"/>
        <v>0</v>
      </c>
    </row>
    <row r="749" spans="1:16" ht="14.5">
      <c r="A749" s="2042" t="s">
        <v>2993</v>
      </c>
      <c r="B749" s="380" t="str">
        <f t="shared" si="56"/>
        <v>074-917</v>
      </c>
      <c r="C749" s="2042" t="s">
        <v>1913</v>
      </c>
      <c r="D749" s="2043">
        <v>489</v>
      </c>
      <c r="E749" s="2043">
        <v>522</v>
      </c>
      <c r="F749" s="2043">
        <f t="shared" si="57"/>
        <v>33</v>
      </c>
      <c r="G749" s="2043">
        <f t="shared" si="58"/>
        <v>0</v>
      </c>
      <c r="H749" s="2208">
        <v>0</v>
      </c>
      <c r="I749" s="2209">
        <v>0</v>
      </c>
      <c r="J749" s="2210">
        <v>0</v>
      </c>
      <c r="K749" s="2208">
        <v>0</v>
      </c>
      <c r="L749" s="2208">
        <v>0</v>
      </c>
      <c r="M749" s="2211">
        <v>0</v>
      </c>
      <c r="N749" s="2212">
        <v>0</v>
      </c>
      <c r="O749" s="1118">
        <f t="shared" si="60"/>
        <v>0</v>
      </c>
      <c r="P749" s="2213">
        <f t="shared" si="59"/>
        <v>0</v>
      </c>
    </row>
    <row r="750" spans="1:16" ht="14.5">
      <c r="A750" s="2042" t="s">
        <v>5007</v>
      </c>
      <c r="B750" s="380" t="str">
        <f t="shared" si="56"/>
        <v>070-903</v>
      </c>
      <c r="C750" s="2042" t="s">
        <v>1862</v>
      </c>
      <c r="D750" s="2043">
        <v>5803</v>
      </c>
      <c r="E750" s="2043">
        <v>5836</v>
      </c>
      <c r="F750" s="2043">
        <f t="shared" si="57"/>
        <v>33</v>
      </c>
      <c r="G750" s="2043">
        <f t="shared" si="58"/>
        <v>0</v>
      </c>
      <c r="H750" s="2208">
        <v>0</v>
      </c>
      <c r="I750" s="2209">
        <v>0</v>
      </c>
      <c r="J750" s="2210">
        <v>0</v>
      </c>
      <c r="K750" s="2208">
        <v>0</v>
      </c>
      <c r="L750" s="2208">
        <v>0</v>
      </c>
      <c r="M750" s="2211">
        <v>0</v>
      </c>
      <c r="N750" s="2212">
        <v>0</v>
      </c>
      <c r="O750" s="1118">
        <f t="shared" si="60"/>
        <v>0</v>
      </c>
      <c r="P750" s="2213">
        <f t="shared" si="59"/>
        <v>0</v>
      </c>
    </row>
    <row r="751" spans="1:16" ht="14.5">
      <c r="A751" s="2042" t="s">
        <v>4978</v>
      </c>
      <c r="B751" s="380" t="str">
        <f t="shared" si="56"/>
        <v>049-902</v>
      </c>
      <c r="C751" s="2042" t="s">
        <v>2089</v>
      </c>
      <c r="D751" s="2043">
        <v>491</v>
      </c>
      <c r="E751" s="2043">
        <v>524</v>
      </c>
      <c r="F751" s="2043">
        <f t="shared" si="57"/>
        <v>33</v>
      </c>
      <c r="G751" s="2043">
        <f t="shared" si="58"/>
        <v>0</v>
      </c>
      <c r="H751" s="2208">
        <v>0</v>
      </c>
      <c r="I751" s="2209">
        <v>0</v>
      </c>
      <c r="J751" s="2210">
        <v>0</v>
      </c>
      <c r="K751" s="2208">
        <v>0</v>
      </c>
      <c r="L751" s="2208">
        <v>0</v>
      </c>
      <c r="M751" s="2211">
        <v>0</v>
      </c>
      <c r="N751" s="2212">
        <v>0</v>
      </c>
      <c r="O751" s="1118">
        <f t="shared" si="60"/>
        <v>0</v>
      </c>
      <c r="P751" s="2213">
        <f t="shared" si="59"/>
        <v>0</v>
      </c>
    </row>
    <row r="752" spans="1:16" ht="14.5">
      <c r="A752" s="2042" t="s">
        <v>3254</v>
      </c>
      <c r="B752" s="380" t="str">
        <f t="shared" si="56"/>
        <v>244-905</v>
      </c>
      <c r="C752" s="2042" t="s">
        <v>2165</v>
      </c>
      <c r="D752" s="2043">
        <v>205</v>
      </c>
      <c r="E752" s="2043">
        <v>238</v>
      </c>
      <c r="F752" s="2043">
        <f t="shared" si="57"/>
        <v>33</v>
      </c>
      <c r="G752" s="2043">
        <f t="shared" si="58"/>
        <v>0</v>
      </c>
      <c r="H752" s="2208">
        <v>0</v>
      </c>
      <c r="I752" s="2209">
        <v>0</v>
      </c>
      <c r="J752" s="2210">
        <v>0</v>
      </c>
      <c r="K752" s="2208">
        <v>0</v>
      </c>
      <c r="L752" s="2208">
        <v>0</v>
      </c>
      <c r="M752" s="2211">
        <v>0</v>
      </c>
      <c r="N752" s="2212">
        <v>54322</v>
      </c>
      <c r="O752" s="1118">
        <f t="shared" si="60"/>
        <v>54322</v>
      </c>
      <c r="P752" s="2213">
        <f t="shared" si="59"/>
        <v>14626.116380282694</v>
      </c>
    </row>
    <row r="753" spans="1:16" ht="14.5">
      <c r="A753" s="2042" t="s">
        <v>5293</v>
      </c>
      <c r="B753" s="380" t="str">
        <f t="shared" si="56"/>
        <v>235-904</v>
      </c>
      <c r="C753" s="2042" t="s">
        <v>1969</v>
      </c>
      <c r="D753" s="2043">
        <v>107</v>
      </c>
      <c r="E753" s="2043">
        <v>141</v>
      </c>
      <c r="F753" s="2043">
        <f t="shared" si="57"/>
        <v>34</v>
      </c>
      <c r="G753" s="2043">
        <f t="shared" si="58"/>
        <v>0</v>
      </c>
      <c r="H753" s="2208">
        <v>0</v>
      </c>
      <c r="I753" s="2209">
        <v>0</v>
      </c>
      <c r="J753" s="2210">
        <v>0</v>
      </c>
      <c r="K753" s="2208">
        <v>0</v>
      </c>
      <c r="L753" s="2208">
        <v>0</v>
      </c>
      <c r="M753" s="2211">
        <v>0</v>
      </c>
      <c r="N753" s="2212">
        <v>32663</v>
      </c>
      <c r="O753" s="1118">
        <f t="shared" si="60"/>
        <v>32663</v>
      </c>
      <c r="P753" s="2213">
        <f t="shared" si="59"/>
        <v>8794.4633726514803</v>
      </c>
    </row>
    <row r="754" spans="1:16" ht="14.5">
      <c r="A754" s="2042" t="s">
        <v>3229</v>
      </c>
      <c r="B754" s="380" t="str">
        <f t="shared" si="56"/>
        <v>229-906</v>
      </c>
      <c r="C754" s="2042" t="s">
        <v>2061</v>
      </c>
      <c r="D754" s="2043">
        <v>177</v>
      </c>
      <c r="E754" s="2043">
        <v>211</v>
      </c>
      <c r="F754" s="2043">
        <f t="shared" si="57"/>
        <v>34</v>
      </c>
      <c r="G754" s="2043">
        <f t="shared" si="58"/>
        <v>0</v>
      </c>
      <c r="H754" s="2208">
        <v>0</v>
      </c>
      <c r="I754" s="2209">
        <v>0</v>
      </c>
      <c r="J754" s="2210">
        <v>0</v>
      </c>
      <c r="K754" s="2208">
        <v>0</v>
      </c>
      <c r="L754" s="2208">
        <v>0</v>
      </c>
      <c r="M754" s="2211">
        <v>0</v>
      </c>
      <c r="N754" s="2212">
        <v>0</v>
      </c>
      <c r="O754" s="1118">
        <f t="shared" si="60"/>
        <v>0</v>
      </c>
      <c r="P754" s="2213">
        <f t="shared" si="59"/>
        <v>0</v>
      </c>
    </row>
    <row r="755" spans="1:16" ht="14.5">
      <c r="A755" s="2042" t="s">
        <v>5774</v>
      </c>
      <c r="B755" s="380" t="str">
        <f t="shared" si="56"/>
        <v>050-901</v>
      </c>
      <c r="C755" s="2042" t="s">
        <v>2095</v>
      </c>
      <c r="D755" s="2043">
        <v>239</v>
      </c>
      <c r="E755" s="2043">
        <v>273</v>
      </c>
      <c r="F755" s="2043">
        <f t="shared" si="57"/>
        <v>34</v>
      </c>
      <c r="G755" s="2043">
        <f t="shared" si="58"/>
        <v>0</v>
      </c>
      <c r="H755" s="2208">
        <v>0</v>
      </c>
      <c r="I755" s="2209">
        <v>0</v>
      </c>
      <c r="J755" s="2210">
        <v>0</v>
      </c>
      <c r="K755" s="2208">
        <v>0</v>
      </c>
      <c r="L755" s="2208">
        <v>0</v>
      </c>
      <c r="M755" s="2211">
        <v>0</v>
      </c>
      <c r="N755" s="2212">
        <v>0</v>
      </c>
      <c r="O755" s="1118">
        <f t="shared" si="60"/>
        <v>0</v>
      </c>
      <c r="P755" s="2213">
        <f t="shared" si="59"/>
        <v>0</v>
      </c>
    </row>
    <row r="756" spans="1:16" ht="14.5">
      <c r="A756" s="2042" t="s">
        <v>5246</v>
      </c>
      <c r="B756" s="380" t="str">
        <f t="shared" si="56"/>
        <v>204-901</v>
      </c>
      <c r="C756" s="2042" t="s">
        <v>2209</v>
      </c>
      <c r="D756" s="2043">
        <v>1498</v>
      </c>
      <c r="E756" s="2043">
        <v>1533</v>
      </c>
      <c r="F756" s="2043">
        <f t="shared" si="57"/>
        <v>35</v>
      </c>
      <c r="G756" s="2043">
        <f t="shared" si="58"/>
        <v>0</v>
      </c>
      <c r="H756" s="2208">
        <v>0</v>
      </c>
      <c r="I756" s="2209">
        <v>0</v>
      </c>
      <c r="J756" s="2210">
        <v>0</v>
      </c>
      <c r="K756" s="2208">
        <v>0</v>
      </c>
      <c r="L756" s="2208">
        <v>0</v>
      </c>
      <c r="M756" s="2211">
        <v>0</v>
      </c>
      <c r="N756" s="2212">
        <v>345995</v>
      </c>
      <c r="O756" s="1118">
        <f t="shared" si="60"/>
        <v>345995</v>
      </c>
      <c r="P756" s="2213">
        <f t="shared" si="59"/>
        <v>93158.630702034367</v>
      </c>
    </row>
    <row r="757" spans="1:16" ht="14.5">
      <c r="A757" s="2042" t="s">
        <v>5139</v>
      </c>
      <c r="B757" s="380" t="str">
        <f t="shared" si="56"/>
        <v>143-901</v>
      </c>
      <c r="C757" s="2042" t="s">
        <v>896</v>
      </c>
      <c r="D757" s="2043">
        <v>1081</v>
      </c>
      <c r="E757" s="2043">
        <v>1116</v>
      </c>
      <c r="F757" s="2043">
        <f t="shared" si="57"/>
        <v>35</v>
      </c>
      <c r="G757" s="2043">
        <f t="shared" si="58"/>
        <v>0</v>
      </c>
      <c r="H757" s="2208">
        <v>0</v>
      </c>
      <c r="I757" s="2209">
        <v>0</v>
      </c>
      <c r="J757" s="2210">
        <v>0</v>
      </c>
      <c r="K757" s="2208">
        <v>0</v>
      </c>
      <c r="L757" s="2208">
        <v>0</v>
      </c>
      <c r="M757" s="2211">
        <v>0</v>
      </c>
      <c r="N757" s="2212">
        <v>0</v>
      </c>
      <c r="O757" s="1118">
        <f t="shared" si="60"/>
        <v>0</v>
      </c>
      <c r="P757" s="2213">
        <f t="shared" si="59"/>
        <v>0</v>
      </c>
    </row>
    <row r="758" spans="1:16" ht="14.5">
      <c r="A758" s="2042" t="s">
        <v>3233</v>
      </c>
      <c r="B758" s="380" t="str">
        <f t="shared" si="56"/>
        <v>232-901</v>
      </c>
      <c r="C758" s="2042" t="s">
        <v>2332</v>
      </c>
      <c r="D758" s="2043">
        <v>421</v>
      </c>
      <c r="E758" s="2043">
        <v>456</v>
      </c>
      <c r="F758" s="2043">
        <f t="shared" si="57"/>
        <v>35</v>
      </c>
      <c r="G758" s="2043">
        <f t="shared" si="58"/>
        <v>0</v>
      </c>
      <c r="H758" s="2208">
        <v>0</v>
      </c>
      <c r="I758" s="2209">
        <v>0</v>
      </c>
      <c r="J758" s="2210">
        <v>0</v>
      </c>
      <c r="K758" s="2208">
        <v>0</v>
      </c>
      <c r="L758" s="2208">
        <v>0</v>
      </c>
      <c r="M758" s="2211">
        <v>0</v>
      </c>
      <c r="N758" s="2212">
        <v>98059</v>
      </c>
      <c r="O758" s="1118">
        <f t="shared" si="60"/>
        <v>98059</v>
      </c>
      <c r="P758" s="2213">
        <f t="shared" si="59"/>
        <v>26402.237512133957</v>
      </c>
    </row>
    <row r="759" spans="1:16" ht="14.5">
      <c r="A759" s="2042" t="s">
        <v>3073</v>
      </c>
      <c r="B759" s="380" t="str">
        <f t="shared" si="56"/>
        <v>121-903</v>
      </c>
      <c r="C759" s="2042" t="s">
        <v>1362</v>
      </c>
      <c r="D759" s="2043">
        <v>1457</v>
      </c>
      <c r="E759" s="2043">
        <v>1492</v>
      </c>
      <c r="F759" s="2043">
        <f t="shared" si="57"/>
        <v>35</v>
      </c>
      <c r="G759" s="2043">
        <f t="shared" si="58"/>
        <v>0</v>
      </c>
      <c r="H759" s="2208">
        <v>0</v>
      </c>
      <c r="I759" s="2209">
        <v>0</v>
      </c>
      <c r="J759" s="2210">
        <v>0</v>
      </c>
      <c r="K759" s="2208">
        <v>0</v>
      </c>
      <c r="L759" s="2208">
        <v>0</v>
      </c>
      <c r="M759" s="2211">
        <v>0</v>
      </c>
      <c r="N759" s="2212">
        <v>0</v>
      </c>
      <c r="O759" s="1118">
        <f t="shared" si="60"/>
        <v>0</v>
      </c>
      <c r="P759" s="2213">
        <f t="shared" si="59"/>
        <v>0</v>
      </c>
    </row>
    <row r="760" spans="1:16" ht="14.5">
      <c r="A760" s="2042" t="s">
        <v>2952</v>
      </c>
      <c r="B760" s="380" t="str">
        <f t="shared" si="56"/>
        <v>050-910</v>
      </c>
      <c r="C760" s="2042" t="s">
        <v>2430</v>
      </c>
      <c r="D760" s="2043">
        <v>8016</v>
      </c>
      <c r="E760" s="2043">
        <v>8052</v>
      </c>
      <c r="F760" s="2043">
        <f t="shared" si="57"/>
        <v>36</v>
      </c>
      <c r="G760" s="2043">
        <f t="shared" si="58"/>
        <v>0</v>
      </c>
      <c r="H760" s="2208">
        <v>0</v>
      </c>
      <c r="I760" s="2209">
        <v>0</v>
      </c>
      <c r="J760" s="2210">
        <v>0</v>
      </c>
      <c r="K760" s="2208">
        <v>0</v>
      </c>
      <c r="L760" s="2208">
        <v>0</v>
      </c>
      <c r="M760" s="2211">
        <v>0</v>
      </c>
      <c r="N760" s="2212">
        <v>0</v>
      </c>
      <c r="O760" s="1118">
        <f t="shared" si="60"/>
        <v>0</v>
      </c>
      <c r="P760" s="2213">
        <f t="shared" si="59"/>
        <v>0</v>
      </c>
    </row>
    <row r="761" spans="1:16" ht="14.5">
      <c r="A761" s="2042" t="s">
        <v>3121</v>
      </c>
      <c r="B761" s="380" t="str">
        <f t="shared" si="56"/>
        <v>161-906</v>
      </c>
      <c r="C761" s="2042" t="s">
        <v>1792</v>
      </c>
      <c r="D761" s="2043">
        <v>3033</v>
      </c>
      <c r="E761" s="2043">
        <v>3069</v>
      </c>
      <c r="F761" s="2043">
        <f t="shared" si="57"/>
        <v>36</v>
      </c>
      <c r="G761" s="2043">
        <f t="shared" si="58"/>
        <v>0</v>
      </c>
      <c r="H761" s="2208">
        <v>0</v>
      </c>
      <c r="I761" s="2209">
        <v>0</v>
      </c>
      <c r="J761" s="2210">
        <v>0</v>
      </c>
      <c r="K761" s="2208">
        <v>0</v>
      </c>
      <c r="L761" s="2208">
        <v>0</v>
      </c>
      <c r="M761" s="2211">
        <v>0</v>
      </c>
      <c r="N761" s="2212">
        <v>0</v>
      </c>
      <c r="O761" s="1118">
        <f t="shared" si="60"/>
        <v>0</v>
      </c>
      <c r="P761" s="2213">
        <f t="shared" si="59"/>
        <v>0</v>
      </c>
    </row>
    <row r="762" spans="1:16" ht="14.5">
      <c r="A762" s="2042" t="s">
        <v>5027</v>
      </c>
      <c r="B762" s="380" t="str">
        <f t="shared" si="56"/>
        <v>083-902</v>
      </c>
      <c r="C762" s="2042" t="s">
        <v>498</v>
      </c>
      <c r="D762" s="2043">
        <v>110</v>
      </c>
      <c r="E762" s="2043">
        <v>146</v>
      </c>
      <c r="F762" s="2043">
        <f t="shared" si="57"/>
        <v>36</v>
      </c>
      <c r="G762" s="2043">
        <f t="shared" si="58"/>
        <v>0</v>
      </c>
      <c r="H762" s="2208">
        <v>0</v>
      </c>
      <c r="I762" s="2209">
        <v>0</v>
      </c>
      <c r="J762" s="2210">
        <v>0</v>
      </c>
      <c r="K762" s="2208">
        <v>0</v>
      </c>
      <c r="L762" s="2208">
        <v>0</v>
      </c>
      <c r="M762" s="2211">
        <v>0</v>
      </c>
      <c r="N762" s="2212">
        <v>0</v>
      </c>
      <c r="O762" s="1118">
        <f t="shared" si="60"/>
        <v>0</v>
      </c>
      <c r="P762" s="2213">
        <f t="shared" si="59"/>
        <v>0</v>
      </c>
    </row>
    <row r="763" spans="1:16" ht="14.5">
      <c r="A763" s="2042" t="s">
        <v>5265</v>
      </c>
      <c r="B763" s="380" t="str">
        <f t="shared" si="56"/>
        <v>219-905</v>
      </c>
      <c r="C763" s="2042" t="s">
        <v>2426</v>
      </c>
      <c r="D763" s="2043">
        <v>241</v>
      </c>
      <c r="E763" s="2043">
        <v>277</v>
      </c>
      <c r="F763" s="2043">
        <f t="shared" si="57"/>
        <v>36</v>
      </c>
      <c r="G763" s="2043">
        <f t="shared" si="58"/>
        <v>0</v>
      </c>
      <c r="H763" s="2208">
        <v>0</v>
      </c>
      <c r="I763" s="2209">
        <v>0</v>
      </c>
      <c r="J763" s="2210">
        <v>0</v>
      </c>
      <c r="K763" s="2208">
        <v>0</v>
      </c>
      <c r="L763" s="2208">
        <v>0</v>
      </c>
      <c r="M763" s="2211">
        <v>0</v>
      </c>
      <c r="N763" s="2212">
        <v>0</v>
      </c>
      <c r="O763" s="1118">
        <f t="shared" si="60"/>
        <v>0</v>
      </c>
      <c r="P763" s="2213">
        <f t="shared" si="59"/>
        <v>0</v>
      </c>
    </row>
    <row r="764" spans="1:16" ht="14.5">
      <c r="A764" s="2042" t="s">
        <v>3014</v>
      </c>
      <c r="B764" s="380" t="str">
        <f t="shared" si="56"/>
        <v>094-903</v>
      </c>
      <c r="C764" s="2042" t="s">
        <v>218</v>
      </c>
      <c r="D764" s="2043">
        <v>1812</v>
      </c>
      <c r="E764" s="2043">
        <v>1849</v>
      </c>
      <c r="F764" s="2043">
        <f t="shared" si="57"/>
        <v>37</v>
      </c>
      <c r="G764" s="2043">
        <f t="shared" si="58"/>
        <v>0</v>
      </c>
      <c r="H764" s="2208">
        <v>0</v>
      </c>
      <c r="I764" s="2209">
        <v>0</v>
      </c>
      <c r="J764" s="2210">
        <v>0</v>
      </c>
      <c r="K764" s="2208">
        <v>0</v>
      </c>
      <c r="L764" s="2208">
        <v>0</v>
      </c>
      <c r="M764" s="2211">
        <v>0</v>
      </c>
      <c r="N764" s="2212">
        <v>450125</v>
      </c>
      <c r="O764" s="1118">
        <f t="shared" si="60"/>
        <v>450125</v>
      </c>
      <c r="P764" s="2213">
        <f t="shared" si="59"/>
        <v>121195.47578650911</v>
      </c>
    </row>
    <row r="765" spans="1:16" ht="14.5">
      <c r="A765" s="2042" t="s">
        <v>5844</v>
      </c>
      <c r="B765" s="380" t="str">
        <f t="shared" si="56"/>
        <v>152-902</v>
      </c>
      <c r="C765" s="2042" t="s">
        <v>519</v>
      </c>
      <c r="D765" s="2043">
        <v>717</v>
      </c>
      <c r="E765" s="2043">
        <v>754</v>
      </c>
      <c r="F765" s="2043">
        <f t="shared" si="57"/>
        <v>37</v>
      </c>
      <c r="G765" s="2043">
        <f t="shared" si="58"/>
        <v>0</v>
      </c>
      <c r="H765" s="2208">
        <v>0</v>
      </c>
      <c r="I765" s="2209">
        <v>0</v>
      </c>
      <c r="J765" s="2210">
        <v>0</v>
      </c>
      <c r="K765" s="2208">
        <v>0</v>
      </c>
      <c r="L765" s="2208">
        <v>0</v>
      </c>
      <c r="M765" s="2211">
        <v>0</v>
      </c>
      <c r="N765" s="2212">
        <v>0</v>
      </c>
      <c r="O765" s="1118">
        <f t="shared" si="60"/>
        <v>0</v>
      </c>
      <c r="P765" s="2213">
        <f t="shared" si="59"/>
        <v>0</v>
      </c>
    </row>
    <row r="766" spans="1:16" ht="14.5">
      <c r="A766" s="2042" t="s">
        <v>3993</v>
      </c>
      <c r="B766" s="380" t="str">
        <f t="shared" si="56"/>
        <v>094-904</v>
      </c>
      <c r="C766" s="2042" t="s">
        <v>278</v>
      </c>
      <c r="D766" s="2043">
        <v>1446</v>
      </c>
      <c r="E766" s="2043">
        <v>1483</v>
      </c>
      <c r="F766" s="2043">
        <f t="shared" si="57"/>
        <v>37</v>
      </c>
      <c r="G766" s="2043">
        <f t="shared" si="58"/>
        <v>0</v>
      </c>
      <c r="H766" s="2208">
        <v>0</v>
      </c>
      <c r="I766" s="2209">
        <v>0</v>
      </c>
      <c r="J766" s="2210">
        <v>0</v>
      </c>
      <c r="K766" s="2208">
        <v>0</v>
      </c>
      <c r="L766" s="2208">
        <v>0</v>
      </c>
      <c r="M766" s="2211">
        <v>0</v>
      </c>
      <c r="N766" s="2212">
        <v>352545</v>
      </c>
      <c r="O766" s="1118">
        <f t="shared" si="60"/>
        <v>352545</v>
      </c>
      <c r="P766" s="2213">
        <f t="shared" si="59"/>
        <v>94922.208300260711</v>
      </c>
    </row>
    <row r="767" spans="1:16" ht="14.5">
      <c r="A767" s="2042" t="s">
        <v>3200</v>
      </c>
      <c r="B767" s="380" t="str">
        <f t="shared" si="56"/>
        <v>212-901</v>
      </c>
      <c r="C767" s="2042" t="s">
        <v>1996</v>
      </c>
      <c r="D767" s="2043">
        <v>839</v>
      </c>
      <c r="E767" s="2043">
        <v>876</v>
      </c>
      <c r="F767" s="2043">
        <f t="shared" si="57"/>
        <v>37</v>
      </c>
      <c r="G767" s="2043">
        <f t="shared" si="58"/>
        <v>0</v>
      </c>
      <c r="H767" s="2208">
        <v>0</v>
      </c>
      <c r="I767" s="2209">
        <v>0</v>
      </c>
      <c r="J767" s="2210">
        <v>0</v>
      </c>
      <c r="K767" s="2208">
        <v>0</v>
      </c>
      <c r="L767" s="2208">
        <v>0</v>
      </c>
      <c r="M767" s="2211">
        <v>0</v>
      </c>
      <c r="N767" s="2212">
        <v>0</v>
      </c>
      <c r="O767" s="1118">
        <f t="shared" si="60"/>
        <v>0</v>
      </c>
      <c r="P767" s="2213">
        <f t="shared" si="59"/>
        <v>0</v>
      </c>
    </row>
    <row r="768" spans="1:16" ht="14.5">
      <c r="A768" s="2042" t="s">
        <v>4925</v>
      </c>
      <c r="B768" s="380" t="str">
        <f t="shared" si="56"/>
        <v>005-901</v>
      </c>
      <c r="C768" s="2042" t="s">
        <v>1125</v>
      </c>
      <c r="D768" s="2043">
        <v>464</v>
      </c>
      <c r="E768" s="2043">
        <v>502</v>
      </c>
      <c r="F768" s="2043">
        <f t="shared" si="57"/>
        <v>38</v>
      </c>
      <c r="G768" s="2043">
        <f t="shared" si="58"/>
        <v>0</v>
      </c>
      <c r="H768" s="2208">
        <v>0</v>
      </c>
      <c r="I768" s="2209">
        <v>0</v>
      </c>
      <c r="J768" s="2210">
        <v>0</v>
      </c>
      <c r="K768" s="2208">
        <v>0</v>
      </c>
      <c r="L768" s="2208">
        <v>0</v>
      </c>
      <c r="M768" s="2211">
        <v>0</v>
      </c>
      <c r="N768" s="2212">
        <v>113568</v>
      </c>
      <c r="O768" s="1118">
        <f t="shared" si="60"/>
        <v>113568</v>
      </c>
      <c r="P768" s="2213">
        <f t="shared" si="59"/>
        <v>30578.012316850356</v>
      </c>
    </row>
    <row r="769" spans="1:16" ht="14.5">
      <c r="A769" s="2042" t="s">
        <v>5101</v>
      </c>
      <c r="B769" s="380" t="str">
        <f t="shared" si="56"/>
        <v>114-904</v>
      </c>
      <c r="C769" s="2042" t="s">
        <v>1483</v>
      </c>
      <c r="D769" s="2043">
        <v>739</v>
      </c>
      <c r="E769" s="2043">
        <v>777</v>
      </c>
      <c r="F769" s="2043">
        <f t="shared" si="57"/>
        <v>38</v>
      </c>
      <c r="G769" s="2043">
        <f t="shared" si="58"/>
        <v>0</v>
      </c>
      <c r="H769" s="2208">
        <v>0</v>
      </c>
      <c r="I769" s="2209">
        <v>0</v>
      </c>
      <c r="J769" s="2210">
        <v>0</v>
      </c>
      <c r="K769" s="2208">
        <v>0</v>
      </c>
      <c r="L769" s="2208">
        <v>0</v>
      </c>
      <c r="M769" s="2211">
        <v>0</v>
      </c>
      <c r="N769" s="2212">
        <v>0</v>
      </c>
      <c r="O769" s="1118">
        <f t="shared" si="60"/>
        <v>0</v>
      </c>
      <c r="P769" s="2213">
        <f t="shared" si="59"/>
        <v>0</v>
      </c>
    </row>
    <row r="770" spans="1:16" ht="14.5">
      <c r="A770" s="2042" t="s">
        <v>5219</v>
      </c>
      <c r="B770" s="380" t="str">
        <f t="shared" si="56"/>
        <v>184-911</v>
      </c>
      <c r="C770" s="2042" t="s">
        <v>413</v>
      </c>
      <c r="D770" s="2043">
        <v>178</v>
      </c>
      <c r="E770" s="2043">
        <v>216</v>
      </c>
      <c r="F770" s="2043">
        <f t="shared" si="57"/>
        <v>38</v>
      </c>
      <c r="G770" s="2043">
        <f t="shared" si="58"/>
        <v>0</v>
      </c>
      <c r="H770" s="2208">
        <v>0</v>
      </c>
      <c r="I770" s="2209">
        <v>0</v>
      </c>
      <c r="J770" s="2210">
        <v>0</v>
      </c>
      <c r="K770" s="2208">
        <v>0</v>
      </c>
      <c r="L770" s="2208">
        <v>0</v>
      </c>
      <c r="M770" s="2211">
        <v>0</v>
      </c>
      <c r="N770" s="2212">
        <v>0</v>
      </c>
      <c r="O770" s="1118">
        <f t="shared" si="60"/>
        <v>0</v>
      </c>
      <c r="P770" s="2213">
        <f t="shared" si="59"/>
        <v>0</v>
      </c>
    </row>
    <row r="771" spans="1:16" ht="14.5">
      <c r="A771" s="2042" t="s">
        <v>3122</v>
      </c>
      <c r="B771" s="380" t="str">
        <f t="shared" ref="B771:B834" si="61">CONCATENATE(LEFT(RIGHT(CONCATENATE("000",A771),6),3),"-",(RIGHT(RIGHT(CONCATENATE("000",A771),6),3)))</f>
        <v>161-907</v>
      </c>
      <c r="C771" s="2042" t="s">
        <v>1183</v>
      </c>
      <c r="D771" s="2043">
        <v>1702</v>
      </c>
      <c r="E771" s="2043">
        <v>1741</v>
      </c>
      <c r="F771" s="2043">
        <f t="shared" ref="F771:F834" si="62">MAX(0,E771-D771)</f>
        <v>39</v>
      </c>
      <c r="G771" s="2043">
        <f t="shared" ref="G771:G834" si="63">MAX(0,F771-250)</f>
        <v>0</v>
      </c>
      <c r="H771" s="2208">
        <v>0</v>
      </c>
      <c r="I771" s="2209">
        <v>0</v>
      </c>
      <c r="J771" s="2210">
        <v>0</v>
      </c>
      <c r="K771" s="2208">
        <v>0</v>
      </c>
      <c r="L771" s="2208">
        <v>0</v>
      </c>
      <c r="M771" s="2211">
        <v>0</v>
      </c>
      <c r="N771" s="2212">
        <v>0</v>
      </c>
      <c r="O771" s="1118">
        <f t="shared" si="60"/>
        <v>0</v>
      </c>
      <c r="P771" s="2213">
        <f t="shared" ref="P771:P834" si="64">(40000000/$O$1022)*O771</f>
        <v>0</v>
      </c>
    </row>
    <row r="772" spans="1:16" ht="14.5">
      <c r="A772" s="2042" t="s">
        <v>5194</v>
      </c>
      <c r="B772" s="380" t="str">
        <f t="shared" si="61"/>
        <v>175-910</v>
      </c>
      <c r="C772" s="2042" t="s">
        <v>292</v>
      </c>
      <c r="D772" s="2043">
        <v>716</v>
      </c>
      <c r="E772" s="2043">
        <v>755</v>
      </c>
      <c r="F772" s="2043">
        <f t="shared" si="62"/>
        <v>39</v>
      </c>
      <c r="G772" s="2043">
        <f t="shared" si="63"/>
        <v>0</v>
      </c>
      <c r="H772" s="2208">
        <v>0</v>
      </c>
      <c r="I772" s="2209">
        <v>0</v>
      </c>
      <c r="J772" s="2210">
        <v>0</v>
      </c>
      <c r="K772" s="2208">
        <v>0</v>
      </c>
      <c r="L772" s="2208">
        <v>0</v>
      </c>
      <c r="M772" s="2211">
        <v>0</v>
      </c>
      <c r="N772" s="2212">
        <v>0</v>
      </c>
      <c r="O772" s="1118">
        <f t="shared" si="60"/>
        <v>0</v>
      </c>
      <c r="P772" s="2213">
        <f t="shared" si="64"/>
        <v>0</v>
      </c>
    </row>
    <row r="773" spans="1:16" ht="14.5">
      <c r="A773" s="2042" t="s">
        <v>5189</v>
      </c>
      <c r="B773" s="380" t="str">
        <f t="shared" si="61"/>
        <v>174-902</v>
      </c>
      <c r="C773" s="2042" t="s">
        <v>2132</v>
      </c>
      <c r="D773" s="2043">
        <v>536</v>
      </c>
      <c r="E773" s="2043">
        <v>576</v>
      </c>
      <c r="F773" s="2043">
        <f t="shared" si="62"/>
        <v>40</v>
      </c>
      <c r="G773" s="2043">
        <f t="shared" si="63"/>
        <v>0</v>
      </c>
      <c r="H773" s="2208">
        <v>0</v>
      </c>
      <c r="I773" s="2209">
        <v>0</v>
      </c>
      <c r="J773" s="2210">
        <v>0</v>
      </c>
      <c r="K773" s="2208">
        <v>0</v>
      </c>
      <c r="L773" s="2208">
        <v>0</v>
      </c>
      <c r="M773" s="2211">
        <v>0</v>
      </c>
      <c r="N773" s="2212">
        <v>0</v>
      </c>
      <c r="O773" s="1118">
        <f t="shared" si="60"/>
        <v>0</v>
      </c>
      <c r="P773" s="2213">
        <f t="shared" si="64"/>
        <v>0</v>
      </c>
    </row>
    <row r="774" spans="1:16" ht="14.5">
      <c r="A774" s="2042" t="s">
        <v>5799</v>
      </c>
      <c r="B774" s="380" t="str">
        <f t="shared" si="61"/>
        <v>075-906</v>
      </c>
      <c r="C774" s="2042" t="s">
        <v>437</v>
      </c>
      <c r="D774" s="2043">
        <v>234</v>
      </c>
      <c r="E774" s="2043">
        <v>274</v>
      </c>
      <c r="F774" s="2043">
        <f t="shared" si="62"/>
        <v>40</v>
      </c>
      <c r="G774" s="2043">
        <f t="shared" si="63"/>
        <v>0</v>
      </c>
      <c r="H774" s="2208">
        <v>0</v>
      </c>
      <c r="I774" s="2209">
        <v>0</v>
      </c>
      <c r="J774" s="2210">
        <v>0</v>
      </c>
      <c r="K774" s="2208">
        <v>0</v>
      </c>
      <c r="L774" s="2208">
        <v>0</v>
      </c>
      <c r="M774" s="2211">
        <v>0</v>
      </c>
      <c r="N774" s="2212">
        <v>58447</v>
      </c>
      <c r="O774" s="1118">
        <f t="shared" si="60"/>
        <v>58447</v>
      </c>
      <c r="P774" s="2213">
        <f t="shared" si="64"/>
        <v>15736.766394432876</v>
      </c>
    </row>
    <row r="775" spans="1:16" ht="14.5">
      <c r="A775" s="2042" t="s">
        <v>5186</v>
      </c>
      <c r="B775" s="380" t="str">
        <f t="shared" si="61"/>
        <v>171-902</v>
      </c>
      <c r="C775" s="2042" t="s">
        <v>2128</v>
      </c>
      <c r="D775" s="2043">
        <v>551</v>
      </c>
      <c r="E775" s="2043">
        <v>591</v>
      </c>
      <c r="F775" s="2043">
        <f t="shared" si="62"/>
        <v>40</v>
      </c>
      <c r="G775" s="2043">
        <f t="shared" si="63"/>
        <v>0</v>
      </c>
      <c r="H775" s="2208">
        <v>0</v>
      </c>
      <c r="I775" s="2209">
        <v>0</v>
      </c>
      <c r="J775" s="2210">
        <v>0</v>
      </c>
      <c r="K775" s="2208">
        <v>0</v>
      </c>
      <c r="L775" s="2208">
        <v>0</v>
      </c>
      <c r="M775" s="2211">
        <v>0</v>
      </c>
      <c r="N775" s="2212">
        <v>0</v>
      </c>
      <c r="O775" s="1118">
        <f t="shared" si="60"/>
        <v>0</v>
      </c>
      <c r="P775" s="2213">
        <f t="shared" si="64"/>
        <v>0</v>
      </c>
    </row>
    <row r="776" spans="1:16" ht="14.5">
      <c r="A776" s="2042" t="s">
        <v>5145</v>
      </c>
      <c r="B776" s="380" t="str">
        <f t="shared" si="61"/>
        <v>145-906</v>
      </c>
      <c r="C776" s="2042" t="s">
        <v>1722</v>
      </c>
      <c r="D776" s="2043">
        <v>554</v>
      </c>
      <c r="E776" s="2043">
        <v>595</v>
      </c>
      <c r="F776" s="2043">
        <f t="shared" si="62"/>
        <v>41</v>
      </c>
      <c r="G776" s="2043">
        <f t="shared" si="63"/>
        <v>0</v>
      </c>
      <c r="H776" s="2208">
        <v>0</v>
      </c>
      <c r="I776" s="2209">
        <v>0</v>
      </c>
      <c r="J776" s="2210">
        <v>0</v>
      </c>
      <c r="K776" s="2208">
        <v>0</v>
      </c>
      <c r="L776" s="2208">
        <v>0</v>
      </c>
      <c r="M776" s="2211">
        <v>0</v>
      </c>
      <c r="N776" s="2212">
        <v>137481</v>
      </c>
      <c r="O776" s="1118">
        <f t="shared" si="60"/>
        <v>137481</v>
      </c>
      <c r="P776" s="2213">
        <f t="shared" si="64"/>
        <v>37016.551417062059</v>
      </c>
    </row>
    <row r="777" spans="1:16" ht="14.5">
      <c r="A777" s="2042" t="s">
        <v>5290</v>
      </c>
      <c r="B777" s="380" t="str">
        <f t="shared" si="61"/>
        <v>233-903</v>
      </c>
      <c r="C777" s="2042" t="s">
        <v>586</v>
      </c>
      <c r="D777" s="2043">
        <v>190</v>
      </c>
      <c r="E777" s="2043">
        <v>231</v>
      </c>
      <c r="F777" s="2043">
        <f t="shared" si="62"/>
        <v>41</v>
      </c>
      <c r="G777" s="2043">
        <f t="shared" si="63"/>
        <v>0</v>
      </c>
      <c r="H777" s="2208">
        <v>0</v>
      </c>
      <c r="I777" s="2209">
        <v>0</v>
      </c>
      <c r="J777" s="2210">
        <v>0</v>
      </c>
      <c r="K777" s="2208">
        <v>0</v>
      </c>
      <c r="L777" s="2208">
        <v>0</v>
      </c>
      <c r="M777" s="2211">
        <v>0</v>
      </c>
      <c r="N777" s="2212">
        <v>0</v>
      </c>
      <c r="O777" s="1118">
        <f t="shared" si="60"/>
        <v>0</v>
      </c>
      <c r="P777" s="2213">
        <f t="shared" si="64"/>
        <v>0</v>
      </c>
    </row>
    <row r="778" spans="1:16" ht="14.5">
      <c r="A778" s="2042" t="s">
        <v>2991</v>
      </c>
      <c r="B778" s="380" t="str">
        <f t="shared" si="61"/>
        <v>074-907</v>
      </c>
      <c r="C778" s="2042" t="s">
        <v>2</v>
      </c>
      <c r="D778" s="2043">
        <v>580</v>
      </c>
      <c r="E778" s="2043">
        <v>623</v>
      </c>
      <c r="F778" s="2043">
        <f t="shared" si="62"/>
        <v>43</v>
      </c>
      <c r="G778" s="2043">
        <f t="shared" si="63"/>
        <v>0</v>
      </c>
      <c r="H778" s="2208">
        <v>0</v>
      </c>
      <c r="I778" s="2209">
        <v>0</v>
      </c>
      <c r="J778" s="2210">
        <v>0</v>
      </c>
      <c r="K778" s="2208">
        <v>0</v>
      </c>
      <c r="L778" s="2208">
        <v>0</v>
      </c>
      <c r="M778" s="2211">
        <v>0</v>
      </c>
      <c r="N778" s="2212">
        <v>149386</v>
      </c>
      <c r="O778" s="1118">
        <f t="shared" si="60"/>
        <v>149386</v>
      </c>
      <c r="P778" s="2213">
        <f t="shared" si="64"/>
        <v>40221.954670021551</v>
      </c>
    </row>
    <row r="779" spans="1:16" ht="14.5">
      <c r="A779" s="2042" t="s">
        <v>3261</v>
      </c>
      <c r="B779" s="380" t="str">
        <f t="shared" si="61"/>
        <v>246-905</v>
      </c>
      <c r="C779" s="2042" t="s">
        <v>963</v>
      </c>
      <c r="D779" s="2043">
        <v>406</v>
      </c>
      <c r="E779" s="2043">
        <v>449</v>
      </c>
      <c r="F779" s="2043">
        <f t="shared" si="62"/>
        <v>43</v>
      </c>
      <c r="G779" s="2043">
        <f t="shared" si="63"/>
        <v>0</v>
      </c>
      <c r="H779" s="2208">
        <v>0</v>
      </c>
      <c r="I779" s="2209">
        <v>0</v>
      </c>
      <c r="J779" s="2210">
        <v>0</v>
      </c>
      <c r="K779" s="2208">
        <v>0</v>
      </c>
      <c r="L779" s="2208">
        <v>0</v>
      </c>
      <c r="M779" s="2211">
        <v>0</v>
      </c>
      <c r="N779" s="2212">
        <v>105125</v>
      </c>
      <c r="O779" s="1118">
        <f t="shared" si="60"/>
        <v>105125</v>
      </c>
      <c r="P779" s="2213">
        <f t="shared" si="64"/>
        <v>28304.747330312181</v>
      </c>
    </row>
    <row r="780" spans="1:16" ht="14.5">
      <c r="A780" s="2042" t="s">
        <v>3647</v>
      </c>
      <c r="B780" s="380" t="str">
        <f t="shared" si="61"/>
        <v>034-906</v>
      </c>
      <c r="C780" s="2042" t="s">
        <v>775</v>
      </c>
      <c r="D780" s="2043">
        <v>353</v>
      </c>
      <c r="E780" s="2043">
        <v>396</v>
      </c>
      <c r="F780" s="2043">
        <f t="shared" si="62"/>
        <v>43</v>
      </c>
      <c r="G780" s="2043">
        <f t="shared" si="63"/>
        <v>0</v>
      </c>
      <c r="H780" s="2208">
        <v>0</v>
      </c>
      <c r="I780" s="2209">
        <v>0</v>
      </c>
      <c r="J780" s="2210">
        <v>0</v>
      </c>
      <c r="K780" s="2208">
        <v>0</v>
      </c>
      <c r="L780" s="2208">
        <v>0</v>
      </c>
      <c r="M780" s="2211">
        <v>0</v>
      </c>
      <c r="N780" s="2212">
        <v>88142</v>
      </c>
      <c r="O780" s="1118">
        <f t="shared" si="60"/>
        <v>88142</v>
      </c>
      <c r="P780" s="2213">
        <f t="shared" si="64"/>
        <v>23732.100253872784</v>
      </c>
    </row>
    <row r="781" spans="1:16" ht="14.5">
      <c r="A781" s="2042" t="s">
        <v>3086</v>
      </c>
      <c r="B781" s="380" t="str">
        <f t="shared" si="61"/>
        <v>126-907</v>
      </c>
      <c r="C781" s="2042" t="s">
        <v>2548</v>
      </c>
      <c r="D781" s="2043">
        <v>727</v>
      </c>
      <c r="E781" s="2043">
        <v>770</v>
      </c>
      <c r="F781" s="2043">
        <f t="shared" si="62"/>
        <v>43</v>
      </c>
      <c r="G781" s="2043">
        <f t="shared" si="63"/>
        <v>0</v>
      </c>
      <c r="H781" s="2208">
        <v>0</v>
      </c>
      <c r="I781" s="2209">
        <v>0</v>
      </c>
      <c r="J781" s="2210">
        <v>0</v>
      </c>
      <c r="K781" s="2208">
        <v>0</v>
      </c>
      <c r="L781" s="2208">
        <v>0</v>
      </c>
      <c r="M781" s="2211">
        <v>0</v>
      </c>
      <c r="N781" s="2212">
        <v>0</v>
      </c>
      <c r="O781" s="1118">
        <f t="shared" si="60"/>
        <v>0</v>
      </c>
      <c r="P781" s="2213">
        <f t="shared" si="64"/>
        <v>0</v>
      </c>
    </row>
    <row r="782" spans="1:16" ht="14.5">
      <c r="A782" s="2042" t="s">
        <v>5835</v>
      </c>
      <c r="B782" s="380" t="str">
        <f t="shared" si="61"/>
        <v>138-904</v>
      </c>
      <c r="C782" s="2042" t="s">
        <v>1941</v>
      </c>
      <c r="D782" s="2043">
        <v>86</v>
      </c>
      <c r="E782" s="2043">
        <v>131</v>
      </c>
      <c r="F782" s="2043">
        <f t="shared" si="62"/>
        <v>45</v>
      </c>
      <c r="G782" s="2043">
        <f t="shared" si="63"/>
        <v>0</v>
      </c>
      <c r="H782" s="2208">
        <v>0</v>
      </c>
      <c r="I782" s="2209">
        <v>0</v>
      </c>
      <c r="J782" s="2210">
        <v>0</v>
      </c>
      <c r="K782" s="2208">
        <v>0</v>
      </c>
      <c r="L782" s="2208">
        <v>0</v>
      </c>
      <c r="M782" s="2211">
        <v>0</v>
      </c>
      <c r="N782" s="2212">
        <v>29631</v>
      </c>
      <c r="O782" s="1118">
        <f t="shared" si="60"/>
        <v>29631</v>
      </c>
      <c r="P782" s="2213">
        <f t="shared" si="64"/>
        <v>7978.1019561900621</v>
      </c>
    </row>
    <row r="783" spans="1:16" ht="14.5">
      <c r="A783" s="2042" t="s">
        <v>5226</v>
      </c>
      <c r="B783" s="380" t="str">
        <f t="shared" si="61"/>
        <v>187-906</v>
      </c>
      <c r="C783" s="2042" t="s">
        <v>424</v>
      </c>
      <c r="D783" s="2043">
        <v>159</v>
      </c>
      <c r="E783" s="2043">
        <v>204</v>
      </c>
      <c r="F783" s="2043">
        <f t="shared" si="62"/>
        <v>45</v>
      </c>
      <c r="G783" s="2043">
        <f t="shared" si="63"/>
        <v>0</v>
      </c>
      <c r="H783" s="2208">
        <v>0</v>
      </c>
      <c r="I783" s="2209">
        <v>0</v>
      </c>
      <c r="J783" s="2210">
        <v>0</v>
      </c>
      <c r="K783" s="2208">
        <v>0</v>
      </c>
      <c r="L783" s="2208">
        <v>0</v>
      </c>
      <c r="M783" s="2211">
        <v>0</v>
      </c>
      <c r="N783" s="2212">
        <v>0</v>
      </c>
      <c r="O783" s="1118">
        <f t="shared" si="60"/>
        <v>0</v>
      </c>
      <c r="P783" s="2213">
        <f t="shared" si="64"/>
        <v>0</v>
      </c>
    </row>
    <row r="784" spans="1:16" ht="14.5">
      <c r="A784" s="2042" t="s">
        <v>2961</v>
      </c>
      <c r="B784" s="380" t="str">
        <f t="shared" si="61"/>
        <v>061-905</v>
      </c>
      <c r="C784" s="2042" t="s">
        <v>1598</v>
      </c>
      <c r="D784" s="2043">
        <v>2056</v>
      </c>
      <c r="E784" s="2043">
        <v>2101</v>
      </c>
      <c r="F784" s="2043">
        <f t="shared" si="62"/>
        <v>45</v>
      </c>
      <c r="G784" s="2043">
        <f t="shared" si="63"/>
        <v>0</v>
      </c>
      <c r="H784" s="2208">
        <v>0</v>
      </c>
      <c r="I784" s="2209">
        <v>0</v>
      </c>
      <c r="J784" s="2210">
        <v>0</v>
      </c>
      <c r="K784" s="2208">
        <v>0</v>
      </c>
      <c r="L784" s="2208">
        <v>0</v>
      </c>
      <c r="M784" s="2211">
        <v>0</v>
      </c>
      <c r="N784" s="2212">
        <v>0</v>
      </c>
      <c r="O784" s="1118">
        <f t="shared" si="60"/>
        <v>0</v>
      </c>
      <c r="P784" s="2213">
        <f t="shared" si="64"/>
        <v>0</v>
      </c>
    </row>
    <row r="785" spans="1:16" ht="14.5">
      <c r="A785" s="2042" t="s">
        <v>5167</v>
      </c>
      <c r="B785" s="380" t="str">
        <f t="shared" si="61"/>
        <v>157-901</v>
      </c>
      <c r="C785" s="2042" t="s">
        <v>531</v>
      </c>
      <c r="D785" s="2043">
        <v>670</v>
      </c>
      <c r="E785" s="2043">
        <v>716</v>
      </c>
      <c r="F785" s="2043">
        <f t="shared" si="62"/>
        <v>46</v>
      </c>
      <c r="G785" s="2043">
        <f t="shared" si="63"/>
        <v>0</v>
      </c>
      <c r="H785" s="2208">
        <v>0</v>
      </c>
      <c r="I785" s="2209">
        <v>0</v>
      </c>
      <c r="J785" s="2210">
        <v>0</v>
      </c>
      <c r="K785" s="2208">
        <v>0</v>
      </c>
      <c r="L785" s="2208">
        <v>0</v>
      </c>
      <c r="M785" s="2211">
        <v>0</v>
      </c>
      <c r="N785" s="2212">
        <v>0</v>
      </c>
      <c r="O785" s="1118">
        <f t="shared" si="60"/>
        <v>0</v>
      </c>
      <c r="P785" s="2213">
        <f t="shared" si="64"/>
        <v>0</v>
      </c>
    </row>
    <row r="786" spans="1:16" ht="14.5">
      <c r="A786" s="2042" t="s">
        <v>5230</v>
      </c>
      <c r="B786" s="380" t="str">
        <f t="shared" si="61"/>
        <v>190-903</v>
      </c>
      <c r="C786" s="2042" t="s">
        <v>427</v>
      </c>
      <c r="D786" s="2043">
        <v>1662</v>
      </c>
      <c r="E786" s="2043">
        <v>1709</v>
      </c>
      <c r="F786" s="2043">
        <f t="shared" si="62"/>
        <v>47</v>
      </c>
      <c r="G786" s="2043">
        <f t="shared" si="63"/>
        <v>0</v>
      </c>
      <c r="H786" s="2208">
        <v>0</v>
      </c>
      <c r="I786" s="2209">
        <v>0</v>
      </c>
      <c r="J786" s="2210">
        <v>0</v>
      </c>
      <c r="K786" s="2208">
        <v>0</v>
      </c>
      <c r="L786" s="2208">
        <v>0</v>
      </c>
      <c r="M786" s="2211">
        <v>0</v>
      </c>
      <c r="N786" s="2212">
        <v>0</v>
      </c>
      <c r="O786" s="1118">
        <f t="shared" si="60"/>
        <v>0</v>
      </c>
      <c r="P786" s="2213">
        <f t="shared" si="64"/>
        <v>0</v>
      </c>
    </row>
    <row r="787" spans="1:16" ht="14.5">
      <c r="A787" s="2042" t="s">
        <v>5054</v>
      </c>
      <c r="B787" s="380" t="str">
        <f t="shared" si="61"/>
        <v>093-901</v>
      </c>
      <c r="C787" s="2042" t="s">
        <v>986</v>
      </c>
      <c r="D787" s="2043">
        <v>840</v>
      </c>
      <c r="E787" s="2043">
        <v>887</v>
      </c>
      <c r="F787" s="2043">
        <f t="shared" si="62"/>
        <v>47</v>
      </c>
      <c r="G787" s="2043">
        <f t="shared" si="63"/>
        <v>0</v>
      </c>
      <c r="H787" s="2208">
        <v>0</v>
      </c>
      <c r="I787" s="2209">
        <v>0</v>
      </c>
      <c r="J787" s="2210">
        <v>0</v>
      </c>
      <c r="K787" s="2208">
        <v>0</v>
      </c>
      <c r="L787" s="2208">
        <v>0</v>
      </c>
      <c r="M787" s="2211">
        <v>0</v>
      </c>
      <c r="N787" s="2212">
        <v>0</v>
      </c>
      <c r="O787" s="1118">
        <f t="shared" si="60"/>
        <v>0</v>
      </c>
      <c r="P787" s="2213">
        <f t="shared" si="64"/>
        <v>0</v>
      </c>
    </row>
    <row r="788" spans="1:16" ht="14.5">
      <c r="A788" s="2042" t="s">
        <v>2975</v>
      </c>
      <c r="B788" s="380" t="str">
        <f t="shared" si="61"/>
        <v>070-907</v>
      </c>
      <c r="C788" s="2042" t="s">
        <v>1196</v>
      </c>
      <c r="D788" s="2043">
        <v>574</v>
      </c>
      <c r="E788" s="2043">
        <v>621</v>
      </c>
      <c r="F788" s="2043">
        <f t="shared" si="62"/>
        <v>47</v>
      </c>
      <c r="G788" s="2043">
        <f t="shared" si="63"/>
        <v>0</v>
      </c>
      <c r="H788" s="2208">
        <v>0</v>
      </c>
      <c r="I788" s="2209">
        <v>0</v>
      </c>
      <c r="J788" s="2210">
        <v>0</v>
      </c>
      <c r="K788" s="2208">
        <v>0</v>
      </c>
      <c r="L788" s="2208">
        <v>0</v>
      </c>
      <c r="M788" s="2211">
        <v>0</v>
      </c>
      <c r="N788" s="2212">
        <v>0</v>
      </c>
      <c r="O788" s="1118">
        <f t="shared" si="60"/>
        <v>0</v>
      </c>
      <c r="P788" s="2213">
        <f t="shared" si="64"/>
        <v>0</v>
      </c>
    </row>
    <row r="789" spans="1:16" ht="14.5">
      <c r="A789" s="2042" t="s">
        <v>3051</v>
      </c>
      <c r="B789" s="380" t="str">
        <f t="shared" si="61"/>
        <v>109-905</v>
      </c>
      <c r="C789" s="2042" t="s">
        <v>2248</v>
      </c>
      <c r="D789" s="2043">
        <v>368</v>
      </c>
      <c r="E789" s="2043">
        <v>416</v>
      </c>
      <c r="F789" s="2043">
        <f t="shared" si="62"/>
        <v>48</v>
      </c>
      <c r="G789" s="2043">
        <f t="shared" si="63"/>
        <v>0</v>
      </c>
      <c r="H789" s="2208">
        <v>0</v>
      </c>
      <c r="I789" s="2209">
        <v>0</v>
      </c>
      <c r="J789" s="2210">
        <v>0</v>
      </c>
      <c r="K789" s="2208">
        <v>0</v>
      </c>
      <c r="L789" s="2208">
        <v>0</v>
      </c>
      <c r="M789" s="2211">
        <v>0</v>
      </c>
      <c r="N789" s="2212">
        <v>91877</v>
      </c>
      <c r="O789" s="1118">
        <f t="shared" si="60"/>
        <v>91877</v>
      </c>
      <c r="P789" s="2213">
        <f t="shared" si="64"/>
        <v>24737.74335759422</v>
      </c>
    </row>
    <row r="790" spans="1:16" ht="14.5">
      <c r="A790" s="2042" t="s">
        <v>3244</v>
      </c>
      <c r="B790" s="380" t="str">
        <f t="shared" si="61"/>
        <v>236-901</v>
      </c>
      <c r="C790" s="2042" t="s">
        <v>1074</v>
      </c>
      <c r="D790" s="2043">
        <v>990</v>
      </c>
      <c r="E790" s="2043">
        <v>1038</v>
      </c>
      <c r="F790" s="2043">
        <f t="shared" si="62"/>
        <v>48</v>
      </c>
      <c r="G790" s="2043">
        <f t="shared" si="63"/>
        <v>0</v>
      </c>
      <c r="H790" s="2208">
        <v>0</v>
      </c>
      <c r="I790" s="2209">
        <v>0</v>
      </c>
      <c r="J790" s="2210">
        <v>0</v>
      </c>
      <c r="K790" s="2208">
        <v>0</v>
      </c>
      <c r="L790" s="2208">
        <v>0</v>
      </c>
      <c r="M790" s="2211">
        <v>0</v>
      </c>
      <c r="N790" s="2212">
        <v>0</v>
      </c>
      <c r="O790" s="1118">
        <f t="shared" si="60"/>
        <v>0</v>
      </c>
      <c r="P790" s="2213">
        <f t="shared" si="64"/>
        <v>0</v>
      </c>
    </row>
    <row r="791" spans="1:16" ht="14.5">
      <c r="A791" s="2042" t="s">
        <v>3170</v>
      </c>
      <c r="B791" s="380" t="str">
        <f t="shared" si="61"/>
        <v>184-901</v>
      </c>
      <c r="C791" s="2042" t="s">
        <v>949</v>
      </c>
      <c r="D791" s="2043">
        <v>509</v>
      </c>
      <c r="E791" s="2043">
        <v>557</v>
      </c>
      <c r="F791" s="2043">
        <f t="shared" si="62"/>
        <v>48</v>
      </c>
      <c r="G791" s="2043">
        <f t="shared" si="63"/>
        <v>0</v>
      </c>
      <c r="H791" s="2208">
        <v>0</v>
      </c>
      <c r="I791" s="2209">
        <v>0</v>
      </c>
      <c r="J791" s="2210">
        <v>0</v>
      </c>
      <c r="K791" s="2208">
        <v>0</v>
      </c>
      <c r="L791" s="2208">
        <v>0</v>
      </c>
      <c r="M791" s="2211">
        <v>0</v>
      </c>
      <c r="N791" s="2212">
        <v>0</v>
      </c>
      <c r="O791" s="1118">
        <f t="shared" si="60"/>
        <v>0</v>
      </c>
      <c r="P791" s="2213">
        <f t="shared" si="64"/>
        <v>0</v>
      </c>
    </row>
    <row r="792" spans="1:16" ht="14.5">
      <c r="A792" s="2042" t="s">
        <v>5828</v>
      </c>
      <c r="B792" s="380" t="str">
        <f t="shared" si="61"/>
        <v>132-902</v>
      </c>
      <c r="C792" s="2042" t="s">
        <v>1929</v>
      </c>
      <c r="D792" s="2043">
        <v>128</v>
      </c>
      <c r="E792" s="2043">
        <v>176</v>
      </c>
      <c r="F792" s="2043">
        <f t="shared" si="62"/>
        <v>48</v>
      </c>
      <c r="G792" s="2043">
        <f t="shared" si="63"/>
        <v>0</v>
      </c>
      <c r="H792" s="2208">
        <v>0</v>
      </c>
      <c r="I792" s="2209">
        <v>0</v>
      </c>
      <c r="J792" s="2210">
        <v>0</v>
      </c>
      <c r="K792" s="2208">
        <v>0</v>
      </c>
      <c r="L792" s="2208">
        <v>0</v>
      </c>
      <c r="M792" s="2211">
        <v>0</v>
      </c>
      <c r="N792" s="2212">
        <v>39210</v>
      </c>
      <c r="O792" s="1118">
        <f t="shared" si="60"/>
        <v>39210</v>
      </c>
      <c r="P792" s="2213">
        <f t="shared" si="64"/>
        <v>10557.233225412991</v>
      </c>
    </row>
    <row r="793" spans="1:16" ht="14.5">
      <c r="A793" s="2042" t="s">
        <v>3092</v>
      </c>
      <c r="B793" s="380" t="str">
        <f t="shared" si="61"/>
        <v>128-904</v>
      </c>
      <c r="C793" s="2042" t="s">
        <v>846</v>
      </c>
      <c r="D793" s="2043">
        <v>360</v>
      </c>
      <c r="E793" s="2043">
        <v>408</v>
      </c>
      <c r="F793" s="2043">
        <f t="shared" si="62"/>
        <v>48</v>
      </c>
      <c r="G793" s="2043">
        <f t="shared" si="63"/>
        <v>0</v>
      </c>
      <c r="H793" s="2208">
        <v>0</v>
      </c>
      <c r="I793" s="2209">
        <v>0</v>
      </c>
      <c r="J793" s="2210">
        <v>0</v>
      </c>
      <c r="K793" s="2208">
        <v>0</v>
      </c>
      <c r="L793" s="2208">
        <v>0</v>
      </c>
      <c r="M793" s="2211">
        <v>0</v>
      </c>
      <c r="N793" s="2212">
        <v>0</v>
      </c>
      <c r="O793" s="1118">
        <f t="shared" ref="O793:O856" si="65">IF(N793&gt;M793,N793-M793,0)</f>
        <v>0</v>
      </c>
      <c r="P793" s="2213">
        <f t="shared" si="64"/>
        <v>0</v>
      </c>
    </row>
    <row r="794" spans="1:16" ht="14.5">
      <c r="A794" s="2042" t="s">
        <v>3126</v>
      </c>
      <c r="B794" s="380" t="str">
        <f t="shared" si="61"/>
        <v>161-912</v>
      </c>
      <c r="C794" s="2042" t="s">
        <v>1643</v>
      </c>
      <c r="D794" s="2043">
        <v>599</v>
      </c>
      <c r="E794" s="2043">
        <v>648</v>
      </c>
      <c r="F794" s="2043">
        <f t="shared" si="62"/>
        <v>49</v>
      </c>
      <c r="G794" s="2043">
        <f t="shared" si="63"/>
        <v>0</v>
      </c>
      <c r="H794" s="2208">
        <v>0</v>
      </c>
      <c r="I794" s="2209">
        <v>0</v>
      </c>
      <c r="J794" s="2210">
        <v>0</v>
      </c>
      <c r="K794" s="2208">
        <v>0</v>
      </c>
      <c r="L794" s="2208">
        <v>0</v>
      </c>
      <c r="M794" s="2211">
        <v>0</v>
      </c>
      <c r="N794" s="2212">
        <v>148841</v>
      </c>
      <c r="O794" s="1118">
        <f t="shared" si="65"/>
        <v>148841</v>
      </c>
      <c r="P794" s="2213">
        <f t="shared" si="64"/>
        <v>40075.214243909584</v>
      </c>
    </row>
    <row r="795" spans="1:16" ht="14.5">
      <c r="A795" s="2042" t="s">
        <v>3230</v>
      </c>
      <c r="B795" s="380" t="str">
        <f t="shared" si="61"/>
        <v>230-903</v>
      </c>
      <c r="C795" s="2042" t="s">
        <v>962</v>
      </c>
      <c r="D795" s="2043">
        <v>879</v>
      </c>
      <c r="E795" s="2043">
        <v>928</v>
      </c>
      <c r="F795" s="2043">
        <f t="shared" si="62"/>
        <v>49</v>
      </c>
      <c r="G795" s="2043">
        <f t="shared" si="63"/>
        <v>0</v>
      </c>
      <c r="H795" s="2208">
        <v>0</v>
      </c>
      <c r="I795" s="2209">
        <v>0</v>
      </c>
      <c r="J795" s="2210">
        <v>0</v>
      </c>
      <c r="K795" s="2208">
        <v>0</v>
      </c>
      <c r="L795" s="2208">
        <v>0</v>
      </c>
      <c r="M795" s="2211">
        <v>0</v>
      </c>
      <c r="N795" s="2212">
        <v>220431</v>
      </c>
      <c r="O795" s="1118">
        <f t="shared" si="65"/>
        <v>220431</v>
      </c>
      <c r="P795" s="2213">
        <f t="shared" si="64"/>
        <v>59350.713519791148</v>
      </c>
    </row>
    <row r="796" spans="1:16" ht="14.5">
      <c r="A796" s="2042" t="s">
        <v>3259</v>
      </c>
      <c r="B796" s="380" t="str">
        <f t="shared" si="61"/>
        <v>246-902</v>
      </c>
      <c r="C796" s="2042" t="s">
        <v>100</v>
      </c>
      <c r="D796" s="2043">
        <v>1026</v>
      </c>
      <c r="E796" s="2043">
        <v>1075</v>
      </c>
      <c r="F796" s="2043">
        <f t="shared" si="62"/>
        <v>49</v>
      </c>
      <c r="G796" s="2043">
        <f t="shared" si="63"/>
        <v>0</v>
      </c>
      <c r="H796" s="2208">
        <v>0</v>
      </c>
      <c r="I796" s="2209">
        <v>0</v>
      </c>
      <c r="J796" s="2210">
        <v>0</v>
      </c>
      <c r="K796" s="2208">
        <v>0</v>
      </c>
      <c r="L796" s="2208">
        <v>0</v>
      </c>
      <c r="M796" s="2211">
        <v>0</v>
      </c>
      <c r="N796" s="2212">
        <v>248297</v>
      </c>
      <c r="O796" s="1118">
        <f t="shared" si="65"/>
        <v>248297</v>
      </c>
      <c r="P796" s="2213">
        <f t="shared" si="64"/>
        <v>66853.591894169076</v>
      </c>
    </row>
    <row r="797" spans="1:16" ht="14.5">
      <c r="A797" s="2042" t="s">
        <v>5806</v>
      </c>
      <c r="B797" s="380" t="str">
        <f t="shared" si="61"/>
        <v>093-905</v>
      </c>
      <c r="C797" s="2042" t="s">
        <v>217</v>
      </c>
      <c r="D797" s="2043">
        <v>132</v>
      </c>
      <c r="E797" s="2043">
        <v>182</v>
      </c>
      <c r="F797" s="2043">
        <f t="shared" si="62"/>
        <v>50</v>
      </c>
      <c r="G797" s="2043">
        <f t="shared" si="63"/>
        <v>0</v>
      </c>
      <c r="H797" s="2208">
        <v>0</v>
      </c>
      <c r="I797" s="2209">
        <v>0</v>
      </c>
      <c r="J797" s="2210">
        <v>0</v>
      </c>
      <c r="K797" s="2208">
        <v>0</v>
      </c>
      <c r="L797" s="2208">
        <v>0</v>
      </c>
      <c r="M797" s="2211">
        <v>0</v>
      </c>
      <c r="N797" s="2212">
        <v>40638</v>
      </c>
      <c r="O797" s="1118">
        <f t="shared" si="65"/>
        <v>40638</v>
      </c>
      <c r="P797" s="2213">
        <f t="shared" si="64"/>
        <v>10941.720066675161</v>
      </c>
    </row>
    <row r="798" spans="1:16" ht="14.5">
      <c r="A798" s="2042" t="s">
        <v>3053</v>
      </c>
      <c r="B798" s="380" t="str">
        <f t="shared" si="61"/>
        <v>109-908</v>
      </c>
      <c r="C798" s="2042" t="s">
        <v>2033</v>
      </c>
      <c r="D798" s="2043">
        <v>113</v>
      </c>
      <c r="E798" s="2043">
        <v>165</v>
      </c>
      <c r="F798" s="2043">
        <f t="shared" si="62"/>
        <v>52</v>
      </c>
      <c r="G798" s="2043">
        <f t="shared" si="63"/>
        <v>0</v>
      </c>
      <c r="H798" s="2208">
        <v>0</v>
      </c>
      <c r="I798" s="2209">
        <v>0</v>
      </c>
      <c r="J798" s="2210">
        <v>0</v>
      </c>
      <c r="K798" s="2208">
        <v>0</v>
      </c>
      <c r="L798" s="2208">
        <v>0</v>
      </c>
      <c r="M798" s="2211">
        <v>0</v>
      </c>
      <c r="N798" s="2212">
        <v>36704</v>
      </c>
      <c r="O798" s="1118">
        <f t="shared" si="65"/>
        <v>36704</v>
      </c>
      <c r="P798" s="2213">
        <f t="shared" si="64"/>
        <v>9882.4965137862382</v>
      </c>
    </row>
    <row r="799" spans="1:16" ht="14.5">
      <c r="A799" s="2042" t="s">
        <v>2924</v>
      </c>
      <c r="B799" s="380" t="str">
        <f t="shared" si="61"/>
        <v>036-903</v>
      </c>
      <c r="C799" s="2042" t="s">
        <v>2236</v>
      </c>
      <c r="D799" s="2043">
        <v>1457</v>
      </c>
      <c r="E799" s="2043">
        <v>1509</v>
      </c>
      <c r="F799" s="2043">
        <f t="shared" si="62"/>
        <v>52</v>
      </c>
      <c r="G799" s="2043">
        <f t="shared" si="63"/>
        <v>0</v>
      </c>
      <c r="H799" s="2208">
        <v>0</v>
      </c>
      <c r="I799" s="2209">
        <v>0</v>
      </c>
      <c r="J799" s="2210">
        <v>0</v>
      </c>
      <c r="K799" s="2208">
        <v>0</v>
      </c>
      <c r="L799" s="2208">
        <v>0</v>
      </c>
      <c r="M799" s="2211">
        <v>0</v>
      </c>
      <c r="N799" s="2212">
        <v>0</v>
      </c>
      <c r="O799" s="1118">
        <f t="shared" si="65"/>
        <v>0</v>
      </c>
      <c r="P799" s="2213">
        <f t="shared" si="64"/>
        <v>0</v>
      </c>
    </row>
    <row r="800" spans="1:16" ht="14.5">
      <c r="A800" s="2042" t="s">
        <v>5761</v>
      </c>
      <c r="B800" s="380" t="str">
        <f t="shared" si="61"/>
        <v>028-906</v>
      </c>
      <c r="C800" s="2042" t="s">
        <v>1507</v>
      </c>
      <c r="D800" s="2043">
        <v>169</v>
      </c>
      <c r="E800" s="2043">
        <v>221</v>
      </c>
      <c r="F800" s="2043">
        <f t="shared" si="62"/>
        <v>52</v>
      </c>
      <c r="G800" s="2043">
        <f t="shared" si="63"/>
        <v>0</v>
      </c>
      <c r="H800" s="2208">
        <v>0</v>
      </c>
      <c r="I800" s="2209">
        <v>0</v>
      </c>
      <c r="J800" s="2210">
        <v>0</v>
      </c>
      <c r="K800" s="2208">
        <v>0</v>
      </c>
      <c r="L800" s="2208">
        <v>0</v>
      </c>
      <c r="M800" s="2211">
        <v>0</v>
      </c>
      <c r="N800" s="2212">
        <v>46474</v>
      </c>
      <c r="O800" s="1118">
        <f t="shared" si="65"/>
        <v>46474</v>
      </c>
      <c r="P800" s="2213">
        <f t="shared" si="64"/>
        <v>12513.054244270425</v>
      </c>
    </row>
    <row r="801" spans="1:16" ht="14.5">
      <c r="A801" s="2042" t="s">
        <v>3124</v>
      </c>
      <c r="B801" s="380" t="str">
        <f t="shared" si="61"/>
        <v>161-909</v>
      </c>
      <c r="C801" s="2042" t="s">
        <v>773</v>
      </c>
      <c r="D801" s="2043">
        <v>1425</v>
      </c>
      <c r="E801" s="2043">
        <v>1478</v>
      </c>
      <c r="F801" s="2043">
        <f t="shared" si="62"/>
        <v>53</v>
      </c>
      <c r="G801" s="2043">
        <f t="shared" si="63"/>
        <v>0</v>
      </c>
      <c r="H801" s="2208">
        <v>0</v>
      </c>
      <c r="I801" s="2209">
        <v>0</v>
      </c>
      <c r="J801" s="2210">
        <v>0</v>
      </c>
      <c r="K801" s="2208">
        <v>0</v>
      </c>
      <c r="L801" s="2208">
        <v>0</v>
      </c>
      <c r="M801" s="2211">
        <v>0</v>
      </c>
      <c r="N801" s="2212">
        <v>0</v>
      </c>
      <c r="O801" s="1118">
        <f t="shared" si="65"/>
        <v>0</v>
      </c>
      <c r="P801" s="2213">
        <f t="shared" si="64"/>
        <v>0</v>
      </c>
    </row>
    <row r="802" spans="1:16" ht="14.5">
      <c r="A802" s="2042" t="s">
        <v>5292</v>
      </c>
      <c r="B802" s="380" t="str">
        <f t="shared" si="61"/>
        <v>234-907</v>
      </c>
      <c r="C802" s="2042" t="s">
        <v>1968</v>
      </c>
      <c r="D802" s="2043">
        <v>2412</v>
      </c>
      <c r="E802" s="2043">
        <v>2467</v>
      </c>
      <c r="F802" s="2043">
        <f t="shared" si="62"/>
        <v>55</v>
      </c>
      <c r="G802" s="2043">
        <f t="shared" si="63"/>
        <v>0</v>
      </c>
      <c r="H802" s="2208">
        <v>0</v>
      </c>
      <c r="I802" s="2209">
        <v>0</v>
      </c>
      <c r="J802" s="2210">
        <v>0</v>
      </c>
      <c r="K802" s="2208">
        <v>0</v>
      </c>
      <c r="L802" s="2208">
        <v>0</v>
      </c>
      <c r="M802" s="2211">
        <v>0</v>
      </c>
      <c r="N802" s="2212">
        <v>578536</v>
      </c>
      <c r="O802" s="1118">
        <f t="shared" si="65"/>
        <v>578536</v>
      </c>
      <c r="P802" s="2213">
        <f t="shared" si="64"/>
        <v>155769.94341488217</v>
      </c>
    </row>
    <row r="803" spans="1:16" ht="14.5">
      <c r="A803" s="2042" t="s">
        <v>5165</v>
      </c>
      <c r="B803" s="380" t="str">
        <f t="shared" si="61"/>
        <v>156-902</v>
      </c>
      <c r="C803" s="2042" t="s">
        <v>529</v>
      </c>
      <c r="D803" s="2043">
        <v>999</v>
      </c>
      <c r="E803" s="2043">
        <v>1054</v>
      </c>
      <c r="F803" s="2043">
        <f t="shared" si="62"/>
        <v>55</v>
      </c>
      <c r="G803" s="2043">
        <f t="shared" si="63"/>
        <v>0</v>
      </c>
      <c r="H803" s="2208">
        <v>0</v>
      </c>
      <c r="I803" s="2209">
        <v>0</v>
      </c>
      <c r="J803" s="2210">
        <v>0</v>
      </c>
      <c r="K803" s="2208">
        <v>0</v>
      </c>
      <c r="L803" s="2208">
        <v>0</v>
      </c>
      <c r="M803" s="2211">
        <v>0</v>
      </c>
      <c r="N803" s="2212">
        <v>256281</v>
      </c>
      <c r="O803" s="1118">
        <f t="shared" si="65"/>
        <v>256281</v>
      </c>
      <c r="P803" s="2213">
        <f t="shared" si="64"/>
        <v>69003.271824587267</v>
      </c>
    </row>
    <row r="804" spans="1:16" ht="14.5">
      <c r="A804" s="2042" t="s">
        <v>3057</v>
      </c>
      <c r="B804" s="380" t="str">
        <f t="shared" si="61"/>
        <v>111-902</v>
      </c>
      <c r="C804" s="2042" t="s">
        <v>1475</v>
      </c>
      <c r="D804" s="2043">
        <v>358</v>
      </c>
      <c r="E804" s="2043">
        <v>413</v>
      </c>
      <c r="F804" s="2043">
        <f t="shared" si="62"/>
        <v>55</v>
      </c>
      <c r="G804" s="2043">
        <f t="shared" si="63"/>
        <v>0</v>
      </c>
      <c r="H804" s="2208">
        <v>0</v>
      </c>
      <c r="I804" s="2209">
        <v>0</v>
      </c>
      <c r="J804" s="2210">
        <v>0</v>
      </c>
      <c r="K804" s="2208">
        <v>0</v>
      </c>
      <c r="L804" s="2208">
        <v>0</v>
      </c>
      <c r="M804" s="2211">
        <v>0</v>
      </c>
      <c r="N804" s="2212">
        <v>101167</v>
      </c>
      <c r="O804" s="1118">
        <f t="shared" si="65"/>
        <v>101167</v>
      </c>
      <c r="P804" s="2213">
        <f t="shared" si="64"/>
        <v>27239.061813704564</v>
      </c>
    </row>
    <row r="805" spans="1:16" ht="14.5">
      <c r="A805" s="2042" t="s">
        <v>3055</v>
      </c>
      <c r="B805" s="380" t="str">
        <f t="shared" si="61"/>
        <v>109-912</v>
      </c>
      <c r="C805" s="2042" t="s">
        <v>2281</v>
      </c>
      <c r="D805" s="2043">
        <v>263</v>
      </c>
      <c r="E805" s="2043">
        <v>319</v>
      </c>
      <c r="F805" s="2043">
        <f t="shared" si="62"/>
        <v>56</v>
      </c>
      <c r="G805" s="2043">
        <f t="shared" si="63"/>
        <v>0</v>
      </c>
      <c r="H805" s="2208">
        <v>0</v>
      </c>
      <c r="I805" s="2209">
        <v>0</v>
      </c>
      <c r="J805" s="2210">
        <v>0</v>
      </c>
      <c r="K805" s="2208">
        <v>0</v>
      </c>
      <c r="L805" s="2208">
        <v>0</v>
      </c>
      <c r="M805" s="2211">
        <v>0</v>
      </c>
      <c r="N805" s="2212">
        <v>75971</v>
      </c>
      <c r="O805" s="1118">
        <f t="shared" si="65"/>
        <v>75971</v>
      </c>
      <c r="P805" s="2213">
        <f t="shared" si="64"/>
        <v>20455.076903031124</v>
      </c>
    </row>
    <row r="806" spans="1:16" ht="14.5">
      <c r="A806" s="2042" t="s">
        <v>3241</v>
      </c>
      <c r="B806" s="380" t="str">
        <f t="shared" si="61"/>
        <v>234-909</v>
      </c>
      <c r="C806" s="2042" t="s">
        <v>1390</v>
      </c>
      <c r="D806" s="2043">
        <v>374</v>
      </c>
      <c r="E806" s="2043">
        <v>430</v>
      </c>
      <c r="F806" s="2043">
        <f t="shared" si="62"/>
        <v>56</v>
      </c>
      <c r="G806" s="2043">
        <f t="shared" si="63"/>
        <v>0</v>
      </c>
      <c r="H806" s="2208">
        <v>0</v>
      </c>
      <c r="I806" s="2209">
        <v>0</v>
      </c>
      <c r="J806" s="2210">
        <v>0</v>
      </c>
      <c r="K806" s="2208">
        <v>0</v>
      </c>
      <c r="L806" s="2208">
        <v>0</v>
      </c>
      <c r="M806" s="2211">
        <v>0</v>
      </c>
      <c r="N806" s="2212">
        <v>95463</v>
      </c>
      <c r="O806" s="1118">
        <f t="shared" si="65"/>
        <v>95463</v>
      </c>
      <c r="P806" s="2213">
        <f t="shared" si="64"/>
        <v>25703.26843656211</v>
      </c>
    </row>
    <row r="807" spans="1:16" ht="14.5">
      <c r="A807" s="2042" t="s">
        <v>5103</v>
      </c>
      <c r="B807" s="380" t="str">
        <f t="shared" si="61"/>
        <v>116-905</v>
      </c>
      <c r="C807" s="2042" t="s">
        <v>1488</v>
      </c>
      <c r="D807" s="2043">
        <v>5220</v>
      </c>
      <c r="E807" s="2043">
        <v>5277</v>
      </c>
      <c r="F807" s="2043">
        <f t="shared" si="62"/>
        <v>57</v>
      </c>
      <c r="G807" s="2043">
        <f t="shared" si="63"/>
        <v>0</v>
      </c>
      <c r="H807" s="2208">
        <v>0</v>
      </c>
      <c r="I807" s="2209">
        <v>0</v>
      </c>
      <c r="J807" s="2210">
        <v>0</v>
      </c>
      <c r="K807" s="2208">
        <v>0</v>
      </c>
      <c r="L807" s="2208">
        <v>0</v>
      </c>
      <c r="M807" s="2211">
        <v>0</v>
      </c>
      <c r="N807" s="2212">
        <v>0</v>
      </c>
      <c r="O807" s="1118">
        <f t="shared" si="65"/>
        <v>0</v>
      </c>
      <c r="P807" s="2213">
        <f t="shared" si="64"/>
        <v>0</v>
      </c>
    </row>
    <row r="808" spans="1:16" ht="14.5">
      <c r="A808" s="2042" t="s">
        <v>4954</v>
      </c>
      <c r="B808" s="380" t="str">
        <f t="shared" si="61"/>
        <v>030-906</v>
      </c>
      <c r="C808" s="2042" t="s">
        <v>1511</v>
      </c>
      <c r="D808" s="2043">
        <v>397</v>
      </c>
      <c r="E808" s="2043">
        <v>454</v>
      </c>
      <c r="F808" s="2043">
        <f t="shared" si="62"/>
        <v>57</v>
      </c>
      <c r="G808" s="2043">
        <f t="shared" si="63"/>
        <v>0</v>
      </c>
      <c r="H808" s="2208">
        <v>0</v>
      </c>
      <c r="I808" s="2209">
        <v>0</v>
      </c>
      <c r="J808" s="2210">
        <v>0</v>
      </c>
      <c r="K808" s="2208">
        <v>0</v>
      </c>
      <c r="L808" s="2208">
        <v>0</v>
      </c>
      <c r="M808" s="2211">
        <v>0</v>
      </c>
      <c r="N808" s="2212">
        <v>96576</v>
      </c>
      <c r="O808" s="1118">
        <f t="shared" si="65"/>
        <v>96576</v>
      </c>
      <c r="P808" s="2213">
        <f t="shared" si="64"/>
        <v>26002.942004016448</v>
      </c>
    </row>
    <row r="809" spans="1:16" ht="14.5">
      <c r="A809" s="2042" t="s">
        <v>5785</v>
      </c>
      <c r="B809" s="380" t="str">
        <f t="shared" si="61"/>
        <v>062-906</v>
      </c>
      <c r="C809" s="2042" t="s">
        <v>2479</v>
      </c>
      <c r="D809" s="2043">
        <v>109</v>
      </c>
      <c r="E809" s="2043">
        <v>166</v>
      </c>
      <c r="F809" s="2043">
        <f t="shared" si="62"/>
        <v>57</v>
      </c>
      <c r="G809" s="2043">
        <f t="shared" si="63"/>
        <v>0</v>
      </c>
      <c r="H809" s="2208">
        <v>0</v>
      </c>
      <c r="I809" s="2209">
        <v>0</v>
      </c>
      <c r="J809" s="2210">
        <v>0</v>
      </c>
      <c r="K809" s="2208">
        <v>0</v>
      </c>
      <c r="L809" s="2208">
        <v>0</v>
      </c>
      <c r="M809" s="2211">
        <v>0</v>
      </c>
      <c r="N809" s="2212">
        <v>32566</v>
      </c>
      <c r="O809" s="1118">
        <f t="shared" si="65"/>
        <v>32566</v>
      </c>
      <c r="P809" s="2213">
        <f t="shared" si="64"/>
        <v>8768.3462692884332</v>
      </c>
    </row>
    <row r="810" spans="1:16" ht="14.5">
      <c r="A810" s="2042" t="s">
        <v>4944</v>
      </c>
      <c r="B810" s="380" t="str">
        <f t="shared" si="61"/>
        <v>020-902</v>
      </c>
      <c r="C810" s="2042" t="s">
        <v>2350</v>
      </c>
      <c r="D810" s="2043">
        <v>6806</v>
      </c>
      <c r="E810" s="2043">
        <v>6863</v>
      </c>
      <c r="F810" s="2043">
        <f t="shared" si="62"/>
        <v>57</v>
      </c>
      <c r="G810" s="2043">
        <f t="shared" si="63"/>
        <v>0</v>
      </c>
      <c r="H810" s="2208">
        <v>0</v>
      </c>
      <c r="I810" s="2209">
        <v>0</v>
      </c>
      <c r="J810" s="2210">
        <v>0</v>
      </c>
      <c r="K810" s="2208">
        <v>0</v>
      </c>
      <c r="L810" s="2208">
        <v>0</v>
      </c>
      <c r="M810" s="2211">
        <v>0</v>
      </c>
      <c r="N810" s="2212">
        <v>0</v>
      </c>
      <c r="O810" s="1118">
        <f t="shared" si="65"/>
        <v>0</v>
      </c>
      <c r="P810" s="2213">
        <f t="shared" si="64"/>
        <v>0</v>
      </c>
    </row>
    <row r="811" spans="1:16" ht="14.5">
      <c r="A811" s="2042" t="s">
        <v>3185</v>
      </c>
      <c r="B811" s="380" t="str">
        <f t="shared" si="61"/>
        <v>200-902</v>
      </c>
      <c r="C811" s="2042" t="s">
        <v>2114</v>
      </c>
      <c r="D811" s="2043">
        <v>410</v>
      </c>
      <c r="E811" s="2043">
        <v>468</v>
      </c>
      <c r="F811" s="2043">
        <f t="shared" si="62"/>
        <v>58</v>
      </c>
      <c r="G811" s="2043">
        <f t="shared" si="63"/>
        <v>0</v>
      </c>
      <c r="H811" s="2208">
        <v>0</v>
      </c>
      <c r="I811" s="2209">
        <v>0</v>
      </c>
      <c r="J811" s="2210">
        <v>0</v>
      </c>
      <c r="K811" s="2208">
        <v>0</v>
      </c>
      <c r="L811" s="2208">
        <v>0</v>
      </c>
      <c r="M811" s="2211">
        <v>0</v>
      </c>
      <c r="N811" s="2212">
        <v>0</v>
      </c>
      <c r="O811" s="1118">
        <f t="shared" si="65"/>
        <v>0</v>
      </c>
      <c r="P811" s="2213">
        <f t="shared" si="64"/>
        <v>0</v>
      </c>
    </row>
    <row r="812" spans="1:16" ht="14.5">
      <c r="A812" s="2042" t="s">
        <v>3160</v>
      </c>
      <c r="B812" s="380" t="str">
        <f t="shared" si="61"/>
        <v>177-901</v>
      </c>
      <c r="C812" s="2042" t="s">
        <v>3320</v>
      </c>
      <c r="D812" s="2043">
        <v>622</v>
      </c>
      <c r="E812" s="2043">
        <v>681</v>
      </c>
      <c r="F812" s="2043">
        <f t="shared" si="62"/>
        <v>59</v>
      </c>
      <c r="G812" s="2043">
        <f t="shared" si="63"/>
        <v>0</v>
      </c>
      <c r="H812" s="2208">
        <v>0</v>
      </c>
      <c r="I812" s="2209">
        <v>0</v>
      </c>
      <c r="J812" s="2210">
        <v>0</v>
      </c>
      <c r="K812" s="2208">
        <v>0</v>
      </c>
      <c r="L812" s="2208">
        <v>0</v>
      </c>
      <c r="M812" s="2211">
        <v>0</v>
      </c>
      <c r="N812" s="2212">
        <v>133361</v>
      </c>
      <c r="O812" s="1118">
        <f t="shared" si="65"/>
        <v>133361</v>
      </c>
      <c r="P812" s="2213">
        <f t="shared" si="64"/>
        <v>35907.247645353273</v>
      </c>
    </row>
    <row r="813" spans="1:16" ht="14.5">
      <c r="A813" s="2042" t="s">
        <v>5090</v>
      </c>
      <c r="B813" s="380" t="str">
        <f t="shared" si="61"/>
        <v>107-906</v>
      </c>
      <c r="C813" s="2042" t="s">
        <v>2455</v>
      </c>
      <c r="D813" s="2043">
        <v>1301</v>
      </c>
      <c r="E813" s="2043">
        <v>1361</v>
      </c>
      <c r="F813" s="2043">
        <f t="shared" si="62"/>
        <v>60</v>
      </c>
      <c r="G813" s="2043">
        <f t="shared" si="63"/>
        <v>0</v>
      </c>
      <c r="H813" s="2208">
        <v>0</v>
      </c>
      <c r="I813" s="2209">
        <v>0</v>
      </c>
      <c r="J813" s="2210">
        <v>0</v>
      </c>
      <c r="K813" s="2208">
        <v>0</v>
      </c>
      <c r="L813" s="2208">
        <v>0</v>
      </c>
      <c r="M813" s="2211">
        <v>0</v>
      </c>
      <c r="N813" s="2212">
        <v>0</v>
      </c>
      <c r="O813" s="1118">
        <f t="shared" si="65"/>
        <v>0</v>
      </c>
      <c r="P813" s="2213">
        <f t="shared" si="64"/>
        <v>0</v>
      </c>
    </row>
    <row r="814" spans="1:16" ht="14.5">
      <c r="A814" s="2042" t="s">
        <v>3113</v>
      </c>
      <c r="B814" s="380" t="str">
        <f t="shared" si="61"/>
        <v>152-909</v>
      </c>
      <c r="C814" s="2042" t="s">
        <v>1176</v>
      </c>
      <c r="D814" s="2043">
        <v>1622</v>
      </c>
      <c r="E814" s="2043">
        <v>1682</v>
      </c>
      <c r="F814" s="2043">
        <f t="shared" si="62"/>
        <v>60</v>
      </c>
      <c r="G814" s="2043">
        <f t="shared" si="63"/>
        <v>0</v>
      </c>
      <c r="H814" s="2208">
        <v>0</v>
      </c>
      <c r="I814" s="2209">
        <v>0</v>
      </c>
      <c r="J814" s="2210">
        <v>0</v>
      </c>
      <c r="K814" s="2208">
        <v>0</v>
      </c>
      <c r="L814" s="2208">
        <v>0</v>
      </c>
      <c r="M814" s="2211">
        <v>0</v>
      </c>
      <c r="N814" s="2212">
        <v>0</v>
      </c>
      <c r="O814" s="1118">
        <f t="shared" si="65"/>
        <v>0</v>
      </c>
      <c r="P814" s="2213">
        <f t="shared" si="64"/>
        <v>0</v>
      </c>
    </row>
    <row r="815" spans="1:16" ht="14.5">
      <c r="A815" s="2042" t="s">
        <v>3085</v>
      </c>
      <c r="B815" s="380" t="str">
        <f t="shared" si="61"/>
        <v>126-906</v>
      </c>
      <c r="C815" s="2042" t="s">
        <v>1921</v>
      </c>
      <c r="D815" s="2043">
        <v>1022</v>
      </c>
      <c r="E815" s="2043">
        <v>1082</v>
      </c>
      <c r="F815" s="2043">
        <f t="shared" si="62"/>
        <v>60</v>
      </c>
      <c r="G815" s="2043">
        <f t="shared" si="63"/>
        <v>0</v>
      </c>
      <c r="H815" s="2208">
        <v>0</v>
      </c>
      <c r="I815" s="2209">
        <v>0</v>
      </c>
      <c r="J815" s="2210">
        <v>0</v>
      </c>
      <c r="K815" s="2208">
        <v>0</v>
      </c>
      <c r="L815" s="2208">
        <v>0</v>
      </c>
      <c r="M815" s="2211">
        <v>0</v>
      </c>
      <c r="N815" s="2212">
        <v>0</v>
      </c>
      <c r="O815" s="1118">
        <f t="shared" si="65"/>
        <v>0</v>
      </c>
      <c r="P815" s="2213">
        <f t="shared" si="64"/>
        <v>0</v>
      </c>
    </row>
    <row r="816" spans="1:16" ht="14.5">
      <c r="A816" s="2042" t="s">
        <v>5275</v>
      </c>
      <c r="B816" s="380" t="str">
        <f t="shared" si="61"/>
        <v>223-904</v>
      </c>
      <c r="C816" s="2042" t="s">
        <v>2211</v>
      </c>
      <c r="D816" s="2043">
        <v>247</v>
      </c>
      <c r="E816" s="2043">
        <v>308</v>
      </c>
      <c r="F816" s="2043">
        <f t="shared" si="62"/>
        <v>61</v>
      </c>
      <c r="G816" s="2043">
        <f t="shared" si="63"/>
        <v>0</v>
      </c>
      <c r="H816" s="2208">
        <v>0</v>
      </c>
      <c r="I816" s="2209">
        <v>0</v>
      </c>
      <c r="J816" s="2210">
        <v>0</v>
      </c>
      <c r="K816" s="2208">
        <v>0</v>
      </c>
      <c r="L816" s="2208">
        <v>0</v>
      </c>
      <c r="M816" s="2211">
        <v>0</v>
      </c>
      <c r="N816" s="2212">
        <v>71331</v>
      </c>
      <c r="O816" s="1118">
        <f t="shared" si="65"/>
        <v>71331</v>
      </c>
      <c r="P816" s="2213">
        <f t="shared" si="64"/>
        <v>19205.763917417342</v>
      </c>
    </row>
    <row r="817" spans="1:16" ht="14.5">
      <c r="A817" s="2042" t="s">
        <v>3097</v>
      </c>
      <c r="B817" s="380" t="str">
        <f t="shared" si="61"/>
        <v>129-910</v>
      </c>
      <c r="C817" s="2042" t="s">
        <v>1174</v>
      </c>
      <c r="D817" s="2043">
        <v>1012</v>
      </c>
      <c r="E817" s="2043">
        <v>1073</v>
      </c>
      <c r="F817" s="2043">
        <f t="shared" si="62"/>
        <v>61</v>
      </c>
      <c r="G817" s="2043">
        <f t="shared" si="63"/>
        <v>0</v>
      </c>
      <c r="H817" s="2208">
        <v>0</v>
      </c>
      <c r="I817" s="2209">
        <v>0</v>
      </c>
      <c r="J817" s="2210">
        <v>0</v>
      </c>
      <c r="K817" s="2208">
        <v>0</v>
      </c>
      <c r="L817" s="2208">
        <v>0</v>
      </c>
      <c r="M817" s="2211">
        <v>0</v>
      </c>
      <c r="N817" s="2212">
        <v>255286</v>
      </c>
      <c r="O817" s="1118">
        <f t="shared" si="65"/>
        <v>255286</v>
      </c>
      <c r="P817" s="2213">
        <f t="shared" si="64"/>
        <v>68735.369578749829</v>
      </c>
    </row>
    <row r="818" spans="1:16" ht="14.5">
      <c r="A818" s="2042" t="s">
        <v>5160</v>
      </c>
      <c r="B818" s="380" t="str">
        <f t="shared" si="61"/>
        <v>152-903</v>
      </c>
      <c r="C818" s="2042" t="s">
        <v>520</v>
      </c>
      <c r="D818" s="2043">
        <v>1264</v>
      </c>
      <c r="E818" s="2043">
        <v>1326</v>
      </c>
      <c r="F818" s="2043">
        <f t="shared" si="62"/>
        <v>62</v>
      </c>
      <c r="G818" s="2043">
        <f t="shared" si="63"/>
        <v>0</v>
      </c>
      <c r="H818" s="2208">
        <v>0</v>
      </c>
      <c r="I818" s="2209">
        <v>0</v>
      </c>
      <c r="J818" s="2210">
        <v>0</v>
      </c>
      <c r="K818" s="2208">
        <v>0</v>
      </c>
      <c r="L818" s="2208">
        <v>0</v>
      </c>
      <c r="M818" s="2211">
        <v>0</v>
      </c>
      <c r="N818" s="2212">
        <v>301265</v>
      </c>
      <c r="O818" s="1118">
        <f t="shared" si="65"/>
        <v>301265</v>
      </c>
      <c r="P818" s="2213">
        <f t="shared" si="64"/>
        <v>81115.145821322221</v>
      </c>
    </row>
    <row r="819" spans="1:16" ht="14.5">
      <c r="A819" s="2042" t="s">
        <v>5149</v>
      </c>
      <c r="B819" s="380" t="str">
        <f t="shared" si="61"/>
        <v>146-906</v>
      </c>
      <c r="C819" s="2042" t="s">
        <v>508</v>
      </c>
      <c r="D819" s="2043">
        <v>2165</v>
      </c>
      <c r="E819" s="2043">
        <v>2227</v>
      </c>
      <c r="F819" s="2043">
        <f t="shared" si="62"/>
        <v>62</v>
      </c>
      <c r="G819" s="2043">
        <f t="shared" si="63"/>
        <v>0</v>
      </c>
      <c r="H819" s="2208">
        <v>0</v>
      </c>
      <c r="I819" s="2209">
        <v>0</v>
      </c>
      <c r="J819" s="2210">
        <v>0</v>
      </c>
      <c r="K819" s="2208">
        <v>0</v>
      </c>
      <c r="L819" s="2208">
        <v>0</v>
      </c>
      <c r="M819" s="2211">
        <v>0</v>
      </c>
      <c r="N819" s="2212">
        <v>507362</v>
      </c>
      <c r="O819" s="1118">
        <f t="shared" si="65"/>
        <v>507362</v>
      </c>
      <c r="P819" s="2213">
        <f t="shared" si="64"/>
        <v>136606.45151012461</v>
      </c>
    </row>
    <row r="820" spans="1:16" ht="14.5">
      <c r="A820" s="2042" t="s">
        <v>2945</v>
      </c>
      <c r="B820" s="380" t="str">
        <f t="shared" si="61"/>
        <v>047-902</v>
      </c>
      <c r="C820" s="2042" t="s">
        <v>2518</v>
      </c>
      <c r="D820" s="2043">
        <v>672</v>
      </c>
      <c r="E820" s="2043">
        <v>739</v>
      </c>
      <c r="F820" s="2043">
        <f t="shared" si="62"/>
        <v>67</v>
      </c>
      <c r="G820" s="2043">
        <f t="shared" si="63"/>
        <v>0</v>
      </c>
      <c r="H820" s="2208">
        <v>0</v>
      </c>
      <c r="I820" s="2209">
        <v>0</v>
      </c>
      <c r="J820" s="2210">
        <v>0</v>
      </c>
      <c r="K820" s="2208">
        <v>0</v>
      </c>
      <c r="L820" s="2208">
        <v>0</v>
      </c>
      <c r="M820" s="2211">
        <v>0</v>
      </c>
      <c r="N820" s="2212">
        <v>169918</v>
      </c>
      <c r="O820" s="1118">
        <f t="shared" si="65"/>
        <v>169918</v>
      </c>
      <c r="P820" s="2213">
        <f t="shared" si="64"/>
        <v>45750.164631362524</v>
      </c>
    </row>
    <row r="821" spans="1:16" ht="14.5">
      <c r="A821" s="2042" t="s">
        <v>5240</v>
      </c>
      <c r="B821" s="380" t="str">
        <f t="shared" si="61"/>
        <v>198-903</v>
      </c>
      <c r="C821" s="2042" t="s">
        <v>1538</v>
      </c>
      <c r="D821" s="2043">
        <v>1190</v>
      </c>
      <c r="E821" s="2043">
        <v>1257</v>
      </c>
      <c r="F821" s="2043">
        <f t="shared" si="62"/>
        <v>67</v>
      </c>
      <c r="G821" s="2043">
        <f t="shared" si="63"/>
        <v>0</v>
      </c>
      <c r="H821" s="2208">
        <v>0</v>
      </c>
      <c r="I821" s="2209">
        <v>0</v>
      </c>
      <c r="J821" s="2210">
        <v>0</v>
      </c>
      <c r="K821" s="2208">
        <v>0</v>
      </c>
      <c r="L821" s="2208">
        <v>0</v>
      </c>
      <c r="M821" s="2211">
        <v>0</v>
      </c>
      <c r="N821" s="2212">
        <v>280148</v>
      </c>
      <c r="O821" s="1118">
        <f t="shared" si="65"/>
        <v>280148</v>
      </c>
      <c r="P821" s="2213">
        <f t="shared" si="64"/>
        <v>75429.425494338138</v>
      </c>
    </row>
    <row r="822" spans="1:16" ht="14.5">
      <c r="A822" s="2042" t="s">
        <v>5847</v>
      </c>
      <c r="B822" s="380" t="str">
        <f t="shared" si="61"/>
        <v>158-906</v>
      </c>
      <c r="C822" s="2042" t="s">
        <v>1651</v>
      </c>
      <c r="D822" s="2043">
        <v>989</v>
      </c>
      <c r="E822" s="2043">
        <v>1056</v>
      </c>
      <c r="F822" s="2043">
        <f t="shared" si="62"/>
        <v>67</v>
      </c>
      <c r="G822" s="2043">
        <f t="shared" si="63"/>
        <v>0</v>
      </c>
      <c r="H822" s="2208">
        <v>0</v>
      </c>
      <c r="I822" s="2209">
        <v>0</v>
      </c>
      <c r="J822" s="2210">
        <v>0</v>
      </c>
      <c r="K822" s="2208">
        <v>0</v>
      </c>
      <c r="L822" s="2208">
        <v>0</v>
      </c>
      <c r="M822" s="2211">
        <v>0</v>
      </c>
      <c r="N822" s="2212">
        <v>0</v>
      </c>
      <c r="O822" s="1118">
        <f t="shared" si="65"/>
        <v>0</v>
      </c>
      <c r="P822" s="2213">
        <f t="shared" si="64"/>
        <v>0</v>
      </c>
    </row>
    <row r="823" spans="1:16" ht="14.5">
      <c r="A823" s="2042" t="s">
        <v>5183</v>
      </c>
      <c r="B823" s="380" t="str">
        <f t="shared" si="61"/>
        <v>169-911</v>
      </c>
      <c r="C823" s="2042" t="s">
        <v>2125</v>
      </c>
      <c r="D823" s="2043">
        <v>252</v>
      </c>
      <c r="E823" s="2043">
        <v>319</v>
      </c>
      <c r="F823" s="2043">
        <f t="shared" si="62"/>
        <v>67</v>
      </c>
      <c r="G823" s="2043">
        <f t="shared" si="63"/>
        <v>0</v>
      </c>
      <c r="H823" s="2208">
        <v>0</v>
      </c>
      <c r="I823" s="2209">
        <v>0</v>
      </c>
      <c r="J823" s="2210">
        <v>0</v>
      </c>
      <c r="K823" s="2208">
        <v>0</v>
      </c>
      <c r="L823" s="2208">
        <v>0</v>
      </c>
      <c r="M823" s="2211">
        <v>0</v>
      </c>
      <c r="N823" s="2212">
        <v>71338</v>
      </c>
      <c r="O823" s="1118">
        <f t="shared" si="65"/>
        <v>71338</v>
      </c>
      <c r="P823" s="2213">
        <f t="shared" si="64"/>
        <v>19207.648656835296</v>
      </c>
    </row>
    <row r="824" spans="1:16" ht="14.5">
      <c r="A824" s="2042" t="s">
        <v>3133</v>
      </c>
      <c r="B824" s="380" t="str">
        <f t="shared" si="61"/>
        <v>161-923</v>
      </c>
      <c r="C824" s="2042" t="s">
        <v>1272</v>
      </c>
      <c r="D824" s="2043">
        <v>661</v>
      </c>
      <c r="E824" s="2043">
        <v>729</v>
      </c>
      <c r="F824" s="2043">
        <f t="shared" si="62"/>
        <v>68</v>
      </c>
      <c r="G824" s="2043">
        <f t="shared" si="63"/>
        <v>0</v>
      </c>
      <c r="H824" s="2208">
        <v>0</v>
      </c>
      <c r="I824" s="2209">
        <v>0</v>
      </c>
      <c r="J824" s="2210">
        <v>0</v>
      </c>
      <c r="K824" s="2208">
        <v>0</v>
      </c>
      <c r="L824" s="2208">
        <v>0</v>
      </c>
      <c r="M824" s="2211">
        <v>0</v>
      </c>
      <c r="N824" s="2212">
        <v>0</v>
      </c>
      <c r="O824" s="1118">
        <f t="shared" si="65"/>
        <v>0</v>
      </c>
      <c r="P824" s="2213">
        <f t="shared" si="64"/>
        <v>0</v>
      </c>
    </row>
    <row r="825" spans="1:16" ht="14.5">
      <c r="A825" s="2042" t="s">
        <v>3060</v>
      </c>
      <c r="B825" s="380" t="str">
        <f t="shared" si="61"/>
        <v>112-905</v>
      </c>
      <c r="C825" s="2042" t="s">
        <v>400</v>
      </c>
      <c r="D825" s="2043">
        <v>352</v>
      </c>
      <c r="E825" s="2043">
        <v>420</v>
      </c>
      <c r="F825" s="2043">
        <f t="shared" si="62"/>
        <v>68</v>
      </c>
      <c r="G825" s="2043">
        <f t="shared" si="63"/>
        <v>0</v>
      </c>
      <c r="H825" s="2208">
        <v>0</v>
      </c>
      <c r="I825" s="2209">
        <v>0</v>
      </c>
      <c r="J825" s="2210">
        <v>0</v>
      </c>
      <c r="K825" s="2208">
        <v>0</v>
      </c>
      <c r="L825" s="2208">
        <v>0</v>
      </c>
      <c r="M825" s="2211">
        <v>0</v>
      </c>
      <c r="N825" s="2212">
        <v>0</v>
      </c>
      <c r="O825" s="1118">
        <f t="shared" si="65"/>
        <v>0</v>
      </c>
      <c r="P825" s="2213">
        <f t="shared" si="64"/>
        <v>0</v>
      </c>
    </row>
    <row r="826" spans="1:16" ht="14.5">
      <c r="A826" s="2042" t="s">
        <v>3186</v>
      </c>
      <c r="B826" s="380" t="str">
        <f t="shared" si="61"/>
        <v>200-906</v>
      </c>
      <c r="C826" s="2042" t="s">
        <v>248</v>
      </c>
      <c r="D826" s="2043">
        <v>72</v>
      </c>
      <c r="E826" s="2043">
        <v>142</v>
      </c>
      <c r="F826" s="2043">
        <f t="shared" si="62"/>
        <v>70</v>
      </c>
      <c r="G826" s="2043">
        <f t="shared" si="63"/>
        <v>0</v>
      </c>
      <c r="H826" s="2208">
        <v>0</v>
      </c>
      <c r="I826" s="2209">
        <v>0</v>
      </c>
      <c r="J826" s="2210">
        <v>0</v>
      </c>
      <c r="K826" s="2208">
        <v>0</v>
      </c>
      <c r="L826" s="2208">
        <v>0</v>
      </c>
      <c r="M826" s="2211">
        <v>0</v>
      </c>
      <c r="N826" s="2212">
        <v>28842</v>
      </c>
      <c r="O826" s="1118">
        <f t="shared" si="65"/>
        <v>28842</v>
      </c>
      <c r="P826" s="2213">
        <f t="shared" si="64"/>
        <v>7765.6648989380637</v>
      </c>
    </row>
    <row r="827" spans="1:16" ht="14.5">
      <c r="A827" s="2042" t="s">
        <v>5169</v>
      </c>
      <c r="B827" s="380" t="str">
        <f t="shared" si="61"/>
        <v>158-902</v>
      </c>
      <c r="C827" s="2042" t="s">
        <v>1648</v>
      </c>
      <c r="D827" s="2043">
        <v>884</v>
      </c>
      <c r="E827" s="2043">
        <v>955</v>
      </c>
      <c r="F827" s="2043">
        <f t="shared" si="62"/>
        <v>71</v>
      </c>
      <c r="G827" s="2043">
        <f t="shared" si="63"/>
        <v>0</v>
      </c>
      <c r="H827" s="2208">
        <v>0</v>
      </c>
      <c r="I827" s="2209">
        <v>0</v>
      </c>
      <c r="J827" s="2210">
        <v>0</v>
      </c>
      <c r="K827" s="2208">
        <v>0</v>
      </c>
      <c r="L827" s="2208">
        <v>0</v>
      </c>
      <c r="M827" s="2211">
        <v>0</v>
      </c>
      <c r="N827" s="2212">
        <v>225003</v>
      </c>
      <c r="O827" s="1118">
        <f t="shared" si="65"/>
        <v>225003</v>
      </c>
      <c r="P827" s="2213">
        <f t="shared" si="64"/>
        <v>60581.717608201965</v>
      </c>
    </row>
    <row r="828" spans="1:16" ht="14.5">
      <c r="A828" s="2042" t="s">
        <v>3011</v>
      </c>
      <c r="B828" s="380" t="str">
        <f t="shared" si="61"/>
        <v>093-903</v>
      </c>
      <c r="C828" s="2042" t="s">
        <v>215</v>
      </c>
      <c r="D828" s="2043">
        <v>464</v>
      </c>
      <c r="E828" s="2043">
        <v>535</v>
      </c>
      <c r="F828" s="2043">
        <f t="shared" si="62"/>
        <v>71</v>
      </c>
      <c r="G828" s="2043">
        <f t="shared" si="63"/>
        <v>0</v>
      </c>
      <c r="H828" s="2208">
        <v>0</v>
      </c>
      <c r="I828" s="2209">
        <v>0</v>
      </c>
      <c r="J828" s="2210">
        <v>0</v>
      </c>
      <c r="K828" s="2208">
        <v>0</v>
      </c>
      <c r="L828" s="2208">
        <v>0</v>
      </c>
      <c r="M828" s="2211">
        <v>0</v>
      </c>
      <c r="N828" s="2212">
        <v>123165</v>
      </c>
      <c r="O828" s="1118">
        <f t="shared" si="65"/>
        <v>123165</v>
      </c>
      <c r="P828" s="2213">
        <f t="shared" si="64"/>
        <v>33161.990058862306</v>
      </c>
    </row>
    <row r="829" spans="1:16" ht="14.5">
      <c r="A829" s="2042" t="s">
        <v>5052</v>
      </c>
      <c r="B829" s="380" t="str">
        <f t="shared" si="61"/>
        <v>092-906</v>
      </c>
      <c r="C829" s="2042" t="s">
        <v>212</v>
      </c>
      <c r="D829" s="2043">
        <v>1447</v>
      </c>
      <c r="E829" s="2043">
        <v>1521</v>
      </c>
      <c r="F829" s="2043">
        <f t="shared" si="62"/>
        <v>74</v>
      </c>
      <c r="G829" s="2043">
        <f t="shared" si="63"/>
        <v>0</v>
      </c>
      <c r="H829" s="2208">
        <v>0</v>
      </c>
      <c r="I829" s="2209">
        <v>0</v>
      </c>
      <c r="J829" s="2210">
        <v>0</v>
      </c>
      <c r="K829" s="2208">
        <v>0</v>
      </c>
      <c r="L829" s="2208">
        <v>0</v>
      </c>
      <c r="M829" s="2211">
        <v>0</v>
      </c>
      <c r="N829" s="2212">
        <v>0</v>
      </c>
      <c r="O829" s="1118">
        <f t="shared" si="65"/>
        <v>0</v>
      </c>
      <c r="P829" s="2213">
        <f t="shared" si="64"/>
        <v>0</v>
      </c>
    </row>
    <row r="830" spans="1:16" ht="14.5">
      <c r="A830" s="2042" t="s">
        <v>5134</v>
      </c>
      <c r="B830" s="380" t="str">
        <f t="shared" si="61"/>
        <v>137-904</v>
      </c>
      <c r="C830" s="2042" t="s">
        <v>1939</v>
      </c>
      <c r="D830" s="2043">
        <v>704</v>
      </c>
      <c r="E830" s="2043">
        <v>779</v>
      </c>
      <c r="F830" s="2043">
        <f t="shared" si="62"/>
        <v>75</v>
      </c>
      <c r="G830" s="2043">
        <f t="shared" si="63"/>
        <v>0</v>
      </c>
      <c r="H830" s="2208">
        <v>0</v>
      </c>
      <c r="I830" s="2209">
        <v>0</v>
      </c>
      <c r="J830" s="2210">
        <v>0</v>
      </c>
      <c r="K830" s="2208">
        <v>0</v>
      </c>
      <c r="L830" s="2208">
        <v>0</v>
      </c>
      <c r="M830" s="2211">
        <v>0</v>
      </c>
      <c r="N830" s="2212">
        <v>183676</v>
      </c>
      <c r="O830" s="1118">
        <f t="shared" si="65"/>
        <v>183676</v>
      </c>
      <c r="P830" s="2213">
        <f t="shared" si="64"/>
        <v>49454.48533310269</v>
      </c>
    </row>
    <row r="831" spans="1:16" ht="14.5">
      <c r="A831" s="2042" t="s">
        <v>3273</v>
      </c>
      <c r="B831" s="380" t="str">
        <f t="shared" si="61"/>
        <v>249-908</v>
      </c>
      <c r="C831" s="2042" t="s">
        <v>1820</v>
      </c>
      <c r="D831" s="2043">
        <v>269</v>
      </c>
      <c r="E831" s="2043">
        <v>344</v>
      </c>
      <c r="F831" s="2043">
        <f t="shared" si="62"/>
        <v>75</v>
      </c>
      <c r="G831" s="2043">
        <f t="shared" si="63"/>
        <v>0</v>
      </c>
      <c r="H831" s="2208">
        <v>0</v>
      </c>
      <c r="I831" s="2209">
        <v>0</v>
      </c>
      <c r="J831" s="2210">
        <v>0</v>
      </c>
      <c r="K831" s="2208">
        <v>0</v>
      </c>
      <c r="L831" s="2208">
        <v>0</v>
      </c>
      <c r="M831" s="2211">
        <v>0</v>
      </c>
      <c r="N831" s="2212">
        <v>71412</v>
      </c>
      <c r="O831" s="1118">
        <f t="shared" si="65"/>
        <v>71412</v>
      </c>
      <c r="P831" s="2213">
        <f t="shared" si="64"/>
        <v>19227.573044967929</v>
      </c>
    </row>
    <row r="832" spans="1:16" ht="14.5">
      <c r="A832" s="2042" t="s">
        <v>4952</v>
      </c>
      <c r="B832" s="380" t="str">
        <f t="shared" si="61"/>
        <v>026-902</v>
      </c>
      <c r="C832" s="2042" t="s">
        <v>1505</v>
      </c>
      <c r="D832" s="2043">
        <v>442</v>
      </c>
      <c r="E832" s="2043">
        <v>518</v>
      </c>
      <c r="F832" s="2043">
        <f t="shared" si="62"/>
        <v>76</v>
      </c>
      <c r="G832" s="2043">
        <f t="shared" si="63"/>
        <v>0</v>
      </c>
      <c r="H832" s="2208">
        <v>0</v>
      </c>
      <c r="I832" s="2209">
        <v>0</v>
      </c>
      <c r="J832" s="2210">
        <v>0</v>
      </c>
      <c r="K832" s="2208">
        <v>0</v>
      </c>
      <c r="L832" s="2208">
        <v>0</v>
      </c>
      <c r="M832" s="2211">
        <v>0</v>
      </c>
      <c r="N832" s="2212">
        <v>123033</v>
      </c>
      <c r="O832" s="1118">
        <f t="shared" si="65"/>
        <v>123033</v>
      </c>
      <c r="P832" s="2213">
        <f t="shared" si="64"/>
        <v>33126.449258409499</v>
      </c>
    </row>
    <row r="833" spans="1:16" ht="14.5">
      <c r="A833" s="2042" t="s">
        <v>3077</v>
      </c>
      <c r="B833" s="380" t="str">
        <f t="shared" si="61"/>
        <v>123-914</v>
      </c>
      <c r="C833" s="2042" t="s">
        <v>1638</v>
      </c>
      <c r="D833" s="2043">
        <v>1819</v>
      </c>
      <c r="E833" s="2043">
        <v>1897</v>
      </c>
      <c r="F833" s="2043">
        <f t="shared" si="62"/>
        <v>78</v>
      </c>
      <c r="G833" s="2043">
        <f t="shared" si="63"/>
        <v>0</v>
      </c>
      <c r="H833" s="2208">
        <v>0</v>
      </c>
      <c r="I833" s="2209">
        <v>0</v>
      </c>
      <c r="J833" s="2210">
        <v>0</v>
      </c>
      <c r="K833" s="2208">
        <v>0</v>
      </c>
      <c r="L833" s="2208">
        <v>0</v>
      </c>
      <c r="M833" s="2211">
        <v>0</v>
      </c>
      <c r="N833" s="2212">
        <v>449419</v>
      </c>
      <c r="O833" s="1118">
        <f t="shared" si="65"/>
        <v>449419</v>
      </c>
      <c r="P833" s="2213">
        <f t="shared" si="64"/>
        <v>121005.38635378426</v>
      </c>
    </row>
    <row r="834" spans="1:16" ht="14.5">
      <c r="A834" s="2042" t="s">
        <v>3272</v>
      </c>
      <c r="B834" s="380" t="str">
        <f t="shared" si="61"/>
        <v>249-906</v>
      </c>
      <c r="C834" s="2042" t="s">
        <v>1289</v>
      </c>
      <c r="D834" s="2043">
        <v>1138</v>
      </c>
      <c r="E834" s="2043">
        <v>1216</v>
      </c>
      <c r="F834" s="2043">
        <f t="shared" si="62"/>
        <v>78</v>
      </c>
      <c r="G834" s="2043">
        <f t="shared" si="63"/>
        <v>0</v>
      </c>
      <c r="H834" s="2208">
        <v>0</v>
      </c>
      <c r="I834" s="2209">
        <v>0</v>
      </c>
      <c r="J834" s="2210">
        <v>0</v>
      </c>
      <c r="K834" s="2208">
        <v>0</v>
      </c>
      <c r="L834" s="2208">
        <v>0</v>
      </c>
      <c r="M834" s="2211">
        <v>0</v>
      </c>
      <c r="N834" s="2212">
        <v>287504</v>
      </c>
      <c r="O834" s="1118">
        <f t="shared" si="65"/>
        <v>287504</v>
      </c>
      <c r="P834" s="2213">
        <f t="shared" si="64"/>
        <v>77410.017374117218</v>
      </c>
    </row>
    <row r="835" spans="1:16" ht="14.5">
      <c r="A835" s="2042" t="s">
        <v>5277</v>
      </c>
      <c r="B835" s="380" t="str">
        <f t="shared" ref="B835:B898" si="66">CONCATENATE(LEFT(RIGHT(CONCATENATE("000",A835),6),3),"-",(RIGHT(RIGHT(CONCATENATE("000",A835),6),3)))</f>
        <v>226-901</v>
      </c>
      <c r="C835" s="2042" t="s">
        <v>1799</v>
      </c>
      <c r="D835" s="2043">
        <v>488</v>
      </c>
      <c r="E835" s="2043">
        <v>566</v>
      </c>
      <c r="F835" s="2043">
        <f t="shared" ref="F835:F898" si="67">MAX(0,E835-D835)</f>
        <v>78</v>
      </c>
      <c r="G835" s="2043">
        <f t="shared" ref="G835:G898" si="68">MAX(0,F835-250)</f>
        <v>0</v>
      </c>
      <c r="H835" s="2208">
        <v>0</v>
      </c>
      <c r="I835" s="2209">
        <v>0</v>
      </c>
      <c r="J835" s="2210">
        <v>0</v>
      </c>
      <c r="K835" s="2208">
        <v>0</v>
      </c>
      <c r="L835" s="2208">
        <v>0</v>
      </c>
      <c r="M835" s="2211">
        <v>0</v>
      </c>
      <c r="N835" s="2212">
        <v>124671</v>
      </c>
      <c r="O835" s="1118">
        <f t="shared" si="65"/>
        <v>124671</v>
      </c>
      <c r="P835" s="2213">
        <f t="shared" ref="P835:P898" si="69">(40000000/$O$1022)*O835</f>
        <v>33567.478282210228</v>
      </c>
    </row>
    <row r="836" spans="1:16" ht="14.5">
      <c r="A836" s="2042" t="s">
        <v>5795</v>
      </c>
      <c r="B836" s="380" t="str">
        <f t="shared" si="66"/>
        <v>072-908</v>
      </c>
      <c r="C836" s="2042" t="s">
        <v>1870</v>
      </c>
      <c r="D836" s="2043">
        <v>206</v>
      </c>
      <c r="E836" s="2043">
        <v>284</v>
      </c>
      <c r="F836" s="2043">
        <f t="shared" si="67"/>
        <v>78</v>
      </c>
      <c r="G836" s="2043">
        <f t="shared" si="68"/>
        <v>0</v>
      </c>
      <c r="H836" s="2208">
        <v>0</v>
      </c>
      <c r="I836" s="2209">
        <v>0</v>
      </c>
      <c r="J836" s="2210">
        <v>0</v>
      </c>
      <c r="K836" s="2208">
        <v>0</v>
      </c>
      <c r="L836" s="2208">
        <v>0</v>
      </c>
      <c r="M836" s="2211">
        <v>0</v>
      </c>
      <c r="N836" s="2212">
        <v>55777</v>
      </c>
      <c r="O836" s="1118">
        <f t="shared" si="65"/>
        <v>55777</v>
      </c>
      <c r="P836" s="2213">
        <f t="shared" si="69"/>
        <v>15017.872930728396</v>
      </c>
    </row>
    <row r="837" spans="1:16" ht="14.5">
      <c r="A837" s="2042" t="s">
        <v>5296</v>
      </c>
      <c r="B837" s="380" t="str">
        <f t="shared" si="66"/>
        <v>239-903</v>
      </c>
      <c r="C837" s="2042" t="s">
        <v>1147</v>
      </c>
      <c r="D837" s="2043">
        <v>401</v>
      </c>
      <c r="E837" s="2043">
        <v>481</v>
      </c>
      <c r="F837" s="2043">
        <f t="shared" si="67"/>
        <v>80</v>
      </c>
      <c r="G837" s="2043">
        <f t="shared" si="68"/>
        <v>0</v>
      </c>
      <c r="H837" s="2208">
        <v>0</v>
      </c>
      <c r="I837" s="2209">
        <v>0</v>
      </c>
      <c r="J837" s="2210">
        <v>0</v>
      </c>
      <c r="K837" s="2208">
        <v>0</v>
      </c>
      <c r="L837" s="2208">
        <v>0</v>
      </c>
      <c r="M837" s="2211">
        <v>0</v>
      </c>
      <c r="N837" s="2212">
        <v>0</v>
      </c>
      <c r="O837" s="1118">
        <f t="shared" si="65"/>
        <v>0</v>
      </c>
      <c r="P837" s="2213">
        <f t="shared" si="69"/>
        <v>0</v>
      </c>
    </row>
    <row r="838" spans="1:16" ht="14.5">
      <c r="A838" s="2042" t="s">
        <v>2976</v>
      </c>
      <c r="B838" s="380" t="str">
        <f t="shared" si="66"/>
        <v>070-910</v>
      </c>
      <c r="C838" s="2042" t="s">
        <v>1287</v>
      </c>
      <c r="D838" s="2043">
        <v>1164</v>
      </c>
      <c r="E838" s="2043">
        <v>1246</v>
      </c>
      <c r="F838" s="2043">
        <f t="shared" si="67"/>
        <v>82</v>
      </c>
      <c r="G838" s="2043">
        <f t="shared" si="68"/>
        <v>0</v>
      </c>
      <c r="H838" s="2208">
        <v>0</v>
      </c>
      <c r="I838" s="2209">
        <v>0</v>
      </c>
      <c r="J838" s="2210">
        <v>0</v>
      </c>
      <c r="K838" s="2208">
        <v>0</v>
      </c>
      <c r="L838" s="2208">
        <v>0</v>
      </c>
      <c r="M838" s="2211">
        <v>0</v>
      </c>
      <c r="N838" s="2212">
        <v>292603</v>
      </c>
      <c r="O838" s="1118">
        <f t="shared" si="65"/>
        <v>292603</v>
      </c>
      <c r="P838" s="2213">
        <f t="shared" si="69"/>
        <v>78782.915415850992</v>
      </c>
    </row>
    <row r="839" spans="1:16" ht="14.5">
      <c r="A839" s="2042" t="s">
        <v>5028</v>
      </c>
      <c r="B839" s="380" t="str">
        <f t="shared" si="66"/>
        <v>083-903</v>
      </c>
      <c r="C839" s="2042" t="s">
        <v>499</v>
      </c>
      <c r="D839" s="2043">
        <v>2845</v>
      </c>
      <c r="E839" s="2043">
        <v>2928</v>
      </c>
      <c r="F839" s="2043">
        <f t="shared" si="67"/>
        <v>83</v>
      </c>
      <c r="G839" s="2043">
        <f t="shared" si="68"/>
        <v>0</v>
      </c>
      <c r="H839" s="2208">
        <v>0</v>
      </c>
      <c r="I839" s="2209">
        <v>0</v>
      </c>
      <c r="J839" s="2210">
        <v>0</v>
      </c>
      <c r="K839" s="2208">
        <v>0</v>
      </c>
      <c r="L839" s="2208">
        <v>0</v>
      </c>
      <c r="M839" s="2211">
        <v>0</v>
      </c>
      <c r="N839" s="2212">
        <v>689523</v>
      </c>
      <c r="O839" s="1118">
        <f t="shared" si="65"/>
        <v>689523</v>
      </c>
      <c r="P839" s="2213">
        <f t="shared" si="69"/>
        <v>185653.02538348487</v>
      </c>
    </row>
    <row r="840" spans="1:16" ht="14.5">
      <c r="A840" s="2042" t="s">
        <v>7351</v>
      </c>
      <c r="B840" s="380" t="str">
        <f t="shared" si="66"/>
        <v>015-906</v>
      </c>
      <c r="C840" s="2042" t="s">
        <v>968</v>
      </c>
      <c r="D840" s="2043">
        <v>1358</v>
      </c>
      <c r="E840" s="2043">
        <v>1441</v>
      </c>
      <c r="F840" s="2043">
        <f t="shared" si="67"/>
        <v>83</v>
      </c>
      <c r="G840" s="2043">
        <f t="shared" si="68"/>
        <v>0</v>
      </c>
      <c r="H840" s="2208">
        <v>0</v>
      </c>
      <c r="I840" s="2209">
        <v>0</v>
      </c>
      <c r="J840" s="2210">
        <v>0</v>
      </c>
      <c r="K840" s="2208">
        <v>0</v>
      </c>
      <c r="L840" s="2208">
        <v>0</v>
      </c>
      <c r="M840" s="2211">
        <v>0</v>
      </c>
      <c r="N840" s="2212">
        <v>0</v>
      </c>
      <c r="O840" s="1118">
        <f t="shared" si="65"/>
        <v>0</v>
      </c>
      <c r="P840" s="2213">
        <f t="shared" si="69"/>
        <v>0</v>
      </c>
    </row>
    <row r="841" spans="1:16" ht="14.5">
      <c r="A841" s="2042" t="s">
        <v>4943</v>
      </c>
      <c r="B841" s="380" t="str">
        <f t="shared" si="66"/>
        <v>019-912</v>
      </c>
      <c r="C841" s="2042" t="s">
        <v>2348</v>
      </c>
      <c r="D841" s="2043">
        <v>2150</v>
      </c>
      <c r="E841" s="2043">
        <v>2233</v>
      </c>
      <c r="F841" s="2043">
        <f t="shared" si="67"/>
        <v>83</v>
      </c>
      <c r="G841" s="2043">
        <f t="shared" si="68"/>
        <v>0</v>
      </c>
      <c r="H841" s="2208">
        <v>0</v>
      </c>
      <c r="I841" s="2209">
        <v>0</v>
      </c>
      <c r="J841" s="2210">
        <v>0</v>
      </c>
      <c r="K841" s="2208">
        <v>0</v>
      </c>
      <c r="L841" s="2208">
        <v>0</v>
      </c>
      <c r="M841" s="2211">
        <v>0</v>
      </c>
      <c r="N841" s="2212">
        <v>0</v>
      </c>
      <c r="O841" s="1118">
        <f t="shared" si="65"/>
        <v>0</v>
      </c>
      <c r="P841" s="2213">
        <f t="shared" si="69"/>
        <v>0</v>
      </c>
    </row>
    <row r="842" spans="1:16" ht="14.5">
      <c r="A842" s="2042" t="s">
        <v>5287</v>
      </c>
      <c r="B842" s="380" t="str">
        <f t="shared" si="66"/>
        <v>230-902</v>
      </c>
      <c r="C842" s="2042" t="s">
        <v>1811</v>
      </c>
      <c r="D842" s="2043">
        <v>2426</v>
      </c>
      <c r="E842" s="2043">
        <v>2510</v>
      </c>
      <c r="F842" s="2043">
        <f t="shared" si="67"/>
        <v>84</v>
      </c>
      <c r="G842" s="2043">
        <f t="shared" si="68"/>
        <v>0</v>
      </c>
      <c r="H842" s="2208">
        <v>0</v>
      </c>
      <c r="I842" s="2209">
        <v>0</v>
      </c>
      <c r="J842" s="2210">
        <v>0</v>
      </c>
      <c r="K842" s="2208">
        <v>0</v>
      </c>
      <c r="L842" s="2208">
        <v>0</v>
      </c>
      <c r="M842" s="2211">
        <v>0</v>
      </c>
      <c r="N842" s="2212">
        <v>582988</v>
      </c>
      <c r="O842" s="1118">
        <f t="shared" si="65"/>
        <v>582988</v>
      </c>
      <c r="P842" s="2213">
        <f t="shared" si="69"/>
        <v>156968.63768469953</v>
      </c>
    </row>
    <row r="843" spans="1:16" ht="14.5">
      <c r="A843" s="2042" t="s">
        <v>3173</v>
      </c>
      <c r="B843" s="380" t="str">
        <f t="shared" si="66"/>
        <v>184-904</v>
      </c>
      <c r="C843" s="2042" t="s">
        <v>2116</v>
      </c>
      <c r="D843" s="2043">
        <v>944</v>
      </c>
      <c r="E843" s="2043">
        <v>1029</v>
      </c>
      <c r="F843" s="2043">
        <f t="shared" si="67"/>
        <v>85</v>
      </c>
      <c r="G843" s="2043">
        <f t="shared" si="68"/>
        <v>0</v>
      </c>
      <c r="H843" s="2208">
        <v>0</v>
      </c>
      <c r="I843" s="2209">
        <v>0</v>
      </c>
      <c r="J843" s="2210">
        <v>0</v>
      </c>
      <c r="K843" s="2208">
        <v>0</v>
      </c>
      <c r="L843" s="2208">
        <v>0</v>
      </c>
      <c r="M843" s="2211">
        <v>0</v>
      </c>
      <c r="N843" s="2212">
        <v>237896</v>
      </c>
      <c r="O843" s="1118">
        <f t="shared" si="65"/>
        <v>237896</v>
      </c>
      <c r="P843" s="2213">
        <f t="shared" si="69"/>
        <v>64053.138367580941</v>
      </c>
    </row>
    <row r="844" spans="1:16" ht="14.5">
      <c r="A844" s="2042" t="s">
        <v>2857</v>
      </c>
      <c r="B844" s="380" t="str">
        <f t="shared" si="66"/>
        <v>007-904</v>
      </c>
      <c r="C844" s="2042" t="s">
        <v>1129</v>
      </c>
      <c r="D844" s="2043">
        <v>1675</v>
      </c>
      <c r="E844" s="2043">
        <v>1760</v>
      </c>
      <c r="F844" s="2043">
        <f t="shared" si="67"/>
        <v>85</v>
      </c>
      <c r="G844" s="2043">
        <f t="shared" si="68"/>
        <v>0</v>
      </c>
      <c r="H844" s="2208">
        <v>0</v>
      </c>
      <c r="I844" s="2209">
        <v>0</v>
      </c>
      <c r="J844" s="2210">
        <v>0</v>
      </c>
      <c r="K844" s="2208">
        <v>0</v>
      </c>
      <c r="L844" s="2208">
        <v>0</v>
      </c>
      <c r="M844" s="2211">
        <v>0</v>
      </c>
      <c r="N844" s="2212">
        <v>399634</v>
      </c>
      <c r="O844" s="1118">
        <f t="shared" si="65"/>
        <v>399634</v>
      </c>
      <c r="P844" s="2213">
        <f t="shared" si="69"/>
        <v>107600.85036482262</v>
      </c>
    </row>
    <row r="845" spans="1:16" ht="14.5">
      <c r="A845" s="2042" t="s">
        <v>2875</v>
      </c>
      <c r="B845" s="380" t="str">
        <f t="shared" si="66"/>
        <v>014-910</v>
      </c>
      <c r="C845" s="2042" t="s">
        <v>2187</v>
      </c>
      <c r="D845" s="2043">
        <v>1485</v>
      </c>
      <c r="E845" s="2043">
        <v>1571</v>
      </c>
      <c r="F845" s="2043">
        <f t="shared" si="67"/>
        <v>86</v>
      </c>
      <c r="G845" s="2043">
        <f t="shared" si="68"/>
        <v>0</v>
      </c>
      <c r="H845" s="2208">
        <v>0</v>
      </c>
      <c r="I845" s="2209">
        <v>0</v>
      </c>
      <c r="J845" s="2210">
        <v>0</v>
      </c>
      <c r="K845" s="2208">
        <v>0</v>
      </c>
      <c r="L845" s="2208">
        <v>0</v>
      </c>
      <c r="M845" s="2211">
        <v>0</v>
      </c>
      <c r="N845" s="2212">
        <v>358542</v>
      </c>
      <c r="O845" s="1118">
        <f t="shared" si="65"/>
        <v>358542</v>
      </c>
      <c r="P845" s="2213">
        <f t="shared" si="69"/>
        <v>96536.89148446887</v>
      </c>
    </row>
    <row r="846" spans="1:16" ht="14.5">
      <c r="A846" s="2042" t="s">
        <v>3104</v>
      </c>
      <c r="B846" s="380" t="str">
        <f t="shared" si="66"/>
        <v>141-901</v>
      </c>
      <c r="C846" s="2042" t="s">
        <v>894</v>
      </c>
      <c r="D846" s="2043">
        <v>3329</v>
      </c>
      <c r="E846" s="2043">
        <v>3416</v>
      </c>
      <c r="F846" s="2043">
        <f t="shared" si="67"/>
        <v>87</v>
      </c>
      <c r="G846" s="2043">
        <f t="shared" si="68"/>
        <v>0</v>
      </c>
      <c r="H846" s="2208">
        <v>0</v>
      </c>
      <c r="I846" s="2209">
        <v>0</v>
      </c>
      <c r="J846" s="2210">
        <v>0</v>
      </c>
      <c r="K846" s="2208">
        <v>0</v>
      </c>
      <c r="L846" s="2208">
        <v>0</v>
      </c>
      <c r="M846" s="2211">
        <v>0</v>
      </c>
      <c r="N846" s="2212">
        <v>0</v>
      </c>
      <c r="O846" s="1118">
        <f t="shared" si="65"/>
        <v>0</v>
      </c>
      <c r="P846" s="2213">
        <f t="shared" si="69"/>
        <v>0</v>
      </c>
    </row>
    <row r="847" spans="1:16" ht="14.5">
      <c r="A847" s="2042" t="s">
        <v>4960</v>
      </c>
      <c r="B847" s="380" t="str">
        <f t="shared" si="66"/>
        <v>034-901</v>
      </c>
      <c r="C847" s="2042" t="s">
        <v>2049</v>
      </c>
      <c r="D847" s="2043">
        <v>1760</v>
      </c>
      <c r="E847" s="2043">
        <v>1848</v>
      </c>
      <c r="F847" s="2043">
        <f t="shared" si="67"/>
        <v>88</v>
      </c>
      <c r="G847" s="2043">
        <f t="shared" si="68"/>
        <v>0</v>
      </c>
      <c r="H847" s="2208">
        <v>0</v>
      </c>
      <c r="I847" s="2209">
        <v>0</v>
      </c>
      <c r="J847" s="2210">
        <v>0</v>
      </c>
      <c r="K847" s="2208">
        <v>0</v>
      </c>
      <c r="L847" s="2208">
        <v>0</v>
      </c>
      <c r="M847" s="2211">
        <v>0</v>
      </c>
      <c r="N847" s="2212">
        <v>0</v>
      </c>
      <c r="O847" s="1118">
        <f t="shared" si="65"/>
        <v>0</v>
      </c>
      <c r="P847" s="2213">
        <f t="shared" si="69"/>
        <v>0</v>
      </c>
    </row>
    <row r="848" spans="1:16" ht="14.5">
      <c r="A848" s="2042" t="s">
        <v>2974</v>
      </c>
      <c r="B848" s="380" t="str">
        <f t="shared" si="66"/>
        <v>070-905</v>
      </c>
      <c r="C848" s="2042" t="s">
        <v>1863</v>
      </c>
      <c r="D848" s="2043">
        <v>2497</v>
      </c>
      <c r="E848" s="2043">
        <v>2586</v>
      </c>
      <c r="F848" s="2043">
        <f t="shared" si="67"/>
        <v>89</v>
      </c>
      <c r="G848" s="2043">
        <f t="shared" si="68"/>
        <v>0</v>
      </c>
      <c r="H848" s="2208">
        <v>0</v>
      </c>
      <c r="I848" s="2209">
        <v>0</v>
      </c>
      <c r="J848" s="2210">
        <v>0</v>
      </c>
      <c r="K848" s="2208">
        <v>0</v>
      </c>
      <c r="L848" s="2208">
        <v>0</v>
      </c>
      <c r="M848" s="2211">
        <v>0</v>
      </c>
      <c r="N848" s="2212">
        <v>597566</v>
      </c>
      <c r="O848" s="1118">
        <f t="shared" si="65"/>
        <v>597566</v>
      </c>
      <c r="P848" s="2213">
        <f t="shared" si="69"/>
        <v>160893.74214682833</v>
      </c>
    </row>
    <row r="849" spans="1:16" ht="14.5">
      <c r="A849" s="2042" t="s">
        <v>5005</v>
      </c>
      <c r="B849" s="380" t="str">
        <f t="shared" si="66"/>
        <v>068-901</v>
      </c>
      <c r="C849" s="2042" t="s">
        <v>1859</v>
      </c>
      <c r="D849" s="2043">
        <v>31791</v>
      </c>
      <c r="E849" s="2043">
        <v>31881</v>
      </c>
      <c r="F849" s="2043">
        <f t="shared" si="67"/>
        <v>90</v>
      </c>
      <c r="G849" s="2043">
        <f t="shared" si="68"/>
        <v>0</v>
      </c>
      <c r="H849" s="2208">
        <v>0</v>
      </c>
      <c r="I849" s="2209">
        <v>0</v>
      </c>
      <c r="J849" s="2210">
        <v>0</v>
      </c>
      <c r="K849" s="2208">
        <v>0</v>
      </c>
      <c r="L849" s="2208">
        <v>0</v>
      </c>
      <c r="M849" s="2211">
        <v>0</v>
      </c>
      <c r="N849" s="2212">
        <v>7465837</v>
      </c>
      <c r="O849" s="1118">
        <f t="shared" si="65"/>
        <v>7465837</v>
      </c>
      <c r="P849" s="2213">
        <f t="shared" si="69"/>
        <v>2010165.3259861679</v>
      </c>
    </row>
    <row r="850" spans="1:16" ht="14.5">
      <c r="A850" s="2042" t="s">
        <v>5310</v>
      </c>
      <c r="B850" s="380" t="str">
        <f t="shared" si="66"/>
        <v>249-902</v>
      </c>
      <c r="C850" s="2042" t="s">
        <v>1524</v>
      </c>
      <c r="D850" s="2043">
        <v>1177</v>
      </c>
      <c r="E850" s="2043">
        <v>1267</v>
      </c>
      <c r="F850" s="2043">
        <f t="shared" si="67"/>
        <v>90</v>
      </c>
      <c r="G850" s="2043">
        <f t="shared" si="68"/>
        <v>0</v>
      </c>
      <c r="H850" s="2208">
        <v>0</v>
      </c>
      <c r="I850" s="2209">
        <v>0</v>
      </c>
      <c r="J850" s="2210">
        <v>0</v>
      </c>
      <c r="K850" s="2208">
        <v>0</v>
      </c>
      <c r="L850" s="2208">
        <v>0</v>
      </c>
      <c r="M850" s="2211">
        <v>0</v>
      </c>
      <c r="N850" s="2212">
        <v>296138</v>
      </c>
      <c r="O850" s="1118">
        <f t="shared" si="65"/>
        <v>296138</v>
      </c>
      <c r="P850" s="2213">
        <f t="shared" si="69"/>
        <v>79734.708821916662</v>
      </c>
    </row>
    <row r="851" spans="1:16" ht="14.5">
      <c r="A851" s="2042" t="s">
        <v>5210</v>
      </c>
      <c r="B851" s="380" t="str">
        <f t="shared" si="66"/>
        <v>181-906</v>
      </c>
      <c r="C851" s="2042" t="s">
        <v>2205</v>
      </c>
      <c r="D851" s="2043">
        <v>2431</v>
      </c>
      <c r="E851" s="2043">
        <v>2522</v>
      </c>
      <c r="F851" s="2043">
        <f t="shared" si="67"/>
        <v>91</v>
      </c>
      <c r="G851" s="2043">
        <f t="shared" si="68"/>
        <v>0</v>
      </c>
      <c r="H851" s="2208">
        <v>0</v>
      </c>
      <c r="I851" s="2209">
        <v>0</v>
      </c>
      <c r="J851" s="2210">
        <v>0</v>
      </c>
      <c r="K851" s="2208">
        <v>0</v>
      </c>
      <c r="L851" s="2208">
        <v>0</v>
      </c>
      <c r="M851" s="2211">
        <v>0</v>
      </c>
      <c r="N851" s="2212">
        <v>0</v>
      </c>
      <c r="O851" s="1118">
        <f t="shared" si="65"/>
        <v>0</v>
      </c>
      <c r="P851" s="2213">
        <f t="shared" si="69"/>
        <v>0</v>
      </c>
    </row>
    <row r="852" spans="1:16" ht="14.5">
      <c r="A852" s="2042" t="s">
        <v>4982</v>
      </c>
      <c r="B852" s="380" t="str">
        <f t="shared" si="66"/>
        <v>050-909</v>
      </c>
      <c r="C852" s="2042" t="s">
        <v>2097</v>
      </c>
      <c r="D852" s="2043">
        <v>219</v>
      </c>
      <c r="E852" s="2043">
        <v>313</v>
      </c>
      <c r="F852" s="2043">
        <f t="shared" si="67"/>
        <v>94</v>
      </c>
      <c r="G852" s="2043">
        <f t="shared" si="68"/>
        <v>0</v>
      </c>
      <c r="H852" s="2208">
        <v>0</v>
      </c>
      <c r="I852" s="2209">
        <v>0</v>
      </c>
      <c r="J852" s="2210">
        <v>0</v>
      </c>
      <c r="K852" s="2208">
        <v>0</v>
      </c>
      <c r="L852" s="2208">
        <v>0</v>
      </c>
      <c r="M852" s="2211">
        <v>0</v>
      </c>
      <c r="N852" s="2212">
        <v>76913</v>
      </c>
      <c r="O852" s="1118">
        <f t="shared" si="65"/>
        <v>76913</v>
      </c>
      <c r="P852" s="2213">
        <f t="shared" si="69"/>
        <v>20708.70897898978</v>
      </c>
    </row>
    <row r="853" spans="1:16" ht="14.5">
      <c r="A853" s="2042" t="s">
        <v>5142</v>
      </c>
      <c r="B853" s="380" t="str">
        <f t="shared" si="66"/>
        <v>144-902</v>
      </c>
      <c r="C853" s="2042" t="s">
        <v>903</v>
      </c>
      <c r="D853" s="2043">
        <v>964</v>
      </c>
      <c r="E853" s="2043">
        <v>1059</v>
      </c>
      <c r="F853" s="2043">
        <f t="shared" si="67"/>
        <v>95</v>
      </c>
      <c r="G853" s="2043">
        <f t="shared" si="68"/>
        <v>0</v>
      </c>
      <c r="H853" s="2208">
        <v>0</v>
      </c>
      <c r="I853" s="2209">
        <v>0</v>
      </c>
      <c r="J853" s="2210">
        <v>0</v>
      </c>
      <c r="K853" s="2208">
        <v>0</v>
      </c>
      <c r="L853" s="2208">
        <v>0</v>
      </c>
      <c r="M853" s="2211">
        <v>0</v>
      </c>
      <c r="N853" s="2212">
        <v>246578</v>
      </c>
      <c r="O853" s="1118">
        <f t="shared" si="65"/>
        <v>246578</v>
      </c>
      <c r="P853" s="2213">
        <f t="shared" si="69"/>
        <v>66390.75374281776</v>
      </c>
    </row>
    <row r="854" spans="1:16" ht="14.5">
      <c r="A854" s="2042" t="s">
        <v>5840</v>
      </c>
      <c r="B854" s="380" t="str">
        <f t="shared" si="66"/>
        <v>143-903</v>
      </c>
      <c r="C854" s="2042" t="s">
        <v>898</v>
      </c>
      <c r="D854" s="2043">
        <v>606</v>
      </c>
      <c r="E854" s="2043">
        <v>702</v>
      </c>
      <c r="F854" s="2043">
        <f t="shared" si="67"/>
        <v>96</v>
      </c>
      <c r="G854" s="2043">
        <f t="shared" si="68"/>
        <v>0</v>
      </c>
      <c r="H854" s="2208">
        <v>0</v>
      </c>
      <c r="I854" s="2209">
        <v>0</v>
      </c>
      <c r="J854" s="2210">
        <v>0</v>
      </c>
      <c r="K854" s="2208">
        <v>0</v>
      </c>
      <c r="L854" s="2208">
        <v>0</v>
      </c>
      <c r="M854" s="2211">
        <v>0</v>
      </c>
      <c r="N854" s="2212">
        <v>160000</v>
      </c>
      <c r="O854" s="1118">
        <f t="shared" si="65"/>
        <v>160000</v>
      </c>
      <c r="P854" s="2213">
        <f t="shared" si="69"/>
        <v>43079.758124613072</v>
      </c>
    </row>
    <row r="855" spans="1:16" ht="14.5">
      <c r="A855" s="2042" t="s">
        <v>2979</v>
      </c>
      <c r="B855" s="380" t="str">
        <f t="shared" si="66"/>
        <v>070-915</v>
      </c>
      <c r="C855" s="2042" t="s">
        <v>1879</v>
      </c>
      <c r="D855" s="2043">
        <v>1063</v>
      </c>
      <c r="E855" s="2043">
        <v>1161</v>
      </c>
      <c r="F855" s="2043">
        <f t="shared" si="67"/>
        <v>98</v>
      </c>
      <c r="G855" s="2043">
        <f t="shared" si="68"/>
        <v>0</v>
      </c>
      <c r="H855" s="2208">
        <v>0</v>
      </c>
      <c r="I855" s="2209">
        <v>0</v>
      </c>
      <c r="J855" s="2210">
        <v>0</v>
      </c>
      <c r="K855" s="2208">
        <v>0</v>
      </c>
      <c r="L855" s="2208">
        <v>0</v>
      </c>
      <c r="M855" s="2211">
        <v>0</v>
      </c>
      <c r="N855" s="2212">
        <v>259165</v>
      </c>
      <c r="O855" s="1118">
        <f t="shared" si="65"/>
        <v>259165</v>
      </c>
      <c r="P855" s="2213">
        <f t="shared" si="69"/>
        <v>69779.784464783414</v>
      </c>
    </row>
    <row r="856" spans="1:16" ht="14.5">
      <c r="A856" s="2042" t="s">
        <v>3003</v>
      </c>
      <c r="B856" s="380" t="str">
        <f t="shared" si="66"/>
        <v>091-901</v>
      </c>
      <c r="C856" s="2042" t="s">
        <v>1469</v>
      </c>
      <c r="D856" s="2043">
        <v>769</v>
      </c>
      <c r="E856" s="2043">
        <v>868</v>
      </c>
      <c r="F856" s="2043">
        <f t="shared" si="67"/>
        <v>99</v>
      </c>
      <c r="G856" s="2043">
        <f t="shared" si="68"/>
        <v>0</v>
      </c>
      <c r="H856" s="2208">
        <v>0</v>
      </c>
      <c r="I856" s="2209">
        <v>0</v>
      </c>
      <c r="J856" s="2210">
        <v>0</v>
      </c>
      <c r="K856" s="2208">
        <v>0</v>
      </c>
      <c r="L856" s="2208">
        <v>0</v>
      </c>
      <c r="M856" s="2211">
        <v>0</v>
      </c>
      <c r="N856" s="2212">
        <v>204636</v>
      </c>
      <c r="O856" s="1118">
        <f t="shared" si="65"/>
        <v>204636</v>
      </c>
      <c r="P856" s="2213">
        <f t="shared" si="69"/>
        <v>55097.933647427002</v>
      </c>
    </row>
    <row r="857" spans="1:16" ht="14.5">
      <c r="A857" s="2042" t="s">
        <v>2895</v>
      </c>
      <c r="B857" s="380" t="str">
        <f t="shared" si="66"/>
        <v>019-910</v>
      </c>
      <c r="C857" s="2042" t="s">
        <v>274</v>
      </c>
      <c r="D857" s="2043">
        <v>119</v>
      </c>
      <c r="E857" s="2043">
        <v>219</v>
      </c>
      <c r="F857" s="2043">
        <f t="shared" si="67"/>
        <v>100</v>
      </c>
      <c r="G857" s="2043">
        <f t="shared" si="68"/>
        <v>0</v>
      </c>
      <c r="H857" s="2208">
        <v>0</v>
      </c>
      <c r="I857" s="2209">
        <v>0</v>
      </c>
      <c r="J857" s="2210">
        <v>0</v>
      </c>
      <c r="K857" s="2208">
        <v>0</v>
      </c>
      <c r="L857" s="2208">
        <v>0</v>
      </c>
      <c r="M857" s="2211">
        <v>0</v>
      </c>
      <c r="N857" s="2212">
        <v>44913</v>
      </c>
      <c r="O857" s="1118">
        <f t="shared" ref="O857:O920" si="70">IF(N857&gt;M857,N857-M857,0)</f>
        <v>44913</v>
      </c>
      <c r="P857" s="2213">
        <f t="shared" si="69"/>
        <v>12092.757354067167</v>
      </c>
    </row>
    <row r="858" spans="1:16" ht="14.5">
      <c r="A858" s="2042" t="s">
        <v>5110</v>
      </c>
      <c r="B858" s="380" t="str">
        <f t="shared" si="66"/>
        <v>119-902</v>
      </c>
      <c r="C858" s="2042" t="s">
        <v>2324</v>
      </c>
      <c r="D858" s="2043">
        <v>962</v>
      </c>
      <c r="E858" s="2043">
        <v>1062</v>
      </c>
      <c r="F858" s="2043">
        <f t="shared" si="67"/>
        <v>100</v>
      </c>
      <c r="G858" s="2043">
        <f t="shared" si="68"/>
        <v>0</v>
      </c>
      <c r="H858" s="2208">
        <v>0</v>
      </c>
      <c r="I858" s="2209">
        <v>0</v>
      </c>
      <c r="J858" s="2210">
        <v>0</v>
      </c>
      <c r="K858" s="2208">
        <v>0</v>
      </c>
      <c r="L858" s="2208">
        <v>0</v>
      </c>
      <c r="M858" s="2211">
        <v>0</v>
      </c>
      <c r="N858" s="2212">
        <v>241928</v>
      </c>
      <c r="O858" s="1118">
        <f t="shared" si="70"/>
        <v>241928</v>
      </c>
      <c r="P858" s="2213">
        <f t="shared" si="69"/>
        <v>65138.748272321194</v>
      </c>
    </row>
    <row r="859" spans="1:16" ht="14.5">
      <c r="A859" s="2042" t="s">
        <v>3202</v>
      </c>
      <c r="B859" s="380" t="str">
        <f t="shared" si="66"/>
        <v>212-906</v>
      </c>
      <c r="C859" s="2042" t="s">
        <v>1258</v>
      </c>
      <c r="D859" s="2043">
        <v>4715</v>
      </c>
      <c r="E859" s="2043">
        <v>4818</v>
      </c>
      <c r="F859" s="2043">
        <f t="shared" si="67"/>
        <v>103</v>
      </c>
      <c r="G859" s="2043">
        <f t="shared" si="68"/>
        <v>0</v>
      </c>
      <c r="H859" s="2208">
        <v>0</v>
      </c>
      <c r="I859" s="2209">
        <v>0</v>
      </c>
      <c r="J859" s="2210">
        <v>0</v>
      </c>
      <c r="K859" s="2208">
        <v>0</v>
      </c>
      <c r="L859" s="2208">
        <v>0</v>
      </c>
      <c r="M859" s="2211">
        <v>0</v>
      </c>
      <c r="N859" s="2212">
        <v>0</v>
      </c>
      <c r="O859" s="1118">
        <f t="shared" si="70"/>
        <v>0</v>
      </c>
      <c r="P859" s="2213">
        <f t="shared" si="69"/>
        <v>0</v>
      </c>
    </row>
    <row r="860" spans="1:16" ht="14.5">
      <c r="A860" s="2042" t="s">
        <v>3154</v>
      </c>
      <c r="B860" s="380" t="str">
        <f t="shared" si="66"/>
        <v>175-903</v>
      </c>
      <c r="C860" s="2042" t="s">
        <v>1039</v>
      </c>
      <c r="D860" s="2043">
        <v>5955</v>
      </c>
      <c r="E860" s="2043">
        <v>6059</v>
      </c>
      <c r="F860" s="2043">
        <f t="shared" si="67"/>
        <v>104</v>
      </c>
      <c r="G860" s="2043">
        <f t="shared" si="68"/>
        <v>0</v>
      </c>
      <c r="H860" s="2208">
        <v>0</v>
      </c>
      <c r="I860" s="2209">
        <v>0</v>
      </c>
      <c r="J860" s="2210">
        <v>0</v>
      </c>
      <c r="K860" s="2208">
        <v>0</v>
      </c>
      <c r="L860" s="2208">
        <v>0</v>
      </c>
      <c r="M860" s="2211">
        <v>0</v>
      </c>
      <c r="N860" s="2212">
        <v>1364793</v>
      </c>
      <c r="O860" s="1118">
        <f t="shared" si="70"/>
        <v>1364793</v>
      </c>
      <c r="P860" s="2213">
        <f t="shared" si="69"/>
        <v>367468.45206353156</v>
      </c>
    </row>
    <row r="861" spans="1:16" ht="14.5">
      <c r="A861" s="2042" t="s">
        <v>3157</v>
      </c>
      <c r="B861" s="380" t="str">
        <f t="shared" si="66"/>
        <v>175-911</v>
      </c>
      <c r="C861" s="2042" t="s">
        <v>78</v>
      </c>
      <c r="D861" s="2043">
        <v>865</v>
      </c>
      <c r="E861" s="2043">
        <v>969</v>
      </c>
      <c r="F861" s="2043">
        <f t="shared" si="67"/>
        <v>104</v>
      </c>
      <c r="G861" s="2043">
        <f t="shared" si="68"/>
        <v>0</v>
      </c>
      <c r="H861" s="2208">
        <v>0</v>
      </c>
      <c r="I861" s="2209">
        <v>0</v>
      </c>
      <c r="J861" s="2210">
        <v>0</v>
      </c>
      <c r="K861" s="2208">
        <v>0</v>
      </c>
      <c r="L861" s="2208">
        <v>0</v>
      </c>
      <c r="M861" s="2211">
        <v>0</v>
      </c>
      <c r="N861" s="2212">
        <v>0</v>
      </c>
      <c r="O861" s="1118">
        <f t="shared" si="70"/>
        <v>0</v>
      </c>
      <c r="P861" s="2213">
        <f t="shared" si="69"/>
        <v>0</v>
      </c>
    </row>
    <row r="862" spans="1:16" ht="14.5">
      <c r="A862" s="2042" t="s">
        <v>3010</v>
      </c>
      <c r="B862" s="380" t="str">
        <f t="shared" si="66"/>
        <v>092-907</v>
      </c>
      <c r="C862" s="2042" t="s">
        <v>1829</v>
      </c>
      <c r="D862" s="2043">
        <v>1898</v>
      </c>
      <c r="E862" s="2043">
        <v>2006</v>
      </c>
      <c r="F862" s="2043">
        <f t="shared" si="67"/>
        <v>108</v>
      </c>
      <c r="G862" s="2043">
        <f t="shared" si="68"/>
        <v>0</v>
      </c>
      <c r="H862" s="2208">
        <v>0</v>
      </c>
      <c r="I862" s="2209">
        <v>0</v>
      </c>
      <c r="J862" s="2210">
        <v>0</v>
      </c>
      <c r="K862" s="2208">
        <v>0</v>
      </c>
      <c r="L862" s="2208">
        <v>0</v>
      </c>
      <c r="M862" s="2211">
        <v>0</v>
      </c>
      <c r="N862" s="2212">
        <v>481220</v>
      </c>
      <c r="O862" s="1118">
        <f t="shared" si="70"/>
        <v>481220</v>
      </c>
      <c r="P862" s="2213">
        <f t="shared" si="69"/>
        <v>129567.75752953939</v>
      </c>
    </row>
    <row r="863" spans="1:16" ht="14.5">
      <c r="A863" s="2042" t="s">
        <v>2972</v>
      </c>
      <c r="B863" s="380" t="str">
        <f t="shared" si="66"/>
        <v>066-902</v>
      </c>
      <c r="C863" s="2042" t="s">
        <v>1917</v>
      </c>
      <c r="D863" s="2043">
        <v>1379</v>
      </c>
      <c r="E863" s="2043">
        <v>1488</v>
      </c>
      <c r="F863" s="2043">
        <f t="shared" si="67"/>
        <v>109</v>
      </c>
      <c r="G863" s="2043">
        <f t="shared" si="68"/>
        <v>0</v>
      </c>
      <c r="H863" s="2208">
        <v>0</v>
      </c>
      <c r="I863" s="2209">
        <v>0</v>
      </c>
      <c r="J863" s="2210">
        <v>0</v>
      </c>
      <c r="K863" s="2208">
        <v>0</v>
      </c>
      <c r="L863" s="2208">
        <v>0</v>
      </c>
      <c r="M863" s="2211">
        <v>0</v>
      </c>
      <c r="N863" s="2212">
        <v>329791</v>
      </c>
      <c r="O863" s="1118">
        <f t="shared" si="70"/>
        <v>329791</v>
      </c>
      <c r="P863" s="2213">
        <f t="shared" si="69"/>
        <v>88795.728197964185</v>
      </c>
    </row>
    <row r="864" spans="1:16" ht="14.5">
      <c r="A864" s="2042" t="s">
        <v>5010</v>
      </c>
      <c r="B864" s="380" t="str">
        <f t="shared" si="66"/>
        <v>072-904</v>
      </c>
      <c r="C864" s="2042" t="s">
        <v>1869</v>
      </c>
      <c r="D864" s="2043">
        <v>114</v>
      </c>
      <c r="E864" s="2043">
        <v>224</v>
      </c>
      <c r="F864" s="2043">
        <f t="shared" si="67"/>
        <v>110</v>
      </c>
      <c r="G864" s="2043">
        <f t="shared" si="68"/>
        <v>0</v>
      </c>
      <c r="H864" s="2208">
        <v>0</v>
      </c>
      <c r="I864" s="2209">
        <v>0</v>
      </c>
      <c r="J864" s="2210">
        <v>0</v>
      </c>
      <c r="K864" s="2208">
        <v>0</v>
      </c>
      <c r="L864" s="2208">
        <v>0</v>
      </c>
      <c r="M864" s="2211">
        <v>0</v>
      </c>
      <c r="N864" s="2212">
        <v>48719</v>
      </c>
      <c r="O864" s="1118">
        <f t="shared" si="70"/>
        <v>48719</v>
      </c>
      <c r="P864" s="2213">
        <f t="shared" si="69"/>
        <v>13117.517100456402</v>
      </c>
    </row>
    <row r="865" spans="1:16" ht="14.5">
      <c r="A865" s="2042" t="s">
        <v>2949</v>
      </c>
      <c r="B865" s="380" t="str">
        <f t="shared" si="66"/>
        <v>049-903</v>
      </c>
      <c r="C865" s="2042" t="s">
        <v>2231</v>
      </c>
      <c r="D865" s="2043">
        <v>776</v>
      </c>
      <c r="E865" s="2043">
        <v>886</v>
      </c>
      <c r="F865" s="2043">
        <f t="shared" si="67"/>
        <v>110</v>
      </c>
      <c r="G865" s="2043">
        <f t="shared" si="68"/>
        <v>0</v>
      </c>
      <c r="H865" s="2208">
        <v>0</v>
      </c>
      <c r="I865" s="2209">
        <v>0</v>
      </c>
      <c r="J865" s="2210">
        <v>0</v>
      </c>
      <c r="K865" s="2208">
        <v>0</v>
      </c>
      <c r="L865" s="2208">
        <v>0</v>
      </c>
      <c r="M865" s="2211">
        <v>0</v>
      </c>
      <c r="N865" s="2212">
        <v>197955</v>
      </c>
      <c r="O865" s="1118">
        <f t="shared" si="70"/>
        <v>197955</v>
      </c>
      <c r="P865" s="2213">
        <f t="shared" si="69"/>
        <v>53299.08449723613</v>
      </c>
    </row>
    <row r="866" spans="1:16" ht="14.5">
      <c r="A866" s="2042" t="s">
        <v>3132</v>
      </c>
      <c r="B866" s="380" t="str">
        <f t="shared" si="66"/>
        <v>161-922</v>
      </c>
      <c r="C866" s="2042" t="s">
        <v>2551</v>
      </c>
      <c r="D866" s="2043">
        <v>2291</v>
      </c>
      <c r="E866" s="2043">
        <v>2402</v>
      </c>
      <c r="F866" s="2043">
        <f t="shared" si="67"/>
        <v>111</v>
      </c>
      <c r="G866" s="2043">
        <f t="shared" si="68"/>
        <v>0</v>
      </c>
      <c r="H866" s="2208">
        <v>0</v>
      </c>
      <c r="I866" s="2209">
        <v>0</v>
      </c>
      <c r="J866" s="2210">
        <v>0</v>
      </c>
      <c r="K866" s="2208">
        <v>0</v>
      </c>
      <c r="L866" s="2208">
        <v>0</v>
      </c>
      <c r="M866" s="2211">
        <v>0</v>
      </c>
      <c r="N866" s="2212">
        <v>570115</v>
      </c>
      <c r="O866" s="1118">
        <f t="shared" si="70"/>
        <v>570115</v>
      </c>
      <c r="P866" s="2213">
        <f t="shared" si="69"/>
        <v>153502.60189508612</v>
      </c>
    </row>
    <row r="867" spans="1:16" ht="14.5">
      <c r="A867" s="2042" t="s">
        <v>5135</v>
      </c>
      <c r="B867" s="380" t="str">
        <f t="shared" si="66"/>
        <v>139-905</v>
      </c>
      <c r="C867" s="2042" t="s">
        <v>1942</v>
      </c>
      <c r="D867" s="2043">
        <v>950</v>
      </c>
      <c r="E867" s="2043">
        <v>1062</v>
      </c>
      <c r="F867" s="2043">
        <f t="shared" si="67"/>
        <v>112</v>
      </c>
      <c r="G867" s="2043">
        <f t="shared" si="68"/>
        <v>0</v>
      </c>
      <c r="H867" s="2208">
        <v>0</v>
      </c>
      <c r="I867" s="2209">
        <v>0</v>
      </c>
      <c r="J867" s="2210">
        <v>0</v>
      </c>
      <c r="K867" s="2208">
        <v>0</v>
      </c>
      <c r="L867" s="2208">
        <v>0</v>
      </c>
      <c r="M867" s="2211">
        <v>0</v>
      </c>
      <c r="N867" s="2212">
        <v>0</v>
      </c>
      <c r="O867" s="1118">
        <f t="shared" si="70"/>
        <v>0</v>
      </c>
      <c r="P867" s="2213">
        <f t="shared" si="69"/>
        <v>0</v>
      </c>
    </row>
    <row r="868" spans="1:16" ht="14.5">
      <c r="A868" s="2042" t="s">
        <v>2865</v>
      </c>
      <c r="B868" s="380" t="str">
        <f t="shared" si="66"/>
        <v>011-905</v>
      </c>
      <c r="C868" s="2042" t="s">
        <v>772</v>
      </c>
      <c r="D868" s="2043">
        <v>221</v>
      </c>
      <c r="E868" s="2043">
        <v>334</v>
      </c>
      <c r="F868" s="2043">
        <f t="shared" si="67"/>
        <v>113</v>
      </c>
      <c r="G868" s="2043">
        <f t="shared" si="68"/>
        <v>0</v>
      </c>
      <c r="H868" s="2208">
        <v>0</v>
      </c>
      <c r="I868" s="2209">
        <v>0</v>
      </c>
      <c r="J868" s="2210">
        <v>0</v>
      </c>
      <c r="K868" s="2208">
        <v>0</v>
      </c>
      <c r="L868" s="2208">
        <v>0</v>
      </c>
      <c r="M868" s="2211">
        <v>0</v>
      </c>
      <c r="N868" s="2212">
        <v>84364</v>
      </c>
      <c r="O868" s="1118">
        <f t="shared" si="70"/>
        <v>84364</v>
      </c>
      <c r="P868" s="2213">
        <f t="shared" si="69"/>
        <v>22714.879465155358</v>
      </c>
    </row>
    <row r="869" spans="1:16" ht="14.5">
      <c r="A869" s="2042" t="s">
        <v>5305</v>
      </c>
      <c r="B869" s="380" t="str">
        <f t="shared" si="66"/>
        <v>243-903</v>
      </c>
      <c r="C869" s="2042" t="s">
        <v>2213</v>
      </c>
      <c r="D869" s="2043">
        <v>1785</v>
      </c>
      <c r="E869" s="2043">
        <v>1898</v>
      </c>
      <c r="F869" s="2043">
        <f t="shared" si="67"/>
        <v>113</v>
      </c>
      <c r="G869" s="2043">
        <f t="shared" si="68"/>
        <v>0</v>
      </c>
      <c r="H869" s="2208">
        <v>0</v>
      </c>
      <c r="I869" s="2209">
        <v>0</v>
      </c>
      <c r="J869" s="2210">
        <v>0</v>
      </c>
      <c r="K869" s="2208">
        <v>0</v>
      </c>
      <c r="L869" s="2208">
        <v>0</v>
      </c>
      <c r="M869" s="2211">
        <v>0</v>
      </c>
      <c r="N869" s="2212">
        <v>439093</v>
      </c>
      <c r="O869" s="1118">
        <f t="shared" si="70"/>
        <v>439093</v>
      </c>
      <c r="P869" s="2213">
        <f t="shared" si="69"/>
        <v>118225.12646381704</v>
      </c>
    </row>
    <row r="870" spans="1:16" ht="14.5">
      <c r="A870" s="2042" t="s">
        <v>5208</v>
      </c>
      <c r="B870" s="380" t="str">
        <f t="shared" si="66"/>
        <v>180-904</v>
      </c>
      <c r="C870" s="2042" t="s">
        <v>309</v>
      </c>
      <c r="D870" s="2043">
        <v>103</v>
      </c>
      <c r="E870" s="2043">
        <v>216</v>
      </c>
      <c r="F870" s="2043">
        <f t="shared" si="67"/>
        <v>113</v>
      </c>
      <c r="G870" s="2043">
        <f t="shared" si="68"/>
        <v>0</v>
      </c>
      <c r="H870" s="2208">
        <v>0</v>
      </c>
      <c r="I870" s="2209">
        <v>0</v>
      </c>
      <c r="J870" s="2210">
        <v>0</v>
      </c>
      <c r="K870" s="2208">
        <v>0</v>
      </c>
      <c r="L870" s="2208">
        <v>0</v>
      </c>
      <c r="M870" s="2211">
        <v>0</v>
      </c>
      <c r="N870" s="2212">
        <v>43188</v>
      </c>
      <c r="O870" s="1118">
        <f t="shared" si="70"/>
        <v>43188</v>
      </c>
      <c r="P870" s="2213">
        <f t="shared" si="69"/>
        <v>11628.303711786182</v>
      </c>
    </row>
    <row r="871" spans="1:16" ht="14.5">
      <c r="A871" s="2042" t="s">
        <v>3070</v>
      </c>
      <c r="B871" s="380" t="str">
        <f t="shared" si="66"/>
        <v>116-915</v>
      </c>
      <c r="C871" s="2042" t="s">
        <v>754</v>
      </c>
      <c r="D871" s="2043">
        <v>608</v>
      </c>
      <c r="E871" s="2043">
        <v>724</v>
      </c>
      <c r="F871" s="2043">
        <f t="shared" si="67"/>
        <v>116</v>
      </c>
      <c r="G871" s="2043">
        <f t="shared" si="68"/>
        <v>0</v>
      </c>
      <c r="H871" s="2208">
        <v>0</v>
      </c>
      <c r="I871" s="2209">
        <v>0</v>
      </c>
      <c r="J871" s="2210">
        <v>0</v>
      </c>
      <c r="K871" s="2208">
        <v>0</v>
      </c>
      <c r="L871" s="2208">
        <v>0</v>
      </c>
      <c r="M871" s="2211">
        <v>0</v>
      </c>
      <c r="N871" s="2212">
        <v>168837</v>
      </c>
      <c r="O871" s="1118">
        <f t="shared" si="70"/>
        <v>168837</v>
      </c>
      <c r="P871" s="2213">
        <f t="shared" si="69"/>
        <v>45459.107015533104</v>
      </c>
    </row>
    <row r="872" spans="1:16" ht="14.5">
      <c r="A872" s="2042" t="s">
        <v>5794</v>
      </c>
      <c r="B872" s="380" t="str">
        <f t="shared" si="66"/>
        <v>072-901</v>
      </c>
      <c r="C872" s="2042" t="s">
        <v>1867</v>
      </c>
      <c r="D872" s="2043">
        <v>99</v>
      </c>
      <c r="E872" s="2043">
        <v>215</v>
      </c>
      <c r="F872" s="2043">
        <f t="shared" si="67"/>
        <v>116</v>
      </c>
      <c r="G872" s="2043">
        <f t="shared" si="68"/>
        <v>0</v>
      </c>
      <c r="H872" s="2208">
        <v>0</v>
      </c>
      <c r="I872" s="2209">
        <v>0</v>
      </c>
      <c r="J872" s="2210">
        <v>0</v>
      </c>
      <c r="K872" s="2208">
        <v>0</v>
      </c>
      <c r="L872" s="2208">
        <v>0</v>
      </c>
      <c r="M872" s="2211">
        <v>0</v>
      </c>
      <c r="N872" s="2212">
        <v>40826</v>
      </c>
      <c r="O872" s="1118">
        <f t="shared" si="70"/>
        <v>40826</v>
      </c>
      <c r="P872" s="2213">
        <f t="shared" si="69"/>
        <v>10992.338782471583</v>
      </c>
    </row>
    <row r="873" spans="1:16" ht="14.5">
      <c r="A873" s="2042" t="s">
        <v>4926</v>
      </c>
      <c r="B873" s="380" t="str">
        <f t="shared" si="66"/>
        <v>005-902</v>
      </c>
      <c r="C873" s="2042" t="s">
        <v>1126</v>
      </c>
      <c r="D873" s="2043">
        <v>946</v>
      </c>
      <c r="E873" s="2043">
        <v>1069</v>
      </c>
      <c r="F873" s="2043">
        <f t="shared" si="67"/>
        <v>123</v>
      </c>
      <c r="G873" s="2043">
        <f t="shared" si="68"/>
        <v>0</v>
      </c>
      <c r="H873" s="2208">
        <v>0</v>
      </c>
      <c r="I873" s="2209">
        <v>0</v>
      </c>
      <c r="J873" s="2210">
        <v>0</v>
      </c>
      <c r="K873" s="2208">
        <v>0</v>
      </c>
      <c r="L873" s="2208">
        <v>0</v>
      </c>
      <c r="M873" s="2211">
        <v>0</v>
      </c>
      <c r="N873" s="2212">
        <v>249179</v>
      </c>
      <c r="O873" s="1118">
        <f t="shared" si="70"/>
        <v>249179</v>
      </c>
      <c r="P873" s="2213">
        <f t="shared" si="69"/>
        <v>67091.069060830996</v>
      </c>
    </row>
    <row r="874" spans="1:16" ht="14.5">
      <c r="A874" s="2042" t="s">
        <v>5098</v>
      </c>
      <c r="B874" s="380" t="str">
        <f t="shared" si="66"/>
        <v>113-902</v>
      </c>
      <c r="C874" s="2042" t="s">
        <v>2043</v>
      </c>
      <c r="D874" s="2043">
        <v>482</v>
      </c>
      <c r="E874" s="2043">
        <v>605</v>
      </c>
      <c r="F874" s="2043">
        <f t="shared" si="67"/>
        <v>123</v>
      </c>
      <c r="G874" s="2043">
        <f t="shared" si="68"/>
        <v>0</v>
      </c>
      <c r="H874" s="2208">
        <v>0</v>
      </c>
      <c r="I874" s="2209">
        <v>0</v>
      </c>
      <c r="J874" s="2210">
        <v>0</v>
      </c>
      <c r="K874" s="2208">
        <v>0</v>
      </c>
      <c r="L874" s="2208">
        <v>0</v>
      </c>
      <c r="M874" s="2211">
        <v>0</v>
      </c>
      <c r="N874" s="2212">
        <v>134889</v>
      </c>
      <c r="O874" s="1118">
        <f t="shared" si="70"/>
        <v>134889</v>
      </c>
      <c r="P874" s="2213">
        <f t="shared" si="69"/>
        <v>36318.659335443328</v>
      </c>
    </row>
    <row r="875" spans="1:16" ht="14.5">
      <c r="A875" s="2042" t="s">
        <v>5247</v>
      </c>
      <c r="B875" s="380" t="str">
        <f t="shared" si="66"/>
        <v>205-902</v>
      </c>
      <c r="C875" s="2042" t="s">
        <v>335</v>
      </c>
      <c r="D875" s="2043">
        <v>4594</v>
      </c>
      <c r="E875" s="2043">
        <v>4720</v>
      </c>
      <c r="F875" s="2043">
        <f t="shared" si="67"/>
        <v>126</v>
      </c>
      <c r="G875" s="2043">
        <f t="shared" si="68"/>
        <v>0</v>
      </c>
      <c r="H875" s="2208">
        <v>0</v>
      </c>
      <c r="I875" s="2209">
        <v>0</v>
      </c>
      <c r="J875" s="2210">
        <v>0</v>
      </c>
      <c r="K875" s="2208">
        <v>0</v>
      </c>
      <c r="L875" s="2208">
        <v>0</v>
      </c>
      <c r="M875" s="2211">
        <v>0</v>
      </c>
      <c r="N875" s="2212">
        <v>0</v>
      </c>
      <c r="O875" s="1118">
        <f t="shared" si="70"/>
        <v>0</v>
      </c>
      <c r="P875" s="2213">
        <f t="shared" si="69"/>
        <v>0</v>
      </c>
    </row>
    <row r="876" spans="1:16" ht="14.5">
      <c r="A876" s="2042" t="s">
        <v>3215</v>
      </c>
      <c r="B876" s="380" t="str">
        <f t="shared" si="66"/>
        <v>220-916</v>
      </c>
      <c r="C876" s="2042" t="s">
        <v>1193</v>
      </c>
      <c r="D876" s="2043">
        <v>22834</v>
      </c>
      <c r="E876" s="2043">
        <v>22962</v>
      </c>
      <c r="F876" s="2043">
        <f t="shared" si="67"/>
        <v>128</v>
      </c>
      <c r="G876" s="2043">
        <f t="shared" si="68"/>
        <v>0</v>
      </c>
      <c r="H876" s="2208">
        <v>0</v>
      </c>
      <c r="I876" s="2209">
        <v>0</v>
      </c>
      <c r="J876" s="2210">
        <v>0</v>
      </c>
      <c r="K876" s="2208">
        <v>0</v>
      </c>
      <c r="L876" s="2208">
        <v>0</v>
      </c>
      <c r="M876" s="2211">
        <v>0</v>
      </c>
      <c r="N876" s="2212">
        <v>0</v>
      </c>
      <c r="O876" s="1118">
        <f t="shared" si="70"/>
        <v>0</v>
      </c>
      <c r="P876" s="2213">
        <f t="shared" si="69"/>
        <v>0</v>
      </c>
    </row>
    <row r="877" spans="1:16" ht="14.5">
      <c r="A877" s="2042" t="s">
        <v>3265</v>
      </c>
      <c r="B877" s="380" t="str">
        <f t="shared" si="66"/>
        <v>246-912</v>
      </c>
      <c r="C877" s="2042" t="s">
        <v>567</v>
      </c>
      <c r="D877" s="2043">
        <v>648</v>
      </c>
      <c r="E877" s="2043">
        <v>777</v>
      </c>
      <c r="F877" s="2043">
        <f t="shared" si="67"/>
        <v>129</v>
      </c>
      <c r="G877" s="2043">
        <f t="shared" si="68"/>
        <v>0</v>
      </c>
      <c r="H877" s="2208">
        <v>0</v>
      </c>
      <c r="I877" s="2209">
        <v>0</v>
      </c>
      <c r="J877" s="2210">
        <v>0</v>
      </c>
      <c r="K877" s="2208">
        <v>0</v>
      </c>
      <c r="L877" s="2208">
        <v>0</v>
      </c>
      <c r="M877" s="2211">
        <v>0</v>
      </c>
      <c r="N877" s="2212">
        <v>170535</v>
      </c>
      <c r="O877" s="1118">
        <f t="shared" si="70"/>
        <v>170535</v>
      </c>
      <c r="P877" s="2213">
        <f t="shared" si="69"/>
        <v>45916.290948630565</v>
      </c>
    </row>
    <row r="878" spans="1:16" ht="14.5">
      <c r="A878" s="2042" t="s">
        <v>5094</v>
      </c>
      <c r="B878" s="380" t="str">
        <f t="shared" si="66"/>
        <v>110-905</v>
      </c>
      <c r="C878" s="2042" t="s">
        <v>2462</v>
      </c>
      <c r="D878" s="2043">
        <v>344</v>
      </c>
      <c r="E878" s="2043">
        <v>475</v>
      </c>
      <c r="F878" s="2043">
        <f t="shared" si="67"/>
        <v>131</v>
      </c>
      <c r="G878" s="2043">
        <f t="shared" si="68"/>
        <v>0</v>
      </c>
      <c r="H878" s="2208">
        <v>0</v>
      </c>
      <c r="I878" s="2209">
        <v>0</v>
      </c>
      <c r="J878" s="2210">
        <v>0</v>
      </c>
      <c r="K878" s="2208">
        <v>0</v>
      </c>
      <c r="L878" s="2208">
        <v>0</v>
      </c>
      <c r="M878" s="2211">
        <v>0</v>
      </c>
      <c r="N878" s="2212">
        <v>107908</v>
      </c>
      <c r="O878" s="1118">
        <f t="shared" si="70"/>
        <v>107908</v>
      </c>
      <c r="P878" s="2213">
        <f t="shared" si="69"/>
        <v>29054.065873192169</v>
      </c>
    </row>
    <row r="879" spans="1:16" ht="14.5">
      <c r="A879" s="2042" t="s">
        <v>5887</v>
      </c>
      <c r="B879" s="380" t="str">
        <f t="shared" si="66"/>
        <v>225-907</v>
      </c>
      <c r="C879" s="2042" t="s">
        <v>1572</v>
      </c>
      <c r="D879" s="2043">
        <v>569</v>
      </c>
      <c r="E879" s="2043">
        <v>700</v>
      </c>
      <c r="F879" s="2043">
        <f t="shared" si="67"/>
        <v>131</v>
      </c>
      <c r="G879" s="2043">
        <f t="shared" si="68"/>
        <v>0</v>
      </c>
      <c r="H879" s="2208">
        <v>0</v>
      </c>
      <c r="I879" s="2209">
        <v>0</v>
      </c>
      <c r="J879" s="2210">
        <v>0</v>
      </c>
      <c r="K879" s="2208">
        <v>0</v>
      </c>
      <c r="L879" s="2208">
        <v>0</v>
      </c>
      <c r="M879" s="2211">
        <v>0</v>
      </c>
      <c r="N879" s="2212">
        <v>153517</v>
      </c>
      <c r="O879" s="1118">
        <f t="shared" si="70"/>
        <v>153517</v>
      </c>
      <c r="P879" s="2213">
        <f t="shared" si="69"/>
        <v>41334.220175101407</v>
      </c>
    </row>
    <row r="880" spans="1:16" ht="14.5">
      <c r="A880" s="2042" t="s">
        <v>3232</v>
      </c>
      <c r="B880" s="380" t="str">
        <f t="shared" si="66"/>
        <v>230-906</v>
      </c>
      <c r="C880" s="2042" t="s">
        <v>1446</v>
      </c>
      <c r="D880" s="2043">
        <v>1039</v>
      </c>
      <c r="E880" s="2043">
        <v>1175</v>
      </c>
      <c r="F880" s="2043">
        <f t="shared" si="67"/>
        <v>136</v>
      </c>
      <c r="G880" s="2043">
        <f t="shared" si="68"/>
        <v>0</v>
      </c>
      <c r="H880" s="2208">
        <v>0</v>
      </c>
      <c r="I880" s="2209">
        <v>0</v>
      </c>
      <c r="J880" s="2210">
        <v>0</v>
      </c>
      <c r="K880" s="2208">
        <v>0</v>
      </c>
      <c r="L880" s="2208">
        <v>0</v>
      </c>
      <c r="M880" s="2211">
        <v>0</v>
      </c>
      <c r="N880" s="2212">
        <v>277582</v>
      </c>
      <c r="O880" s="1118">
        <f t="shared" si="70"/>
        <v>277582</v>
      </c>
      <c r="P880" s="2213">
        <f t="shared" si="69"/>
        <v>74738.533873414664</v>
      </c>
    </row>
    <row r="881" spans="1:16" ht="14.5">
      <c r="A881" s="2042" t="s">
        <v>5047</v>
      </c>
      <c r="B881" s="380" t="str">
        <f t="shared" si="66"/>
        <v>091-914</v>
      </c>
      <c r="C881" s="2042" t="s">
        <v>985</v>
      </c>
      <c r="D881" s="2043">
        <v>849</v>
      </c>
      <c r="E881" s="2043">
        <v>985</v>
      </c>
      <c r="F881" s="2043">
        <f t="shared" si="67"/>
        <v>136</v>
      </c>
      <c r="G881" s="2043">
        <f t="shared" si="68"/>
        <v>0</v>
      </c>
      <c r="H881" s="2208">
        <v>0</v>
      </c>
      <c r="I881" s="2209">
        <v>0</v>
      </c>
      <c r="J881" s="2210">
        <v>0</v>
      </c>
      <c r="K881" s="2208">
        <v>0</v>
      </c>
      <c r="L881" s="2208">
        <v>0</v>
      </c>
      <c r="M881" s="2211">
        <v>0</v>
      </c>
      <c r="N881" s="2212">
        <v>215272</v>
      </c>
      <c r="O881" s="1118">
        <f t="shared" si="70"/>
        <v>215272</v>
      </c>
      <c r="P881" s="2213">
        <f t="shared" si="69"/>
        <v>57961.660568760657</v>
      </c>
    </row>
    <row r="882" spans="1:16" ht="14.5">
      <c r="A882" s="2042" t="s">
        <v>5083</v>
      </c>
      <c r="B882" s="380" t="str">
        <f t="shared" si="66"/>
        <v>105-902</v>
      </c>
      <c r="C882" s="2042" t="s">
        <v>989</v>
      </c>
      <c r="D882" s="2043">
        <v>7875</v>
      </c>
      <c r="E882" s="2043">
        <v>8013</v>
      </c>
      <c r="F882" s="2043">
        <f t="shared" si="67"/>
        <v>138</v>
      </c>
      <c r="G882" s="2043">
        <f t="shared" si="68"/>
        <v>0</v>
      </c>
      <c r="H882" s="2208">
        <v>0</v>
      </c>
      <c r="I882" s="2209">
        <v>0</v>
      </c>
      <c r="J882" s="2210">
        <v>0</v>
      </c>
      <c r="K882" s="2208">
        <v>0</v>
      </c>
      <c r="L882" s="2208">
        <v>0</v>
      </c>
      <c r="M882" s="2211">
        <v>0</v>
      </c>
      <c r="N882" s="2212">
        <v>0</v>
      </c>
      <c r="O882" s="1118">
        <f t="shared" si="70"/>
        <v>0</v>
      </c>
      <c r="P882" s="2213">
        <f t="shared" si="69"/>
        <v>0</v>
      </c>
    </row>
    <row r="883" spans="1:16" ht="14.5">
      <c r="A883" s="2042" t="s">
        <v>3209</v>
      </c>
      <c r="B883" s="380" t="str">
        <f t="shared" si="66"/>
        <v>220-907</v>
      </c>
      <c r="C883" s="2042" t="s">
        <v>390</v>
      </c>
      <c r="D883" s="2043">
        <v>34180</v>
      </c>
      <c r="E883" s="2043">
        <v>34319</v>
      </c>
      <c r="F883" s="2043">
        <f t="shared" si="67"/>
        <v>139</v>
      </c>
      <c r="G883" s="2043">
        <f t="shared" si="68"/>
        <v>0</v>
      </c>
      <c r="H883" s="2208">
        <v>0</v>
      </c>
      <c r="I883" s="2209">
        <v>0</v>
      </c>
      <c r="J883" s="2210">
        <v>0</v>
      </c>
      <c r="K883" s="2208">
        <v>0</v>
      </c>
      <c r="L883" s="2208">
        <v>0</v>
      </c>
      <c r="M883" s="2211">
        <v>0</v>
      </c>
      <c r="N883" s="2212">
        <v>0</v>
      </c>
      <c r="O883" s="1118">
        <f t="shared" si="70"/>
        <v>0</v>
      </c>
      <c r="P883" s="2213">
        <f t="shared" si="69"/>
        <v>0</v>
      </c>
    </row>
    <row r="884" spans="1:16" ht="14.5">
      <c r="A884" s="2042" t="s">
        <v>3166</v>
      </c>
      <c r="B884" s="380" t="str">
        <f t="shared" si="66"/>
        <v>181-901</v>
      </c>
      <c r="C884" s="2042" t="s">
        <v>1751</v>
      </c>
      <c r="D884" s="2043">
        <v>2887</v>
      </c>
      <c r="E884" s="2043">
        <v>3028</v>
      </c>
      <c r="F884" s="2043">
        <f t="shared" si="67"/>
        <v>141</v>
      </c>
      <c r="G884" s="2043">
        <f t="shared" si="68"/>
        <v>0</v>
      </c>
      <c r="H884" s="2208">
        <v>0</v>
      </c>
      <c r="I884" s="2209">
        <v>0</v>
      </c>
      <c r="J884" s="2210">
        <v>0</v>
      </c>
      <c r="K884" s="2208">
        <v>0</v>
      </c>
      <c r="L884" s="2208">
        <v>0</v>
      </c>
      <c r="M884" s="2211">
        <v>0</v>
      </c>
      <c r="N884" s="2212">
        <v>705616</v>
      </c>
      <c r="O884" s="1118">
        <f t="shared" si="70"/>
        <v>705616</v>
      </c>
      <c r="P884" s="2213">
        <f t="shared" si="69"/>
        <v>189986.04130535611</v>
      </c>
    </row>
    <row r="885" spans="1:16" ht="14.5">
      <c r="A885" s="2042" t="s">
        <v>4921</v>
      </c>
      <c r="B885" s="380" t="str">
        <f t="shared" si="66"/>
        <v>002-901</v>
      </c>
      <c r="C885" s="2042" t="s">
        <v>1119</v>
      </c>
      <c r="D885" s="2043">
        <v>3976</v>
      </c>
      <c r="E885" s="2043">
        <v>4128</v>
      </c>
      <c r="F885" s="2043">
        <f t="shared" si="67"/>
        <v>152</v>
      </c>
      <c r="G885" s="2043">
        <f t="shared" si="68"/>
        <v>0</v>
      </c>
      <c r="H885" s="2208">
        <v>0</v>
      </c>
      <c r="I885" s="2209">
        <v>0</v>
      </c>
      <c r="J885" s="2210">
        <v>0</v>
      </c>
      <c r="K885" s="2208">
        <v>0</v>
      </c>
      <c r="L885" s="2208">
        <v>0</v>
      </c>
      <c r="M885" s="2211">
        <v>0</v>
      </c>
      <c r="N885" s="2212">
        <v>1012665</v>
      </c>
      <c r="O885" s="1118">
        <f t="shared" si="70"/>
        <v>1012665</v>
      </c>
      <c r="P885" s="2213">
        <f t="shared" si="69"/>
        <v>272658.52038288309</v>
      </c>
    </row>
    <row r="886" spans="1:16" ht="14.5">
      <c r="A886" s="2042" t="s">
        <v>5125</v>
      </c>
      <c r="B886" s="380" t="str">
        <f t="shared" si="66"/>
        <v>129-905</v>
      </c>
      <c r="C886" s="2042" t="s">
        <v>1924</v>
      </c>
      <c r="D886" s="2043">
        <v>3392</v>
      </c>
      <c r="E886" s="2043">
        <v>3544</v>
      </c>
      <c r="F886" s="2043">
        <f t="shared" si="67"/>
        <v>152</v>
      </c>
      <c r="G886" s="2043">
        <f t="shared" si="68"/>
        <v>0</v>
      </c>
      <c r="H886" s="2208">
        <v>0</v>
      </c>
      <c r="I886" s="2209">
        <v>0</v>
      </c>
      <c r="J886" s="2210">
        <v>0</v>
      </c>
      <c r="K886" s="2208">
        <v>0</v>
      </c>
      <c r="L886" s="2208">
        <v>0</v>
      </c>
      <c r="M886" s="2211">
        <v>0</v>
      </c>
      <c r="N886" s="2212">
        <v>840401</v>
      </c>
      <c r="O886" s="1118">
        <f t="shared" si="70"/>
        <v>840401</v>
      </c>
      <c r="P886" s="2213">
        <f t="shared" si="69"/>
        <v>226276.69879801842</v>
      </c>
    </row>
    <row r="887" spans="1:16" ht="14.5">
      <c r="A887" s="2042" t="s">
        <v>3222</v>
      </c>
      <c r="B887" s="380" t="str">
        <f t="shared" si="66"/>
        <v>226-906</v>
      </c>
      <c r="C887" s="2042" t="s">
        <v>128</v>
      </c>
      <c r="D887" s="2043">
        <v>1105</v>
      </c>
      <c r="E887" s="2043">
        <v>1258</v>
      </c>
      <c r="F887" s="2043">
        <f t="shared" si="67"/>
        <v>153</v>
      </c>
      <c r="G887" s="2043">
        <f t="shared" si="68"/>
        <v>0</v>
      </c>
      <c r="H887" s="2208">
        <v>0</v>
      </c>
      <c r="I887" s="2209">
        <v>0</v>
      </c>
      <c r="J887" s="2210">
        <v>0</v>
      </c>
      <c r="K887" s="2208">
        <v>0</v>
      </c>
      <c r="L887" s="2208">
        <v>0</v>
      </c>
      <c r="M887" s="2211">
        <v>0</v>
      </c>
      <c r="N887" s="2212">
        <v>295955</v>
      </c>
      <c r="O887" s="1118">
        <f t="shared" si="70"/>
        <v>295955</v>
      </c>
      <c r="P887" s="2213">
        <f t="shared" si="69"/>
        <v>79685.436348561634</v>
      </c>
    </row>
    <row r="888" spans="1:16" ht="14.5">
      <c r="A888" s="2042" t="s">
        <v>3102</v>
      </c>
      <c r="B888" s="380" t="str">
        <f t="shared" si="66"/>
        <v>139-909</v>
      </c>
      <c r="C888" s="2042" t="s">
        <v>184</v>
      </c>
      <c r="D888" s="2043">
        <v>3703</v>
      </c>
      <c r="E888" s="2043">
        <v>3857</v>
      </c>
      <c r="F888" s="2043">
        <f t="shared" si="67"/>
        <v>154</v>
      </c>
      <c r="G888" s="2043">
        <f t="shared" si="68"/>
        <v>0</v>
      </c>
      <c r="H888" s="2208">
        <v>0</v>
      </c>
      <c r="I888" s="2209">
        <v>0</v>
      </c>
      <c r="J888" s="2210">
        <v>0</v>
      </c>
      <c r="K888" s="2208">
        <v>0</v>
      </c>
      <c r="L888" s="2208">
        <v>0</v>
      </c>
      <c r="M888" s="2211">
        <v>0</v>
      </c>
      <c r="N888" s="2212">
        <v>889205</v>
      </c>
      <c r="O888" s="1118">
        <f t="shared" si="70"/>
        <v>889205</v>
      </c>
      <c r="P888" s="2213">
        <f t="shared" si="69"/>
        <v>239417.10201997854</v>
      </c>
    </row>
    <row r="889" spans="1:16" ht="14.5">
      <c r="A889" s="2042" t="s">
        <v>3096</v>
      </c>
      <c r="B889" s="380" t="str">
        <f t="shared" si="66"/>
        <v>129-904</v>
      </c>
      <c r="C889" s="2042" t="s">
        <v>391</v>
      </c>
      <c r="D889" s="2043">
        <v>1498</v>
      </c>
      <c r="E889" s="2043">
        <v>1654</v>
      </c>
      <c r="F889" s="2043">
        <f t="shared" si="67"/>
        <v>156</v>
      </c>
      <c r="G889" s="2043">
        <f t="shared" si="68"/>
        <v>0</v>
      </c>
      <c r="H889" s="2208">
        <v>0</v>
      </c>
      <c r="I889" s="2209">
        <v>0</v>
      </c>
      <c r="J889" s="2210">
        <v>0</v>
      </c>
      <c r="K889" s="2208">
        <v>0</v>
      </c>
      <c r="L889" s="2208">
        <v>0</v>
      </c>
      <c r="M889" s="2211">
        <v>0</v>
      </c>
      <c r="N889" s="2212">
        <v>361656</v>
      </c>
      <c r="O889" s="1118">
        <f t="shared" si="70"/>
        <v>361656</v>
      </c>
      <c r="P889" s="2213">
        <f t="shared" si="69"/>
        <v>97375.331276969155</v>
      </c>
    </row>
    <row r="890" spans="1:16" ht="14.5">
      <c r="A890" s="2042" t="s">
        <v>3107</v>
      </c>
      <c r="B890" s="380" t="str">
        <f t="shared" si="66"/>
        <v>146-902</v>
      </c>
      <c r="C890" s="2042" t="s">
        <v>2517</v>
      </c>
      <c r="D890" s="2043">
        <v>5322</v>
      </c>
      <c r="E890" s="2043">
        <v>5480</v>
      </c>
      <c r="F890" s="2043">
        <f t="shared" si="67"/>
        <v>158</v>
      </c>
      <c r="G890" s="2043">
        <f t="shared" si="68"/>
        <v>0</v>
      </c>
      <c r="H890" s="2208">
        <v>0</v>
      </c>
      <c r="I890" s="2209">
        <v>0</v>
      </c>
      <c r="J890" s="2210">
        <v>0</v>
      </c>
      <c r="K890" s="2208">
        <v>0</v>
      </c>
      <c r="L890" s="2208">
        <v>0</v>
      </c>
      <c r="M890" s="2211">
        <v>0</v>
      </c>
      <c r="N890" s="2212">
        <v>0</v>
      </c>
      <c r="O890" s="1118">
        <f t="shared" si="70"/>
        <v>0</v>
      </c>
      <c r="P890" s="2213">
        <f t="shared" si="69"/>
        <v>0</v>
      </c>
    </row>
    <row r="891" spans="1:16" ht="14.5">
      <c r="A891" s="2042" t="s">
        <v>3201</v>
      </c>
      <c r="B891" s="380" t="str">
        <f t="shared" si="66"/>
        <v>212-903</v>
      </c>
      <c r="C891" s="2042" t="s">
        <v>1883</v>
      </c>
      <c r="D891" s="2043">
        <v>3987</v>
      </c>
      <c r="E891" s="2043">
        <v>4148</v>
      </c>
      <c r="F891" s="2043">
        <f t="shared" si="67"/>
        <v>161</v>
      </c>
      <c r="G891" s="2043">
        <f t="shared" si="68"/>
        <v>0</v>
      </c>
      <c r="H891" s="2208">
        <v>0</v>
      </c>
      <c r="I891" s="2209">
        <v>0</v>
      </c>
      <c r="J891" s="2210">
        <v>0</v>
      </c>
      <c r="K891" s="2208">
        <v>0</v>
      </c>
      <c r="L891" s="2208">
        <v>0</v>
      </c>
      <c r="M891" s="2211">
        <v>0</v>
      </c>
      <c r="N891" s="2212">
        <v>0</v>
      </c>
      <c r="O891" s="1118">
        <f t="shared" si="70"/>
        <v>0</v>
      </c>
      <c r="P891" s="2213">
        <f t="shared" si="69"/>
        <v>0</v>
      </c>
    </row>
    <row r="892" spans="1:16" ht="14.5">
      <c r="A892" s="2042" t="s">
        <v>3172</v>
      </c>
      <c r="B892" s="380" t="str">
        <f t="shared" si="66"/>
        <v>184-903</v>
      </c>
      <c r="C892" s="2042" t="s">
        <v>131</v>
      </c>
      <c r="D892" s="2043">
        <v>7861</v>
      </c>
      <c r="E892" s="2043">
        <v>8024</v>
      </c>
      <c r="F892" s="2043">
        <f t="shared" si="67"/>
        <v>163</v>
      </c>
      <c r="G892" s="2043">
        <f t="shared" si="68"/>
        <v>0</v>
      </c>
      <c r="H892" s="2208">
        <v>0</v>
      </c>
      <c r="I892" s="2209">
        <v>0</v>
      </c>
      <c r="J892" s="2210">
        <v>0</v>
      </c>
      <c r="K892" s="2208">
        <v>0</v>
      </c>
      <c r="L892" s="2208">
        <v>0</v>
      </c>
      <c r="M892" s="2211">
        <v>0</v>
      </c>
      <c r="N892" s="2212">
        <v>0</v>
      </c>
      <c r="O892" s="1118">
        <f t="shared" si="70"/>
        <v>0</v>
      </c>
      <c r="P892" s="2213">
        <f t="shared" si="69"/>
        <v>0</v>
      </c>
    </row>
    <row r="893" spans="1:16" ht="14.5">
      <c r="A893" s="2042" t="s">
        <v>2977</v>
      </c>
      <c r="B893" s="380" t="str">
        <f t="shared" si="66"/>
        <v>070-911</v>
      </c>
      <c r="C893" s="2042" t="s">
        <v>77</v>
      </c>
      <c r="D893" s="2043">
        <v>5837</v>
      </c>
      <c r="E893" s="2043">
        <v>6001</v>
      </c>
      <c r="F893" s="2043">
        <f t="shared" si="67"/>
        <v>164</v>
      </c>
      <c r="G893" s="2043">
        <f t="shared" si="68"/>
        <v>0</v>
      </c>
      <c r="H893" s="2208">
        <v>0</v>
      </c>
      <c r="I893" s="2209">
        <v>0</v>
      </c>
      <c r="J893" s="2210">
        <v>0</v>
      </c>
      <c r="K893" s="2208">
        <v>0</v>
      </c>
      <c r="L893" s="2208">
        <v>0</v>
      </c>
      <c r="M893" s="2211">
        <v>0</v>
      </c>
      <c r="N893" s="2212">
        <v>0</v>
      </c>
      <c r="O893" s="1118">
        <f t="shared" si="70"/>
        <v>0</v>
      </c>
      <c r="P893" s="2213">
        <f t="shared" si="69"/>
        <v>0</v>
      </c>
    </row>
    <row r="894" spans="1:16" ht="14.5">
      <c r="A894" s="2042" t="s">
        <v>5120</v>
      </c>
      <c r="B894" s="380" t="str">
        <f t="shared" si="66"/>
        <v>126-903</v>
      </c>
      <c r="C894" s="2042" t="s">
        <v>1093</v>
      </c>
      <c r="D894" s="2043">
        <v>6691</v>
      </c>
      <c r="E894" s="2043">
        <v>6859</v>
      </c>
      <c r="F894" s="2043">
        <f t="shared" si="67"/>
        <v>168</v>
      </c>
      <c r="G894" s="2043">
        <f t="shared" si="68"/>
        <v>0</v>
      </c>
      <c r="H894" s="2208">
        <v>0</v>
      </c>
      <c r="I894" s="2209">
        <v>0</v>
      </c>
      <c r="J894" s="2210">
        <v>0</v>
      </c>
      <c r="K894" s="2208">
        <v>0</v>
      </c>
      <c r="L894" s="2208">
        <v>0</v>
      </c>
      <c r="M894" s="2211">
        <v>0</v>
      </c>
      <c r="N894" s="2212">
        <v>0</v>
      </c>
      <c r="O894" s="1118">
        <f t="shared" si="70"/>
        <v>0</v>
      </c>
      <c r="P894" s="2213">
        <f t="shared" si="69"/>
        <v>0</v>
      </c>
    </row>
    <row r="895" spans="1:16" ht="14.5">
      <c r="A895" s="2042" t="s">
        <v>5100</v>
      </c>
      <c r="B895" s="380" t="str">
        <f t="shared" si="66"/>
        <v>114-902</v>
      </c>
      <c r="C895" s="2042" t="s">
        <v>1482</v>
      </c>
      <c r="D895" s="2043">
        <v>917</v>
      </c>
      <c r="E895" s="2043">
        <v>1095</v>
      </c>
      <c r="F895" s="2043">
        <f t="shared" si="67"/>
        <v>178</v>
      </c>
      <c r="G895" s="2043">
        <f t="shared" si="68"/>
        <v>0</v>
      </c>
      <c r="H895" s="2208">
        <v>0</v>
      </c>
      <c r="I895" s="2209">
        <v>0</v>
      </c>
      <c r="J895" s="2210">
        <v>0</v>
      </c>
      <c r="K895" s="2208">
        <v>0</v>
      </c>
      <c r="L895" s="2208">
        <v>0</v>
      </c>
      <c r="M895" s="2211">
        <v>0</v>
      </c>
      <c r="N895" s="2212">
        <v>248045</v>
      </c>
      <c r="O895" s="1118">
        <f t="shared" si="70"/>
        <v>248045</v>
      </c>
      <c r="P895" s="2213">
        <f t="shared" si="69"/>
        <v>66785.741275122811</v>
      </c>
    </row>
    <row r="896" spans="1:16" ht="14.5">
      <c r="A896" s="2042" t="s">
        <v>5200</v>
      </c>
      <c r="B896" s="380" t="str">
        <f t="shared" si="66"/>
        <v>178-902</v>
      </c>
      <c r="C896" s="2042" t="s">
        <v>2204</v>
      </c>
      <c r="D896" s="2043">
        <v>1378</v>
      </c>
      <c r="E896" s="2043">
        <v>1556</v>
      </c>
      <c r="F896" s="2043">
        <f t="shared" si="67"/>
        <v>178</v>
      </c>
      <c r="G896" s="2043">
        <f t="shared" si="68"/>
        <v>0</v>
      </c>
      <c r="H896" s="2208">
        <v>0</v>
      </c>
      <c r="I896" s="2209">
        <v>0</v>
      </c>
      <c r="J896" s="2210">
        <v>0</v>
      </c>
      <c r="K896" s="2208">
        <v>0</v>
      </c>
      <c r="L896" s="2208">
        <v>0</v>
      </c>
      <c r="M896" s="2211">
        <v>0</v>
      </c>
      <c r="N896" s="2212">
        <v>364439</v>
      </c>
      <c r="O896" s="1118">
        <f t="shared" si="70"/>
        <v>364439</v>
      </c>
      <c r="P896" s="2213">
        <f t="shared" si="69"/>
        <v>98124.649819849146</v>
      </c>
    </row>
    <row r="897" spans="1:16" ht="14.5">
      <c r="A897" s="2042" t="s">
        <v>3004</v>
      </c>
      <c r="B897" s="380" t="str">
        <f t="shared" si="66"/>
        <v>091-905</v>
      </c>
      <c r="C897" s="2042" t="s">
        <v>2247</v>
      </c>
      <c r="D897" s="2043">
        <v>1039</v>
      </c>
      <c r="E897" s="2043">
        <v>1224</v>
      </c>
      <c r="F897" s="2043">
        <f t="shared" si="67"/>
        <v>185</v>
      </c>
      <c r="G897" s="2043">
        <f t="shared" si="68"/>
        <v>0</v>
      </c>
      <c r="H897" s="2208">
        <v>0</v>
      </c>
      <c r="I897" s="2209">
        <v>0</v>
      </c>
      <c r="J897" s="2210">
        <v>0</v>
      </c>
      <c r="K897" s="2208">
        <v>0</v>
      </c>
      <c r="L897" s="2208">
        <v>0</v>
      </c>
      <c r="M897" s="2211">
        <v>0</v>
      </c>
      <c r="N897" s="2212">
        <v>293795</v>
      </c>
      <c r="O897" s="1118">
        <f t="shared" si="70"/>
        <v>293795</v>
      </c>
      <c r="P897" s="2213">
        <f t="shared" si="69"/>
        <v>79103.859613879351</v>
      </c>
    </row>
    <row r="898" spans="1:16" ht="14.5">
      <c r="A898" s="2042" t="s">
        <v>5255</v>
      </c>
      <c r="B898" s="380" t="str">
        <f t="shared" si="66"/>
        <v>212-902</v>
      </c>
      <c r="C898" s="2042" t="s">
        <v>1882</v>
      </c>
      <c r="D898" s="2043">
        <v>2487</v>
      </c>
      <c r="E898" s="2043">
        <v>2675</v>
      </c>
      <c r="F898" s="2043">
        <f t="shared" si="67"/>
        <v>188</v>
      </c>
      <c r="G898" s="2043">
        <f t="shared" si="68"/>
        <v>0</v>
      </c>
      <c r="H898" s="2208">
        <v>0</v>
      </c>
      <c r="I898" s="2209">
        <v>0</v>
      </c>
      <c r="J898" s="2210">
        <v>0</v>
      </c>
      <c r="K898" s="2208">
        <v>0</v>
      </c>
      <c r="L898" s="2208">
        <v>0</v>
      </c>
      <c r="M898" s="2211">
        <v>0</v>
      </c>
      <c r="N898" s="2212">
        <v>0</v>
      </c>
      <c r="O898" s="1118">
        <f t="shared" si="70"/>
        <v>0</v>
      </c>
      <c r="P898" s="2213">
        <f t="shared" si="69"/>
        <v>0</v>
      </c>
    </row>
    <row r="899" spans="1:16" ht="14.5">
      <c r="A899" s="2042" t="s">
        <v>5282</v>
      </c>
      <c r="B899" s="380" t="str">
        <f t="shared" ref="B899:B962" si="71">CONCATENATE(LEFT(RIGHT(CONCATENATE("000",A899),6),3),"-",(RIGHT(RIGHT(CONCATENATE("000",A899),6),3)))</f>
        <v>227-912</v>
      </c>
      <c r="C899" s="2042" t="s">
        <v>1804</v>
      </c>
      <c r="D899" s="2043">
        <v>1437</v>
      </c>
      <c r="E899" s="2043">
        <v>1625</v>
      </c>
      <c r="F899" s="2043">
        <f t="shared" ref="F899:F962" si="72">MAX(0,E899-D899)</f>
        <v>188</v>
      </c>
      <c r="G899" s="2043">
        <f t="shared" ref="G899:G962" si="73">MAX(0,F899-250)</f>
        <v>0</v>
      </c>
      <c r="H899" s="2208">
        <v>0</v>
      </c>
      <c r="I899" s="2209">
        <v>0</v>
      </c>
      <c r="J899" s="2210">
        <v>0</v>
      </c>
      <c r="K899" s="2208">
        <v>0</v>
      </c>
      <c r="L899" s="2208">
        <v>0</v>
      </c>
      <c r="M899" s="2211">
        <v>0</v>
      </c>
      <c r="N899" s="2212">
        <v>370235</v>
      </c>
      <c r="O899" s="1118">
        <f t="shared" si="70"/>
        <v>370235</v>
      </c>
      <c r="P899" s="2213">
        <f t="shared" ref="P899:P962" si="74">(40000000/$O$1022)*O899</f>
        <v>99685.214057913254</v>
      </c>
    </row>
    <row r="900" spans="1:16" ht="14.5">
      <c r="A900" s="2042" t="s">
        <v>3095</v>
      </c>
      <c r="B900" s="380" t="str">
        <f t="shared" si="71"/>
        <v>129-903</v>
      </c>
      <c r="C900" s="2042" t="s">
        <v>389</v>
      </c>
      <c r="D900" s="2043">
        <v>3836</v>
      </c>
      <c r="E900" s="2043">
        <v>4025</v>
      </c>
      <c r="F900" s="2043">
        <f t="shared" si="72"/>
        <v>189</v>
      </c>
      <c r="G900" s="2043">
        <f t="shared" si="73"/>
        <v>0</v>
      </c>
      <c r="H900" s="2208">
        <v>0</v>
      </c>
      <c r="I900" s="2209">
        <v>0</v>
      </c>
      <c r="J900" s="2210">
        <v>0</v>
      </c>
      <c r="K900" s="2208">
        <v>0</v>
      </c>
      <c r="L900" s="2208">
        <v>0</v>
      </c>
      <c r="M900" s="2211">
        <v>0</v>
      </c>
      <c r="N900" s="2212">
        <v>924945</v>
      </c>
      <c r="O900" s="1118">
        <f t="shared" si="70"/>
        <v>924945</v>
      </c>
      <c r="P900" s="2213">
        <f t="shared" si="74"/>
        <v>249040.04299106397</v>
      </c>
    </row>
    <row r="901" spans="1:16" ht="14.5">
      <c r="A901" s="2042" t="s">
        <v>2940</v>
      </c>
      <c r="B901" s="380" t="str">
        <f t="shared" si="71"/>
        <v>043-917</v>
      </c>
      <c r="C901" s="2042" t="s">
        <v>1269</v>
      </c>
      <c r="D901" s="2043">
        <v>699</v>
      </c>
      <c r="E901" s="2043">
        <v>888</v>
      </c>
      <c r="F901" s="2043">
        <f t="shared" si="72"/>
        <v>189</v>
      </c>
      <c r="G901" s="2043">
        <f t="shared" si="73"/>
        <v>0</v>
      </c>
      <c r="H901" s="2208">
        <v>0</v>
      </c>
      <c r="I901" s="2209">
        <v>0</v>
      </c>
      <c r="J901" s="2210">
        <v>0</v>
      </c>
      <c r="K901" s="2208">
        <v>0</v>
      </c>
      <c r="L901" s="2208">
        <v>0</v>
      </c>
      <c r="M901" s="2211">
        <v>0</v>
      </c>
      <c r="N901" s="2212">
        <v>209917</v>
      </c>
      <c r="O901" s="1118">
        <f t="shared" si="70"/>
        <v>209917</v>
      </c>
      <c r="P901" s="2213">
        <f t="shared" si="74"/>
        <v>56519.83491402751</v>
      </c>
    </row>
    <row r="902" spans="1:16" ht="14.5">
      <c r="A902" s="2042" t="s">
        <v>5259</v>
      </c>
      <c r="B902" s="380" t="str">
        <f t="shared" si="71"/>
        <v>213-901</v>
      </c>
      <c r="C902" s="2042" t="s">
        <v>1887</v>
      </c>
      <c r="D902" s="2043">
        <v>1732</v>
      </c>
      <c r="E902" s="2043">
        <v>1921</v>
      </c>
      <c r="F902" s="2043">
        <f t="shared" si="72"/>
        <v>189</v>
      </c>
      <c r="G902" s="2043">
        <f t="shared" si="73"/>
        <v>0</v>
      </c>
      <c r="H902" s="2208">
        <v>0</v>
      </c>
      <c r="I902" s="2209">
        <v>0</v>
      </c>
      <c r="J902" s="2210">
        <v>0</v>
      </c>
      <c r="K902" s="2208">
        <v>0</v>
      </c>
      <c r="L902" s="2208">
        <v>0</v>
      </c>
      <c r="M902" s="2211">
        <v>0</v>
      </c>
      <c r="N902" s="2212">
        <v>437379</v>
      </c>
      <c r="O902" s="1118">
        <f t="shared" si="70"/>
        <v>437379</v>
      </c>
      <c r="P902" s="2213">
        <f t="shared" si="74"/>
        <v>117763.63455490713</v>
      </c>
    </row>
    <row r="903" spans="1:16" ht="14.5">
      <c r="A903" s="2042" t="s">
        <v>2948</v>
      </c>
      <c r="B903" s="380" t="str">
        <f t="shared" si="71"/>
        <v>049-901</v>
      </c>
      <c r="C903" s="2042" t="s">
        <v>1391</v>
      </c>
      <c r="D903" s="2043">
        <v>2862</v>
      </c>
      <c r="E903" s="2043">
        <v>3057</v>
      </c>
      <c r="F903" s="2043">
        <f t="shared" si="72"/>
        <v>195</v>
      </c>
      <c r="G903" s="2043">
        <f t="shared" si="73"/>
        <v>0</v>
      </c>
      <c r="H903" s="2208">
        <v>0</v>
      </c>
      <c r="I903" s="2209">
        <v>0</v>
      </c>
      <c r="J903" s="2210">
        <v>0</v>
      </c>
      <c r="K903" s="2208">
        <v>0</v>
      </c>
      <c r="L903" s="2208">
        <v>0</v>
      </c>
      <c r="M903" s="2211">
        <v>0</v>
      </c>
      <c r="N903" s="2212">
        <v>690643</v>
      </c>
      <c r="O903" s="1118">
        <f t="shared" si="70"/>
        <v>690643</v>
      </c>
      <c r="P903" s="2213">
        <f t="shared" si="74"/>
        <v>185954.58369035716</v>
      </c>
    </row>
    <row r="904" spans="1:16" ht="14.5">
      <c r="A904" s="2042" t="s">
        <v>5227</v>
      </c>
      <c r="B904" s="380" t="str">
        <f t="shared" si="71"/>
        <v>187-910</v>
      </c>
      <c r="C904" s="2042" t="s">
        <v>425</v>
      </c>
      <c r="D904" s="2043">
        <v>984</v>
      </c>
      <c r="E904" s="2043">
        <v>1180</v>
      </c>
      <c r="F904" s="2043">
        <f t="shared" si="72"/>
        <v>196</v>
      </c>
      <c r="G904" s="2043">
        <f t="shared" si="73"/>
        <v>0</v>
      </c>
      <c r="H904" s="2208">
        <v>0</v>
      </c>
      <c r="I904" s="2209">
        <v>0</v>
      </c>
      <c r="J904" s="2210">
        <v>0</v>
      </c>
      <c r="K904" s="2208">
        <v>0</v>
      </c>
      <c r="L904" s="2208">
        <v>0</v>
      </c>
      <c r="M904" s="2211">
        <v>0</v>
      </c>
      <c r="N904" s="2212">
        <v>259123</v>
      </c>
      <c r="O904" s="1118">
        <f t="shared" si="70"/>
        <v>259123</v>
      </c>
      <c r="P904" s="2213">
        <f t="shared" si="74"/>
        <v>69768.476028275705</v>
      </c>
    </row>
    <row r="905" spans="1:16" ht="14.5">
      <c r="A905" s="2042" t="s">
        <v>5163</v>
      </c>
      <c r="B905" s="380" t="str">
        <f t="shared" si="71"/>
        <v>153-905</v>
      </c>
      <c r="C905" s="2042" t="s">
        <v>525</v>
      </c>
      <c r="D905" s="2043">
        <v>374</v>
      </c>
      <c r="E905" s="2043">
        <v>575</v>
      </c>
      <c r="F905" s="2043">
        <f t="shared" si="72"/>
        <v>201</v>
      </c>
      <c r="G905" s="2043">
        <f t="shared" si="73"/>
        <v>0</v>
      </c>
      <c r="H905" s="2208">
        <v>0</v>
      </c>
      <c r="I905" s="2209">
        <v>0</v>
      </c>
      <c r="J905" s="2210">
        <v>0</v>
      </c>
      <c r="K905" s="2208">
        <v>0</v>
      </c>
      <c r="L905" s="2208">
        <v>0</v>
      </c>
      <c r="M905" s="2211">
        <v>0</v>
      </c>
      <c r="N905" s="2212">
        <v>119116</v>
      </c>
      <c r="O905" s="1118">
        <f t="shared" si="70"/>
        <v>119116</v>
      </c>
      <c r="P905" s="2213">
        <f t="shared" si="74"/>
        <v>32071.802929821315</v>
      </c>
    </row>
    <row r="906" spans="1:16" ht="14.5">
      <c r="A906" s="2042" t="s">
        <v>3009</v>
      </c>
      <c r="B906" s="380" t="str">
        <f t="shared" si="71"/>
        <v>091-917</v>
      </c>
      <c r="C906" s="2042" t="s">
        <v>1636</v>
      </c>
      <c r="D906" s="2043">
        <v>822</v>
      </c>
      <c r="E906" s="2043">
        <v>1024</v>
      </c>
      <c r="F906" s="2043">
        <f t="shared" si="72"/>
        <v>202</v>
      </c>
      <c r="G906" s="2043">
        <f t="shared" si="73"/>
        <v>0</v>
      </c>
      <c r="H906" s="2208">
        <v>0</v>
      </c>
      <c r="I906" s="2209">
        <v>0</v>
      </c>
      <c r="J906" s="2210">
        <v>0</v>
      </c>
      <c r="K906" s="2208">
        <v>0</v>
      </c>
      <c r="L906" s="2208">
        <v>0</v>
      </c>
      <c r="M906" s="2211">
        <v>0</v>
      </c>
      <c r="N906" s="2212">
        <v>226496</v>
      </c>
      <c r="O906" s="1118">
        <f t="shared" si="70"/>
        <v>226496</v>
      </c>
      <c r="P906" s="2213">
        <f t="shared" si="74"/>
        <v>60983.705601202259</v>
      </c>
    </row>
    <row r="907" spans="1:16" ht="14.5">
      <c r="A907" s="2042" t="s">
        <v>3087</v>
      </c>
      <c r="B907" s="380" t="str">
        <f t="shared" si="71"/>
        <v>126-908</v>
      </c>
      <c r="C907" s="2042" t="s">
        <v>2499</v>
      </c>
      <c r="D907" s="2043">
        <v>1992</v>
      </c>
      <c r="E907" s="2043">
        <v>2197</v>
      </c>
      <c r="F907" s="2043">
        <f t="shared" si="72"/>
        <v>205</v>
      </c>
      <c r="G907" s="2043">
        <f t="shared" si="73"/>
        <v>0</v>
      </c>
      <c r="H907" s="2208">
        <v>0</v>
      </c>
      <c r="I907" s="2209">
        <v>0</v>
      </c>
      <c r="J907" s="2210">
        <v>0</v>
      </c>
      <c r="K907" s="2208">
        <v>0</v>
      </c>
      <c r="L907" s="2208">
        <v>0</v>
      </c>
      <c r="M907" s="2211">
        <v>0</v>
      </c>
      <c r="N907" s="2212">
        <v>507556</v>
      </c>
      <c r="O907" s="1118">
        <f t="shared" si="70"/>
        <v>507556</v>
      </c>
      <c r="P907" s="2213">
        <f t="shared" si="74"/>
        <v>136658.68571685068</v>
      </c>
    </row>
    <row r="908" spans="1:16" ht="14.5">
      <c r="A908" s="2042" t="s">
        <v>3248</v>
      </c>
      <c r="B908" s="380" t="str">
        <f t="shared" si="71"/>
        <v>237-905</v>
      </c>
      <c r="C908" s="2042" t="s">
        <v>91</v>
      </c>
      <c r="D908" s="2043">
        <v>2270</v>
      </c>
      <c r="E908" s="2043">
        <v>2476</v>
      </c>
      <c r="F908" s="2043">
        <f t="shared" si="72"/>
        <v>206</v>
      </c>
      <c r="G908" s="2043">
        <f t="shared" si="73"/>
        <v>0</v>
      </c>
      <c r="H908" s="2208">
        <v>0</v>
      </c>
      <c r="I908" s="2209">
        <v>0</v>
      </c>
      <c r="J908" s="2210">
        <v>0</v>
      </c>
      <c r="K908" s="2208">
        <v>0</v>
      </c>
      <c r="L908" s="2208">
        <v>0</v>
      </c>
      <c r="M908" s="2211">
        <v>0</v>
      </c>
      <c r="N908" s="2212">
        <v>0</v>
      </c>
      <c r="O908" s="1118">
        <f t="shared" si="70"/>
        <v>0</v>
      </c>
      <c r="P908" s="2213">
        <f t="shared" si="74"/>
        <v>0</v>
      </c>
    </row>
    <row r="909" spans="1:16" ht="14.5">
      <c r="A909" s="2042" t="s">
        <v>4285</v>
      </c>
      <c r="B909" s="380" t="str">
        <f t="shared" si="71"/>
        <v>126-904</v>
      </c>
      <c r="C909" s="2042" t="s">
        <v>818</v>
      </c>
      <c r="D909" s="2043">
        <v>1135</v>
      </c>
      <c r="E909" s="2043">
        <v>1342</v>
      </c>
      <c r="F909" s="2043">
        <f t="shared" si="72"/>
        <v>207</v>
      </c>
      <c r="G909" s="2043">
        <f t="shared" si="73"/>
        <v>0</v>
      </c>
      <c r="H909" s="2208">
        <v>0</v>
      </c>
      <c r="I909" s="2209">
        <v>0</v>
      </c>
      <c r="J909" s="2210">
        <v>0</v>
      </c>
      <c r="K909" s="2208">
        <v>0</v>
      </c>
      <c r="L909" s="2208">
        <v>0</v>
      </c>
      <c r="M909" s="2211">
        <v>0</v>
      </c>
      <c r="N909" s="2212">
        <v>316567</v>
      </c>
      <c r="O909" s="1118">
        <f t="shared" si="70"/>
        <v>316567</v>
      </c>
      <c r="P909" s="2213">
        <f t="shared" si="74"/>
        <v>85235.186188964915</v>
      </c>
    </row>
    <row r="910" spans="1:16" ht="14.5">
      <c r="A910" s="2042" t="s">
        <v>3171</v>
      </c>
      <c r="B910" s="380" t="str">
        <f t="shared" si="71"/>
        <v>184-902</v>
      </c>
      <c r="C910" s="2042" t="s">
        <v>1830</v>
      </c>
      <c r="D910" s="2043">
        <v>3406</v>
      </c>
      <c r="E910" s="2043">
        <v>3619</v>
      </c>
      <c r="F910" s="2043">
        <f t="shared" si="72"/>
        <v>213</v>
      </c>
      <c r="G910" s="2043">
        <f t="shared" si="73"/>
        <v>0</v>
      </c>
      <c r="H910" s="2208">
        <v>0</v>
      </c>
      <c r="I910" s="2209">
        <v>0</v>
      </c>
      <c r="J910" s="2210">
        <v>0</v>
      </c>
      <c r="K910" s="2208">
        <v>0</v>
      </c>
      <c r="L910" s="2208">
        <v>0</v>
      </c>
      <c r="M910" s="2211">
        <v>0</v>
      </c>
      <c r="N910" s="2212">
        <v>0</v>
      </c>
      <c r="O910" s="1118">
        <f t="shared" si="70"/>
        <v>0</v>
      </c>
      <c r="P910" s="2213">
        <f t="shared" si="74"/>
        <v>0</v>
      </c>
    </row>
    <row r="911" spans="1:16" ht="14.5">
      <c r="A911" s="2042" t="s">
        <v>2992</v>
      </c>
      <c r="B911" s="380" t="str">
        <f t="shared" si="71"/>
        <v>074-912</v>
      </c>
      <c r="C911" s="2042" t="s">
        <v>5</v>
      </c>
      <c r="D911" s="2043">
        <v>510</v>
      </c>
      <c r="E911" s="2043">
        <v>725</v>
      </c>
      <c r="F911" s="2043">
        <f t="shared" si="72"/>
        <v>215</v>
      </c>
      <c r="G911" s="2043">
        <f t="shared" si="73"/>
        <v>0</v>
      </c>
      <c r="H911" s="2208">
        <v>0</v>
      </c>
      <c r="I911" s="2209">
        <v>0</v>
      </c>
      <c r="J911" s="2210">
        <v>0</v>
      </c>
      <c r="K911" s="2208">
        <v>0</v>
      </c>
      <c r="L911" s="2208">
        <v>0</v>
      </c>
      <c r="M911" s="2211">
        <v>0</v>
      </c>
      <c r="N911" s="2212">
        <v>157922</v>
      </c>
      <c r="O911" s="1118">
        <f t="shared" si="70"/>
        <v>157922</v>
      </c>
      <c r="P911" s="2213">
        <f t="shared" si="74"/>
        <v>42520.259765969655</v>
      </c>
    </row>
    <row r="912" spans="1:16" ht="14.5">
      <c r="A912" s="2042" t="s">
        <v>3081</v>
      </c>
      <c r="B912" s="380" t="str">
        <f t="shared" si="71"/>
        <v>125-905</v>
      </c>
      <c r="C912" s="2042" t="s">
        <v>1983</v>
      </c>
      <c r="D912" s="2043">
        <v>486</v>
      </c>
      <c r="E912" s="2043">
        <v>702</v>
      </c>
      <c r="F912" s="2043">
        <f t="shared" si="72"/>
        <v>216</v>
      </c>
      <c r="G912" s="2043">
        <f t="shared" si="73"/>
        <v>0</v>
      </c>
      <c r="H912" s="2208">
        <v>0</v>
      </c>
      <c r="I912" s="2209">
        <v>0</v>
      </c>
      <c r="J912" s="2210">
        <v>0</v>
      </c>
      <c r="K912" s="2208">
        <v>0</v>
      </c>
      <c r="L912" s="2208">
        <v>0</v>
      </c>
      <c r="M912" s="2211">
        <v>0</v>
      </c>
      <c r="N912" s="2212">
        <v>141649</v>
      </c>
      <c r="O912" s="1118">
        <f t="shared" si="70"/>
        <v>141649</v>
      </c>
      <c r="P912" s="2213">
        <f t="shared" si="74"/>
        <v>38138.779116208229</v>
      </c>
    </row>
    <row r="913" spans="1:16" ht="14.5">
      <c r="A913" s="2042" t="s">
        <v>5234</v>
      </c>
      <c r="B913" s="380" t="str">
        <f t="shared" si="71"/>
        <v>195-901</v>
      </c>
      <c r="C913" s="2042" t="s">
        <v>1531</v>
      </c>
      <c r="D913" s="2043">
        <v>2473</v>
      </c>
      <c r="E913" s="2043">
        <v>2697</v>
      </c>
      <c r="F913" s="2043">
        <f t="shared" si="72"/>
        <v>224</v>
      </c>
      <c r="G913" s="2043">
        <f t="shared" si="73"/>
        <v>0</v>
      </c>
      <c r="H913" s="2208">
        <v>0</v>
      </c>
      <c r="I913" s="2209">
        <v>0</v>
      </c>
      <c r="J913" s="2210">
        <v>0</v>
      </c>
      <c r="K913" s="2208">
        <v>0</v>
      </c>
      <c r="L913" s="2208">
        <v>0</v>
      </c>
      <c r="M913" s="2211">
        <v>0</v>
      </c>
      <c r="N913" s="2212">
        <v>642272</v>
      </c>
      <c r="O913" s="1118">
        <f t="shared" si="70"/>
        <v>642272</v>
      </c>
      <c r="P913" s="2213">
        <f t="shared" si="74"/>
        <v>172930.76506382177</v>
      </c>
    </row>
    <row r="914" spans="1:16" ht="14.5">
      <c r="A914" s="2042" t="s">
        <v>5065</v>
      </c>
      <c r="B914" s="380" t="str">
        <f t="shared" si="71"/>
        <v>100-905</v>
      </c>
      <c r="C914" s="2042" t="s">
        <v>451</v>
      </c>
      <c r="D914" s="2043">
        <v>2254</v>
      </c>
      <c r="E914" s="2043">
        <v>2481</v>
      </c>
      <c r="F914" s="2043">
        <f t="shared" si="72"/>
        <v>227</v>
      </c>
      <c r="G914" s="2043">
        <f t="shared" si="73"/>
        <v>0</v>
      </c>
      <c r="H914" s="2208">
        <v>0</v>
      </c>
      <c r="I914" s="2209">
        <v>0</v>
      </c>
      <c r="J914" s="2210">
        <v>0</v>
      </c>
      <c r="K914" s="2208">
        <v>0</v>
      </c>
      <c r="L914" s="2208">
        <v>0</v>
      </c>
      <c r="M914" s="2211">
        <v>0</v>
      </c>
      <c r="N914" s="2212">
        <v>572256</v>
      </c>
      <c r="O914" s="1118">
        <f t="shared" si="70"/>
        <v>572256</v>
      </c>
      <c r="P914" s="2213">
        <f t="shared" si="74"/>
        <v>154079.06290849112</v>
      </c>
    </row>
    <row r="915" spans="1:16" ht="14.5">
      <c r="A915" s="2042" t="s">
        <v>3017</v>
      </c>
      <c r="B915" s="380" t="str">
        <f t="shared" si="71"/>
        <v>100-907</v>
      </c>
      <c r="C915" s="2042" t="s">
        <v>793</v>
      </c>
      <c r="D915" s="2043">
        <v>3915</v>
      </c>
      <c r="E915" s="2043">
        <v>4144</v>
      </c>
      <c r="F915" s="2043">
        <f t="shared" si="72"/>
        <v>229</v>
      </c>
      <c r="G915" s="2043">
        <f t="shared" si="73"/>
        <v>0</v>
      </c>
      <c r="H915" s="2208">
        <v>0</v>
      </c>
      <c r="I915" s="2209">
        <v>0</v>
      </c>
      <c r="J915" s="2210">
        <v>0</v>
      </c>
      <c r="K915" s="2208">
        <v>0</v>
      </c>
      <c r="L915" s="2208">
        <v>0</v>
      </c>
      <c r="M915" s="2211">
        <v>0</v>
      </c>
      <c r="N915" s="2212">
        <v>957597</v>
      </c>
      <c r="O915" s="1118">
        <f t="shared" si="70"/>
        <v>957597</v>
      </c>
      <c r="P915" s="2213">
        <f t="shared" si="74"/>
        <v>257831.54463034438</v>
      </c>
    </row>
    <row r="916" spans="1:16" ht="14.5">
      <c r="A916" s="2042" t="s">
        <v>3147</v>
      </c>
      <c r="B916" s="380" t="str">
        <f t="shared" si="71"/>
        <v>170-906</v>
      </c>
      <c r="C916" s="2042" t="s">
        <v>273</v>
      </c>
      <c r="D916" s="2043">
        <v>12888</v>
      </c>
      <c r="E916" s="2043">
        <v>13122</v>
      </c>
      <c r="F916" s="2043">
        <f t="shared" si="72"/>
        <v>234</v>
      </c>
      <c r="G916" s="2043">
        <f t="shared" si="73"/>
        <v>0</v>
      </c>
      <c r="H916" s="2208">
        <v>0</v>
      </c>
      <c r="I916" s="2209">
        <v>0</v>
      </c>
      <c r="J916" s="2210">
        <v>0</v>
      </c>
      <c r="K916" s="2208">
        <v>0</v>
      </c>
      <c r="L916" s="2208">
        <v>0</v>
      </c>
      <c r="M916" s="2211">
        <v>0</v>
      </c>
      <c r="N916" s="2212">
        <v>3056927</v>
      </c>
      <c r="O916" s="1118">
        <f t="shared" si="70"/>
        <v>3056927</v>
      </c>
      <c r="P916" s="2213">
        <f t="shared" si="74"/>
        <v>823072.97352874407</v>
      </c>
    </row>
    <row r="917" spans="1:16" ht="14.5">
      <c r="A917" s="2042" t="s">
        <v>3021</v>
      </c>
      <c r="B917" s="380" t="str">
        <f t="shared" si="71"/>
        <v>101-905</v>
      </c>
      <c r="C917" s="2042" t="s">
        <v>452</v>
      </c>
      <c r="D917" s="2043">
        <v>9335</v>
      </c>
      <c r="E917" s="2043">
        <v>9572</v>
      </c>
      <c r="F917" s="2043">
        <f t="shared" si="72"/>
        <v>237</v>
      </c>
      <c r="G917" s="2043">
        <f t="shared" si="73"/>
        <v>0</v>
      </c>
      <c r="I917" s="2209">
        <v>0</v>
      </c>
      <c r="J917" s="2210">
        <v>0</v>
      </c>
      <c r="K917" s="2208">
        <v>0</v>
      </c>
      <c r="L917" s="2208">
        <v>0</v>
      </c>
      <c r="M917" s="2211">
        <v>0</v>
      </c>
      <c r="N917" s="2212">
        <v>0</v>
      </c>
      <c r="O917" s="1118">
        <f t="shared" si="70"/>
        <v>0</v>
      </c>
      <c r="P917" s="2213">
        <f t="shared" si="74"/>
        <v>0</v>
      </c>
    </row>
    <row r="918" spans="1:16" ht="14.5">
      <c r="A918" s="2042" t="s">
        <v>5271</v>
      </c>
      <c r="B918" s="380" t="str">
        <f t="shared" si="71"/>
        <v>221-911</v>
      </c>
      <c r="C918" s="2042" t="s">
        <v>2210</v>
      </c>
      <c r="D918" s="2043">
        <v>1159</v>
      </c>
      <c r="E918" s="2043">
        <v>1414</v>
      </c>
      <c r="F918" s="2043">
        <f t="shared" si="72"/>
        <v>255</v>
      </c>
      <c r="G918" s="2043">
        <f t="shared" si="73"/>
        <v>5</v>
      </c>
      <c r="H918" s="2043">
        <f>G918</f>
        <v>5</v>
      </c>
      <c r="I918" s="2209">
        <f t="shared" ref="I918:I981" si="75">H918/H$1021</f>
        <v>3.4614053305642091E-5</v>
      </c>
      <c r="J918" s="41">
        <f t="shared" ref="J918:J981" si="76">IF(I918=0,0,IF(I918&lt;=0.3,1,IF(AND(I918&gt;0.3,I918&lt;=0.6),2,3)))</f>
        <v>1</v>
      </c>
      <c r="K918" s="107">
        <f t="shared" ref="K918:K981" si="77">IF(I918=0,0,IF(J918=1,0.15,IF(J918=2,0.3,0.45)))</f>
        <v>0.15</v>
      </c>
      <c r="L918" s="2214">
        <f>G918*6160*K918</f>
        <v>4620</v>
      </c>
      <c r="M918" s="731">
        <f>(270000000/$L$1022)*L918</f>
        <v>4432.3184965575656</v>
      </c>
      <c r="N918" s="2212">
        <v>321306</v>
      </c>
      <c r="O918" s="1118">
        <f t="shared" si="70"/>
        <v>316873.68150344241</v>
      </c>
      <c r="P918" s="2213">
        <f t="shared" si="74"/>
        <v>85317.759720149857</v>
      </c>
    </row>
    <row r="919" spans="1:16" ht="14.5">
      <c r="A919" s="2042" t="s">
        <v>4710</v>
      </c>
      <c r="B919" s="380" t="str">
        <f t="shared" si="71"/>
        <v>220-919</v>
      </c>
      <c r="C919" s="2042" t="s">
        <v>615</v>
      </c>
      <c r="D919" s="2043">
        <v>8068</v>
      </c>
      <c r="E919" s="2043">
        <v>8324</v>
      </c>
      <c r="F919" s="2043">
        <f t="shared" si="72"/>
        <v>256</v>
      </c>
      <c r="G919" s="2043">
        <f t="shared" si="73"/>
        <v>6</v>
      </c>
      <c r="H919" s="2043">
        <f>H918+G919</f>
        <v>11</v>
      </c>
      <c r="I919" s="2209">
        <f t="shared" si="75"/>
        <v>7.6150917272412602E-5</v>
      </c>
      <c r="J919" s="41">
        <f t="shared" si="76"/>
        <v>1</v>
      </c>
      <c r="K919" s="107">
        <f t="shared" si="77"/>
        <v>0.15</v>
      </c>
      <c r="L919" s="2214">
        <f t="shared" ref="L919:L982" si="78">G919*6160*K919</f>
        <v>5544</v>
      </c>
      <c r="M919" s="731">
        <f t="shared" ref="M919:M982" si="79">(270000000/$L$1022)*L919</f>
        <v>5318.7821958690793</v>
      </c>
      <c r="N919" s="2212">
        <v>0</v>
      </c>
      <c r="O919" s="1118">
        <f t="shared" si="70"/>
        <v>0</v>
      </c>
      <c r="P919" s="2213">
        <f t="shared" si="74"/>
        <v>0</v>
      </c>
    </row>
    <row r="920" spans="1:16" ht="14.5">
      <c r="A920" s="2042" t="s">
        <v>4973</v>
      </c>
      <c r="B920" s="380" t="str">
        <f t="shared" si="71"/>
        <v>043-919</v>
      </c>
      <c r="C920" s="2042" t="s">
        <v>2078</v>
      </c>
      <c r="D920" s="2043">
        <v>3946</v>
      </c>
      <c r="E920" s="2043">
        <v>4206</v>
      </c>
      <c r="F920" s="2043">
        <f t="shared" si="72"/>
        <v>260</v>
      </c>
      <c r="G920" s="2043">
        <f t="shared" si="73"/>
        <v>10</v>
      </c>
      <c r="H920" s="2043">
        <f t="shared" ref="H920:H983" si="80">H919+G920</f>
        <v>21</v>
      </c>
      <c r="I920" s="2209">
        <f t="shared" si="75"/>
        <v>1.4537902388369678E-4</v>
      </c>
      <c r="J920" s="41">
        <f t="shared" si="76"/>
        <v>1</v>
      </c>
      <c r="K920" s="107">
        <f t="shared" si="77"/>
        <v>0.15</v>
      </c>
      <c r="L920" s="2214">
        <f t="shared" si="78"/>
        <v>9240</v>
      </c>
      <c r="M920" s="731">
        <f t="shared" si="79"/>
        <v>8864.6369931151312</v>
      </c>
      <c r="N920" s="2212">
        <v>1036352</v>
      </c>
      <c r="O920" s="1118">
        <f t="shared" si="70"/>
        <v>1027487.3630068848</v>
      </c>
      <c r="P920" s="2213">
        <f t="shared" si="74"/>
        <v>276649.41921520693</v>
      </c>
    </row>
    <row r="921" spans="1:16" ht="14.5">
      <c r="A921" s="2042" t="s">
        <v>5045</v>
      </c>
      <c r="B921" s="380" t="str">
        <f t="shared" si="71"/>
        <v>091-907</v>
      </c>
      <c r="C921" s="2042" t="s">
        <v>1557</v>
      </c>
      <c r="D921" s="2043">
        <v>475</v>
      </c>
      <c r="E921" s="2043">
        <v>737</v>
      </c>
      <c r="F921" s="2043">
        <f t="shared" si="72"/>
        <v>262</v>
      </c>
      <c r="G921" s="2043">
        <f t="shared" si="73"/>
        <v>12</v>
      </c>
      <c r="H921" s="2043">
        <f t="shared" si="80"/>
        <v>33</v>
      </c>
      <c r="I921" s="2209">
        <f t="shared" si="75"/>
        <v>2.2845275181723781E-4</v>
      </c>
      <c r="J921" s="41">
        <f t="shared" si="76"/>
        <v>1</v>
      </c>
      <c r="K921" s="107">
        <f t="shared" si="77"/>
        <v>0.15</v>
      </c>
      <c r="L921" s="2214">
        <f t="shared" si="78"/>
        <v>11088</v>
      </c>
      <c r="M921" s="731">
        <f t="shared" si="79"/>
        <v>10637.564391738159</v>
      </c>
      <c r="N921" s="2212">
        <v>158670</v>
      </c>
      <c r="O921" s="1118">
        <f t="shared" ref="O921:O984" si="81">IF(N921&gt;M921,N921-M921,0)</f>
        <v>148032.43560826185</v>
      </c>
      <c r="P921" s="2213">
        <f t="shared" si="74"/>
        <v>39857.509503757996</v>
      </c>
    </row>
    <row r="922" spans="1:16" ht="14.5">
      <c r="A922" s="2042" t="s">
        <v>3130</v>
      </c>
      <c r="B922" s="380" t="str">
        <f t="shared" si="71"/>
        <v>161-920</v>
      </c>
      <c r="C922" s="2042" t="s">
        <v>1090</v>
      </c>
      <c r="D922" s="2043">
        <v>2604</v>
      </c>
      <c r="E922" s="2043">
        <v>2870</v>
      </c>
      <c r="F922" s="2043">
        <f t="shared" si="72"/>
        <v>266</v>
      </c>
      <c r="G922" s="2043">
        <f t="shared" si="73"/>
        <v>16</v>
      </c>
      <c r="H922" s="2043">
        <f t="shared" si="80"/>
        <v>49</v>
      </c>
      <c r="I922" s="2209">
        <f t="shared" si="75"/>
        <v>3.3921772239529251E-4</v>
      </c>
      <c r="J922" s="41">
        <f t="shared" si="76"/>
        <v>1</v>
      </c>
      <c r="K922" s="107">
        <f t="shared" si="77"/>
        <v>0.15</v>
      </c>
      <c r="L922" s="2214">
        <f t="shared" si="78"/>
        <v>14784</v>
      </c>
      <c r="M922" s="731">
        <f t="shared" si="79"/>
        <v>14183.419188984211</v>
      </c>
      <c r="N922" s="2212">
        <v>679788</v>
      </c>
      <c r="O922" s="1118">
        <f t="shared" si="81"/>
        <v>665604.5808110158</v>
      </c>
      <c r="P922" s="2213">
        <f t="shared" si="74"/>
        <v>179213.02717483146</v>
      </c>
    </row>
    <row r="923" spans="1:16" ht="14.5">
      <c r="A923" s="2042" t="s">
        <v>4305</v>
      </c>
      <c r="B923" s="380" t="str">
        <f t="shared" si="71"/>
        <v>128-901</v>
      </c>
      <c r="C923" s="2042" t="s">
        <v>387</v>
      </c>
      <c r="D923" s="2043">
        <v>1047</v>
      </c>
      <c r="E923" s="2043">
        <v>1315</v>
      </c>
      <c r="F923" s="2043">
        <f t="shared" si="72"/>
        <v>268</v>
      </c>
      <c r="G923" s="2043">
        <f t="shared" si="73"/>
        <v>18</v>
      </c>
      <c r="H923" s="2043">
        <f t="shared" si="80"/>
        <v>67</v>
      </c>
      <c r="I923" s="2209">
        <f t="shared" si="75"/>
        <v>4.6382831429560403E-4</v>
      </c>
      <c r="J923" s="41">
        <f t="shared" si="76"/>
        <v>1</v>
      </c>
      <c r="K923" s="107">
        <f t="shared" si="77"/>
        <v>0.15</v>
      </c>
      <c r="L923" s="2214">
        <f t="shared" si="78"/>
        <v>16632</v>
      </c>
      <c r="M923" s="731">
        <f t="shared" si="79"/>
        <v>15956.346587607237</v>
      </c>
      <c r="N923" s="2212">
        <v>242943</v>
      </c>
      <c r="O923" s="1118">
        <f t="shared" si="81"/>
        <v>226986.65341239277</v>
      </c>
      <c r="P923" s="2213">
        <f t="shared" si="74"/>
        <v>61115.813290757869</v>
      </c>
    </row>
    <row r="924" spans="1:16" ht="14.5">
      <c r="A924" s="2042" t="s">
        <v>2995</v>
      </c>
      <c r="B924" s="380" t="str">
        <f t="shared" si="71"/>
        <v>079-906</v>
      </c>
      <c r="C924" s="2042" t="s">
        <v>847</v>
      </c>
      <c r="D924" s="2043">
        <v>3024</v>
      </c>
      <c r="E924" s="2043">
        <v>3306</v>
      </c>
      <c r="F924" s="2043">
        <f t="shared" si="72"/>
        <v>282</v>
      </c>
      <c r="G924" s="2043">
        <f t="shared" si="73"/>
        <v>32</v>
      </c>
      <c r="H924" s="2043">
        <f t="shared" si="80"/>
        <v>99</v>
      </c>
      <c r="I924" s="2209">
        <f t="shared" si="75"/>
        <v>6.8535825545171345E-4</v>
      </c>
      <c r="J924" s="41">
        <f t="shared" si="76"/>
        <v>1</v>
      </c>
      <c r="K924" s="107">
        <f t="shared" si="77"/>
        <v>0.15</v>
      </c>
      <c r="L924" s="2214">
        <f t="shared" si="78"/>
        <v>29568</v>
      </c>
      <c r="M924" s="731">
        <f t="shared" si="79"/>
        <v>28366.838377968423</v>
      </c>
      <c r="N924" s="2212">
        <v>0</v>
      </c>
      <c r="O924" s="1118">
        <f t="shared" si="81"/>
        <v>0</v>
      </c>
      <c r="P924" s="2213">
        <f t="shared" si="74"/>
        <v>0</v>
      </c>
    </row>
    <row r="925" spans="1:16" ht="14.5">
      <c r="A925" s="2042" t="s">
        <v>2863</v>
      </c>
      <c r="B925" s="380" t="str">
        <f t="shared" si="71"/>
        <v>011-902</v>
      </c>
      <c r="C925" s="2042" t="s">
        <v>843</v>
      </c>
      <c r="D925" s="2043">
        <v>4321</v>
      </c>
      <c r="E925" s="2043">
        <v>4628</v>
      </c>
      <c r="F925" s="2043">
        <f t="shared" si="72"/>
        <v>307</v>
      </c>
      <c r="G925" s="2043">
        <f t="shared" si="73"/>
        <v>57</v>
      </c>
      <c r="H925" s="2043">
        <f t="shared" si="80"/>
        <v>156</v>
      </c>
      <c r="I925" s="2209">
        <f t="shared" si="75"/>
        <v>1.0799584631360332E-3</v>
      </c>
      <c r="J925" s="41">
        <f t="shared" si="76"/>
        <v>1</v>
      </c>
      <c r="K925" s="107">
        <f t="shared" si="77"/>
        <v>0.15</v>
      </c>
      <c r="L925" s="2214">
        <f t="shared" si="78"/>
        <v>52668</v>
      </c>
      <c r="M925" s="731">
        <f t="shared" si="79"/>
        <v>50528.430860756249</v>
      </c>
      <c r="N925" s="2212">
        <v>1021297</v>
      </c>
      <c r="O925" s="1118">
        <f t="shared" si="81"/>
        <v>970768.5691392438</v>
      </c>
      <c r="P925" s="2213">
        <f t="shared" si="74"/>
        <v>261377.9697093459</v>
      </c>
    </row>
    <row r="926" spans="1:16" ht="14.5">
      <c r="A926" s="2042" t="s">
        <v>2962</v>
      </c>
      <c r="B926" s="380" t="str">
        <f t="shared" si="71"/>
        <v>061-906</v>
      </c>
      <c r="C926" s="2042" t="s">
        <v>948</v>
      </c>
      <c r="D926" s="2043">
        <v>1274</v>
      </c>
      <c r="E926" s="2043">
        <v>1585</v>
      </c>
      <c r="F926" s="2043">
        <f t="shared" si="72"/>
        <v>311</v>
      </c>
      <c r="G926" s="2043">
        <f t="shared" si="73"/>
        <v>61</v>
      </c>
      <c r="H926" s="2043">
        <f t="shared" si="80"/>
        <v>217</v>
      </c>
      <c r="I926" s="2209">
        <f t="shared" si="75"/>
        <v>1.5022499134648667E-3</v>
      </c>
      <c r="J926" s="41">
        <f t="shared" si="76"/>
        <v>1</v>
      </c>
      <c r="K926" s="107">
        <f t="shared" si="77"/>
        <v>0.15</v>
      </c>
      <c r="L926" s="2214">
        <f t="shared" si="78"/>
        <v>56364</v>
      </c>
      <c r="M926" s="731">
        <f t="shared" si="79"/>
        <v>54074.2856580023</v>
      </c>
      <c r="N926" s="2212">
        <v>365640</v>
      </c>
      <c r="O926" s="1118">
        <f t="shared" si="81"/>
        <v>311565.71434199769</v>
      </c>
      <c r="P926" s="2213">
        <f t="shared" si="74"/>
        <v>83888.597586097181</v>
      </c>
    </row>
    <row r="927" spans="1:16" ht="14.5">
      <c r="A927" s="2042" t="s">
        <v>3064</v>
      </c>
      <c r="B927" s="380" t="str">
        <f t="shared" si="71"/>
        <v>116-901</v>
      </c>
      <c r="C927" s="2042" t="s">
        <v>610</v>
      </c>
      <c r="D927" s="2043">
        <v>1681</v>
      </c>
      <c r="E927" s="2043">
        <v>1992</v>
      </c>
      <c r="F927" s="2043">
        <f t="shared" si="72"/>
        <v>311</v>
      </c>
      <c r="G927" s="2043">
        <f t="shared" si="73"/>
        <v>61</v>
      </c>
      <c r="H927" s="2043">
        <f t="shared" si="80"/>
        <v>278</v>
      </c>
      <c r="I927" s="2209">
        <f t="shared" si="75"/>
        <v>1.9245413637937003E-3</v>
      </c>
      <c r="J927" s="41">
        <f t="shared" si="76"/>
        <v>1</v>
      </c>
      <c r="K927" s="107">
        <f t="shared" si="77"/>
        <v>0.15</v>
      </c>
      <c r="L927" s="2214">
        <f t="shared" si="78"/>
        <v>56364</v>
      </c>
      <c r="M927" s="731">
        <f t="shared" si="79"/>
        <v>54074.2856580023</v>
      </c>
      <c r="N927" s="2212">
        <v>447476</v>
      </c>
      <c r="O927" s="1118">
        <f t="shared" si="81"/>
        <v>393401.71434199769</v>
      </c>
      <c r="P927" s="2213">
        <f t="shared" si="74"/>
        <v>105922.81687288366</v>
      </c>
    </row>
    <row r="928" spans="1:16" ht="14.5">
      <c r="A928" s="2042" t="s">
        <v>3005</v>
      </c>
      <c r="B928" s="380" t="str">
        <f t="shared" si="71"/>
        <v>091-906</v>
      </c>
      <c r="C928" s="2042" t="s">
        <v>1556</v>
      </c>
      <c r="D928" s="2043">
        <v>7191</v>
      </c>
      <c r="E928" s="2043">
        <v>7503</v>
      </c>
      <c r="F928" s="2043">
        <f t="shared" si="72"/>
        <v>312</v>
      </c>
      <c r="G928" s="2043">
        <f t="shared" si="73"/>
        <v>62</v>
      </c>
      <c r="H928" s="2043">
        <f t="shared" si="80"/>
        <v>340</v>
      </c>
      <c r="I928" s="2209">
        <f t="shared" si="75"/>
        <v>2.3537556247836622E-3</v>
      </c>
      <c r="J928" s="41">
        <f t="shared" si="76"/>
        <v>1</v>
      </c>
      <c r="K928" s="107">
        <f t="shared" si="77"/>
        <v>0.15</v>
      </c>
      <c r="L928" s="2214">
        <f t="shared" si="78"/>
        <v>57288</v>
      </c>
      <c r="M928" s="731">
        <f t="shared" si="79"/>
        <v>54960.749357313813</v>
      </c>
      <c r="N928" s="2212">
        <v>0</v>
      </c>
      <c r="O928" s="1118">
        <f t="shared" si="81"/>
        <v>0</v>
      </c>
      <c r="P928" s="2213">
        <f t="shared" si="74"/>
        <v>0</v>
      </c>
    </row>
    <row r="929" spans="1:16" ht="14.5">
      <c r="A929" s="2042" t="s">
        <v>4933</v>
      </c>
      <c r="B929" s="380" t="str">
        <f t="shared" si="71"/>
        <v>014-901</v>
      </c>
      <c r="C929" s="2042" t="s">
        <v>1138</v>
      </c>
      <c r="D929" s="2043">
        <v>1411</v>
      </c>
      <c r="E929" s="2043">
        <v>1726</v>
      </c>
      <c r="F929" s="2043">
        <f t="shared" si="72"/>
        <v>315</v>
      </c>
      <c r="G929" s="2043">
        <f t="shared" si="73"/>
        <v>65</v>
      </c>
      <c r="H929" s="2043">
        <f t="shared" si="80"/>
        <v>405</v>
      </c>
      <c r="I929" s="2209">
        <f t="shared" si="75"/>
        <v>2.8037383177570091E-3</v>
      </c>
      <c r="J929" s="41">
        <f t="shared" si="76"/>
        <v>1</v>
      </c>
      <c r="K929" s="107">
        <f t="shared" si="77"/>
        <v>0.15</v>
      </c>
      <c r="L929" s="2214">
        <f t="shared" si="78"/>
        <v>60060</v>
      </c>
      <c r="M929" s="731">
        <f t="shared" si="79"/>
        <v>57620.140455248358</v>
      </c>
      <c r="N929" s="2212">
        <v>401471</v>
      </c>
      <c r="O929" s="1118">
        <f t="shared" si="81"/>
        <v>343850.85954475164</v>
      </c>
      <c r="P929" s="2213">
        <f t="shared" si="74"/>
        <v>92581.324125801257</v>
      </c>
    </row>
    <row r="930" spans="1:16" ht="14.5">
      <c r="A930" s="2042" t="s">
        <v>2933</v>
      </c>
      <c r="B930" s="380" t="str">
        <f t="shared" si="71"/>
        <v>043-904</v>
      </c>
      <c r="C930" s="2042" t="s">
        <v>99</v>
      </c>
      <c r="D930" s="2043">
        <v>1565</v>
      </c>
      <c r="E930" s="2043">
        <v>1884</v>
      </c>
      <c r="F930" s="2043">
        <f t="shared" si="72"/>
        <v>319</v>
      </c>
      <c r="G930" s="2043">
        <f t="shared" si="73"/>
        <v>69</v>
      </c>
      <c r="H930" s="2043">
        <f t="shared" si="80"/>
        <v>474</v>
      </c>
      <c r="I930" s="2209">
        <f t="shared" si="75"/>
        <v>3.2814122533748702E-3</v>
      </c>
      <c r="J930" s="41">
        <f t="shared" si="76"/>
        <v>1</v>
      </c>
      <c r="K930" s="107">
        <f t="shared" si="77"/>
        <v>0.15</v>
      </c>
      <c r="L930" s="2214">
        <f t="shared" si="78"/>
        <v>63756</v>
      </c>
      <c r="M930" s="731">
        <f t="shared" si="79"/>
        <v>61165.995252494409</v>
      </c>
      <c r="N930" s="2212">
        <v>410358</v>
      </c>
      <c r="O930" s="1118">
        <f t="shared" si="81"/>
        <v>349192.00474750559</v>
      </c>
      <c r="P930" s="2213">
        <f t="shared" si="74"/>
        <v>94019.419397320497</v>
      </c>
    </row>
    <row r="931" spans="1:16" ht="14.5">
      <c r="A931" s="2042" t="s">
        <v>3174</v>
      </c>
      <c r="B931" s="380" t="str">
        <f t="shared" si="71"/>
        <v>184-908</v>
      </c>
      <c r="C931" s="2042" t="s">
        <v>2449</v>
      </c>
      <c r="D931" s="2043">
        <v>1060</v>
      </c>
      <c r="E931" s="2043">
        <v>1382</v>
      </c>
      <c r="F931" s="2043">
        <f t="shared" si="72"/>
        <v>322</v>
      </c>
      <c r="G931" s="2043">
        <f t="shared" si="73"/>
        <v>72</v>
      </c>
      <c r="H931" s="2043">
        <f t="shared" si="80"/>
        <v>546</v>
      </c>
      <c r="I931" s="2209">
        <f t="shared" si="75"/>
        <v>3.7798546209761165E-3</v>
      </c>
      <c r="J931" s="41">
        <f t="shared" si="76"/>
        <v>1</v>
      </c>
      <c r="K931" s="107">
        <f t="shared" si="77"/>
        <v>0.15</v>
      </c>
      <c r="L931" s="2214">
        <f t="shared" si="78"/>
        <v>66528</v>
      </c>
      <c r="M931" s="731">
        <f t="shared" si="79"/>
        <v>63825.386350428947</v>
      </c>
      <c r="N931" s="2212">
        <v>309305</v>
      </c>
      <c r="O931" s="1118">
        <f t="shared" si="81"/>
        <v>245479.61364957105</v>
      </c>
      <c r="P931" s="2213">
        <f t="shared" si="74"/>
        <v>66095.01487841866</v>
      </c>
    </row>
    <row r="932" spans="1:16" ht="14.5">
      <c r="A932" s="2042" t="s">
        <v>2963</v>
      </c>
      <c r="B932" s="380" t="str">
        <f t="shared" si="71"/>
        <v>061-907</v>
      </c>
      <c r="C932" s="2042" t="s">
        <v>1997</v>
      </c>
      <c r="D932" s="2043">
        <v>2316</v>
      </c>
      <c r="E932" s="2043">
        <v>2644</v>
      </c>
      <c r="F932" s="2043">
        <f t="shared" si="72"/>
        <v>328</v>
      </c>
      <c r="G932" s="2043">
        <f t="shared" si="73"/>
        <v>78</v>
      </c>
      <c r="H932" s="2043">
        <f t="shared" si="80"/>
        <v>624</v>
      </c>
      <c r="I932" s="2209">
        <f t="shared" si="75"/>
        <v>4.3198338525441329E-3</v>
      </c>
      <c r="J932" s="41">
        <f t="shared" si="76"/>
        <v>1</v>
      </c>
      <c r="K932" s="107">
        <f t="shared" si="77"/>
        <v>0.15</v>
      </c>
      <c r="L932" s="2214">
        <f t="shared" si="78"/>
        <v>72072</v>
      </c>
      <c r="M932" s="731">
        <f t="shared" si="79"/>
        <v>69144.168546298024</v>
      </c>
      <c r="N932" s="2212">
        <v>0</v>
      </c>
      <c r="O932" s="1118">
        <f t="shared" si="81"/>
        <v>0</v>
      </c>
      <c r="P932" s="2213">
        <f t="shared" si="74"/>
        <v>0</v>
      </c>
    </row>
    <row r="933" spans="1:16" ht="14.5">
      <c r="A933" s="2042" t="s">
        <v>3084</v>
      </c>
      <c r="B933" s="380" t="str">
        <f t="shared" si="71"/>
        <v>126-905</v>
      </c>
      <c r="C933" s="2042" t="s">
        <v>385</v>
      </c>
      <c r="D933" s="2043">
        <v>5144</v>
      </c>
      <c r="E933" s="2043">
        <v>5490</v>
      </c>
      <c r="F933" s="2043">
        <f t="shared" si="72"/>
        <v>346</v>
      </c>
      <c r="G933" s="2043">
        <f t="shared" si="73"/>
        <v>96</v>
      </c>
      <c r="H933" s="2043">
        <f t="shared" si="80"/>
        <v>720</v>
      </c>
      <c r="I933" s="2209">
        <f t="shared" si="75"/>
        <v>4.9844236760124613E-3</v>
      </c>
      <c r="J933" s="41">
        <f t="shared" si="76"/>
        <v>1</v>
      </c>
      <c r="K933" s="107">
        <f t="shared" si="77"/>
        <v>0.15</v>
      </c>
      <c r="L933" s="2214">
        <f t="shared" si="78"/>
        <v>88704</v>
      </c>
      <c r="M933" s="731">
        <f t="shared" si="79"/>
        <v>85100.515133905268</v>
      </c>
      <c r="N933" s="2212">
        <v>1296095</v>
      </c>
      <c r="O933" s="1118">
        <f t="shared" si="81"/>
        <v>1210994.4848660948</v>
      </c>
      <c r="P933" s="2213">
        <f t="shared" si="74"/>
        <v>326058.43436419853</v>
      </c>
    </row>
    <row r="934" spans="1:16" ht="14.5">
      <c r="A934" s="2042" t="s">
        <v>5280</v>
      </c>
      <c r="B934" s="380" t="str">
        <f t="shared" si="71"/>
        <v>227-907</v>
      </c>
      <c r="C934" s="2042" t="s">
        <v>1802</v>
      </c>
      <c r="D934" s="2043">
        <v>8873</v>
      </c>
      <c r="E934" s="2043">
        <v>9238</v>
      </c>
      <c r="F934" s="2043">
        <f t="shared" si="72"/>
        <v>365</v>
      </c>
      <c r="G934" s="2043">
        <f t="shared" si="73"/>
        <v>115</v>
      </c>
      <c r="H934" s="2043">
        <f t="shared" si="80"/>
        <v>835</v>
      </c>
      <c r="I934" s="2209">
        <f t="shared" si="75"/>
        <v>5.7805469020422292E-3</v>
      </c>
      <c r="J934" s="41">
        <f t="shared" si="76"/>
        <v>1</v>
      </c>
      <c r="K934" s="107">
        <f t="shared" si="77"/>
        <v>0.15</v>
      </c>
      <c r="L934" s="2214">
        <f t="shared" si="78"/>
        <v>106260</v>
      </c>
      <c r="M934" s="731">
        <f t="shared" si="79"/>
        <v>101943.32542082401</v>
      </c>
      <c r="N934" s="2212">
        <v>2138589</v>
      </c>
      <c r="O934" s="1118">
        <f t="shared" si="81"/>
        <v>2036645.6745791759</v>
      </c>
      <c r="P934" s="2213">
        <f t="shared" si="74"/>
        <v>548363.76904006454</v>
      </c>
    </row>
    <row r="935" spans="1:16" ht="14.5">
      <c r="A935" s="2042" t="s">
        <v>5084</v>
      </c>
      <c r="B935" s="380" t="str">
        <f t="shared" si="71"/>
        <v>105-905</v>
      </c>
      <c r="C935" s="2042" t="s">
        <v>153</v>
      </c>
      <c r="D935" s="2043">
        <v>2189</v>
      </c>
      <c r="E935" s="2043">
        <v>2562</v>
      </c>
      <c r="F935" s="2043">
        <f t="shared" si="72"/>
        <v>373</v>
      </c>
      <c r="G935" s="2043">
        <f t="shared" si="73"/>
        <v>123</v>
      </c>
      <c r="H935" s="2043">
        <f t="shared" si="80"/>
        <v>958</v>
      </c>
      <c r="I935" s="2209">
        <f t="shared" si="75"/>
        <v>6.6320526133610246E-3</v>
      </c>
      <c r="J935" s="41">
        <f t="shared" si="76"/>
        <v>1</v>
      </c>
      <c r="K935" s="107">
        <f t="shared" si="77"/>
        <v>0.15</v>
      </c>
      <c r="L935" s="2214">
        <f t="shared" si="78"/>
        <v>113652</v>
      </c>
      <c r="M935" s="731">
        <f t="shared" si="79"/>
        <v>109035.03501531611</v>
      </c>
      <c r="N935" s="2212">
        <v>582006</v>
      </c>
      <c r="O935" s="1118">
        <f t="shared" si="81"/>
        <v>472970.9649846839</v>
      </c>
      <c r="P935" s="2213">
        <f t="shared" si="74"/>
        <v>127346.71732190637</v>
      </c>
    </row>
    <row r="936" spans="1:16" ht="14.5">
      <c r="A936" s="2042" t="s">
        <v>3006</v>
      </c>
      <c r="B936" s="380" t="str">
        <f t="shared" si="71"/>
        <v>091-908</v>
      </c>
      <c r="C936" s="2042" t="s">
        <v>2232</v>
      </c>
      <c r="D936" s="2043">
        <v>1482</v>
      </c>
      <c r="E936" s="2043">
        <v>1868</v>
      </c>
      <c r="F936" s="2043">
        <f t="shared" si="72"/>
        <v>386</v>
      </c>
      <c r="G936" s="2043">
        <f t="shared" si="73"/>
        <v>136</v>
      </c>
      <c r="H936" s="2043">
        <f t="shared" si="80"/>
        <v>1094</v>
      </c>
      <c r="I936" s="2209">
        <f t="shared" si="75"/>
        <v>7.5735548632744898E-3</v>
      </c>
      <c r="J936" s="41">
        <f t="shared" si="76"/>
        <v>1</v>
      </c>
      <c r="K936" s="107">
        <f t="shared" si="77"/>
        <v>0.15</v>
      </c>
      <c r="L936" s="2214">
        <f t="shared" si="78"/>
        <v>125664</v>
      </c>
      <c r="M936" s="731">
        <f t="shared" si="79"/>
        <v>120559.06310636579</v>
      </c>
      <c r="N936" s="2212">
        <v>422447</v>
      </c>
      <c r="O936" s="1118">
        <f t="shared" si="81"/>
        <v>301887.93689363421</v>
      </c>
      <c r="P936" s="2213">
        <f t="shared" si="74"/>
        <v>81282.870638226348</v>
      </c>
    </row>
    <row r="937" spans="1:16" ht="14.5">
      <c r="A937" s="2042" t="s">
        <v>4993</v>
      </c>
      <c r="B937" s="380" t="str">
        <f t="shared" si="71"/>
        <v>057-919</v>
      </c>
      <c r="C937" s="2042" t="s">
        <v>2467</v>
      </c>
      <c r="D937" s="2043">
        <v>1638</v>
      </c>
      <c r="E937" s="2043">
        <v>2025</v>
      </c>
      <c r="F937" s="2043">
        <f t="shared" si="72"/>
        <v>387</v>
      </c>
      <c r="G937" s="2043">
        <f t="shared" si="73"/>
        <v>137</v>
      </c>
      <c r="H937" s="2043">
        <f t="shared" si="80"/>
        <v>1231</v>
      </c>
      <c r="I937" s="2209">
        <f t="shared" si="75"/>
        <v>8.521979923849083E-3</v>
      </c>
      <c r="J937" s="41">
        <f t="shared" si="76"/>
        <v>1</v>
      </c>
      <c r="K937" s="107">
        <f t="shared" si="77"/>
        <v>0.15</v>
      </c>
      <c r="L937" s="2214">
        <f t="shared" si="78"/>
        <v>126588</v>
      </c>
      <c r="M937" s="731">
        <f t="shared" si="79"/>
        <v>121445.52680567731</v>
      </c>
      <c r="N937" s="2212">
        <v>466058</v>
      </c>
      <c r="O937" s="1118">
        <f t="shared" si="81"/>
        <v>344612.47319432267</v>
      </c>
      <c r="P937" s="2213">
        <f t="shared" si="74"/>
        <v>92786.387449600792</v>
      </c>
    </row>
    <row r="938" spans="1:16" ht="14.5">
      <c r="A938" s="2042" t="s">
        <v>3148</v>
      </c>
      <c r="B938" s="380" t="str">
        <f t="shared" si="71"/>
        <v>170-907</v>
      </c>
      <c r="C938" s="2042" t="s">
        <v>1828</v>
      </c>
      <c r="D938" s="2043">
        <v>3780</v>
      </c>
      <c r="E938" s="2043">
        <v>4170</v>
      </c>
      <c r="F938" s="2043">
        <f t="shared" si="72"/>
        <v>390</v>
      </c>
      <c r="G938" s="2043">
        <f t="shared" si="73"/>
        <v>140</v>
      </c>
      <c r="H938" s="2043">
        <f t="shared" si="80"/>
        <v>1371</v>
      </c>
      <c r="I938" s="2209">
        <f t="shared" si="75"/>
        <v>9.4911734164070619E-3</v>
      </c>
      <c r="J938" s="41">
        <f t="shared" si="76"/>
        <v>1</v>
      </c>
      <c r="K938" s="107">
        <f t="shared" si="77"/>
        <v>0.15</v>
      </c>
      <c r="L938" s="2214">
        <f t="shared" si="78"/>
        <v>129360</v>
      </c>
      <c r="M938" s="731">
        <f t="shared" si="79"/>
        <v>124104.91790361184</v>
      </c>
      <c r="N938" s="2212">
        <v>934068</v>
      </c>
      <c r="O938" s="1118">
        <f t="shared" si="81"/>
        <v>809963.0820963881</v>
      </c>
      <c r="P938" s="2213">
        <f t="shared" si="74"/>
        <v>218081.33541611573</v>
      </c>
    </row>
    <row r="939" spans="1:16" ht="14.5">
      <c r="A939" s="2042" t="s">
        <v>5313</v>
      </c>
      <c r="B939" s="380" t="str">
        <f t="shared" si="71"/>
        <v>249-905</v>
      </c>
      <c r="C939" s="2042" t="s">
        <v>1527</v>
      </c>
      <c r="D939" s="2043">
        <v>2995</v>
      </c>
      <c r="E939" s="2043">
        <v>3429</v>
      </c>
      <c r="F939" s="2043">
        <f t="shared" si="72"/>
        <v>434</v>
      </c>
      <c r="G939" s="2043">
        <f t="shared" si="73"/>
        <v>184</v>
      </c>
      <c r="H939" s="2043">
        <f t="shared" si="80"/>
        <v>1555</v>
      </c>
      <c r="I939" s="2209">
        <f t="shared" si="75"/>
        <v>1.076497057805469E-2</v>
      </c>
      <c r="J939" s="41">
        <f t="shared" si="76"/>
        <v>1</v>
      </c>
      <c r="K939" s="107">
        <f t="shared" si="77"/>
        <v>0.15</v>
      </c>
      <c r="L939" s="2214">
        <f t="shared" si="78"/>
        <v>170016</v>
      </c>
      <c r="M939" s="731">
        <f t="shared" si="79"/>
        <v>163109.32067331843</v>
      </c>
      <c r="N939" s="2212">
        <v>804798</v>
      </c>
      <c r="O939" s="1118">
        <f t="shared" si="81"/>
        <v>641688.67932668154</v>
      </c>
      <c r="P939" s="2213">
        <f t="shared" si="74"/>
        <v>172773.706854349</v>
      </c>
    </row>
    <row r="940" spans="1:16" ht="14.5">
      <c r="A940" s="2042" t="s">
        <v>2873</v>
      </c>
      <c r="B940" s="380" t="str">
        <f t="shared" si="71"/>
        <v>014-908</v>
      </c>
      <c r="C940" s="2042" t="s">
        <v>1912</v>
      </c>
      <c r="D940" s="2043">
        <v>1665</v>
      </c>
      <c r="E940" s="2043">
        <v>2105</v>
      </c>
      <c r="F940" s="2043">
        <f t="shared" si="72"/>
        <v>440</v>
      </c>
      <c r="G940" s="2043">
        <f t="shared" si="73"/>
        <v>190</v>
      </c>
      <c r="H940" s="2043">
        <f t="shared" si="80"/>
        <v>1745</v>
      </c>
      <c r="I940" s="2209">
        <f t="shared" si="75"/>
        <v>1.208030460366909E-2</v>
      </c>
      <c r="J940" s="41">
        <f t="shared" si="76"/>
        <v>1</v>
      </c>
      <c r="K940" s="107">
        <f t="shared" si="77"/>
        <v>0.15</v>
      </c>
      <c r="L940" s="2214">
        <f t="shared" si="78"/>
        <v>175560</v>
      </c>
      <c r="M940" s="731">
        <f t="shared" si="79"/>
        <v>168428.10286918751</v>
      </c>
      <c r="N940" s="2212">
        <v>477098</v>
      </c>
      <c r="O940" s="1118">
        <f t="shared" si="81"/>
        <v>308669.89713081252</v>
      </c>
      <c r="P940" s="2213">
        <f t="shared" si="74"/>
        <v>83108.90317965376</v>
      </c>
    </row>
    <row r="941" spans="1:16" ht="14.5">
      <c r="A941" s="2042" t="s">
        <v>3214</v>
      </c>
      <c r="B941" s="380" t="str">
        <f t="shared" si="71"/>
        <v>220-915</v>
      </c>
      <c r="C941" s="2042" t="s">
        <v>2000</v>
      </c>
      <c r="D941" s="2043">
        <v>6242</v>
      </c>
      <c r="E941" s="2043">
        <v>6685</v>
      </c>
      <c r="F941" s="2043">
        <f t="shared" si="72"/>
        <v>443</v>
      </c>
      <c r="G941" s="2043">
        <f t="shared" si="73"/>
        <v>193</v>
      </c>
      <c r="H941" s="2043">
        <f t="shared" si="80"/>
        <v>1938</v>
      </c>
      <c r="I941" s="2209">
        <f t="shared" si="75"/>
        <v>1.3416407061266874E-2</v>
      </c>
      <c r="J941" s="41">
        <f t="shared" si="76"/>
        <v>1</v>
      </c>
      <c r="K941" s="107">
        <f t="shared" si="77"/>
        <v>0.15</v>
      </c>
      <c r="L941" s="2214">
        <f t="shared" si="78"/>
        <v>178332</v>
      </c>
      <c r="M941" s="731">
        <f t="shared" si="79"/>
        <v>171087.49396712205</v>
      </c>
      <c r="N941" s="2212">
        <v>1568181</v>
      </c>
      <c r="O941" s="1118">
        <f t="shared" si="81"/>
        <v>1397093.5060328781</v>
      </c>
      <c r="P941" s="2213">
        <f t="shared" si="74"/>
        <v>376165.31448352523</v>
      </c>
    </row>
    <row r="942" spans="1:16" ht="14.5">
      <c r="A942" s="2042" t="s">
        <v>5172</v>
      </c>
      <c r="B942" s="380" t="str">
        <f t="shared" si="71"/>
        <v>161-903</v>
      </c>
      <c r="C942" s="2042" t="s">
        <v>1815</v>
      </c>
      <c r="D942" s="2043">
        <v>7803</v>
      </c>
      <c r="E942" s="2043">
        <v>8253</v>
      </c>
      <c r="F942" s="2043">
        <f t="shared" si="72"/>
        <v>450</v>
      </c>
      <c r="G942" s="2043">
        <f t="shared" si="73"/>
        <v>200</v>
      </c>
      <c r="H942" s="2043">
        <f t="shared" si="80"/>
        <v>2138</v>
      </c>
      <c r="I942" s="2209">
        <f t="shared" si="75"/>
        <v>1.4800969193492558E-2</v>
      </c>
      <c r="J942" s="41">
        <f t="shared" si="76"/>
        <v>1</v>
      </c>
      <c r="K942" s="107">
        <f t="shared" si="77"/>
        <v>0.15</v>
      </c>
      <c r="L942" s="2214">
        <f t="shared" si="78"/>
        <v>184800</v>
      </c>
      <c r="M942" s="731">
        <f t="shared" si="79"/>
        <v>177292.73986230264</v>
      </c>
      <c r="N942" s="2212">
        <v>1954359</v>
      </c>
      <c r="O942" s="1118">
        <f t="shared" si="81"/>
        <v>1777066.2601376974</v>
      </c>
      <c r="P942" s="2213">
        <f t="shared" si="74"/>
        <v>478472.40411339211</v>
      </c>
    </row>
    <row r="943" spans="1:16" ht="14.5">
      <c r="A943" s="2042" t="s">
        <v>5203</v>
      </c>
      <c r="B943" s="380" t="str">
        <f t="shared" si="71"/>
        <v>178-906</v>
      </c>
      <c r="C943" s="2042" t="s">
        <v>301</v>
      </c>
      <c r="D943" s="2043">
        <v>828</v>
      </c>
      <c r="E943" s="2043">
        <v>1280</v>
      </c>
      <c r="F943" s="2043">
        <f t="shared" si="72"/>
        <v>452</v>
      </c>
      <c r="G943" s="2043">
        <f t="shared" si="73"/>
        <v>202</v>
      </c>
      <c r="H943" s="2043">
        <f t="shared" si="80"/>
        <v>2340</v>
      </c>
      <c r="I943" s="2209">
        <f t="shared" si="75"/>
        <v>1.61993769470405E-2</v>
      </c>
      <c r="J943" s="41">
        <f t="shared" si="76"/>
        <v>1</v>
      </c>
      <c r="K943" s="107">
        <f t="shared" si="77"/>
        <v>0.15</v>
      </c>
      <c r="L943" s="2214">
        <f t="shared" si="78"/>
        <v>186648</v>
      </c>
      <c r="M943" s="731">
        <f t="shared" si="79"/>
        <v>179065.66726092566</v>
      </c>
      <c r="N943" s="2212">
        <v>280440</v>
      </c>
      <c r="O943" s="1118">
        <f t="shared" si="81"/>
        <v>101374.33273907434</v>
      </c>
      <c r="P943" s="2213">
        <f t="shared" si="74"/>
        <v>27294.885840271039</v>
      </c>
    </row>
    <row r="944" spans="1:16" ht="14.5">
      <c r="A944" s="2042" t="s">
        <v>3175</v>
      </c>
      <c r="B944" s="380" t="str">
        <f t="shared" si="71"/>
        <v>184-909</v>
      </c>
      <c r="C944" s="2042" t="s">
        <v>1752</v>
      </c>
      <c r="D944" s="2043">
        <v>1299</v>
      </c>
      <c r="E944" s="2043">
        <v>1765</v>
      </c>
      <c r="F944" s="2043">
        <f t="shared" si="72"/>
        <v>466</v>
      </c>
      <c r="G944" s="2043">
        <f t="shared" si="73"/>
        <v>216</v>
      </c>
      <c r="H944" s="2043">
        <f t="shared" si="80"/>
        <v>2556</v>
      </c>
      <c r="I944" s="2209">
        <f t="shared" si="75"/>
        <v>1.7694704049844238E-2</v>
      </c>
      <c r="J944" s="41">
        <f t="shared" si="76"/>
        <v>1</v>
      </c>
      <c r="K944" s="107">
        <f t="shared" si="77"/>
        <v>0.15</v>
      </c>
      <c r="L944" s="2214">
        <f t="shared" si="78"/>
        <v>199584</v>
      </c>
      <c r="M944" s="731">
        <f t="shared" si="79"/>
        <v>191476.15905128684</v>
      </c>
      <c r="N944" s="2212">
        <v>373972</v>
      </c>
      <c r="O944" s="1118">
        <f t="shared" si="81"/>
        <v>182495.84094871316</v>
      </c>
      <c r="P944" s="2213">
        <f t="shared" si="74"/>
        <v>49136.729292615128</v>
      </c>
    </row>
    <row r="945" spans="1:16" ht="14.5">
      <c r="A945" s="2042" t="s">
        <v>5126</v>
      </c>
      <c r="B945" s="380" t="str">
        <f t="shared" si="71"/>
        <v>129-906</v>
      </c>
      <c r="C945" s="2042" t="s">
        <v>1925</v>
      </c>
      <c r="D945" s="2043">
        <v>4260</v>
      </c>
      <c r="E945" s="2043">
        <v>4728</v>
      </c>
      <c r="F945" s="2043">
        <f t="shared" si="72"/>
        <v>468</v>
      </c>
      <c r="G945" s="2043">
        <f t="shared" si="73"/>
        <v>218</v>
      </c>
      <c r="H945" s="2043">
        <f t="shared" si="80"/>
        <v>2774</v>
      </c>
      <c r="I945" s="2209">
        <f t="shared" si="75"/>
        <v>1.9203876773970233E-2</v>
      </c>
      <c r="J945" s="41">
        <f t="shared" si="76"/>
        <v>1</v>
      </c>
      <c r="K945" s="107">
        <f t="shared" si="77"/>
        <v>0.15</v>
      </c>
      <c r="L945" s="2214">
        <f t="shared" si="78"/>
        <v>201432</v>
      </c>
      <c r="M945" s="731">
        <f t="shared" si="79"/>
        <v>193249.08644990987</v>
      </c>
      <c r="N945" s="2212">
        <v>1064729</v>
      </c>
      <c r="O945" s="1118">
        <f t="shared" si="81"/>
        <v>871479.91355009016</v>
      </c>
      <c r="P945" s="2213">
        <f t="shared" si="74"/>
        <v>234644.64928872872</v>
      </c>
    </row>
    <row r="946" spans="1:16" ht="14.5">
      <c r="A946" s="2042" t="s">
        <v>4857</v>
      </c>
      <c r="B946" s="380" t="str">
        <f t="shared" si="71"/>
        <v>246-909</v>
      </c>
      <c r="C946" s="2042" t="s">
        <v>574</v>
      </c>
      <c r="D946" s="2043">
        <v>47827</v>
      </c>
      <c r="E946" s="2043">
        <v>48302</v>
      </c>
      <c r="F946" s="2043">
        <f t="shared" si="72"/>
        <v>475</v>
      </c>
      <c r="G946" s="2043">
        <f t="shared" si="73"/>
        <v>225</v>
      </c>
      <c r="H946" s="2043">
        <f t="shared" si="80"/>
        <v>2999</v>
      </c>
      <c r="I946" s="2209">
        <f t="shared" si="75"/>
        <v>2.0761509172724128E-2</v>
      </c>
      <c r="J946" s="41">
        <f t="shared" si="76"/>
        <v>1</v>
      </c>
      <c r="K946" s="107">
        <f t="shared" si="77"/>
        <v>0.15</v>
      </c>
      <c r="L946" s="2214">
        <f t="shared" si="78"/>
        <v>207900</v>
      </c>
      <c r="M946" s="731">
        <f t="shared" si="79"/>
        <v>199454.33234509046</v>
      </c>
      <c r="N946" s="2212">
        <v>11833505</v>
      </c>
      <c r="O946" s="1118">
        <f t="shared" si="81"/>
        <v>11634050.667654909</v>
      </c>
      <c r="P946" s="2213">
        <f t="shared" si="74"/>
        <v>3132450.5548254168</v>
      </c>
    </row>
    <row r="947" spans="1:16" ht="14.5">
      <c r="A947" s="2042" t="s">
        <v>5095</v>
      </c>
      <c r="B947" s="380" t="str">
        <f t="shared" si="71"/>
        <v>111-901</v>
      </c>
      <c r="C947" s="2042" t="s">
        <v>205</v>
      </c>
      <c r="D947" s="2043">
        <v>6991</v>
      </c>
      <c r="E947" s="2043">
        <v>7469</v>
      </c>
      <c r="F947" s="2043">
        <f t="shared" si="72"/>
        <v>478</v>
      </c>
      <c r="G947" s="2043">
        <f t="shared" si="73"/>
        <v>228</v>
      </c>
      <c r="H947" s="2043">
        <f t="shared" si="80"/>
        <v>3227</v>
      </c>
      <c r="I947" s="2209">
        <f t="shared" si="75"/>
        <v>2.2339910003461406E-2</v>
      </c>
      <c r="J947" s="41">
        <f t="shared" si="76"/>
        <v>1</v>
      </c>
      <c r="K947" s="107">
        <f t="shared" si="77"/>
        <v>0.15</v>
      </c>
      <c r="L947" s="2214">
        <f t="shared" si="78"/>
        <v>210672</v>
      </c>
      <c r="M947" s="731">
        <f t="shared" si="79"/>
        <v>202113.723443025</v>
      </c>
      <c r="N947" s="2212">
        <v>1698814</v>
      </c>
      <c r="O947" s="1118">
        <f t="shared" si="81"/>
        <v>1496700.276556975</v>
      </c>
      <c r="P947" s="2213">
        <f t="shared" si="74"/>
        <v>402984.2868694748</v>
      </c>
    </row>
    <row r="948" spans="1:16" ht="14.5">
      <c r="A948" s="2042" t="s">
        <v>5175</v>
      </c>
      <c r="B948" s="380" t="str">
        <f t="shared" si="71"/>
        <v>165-902</v>
      </c>
      <c r="C948" s="2042" t="s">
        <v>1660</v>
      </c>
      <c r="D948" s="2043">
        <v>2331</v>
      </c>
      <c r="E948" s="2043">
        <v>2845</v>
      </c>
      <c r="F948" s="2043">
        <f t="shared" si="72"/>
        <v>514</v>
      </c>
      <c r="G948" s="2043">
        <f t="shared" si="73"/>
        <v>264</v>
      </c>
      <c r="H948" s="2043">
        <f t="shared" si="80"/>
        <v>3491</v>
      </c>
      <c r="I948" s="2209">
        <f t="shared" si="75"/>
        <v>2.4167532017999309E-2</v>
      </c>
      <c r="J948" s="41">
        <f t="shared" si="76"/>
        <v>1</v>
      </c>
      <c r="K948" s="107">
        <f t="shared" si="77"/>
        <v>0.15</v>
      </c>
      <c r="L948" s="2214">
        <f t="shared" si="78"/>
        <v>243936</v>
      </c>
      <c r="M948" s="731">
        <f t="shared" si="79"/>
        <v>234026.41661823948</v>
      </c>
      <c r="N948" s="2212">
        <v>676160</v>
      </c>
      <c r="O948" s="1118">
        <f t="shared" si="81"/>
        <v>442133.58338176052</v>
      </c>
      <c r="P948" s="2213">
        <f t="shared" si="74"/>
        <v>119043.79894284179</v>
      </c>
    </row>
    <row r="949" spans="1:16" ht="14.5">
      <c r="A949" s="2042" t="s">
        <v>2885</v>
      </c>
      <c r="B949" s="380" t="str">
        <f t="shared" si="71"/>
        <v>015-916</v>
      </c>
      <c r="C949" s="2042" t="s">
        <v>386</v>
      </c>
      <c r="D949" s="2043">
        <v>23286</v>
      </c>
      <c r="E949" s="2043">
        <v>23825</v>
      </c>
      <c r="F949" s="2043">
        <f t="shared" si="72"/>
        <v>539</v>
      </c>
      <c r="G949" s="2043">
        <f t="shared" si="73"/>
        <v>289</v>
      </c>
      <c r="H949" s="2043">
        <f t="shared" si="80"/>
        <v>3780</v>
      </c>
      <c r="I949" s="2209">
        <f t="shared" si="75"/>
        <v>2.6168224299065422E-2</v>
      </c>
      <c r="J949" s="41">
        <f t="shared" si="76"/>
        <v>1</v>
      </c>
      <c r="K949" s="107">
        <f t="shared" si="77"/>
        <v>0.15</v>
      </c>
      <c r="L949" s="2214">
        <f t="shared" si="78"/>
        <v>267036</v>
      </c>
      <c r="M949" s="731">
        <f t="shared" si="79"/>
        <v>256188.0091010273</v>
      </c>
      <c r="N949" s="2212">
        <v>0</v>
      </c>
      <c r="O949" s="1118">
        <f t="shared" si="81"/>
        <v>0</v>
      </c>
      <c r="P949" s="2213">
        <f t="shared" si="74"/>
        <v>0</v>
      </c>
    </row>
    <row r="950" spans="1:16" ht="14.5">
      <c r="A950" s="2042" t="s">
        <v>3013</v>
      </c>
      <c r="B950" s="380" t="str">
        <f t="shared" si="71"/>
        <v>094-902</v>
      </c>
      <c r="C950" s="2042" t="s">
        <v>1173</v>
      </c>
      <c r="D950" s="2043">
        <v>15118</v>
      </c>
      <c r="E950" s="2043">
        <v>15673</v>
      </c>
      <c r="F950" s="2043">
        <f t="shared" si="72"/>
        <v>555</v>
      </c>
      <c r="G950" s="2043">
        <f t="shared" si="73"/>
        <v>305</v>
      </c>
      <c r="H950" s="2043">
        <f t="shared" si="80"/>
        <v>4085</v>
      </c>
      <c r="I950" s="2209">
        <f t="shared" si="75"/>
        <v>2.8279681550709587E-2</v>
      </c>
      <c r="J950" s="41">
        <f t="shared" si="76"/>
        <v>1</v>
      </c>
      <c r="K950" s="107">
        <f t="shared" si="77"/>
        <v>0.15</v>
      </c>
      <c r="L950" s="2214">
        <f t="shared" si="78"/>
        <v>281820</v>
      </c>
      <c r="M950" s="731">
        <f t="shared" si="79"/>
        <v>270371.42829001154</v>
      </c>
      <c r="N950" s="2212">
        <v>0</v>
      </c>
      <c r="O950" s="1118">
        <f t="shared" si="81"/>
        <v>0</v>
      </c>
      <c r="P950" s="2213">
        <f t="shared" si="74"/>
        <v>0</v>
      </c>
    </row>
    <row r="951" spans="1:16" ht="14.5">
      <c r="A951" s="2042" t="s">
        <v>2871</v>
      </c>
      <c r="B951" s="380" t="str">
        <f t="shared" si="71"/>
        <v>014-906</v>
      </c>
      <c r="C951" s="2042" t="s">
        <v>2378</v>
      </c>
      <c r="D951" s="2043">
        <v>43258</v>
      </c>
      <c r="E951" s="2043">
        <v>43838</v>
      </c>
      <c r="F951" s="2043">
        <f t="shared" si="72"/>
        <v>580</v>
      </c>
      <c r="G951" s="2043">
        <f t="shared" si="73"/>
        <v>330</v>
      </c>
      <c r="H951" s="2043">
        <f t="shared" si="80"/>
        <v>4415</v>
      </c>
      <c r="I951" s="2209">
        <f t="shared" si="75"/>
        <v>3.0564209068881965E-2</v>
      </c>
      <c r="J951" s="41">
        <f t="shared" si="76"/>
        <v>1</v>
      </c>
      <c r="K951" s="107">
        <f t="shared" si="77"/>
        <v>0.15</v>
      </c>
      <c r="L951" s="2214">
        <f t="shared" si="78"/>
        <v>304920</v>
      </c>
      <c r="M951" s="731">
        <f t="shared" si="79"/>
        <v>292533.02077279933</v>
      </c>
      <c r="N951" s="2212">
        <v>0</v>
      </c>
      <c r="O951" s="1118">
        <f t="shared" si="81"/>
        <v>0</v>
      </c>
      <c r="P951" s="2213">
        <f t="shared" si="74"/>
        <v>0</v>
      </c>
    </row>
    <row r="952" spans="1:16" ht="14.5">
      <c r="A952" s="2042" t="s">
        <v>4940</v>
      </c>
      <c r="B952" s="380" t="str">
        <f t="shared" si="71"/>
        <v>019-907</v>
      </c>
      <c r="C952" s="2042" t="s">
        <v>1315</v>
      </c>
      <c r="D952" s="2043">
        <v>7061</v>
      </c>
      <c r="E952" s="2043">
        <v>7654</v>
      </c>
      <c r="F952" s="2043">
        <f t="shared" si="72"/>
        <v>593</v>
      </c>
      <c r="G952" s="2043">
        <f t="shared" si="73"/>
        <v>343</v>
      </c>
      <c r="H952" s="2043">
        <f t="shared" si="80"/>
        <v>4758</v>
      </c>
      <c r="I952" s="2209">
        <f t="shared" si="75"/>
        <v>3.2938733125649017E-2</v>
      </c>
      <c r="J952" s="41">
        <f t="shared" si="76"/>
        <v>1</v>
      </c>
      <c r="K952" s="107">
        <f t="shared" si="77"/>
        <v>0.15</v>
      </c>
      <c r="L952" s="2214">
        <f t="shared" si="78"/>
        <v>316932</v>
      </c>
      <c r="M952" s="731">
        <f t="shared" si="79"/>
        <v>304057.04886384902</v>
      </c>
      <c r="N952" s="2212">
        <v>0</v>
      </c>
      <c r="O952" s="1118">
        <f t="shared" si="81"/>
        <v>0</v>
      </c>
      <c r="P952" s="2213">
        <f t="shared" si="74"/>
        <v>0</v>
      </c>
    </row>
    <row r="953" spans="1:16" ht="14.5">
      <c r="A953" s="2042" t="s">
        <v>7354</v>
      </c>
      <c r="B953" s="380" t="str">
        <f t="shared" si="71"/>
        <v>031-916</v>
      </c>
      <c r="C953" s="2042" t="s">
        <v>7355</v>
      </c>
      <c r="D953" s="2043">
        <v>3589</v>
      </c>
      <c r="E953" s="2043">
        <v>4194</v>
      </c>
      <c r="F953" s="2043">
        <f t="shared" si="72"/>
        <v>605</v>
      </c>
      <c r="G953" s="2043">
        <f t="shared" si="73"/>
        <v>355</v>
      </c>
      <c r="H953" s="2043">
        <f t="shared" si="80"/>
        <v>5113</v>
      </c>
      <c r="I953" s="2209">
        <f t="shared" si="75"/>
        <v>3.5396330910349605E-2</v>
      </c>
      <c r="J953" s="41">
        <f t="shared" si="76"/>
        <v>1</v>
      </c>
      <c r="K953" s="107">
        <f t="shared" si="77"/>
        <v>0.15</v>
      </c>
      <c r="L953" s="2214">
        <f t="shared" si="78"/>
        <v>328020</v>
      </c>
      <c r="M953" s="731">
        <f t="shared" si="79"/>
        <v>314694.61325558717</v>
      </c>
      <c r="N953" s="2212">
        <v>969672</v>
      </c>
      <c r="O953" s="1118">
        <f t="shared" si="81"/>
        <v>654977.38674441283</v>
      </c>
      <c r="P953" s="2213">
        <f t="shared" si="74"/>
        <v>176351.67123775286</v>
      </c>
    </row>
    <row r="954" spans="1:16" ht="14.5">
      <c r="A954" s="2042" t="s">
        <v>2932</v>
      </c>
      <c r="B954" s="380" t="str">
        <f t="shared" si="71"/>
        <v>043-903</v>
      </c>
      <c r="C954" s="2042" t="s">
        <v>617</v>
      </c>
      <c r="D954" s="2043">
        <v>2353</v>
      </c>
      <c r="E954" s="2043">
        <v>2962</v>
      </c>
      <c r="F954" s="2043">
        <f t="shared" si="72"/>
        <v>609</v>
      </c>
      <c r="G954" s="2043">
        <f t="shared" si="73"/>
        <v>359</v>
      </c>
      <c r="H954" s="2043">
        <f t="shared" si="80"/>
        <v>5472</v>
      </c>
      <c r="I954" s="2209">
        <f t="shared" si="75"/>
        <v>3.7881619937694705E-2</v>
      </c>
      <c r="J954" s="41">
        <f t="shared" si="76"/>
        <v>1</v>
      </c>
      <c r="K954" s="107">
        <f t="shared" si="77"/>
        <v>0.15</v>
      </c>
      <c r="L954" s="2214">
        <f t="shared" si="78"/>
        <v>331716</v>
      </c>
      <c r="M954" s="731">
        <f t="shared" si="79"/>
        <v>318240.46805283322</v>
      </c>
      <c r="N954" s="2212">
        <v>660438</v>
      </c>
      <c r="O954" s="1118">
        <f t="shared" si="81"/>
        <v>342197.53194716678</v>
      </c>
      <c r="P954" s="2213">
        <f t="shared" si="74"/>
        <v>92136.168169521872</v>
      </c>
    </row>
    <row r="955" spans="1:16" ht="14.5">
      <c r="A955" s="2042" t="s">
        <v>3212</v>
      </c>
      <c r="B955" s="380" t="str">
        <f t="shared" si="71"/>
        <v>220-912</v>
      </c>
      <c r="C955" s="2042" t="s">
        <v>397</v>
      </c>
      <c r="D955" s="2043">
        <v>15097</v>
      </c>
      <c r="E955" s="2043">
        <v>15731</v>
      </c>
      <c r="F955" s="2043">
        <f t="shared" si="72"/>
        <v>634</v>
      </c>
      <c r="G955" s="2043">
        <f t="shared" si="73"/>
        <v>384</v>
      </c>
      <c r="H955" s="2043">
        <f t="shared" si="80"/>
        <v>5856</v>
      </c>
      <c r="I955" s="2209">
        <f t="shared" si="75"/>
        <v>4.0539979231568019E-2</v>
      </c>
      <c r="J955" s="41">
        <f t="shared" si="76"/>
        <v>1</v>
      </c>
      <c r="K955" s="107">
        <f t="shared" si="77"/>
        <v>0.15</v>
      </c>
      <c r="L955" s="2214">
        <f t="shared" si="78"/>
        <v>354816</v>
      </c>
      <c r="M955" s="731">
        <f t="shared" si="79"/>
        <v>340402.06053562107</v>
      </c>
      <c r="N955" s="2212">
        <v>3615244</v>
      </c>
      <c r="O955" s="1118">
        <f t="shared" si="81"/>
        <v>3274841.9394643791</v>
      </c>
      <c r="P955" s="2213">
        <f t="shared" si="74"/>
        <v>881746.24155290134</v>
      </c>
    </row>
    <row r="956" spans="1:16" ht="14.5">
      <c r="A956" s="2042" t="s">
        <v>2901</v>
      </c>
      <c r="B956" s="380" t="str">
        <f t="shared" si="71"/>
        <v>021-901</v>
      </c>
      <c r="C956" s="2042" t="s">
        <v>1099</v>
      </c>
      <c r="D956" s="2043">
        <v>13021</v>
      </c>
      <c r="E956" s="2043">
        <v>13664</v>
      </c>
      <c r="F956" s="2043">
        <f t="shared" si="72"/>
        <v>643</v>
      </c>
      <c r="G956" s="2043">
        <f t="shared" si="73"/>
        <v>393</v>
      </c>
      <c r="H956" s="2043">
        <f t="shared" si="80"/>
        <v>6249</v>
      </c>
      <c r="I956" s="2209">
        <f t="shared" si="75"/>
        <v>4.3260643821391484E-2</v>
      </c>
      <c r="J956" s="41">
        <f t="shared" si="76"/>
        <v>1</v>
      </c>
      <c r="K956" s="107">
        <f t="shared" si="77"/>
        <v>0.15</v>
      </c>
      <c r="L956" s="2214">
        <f t="shared" si="78"/>
        <v>363132</v>
      </c>
      <c r="M956" s="731">
        <f t="shared" si="79"/>
        <v>348380.23382942466</v>
      </c>
      <c r="N956" s="2212">
        <v>0</v>
      </c>
      <c r="O956" s="1118">
        <f t="shared" si="81"/>
        <v>0</v>
      </c>
      <c r="P956" s="2213">
        <f t="shared" si="74"/>
        <v>0</v>
      </c>
    </row>
    <row r="957" spans="1:16" ht="14.5">
      <c r="A957" s="2042" t="s">
        <v>2910</v>
      </c>
      <c r="B957" s="380" t="str">
        <f t="shared" si="71"/>
        <v>028-902</v>
      </c>
      <c r="C957" s="2042" t="s">
        <v>2104</v>
      </c>
      <c r="D957" s="2043">
        <v>5397</v>
      </c>
      <c r="E957" s="2043">
        <v>6043</v>
      </c>
      <c r="F957" s="2043">
        <f t="shared" si="72"/>
        <v>646</v>
      </c>
      <c r="G957" s="2043">
        <f t="shared" si="73"/>
        <v>396</v>
      </c>
      <c r="H957" s="2043">
        <f t="shared" si="80"/>
        <v>6645</v>
      </c>
      <c r="I957" s="2209">
        <f t="shared" si="75"/>
        <v>4.600207684319834E-2</v>
      </c>
      <c r="J957" s="41">
        <f t="shared" si="76"/>
        <v>1</v>
      </c>
      <c r="K957" s="107">
        <f t="shared" si="77"/>
        <v>0.15</v>
      </c>
      <c r="L957" s="2214">
        <f t="shared" si="78"/>
        <v>365904</v>
      </c>
      <c r="M957" s="731">
        <f t="shared" si="79"/>
        <v>351039.62492735923</v>
      </c>
      <c r="N957" s="2212">
        <v>1385829</v>
      </c>
      <c r="O957" s="1118">
        <f t="shared" si="81"/>
        <v>1034789.3750726408</v>
      </c>
      <c r="P957" s="2213">
        <f t="shared" si="74"/>
        <v>278615.47492530552</v>
      </c>
    </row>
    <row r="958" spans="1:16" ht="14.5">
      <c r="A958" s="2042" t="s">
        <v>3022</v>
      </c>
      <c r="B958" s="380" t="str">
        <f t="shared" si="71"/>
        <v>101-906</v>
      </c>
      <c r="C958" s="2042" t="s">
        <v>396</v>
      </c>
      <c r="D958" s="2043">
        <v>5680</v>
      </c>
      <c r="E958" s="2043">
        <v>6337</v>
      </c>
      <c r="F958" s="2043">
        <f t="shared" si="72"/>
        <v>657</v>
      </c>
      <c r="G958" s="2043">
        <f t="shared" si="73"/>
        <v>407</v>
      </c>
      <c r="H958" s="2043">
        <f t="shared" si="80"/>
        <v>7052</v>
      </c>
      <c r="I958" s="2209">
        <f t="shared" si="75"/>
        <v>4.8819660782277605E-2</v>
      </c>
      <c r="J958" s="41">
        <f t="shared" si="76"/>
        <v>1</v>
      </c>
      <c r="K958" s="107">
        <f t="shared" si="77"/>
        <v>0.15</v>
      </c>
      <c r="L958" s="2214">
        <f t="shared" si="78"/>
        <v>376068</v>
      </c>
      <c r="M958" s="731">
        <f t="shared" si="79"/>
        <v>360790.72561978584</v>
      </c>
      <c r="N958" s="2212">
        <v>1456426</v>
      </c>
      <c r="O958" s="1118">
        <f t="shared" si="81"/>
        <v>1095635.274380214</v>
      </c>
      <c r="P958" s="2213">
        <f t="shared" si="74"/>
        <v>294998.14133183559</v>
      </c>
    </row>
    <row r="959" spans="1:16" ht="14.5">
      <c r="A959" s="2042" t="s">
        <v>3088</v>
      </c>
      <c r="B959" s="380" t="str">
        <f t="shared" si="71"/>
        <v>126-911</v>
      </c>
      <c r="C959" s="2042" t="s">
        <v>2197</v>
      </c>
      <c r="D959" s="2043">
        <v>1778</v>
      </c>
      <c r="E959" s="2043">
        <v>2443</v>
      </c>
      <c r="F959" s="2043">
        <f t="shared" si="72"/>
        <v>665</v>
      </c>
      <c r="G959" s="2043">
        <f t="shared" si="73"/>
        <v>415</v>
      </c>
      <c r="H959" s="2043">
        <f t="shared" si="80"/>
        <v>7467</v>
      </c>
      <c r="I959" s="2209">
        <f t="shared" si="75"/>
        <v>5.16926272066459E-2</v>
      </c>
      <c r="J959" s="41">
        <f t="shared" si="76"/>
        <v>1</v>
      </c>
      <c r="K959" s="107">
        <f t="shared" si="77"/>
        <v>0.15</v>
      </c>
      <c r="L959" s="2214">
        <f t="shared" si="78"/>
        <v>383460</v>
      </c>
      <c r="M959" s="731">
        <f t="shared" si="79"/>
        <v>367882.43521427794</v>
      </c>
      <c r="N959" s="2212">
        <v>535055</v>
      </c>
      <c r="O959" s="1118">
        <f t="shared" si="81"/>
        <v>167172.56478572206</v>
      </c>
      <c r="P959" s="2213">
        <f t="shared" si="74"/>
        <v>45010.960350250716</v>
      </c>
    </row>
    <row r="960" spans="1:16" ht="14.5">
      <c r="A960" s="2042" t="s">
        <v>5029</v>
      </c>
      <c r="B960" s="380" t="str">
        <f t="shared" si="71"/>
        <v>084-901</v>
      </c>
      <c r="C960" s="2042" t="s">
        <v>345</v>
      </c>
      <c r="D960" s="2043">
        <v>10953</v>
      </c>
      <c r="E960" s="2043">
        <v>11631</v>
      </c>
      <c r="F960" s="2043">
        <f t="shared" si="72"/>
        <v>678</v>
      </c>
      <c r="G960" s="2043">
        <f t="shared" si="73"/>
        <v>428</v>
      </c>
      <c r="H960" s="2043">
        <f t="shared" si="80"/>
        <v>7895</v>
      </c>
      <c r="I960" s="2209">
        <f t="shared" si="75"/>
        <v>5.4655590169608859E-2</v>
      </c>
      <c r="J960" s="41">
        <f t="shared" si="76"/>
        <v>1</v>
      </c>
      <c r="K960" s="107">
        <f t="shared" si="77"/>
        <v>0.15</v>
      </c>
      <c r="L960" s="2214">
        <f t="shared" si="78"/>
        <v>395472</v>
      </c>
      <c r="M960" s="731">
        <f t="shared" si="79"/>
        <v>379406.46330532763</v>
      </c>
      <c r="N960" s="2212">
        <v>0</v>
      </c>
      <c r="O960" s="1118">
        <f t="shared" si="81"/>
        <v>0</v>
      </c>
      <c r="P960" s="2213">
        <f t="shared" si="74"/>
        <v>0</v>
      </c>
    </row>
    <row r="961" spans="1:16" ht="14.5">
      <c r="A961" s="2042" t="s">
        <v>5231</v>
      </c>
      <c r="B961" s="380" t="str">
        <f t="shared" si="71"/>
        <v>191-901</v>
      </c>
      <c r="C961" s="2042" t="s">
        <v>2207</v>
      </c>
      <c r="D961" s="2043">
        <v>9615</v>
      </c>
      <c r="E961" s="2043">
        <v>10324</v>
      </c>
      <c r="F961" s="2043">
        <f t="shared" si="72"/>
        <v>709</v>
      </c>
      <c r="G961" s="2043">
        <f t="shared" si="73"/>
        <v>459</v>
      </c>
      <c r="H961" s="2043">
        <f t="shared" si="80"/>
        <v>8354</v>
      </c>
      <c r="I961" s="2209">
        <f t="shared" si="75"/>
        <v>5.7833160263066806E-2</v>
      </c>
      <c r="J961" s="41">
        <f t="shared" si="76"/>
        <v>1</v>
      </c>
      <c r="K961" s="107">
        <f t="shared" si="77"/>
        <v>0.15</v>
      </c>
      <c r="L961" s="2214">
        <f t="shared" si="78"/>
        <v>424116</v>
      </c>
      <c r="M961" s="731">
        <f t="shared" si="79"/>
        <v>406886.83798398456</v>
      </c>
      <c r="N961" s="2212">
        <v>2416990</v>
      </c>
      <c r="O961" s="1118">
        <f t="shared" si="81"/>
        <v>2010103.1620160155</v>
      </c>
      <c r="P961" s="2213">
        <f t="shared" si="74"/>
        <v>541217.23765731161</v>
      </c>
    </row>
    <row r="962" spans="1:16" ht="14.5">
      <c r="A962" s="2042" t="s">
        <v>5184</v>
      </c>
      <c r="B962" s="380" t="str">
        <f t="shared" si="71"/>
        <v>170-903</v>
      </c>
      <c r="C962" s="2042" t="s">
        <v>2126</v>
      </c>
      <c r="D962" s="2043">
        <v>8174</v>
      </c>
      <c r="E962" s="2043">
        <v>8920</v>
      </c>
      <c r="F962" s="2043">
        <f t="shared" si="72"/>
        <v>746</v>
      </c>
      <c r="G962" s="2043">
        <f t="shared" si="73"/>
        <v>496</v>
      </c>
      <c r="H962" s="2043">
        <f t="shared" si="80"/>
        <v>8850</v>
      </c>
      <c r="I962" s="2209">
        <f t="shared" si="75"/>
        <v>6.1266874350986503E-2</v>
      </c>
      <c r="J962" s="41">
        <f t="shared" si="76"/>
        <v>1</v>
      </c>
      <c r="K962" s="107">
        <f t="shared" si="77"/>
        <v>0.15</v>
      </c>
      <c r="L962" s="2214">
        <f t="shared" si="78"/>
        <v>458304</v>
      </c>
      <c r="M962" s="731">
        <f t="shared" si="79"/>
        <v>439685.9948585105</v>
      </c>
      <c r="N962" s="2212">
        <v>2076221</v>
      </c>
      <c r="O962" s="1118">
        <f t="shared" si="81"/>
        <v>1636535.0051414894</v>
      </c>
      <c r="P962" s="2213">
        <f t="shared" si="74"/>
        <v>440634.57614973607</v>
      </c>
    </row>
    <row r="963" spans="1:16" ht="14.5">
      <c r="A963" s="2042" t="s">
        <v>3146</v>
      </c>
      <c r="B963" s="380" t="str">
        <f t="shared" ref="B963:B1021" si="82">CONCATENATE(LEFT(RIGHT(CONCATENATE("000",A963),6),3),"-",(RIGHT(RIGHT(CONCATENATE("000",A963),6),3)))</f>
        <v>170-904</v>
      </c>
      <c r="C963" s="2042" t="s">
        <v>1060</v>
      </c>
      <c r="D963" s="2043">
        <v>7113</v>
      </c>
      <c r="E963" s="2043">
        <v>7882</v>
      </c>
      <c r="F963" s="2043">
        <f t="shared" ref="F963:F1021" si="83">MAX(0,E963-D963)</f>
        <v>769</v>
      </c>
      <c r="G963" s="2043">
        <f t="shared" ref="G963:G1021" si="84">MAX(0,F963-250)</f>
        <v>519</v>
      </c>
      <c r="H963" s="2043">
        <f t="shared" si="80"/>
        <v>9369</v>
      </c>
      <c r="I963" s="2209">
        <f t="shared" si="75"/>
        <v>6.485981308411215E-2</v>
      </c>
      <c r="J963" s="41">
        <f t="shared" si="76"/>
        <v>1</v>
      </c>
      <c r="K963" s="107">
        <f t="shared" si="77"/>
        <v>0.15</v>
      </c>
      <c r="L963" s="2214">
        <f t="shared" si="78"/>
        <v>479556</v>
      </c>
      <c r="M963" s="731">
        <f t="shared" si="79"/>
        <v>460074.65994267532</v>
      </c>
      <c r="N963" s="2212">
        <v>0</v>
      </c>
      <c r="O963" s="1118">
        <f t="shared" si="81"/>
        <v>0</v>
      </c>
      <c r="P963" s="2213">
        <f t="shared" ref="P963:P1021" si="85">(40000000/$O$1022)*O963</f>
        <v>0</v>
      </c>
    </row>
    <row r="964" spans="1:16" ht="14.5">
      <c r="A964" s="2042" t="s">
        <v>2930</v>
      </c>
      <c r="B964" s="380" t="str">
        <f t="shared" si="82"/>
        <v>043-901</v>
      </c>
      <c r="C964" s="2042" t="s">
        <v>1850</v>
      </c>
      <c r="D964" s="2043">
        <v>20822</v>
      </c>
      <c r="E964" s="2043">
        <v>21617</v>
      </c>
      <c r="F964" s="2043">
        <f t="shared" si="83"/>
        <v>795</v>
      </c>
      <c r="G964" s="2043">
        <f t="shared" si="84"/>
        <v>545</v>
      </c>
      <c r="H964" s="2043">
        <f t="shared" si="80"/>
        <v>9914</v>
      </c>
      <c r="I964" s="2209">
        <f t="shared" si="75"/>
        <v>6.8632744894427139E-2</v>
      </c>
      <c r="J964" s="41">
        <f t="shared" si="76"/>
        <v>1</v>
      </c>
      <c r="K964" s="107">
        <f t="shared" si="77"/>
        <v>0.15</v>
      </c>
      <c r="L964" s="2214">
        <f t="shared" si="78"/>
        <v>503580</v>
      </c>
      <c r="M964" s="731">
        <f t="shared" si="79"/>
        <v>483122.71612477466</v>
      </c>
      <c r="N964" s="2212">
        <v>0</v>
      </c>
      <c r="O964" s="1118">
        <f t="shared" si="81"/>
        <v>0</v>
      </c>
      <c r="P964" s="2213">
        <f t="shared" si="85"/>
        <v>0</v>
      </c>
    </row>
    <row r="965" spans="1:16" ht="14.5">
      <c r="A965" s="2042" t="s">
        <v>2943</v>
      </c>
      <c r="B965" s="380" t="str">
        <f t="shared" si="82"/>
        <v>046-901</v>
      </c>
      <c r="C965" s="2042" t="s">
        <v>2083</v>
      </c>
      <c r="D965" s="2043">
        <v>8459</v>
      </c>
      <c r="E965" s="2043">
        <v>9282</v>
      </c>
      <c r="F965" s="2043">
        <f t="shared" si="83"/>
        <v>823</v>
      </c>
      <c r="G965" s="2043">
        <f t="shared" si="84"/>
        <v>573</v>
      </c>
      <c r="H965" s="2043">
        <f t="shared" si="80"/>
        <v>10487</v>
      </c>
      <c r="I965" s="2209">
        <f t="shared" si="75"/>
        <v>7.2599515403253725E-2</v>
      </c>
      <c r="J965" s="41">
        <f t="shared" si="76"/>
        <v>1</v>
      </c>
      <c r="K965" s="107">
        <f t="shared" si="77"/>
        <v>0.15</v>
      </c>
      <c r="L965" s="2214">
        <f t="shared" si="78"/>
        <v>529452</v>
      </c>
      <c r="M965" s="731">
        <f t="shared" si="79"/>
        <v>507943.69970549701</v>
      </c>
      <c r="N965" s="2212">
        <v>2176149</v>
      </c>
      <c r="O965" s="1118">
        <f t="shared" si="81"/>
        <v>1668205.3002945031</v>
      </c>
      <c r="P965" s="2213">
        <f t="shared" si="85"/>
        <v>449161.75524302939</v>
      </c>
    </row>
    <row r="966" spans="1:16" ht="14.5">
      <c r="A966" s="2042" t="s">
        <v>5272</v>
      </c>
      <c r="B966" s="380" t="str">
        <f t="shared" si="82"/>
        <v>221-912</v>
      </c>
      <c r="C966" s="2042" t="s">
        <v>1065</v>
      </c>
      <c r="D966" s="2043">
        <v>4080</v>
      </c>
      <c r="E966" s="2043">
        <v>4910</v>
      </c>
      <c r="F966" s="2043">
        <f t="shared" si="83"/>
        <v>830</v>
      </c>
      <c r="G966" s="2043">
        <f t="shared" si="84"/>
        <v>580</v>
      </c>
      <c r="H966" s="2043">
        <f t="shared" si="80"/>
        <v>11067</v>
      </c>
      <c r="I966" s="2209">
        <f t="shared" si="75"/>
        <v>7.6614745586708208E-2</v>
      </c>
      <c r="J966" s="41">
        <f t="shared" si="76"/>
        <v>1</v>
      </c>
      <c r="K966" s="107">
        <f t="shared" si="77"/>
        <v>0.15</v>
      </c>
      <c r="L966" s="2214">
        <f t="shared" si="78"/>
        <v>535920</v>
      </c>
      <c r="M966" s="731">
        <f t="shared" si="79"/>
        <v>514148.94560067763</v>
      </c>
      <c r="N966" s="2212">
        <v>1107132</v>
      </c>
      <c r="O966" s="1118">
        <f t="shared" si="81"/>
        <v>592983.05439932237</v>
      </c>
      <c r="P966" s="2213">
        <f t="shared" si="85"/>
        <v>159659.79097198177</v>
      </c>
    </row>
    <row r="967" spans="1:16" ht="14.5">
      <c r="A967" s="2042" t="s">
        <v>2941</v>
      </c>
      <c r="B967" s="380" t="str">
        <f t="shared" si="82"/>
        <v>043-918</v>
      </c>
      <c r="C967" s="2042" t="s">
        <v>1461</v>
      </c>
      <c r="D967" s="2043">
        <v>1919</v>
      </c>
      <c r="E967" s="2043">
        <v>2757</v>
      </c>
      <c r="F967" s="2043">
        <f t="shared" si="83"/>
        <v>838</v>
      </c>
      <c r="G967" s="2043">
        <f t="shared" si="84"/>
        <v>588</v>
      </c>
      <c r="H967" s="2043">
        <f t="shared" si="80"/>
        <v>11655</v>
      </c>
      <c r="I967" s="2209">
        <f t="shared" si="75"/>
        <v>8.0685358255451714E-2</v>
      </c>
      <c r="J967" s="41">
        <f t="shared" si="76"/>
        <v>1</v>
      </c>
      <c r="K967" s="107">
        <f t="shared" si="77"/>
        <v>0.15</v>
      </c>
      <c r="L967" s="2214">
        <f t="shared" si="78"/>
        <v>543312</v>
      </c>
      <c r="M967" s="731">
        <f t="shared" si="79"/>
        <v>521240.65519516973</v>
      </c>
      <c r="N967" s="2212">
        <v>581553</v>
      </c>
      <c r="O967" s="1118">
        <f t="shared" si="81"/>
        <v>60312.344804830267</v>
      </c>
      <c r="P967" s="2213">
        <f t="shared" si="85"/>
        <v>16239.007663252198</v>
      </c>
    </row>
    <row r="968" spans="1:16" ht="14.5">
      <c r="A968" s="2042" t="s">
        <v>3260</v>
      </c>
      <c r="B968" s="380" t="str">
        <f t="shared" si="82"/>
        <v>246-904</v>
      </c>
      <c r="C968" s="2042" t="s">
        <v>2196</v>
      </c>
      <c r="D968" s="2043">
        <v>10997</v>
      </c>
      <c r="E968" s="2043">
        <v>11866</v>
      </c>
      <c r="F968" s="2043">
        <f t="shared" si="83"/>
        <v>869</v>
      </c>
      <c r="G968" s="2043">
        <f t="shared" si="84"/>
        <v>619</v>
      </c>
      <c r="H968" s="2043">
        <f t="shared" si="80"/>
        <v>12274</v>
      </c>
      <c r="I968" s="2209">
        <f t="shared" si="75"/>
        <v>8.4970578054690202E-2</v>
      </c>
      <c r="J968" s="41">
        <f t="shared" si="76"/>
        <v>1</v>
      </c>
      <c r="K968" s="107">
        <f t="shared" si="77"/>
        <v>0.15</v>
      </c>
      <c r="L968" s="2214">
        <f t="shared" si="78"/>
        <v>571956</v>
      </c>
      <c r="M968" s="731">
        <f t="shared" si="79"/>
        <v>548721.02987382666</v>
      </c>
      <c r="N968" s="2212">
        <v>0</v>
      </c>
      <c r="O968" s="1118">
        <f t="shared" si="81"/>
        <v>0</v>
      </c>
      <c r="P968" s="2213">
        <f t="shared" si="85"/>
        <v>0</v>
      </c>
    </row>
    <row r="969" spans="1:16" ht="14.5">
      <c r="A969" s="2042" t="s">
        <v>5307</v>
      </c>
      <c r="B969" s="380" t="str">
        <f t="shared" si="82"/>
        <v>246-907</v>
      </c>
      <c r="C969" s="2042" t="s">
        <v>1520</v>
      </c>
      <c r="D969" s="2043">
        <v>1426</v>
      </c>
      <c r="E969" s="2043">
        <v>2305</v>
      </c>
      <c r="F969" s="2043">
        <f t="shared" si="83"/>
        <v>879</v>
      </c>
      <c r="G969" s="2043">
        <f t="shared" si="84"/>
        <v>629</v>
      </c>
      <c r="H969" s="2043">
        <f t="shared" si="80"/>
        <v>12903</v>
      </c>
      <c r="I969" s="2209">
        <f t="shared" si="75"/>
        <v>8.9325025960539983E-2</v>
      </c>
      <c r="J969" s="41">
        <f t="shared" si="76"/>
        <v>1</v>
      </c>
      <c r="K969" s="107">
        <f t="shared" si="77"/>
        <v>0.15</v>
      </c>
      <c r="L969" s="2214">
        <f t="shared" si="78"/>
        <v>581196</v>
      </c>
      <c r="M969" s="731">
        <f t="shared" si="79"/>
        <v>557585.66686694173</v>
      </c>
      <c r="N969" s="2212">
        <v>485949</v>
      </c>
      <c r="O969" s="1118">
        <f t="shared" si="81"/>
        <v>0</v>
      </c>
      <c r="P969" s="2213">
        <f t="shared" si="85"/>
        <v>0</v>
      </c>
    </row>
    <row r="970" spans="1:16" ht="14.5">
      <c r="A970" s="2042" t="s">
        <v>2931</v>
      </c>
      <c r="B970" s="380" t="str">
        <f t="shared" si="82"/>
        <v>043-902</v>
      </c>
      <c r="C970" s="2042" t="s">
        <v>1000</v>
      </c>
      <c r="D970" s="2043">
        <v>3072</v>
      </c>
      <c r="E970" s="2043">
        <v>3979</v>
      </c>
      <c r="F970" s="2043">
        <f t="shared" si="83"/>
        <v>907</v>
      </c>
      <c r="G970" s="2043">
        <f t="shared" si="84"/>
        <v>657</v>
      </c>
      <c r="H970" s="2043">
        <f t="shared" si="80"/>
        <v>13560</v>
      </c>
      <c r="I970" s="2209">
        <f t="shared" si="75"/>
        <v>9.3873312564901348E-2</v>
      </c>
      <c r="J970" s="41">
        <f t="shared" si="76"/>
        <v>1</v>
      </c>
      <c r="K970" s="107">
        <f t="shared" si="77"/>
        <v>0.15</v>
      </c>
      <c r="L970" s="2214">
        <f t="shared" si="78"/>
        <v>607068</v>
      </c>
      <c r="M970" s="731">
        <f t="shared" si="79"/>
        <v>582406.65044766408</v>
      </c>
      <c r="N970" s="2212">
        <v>882972</v>
      </c>
      <c r="O970" s="1118">
        <f t="shared" si="81"/>
        <v>300565.34955233592</v>
      </c>
      <c r="P970" s="2213">
        <f t="shared" si="85"/>
        <v>80926.765995965063</v>
      </c>
    </row>
    <row r="971" spans="1:16" ht="14.5">
      <c r="A971" s="2042" t="s">
        <v>2967</v>
      </c>
      <c r="B971" s="380" t="str">
        <f t="shared" si="82"/>
        <v>061-914</v>
      </c>
      <c r="C971" s="2042" t="s">
        <v>1476</v>
      </c>
      <c r="D971" s="2043">
        <v>7194</v>
      </c>
      <c r="E971" s="2043">
        <v>8108</v>
      </c>
      <c r="F971" s="2043">
        <f t="shared" si="83"/>
        <v>914</v>
      </c>
      <c r="G971" s="2043">
        <f t="shared" si="84"/>
        <v>664</v>
      </c>
      <c r="H971" s="2043">
        <f t="shared" si="80"/>
        <v>14224</v>
      </c>
      <c r="I971" s="2209">
        <f t="shared" si="75"/>
        <v>9.8470058843890623E-2</v>
      </c>
      <c r="J971" s="41">
        <f t="shared" si="76"/>
        <v>1</v>
      </c>
      <c r="K971" s="107">
        <f t="shared" si="77"/>
        <v>0.15</v>
      </c>
      <c r="L971" s="2214">
        <f t="shared" si="78"/>
        <v>613536</v>
      </c>
      <c r="M971" s="731">
        <f t="shared" si="79"/>
        <v>588611.8963428447</v>
      </c>
      <c r="N971" s="2212">
        <v>1870398</v>
      </c>
      <c r="O971" s="1118">
        <f t="shared" si="81"/>
        <v>1281786.1036571553</v>
      </c>
      <c r="P971" s="2213">
        <f t="shared" si="85"/>
        <v>345118.97070650291</v>
      </c>
    </row>
    <row r="972" spans="1:16" ht="14.5">
      <c r="A972" s="2042" t="s">
        <v>5066</v>
      </c>
      <c r="B972" s="380" t="str">
        <f t="shared" si="82"/>
        <v>101-907</v>
      </c>
      <c r="C972" s="2042" t="s">
        <v>453</v>
      </c>
      <c r="D972" s="2043">
        <v>113936</v>
      </c>
      <c r="E972" s="2043">
        <v>114881</v>
      </c>
      <c r="F972" s="2043">
        <f t="shared" si="83"/>
        <v>945</v>
      </c>
      <c r="G972" s="2043">
        <f t="shared" si="84"/>
        <v>695</v>
      </c>
      <c r="H972" s="2043">
        <f t="shared" si="80"/>
        <v>14919</v>
      </c>
      <c r="I972" s="2209">
        <f t="shared" si="75"/>
        <v>0.10328141225337487</v>
      </c>
      <c r="J972" s="41">
        <f t="shared" si="76"/>
        <v>1</v>
      </c>
      <c r="K972" s="107">
        <f t="shared" si="77"/>
        <v>0.15</v>
      </c>
      <c r="L972" s="2214">
        <f t="shared" si="78"/>
        <v>642180</v>
      </c>
      <c r="M972" s="731">
        <f t="shared" si="79"/>
        <v>616092.27102150163</v>
      </c>
      <c r="N972" s="2212">
        <v>0</v>
      </c>
      <c r="O972" s="1118">
        <f t="shared" si="81"/>
        <v>0</v>
      </c>
      <c r="P972" s="2213">
        <f t="shared" si="85"/>
        <v>0</v>
      </c>
    </row>
    <row r="973" spans="1:16" ht="14.5">
      <c r="A973" s="2042" t="s">
        <v>3139</v>
      </c>
      <c r="B973" s="380" t="str">
        <f t="shared" si="82"/>
        <v>165-901</v>
      </c>
      <c r="C973" s="2042" t="s">
        <v>2113</v>
      </c>
      <c r="D973" s="2043">
        <v>24555</v>
      </c>
      <c r="E973" s="2043">
        <v>25579</v>
      </c>
      <c r="F973" s="2043">
        <f t="shared" si="83"/>
        <v>1024</v>
      </c>
      <c r="G973" s="2043">
        <f t="shared" si="84"/>
        <v>774</v>
      </c>
      <c r="H973" s="2043">
        <f t="shared" si="80"/>
        <v>15693</v>
      </c>
      <c r="I973" s="2209">
        <f t="shared" si="75"/>
        <v>0.10863966770508826</v>
      </c>
      <c r="J973" s="41">
        <f t="shared" si="76"/>
        <v>1</v>
      </c>
      <c r="K973" s="107">
        <f t="shared" si="77"/>
        <v>0.15</v>
      </c>
      <c r="L973" s="2214">
        <f t="shared" si="78"/>
        <v>715176</v>
      </c>
      <c r="M973" s="731">
        <f t="shared" si="79"/>
        <v>686122.90326711116</v>
      </c>
      <c r="N973" s="2212">
        <v>5949473</v>
      </c>
      <c r="O973" s="1118">
        <f t="shared" si="81"/>
        <v>5263350.0967328884</v>
      </c>
      <c r="P973" s="2213">
        <f t="shared" si="85"/>
        <v>1417149.0568275726</v>
      </c>
    </row>
    <row r="974" spans="1:16" ht="14.5">
      <c r="A974" s="2042" t="s">
        <v>2862</v>
      </c>
      <c r="B974" s="380" t="str">
        <f t="shared" si="82"/>
        <v>011-901</v>
      </c>
      <c r="C974" s="2042" t="s">
        <v>2004</v>
      </c>
      <c r="D974" s="2043">
        <v>10278</v>
      </c>
      <c r="E974" s="2043">
        <v>11405</v>
      </c>
      <c r="F974" s="2043">
        <f t="shared" si="83"/>
        <v>1127</v>
      </c>
      <c r="G974" s="2043">
        <f t="shared" si="84"/>
        <v>877</v>
      </c>
      <c r="H974" s="2043">
        <f t="shared" si="80"/>
        <v>16570</v>
      </c>
      <c r="I974" s="2209">
        <f t="shared" si="75"/>
        <v>0.11471097265489789</v>
      </c>
      <c r="J974" s="41">
        <f t="shared" si="76"/>
        <v>1</v>
      </c>
      <c r="K974" s="107">
        <f t="shared" si="77"/>
        <v>0.15</v>
      </c>
      <c r="L974" s="2214">
        <f t="shared" si="78"/>
        <v>810348</v>
      </c>
      <c r="M974" s="731">
        <f t="shared" si="79"/>
        <v>777428.66429619701</v>
      </c>
      <c r="N974" s="2212">
        <v>2552432</v>
      </c>
      <c r="O974" s="1118">
        <f t="shared" si="81"/>
        <v>1775003.335703803</v>
      </c>
      <c r="P974" s="2213">
        <f t="shared" si="85"/>
        <v>477916.96482813254</v>
      </c>
    </row>
    <row r="975" spans="1:16" ht="14.5">
      <c r="A975" s="2042" t="s">
        <v>3083</v>
      </c>
      <c r="B975" s="380" t="str">
        <f t="shared" si="82"/>
        <v>126-902</v>
      </c>
      <c r="C975" s="2042" t="s">
        <v>1364</v>
      </c>
      <c r="D975" s="2043">
        <v>11385</v>
      </c>
      <c r="E975" s="2043">
        <v>12547</v>
      </c>
      <c r="F975" s="2043">
        <f t="shared" si="83"/>
        <v>1162</v>
      </c>
      <c r="G975" s="2043">
        <f t="shared" si="84"/>
        <v>912</v>
      </c>
      <c r="H975" s="2043">
        <f t="shared" si="80"/>
        <v>17482</v>
      </c>
      <c r="I975" s="2209">
        <f t="shared" si="75"/>
        <v>0.12102457597784701</v>
      </c>
      <c r="J975" s="41">
        <f t="shared" si="76"/>
        <v>1</v>
      </c>
      <c r="K975" s="107">
        <f t="shared" si="77"/>
        <v>0.15</v>
      </c>
      <c r="L975" s="2214">
        <f t="shared" si="78"/>
        <v>842688</v>
      </c>
      <c r="M975" s="731">
        <f t="shared" si="79"/>
        <v>808454.89377209998</v>
      </c>
      <c r="N975" s="2212">
        <v>2976707</v>
      </c>
      <c r="O975" s="1118">
        <f t="shared" si="81"/>
        <v>2168252.1062278999</v>
      </c>
      <c r="P975" s="2213">
        <f t="shared" si="85"/>
        <v>583798.60180925485</v>
      </c>
    </row>
    <row r="976" spans="1:16" ht="14.5">
      <c r="A976" s="2042" t="s">
        <v>4994</v>
      </c>
      <c r="B976" s="380" t="str">
        <f t="shared" si="82"/>
        <v>057-922</v>
      </c>
      <c r="C976" s="2042" t="s">
        <v>2468</v>
      </c>
      <c r="D976" s="2043">
        <v>11881</v>
      </c>
      <c r="E976" s="2043">
        <v>13052</v>
      </c>
      <c r="F976" s="2043">
        <f t="shared" si="83"/>
        <v>1171</v>
      </c>
      <c r="G976" s="2043">
        <f t="shared" si="84"/>
        <v>921</v>
      </c>
      <c r="H976" s="2043">
        <f t="shared" si="80"/>
        <v>18403</v>
      </c>
      <c r="I976" s="2209">
        <f t="shared" si="75"/>
        <v>0.12740048459674627</v>
      </c>
      <c r="J976" s="41">
        <f t="shared" si="76"/>
        <v>1</v>
      </c>
      <c r="K976" s="107">
        <f t="shared" si="77"/>
        <v>0.15</v>
      </c>
      <c r="L976" s="2214">
        <f t="shared" si="78"/>
        <v>851004</v>
      </c>
      <c r="M976" s="731">
        <f t="shared" si="79"/>
        <v>816433.06706590357</v>
      </c>
      <c r="N976" s="2212">
        <v>3107976</v>
      </c>
      <c r="O976" s="1118">
        <f t="shared" si="81"/>
        <v>2291542.9329340965</v>
      </c>
      <c r="P976" s="2213">
        <f t="shared" si="85"/>
        <v>616994.47051854571</v>
      </c>
    </row>
    <row r="977" spans="1:16" ht="14.5">
      <c r="A977" s="2042" t="s">
        <v>3112</v>
      </c>
      <c r="B977" s="380" t="str">
        <f t="shared" si="82"/>
        <v>152-907</v>
      </c>
      <c r="C977" s="2042" t="s">
        <v>2179</v>
      </c>
      <c r="D977" s="2043">
        <v>9173</v>
      </c>
      <c r="E977" s="2043">
        <v>10353</v>
      </c>
      <c r="F977" s="2043">
        <f t="shared" si="83"/>
        <v>1180</v>
      </c>
      <c r="G977" s="2043">
        <f t="shared" si="84"/>
        <v>930</v>
      </c>
      <c r="H977" s="2043">
        <f t="shared" si="80"/>
        <v>19333</v>
      </c>
      <c r="I977" s="2209">
        <f t="shared" si="75"/>
        <v>0.13383869851159572</v>
      </c>
      <c r="J977" s="41">
        <f t="shared" si="76"/>
        <v>1</v>
      </c>
      <c r="K977" s="107">
        <f t="shared" si="77"/>
        <v>0.15</v>
      </c>
      <c r="L977" s="2214">
        <f t="shared" si="78"/>
        <v>859320</v>
      </c>
      <c r="M977" s="731">
        <f t="shared" si="79"/>
        <v>824411.24035970727</v>
      </c>
      <c r="N977" s="2212">
        <v>2377371</v>
      </c>
      <c r="O977" s="1118">
        <f t="shared" si="81"/>
        <v>1552959.7596402927</v>
      </c>
      <c r="P977" s="2213">
        <f t="shared" si="85"/>
        <v>418132.06764100661</v>
      </c>
    </row>
    <row r="978" spans="1:16" ht="14.5">
      <c r="A978" s="2042" t="s">
        <v>3247</v>
      </c>
      <c r="B978" s="380" t="str">
        <f t="shared" si="82"/>
        <v>237-904</v>
      </c>
      <c r="C978" s="2042" t="s">
        <v>129</v>
      </c>
      <c r="D978" s="2043">
        <v>6572</v>
      </c>
      <c r="E978" s="2043">
        <v>7762</v>
      </c>
      <c r="F978" s="2043">
        <f t="shared" si="83"/>
        <v>1190</v>
      </c>
      <c r="G978" s="2043">
        <f t="shared" si="84"/>
        <v>940</v>
      </c>
      <c r="H978" s="2043">
        <f t="shared" si="80"/>
        <v>20273</v>
      </c>
      <c r="I978" s="2209">
        <f t="shared" si="75"/>
        <v>0.14034614053305641</v>
      </c>
      <c r="J978" s="41">
        <f t="shared" si="76"/>
        <v>1</v>
      </c>
      <c r="K978" s="107">
        <f t="shared" si="77"/>
        <v>0.15</v>
      </c>
      <c r="L978" s="2214">
        <f t="shared" si="78"/>
        <v>868560</v>
      </c>
      <c r="M978" s="731">
        <f t="shared" si="79"/>
        <v>833275.87735282234</v>
      </c>
      <c r="N978" s="2212">
        <v>1782807</v>
      </c>
      <c r="O978" s="1118">
        <f t="shared" si="81"/>
        <v>949531.12264717766</v>
      </c>
      <c r="P978" s="2213">
        <f t="shared" si="85"/>
        <v>255659.81934645452</v>
      </c>
    </row>
    <row r="979" spans="1:16" ht="14.5">
      <c r="A979" s="2042" t="s">
        <v>3111</v>
      </c>
      <c r="B979" s="380" t="str">
        <f t="shared" si="82"/>
        <v>152-906</v>
      </c>
      <c r="C979" s="2042" t="s">
        <v>550</v>
      </c>
      <c r="D979" s="2043">
        <v>5818</v>
      </c>
      <c r="E979" s="2043">
        <v>7115</v>
      </c>
      <c r="F979" s="2043">
        <f t="shared" si="83"/>
        <v>1297</v>
      </c>
      <c r="G979" s="2043">
        <f t="shared" si="84"/>
        <v>1047</v>
      </c>
      <c r="H979" s="2043">
        <f t="shared" si="80"/>
        <v>21320</v>
      </c>
      <c r="I979" s="2209">
        <f t="shared" si="75"/>
        <v>0.14759432329525787</v>
      </c>
      <c r="J979" s="41">
        <f t="shared" si="76"/>
        <v>1</v>
      </c>
      <c r="K979" s="107">
        <f t="shared" si="77"/>
        <v>0.15</v>
      </c>
      <c r="L979" s="2214">
        <f t="shared" si="78"/>
        <v>967428</v>
      </c>
      <c r="M979" s="731">
        <f t="shared" si="79"/>
        <v>928127.49317915423</v>
      </c>
      <c r="N979" s="2212">
        <v>1610169</v>
      </c>
      <c r="O979" s="1118">
        <f t="shared" si="81"/>
        <v>682041.50682084577</v>
      </c>
      <c r="P979" s="2213">
        <f t="shared" si="85"/>
        <v>183638.6446549292</v>
      </c>
    </row>
    <row r="980" spans="1:16" ht="14.5">
      <c r="A980" s="2042" t="s">
        <v>3210</v>
      </c>
      <c r="B980" s="380" t="str">
        <f t="shared" si="82"/>
        <v>220-908</v>
      </c>
      <c r="C980" s="2042" t="s">
        <v>275</v>
      </c>
      <c r="D980" s="2043">
        <v>33809</v>
      </c>
      <c r="E980" s="2043">
        <v>35127</v>
      </c>
      <c r="F980" s="2043">
        <f t="shared" si="83"/>
        <v>1318</v>
      </c>
      <c r="G980" s="2043">
        <f t="shared" si="84"/>
        <v>1068</v>
      </c>
      <c r="H980" s="2043">
        <f t="shared" si="80"/>
        <v>22388</v>
      </c>
      <c r="I980" s="2209">
        <f t="shared" si="75"/>
        <v>0.15498788508134304</v>
      </c>
      <c r="J980" s="41">
        <f t="shared" si="76"/>
        <v>1</v>
      </c>
      <c r="K980" s="107">
        <f t="shared" si="77"/>
        <v>0.15</v>
      </c>
      <c r="L980" s="2214">
        <f t="shared" si="78"/>
        <v>986832</v>
      </c>
      <c r="M980" s="731">
        <f t="shared" si="79"/>
        <v>946743.23086469609</v>
      </c>
      <c r="N980" s="2212">
        <v>0</v>
      </c>
      <c r="O980" s="1118">
        <f t="shared" si="81"/>
        <v>0</v>
      </c>
      <c r="P980" s="2213">
        <f t="shared" si="85"/>
        <v>0</v>
      </c>
    </row>
    <row r="981" spans="1:16" ht="14.5">
      <c r="A981" s="2042" t="s">
        <v>3225</v>
      </c>
      <c r="B981" s="380" t="str">
        <f t="shared" si="82"/>
        <v>227-904</v>
      </c>
      <c r="C981" s="2042" t="s">
        <v>944</v>
      </c>
      <c r="D981" s="2043">
        <v>24100</v>
      </c>
      <c r="E981" s="2043">
        <v>25436</v>
      </c>
      <c r="F981" s="2043">
        <f t="shared" si="83"/>
        <v>1336</v>
      </c>
      <c r="G981" s="2043">
        <f t="shared" si="84"/>
        <v>1086</v>
      </c>
      <c r="H981" s="2043">
        <f t="shared" si="80"/>
        <v>23474</v>
      </c>
      <c r="I981" s="2209">
        <f t="shared" si="75"/>
        <v>0.1625060574593285</v>
      </c>
      <c r="J981" s="41">
        <f t="shared" si="76"/>
        <v>1</v>
      </c>
      <c r="K981" s="107">
        <f t="shared" si="77"/>
        <v>0.15</v>
      </c>
      <c r="L981" s="2214">
        <f t="shared" si="78"/>
        <v>1003464</v>
      </c>
      <c r="M981" s="731">
        <f t="shared" si="79"/>
        <v>962699.57745230326</v>
      </c>
      <c r="N981" s="2212">
        <v>6052207</v>
      </c>
      <c r="O981" s="1118">
        <f t="shared" si="81"/>
        <v>5089507.4225476971</v>
      </c>
      <c r="P981" s="2213">
        <f t="shared" si="85"/>
        <v>1370342.1796048605</v>
      </c>
    </row>
    <row r="982" spans="1:16" ht="14.5">
      <c r="A982" s="2042" t="s">
        <v>4965</v>
      </c>
      <c r="B982" s="380" t="str">
        <f t="shared" si="82"/>
        <v>036-902</v>
      </c>
      <c r="C982" s="2042" t="s">
        <v>1615</v>
      </c>
      <c r="D982" s="2043">
        <v>5085</v>
      </c>
      <c r="E982" s="2043">
        <v>6424</v>
      </c>
      <c r="F982" s="2043">
        <f t="shared" si="83"/>
        <v>1339</v>
      </c>
      <c r="G982" s="2043">
        <f t="shared" si="84"/>
        <v>1089</v>
      </c>
      <c r="H982" s="2043">
        <f t="shared" si="80"/>
        <v>24563</v>
      </c>
      <c r="I982" s="2209">
        <f t="shared" ref="I982:I1021" si="86">H982/H$1021</f>
        <v>0.17004499826929734</v>
      </c>
      <c r="J982" s="41">
        <f t="shared" ref="J982:J1021" si="87">IF(I982=0,0,IF(I982&lt;=0.3,1,IF(AND(I982&gt;0.3,I982&lt;=0.6),2,3)))</f>
        <v>1</v>
      </c>
      <c r="K982" s="107">
        <f t="shared" ref="K982:K1021" si="88">IF(I982=0,0,IF(J982=1,0.15,IF(J982=2,0.3,0.45)))</f>
        <v>0.15</v>
      </c>
      <c r="L982" s="2214">
        <f t="shared" si="78"/>
        <v>1006236</v>
      </c>
      <c r="M982" s="731">
        <f t="shared" si="79"/>
        <v>965358.96855023783</v>
      </c>
      <c r="N982" s="2212">
        <v>1457427</v>
      </c>
      <c r="O982" s="1118">
        <f t="shared" si="81"/>
        <v>492068.03144976217</v>
      </c>
      <c r="P982" s="2213">
        <f t="shared" si="85"/>
        <v>132488.57359818908</v>
      </c>
    </row>
    <row r="983" spans="1:16" ht="14.5">
      <c r="A983" s="2042" t="s">
        <v>3093</v>
      </c>
      <c r="B983" s="380" t="str">
        <f t="shared" si="82"/>
        <v>129-901</v>
      </c>
      <c r="C983" s="2042" t="s">
        <v>394</v>
      </c>
      <c r="D983" s="2043">
        <v>3453</v>
      </c>
      <c r="E983" s="2043">
        <v>4868</v>
      </c>
      <c r="F983" s="2043">
        <f t="shared" si="83"/>
        <v>1415</v>
      </c>
      <c r="G983" s="2043">
        <f t="shared" si="84"/>
        <v>1165</v>
      </c>
      <c r="H983" s="2043">
        <f t="shared" si="80"/>
        <v>25728</v>
      </c>
      <c r="I983" s="2209">
        <f t="shared" si="86"/>
        <v>0.17811007268951196</v>
      </c>
      <c r="J983" s="41">
        <f t="shared" si="87"/>
        <v>1</v>
      </c>
      <c r="K983" s="107">
        <f t="shared" si="88"/>
        <v>0.15</v>
      </c>
      <c r="L983" s="2214">
        <f t="shared" ref="L983:L1021" si="89">G983*6160*K983</f>
        <v>1076460</v>
      </c>
      <c r="M983" s="731">
        <f t="shared" ref="M983:M1021" si="90">(270000000/$L$1022)*L983</f>
        <v>1032730.2096979128</v>
      </c>
      <c r="N983" s="2212">
        <v>1056453</v>
      </c>
      <c r="O983" s="1118">
        <f t="shared" si="81"/>
        <v>23722.790302087204</v>
      </c>
      <c r="P983" s="2213">
        <f t="shared" si="85"/>
        <v>6387.325426592708</v>
      </c>
    </row>
    <row r="984" spans="1:16" ht="14.5">
      <c r="A984" s="2042" t="s">
        <v>5218</v>
      </c>
      <c r="B984" s="380" t="str">
        <f t="shared" si="82"/>
        <v>184-907</v>
      </c>
      <c r="C984" s="2042" t="s">
        <v>412</v>
      </c>
      <c r="D984" s="2043">
        <v>5249</v>
      </c>
      <c r="E984" s="2043">
        <v>6723</v>
      </c>
      <c r="F984" s="2043">
        <f t="shared" si="83"/>
        <v>1474</v>
      </c>
      <c r="G984" s="2043">
        <f t="shared" si="84"/>
        <v>1224</v>
      </c>
      <c r="H984" s="2043">
        <f t="shared" ref="H984:H1021" si="91">H983+G984</f>
        <v>26952</v>
      </c>
      <c r="I984" s="2209">
        <f t="shared" si="86"/>
        <v>0.18658359293873314</v>
      </c>
      <c r="J984" s="41">
        <f t="shared" si="87"/>
        <v>1</v>
      </c>
      <c r="K984" s="107">
        <f t="shared" si="88"/>
        <v>0.15</v>
      </c>
      <c r="L984" s="2214">
        <f t="shared" si="89"/>
        <v>1130976</v>
      </c>
      <c r="M984" s="731">
        <f t="shared" si="90"/>
        <v>1085031.5679572921</v>
      </c>
      <c r="N984" s="2212">
        <v>1518736</v>
      </c>
      <c r="O984" s="1118">
        <f t="shared" si="81"/>
        <v>433704.43204270792</v>
      </c>
      <c r="P984" s="2213">
        <f t="shared" si="85"/>
        <v>116774.2626873284</v>
      </c>
    </row>
    <row r="985" spans="1:16" ht="14.5">
      <c r="A985" s="2042" t="s">
        <v>5242</v>
      </c>
      <c r="B985" s="380" t="str">
        <f t="shared" si="82"/>
        <v>199-901</v>
      </c>
      <c r="C985" s="2042" t="s">
        <v>924</v>
      </c>
      <c r="D985" s="2043">
        <v>15462</v>
      </c>
      <c r="E985" s="2043">
        <v>16987</v>
      </c>
      <c r="F985" s="2043">
        <f t="shared" si="83"/>
        <v>1525</v>
      </c>
      <c r="G985" s="2043">
        <f t="shared" si="84"/>
        <v>1275</v>
      </c>
      <c r="H985" s="2043">
        <f t="shared" si="91"/>
        <v>28227</v>
      </c>
      <c r="I985" s="2209">
        <f t="shared" si="86"/>
        <v>0.19541017653167186</v>
      </c>
      <c r="J985" s="41">
        <f t="shared" si="87"/>
        <v>1</v>
      </c>
      <c r="K985" s="107">
        <f t="shared" si="88"/>
        <v>0.15</v>
      </c>
      <c r="L985" s="2214">
        <f t="shared" si="89"/>
        <v>1178100</v>
      </c>
      <c r="M985" s="731">
        <f t="shared" si="90"/>
        <v>1130241.2166221794</v>
      </c>
      <c r="N985" s="2212">
        <v>3947879</v>
      </c>
      <c r="O985" s="1118">
        <f t="shared" ref="O985:O1021" si="92">IF(N985&gt;M985,N985-M985,0)</f>
        <v>2817637.7833778206</v>
      </c>
      <c r="P985" s="2213">
        <f t="shared" si="85"/>
        <v>758644.71369179641</v>
      </c>
    </row>
    <row r="986" spans="1:16" ht="14.5">
      <c r="A986" s="2042" t="s">
        <v>4998</v>
      </c>
      <c r="B986" s="380" t="str">
        <f t="shared" si="82"/>
        <v>061-910</v>
      </c>
      <c r="C986" s="2042" t="s">
        <v>2475</v>
      </c>
      <c r="D986" s="2043">
        <v>2243</v>
      </c>
      <c r="E986" s="2043">
        <v>3795</v>
      </c>
      <c r="F986" s="2043">
        <f t="shared" si="83"/>
        <v>1552</v>
      </c>
      <c r="G986" s="2043">
        <f t="shared" si="84"/>
        <v>1302</v>
      </c>
      <c r="H986" s="2043">
        <f t="shared" si="91"/>
        <v>29529</v>
      </c>
      <c r="I986" s="2209">
        <f t="shared" si="86"/>
        <v>0.20442367601246106</v>
      </c>
      <c r="J986" s="41">
        <f t="shared" si="87"/>
        <v>1</v>
      </c>
      <c r="K986" s="107">
        <f t="shared" si="88"/>
        <v>0.15</v>
      </c>
      <c r="L986" s="2214">
        <f t="shared" si="89"/>
        <v>1203048</v>
      </c>
      <c r="M986" s="731">
        <f t="shared" si="90"/>
        <v>1154175.7365035901</v>
      </c>
      <c r="N986" s="2212">
        <v>824446</v>
      </c>
      <c r="O986" s="1118">
        <f t="shared" si="92"/>
        <v>0</v>
      </c>
      <c r="P986" s="2213">
        <f t="shared" si="85"/>
        <v>0</v>
      </c>
    </row>
    <row r="987" spans="1:16" ht="14.5">
      <c r="A987" s="2042" t="s">
        <v>2978</v>
      </c>
      <c r="B987" s="380" t="str">
        <f t="shared" si="82"/>
        <v>070-912</v>
      </c>
      <c r="C987" s="2042" t="s">
        <v>130</v>
      </c>
      <c r="D987" s="2043">
        <v>8121</v>
      </c>
      <c r="E987" s="2043">
        <v>9679</v>
      </c>
      <c r="F987" s="2043">
        <f t="shared" si="83"/>
        <v>1558</v>
      </c>
      <c r="G987" s="2043">
        <f t="shared" si="84"/>
        <v>1308</v>
      </c>
      <c r="H987" s="2043">
        <f t="shared" si="91"/>
        <v>30837</v>
      </c>
      <c r="I987" s="2209">
        <f t="shared" si="86"/>
        <v>0.21347871235721702</v>
      </c>
      <c r="J987" s="41">
        <f t="shared" si="87"/>
        <v>1</v>
      </c>
      <c r="K987" s="107">
        <f t="shared" si="88"/>
        <v>0.15</v>
      </c>
      <c r="L987" s="2214">
        <f t="shared" si="89"/>
        <v>1208592</v>
      </c>
      <c r="M987" s="731">
        <f t="shared" si="90"/>
        <v>1159494.5186994593</v>
      </c>
      <c r="N987" s="2212">
        <v>2195067</v>
      </c>
      <c r="O987" s="1118">
        <f t="shared" si="92"/>
        <v>1035572.4813005407</v>
      </c>
      <c r="P987" s="2213">
        <f t="shared" si="85"/>
        <v>278826.3250933293</v>
      </c>
    </row>
    <row r="988" spans="1:16" ht="14.5">
      <c r="A988" s="2042" t="s">
        <v>5032</v>
      </c>
      <c r="B988" s="380" t="str">
        <f t="shared" si="82"/>
        <v>084-906</v>
      </c>
      <c r="C988" s="2042" t="s">
        <v>348</v>
      </c>
      <c r="D988" s="2043">
        <v>6397</v>
      </c>
      <c r="E988" s="2043">
        <v>8044</v>
      </c>
      <c r="F988" s="2043">
        <f t="shared" si="83"/>
        <v>1647</v>
      </c>
      <c r="G988" s="2043">
        <f t="shared" si="84"/>
        <v>1397</v>
      </c>
      <c r="H988" s="2043">
        <f t="shared" si="91"/>
        <v>32234</v>
      </c>
      <c r="I988" s="2209">
        <f t="shared" si="86"/>
        <v>0.22314987885081344</v>
      </c>
      <c r="J988" s="41">
        <f t="shared" si="87"/>
        <v>1</v>
      </c>
      <c r="K988" s="107">
        <f t="shared" si="88"/>
        <v>0.15</v>
      </c>
      <c r="L988" s="2214">
        <f t="shared" si="89"/>
        <v>1290828</v>
      </c>
      <c r="M988" s="731">
        <f t="shared" si="90"/>
        <v>1238389.7879381839</v>
      </c>
      <c r="N988" s="2212">
        <v>0</v>
      </c>
      <c r="O988" s="1118">
        <f t="shared" si="92"/>
        <v>0</v>
      </c>
      <c r="P988" s="2213">
        <f t="shared" si="85"/>
        <v>0</v>
      </c>
    </row>
    <row r="989" spans="1:16" ht="14.5">
      <c r="A989" s="2042" t="s">
        <v>3138</v>
      </c>
      <c r="B989" s="380" t="str">
        <f t="shared" si="82"/>
        <v>163-908</v>
      </c>
      <c r="C989" s="2042" t="s">
        <v>777</v>
      </c>
      <c r="D989" s="2043">
        <v>4473</v>
      </c>
      <c r="E989" s="2043">
        <v>6134</v>
      </c>
      <c r="F989" s="2043">
        <f t="shared" si="83"/>
        <v>1661</v>
      </c>
      <c r="G989" s="2043">
        <f t="shared" si="84"/>
        <v>1411</v>
      </c>
      <c r="H989" s="2043">
        <f t="shared" si="91"/>
        <v>33645</v>
      </c>
      <c r="I989" s="2209">
        <f t="shared" si="86"/>
        <v>0.23291796469366563</v>
      </c>
      <c r="J989" s="41">
        <f t="shared" si="87"/>
        <v>1</v>
      </c>
      <c r="K989" s="107">
        <f t="shared" si="88"/>
        <v>0.15</v>
      </c>
      <c r="L989" s="2214">
        <f t="shared" si="89"/>
        <v>1303764</v>
      </c>
      <c r="M989" s="731">
        <f t="shared" si="90"/>
        <v>1250800.2797285451</v>
      </c>
      <c r="N989" s="2212">
        <v>1360241</v>
      </c>
      <c r="O989" s="1118">
        <f t="shared" si="92"/>
        <v>109440.72027145489</v>
      </c>
      <c r="P989" s="2213">
        <f t="shared" si="85"/>
        <v>29466.748489235721</v>
      </c>
    </row>
    <row r="990" spans="1:16" ht="14.5">
      <c r="A990" s="2042" t="s">
        <v>3030</v>
      </c>
      <c r="B990" s="380" t="str">
        <f t="shared" si="82"/>
        <v>105-904</v>
      </c>
      <c r="C990" s="2042" t="s">
        <v>1005</v>
      </c>
      <c r="D990" s="2043">
        <v>5619</v>
      </c>
      <c r="E990" s="2043">
        <v>7283</v>
      </c>
      <c r="F990" s="2043">
        <f t="shared" si="83"/>
        <v>1664</v>
      </c>
      <c r="G990" s="2043">
        <f t="shared" si="84"/>
        <v>1414</v>
      </c>
      <c r="H990" s="2043">
        <f t="shared" si="91"/>
        <v>35059</v>
      </c>
      <c r="I990" s="2209">
        <f t="shared" si="86"/>
        <v>0.24270681896850121</v>
      </c>
      <c r="J990" s="41">
        <f t="shared" si="87"/>
        <v>1</v>
      </c>
      <c r="K990" s="107">
        <f t="shared" si="88"/>
        <v>0.15</v>
      </c>
      <c r="L990" s="2214">
        <f t="shared" si="89"/>
        <v>1306536</v>
      </c>
      <c r="M990" s="731">
        <f t="shared" si="90"/>
        <v>1253459.6708264796</v>
      </c>
      <c r="N990" s="2212">
        <v>1643420</v>
      </c>
      <c r="O990" s="1118">
        <f t="shared" si="92"/>
        <v>389960.32917352044</v>
      </c>
      <c r="P990" s="2213">
        <f t="shared" si="85"/>
        <v>104996.22911868597</v>
      </c>
    </row>
    <row r="991" spans="1:16" ht="14.5">
      <c r="A991" s="2042" t="s">
        <v>3184</v>
      </c>
      <c r="B991" s="380" t="str">
        <f t="shared" si="82"/>
        <v>199-902</v>
      </c>
      <c r="C991" s="2042" t="s">
        <v>576</v>
      </c>
      <c r="D991" s="2043">
        <v>5220</v>
      </c>
      <c r="E991" s="2043">
        <v>6886</v>
      </c>
      <c r="F991" s="2043">
        <f t="shared" si="83"/>
        <v>1666</v>
      </c>
      <c r="G991" s="2043">
        <f t="shared" si="84"/>
        <v>1416</v>
      </c>
      <c r="H991" s="2043">
        <f t="shared" si="91"/>
        <v>36475</v>
      </c>
      <c r="I991" s="2209">
        <f t="shared" si="86"/>
        <v>0.25250951886465905</v>
      </c>
      <c r="J991" s="41">
        <f t="shared" si="87"/>
        <v>1</v>
      </c>
      <c r="K991" s="107">
        <f t="shared" si="88"/>
        <v>0.15</v>
      </c>
      <c r="L991" s="2214">
        <f t="shared" si="89"/>
        <v>1308384</v>
      </c>
      <c r="M991" s="731">
        <f t="shared" si="90"/>
        <v>1255232.5982251025</v>
      </c>
      <c r="N991" s="2212">
        <v>1524862</v>
      </c>
      <c r="O991" s="1118">
        <f t="shared" si="92"/>
        <v>269629.40177489747</v>
      </c>
      <c r="P991" s="2213">
        <f t="shared" si="85"/>
        <v>72597.308823416883</v>
      </c>
    </row>
    <row r="992" spans="1:16" ht="14.5">
      <c r="A992" s="2042" t="s">
        <v>3031</v>
      </c>
      <c r="B992" s="380" t="str">
        <f t="shared" si="82"/>
        <v>105-906</v>
      </c>
      <c r="C992" s="2042" t="s">
        <v>33</v>
      </c>
      <c r="D992" s="2043">
        <v>18654</v>
      </c>
      <c r="E992" s="2043">
        <v>20322</v>
      </c>
      <c r="F992" s="2043">
        <f t="shared" si="83"/>
        <v>1668</v>
      </c>
      <c r="G992" s="2043">
        <f t="shared" si="84"/>
        <v>1418</v>
      </c>
      <c r="H992" s="2043">
        <f t="shared" si="91"/>
        <v>37893</v>
      </c>
      <c r="I992" s="2209">
        <f t="shared" si="86"/>
        <v>0.26232606438213912</v>
      </c>
      <c r="J992" s="41">
        <f t="shared" si="87"/>
        <v>1</v>
      </c>
      <c r="K992" s="107">
        <f t="shared" si="88"/>
        <v>0.15</v>
      </c>
      <c r="L992" s="2214">
        <f t="shared" si="89"/>
        <v>1310232</v>
      </c>
      <c r="M992" s="731">
        <f t="shared" si="90"/>
        <v>1257005.5256237257</v>
      </c>
      <c r="N992" s="2212">
        <v>4732129</v>
      </c>
      <c r="O992" s="1118">
        <f t="shared" si="92"/>
        <v>3475123.4743762743</v>
      </c>
      <c r="P992" s="2213">
        <f t="shared" si="85"/>
        <v>935671.74205809308</v>
      </c>
    </row>
    <row r="993" spans="1:16" ht="14.5">
      <c r="A993" s="2042" t="s">
        <v>5008</v>
      </c>
      <c r="B993" s="380" t="str">
        <f t="shared" si="82"/>
        <v>070-908</v>
      </c>
      <c r="C993" s="2042" t="s">
        <v>1864</v>
      </c>
      <c r="D993" s="2043">
        <v>8146</v>
      </c>
      <c r="E993" s="2043">
        <v>9838</v>
      </c>
      <c r="F993" s="2043">
        <f t="shared" si="83"/>
        <v>1692</v>
      </c>
      <c r="G993" s="2043">
        <f t="shared" si="84"/>
        <v>1442</v>
      </c>
      <c r="H993" s="2043">
        <f t="shared" si="91"/>
        <v>39335</v>
      </c>
      <c r="I993" s="2209">
        <f t="shared" si="86"/>
        <v>0.27230875735548632</v>
      </c>
      <c r="J993" s="41">
        <f t="shared" si="87"/>
        <v>1</v>
      </c>
      <c r="K993" s="107">
        <f t="shared" si="88"/>
        <v>0.15</v>
      </c>
      <c r="L993" s="2214">
        <f t="shared" si="89"/>
        <v>1332408</v>
      </c>
      <c r="M993" s="731">
        <f t="shared" si="90"/>
        <v>1278280.654407202</v>
      </c>
      <c r="N993" s="2212">
        <v>2301795</v>
      </c>
      <c r="O993" s="1118">
        <f t="shared" si="92"/>
        <v>1023514.345592798</v>
      </c>
      <c r="P993" s="2213">
        <f t="shared" si="85"/>
        <v>275579.69028255856</v>
      </c>
    </row>
    <row r="994" spans="1:16" ht="14.5">
      <c r="A994" s="2042" t="s">
        <v>5127</v>
      </c>
      <c r="B994" s="380" t="str">
        <f t="shared" si="82"/>
        <v>130-901</v>
      </c>
      <c r="C994" s="2042" t="s">
        <v>1926</v>
      </c>
      <c r="D994" s="2043">
        <v>7902</v>
      </c>
      <c r="E994" s="2043">
        <v>9617</v>
      </c>
      <c r="F994" s="2043">
        <f t="shared" si="83"/>
        <v>1715</v>
      </c>
      <c r="G994" s="2043">
        <f t="shared" si="84"/>
        <v>1465</v>
      </c>
      <c r="H994" s="2043">
        <f t="shared" si="91"/>
        <v>40800</v>
      </c>
      <c r="I994" s="2209">
        <f t="shared" si="86"/>
        <v>0.28245067497403947</v>
      </c>
      <c r="J994" s="41">
        <f t="shared" si="87"/>
        <v>1</v>
      </c>
      <c r="K994" s="107">
        <f t="shared" si="88"/>
        <v>0.15</v>
      </c>
      <c r="L994" s="2214">
        <f t="shared" si="89"/>
        <v>1353660</v>
      </c>
      <c r="M994" s="731">
        <f t="shared" si="90"/>
        <v>1298669.3194913669</v>
      </c>
      <c r="N994" s="2212">
        <v>2241479</v>
      </c>
      <c r="O994" s="1118">
        <f t="shared" si="92"/>
        <v>942809.68050863314</v>
      </c>
      <c r="P994" s="2213">
        <f t="shared" si="85"/>
        <v>253850.08121159775</v>
      </c>
    </row>
    <row r="995" spans="1:16" ht="14.5">
      <c r="A995" s="2042" t="s">
        <v>5074</v>
      </c>
      <c r="B995" s="380" t="str">
        <f t="shared" si="82"/>
        <v>101-924</v>
      </c>
      <c r="C995" s="2042" t="s">
        <v>2069</v>
      </c>
      <c r="D995" s="2043">
        <v>8477</v>
      </c>
      <c r="E995" s="2043">
        <v>10206</v>
      </c>
      <c r="F995" s="2043">
        <f t="shared" si="83"/>
        <v>1729</v>
      </c>
      <c r="G995" s="2043">
        <f t="shared" si="84"/>
        <v>1479</v>
      </c>
      <c r="H995" s="2043">
        <f t="shared" si="91"/>
        <v>42279</v>
      </c>
      <c r="I995" s="2209">
        <f t="shared" si="86"/>
        <v>0.29268951194184839</v>
      </c>
      <c r="J995" s="41">
        <f t="shared" si="87"/>
        <v>1</v>
      </c>
      <c r="K995" s="107">
        <f t="shared" si="88"/>
        <v>0.15</v>
      </c>
      <c r="L995" s="2214">
        <f t="shared" si="89"/>
        <v>1366596</v>
      </c>
      <c r="M995" s="731">
        <f t="shared" si="90"/>
        <v>1311079.8112817279</v>
      </c>
      <c r="N995" s="2212">
        <v>2267750</v>
      </c>
      <c r="O995" s="1118">
        <f t="shared" si="92"/>
        <v>956670.18871827214</v>
      </c>
      <c r="P995" s="2213">
        <f t="shared" si="85"/>
        <v>257582.00209381941</v>
      </c>
    </row>
    <row r="996" spans="1:16" ht="14.5">
      <c r="A996" s="2042" t="s">
        <v>2869</v>
      </c>
      <c r="B996" s="380" t="str">
        <f t="shared" si="82"/>
        <v>014-903</v>
      </c>
      <c r="C996" s="2042" t="s">
        <v>2533</v>
      </c>
      <c r="D996" s="2043">
        <v>10862</v>
      </c>
      <c r="E996" s="2043">
        <v>12609</v>
      </c>
      <c r="F996" s="2043">
        <f t="shared" si="83"/>
        <v>1747</v>
      </c>
      <c r="G996" s="2043">
        <f t="shared" si="84"/>
        <v>1497</v>
      </c>
      <c r="H996" s="2043">
        <f t="shared" si="91"/>
        <v>43776</v>
      </c>
      <c r="I996" s="2209">
        <f t="shared" si="86"/>
        <v>0.30305295950155764</v>
      </c>
      <c r="J996" s="41">
        <f t="shared" si="87"/>
        <v>2</v>
      </c>
      <c r="K996" s="107">
        <f t="shared" si="88"/>
        <v>0.3</v>
      </c>
      <c r="L996" s="2214">
        <f t="shared" si="89"/>
        <v>2766456</v>
      </c>
      <c r="M996" s="731">
        <f t="shared" si="90"/>
        <v>2654072.3157386705</v>
      </c>
      <c r="N996" s="2212">
        <v>2778538</v>
      </c>
      <c r="O996" s="1118">
        <f t="shared" si="92"/>
        <v>124465.68426132947</v>
      </c>
      <c r="P996" s="2213">
        <f t="shared" si="85"/>
        <v>33512.197329953335</v>
      </c>
    </row>
    <row r="997" spans="1:16" ht="14.5">
      <c r="A997" s="2042" t="s">
        <v>5283</v>
      </c>
      <c r="B997" s="380" t="str">
        <f t="shared" si="82"/>
        <v>227-913</v>
      </c>
      <c r="C997" s="2042" t="s">
        <v>1805</v>
      </c>
      <c r="D997" s="2043">
        <v>9238</v>
      </c>
      <c r="E997" s="2043">
        <v>11001</v>
      </c>
      <c r="F997" s="2043">
        <f t="shared" si="83"/>
        <v>1763</v>
      </c>
      <c r="G997" s="2043">
        <f t="shared" si="84"/>
        <v>1513</v>
      </c>
      <c r="H997" s="2043">
        <f t="shared" si="91"/>
        <v>45289</v>
      </c>
      <c r="I997" s="2209">
        <f t="shared" si="86"/>
        <v>0.31352717203184494</v>
      </c>
      <c r="J997" s="41">
        <f t="shared" si="87"/>
        <v>2</v>
      </c>
      <c r="K997" s="107">
        <f t="shared" si="88"/>
        <v>0.3</v>
      </c>
      <c r="L997" s="2214">
        <f t="shared" si="89"/>
        <v>2796024</v>
      </c>
      <c r="M997" s="731">
        <f t="shared" si="90"/>
        <v>2682439.1541166389</v>
      </c>
      <c r="N997" s="2212">
        <v>2575035</v>
      </c>
      <c r="O997" s="1118">
        <f t="shared" si="92"/>
        <v>0</v>
      </c>
      <c r="P997" s="2213">
        <f t="shared" si="85"/>
        <v>0</v>
      </c>
    </row>
    <row r="998" spans="1:16" ht="14.5">
      <c r="A998" s="2042" t="s">
        <v>2936</v>
      </c>
      <c r="B998" s="380" t="str">
        <f t="shared" si="82"/>
        <v>043-908</v>
      </c>
      <c r="C998" s="2042" t="s">
        <v>2076</v>
      </c>
      <c r="D998" s="2043">
        <v>2338</v>
      </c>
      <c r="E998" s="2043">
        <v>4104</v>
      </c>
      <c r="F998" s="2043">
        <f t="shared" si="83"/>
        <v>1766</v>
      </c>
      <c r="G998" s="2043">
        <f t="shared" si="84"/>
        <v>1516</v>
      </c>
      <c r="H998" s="2043">
        <f t="shared" si="91"/>
        <v>46805</v>
      </c>
      <c r="I998" s="2209">
        <f t="shared" si="86"/>
        <v>0.32402215299411563</v>
      </c>
      <c r="J998" s="41">
        <f t="shared" si="87"/>
        <v>2</v>
      </c>
      <c r="K998" s="107">
        <f t="shared" si="88"/>
        <v>0.3</v>
      </c>
      <c r="L998" s="2214">
        <f t="shared" si="89"/>
        <v>2801568</v>
      </c>
      <c r="M998" s="731">
        <f t="shared" si="90"/>
        <v>2687757.9363125078</v>
      </c>
      <c r="N998" s="2212">
        <v>847999</v>
      </c>
      <c r="O998" s="1118">
        <f t="shared" si="92"/>
        <v>0</v>
      </c>
      <c r="P998" s="2213">
        <f t="shared" si="85"/>
        <v>0</v>
      </c>
    </row>
    <row r="999" spans="1:16" ht="14.5">
      <c r="A999" s="2042" t="s">
        <v>2986</v>
      </c>
      <c r="B999" s="380" t="str">
        <f t="shared" si="82"/>
        <v>071-909</v>
      </c>
      <c r="C999" s="2042" t="s">
        <v>1823</v>
      </c>
      <c r="D999" s="2043">
        <v>45269</v>
      </c>
      <c r="E999" s="2043">
        <v>47061</v>
      </c>
      <c r="F999" s="2043">
        <f t="shared" si="83"/>
        <v>1792</v>
      </c>
      <c r="G999" s="2043">
        <f t="shared" si="84"/>
        <v>1542</v>
      </c>
      <c r="H999" s="2043">
        <f t="shared" si="91"/>
        <v>48347</v>
      </c>
      <c r="I999" s="2209">
        <f t="shared" si="86"/>
        <v>0.33469712703357563</v>
      </c>
      <c r="J999" s="41">
        <f t="shared" si="87"/>
        <v>2</v>
      </c>
      <c r="K999" s="107">
        <f t="shared" si="88"/>
        <v>0.3</v>
      </c>
      <c r="L999" s="2214">
        <f t="shared" si="89"/>
        <v>2849616</v>
      </c>
      <c r="M999" s="731">
        <f t="shared" si="90"/>
        <v>2733854.0486767064</v>
      </c>
      <c r="N999" s="2212">
        <v>0</v>
      </c>
      <c r="O999" s="1118">
        <f t="shared" si="92"/>
        <v>0</v>
      </c>
      <c r="P999" s="2213">
        <f t="shared" si="85"/>
        <v>0</v>
      </c>
    </row>
    <row r="1000" spans="1:16" ht="14.5">
      <c r="A1000" s="2042" t="s">
        <v>3262</v>
      </c>
      <c r="B1000" s="380" t="str">
        <f t="shared" si="82"/>
        <v>246-906</v>
      </c>
      <c r="C1000" s="2042" t="s">
        <v>1194</v>
      </c>
      <c r="D1000" s="2043">
        <v>6527</v>
      </c>
      <c r="E1000" s="2043">
        <v>8421</v>
      </c>
      <c r="F1000" s="2043">
        <f t="shared" si="83"/>
        <v>1894</v>
      </c>
      <c r="G1000" s="2043">
        <f t="shared" si="84"/>
        <v>1644</v>
      </c>
      <c r="H1000" s="2043">
        <f t="shared" si="91"/>
        <v>49991</v>
      </c>
      <c r="I1000" s="2209">
        <f t="shared" si="86"/>
        <v>0.34607822776047076</v>
      </c>
      <c r="J1000" s="41">
        <f t="shared" si="87"/>
        <v>2</v>
      </c>
      <c r="K1000" s="107">
        <f t="shared" si="88"/>
        <v>0.3</v>
      </c>
      <c r="L1000" s="2214">
        <f t="shared" si="89"/>
        <v>3038112</v>
      </c>
      <c r="M1000" s="731">
        <f t="shared" si="90"/>
        <v>2914692.6433362551</v>
      </c>
      <c r="N1000" s="2212">
        <v>1870183</v>
      </c>
      <c r="O1000" s="1118">
        <f t="shared" si="92"/>
        <v>0</v>
      </c>
      <c r="P1000" s="2213">
        <f t="shared" si="85"/>
        <v>0</v>
      </c>
    </row>
    <row r="1001" spans="1:16" ht="14.5">
      <c r="A1001" s="2042" t="s">
        <v>2937</v>
      </c>
      <c r="B1001" s="380" t="str">
        <f t="shared" si="82"/>
        <v>043-911</v>
      </c>
      <c r="C1001" s="2042" t="s">
        <v>72</v>
      </c>
      <c r="D1001" s="2043">
        <v>3876</v>
      </c>
      <c r="E1001" s="2043">
        <v>5818</v>
      </c>
      <c r="F1001" s="2043">
        <f t="shared" si="83"/>
        <v>1942</v>
      </c>
      <c r="G1001" s="2043">
        <f t="shared" si="84"/>
        <v>1692</v>
      </c>
      <c r="H1001" s="2043">
        <f t="shared" si="91"/>
        <v>51683</v>
      </c>
      <c r="I1001" s="2209">
        <f t="shared" si="86"/>
        <v>0.35779162339910003</v>
      </c>
      <c r="J1001" s="41">
        <f t="shared" si="87"/>
        <v>2</v>
      </c>
      <c r="K1001" s="107">
        <f t="shared" si="88"/>
        <v>0.3</v>
      </c>
      <c r="L1001" s="2214">
        <f t="shared" si="89"/>
        <v>3126816</v>
      </c>
      <c r="M1001" s="731">
        <f t="shared" si="90"/>
        <v>2999793.1584701603</v>
      </c>
      <c r="N1001" s="2212">
        <v>1248292</v>
      </c>
      <c r="O1001" s="1118">
        <f t="shared" si="92"/>
        <v>0</v>
      </c>
      <c r="P1001" s="2213">
        <f t="shared" si="85"/>
        <v>0</v>
      </c>
    </row>
    <row r="1002" spans="1:16" ht="14.5">
      <c r="A1002" s="2042" t="s">
        <v>3217</v>
      </c>
      <c r="B1002" s="380" t="str">
        <f t="shared" si="82"/>
        <v>220-918</v>
      </c>
      <c r="C1002" s="2042" t="s">
        <v>1205</v>
      </c>
      <c r="D1002" s="2043">
        <v>19203</v>
      </c>
      <c r="E1002" s="2043">
        <v>21245</v>
      </c>
      <c r="F1002" s="2043">
        <f t="shared" si="83"/>
        <v>2042</v>
      </c>
      <c r="G1002" s="2043">
        <f t="shared" si="84"/>
        <v>1792</v>
      </c>
      <c r="H1002" s="2043">
        <f t="shared" si="91"/>
        <v>53475</v>
      </c>
      <c r="I1002" s="2209">
        <f t="shared" si="86"/>
        <v>0.37019730010384216</v>
      </c>
      <c r="J1002" s="41">
        <f t="shared" si="87"/>
        <v>2</v>
      </c>
      <c r="K1002" s="107">
        <f t="shared" si="88"/>
        <v>0.3</v>
      </c>
      <c r="L1002" s="2214">
        <f t="shared" si="89"/>
        <v>3311616</v>
      </c>
      <c r="M1002" s="731">
        <f t="shared" si="90"/>
        <v>3177085.8983324631</v>
      </c>
      <c r="N1002" s="2212">
        <v>0</v>
      </c>
      <c r="O1002" s="1118">
        <f t="shared" si="92"/>
        <v>0</v>
      </c>
      <c r="P1002" s="2213">
        <f t="shared" si="85"/>
        <v>0</v>
      </c>
    </row>
    <row r="1003" spans="1:16" ht="14.5">
      <c r="A1003" s="2042" t="s">
        <v>3263</v>
      </c>
      <c r="B1003" s="380" t="str">
        <f t="shared" si="82"/>
        <v>246-908</v>
      </c>
      <c r="C1003" s="2042" t="s">
        <v>2328</v>
      </c>
      <c r="D1003" s="2043">
        <v>3482</v>
      </c>
      <c r="E1003" s="2043">
        <v>5539</v>
      </c>
      <c r="F1003" s="2043">
        <f t="shared" si="83"/>
        <v>2057</v>
      </c>
      <c r="G1003" s="2043">
        <f t="shared" si="84"/>
        <v>1807</v>
      </c>
      <c r="H1003" s="2043">
        <f t="shared" si="91"/>
        <v>55282</v>
      </c>
      <c r="I1003" s="2209">
        <f t="shared" si="86"/>
        <v>0.38270681896850123</v>
      </c>
      <c r="J1003" s="41">
        <f t="shared" si="87"/>
        <v>2</v>
      </c>
      <c r="K1003" s="107">
        <f t="shared" si="88"/>
        <v>0.3</v>
      </c>
      <c r="L1003" s="2214">
        <f t="shared" si="89"/>
        <v>3339336</v>
      </c>
      <c r="M1003" s="731">
        <f t="shared" si="90"/>
        <v>3203679.8093118086</v>
      </c>
      <c r="N1003" s="2212">
        <v>1150270</v>
      </c>
      <c r="O1003" s="1118">
        <f t="shared" si="92"/>
        <v>0</v>
      </c>
      <c r="P1003" s="2213">
        <f t="shared" si="85"/>
        <v>0</v>
      </c>
    </row>
    <row r="1004" spans="1:16" ht="14.5">
      <c r="A1004" s="2042" t="s">
        <v>3026</v>
      </c>
      <c r="B1004" s="380" t="str">
        <f t="shared" si="82"/>
        <v>101-915</v>
      </c>
      <c r="C1004" s="2042" t="s">
        <v>2442</v>
      </c>
      <c r="D1004" s="2043">
        <v>50594</v>
      </c>
      <c r="E1004" s="2043">
        <v>52824</v>
      </c>
      <c r="F1004" s="2043">
        <f t="shared" si="83"/>
        <v>2230</v>
      </c>
      <c r="G1004" s="2043">
        <f t="shared" si="84"/>
        <v>1980</v>
      </c>
      <c r="H1004" s="2043">
        <f t="shared" si="91"/>
        <v>57262</v>
      </c>
      <c r="I1004" s="2209">
        <f t="shared" si="86"/>
        <v>0.39641398407753548</v>
      </c>
      <c r="J1004" s="41">
        <f t="shared" si="87"/>
        <v>2</v>
      </c>
      <c r="K1004" s="107">
        <f t="shared" si="88"/>
        <v>0.3</v>
      </c>
      <c r="L1004" s="2214">
        <f t="shared" si="89"/>
        <v>3659040</v>
      </c>
      <c r="M1004" s="731">
        <f t="shared" si="90"/>
        <v>3510396.2492735921</v>
      </c>
      <c r="N1004" s="2212">
        <v>0</v>
      </c>
      <c r="O1004" s="1118">
        <f t="shared" si="92"/>
        <v>0</v>
      </c>
      <c r="P1004" s="2213">
        <f t="shared" si="85"/>
        <v>0</v>
      </c>
    </row>
    <row r="1005" spans="1:16" ht="14.5">
      <c r="A1005" s="2042" t="s">
        <v>3149</v>
      </c>
      <c r="B1005" s="380" t="str">
        <f t="shared" si="82"/>
        <v>170-908</v>
      </c>
      <c r="C1005" s="2042" t="s">
        <v>1072</v>
      </c>
      <c r="D1005" s="2043">
        <v>13816</v>
      </c>
      <c r="E1005" s="2043">
        <v>16274</v>
      </c>
      <c r="F1005" s="2043">
        <f t="shared" si="83"/>
        <v>2458</v>
      </c>
      <c r="G1005" s="2043">
        <f t="shared" si="84"/>
        <v>2208</v>
      </c>
      <c r="H1005" s="2043">
        <f t="shared" si="91"/>
        <v>59470</v>
      </c>
      <c r="I1005" s="2209">
        <f t="shared" si="86"/>
        <v>0.41169955001730701</v>
      </c>
      <c r="J1005" s="41">
        <f t="shared" si="87"/>
        <v>2</v>
      </c>
      <c r="K1005" s="107">
        <f t="shared" si="88"/>
        <v>0.3</v>
      </c>
      <c r="L1005" s="2214">
        <f t="shared" si="89"/>
        <v>4080384</v>
      </c>
      <c r="M1005" s="731">
        <f t="shared" si="90"/>
        <v>3914623.6961596422</v>
      </c>
      <c r="N1005" s="2212">
        <v>3678960</v>
      </c>
      <c r="O1005" s="1118">
        <f t="shared" si="92"/>
        <v>0</v>
      </c>
      <c r="P1005" s="2213">
        <f t="shared" si="85"/>
        <v>0</v>
      </c>
    </row>
    <row r="1006" spans="1:16" ht="14.5">
      <c r="A1006" s="2042" t="s">
        <v>4997</v>
      </c>
      <c r="B1006" s="380" t="str">
        <f t="shared" si="82"/>
        <v>061-901</v>
      </c>
      <c r="C1006" s="2042" t="s">
        <v>2474</v>
      </c>
      <c r="D1006" s="2043">
        <v>27559</v>
      </c>
      <c r="E1006" s="2043">
        <v>30267</v>
      </c>
      <c r="F1006" s="2043">
        <f t="shared" si="83"/>
        <v>2708</v>
      </c>
      <c r="G1006" s="2043">
        <f t="shared" si="84"/>
        <v>2458</v>
      </c>
      <c r="H1006" s="2043">
        <f t="shared" si="91"/>
        <v>61928</v>
      </c>
      <c r="I1006" s="2209">
        <f t="shared" si="86"/>
        <v>0.42871581862236069</v>
      </c>
      <c r="J1006" s="41">
        <f t="shared" si="87"/>
        <v>2</v>
      </c>
      <c r="K1006" s="107">
        <f t="shared" si="88"/>
        <v>0.3</v>
      </c>
      <c r="L1006" s="2214">
        <f t="shared" si="89"/>
        <v>4542384</v>
      </c>
      <c r="M1006" s="731">
        <f t="shared" si="90"/>
        <v>4357855.5458153989</v>
      </c>
      <c r="N1006" s="2212">
        <v>7167202</v>
      </c>
      <c r="O1006" s="1118">
        <f t="shared" si="92"/>
        <v>2809346.4541846011</v>
      </c>
      <c r="P1006" s="2213">
        <f t="shared" si="85"/>
        <v>756412.28584069991</v>
      </c>
    </row>
    <row r="1007" spans="1:16" ht="14.5">
      <c r="A1007" s="2042" t="s">
        <v>2939</v>
      </c>
      <c r="B1007" s="380" t="str">
        <f t="shared" si="82"/>
        <v>043-914</v>
      </c>
      <c r="C1007" s="2042" t="s">
        <v>1065</v>
      </c>
      <c r="D1007" s="2043">
        <v>14615</v>
      </c>
      <c r="E1007" s="2043">
        <v>17482</v>
      </c>
      <c r="F1007" s="2043">
        <f t="shared" si="83"/>
        <v>2867</v>
      </c>
      <c r="G1007" s="2043">
        <f t="shared" si="84"/>
        <v>2617</v>
      </c>
      <c r="H1007" s="2043">
        <f t="shared" si="91"/>
        <v>64545</v>
      </c>
      <c r="I1007" s="2209">
        <f t="shared" si="86"/>
        <v>0.44683281412253373</v>
      </c>
      <c r="J1007" s="41">
        <f t="shared" si="87"/>
        <v>2</v>
      </c>
      <c r="K1007" s="107">
        <f t="shared" si="88"/>
        <v>0.3</v>
      </c>
      <c r="L1007" s="2214">
        <f t="shared" si="89"/>
        <v>4836216</v>
      </c>
      <c r="M1007" s="731">
        <f t="shared" si="90"/>
        <v>4639751.00219646</v>
      </c>
      <c r="N1007" s="2212">
        <v>4037004</v>
      </c>
      <c r="O1007" s="1118">
        <f t="shared" si="92"/>
        <v>0</v>
      </c>
      <c r="P1007" s="2213">
        <f t="shared" si="85"/>
        <v>0</v>
      </c>
    </row>
    <row r="1008" spans="1:16" ht="14.5">
      <c r="A1008" s="2042">
        <v>246913</v>
      </c>
      <c r="B1008" s="380" t="str">
        <f t="shared" si="82"/>
        <v>246-913</v>
      </c>
      <c r="C1008" s="2042" t="s">
        <v>2326</v>
      </c>
      <c r="D1008" s="2043">
        <v>37158</v>
      </c>
      <c r="E1008" s="2043">
        <v>40355</v>
      </c>
      <c r="F1008" s="2043">
        <f t="shared" si="83"/>
        <v>3197</v>
      </c>
      <c r="G1008" s="2043">
        <f t="shared" si="84"/>
        <v>2947</v>
      </c>
      <c r="H1008" s="2043">
        <f t="shared" si="91"/>
        <v>67492</v>
      </c>
      <c r="I1008" s="2209">
        <f t="shared" si="86"/>
        <v>0.4672343371408792</v>
      </c>
      <c r="J1008" s="41">
        <f t="shared" si="87"/>
        <v>2</v>
      </c>
      <c r="K1008" s="107">
        <f t="shared" si="88"/>
        <v>0.3</v>
      </c>
      <c r="L1008" s="2214">
        <f t="shared" si="89"/>
        <v>5446056</v>
      </c>
      <c r="M1008" s="731">
        <f t="shared" si="90"/>
        <v>5224817.0437420588</v>
      </c>
      <c r="N1008" s="2212">
        <v>9689615</v>
      </c>
      <c r="O1008" s="1118">
        <f t="shared" si="92"/>
        <v>4464797.9562579412</v>
      </c>
      <c r="P1008" s="2213">
        <f t="shared" si="85"/>
        <v>1202140.1001928679</v>
      </c>
    </row>
    <row r="1009" spans="1:16" ht="14.5">
      <c r="A1009" s="2042" t="s">
        <v>3094</v>
      </c>
      <c r="B1009" s="380" t="str">
        <f t="shared" si="82"/>
        <v>129-902</v>
      </c>
      <c r="C1009" s="2042" t="s">
        <v>102</v>
      </c>
      <c r="D1009" s="2043">
        <v>9386</v>
      </c>
      <c r="E1009" s="2043">
        <v>12765</v>
      </c>
      <c r="F1009" s="2043">
        <f t="shared" si="83"/>
        <v>3379</v>
      </c>
      <c r="G1009" s="2043">
        <f t="shared" si="84"/>
        <v>3129</v>
      </c>
      <c r="H1009" s="2043">
        <f t="shared" si="91"/>
        <v>70621</v>
      </c>
      <c r="I1009" s="2209">
        <f t="shared" si="86"/>
        <v>0.48889581169955004</v>
      </c>
      <c r="J1009" s="41">
        <f t="shared" si="87"/>
        <v>2</v>
      </c>
      <c r="K1009" s="107">
        <f t="shared" si="88"/>
        <v>0.3</v>
      </c>
      <c r="L1009" s="2214">
        <f t="shared" si="89"/>
        <v>5782392</v>
      </c>
      <c r="M1009" s="731">
        <f t="shared" si="90"/>
        <v>5547489.8302914491</v>
      </c>
      <c r="N1009" s="2212">
        <v>2803211</v>
      </c>
      <c r="O1009" s="1118">
        <f t="shared" si="92"/>
        <v>0</v>
      </c>
      <c r="P1009" s="2213">
        <f t="shared" si="85"/>
        <v>0</v>
      </c>
    </row>
    <row r="1010" spans="1:16" ht="14.5">
      <c r="A1010" s="2042" t="s">
        <v>2996</v>
      </c>
      <c r="B1010" s="380" t="str">
        <f t="shared" si="82"/>
        <v>079-907</v>
      </c>
      <c r="C1010" s="2042" t="s">
        <v>103</v>
      </c>
      <c r="D1010" s="2043">
        <v>73115</v>
      </c>
      <c r="E1010" s="2043">
        <v>76735</v>
      </c>
      <c r="F1010" s="2043">
        <f t="shared" si="83"/>
        <v>3620</v>
      </c>
      <c r="G1010" s="2043">
        <f t="shared" si="84"/>
        <v>3370</v>
      </c>
      <c r="H1010" s="2043">
        <f t="shared" si="91"/>
        <v>73991</v>
      </c>
      <c r="I1010" s="2209">
        <f t="shared" si="86"/>
        <v>0.51222568362755283</v>
      </c>
      <c r="J1010" s="41">
        <f t="shared" si="87"/>
        <v>2</v>
      </c>
      <c r="K1010" s="107">
        <f t="shared" si="88"/>
        <v>0.3</v>
      </c>
      <c r="L1010" s="2214">
        <f t="shared" si="89"/>
        <v>6227760</v>
      </c>
      <c r="M1010" s="731">
        <f t="shared" si="90"/>
        <v>5974765.3333595991</v>
      </c>
      <c r="N1010" s="2212">
        <v>0</v>
      </c>
      <c r="O1010" s="1118">
        <f t="shared" si="92"/>
        <v>0</v>
      </c>
      <c r="P1010" s="2213">
        <f t="shared" si="85"/>
        <v>0</v>
      </c>
    </row>
    <row r="1011" spans="1:16" ht="14.5">
      <c r="A1011" s="2042" t="s">
        <v>4976</v>
      </c>
      <c r="B1011" s="380" t="str">
        <f t="shared" si="82"/>
        <v>046-902</v>
      </c>
      <c r="C1011" s="2042" t="s">
        <v>2084</v>
      </c>
      <c r="D1011" s="2043">
        <v>21163</v>
      </c>
      <c r="E1011" s="2043">
        <v>25459</v>
      </c>
      <c r="F1011" s="2043">
        <f t="shared" si="83"/>
        <v>4296</v>
      </c>
      <c r="G1011" s="2043">
        <f t="shared" si="84"/>
        <v>4046</v>
      </c>
      <c r="H1011" s="2043">
        <f t="shared" si="91"/>
        <v>78037</v>
      </c>
      <c r="I1011" s="2209">
        <f t="shared" si="86"/>
        <v>0.54023537556247836</v>
      </c>
      <c r="J1011" s="41">
        <f t="shared" si="87"/>
        <v>2</v>
      </c>
      <c r="K1011" s="107">
        <f t="shared" si="88"/>
        <v>0.3</v>
      </c>
      <c r="L1011" s="2214">
        <f t="shared" si="89"/>
        <v>7477008</v>
      </c>
      <c r="M1011" s="731">
        <f t="shared" si="90"/>
        <v>7173264.2548287641</v>
      </c>
      <c r="N1011" s="2212">
        <v>5826429</v>
      </c>
      <c r="O1011" s="1118">
        <f t="shared" si="92"/>
        <v>0</v>
      </c>
      <c r="P1011" s="2213">
        <f t="shared" si="85"/>
        <v>0</v>
      </c>
    </row>
    <row r="1012" spans="1:16" ht="14.5">
      <c r="A1012" s="2042" t="s">
        <v>2965</v>
      </c>
      <c r="B1012" s="380" t="str">
        <f t="shared" si="82"/>
        <v>061-911</v>
      </c>
      <c r="C1012" s="2042" t="s">
        <v>1182</v>
      </c>
      <c r="D1012" s="2043">
        <v>20976</v>
      </c>
      <c r="E1012" s="2043">
        <v>25383</v>
      </c>
      <c r="F1012" s="2043">
        <f t="shared" si="83"/>
        <v>4407</v>
      </c>
      <c r="G1012" s="2043">
        <f t="shared" si="84"/>
        <v>4157</v>
      </c>
      <c r="H1012" s="2043">
        <f t="shared" si="91"/>
        <v>82194</v>
      </c>
      <c r="I1012" s="2209">
        <f t="shared" si="86"/>
        <v>0.56901349948078916</v>
      </c>
      <c r="J1012" s="41">
        <f t="shared" si="87"/>
        <v>2</v>
      </c>
      <c r="K1012" s="107">
        <f t="shared" si="88"/>
        <v>0.3</v>
      </c>
      <c r="L1012" s="2214">
        <f t="shared" si="89"/>
        <v>7682136</v>
      </c>
      <c r="M1012" s="731">
        <f t="shared" si="90"/>
        <v>7370059.19607592</v>
      </c>
      <c r="N1012" s="2212">
        <v>5841746</v>
      </c>
      <c r="O1012" s="1118">
        <f t="shared" si="92"/>
        <v>0</v>
      </c>
      <c r="P1012" s="2213">
        <f t="shared" si="85"/>
        <v>0</v>
      </c>
    </row>
    <row r="1013" spans="1:16" ht="14.5">
      <c r="A1013" s="2042" t="s">
        <v>5073</v>
      </c>
      <c r="B1013" s="380" t="str">
        <f t="shared" si="82"/>
        <v>101-921</v>
      </c>
      <c r="C1013" s="2042" t="s">
        <v>2068</v>
      </c>
      <c r="D1013" s="2043">
        <v>14120</v>
      </c>
      <c r="E1013" s="2043">
        <v>18666</v>
      </c>
      <c r="F1013" s="2043">
        <f t="shared" si="83"/>
        <v>4546</v>
      </c>
      <c r="G1013" s="2043">
        <f t="shared" si="84"/>
        <v>4296</v>
      </c>
      <c r="H1013" s="2043">
        <f t="shared" si="91"/>
        <v>86490</v>
      </c>
      <c r="I1013" s="2209">
        <f t="shared" si="86"/>
        <v>0.59875389408099688</v>
      </c>
      <c r="J1013" s="41">
        <f t="shared" si="87"/>
        <v>2</v>
      </c>
      <c r="K1013" s="107">
        <f t="shared" si="88"/>
        <v>0.3</v>
      </c>
      <c r="L1013" s="2214">
        <f t="shared" si="89"/>
        <v>7939008</v>
      </c>
      <c r="M1013" s="731">
        <f t="shared" si="90"/>
        <v>7616496.1044845209</v>
      </c>
      <c r="N1013" s="2212">
        <v>4289755</v>
      </c>
      <c r="O1013" s="1118">
        <f t="shared" si="92"/>
        <v>0</v>
      </c>
      <c r="P1013" s="2213">
        <f t="shared" si="85"/>
        <v>0</v>
      </c>
    </row>
    <row r="1014" spans="1:16" ht="14.5">
      <c r="A1014" s="2042" t="s">
        <v>3106</v>
      </c>
      <c r="B1014" s="380" t="str">
        <f t="shared" si="82"/>
        <v>146-901</v>
      </c>
      <c r="C1014" s="2042" t="s">
        <v>1094</v>
      </c>
      <c r="D1014" s="2043">
        <v>4140</v>
      </c>
      <c r="E1014" s="2043">
        <v>8888</v>
      </c>
      <c r="F1014" s="2043">
        <f t="shared" si="83"/>
        <v>4748</v>
      </c>
      <c r="G1014" s="2043">
        <f t="shared" si="84"/>
        <v>4498</v>
      </c>
      <c r="H1014" s="2043">
        <f t="shared" si="91"/>
        <v>90988</v>
      </c>
      <c r="I1014" s="2209">
        <f t="shared" si="86"/>
        <v>0.62989269643475254</v>
      </c>
      <c r="J1014" s="41">
        <f t="shared" si="87"/>
        <v>3</v>
      </c>
      <c r="K1014" s="107">
        <f t="shared" si="88"/>
        <v>0.45</v>
      </c>
      <c r="L1014" s="2214">
        <f t="shared" si="89"/>
        <v>12468456</v>
      </c>
      <c r="M1014" s="731">
        <f t="shared" si="90"/>
        <v>11961941.158509558</v>
      </c>
      <c r="N1014" s="2212">
        <v>1722863</v>
      </c>
      <c r="O1014" s="1118">
        <f t="shared" si="92"/>
        <v>0</v>
      </c>
      <c r="P1014" s="2213">
        <f t="shared" si="85"/>
        <v>0</v>
      </c>
    </row>
    <row r="1015" spans="1:16" ht="14.5">
      <c r="A1015" s="2042" t="s">
        <v>2896</v>
      </c>
      <c r="B1015" s="380" t="str">
        <f t="shared" si="82"/>
        <v>020-901</v>
      </c>
      <c r="C1015" s="2042" t="s">
        <v>996</v>
      </c>
      <c r="D1015" s="2043">
        <v>22183</v>
      </c>
      <c r="E1015" s="2043">
        <v>27006</v>
      </c>
      <c r="F1015" s="2043">
        <f t="shared" si="83"/>
        <v>4823</v>
      </c>
      <c r="G1015" s="2043">
        <f t="shared" si="84"/>
        <v>4573</v>
      </c>
      <c r="H1015" s="2043">
        <f t="shared" si="91"/>
        <v>95561</v>
      </c>
      <c r="I1015" s="2209">
        <f t="shared" si="86"/>
        <v>0.66155070958809281</v>
      </c>
      <c r="J1015" s="41">
        <f t="shared" si="87"/>
        <v>3</v>
      </c>
      <c r="K1015" s="107">
        <f t="shared" si="88"/>
        <v>0.45</v>
      </c>
      <c r="L1015" s="2214">
        <f t="shared" si="89"/>
        <v>12676356</v>
      </c>
      <c r="M1015" s="731">
        <f t="shared" si="90"/>
        <v>12161395.490854649</v>
      </c>
      <c r="N1015" s="2212">
        <v>6239302</v>
      </c>
      <c r="O1015" s="1118">
        <f t="shared" si="92"/>
        <v>0</v>
      </c>
      <c r="P1015" s="2213">
        <f t="shared" si="85"/>
        <v>0</v>
      </c>
    </row>
    <row r="1016" spans="1:16" ht="14.5">
      <c r="A1016" s="2042" t="s">
        <v>3024</v>
      </c>
      <c r="B1016" s="380" t="str">
        <f t="shared" si="82"/>
        <v>101-913</v>
      </c>
      <c r="C1016" s="2042" t="s">
        <v>2252</v>
      </c>
      <c r="D1016" s="2043">
        <v>40549</v>
      </c>
      <c r="E1016" s="2043">
        <v>45528</v>
      </c>
      <c r="F1016" s="2043">
        <f t="shared" si="83"/>
        <v>4979</v>
      </c>
      <c r="G1016" s="2043">
        <f t="shared" si="84"/>
        <v>4729</v>
      </c>
      <c r="H1016" s="2043">
        <f t="shared" si="91"/>
        <v>100290</v>
      </c>
      <c r="I1016" s="2209">
        <f t="shared" si="86"/>
        <v>0.6942886812045691</v>
      </c>
      <c r="J1016" s="41">
        <f t="shared" si="87"/>
        <v>3</v>
      </c>
      <c r="K1016" s="107">
        <f t="shared" si="88"/>
        <v>0.45</v>
      </c>
      <c r="L1016" s="2214">
        <f t="shared" si="89"/>
        <v>13108788</v>
      </c>
      <c r="M1016" s="731">
        <f t="shared" si="90"/>
        <v>12576260.502132436</v>
      </c>
      <c r="N1016" s="2212">
        <v>10488893</v>
      </c>
      <c r="O1016" s="1118">
        <f t="shared" si="92"/>
        <v>0</v>
      </c>
      <c r="P1016" s="2213">
        <f t="shared" si="85"/>
        <v>0</v>
      </c>
    </row>
    <row r="1017" spans="1:16" ht="14.5">
      <c r="A1017" s="2042" t="s">
        <v>3145</v>
      </c>
      <c r="B1017" s="380" t="str">
        <f t="shared" si="82"/>
        <v>170-902</v>
      </c>
      <c r="C1017" s="2042" t="s">
        <v>1463</v>
      </c>
      <c r="D1017" s="2043">
        <v>58239</v>
      </c>
      <c r="E1017" s="2043">
        <v>64563</v>
      </c>
      <c r="F1017" s="2043">
        <f t="shared" si="83"/>
        <v>6324</v>
      </c>
      <c r="G1017" s="2043">
        <f t="shared" si="84"/>
        <v>6074</v>
      </c>
      <c r="H1017" s="2043">
        <f t="shared" si="91"/>
        <v>106364</v>
      </c>
      <c r="I1017" s="2209">
        <f t="shared" si="86"/>
        <v>0.73633783316026302</v>
      </c>
      <c r="J1017" s="41">
        <f t="shared" si="87"/>
        <v>3</v>
      </c>
      <c r="K1017" s="107">
        <f t="shared" si="88"/>
        <v>0.45</v>
      </c>
      <c r="L1017" s="2214">
        <f t="shared" si="89"/>
        <v>16837128</v>
      </c>
      <c r="M1017" s="731">
        <f t="shared" si="90"/>
        <v>16153141.528854392</v>
      </c>
      <c r="N1017" s="2212">
        <v>15026413</v>
      </c>
      <c r="O1017" s="1118">
        <f t="shared" si="92"/>
        <v>0</v>
      </c>
      <c r="P1017" s="2213">
        <f t="shared" si="85"/>
        <v>0</v>
      </c>
    </row>
    <row r="1018" spans="1:16" ht="14.5">
      <c r="A1018" s="2042" t="s">
        <v>5019</v>
      </c>
      <c r="B1018" s="380" t="str">
        <f t="shared" si="82"/>
        <v>079-901</v>
      </c>
      <c r="C1018" s="2042" t="s">
        <v>981</v>
      </c>
      <c r="D1018" s="2043">
        <v>29692</v>
      </c>
      <c r="E1018" s="2043">
        <v>36519</v>
      </c>
      <c r="F1018" s="2043">
        <f t="shared" si="83"/>
        <v>6827</v>
      </c>
      <c r="G1018" s="2043">
        <f t="shared" si="84"/>
        <v>6577</v>
      </c>
      <c r="H1018" s="2043">
        <f t="shared" si="91"/>
        <v>112941</v>
      </c>
      <c r="I1018" s="2209">
        <f t="shared" si="86"/>
        <v>0.78186915887850472</v>
      </c>
      <c r="J1018" s="41">
        <f t="shared" si="87"/>
        <v>3</v>
      </c>
      <c r="K1018" s="107">
        <f t="shared" si="88"/>
        <v>0.45</v>
      </c>
      <c r="L1018" s="2214">
        <f t="shared" si="89"/>
        <v>18231444</v>
      </c>
      <c r="M1018" s="731">
        <f t="shared" si="90"/>
        <v>17490815.251115467</v>
      </c>
      <c r="N1018" s="2212">
        <v>8056602</v>
      </c>
      <c r="O1018" s="1118">
        <f t="shared" si="92"/>
        <v>0</v>
      </c>
      <c r="P1018" s="2213">
        <f t="shared" si="85"/>
        <v>0</v>
      </c>
    </row>
    <row r="1019" spans="1:16" ht="14.5">
      <c r="A1019" s="2042" t="s">
        <v>2934</v>
      </c>
      <c r="B1019" s="380" t="str">
        <f t="shared" si="82"/>
        <v>043-905</v>
      </c>
      <c r="C1019" s="2042" t="s">
        <v>1389</v>
      </c>
      <c r="D1019" s="2043">
        <v>53300</v>
      </c>
      <c r="E1019" s="2043">
        <v>63493</v>
      </c>
      <c r="F1019" s="2043">
        <f t="shared" si="83"/>
        <v>10193</v>
      </c>
      <c r="G1019" s="2043">
        <f t="shared" si="84"/>
        <v>9943</v>
      </c>
      <c r="H1019" s="2043">
        <f t="shared" si="91"/>
        <v>122884</v>
      </c>
      <c r="I1019" s="2209">
        <f t="shared" si="86"/>
        <v>0.85070266528210459</v>
      </c>
      <c r="J1019" s="41">
        <f t="shared" si="87"/>
        <v>3</v>
      </c>
      <c r="K1019" s="107">
        <f t="shared" si="88"/>
        <v>0.45</v>
      </c>
      <c r="L1019" s="2214">
        <f t="shared" si="89"/>
        <v>27561996</v>
      </c>
      <c r="M1019" s="731">
        <f t="shared" si="90"/>
        <v>26442325.686763126</v>
      </c>
      <c r="N1019" s="2212">
        <v>14845413</v>
      </c>
      <c r="O1019" s="1118">
        <f t="shared" si="92"/>
        <v>0</v>
      </c>
      <c r="P1019" s="2213">
        <f t="shared" si="85"/>
        <v>0</v>
      </c>
    </row>
    <row r="1020" spans="1:16" ht="14.5">
      <c r="A1020" s="2042" t="s">
        <v>2938</v>
      </c>
      <c r="B1020" s="380" t="str">
        <f t="shared" si="82"/>
        <v>043-912</v>
      </c>
      <c r="C1020" s="2042" t="s">
        <v>74</v>
      </c>
      <c r="D1020" s="2043">
        <v>8296</v>
      </c>
      <c r="E1020" s="2043">
        <v>19138</v>
      </c>
      <c r="F1020" s="2043">
        <f t="shared" si="83"/>
        <v>10842</v>
      </c>
      <c r="G1020" s="2043">
        <f t="shared" si="84"/>
        <v>10592</v>
      </c>
      <c r="H1020" s="2043">
        <f t="shared" si="91"/>
        <v>133476</v>
      </c>
      <c r="I1020" s="2209">
        <f t="shared" si="86"/>
        <v>0.92402907580477678</v>
      </c>
      <c r="J1020" s="41">
        <f t="shared" si="87"/>
        <v>3</v>
      </c>
      <c r="K1020" s="107">
        <f t="shared" si="88"/>
        <v>0.45</v>
      </c>
      <c r="L1020" s="2214">
        <f t="shared" si="89"/>
        <v>29361024</v>
      </c>
      <c r="M1020" s="731">
        <f t="shared" si="90"/>
        <v>28168270.509322643</v>
      </c>
      <c r="N1020" s="2212">
        <v>3993242</v>
      </c>
      <c r="O1020" s="1118">
        <f t="shared" si="92"/>
        <v>0</v>
      </c>
      <c r="P1020" s="2213">
        <f t="shared" si="85"/>
        <v>0</v>
      </c>
    </row>
    <row r="1021" spans="1:16" ht="14.5">
      <c r="A1021" s="2042" t="s">
        <v>3025</v>
      </c>
      <c r="B1021" s="380" t="str">
        <f t="shared" si="82"/>
        <v>101-914</v>
      </c>
      <c r="C1021" s="2042" t="s">
        <v>388</v>
      </c>
      <c r="D1021" s="2043">
        <v>72952</v>
      </c>
      <c r="E1021" s="2043">
        <v>84176</v>
      </c>
      <c r="F1021" s="2043">
        <f t="shared" si="83"/>
        <v>11224</v>
      </c>
      <c r="G1021" s="2043">
        <f t="shared" si="84"/>
        <v>10974</v>
      </c>
      <c r="H1021" s="2043">
        <f t="shared" si="91"/>
        <v>144450</v>
      </c>
      <c r="I1021" s="2209">
        <f t="shared" si="86"/>
        <v>1</v>
      </c>
      <c r="J1021" s="41">
        <f t="shared" si="87"/>
        <v>3</v>
      </c>
      <c r="K1021" s="107">
        <f t="shared" si="88"/>
        <v>0.45</v>
      </c>
      <c r="L1021" s="2214">
        <f t="shared" si="89"/>
        <v>30419928</v>
      </c>
      <c r="M1021" s="731">
        <f t="shared" si="90"/>
        <v>29184157.908733636</v>
      </c>
      <c r="N1021" s="2215">
        <v>19503653</v>
      </c>
      <c r="O1021" s="2216">
        <f t="shared" si="92"/>
        <v>0</v>
      </c>
      <c r="P1021" s="2217">
        <f t="shared" si="85"/>
        <v>0</v>
      </c>
    </row>
    <row r="1022" spans="1:16" ht="15" thickBot="1">
      <c r="D1022" s="2043">
        <v>5043440</v>
      </c>
      <c r="E1022" s="2043">
        <v>4980750</v>
      </c>
      <c r="F1022" s="2043">
        <f>SUM(F2:F1021)</f>
        <v>188457</v>
      </c>
      <c r="G1022" s="2218">
        <f>SUM(G2:G1021)</f>
        <v>144450</v>
      </c>
      <c r="L1022" s="2218">
        <f>SUM(L2:L1021)</f>
        <v>281432844</v>
      </c>
      <c r="M1022" s="2218">
        <f>SUM(M2:M1021)</f>
        <v>270000000</v>
      </c>
      <c r="N1022" s="2218">
        <f>SUM(N2:N1021)</f>
        <v>305619223</v>
      </c>
      <c r="O1022" s="2218">
        <f>SUM(O2:O1021)</f>
        <v>148561651.19328842</v>
      </c>
      <c r="P1022" s="2218">
        <f>SUM(P2:P1021)</f>
        <v>39999999.999999993</v>
      </c>
    </row>
    <row r="1023" spans="1:16" ht="13" thickTop="1"/>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L1024"/>
  <sheetViews>
    <sheetView topLeftCell="B975" workbookViewId="0">
      <selection activeCell="L988" sqref="L988"/>
    </sheetView>
  </sheetViews>
  <sheetFormatPr defaultColWidth="9.08984375" defaultRowHeight="12.5"/>
  <cols>
    <col min="2" max="2" width="9.08984375" style="2042"/>
    <col min="3" max="3" width="30.6328125" customWidth="1"/>
    <col min="4" max="8" width="12.6328125" style="2043" customWidth="1"/>
    <col min="9" max="9" width="20.6328125" style="106" customWidth="1"/>
    <col min="10" max="10" width="9.08984375" style="41"/>
    <col min="11" max="12" width="15.6328125" style="2043" customWidth="1"/>
  </cols>
  <sheetData>
    <row r="1" spans="1:12" s="2758" customFormat="1" ht="37.5">
      <c r="A1" s="2758" t="s">
        <v>10356</v>
      </c>
      <c r="C1" s="2758" t="s">
        <v>10788</v>
      </c>
      <c r="D1" s="2757" t="s">
        <v>10789</v>
      </c>
      <c r="E1" s="2757" t="s">
        <v>10790</v>
      </c>
      <c r="F1" s="2757" t="s">
        <v>10791</v>
      </c>
      <c r="G1" s="2757" t="s">
        <v>10792</v>
      </c>
      <c r="H1" s="2757" t="s">
        <v>10793</v>
      </c>
      <c r="I1" s="2759" t="s">
        <v>10794</v>
      </c>
      <c r="J1" s="2758" t="s">
        <v>9060</v>
      </c>
      <c r="K1" s="2757" t="s">
        <v>10795</v>
      </c>
      <c r="L1" s="2757" t="s">
        <v>10796</v>
      </c>
    </row>
    <row r="2" spans="1:12" ht="14.5">
      <c r="A2" t="s">
        <v>5069</v>
      </c>
      <c r="B2" s="380" t="str">
        <f>CONCATENATE(LEFT(RIGHT(CONCATENATE("000",A2),6),3),"-",(RIGHT(RIGHT(CONCATENATE("000",A2),6),3)))</f>
        <v>101-912</v>
      </c>
      <c r="C2" t="s">
        <v>456</v>
      </c>
      <c r="D2" s="2043">
        <v>210159</v>
      </c>
      <c r="E2" s="2043">
        <v>184480</v>
      </c>
      <c r="F2" s="2043">
        <v>-25679</v>
      </c>
      <c r="G2" s="2043">
        <v>0</v>
      </c>
      <c r="H2" s="2043">
        <v>0</v>
      </c>
      <c r="I2" s="106">
        <v>0</v>
      </c>
      <c r="J2" s="41" t="s">
        <v>10797</v>
      </c>
      <c r="K2" s="2043">
        <v>0</v>
      </c>
      <c r="L2" s="2043">
        <v>0</v>
      </c>
    </row>
    <row r="3" spans="1:12" ht="14.5">
      <c r="A3" t="s">
        <v>4988</v>
      </c>
      <c r="B3" s="380" t="str">
        <f t="shared" ref="B3:B66" si="0">CONCATENATE(LEFT(RIGHT(CONCATENATE("000",A3),6),3),"-",(RIGHT(RIGHT(CONCATENATE("000",A3),6),3)))</f>
        <v>057-905</v>
      </c>
      <c r="C3" t="s">
        <v>118</v>
      </c>
      <c r="D3" s="2043">
        <v>157886</v>
      </c>
      <c r="E3" s="2043">
        <v>143558</v>
      </c>
      <c r="F3" s="2043">
        <v>-14328</v>
      </c>
      <c r="G3" s="2043">
        <v>0</v>
      </c>
      <c r="H3" s="2043">
        <v>0</v>
      </c>
      <c r="I3" s="106">
        <v>0</v>
      </c>
      <c r="J3" s="41" t="s">
        <v>10797</v>
      </c>
      <c r="K3" s="2043">
        <v>0</v>
      </c>
      <c r="L3" s="2043">
        <v>0</v>
      </c>
    </row>
    <row r="4" spans="1:12" ht="14.5">
      <c r="A4" t="s">
        <v>5266</v>
      </c>
      <c r="B4" s="380" t="str">
        <f t="shared" si="0"/>
        <v>220-905</v>
      </c>
      <c r="C4" t="s">
        <v>1203</v>
      </c>
      <c r="D4" s="2043">
        <v>87428</v>
      </c>
      <c r="E4" s="2043">
        <v>74850</v>
      </c>
      <c r="F4" s="2043">
        <v>-12578</v>
      </c>
      <c r="G4" s="2043">
        <v>0</v>
      </c>
      <c r="H4" s="2043">
        <v>0</v>
      </c>
      <c r="I4" s="106">
        <v>0</v>
      </c>
      <c r="J4" s="41" t="s">
        <v>10797</v>
      </c>
      <c r="K4" s="2043">
        <v>0</v>
      </c>
      <c r="L4" s="2043">
        <v>0</v>
      </c>
    </row>
    <row r="5" spans="1:12" ht="14.5">
      <c r="A5" t="s">
        <v>2981</v>
      </c>
      <c r="B5" s="380" t="str">
        <f t="shared" si="0"/>
        <v>071-902</v>
      </c>
      <c r="C5" t="s">
        <v>1866</v>
      </c>
      <c r="D5" s="2043">
        <v>59424</v>
      </c>
      <c r="E5" s="2043">
        <v>50769</v>
      </c>
      <c r="F5" s="2043">
        <v>-8655</v>
      </c>
      <c r="G5" s="2043">
        <v>0</v>
      </c>
      <c r="H5" s="2043">
        <v>0</v>
      </c>
      <c r="I5" s="106">
        <v>0</v>
      </c>
      <c r="J5" s="41" t="s">
        <v>10797</v>
      </c>
      <c r="K5" s="2043">
        <v>0</v>
      </c>
      <c r="L5" s="2043">
        <v>0</v>
      </c>
    </row>
    <row r="6" spans="1:12" ht="14.5">
      <c r="A6" t="s">
        <v>5279</v>
      </c>
      <c r="B6" s="380" t="str">
        <f t="shared" si="0"/>
        <v>227-901</v>
      </c>
      <c r="C6" t="s">
        <v>1801</v>
      </c>
      <c r="D6" s="2043">
        <v>83067</v>
      </c>
      <c r="E6" s="2043">
        <v>74602</v>
      </c>
      <c r="F6" s="2043">
        <v>-8465</v>
      </c>
      <c r="G6" s="2043">
        <v>0</v>
      </c>
      <c r="H6" s="2043">
        <v>0</v>
      </c>
      <c r="I6" s="106">
        <v>0</v>
      </c>
      <c r="J6" s="41" t="s">
        <v>10797</v>
      </c>
      <c r="K6" s="2043">
        <v>0</v>
      </c>
      <c r="L6" s="2043">
        <v>0</v>
      </c>
    </row>
    <row r="7" spans="1:12" ht="14.5">
      <c r="A7" t="s">
        <v>2914</v>
      </c>
      <c r="B7" s="380" t="str">
        <f t="shared" si="0"/>
        <v>031-901</v>
      </c>
      <c r="C7" t="s">
        <v>2490</v>
      </c>
      <c r="D7" s="2043">
        <v>46880</v>
      </c>
      <c r="E7" s="2043">
        <v>38448</v>
      </c>
      <c r="F7" s="2043">
        <v>-8432</v>
      </c>
      <c r="G7" s="2043">
        <v>0</v>
      </c>
      <c r="H7" s="2043">
        <v>0</v>
      </c>
      <c r="I7" s="106">
        <v>0</v>
      </c>
      <c r="J7" s="41" t="s">
        <v>10797</v>
      </c>
      <c r="K7" s="2043">
        <v>0</v>
      </c>
      <c r="L7" s="2043">
        <v>0</v>
      </c>
    </row>
    <row r="8" spans="1:12" ht="14.5">
      <c r="A8" t="s">
        <v>3019</v>
      </c>
      <c r="B8" s="380" t="str">
        <f t="shared" si="0"/>
        <v>101-902</v>
      </c>
      <c r="C8" t="s">
        <v>658</v>
      </c>
      <c r="D8" s="2043">
        <v>69768</v>
      </c>
      <c r="E8" s="2043">
        <v>61633</v>
      </c>
      <c r="F8" s="2043">
        <v>-8135</v>
      </c>
      <c r="G8" s="2043">
        <v>0</v>
      </c>
      <c r="H8" s="2043">
        <v>0</v>
      </c>
      <c r="I8" s="106">
        <v>0</v>
      </c>
      <c r="J8" s="41" t="s">
        <v>10797</v>
      </c>
      <c r="K8" s="2043">
        <v>0</v>
      </c>
      <c r="L8" s="2043">
        <v>0</v>
      </c>
    </row>
    <row r="9" spans="1:12" ht="14.5">
      <c r="A9" t="s">
        <v>2878</v>
      </c>
      <c r="B9" s="380" t="str">
        <f t="shared" si="0"/>
        <v>015-907</v>
      </c>
      <c r="C9" t="s">
        <v>1915</v>
      </c>
      <c r="D9" s="2043">
        <v>52514</v>
      </c>
      <c r="E9" s="2043">
        <v>44710</v>
      </c>
      <c r="F9" s="2043">
        <v>-7804</v>
      </c>
      <c r="G9" s="2043">
        <v>0</v>
      </c>
      <c r="H9" s="2043">
        <v>0</v>
      </c>
      <c r="I9" s="106">
        <v>0</v>
      </c>
      <c r="J9" s="41" t="s">
        <v>10797</v>
      </c>
      <c r="K9" s="2043">
        <v>0</v>
      </c>
      <c r="L9" s="2043">
        <v>0</v>
      </c>
    </row>
    <row r="10" spans="1:12" ht="14.5">
      <c r="A10" t="s">
        <v>2881</v>
      </c>
      <c r="B10" s="380" t="str">
        <f t="shared" si="0"/>
        <v>015-910</v>
      </c>
      <c r="C10" t="s">
        <v>2163</v>
      </c>
      <c r="D10" s="2043">
        <v>67531</v>
      </c>
      <c r="E10" s="2043">
        <v>59830</v>
      </c>
      <c r="F10" s="2043">
        <v>-7701</v>
      </c>
      <c r="G10" s="2043">
        <v>0</v>
      </c>
      <c r="H10" s="2043">
        <v>0</v>
      </c>
      <c r="I10" s="106">
        <v>0</v>
      </c>
      <c r="J10" s="41" t="s">
        <v>10797</v>
      </c>
      <c r="K10" s="2043">
        <v>0</v>
      </c>
      <c r="L10" s="2043">
        <v>0</v>
      </c>
    </row>
    <row r="11" spans="1:12" ht="14.5">
      <c r="A11" t="s">
        <v>3027</v>
      </c>
      <c r="B11" s="380" t="str">
        <f t="shared" si="0"/>
        <v>101-917</v>
      </c>
      <c r="C11" t="s">
        <v>258</v>
      </c>
      <c r="D11" s="2043">
        <v>56282</v>
      </c>
      <c r="E11" s="2043">
        <v>49326</v>
      </c>
      <c r="F11" s="2043">
        <v>-6956</v>
      </c>
      <c r="G11" s="2043">
        <v>0</v>
      </c>
      <c r="H11" s="2043">
        <v>0</v>
      </c>
      <c r="I11" s="106">
        <v>0</v>
      </c>
      <c r="J11" s="41" t="s">
        <v>10797</v>
      </c>
      <c r="K11" s="2043">
        <v>0</v>
      </c>
      <c r="L11" s="2043">
        <v>0</v>
      </c>
    </row>
    <row r="12" spans="1:12" ht="14.5">
      <c r="A12" t="s">
        <v>3206</v>
      </c>
      <c r="B12" s="380" t="str">
        <f t="shared" si="0"/>
        <v>220-901</v>
      </c>
      <c r="C12" t="s">
        <v>2283</v>
      </c>
      <c r="D12" s="2043">
        <v>62181</v>
      </c>
      <c r="E12" s="2043">
        <v>56311</v>
      </c>
      <c r="F12" s="2043">
        <v>-5870</v>
      </c>
      <c r="G12" s="2043">
        <v>0</v>
      </c>
      <c r="H12" s="2043">
        <v>0</v>
      </c>
      <c r="I12" s="106">
        <v>0</v>
      </c>
      <c r="J12" s="41" t="s">
        <v>10797</v>
      </c>
      <c r="K12" s="2043">
        <v>0</v>
      </c>
      <c r="L12" s="2043">
        <v>0</v>
      </c>
    </row>
    <row r="13" spans="1:12" ht="14.5">
      <c r="A13" t="s">
        <v>3020</v>
      </c>
      <c r="B13" s="380" t="str">
        <f t="shared" si="0"/>
        <v>101-903</v>
      </c>
      <c r="C13" t="s">
        <v>1874</v>
      </c>
      <c r="D13" s="2043">
        <v>46376</v>
      </c>
      <c r="E13" s="2043">
        <v>40664</v>
      </c>
      <c r="F13" s="2043">
        <v>-5712</v>
      </c>
      <c r="G13" s="2043">
        <v>0</v>
      </c>
      <c r="H13" s="2043">
        <v>0</v>
      </c>
      <c r="I13" s="106">
        <v>0</v>
      </c>
      <c r="J13" s="41" t="s">
        <v>10797</v>
      </c>
      <c r="K13" s="2043">
        <v>0</v>
      </c>
      <c r="L13" s="2043">
        <v>0</v>
      </c>
    </row>
    <row r="14" spans="1:12" ht="14.5">
      <c r="A14" t="s">
        <v>3043</v>
      </c>
      <c r="B14" s="380" t="str">
        <f t="shared" si="0"/>
        <v>108-912</v>
      </c>
      <c r="C14" t="s">
        <v>1790</v>
      </c>
      <c r="D14" s="2043">
        <v>29500</v>
      </c>
      <c r="E14" s="2043">
        <v>24163</v>
      </c>
      <c r="F14" s="2043">
        <v>-5337</v>
      </c>
      <c r="G14" s="2043">
        <v>0</v>
      </c>
      <c r="H14" s="2043">
        <v>0</v>
      </c>
      <c r="I14" s="106">
        <v>0</v>
      </c>
      <c r="J14" s="41" t="s">
        <v>10797</v>
      </c>
      <c r="K14" s="2043">
        <v>0</v>
      </c>
      <c r="L14" s="2043">
        <v>0</v>
      </c>
    </row>
    <row r="15" spans="1:12" ht="14.5">
      <c r="A15" t="s">
        <v>3161</v>
      </c>
      <c r="B15" s="380" t="str">
        <f t="shared" si="0"/>
        <v>178-904</v>
      </c>
      <c r="C15" t="s">
        <v>1038</v>
      </c>
      <c r="D15" s="2043">
        <v>38327</v>
      </c>
      <c r="E15" s="2043">
        <v>33175</v>
      </c>
      <c r="F15" s="2043">
        <v>-5152</v>
      </c>
      <c r="G15" s="2043">
        <v>0</v>
      </c>
      <c r="H15" s="2043">
        <v>0</v>
      </c>
      <c r="I15" s="106">
        <v>0</v>
      </c>
      <c r="J15" s="41" t="s">
        <v>10797</v>
      </c>
      <c r="K15" s="2043">
        <v>0</v>
      </c>
      <c r="L15" s="2043">
        <v>0</v>
      </c>
    </row>
    <row r="16" spans="1:12" ht="14.5">
      <c r="A16" t="s">
        <v>4972</v>
      </c>
      <c r="B16" s="380" t="str">
        <f t="shared" si="0"/>
        <v>043-910</v>
      </c>
      <c r="C16" t="s">
        <v>2077</v>
      </c>
      <c r="D16" s="2043">
        <v>54173</v>
      </c>
      <c r="E16" s="2043">
        <v>49400</v>
      </c>
      <c r="F16" s="2043">
        <v>-4773</v>
      </c>
      <c r="G16" s="2043">
        <v>0</v>
      </c>
      <c r="H16" s="2043">
        <v>0</v>
      </c>
      <c r="I16" s="106">
        <v>0</v>
      </c>
      <c r="J16" s="41" t="s">
        <v>10797</v>
      </c>
      <c r="K16" s="2043">
        <v>0</v>
      </c>
      <c r="L16" s="2043">
        <v>0</v>
      </c>
    </row>
    <row r="17" spans="1:12" ht="14.5">
      <c r="A17" t="s">
        <v>3249</v>
      </c>
      <c r="B17" s="380" t="str">
        <f t="shared" si="0"/>
        <v>240-901</v>
      </c>
      <c r="C17" t="s">
        <v>2219</v>
      </c>
      <c r="D17" s="2043">
        <v>24237</v>
      </c>
      <c r="E17" s="2043">
        <v>19757</v>
      </c>
      <c r="F17" s="2043">
        <v>-4480</v>
      </c>
      <c r="G17" s="2043">
        <v>0</v>
      </c>
      <c r="H17" s="2043">
        <v>0</v>
      </c>
      <c r="I17" s="106">
        <v>0</v>
      </c>
      <c r="J17" s="41" t="s">
        <v>10797</v>
      </c>
      <c r="K17" s="2043">
        <v>0</v>
      </c>
      <c r="L17" s="2043">
        <v>0</v>
      </c>
    </row>
    <row r="18" spans="1:12" ht="14.5">
      <c r="A18" t="s">
        <v>3250</v>
      </c>
      <c r="B18" s="380" t="str">
        <f t="shared" si="0"/>
        <v>240-903</v>
      </c>
      <c r="C18" t="s">
        <v>2229</v>
      </c>
      <c r="D18" s="2043">
        <v>43660</v>
      </c>
      <c r="E18" s="2043">
        <v>39316</v>
      </c>
      <c r="F18" s="2043">
        <v>-4344</v>
      </c>
      <c r="G18" s="2043">
        <v>0</v>
      </c>
      <c r="H18" s="2043">
        <v>0</v>
      </c>
      <c r="I18" s="106">
        <v>0</v>
      </c>
      <c r="J18" s="41" t="s">
        <v>10797</v>
      </c>
      <c r="K18" s="2043">
        <v>0</v>
      </c>
      <c r="L18" s="2043">
        <v>0</v>
      </c>
    </row>
    <row r="19" spans="1:12" ht="14.5">
      <c r="A19" t="s">
        <v>3867</v>
      </c>
      <c r="B19" s="380" t="str">
        <f t="shared" si="0"/>
        <v>071-905</v>
      </c>
      <c r="C19" t="s">
        <v>716</v>
      </c>
      <c r="D19" s="2043">
        <v>41536</v>
      </c>
      <c r="E19" s="2043">
        <v>37244</v>
      </c>
      <c r="F19" s="2043">
        <v>-4292</v>
      </c>
      <c r="G19" s="2043">
        <v>0</v>
      </c>
      <c r="H19" s="2043">
        <v>0</v>
      </c>
      <c r="I19" s="106">
        <v>0</v>
      </c>
      <c r="J19" s="41" t="s">
        <v>10797</v>
      </c>
      <c r="K19" s="2043">
        <v>0</v>
      </c>
      <c r="L19" s="2043">
        <v>0</v>
      </c>
    </row>
    <row r="20" spans="1:12" ht="14.5">
      <c r="A20" t="s">
        <v>2960</v>
      </c>
      <c r="B20" s="380" t="str">
        <f t="shared" si="0"/>
        <v>061-902</v>
      </c>
      <c r="C20" t="s">
        <v>2327</v>
      </c>
      <c r="D20" s="2043">
        <v>53257</v>
      </c>
      <c r="E20" s="2043">
        <v>49205</v>
      </c>
      <c r="F20" s="2043">
        <v>-4052</v>
      </c>
      <c r="G20" s="2043">
        <v>0</v>
      </c>
      <c r="H20" s="2043">
        <v>0</v>
      </c>
      <c r="I20" s="106">
        <v>0</v>
      </c>
      <c r="J20" s="41" t="s">
        <v>10797</v>
      </c>
      <c r="K20" s="2043">
        <v>0</v>
      </c>
      <c r="L20" s="2043">
        <v>0</v>
      </c>
    </row>
    <row r="21" spans="1:12" ht="14.5">
      <c r="A21" t="s">
        <v>2884</v>
      </c>
      <c r="B21" s="380" t="str">
        <f t="shared" si="0"/>
        <v>015-915</v>
      </c>
      <c r="C21" t="s">
        <v>2165</v>
      </c>
      <c r="D21" s="2043">
        <v>106145</v>
      </c>
      <c r="E21" s="2043">
        <v>102377</v>
      </c>
      <c r="F21" s="2043">
        <v>-3768</v>
      </c>
      <c r="G21" s="2043">
        <v>0</v>
      </c>
      <c r="H21" s="2043">
        <v>0</v>
      </c>
      <c r="I21" s="106">
        <v>0</v>
      </c>
      <c r="J21" s="41" t="s">
        <v>10797</v>
      </c>
      <c r="K21" s="2043">
        <v>0</v>
      </c>
      <c r="L21" s="2043">
        <v>0</v>
      </c>
    </row>
    <row r="22" spans="1:12" ht="14.5">
      <c r="A22" t="s">
        <v>2954</v>
      </c>
      <c r="B22" s="380" t="str">
        <f t="shared" si="0"/>
        <v>057-909</v>
      </c>
      <c r="C22" t="s">
        <v>1394</v>
      </c>
      <c r="D22" s="2043">
        <v>57133</v>
      </c>
      <c r="E22" s="2043">
        <v>53674</v>
      </c>
      <c r="F22" s="2043">
        <v>-3459</v>
      </c>
      <c r="G22" s="2043">
        <v>0</v>
      </c>
      <c r="H22" s="2043">
        <v>0</v>
      </c>
      <c r="I22" s="106">
        <v>0</v>
      </c>
      <c r="J22" s="41" t="s">
        <v>10797</v>
      </c>
      <c r="K22" s="2043">
        <v>0</v>
      </c>
      <c r="L22" s="2043">
        <v>0</v>
      </c>
    </row>
    <row r="23" spans="1:12" ht="14.5">
      <c r="A23" t="s">
        <v>3037</v>
      </c>
      <c r="B23" s="380" t="str">
        <f t="shared" si="0"/>
        <v>108-906</v>
      </c>
      <c r="C23" t="s">
        <v>771</v>
      </c>
      <c r="D23" s="2043">
        <v>23826</v>
      </c>
      <c r="E23" s="2043">
        <v>20410</v>
      </c>
      <c r="F23" s="2043">
        <v>-3416</v>
      </c>
      <c r="G23" s="2043">
        <v>0</v>
      </c>
      <c r="H23" s="2043">
        <v>0</v>
      </c>
      <c r="I23" s="106">
        <v>0</v>
      </c>
      <c r="J23" s="41" t="s">
        <v>10797</v>
      </c>
      <c r="K23" s="2043">
        <v>0</v>
      </c>
      <c r="L23" s="2043">
        <v>0</v>
      </c>
    </row>
    <row r="24" spans="1:12" ht="14.5">
      <c r="A24" t="s">
        <v>5071</v>
      </c>
      <c r="B24" s="380" t="str">
        <f t="shared" si="0"/>
        <v>101-919</v>
      </c>
      <c r="C24" t="s">
        <v>458</v>
      </c>
      <c r="D24" s="2043">
        <v>36698</v>
      </c>
      <c r="E24" s="2043">
        <v>33425</v>
      </c>
      <c r="F24" s="2043">
        <v>-3273</v>
      </c>
      <c r="G24" s="2043">
        <v>0</v>
      </c>
      <c r="H24" s="2043">
        <v>0</v>
      </c>
      <c r="I24" s="106">
        <v>0</v>
      </c>
      <c r="J24" s="41" t="s">
        <v>10797</v>
      </c>
      <c r="K24" s="2043">
        <v>0</v>
      </c>
      <c r="L24" s="2043">
        <v>0</v>
      </c>
    </row>
    <row r="25" spans="1:12" ht="14.5">
      <c r="A25" t="s">
        <v>3040</v>
      </c>
      <c r="B25" s="380" t="str">
        <f t="shared" si="0"/>
        <v>108-909</v>
      </c>
      <c r="C25" t="s">
        <v>945</v>
      </c>
      <c r="D25" s="2043">
        <v>32203</v>
      </c>
      <c r="E25" s="2043">
        <v>29250</v>
      </c>
      <c r="F25" s="2043">
        <v>-2953</v>
      </c>
      <c r="G25" s="2043">
        <v>0</v>
      </c>
      <c r="H25" s="2043">
        <v>0</v>
      </c>
      <c r="I25" s="106">
        <v>0</v>
      </c>
      <c r="J25" s="41" t="s">
        <v>10797</v>
      </c>
      <c r="K25" s="2043">
        <v>0</v>
      </c>
      <c r="L25" s="2043">
        <v>0</v>
      </c>
    </row>
    <row r="26" spans="1:12" ht="14.5">
      <c r="A26" t="s">
        <v>4363</v>
      </c>
      <c r="B26" s="380" t="str">
        <f t="shared" si="0"/>
        <v>152-901</v>
      </c>
      <c r="C26" t="s">
        <v>549</v>
      </c>
      <c r="D26" s="2043">
        <v>28515</v>
      </c>
      <c r="E26" s="2043">
        <v>25659</v>
      </c>
      <c r="F26" s="2043">
        <v>-2856</v>
      </c>
      <c r="G26" s="2043">
        <v>0</v>
      </c>
      <c r="H26" s="2043">
        <v>0</v>
      </c>
      <c r="I26" s="106">
        <v>0</v>
      </c>
      <c r="J26" s="41" t="s">
        <v>10797</v>
      </c>
      <c r="K26" s="2043">
        <v>0</v>
      </c>
      <c r="L26" s="2043">
        <v>0</v>
      </c>
    </row>
    <row r="27" spans="1:12" ht="14.5">
      <c r="A27" t="s">
        <v>2876</v>
      </c>
      <c r="B27" s="380" t="str">
        <f t="shared" si="0"/>
        <v>015-904</v>
      </c>
      <c r="C27" t="s">
        <v>683</v>
      </c>
      <c r="D27" s="2043">
        <v>14831</v>
      </c>
      <c r="E27" s="2043">
        <v>12080</v>
      </c>
      <c r="F27" s="2043">
        <v>-2751</v>
      </c>
      <c r="G27" s="2043">
        <v>0</v>
      </c>
      <c r="H27" s="2043">
        <v>0</v>
      </c>
      <c r="I27" s="106">
        <v>0</v>
      </c>
      <c r="J27" s="41" t="s">
        <v>10797</v>
      </c>
      <c r="K27" s="2043">
        <v>0</v>
      </c>
      <c r="L27" s="2043">
        <v>0</v>
      </c>
    </row>
    <row r="28" spans="1:12" ht="14.5">
      <c r="A28" t="s">
        <v>3177</v>
      </c>
      <c r="B28" s="380" t="str">
        <f t="shared" si="0"/>
        <v>188-901</v>
      </c>
      <c r="C28" t="s">
        <v>998</v>
      </c>
      <c r="D28" s="2043">
        <v>33537</v>
      </c>
      <c r="E28" s="2043">
        <v>30866</v>
      </c>
      <c r="F28" s="2043">
        <v>-2671</v>
      </c>
      <c r="G28" s="2043">
        <v>0</v>
      </c>
      <c r="H28" s="2043">
        <v>0</v>
      </c>
      <c r="I28" s="106">
        <v>0</v>
      </c>
      <c r="J28" s="41" t="s">
        <v>10797</v>
      </c>
      <c r="K28" s="2043">
        <v>0</v>
      </c>
      <c r="L28" s="2043">
        <v>0</v>
      </c>
    </row>
    <row r="29" spans="1:12" ht="14.5">
      <c r="A29" t="s">
        <v>2957</v>
      </c>
      <c r="B29" s="380" t="str">
        <f t="shared" si="0"/>
        <v>057-914</v>
      </c>
      <c r="C29" t="s">
        <v>2112</v>
      </c>
      <c r="D29" s="2043">
        <v>41038</v>
      </c>
      <c r="E29" s="2043">
        <v>38378</v>
      </c>
      <c r="F29" s="2043">
        <v>-2660</v>
      </c>
      <c r="G29" s="2043">
        <v>0</v>
      </c>
      <c r="H29" s="2043">
        <v>0</v>
      </c>
      <c r="I29" s="106">
        <v>0</v>
      </c>
      <c r="J29" s="41" t="s">
        <v>10797</v>
      </c>
      <c r="K29" s="2043">
        <v>0</v>
      </c>
      <c r="L29" s="2043">
        <v>0</v>
      </c>
    </row>
    <row r="30" spans="1:12" ht="14.5">
      <c r="A30" t="s">
        <v>3035</v>
      </c>
      <c r="B30" s="380" t="str">
        <f t="shared" si="0"/>
        <v>108-904</v>
      </c>
      <c r="C30" t="s">
        <v>31</v>
      </c>
      <c r="D30" s="2043">
        <v>34680</v>
      </c>
      <c r="E30" s="2043">
        <v>32078</v>
      </c>
      <c r="F30" s="2043">
        <v>-2602</v>
      </c>
      <c r="G30" s="2043">
        <v>0</v>
      </c>
      <c r="H30" s="2043">
        <v>0</v>
      </c>
      <c r="I30" s="106">
        <v>0</v>
      </c>
      <c r="J30" s="41" t="s">
        <v>10797</v>
      </c>
      <c r="K30" s="2043">
        <v>0</v>
      </c>
      <c r="L30" s="2043">
        <v>0</v>
      </c>
    </row>
    <row r="31" spans="1:12" ht="14.5">
      <c r="A31" t="s">
        <v>2877</v>
      </c>
      <c r="B31" s="380" t="str">
        <f t="shared" si="0"/>
        <v>015-905</v>
      </c>
      <c r="C31" t="s">
        <v>841</v>
      </c>
      <c r="D31" s="2043">
        <v>10881</v>
      </c>
      <c r="E31" s="2043">
        <v>8393</v>
      </c>
      <c r="F31" s="2043">
        <v>-2488</v>
      </c>
      <c r="G31" s="2043">
        <v>0</v>
      </c>
      <c r="H31" s="2043">
        <v>0</v>
      </c>
      <c r="I31" s="106">
        <v>0</v>
      </c>
      <c r="J31" s="41" t="s">
        <v>10797</v>
      </c>
      <c r="K31" s="2043">
        <v>0</v>
      </c>
      <c r="L31" s="2043">
        <v>0</v>
      </c>
    </row>
    <row r="32" spans="1:12" ht="14.5">
      <c r="A32" t="s">
        <v>5117</v>
      </c>
      <c r="B32" s="380" t="str">
        <f t="shared" si="0"/>
        <v>123-910</v>
      </c>
      <c r="C32" t="s">
        <v>2544</v>
      </c>
      <c r="D32" s="2043">
        <v>19204</v>
      </c>
      <c r="E32" s="2043">
        <v>16769</v>
      </c>
      <c r="F32" s="2043">
        <v>-2435</v>
      </c>
      <c r="G32" s="2043">
        <v>0</v>
      </c>
      <c r="H32" s="2043">
        <v>0</v>
      </c>
      <c r="I32" s="106">
        <v>0</v>
      </c>
      <c r="J32" s="41" t="s">
        <v>10797</v>
      </c>
      <c r="K32" s="2043">
        <v>0</v>
      </c>
      <c r="L32" s="2043">
        <v>0</v>
      </c>
    </row>
    <row r="33" spans="1:12" ht="14.5">
      <c r="A33" t="s">
        <v>2956</v>
      </c>
      <c r="B33" s="380" t="str">
        <f t="shared" si="0"/>
        <v>057-912</v>
      </c>
      <c r="C33" t="s">
        <v>1195</v>
      </c>
      <c r="D33" s="2043">
        <v>34792</v>
      </c>
      <c r="E33" s="2043">
        <v>32378</v>
      </c>
      <c r="F33" s="2043">
        <v>-2414</v>
      </c>
      <c r="G33" s="2043">
        <v>0</v>
      </c>
      <c r="H33" s="2043">
        <v>0</v>
      </c>
      <c r="I33" s="106">
        <v>0</v>
      </c>
      <c r="J33" s="41" t="s">
        <v>10797</v>
      </c>
      <c r="K33" s="2043">
        <v>0</v>
      </c>
      <c r="L33" s="2043">
        <v>0</v>
      </c>
    </row>
    <row r="34" spans="1:12" ht="14.5">
      <c r="A34" t="s">
        <v>2953</v>
      </c>
      <c r="B34" s="380" t="str">
        <f t="shared" si="0"/>
        <v>057-906</v>
      </c>
      <c r="C34" t="s">
        <v>119</v>
      </c>
      <c r="D34" s="2043">
        <v>9747</v>
      </c>
      <c r="E34" s="2043">
        <v>7344</v>
      </c>
      <c r="F34" s="2043">
        <v>-2403</v>
      </c>
      <c r="G34" s="2043">
        <v>0</v>
      </c>
      <c r="H34" s="2043">
        <v>0</v>
      </c>
      <c r="I34" s="106">
        <v>0</v>
      </c>
      <c r="J34" s="41" t="s">
        <v>10797</v>
      </c>
      <c r="K34" s="2043">
        <v>0</v>
      </c>
      <c r="L34" s="2043">
        <v>0</v>
      </c>
    </row>
    <row r="35" spans="1:12" ht="14.5">
      <c r="A35" t="s">
        <v>3033</v>
      </c>
      <c r="B35" s="380" t="str">
        <f t="shared" si="0"/>
        <v>108-902</v>
      </c>
      <c r="C35" t="s">
        <v>30</v>
      </c>
      <c r="D35" s="2043">
        <v>15072</v>
      </c>
      <c r="E35" s="2043">
        <v>13061</v>
      </c>
      <c r="F35" s="2043">
        <v>-2011</v>
      </c>
      <c r="G35" s="2043">
        <v>0</v>
      </c>
      <c r="H35" s="2043">
        <v>0</v>
      </c>
      <c r="I35" s="106">
        <v>0</v>
      </c>
      <c r="J35" s="41" t="s">
        <v>10797</v>
      </c>
      <c r="K35" s="2043">
        <v>0</v>
      </c>
      <c r="L35" s="2043">
        <v>0</v>
      </c>
    </row>
    <row r="36" spans="1:12" ht="14.5">
      <c r="A36" t="s">
        <v>2955</v>
      </c>
      <c r="B36" s="380" t="str">
        <f t="shared" si="0"/>
        <v>057-910</v>
      </c>
      <c r="C36" t="s">
        <v>816</v>
      </c>
      <c r="D36" s="2043">
        <v>29344</v>
      </c>
      <c r="E36" s="2043">
        <v>27420</v>
      </c>
      <c r="F36" s="2043">
        <v>-1924</v>
      </c>
      <c r="G36" s="2043">
        <v>0</v>
      </c>
      <c r="H36" s="2043">
        <v>0</v>
      </c>
      <c r="I36" s="106">
        <v>0</v>
      </c>
      <c r="J36" s="41" t="s">
        <v>10797</v>
      </c>
      <c r="K36" s="2043">
        <v>0</v>
      </c>
      <c r="L36" s="2043">
        <v>0</v>
      </c>
    </row>
    <row r="37" spans="1:12" ht="14.5">
      <c r="A37" t="s">
        <v>3039</v>
      </c>
      <c r="B37" s="380" t="str">
        <f t="shared" si="0"/>
        <v>108-908</v>
      </c>
      <c r="C37" t="s">
        <v>36</v>
      </c>
      <c r="D37" s="2043">
        <v>15882</v>
      </c>
      <c r="E37" s="2043">
        <v>13990</v>
      </c>
      <c r="F37" s="2043">
        <v>-1892</v>
      </c>
      <c r="G37" s="2043">
        <v>0</v>
      </c>
      <c r="H37" s="2043">
        <v>0</v>
      </c>
      <c r="I37" s="106">
        <v>0</v>
      </c>
      <c r="J37" s="41" t="s">
        <v>10797</v>
      </c>
      <c r="K37" s="2043">
        <v>0</v>
      </c>
      <c r="L37" s="2043">
        <v>0</v>
      </c>
    </row>
    <row r="38" spans="1:12" ht="14.5">
      <c r="A38" t="s">
        <v>3204</v>
      </c>
      <c r="B38" s="380" t="str">
        <f t="shared" si="0"/>
        <v>214-901</v>
      </c>
      <c r="C38" t="s">
        <v>2546</v>
      </c>
      <c r="D38" s="2043">
        <v>10812</v>
      </c>
      <c r="E38" s="2043">
        <v>9008</v>
      </c>
      <c r="F38" s="2043">
        <v>-1804</v>
      </c>
      <c r="G38" s="2043">
        <v>0</v>
      </c>
      <c r="H38" s="2043">
        <v>0</v>
      </c>
      <c r="I38" s="106">
        <v>0</v>
      </c>
      <c r="J38" s="41" t="s">
        <v>10797</v>
      </c>
      <c r="K38" s="2043">
        <v>0</v>
      </c>
      <c r="L38" s="2043">
        <v>0</v>
      </c>
    </row>
    <row r="39" spans="1:12" ht="14.5">
      <c r="A39" t="s">
        <v>3044</v>
      </c>
      <c r="B39" s="380" t="str">
        <f t="shared" si="0"/>
        <v>108-913</v>
      </c>
      <c r="C39" t="s">
        <v>132</v>
      </c>
      <c r="D39" s="2043">
        <v>17413</v>
      </c>
      <c r="E39" s="2043">
        <v>15639</v>
      </c>
      <c r="F39" s="2043">
        <v>-1774</v>
      </c>
      <c r="G39" s="2043">
        <v>0</v>
      </c>
      <c r="H39" s="2043">
        <v>0</v>
      </c>
      <c r="I39" s="106">
        <v>0</v>
      </c>
      <c r="J39" s="41" t="s">
        <v>10797</v>
      </c>
      <c r="K39" s="2043">
        <v>0</v>
      </c>
      <c r="L39" s="2043">
        <v>0</v>
      </c>
    </row>
    <row r="40" spans="1:12" ht="14.5">
      <c r="A40" t="s">
        <v>2879</v>
      </c>
      <c r="B40" s="380" t="str">
        <f t="shared" si="0"/>
        <v>015-908</v>
      </c>
      <c r="C40" t="s">
        <v>1825</v>
      </c>
      <c r="D40" s="2043">
        <v>9631</v>
      </c>
      <c r="E40" s="2043">
        <v>7922</v>
      </c>
      <c r="F40" s="2043">
        <v>-1709</v>
      </c>
      <c r="G40" s="2043">
        <v>0</v>
      </c>
      <c r="H40" s="2043">
        <v>0</v>
      </c>
      <c r="I40" s="106">
        <v>0</v>
      </c>
      <c r="J40" s="41" t="s">
        <v>10797</v>
      </c>
      <c r="K40" s="2043">
        <v>0</v>
      </c>
      <c r="L40" s="2043">
        <v>0</v>
      </c>
    </row>
    <row r="41" spans="1:12" ht="14.5">
      <c r="A41" t="s">
        <v>2915</v>
      </c>
      <c r="B41" s="380" t="str">
        <f t="shared" si="0"/>
        <v>031-903</v>
      </c>
      <c r="C41" t="s">
        <v>32</v>
      </c>
      <c r="D41" s="2043">
        <v>18700</v>
      </c>
      <c r="E41" s="2043">
        <v>17037</v>
      </c>
      <c r="F41" s="2043">
        <v>-1663</v>
      </c>
      <c r="G41" s="2043">
        <v>0</v>
      </c>
      <c r="H41" s="2043">
        <v>0</v>
      </c>
      <c r="I41" s="106">
        <v>0</v>
      </c>
      <c r="J41" s="41" t="s">
        <v>10797</v>
      </c>
      <c r="K41" s="2043">
        <v>0</v>
      </c>
      <c r="L41" s="2043">
        <v>0</v>
      </c>
    </row>
    <row r="42" spans="1:12" ht="14.5">
      <c r="A42" t="s">
        <v>4992</v>
      </c>
      <c r="B42" s="380" t="str">
        <f t="shared" si="0"/>
        <v>057-916</v>
      </c>
      <c r="C42" t="s">
        <v>2466</v>
      </c>
      <c r="D42" s="2043">
        <v>39268</v>
      </c>
      <c r="E42" s="2043">
        <v>37633</v>
      </c>
      <c r="F42" s="2043">
        <v>-1635</v>
      </c>
      <c r="G42" s="2043">
        <v>0</v>
      </c>
      <c r="H42" s="2043">
        <v>0</v>
      </c>
      <c r="I42" s="106">
        <v>0</v>
      </c>
      <c r="J42" s="41" t="s">
        <v>10797</v>
      </c>
      <c r="K42" s="2043">
        <v>0</v>
      </c>
      <c r="L42" s="2043">
        <v>0</v>
      </c>
    </row>
    <row r="43" spans="1:12" ht="14.5">
      <c r="A43" t="s">
        <v>5268</v>
      </c>
      <c r="B43" s="380" t="str">
        <f t="shared" si="0"/>
        <v>221-901</v>
      </c>
      <c r="C43" t="s">
        <v>1206</v>
      </c>
      <c r="D43" s="2043">
        <v>17030</v>
      </c>
      <c r="E43" s="2043">
        <v>15426</v>
      </c>
      <c r="F43" s="2043">
        <v>-1604</v>
      </c>
      <c r="G43" s="2043">
        <v>0</v>
      </c>
      <c r="H43" s="2043">
        <v>0</v>
      </c>
      <c r="I43" s="106">
        <v>0</v>
      </c>
      <c r="J43" s="41" t="s">
        <v>10797</v>
      </c>
      <c r="K43" s="2043">
        <v>0</v>
      </c>
      <c r="L43" s="2043">
        <v>0</v>
      </c>
    </row>
    <row r="44" spans="1:12" ht="14.5">
      <c r="A44" t="s">
        <v>5072</v>
      </c>
      <c r="B44" s="380" t="str">
        <f t="shared" si="0"/>
        <v>101-920</v>
      </c>
      <c r="C44" t="s">
        <v>2067</v>
      </c>
      <c r="D44" s="2043">
        <v>35079</v>
      </c>
      <c r="E44" s="2043">
        <v>33545</v>
      </c>
      <c r="F44" s="2043">
        <v>-1534</v>
      </c>
      <c r="G44" s="2043">
        <v>0</v>
      </c>
      <c r="H44" s="2043">
        <v>0</v>
      </c>
      <c r="I44" s="106">
        <v>0</v>
      </c>
      <c r="J44" s="41" t="s">
        <v>10797</v>
      </c>
      <c r="K44" s="2043">
        <v>0</v>
      </c>
      <c r="L44" s="2043">
        <v>0</v>
      </c>
    </row>
    <row r="45" spans="1:12" ht="14.5">
      <c r="A45" t="s">
        <v>2935</v>
      </c>
      <c r="B45" s="380" t="str">
        <f t="shared" si="0"/>
        <v>043-907</v>
      </c>
      <c r="C45" t="s">
        <v>774</v>
      </c>
      <c r="D45" s="2043">
        <v>24851</v>
      </c>
      <c r="E45" s="2043">
        <v>23379</v>
      </c>
      <c r="F45" s="2043">
        <v>-1472</v>
      </c>
      <c r="G45" s="2043">
        <v>0</v>
      </c>
      <c r="H45" s="2043">
        <v>0</v>
      </c>
      <c r="I45" s="106">
        <v>0</v>
      </c>
      <c r="J45" s="41" t="s">
        <v>10797</v>
      </c>
      <c r="K45" s="2043">
        <v>0</v>
      </c>
      <c r="L45" s="2043">
        <v>0</v>
      </c>
    </row>
    <row r="46" spans="1:12" ht="14.5">
      <c r="A46" t="s">
        <v>3117</v>
      </c>
      <c r="B46" s="380" t="str">
        <f t="shared" si="0"/>
        <v>159-901</v>
      </c>
      <c r="C46" t="s">
        <v>1006</v>
      </c>
      <c r="D46" s="2043">
        <v>14831</v>
      </c>
      <c r="E46" s="2043">
        <v>13385</v>
      </c>
      <c r="F46" s="2043">
        <v>-1446</v>
      </c>
      <c r="G46" s="2043">
        <v>0</v>
      </c>
      <c r="H46" s="2043">
        <v>0</v>
      </c>
      <c r="I46" s="106">
        <v>0</v>
      </c>
      <c r="J46" s="41" t="s">
        <v>10797</v>
      </c>
      <c r="K46" s="2043">
        <v>0</v>
      </c>
      <c r="L46" s="2043">
        <v>0</v>
      </c>
    </row>
    <row r="47" spans="1:12" ht="14.5">
      <c r="A47" t="s">
        <v>2919</v>
      </c>
      <c r="B47" s="380" t="str">
        <f t="shared" si="0"/>
        <v>031-912</v>
      </c>
      <c r="C47" t="s">
        <v>37</v>
      </c>
      <c r="D47" s="2043">
        <v>10643</v>
      </c>
      <c r="E47" s="2043">
        <v>9211</v>
      </c>
      <c r="F47" s="2043">
        <v>-1432</v>
      </c>
      <c r="G47" s="2043">
        <v>0</v>
      </c>
      <c r="H47" s="2043">
        <v>0</v>
      </c>
      <c r="I47" s="106">
        <v>0</v>
      </c>
      <c r="J47" s="41" t="s">
        <v>10797</v>
      </c>
      <c r="K47" s="2043">
        <v>0</v>
      </c>
      <c r="L47" s="2043">
        <v>0</v>
      </c>
    </row>
    <row r="48" spans="1:12" ht="14.5">
      <c r="A48" t="s">
        <v>3023</v>
      </c>
      <c r="B48" s="380" t="str">
        <f t="shared" si="0"/>
        <v>101-910</v>
      </c>
      <c r="C48" t="s">
        <v>1392</v>
      </c>
      <c r="D48" s="2043">
        <v>22784</v>
      </c>
      <c r="E48" s="2043">
        <v>21431</v>
      </c>
      <c r="F48" s="2043">
        <v>-1353</v>
      </c>
      <c r="G48" s="2043">
        <v>0</v>
      </c>
      <c r="H48" s="2043">
        <v>0</v>
      </c>
      <c r="I48" s="106">
        <v>0</v>
      </c>
      <c r="J48" s="41" t="s">
        <v>10797</v>
      </c>
      <c r="K48" s="2043">
        <v>0</v>
      </c>
      <c r="L48" s="2043">
        <v>0</v>
      </c>
    </row>
    <row r="49" spans="1:12" ht="14.5">
      <c r="A49" t="s">
        <v>3207</v>
      </c>
      <c r="B49" s="380" t="str">
        <f t="shared" si="0"/>
        <v>220-902</v>
      </c>
      <c r="C49" t="s">
        <v>752</v>
      </c>
      <c r="D49" s="2043">
        <v>23857</v>
      </c>
      <c r="E49" s="2043">
        <v>22505</v>
      </c>
      <c r="F49" s="2043">
        <v>-1352</v>
      </c>
      <c r="G49" s="2043">
        <v>0</v>
      </c>
      <c r="H49" s="2043">
        <v>0</v>
      </c>
      <c r="I49" s="106">
        <v>0</v>
      </c>
      <c r="J49" s="41" t="s">
        <v>10797</v>
      </c>
      <c r="K49" s="2043">
        <v>0</v>
      </c>
      <c r="L49" s="2043">
        <v>0</v>
      </c>
    </row>
    <row r="50" spans="1:12" ht="14.5">
      <c r="A50" t="s">
        <v>3221</v>
      </c>
      <c r="B50" s="380" t="str">
        <f t="shared" si="0"/>
        <v>226-903</v>
      </c>
      <c r="C50" t="s">
        <v>1914</v>
      </c>
      <c r="D50" s="2043">
        <v>15071</v>
      </c>
      <c r="E50" s="2043">
        <v>13860</v>
      </c>
      <c r="F50" s="2043">
        <v>-1211</v>
      </c>
      <c r="G50" s="2043">
        <v>0</v>
      </c>
      <c r="H50" s="2043">
        <v>0</v>
      </c>
      <c r="I50" s="106">
        <v>0</v>
      </c>
      <c r="J50" s="41" t="s">
        <v>10797</v>
      </c>
      <c r="K50" s="2043">
        <v>0</v>
      </c>
      <c r="L50" s="2043">
        <v>0</v>
      </c>
    </row>
    <row r="51" spans="1:12" ht="14.5">
      <c r="A51" t="s">
        <v>3034</v>
      </c>
      <c r="B51" s="380" t="str">
        <f t="shared" si="0"/>
        <v>108-903</v>
      </c>
      <c r="C51" t="s">
        <v>1010</v>
      </c>
      <c r="D51" s="2043">
        <v>5320</v>
      </c>
      <c r="E51" s="2043">
        <v>4140</v>
      </c>
      <c r="F51" s="2043">
        <v>-1180</v>
      </c>
      <c r="G51" s="2043">
        <v>0</v>
      </c>
      <c r="H51" s="2043">
        <v>0</v>
      </c>
      <c r="I51" s="106">
        <v>0</v>
      </c>
      <c r="J51" s="41" t="s">
        <v>10797</v>
      </c>
      <c r="K51" s="2043">
        <v>0</v>
      </c>
      <c r="L51" s="2043">
        <v>0</v>
      </c>
    </row>
    <row r="52" spans="1:12" ht="14.5">
      <c r="A52" t="s">
        <v>4857</v>
      </c>
      <c r="B52" s="380" t="str">
        <f t="shared" si="0"/>
        <v>246-909</v>
      </c>
      <c r="C52" t="s">
        <v>574</v>
      </c>
      <c r="D52" s="2043">
        <v>48321</v>
      </c>
      <c r="E52" s="2043">
        <v>47167</v>
      </c>
      <c r="F52" s="2043">
        <v>-1154</v>
      </c>
      <c r="G52" s="2043">
        <v>0</v>
      </c>
      <c r="H52" s="2043">
        <v>0</v>
      </c>
      <c r="I52" s="106">
        <v>0</v>
      </c>
      <c r="J52" s="41" t="s">
        <v>10797</v>
      </c>
      <c r="K52" s="2043">
        <v>0</v>
      </c>
      <c r="L52" s="2043">
        <v>0</v>
      </c>
    </row>
    <row r="53" spans="1:12" ht="14.5">
      <c r="A53" t="s">
        <v>5032</v>
      </c>
      <c r="B53" s="380" t="str">
        <f t="shared" si="0"/>
        <v>084-906</v>
      </c>
      <c r="C53" t="s">
        <v>348</v>
      </c>
      <c r="D53" s="2043">
        <v>8945</v>
      </c>
      <c r="E53" s="2043">
        <v>7811</v>
      </c>
      <c r="F53" s="2043">
        <v>-1134</v>
      </c>
      <c r="G53" s="2043">
        <v>0</v>
      </c>
      <c r="H53" s="2043">
        <v>0</v>
      </c>
      <c r="I53" s="106">
        <v>0</v>
      </c>
      <c r="J53" s="41" t="s">
        <v>10797</v>
      </c>
      <c r="K53" s="2043">
        <v>0</v>
      </c>
      <c r="L53" s="2043">
        <v>0</v>
      </c>
    </row>
    <row r="54" spans="1:12" ht="14.5">
      <c r="A54" t="s">
        <v>3038</v>
      </c>
      <c r="B54" s="380" t="str">
        <f t="shared" si="0"/>
        <v>108-907</v>
      </c>
      <c r="C54" t="s">
        <v>2111</v>
      </c>
      <c r="D54" s="2043">
        <v>5538</v>
      </c>
      <c r="E54" s="2043">
        <v>4418</v>
      </c>
      <c r="F54" s="2043">
        <v>-1120</v>
      </c>
      <c r="G54" s="2043">
        <v>0</v>
      </c>
      <c r="H54" s="2043">
        <v>0</v>
      </c>
      <c r="I54" s="106">
        <v>0</v>
      </c>
      <c r="J54" s="41" t="s">
        <v>10797</v>
      </c>
      <c r="K54" s="2043">
        <v>0</v>
      </c>
      <c r="L54" s="2043">
        <v>0</v>
      </c>
    </row>
    <row r="55" spans="1:12" ht="14.5">
      <c r="A55" t="s">
        <v>3243</v>
      </c>
      <c r="B55" s="380" t="str">
        <f t="shared" si="0"/>
        <v>235-902</v>
      </c>
      <c r="C55" t="s">
        <v>125</v>
      </c>
      <c r="D55" s="2043">
        <v>14378</v>
      </c>
      <c r="E55" s="2043">
        <v>13301</v>
      </c>
      <c r="F55" s="2043">
        <v>-1077</v>
      </c>
      <c r="G55" s="2043">
        <v>0</v>
      </c>
      <c r="H55" s="2043">
        <v>0</v>
      </c>
      <c r="I55" s="106">
        <v>0</v>
      </c>
      <c r="J55" s="41" t="s">
        <v>10797</v>
      </c>
      <c r="K55" s="2043">
        <v>0</v>
      </c>
      <c r="L55" s="2043">
        <v>0</v>
      </c>
    </row>
    <row r="56" spans="1:12" ht="14.5">
      <c r="A56" t="s">
        <v>2980</v>
      </c>
      <c r="B56" s="380" t="str">
        <f t="shared" si="0"/>
        <v>071-901</v>
      </c>
      <c r="C56" t="s">
        <v>1096</v>
      </c>
      <c r="D56" s="2043">
        <v>11511</v>
      </c>
      <c r="E56" s="2043">
        <v>10494</v>
      </c>
      <c r="F56" s="2043">
        <v>-1017</v>
      </c>
      <c r="G56" s="2043">
        <v>0</v>
      </c>
      <c r="H56" s="2043">
        <v>0</v>
      </c>
      <c r="I56" s="106">
        <v>0</v>
      </c>
      <c r="J56" s="41" t="s">
        <v>10797</v>
      </c>
      <c r="K56" s="2043">
        <v>0</v>
      </c>
      <c r="L56" s="2043">
        <v>0</v>
      </c>
    </row>
    <row r="57" spans="1:12" ht="14.5">
      <c r="A57" t="s">
        <v>3127</v>
      </c>
      <c r="B57" s="380" t="str">
        <f t="shared" si="0"/>
        <v>161-914</v>
      </c>
      <c r="C57" t="s">
        <v>127</v>
      </c>
      <c r="D57" s="2043">
        <v>15081</v>
      </c>
      <c r="E57" s="2043">
        <v>14086</v>
      </c>
      <c r="F57" s="2043">
        <v>-995</v>
      </c>
      <c r="G57" s="2043">
        <v>0</v>
      </c>
      <c r="H57" s="2043">
        <v>0</v>
      </c>
      <c r="I57" s="106">
        <v>0</v>
      </c>
      <c r="J57" s="41" t="s">
        <v>10797</v>
      </c>
      <c r="K57" s="2043">
        <v>0</v>
      </c>
      <c r="L57" s="2043">
        <v>0</v>
      </c>
    </row>
    <row r="58" spans="1:12" ht="14.5">
      <c r="A58" t="s">
        <v>5034</v>
      </c>
      <c r="B58" s="380" t="str">
        <f t="shared" si="0"/>
        <v>084-910</v>
      </c>
      <c r="C58" t="s">
        <v>350</v>
      </c>
      <c r="D58" s="2043">
        <v>41819</v>
      </c>
      <c r="E58" s="2043">
        <v>40832</v>
      </c>
      <c r="F58" s="2043">
        <v>-987</v>
      </c>
      <c r="G58" s="2043">
        <v>0</v>
      </c>
      <c r="H58" s="2043">
        <v>0</v>
      </c>
      <c r="I58" s="106">
        <v>0</v>
      </c>
      <c r="J58" s="41" t="s">
        <v>10797</v>
      </c>
      <c r="K58" s="2043">
        <v>0</v>
      </c>
      <c r="L58" s="2043">
        <v>0</v>
      </c>
    </row>
    <row r="59" spans="1:12" ht="14.5">
      <c r="A59" t="s">
        <v>4945</v>
      </c>
      <c r="B59" s="380" t="str">
        <f t="shared" si="0"/>
        <v>020-905</v>
      </c>
      <c r="C59" t="s">
        <v>2351</v>
      </c>
      <c r="D59" s="2043">
        <v>12457</v>
      </c>
      <c r="E59" s="2043">
        <v>11478</v>
      </c>
      <c r="F59" s="2043">
        <v>-979</v>
      </c>
      <c r="G59" s="2043">
        <v>0</v>
      </c>
      <c r="H59" s="2043">
        <v>0</v>
      </c>
      <c r="I59" s="106">
        <v>0</v>
      </c>
      <c r="J59" s="41" t="s">
        <v>10797</v>
      </c>
      <c r="K59" s="2043">
        <v>0</v>
      </c>
      <c r="L59" s="2043">
        <v>0</v>
      </c>
    </row>
    <row r="60" spans="1:12" ht="14.5">
      <c r="A60" t="s">
        <v>3205</v>
      </c>
      <c r="B60" s="380" t="str">
        <f t="shared" si="0"/>
        <v>214-903</v>
      </c>
      <c r="C60" t="s">
        <v>571</v>
      </c>
      <c r="D60" s="2043">
        <v>6551</v>
      </c>
      <c r="E60" s="2043">
        <v>5655</v>
      </c>
      <c r="F60" s="2043">
        <v>-896</v>
      </c>
      <c r="G60" s="2043">
        <v>0</v>
      </c>
      <c r="H60" s="2043">
        <v>0</v>
      </c>
      <c r="I60" s="106">
        <v>0</v>
      </c>
      <c r="J60" s="41" t="s">
        <v>10797</v>
      </c>
      <c r="K60" s="2043">
        <v>0</v>
      </c>
      <c r="L60" s="2043">
        <v>0</v>
      </c>
    </row>
    <row r="61" spans="1:12" ht="14.5">
      <c r="A61" t="s">
        <v>5115</v>
      </c>
      <c r="B61" s="380" t="str">
        <f t="shared" si="0"/>
        <v>123-907</v>
      </c>
      <c r="C61" t="s">
        <v>2172</v>
      </c>
      <c r="D61" s="2043">
        <v>8898</v>
      </c>
      <c r="E61" s="2043">
        <v>8003</v>
      </c>
      <c r="F61" s="2043">
        <v>-895</v>
      </c>
      <c r="G61" s="2043">
        <v>0</v>
      </c>
      <c r="H61" s="2043">
        <v>0</v>
      </c>
      <c r="I61" s="106">
        <v>0</v>
      </c>
      <c r="J61" s="41" t="s">
        <v>10797</v>
      </c>
      <c r="K61" s="2043">
        <v>0</v>
      </c>
      <c r="L61" s="2043">
        <v>0</v>
      </c>
    </row>
    <row r="62" spans="1:12" ht="14.5">
      <c r="A62" t="s">
        <v>4989</v>
      </c>
      <c r="B62" s="380" t="str">
        <f t="shared" si="0"/>
        <v>057-907</v>
      </c>
      <c r="C62" t="s">
        <v>120</v>
      </c>
      <c r="D62" s="2043">
        <v>12824</v>
      </c>
      <c r="E62" s="2043">
        <v>11946</v>
      </c>
      <c r="F62" s="2043">
        <v>-878</v>
      </c>
      <c r="G62" s="2043">
        <v>0</v>
      </c>
      <c r="H62" s="2043">
        <v>0</v>
      </c>
      <c r="I62" s="106">
        <v>0</v>
      </c>
      <c r="J62" s="41" t="s">
        <v>10797</v>
      </c>
      <c r="K62" s="2043">
        <v>0</v>
      </c>
      <c r="L62" s="2043">
        <v>0</v>
      </c>
    </row>
    <row r="63" spans="1:12" ht="14.5">
      <c r="A63" t="s">
        <v>4922</v>
      </c>
      <c r="B63" s="380" t="str">
        <f t="shared" si="0"/>
        <v>003-903</v>
      </c>
      <c r="C63" t="s">
        <v>1120</v>
      </c>
      <c r="D63" s="2043">
        <v>8216</v>
      </c>
      <c r="E63" s="2043">
        <v>7360</v>
      </c>
      <c r="F63" s="2043">
        <v>-856</v>
      </c>
      <c r="G63" s="2043">
        <v>0</v>
      </c>
      <c r="H63" s="2043">
        <v>0</v>
      </c>
      <c r="I63" s="106">
        <v>0</v>
      </c>
      <c r="J63" s="41" t="s">
        <v>10797</v>
      </c>
      <c r="K63" s="2043">
        <v>0</v>
      </c>
      <c r="L63" s="2043">
        <v>0</v>
      </c>
    </row>
    <row r="64" spans="1:12" ht="14.5">
      <c r="A64" t="s">
        <v>5809</v>
      </c>
      <c r="B64" s="380" t="str">
        <f t="shared" si="0"/>
        <v>095-905</v>
      </c>
      <c r="C64" t="s">
        <v>223</v>
      </c>
      <c r="D64" s="2043">
        <v>5603</v>
      </c>
      <c r="E64" s="2043">
        <v>4752</v>
      </c>
      <c r="F64" s="2043">
        <v>-851</v>
      </c>
      <c r="G64" s="2043">
        <v>0</v>
      </c>
      <c r="H64" s="2043">
        <v>0</v>
      </c>
      <c r="I64" s="106">
        <v>0</v>
      </c>
      <c r="J64" s="41" t="s">
        <v>10797</v>
      </c>
      <c r="K64" s="2043">
        <v>0</v>
      </c>
      <c r="L64" s="2043">
        <v>0</v>
      </c>
    </row>
    <row r="65" spans="1:12" ht="14.5">
      <c r="A65" t="s">
        <v>5067</v>
      </c>
      <c r="B65" s="380" t="str">
        <f t="shared" si="0"/>
        <v>101-908</v>
      </c>
      <c r="C65" t="s">
        <v>454</v>
      </c>
      <c r="D65" s="2043">
        <v>13185</v>
      </c>
      <c r="E65" s="2043">
        <v>12345</v>
      </c>
      <c r="F65" s="2043">
        <v>-840</v>
      </c>
      <c r="G65" s="2043">
        <v>0</v>
      </c>
      <c r="H65" s="2043">
        <v>0</v>
      </c>
      <c r="I65" s="106">
        <v>0</v>
      </c>
      <c r="J65" s="41" t="s">
        <v>10797</v>
      </c>
      <c r="K65" s="2043">
        <v>0</v>
      </c>
      <c r="L65" s="2043">
        <v>0</v>
      </c>
    </row>
    <row r="66" spans="1:12" ht="14.5">
      <c r="A66" t="s">
        <v>5070</v>
      </c>
      <c r="B66" s="380" t="str">
        <f t="shared" si="0"/>
        <v>101-916</v>
      </c>
      <c r="C66" t="s">
        <v>457</v>
      </c>
      <c r="D66" s="2043">
        <v>7713</v>
      </c>
      <c r="E66" s="2043">
        <v>6938</v>
      </c>
      <c r="F66" s="2043">
        <v>-775</v>
      </c>
      <c r="G66" s="2043">
        <v>0</v>
      </c>
      <c r="H66" s="2043">
        <v>0</v>
      </c>
      <c r="I66" s="106">
        <v>0</v>
      </c>
      <c r="J66" s="41" t="s">
        <v>10797</v>
      </c>
      <c r="K66" s="2043">
        <v>0</v>
      </c>
      <c r="L66" s="2043">
        <v>0</v>
      </c>
    </row>
    <row r="67" spans="1:12" ht="14.5">
      <c r="A67" t="s">
        <v>3078</v>
      </c>
      <c r="B67" s="380" t="str">
        <f t="shared" ref="B67:B130" si="1">CONCATENATE(LEFT(RIGHT(CONCATENATE("000",A67),6),3),"-",(RIGHT(RIGHT(CONCATENATE("000",A67),6),3)))</f>
        <v>125-901</v>
      </c>
      <c r="C67" t="s">
        <v>660</v>
      </c>
      <c r="D67" s="2043">
        <v>5121</v>
      </c>
      <c r="E67" s="2043">
        <v>4369</v>
      </c>
      <c r="F67" s="2043">
        <v>-752</v>
      </c>
      <c r="G67" s="2043">
        <v>0</v>
      </c>
      <c r="H67" s="2043">
        <v>0</v>
      </c>
      <c r="I67" s="106">
        <v>0</v>
      </c>
      <c r="J67" s="41" t="s">
        <v>10797</v>
      </c>
      <c r="K67" s="2043">
        <v>0</v>
      </c>
      <c r="L67" s="2043">
        <v>0</v>
      </c>
    </row>
    <row r="68" spans="1:12" ht="14.5">
      <c r="A68" t="s">
        <v>4987</v>
      </c>
      <c r="B68" s="380" t="str">
        <f t="shared" si="1"/>
        <v>057-904</v>
      </c>
      <c r="C68" t="s">
        <v>117</v>
      </c>
      <c r="D68" s="2043">
        <v>7866</v>
      </c>
      <c r="E68" s="2043">
        <v>7120</v>
      </c>
      <c r="F68" s="2043">
        <v>-746</v>
      </c>
      <c r="G68" s="2043">
        <v>0</v>
      </c>
      <c r="H68" s="2043">
        <v>0</v>
      </c>
      <c r="I68" s="106">
        <v>0</v>
      </c>
      <c r="J68" s="41" t="s">
        <v>10797</v>
      </c>
      <c r="K68" s="2043">
        <v>0</v>
      </c>
      <c r="L68" s="2043">
        <v>0</v>
      </c>
    </row>
    <row r="69" spans="1:12" ht="14.5">
      <c r="A69" t="s">
        <v>3047</v>
      </c>
      <c r="B69" s="380" t="str">
        <f t="shared" si="1"/>
        <v>108-916</v>
      </c>
      <c r="C69" t="s">
        <v>2231</v>
      </c>
      <c r="D69" s="2043">
        <v>4534</v>
      </c>
      <c r="E69" s="2043">
        <v>3790</v>
      </c>
      <c r="F69" s="2043">
        <v>-744</v>
      </c>
      <c r="G69" s="2043">
        <v>0</v>
      </c>
      <c r="H69" s="2043">
        <v>0</v>
      </c>
      <c r="I69" s="106">
        <v>0</v>
      </c>
      <c r="J69" s="41" t="s">
        <v>10797</v>
      </c>
      <c r="K69" s="2043">
        <v>0</v>
      </c>
      <c r="L69" s="2043">
        <v>0</v>
      </c>
    </row>
    <row r="70" spans="1:12" ht="14.5">
      <c r="A70" t="s">
        <v>3252</v>
      </c>
      <c r="B70" s="380" t="str">
        <f t="shared" si="1"/>
        <v>243-905</v>
      </c>
      <c r="C70" t="s">
        <v>1517</v>
      </c>
      <c r="D70" s="2043">
        <v>14120</v>
      </c>
      <c r="E70" s="2043">
        <v>13380</v>
      </c>
      <c r="F70" s="2043">
        <v>-740</v>
      </c>
      <c r="G70" s="2043">
        <v>0</v>
      </c>
      <c r="H70" s="2043">
        <v>0</v>
      </c>
      <c r="I70" s="106">
        <v>0</v>
      </c>
      <c r="J70" s="41" t="s">
        <v>10797</v>
      </c>
      <c r="K70" s="2043">
        <v>0</v>
      </c>
      <c r="L70" s="2043">
        <v>0</v>
      </c>
    </row>
    <row r="71" spans="1:12" ht="14.5">
      <c r="A71" t="s">
        <v>5267</v>
      </c>
      <c r="B71" s="380" t="str">
        <f t="shared" si="1"/>
        <v>220-906</v>
      </c>
      <c r="C71" t="s">
        <v>1204</v>
      </c>
      <c r="D71" s="2043">
        <v>13373</v>
      </c>
      <c r="E71" s="2043">
        <v>12673</v>
      </c>
      <c r="F71" s="2043">
        <v>-700</v>
      </c>
      <c r="G71" s="2043">
        <v>0</v>
      </c>
      <c r="H71" s="2043">
        <v>0</v>
      </c>
      <c r="I71" s="106">
        <v>0</v>
      </c>
      <c r="J71" s="41" t="s">
        <v>10797</v>
      </c>
      <c r="K71" s="2043">
        <v>0</v>
      </c>
      <c r="L71" s="2043">
        <v>0</v>
      </c>
    </row>
    <row r="72" spans="1:12" ht="14.5">
      <c r="A72" t="s">
        <v>3862</v>
      </c>
      <c r="B72" s="380" t="str">
        <f t="shared" si="1"/>
        <v>071-904</v>
      </c>
      <c r="C72" t="s">
        <v>1918</v>
      </c>
      <c r="D72" s="2043">
        <v>3881</v>
      </c>
      <c r="E72" s="2043">
        <v>3193</v>
      </c>
      <c r="F72" s="2043">
        <v>-688</v>
      </c>
      <c r="G72" s="2043">
        <v>0</v>
      </c>
      <c r="H72" s="2043">
        <v>0</v>
      </c>
      <c r="I72" s="106">
        <v>0</v>
      </c>
      <c r="J72" s="41" t="s">
        <v>10797</v>
      </c>
      <c r="K72" s="2043">
        <v>0</v>
      </c>
      <c r="L72" s="2043">
        <v>0</v>
      </c>
    </row>
    <row r="73" spans="1:12" ht="14.5">
      <c r="A73" t="s">
        <v>3236</v>
      </c>
      <c r="B73" s="380" t="str">
        <f t="shared" si="1"/>
        <v>233-901</v>
      </c>
      <c r="C73" t="s">
        <v>2027</v>
      </c>
      <c r="D73" s="2043">
        <v>10536</v>
      </c>
      <c r="E73" s="2043">
        <v>9870</v>
      </c>
      <c r="F73" s="2043">
        <v>-666</v>
      </c>
      <c r="G73" s="2043">
        <v>0</v>
      </c>
      <c r="H73" s="2043">
        <v>0</v>
      </c>
      <c r="I73" s="106">
        <v>0</v>
      </c>
      <c r="J73" s="41" t="s">
        <v>10797</v>
      </c>
      <c r="K73" s="2043">
        <v>0</v>
      </c>
      <c r="L73" s="2043">
        <v>0</v>
      </c>
    </row>
    <row r="74" spans="1:12" ht="14.5">
      <c r="A74" t="s">
        <v>2916</v>
      </c>
      <c r="B74" s="380" t="str">
        <f t="shared" si="1"/>
        <v>031-905</v>
      </c>
      <c r="C74" t="s">
        <v>1775</v>
      </c>
      <c r="D74" s="2043">
        <v>3565</v>
      </c>
      <c r="E74" s="2043">
        <v>2911</v>
      </c>
      <c r="F74" s="2043">
        <v>-654</v>
      </c>
      <c r="G74" s="2043">
        <v>0</v>
      </c>
      <c r="H74" s="2043">
        <v>0</v>
      </c>
      <c r="I74" s="106">
        <v>0</v>
      </c>
      <c r="J74" s="41" t="s">
        <v>10797</v>
      </c>
      <c r="K74" s="2043">
        <v>0</v>
      </c>
      <c r="L74" s="2043">
        <v>0</v>
      </c>
    </row>
    <row r="75" spans="1:12" ht="14.5">
      <c r="A75" t="s">
        <v>3235</v>
      </c>
      <c r="B75" s="380" t="str">
        <f t="shared" si="1"/>
        <v>232-903</v>
      </c>
      <c r="C75" t="s">
        <v>279</v>
      </c>
      <c r="D75" s="2043">
        <v>4750</v>
      </c>
      <c r="E75" s="2043">
        <v>4116</v>
      </c>
      <c r="F75" s="2043">
        <v>-634</v>
      </c>
      <c r="G75" s="2043">
        <v>0</v>
      </c>
      <c r="H75" s="2043">
        <v>0</v>
      </c>
      <c r="I75" s="106">
        <v>0</v>
      </c>
      <c r="J75" s="41" t="s">
        <v>10797</v>
      </c>
      <c r="K75" s="2043">
        <v>0</v>
      </c>
      <c r="L75" s="2043">
        <v>0</v>
      </c>
    </row>
    <row r="76" spans="1:12" ht="14.5">
      <c r="A76" t="s">
        <v>3099</v>
      </c>
      <c r="B76" s="380" t="str">
        <f t="shared" si="1"/>
        <v>137-901</v>
      </c>
      <c r="C76" t="s">
        <v>1903</v>
      </c>
      <c r="D76" s="2043">
        <v>3422</v>
      </c>
      <c r="E76" s="2043">
        <v>2805</v>
      </c>
      <c r="F76" s="2043">
        <v>-617</v>
      </c>
      <c r="G76" s="2043">
        <v>0</v>
      </c>
      <c r="H76" s="2043">
        <v>0</v>
      </c>
      <c r="I76" s="106">
        <v>0</v>
      </c>
      <c r="J76" s="41" t="s">
        <v>10797</v>
      </c>
      <c r="K76" s="2043">
        <v>0</v>
      </c>
      <c r="L76" s="2043">
        <v>0</v>
      </c>
    </row>
    <row r="77" spans="1:12" ht="14.5">
      <c r="A77" t="s">
        <v>2883</v>
      </c>
      <c r="B77" s="380" t="str">
        <f t="shared" si="1"/>
        <v>015-912</v>
      </c>
      <c r="C77" t="s">
        <v>1827</v>
      </c>
      <c r="D77" s="2043">
        <v>13891</v>
      </c>
      <c r="E77" s="2043">
        <v>13277</v>
      </c>
      <c r="F77" s="2043">
        <v>-614</v>
      </c>
      <c r="G77" s="2043">
        <v>0</v>
      </c>
      <c r="H77" s="2043">
        <v>0</v>
      </c>
      <c r="I77" s="106">
        <v>0</v>
      </c>
      <c r="J77" s="41" t="s">
        <v>10797</v>
      </c>
      <c r="K77" s="2043">
        <v>0</v>
      </c>
      <c r="L77" s="2043">
        <v>0</v>
      </c>
    </row>
    <row r="78" spans="1:12" ht="14.5">
      <c r="A78" t="s">
        <v>2899</v>
      </c>
      <c r="B78" s="380" t="str">
        <f t="shared" si="1"/>
        <v>020-908</v>
      </c>
      <c r="C78" t="s">
        <v>259</v>
      </c>
      <c r="D78" s="2043">
        <v>21585</v>
      </c>
      <c r="E78" s="2043">
        <v>21007</v>
      </c>
      <c r="F78" s="2043">
        <v>-578</v>
      </c>
      <c r="G78" s="2043">
        <v>0</v>
      </c>
      <c r="H78" s="2043">
        <v>0</v>
      </c>
      <c r="I78" s="106">
        <v>0</v>
      </c>
      <c r="J78" s="41" t="s">
        <v>10797</v>
      </c>
      <c r="K78" s="2043">
        <v>0</v>
      </c>
      <c r="L78" s="2043">
        <v>0</v>
      </c>
    </row>
    <row r="79" spans="1:12" ht="14.5">
      <c r="A79" t="s">
        <v>3167</v>
      </c>
      <c r="B79" s="380" t="str">
        <f t="shared" si="1"/>
        <v>181-907</v>
      </c>
      <c r="C79" t="s">
        <v>126</v>
      </c>
      <c r="D79" s="2043">
        <v>4818</v>
      </c>
      <c r="E79" s="2043">
        <v>4265</v>
      </c>
      <c r="F79" s="2043">
        <v>-553</v>
      </c>
      <c r="G79" s="2043">
        <v>0</v>
      </c>
      <c r="H79" s="2043">
        <v>0</v>
      </c>
      <c r="I79" s="106">
        <v>0</v>
      </c>
      <c r="J79" s="41" t="s">
        <v>10797</v>
      </c>
      <c r="K79" s="2043">
        <v>0</v>
      </c>
      <c r="L79" s="2043">
        <v>0</v>
      </c>
    </row>
    <row r="80" spans="1:12" ht="14.5">
      <c r="A80" t="s">
        <v>3042</v>
      </c>
      <c r="B80" s="380" t="str">
        <f t="shared" si="1"/>
        <v>108-911</v>
      </c>
      <c r="C80" t="s">
        <v>2458</v>
      </c>
      <c r="D80" s="2043">
        <v>10054</v>
      </c>
      <c r="E80" s="2043">
        <v>9503</v>
      </c>
      <c r="F80" s="2043">
        <v>-551</v>
      </c>
      <c r="G80" s="2043">
        <v>0</v>
      </c>
      <c r="H80" s="2043">
        <v>0</v>
      </c>
      <c r="I80" s="106">
        <v>0</v>
      </c>
      <c r="J80" s="41" t="s">
        <v>10797</v>
      </c>
      <c r="K80" s="2043">
        <v>0</v>
      </c>
      <c r="L80" s="2043">
        <v>0</v>
      </c>
    </row>
    <row r="81" spans="1:12" ht="14.5">
      <c r="A81" t="s">
        <v>4991</v>
      </c>
      <c r="B81" s="380" t="str">
        <f t="shared" si="1"/>
        <v>057-913</v>
      </c>
      <c r="C81" t="s">
        <v>122</v>
      </c>
      <c r="D81" s="2043">
        <v>7640</v>
      </c>
      <c r="E81" s="2043">
        <v>7096</v>
      </c>
      <c r="F81" s="2043">
        <v>-544</v>
      </c>
      <c r="G81" s="2043">
        <v>0</v>
      </c>
      <c r="H81" s="2043">
        <v>0</v>
      </c>
      <c r="I81" s="106">
        <v>0</v>
      </c>
      <c r="J81" s="41" t="s">
        <v>10797</v>
      </c>
      <c r="K81" s="2043">
        <v>0</v>
      </c>
      <c r="L81" s="2043">
        <v>0</v>
      </c>
    </row>
    <row r="82" spans="1:12" ht="14.5">
      <c r="A82" t="s">
        <v>4955</v>
      </c>
      <c r="B82" s="380" t="str">
        <f t="shared" si="1"/>
        <v>031-909</v>
      </c>
      <c r="C82" t="s">
        <v>1512</v>
      </c>
      <c r="D82" s="2043">
        <v>2483</v>
      </c>
      <c r="E82" s="2043">
        <v>1976</v>
      </c>
      <c r="F82" s="2043">
        <v>-507</v>
      </c>
      <c r="G82" s="2043">
        <v>0</v>
      </c>
      <c r="H82" s="2043">
        <v>0</v>
      </c>
      <c r="I82" s="106">
        <v>0</v>
      </c>
      <c r="J82" s="41" t="s">
        <v>10797</v>
      </c>
      <c r="K82" s="2043">
        <v>0</v>
      </c>
      <c r="L82" s="2043">
        <v>0</v>
      </c>
    </row>
    <row r="83" spans="1:12" ht="14.5">
      <c r="A83" t="s">
        <v>2917</v>
      </c>
      <c r="B83" s="380" t="str">
        <f t="shared" si="1"/>
        <v>031-906</v>
      </c>
      <c r="C83" t="s">
        <v>34</v>
      </c>
      <c r="D83" s="2043">
        <v>10840</v>
      </c>
      <c r="E83" s="2043">
        <v>10355</v>
      </c>
      <c r="F83" s="2043">
        <v>-485</v>
      </c>
      <c r="G83" s="2043">
        <v>0</v>
      </c>
      <c r="H83" s="2043">
        <v>0</v>
      </c>
      <c r="I83" s="106">
        <v>0</v>
      </c>
      <c r="J83" s="41" t="s">
        <v>10797</v>
      </c>
      <c r="K83" s="2043">
        <v>0</v>
      </c>
      <c r="L83" s="2043">
        <v>0</v>
      </c>
    </row>
    <row r="84" spans="1:12" ht="14.5">
      <c r="A84" t="s">
        <v>5190</v>
      </c>
      <c r="B84" s="380" t="str">
        <f t="shared" si="1"/>
        <v>174-904</v>
      </c>
      <c r="C84" t="s">
        <v>2133</v>
      </c>
      <c r="D84" s="2043">
        <v>6382</v>
      </c>
      <c r="E84" s="2043">
        <v>5903</v>
      </c>
      <c r="F84" s="2043">
        <v>-479</v>
      </c>
      <c r="G84" s="2043">
        <v>0</v>
      </c>
      <c r="H84" s="2043">
        <v>0</v>
      </c>
      <c r="I84" s="106">
        <v>0</v>
      </c>
      <c r="J84" s="41" t="s">
        <v>10797</v>
      </c>
      <c r="K84" s="2043">
        <v>0</v>
      </c>
      <c r="L84" s="2043">
        <v>0</v>
      </c>
    </row>
    <row r="85" spans="1:12" ht="14.5">
      <c r="A85" t="s">
        <v>3969</v>
      </c>
      <c r="B85" s="380" t="str">
        <f t="shared" si="1"/>
        <v>092-903</v>
      </c>
      <c r="C85" t="s">
        <v>2007</v>
      </c>
      <c r="D85" s="2043">
        <v>8705</v>
      </c>
      <c r="E85" s="2043">
        <v>8236</v>
      </c>
      <c r="F85" s="2043">
        <v>-469</v>
      </c>
      <c r="G85" s="2043">
        <v>0</v>
      </c>
      <c r="H85" s="2043">
        <v>0</v>
      </c>
      <c r="I85" s="106">
        <v>0</v>
      </c>
      <c r="J85" s="41" t="s">
        <v>10797</v>
      </c>
      <c r="K85" s="2043">
        <v>0</v>
      </c>
      <c r="L85" s="2043">
        <v>0</v>
      </c>
    </row>
    <row r="86" spans="1:12" ht="14.5">
      <c r="A86" t="s">
        <v>3041</v>
      </c>
      <c r="B86" s="380" t="str">
        <f t="shared" si="1"/>
        <v>108-910</v>
      </c>
      <c r="C86" t="s">
        <v>73</v>
      </c>
      <c r="D86" s="2043">
        <v>1859</v>
      </c>
      <c r="E86" s="2043">
        <v>1393</v>
      </c>
      <c r="F86" s="2043">
        <v>-466</v>
      </c>
      <c r="G86" s="2043">
        <v>0</v>
      </c>
      <c r="H86" s="2043">
        <v>0</v>
      </c>
      <c r="I86" s="106">
        <v>0</v>
      </c>
      <c r="J86" s="41" t="s">
        <v>10797</v>
      </c>
      <c r="K86" s="2043">
        <v>0</v>
      </c>
      <c r="L86" s="2043">
        <v>0</v>
      </c>
    </row>
    <row r="87" spans="1:12" ht="14.5">
      <c r="A87" t="s">
        <v>4953</v>
      </c>
      <c r="B87" s="380" t="str">
        <f t="shared" si="1"/>
        <v>029-901</v>
      </c>
      <c r="C87" t="s">
        <v>971</v>
      </c>
      <c r="D87" s="2043">
        <v>4013</v>
      </c>
      <c r="E87" s="2043">
        <v>3576</v>
      </c>
      <c r="F87" s="2043">
        <v>-437</v>
      </c>
      <c r="G87" s="2043">
        <v>0</v>
      </c>
      <c r="H87" s="2043">
        <v>0</v>
      </c>
      <c r="I87" s="106">
        <v>0</v>
      </c>
      <c r="J87" s="41" t="s">
        <v>10797</v>
      </c>
      <c r="K87" s="2043">
        <v>0</v>
      </c>
      <c r="L87" s="2043">
        <v>0</v>
      </c>
    </row>
    <row r="88" spans="1:12" ht="14.5">
      <c r="A88" t="s">
        <v>3245</v>
      </c>
      <c r="B88" s="380" t="str">
        <f t="shared" si="1"/>
        <v>236-902</v>
      </c>
      <c r="C88" t="s">
        <v>90</v>
      </c>
      <c r="D88" s="2043">
        <v>6324</v>
      </c>
      <c r="E88" s="2043">
        <v>5897</v>
      </c>
      <c r="F88" s="2043">
        <v>-427</v>
      </c>
      <c r="G88" s="2043">
        <v>0</v>
      </c>
      <c r="H88" s="2043">
        <v>0</v>
      </c>
      <c r="I88" s="106">
        <v>0</v>
      </c>
      <c r="J88" s="41" t="s">
        <v>10797</v>
      </c>
      <c r="K88" s="2043">
        <v>0</v>
      </c>
      <c r="L88" s="2043">
        <v>0</v>
      </c>
    </row>
    <row r="89" spans="1:12" ht="14.5">
      <c r="A89" t="s">
        <v>3208</v>
      </c>
      <c r="B89" s="380" t="str">
        <f t="shared" si="1"/>
        <v>220-904</v>
      </c>
      <c r="C89" t="s">
        <v>2427</v>
      </c>
      <c r="D89" s="2043">
        <v>5889</v>
      </c>
      <c r="E89" s="2043">
        <v>5463</v>
      </c>
      <c r="F89" s="2043">
        <v>-426</v>
      </c>
      <c r="G89" s="2043">
        <v>0</v>
      </c>
      <c r="H89" s="2043">
        <v>0</v>
      </c>
      <c r="I89" s="106">
        <v>0</v>
      </c>
      <c r="J89" s="41" t="s">
        <v>10797</v>
      </c>
      <c r="K89" s="2043">
        <v>0</v>
      </c>
      <c r="L89" s="2043">
        <v>0</v>
      </c>
    </row>
    <row r="90" spans="1:12" ht="14.5">
      <c r="A90" t="s">
        <v>5075</v>
      </c>
      <c r="B90" s="380" t="str">
        <f t="shared" si="1"/>
        <v>102-902</v>
      </c>
      <c r="C90" t="s">
        <v>2071</v>
      </c>
      <c r="D90" s="2043">
        <v>5492</v>
      </c>
      <c r="E90" s="2043">
        <v>5070</v>
      </c>
      <c r="F90" s="2043">
        <v>-422</v>
      </c>
      <c r="G90" s="2043">
        <v>0</v>
      </c>
      <c r="H90" s="2043">
        <v>0</v>
      </c>
      <c r="I90" s="106">
        <v>0</v>
      </c>
      <c r="J90" s="41" t="s">
        <v>10797</v>
      </c>
      <c r="K90" s="2043">
        <v>0</v>
      </c>
      <c r="L90" s="2043">
        <v>0</v>
      </c>
    </row>
    <row r="91" spans="1:12" ht="14.5">
      <c r="A91" t="s">
        <v>3036</v>
      </c>
      <c r="B91" s="380" t="str">
        <f t="shared" si="1"/>
        <v>108-905</v>
      </c>
      <c r="C91" t="s">
        <v>2241</v>
      </c>
      <c r="D91" s="2043">
        <v>3252</v>
      </c>
      <c r="E91" s="2043">
        <v>2839</v>
      </c>
      <c r="F91" s="2043">
        <v>-413</v>
      </c>
      <c r="G91" s="2043">
        <v>0</v>
      </c>
      <c r="H91" s="2043">
        <v>0</v>
      </c>
      <c r="I91" s="106">
        <v>0</v>
      </c>
      <c r="J91" s="41" t="s">
        <v>10797</v>
      </c>
      <c r="K91" s="2043">
        <v>0</v>
      </c>
      <c r="L91" s="2043">
        <v>0</v>
      </c>
    </row>
    <row r="92" spans="1:12" ht="14.5">
      <c r="A92" t="s">
        <v>4941</v>
      </c>
      <c r="B92" s="380" t="str">
        <f t="shared" si="1"/>
        <v>019-908</v>
      </c>
      <c r="C92" t="s">
        <v>2346</v>
      </c>
      <c r="D92" s="2043">
        <v>2543</v>
      </c>
      <c r="E92" s="2043">
        <v>2131</v>
      </c>
      <c r="F92" s="2043">
        <v>-412</v>
      </c>
      <c r="G92" s="2043">
        <v>0</v>
      </c>
      <c r="H92" s="2043">
        <v>0</v>
      </c>
      <c r="I92" s="106">
        <v>0</v>
      </c>
      <c r="J92" s="41" t="s">
        <v>10797</v>
      </c>
      <c r="K92" s="2043">
        <v>0</v>
      </c>
      <c r="L92" s="2043">
        <v>0</v>
      </c>
    </row>
    <row r="93" spans="1:12" ht="14.5">
      <c r="A93" t="s">
        <v>2999</v>
      </c>
      <c r="B93" s="380" t="str">
        <f t="shared" si="1"/>
        <v>084-909</v>
      </c>
      <c r="C93" t="s">
        <v>83</v>
      </c>
      <c r="D93" s="2043">
        <v>4774</v>
      </c>
      <c r="E93" s="2043">
        <v>4365</v>
      </c>
      <c r="F93" s="2043">
        <v>-409</v>
      </c>
      <c r="G93" s="2043">
        <v>0</v>
      </c>
      <c r="H93" s="2043">
        <v>0</v>
      </c>
      <c r="I93" s="106">
        <v>0</v>
      </c>
      <c r="J93" s="41" t="s">
        <v>10797</v>
      </c>
      <c r="K93" s="2043">
        <v>0</v>
      </c>
      <c r="L93" s="2043">
        <v>0</v>
      </c>
    </row>
    <row r="94" spans="1:12" ht="14.5">
      <c r="A94" t="s">
        <v>5782</v>
      </c>
      <c r="B94" s="380" t="str">
        <f t="shared" si="1"/>
        <v>058-906</v>
      </c>
      <c r="C94" t="s">
        <v>2470</v>
      </c>
      <c r="D94" s="2043">
        <v>2014</v>
      </c>
      <c r="E94" s="2043">
        <v>1610</v>
      </c>
      <c r="F94" s="2043">
        <v>-404</v>
      </c>
      <c r="G94" s="2043">
        <v>0</v>
      </c>
      <c r="H94" s="2043">
        <v>0</v>
      </c>
      <c r="I94" s="106">
        <v>0</v>
      </c>
      <c r="J94" s="41" t="s">
        <v>10797</v>
      </c>
      <c r="K94" s="2043">
        <v>0</v>
      </c>
      <c r="L94" s="2043">
        <v>0</v>
      </c>
    </row>
    <row r="95" spans="1:12" ht="14.5">
      <c r="A95" t="s">
        <v>4924</v>
      </c>
      <c r="B95" s="380" t="str">
        <f t="shared" si="1"/>
        <v>004-901</v>
      </c>
      <c r="C95" t="s">
        <v>1124</v>
      </c>
      <c r="D95" s="2043">
        <v>3394</v>
      </c>
      <c r="E95" s="2043">
        <v>3005</v>
      </c>
      <c r="F95" s="2043">
        <v>-389</v>
      </c>
      <c r="G95" s="2043">
        <v>0</v>
      </c>
      <c r="H95" s="2043">
        <v>0</v>
      </c>
      <c r="I95" s="106">
        <v>0</v>
      </c>
      <c r="J95" s="41" t="s">
        <v>10797</v>
      </c>
      <c r="K95" s="2043">
        <v>0</v>
      </c>
      <c r="L95" s="2043">
        <v>0</v>
      </c>
    </row>
    <row r="96" spans="1:12" ht="14.5">
      <c r="A96" t="s">
        <v>2918</v>
      </c>
      <c r="B96" s="380" t="str">
        <f t="shared" si="1"/>
        <v>031-911</v>
      </c>
      <c r="C96" t="s">
        <v>2547</v>
      </c>
      <c r="D96" s="2043">
        <v>1969</v>
      </c>
      <c r="E96" s="2043">
        <v>1603</v>
      </c>
      <c r="F96" s="2043">
        <v>-366</v>
      </c>
      <c r="G96" s="2043">
        <v>0</v>
      </c>
      <c r="H96" s="2043">
        <v>0</v>
      </c>
      <c r="I96" s="106">
        <v>0</v>
      </c>
      <c r="J96" s="41" t="s">
        <v>10797</v>
      </c>
      <c r="K96" s="2043">
        <v>0</v>
      </c>
      <c r="L96" s="2043">
        <v>0</v>
      </c>
    </row>
    <row r="97" spans="1:12" ht="14.5">
      <c r="A97" t="s">
        <v>3216</v>
      </c>
      <c r="B97" s="380" t="str">
        <f t="shared" si="1"/>
        <v>220-917</v>
      </c>
      <c r="C97" t="s">
        <v>616</v>
      </c>
      <c r="D97" s="2043">
        <v>4003</v>
      </c>
      <c r="E97" s="2043">
        <v>3639</v>
      </c>
      <c r="F97" s="2043">
        <v>-364</v>
      </c>
      <c r="G97" s="2043">
        <v>0</v>
      </c>
      <c r="H97" s="2043">
        <v>0</v>
      </c>
      <c r="I97" s="106">
        <v>0</v>
      </c>
      <c r="J97" s="41" t="s">
        <v>10797</v>
      </c>
      <c r="K97" s="2043">
        <v>0</v>
      </c>
      <c r="L97" s="2043">
        <v>0</v>
      </c>
    </row>
    <row r="98" spans="1:12" ht="14.5">
      <c r="A98" t="s">
        <v>3012</v>
      </c>
      <c r="B98" s="380" t="str">
        <f t="shared" si="1"/>
        <v>094-901</v>
      </c>
      <c r="C98" t="s">
        <v>1175</v>
      </c>
      <c r="D98" s="2043">
        <v>7425</v>
      </c>
      <c r="E98" s="2043">
        <v>7064</v>
      </c>
      <c r="F98" s="2043">
        <v>-361</v>
      </c>
      <c r="G98" s="2043">
        <v>0</v>
      </c>
      <c r="H98" s="2043">
        <v>0</v>
      </c>
      <c r="I98" s="106">
        <v>0</v>
      </c>
      <c r="J98" s="41" t="s">
        <v>10797</v>
      </c>
      <c r="K98" s="2043">
        <v>0</v>
      </c>
      <c r="L98" s="2043">
        <v>0</v>
      </c>
    </row>
    <row r="99" spans="1:12" ht="14.5">
      <c r="A99" t="s">
        <v>2866</v>
      </c>
      <c r="B99" s="380" t="str">
        <f t="shared" si="1"/>
        <v>013-901</v>
      </c>
      <c r="C99" t="s">
        <v>2005</v>
      </c>
      <c r="D99" s="2043">
        <v>3364</v>
      </c>
      <c r="E99" s="2043">
        <v>3010</v>
      </c>
      <c r="F99" s="2043">
        <v>-354</v>
      </c>
      <c r="G99" s="2043">
        <v>0</v>
      </c>
      <c r="H99" s="2043">
        <v>0</v>
      </c>
      <c r="I99" s="106">
        <v>0</v>
      </c>
      <c r="J99" s="41" t="s">
        <v>10797</v>
      </c>
      <c r="K99" s="2043">
        <v>0</v>
      </c>
      <c r="L99" s="2043">
        <v>0</v>
      </c>
    </row>
    <row r="100" spans="1:12" ht="14.5">
      <c r="A100" t="s">
        <v>5151</v>
      </c>
      <c r="B100" s="380" t="str">
        <f t="shared" si="1"/>
        <v>147-902</v>
      </c>
      <c r="C100" t="s">
        <v>510</v>
      </c>
      <c r="D100" s="2043">
        <v>1889</v>
      </c>
      <c r="E100" s="2043">
        <v>1546</v>
      </c>
      <c r="F100" s="2043">
        <v>-343</v>
      </c>
      <c r="G100" s="2043">
        <v>0</v>
      </c>
      <c r="H100" s="2043">
        <v>0</v>
      </c>
      <c r="I100" s="106">
        <v>0</v>
      </c>
      <c r="J100" s="41" t="s">
        <v>10797</v>
      </c>
      <c r="K100" s="2043">
        <v>0</v>
      </c>
      <c r="L100" s="2043">
        <v>0</v>
      </c>
    </row>
    <row r="101" spans="1:12" ht="14.5">
      <c r="A101" t="s">
        <v>4986</v>
      </c>
      <c r="B101" s="380" t="str">
        <f t="shared" si="1"/>
        <v>057-903</v>
      </c>
      <c r="C101" t="s">
        <v>116</v>
      </c>
      <c r="D101" s="2043">
        <v>25276</v>
      </c>
      <c r="E101" s="2043">
        <v>24939</v>
      </c>
      <c r="F101" s="2043">
        <v>-337</v>
      </c>
      <c r="G101" s="2043">
        <v>0</v>
      </c>
      <c r="H101" s="2043">
        <v>0</v>
      </c>
      <c r="I101" s="106">
        <v>0</v>
      </c>
      <c r="J101" s="41" t="s">
        <v>10797</v>
      </c>
      <c r="K101" s="2043">
        <v>0</v>
      </c>
      <c r="L101" s="2043">
        <v>0</v>
      </c>
    </row>
    <row r="102" spans="1:12" ht="14.5">
      <c r="A102" t="s">
        <v>4940</v>
      </c>
      <c r="B102" s="380" t="str">
        <f t="shared" si="1"/>
        <v>019-907</v>
      </c>
      <c r="C102" t="s">
        <v>1315</v>
      </c>
      <c r="D102" s="2043">
        <v>7169</v>
      </c>
      <c r="E102" s="2043">
        <v>6843</v>
      </c>
      <c r="F102" s="2043">
        <v>-326</v>
      </c>
      <c r="G102" s="2043">
        <v>0</v>
      </c>
      <c r="H102" s="2043">
        <v>0</v>
      </c>
      <c r="I102" s="106">
        <v>0</v>
      </c>
      <c r="J102" s="41" t="s">
        <v>10797</v>
      </c>
      <c r="K102" s="2043">
        <v>0</v>
      </c>
      <c r="L102" s="2043">
        <v>0</v>
      </c>
    </row>
    <row r="103" spans="1:12" ht="14.5">
      <c r="A103" t="s">
        <v>2982</v>
      </c>
      <c r="B103" s="380" t="str">
        <f t="shared" si="1"/>
        <v>071-903</v>
      </c>
      <c r="C103" t="s">
        <v>845</v>
      </c>
      <c r="D103" s="2043">
        <v>2314</v>
      </c>
      <c r="E103" s="2043">
        <v>1991</v>
      </c>
      <c r="F103" s="2043">
        <v>-323</v>
      </c>
      <c r="G103" s="2043">
        <v>0</v>
      </c>
      <c r="H103" s="2043">
        <v>0</v>
      </c>
      <c r="I103" s="106">
        <v>0</v>
      </c>
      <c r="J103" s="41" t="s">
        <v>10797</v>
      </c>
      <c r="K103" s="2043">
        <v>0</v>
      </c>
      <c r="L103" s="2043">
        <v>0</v>
      </c>
    </row>
    <row r="104" spans="1:12" ht="14.5">
      <c r="A104" t="s">
        <v>4990</v>
      </c>
      <c r="B104" s="380" t="str">
        <f t="shared" si="1"/>
        <v>057-911</v>
      </c>
      <c r="C104" t="s">
        <v>121</v>
      </c>
      <c r="D104" s="2043">
        <v>7044</v>
      </c>
      <c r="E104" s="2043">
        <v>6724</v>
      </c>
      <c r="F104" s="2043">
        <v>-320</v>
      </c>
      <c r="G104" s="2043">
        <v>0</v>
      </c>
      <c r="H104" s="2043">
        <v>0</v>
      </c>
      <c r="I104" s="106">
        <v>0</v>
      </c>
      <c r="J104" s="41" t="s">
        <v>10797</v>
      </c>
      <c r="K104" s="2043">
        <v>0</v>
      </c>
      <c r="L104" s="2043">
        <v>0</v>
      </c>
    </row>
    <row r="105" spans="1:12" ht="14.5">
      <c r="A105" t="s">
        <v>3162</v>
      </c>
      <c r="B105" s="380" t="str">
        <f t="shared" si="1"/>
        <v>178-909</v>
      </c>
      <c r="C105" t="s">
        <v>2552</v>
      </c>
      <c r="D105" s="2043">
        <v>2797</v>
      </c>
      <c r="E105" s="2043">
        <v>2480</v>
      </c>
      <c r="F105" s="2043">
        <v>-317</v>
      </c>
      <c r="G105" s="2043">
        <v>0</v>
      </c>
      <c r="H105" s="2043">
        <v>0</v>
      </c>
      <c r="I105" s="106">
        <v>0</v>
      </c>
      <c r="J105" s="41" t="s">
        <v>10797</v>
      </c>
      <c r="K105" s="2043">
        <v>0</v>
      </c>
      <c r="L105" s="2043">
        <v>0</v>
      </c>
    </row>
    <row r="106" spans="1:12" ht="14.5">
      <c r="A106" t="s">
        <v>3213</v>
      </c>
      <c r="B106" s="380" t="str">
        <f t="shared" si="1"/>
        <v>220-914</v>
      </c>
      <c r="C106" t="s">
        <v>2376</v>
      </c>
      <c r="D106" s="2043">
        <v>3140</v>
      </c>
      <c r="E106" s="2043">
        <v>2840</v>
      </c>
      <c r="F106" s="2043">
        <v>-300</v>
      </c>
      <c r="G106" s="2043">
        <v>0</v>
      </c>
      <c r="H106" s="2043">
        <v>0</v>
      </c>
      <c r="I106" s="106">
        <v>0</v>
      </c>
      <c r="J106" s="41" t="s">
        <v>10797</v>
      </c>
      <c r="K106" s="2043">
        <v>0</v>
      </c>
      <c r="L106" s="2043">
        <v>0</v>
      </c>
    </row>
    <row r="107" spans="1:12" ht="14.5">
      <c r="A107" t="s">
        <v>5281</v>
      </c>
      <c r="B107" s="380" t="str">
        <f t="shared" si="1"/>
        <v>227-909</v>
      </c>
      <c r="C107" t="s">
        <v>1803</v>
      </c>
      <c r="D107" s="2043">
        <v>8134</v>
      </c>
      <c r="E107" s="2043">
        <v>7834</v>
      </c>
      <c r="F107" s="2043">
        <v>-300</v>
      </c>
      <c r="G107" s="2043">
        <v>0</v>
      </c>
      <c r="H107" s="2043">
        <v>0</v>
      </c>
      <c r="I107" s="106">
        <v>0</v>
      </c>
      <c r="J107" s="41" t="s">
        <v>10797</v>
      </c>
      <c r="K107" s="2043">
        <v>0</v>
      </c>
      <c r="L107" s="2043">
        <v>0</v>
      </c>
    </row>
    <row r="108" spans="1:12" ht="14.5">
      <c r="A108" t="s">
        <v>3140</v>
      </c>
      <c r="B108" s="380" t="str">
        <f t="shared" si="1"/>
        <v>166-901</v>
      </c>
      <c r="C108" t="s">
        <v>611</v>
      </c>
      <c r="D108" s="2043">
        <v>1868</v>
      </c>
      <c r="E108" s="2043">
        <v>1569</v>
      </c>
      <c r="F108" s="2043">
        <v>-299</v>
      </c>
      <c r="G108" s="2043">
        <v>0</v>
      </c>
      <c r="H108" s="2043">
        <v>0</v>
      </c>
      <c r="I108" s="106">
        <v>0</v>
      </c>
      <c r="J108" s="41" t="s">
        <v>10797</v>
      </c>
      <c r="K108" s="2043">
        <v>0</v>
      </c>
      <c r="L108" s="2043">
        <v>0</v>
      </c>
    </row>
    <row r="109" spans="1:12" ht="14.5">
      <c r="A109" t="s">
        <v>3180</v>
      </c>
      <c r="B109" s="380" t="str">
        <f t="shared" si="1"/>
        <v>189-902</v>
      </c>
      <c r="C109" t="s">
        <v>1984</v>
      </c>
      <c r="D109" s="2043">
        <v>1344</v>
      </c>
      <c r="E109" s="2043">
        <v>1047</v>
      </c>
      <c r="F109" s="2043">
        <v>-297</v>
      </c>
      <c r="G109" s="2043">
        <v>0</v>
      </c>
      <c r="H109" s="2043">
        <v>0</v>
      </c>
      <c r="I109" s="106">
        <v>0</v>
      </c>
      <c r="J109" s="41" t="s">
        <v>10797</v>
      </c>
      <c r="K109" s="2043">
        <v>0</v>
      </c>
      <c r="L109" s="2043">
        <v>0</v>
      </c>
    </row>
    <row r="110" spans="1:12" ht="14.5">
      <c r="A110" t="s">
        <v>5105</v>
      </c>
      <c r="B110" s="380" t="str">
        <f t="shared" si="1"/>
        <v>117-901</v>
      </c>
      <c r="C110" t="s">
        <v>1490</v>
      </c>
      <c r="D110" s="2043">
        <v>2791</v>
      </c>
      <c r="E110" s="2043">
        <v>2500</v>
      </c>
      <c r="F110" s="2043">
        <v>-291</v>
      </c>
      <c r="G110" s="2043">
        <v>0</v>
      </c>
      <c r="H110" s="2043">
        <v>0</v>
      </c>
      <c r="I110" s="106">
        <v>0</v>
      </c>
      <c r="J110" s="41" t="s">
        <v>10797</v>
      </c>
      <c r="K110" s="2043">
        <v>0</v>
      </c>
      <c r="L110" s="2043">
        <v>0</v>
      </c>
    </row>
    <row r="111" spans="1:12" ht="14.5">
      <c r="A111" t="s">
        <v>2970</v>
      </c>
      <c r="B111" s="380" t="str">
        <f t="shared" si="1"/>
        <v>064-903</v>
      </c>
      <c r="C111" t="s">
        <v>28</v>
      </c>
      <c r="D111" s="2043">
        <v>2213</v>
      </c>
      <c r="E111" s="2043">
        <v>1923</v>
      </c>
      <c r="F111" s="2043">
        <v>-290</v>
      </c>
      <c r="G111" s="2043">
        <v>0</v>
      </c>
      <c r="H111" s="2043">
        <v>0</v>
      </c>
      <c r="I111" s="106">
        <v>0</v>
      </c>
      <c r="J111" s="41" t="s">
        <v>10797</v>
      </c>
      <c r="K111" s="2043">
        <v>0</v>
      </c>
      <c r="L111" s="2043">
        <v>0</v>
      </c>
    </row>
    <row r="112" spans="1:12" ht="14.5">
      <c r="A112" t="s">
        <v>3074</v>
      </c>
      <c r="B112" s="380" t="str">
        <f t="shared" si="1"/>
        <v>121-904</v>
      </c>
      <c r="C112" t="s">
        <v>384</v>
      </c>
      <c r="D112" s="2043">
        <v>2464</v>
      </c>
      <c r="E112" s="2043">
        <v>2174</v>
      </c>
      <c r="F112" s="2043">
        <v>-290</v>
      </c>
      <c r="G112" s="2043">
        <v>0</v>
      </c>
      <c r="H112" s="2043">
        <v>0</v>
      </c>
      <c r="I112" s="106">
        <v>0</v>
      </c>
      <c r="J112" s="41" t="s">
        <v>10797</v>
      </c>
      <c r="K112" s="2043">
        <v>0</v>
      </c>
      <c r="L112" s="2043">
        <v>0</v>
      </c>
    </row>
    <row r="113" spans="1:12" ht="14.5">
      <c r="A113" t="s">
        <v>5136</v>
      </c>
      <c r="B113" s="380" t="str">
        <f t="shared" si="1"/>
        <v>139-911</v>
      </c>
      <c r="C113" t="s">
        <v>2290</v>
      </c>
      <c r="D113" s="2043">
        <v>2701</v>
      </c>
      <c r="E113" s="2043">
        <v>2416</v>
      </c>
      <c r="F113" s="2043">
        <v>-285</v>
      </c>
      <c r="G113" s="2043">
        <v>0</v>
      </c>
      <c r="H113" s="2043">
        <v>0</v>
      </c>
      <c r="I113" s="106">
        <v>0</v>
      </c>
      <c r="J113" s="41" t="s">
        <v>10797</v>
      </c>
      <c r="K113" s="2043">
        <v>0</v>
      </c>
      <c r="L113" s="2043">
        <v>0</v>
      </c>
    </row>
    <row r="114" spans="1:12" ht="14.5">
      <c r="A114" t="s">
        <v>3063</v>
      </c>
      <c r="B114" s="380" t="str">
        <f t="shared" si="1"/>
        <v>114-901</v>
      </c>
      <c r="C114" t="s">
        <v>1481</v>
      </c>
      <c r="D114" s="2043">
        <v>3917</v>
      </c>
      <c r="E114" s="2043">
        <v>3634</v>
      </c>
      <c r="F114" s="2043">
        <v>-283</v>
      </c>
      <c r="G114" s="2043">
        <v>0</v>
      </c>
      <c r="H114" s="2043">
        <v>0</v>
      </c>
      <c r="I114" s="106">
        <v>0</v>
      </c>
      <c r="J114" s="41" t="s">
        <v>10797</v>
      </c>
      <c r="K114" s="2043">
        <v>0</v>
      </c>
      <c r="L114" s="2043">
        <v>0</v>
      </c>
    </row>
    <row r="115" spans="1:12" ht="14.5">
      <c r="A115" t="s">
        <v>3165</v>
      </c>
      <c r="B115" s="380" t="str">
        <f t="shared" si="1"/>
        <v>179-901</v>
      </c>
      <c r="C115" t="s">
        <v>942</v>
      </c>
      <c r="D115" s="2043">
        <v>2330</v>
      </c>
      <c r="E115" s="2043">
        <v>2052</v>
      </c>
      <c r="F115" s="2043">
        <v>-278</v>
      </c>
      <c r="G115" s="2043">
        <v>0</v>
      </c>
      <c r="H115" s="2043">
        <v>0</v>
      </c>
      <c r="I115" s="106">
        <v>0</v>
      </c>
      <c r="J115" s="41" t="s">
        <v>10797</v>
      </c>
      <c r="K115" s="2043">
        <v>0</v>
      </c>
      <c r="L115" s="2043">
        <v>0</v>
      </c>
    </row>
    <row r="116" spans="1:12" ht="14.5">
      <c r="A116" t="s">
        <v>3001</v>
      </c>
      <c r="B116" s="380" t="str">
        <f t="shared" si="1"/>
        <v>089-901</v>
      </c>
      <c r="C116" t="s">
        <v>814</v>
      </c>
      <c r="D116" s="2043">
        <v>2891</v>
      </c>
      <c r="E116" s="2043">
        <v>2614</v>
      </c>
      <c r="F116" s="2043">
        <v>-277</v>
      </c>
      <c r="G116" s="2043">
        <v>0</v>
      </c>
      <c r="H116" s="2043">
        <v>0</v>
      </c>
      <c r="I116" s="106">
        <v>0</v>
      </c>
      <c r="J116" s="41" t="s">
        <v>10797</v>
      </c>
      <c r="K116" s="2043">
        <v>0</v>
      </c>
      <c r="L116" s="2043">
        <v>0</v>
      </c>
    </row>
    <row r="117" spans="1:12" ht="14.5">
      <c r="A117" t="s">
        <v>3137</v>
      </c>
      <c r="B117" s="380" t="str">
        <f t="shared" si="1"/>
        <v>163-904</v>
      </c>
      <c r="C117" t="s">
        <v>2245</v>
      </c>
      <c r="D117" s="2043">
        <v>2046</v>
      </c>
      <c r="E117" s="2043">
        <v>1771</v>
      </c>
      <c r="F117" s="2043">
        <v>-275</v>
      </c>
      <c r="G117" s="2043">
        <v>0</v>
      </c>
      <c r="H117" s="2043">
        <v>0</v>
      </c>
      <c r="I117" s="106">
        <v>0</v>
      </c>
      <c r="J117" s="41" t="s">
        <v>10797</v>
      </c>
      <c r="K117" s="2043">
        <v>0</v>
      </c>
      <c r="L117" s="2043">
        <v>0</v>
      </c>
    </row>
    <row r="118" spans="1:12" ht="14.5">
      <c r="A118" t="s">
        <v>5250</v>
      </c>
      <c r="B118" s="380" t="str">
        <f t="shared" si="1"/>
        <v>208-902</v>
      </c>
      <c r="C118" t="s">
        <v>341</v>
      </c>
      <c r="D118" s="2043">
        <v>2833</v>
      </c>
      <c r="E118" s="2043">
        <v>2558</v>
      </c>
      <c r="F118" s="2043">
        <v>-275</v>
      </c>
      <c r="G118" s="2043">
        <v>0</v>
      </c>
      <c r="H118" s="2043">
        <v>0</v>
      </c>
      <c r="I118" s="106">
        <v>0</v>
      </c>
      <c r="J118" s="41" t="s">
        <v>10797</v>
      </c>
      <c r="K118" s="2043">
        <v>0</v>
      </c>
      <c r="L118" s="2043">
        <v>0</v>
      </c>
    </row>
    <row r="119" spans="1:12" ht="14.5">
      <c r="A119" t="s">
        <v>5902</v>
      </c>
      <c r="B119" s="380" t="str">
        <f t="shared" si="1"/>
        <v>253-901</v>
      </c>
      <c r="C119" t="s">
        <v>1300</v>
      </c>
      <c r="D119" s="2043">
        <v>3561</v>
      </c>
      <c r="E119" s="2043">
        <v>3287</v>
      </c>
      <c r="F119" s="2043">
        <v>-274</v>
      </c>
      <c r="G119" s="2043">
        <v>0</v>
      </c>
      <c r="H119" s="2043">
        <v>0</v>
      </c>
      <c r="I119" s="106">
        <v>0</v>
      </c>
      <c r="J119" s="41" t="s">
        <v>10797</v>
      </c>
      <c r="K119" s="2043">
        <v>0</v>
      </c>
      <c r="L119" s="2043">
        <v>0</v>
      </c>
    </row>
    <row r="120" spans="1:12" ht="14.5">
      <c r="A120" t="s">
        <v>3582</v>
      </c>
      <c r="B120" s="380" t="str">
        <f t="shared" si="1"/>
        <v>027-904</v>
      </c>
      <c r="C120" t="s">
        <v>276</v>
      </c>
      <c r="D120" s="2043">
        <v>4283</v>
      </c>
      <c r="E120" s="2043">
        <v>4014</v>
      </c>
      <c r="F120" s="2043">
        <v>-269</v>
      </c>
      <c r="G120" s="2043">
        <v>0</v>
      </c>
      <c r="H120" s="2043">
        <v>0</v>
      </c>
      <c r="I120" s="106">
        <v>0</v>
      </c>
      <c r="J120" s="41" t="s">
        <v>10797</v>
      </c>
      <c r="K120" s="2043">
        <v>0</v>
      </c>
      <c r="L120" s="2043">
        <v>0</v>
      </c>
    </row>
    <row r="121" spans="1:12" ht="14.5">
      <c r="A121" t="s">
        <v>5749</v>
      </c>
      <c r="B121" s="380" t="str">
        <f t="shared" si="1"/>
        <v>001-908</v>
      </c>
      <c r="C121" t="s">
        <v>1117</v>
      </c>
      <c r="D121" s="2043">
        <v>1600</v>
      </c>
      <c r="E121" s="2043">
        <v>1332</v>
      </c>
      <c r="F121" s="2043">
        <v>-268</v>
      </c>
      <c r="G121" s="2043">
        <v>0</v>
      </c>
      <c r="H121" s="2043">
        <v>0</v>
      </c>
      <c r="I121" s="106">
        <v>0</v>
      </c>
      <c r="J121" s="41" t="s">
        <v>10797</v>
      </c>
      <c r="K121" s="2043">
        <v>0</v>
      </c>
      <c r="L121" s="2043">
        <v>0</v>
      </c>
    </row>
    <row r="122" spans="1:12" ht="14.5">
      <c r="A122" t="s">
        <v>2921</v>
      </c>
      <c r="B122" s="380" t="str">
        <f t="shared" si="1"/>
        <v>031-914</v>
      </c>
      <c r="C122" t="s">
        <v>85</v>
      </c>
      <c r="D122" s="2043">
        <v>1112</v>
      </c>
      <c r="E122" s="2043">
        <v>849</v>
      </c>
      <c r="F122" s="2043">
        <v>-263</v>
      </c>
      <c r="G122" s="2043">
        <v>0</v>
      </c>
      <c r="H122" s="2043">
        <v>0</v>
      </c>
      <c r="I122" s="106">
        <v>0</v>
      </c>
      <c r="J122" s="41" t="s">
        <v>10797</v>
      </c>
      <c r="K122" s="2043">
        <v>0</v>
      </c>
      <c r="L122" s="2043">
        <v>0</v>
      </c>
    </row>
    <row r="123" spans="1:12" ht="14.5">
      <c r="A123" t="s">
        <v>4950</v>
      </c>
      <c r="B123" s="380" t="str">
        <f t="shared" si="1"/>
        <v>025-902</v>
      </c>
      <c r="C123" t="s">
        <v>1503</v>
      </c>
      <c r="D123" s="2043">
        <v>3715</v>
      </c>
      <c r="E123" s="2043">
        <v>3457</v>
      </c>
      <c r="F123" s="2043">
        <v>-258</v>
      </c>
      <c r="G123" s="2043">
        <v>0</v>
      </c>
      <c r="H123" s="2043">
        <v>0</v>
      </c>
      <c r="I123" s="106">
        <v>0</v>
      </c>
      <c r="J123" s="41" t="s">
        <v>10797</v>
      </c>
      <c r="K123" s="2043">
        <v>0</v>
      </c>
      <c r="L123" s="2043">
        <v>0</v>
      </c>
    </row>
    <row r="124" spans="1:12" ht="14.5">
      <c r="A124" t="s">
        <v>5093</v>
      </c>
      <c r="B124" s="380" t="str">
        <f t="shared" si="1"/>
        <v>110-902</v>
      </c>
      <c r="C124" t="s">
        <v>2461</v>
      </c>
      <c r="D124" s="2043">
        <v>3011</v>
      </c>
      <c r="E124" s="2043">
        <v>2756</v>
      </c>
      <c r="F124" s="2043">
        <v>-255</v>
      </c>
      <c r="G124" s="2043">
        <v>0</v>
      </c>
      <c r="H124" s="2043">
        <v>0</v>
      </c>
      <c r="I124" s="106">
        <v>0</v>
      </c>
      <c r="J124" s="41" t="s">
        <v>10797</v>
      </c>
      <c r="K124" s="2043">
        <v>0</v>
      </c>
      <c r="L124" s="2043">
        <v>0</v>
      </c>
    </row>
    <row r="125" spans="1:12" ht="14.5">
      <c r="A125" t="s">
        <v>5185</v>
      </c>
      <c r="B125" s="380" t="str">
        <f t="shared" si="1"/>
        <v>171-901</v>
      </c>
      <c r="C125" t="s">
        <v>2127</v>
      </c>
      <c r="D125" s="2043">
        <v>4536</v>
      </c>
      <c r="E125" s="2043">
        <v>4281</v>
      </c>
      <c r="F125" s="2043">
        <v>-255</v>
      </c>
      <c r="G125" s="2043">
        <v>0</v>
      </c>
      <c r="H125" s="2043">
        <v>0</v>
      </c>
      <c r="I125" s="106">
        <v>0</v>
      </c>
      <c r="J125" s="41" t="s">
        <v>10797</v>
      </c>
      <c r="K125" s="2043">
        <v>0</v>
      </c>
      <c r="L125" s="2043">
        <v>0</v>
      </c>
    </row>
    <row r="126" spans="1:12" ht="14.5">
      <c r="A126" t="s">
        <v>3203</v>
      </c>
      <c r="B126" s="380" t="str">
        <f t="shared" si="1"/>
        <v>212-909</v>
      </c>
      <c r="C126" t="s">
        <v>619</v>
      </c>
      <c r="D126" s="2043">
        <v>3652</v>
      </c>
      <c r="E126" s="2043">
        <v>3397</v>
      </c>
      <c r="F126" s="2043">
        <v>-255</v>
      </c>
      <c r="G126" s="2043">
        <v>0</v>
      </c>
      <c r="H126" s="2043">
        <v>0</v>
      </c>
      <c r="I126" s="106">
        <v>0</v>
      </c>
      <c r="J126" s="41" t="s">
        <v>10797</v>
      </c>
      <c r="K126" s="2043">
        <v>0</v>
      </c>
      <c r="L126" s="2043">
        <v>0</v>
      </c>
    </row>
    <row r="127" spans="1:12" ht="14.5">
      <c r="A127" t="s">
        <v>5299</v>
      </c>
      <c r="B127" s="380" t="str">
        <f t="shared" si="1"/>
        <v>241-903</v>
      </c>
      <c r="C127" t="s">
        <v>1151</v>
      </c>
      <c r="D127" s="2043">
        <v>3678</v>
      </c>
      <c r="E127" s="2043">
        <v>3426</v>
      </c>
      <c r="F127" s="2043">
        <v>-252</v>
      </c>
      <c r="G127" s="2043">
        <v>0</v>
      </c>
      <c r="H127" s="2043">
        <v>0</v>
      </c>
      <c r="I127" s="106">
        <v>0</v>
      </c>
      <c r="J127" s="41" t="s">
        <v>10797</v>
      </c>
      <c r="K127" s="2043">
        <v>0</v>
      </c>
      <c r="L127" s="2043">
        <v>0</v>
      </c>
    </row>
    <row r="128" spans="1:12" ht="14.5">
      <c r="A128" t="s">
        <v>2898</v>
      </c>
      <c r="B128" s="380" t="str">
        <f t="shared" si="1"/>
        <v>020-907</v>
      </c>
      <c r="C128" t="s">
        <v>1458</v>
      </c>
      <c r="D128" s="2043">
        <v>3169</v>
      </c>
      <c r="E128" s="2043">
        <v>2919</v>
      </c>
      <c r="F128" s="2043">
        <v>-250</v>
      </c>
      <c r="G128" s="2043">
        <v>0</v>
      </c>
      <c r="H128" s="2043">
        <v>0</v>
      </c>
      <c r="I128" s="106">
        <v>0</v>
      </c>
      <c r="J128" s="41" t="s">
        <v>10797</v>
      </c>
      <c r="K128" s="2043">
        <v>0</v>
      </c>
      <c r="L128" s="2043">
        <v>0</v>
      </c>
    </row>
    <row r="129" spans="1:12" ht="14.5">
      <c r="A129" t="s">
        <v>3118</v>
      </c>
      <c r="B129" s="380" t="str">
        <f t="shared" si="1"/>
        <v>160-901</v>
      </c>
      <c r="C129" t="s">
        <v>1750</v>
      </c>
      <c r="D129" s="2043">
        <v>1213</v>
      </c>
      <c r="E129" s="2043">
        <v>966</v>
      </c>
      <c r="F129" s="2043">
        <v>-247</v>
      </c>
      <c r="G129" s="2043">
        <v>0</v>
      </c>
      <c r="H129" s="2043">
        <v>0</v>
      </c>
      <c r="I129" s="106">
        <v>0</v>
      </c>
      <c r="J129" s="41" t="s">
        <v>10797</v>
      </c>
      <c r="K129" s="2043">
        <v>0</v>
      </c>
      <c r="L129" s="2043">
        <v>0</v>
      </c>
    </row>
    <row r="130" spans="1:12" ht="14.5">
      <c r="A130" t="s">
        <v>3198</v>
      </c>
      <c r="B130" s="380" t="str">
        <f t="shared" si="1"/>
        <v>210-901</v>
      </c>
      <c r="C130" t="s">
        <v>1679</v>
      </c>
      <c r="D130" s="2043">
        <v>2772</v>
      </c>
      <c r="E130" s="2043">
        <v>2525</v>
      </c>
      <c r="F130" s="2043">
        <v>-247</v>
      </c>
      <c r="G130" s="2043">
        <v>0</v>
      </c>
      <c r="H130" s="2043">
        <v>0</v>
      </c>
      <c r="I130" s="106">
        <v>0</v>
      </c>
      <c r="J130" s="41" t="s">
        <v>10797</v>
      </c>
      <c r="K130" s="2043">
        <v>0</v>
      </c>
      <c r="L130" s="2043">
        <v>0</v>
      </c>
    </row>
    <row r="131" spans="1:12" ht="14.5">
      <c r="A131" t="s">
        <v>3215</v>
      </c>
      <c r="B131" s="380" t="str">
        <f t="shared" ref="B131:B194" si="2">CONCATENATE(LEFT(RIGHT(CONCATENATE("000",A131),6),3),"-",(RIGHT(RIGHT(CONCATENATE("000",A131),6),3)))</f>
        <v>220-916</v>
      </c>
      <c r="C131" t="s">
        <v>1193</v>
      </c>
      <c r="D131" s="2043">
        <v>23120</v>
      </c>
      <c r="E131" s="2043">
        <v>22874</v>
      </c>
      <c r="F131" s="2043">
        <v>-246</v>
      </c>
      <c r="G131" s="2043">
        <v>0</v>
      </c>
      <c r="H131" s="2043">
        <v>0</v>
      </c>
      <c r="I131" s="106">
        <v>0</v>
      </c>
      <c r="J131" s="41" t="s">
        <v>10797</v>
      </c>
      <c r="K131" s="2043">
        <v>0</v>
      </c>
      <c r="L131" s="2043">
        <v>0</v>
      </c>
    </row>
    <row r="132" spans="1:12" ht="14.5">
      <c r="A132" t="s">
        <v>5300</v>
      </c>
      <c r="B132" s="380" t="str">
        <f t="shared" si="2"/>
        <v>241-904</v>
      </c>
      <c r="C132" t="s">
        <v>1152</v>
      </c>
      <c r="D132" s="2043">
        <v>2212</v>
      </c>
      <c r="E132" s="2043">
        <v>1966</v>
      </c>
      <c r="F132" s="2043">
        <v>-246</v>
      </c>
      <c r="G132" s="2043">
        <v>0</v>
      </c>
      <c r="H132" s="2043">
        <v>0</v>
      </c>
      <c r="I132" s="106">
        <v>0</v>
      </c>
      <c r="J132" s="41" t="s">
        <v>10797</v>
      </c>
      <c r="K132" s="2043">
        <v>0</v>
      </c>
      <c r="L132" s="2043">
        <v>0</v>
      </c>
    </row>
    <row r="133" spans="1:12" ht="14.5">
      <c r="A133" t="s">
        <v>3076</v>
      </c>
      <c r="B133" s="380" t="str">
        <f t="shared" si="2"/>
        <v>123-905</v>
      </c>
      <c r="C133" t="s">
        <v>371</v>
      </c>
      <c r="D133" s="2043">
        <v>5254</v>
      </c>
      <c r="E133" s="2043">
        <v>5009</v>
      </c>
      <c r="F133" s="2043">
        <v>-245</v>
      </c>
      <c r="G133" s="2043">
        <v>0</v>
      </c>
      <c r="H133" s="2043">
        <v>0</v>
      </c>
      <c r="I133" s="106">
        <v>0</v>
      </c>
      <c r="J133" s="41" t="s">
        <v>10797</v>
      </c>
      <c r="K133" s="2043">
        <v>0</v>
      </c>
      <c r="L133" s="2043">
        <v>0</v>
      </c>
    </row>
    <row r="134" spans="1:12" ht="14.5">
      <c r="A134" t="s">
        <v>2985</v>
      </c>
      <c r="B134" s="380" t="str">
        <f t="shared" si="2"/>
        <v>071-908</v>
      </c>
      <c r="C134" t="s">
        <v>569</v>
      </c>
      <c r="D134" s="2043">
        <v>1133</v>
      </c>
      <c r="E134" s="2043">
        <v>889</v>
      </c>
      <c r="F134" s="2043">
        <v>-244</v>
      </c>
      <c r="G134" s="2043">
        <v>0</v>
      </c>
      <c r="H134" s="2043">
        <v>0</v>
      </c>
      <c r="I134" s="106">
        <v>0</v>
      </c>
      <c r="J134" s="41" t="s">
        <v>10797</v>
      </c>
      <c r="K134" s="2043">
        <v>0</v>
      </c>
      <c r="L134" s="2043">
        <v>0</v>
      </c>
    </row>
    <row r="135" spans="1:12" ht="14.5">
      <c r="A135" t="s">
        <v>3193</v>
      </c>
      <c r="B135" s="380" t="str">
        <f t="shared" si="2"/>
        <v>205-904</v>
      </c>
      <c r="C135" t="s">
        <v>1953</v>
      </c>
      <c r="D135" s="2043">
        <v>1686</v>
      </c>
      <c r="E135" s="2043">
        <v>1443</v>
      </c>
      <c r="F135" s="2043">
        <v>-243</v>
      </c>
      <c r="G135" s="2043">
        <v>0</v>
      </c>
      <c r="H135" s="2043">
        <v>0</v>
      </c>
      <c r="I135" s="106">
        <v>0</v>
      </c>
      <c r="J135" s="41" t="s">
        <v>10797</v>
      </c>
      <c r="K135" s="2043">
        <v>0</v>
      </c>
      <c r="L135" s="2043">
        <v>0</v>
      </c>
    </row>
    <row r="136" spans="1:12" ht="14.5">
      <c r="A136" t="s">
        <v>4948</v>
      </c>
      <c r="B136" s="380" t="str">
        <f t="shared" si="2"/>
        <v>024-901</v>
      </c>
      <c r="C136" t="s">
        <v>1501</v>
      </c>
      <c r="D136" s="2043">
        <v>1577</v>
      </c>
      <c r="E136" s="2043">
        <v>1342</v>
      </c>
      <c r="F136" s="2043">
        <v>-235</v>
      </c>
      <c r="G136" s="2043">
        <v>0</v>
      </c>
      <c r="H136" s="2043">
        <v>0</v>
      </c>
      <c r="I136" s="106">
        <v>0</v>
      </c>
      <c r="J136" s="41" t="s">
        <v>10797</v>
      </c>
      <c r="K136" s="2043">
        <v>0</v>
      </c>
      <c r="L136" s="2043">
        <v>0</v>
      </c>
    </row>
    <row r="137" spans="1:12" ht="14.5">
      <c r="A137" t="s">
        <v>3196</v>
      </c>
      <c r="B137" s="380" t="str">
        <f t="shared" si="2"/>
        <v>205-907</v>
      </c>
      <c r="C137" t="s">
        <v>564</v>
      </c>
      <c r="D137" s="2043">
        <v>1122</v>
      </c>
      <c r="E137" s="2043">
        <v>888</v>
      </c>
      <c r="F137" s="2043">
        <v>-234</v>
      </c>
      <c r="G137" s="2043">
        <v>0</v>
      </c>
      <c r="H137" s="2043">
        <v>0</v>
      </c>
      <c r="I137" s="106">
        <v>0</v>
      </c>
      <c r="J137" s="41" t="s">
        <v>10797</v>
      </c>
      <c r="K137" s="2043">
        <v>0</v>
      </c>
      <c r="L137" s="2043">
        <v>0</v>
      </c>
    </row>
    <row r="138" spans="1:12" ht="14.5">
      <c r="A138" t="s">
        <v>5030</v>
      </c>
      <c r="B138" s="380" t="str">
        <f t="shared" si="2"/>
        <v>084-902</v>
      </c>
      <c r="C138" t="s">
        <v>346</v>
      </c>
      <c r="D138" s="2043">
        <v>6894</v>
      </c>
      <c r="E138" s="2043">
        <v>6661</v>
      </c>
      <c r="F138" s="2043">
        <v>-233</v>
      </c>
      <c r="G138" s="2043">
        <v>0</v>
      </c>
      <c r="H138" s="2043">
        <v>0</v>
      </c>
      <c r="I138" s="106">
        <v>0</v>
      </c>
      <c r="J138" s="41" t="s">
        <v>10797</v>
      </c>
      <c r="K138" s="2043">
        <v>0</v>
      </c>
      <c r="L138" s="2043">
        <v>0</v>
      </c>
    </row>
    <row r="139" spans="1:12" ht="14.5">
      <c r="A139" t="s">
        <v>2882</v>
      </c>
      <c r="B139" s="380" t="str">
        <f t="shared" si="2"/>
        <v>015-911</v>
      </c>
      <c r="C139" t="s">
        <v>1008</v>
      </c>
      <c r="D139" s="2043">
        <v>10227</v>
      </c>
      <c r="E139" s="2043">
        <v>10006</v>
      </c>
      <c r="F139" s="2043">
        <v>-221</v>
      </c>
      <c r="G139" s="2043">
        <v>0</v>
      </c>
      <c r="H139" s="2043">
        <v>0</v>
      </c>
      <c r="I139" s="106">
        <v>0</v>
      </c>
      <c r="J139" s="41" t="s">
        <v>10797</v>
      </c>
      <c r="K139" s="2043">
        <v>0</v>
      </c>
      <c r="L139" s="2043">
        <v>0</v>
      </c>
    </row>
    <row r="140" spans="1:12" ht="14.5">
      <c r="A140" t="s">
        <v>5168</v>
      </c>
      <c r="B140" s="380" t="str">
        <f t="shared" si="2"/>
        <v>158-901</v>
      </c>
      <c r="C140" t="s">
        <v>532</v>
      </c>
      <c r="D140" s="2043">
        <v>3726</v>
      </c>
      <c r="E140" s="2043">
        <v>3510</v>
      </c>
      <c r="F140" s="2043">
        <v>-216</v>
      </c>
      <c r="G140" s="2043">
        <v>0</v>
      </c>
      <c r="H140" s="2043">
        <v>0</v>
      </c>
      <c r="I140" s="106">
        <v>0</v>
      </c>
      <c r="J140" s="41" t="s">
        <v>10797</v>
      </c>
      <c r="K140" s="2043">
        <v>0</v>
      </c>
      <c r="L140" s="2043">
        <v>0</v>
      </c>
    </row>
    <row r="141" spans="1:12" ht="14.5">
      <c r="A141" t="s">
        <v>5222</v>
      </c>
      <c r="B141" s="380" t="str">
        <f t="shared" si="2"/>
        <v>186-902</v>
      </c>
      <c r="C141" t="s">
        <v>2206</v>
      </c>
      <c r="D141" s="2043">
        <v>2464</v>
      </c>
      <c r="E141" s="2043">
        <v>2248</v>
      </c>
      <c r="F141" s="2043">
        <v>-216</v>
      </c>
      <c r="G141" s="2043">
        <v>0</v>
      </c>
      <c r="H141" s="2043">
        <v>0</v>
      </c>
      <c r="I141" s="106">
        <v>0</v>
      </c>
      <c r="J141" s="41" t="s">
        <v>10797</v>
      </c>
      <c r="K141" s="2043">
        <v>0</v>
      </c>
      <c r="L141" s="2043">
        <v>0</v>
      </c>
    </row>
    <row r="142" spans="1:12" ht="14.5">
      <c r="A142" t="s">
        <v>2925</v>
      </c>
      <c r="B142" s="380" t="str">
        <f t="shared" si="2"/>
        <v>037-904</v>
      </c>
      <c r="C142" t="s">
        <v>383</v>
      </c>
      <c r="D142" s="2043">
        <v>4953</v>
      </c>
      <c r="E142" s="2043">
        <v>4743</v>
      </c>
      <c r="F142" s="2043">
        <v>-210</v>
      </c>
      <c r="G142" s="2043">
        <v>0</v>
      </c>
      <c r="H142" s="2043">
        <v>0</v>
      </c>
      <c r="I142" s="106">
        <v>0</v>
      </c>
      <c r="J142" s="41" t="s">
        <v>10797</v>
      </c>
      <c r="K142" s="2043">
        <v>0</v>
      </c>
      <c r="L142" s="2043">
        <v>0</v>
      </c>
    </row>
    <row r="143" spans="1:12" ht="14.5">
      <c r="A143" t="s">
        <v>5223</v>
      </c>
      <c r="B143" s="380" t="str">
        <f t="shared" si="2"/>
        <v>186-903</v>
      </c>
      <c r="C143" t="s">
        <v>420</v>
      </c>
      <c r="D143" s="2043">
        <v>529</v>
      </c>
      <c r="E143" s="2043">
        <v>323</v>
      </c>
      <c r="F143" s="2043">
        <v>-206</v>
      </c>
      <c r="G143" s="2043">
        <v>0</v>
      </c>
      <c r="H143" s="2043">
        <v>0</v>
      </c>
      <c r="I143" s="106">
        <v>0</v>
      </c>
      <c r="J143" s="41" t="s">
        <v>10797</v>
      </c>
      <c r="K143" s="2043">
        <v>0</v>
      </c>
      <c r="L143" s="2043">
        <v>0</v>
      </c>
    </row>
    <row r="144" spans="1:12" ht="14.5">
      <c r="A144" t="s">
        <v>2998</v>
      </c>
      <c r="B144" s="380" t="str">
        <f t="shared" si="2"/>
        <v>082-903</v>
      </c>
      <c r="C144" t="s">
        <v>2448</v>
      </c>
      <c r="D144" s="2043">
        <v>2247</v>
      </c>
      <c r="E144" s="2043">
        <v>2042</v>
      </c>
      <c r="F144" s="2043">
        <v>-205</v>
      </c>
      <c r="G144" s="2043">
        <v>0</v>
      </c>
      <c r="H144" s="2043">
        <v>0</v>
      </c>
      <c r="I144" s="106">
        <v>0</v>
      </c>
      <c r="J144" s="41" t="s">
        <v>10797</v>
      </c>
      <c r="K144" s="2043">
        <v>0</v>
      </c>
      <c r="L144" s="2043">
        <v>0</v>
      </c>
    </row>
    <row r="145" spans="1:12" ht="14.5">
      <c r="A145" t="s">
        <v>5050</v>
      </c>
      <c r="B145" s="380" t="str">
        <f t="shared" si="2"/>
        <v>092-902</v>
      </c>
      <c r="C145" t="s">
        <v>210</v>
      </c>
      <c r="D145" s="2043">
        <v>4090</v>
      </c>
      <c r="E145" s="2043">
        <v>3887</v>
      </c>
      <c r="F145" s="2043">
        <v>-203</v>
      </c>
      <c r="G145" s="2043">
        <v>0</v>
      </c>
      <c r="H145" s="2043">
        <v>0</v>
      </c>
      <c r="I145" s="106">
        <v>0</v>
      </c>
      <c r="J145" s="41" t="s">
        <v>10797</v>
      </c>
      <c r="K145" s="2043">
        <v>0</v>
      </c>
      <c r="L145" s="2043">
        <v>0</v>
      </c>
    </row>
    <row r="146" spans="1:12" ht="14.5">
      <c r="A146" t="s">
        <v>3108</v>
      </c>
      <c r="B146" s="380" t="str">
        <f t="shared" si="2"/>
        <v>146-904</v>
      </c>
      <c r="C146" t="s">
        <v>1639</v>
      </c>
      <c r="D146" s="2043">
        <v>1484</v>
      </c>
      <c r="E146" s="2043">
        <v>1281</v>
      </c>
      <c r="F146" s="2043">
        <v>-203</v>
      </c>
      <c r="G146" s="2043">
        <v>0</v>
      </c>
      <c r="H146" s="2043">
        <v>0</v>
      </c>
      <c r="I146" s="106">
        <v>0</v>
      </c>
      <c r="J146" s="41" t="s">
        <v>10797</v>
      </c>
      <c r="K146" s="2043">
        <v>0</v>
      </c>
      <c r="L146" s="2043">
        <v>0</v>
      </c>
    </row>
    <row r="147" spans="1:12" ht="14.5">
      <c r="A147" t="s">
        <v>5244</v>
      </c>
      <c r="B147" s="380" t="str">
        <f t="shared" si="2"/>
        <v>201-910</v>
      </c>
      <c r="C147" t="s">
        <v>1437</v>
      </c>
      <c r="D147" s="2043">
        <v>1678</v>
      </c>
      <c r="E147" s="2043">
        <v>1475</v>
      </c>
      <c r="F147" s="2043">
        <v>-203</v>
      </c>
      <c r="G147" s="2043">
        <v>0</v>
      </c>
      <c r="H147" s="2043">
        <v>0</v>
      </c>
      <c r="I147" s="106">
        <v>0</v>
      </c>
      <c r="J147" s="41" t="s">
        <v>10797</v>
      </c>
      <c r="K147" s="2043">
        <v>0</v>
      </c>
      <c r="L147" s="2043">
        <v>0</v>
      </c>
    </row>
    <row r="148" spans="1:12" ht="14.5">
      <c r="A148" t="s">
        <v>2902</v>
      </c>
      <c r="B148" s="380" t="str">
        <f t="shared" si="2"/>
        <v>021-902</v>
      </c>
      <c r="C148" t="s">
        <v>2491</v>
      </c>
      <c r="D148" s="2043">
        <v>16237</v>
      </c>
      <c r="E148" s="2043">
        <v>16035</v>
      </c>
      <c r="F148" s="2043">
        <v>-202</v>
      </c>
      <c r="G148" s="2043">
        <v>0</v>
      </c>
      <c r="H148" s="2043">
        <v>0</v>
      </c>
      <c r="I148" s="106">
        <v>0</v>
      </c>
      <c r="J148" s="41" t="s">
        <v>10797</v>
      </c>
      <c r="K148" s="2043">
        <v>0</v>
      </c>
      <c r="L148" s="2043">
        <v>0</v>
      </c>
    </row>
    <row r="149" spans="1:12" ht="14.5">
      <c r="A149" t="s">
        <v>3226</v>
      </c>
      <c r="B149" s="380" t="str">
        <f t="shared" si="2"/>
        <v>227-910</v>
      </c>
      <c r="C149" t="s">
        <v>2520</v>
      </c>
      <c r="D149" s="2043">
        <v>11278</v>
      </c>
      <c r="E149" s="2043">
        <v>11078</v>
      </c>
      <c r="F149" s="2043">
        <v>-200</v>
      </c>
      <c r="G149" s="2043">
        <v>0</v>
      </c>
      <c r="H149" s="2043">
        <v>0</v>
      </c>
      <c r="I149" s="106">
        <v>0</v>
      </c>
      <c r="J149" s="41" t="s">
        <v>10797</v>
      </c>
      <c r="K149" s="2043">
        <v>0</v>
      </c>
      <c r="L149" s="2043">
        <v>0</v>
      </c>
    </row>
    <row r="150" spans="1:12" ht="14.5">
      <c r="A150" t="s">
        <v>5206</v>
      </c>
      <c r="B150" s="380" t="str">
        <f t="shared" si="2"/>
        <v>178-914</v>
      </c>
      <c r="C150" t="s">
        <v>305</v>
      </c>
      <c r="D150" s="2043">
        <v>5745</v>
      </c>
      <c r="E150" s="2043">
        <v>5546</v>
      </c>
      <c r="F150" s="2043">
        <v>-199</v>
      </c>
      <c r="G150" s="2043">
        <v>0</v>
      </c>
      <c r="H150" s="2043">
        <v>0</v>
      </c>
      <c r="I150" s="106">
        <v>0</v>
      </c>
      <c r="J150" s="41" t="s">
        <v>10797</v>
      </c>
      <c r="K150" s="2043">
        <v>0</v>
      </c>
      <c r="L150" s="2043">
        <v>0</v>
      </c>
    </row>
    <row r="151" spans="1:12" ht="14.5">
      <c r="A151" t="s">
        <v>5274</v>
      </c>
      <c r="B151" s="380" t="str">
        <f t="shared" si="2"/>
        <v>223-901</v>
      </c>
      <c r="C151" t="s">
        <v>288</v>
      </c>
      <c r="D151" s="2043">
        <v>1840</v>
      </c>
      <c r="E151" s="2043">
        <v>1641</v>
      </c>
      <c r="F151" s="2043">
        <v>-199</v>
      </c>
      <c r="G151" s="2043">
        <v>0</v>
      </c>
      <c r="H151" s="2043">
        <v>0</v>
      </c>
      <c r="I151" s="106">
        <v>0</v>
      </c>
      <c r="J151" s="41" t="s">
        <v>10797</v>
      </c>
      <c r="K151" s="2043">
        <v>0</v>
      </c>
      <c r="L151" s="2043">
        <v>0</v>
      </c>
    </row>
    <row r="152" spans="1:12" ht="14.5">
      <c r="A152" t="s">
        <v>2874</v>
      </c>
      <c r="B152" s="380" t="str">
        <f t="shared" si="2"/>
        <v>014-909</v>
      </c>
      <c r="C152" t="s">
        <v>566</v>
      </c>
      <c r="D152" s="2043">
        <v>8643</v>
      </c>
      <c r="E152" s="2043">
        <v>8445</v>
      </c>
      <c r="F152" s="2043">
        <v>-198</v>
      </c>
      <c r="G152" s="2043">
        <v>0</v>
      </c>
      <c r="H152" s="2043">
        <v>0</v>
      </c>
      <c r="I152" s="106">
        <v>0</v>
      </c>
      <c r="J152" s="41" t="s">
        <v>10797</v>
      </c>
      <c r="K152" s="2043">
        <v>0</v>
      </c>
      <c r="L152" s="2043">
        <v>0</v>
      </c>
    </row>
    <row r="153" spans="1:12" ht="14.5">
      <c r="A153" t="s">
        <v>5097</v>
      </c>
      <c r="B153" s="380" t="str">
        <f t="shared" si="2"/>
        <v>113-901</v>
      </c>
      <c r="C153" t="s">
        <v>597</v>
      </c>
      <c r="D153" s="2043">
        <v>1388</v>
      </c>
      <c r="E153" s="2043">
        <v>1190</v>
      </c>
      <c r="F153" s="2043">
        <v>-198</v>
      </c>
      <c r="G153" s="2043">
        <v>0</v>
      </c>
      <c r="H153" s="2043">
        <v>0</v>
      </c>
      <c r="I153" s="106">
        <v>0</v>
      </c>
      <c r="J153" s="41" t="s">
        <v>10797</v>
      </c>
      <c r="K153" s="2043">
        <v>0</v>
      </c>
      <c r="L153" s="2043">
        <v>0</v>
      </c>
    </row>
    <row r="154" spans="1:12" ht="14.5">
      <c r="A154" t="s">
        <v>3105</v>
      </c>
      <c r="B154" s="380" t="str">
        <f t="shared" si="2"/>
        <v>142-901</v>
      </c>
      <c r="C154" t="s">
        <v>1040</v>
      </c>
      <c r="D154" s="2043">
        <v>1368</v>
      </c>
      <c r="E154" s="2043">
        <v>1172</v>
      </c>
      <c r="F154" s="2043">
        <v>-196</v>
      </c>
      <c r="G154" s="2043">
        <v>0</v>
      </c>
      <c r="H154" s="2043">
        <v>0</v>
      </c>
      <c r="I154" s="106">
        <v>0</v>
      </c>
      <c r="J154" s="41" t="s">
        <v>10797</v>
      </c>
      <c r="K154" s="2043">
        <v>0</v>
      </c>
      <c r="L154" s="2043">
        <v>0</v>
      </c>
    </row>
    <row r="155" spans="1:12" ht="14.5">
      <c r="A155" t="s">
        <v>2886</v>
      </c>
      <c r="B155" s="380" t="str">
        <f t="shared" si="2"/>
        <v>015-917</v>
      </c>
      <c r="C155" t="s">
        <v>1826</v>
      </c>
      <c r="D155" s="2043">
        <v>5713</v>
      </c>
      <c r="E155" s="2043">
        <v>5520</v>
      </c>
      <c r="F155" s="2043">
        <v>-193</v>
      </c>
      <c r="G155" s="2043">
        <v>0</v>
      </c>
      <c r="H155" s="2043">
        <v>0</v>
      </c>
      <c r="I155" s="106">
        <v>0</v>
      </c>
      <c r="J155" s="41" t="s">
        <v>10797</v>
      </c>
      <c r="K155" s="2043">
        <v>0</v>
      </c>
      <c r="L155" s="2043">
        <v>0</v>
      </c>
    </row>
    <row r="156" spans="1:12" ht="14.5">
      <c r="A156" t="s">
        <v>5248</v>
      </c>
      <c r="B156" s="380" t="str">
        <f t="shared" si="2"/>
        <v>205-903</v>
      </c>
      <c r="C156" t="s">
        <v>336</v>
      </c>
      <c r="D156" s="2043">
        <v>2193</v>
      </c>
      <c r="E156" s="2043">
        <v>2000</v>
      </c>
      <c r="F156" s="2043">
        <v>-193</v>
      </c>
      <c r="G156" s="2043">
        <v>0</v>
      </c>
      <c r="H156" s="2043">
        <v>0</v>
      </c>
      <c r="I156" s="106">
        <v>0</v>
      </c>
      <c r="J156" s="41" t="s">
        <v>10797</v>
      </c>
      <c r="K156" s="2043">
        <v>0</v>
      </c>
      <c r="L156" s="2043">
        <v>0</v>
      </c>
    </row>
    <row r="157" spans="1:12" ht="14.5">
      <c r="A157" t="s">
        <v>3768</v>
      </c>
      <c r="B157" s="380" t="str">
        <f t="shared" si="2"/>
        <v>059-901</v>
      </c>
      <c r="C157" t="s">
        <v>2239</v>
      </c>
      <c r="D157" s="2043">
        <v>4159</v>
      </c>
      <c r="E157" s="2043">
        <v>3967</v>
      </c>
      <c r="F157" s="2043">
        <v>-192</v>
      </c>
      <c r="G157" s="2043">
        <v>0</v>
      </c>
      <c r="H157" s="2043">
        <v>0</v>
      </c>
      <c r="I157" s="106">
        <v>0</v>
      </c>
      <c r="J157" s="41" t="s">
        <v>10797</v>
      </c>
      <c r="K157" s="2043">
        <v>0</v>
      </c>
      <c r="L157" s="2043">
        <v>0</v>
      </c>
    </row>
    <row r="158" spans="1:12" ht="14.5">
      <c r="A158" t="s">
        <v>5201</v>
      </c>
      <c r="B158" s="380" t="str">
        <f t="shared" si="2"/>
        <v>178-903</v>
      </c>
      <c r="C158" t="s">
        <v>299</v>
      </c>
      <c r="D158" s="2043">
        <v>4058</v>
      </c>
      <c r="E158" s="2043">
        <v>3868</v>
      </c>
      <c r="F158" s="2043">
        <v>-190</v>
      </c>
      <c r="G158" s="2043">
        <v>0</v>
      </c>
      <c r="H158" s="2043">
        <v>0</v>
      </c>
      <c r="I158" s="106">
        <v>0</v>
      </c>
      <c r="J158" s="41" t="s">
        <v>10797</v>
      </c>
      <c r="K158" s="2043">
        <v>0</v>
      </c>
      <c r="L158" s="2043">
        <v>0</v>
      </c>
    </row>
    <row r="159" spans="1:12" ht="14.5">
      <c r="A159" t="s">
        <v>5276</v>
      </c>
      <c r="B159" s="380" t="str">
        <f t="shared" si="2"/>
        <v>225-902</v>
      </c>
      <c r="C159" t="s">
        <v>601</v>
      </c>
      <c r="D159" s="2043">
        <v>5329</v>
      </c>
      <c r="E159" s="2043">
        <v>5139</v>
      </c>
      <c r="F159" s="2043">
        <v>-190</v>
      </c>
      <c r="G159" s="2043">
        <v>0</v>
      </c>
      <c r="H159" s="2043">
        <v>0</v>
      </c>
      <c r="I159" s="106">
        <v>0</v>
      </c>
      <c r="J159" s="41" t="s">
        <v>10797</v>
      </c>
      <c r="K159" s="2043">
        <v>0</v>
      </c>
      <c r="L159" s="2043">
        <v>0</v>
      </c>
    </row>
    <row r="160" spans="1:12" ht="14.5">
      <c r="A160" t="s">
        <v>3274</v>
      </c>
      <c r="B160" s="380" t="str">
        <f t="shared" si="2"/>
        <v>252-901</v>
      </c>
      <c r="C160" t="s">
        <v>815</v>
      </c>
      <c r="D160" s="2043">
        <v>2486</v>
      </c>
      <c r="E160" s="2043">
        <v>2297</v>
      </c>
      <c r="F160" s="2043">
        <v>-189</v>
      </c>
      <c r="G160" s="2043">
        <v>0</v>
      </c>
      <c r="H160" s="2043">
        <v>0</v>
      </c>
      <c r="I160" s="106">
        <v>0</v>
      </c>
      <c r="J160" s="41" t="s">
        <v>10797</v>
      </c>
      <c r="K160" s="2043">
        <v>0</v>
      </c>
      <c r="L160" s="2043">
        <v>0</v>
      </c>
    </row>
    <row r="161" spans="1:12" ht="14.5">
      <c r="A161" t="s">
        <v>5086</v>
      </c>
      <c r="B161" s="380" t="str">
        <f t="shared" si="2"/>
        <v>107-901</v>
      </c>
      <c r="C161" t="s">
        <v>1273</v>
      </c>
      <c r="D161" s="2043">
        <v>3151</v>
      </c>
      <c r="E161" s="2043">
        <v>2966</v>
      </c>
      <c r="F161" s="2043">
        <v>-185</v>
      </c>
      <c r="G161" s="2043">
        <v>0</v>
      </c>
      <c r="H161" s="2043">
        <v>0</v>
      </c>
      <c r="I161" s="106">
        <v>0</v>
      </c>
      <c r="J161" s="41" t="s">
        <v>10797</v>
      </c>
      <c r="K161" s="2043">
        <v>0</v>
      </c>
      <c r="L161" s="2043">
        <v>0</v>
      </c>
    </row>
    <row r="162" spans="1:12" ht="14.5">
      <c r="A162" t="s">
        <v>3046</v>
      </c>
      <c r="B162" s="380" t="str">
        <f t="shared" si="2"/>
        <v>108-915</v>
      </c>
      <c r="C162" t="s">
        <v>2119</v>
      </c>
      <c r="D162" s="2043">
        <v>1075</v>
      </c>
      <c r="E162" s="2043">
        <v>890</v>
      </c>
      <c r="F162" s="2043">
        <v>-185</v>
      </c>
      <c r="G162" s="2043">
        <v>0</v>
      </c>
      <c r="H162" s="2043">
        <v>0</v>
      </c>
      <c r="I162" s="106">
        <v>0</v>
      </c>
      <c r="J162" s="41" t="s">
        <v>10797</v>
      </c>
      <c r="K162" s="2043">
        <v>0</v>
      </c>
      <c r="L162" s="2043">
        <v>0</v>
      </c>
    </row>
    <row r="163" spans="1:12" ht="14.5">
      <c r="A163" t="s">
        <v>4946</v>
      </c>
      <c r="B163" s="380" t="str">
        <f t="shared" si="2"/>
        <v>020-906</v>
      </c>
      <c r="C163" t="s">
        <v>2352</v>
      </c>
      <c r="D163" s="2043">
        <v>2037</v>
      </c>
      <c r="E163" s="2043">
        <v>1853</v>
      </c>
      <c r="F163" s="2043">
        <v>-184</v>
      </c>
      <c r="G163" s="2043">
        <v>0</v>
      </c>
      <c r="H163" s="2043">
        <v>0</v>
      </c>
      <c r="I163" s="106">
        <v>0</v>
      </c>
      <c r="J163" s="41" t="s">
        <v>10797</v>
      </c>
      <c r="K163" s="2043">
        <v>0</v>
      </c>
      <c r="L163" s="2043">
        <v>0</v>
      </c>
    </row>
    <row r="164" spans="1:12" ht="14.5">
      <c r="A164" t="s">
        <v>3002</v>
      </c>
      <c r="B164" s="380" t="str">
        <f t="shared" si="2"/>
        <v>090-904</v>
      </c>
      <c r="C164" t="s">
        <v>1288</v>
      </c>
      <c r="D164" s="2043">
        <v>3642</v>
      </c>
      <c r="E164" s="2043">
        <v>3460</v>
      </c>
      <c r="F164" s="2043">
        <v>-182</v>
      </c>
      <c r="G164" s="2043">
        <v>0</v>
      </c>
      <c r="H164" s="2043">
        <v>0</v>
      </c>
      <c r="I164" s="106">
        <v>0</v>
      </c>
      <c r="J164" s="41" t="s">
        <v>10797</v>
      </c>
      <c r="K164" s="2043">
        <v>0</v>
      </c>
      <c r="L164" s="2043">
        <v>0</v>
      </c>
    </row>
    <row r="165" spans="1:12" ht="14.5">
      <c r="A165" t="s">
        <v>5131</v>
      </c>
      <c r="B165" s="380" t="str">
        <f t="shared" si="2"/>
        <v>133-903</v>
      </c>
      <c r="C165" t="s">
        <v>1931</v>
      </c>
      <c r="D165" s="2043">
        <v>4991</v>
      </c>
      <c r="E165" s="2043">
        <v>4814</v>
      </c>
      <c r="F165" s="2043">
        <v>-177</v>
      </c>
      <c r="G165" s="2043">
        <v>0</v>
      </c>
      <c r="H165" s="2043">
        <v>0</v>
      </c>
      <c r="I165" s="106">
        <v>0</v>
      </c>
      <c r="J165" s="41" t="s">
        <v>10797</v>
      </c>
      <c r="K165" s="2043">
        <v>0</v>
      </c>
      <c r="L165" s="2043">
        <v>0</v>
      </c>
    </row>
    <row r="166" spans="1:12" ht="14.5">
      <c r="A166" t="s">
        <v>5196</v>
      </c>
      <c r="B166" s="380" t="str">
        <f t="shared" si="2"/>
        <v>177-902</v>
      </c>
      <c r="C166" t="s">
        <v>294</v>
      </c>
      <c r="D166" s="2043">
        <v>2231</v>
      </c>
      <c r="E166" s="2043">
        <v>2054</v>
      </c>
      <c r="F166" s="2043">
        <v>-177</v>
      </c>
      <c r="G166" s="2043">
        <v>0</v>
      </c>
      <c r="H166" s="2043">
        <v>0</v>
      </c>
      <c r="I166" s="106">
        <v>0</v>
      </c>
      <c r="J166" s="41" t="s">
        <v>10797</v>
      </c>
      <c r="K166" s="2043">
        <v>0</v>
      </c>
      <c r="L166" s="2043">
        <v>0</v>
      </c>
    </row>
    <row r="167" spans="1:12" ht="14.5">
      <c r="A167" t="s">
        <v>5022</v>
      </c>
      <c r="B167" s="380" t="str">
        <f t="shared" si="2"/>
        <v>081-902</v>
      </c>
      <c r="C167" t="s">
        <v>808</v>
      </c>
      <c r="D167" s="2043">
        <v>1863</v>
      </c>
      <c r="E167" s="2043">
        <v>1687</v>
      </c>
      <c r="F167" s="2043">
        <v>-176</v>
      </c>
      <c r="G167" s="2043">
        <v>0</v>
      </c>
      <c r="H167" s="2043">
        <v>0</v>
      </c>
      <c r="I167" s="106">
        <v>0</v>
      </c>
      <c r="J167" s="41" t="s">
        <v>10797</v>
      </c>
      <c r="K167" s="2043">
        <v>0</v>
      </c>
      <c r="L167" s="2043">
        <v>0</v>
      </c>
    </row>
    <row r="168" spans="1:12" ht="14.5">
      <c r="A168" t="s">
        <v>5884</v>
      </c>
      <c r="B168" s="380" t="str">
        <f t="shared" si="2"/>
        <v>219-903</v>
      </c>
      <c r="C168" t="s">
        <v>2425</v>
      </c>
      <c r="D168" s="2043">
        <v>1122</v>
      </c>
      <c r="E168" s="2043">
        <v>947</v>
      </c>
      <c r="F168" s="2043">
        <v>-175</v>
      </c>
      <c r="G168" s="2043">
        <v>0</v>
      </c>
      <c r="H168" s="2043">
        <v>0</v>
      </c>
      <c r="I168" s="106">
        <v>0</v>
      </c>
      <c r="J168" s="41" t="s">
        <v>10797</v>
      </c>
      <c r="K168" s="2043">
        <v>0</v>
      </c>
      <c r="L168" s="2043">
        <v>0</v>
      </c>
    </row>
    <row r="169" spans="1:12" ht="14.5">
      <c r="A169" t="s">
        <v>3050</v>
      </c>
      <c r="B169" s="380" t="str">
        <f t="shared" si="2"/>
        <v>109-904</v>
      </c>
      <c r="C169" t="s">
        <v>2243</v>
      </c>
      <c r="D169" s="2043">
        <v>2105</v>
      </c>
      <c r="E169" s="2043">
        <v>1933</v>
      </c>
      <c r="F169" s="2043">
        <v>-172</v>
      </c>
      <c r="G169" s="2043">
        <v>0</v>
      </c>
      <c r="H169" s="2043">
        <v>0</v>
      </c>
      <c r="I169" s="106">
        <v>0</v>
      </c>
      <c r="J169" s="41" t="s">
        <v>10797</v>
      </c>
      <c r="K169" s="2043">
        <v>0</v>
      </c>
      <c r="L169" s="2043">
        <v>0</v>
      </c>
    </row>
    <row r="170" spans="1:12" ht="14.5">
      <c r="A170" t="s">
        <v>5306</v>
      </c>
      <c r="B170" s="380" t="str">
        <f t="shared" si="2"/>
        <v>244-903</v>
      </c>
      <c r="C170" t="s">
        <v>1519</v>
      </c>
      <c r="D170" s="2043">
        <v>2042</v>
      </c>
      <c r="E170" s="2043">
        <v>1871</v>
      </c>
      <c r="F170" s="2043">
        <v>-171</v>
      </c>
      <c r="G170" s="2043">
        <v>0</v>
      </c>
      <c r="H170" s="2043">
        <v>0</v>
      </c>
      <c r="I170" s="106">
        <v>0</v>
      </c>
      <c r="J170" s="41" t="s">
        <v>10797</v>
      </c>
      <c r="K170" s="2043">
        <v>0</v>
      </c>
      <c r="L170" s="2043">
        <v>0</v>
      </c>
    </row>
    <row r="171" spans="1:12" ht="14.5">
      <c r="A171" t="s">
        <v>2853</v>
      </c>
      <c r="B171" s="380" t="str">
        <f t="shared" si="2"/>
        <v>003-905</v>
      </c>
      <c r="C171" t="s">
        <v>1121</v>
      </c>
      <c r="D171" s="2043">
        <v>1917</v>
      </c>
      <c r="E171" s="2043">
        <v>1749</v>
      </c>
      <c r="F171" s="2043">
        <v>-168</v>
      </c>
      <c r="G171" s="2043">
        <v>0</v>
      </c>
      <c r="H171" s="2043">
        <v>0</v>
      </c>
      <c r="I171" s="106">
        <v>0</v>
      </c>
      <c r="J171" s="41" t="s">
        <v>10797</v>
      </c>
      <c r="K171" s="2043">
        <v>0</v>
      </c>
      <c r="L171" s="2043">
        <v>0</v>
      </c>
    </row>
    <row r="172" spans="1:12" ht="14.5">
      <c r="A172" t="s">
        <v>3194</v>
      </c>
      <c r="B172" s="380" t="str">
        <f t="shared" si="2"/>
        <v>205-905</v>
      </c>
      <c r="C172" t="s">
        <v>246</v>
      </c>
      <c r="D172" s="2043">
        <v>1007</v>
      </c>
      <c r="E172" s="2043">
        <v>839</v>
      </c>
      <c r="F172" s="2043">
        <v>-168</v>
      </c>
      <c r="G172" s="2043">
        <v>0</v>
      </c>
      <c r="H172" s="2043">
        <v>0</v>
      </c>
      <c r="I172" s="106">
        <v>0</v>
      </c>
      <c r="J172" s="41" t="s">
        <v>10797</v>
      </c>
      <c r="K172" s="2043">
        <v>0</v>
      </c>
      <c r="L172" s="2043">
        <v>0</v>
      </c>
    </row>
    <row r="173" spans="1:12" ht="14.5">
      <c r="A173" t="s">
        <v>5294</v>
      </c>
      <c r="B173" s="380" t="str">
        <f t="shared" si="2"/>
        <v>238-902</v>
      </c>
      <c r="C173" t="s">
        <v>840</v>
      </c>
      <c r="D173" s="2043">
        <v>2327</v>
      </c>
      <c r="E173" s="2043">
        <v>2162</v>
      </c>
      <c r="F173" s="2043">
        <v>-165</v>
      </c>
      <c r="G173" s="2043">
        <v>0</v>
      </c>
      <c r="H173" s="2043">
        <v>0</v>
      </c>
      <c r="I173" s="106">
        <v>0</v>
      </c>
      <c r="J173" s="41" t="s">
        <v>10797</v>
      </c>
      <c r="K173" s="2043">
        <v>0</v>
      </c>
      <c r="L173" s="2043">
        <v>0</v>
      </c>
    </row>
    <row r="174" spans="1:12" ht="14.5">
      <c r="A174" t="s">
        <v>3066</v>
      </c>
      <c r="B174" s="380" t="str">
        <f t="shared" si="2"/>
        <v>116-903</v>
      </c>
      <c r="C174" t="s">
        <v>1460</v>
      </c>
      <c r="D174" s="2043">
        <v>1606</v>
      </c>
      <c r="E174" s="2043">
        <v>1442</v>
      </c>
      <c r="F174" s="2043">
        <v>-164</v>
      </c>
      <c r="G174" s="2043">
        <v>0</v>
      </c>
      <c r="H174" s="2043">
        <v>0</v>
      </c>
      <c r="I174" s="106">
        <v>0</v>
      </c>
      <c r="J174" s="41" t="s">
        <v>10797</v>
      </c>
      <c r="K174" s="2043">
        <v>0</v>
      </c>
      <c r="L174" s="2043">
        <v>0</v>
      </c>
    </row>
    <row r="175" spans="1:12" ht="14.5">
      <c r="A175" t="s">
        <v>3264</v>
      </c>
      <c r="B175" s="380" t="str">
        <f t="shared" si="2"/>
        <v>246-911</v>
      </c>
      <c r="C175" t="s">
        <v>565</v>
      </c>
      <c r="D175" s="2043">
        <v>3203</v>
      </c>
      <c r="E175" s="2043">
        <v>3040</v>
      </c>
      <c r="F175" s="2043">
        <v>-163</v>
      </c>
      <c r="G175" s="2043">
        <v>0</v>
      </c>
      <c r="H175" s="2043">
        <v>0</v>
      </c>
      <c r="I175" s="106">
        <v>0</v>
      </c>
      <c r="J175" s="41" t="s">
        <v>10797</v>
      </c>
      <c r="K175" s="2043">
        <v>0</v>
      </c>
      <c r="L175" s="2043">
        <v>0</v>
      </c>
    </row>
    <row r="176" spans="1:12" ht="14.5">
      <c r="A176" t="s">
        <v>5837</v>
      </c>
      <c r="B176" s="380" t="str">
        <f t="shared" si="2"/>
        <v>140-904</v>
      </c>
      <c r="C176" t="s">
        <v>890</v>
      </c>
      <c r="D176" s="2043">
        <v>1394</v>
      </c>
      <c r="E176" s="2043">
        <v>1235</v>
      </c>
      <c r="F176" s="2043">
        <v>-159</v>
      </c>
      <c r="G176" s="2043">
        <v>0</v>
      </c>
      <c r="H176" s="2043">
        <v>0</v>
      </c>
      <c r="I176" s="106">
        <v>0</v>
      </c>
      <c r="J176" s="41" t="s">
        <v>10797</v>
      </c>
      <c r="K176" s="2043">
        <v>0</v>
      </c>
      <c r="L176" s="2043">
        <v>0</v>
      </c>
    </row>
    <row r="177" spans="1:12" ht="14.5">
      <c r="A177" t="s">
        <v>4947</v>
      </c>
      <c r="B177" s="380" t="str">
        <f t="shared" si="2"/>
        <v>022-901</v>
      </c>
      <c r="C177" t="s">
        <v>2355</v>
      </c>
      <c r="D177" s="2043">
        <v>1130</v>
      </c>
      <c r="E177" s="2043">
        <v>974</v>
      </c>
      <c r="F177" s="2043">
        <v>-156</v>
      </c>
      <c r="G177" s="2043">
        <v>0</v>
      </c>
      <c r="H177" s="2043">
        <v>0</v>
      </c>
      <c r="I177" s="106">
        <v>0</v>
      </c>
      <c r="J177" s="41" t="s">
        <v>10797</v>
      </c>
      <c r="K177" s="2043">
        <v>0</v>
      </c>
      <c r="L177" s="2043">
        <v>0</v>
      </c>
    </row>
    <row r="178" spans="1:12" ht="14.5">
      <c r="A178" t="s">
        <v>5085</v>
      </c>
      <c r="B178" s="380" t="str">
        <f t="shared" si="2"/>
        <v>106-901</v>
      </c>
      <c r="C178" t="s">
        <v>154</v>
      </c>
      <c r="D178" s="2043">
        <v>997</v>
      </c>
      <c r="E178" s="2043">
        <v>841</v>
      </c>
      <c r="F178" s="2043">
        <v>-156</v>
      </c>
      <c r="G178" s="2043">
        <v>0</v>
      </c>
      <c r="H178" s="2043">
        <v>0</v>
      </c>
      <c r="I178" s="106">
        <v>0</v>
      </c>
      <c r="J178" s="41" t="s">
        <v>10797</v>
      </c>
      <c r="K178" s="2043">
        <v>0</v>
      </c>
      <c r="L178" s="2043">
        <v>0</v>
      </c>
    </row>
    <row r="179" spans="1:12" ht="14.5">
      <c r="A179" t="s">
        <v>3080</v>
      </c>
      <c r="B179" s="380" t="str">
        <f t="shared" si="2"/>
        <v>125-903</v>
      </c>
      <c r="C179" t="s">
        <v>961</v>
      </c>
      <c r="D179" s="2043">
        <v>1927</v>
      </c>
      <c r="E179" s="2043">
        <v>1773</v>
      </c>
      <c r="F179" s="2043">
        <v>-154</v>
      </c>
      <c r="G179" s="2043">
        <v>0</v>
      </c>
      <c r="H179" s="2043">
        <v>0</v>
      </c>
      <c r="I179" s="106">
        <v>0</v>
      </c>
      <c r="J179" s="41" t="s">
        <v>10797</v>
      </c>
      <c r="K179" s="2043">
        <v>0</v>
      </c>
      <c r="L179" s="2043">
        <v>0</v>
      </c>
    </row>
    <row r="180" spans="1:12" ht="14.5">
      <c r="A180" t="s">
        <v>2926</v>
      </c>
      <c r="B180" s="380" t="str">
        <f t="shared" si="2"/>
        <v>037-907</v>
      </c>
      <c r="C180" t="s">
        <v>577</v>
      </c>
      <c r="D180" s="2043">
        <v>2154</v>
      </c>
      <c r="E180" s="2043">
        <v>2001</v>
      </c>
      <c r="F180" s="2043">
        <v>-153</v>
      </c>
      <c r="G180" s="2043">
        <v>0</v>
      </c>
      <c r="H180" s="2043">
        <v>0</v>
      </c>
      <c r="I180" s="106">
        <v>0</v>
      </c>
      <c r="J180" s="41" t="s">
        <v>10797</v>
      </c>
      <c r="K180" s="2043">
        <v>0</v>
      </c>
      <c r="L180" s="2043">
        <v>0</v>
      </c>
    </row>
    <row r="181" spans="1:12" ht="14.5">
      <c r="A181" t="s">
        <v>3276</v>
      </c>
      <c r="B181" s="380" t="str">
        <f t="shared" si="2"/>
        <v>254-901</v>
      </c>
      <c r="C181" t="s">
        <v>398</v>
      </c>
      <c r="D181" s="2043">
        <v>1936</v>
      </c>
      <c r="E181" s="2043">
        <v>1785</v>
      </c>
      <c r="F181" s="2043">
        <v>-151</v>
      </c>
      <c r="G181" s="2043">
        <v>0</v>
      </c>
      <c r="H181" s="2043">
        <v>0</v>
      </c>
      <c r="I181" s="106">
        <v>0</v>
      </c>
      <c r="J181" s="41" t="s">
        <v>10797</v>
      </c>
      <c r="K181" s="2043">
        <v>0</v>
      </c>
      <c r="L181" s="2043">
        <v>0</v>
      </c>
    </row>
    <row r="182" spans="1:12" ht="14.5">
      <c r="A182" t="s">
        <v>2893</v>
      </c>
      <c r="B182" s="380" t="str">
        <f t="shared" si="2"/>
        <v>019-905</v>
      </c>
      <c r="C182" t="s">
        <v>1313</v>
      </c>
      <c r="D182" s="2043">
        <v>1345</v>
      </c>
      <c r="E182" s="2043">
        <v>1198</v>
      </c>
      <c r="F182" s="2043">
        <v>-147</v>
      </c>
      <c r="G182" s="2043">
        <v>0</v>
      </c>
      <c r="H182" s="2043">
        <v>0</v>
      </c>
      <c r="I182" s="106">
        <v>0</v>
      </c>
      <c r="J182" s="41" t="s">
        <v>10797</v>
      </c>
      <c r="K182" s="2043">
        <v>0</v>
      </c>
      <c r="L182" s="2043">
        <v>0</v>
      </c>
    </row>
    <row r="183" spans="1:12" ht="14.5">
      <c r="A183" t="s">
        <v>2920</v>
      </c>
      <c r="B183" s="380" t="str">
        <f t="shared" si="2"/>
        <v>031-913</v>
      </c>
      <c r="C183" t="s">
        <v>84</v>
      </c>
      <c r="D183" s="2043">
        <v>691</v>
      </c>
      <c r="E183" s="2043">
        <v>544</v>
      </c>
      <c r="F183" s="2043">
        <v>-147</v>
      </c>
      <c r="G183" s="2043">
        <v>0</v>
      </c>
      <c r="H183" s="2043">
        <v>0</v>
      </c>
      <c r="I183" s="106">
        <v>0</v>
      </c>
      <c r="J183" s="41" t="s">
        <v>10797</v>
      </c>
      <c r="K183" s="2043">
        <v>0</v>
      </c>
      <c r="L183" s="2043">
        <v>0</v>
      </c>
    </row>
    <row r="184" spans="1:12" ht="14.5">
      <c r="A184" t="s">
        <v>5264</v>
      </c>
      <c r="B184" s="380" t="str">
        <f t="shared" si="2"/>
        <v>218-901</v>
      </c>
      <c r="C184" t="s">
        <v>2423</v>
      </c>
      <c r="D184" s="2043">
        <v>834</v>
      </c>
      <c r="E184" s="2043">
        <v>691</v>
      </c>
      <c r="F184" s="2043">
        <v>-143</v>
      </c>
      <c r="G184" s="2043">
        <v>0</v>
      </c>
      <c r="H184" s="2043">
        <v>0</v>
      </c>
      <c r="I184" s="106">
        <v>0</v>
      </c>
      <c r="J184" s="41" t="s">
        <v>10797</v>
      </c>
      <c r="K184" s="2043">
        <v>0</v>
      </c>
      <c r="L184" s="2043">
        <v>0</v>
      </c>
    </row>
    <row r="185" spans="1:12" ht="14.5">
      <c r="A185" t="s">
        <v>5853</v>
      </c>
      <c r="B185" s="380" t="str">
        <f t="shared" si="2"/>
        <v>167-902</v>
      </c>
      <c r="C185" t="s">
        <v>1665</v>
      </c>
      <c r="D185" s="2043">
        <v>337</v>
      </c>
      <c r="E185" s="2043">
        <v>195</v>
      </c>
      <c r="F185" s="2043">
        <v>-142</v>
      </c>
      <c r="G185" s="2043">
        <v>0</v>
      </c>
      <c r="H185" s="2043">
        <v>0</v>
      </c>
      <c r="I185" s="106">
        <v>0</v>
      </c>
      <c r="J185" s="41" t="s">
        <v>10797</v>
      </c>
      <c r="K185" s="2043">
        <v>0</v>
      </c>
      <c r="L185" s="2043">
        <v>0</v>
      </c>
    </row>
    <row r="186" spans="1:12" ht="14.5">
      <c r="A186" t="s">
        <v>3256</v>
      </c>
      <c r="B186" s="380" t="str">
        <f t="shared" si="2"/>
        <v>245-902</v>
      </c>
      <c r="C186" t="s">
        <v>794</v>
      </c>
      <c r="D186" s="2043">
        <v>1569</v>
      </c>
      <c r="E186" s="2043">
        <v>1428</v>
      </c>
      <c r="F186" s="2043">
        <v>-141</v>
      </c>
      <c r="G186" s="2043">
        <v>0</v>
      </c>
      <c r="H186" s="2043">
        <v>0</v>
      </c>
      <c r="I186" s="106">
        <v>0</v>
      </c>
      <c r="J186" s="41" t="s">
        <v>10797</v>
      </c>
      <c r="K186" s="2043">
        <v>0</v>
      </c>
      <c r="L186" s="2043">
        <v>0</v>
      </c>
    </row>
    <row r="187" spans="1:12" ht="14.5">
      <c r="A187" t="s">
        <v>5241</v>
      </c>
      <c r="B187" s="380" t="str">
        <f t="shared" si="2"/>
        <v>198-905</v>
      </c>
      <c r="C187" t="s">
        <v>1539</v>
      </c>
      <c r="D187" s="2043">
        <v>879</v>
      </c>
      <c r="E187" s="2043">
        <v>741</v>
      </c>
      <c r="F187" s="2043">
        <v>-138</v>
      </c>
      <c r="G187" s="2043">
        <v>0</v>
      </c>
      <c r="H187" s="2043">
        <v>0</v>
      </c>
      <c r="I187" s="106">
        <v>0</v>
      </c>
      <c r="J187" s="41" t="s">
        <v>10797</v>
      </c>
      <c r="K187" s="2043">
        <v>0</v>
      </c>
      <c r="L187" s="2043">
        <v>0</v>
      </c>
    </row>
    <row r="188" spans="1:12" ht="14.5">
      <c r="A188" t="s">
        <v>5087</v>
      </c>
      <c r="B188" s="380" t="str">
        <f t="shared" si="2"/>
        <v>107-902</v>
      </c>
      <c r="C188" t="s">
        <v>1274</v>
      </c>
      <c r="D188" s="2043">
        <v>2721</v>
      </c>
      <c r="E188" s="2043">
        <v>2585</v>
      </c>
      <c r="F188" s="2043">
        <v>-136</v>
      </c>
      <c r="G188" s="2043">
        <v>0</v>
      </c>
      <c r="H188" s="2043">
        <v>0</v>
      </c>
      <c r="I188" s="106">
        <v>0</v>
      </c>
      <c r="J188" s="41" t="s">
        <v>10797</v>
      </c>
      <c r="K188" s="2043">
        <v>0</v>
      </c>
      <c r="L188" s="2043">
        <v>0</v>
      </c>
    </row>
    <row r="189" spans="1:12" ht="14.5">
      <c r="A189" t="s">
        <v>3195</v>
      </c>
      <c r="B189" s="380" t="str">
        <f t="shared" si="2"/>
        <v>205-906</v>
      </c>
      <c r="C189" t="s">
        <v>253</v>
      </c>
      <c r="D189" s="2043">
        <v>2168</v>
      </c>
      <c r="E189" s="2043">
        <v>2034</v>
      </c>
      <c r="F189" s="2043">
        <v>-134</v>
      </c>
      <c r="G189" s="2043">
        <v>0</v>
      </c>
      <c r="H189" s="2043">
        <v>0</v>
      </c>
      <c r="I189" s="106">
        <v>0</v>
      </c>
      <c r="J189" s="41" t="s">
        <v>10797</v>
      </c>
      <c r="K189" s="2043">
        <v>0</v>
      </c>
      <c r="L189" s="2043">
        <v>0</v>
      </c>
    </row>
    <row r="190" spans="1:12" ht="14.5">
      <c r="A190" t="s">
        <v>5308</v>
      </c>
      <c r="B190" s="380" t="str">
        <f t="shared" si="2"/>
        <v>248-901</v>
      </c>
      <c r="C190" t="s">
        <v>1522</v>
      </c>
      <c r="D190" s="2043">
        <v>1404</v>
      </c>
      <c r="E190" s="2043">
        <v>1271</v>
      </c>
      <c r="F190" s="2043">
        <v>-133</v>
      </c>
      <c r="G190" s="2043">
        <v>0</v>
      </c>
      <c r="H190" s="2043">
        <v>0</v>
      </c>
      <c r="I190" s="106">
        <v>0</v>
      </c>
      <c r="J190" s="41" t="s">
        <v>10797</v>
      </c>
      <c r="K190" s="2043">
        <v>0</v>
      </c>
      <c r="L190" s="2043">
        <v>0</v>
      </c>
    </row>
    <row r="191" spans="1:12" ht="14.5">
      <c r="A191" t="s">
        <v>5002</v>
      </c>
      <c r="B191" s="380" t="str">
        <f t="shared" si="2"/>
        <v>066-901</v>
      </c>
      <c r="C191" t="s">
        <v>1853</v>
      </c>
      <c r="D191" s="2043">
        <v>363</v>
      </c>
      <c r="E191" s="2043">
        <v>233</v>
      </c>
      <c r="F191" s="2043">
        <v>-130</v>
      </c>
      <c r="G191" s="2043">
        <v>0</v>
      </c>
      <c r="H191" s="2043">
        <v>0</v>
      </c>
      <c r="I191" s="106">
        <v>0</v>
      </c>
      <c r="J191" s="41" t="s">
        <v>10797</v>
      </c>
      <c r="K191" s="2043">
        <v>0</v>
      </c>
      <c r="L191" s="2043">
        <v>0</v>
      </c>
    </row>
    <row r="192" spans="1:12" ht="14.5">
      <c r="A192" t="s">
        <v>7352</v>
      </c>
      <c r="B192" s="380" t="str">
        <f t="shared" si="2"/>
        <v>015-913</v>
      </c>
      <c r="C192" t="s">
        <v>969</v>
      </c>
      <c r="D192" s="2043">
        <v>1038</v>
      </c>
      <c r="E192" s="2043">
        <v>911</v>
      </c>
      <c r="F192" s="2043">
        <v>-127</v>
      </c>
      <c r="G192" s="2043">
        <v>0</v>
      </c>
      <c r="H192" s="2043">
        <v>0</v>
      </c>
      <c r="I192" s="106">
        <v>0</v>
      </c>
      <c r="J192" s="41" t="s">
        <v>10797</v>
      </c>
      <c r="K192" s="2043">
        <v>0</v>
      </c>
      <c r="L192" s="2043">
        <v>0</v>
      </c>
    </row>
    <row r="193" spans="1:12" ht="14.5">
      <c r="A193" t="s">
        <v>3016</v>
      </c>
      <c r="B193" s="380" t="str">
        <f t="shared" si="2"/>
        <v>100-904</v>
      </c>
      <c r="C193" t="s">
        <v>1406</v>
      </c>
      <c r="D193" s="2043">
        <v>2844</v>
      </c>
      <c r="E193" s="2043">
        <v>2718</v>
      </c>
      <c r="F193" s="2043">
        <v>-126</v>
      </c>
      <c r="G193" s="2043">
        <v>0</v>
      </c>
      <c r="H193" s="2043">
        <v>0</v>
      </c>
      <c r="I193" s="106">
        <v>0</v>
      </c>
      <c r="J193" s="41" t="s">
        <v>10797</v>
      </c>
      <c r="K193" s="2043">
        <v>0</v>
      </c>
      <c r="L193" s="2043">
        <v>0</v>
      </c>
    </row>
    <row r="194" spans="1:12" ht="14.5">
      <c r="A194" t="s">
        <v>5318</v>
      </c>
      <c r="B194" s="380" t="str">
        <f t="shared" si="2"/>
        <v>251-901</v>
      </c>
      <c r="C194" t="s">
        <v>1297</v>
      </c>
      <c r="D194" s="2043">
        <v>1727</v>
      </c>
      <c r="E194" s="2043">
        <v>1601</v>
      </c>
      <c r="F194" s="2043">
        <v>-126</v>
      </c>
      <c r="G194" s="2043">
        <v>0</v>
      </c>
      <c r="H194" s="2043">
        <v>0</v>
      </c>
      <c r="I194" s="106">
        <v>0</v>
      </c>
      <c r="J194" s="41" t="s">
        <v>10797</v>
      </c>
      <c r="K194" s="2043">
        <v>0</v>
      </c>
      <c r="L194" s="2043">
        <v>0</v>
      </c>
    </row>
    <row r="195" spans="1:12" ht="14.5">
      <c r="A195" t="s">
        <v>5798</v>
      </c>
      <c r="B195" s="380" t="str">
        <f t="shared" ref="B195:B258" si="3">CONCATENATE(LEFT(RIGHT(CONCATENATE("000",A195),6),3),"-",(RIGHT(RIGHT(CONCATENATE("000",A195),6),3)))</f>
        <v>075-902</v>
      </c>
      <c r="C195" t="s">
        <v>435</v>
      </c>
      <c r="D195" s="2043">
        <v>1997</v>
      </c>
      <c r="E195" s="2043">
        <v>1873</v>
      </c>
      <c r="F195" s="2043">
        <v>-124</v>
      </c>
      <c r="G195" s="2043">
        <v>0</v>
      </c>
      <c r="H195" s="2043">
        <v>0</v>
      </c>
      <c r="I195" s="106">
        <v>0</v>
      </c>
      <c r="J195" s="41" t="s">
        <v>10797</v>
      </c>
      <c r="K195" s="2043">
        <v>0</v>
      </c>
      <c r="L195" s="2043">
        <v>0</v>
      </c>
    </row>
    <row r="196" spans="1:12" ht="14.5">
      <c r="A196" t="s">
        <v>5171</v>
      </c>
      <c r="B196" s="380" t="str">
        <f t="shared" si="3"/>
        <v>158-905</v>
      </c>
      <c r="C196" t="s">
        <v>1650</v>
      </c>
      <c r="D196" s="2043">
        <v>1446</v>
      </c>
      <c r="E196" s="2043">
        <v>1322</v>
      </c>
      <c r="F196" s="2043">
        <v>-124</v>
      </c>
      <c r="G196" s="2043">
        <v>0</v>
      </c>
      <c r="H196" s="2043">
        <v>0</v>
      </c>
      <c r="I196" s="106">
        <v>0</v>
      </c>
      <c r="J196" s="41" t="s">
        <v>10797</v>
      </c>
      <c r="K196" s="2043">
        <v>0</v>
      </c>
      <c r="L196" s="2043">
        <v>0</v>
      </c>
    </row>
    <row r="197" spans="1:12" ht="14.5">
      <c r="A197" t="s">
        <v>5211</v>
      </c>
      <c r="B197" s="380" t="str">
        <f t="shared" si="3"/>
        <v>181-908</v>
      </c>
      <c r="C197" t="s">
        <v>3321</v>
      </c>
      <c r="D197" s="2043">
        <v>3355</v>
      </c>
      <c r="E197" s="2043">
        <v>3233</v>
      </c>
      <c r="F197" s="2043">
        <v>-122</v>
      </c>
      <c r="G197" s="2043">
        <v>0</v>
      </c>
      <c r="H197" s="2043">
        <v>0</v>
      </c>
      <c r="I197" s="106">
        <v>0</v>
      </c>
      <c r="J197" s="41" t="s">
        <v>10797</v>
      </c>
      <c r="K197" s="2043">
        <v>0</v>
      </c>
      <c r="L197" s="2043">
        <v>0</v>
      </c>
    </row>
    <row r="198" spans="1:12" ht="14.5">
      <c r="A198" t="s">
        <v>2927</v>
      </c>
      <c r="B198" s="380" t="str">
        <f t="shared" si="3"/>
        <v>038-901</v>
      </c>
      <c r="C198" t="s">
        <v>2062</v>
      </c>
      <c r="D198" s="2043">
        <v>1135</v>
      </c>
      <c r="E198" s="2043">
        <v>1014</v>
      </c>
      <c r="F198" s="2043">
        <v>-121</v>
      </c>
      <c r="G198" s="2043">
        <v>0</v>
      </c>
      <c r="H198" s="2043">
        <v>0</v>
      </c>
      <c r="I198" s="106">
        <v>0</v>
      </c>
      <c r="J198" s="41" t="s">
        <v>10797</v>
      </c>
      <c r="K198" s="2043">
        <v>0</v>
      </c>
      <c r="L198" s="2043">
        <v>0</v>
      </c>
    </row>
    <row r="199" spans="1:12" ht="14.5">
      <c r="A199" t="s">
        <v>2849</v>
      </c>
      <c r="B199" s="380" t="str">
        <f t="shared" si="3"/>
        <v>001-903</v>
      </c>
      <c r="C199" t="s">
        <v>266</v>
      </c>
      <c r="D199" s="2043">
        <v>1269</v>
      </c>
      <c r="E199" s="2043">
        <v>1150</v>
      </c>
      <c r="F199" s="2043">
        <v>-119</v>
      </c>
      <c r="G199" s="2043">
        <v>0</v>
      </c>
      <c r="H199" s="2043">
        <v>0</v>
      </c>
      <c r="I199" s="106">
        <v>0</v>
      </c>
      <c r="J199" s="41" t="s">
        <v>10797</v>
      </c>
      <c r="K199" s="2043">
        <v>0</v>
      </c>
      <c r="L199" s="2043">
        <v>0</v>
      </c>
    </row>
    <row r="200" spans="1:12" ht="14.5">
      <c r="A200" t="s">
        <v>4981</v>
      </c>
      <c r="B200" s="380" t="str">
        <f t="shared" si="3"/>
        <v>050-902</v>
      </c>
      <c r="C200" t="s">
        <v>2096</v>
      </c>
      <c r="D200" s="2043">
        <v>2815</v>
      </c>
      <c r="E200" s="2043">
        <v>2697</v>
      </c>
      <c r="F200" s="2043">
        <v>-118</v>
      </c>
      <c r="G200" s="2043">
        <v>0</v>
      </c>
      <c r="H200" s="2043">
        <v>0</v>
      </c>
      <c r="I200" s="106">
        <v>0</v>
      </c>
      <c r="J200" s="41" t="s">
        <v>10797</v>
      </c>
      <c r="K200" s="2043">
        <v>0</v>
      </c>
      <c r="L200" s="2043">
        <v>0</v>
      </c>
    </row>
    <row r="201" spans="1:12" ht="14.5">
      <c r="A201" t="s">
        <v>5018</v>
      </c>
      <c r="B201" s="380" t="str">
        <f t="shared" si="3"/>
        <v>077-901</v>
      </c>
      <c r="C201" t="s">
        <v>801</v>
      </c>
      <c r="D201" s="2043">
        <v>805</v>
      </c>
      <c r="E201" s="2043">
        <v>687</v>
      </c>
      <c r="F201" s="2043">
        <v>-118</v>
      </c>
      <c r="G201" s="2043">
        <v>0</v>
      </c>
      <c r="H201" s="2043">
        <v>0</v>
      </c>
      <c r="I201" s="106">
        <v>0</v>
      </c>
      <c r="J201" s="41" t="s">
        <v>10797</v>
      </c>
      <c r="K201" s="2043">
        <v>0</v>
      </c>
      <c r="L201" s="2043">
        <v>0</v>
      </c>
    </row>
    <row r="202" spans="1:12" ht="14.5">
      <c r="A202" t="s">
        <v>3255</v>
      </c>
      <c r="B202" s="380" t="str">
        <f t="shared" si="3"/>
        <v>245-901</v>
      </c>
      <c r="C202" t="s">
        <v>2220</v>
      </c>
      <c r="D202" s="2043">
        <v>445</v>
      </c>
      <c r="E202" s="2043">
        <v>327</v>
      </c>
      <c r="F202" s="2043">
        <v>-118</v>
      </c>
      <c r="G202" s="2043">
        <v>0</v>
      </c>
      <c r="H202" s="2043">
        <v>0</v>
      </c>
      <c r="I202" s="106">
        <v>0</v>
      </c>
      <c r="J202" s="41" t="s">
        <v>10797</v>
      </c>
      <c r="K202" s="2043">
        <v>0</v>
      </c>
      <c r="L202" s="2043">
        <v>0</v>
      </c>
    </row>
    <row r="203" spans="1:12" ht="14.5">
      <c r="A203" t="s">
        <v>2968</v>
      </c>
      <c r="B203" s="380" t="str">
        <f t="shared" si="3"/>
        <v>062-901</v>
      </c>
      <c r="C203" t="s">
        <v>399</v>
      </c>
      <c r="D203" s="2043">
        <v>2045</v>
      </c>
      <c r="E203" s="2043">
        <v>1928</v>
      </c>
      <c r="F203" s="2043">
        <v>-117</v>
      </c>
      <c r="G203" s="2043">
        <v>0</v>
      </c>
      <c r="H203" s="2043">
        <v>0</v>
      </c>
      <c r="I203" s="106">
        <v>0</v>
      </c>
      <c r="J203" s="41" t="s">
        <v>10797</v>
      </c>
      <c r="K203" s="2043">
        <v>0</v>
      </c>
      <c r="L203" s="2043">
        <v>0</v>
      </c>
    </row>
    <row r="204" spans="1:12" ht="14.5">
      <c r="A204" t="s">
        <v>4961</v>
      </c>
      <c r="B204" s="380" t="str">
        <f t="shared" si="3"/>
        <v>034-903</v>
      </c>
      <c r="C204" t="s">
        <v>2051</v>
      </c>
      <c r="D204" s="2043">
        <v>1261</v>
      </c>
      <c r="E204" s="2043">
        <v>1146</v>
      </c>
      <c r="F204" s="2043">
        <v>-115</v>
      </c>
      <c r="G204" s="2043">
        <v>0</v>
      </c>
      <c r="H204" s="2043">
        <v>0</v>
      </c>
      <c r="I204" s="106">
        <v>0</v>
      </c>
      <c r="J204" s="41" t="s">
        <v>10797</v>
      </c>
      <c r="K204" s="2043">
        <v>0</v>
      </c>
      <c r="L204" s="2043">
        <v>0</v>
      </c>
    </row>
    <row r="205" spans="1:12" ht="14.5">
      <c r="A205" t="s">
        <v>5177</v>
      </c>
      <c r="B205" s="380" t="str">
        <f t="shared" si="3"/>
        <v>166-904</v>
      </c>
      <c r="C205" t="s">
        <v>1663</v>
      </c>
      <c r="D205" s="2043">
        <v>1540</v>
      </c>
      <c r="E205" s="2043">
        <v>1425</v>
      </c>
      <c r="F205" s="2043">
        <v>-115</v>
      </c>
      <c r="G205" s="2043">
        <v>0</v>
      </c>
      <c r="H205" s="2043">
        <v>0</v>
      </c>
      <c r="I205" s="106">
        <v>0</v>
      </c>
      <c r="J205" s="41" t="s">
        <v>10797</v>
      </c>
      <c r="K205" s="2043">
        <v>0</v>
      </c>
      <c r="L205" s="2043">
        <v>0</v>
      </c>
    </row>
    <row r="206" spans="1:12" ht="14.5">
      <c r="A206" t="s">
        <v>3082</v>
      </c>
      <c r="B206" s="380" t="str">
        <f t="shared" si="3"/>
        <v>126-901</v>
      </c>
      <c r="C206" t="s">
        <v>995</v>
      </c>
      <c r="D206" s="2043">
        <v>3724</v>
      </c>
      <c r="E206" s="2043">
        <v>3610</v>
      </c>
      <c r="F206" s="2043">
        <v>-114</v>
      </c>
      <c r="G206" s="2043">
        <v>0</v>
      </c>
      <c r="H206" s="2043">
        <v>0</v>
      </c>
      <c r="I206" s="106">
        <v>0</v>
      </c>
      <c r="J206" s="41" t="s">
        <v>10797</v>
      </c>
      <c r="K206" s="2043">
        <v>0</v>
      </c>
      <c r="L206" s="2043">
        <v>0</v>
      </c>
    </row>
    <row r="207" spans="1:12" ht="14.5">
      <c r="A207" t="s">
        <v>3129</v>
      </c>
      <c r="B207" s="380" t="str">
        <f t="shared" si="3"/>
        <v>161-919</v>
      </c>
      <c r="C207" t="s">
        <v>1655</v>
      </c>
      <c r="D207" s="2043">
        <v>724</v>
      </c>
      <c r="E207" s="2043">
        <v>610</v>
      </c>
      <c r="F207" s="2043">
        <v>-114</v>
      </c>
      <c r="G207" s="2043">
        <v>0</v>
      </c>
      <c r="H207" s="2043">
        <v>0</v>
      </c>
      <c r="I207" s="106">
        <v>0</v>
      </c>
      <c r="J207" s="41" t="s">
        <v>10797</v>
      </c>
      <c r="K207" s="2043">
        <v>0</v>
      </c>
      <c r="L207" s="2043">
        <v>0</v>
      </c>
    </row>
    <row r="208" spans="1:12" ht="14.5">
      <c r="A208" t="s">
        <v>3189</v>
      </c>
      <c r="B208" s="380" t="str">
        <f t="shared" si="3"/>
        <v>202-905</v>
      </c>
      <c r="C208" t="s">
        <v>1440</v>
      </c>
      <c r="D208" s="2043">
        <v>672</v>
      </c>
      <c r="E208" s="2043">
        <v>560</v>
      </c>
      <c r="F208" s="2043">
        <v>-112</v>
      </c>
      <c r="G208" s="2043">
        <v>0</v>
      </c>
      <c r="H208" s="2043">
        <v>0</v>
      </c>
      <c r="I208" s="106">
        <v>0</v>
      </c>
      <c r="J208" s="41" t="s">
        <v>10797</v>
      </c>
      <c r="K208" s="2043">
        <v>0</v>
      </c>
      <c r="L208" s="2043">
        <v>0</v>
      </c>
    </row>
    <row r="209" spans="1:12" ht="14.5">
      <c r="A209" t="s">
        <v>5049</v>
      </c>
      <c r="B209" s="380" t="str">
        <f t="shared" si="3"/>
        <v>092-901</v>
      </c>
      <c r="C209" t="s">
        <v>209</v>
      </c>
      <c r="D209" s="2043">
        <v>1814</v>
      </c>
      <c r="E209" s="2043">
        <v>1703</v>
      </c>
      <c r="F209" s="2043">
        <v>-111</v>
      </c>
      <c r="G209" s="2043">
        <v>0</v>
      </c>
      <c r="H209" s="2043">
        <v>0</v>
      </c>
      <c r="I209" s="106">
        <v>0</v>
      </c>
      <c r="J209" s="41" t="s">
        <v>10797</v>
      </c>
      <c r="K209" s="2043">
        <v>0</v>
      </c>
      <c r="L209" s="2043">
        <v>0</v>
      </c>
    </row>
    <row r="210" spans="1:12" ht="14.5">
      <c r="A210" t="s">
        <v>2852</v>
      </c>
      <c r="B210" s="380" t="str">
        <f t="shared" si="3"/>
        <v>003-904</v>
      </c>
      <c r="C210" t="s">
        <v>1192</v>
      </c>
      <c r="D210" s="2043">
        <v>1724</v>
      </c>
      <c r="E210" s="2043">
        <v>1615</v>
      </c>
      <c r="F210" s="2043">
        <v>-109</v>
      </c>
      <c r="G210" s="2043">
        <v>0</v>
      </c>
      <c r="H210" s="2043">
        <v>0</v>
      </c>
      <c r="I210" s="106">
        <v>0</v>
      </c>
      <c r="J210" s="41" t="s">
        <v>10797</v>
      </c>
      <c r="K210" s="2043">
        <v>0</v>
      </c>
      <c r="L210" s="2043">
        <v>0</v>
      </c>
    </row>
    <row r="211" spans="1:12" ht="14.5">
      <c r="A211" t="s">
        <v>2880</v>
      </c>
      <c r="B211" s="380" t="str">
        <f t="shared" si="3"/>
        <v>015-909</v>
      </c>
      <c r="C211" t="s">
        <v>1824</v>
      </c>
      <c r="D211" s="2043">
        <v>4067</v>
      </c>
      <c r="E211" s="2043">
        <v>3958</v>
      </c>
      <c r="F211" s="2043">
        <v>-109</v>
      </c>
      <c r="G211" s="2043">
        <v>0</v>
      </c>
      <c r="H211" s="2043">
        <v>0</v>
      </c>
      <c r="I211" s="106">
        <v>0</v>
      </c>
      <c r="J211" s="41" t="s">
        <v>10797</v>
      </c>
      <c r="K211" s="2043">
        <v>0</v>
      </c>
      <c r="L211" s="2043">
        <v>0</v>
      </c>
    </row>
    <row r="212" spans="1:12" ht="14.5">
      <c r="A212" t="s">
        <v>5036</v>
      </c>
      <c r="B212" s="380" t="str">
        <f t="shared" si="3"/>
        <v>086-901</v>
      </c>
      <c r="C212" t="s">
        <v>354</v>
      </c>
      <c r="D212" s="2043">
        <v>3228</v>
      </c>
      <c r="E212" s="2043">
        <v>3121</v>
      </c>
      <c r="F212" s="2043">
        <v>-107</v>
      </c>
      <c r="G212" s="2043">
        <v>0</v>
      </c>
      <c r="H212" s="2043">
        <v>0</v>
      </c>
      <c r="I212" s="106">
        <v>0</v>
      </c>
      <c r="J212" s="41" t="s">
        <v>10797</v>
      </c>
      <c r="K212" s="2043">
        <v>0</v>
      </c>
      <c r="L212" s="2043">
        <v>0</v>
      </c>
    </row>
    <row r="213" spans="1:12" ht="14.5">
      <c r="A213" t="s">
        <v>5253</v>
      </c>
      <c r="B213" s="380" t="str">
        <f t="shared" si="3"/>
        <v>210-904</v>
      </c>
      <c r="C213" t="s">
        <v>1681</v>
      </c>
      <c r="D213" s="2043">
        <v>579</v>
      </c>
      <c r="E213" s="2043">
        <v>473</v>
      </c>
      <c r="F213" s="2043">
        <v>-106</v>
      </c>
      <c r="G213" s="2043">
        <v>0</v>
      </c>
      <c r="H213" s="2043">
        <v>0</v>
      </c>
      <c r="I213" s="106">
        <v>0</v>
      </c>
      <c r="J213" s="41" t="s">
        <v>10797</v>
      </c>
      <c r="K213" s="2043">
        <v>0</v>
      </c>
      <c r="L213" s="2043">
        <v>0</v>
      </c>
    </row>
    <row r="214" spans="1:12" ht="14.5">
      <c r="A214" t="s">
        <v>3257</v>
      </c>
      <c r="B214" s="380" t="str">
        <f t="shared" si="3"/>
        <v>245-903</v>
      </c>
      <c r="C214" t="s">
        <v>76</v>
      </c>
      <c r="D214" s="2043">
        <v>2067</v>
      </c>
      <c r="E214" s="2043">
        <v>1961</v>
      </c>
      <c r="F214" s="2043">
        <v>-106</v>
      </c>
      <c r="G214" s="2043">
        <v>0</v>
      </c>
      <c r="H214" s="2043">
        <v>0</v>
      </c>
      <c r="I214" s="106">
        <v>0</v>
      </c>
      <c r="J214" s="41" t="s">
        <v>10797</v>
      </c>
      <c r="K214" s="2043">
        <v>0</v>
      </c>
      <c r="L214" s="2043">
        <v>0</v>
      </c>
    </row>
    <row r="215" spans="1:12" ht="14.5">
      <c r="A215" t="s">
        <v>2860</v>
      </c>
      <c r="B215" s="380" t="str">
        <f t="shared" si="3"/>
        <v>009-901</v>
      </c>
      <c r="C215" t="s">
        <v>1133</v>
      </c>
      <c r="D215" s="2043">
        <v>1453</v>
      </c>
      <c r="E215" s="2043">
        <v>1348</v>
      </c>
      <c r="F215" s="2043">
        <v>-105</v>
      </c>
      <c r="G215" s="2043">
        <v>0</v>
      </c>
      <c r="H215" s="2043">
        <v>0</v>
      </c>
      <c r="I215" s="106">
        <v>0</v>
      </c>
      <c r="J215" s="41" t="s">
        <v>10797</v>
      </c>
      <c r="K215" s="2043">
        <v>0</v>
      </c>
      <c r="L215" s="2043">
        <v>0</v>
      </c>
    </row>
    <row r="216" spans="1:12" ht="14.5">
      <c r="A216" t="s">
        <v>2856</v>
      </c>
      <c r="B216" s="380" t="str">
        <f t="shared" si="3"/>
        <v>007-901</v>
      </c>
      <c r="C216" t="s">
        <v>620</v>
      </c>
      <c r="D216" s="2043">
        <v>501</v>
      </c>
      <c r="E216" s="2043">
        <v>397</v>
      </c>
      <c r="F216" s="2043">
        <v>-104</v>
      </c>
      <c r="G216" s="2043">
        <v>0</v>
      </c>
      <c r="H216" s="2043">
        <v>0</v>
      </c>
      <c r="I216" s="106">
        <v>0</v>
      </c>
      <c r="J216" s="41" t="s">
        <v>10797</v>
      </c>
      <c r="K216" s="2043">
        <v>0</v>
      </c>
      <c r="L216" s="2043">
        <v>0</v>
      </c>
    </row>
    <row r="217" spans="1:12" ht="14.5">
      <c r="A217" t="s">
        <v>2969</v>
      </c>
      <c r="B217" s="380" t="str">
        <f t="shared" si="3"/>
        <v>062-903</v>
      </c>
      <c r="C217" t="s">
        <v>2073</v>
      </c>
      <c r="D217" s="2043">
        <v>1611</v>
      </c>
      <c r="E217" s="2043">
        <v>1507</v>
      </c>
      <c r="F217" s="2043">
        <v>-104</v>
      </c>
      <c r="G217" s="2043">
        <v>0</v>
      </c>
      <c r="H217" s="2043">
        <v>0</v>
      </c>
      <c r="I217" s="106">
        <v>0</v>
      </c>
      <c r="J217" s="41" t="s">
        <v>10797</v>
      </c>
      <c r="K217" s="2043">
        <v>0</v>
      </c>
      <c r="L217" s="2043">
        <v>0</v>
      </c>
    </row>
    <row r="218" spans="1:12" ht="14.5">
      <c r="A218" t="s">
        <v>3234</v>
      </c>
      <c r="B218" s="380" t="str">
        <f t="shared" si="3"/>
        <v>232-902</v>
      </c>
      <c r="C218" t="s">
        <v>578</v>
      </c>
      <c r="D218" s="2043">
        <v>503</v>
      </c>
      <c r="E218" s="2043">
        <v>399</v>
      </c>
      <c r="F218" s="2043">
        <v>-104</v>
      </c>
      <c r="G218" s="2043">
        <v>0</v>
      </c>
      <c r="H218" s="2043">
        <v>0</v>
      </c>
      <c r="I218" s="106">
        <v>0</v>
      </c>
      <c r="J218" s="41" t="s">
        <v>10797</v>
      </c>
      <c r="K218" s="2043">
        <v>0</v>
      </c>
      <c r="L218" s="2043">
        <v>0</v>
      </c>
    </row>
    <row r="219" spans="1:12" ht="14.5">
      <c r="A219" t="s">
        <v>5119</v>
      </c>
      <c r="B219" s="380" t="str">
        <f t="shared" si="3"/>
        <v>124-901</v>
      </c>
      <c r="C219" t="s">
        <v>1641</v>
      </c>
      <c r="D219" s="2043">
        <v>1181</v>
      </c>
      <c r="E219" s="2043">
        <v>1078</v>
      </c>
      <c r="F219" s="2043">
        <v>-103</v>
      </c>
      <c r="G219" s="2043">
        <v>0</v>
      </c>
      <c r="H219" s="2043">
        <v>0</v>
      </c>
      <c r="I219" s="106">
        <v>0</v>
      </c>
      <c r="J219" s="41" t="s">
        <v>10797</v>
      </c>
      <c r="K219" s="2043">
        <v>0</v>
      </c>
      <c r="L219" s="2043">
        <v>0</v>
      </c>
    </row>
    <row r="220" spans="1:12" ht="14.5">
      <c r="A220" t="s">
        <v>5179</v>
      </c>
      <c r="B220" s="380" t="str">
        <f t="shared" si="3"/>
        <v>168-901</v>
      </c>
      <c r="C220" t="s">
        <v>1667</v>
      </c>
      <c r="D220" s="2043">
        <v>999</v>
      </c>
      <c r="E220" s="2043">
        <v>896</v>
      </c>
      <c r="F220" s="2043">
        <v>-103</v>
      </c>
      <c r="G220" s="2043">
        <v>0</v>
      </c>
      <c r="H220" s="2043">
        <v>0</v>
      </c>
      <c r="I220" s="106">
        <v>0</v>
      </c>
      <c r="J220" s="41" t="s">
        <v>10797</v>
      </c>
      <c r="K220" s="2043">
        <v>0</v>
      </c>
      <c r="L220" s="2043">
        <v>0</v>
      </c>
    </row>
    <row r="221" spans="1:12" ht="14.5">
      <c r="A221" t="s">
        <v>5205</v>
      </c>
      <c r="B221" s="380" t="str">
        <f t="shared" si="3"/>
        <v>178-912</v>
      </c>
      <c r="C221" t="s">
        <v>303</v>
      </c>
      <c r="D221" s="2043">
        <v>3850</v>
      </c>
      <c r="E221" s="2043">
        <v>3750</v>
      </c>
      <c r="F221" s="2043">
        <v>-100</v>
      </c>
      <c r="G221" s="2043">
        <v>0</v>
      </c>
      <c r="H221" s="2043">
        <v>0</v>
      </c>
      <c r="I221" s="106">
        <v>0</v>
      </c>
      <c r="J221" s="41" t="s">
        <v>10797</v>
      </c>
      <c r="K221" s="2043">
        <v>0</v>
      </c>
      <c r="L221" s="2043">
        <v>0</v>
      </c>
    </row>
    <row r="222" spans="1:12" ht="14.5">
      <c r="A222" t="s">
        <v>5228</v>
      </c>
      <c r="B222" s="380" t="str">
        <f t="shared" si="3"/>
        <v>188-903</v>
      </c>
      <c r="C222" t="s">
        <v>121</v>
      </c>
      <c r="D222" s="2043">
        <v>926</v>
      </c>
      <c r="E222" s="2043">
        <v>826</v>
      </c>
      <c r="F222" s="2043">
        <v>-100</v>
      </c>
      <c r="G222" s="2043">
        <v>0</v>
      </c>
      <c r="H222" s="2043">
        <v>0</v>
      </c>
      <c r="I222" s="106">
        <v>0</v>
      </c>
      <c r="J222" s="41" t="s">
        <v>10797</v>
      </c>
      <c r="K222" s="2043">
        <v>0</v>
      </c>
      <c r="L222" s="2043">
        <v>0</v>
      </c>
    </row>
    <row r="223" spans="1:12" ht="14.5">
      <c r="A223" t="s">
        <v>5077</v>
      </c>
      <c r="B223" s="380" t="str">
        <f t="shared" si="3"/>
        <v>102-904</v>
      </c>
      <c r="C223" t="s">
        <v>1961</v>
      </c>
      <c r="D223" s="2043">
        <v>4974</v>
      </c>
      <c r="E223" s="2043">
        <v>4875</v>
      </c>
      <c r="F223" s="2043">
        <v>-99</v>
      </c>
      <c r="G223" s="2043">
        <v>0</v>
      </c>
      <c r="H223" s="2043">
        <v>0</v>
      </c>
      <c r="I223" s="106">
        <v>0</v>
      </c>
      <c r="J223" s="41" t="s">
        <v>10797</v>
      </c>
      <c r="K223" s="2043">
        <v>0</v>
      </c>
      <c r="L223" s="2043">
        <v>0</v>
      </c>
    </row>
    <row r="224" spans="1:12" ht="14.5">
      <c r="A224" t="s">
        <v>5164</v>
      </c>
      <c r="B224" s="380" t="str">
        <f t="shared" si="3"/>
        <v>155-901</v>
      </c>
      <c r="C224" t="s">
        <v>528</v>
      </c>
      <c r="D224" s="2043">
        <v>1262</v>
      </c>
      <c r="E224" s="2043">
        <v>1163</v>
      </c>
      <c r="F224" s="2043">
        <v>-99</v>
      </c>
      <c r="G224" s="2043">
        <v>0</v>
      </c>
      <c r="H224" s="2043">
        <v>0</v>
      </c>
      <c r="I224" s="106">
        <v>0</v>
      </c>
      <c r="J224" s="41" t="s">
        <v>10797</v>
      </c>
      <c r="K224" s="2043">
        <v>0</v>
      </c>
      <c r="L224" s="2043">
        <v>0</v>
      </c>
    </row>
    <row r="225" spans="1:12" ht="14.5">
      <c r="A225" t="s">
        <v>5225</v>
      </c>
      <c r="B225" s="380" t="str">
        <f t="shared" si="3"/>
        <v>187-904</v>
      </c>
      <c r="C225" t="s">
        <v>423</v>
      </c>
      <c r="D225" s="2043">
        <v>918</v>
      </c>
      <c r="E225" s="2043">
        <v>819</v>
      </c>
      <c r="F225" s="2043">
        <v>-99</v>
      </c>
      <c r="G225" s="2043">
        <v>0</v>
      </c>
      <c r="H225" s="2043">
        <v>0</v>
      </c>
      <c r="I225" s="106">
        <v>0</v>
      </c>
      <c r="J225" s="41" t="s">
        <v>10797</v>
      </c>
      <c r="K225" s="2043">
        <v>0</v>
      </c>
      <c r="L225" s="2043">
        <v>0</v>
      </c>
    </row>
    <row r="226" spans="1:12" ht="14.5">
      <c r="A226" t="s">
        <v>3191</v>
      </c>
      <c r="B226" s="380" t="str">
        <f t="shared" si="3"/>
        <v>204-904</v>
      </c>
      <c r="C226" t="s">
        <v>334</v>
      </c>
      <c r="D226" s="2043">
        <v>2012</v>
      </c>
      <c r="E226" s="2043">
        <v>1913</v>
      </c>
      <c r="F226" s="2043">
        <v>-99</v>
      </c>
      <c r="G226" s="2043">
        <v>0</v>
      </c>
      <c r="H226" s="2043">
        <v>0</v>
      </c>
      <c r="I226" s="106">
        <v>0</v>
      </c>
      <c r="J226" s="41" t="s">
        <v>10797</v>
      </c>
      <c r="K226" s="2043">
        <v>0</v>
      </c>
      <c r="L226" s="2043">
        <v>0</v>
      </c>
    </row>
    <row r="227" spans="1:12" ht="14.5">
      <c r="A227" t="s">
        <v>5891</v>
      </c>
      <c r="B227" s="380" t="str">
        <f t="shared" si="3"/>
        <v>230-904</v>
      </c>
      <c r="C227" t="s">
        <v>732</v>
      </c>
      <c r="D227" s="2043">
        <v>383</v>
      </c>
      <c r="E227" s="2043">
        <v>284</v>
      </c>
      <c r="F227" s="2043">
        <v>-99</v>
      </c>
      <c r="G227" s="2043">
        <v>0</v>
      </c>
      <c r="H227" s="2043">
        <v>0</v>
      </c>
      <c r="I227" s="106">
        <v>0</v>
      </c>
      <c r="J227" s="41" t="s">
        <v>10797</v>
      </c>
      <c r="K227" s="2043">
        <v>0</v>
      </c>
      <c r="L227" s="2043">
        <v>0</v>
      </c>
    </row>
    <row r="228" spans="1:12" ht="14.5">
      <c r="A228" t="s">
        <v>2858</v>
      </c>
      <c r="B228" s="380" t="str">
        <f t="shared" si="3"/>
        <v>007-905</v>
      </c>
      <c r="C228" t="s">
        <v>947</v>
      </c>
      <c r="D228" s="2043">
        <v>3482</v>
      </c>
      <c r="E228" s="2043">
        <v>3384</v>
      </c>
      <c r="F228" s="2043">
        <v>-98</v>
      </c>
      <c r="G228" s="2043">
        <v>0</v>
      </c>
      <c r="H228" s="2043">
        <v>0</v>
      </c>
      <c r="I228" s="106">
        <v>0</v>
      </c>
      <c r="J228" s="41" t="s">
        <v>10797</v>
      </c>
      <c r="K228" s="2043">
        <v>0</v>
      </c>
      <c r="L228" s="2043">
        <v>0</v>
      </c>
    </row>
    <row r="229" spans="1:12" ht="14.5">
      <c r="A229" t="s">
        <v>4962</v>
      </c>
      <c r="B229" s="380" t="str">
        <f t="shared" si="3"/>
        <v>034-907</v>
      </c>
      <c r="C229" t="s">
        <v>1610</v>
      </c>
      <c r="D229" s="2043">
        <v>1033</v>
      </c>
      <c r="E229" s="2043">
        <v>935</v>
      </c>
      <c r="F229" s="2043">
        <v>-98</v>
      </c>
      <c r="G229" s="2043">
        <v>0</v>
      </c>
      <c r="H229" s="2043">
        <v>0</v>
      </c>
      <c r="I229" s="106">
        <v>0</v>
      </c>
      <c r="J229" s="41" t="s">
        <v>10797</v>
      </c>
      <c r="K229" s="2043">
        <v>0</v>
      </c>
      <c r="L229" s="2043">
        <v>0</v>
      </c>
    </row>
    <row r="230" spans="1:12" ht="14.5">
      <c r="A230" t="s">
        <v>5114</v>
      </c>
      <c r="B230" s="380" t="str">
        <f t="shared" si="3"/>
        <v>121-906</v>
      </c>
      <c r="C230" t="s">
        <v>2360</v>
      </c>
      <c r="D230" s="2043">
        <v>495</v>
      </c>
      <c r="E230" s="2043">
        <v>397</v>
      </c>
      <c r="F230" s="2043">
        <v>-98</v>
      </c>
      <c r="G230" s="2043">
        <v>0</v>
      </c>
      <c r="H230" s="2043">
        <v>0</v>
      </c>
      <c r="I230" s="106">
        <v>0</v>
      </c>
      <c r="J230" s="41" t="s">
        <v>10797</v>
      </c>
      <c r="K230" s="2043">
        <v>0</v>
      </c>
      <c r="L230" s="2043">
        <v>0</v>
      </c>
    </row>
    <row r="231" spans="1:12" ht="14.5">
      <c r="A231" t="s">
        <v>5870</v>
      </c>
      <c r="B231" s="380" t="str">
        <f t="shared" si="3"/>
        <v>200-901</v>
      </c>
      <c r="C231" t="s">
        <v>1787</v>
      </c>
      <c r="D231" s="2043">
        <v>937</v>
      </c>
      <c r="E231" s="2043">
        <v>839</v>
      </c>
      <c r="F231" s="2043">
        <v>-98</v>
      </c>
      <c r="G231" s="2043">
        <v>0</v>
      </c>
      <c r="H231" s="2043">
        <v>0</v>
      </c>
      <c r="I231" s="106">
        <v>0</v>
      </c>
      <c r="J231" s="41" t="s">
        <v>10797</v>
      </c>
      <c r="K231" s="2043">
        <v>0</v>
      </c>
      <c r="L231" s="2043">
        <v>0</v>
      </c>
    </row>
    <row r="232" spans="1:12" ht="14.5">
      <c r="A232" t="s">
        <v>5076</v>
      </c>
      <c r="B232" s="380" t="str">
        <f t="shared" si="3"/>
        <v>102-903</v>
      </c>
      <c r="C232" t="s">
        <v>2072</v>
      </c>
      <c r="D232" s="2043">
        <v>940</v>
      </c>
      <c r="E232" s="2043">
        <v>845</v>
      </c>
      <c r="F232" s="2043">
        <v>-95</v>
      </c>
      <c r="G232" s="2043">
        <v>0</v>
      </c>
      <c r="H232" s="2043">
        <v>0</v>
      </c>
      <c r="I232" s="106">
        <v>0</v>
      </c>
      <c r="J232" s="41" t="s">
        <v>10797</v>
      </c>
      <c r="K232" s="2043">
        <v>0</v>
      </c>
      <c r="L232" s="2043">
        <v>0</v>
      </c>
    </row>
    <row r="233" spans="1:12" ht="14.5">
      <c r="A233" t="s">
        <v>2850</v>
      </c>
      <c r="B233" s="380" t="str">
        <f t="shared" si="3"/>
        <v>001-907</v>
      </c>
      <c r="C233" t="s">
        <v>269</v>
      </c>
      <c r="D233" s="2043">
        <v>3455</v>
      </c>
      <c r="E233" s="2043">
        <v>3361</v>
      </c>
      <c r="F233" s="2043">
        <v>-94</v>
      </c>
      <c r="G233" s="2043">
        <v>0</v>
      </c>
      <c r="H233" s="2043">
        <v>0</v>
      </c>
      <c r="I233" s="106">
        <v>0</v>
      </c>
      <c r="J233" s="41" t="s">
        <v>10797</v>
      </c>
      <c r="K233" s="2043">
        <v>0</v>
      </c>
      <c r="L233" s="2043">
        <v>0</v>
      </c>
    </row>
    <row r="234" spans="1:12" ht="14.5">
      <c r="A234" t="s">
        <v>3128</v>
      </c>
      <c r="B234" s="380" t="str">
        <f t="shared" si="3"/>
        <v>161-916</v>
      </c>
      <c r="C234" t="s">
        <v>1345</v>
      </c>
      <c r="D234" s="2043">
        <v>1332</v>
      </c>
      <c r="E234" s="2043">
        <v>1239</v>
      </c>
      <c r="F234" s="2043">
        <v>-93</v>
      </c>
      <c r="G234" s="2043">
        <v>0</v>
      </c>
      <c r="H234" s="2043">
        <v>0</v>
      </c>
      <c r="I234" s="106">
        <v>0</v>
      </c>
      <c r="J234" s="41" t="s">
        <v>10797</v>
      </c>
      <c r="K234" s="2043">
        <v>0</v>
      </c>
      <c r="L234" s="2043">
        <v>0</v>
      </c>
    </row>
    <row r="235" spans="1:12" ht="14.5">
      <c r="A235" t="s">
        <v>3131</v>
      </c>
      <c r="B235" s="380" t="str">
        <f t="shared" si="3"/>
        <v>161-921</v>
      </c>
      <c r="C235" t="s">
        <v>1462</v>
      </c>
      <c r="D235" s="2043">
        <v>2363</v>
      </c>
      <c r="E235" s="2043">
        <v>2270</v>
      </c>
      <c r="F235" s="2043">
        <v>-93</v>
      </c>
      <c r="G235" s="2043">
        <v>0</v>
      </c>
      <c r="H235" s="2043">
        <v>0</v>
      </c>
      <c r="I235" s="106">
        <v>0</v>
      </c>
      <c r="J235" s="41" t="s">
        <v>10797</v>
      </c>
      <c r="K235" s="2043">
        <v>0</v>
      </c>
      <c r="L235" s="2043">
        <v>0</v>
      </c>
    </row>
    <row r="236" spans="1:12" ht="14.5">
      <c r="A236" t="s">
        <v>3192</v>
      </c>
      <c r="B236" s="380" t="str">
        <f t="shared" si="3"/>
        <v>205-901</v>
      </c>
      <c r="C236" t="s">
        <v>2282</v>
      </c>
      <c r="D236" s="2043">
        <v>1769</v>
      </c>
      <c r="E236" s="2043">
        <v>1676</v>
      </c>
      <c r="F236" s="2043">
        <v>-93</v>
      </c>
      <c r="G236" s="2043">
        <v>0</v>
      </c>
      <c r="H236" s="2043">
        <v>0</v>
      </c>
      <c r="I236" s="106">
        <v>0</v>
      </c>
      <c r="J236" s="41" t="s">
        <v>10797</v>
      </c>
      <c r="K236" s="2043">
        <v>0</v>
      </c>
      <c r="L236" s="2043">
        <v>0</v>
      </c>
    </row>
    <row r="237" spans="1:12" ht="14.5">
      <c r="A237" t="s">
        <v>5284</v>
      </c>
      <c r="B237" s="380" t="str">
        <f t="shared" si="3"/>
        <v>228-903</v>
      </c>
      <c r="C237" t="s">
        <v>1807</v>
      </c>
      <c r="D237" s="2043">
        <v>1252</v>
      </c>
      <c r="E237" s="2043">
        <v>1159</v>
      </c>
      <c r="F237" s="2043">
        <v>-93</v>
      </c>
      <c r="G237" s="2043">
        <v>0</v>
      </c>
      <c r="H237" s="2043">
        <v>0</v>
      </c>
      <c r="I237" s="106">
        <v>0</v>
      </c>
      <c r="J237" s="41" t="s">
        <v>10797</v>
      </c>
      <c r="K237" s="2043">
        <v>0</v>
      </c>
      <c r="L237" s="2043">
        <v>0</v>
      </c>
    </row>
    <row r="238" spans="1:12" ht="14.5">
      <c r="A238" t="s">
        <v>7356</v>
      </c>
      <c r="B238" s="380" t="str">
        <f t="shared" si="3"/>
        <v>180-901</v>
      </c>
      <c r="C238" t="s">
        <v>7357</v>
      </c>
      <c r="D238" s="2043">
        <v>270</v>
      </c>
      <c r="E238" s="2043">
        <v>178</v>
      </c>
      <c r="F238" s="2043">
        <v>-92</v>
      </c>
      <c r="G238" s="2043">
        <v>0</v>
      </c>
      <c r="H238" s="2043">
        <v>0</v>
      </c>
      <c r="I238" s="106">
        <v>0</v>
      </c>
      <c r="J238" s="41" t="s">
        <v>10797</v>
      </c>
      <c r="K238" s="2043">
        <v>0</v>
      </c>
      <c r="L238" s="2043">
        <v>0</v>
      </c>
    </row>
    <row r="239" spans="1:12" ht="14.5">
      <c r="A239" t="s">
        <v>5013</v>
      </c>
      <c r="B239" s="380" t="str">
        <f t="shared" si="3"/>
        <v>074-909</v>
      </c>
      <c r="C239" t="s">
        <v>3</v>
      </c>
      <c r="D239" s="2043">
        <v>918</v>
      </c>
      <c r="E239" s="2043">
        <v>827</v>
      </c>
      <c r="F239" s="2043">
        <v>-91</v>
      </c>
      <c r="G239" s="2043">
        <v>0</v>
      </c>
      <c r="H239" s="2043">
        <v>0</v>
      </c>
      <c r="I239" s="106">
        <v>0</v>
      </c>
      <c r="J239" s="41" t="s">
        <v>10797</v>
      </c>
      <c r="K239" s="2043">
        <v>0</v>
      </c>
      <c r="L239" s="2043">
        <v>0</v>
      </c>
    </row>
    <row r="240" spans="1:12" ht="14.5">
      <c r="A240" t="s">
        <v>5021</v>
      </c>
      <c r="B240" s="380" t="str">
        <f t="shared" si="3"/>
        <v>080-901</v>
      </c>
      <c r="C240" t="s">
        <v>807</v>
      </c>
      <c r="D240" s="2043">
        <v>1618</v>
      </c>
      <c r="E240" s="2043">
        <v>1528</v>
      </c>
      <c r="F240" s="2043">
        <v>-90</v>
      </c>
      <c r="G240" s="2043">
        <v>0</v>
      </c>
      <c r="H240" s="2043">
        <v>0</v>
      </c>
      <c r="I240" s="106">
        <v>0</v>
      </c>
      <c r="J240" s="41" t="s">
        <v>10797</v>
      </c>
      <c r="K240" s="2043">
        <v>0</v>
      </c>
      <c r="L240" s="2043">
        <v>0</v>
      </c>
    </row>
    <row r="241" spans="1:12" ht="14.5">
      <c r="A241" t="s">
        <v>2859</v>
      </c>
      <c r="B241" s="380" t="str">
        <f t="shared" si="3"/>
        <v>007-906</v>
      </c>
      <c r="C241" t="s">
        <v>950</v>
      </c>
      <c r="D241" s="2043">
        <v>1769</v>
      </c>
      <c r="E241" s="2043">
        <v>1680</v>
      </c>
      <c r="F241" s="2043">
        <v>-89</v>
      </c>
      <c r="G241" s="2043">
        <v>0</v>
      </c>
      <c r="H241" s="2043">
        <v>0</v>
      </c>
      <c r="I241" s="106">
        <v>0</v>
      </c>
      <c r="J241" s="41" t="s">
        <v>10797</v>
      </c>
      <c r="K241" s="2043">
        <v>0</v>
      </c>
      <c r="L241" s="2043">
        <v>0</v>
      </c>
    </row>
    <row r="242" spans="1:12" ht="14.5">
      <c r="A242" t="s">
        <v>3163</v>
      </c>
      <c r="B242" s="380" t="str">
        <f t="shared" si="3"/>
        <v>178-913</v>
      </c>
      <c r="C242" t="s">
        <v>304</v>
      </c>
      <c r="D242" s="2043">
        <v>948</v>
      </c>
      <c r="E242" s="2043">
        <v>859</v>
      </c>
      <c r="F242" s="2043">
        <v>-89</v>
      </c>
      <c r="G242" s="2043">
        <v>0</v>
      </c>
      <c r="H242" s="2043">
        <v>0</v>
      </c>
      <c r="I242" s="106">
        <v>0</v>
      </c>
      <c r="J242" s="41" t="s">
        <v>10797</v>
      </c>
      <c r="K242" s="2043">
        <v>0</v>
      </c>
      <c r="L242" s="2043">
        <v>0</v>
      </c>
    </row>
    <row r="243" spans="1:12" ht="14.5">
      <c r="A243" t="s">
        <v>4964</v>
      </c>
      <c r="B243" s="380" t="str">
        <f t="shared" si="3"/>
        <v>035-901</v>
      </c>
      <c r="C243" t="s">
        <v>1613</v>
      </c>
      <c r="D243" s="2043">
        <v>1246</v>
      </c>
      <c r="E243" s="2043">
        <v>1158</v>
      </c>
      <c r="F243" s="2043">
        <v>-88</v>
      </c>
      <c r="G243" s="2043">
        <v>0</v>
      </c>
      <c r="H243" s="2043">
        <v>0</v>
      </c>
      <c r="I243" s="106">
        <v>0</v>
      </c>
      <c r="J243" s="41" t="s">
        <v>10797</v>
      </c>
      <c r="K243" s="2043">
        <v>0</v>
      </c>
      <c r="L243" s="2043">
        <v>0</v>
      </c>
    </row>
    <row r="244" spans="1:12" ht="14.5">
      <c r="A244" t="s">
        <v>5009</v>
      </c>
      <c r="B244" s="380" t="str">
        <f t="shared" si="3"/>
        <v>072-902</v>
      </c>
      <c r="C244" t="s">
        <v>1868</v>
      </c>
      <c r="D244" s="2043">
        <v>1177</v>
      </c>
      <c r="E244" s="2043">
        <v>1089</v>
      </c>
      <c r="F244" s="2043">
        <v>-88</v>
      </c>
      <c r="G244" s="2043">
        <v>0</v>
      </c>
      <c r="H244" s="2043">
        <v>0</v>
      </c>
      <c r="I244" s="106">
        <v>0</v>
      </c>
      <c r="J244" s="41" t="s">
        <v>10797</v>
      </c>
      <c r="K244" s="2043">
        <v>0</v>
      </c>
      <c r="L244" s="2043">
        <v>0</v>
      </c>
    </row>
    <row r="245" spans="1:12" ht="14.5">
      <c r="A245" t="s">
        <v>5831</v>
      </c>
      <c r="B245" s="380" t="str">
        <f t="shared" si="3"/>
        <v>136-901</v>
      </c>
      <c r="C245" t="s">
        <v>1936</v>
      </c>
      <c r="D245" s="2043">
        <v>620</v>
      </c>
      <c r="E245" s="2043">
        <v>532</v>
      </c>
      <c r="F245" s="2043">
        <v>-88</v>
      </c>
      <c r="G245" s="2043">
        <v>0</v>
      </c>
      <c r="H245" s="2043">
        <v>0</v>
      </c>
      <c r="I245" s="106">
        <v>0</v>
      </c>
      <c r="J245" s="41" t="s">
        <v>10797</v>
      </c>
      <c r="K245" s="2043">
        <v>0</v>
      </c>
      <c r="L245" s="2043">
        <v>0</v>
      </c>
    </row>
    <row r="246" spans="1:12" ht="14.5">
      <c r="A246" t="s">
        <v>3164</v>
      </c>
      <c r="B246" s="380" t="str">
        <f t="shared" si="3"/>
        <v>178-915</v>
      </c>
      <c r="C246" t="s">
        <v>306</v>
      </c>
      <c r="D246" s="2043">
        <v>2057</v>
      </c>
      <c r="E246" s="2043">
        <v>1969</v>
      </c>
      <c r="F246" s="2043">
        <v>-88</v>
      </c>
      <c r="G246" s="2043">
        <v>0</v>
      </c>
      <c r="H246" s="2043">
        <v>0</v>
      </c>
      <c r="I246" s="106">
        <v>0</v>
      </c>
      <c r="J246" s="41" t="s">
        <v>10797</v>
      </c>
      <c r="K246" s="2043">
        <v>0</v>
      </c>
      <c r="L246" s="2043">
        <v>0</v>
      </c>
    </row>
    <row r="247" spans="1:12" ht="14.5">
      <c r="A247" t="s">
        <v>4966</v>
      </c>
      <c r="B247" s="380" t="str">
        <f t="shared" si="3"/>
        <v>037-901</v>
      </c>
      <c r="C247" t="s">
        <v>1411</v>
      </c>
      <c r="D247" s="2043">
        <v>643</v>
      </c>
      <c r="E247" s="2043">
        <v>556</v>
      </c>
      <c r="F247" s="2043">
        <v>-87</v>
      </c>
      <c r="G247" s="2043">
        <v>0</v>
      </c>
      <c r="H247" s="2043">
        <v>0</v>
      </c>
      <c r="I247" s="106">
        <v>0</v>
      </c>
      <c r="J247" s="41" t="s">
        <v>10797</v>
      </c>
      <c r="K247" s="2043">
        <v>0</v>
      </c>
      <c r="L247" s="2043">
        <v>0</v>
      </c>
    </row>
    <row r="248" spans="1:12" ht="14.5">
      <c r="A248" t="s">
        <v>3179</v>
      </c>
      <c r="B248" s="380" t="str">
        <f t="shared" si="3"/>
        <v>189-901</v>
      </c>
      <c r="C248" t="s">
        <v>277</v>
      </c>
      <c r="D248" s="2043">
        <v>357</v>
      </c>
      <c r="E248" s="2043">
        <v>270</v>
      </c>
      <c r="F248" s="2043">
        <v>-87</v>
      </c>
      <c r="G248" s="2043">
        <v>0</v>
      </c>
      <c r="H248" s="2043">
        <v>0</v>
      </c>
      <c r="I248" s="106">
        <v>0</v>
      </c>
      <c r="J248" s="41" t="s">
        <v>10797</v>
      </c>
      <c r="K248" s="2043">
        <v>0</v>
      </c>
      <c r="L248" s="2043">
        <v>0</v>
      </c>
    </row>
    <row r="249" spans="1:12" ht="14.5">
      <c r="A249" t="s">
        <v>2889</v>
      </c>
      <c r="B249" s="380" t="str">
        <f t="shared" si="3"/>
        <v>018-902</v>
      </c>
      <c r="C249" t="s">
        <v>2535</v>
      </c>
      <c r="D249" s="2043">
        <v>479</v>
      </c>
      <c r="E249" s="2043">
        <v>393</v>
      </c>
      <c r="F249" s="2043">
        <v>-86</v>
      </c>
      <c r="G249" s="2043">
        <v>0</v>
      </c>
      <c r="H249" s="2043">
        <v>0</v>
      </c>
      <c r="I249" s="106">
        <v>0</v>
      </c>
      <c r="J249" s="41" t="s">
        <v>10797</v>
      </c>
      <c r="K249" s="2043">
        <v>0</v>
      </c>
      <c r="L249" s="2043">
        <v>0</v>
      </c>
    </row>
    <row r="250" spans="1:12" ht="14.5">
      <c r="A250" t="s">
        <v>5035</v>
      </c>
      <c r="B250" s="380" t="str">
        <f t="shared" si="3"/>
        <v>085-902</v>
      </c>
      <c r="C250" t="s">
        <v>351</v>
      </c>
      <c r="D250" s="2043">
        <v>872</v>
      </c>
      <c r="E250" s="2043">
        <v>786</v>
      </c>
      <c r="F250" s="2043">
        <v>-86</v>
      </c>
      <c r="G250" s="2043">
        <v>0</v>
      </c>
      <c r="H250" s="2043">
        <v>0</v>
      </c>
      <c r="I250" s="106">
        <v>0</v>
      </c>
      <c r="J250" s="41" t="s">
        <v>10797</v>
      </c>
      <c r="K250" s="2043">
        <v>0</v>
      </c>
      <c r="L250" s="2043">
        <v>0</v>
      </c>
    </row>
    <row r="251" spans="1:12" ht="14.5">
      <c r="A251" t="s">
        <v>5158</v>
      </c>
      <c r="B251" s="380" t="str">
        <f t="shared" si="3"/>
        <v>149-902</v>
      </c>
      <c r="C251" t="s">
        <v>517</v>
      </c>
      <c r="D251" s="2043">
        <v>694</v>
      </c>
      <c r="E251" s="2043">
        <v>608</v>
      </c>
      <c r="F251" s="2043">
        <v>-86</v>
      </c>
      <c r="G251" s="2043">
        <v>0</v>
      </c>
      <c r="H251" s="2043">
        <v>0</v>
      </c>
      <c r="I251" s="106">
        <v>0</v>
      </c>
      <c r="J251" s="41" t="s">
        <v>10797</v>
      </c>
      <c r="K251" s="2043">
        <v>0</v>
      </c>
      <c r="L251" s="2043">
        <v>0</v>
      </c>
    </row>
    <row r="252" spans="1:12" ht="14.5">
      <c r="A252" t="s">
        <v>4923</v>
      </c>
      <c r="B252" s="380" t="str">
        <f t="shared" si="3"/>
        <v>003-906</v>
      </c>
      <c r="C252" t="s">
        <v>1122</v>
      </c>
      <c r="D252" s="2043">
        <v>386</v>
      </c>
      <c r="E252" s="2043">
        <v>301</v>
      </c>
      <c r="F252" s="2043">
        <v>-85</v>
      </c>
      <c r="G252" s="2043">
        <v>0</v>
      </c>
      <c r="H252" s="2043">
        <v>0</v>
      </c>
      <c r="I252" s="106">
        <v>0</v>
      </c>
      <c r="J252" s="41" t="s">
        <v>10797</v>
      </c>
      <c r="K252" s="2043">
        <v>0</v>
      </c>
      <c r="L252" s="2043">
        <v>0</v>
      </c>
    </row>
    <row r="253" spans="1:12" ht="14.5">
      <c r="A253" t="s">
        <v>3664</v>
      </c>
      <c r="B253" s="380" t="str">
        <f t="shared" si="3"/>
        <v>042-901</v>
      </c>
      <c r="C253" t="s">
        <v>1098</v>
      </c>
      <c r="D253" s="2043">
        <v>887</v>
      </c>
      <c r="E253" s="2043">
        <v>802</v>
      </c>
      <c r="F253" s="2043">
        <v>-85</v>
      </c>
      <c r="G253" s="2043">
        <v>0</v>
      </c>
      <c r="H253" s="2043">
        <v>0</v>
      </c>
      <c r="I253" s="106">
        <v>0</v>
      </c>
      <c r="J253" s="41" t="s">
        <v>10797</v>
      </c>
      <c r="K253" s="2043">
        <v>0</v>
      </c>
      <c r="L253" s="2043">
        <v>0</v>
      </c>
    </row>
    <row r="254" spans="1:12" ht="14.5">
      <c r="A254" t="s">
        <v>3075</v>
      </c>
      <c r="B254" s="380" t="str">
        <f t="shared" si="3"/>
        <v>121-905</v>
      </c>
      <c r="C254" t="s">
        <v>1904</v>
      </c>
      <c r="D254" s="2043">
        <v>1537</v>
      </c>
      <c r="E254" s="2043">
        <v>1452</v>
      </c>
      <c r="F254" s="2043">
        <v>-85</v>
      </c>
      <c r="G254" s="2043">
        <v>0</v>
      </c>
      <c r="H254" s="2043">
        <v>0</v>
      </c>
      <c r="I254" s="106">
        <v>0</v>
      </c>
      <c r="J254" s="41" t="s">
        <v>10797</v>
      </c>
      <c r="K254" s="2043">
        <v>0</v>
      </c>
      <c r="L254" s="2043">
        <v>0</v>
      </c>
    </row>
    <row r="255" spans="1:12" ht="14.5">
      <c r="A255" t="s">
        <v>5832</v>
      </c>
      <c r="B255" s="380" t="str">
        <f t="shared" si="3"/>
        <v>137-902</v>
      </c>
      <c r="C255" t="s">
        <v>1937</v>
      </c>
      <c r="D255" s="2043">
        <v>710</v>
      </c>
      <c r="E255" s="2043">
        <v>625</v>
      </c>
      <c r="F255" s="2043">
        <v>-85</v>
      </c>
      <c r="G255" s="2043">
        <v>0</v>
      </c>
      <c r="H255" s="2043">
        <v>0</v>
      </c>
      <c r="I255" s="106">
        <v>0</v>
      </c>
      <c r="J255" s="41" t="s">
        <v>10797</v>
      </c>
      <c r="K255" s="2043">
        <v>0</v>
      </c>
      <c r="L255" s="2043">
        <v>0</v>
      </c>
    </row>
    <row r="256" spans="1:12" ht="14.5">
      <c r="A256" t="s">
        <v>3100</v>
      </c>
      <c r="B256" s="380" t="str">
        <f t="shared" si="3"/>
        <v>138-902</v>
      </c>
      <c r="C256" t="s">
        <v>1597</v>
      </c>
      <c r="D256" s="2043">
        <v>313</v>
      </c>
      <c r="E256" s="2043">
        <v>228</v>
      </c>
      <c r="F256" s="2043">
        <v>-85</v>
      </c>
      <c r="G256" s="2043">
        <v>0</v>
      </c>
      <c r="H256" s="2043">
        <v>0</v>
      </c>
      <c r="I256" s="106">
        <v>0</v>
      </c>
      <c r="J256" s="41" t="s">
        <v>10797</v>
      </c>
      <c r="K256" s="2043">
        <v>0</v>
      </c>
      <c r="L256" s="2043">
        <v>0</v>
      </c>
    </row>
    <row r="257" spans="1:12" ht="14.5">
      <c r="A257" t="s">
        <v>2997</v>
      </c>
      <c r="B257" s="380" t="str">
        <f t="shared" si="3"/>
        <v>082-902</v>
      </c>
      <c r="C257" t="s">
        <v>2057</v>
      </c>
      <c r="D257" s="2043">
        <v>993</v>
      </c>
      <c r="E257" s="2043">
        <v>909</v>
      </c>
      <c r="F257" s="2043">
        <v>-84</v>
      </c>
      <c r="G257" s="2043">
        <v>0</v>
      </c>
      <c r="H257" s="2043">
        <v>0</v>
      </c>
      <c r="I257" s="106">
        <v>0</v>
      </c>
      <c r="J257" s="41" t="s">
        <v>10797</v>
      </c>
      <c r="K257" s="2043">
        <v>0</v>
      </c>
      <c r="L257" s="2043">
        <v>0</v>
      </c>
    </row>
    <row r="258" spans="1:12" ht="14.5">
      <c r="A258" t="s">
        <v>5811</v>
      </c>
      <c r="B258" s="380" t="str">
        <f t="shared" si="3"/>
        <v>099-903</v>
      </c>
      <c r="C258" t="s">
        <v>449</v>
      </c>
      <c r="D258" s="2043">
        <v>582</v>
      </c>
      <c r="E258" s="2043">
        <v>498</v>
      </c>
      <c r="F258" s="2043">
        <v>-84</v>
      </c>
      <c r="G258" s="2043">
        <v>0</v>
      </c>
      <c r="H258" s="2043">
        <v>0</v>
      </c>
      <c r="I258" s="106">
        <v>0</v>
      </c>
      <c r="J258" s="41" t="s">
        <v>10797</v>
      </c>
      <c r="K258" s="2043">
        <v>0</v>
      </c>
      <c r="L258" s="2043">
        <v>0</v>
      </c>
    </row>
    <row r="259" spans="1:12" ht="14.5">
      <c r="A259" t="s">
        <v>3135</v>
      </c>
      <c r="B259" s="380" t="str">
        <f t="shared" ref="B259:B322" si="4">CONCATENATE(LEFT(RIGHT(CONCATENATE("000",A259),6),3),"-",(RIGHT(RIGHT(CONCATENATE("000",A259),6),3)))</f>
        <v>163-902</v>
      </c>
      <c r="C259" t="s">
        <v>2056</v>
      </c>
      <c r="D259" s="2043">
        <v>380</v>
      </c>
      <c r="E259" s="2043">
        <v>296</v>
      </c>
      <c r="F259" s="2043">
        <v>-84</v>
      </c>
      <c r="G259" s="2043">
        <v>0</v>
      </c>
      <c r="H259" s="2043">
        <v>0</v>
      </c>
      <c r="I259" s="106">
        <v>0</v>
      </c>
      <c r="J259" s="41" t="s">
        <v>10797</v>
      </c>
      <c r="K259" s="2043">
        <v>0</v>
      </c>
      <c r="L259" s="2043">
        <v>0</v>
      </c>
    </row>
    <row r="260" spans="1:12" ht="14.5">
      <c r="A260" t="s">
        <v>5295</v>
      </c>
      <c r="B260" s="380" t="str">
        <f t="shared" si="4"/>
        <v>239-901</v>
      </c>
      <c r="C260" t="s">
        <v>1146</v>
      </c>
      <c r="D260" s="2043">
        <v>4965</v>
      </c>
      <c r="E260" s="2043">
        <v>4881</v>
      </c>
      <c r="F260" s="2043">
        <v>-84</v>
      </c>
      <c r="G260" s="2043">
        <v>0</v>
      </c>
      <c r="H260" s="2043">
        <v>0</v>
      </c>
      <c r="I260" s="106">
        <v>0</v>
      </c>
      <c r="J260" s="41" t="s">
        <v>10797</v>
      </c>
      <c r="K260" s="2043">
        <v>0</v>
      </c>
      <c r="L260" s="2043">
        <v>0</v>
      </c>
    </row>
    <row r="261" spans="1:12" ht="14.5">
      <c r="A261" t="s">
        <v>4949</v>
      </c>
      <c r="B261" s="380" t="str">
        <f t="shared" si="4"/>
        <v>025-901</v>
      </c>
      <c r="C261" t="s">
        <v>1502</v>
      </c>
      <c r="D261" s="2043">
        <v>954</v>
      </c>
      <c r="E261" s="2043">
        <v>871</v>
      </c>
      <c r="F261" s="2043">
        <v>-83</v>
      </c>
      <c r="G261" s="2043">
        <v>0</v>
      </c>
      <c r="H261" s="2043">
        <v>0</v>
      </c>
      <c r="I261" s="106">
        <v>0</v>
      </c>
      <c r="J261" s="41" t="s">
        <v>10797</v>
      </c>
      <c r="K261" s="2043">
        <v>0</v>
      </c>
      <c r="L261" s="2043">
        <v>0</v>
      </c>
    </row>
    <row r="262" spans="1:12" ht="14.5">
      <c r="A262" t="s">
        <v>5079</v>
      </c>
      <c r="B262" s="380" t="str">
        <f t="shared" si="4"/>
        <v>102-906</v>
      </c>
      <c r="C262" t="s">
        <v>147</v>
      </c>
      <c r="D262" s="2043">
        <v>911</v>
      </c>
      <c r="E262" s="2043">
        <v>829</v>
      </c>
      <c r="F262" s="2043">
        <v>-82</v>
      </c>
      <c r="G262" s="2043">
        <v>0</v>
      </c>
      <c r="H262" s="2043">
        <v>0</v>
      </c>
      <c r="I262" s="106">
        <v>0</v>
      </c>
      <c r="J262" s="41" t="s">
        <v>10797</v>
      </c>
      <c r="K262" s="2043">
        <v>0</v>
      </c>
      <c r="L262" s="2043">
        <v>0</v>
      </c>
    </row>
    <row r="263" spans="1:12" ht="14.5">
      <c r="A263" t="s">
        <v>5838</v>
      </c>
      <c r="B263" s="380" t="str">
        <f t="shared" si="4"/>
        <v>140-907</v>
      </c>
      <c r="C263" t="s">
        <v>892</v>
      </c>
      <c r="D263" s="2043">
        <v>378</v>
      </c>
      <c r="E263" s="2043">
        <v>296</v>
      </c>
      <c r="F263" s="2043">
        <v>-82</v>
      </c>
      <c r="G263" s="2043">
        <v>0</v>
      </c>
      <c r="H263" s="2043">
        <v>0</v>
      </c>
      <c r="I263" s="106">
        <v>0</v>
      </c>
      <c r="J263" s="41" t="s">
        <v>10797</v>
      </c>
      <c r="K263" s="2043">
        <v>0</v>
      </c>
      <c r="L263" s="2043">
        <v>0</v>
      </c>
    </row>
    <row r="264" spans="1:12" ht="14.5">
      <c r="A264" t="s">
        <v>5810</v>
      </c>
      <c r="B264" s="380" t="str">
        <f t="shared" si="4"/>
        <v>096-904</v>
      </c>
      <c r="C264" t="s">
        <v>224</v>
      </c>
      <c r="D264" s="2043">
        <v>523</v>
      </c>
      <c r="E264" s="2043">
        <v>442</v>
      </c>
      <c r="F264" s="2043">
        <v>-81</v>
      </c>
      <c r="G264" s="2043">
        <v>0</v>
      </c>
      <c r="H264" s="2043">
        <v>0</v>
      </c>
      <c r="I264" s="106">
        <v>0</v>
      </c>
      <c r="J264" s="41" t="s">
        <v>10797</v>
      </c>
      <c r="K264" s="2043">
        <v>0</v>
      </c>
      <c r="L264" s="2043">
        <v>0</v>
      </c>
    </row>
    <row r="265" spans="1:12" ht="14.5">
      <c r="A265" t="s">
        <v>5824</v>
      </c>
      <c r="B265" s="380" t="str">
        <f t="shared" si="4"/>
        <v>121-902</v>
      </c>
      <c r="C265" t="s">
        <v>2359</v>
      </c>
      <c r="D265" s="2043">
        <v>447</v>
      </c>
      <c r="E265" s="2043">
        <v>369</v>
      </c>
      <c r="F265" s="2043">
        <v>-78</v>
      </c>
      <c r="G265" s="2043">
        <v>0</v>
      </c>
      <c r="H265" s="2043">
        <v>0</v>
      </c>
      <c r="I265" s="106">
        <v>0</v>
      </c>
      <c r="J265" s="41" t="s">
        <v>10797</v>
      </c>
      <c r="K265" s="2043">
        <v>0</v>
      </c>
      <c r="L265" s="2043">
        <v>0</v>
      </c>
    </row>
    <row r="266" spans="1:12" ht="14.5">
      <c r="A266" t="s">
        <v>5844</v>
      </c>
      <c r="B266" s="380" t="str">
        <f t="shared" si="4"/>
        <v>152-902</v>
      </c>
      <c r="C266" t="s">
        <v>519</v>
      </c>
      <c r="D266" s="2043">
        <v>803</v>
      </c>
      <c r="E266" s="2043">
        <v>725</v>
      </c>
      <c r="F266" s="2043">
        <v>-78</v>
      </c>
      <c r="G266" s="2043">
        <v>0</v>
      </c>
      <c r="H266" s="2043">
        <v>0</v>
      </c>
      <c r="I266" s="106">
        <v>0</v>
      </c>
      <c r="J266" s="41" t="s">
        <v>10797</v>
      </c>
      <c r="K266" s="2043">
        <v>0</v>
      </c>
      <c r="L266" s="2043">
        <v>0</v>
      </c>
    </row>
    <row r="267" spans="1:12" ht="14.5">
      <c r="A267" t="s">
        <v>2900</v>
      </c>
      <c r="B267" s="380" t="str">
        <f t="shared" si="4"/>
        <v>020-910</v>
      </c>
      <c r="C267" t="s">
        <v>2353</v>
      </c>
      <c r="D267" s="2043">
        <v>193</v>
      </c>
      <c r="E267" s="2043">
        <v>116</v>
      </c>
      <c r="F267" s="2043">
        <v>-77</v>
      </c>
      <c r="G267" s="2043">
        <v>0</v>
      </c>
      <c r="H267" s="2043">
        <v>0</v>
      </c>
      <c r="I267" s="106">
        <v>0</v>
      </c>
      <c r="J267" s="41" t="s">
        <v>10797</v>
      </c>
      <c r="K267" s="2043">
        <v>0</v>
      </c>
      <c r="L267" s="2043">
        <v>0</v>
      </c>
    </row>
    <row r="268" spans="1:12" ht="14.5">
      <c r="A268" t="s">
        <v>5815</v>
      </c>
      <c r="B268" s="380" t="str">
        <f t="shared" si="4"/>
        <v>110-907</v>
      </c>
      <c r="C268" t="s">
        <v>2463</v>
      </c>
      <c r="D268" s="2043">
        <v>668</v>
      </c>
      <c r="E268" s="2043">
        <v>592</v>
      </c>
      <c r="F268" s="2043">
        <v>-76</v>
      </c>
      <c r="G268" s="2043">
        <v>0</v>
      </c>
      <c r="H268" s="2043">
        <v>0</v>
      </c>
      <c r="I268" s="106">
        <v>0</v>
      </c>
      <c r="J268" s="41" t="s">
        <v>10797</v>
      </c>
      <c r="K268" s="2043">
        <v>0</v>
      </c>
      <c r="L268" s="2043">
        <v>0</v>
      </c>
    </row>
    <row r="269" spans="1:12" ht="14.5">
      <c r="A269" t="s">
        <v>5261</v>
      </c>
      <c r="B269" s="380" t="str">
        <f t="shared" si="4"/>
        <v>215-901</v>
      </c>
      <c r="C269" t="s">
        <v>1889</v>
      </c>
      <c r="D269" s="2043">
        <v>1493</v>
      </c>
      <c r="E269" s="2043">
        <v>1417</v>
      </c>
      <c r="F269" s="2043">
        <v>-76</v>
      </c>
      <c r="G269" s="2043">
        <v>0</v>
      </c>
      <c r="H269" s="2043">
        <v>0</v>
      </c>
      <c r="I269" s="106">
        <v>0</v>
      </c>
      <c r="J269" s="41" t="s">
        <v>10797</v>
      </c>
      <c r="K269" s="2043">
        <v>0</v>
      </c>
      <c r="L269" s="2043">
        <v>0</v>
      </c>
    </row>
    <row r="270" spans="1:12" ht="14.5">
      <c r="A270" t="s">
        <v>5124</v>
      </c>
      <c r="B270" s="380" t="str">
        <f t="shared" si="4"/>
        <v>128-903</v>
      </c>
      <c r="C270" t="s">
        <v>1923</v>
      </c>
      <c r="D270" s="2043">
        <v>291</v>
      </c>
      <c r="E270" s="2043">
        <v>217</v>
      </c>
      <c r="F270" s="2043">
        <v>-74</v>
      </c>
      <c r="G270" s="2043">
        <v>0</v>
      </c>
      <c r="H270" s="2043">
        <v>0</v>
      </c>
      <c r="I270" s="106">
        <v>0</v>
      </c>
      <c r="J270" s="41" t="s">
        <v>10797</v>
      </c>
      <c r="K270" s="2043">
        <v>0</v>
      </c>
      <c r="L270" s="2043">
        <v>0</v>
      </c>
    </row>
    <row r="271" spans="1:12" ht="14.5">
      <c r="A271" t="s">
        <v>3827</v>
      </c>
      <c r="B271" s="380" t="str">
        <f t="shared" si="4"/>
        <v>067-902</v>
      </c>
      <c r="C271" t="s">
        <v>2032</v>
      </c>
      <c r="D271" s="2043">
        <v>887</v>
      </c>
      <c r="E271" s="2043">
        <v>814</v>
      </c>
      <c r="F271" s="2043">
        <v>-73</v>
      </c>
      <c r="G271" s="2043">
        <v>0</v>
      </c>
      <c r="H271" s="2043">
        <v>0</v>
      </c>
      <c r="I271" s="106">
        <v>0</v>
      </c>
      <c r="J271" s="41" t="s">
        <v>10797</v>
      </c>
      <c r="K271" s="2043">
        <v>0</v>
      </c>
      <c r="L271" s="2043">
        <v>0</v>
      </c>
    </row>
    <row r="272" spans="1:12" ht="14.5">
      <c r="A272" t="s">
        <v>5107</v>
      </c>
      <c r="B272" s="380" t="str">
        <f t="shared" si="4"/>
        <v>117-904</v>
      </c>
      <c r="C272" t="s">
        <v>991</v>
      </c>
      <c r="D272" s="2043">
        <v>694</v>
      </c>
      <c r="E272" s="2043">
        <v>621</v>
      </c>
      <c r="F272" s="2043">
        <v>-73</v>
      </c>
      <c r="G272" s="2043">
        <v>0</v>
      </c>
      <c r="H272" s="2043">
        <v>0</v>
      </c>
      <c r="I272" s="106">
        <v>0</v>
      </c>
      <c r="J272" s="41" t="s">
        <v>10797</v>
      </c>
      <c r="K272" s="2043">
        <v>0</v>
      </c>
      <c r="L272" s="2043">
        <v>0</v>
      </c>
    </row>
    <row r="273" spans="1:12" ht="14.5">
      <c r="A273" t="s">
        <v>3158</v>
      </c>
      <c r="B273" s="380" t="str">
        <f t="shared" si="4"/>
        <v>176-902</v>
      </c>
      <c r="C273" t="s">
        <v>2162</v>
      </c>
      <c r="D273" s="2043">
        <v>1037</v>
      </c>
      <c r="E273" s="2043">
        <v>964</v>
      </c>
      <c r="F273" s="2043">
        <v>-73</v>
      </c>
      <c r="G273" s="2043">
        <v>0</v>
      </c>
      <c r="H273" s="2043">
        <v>0</v>
      </c>
      <c r="I273" s="106">
        <v>0</v>
      </c>
      <c r="J273" s="41" t="s">
        <v>10797</v>
      </c>
      <c r="K273" s="2043">
        <v>0</v>
      </c>
      <c r="L273" s="2043">
        <v>0</v>
      </c>
    </row>
    <row r="274" spans="1:12" ht="14.5">
      <c r="A274" t="s">
        <v>5236</v>
      </c>
      <c r="B274" s="380" t="str">
        <f t="shared" si="4"/>
        <v>196-902</v>
      </c>
      <c r="C274" t="s">
        <v>1533</v>
      </c>
      <c r="D274" s="2043">
        <v>511</v>
      </c>
      <c r="E274" s="2043">
        <v>438</v>
      </c>
      <c r="F274" s="2043">
        <v>-73</v>
      </c>
      <c r="G274" s="2043">
        <v>0</v>
      </c>
      <c r="H274" s="2043">
        <v>0</v>
      </c>
      <c r="I274" s="106">
        <v>0</v>
      </c>
      <c r="J274" s="41" t="s">
        <v>10797</v>
      </c>
      <c r="K274" s="2043">
        <v>0</v>
      </c>
      <c r="L274" s="2043">
        <v>0</v>
      </c>
    </row>
    <row r="275" spans="1:12" ht="14.5">
      <c r="A275" t="s">
        <v>3190</v>
      </c>
      <c r="B275" s="380" t="str">
        <f t="shared" si="4"/>
        <v>203-901</v>
      </c>
      <c r="C275" t="s">
        <v>1957</v>
      </c>
      <c r="D275" s="2043">
        <v>735</v>
      </c>
      <c r="E275" s="2043">
        <v>662</v>
      </c>
      <c r="F275" s="2043">
        <v>-73</v>
      </c>
      <c r="G275" s="2043">
        <v>0</v>
      </c>
      <c r="H275" s="2043">
        <v>0</v>
      </c>
      <c r="I275" s="106">
        <v>0</v>
      </c>
      <c r="J275" s="41" t="s">
        <v>10797</v>
      </c>
      <c r="K275" s="2043">
        <v>0</v>
      </c>
      <c r="L275" s="2043">
        <v>0</v>
      </c>
    </row>
    <row r="276" spans="1:12" ht="14.5">
      <c r="A276" t="s">
        <v>3242</v>
      </c>
      <c r="B276" s="380" t="str">
        <f t="shared" si="4"/>
        <v>235-901</v>
      </c>
      <c r="C276" t="s">
        <v>1268</v>
      </c>
      <c r="D276" s="2043">
        <v>900</v>
      </c>
      <c r="E276" s="2043">
        <v>827</v>
      </c>
      <c r="F276" s="2043">
        <v>-73</v>
      </c>
      <c r="G276" s="2043">
        <v>0</v>
      </c>
      <c r="H276" s="2043">
        <v>0</v>
      </c>
      <c r="I276" s="106">
        <v>0</v>
      </c>
      <c r="J276" s="41" t="s">
        <v>10797</v>
      </c>
      <c r="K276" s="2043">
        <v>0</v>
      </c>
      <c r="L276" s="2043">
        <v>0</v>
      </c>
    </row>
    <row r="277" spans="1:12" ht="14.5">
      <c r="A277" t="s">
        <v>2854</v>
      </c>
      <c r="B277" s="380" t="str">
        <f t="shared" si="4"/>
        <v>003-907</v>
      </c>
      <c r="C277" t="s">
        <v>1123</v>
      </c>
      <c r="D277" s="2043">
        <v>1527</v>
      </c>
      <c r="E277" s="2043">
        <v>1455</v>
      </c>
      <c r="F277" s="2043">
        <v>-72</v>
      </c>
      <c r="G277" s="2043">
        <v>0</v>
      </c>
      <c r="H277" s="2043">
        <v>0</v>
      </c>
      <c r="I277" s="106">
        <v>0</v>
      </c>
      <c r="J277" s="41" t="s">
        <v>10797</v>
      </c>
      <c r="K277" s="2043">
        <v>0</v>
      </c>
      <c r="L277" s="2043">
        <v>0</v>
      </c>
    </row>
    <row r="278" spans="1:12" ht="14.5">
      <c r="A278" t="s">
        <v>2983</v>
      </c>
      <c r="B278" s="380" t="str">
        <f t="shared" si="4"/>
        <v>071-906</v>
      </c>
      <c r="C278" t="s">
        <v>123</v>
      </c>
      <c r="D278" s="2043">
        <v>870</v>
      </c>
      <c r="E278" s="2043">
        <v>798</v>
      </c>
      <c r="F278" s="2043">
        <v>-72</v>
      </c>
      <c r="G278" s="2043">
        <v>0</v>
      </c>
      <c r="H278" s="2043">
        <v>0</v>
      </c>
      <c r="I278" s="106">
        <v>0</v>
      </c>
      <c r="J278" s="41" t="s">
        <v>10797</v>
      </c>
      <c r="K278" s="2043">
        <v>0</v>
      </c>
      <c r="L278" s="2043">
        <v>0</v>
      </c>
    </row>
    <row r="279" spans="1:12" ht="14.5">
      <c r="A279" t="s">
        <v>3059</v>
      </c>
      <c r="B279" s="380" t="str">
        <f t="shared" si="4"/>
        <v>112-901</v>
      </c>
      <c r="C279" t="s">
        <v>206</v>
      </c>
      <c r="D279" s="2043">
        <v>4411</v>
      </c>
      <c r="E279" s="2043">
        <v>4339</v>
      </c>
      <c r="F279" s="2043">
        <v>-72</v>
      </c>
      <c r="G279" s="2043">
        <v>0</v>
      </c>
      <c r="H279" s="2043">
        <v>0</v>
      </c>
      <c r="I279" s="106">
        <v>0</v>
      </c>
      <c r="J279" s="41" t="s">
        <v>10797</v>
      </c>
      <c r="K279" s="2043">
        <v>0</v>
      </c>
      <c r="L279" s="2043">
        <v>0</v>
      </c>
    </row>
    <row r="280" spans="1:12" ht="14.5">
      <c r="A280" t="s">
        <v>5170</v>
      </c>
      <c r="B280" s="380" t="str">
        <f t="shared" si="4"/>
        <v>158-904</v>
      </c>
      <c r="C280" t="s">
        <v>1649</v>
      </c>
      <c r="D280" s="2043">
        <v>173</v>
      </c>
      <c r="E280" s="2043">
        <v>101</v>
      </c>
      <c r="F280" s="2043">
        <v>-72</v>
      </c>
      <c r="G280" s="2043">
        <v>0</v>
      </c>
      <c r="H280" s="2043">
        <v>0</v>
      </c>
      <c r="I280" s="106">
        <v>0</v>
      </c>
      <c r="J280" s="41" t="s">
        <v>10797</v>
      </c>
      <c r="K280" s="2043">
        <v>0</v>
      </c>
      <c r="L280" s="2043">
        <v>0</v>
      </c>
    </row>
    <row r="281" spans="1:12" ht="14.5">
      <c r="A281" t="s">
        <v>5023</v>
      </c>
      <c r="B281" s="380" t="str">
        <f t="shared" si="4"/>
        <v>081-904</v>
      </c>
      <c r="C281" t="s">
        <v>809</v>
      </c>
      <c r="D281" s="2043">
        <v>1254</v>
      </c>
      <c r="E281" s="2043">
        <v>1183</v>
      </c>
      <c r="F281" s="2043">
        <v>-71</v>
      </c>
      <c r="G281" s="2043">
        <v>0</v>
      </c>
      <c r="H281" s="2043">
        <v>0</v>
      </c>
      <c r="I281" s="106">
        <v>0</v>
      </c>
      <c r="J281" s="41" t="s">
        <v>10797</v>
      </c>
      <c r="K281" s="2043">
        <v>0</v>
      </c>
      <c r="L281" s="2043">
        <v>0</v>
      </c>
    </row>
    <row r="282" spans="1:12" ht="14.5">
      <c r="A282" t="s">
        <v>5078</v>
      </c>
      <c r="B282" s="380" t="str">
        <f t="shared" si="4"/>
        <v>102-905</v>
      </c>
      <c r="C282" t="s">
        <v>1962</v>
      </c>
      <c r="D282" s="2043">
        <v>782</v>
      </c>
      <c r="E282" s="2043">
        <v>711</v>
      </c>
      <c r="F282" s="2043">
        <v>-71</v>
      </c>
      <c r="G282" s="2043">
        <v>0</v>
      </c>
      <c r="H282" s="2043">
        <v>0</v>
      </c>
      <c r="I282" s="106">
        <v>0</v>
      </c>
      <c r="J282" s="41" t="s">
        <v>10797</v>
      </c>
      <c r="K282" s="2043">
        <v>0</v>
      </c>
      <c r="L282" s="2043">
        <v>0</v>
      </c>
    </row>
    <row r="283" spans="1:12" ht="14.5">
      <c r="A283" t="s">
        <v>5877</v>
      </c>
      <c r="B283" s="380" t="str">
        <f t="shared" si="4"/>
        <v>207-901</v>
      </c>
      <c r="C283" t="s">
        <v>339</v>
      </c>
      <c r="D283" s="2043">
        <v>570</v>
      </c>
      <c r="E283" s="2043">
        <v>499</v>
      </c>
      <c r="F283" s="2043">
        <v>-71</v>
      </c>
      <c r="G283" s="2043">
        <v>0</v>
      </c>
      <c r="H283" s="2043">
        <v>0</v>
      </c>
      <c r="I283" s="106">
        <v>0</v>
      </c>
      <c r="J283" s="41" t="s">
        <v>10797</v>
      </c>
      <c r="K283" s="2043">
        <v>0</v>
      </c>
      <c r="L283" s="2043">
        <v>0</v>
      </c>
    </row>
    <row r="284" spans="1:12" ht="14.5">
      <c r="A284" t="s">
        <v>5764</v>
      </c>
      <c r="B284" s="380" t="str">
        <f t="shared" si="4"/>
        <v>034-905</v>
      </c>
      <c r="C284" t="s">
        <v>972</v>
      </c>
      <c r="D284" s="2043">
        <v>708</v>
      </c>
      <c r="E284" s="2043">
        <v>638</v>
      </c>
      <c r="F284" s="2043">
        <v>-70</v>
      </c>
      <c r="G284" s="2043">
        <v>0</v>
      </c>
      <c r="H284" s="2043">
        <v>0</v>
      </c>
      <c r="I284" s="106">
        <v>0</v>
      </c>
      <c r="J284" s="41" t="s">
        <v>10797</v>
      </c>
      <c r="K284" s="2043">
        <v>0</v>
      </c>
      <c r="L284" s="2043">
        <v>0</v>
      </c>
    </row>
    <row r="285" spans="1:12" ht="14.5">
      <c r="A285" t="s">
        <v>5188</v>
      </c>
      <c r="B285" s="380" t="str">
        <f t="shared" si="4"/>
        <v>172-905</v>
      </c>
      <c r="C285" t="s">
        <v>2484</v>
      </c>
      <c r="D285" s="2043">
        <v>937</v>
      </c>
      <c r="E285" s="2043">
        <v>867</v>
      </c>
      <c r="F285" s="2043">
        <v>-70</v>
      </c>
      <c r="G285" s="2043">
        <v>0</v>
      </c>
      <c r="H285" s="2043">
        <v>0</v>
      </c>
      <c r="I285" s="106">
        <v>0</v>
      </c>
      <c r="J285" s="41" t="s">
        <v>10797</v>
      </c>
      <c r="K285" s="2043">
        <v>0</v>
      </c>
      <c r="L285" s="2043">
        <v>0</v>
      </c>
    </row>
    <row r="286" spans="1:12" ht="14.5">
      <c r="A286" t="s">
        <v>2904</v>
      </c>
      <c r="B286" s="380" t="str">
        <f t="shared" si="4"/>
        <v>025-905</v>
      </c>
      <c r="C286" t="s">
        <v>1955</v>
      </c>
      <c r="D286" s="2043">
        <v>298</v>
      </c>
      <c r="E286" s="2043">
        <v>229</v>
      </c>
      <c r="F286" s="2043">
        <v>-69</v>
      </c>
      <c r="G286" s="2043">
        <v>0</v>
      </c>
      <c r="H286" s="2043">
        <v>0</v>
      </c>
      <c r="I286" s="106">
        <v>0</v>
      </c>
      <c r="J286" s="41" t="s">
        <v>10797</v>
      </c>
      <c r="K286" s="2043">
        <v>0</v>
      </c>
      <c r="L286" s="2043">
        <v>0</v>
      </c>
    </row>
    <row r="287" spans="1:12" ht="14.5">
      <c r="A287" t="s">
        <v>5004</v>
      </c>
      <c r="B287" s="380" t="str">
        <f t="shared" si="4"/>
        <v>067-904</v>
      </c>
      <c r="C287" t="s">
        <v>1856</v>
      </c>
      <c r="D287" s="2043">
        <v>334</v>
      </c>
      <c r="E287" s="2043">
        <v>265</v>
      </c>
      <c r="F287" s="2043">
        <v>-69</v>
      </c>
      <c r="G287" s="2043">
        <v>0</v>
      </c>
      <c r="H287" s="2043">
        <v>0</v>
      </c>
      <c r="I287" s="106">
        <v>0</v>
      </c>
      <c r="J287" s="41" t="s">
        <v>10797</v>
      </c>
      <c r="K287" s="2043">
        <v>0</v>
      </c>
      <c r="L287" s="2043">
        <v>0</v>
      </c>
    </row>
    <row r="288" spans="1:12" ht="14.5">
      <c r="A288" t="s">
        <v>5062</v>
      </c>
      <c r="B288" s="380" t="str">
        <f t="shared" si="4"/>
        <v>098-904</v>
      </c>
      <c r="C288" t="s">
        <v>2452</v>
      </c>
      <c r="D288" s="2043">
        <v>855</v>
      </c>
      <c r="E288" s="2043">
        <v>786</v>
      </c>
      <c r="F288" s="2043">
        <v>-69</v>
      </c>
      <c r="G288" s="2043">
        <v>0</v>
      </c>
      <c r="H288" s="2043">
        <v>0</v>
      </c>
      <c r="I288" s="106">
        <v>0</v>
      </c>
      <c r="J288" s="41" t="s">
        <v>10797</v>
      </c>
      <c r="K288" s="2043">
        <v>0</v>
      </c>
      <c r="L288" s="2043">
        <v>0</v>
      </c>
    </row>
    <row r="289" spans="1:12" ht="14.5">
      <c r="A289" t="s">
        <v>2944</v>
      </c>
      <c r="B289" s="380" t="str">
        <f t="shared" si="4"/>
        <v>047-901</v>
      </c>
      <c r="C289" t="s">
        <v>2085</v>
      </c>
      <c r="D289" s="2043">
        <v>1370</v>
      </c>
      <c r="E289" s="2043">
        <v>1304</v>
      </c>
      <c r="F289" s="2043">
        <v>-66</v>
      </c>
      <c r="G289" s="2043">
        <v>0</v>
      </c>
      <c r="H289" s="2043">
        <v>0</v>
      </c>
      <c r="I289" s="106">
        <v>0</v>
      </c>
      <c r="J289" s="41" t="s">
        <v>10797</v>
      </c>
      <c r="K289" s="2043">
        <v>0</v>
      </c>
      <c r="L289" s="2043">
        <v>0</v>
      </c>
    </row>
    <row r="290" spans="1:12" ht="14.5">
      <c r="A290" t="s">
        <v>5016</v>
      </c>
      <c r="B290" s="380" t="str">
        <f t="shared" si="4"/>
        <v>075-903</v>
      </c>
      <c r="C290" t="s">
        <v>436</v>
      </c>
      <c r="D290" s="2043">
        <v>766</v>
      </c>
      <c r="E290" s="2043">
        <v>700</v>
      </c>
      <c r="F290" s="2043">
        <v>-66</v>
      </c>
      <c r="G290" s="2043">
        <v>0</v>
      </c>
      <c r="H290" s="2043">
        <v>0</v>
      </c>
      <c r="I290" s="106">
        <v>0</v>
      </c>
      <c r="J290" s="41" t="s">
        <v>10797</v>
      </c>
      <c r="K290" s="2043">
        <v>0</v>
      </c>
      <c r="L290" s="2043">
        <v>0</v>
      </c>
    </row>
    <row r="291" spans="1:12" ht="14.5">
      <c r="A291" t="s">
        <v>5128</v>
      </c>
      <c r="B291" s="380" t="str">
        <f t="shared" si="4"/>
        <v>130-902</v>
      </c>
      <c r="C291" t="s">
        <v>1927</v>
      </c>
      <c r="D291" s="2043">
        <v>1133</v>
      </c>
      <c r="E291" s="2043">
        <v>1067</v>
      </c>
      <c r="F291" s="2043">
        <v>-66</v>
      </c>
      <c r="G291" s="2043">
        <v>0</v>
      </c>
      <c r="H291" s="2043">
        <v>0</v>
      </c>
      <c r="I291" s="106">
        <v>0</v>
      </c>
      <c r="J291" s="41" t="s">
        <v>10797</v>
      </c>
      <c r="K291" s="2043">
        <v>0</v>
      </c>
      <c r="L291" s="2043">
        <v>0</v>
      </c>
    </row>
    <row r="292" spans="1:12" ht="14.5">
      <c r="A292" t="s">
        <v>5779</v>
      </c>
      <c r="B292" s="380" t="str">
        <f t="shared" si="4"/>
        <v>054-903</v>
      </c>
      <c r="C292" t="s">
        <v>624</v>
      </c>
      <c r="D292" s="2043">
        <v>549</v>
      </c>
      <c r="E292" s="2043">
        <v>484</v>
      </c>
      <c r="F292" s="2043">
        <v>-65</v>
      </c>
      <c r="G292" s="2043">
        <v>0</v>
      </c>
      <c r="H292" s="2043">
        <v>0</v>
      </c>
      <c r="I292" s="106">
        <v>0</v>
      </c>
      <c r="J292" s="41" t="s">
        <v>10797</v>
      </c>
      <c r="K292" s="2043">
        <v>0</v>
      </c>
      <c r="L292" s="2043">
        <v>0</v>
      </c>
    </row>
    <row r="293" spans="1:12" ht="14.5">
      <c r="A293" t="s">
        <v>4984</v>
      </c>
      <c r="B293" s="380" t="str">
        <f t="shared" si="4"/>
        <v>055-901</v>
      </c>
      <c r="C293" t="s">
        <v>113</v>
      </c>
      <c r="D293" s="2043">
        <v>425</v>
      </c>
      <c r="E293" s="2043">
        <v>360</v>
      </c>
      <c r="F293" s="2043">
        <v>-65</v>
      </c>
      <c r="G293" s="2043">
        <v>0</v>
      </c>
      <c r="H293" s="2043">
        <v>0</v>
      </c>
      <c r="I293" s="106">
        <v>0</v>
      </c>
      <c r="J293" s="41" t="s">
        <v>10797</v>
      </c>
      <c r="K293" s="2043">
        <v>0</v>
      </c>
      <c r="L293" s="2043">
        <v>0</v>
      </c>
    </row>
    <row r="294" spans="1:12" ht="14.5">
      <c r="A294" t="s">
        <v>5770</v>
      </c>
      <c r="B294" s="380" t="str">
        <f t="shared" si="4"/>
        <v>044-902</v>
      </c>
      <c r="C294" t="s">
        <v>2079</v>
      </c>
      <c r="D294" s="2043">
        <v>607</v>
      </c>
      <c r="E294" s="2043">
        <v>543</v>
      </c>
      <c r="F294" s="2043">
        <v>-64</v>
      </c>
      <c r="G294" s="2043">
        <v>0</v>
      </c>
      <c r="H294" s="2043">
        <v>0</v>
      </c>
      <c r="I294" s="106">
        <v>0</v>
      </c>
      <c r="J294" s="41" t="s">
        <v>10797</v>
      </c>
      <c r="K294" s="2043">
        <v>0</v>
      </c>
      <c r="L294" s="2043">
        <v>0</v>
      </c>
    </row>
    <row r="295" spans="1:12" ht="14.5">
      <c r="A295" t="s">
        <v>5263</v>
      </c>
      <c r="B295" s="380" t="str">
        <f t="shared" si="4"/>
        <v>217-901</v>
      </c>
      <c r="C295" t="s">
        <v>2422</v>
      </c>
      <c r="D295" s="2043">
        <v>249</v>
      </c>
      <c r="E295" s="2043">
        <v>185</v>
      </c>
      <c r="F295" s="2043">
        <v>-64</v>
      </c>
      <c r="G295" s="2043">
        <v>0</v>
      </c>
      <c r="H295" s="2043">
        <v>0</v>
      </c>
      <c r="I295" s="106">
        <v>0</v>
      </c>
      <c r="J295" s="41" t="s">
        <v>10797</v>
      </c>
      <c r="K295" s="2043">
        <v>0</v>
      </c>
      <c r="L295" s="2043">
        <v>0</v>
      </c>
    </row>
    <row r="296" spans="1:12" ht="14.5">
      <c r="A296" t="s">
        <v>3231</v>
      </c>
      <c r="B296" s="380" t="str">
        <f t="shared" si="4"/>
        <v>230-905</v>
      </c>
      <c r="C296" t="s">
        <v>781</v>
      </c>
      <c r="D296" s="2043">
        <v>1101</v>
      </c>
      <c r="E296" s="2043">
        <v>1037</v>
      </c>
      <c r="F296" s="2043">
        <v>-64</v>
      </c>
      <c r="G296" s="2043">
        <v>0</v>
      </c>
      <c r="H296" s="2043">
        <v>0</v>
      </c>
      <c r="I296" s="106">
        <v>0</v>
      </c>
      <c r="J296" s="41" t="s">
        <v>10797</v>
      </c>
      <c r="K296" s="2043">
        <v>0</v>
      </c>
      <c r="L296" s="2043">
        <v>0</v>
      </c>
    </row>
    <row r="297" spans="1:12" ht="14.5">
      <c r="A297" t="s">
        <v>4956</v>
      </c>
      <c r="B297" s="380" t="str">
        <f t="shared" si="4"/>
        <v>032-902</v>
      </c>
      <c r="C297" t="s">
        <v>1513</v>
      </c>
      <c r="D297" s="2043">
        <v>2421</v>
      </c>
      <c r="E297" s="2043">
        <v>2358</v>
      </c>
      <c r="F297" s="2043">
        <v>-63</v>
      </c>
      <c r="G297" s="2043">
        <v>0</v>
      </c>
      <c r="H297" s="2043">
        <v>0</v>
      </c>
      <c r="I297" s="106">
        <v>0</v>
      </c>
      <c r="J297" s="41" t="s">
        <v>10797</v>
      </c>
      <c r="K297" s="2043">
        <v>0</v>
      </c>
      <c r="L297" s="2043">
        <v>0</v>
      </c>
    </row>
    <row r="298" spans="1:12" ht="14.5">
      <c r="A298" t="s">
        <v>4974</v>
      </c>
      <c r="B298" s="380" t="str">
        <f t="shared" si="4"/>
        <v>045-903</v>
      </c>
      <c r="C298" t="s">
        <v>975</v>
      </c>
      <c r="D298" s="2043">
        <v>1338</v>
      </c>
      <c r="E298" s="2043">
        <v>1275</v>
      </c>
      <c r="F298" s="2043">
        <v>-63</v>
      </c>
      <c r="G298" s="2043">
        <v>0</v>
      </c>
      <c r="H298" s="2043">
        <v>0</v>
      </c>
      <c r="I298" s="106">
        <v>0</v>
      </c>
      <c r="J298" s="41" t="s">
        <v>10797</v>
      </c>
      <c r="K298" s="2043">
        <v>0</v>
      </c>
      <c r="L298" s="2043">
        <v>0</v>
      </c>
    </row>
    <row r="299" spans="1:12" ht="14.5">
      <c r="A299" t="s">
        <v>2973</v>
      </c>
      <c r="B299" s="380" t="str">
        <f t="shared" si="4"/>
        <v>070-901</v>
      </c>
      <c r="C299" t="s">
        <v>1998</v>
      </c>
      <c r="D299" s="2043">
        <v>403</v>
      </c>
      <c r="E299" s="2043">
        <v>340</v>
      </c>
      <c r="F299" s="2043">
        <v>-63</v>
      </c>
      <c r="G299" s="2043">
        <v>0</v>
      </c>
      <c r="H299" s="2043">
        <v>0</v>
      </c>
      <c r="I299" s="106">
        <v>0</v>
      </c>
      <c r="J299" s="41" t="s">
        <v>10797</v>
      </c>
      <c r="K299" s="2043">
        <v>0</v>
      </c>
      <c r="L299" s="2043">
        <v>0</v>
      </c>
    </row>
    <row r="300" spans="1:12" ht="14.5">
      <c r="A300" t="s">
        <v>2928</v>
      </c>
      <c r="B300" s="380" t="str">
        <f t="shared" si="4"/>
        <v>039-903</v>
      </c>
      <c r="C300" t="s">
        <v>3318</v>
      </c>
      <c r="D300" s="2043">
        <v>525</v>
      </c>
      <c r="E300" s="2043">
        <v>463</v>
      </c>
      <c r="F300" s="2043">
        <v>-62</v>
      </c>
      <c r="G300" s="2043">
        <v>0</v>
      </c>
      <c r="H300" s="2043">
        <v>0</v>
      </c>
      <c r="I300" s="106">
        <v>0</v>
      </c>
      <c r="J300" s="41" t="s">
        <v>10797</v>
      </c>
      <c r="K300" s="2043">
        <v>0</v>
      </c>
      <c r="L300" s="2043">
        <v>0</v>
      </c>
    </row>
    <row r="301" spans="1:12" ht="14.5">
      <c r="A301" t="s">
        <v>5776</v>
      </c>
      <c r="B301" s="380" t="str">
        <f t="shared" si="4"/>
        <v>053-001</v>
      </c>
      <c r="C301" t="s">
        <v>3319</v>
      </c>
      <c r="D301" s="2043">
        <v>791</v>
      </c>
      <c r="E301" s="2043">
        <v>729</v>
      </c>
      <c r="F301" s="2043">
        <v>-62</v>
      </c>
      <c r="G301" s="2043">
        <v>0</v>
      </c>
      <c r="H301" s="2043">
        <v>0</v>
      </c>
      <c r="I301" s="106">
        <v>0</v>
      </c>
      <c r="J301" s="41" t="s">
        <v>10797</v>
      </c>
      <c r="K301" s="2043">
        <v>0</v>
      </c>
      <c r="L301" s="2043">
        <v>0</v>
      </c>
    </row>
    <row r="302" spans="1:12" ht="14.5">
      <c r="A302" t="s">
        <v>3029</v>
      </c>
      <c r="B302" s="380" t="str">
        <f t="shared" si="4"/>
        <v>104-901</v>
      </c>
      <c r="C302" t="s">
        <v>782</v>
      </c>
      <c r="D302" s="2043">
        <v>599</v>
      </c>
      <c r="E302" s="2043">
        <v>537</v>
      </c>
      <c r="F302" s="2043">
        <v>-62</v>
      </c>
      <c r="G302" s="2043">
        <v>0</v>
      </c>
      <c r="H302" s="2043">
        <v>0</v>
      </c>
      <c r="I302" s="106">
        <v>0</v>
      </c>
      <c r="J302" s="41" t="s">
        <v>10797</v>
      </c>
      <c r="K302" s="2043">
        <v>0</v>
      </c>
      <c r="L302" s="2043">
        <v>0</v>
      </c>
    </row>
    <row r="303" spans="1:12" ht="14.5">
      <c r="A303" t="s">
        <v>3091</v>
      </c>
      <c r="B303" s="380" t="str">
        <f t="shared" si="4"/>
        <v>128-902</v>
      </c>
      <c r="C303" t="s">
        <v>392</v>
      </c>
      <c r="D303" s="2043">
        <v>795</v>
      </c>
      <c r="E303" s="2043">
        <v>733</v>
      </c>
      <c r="F303" s="2043">
        <v>-62</v>
      </c>
      <c r="G303" s="2043">
        <v>0</v>
      </c>
      <c r="H303" s="2043">
        <v>0</v>
      </c>
      <c r="I303" s="106">
        <v>0</v>
      </c>
      <c r="J303" s="41" t="s">
        <v>10797</v>
      </c>
      <c r="K303" s="2043">
        <v>0</v>
      </c>
      <c r="L303" s="2043">
        <v>0</v>
      </c>
    </row>
    <row r="304" spans="1:12" ht="14.5">
      <c r="A304" t="s">
        <v>5286</v>
      </c>
      <c r="B304" s="380" t="str">
        <f t="shared" si="4"/>
        <v>230-901</v>
      </c>
      <c r="C304" t="s">
        <v>421</v>
      </c>
      <c r="D304" s="2043">
        <v>721</v>
      </c>
      <c r="E304" s="2043">
        <v>659</v>
      </c>
      <c r="F304" s="2043">
        <v>-62</v>
      </c>
      <c r="G304" s="2043">
        <v>0</v>
      </c>
      <c r="H304" s="2043">
        <v>0</v>
      </c>
      <c r="I304" s="106">
        <v>0</v>
      </c>
      <c r="J304" s="41" t="s">
        <v>10797</v>
      </c>
      <c r="K304" s="2043">
        <v>0</v>
      </c>
      <c r="L304" s="2043">
        <v>0</v>
      </c>
    </row>
    <row r="305" spans="1:12" ht="14.5">
      <c r="A305" t="s">
        <v>5768</v>
      </c>
      <c r="B305" s="380" t="str">
        <f t="shared" si="4"/>
        <v>040-901</v>
      </c>
      <c r="C305" t="s">
        <v>2035</v>
      </c>
      <c r="D305" s="2043">
        <v>422</v>
      </c>
      <c r="E305" s="2043">
        <v>361</v>
      </c>
      <c r="F305" s="2043">
        <v>-61</v>
      </c>
      <c r="G305" s="2043">
        <v>0</v>
      </c>
      <c r="H305" s="2043">
        <v>0</v>
      </c>
      <c r="I305" s="106">
        <v>0</v>
      </c>
      <c r="J305" s="41" t="s">
        <v>10797</v>
      </c>
      <c r="K305" s="2043">
        <v>0</v>
      </c>
      <c r="L305" s="2043">
        <v>0</v>
      </c>
    </row>
    <row r="306" spans="1:12" ht="14.5">
      <c r="A306" t="s">
        <v>5814</v>
      </c>
      <c r="B306" s="380" t="str">
        <f t="shared" si="4"/>
        <v>110-901</v>
      </c>
      <c r="C306" t="s">
        <v>2460</v>
      </c>
      <c r="D306" s="2043">
        <v>243</v>
      </c>
      <c r="E306" s="2043">
        <v>182</v>
      </c>
      <c r="F306" s="2043">
        <v>-61</v>
      </c>
      <c r="G306" s="2043">
        <v>0</v>
      </c>
      <c r="H306" s="2043">
        <v>0</v>
      </c>
      <c r="I306" s="106">
        <v>0</v>
      </c>
      <c r="J306" s="41" t="s">
        <v>10797</v>
      </c>
      <c r="K306" s="2043">
        <v>0</v>
      </c>
      <c r="L306" s="2043">
        <v>0</v>
      </c>
    </row>
    <row r="307" spans="1:12" ht="14.5">
      <c r="A307" t="s">
        <v>5220</v>
      </c>
      <c r="B307" s="380" t="str">
        <f t="shared" si="4"/>
        <v>185-903</v>
      </c>
      <c r="C307" t="s">
        <v>416</v>
      </c>
      <c r="D307" s="2043">
        <v>1141</v>
      </c>
      <c r="E307" s="2043">
        <v>1080</v>
      </c>
      <c r="F307" s="2043">
        <v>-61</v>
      </c>
      <c r="G307" s="2043">
        <v>0</v>
      </c>
      <c r="H307" s="2043">
        <v>0</v>
      </c>
      <c r="I307" s="106">
        <v>0</v>
      </c>
      <c r="J307" s="41" t="s">
        <v>10797</v>
      </c>
      <c r="K307" s="2043">
        <v>0</v>
      </c>
      <c r="L307" s="2043">
        <v>0</v>
      </c>
    </row>
    <row r="308" spans="1:12" ht="14.5">
      <c r="A308" t="s">
        <v>3159</v>
      </c>
      <c r="B308" s="380" t="str">
        <f t="shared" si="4"/>
        <v>176-903</v>
      </c>
      <c r="C308" t="s">
        <v>2523</v>
      </c>
      <c r="D308" s="2043">
        <v>590</v>
      </c>
      <c r="E308" s="2043">
        <v>530</v>
      </c>
      <c r="F308" s="2043">
        <v>-60</v>
      </c>
      <c r="G308" s="2043">
        <v>0</v>
      </c>
      <c r="H308" s="2043">
        <v>0</v>
      </c>
      <c r="I308" s="106">
        <v>0</v>
      </c>
      <c r="J308" s="41" t="s">
        <v>10797</v>
      </c>
      <c r="K308" s="2043">
        <v>0</v>
      </c>
      <c r="L308" s="2043">
        <v>0</v>
      </c>
    </row>
    <row r="309" spans="1:12" ht="14.5">
      <c r="A309" t="s">
        <v>5001</v>
      </c>
      <c r="B309" s="380" t="str">
        <f t="shared" si="4"/>
        <v>063-903</v>
      </c>
      <c r="C309" t="s">
        <v>2480</v>
      </c>
      <c r="D309" s="2043">
        <v>280</v>
      </c>
      <c r="E309" s="2043">
        <v>221</v>
      </c>
      <c r="F309" s="2043">
        <v>-59</v>
      </c>
      <c r="G309" s="2043">
        <v>0</v>
      </c>
      <c r="H309" s="2043">
        <v>0</v>
      </c>
      <c r="I309" s="106">
        <v>0</v>
      </c>
      <c r="J309" s="41" t="s">
        <v>10797</v>
      </c>
      <c r="K309" s="2043">
        <v>0</v>
      </c>
      <c r="L309" s="2043">
        <v>0</v>
      </c>
    </row>
    <row r="310" spans="1:12" ht="14.5">
      <c r="A310" t="s">
        <v>3098</v>
      </c>
      <c r="B310" s="380" t="str">
        <f t="shared" si="4"/>
        <v>133-901</v>
      </c>
      <c r="C310" t="s">
        <v>618</v>
      </c>
      <c r="D310" s="2043">
        <v>594</v>
      </c>
      <c r="E310" s="2043">
        <v>535</v>
      </c>
      <c r="F310" s="2043">
        <v>-59</v>
      </c>
      <c r="G310" s="2043">
        <v>0</v>
      </c>
      <c r="H310" s="2043">
        <v>0</v>
      </c>
      <c r="I310" s="106">
        <v>0</v>
      </c>
      <c r="J310" s="41" t="s">
        <v>10797</v>
      </c>
      <c r="K310" s="2043">
        <v>0</v>
      </c>
      <c r="L310" s="2043">
        <v>0</v>
      </c>
    </row>
    <row r="311" spans="1:12" ht="14.5">
      <c r="A311" t="s">
        <v>5777</v>
      </c>
      <c r="B311" s="380" t="str">
        <f t="shared" si="4"/>
        <v>054-901</v>
      </c>
      <c r="C311" t="s">
        <v>978</v>
      </c>
      <c r="D311" s="2043">
        <v>389</v>
      </c>
      <c r="E311" s="2043">
        <v>331</v>
      </c>
      <c r="F311" s="2043">
        <v>-58</v>
      </c>
      <c r="G311" s="2043">
        <v>0</v>
      </c>
      <c r="H311" s="2043">
        <v>0</v>
      </c>
      <c r="I311" s="106">
        <v>0</v>
      </c>
      <c r="J311" s="41" t="s">
        <v>10797</v>
      </c>
      <c r="K311" s="2043">
        <v>0</v>
      </c>
      <c r="L311" s="2043">
        <v>0</v>
      </c>
    </row>
    <row r="312" spans="1:12" ht="14.5">
      <c r="A312" t="s">
        <v>5042</v>
      </c>
      <c r="B312" s="380" t="str">
        <f t="shared" si="4"/>
        <v>090-903</v>
      </c>
      <c r="C312" t="s">
        <v>1358</v>
      </c>
      <c r="D312" s="2043">
        <v>245</v>
      </c>
      <c r="E312" s="2043">
        <v>187</v>
      </c>
      <c r="F312" s="2043">
        <v>-58</v>
      </c>
      <c r="G312" s="2043">
        <v>0</v>
      </c>
      <c r="H312" s="2043">
        <v>0</v>
      </c>
      <c r="I312" s="106">
        <v>0</v>
      </c>
      <c r="J312" s="41" t="s">
        <v>10797</v>
      </c>
      <c r="K312" s="2043">
        <v>0</v>
      </c>
      <c r="L312" s="2043">
        <v>0</v>
      </c>
    </row>
    <row r="313" spans="1:12" ht="14.5">
      <c r="A313" t="s">
        <v>5270</v>
      </c>
      <c r="B313" s="380" t="str">
        <f t="shared" si="4"/>
        <v>221-905</v>
      </c>
      <c r="C313" t="s">
        <v>1208</v>
      </c>
      <c r="D313" s="2043">
        <v>196</v>
      </c>
      <c r="E313" s="2043">
        <v>138</v>
      </c>
      <c r="F313" s="2043">
        <v>-58</v>
      </c>
      <c r="G313" s="2043">
        <v>0</v>
      </c>
      <c r="H313" s="2043">
        <v>0</v>
      </c>
      <c r="I313" s="106">
        <v>0</v>
      </c>
      <c r="J313" s="41" t="s">
        <v>10797</v>
      </c>
      <c r="K313" s="2043">
        <v>0</v>
      </c>
      <c r="L313" s="2043">
        <v>0</v>
      </c>
    </row>
    <row r="314" spans="1:12" ht="14.5">
      <c r="A314" t="s">
        <v>2867</v>
      </c>
      <c r="B314" s="380" t="str">
        <f t="shared" si="4"/>
        <v>013-905</v>
      </c>
      <c r="C314" t="s">
        <v>1725</v>
      </c>
      <c r="D314" s="2043">
        <v>843</v>
      </c>
      <c r="E314" s="2043">
        <v>786</v>
      </c>
      <c r="F314" s="2043">
        <v>-57</v>
      </c>
      <c r="G314" s="2043">
        <v>0</v>
      </c>
      <c r="H314" s="2043">
        <v>0</v>
      </c>
      <c r="I314" s="106">
        <v>0</v>
      </c>
      <c r="J314" s="41" t="s">
        <v>10797</v>
      </c>
      <c r="K314" s="2043">
        <v>0</v>
      </c>
      <c r="L314" s="2043">
        <v>0</v>
      </c>
    </row>
    <row r="315" spans="1:12" ht="14.5">
      <c r="A315" t="s">
        <v>5046</v>
      </c>
      <c r="B315" s="380" t="str">
        <f t="shared" si="4"/>
        <v>091-910</v>
      </c>
      <c r="C315" t="s">
        <v>1558</v>
      </c>
      <c r="D315" s="2043">
        <v>812</v>
      </c>
      <c r="E315" s="2043">
        <v>755</v>
      </c>
      <c r="F315" s="2043">
        <v>-57</v>
      </c>
      <c r="G315" s="2043">
        <v>0</v>
      </c>
      <c r="H315" s="2043">
        <v>0</v>
      </c>
      <c r="I315" s="106">
        <v>0</v>
      </c>
      <c r="J315" s="41" t="s">
        <v>10797</v>
      </c>
      <c r="K315" s="2043">
        <v>0</v>
      </c>
      <c r="L315" s="2043">
        <v>0</v>
      </c>
    </row>
    <row r="316" spans="1:12" ht="14.5">
      <c r="A316" t="s">
        <v>3156</v>
      </c>
      <c r="B316" s="380" t="str">
        <f t="shared" si="4"/>
        <v>175-907</v>
      </c>
      <c r="C316" t="s">
        <v>2377</v>
      </c>
      <c r="D316" s="2043">
        <v>609</v>
      </c>
      <c r="E316" s="2043">
        <v>552</v>
      </c>
      <c r="F316" s="2043">
        <v>-57</v>
      </c>
      <c r="G316" s="2043">
        <v>0</v>
      </c>
      <c r="H316" s="2043">
        <v>0</v>
      </c>
      <c r="I316" s="106">
        <v>0</v>
      </c>
      <c r="J316" s="41" t="s">
        <v>10797</v>
      </c>
      <c r="K316" s="2043">
        <v>0</v>
      </c>
      <c r="L316" s="2043">
        <v>0</v>
      </c>
    </row>
    <row r="317" spans="1:12" ht="14.5">
      <c r="A317" t="s">
        <v>5288</v>
      </c>
      <c r="B317" s="380" t="str">
        <f t="shared" si="4"/>
        <v>230-908</v>
      </c>
      <c r="C317" t="s">
        <v>733</v>
      </c>
      <c r="D317" s="2043">
        <v>760</v>
      </c>
      <c r="E317" s="2043">
        <v>703</v>
      </c>
      <c r="F317" s="2043">
        <v>-57</v>
      </c>
      <c r="G317" s="2043">
        <v>0</v>
      </c>
      <c r="H317" s="2043">
        <v>0</v>
      </c>
      <c r="I317" s="106">
        <v>0</v>
      </c>
      <c r="J317" s="41" t="s">
        <v>10797</v>
      </c>
      <c r="K317" s="2043">
        <v>0</v>
      </c>
      <c r="L317" s="2043">
        <v>0</v>
      </c>
    </row>
    <row r="318" spans="1:12" ht="14.5">
      <c r="A318" t="s">
        <v>5311</v>
      </c>
      <c r="B318" s="380" t="str">
        <f t="shared" si="4"/>
        <v>249-903</v>
      </c>
      <c r="C318" t="s">
        <v>1525</v>
      </c>
      <c r="D318" s="2043">
        <v>2088</v>
      </c>
      <c r="E318" s="2043">
        <v>2031</v>
      </c>
      <c r="F318" s="2043">
        <v>-57</v>
      </c>
      <c r="G318" s="2043">
        <v>0</v>
      </c>
      <c r="H318" s="2043">
        <v>0</v>
      </c>
      <c r="I318" s="106">
        <v>0</v>
      </c>
      <c r="J318" s="41" t="s">
        <v>10797</v>
      </c>
      <c r="K318" s="2043">
        <v>0</v>
      </c>
      <c r="L318" s="2043">
        <v>0</v>
      </c>
    </row>
    <row r="319" spans="1:12" ht="14.5">
      <c r="A319" t="s">
        <v>5055</v>
      </c>
      <c r="B319" s="380" t="str">
        <f t="shared" si="4"/>
        <v>093-904</v>
      </c>
      <c r="C319" t="s">
        <v>216</v>
      </c>
      <c r="D319" s="2043">
        <v>3047</v>
      </c>
      <c r="E319" s="2043">
        <v>2991</v>
      </c>
      <c r="F319" s="2043">
        <v>-56</v>
      </c>
      <c r="G319" s="2043">
        <v>0</v>
      </c>
      <c r="H319" s="2043">
        <v>0</v>
      </c>
      <c r="I319" s="106">
        <v>0</v>
      </c>
      <c r="J319" s="41" t="s">
        <v>10797</v>
      </c>
      <c r="K319" s="2043">
        <v>0</v>
      </c>
      <c r="L319" s="2043">
        <v>0</v>
      </c>
    </row>
    <row r="320" spans="1:12" ht="14.5">
      <c r="A320" t="s">
        <v>5217</v>
      </c>
      <c r="B320" s="380" t="str">
        <f t="shared" si="4"/>
        <v>183-902</v>
      </c>
      <c r="C320" t="s">
        <v>411</v>
      </c>
      <c r="D320" s="2043">
        <v>2730</v>
      </c>
      <c r="E320" s="2043">
        <v>2674</v>
      </c>
      <c r="F320" s="2043">
        <v>-56</v>
      </c>
      <c r="G320" s="2043">
        <v>0</v>
      </c>
      <c r="H320" s="2043">
        <v>0</v>
      </c>
      <c r="I320" s="106">
        <v>0</v>
      </c>
      <c r="J320" s="41" t="s">
        <v>10797</v>
      </c>
      <c r="K320" s="2043">
        <v>0</v>
      </c>
      <c r="L320" s="2043">
        <v>0</v>
      </c>
    </row>
    <row r="321" spans="1:12" ht="14.5">
      <c r="A321" t="s">
        <v>2989</v>
      </c>
      <c r="B321" s="380" t="str">
        <f t="shared" si="4"/>
        <v>074-904</v>
      </c>
      <c r="C321" t="s">
        <v>2058</v>
      </c>
      <c r="D321" s="2043">
        <v>383</v>
      </c>
      <c r="E321" s="2043">
        <v>328</v>
      </c>
      <c r="F321" s="2043">
        <v>-55</v>
      </c>
      <c r="G321" s="2043">
        <v>0</v>
      </c>
      <c r="H321" s="2043">
        <v>0</v>
      </c>
      <c r="I321" s="106">
        <v>0</v>
      </c>
      <c r="J321" s="41" t="s">
        <v>10797</v>
      </c>
      <c r="K321" s="2043">
        <v>0</v>
      </c>
      <c r="L321" s="2043">
        <v>0</v>
      </c>
    </row>
    <row r="322" spans="1:12" ht="14.5">
      <c r="A322" t="s">
        <v>3052</v>
      </c>
      <c r="B322" s="380" t="str">
        <f t="shared" si="4"/>
        <v>109-907</v>
      </c>
      <c r="C322" t="s">
        <v>382</v>
      </c>
      <c r="D322" s="2043">
        <v>683</v>
      </c>
      <c r="E322" s="2043">
        <v>628</v>
      </c>
      <c r="F322" s="2043">
        <v>-55</v>
      </c>
      <c r="G322" s="2043">
        <v>0</v>
      </c>
      <c r="H322" s="2043">
        <v>0</v>
      </c>
      <c r="I322" s="106">
        <v>0</v>
      </c>
      <c r="J322" s="41" t="s">
        <v>10797</v>
      </c>
      <c r="K322" s="2043">
        <v>0</v>
      </c>
      <c r="L322" s="2043">
        <v>0</v>
      </c>
    </row>
    <row r="323" spans="1:12" ht="14.5">
      <c r="A323" t="s">
        <v>5147</v>
      </c>
      <c r="B323" s="380" t="str">
        <f t="shared" ref="B323:B386" si="5">CONCATENATE(LEFT(RIGHT(CONCATENATE("000",A323),6),3),"-",(RIGHT(RIGHT(CONCATENATE("000",A323),6),3)))</f>
        <v>145-911</v>
      </c>
      <c r="C323" t="s">
        <v>1892</v>
      </c>
      <c r="D323" s="2043">
        <v>772</v>
      </c>
      <c r="E323" s="2043">
        <v>717</v>
      </c>
      <c r="F323" s="2043">
        <v>-55</v>
      </c>
      <c r="G323" s="2043">
        <v>0</v>
      </c>
      <c r="H323" s="2043">
        <v>0</v>
      </c>
      <c r="I323" s="106">
        <v>0</v>
      </c>
      <c r="J323" s="41" t="s">
        <v>10797</v>
      </c>
      <c r="K323" s="2043">
        <v>0</v>
      </c>
      <c r="L323" s="2043">
        <v>0</v>
      </c>
    </row>
    <row r="324" spans="1:12" ht="14.5">
      <c r="A324" t="s">
        <v>5113</v>
      </c>
      <c r="B324" s="380" t="str">
        <f t="shared" si="5"/>
        <v>120-905</v>
      </c>
      <c r="C324" t="s">
        <v>584</v>
      </c>
      <c r="D324" s="2043">
        <v>1212</v>
      </c>
      <c r="E324" s="2043">
        <v>1158</v>
      </c>
      <c r="F324" s="2043">
        <v>-54</v>
      </c>
      <c r="G324" s="2043">
        <v>0</v>
      </c>
      <c r="H324" s="2043">
        <v>0</v>
      </c>
      <c r="I324" s="106">
        <v>0</v>
      </c>
      <c r="J324" s="41" t="s">
        <v>10797</v>
      </c>
      <c r="K324" s="2043">
        <v>0</v>
      </c>
      <c r="L324" s="2043">
        <v>0</v>
      </c>
    </row>
    <row r="325" spans="1:12" ht="14.5">
      <c r="A325" t="s">
        <v>5195</v>
      </c>
      <c r="B325" s="380" t="str">
        <f t="shared" si="5"/>
        <v>176-901</v>
      </c>
      <c r="C325" t="s">
        <v>293</v>
      </c>
      <c r="D325" s="2043">
        <v>286</v>
      </c>
      <c r="E325" s="2043">
        <v>232</v>
      </c>
      <c r="F325" s="2043">
        <v>-54</v>
      </c>
      <c r="G325" s="2043">
        <v>0</v>
      </c>
      <c r="H325" s="2043">
        <v>0</v>
      </c>
      <c r="I325" s="106">
        <v>0</v>
      </c>
      <c r="J325" s="41" t="s">
        <v>10797</v>
      </c>
      <c r="K325" s="2043">
        <v>0</v>
      </c>
      <c r="L325" s="2043">
        <v>0</v>
      </c>
    </row>
    <row r="326" spans="1:12" ht="14.5">
      <c r="A326" t="s">
        <v>5260</v>
      </c>
      <c r="B326" s="380" t="str">
        <f t="shared" si="5"/>
        <v>214-902</v>
      </c>
      <c r="C326" t="s">
        <v>1888</v>
      </c>
      <c r="D326" s="2043">
        <v>244</v>
      </c>
      <c r="E326" s="2043">
        <v>191</v>
      </c>
      <c r="F326" s="2043">
        <v>-53</v>
      </c>
      <c r="G326" s="2043">
        <v>0</v>
      </c>
      <c r="H326" s="2043">
        <v>0</v>
      </c>
      <c r="I326" s="106">
        <v>0</v>
      </c>
      <c r="J326" s="41" t="s">
        <v>10797</v>
      </c>
      <c r="K326" s="2043">
        <v>0</v>
      </c>
      <c r="L326" s="2043">
        <v>0</v>
      </c>
    </row>
    <row r="327" spans="1:12" ht="14.5">
      <c r="A327" t="s">
        <v>4203</v>
      </c>
      <c r="B327" s="380" t="str">
        <f t="shared" si="5"/>
        <v>109-913</v>
      </c>
      <c r="C327" t="s">
        <v>1270</v>
      </c>
      <c r="D327" s="2043">
        <v>396</v>
      </c>
      <c r="E327" s="2043">
        <v>344</v>
      </c>
      <c r="F327" s="2043">
        <v>-52</v>
      </c>
      <c r="G327" s="2043">
        <v>0</v>
      </c>
      <c r="H327" s="2043">
        <v>0</v>
      </c>
      <c r="I327" s="106">
        <v>0</v>
      </c>
      <c r="J327" s="41" t="s">
        <v>10797</v>
      </c>
      <c r="K327" s="2043">
        <v>0</v>
      </c>
      <c r="L327" s="2043">
        <v>0</v>
      </c>
    </row>
    <row r="328" spans="1:12" ht="14.5">
      <c r="A328" t="s">
        <v>5003</v>
      </c>
      <c r="B328" s="380" t="str">
        <f t="shared" si="5"/>
        <v>066-903</v>
      </c>
      <c r="C328" t="s">
        <v>1854</v>
      </c>
      <c r="D328" s="2043">
        <v>811</v>
      </c>
      <c r="E328" s="2043">
        <v>760</v>
      </c>
      <c r="F328" s="2043">
        <v>-51</v>
      </c>
      <c r="G328" s="2043">
        <v>0</v>
      </c>
      <c r="H328" s="2043">
        <v>0</v>
      </c>
      <c r="I328" s="106">
        <v>0</v>
      </c>
      <c r="J328" s="41" t="s">
        <v>10797</v>
      </c>
      <c r="K328" s="2043">
        <v>0</v>
      </c>
      <c r="L328" s="2043">
        <v>0</v>
      </c>
    </row>
    <row r="329" spans="1:12" ht="14.5">
      <c r="A329" t="s">
        <v>5026</v>
      </c>
      <c r="B329" s="380" t="str">
        <f t="shared" si="5"/>
        <v>083-901</v>
      </c>
      <c r="C329" t="s">
        <v>812</v>
      </c>
      <c r="D329" s="2043">
        <v>570</v>
      </c>
      <c r="E329" s="2043">
        <v>519</v>
      </c>
      <c r="F329" s="2043">
        <v>-51</v>
      </c>
      <c r="G329" s="2043">
        <v>0</v>
      </c>
      <c r="H329" s="2043">
        <v>0</v>
      </c>
      <c r="I329" s="106">
        <v>0</v>
      </c>
      <c r="J329" s="41" t="s">
        <v>10797</v>
      </c>
      <c r="K329" s="2043">
        <v>0</v>
      </c>
      <c r="L329" s="2043">
        <v>0</v>
      </c>
    </row>
    <row r="330" spans="1:12" ht="14.5">
      <c r="A330" t="s">
        <v>5237</v>
      </c>
      <c r="B330" s="380" t="str">
        <f t="shared" si="5"/>
        <v>196-903</v>
      </c>
      <c r="C330" t="s">
        <v>1534</v>
      </c>
      <c r="D330" s="2043">
        <v>740</v>
      </c>
      <c r="E330" s="2043">
        <v>689</v>
      </c>
      <c r="F330" s="2043">
        <v>-51</v>
      </c>
      <c r="G330" s="2043">
        <v>0</v>
      </c>
      <c r="H330" s="2043">
        <v>0</v>
      </c>
      <c r="I330" s="106">
        <v>0</v>
      </c>
      <c r="J330" s="41" t="s">
        <v>10797</v>
      </c>
      <c r="K330" s="2043">
        <v>0</v>
      </c>
      <c r="L330" s="2043">
        <v>0</v>
      </c>
    </row>
    <row r="331" spans="1:12" ht="14.5">
      <c r="A331" t="s">
        <v>3258</v>
      </c>
      <c r="B331" s="380" t="str">
        <f t="shared" si="5"/>
        <v>245-904</v>
      </c>
      <c r="C331" t="s">
        <v>501</v>
      </c>
      <c r="D331" s="2043">
        <v>274</v>
      </c>
      <c r="E331" s="2043">
        <v>223</v>
      </c>
      <c r="F331" s="2043">
        <v>-51</v>
      </c>
      <c r="G331" s="2043">
        <v>0</v>
      </c>
      <c r="H331" s="2043">
        <v>0</v>
      </c>
      <c r="I331" s="106">
        <v>0</v>
      </c>
      <c r="J331" s="41" t="s">
        <v>10797</v>
      </c>
      <c r="K331" s="2043">
        <v>0</v>
      </c>
      <c r="L331" s="2043">
        <v>0</v>
      </c>
    </row>
    <row r="332" spans="1:12" ht="14.5">
      <c r="A332" t="s">
        <v>4920</v>
      </c>
      <c r="B332" s="380" t="str">
        <f t="shared" si="5"/>
        <v>001-909</v>
      </c>
      <c r="C332" t="s">
        <v>1118</v>
      </c>
      <c r="D332" s="2043">
        <v>411</v>
      </c>
      <c r="E332" s="2043">
        <v>361</v>
      </c>
      <c r="F332" s="2043">
        <v>-50</v>
      </c>
      <c r="G332" s="2043">
        <v>0</v>
      </c>
      <c r="H332" s="2043">
        <v>0</v>
      </c>
      <c r="I332" s="106">
        <v>0</v>
      </c>
      <c r="J332" s="41" t="s">
        <v>10797</v>
      </c>
      <c r="K332" s="2043">
        <v>0</v>
      </c>
      <c r="L332" s="2043">
        <v>0</v>
      </c>
    </row>
    <row r="333" spans="1:12" ht="14.5">
      <c r="A333" t="s">
        <v>5790</v>
      </c>
      <c r="B333" s="380" t="str">
        <f t="shared" si="5"/>
        <v>067-907</v>
      </c>
      <c r="C333" t="s">
        <v>1857</v>
      </c>
      <c r="D333" s="2043">
        <v>386</v>
      </c>
      <c r="E333" s="2043">
        <v>336</v>
      </c>
      <c r="F333" s="2043">
        <v>-50</v>
      </c>
      <c r="G333" s="2043">
        <v>0</v>
      </c>
      <c r="H333" s="2043">
        <v>0</v>
      </c>
      <c r="I333" s="106">
        <v>0</v>
      </c>
      <c r="J333" s="41" t="s">
        <v>10797</v>
      </c>
      <c r="K333" s="2043">
        <v>0</v>
      </c>
      <c r="L333" s="2043">
        <v>0</v>
      </c>
    </row>
    <row r="334" spans="1:12" ht="14.5">
      <c r="A334" t="s">
        <v>3068</v>
      </c>
      <c r="B334" s="380" t="str">
        <f t="shared" si="5"/>
        <v>116-908</v>
      </c>
      <c r="C334" t="s">
        <v>75</v>
      </c>
      <c r="D334" s="2043">
        <v>2627</v>
      </c>
      <c r="E334" s="2043">
        <v>2577</v>
      </c>
      <c r="F334" s="2043">
        <v>-50</v>
      </c>
      <c r="G334" s="2043">
        <v>0</v>
      </c>
      <c r="H334" s="2043">
        <v>0</v>
      </c>
      <c r="I334" s="106">
        <v>0</v>
      </c>
      <c r="J334" s="41" t="s">
        <v>10797</v>
      </c>
      <c r="K334" s="2043">
        <v>0</v>
      </c>
      <c r="L334" s="2043">
        <v>0</v>
      </c>
    </row>
    <row r="335" spans="1:12" ht="14.5">
      <c r="A335" t="s">
        <v>3116</v>
      </c>
      <c r="B335" s="380" t="str">
        <f t="shared" si="5"/>
        <v>154-903</v>
      </c>
      <c r="C335" t="s">
        <v>527</v>
      </c>
      <c r="D335" s="2043">
        <v>365</v>
      </c>
      <c r="E335" s="2043">
        <v>315</v>
      </c>
      <c r="F335" s="2043">
        <v>-50</v>
      </c>
      <c r="G335" s="2043">
        <v>0</v>
      </c>
      <c r="H335" s="2043">
        <v>0</v>
      </c>
      <c r="I335" s="106">
        <v>0</v>
      </c>
      <c r="J335" s="41" t="s">
        <v>10797</v>
      </c>
      <c r="K335" s="2043">
        <v>0</v>
      </c>
      <c r="L335" s="2043">
        <v>0</v>
      </c>
    </row>
    <row r="336" spans="1:12" ht="14.5">
      <c r="A336" t="s">
        <v>5106</v>
      </c>
      <c r="B336" s="380" t="str">
        <f t="shared" si="5"/>
        <v>117-903</v>
      </c>
      <c r="C336" t="s">
        <v>990</v>
      </c>
      <c r="D336" s="2043">
        <v>742</v>
      </c>
      <c r="E336" s="2043">
        <v>693</v>
      </c>
      <c r="F336" s="2043">
        <v>-49</v>
      </c>
      <c r="G336" s="2043">
        <v>0</v>
      </c>
      <c r="H336" s="2043">
        <v>0</v>
      </c>
      <c r="I336" s="106">
        <v>0</v>
      </c>
      <c r="J336" s="41" t="s">
        <v>10797</v>
      </c>
      <c r="K336" s="2043">
        <v>0</v>
      </c>
      <c r="L336" s="2043">
        <v>0</v>
      </c>
    </row>
    <row r="337" spans="1:12" ht="14.5">
      <c r="A337" t="s">
        <v>5825</v>
      </c>
      <c r="B337" s="380" t="str">
        <f t="shared" si="5"/>
        <v>122-901</v>
      </c>
      <c r="C337" t="s">
        <v>2361</v>
      </c>
      <c r="D337" s="2043">
        <v>227</v>
      </c>
      <c r="E337" s="2043">
        <v>178</v>
      </c>
      <c r="F337" s="2043">
        <v>-49</v>
      </c>
      <c r="G337" s="2043">
        <v>0</v>
      </c>
      <c r="H337" s="2043">
        <v>0</v>
      </c>
      <c r="I337" s="106">
        <v>0</v>
      </c>
      <c r="J337" s="41" t="s">
        <v>10797</v>
      </c>
      <c r="K337" s="2043">
        <v>0</v>
      </c>
      <c r="L337" s="2043">
        <v>0</v>
      </c>
    </row>
    <row r="338" spans="1:12" ht="14.5">
      <c r="A338" t="s">
        <v>5213</v>
      </c>
      <c r="B338" s="380" t="str">
        <f t="shared" si="5"/>
        <v>182-902</v>
      </c>
      <c r="C338" t="s">
        <v>314</v>
      </c>
      <c r="D338" s="2043">
        <v>369</v>
      </c>
      <c r="E338" s="2043">
        <v>321</v>
      </c>
      <c r="F338" s="2043">
        <v>-48</v>
      </c>
      <c r="G338" s="2043">
        <v>0</v>
      </c>
      <c r="H338" s="2043">
        <v>0</v>
      </c>
      <c r="I338" s="106">
        <v>0</v>
      </c>
      <c r="J338" s="41" t="s">
        <v>10797</v>
      </c>
      <c r="K338" s="2043">
        <v>0</v>
      </c>
      <c r="L338" s="2043">
        <v>0</v>
      </c>
    </row>
    <row r="339" spans="1:12" ht="14.5">
      <c r="A339" t="s">
        <v>3219</v>
      </c>
      <c r="B339" s="380" t="str">
        <f t="shared" si="5"/>
        <v>223-902</v>
      </c>
      <c r="C339" t="s">
        <v>776</v>
      </c>
      <c r="D339" s="2043">
        <v>318</v>
      </c>
      <c r="E339" s="2043">
        <v>270</v>
      </c>
      <c r="F339" s="2043">
        <v>-48</v>
      </c>
      <c r="G339" s="2043">
        <v>0</v>
      </c>
      <c r="H339" s="2043">
        <v>0</v>
      </c>
      <c r="I339" s="106">
        <v>0</v>
      </c>
      <c r="J339" s="41" t="s">
        <v>10797</v>
      </c>
      <c r="K339" s="2043">
        <v>0</v>
      </c>
      <c r="L339" s="2043">
        <v>0</v>
      </c>
    </row>
    <row r="340" spans="1:12" ht="14.5">
      <c r="A340" t="s">
        <v>5082</v>
      </c>
      <c r="B340" s="380" t="str">
        <f t="shared" si="5"/>
        <v>104-907</v>
      </c>
      <c r="C340" t="s">
        <v>151</v>
      </c>
      <c r="D340" s="2043">
        <v>142</v>
      </c>
      <c r="E340" s="2043">
        <v>95</v>
      </c>
      <c r="F340" s="2043">
        <v>-47</v>
      </c>
      <c r="G340" s="2043">
        <v>0</v>
      </c>
      <c r="H340" s="2043">
        <v>0</v>
      </c>
      <c r="I340" s="106">
        <v>0</v>
      </c>
      <c r="J340" s="41" t="s">
        <v>10797</v>
      </c>
      <c r="K340" s="2043">
        <v>0</v>
      </c>
      <c r="L340" s="2043">
        <v>0</v>
      </c>
    </row>
    <row r="341" spans="1:12" ht="14.5">
      <c r="A341" t="s">
        <v>3187</v>
      </c>
      <c r="B341" s="380" t="str">
        <f t="shared" si="5"/>
        <v>201-908</v>
      </c>
      <c r="C341" t="s">
        <v>1286</v>
      </c>
      <c r="D341" s="2043">
        <v>521</v>
      </c>
      <c r="E341" s="2043">
        <v>474</v>
      </c>
      <c r="F341" s="2043">
        <v>-47</v>
      </c>
      <c r="G341" s="2043">
        <v>0</v>
      </c>
      <c r="H341" s="2043">
        <v>0</v>
      </c>
      <c r="I341" s="106">
        <v>0</v>
      </c>
      <c r="J341" s="41" t="s">
        <v>10797</v>
      </c>
      <c r="K341" s="2043">
        <v>0</v>
      </c>
      <c r="L341" s="2043">
        <v>0</v>
      </c>
    </row>
    <row r="342" spans="1:12" ht="14.5">
      <c r="A342" t="s">
        <v>3246</v>
      </c>
      <c r="B342" s="380" t="str">
        <f t="shared" si="5"/>
        <v>237-902</v>
      </c>
      <c r="C342" t="s">
        <v>2238</v>
      </c>
      <c r="D342" s="2043">
        <v>1633</v>
      </c>
      <c r="E342" s="2043">
        <v>1586</v>
      </c>
      <c r="F342" s="2043">
        <v>-47</v>
      </c>
      <c r="G342" s="2043">
        <v>0</v>
      </c>
      <c r="H342" s="2043">
        <v>0</v>
      </c>
      <c r="I342" s="106">
        <v>0</v>
      </c>
      <c r="J342" s="41" t="s">
        <v>10797</v>
      </c>
      <c r="K342" s="2043">
        <v>0</v>
      </c>
      <c r="L342" s="2043">
        <v>0</v>
      </c>
    </row>
    <row r="343" spans="1:12" ht="14.5">
      <c r="A343" t="s">
        <v>5319</v>
      </c>
      <c r="B343" s="380" t="str">
        <f t="shared" si="5"/>
        <v>251-902</v>
      </c>
      <c r="C343" t="s">
        <v>1298</v>
      </c>
      <c r="D343" s="2043">
        <v>459</v>
      </c>
      <c r="E343" s="2043">
        <v>412</v>
      </c>
      <c r="F343" s="2043">
        <v>-47</v>
      </c>
      <c r="G343" s="2043">
        <v>0</v>
      </c>
      <c r="H343" s="2043">
        <v>0</v>
      </c>
      <c r="I343" s="106">
        <v>0</v>
      </c>
      <c r="J343" s="41" t="s">
        <v>10797</v>
      </c>
      <c r="K343" s="2043">
        <v>0</v>
      </c>
      <c r="L343" s="2043">
        <v>0</v>
      </c>
    </row>
    <row r="344" spans="1:12" ht="14.5">
      <c r="A344" t="s">
        <v>5775</v>
      </c>
      <c r="B344" s="380" t="str">
        <f t="shared" si="5"/>
        <v>051-901</v>
      </c>
      <c r="C344" t="s">
        <v>2098</v>
      </c>
      <c r="D344" s="2043">
        <v>207</v>
      </c>
      <c r="E344" s="2043">
        <v>161</v>
      </c>
      <c r="F344" s="2043">
        <v>-46</v>
      </c>
      <c r="G344" s="2043">
        <v>0</v>
      </c>
      <c r="H344" s="2043">
        <v>0</v>
      </c>
      <c r="I344" s="106">
        <v>0</v>
      </c>
      <c r="J344" s="41" t="s">
        <v>10797</v>
      </c>
      <c r="K344" s="2043">
        <v>0</v>
      </c>
      <c r="L344" s="2043">
        <v>0</v>
      </c>
    </row>
    <row r="345" spans="1:12" ht="14.5">
      <c r="A345" t="s">
        <v>5803</v>
      </c>
      <c r="B345" s="380" t="str">
        <f t="shared" si="5"/>
        <v>085-903</v>
      </c>
      <c r="C345" t="s">
        <v>352</v>
      </c>
      <c r="D345" s="2043">
        <v>161</v>
      </c>
      <c r="E345" s="2043">
        <v>115</v>
      </c>
      <c r="F345" s="2043">
        <v>-46</v>
      </c>
      <c r="G345" s="2043">
        <v>0</v>
      </c>
      <c r="H345" s="2043">
        <v>0</v>
      </c>
      <c r="I345" s="106">
        <v>0</v>
      </c>
      <c r="J345" s="41" t="s">
        <v>10797</v>
      </c>
      <c r="K345" s="2043">
        <v>0</v>
      </c>
      <c r="L345" s="2043">
        <v>0</v>
      </c>
    </row>
    <row r="346" spans="1:12" ht="14.5">
      <c r="A346" t="s">
        <v>5064</v>
      </c>
      <c r="B346" s="380" t="str">
        <f t="shared" si="5"/>
        <v>100-903</v>
      </c>
      <c r="C346" t="s">
        <v>450</v>
      </c>
      <c r="D346" s="2043">
        <v>1173</v>
      </c>
      <c r="E346" s="2043">
        <v>1127</v>
      </c>
      <c r="F346" s="2043">
        <v>-46</v>
      </c>
      <c r="G346" s="2043">
        <v>0</v>
      </c>
      <c r="H346" s="2043">
        <v>0</v>
      </c>
      <c r="I346" s="106">
        <v>0</v>
      </c>
      <c r="J346" s="41" t="s">
        <v>10797</v>
      </c>
      <c r="K346" s="2043">
        <v>0</v>
      </c>
      <c r="L346" s="2043">
        <v>0</v>
      </c>
    </row>
    <row r="347" spans="1:12" ht="14.5">
      <c r="A347" t="s">
        <v>5191</v>
      </c>
      <c r="B347" s="380" t="str">
        <f t="shared" si="5"/>
        <v>174-910</v>
      </c>
      <c r="C347" t="s">
        <v>844</v>
      </c>
      <c r="D347" s="2043">
        <v>140</v>
      </c>
      <c r="E347" s="2043">
        <v>94</v>
      </c>
      <c r="F347" s="2043">
        <v>-46</v>
      </c>
      <c r="G347" s="2043">
        <v>0</v>
      </c>
      <c r="H347" s="2043">
        <v>0</v>
      </c>
      <c r="I347" s="106">
        <v>0</v>
      </c>
      <c r="J347" s="41" t="s">
        <v>10797</v>
      </c>
      <c r="K347" s="2043">
        <v>0</v>
      </c>
      <c r="L347" s="2043">
        <v>0</v>
      </c>
    </row>
    <row r="348" spans="1:12" ht="14.5">
      <c r="A348" t="s">
        <v>3176</v>
      </c>
      <c r="B348" s="380" t="str">
        <f t="shared" si="5"/>
        <v>187-907</v>
      </c>
      <c r="C348" t="s">
        <v>2103</v>
      </c>
      <c r="D348" s="2043">
        <v>4069</v>
      </c>
      <c r="E348" s="2043">
        <v>4023</v>
      </c>
      <c r="F348" s="2043">
        <v>-46</v>
      </c>
      <c r="G348" s="2043">
        <v>0</v>
      </c>
      <c r="H348" s="2043">
        <v>0</v>
      </c>
      <c r="I348" s="106">
        <v>0</v>
      </c>
      <c r="J348" s="41" t="s">
        <v>10797</v>
      </c>
      <c r="K348" s="2043">
        <v>0</v>
      </c>
      <c r="L348" s="2043">
        <v>0</v>
      </c>
    </row>
    <row r="349" spans="1:12" ht="14.5">
      <c r="A349" t="s">
        <v>3072</v>
      </c>
      <c r="B349" s="380" t="str">
        <f t="shared" si="5"/>
        <v>120-902</v>
      </c>
      <c r="C349" t="s">
        <v>1393</v>
      </c>
      <c r="D349" s="2043">
        <v>783</v>
      </c>
      <c r="E349" s="2043">
        <v>738</v>
      </c>
      <c r="F349" s="2043">
        <v>-45</v>
      </c>
      <c r="G349" s="2043">
        <v>0</v>
      </c>
      <c r="H349" s="2043">
        <v>0</v>
      </c>
      <c r="I349" s="106">
        <v>0</v>
      </c>
      <c r="J349" s="41" t="s">
        <v>10797</v>
      </c>
      <c r="K349" s="2043">
        <v>0</v>
      </c>
      <c r="L349" s="2043">
        <v>0</v>
      </c>
    </row>
    <row r="350" spans="1:12" ht="14.5">
      <c r="A350" t="s">
        <v>3079</v>
      </c>
      <c r="B350" s="380" t="str">
        <f t="shared" si="5"/>
        <v>125-902</v>
      </c>
      <c r="C350" t="s">
        <v>2534</v>
      </c>
      <c r="D350" s="2043">
        <v>542</v>
      </c>
      <c r="E350" s="2043">
        <v>497</v>
      </c>
      <c r="F350" s="2043">
        <v>-45</v>
      </c>
      <c r="G350" s="2043">
        <v>0</v>
      </c>
      <c r="H350" s="2043">
        <v>0</v>
      </c>
      <c r="I350" s="106">
        <v>0</v>
      </c>
      <c r="J350" s="41" t="s">
        <v>10797</v>
      </c>
      <c r="K350" s="2043">
        <v>0</v>
      </c>
      <c r="L350" s="2043">
        <v>0</v>
      </c>
    </row>
    <row r="351" spans="1:12" ht="14.5">
      <c r="A351" t="s">
        <v>2851</v>
      </c>
      <c r="B351" s="380" t="str">
        <f t="shared" si="5"/>
        <v>003-902</v>
      </c>
      <c r="C351" t="s">
        <v>2249</v>
      </c>
      <c r="D351" s="2043">
        <v>2846</v>
      </c>
      <c r="E351" s="2043">
        <v>2802</v>
      </c>
      <c r="F351" s="2043">
        <v>-44</v>
      </c>
      <c r="G351" s="2043">
        <v>0</v>
      </c>
      <c r="H351" s="2043">
        <v>0</v>
      </c>
      <c r="I351" s="106">
        <v>0</v>
      </c>
      <c r="J351" s="41" t="s">
        <v>10797</v>
      </c>
      <c r="K351" s="2043">
        <v>0</v>
      </c>
      <c r="L351" s="2043">
        <v>0</v>
      </c>
    </row>
    <row r="352" spans="1:12" ht="14.5">
      <c r="A352" t="s">
        <v>2870</v>
      </c>
      <c r="B352" s="380" t="str">
        <f t="shared" si="5"/>
        <v>014-905</v>
      </c>
      <c r="C352" t="s">
        <v>2244</v>
      </c>
      <c r="D352" s="2043">
        <v>701</v>
      </c>
      <c r="E352" s="2043">
        <v>657</v>
      </c>
      <c r="F352" s="2043">
        <v>-44</v>
      </c>
      <c r="G352" s="2043">
        <v>0</v>
      </c>
      <c r="H352" s="2043">
        <v>0</v>
      </c>
      <c r="I352" s="106">
        <v>0</v>
      </c>
      <c r="J352" s="41" t="s">
        <v>10797</v>
      </c>
      <c r="K352" s="2043">
        <v>0</v>
      </c>
      <c r="L352" s="2043">
        <v>0</v>
      </c>
    </row>
    <row r="353" spans="1:12" ht="14.5">
      <c r="A353" t="s">
        <v>5298</v>
      </c>
      <c r="B353" s="380" t="str">
        <f t="shared" si="5"/>
        <v>241-902</v>
      </c>
      <c r="C353" t="s">
        <v>1150</v>
      </c>
      <c r="D353" s="2043">
        <v>1009</v>
      </c>
      <c r="E353" s="2043">
        <v>965</v>
      </c>
      <c r="F353" s="2043">
        <v>-44</v>
      </c>
      <c r="G353" s="2043">
        <v>0</v>
      </c>
      <c r="H353" s="2043">
        <v>0</v>
      </c>
      <c r="I353" s="106">
        <v>0</v>
      </c>
      <c r="J353" s="41" t="s">
        <v>10797</v>
      </c>
      <c r="K353" s="2043">
        <v>0</v>
      </c>
      <c r="L353" s="2043">
        <v>0</v>
      </c>
    </row>
    <row r="354" spans="1:12" ht="14.5">
      <c r="A354" t="s">
        <v>5805</v>
      </c>
      <c r="B354" s="380" t="str">
        <f t="shared" si="5"/>
        <v>086-902</v>
      </c>
      <c r="C354" t="s">
        <v>1688</v>
      </c>
      <c r="D354" s="2043">
        <v>603</v>
      </c>
      <c r="E354" s="2043">
        <v>560</v>
      </c>
      <c r="F354" s="2043">
        <v>-43</v>
      </c>
      <c r="G354" s="2043">
        <v>0</v>
      </c>
      <c r="H354" s="2043">
        <v>0</v>
      </c>
      <c r="I354" s="106">
        <v>0</v>
      </c>
      <c r="J354" s="41" t="s">
        <v>10797</v>
      </c>
      <c r="K354" s="2043">
        <v>0</v>
      </c>
      <c r="L354" s="2043">
        <v>0</v>
      </c>
    </row>
    <row r="355" spans="1:12" ht="14.5">
      <c r="A355" t="s">
        <v>5150</v>
      </c>
      <c r="B355" s="380" t="str">
        <f t="shared" si="5"/>
        <v>146-907</v>
      </c>
      <c r="C355" t="s">
        <v>509</v>
      </c>
      <c r="D355" s="2043">
        <v>1852</v>
      </c>
      <c r="E355" s="2043">
        <v>1809</v>
      </c>
      <c r="F355" s="2043">
        <v>-43</v>
      </c>
      <c r="G355" s="2043">
        <v>0</v>
      </c>
      <c r="H355" s="2043">
        <v>0</v>
      </c>
      <c r="I355" s="106">
        <v>0</v>
      </c>
      <c r="J355" s="41" t="s">
        <v>10797</v>
      </c>
      <c r="K355" s="2043">
        <v>0</v>
      </c>
      <c r="L355" s="2043">
        <v>0</v>
      </c>
    </row>
    <row r="356" spans="1:12" ht="14.5">
      <c r="A356" t="s">
        <v>5187</v>
      </c>
      <c r="B356" s="380" t="str">
        <f t="shared" si="5"/>
        <v>172-902</v>
      </c>
      <c r="C356" t="s">
        <v>2129</v>
      </c>
      <c r="D356" s="2043">
        <v>1038</v>
      </c>
      <c r="E356" s="2043">
        <v>995</v>
      </c>
      <c r="F356" s="2043">
        <v>-43</v>
      </c>
      <c r="G356" s="2043">
        <v>0</v>
      </c>
      <c r="H356" s="2043">
        <v>0</v>
      </c>
      <c r="I356" s="106">
        <v>0</v>
      </c>
      <c r="J356" s="41" t="s">
        <v>10797</v>
      </c>
      <c r="K356" s="2043">
        <v>0</v>
      </c>
      <c r="L356" s="2043">
        <v>0</v>
      </c>
    </row>
    <row r="357" spans="1:12" ht="14.5">
      <c r="A357" t="s">
        <v>4963</v>
      </c>
      <c r="B357" s="380" t="str">
        <f t="shared" si="5"/>
        <v>034-909</v>
      </c>
      <c r="C357" t="s">
        <v>1612</v>
      </c>
      <c r="D357" s="2043">
        <v>283</v>
      </c>
      <c r="E357" s="2043">
        <v>241</v>
      </c>
      <c r="F357" s="2043">
        <v>-42</v>
      </c>
      <c r="G357" s="2043">
        <v>0</v>
      </c>
      <c r="H357" s="2043">
        <v>0</v>
      </c>
      <c r="I357" s="106">
        <v>0</v>
      </c>
      <c r="J357" s="41" t="s">
        <v>10797</v>
      </c>
      <c r="K357" s="2043">
        <v>0</v>
      </c>
      <c r="L357" s="2043">
        <v>0</v>
      </c>
    </row>
    <row r="358" spans="1:12" ht="14.5">
      <c r="A358" t="s">
        <v>5285</v>
      </c>
      <c r="B358" s="380" t="str">
        <f t="shared" si="5"/>
        <v>229-903</v>
      </c>
      <c r="C358" t="s">
        <v>1809</v>
      </c>
      <c r="D358" s="2043">
        <v>1305</v>
      </c>
      <c r="E358" s="2043">
        <v>1263</v>
      </c>
      <c r="F358" s="2043">
        <v>-42</v>
      </c>
      <c r="G358" s="2043">
        <v>0</v>
      </c>
      <c r="H358" s="2043">
        <v>0</v>
      </c>
      <c r="I358" s="106">
        <v>0</v>
      </c>
      <c r="J358" s="41" t="s">
        <v>10797</v>
      </c>
      <c r="K358" s="2043">
        <v>0</v>
      </c>
      <c r="L358" s="2043">
        <v>0</v>
      </c>
    </row>
    <row r="359" spans="1:12" ht="14.5">
      <c r="A359" t="s">
        <v>4928</v>
      </c>
      <c r="B359" s="380" t="str">
        <f t="shared" si="5"/>
        <v>008-901</v>
      </c>
      <c r="C359" t="s">
        <v>1130</v>
      </c>
      <c r="D359" s="2043">
        <v>2239</v>
      </c>
      <c r="E359" s="2043">
        <v>2198</v>
      </c>
      <c r="F359" s="2043">
        <v>-41</v>
      </c>
      <c r="G359" s="2043">
        <v>0</v>
      </c>
      <c r="H359" s="2043">
        <v>0</v>
      </c>
      <c r="I359" s="106">
        <v>0</v>
      </c>
      <c r="J359" s="41" t="s">
        <v>10797</v>
      </c>
      <c r="K359" s="2043">
        <v>0</v>
      </c>
      <c r="L359" s="2043">
        <v>0</v>
      </c>
    </row>
    <row r="360" spans="1:12" ht="14.5">
      <c r="A360" t="s">
        <v>3524</v>
      </c>
      <c r="B360" s="380" t="str">
        <f t="shared" si="5"/>
        <v>019-901</v>
      </c>
      <c r="C360" t="s">
        <v>2519</v>
      </c>
      <c r="D360" s="2043">
        <v>824</v>
      </c>
      <c r="E360" s="2043">
        <v>783</v>
      </c>
      <c r="F360" s="2043">
        <v>-41</v>
      </c>
      <c r="G360" s="2043">
        <v>0</v>
      </c>
      <c r="H360" s="2043">
        <v>0</v>
      </c>
      <c r="I360" s="106">
        <v>0</v>
      </c>
      <c r="J360" s="41" t="s">
        <v>10797</v>
      </c>
      <c r="K360" s="2043">
        <v>0</v>
      </c>
      <c r="L360" s="2043">
        <v>0</v>
      </c>
    </row>
    <row r="361" spans="1:12" ht="14.5">
      <c r="A361" t="s">
        <v>4958</v>
      </c>
      <c r="B361" s="380" t="str">
        <f t="shared" si="5"/>
        <v>033-902</v>
      </c>
      <c r="C361" t="s">
        <v>2047</v>
      </c>
      <c r="D361" s="2043">
        <v>705</v>
      </c>
      <c r="E361" s="2043">
        <v>664</v>
      </c>
      <c r="F361" s="2043">
        <v>-41</v>
      </c>
      <c r="G361" s="2043">
        <v>0</v>
      </c>
      <c r="H361" s="2043">
        <v>0</v>
      </c>
      <c r="I361" s="106">
        <v>0</v>
      </c>
      <c r="J361" s="41" t="s">
        <v>10797</v>
      </c>
      <c r="K361" s="2043">
        <v>0</v>
      </c>
      <c r="L361" s="2043">
        <v>0</v>
      </c>
    </row>
    <row r="362" spans="1:12" ht="14.5">
      <c r="A362" t="s">
        <v>5862</v>
      </c>
      <c r="B362" s="380" t="str">
        <f t="shared" si="5"/>
        <v>185-901</v>
      </c>
      <c r="C362" t="s">
        <v>414</v>
      </c>
      <c r="D362" s="2043">
        <v>499</v>
      </c>
      <c r="E362" s="2043">
        <v>458</v>
      </c>
      <c r="F362" s="2043">
        <v>-41</v>
      </c>
      <c r="G362" s="2043">
        <v>0</v>
      </c>
      <c r="H362" s="2043">
        <v>0</v>
      </c>
      <c r="I362" s="106">
        <v>0</v>
      </c>
      <c r="J362" s="41" t="s">
        <v>10797</v>
      </c>
      <c r="K362" s="2043">
        <v>0</v>
      </c>
      <c r="L362" s="2043">
        <v>0</v>
      </c>
    </row>
    <row r="363" spans="1:12" ht="14.5">
      <c r="A363" t="s">
        <v>4938</v>
      </c>
      <c r="B363" s="380" t="str">
        <f t="shared" si="5"/>
        <v>018-907</v>
      </c>
      <c r="C363" t="s">
        <v>2539</v>
      </c>
      <c r="D363" s="2043">
        <v>219</v>
      </c>
      <c r="E363" s="2043">
        <v>179</v>
      </c>
      <c r="F363" s="2043">
        <v>-40</v>
      </c>
      <c r="G363" s="2043">
        <v>0</v>
      </c>
      <c r="H363" s="2043">
        <v>0</v>
      </c>
      <c r="I363" s="106">
        <v>0</v>
      </c>
      <c r="J363" s="41" t="s">
        <v>10797</v>
      </c>
      <c r="K363" s="2043">
        <v>0</v>
      </c>
      <c r="L363" s="2043">
        <v>0</v>
      </c>
    </row>
    <row r="364" spans="1:12" ht="14.5">
      <c r="A364" t="s">
        <v>5778</v>
      </c>
      <c r="B364" s="380" t="str">
        <f t="shared" si="5"/>
        <v>054-902</v>
      </c>
      <c r="C364" t="s">
        <v>623</v>
      </c>
      <c r="D364" s="2043">
        <v>277</v>
      </c>
      <c r="E364" s="2043">
        <v>237</v>
      </c>
      <c r="F364" s="2043">
        <v>-40</v>
      </c>
      <c r="G364" s="2043">
        <v>0</v>
      </c>
      <c r="H364" s="2043">
        <v>0</v>
      </c>
      <c r="I364" s="106">
        <v>0</v>
      </c>
      <c r="J364" s="41" t="s">
        <v>10797</v>
      </c>
      <c r="K364" s="2043">
        <v>0</v>
      </c>
      <c r="L364" s="2043">
        <v>0</v>
      </c>
    </row>
    <row r="365" spans="1:12" ht="14.5">
      <c r="A365" t="s">
        <v>5017</v>
      </c>
      <c r="B365" s="380" t="str">
        <f t="shared" si="5"/>
        <v>075-908</v>
      </c>
      <c r="C365" t="s">
        <v>167</v>
      </c>
      <c r="D365" s="2043">
        <v>281</v>
      </c>
      <c r="E365" s="2043">
        <v>241</v>
      </c>
      <c r="F365" s="2043">
        <v>-40</v>
      </c>
      <c r="G365" s="2043">
        <v>0</v>
      </c>
      <c r="H365" s="2043">
        <v>0</v>
      </c>
      <c r="I365" s="106">
        <v>0</v>
      </c>
      <c r="J365" s="41" t="s">
        <v>10797</v>
      </c>
      <c r="K365" s="2043">
        <v>0</v>
      </c>
      <c r="L365" s="2043">
        <v>0</v>
      </c>
    </row>
    <row r="366" spans="1:12" ht="14.5">
      <c r="A366" t="s">
        <v>5153</v>
      </c>
      <c r="B366" s="380" t="str">
        <f t="shared" si="5"/>
        <v>148-901</v>
      </c>
      <c r="C366" t="s">
        <v>512</v>
      </c>
      <c r="D366" s="2043">
        <v>397</v>
      </c>
      <c r="E366" s="2043">
        <v>357</v>
      </c>
      <c r="F366" s="2043">
        <v>-40</v>
      </c>
      <c r="G366" s="2043">
        <v>0</v>
      </c>
      <c r="H366" s="2043">
        <v>0</v>
      </c>
      <c r="I366" s="106">
        <v>0</v>
      </c>
      <c r="J366" s="41" t="s">
        <v>10797</v>
      </c>
      <c r="K366" s="2043">
        <v>0</v>
      </c>
      <c r="L366" s="2043">
        <v>0</v>
      </c>
    </row>
    <row r="367" spans="1:12" ht="14.5">
      <c r="A367" t="s">
        <v>4500</v>
      </c>
      <c r="B367" s="380" t="str">
        <f t="shared" si="5"/>
        <v>174-909</v>
      </c>
      <c r="C367" t="s">
        <v>2135</v>
      </c>
      <c r="D367" s="2043">
        <v>385</v>
      </c>
      <c r="E367" s="2043">
        <v>345</v>
      </c>
      <c r="F367" s="2043">
        <v>-40</v>
      </c>
      <c r="G367" s="2043">
        <v>0</v>
      </c>
      <c r="H367" s="2043">
        <v>0</v>
      </c>
      <c r="I367" s="106">
        <v>0</v>
      </c>
      <c r="J367" s="41" t="s">
        <v>10797</v>
      </c>
      <c r="K367" s="2043">
        <v>0</v>
      </c>
      <c r="L367" s="2043">
        <v>0</v>
      </c>
    </row>
    <row r="368" spans="1:12" ht="14.5">
      <c r="A368" t="s">
        <v>3188</v>
      </c>
      <c r="B368" s="380" t="str">
        <f t="shared" si="5"/>
        <v>201-913</v>
      </c>
      <c r="C368" t="s">
        <v>613</v>
      </c>
      <c r="D368" s="2043">
        <v>648</v>
      </c>
      <c r="E368" s="2043">
        <v>608</v>
      </c>
      <c r="F368" s="2043">
        <v>-40</v>
      </c>
      <c r="G368" s="2043">
        <v>0</v>
      </c>
      <c r="H368" s="2043">
        <v>0</v>
      </c>
      <c r="I368" s="106">
        <v>0</v>
      </c>
      <c r="J368" s="41" t="s">
        <v>10797</v>
      </c>
      <c r="K368" s="2043">
        <v>0</v>
      </c>
      <c r="L368" s="2043">
        <v>0</v>
      </c>
    </row>
    <row r="369" spans="1:12" ht="14.5">
      <c r="A369" t="s">
        <v>5302</v>
      </c>
      <c r="B369" s="380" t="str">
        <f t="shared" si="5"/>
        <v>242-903</v>
      </c>
      <c r="C369" t="s">
        <v>1155</v>
      </c>
      <c r="D369" s="2043">
        <v>448</v>
      </c>
      <c r="E369" s="2043">
        <v>408</v>
      </c>
      <c r="F369" s="2043">
        <v>-40</v>
      </c>
      <c r="G369" s="2043">
        <v>0</v>
      </c>
      <c r="H369" s="2043">
        <v>0</v>
      </c>
      <c r="I369" s="106">
        <v>0</v>
      </c>
      <c r="J369" s="41" t="s">
        <v>10797</v>
      </c>
      <c r="K369" s="2043">
        <v>0</v>
      </c>
      <c r="L369" s="2043">
        <v>0</v>
      </c>
    </row>
    <row r="370" spans="1:12" ht="14.5">
      <c r="A370" t="s">
        <v>4985</v>
      </c>
      <c r="B370" s="380" t="str">
        <f t="shared" si="5"/>
        <v>056-901</v>
      </c>
      <c r="C370" t="s">
        <v>114</v>
      </c>
      <c r="D370" s="2043">
        <v>1774</v>
      </c>
      <c r="E370" s="2043">
        <v>1735</v>
      </c>
      <c r="F370" s="2043">
        <v>-39</v>
      </c>
      <c r="G370" s="2043">
        <v>0</v>
      </c>
      <c r="H370" s="2043">
        <v>0</v>
      </c>
      <c r="I370" s="106">
        <v>0</v>
      </c>
      <c r="J370" s="41" t="s">
        <v>10797</v>
      </c>
      <c r="K370" s="2043">
        <v>0</v>
      </c>
      <c r="L370" s="2043">
        <v>0</v>
      </c>
    </row>
    <row r="371" spans="1:12" ht="14.5">
      <c r="A371" t="s">
        <v>3090</v>
      </c>
      <c r="B371" s="380" t="str">
        <f t="shared" si="5"/>
        <v>127-906</v>
      </c>
      <c r="C371" t="s">
        <v>1832</v>
      </c>
      <c r="D371" s="2043">
        <v>659</v>
      </c>
      <c r="E371" s="2043">
        <v>620</v>
      </c>
      <c r="F371" s="2043">
        <v>-39</v>
      </c>
      <c r="G371" s="2043">
        <v>0</v>
      </c>
      <c r="H371" s="2043">
        <v>0</v>
      </c>
      <c r="I371" s="106">
        <v>0</v>
      </c>
      <c r="J371" s="41" t="s">
        <v>10797</v>
      </c>
      <c r="K371" s="2043">
        <v>0</v>
      </c>
      <c r="L371" s="2043">
        <v>0</v>
      </c>
    </row>
    <row r="372" spans="1:12" ht="14.5">
      <c r="A372" t="s">
        <v>5232</v>
      </c>
      <c r="B372" s="380" t="str">
        <f t="shared" si="5"/>
        <v>192-901</v>
      </c>
      <c r="C372" t="s">
        <v>145</v>
      </c>
      <c r="D372" s="2043">
        <v>851</v>
      </c>
      <c r="E372" s="2043">
        <v>812</v>
      </c>
      <c r="F372" s="2043">
        <v>-39</v>
      </c>
      <c r="G372" s="2043">
        <v>0</v>
      </c>
      <c r="H372" s="2043">
        <v>0</v>
      </c>
      <c r="I372" s="106">
        <v>0</v>
      </c>
      <c r="J372" s="41" t="s">
        <v>10797</v>
      </c>
      <c r="K372" s="2043">
        <v>0</v>
      </c>
      <c r="L372" s="2043">
        <v>0</v>
      </c>
    </row>
    <row r="373" spans="1:12" ht="14.5">
      <c r="A373" t="s">
        <v>4918</v>
      </c>
      <c r="B373" s="380" t="str">
        <f t="shared" si="5"/>
        <v>001-904</v>
      </c>
      <c r="C373" t="s">
        <v>267</v>
      </c>
      <c r="D373" s="2043">
        <v>846</v>
      </c>
      <c r="E373" s="2043">
        <v>808</v>
      </c>
      <c r="F373" s="2043">
        <v>-38</v>
      </c>
      <c r="G373" s="2043">
        <v>0</v>
      </c>
      <c r="H373" s="2043">
        <v>0</v>
      </c>
      <c r="I373" s="106">
        <v>0</v>
      </c>
      <c r="J373" s="41" t="s">
        <v>10797</v>
      </c>
      <c r="K373" s="2043">
        <v>0</v>
      </c>
      <c r="L373" s="2043">
        <v>0</v>
      </c>
    </row>
    <row r="374" spans="1:12" ht="14.5">
      <c r="A374" t="s">
        <v>3103</v>
      </c>
      <c r="B374" s="380" t="str">
        <f t="shared" si="5"/>
        <v>139-912</v>
      </c>
      <c r="C374" t="s">
        <v>1982</v>
      </c>
      <c r="D374" s="2043">
        <v>1128</v>
      </c>
      <c r="E374" s="2043">
        <v>1090</v>
      </c>
      <c r="F374" s="2043">
        <v>-38</v>
      </c>
      <c r="G374" s="2043">
        <v>0</v>
      </c>
      <c r="H374" s="2043">
        <v>0</v>
      </c>
      <c r="I374" s="106">
        <v>0</v>
      </c>
      <c r="J374" s="41" t="s">
        <v>10797</v>
      </c>
      <c r="K374" s="2043">
        <v>0</v>
      </c>
      <c r="L374" s="2043">
        <v>0</v>
      </c>
    </row>
    <row r="375" spans="1:12" ht="14.5">
      <c r="A375" t="s">
        <v>5215</v>
      </c>
      <c r="B375" s="380" t="str">
        <f t="shared" si="5"/>
        <v>182-906</v>
      </c>
      <c r="C375" t="s">
        <v>409</v>
      </c>
      <c r="D375" s="2043">
        <v>122</v>
      </c>
      <c r="E375" s="2043">
        <v>84</v>
      </c>
      <c r="F375" s="2043">
        <v>-38</v>
      </c>
      <c r="G375" s="2043">
        <v>0</v>
      </c>
      <c r="H375" s="2043">
        <v>0</v>
      </c>
      <c r="I375" s="106">
        <v>0</v>
      </c>
      <c r="J375" s="41" t="s">
        <v>10797</v>
      </c>
      <c r="K375" s="2043">
        <v>0</v>
      </c>
      <c r="L375" s="2043">
        <v>0</v>
      </c>
    </row>
    <row r="376" spans="1:12" ht="14.5">
      <c r="A376" t="s">
        <v>2891</v>
      </c>
      <c r="B376" s="380" t="str">
        <f t="shared" si="5"/>
        <v>019-902</v>
      </c>
      <c r="C376" t="s">
        <v>2246</v>
      </c>
      <c r="D376" s="2043">
        <v>923</v>
      </c>
      <c r="E376" s="2043">
        <v>886</v>
      </c>
      <c r="F376" s="2043">
        <v>-37</v>
      </c>
      <c r="G376" s="2043">
        <v>0</v>
      </c>
      <c r="H376" s="2043">
        <v>0</v>
      </c>
      <c r="I376" s="106">
        <v>0</v>
      </c>
      <c r="J376" s="41" t="s">
        <v>10797</v>
      </c>
      <c r="K376" s="2043">
        <v>0</v>
      </c>
      <c r="L376" s="2043">
        <v>0</v>
      </c>
    </row>
    <row r="377" spans="1:12" ht="14.5">
      <c r="A377" t="s">
        <v>5053</v>
      </c>
      <c r="B377" s="380" t="str">
        <f t="shared" si="5"/>
        <v>092-908</v>
      </c>
      <c r="C377" t="s">
        <v>213</v>
      </c>
      <c r="D377" s="2043">
        <v>1503</v>
      </c>
      <c r="E377" s="2043">
        <v>1466</v>
      </c>
      <c r="F377" s="2043">
        <v>-37</v>
      </c>
      <c r="G377" s="2043">
        <v>0</v>
      </c>
      <c r="H377" s="2043">
        <v>0</v>
      </c>
      <c r="I377" s="106">
        <v>0</v>
      </c>
      <c r="J377" s="41" t="s">
        <v>10797</v>
      </c>
      <c r="K377" s="2043">
        <v>0</v>
      </c>
      <c r="L377" s="2043">
        <v>0</v>
      </c>
    </row>
    <row r="378" spans="1:12" ht="14.5">
      <c r="A378" t="s">
        <v>5111</v>
      </c>
      <c r="B378" s="380" t="str">
        <f t="shared" si="5"/>
        <v>119-903</v>
      </c>
      <c r="C378" t="s">
        <v>993</v>
      </c>
      <c r="D378" s="2043">
        <v>359</v>
      </c>
      <c r="E378" s="2043">
        <v>322</v>
      </c>
      <c r="F378" s="2043">
        <v>-37</v>
      </c>
      <c r="G378" s="2043">
        <v>0</v>
      </c>
      <c r="H378" s="2043">
        <v>0</v>
      </c>
      <c r="I378" s="106">
        <v>0</v>
      </c>
      <c r="J378" s="41" t="s">
        <v>10797</v>
      </c>
      <c r="K378" s="2043">
        <v>0</v>
      </c>
      <c r="L378" s="2043">
        <v>0</v>
      </c>
    </row>
    <row r="379" spans="1:12" ht="14.5">
      <c r="A379" t="s">
        <v>3085</v>
      </c>
      <c r="B379" s="380" t="str">
        <f t="shared" si="5"/>
        <v>126-906</v>
      </c>
      <c r="C379" t="s">
        <v>1921</v>
      </c>
      <c r="D379" s="2043">
        <v>1058</v>
      </c>
      <c r="E379" s="2043">
        <v>1021</v>
      </c>
      <c r="F379" s="2043">
        <v>-37</v>
      </c>
      <c r="G379" s="2043">
        <v>0</v>
      </c>
      <c r="H379" s="2043">
        <v>0</v>
      </c>
      <c r="I379" s="106">
        <v>0</v>
      </c>
      <c r="J379" s="41" t="s">
        <v>10797</v>
      </c>
      <c r="K379" s="2043">
        <v>0</v>
      </c>
      <c r="L379" s="2043">
        <v>0</v>
      </c>
    </row>
    <row r="380" spans="1:12" ht="14.5">
      <c r="A380" t="s">
        <v>5245</v>
      </c>
      <c r="B380" s="380" t="str">
        <f t="shared" si="5"/>
        <v>201-914</v>
      </c>
      <c r="C380" t="s">
        <v>3322</v>
      </c>
      <c r="D380" s="2043">
        <v>1075</v>
      </c>
      <c r="E380" s="2043">
        <v>1038</v>
      </c>
      <c r="F380" s="2043">
        <v>-37</v>
      </c>
      <c r="G380" s="2043">
        <v>0</v>
      </c>
      <c r="H380" s="2043">
        <v>0</v>
      </c>
      <c r="I380" s="106">
        <v>0</v>
      </c>
      <c r="J380" s="41" t="s">
        <v>10797</v>
      </c>
      <c r="K380" s="2043">
        <v>0</v>
      </c>
      <c r="L380" s="2043">
        <v>0</v>
      </c>
    </row>
    <row r="381" spans="1:12" ht="14.5">
      <c r="A381" t="s">
        <v>5874</v>
      </c>
      <c r="B381" s="380" t="str">
        <f t="shared" si="5"/>
        <v>203-902</v>
      </c>
      <c r="C381" t="s">
        <v>1958</v>
      </c>
      <c r="D381" s="2043">
        <v>402</v>
      </c>
      <c r="E381" s="2043">
        <v>365</v>
      </c>
      <c r="F381" s="2043">
        <v>-37</v>
      </c>
      <c r="G381" s="2043">
        <v>0</v>
      </c>
      <c r="H381" s="2043">
        <v>0</v>
      </c>
      <c r="I381" s="106">
        <v>0</v>
      </c>
      <c r="J381" s="41" t="s">
        <v>10797</v>
      </c>
      <c r="K381" s="2043">
        <v>0</v>
      </c>
      <c r="L381" s="2043">
        <v>0</v>
      </c>
    </row>
    <row r="382" spans="1:12" ht="14.5">
      <c r="A382" t="s">
        <v>3045</v>
      </c>
      <c r="B382" s="380" t="str">
        <f t="shared" si="5"/>
        <v>108-914</v>
      </c>
      <c r="C382" t="s">
        <v>2175</v>
      </c>
      <c r="D382" s="2043">
        <v>596</v>
      </c>
      <c r="E382" s="2043">
        <v>560</v>
      </c>
      <c r="F382" s="2043">
        <v>-36</v>
      </c>
      <c r="G382" s="2043">
        <v>0</v>
      </c>
      <c r="H382" s="2043">
        <v>0</v>
      </c>
      <c r="I382" s="106">
        <v>0</v>
      </c>
      <c r="J382" s="41" t="s">
        <v>10797</v>
      </c>
      <c r="K382" s="2043">
        <v>0</v>
      </c>
      <c r="L382" s="2043">
        <v>0</v>
      </c>
    </row>
    <row r="383" spans="1:12" ht="14.5">
      <c r="A383" t="s">
        <v>5202</v>
      </c>
      <c r="B383" s="380" t="str">
        <f t="shared" si="5"/>
        <v>178-905</v>
      </c>
      <c r="C383" t="s">
        <v>300</v>
      </c>
      <c r="D383" s="2043">
        <v>313</v>
      </c>
      <c r="E383" s="2043">
        <v>277</v>
      </c>
      <c r="F383" s="2043">
        <v>-36</v>
      </c>
      <c r="G383" s="2043">
        <v>0</v>
      </c>
      <c r="H383" s="2043">
        <v>0</v>
      </c>
      <c r="I383" s="106">
        <v>0</v>
      </c>
      <c r="J383" s="41" t="s">
        <v>10797</v>
      </c>
      <c r="K383" s="2043">
        <v>0</v>
      </c>
      <c r="L383" s="2043">
        <v>0</v>
      </c>
    </row>
    <row r="384" spans="1:12" ht="14.5">
      <c r="A384" t="s">
        <v>5297</v>
      </c>
      <c r="B384" s="380" t="str">
        <f t="shared" si="5"/>
        <v>240-904</v>
      </c>
      <c r="C384" t="s">
        <v>2212</v>
      </c>
      <c r="D384" s="2043">
        <v>300</v>
      </c>
      <c r="E384" s="2043">
        <v>264</v>
      </c>
      <c r="F384" s="2043">
        <v>-36</v>
      </c>
      <c r="G384" s="2043">
        <v>0</v>
      </c>
      <c r="H384" s="2043">
        <v>0</v>
      </c>
      <c r="I384" s="106">
        <v>0</v>
      </c>
      <c r="J384" s="41" t="s">
        <v>10797</v>
      </c>
      <c r="K384" s="2043">
        <v>0</v>
      </c>
      <c r="L384" s="2043">
        <v>0</v>
      </c>
    </row>
    <row r="385" spans="1:12" ht="14.5">
      <c r="A385" t="s">
        <v>4919</v>
      </c>
      <c r="B385" s="380" t="str">
        <f t="shared" si="5"/>
        <v>001-906</v>
      </c>
      <c r="C385" t="s">
        <v>268</v>
      </c>
      <c r="D385" s="2043">
        <v>378</v>
      </c>
      <c r="E385" s="2043">
        <v>343</v>
      </c>
      <c r="F385" s="2043">
        <v>-35</v>
      </c>
      <c r="G385" s="2043">
        <v>0</v>
      </c>
      <c r="H385" s="2043">
        <v>0</v>
      </c>
      <c r="I385" s="106">
        <v>0</v>
      </c>
      <c r="J385" s="41" t="s">
        <v>10797</v>
      </c>
      <c r="K385" s="2043">
        <v>0</v>
      </c>
      <c r="L385" s="2043">
        <v>0</v>
      </c>
    </row>
    <row r="386" spans="1:12" ht="14.5">
      <c r="A386" t="s">
        <v>2903</v>
      </c>
      <c r="B386" s="380" t="str">
        <f t="shared" si="5"/>
        <v>025-904</v>
      </c>
      <c r="C386" t="s">
        <v>1267</v>
      </c>
      <c r="D386" s="2043">
        <v>182</v>
      </c>
      <c r="E386" s="2043">
        <v>147</v>
      </c>
      <c r="F386" s="2043">
        <v>-35</v>
      </c>
      <c r="G386" s="2043">
        <v>0</v>
      </c>
      <c r="H386" s="2043">
        <v>0</v>
      </c>
      <c r="I386" s="106">
        <v>0</v>
      </c>
      <c r="J386" s="41" t="s">
        <v>10797</v>
      </c>
      <c r="K386" s="2043">
        <v>0</v>
      </c>
      <c r="L386" s="2043">
        <v>0</v>
      </c>
    </row>
    <row r="387" spans="1:12" ht="14.5">
      <c r="A387" t="s">
        <v>5802</v>
      </c>
      <c r="B387" s="380" t="str">
        <f t="shared" ref="B387:B450" si="6">CONCATENATE(LEFT(RIGHT(CONCATENATE("000",A387),6),3),"-",(RIGHT(RIGHT(CONCATENATE("000",A387),6),3)))</f>
        <v>078-901</v>
      </c>
      <c r="C387" t="s">
        <v>803</v>
      </c>
      <c r="D387" s="2043">
        <v>227</v>
      </c>
      <c r="E387" s="2043">
        <v>192</v>
      </c>
      <c r="F387" s="2043">
        <v>-35</v>
      </c>
      <c r="G387" s="2043">
        <v>0</v>
      </c>
      <c r="H387" s="2043">
        <v>0</v>
      </c>
      <c r="I387" s="106">
        <v>0</v>
      </c>
      <c r="J387" s="41" t="s">
        <v>10797</v>
      </c>
      <c r="K387" s="2043">
        <v>0</v>
      </c>
      <c r="L387" s="2043">
        <v>0</v>
      </c>
    </row>
    <row r="388" spans="1:12" ht="14.5">
      <c r="A388" t="s">
        <v>5025</v>
      </c>
      <c r="B388" s="380" t="str">
        <f t="shared" si="6"/>
        <v>081-906</v>
      </c>
      <c r="C388" t="s">
        <v>811</v>
      </c>
      <c r="D388" s="2043">
        <v>168</v>
      </c>
      <c r="E388" s="2043">
        <v>133</v>
      </c>
      <c r="F388" s="2043">
        <v>-35</v>
      </c>
      <c r="G388" s="2043">
        <v>0</v>
      </c>
      <c r="H388" s="2043">
        <v>0</v>
      </c>
      <c r="I388" s="106">
        <v>0</v>
      </c>
      <c r="J388" s="41" t="s">
        <v>10797</v>
      </c>
      <c r="K388" s="2043">
        <v>0</v>
      </c>
      <c r="L388" s="2043">
        <v>0</v>
      </c>
    </row>
    <row r="389" spans="1:12" ht="14.5">
      <c r="A389" t="s">
        <v>5103</v>
      </c>
      <c r="B389" s="380" t="str">
        <f t="shared" si="6"/>
        <v>116-905</v>
      </c>
      <c r="C389" t="s">
        <v>1488</v>
      </c>
      <c r="D389" s="2043">
        <v>5360</v>
      </c>
      <c r="E389" s="2043">
        <v>5325</v>
      </c>
      <c r="F389" s="2043">
        <v>-35</v>
      </c>
      <c r="G389" s="2043">
        <v>0</v>
      </c>
      <c r="H389" s="2043">
        <v>0</v>
      </c>
      <c r="I389" s="106">
        <v>0</v>
      </c>
      <c r="J389" s="41" t="s">
        <v>10797</v>
      </c>
      <c r="K389" s="2043">
        <v>0</v>
      </c>
      <c r="L389" s="2043">
        <v>0</v>
      </c>
    </row>
    <row r="390" spans="1:12" ht="14.5">
      <c r="A390" t="s">
        <v>5180</v>
      </c>
      <c r="B390" s="380" t="str">
        <f t="shared" si="6"/>
        <v>168-902</v>
      </c>
      <c r="C390" t="s">
        <v>1668</v>
      </c>
      <c r="D390" s="2043">
        <v>170</v>
      </c>
      <c r="E390" s="2043">
        <v>135</v>
      </c>
      <c r="F390" s="2043">
        <v>-35</v>
      </c>
      <c r="G390" s="2043">
        <v>0</v>
      </c>
      <c r="H390" s="2043">
        <v>0</v>
      </c>
      <c r="I390" s="106">
        <v>0</v>
      </c>
      <c r="J390" s="41" t="s">
        <v>10797</v>
      </c>
      <c r="K390" s="2043">
        <v>0</v>
      </c>
      <c r="L390" s="2043">
        <v>0</v>
      </c>
    </row>
    <row r="391" spans="1:12" ht="14.5">
      <c r="A391" t="s">
        <v>5817</v>
      </c>
      <c r="B391" s="380" t="str">
        <f t="shared" si="6"/>
        <v>112-908</v>
      </c>
      <c r="C391" t="s">
        <v>595</v>
      </c>
      <c r="D391" s="2043">
        <v>759</v>
      </c>
      <c r="E391" s="2043">
        <v>725</v>
      </c>
      <c r="F391" s="2043">
        <v>-34</v>
      </c>
      <c r="G391" s="2043">
        <v>0</v>
      </c>
      <c r="H391" s="2043">
        <v>0</v>
      </c>
      <c r="I391" s="106">
        <v>0</v>
      </c>
      <c r="J391" s="41" t="s">
        <v>10797</v>
      </c>
      <c r="K391" s="2043">
        <v>0</v>
      </c>
      <c r="L391" s="2043">
        <v>0</v>
      </c>
    </row>
    <row r="392" spans="1:12" ht="14.5">
      <c r="A392" t="s">
        <v>3109</v>
      </c>
      <c r="B392" s="380" t="str">
        <f t="shared" si="6"/>
        <v>146-905</v>
      </c>
      <c r="C392" t="s">
        <v>2251</v>
      </c>
      <c r="D392" s="2043">
        <v>467</v>
      </c>
      <c r="E392" s="2043">
        <v>433</v>
      </c>
      <c r="F392" s="2043">
        <v>-34</v>
      </c>
      <c r="G392" s="2043">
        <v>0</v>
      </c>
      <c r="H392" s="2043">
        <v>0</v>
      </c>
      <c r="I392" s="106">
        <v>0</v>
      </c>
      <c r="J392" s="41" t="s">
        <v>10797</v>
      </c>
      <c r="K392" s="2043">
        <v>0</v>
      </c>
      <c r="L392" s="2043">
        <v>0</v>
      </c>
    </row>
    <row r="393" spans="1:12" ht="14.5">
      <c r="A393" t="s">
        <v>3233</v>
      </c>
      <c r="B393" s="380" t="str">
        <f t="shared" si="6"/>
        <v>232-901</v>
      </c>
      <c r="C393" t="s">
        <v>2332</v>
      </c>
      <c r="D393" s="2043">
        <v>446</v>
      </c>
      <c r="E393" s="2043">
        <v>412</v>
      </c>
      <c r="F393" s="2043">
        <v>-34</v>
      </c>
      <c r="G393" s="2043">
        <v>0</v>
      </c>
      <c r="H393" s="2043">
        <v>0</v>
      </c>
      <c r="I393" s="106">
        <v>0</v>
      </c>
      <c r="J393" s="41" t="s">
        <v>10797</v>
      </c>
      <c r="K393" s="2043">
        <v>0</v>
      </c>
      <c r="L393" s="2043">
        <v>0</v>
      </c>
    </row>
    <row r="394" spans="1:12" ht="14.5">
      <c r="A394" t="s">
        <v>4930</v>
      </c>
      <c r="B394" s="380" t="str">
        <f t="shared" si="6"/>
        <v>008-903</v>
      </c>
      <c r="C394" t="s">
        <v>1132</v>
      </c>
      <c r="D394" s="2043">
        <v>801</v>
      </c>
      <c r="E394" s="2043">
        <v>768</v>
      </c>
      <c r="F394" s="2043">
        <v>-33</v>
      </c>
      <c r="G394" s="2043">
        <v>0</v>
      </c>
      <c r="H394" s="2043">
        <v>0</v>
      </c>
      <c r="I394" s="106">
        <v>0</v>
      </c>
      <c r="J394" s="41" t="s">
        <v>10797</v>
      </c>
      <c r="K394" s="2043">
        <v>0</v>
      </c>
      <c r="L394" s="2043">
        <v>0</v>
      </c>
    </row>
    <row r="395" spans="1:12" ht="14.5">
      <c r="A395" t="s">
        <v>4934</v>
      </c>
      <c r="B395" s="380" t="str">
        <f t="shared" si="6"/>
        <v>015-901</v>
      </c>
      <c r="C395" t="s">
        <v>2156</v>
      </c>
      <c r="D395" s="2043">
        <v>4857</v>
      </c>
      <c r="E395" s="2043">
        <v>4824</v>
      </c>
      <c r="F395" s="2043">
        <v>-33</v>
      </c>
      <c r="G395" s="2043">
        <v>0</v>
      </c>
      <c r="H395" s="2043">
        <v>0</v>
      </c>
      <c r="I395" s="106">
        <v>0</v>
      </c>
      <c r="J395" s="41" t="s">
        <v>10797</v>
      </c>
      <c r="K395" s="2043">
        <v>0</v>
      </c>
      <c r="L395" s="2043">
        <v>0</v>
      </c>
    </row>
    <row r="396" spans="1:12" ht="14.5">
      <c r="A396" t="s">
        <v>4970</v>
      </c>
      <c r="B396" s="380" t="str">
        <f t="shared" si="6"/>
        <v>041-902</v>
      </c>
      <c r="C396" t="s">
        <v>2038</v>
      </c>
      <c r="D396" s="2043">
        <v>296</v>
      </c>
      <c r="E396" s="2043">
        <v>263</v>
      </c>
      <c r="F396" s="2043">
        <v>-33</v>
      </c>
      <c r="G396" s="2043">
        <v>0</v>
      </c>
      <c r="H396" s="2043">
        <v>0</v>
      </c>
      <c r="I396" s="106">
        <v>0</v>
      </c>
      <c r="J396" s="41" t="s">
        <v>10797</v>
      </c>
      <c r="K396" s="2043">
        <v>0</v>
      </c>
      <c r="L396" s="2043">
        <v>0</v>
      </c>
    </row>
    <row r="397" spans="1:12" ht="14.5">
      <c r="A397" t="s">
        <v>5836</v>
      </c>
      <c r="B397" s="380" t="str">
        <f t="shared" si="6"/>
        <v>140-901</v>
      </c>
      <c r="C397" t="s">
        <v>2291</v>
      </c>
      <c r="D397" s="2043">
        <v>161</v>
      </c>
      <c r="E397" s="2043">
        <v>128</v>
      </c>
      <c r="F397" s="2043">
        <v>-33</v>
      </c>
      <c r="G397" s="2043">
        <v>0</v>
      </c>
      <c r="H397" s="2043">
        <v>0</v>
      </c>
      <c r="I397" s="106">
        <v>0</v>
      </c>
      <c r="J397" s="41" t="s">
        <v>10797</v>
      </c>
      <c r="K397" s="2043">
        <v>0</v>
      </c>
      <c r="L397" s="2043">
        <v>0</v>
      </c>
    </row>
    <row r="398" spans="1:12" ht="14.5">
      <c r="A398" t="s">
        <v>4932</v>
      </c>
      <c r="B398" s="380" t="str">
        <f t="shared" si="6"/>
        <v>013-903</v>
      </c>
      <c r="C398" t="s">
        <v>1137</v>
      </c>
      <c r="D398" s="2043">
        <v>411</v>
      </c>
      <c r="E398" s="2043">
        <v>379</v>
      </c>
      <c r="F398" s="2043">
        <v>-32</v>
      </c>
      <c r="G398" s="2043">
        <v>0</v>
      </c>
      <c r="H398" s="2043">
        <v>0</v>
      </c>
      <c r="I398" s="106">
        <v>0</v>
      </c>
      <c r="J398" s="41" t="s">
        <v>10797</v>
      </c>
      <c r="K398" s="2043">
        <v>0</v>
      </c>
      <c r="L398" s="2043">
        <v>0</v>
      </c>
    </row>
    <row r="399" spans="1:12" ht="14.5">
      <c r="A399" t="s">
        <v>2929</v>
      </c>
      <c r="B399" s="380" t="str">
        <f t="shared" si="6"/>
        <v>042-903</v>
      </c>
      <c r="C399" t="s">
        <v>82</v>
      </c>
      <c r="D399" s="2043">
        <v>285</v>
      </c>
      <c r="E399" s="2043">
        <v>253</v>
      </c>
      <c r="F399" s="2043">
        <v>-32</v>
      </c>
      <c r="G399" s="2043">
        <v>0</v>
      </c>
      <c r="H399" s="2043">
        <v>0</v>
      </c>
      <c r="I399" s="106">
        <v>0</v>
      </c>
      <c r="J399" s="41" t="s">
        <v>10797</v>
      </c>
      <c r="K399" s="2043">
        <v>0</v>
      </c>
      <c r="L399" s="2043">
        <v>0</v>
      </c>
    </row>
    <row r="400" spans="1:12" ht="14.5">
      <c r="A400" t="s">
        <v>5849</v>
      </c>
      <c r="B400" s="380" t="str">
        <f t="shared" si="6"/>
        <v>161-918</v>
      </c>
      <c r="C400" t="s">
        <v>1654</v>
      </c>
      <c r="D400" s="2043">
        <v>790</v>
      </c>
      <c r="E400" s="2043">
        <v>758</v>
      </c>
      <c r="F400" s="2043">
        <v>-32</v>
      </c>
      <c r="G400" s="2043">
        <v>0</v>
      </c>
      <c r="H400" s="2043">
        <v>0</v>
      </c>
      <c r="I400" s="106">
        <v>0</v>
      </c>
      <c r="J400" s="41" t="s">
        <v>10797</v>
      </c>
      <c r="K400" s="2043">
        <v>0</v>
      </c>
      <c r="L400" s="2043">
        <v>0</v>
      </c>
    </row>
    <row r="401" spans="1:12" ht="14.5">
      <c r="A401" t="s">
        <v>5256</v>
      </c>
      <c r="B401" s="380" t="str">
        <f t="shared" si="6"/>
        <v>212-904</v>
      </c>
      <c r="C401" t="s">
        <v>1884</v>
      </c>
      <c r="D401" s="2043">
        <v>1085</v>
      </c>
      <c r="E401" s="2043">
        <v>1053</v>
      </c>
      <c r="F401" s="2043">
        <v>-32</v>
      </c>
      <c r="G401" s="2043">
        <v>0</v>
      </c>
      <c r="H401" s="2043">
        <v>0</v>
      </c>
      <c r="I401" s="106">
        <v>0</v>
      </c>
      <c r="J401" s="41" t="s">
        <v>10797</v>
      </c>
      <c r="K401" s="2043">
        <v>0</v>
      </c>
      <c r="L401" s="2043">
        <v>0</v>
      </c>
    </row>
    <row r="402" spans="1:12" ht="14.5">
      <c r="A402" t="s">
        <v>5751</v>
      </c>
      <c r="B402" s="380" t="str">
        <f t="shared" si="6"/>
        <v>010-901</v>
      </c>
      <c r="C402" t="s">
        <v>1134</v>
      </c>
      <c r="D402" s="2043">
        <v>298</v>
      </c>
      <c r="E402" s="2043">
        <v>267</v>
      </c>
      <c r="F402" s="2043">
        <v>-31</v>
      </c>
      <c r="G402" s="2043">
        <v>0</v>
      </c>
      <c r="H402" s="2043">
        <v>0</v>
      </c>
      <c r="I402" s="106">
        <v>0</v>
      </c>
      <c r="J402" s="41" t="s">
        <v>10797</v>
      </c>
      <c r="K402" s="2043">
        <v>0</v>
      </c>
      <c r="L402" s="2043">
        <v>0</v>
      </c>
    </row>
    <row r="403" spans="1:12" ht="14.5">
      <c r="A403" t="s">
        <v>5801</v>
      </c>
      <c r="B403" s="380" t="str">
        <f t="shared" si="6"/>
        <v>077-902</v>
      </c>
      <c r="C403" t="s">
        <v>802</v>
      </c>
      <c r="D403" s="2043">
        <v>464</v>
      </c>
      <c r="E403" s="2043">
        <v>433</v>
      </c>
      <c r="F403" s="2043">
        <v>-31</v>
      </c>
      <c r="G403" s="2043">
        <v>0</v>
      </c>
      <c r="H403" s="2043">
        <v>0</v>
      </c>
      <c r="I403" s="106">
        <v>0</v>
      </c>
      <c r="J403" s="41" t="s">
        <v>10797</v>
      </c>
      <c r="K403" s="2043">
        <v>0</v>
      </c>
      <c r="L403" s="2043">
        <v>0</v>
      </c>
    </row>
    <row r="404" spans="1:12" ht="14.5">
      <c r="A404" t="s">
        <v>5104</v>
      </c>
      <c r="B404" s="380" t="str">
        <f t="shared" si="6"/>
        <v>116-910</v>
      </c>
      <c r="C404" t="s">
        <v>1489</v>
      </c>
      <c r="D404" s="2043">
        <v>334</v>
      </c>
      <c r="E404" s="2043">
        <v>303</v>
      </c>
      <c r="F404" s="2043">
        <v>-31</v>
      </c>
      <c r="G404" s="2043">
        <v>0</v>
      </c>
      <c r="H404" s="2043">
        <v>0</v>
      </c>
      <c r="I404" s="106">
        <v>0</v>
      </c>
      <c r="J404" s="41" t="s">
        <v>10797</v>
      </c>
      <c r="K404" s="2043">
        <v>0</v>
      </c>
      <c r="L404" s="2043">
        <v>0</v>
      </c>
    </row>
    <row r="405" spans="1:12" ht="14.5">
      <c r="A405" t="s">
        <v>5192</v>
      </c>
      <c r="B405" s="380" t="str">
        <f t="shared" si="6"/>
        <v>175-902</v>
      </c>
      <c r="C405" t="s">
        <v>290</v>
      </c>
      <c r="D405" s="2043">
        <v>934</v>
      </c>
      <c r="E405" s="2043">
        <v>903</v>
      </c>
      <c r="F405" s="2043">
        <v>-31</v>
      </c>
      <c r="G405" s="2043">
        <v>0</v>
      </c>
      <c r="H405" s="2043">
        <v>0</v>
      </c>
      <c r="I405" s="106">
        <v>0</v>
      </c>
      <c r="J405" s="41" t="s">
        <v>10797</v>
      </c>
      <c r="K405" s="2043">
        <v>0</v>
      </c>
      <c r="L405" s="2043">
        <v>0</v>
      </c>
    </row>
    <row r="406" spans="1:12" ht="14.5">
      <c r="A406" t="s">
        <v>3168</v>
      </c>
      <c r="B406" s="380" t="str">
        <f t="shared" si="6"/>
        <v>182-903</v>
      </c>
      <c r="C406" t="s">
        <v>2117</v>
      </c>
      <c r="D406" s="2043">
        <v>3266</v>
      </c>
      <c r="E406" s="2043">
        <v>3235</v>
      </c>
      <c r="F406" s="2043">
        <v>-31</v>
      </c>
      <c r="G406" s="2043">
        <v>0</v>
      </c>
      <c r="H406" s="2043">
        <v>0</v>
      </c>
      <c r="I406" s="106">
        <v>0</v>
      </c>
      <c r="J406" s="41" t="s">
        <v>10797</v>
      </c>
      <c r="K406" s="2043">
        <v>0</v>
      </c>
      <c r="L406" s="2043">
        <v>0</v>
      </c>
    </row>
    <row r="407" spans="1:12" ht="14.5">
      <c r="A407" t="s">
        <v>5871</v>
      </c>
      <c r="B407" s="380" t="str">
        <f t="shared" si="6"/>
        <v>201-903</v>
      </c>
      <c r="C407" t="s">
        <v>1435</v>
      </c>
      <c r="D407" s="2043">
        <v>187</v>
      </c>
      <c r="E407" s="2043">
        <v>156</v>
      </c>
      <c r="F407" s="2043">
        <v>-31</v>
      </c>
      <c r="G407" s="2043">
        <v>0</v>
      </c>
      <c r="H407" s="2043">
        <v>0</v>
      </c>
      <c r="I407" s="106">
        <v>0</v>
      </c>
      <c r="J407" s="41" t="s">
        <v>10797</v>
      </c>
      <c r="K407" s="2043">
        <v>0</v>
      </c>
      <c r="L407" s="2043">
        <v>0</v>
      </c>
    </row>
    <row r="408" spans="1:12" ht="14.5">
      <c r="A408" t="s">
        <v>5006</v>
      </c>
      <c r="B408" s="380" t="str">
        <f t="shared" si="6"/>
        <v>069-901</v>
      </c>
      <c r="C408" t="s">
        <v>1860</v>
      </c>
      <c r="D408" s="2043">
        <v>287</v>
      </c>
      <c r="E408" s="2043">
        <v>257</v>
      </c>
      <c r="F408" s="2043">
        <v>-30</v>
      </c>
      <c r="G408" s="2043">
        <v>0</v>
      </c>
      <c r="H408" s="2043">
        <v>0</v>
      </c>
      <c r="I408" s="106">
        <v>0</v>
      </c>
      <c r="J408" s="41" t="s">
        <v>10797</v>
      </c>
      <c r="K408" s="2043">
        <v>0</v>
      </c>
      <c r="L408" s="2043">
        <v>0</v>
      </c>
    </row>
    <row r="409" spans="1:12" ht="14.5">
      <c r="A409" t="s">
        <v>5819</v>
      </c>
      <c r="B409" s="380" t="str">
        <f t="shared" si="6"/>
        <v>113-903</v>
      </c>
      <c r="C409" t="s">
        <v>2380</v>
      </c>
      <c r="D409" s="2043">
        <v>534</v>
      </c>
      <c r="E409" s="2043">
        <v>504</v>
      </c>
      <c r="F409" s="2043">
        <v>-30</v>
      </c>
      <c r="G409" s="2043">
        <v>0</v>
      </c>
      <c r="H409" s="2043">
        <v>0</v>
      </c>
      <c r="I409" s="106">
        <v>0</v>
      </c>
      <c r="J409" s="41" t="s">
        <v>10797</v>
      </c>
      <c r="K409" s="2043">
        <v>0</v>
      </c>
      <c r="L409" s="2043">
        <v>0</v>
      </c>
    </row>
    <row r="410" spans="1:12" ht="14.5">
      <c r="A410" t="s">
        <v>3228</v>
      </c>
      <c r="B410" s="380" t="str">
        <f t="shared" si="6"/>
        <v>229-905</v>
      </c>
      <c r="C410" t="s">
        <v>1831</v>
      </c>
      <c r="D410" s="2043">
        <v>401</v>
      </c>
      <c r="E410" s="2043">
        <v>371</v>
      </c>
      <c r="F410" s="2043">
        <v>-30</v>
      </c>
      <c r="G410" s="2043">
        <v>0</v>
      </c>
      <c r="H410" s="2043">
        <v>0</v>
      </c>
      <c r="I410" s="106">
        <v>0</v>
      </c>
      <c r="J410" s="41" t="s">
        <v>10797</v>
      </c>
      <c r="K410" s="2043">
        <v>0</v>
      </c>
      <c r="L410" s="2043">
        <v>0</v>
      </c>
    </row>
    <row r="411" spans="1:12" ht="14.5">
      <c r="A411" t="s">
        <v>5896</v>
      </c>
      <c r="B411" s="380" t="str">
        <f t="shared" si="6"/>
        <v>242-902</v>
      </c>
      <c r="C411" t="s">
        <v>1154</v>
      </c>
      <c r="D411" s="2043">
        <v>412</v>
      </c>
      <c r="E411" s="2043">
        <v>382</v>
      </c>
      <c r="F411" s="2043">
        <v>-30</v>
      </c>
      <c r="G411" s="2043">
        <v>0</v>
      </c>
      <c r="H411" s="2043">
        <v>0</v>
      </c>
      <c r="I411" s="106">
        <v>0</v>
      </c>
      <c r="J411" s="41" t="s">
        <v>10797</v>
      </c>
      <c r="K411" s="2043">
        <v>0</v>
      </c>
      <c r="L411" s="2043">
        <v>0</v>
      </c>
    </row>
    <row r="412" spans="1:12" ht="14.5">
      <c r="A412" t="s">
        <v>2959</v>
      </c>
      <c r="B412" s="380" t="str">
        <f t="shared" si="6"/>
        <v>060-914</v>
      </c>
      <c r="C412" t="s">
        <v>98</v>
      </c>
      <c r="D412" s="2043">
        <v>177</v>
      </c>
      <c r="E412" s="2043">
        <v>148</v>
      </c>
      <c r="F412" s="2043">
        <v>-29</v>
      </c>
      <c r="G412" s="2043">
        <v>0</v>
      </c>
      <c r="H412" s="2043">
        <v>0</v>
      </c>
      <c r="I412" s="106">
        <v>0</v>
      </c>
      <c r="J412" s="41" t="s">
        <v>10797</v>
      </c>
      <c r="K412" s="2043">
        <v>0</v>
      </c>
      <c r="L412" s="2043">
        <v>0</v>
      </c>
    </row>
    <row r="413" spans="1:12" ht="14.5">
      <c r="A413" t="s">
        <v>5792</v>
      </c>
      <c r="B413" s="380" t="str">
        <f t="shared" si="6"/>
        <v>069-902</v>
      </c>
      <c r="C413" t="s">
        <v>1861</v>
      </c>
      <c r="D413" s="2043">
        <v>283</v>
      </c>
      <c r="E413" s="2043">
        <v>254</v>
      </c>
      <c r="F413" s="2043">
        <v>-29</v>
      </c>
      <c r="G413" s="2043">
        <v>0</v>
      </c>
      <c r="H413" s="2043">
        <v>0</v>
      </c>
      <c r="I413" s="106">
        <v>0</v>
      </c>
      <c r="J413" s="41" t="s">
        <v>10797</v>
      </c>
      <c r="K413" s="2043">
        <v>0</v>
      </c>
      <c r="L413" s="2043">
        <v>0</v>
      </c>
    </row>
    <row r="414" spans="1:12" ht="14.5">
      <c r="A414" t="s">
        <v>4927</v>
      </c>
      <c r="B414" s="380" t="str">
        <f t="shared" si="6"/>
        <v>006-902</v>
      </c>
      <c r="C414" t="s">
        <v>1127</v>
      </c>
      <c r="D414" s="2043">
        <v>335</v>
      </c>
      <c r="E414" s="2043">
        <v>307</v>
      </c>
      <c r="F414" s="2043">
        <v>-28</v>
      </c>
      <c r="G414" s="2043">
        <v>0</v>
      </c>
      <c r="H414" s="2043">
        <v>0</v>
      </c>
      <c r="I414" s="106">
        <v>0</v>
      </c>
      <c r="J414" s="41" t="s">
        <v>10797</v>
      </c>
      <c r="K414" s="2043">
        <v>0</v>
      </c>
      <c r="L414" s="2043">
        <v>0</v>
      </c>
    </row>
    <row r="415" spans="1:12" ht="14.5">
      <c r="A415" t="s">
        <v>2912</v>
      </c>
      <c r="B415" s="380" t="str">
        <f t="shared" si="6"/>
        <v>030-902</v>
      </c>
      <c r="C415" t="s">
        <v>29</v>
      </c>
      <c r="D415" s="2043">
        <v>1463</v>
      </c>
      <c r="E415" s="2043">
        <v>1435</v>
      </c>
      <c r="F415" s="2043">
        <v>-28</v>
      </c>
      <c r="G415" s="2043">
        <v>0</v>
      </c>
      <c r="H415" s="2043">
        <v>0</v>
      </c>
      <c r="I415" s="106">
        <v>0</v>
      </c>
      <c r="J415" s="41" t="s">
        <v>10797</v>
      </c>
      <c r="K415" s="2043">
        <v>0</v>
      </c>
      <c r="L415" s="2043">
        <v>0</v>
      </c>
    </row>
    <row r="416" spans="1:12" ht="14.5">
      <c r="A416" t="s">
        <v>5048</v>
      </c>
      <c r="B416" s="380" t="str">
        <f t="shared" si="6"/>
        <v>091-918</v>
      </c>
      <c r="C416" t="s">
        <v>208</v>
      </c>
      <c r="D416" s="2043">
        <v>685</v>
      </c>
      <c r="E416" s="2043">
        <v>657</v>
      </c>
      <c r="F416" s="2043">
        <v>-28</v>
      </c>
      <c r="G416" s="2043">
        <v>0</v>
      </c>
      <c r="H416" s="2043">
        <v>0</v>
      </c>
      <c r="I416" s="106">
        <v>0</v>
      </c>
      <c r="J416" s="41" t="s">
        <v>10797</v>
      </c>
      <c r="K416" s="2043">
        <v>0</v>
      </c>
      <c r="L416" s="2043">
        <v>0</v>
      </c>
    </row>
    <row r="417" spans="1:12" ht="14.5">
      <c r="A417" t="s">
        <v>5092</v>
      </c>
      <c r="B417" s="380" t="str">
        <f t="shared" si="6"/>
        <v>109-911</v>
      </c>
      <c r="C417" t="s">
        <v>2459</v>
      </c>
      <c r="D417" s="2043">
        <v>1506</v>
      </c>
      <c r="E417" s="2043">
        <v>1478</v>
      </c>
      <c r="F417" s="2043">
        <v>-28</v>
      </c>
      <c r="G417" s="2043">
        <v>0</v>
      </c>
      <c r="H417" s="2043">
        <v>0</v>
      </c>
      <c r="I417" s="106">
        <v>0</v>
      </c>
      <c r="J417" s="41" t="s">
        <v>10797</v>
      </c>
      <c r="K417" s="2043">
        <v>0</v>
      </c>
      <c r="L417" s="2043">
        <v>0</v>
      </c>
    </row>
    <row r="418" spans="1:12" ht="14.5">
      <c r="A418" t="s">
        <v>5204</v>
      </c>
      <c r="B418" s="380" t="str">
        <f t="shared" si="6"/>
        <v>178-908</v>
      </c>
      <c r="C418" t="s">
        <v>302</v>
      </c>
      <c r="D418" s="2043">
        <v>552</v>
      </c>
      <c r="E418" s="2043">
        <v>524</v>
      </c>
      <c r="F418" s="2043">
        <v>-28</v>
      </c>
      <c r="G418" s="2043">
        <v>0</v>
      </c>
      <c r="H418" s="2043">
        <v>0</v>
      </c>
      <c r="I418" s="106">
        <v>0</v>
      </c>
      <c r="J418" s="41" t="s">
        <v>10797</v>
      </c>
      <c r="K418" s="2043">
        <v>0</v>
      </c>
      <c r="L418" s="2043">
        <v>0</v>
      </c>
    </row>
    <row r="419" spans="1:12" ht="14.5">
      <c r="A419" t="s">
        <v>3244</v>
      </c>
      <c r="B419" s="380" t="str">
        <f t="shared" si="6"/>
        <v>236-901</v>
      </c>
      <c r="C419" t="s">
        <v>1074</v>
      </c>
      <c r="D419" s="2043">
        <v>1024</v>
      </c>
      <c r="E419" s="2043">
        <v>996</v>
      </c>
      <c r="F419" s="2043">
        <v>-28</v>
      </c>
      <c r="G419" s="2043">
        <v>0</v>
      </c>
      <c r="H419" s="2043">
        <v>0</v>
      </c>
      <c r="I419" s="106">
        <v>0</v>
      </c>
      <c r="J419" s="41" t="s">
        <v>10797</v>
      </c>
      <c r="K419" s="2043">
        <v>0</v>
      </c>
      <c r="L419" s="2043">
        <v>0</v>
      </c>
    </row>
    <row r="420" spans="1:12" ht="14.5">
      <c r="A420" t="s">
        <v>4959</v>
      </c>
      <c r="B420" s="380" t="str">
        <f t="shared" si="6"/>
        <v>033-904</v>
      </c>
      <c r="C420" t="s">
        <v>2048</v>
      </c>
      <c r="D420" s="2043">
        <v>366</v>
      </c>
      <c r="E420" s="2043">
        <v>339</v>
      </c>
      <c r="F420" s="2043">
        <v>-27</v>
      </c>
      <c r="G420" s="2043">
        <v>0</v>
      </c>
      <c r="H420" s="2043">
        <v>0</v>
      </c>
      <c r="I420" s="106">
        <v>0</v>
      </c>
      <c r="J420" s="41" t="s">
        <v>10797</v>
      </c>
      <c r="K420" s="2043">
        <v>0</v>
      </c>
      <c r="L420" s="2043">
        <v>0</v>
      </c>
    </row>
    <row r="421" spans="1:12" ht="14.5">
      <c r="A421" t="s">
        <v>5771</v>
      </c>
      <c r="B421" s="380" t="str">
        <f t="shared" si="6"/>
        <v>048-901</v>
      </c>
      <c r="C421" t="s">
        <v>976</v>
      </c>
      <c r="D421" s="2043">
        <v>249</v>
      </c>
      <c r="E421" s="2043">
        <v>222</v>
      </c>
      <c r="F421" s="2043">
        <v>-27</v>
      </c>
      <c r="G421" s="2043">
        <v>0</v>
      </c>
      <c r="H421" s="2043">
        <v>0</v>
      </c>
      <c r="I421" s="106">
        <v>0</v>
      </c>
      <c r="J421" s="41" t="s">
        <v>10797</v>
      </c>
      <c r="K421" s="2043">
        <v>0</v>
      </c>
      <c r="L421" s="2043">
        <v>0</v>
      </c>
    </row>
    <row r="422" spans="1:12" ht="14.5">
      <c r="A422" t="s">
        <v>5774</v>
      </c>
      <c r="B422" s="380" t="str">
        <f t="shared" si="6"/>
        <v>050-901</v>
      </c>
      <c r="C422" t="s">
        <v>2095</v>
      </c>
      <c r="D422" s="2043">
        <v>240</v>
      </c>
      <c r="E422" s="2043">
        <v>213</v>
      </c>
      <c r="F422" s="2043">
        <v>-27</v>
      </c>
      <c r="G422" s="2043">
        <v>0</v>
      </c>
      <c r="H422" s="2043">
        <v>0</v>
      </c>
      <c r="I422" s="106">
        <v>0</v>
      </c>
      <c r="J422" s="41" t="s">
        <v>10797</v>
      </c>
      <c r="K422" s="2043">
        <v>0</v>
      </c>
      <c r="L422" s="2043">
        <v>0</v>
      </c>
    </row>
    <row r="423" spans="1:12" ht="14.5">
      <c r="A423" t="s">
        <v>5789</v>
      </c>
      <c r="B423" s="380" t="str">
        <f t="shared" si="6"/>
        <v>067-903</v>
      </c>
      <c r="C423" t="s">
        <v>1855</v>
      </c>
      <c r="D423" s="2043">
        <v>1111</v>
      </c>
      <c r="E423" s="2043">
        <v>1084</v>
      </c>
      <c r="F423" s="2043">
        <v>-27</v>
      </c>
      <c r="G423" s="2043">
        <v>0</v>
      </c>
      <c r="H423" s="2043">
        <v>0</v>
      </c>
      <c r="I423" s="106">
        <v>0</v>
      </c>
      <c r="J423" s="41" t="s">
        <v>10797</v>
      </c>
      <c r="K423" s="2043">
        <v>0</v>
      </c>
      <c r="L423" s="2043">
        <v>0</v>
      </c>
    </row>
    <row r="424" spans="1:12" ht="14.5">
      <c r="A424" t="s">
        <v>5080</v>
      </c>
      <c r="B424" s="380" t="str">
        <f t="shared" si="6"/>
        <v>103-901</v>
      </c>
      <c r="C424" t="s">
        <v>148</v>
      </c>
      <c r="D424" s="2043">
        <v>190</v>
      </c>
      <c r="E424" s="2043">
        <v>163</v>
      </c>
      <c r="F424" s="2043">
        <v>-27</v>
      </c>
      <c r="G424" s="2043">
        <v>0</v>
      </c>
      <c r="H424" s="2043">
        <v>0</v>
      </c>
      <c r="I424" s="106">
        <v>0</v>
      </c>
      <c r="J424" s="41" t="s">
        <v>10797</v>
      </c>
      <c r="K424" s="2043">
        <v>0</v>
      </c>
      <c r="L424" s="2043">
        <v>0</v>
      </c>
    </row>
    <row r="425" spans="1:12" ht="14.5">
      <c r="A425" t="s">
        <v>4347</v>
      </c>
      <c r="B425" s="380" t="str">
        <f t="shared" si="6"/>
        <v>140-905</v>
      </c>
      <c r="C425" t="s">
        <v>780</v>
      </c>
      <c r="D425" s="2043">
        <v>609</v>
      </c>
      <c r="E425" s="2043">
        <v>582</v>
      </c>
      <c r="F425" s="2043">
        <v>-27</v>
      </c>
      <c r="G425" s="2043">
        <v>0</v>
      </c>
      <c r="H425" s="2043">
        <v>0</v>
      </c>
      <c r="I425" s="106">
        <v>0</v>
      </c>
      <c r="J425" s="41" t="s">
        <v>10797</v>
      </c>
      <c r="K425" s="2043">
        <v>0</v>
      </c>
      <c r="L425" s="2043">
        <v>0</v>
      </c>
    </row>
    <row r="426" spans="1:12" ht="14.5">
      <c r="A426" t="s">
        <v>3142</v>
      </c>
      <c r="B426" s="380" t="str">
        <f t="shared" si="6"/>
        <v>167-901</v>
      </c>
      <c r="C426" t="s">
        <v>813</v>
      </c>
      <c r="D426" s="2043">
        <v>560</v>
      </c>
      <c r="E426" s="2043">
        <v>533</v>
      </c>
      <c r="F426" s="2043">
        <v>-27</v>
      </c>
      <c r="G426" s="2043">
        <v>0</v>
      </c>
      <c r="H426" s="2043">
        <v>0</v>
      </c>
      <c r="I426" s="106">
        <v>0</v>
      </c>
      <c r="J426" s="41" t="s">
        <v>10797</v>
      </c>
      <c r="K426" s="2043">
        <v>0</v>
      </c>
      <c r="L426" s="2043">
        <v>0</v>
      </c>
    </row>
    <row r="427" spans="1:12" ht="14.5">
      <c r="A427" t="s">
        <v>5312</v>
      </c>
      <c r="B427" s="380" t="str">
        <f t="shared" si="6"/>
        <v>249-904</v>
      </c>
      <c r="C427" t="s">
        <v>1526</v>
      </c>
      <c r="D427" s="2043">
        <v>603</v>
      </c>
      <c r="E427" s="2043">
        <v>576</v>
      </c>
      <c r="F427" s="2043">
        <v>-27</v>
      </c>
      <c r="G427" s="2043">
        <v>0</v>
      </c>
      <c r="H427" s="2043">
        <v>0</v>
      </c>
      <c r="I427" s="106">
        <v>0</v>
      </c>
      <c r="J427" s="41" t="s">
        <v>10797</v>
      </c>
      <c r="K427" s="2043">
        <v>0</v>
      </c>
      <c r="L427" s="2043">
        <v>0</v>
      </c>
    </row>
    <row r="428" spans="1:12" ht="14.5">
      <c r="A428" t="s">
        <v>2865</v>
      </c>
      <c r="B428" s="380" t="str">
        <f t="shared" si="6"/>
        <v>011-905</v>
      </c>
      <c r="C428" t="s">
        <v>772</v>
      </c>
      <c r="D428" s="2043">
        <v>345</v>
      </c>
      <c r="E428" s="2043">
        <v>319</v>
      </c>
      <c r="F428" s="2043">
        <v>-26</v>
      </c>
      <c r="G428" s="2043">
        <v>0</v>
      </c>
      <c r="H428" s="2043">
        <v>0</v>
      </c>
      <c r="I428" s="106">
        <v>0</v>
      </c>
      <c r="J428" s="41" t="s">
        <v>10797</v>
      </c>
      <c r="K428" s="2043">
        <v>0</v>
      </c>
      <c r="L428" s="2043">
        <v>0</v>
      </c>
    </row>
    <row r="429" spans="1:12" ht="14.5">
      <c r="A429" t="s">
        <v>2907</v>
      </c>
      <c r="B429" s="380" t="str">
        <f t="shared" si="6"/>
        <v>025-909</v>
      </c>
      <c r="C429" t="s">
        <v>1007</v>
      </c>
      <c r="D429" s="2043">
        <v>1169</v>
      </c>
      <c r="E429" s="2043">
        <v>1143</v>
      </c>
      <c r="F429" s="2043">
        <v>-26</v>
      </c>
      <c r="G429" s="2043">
        <v>0</v>
      </c>
      <c r="H429" s="2043">
        <v>0</v>
      </c>
      <c r="I429" s="106">
        <v>0</v>
      </c>
      <c r="J429" s="41" t="s">
        <v>10797</v>
      </c>
      <c r="K429" s="2043">
        <v>0</v>
      </c>
      <c r="L429" s="2043">
        <v>0</v>
      </c>
    </row>
    <row r="430" spans="1:12" ht="14.5">
      <c r="A430" t="s">
        <v>4967</v>
      </c>
      <c r="B430" s="380" t="str">
        <f t="shared" si="6"/>
        <v>037-909</v>
      </c>
      <c r="C430" t="s">
        <v>23</v>
      </c>
      <c r="D430" s="2043">
        <v>284</v>
      </c>
      <c r="E430" s="2043">
        <v>258</v>
      </c>
      <c r="F430" s="2043">
        <v>-26</v>
      </c>
      <c r="G430" s="2043">
        <v>0</v>
      </c>
      <c r="H430" s="2043">
        <v>0</v>
      </c>
      <c r="I430" s="106">
        <v>0</v>
      </c>
      <c r="J430" s="41" t="s">
        <v>10797</v>
      </c>
      <c r="K430" s="2043">
        <v>0</v>
      </c>
      <c r="L430" s="2043">
        <v>0</v>
      </c>
    </row>
    <row r="431" spans="1:12" ht="14.5">
      <c r="A431" t="s">
        <v>5020</v>
      </c>
      <c r="B431" s="380" t="str">
        <f t="shared" si="6"/>
        <v>079-910</v>
      </c>
      <c r="C431" t="s">
        <v>982</v>
      </c>
      <c r="D431" s="2043">
        <v>3539</v>
      </c>
      <c r="E431" s="2043">
        <v>3513</v>
      </c>
      <c r="F431" s="2043">
        <v>-26</v>
      </c>
      <c r="G431" s="2043">
        <v>0</v>
      </c>
      <c r="H431" s="2043">
        <v>0</v>
      </c>
      <c r="I431" s="106">
        <v>0</v>
      </c>
      <c r="J431" s="41" t="s">
        <v>10797</v>
      </c>
      <c r="K431" s="2043">
        <v>0</v>
      </c>
      <c r="L431" s="2043">
        <v>0</v>
      </c>
    </row>
    <row r="432" spans="1:12" ht="14.5">
      <c r="A432" t="s">
        <v>4205</v>
      </c>
      <c r="B432" s="380" t="str">
        <f t="shared" si="6"/>
        <v>109-914</v>
      </c>
      <c r="C432" t="s">
        <v>2450</v>
      </c>
      <c r="D432" s="2043">
        <v>225</v>
      </c>
      <c r="E432" s="2043">
        <v>199</v>
      </c>
      <c r="F432" s="2043">
        <v>-26</v>
      </c>
      <c r="G432" s="2043">
        <v>0</v>
      </c>
      <c r="H432" s="2043">
        <v>0</v>
      </c>
      <c r="I432" s="106">
        <v>0</v>
      </c>
      <c r="J432" s="41" t="s">
        <v>10797</v>
      </c>
      <c r="K432" s="2043">
        <v>0</v>
      </c>
      <c r="L432" s="2043">
        <v>0</v>
      </c>
    </row>
    <row r="433" spans="1:12" ht="14.5">
      <c r="A433" t="s">
        <v>5787</v>
      </c>
      <c r="B433" s="380" t="str">
        <f t="shared" si="6"/>
        <v>065-901</v>
      </c>
      <c r="C433" t="s">
        <v>1851</v>
      </c>
      <c r="D433" s="2043">
        <v>481</v>
      </c>
      <c r="E433" s="2043">
        <v>456</v>
      </c>
      <c r="F433" s="2043">
        <v>-25</v>
      </c>
      <c r="G433" s="2043">
        <v>0</v>
      </c>
      <c r="H433" s="2043">
        <v>0</v>
      </c>
      <c r="I433" s="106">
        <v>0</v>
      </c>
      <c r="J433" s="41" t="s">
        <v>10797</v>
      </c>
      <c r="K433" s="2043">
        <v>0</v>
      </c>
      <c r="L433" s="2043">
        <v>0</v>
      </c>
    </row>
    <row r="434" spans="1:12" ht="14.5">
      <c r="A434" t="s">
        <v>3065</v>
      </c>
      <c r="B434" s="380" t="str">
        <f t="shared" si="6"/>
        <v>116-902</v>
      </c>
      <c r="C434" t="s">
        <v>1487</v>
      </c>
      <c r="D434" s="2043">
        <v>510</v>
      </c>
      <c r="E434" s="2043">
        <v>485</v>
      </c>
      <c r="F434" s="2043">
        <v>-25</v>
      </c>
      <c r="G434" s="2043">
        <v>0</v>
      </c>
      <c r="H434" s="2043">
        <v>0</v>
      </c>
      <c r="I434" s="106">
        <v>0</v>
      </c>
      <c r="J434" s="41" t="s">
        <v>10797</v>
      </c>
      <c r="K434" s="2043">
        <v>0</v>
      </c>
      <c r="L434" s="2043">
        <v>0</v>
      </c>
    </row>
    <row r="435" spans="1:12" ht="14.5">
      <c r="A435" t="s">
        <v>3121</v>
      </c>
      <c r="B435" s="380" t="str">
        <f t="shared" si="6"/>
        <v>161-906</v>
      </c>
      <c r="C435" t="s">
        <v>1792</v>
      </c>
      <c r="D435" s="2043">
        <v>3116</v>
      </c>
      <c r="E435" s="2043">
        <v>3091</v>
      </c>
      <c r="F435" s="2043">
        <v>-25</v>
      </c>
      <c r="G435" s="2043">
        <v>0</v>
      </c>
      <c r="H435" s="2043">
        <v>0</v>
      </c>
      <c r="I435" s="106">
        <v>0</v>
      </c>
      <c r="J435" s="41" t="s">
        <v>10797</v>
      </c>
      <c r="K435" s="2043">
        <v>0</v>
      </c>
      <c r="L435" s="2043">
        <v>0</v>
      </c>
    </row>
    <row r="436" spans="1:12" ht="14.5">
      <c r="A436" t="s">
        <v>5860</v>
      </c>
      <c r="B436" s="380" t="str">
        <f t="shared" si="6"/>
        <v>180-903</v>
      </c>
      <c r="C436" t="s">
        <v>308</v>
      </c>
      <c r="D436" s="2043">
        <v>138</v>
      </c>
      <c r="E436" s="2043">
        <v>113</v>
      </c>
      <c r="F436" s="2043">
        <v>-25</v>
      </c>
      <c r="G436" s="2043">
        <v>0</v>
      </c>
      <c r="H436" s="2043">
        <v>0</v>
      </c>
      <c r="I436" s="106">
        <v>0</v>
      </c>
      <c r="J436" s="41" t="s">
        <v>10797</v>
      </c>
      <c r="K436" s="2043">
        <v>0</v>
      </c>
      <c r="L436" s="2043">
        <v>0</v>
      </c>
    </row>
    <row r="437" spans="1:12" ht="14.5">
      <c r="A437" t="s">
        <v>5864</v>
      </c>
      <c r="B437" s="380" t="str">
        <f t="shared" si="6"/>
        <v>185-904</v>
      </c>
      <c r="C437" t="s">
        <v>417</v>
      </c>
      <c r="D437" s="2043">
        <v>189</v>
      </c>
      <c r="E437" s="2043">
        <v>164</v>
      </c>
      <c r="F437" s="2043">
        <v>-25</v>
      </c>
      <c r="G437" s="2043">
        <v>0</v>
      </c>
      <c r="H437" s="2043">
        <v>0</v>
      </c>
      <c r="I437" s="106">
        <v>0</v>
      </c>
      <c r="J437" s="41" t="s">
        <v>10797</v>
      </c>
      <c r="K437" s="2043">
        <v>0</v>
      </c>
      <c r="L437" s="2043">
        <v>0</v>
      </c>
    </row>
    <row r="438" spans="1:12" ht="14.5">
      <c r="A438" t="s">
        <v>5868</v>
      </c>
      <c r="B438" s="380" t="str">
        <f t="shared" si="6"/>
        <v>198-902</v>
      </c>
      <c r="C438" t="s">
        <v>1537</v>
      </c>
      <c r="D438" s="2043">
        <v>167</v>
      </c>
      <c r="E438" s="2043">
        <v>142</v>
      </c>
      <c r="F438" s="2043">
        <v>-25</v>
      </c>
      <c r="G438" s="2043">
        <v>0</v>
      </c>
      <c r="H438" s="2043">
        <v>0</v>
      </c>
      <c r="I438" s="106">
        <v>0</v>
      </c>
      <c r="J438" s="41" t="s">
        <v>10797</v>
      </c>
      <c r="K438" s="2043">
        <v>0</v>
      </c>
      <c r="L438" s="2043">
        <v>0</v>
      </c>
    </row>
    <row r="439" spans="1:12" ht="14.5">
      <c r="A439" t="s">
        <v>5881</v>
      </c>
      <c r="B439" s="380" t="str">
        <f t="shared" si="6"/>
        <v>210-906</v>
      </c>
      <c r="C439" t="s">
        <v>1683</v>
      </c>
      <c r="D439" s="2043">
        <v>93</v>
      </c>
      <c r="E439" s="2043">
        <v>68</v>
      </c>
      <c r="F439" s="2043">
        <v>-25</v>
      </c>
      <c r="G439" s="2043">
        <v>0</v>
      </c>
      <c r="H439" s="2043">
        <v>0</v>
      </c>
      <c r="I439" s="106">
        <v>0</v>
      </c>
      <c r="J439" s="41" t="s">
        <v>10797</v>
      </c>
      <c r="K439" s="2043">
        <v>0</v>
      </c>
      <c r="L439" s="2043">
        <v>0</v>
      </c>
    </row>
    <row r="440" spans="1:12" ht="14.5">
      <c r="A440" t="s">
        <v>5888</v>
      </c>
      <c r="B440" s="380" t="str">
        <f t="shared" si="6"/>
        <v>228-901</v>
      </c>
      <c r="C440" t="s">
        <v>1806</v>
      </c>
      <c r="D440" s="2043">
        <v>766</v>
      </c>
      <c r="E440" s="2043">
        <v>742</v>
      </c>
      <c r="F440" s="2043">
        <v>-24</v>
      </c>
      <c r="G440" s="2043">
        <v>0</v>
      </c>
      <c r="H440" s="2043">
        <v>0</v>
      </c>
      <c r="I440" s="106">
        <v>0</v>
      </c>
      <c r="J440" s="41" t="s">
        <v>10797</v>
      </c>
      <c r="K440" s="2043">
        <v>0</v>
      </c>
      <c r="L440" s="2043">
        <v>0</v>
      </c>
    </row>
    <row r="441" spans="1:12" ht="14.5">
      <c r="A441" t="s">
        <v>5057</v>
      </c>
      <c r="B441" s="380" t="str">
        <f t="shared" si="6"/>
        <v>095-903</v>
      </c>
      <c r="C441" t="s">
        <v>221</v>
      </c>
      <c r="D441" s="2043">
        <v>622</v>
      </c>
      <c r="E441" s="2043">
        <v>599</v>
      </c>
      <c r="F441" s="2043">
        <v>-23</v>
      </c>
      <c r="G441" s="2043">
        <v>0</v>
      </c>
      <c r="H441" s="2043">
        <v>0</v>
      </c>
      <c r="I441" s="106">
        <v>0</v>
      </c>
      <c r="J441" s="41" t="s">
        <v>10797</v>
      </c>
      <c r="K441" s="2043">
        <v>0</v>
      </c>
      <c r="L441" s="2043">
        <v>0</v>
      </c>
    </row>
    <row r="442" spans="1:12" ht="14.5">
      <c r="A442" t="s">
        <v>5827</v>
      </c>
      <c r="B442" s="380" t="str">
        <f t="shared" si="6"/>
        <v>125-906</v>
      </c>
      <c r="C442" t="s">
        <v>1642</v>
      </c>
      <c r="D442" s="2043">
        <v>117</v>
      </c>
      <c r="E442" s="2043">
        <v>94</v>
      </c>
      <c r="F442" s="2043">
        <v>-23</v>
      </c>
      <c r="G442" s="2043">
        <v>0</v>
      </c>
      <c r="H442" s="2043">
        <v>0</v>
      </c>
      <c r="I442" s="106">
        <v>0</v>
      </c>
      <c r="J442" s="41" t="s">
        <v>10797</v>
      </c>
      <c r="K442" s="2043">
        <v>0</v>
      </c>
      <c r="L442" s="2043">
        <v>0</v>
      </c>
    </row>
    <row r="443" spans="1:12" ht="14.5">
      <c r="A443" t="s">
        <v>3152</v>
      </c>
      <c r="B443" s="380" t="str">
        <f t="shared" si="6"/>
        <v>174-906</v>
      </c>
      <c r="C443" t="s">
        <v>1063</v>
      </c>
      <c r="D443" s="2043">
        <v>783</v>
      </c>
      <c r="E443" s="2043">
        <v>760</v>
      </c>
      <c r="F443" s="2043">
        <v>-23</v>
      </c>
      <c r="G443" s="2043">
        <v>0</v>
      </c>
      <c r="H443" s="2043">
        <v>0</v>
      </c>
      <c r="I443" s="106">
        <v>0</v>
      </c>
      <c r="J443" s="41" t="s">
        <v>10797</v>
      </c>
      <c r="K443" s="2043">
        <v>0</v>
      </c>
      <c r="L443" s="2043">
        <v>0</v>
      </c>
    </row>
    <row r="444" spans="1:12" ht="14.5">
      <c r="A444" t="s">
        <v>3251</v>
      </c>
      <c r="B444" s="380" t="str">
        <f t="shared" si="6"/>
        <v>243-901</v>
      </c>
      <c r="C444" t="s">
        <v>1363</v>
      </c>
      <c r="D444" s="2043">
        <v>3337</v>
      </c>
      <c r="E444" s="2043">
        <v>3314</v>
      </c>
      <c r="F444" s="2043">
        <v>-23</v>
      </c>
      <c r="G444" s="2043">
        <v>0</v>
      </c>
      <c r="H444" s="2043">
        <v>0</v>
      </c>
      <c r="I444" s="106">
        <v>0</v>
      </c>
      <c r="J444" s="41" t="s">
        <v>10797</v>
      </c>
      <c r="K444" s="2043">
        <v>0</v>
      </c>
      <c r="L444" s="2043">
        <v>0</v>
      </c>
    </row>
    <row r="445" spans="1:12" ht="14.5">
      <c r="A445" t="s">
        <v>5765</v>
      </c>
      <c r="B445" s="380" t="str">
        <f t="shared" si="6"/>
        <v>035-902</v>
      </c>
      <c r="C445" t="s">
        <v>1614</v>
      </c>
      <c r="D445" s="2043">
        <v>233</v>
      </c>
      <c r="E445" s="2043">
        <v>211</v>
      </c>
      <c r="F445" s="2043">
        <v>-22</v>
      </c>
      <c r="G445" s="2043">
        <v>0</v>
      </c>
      <c r="H445" s="2043">
        <v>0</v>
      </c>
      <c r="I445" s="106">
        <v>0</v>
      </c>
      <c r="J445" s="41" t="s">
        <v>10797</v>
      </c>
      <c r="K445" s="2043">
        <v>0</v>
      </c>
      <c r="L445" s="2043">
        <v>0</v>
      </c>
    </row>
    <row r="446" spans="1:12" ht="14.5">
      <c r="A446" t="s">
        <v>5038</v>
      </c>
      <c r="B446" s="380" t="str">
        <f t="shared" si="6"/>
        <v>088-902</v>
      </c>
      <c r="C446" t="s">
        <v>1690</v>
      </c>
      <c r="D446" s="2043">
        <v>1337</v>
      </c>
      <c r="E446" s="2043">
        <v>1315</v>
      </c>
      <c r="F446" s="2043">
        <v>-22</v>
      </c>
      <c r="G446" s="2043">
        <v>0</v>
      </c>
      <c r="H446" s="2043">
        <v>0</v>
      </c>
      <c r="I446" s="106">
        <v>0</v>
      </c>
      <c r="J446" s="41" t="s">
        <v>10797</v>
      </c>
      <c r="K446" s="2043">
        <v>0</v>
      </c>
      <c r="L446" s="2043">
        <v>0</v>
      </c>
    </row>
    <row r="447" spans="1:12" ht="14.5">
      <c r="A447" t="s">
        <v>5850</v>
      </c>
      <c r="B447" s="380" t="str">
        <f t="shared" si="6"/>
        <v>161-925</v>
      </c>
      <c r="C447" t="s">
        <v>1657</v>
      </c>
      <c r="D447" s="2043">
        <v>254</v>
      </c>
      <c r="E447" s="2043">
        <v>232</v>
      </c>
      <c r="F447" s="2043">
        <v>-22</v>
      </c>
      <c r="G447" s="2043">
        <v>0</v>
      </c>
      <c r="H447" s="2043">
        <v>0</v>
      </c>
      <c r="I447" s="106">
        <v>0</v>
      </c>
      <c r="J447" s="41" t="s">
        <v>10797</v>
      </c>
      <c r="K447" s="2043">
        <v>0</v>
      </c>
      <c r="L447" s="2043">
        <v>0</v>
      </c>
    </row>
    <row r="448" spans="1:12" ht="14.5">
      <c r="A448" t="s">
        <v>4736</v>
      </c>
      <c r="B448" s="380" t="str">
        <f t="shared" si="6"/>
        <v>229-901</v>
      </c>
      <c r="C448" t="s">
        <v>1457</v>
      </c>
      <c r="D448" s="2043">
        <v>475</v>
      </c>
      <c r="E448" s="2043">
        <v>453</v>
      </c>
      <c r="F448" s="2043">
        <v>-22</v>
      </c>
      <c r="G448" s="2043">
        <v>0</v>
      </c>
      <c r="H448" s="2043">
        <v>0</v>
      </c>
      <c r="I448" s="106">
        <v>0</v>
      </c>
      <c r="J448" s="41" t="s">
        <v>10797</v>
      </c>
      <c r="K448" s="2043">
        <v>0</v>
      </c>
      <c r="L448" s="2043">
        <v>0</v>
      </c>
    </row>
    <row r="449" spans="1:12" ht="14.5">
      <c r="A449" t="s">
        <v>2894</v>
      </c>
      <c r="B449" s="380" t="str">
        <f t="shared" si="6"/>
        <v>019-909</v>
      </c>
      <c r="C449" t="s">
        <v>252</v>
      </c>
      <c r="D449" s="2043">
        <v>494</v>
      </c>
      <c r="E449" s="2043">
        <v>473</v>
      </c>
      <c r="F449" s="2043">
        <v>-21</v>
      </c>
      <c r="G449" s="2043">
        <v>0</v>
      </c>
      <c r="H449" s="2043">
        <v>0</v>
      </c>
      <c r="I449" s="106">
        <v>0</v>
      </c>
      <c r="J449" s="41" t="s">
        <v>10797</v>
      </c>
      <c r="K449" s="2043">
        <v>0</v>
      </c>
      <c r="L449" s="2043">
        <v>0</v>
      </c>
    </row>
    <row r="450" spans="1:12" ht="14.5">
      <c r="A450" t="s">
        <v>2913</v>
      </c>
      <c r="B450" s="380" t="str">
        <f t="shared" si="6"/>
        <v>030-903</v>
      </c>
      <c r="C450" t="s">
        <v>1510</v>
      </c>
      <c r="D450" s="2043">
        <v>314</v>
      </c>
      <c r="E450" s="2043">
        <v>293</v>
      </c>
      <c r="F450" s="2043">
        <v>-21</v>
      </c>
      <c r="G450" s="2043">
        <v>0</v>
      </c>
      <c r="H450" s="2043">
        <v>0</v>
      </c>
      <c r="I450" s="106">
        <v>0</v>
      </c>
      <c r="J450" s="41" t="s">
        <v>10797</v>
      </c>
      <c r="K450" s="2043">
        <v>0</v>
      </c>
      <c r="L450" s="2043">
        <v>0</v>
      </c>
    </row>
    <row r="451" spans="1:12" ht="14.5">
      <c r="A451" t="s">
        <v>5781</v>
      </c>
      <c r="B451" s="380" t="str">
        <f t="shared" ref="B451:B514" si="7">CONCATENATE(LEFT(RIGHT(CONCATENATE("000",A451),6),3),"-",(RIGHT(RIGHT(CONCATENATE("000",A451),6),3)))</f>
        <v>058-902</v>
      </c>
      <c r="C451" t="s">
        <v>2516</v>
      </c>
      <c r="D451" s="2043">
        <v>170</v>
      </c>
      <c r="E451" s="2043">
        <v>149</v>
      </c>
      <c r="F451" s="2043">
        <v>-21</v>
      </c>
      <c r="G451" s="2043">
        <v>0</v>
      </c>
      <c r="H451" s="2043">
        <v>0</v>
      </c>
      <c r="I451" s="106">
        <v>0</v>
      </c>
      <c r="J451" s="41" t="s">
        <v>10797</v>
      </c>
      <c r="K451" s="2043">
        <v>0</v>
      </c>
      <c r="L451" s="2043">
        <v>0</v>
      </c>
    </row>
    <row r="452" spans="1:12" ht="14.5">
      <c r="A452" t="s">
        <v>3153</v>
      </c>
      <c r="B452" s="380" t="str">
        <f t="shared" si="7"/>
        <v>174-908</v>
      </c>
      <c r="C452" t="s">
        <v>2134</v>
      </c>
      <c r="D452" s="2043">
        <v>1158</v>
      </c>
      <c r="E452" s="2043">
        <v>1137</v>
      </c>
      <c r="F452" s="2043">
        <v>-21</v>
      </c>
      <c r="G452" s="2043">
        <v>0</v>
      </c>
      <c r="H452" s="2043">
        <v>0</v>
      </c>
      <c r="I452" s="106">
        <v>0</v>
      </c>
      <c r="J452" s="41" t="s">
        <v>10797</v>
      </c>
      <c r="K452" s="2043">
        <v>0</v>
      </c>
      <c r="L452" s="2043">
        <v>0</v>
      </c>
    </row>
    <row r="453" spans="1:12" ht="14.5">
      <c r="A453" t="s">
        <v>5861</v>
      </c>
      <c r="B453" s="380" t="str">
        <f t="shared" si="7"/>
        <v>182-905</v>
      </c>
      <c r="C453" t="s">
        <v>316</v>
      </c>
      <c r="D453" s="2043">
        <v>183</v>
      </c>
      <c r="E453" s="2043">
        <v>162</v>
      </c>
      <c r="F453" s="2043">
        <v>-21</v>
      </c>
      <c r="G453" s="2043">
        <v>0</v>
      </c>
      <c r="H453" s="2043">
        <v>0</v>
      </c>
      <c r="I453" s="106">
        <v>0</v>
      </c>
      <c r="J453" s="41" t="s">
        <v>10797</v>
      </c>
      <c r="K453" s="2043">
        <v>0</v>
      </c>
      <c r="L453" s="2043">
        <v>0</v>
      </c>
    </row>
    <row r="454" spans="1:12" ht="14.5">
      <c r="A454" t="s">
        <v>4591</v>
      </c>
      <c r="B454" s="380" t="str">
        <f t="shared" si="7"/>
        <v>200-904</v>
      </c>
      <c r="C454" t="s">
        <v>1062</v>
      </c>
      <c r="D454" s="2043">
        <v>575</v>
      </c>
      <c r="E454" s="2043">
        <v>554</v>
      </c>
      <c r="F454" s="2043">
        <v>-21</v>
      </c>
      <c r="G454" s="2043">
        <v>0</v>
      </c>
      <c r="H454" s="2043">
        <v>0</v>
      </c>
      <c r="I454" s="106">
        <v>0</v>
      </c>
      <c r="J454" s="41" t="s">
        <v>10797</v>
      </c>
      <c r="K454" s="2043">
        <v>0</v>
      </c>
      <c r="L454" s="2043">
        <v>0</v>
      </c>
    </row>
    <row r="455" spans="1:12" ht="14.5">
      <c r="A455" t="s">
        <v>5317</v>
      </c>
      <c r="B455" s="380" t="str">
        <f t="shared" si="7"/>
        <v>250-906</v>
      </c>
      <c r="C455" t="s">
        <v>1295</v>
      </c>
      <c r="D455" s="2043">
        <v>882</v>
      </c>
      <c r="E455" s="2043">
        <v>861</v>
      </c>
      <c r="F455" s="2043">
        <v>-21</v>
      </c>
      <c r="G455" s="2043">
        <v>0</v>
      </c>
      <c r="H455" s="2043">
        <v>0</v>
      </c>
      <c r="I455" s="106">
        <v>0</v>
      </c>
      <c r="J455" s="41" t="s">
        <v>10797</v>
      </c>
      <c r="K455" s="2043">
        <v>0</v>
      </c>
      <c r="L455" s="2043">
        <v>0</v>
      </c>
    </row>
    <row r="456" spans="1:12" ht="14.5">
      <c r="A456" t="s">
        <v>5793</v>
      </c>
      <c r="B456" s="380" t="str">
        <f t="shared" si="7"/>
        <v>070-909</v>
      </c>
      <c r="C456" t="s">
        <v>1865</v>
      </c>
      <c r="D456" s="2043">
        <v>258</v>
      </c>
      <c r="E456" s="2043">
        <v>238</v>
      </c>
      <c r="F456" s="2043">
        <v>-20</v>
      </c>
      <c r="G456" s="2043">
        <v>0</v>
      </c>
      <c r="H456" s="2043">
        <v>0</v>
      </c>
      <c r="I456" s="106">
        <v>0</v>
      </c>
      <c r="J456" s="41" t="s">
        <v>10797</v>
      </c>
      <c r="K456" s="2043">
        <v>0</v>
      </c>
      <c r="L456" s="2043">
        <v>0</v>
      </c>
    </row>
    <row r="457" spans="1:12" ht="14.5">
      <c r="A457" t="s">
        <v>3021</v>
      </c>
      <c r="B457" s="380" t="str">
        <f t="shared" si="7"/>
        <v>101-905</v>
      </c>
      <c r="C457" t="s">
        <v>452</v>
      </c>
      <c r="D457" s="2043">
        <v>9529</v>
      </c>
      <c r="E457" s="2043">
        <v>9509</v>
      </c>
      <c r="F457" s="2043">
        <v>-20</v>
      </c>
      <c r="G457" s="2043">
        <v>0</v>
      </c>
      <c r="H457" s="2043">
        <v>0</v>
      </c>
      <c r="I457" s="106">
        <v>0</v>
      </c>
      <c r="J457" s="41" t="s">
        <v>10797</v>
      </c>
      <c r="K457" s="2043">
        <v>0</v>
      </c>
      <c r="L457" s="2043">
        <v>0</v>
      </c>
    </row>
    <row r="458" spans="1:12" ht="14.5">
      <c r="A458" t="s">
        <v>4305</v>
      </c>
      <c r="B458" s="380" t="str">
        <f t="shared" si="7"/>
        <v>128-901</v>
      </c>
      <c r="C458" t="s">
        <v>387</v>
      </c>
      <c r="D458" s="2043">
        <v>1073</v>
      </c>
      <c r="E458" s="2043">
        <v>1053</v>
      </c>
      <c r="F458" s="2043">
        <v>-20</v>
      </c>
      <c r="G458" s="2043">
        <v>0</v>
      </c>
      <c r="H458" s="2043">
        <v>0</v>
      </c>
      <c r="I458" s="106">
        <v>0</v>
      </c>
      <c r="J458" s="41" t="s">
        <v>10797</v>
      </c>
      <c r="K458" s="2043">
        <v>0</v>
      </c>
      <c r="L458" s="2043">
        <v>0</v>
      </c>
    </row>
    <row r="459" spans="1:12" ht="14.5">
      <c r="A459" t="s">
        <v>3114</v>
      </c>
      <c r="B459" s="380" t="str">
        <f t="shared" si="7"/>
        <v>152-910</v>
      </c>
      <c r="C459" t="s">
        <v>522</v>
      </c>
      <c r="D459" s="2043">
        <v>1026</v>
      </c>
      <c r="E459" s="2043">
        <v>1006</v>
      </c>
      <c r="F459" s="2043">
        <v>-20</v>
      </c>
      <c r="G459" s="2043">
        <v>0</v>
      </c>
      <c r="H459" s="2043">
        <v>0</v>
      </c>
      <c r="I459" s="106">
        <v>0</v>
      </c>
      <c r="J459" s="41" t="s">
        <v>10797</v>
      </c>
      <c r="K459" s="2043">
        <v>0</v>
      </c>
      <c r="L459" s="2043">
        <v>0</v>
      </c>
    </row>
    <row r="460" spans="1:12" ht="14.5">
      <c r="A460" t="s">
        <v>3230</v>
      </c>
      <c r="B460" s="380" t="str">
        <f t="shared" si="7"/>
        <v>230-903</v>
      </c>
      <c r="C460" t="s">
        <v>962</v>
      </c>
      <c r="D460" s="2043">
        <v>880</v>
      </c>
      <c r="E460" s="2043">
        <v>861</v>
      </c>
      <c r="F460" s="2043">
        <v>-19</v>
      </c>
      <c r="G460" s="2043">
        <v>0</v>
      </c>
      <c r="H460" s="2043">
        <v>0</v>
      </c>
      <c r="I460" s="106">
        <v>0</v>
      </c>
      <c r="J460" s="41" t="s">
        <v>10797</v>
      </c>
      <c r="K460" s="2043">
        <v>0</v>
      </c>
      <c r="L460" s="2043">
        <v>0</v>
      </c>
    </row>
    <row r="461" spans="1:12" ht="14.5">
      <c r="A461" t="s">
        <v>5892</v>
      </c>
      <c r="B461" s="380" t="str">
        <f t="shared" si="7"/>
        <v>231-901</v>
      </c>
      <c r="C461" t="s">
        <v>734</v>
      </c>
      <c r="D461" s="2043">
        <v>542</v>
      </c>
      <c r="E461" s="2043">
        <v>523</v>
      </c>
      <c r="F461" s="2043">
        <v>-19</v>
      </c>
      <c r="G461" s="2043">
        <v>0</v>
      </c>
      <c r="H461" s="2043">
        <v>0</v>
      </c>
      <c r="I461" s="106">
        <v>0</v>
      </c>
      <c r="J461" s="41" t="s">
        <v>10797</v>
      </c>
      <c r="K461" s="2043">
        <v>0</v>
      </c>
      <c r="L461" s="2043">
        <v>0</v>
      </c>
    </row>
    <row r="462" spans="1:12" ht="14.5">
      <c r="A462" t="s">
        <v>4929</v>
      </c>
      <c r="B462" s="380" t="str">
        <f t="shared" si="7"/>
        <v>008-902</v>
      </c>
      <c r="C462" t="s">
        <v>1131</v>
      </c>
      <c r="D462" s="2043">
        <v>2845</v>
      </c>
      <c r="E462" s="2043">
        <v>2827</v>
      </c>
      <c r="F462" s="2043">
        <v>-18</v>
      </c>
      <c r="G462" s="2043">
        <v>0</v>
      </c>
      <c r="H462" s="2043">
        <v>0</v>
      </c>
      <c r="I462" s="106">
        <v>0</v>
      </c>
      <c r="J462" s="41" t="s">
        <v>10797</v>
      </c>
      <c r="K462" s="2043">
        <v>0</v>
      </c>
      <c r="L462" s="2043">
        <v>0</v>
      </c>
    </row>
    <row r="463" spans="1:12" ht="14.5">
      <c r="A463" t="s">
        <v>5769</v>
      </c>
      <c r="B463" s="380" t="str">
        <f t="shared" si="7"/>
        <v>041-901</v>
      </c>
      <c r="C463" t="s">
        <v>2037</v>
      </c>
      <c r="D463" s="2043">
        <v>256</v>
      </c>
      <c r="E463" s="2043">
        <v>238</v>
      </c>
      <c r="F463" s="2043">
        <v>-18</v>
      </c>
      <c r="G463" s="2043">
        <v>0</v>
      </c>
      <c r="H463" s="2043">
        <v>0</v>
      </c>
      <c r="I463" s="106">
        <v>0</v>
      </c>
      <c r="J463" s="41" t="s">
        <v>10797</v>
      </c>
      <c r="K463" s="2043">
        <v>0</v>
      </c>
      <c r="L463" s="2043">
        <v>0</v>
      </c>
    </row>
    <row r="464" spans="1:12" ht="14.5">
      <c r="A464" t="s">
        <v>5772</v>
      </c>
      <c r="B464" s="380" t="str">
        <f t="shared" si="7"/>
        <v>049-908</v>
      </c>
      <c r="C464" t="s">
        <v>2093</v>
      </c>
      <c r="D464" s="2043">
        <v>74</v>
      </c>
      <c r="E464" s="2043">
        <v>56</v>
      </c>
      <c r="F464" s="2043">
        <v>-18</v>
      </c>
      <c r="G464" s="2043">
        <v>0</v>
      </c>
      <c r="H464" s="2043">
        <v>0</v>
      </c>
      <c r="I464" s="106">
        <v>0</v>
      </c>
      <c r="J464" s="41" t="s">
        <v>10797</v>
      </c>
      <c r="K464" s="2043">
        <v>0</v>
      </c>
      <c r="L464" s="2043">
        <v>0</v>
      </c>
    </row>
    <row r="465" spans="1:12" ht="14.5">
      <c r="A465" t="s">
        <v>5773</v>
      </c>
      <c r="B465" s="380" t="str">
        <f t="shared" si="7"/>
        <v>049-909</v>
      </c>
      <c r="C465" t="s">
        <v>2094</v>
      </c>
      <c r="D465" s="2043">
        <v>81</v>
      </c>
      <c r="E465" s="2043">
        <v>63</v>
      </c>
      <c r="F465" s="2043">
        <v>-18</v>
      </c>
      <c r="G465" s="2043">
        <v>0</v>
      </c>
      <c r="H465" s="2043">
        <v>0</v>
      </c>
      <c r="I465" s="106">
        <v>0</v>
      </c>
      <c r="J465" s="41" t="s">
        <v>10797</v>
      </c>
      <c r="K465" s="2043">
        <v>0</v>
      </c>
      <c r="L465" s="2043">
        <v>0</v>
      </c>
    </row>
    <row r="466" spans="1:12" ht="14.5">
      <c r="A466" t="s">
        <v>5068</v>
      </c>
      <c r="B466" s="380" t="str">
        <f t="shared" si="7"/>
        <v>101-911</v>
      </c>
      <c r="C466" t="s">
        <v>455</v>
      </c>
      <c r="D466" s="2043">
        <v>23926</v>
      </c>
      <c r="E466" s="2043">
        <v>23908</v>
      </c>
      <c r="F466" s="2043">
        <v>-18</v>
      </c>
      <c r="G466" s="2043">
        <v>0</v>
      </c>
      <c r="H466" s="2043">
        <v>0</v>
      </c>
      <c r="I466" s="106">
        <v>0</v>
      </c>
      <c r="J466" s="41" t="s">
        <v>10797</v>
      </c>
      <c r="K466" s="2043">
        <v>0</v>
      </c>
      <c r="L466" s="2043">
        <v>0</v>
      </c>
    </row>
    <row r="467" spans="1:12" ht="14.5">
      <c r="A467" t="s">
        <v>5842</v>
      </c>
      <c r="B467" s="380" t="str">
        <f t="shared" si="7"/>
        <v>143-905</v>
      </c>
      <c r="C467" t="s">
        <v>900</v>
      </c>
      <c r="D467" s="2043">
        <v>154</v>
      </c>
      <c r="E467" s="2043">
        <v>136</v>
      </c>
      <c r="F467" s="2043">
        <v>-18</v>
      </c>
      <c r="G467" s="2043">
        <v>0</v>
      </c>
      <c r="H467" s="2043">
        <v>0</v>
      </c>
      <c r="I467" s="106">
        <v>0</v>
      </c>
      <c r="J467" s="41" t="s">
        <v>10797</v>
      </c>
      <c r="K467" s="2043">
        <v>0</v>
      </c>
      <c r="L467" s="2043">
        <v>0</v>
      </c>
    </row>
    <row r="468" spans="1:12" ht="14.5">
      <c r="A468" t="s">
        <v>3134</v>
      </c>
      <c r="B468" s="380" t="str">
        <f t="shared" si="7"/>
        <v>163-901</v>
      </c>
      <c r="C468" t="s">
        <v>2522</v>
      </c>
      <c r="D468" s="2043">
        <v>1983</v>
      </c>
      <c r="E468" s="2043">
        <v>1965</v>
      </c>
      <c r="F468" s="2043">
        <v>-18</v>
      </c>
      <c r="G468" s="2043">
        <v>0</v>
      </c>
      <c r="H468" s="2043">
        <v>0</v>
      </c>
      <c r="I468" s="106">
        <v>0</v>
      </c>
      <c r="J468" s="41" t="s">
        <v>10797</v>
      </c>
      <c r="K468" s="2043">
        <v>0</v>
      </c>
      <c r="L468" s="2043">
        <v>0</v>
      </c>
    </row>
    <row r="469" spans="1:12" ht="14.5">
      <c r="A469" t="s">
        <v>5269</v>
      </c>
      <c r="B469" s="380" t="str">
        <f t="shared" si="7"/>
        <v>221-904</v>
      </c>
      <c r="C469" t="s">
        <v>1207</v>
      </c>
      <c r="D469" s="2043">
        <v>1105</v>
      </c>
      <c r="E469" s="2043">
        <v>1087</v>
      </c>
      <c r="F469" s="2043">
        <v>-18</v>
      </c>
      <c r="G469" s="2043">
        <v>0</v>
      </c>
      <c r="H469" s="2043">
        <v>0</v>
      </c>
      <c r="I469" s="106">
        <v>0</v>
      </c>
      <c r="J469" s="41" t="s">
        <v>10797</v>
      </c>
      <c r="K469" s="2043">
        <v>0</v>
      </c>
      <c r="L469" s="2043">
        <v>0</v>
      </c>
    </row>
    <row r="470" spans="1:12" ht="14.5">
      <c r="A470" t="s">
        <v>4969</v>
      </c>
      <c r="B470" s="380" t="str">
        <f t="shared" si="7"/>
        <v>040-902</v>
      </c>
      <c r="C470" t="s">
        <v>973</v>
      </c>
      <c r="D470" s="2043">
        <v>330</v>
      </c>
      <c r="E470" s="2043">
        <v>313</v>
      </c>
      <c r="F470" s="2043">
        <v>-17</v>
      </c>
      <c r="G470" s="2043">
        <v>0</v>
      </c>
      <c r="H470" s="2043">
        <v>0</v>
      </c>
      <c r="I470" s="106">
        <v>0</v>
      </c>
      <c r="J470" s="41" t="s">
        <v>10797</v>
      </c>
      <c r="K470" s="2043">
        <v>0</v>
      </c>
      <c r="L470" s="2043">
        <v>0</v>
      </c>
    </row>
    <row r="471" spans="1:12" ht="14.5">
      <c r="A471" t="s">
        <v>5786</v>
      </c>
      <c r="B471" s="380" t="str">
        <f t="shared" si="7"/>
        <v>063-906</v>
      </c>
      <c r="C471" t="s">
        <v>2481</v>
      </c>
      <c r="D471" s="2043">
        <v>103</v>
      </c>
      <c r="E471" s="2043">
        <v>86</v>
      </c>
      <c r="F471" s="2043">
        <v>-17</v>
      </c>
      <c r="G471" s="2043">
        <v>0</v>
      </c>
      <c r="H471" s="2043">
        <v>0</v>
      </c>
      <c r="I471" s="106">
        <v>0</v>
      </c>
      <c r="J471" s="41" t="s">
        <v>10797</v>
      </c>
      <c r="K471" s="2043">
        <v>0</v>
      </c>
      <c r="L471" s="2043">
        <v>0</v>
      </c>
    </row>
    <row r="472" spans="1:12" ht="14.5">
      <c r="A472" t="s">
        <v>3056</v>
      </c>
      <c r="B472" s="380" t="str">
        <f t="shared" si="7"/>
        <v>110-906</v>
      </c>
      <c r="C472" t="s">
        <v>1822</v>
      </c>
      <c r="D472" s="2043">
        <v>434</v>
      </c>
      <c r="E472" s="2043">
        <v>417</v>
      </c>
      <c r="F472" s="2043">
        <v>-17</v>
      </c>
      <c r="G472" s="2043">
        <v>0</v>
      </c>
      <c r="H472" s="2043">
        <v>0</v>
      </c>
      <c r="I472" s="106">
        <v>0</v>
      </c>
      <c r="J472" s="41" t="s">
        <v>10797</v>
      </c>
      <c r="K472" s="2043">
        <v>0</v>
      </c>
      <c r="L472" s="2043">
        <v>0</v>
      </c>
    </row>
    <row r="473" spans="1:12" ht="14.5">
      <c r="A473" t="s">
        <v>3061</v>
      </c>
      <c r="B473" s="380" t="str">
        <f t="shared" si="7"/>
        <v>112-907</v>
      </c>
      <c r="C473" t="s">
        <v>2115</v>
      </c>
      <c r="D473" s="2043">
        <v>316</v>
      </c>
      <c r="E473" s="2043">
        <v>299</v>
      </c>
      <c r="F473" s="2043">
        <v>-17</v>
      </c>
      <c r="G473" s="2043">
        <v>0</v>
      </c>
      <c r="H473" s="2043">
        <v>0</v>
      </c>
      <c r="I473" s="106">
        <v>0</v>
      </c>
      <c r="J473" s="41" t="s">
        <v>10797</v>
      </c>
      <c r="K473" s="2043">
        <v>0</v>
      </c>
      <c r="L473" s="2043">
        <v>0</v>
      </c>
    </row>
    <row r="474" spans="1:12" ht="14.5">
      <c r="A474" t="s">
        <v>5173</v>
      </c>
      <c r="B474" s="380" t="str">
        <f t="shared" si="7"/>
        <v>161-924</v>
      </c>
      <c r="C474" t="s">
        <v>1656</v>
      </c>
      <c r="D474" s="2043">
        <v>179</v>
      </c>
      <c r="E474" s="2043">
        <v>162</v>
      </c>
      <c r="F474" s="2043">
        <v>-17</v>
      </c>
      <c r="G474" s="2043">
        <v>0</v>
      </c>
      <c r="H474" s="2043">
        <v>0</v>
      </c>
      <c r="I474" s="106">
        <v>0</v>
      </c>
      <c r="J474" s="41" t="s">
        <v>10797</v>
      </c>
      <c r="K474" s="2043">
        <v>0</v>
      </c>
      <c r="L474" s="2043">
        <v>0</v>
      </c>
    </row>
    <row r="475" spans="1:12" ht="14.5">
      <c r="A475" t="s">
        <v>5193</v>
      </c>
      <c r="B475" s="380" t="str">
        <f t="shared" si="7"/>
        <v>175-905</v>
      </c>
      <c r="C475" t="s">
        <v>291</v>
      </c>
      <c r="D475" s="2043">
        <v>456</v>
      </c>
      <c r="E475" s="2043">
        <v>439</v>
      </c>
      <c r="F475" s="2043">
        <v>-17</v>
      </c>
      <c r="G475" s="2043">
        <v>0</v>
      </c>
      <c r="H475" s="2043">
        <v>0</v>
      </c>
      <c r="I475" s="106">
        <v>0</v>
      </c>
      <c r="J475" s="41" t="s">
        <v>10797</v>
      </c>
      <c r="K475" s="2043">
        <v>0</v>
      </c>
      <c r="L475" s="2043">
        <v>0</v>
      </c>
    </row>
    <row r="476" spans="1:12" ht="14.5">
      <c r="A476" t="s">
        <v>5235</v>
      </c>
      <c r="B476" s="380" t="str">
        <f t="shared" si="7"/>
        <v>196-901</v>
      </c>
      <c r="C476" t="s">
        <v>1532</v>
      </c>
      <c r="D476" s="2043">
        <v>148</v>
      </c>
      <c r="E476" s="2043">
        <v>131</v>
      </c>
      <c r="F476" s="2043">
        <v>-17</v>
      </c>
      <c r="G476" s="2043">
        <v>0</v>
      </c>
      <c r="H476" s="2043">
        <v>0</v>
      </c>
      <c r="I476" s="106">
        <v>0</v>
      </c>
      <c r="J476" s="41" t="s">
        <v>10797</v>
      </c>
      <c r="K476" s="2043">
        <v>0</v>
      </c>
      <c r="L476" s="2043">
        <v>0</v>
      </c>
    </row>
    <row r="477" spans="1:12" ht="14.5">
      <c r="A477" t="s">
        <v>4944</v>
      </c>
      <c r="B477" s="380" t="str">
        <f t="shared" si="7"/>
        <v>020-902</v>
      </c>
      <c r="C477" t="s">
        <v>2350</v>
      </c>
      <c r="D477" s="2043">
        <v>6798</v>
      </c>
      <c r="E477" s="2043">
        <v>6782</v>
      </c>
      <c r="F477" s="2043">
        <v>-16</v>
      </c>
      <c r="G477" s="2043">
        <v>0</v>
      </c>
      <c r="H477" s="2043">
        <v>0</v>
      </c>
      <c r="I477" s="106">
        <v>0</v>
      </c>
      <c r="J477" s="41" t="s">
        <v>10797</v>
      </c>
      <c r="K477" s="2043">
        <v>0</v>
      </c>
      <c r="L477" s="2043">
        <v>0</v>
      </c>
    </row>
    <row r="478" spans="1:12" ht="14.5">
      <c r="A478" t="s">
        <v>2946</v>
      </c>
      <c r="B478" s="380" t="str">
        <f t="shared" si="7"/>
        <v>047-903</v>
      </c>
      <c r="C478" t="s">
        <v>1637</v>
      </c>
      <c r="D478" s="2043">
        <v>161</v>
      </c>
      <c r="E478" s="2043">
        <v>145</v>
      </c>
      <c r="F478" s="2043">
        <v>-16</v>
      </c>
      <c r="G478" s="2043">
        <v>0</v>
      </c>
      <c r="H478" s="2043">
        <v>0</v>
      </c>
      <c r="I478" s="106">
        <v>0</v>
      </c>
      <c r="J478" s="41" t="s">
        <v>10797</v>
      </c>
      <c r="K478" s="2043">
        <v>0</v>
      </c>
      <c r="L478" s="2043">
        <v>0</v>
      </c>
    </row>
    <row r="479" spans="1:12" ht="14.5">
      <c r="A479" t="s">
        <v>5869</v>
      </c>
      <c r="B479" s="380" t="str">
        <f t="shared" si="7"/>
        <v>198-906</v>
      </c>
      <c r="C479" t="s">
        <v>923</v>
      </c>
      <c r="D479" s="2043">
        <v>627</v>
      </c>
      <c r="E479" s="2043">
        <v>611</v>
      </c>
      <c r="F479" s="2043">
        <v>-16</v>
      </c>
      <c r="G479" s="2043">
        <v>0</v>
      </c>
      <c r="H479" s="2043">
        <v>0</v>
      </c>
      <c r="I479" s="106">
        <v>0</v>
      </c>
      <c r="J479" s="41" t="s">
        <v>10797</v>
      </c>
      <c r="K479" s="2043">
        <v>0</v>
      </c>
      <c r="L479" s="2043">
        <v>0</v>
      </c>
    </row>
    <row r="480" spans="1:12" ht="14.5">
      <c r="A480" t="s">
        <v>5755</v>
      </c>
      <c r="B480" s="380" t="str">
        <f t="shared" si="7"/>
        <v>019-913</v>
      </c>
      <c r="C480" t="s">
        <v>2248</v>
      </c>
      <c r="D480" s="2043">
        <v>84</v>
      </c>
      <c r="E480" s="2043">
        <v>69</v>
      </c>
      <c r="F480" s="2043">
        <v>-15</v>
      </c>
      <c r="G480" s="2043">
        <v>0</v>
      </c>
      <c r="H480" s="2043">
        <v>0</v>
      </c>
      <c r="I480" s="106">
        <v>0</v>
      </c>
      <c r="J480" s="41" t="s">
        <v>10797</v>
      </c>
      <c r="K480" s="2043">
        <v>0</v>
      </c>
      <c r="L480" s="2043">
        <v>0</v>
      </c>
    </row>
    <row r="481" spans="1:12" ht="14.5">
      <c r="A481" t="s">
        <v>5037</v>
      </c>
      <c r="B481" s="380" t="str">
        <f t="shared" si="7"/>
        <v>087-901</v>
      </c>
      <c r="C481" t="s">
        <v>1689</v>
      </c>
      <c r="D481" s="2043">
        <v>308</v>
      </c>
      <c r="E481" s="2043">
        <v>293</v>
      </c>
      <c r="F481" s="2043">
        <v>-15</v>
      </c>
      <c r="G481" s="2043">
        <v>0</v>
      </c>
      <c r="H481" s="2043">
        <v>0</v>
      </c>
      <c r="I481" s="106">
        <v>0</v>
      </c>
      <c r="J481" s="41" t="s">
        <v>10797</v>
      </c>
      <c r="K481" s="2043">
        <v>0</v>
      </c>
      <c r="L481" s="2043">
        <v>0</v>
      </c>
    </row>
    <row r="482" spans="1:12" ht="14.5">
      <c r="A482" t="s">
        <v>5118</v>
      </c>
      <c r="B482" s="380" t="str">
        <f t="shared" si="7"/>
        <v>123-913</v>
      </c>
      <c r="C482" t="s">
        <v>2545</v>
      </c>
      <c r="D482" s="2043">
        <v>380</v>
      </c>
      <c r="E482" s="2043">
        <v>365</v>
      </c>
      <c r="F482" s="2043">
        <v>-15</v>
      </c>
      <c r="G482" s="2043">
        <v>0</v>
      </c>
      <c r="H482" s="2043">
        <v>0</v>
      </c>
      <c r="I482" s="106">
        <v>0</v>
      </c>
      <c r="J482" s="41" t="s">
        <v>10797</v>
      </c>
      <c r="K482" s="2043">
        <v>0</v>
      </c>
      <c r="L482" s="2043">
        <v>0</v>
      </c>
    </row>
    <row r="483" spans="1:12" ht="14.5">
      <c r="A483" t="s">
        <v>3110</v>
      </c>
      <c r="B483" s="380" t="str">
        <f t="shared" si="7"/>
        <v>147-901</v>
      </c>
      <c r="C483" t="s">
        <v>1464</v>
      </c>
      <c r="D483" s="2043">
        <v>318</v>
      </c>
      <c r="E483" s="2043">
        <v>303</v>
      </c>
      <c r="F483" s="2043">
        <v>-15</v>
      </c>
      <c r="G483" s="2043">
        <v>0</v>
      </c>
      <c r="H483" s="2043">
        <v>0</v>
      </c>
      <c r="I483" s="106">
        <v>0</v>
      </c>
      <c r="J483" s="41" t="s">
        <v>10797</v>
      </c>
      <c r="K483" s="2043">
        <v>0</v>
      </c>
      <c r="L483" s="2043">
        <v>0</v>
      </c>
    </row>
    <row r="484" spans="1:12" ht="14.5">
      <c r="A484" t="s">
        <v>5166</v>
      </c>
      <c r="B484" s="380" t="str">
        <f t="shared" si="7"/>
        <v>156-905</v>
      </c>
      <c r="C484" t="s">
        <v>530</v>
      </c>
      <c r="D484" s="2043">
        <v>264</v>
      </c>
      <c r="E484" s="2043">
        <v>249</v>
      </c>
      <c r="F484" s="2043">
        <v>-15</v>
      </c>
      <c r="G484" s="2043">
        <v>0</v>
      </c>
      <c r="H484" s="2043">
        <v>0</v>
      </c>
      <c r="I484" s="106">
        <v>0</v>
      </c>
      <c r="J484" s="41" t="s">
        <v>10797</v>
      </c>
      <c r="K484" s="2043">
        <v>0</v>
      </c>
      <c r="L484" s="2043">
        <v>0</v>
      </c>
    </row>
    <row r="485" spans="1:12" ht="14.5">
      <c r="A485" t="s">
        <v>5872</v>
      </c>
      <c r="B485" s="380" t="str">
        <f t="shared" si="7"/>
        <v>201-904</v>
      </c>
      <c r="C485" t="s">
        <v>1436</v>
      </c>
      <c r="D485" s="2043">
        <v>260</v>
      </c>
      <c r="E485" s="2043">
        <v>245</v>
      </c>
      <c r="F485" s="2043">
        <v>-15</v>
      </c>
      <c r="G485" s="2043">
        <v>0</v>
      </c>
      <c r="H485" s="2043">
        <v>0</v>
      </c>
      <c r="I485" s="106">
        <v>0</v>
      </c>
      <c r="J485" s="41" t="s">
        <v>10797</v>
      </c>
      <c r="K485" s="2043">
        <v>0</v>
      </c>
      <c r="L485" s="2043">
        <v>0</v>
      </c>
    </row>
    <row r="486" spans="1:12" ht="14.5">
      <c r="A486" t="s">
        <v>4939</v>
      </c>
      <c r="B486" s="380" t="str">
        <f t="shared" si="7"/>
        <v>019-906</v>
      </c>
      <c r="C486" t="s">
        <v>1314</v>
      </c>
      <c r="D486" s="2043">
        <v>1117</v>
      </c>
      <c r="E486" s="2043">
        <v>1103</v>
      </c>
      <c r="F486" s="2043">
        <v>-14</v>
      </c>
      <c r="G486" s="2043">
        <v>0</v>
      </c>
      <c r="H486" s="2043">
        <v>0</v>
      </c>
      <c r="I486" s="106">
        <v>0</v>
      </c>
      <c r="J486" s="41" t="s">
        <v>10797</v>
      </c>
      <c r="K486" s="2043">
        <v>0</v>
      </c>
      <c r="L486" s="2043">
        <v>0</v>
      </c>
    </row>
    <row r="487" spans="1:12" ht="14.5">
      <c r="A487" t="s">
        <v>5060</v>
      </c>
      <c r="B487" s="380" t="str">
        <f t="shared" si="7"/>
        <v>098-901</v>
      </c>
      <c r="C487" t="s">
        <v>227</v>
      </c>
      <c r="D487" s="2043">
        <v>436</v>
      </c>
      <c r="E487" s="2043">
        <v>422</v>
      </c>
      <c r="F487" s="2043">
        <v>-14</v>
      </c>
      <c r="G487" s="2043">
        <v>0</v>
      </c>
      <c r="H487" s="2043">
        <v>0</v>
      </c>
      <c r="I487" s="106">
        <v>0</v>
      </c>
      <c r="J487" s="41" t="s">
        <v>10797</v>
      </c>
      <c r="K487" s="2043">
        <v>0</v>
      </c>
      <c r="L487" s="2043">
        <v>0</v>
      </c>
    </row>
    <row r="488" spans="1:12" ht="14.5">
      <c r="A488" t="s">
        <v>3062</v>
      </c>
      <c r="B488" s="380" t="str">
        <f t="shared" si="7"/>
        <v>112-910</v>
      </c>
      <c r="C488" t="s">
        <v>1835</v>
      </c>
      <c r="D488" s="2043">
        <v>217</v>
      </c>
      <c r="E488" s="2043">
        <v>203</v>
      </c>
      <c r="F488" s="2043">
        <v>-14</v>
      </c>
      <c r="G488" s="2043">
        <v>0</v>
      </c>
      <c r="H488" s="2043">
        <v>0</v>
      </c>
      <c r="I488" s="106">
        <v>0</v>
      </c>
      <c r="J488" s="41" t="s">
        <v>10797</v>
      </c>
      <c r="K488" s="2043">
        <v>0</v>
      </c>
      <c r="L488" s="2043">
        <v>0</v>
      </c>
    </row>
    <row r="489" spans="1:12" ht="14.5">
      <c r="A489" t="s">
        <v>5157</v>
      </c>
      <c r="B489" s="380" t="str">
        <f t="shared" si="7"/>
        <v>149-901</v>
      </c>
      <c r="C489" t="s">
        <v>516</v>
      </c>
      <c r="D489" s="2043">
        <v>1050</v>
      </c>
      <c r="E489" s="2043">
        <v>1036</v>
      </c>
      <c r="F489" s="2043">
        <v>-14</v>
      </c>
      <c r="G489" s="2043">
        <v>0</v>
      </c>
      <c r="H489" s="2043">
        <v>0</v>
      </c>
      <c r="I489" s="106">
        <v>0</v>
      </c>
      <c r="J489" s="41" t="s">
        <v>10797</v>
      </c>
      <c r="K489" s="2043">
        <v>0</v>
      </c>
      <c r="L489" s="2043">
        <v>0</v>
      </c>
    </row>
    <row r="490" spans="1:12" ht="14.5">
      <c r="A490" t="s">
        <v>5854</v>
      </c>
      <c r="B490" s="380" t="str">
        <f t="shared" si="7"/>
        <v>168-903</v>
      </c>
      <c r="C490" t="s">
        <v>1669</v>
      </c>
      <c r="D490" s="2043">
        <v>272</v>
      </c>
      <c r="E490" s="2043">
        <v>258</v>
      </c>
      <c r="F490" s="2043">
        <v>-14</v>
      </c>
      <c r="G490" s="2043">
        <v>0</v>
      </c>
      <c r="H490" s="2043">
        <v>0</v>
      </c>
      <c r="I490" s="106">
        <v>0</v>
      </c>
      <c r="J490" s="41" t="s">
        <v>10797</v>
      </c>
      <c r="K490" s="2043">
        <v>0</v>
      </c>
      <c r="L490" s="2043">
        <v>0</v>
      </c>
    </row>
    <row r="491" spans="1:12" ht="14.5">
      <c r="A491" t="s">
        <v>3183</v>
      </c>
      <c r="B491" s="380" t="str">
        <f t="shared" si="7"/>
        <v>195-902</v>
      </c>
      <c r="C491" t="s">
        <v>2001</v>
      </c>
      <c r="D491" s="2043">
        <v>162</v>
      </c>
      <c r="E491" s="2043">
        <v>148</v>
      </c>
      <c r="F491" s="2043">
        <v>-14</v>
      </c>
      <c r="G491" s="2043">
        <v>0</v>
      </c>
      <c r="H491" s="2043">
        <v>0</v>
      </c>
      <c r="I491" s="106">
        <v>0</v>
      </c>
      <c r="J491" s="41" t="s">
        <v>10797</v>
      </c>
      <c r="K491" s="2043">
        <v>0</v>
      </c>
      <c r="L491" s="2043">
        <v>0</v>
      </c>
    </row>
    <row r="492" spans="1:12" ht="14.5">
      <c r="A492" t="s">
        <v>5873</v>
      </c>
      <c r="B492" s="380" t="str">
        <f t="shared" si="7"/>
        <v>202-903</v>
      </c>
      <c r="C492" t="s">
        <v>1439</v>
      </c>
      <c r="D492" s="2043">
        <v>916</v>
      </c>
      <c r="E492" s="2043">
        <v>902</v>
      </c>
      <c r="F492" s="2043">
        <v>-14</v>
      </c>
      <c r="G492" s="2043">
        <v>0</v>
      </c>
      <c r="H492" s="2043">
        <v>0</v>
      </c>
      <c r="I492" s="106">
        <v>0</v>
      </c>
      <c r="J492" s="41" t="s">
        <v>10797</v>
      </c>
      <c r="K492" s="2043">
        <v>0</v>
      </c>
      <c r="L492" s="2043">
        <v>0</v>
      </c>
    </row>
    <row r="493" spans="1:12" ht="14.5">
      <c r="A493" t="s">
        <v>5254</v>
      </c>
      <c r="B493" s="380" t="str">
        <f t="shared" si="7"/>
        <v>211-901</v>
      </c>
      <c r="C493" t="s">
        <v>1684</v>
      </c>
      <c r="D493" s="2043">
        <v>188</v>
      </c>
      <c r="E493" s="2043">
        <v>174</v>
      </c>
      <c r="F493" s="2043">
        <v>-14</v>
      </c>
      <c r="G493" s="2043">
        <v>0</v>
      </c>
      <c r="H493" s="2043">
        <v>0</v>
      </c>
      <c r="I493" s="106">
        <v>0</v>
      </c>
      <c r="J493" s="41" t="s">
        <v>10797</v>
      </c>
      <c r="K493" s="2043">
        <v>0</v>
      </c>
      <c r="L493" s="2043">
        <v>0</v>
      </c>
    </row>
    <row r="494" spans="1:12" ht="14.5">
      <c r="A494" t="s">
        <v>3522</v>
      </c>
      <c r="B494" s="380" t="str">
        <f t="shared" si="7"/>
        <v>018-905</v>
      </c>
      <c r="C494" t="s">
        <v>1911</v>
      </c>
      <c r="D494" s="2043">
        <v>191</v>
      </c>
      <c r="E494" s="2043">
        <v>178</v>
      </c>
      <c r="F494" s="2043">
        <v>-13</v>
      </c>
      <c r="G494" s="2043">
        <v>0</v>
      </c>
      <c r="H494" s="2043">
        <v>0</v>
      </c>
      <c r="I494" s="106">
        <v>0</v>
      </c>
      <c r="J494" s="41" t="s">
        <v>10797</v>
      </c>
      <c r="K494" s="2043">
        <v>0</v>
      </c>
      <c r="L494" s="2043">
        <v>0</v>
      </c>
    </row>
    <row r="495" spans="1:12" ht="14.5">
      <c r="A495" t="s">
        <v>5758</v>
      </c>
      <c r="B495" s="380" t="str">
        <f t="shared" si="7"/>
        <v>022-902</v>
      </c>
      <c r="C495" t="s">
        <v>1498</v>
      </c>
      <c r="D495" s="2043">
        <v>70</v>
      </c>
      <c r="E495" s="2043">
        <v>57</v>
      </c>
      <c r="F495" s="2043">
        <v>-13</v>
      </c>
      <c r="G495" s="2043">
        <v>0</v>
      </c>
      <c r="H495" s="2043">
        <v>0</v>
      </c>
      <c r="I495" s="106">
        <v>0</v>
      </c>
      <c r="J495" s="41" t="s">
        <v>10797</v>
      </c>
      <c r="K495" s="2043">
        <v>0</v>
      </c>
      <c r="L495" s="2043">
        <v>0</v>
      </c>
    </row>
    <row r="496" spans="1:12" ht="14.5">
      <c r="A496" t="s">
        <v>5760</v>
      </c>
      <c r="B496" s="380" t="str">
        <f t="shared" si="7"/>
        <v>023-902</v>
      </c>
      <c r="C496" t="s">
        <v>1500</v>
      </c>
      <c r="D496" s="2043">
        <v>200</v>
      </c>
      <c r="E496" s="2043">
        <v>187</v>
      </c>
      <c r="F496" s="2043">
        <v>-13</v>
      </c>
      <c r="G496" s="2043">
        <v>0</v>
      </c>
      <c r="H496" s="2043">
        <v>0</v>
      </c>
      <c r="I496" s="106">
        <v>0</v>
      </c>
      <c r="J496" s="41" t="s">
        <v>10797</v>
      </c>
      <c r="K496" s="2043">
        <v>0</v>
      </c>
      <c r="L496" s="2043">
        <v>0</v>
      </c>
    </row>
    <row r="497" spans="1:12" ht="14.5">
      <c r="A497" t="s">
        <v>5121</v>
      </c>
      <c r="B497" s="380" t="str">
        <f t="shared" si="7"/>
        <v>127-901</v>
      </c>
      <c r="C497" t="s">
        <v>2279</v>
      </c>
      <c r="D497" s="2043">
        <v>753</v>
      </c>
      <c r="E497" s="2043">
        <v>740</v>
      </c>
      <c r="F497" s="2043">
        <v>-13</v>
      </c>
      <c r="G497" s="2043">
        <v>0</v>
      </c>
      <c r="H497" s="2043">
        <v>0</v>
      </c>
      <c r="I497" s="106">
        <v>0</v>
      </c>
      <c r="J497" s="41" t="s">
        <v>10797</v>
      </c>
      <c r="K497" s="2043">
        <v>0</v>
      </c>
      <c r="L497" s="2043">
        <v>0</v>
      </c>
    </row>
    <row r="498" spans="1:12" ht="14.5">
      <c r="A498" t="s">
        <v>5273</v>
      </c>
      <c r="B498" s="380" t="str">
        <f t="shared" si="7"/>
        <v>222-901</v>
      </c>
      <c r="C498" t="s">
        <v>1210</v>
      </c>
      <c r="D498" s="2043">
        <v>146</v>
      </c>
      <c r="E498" s="2043">
        <v>133</v>
      </c>
      <c r="F498" s="2043">
        <v>-13</v>
      </c>
      <c r="G498" s="2043">
        <v>0</v>
      </c>
      <c r="H498" s="2043">
        <v>0</v>
      </c>
      <c r="I498" s="106">
        <v>0</v>
      </c>
      <c r="J498" s="41" t="s">
        <v>10797</v>
      </c>
      <c r="K498" s="2043">
        <v>0</v>
      </c>
      <c r="L498" s="2043">
        <v>0</v>
      </c>
    </row>
    <row r="499" spans="1:12" ht="14.5">
      <c r="A499" t="s">
        <v>5310</v>
      </c>
      <c r="B499" s="380" t="str">
        <f t="shared" si="7"/>
        <v>249-902</v>
      </c>
      <c r="C499" t="s">
        <v>1524</v>
      </c>
      <c r="D499" s="2043">
        <v>1245</v>
      </c>
      <c r="E499" s="2043">
        <v>1232</v>
      </c>
      <c r="F499" s="2043">
        <v>-13</v>
      </c>
      <c r="G499" s="2043">
        <v>0</v>
      </c>
      <c r="H499" s="2043">
        <v>0</v>
      </c>
      <c r="I499" s="106">
        <v>0</v>
      </c>
      <c r="J499" s="41" t="s">
        <v>10797</v>
      </c>
      <c r="K499" s="2043">
        <v>0</v>
      </c>
      <c r="L499" s="2043">
        <v>0</v>
      </c>
    </row>
    <row r="500" spans="1:12" ht="14.5">
      <c r="A500" t="s">
        <v>5320</v>
      </c>
      <c r="B500" s="380" t="str">
        <f t="shared" si="7"/>
        <v>252-902</v>
      </c>
      <c r="C500" t="s">
        <v>1299</v>
      </c>
      <c r="D500" s="2043">
        <v>225</v>
      </c>
      <c r="E500" s="2043">
        <v>212</v>
      </c>
      <c r="F500" s="2043">
        <v>-13</v>
      </c>
      <c r="G500" s="2043">
        <v>0</v>
      </c>
      <c r="H500" s="2043">
        <v>0</v>
      </c>
      <c r="I500" s="106">
        <v>0</v>
      </c>
      <c r="J500" s="41" t="s">
        <v>10797</v>
      </c>
      <c r="K500" s="2043">
        <v>0</v>
      </c>
      <c r="L500" s="2043">
        <v>0</v>
      </c>
    </row>
    <row r="501" spans="1:12" ht="14.5">
      <c r="A501" t="s">
        <v>2947</v>
      </c>
      <c r="B501" s="380" t="str">
        <f t="shared" si="7"/>
        <v>047-905</v>
      </c>
      <c r="C501" t="s">
        <v>2086</v>
      </c>
      <c r="D501" s="2043">
        <v>140</v>
      </c>
      <c r="E501" s="2043">
        <v>128</v>
      </c>
      <c r="F501" s="2043">
        <v>-12</v>
      </c>
      <c r="G501" s="2043">
        <v>0</v>
      </c>
      <c r="H501" s="2043">
        <v>0</v>
      </c>
      <c r="I501" s="106">
        <v>0</v>
      </c>
      <c r="J501" s="41" t="s">
        <v>10797</v>
      </c>
      <c r="K501" s="2043">
        <v>0</v>
      </c>
      <c r="L501" s="2043">
        <v>0</v>
      </c>
    </row>
    <row r="502" spans="1:12" ht="14.5">
      <c r="A502" t="s">
        <v>3239</v>
      </c>
      <c r="B502" s="380" t="str">
        <f t="shared" si="7"/>
        <v>234-905</v>
      </c>
      <c r="C502" t="s">
        <v>1952</v>
      </c>
      <c r="D502" s="2043">
        <v>523</v>
      </c>
      <c r="E502" s="2043">
        <v>511</v>
      </c>
      <c r="F502" s="2043">
        <v>-12</v>
      </c>
      <c r="G502" s="2043">
        <v>0</v>
      </c>
      <c r="H502" s="2043">
        <v>0</v>
      </c>
      <c r="I502" s="106">
        <v>0</v>
      </c>
      <c r="J502" s="41" t="s">
        <v>10797</v>
      </c>
      <c r="K502" s="2043">
        <v>0</v>
      </c>
      <c r="L502" s="2043">
        <v>0</v>
      </c>
    </row>
    <row r="503" spans="1:12" ht="14.5">
      <c r="A503" t="s">
        <v>5316</v>
      </c>
      <c r="B503" s="380" t="str">
        <f t="shared" si="7"/>
        <v>250-905</v>
      </c>
      <c r="C503" t="s">
        <v>1294</v>
      </c>
      <c r="D503" s="2043">
        <v>380</v>
      </c>
      <c r="E503" s="2043">
        <v>368</v>
      </c>
      <c r="F503" s="2043">
        <v>-12</v>
      </c>
      <c r="G503" s="2043">
        <v>0</v>
      </c>
      <c r="H503" s="2043">
        <v>0</v>
      </c>
      <c r="I503" s="106">
        <v>0</v>
      </c>
      <c r="J503" s="41" t="s">
        <v>10797</v>
      </c>
      <c r="K503" s="2043">
        <v>0</v>
      </c>
      <c r="L503" s="2043">
        <v>0</v>
      </c>
    </row>
    <row r="504" spans="1:12" ht="14.5">
      <c r="A504" t="s">
        <v>5099</v>
      </c>
      <c r="B504" s="380" t="str">
        <f t="shared" si="7"/>
        <v>113-905</v>
      </c>
      <c r="C504" t="s">
        <v>1479</v>
      </c>
      <c r="D504" s="2043">
        <v>500</v>
      </c>
      <c r="E504" s="2043">
        <v>489</v>
      </c>
      <c r="F504" s="2043">
        <v>-11</v>
      </c>
      <c r="G504" s="2043">
        <v>0</v>
      </c>
      <c r="H504" s="2043">
        <v>0</v>
      </c>
      <c r="I504" s="106">
        <v>0</v>
      </c>
      <c r="J504" s="41" t="s">
        <v>10797</v>
      </c>
      <c r="K504" s="2043">
        <v>0</v>
      </c>
      <c r="L504" s="2043">
        <v>0</v>
      </c>
    </row>
    <row r="505" spans="1:12" ht="14.5">
      <c r="A505" t="s">
        <v>5109</v>
      </c>
      <c r="B505" s="380" t="str">
        <f t="shared" si="7"/>
        <v>119-901</v>
      </c>
      <c r="C505" t="s">
        <v>2323</v>
      </c>
      <c r="D505" s="2043">
        <v>263</v>
      </c>
      <c r="E505" s="2043">
        <v>252</v>
      </c>
      <c r="F505" s="2043">
        <v>-11</v>
      </c>
      <c r="G505" s="2043">
        <v>0</v>
      </c>
      <c r="H505" s="2043">
        <v>0</v>
      </c>
      <c r="I505" s="106">
        <v>0</v>
      </c>
      <c r="J505" s="41" t="s">
        <v>10797</v>
      </c>
      <c r="K505" s="2043">
        <v>0</v>
      </c>
      <c r="L505" s="2043">
        <v>0</v>
      </c>
    </row>
    <row r="506" spans="1:12" ht="14.5">
      <c r="A506" t="s">
        <v>5852</v>
      </c>
      <c r="B506" s="380" t="str">
        <f t="shared" si="7"/>
        <v>166-902</v>
      </c>
      <c r="C506" t="s">
        <v>1661</v>
      </c>
      <c r="D506" s="2043">
        <v>174</v>
      </c>
      <c r="E506" s="2043">
        <v>163</v>
      </c>
      <c r="F506" s="2043">
        <v>-11</v>
      </c>
      <c r="G506" s="2043">
        <v>0</v>
      </c>
      <c r="H506" s="2043">
        <v>0</v>
      </c>
      <c r="I506" s="106">
        <v>0</v>
      </c>
      <c r="J506" s="41" t="s">
        <v>10797</v>
      </c>
      <c r="K506" s="2043">
        <v>0</v>
      </c>
      <c r="L506" s="2043">
        <v>0</v>
      </c>
    </row>
    <row r="507" spans="1:12" ht="14.5">
      <c r="A507" t="s">
        <v>3169</v>
      </c>
      <c r="B507" s="380" t="str">
        <f t="shared" si="7"/>
        <v>183-904</v>
      </c>
      <c r="C507" t="s">
        <v>430</v>
      </c>
      <c r="D507" s="2043">
        <v>498</v>
      </c>
      <c r="E507" s="2043">
        <v>487</v>
      </c>
      <c r="F507" s="2043">
        <v>-11</v>
      </c>
      <c r="G507" s="2043">
        <v>0</v>
      </c>
      <c r="H507" s="2043">
        <v>0</v>
      </c>
      <c r="I507" s="106">
        <v>0</v>
      </c>
      <c r="J507" s="41" t="s">
        <v>10797</v>
      </c>
      <c r="K507" s="2043">
        <v>0</v>
      </c>
      <c r="L507" s="2043">
        <v>0</v>
      </c>
    </row>
    <row r="508" spans="1:12" ht="14.5">
      <c r="A508" t="s">
        <v>3197</v>
      </c>
      <c r="B508" s="380" t="str">
        <f t="shared" si="7"/>
        <v>206-901</v>
      </c>
      <c r="C508" t="s">
        <v>1319</v>
      </c>
      <c r="D508" s="2043">
        <v>742</v>
      </c>
      <c r="E508" s="2043">
        <v>731</v>
      </c>
      <c r="F508" s="2043">
        <v>-11</v>
      </c>
      <c r="G508" s="2043">
        <v>0</v>
      </c>
      <c r="H508" s="2043">
        <v>0</v>
      </c>
      <c r="I508" s="106">
        <v>0</v>
      </c>
      <c r="J508" s="41" t="s">
        <v>10797</v>
      </c>
      <c r="K508" s="2043">
        <v>0</v>
      </c>
      <c r="L508" s="2043">
        <v>0</v>
      </c>
    </row>
    <row r="509" spans="1:12" ht="14.5">
      <c r="A509" t="s">
        <v>5898</v>
      </c>
      <c r="B509" s="380" t="str">
        <f t="shared" si="7"/>
        <v>244-901</v>
      </c>
      <c r="C509" t="s">
        <v>1518</v>
      </c>
      <c r="D509" s="2043">
        <v>116</v>
      </c>
      <c r="E509" s="2043">
        <v>105</v>
      </c>
      <c r="F509" s="2043">
        <v>-11</v>
      </c>
      <c r="G509" s="2043">
        <v>0</v>
      </c>
      <c r="H509" s="2043">
        <v>0</v>
      </c>
      <c r="I509" s="106">
        <v>0</v>
      </c>
      <c r="J509" s="41" t="s">
        <v>10797</v>
      </c>
      <c r="K509" s="2043">
        <v>0</v>
      </c>
      <c r="L509" s="2043">
        <v>0</v>
      </c>
    </row>
    <row r="510" spans="1:12" ht="14.5">
      <c r="A510" t="s">
        <v>5309</v>
      </c>
      <c r="B510" s="380" t="str">
        <f t="shared" si="7"/>
        <v>248-902</v>
      </c>
      <c r="C510" t="s">
        <v>1523</v>
      </c>
      <c r="D510" s="2043">
        <v>418</v>
      </c>
      <c r="E510" s="2043">
        <v>407</v>
      </c>
      <c r="F510" s="2043">
        <v>-11</v>
      </c>
      <c r="G510" s="2043">
        <v>0</v>
      </c>
      <c r="H510" s="2043">
        <v>0</v>
      </c>
      <c r="I510" s="106">
        <v>0</v>
      </c>
      <c r="J510" s="41" t="s">
        <v>10797</v>
      </c>
      <c r="K510" s="2043">
        <v>0</v>
      </c>
      <c r="L510" s="2043">
        <v>0</v>
      </c>
    </row>
    <row r="511" spans="1:12" ht="14.5">
      <c r="A511" t="s">
        <v>5759</v>
      </c>
      <c r="B511" s="380" t="str">
        <f t="shared" si="7"/>
        <v>022-903</v>
      </c>
      <c r="C511" t="s">
        <v>1499</v>
      </c>
      <c r="D511" s="2043">
        <v>19</v>
      </c>
      <c r="E511" s="2043">
        <v>9</v>
      </c>
      <c r="F511" s="2043">
        <v>-10</v>
      </c>
      <c r="G511" s="2043">
        <v>0</v>
      </c>
      <c r="H511" s="2043">
        <v>0</v>
      </c>
      <c r="I511" s="106">
        <v>0</v>
      </c>
      <c r="J511" s="41" t="s">
        <v>10797</v>
      </c>
      <c r="K511" s="2043">
        <v>0</v>
      </c>
      <c r="L511" s="2043">
        <v>0</v>
      </c>
    </row>
    <row r="512" spans="1:12" ht="14.5">
      <c r="A512" t="s">
        <v>5058</v>
      </c>
      <c r="B512" s="380" t="str">
        <f t="shared" si="7"/>
        <v>096-905</v>
      </c>
      <c r="C512" t="s">
        <v>225</v>
      </c>
      <c r="D512" s="2043">
        <v>203</v>
      </c>
      <c r="E512" s="2043">
        <v>193</v>
      </c>
      <c r="F512" s="2043">
        <v>-10</v>
      </c>
      <c r="G512" s="2043">
        <v>0</v>
      </c>
      <c r="H512" s="2043">
        <v>0</v>
      </c>
      <c r="I512" s="106">
        <v>0</v>
      </c>
      <c r="J512" s="41" t="s">
        <v>10797</v>
      </c>
      <c r="K512" s="2043">
        <v>0</v>
      </c>
      <c r="L512" s="2043">
        <v>0</v>
      </c>
    </row>
    <row r="513" spans="1:12" ht="14.5">
      <c r="A513" t="s">
        <v>5820</v>
      </c>
      <c r="B513" s="380" t="str">
        <f t="shared" si="7"/>
        <v>113-906</v>
      </c>
      <c r="C513" t="s">
        <v>1480</v>
      </c>
      <c r="D513" s="2043">
        <v>257</v>
      </c>
      <c r="E513" s="2043">
        <v>247</v>
      </c>
      <c r="F513" s="2043">
        <v>-10</v>
      </c>
      <c r="G513" s="2043">
        <v>0</v>
      </c>
      <c r="H513" s="2043">
        <v>0</v>
      </c>
      <c r="I513" s="106">
        <v>0</v>
      </c>
      <c r="J513" s="41" t="s">
        <v>10797</v>
      </c>
      <c r="K513" s="2043">
        <v>0</v>
      </c>
      <c r="L513" s="2043">
        <v>0</v>
      </c>
    </row>
    <row r="514" spans="1:12" ht="14.5">
      <c r="A514" t="s">
        <v>5102</v>
      </c>
      <c r="B514" s="380" t="str">
        <f t="shared" si="7"/>
        <v>115-901</v>
      </c>
      <c r="C514" t="s">
        <v>1484</v>
      </c>
      <c r="D514" s="2043">
        <v>410</v>
      </c>
      <c r="E514" s="2043">
        <v>400</v>
      </c>
      <c r="F514" s="2043">
        <v>-10</v>
      </c>
      <c r="G514" s="2043">
        <v>0</v>
      </c>
      <c r="H514" s="2043">
        <v>0</v>
      </c>
      <c r="I514" s="106">
        <v>0</v>
      </c>
      <c r="J514" s="41" t="s">
        <v>10797</v>
      </c>
      <c r="K514" s="2043">
        <v>0</v>
      </c>
      <c r="L514" s="2043">
        <v>0</v>
      </c>
    </row>
    <row r="515" spans="1:12" ht="14.5">
      <c r="A515" t="s">
        <v>5826</v>
      </c>
      <c r="B515" s="380" t="str">
        <f t="shared" ref="B515:B578" si="8">CONCATENATE(LEFT(RIGHT(CONCATENATE("000",A515),6),3),"-",(RIGHT(RIGHT(CONCATENATE("000",A515),6),3)))</f>
        <v>122-902</v>
      </c>
      <c r="C515" t="s">
        <v>2171</v>
      </c>
      <c r="D515" s="2043">
        <v>46</v>
      </c>
      <c r="E515" s="2043">
        <v>36</v>
      </c>
      <c r="F515" s="2043">
        <v>-10</v>
      </c>
      <c r="G515" s="2043">
        <v>0</v>
      </c>
      <c r="H515" s="2043">
        <v>0</v>
      </c>
      <c r="I515" s="106">
        <v>0</v>
      </c>
      <c r="J515" s="41" t="s">
        <v>10797</v>
      </c>
      <c r="K515" s="2043">
        <v>0</v>
      </c>
      <c r="L515" s="2043">
        <v>0</v>
      </c>
    </row>
    <row r="516" spans="1:12" ht="14.5">
      <c r="A516" t="s">
        <v>3227</v>
      </c>
      <c r="B516" s="380" t="str">
        <f t="shared" si="8"/>
        <v>229-904</v>
      </c>
      <c r="C516" t="s">
        <v>1810</v>
      </c>
      <c r="D516" s="2043">
        <v>1273</v>
      </c>
      <c r="E516" s="2043">
        <v>1263</v>
      </c>
      <c r="F516" s="2043">
        <v>-10</v>
      </c>
      <c r="G516" s="2043">
        <v>0</v>
      </c>
      <c r="H516" s="2043">
        <v>0</v>
      </c>
      <c r="I516" s="106">
        <v>0</v>
      </c>
      <c r="J516" s="41" t="s">
        <v>10797</v>
      </c>
      <c r="K516" s="2043">
        <v>0</v>
      </c>
      <c r="L516" s="2043">
        <v>0</v>
      </c>
    </row>
    <row r="517" spans="1:12" ht="14.5">
      <c r="A517" t="s">
        <v>3275</v>
      </c>
      <c r="B517" s="380" t="str">
        <f t="shared" si="8"/>
        <v>252-903</v>
      </c>
      <c r="C517" t="s">
        <v>779</v>
      </c>
      <c r="D517" s="2043">
        <v>708</v>
      </c>
      <c r="E517" s="2043">
        <v>698</v>
      </c>
      <c r="F517" s="2043">
        <v>-10</v>
      </c>
      <c r="G517" s="2043">
        <v>0</v>
      </c>
      <c r="H517" s="2043">
        <v>0</v>
      </c>
      <c r="I517" s="106">
        <v>0</v>
      </c>
      <c r="J517" s="41" t="s">
        <v>10797</v>
      </c>
      <c r="K517" s="2043">
        <v>0</v>
      </c>
      <c r="L517" s="2043">
        <v>0</v>
      </c>
    </row>
    <row r="518" spans="1:12" ht="14.5">
      <c r="A518" t="s">
        <v>4936</v>
      </c>
      <c r="B518" s="380" t="str">
        <f t="shared" si="8"/>
        <v>017-901</v>
      </c>
      <c r="C518" t="s">
        <v>2158</v>
      </c>
      <c r="D518" s="2043">
        <v>254</v>
      </c>
      <c r="E518" s="2043">
        <v>245</v>
      </c>
      <c r="F518" s="2043">
        <v>-9</v>
      </c>
      <c r="G518" s="2043">
        <v>0</v>
      </c>
      <c r="H518" s="2043">
        <v>0</v>
      </c>
      <c r="I518" s="106">
        <v>0</v>
      </c>
      <c r="J518" s="41" t="s">
        <v>10797</v>
      </c>
      <c r="K518" s="2043">
        <v>0</v>
      </c>
      <c r="L518" s="2043">
        <v>0</v>
      </c>
    </row>
    <row r="519" spans="1:12" ht="14.5">
      <c r="A519" t="s">
        <v>2897</v>
      </c>
      <c r="B519" s="380" t="str">
        <f t="shared" si="8"/>
        <v>020-904</v>
      </c>
      <c r="C519" t="s">
        <v>2515</v>
      </c>
      <c r="D519" s="2043">
        <v>783</v>
      </c>
      <c r="E519" s="2043">
        <v>774</v>
      </c>
      <c r="F519" s="2043">
        <v>-9</v>
      </c>
      <c r="G519" s="2043">
        <v>0</v>
      </c>
      <c r="H519" s="2043">
        <v>0</v>
      </c>
      <c r="I519" s="106">
        <v>0</v>
      </c>
      <c r="J519" s="41" t="s">
        <v>10797</v>
      </c>
      <c r="K519" s="2043">
        <v>0</v>
      </c>
      <c r="L519" s="2043">
        <v>0</v>
      </c>
    </row>
    <row r="520" spans="1:12" ht="14.5">
      <c r="A520" t="s">
        <v>3089</v>
      </c>
      <c r="B520" s="380" t="str">
        <f t="shared" si="8"/>
        <v>127-905</v>
      </c>
      <c r="C520" t="s">
        <v>135</v>
      </c>
      <c r="D520" s="2043">
        <v>108</v>
      </c>
      <c r="E520" s="2043">
        <v>99</v>
      </c>
      <c r="F520" s="2043">
        <v>-9</v>
      </c>
      <c r="G520" s="2043">
        <v>0</v>
      </c>
      <c r="H520" s="2043">
        <v>0</v>
      </c>
      <c r="I520" s="106">
        <v>0</v>
      </c>
      <c r="J520" s="41" t="s">
        <v>10797</v>
      </c>
      <c r="K520" s="2043">
        <v>0</v>
      </c>
      <c r="L520" s="2043">
        <v>0</v>
      </c>
    </row>
    <row r="521" spans="1:12" ht="14.5">
      <c r="A521" t="s">
        <v>5859</v>
      </c>
      <c r="B521" s="380" t="str">
        <f t="shared" si="8"/>
        <v>174-911</v>
      </c>
      <c r="C521" t="s">
        <v>2136</v>
      </c>
      <c r="D521" s="2043">
        <v>466</v>
      </c>
      <c r="E521" s="2043">
        <v>457</v>
      </c>
      <c r="F521" s="2043">
        <v>-9</v>
      </c>
      <c r="G521" s="2043">
        <v>0</v>
      </c>
      <c r="H521" s="2043">
        <v>0</v>
      </c>
      <c r="I521" s="106">
        <v>0</v>
      </c>
      <c r="J521" s="41" t="s">
        <v>10797</v>
      </c>
      <c r="K521" s="2043">
        <v>0</v>
      </c>
      <c r="L521" s="2043">
        <v>0</v>
      </c>
    </row>
    <row r="522" spans="1:12" ht="14.5">
      <c r="A522" t="s">
        <v>5252</v>
      </c>
      <c r="B522" s="380" t="str">
        <f t="shared" si="8"/>
        <v>210-902</v>
      </c>
      <c r="C522" t="s">
        <v>1680</v>
      </c>
      <c r="D522" s="2043">
        <v>691</v>
      </c>
      <c r="E522" s="2043">
        <v>682</v>
      </c>
      <c r="F522" s="2043">
        <v>-9</v>
      </c>
      <c r="G522" s="2043">
        <v>0</v>
      </c>
      <c r="H522" s="2043">
        <v>0</v>
      </c>
      <c r="I522" s="106">
        <v>0</v>
      </c>
      <c r="J522" s="41" t="s">
        <v>10797</v>
      </c>
      <c r="K522" s="2043">
        <v>0</v>
      </c>
      <c r="L522" s="2043">
        <v>0</v>
      </c>
    </row>
    <row r="523" spans="1:12" ht="14.5">
      <c r="A523" t="s">
        <v>2905</v>
      </c>
      <c r="B523" s="380" t="str">
        <f t="shared" si="8"/>
        <v>025-906</v>
      </c>
      <c r="C523" t="s">
        <v>2528</v>
      </c>
      <c r="D523" s="2043">
        <v>220</v>
      </c>
      <c r="E523" s="2043">
        <v>212</v>
      </c>
      <c r="F523" s="2043">
        <v>-8</v>
      </c>
      <c r="G523" s="2043">
        <v>0</v>
      </c>
      <c r="H523" s="2043">
        <v>0</v>
      </c>
      <c r="I523" s="106">
        <v>0</v>
      </c>
      <c r="J523" s="41" t="s">
        <v>10797</v>
      </c>
      <c r="K523" s="2043">
        <v>0</v>
      </c>
      <c r="L523" s="2043">
        <v>0</v>
      </c>
    </row>
    <row r="524" spans="1:12" ht="14.5">
      <c r="A524" t="s">
        <v>4979</v>
      </c>
      <c r="B524" s="380" t="str">
        <f t="shared" si="8"/>
        <v>049-905</v>
      </c>
      <c r="C524" t="s">
        <v>2090</v>
      </c>
      <c r="D524" s="2043">
        <v>1148</v>
      </c>
      <c r="E524" s="2043">
        <v>1140</v>
      </c>
      <c r="F524" s="2043">
        <v>-8</v>
      </c>
      <c r="G524" s="2043">
        <v>0</v>
      </c>
      <c r="H524" s="2043">
        <v>0</v>
      </c>
      <c r="I524" s="106">
        <v>0</v>
      </c>
      <c r="J524" s="41" t="s">
        <v>10797</v>
      </c>
      <c r="K524" s="2043">
        <v>0</v>
      </c>
      <c r="L524" s="2043">
        <v>0</v>
      </c>
    </row>
    <row r="525" spans="1:12" ht="14.5">
      <c r="A525" t="s">
        <v>2990</v>
      </c>
      <c r="B525" s="380" t="str">
        <f t="shared" si="8"/>
        <v>074-905</v>
      </c>
      <c r="C525" t="s">
        <v>1009</v>
      </c>
      <c r="D525" s="2043">
        <v>242</v>
      </c>
      <c r="E525" s="2043">
        <v>234</v>
      </c>
      <c r="F525" s="2043">
        <v>-8</v>
      </c>
      <c r="G525" s="2043">
        <v>0</v>
      </c>
      <c r="H525" s="2043">
        <v>0</v>
      </c>
      <c r="I525" s="106">
        <v>0</v>
      </c>
      <c r="J525" s="41" t="s">
        <v>10797</v>
      </c>
      <c r="K525" s="2043">
        <v>0</v>
      </c>
      <c r="L525" s="2043">
        <v>0</v>
      </c>
    </row>
    <row r="526" spans="1:12" ht="14.5">
      <c r="A526" t="s">
        <v>2993</v>
      </c>
      <c r="B526" s="380" t="str">
        <f t="shared" si="8"/>
        <v>074-917</v>
      </c>
      <c r="C526" t="s">
        <v>1913</v>
      </c>
      <c r="D526" s="2043">
        <v>526</v>
      </c>
      <c r="E526" s="2043">
        <v>518</v>
      </c>
      <c r="F526" s="2043">
        <v>-8</v>
      </c>
      <c r="G526" s="2043">
        <v>0</v>
      </c>
      <c r="H526" s="2043">
        <v>0</v>
      </c>
      <c r="I526" s="106">
        <v>0</v>
      </c>
      <c r="J526" s="41" t="s">
        <v>10797</v>
      </c>
      <c r="K526" s="2043">
        <v>0</v>
      </c>
      <c r="L526" s="2043">
        <v>0</v>
      </c>
    </row>
    <row r="527" spans="1:12" ht="14.5">
      <c r="A527" t="s">
        <v>3032</v>
      </c>
      <c r="B527" s="380" t="str">
        <f t="shared" si="8"/>
        <v>107-907</v>
      </c>
      <c r="C527" t="s">
        <v>570</v>
      </c>
      <c r="D527" s="2043">
        <v>162</v>
      </c>
      <c r="E527" s="2043">
        <v>154</v>
      </c>
      <c r="F527" s="2043">
        <v>-8</v>
      </c>
      <c r="G527" s="2043">
        <v>0</v>
      </c>
      <c r="H527" s="2043">
        <v>0</v>
      </c>
      <c r="I527" s="106">
        <v>0</v>
      </c>
      <c r="J527" s="41" t="s">
        <v>10797</v>
      </c>
      <c r="K527" s="2043">
        <v>0</v>
      </c>
      <c r="L527" s="2043">
        <v>0</v>
      </c>
    </row>
    <row r="528" spans="1:12" ht="14.5">
      <c r="A528" t="s">
        <v>5878</v>
      </c>
      <c r="B528" s="380" t="str">
        <f t="shared" si="8"/>
        <v>209-901</v>
      </c>
      <c r="C528" t="s">
        <v>343</v>
      </c>
      <c r="D528" s="2043">
        <v>518</v>
      </c>
      <c r="E528" s="2043">
        <v>510</v>
      </c>
      <c r="F528" s="2043">
        <v>-8</v>
      </c>
      <c r="G528" s="2043">
        <v>0</v>
      </c>
      <c r="H528" s="2043">
        <v>0</v>
      </c>
      <c r="I528" s="106">
        <v>0</v>
      </c>
      <c r="J528" s="41" t="s">
        <v>10797</v>
      </c>
      <c r="K528" s="2043">
        <v>0</v>
      </c>
      <c r="L528" s="2043">
        <v>0</v>
      </c>
    </row>
    <row r="529" spans="1:12" ht="14.5">
      <c r="A529" t="s">
        <v>4999</v>
      </c>
      <c r="B529" s="380" t="str">
        <f t="shared" si="8"/>
        <v>062-902</v>
      </c>
      <c r="C529" t="s">
        <v>2476</v>
      </c>
      <c r="D529" s="2043">
        <v>156</v>
      </c>
      <c r="E529" s="2043">
        <v>149</v>
      </c>
      <c r="F529" s="2043">
        <v>-7</v>
      </c>
      <c r="G529" s="2043">
        <v>0</v>
      </c>
      <c r="H529" s="2043">
        <v>0</v>
      </c>
      <c r="I529" s="106">
        <v>0</v>
      </c>
      <c r="J529" s="41" t="s">
        <v>10797</v>
      </c>
      <c r="K529" s="2043">
        <v>0</v>
      </c>
      <c r="L529" s="2043">
        <v>0</v>
      </c>
    </row>
    <row r="530" spans="1:12" ht="14.5">
      <c r="A530" t="s">
        <v>5140</v>
      </c>
      <c r="B530" s="380" t="str">
        <f t="shared" si="8"/>
        <v>143-906</v>
      </c>
      <c r="C530" t="s">
        <v>901</v>
      </c>
      <c r="D530" s="2043">
        <v>102</v>
      </c>
      <c r="E530" s="2043">
        <v>95</v>
      </c>
      <c r="F530" s="2043">
        <v>-7</v>
      </c>
      <c r="G530" s="2043">
        <v>0</v>
      </c>
      <c r="H530" s="2043">
        <v>0</v>
      </c>
      <c r="I530" s="106">
        <v>0</v>
      </c>
      <c r="J530" s="41" t="s">
        <v>10797</v>
      </c>
      <c r="K530" s="2043">
        <v>0</v>
      </c>
      <c r="L530" s="2043">
        <v>0</v>
      </c>
    </row>
    <row r="531" spans="1:12" ht="14.5">
      <c r="A531" t="s">
        <v>5750</v>
      </c>
      <c r="B531" s="380" t="str">
        <f t="shared" si="8"/>
        <v>007-902</v>
      </c>
      <c r="C531" t="s">
        <v>1128</v>
      </c>
      <c r="D531" s="2043">
        <v>1576</v>
      </c>
      <c r="E531" s="2043">
        <v>1570</v>
      </c>
      <c r="F531" s="2043">
        <v>-6</v>
      </c>
      <c r="G531" s="2043">
        <v>0</v>
      </c>
      <c r="H531" s="2043">
        <v>0</v>
      </c>
      <c r="I531" s="106">
        <v>0</v>
      </c>
      <c r="J531" s="41" t="s">
        <v>10797</v>
      </c>
      <c r="K531" s="2043">
        <v>0</v>
      </c>
      <c r="L531" s="2043">
        <v>0</v>
      </c>
    </row>
    <row r="532" spans="1:12" ht="14.5">
      <c r="A532" t="s">
        <v>3657</v>
      </c>
      <c r="B532" s="380" t="str">
        <f t="shared" si="8"/>
        <v>037-908</v>
      </c>
      <c r="C532" t="s">
        <v>1073</v>
      </c>
      <c r="D532" s="2043">
        <v>544</v>
      </c>
      <c r="E532" s="2043">
        <v>538</v>
      </c>
      <c r="F532" s="2043">
        <v>-6</v>
      </c>
      <c r="G532" s="2043">
        <v>0</v>
      </c>
      <c r="H532" s="2043">
        <v>0</v>
      </c>
      <c r="I532" s="106">
        <v>0</v>
      </c>
      <c r="J532" s="41" t="s">
        <v>10797</v>
      </c>
      <c r="K532" s="2043">
        <v>0</v>
      </c>
      <c r="L532" s="2043">
        <v>0</v>
      </c>
    </row>
    <row r="533" spans="1:12" ht="14.5">
      <c r="A533" t="s">
        <v>5040</v>
      </c>
      <c r="B533" s="380" t="str">
        <f t="shared" si="8"/>
        <v>089-905</v>
      </c>
      <c r="C533" t="s">
        <v>1356</v>
      </c>
      <c r="D533" s="2043">
        <v>311</v>
      </c>
      <c r="E533" s="2043">
        <v>305</v>
      </c>
      <c r="F533" s="2043">
        <v>-6</v>
      </c>
      <c r="G533" s="2043">
        <v>0</v>
      </c>
      <c r="H533" s="2043">
        <v>0</v>
      </c>
      <c r="I533" s="106">
        <v>0</v>
      </c>
      <c r="J533" s="41" t="s">
        <v>10797</v>
      </c>
      <c r="K533" s="2043">
        <v>0</v>
      </c>
      <c r="L533" s="2043">
        <v>0</v>
      </c>
    </row>
    <row r="534" spans="1:12" ht="14.5">
      <c r="A534" t="s">
        <v>4937</v>
      </c>
      <c r="B534" s="380" t="str">
        <f t="shared" si="8"/>
        <v>018-906</v>
      </c>
      <c r="C534" t="s">
        <v>2538</v>
      </c>
      <c r="D534" s="2043">
        <v>140</v>
      </c>
      <c r="E534" s="2043">
        <v>135</v>
      </c>
      <c r="F534" s="2043">
        <v>-5</v>
      </c>
      <c r="G534" s="2043">
        <v>0</v>
      </c>
      <c r="H534" s="2043">
        <v>0</v>
      </c>
      <c r="I534" s="106">
        <v>0</v>
      </c>
      <c r="J534" s="41" t="s">
        <v>10797</v>
      </c>
      <c r="K534" s="2043">
        <v>0</v>
      </c>
      <c r="L534" s="2043">
        <v>0</v>
      </c>
    </row>
    <row r="535" spans="1:12" ht="14.5">
      <c r="A535" t="s">
        <v>2911</v>
      </c>
      <c r="B535" s="380" t="str">
        <f t="shared" si="8"/>
        <v>028-903</v>
      </c>
      <c r="C535" t="s">
        <v>792</v>
      </c>
      <c r="D535" s="2043">
        <v>1445</v>
      </c>
      <c r="E535" s="2043">
        <v>1440</v>
      </c>
      <c r="F535" s="2043">
        <v>-5</v>
      </c>
      <c r="G535" s="2043">
        <v>0</v>
      </c>
      <c r="H535" s="2043">
        <v>0</v>
      </c>
      <c r="I535" s="106">
        <v>0</v>
      </c>
      <c r="J535" s="41" t="s">
        <v>10797</v>
      </c>
      <c r="K535" s="2043">
        <v>0</v>
      </c>
      <c r="L535" s="2043">
        <v>0</v>
      </c>
    </row>
    <row r="536" spans="1:12" ht="14.5">
      <c r="A536" t="s">
        <v>4957</v>
      </c>
      <c r="B536" s="380" t="str">
        <f t="shared" si="8"/>
        <v>033-901</v>
      </c>
      <c r="C536" t="s">
        <v>1514</v>
      </c>
      <c r="D536" s="2043">
        <v>148</v>
      </c>
      <c r="E536" s="2043">
        <v>143</v>
      </c>
      <c r="F536" s="2043">
        <v>-5</v>
      </c>
      <c r="G536" s="2043">
        <v>0</v>
      </c>
      <c r="H536" s="2043">
        <v>0</v>
      </c>
      <c r="I536" s="106">
        <v>0</v>
      </c>
      <c r="J536" s="41" t="s">
        <v>10797</v>
      </c>
      <c r="K536" s="2043">
        <v>0</v>
      </c>
      <c r="L536" s="2043">
        <v>0</v>
      </c>
    </row>
    <row r="537" spans="1:12" ht="14.5">
      <c r="A537" t="s">
        <v>5821</v>
      </c>
      <c r="B537" s="380" t="str">
        <f t="shared" si="8"/>
        <v>115-902</v>
      </c>
      <c r="C537" t="s">
        <v>1485</v>
      </c>
      <c r="D537" s="2043">
        <v>123</v>
      </c>
      <c r="E537" s="2043">
        <v>118</v>
      </c>
      <c r="F537" s="2043">
        <v>-5</v>
      </c>
      <c r="G537" s="2043">
        <v>0</v>
      </c>
      <c r="H537" s="2043">
        <v>0</v>
      </c>
      <c r="I537" s="106">
        <v>0</v>
      </c>
      <c r="J537" s="41" t="s">
        <v>10797</v>
      </c>
      <c r="K537" s="2043">
        <v>0</v>
      </c>
      <c r="L537" s="2043">
        <v>0</v>
      </c>
    </row>
    <row r="538" spans="1:12" ht="14.5">
      <c r="A538" t="s">
        <v>3067</v>
      </c>
      <c r="B538" s="380" t="str">
        <f t="shared" si="8"/>
        <v>116-906</v>
      </c>
      <c r="C538" t="s">
        <v>2006</v>
      </c>
      <c r="D538" s="2043">
        <v>1032</v>
      </c>
      <c r="E538" s="2043">
        <v>1027</v>
      </c>
      <c r="F538" s="2043">
        <v>-5</v>
      </c>
      <c r="G538" s="2043">
        <v>0</v>
      </c>
      <c r="H538" s="2043">
        <v>0</v>
      </c>
      <c r="I538" s="106">
        <v>0</v>
      </c>
      <c r="J538" s="41" t="s">
        <v>10797</v>
      </c>
      <c r="K538" s="2043">
        <v>0</v>
      </c>
      <c r="L538" s="2043">
        <v>0</v>
      </c>
    </row>
    <row r="539" spans="1:12" ht="14.5">
      <c r="A539" t="s">
        <v>5207</v>
      </c>
      <c r="B539" s="380" t="str">
        <f t="shared" si="8"/>
        <v>180-902</v>
      </c>
      <c r="C539" t="s">
        <v>307</v>
      </c>
      <c r="D539" s="2043">
        <v>375</v>
      </c>
      <c r="E539" s="2043">
        <v>370</v>
      </c>
      <c r="F539" s="2043">
        <v>-5</v>
      </c>
      <c r="G539" s="2043">
        <v>0</v>
      </c>
      <c r="H539" s="2043">
        <v>0</v>
      </c>
      <c r="I539" s="106">
        <v>0</v>
      </c>
      <c r="J539" s="41" t="s">
        <v>10797</v>
      </c>
      <c r="K539" s="2043">
        <v>0</v>
      </c>
      <c r="L539" s="2043">
        <v>0</v>
      </c>
    </row>
    <row r="540" spans="1:12" ht="14.5">
      <c r="A540" t="s">
        <v>5879</v>
      </c>
      <c r="B540" s="380" t="str">
        <f t="shared" si="8"/>
        <v>209-902</v>
      </c>
      <c r="C540" t="s">
        <v>344</v>
      </c>
      <c r="D540" s="2043">
        <v>119</v>
      </c>
      <c r="E540" s="2043">
        <v>114</v>
      </c>
      <c r="F540" s="2043">
        <v>-5</v>
      </c>
      <c r="G540" s="2043">
        <v>0</v>
      </c>
      <c r="H540" s="2043">
        <v>0</v>
      </c>
      <c r="I540" s="106">
        <v>0</v>
      </c>
      <c r="J540" s="41" t="s">
        <v>10797</v>
      </c>
      <c r="K540" s="2043">
        <v>0</v>
      </c>
      <c r="L540" s="2043">
        <v>0</v>
      </c>
    </row>
    <row r="541" spans="1:12" ht="14.5">
      <c r="A541" t="s">
        <v>5893</v>
      </c>
      <c r="B541" s="380" t="str">
        <f t="shared" si="8"/>
        <v>232-904</v>
      </c>
      <c r="C541" t="s">
        <v>585</v>
      </c>
      <c r="D541" s="2043">
        <v>218</v>
      </c>
      <c r="E541" s="2043">
        <v>213</v>
      </c>
      <c r="F541" s="2043">
        <v>-5</v>
      </c>
      <c r="G541" s="2043">
        <v>0</v>
      </c>
      <c r="H541" s="2043">
        <v>0</v>
      </c>
      <c r="I541" s="106">
        <v>0</v>
      </c>
      <c r="J541" s="41" t="s">
        <v>10797</v>
      </c>
      <c r="K541" s="2043">
        <v>0</v>
      </c>
      <c r="L541" s="2043">
        <v>0</v>
      </c>
    </row>
    <row r="542" spans="1:12" ht="14.5">
      <c r="A542" t="s">
        <v>5748</v>
      </c>
      <c r="B542" s="380" t="str">
        <f t="shared" si="8"/>
        <v>001-902</v>
      </c>
      <c r="C542" t="s">
        <v>265</v>
      </c>
      <c r="D542" s="2043">
        <v>580</v>
      </c>
      <c r="E542" s="2043">
        <v>576</v>
      </c>
      <c r="F542" s="2043">
        <v>-4</v>
      </c>
      <c r="G542" s="2043">
        <v>0</v>
      </c>
      <c r="H542" s="2043">
        <v>0</v>
      </c>
      <c r="I542" s="106">
        <v>0</v>
      </c>
      <c r="J542" s="41" t="s">
        <v>10797</v>
      </c>
      <c r="K542" s="2043">
        <v>0</v>
      </c>
      <c r="L542" s="2043">
        <v>0</v>
      </c>
    </row>
    <row r="543" spans="1:12" ht="14.5">
      <c r="A543" t="s">
        <v>2890</v>
      </c>
      <c r="B543" s="380" t="str">
        <f t="shared" si="8"/>
        <v>018-904</v>
      </c>
      <c r="C543" t="s">
        <v>2537</v>
      </c>
      <c r="D543" s="2043">
        <v>624</v>
      </c>
      <c r="E543" s="2043">
        <v>620</v>
      </c>
      <c r="F543" s="2043">
        <v>-4</v>
      </c>
      <c r="G543" s="2043">
        <v>0</v>
      </c>
      <c r="H543" s="2043">
        <v>0</v>
      </c>
      <c r="I543" s="106">
        <v>0</v>
      </c>
      <c r="J543" s="41" t="s">
        <v>10797</v>
      </c>
      <c r="K543" s="2043">
        <v>0</v>
      </c>
      <c r="L543" s="2043">
        <v>0</v>
      </c>
    </row>
    <row r="544" spans="1:12" ht="14.5">
      <c r="A544" t="s">
        <v>5754</v>
      </c>
      <c r="B544" s="380" t="str">
        <f t="shared" si="8"/>
        <v>018-908</v>
      </c>
      <c r="C544" t="s">
        <v>2540</v>
      </c>
      <c r="D544" s="2043">
        <v>136</v>
      </c>
      <c r="E544" s="2043">
        <v>132</v>
      </c>
      <c r="F544" s="2043">
        <v>-4</v>
      </c>
      <c r="G544" s="2043">
        <v>0</v>
      </c>
      <c r="H544" s="2043">
        <v>0</v>
      </c>
      <c r="I544" s="106">
        <v>0</v>
      </c>
      <c r="J544" s="41" t="s">
        <v>10797</v>
      </c>
      <c r="K544" s="2043">
        <v>0</v>
      </c>
      <c r="L544" s="2043">
        <v>0</v>
      </c>
    </row>
    <row r="545" spans="1:12" ht="14.5">
      <c r="A545" t="s">
        <v>2892</v>
      </c>
      <c r="B545" s="380" t="str">
        <f t="shared" si="8"/>
        <v>019-903</v>
      </c>
      <c r="C545" t="s">
        <v>1954</v>
      </c>
      <c r="D545" s="2043">
        <v>478</v>
      </c>
      <c r="E545" s="2043">
        <v>474</v>
      </c>
      <c r="F545" s="2043">
        <v>-4</v>
      </c>
      <c r="G545" s="2043">
        <v>0</v>
      </c>
      <c r="H545" s="2043">
        <v>0</v>
      </c>
      <c r="I545" s="106">
        <v>0</v>
      </c>
      <c r="J545" s="41" t="s">
        <v>10797</v>
      </c>
      <c r="K545" s="2043">
        <v>0</v>
      </c>
      <c r="L545" s="2043">
        <v>0</v>
      </c>
    </row>
    <row r="546" spans="1:12" ht="14.5">
      <c r="A546" t="s">
        <v>5756</v>
      </c>
      <c r="B546" s="380" t="str">
        <f t="shared" si="8"/>
        <v>019-914</v>
      </c>
      <c r="C546" t="s">
        <v>2349</v>
      </c>
      <c r="D546" s="2043">
        <v>109</v>
      </c>
      <c r="E546" s="2043">
        <v>105</v>
      </c>
      <c r="F546" s="2043">
        <v>-4</v>
      </c>
      <c r="G546" s="2043">
        <v>0</v>
      </c>
      <c r="H546" s="2043">
        <v>0</v>
      </c>
      <c r="I546" s="106">
        <v>0</v>
      </c>
      <c r="J546" s="41" t="s">
        <v>10797</v>
      </c>
      <c r="K546" s="2043">
        <v>0</v>
      </c>
      <c r="L546" s="2043">
        <v>0</v>
      </c>
    </row>
    <row r="547" spans="1:12" ht="14.5">
      <c r="A547" t="s">
        <v>4977</v>
      </c>
      <c r="B547" s="380" t="str">
        <f t="shared" si="8"/>
        <v>048-903</v>
      </c>
      <c r="C547" t="s">
        <v>2088</v>
      </c>
      <c r="D547" s="2043">
        <v>230</v>
      </c>
      <c r="E547" s="2043">
        <v>226</v>
      </c>
      <c r="F547" s="2043">
        <v>-4</v>
      </c>
      <c r="G547" s="2043">
        <v>0</v>
      </c>
      <c r="H547" s="2043">
        <v>0</v>
      </c>
      <c r="I547" s="106">
        <v>0</v>
      </c>
      <c r="J547" s="41" t="s">
        <v>10797</v>
      </c>
      <c r="K547" s="2043">
        <v>0</v>
      </c>
      <c r="L547" s="2043">
        <v>0</v>
      </c>
    </row>
    <row r="548" spans="1:12" ht="14.5">
      <c r="A548" t="s">
        <v>2994</v>
      </c>
      <c r="B548" s="380" t="str">
        <f t="shared" si="8"/>
        <v>076-904</v>
      </c>
      <c r="C548" t="s">
        <v>573</v>
      </c>
      <c r="D548" s="2043">
        <v>246</v>
      </c>
      <c r="E548" s="2043">
        <v>242</v>
      </c>
      <c r="F548" s="2043">
        <v>-4</v>
      </c>
      <c r="G548" s="2043">
        <v>0</v>
      </c>
      <c r="H548" s="2043">
        <v>0</v>
      </c>
      <c r="I548" s="106">
        <v>0</v>
      </c>
      <c r="J548" s="41" t="s">
        <v>10797</v>
      </c>
      <c r="K548" s="2043">
        <v>0</v>
      </c>
      <c r="L548" s="2043">
        <v>0</v>
      </c>
    </row>
    <row r="549" spans="1:12" ht="14.5">
      <c r="A549" t="s">
        <v>5033</v>
      </c>
      <c r="B549" s="380" t="str">
        <f t="shared" si="8"/>
        <v>084-908</v>
      </c>
      <c r="C549" t="s">
        <v>349</v>
      </c>
      <c r="D549" s="2043">
        <v>1721</v>
      </c>
      <c r="E549" s="2043">
        <v>1717</v>
      </c>
      <c r="F549" s="2043">
        <v>-4</v>
      </c>
      <c r="G549" s="2043">
        <v>0</v>
      </c>
      <c r="H549" s="2043">
        <v>0</v>
      </c>
      <c r="I549" s="106">
        <v>0</v>
      </c>
      <c r="J549" s="41" t="s">
        <v>10797</v>
      </c>
      <c r="K549" s="2043">
        <v>0</v>
      </c>
      <c r="L549" s="2043">
        <v>0</v>
      </c>
    </row>
    <row r="550" spans="1:12" ht="14.5">
      <c r="A550" t="s">
        <v>5039</v>
      </c>
      <c r="B550" s="380" t="str">
        <f t="shared" si="8"/>
        <v>089-903</v>
      </c>
      <c r="C550" t="s">
        <v>984</v>
      </c>
      <c r="D550" s="2043">
        <v>1069</v>
      </c>
      <c r="E550" s="2043">
        <v>1065</v>
      </c>
      <c r="F550" s="2043">
        <v>-4</v>
      </c>
      <c r="G550" s="2043">
        <v>0</v>
      </c>
      <c r="H550" s="2043">
        <v>0</v>
      </c>
      <c r="I550" s="106">
        <v>0</v>
      </c>
      <c r="J550" s="41" t="s">
        <v>10797</v>
      </c>
      <c r="K550" s="2043">
        <v>0</v>
      </c>
      <c r="L550" s="2043">
        <v>0</v>
      </c>
    </row>
    <row r="551" spans="1:12" ht="14.5">
      <c r="A551" t="s">
        <v>5812</v>
      </c>
      <c r="B551" s="380" t="str">
        <f t="shared" si="8"/>
        <v>102-901</v>
      </c>
      <c r="C551" t="s">
        <v>2070</v>
      </c>
      <c r="D551" s="2043">
        <v>138</v>
      </c>
      <c r="E551" s="2043">
        <v>134</v>
      </c>
      <c r="F551" s="2043">
        <v>-4</v>
      </c>
      <c r="G551" s="2043">
        <v>0</v>
      </c>
      <c r="H551" s="2043">
        <v>0</v>
      </c>
      <c r="I551" s="106">
        <v>0</v>
      </c>
      <c r="J551" s="41" t="s">
        <v>10797</v>
      </c>
      <c r="K551" s="2043">
        <v>0</v>
      </c>
      <c r="L551" s="2043">
        <v>0</v>
      </c>
    </row>
    <row r="552" spans="1:12" ht="14.5">
      <c r="A552" t="s">
        <v>5088</v>
      </c>
      <c r="B552" s="380" t="str">
        <f t="shared" si="8"/>
        <v>107-904</v>
      </c>
      <c r="C552" t="s">
        <v>1275</v>
      </c>
      <c r="D552" s="2043">
        <v>542</v>
      </c>
      <c r="E552" s="2043">
        <v>538</v>
      </c>
      <c r="F552" s="2043">
        <v>-4</v>
      </c>
      <c r="G552" s="2043">
        <v>0</v>
      </c>
      <c r="H552" s="2043">
        <v>0</v>
      </c>
      <c r="I552" s="106">
        <v>0</v>
      </c>
      <c r="J552" s="41" t="s">
        <v>10797</v>
      </c>
      <c r="K552" s="2043">
        <v>0</v>
      </c>
      <c r="L552" s="2043">
        <v>0</v>
      </c>
    </row>
    <row r="553" spans="1:12" ht="14.5">
      <c r="A553" t="s">
        <v>5818</v>
      </c>
      <c r="B553" s="380" t="str">
        <f t="shared" si="8"/>
        <v>112-909</v>
      </c>
      <c r="C553" t="s">
        <v>596</v>
      </c>
      <c r="D553" s="2043">
        <v>248</v>
      </c>
      <c r="E553" s="2043">
        <v>244</v>
      </c>
      <c r="F553" s="2043">
        <v>-4</v>
      </c>
      <c r="G553" s="2043">
        <v>0</v>
      </c>
      <c r="H553" s="2043">
        <v>0</v>
      </c>
      <c r="I553" s="106">
        <v>0</v>
      </c>
      <c r="J553" s="41" t="s">
        <v>10797</v>
      </c>
      <c r="K553" s="2043">
        <v>0</v>
      </c>
      <c r="L553" s="2043">
        <v>0</v>
      </c>
    </row>
    <row r="554" spans="1:12" ht="14.5">
      <c r="A554" t="s">
        <v>5823</v>
      </c>
      <c r="B554" s="380" t="str">
        <f t="shared" si="8"/>
        <v>117-907</v>
      </c>
      <c r="C554" t="s">
        <v>2384</v>
      </c>
      <c r="D554" s="2043">
        <v>103</v>
      </c>
      <c r="E554" s="2043">
        <v>99</v>
      </c>
      <c r="F554" s="2043">
        <v>-4</v>
      </c>
      <c r="G554" s="2043">
        <v>0</v>
      </c>
      <c r="H554" s="2043">
        <v>0</v>
      </c>
      <c r="I554" s="106">
        <v>0</v>
      </c>
      <c r="J554" s="41" t="s">
        <v>10797</v>
      </c>
      <c r="K554" s="2043">
        <v>0</v>
      </c>
      <c r="L554" s="2043">
        <v>0</v>
      </c>
    </row>
    <row r="555" spans="1:12" ht="14.5">
      <c r="A555" t="s">
        <v>5189</v>
      </c>
      <c r="B555" s="380" t="str">
        <f t="shared" si="8"/>
        <v>174-902</v>
      </c>
      <c r="C555" t="s">
        <v>2132</v>
      </c>
      <c r="D555" s="2043">
        <v>560</v>
      </c>
      <c r="E555" s="2043">
        <v>556</v>
      </c>
      <c r="F555" s="2043">
        <v>-4</v>
      </c>
      <c r="G555" s="2043">
        <v>0</v>
      </c>
      <c r="H555" s="2043">
        <v>0</v>
      </c>
      <c r="I555" s="106">
        <v>0</v>
      </c>
      <c r="J555" s="41" t="s">
        <v>10797</v>
      </c>
      <c r="K555" s="2043">
        <v>0</v>
      </c>
      <c r="L555" s="2043">
        <v>0</v>
      </c>
    </row>
    <row r="556" spans="1:12" ht="14.5">
      <c r="A556" t="s">
        <v>4942</v>
      </c>
      <c r="B556" s="380" t="str">
        <f t="shared" si="8"/>
        <v>019-911</v>
      </c>
      <c r="C556" t="s">
        <v>2347</v>
      </c>
      <c r="D556" s="2043">
        <v>504</v>
      </c>
      <c r="E556" s="2043">
        <v>501</v>
      </c>
      <c r="F556" s="2043">
        <v>-3</v>
      </c>
      <c r="G556" s="2043">
        <v>0</v>
      </c>
      <c r="H556" s="2043">
        <v>0</v>
      </c>
      <c r="I556" s="106">
        <v>0</v>
      </c>
      <c r="J556" s="41" t="s">
        <v>10797</v>
      </c>
      <c r="K556" s="2043">
        <v>0</v>
      </c>
      <c r="L556" s="2043">
        <v>0</v>
      </c>
    </row>
    <row r="557" spans="1:12" ht="14.5">
      <c r="A557" t="s">
        <v>5176</v>
      </c>
      <c r="B557" s="380" t="str">
        <f t="shared" si="8"/>
        <v>166-903</v>
      </c>
      <c r="C557" t="s">
        <v>1662</v>
      </c>
      <c r="D557" s="2043">
        <v>412</v>
      </c>
      <c r="E557" s="2043">
        <v>409</v>
      </c>
      <c r="F557" s="2043">
        <v>-3</v>
      </c>
      <c r="G557" s="2043">
        <v>0</v>
      </c>
      <c r="H557" s="2043">
        <v>0</v>
      </c>
      <c r="I557" s="106">
        <v>0</v>
      </c>
      <c r="J557" s="41" t="s">
        <v>10797</v>
      </c>
      <c r="K557" s="2043">
        <v>0</v>
      </c>
      <c r="L557" s="2043">
        <v>0</v>
      </c>
    </row>
    <row r="558" spans="1:12" ht="14.5">
      <c r="A558" t="s">
        <v>5857</v>
      </c>
      <c r="B558" s="380" t="str">
        <f t="shared" si="8"/>
        <v>169-909</v>
      </c>
      <c r="C558" t="s">
        <v>2123</v>
      </c>
      <c r="D558" s="2043">
        <v>150</v>
      </c>
      <c r="E558" s="2043">
        <v>147</v>
      </c>
      <c r="F558" s="2043">
        <v>-3</v>
      </c>
      <c r="G558" s="2043">
        <v>0</v>
      </c>
      <c r="H558" s="2043">
        <v>0</v>
      </c>
      <c r="I558" s="106">
        <v>0</v>
      </c>
      <c r="J558" s="41" t="s">
        <v>10797</v>
      </c>
      <c r="K558" s="2043">
        <v>0</v>
      </c>
      <c r="L558" s="2043">
        <v>0</v>
      </c>
    </row>
    <row r="559" spans="1:12" ht="14.5">
      <c r="A559" t="s">
        <v>5243</v>
      </c>
      <c r="B559" s="380" t="str">
        <f t="shared" si="8"/>
        <v>201-902</v>
      </c>
      <c r="C559" t="s">
        <v>1788</v>
      </c>
      <c r="D559" s="2043">
        <v>3417</v>
      </c>
      <c r="E559" s="2043">
        <v>3414</v>
      </c>
      <c r="F559" s="2043">
        <v>-3</v>
      </c>
      <c r="G559" s="2043">
        <v>0</v>
      </c>
      <c r="H559" s="2043">
        <v>0</v>
      </c>
      <c r="I559" s="106">
        <v>0</v>
      </c>
      <c r="J559" s="41" t="s">
        <v>10797</v>
      </c>
      <c r="K559" s="2043">
        <v>0</v>
      </c>
      <c r="L559" s="2043">
        <v>0</v>
      </c>
    </row>
    <row r="560" spans="1:12" ht="14.5">
      <c r="A560" t="s">
        <v>3199</v>
      </c>
      <c r="B560" s="380" t="str">
        <f t="shared" si="8"/>
        <v>210-903</v>
      </c>
      <c r="C560" t="s">
        <v>1177</v>
      </c>
      <c r="D560" s="2043">
        <v>778</v>
      </c>
      <c r="E560" s="2043">
        <v>775</v>
      </c>
      <c r="F560" s="2043">
        <v>-3</v>
      </c>
      <c r="G560" s="2043">
        <v>0</v>
      </c>
      <c r="H560" s="2043">
        <v>0</v>
      </c>
      <c r="I560" s="106">
        <v>0</v>
      </c>
      <c r="J560" s="41" t="s">
        <v>10797</v>
      </c>
      <c r="K560" s="2043">
        <v>0</v>
      </c>
      <c r="L560" s="2043">
        <v>0</v>
      </c>
    </row>
    <row r="561" spans="1:12" ht="14.5">
      <c r="A561" t="s">
        <v>5822</v>
      </c>
      <c r="B561" s="380" t="str">
        <f t="shared" si="8"/>
        <v>115-903</v>
      </c>
      <c r="C561" t="s">
        <v>1486</v>
      </c>
      <c r="D561" s="2043">
        <v>72</v>
      </c>
      <c r="E561" s="2043">
        <v>70</v>
      </c>
      <c r="F561" s="2043">
        <v>-2</v>
      </c>
      <c r="G561" s="2043">
        <v>0</v>
      </c>
      <c r="H561" s="2043">
        <v>0</v>
      </c>
      <c r="I561" s="106">
        <v>0</v>
      </c>
      <c r="J561" s="41" t="s">
        <v>10797</v>
      </c>
      <c r="K561" s="2043">
        <v>0</v>
      </c>
      <c r="L561" s="2043">
        <v>0</v>
      </c>
    </row>
    <row r="562" spans="1:12" ht="14.5">
      <c r="A562" t="s">
        <v>3071</v>
      </c>
      <c r="B562" s="380" t="str">
        <f t="shared" si="8"/>
        <v>116-916</v>
      </c>
      <c r="C562" t="s">
        <v>1271</v>
      </c>
      <c r="D562" s="2043">
        <v>531</v>
      </c>
      <c r="E562" s="2043">
        <v>529</v>
      </c>
      <c r="F562" s="2043">
        <v>-2</v>
      </c>
      <c r="G562" s="2043">
        <v>0</v>
      </c>
      <c r="H562" s="2043">
        <v>0</v>
      </c>
      <c r="I562" s="106">
        <v>0</v>
      </c>
      <c r="J562" s="41" t="s">
        <v>10797</v>
      </c>
      <c r="K562" s="2043">
        <v>0</v>
      </c>
      <c r="L562" s="2043">
        <v>0</v>
      </c>
    </row>
    <row r="563" spans="1:12" ht="14.5">
      <c r="A563" t="s">
        <v>5841</v>
      </c>
      <c r="B563" s="380" t="str">
        <f t="shared" si="8"/>
        <v>143-904</v>
      </c>
      <c r="C563" t="s">
        <v>899</v>
      </c>
      <c r="D563" s="2043">
        <v>113</v>
      </c>
      <c r="E563" s="2043">
        <v>111</v>
      </c>
      <c r="F563" s="2043">
        <v>-2</v>
      </c>
      <c r="G563" s="2043">
        <v>0</v>
      </c>
      <c r="H563" s="2043">
        <v>0</v>
      </c>
      <c r="I563" s="106">
        <v>0</v>
      </c>
      <c r="J563" s="41" t="s">
        <v>10797</v>
      </c>
      <c r="K563" s="2043">
        <v>0</v>
      </c>
      <c r="L563" s="2043">
        <v>0</v>
      </c>
    </row>
    <row r="564" spans="1:12" ht="14.5">
      <c r="A564" t="s">
        <v>3144</v>
      </c>
      <c r="B564" s="380" t="str">
        <f t="shared" si="8"/>
        <v>169-901</v>
      </c>
      <c r="C564" t="s">
        <v>1290</v>
      </c>
      <c r="D564" s="2043">
        <v>1691</v>
      </c>
      <c r="E564" s="2043">
        <v>1689</v>
      </c>
      <c r="F564" s="2043">
        <v>-2</v>
      </c>
      <c r="G564" s="2043">
        <v>0</v>
      </c>
      <c r="H564" s="2043">
        <v>0</v>
      </c>
      <c r="I564" s="106">
        <v>0</v>
      </c>
      <c r="J564" s="41" t="s">
        <v>10797</v>
      </c>
      <c r="K564" s="2043">
        <v>0</v>
      </c>
      <c r="L564" s="2043">
        <v>0</v>
      </c>
    </row>
    <row r="565" spans="1:12" ht="14.5">
      <c r="A565" t="s">
        <v>5858</v>
      </c>
      <c r="B565" s="380" t="str">
        <f t="shared" si="8"/>
        <v>173-901</v>
      </c>
      <c r="C565" t="s">
        <v>2131</v>
      </c>
      <c r="D565" s="2043">
        <v>159</v>
      </c>
      <c r="E565" s="2043">
        <v>157</v>
      </c>
      <c r="F565" s="2043">
        <v>-2</v>
      </c>
      <c r="G565" s="2043">
        <v>0</v>
      </c>
      <c r="H565" s="2043">
        <v>0</v>
      </c>
      <c r="I565" s="106">
        <v>0</v>
      </c>
      <c r="J565" s="41" t="s">
        <v>10797</v>
      </c>
      <c r="K565" s="2043">
        <v>0</v>
      </c>
      <c r="L565" s="2043">
        <v>0</v>
      </c>
    </row>
    <row r="566" spans="1:12" ht="14.5">
      <c r="A566" t="s">
        <v>5303</v>
      </c>
      <c r="B566" s="380" t="str">
        <f t="shared" si="8"/>
        <v>242-906</v>
      </c>
      <c r="C566" t="s">
        <v>1157</v>
      </c>
      <c r="D566" s="2043">
        <v>161</v>
      </c>
      <c r="E566" s="2043">
        <v>159</v>
      </c>
      <c r="F566" s="2043">
        <v>-2</v>
      </c>
      <c r="G566" s="2043">
        <v>0</v>
      </c>
      <c r="H566" s="2043">
        <v>0</v>
      </c>
      <c r="I566" s="106">
        <v>0</v>
      </c>
      <c r="J566" s="41" t="s">
        <v>10797</v>
      </c>
      <c r="K566" s="2043">
        <v>0</v>
      </c>
      <c r="L566" s="2043">
        <v>0</v>
      </c>
    </row>
    <row r="567" spans="1:12" ht="14.5">
      <c r="A567" t="s">
        <v>5788</v>
      </c>
      <c r="B567" s="380" t="str">
        <f t="shared" si="8"/>
        <v>066-005</v>
      </c>
      <c r="C567" t="s">
        <v>1852</v>
      </c>
      <c r="D567" s="2043">
        <v>27</v>
      </c>
      <c r="E567" s="2043">
        <v>26</v>
      </c>
      <c r="F567" s="2043">
        <v>-1</v>
      </c>
      <c r="G567" s="2043">
        <v>0</v>
      </c>
      <c r="H567" s="2043">
        <v>0</v>
      </c>
      <c r="I567" s="106">
        <v>0</v>
      </c>
      <c r="J567" s="41" t="s">
        <v>10797</v>
      </c>
      <c r="K567" s="2043">
        <v>0</v>
      </c>
      <c r="L567" s="2043">
        <v>0</v>
      </c>
    </row>
    <row r="568" spans="1:12" ht="14.5">
      <c r="A568" t="s">
        <v>3903</v>
      </c>
      <c r="B568" s="380" t="str">
        <f t="shared" si="8"/>
        <v>073-904</v>
      </c>
      <c r="C568" t="s">
        <v>1256</v>
      </c>
      <c r="D568" s="2043">
        <v>156</v>
      </c>
      <c r="E568" s="2043">
        <v>155</v>
      </c>
      <c r="F568" s="2043">
        <v>-1</v>
      </c>
      <c r="G568" s="2043">
        <v>0</v>
      </c>
      <c r="H568" s="2043">
        <v>0</v>
      </c>
      <c r="I568" s="106">
        <v>0</v>
      </c>
      <c r="J568" s="41" t="s">
        <v>10797</v>
      </c>
      <c r="K568" s="2043">
        <v>0</v>
      </c>
      <c r="L568" s="2043">
        <v>0</v>
      </c>
    </row>
    <row r="569" spans="1:12" ht="14.5">
      <c r="A569" t="s">
        <v>3048</v>
      </c>
      <c r="B569" s="380" t="str">
        <f t="shared" si="8"/>
        <v>109-901</v>
      </c>
      <c r="C569" t="s">
        <v>2031</v>
      </c>
      <c r="D569" s="2043">
        <v>284</v>
      </c>
      <c r="E569" s="2043">
        <v>283</v>
      </c>
      <c r="F569" s="2043">
        <v>-1</v>
      </c>
      <c r="G569" s="2043">
        <v>0</v>
      </c>
      <c r="H569" s="2043">
        <v>0</v>
      </c>
      <c r="I569" s="106">
        <v>0</v>
      </c>
      <c r="J569" s="41" t="s">
        <v>10797</v>
      </c>
      <c r="K569" s="2043">
        <v>0</v>
      </c>
      <c r="L569" s="2043">
        <v>0</v>
      </c>
    </row>
    <row r="570" spans="1:12" ht="14.5">
      <c r="A570" t="s">
        <v>3182</v>
      </c>
      <c r="B570" s="380" t="str">
        <f t="shared" si="8"/>
        <v>194-905</v>
      </c>
      <c r="C570" t="s">
        <v>2521</v>
      </c>
      <c r="D570" s="2043">
        <v>531</v>
      </c>
      <c r="E570" s="2043">
        <v>530</v>
      </c>
      <c r="F570" s="2043">
        <v>-1</v>
      </c>
      <c r="G570" s="2043">
        <v>0</v>
      </c>
      <c r="H570" s="2043">
        <v>0</v>
      </c>
      <c r="I570" s="106">
        <v>0</v>
      </c>
      <c r="J570" s="41" t="s">
        <v>10797</v>
      </c>
      <c r="K570" s="2043">
        <v>0</v>
      </c>
      <c r="L570" s="2043">
        <v>0</v>
      </c>
    </row>
    <row r="571" spans="1:12" ht="14.5">
      <c r="A571" t="s">
        <v>4980</v>
      </c>
      <c r="B571" s="380" t="str">
        <f t="shared" si="8"/>
        <v>049-907</v>
      </c>
      <c r="C571" t="s">
        <v>2092</v>
      </c>
      <c r="D571" s="2043">
        <v>490</v>
      </c>
      <c r="E571" s="2043">
        <v>490</v>
      </c>
      <c r="F571" s="2043">
        <v>0</v>
      </c>
      <c r="G571" s="2043">
        <v>0</v>
      </c>
      <c r="H571" s="2043">
        <v>0</v>
      </c>
      <c r="I571" s="106">
        <v>0</v>
      </c>
      <c r="J571" s="41" t="s">
        <v>10797</v>
      </c>
      <c r="K571" s="2043">
        <v>0</v>
      </c>
      <c r="L571" s="2043">
        <v>0</v>
      </c>
    </row>
    <row r="572" spans="1:12" ht="14.5">
      <c r="A572" t="s">
        <v>5081</v>
      </c>
      <c r="B572" s="380" t="str">
        <f t="shared" si="8"/>
        <v>103-902</v>
      </c>
      <c r="C572" t="s">
        <v>149</v>
      </c>
      <c r="D572" s="2043">
        <v>232</v>
      </c>
      <c r="E572" s="2043">
        <v>232</v>
      </c>
      <c r="F572" s="2043">
        <v>0</v>
      </c>
      <c r="G572" s="2043">
        <v>0</v>
      </c>
      <c r="H572" s="2043">
        <v>0</v>
      </c>
      <c r="I572" s="106">
        <v>0</v>
      </c>
      <c r="J572" s="41" t="s">
        <v>10797</v>
      </c>
      <c r="K572" s="2043">
        <v>0</v>
      </c>
      <c r="L572" s="2043">
        <v>0</v>
      </c>
    </row>
    <row r="573" spans="1:12" ht="14.5">
      <c r="A573" t="s">
        <v>3115</v>
      </c>
      <c r="B573" s="380" t="str">
        <f t="shared" si="8"/>
        <v>154-901</v>
      </c>
      <c r="C573" t="s">
        <v>35</v>
      </c>
      <c r="D573" s="2043">
        <v>2319</v>
      </c>
      <c r="E573" s="2043">
        <v>2319</v>
      </c>
      <c r="F573" s="2043">
        <v>0</v>
      </c>
      <c r="G573" s="2043">
        <v>0</v>
      </c>
      <c r="H573" s="2043">
        <v>0</v>
      </c>
      <c r="I573" s="106">
        <v>0</v>
      </c>
      <c r="J573" s="41" t="s">
        <v>10797</v>
      </c>
      <c r="K573" s="2043">
        <v>0</v>
      </c>
      <c r="L573" s="2043">
        <v>0</v>
      </c>
    </row>
    <row r="574" spans="1:12" ht="14.5">
      <c r="A574" t="s">
        <v>5198</v>
      </c>
      <c r="B574" s="380" t="str">
        <f t="shared" si="8"/>
        <v>177-905</v>
      </c>
      <c r="C574" t="s">
        <v>296</v>
      </c>
      <c r="D574" s="2043">
        <v>226</v>
      </c>
      <c r="E574" s="2043">
        <v>226</v>
      </c>
      <c r="F574" s="2043">
        <v>0</v>
      </c>
      <c r="G574" s="2043">
        <v>0</v>
      </c>
      <c r="H574" s="2043">
        <v>0</v>
      </c>
      <c r="I574" s="106">
        <v>0</v>
      </c>
      <c r="J574" s="41" t="s">
        <v>10797</v>
      </c>
      <c r="K574" s="2043">
        <v>0</v>
      </c>
      <c r="L574" s="2043">
        <v>0</v>
      </c>
    </row>
    <row r="575" spans="1:12" ht="14.5">
      <c r="A575" t="s">
        <v>4995</v>
      </c>
      <c r="B575" s="380" t="str">
        <f t="shared" si="8"/>
        <v>058-905</v>
      </c>
      <c r="C575" t="s">
        <v>2469</v>
      </c>
      <c r="D575" s="2043">
        <v>259</v>
      </c>
      <c r="E575" s="2043">
        <v>260</v>
      </c>
      <c r="F575" s="2043">
        <v>1</v>
      </c>
      <c r="G575" s="2043">
        <v>0</v>
      </c>
      <c r="H575" s="2043">
        <v>0</v>
      </c>
      <c r="I575" s="106">
        <v>0</v>
      </c>
      <c r="J575" s="41" t="s">
        <v>10797</v>
      </c>
      <c r="K575" s="2043">
        <v>0</v>
      </c>
      <c r="L575" s="2043">
        <v>0</v>
      </c>
    </row>
    <row r="576" spans="1:12" ht="14.5">
      <c r="A576" t="s">
        <v>5061</v>
      </c>
      <c r="B576" s="380" t="str">
        <f t="shared" si="8"/>
        <v>098-903</v>
      </c>
      <c r="C576" t="s">
        <v>988</v>
      </c>
      <c r="D576" s="2043">
        <v>128</v>
      </c>
      <c r="E576" s="2043">
        <v>129</v>
      </c>
      <c r="F576" s="2043">
        <v>1</v>
      </c>
      <c r="G576" s="2043">
        <v>0</v>
      </c>
      <c r="H576" s="2043">
        <v>0</v>
      </c>
      <c r="I576" s="106">
        <v>0</v>
      </c>
      <c r="J576" s="41" t="s">
        <v>10797</v>
      </c>
      <c r="K576" s="2043">
        <v>0</v>
      </c>
      <c r="L576" s="2043">
        <v>0</v>
      </c>
    </row>
    <row r="577" spans="1:12" ht="14.5">
      <c r="A577" t="s">
        <v>5238</v>
      </c>
      <c r="B577" s="380" t="str">
        <f t="shared" si="8"/>
        <v>197-902</v>
      </c>
      <c r="C577" t="s">
        <v>1535</v>
      </c>
      <c r="D577" s="2043">
        <v>195</v>
      </c>
      <c r="E577" s="2043">
        <v>196</v>
      </c>
      <c r="F577" s="2043">
        <v>1</v>
      </c>
      <c r="G577" s="2043">
        <v>0</v>
      </c>
      <c r="H577" s="2043">
        <v>0</v>
      </c>
      <c r="I577" s="106">
        <v>0</v>
      </c>
      <c r="J577" s="41" t="s">
        <v>10797</v>
      </c>
      <c r="K577" s="2043">
        <v>0</v>
      </c>
      <c r="L577" s="2043">
        <v>0</v>
      </c>
    </row>
    <row r="578" spans="1:12" ht="14.5">
      <c r="A578" t="s">
        <v>5882</v>
      </c>
      <c r="B578" s="380" t="str">
        <f t="shared" si="8"/>
        <v>211-902</v>
      </c>
      <c r="C578" t="s">
        <v>1881</v>
      </c>
      <c r="D578" s="2043">
        <v>580</v>
      </c>
      <c r="E578" s="2043">
        <v>581</v>
      </c>
      <c r="F578" s="2043">
        <v>1</v>
      </c>
      <c r="G578" s="2043">
        <v>0</v>
      </c>
      <c r="H578" s="2043">
        <v>0</v>
      </c>
      <c r="I578" s="106">
        <v>0</v>
      </c>
      <c r="J578" s="41" t="s">
        <v>10797</v>
      </c>
      <c r="K578" s="2043">
        <v>0</v>
      </c>
      <c r="L578" s="2043">
        <v>0</v>
      </c>
    </row>
    <row r="579" spans="1:12" ht="14.5">
      <c r="A579" t="s">
        <v>5767</v>
      </c>
      <c r="B579" s="380" t="str">
        <f t="shared" ref="B579:B642" si="9">CONCATENATE(LEFT(RIGHT(CONCATENATE("000",A579),6),3),"-",(RIGHT(RIGHT(CONCATENATE("000",A579),6),3)))</f>
        <v>039-905</v>
      </c>
      <c r="C579" t="s">
        <v>1815</v>
      </c>
      <c r="D579" s="2043">
        <v>129</v>
      </c>
      <c r="E579" s="2043">
        <v>131</v>
      </c>
      <c r="F579" s="2043">
        <v>2</v>
      </c>
      <c r="G579" s="2043">
        <v>0</v>
      </c>
      <c r="H579" s="2043">
        <v>0</v>
      </c>
      <c r="I579" s="106">
        <v>0</v>
      </c>
      <c r="J579" s="41" t="s">
        <v>10797</v>
      </c>
      <c r="K579" s="2043">
        <v>0</v>
      </c>
      <c r="L579" s="2043">
        <v>0</v>
      </c>
    </row>
    <row r="580" spans="1:12" ht="14.5">
      <c r="A580" t="s">
        <v>5784</v>
      </c>
      <c r="B580" s="380" t="str">
        <f t="shared" si="9"/>
        <v>062-905</v>
      </c>
      <c r="C580" t="s">
        <v>2478</v>
      </c>
      <c r="D580" s="2043">
        <v>69</v>
      </c>
      <c r="E580" s="2043">
        <v>71</v>
      </c>
      <c r="F580" s="2043">
        <v>2</v>
      </c>
      <c r="G580" s="2043">
        <v>0</v>
      </c>
      <c r="H580" s="2043">
        <v>0</v>
      </c>
      <c r="I580" s="106">
        <v>0</v>
      </c>
      <c r="J580" s="41" t="s">
        <v>10797</v>
      </c>
      <c r="K580" s="2043">
        <v>0</v>
      </c>
      <c r="L580" s="2043">
        <v>0</v>
      </c>
    </row>
    <row r="581" spans="1:12" ht="14.5">
      <c r="A581" t="s">
        <v>5043</v>
      </c>
      <c r="B581" s="380" t="str">
        <f t="shared" si="9"/>
        <v>090-905</v>
      </c>
      <c r="C581" t="s">
        <v>1359</v>
      </c>
      <c r="D581" s="2043">
        <v>44</v>
      </c>
      <c r="E581" s="2043">
        <v>46</v>
      </c>
      <c r="F581" s="2043">
        <v>2</v>
      </c>
      <c r="G581" s="2043">
        <v>0</v>
      </c>
      <c r="H581" s="2043">
        <v>0</v>
      </c>
      <c r="I581" s="106">
        <v>0</v>
      </c>
      <c r="J581" s="41" t="s">
        <v>10797</v>
      </c>
      <c r="K581" s="2043">
        <v>0</v>
      </c>
      <c r="L581" s="2043">
        <v>0</v>
      </c>
    </row>
    <row r="582" spans="1:12" ht="14.5">
      <c r="A582" t="s">
        <v>4087</v>
      </c>
      <c r="B582" s="380" t="str">
        <f t="shared" si="9"/>
        <v>107-908</v>
      </c>
      <c r="C582" t="s">
        <v>1986</v>
      </c>
      <c r="D582" s="2043">
        <v>177</v>
      </c>
      <c r="E582" s="2043">
        <v>179</v>
      </c>
      <c r="F582" s="2043">
        <v>2</v>
      </c>
      <c r="G582" s="2043">
        <v>0</v>
      </c>
      <c r="H582" s="2043">
        <v>0</v>
      </c>
      <c r="I582" s="106">
        <v>0</v>
      </c>
      <c r="J582" s="41" t="s">
        <v>10797</v>
      </c>
      <c r="K582" s="2043">
        <v>0</v>
      </c>
      <c r="L582" s="2043">
        <v>0</v>
      </c>
    </row>
    <row r="583" spans="1:12" ht="14.5">
      <c r="A583" t="s">
        <v>3049</v>
      </c>
      <c r="B583" s="380" t="str">
        <f t="shared" si="9"/>
        <v>109-902</v>
      </c>
      <c r="C583" t="s">
        <v>851</v>
      </c>
      <c r="D583" s="2043">
        <v>179</v>
      </c>
      <c r="E583" s="2043">
        <v>181</v>
      </c>
      <c r="F583" s="2043">
        <v>2</v>
      </c>
      <c r="G583" s="2043">
        <v>0</v>
      </c>
      <c r="H583" s="2043">
        <v>0</v>
      </c>
      <c r="I583" s="106">
        <v>0</v>
      </c>
      <c r="J583" s="41" t="s">
        <v>10797</v>
      </c>
      <c r="K583" s="2043">
        <v>0</v>
      </c>
      <c r="L583" s="2043">
        <v>0</v>
      </c>
    </row>
    <row r="584" spans="1:12" ht="14.5">
      <c r="A584" t="s">
        <v>5856</v>
      </c>
      <c r="B584" s="380" t="str">
        <f t="shared" si="9"/>
        <v>169-908</v>
      </c>
      <c r="C584" t="s">
        <v>2122</v>
      </c>
      <c r="D584" s="2043">
        <v>146</v>
      </c>
      <c r="E584" s="2043">
        <v>148</v>
      </c>
      <c r="F584" s="2043">
        <v>2</v>
      </c>
      <c r="G584" s="2043">
        <v>0</v>
      </c>
      <c r="H584" s="2043">
        <v>0</v>
      </c>
      <c r="I584" s="106">
        <v>0</v>
      </c>
      <c r="J584" s="41" t="s">
        <v>10797</v>
      </c>
      <c r="K584" s="2043">
        <v>0</v>
      </c>
      <c r="L584" s="2043">
        <v>0</v>
      </c>
    </row>
    <row r="585" spans="1:12" ht="14.5">
      <c r="A585" t="s">
        <v>5885</v>
      </c>
      <c r="B585" s="380" t="str">
        <f t="shared" si="9"/>
        <v>224-901</v>
      </c>
      <c r="C585" t="s">
        <v>599</v>
      </c>
      <c r="D585" s="2043">
        <v>155</v>
      </c>
      <c r="E585" s="2043">
        <v>157</v>
      </c>
      <c r="F585" s="2043">
        <v>2</v>
      </c>
      <c r="G585" s="2043">
        <v>0</v>
      </c>
      <c r="H585" s="2043">
        <v>0</v>
      </c>
      <c r="I585" s="106">
        <v>0</v>
      </c>
      <c r="J585" s="41" t="s">
        <v>10797</v>
      </c>
      <c r="K585" s="2043">
        <v>0</v>
      </c>
      <c r="L585" s="2043">
        <v>0</v>
      </c>
    </row>
    <row r="586" spans="1:12" ht="14.5">
      <c r="A586" t="s">
        <v>4971</v>
      </c>
      <c r="B586" s="380" t="str">
        <f t="shared" si="9"/>
        <v>042-905</v>
      </c>
      <c r="C586" t="s">
        <v>974</v>
      </c>
      <c r="D586" s="2043">
        <v>162</v>
      </c>
      <c r="E586" s="2043">
        <v>165</v>
      </c>
      <c r="F586" s="2043">
        <v>3</v>
      </c>
      <c r="G586" s="2043">
        <v>0</v>
      </c>
      <c r="H586" s="2043">
        <v>0</v>
      </c>
      <c r="I586" s="106">
        <v>0</v>
      </c>
      <c r="J586" s="41" t="s">
        <v>10797</v>
      </c>
      <c r="K586" s="2043">
        <v>0</v>
      </c>
      <c r="L586" s="2043">
        <v>0</v>
      </c>
    </row>
    <row r="587" spans="1:12" ht="14.5">
      <c r="A587" t="s">
        <v>5112</v>
      </c>
      <c r="B587" s="380" t="str">
        <f t="shared" si="9"/>
        <v>120-901</v>
      </c>
      <c r="C587" t="s">
        <v>583</v>
      </c>
      <c r="D587" s="2043">
        <v>1556</v>
      </c>
      <c r="E587" s="2043">
        <v>1559</v>
      </c>
      <c r="F587" s="2043">
        <v>3</v>
      </c>
      <c r="G587" s="2043">
        <v>0</v>
      </c>
      <c r="H587" s="2043">
        <v>0</v>
      </c>
      <c r="I587" s="106">
        <v>0</v>
      </c>
      <c r="J587" s="41" t="s">
        <v>10797</v>
      </c>
      <c r="K587" s="2043">
        <v>0</v>
      </c>
      <c r="L587" s="2043">
        <v>0</v>
      </c>
    </row>
    <row r="588" spans="1:12" ht="14.5">
      <c r="A588" t="s">
        <v>5162</v>
      </c>
      <c r="B588" s="380" t="str">
        <f t="shared" si="9"/>
        <v>153-903</v>
      </c>
      <c r="C588" t="s">
        <v>523</v>
      </c>
      <c r="D588" s="2043">
        <v>293</v>
      </c>
      <c r="E588" s="2043">
        <v>296</v>
      </c>
      <c r="F588" s="2043">
        <v>3</v>
      </c>
      <c r="G588" s="2043">
        <v>0</v>
      </c>
      <c r="H588" s="2043">
        <v>0</v>
      </c>
      <c r="I588" s="106">
        <v>0</v>
      </c>
      <c r="J588" s="41" t="s">
        <v>10797</v>
      </c>
      <c r="K588" s="2043">
        <v>0</v>
      </c>
      <c r="L588" s="2043">
        <v>0</v>
      </c>
    </row>
    <row r="589" spans="1:12" ht="14.5">
      <c r="A589" t="s">
        <v>3141</v>
      </c>
      <c r="B589" s="380" t="str">
        <f t="shared" si="9"/>
        <v>166-907</v>
      </c>
      <c r="C589" t="s">
        <v>2492</v>
      </c>
      <c r="D589" s="2043">
        <v>137</v>
      </c>
      <c r="E589" s="2043">
        <v>140</v>
      </c>
      <c r="F589" s="2043">
        <v>3</v>
      </c>
      <c r="G589" s="2043">
        <v>0</v>
      </c>
      <c r="H589" s="2043">
        <v>0</v>
      </c>
      <c r="I589" s="106">
        <v>0</v>
      </c>
      <c r="J589" s="41" t="s">
        <v>10797</v>
      </c>
      <c r="K589" s="2043">
        <v>0</v>
      </c>
      <c r="L589" s="2043">
        <v>0</v>
      </c>
    </row>
    <row r="590" spans="1:12" ht="14.5">
      <c r="A590" t="s">
        <v>5224</v>
      </c>
      <c r="B590" s="380" t="str">
        <f t="shared" si="9"/>
        <v>187-901</v>
      </c>
      <c r="C590" t="s">
        <v>421</v>
      </c>
      <c r="D590" s="2043">
        <v>529</v>
      </c>
      <c r="E590" s="2043">
        <v>532</v>
      </c>
      <c r="F590" s="2043">
        <v>3</v>
      </c>
      <c r="G590" s="2043">
        <v>0</v>
      </c>
      <c r="H590" s="2043">
        <v>0</v>
      </c>
      <c r="I590" s="106">
        <v>0</v>
      </c>
      <c r="J590" s="41" t="s">
        <v>10797</v>
      </c>
      <c r="K590" s="2043">
        <v>0</v>
      </c>
      <c r="L590" s="2043">
        <v>0</v>
      </c>
    </row>
    <row r="591" spans="1:12" ht="14.5">
      <c r="A591" t="s">
        <v>3181</v>
      </c>
      <c r="B591" s="380" t="str">
        <f t="shared" si="9"/>
        <v>194-903</v>
      </c>
      <c r="C591" t="s">
        <v>2550</v>
      </c>
      <c r="D591" s="2043">
        <v>682</v>
      </c>
      <c r="E591" s="2043">
        <v>685</v>
      </c>
      <c r="F591" s="2043">
        <v>3</v>
      </c>
      <c r="G591" s="2043">
        <v>0</v>
      </c>
      <c r="H591" s="2043">
        <v>0</v>
      </c>
      <c r="I591" s="106">
        <v>0</v>
      </c>
      <c r="J591" s="41" t="s">
        <v>10797</v>
      </c>
      <c r="K591" s="2043">
        <v>0</v>
      </c>
      <c r="L591" s="2043">
        <v>0</v>
      </c>
    </row>
    <row r="592" spans="1:12" ht="14.5">
      <c r="A592" t="s">
        <v>5867</v>
      </c>
      <c r="B592" s="380" t="str">
        <f t="shared" si="9"/>
        <v>194-904</v>
      </c>
      <c r="C592" t="s">
        <v>1530</v>
      </c>
      <c r="D592" s="2043">
        <v>520</v>
      </c>
      <c r="E592" s="2043">
        <v>523</v>
      </c>
      <c r="F592" s="2043">
        <v>3</v>
      </c>
      <c r="G592" s="2043">
        <v>0</v>
      </c>
      <c r="H592" s="2043">
        <v>0</v>
      </c>
      <c r="I592" s="106">
        <v>0</v>
      </c>
      <c r="J592" s="41" t="s">
        <v>10797</v>
      </c>
      <c r="K592" s="2043">
        <v>0</v>
      </c>
      <c r="L592" s="2043">
        <v>0</v>
      </c>
    </row>
    <row r="593" spans="1:12" ht="14.5">
      <c r="A593" t="s">
        <v>3277</v>
      </c>
      <c r="B593" s="380" t="str">
        <f t="shared" si="9"/>
        <v>254-902</v>
      </c>
      <c r="C593" t="s">
        <v>1791</v>
      </c>
      <c r="D593" s="2043">
        <v>482</v>
      </c>
      <c r="E593" s="2043">
        <v>485</v>
      </c>
      <c r="F593" s="2043">
        <v>3</v>
      </c>
      <c r="G593" s="2043">
        <v>0</v>
      </c>
      <c r="H593" s="2043">
        <v>0</v>
      </c>
      <c r="I593" s="106">
        <v>0</v>
      </c>
      <c r="J593" s="41" t="s">
        <v>10797</v>
      </c>
      <c r="K593" s="2043">
        <v>0</v>
      </c>
      <c r="L593" s="2043">
        <v>0</v>
      </c>
    </row>
    <row r="594" spans="1:12" ht="14.5">
      <c r="A594" t="s">
        <v>5813</v>
      </c>
      <c r="B594" s="380" t="str">
        <f t="shared" si="9"/>
        <v>104-903</v>
      </c>
      <c r="C594" t="s">
        <v>150</v>
      </c>
      <c r="D594" s="2043">
        <v>139</v>
      </c>
      <c r="E594" s="2043">
        <v>143</v>
      </c>
      <c r="F594" s="2043">
        <v>4</v>
      </c>
      <c r="G594" s="2043">
        <v>0</v>
      </c>
      <c r="H594" s="2043">
        <v>0</v>
      </c>
      <c r="I594" s="106">
        <v>0</v>
      </c>
      <c r="J594" s="41" t="s">
        <v>10797</v>
      </c>
      <c r="K594" s="2043">
        <v>0</v>
      </c>
      <c r="L594" s="2043">
        <v>0</v>
      </c>
    </row>
    <row r="595" spans="1:12" ht="14.5">
      <c r="A595" t="s">
        <v>5275</v>
      </c>
      <c r="B595" s="380" t="str">
        <f t="shared" si="9"/>
        <v>223-904</v>
      </c>
      <c r="C595" t="s">
        <v>2211</v>
      </c>
      <c r="D595" s="2043">
        <v>280</v>
      </c>
      <c r="E595" s="2043">
        <v>284</v>
      </c>
      <c r="F595" s="2043">
        <v>4</v>
      </c>
      <c r="G595" s="2043">
        <v>0</v>
      </c>
      <c r="H595" s="2043">
        <v>0</v>
      </c>
      <c r="I595" s="106">
        <v>0</v>
      </c>
      <c r="J595" s="41" t="s">
        <v>10797</v>
      </c>
      <c r="K595" s="2043">
        <v>0</v>
      </c>
      <c r="L595" s="2043">
        <v>0</v>
      </c>
    </row>
    <row r="596" spans="1:12" ht="14.5">
      <c r="A596" t="s">
        <v>5757</v>
      </c>
      <c r="B596" s="380" t="str">
        <f t="shared" si="9"/>
        <v>022-004</v>
      </c>
      <c r="C596" t="s">
        <v>2354</v>
      </c>
      <c r="D596" s="2043">
        <v>106</v>
      </c>
      <c r="E596" s="2043">
        <v>111</v>
      </c>
      <c r="F596" s="2043">
        <v>5</v>
      </c>
      <c r="G596" s="2043">
        <v>0</v>
      </c>
      <c r="H596" s="2043">
        <v>0</v>
      </c>
      <c r="I596" s="106">
        <v>0</v>
      </c>
      <c r="J596" s="41" t="s">
        <v>10797</v>
      </c>
      <c r="K596" s="2043">
        <v>0</v>
      </c>
      <c r="L596" s="2043">
        <v>0</v>
      </c>
    </row>
    <row r="597" spans="1:12" ht="14.5">
      <c r="A597" t="s">
        <v>5763</v>
      </c>
      <c r="B597" s="380" t="str">
        <f t="shared" si="9"/>
        <v>034-902</v>
      </c>
      <c r="C597" t="s">
        <v>2050</v>
      </c>
      <c r="D597" s="2043">
        <v>132</v>
      </c>
      <c r="E597" s="2043">
        <v>137</v>
      </c>
      <c r="F597" s="2043">
        <v>5</v>
      </c>
      <c r="G597" s="2043">
        <v>0</v>
      </c>
      <c r="H597" s="2043">
        <v>0</v>
      </c>
      <c r="I597" s="106">
        <v>0</v>
      </c>
      <c r="J597" s="41" t="s">
        <v>10797</v>
      </c>
      <c r="K597" s="2043">
        <v>0</v>
      </c>
      <c r="L597" s="2043">
        <v>0</v>
      </c>
    </row>
    <row r="598" spans="1:12" ht="14.5">
      <c r="A598" t="s">
        <v>5796</v>
      </c>
      <c r="B598" s="380" t="str">
        <f t="shared" si="9"/>
        <v>072-910</v>
      </c>
      <c r="C598" t="s">
        <v>1871</v>
      </c>
      <c r="D598" s="2043">
        <v>114</v>
      </c>
      <c r="E598" s="2043">
        <v>119</v>
      </c>
      <c r="F598" s="2043">
        <v>5</v>
      </c>
      <c r="G598" s="2043">
        <v>0</v>
      </c>
      <c r="H598" s="2043">
        <v>0</v>
      </c>
      <c r="I598" s="106">
        <v>0</v>
      </c>
      <c r="J598" s="41" t="s">
        <v>10797</v>
      </c>
      <c r="K598" s="2043">
        <v>0</v>
      </c>
      <c r="L598" s="2043">
        <v>0</v>
      </c>
    </row>
    <row r="599" spans="1:12" ht="14.5">
      <c r="A599" t="s">
        <v>5024</v>
      </c>
      <c r="B599" s="380" t="str">
        <f t="shared" si="9"/>
        <v>081-905</v>
      </c>
      <c r="C599" t="s">
        <v>810</v>
      </c>
      <c r="D599" s="2043">
        <v>515</v>
      </c>
      <c r="E599" s="2043">
        <v>520</v>
      </c>
      <c r="F599" s="2043">
        <v>5</v>
      </c>
      <c r="G599" s="2043">
        <v>0</v>
      </c>
      <c r="H599" s="2043">
        <v>0</v>
      </c>
      <c r="I599" s="106">
        <v>0</v>
      </c>
      <c r="J599" s="41" t="s">
        <v>10797</v>
      </c>
      <c r="K599" s="2043">
        <v>0</v>
      </c>
      <c r="L599" s="2043">
        <v>0</v>
      </c>
    </row>
    <row r="600" spans="1:12" ht="14.5">
      <c r="A600" t="s">
        <v>5848</v>
      </c>
      <c r="B600" s="380" t="str">
        <f t="shared" si="9"/>
        <v>160-904</v>
      </c>
      <c r="C600" t="s">
        <v>1652</v>
      </c>
      <c r="D600" s="2043">
        <v>189</v>
      </c>
      <c r="E600" s="2043">
        <v>194</v>
      </c>
      <c r="F600" s="2043">
        <v>5</v>
      </c>
      <c r="G600" s="2043">
        <v>0</v>
      </c>
      <c r="H600" s="2043">
        <v>0</v>
      </c>
      <c r="I600" s="106">
        <v>0</v>
      </c>
      <c r="J600" s="41" t="s">
        <v>10797</v>
      </c>
      <c r="K600" s="2043">
        <v>0</v>
      </c>
      <c r="L600" s="2043">
        <v>0</v>
      </c>
    </row>
    <row r="601" spans="1:12" ht="14.5">
      <c r="A601" t="s">
        <v>3150</v>
      </c>
      <c r="B601" s="380" t="str">
        <f t="shared" si="9"/>
        <v>174-901</v>
      </c>
      <c r="C601" t="s">
        <v>1091</v>
      </c>
      <c r="D601" s="2043">
        <v>403</v>
      </c>
      <c r="E601" s="2043">
        <v>408</v>
      </c>
      <c r="F601" s="2043">
        <v>5</v>
      </c>
      <c r="G601" s="2043">
        <v>0</v>
      </c>
      <c r="H601" s="2043">
        <v>0</v>
      </c>
      <c r="I601" s="106">
        <v>0</v>
      </c>
      <c r="J601" s="41" t="s">
        <v>10797</v>
      </c>
      <c r="K601" s="2043">
        <v>0</v>
      </c>
      <c r="L601" s="2043">
        <v>0</v>
      </c>
    </row>
    <row r="602" spans="1:12" ht="14.5">
      <c r="A602" t="s">
        <v>5197</v>
      </c>
      <c r="B602" s="380" t="str">
        <f t="shared" si="9"/>
        <v>177-903</v>
      </c>
      <c r="C602" t="s">
        <v>2203</v>
      </c>
      <c r="D602" s="2043">
        <v>150</v>
      </c>
      <c r="E602" s="2043">
        <v>155</v>
      </c>
      <c r="F602" s="2043">
        <v>5</v>
      </c>
      <c r="G602" s="2043">
        <v>0</v>
      </c>
      <c r="H602" s="2043">
        <v>0</v>
      </c>
      <c r="I602" s="106">
        <v>0</v>
      </c>
      <c r="J602" s="41" t="s">
        <v>10797</v>
      </c>
      <c r="K602" s="2043">
        <v>0</v>
      </c>
      <c r="L602" s="2043">
        <v>0</v>
      </c>
    </row>
    <row r="603" spans="1:12" ht="14.5">
      <c r="A603" t="s">
        <v>5894</v>
      </c>
      <c r="B603" s="380" t="str">
        <f t="shared" si="9"/>
        <v>238-904</v>
      </c>
      <c r="C603" t="s">
        <v>1145</v>
      </c>
      <c r="D603" s="2043">
        <v>143</v>
      </c>
      <c r="E603" s="2043">
        <v>148</v>
      </c>
      <c r="F603" s="2043">
        <v>5</v>
      </c>
      <c r="G603" s="2043">
        <v>0</v>
      </c>
      <c r="H603" s="2043">
        <v>0</v>
      </c>
      <c r="I603" s="106">
        <v>0</v>
      </c>
      <c r="J603" s="41" t="s">
        <v>10797</v>
      </c>
      <c r="K603" s="2043">
        <v>0</v>
      </c>
      <c r="L603" s="2043">
        <v>0</v>
      </c>
    </row>
    <row r="604" spans="1:12" ht="14.5">
      <c r="A604" t="s">
        <v>2987</v>
      </c>
      <c r="B604" s="380" t="str">
        <f t="shared" si="9"/>
        <v>072-903</v>
      </c>
      <c r="C604" t="s">
        <v>1980</v>
      </c>
      <c r="D604" s="2043">
        <v>3689</v>
      </c>
      <c r="E604" s="2043">
        <v>3695</v>
      </c>
      <c r="F604" s="2043">
        <v>6</v>
      </c>
      <c r="G604" s="2043">
        <v>0</v>
      </c>
      <c r="H604" s="2043">
        <v>0</v>
      </c>
      <c r="I604" s="106">
        <v>0</v>
      </c>
      <c r="J604" s="41" t="s">
        <v>10797</v>
      </c>
      <c r="K604" s="2043">
        <v>0</v>
      </c>
      <c r="L604" s="2043">
        <v>0</v>
      </c>
    </row>
    <row r="605" spans="1:12" ht="14.5">
      <c r="A605" t="s">
        <v>3018</v>
      </c>
      <c r="B605" s="380" t="str">
        <f t="shared" si="9"/>
        <v>100-908</v>
      </c>
      <c r="C605" t="s">
        <v>280</v>
      </c>
      <c r="D605" s="2043">
        <v>562</v>
      </c>
      <c r="E605" s="2043">
        <v>568</v>
      </c>
      <c r="F605" s="2043">
        <v>6</v>
      </c>
      <c r="G605" s="2043">
        <v>0</v>
      </c>
      <c r="H605" s="2043">
        <v>0</v>
      </c>
      <c r="I605" s="106">
        <v>0</v>
      </c>
      <c r="J605" s="41" t="s">
        <v>10797</v>
      </c>
      <c r="K605" s="2043">
        <v>0</v>
      </c>
      <c r="L605" s="2043">
        <v>0</v>
      </c>
    </row>
    <row r="606" spans="1:12" ht="14.5">
      <c r="A606" t="s">
        <v>5830</v>
      </c>
      <c r="B606" s="380" t="str">
        <f t="shared" si="9"/>
        <v>134-901</v>
      </c>
      <c r="C606" t="s">
        <v>1934</v>
      </c>
      <c r="D606" s="2043">
        <v>633</v>
      </c>
      <c r="E606" s="2043">
        <v>639</v>
      </c>
      <c r="F606" s="2043">
        <v>6</v>
      </c>
      <c r="G606" s="2043">
        <v>0</v>
      </c>
      <c r="H606" s="2043">
        <v>0</v>
      </c>
      <c r="I606" s="106">
        <v>0</v>
      </c>
      <c r="J606" s="41" t="s">
        <v>10797</v>
      </c>
      <c r="K606" s="2043">
        <v>0</v>
      </c>
      <c r="L606" s="2043">
        <v>0</v>
      </c>
    </row>
    <row r="607" spans="1:12" ht="14.5">
      <c r="A607" t="s">
        <v>3123</v>
      </c>
      <c r="B607" s="380" t="str">
        <f t="shared" si="9"/>
        <v>161-908</v>
      </c>
      <c r="C607" t="s">
        <v>1951</v>
      </c>
      <c r="D607" s="2043">
        <v>527</v>
      </c>
      <c r="E607" s="2043">
        <v>533</v>
      </c>
      <c r="F607" s="2043">
        <v>6</v>
      </c>
      <c r="G607" s="2043">
        <v>0</v>
      </c>
      <c r="H607" s="2043">
        <v>0</v>
      </c>
      <c r="I607" s="106">
        <v>0</v>
      </c>
      <c r="J607" s="41" t="s">
        <v>10797</v>
      </c>
      <c r="K607" s="2043">
        <v>0</v>
      </c>
      <c r="L607" s="2043">
        <v>0</v>
      </c>
    </row>
    <row r="608" spans="1:12" ht="14.5">
      <c r="A608" t="s">
        <v>3126</v>
      </c>
      <c r="B608" s="380" t="str">
        <f t="shared" si="9"/>
        <v>161-912</v>
      </c>
      <c r="C608" t="s">
        <v>1643</v>
      </c>
      <c r="D608" s="2043">
        <v>617</v>
      </c>
      <c r="E608" s="2043">
        <v>623</v>
      </c>
      <c r="F608" s="2043">
        <v>6</v>
      </c>
      <c r="G608" s="2043">
        <v>0</v>
      </c>
      <c r="H608" s="2043">
        <v>0</v>
      </c>
      <c r="I608" s="106">
        <v>0</v>
      </c>
      <c r="J608" s="41" t="s">
        <v>10797</v>
      </c>
      <c r="K608" s="2043">
        <v>0</v>
      </c>
      <c r="L608" s="2043">
        <v>0</v>
      </c>
    </row>
    <row r="609" spans="1:12" ht="14.5">
      <c r="A609" t="s">
        <v>5851</v>
      </c>
      <c r="B609" s="380" t="str">
        <f t="shared" si="9"/>
        <v>164-901</v>
      </c>
      <c r="C609" t="s">
        <v>1659</v>
      </c>
      <c r="D609" s="2043">
        <v>294</v>
      </c>
      <c r="E609" s="2043">
        <v>300</v>
      </c>
      <c r="F609" s="2043">
        <v>6</v>
      </c>
      <c r="G609" s="2043">
        <v>0</v>
      </c>
      <c r="H609" s="2043">
        <v>0</v>
      </c>
      <c r="I609" s="106">
        <v>0</v>
      </c>
      <c r="J609" s="41" t="s">
        <v>10797</v>
      </c>
      <c r="K609" s="2043">
        <v>0</v>
      </c>
      <c r="L609" s="2043">
        <v>0</v>
      </c>
    </row>
    <row r="610" spans="1:12" ht="14.5">
      <c r="A610" t="s">
        <v>3224</v>
      </c>
      <c r="B610" s="380" t="str">
        <f t="shared" si="9"/>
        <v>226-908</v>
      </c>
      <c r="C610" t="s">
        <v>2500</v>
      </c>
      <c r="D610" s="2043">
        <v>272</v>
      </c>
      <c r="E610" s="2043">
        <v>278</v>
      </c>
      <c r="F610" s="2043">
        <v>6</v>
      </c>
      <c r="G610" s="2043">
        <v>0</v>
      </c>
      <c r="H610" s="2043">
        <v>0</v>
      </c>
      <c r="I610" s="106">
        <v>0</v>
      </c>
      <c r="J610" s="41" t="s">
        <v>10797</v>
      </c>
      <c r="K610" s="2043">
        <v>0</v>
      </c>
      <c r="L610" s="2043">
        <v>0</v>
      </c>
    </row>
    <row r="611" spans="1:12" ht="14.5">
      <c r="A611" t="s">
        <v>4935</v>
      </c>
      <c r="B611" s="380" t="str">
        <f t="shared" si="9"/>
        <v>016-901</v>
      </c>
      <c r="C611" t="s">
        <v>2157</v>
      </c>
      <c r="D611" s="2043">
        <v>690</v>
      </c>
      <c r="E611" s="2043">
        <v>697</v>
      </c>
      <c r="F611" s="2043">
        <v>7</v>
      </c>
      <c r="G611" s="2043">
        <v>0</v>
      </c>
      <c r="H611" s="2043">
        <v>0</v>
      </c>
      <c r="I611" s="106">
        <v>0</v>
      </c>
      <c r="J611" s="41" t="s">
        <v>10797</v>
      </c>
      <c r="K611" s="2043">
        <v>0</v>
      </c>
      <c r="L611" s="2043">
        <v>0</v>
      </c>
    </row>
    <row r="612" spans="1:12" ht="14.5">
      <c r="A612" t="s">
        <v>2942</v>
      </c>
      <c r="B612" s="380" t="str">
        <f t="shared" si="9"/>
        <v>045-902</v>
      </c>
      <c r="C612" t="s">
        <v>1459</v>
      </c>
      <c r="D612" s="2043">
        <v>1573</v>
      </c>
      <c r="E612" s="2043">
        <v>1580</v>
      </c>
      <c r="F612" s="2043">
        <v>7</v>
      </c>
      <c r="G612" s="2043">
        <v>0</v>
      </c>
      <c r="H612" s="2043">
        <v>0</v>
      </c>
      <c r="I612" s="106">
        <v>0</v>
      </c>
      <c r="J612" s="41" t="s">
        <v>10797</v>
      </c>
      <c r="K612" s="2043">
        <v>0</v>
      </c>
      <c r="L612" s="2043">
        <v>0</v>
      </c>
    </row>
    <row r="613" spans="1:12" ht="14.5">
      <c r="A613" t="s">
        <v>5883</v>
      </c>
      <c r="B613" s="380" t="str">
        <f t="shared" si="9"/>
        <v>219-901</v>
      </c>
      <c r="C613" t="s">
        <v>2424</v>
      </c>
      <c r="D613" s="2043">
        <v>252</v>
      </c>
      <c r="E613" s="2043">
        <v>259</v>
      </c>
      <c r="F613" s="2043">
        <v>7</v>
      </c>
      <c r="G613" s="2043">
        <v>0</v>
      </c>
      <c r="H613" s="2043">
        <v>0</v>
      </c>
      <c r="I613" s="106">
        <v>0</v>
      </c>
      <c r="J613" s="41" t="s">
        <v>10797</v>
      </c>
      <c r="K613" s="2043">
        <v>0</v>
      </c>
      <c r="L613" s="2043">
        <v>0</v>
      </c>
    </row>
    <row r="614" spans="1:12" ht="14.5">
      <c r="A614" t="s">
        <v>5886</v>
      </c>
      <c r="B614" s="380" t="str">
        <f t="shared" si="9"/>
        <v>224-902</v>
      </c>
      <c r="C614" t="s">
        <v>600</v>
      </c>
      <c r="D614" s="2043">
        <v>153</v>
      </c>
      <c r="E614" s="2043">
        <v>160</v>
      </c>
      <c r="F614" s="2043">
        <v>7</v>
      </c>
      <c r="G614" s="2043">
        <v>0</v>
      </c>
      <c r="H614" s="2043">
        <v>0</v>
      </c>
      <c r="I614" s="106">
        <v>0</v>
      </c>
      <c r="J614" s="41" t="s">
        <v>10797</v>
      </c>
      <c r="K614" s="2043">
        <v>0</v>
      </c>
      <c r="L614" s="2043">
        <v>0</v>
      </c>
    </row>
    <row r="615" spans="1:12" ht="14.5">
      <c r="A615" t="s">
        <v>5900</v>
      </c>
      <c r="B615" s="380" t="str">
        <f t="shared" si="9"/>
        <v>250-903</v>
      </c>
      <c r="C615" t="s">
        <v>1529</v>
      </c>
      <c r="D615" s="2043">
        <v>1625</v>
      </c>
      <c r="E615" s="2043">
        <v>1632</v>
      </c>
      <c r="F615" s="2043">
        <v>7</v>
      </c>
      <c r="G615" s="2043">
        <v>0</v>
      </c>
      <c r="H615" s="2043">
        <v>0</v>
      </c>
      <c r="I615" s="106">
        <v>0</v>
      </c>
      <c r="J615" s="41" t="s">
        <v>10797</v>
      </c>
      <c r="K615" s="2043">
        <v>0</v>
      </c>
      <c r="L615" s="2043">
        <v>0</v>
      </c>
    </row>
    <row r="616" spans="1:12" ht="14.5">
      <c r="A616" t="s">
        <v>2971</v>
      </c>
      <c r="B616" s="380" t="str">
        <f t="shared" si="9"/>
        <v>065-902</v>
      </c>
      <c r="C616" t="s">
        <v>2237</v>
      </c>
      <c r="D616" s="2043">
        <v>116</v>
      </c>
      <c r="E616" s="2043">
        <v>124</v>
      </c>
      <c r="F616" s="2043">
        <v>8</v>
      </c>
      <c r="G616" s="2043">
        <v>0</v>
      </c>
      <c r="H616" s="2043">
        <v>0</v>
      </c>
      <c r="I616" s="106">
        <v>0</v>
      </c>
      <c r="J616" s="41" t="s">
        <v>10797</v>
      </c>
      <c r="K616" s="2043">
        <v>0</v>
      </c>
      <c r="L616" s="2043">
        <v>0</v>
      </c>
    </row>
    <row r="617" spans="1:12" ht="14.5">
      <c r="A617" t="s">
        <v>5031</v>
      </c>
      <c r="B617" s="380" t="str">
        <f t="shared" si="9"/>
        <v>084-903</v>
      </c>
      <c r="C617" t="s">
        <v>2242</v>
      </c>
      <c r="D617" s="2043">
        <v>150</v>
      </c>
      <c r="E617" s="2043">
        <v>158</v>
      </c>
      <c r="F617" s="2043">
        <v>8</v>
      </c>
      <c r="G617" s="2043">
        <v>0</v>
      </c>
      <c r="H617" s="2043">
        <v>0</v>
      </c>
      <c r="I617" s="106">
        <v>0</v>
      </c>
      <c r="J617" s="41" t="s">
        <v>10797</v>
      </c>
      <c r="K617" s="2043">
        <v>0</v>
      </c>
      <c r="L617" s="2043">
        <v>0</v>
      </c>
    </row>
    <row r="618" spans="1:12" ht="14.5">
      <c r="A618" t="s">
        <v>5807</v>
      </c>
      <c r="B618" s="380" t="str">
        <f t="shared" si="9"/>
        <v>095-902</v>
      </c>
      <c r="C618" t="s">
        <v>220</v>
      </c>
      <c r="D618" s="2043">
        <v>91</v>
      </c>
      <c r="E618" s="2043">
        <v>99</v>
      </c>
      <c r="F618" s="2043">
        <v>8</v>
      </c>
      <c r="G618" s="2043">
        <v>0</v>
      </c>
      <c r="H618" s="2043">
        <v>0</v>
      </c>
      <c r="I618" s="106">
        <v>0</v>
      </c>
      <c r="J618" s="41" t="s">
        <v>10797</v>
      </c>
      <c r="K618" s="2043">
        <v>0</v>
      </c>
      <c r="L618" s="2043">
        <v>0</v>
      </c>
    </row>
    <row r="619" spans="1:12" ht="14.5">
      <c r="A619" t="s">
        <v>3054</v>
      </c>
      <c r="B619" s="380" t="str">
        <f t="shared" si="9"/>
        <v>109-910</v>
      </c>
      <c r="C619" t="s">
        <v>2120</v>
      </c>
      <c r="D619" s="2043">
        <v>185</v>
      </c>
      <c r="E619" s="2043">
        <v>193</v>
      </c>
      <c r="F619" s="2043">
        <v>8</v>
      </c>
      <c r="G619" s="2043">
        <v>0</v>
      </c>
      <c r="H619" s="2043">
        <v>0</v>
      </c>
      <c r="I619" s="106">
        <v>0</v>
      </c>
      <c r="J619" s="41" t="s">
        <v>10797</v>
      </c>
      <c r="K619" s="2043">
        <v>0</v>
      </c>
      <c r="L619" s="2043">
        <v>0</v>
      </c>
    </row>
    <row r="620" spans="1:12" ht="14.5">
      <c r="A620" t="s">
        <v>5846</v>
      </c>
      <c r="B620" s="380" t="str">
        <f t="shared" si="9"/>
        <v>153-907</v>
      </c>
      <c r="C620" t="s">
        <v>526</v>
      </c>
      <c r="D620" s="2043">
        <v>120</v>
      </c>
      <c r="E620" s="2043">
        <v>128</v>
      </c>
      <c r="F620" s="2043">
        <v>8</v>
      </c>
      <c r="G620" s="2043">
        <v>0</v>
      </c>
      <c r="H620" s="2043">
        <v>0</v>
      </c>
      <c r="I620" s="106">
        <v>0</v>
      </c>
      <c r="J620" s="41" t="s">
        <v>10797</v>
      </c>
      <c r="K620" s="2043">
        <v>0</v>
      </c>
      <c r="L620" s="2043">
        <v>0</v>
      </c>
    </row>
    <row r="621" spans="1:12" ht="14.5">
      <c r="A621" t="s">
        <v>5251</v>
      </c>
      <c r="B621" s="380" t="str">
        <f t="shared" si="9"/>
        <v>208-903</v>
      </c>
      <c r="C621" t="s">
        <v>342</v>
      </c>
      <c r="D621" s="2043">
        <v>268</v>
      </c>
      <c r="E621" s="2043">
        <v>276</v>
      </c>
      <c r="F621" s="2043">
        <v>8</v>
      </c>
      <c r="G621" s="2043">
        <v>0</v>
      </c>
      <c r="H621" s="2043">
        <v>0</v>
      </c>
      <c r="I621" s="106">
        <v>0</v>
      </c>
      <c r="J621" s="41" t="s">
        <v>10797</v>
      </c>
      <c r="K621" s="2043">
        <v>0</v>
      </c>
      <c r="L621" s="2043">
        <v>0</v>
      </c>
    </row>
    <row r="622" spans="1:12" ht="14.5">
      <c r="A622" t="s">
        <v>5845</v>
      </c>
      <c r="B622" s="380" t="str">
        <f t="shared" si="9"/>
        <v>153-904</v>
      </c>
      <c r="C622" t="s">
        <v>524</v>
      </c>
      <c r="D622" s="2043">
        <v>589</v>
      </c>
      <c r="E622" s="2043">
        <v>598</v>
      </c>
      <c r="F622" s="2043">
        <v>9</v>
      </c>
      <c r="G622" s="2043">
        <v>0</v>
      </c>
      <c r="H622" s="2043">
        <v>0</v>
      </c>
      <c r="I622" s="106">
        <v>0</v>
      </c>
      <c r="J622" s="41" t="s">
        <v>10797</v>
      </c>
      <c r="K622" s="2043">
        <v>0</v>
      </c>
      <c r="L622" s="2043">
        <v>0</v>
      </c>
    </row>
    <row r="623" spans="1:12" ht="14.5">
      <c r="A623" t="s">
        <v>3120</v>
      </c>
      <c r="B623" s="380" t="str">
        <f t="shared" si="9"/>
        <v>161-901</v>
      </c>
      <c r="C623" t="s">
        <v>395</v>
      </c>
      <c r="D623" s="2043">
        <v>549</v>
      </c>
      <c r="E623" s="2043">
        <v>558</v>
      </c>
      <c r="F623" s="2043">
        <v>9</v>
      </c>
      <c r="G623" s="2043">
        <v>0</v>
      </c>
      <c r="H623" s="2043">
        <v>0</v>
      </c>
      <c r="I623" s="106">
        <v>0</v>
      </c>
      <c r="J623" s="41" t="s">
        <v>10797</v>
      </c>
      <c r="K623" s="2043">
        <v>0</v>
      </c>
      <c r="L623" s="2043">
        <v>0</v>
      </c>
    </row>
    <row r="624" spans="1:12" ht="14.5">
      <c r="A624" t="s">
        <v>5875</v>
      </c>
      <c r="B624" s="380" t="str">
        <f t="shared" si="9"/>
        <v>206-902</v>
      </c>
      <c r="C624" t="s">
        <v>337</v>
      </c>
      <c r="D624" s="2043">
        <v>112</v>
      </c>
      <c r="E624" s="2043">
        <v>121</v>
      </c>
      <c r="F624" s="2043">
        <v>9</v>
      </c>
      <c r="G624" s="2043">
        <v>0</v>
      </c>
      <c r="H624" s="2043">
        <v>0</v>
      </c>
      <c r="I624" s="106">
        <v>0</v>
      </c>
      <c r="J624" s="41" t="s">
        <v>10797</v>
      </c>
      <c r="K624" s="2043">
        <v>0</v>
      </c>
      <c r="L624" s="2043">
        <v>0</v>
      </c>
    </row>
    <row r="625" spans="1:12" ht="14.5">
      <c r="A625" t="s">
        <v>5876</v>
      </c>
      <c r="B625" s="380" t="str">
        <f t="shared" si="9"/>
        <v>206-903</v>
      </c>
      <c r="C625" t="s">
        <v>338</v>
      </c>
      <c r="D625" s="2043">
        <v>119</v>
      </c>
      <c r="E625" s="2043">
        <v>128</v>
      </c>
      <c r="F625" s="2043">
        <v>9</v>
      </c>
      <c r="G625" s="2043">
        <v>0</v>
      </c>
      <c r="H625" s="2043">
        <v>0</v>
      </c>
      <c r="I625" s="106">
        <v>0</v>
      </c>
      <c r="J625" s="41" t="s">
        <v>10797</v>
      </c>
      <c r="K625" s="2043">
        <v>0</v>
      </c>
      <c r="L625" s="2043">
        <v>0</v>
      </c>
    </row>
    <row r="626" spans="1:12" ht="14.5">
      <c r="A626" t="s">
        <v>5141</v>
      </c>
      <c r="B626" s="380" t="str">
        <f t="shared" si="9"/>
        <v>144-901</v>
      </c>
      <c r="C626" t="s">
        <v>902</v>
      </c>
      <c r="D626" s="2043">
        <v>1929</v>
      </c>
      <c r="E626" s="2043">
        <v>1939</v>
      </c>
      <c r="F626" s="2043">
        <v>10</v>
      </c>
      <c r="G626" s="2043">
        <v>0</v>
      </c>
      <c r="H626" s="2043">
        <v>0</v>
      </c>
      <c r="I626" s="106">
        <v>0</v>
      </c>
      <c r="J626" s="41" t="s">
        <v>10797</v>
      </c>
      <c r="K626" s="2043">
        <v>0</v>
      </c>
      <c r="L626" s="2043">
        <v>0</v>
      </c>
    </row>
    <row r="627" spans="1:12" ht="14.5">
      <c r="A627" t="s">
        <v>5843</v>
      </c>
      <c r="B627" s="380" t="str">
        <f t="shared" si="9"/>
        <v>144-903</v>
      </c>
      <c r="C627" t="s">
        <v>904</v>
      </c>
      <c r="D627" s="2043">
        <v>171</v>
      </c>
      <c r="E627" s="2043">
        <v>181</v>
      </c>
      <c r="F627" s="2043">
        <v>10</v>
      </c>
      <c r="G627" s="2043">
        <v>0</v>
      </c>
      <c r="H627" s="2043">
        <v>0</v>
      </c>
      <c r="I627" s="106">
        <v>0</v>
      </c>
      <c r="J627" s="41" t="s">
        <v>10797</v>
      </c>
      <c r="K627" s="2043">
        <v>0</v>
      </c>
      <c r="L627" s="2043">
        <v>0</v>
      </c>
    </row>
    <row r="628" spans="1:12" ht="14.5">
      <c r="A628" t="s">
        <v>5855</v>
      </c>
      <c r="B628" s="380" t="str">
        <f t="shared" si="9"/>
        <v>169-902</v>
      </c>
      <c r="C628" t="s">
        <v>1291</v>
      </c>
      <c r="D628" s="2043">
        <v>796</v>
      </c>
      <c r="E628" s="2043">
        <v>806</v>
      </c>
      <c r="F628" s="2043">
        <v>10</v>
      </c>
      <c r="G628" s="2043">
        <v>0</v>
      </c>
      <c r="H628" s="2043">
        <v>0</v>
      </c>
      <c r="I628" s="106">
        <v>0</v>
      </c>
      <c r="J628" s="41" t="s">
        <v>10797</v>
      </c>
      <c r="K628" s="2043">
        <v>0</v>
      </c>
      <c r="L628" s="2043">
        <v>0</v>
      </c>
    </row>
    <row r="629" spans="1:12" ht="14.5">
      <c r="A629" t="s">
        <v>5221</v>
      </c>
      <c r="B629" s="380" t="str">
        <f t="shared" si="9"/>
        <v>186-901</v>
      </c>
      <c r="C629" t="s">
        <v>418</v>
      </c>
      <c r="D629" s="2043">
        <v>230</v>
      </c>
      <c r="E629" s="2043">
        <v>240</v>
      </c>
      <c r="F629" s="2043">
        <v>10</v>
      </c>
      <c r="G629" s="2043">
        <v>0</v>
      </c>
      <c r="H629" s="2043">
        <v>0</v>
      </c>
      <c r="I629" s="106">
        <v>0</v>
      </c>
      <c r="J629" s="41" t="s">
        <v>10797</v>
      </c>
      <c r="K629" s="2043">
        <v>0</v>
      </c>
      <c r="L629" s="2043">
        <v>0</v>
      </c>
    </row>
    <row r="630" spans="1:12" ht="14.5">
      <c r="A630" t="s">
        <v>5265</v>
      </c>
      <c r="B630" s="380" t="str">
        <f t="shared" si="9"/>
        <v>219-905</v>
      </c>
      <c r="C630" t="s">
        <v>2426</v>
      </c>
      <c r="D630" s="2043">
        <v>261</v>
      </c>
      <c r="E630" s="2043">
        <v>271</v>
      </c>
      <c r="F630" s="2043">
        <v>10</v>
      </c>
      <c r="G630" s="2043">
        <v>0</v>
      </c>
      <c r="H630" s="2043">
        <v>0</v>
      </c>
      <c r="I630" s="106">
        <v>0</v>
      </c>
      <c r="J630" s="41" t="s">
        <v>10797</v>
      </c>
      <c r="K630" s="2043">
        <v>0</v>
      </c>
      <c r="L630" s="2043">
        <v>0</v>
      </c>
    </row>
    <row r="631" spans="1:12" ht="14.5">
      <c r="A631" t="s">
        <v>5834</v>
      </c>
      <c r="B631" s="380" t="str">
        <f t="shared" si="9"/>
        <v>138-903</v>
      </c>
      <c r="C631" t="s">
        <v>1940</v>
      </c>
      <c r="D631" s="2043">
        <v>394</v>
      </c>
      <c r="E631" s="2043">
        <v>405</v>
      </c>
      <c r="F631" s="2043">
        <v>11</v>
      </c>
      <c r="G631" s="2043">
        <v>0</v>
      </c>
      <c r="H631" s="2043">
        <v>0</v>
      </c>
      <c r="I631" s="106">
        <v>0</v>
      </c>
      <c r="J631" s="41" t="s">
        <v>10797</v>
      </c>
      <c r="K631" s="2043">
        <v>0</v>
      </c>
      <c r="L631" s="2043">
        <v>0</v>
      </c>
    </row>
    <row r="632" spans="1:12" ht="14.5">
      <c r="A632" t="s">
        <v>5766</v>
      </c>
      <c r="B632" s="380" t="str">
        <f t="shared" si="9"/>
        <v>039-904</v>
      </c>
      <c r="C632" t="s">
        <v>1814</v>
      </c>
      <c r="D632" s="2043">
        <v>139</v>
      </c>
      <c r="E632" s="2043">
        <v>151</v>
      </c>
      <c r="F632" s="2043">
        <v>12</v>
      </c>
      <c r="G632" s="2043">
        <v>0</v>
      </c>
      <c r="H632" s="2043">
        <v>0</v>
      </c>
      <c r="I632" s="106">
        <v>0</v>
      </c>
      <c r="J632" s="41" t="s">
        <v>10797</v>
      </c>
      <c r="K632" s="2043">
        <v>0</v>
      </c>
      <c r="L632" s="2043">
        <v>0</v>
      </c>
    </row>
    <row r="633" spans="1:12" ht="14.5">
      <c r="A633" t="s">
        <v>3901</v>
      </c>
      <c r="B633" s="380" t="str">
        <f t="shared" si="9"/>
        <v>073-903</v>
      </c>
      <c r="C633" t="s">
        <v>1950</v>
      </c>
      <c r="D633" s="2043">
        <v>870</v>
      </c>
      <c r="E633" s="2043">
        <v>882</v>
      </c>
      <c r="F633" s="2043">
        <v>12</v>
      </c>
      <c r="G633" s="2043">
        <v>0</v>
      </c>
      <c r="H633" s="2043">
        <v>0</v>
      </c>
      <c r="I633" s="106">
        <v>0</v>
      </c>
      <c r="J633" s="41" t="s">
        <v>10797</v>
      </c>
      <c r="K633" s="2043">
        <v>0</v>
      </c>
      <c r="L633" s="2043">
        <v>0</v>
      </c>
    </row>
    <row r="634" spans="1:12" ht="14.5">
      <c r="A634" t="s">
        <v>5101</v>
      </c>
      <c r="B634" s="380" t="str">
        <f t="shared" si="9"/>
        <v>114-904</v>
      </c>
      <c r="C634" t="s">
        <v>1483</v>
      </c>
      <c r="D634" s="2043">
        <v>757</v>
      </c>
      <c r="E634" s="2043">
        <v>769</v>
      </c>
      <c r="F634" s="2043">
        <v>12</v>
      </c>
      <c r="G634" s="2043">
        <v>0</v>
      </c>
      <c r="H634" s="2043">
        <v>0</v>
      </c>
      <c r="I634" s="106">
        <v>0</v>
      </c>
      <c r="J634" s="41" t="s">
        <v>10797</v>
      </c>
      <c r="K634" s="2043">
        <v>0</v>
      </c>
      <c r="L634" s="2043">
        <v>0</v>
      </c>
    </row>
    <row r="635" spans="1:12" ht="14.5">
      <c r="A635" t="s">
        <v>5216</v>
      </c>
      <c r="B635" s="380" t="str">
        <f t="shared" si="9"/>
        <v>183-901</v>
      </c>
      <c r="C635" t="s">
        <v>410</v>
      </c>
      <c r="D635" s="2043">
        <v>674</v>
      </c>
      <c r="E635" s="2043">
        <v>686</v>
      </c>
      <c r="F635" s="2043">
        <v>12</v>
      </c>
      <c r="G635" s="2043">
        <v>0</v>
      </c>
      <c r="H635" s="2043">
        <v>0</v>
      </c>
      <c r="I635" s="106">
        <v>0</v>
      </c>
      <c r="J635" s="41" t="s">
        <v>10797</v>
      </c>
      <c r="K635" s="2043">
        <v>0</v>
      </c>
      <c r="L635" s="2043">
        <v>0</v>
      </c>
    </row>
    <row r="636" spans="1:12" ht="14.5">
      <c r="A636" t="s">
        <v>5866</v>
      </c>
      <c r="B636" s="380" t="str">
        <f t="shared" si="9"/>
        <v>194-902</v>
      </c>
      <c r="C636" t="s">
        <v>1999</v>
      </c>
      <c r="D636" s="2043">
        <v>347</v>
      </c>
      <c r="E636" s="2043">
        <v>359</v>
      </c>
      <c r="F636" s="2043">
        <v>12</v>
      </c>
      <c r="G636" s="2043">
        <v>0</v>
      </c>
      <c r="H636" s="2043">
        <v>0</v>
      </c>
      <c r="I636" s="106">
        <v>0</v>
      </c>
      <c r="J636" s="41" t="s">
        <v>10797</v>
      </c>
      <c r="K636" s="2043">
        <v>0</v>
      </c>
      <c r="L636" s="2043">
        <v>0</v>
      </c>
    </row>
    <row r="637" spans="1:12" ht="14.5">
      <c r="A637" t="s">
        <v>5895</v>
      </c>
      <c r="B637" s="380" t="str">
        <f t="shared" si="9"/>
        <v>241-901</v>
      </c>
      <c r="C637" t="s">
        <v>1149</v>
      </c>
      <c r="D637" s="2043">
        <v>1129</v>
      </c>
      <c r="E637" s="2043">
        <v>1141</v>
      </c>
      <c r="F637" s="2043">
        <v>12</v>
      </c>
      <c r="G637" s="2043">
        <v>0</v>
      </c>
      <c r="H637" s="2043">
        <v>0</v>
      </c>
      <c r="I637" s="106">
        <v>0</v>
      </c>
      <c r="J637" s="41" t="s">
        <v>10797</v>
      </c>
      <c r="K637" s="2043">
        <v>0</v>
      </c>
      <c r="L637" s="2043">
        <v>0</v>
      </c>
    </row>
    <row r="638" spans="1:12" ht="14.5">
      <c r="A638" t="s">
        <v>2952</v>
      </c>
      <c r="B638" s="380" t="str">
        <f t="shared" si="9"/>
        <v>050-910</v>
      </c>
      <c r="C638" t="s">
        <v>2430</v>
      </c>
      <c r="D638" s="2043">
        <v>8099</v>
      </c>
      <c r="E638" s="2043">
        <v>8112</v>
      </c>
      <c r="F638" s="2043">
        <v>13</v>
      </c>
      <c r="G638" s="2043">
        <v>0</v>
      </c>
      <c r="H638" s="2043">
        <v>0</v>
      </c>
      <c r="I638" s="106">
        <v>0</v>
      </c>
      <c r="J638" s="41" t="s">
        <v>10797</v>
      </c>
      <c r="K638" s="2043">
        <v>0</v>
      </c>
      <c r="L638" s="2043">
        <v>0</v>
      </c>
    </row>
    <row r="639" spans="1:12" ht="14.5">
      <c r="A639" t="s">
        <v>5783</v>
      </c>
      <c r="B639" s="380" t="str">
        <f t="shared" si="9"/>
        <v>059-902</v>
      </c>
      <c r="C639" t="s">
        <v>2472</v>
      </c>
      <c r="D639" s="2043">
        <v>139</v>
      </c>
      <c r="E639" s="2043">
        <v>152</v>
      </c>
      <c r="F639" s="2043">
        <v>13</v>
      </c>
      <c r="G639" s="2043">
        <v>0</v>
      </c>
      <c r="H639" s="2043">
        <v>0</v>
      </c>
      <c r="I639" s="106">
        <v>0</v>
      </c>
      <c r="J639" s="41" t="s">
        <v>10797</v>
      </c>
      <c r="K639" s="2043">
        <v>0</v>
      </c>
      <c r="L639" s="2043">
        <v>0</v>
      </c>
    </row>
    <row r="640" spans="1:12" ht="14.5">
      <c r="A640" t="s">
        <v>2988</v>
      </c>
      <c r="B640" s="380" t="str">
        <f t="shared" si="9"/>
        <v>072-909</v>
      </c>
      <c r="C640" t="s">
        <v>2329</v>
      </c>
      <c r="D640" s="2043">
        <v>271</v>
      </c>
      <c r="E640" s="2043">
        <v>284</v>
      </c>
      <c r="F640" s="2043">
        <v>13</v>
      </c>
      <c r="G640" s="2043">
        <v>0</v>
      </c>
      <c r="H640" s="2043">
        <v>0</v>
      </c>
      <c r="I640" s="106">
        <v>0</v>
      </c>
      <c r="J640" s="41" t="s">
        <v>10797</v>
      </c>
      <c r="K640" s="2043">
        <v>0</v>
      </c>
      <c r="L640" s="2043">
        <v>0</v>
      </c>
    </row>
    <row r="641" spans="1:12" ht="14.5">
      <c r="A641" t="s">
        <v>5041</v>
      </c>
      <c r="B641" s="380" t="str">
        <f t="shared" si="9"/>
        <v>090-902</v>
      </c>
      <c r="C641" t="s">
        <v>1357</v>
      </c>
      <c r="D641" s="2043">
        <v>164</v>
      </c>
      <c r="E641" s="2043">
        <v>177</v>
      </c>
      <c r="F641" s="2043">
        <v>13</v>
      </c>
      <c r="G641" s="2043">
        <v>0</v>
      </c>
      <c r="H641" s="2043">
        <v>0</v>
      </c>
      <c r="I641" s="106">
        <v>0</v>
      </c>
      <c r="J641" s="41" t="s">
        <v>10797</v>
      </c>
      <c r="K641" s="2043">
        <v>0</v>
      </c>
      <c r="L641" s="2043">
        <v>0</v>
      </c>
    </row>
    <row r="642" spans="1:12" ht="14.5">
      <c r="A642" t="s">
        <v>3172</v>
      </c>
      <c r="B642" s="380" t="str">
        <f t="shared" si="9"/>
        <v>184-903</v>
      </c>
      <c r="C642" t="s">
        <v>131</v>
      </c>
      <c r="D642" s="2043">
        <v>8021</v>
      </c>
      <c r="E642" s="2043">
        <v>8034</v>
      </c>
      <c r="F642" s="2043">
        <v>13</v>
      </c>
      <c r="G642" s="2043">
        <v>0</v>
      </c>
      <c r="H642" s="2043">
        <v>0</v>
      </c>
      <c r="I642" s="106">
        <v>0</v>
      </c>
      <c r="J642" s="41" t="s">
        <v>10797</v>
      </c>
      <c r="K642" s="2043">
        <v>0</v>
      </c>
      <c r="L642" s="2043">
        <v>0</v>
      </c>
    </row>
    <row r="643" spans="1:12" ht="14.5">
      <c r="A643" t="s">
        <v>5249</v>
      </c>
      <c r="B643" s="380" t="str">
        <f t="shared" ref="B643:B706" si="10">CONCATENATE(LEFT(RIGHT(CONCATENATE("000",A643),6),3),"-",(RIGHT(RIGHT(CONCATENATE("000",A643),6),3)))</f>
        <v>208-901</v>
      </c>
      <c r="C643" t="s">
        <v>340</v>
      </c>
      <c r="D643" s="2043">
        <v>245</v>
      </c>
      <c r="E643" s="2043">
        <v>258</v>
      </c>
      <c r="F643" s="2043">
        <v>13</v>
      </c>
      <c r="G643" s="2043">
        <v>0</v>
      </c>
      <c r="H643" s="2043">
        <v>0</v>
      </c>
      <c r="I643" s="106">
        <v>0</v>
      </c>
      <c r="J643" s="41" t="s">
        <v>10797</v>
      </c>
      <c r="K643" s="2043">
        <v>0</v>
      </c>
      <c r="L643" s="2043">
        <v>0</v>
      </c>
    </row>
    <row r="644" spans="1:12" ht="14.5">
      <c r="A644" t="s">
        <v>5278</v>
      </c>
      <c r="B644" s="380" t="str">
        <f t="shared" si="10"/>
        <v>226-905</v>
      </c>
      <c r="C644" t="s">
        <v>1800</v>
      </c>
      <c r="D644" s="2043">
        <v>339</v>
      </c>
      <c r="E644" s="2043">
        <v>352</v>
      </c>
      <c r="F644" s="2043">
        <v>13</v>
      </c>
      <c r="G644" s="2043">
        <v>0</v>
      </c>
      <c r="H644" s="2043">
        <v>0</v>
      </c>
      <c r="I644" s="106">
        <v>0</v>
      </c>
      <c r="J644" s="41" t="s">
        <v>10797</v>
      </c>
      <c r="K644" s="2043">
        <v>0</v>
      </c>
      <c r="L644" s="2043">
        <v>0</v>
      </c>
    </row>
    <row r="645" spans="1:12" ht="14.5">
      <c r="A645" t="s">
        <v>5753</v>
      </c>
      <c r="B645" s="380" t="str">
        <f t="shared" si="10"/>
        <v>018-903</v>
      </c>
      <c r="C645" t="s">
        <v>2536</v>
      </c>
      <c r="D645" s="2043">
        <v>125</v>
      </c>
      <c r="E645" s="2043">
        <v>139</v>
      </c>
      <c r="F645" s="2043">
        <v>14</v>
      </c>
      <c r="G645" s="2043">
        <v>0</v>
      </c>
      <c r="H645" s="2043">
        <v>0</v>
      </c>
      <c r="I645" s="106">
        <v>0</v>
      </c>
      <c r="J645" s="41" t="s">
        <v>10797</v>
      </c>
      <c r="K645" s="2043">
        <v>0</v>
      </c>
      <c r="L645" s="2043">
        <v>0</v>
      </c>
    </row>
    <row r="646" spans="1:12" ht="14.5">
      <c r="A646" t="s">
        <v>4968</v>
      </c>
      <c r="B646" s="380" t="str">
        <f t="shared" si="10"/>
        <v>039-902</v>
      </c>
      <c r="C646" t="s">
        <v>1813</v>
      </c>
      <c r="D646" s="2043">
        <v>931</v>
      </c>
      <c r="E646" s="2043">
        <v>945</v>
      </c>
      <c r="F646" s="2043">
        <v>14</v>
      </c>
      <c r="G646" s="2043">
        <v>0</v>
      </c>
      <c r="H646" s="2043">
        <v>0</v>
      </c>
      <c r="I646" s="106">
        <v>0</v>
      </c>
      <c r="J646" s="41" t="s">
        <v>10797</v>
      </c>
      <c r="K646" s="2043">
        <v>0</v>
      </c>
      <c r="L646" s="2043">
        <v>0</v>
      </c>
    </row>
    <row r="647" spans="1:12" ht="14.5">
      <c r="A647" t="s">
        <v>4996</v>
      </c>
      <c r="B647" s="380" t="str">
        <f t="shared" si="10"/>
        <v>058-909</v>
      </c>
      <c r="C647" t="s">
        <v>2471</v>
      </c>
      <c r="D647" s="2043">
        <v>235</v>
      </c>
      <c r="E647" s="2043">
        <v>249</v>
      </c>
      <c r="F647" s="2043">
        <v>14</v>
      </c>
      <c r="G647" s="2043">
        <v>0</v>
      </c>
      <c r="H647" s="2043">
        <v>0</v>
      </c>
      <c r="I647" s="106">
        <v>0</v>
      </c>
      <c r="J647" s="41" t="s">
        <v>10797</v>
      </c>
      <c r="K647" s="2043">
        <v>0</v>
      </c>
      <c r="L647" s="2043">
        <v>0</v>
      </c>
    </row>
    <row r="648" spans="1:12" ht="14.5">
      <c r="A648" t="s">
        <v>5063</v>
      </c>
      <c r="B648" s="380" t="str">
        <f t="shared" si="10"/>
        <v>099-902</v>
      </c>
      <c r="C648" t="s">
        <v>448</v>
      </c>
      <c r="D648" s="2043">
        <v>185</v>
      </c>
      <c r="E648" s="2043">
        <v>199</v>
      </c>
      <c r="F648" s="2043">
        <v>14</v>
      </c>
      <c r="G648" s="2043">
        <v>0</v>
      </c>
      <c r="H648" s="2043">
        <v>0</v>
      </c>
      <c r="I648" s="106">
        <v>0</v>
      </c>
      <c r="J648" s="41" t="s">
        <v>10797</v>
      </c>
      <c r="K648" s="2043">
        <v>0</v>
      </c>
      <c r="L648" s="2043">
        <v>0</v>
      </c>
    </row>
    <row r="649" spans="1:12" ht="14.5">
      <c r="A649" t="s">
        <v>5829</v>
      </c>
      <c r="B649" s="380" t="str">
        <f t="shared" si="10"/>
        <v>133-905</v>
      </c>
      <c r="C649" t="s">
        <v>1933</v>
      </c>
      <c r="D649" s="2043">
        <v>18</v>
      </c>
      <c r="E649" s="2043">
        <v>32</v>
      </c>
      <c r="F649" s="2043">
        <v>14</v>
      </c>
      <c r="G649" s="2043">
        <v>0</v>
      </c>
      <c r="H649" s="2043">
        <v>0</v>
      </c>
      <c r="I649" s="106">
        <v>0</v>
      </c>
      <c r="J649" s="41" t="s">
        <v>10797</v>
      </c>
      <c r="K649" s="2043">
        <v>0</v>
      </c>
      <c r="L649" s="2043">
        <v>0</v>
      </c>
    </row>
    <row r="650" spans="1:12" ht="14.5">
      <c r="A650" t="s">
        <v>3223</v>
      </c>
      <c r="B650" s="380" t="str">
        <f t="shared" si="10"/>
        <v>226-907</v>
      </c>
      <c r="C650" t="s">
        <v>1635</v>
      </c>
      <c r="D650" s="2043">
        <v>1119</v>
      </c>
      <c r="E650" s="2043">
        <v>1133</v>
      </c>
      <c r="F650" s="2043">
        <v>14</v>
      </c>
      <c r="G650" s="2043">
        <v>0</v>
      </c>
      <c r="H650" s="2043">
        <v>0</v>
      </c>
      <c r="I650" s="106">
        <v>0</v>
      </c>
      <c r="J650" s="41" t="s">
        <v>10797</v>
      </c>
      <c r="K650" s="2043">
        <v>0</v>
      </c>
      <c r="L650" s="2043">
        <v>0</v>
      </c>
    </row>
    <row r="651" spans="1:12" ht="14.5">
      <c r="A651" t="s">
        <v>3053</v>
      </c>
      <c r="B651" s="380" t="str">
        <f t="shared" si="10"/>
        <v>109-908</v>
      </c>
      <c r="C651" t="s">
        <v>2033</v>
      </c>
      <c r="D651" s="2043">
        <v>138</v>
      </c>
      <c r="E651" s="2043">
        <v>153</v>
      </c>
      <c r="F651" s="2043">
        <v>15</v>
      </c>
      <c r="G651" s="2043">
        <v>0</v>
      </c>
      <c r="H651" s="2043">
        <v>0</v>
      </c>
      <c r="I651" s="106">
        <v>0</v>
      </c>
      <c r="J651" s="41" t="s">
        <v>10797</v>
      </c>
      <c r="K651" s="2043">
        <v>0</v>
      </c>
      <c r="L651" s="2043">
        <v>0</v>
      </c>
    </row>
    <row r="652" spans="1:12" ht="14.5">
      <c r="A652" t="s">
        <v>5839</v>
      </c>
      <c r="B652" s="380" t="str">
        <f t="shared" si="10"/>
        <v>143-902</v>
      </c>
      <c r="C652" t="s">
        <v>897</v>
      </c>
      <c r="D652" s="2043">
        <v>294</v>
      </c>
      <c r="E652" s="2043">
        <v>309</v>
      </c>
      <c r="F652" s="2043">
        <v>15</v>
      </c>
      <c r="G652" s="2043">
        <v>0</v>
      </c>
      <c r="H652" s="2043">
        <v>0</v>
      </c>
      <c r="I652" s="106">
        <v>0</v>
      </c>
      <c r="J652" s="41" t="s">
        <v>10797</v>
      </c>
      <c r="K652" s="2043">
        <v>0</v>
      </c>
      <c r="L652" s="2043">
        <v>0</v>
      </c>
    </row>
    <row r="653" spans="1:12" ht="14.5">
      <c r="A653" t="s">
        <v>5182</v>
      </c>
      <c r="B653" s="380" t="str">
        <f t="shared" si="10"/>
        <v>169-910</v>
      </c>
      <c r="C653" t="s">
        <v>2124</v>
      </c>
      <c r="D653" s="2043">
        <v>161</v>
      </c>
      <c r="E653" s="2043">
        <v>176</v>
      </c>
      <c r="F653" s="2043">
        <v>15</v>
      </c>
      <c r="G653" s="2043">
        <v>0</v>
      </c>
      <c r="H653" s="2043">
        <v>0</v>
      </c>
      <c r="I653" s="106">
        <v>0</v>
      </c>
      <c r="J653" s="41" t="s">
        <v>10797</v>
      </c>
      <c r="K653" s="2043">
        <v>0</v>
      </c>
      <c r="L653" s="2043">
        <v>0</v>
      </c>
    </row>
    <row r="654" spans="1:12" ht="14.5">
      <c r="A654" t="s">
        <v>4185</v>
      </c>
      <c r="B654" s="380" t="str">
        <f t="shared" si="10"/>
        <v>109-903</v>
      </c>
      <c r="C654" t="s">
        <v>626</v>
      </c>
      <c r="D654" s="2043">
        <v>286</v>
      </c>
      <c r="E654" s="2043">
        <v>302</v>
      </c>
      <c r="F654" s="2043">
        <v>16</v>
      </c>
      <c r="G654" s="2043">
        <v>0</v>
      </c>
      <c r="H654" s="2043">
        <v>0</v>
      </c>
      <c r="I654" s="106">
        <v>0</v>
      </c>
      <c r="J654" s="41" t="s">
        <v>10797</v>
      </c>
      <c r="K654" s="2043">
        <v>0</v>
      </c>
      <c r="L654" s="2043">
        <v>0</v>
      </c>
    </row>
    <row r="655" spans="1:12" ht="14.5">
      <c r="A655" t="s">
        <v>2922</v>
      </c>
      <c r="B655" s="380" t="str">
        <f t="shared" si="10"/>
        <v>035-903</v>
      </c>
      <c r="C655" t="s">
        <v>370</v>
      </c>
      <c r="D655" s="2043">
        <v>233</v>
      </c>
      <c r="E655" s="2043">
        <v>250</v>
      </c>
      <c r="F655" s="2043">
        <v>17</v>
      </c>
      <c r="G655" s="2043">
        <v>0</v>
      </c>
      <c r="H655" s="2043">
        <v>0</v>
      </c>
      <c r="I655" s="106">
        <v>0</v>
      </c>
      <c r="J655" s="41" t="s">
        <v>10797</v>
      </c>
      <c r="K655" s="2043">
        <v>0</v>
      </c>
      <c r="L655" s="2043">
        <v>0</v>
      </c>
    </row>
    <row r="656" spans="1:12" ht="14.5">
      <c r="A656" t="s">
        <v>5014</v>
      </c>
      <c r="B656" s="380" t="str">
        <f t="shared" si="10"/>
        <v>074-911</v>
      </c>
      <c r="C656" t="s">
        <v>4</v>
      </c>
      <c r="D656" s="2043">
        <v>289</v>
      </c>
      <c r="E656" s="2043">
        <v>306</v>
      </c>
      <c r="F656" s="2043">
        <v>17</v>
      </c>
      <c r="G656" s="2043">
        <v>0</v>
      </c>
      <c r="H656" s="2043">
        <v>0</v>
      </c>
      <c r="I656" s="106">
        <v>0</v>
      </c>
      <c r="J656" s="41" t="s">
        <v>10797</v>
      </c>
      <c r="K656" s="2043">
        <v>0</v>
      </c>
      <c r="L656" s="2043">
        <v>0</v>
      </c>
    </row>
    <row r="657" spans="1:12" ht="14.5">
      <c r="A657" t="s">
        <v>5027</v>
      </c>
      <c r="B657" s="380" t="str">
        <f t="shared" si="10"/>
        <v>083-902</v>
      </c>
      <c r="C657" t="s">
        <v>498</v>
      </c>
      <c r="D657" s="2043">
        <v>134</v>
      </c>
      <c r="E657" s="2043">
        <v>151</v>
      </c>
      <c r="F657" s="2043">
        <v>17</v>
      </c>
      <c r="G657" s="2043">
        <v>0</v>
      </c>
      <c r="H657" s="2043">
        <v>0</v>
      </c>
      <c r="I657" s="106">
        <v>0</v>
      </c>
      <c r="J657" s="41" t="s">
        <v>10797</v>
      </c>
      <c r="K657" s="2043">
        <v>0</v>
      </c>
      <c r="L657" s="2043">
        <v>0</v>
      </c>
    </row>
    <row r="658" spans="1:12" ht="14.5">
      <c r="A658" t="s">
        <v>5808</v>
      </c>
      <c r="B658" s="380" t="str">
        <f t="shared" si="10"/>
        <v>095-904</v>
      </c>
      <c r="C658" t="s">
        <v>222</v>
      </c>
      <c r="D658" s="2043">
        <v>259</v>
      </c>
      <c r="E658" s="2043">
        <v>276</v>
      </c>
      <c r="F658" s="2043">
        <v>17</v>
      </c>
      <c r="G658" s="2043">
        <v>0</v>
      </c>
      <c r="H658" s="2043">
        <v>0</v>
      </c>
      <c r="I658" s="106">
        <v>0</v>
      </c>
      <c r="J658" s="41" t="s">
        <v>10797</v>
      </c>
      <c r="K658" s="2043">
        <v>0</v>
      </c>
      <c r="L658" s="2043">
        <v>0</v>
      </c>
    </row>
    <row r="659" spans="1:12" ht="14.5">
      <c r="A659" t="s">
        <v>3143</v>
      </c>
      <c r="B659" s="380" t="str">
        <f t="shared" si="10"/>
        <v>167-904</v>
      </c>
      <c r="C659" t="s">
        <v>71</v>
      </c>
      <c r="D659" s="2043">
        <v>107</v>
      </c>
      <c r="E659" s="2043">
        <v>124</v>
      </c>
      <c r="F659" s="2043">
        <v>17</v>
      </c>
      <c r="G659" s="2043">
        <v>0</v>
      </c>
      <c r="H659" s="2043">
        <v>0</v>
      </c>
      <c r="I659" s="106">
        <v>0</v>
      </c>
      <c r="J659" s="41" t="s">
        <v>10797</v>
      </c>
      <c r="K659" s="2043">
        <v>0</v>
      </c>
      <c r="L659" s="2043">
        <v>0</v>
      </c>
    </row>
    <row r="660" spans="1:12" ht="14.5">
      <c r="A660" t="s">
        <v>5865</v>
      </c>
      <c r="B660" s="380" t="str">
        <f t="shared" si="10"/>
        <v>187-903</v>
      </c>
      <c r="C660" t="s">
        <v>422</v>
      </c>
      <c r="D660" s="2043">
        <v>227</v>
      </c>
      <c r="E660" s="2043">
        <v>244</v>
      </c>
      <c r="F660" s="2043">
        <v>17</v>
      </c>
      <c r="G660" s="2043">
        <v>0</v>
      </c>
      <c r="H660" s="2043">
        <v>0</v>
      </c>
      <c r="I660" s="106">
        <v>0</v>
      </c>
      <c r="J660" s="41" t="s">
        <v>10797</v>
      </c>
      <c r="K660" s="2043">
        <v>0</v>
      </c>
      <c r="L660" s="2043">
        <v>0</v>
      </c>
    </row>
    <row r="661" spans="1:12" ht="14.5">
      <c r="A661" t="s">
        <v>5880</v>
      </c>
      <c r="B661" s="380" t="str">
        <f t="shared" si="10"/>
        <v>210-905</v>
      </c>
      <c r="C661" t="s">
        <v>1682</v>
      </c>
      <c r="D661" s="2043">
        <v>628</v>
      </c>
      <c r="E661" s="2043">
        <v>645</v>
      </c>
      <c r="F661" s="2043">
        <v>17</v>
      </c>
      <c r="G661" s="2043">
        <v>0</v>
      </c>
      <c r="H661" s="2043">
        <v>0</v>
      </c>
      <c r="I661" s="106">
        <v>0</v>
      </c>
      <c r="J661" s="41" t="s">
        <v>10797</v>
      </c>
      <c r="K661" s="2043">
        <v>0</v>
      </c>
      <c r="L661" s="2043">
        <v>0</v>
      </c>
    </row>
    <row r="662" spans="1:12" ht="14.5">
      <c r="A662" t="s">
        <v>5012</v>
      </c>
      <c r="B662" s="380" t="str">
        <f t="shared" si="10"/>
        <v>074-903</v>
      </c>
      <c r="C662" t="s">
        <v>1</v>
      </c>
      <c r="D662" s="2043">
        <v>1869</v>
      </c>
      <c r="E662" s="2043">
        <v>1887</v>
      </c>
      <c r="F662" s="2043">
        <v>18</v>
      </c>
      <c r="G662" s="2043">
        <v>0</v>
      </c>
      <c r="H662" s="2043">
        <v>0</v>
      </c>
      <c r="I662" s="106">
        <v>0</v>
      </c>
      <c r="J662" s="41" t="s">
        <v>10797</v>
      </c>
      <c r="K662" s="2043">
        <v>0</v>
      </c>
      <c r="L662" s="2043">
        <v>0</v>
      </c>
    </row>
    <row r="663" spans="1:12" ht="14.5">
      <c r="A663" t="s">
        <v>5804</v>
      </c>
      <c r="B663" s="380" t="str">
        <f t="shared" si="10"/>
        <v>086-024</v>
      </c>
      <c r="C663" t="s">
        <v>983</v>
      </c>
      <c r="D663" s="2043">
        <v>6</v>
      </c>
      <c r="E663" s="2043">
        <v>24</v>
      </c>
      <c r="F663" s="2043">
        <v>18</v>
      </c>
      <c r="G663" s="2043">
        <v>0</v>
      </c>
      <c r="H663" s="2043">
        <v>0</v>
      </c>
      <c r="I663" s="106">
        <v>0</v>
      </c>
      <c r="J663" s="41" t="s">
        <v>10797</v>
      </c>
      <c r="K663" s="2043">
        <v>0</v>
      </c>
      <c r="L663" s="2043">
        <v>0</v>
      </c>
    </row>
    <row r="664" spans="1:12" ht="14.5">
      <c r="A664" t="s">
        <v>5059</v>
      </c>
      <c r="B664" s="380" t="str">
        <f t="shared" si="10"/>
        <v>097-902</v>
      </c>
      <c r="C664" t="s">
        <v>987</v>
      </c>
      <c r="D664" s="2043">
        <v>815</v>
      </c>
      <c r="E664" s="2043">
        <v>833</v>
      </c>
      <c r="F664" s="2043">
        <v>18</v>
      </c>
      <c r="G664" s="2043">
        <v>0</v>
      </c>
      <c r="H664" s="2043">
        <v>0</v>
      </c>
      <c r="I664" s="106">
        <v>0</v>
      </c>
      <c r="J664" s="41" t="s">
        <v>10797</v>
      </c>
      <c r="K664" s="2043">
        <v>0</v>
      </c>
      <c r="L664" s="2043">
        <v>0</v>
      </c>
    </row>
    <row r="665" spans="1:12" ht="14.5">
      <c r="A665" t="s">
        <v>5122</v>
      </c>
      <c r="B665" s="380" t="str">
        <f t="shared" si="10"/>
        <v>127-903</v>
      </c>
      <c r="C665" t="s">
        <v>1922</v>
      </c>
      <c r="D665" s="2043">
        <v>413</v>
      </c>
      <c r="E665" s="2043">
        <v>431</v>
      </c>
      <c r="F665" s="2043">
        <v>18</v>
      </c>
      <c r="G665" s="2043">
        <v>0</v>
      </c>
      <c r="H665" s="2043">
        <v>0</v>
      </c>
      <c r="I665" s="106">
        <v>0</v>
      </c>
      <c r="J665" s="41" t="s">
        <v>10797</v>
      </c>
      <c r="K665" s="2043">
        <v>0</v>
      </c>
      <c r="L665" s="2043">
        <v>0</v>
      </c>
    </row>
    <row r="666" spans="1:12" ht="14.5">
      <c r="A666" t="s">
        <v>5174</v>
      </c>
      <c r="B666" s="380" t="str">
        <f t="shared" si="10"/>
        <v>162-904</v>
      </c>
      <c r="C666" t="s">
        <v>1658</v>
      </c>
      <c r="D666" s="2043">
        <v>265</v>
      </c>
      <c r="E666" s="2043">
        <v>283</v>
      </c>
      <c r="F666" s="2043">
        <v>18</v>
      </c>
      <c r="G666" s="2043">
        <v>0</v>
      </c>
      <c r="H666" s="2043">
        <v>0</v>
      </c>
      <c r="I666" s="106">
        <v>0</v>
      </c>
      <c r="J666" s="41" t="s">
        <v>10797</v>
      </c>
      <c r="K666" s="2043">
        <v>0</v>
      </c>
      <c r="L666" s="2043">
        <v>0</v>
      </c>
    </row>
    <row r="667" spans="1:12" ht="14.5">
      <c r="A667" t="s">
        <v>5178</v>
      </c>
      <c r="B667" s="380" t="str">
        <f t="shared" si="10"/>
        <v>166-905</v>
      </c>
      <c r="C667" t="s">
        <v>1664</v>
      </c>
      <c r="D667" s="2043">
        <v>578</v>
      </c>
      <c r="E667" s="2043">
        <v>596</v>
      </c>
      <c r="F667" s="2043">
        <v>18</v>
      </c>
      <c r="G667" s="2043">
        <v>0</v>
      </c>
      <c r="H667" s="2043">
        <v>0</v>
      </c>
      <c r="I667" s="106">
        <v>0</v>
      </c>
      <c r="J667" s="41" t="s">
        <v>10797</v>
      </c>
      <c r="K667" s="2043">
        <v>0</v>
      </c>
      <c r="L667" s="2043">
        <v>0</v>
      </c>
    </row>
    <row r="668" spans="1:12" ht="14.5">
      <c r="A668" t="s">
        <v>5257</v>
      </c>
      <c r="B668" s="380" t="str">
        <f t="shared" si="10"/>
        <v>212-905</v>
      </c>
      <c r="C668" t="s">
        <v>1885</v>
      </c>
      <c r="D668" s="2043">
        <v>18130</v>
      </c>
      <c r="E668" s="2043">
        <v>18148</v>
      </c>
      <c r="F668" s="2043">
        <v>18</v>
      </c>
      <c r="G668" s="2043">
        <v>0</v>
      </c>
      <c r="H668" s="2043">
        <v>0</v>
      </c>
      <c r="I668" s="106">
        <v>0</v>
      </c>
      <c r="J668" s="41" t="s">
        <v>10797</v>
      </c>
      <c r="K668" s="2043">
        <v>0</v>
      </c>
      <c r="L668" s="2043">
        <v>0</v>
      </c>
    </row>
    <row r="669" spans="1:12" ht="14.5">
      <c r="A669" t="s">
        <v>5890</v>
      </c>
      <c r="B669" s="380" t="str">
        <f t="shared" si="10"/>
        <v>228-905</v>
      </c>
      <c r="C669" t="s">
        <v>1808</v>
      </c>
      <c r="D669" s="2043">
        <v>187</v>
      </c>
      <c r="E669" s="2043">
        <v>205</v>
      </c>
      <c r="F669" s="2043">
        <v>18</v>
      </c>
      <c r="G669" s="2043">
        <v>0</v>
      </c>
      <c r="H669" s="2043">
        <v>0</v>
      </c>
      <c r="I669" s="106">
        <v>0</v>
      </c>
      <c r="J669" s="41" t="s">
        <v>10797</v>
      </c>
      <c r="K669" s="2043">
        <v>0</v>
      </c>
      <c r="L669" s="2043">
        <v>0</v>
      </c>
    </row>
    <row r="670" spans="1:12" ht="14.5">
      <c r="A670" t="s">
        <v>3241</v>
      </c>
      <c r="B670" s="380" t="str">
        <f t="shared" si="10"/>
        <v>234-909</v>
      </c>
      <c r="C670" t="s">
        <v>1390</v>
      </c>
      <c r="D670" s="2043">
        <v>410</v>
      </c>
      <c r="E670" s="2043">
        <v>428</v>
      </c>
      <c r="F670" s="2043">
        <v>18</v>
      </c>
      <c r="G670" s="2043">
        <v>0</v>
      </c>
      <c r="H670" s="2043">
        <v>0</v>
      </c>
      <c r="I670" s="106">
        <v>0</v>
      </c>
      <c r="J670" s="41" t="s">
        <v>10797</v>
      </c>
      <c r="K670" s="2043">
        <v>0</v>
      </c>
      <c r="L670" s="2043">
        <v>0</v>
      </c>
    </row>
    <row r="671" spans="1:12" ht="14.5">
      <c r="A671" t="s">
        <v>2958</v>
      </c>
      <c r="B671" s="380" t="str">
        <f t="shared" si="10"/>
        <v>060-902</v>
      </c>
      <c r="C671" t="s">
        <v>2473</v>
      </c>
      <c r="D671" s="2043">
        <v>830</v>
      </c>
      <c r="E671" s="2043">
        <v>849</v>
      </c>
      <c r="F671" s="2043">
        <v>19</v>
      </c>
      <c r="G671" s="2043">
        <v>0</v>
      </c>
      <c r="H671" s="2043">
        <v>0</v>
      </c>
      <c r="I671" s="106">
        <v>0</v>
      </c>
      <c r="J671" s="41" t="s">
        <v>10797</v>
      </c>
      <c r="K671" s="2043">
        <v>0</v>
      </c>
      <c r="L671" s="2043">
        <v>0</v>
      </c>
    </row>
    <row r="672" spans="1:12" ht="14.5">
      <c r="A672" t="s">
        <v>5096</v>
      </c>
      <c r="B672" s="380" t="str">
        <f t="shared" si="10"/>
        <v>112-906</v>
      </c>
      <c r="C672" t="s">
        <v>207</v>
      </c>
      <c r="D672" s="2043">
        <v>516</v>
      </c>
      <c r="E672" s="2043">
        <v>535</v>
      </c>
      <c r="F672" s="2043">
        <v>19</v>
      </c>
      <c r="G672" s="2043">
        <v>0</v>
      </c>
      <c r="H672" s="2043">
        <v>0</v>
      </c>
      <c r="I672" s="106">
        <v>0</v>
      </c>
      <c r="J672" s="41" t="s">
        <v>10797</v>
      </c>
      <c r="K672" s="2043">
        <v>0</v>
      </c>
      <c r="L672" s="2043">
        <v>0</v>
      </c>
    </row>
    <row r="673" spans="1:12" ht="14.5">
      <c r="A673" t="s">
        <v>3125</v>
      </c>
      <c r="B673" s="380" t="str">
        <f t="shared" si="10"/>
        <v>161-910</v>
      </c>
      <c r="C673" t="s">
        <v>1653</v>
      </c>
      <c r="D673" s="2043">
        <v>669</v>
      </c>
      <c r="E673" s="2043">
        <v>688</v>
      </c>
      <c r="F673" s="2043">
        <v>19</v>
      </c>
      <c r="G673" s="2043">
        <v>0</v>
      </c>
      <c r="H673" s="2043">
        <v>0</v>
      </c>
      <c r="I673" s="106">
        <v>0</v>
      </c>
      <c r="J673" s="41" t="s">
        <v>10797</v>
      </c>
      <c r="K673" s="2043">
        <v>0</v>
      </c>
      <c r="L673" s="2043">
        <v>0</v>
      </c>
    </row>
    <row r="674" spans="1:12" ht="14.5">
      <c r="A674" t="s">
        <v>3229</v>
      </c>
      <c r="B674" s="380" t="str">
        <f t="shared" si="10"/>
        <v>229-906</v>
      </c>
      <c r="C674" t="s">
        <v>2061</v>
      </c>
      <c r="D674" s="2043">
        <v>194</v>
      </c>
      <c r="E674" s="2043">
        <v>213</v>
      </c>
      <c r="F674" s="2043">
        <v>19</v>
      </c>
      <c r="G674" s="2043">
        <v>0</v>
      </c>
      <c r="H674" s="2043">
        <v>0</v>
      </c>
      <c r="I674" s="106">
        <v>0</v>
      </c>
      <c r="J674" s="41" t="s">
        <v>10797</v>
      </c>
      <c r="K674" s="2043">
        <v>0</v>
      </c>
      <c r="L674" s="2043">
        <v>0</v>
      </c>
    </row>
    <row r="675" spans="1:12" ht="14.5">
      <c r="A675" t="s">
        <v>4978</v>
      </c>
      <c r="B675" s="380" t="str">
        <f t="shared" si="10"/>
        <v>049-902</v>
      </c>
      <c r="C675" t="s">
        <v>2089</v>
      </c>
      <c r="D675" s="2043">
        <v>518</v>
      </c>
      <c r="E675" s="2043">
        <v>538</v>
      </c>
      <c r="F675" s="2043">
        <v>20</v>
      </c>
      <c r="G675" s="2043">
        <v>0</v>
      </c>
      <c r="H675" s="2043">
        <v>0</v>
      </c>
      <c r="I675" s="106">
        <v>0</v>
      </c>
      <c r="J675" s="41" t="s">
        <v>10797</v>
      </c>
      <c r="K675" s="2043">
        <v>0</v>
      </c>
      <c r="L675" s="2043">
        <v>0</v>
      </c>
    </row>
    <row r="676" spans="1:12" ht="14.5">
      <c r="A676" t="s">
        <v>3015</v>
      </c>
      <c r="B676" s="380" t="str">
        <f t="shared" si="10"/>
        <v>097-903</v>
      </c>
      <c r="C676" t="s">
        <v>2240</v>
      </c>
      <c r="D676" s="2043">
        <v>584</v>
      </c>
      <c r="E676" s="2043">
        <v>604</v>
      </c>
      <c r="F676" s="2043">
        <v>20</v>
      </c>
      <c r="G676" s="2043">
        <v>0</v>
      </c>
      <c r="H676" s="2043">
        <v>0</v>
      </c>
      <c r="I676" s="106">
        <v>0</v>
      </c>
      <c r="J676" s="41" t="s">
        <v>10797</v>
      </c>
      <c r="K676" s="2043">
        <v>0</v>
      </c>
      <c r="L676" s="2043">
        <v>0</v>
      </c>
    </row>
    <row r="677" spans="1:12" ht="14.5">
      <c r="A677" t="s">
        <v>2868</v>
      </c>
      <c r="B677" s="380" t="str">
        <f t="shared" si="10"/>
        <v>014-902</v>
      </c>
      <c r="C677" t="s">
        <v>2003</v>
      </c>
      <c r="D677" s="2043">
        <v>374</v>
      </c>
      <c r="E677" s="2043">
        <v>395</v>
      </c>
      <c r="F677" s="2043">
        <v>21</v>
      </c>
      <c r="G677" s="2043">
        <v>0</v>
      </c>
      <c r="H677" s="2043">
        <v>0</v>
      </c>
      <c r="I677" s="106">
        <v>0</v>
      </c>
      <c r="J677" s="41" t="s">
        <v>10797</v>
      </c>
      <c r="K677" s="2043">
        <v>0</v>
      </c>
      <c r="L677" s="2043">
        <v>0</v>
      </c>
    </row>
    <row r="678" spans="1:12" ht="14.5">
      <c r="A678" t="s">
        <v>5137</v>
      </c>
      <c r="B678" s="380" t="str">
        <f t="shared" si="10"/>
        <v>140-908</v>
      </c>
      <c r="C678" t="s">
        <v>893</v>
      </c>
      <c r="D678" s="2043">
        <v>462</v>
      </c>
      <c r="E678" s="2043">
        <v>483</v>
      </c>
      <c r="F678" s="2043">
        <v>21</v>
      </c>
      <c r="G678" s="2043">
        <v>0</v>
      </c>
      <c r="H678" s="2043">
        <v>0</v>
      </c>
      <c r="I678" s="106">
        <v>0</v>
      </c>
      <c r="J678" s="41" t="s">
        <v>10797</v>
      </c>
      <c r="K678" s="2043">
        <v>0</v>
      </c>
      <c r="L678" s="2043">
        <v>0</v>
      </c>
    </row>
    <row r="679" spans="1:12" ht="14.5">
      <c r="A679" t="s">
        <v>5154</v>
      </c>
      <c r="B679" s="380" t="str">
        <f t="shared" si="10"/>
        <v>148-902</v>
      </c>
      <c r="C679" t="s">
        <v>513</v>
      </c>
      <c r="D679" s="2043">
        <v>155</v>
      </c>
      <c r="E679" s="2043">
        <v>176</v>
      </c>
      <c r="F679" s="2043">
        <v>21</v>
      </c>
      <c r="G679" s="2043">
        <v>0</v>
      </c>
      <c r="H679" s="2043">
        <v>0</v>
      </c>
      <c r="I679" s="106">
        <v>0</v>
      </c>
      <c r="J679" s="41" t="s">
        <v>10797</v>
      </c>
      <c r="K679" s="2043">
        <v>0</v>
      </c>
      <c r="L679" s="2043">
        <v>0</v>
      </c>
    </row>
    <row r="680" spans="1:12" ht="14.5">
      <c r="A680" t="s">
        <v>3133</v>
      </c>
      <c r="B680" s="380" t="str">
        <f t="shared" si="10"/>
        <v>161-923</v>
      </c>
      <c r="C680" t="s">
        <v>1272</v>
      </c>
      <c r="D680" s="2043">
        <v>681</v>
      </c>
      <c r="E680" s="2043">
        <v>702</v>
      </c>
      <c r="F680" s="2043">
        <v>21</v>
      </c>
      <c r="G680" s="2043">
        <v>0</v>
      </c>
      <c r="H680" s="2043">
        <v>0</v>
      </c>
      <c r="I680" s="106">
        <v>0</v>
      </c>
      <c r="J680" s="41" t="s">
        <v>10797</v>
      </c>
      <c r="K680" s="2043">
        <v>0</v>
      </c>
      <c r="L680" s="2043">
        <v>0</v>
      </c>
    </row>
    <row r="681" spans="1:12" ht="14.5">
      <c r="A681" t="s">
        <v>3220</v>
      </c>
      <c r="B681" s="380" t="str">
        <f t="shared" si="10"/>
        <v>225-906</v>
      </c>
      <c r="C681" t="s">
        <v>619</v>
      </c>
      <c r="D681" s="2043">
        <v>1025</v>
      </c>
      <c r="E681" s="2043">
        <v>1046</v>
      </c>
      <c r="F681" s="2043">
        <v>21</v>
      </c>
      <c r="G681" s="2043">
        <v>0</v>
      </c>
      <c r="H681" s="2043">
        <v>0</v>
      </c>
      <c r="I681" s="106">
        <v>0</v>
      </c>
      <c r="J681" s="41" t="s">
        <v>10797</v>
      </c>
      <c r="K681" s="2043">
        <v>0</v>
      </c>
      <c r="L681" s="2043">
        <v>0</v>
      </c>
    </row>
    <row r="682" spans="1:12" ht="14.5">
      <c r="A682" t="s">
        <v>3240</v>
      </c>
      <c r="B682" s="380" t="str">
        <f t="shared" si="10"/>
        <v>234-906</v>
      </c>
      <c r="C682" t="s">
        <v>1077</v>
      </c>
      <c r="D682" s="2043">
        <v>2352</v>
      </c>
      <c r="E682" s="2043">
        <v>2373</v>
      </c>
      <c r="F682" s="2043">
        <v>21</v>
      </c>
      <c r="G682" s="2043">
        <v>0</v>
      </c>
      <c r="H682" s="2043">
        <v>0</v>
      </c>
      <c r="I682" s="106">
        <v>0</v>
      </c>
      <c r="J682" s="41" t="s">
        <v>10797</v>
      </c>
      <c r="K682" s="2043">
        <v>0</v>
      </c>
      <c r="L682" s="2043">
        <v>0</v>
      </c>
    </row>
    <row r="683" spans="1:12" ht="14.5">
      <c r="A683" t="s">
        <v>5159</v>
      </c>
      <c r="B683" s="380" t="str">
        <f t="shared" si="10"/>
        <v>150-901</v>
      </c>
      <c r="C683" t="s">
        <v>518</v>
      </c>
      <c r="D683" s="2043">
        <v>1859</v>
      </c>
      <c r="E683" s="2043">
        <v>1881</v>
      </c>
      <c r="F683" s="2043">
        <v>22</v>
      </c>
      <c r="G683" s="2043">
        <v>0</v>
      </c>
      <c r="H683" s="2043">
        <v>0</v>
      </c>
      <c r="I683" s="106">
        <v>0</v>
      </c>
      <c r="J683" s="41" t="s">
        <v>10797</v>
      </c>
      <c r="K683" s="2043">
        <v>0</v>
      </c>
      <c r="L683" s="2043">
        <v>0</v>
      </c>
    </row>
    <row r="684" spans="1:12" ht="14.5">
      <c r="A684" t="s">
        <v>5000</v>
      </c>
      <c r="B684" s="380" t="str">
        <f t="shared" si="10"/>
        <v>062-904</v>
      </c>
      <c r="C684" t="s">
        <v>2477</v>
      </c>
      <c r="D684" s="2043">
        <v>515</v>
      </c>
      <c r="E684" s="2043">
        <v>538</v>
      </c>
      <c r="F684" s="2043">
        <v>23</v>
      </c>
      <c r="G684" s="2043">
        <v>0</v>
      </c>
      <c r="H684" s="2043">
        <v>0</v>
      </c>
      <c r="I684" s="106">
        <v>0</v>
      </c>
      <c r="J684" s="41" t="s">
        <v>10797</v>
      </c>
      <c r="K684" s="2043">
        <v>0</v>
      </c>
      <c r="L684" s="2043">
        <v>0</v>
      </c>
    </row>
    <row r="685" spans="1:12" ht="14.5">
      <c r="A685" t="s">
        <v>5051</v>
      </c>
      <c r="B685" s="380" t="str">
        <f t="shared" si="10"/>
        <v>092-904</v>
      </c>
      <c r="C685" t="s">
        <v>211</v>
      </c>
      <c r="D685" s="2043">
        <v>4659</v>
      </c>
      <c r="E685" s="2043">
        <v>4682</v>
      </c>
      <c r="F685" s="2043">
        <v>23</v>
      </c>
      <c r="G685" s="2043">
        <v>0</v>
      </c>
      <c r="H685" s="2043">
        <v>0</v>
      </c>
      <c r="I685" s="106">
        <v>0</v>
      </c>
      <c r="J685" s="41" t="s">
        <v>10797</v>
      </c>
      <c r="K685" s="2043">
        <v>0</v>
      </c>
      <c r="L685" s="2043">
        <v>0</v>
      </c>
    </row>
    <row r="686" spans="1:12" ht="14.5">
      <c r="A686" t="s">
        <v>5123</v>
      </c>
      <c r="B686" s="380" t="str">
        <f t="shared" si="10"/>
        <v>127-904</v>
      </c>
      <c r="C686" t="s">
        <v>783</v>
      </c>
      <c r="D686" s="2043">
        <v>745</v>
      </c>
      <c r="E686" s="2043">
        <v>768</v>
      </c>
      <c r="F686" s="2043">
        <v>23</v>
      </c>
      <c r="G686" s="2043">
        <v>0</v>
      </c>
      <c r="H686" s="2043">
        <v>0</v>
      </c>
      <c r="I686" s="106">
        <v>0</v>
      </c>
      <c r="J686" s="41" t="s">
        <v>10797</v>
      </c>
      <c r="K686" s="2043">
        <v>0</v>
      </c>
      <c r="L686" s="2043">
        <v>0</v>
      </c>
    </row>
    <row r="687" spans="1:12" ht="14.5">
      <c r="A687" t="s">
        <v>5214</v>
      </c>
      <c r="B687" s="380" t="str">
        <f t="shared" si="10"/>
        <v>182-904</v>
      </c>
      <c r="C687" t="s">
        <v>315</v>
      </c>
      <c r="D687" s="2043">
        <v>476</v>
      </c>
      <c r="E687" s="2043">
        <v>499</v>
      </c>
      <c r="F687" s="2043">
        <v>23</v>
      </c>
      <c r="G687" s="2043">
        <v>0</v>
      </c>
      <c r="H687" s="2043">
        <v>0</v>
      </c>
      <c r="I687" s="106">
        <v>0</v>
      </c>
      <c r="J687" s="41" t="s">
        <v>10797</v>
      </c>
      <c r="K687" s="2043">
        <v>0</v>
      </c>
      <c r="L687" s="2043">
        <v>0</v>
      </c>
    </row>
    <row r="688" spans="1:12" ht="14.5">
      <c r="A688" t="s">
        <v>5889</v>
      </c>
      <c r="B688" s="380" t="str">
        <f t="shared" si="10"/>
        <v>228-904</v>
      </c>
      <c r="C688" t="s">
        <v>1721</v>
      </c>
      <c r="D688" s="2043">
        <v>115</v>
      </c>
      <c r="E688" s="2043">
        <v>138</v>
      </c>
      <c r="F688" s="2043">
        <v>23</v>
      </c>
      <c r="G688" s="2043">
        <v>0</v>
      </c>
      <c r="H688" s="2043">
        <v>0</v>
      </c>
      <c r="I688" s="106">
        <v>0</v>
      </c>
      <c r="J688" s="41" t="s">
        <v>10797</v>
      </c>
      <c r="K688" s="2043">
        <v>0</v>
      </c>
      <c r="L688" s="2043">
        <v>0</v>
      </c>
    </row>
    <row r="689" spans="1:12" ht="14.5">
      <c r="A689" t="s">
        <v>3270</v>
      </c>
      <c r="B689" s="380" t="str">
        <f t="shared" si="10"/>
        <v>247-906</v>
      </c>
      <c r="C689" t="s">
        <v>1834</v>
      </c>
      <c r="D689" s="2043">
        <v>794</v>
      </c>
      <c r="E689" s="2043">
        <v>817</v>
      </c>
      <c r="F689" s="2043">
        <v>23</v>
      </c>
      <c r="G689" s="2043">
        <v>0</v>
      </c>
      <c r="H689" s="2043">
        <v>0</v>
      </c>
      <c r="I689" s="106">
        <v>0</v>
      </c>
      <c r="J689" s="41" t="s">
        <v>10797</v>
      </c>
      <c r="K689" s="2043">
        <v>0</v>
      </c>
      <c r="L689" s="2043">
        <v>0</v>
      </c>
    </row>
    <row r="690" spans="1:12" ht="14.5">
      <c r="A690" t="s">
        <v>5133</v>
      </c>
      <c r="B690" s="380" t="str">
        <f t="shared" si="10"/>
        <v>135-001</v>
      </c>
      <c r="C690" t="s">
        <v>1935</v>
      </c>
      <c r="D690" s="2043">
        <v>112</v>
      </c>
      <c r="E690" s="2043">
        <v>136</v>
      </c>
      <c r="F690" s="2043">
        <v>24</v>
      </c>
      <c r="G690" s="2043">
        <v>0</v>
      </c>
      <c r="H690" s="2043">
        <v>0</v>
      </c>
      <c r="I690" s="106">
        <v>0</v>
      </c>
      <c r="J690" s="41" t="s">
        <v>10797</v>
      </c>
      <c r="K690" s="2043">
        <v>0</v>
      </c>
      <c r="L690" s="2043">
        <v>0</v>
      </c>
    </row>
    <row r="691" spans="1:12" ht="14.5">
      <c r="A691" t="s">
        <v>5181</v>
      </c>
      <c r="B691" s="380" t="str">
        <f t="shared" si="10"/>
        <v>169-906</v>
      </c>
      <c r="C691" t="s">
        <v>1292</v>
      </c>
      <c r="D691" s="2043">
        <v>120</v>
      </c>
      <c r="E691" s="2043">
        <v>144</v>
      </c>
      <c r="F691" s="2043">
        <v>24</v>
      </c>
      <c r="G691" s="2043">
        <v>0</v>
      </c>
      <c r="H691" s="2043">
        <v>0</v>
      </c>
      <c r="I691" s="106">
        <v>0</v>
      </c>
      <c r="J691" s="41" t="s">
        <v>10797</v>
      </c>
      <c r="K691" s="2043">
        <v>0</v>
      </c>
      <c r="L691" s="2043">
        <v>0</v>
      </c>
    </row>
    <row r="692" spans="1:12" ht="14.5">
      <c r="A692" t="s">
        <v>4925</v>
      </c>
      <c r="B692" s="380" t="str">
        <f t="shared" si="10"/>
        <v>005-901</v>
      </c>
      <c r="C692" t="s">
        <v>1125</v>
      </c>
      <c r="D692" s="2043">
        <v>483</v>
      </c>
      <c r="E692" s="2043">
        <v>508</v>
      </c>
      <c r="F692" s="2043">
        <v>25</v>
      </c>
      <c r="G692" s="2043">
        <v>0</v>
      </c>
      <c r="H692" s="2043">
        <v>0</v>
      </c>
      <c r="I692" s="106">
        <v>0</v>
      </c>
      <c r="J692" s="41" t="s">
        <v>10797</v>
      </c>
      <c r="K692" s="2043">
        <v>0</v>
      </c>
      <c r="L692" s="2043">
        <v>0</v>
      </c>
    </row>
    <row r="693" spans="1:12" ht="14.5">
      <c r="A693" t="s">
        <v>5752</v>
      </c>
      <c r="B693" s="380" t="str">
        <f t="shared" si="10"/>
        <v>012-901</v>
      </c>
      <c r="C693" t="s">
        <v>1135</v>
      </c>
      <c r="D693" s="2043">
        <v>595</v>
      </c>
      <c r="E693" s="2043">
        <v>620</v>
      </c>
      <c r="F693" s="2043">
        <v>25</v>
      </c>
      <c r="G693" s="2043">
        <v>0</v>
      </c>
      <c r="H693" s="2043">
        <v>0</v>
      </c>
      <c r="I693" s="106">
        <v>0</v>
      </c>
      <c r="J693" s="41" t="s">
        <v>10797</v>
      </c>
      <c r="K693" s="2043">
        <v>0</v>
      </c>
      <c r="L693" s="2043">
        <v>0</v>
      </c>
    </row>
    <row r="694" spans="1:12" ht="14.5">
      <c r="A694" t="s">
        <v>3008</v>
      </c>
      <c r="B694" s="380" t="str">
        <f t="shared" si="10"/>
        <v>091-913</v>
      </c>
      <c r="C694" t="s">
        <v>1981</v>
      </c>
      <c r="D694" s="2043">
        <v>1409</v>
      </c>
      <c r="E694" s="2043">
        <v>1434</v>
      </c>
      <c r="F694" s="2043">
        <v>25</v>
      </c>
      <c r="G694" s="2043">
        <v>0</v>
      </c>
      <c r="H694" s="2043">
        <v>0</v>
      </c>
      <c r="I694" s="106">
        <v>0</v>
      </c>
      <c r="J694" s="41" t="s">
        <v>10797</v>
      </c>
      <c r="K694" s="2043">
        <v>0</v>
      </c>
      <c r="L694" s="2043">
        <v>0</v>
      </c>
    </row>
    <row r="695" spans="1:12" ht="14.5">
      <c r="A695" t="s">
        <v>5091</v>
      </c>
      <c r="B695" s="380" t="str">
        <f t="shared" si="10"/>
        <v>107-910</v>
      </c>
      <c r="C695" t="s">
        <v>2456</v>
      </c>
      <c r="D695" s="2043">
        <v>465</v>
      </c>
      <c r="E695" s="2043">
        <v>491</v>
      </c>
      <c r="F695" s="2043">
        <v>26</v>
      </c>
      <c r="G695" s="2043">
        <v>0</v>
      </c>
      <c r="H695" s="2043">
        <v>0</v>
      </c>
      <c r="I695" s="106">
        <v>0</v>
      </c>
      <c r="J695" s="41" t="s">
        <v>10797</v>
      </c>
      <c r="K695" s="2043">
        <v>0</v>
      </c>
      <c r="L695" s="2043">
        <v>0</v>
      </c>
    </row>
    <row r="696" spans="1:12" ht="14.5">
      <c r="A696" t="s">
        <v>5129</v>
      </c>
      <c r="B696" s="380" t="str">
        <f t="shared" si="10"/>
        <v>131-001</v>
      </c>
      <c r="C696" t="s">
        <v>1928</v>
      </c>
      <c r="D696" s="2043">
        <v>75</v>
      </c>
      <c r="E696" s="2043">
        <v>101</v>
      </c>
      <c r="F696" s="2043">
        <v>26</v>
      </c>
      <c r="G696" s="2043">
        <v>0</v>
      </c>
      <c r="H696" s="2043">
        <v>0</v>
      </c>
      <c r="I696" s="106">
        <v>0</v>
      </c>
      <c r="J696" s="41" t="s">
        <v>10797</v>
      </c>
      <c r="K696" s="2043">
        <v>0</v>
      </c>
      <c r="L696" s="2043">
        <v>0</v>
      </c>
    </row>
    <row r="697" spans="1:12" ht="14.5">
      <c r="A697" t="s">
        <v>3254</v>
      </c>
      <c r="B697" s="380" t="str">
        <f t="shared" si="10"/>
        <v>244-905</v>
      </c>
      <c r="C697" t="s">
        <v>2165</v>
      </c>
      <c r="D697" s="2043">
        <v>210</v>
      </c>
      <c r="E697" s="2043">
        <v>236</v>
      </c>
      <c r="F697" s="2043">
        <v>26</v>
      </c>
      <c r="G697" s="2043">
        <v>0</v>
      </c>
      <c r="H697" s="2043">
        <v>0</v>
      </c>
      <c r="I697" s="106">
        <v>0</v>
      </c>
      <c r="J697" s="41" t="s">
        <v>10797</v>
      </c>
      <c r="K697" s="2043">
        <v>0</v>
      </c>
      <c r="L697" s="2043">
        <v>0</v>
      </c>
    </row>
    <row r="698" spans="1:12" ht="14.5">
      <c r="A698" t="s">
        <v>5314</v>
      </c>
      <c r="B698" s="380" t="str">
        <f t="shared" si="10"/>
        <v>250-902</v>
      </c>
      <c r="C698" t="s">
        <v>1528</v>
      </c>
      <c r="D698" s="2043">
        <v>721</v>
      </c>
      <c r="E698" s="2043">
        <v>747</v>
      </c>
      <c r="F698" s="2043">
        <v>26</v>
      </c>
      <c r="G698" s="2043">
        <v>0</v>
      </c>
      <c r="H698" s="2043">
        <v>0</v>
      </c>
      <c r="I698" s="106">
        <v>0</v>
      </c>
      <c r="J698" s="41" t="s">
        <v>10797</v>
      </c>
      <c r="K698" s="2043">
        <v>0</v>
      </c>
      <c r="L698" s="2043">
        <v>0</v>
      </c>
    </row>
    <row r="699" spans="1:12" ht="14.5">
      <c r="A699" t="s">
        <v>2950</v>
      </c>
      <c r="B699" s="380" t="str">
        <f t="shared" si="10"/>
        <v>049-906</v>
      </c>
      <c r="C699" t="s">
        <v>2091</v>
      </c>
      <c r="D699" s="2043">
        <v>468</v>
      </c>
      <c r="E699" s="2043">
        <v>495</v>
      </c>
      <c r="F699" s="2043">
        <v>27</v>
      </c>
      <c r="G699" s="2043">
        <v>0</v>
      </c>
      <c r="H699" s="2043">
        <v>0</v>
      </c>
      <c r="I699" s="106">
        <v>0</v>
      </c>
      <c r="J699" s="41" t="s">
        <v>10797</v>
      </c>
      <c r="K699" s="2043">
        <v>0</v>
      </c>
      <c r="L699" s="2043">
        <v>0</v>
      </c>
    </row>
    <row r="700" spans="1:12" ht="14.5">
      <c r="A700" t="s">
        <v>2984</v>
      </c>
      <c r="B700" s="380" t="str">
        <f t="shared" si="10"/>
        <v>071-907</v>
      </c>
      <c r="C700" t="s">
        <v>612</v>
      </c>
      <c r="D700" s="2043">
        <v>6064</v>
      </c>
      <c r="E700" s="2043">
        <v>6091</v>
      </c>
      <c r="F700" s="2043">
        <v>27</v>
      </c>
      <c r="G700" s="2043">
        <v>0</v>
      </c>
      <c r="H700" s="2043">
        <v>0</v>
      </c>
      <c r="I700" s="106">
        <v>0</v>
      </c>
      <c r="J700" s="41" t="s">
        <v>10797</v>
      </c>
      <c r="K700" s="2043">
        <v>0</v>
      </c>
      <c r="L700" s="2043">
        <v>0</v>
      </c>
    </row>
    <row r="701" spans="1:12" ht="14.5">
      <c r="A701" t="s">
        <v>5156</v>
      </c>
      <c r="B701" s="380" t="str">
        <f t="shared" si="10"/>
        <v>148-905</v>
      </c>
      <c r="C701" t="s">
        <v>515</v>
      </c>
      <c r="D701" s="2043">
        <v>123</v>
      </c>
      <c r="E701" s="2043">
        <v>150</v>
      </c>
      <c r="F701" s="2043">
        <v>27</v>
      </c>
      <c r="G701" s="2043">
        <v>0</v>
      </c>
      <c r="H701" s="2043">
        <v>0</v>
      </c>
      <c r="I701" s="106">
        <v>0</v>
      </c>
      <c r="J701" s="41" t="s">
        <v>10797</v>
      </c>
      <c r="K701" s="2043">
        <v>0</v>
      </c>
      <c r="L701" s="2043">
        <v>0</v>
      </c>
    </row>
    <row r="702" spans="1:12" ht="14.5">
      <c r="A702" t="s">
        <v>5233</v>
      </c>
      <c r="B702" s="380" t="str">
        <f t="shared" si="10"/>
        <v>193-902</v>
      </c>
      <c r="C702" t="s">
        <v>146</v>
      </c>
      <c r="D702" s="2043">
        <v>302</v>
      </c>
      <c r="E702" s="2043">
        <v>329</v>
      </c>
      <c r="F702" s="2043">
        <v>27</v>
      </c>
      <c r="G702" s="2043">
        <v>0</v>
      </c>
      <c r="H702" s="2043">
        <v>0</v>
      </c>
      <c r="I702" s="106">
        <v>0</v>
      </c>
      <c r="J702" s="41" t="s">
        <v>10797</v>
      </c>
      <c r="K702" s="2043">
        <v>0</v>
      </c>
      <c r="L702" s="2043">
        <v>0</v>
      </c>
    </row>
    <row r="703" spans="1:12" ht="14.5">
      <c r="A703" t="s">
        <v>5304</v>
      </c>
      <c r="B703" s="380" t="str">
        <f t="shared" si="10"/>
        <v>243-902</v>
      </c>
      <c r="C703" t="s">
        <v>1515</v>
      </c>
      <c r="D703" s="2043">
        <v>427</v>
      </c>
      <c r="E703" s="2043">
        <v>454</v>
      </c>
      <c r="F703" s="2043">
        <v>27</v>
      </c>
      <c r="G703" s="2043">
        <v>0</v>
      </c>
      <c r="H703" s="2043">
        <v>0</v>
      </c>
      <c r="I703" s="106">
        <v>0</v>
      </c>
      <c r="J703" s="41" t="s">
        <v>10797</v>
      </c>
      <c r="K703" s="2043">
        <v>0</v>
      </c>
      <c r="L703" s="2043">
        <v>0</v>
      </c>
    </row>
    <row r="704" spans="1:12" ht="14.5">
      <c r="A704" t="s">
        <v>5239</v>
      </c>
      <c r="B704" s="380" t="str">
        <f t="shared" si="10"/>
        <v>198-901</v>
      </c>
      <c r="C704" t="s">
        <v>1536</v>
      </c>
      <c r="D704" s="2043">
        <v>470</v>
      </c>
      <c r="E704" s="2043">
        <v>498</v>
      </c>
      <c r="F704" s="2043">
        <v>28</v>
      </c>
      <c r="G704" s="2043">
        <v>0</v>
      </c>
      <c r="H704" s="2043">
        <v>0</v>
      </c>
      <c r="I704" s="106">
        <v>0</v>
      </c>
      <c r="J704" s="41" t="s">
        <v>10797</v>
      </c>
      <c r="K704" s="2043">
        <v>0</v>
      </c>
      <c r="L704" s="2043">
        <v>0</v>
      </c>
    </row>
    <row r="705" spans="1:12" ht="14.5">
      <c r="A705" t="s">
        <v>5293</v>
      </c>
      <c r="B705" s="380" t="str">
        <f t="shared" si="10"/>
        <v>235-904</v>
      </c>
      <c r="C705" t="s">
        <v>1969</v>
      </c>
      <c r="D705" s="2043">
        <v>108</v>
      </c>
      <c r="E705" s="2043">
        <v>136</v>
      </c>
      <c r="F705" s="2043">
        <v>28</v>
      </c>
      <c r="G705" s="2043">
        <v>0</v>
      </c>
      <c r="H705" s="2043">
        <v>0</v>
      </c>
      <c r="I705" s="106">
        <v>0</v>
      </c>
      <c r="J705" s="41" t="s">
        <v>10797</v>
      </c>
      <c r="K705" s="2043">
        <v>0</v>
      </c>
      <c r="L705" s="2043">
        <v>0</v>
      </c>
    </row>
    <row r="706" spans="1:12" ht="14.5">
      <c r="A706" t="s">
        <v>2864</v>
      </c>
      <c r="B706" s="380" t="str">
        <f t="shared" si="10"/>
        <v>011-904</v>
      </c>
      <c r="C706" t="s">
        <v>1821</v>
      </c>
      <c r="D706" s="2043">
        <v>1759</v>
      </c>
      <c r="E706" s="2043">
        <v>1788</v>
      </c>
      <c r="F706" s="2043">
        <v>29</v>
      </c>
      <c r="G706" s="2043">
        <v>0</v>
      </c>
      <c r="H706" s="2043">
        <v>0</v>
      </c>
      <c r="I706" s="106">
        <v>0</v>
      </c>
      <c r="J706" s="41" t="s">
        <v>10797</v>
      </c>
      <c r="K706" s="2043">
        <v>0</v>
      </c>
      <c r="L706" s="2043">
        <v>0</v>
      </c>
    </row>
    <row r="707" spans="1:12" ht="14.5">
      <c r="A707" t="s">
        <v>2872</v>
      </c>
      <c r="B707" s="380" t="str">
        <f t="shared" ref="B707:B770" si="11">CONCATENATE(LEFT(RIGHT(CONCATENATE("000",A707),6),3),"-",(RIGHT(RIGHT(CONCATENATE("000",A707),6),3)))</f>
        <v>014-907</v>
      </c>
      <c r="C707" t="s">
        <v>1317</v>
      </c>
      <c r="D707" s="2043">
        <v>867</v>
      </c>
      <c r="E707" s="2043">
        <v>896</v>
      </c>
      <c r="F707" s="2043">
        <v>29</v>
      </c>
      <c r="G707" s="2043">
        <v>0</v>
      </c>
      <c r="H707" s="2043">
        <v>0</v>
      </c>
      <c r="I707" s="106">
        <v>0</v>
      </c>
      <c r="J707" s="41" t="s">
        <v>10797</v>
      </c>
      <c r="K707" s="2043">
        <v>0</v>
      </c>
      <c r="L707" s="2043">
        <v>0</v>
      </c>
    </row>
    <row r="708" spans="1:12" ht="14.5">
      <c r="A708" t="s">
        <v>5056</v>
      </c>
      <c r="B708" s="380" t="str">
        <f t="shared" si="11"/>
        <v>095-901</v>
      </c>
      <c r="C708" t="s">
        <v>219</v>
      </c>
      <c r="D708" s="2043">
        <v>796</v>
      </c>
      <c r="E708" s="2043">
        <v>825</v>
      </c>
      <c r="F708" s="2043">
        <v>29</v>
      </c>
      <c r="G708" s="2043">
        <v>0</v>
      </c>
      <c r="H708" s="2043">
        <v>0</v>
      </c>
      <c r="I708" s="106">
        <v>0</v>
      </c>
      <c r="J708" s="41" t="s">
        <v>10797</v>
      </c>
      <c r="K708" s="2043">
        <v>0</v>
      </c>
      <c r="L708" s="2043">
        <v>0</v>
      </c>
    </row>
    <row r="709" spans="1:12" ht="14.5">
      <c r="A709" t="s">
        <v>3119</v>
      </c>
      <c r="B709" s="380" t="str">
        <f t="shared" si="11"/>
        <v>160-905</v>
      </c>
      <c r="C709" t="s">
        <v>2105</v>
      </c>
      <c r="D709" s="2043">
        <v>96</v>
      </c>
      <c r="E709" s="2043">
        <v>125</v>
      </c>
      <c r="F709" s="2043">
        <v>29</v>
      </c>
      <c r="G709" s="2043">
        <v>0</v>
      </c>
      <c r="H709" s="2043">
        <v>0</v>
      </c>
      <c r="I709" s="106">
        <v>0</v>
      </c>
      <c r="J709" s="41" t="s">
        <v>10797</v>
      </c>
      <c r="K709" s="2043">
        <v>0</v>
      </c>
      <c r="L709" s="2043">
        <v>0</v>
      </c>
    </row>
    <row r="710" spans="1:12" ht="14.5">
      <c r="A710" t="s">
        <v>2888</v>
      </c>
      <c r="B710" s="380" t="str">
        <f t="shared" si="11"/>
        <v>018-901</v>
      </c>
      <c r="C710" t="s">
        <v>1095</v>
      </c>
      <c r="D710" s="2043">
        <v>995</v>
      </c>
      <c r="E710" s="2043">
        <v>1025</v>
      </c>
      <c r="F710" s="2043">
        <v>30</v>
      </c>
      <c r="G710" s="2043">
        <v>0</v>
      </c>
      <c r="H710" s="2043">
        <v>0</v>
      </c>
      <c r="I710" s="106">
        <v>0</v>
      </c>
      <c r="J710" s="41" t="s">
        <v>10797</v>
      </c>
      <c r="K710" s="2043">
        <v>0</v>
      </c>
      <c r="L710" s="2043">
        <v>0</v>
      </c>
    </row>
    <row r="711" spans="1:12" ht="14.5">
      <c r="A711" t="s">
        <v>5054</v>
      </c>
      <c r="B711" s="380" t="str">
        <f t="shared" si="11"/>
        <v>093-901</v>
      </c>
      <c r="C711" t="s">
        <v>986</v>
      </c>
      <c r="D711" s="2043">
        <v>857</v>
      </c>
      <c r="E711" s="2043">
        <v>887</v>
      </c>
      <c r="F711" s="2043">
        <v>30</v>
      </c>
      <c r="G711" s="2043">
        <v>0</v>
      </c>
      <c r="H711" s="2043">
        <v>0</v>
      </c>
      <c r="I711" s="106">
        <v>0</v>
      </c>
      <c r="J711" s="41" t="s">
        <v>10797</v>
      </c>
      <c r="K711" s="2043">
        <v>0</v>
      </c>
      <c r="L711" s="2043">
        <v>0</v>
      </c>
    </row>
    <row r="712" spans="1:12" ht="14.5">
      <c r="A712" t="s">
        <v>3073</v>
      </c>
      <c r="B712" s="380" t="str">
        <f t="shared" si="11"/>
        <v>121-903</v>
      </c>
      <c r="C712" t="s">
        <v>1362</v>
      </c>
      <c r="D712" s="2043">
        <v>1459</v>
      </c>
      <c r="E712" s="2043">
        <v>1489</v>
      </c>
      <c r="F712" s="2043">
        <v>30</v>
      </c>
      <c r="G712" s="2043">
        <v>0</v>
      </c>
      <c r="H712" s="2043">
        <v>0</v>
      </c>
      <c r="I712" s="106">
        <v>0</v>
      </c>
      <c r="J712" s="41" t="s">
        <v>10797</v>
      </c>
      <c r="K712" s="2043">
        <v>0</v>
      </c>
      <c r="L712" s="2043">
        <v>0</v>
      </c>
    </row>
    <row r="713" spans="1:12" ht="14.5">
      <c r="A713" t="s">
        <v>5229</v>
      </c>
      <c r="B713" s="380" t="str">
        <f t="shared" si="11"/>
        <v>188-904</v>
      </c>
      <c r="C713" t="s">
        <v>426</v>
      </c>
      <c r="D713" s="2043">
        <v>1520</v>
      </c>
      <c r="E713" s="2043">
        <v>1550</v>
      </c>
      <c r="F713" s="2043">
        <v>30</v>
      </c>
      <c r="G713" s="2043">
        <v>0</v>
      </c>
      <c r="H713" s="2043">
        <v>0</v>
      </c>
      <c r="I713" s="106">
        <v>0</v>
      </c>
      <c r="J713" s="41" t="s">
        <v>10797</v>
      </c>
      <c r="K713" s="2043">
        <v>0</v>
      </c>
      <c r="L713" s="2043">
        <v>0</v>
      </c>
    </row>
    <row r="714" spans="1:12" ht="14.5">
      <c r="A714" t="s">
        <v>7351</v>
      </c>
      <c r="B714" s="380" t="str">
        <f t="shared" si="11"/>
        <v>015-906</v>
      </c>
      <c r="C714" t="s">
        <v>968</v>
      </c>
      <c r="D714" s="2043">
        <v>1429</v>
      </c>
      <c r="E714" s="2043">
        <v>1460</v>
      </c>
      <c r="F714" s="2043">
        <v>31</v>
      </c>
      <c r="G714" s="2043">
        <v>0</v>
      </c>
      <c r="H714" s="2043">
        <v>0</v>
      </c>
      <c r="I714" s="106">
        <v>0</v>
      </c>
      <c r="J714" s="41" t="s">
        <v>10797</v>
      </c>
      <c r="K714" s="2043">
        <v>0</v>
      </c>
      <c r="L714" s="2043">
        <v>0</v>
      </c>
    </row>
    <row r="715" spans="1:12" ht="14.5">
      <c r="A715" t="s">
        <v>3647</v>
      </c>
      <c r="B715" s="380" t="str">
        <f t="shared" si="11"/>
        <v>034-906</v>
      </c>
      <c r="C715" t="s">
        <v>775</v>
      </c>
      <c r="D715" s="2043">
        <v>369</v>
      </c>
      <c r="E715" s="2043">
        <v>400</v>
      </c>
      <c r="F715" s="2043">
        <v>31</v>
      </c>
      <c r="G715" s="2043">
        <v>0</v>
      </c>
      <c r="H715" s="2043">
        <v>0</v>
      </c>
      <c r="I715" s="106">
        <v>0</v>
      </c>
      <c r="J715" s="41" t="s">
        <v>10797</v>
      </c>
      <c r="K715" s="2043">
        <v>0</v>
      </c>
      <c r="L715" s="2043">
        <v>0</v>
      </c>
    </row>
    <row r="716" spans="1:12" ht="14.5">
      <c r="A716" t="s">
        <v>3993</v>
      </c>
      <c r="B716" s="380" t="str">
        <f t="shared" si="11"/>
        <v>094-904</v>
      </c>
      <c r="C716" t="s">
        <v>278</v>
      </c>
      <c r="D716" s="2043">
        <v>1443</v>
      </c>
      <c r="E716" s="2043">
        <v>1475</v>
      </c>
      <c r="F716" s="2043">
        <v>32</v>
      </c>
      <c r="G716" s="2043">
        <v>0</v>
      </c>
      <c r="H716" s="2043">
        <v>0</v>
      </c>
      <c r="I716" s="106">
        <v>0</v>
      </c>
      <c r="J716" s="41" t="s">
        <v>10797</v>
      </c>
      <c r="K716" s="2043">
        <v>0</v>
      </c>
      <c r="L716" s="2043">
        <v>0</v>
      </c>
    </row>
    <row r="717" spans="1:12" ht="14.5">
      <c r="A717" t="s">
        <v>5139</v>
      </c>
      <c r="B717" s="380" t="str">
        <f t="shared" si="11"/>
        <v>143-901</v>
      </c>
      <c r="C717" t="s">
        <v>896</v>
      </c>
      <c r="D717" s="2043">
        <v>1124</v>
      </c>
      <c r="E717" s="2043">
        <v>1156</v>
      </c>
      <c r="F717" s="2043">
        <v>32</v>
      </c>
      <c r="G717" s="2043">
        <v>0</v>
      </c>
      <c r="H717" s="2043">
        <v>0</v>
      </c>
      <c r="I717" s="106">
        <v>0</v>
      </c>
      <c r="J717" s="41" t="s">
        <v>10797</v>
      </c>
      <c r="K717" s="2043">
        <v>0</v>
      </c>
      <c r="L717" s="2043">
        <v>0</v>
      </c>
    </row>
    <row r="718" spans="1:12" ht="14.5">
      <c r="A718" t="s">
        <v>3185</v>
      </c>
      <c r="B718" s="380" t="str">
        <f t="shared" si="11"/>
        <v>200-902</v>
      </c>
      <c r="C718" t="s">
        <v>2114</v>
      </c>
      <c r="D718" s="2043">
        <v>455</v>
      </c>
      <c r="E718" s="2043">
        <v>487</v>
      </c>
      <c r="F718" s="2043">
        <v>32</v>
      </c>
      <c r="G718" s="2043">
        <v>0</v>
      </c>
      <c r="H718" s="2043">
        <v>0</v>
      </c>
      <c r="I718" s="106">
        <v>0</v>
      </c>
      <c r="J718" s="41" t="s">
        <v>10797</v>
      </c>
      <c r="K718" s="2043">
        <v>0</v>
      </c>
      <c r="L718" s="2043">
        <v>0</v>
      </c>
    </row>
    <row r="719" spans="1:12" ht="14.5">
      <c r="A719" t="s">
        <v>5835</v>
      </c>
      <c r="B719" s="380" t="str">
        <f t="shared" si="11"/>
        <v>138-904</v>
      </c>
      <c r="C719" t="s">
        <v>1941</v>
      </c>
      <c r="D719" s="2043">
        <v>100</v>
      </c>
      <c r="E719" s="2043">
        <v>133</v>
      </c>
      <c r="F719" s="2043">
        <v>33</v>
      </c>
      <c r="G719" s="2043">
        <v>0</v>
      </c>
      <c r="H719" s="2043">
        <v>0</v>
      </c>
      <c r="I719" s="106">
        <v>0</v>
      </c>
      <c r="J719" s="41" t="s">
        <v>10797</v>
      </c>
      <c r="K719" s="2043">
        <v>0</v>
      </c>
      <c r="L719" s="2043">
        <v>0</v>
      </c>
    </row>
    <row r="720" spans="1:12" ht="14.5">
      <c r="A720" t="s">
        <v>3124</v>
      </c>
      <c r="B720" s="380" t="str">
        <f t="shared" si="11"/>
        <v>161-909</v>
      </c>
      <c r="C720" t="s">
        <v>773</v>
      </c>
      <c r="D720" s="2043">
        <v>1461</v>
      </c>
      <c r="E720" s="2043">
        <v>1494</v>
      </c>
      <c r="F720" s="2043">
        <v>33</v>
      </c>
      <c r="G720" s="2043">
        <v>0</v>
      </c>
      <c r="H720" s="2043">
        <v>0</v>
      </c>
      <c r="I720" s="106">
        <v>0</v>
      </c>
      <c r="J720" s="41" t="s">
        <v>10797</v>
      </c>
      <c r="K720" s="2043">
        <v>0</v>
      </c>
      <c r="L720" s="2043">
        <v>0</v>
      </c>
    </row>
    <row r="721" spans="1:12" ht="14.5">
      <c r="A721" t="s">
        <v>5897</v>
      </c>
      <c r="B721" s="380" t="str">
        <f t="shared" si="11"/>
        <v>242-905</v>
      </c>
      <c r="C721" t="s">
        <v>1156</v>
      </c>
      <c r="D721" s="2043">
        <v>104</v>
      </c>
      <c r="E721" s="2043">
        <v>137</v>
      </c>
      <c r="F721" s="2043">
        <v>33</v>
      </c>
      <c r="G721" s="2043">
        <v>0</v>
      </c>
      <c r="H721" s="2043">
        <v>0</v>
      </c>
      <c r="I721" s="106">
        <v>0</v>
      </c>
      <c r="J721" s="41" t="s">
        <v>10797</v>
      </c>
      <c r="K721" s="2043">
        <v>0</v>
      </c>
      <c r="L721" s="2043">
        <v>0</v>
      </c>
    </row>
    <row r="722" spans="1:12" ht="14.5">
      <c r="A722" t="s">
        <v>5148</v>
      </c>
      <c r="B722" s="380" t="str">
        <f t="shared" si="11"/>
        <v>146-903</v>
      </c>
      <c r="C722" t="s">
        <v>1893</v>
      </c>
      <c r="D722" s="2043">
        <v>182</v>
      </c>
      <c r="E722" s="2043">
        <v>216</v>
      </c>
      <c r="F722" s="2043">
        <v>34</v>
      </c>
      <c r="G722" s="2043">
        <v>0</v>
      </c>
      <c r="H722" s="2043">
        <v>0</v>
      </c>
      <c r="I722" s="106">
        <v>0</v>
      </c>
      <c r="J722" s="41" t="s">
        <v>10797</v>
      </c>
      <c r="K722" s="2043">
        <v>0</v>
      </c>
      <c r="L722" s="2043">
        <v>0</v>
      </c>
    </row>
    <row r="723" spans="1:12" ht="14.5">
      <c r="A723" t="s">
        <v>5160</v>
      </c>
      <c r="B723" s="380" t="str">
        <f t="shared" si="11"/>
        <v>152-903</v>
      </c>
      <c r="C723" t="s">
        <v>520</v>
      </c>
      <c r="D723" s="2043">
        <v>1250</v>
      </c>
      <c r="E723" s="2043">
        <v>1284</v>
      </c>
      <c r="F723" s="2043">
        <v>34</v>
      </c>
      <c r="G723" s="2043">
        <v>0</v>
      </c>
      <c r="H723" s="2043">
        <v>0</v>
      </c>
      <c r="I723" s="106">
        <v>0</v>
      </c>
      <c r="J723" s="41" t="s">
        <v>10797</v>
      </c>
      <c r="K723" s="2043">
        <v>0</v>
      </c>
      <c r="L723" s="2043">
        <v>0</v>
      </c>
    </row>
    <row r="724" spans="1:12" ht="14.5">
      <c r="A724" t="s">
        <v>5847</v>
      </c>
      <c r="B724" s="380" t="str">
        <f t="shared" si="11"/>
        <v>158-906</v>
      </c>
      <c r="C724" t="s">
        <v>1651</v>
      </c>
      <c r="D724" s="2043">
        <v>1046</v>
      </c>
      <c r="E724" s="2043">
        <v>1080</v>
      </c>
      <c r="F724" s="2043">
        <v>34</v>
      </c>
      <c r="G724" s="2043">
        <v>0</v>
      </c>
      <c r="H724" s="2043">
        <v>0</v>
      </c>
      <c r="I724" s="106">
        <v>0</v>
      </c>
      <c r="J724" s="41" t="s">
        <v>10797</v>
      </c>
      <c r="K724" s="2043">
        <v>0</v>
      </c>
      <c r="L724" s="2043">
        <v>0</v>
      </c>
    </row>
    <row r="725" spans="1:12" ht="14.5">
      <c r="A725" t="s">
        <v>5761</v>
      </c>
      <c r="B725" s="380" t="str">
        <f t="shared" si="11"/>
        <v>028-906</v>
      </c>
      <c r="C725" t="s">
        <v>1507</v>
      </c>
      <c r="D725" s="2043">
        <v>200</v>
      </c>
      <c r="E725" s="2043">
        <v>235</v>
      </c>
      <c r="F725" s="2043">
        <v>35</v>
      </c>
      <c r="G725" s="2043">
        <v>0</v>
      </c>
      <c r="H725" s="2043">
        <v>0</v>
      </c>
      <c r="I725" s="106">
        <v>0</v>
      </c>
      <c r="J725" s="41" t="s">
        <v>10797</v>
      </c>
      <c r="K725" s="2043">
        <v>0</v>
      </c>
      <c r="L725" s="2043">
        <v>0</v>
      </c>
    </row>
    <row r="726" spans="1:12" ht="14.5">
      <c r="A726" t="s">
        <v>4983</v>
      </c>
      <c r="B726" s="380" t="str">
        <f t="shared" si="11"/>
        <v>052-901</v>
      </c>
      <c r="C726" t="s">
        <v>2099</v>
      </c>
      <c r="D726" s="2043">
        <v>1116</v>
      </c>
      <c r="E726" s="2043">
        <v>1151</v>
      </c>
      <c r="F726" s="2043">
        <v>35</v>
      </c>
      <c r="G726" s="2043">
        <v>0</v>
      </c>
      <c r="H726" s="2043">
        <v>0</v>
      </c>
      <c r="I726" s="106">
        <v>0</v>
      </c>
      <c r="J726" s="41" t="s">
        <v>10797</v>
      </c>
      <c r="K726" s="2043">
        <v>0</v>
      </c>
      <c r="L726" s="2043">
        <v>0</v>
      </c>
    </row>
    <row r="727" spans="1:12" ht="14.5">
      <c r="A727" t="s">
        <v>5785</v>
      </c>
      <c r="B727" s="380" t="str">
        <f t="shared" si="11"/>
        <v>062-906</v>
      </c>
      <c r="C727" t="s">
        <v>2479</v>
      </c>
      <c r="D727" s="2043">
        <v>110</v>
      </c>
      <c r="E727" s="2043">
        <v>145</v>
      </c>
      <c r="F727" s="2043">
        <v>35</v>
      </c>
      <c r="G727" s="2043">
        <v>0</v>
      </c>
      <c r="H727" s="2043">
        <v>0</v>
      </c>
      <c r="I727" s="106">
        <v>0</v>
      </c>
      <c r="J727" s="41" t="s">
        <v>10797</v>
      </c>
      <c r="K727" s="2043">
        <v>0</v>
      </c>
      <c r="L727" s="2043">
        <v>0</v>
      </c>
    </row>
    <row r="728" spans="1:12" ht="14.5">
      <c r="A728" t="s">
        <v>5011</v>
      </c>
      <c r="B728" s="380" t="str">
        <f t="shared" si="11"/>
        <v>073-901</v>
      </c>
      <c r="C728" t="s">
        <v>979</v>
      </c>
      <c r="D728" s="2043">
        <v>512</v>
      </c>
      <c r="E728" s="2043">
        <v>547</v>
      </c>
      <c r="F728" s="2043">
        <v>35</v>
      </c>
      <c r="G728" s="2043">
        <v>0</v>
      </c>
      <c r="H728" s="2043">
        <v>0</v>
      </c>
      <c r="I728" s="106">
        <v>0</v>
      </c>
      <c r="J728" s="41" t="s">
        <v>10797</v>
      </c>
      <c r="K728" s="2043">
        <v>0</v>
      </c>
      <c r="L728" s="2043">
        <v>0</v>
      </c>
    </row>
    <row r="729" spans="1:12" ht="14.5">
      <c r="A729" t="s">
        <v>3948</v>
      </c>
      <c r="B729" s="380" t="str">
        <f t="shared" si="11"/>
        <v>091-902</v>
      </c>
      <c r="C729" t="s">
        <v>1360</v>
      </c>
      <c r="D729" s="2043">
        <v>525</v>
      </c>
      <c r="E729" s="2043">
        <v>560</v>
      </c>
      <c r="F729" s="2043">
        <v>35</v>
      </c>
      <c r="G729" s="2043">
        <v>0</v>
      </c>
      <c r="H729" s="2043">
        <v>0</v>
      </c>
      <c r="I729" s="106">
        <v>0</v>
      </c>
      <c r="J729" s="41" t="s">
        <v>10797</v>
      </c>
      <c r="K729" s="2043">
        <v>0</v>
      </c>
      <c r="L729" s="2043">
        <v>0</v>
      </c>
    </row>
    <row r="730" spans="1:12" ht="14.5">
      <c r="A730" t="s">
        <v>5152</v>
      </c>
      <c r="B730" s="380" t="str">
        <f t="shared" si="11"/>
        <v>147-903</v>
      </c>
      <c r="C730" t="s">
        <v>511</v>
      </c>
      <c r="D730" s="2043">
        <v>1821</v>
      </c>
      <c r="E730" s="2043">
        <v>1856</v>
      </c>
      <c r="F730" s="2043">
        <v>35</v>
      </c>
      <c r="G730" s="2043">
        <v>0</v>
      </c>
      <c r="H730" s="2043">
        <v>0</v>
      </c>
      <c r="I730" s="106">
        <v>0</v>
      </c>
      <c r="J730" s="41" t="s">
        <v>10797</v>
      </c>
      <c r="K730" s="2043">
        <v>0</v>
      </c>
      <c r="L730" s="2043">
        <v>0</v>
      </c>
    </row>
    <row r="731" spans="1:12" ht="14.5">
      <c r="A731" t="s">
        <v>5289</v>
      </c>
      <c r="B731" s="380" t="str">
        <f t="shared" si="11"/>
        <v>231-902</v>
      </c>
      <c r="C731" t="s">
        <v>735</v>
      </c>
      <c r="D731" s="2043">
        <v>277</v>
      </c>
      <c r="E731" s="2043">
        <v>312</v>
      </c>
      <c r="F731" s="2043">
        <v>35</v>
      </c>
      <c r="G731" s="2043">
        <v>0</v>
      </c>
      <c r="H731" s="2043">
        <v>0</v>
      </c>
      <c r="I731" s="106">
        <v>0</v>
      </c>
      <c r="J731" s="41" t="s">
        <v>10797</v>
      </c>
      <c r="K731" s="2043">
        <v>0</v>
      </c>
      <c r="L731" s="2043">
        <v>0</v>
      </c>
    </row>
    <row r="732" spans="1:12" ht="14.5">
      <c r="A732" t="s">
        <v>2887</v>
      </c>
      <c r="B732" s="380" t="str">
        <f t="shared" si="11"/>
        <v>016-902</v>
      </c>
      <c r="C732" t="s">
        <v>753</v>
      </c>
      <c r="D732" s="2043">
        <v>1027</v>
      </c>
      <c r="E732" s="2043">
        <v>1063</v>
      </c>
      <c r="F732" s="2043">
        <v>36</v>
      </c>
      <c r="G732" s="2043">
        <v>0</v>
      </c>
      <c r="H732" s="2043">
        <v>0</v>
      </c>
      <c r="I732" s="106">
        <v>0</v>
      </c>
      <c r="J732" s="41" t="s">
        <v>10797</v>
      </c>
      <c r="K732" s="2043">
        <v>0</v>
      </c>
      <c r="L732" s="2043">
        <v>0</v>
      </c>
    </row>
    <row r="733" spans="1:12" ht="14.5">
      <c r="A733" t="s">
        <v>5762</v>
      </c>
      <c r="B733" s="380" t="str">
        <f t="shared" si="11"/>
        <v>030-901</v>
      </c>
      <c r="C733" t="s">
        <v>1509</v>
      </c>
      <c r="D733" s="2043">
        <v>343</v>
      </c>
      <c r="E733" s="2043">
        <v>379</v>
      </c>
      <c r="F733" s="2043">
        <v>36</v>
      </c>
      <c r="G733" s="2043">
        <v>0</v>
      </c>
      <c r="H733" s="2043">
        <v>0</v>
      </c>
      <c r="I733" s="106">
        <v>0</v>
      </c>
      <c r="J733" s="41" t="s">
        <v>10797</v>
      </c>
      <c r="K733" s="2043">
        <v>0</v>
      </c>
      <c r="L733" s="2043">
        <v>0</v>
      </c>
    </row>
    <row r="734" spans="1:12" ht="14.5">
      <c r="A734" t="s">
        <v>5800</v>
      </c>
      <c r="B734" s="380" t="str">
        <f t="shared" si="11"/>
        <v>076-903</v>
      </c>
      <c r="C734" t="s">
        <v>980</v>
      </c>
      <c r="D734" s="2043">
        <v>294</v>
      </c>
      <c r="E734" s="2043">
        <v>330</v>
      </c>
      <c r="F734" s="2043">
        <v>36</v>
      </c>
      <c r="G734" s="2043">
        <v>0</v>
      </c>
      <c r="H734" s="2043">
        <v>0</v>
      </c>
      <c r="I734" s="106">
        <v>0</v>
      </c>
      <c r="J734" s="41" t="s">
        <v>10797</v>
      </c>
      <c r="K734" s="2043">
        <v>0</v>
      </c>
      <c r="L734" s="2043">
        <v>0</v>
      </c>
    </row>
    <row r="735" spans="1:12" ht="14.5">
      <c r="A735" t="s">
        <v>5301</v>
      </c>
      <c r="B735" s="380" t="str">
        <f t="shared" si="11"/>
        <v>241-906</v>
      </c>
      <c r="C735" t="s">
        <v>1153</v>
      </c>
      <c r="D735" s="2043">
        <v>482</v>
      </c>
      <c r="E735" s="2043">
        <v>518</v>
      </c>
      <c r="F735" s="2043">
        <v>36</v>
      </c>
      <c r="G735" s="2043">
        <v>0</v>
      </c>
      <c r="H735" s="2043">
        <v>0</v>
      </c>
      <c r="I735" s="106">
        <v>0</v>
      </c>
      <c r="J735" s="41" t="s">
        <v>10797</v>
      </c>
      <c r="K735" s="2043">
        <v>0</v>
      </c>
      <c r="L735" s="2043">
        <v>0</v>
      </c>
    </row>
    <row r="736" spans="1:12" ht="14.5">
      <c r="A736" t="s">
        <v>2991</v>
      </c>
      <c r="B736" s="380" t="str">
        <f t="shared" si="11"/>
        <v>074-907</v>
      </c>
      <c r="C736" t="s">
        <v>2</v>
      </c>
      <c r="D736" s="2043">
        <v>603</v>
      </c>
      <c r="E736" s="2043">
        <v>640</v>
      </c>
      <c r="F736" s="2043">
        <v>37</v>
      </c>
      <c r="G736" s="2043">
        <v>0</v>
      </c>
      <c r="H736" s="2043">
        <v>0</v>
      </c>
      <c r="I736" s="106">
        <v>0</v>
      </c>
      <c r="J736" s="41" t="s">
        <v>10797</v>
      </c>
      <c r="K736" s="2043">
        <v>0</v>
      </c>
      <c r="L736" s="2043">
        <v>0</v>
      </c>
    </row>
    <row r="737" spans="1:12" ht="14.5">
      <c r="A737" t="s">
        <v>5799</v>
      </c>
      <c r="B737" s="380" t="str">
        <f t="shared" si="11"/>
        <v>075-906</v>
      </c>
      <c r="C737" t="s">
        <v>437</v>
      </c>
      <c r="D737" s="2043">
        <v>240</v>
      </c>
      <c r="E737" s="2043">
        <v>279</v>
      </c>
      <c r="F737" s="2043">
        <v>39</v>
      </c>
      <c r="G737" s="2043">
        <v>0</v>
      </c>
      <c r="H737" s="2043">
        <v>0</v>
      </c>
      <c r="I737" s="106">
        <v>0</v>
      </c>
      <c r="J737" s="41" t="s">
        <v>10797</v>
      </c>
      <c r="K737" s="2043">
        <v>0</v>
      </c>
      <c r="L737" s="2043">
        <v>0</v>
      </c>
    </row>
    <row r="738" spans="1:12" ht="14.5">
      <c r="A738" t="s">
        <v>2951</v>
      </c>
      <c r="B738" s="380" t="str">
        <f t="shared" si="11"/>
        <v>050-904</v>
      </c>
      <c r="C738" t="s">
        <v>247</v>
      </c>
      <c r="D738" s="2043">
        <v>158</v>
      </c>
      <c r="E738" s="2043">
        <v>198</v>
      </c>
      <c r="F738" s="2043">
        <v>40</v>
      </c>
      <c r="G738" s="2043">
        <v>0</v>
      </c>
      <c r="H738" s="2043">
        <v>0</v>
      </c>
      <c r="I738" s="106">
        <v>0</v>
      </c>
      <c r="J738" s="41" t="s">
        <v>10797</v>
      </c>
      <c r="K738" s="2043">
        <v>0</v>
      </c>
      <c r="L738" s="2043">
        <v>0</v>
      </c>
    </row>
    <row r="739" spans="1:12" ht="14.5">
      <c r="A739" t="s">
        <v>4975</v>
      </c>
      <c r="B739" s="380" t="str">
        <f t="shared" si="11"/>
        <v>045-905</v>
      </c>
      <c r="C739" t="s">
        <v>2082</v>
      </c>
      <c r="D739" s="2043">
        <v>647</v>
      </c>
      <c r="E739" s="2043">
        <v>688</v>
      </c>
      <c r="F739" s="2043">
        <v>41</v>
      </c>
      <c r="G739" s="2043">
        <v>0</v>
      </c>
      <c r="H739" s="2043">
        <v>0</v>
      </c>
      <c r="I739" s="106">
        <v>0</v>
      </c>
      <c r="J739" s="41" t="s">
        <v>10797</v>
      </c>
      <c r="K739" s="2043">
        <v>0</v>
      </c>
      <c r="L739" s="2043">
        <v>0</v>
      </c>
    </row>
    <row r="740" spans="1:12" ht="14.5">
      <c r="A740" t="s">
        <v>2966</v>
      </c>
      <c r="B740" s="380" t="str">
        <f t="shared" si="11"/>
        <v>061-912</v>
      </c>
      <c r="C740" t="s">
        <v>2176</v>
      </c>
      <c r="D740" s="2043">
        <v>3963</v>
      </c>
      <c r="E740" s="2043">
        <v>4004</v>
      </c>
      <c r="F740" s="2043">
        <v>41</v>
      </c>
      <c r="G740" s="2043">
        <v>0</v>
      </c>
      <c r="H740" s="2043">
        <v>0</v>
      </c>
      <c r="I740" s="106">
        <v>0</v>
      </c>
      <c r="J740" s="41" t="s">
        <v>10797</v>
      </c>
      <c r="K740" s="2043">
        <v>0</v>
      </c>
      <c r="L740" s="2043">
        <v>0</v>
      </c>
    </row>
    <row r="741" spans="1:12" ht="14.5">
      <c r="A741" t="s">
        <v>5258</v>
      </c>
      <c r="B741" s="380" t="str">
        <f t="shared" si="11"/>
        <v>212-910</v>
      </c>
      <c r="C741" t="s">
        <v>1886</v>
      </c>
      <c r="D741" s="2043">
        <v>1037</v>
      </c>
      <c r="E741" s="2043">
        <v>1078</v>
      </c>
      <c r="F741" s="2043">
        <v>41</v>
      </c>
      <c r="G741" s="2043">
        <v>0</v>
      </c>
      <c r="H741" s="2043">
        <v>0</v>
      </c>
      <c r="I741" s="106">
        <v>0</v>
      </c>
      <c r="J741" s="41" t="s">
        <v>10797</v>
      </c>
      <c r="K741" s="2043">
        <v>0</v>
      </c>
      <c r="L741" s="2043">
        <v>0</v>
      </c>
    </row>
    <row r="742" spans="1:12" ht="14.5">
      <c r="A742" t="s">
        <v>7353</v>
      </c>
      <c r="B742" s="380" t="str">
        <f t="shared" si="11"/>
        <v>015-914</v>
      </c>
      <c r="C742" t="s">
        <v>970</v>
      </c>
      <c r="D742" s="2043">
        <v>1597</v>
      </c>
      <c r="E742" s="2043">
        <v>1639</v>
      </c>
      <c r="F742" s="2043">
        <v>42</v>
      </c>
      <c r="G742" s="2043">
        <v>0</v>
      </c>
      <c r="H742" s="2043">
        <v>0</v>
      </c>
      <c r="I742" s="106">
        <v>0</v>
      </c>
      <c r="J742" s="41" t="s">
        <v>10797</v>
      </c>
      <c r="K742" s="2043">
        <v>0</v>
      </c>
      <c r="L742" s="2043">
        <v>0</v>
      </c>
    </row>
    <row r="743" spans="1:12" ht="14.5">
      <c r="A743" t="s">
        <v>5780</v>
      </c>
      <c r="B743" s="380" t="str">
        <f t="shared" si="11"/>
        <v>056-902</v>
      </c>
      <c r="C743" t="s">
        <v>115</v>
      </c>
      <c r="D743" s="2043">
        <v>175</v>
      </c>
      <c r="E743" s="2043">
        <v>217</v>
      </c>
      <c r="F743" s="2043">
        <v>42</v>
      </c>
      <c r="G743" s="2043">
        <v>0</v>
      </c>
      <c r="H743" s="2043">
        <v>0</v>
      </c>
      <c r="I743" s="106">
        <v>0</v>
      </c>
      <c r="J743" s="41" t="s">
        <v>10797</v>
      </c>
      <c r="K743" s="2043">
        <v>0</v>
      </c>
      <c r="L743" s="2043">
        <v>0</v>
      </c>
    </row>
    <row r="744" spans="1:12" ht="14.5">
      <c r="A744" t="s">
        <v>3069</v>
      </c>
      <c r="B744" s="380" t="str">
        <f t="shared" si="11"/>
        <v>116-909</v>
      </c>
      <c r="C744" t="s">
        <v>1064</v>
      </c>
      <c r="D744" s="2043">
        <v>661</v>
      </c>
      <c r="E744" s="2043">
        <v>703</v>
      </c>
      <c r="F744" s="2043">
        <v>42</v>
      </c>
      <c r="G744" s="2043">
        <v>0</v>
      </c>
      <c r="H744" s="2043">
        <v>0</v>
      </c>
      <c r="I744" s="106">
        <v>0</v>
      </c>
      <c r="J744" s="41" t="s">
        <v>10797</v>
      </c>
      <c r="K744" s="2043">
        <v>0</v>
      </c>
      <c r="L744" s="2043">
        <v>0</v>
      </c>
    </row>
    <row r="745" spans="1:12" ht="14.5">
      <c r="A745" t="s">
        <v>5130</v>
      </c>
      <c r="B745" s="380" t="str">
        <f t="shared" si="11"/>
        <v>133-902</v>
      </c>
      <c r="C745" t="s">
        <v>1930</v>
      </c>
      <c r="D745" s="2043">
        <v>167</v>
      </c>
      <c r="E745" s="2043">
        <v>209</v>
      </c>
      <c r="F745" s="2043">
        <v>42</v>
      </c>
      <c r="G745" s="2043">
        <v>0</v>
      </c>
      <c r="H745" s="2043">
        <v>0</v>
      </c>
      <c r="I745" s="106">
        <v>0</v>
      </c>
      <c r="J745" s="41" t="s">
        <v>10797</v>
      </c>
      <c r="K745" s="2043">
        <v>0</v>
      </c>
      <c r="L745" s="2043">
        <v>0</v>
      </c>
    </row>
    <row r="746" spans="1:12" ht="14.5">
      <c r="A746" t="s">
        <v>5138</v>
      </c>
      <c r="B746" s="380" t="str">
        <f t="shared" si="11"/>
        <v>141-902</v>
      </c>
      <c r="C746" t="s">
        <v>895</v>
      </c>
      <c r="D746" s="2043">
        <v>275</v>
      </c>
      <c r="E746" s="2043">
        <v>317</v>
      </c>
      <c r="F746" s="2043">
        <v>42</v>
      </c>
      <c r="G746" s="2043">
        <v>0</v>
      </c>
      <c r="H746" s="2043">
        <v>0</v>
      </c>
      <c r="I746" s="106">
        <v>0</v>
      </c>
      <c r="J746" s="41" t="s">
        <v>10797</v>
      </c>
      <c r="K746" s="2043">
        <v>0</v>
      </c>
      <c r="L746" s="2043">
        <v>0</v>
      </c>
    </row>
    <row r="747" spans="1:12" ht="14.5">
      <c r="A747" t="s">
        <v>5199</v>
      </c>
      <c r="B747" s="380" t="str">
        <f t="shared" si="11"/>
        <v>178-901</v>
      </c>
      <c r="C747" t="s">
        <v>297</v>
      </c>
      <c r="D747" s="2043">
        <v>358</v>
      </c>
      <c r="E747" s="2043">
        <v>400</v>
      </c>
      <c r="F747" s="2043">
        <v>42</v>
      </c>
      <c r="G747" s="2043">
        <v>0</v>
      </c>
      <c r="H747" s="2043">
        <v>0</v>
      </c>
      <c r="I747" s="106">
        <v>0</v>
      </c>
      <c r="J747" s="41" t="s">
        <v>10797</v>
      </c>
      <c r="K747" s="2043">
        <v>0</v>
      </c>
      <c r="L747" s="2043">
        <v>0</v>
      </c>
    </row>
    <row r="748" spans="1:12" ht="14.5">
      <c r="A748" t="s">
        <v>5828</v>
      </c>
      <c r="B748" s="380" t="str">
        <f t="shared" si="11"/>
        <v>132-902</v>
      </c>
      <c r="C748" t="s">
        <v>1929</v>
      </c>
      <c r="D748" s="2043">
        <v>128</v>
      </c>
      <c r="E748" s="2043">
        <v>171</v>
      </c>
      <c r="F748" s="2043">
        <v>43</v>
      </c>
      <c r="G748" s="2043">
        <v>0</v>
      </c>
      <c r="H748" s="2043">
        <v>0</v>
      </c>
      <c r="I748" s="106">
        <v>0</v>
      </c>
      <c r="J748" s="41" t="s">
        <v>10797</v>
      </c>
      <c r="K748" s="2043">
        <v>0</v>
      </c>
      <c r="L748" s="2043">
        <v>0</v>
      </c>
    </row>
    <row r="749" spans="1:12" ht="14.5">
      <c r="A749" t="s">
        <v>3151</v>
      </c>
      <c r="B749" s="380" t="str">
        <f t="shared" si="11"/>
        <v>174-903</v>
      </c>
      <c r="C749" t="s">
        <v>429</v>
      </c>
      <c r="D749" s="2043">
        <v>706</v>
      </c>
      <c r="E749" s="2043">
        <v>749</v>
      </c>
      <c r="F749" s="2043">
        <v>43</v>
      </c>
      <c r="G749" s="2043">
        <v>0</v>
      </c>
      <c r="H749" s="2043">
        <v>0</v>
      </c>
      <c r="I749" s="106">
        <v>0</v>
      </c>
      <c r="J749" s="41" t="s">
        <v>10797</v>
      </c>
      <c r="K749" s="2043">
        <v>0</v>
      </c>
      <c r="L749" s="2043">
        <v>0</v>
      </c>
    </row>
    <row r="750" spans="1:12" ht="14.5">
      <c r="A750" t="s">
        <v>5230</v>
      </c>
      <c r="B750" s="380" t="str">
        <f t="shared" si="11"/>
        <v>190-903</v>
      </c>
      <c r="C750" t="s">
        <v>427</v>
      </c>
      <c r="D750" s="2043">
        <v>1686</v>
      </c>
      <c r="E750" s="2043">
        <v>1729</v>
      </c>
      <c r="F750" s="2043">
        <v>43</v>
      </c>
      <c r="G750" s="2043">
        <v>0</v>
      </c>
      <c r="H750" s="2043">
        <v>0</v>
      </c>
      <c r="I750" s="106">
        <v>0</v>
      </c>
      <c r="J750" s="41" t="s">
        <v>10797</v>
      </c>
      <c r="K750" s="2043">
        <v>0</v>
      </c>
      <c r="L750" s="2043">
        <v>0</v>
      </c>
    </row>
    <row r="751" spans="1:12" ht="14.5">
      <c r="A751" t="s">
        <v>5262</v>
      </c>
      <c r="B751" s="380" t="str">
        <f t="shared" si="11"/>
        <v>216-901</v>
      </c>
      <c r="C751" t="s">
        <v>2421</v>
      </c>
      <c r="D751" s="2043">
        <v>294</v>
      </c>
      <c r="E751" s="2043">
        <v>337</v>
      </c>
      <c r="F751" s="2043">
        <v>43</v>
      </c>
      <c r="G751" s="2043">
        <v>0</v>
      </c>
      <c r="H751" s="2043">
        <v>0</v>
      </c>
      <c r="I751" s="106">
        <v>0</v>
      </c>
      <c r="J751" s="41" t="s">
        <v>10797</v>
      </c>
      <c r="K751" s="2043">
        <v>0</v>
      </c>
      <c r="L751" s="2043">
        <v>0</v>
      </c>
    </row>
    <row r="752" spans="1:12" ht="14.5">
      <c r="A752" t="s">
        <v>5901</v>
      </c>
      <c r="B752" s="380" t="str">
        <f t="shared" si="11"/>
        <v>250-907</v>
      </c>
      <c r="C752" t="s">
        <v>1296</v>
      </c>
      <c r="D752" s="2043">
        <v>1494</v>
      </c>
      <c r="E752" s="2043">
        <v>1537</v>
      </c>
      <c r="F752" s="2043">
        <v>43</v>
      </c>
      <c r="G752" s="2043">
        <v>0</v>
      </c>
      <c r="H752" s="2043">
        <v>0</v>
      </c>
      <c r="I752" s="106">
        <v>0</v>
      </c>
      <c r="J752" s="41" t="s">
        <v>10797</v>
      </c>
      <c r="K752" s="2043">
        <v>0</v>
      </c>
      <c r="L752" s="2043">
        <v>0</v>
      </c>
    </row>
    <row r="753" spans="1:12" ht="14.5">
      <c r="A753" t="s">
        <v>4595</v>
      </c>
      <c r="B753" s="380" t="str">
        <f t="shared" si="11"/>
        <v>201-907</v>
      </c>
      <c r="C753" t="s">
        <v>2034</v>
      </c>
      <c r="D753" s="2043">
        <v>423</v>
      </c>
      <c r="E753" s="2043">
        <v>467</v>
      </c>
      <c r="F753" s="2043">
        <v>44</v>
      </c>
      <c r="G753" s="2043">
        <v>0</v>
      </c>
      <c r="H753" s="2043">
        <v>0</v>
      </c>
      <c r="I753" s="106">
        <v>0</v>
      </c>
      <c r="J753" s="41" t="s">
        <v>10797</v>
      </c>
      <c r="K753" s="2043">
        <v>0</v>
      </c>
      <c r="L753" s="2043">
        <v>0</v>
      </c>
    </row>
    <row r="754" spans="1:12" ht="14.5">
      <c r="A754" t="s">
        <v>5134</v>
      </c>
      <c r="B754" s="380" t="str">
        <f t="shared" si="11"/>
        <v>137-904</v>
      </c>
      <c r="C754" t="s">
        <v>1939</v>
      </c>
      <c r="D754" s="2043">
        <v>736</v>
      </c>
      <c r="E754" s="2043">
        <v>781</v>
      </c>
      <c r="F754" s="2043">
        <v>45</v>
      </c>
      <c r="G754" s="2043">
        <v>0</v>
      </c>
      <c r="H754" s="2043">
        <v>0</v>
      </c>
      <c r="I754" s="106">
        <v>0</v>
      </c>
      <c r="J754" s="41" t="s">
        <v>10797</v>
      </c>
      <c r="K754" s="2043">
        <v>0</v>
      </c>
      <c r="L754" s="2043">
        <v>0</v>
      </c>
    </row>
    <row r="755" spans="1:12" ht="14.5">
      <c r="A755" t="s">
        <v>5219</v>
      </c>
      <c r="B755" s="380" t="str">
        <f t="shared" si="11"/>
        <v>184-911</v>
      </c>
      <c r="C755" t="s">
        <v>413</v>
      </c>
      <c r="D755" s="2043">
        <v>200</v>
      </c>
      <c r="E755" s="2043">
        <v>245</v>
      </c>
      <c r="F755" s="2043">
        <v>45</v>
      </c>
      <c r="G755" s="2043">
        <v>0</v>
      </c>
      <c r="H755" s="2043">
        <v>0</v>
      </c>
      <c r="I755" s="106">
        <v>0</v>
      </c>
      <c r="J755" s="41" t="s">
        <v>10797</v>
      </c>
      <c r="K755" s="2043">
        <v>0</v>
      </c>
      <c r="L755" s="2043">
        <v>0</v>
      </c>
    </row>
    <row r="756" spans="1:12" ht="14.5">
      <c r="A756" t="s">
        <v>5290</v>
      </c>
      <c r="B756" s="380" t="str">
        <f t="shared" si="11"/>
        <v>233-903</v>
      </c>
      <c r="C756" t="s">
        <v>586</v>
      </c>
      <c r="D756" s="2043">
        <v>195</v>
      </c>
      <c r="E756" s="2043">
        <v>240</v>
      </c>
      <c r="F756" s="2043">
        <v>45</v>
      </c>
      <c r="G756" s="2043">
        <v>0</v>
      </c>
      <c r="H756" s="2043">
        <v>0</v>
      </c>
      <c r="I756" s="106">
        <v>0</v>
      </c>
      <c r="J756" s="41" t="s">
        <v>10797</v>
      </c>
      <c r="K756" s="2043">
        <v>0</v>
      </c>
      <c r="L756" s="2043">
        <v>0</v>
      </c>
    </row>
    <row r="757" spans="1:12" ht="14.5">
      <c r="A757" t="s">
        <v>2945</v>
      </c>
      <c r="B757" s="380" t="str">
        <f t="shared" si="11"/>
        <v>047-902</v>
      </c>
      <c r="C757" t="s">
        <v>2518</v>
      </c>
      <c r="D757" s="2043">
        <v>708</v>
      </c>
      <c r="E757" s="2043">
        <v>754</v>
      </c>
      <c r="F757" s="2043">
        <v>46</v>
      </c>
      <c r="G757" s="2043">
        <v>0</v>
      </c>
      <c r="H757" s="2043">
        <v>0</v>
      </c>
      <c r="I757" s="106">
        <v>0</v>
      </c>
      <c r="J757" s="41" t="s">
        <v>10797</v>
      </c>
      <c r="K757" s="2043">
        <v>0</v>
      </c>
      <c r="L757" s="2043">
        <v>0</v>
      </c>
    </row>
    <row r="758" spans="1:12" ht="14.5">
      <c r="A758" t="s">
        <v>2906</v>
      </c>
      <c r="B758" s="380" t="str">
        <f t="shared" si="11"/>
        <v>025-908</v>
      </c>
      <c r="C758" t="s">
        <v>2278</v>
      </c>
      <c r="D758" s="2043">
        <v>143</v>
      </c>
      <c r="E758" s="2043">
        <v>191</v>
      </c>
      <c r="F758" s="2043">
        <v>48</v>
      </c>
      <c r="G758" s="2043">
        <v>0</v>
      </c>
      <c r="H758" s="2043">
        <v>0</v>
      </c>
      <c r="I758" s="106">
        <v>0</v>
      </c>
      <c r="J758" s="41" t="s">
        <v>10797</v>
      </c>
      <c r="K758" s="2043">
        <v>0</v>
      </c>
      <c r="L758" s="2043">
        <v>0</v>
      </c>
    </row>
    <row r="759" spans="1:12" ht="14.5">
      <c r="A759" t="s">
        <v>5146</v>
      </c>
      <c r="B759" s="380" t="str">
        <f t="shared" si="11"/>
        <v>145-907</v>
      </c>
      <c r="C759" t="s">
        <v>1723</v>
      </c>
      <c r="D759" s="2043">
        <v>186</v>
      </c>
      <c r="E759" s="2043">
        <v>234</v>
      </c>
      <c r="F759" s="2043">
        <v>48</v>
      </c>
      <c r="G759" s="2043">
        <v>0</v>
      </c>
      <c r="H759" s="2043">
        <v>0</v>
      </c>
      <c r="I759" s="106">
        <v>0</v>
      </c>
      <c r="J759" s="41" t="s">
        <v>10797</v>
      </c>
      <c r="K759" s="2043">
        <v>0</v>
      </c>
      <c r="L759" s="2043">
        <v>0</v>
      </c>
    </row>
    <row r="760" spans="1:12" ht="14.5">
      <c r="A760" t="s">
        <v>5863</v>
      </c>
      <c r="B760" s="380" t="str">
        <f t="shared" si="11"/>
        <v>185-902</v>
      </c>
      <c r="C760" t="s">
        <v>415</v>
      </c>
      <c r="D760" s="2043">
        <v>539</v>
      </c>
      <c r="E760" s="2043">
        <v>588</v>
      </c>
      <c r="F760" s="2043">
        <v>49</v>
      </c>
      <c r="G760" s="2043">
        <v>0</v>
      </c>
      <c r="H760" s="2043">
        <v>0</v>
      </c>
      <c r="I760" s="106">
        <v>0</v>
      </c>
      <c r="J760" s="41" t="s">
        <v>10797</v>
      </c>
      <c r="K760" s="2043">
        <v>0</v>
      </c>
      <c r="L760" s="2043">
        <v>0</v>
      </c>
    </row>
    <row r="761" spans="1:12" ht="14.5">
      <c r="A761" t="s">
        <v>2908</v>
      </c>
      <c r="B761" s="380" t="str">
        <f t="shared" si="11"/>
        <v>026-903</v>
      </c>
      <c r="C761" t="s">
        <v>1506</v>
      </c>
      <c r="D761" s="2043">
        <v>480</v>
      </c>
      <c r="E761" s="2043">
        <v>530</v>
      </c>
      <c r="F761" s="2043">
        <v>50</v>
      </c>
      <c r="G761" s="2043">
        <v>0</v>
      </c>
      <c r="H761" s="2043">
        <v>0</v>
      </c>
      <c r="I761" s="106">
        <v>0</v>
      </c>
      <c r="J761" s="41" t="s">
        <v>10797</v>
      </c>
      <c r="K761" s="2043">
        <v>0</v>
      </c>
      <c r="L761" s="2043">
        <v>0</v>
      </c>
    </row>
    <row r="762" spans="1:12" ht="14.5">
      <c r="A762" t="s">
        <v>5791</v>
      </c>
      <c r="B762" s="380" t="str">
        <f t="shared" si="11"/>
        <v>067-908</v>
      </c>
      <c r="C762" t="s">
        <v>1858</v>
      </c>
      <c r="D762" s="2043">
        <v>141</v>
      </c>
      <c r="E762" s="2043">
        <v>191</v>
      </c>
      <c r="F762" s="2043">
        <v>50</v>
      </c>
      <c r="G762" s="2043">
        <v>0</v>
      </c>
      <c r="H762" s="2043">
        <v>0</v>
      </c>
      <c r="I762" s="106">
        <v>0</v>
      </c>
      <c r="J762" s="41" t="s">
        <v>10797</v>
      </c>
      <c r="K762" s="2043">
        <v>0</v>
      </c>
      <c r="L762" s="2043">
        <v>0</v>
      </c>
    </row>
    <row r="763" spans="1:12" ht="14.5">
      <c r="A763" t="s">
        <v>2974</v>
      </c>
      <c r="B763" s="380" t="str">
        <f t="shared" si="11"/>
        <v>070-905</v>
      </c>
      <c r="C763" t="s">
        <v>1863</v>
      </c>
      <c r="D763" s="2043">
        <v>2580</v>
      </c>
      <c r="E763" s="2043">
        <v>2630</v>
      </c>
      <c r="F763" s="2043">
        <v>50</v>
      </c>
      <c r="G763" s="2043">
        <v>0</v>
      </c>
      <c r="H763" s="2043">
        <v>0</v>
      </c>
      <c r="I763" s="106">
        <v>0</v>
      </c>
      <c r="J763" s="41" t="s">
        <v>10797</v>
      </c>
      <c r="K763" s="2043">
        <v>0</v>
      </c>
      <c r="L763" s="2043">
        <v>0</v>
      </c>
    </row>
    <row r="764" spans="1:12" ht="14.5">
      <c r="A764" t="s">
        <v>5161</v>
      </c>
      <c r="B764" s="380" t="str">
        <f t="shared" si="11"/>
        <v>152-908</v>
      </c>
      <c r="C764" t="s">
        <v>521</v>
      </c>
      <c r="D764" s="2043">
        <v>1064</v>
      </c>
      <c r="E764" s="2043">
        <v>1114</v>
      </c>
      <c r="F764" s="2043">
        <v>50</v>
      </c>
      <c r="G764" s="2043">
        <v>0</v>
      </c>
      <c r="H764" s="2043">
        <v>0</v>
      </c>
      <c r="I764" s="106">
        <v>0</v>
      </c>
      <c r="J764" s="41" t="s">
        <v>10797</v>
      </c>
      <c r="K764" s="2043">
        <v>0</v>
      </c>
      <c r="L764" s="2043">
        <v>0</v>
      </c>
    </row>
    <row r="765" spans="1:12" ht="14.5">
      <c r="A765" t="s">
        <v>3051</v>
      </c>
      <c r="B765" s="380" t="str">
        <f t="shared" si="11"/>
        <v>109-905</v>
      </c>
      <c r="C765" t="s">
        <v>2248</v>
      </c>
      <c r="D765" s="2043">
        <v>389</v>
      </c>
      <c r="E765" s="2043">
        <v>440</v>
      </c>
      <c r="F765" s="2043">
        <v>51</v>
      </c>
      <c r="G765" s="2043">
        <v>0</v>
      </c>
      <c r="H765" s="2043">
        <v>0</v>
      </c>
      <c r="I765" s="106">
        <v>0</v>
      </c>
      <c r="J765" s="41" t="s">
        <v>10797</v>
      </c>
      <c r="K765" s="2043">
        <v>0</v>
      </c>
      <c r="L765" s="2043">
        <v>0</v>
      </c>
    </row>
    <row r="766" spans="1:12" ht="14.5">
      <c r="A766" t="s">
        <v>3178</v>
      </c>
      <c r="B766" s="380" t="str">
        <f t="shared" si="11"/>
        <v>188-902</v>
      </c>
      <c r="C766" t="s">
        <v>2549</v>
      </c>
      <c r="D766" s="2043">
        <v>1289</v>
      </c>
      <c r="E766" s="2043">
        <v>1340</v>
      </c>
      <c r="F766" s="2043">
        <v>51</v>
      </c>
      <c r="G766" s="2043">
        <v>0</v>
      </c>
      <c r="H766" s="2043">
        <v>0</v>
      </c>
      <c r="I766" s="106">
        <v>0</v>
      </c>
      <c r="J766" s="41" t="s">
        <v>10797</v>
      </c>
      <c r="K766" s="2043">
        <v>0</v>
      </c>
      <c r="L766" s="2043">
        <v>0</v>
      </c>
    </row>
    <row r="767" spans="1:12" ht="14.5">
      <c r="A767" t="s">
        <v>4982</v>
      </c>
      <c r="B767" s="380" t="str">
        <f t="shared" si="11"/>
        <v>050-909</v>
      </c>
      <c r="C767" t="s">
        <v>2097</v>
      </c>
      <c r="D767" s="2043">
        <v>287</v>
      </c>
      <c r="E767" s="2043">
        <v>339</v>
      </c>
      <c r="F767" s="2043">
        <v>52</v>
      </c>
      <c r="G767" s="2043">
        <v>0</v>
      </c>
      <c r="H767" s="2043">
        <v>0</v>
      </c>
      <c r="I767" s="106">
        <v>0</v>
      </c>
      <c r="J767" s="41" t="s">
        <v>10797</v>
      </c>
      <c r="K767" s="2043">
        <v>0</v>
      </c>
      <c r="L767" s="2043">
        <v>0</v>
      </c>
    </row>
    <row r="768" spans="1:12" ht="14.5">
      <c r="A768" t="s">
        <v>5167</v>
      </c>
      <c r="B768" s="380" t="str">
        <f t="shared" si="11"/>
        <v>157-901</v>
      </c>
      <c r="C768" t="s">
        <v>531</v>
      </c>
      <c r="D768" s="2043">
        <v>707</v>
      </c>
      <c r="E768" s="2043">
        <v>759</v>
      </c>
      <c r="F768" s="2043">
        <v>52</v>
      </c>
      <c r="G768" s="2043">
        <v>0</v>
      </c>
      <c r="H768" s="2043">
        <v>0</v>
      </c>
      <c r="I768" s="106">
        <v>0</v>
      </c>
      <c r="J768" s="41" t="s">
        <v>10797</v>
      </c>
      <c r="K768" s="2043">
        <v>0</v>
      </c>
      <c r="L768" s="2043">
        <v>0</v>
      </c>
    </row>
    <row r="769" spans="1:12" ht="14.5">
      <c r="A769" t="s">
        <v>5183</v>
      </c>
      <c r="B769" s="380" t="str">
        <f t="shared" si="11"/>
        <v>169-911</v>
      </c>
      <c r="C769" t="s">
        <v>2125</v>
      </c>
      <c r="D769" s="2043">
        <v>270</v>
      </c>
      <c r="E769" s="2043">
        <v>322</v>
      </c>
      <c r="F769" s="2043">
        <v>52</v>
      </c>
      <c r="G769" s="2043">
        <v>0</v>
      </c>
      <c r="H769" s="2043">
        <v>0</v>
      </c>
      <c r="I769" s="106">
        <v>0</v>
      </c>
      <c r="J769" s="41" t="s">
        <v>10797</v>
      </c>
      <c r="K769" s="2043">
        <v>0</v>
      </c>
      <c r="L769" s="2043">
        <v>0</v>
      </c>
    </row>
    <row r="770" spans="1:12" ht="14.5">
      <c r="A770" t="s">
        <v>2861</v>
      </c>
      <c r="B770" s="380" t="str">
        <f t="shared" si="11"/>
        <v>010-902</v>
      </c>
      <c r="C770" t="s">
        <v>2002</v>
      </c>
      <c r="D770" s="2043">
        <v>2251</v>
      </c>
      <c r="E770" s="2043">
        <v>2304</v>
      </c>
      <c r="F770" s="2043">
        <v>53</v>
      </c>
      <c r="G770" s="2043">
        <v>0</v>
      </c>
      <c r="H770" s="2043">
        <v>0</v>
      </c>
      <c r="I770" s="106">
        <v>0</v>
      </c>
      <c r="J770" s="41" t="s">
        <v>10797</v>
      </c>
      <c r="K770" s="2043">
        <v>0</v>
      </c>
      <c r="L770" s="2043">
        <v>0</v>
      </c>
    </row>
    <row r="771" spans="1:12" ht="14.5">
      <c r="A771" t="s">
        <v>4954</v>
      </c>
      <c r="B771" s="380" t="str">
        <f t="shared" ref="B771:B834" si="12">CONCATENATE(LEFT(RIGHT(CONCATENATE("000",A771),6),3),"-",(RIGHT(RIGHT(CONCATENATE("000",A771),6),3)))</f>
        <v>030-906</v>
      </c>
      <c r="C771" t="s">
        <v>1511</v>
      </c>
      <c r="D771" s="2043">
        <v>411</v>
      </c>
      <c r="E771" s="2043">
        <v>464</v>
      </c>
      <c r="F771" s="2043">
        <v>53</v>
      </c>
      <c r="G771" s="2043">
        <v>0</v>
      </c>
      <c r="H771" s="2043">
        <v>0</v>
      </c>
      <c r="I771" s="106">
        <v>0</v>
      </c>
      <c r="J771" s="41" t="s">
        <v>10797</v>
      </c>
      <c r="K771" s="2043">
        <v>0</v>
      </c>
      <c r="L771" s="2043">
        <v>0</v>
      </c>
    </row>
    <row r="772" spans="1:12" ht="14.5">
      <c r="A772" t="s">
        <v>3104</v>
      </c>
      <c r="B772" s="380" t="str">
        <f t="shared" si="12"/>
        <v>141-901</v>
      </c>
      <c r="C772" t="s">
        <v>894</v>
      </c>
      <c r="D772" s="2043">
        <v>3370</v>
      </c>
      <c r="E772" s="2043">
        <v>3423</v>
      </c>
      <c r="F772" s="2043">
        <v>53</v>
      </c>
      <c r="G772" s="2043">
        <v>0</v>
      </c>
      <c r="H772" s="2043">
        <v>0</v>
      </c>
      <c r="I772" s="106">
        <v>0</v>
      </c>
      <c r="J772" s="41" t="s">
        <v>10797</v>
      </c>
      <c r="K772" s="2043">
        <v>0</v>
      </c>
      <c r="L772" s="2043">
        <v>0</v>
      </c>
    </row>
    <row r="773" spans="1:12" ht="14.5">
      <c r="A773" t="s">
        <v>5015</v>
      </c>
      <c r="B773" s="380" t="str">
        <f t="shared" si="12"/>
        <v>075-901</v>
      </c>
      <c r="C773" t="s">
        <v>434</v>
      </c>
      <c r="D773" s="2043">
        <v>576</v>
      </c>
      <c r="E773" s="2043">
        <v>630</v>
      </c>
      <c r="F773" s="2043">
        <v>54</v>
      </c>
      <c r="G773" s="2043">
        <v>0</v>
      </c>
      <c r="H773" s="2043">
        <v>0</v>
      </c>
      <c r="I773" s="106">
        <v>0</v>
      </c>
      <c r="J773" s="41" t="s">
        <v>10797</v>
      </c>
      <c r="K773" s="2043">
        <v>0</v>
      </c>
      <c r="L773" s="2043">
        <v>0</v>
      </c>
    </row>
    <row r="774" spans="1:12" ht="14.5">
      <c r="A774" t="s">
        <v>5806</v>
      </c>
      <c r="B774" s="380" t="str">
        <f t="shared" si="12"/>
        <v>093-905</v>
      </c>
      <c r="C774" t="s">
        <v>217</v>
      </c>
      <c r="D774" s="2043">
        <v>157</v>
      </c>
      <c r="E774" s="2043">
        <v>213</v>
      </c>
      <c r="F774" s="2043">
        <v>56</v>
      </c>
      <c r="G774" s="2043">
        <v>0</v>
      </c>
      <c r="H774" s="2043">
        <v>0</v>
      </c>
      <c r="I774" s="106">
        <v>0</v>
      </c>
      <c r="J774" s="41" t="s">
        <v>10797</v>
      </c>
      <c r="K774" s="2043">
        <v>0</v>
      </c>
      <c r="L774" s="2043">
        <v>0</v>
      </c>
    </row>
    <row r="775" spans="1:12" ht="14.5">
      <c r="A775" t="s">
        <v>3055</v>
      </c>
      <c r="B775" s="380" t="str">
        <f t="shared" si="12"/>
        <v>109-912</v>
      </c>
      <c r="C775" t="s">
        <v>2281</v>
      </c>
      <c r="D775" s="2043">
        <v>279</v>
      </c>
      <c r="E775" s="2043">
        <v>335</v>
      </c>
      <c r="F775" s="2043">
        <v>56</v>
      </c>
      <c r="G775" s="2043">
        <v>0</v>
      </c>
      <c r="H775" s="2043">
        <v>0</v>
      </c>
      <c r="I775" s="106">
        <v>0</v>
      </c>
      <c r="J775" s="41" t="s">
        <v>10797</v>
      </c>
      <c r="K775" s="2043">
        <v>0</v>
      </c>
      <c r="L775" s="2043">
        <v>0</v>
      </c>
    </row>
    <row r="776" spans="1:12" ht="14.5">
      <c r="A776" t="s">
        <v>5226</v>
      </c>
      <c r="B776" s="380" t="str">
        <f t="shared" si="12"/>
        <v>187-906</v>
      </c>
      <c r="C776" t="s">
        <v>424</v>
      </c>
      <c r="D776" s="2043">
        <v>163</v>
      </c>
      <c r="E776" s="2043">
        <v>219</v>
      </c>
      <c r="F776" s="2043">
        <v>56</v>
      </c>
      <c r="G776" s="2043">
        <v>0</v>
      </c>
      <c r="H776" s="2043">
        <v>0</v>
      </c>
      <c r="I776" s="106">
        <v>0</v>
      </c>
      <c r="J776" s="41" t="s">
        <v>10797</v>
      </c>
      <c r="K776" s="2043">
        <v>0</v>
      </c>
      <c r="L776" s="2043">
        <v>0</v>
      </c>
    </row>
    <row r="777" spans="1:12" ht="14.5">
      <c r="A777" t="s">
        <v>3060</v>
      </c>
      <c r="B777" s="380" t="str">
        <f t="shared" si="12"/>
        <v>112-905</v>
      </c>
      <c r="C777" t="s">
        <v>400</v>
      </c>
      <c r="D777" s="2043">
        <v>377</v>
      </c>
      <c r="E777" s="2043">
        <v>435</v>
      </c>
      <c r="F777" s="2043">
        <v>58</v>
      </c>
      <c r="G777" s="2043">
        <v>0</v>
      </c>
      <c r="H777" s="2043">
        <v>0</v>
      </c>
      <c r="I777" s="106">
        <v>0</v>
      </c>
      <c r="J777" s="41" t="s">
        <v>10797</v>
      </c>
      <c r="K777" s="2043">
        <v>0</v>
      </c>
      <c r="L777" s="2043">
        <v>0</v>
      </c>
    </row>
    <row r="778" spans="1:12" ht="14.5">
      <c r="A778" t="s">
        <v>5145</v>
      </c>
      <c r="B778" s="380" t="str">
        <f t="shared" si="12"/>
        <v>145-906</v>
      </c>
      <c r="C778" t="s">
        <v>1722</v>
      </c>
      <c r="D778" s="2043">
        <v>569</v>
      </c>
      <c r="E778" s="2043">
        <v>627</v>
      </c>
      <c r="F778" s="2043">
        <v>58</v>
      </c>
      <c r="G778" s="2043">
        <v>0</v>
      </c>
      <c r="H778" s="2043">
        <v>0</v>
      </c>
      <c r="I778" s="106">
        <v>0</v>
      </c>
      <c r="J778" s="41" t="s">
        <v>10797</v>
      </c>
      <c r="K778" s="2043">
        <v>0</v>
      </c>
      <c r="L778" s="2043">
        <v>0</v>
      </c>
    </row>
    <row r="779" spans="1:12" ht="14.5">
      <c r="A779" t="s">
        <v>3155</v>
      </c>
      <c r="B779" s="380" t="str">
        <f t="shared" si="12"/>
        <v>175-904</v>
      </c>
      <c r="C779" t="s">
        <v>2516</v>
      </c>
      <c r="D779" s="2043">
        <v>468</v>
      </c>
      <c r="E779" s="2043">
        <v>526</v>
      </c>
      <c r="F779" s="2043">
        <v>58</v>
      </c>
      <c r="G779" s="2043">
        <v>0</v>
      </c>
      <c r="H779" s="2043">
        <v>0</v>
      </c>
      <c r="I779" s="106">
        <v>0</v>
      </c>
      <c r="J779" s="41" t="s">
        <v>10797</v>
      </c>
      <c r="K779" s="2043">
        <v>0</v>
      </c>
      <c r="L779" s="2043">
        <v>0</v>
      </c>
    </row>
    <row r="780" spans="1:12" ht="14.5">
      <c r="A780" t="s">
        <v>2895</v>
      </c>
      <c r="B780" s="380" t="str">
        <f t="shared" si="12"/>
        <v>019-910</v>
      </c>
      <c r="C780" t="s">
        <v>274</v>
      </c>
      <c r="D780" s="2043">
        <v>149</v>
      </c>
      <c r="E780" s="2043">
        <v>208</v>
      </c>
      <c r="F780" s="2043">
        <v>59</v>
      </c>
      <c r="G780" s="2043">
        <v>0</v>
      </c>
      <c r="H780" s="2043">
        <v>0</v>
      </c>
      <c r="I780" s="106">
        <v>0</v>
      </c>
      <c r="J780" s="41" t="s">
        <v>10797</v>
      </c>
      <c r="K780" s="2043">
        <v>0</v>
      </c>
      <c r="L780" s="2043">
        <v>0</v>
      </c>
    </row>
    <row r="781" spans="1:12" ht="14.5">
      <c r="A781" t="s">
        <v>5816</v>
      </c>
      <c r="B781" s="380" t="str">
        <f t="shared" si="12"/>
        <v>110-908</v>
      </c>
      <c r="C781" t="s">
        <v>2464</v>
      </c>
      <c r="D781" s="2043">
        <v>176</v>
      </c>
      <c r="E781" s="2043">
        <v>236</v>
      </c>
      <c r="F781" s="2043">
        <v>60</v>
      </c>
      <c r="G781" s="2043">
        <v>0</v>
      </c>
      <c r="H781" s="2043">
        <v>0</v>
      </c>
      <c r="I781" s="106">
        <v>0</v>
      </c>
      <c r="J781" s="41" t="s">
        <v>10797</v>
      </c>
      <c r="K781" s="2043">
        <v>0</v>
      </c>
      <c r="L781" s="2043">
        <v>0</v>
      </c>
    </row>
    <row r="782" spans="1:12" ht="14.5">
      <c r="A782" t="s">
        <v>3058</v>
      </c>
      <c r="B782" s="380" t="str">
        <f t="shared" si="12"/>
        <v>111-903</v>
      </c>
      <c r="C782" t="s">
        <v>568</v>
      </c>
      <c r="D782" s="2043">
        <v>791</v>
      </c>
      <c r="E782" s="2043">
        <v>851</v>
      </c>
      <c r="F782" s="2043">
        <v>60</v>
      </c>
      <c r="G782" s="2043">
        <v>0</v>
      </c>
      <c r="H782" s="2043">
        <v>0</v>
      </c>
      <c r="I782" s="106">
        <v>0</v>
      </c>
      <c r="J782" s="41" t="s">
        <v>10797</v>
      </c>
      <c r="K782" s="2043">
        <v>0</v>
      </c>
      <c r="L782" s="2043">
        <v>0</v>
      </c>
    </row>
    <row r="783" spans="1:12" ht="14.5">
      <c r="A783" t="s">
        <v>5212</v>
      </c>
      <c r="B783" s="380" t="str">
        <f t="shared" si="12"/>
        <v>182-901</v>
      </c>
      <c r="C783" t="s">
        <v>313</v>
      </c>
      <c r="D783" s="2043">
        <v>204</v>
      </c>
      <c r="E783" s="2043">
        <v>264</v>
      </c>
      <c r="F783" s="2043">
        <v>60</v>
      </c>
      <c r="G783" s="2043">
        <v>0</v>
      </c>
      <c r="H783" s="2043">
        <v>0</v>
      </c>
      <c r="I783" s="106">
        <v>0</v>
      </c>
      <c r="J783" s="41" t="s">
        <v>10797</v>
      </c>
      <c r="K783" s="2043">
        <v>0</v>
      </c>
      <c r="L783" s="2043">
        <v>0</v>
      </c>
    </row>
    <row r="784" spans="1:12" ht="14.5">
      <c r="A784" t="s">
        <v>3136</v>
      </c>
      <c r="B784" s="380" t="str">
        <f t="shared" si="12"/>
        <v>163-903</v>
      </c>
      <c r="C784" t="s">
        <v>2121</v>
      </c>
      <c r="D784" s="2043">
        <v>1085</v>
      </c>
      <c r="E784" s="2043">
        <v>1146</v>
      </c>
      <c r="F784" s="2043">
        <v>61</v>
      </c>
      <c r="G784" s="2043">
        <v>0</v>
      </c>
      <c r="H784" s="2043">
        <v>0</v>
      </c>
      <c r="I784" s="106">
        <v>0</v>
      </c>
      <c r="J784" s="41" t="s">
        <v>10797</v>
      </c>
      <c r="K784" s="2043">
        <v>0</v>
      </c>
      <c r="L784" s="2043">
        <v>0</v>
      </c>
    </row>
    <row r="785" spans="1:12" ht="14.5">
      <c r="A785" t="s">
        <v>2975</v>
      </c>
      <c r="B785" s="380" t="str">
        <f t="shared" si="12"/>
        <v>070-907</v>
      </c>
      <c r="C785" t="s">
        <v>1196</v>
      </c>
      <c r="D785" s="2043">
        <v>585</v>
      </c>
      <c r="E785" s="2043">
        <v>647</v>
      </c>
      <c r="F785" s="2043">
        <v>62</v>
      </c>
      <c r="G785" s="2043">
        <v>0</v>
      </c>
      <c r="H785" s="2043">
        <v>0</v>
      </c>
      <c r="I785" s="106">
        <v>0</v>
      </c>
      <c r="J785" s="41" t="s">
        <v>10797</v>
      </c>
      <c r="K785" s="2043">
        <v>0</v>
      </c>
      <c r="L785" s="2043">
        <v>0</v>
      </c>
    </row>
    <row r="786" spans="1:12" ht="14.5">
      <c r="A786" t="s">
        <v>5090</v>
      </c>
      <c r="B786" s="380" t="str">
        <f t="shared" si="12"/>
        <v>107-906</v>
      </c>
      <c r="C786" t="s">
        <v>2455</v>
      </c>
      <c r="D786" s="2043">
        <v>1357</v>
      </c>
      <c r="E786" s="2043">
        <v>1420</v>
      </c>
      <c r="F786" s="2043">
        <v>63</v>
      </c>
      <c r="G786" s="2043">
        <v>0</v>
      </c>
      <c r="H786" s="2043">
        <v>0</v>
      </c>
      <c r="I786" s="106">
        <v>0</v>
      </c>
      <c r="J786" s="41" t="s">
        <v>10797</v>
      </c>
      <c r="K786" s="2043">
        <v>0</v>
      </c>
      <c r="L786" s="2043">
        <v>0</v>
      </c>
    </row>
    <row r="787" spans="1:12" ht="14.5">
      <c r="A787" t="s">
        <v>5315</v>
      </c>
      <c r="B787" s="380" t="str">
        <f t="shared" si="12"/>
        <v>250-904</v>
      </c>
      <c r="C787" t="s">
        <v>22</v>
      </c>
      <c r="D787" s="2043">
        <v>1116</v>
      </c>
      <c r="E787" s="2043">
        <v>1179</v>
      </c>
      <c r="F787" s="2043">
        <v>63</v>
      </c>
      <c r="G787" s="2043">
        <v>0</v>
      </c>
      <c r="H787" s="2043">
        <v>0</v>
      </c>
      <c r="I787" s="106">
        <v>0</v>
      </c>
      <c r="J787" s="41" t="s">
        <v>10797</v>
      </c>
      <c r="K787" s="2043">
        <v>0</v>
      </c>
      <c r="L787" s="2043">
        <v>0</v>
      </c>
    </row>
    <row r="788" spans="1:12" ht="14.5">
      <c r="A788" t="s">
        <v>2964</v>
      </c>
      <c r="B788" s="380" t="str">
        <f t="shared" si="12"/>
        <v>061-908</v>
      </c>
      <c r="C788" t="s">
        <v>1947</v>
      </c>
      <c r="D788" s="2043">
        <v>2686</v>
      </c>
      <c r="E788" s="2043">
        <v>2750</v>
      </c>
      <c r="F788" s="2043">
        <v>64</v>
      </c>
      <c r="G788" s="2043">
        <v>0</v>
      </c>
      <c r="H788" s="2043">
        <v>0</v>
      </c>
      <c r="I788" s="106">
        <v>0</v>
      </c>
      <c r="J788" s="41" t="s">
        <v>10797</v>
      </c>
      <c r="K788" s="2043">
        <v>0</v>
      </c>
      <c r="L788" s="2043">
        <v>0</v>
      </c>
    </row>
    <row r="789" spans="1:12" ht="14.5">
      <c r="A789" t="s">
        <v>3186</v>
      </c>
      <c r="B789" s="380" t="str">
        <f t="shared" si="12"/>
        <v>200-906</v>
      </c>
      <c r="C789" t="s">
        <v>248</v>
      </c>
      <c r="D789" s="2043">
        <v>77</v>
      </c>
      <c r="E789" s="2043">
        <v>141</v>
      </c>
      <c r="F789" s="2043">
        <v>64</v>
      </c>
      <c r="G789" s="2043">
        <v>0</v>
      </c>
      <c r="H789" s="2043">
        <v>0</v>
      </c>
      <c r="I789" s="106">
        <v>0</v>
      </c>
      <c r="J789" s="41" t="s">
        <v>10797</v>
      </c>
      <c r="K789" s="2043">
        <v>0</v>
      </c>
      <c r="L789" s="2043">
        <v>0</v>
      </c>
    </row>
    <row r="790" spans="1:12" ht="14.5">
      <c r="A790" t="s">
        <v>5144</v>
      </c>
      <c r="B790" s="380" t="str">
        <f t="shared" si="12"/>
        <v>145-902</v>
      </c>
      <c r="C790" t="s">
        <v>1721</v>
      </c>
      <c r="D790" s="2043">
        <v>650</v>
      </c>
      <c r="E790" s="2043">
        <v>715</v>
      </c>
      <c r="F790" s="2043">
        <v>65</v>
      </c>
      <c r="G790" s="2043">
        <v>0</v>
      </c>
      <c r="H790" s="2043">
        <v>0</v>
      </c>
      <c r="I790" s="106">
        <v>0</v>
      </c>
      <c r="J790" s="41" t="s">
        <v>10797</v>
      </c>
      <c r="K790" s="2043">
        <v>0</v>
      </c>
      <c r="L790" s="2043">
        <v>0</v>
      </c>
    </row>
    <row r="791" spans="1:12" ht="14.5">
      <c r="A791" t="s">
        <v>2924</v>
      </c>
      <c r="B791" s="380" t="str">
        <f t="shared" si="12"/>
        <v>036-903</v>
      </c>
      <c r="C791" t="s">
        <v>2236</v>
      </c>
      <c r="D791" s="2043">
        <v>1475</v>
      </c>
      <c r="E791" s="2043">
        <v>1542</v>
      </c>
      <c r="F791" s="2043">
        <v>67</v>
      </c>
      <c r="G791" s="2043">
        <v>0</v>
      </c>
      <c r="H791" s="2043">
        <v>0</v>
      </c>
      <c r="I791" s="106">
        <v>0</v>
      </c>
      <c r="J791" s="41" t="s">
        <v>10797</v>
      </c>
      <c r="K791" s="2043">
        <v>0</v>
      </c>
      <c r="L791" s="2043">
        <v>0</v>
      </c>
    </row>
    <row r="792" spans="1:12" ht="14.5">
      <c r="A792" t="s">
        <v>3092</v>
      </c>
      <c r="B792" s="380" t="str">
        <f t="shared" si="12"/>
        <v>128-904</v>
      </c>
      <c r="C792" t="s">
        <v>846</v>
      </c>
      <c r="D792" s="2043">
        <v>364</v>
      </c>
      <c r="E792" s="2043">
        <v>431</v>
      </c>
      <c r="F792" s="2043">
        <v>67</v>
      </c>
      <c r="G792" s="2043">
        <v>0</v>
      </c>
      <c r="H792" s="2043">
        <v>0</v>
      </c>
      <c r="I792" s="106">
        <v>0</v>
      </c>
      <c r="J792" s="41" t="s">
        <v>10797</v>
      </c>
      <c r="K792" s="2043">
        <v>0</v>
      </c>
      <c r="L792" s="2043">
        <v>0</v>
      </c>
    </row>
    <row r="793" spans="1:12" ht="14.5">
      <c r="A793" t="s">
        <v>3271</v>
      </c>
      <c r="B793" s="380" t="str">
        <f t="shared" si="12"/>
        <v>249-901</v>
      </c>
      <c r="C793" t="s">
        <v>997</v>
      </c>
      <c r="D793" s="2043">
        <v>722</v>
      </c>
      <c r="E793" s="2043">
        <v>789</v>
      </c>
      <c r="F793" s="2043">
        <v>67</v>
      </c>
      <c r="G793" s="2043">
        <v>0</v>
      </c>
      <c r="H793" s="2043">
        <v>0</v>
      </c>
      <c r="I793" s="106">
        <v>0</v>
      </c>
      <c r="J793" s="41" t="s">
        <v>10797</v>
      </c>
      <c r="K793" s="2043">
        <v>0</v>
      </c>
      <c r="L793" s="2043">
        <v>0</v>
      </c>
    </row>
    <row r="794" spans="1:12" ht="14.5">
      <c r="A794" t="s">
        <v>3267</v>
      </c>
      <c r="B794" s="380" t="str">
        <f t="shared" si="12"/>
        <v>247-901</v>
      </c>
      <c r="C794" t="s">
        <v>101</v>
      </c>
      <c r="D794" s="2043">
        <v>3948</v>
      </c>
      <c r="E794" s="2043">
        <v>4016</v>
      </c>
      <c r="F794" s="2043">
        <v>68</v>
      </c>
      <c r="G794" s="2043">
        <v>0</v>
      </c>
      <c r="H794" s="2043">
        <v>0</v>
      </c>
      <c r="I794" s="106">
        <v>0</v>
      </c>
      <c r="J794" s="41" t="s">
        <v>10797</v>
      </c>
      <c r="K794" s="2043">
        <v>0</v>
      </c>
      <c r="L794" s="2043">
        <v>0</v>
      </c>
    </row>
    <row r="795" spans="1:12" ht="14.5">
      <c r="A795" t="s">
        <v>2976</v>
      </c>
      <c r="B795" s="380" t="str">
        <f t="shared" si="12"/>
        <v>070-910</v>
      </c>
      <c r="C795" t="s">
        <v>1287</v>
      </c>
      <c r="D795" s="2043">
        <v>1187</v>
      </c>
      <c r="E795" s="2043">
        <v>1256</v>
      </c>
      <c r="F795" s="2043">
        <v>69</v>
      </c>
      <c r="G795" s="2043">
        <v>0</v>
      </c>
      <c r="H795" s="2043">
        <v>0</v>
      </c>
      <c r="I795" s="106">
        <v>0</v>
      </c>
      <c r="J795" s="41" t="s">
        <v>10797</v>
      </c>
      <c r="K795" s="2043">
        <v>0</v>
      </c>
      <c r="L795" s="2043">
        <v>0</v>
      </c>
    </row>
    <row r="796" spans="1:12" ht="14.5">
      <c r="A796" t="s">
        <v>3057</v>
      </c>
      <c r="B796" s="380" t="str">
        <f t="shared" si="12"/>
        <v>111-902</v>
      </c>
      <c r="C796" t="s">
        <v>1475</v>
      </c>
      <c r="D796" s="2043">
        <v>379</v>
      </c>
      <c r="E796" s="2043">
        <v>448</v>
      </c>
      <c r="F796" s="2043">
        <v>69</v>
      </c>
      <c r="G796" s="2043">
        <v>0</v>
      </c>
      <c r="H796" s="2043">
        <v>0</v>
      </c>
      <c r="I796" s="106">
        <v>0</v>
      </c>
      <c r="J796" s="41" t="s">
        <v>10797</v>
      </c>
      <c r="K796" s="2043">
        <v>0</v>
      </c>
      <c r="L796" s="2043">
        <v>0</v>
      </c>
    </row>
    <row r="797" spans="1:12" ht="14.5">
      <c r="A797" t="s">
        <v>5840</v>
      </c>
      <c r="B797" s="380" t="str">
        <f t="shared" si="12"/>
        <v>143-903</v>
      </c>
      <c r="C797" t="s">
        <v>898</v>
      </c>
      <c r="D797" s="2043">
        <v>641</v>
      </c>
      <c r="E797" s="2043">
        <v>710</v>
      </c>
      <c r="F797" s="2043">
        <v>69</v>
      </c>
      <c r="G797" s="2043">
        <v>0</v>
      </c>
      <c r="H797" s="2043">
        <v>0</v>
      </c>
      <c r="I797" s="106">
        <v>0</v>
      </c>
      <c r="J797" s="41" t="s">
        <v>10797</v>
      </c>
      <c r="K797" s="2043">
        <v>0</v>
      </c>
      <c r="L797" s="2043">
        <v>0</v>
      </c>
    </row>
    <row r="798" spans="1:12" ht="14.5">
      <c r="A798" t="s">
        <v>3776</v>
      </c>
      <c r="B798" s="380" t="str">
        <f t="shared" si="12"/>
        <v>061-903</v>
      </c>
      <c r="C798" t="s">
        <v>946</v>
      </c>
      <c r="D798" s="2043">
        <v>1362</v>
      </c>
      <c r="E798" s="2043">
        <v>1432</v>
      </c>
      <c r="F798" s="2043">
        <v>70</v>
      </c>
      <c r="G798" s="2043">
        <v>0</v>
      </c>
      <c r="H798" s="2043">
        <v>0</v>
      </c>
      <c r="I798" s="106">
        <v>0</v>
      </c>
      <c r="J798" s="41" t="s">
        <v>10797</v>
      </c>
      <c r="K798" s="2043">
        <v>0</v>
      </c>
      <c r="L798" s="2043">
        <v>0</v>
      </c>
    </row>
    <row r="799" spans="1:12" ht="14.5">
      <c r="A799" t="s">
        <v>3122</v>
      </c>
      <c r="B799" s="380" t="str">
        <f t="shared" si="12"/>
        <v>161-907</v>
      </c>
      <c r="C799" t="s">
        <v>1183</v>
      </c>
      <c r="D799" s="2043">
        <v>1696</v>
      </c>
      <c r="E799" s="2043">
        <v>1766</v>
      </c>
      <c r="F799" s="2043">
        <v>70</v>
      </c>
      <c r="G799" s="2043">
        <v>0</v>
      </c>
      <c r="H799" s="2043">
        <v>0</v>
      </c>
      <c r="I799" s="106">
        <v>0</v>
      </c>
      <c r="J799" s="41" t="s">
        <v>10797</v>
      </c>
      <c r="K799" s="2043">
        <v>0</v>
      </c>
      <c r="L799" s="2043">
        <v>0</v>
      </c>
    </row>
    <row r="800" spans="1:12" ht="14.5">
      <c r="A800" t="s">
        <v>3157</v>
      </c>
      <c r="B800" s="380" t="str">
        <f t="shared" si="12"/>
        <v>175-911</v>
      </c>
      <c r="C800" t="s">
        <v>78</v>
      </c>
      <c r="D800" s="2043">
        <v>927</v>
      </c>
      <c r="E800" s="2043">
        <v>997</v>
      </c>
      <c r="F800" s="2043">
        <v>70</v>
      </c>
      <c r="G800" s="2043">
        <v>0</v>
      </c>
      <c r="H800" s="2043">
        <v>0</v>
      </c>
      <c r="I800" s="106">
        <v>0</v>
      </c>
      <c r="J800" s="41" t="s">
        <v>10797</v>
      </c>
      <c r="K800" s="2043">
        <v>0</v>
      </c>
      <c r="L800" s="2043">
        <v>0</v>
      </c>
    </row>
    <row r="801" spans="1:12" ht="14.5">
      <c r="A801" t="s">
        <v>5110</v>
      </c>
      <c r="B801" s="380" t="str">
        <f t="shared" si="12"/>
        <v>119-902</v>
      </c>
      <c r="C801" t="s">
        <v>2324</v>
      </c>
      <c r="D801" s="2043">
        <v>1007</v>
      </c>
      <c r="E801" s="2043">
        <v>1078</v>
      </c>
      <c r="F801" s="2043">
        <v>71</v>
      </c>
      <c r="G801" s="2043">
        <v>0</v>
      </c>
      <c r="H801" s="2043">
        <v>0</v>
      </c>
      <c r="I801" s="106">
        <v>0</v>
      </c>
      <c r="J801" s="41" t="s">
        <v>10797</v>
      </c>
      <c r="K801" s="2043">
        <v>0</v>
      </c>
      <c r="L801" s="2043">
        <v>0</v>
      </c>
    </row>
    <row r="802" spans="1:12" ht="14.5">
      <c r="A802" t="s">
        <v>3097</v>
      </c>
      <c r="B802" s="380" t="str">
        <f t="shared" si="12"/>
        <v>129-910</v>
      </c>
      <c r="C802" t="s">
        <v>1174</v>
      </c>
      <c r="D802" s="2043">
        <v>1014</v>
      </c>
      <c r="E802" s="2043">
        <v>1085</v>
      </c>
      <c r="F802" s="2043">
        <v>71</v>
      </c>
      <c r="G802" s="2043">
        <v>0</v>
      </c>
      <c r="H802" s="2043">
        <v>0</v>
      </c>
      <c r="I802" s="106">
        <v>0</v>
      </c>
      <c r="J802" s="41" t="s">
        <v>10797</v>
      </c>
      <c r="K802" s="2043">
        <v>0</v>
      </c>
      <c r="L802" s="2043">
        <v>0</v>
      </c>
    </row>
    <row r="803" spans="1:12" ht="14.5">
      <c r="A803" t="s">
        <v>3113</v>
      </c>
      <c r="B803" s="380" t="str">
        <f t="shared" si="12"/>
        <v>152-909</v>
      </c>
      <c r="C803" t="s">
        <v>1176</v>
      </c>
      <c r="D803" s="2043">
        <v>1675</v>
      </c>
      <c r="E803" s="2043">
        <v>1746</v>
      </c>
      <c r="F803" s="2043">
        <v>71</v>
      </c>
      <c r="G803" s="2043">
        <v>0</v>
      </c>
      <c r="H803" s="2043">
        <v>0</v>
      </c>
      <c r="I803" s="106">
        <v>0</v>
      </c>
      <c r="J803" s="41" t="s">
        <v>10797</v>
      </c>
      <c r="K803" s="2043">
        <v>0</v>
      </c>
      <c r="L803" s="2043">
        <v>0</v>
      </c>
    </row>
    <row r="804" spans="1:12" ht="14.5">
      <c r="A804" t="s">
        <v>5186</v>
      </c>
      <c r="B804" s="380" t="str">
        <f t="shared" si="12"/>
        <v>171-902</v>
      </c>
      <c r="C804" t="s">
        <v>2128</v>
      </c>
      <c r="D804" s="2043">
        <v>548</v>
      </c>
      <c r="E804" s="2043">
        <v>619</v>
      </c>
      <c r="F804" s="2043">
        <v>71</v>
      </c>
      <c r="G804" s="2043">
        <v>0</v>
      </c>
      <c r="H804" s="2043">
        <v>0</v>
      </c>
      <c r="I804" s="106">
        <v>0</v>
      </c>
      <c r="J804" s="41" t="s">
        <v>10797</v>
      </c>
      <c r="K804" s="2043">
        <v>0</v>
      </c>
      <c r="L804" s="2043">
        <v>0</v>
      </c>
    </row>
    <row r="805" spans="1:12" ht="14.5">
      <c r="A805" t="s">
        <v>5797</v>
      </c>
      <c r="B805" s="380" t="str">
        <f t="shared" si="12"/>
        <v>073-905</v>
      </c>
      <c r="C805" t="s">
        <v>1873</v>
      </c>
      <c r="D805" s="2043">
        <v>646</v>
      </c>
      <c r="E805" s="2043">
        <v>720</v>
      </c>
      <c r="F805" s="2043">
        <v>74</v>
      </c>
      <c r="G805" s="2043">
        <v>0</v>
      </c>
      <c r="H805" s="2043">
        <v>0</v>
      </c>
      <c r="I805" s="106">
        <v>0</v>
      </c>
      <c r="J805" s="41" t="s">
        <v>10797</v>
      </c>
      <c r="K805" s="2043">
        <v>0</v>
      </c>
      <c r="L805" s="2043">
        <v>0</v>
      </c>
    </row>
    <row r="806" spans="1:12" ht="14.5">
      <c r="A806" t="s">
        <v>5052</v>
      </c>
      <c r="B806" s="380" t="str">
        <f t="shared" si="12"/>
        <v>092-906</v>
      </c>
      <c r="C806" t="s">
        <v>212</v>
      </c>
      <c r="D806" s="2043">
        <v>1457</v>
      </c>
      <c r="E806" s="2043">
        <v>1531</v>
      </c>
      <c r="F806" s="2043">
        <v>74</v>
      </c>
      <c r="G806" s="2043">
        <v>0</v>
      </c>
      <c r="H806" s="2043">
        <v>0</v>
      </c>
      <c r="I806" s="106">
        <v>0</v>
      </c>
      <c r="J806" s="41" t="s">
        <v>10797</v>
      </c>
      <c r="K806" s="2043">
        <v>0</v>
      </c>
      <c r="L806" s="2043">
        <v>0</v>
      </c>
    </row>
    <row r="807" spans="1:12" ht="14.5">
      <c r="A807" t="s">
        <v>5108</v>
      </c>
      <c r="B807" s="380" t="str">
        <f t="shared" si="12"/>
        <v>118-902</v>
      </c>
      <c r="C807" t="s">
        <v>992</v>
      </c>
      <c r="D807" s="2043">
        <v>260</v>
      </c>
      <c r="E807" s="2043">
        <v>334</v>
      </c>
      <c r="F807" s="2043">
        <v>74</v>
      </c>
      <c r="G807" s="2043">
        <v>0</v>
      </c>
      <c r="H807" s="2043">
        <v>0</v>
      </c>
      <c r="I807" s="106">
        <v>0</v>
      </c>
      <c r="J807" s="41" t="s">
        <v>10797</v>
      </c>
      <c r="K807" s="2043">
        <v>0</v>
      </c>
      <c r="L807" s="2043">
        <v>0</v>
      </c>
    </row>
    <row r="808" spans="1:12" ht="14.5">
      <c r="A808" t="s">
        <v>5200</v>
      </c>
      <c r="B808" s="380" t="str">
        <f t="shared" si="12"/>
        <v>178-902</v>
      </c>
      <c r="C808" t="s">
        <v>2204</v>
      </c>
      <c r="D808" s="2043">
        <v>1386</v>
      </c>
      <c r="E808" s="2043">
        <v>1460</v>
      </c>
      <c r="F808" s="2043">
        <v>74</v>
      </c>
      <c r="G808" s="2043">
        <v>0</v>
      </c>
      <c r="H808" s="2043">
        <v>0</v>
      </c>
      <c r="I808" s="106">
        <v>0</v>
      </c>
      <c r="J808" s="41" t="s">
        <v>10797</v>
      </c>
      <c r="K808" s="2043">
        <v>0</v>
      </c>
      <c r="L808" s="2043">
        <v>0</v>
      </c>
    </row>
    <row r="809" spans="1:12" ht="14.5">
      <c r="A809" t="s">
        <v>3268</v>
      </c>
      <c r="B809" s="380" t="str">
        <f t="shared" si="12"/>
        <v>247-903</v>
      </c>
      <c r="C809" t="s">
        <v>1793</v>
      </c>
      <c r="D809" s="2043">
        <v>3288</v>
      </c>
      <c r="E809" s="2043">
        <v>3363</v>
      </c>
      <c r="F809" s="2043">
        <v>75</v>
      </c>
      <c r="G809" s="2043">
        <v>0</v>
      </c>
      <c r="H809" s="2043">
        <v>0</v>
      </c>
      <c r="I809" s="106">
        <v>0</v>
      </c>
      <c r="J809" s="41" t="s">
        <v>10797</v>
      </c>
      <c r="K809" s="2043">
        <v>0</v>
      </c>
      <c r="L809" s="2043">
        <v>0</v>
      </c>
    </row>
    <row r="810" spans="1:12" ht="14.5">
      <c r="A810" t="s">
        <v>2972</v>
      </c>
      <c r="B810" s="380" t="str">
        <f t="shared" si="12"/>
        <v>066-902</v>
      </c>
      <c r="C810" t="s">
        <v>1917</v>
      </c>
      <c r="D810" s="2043">
        <v>1377</v>
      </c>
      <c r="E810" s="2043">
        <v>1453</v>
      </c>
      <c r="F810" s="2043">
        <v>76</v>
      </c>
      <c r="G810" s="2043">
        <v>0</v>
      </c>
      <c r="H810" s="2043">
        <v>0</v>
      </c>
      <c r="I810" s="106">
        <v>0</v>
      </c>
      <c r="J810" s="41" t="s">
        <v>10797</v>
      </c>
      <c r="K810" s="2043">
        <v>0</v>
      </c>
      <c r="L810" s="2043">
        <v>0</v>
      </c>
    </row>
    <row r="811" spans="1:12" ht="14.5">
      <c r="A811" t="s">
        <v>5132</v>
      </c>
      <c r="B811" s="380" t="str">
        <f t="shared" si="12"/>
        <v>133-904</v>
      </c>
      <c r="C811" t="s">
        <v>1932</v>
      </c>
      <c r="D811" s="2043">
        <v>1097</v>
      </c>
      <c r="E811" s="2043">
        <v>1173</v>
      </c>
      <c r="F811" s="2043">
        <v>76</v>
      </c>
      <c r="G811" s="2043">
        <v>0</v>
      </c>
      <c r="H811" s="2043">
        <v>0</v>
      </c>
      <c r="I811" s="106">
        <v>0</v>
      </c>
      <c r="J811" s="41" t="s">
        <v>10797</v>
      </c>
      <c r="K811" s="2043">
        <v>0</v>
      </c>
      <c r="L811" s="2043">
        <v>0</v>
      </c>
    </row>
    <row r="812" spans="1:12" ht="14.5">
      <c r="A812" t="s">
        <v>5143</v>
      </c>
      <c r="B812" s="380" t="str">
        <f t="shared" si="12"/>
        <v>145-901</v>
      </c>
      <c r="C812" t="s">
        <v>905</v>
      </c>
      <c r="D812" s="2043">
        <v>950</v>
      </c>
      <c r="E812" s="2043">
        <v>1026</v>
      </c>
      <c r="F812" s="2043">
        <v>76</v>
      </c>
      <c r="G812" s="2043">
        <v>0</v>
      </c>
      <c r="H812" s="2043">
        <v>0</v>
      </c>
      <c r="I812" s="106">
        <v>0</v>
      </c>
      <c r="J812" s="41" t="s">
        <v>10797</v>
      </c>
      <c r="K812" s="2043">
        <v>0</v>
      </c>
      <c r="L812" s="2043">
        <v>0</v>
      </c>
    </row>
    <row r="813" spans="1:12" ht="14.5">
      <c r="A813" t="s">
        <v>3261</v>
      </c>
      <c r="B813" s="380" t="str">
        <f t="shared" si="12"/>
        <v>246-905</v>
      </c>
      <c r="C813" t="s">
        <v>963</v>
      </c>
      <c r="D813" s="2043">
        <v>430</v>
      </c>
      <c r="E813" s="2043">
        <v>506</v>
      </c>
      <c r="F813" s="2043">
        <v>76</v>
      </c>
      <c r="G813" s="2043">
        <v>0</v>
      </c>
      <c r="H813" s="2043">
        <v>0</v>
      </c>
      <c r="I813" s="106">
        <v>0</v>
      </c>
      <c r="J813" s="41" t="s">
        <v>10797</v>
      </c>
      <c r="K813" s="2043">
        <v>0</v>
      </c>
      <c r="L813" s="2043">
        <v>0</v>
      </c>
    </row>
    <row r="814" spans="1:12" ht="14.5">
      <c r="A814" t="s">
        <v>3269</v>
      </c>
      <c r="B814" s="380" t="str">
        <f t="shared" si="12"/>
        <v>247-904</v>
      </c>
      <c r="C814" t="s">
        <v>951</v>
      </c>
      <c r="D814" s="2043">
        <v>836</v>
      </c>
      <c r="E814" s="2043">
        <v>912</v>
      </c>
      <c r="F814" s="2043">
        <v>76</v>
      </c>
      <c r="G814" s="2043">
        <v>0</v>
      </c>
      <c r="H814" s="2043">
        <v>0</v>
      </c>
      <c r="I814" s="106">
        <v>0</v>
      </c>
      <c r="J814" s="41" t="s">
        <v>10797</v>
      </c>
      <c r="K814" s="2043">
        <v>0</v>
      </c>
      <c r="L814" s="2043">
        <v>0</v>
      </c>
    </row>
    <row r="815" spans="1:12" ht="14.5">
      <c r="A815" t="s">
        <v>3200</v>
      </c>
      <c r="B815" s="380" t="str">
        <f t="shared" si="12"/>
        <v>212-901</v>
      </c>
      <c r="C815" t="s">
        <v>1996</v>
      </c>
      <c r="D815" s="2043">
        <v>847</v>
      </c>
      <c r="E815" s="2043">
        <v>924</v>
      </c>
      <c r="F815" s="2043">
        <v>77</v>
      </c>
      <c r="G815" s="2043">
        <v>0</v>
      </c>
      <c r="H815" s="2043">
        <v>0</v>
      </c>
      <c r="I815" s="106">
        <v>0</v>
      </c>
      <c r="J815" s="41" t="s">
        <v>10797</v>
      </c>
      <c r="K815" s="2043">
        <v>0</v>
      </c>
      <c r="L815" s="2043">
        <v>0</v>
      </c>
    </row>
    <row r="816" spans="1:12" ht="14.5">
      <c r="A816" t="s">
        <v>5296</v>
      </c>
      <c r="B816" s="380" t="str">
        <f t="shared" si="12"/>
        <v>239-903</v>
      </c>
      <c r="C816" t="s">
        <v>1147</v>
      </c>
      <c r="D816" s="2043">
        <v>446</v>
      </c>
      <c r="E816" s="2043">
        <v>523</v>
      </c>
      <c r="F816" s="2043">
        <v>77</v>
      </c>
      <c r="G816" s="2043">
        <v>0</v>
      </c>
      <c r="H816" s="2043">
        <v>0</v>
      </c>
      <c r="I816" s="106">
        <v>0</v>
      </c>
      <c r="J816" s="41" t="s">
        <v>10797</v>
      </c>
      <c r="K816" s="2043">
        <v>0</v>
      </c>
      <c r="L816" s="2043">
        <v>0</v>
      </c>
    </row>
    <row r="817" spans="1:12" ht="14.5">
      <c r="A817" t="s">
        <v>5833</v>
      </c>
      <c r="B817" s="380" t="str">
        <f t="shared" si="12"/>
        <v>137-903</v>
      </c>
      <c r="C817" t="s">
        <v>1938</v>
      </c>
      <c r="D817" s="2043">
        <v>401</v>
      </c>
      <c r="E817" s="2043">
        <v>479</v>
      </c>
      <c r="F817" s="2043">
        <v>78</v>
      </c>
      <c r="G817" s="2043">
        <v>0</v>
      </c>
      <c r="H817" s="2043">
        <v>0</v>
      </c>
      <c r="I817" s="106">
        <v>0</v>
      </c>
      <c r="J817" s="41" t="s">
        <v>10797</v>
      </c>
      <c r="K817" s="2043">
        <v>0</v>
      </c>
      <c r="L817" s="2043">
        <v>0</v>
      </c>
    </row>
    <row r="818" spans="1:12" ht="14.5">
      <c r="A818" t="s">
        <v>2979</v>
      </c>
      <c r="B818" s="380" t="str">
        <f t="shared" si="12"/>
        <v>070-915</v>
      </c>
      <c r="C818" t="s">
        <v>1879</v>
      </c>
      <c r="D818" s="2043">
        <v>1099</v>
      </c>
      <c r="E818" s="2043">
        <v>1178</v>
      </c>
      <c r="F818" s="2043">
        <v>79</v>
      </c>
      <c r="G818" s="2043">
        <v>0</v>
      </c>
      <c r="H818" s="2043">
        <v>0</v>
      </c>
      <c r="I818" s="106">
        <v>0</v>
      </c>
      <c r="J818" s="41" t="s">
        <v>10797</v>
      </c>
      <c r="K818" s="2043">
        <v>0</v>
      </c>
      <c r="L818" s="2043">
        <v>0</v>
      </c>
    </row>
    <row r="819" spans="1:12" ht="14.5">
      <c r="A819" t="s">
        <v>3086</v>
      </c>
      <c r="B819" s="380" t="str">
        <f t="shared" si="12"/>
        <v>126-907</v>
      </c>
      <c r="C819" t="s">
        <v>2548</v>
      </c>
      <c r="D819" s="2043">
        <v>741</v>
      </c>
      <c r="E819" s="2043">
        <v>820</v>
      </c>
      <c r="F819" s="2043">
        <v>79</v>
      </c>
      <c r="G819" s="2043">
        <v>0</v>
      </c>
      <c r="H819" s="2043">
        <v>0</v>
      </c>
      <c r="I819" s="106">
        <v>0</v>
      </c>
      <c r="J819" s="41" t="s">
        <v>10797</v>
      </c>
      <c r="K819" s="2043">
        <v>0</v>
      </c>
      <c r="L819" s="2043">
        <v>0</v>
      </c>
    </row>
    <row r="820" spans="1:12" ht="14.5">
      <c r="A820" t="s">
        <v>5305</v>
      </c>
      <c r="B820" s="380" t="str">
        <f t="shared" si="12"/>
        <v>243-903</v>
      </c>
      <c r="C820" t="s">
        <v>2213</v>
      </c>
      <c r="D820" s="2043">
        <v>1847</v>
      </c>
      <c r="E820" s="2043">
        <v>1926</v>
      </c>
      <c r="F820" s="2043">
        <v>79</v>
      </c>
      <c r="G820" s="2043">
        <v>0</v>
      </c>
      <c r="H820" s="2043">
        <v>0</v>
      </c>
      <c r="I820" s="106">
        <v>0</v>
      </c>
      <c r="J820" s="41" t="s">
        <v>10797</v>
      </c>
      <c r="K820" s="2043">
        <v>0</v>
      </c>
      <c r="L820" s="2043">
        <v>0</v>
      </c>
    </row>
    <row r="821" spans="1:12" ht="14.5">
      <c r="A821" t="s">
        <v>5291</v>
      </c>
      <c r="B821" s="380" t="str">
        <f t="shared" si="12"/>
        <v>234-903</v>
      </c>
      <c r="C821" t="s">
        <v>841</v>
      </c>
      <c r="D821" s="2043">
        <v>949</v>
      </c>
      <c r="E821" s="2043">
        <v>1029</v>
      </c>
      <c r="F821" s="2043">
        <v>80</v>
      </c>
      <c r="G821" s="2043">
        <v>0</v>
      </c>
      <c r="H821" s="2043">
        <v>0</v>
      </c>
      <c r="I821" s="106">
        <v>0</v>
      </c>
      <c r="J821" s="41" t="s">
        <v>10797</v>
      </c>
      <c r="K821" s="2043">
        <v>0</v>
      </c>
      <c r="L821" s="2043">
        <v>0</v>
      </c>
    </row>
    <row r="822" spans="1:12" ht="14.5">
      <c r="A822" t="s">
        <v>3011</v>
      </c>
      <c r="B822" s="380" t="str">
        <f t="shared" si="12"/>
        <v>093-903</v>
      </c>
      <c r="C822" t="s">
        <v>215</v>
      </c>
      <c r="D822" s="2043">
        <v>464</v>
      </c>
      <c r="E822" s="2043">
        <v>545</v>
      </c>
      <c r="F822" s="2043">
        <v>81</v>
      </c>
      <c r="G822" s="2043">
        <v>0</v>
      </c>
      <c r="H822" s="2043">
        <v>0</v>
      </c>
      <c r="I822" s="106">
        <v>0</v>
      </c>
      <c r="J822" s="41" t="s">
        <v>10797</v>
      </c>
      <c r="K822" s="2043">
        <v>0</v>
      </c>
      <c r="L822" s="2043">
        <v>0</v>
      </c>
    </row>
    <row r="823" spans="1:12" ht="14.5">
      <c r="A823" t="s">
        <v>5083</v>
      </c>
      <c r="B823" s="380" t="str">
        <f t="shared" si="12"/>
        <v>105-902</v>
      </c>
      <c r="C823" t="s">
        <v>989</v>
      </c>
      <c r="D823" s="2043">
        <v>8090</v>
      </c>
      <c r="E823" s="2043">
        <v>8171</v>
      </c>
      <c r="F823" s="2043">
        <v>81</v>
      </c>
      <c r="G823" s="2043">
        <v>0</v>
      </c>
      <c r="H823" s="2043">
        <v>0</v>
      </c>
      <c r="I823" s="106">
        <v>0</v>
      </c>
      <c r="J823" s="41" t="s">
        <v>10797</v>
      </c>
      <c r="K823" s="2043">
        <v>0</v>
      </c>
      <c r="L823" s="2043">
        <v>0</v>
      </c>
    </row>
    <row r="824" spans="1:12" ht="14.5">
      <c r="A824" t="s">
        <v>5246</v>
      </c>
      <c r="B824" s="380" t="str">
        <f t="shared" si="12"/>
        <v>204-901</v>
      </c>
      <c r="C824" t="s">
        <v>2209</v>
      </c>
      <c r="D824" s="2043">
        <v>1510</v>
      </c>
      <c r="E824" s="2043">
        <v>1591</v>
      </c>
      <c r="F824" s="2043">
        <v>81</v>
      </c>
      <c r="G824" s="2043">
        <v>0</v>
      </c>
      <c r="H824" s="2043">
        <v>0</v>
      </c>
      <c r="I824" s="106">
        <v>0</v>
      </c>
      <c r="J824" s="41" t="s">
        <v>10797</v>
      </c>
      <c r="K824" s="2043">
        <v>0</v>
      </c>
      <c r="L824" s="2043">
        <v>0</v>
      </c>
    </row>
    <row r="825" spans="1:12" ht="14.5">
      <c r="A825" t="s">
        <v>2923</v>
      </c>
      <c r="B825" s="380" t="str">
        <f t="shared" si="12"/>
        <v>036-901</v>
      </c>
      <c r="C825" t="s">
        <v>999</v>
      </c>
      <c r="D825" s="2043">
        <v>1314</v>
      </c>
      <c r="E825" s="2043">
        <v>1397</v>
      </c>
      <c r="F825" s="2043">
        <v>83</v>
      </c>
      <c r="G825" s="2043">
        <v>0</v>
      </c>
      <c r="H825" s="2043">
        <v>0</v>
      </c>
      <c r="I825" s="106">
        <v>0</v>
      </c>
      <c r="J825" s="41" t="s">
        <v>10797</v>
      </c>
      <c r="K825" s="2043">
        <v>0</v>
      </c>
      <c r="L825" s="2043">
        <v>0</v>
      </c>
    </row>
    <row r="826" spans="1:12" ht="14.5">
      <c r="A826" t="s">
        <v>4952</v>
      </c>
      <c r="B826" s="380" t="str">
        <f t="shared" si="12"/>
        <v>026-902</v>
      </c>
      <c r="C826" t="s">
        <v>1505</v>
      </c>
      <c r="D826" s="2043">
        <v>459</v>
      </c>
      <c r="E826" s="2043">
        <v>544</v>
      </c>
      <c r="F826" s="2043">
        <v>85</v>
      </c>
      <c r="G826" s="2043">
        <v>0</v>
      </c>
      <c r="H826" s="2043">
        <v>0</v>
      </c>
      <c r="I826" s="106">
        <v>0</v>
      </c>
      <c r="J826" s="41" t="s">
        <v>10797</v>
      </c>
      <c r="K826" s="2043">
        <v>0</v>
      </c>
      <c r="L826" s="2043">
        <v>0</v>
      </c>
    </row>
    <row r="827" spans="1:12" ht="14.5">
      <c r="A827" t="s">
        <v>5277</v>
      </c>
      <c r="B827" s="380" t="str">
        <f t="shared" si="12"/>
        <v>226-901</v>
      </c>
      <c r="C827" t="s">
        <v>1799</v>
      </c>
      <c r="D827" s="2043">
        <v>479</v>
      </c>
      <c r="E827" s="2043">
        <v>566</v>
      </c>
      <c r="F827" s="2043">
        <v>87</v>
      </c>
      <c r="G827" s="2043">
        <v>0</v>
      </c>
      <c r="H827" s="2043">
        <v>0</v>
      </c>
      <c r="I827" s="106">
        <v>0</v>
      </c>
      <c r="J827" s="41" t="s">
        <v>10797</v>
      </c>
      <c r="K827" s="2043">
        <v>0</v>
      </c>
      <c r="L827" s="2043">
        <v>0</v>
      </c>
    </row>
    <row r="828" spans="1:12" ht="14.5">
      <c r="A828" t="s">
        <v>4951</v>
      </c>
      <c r="B828" s="380" t="str">
        <f t="shared" si="12"/>
        <v>026-901</v>
      </c>
      <c r="C828" t="s">
        <v>1504</v>
      </c>
      <c r="D828" s="2043">
        <v>1749</v>
      </c>
      <c r="E828" s="2043">
        <v>1840</v>
      </c>
      <c r="F828" s="2043">
        <v>91</v>
      </c>
      <c r="G828" s="2043">
        <v>0</v>
      </c>
      <c r="H828" s="2043">
        <v>0</v>
      </c>
      <c r="I828" s="106">
        <v>0</v>
      </c>
      <c r="J828" s="41" t="s">
        <v>10797</v>
      </c>
      <c r="K828" s="2043">
        <v>0</v>
      </c>
      <c r="L828" s="2043">
        <v>0</v>
      </c>
    </row>
    <row r="829" spans="1:12" ht="14.5">
      <c r="A829" t="s">
        <v>5209</v>
      </c>
      <c r="B829" s="380" t="str">
        <f t="shared" si="12"/>
        <v>181-905</v>
      </c>
      <c r="C829" t="s">
        <v>310</v>
      </c>
      <c r="D829" s="2043">
        <v>1759</v>
      </c>
      <c r="E829" s="2043">
        <v>1851</v>
      </c>
      <c r="F829" s="2043">
        <v>92</v>
      </c>
      <c r="G829" s="2043">
        <v>0</v>
      </c>
      <c r="H829" s="2043">
        <v>0</v>
      </c>
      <c r="I829" s="106">
        <v>0</v>
      </c>
      <c r="J829" s="41" t="s">
        <v>10797</v>
      </c>
      <c r="K829" s="2043">
        <v>0</v>
      </c>
      <c r="L829" s="2043">
        <v>0</v>
      </c>
    </row>
    <row r="830" spans="1:12" ht="14.5">
      <c r="A830" t="s">
        <v>3170</v>
      </c>
      <c r="B830" s="380" t="str">
        <f t="shared" si="12"/>
        <v>184-901</v>
      </c>
      <c r="C830" t="s">
        <v>949</v>
      </c>
      <c r="D830" s="2043">
        <v>553</v>
      </c>
      <c r="E830" s="2043">
        <v>645</v>
      </c>
      <c r="F830" s="2043">
        <v>92</v>
      </c>
      <c r="G830" s="2043">
        <v>0</v>
      </c>
      <c r="H830" s="2043">
        <v>0</v>
      </c>
      <c r="I830" s="106">
        <v>0</v>
      </c>
      <c r="J830" s="41" t="s">
        <v>10797</v>
      </c>
      <c r="K830" s="2043">
        <v>0</v>
      </c>
      <c r="L830" s="2043">
        <v>0</v>
      </c>
    </row>
    <row r="831" spans="1:12" ht="14.5">
      <c r="A831" t="s">
        <v>3259</v>
      </c>
      <c r="B831" s="380" t="str">
        <f t="shared" si="12"/>
        <v>246-902</v>
      </c>
      <c r="C831" t="s">
        <v>100</v>
      </c>
      <c r="D831" s="2043">
        <v>1025</v>
      </c>
      <c r="E831" s="2043">
        <v>1117</v>
      </c>
      <c r="F831" s="2043">
        <v>92</v>
      </c>
      <c r="G831" s="2043">
        <v>0</v>
      </c>
      <c r="H831" s="2043">
        <v>0</v>
      </c>
      <c r="I831" s="106">
        <v>0</v>
      </c>
      <c r="J831" s="41" t="s">
        <v>10797</v>
      </c>
      <c r="K831" s="2043">
        <v>0</v>
      </c>
      <c r="L831" s="2043">
        <v>0</v>
      </c>
    </row>
    <row r="832" spans="1:12" ht="14.5">
      <c r="A832" t="s">
        <v>3000</v>
      </c>
      <c r="B832" s="380" t="str">
        <f t="shared" si="12"/>
        <v>084-911</v>
      </c>
      <c r="C832" t="s">
        <v>1388</v>
      </c>
      <c r="D832" s="2043">
        <v>6087</v>
      </c>
      <c r="E832" s="2043">
        <v>6180</v>
      </c>
      <c r="F832" s="2043">
        <v>93</v>
      </c>
      <c r="G832" s="2043">
        <v>0</v>
      </c>
      <c r="H832" s="2043">
        <v>0</v>
      </c>
      <c r="I832" s="106">
        <v>0</v>
      </c>
      <c r="J832" s="41" t="s">
        <v>10797</v>
      </c>
      <c r="K832" s="2043">
        <v>0</v>
      </c>
      <c r="L832" s="2043">
        <v>0</v>
      </c>
    </row>
    <row r="833" spans="1:12" ht="14.5">
      <c r="A833" t="s">
        <v>2855</v>
      </c>
      <c r="B833" s="380" t="str">
        <f t="shared" si="12"/>
        <v>005-904</v>
      </c>
      <c r="C833" t="s">
        <v>1061</v>
      </c>
      <c r="D833" s="2043">
        <v>436</v>
      </c>
      <c r="E833" s="2043">
        <v>530</v>
      </c>
      <c r="F833" s="2043">
        <v>94</v>
      </c>
      <c r="G833" s="2043">
        <v>0</v>
      </c>
      <c r="H833" s="2043">
        <v>0</v>
      </c>
      <c r="I833" s="106">
        <v>0</v>
      </c>
      <c r="J833" s="41" t="s">
        <v>10797</v>
      </c>
      <c r="K833" s="2043">
        <v>0</v>
      </c>
      <c r="L833" s="2043">
        <v>0</v>
      </c>
    </row>
    <row r="834" spans="1:12" ht="14.5">
      <c r="A834" t="s">
        <v>3070</v>
      </c>
      <c r="B834" s="380" t="str">
        <f t="shared" si="12"/>
        <v>116-915</v>
      </c>
      <c r="C834" t="s">
        <v>754</v>
      </c>
      <c r="D834" s="2043">
        <v>666</v>
      </c>
      <c r="E834" s="2043">
        <v>761</v>
      </c>
      <c r="F834" s="2043">
        <v>95</v>
      </c>
      <c r="G834" s="2043">
        <v>0</v>
      </c>
      <c r="H834" s="2043">
        <v>0</v>
      </c>
      <c r="I834" s="106">
        <v>0</v>
      </c>
      <c r="J834" s="41" t="s">
        <v>10797</v>
      </c>
      <c r="K834" s="2043">
        <v>0</v>
      </c>
      <c r="L834" s="2043">
        <v>0</v>
      </c>
    </row>
    <row r="835" spans="1:12" ht="14.5">
      <c r="A835" t="s">
        <v>5089</v>
      </c>
      <c r="B835" s="380" t="str">
        <f t="shared" ref="B835:B898" si="13">CONCATENATE(LEFT(RIGHT(CONCATENATE("000",A835),6),3),"-",(RIGHT(RIGHT(CONCATENATE("000",A835),6),3)))</f>
        <v>107-905</v>
      </c>
      <c r="C835" t="s">
        <v>1276</v>
      </c>
      <c r="D835" s="2043">
        <v>1554</v>
      </c>
      <c r="E835" s="2043">
        <v>1650</v>
      </c>
      <c r="F835" s="2043">
        <v>96</v>
      </c>
      <c r="G835" s="2043">
        <v>0</v>
      </c>
      <c r="H835" s="2043">
        <v>0</v>
      </c>
      <c r="I835" s="106">
        <v>0</v>
      </c>
      <c r="J835" s="41" t="s">
        <v>10797</v>
      </c>
      <c r="K835" s="2043">
        <v>0</v>
      </c>
      <c r="L835" s="2043">
        <v>0</v>
      </c>
    </row>
    <row r="836" spans="1:12" ht="14.5">
      <c r="A836" t="s">
        <v>5795</v>
      </c>
      <c r="B836" s="380" t="str">
        <f t="shared" si="13"/>
        <v>072-908</v>
      </c>
      <c r="C836" t="s">
        <v>1870</v>
      </c>
      <c r="D836" s="2043">
        <v>208</v>
      </c>
      <c r="E836" s="2043">
        <v>305</v>
      </c>
      <c r="F836" s="2043">
        <v>97</v>
      </c>
      <c r="G836" s="2043">
        <v>0</v>
      </c>
      <c r="H836" s="2043">
        <v>0</v>
      </c>
      <c r="I836" s="106">
        <v>0</v>
      </c>
      <c r="J836" s="41" t="s">
        <v>10797</v>
      </c>
      <c r="K836" s="2043">
        <v>0</v>
      </c>
      <c r="L836" s="2043">
        <v>0</v>
      </c>
    </row>
    <row r="837" spans="1:12" ht="14.5">
      <c r="A837" t="s">
        <v>3238</v>
      </c>
      <c r="B837" s="380" t="str">
        <f t="shared" si="13"/>
        <v>234-904</v>
      </c>
      <c r="C837" t="s">
        <v>817</v>
      </c>
      <c r="D837" s="2043">
        <v>1078</v>
      </c>
      <c r="E837" s="2043">
        <v>1175</v>
      </c>
      <c r="F837" s="2043">
        <v>97</v>
      </c>
      <c r="G837" s="2043">
        <v>0</v>
      </c>
      <c r="H837" s="2043">
        <v>0</v>
      </c>
      <c r="I837" s="106">
        <v>0</v>
      </c>
      <c r="J837" s="41" t="s">
        <v>10797</v>
      </c>
      <c r="K837" s="2043">
        <v>0</v>
      </c>
      <c r="L837" s="2043">
        <v>0</v>
      </c>
    </row>
    <row r="838" spans="1:12" ht="14.5">
      <c r="A838" t="s">
        <v>5899</v>
      </c>
      <c r="B838" s="380" t="str">
        <f t="shared" si="13"/>
        <v>246-914</v>
      </c>
      <c r="C838" t="s">
        <v>1521</v>
      </c>
      <c r="D838" s="2043">
        <v>166</v>
      </c>
      <c r="E838" s="2043">
        <v>263</v>
      </c>
      <c r="F838" s="2043">
        <v>97</v>
      </c>
      <c r="G838" s="2043">
        <v>0</v>
      </c>
      <c r="H838" s="2043">
        <v>0</v>
      </c>
      <c r="I838" s="106">
        <v>0</v>
      </c>
      <c r="J838" s="41" t="s">
        <v>10797</v>
      </c>
      <c r="K838" s="2043">
        <v>0</v>
      </c>
      <c r="L838" s="2043">
        <v>0</v>
      </c>
    </row>
    <row r="839" spans="1:12" ht="14.5">
      <c r="A839" t="s">
        <v>2871</v>
      </c>
      <c r="B839" s="380" t="str">
        <f t="shared" si="13"/>
        <v>014-906</v>
      </c>
      <c r="C839" t="s">
        <v>2378</v>
      </c>
      <c r="D839" s="2043">
        <v>43782</v>
      </c>
      <c r="E839" s="2043">
        <v>43882</v>
      </c>
      <c r="F839" s="2043">
        <v>100</v>
      </c>
      <c r="G839" s="2043">
        <v>0</v>
      </c>
      <c r="H839" s="2043">
        <v>0</v>
      </c>
      <c r="I839" s="106">
        <v>0</v>
      </c>
      <c r="J839" s="41" t="s">
        <v>10797</v>
      </c>
      <c r="K839" s="2043">
        <v>0</v>
      </c>
      <c r="L839" s="2043">
        <v>0</v>
      </c>
    </row>
    <row r="840" spans="1:12" ht="14.5">
      <c r="A840" t="s">
        <v>3132</v>
      </c>
      <c r="B840" s="380" t="str">
        <f t="shared" si="13"/>
        <v>161-922</v>
      </c>
      <c r="C840" t="s">
        <v>2551</v>
      </c>
      <c r="D840" s="2043">
        <v>2302</v>
      </c>
      <c r="E840" s="2043">
        <v>2403</v>
      </c>
      <c r="F840" s="2043">
        <v>101</v>
      </c>
      <c r="G840" s="2043">
        <v>0</v>
      </c>
      <c r="H840" s="2043">
        <v>0</v>
      </c>
      <c r="I840" s="106">
        <v>0</v>
      </c>
      <c r="J840" s="41" t="s">
        <v>10797</v>
      </c>
      <c r="K840" s="2043">
        <v>0</v>
      </c>
      <c r="L840" s="2043">
        <v>0</v>
      </c>
    </row>
    <row r="841" spans="1:12" ht="14.5">
      <c r="A841" t="s">
        <v>3010</v>
      </c>
      <c r="B841" s="380" t="str">
        <f t="shared" si="13"/>
        <v>092-907</v>
      </c>
      <c r="C841" t="s">
        <v>1829</v>
      </c>
      <c r="D841" s="2043">
        <v>1935</v>
      </c>
      <c r="E841" s="2043">
        <v>2038</v>
      </c>
      <c r="F841" s="2043">
        <v>103</v>
      </c>
      <c r="G841" s="2043">
        <v>0</v>
      </c>
      <c r="H841" s="2043">
        <v>0</v>
      </c>
      <c r="I841" s="106">
        <v>0</v>
      </c>
      <c r="J841" s="41" t="s">
        <v>10797</v>
      </c>
      <c r="K841" s="2043">
        <v>0</v>
      </c>
      <c r="L841" s="2043">
        <v>0</v>
      </c>
    </row>
    <row r="842" spans="1:12" ht="14.5">
      <c r="A842" t="s">
        <v>5149</v>
      </c>
      <c r="B842" s="380" t="str">
        <f t="shared" si="13"/>
        <v>146-906</v>
      </c>
      <c r="C842" t="s">
        <v>508</v>
      </c>
      <c r="D842" s="2043">
        <v>2143</v>
      </c>
      <c r="E842" s="2043">
        <v>2248</v>
      </c>
      <c r="F842" s="2043">
        <v>105</v>
      </c>
      <c r="G842" s="2043">
        <v>0</v>
      </c>
      <c r="H842" s="2043">
        <v>0</v>
      </c>
      <c r="I842" s="106">
        <v>0</v>
      </c>
      <c r="J842" s="41" t="s">
        <v>10797</v>
      </c>
      <c r="K842" s="2043">
        <v>0</v>
      </c>
      <c r="L842" s="2043">
        <v>0</v>
      </c>
    </row>
    <row r="843" spans="1:12" ht="14.5">
      <c r="A843" t="s">
        <v>5142</v>
      </c>
      <c r="B843" s="380" t="str">
        <f t="shared" si="13"/>
        <v>144-902</v>
      </c>
      <c r="C843" t="s">
        <v>903</v>
      </c>
      <c r="D843" s="2043">
        <v>986</v>
      </c>
      <c r="E843" s="2043">
        <v>1093</v>
      </c>
      <c r="F843" s="2043">
        <v>107</v>
      </c>
      <c r="G843" s="2043">
        <v>0</v>
      </c>
      <c r="H843" s="2043">
        <v>0</v>
      </c>
      <c r="I843" s="106">
        <v>0</v>
      </c>
      <c r="J843" s="41" t="s">
        <v>10797</v>
      </c>
      <c r="K843" s="2043">
        <v>0</v>
      </c>
      <c r="L843" s="2043">
        <v>0</v>
      </c>
    </row>
    <row r="844" spans="1:12" ht="14.5">
      <c r="A844" t="s">
        <v>5194</v>
      </c>
      <c r="B844" s="380" t="str">
        <f t="shared" si="13"/>
        <v>175-910</v>
      </c>
      <c r="C844" t="s">
        <v>292</v>
      </c>
      <c r="D844" s="2043">
        <v>727</v>
      </c>
      <c r="E844" s="2043">
        <v>834</v>
      </c>
      <c r="F844" s="2043">
        <v>107</v>
      </c>
      <c r="G844" s="2043">
        <v>0</v>
      </c>
      <c r="H844" s="2043">
        <v>0</v>
      </c>
      <c r="I844" s="106">
        <v>0</v>
      </c>
      <c r="J844" s="41" t="s">
        <v>10797</v>
      </c>
      <c r="K844" s="2043">
        <v>0</v>
      </c>
      <c r="L844" s="2043">
        <v>0</v>
      </c>
    </row>
    <row r="845" spans="1:12" ht="14.5">
      <c r="A845" t="s">
        <v>3003</v>
      </c>
      <c r="B845" s="380" t="str">
        <f t="shared" si="13"/>
        <v>091-901</v>
      </c>
      <c r="C845" t="s">
        <v>1469</v>
      </c>
      <c r="D845" s="2043">
        <v>776</v>
      </c>
      <c r="E845" s="2043">
        <v>885</v>
      </c>
      <c r="F845" s="2043">
        <v>109</v>
      </c>
      <c r="G845" s="2043">
        <v>0</v>
      </c>
      <c r="H845" s="2043">
        <v>0</v>
      </c>
      <c r="I845" s="106">
        <v>0</v>
      </c>
      <c r="J845" s="41" t="s">
        <v>10797</v>
      </c>
      <c r="K845" s="2043">
        <v>0</v>
      </c>
      <c r="L845" s="2043">
        <v>0</v>
      </c>
    </row>
    <row r="846" spans="1:12" ht="14.5">
      <c r="A846" t="s">
        <v>3272</v>
      </c>
      <c r="B846" s="380" t="str">
        <f t="shared" si="13"/>
        <v>249-906</v>
      </c>
      <c r="C846" t="s">
        <v>1289</v>
      </c>
      <c r="D846" s="2043">
        <v>1173</v>
      </c>
      <c r="E846" s="2043">
        <v>1283</v>
      </c>
      <c r="F846" s="2043">
        <v>110</v>
      </c>
      <c r="G846" s="2043">
        <v>0</v>
      </c>
      <c r="H846" s="2043">
        <v>0</v>
      </c>
      <c r="I846" s="106">
        <v>0</v>
      </c>
      <c r="J846" s="41" t="s">
        <v>10797</v>
      </c>
      <c r="K846" s="2043">
        <v>0</v>
      </c>
      <c r="L846" s="2043">
        <v>0</v>
      </c>
    </row>
    <row r="847" spans="1:12" ht="14.5">
      <c r="A847" t="s">
        <v>5047</v>
      </c>
      <c r="B847" s="380" t="str">
        <f t="shared" si="13"/>
        <v>091-914</v>
      </c>
      <c r="C847" t="s">
        <v>985</v>
      </c>
      <c r="D847" s="2043">
        <v>880</v>
      </c>
      <c r="E847" s="2043">
        <v>991</v>
      </c>
      <c r="F847" s="2043">
        <v>111</v>
      </c>
      <c r="G847" s="2043">
        <v>0</v>
      </c>
      <c r="H847" s="2043">
        <v>0</v>
      </c>
      <c r="I847" s="106">
        <v>0</v>
      </c>
      <c r="J847" s="41" t="s">
        <v>10797</v>
      </c>
      <c r="K847" s="2043">
        <v>0</v>
      </c>
      <c r="L847" s="2043">
        <v>0</v>
      </c>
    </row>
    <row r="848" spans="1:12" ht="14.5">
      <c r="A848" t="s">
        <v>5210</v>
      </c>
      <c r="B848" s="380" t="str">
        <f t="shared" si="13"/>
        <v>181-906</v>
      </c>
      <c r="C848" t="s">
        <v>2205</v>
      </c>
      <c r="D848" s="2043">
        <v>2449</v>
      </c>
      <c r="E848" s="2043">
        <v>2560</v>
      </c>
      <c r="F848" s="2043">
        <v>111</v>
      </c>
      <c r="G848" s="2043">
        <v>0</v>
      </c>
      <c r="H848" s="2043">
        <v>0</v>
      </c>
      <c r="I848" s="106">
        <v>0</v>
      </c>
      <c r="J848" s="41" t="s">
        <v>10797</v>
      </c>
      <c r="K848" s="2043">
        <v>0</v>
      </c>
      <c r="L848" s="2043">
        <v>0</v>
      </c>
    </row>
    <row r="849" spans="1:12" ht="14.5">
      <c r="A849" t="s">
        <v>5208</v>
      </c>
      <c r="B849" s="380" t="str">
        <f t="shared" si="13"/>
        <v>180-904</v>
      </c>
      <c r="C849" t="s">
        <v>309</v>
      </c>
      <c r="D849" s="2043">
        <v>118</v>
      </c>
      <c r="E849" s="2043">
        <v>230</v>
      </c>
      <c r="F849" s="2043">
        <v>112</v>
      </c>
      <c r="G849" s="2043">
        <v>0</v>
      </c>
      <c r="H849" s="2043">
        <v>0</v>
      </c>
      <c r="I849" s="106">
        <v>0</v>
      </c>
      <c r="J849" s="41" t="s">
        <v>10797</v>
      </c>
      <c r="K849" s="2043">
        <v>0</v>
      </c>
      <c r="L849" s="2043">
        <v>0</v>
      </c>
    </row>
    <row r="850" spans="1:12" ht="14.5">
      <c r="A850" t="s">
        <v>3077</v>
      </c>
      <c r="B850" s="380" t="str">
        <f t="shared" si="13"/>
        <v>123-914</v>
      </c>
      <c r="C850" t="s">
        <v>1638</v>
      </c>
      <c r="D850" s="2043">
        <v>1838</v>
      </c>
      <c r="E850" s="2043">
        <v>1954</v>
      </c>
      <c r="F850" s="2043">
        <v>116</v>
      </c>
      <c r="G850" s="2043">
        <v>0</v>
      </c>
      <c r="H850" s="2043">
        <v>0</v>
      </c>
      <c r="I850" s="106">
        <v>0</v>
      </c>
      <c r="J850" s="41" t="s">
        <v>10797</v>
      </c>
      <c r="K850" s="2043">
        <v>0</v>
      </c>
      <c r="L850" s="2043">
        <v>0</v>
      </c>
    </row>
    <row r="851" spans="1:12" ht="14.5">
      <c r="A851" t="s">
        <v>5794</v>
      </c>
      <c r="B851" s="380" t="str">
        <f t="shared" si="13"/>
        <v>072-901</v>
      </c>
      <c r="C851" t="s">
        <v>1867</v>
      </c>
      <c r="D851" s="2043">
        <v>120</v>
      </c>
      <c r="E851" s="2043">
        <v>237</v>
      </c>
      <c r="F851" s="2043">
        <v>117</v>
      </c>
      <c r="G851" s="2043">
        <v>0</v>
      </c>
      <c r="H851" s="2043">
        <v>0</v>
      </c>
      <c r="I851" s="106">
        <v>0</v>
      </c>
      <c r="J851" s="41" t="s">
        <v>10797</v>
      </c>
      <c r="K851" s="2043">
        <v>0</v>
      </c>
      <c r="L851" s="2043">
        <v>0</v>
      </c>
    </row>
    <row r="852" spans="1:12" ht="14.5">
      <c r="A852" t="s">
        <v>3253</v>
      </c>
      <c r="B852" s="380" t="str">
        <f t="shared" si="13"/>
        <v>243-906</v>
      </c>
      <c r="C852" t="s">
        <v>1092</v>
      </c>
      <c r="D852" s="2043">
        <v>1004</v>
      </c>
      <c r="E852" s="2043">
        <v>1121</v>
      </c>
      <c r="F852" s="2043">
        <v>117</v>
      </c>
      <c r="G852" s="2043">
        <v>0</v>
      </c>
      <c r="H852" s="2043">
        <v>0</v>
      </c>
      <c r="I852" s="106">
        <v>0</v>
      </c>
      <c r="J852" s="41" t="s">
        <v>10797</v>
      </c>
      <c r="K852" s="2043">
        <v>0</v>
      </c>
      <c r="L852" s="2043">
        <v>0</v>
      </c>
    </row>
    <row r="853" spans="1:12" ht="14.5">
      <c r="A853" t="s">
        <v>5165</v>
      </c>
      <c r="B853" s="380" t="str">
        <f t="shared" si="13"/>
        <v>156-902</v>
      </c>
      <c r="C853" t="s">
        <v>529</v>
      </c>
      <c r="D853" s="2043">
        <v>983</v>
      </c>
      <c r="E853" s="2043">
        <v>1103</v>
      </c>
      <c r="F853" s="2043">
        <v>120</v>
      </c>
      <c r="G853" s="2043">
        <v>0</v>
      </c>
      <c r="H853" s="2043">
        <v>0</v>
      </c>
      <c r="I853" s="106">
        <v>0</v>
      </c>
      <c r="J853" s="41" t="s">
        <v>10797</v>
      </c>
      <c r="K853" s="2043">
        <v>0</v>
      </c>
      <c r="L853" s="2043">
        <v>0</v>
      </c>
    </row>
    <row r="854" spans="1:12" ht="14.5">
      <c r="A854" t="s">
        <v>3007</v>
      </c>
      <c r="B854" s="380" t="str">
        <f t="shared" si="13"/>
        <v>091-909</v>
      </c>
      <c r="C854" t="s">
        <v>1259</v>
      </c>
      <c r="D854" s="2043">
        <v>1599</v>
      </c>
      <c r="E854" s="2043">
        <v>1720</v>
      </c>
      <c r="F854" s="2043">
        <v>121</v>
      </c>
      <c r="G854" s="2043">
        <v>0</v>
      </c>
      <c r="H854" s="2043">
        <v>0</v>
      </c>
      <c r="I854" s="106">
        <v>0</v>
      </c>
      <c r="J854" s="41" t="s">
        <v>10797</v>
      </c>
      <c r="K854" s="2043">
        <v>0</v>
      </c>
      <c r="L854" s="2043">
        <v>0</v>
      </c>
    </row>
    <row r="855" spans="1:12" ht="14.5">
      <c r="A855" t="s">
        <v>3237</v>
      </c>
      <c r="B855" s="380" t="str">
        <f t="shared" si="13"/>
        <v>234-902</v>
      </c>
      <c r="C855" t="s">
        <v>1076</v>
      </c>
      <c r="D855" s="2043">
        <v>2163</v>
      </c>
      <c r="E855" s="2043">
        <v>2284</v>
      </c>
      <c r="F855" s="2043">
        <v>121</v>
      </c>
      <c r="G855" s="2043">
        <v>0</v>
      </c>
      <c r="H855" s="2043">
        <v>0</v>
      </c>
      <c r="I855" s="106">
        <v>0</v>
      </c>
      <c r="J855" s="41" t="s">
        <v>10797</v>
      </c>
      <c r="K855" s="2043">
        <v>0</v>
      </c>
      <c r="L855" s="2043">
        <v>0</v>
      </c>
    </row>
    <row r="856" spans="1:12" ht="14.5">
      <c r="A856" t="s">
        <v>3265</v>
      </c>
      <c r="B856" s="380" t="str">
        <f t="shared" si="13"/>
        <v>246-912</v>
      </c>
      <c r="C856" t="s">
        <v>567</v>
      </c>
      <c r="D856" s="2043">
        <v>666</v>
      </c>
      <c r="E856" s="2043">
        <v>788</v>
      </c>
      <c r="F856" s="2043">
        <v>122</v>
      </c>
      <c r="G856" s="2043">
        <v>0</v>
      </c>
      <c r="H856" s="2043">
        <v>0</v>
      </c>
      <c r="I856" s="106">
        <v>0</v>
      </c>
      <c r="J856" s="41" t="s">
        <v>10797</v>
      </c>
      <c r="K856" s="2043">
        <v>0</v>
      </c>
      <c r="L856" s="2043">
        <v>0</v>
      </c>
    </row>
    <row r="857" spans="1:12" ht="14.5">
      <c r="A857" t="s">
        <v>2961</v>
      </c>
      <c r="B857" s="380" t="str">
        <f t="shared" si="13"/>
        <v>061-905</v>
      </c>
      <c r="C857" t="s">
        <v>1598</v>
      </c>
      <c r="D857" s="2043">
        <v>2093</v>
      </c>
      <c r="E857" s="2043">
        <v>2217</v>
      </c>
      <c r="F857" s="2043">
        <v>124</v>
      </c>
      <c r="G857" s="2043">
        <v>0</v>
      </c>
      <c r="H857" s="2043">
        <v>0</v>
      </c>
      <c r="I857" s="106">
        <v>0</v>
      </c>
      <c r="J857" s="41" t="s">
        <v>10797</v>
      </c>
      <c r="K857" s="2043">
        <v>0</v>
      </c>
      <c r="L857" s="2043">
        <v>0</v>
      </c>
    </row>
    <row r="858" spans="1:12" ht="14.5">
      <c r="A858" t="s">
        <v>5010</v>
      </c>
      <c r="B858" s="380" t="str">
        <f t="shared" si="13"/>
        <v>072-904</v>
      </c>
      <c r="C858" t="s">
        <v>1869</v>
      </c>
      <c r="D858" s="2043">
        <v>104</v>
      </c>
      <c r="E858" s="2043">
        <v>228</v>
      </c>
      <c r="F858" s="2043">
        <v>124</v>
      </c>
      <c r="G858" s="2043">
        <v>0</v>
      </c>
      <c r="H858" s="2043">
        <v>0</v>
      </c>
      <c r="I858" s="106">
        <v>0</v>
      </c>
      <c r="J858" s="41" t="s">
        <v>10797</v>
      </c>
      <c r="K858" s="2043">
        <v>0</v>
      </c>
      <c r="L858" s="2043">
        <v>0</v>
      </c>
    </row>
    <row r="859" spans="1:12" ht="14.5">
      <c r="A859" t="s">
        <v>3028</v>
      </c>
      <c r="B859" s="380" t="str">
        <f t="shared" si="13"/>
        <v>101-925</v>
      </c>
      <c r="C859" t="s">
        <v>2250</v>
      </c>
      <c r="D859" s="2043">
        <v>3443</v>
      </c>
      <c r="E859" s="2043">
        <v>3569</v>
      </c>
      <c r="F859" s="2043">
        <v>126</v>
      </c>
      <c r="G859" s="2043">
        <v>0</v>
      </c>
      <c r="H859" s="2043">
        <v>0</v>
      </c>
      <c r="I859" s="106">
        <v>0</v>
      </c>
      <c r="J859" s="41" t="s">
        <v>10797</v>
      </c>
      <c r="K859" s="2043">
        <v>0</v>
      </c>
      <c r="L859" s="2043">
        <v>0</v>
      </c>
    </row>
    <row r="860" spans="1:12" ht="14.5">
      <c r="A860" t="s">
        <v>5098</v>
      </c>
      <c r="B860" s="380" t="str">
        <f t="shared" si="13"/>
        <v>113-902</v>
      </c>
      <c r="C860" t="s">
        <v>2043</v>
      </c>
      <c r="D860" s="2043">
        <v>505</v>
      </c>
      <c r="E860" s="2043">
        <v>632</v>
      </c>
      <c r="F860" s="2043">
        <v>127</v>
      </c>
      <c r="G860" s="2043">
        <v>0</v>
      </c>
      <c r="H860" s="2043">
        <v>0</v>
      </c>
      <c r="I860" s="106">
        <v>0</v>
      </c>
      <c r="J860" s="41" t="s">
        <v>10797</v>
      </c>
      <c r="K860" s="2043">
        <v>0</v>
      </c>
      <c r="L860" s="2043">
        <v>0</v>
      </c>
    </row>
    <row r="861" spans="1:12" ht="14.5">
      <c r="A861" t="s">
        <v>3173</v>
      </c>
      <c r="B861" s="380" t="str">
        <f t="shared" si="13"/>
        <v>184-904</v>
      </c>
      <c r="C861" t="s">
        <v>2116</v>
      </c>
      <c r="D861" s="2043">
        <v>974</v>
      </c>
      <c r="E861" s="2043">
        <v>1101</v>
      </c>
      <c r="F861" s="2043">
        <v>127</v>
      </c>
      <c r="G861" s="2043">
        <v>0</v>
      </c>
      <c r="H861" s="2043">
        <v>0</v>
      </c>
      <c r="I861" s="106">
        <v>0</v>
      </c>
      <c r="J861" s="41" t="s">
        <v>10797</v>
      </c>
      <c r="K861" s="2043">
        <v>0</v>
      </c>
      <c r="L861" s="2043">
        <v>0</v>
      </c>
    </row>
    <row r="862" spans="1:12" ht="14.5">
      <c r="A862" t="s">
        <v>3211</v>
      </c>
      <c r="B862" s="380" t="str">
        <f t="shared" si="13"/>
        <v>220-910</v>
      </c>
      <c r="C862" t="s">
        <v>2177</v>
      </c>
      <c r="D862" s="2043">
        <v>3507</v>
      </c>
      <c r="E862" s="2043">
        <v>3634</v>
      </c>
      <c r="F862" s="2043">
        <v>127</v>
      </c>
      <c r="G862" s="2043">
        <v>0</v>
      </c>
      <c r="H862" s="2043">
        <v>0</v>
      </c>
      <c r="I862" s="106">
        <v>0</v>
      </c>
      <c r="J862" s="41" t="s">
        <v>10797</v>
      </c>
      <c r="K862" s="2043">
        <v>0</v>
      </c>
      <c r="L862" s="2043">
        <v>0</v>
      </c>
    </row>
    <row r="863" spans="1:12" ht="14.5">
      <c r="A863" t="s">
        <v>3273</v>
      </c>
      <c r="B863" s="380" t="str">
        <f t="shared" si="13"/>
        <v>249-908</v>
      </c>
      <c r="C863" t="s">
        <v>1820</v>
      </c>
      <c r="D863" s="2043">
        <v>253</v>
      </c>
      <c r="E863" s="2043">
        <v>383</v>
      </c>
      <c r="F863" s="2043">
        <v>130</v>
      </c>
      <c r="G863" s="2043">
        <v>0</v>
      </c>
      <c r="H863" s="2043">
        <v>0</v>
      </c>
      <c r="I863" s="106">
        <v>0</v>
      </c>
      <c r="J863" s="41" t="s">
        <v>10797</v>
      </c>
      <c r="K863" s="2043">
        <v>0</v>
      </c>
      <c r="L863" s="2043">
        <v>0</v>
      </c>
    </row>
    <row r="864" spans="1:12" ht="14.5">
      <c r="A864" t="s">
        <v>5028</v>
      </c>
      <c r="B864" s="380" t="str">
        <f t="shared" si="13"/>
        <v>083-903</v>
      </c>
      <c r="C864" t="s">
        <v>499</v>
      </c>
      <c r="D864" s="2043">
        <v>2825</v>
      </c>
      <c r="E864" s="2043">
        <v>2961</v>
      </c>
      <c r="F864" s="2043">
        <v>136</v>
      </c>
      <c r="G864" s="2043">
        <v>0</v>
      </c>
      <c r="H864" s="2043">
        <v>0</v>
      </c>
      <c r="I864" s="106">
        <v>0</v>
      </c>
      <c r="J864" s="41" t="s">
        <v>10797</v>
      </c>
      <c r="K864" s="2043">
        <v>0</v>
      </c>
      <c r="L864" s="2043">
        <v>0</v>
      </c>
    </row>
    <row r="865" spans="1:12" ht="14.5">
      <c r="A865" t="s">
        <v>5240</v>
      </c>
      <c r="B865" s="380" t="str">
        <f t="shared" si="13"/>
        <v>198-903</v>
      </c>
      <c r="C865" t="s">
        <v>1538</v>
      </c>
      <c r="D865" s="2043">
        <v>1213</v>
      </c>
      <c r="E865" s="2043">
        <v>1349</v>
      </c>
      <c r="F865" s="2043">
        <v>136</v>
      </c>
      <c r="G865" s="2043">
        <v>0</v>
      </c>
      <c r="H865" s="2043">
        <v>0</v>
      </c>
      <c r="I865" s="106">
        <v>0</v>
      </c>
      <c r="J865" s="41" t="s">
        <v>10797</v>
      </c>
      <c r="K865" s="2043">
        <v>0</v>
      </c>
      <c r="L865" s="2043">
        <v>0</v>
      </c>
    </row>
    <row r="866" spans="1:12" ht="14.5">
      <c r="A866" t="s">
        <v>5169</v>
      </c>
      <c r="B866" s="380" t="str">
        <f t="shared" si="13"/>
        <v>158-902</v>
      </c>
      <c r="C866" t="s">
        <v>1648</v>
      </c>
      <c r="D866" s="2043">
        <v>873</v>
      </c>
      <c r="E866" s="2043">
        <v>1010</v>
      </c>
      <c r="F866" s="2043">
        <v>137</v>
      </c>
      <c r="G866" s="2043">
        <v>0</v>
      </c>
      <c r="H866" s="2043">
        <v>0</v>
      </c>
      <c r="I866" s="106">
        <v>0</v>
      </c>
      <c r="J866" s="41" t="s">
        <v>10797</v>
      </c>
      <c r="K866" s="2043">
        <v>0</v>
      </c>
      <c r="L866" s="2043">
        <v>0</v>
      </c>
    </row>
    <row r="867" spans="1:12" ht="14.5">
      <c r="A867" t="s">
        <v>3232</v>
      </c>
      <c r="B867" s="380" t="str">
        <f t="shared" si="13"/>
        <v>230-906</v>
      </c>
      <c r="C867" t="s">
        <v>1446</v>
      </c>
      <c r="D867" s="2043">
        <v>1080</v>
      </c>
      <c r="E867" s="2043">
        <v>1217</v>
      </c>
      <c r="F867" s="2043">
        <v>137</v>
      </c>
      <c r="G867" s="2043">
        <v>0</v>
      </c>
      <c r="H867" s="2043">
        <v>0</v>
      </c>
      <c r="I867" s="106">
        <v>0</v>
      </c>
      <c r="J867" s="41" t="s">
        <v>10797</v>
      </c>
      <c r="K867" s="2043">
        <v>0</v>
      </c>
      <c r="L867" s="2043">
        <v>0</v>
      </c>
    </row>
    <row r="868" spans="1:12" ht="14.5">
      <c r="A868" t="s">
        <v>5094</v>
      </c>
      <c r="B868" s="380" t="str">
        <f t="shared" si="13"/>
        <v>110-905</v>
      </c>
      <c r="C868" t="s">
        <v>2462</v>
      </c>
      <c r="D868" s="2043">
        <v>376</v>
      </c>
      <c r="E868" s="2043">
        <v>514</v>
      </c>
      <c r="F868" s="2043">
        <v>138</v>
      </c>
      <c r="G868" s="2043">
        <v>0</v>
      </c>
      <c r="H868" s="2043">
        <v>0</v>
      </c>
      <c r="I868" s="106">
        <v>0</v>
      </c>
      <c r="J868" s="41" t="s">
        <v>10797</v>
      </c>
      <c r="K868" s="2043">
        <v>0</v>
      </c>
      <c r="L868" s="2043">
        <v>0</v>
      </c>
    </row>
    <row r="869" spans="1:12" ht="14.5">
      <c r="A869" t="s">
        <v>2857</v>
      </c>
      <c r="B869" s="380" t="str">
        <f t="shared" si="13"/>
        <v>007-904</v>
      </c>
      <c r="C869" t="s">
        <v>1129</v>
      </c>
      <c r="D869" s="2043">
        <v>1600</v>
      </c>
      <c r="E869" s="2043">
        <v>1743</v>
      </c>
      <c r="F869" s="2043">
        <v>143</v>
      </c>
      <c r="G869" s="2043">
        <v>0</v>
      </c>
      <c r="H869" s="2043">
        <v>0</v>
      </c>
      <c r="I869" s="106">
        <v>0</v>
      </c>
      <c r="J869" s="41" t="s">
        <v>10797</v>
      </c>
      <c r="K869" s="2043">
        <v>0</v>
      </c>
      <c r="L869" s="2043">
        <v>0</v>
      </c>
    </row>
    <row r="870" spans="1:12" ht="14.5">
      <c r="A870" t="s">
        <v>2875</v>
      </c>
      <c r="B870" s="380" t="str">
        <f t="shared" si="13"/>
        <v>014-910</v>
      </c>
      <c r="C870" t="s">
        <v>2187</v>
      </c>
      <c r="D870" s="2043">
        <v>1492</v>
      </c>
      <c r="E870" s="2043">
        <v>1637</v>
      </c>
      <c r="F870" s="2043">
        <v>145</v>
      </c>
      <c r="G870" s="2043">
        <v>0</v>
      </c>
      <c r="H870" s="2043">
        <v>0</v>
      </c>
      <c r="I870" s="106">
        <v>0</v>
      </c>
      <c r="J870" s="41" t="s">
        <v>10797</v>
      </c>
      <c r="K870" s="2043">
        <v>0</v>
      </c>
      <c r="L870" s="2043">
        <v>0</v>
      </c>
    </row>
    <row r="871" spans="1:12" ht="14.5">
      <c r="A871" t="s">
        <v>3096</v>
      </c>
      <c r="B871" s="380" t="str">
        <f t="shared" si="13"/>
        <v>129-904</v>
      </c>
      <c r="C871" t="s">
        <v>391</v>
      </c>
      <c r="D871" s="2043">
        <v>1542</v>
      </c>
      <c r="E871" s="2043">
        <v>1692</v>
      </c>
      <c r="F871" s="2043">
        <v>150</v>
      </c>
      <c r="G871" s="2043">
        <v>0</v>
      </c>
      <c r="H871" s="2043">
        <v>0</v>
      </c>
      <c r="I871" s="106">
        <v>0</v>
      </c>
      <c r="J871" s="41" t="s">
        <v>10797</v>
      </c>
      <c r="K871" s="2043">
        <v>0</v>
      </c>
      <c r="L871" s="2043">
        <v>0</v>
      </c>
    </row>
    <row r="872" spans="1:12" ht="14.5">
      <c r="A872" t="s">
        <v>3166</v>
      </c>
      <c r="B872" s="380" t="str">
        <f t="shared" si="13"/>
        <v>181-901</v>
      </c>
      <c r="C872" t="s">
        <v>1751</v>
      </c>
      <c r="D872" s="2043">
        <v>2953</v>
      </c>
      <c r="E872" s="2043">
        <v>3106</v>
      </c>
      <c r="F872" s="2043">
        <v>153</v>
      </c>
      <c r="G872" s="2043">
        <v>0</v>
      </c>
      <c r="H872" s="2043">
        <v>0</v>
      </c>
      <c r="I872" s="106">
        <v>0</v>
      </c>
      <c r="J872" s="41" t="s">
        <v>10797</v>
      </c>
      <c r="K872" s="2043">
        <v>0</v>
      </c>
      <c r="L872" s="2043">
        <v>0</v>
      </c>
    </row>
    <row r="873" spans="1:12" ht="14.5">
      <c r="A873" t="s">
        <v>3209</v>
      </c>
      <c r="B873" s="380" t="str">
        <f t="shared" si="13"/>
        <v>220-907</v>
      </c>
      <c r="C873" t="s">
        <v>390</v>
      </c>
      <c r="D873" s="2043">
        <v>34660</v>
      </c>
      <c r="E873" s="2043">
        <v>34813</v>
      </c>
      <c r="F873" s="2043">
        <v>153</v>
      </c>
      <c r="G873" s="2043">
        <v>0</v>
      </c>
      <c r="H873" s="2043">
        <v>0</v>
      </c>
      <c r="I873" s="106">
        <v>0</v>
      </c>
      <c r="J873" s="41" t="s">
        <v>10797</v>
      </c>
      <c r="K873" s="2043">
        <v>0</v>
      </c>
      <c r="L873" s="2043">
        <v>0</v>
      </c>
    </row>
    <row r="874" spans="1:12" ht="14.5">
      <c r="A874" t="s">
        <v>5007</v>
      </c>
      <c r="B874" s="380" t="str">
        <f t="shared" si="13"/>
        <v>070-903</v>
      </c>
      <c r="C874" t="s">
        <v>1862</v>
      </c>
      <c r="D874" s="2043">
        <v>5857</v>
      </c>
      <c r="E874" s="2043">
        <v>6013</v>
      </c>
      <c r="F874" s="2043">
        <v>156</v>
      </c>
      <c r="G874" s="2043">
        <v>0</v>
      </c>
      <c r="H874" s="2043">
        <v>0</v>
      </c>
      <c r="I874" s="106">
        <v>0</v>
      </c>
      <c r="J874" s="41" t="s">
        <v>10797</v>
      </c>
      <c r="K874" s="2043">
        <v>0</v>
      </c>
      <c r="L874" s="2043">
        <v>0</v>
      </c>
    </row>
    <row r="875" spans="1:12" ht="14.5">
      <c r="A875" t="s">
        <v>2949</v>
      </c>
      <c r="B875" s="380" t="str">
        <f t="shared" si="13"/>
        <v>049-903</v>
      </c>
      <c r="C875" t="s">
        <v>2231</v>
      </c>
      <c r="D875" s="2043">
        <v>786</v>
      </c>
      <c r="E875" s="2043">
        <v>943</v>
      </c>
      <c r="F875" s="2043">
        <v>157</v>
      </c>
      <c r="G875" s="2043">
        <v>0</v>
      </c>
      <c r="H875" s="2043">
        <v>0</v>
      </c>
      <c r="I875" s="106">
        <v>0</v>
      </c>
      <c r="J875" s="41" t="s">
        <v>10797</v>
      </c>
      <c r="K875" s="2043">
        <v>0</v>
      </c>
      <c r="L875" s="2043">
        <v>0</v>
      </c>
    </row>
    <row r="876" spans="1:12" ht="14.5">
      <c r="A876" t="s">
        <v>5100</v>
      </c>
      <c r="B876" s="380" t="str">
        <f t="shared" si="13"/>
        <v>114-902</v>
      </c>
      <c r="C876" t="s">
        <v>1482</v>
      </c>
      <c r="D876" s="2043">
        <v>925</v>
      </c>
      <c r="E876" s="2043">
        <v>1086</v>
      </c>
      <c r="F876" s="2043">
        <v>161</v>
      </c>
      <c r="G876" s="2043">
        <v>0</v>
      </c>
      <c r="H876" s="2043">
        <v>0</v>
      </c>
      <c r="I876" s="106">
        <v>0</v>
      </c>
      <c r="J876" s="41" t="s">
        <v>10797</v>
      </c>
      <c r="K876" s="2043">
        <v>0</v>
      </c>
      <c r="L876" s="2043">
        <v>0</v>
      </c>
    </row>
    <row r="877" spans="1:12" ht="14.5">
      <c r="A877" t="s">
        <v>5163</v>
      </c>
      <c r="B877" s="380" t="str">
        <f t="shared" si="13"/>
        <v>153-905</v>
      </c>
      <c r="C877" t="s">
        <v>525</v>
      </c>
      <c r="D877" s="2043">
        <v>423</v>
      </c>
      <c r="E877" s="2043">
        <v>588</v>
      </c>
      <c r="F877" s="2043">
        <v>165</v>
      </c>
      <c r="G877" s="2043">
        <v>0</v>
      </c>
      <c r="H877" s="2043">
        <v>0</v>
      </c>
      <c r="I877" s="106">
        <v>0</v>
      </c>
      <c r="J877" s="41" t="s">
        <v>10797</v>
      </c>
      <c r="K877" s="2043">
        <v>0</v>
      </c>
      <c r="L877" s="2043">
        <v>0</v>
      </c>
    </row>
    <row r="878" spans="1:12" ht="14.5">
      <c r="A878" t="s">
        <v>3102</v>
      </c>
      <c r="B878" s="380" t="str">
        <f t="shared" si="13"/>
        <v>139-909</v>
      </c>
      <c r="C878" t="s">
        <v>184</v>
      </c>
      <c r="D878" s="2043">
        <v>3642</v>
      </c>
      <c r="E878" s="2043">
        <v>3808</v>
      </c>
      <c r="F878" s="2043">
        <v>166</v>
      </c>
      <c r="G878" s="2043">
        <v>0</v>
      </c>
      <c r="H878" s="2043">
        <v>0</v>
      </c>
      <c r="I878" s="106">
        <v>0</v>
      </c>
      <c r="J878" s="41" t="s">
        <v>10797</v>
      </c>
      <c r="K878" s="2043">
        <v>0</v>
      </c>
      <c r="L878" s="2043">
        <v>0</v>
      </c>
    </row>
    <row r="879" spans="1:12" ht="14.5">
      <c r="A879" t="s">
        <v>4926</v>
      </c>
      <c r="B879" s="380" t="str">
        <f t="shared" si="13"/>
        <v>005-902</v>
      </c>
      <c r="C879" t="s">
        <v>1126</v>
      </c>
      <c r="D879" s="2043">
        <v>959</v>
      </c>
      <c r="E879" s="2043">
        <v>1128</v>
      </c>
      <c r="F879" s="2043">
        <v>169</v>
      </c>
      <c r="G879" s="2043">
        <v>0</v>
      </c>
      <c r="H879" s="2043">
        <v>0</v>
      </c>
      <c r="I879" s="106">
        <v>0</v>
      </c>
      <c r="J879" s="41" t="s">
        <v>10797</v>
      </c>
      <c r="K879" s="2043">
        <v>0</v>
      </c>
      <c r="L879" s="2043">
        <v>0</v>
      </c>
    </row>
    <row r="880" spans="1:12" ht="14.5">
      <c r="A880" t="s">
        <v>2909</v>
      </c>
      <c r="B880" s="380" t="str">
        <f t="shared" si="13"/>
        <v>027-903</v>
      </c>
      <c r="C880" t="s">
        <v>124</v>
      </c>
      <c r="D880" s="2043">
        <v>3108</v>
      </c>
      <c r="E880" s="2043">
        <v>3277</v>
      </c>
      <c r="F880" s="2043">
        <v>169</v>
      </c>
      <c r="G880" s="2043">
        <v>0</v>
      </c>
      <c r="H880" s="2043">
        <v>0</v>
      </c>
      <c r="I880" s="106">
        <v>0</v>
      </c>
      <c r="J880" s="41" t="s">
        <v>10797</v>
      </c>
      <c r="K880" s="2043">
        <v>0</v>
      </c>
      <c r="L880" s="2043">
        <v>0</v>
      </c>
    </row>
    <row r="881" spans="1:12" ht="14.5">
      <c r="A881" t="s">
        <v>5116</v>
      </c>
      <c r="B881" s="380" t="str">
        <f t="shared" si="13"/>
        <v>123-908</v>
      </c>
      <c r="C881" t="s">
        <v>2543</v>
      </c>
      <c r="D881" s="2043">
        <v>5025</v>
      </c>
      <c r="E881" s="2043">
        <v>5196</v>
      </c>
      <c r="F881" s="2043">
        <v>171</v>
      </c>
      <c r="G881" s="2043">
        <v>0</v>
      </c>
      <c r="H881" s="2043">
        <v>0</v>
      </c>
      <c r="I881" s="106">
        <v>0</v>
      </c>
      <c r="J881" s="41" t="s">
        <v>10797</v>
      </c>
      <c r="K881" s="2043">
        <v>0</v>
      </c>
      <c r="L881" s="2043">
        <v>0</v>
      </c>
    </row>
    <row r="882" spans="1:12" ht="14.5">
      <c r="A882" t="s">
        <v>5044</v>
      </c>
      <c r="B882" s="380" t="str">
        <f t="shared" si="13"/>
        <v>091-903</v>
      </c>
      <c r="C882" t="s">
        <v>1361</v>
      </c>
      <c r="D882" s="2043">
        <v>4505</v>
      </c>
      <c r="E882" s="2043">
        <v>4677</v>
      </c>
      <c r="F882" s="2043">
        <v>172</v>
      </c>
      <c r="G882" s="2043">
        <v>0</v>
      </c>
      <c r="H882" s="2043">
        <v>0</v>
      </c>
      <c r="I882" s="106">
        <v>0</v>
      </c>
      <c r="J882" s="41" t="s">
        <v>10797</v>
      </c>
      <c r="K882" s="2043">
        <v>0</v>
      </c>
      <c r="L882" s="2043">
        <v>0</v>
      </c>
    </row>
    <row r="883" spans="1:12" ht="14.5">
      <c r="A883" t="s">
        <v>3202</v>
      </c>
      <c r="B883" s="380" t="str">
        <f t="shared" si="13"/>
        <v>212-906</v>
      </c>
      <c r="C883" t="s">
        <v>1258</v>
      </c>
      <c r="D883" s="2043">
        <v>4731</v>
      </c>
      <c r="E883" s="2043">
        <v>4906</v>
      </c>
      <c r="F883" s="2043">
        <v>175</v>
      </c>
      <c r="G883" s="2043">
        <v>0</v>
      </c>
      <c r="H883" s="2043">
        <v>0</v>
      </c>
      <c r="I883" s="106">
        <v>0</v>
      </c>
      <c r="J883" s="41" t="s">
        <v>10797</v>
      </c>
      <c r="K883" s="2043">
        <v>0</v>
      </c>
      <c r="L883" s="2043">
        <v>0</v>
      </c>
    </row>
    <row r="884" spans="1:12" ht="14.5">
      <c r="A884" t="s">
        <v>3222</v>
      </c>
      <c r="B884" s="380" t="str">
        <f t="shared" si="13"/>
        <v>226-906</v>
      </c>
      <c r="C884" t="s">
        <v>128</v>
      </c>
      <c r="D884" s="2043">
        <v>1115</v>
      </c>
      <c r="E884" s="2043">
        <v>1290</v>
      </c>
      <c r="F884" s="2043">
        <v>175</v>
      </c>
      <c r="G884" s="2043">
        <v>0</v>
      </c>
      <c r="H884" s="2043">
        <v>0</v>
      </c>
      <c r="I884" s="106">
        <v>0</v>
      </c>
      <c r="J884" s="41" t="s">
        <v>10797</v>
      </c>
      <c r="K884" s="2043">
        <v>0</v>
      </c>
      <c r="L884" s="2043">
        <v>0</v>
      </c>
    </row>
    <row r="885" spans="1:12" ht="14.5">
      <c r="A885" t="s">
        <v>5045</v>
      </c>
      <c r="B885" s="380" t="str">
        <f t="shared" si="13"/>
        <v>091-907</v>
      </c>
      <c r="C885" t="s">
        <v>1557</v>
      </c>
      <c r="D885" s="2043">
        <v>528</v>
      </c>
      <c r="E885" s="2043">
        <v>706</v>
      </c>
      <c r="F885" s="2043">
        <v>178</v>
      </c>
      <c r="G885" s="2043">
        <v>0</v>
      </c>
      <c r="H885" s="2043">
        <v>0</v>
      </c>
      <c r="I885" s="106">
        <v>0</v>
      </c>
      <c r="J885" s="41" t="s">
        <v>10797</v>
      </c>
      <c r="K885" s="2043">
        <v>0</v>
      </c>
      <c r="L885" s="2043">
        <v>0</v>
      </c>
    </row>
    <row r="886" spans="1:12" ht="14.5">
      <c r="A886" t="s">
        <v>3014</v>
      </c>
      <c r="B886" s="380" t="str">
        <f t="shared" si="13"/>
        <v>094-903</v>
      </c>
      <c r="C886" t="s">
        <v>218</v>
      </c>
      <c r="D886" s="2043">
        <v>1812</v>
      </c>
      <c r="E886" s="2043">
        <v>1992</v>
      </c>
      <c r="F886" s="2043">
        <v>180</v>
      </c>
      <c r="G886" s="2043">
        <v>0</v>
      </c>
      <c r="H886" s="2043">
        <v>0</v>
      </c>
      <c r="I886" s="106">
        <v>0</v>
      </c>
      <c r="J886" s="41" t="s">
        <v>10797</v>
      </c>
      <c r="K886" s="2043">
        <v>0</v>
      </c>
      <c r="L886" s="2043">
        <v>0</v>
      </c>
    </row>
    <row r="887" spans="1:12" ht="14.5">
      <c r="A887" t="s">
        <v>4921</v>
      </c>
      <c r="B887" s="380" t="str">
        <f t="shared" si="13"/>
        <v>002-901</v>
      </c>
      <c r="C887" t="s">
        <v>1119</v>
      </c>
      <c r="D887" s="2043">
        <v>3966</v>
      </c>
      <c r="E887" s="2043">
        <v>4147</v>
      </c>
      <c r="F887" s="2043">
        <v>181</v>
      </c>
      <c r="G887" s="2043">
        <v>0</v>
      </c>
      <c r="H887" s="2043">
        <v>0</v>
      </c>
      <c r="I887" s="106">
        <v>0</v>
      </c>
      <c r="J887" s="41" t="s">
        <v>10797</v>
      </c>
      <c r="K887" s="2043">
        <v>0</v>
      </c>
      <c r="L887" s="2043">
        <v>0</v>
      </c>
    </row>
    <row r="888" spans="1:12" ht="14.5">
      <c r="A888" t="s">
        <v>4931</v>
      </c>
      <c r="B888" s="380" t="str">
        <f t="shared" si="13"/>
        <v>013-902</v>
      </c>
      <c r="C888" t="s">
        <v>1136</v>
      </c>
      <c r="D888" s="2043">
        <v>317</v>
      </c>
      <c r="E888" s="2043">
        <v>498</v>
      </c>
      <c r="F888" s="2043">
        <v>181</v>
      </c>
      <c r="G888" s="2043">
        <v>0</v>
      </c>
      <c r="H888" s="2043">
        <v>0</v>
      </c>
      <c r="I888" s="106">
        <v>0</v>
      </c>
      <c r="J888" s="41" t="s">
        <v>10797</v>
      </c>
      <c r="K888" s="2043">
        <v>0</v>
      </c>
      <c r="L888" s="2043">
        <v>0</v>
      </c>
    </row>
    <row r="889" spans="1:12" ht="14.5">
      <c r="A889" t="s">
        <v>4710</v>
      </c>
      <c r="B889" s="380" t="str">
        <f t="shared" si="13"/>
        <v>220-919</v>
      </c>
      <c r="C889" t="s">
        <v>615</v>
      </c>
      <c r="D889" s="2043">
        <v>8208</v>
      </c>
      <c r="E889" s="2043">
        <v>8389</v>
      </c>
      <c r="F889" s="2043">
        <v>181</v>
      </c>
      <c r="G889" s="2043">
        <v>0</v>
      </c>
      <c r="H889" s="2043">
        <v>0</v>
      </c>
      <c r="I889" s="106">
        <v>0</v>
      </c>
      <c r="J889" s="41" t="s">
        <v>10797</v>
      </c>
      <c r="K889" s="2043">
        <v>0</v>
      </c>
      <c r="L889" s="2043">
        <v>0</v>
      </c>
    </row>
    <row r="890" spans="1:12" ht="14.5">
      <c r="A890" t="s">
        <v>3004</v>
      </c>
      <c r="B890" s="380" t="str">
        <f t="shared" si="13"/>
        <v>091-905</v>
      </c>
      <c r="C890" t="s">
        <v>2247</v>
      </c>
      <c r="D890" s="2043">
        <v>1066</v>
      </c>
      <c r="E890" s="2043">
        <v>1249</v>
      </c>
      <c r="F890" s="2043">
        <v>183</v>
      </c>
      <c r="G890" s="2043">
        <v>0</v>
      </c>
      <c r="H890" s="2043">
        <v>0</v>
      </c>
      <c r="I890" s="106">
        <v>0</v>
      </c>
      <c r="J890" s="41" t="s">
        <v>10797</v>
      </c>
      <c r="K890" s="2043">
        <v>0</v>
      </c>
      <c r="L890" s="2043">
        <v>0</v>
      </c>
    </row>
    <row r="891" spans="1:12" ht="14.5">
      <c r="A891" t="s">
        <v>5234</v>
      </c>
      <c r="B891" s="380" t="str">
        <f t="shared" si="13"/>
        <v>195-901</v>
      </c>
      <c r="C891" t="s">
        <v>1531</v>
      </c>
      <c r="D891" s="2043">
        <v>2486</v>
      </c>
      <c r="E891" s="2043">
        <v>2671</v>
      </c>
      <c r="F891" s="2043">
        <v>185</v>
      </c>
      <c r="G891" s="2043">
        <v>0</v>
      </c>
      <c r="H891" s="2043">
        <v>0</v>
      </c>
      <c r="I891" s="106">
        <v>0</v>
      </c>
      <c r="J891" s="41" t="s">
        <v>10797</v>
      </c>
      <c r="K891" s="2043">
        <v>0</v>
      </c>
      <c r="L891" s="2043">
        <v>0</v>
      </c>
    </row>
    <row r="892" spans="1:12" ht="14.5">
      <c r="A892" t="s">
        <v>5227</v>
      </c>
      <c r="B892" s="380" t="str">
        <f t="shared" si="13"/>
        <v>187-910</v>
      </c>
      <c r="C892" t="s">
        <v>425</v>
      </c>
      <c r="D892" s="2043">
        <v>1027</v>
      </c>
      <c r="E892" s="2043">
        <v>1215</v>
      </c>
      <c r="F892" s="2043">
        <v>188</v>
      </c>
      <c r="G892" s="2043">
        <v>0</v>
      </c>
      <c r="H892" s="2043">
        <v>0</v>
      </c>
      <c r="I892" s="106">
        <v>0</v>
      </c>
      <c r="J892" s="41" t="s">
        <v>10797</v>
      </c>
      <c r="K892" s="2043">
        <v>0</v>
      </c>
      <c r="L892" s="2043">
        <v>0</v>
      </c>
    </row>
    <row r="893" spans="1:12" ht="14.5">
      <c r="A893" t="s">
        <v>4943</v>
      </c>
      <c r="B893" s="380" t="str">
        <f t="shared" si="13"/>
        <v>019-912</v>
      </c>
      <c r="C893" t="s">
        <v>2348</v>
      </c>
      <c r="D893" s="2043">
        <v>2127</v>
      </c>
      <c r="E893" s="2043">
        <v>2321</v>
      </c>
      <c r="F893" s="2043">
        <v>194</v>
      </c>
      <c r="G893" s="2043">
        <v>0</v>
      </c>
      <c r="H893" s="2043">
        <v>0</v>
      </c>
      <c r="I893" s="106">
        <v>0</v>
      </c>
      <c r="J893" s="41" t="s">
        <v>10797</v>
      </c>
      <c r="K893" s="2043">
        <v>0</v>
      </c>
      <c r="L893" s="2043">
        <v>0</v>
      </c>
    </row>
    <row r="894" spans="1:12" ht="14.5">
      <c r="A894" t="s">
        <v>2992</v>
      </c>
      <c r="B894" s="380" t="str">
        <f t="shared" si="13"/>
        <v>074-912</v>
      </c>
      <c r="C894" t="s">
        <v>5</v>
      </c>
      <c r="D894" s="2043">
        <v>529</v>
      </c>
      <c r="E894" s="2043">
        <v>725</v>
      </c>
      <c r="F894" s="2043">
        <v>196</v>
      </c>
      <c r="G894" s="2043">
        <v>0</v>
      </c>
      <c r="H894" s="2043">
        <v>0</v>
      </c>
      <c r="I894" s="106">
        <v>0</v>
      </c>
      <c r="J894" s="41" t="s">
        <v>10797</v>
      </c>
      <c r="K894" s="2043">
        <v>0</v>
      </c>
      <c r="L894" s="2043">
        <v>0</v>
      </c>
    </row>
    <row r="895" spans="1:12" ht="14.5">
      <c r="A895" t="s">
        <v>5247</v>
      </c>
      <c r="B895" s="380" t="str">
        <f t="shared" si="13"/>
        <v>205-902</v>
      </c>
      <c r="C895" t="s">
        <v>335</v>
      </c>
      <c r="D895" s="2043">
        <v>4539</v>
      </c>
      <c r="E895" s="2043">
        <v>4736</v>
      </c>
      <c r="F895" s="2043">
        <v>197</v>
      </c>
      <c r="G895" s="2043">
        <v>0</v>
      </c>
      <c r="H895" s="2043">
        <v>0</v>
      </c>
      <c r="I895" s="106">
        <v>0</v>
      </c>
      <c r="J895" s="41" t="s">
        <v>10797</v>
      </c>
      <c r="K895" s="2043">
        <v>0</v>
      </c>
      <c r="L895" s="2043">
        <v>0</v>
      </c>
    </row>
    <row r="896" spans="1:12" ht="14.5">
      <c r="A896" t="s">
        <v>4285</v>
      </c>
      <c r="B896" s="380" t="str">
        <f t="shared" si="13"/>
        <v>126-904</v>
      </c>
      <c r="C896" t="s">
        <v>818</v>
      </c>
      <c r="D896" s="2043">
        <v>1175</v>
      </c>
      <c r="E896" s="2043">
        <v>1374</v>
      </c>
      <c r="F896" s="2043">
        <v>199</v>
      </c>
      <c r="G896" s="2043">
        <v>0</v>
      </c>
      <c r="H896" s="2043">
        <v>0</v>
      </c>
      <c r="I896" s="106">
        <v>0</v>
      </c>
      <c r="J896" s="41" t="s">
        <v>10797</v>
      </c>
      <c r="K896" s="2043">
        <v>0</v>
      </c>
      <c r="L896" s="2043">
        <v>0</v>
      </c>
    </row>
    <row r="897" spans="1:12" ht="14.5">
      <c r="A897" t="s">
        <v>2948</v>
      </c>
      <c r="B897" s="380" t="str">
        <f t="shared" si="13"/>
        <v>049-901</v>
      </c>
      <c r="C897" t="s">
        <v>1391</v>
      </c>
      <c r="D897" s="2043">
        <v>2945</v>
      </c>
      <c r="E897" s="2043">
        <v>3145</v>
      </c>
      <c r="F897" s="2043">
        <v>200</v>
      </c>
      <c r="G897" s="2043">
        <v>0</v>
      </c>
      <c r="H897" s="2043">
        <v>0</v>
      </c>
      <c r="I897" s="106">
        <v>0</v>
      </c>
      <c r="J897" s="41" t="s">
        <v>10797</v>
      </c>
      <c r="K897" s="2043">
        <v>0</v>
      </c>
      <c r="L897" s="2043">
        <v>0</v>
      </c>
    </row>
    <row r="898" spans="1:12" ht="14.5">
      <c r="A898" t="s">
        <v>5125</v>
      </c>
      <c r="B898" s="380" t="str">
        <f t="shared" si="13"/>
        <v>129-905</v>
      </c>
      <c r="C898" t="s">
        <v>1924</v>
      </c>
      <c r="D898" s="2043">
        <v>3459</v>
      </c>
      <c r="E898" s="2043">
        <v>3659</v>
      </c>
      <c r="F898" s="2043">
        <v>200</v>
      </c>
      <c r="G898" s="2043">
        <v>0</v>
      </c>
      <c r="H898" s="2043">
        <v>0</v>
      </c>
      <c r="I898" s="106">
        <v>0</v>
      </c>
      <c r="J898" s="41" t="s">
        <v>10797</v>
      </c>
      <c r="K898" s="2043">
        <v>0</v>
      </c>
      <c r="L898" s="2043">
        <v>0</v>
      </c>
    </row>
    <row r="899" spans="1:12" ht="14.5">
      <c r="A899" t="s">
        <v>2940</v>
      </c>
      <c r="B899" s="380" t="str">
        <f t="shared" ref="B899:B962" si="14">CONCATENATE(LEFT(RIGHT(CONCATENATE("000",A899),6),3),"-",(RIGHT(RIGHT(CONCATENATE("000",A899),6),3)))</f>
        <v>043-917</v>
      </c>
      <c r="C899" t="s">
        <v>1269</v>
      </c>
      <c r="D899" s="2043">
        <v>759</v>
      </c>
      <c r="E899" s="2043">
        <v>961</v>
      </c>
      <c r="F899" s="2043">
        <v>202</v>
      </c>
      <c r="G899" s="2043">
        <v>0</v>
      </c>
      <c r="H899" s="2043">
        <v>0</v>
      </c>
      <c r="I899" s="106">
        <v>0</v>
      </c>
      <c r="J899" s="41" t="s">
        <v>10797</v>
      </c>
      <c r="K899" s="2043">
        <v>0</v>
      </c>
      <c r="L899" s="2043">
        <v>0</v>
      </c>
    </row>
    <row r="900" spans="1:12" ht="14.5">
      <c r="A900" t="s">
        <v>2995</v>
      </c>
      <c r="B900" s="380" t="str">
        <f t="shared" si="14"/>
        <v>079-906</v>
      </c>
      <c r="C900" t="s">
        <v>847</v>
      </c>
      <c r="D900" s="2043">
        <v>3181</v>
      </c>
      <c r="E900" s="2043">
        <v>3385</v>
      </c>
      <c r="F900" s="2043">
        <v>204</v>
      </c>
      <c r="G900" s="2043">
        <v>0</v>
      </c>
      <c r="H900" s="2043">
        <v>0</v>
      </c>
      <c r="I900" s="106">
        <v>0</v>
      </c>
      <c r="J900" s="41" t="s">
        <v>10797</v>
      </c>
      <c r="K900" s="2043">
        <v>0</v>
      </c>
      <c r="L900" s="2043">
        <v>0</v>
      </c>
    </row>
    <row r="901" spans="1:12" ht="14.5">
      <c r="A901" t="s">
        <v>3248</v>
      </c>
      <c r="B901" s="380" t="str">
        <f t="shared" si="14"/>
        <v>237-905</v>
      </c>
      <c r="C901" t="s">
        <v>91</v>
      </c>
      <c r="D901" s="2043">
        <v>2365</v>
      </c>
      <c r="E901" s="2043">
        <v>2575</v>
      </c>
      <c r="F901" s="2043">
        <v>210</v>
      </c>
      <c r="G901" s="2043">
        <v>0</v>
      </c>
      <c r="H901" s="2043">
        <v>0</v>
      </c>
      <c r="I901" s="106">
        <v>0</v>
      </c>
      <c r="J901" s="41" t="s">
        <v>10797</v>
      </c>
      <c r="K901" s="2043">
        <v>0</v>
      </c>
      <c r="L901" s="2043">
        <v>0</v>
      </c>
    </row>
    <row r="902" spans="1:12" ht="14.5">
      <c r="A902" t="s">
        <v>3154</v>
      </c>
      <c r="B902" s="380" t="str">
        <f t="shared" si="14"/>
        <v>175-903</v>
      </c>
      <c r="C902" t="s">
        <v>1039</v>
      </c>
      <c r="D902" s="2043">
        <v>5794</v>
      </c>
      <c r="E902" s="2043">
        <v>6006</v>
      </c>
      <c r="F902" s="2043">
        <v>212</v>
      </c>
      <c r="G902" s="2043">
        <v>0</v>
      </c>
      <c r="H902" s="2043">
        <v>0</v>
      </c>
      <c r="I902" s="106">
        <v>0</v>
      </c>
      <c r="J902" s="41" t="s">
        <v>10797</v>
      </c>
      <c r="K902" s="2043">
        <v>0</v>
      </c>
      <c r="L902" s="2043">
        <v>0</v>
      </c>
    </row>
    <row r="903" spans="1:12" ht="14.5">
      <c r="A903" t="s">
        <v>3107</v>
      </c>
      <c r="B903" s="380" t="str">
        <f t="shared" si="14"/>
        <v>146-902</v>
      </c>
      <c r="C903" t="s">
        <v>2517</v>
      </c>
      <c r="D903" s="2043">
        <v>5403</v>
      </c>
      <c r="E903" s="2043">
        <v>5619</v>
      </c>
      <c r="F903" s="2043">
        <v>216</v>
      </c>
      <c r="G903" s="2043">
        <v>0</v>
      </c>
      <c r="H903" s="2043">
        <v>0</v>
      </c>
      <c r="I903" s="106">
        <v>0</v>
      </c>
      <c r="J903" s="41" t="s">
        <v>10797</v>
      </c>
      <c r="K903" s="2043">
        <v>0</v>
      </c>
      <c r="L903" s="2043">
        <v>0</v>
      </c>
    </row>
    <row r="904" spans="1:12" ht="14.5">
      <c r="A904" t="s">
        <v>4960</v>
      </c>
      <c r="B904" s="380" t="str">
        <f t="shared" si="14"/>
        <v>034-901</v>
      </c>
      <c r="C904" t="s">
        <v>2049</v>
      </c>
      <c r="D904" s="2043">
        <v>1693</v>
      </c>
      <c r="E904" s="2043">
        <v>1911</v>
      </c>
      <c r="F904" s="2043">
        <v>218</v>
      </c>
      <c r="G904" s="2043">
        <v>0</v>
      </c>
      <c r="H904" s="2043">
        <v>0</v>
      </c>
      <c r="I904" s="106">
        <v>0</v>
      </c>
      <c r="J904" s="41" t="s">
        <v>10797</v>
      </c>
      <c r="K904" s="2043">
        <v>0</v>
      </c>
      <c r="L904" s="2043">
        <v>0</v>
      </c>
    </row>
    <row r="905" spans="1:12" ht="14.5">
      <c r="A905" t="s">
        <v>3081</v>
      </c>
      <c r="B905" s="380" t="str">
        <f t="shared" si="14"/>
        <v>125-905</v>
      </c>
      <c r="C905" t="s">
        <v>1983</v>
      </c>
      <c r="D905" s="2043">
        <v>511</v>
      </c>
      <c r="E905" s="2043">
        <v>730</v>
      </c>
      <c r="F905" s="2043">
        <v>219</v>
      </c>
      <c r="G905" s="2043">
        <v>0</v>
      </c>
      <c r="H905" s="2043">
        <v>0</v>
      </c>
      <c r="I905" s="106">
        <v>0</v>
      </c>
      <c r="J905" s="41" t="s">
        <v>10797</v>
      </c>
      <c r="K905" s="2043">
        <v>0</v>
      </c>
      <c r="L905" s="2043">
        <v>0</v>
      </c>
    </row>
    <row r="906" spans="1:12" ht="14.5">
      <c r="A906" t="s">
        <v>3201</v>
      </c>
      <c r="B906" s="380" t="str">
        <f t="shared" si="14"/>
        <v>212-903</v>
      </c>
      <c r="C906" t="s">
        <v>1883</v>
      </c>
      <c r="D906" s="2043">
        <v>4046</v>
      </c>
      <c r="E906" s="2043">
        <v>4268</v>
      </c>
      <c r="F906" s="2043">
        <v>222</v>
      </c>
      <c r="G906" s="2043">
        <v>0</v>
      </c>
      <c r="H906" s="2043">
        <v>0</v>
      </c>
      <c r="I906" s="106">
        <v>0</v>
      </c>
      <c r="J906" s="41" t="s">
        <v>10797</v>
      </c>
      <c r="K906" s="2043">
        <v>0</v>
      </c>
      <c r="L906" s="2043">
        <v>0</v>
      </c>
    </row>
    <row r="907" spans="1:12" ht="14.5">
      <c r="A907" t="s">
        <v>3087</v>
      </c>
      <c r="B907" s="380" t="str">
        <f t="shared" si="14"/>
        <v>126-908</v>
      </c>
      <c r="C907" t="s">
        <v>2499</v>
      </c>
      <c r="D907" s="2043">
        <v>2080</v>
      </c>
      <c r="E907" s="2043">
        <v>2303</v>
      </c>
      <c r="F907" s="2043">
        <v>223</v>
      </c>
      <c r="G907" s="2043">
        <v>0</v>
      </c>
      <c r="H907" s="2043">
        <v>0</v>
      </c>
      <c r="I907" s="106">
        <v>0</v>
      </c>
      <c r="J907" s="41" t="s">
        <v>10797</v>
      </c>
      <c r="K907" s="2043">
        <v>0</v>
      </c>
      <c r="L907" s="2043">
        <v>0</v>
      </c>
    </row>
    <row r="908" spans="1:12" ht="14.5">
      <c r="A908" t="s">
        <v>5135</v>
      </c>
      <c r="B908" s="380" t="str">
        <f t="shared" si="14"/>
        <v>139-905</v>
      </c>
      <c r="C908" t="s">
        <v>1942</v>
      </c>
      <c r="D908" s="2043">
        <v>922</v>
      </c>
      <c r="E908" s="2043">
        <v>1145</v>
      </c>
      <c r="F908" s="2043">
        <v>223</v>
      </c>
      <c r="G908" s="2043">
        <v>0</v>
      </c>
      <c r="H908" s="2043">
        <v>0</v>
      </c>
      <c r="I908" s="106">
        <v>0</v>
      </c>
      <c r="J908" s="41" t="s">
        <v>10797</v>
      </c>
      <c r="K908" s="2043">
        <v>0</v>
      </c>
      <c r="L908" s="2043">
        <v>0</v>
      </c>
    </row>
    <row r="909" spans="1:12" ht="14.5">
      <c r="A909" t="s">
        <v>5887</v>
      </c>
      <c r="B909" s="380" t="str">
        <f t="shared" si="14"/>
        <v>225-907</v>
      </c>
      <c r="C909" t="s">
        <v>1572</v>
      </c>
      <c r="D909" s="2043">
        <v>578</v>
      </c>
      <c r="E909" s="2043">
        <v>805</v>
      </c>
      <c r="F909" s="2043">
        <v>227</v>
      </c>
      <c r="G909" s="2043">
        <v>0</v>
      </c>
      <c r="H909" s="2043">
        <v>0</v>
      </c>
      <c r="I909" s="106">
        <v>0</v>
      </c>
      <c r="J909" s="41" t="s">
        <v>10797</v>
      </c>
      <c r="K909" s="2043">
        <v>0</v>
      </c>
      <c r="L909" s="2043">
        <v>0</v>
      </c>
    </row>
    <row r="910" spans="1:12" ht="14.5">
      <c r="A910" t="s">
        <v>5259</v>
      </c>
      <c r="B910" s="380" t="str">
        <f t="shared" si="14"/>
        <v>213-901</v>
      </c>
      <c r="C910" t="s">
        <v>1887</v>
      </c>
      <c r="D910" s="2043">
        <v>1759</v>
      </c>
      <c r="E910" s="2043">
        <v>1989</v>
      </c>
      <c r="F910" s="2043">
        <v>230</v>
      </c>
      <c r="G910" s="2043">
        <v>0</v>
      </c>
      <c r="H910" s="2043">
        <v>0</v>
      </c>
      <c r="I910" s="106">
        <v>0</v>
      </c>
      <c r="J910" s="41" t="s">
        <v>10797</v>
      </c>
      <c r="K910" s="2043">
        <v>0</v>
      </c>
      <c r="L910" s="2043">
        <v>0</v>
      </c>
    </row>
    <row r="911" spans="1:12" ht="14.5">
      <c r="A911" t="s">
        <v>5292</v>
      </c>
      <c r="B911" s="380" t="str">
        <f t="shared" si="14"/>
        <v>234-907</v>
      </c>
      <c r="C911" t="s">
        <v>1968</v>
      </c>
      <c r="D911" s="2043">
        <v>2403</v>
      </c>
      <c r="E911" s="2043">
        <v>2635</v>
      </c>
      <c r="F911" s="2043">
        <v>232</v>
      </c>
      <c r="G911" s="2043">
        <v>0</v>
      </c>
      <c r="H911" s="2043">
        <v>0</v>
      </c>
      <c r="I911" s="106">
        <v>0</v>
      </c>
      <c r="J911" s="41" t="s">
        <v>10797</v>
      </c>
      <c r="K911" s="2043">
        <v>0</v>
      </c>
      <c r="L911" s="2043">
        <v>0</v>
      </c>
    </row>
    <row r="912" spans="1:12" ht="14.5">
      <c r="A912" t="s">
        <v>4933</v>
      </c>
      <c r="B912" s="380" t="str">
        <f t="shared" si="14"/>
        <v>014-901</v>
      </c>
      <c r="C912" t="s">
        <v>1138</v>
      </c>
      <c r="D912" s="2043">
        <v>1523</v>
      </c>
      <c r="E912" s="2043">
        <v>1759</v>
      </c>
      <c r="F912" s="2043">
        <v>236</v>
      </c>
      <c r="G912" s="2043">
        <v>0</v>
      </c>
      <c r="H912" s="2043">
        <v>0</v>
      </c>
      <c r="I912" s="106">
        <v>0</v>
      </c>
      <c r="J912" s="41" t="s">
        <v>10797</v>
      </c>
      <c r="K912" s="2043">
        <v>0</v>
      </c>
      <c r="L912" s="2043">
        <v>0</v>
      </c>
    </row>
    <row r="913" spans="1:12" ht="14.5">
      <c r="A913" t="s">
        <v>3218</v>
      </c>
      <c r="B913" s="380" t="str">
        <f t="shared" si="14"/>
        <v>220-920</v>
      </c>
      <c r="C913" t="s">
        <v>1257</v>
      </c>
      <c r="D913" s="2043">
        <v>6797</v>
      </c>
      <c r="E913" s="2043">
        <v>7036</v>
      </c>
      <c r="F913" s="2043">
        <v>239</v>
      </c>
      <c r="G913" s="2043">
        <v>0</v>
      </c>
      <c r="H913" s="2043">
        <v>0</v>
      </c>
      <c r="I913" s="106">
        <v>0</v>
      </c>
      <c r="J913" s="41" t="s">
        <v>10797</v>
      </c>
      <c r="K913" s="2043">
        <v>0</v>
      </c>
      <c r="L913" s="2043">
        <v>0</v>
      </c>
    </row>
    <row r="914" spans="1:12" ht="14.5">
      <c r="A914" t="s">
        <v>5255</v>
      </c>
      <c r="B914" s="380" t="str">
        <f t="shared" si="14"/>
        <v>212-902</v>
      </c>
      <c r="C914" t="s">
        <v>1882</v>
      </c>
      <c r="D914" s="2043">
        <v>2549</v>
      </c>
      <c r="E914" s="2043">
        <v>2791</v>
      </c>
      <c r="F914" s="2043">
        <v>242</v>
      </c>
      <c r="G914" s="2043">
        <v>0</v>
      </c>
      <c r="H914" s="2043">
        <v>0</v>
      </c>
      <c r="I914" s="106">
        <v>0</v>
      </c>
      <c r="J914" s="41" t="s">
        <v>10797</v>
      </c>
      <c r="K914" s="2043">
        <v>0</v>
      </c>
      <c r="L914" s="2043">
        <v>0</v>
      </c>
    </row>
    <row r="915" spans="1:12" ht="14.5">
      <c r="A915" s="629" t="s">
        <v>2962</v>
      </c>
      <c r="B915" s="1683" t="str">
        <f t="shared" si="14"/>
        <v>061-906</v>
      </c>
      <c r="C915" s="629" t="s">
        <v>948</v>
      </c>
      <c r="D915" s="731">
        <v>1330</v>
      </c>
      <c r="E915" s="731">
        <v>1582</v>
      </c>
      <c r="F915" s="731">
        <v>252</v>
      </c>
      <c r="G915" s="731">
        <v>2</v>
      </c>
      <c r="H915" s="731">
        <v>2</v>
      </c>
      <c r="I915" s="2760">
        <v>1.1438244915700135E-5</v>
      </c>
      <c r="J915" s="727">
        <v>3</v>
      </c>
      <c r="K915" s="731">
        <v>2217.6</v>
      </c>
      <c r="L915" s="731">
        <v>1833.6730393377084</v>
      </c>
    </row>
    <row r="916" spans="1:12" ht="14.5">
      <c r="A916" s="629" t="s">
        <v>3095</v>
      </c>
      <c r="B916" s="1683" t="str">
        <f t="shared" si="14"/>
        <v>129-903</v>
      </c>
      <c r="C916" s="629" t="s">
        <v>389</v>
      </c>
      <c r="D916" s="731">
        <v>3848</v>
      </c>
      <c r="E916" s="731">
        <v>4103</v>
      </c>
      <c r="F916" s="731">
        <v>255</v>
      </c>
      <c r="G916" s="731">
        <v>5</v>
      </c>
      <c r="H916" s="731">
        <v>7</v>
      </c>
      <c r="I916" s="2760">
        <v>4.0033857204950469E-5</v>
      </c>
      <c r="J916" s="727">
        <v>3</v>
      </c>
      <c r="K916" s="731">
        <v>5543.9999999999991</v>
      </c>
      <c r="L916" s="731">
        <v>4584.1825983442704</v>
      </c>
    </row>
    <row r="917" spans="1:12" ht="14.5">
      <c r="A917" s="629" t="s">
        <v>5287</v>
      </c>
      <c r="B917" s="1683" t="str">
        <f t="shared" si="14"/>
        <v>230-902</v>
      </c>
      <c r="C917" s="629" t="s">
        <v>1811</v>
      </c>
      <c r="D917" s="731">
        <v>2418</v>
      </c>
      <c r="E917" s="731">
        <v>2678</v>
      </c>
      <c r="F917" s="731">
        <v>260</v>
      </c>
      <c r="G917" s="731">
        <v>10</v>
      </c>
      <c r="H917" s="731">
        <v>17</v>
      </c>
      <c r="I917" s="2760">
        <v>9.7225081783451151E-5</v>
      </c>
      <c r="J917" s="727">
        <v>3</v>
      </c>
      <c r="K917" s="731">
        <v>11087.999999999998</v>
      </c>
      <c r="L917" s="731">
        <v>9168.3651966885409</v>
      </c>
    </row>
    <row r="918" spans="1:12" ht="14.5">
      <c r="A918" s="629" t="s">
        <v>3130</v>
      </c>
      <c r="B918" s="1683" t="str">
        <f t="shared" si="14"/>
        <v>161-920</v>
      </c>
      <c r="C918" s="629" t="s">
        <v>1090</v>
      </c>
      <c r="D918" s="731">
        <v>2696</v>
      </c>
      <c r="E918" s="731">
        <v>2958</v>
      </c>
      <c r="F918" s="731">
        <v>262</v>
      </c>
      <c r="G918" s="731">
        <v>12</v>
      </c>
      <c r="H918" s="731">
        <v>29</v>
      </c>
      <c r="I918" s="2760">
        <v>1.6585455127765195E-4</v>
      </c>
      <c r="J918" s="727">
        <v>3</v>
      </c>
      <c r="K918" s="731">
        <v>13305.6</v>
      </c>
      <c r="L918" s="731">
        <v>11002.03823602625</v>
      </c>
    </row>
    <row r="919" spans="1:12" ht="14.5">
      <c r="A919" s="629" t="s">
        <v>4973</v>
      </c>
      <c r="B919" s="1683" t="str">
        <f t="shared" si="14"/>
        <v>043-919</v>
      </c>
      <c r="C919" s="629" t="s">
        <v>2078</v>
      </c>
      <c r="D919" s="731">
        <v>4070</v>
      </c>
      <c r="E919" s="731">
        <v>4345</v>
      </c>
      <c r="F919" s="731">
        <v>275</v>
      </c>
      <c r="G919" s="731">
        <v>25</v>
      </c>
      <c r="H919" s="731">
        <v>54</v>
      </c>
      <c r="I919" s="2760">
        <v>3.0883261272390367E-4</v>
      </c>
      <c r="J919" s="727">
        <v>3</v>
      </c>
      <c r="K919" s="731">
        <v>27720</v>
      </c>
      <c r="L919" s="731">
        <v>22920.912991721354</v>
      </c>
    </row>
    <row r="920" spans="1:12" ht="14.5">
      <c r="A920" s="629" t="s">
        <v>3017</v>
      </c>
      <c r="B920" s="1683" t="str">
        <f t="shared" si="14"/>
        <v>100-907</v>
      </c>
      <c r="C920" s="629" t="s">
        <v>793</v>
      </c>
      <c r="D920" s="731">
        <v>3911</v>
      </c>
      <c r="E920" s="731">
        <v>4202</v>
      </c>
      <c r="F920" s="731">
        <v>291</v>
      </c>
      <c r="G920" s="731">
        <v>41</v>
      </c>
      <c r="H920" s="731">
        <v>95</v>
      </c>
      <c r="I920" s="2760">
        <v>5.4331663349575646E-4</v>
      </c>
      <c r="J920" s="727">
        <v>3</v>
      </c>
      <c r="K920" s="731">
        <v>45460.800000000003</v>
      </c>
      <c r="L920" s="731">
        <v>37590.297306423025</v>
      </c>
    </row>
    <row r="921" spans="1:12" ht="14.5">
      <c r="A921" s="629" t="s">
        <v>3009</v>
      </c>
      <c r="B921" s="1683" t="str">
        <f t="shared" si="14"/>
        <v>091-917</v>
      </c>
      <c r="C921" s="629" t="s">
        <v>1636</v>
      </c>
      <c r="D921" s="731">
        <v>823</v>
      </c>
      <c r="E921" s="731">
        <v>1115</v>
      </c>
      <c r="F921" s="731">
        <v>292</v>
      </c>
      <c r="G921" s="731">
        <v>42</v>
      </c>
      <c r="H921" s="731">
        <v>137</v>
      </c>
      <c r="I921" s="2760">
        <v>7.8351977672545922E-4</v>
      </c>
      <c r="J921" s="727">
        <v>3</v>
      </c>
      <c r="K921" s="731">
        <v>46569.599999999999</v>
      </c>
      <c r="L921" s="731">
        <v>38507.133826091878</v>
      </c>
    </row>
    <row r="922" spans="1:12" ht="14.5">
      <c r="A922" s="629" t="s">
        <v>5120</v>
      </c>
      <c r="B922" s="1683" t="str">
        <f t="shared" si="14"/>
        <v>126-903</v>
      </c>
      <c r="C922" s="629" t="s">
        <v>1093</v>
      </c>
      <c r="D922" s="731">
        <v>6774</v>
      </c>
      <c r="E922" s="731">
        <v>7068</v>
      </c>
      <c r="F922" s="731">
        <v>294</v>
      </c>
      <c r="G922" s="731">
        <v>44</v>
      </c>
      <c r="H922" s="731">
        <v>181</v>
      </c>
      <c r="I922" s="2760">
        <v>1.0351611648708621E-3</v>
      </c>
      <c r="J922" s="727">
        <v>3</v>
      </c>
      <c r="K922" s="731">
        <v>48787.199999999997</v>
      </c>
      <c r="L922" s="731">
        <v>40340.806865429586</v>
      </c>
    </row>
    <row r="923" spans="1:12" ht="14.5">
      <c r="A923" s="629" t="s">
        <v>5084</v>
      </c>
      <c r="B923" s="1683" t="str">
        <f t="shared" si="14"/>
        <v>105-905</v>
      </c>
      <c r="C923" s="629" t="s">
        <v>153</v>
      </c>
      <c r="D923" s="731">
        <v>2303</v>
      </c>
      <c r="E923" s="731">
        <v>2613</v>
      </c>
      <c r="F923" s="731">
        <v>310</v>
      </c>
      <c r="G923" s="731">
        <v>60</v>
      </c>
      <c r="H923" s="731">
        <v>241</v>
      </c>
      <c r="I923" s="2760">
        <v>1.3783085123418662E-3</v>
      </c>
      <c r="J923" s="727">
        <v>3</v>
      </c>
      <c r="K923" s="731">
        <v>66528</v>
      </c>
      <c r="L923" s="731">
        <v>55010.191180131253</v>
      </c>
    </row>
    <row r="924" spans="1:12" ht="14.5">
      <c r="A924" s="629" t="s">
        <v>5005</v>
      </c>
      <c r="B924" s="1683" t="str">
        <f t="shared" si="14"/>
        <v>068-901</v>
      </c>
      <c r="C924" s="629" t="s">
        <v>1859</v>
      </c>
      <c r="D924" s="731">
        <v>31481</v>
      </c>
      <c r="E924" s="731">
        <v>31810</v>
      </c>
      <c r="F924" s="731">
        <v>329</v>
      </c>
      <c r="G924" s="731">
        <v>79</v>
      </c>
      <c r="H924" s="731">
        <v>320</v>
      </c>
      <c r="I924" s="2760">
        <v>1.8301191865120216E-3</v>
      </c>
      <c r="J924" s="727">
        <v>3</v>
      </c>
      <c r="K924" s="731">
        <v>87595.199999999997</v>
      </c>
      <c r="L924" s="731">
        <v>72430.085053839488</v>
      </c>
    </row>
    <row r="925" spans="1:12" ht="14.5">
      <c r="A925" s="629" t="s">
        <v>3005</v>
      </c>
      <c r="B925" s="1683" t="str">
        <f t="shared" si="14"/>
        <v>091-906</v>
      </c>
      <c r="C925" s="629" t="s">
        <v>1556</v>
      </c>
      <c r="D925" s="731">
        <v>7380</v>
      </c>
      <c r="E925" s="731">
        <v>7719</v>
      </c>
      <c r="F925" s="731">
        <v>339</v>
      </c>
      <c r="G925" s="731">
        <v>89</v>
      </c>
      <c r="H925" s="731">
        <v>409</v>
      </c>
      <c r="I925" s="2760">
        <v>2.3391210852606774E-3</v>
      </c>
      <c r="J925" s="727">
        <v>3</v>
      </c>
      <c r="K925" s="731">
        <v>98683.199999999997</v>
      </c>
      <c r="L925" s="731">
        <v>81598.450250528025</v>
      </c>
    </row>
    <row r="926" spans="1:12" ht="14.5">
      <c r="A926" s="629" t="s">
        <v>5065</v>
      </c>
      <c r="B926" s="1683" t="str">
        <f t="shared" si="14"/>
        <v>100-905</v>
      </c>
      <c r="C926" s="629" t="s">
        <v>451</v>
      </c>
      <c r="D926" s="731">
        <v>2257</v>
      </c>
      <c r="E926" s="731">
        <v>2609</v>
      </c>
      <c r="F926" s="731">
        <v>352</v>
      </c>
      <c r="G926" s="731">
        <v>102</v>
      </c>
      <c r="H926" s="731">
        <v>511</v>
      </c>
      <c r="I926" s="2760">
        <v>2.9224715759613843E-3</v>
      </c>
      <c r="J926" s="727">
        <v>3</v>
      </c>
      <c r="K926" s="731">
        <v>113097.59999999999</v>
      </c>
      <c r="L926" s="731">
        <v>93517.325006223124</v>
      </c>
    </row>
    <row r="927" spans="1:12" ht="14.5">
      <c r="A927" s="629" t="s">
        <v>5282</v>
      </c>
      <c r="B927" s="1683" t="str">
        <f t="shared" si="14"/>
        <v>227-912</v>
      </c>
      <c r="C927" s="629" t="s">
        <v>1804</v>
      </c>
      <c r="D927" s="731">
        <v>1449</v>
      </c>
      <c r="E927" s="731">
        <v>1808</v>
      </c>
      <c r="F927" s="731">
        <v>359</v>
      </c>
      <c r="G927" s="731">
        <v>109</v>
      </c>
      <c r="H927" s="731">
        <v>620</v>
      </c>
      <c r="I927" s="2760">
        <v>3.545855923867042E-3</v>
      </c>
      <c r="J927" s="727">
        <v>3</v>
      </c>
      <c r="K927" s="731">
        <v>120859.20000000001</v>
      </c>
      <c r="L927" s="731">
        <v>99935.180643905114</v>
      </c>
    </row>
    <row r="928" spans="1:12" ht="14.5">
      <c r="A928" s="629" t="s">
        <v>4993</v>
      </c>
      <c r="B928" s="1683" t="str">
        <f t="shared" si="14"/>
        <v>057-919</v>
      </c>
      <c r="C928" s="629" t="s">
        <v>2467</v>
      </c>
      <c r="D928" s="731">
        <v>1738</v>
      </c>
      <c r="E928" s="731">
        <v>2111</v>
      </c>
      <c r="F928" s="731">
        <v>373</v>
      </c>
      <c r="G928" s="731">
        <v>123</v>
      </c>
      <c r="H928" s="731">
        <v>743</v>
      </c>
      <c r="I928" s="2760">
        <v>4.2493079861825999E-3</v>
      </c>
      <c r="J928" s="727">
        <v>3</v>
      </c>
      <c r="K928" s="731">
        <v>136382.39999999999</v>
      </c>
      <c r="L928" s="731">
        <v>112770.89191926907</v>
      </c>
    </row>
    <row r="929" spans="1:12" ht="14.5">
      <c r="A929" s="629" t="s">
        <v>3013</v>
      </c>
      <c r="B929" s="1683" t="str">
        <f t="shared" si="14"/>
        <v>094-902</v>
      </c>
      <c r="C929" s="629" t="s">
        <v>1173</v>
      </c>
      <c r="D929" s="731">
        <v>15497</v>
      </c>
      <c r="E929" s="731">
        <v>15890</v>
      </c>
      <c r="F929" s="731">
        <v>393</v>
      </c>
      <c r="G929" s="731">
        <v>143</v>
      </c>
      <c r="H929" s="731">
        <v>886</v>
      </c>
      <c r="I929" s="2760">
        <v>5.0671424976551594E-3</v>
      </c>
      <c r="J929" s="727">
        <v>3</v>
      </c>
      <c r="K929" s="731">
        <v>158558.39999999999</v>
      </c>
      <c r="L929" s="731">
        <v>131107.62231264616</v>
      </c>
    </row>
    <row r="930" spans="1:12" ht="14.5">
      <c r="A930" s="629" t="s">
        <v>5280</v>
      </c>
      <c r="B930" s="1683" t="str">
        <f t="shared" si="14"/>
        <v>227-907</v>
      </c>
      <c r="C930" s="629" t="s">
        <v>1802</v>
      </c>
      <c r="D930" s="731">
        <v>8870</v>
      </c>
      <c r="E930" s="731">
        <v>9270</v>
      </c>
      <c r="F930" s="731">
        <v>400</v>
      </c>
      <c r="G930" s="731">
        <v>150</v>
      </c>
      <c r="H930" s="731">
        <v>1036</v>
      </c>
      <c r="I930" s="2760">
        <v>5.9250108663326702E-3</v>
      </c>
      <c r="J930" s="727">
        <v>3</v>
      </c>
      <c r="K930" s="731">
        <v>166320</v>
      </c>
      <c r="L930" s="731">
        <v>137525.47795032815</v>
      </c>
    </row>
    <row r="931" spans="1:12" ht="14.5">
      <c r="A931" s="629" t="s">
        <v>7354</v>
      </c>
      <c r="B931" s="1683" t="str">
        <f t="shared" si="14"/>
        <v>031-916</v>
      </c>
      <c r="C931" s="629" t="s">
        <v>7355</v>
      </c>
      <c r="D931" s="731">
        <v>3848</v>
      </c>
      <c r="E931" s="731">
        <v>4251</v>
      </c>
      <c r="F931" s="731">
        <v>403</v>
      </c>
      <c r="G931" s="731">
        <v>153</v>
      </c>
      <c r="H931" s="731">
        <v>1189</v>
      </c>
      <c r="I931" s="2760">
        <v>6.8000366023837303E-3</v>
      </c>
      <c r="J931" s="727">
        <v>3</v>
      </c>
      <c r="K931" s="731">
        <v>169646.4</v>
      </c>
      <c r="L931" s="731">
        <v>140275.98750933469</v>
      </c>
    </row>
    <row r="932" spans="1:12" ht="14.5">
      <c r="A932" s="629" t="s">
        <v>3171</v>
      </c>
      <c r="B932" s="1683" t="str">
        <f t="shared" si="14"/>
        <v>184-902</v>
      </c>
      <c r="C932" s="629" t="s">
        <v>1830</v>
      </c>
      <c r="D932" s="731">
        <v>3477</v>
      </c>
      <c r="E932" s="731">
        <v>3888</v>
      </c>
      <c r="F932" s="731">
        <v>411</v>
      </c>
      <c r="G932" s="731">
        <v>161</v>
      </c>
      <c r="H932" s="731">
        <v>1350</v>
      </c>
      <c r="I932" s="2760">
        <v>7.7208153180975915E-3</v>
      </c>
      <c r="J932" s="727">
        <v>3</v>
      </c>
      <c r="K932" s="731">
        <v>178516.8</v>
      </c>
      <c r="L932" s="731">
        <v>147610.67966668552</v>
      </c>
    </row>
    <row r="933" spans="1:12" ht="14.5">
      <c r="A933" s="629" t="s">
        <v>5271</v>
      </c>
      <c r="B933" s="1683" t="str">
        <f t="shared" si="14"/>
        <v>221-911</v>
      </c>
      <c r="C933" s="629" t="s">
        <v>2210</v>
      </c>
      <c r="D933" s="731">
        <v>1166</v>
      </c>
      <c r="E933" s="731">
        <v>1578</v>
      </c>
      <c r="F933" s="731">
        <v>412</v>
      </c>
      <c r="G933" s="731">
        <v>162</v>
      </c>
      <c r="H933" s="731">
        <v>1512</v>
      </c>
      <c r="I933" s="2760">
        <v>8.6473131562693015E-3</v>
      </c>
      <c r="J933" s="727">
        <v>3</v>
      </c>
      <c r="K933" s="731">
        <v>179625.60000000001</v>
      </c>
      <c r="L933" s="731">
        <v>148527.51618635439</v>
      </c>
    </row>
    <row r="934" spans="1:12" ht="14.5">
      <c r="A934" s="629" t="s">
        <v>2933</v>
      </c>
      <c r="B934" s="1683" t="str">
        <f t="shared" si="14"/>
        <v>043-904</v>
      </c>
      <c r="C934" s="629" t="s">
        <v>99</v>
      </c>
      <c r="D934" s="731">
        <v>1596</v>
      </c>
      <c r="E934" s="731">
        <v>2025</v>
      </c>
      <c r="F934" s="731">
        <v>429</v>
      </c>
      <c r="G934" s="731">
        <v>179</v>
      </c>
      <c r="H934" s="731">
        <v>1691</v>
      </c>
      <c r="I934" s="2760">
        <v>9.6710360762244634E-3</v>
      </c>
      <c r="J934" s="727">
        <v>3</v>
      </c>
      <c r="K934" s="731">
        <v>198475.19999999998</v>
      </c>
      <c r="L934" s="731">
        <v>164113.73702072489</v>
      </c>
    </row>
    <row r="935" spans="1:12" ht="14.5">
      <c r="A935" s="629" t="s">
        <v>2910</v>
      </c>
      <c r="B935" s="1683" t="str">
        <f t="shared" si="14"/>
        <v>028-902</v>
      </c>
      <c r="C935" s="629" t="s">
        <v>2104</v>
      </c>
      <c r="D935" s="731">
        <v>5680</v>
      </c>
      <c r="E935" s="731">
        <v>6128</v>
      </c>
      <c r="F935" s="731">
        <v>448</v>
      </c>
      <c r="G935" s="731">
        <v>198</v>
      </c>
      <c r="H935" s="731">
        <v>1889</v>
      </c>
      <c r="I935" s="2760">
        <v>1.0803422322878778E-2</v>
      </c>
      <c r="J935" s="727">
        <v>3</v>
      </c>
      <c r="K935" s="731">
        <v>219542.39999999999</v>
      </c>
      <c r="L935" s="731">
        <v>181533.63089443312</v>
      </c>
    </row>
    <row r="936" spans="1:12" ht="14.5">
      <c r="A936" s="629" t="s">
        <v>3006</v>
      </c>
      <c r="B936" s="1683" t="str">
        <f t="shared" si="14"/>
        <v>091-908</v>
      </c>
      <c r="C936" s="629" t="s">
        <v>2232</v>
      </c>
      <c r="D936" s="731">
        <v>1589</v>
      </c>
      <c r="E936" s="731">
        <v>2048</v>
      </c>
      <c r="F936" s="731">
        <v>459</v>
      </c>
      <c r="G936" s="731">
        <v>209</v>
      </c>
      <c r="H936" s="731">
        <v>2098</v>
      </c>
      <c r="I936" s="2760">
        <v>1.1998718916569442E-2</v>
      </c>
      <c r="J936" s="727">
        <v>3</v>
      </c>
      <c r="K936" s="731">
        <v>231739.19999999998</v>
      </c>
      <c r="L936" s="731">
        <v>191618.83261079053</v>
      </c>
    </row>
    <row r="937" spans="1:12" ht="14.5">
      <c r="A937" s="629" t="s">
        <v>5203</v>
      </c>
      <c r="B937" s="1683" t="str">
        <f t="shared" si="14"/>
        <v>178-906</v>
      </c>
      <c r="C937" s="629" t="s">
        <v>301</v>
      </c>
      <c r="D937" s="731">
        <v>959</v>
      </c>
      <c r="E937" s="731">
        <v>1428</v>
      </c>
      <c r="F937" s="731">
        <v>469</v>
      </c>
      <c r="G937" s="731">
        <v>219</v>
      </c>
      <c r="H937" s="731">
        <v>2317</v>
      </c>
      <c r="I937" s="2760">
        <v>1.3251206734838606E-2</v>
      </c>
      <c r="J937" s="727">
        <v>3</v>
      </c>
      <c r="K937" s="731">
        <v>242827.2</v>
      </c>
      <c r="L937" s="731">
        <v>200787.1978074791</v>
      </c>
    </row>
    <row r="938" spans="1:12" ht="14.5">
      <c r="A938" s="629" t="s">
        <v>5313</v>
      </c>
      <c r="B938" s="1683" t="str">
        <f t="shared" si="14"/>
        <v>249-905</v>
      </c>
      <c r="C938" s="629" t="s">
        <v>1527</v>
      </c>
      <c r="D938" s="731">
        <v>3135</v>
      </c>
      <c r="E938" s="731">
        <v>3616</v>
      </c>
      <c r="F938" s="731">
        <v>481</v>
      </c>
      <c r="G938" s="731">
        <v>231</v>
      </c>
      <c r="H938" s="731">
        <v>2548</v>
      </c>
      <c r="I938" s="2760">
        <v>1.4572324022601972E-2</v>
      </c>
      <c r="J938" s="727">
        <v>3</v>
      </c>
      <c r="K938" s="731">
        <v>256132.8</v>
      </c>
      <c r="L938" s="731">
        <v>211789.23604350531</v>
      </c>
    </row>
    <row r="939" spans="1:12" ht="14.5">
      <c r="A939" s="629" t="s">
        <v>2873</v>
      </c>
      <c r="B939" s="1683" t="str">
        <f t="shared" si="14"/>
        <v>014-908</v>
      </c>
      <c r="C939" s="629" t="s">
        <v>1912</v>
      </c>
      <c r="D939" s="731">
        <v>1756</v>
      </c>
      <c r="E939" s="731">
        <v>2242</v>
      </c>
      <c r="F939" s="731">
        <v>486</v>
      </c>
      <c r="G939" s="731">
        <v>236</v>
      </c>
      <c r="H939" s="731">
        <v>2784</v>
      </c>
      <c r="I939" s="2760">
        <v>1.5922036922654589E-2</v>
      </c>
      <c r="J939" s="727">
        <v>3</v>
      </c>
      <c r="K939" s="731">
        <v>261676.79999999999</v>
      </c>
      <c r="L939" s="731">
        <v>216373.4186418496</v>
      </c>
    </row>
    <row r="940" spans="1:12" ht="14.5">
      <c r="A940" s="629" t="s">
        <v>3022</v>
      </c>
      <c r="B940" s="1683" t="str">
        <f t="shared" si="14"/>
        <v>101-906</v>
      </c>
      <c r="C940" s="629" t="s">
        <v>396</v>
      </c>
      <c r="D940" s="731">
        <v>5992</v>
      </c>
      <c r="E940" s="731">
        <v>6480</v>
      </c>
      <c r="F940" s="731">
        <v>488</v>
      </c>
      <c r="G940" s="731">
        <v>238</v>
      </c>
      <c r="H940" s="731">
        <v>3022</v>
      </c>
      <c r="I940" s="2760">
        <v>1.7283188067622905E-2</v>
      </c>
      <c r="J940" s="727">
        <v>3</v>
      </c>
      <c r="K940" s="731">
        <v>263894.39999999997</v>
      </c>
      <c r="L940" s="731">
        <v>218207.09168118727</v>
      </c>
    </row>
    <row r="941" spans="1:12" ht="14.5">
      <c r="A941" s="629" t="s">
        <v>3148</v>
      </c>
      <c r="B941" s="1683" t="str">
        <f t="shared" si="14"/>
        <v>170-907</v>
      </c>
      <c r="C941" s="629" t="s">
        <v>1828</v>
      </c>
      <c r="D941" s="731">
        <v>3886</v>
      </c>
      <c r="E941" s="731">
        <v>4384</v>
      </c>
      <c r="F941" s="731">
        <v>498</v>
      </c>
      <c r="G941" s="731">
        <v>248</v>
      </c>
      <c r="H941" s="731">
        <v>3270</v>
      </c>
      <c r="I941" s="2760">
        <v>1.8701530437169721E-2</v>
      </c>
      <c r="J941" s="727">
        <v>3</v>
      </c>
      <c r="K941" s="731">
        <v>274982.40000000002</v>
      </c>
      <c r="L941" s="731">
        <v>227375.45687787587</v>
      </c>
    </row>
    <row r="942" spans="1:12" ht="14.5">
      <c r="A942" s="629" t="s">
        <v>3174</v>
      </c>
      <c r="B942" s="1683" t="str">
        <f t="shared" si="14"/>
        <v>184-908</v>
      </c>
      <c r="C942" s="629" t="s">
        <v>2449</v>
      </c>
      <c r="D942" s="731">
        <v>1119</v>
      </c>
      <c r="E942" s="731">
        <v>1625</v>
      </c>
      <c r="F942" s="731">
        <v>506</v>
      </c>
      <c r="G942" s="731">
        <v>256</v>
      </c>
      <c r="H942" s="731">
        <v>3526</v>
      </c>
      <c r="I942" s="2760">
        <v>2.016562578637934E-2</v>
      </c>
      <c r="J942" s="727">
        <v>3</v>
      </c>
      <c r="K942" s="731">
        <v>283852.79999999999</v>
      </c>
      <c r="L942" s="731">
        <v>234710.14903522667</v>
      </c>
    </row>
    <row r="943" spans="1:12" ht="14.5">
      <c r="A943" s="629" t="s">
        <v>2930</v>
      </c>
      <c r="B943" s="1683" t="str">
        <f t="shared" si="14"/>
        <v>043-901</v>
      </c>
      <c r="C943" s="629" t="s">
        <v>1850</v>
      </c>
      <c r="D943" s="731">
        <v>20939</v>
      </c>
      <c r="E943" s="731">
        <v>21463</v>
      </c>
      <c r="F943" s="731">
        <v>524</v>
      </c>
      <c r="G943" s="731">
        <v>274</v>
      </c>
      <c r="H943" s="731">
        <v>3800</v>
      </c>
      <c r="I943" s="2760">
        <v>2.1732665339830256E-2</v>
      </c>
      <c r="J943" s="727">
        <v>3</v>
      </c>
      <c r="K943" s="731">
        <v>303811.20000000001</v>
      </c>
      <c r="L943" s="731">
        <v>251213.20638926607</v>
      </c>
    </row>
    <row r="944" spans="1:12" ht="14.5">
      <c r="A944" s="629" t="s">
        <v>3064</v>
      </c>
      <c r="B944" s="1683" t="str">
        <f t="shared" si="14"/>
        <v>116-901</v>
      </c>
      <c r="C944" s="629" t="s">
        <v>610</v>
      </c>
      <c r="D944" s="731">
        <v>1698</v>
      </c>
      <c r="E944" s="731">
        <v>2232</v>
      </c>
      <c r="F944" s="731">
        <v>534</v>
      </c>
      <c r="G944" s="731">
        <v>284</v>
      </c>
      <c r="H944" s="731">
        <v>4084</v>
      </c>
      <c r="I944" s="2760">
        <v>2.3356896117859675E-2</v>
      </c>
      <c r="J944" s="727">
        <v>3</v>
      </c>
      <c r="K944" s="731">
        <v>314899.20000000001</v>
      </c>
      <c r="L944" s="731">
        <v>260381.5715859546</v>
      </c>
    </row>
    <row r="945" spans="1:12" ht="14.5">
      <c r="A945" s="629" t="s">
        <v>5172</v>
      </c>
      <c r="B945" s="1683" t="str">
        <f t="shared" si="14"/>
        <v>161-903</v>
      </c>
      <c r="C945" s="629" t="s">
        <v>1815</v>
      </c>
      <c r="D945" s="731">
        <v>7898</v>
      </c>
      <c r="E945" s="731">
        <v>8434</v>
      </c>
      <c r="F945" s="731">
        <v>536</v>
      </c>
      <c r="G945" s="731">
        <v>286</v>
      </c>
      <c r="H945" s="731">
        <v>4370</v>
      </c>
      <c r="I945" s="2760">
        <v>2.4992565140804796E-2</v>
      </c>
      <c r="J945" s="727">
        <v>3</v>
      </c>
      <c r="K945" s="731">
        <v>317116.79999999999</v>
      </c>
      <c r="L945" s="731">
        <v>262215.24462529231</v>
      </c>
    </row>
    <row r="946" spans="1:12" ht="14.5">
      <c r="A946" s="629" t="s">
        <v>3214</v>
      </c>
      <c r="B946" s="1683" t="str">
        <f t="shared" si="14"/>
        <v>220-915</v>
      </c>
      <c r="C946" s="629" t="s">
        <v>2000</v>
      </c>
      <c r="D946" s="731">
        <v>6345</v>
      </c>
      <c r="E946" s="731">
        <v>6889</v>
      </c>
      <c r="F946" s="731">
        <v>544</v>
      </c>
      <c r="G946" s="731">
        <v>294</v>
      </c>
      <c r="H946" s="731">
        <v>4664</v>
      </c>
      <c r="I946" s="2760">
        <v>2.6673987143412715E-2</v>
      </c>
      <c r="J946" s="727">
        <v>3</v>
      </c>
      <c r="K946" s="731">
        <v>325987.19999999995</v>
      </c>
      <c r="L946" s="731">
        <v>269549.93678264308</v>
      </c>
    </row>
    <row r="947" spans="1:12" ht="14.5">
      <c r="A947" s="629" t="s">
        <v>2977</v>
      </c>
      <c r="B947" s="1683" t="str">
        <f t="shared" si="14"/>
        <v>070-911</v>
      </c>
      <c r="C947" s="629" t="s">
        <v>77</v>
      </c>
      <c r="D947" s="731">
        <v>5749</v>
      </c>
      <c r="E947" s="731">
        <v>6296</v>
      </c>
      <c r="F947" s="731">
        <v>547</v>
      </c>
      <c r="G947" s="731">
        <v>297</v>
      </c>
      <c r="H947" s="731">
        <v>4961</v>
      </c>
      <c r="I947" s="2760">
        <v>2.8372566513394183E-2</v>
      </c>
      <c r="J947" s="727">
        <v>3</v>
      </c>
      <c r="K947" s="731">
        <v>329313.59999999998</v>
      </c>
      <c r="L947" s="731">
        <v>272300.44634164969</v>
      </c>
    </row>
    <row r="948" spans="1:12" ht="14.5">
      <c r="A948" s="629" t="s">
        <v>5175</v>
      </c>
      <c r="B948" s="1683" t="str">
        <f t="shared" si="14"/>
        <v>165-902</v>
      </c>
      <c r="C948" s="629" t="s">
        <v>1660</v>
      </c>
      <c r="D948" s="731">
        <v>2519</v>
      </c>
      <c r="E948" s="731">
        <v>3089</v>
      </c>
      <c r="F948" s="731">
        <v>570</v>
      </c>
      <c r="G948" s="731">
        <v>320</v>
      </c>
      <c r="H948" s="731">
        <v>5281</v>
      </c>
      <c r="I948" s="2760">
        <v>3.0202685699906206E-2</v>
      </c>
      <c r="J948" s="727">
        <v>3</v>
      </c>
      <c r="K948" s="731">
        <v>354815.99999999994</v>
      </c>
      <c r="L948" s="731">
        <v>293387.68629403331</v>
      </c>
    </row>
    <row r="949" spans="1:12" ht="14.5">
      <c r="A949" s="629" t="s">
        <v>3084</v>
      </c>
      <c r="B949" s="1683" t="str">
        <f t="shared" si="14"/>
        <v>126-905</v>
      </c>
      <c r="C949" s="629" t="s">
        <v>385</v>
      </c>
      <c r="D949" s="731">
        <v>5307</v>
      </c>
      <c r="E949" s="731">
        <v>5880</v>
      </c>
      <c r="F949" s="731">
        <v>573</v>
      </c>
      <c r="G949" s="731">
        <v>323</v>
      </c>
      <c r="H949" s="731">
        <v>5604</v>
      </c>
      <c r="I949" s="2760">
        <v>3.2049962253791781E-2</v>
      </c>
      <c r="J949" s="727">
        <v>3</v>
      </c>
      <c r="K949" s="731">
        <v>358142.4</v>
      </c>
      <c r="L949" s="731">
        <v>296138.19585303991</v>
      </c>
    </row>
    <row r="950" spans="1:12" ht="14.5">
      <c r="A950" s="629" t="s">
        <v>5126</v>
      </c>
      <c r="B950" s="1683" t="str">
        <f t="shared" si="14"/>
        <v>129-906</v>
      </c>
      <c r="C950" s="629" t="s">
        <v>1925</v>
      </c>
      <c r="D950" s="731">
        <v>4400</v>
      </c>
      <c r="E950" s="731">
        <v>4973</v>
      </c>
      <c r="F950" s="731">
        <v>573</v>
      </c>
      <c r="G950" s="731">
        <v>323</v>
      </c>
      <c r="H950" s="731">
        <v>5927</v>
      </c>
      <c r="I950" s="2760">
        <v>3.3897238807677352E-2</v>
      </c>
      <c r="J950" s="727">
        <v>3</v>
      </c>
      <c r="K950" s="731">
        <v>358142.4</v>
      </c>
      <c r="L950" s="731">
        <v>296138.19585303991</v>
      </c>
    </row>
    <row r="951" spans="1:12" ht="14.5">
      <c r="A951" s="629" t="s">
        <v>3175</v>
      </c>
      <c r="B951" s="1683" t="str">
        <f t="shared" si="14"/>
        <v>184-909</v>
      </c>
      <c r="C951" s="629" t="s">
        <v>1752</v>
      </c>
      <c r="D951" s="731">
        <v>1337</v>
      </c>
      <c r="E951" s="731">
        <v>2005</v>
      </c>
      <c r="F951" s="731">
        <v>668</v>
      </c>
      <c r="G951" s="731">
        <v>418</v>
      </c>
      <c r="H951" s="731">
        <v>6345</v>
      </c>
      <c r="I951" s="2760">
        <v>3.6287831995058681E-2</v>
      </c>
      <c r="J951" s="727">
        <v>3</v>
      </c>
      <c r="K951" s="731">
        <v>463478.39999999997</v>
      </c>
      <c r="L951" s="731">
        <v>383237.66522158106</v>
      </c>
    </row>
    <row r="952" spans="1:12" ht="14.5">
      <c r="A952" s="629" t="s">
        <v>2863</v>
      </c>
      <c r="B952" s="1683" t="str">
        <f t="shared" si="14"/>
        <v>011-902</v>
      </c>
      <c r="C952" s="629" t="s">
        <v>843</v>
      </c>
      <c r="D952" s="731">
        <v>4317</v>
      </c>
      <c r="E952" s="731">
        <v>4996</v>
      </c>
      <c r="F952" s="731">
        <v>679</v>
      </c>
      <c r="G952" s="731">
        <v>429</v>
      </c>
      <c r="H952" s="731">
        <v>6774</v>
      </c>
      <c r="I952" s="2760">
        <v>3.874133552947636E-2</v>
      </c>
      <c r="J952" s="727">
        <v>3</v>
      </c>
      <c r="K952" s="731">
        <v>475675.2</v>
      </c>
      <c r="L952" s="731">
        <v>393322.8669379385</v>
      </c>
    </row>
    <row r="953" spans="1:12" ht="14.5">
      <c r="A953" s="629" t="s">
        <v>5095</v>
      </c>
      <c r="B953" s="1683" t="str">
        <f t="shared" si="14"/>
        <v>111-901</v>
      </c>
      <c r="C953" s="629" t="s">
        <v>205</v>
      </c>
      <c r="D953" s="731">
        <v>7048</v>
      </c>
      <c r="E953" s="731">
        <v>7732</v>
      </c>
      <c r="F953" s="731">
        <v>684</v>
      </c>
      <c r="G953" s="731">
        <v>434</v>
      </c>
      <c r="H953" s="731">
        <v>7208</v>
      </c>
      <c r="I953" s="2760">
        <v>4.1223434676183286E-2</v>
      </c>
      <c r="J953" s="727">
        <v>3</v>
      </c>
      <c r="K953" s="731">
        <v>481219.19999999995</v>
      </c>
      <c r="L953" s="731">
        <v>397907.04953628272</v>
      </c>
    </row>
    <row r="954" spans="1:12" ht="14.5">
      <c r="A954" s="629" t="s">
        <v>3088</v>
      </c>
      <c r="B954" s="1683" t="str">
        <f t="shared" si="14"/>
        <v>126-911</v>
      </c>
      <c r="C954" s="629" t="s">
        <v>2197</v>
      </c>
      <c r="D954" s="731">
        <v>1894</v>
      </c>
      <c r="E954" s="731">
        <v>2604</v>
      </c>
      <c r="F954" s="731">
        <v>710</v>
      </c>
      <c r="G954" s="731">
        <v>460</v>
      </c>
      <c r="H954" s="731">
        <v>7668</v>
      </c>
      <c r="I954" s="2760">
        <v>4.3854231006794316E-2</v>
      </c>
      <c r="J954" s="727">
        <v>3</v>
      </c>
      <c r="K954" s="731">
        <v>510048</v>
      </c>
      <c r="L954" s="731">
        <v>421744.79904767295</v>
      </c>
    </row>
    <row r="955" spans="1:12" ht="14.5">
      <c r="A955" s="629" t="s">
        <v>2963</v>
      </c>
      <c r="B955" s="1683" t="str">
        <f t="shared" si="14"/>
        <v>061-907</v>
      </c>
      <c r="C955" s="629" t="s">
        <v>1997</v>
      </c>
      <c r="D955" s="731">
        <v>2401</v>
      </c>
      <c r="E955" s="731">
        <v>3112</v>
      </c>
      <c r="F955" s="731">
        <v>711</v>
      </c>
      <c r="G955" s="731">
        <v>461</v>
      </c>
      <c r="H955" s="731">
        <v>8129</v>
      </c>
      <c r="I955" s="2760">
        <v>4.6490746459863196E-2</v>
      </c>
      <c r="J955" s="727">
        <v>3</v>
      </c>
      <c r="K955" s="731">
        <v>511156.80000000005</v>
      </c>
      <c r="L955" s="731">
        <v>422661.63556734181</v>
      </c>
    </row>
    <row r="956" spans="1:12" ht="14.5">
      <c r="A956" s="629" t="s">
        <v>4994</v>
      </c>
      <c r="B956" s="1683" t="str">
        <f t="shared" si="14"/>
        <v>057-922</v>
      </c>
      <c r="C956" s="629" t="s">
        <v>2468</v>
      </c>
      <c r="D956" s="731">
        <v>12391</v>
      </c>
      <c r="E956" s="731">
        <v>13131</v>
      </c>
      <c r="F956" s="731">
        <v>740</v>
      </c>
      <c r="G956" s="731">
        <v>490</v>
      </c>
      <c r="H956" s="731">
        <v>8619</v>
      </c>
      <c r="I956" s="2760">
        <v>4.9293116464209731E-2</v>
      </c>
      <c r="J956" s="727">
        <v>3</v>
      </c>
      <c r="K956" s="731">
        <v>543312</v>
      </c>
      <c r="L956" s="731">
        <v>449249.89463773859</v>
      </c>
    </row>
    <row r="957" spans="1:12" ht="14.5">
      <c r="A957" s="629" t="s">
        <v>3147</v>
      </c>
      <c r="B957" s="1683" t="str">
        <f t="shared" si="14"/>
        <v>170-906</v>
      </c>
      <c r="C957" s="629" t="s">
        <v>273</v>
      </c>
      <c r="D957" s="731">
        <v>12816</v>
      </c>
      <c r="E957" s="731">
        <v>13658</v>
      </c>
      <c r="F957" s="731">
        <v>842</v>
      </c>
      <c r="G957" s="731">
        <v>592</v>
      </c>
      <c r="H957" s="731">
        <v>9211</v>
      </c>
      <c r="I957" s="2760">
        <v>5.2678836959256972E-2</v>
      </c>
      <c r="J957" s="727">
        <v>3</v>
      </c>
      <c r="K957" s="731">
        <v>656409.59999999998</v>
      </c>
      <c r="L957" s="731">
        <v>542767.21964396164</v>
      </c>
    </row>
    <row r="958" spans="1:12" ht="14.5">
      <c r="A958" s="629" t="s">
        <v>5231</v>
      </c>
      <c r="B958" s="1683" t="str">
        <f t="shared" si="14"/>
        <v>191-901</v>
      </c>
      <c r="C958" s="629" t="s">
        <v>2207</v>
      </c>
      <c r="D958" s="731">
        <v>9862</v>
      </c>
      <c r="E958" s="731">
        <v>10711</v>
      </c>
      <c r="F958" s="731">
        <v>849</v>
      </c>
      <c r="G958" s="731">
        <v>599</v>
      </c>
      <c r="H958" s="731">
        <v>9810</v>
      </c>
      <c r="I958" s="2760">
        <v>5.6104591311509161E-2</v>
      </c>
      <c r="J958" s="727">
        <v>3</v>
      </c>
      <c r="K958" s="731">
        <v>664171.19999999995</v>
      </c>
      <c r="L958" s="731">
        <v>549185.07528164366</v>
      </c>
    </row>
    <row r="959" spans="1:12" ht="14.5">
      <c r="A959" s="629" t="s">
        <v>3083</v>
      </c>
      <c r="B959" s="1683" t="str">
        <f t="shared" si="14"/>
        <v>126-902</v>
      </c>
      <c r="C959" s="629" t="s">
        <v>1364</v>
      </c>
      <c r="D959" s="731">
        <v>11896</v>
      </c>
      <c r="E959" s="731">
        <v>12746</v>
      </c>
      <c r="F959" s="731">
        <v>850</v>
      </c>
      <c r="G959" s="731">
        <v>600</v>
      </c>
      <c r="H959" s="731">
        <v>10410</v>
      </c>
      <c r="I959" s="2760">
        <v>5.9536064786219201E-2</v>
      </c>
      <c r="J959" s="727">
        <v>3</v>
      </c>
      <c r="K959" s="731">
        <v>665280</v>
      </c>
      <c r="L959" s="731">
        <v>550101.91180131258</v>
      </c>
    </row>
    <row r="960" spans="1:12" ht="14.5">
      <c r="A960" s="629" t="s">
        <v>5272</v>
      </c>
      <c r="B960" s="1683" t="str">
        <f t="shared" si="14"/>
        <v>221-912</v>
      </c>
      <c r="C960" s="629" t="s">
        <v>1065</v>
      </c>
      <c r="D960" s="731">
        <v>4253</v>
      </c>
      <c r="E960" s="731">
        <v>5108</v>
      </c>
      <c r="F960" s="731">
        <v>855</v>
      </c>
      <c r="G960" s="731">
        <v>605</v>
      </c>
      <c r="H960" s="731">
        <v>11015</v>
      </c>
      <c r="I960" s="2760">
        <v>6.2996133873218493E-2</v>
      </c>
      <c r="J960" s="727">
        <v>3</v>
      </c>
      <c r="K960" s="731">
        <v>670824</v>
      </c>
      <c r="L960" s="731">
        <v>554686.09439965675</v>
      </c>
    </row>
    <row r="961" spans="1:12" ht="14.5">
      <c r="A961" s="629" t="s">
        <v>3225</v>
      </c>
      <c r="B961" s="1683" t="str">
        <f t="shared" si="14"/>
        <v>227-904</v>
      </c>
      <c r="C961" s="629" t="s">
        <v>944</v>
      </c>
      <c r="D961" s="731">
        <v>24591</v>
      </c>
      <c r="E961" s="731">
        <v>25486</v>
      </c>
      <c r="F961" s="731">
        <v>895</v>
      </c>
      <c r="G961" s="731">
        <v>645</v>
      </c>
      <c r="H961" s="731">
        <v>11660</v>
      </c>
      <c r="I961" s="2760">
        <v>6.6684967858531785E-2</v>
      </c>
      <c r="J961" s="727">
        <v>3</v>
      </c>
      <c r="K961" s="731">
        <v>715176</v>
      </c>
      <c r="L961" s="731">
        <v>591359.55518641102</v>
      </c>
    </row>
    <row r="962" spans="1:12" ht="14.5">
      <c r="A962" s="629" t="s">
        <v>2967</v>
      </c>
      <c r="B962" s="1683" t="str">
        <f t="shared" si="14"/>
        <v>061-914</v>
      </c>
      <c r="C962" s="629" t="s">
        <v>1476</v>
      </c>
      <c r="D962" s="731">
        <v>7375</v>
      </c>
      <c r="E962" s="731">
        <v>8287</v>
      </c>
      <c r="F962" s="731">
        <v>912</v>
      </c>
      <c r="G962" s="731">
        <v>662</v>
      </c>
      <c r="H962" s="731">
        <v>12322</v>
      </c>
      <c r="I962" s="2760">
        <v>7.0471026925628538E-2</v>
      </c>
      <c r="J962" s="727">
        <v>3</v>
      </c>
      <c r="K962" s="731">
        <v>734025.6</v>
      </c>
      <c r="L962" s="731">
        <v>606945.77602078149</v>
      </c>
    </row>
    <row r="963" spans="1:12" ht="14.5">
      <c r="A963" s="629" t="s">
        <v>5029</v>
      </c>
      <c r="B963" s="1683" t="str">
        <f t="shared" ref="B963:B1021" si="15">CONCATENATE(LEFT(RIGHT(CONCATENATE("000",A963),6),3),"-",(RIGHT(RIGHT(CONCATENATE("000",A963),6),3)))</f>
        <v>084-901</v>
      </c>
      <c r="C963" s="629" t="s">
        <v>345</v>
      </c>
      <c r="D963" s="731">
        <v>11018</v>
      </c>
      <c r="E963" s="731">
        <v>11933</v>
      </c>
      <c r="F963" s="731">
        <v>915</v>
      </c>
      <c r="G963" s="731">
        <v>665</v>
      </c>
      <c r="H963" s="731">
        <v>12987</v>
      </c>
      <c r="I963" s="2760">
        <v>7.4274243360098829E-2</v>
      </c>
      <c r="J963" s="727">
        <v>3</v>
      </c>
      <c r="K963" s="731">
        <v>737351.99999999988</v>
      </c>
      <c r="L963" s="731">
        <v>609696.28557978792</v>
      </c>
    </row>
    <row r="964" spans="1:12" ht="14.5">
      <c r="A964" s="629" t="s">
        <v>2932</v>
      </c>
      <c r="B964" s="1683" t="str">
        <f t="shared" si="15"/>
        <v>043-903</v>
      </c>
      <c r="C964" s="629" t="s">
        <v>617</v>
      </c>
      <c r="D964" s="731">
        <v>2429</v>
      </c>
      <c r="E964" s="731">
        <v>3359</v>
      </c>
      <c r="F964" s="731">
        <v>930</v>
      </c>
      <c r="G964" s="731">
        <v>680</v>
      </c>
      <c r="H964" s="731">
        <v>13667</v>
      </c>
      <c r="I964" s="2760">
        <v>7.8163246631436867E-2</v>
      </c>
      <c r="J964" s="727">
        <v>3</v>
      </c>
      <c r="K964" s="731">
        <v>753984</v>
      </c>
      <c r="L964" s="731">
        <v>623448.83337482088</v>
      </c>
    </row>
    <row r="965" spans="1:12" ht="14.5">
      <c r="A965" s="629" t="s">
        <v>2901</v>
      </c>
      <c r="B965" s="1683" t="str">
        <f t="shared" si="15"/>
        <v>021-901</v>
      </c>
      <c r="C965" s="629" t="s">
        <v>1099</v>
      </c>
      <c r="D965" s="731">
        <v>13188</v>
      </c>
      <c r="E965" s="731">
        <v>14187</v>
      </c>
      <c r="F965" s="731">
        <v>999</v>
      </c>
      <c r="G965" s="731">
        <v>749</v>
      </c>
      <c r="H965" s="731">
        <v>14416</v>
      </c>
      <c r="I965" s="2760">
        <v>8.2446869352366572E-2</v>
      </c>
      <c r="J965" s="727">
        <v>3</v>
      </c>
      <c r="K965" s="731">
        <v>830491.2</v>
      </c>
      <c r="L965" s="731">
        <v>686710.5532319718</v>
      </c>
    </row>
    <row r="966" spans="1:12" ht="14.5">
      <c r="A966" s="629" t="s">
        <v>5184</v>
      </c>
      <c r="B966" s="1683" t="str">
        <f t="shared" si="15"/>
        <v>170-903</v>
      </c>
      <c r="C966" s="629" t="s">
        <v>2126</v>
      </c>
      <c r="D966" s="731">
        <v>8296</v>
      </c>
      <c r="E966" s="731">
        <v>9343</v>
      </c>
      <c r="F966" s="731">
        <v>1047</v>
      </c>
      <c r="G966" s="731">
        <v>797</v>
      </c>
      <c r="H966" s="731">
        <v>15213</v>
      </c>
      <c r="I966" s="2760">
        <v>8.7005009951273082E-2</v>
      </c>
      <c r="J966" s="727">
        <v>3</v>
      </c>
      <c r="K966" s="731">
        <v>883713.60000000009</v>
      </c>
      <c r="L966" s="731">
        <v>730718.7061760769</v>
      </c>
    </row>
    <row r="967" spans="1:12" ht="14.5">
      <c r="A967" s="629" t="s">
        <v>3212</v>
      </c>
      <c r="B967" s="1683" t="str">
        <f t="shared" si="15"/>
        <v>220-912</v>
      </c>
      <c r="C967" s="629" t="s">
        <v>397</v>
      </c>
      <c r="D967" s="731">
        <v>15215</v>
      </c>
      <c r="E967" s="731">
        <v>16278</v>
      </c>
      <c r="F967" s="731">
        <v>1063</v>
      </c>
      <c r="G967" s="731">
        <v>813</v>
      </c>
      <c r="H967" s="731">
        <v>16026</v>
      </c>
      <c r="I967" s="2760">
        <v>9.1654656509505175E-2</v>
      </c>
      <c r="J967" s="727">
        <v>3</v>
      </c>
      <c r="K967" s="731">
        <v>901454.4</v>
      </c>
      <c r="L967" s="731">
        <v>745388.09049077844</v>
      </c>
    </row>
    <row r="968" spans="1:12" ht="14.5">
      <c r="A968" s="629" t="s">
        <v>2943</v>
      </c>
      <c r="B968" s="1683" t="str">
        <f t="shared" si="15"/>
        <v>046-901</v>
      </c>
      <c r="C968" s="629" t="s">
        <v>2083</v>
      </c>
      <c r="D968" s="731">
        <v>8610</v>
      </c>
      <c r="E968" s="731">
        <v>9676</v>
      </c>
      <c r="F968" s="731">
        <v>1066</v>
      </c>
      <c r="G968" s="731">
        <v>816</v>
      </c>
      <c r="H968" s="731">
        <v>16842</v>
      </c>
      <c r="I968" s="2760">
        <v>9.6321460435110834E-2</v>
      </c>
      <c r="J968" s="727">
        <v>3</v>
      </c>
      <c r="K968" s="731">
        <v>904780.79999999993</v>
      </c>
      <c r="L968" s="731">
        <v>748138.60004978499</v>
      </c>
    </row>
    <row r="969" spans="1:12" ht="14.5">
      <c r="A969" s="629" t="s">
        <v>3146</v>
      </c>
      <c r="B969" s="1683" t="str">
        <f t="shared" si="15"/>
        <v>170-904</v>
      </c>
      <c r="C969" s="629" t="s">
        <v>1060</v>
      </c>
      <c r="D969" s="731">
        <v>7311</v>
      </c>
      <c r="E969" s="731">
        <v>8432</v>
      </c>
      <c r="F969" s="731">
        <v>1121</v>
      </c>
      <c r="G969" s="731">
        <v>871</v>
      </c>
      <c r="H969" s="731">
        <v>17713</v>
      </c>
      <c r="I969" s="2760">
        <v>0.10130281609589825</v>
      </c>
      <c r="J969" s="727">
        <v>3</v>
      </c>
      <c r="K969" s="731">
        <v>965764.8</v>
      </c>
      <c r="L969" s="731">
        <v>798564.6086315721</v>
      </c>
    </row>
    <row r="970" spans="1:12" ht="14.5">
      <c r="A970" s="629" t="s">
        <v>3260</v>
      </c>
      <c r="B970" s="1683" t="str">
        <f t="shared" si="15"/>
        <v>246-904</v>
      </c>
      <c r="C970" s="629" t="s">
        <v>2196</v>
      </c>
      <c r="D970" s="731">
        <v>11425</v>
      </c>
      <c r="E970" s="731">
        <v>12618</v>
      </c>
      <c r="F970" s="731">
        <v>1193</v>
      </c>
      <c r="G970" s="731">
        <v>943</v>
      </c>
      <c r="H970" s="731">
        <v>18656</v>
      </c>
      <c r="I970" s="2760">
        <v>0.10669594857365086</v>
      </c>
      <c r="J970" s="727">
        <v>3</v>
      </c>
      <c r="K970" s="731">
        <v>1045598.3999999999</v>
      </c>
      <c r="L970" s="731">
        <v>864576.83804772946</v>
      </c>
    </row>
    <row r="971" spans="1:12" ht="14.5">
      <c r="A971" s="629" t="s">
        <v>2931</v>
      </c>
      <c r="B971" s="1683" t="str">
        <f t="shared" si="15"/>
        <v>043-902</v>
      </c>
      <c r="C971" s="629" t="s">
        <v>1000</v>
      </c>
      <c r="D971" s="731">
        <v>3239</v>
      </c>
      <c r="E971" s="731">
        <v>4447</v>
      </c>
      <c r="F971" s="731">
        <v>1208</v>
      </c>
      <c r="G971" s="731">
        <v>958</v>
      </c>
      <c r="H971" s="731">
        <v>19614</v>
      </c>
      <c r="I971" s="2760">
        <v>0.11217486788827122</v>
      </c>
      <c r="J971" s="727">
        <v>3</v>
      </c>
      <c r="K971" s="731">
        <v>1062230.3999999999</v>
      </c>
      <c r="L971" s="731">
        <v>878329.38584276231</v>
      </c>
    </row>
    <row r="972" spans="1:12" ht="14.5">
      <c r="A972" s="629" t="s">
        <v>3210</v>
      </c>
      <c r="B972" s="1683" t="str">
        <f t="shared" si="15"/>
        <v>220-908</v>
      </c>
      <c r="C972" s="629" t="s">
        <v>275</v>
      </c>
      <c r="D972" s="731">
        <v>34309</v>
      </c>
      <c r="E972" s="731">
        <v>35559</v>
      </c>
      <c r="F972" s="731">
        <v>1250</v>
      </c>
      <c r="G972" s="731">
        <v>1000</v>
      </c>
      <c r="H972" s="731">
        <v>20614</v>
      </c>
      <c r="I972" s="2760">
        <v>0.11789399034612129</v>
      </c>
      <c r="J972" s="727">
        <v>3</v>
      </c>
      <c r="K972" s="731">
        <v>1108800</v>
      </c>
      <c r="L972" s="731">
        <v>916836.51966885419</v>
      </c>
    </row>
    <row r="973" spans="1:12" ht="14.5">
      <c r="A973" s="629" t="s">
        <v>2941</v>
      </c>
      <c r="B973" s="1683" t="str">
        <f t="shared" si="15"/>
        <v>043-918</v>
      </c>
      <c r="C973" s="629" t="s">
        <v>1461</v>
      </c>
      <c r="D973" s="731">
        <v>2087</v>
      </c>
      <c r="E973" s="731">
        <v>3349</v>
      </c>
      <c r="F973" s="731">
        <v>1262</v>
      </c>
      <c r="G973" s="731">
        <v>1012</v>
      </c>
      <c r="H973" s="731">
        <v>21626</v>
      </c>
      <c r="I973" s="2760">
        <v>0.12368174227346555</v>
      </c>
      <c r="J973" s="727">
        <v>3</v>
      </c>
      <c r="K973" s="731">
        <v>1122105.6000000001</v>
      </c>
      <c r="L973" s="731">
        <v>927838.55790488049</v>
      </c>
    </row>
    <row r="974" spans="1:12" ht="14.5">
      <c r="A974" s="629" t="s">
        <v>2986</v>
      </c>
      <c r="B974" s="1683" t="str">
        <f t="shared" si="15"/>
        <v>071-909</v>
      </c>
      <c r="C974" s="629" t="s">
        <v>1823</v>
      </c>
      <c r="D974" s="731">
        <v>45927</v>
      </c>
      <c r="E974" s="731">
        <v>47278</v>
      </c>
      <c r="F974" s="731">
        <v>1351</v>
      </c>
      <c r="G974" s="731">
        <v>1101</v>
      </c>
      <c r="H974" s="731">
        <v>22727</v>
      </c>
      <c r="I974" s="2760">
        <v>0.12997849609955847</v>
      </c>
      <c r="J974" s="727">
        <v>3</v>
      </c>
      <c r="K974" s="731">
        <v>1220788.8</v>
      </c>
      <c r="L974" s="731">
        <v>1009437.0081554085</v>
      </c>
    </row>
    <row r="975" spans="1:12" ht="14.5">
      <c r="A975" s="629" t="s">
        <v>5307</v>
      </c>
      <c r="B975" s="1683" t="str">
        <f t="shared" si="15"/>
        <v>246-907</v>
      </c>
      <c r="C975" s="629" t="s">
        <v>1520</v>
      </c>
      <c r="D975" s="731">
        <v>1491</v>
      </c>
      <c r="E975" s="731">
        <v>2885</v>
      </c>
      <c r="F975" s="731">
        <v>1394</v>
      </c>
      <c r="G975" s="731">
        <v>1144</v>
      </c>
      <c r="H975" s="731">
        <v>23871</v>
      </c>
      <c r="I975" s="2760">
        <v>0.13652117219133897</v>
      </c>
      <c r="J975" s="727">
        <v>3</v>
      </c>
      <c r="K975" s="731">
        <v>1268467.2</v>
      </c>
      <c r="L975" s="731">
        <v>1048860.9785011692</v>
      </c>
    </row>
    <row r="976" spans="1:12" ht="14.5">
      <c r="A976" s="629" t="s">
        <v>2862</v>
      </c>
      <c r="B976" s="1683" t="str">
        <f t="shared" si="15"/>
        <v>011-901</v>
      </c>
      <c r="C976" s="629" t="s">
        <v>2004</v>
      </c>
      <c r="D976" s="731">
        <v>10539</v>
      </c>
      <c r="E976" s="731">
        <v>11994</v>
      </c>
      <c r="F976" s="731">
        <v>1455</v>
      </c>
      <c r="G976" s="731">
        <v>1205</v>
      </c>
      <c r="H976" s="731">
        <v>25076</v>
      </c>
      <c r="I976" s="2760">
        <v>0.14341271475304829</v>
      </c>
      <c r="J976" s="727">
        <v>3</v>
      </c>
      <c r="K976" s="731">
        <v>1336104</v>
      </c>
      <c r="L976" s="731">
        <v>1104788.0062009692</v>
      </c>
    </row>
    <row r="977" spans="1:12" ht="14.5">
      <c r="A977" s="629" t="s">
        <v>3112</v>
      </c>
      <c r="B977" s="1683" t="str">
        <f t="shared" si="15"/>
        <v>152-907</v>
      </c>
      <c r="C977" s="629" t="s">
        <v>2179</v>
      </c>
      <c r="D977" s="731">
        <v>9422</v>
      </c>
      <c r="E977" s="731">
        <v>10877</v>
      </c>
      <c r="F977" s="731">
        <v>1455</v>
      </c>
      <c r="G977" s="731">
        <v>1205</v>
      </c>
      <c r="H977" s="731">
        <v>26281</v>
      </c>
      <c r="I977" s="2760">
        <v>0.15030425731475763</v>
      </c>
      <c r="J977" s="727">
        <v>3</v>
      </c>
      <c r="K977" s="731">
        <v>1336104</v>
      </c>
      <c r="L977" s="731">
        <v>1104788.0062009692</v>
      </c>
    </row>
    <row r="978" spans="1:12" ht="14.5">
      <c r="A978" s="629" t="s">
        <v>3026</v>
      </c>
      <c r="B978" s="1683" t="str">
        <f t="shared" si="15"/>
        <v>101-915</v>
      </c>
      <c r="C978" s="629" t="s">
        <v>2442</v>
      </c>
      <c r="D978" s="731">
        <v>51810</v>
      </c>
      <c r="E978" s="731">
        <v>53294</v>
      </c>
      <c r="F978" s="731">
        <v>1484</v>
      </c>
      <c r="G978" s="731">
        <v>1234</v>
      </c>
      <c r="H978" s="731">
        <v>27515</v>
      </c>
      <c r="I978" s="2760">
        <v>0.15736165442774461</v>
      </c>
      <c r="J978" s="727">
        <v>3</v>
      </c>
      <c r="K978" s="731">
        <v>1368259.2</v>
      </c>
      <c r="L978" s="731">
        <v>1131376.2652713661</v>
      </c>
    </row>
    <row r="979" spans="1:12" ht="14.5">
      <c r="A979" s="629" t="s">
        <v>2885</v>
      </c>
      <c r="B979" s="1683" t="str">
        <f t="shared" si="15"/>
        <v>015-916</v>
      </c>
      <c r="C979" s="629" t="s">
        <v>386</v>
      </c>
      <c r="D979" s="731">
        <v>23037</v>
      </c>
      <c r="E979" s="731">
        <v>24536</v>
      </c>
      <c r="F979" s="731">
        <v>1499</v>
      </c>
      <c r="G979" s="731">
        <v>1249</v>
      </c>
      <c r="H979" s="731">
        <v>28764</v>
      </c>
      <c r="I979" s="2760">
        <v>0.16450483837759936</v>
      </c>
      <c r="J979" s="727">
        <v>3</v>
      </c>
      <c r="K979" s="731">
        <v>1384891.2</v>
      </c>
      <c r="L979" s="731">
        <v>1145128.813066399</v>
      </c>
    </row>
    <row r="980" spans="1:12" ht="14.5">
      <c r="A980" s="629" t="s">
        <v>3247</v>
      </c>
      <c r="B980" s="1683" t="str">
        <f t="shared" si="15"/>
        <v>237-904</v>
      </c>
      <c r="C980" s="629" t="s">
        <v>129</v>
      </c>
      <c r="D980" s="731">
        <v>6874</v>
      </c>
      <c r="E980" s="731">
        <v>8386</v>
      </c>
      <c r="F980" s="731">
        <v>1512</v>
      </c>
      <c r="G980" s="731">
        <v>1262</v>
      </c>
      <c r="H980" s="731">
        <v>30026</v>
      </c>
      <c r="I980" s="2760">
        <v>0.17172237091940612</v>
      </c>
      <c r="J980" s="727">
        <v>3</v>
      </c>
      <c r="K980" s="731">
        <v>1399305.6</v>
      </c>
      <c r="L980" s="731">
        <v>1157047.6878220942</v>
      </c>
    </row>
    <row r="981" spans="1:12" ht="14.5">
      <c r="A981" s="629" t="s">
        <v>5283</v>
      </c>
      <c r="B981" s="1683" t="str">
        <f t="shared" si="15"/>
        <v>227-913</v>
      </c>
      <c r="C981" s="629" t="s">
        <v>1805</v>
      </c>
      <c r="D981" s="731">
        <v>9825</v>
      </c>
      <c r="E981" s="731">
        <v>11345</v>
      </c>
      <c r="F981" s="731">
        <v>1520</v>
      </c>
      <c r="G981" s="731">
        <v>1270</v>
      </c>
      <c r="H981" s="731">
        <v>31296</v>
      </c>
      <c r="I981" s="2760">
        <v>0.17898565644087572</v>
      </c>
      <c r="J981" s="727">
        <v>3</v>
      </c>
      <c r="K981" s="731">
        <v>1408176</v>
      </c>
      <c r="L981" s="731">
        <v>1164382.3799794449</v>
      </c>
    </row>
    <row r="982" spans="1:12" ht="14.5">
      <c r="A982" s="629" t="s">
        <v>4965</v>
      </c>
      <c r="B982" s="1683" t="str">
        <f t="shared" si="15"/>
        <v>036-902</v>
      </c>
      <c r="C982" s="629" t="s">
        <v>1615</v>
      </c>
      <c r="D982" s="731">
        <v>5266</v>
      </c>
      <c r="E982" s="731">
        <v>6818</v>
      </c>
      <c r="F982" s="731">
        <v>1552</v>
      </c>
      <c r="G982" s="731">
        <v>1302</v>
      </c>
      <c r="H982" s="731">
        <v>32598</v>
      </c>
      <c r="I982" s="2760">
        <v>0.18643195388099651</v>
      </c>
      <c r="J982" s="727">
        <v>3</v>
      </c>
      <c r="K982" s="731">
        <v>1443657.5999999999</v>
      </c>
      <c r="L982" s="731">
        <v>1193721.148608848</v>
      </c>
    </row>
    <row r="983" spans="1:12" ht="14.5">
      <c r="A983" s="629" t="s">
        <v>3111</v>
      </c>
      <c r="B983" s="1683" t="str">
        <f t="shared" si="15"/>
        <v>152-906</v>
      </c>
      <c r="C983" s="629" t="s">
        <v>550</v>
      </c>
      <c r="D983" s="731">
        <v>5969</v>
      </c>
      <c r="E983" s="731">
        <v>7592</v>
      </c>
      <c r="F983" s="731">
        <v>1623</v>
      </c>
      <c r="G983" s="731">
        <v>1373</v>
      </c>
      <c r="H983" s="731">
        <v>33971</v>
      </c>
      <c r="I983" s="2760">
        <v>0.19428430901562463</v>
      </c>
      <c r="J983" s="727">
        <v>3</v>
      </c>
      <c r="K983" s="731">
        <v>1522382.4</v>
      </c>
      <c r="L983" s="731">
        <v>1258816.5415053368</v>
      </c>
    </row>
    <row r="984" spans="1:12" ht="14.5">
      <c r="A984" s="629" t="s">
        <v>5074</v>
      </c>
      <c r="B984" s="1683" t="str">
        <f t="shared" si="15"/>
        <v>101-924</v>
      </c>
      <c r="C984" s="629" t="s">
        <v>2069</v>
      </c>
      <c r="D984" s="731">
        <v>8884</v>
      </c>
      <c r="E984" s="731">
        <v>10570</v>
      </c>
      <c r="F984" s="731">
        <v>1686</v>
      </c>
      <c r="G984" s="731">
        <v>1436</v>
      </c>
      <c r="H984" s="731">
        <v>35407</v>
      </c>
      <c r="I984" s="2760">
        <v>0.20249696886509733</v>
      </c>
      <c r="J984" s="727">
        <v>3</v>
      </c>
      <c r="K984" s="731">
        <v>1592236.8</v>
      </c>
      <c r="L984" s="731">
        <v>1316577.2422444746</v>
      </c>
    </row>
    <row r="985" spans="1:12" ht="14.5">
      <c r="A985" s="629" t="s">
        <v>2978</v>
      </c>
      <c r="B985" s="1683" t="str">
        <f t="shared" si="15"/>
        <v>070-912</v>
      </c>
      <c r="C985" s="629" t="s">
        <v>130</v>
      </c>
      <c r="D985" s="731">
        <v>8408</v>
      </c>
      <c r="E985" s="731">
        <v>10095</v>
      </c>
      <c r="F985" s="731">
        <v>1687</v>
      </c>
      <c r="G985" s="731">
        <v>1437</v>
      </c>
      <c r="H985" s="731">
        <v>36844</v>
      </c>
      <c r="I985" s="2760">
        <v>0.21071534783702789</v>
      </c>
      <c r="J985" s="727">
        <v>3</v>
      </c>
      <c r="K985" s="731">
        <v>1593345.5999999999</v>
      </c>
      <c r="L985" s="731">
        <v>1317494.0787641434</v>
      </c>
    </row>
    <row r="986" spans="1:12" ht="14.5">
      <c r="A986" s="629" t="s">
        <v>3093</v>
      </c>
      <c r="B986" s="1683" t="str">
        <f t="shared" si="15"/>
        <v>129-901</v>
      </c>
      <c r="C986" s="629" t="s">
        <v>394</v>
      </c>
      <c r="D986" s="731">
        <v>3753</v>
      </c>
      <c r="E986" s="731">
        <v>5451</v>
      </c>
      <c r="F986" s="731">
        <v>1698</v>
      </c>
      <c r="G986" s="731">
        <v>1448</v>
      </c>
      <c r="H986" s="731">
        <v>38292</v>
      </c>
      <c r="I986" s="2760">
        <v>0.21899663715599479</v>
      </c>
      <c r="J986" s="727">
        <v>3</v>
      </c>
      <c r="K986" s="731">
        <v>1605542.4</v>
      </c>
      <c r="L986" s="731">
        <v>1327579.2804805008</v>
      </c>
    </row>
    <row r="987" spans="1:12" ht="14.5">
      <c r="A987" s="629" t="s">
        <v>3139</v>
      </c>
      <c r="B987" s="1683" t="str">
        <f t="shared" si="15"/>
        <v>165-901</v>
      </c>
      <c r="C987" s="629" t="s">
        <v>2113</v>
      </c>
      <c r="D987" s="731">
        <v>24692</v>
      </c>
      <c r="E987" s="731">
        <v>26398</v>
      </c>
      <c r="F987" s="731">
        <v>1706</v>
      </c>
      <c r="G987" s="731">
        <v>1456</v>
      </c>
      <c r="H987" s="731">
        <v>39748</v>
      </c>
      <c r="I987" s="2760">
        <v>0.22732367945462448</v>
      </c>
      <c r="J987" s="727">
        <v>3</v>
      </c>
      <c r="K987" s="731">
        <v>1614412.7999999998</v>
      </c>
      <c r="L987" s="731">
        <v>1334913.9726378515</v>
      </c>
    </row>
    <row r="988" spans="1:12" ht="14.5">
      <c r="A988" s="629" t="s">
        <v>4998</v>
      </c>
      <c r="B988" s="1683" t="str">
        <f t="shared" si="15"/>
        <v>061-910</v>
      </c>
      <c r="C988" s="629" t="s">
        <v>2475</v>
      </c>
      <c r="D988" s="731">
        <v>2445</v>
      </c>
      <c r="E988" s="731">
        <v>4338</v>
      </c>
      <c r="F988" s="731">
        <v>1893</v>
      </c>
      <c r="G988" s="731">
        <v>1643</v>
      </c>
      <c r="H988" s="731">
        <v>41391</v>
      </c>
      <c r="I988" s="2760">
        <v>0.23672019765287214</v>
      </c>
      <c r="J988" s="727">
        <v>3</v>
      </c>
      <c r="K988" s="731">
        <v>1821758.4000000001</v>
      </c>
      <c r="L988" s="731">
        <v>1506362.4018159276</v>
      </c>
    </row>
    <row r="989" spans="1:12" ht="14.5">
      <c r="A989" s="629" t="s">
        <v>5218</v>
      </c>
      <c r="B989" s="1683" t="str">
        <f t="shared" si="15"/>
        <v>184-907</v>
      </c>
      <c r="C989" s="629" t="s">
        <v>412</v>
      </c>
      <c r="D989" s="731">
        <v>5443</v>
      </c>
      <c r="E989" s="731">
        <v>7368</v>
      </c>
      <c r="F989" s="731">
        <v>1925</v>
      </c>
      <c r="G989" s="731">
        <v>1675</v>
      </c>
      <c r="H989" s="731">
        <v>43066</v>
      </c>
      <c r="I989" s="2760">
        <v>0.24629972776977099</v>
      </c>
      <c r="J989" s="727">
        <v>3</v>
      </c>
      <c r="K989" s="731">
        <v>1857240</v>
      </c>
      <c r="L989" s="731">
        <v>1535701.1704453309</v>
      </c>
    </row>
    <row r="990" spans="1:12" ht="14.5">
      <c r="A990" s="629" t="s">
        <v>5008</v>
      </c>
      <c r="B990" s="1683" t="str">
        <f t="shared" si="15"/>
        <v>070-908</v>
      </c>
      <c r="C990" s="629" t="s">
        <v>1864</v>
      </c>
      <c r="D990" s="731">
        <v>8441</v>
      </c>
      <c r="E990" s="731">
        <v>10431</v>
      </c>
      <c r="F990" s="731">
        <v>1990</v>
      </c>
      <c r="G990" s="731">
        <v>1740</v>
      </c>
      <c r="H990" s="731">
        <v>44806</v>
      </c>
      <c r="I990" s="2760">
        <v>0.2562510008464301</v>
      </c>
      <c r="J990" s="727">
        <v>3</v>
      </c>
      <c r="K990" s="731">
        <v>1929312</v>
      </c>
      <c r="L990" s="731">
        <v>1595295.5442238064</v>
      </c>
    </row>
    <row r="991" spans="1:12" ht="14.5">
      <c r="A991" s="629" t="s">
        <v>3030</v>
      </c>
      <c r="B991" s="1683" t="str">
        <f t="shared" si="15"/>
        <v>105-904</v>
      </c>
      <c r="C991" s="629" t="s">
        <v>1005</v>
      </c>
      <c r="D991" s="731">
        <v>6008</v>
      </c>
      <c r="E991" s="731">
        <v>8001</v>
      </c>
      <c r="F991" s="731">
        <v>1993</v>
      </c>
      <c r="G991" s="731">
        <v>1743</v>
      </c>
      <c r="H991" s="731">
        <v>46549</v>
      </c>
      <c r="I991" s="2760">
        <v>0.26621943129046277</v>
      </c>
      <c r="J991" s="727">
        <v>3</v>
      </c>
      <c r="K991" s="731">
        <v>1932638.4000000001</v>
      </c>
      <c r="L991" s="731">
        <v>1598046.053782813</v>
      </c>
    </row>
    <row r="992" spans="1:12" ht="14.5">
      <c r="A992" s="629" t="s">
        <v>3262</v>
      </c>
      <c r="B992" s="1683" t="str">
        <f t="shared" si="15"/>
        <v>246-906</v>
      </c>
      <c r="C992" s="629" t="s">
        <v>1194</v>
      </c>
      <c r="D992" s="731">
        <v>6945</v>
      </c>
      <c r="E992" s="731">
        <v>8960</v>
      </c>
      <c r="F992" s="731">
        <v>2015</v>
      </c>
      <c r="G992" s="731">
        <v>1765</v>
      </c>
      <c r="H992" s="731">
        <v>48314</v>
      </c>
      <c r="I992" s="2760">
        <v>0.27631368242856819</v>
      </c>
      <c r="J992" s="727">
        <v>3</v>
      </c>
      <c r="K992" s="731">
        <v>1957032</v>
      </c>
      <c r="L992" s="731">
        <v>1618216.4572155278</v>
      </c>
    </row>
    <row r="993" spans="1:12" ht="14.5">
      <c r="A993" s="629" t="s">
        <v>5127</v>
      </c>
      <c r="B993" s="1683" t="str">
        <f t="shared" si="15"/>
        <v>130-901</v>
      </c>
      <c r="C993" s="629" t="s">
        <v>1926</v>
      </c>
      <c r="D993" s="731">
        <v>8300</v>
      </c>
      <c r="E993" s="731">
        <v>10327</v>
      </c>
      <c r="F993" s="731">
        <v>2027</v>
      </c>
      <c r="G993" s="731">
        <v>1777</v>
      </c>
      <c r="H993" s="731">
        <v>50091</v>
      </c>
      <c r="I993" s="2760">
        <v>0.28647656303616775</v>
      </c>
      <c r="J993" s="727">
        <v>3</v>
      </c>
      <c r="K993" s="731">
        <v>1970337.6</v>
      </c>
      <c r="L993" s="731">
        <v>1629218.495451554</v>
      </c>
    </row>
    <row r="994" spans="1:12" ht="14.5">
      <c r="A994" s="629" t="s">
        <v>3138</v>
      </c>
      <c r="B994" s="1683" t="str">
        <f t="shared" si="15"/>
        <v>163-908</v>
      </c>
      <c r="C994" s="629" t="s">
        <v>777</v>
      </c>
      <c r="D994" s="731">
        <v>4705</v>
      </c>
      <c r="E994" s="731">
        <v>6785</v>
      </c>
      <c r="F994" s="731">
        <v>2080</v>
      </c>
      <c r="G994" s="731">
        <v>1830</v>
      </c>
      <c r="H994" s="731">
        <v>51921</v>
      </c>
      <c r="I994" s="2760">
        <v>0.29694255713403334</v>
      </c>
      <c r="J994" s="727">
        <v>3</v>
      </c>
      <c r="K994" s="731">
        <v>2029103.9999999998</v>
      </c>
      <c r="L994" s="731">
        <v>1677810.830994003</v>
      </c>
    </row>
    <row r="995" spans="1:12" ht="14.5">
      <c r="A995" s="629" t="s">
        <v>5242</v>
      </c>
      <c r="B995" s="1683" t="str">
        <f t="shared" si="15"/>
        <v>199-901</v>
      </c>
      <c r="C995" s="629" t="s">
        <v>924</v>
      </c>
      <c r="D995" s="731">
        <v>15822</v>
      </c>
      <c r="E995" s="731">
        <v>17926</v>
      </c>
      <c r="F995" s="731">
        <v>2104</v>
      </c>
      <c r="G995" s="731">
        <v>1854</v>
      </c>
      <c r="H995" s="731">
        <v>53775</v>
      </c>
      <c r="I995" s="2760">
        <v>0.30754581017088739</v>
      </c>
      <c r="J995" s="727">
        <v>2</v>
      </c>
      <c r="K995" s="731">
        <v>3768811.2</v>
      </c>
      <c r="L995" s="731">
        <v>3116327.3303544358</v>
      </c>
    </row>
    <row r="996" spans="1:12" ht="14.5">
      <c r="A996" s="629" t="s">
        <v>3184</v>
      </c>
      <c r="B996" s="1683" t="str">
        <f t="shared" si="15"/>
        <v>199-902</v>
      </c>
      <c r="C996" s="629" t="s">
        <v>576</v>
      </c>
      <c r="D996" s="731">
        <v>5464</v>
      </c>
      <c r="E996" s="731">
        <v>7629</v>
      </c>
      <c r="F996" s="731">
        <v>2165</v>
      </c>
      <c r="G996" s="731">
        <v>1915</v>
      </c>
      <c r="H996" s="731">
        <v>55690</v>
      </c>
      <c r="I996" s="2760">
        <v>0.31849792967767027</v>
      </c>
      <c r="J996" s="727">
        <v>2</v>
      </c>
      <c r="K996" s="731">
        <v>3892812.0000000005</v>
      </c>
      <c r="L996" s="731">
        <v>3218860.2144707362</v>
      </c>
    </row>
    <row r="997" spans="1:12" ht="14.5">
      <c r="A997" s="629" t="s">
        <v>3031</v>
      </c>
      <c r="B997" s="1683" t="str">
        <f t="shared" si="15"/>
        <v>105-906</v>
      </c>
      <c r="C997" s="629" t="s">
        <v>33</v>
      </c>
      <c r="D997" s="731">
        <v>19215</v>
      </c>
      <c r="E997" s="731">
        <v>21405</v>
      </c>
      <c r="F997" s="731">
        <v>2190</v>
      </c>
      <c r="G997" s="731">
        <v>1940</v>
      </c>
      <c r="H997" s="731">
        <v>57630</v>
      </c>
      <c r="I997" s="2760">
        <v>0.32959302724589939</v>
      </c>
      <c r="J997" s="727">
        <v>2</v>
      </c>
      <c r="K997" s="731">
        <v>3943632.0000000005</v>
      </c>
      <c r="L997" s="731">
        <v>3260881.8882888919</v>
      </c>
    </row>
    <row r="998" spans="1:12" ht="14.5">
      <c r="A998" s="629" t="s">
        <v>2869</v>
      </c>
      <c r="B998" s="1683" t="str">
        <f t="shared" si="15"/>
        <v>014-903</v>
      </c>
      <c r="C998" s="629" t="s">
        <v>2533</v>
      </c>
      <c r="D998" s="731">
        <v>11116</v>
      </c>
      <c r="E998" s="731">
        <v>13326</v>
      </c>
      <c r="F998" s="731">
        <v>2210</v>
      </c>
      <c r="G998" s="731">
        <v>1960</v>
      </c>
      <c r="H998" s="731">
        <v>59590</v>
      </c>
      <c r="I998" s="2760">
        <v>0.34080250726328554</v>
      </c>
      <c r="J998" s="727">
        <v>2</v>
      </c>
      <c r="K998" s="731">
        <v>3984288.0000000005</v>
      </c>
      <c r="L998" s="731">
        <v>3294499.2273434168</v>
      </c>
    </row>
    <row r="999" spans="1:12" ht="14.5">
      <c r="A999" s="629" t="s">
        <v>2936</v>
      </c>
      <c r="B999" s="1683" t="str">
        <f t="shared" si="15"/>
        <v>043-908</v>
      </c>
      <c r="C999" s="629" t="s">
        <v>2076</v>
      </c>
      <c r="D999" s="731">
        <v>2630</v>
      </c>
      <c r="E999" s="731">
        <v>4874</v>
      </c>
      <c r="F999" s="731">
        <v>2244</v>
      </c>
      <c r="G999" s="731">
        <v>1994</v>
      </c>
      <c r="H999" s="731">
        <v>61584</v>
      </c>
      <c r="I999" s="2760">
        <v>0.35220643744423857</v>
      </c>
      <c r="J999" s="727">
        <v>2</v>
      </c>
      <c r="K999" s="731">
        <v>4053403.1999999997</v>
      </c>
      <c r="L999" s="731">
        <v>3351648.7037361078</v>
      </c>
    </row>
    <row r="1000" spans="1:12" ht="14.5">
      <c r="A1000" s="629" t="s">
        <v>5066</v>
      </c>
      <c r="B1000" s="1683" t="str">
        <f t="shared" si="15"/>
        <v>101-907</v>
      </c>
      <c r="C1000" s="629" t="s">
        <v>453</v>
      </c>
      <c r="D1000" s="731">
        <v>114868</v>
      </c>
      <c r="E1000" s="731">
        <v>117217</v>
      </c>
      <c r="F1000" s="731">
        <v>2349</v>
      </c>
      <c r="G1000" s="731">
        <v>2099</v>
      </c>
      <c r="H1000" s="731">
        <v>63683</v>
      </c>
      <c r="I1000" s="2760">
        <v>0.36421087548326586</v>
      </c>
      <c r="J1000" s="727">
        <v>2</v>
      </c>
      <c r="K1000" s="731">
        <v>4266847.2</v>
      </c>
      <c r="L1000" s="731">
        <v>3528139.7337723626</v>
      </c>
    </row>
    <row r="1001" spans="1:12" ht="14.5">
      <c r="A1001" s="629" t="s">
        <v>3149</v>
      </c>
      <c r="B1001" s="1683" t="str">
        <f t="shared" si="15"/>
        <v>170-908</v>
      </c>
      <c r="C1001" s="629" t="s">
        <v>1072</v>
      </c>
      <c r="D1001" s="731">
        <v>14677</v>
      </c>
      <c r="E1001" s="731">
        <v>17116</v>
      </c>
      <c r="F1001" s="731">
        <v>2439</v>
      </c>
      <c r="G1001" s="731">
        <v>2189</v>
      </c>
      <c r="H1001" s="731">
        <v>65872</v>
      </c>
      <c r="I1001" s="2760">
        <v>0.37673003454349963</v>
      </c>
      <c r="J1001" s="727">
        <v>2</v>
      </c>
      <c r="K1001" s="731">
        <v>4449799.2</v>
      </c>
      <c r="L1001" s="731">
        <v>3679417.7595177237</v>
      </c>
    </row>
    <row r="1002" spans="1:12" ht="14.5">
      <c r="A1002" s="629" t="s">
        <v>3160</v>
      </c>
      <c r="B1002" s="1683" t="str">
        <f t="shared" si="15"/>
        <v>177-901</v>
      </c>
      <c r="C1002" s="629" t="s">
        <v>3320</v>
      </c>
      <c r="D1002" s="731">
        <v>597</v>
      </c>
      <c r="E1002" s="731">
        <v>3081</v>
      </c>
      <c r="F1002" s="731">
        <v>2484</v>
      </c>
      <c r="G1002" s="731">
        <v>2234</v>
      </c>
      <c r="H1002" s="731">
        <v>68106</v>
      </c>
      <c r="I1002" s="2760">
        <v>0.38950655411433671</v>
      </c>
      <c r="J1002" s="727">
        <v>2</v>
      </c>
      <c r="K1002" s="731">
        <v>4541275.2</v>
      </c>
      <c r="L1002" s="731">
        <v>3755056.7723904043</v>
      </c>
    </row>
    <row r="1003" spans="1:12" ht="14.5">
      <c r="A1003" s="629" t="s">
        <v>2937</v>
      </c>
      <c r="B1003" s="1683" t="str">
        <f t="shared" si="15"/>
        <v>043-911</v>
      </c>
      <c r="C1003" s="629" t="s">
        <v>72</v>
      </c>
      <c r="D1003" s="731">
        <v>4160</v>
      </c>
      <c r="E1003" s="731">
        <v>6767</v>
      </c>
      <c r="F1003" s="731">
        <v>2607</v>
      </c>
      <c r="G1003" s="731">
        <v>2357</v>
      </c>
      <c r="H1003" s="731">
        <v>70463</v>
      </c>
      <c r="I1003" s="2760">
        <v>0.40298652574748933</v>
      </c>
      <c r="J1003" s="727">
        <v>2</v>
      </c>
      <c r="K1003" s="731">
        <v>4791309.6000000006</v>
      </c>
      <c r="L1003" s="731">
        <v>3961803.4075757312</v>
      </c>
    </row>
    <row r="1004" spans="1:12" ht="14.5">
      <c r="A1004" s="629" t="s">
        <v>3217</v>
      </c>
      <c r="B1004" s="1683" t="str">
        <f t="shared" si="15"/>
        <v>220-918</v>
      </c>
      <c r="C1004" s="629" t="s">
        <v>1205</v>
      </c>
      <c r="D1004" s="731">
        <v>19653</v>
      </c>
      <c r="E1004" s="731">
        <v>22464</v>
      </c>
      <c r="F1004" s="731">
        <v>2811</v>
      </c>
      <c r="G1004" s="731">
        <v>2561</v>
      </c>
      <c r="H1004" s="731">
        <v>73024</v>
      </c>
      <c r="I1004" s="2760">
        <v>0.41763319836204332</v>
      </c>
      <c r="J1004" s="727">
        <v>2</v>
      </c>
      <c r="K1004" s="731">
        <v>5206000.8</v>
      </c>
      <c r="L1004" s="731">
        <v>4304700.265931882</v>
      </c>
    </row>
    <row r="1005" spans="1:12" ht="14.5">
      <c r="A1005" s="629" t="s">
        <v>3263</v>
      </c>
      <c r="B1005" s="1683" t="str">
        <f t="shared" si="15"/>
        <v>246-908</v>
      </c>
      <c r="C1005" s="629" t="s">
        <v>2328</v>
      </c>
      <c r="D1005" s="731">
        <v>3677</v>
      </c>
      <c r="E1005" s="731">
        <v>6840</v>
      </c>
      <c r="F1005" s="731">
        <v>3163</v>
      </c>
      <c r="G1005" s="731">
        <v>2913</v>
      </c>
      <c r="H1005" s="731">
        <v>75937</v>
      </c>
      <c r="I1005" s="2760">
        <v>0.43429300208176058</v>
      </c>
      <c r="J1005" s="727">
        <v>2</v>
      </c>
      <c r="K1005" s="731">
        <v>5921546.4000000004</v>
      </c>
      <c r="L1005" s="731">
        <v>4896365.4332915163</v>
      </c>
    </row>
    <row r="1006" spans="1:12" ht="14.5">
      <c r="A1006" s="629" t="s">
        <v>2939</v>
      </c>
      <c r="B1006" s="1683" t="str">
        <f t="shared" si="15"/>
        <v>043-914</v>
      </c>
      <c r="C1006" s="629" t="s">
        <v>1065</v>
      </c>
      <c r="D1006" s="731">
        <v>15021</v>
      </c>
      <c r="E1006" s="731">
        <v>18210</v>
      </c>
      <c r="F1006" s="731">
        <v>3189</v>
      </c>
      <c r="G1006" s="731">
        <v>2939</v>
      </c>
      <c r="H1006" s="731">
        <v>78876</v>
      </c>
      <c r="I1006" s="2760">
        <v>0.45110150298538193</v>
      </c>
      <c r="J1006" s="727">
        <v>2</v>
      </c>
      <c r="K1006" s="731">
        <v>5974399.2000000002</v>
      </c>
      <c r="L1006" s="731">
        <v>4940067.9740623981</v>
      </c>
    </row>
    <row r="1007" spans="1:12" ht="14.5">
      <c r="A1007" s="629" t="s">
        <v>4997</v>
      </c>
      <c r="B1007" s="1683" t="str">
        <f t="shared" si="15"/>
        <v>061-901</v>
      </c>
      <c r="C1007" s="629" t="s">
        <v>2474</v>
      </c>
      <c r="D1007" s="731">
        <v>28628</v>
      </c>
      <c r="E1007" s="731">
        <v>31951</v>
      </c>
      <c r="F1007" s="731">
        <v>3323</v>
      </c>
      <c r="G1007" s="731">
        <v>3073</v>
      </c>
      <c r="H1007" s="731">
        <v>81949</v>
      </c>
      <c r="I1007" s="2760">
        <v>0.46867636629835518</v>
      </c>
      <c r="J1007" s="727">
        <v>2</v>
      </c>
      <c r="K1007" s="731">
        <v>6246794.4000000004</v>
      </c>
      <c r="L1007" s="731">
        <v>5165304.1457277136</v>
      </c>
    </row>
    <row r="1008" spans="1:12" ht="14.5">
      <c r="A1008" s="629" t="s">
        <v>2996</v>
      </c>
      <c r="B1008" s="1683" t="str">
        <f t="shared" si="15"/>
        <v>079-907</v>
      </c>
      <c r="C1008" s="629" t="s">
        <v>103</v>
      </c>
      <c r="D1008" s="731">
        <v>74146</v>
      </c>
      <c r="E1008" s="731">
        <v>77545</v>
      </c>
      <c r="F1008" s="731">
        <v>3399</v>
      </c>
      <c r="G1008" s="731">
        <v>3149</v>
      </c>
      <c r="H1008" s="731">
        <v>85098</v>
      </c>
      <c r="I1008" s="2760">
        <v>0.48668588291812503</v>
      </c>
      <c r="J1008" s="727">
        <v>2</v>
      </c>
      <c r="K1008" s="731">
        <v>6401287.2000000002</v>
      </c>
      <c r="L1008" s="731">
        <v>5293050.0341349067</v>
      </c>
    </row>
    <row r="1009" spans="1:12" ht="14.5">
      <c r="A1009" s="629" t="s">
        <v>3266</v>
      </c>
      <c r="B1009" s="1683" t="str">
        <f t="shared" si="15"/>
        <v>246-913</v>
      </c>
      <c r="C1009" s="629" t="s">
        <v>2326</v>
      </c>
      <c r="D1009" s="731">
        <v>38226</v>
      </c>
      <c r="E1009" s="731">
        <v>41780</v>
      </c>
      <c r="F1009" s="731">
        <v>3554</v>
      </c>
      <c r="G1009" s="731">
        <v>3304</v>
      </c>
      <c r="H1009" s="731">
        <v>88402</v>
      </c>
      <c r="I1009" s="2760">
        <v>0.5055818635188617</v>
      </c>
      <c r="J1009" s="727">
        <v>2</v>
      </c>
      <c r="K1009" s="731">
        <v>6716371.2000000011</v>
      </c>
      <c r="L1009" s="731">
        <v>5553584.4118074737</v>
      </c>
    </row>
    <row r="1010" spans="1:12" ht="14.5">
      <c r="A1010" s="629" t="s">
        <v>2896</v>
      </c>
      <c r="B1010" s="1683" t="str">
        <f t="shared" si="15"/>
        <v>020-901</v>
      </c>
      <c r="C1010" s="629" t="s">
        <v>996</v>
      </c>
      <c r="D1010" s="731">
        <v>23587</v>
      </c>
      <c r="E1010" s="731">
        <v>28085</v>
      </c>
      <c r="F1010" s="731">
        <v>4498</v>
      </c>
      <c r="G1010" s="731">
        <v>4248</v>
      </c>
      <c r="H1010" s="731">
        <v>92650</v>
      </c>
      <c r="I1010" s="2760">
        <v>0.52987669571980878</v>
      </c>
      <c r="J1010" s="727">
        <v>2</v>
      </c>
      <c r="K1010" s="731">
        <v>8635334.4000000004</v>
      </c>
      <c r="L1010" s="731">
        <v>7140322.8151810374</v>
      </c>
    </row>
    <row r="1011" spans="1:12" ht="14.5">
      <c r="A1011" s="629" t="s">
        <v>3094</v>
      </c>
      <c r="B1011" s="1683" t="str">
        <f t="shared" si="15"/>
        <v>129-902</v>
      </c>
      <c r="C1011" s="629" t="s">
        <v>102</v>
      </c>
      <c r="D1011" s="731">
        <v>9705</v>
      </c>
      <c r="E1011" s="731">
        <v>14349</v>
      </c>
      <c r="F1011" s="731">
        <v>4644</v>
      </c>
      <c r="G1011" s="731">
        <v>4394</v>
      </c>
      <c r="H1011" s="731">
        <v>97044</v>
      </c>
      <c r="I1011" s="2760">
        <v>0.55500651979960192</v>
      </c>
      <c r="J1011" s="727">
        <v>2</v>
      </c>
      <c r="K1011" s="731">
        <v>8932123.1999999993</v>
      </c>
      <c r="L1011" s="731">
        <v>7385729.3902790658</v>
      </c>
    </row>
    <row r="1012" spans="1:12" ht="14.5">
      <c r="A1012" s="629" t="s">
        <v>4976</v>
      </c>
      <c r="B1012" s="1683" t="str">
        <f t="shared" si="15"/>
        <v>046-902</v>
      </c>
      <c r="C1012" s="629" t="s">
        <v>2084</v>
      </c>
      <c r="D1012" s="731">
        <v>22240</v>
      </c>
      <c r="E1012" s="731">
        <v>27288</v>
      </c>
      <c r="F1012" s="731">
        <v>5048</v>
      </c>
      <c r="G1012" s="731">
        <v>4798</v>
      </c>
      <c r="H1012" s="731">
        <v>101842</v>
      </c>
      <c r="I1012" s="2760">
        <v>0.58244686935236656</v>
      </c>
      <c r="J1012" s="727">
        <v>2</v>
      </c>
      <c r="K1012" s="731">
        <v>9753374.4000000004</v>
      </c>
      <c r="L1012" s="731">
        <v>8064799.6391804647</v>
      </c>
    </row>
    <row r="1013" spans="1:12" ht="14.5">
      <c r="A1013" s="629" t="s">
        <v>5073</v>
      </c>
      <c r="B1013" s="1683" t="str">
        <f t="shared" si="15"/>
        <v>101-921</v>
      </c>
      <c r="C1013" s="629" t="s">
        <v>2068</v>
      </c>
      <c r="D1013" s="731">
        <v>14932</v>
      </c>
      <c r="E1013" s="731">
        <v>20262</v>
      </c>
      <c r="F1013" s="731">
        <v>5330</v>
      </c>
      <c r="G1013" s="731">
        <v>5080</v>
      </c>
      <c r="H1013" s="731">
        <v>106922</v>
      </c>
      <c r="I1013" s="2760">
        <v>0.61150001143824495</v>
      </c>
      <c r="J1013" s="727">
        <v>1</v>
      </c>
      <c r="K1013" s="731">
        <v>15020544</v>
      </c>
      <c r="L1013" s="731">
        <v>12420078.719780745</v>
      </c>
    </row>
    <row r="1014" spans="1:12" ht="14.5">
      <c r="A1014" s="629" t="s">
        <v>2965</v>
      </c>
      <c r="B1014" s="1683" t="str">
        <f t="shared" si="15"/>
        <v>061-911</v>
      </c>
      <c r="C1014" s="629" t="s">
        <v>1182</v>
      </c>
      <c r="D1014" s="731">
        <v>22044</v>
      </c>
      <c r="E1014" s="731">
        <v>27583</v>
      </c>
      <c r="F1014" s="731">
        <v>5539</v>
      </c>
      <c r="G1014" s="731">
        <v>5289</v>
      </c>
      <c r="H1014" s="731">
        <v>112211</v>
      </c>
      <c r="I1014" s="2760">
        <v>0.6417484501178139</v>
      </c>
      <c r="J1014" s="727">
        <v>1</v>
      </c>
      <c r="K1014" s="731">
        <v>15638515.199999999</v>
      </c>
      <c r="L1014" s="731">
        <v>12931062.273409519</v>
      </c>
    </row>
    <row r="1015" spans="1:12" ht="14.5">
      <c r="A1015" s="629" t="s">
        <v>3106</v>
      </c>
      <c r="B1015" s="1683" t="str">
        <f t="shared" si="15"/>
        <v>146-901</v>
      </c>
      <c r="C1015" s="629" t="s">
        <v>1094</v>
      </c>
      <c r="D1015" s="731">
        <v>4728</v>
      </c>
      <c r="E1015" s="731">
        <v>10860</v>
      </c>
      <c r="F1015" s="731">
        <v>6132</v>
      </c>
      <c r="G1015" s="731">
        <v>5882</v>
      </c>
      <c r="H1015" s="731">
        <v>118093</v>
      </c>
      <c r="I1015" s="2760">
        <v>0.67538832841488805</v>
      </c>
      <c r="J1015" s="727">
        <v>1</v>
      </c>
      <c r="K1015" s="731">
        <v>17391897.599999998</v>
      </c>
      <c r="L1015" s="731">
        <v>14380886.4231792</v>
      </c>
    </row>
    <row r="1016" spans="1:12" ht="14.5">
      <c r="A1016" s="629" t="s">
        <v>3024</v>
      </c>
      <c r="B1016" s="1683" t="str">
        <f t="shared" si="15"/>
        <v>101-913</v>
      </c>
      <c r="C1016" s="629" t="s">
        <v>2252</v>
      </c>
      <c r="D1016" s="731">
        <v>41224</v>
      </c>
      <c r="E1016" s="731">
        <v>48112</v>
      </c>
      <c r="F1016" s="731">
        <v>6888</v>
      </c>
      <c r="G1016" s="731">
        <v>6638</v>
      </c>
      <c r="H1016" s="731">
        <v>124731</v>
      </c>
      <c r="I1016" s="2760">
        <v>0.71335186329009681</v>
      </c>
      <c r="J1016" s="727">
        <v>1</v>
      </c>
      <c r="K1016" s="731">
        <v>19627238.399999999</v>
      </c>
      <c r="L1016" s="731">
        <v>16229228.84683161</v>
      </c>
    </row>
    <row r="1017" spans="1:12" ht="14.5">
      <c r="A1017" s="629" t="s">
        <v>3145</v>
      </c>
      <c r="B1017" s="1683" t="str">
        <f t="shared" si="15"/>
        <v>170-902</v>
      </c>
      <c r="C1017" s="629" t="s">
        <v>1463</v>
      </c>
      <c r="D1017" s="731">
        <v>59764</v>
      </c>
      <c r="E1017" s="731">
        <v>67761</v>
      </c>
      <c r="F1017" s="731">
        <v>7997</v>
      </c>
      <c r="G1017" s="731">
        <v>7747</v>
      </c>
      <c r="H1017" s="731">
        <v>132478</v>
      </c>
      <c r="I1017" s="2760">
        <v>0.75765790497106122</v>
      </c>
      <c r="J1017" s="727">
        <v>1</v>
      </c>
      <c r="K1017" s="731">
        <v>22906329.600000001</v>
      </c>
      <c r="L1017" s="731">
        <v>18940620.047665637</v>
      </c>
    </row>
    <row r="1018" spans="1:12" ht="14.5">
      <c r="A1018" s="629" t="s">
        <v>5019</v>
      </c>
      <c r="B1018" s="1683" t="str">
        <f t="shared" si="15"/>
        <v>079-901</v>
      </c>
      <c r="C1018" s="629" t="s">
        <v>981</v>
      </c>
      <c r="D1018" s="731">
        <v>30829</v>
      </c>
      <c r="E1018" s="731">
        <v>39579</v>
      </c>
      <c r="F1018" s="731">
        <v>8750</v>
      </c>
      <c r="G1018" s="731">
        <v>8500</v>
      </c>
      <c r="H1018" s="731">
        <v>140978</v>
      </c>
      <c r="I1018" s="2760">
        <v>0.80627044586278684</v>
      </c>
      <c r="J1018" s="727">
        <v>1</v>
      </c>
      <c r="K1018" s="731">
        <v>25132800</v>
      </c>
      <c r="L1018" s="731">
        <v>20781627.779160697</v>
      </c>
    </row>
    <row r="1019" spans="1:12" ht="14.5">
      <c r="A1019" s="629" t="s">
        <v>2934</v>
      </c>
      <c r="B1019" s="1683" t="str">
        <f t="shared" si="15"/>
        <v>043-905</v>
      </c>
      <c r="C1019" s="629" t="s">
        <v>1389</v>
      </c>
      <c r="D1019" s="731">
        <v>55923</v>
      </c>
      <c r="E1019" s="731">
        <v>65825</v>
      </c>
      <c r="F1019" s="731">
        <v>9902</v>
      </c>
      <c r="G1019" s="731">
        <v>9652</v>
      </c>
      <c r="H1019" s="731">
        <v>150630</v>
      </c>
      <c r="I1019" s="2760">
        <v>0.86147141582595566</v>
      </c>
      <c r="J1019" s="727">
        <v>1</v>
      </c>
      <c r="K1019" s="731">
        <v>28539033.600000001</v>
      </c>
      <c r="L1019" s="731">
        <v>23598149.567583416</v>
      </c>
    </row>
    <row r="1020" spans="1:12" ht="14.5">
      <c r="A1020" s="629" t="s">
        <v>2938</v>
      </c>
      <c r="B1020" s="1683" t="str">
        <f t="shared" si="15"/>
        <v>043-912</v>
      </c>
      <c r="C1020" s="629" t="s">
        <v>74</v>
      </c>
      <c r="D1020" s="731">
        <v>9998</v>
      </c>
      <c r="E1020" s="731">
        <v>21780</v>
      </c>
      <c r="F1020" s="731">
        <v>11782</v>
      </c>
      <c r="G1020" s="731">
        <v>11532</v>
      </c>
      <c r="H1020" s="731">
        <v>162162</v>
      </c>
      <c r="I1020" s="2760">
        <v>0.92742433600988261</v>
      </c>
      <c r="J1020" s="727">
        <v>1</v>
      </c>
      <c r="K1020" s="731">
        <v>34097817.600000001</v>
      </c>
      <c r="L1020" s="731">
        <v>28194556.652856607</v>
      </c>
    </row>
    <row r="1021" spans="1:12" ht="14.5">
      <c r="A1021" s="629" t="s">
        <v>3025</v>
      </c>
      <c r="B1021" s="1683" t="str">
        <f t="shared" si="15"/>
        <v>101-914</v>
      </c>
      <c r="C1021" s="629" t="s">
        <v>388</v>
      </c>
      <c r="D1021" s="731">
        <v>75428</v>
      </c>
      <c r="E1021" s="731">
        <v>88368</v>
      </c>
      <c r="F1021" s="731">
        <v>12940</v>
      </c>
      <c r="G1021" s="731">
        <v>12690</v>
      </c>
      <c r="H1021" s="731">
        <v>174852</v>
      </c>
      <c r="I1021" s="2760">
        <v>1</v>
      </c>
      <c r="J1021" s="727">
        <v>1</v>
      </c>
      <c r="K1021" s="731">
        <v>37521792</v>
      </c>
      <c r="L1021" s="731">
        <v>31025747.825594027</v>
      </c>
    </row>
    <row r="1022" spans="1:12">
      <c r="D1022" s="2043">
        <v>5078440</v>
      </c>
      <c r="E1022" s="2043">
        <v>5012948</v>
      </c>
      <c r="F1022" s="2043">
        <v>-65492</v>
      </c>
      <c r="G1022" s="2043">
        <v>174852</v>
      </c>
      <c r="K1022" s="2043">
        <v>374906532.00000006</v>
      </c>
      <c r="L1022" s="2043">
        <v>309999999.99999994</v>
      </c>
    </row>
    <row r="1024" spans="1:12">
      <c r="L1024" s="2043">
        <v>310000000</v>
      </c>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298"/>
  <sheetViews>
    <sheetView workbookViewId="0">
      <selection activeCell="B1" sqref="B1"/>
    </sheetView>
  </sheetViews>
  <sheetFormatPr defaultRowHeight="12.5"/>
  <cols>
    <col min="2" max="2" width="8.7265625" style="2042"/>
    <col min="3" max="3" width="35.1796875" customWidth="1"/>
    <col min="4" max="6" width="20.54296875" style="2043" customWidth="1"/>
    <col min="7" max="8" width="20.54296875" style="2168" customWidth="1"/>
    <col min="9" max="9" width="8.7265625" style="727"/>
  </cols>
  <sheetData>
    <row r="1" spans="1:9" ht="14.5">
      <c r="A1" t="s">
        <v>5287</v>
      </c>
      <c r="B1" s="380" t="str">
        <f t="shared" ref="B1:B64" si="0">CONCATENATE(LEFT(RIGHT(CONCATENATE("000",A1),6),3),"-",(RIGHT(RIGHT(CONCATENATE("000",A1),6),3)))</f>
        <v>230-902</v>
      </c>
      <c r="C1" t="s">
        <v>1811</v>
      </c>
      <c r="D1" s="2043">
        <v>2493</v>
      </c>
      <c r="E1" s="2043">
        <v>2510</v>
      </c>
      <c r="F1" s="2043">
        <v>17</v>
      </c>
      <c r="G1" s="2168">
        <v>6.8190934616927379E-3</v>
      </c>
      <c r="H1" s="2168">
        <v>0.75016232527307602</v>
      </c>
      <c r="I1" s="727" t="s">
        <v>659</v>
      </c>
    </row>
    <row r="2" spans="1:9" ht="14.5">
      <c r="A2" t="s">
        <v>5184</v>
      </c>
      <c r="B2" s="380" t="str">
        <f t="shared" si="0"/>
        <v>170-903</v>
      </c>
      <c r="C2" t="s">
        <v>2126</v>
      </c>
      <c r="D2" s="2043">
        <v>8857</v>
      </c>
      <c r="E2" s="2043">
        <v>8920</v>
      </c>
      <c r="F2" s="2043">
        <v>63</v>
      </c>
      <c r="G2" s="2168">
        <v>7.113017951902556E-3</v>
      </c>
      <c r="H2" s="2168">
        <v>0.75194440704026189</v>
      </c>
      <c r="I2" s="727" t="s">
        <v>659</v>
      </c>
    </row>
    <row r="3" spans="1:9" ht="14.5">
      <c r="A3" t="s">
        <v>2972</v>
      </c>
      <c r="B3" s="380" t="str">
        <f t="shared" si="0"/>
        <v>066-902</v>
      </c>
      <c r="C3" t="s">
        <v>1917</v>
      </c>
      <c r="D3" s="2043">
        <v>1477</v>
      </c>
      <c r="E3" s="2043">
        <v>1488</v>
      </c>
      <c r="F3" s="2043">
        <v>11</v>
      </c>
      <c r="G3" s="2168">
        <v>7.4475287745430219E-3</v>
      </c>
      <c r="H3" s="2168">
        <v>0.75224168704806149</v>
      </c>
      <c r="I3" s="727" t="s">
        <v>659</v>
      </c>
    </row>
    <row r="4" spans="1:9" ht="14.5">
      <c r="A4" t="s">
        <v>3085</v>
      </c>
      <c r="B4" s="380" t="str">
        <f t="shared" si="0"/>
        <v>126-906</v>
      </c>
      <c r="C4" t="s">
        <v>1921</v>
      </c>
      <c r="D4" s="2043">
        <v>1074</v>
      </c>
      <c r="E4" s="2043">
        <v>1082</v>
      </c>
      <c r="F4" s="2043">
        <v>8</v>
      </c>
      <c r="G4" s="2168">
        <v>7.4487895716945918E-3</v>
      </c>
      <c r="H4" s="2168">
        <v>0.7524578543655609</v>
      </c>
      <c r="I4" s="727" t="s">
        <v>659</v>
      </c>
    </row>
    <row r="5" spans="1:9" ht="14.5">
      <c r="A5" t="s">
        <v>3122</v>
      </c>
      <c r="B5" s="380" t="str">
        <f t="shared" si="0"/>
        <v>161-907</v>
      </c>
      <c r="C5" t="s">
        <v>1183</v>
      </c>
      <c r="D5" s="2043">
        <v>1728</v>
      </c>
      <c r="E5" s="2043">
        <v>1741</v>
      </c>
      <c r="F5" s="2043">
        <v>13</v>
      </c>
      <c r="G5" s="2168">
        <v>7.5231481481481399E-3</v>
      </c>
      <c r="H5" s="2168">
        <v>0.7528056799660845</v>
      </c>
      <c r="I5" s="727" t="s">
        <v>659</v>
      </c>
    </row>
    <row r="6" spans="1:9" ht="14.5">
      <c r="A6" t="s">
        <v>5211</v>
      </c>
      <c r="B6" s="380" t="str">
        <f t="shared" si="0"/>
        <v>181-908</v>
      </c>
      <c r="C6" t="s">
        <v>3321</v>
      </c>
      <c r="D6" s="2043">
        <v>3170</v>
      </c>
      <c r="E6" s="2043">
        <v>3194</v>
      </c>
      <c r="F6" s="2043">
        <v>24</v>
      </c>
      <c r="G6" s="2168">
        <v>7.5709779179811143E-3</v>
      </c>
      <c r="H6" s="2168">
        <v>0.75344379310110599</v>
      </c>
      <c r="I6" s="727" t="s">
        <v>659</v>
      </c>
    </row>
    <row r="7" spans="1:9" ht="14.5">
      <c r="A7" t="s">
        <v>3244</v>
      </c>
      <c r="B7" s="380" t="str">
        <f t="shared" si="0"/>
        <v>236-901</v>
      </c>
      <c r="C7" t="s">
        <v>1074</v>
      </c>
      <c r="D7" s="2043">
        <v>1030</v>
      </c>
      <c r="E7" s="2043">
        <v>1038</v>
      </c>
      <c r="F7" s="2043">
        <v>8</v>
      </c>
      <c r="G7" s="2168">
        <v>7.7669902912620437E-3</v>
      </c>
      <c r="H7" s="2168">
        <v>0.75365116988074032</v>
      </c>
      <c r="I7" s="727" t="s">
        <v>659</v>
      </c>
    </row>
    <row r="8" spans="1:9" ht="14.5">
      <c r="A8" t="s">
        <v>5101</v>
      </c>
      <c r="B8" s="380" t="str">
        <f t="shared" si="0"/>
        <v>114-904</v>
      </c>
      <c r="C8" t="s">
        <v>1483</v>
      </c>
      <c r="D8" s="2043">
        <v>771</v>
      </c>
      <c r="E8" s="2043">
        <v>777</v>
      </c>
      <c r="F8" s="2043">
        <v>6</v>
      </c>
      <c r="G8" s="2168">
        <v>7.7821011673151474E-3</v>
      </c>
      <c r="H8" s="2168">
        <v>0.75380640278803901</v>
      </c>
      <c r="I8" s="727" t="s">
        <v>659</v>
      </c>
    </row>
    <row r="9" spans="1:9" ht="14.5">
      <c r="A9" t="s">
        <v>3201</v>
      </c>
      <c r="B9" s="380" t="str">
        <f t="shared" si="0"/>
        <v>212-903</v>
      </c>
      <c r="C9" t="s">
        <v>1883</v>
      </c>
      <c r="D9" s="2043">
        <v>4115</v>
      </c>
      <c r="E9" s="2043">
        <v>4148</v>
      </c>
      <c r="F9" s="2043">
        <v>33</v>
      </c>
      <c r="G9" s="2168">
        <v>8.0194410692588924E-3</v>
      </c>
      <c r="H9" s="2168">
        <v>0.7546351107667707</v>
      </c>
      <c r="I9" s="727" t="s">
        <v>659</v>
      </c>
    </row>
    <row r="10" spans="1:9" ht="14.5">
      <c r="A10" t="s">
        <v>3083</v>
      </c>
      <c r="B10" s="380" t="str">
        <f t="shared" si="0"/>
        <v>126-902</v>
      </c>
      <c r="C10" t="s">
        <v>1364</v>
      </c>
      <c r="D10" s="2043">
        <v>12447</v>
      </c>
      <c r="E10" s="2043">
        <v>12547</v>
      </c>
      <c r="F10" s="2043">
        <v>100</v>
      </c>
      <c r="G10" s="2168">
        <v>8.0340644331966526E-3</v>
      </c>
      <c r="H10" s="2168">
        <v>0.75714181255296797</v>
      </c>
      <c r="I10" s="727" t="s">
        <v>659</v>
      </c>
    </row>
    <row r="11" spans="1:9" ht="14.5">
      <c r="A11" t="s">
        <v>2996</v>
      </c>
      <c r="B11" s="380" t="str">
        <f t="shared" si="0"/>
        <v>079-907</v>
      </c>
      <c r="C11" t="s">
        <v>103</v>
      </c>
      <c r="D11" s="2043">
        <v>76122</v>
      </c>
      <c r="E11" s="2043">
        <v>76735</v>
      </c>
      <c r="F11" s="2043">
        <v>613</v>
      </c>
      <c r="G11" s="2168">
        <v>8.0528625101810025E-3</v>
      </c>
      <c r="H11" s="2168">
        <v>0.77247231080464984</v>
      </c>
      <c r="I11" s="727" t="s">
        <v>659</v>
      </c>
    </row>
    <row r="12" spans="1:9" ht="14.5">
      <c r="A12" t="s">
        <v>3200</v>
      </c>
      <c r="B12" s="380" t="str">
        <f t="shared" si="0"/>
        <v>212-901</v>
      </c>
      <c r="C12" t="s">
        <v>1996</v>
      </c>
      <c r="D12" s="2043">
        <v>869</v>
      </c>
      <c r="E12" s="2043">
        <v>876</v>
      </c>
      <c r="F12" s="2043">
        <v>7</v>
      </c>
      <c r="G12" s="2168">
        <v>8.0552359033372323E-3</v>
      </c>
      <c r="H12" s="2168">
        <v>0.77264732242214484</v>
      </c>
      <c r="I12" s="727" t="s">
        <v>659</v>
      </c>
    </row>
    <row r="13" spans="1:9" ht="14.5">
      <c r="A13" t="s">
        <v>3000</v>
      </c>
      <c r="B13" s="380" t="str">
        <f t="shared" si="0"/>
        <v>084-911</v>
      </c>
      <c r="C13" t="s">
        <v>1388</v>
      </c>
      <c r="D13" s="2043">
        <v>6070</v>
      </c>
      <c r="E13" s="2043">
        <v>6119</v>
      </c>
      <c r="F13" s="2043">
        <v>49</v>
      </c>
      <c r="G13" s="2168">
        <v>8.0724876441515825E-3</v>
      </c>
      <c r="H13" s="2168">
        <v>0.77386980654024007</v>
      </c>
      <c r="I13" s="727" t="s">
        <v>659</v>
      </c>
    </row>
    <row r="14" spans="1:9" ht="14.5">
      <c r="A14" t="s">
        <v>3266</v>
      </c>
      <c r="B14" s="380" t="str">
        <f t="shared" si="0"/>
        <v>246-913</v>
      </c>
      <c r="C14" t="s">
        <v>2326</v>
      </c>
      <c r="D14" s="2043">
        <v>40031</v>
      </c>
      <c r="E14" s="2043">
        <v>40355</v>
      </c>
      <c r="F14" s="2043">
        <v>324</v>
      </c>
      <c r="G14" s="2168">
        <v>8.0937273612951E-3</v>
      </c>
      <c r="H14" s="2168">
        <v>0.78193212825714398</v>
      </c>
      <c r="I14" s="727" t="s">
        <v>659</v>
      </c>
    </row>
    <row r="15" spans="1:9" ht="14.5">
      <c r="A15" t="s">
        <v>4347</v>
      </c>
      <c r="B15" s="380" t="str">
        <f t="shared" si="0"/>
        <v>140-905</v>
      </c>
      <c r="C15" t="s">
        <v>780</v>
      </c>
      <c r="D15" s="2043">
        <v>591</v>
      </c>
      <c r="E15" s="2043">
        <v>596</v>
      </c>
      <c r="F15" s="2043">
        <v>5</v>
      </c>
      <c r="G15" s="2168">
        <v>8.4602368866328881E-3</v>
      </c>
      <c r="H15" s="2168">
        <v>0.78205120008822504</v>
      </c>
      <c r="I15" s="727" t="s">
        <v>659</v>
      </c>
    </row>
    <row r="16" spans="1:9" ht="14.5">
      <c r="A16" t="s">
        <v>5091</v>
      </c>
      <c r="B16" s="380" t="str">
        <f t="shared" si="0"/>
        <v>107-910</v>
      </c>
      <c r="C16" t="s">
        <v>2456</v>
      </c>
      <c r="D16" s="2043">
        <v>470</v>
      </c>
      <c r="E16" s="2043">
        <v>474</v>
      </c>
      <c r="F16" s="2043">
        <v>4</v>
      </c>
      <c r="G16" s="2168">
        <v>8.5106382978723527E-3</v>
      </c>
      <c r="H16" s="2168">
        <v>0.78214589815522573</v>
      </c>
      <c r="I16" s="727" t="s">
        <v>659</v>
      </c>
    </row>
    <row r="17" spans="1:9" ht="14.5">
      <c r="A17" t="s">
        <v>3169</v>
      </c>
      <c r="B17" s="380" t="str">
        <f t="shared" si="0"/>
        <v>183-904</v>
      </c>
      <c r="C17" t="s">
        <v>430</v>
      </c>
      <c r="D17" s="2043">
        <v>468</v>
      </c>
      <c r="E17" s="2043">
        <v>472</v>
      </c>
      <c r="F17" s="2043">
        <v>4</v>
      </c>
      <c r="G17" s="2168">
        <v>8.5470085470085166E-3</v>
      </c>
      <c r="H17" s="2168">
        <v>0.78224019665232347</v>
      </c>
      <c r="I17" s="727" t="s">
        <v>659</v>
      </c>
    </row>
    <row r="18" spans="1:9" ht="14.5">
      <c r="A18" t="s">
        <v>3260</v>
      </c>
      <c r="B18" s="380" t="str">
        <f t="shared" si="0"/>
        <v>246-904</v>
      </c>
      <c r="C18" t="s">
        <v>2196</v>
      </c>
      <c r="D18" s="2043">
        <v>11759</v>
      </c>
      <c r="E18" s="2043">
        <v>11866</v>
      </c>
      <c r="F18" s="2043">
        <v>107</v>
      </c>
      <c r="G18" s="2168">
        <v>9.0994132154094132E-3</v>
      </c>
      <c r="H18" s="2168">
        <v>0.78461084488656407</v>
      </c>
      <c r="I18" s="727" t="s">
        <v>659</v>
      </c>
    </row>
    <row r="19" spans="1:9" ht="14.5">
      <c r="A19" t="s">
        <v>5054</v>
      </c>
      <c r="B19" s="380" t="str">
        <f t="shared" si="0"/>
        <v>093-901</v>
      </c>
      <c r="C19" t="s">
        <v>986</v>
      </c>
      <c r="D19" s="2043">
        <v>879</v>
      </c>
      <c r="E19" s="2043">
        <v>887</v>
      </c>
      <c r="F19" s="2043">
        <v>8</v>
      </c>
      <c r="G19" s="2168">
        <v>9.1012514220705221E-3</v>
      </c>
      <c r="H19" s="2168">
        <v>0.78478805413852526</v>
      </c>
      <c r="I19" s="727" t="s">
        <v>659</v>
      </c>
    </row>
    <row r="20" spans="1:9" ht="14.5">
      <c r="A20" t="s">
        <v>2901</v>
      </c>
      <c r="B20" s="380" t="str">
        <f t="shared" si="0"/>
        <v>021-901</v>
      </c>
      <c r="C20" t="s">
        <v>1099</v>
      </c>
      <c r="D20" s="2043">
        <v>13540</v>
      </c>
      <c r="E20" s="2043">
        <v>13664</v>
      </c>
      <c r="F20" s="2043">
        <v>124</v>
      </c>
      <c r="G20" s="2168">
        <v>9.1580502215657944E-3</v>
      </c>
      <c r="H20" s="2168">
        <v>0.78751791571552376</v>
      </c>
      <c r="I20" s="727" t="s">
        <v>659</v>
      </c>
    </row>
    <row r="21" spans="1:9" ht="14.5">
      <c r="A21" t="s">
        <v>3154</v>
      </c>
      <c r="B21" s="380" t="str">
        <f t="shared" si="0"/>
        <v>175-903</v>
      </c>
      <c r="C21" t="s">
        <v>1039</v>
      </c>
      <c r="D21" s="2043">
        <v>6004</v>
      </c>
      <c r="E21" s="2043">
        <v>6059</v>
      </c>
      <c r="F21" s="2043">
        <v>55</v>
      </c>
      <c r="G21" s="2168">
        <v>9.16055962691531E-3</v>
      </c>
      <c r="H21" s="2168">
        <v>0.78872841273653038</v>
      </c>
      <c r="I21" s="727" t="s">
        <v>659</v>
      </c>
    </row>
    <row r="22" spans="1:9" ht="14.5">
      <c r="A22" t="s">
        <v>4994</v>
      </c>
      <c r="B22" s="380" t="str">
        <f t="shared" si="0"/>
        <v>057-922</v>
      </c>
      <c r="C22" t="s">
        <v>2468</v>
      </c>
      <c r="D22" s="2043">
        <v>12925</v>
      </c>
      <c r="E22" s="2043">
        <v>13052</v>
      </c>
      <c r="F22" s="2043">
        <v>127</v>
      </c>
      <c r="G22" s="2168">
        <v>9.8259187620890476E-3</v>
      </c>
      <c r="H22" s="2168">
        <v>0.79133600592322428</v>
      </c>
      <c r="I22" s="727" t="s">
        <v>659</v>
      </c>
    </row>
    <row r="23" spans="1:9" ht="14.5">
      <c r="A23" t="s">
        <v>5051</v>
      </c>
      <c r="B23" s="380" t="str">
        <f t="shared" si="0"/>
        <v>092-904</v>
      </c>
      <c r="C23" t="s">
        <v>211</v>
      </c>
      <c r="D23" s="2043">
        <v>4500</v>
      </c>
      <c r="E23" s="2043">
        <v>4545</v>
      </c>
      <c r="F23" s="2043">
        <v>45</v>
      </c>
      <c r="G23" s="2168">
        <v>1.0000000000000009E-2</v>
      </c>
      <c r="H23" s="2168">
        <v>0.79224402852769282</v>
      </c>
      <c r="I23" s="727" t="s">
        <v>659</v>
      </c>
    </row>
    <row r="24" spans="1:9" ht="14.5">
      <c r="A24" t="s">
        <v>5247</v>
      </c>
      <c r="B24" s="380" t="str">
        <f t="shared" si="0"/>
        <v>205-902</v>
      </c>
      <c r="C24" t="s">
        <v>335</v>
      </c>
      <c r="D24" s="2043">
        <v>4673</v>
      </c>
      <c r="E24" s="2043">
        <v>4720</v>
      </c>
      <c r="F24" s="2043">
        <v>47</v>
      </c>
      <c r="G24" s="2168">
        <v>1.0057778728868039E-2</v>
      </c>
      <c r="H24" s="2168">
        <v>0.79318701349867005</v>
      </c>
      <c r="I24" s="727" t="s">
        <v>659</v>
      </c>
    </row>
    <row r="25" spans="1:9" ht="14.5">
      <c r="A25" t="s">
        <v>5834</v>
      </c>
      <c r="B25" s="380" t="str">
        <f t="shared" si="0"/>
        <v>138-903</v>
      </c>
      <c r="C25" t="s">
        <v>1940</v>
      </c>
      <c r="D25" s="2043">
        <v>392</v>
      </c>
      <c r="E25" s="2043">
        <v>396</v>
      </c>
      <c r="F25" s="2043">
        <v>4</v>
      </c>
      <c r="G25" s="2168">
        <v>1.0204081632652962E-2</v>
      </c>
      <c r="H25" s="2168">
        <v>0.79326612833945542</v>
      </c>
      <c r="I25" s="727" t="s">
        <v>659</v>
      </c>
    </row>
    <row r="26" spans="1:9" ht="14.5">
      <c r="A26" t="s">
        <v>5797</v>
      </c>
      <c r="B26" s="380" t="str">
        <f t="shared" si="0"/>
        <v>073-905</v>
      </c>
      <c r="C26" t="s">
        <v>1873</v>
      </c>
      <c r="D26" s="2043">
        <v>682</v>
      </c>
      <c r="E26" s="2043">
        <v>689</v>
      </c>
      <c r="F26" s="2043">
        <v>7</v>
      </c>
      <c r="G26" s="2168">
        <v>1.0263929618768319E-2</v>
      </c>
      <c r="H26" s="2168">
        <v>0.79340378017102386</v>
      </c>
      <c r="I26" s="727" t="s">
        <v>659</v>
      </c>
    </row>
    <row r="27" spans="1:9" ht="14.5">
      <c r="A27" t="s">
        <v>5137</v>
      </c>
      <c r="B27" s="380" t="str">
        <f t="shared" si="0"/>
        <v>140-908</v>
      </c>
      <c r="C27" t="s">
        <v>893</v>
      </c>
      <c r="D27" s="2043">
        <v>475</v>
      </c>
      <c r="E27" s="2043">
        <v>480</v>
      </c>
      <c r="F27" s="2043">
        <v>5</v>
      </c>
      <c r="G27" s="2168">
        <v>1.0526315789473717E-2</v>
      </c>
      <c r="H27" s="2168">
        <v>0.79349967694773349</v>
      </c>
      <c r="I27" s="727" t="s">
        <v>659</v>
      </c>
    </row>
    <row r="28" spans="1:9" ht="14.5">
      <c r="A28" t="s">
        <v>5847</v>
      </c>
      <c r="B28" s="380" t="str">
        <f t="shared" si="0"/>
        <v>158-906</v>
      </c>
      <c r="C28" t="s">
        <v>1651</v>
      </c>
      <c r="D28" s="2043">
        <v>1045</v>
      </c>
      <c r="E28" s="2043">
        <v>1056</v>
      </c>
      <c r="F28" s="2043">
        <v>11</v>
      </c>
      <c r="G28" s="2168">
        <v>1.0526315789473717E-2</v>
      </c>
      <c r="H28" s="2168">
        <v>0.79371064985649442</v>
      </c>
      <c r="I28" s="727" t="s">
        <v>659</v>
      </c>
    </row>
    <row r="29" spans="1:9" ht="14.5">
      <c r="A29" t="s">
        <v>2911</v>
      </c>
      <c r="B29" s="380" t="str">
        <f t="shared" si="0"/>
        <v>028-903</v>
      </c>
      <c r="C29" t="s">
        <v>792</v>
      </c>
      <c r="D29" s="2043">
        <v>1403</v>
      </c>
      <c r="E29" s="2043">
        <v>1418</v>
      </c>
      <c r="F29" s="2043">
        <v>15</v>
      </c>
      <c r="G29" s="2168">
        <v>1.0691375623663513E-2</v>
      </c>
      <c r="H29" s="2168">
        <v>0.7939939449176906</v>
      </c>
      <c r="I29" s="727" t="s">
        <v>659</v>
      </c>
    </row>
    <row r="30" spans="1:9" ht="14.5">
      <c r="A30" t="s">
        <v>3173</v>
      </c>
      <c r="B30" s="380" t="str">
        <f t="shared" si="0"/>
        <v>184-904</v>
      </c>
      <c r="C30" t="s">
        <v>2116</v>
      </c>
      <c r="D30" s="2043">
        <v>1018</v>
      </c>
      <c r="E30" s="2043">
        <v>1029</v>
      </c>
      <c r="F30" s="2043">
        <v>11</v>
      </c>
      <c r="G30" s="2168">
        <v>1.080550098231825E-2</v>
      </c>
      <c r="H30" s="2168">
        <v>0.79419952363276169</v>
      </c>
      <c r="I30" s="727" t="s">
        <v>659</v>
      </c>
    </row>
    <row r="31" spans="1:9" ht="14.5">
      <c r="A31" t="s">
        <v>3058</v>
      </c>
      <c r="B31" s="380" t="str">
        <f t="shared" si="0"/>
        <v>111-903</v>
      </c>
      <c r="C31" t="s">
        <v>568</v>
      </c>
      <c r="D31" s="2043">
        <v>797</v>
      </c>
      <c r="E31" s="2043">
        <v>806</v>
      </c>
      <c r="F31" s="2043">
        <v>9</v>
      </c>
      <c r="G31" s="2168">
        <v>1.129234629861986E-2</v>
      </c>
      <c r="H31" s="2168">
        <v>0.79436055030365316</v>
      </c>
      <c r="I31" s="727" t="s">
        <v>659</v>
      </c>
    </row>
    <row r="32" spans="1:9" ht="14.5">
      <c r="A32" t="s">
        <v>3107</v>
      </c>
      <c r="B32" s="380" t="str">
        <f t="shared" si="0"/>
        <v>146-902</v>
      </c>
      <c r="C32" t="s">
        <v>2517</v>
      </c>
      <c r="D32" s="2043">
        <v>5418</v>
      </c>
      <c r="E32" s="2043">
        <v>5480</v>
      </c>
      <c r="F32" s="2043">
        <v>62</v>
      </c>
      <c r="G32" s="2168">
        <v>1.1443337024732436E-2</v>
      </c>
      <c r="H32" s="2168">
        <v>0.79545537183775383</v>
      </c>
      <c r="I32" s="727" t="s">
        <v>659</v>
      </c>
    </row>
    <row r="33" spans="1:9" ht="14.5">
      <c r="A33" t="s">
        <v>4995</v>
      </c>
      <c r="B33" s="380" t="str">
        <f t="shared" si="0"/>
        <v>058-905</v>
      </c>
      <c r="C33" t="s">
        <v>2469</v>
      </c>
      <c r="D33" s="2043">
        <v>261</v>
      </c>
      <c r="E33" s="2043">
        <v>264</v>
      </c>
      <c r="F33" s="2043">
        <v>3</v>
      </c>
      <c r="G33" s="2168">
        <v>1.1494252873563315E-2</v>
      </c>
      <c r="H33" s="2168">
        <v>0.79550811506494412</v>
      </c>
      <c r="I33" s="727" t="s">
        <v>659</v>
      </c>
    </row>
    <row r="34" spans="1:9" ht="14.5">
      <c r="A34" t="s">
        <v>3102</v>
      </c>
      <c r="B34" s="380" t="str">
        <f t="shared" si="0"/>
        <v>139-909</v>
      </c>
      <c r="C34" t="s">
        <v>184</v>
      </c>
      <c r="D34" s="2043">
        <v>3813</v>
      </c>
      <c r="E34" s="2043">
        <v>3857</v>
      </c>
      <c r="F34" s="2043">
        <v>44</v>
      </c>
      <c r="G34" s="2168">
        <v>1.1539470233411953E-2</v>
      </c>
      <c r="H34" s="2168">
        <v>0.79627868562279558</v>
      </c>
      <c r="I34" s="727" t="s">
        <v>659</v>
      </c>
    </row>
    <row r="35" spans="1:9" ht="14.5">
      <c r="A35" t="s">
        <v>3079</v>
      </c>
      <c r="B35" s="380" t="str">
        <f t="shared" si="0"/>
        <v>125-902</v>
      </c>
      <c r="C35" t="s">
        <v>2534</v>
      </c>
      <c r="D35" s="2043">
        <v>515</v>
      </c>
      <c r="E35" s="2043">
        <v>521</v>
      </c>
      <c r="F35" s="2043">
        <v>6</v>
      </c>
      <c r="G35" s="2168">
        <v>1.1650485436893288E-2</v>
      </c>
      <c r="H35" s="2168">
        <v>0.79638277358251575</v>
      </c>
      <c r="I35" s="727" t="s">
        <v>659</v>
      </c>
    </row>
    <row r="36" spans="1:9" ht="14.5">
      <c r="A36" t="s">
        <v>5877</v>
      </c>
      <c r="B36" s="380" t="str">
        <f t="shared" si="0"/>
        <v>207-901</v>
      </c>
      <c r="C36" t="s">
        <v>339</v>
      </c>
      <c r="D36" s="2043">
        <v>515</v>
      </c>
      <c r="E36" s="2043">
        <v>521</v>
      </c>
      <c r="F36" s="2043">
        <v>6</v>
      </c>
      <c r="G36" s="2168">
        <v>1.1650485436893288E-2</v>
      </c>
      <c r="H36" s="2168">
        <v>0.79648686154223591</v>
      </c>
      <c r="I36" s="727" t="s">
        <v>659</v>
      </c>
    </row>
    <row r="37" spans="1:9" ht="14.5">
      <c r="A37" t="s">
        <v>5193</v>
      </c>
      <c r="B37" s="380" t="str">
        <f t="shared" si="0"/>
        <v>175-905</v>
      </c>
      <c r="C37" t="s">
        <v>291</v>
      </c>
      <c r="D37" s="2043">
        <v>429</v>
      </c>
      <c r="E37" s="2043">
        <v>434</v>
      </c>
      <c r="F37" s="2043">
        <v>5</v>
      </c>
      <c r="G37" s="2168">
        <v>1.1655011655011593E-2</v>
      </c>
      <c r="H37" s="2168">
        <v>0.79657356821117753</v>
      </c>
      <c r="I37" s="727" t="s">
        <v>659</v>
      </c>
    </row>
    <row r="38" spans="1:9" ht="14.5">
      <c r="A38" t="s">
        <v>3241</v>
      </c>
      <c r="B38" s="380" t="str">
        <f t="shared" si="0"/>
        <v>234-909</v>
      </c>
      <c r="C38" t="s">
        <v>1390</v>
      </c>
      <c r="D38" s="2043">
        <v>425</v>
      </c>
      <c r="E38" s="2043">
        <v>430</v>
      </c>
      <c r="F38" s="2043">
        <v>5</v>
      </c>
      <c r="G38" s="2168">
        <v>1.1764705882352899E-2</v>
      </c>
      <c r="H38" s="2168">
        <v>0.79665947574031315</v>
      </c>
      <c r="I38" s="727" t="s">
        <v>659</v>
      </c>
    </row>
    <row r="39" spans="1:9" ht="14.5">
      <c r="A39" t="s">
        <v>3257</v>
      </c>
      <c r="B39" s="380" t="str">
        <f t="shared" si="0"/>
        <v>245-903</v>
      </c>
      <c r="C39" t="s">
        <v>76</v>
      </c>
      <c r="D39" s="2043">
        <v>2054</v>
      </c>
      <c r="E39" s="2043">
        <v>2080</v>
      </c>
      <c r="F39" s="2043">
        <v>26</v>
      </c>
      <c r="G39" s="2168">
        <v>1.2658227848101333E-2</v>
      </c>
      <c r="H39" s="2168">
        <v>0.79707502843938782</v>
      </c>
      <c r="I39" s="727" t="s">
        <v>659</v>
      </c>
    </row>
    <row r="40" spans="1:9" ht="14.5">
      <c r="A40" t="s">
        <v>3005</v>
      </c>
      <c r="B40" s="380" t="str">
        <f t="shared" si="0"/>
        <v>091-906</v>
      </c>
      <c r="C40" t="s">
        <v>1556</v>
      </c>
      <c r="D40" s="2043">
        <v>7405</v>
      </c>
      <c r="E40" s="2043">
        <v>7503</v>
      </c>
      <c r="F40" s="2043">
        <v>98</v>
      </c>
      <c r="G40" s="2168">
        <v>1.3234301147873051E-2</v>
      </c>
      <c r="H40" s="2168">
        <v>0.79857401493032898</v>
      </c>
      <c r="I40" s="727" t="s">
        <v>659</v>
      </c>
    </row>
    <row r="41" spans="1:9" ht="14.5">
      <c r="A41" t="s">
        <v>5801</v>
      </c>
      <c r="B41" s="380" t="str">
        <f t="shared" si="0"/>
        <v>077-902</v>
      </c>
      <c r="C41" t="s">
        <v>802</v>
      </c>
      <c r="D41" s="2043">
        <v>450</v>
      </c>
      <c r="E41" s="2043">
        <v>456</v>
      </c>
      <c r="F41" s="2043">
        <v>6</v>
      </c>
      <c r="G41" s="2168">
        <v>1.3333333333333419E-2</v>
      </c>
      <c r="H41" s="2168">
        <v>0.79866511686820307</v>
      </c>
      <c r="I41" s="727" t="s">
        <v>659</v>
      </c>
    </row>
    <row r="42" spans="1:9" ht="14.5">
      <c r="A42" t="s">
        <v>2995</v>
      </c>
      <c r="B42" s="380" t="str">
        <f t="shared" si="0"/>
        <v>079-906</v>
      </c>
      <c r="C42" t="s">
        <v>847</v>
      </c>
      <c r="D42" s="2043">
        <v>3262</v>
      </c>
      <c r="E42" s="2043">
        <v>3306</v>
      </c>
      <c r="F42" s="2043">
        <v>44</v>
      </c>
      <c r="G42" s="2168">
        <v>1.3488657265481319E-2</v>
      </c>
      <c r="H42" s="2168">
        <v>0.79932560591779012</v>
      </c>
      <c r="I42" s="727" t="s">
        <v>659</v>
      </c>
    </row>
    <row r="43" spans="1:9" ht="14.5">
      <c r="A43" t="s">
        <v>2946</v>
      </c>
      <c r="B43" s="380" t="str">
        <f t="shared" si="0"/>
        <v>047-903</v>
      </c>
      <c r="C43" t="s">
        <v>1637</v>
      </c>
      <c r="D43" s="2043">
        <v>148</v>
      </c>
      <c r="E43" s="2043">
        <v>150</v>
      </c>
      <c r="F43" s="2043">
        <v>2</v>
      </c>
      <c r="G43" s="2168">
        <v>1.3513513513513598E-2</v>
      </c>
      <c r="H43" s="2168">
        <v>0.7993555736605118</v>
      </c>
      <c r="I43" s="727" t="s">
        <v>659</v>
      </c>
    </row>
    <row r="44" spans="1:9" ht="14.5">
      <c r="A44" t="s">
        <v>4937</v>
      </c>
      <c r="B44" s="380" t="str">
        <f t="shared" si="0"/>
        <v>018-906</v>
      </c>
      <c r="C44" t="s">
        <v>2538</v>
      </c>
      <c r="D44" s="2043">
        <v>143</v>
      </c>
      <c r="E44" s="2043">
        <v>145</v>
      </c>
      <c r="F44" s="2043">
        <v>2</v>
      </c>
      <c r="G44" s="2168">
        <v>1.3986013986013957E-2</v>
      </c>
      <c r="H44" s="2168">
        <v>0.79938454247847612</v>
      </c>
      <c r="I44" s="727" t="s">
        <v>659</v>
      </c>
    </row>
    <row r="45" spans="1:9" ht="14.5">
      <c r="A45" t="s">
        <v>4944</v>
      </c>
      <c r="B45" s="380" t="str">
        <f t="shared" si="0"/>
        <v>020-902</v>
      </c>
      <c r="C45" t="s">
        <v>2350</v>
      </c>
      <c r="D45" s="2043">
        <v>6767</v>
      </c>
      <c r="E45" s="2043">
        <v>6863</v>
      </c>
      <c r="F45" s="2043">
        <v>96</v>
      </c>
      <c r="G45" s="2168">
        <v>1.4186493276193257E-2</v>
      </c>
      <c r="H45" s="2168">
        <v>0.80075566660047126</v>
      </c>
      <c r="I45" s="727" t="s">
        <v>659</v>
      </c>
    </row>
    <row r="46" spans="1:9" ht="14.5">
      <c r="A46" t="s">
        <v>5239</v>
      </c>
      <c r="B46" s="380" t="str">
        <f t="shared" si="0"/>
        <v>198-901</v>
      </c>
      <c r="C46" t="s">
        <v>1536</v>
      </c>
      <c r="D46" s="2043">
        <v>487</v>
      </c>
      <c r="E46" s="2043">
        <v>494</v>
      </c>
      <c r="F46" s="2043">
        <v>7</v>
      </c>
      <c r="G46" s="2168">
        <v>1.4373716632443578E-2</v>
      </c>
      <c r="H46" s="2168">
        <v>0.80085436036650148</v>
      </c>
      <c r="I46" s="727" t="s">
        <v>659</v>
      </c>
    </row>
    <row r="47" spans="1:9" ht="14.5">
      <c r="A47" t="s">
        <v>5229</v>
      </c>
      <c r="B47" s="380" t="str">
        <f t="shared" si="0"/>
        <v>188-904</v>
      </c>
      <c r="C47" t="s">
        <v>426</v>
      </c>
      <c r="D47" s="2043">
        <v>1427</v>
      </c>
      <c r="E47" s="2043">
        <v>1448</v>
      </c>
      <c r="F47" s="2043">
        <v>21</v>
      </c>
      <c r="G47" s="2168">
        <v>1.4716187806587344E-2</v>
      </c>
      <c r="H47" s="2168">
        <v>0.80114364897624202</v>
      </c>
      <c r="I47" s="727" t="s">
        <v>659</v>
      </c>
    </row>
    <row r="48" spans="1:9" ht="14.5">
      <c r="A48" t="s">
        <v>3148</v>
      </c>
      <c r="B48" s="380" t="str">
        <f t="shared" si="0"/>
        <v>170-907</v>
      </c>
      <c r="C48" t="s">
        <v>1828</v>
      </c>
      <c r="D48" s="2043">
        <v>4108</v>
      </c>
      <c r="E48" s="2043">
        <v>4170</v>
      </c>
      <c r="F48" s="2043">
        <v>62</v>
      </c>
      <c r="G48" s="2168">
        <v>1.5092502434274513E-2</v>
      </c>
      <c r="H48" s="2168">
        <v>0.80197675222390619</v>
      </c>
      <c r="I48" s="727" t="s">
        <v>659</v>
      </c>
    </row>
    <row r="49" spans="1:9" ht="14.5">
      <c r="A49" t="s">
        <v>3011</v>
      </c>
      <c r="B49" s="380" t="str">
        <f t="shared" si="0"/>
        <v>093-903</v>
      </c>
      <c r="C49" t="s">
        <v>215</v>
      </c>
      <c r="D49" s="2043">
        <v>527</v>
      </c>
      <c r="E49" s="2043">
        <v>535</v>
      </c>
      <c r="F49" s="2043">
        <v>8</v>
      </c>
      <c r="G49" s="2168">
        <v>1.5180265654648917E-2</v>
      </c>
      <c r="H49" s="2168">
        <v>0.80208363717294706</v>
      </c>
      <c r="I49" s="727" t="s">
        <v>659</v>
      </c>
    </row>
    <row r="50" spans="1:9" ht="14.5">
      <c r="A50" t="s">
        <v>5231</v>
      </c>
      <c r="B50" s="380" t="str">
        <f t="shared" si="0"/>
        <v>191-901</v>
      </c>
      <c r="C50" t="s">
        <v>2207</v>
      </c>
      <c r="D50" s="2043">
        <v>10166</v>
      </c>
      <c r="E50" s="2043">
        <v>10324</v>
      </c>
      <c r="F50" s="2043">
        <v>158</v>
      </c>
      <c r="G50" s="2168">
        <v>1.5542002754278972E-2</v>
      </c>
      <c r="H50" s="2168">
        <v>0.80414621701200828</v>
      </c>
      <c r="I50" s="727" t="s">
        <v>659</v>
      </c>
    </row>
    <row r="51" spans="1:9" ht="14.5">
      <c r="A51" t="s">
        <v>5878</v>
      </c>
      <c r="B51" s="380" t="str">
        <f t="shared" si="0"/>
        <v>209-901</v>
      </c>
      <c r="C51" t="s">
        <v>343</v>
      </c>
      <c r="D51" s="2043">
        <v>495</v>
      </c>
      <c r="E51" s="2043">
        <v>503</v>
      </c>
      <c r="F51" s="2043">
        <v>8</v>
      </c>
      <c r="G51" s="2168">
        <v>1.6161616161616266E-2</v>
      </c>
      <c r="H51" s="2168">
        <v>0.80424670884260185</v>
      </c>
      <c r="I51" s="727" t="s">
        <v>659</v>
      </c>
    </row>
    <row r="52" spans="1:9" ht="14.5">
      <c r="A52" t="s">
        <v>3214</v>
      </c>
      <c r="B52" s="380" t="str">
        <f t="shared" si="0"/>
        <v>220-915</v>
      </c>
      <c r="C52" t="s">
        <v>2000</v>
      </c>
      <c r="D52" s="2043">
        <v>6578</v>
      </c>
      <c r="E52" s="2043">
        <v>6685</v>
      </c>
      <c r="F52" s="2043">
        <v>107</v>
      </c>
      <c r="G52" s="2168">
        <v>1.6266342353298935E-2</v>
      </c>
      <c r="H52" s="2168">
        <v>0.80558227124323378</v>
      </c>
      <c r="I52" s="727" t="s">
        <v>659</v>
      </c>
    </row>
    <row r="53" spans="1:9" ht="14.5">
      <c r="A53" t="s">
        <v>2976</v>
      </c>
      <c r="B53" s="380" t="str">
        <f t="shared" si="0"/>
        <v>070-910</v>
      </c>
      <c r="C53" t="s">
        <v>1287</v>
      </c>
      <c r="D53" s="2043">
        <v>1226</v>
      </c>
      <c r="E53" s="2043">
        <v>1246</v>
      </c>
      <c r="F53" s="2043">
        <v>20</v>
      </c>
      <c r="G53" s="2168">
        <v>1.6313213703099461E-2</v>
      </c>
      <c r="H53" s="2168">
        <v>0.80583120329277569</v>
      </c>
      <c r="I53" s="727" t="s">
        <v>659</v>
      </c>
    </row>
    <row r="54" spans="1:9" ht="14.5">
      <c r="A54" t="s">
        <v>5089</v>
      </c>
      <c r="B54" s="380" t="str">
        <f t="shared" si="0"/>
        <v>107-905</v>
      </c>
      <c r="C54" t="s">
        <v>1276</v>
      </c>
      <c r="D54" s="2043">
        <v>1566</v>
      </c>
      <c r="E54" s="2043">
        <v>1592</v>
      </c>
      <c r="F54" s="2043">
        <v>26</v>
      </c>
      <c r="G54" s="2168">
        <v>1.6602809706258048E-2</v>
      </c>
      <c r="H54" s="2168">
        <v>0.80614926093552897</v>
      </c>
      <c r="I54" s="727" t="s">
        <v>659</v>
      </c>
    </row>
    <row r="55" spans="1:9" ht="14.5">
      <c r="A55" t="s">
        <v>5095</v>
      </c>
      <c r="B55" s="380" t="str">
        <f t="shared" si="0"/>
        <v>111-901</v>
      </c>
      <c r="C55" t="s">
        <v>205</v>
      </c>
      <c r="D55" s="2043">
        <v>7346</v>
      </c>
      <c r="E55" s="2043">
        <v>7469</v>
      </c>
      <c r="F55" s="2043">
        <v>123</v>
      </c>
      <c r="G55" s="2168">
        <v>1.6743806153008522E-2</v>
      </c>
      <c r="H55" s="2168">
        <v>0.80764145473811988</v>
      </c>
      <c r="I55" s="727" t="s">
        <v>659</v>
      </c>
    </row>
    <row r="56" spans="1:9" ht="14.5">
      <c r="A56" t="s">
        <v>5806</v>
      </c>
      <c r="B56" s="380" t="str">
        <f t="shared" si="0"/>
        <v>093-905</v>
      </c>
      <c r="C56" t="s">
        <v>217</v>
      </c>
      <c r="D56" s="2043">
        <v>179</v>
      </c>
      <c r="E56" s="2043">
        <v>182</v>
      </c>
      <c r="F56" s="2043">
        <v>3</v>
      </c>
      <c r="G56" s="2168">
        <v>1.6759776536312776E-2</v>
      </c>
      <c r="H56" s="2168">
        <v>0.80767781559928897</v>
      </c>
      <c r="I56" s="727" t="s">
        <v>659</v>
      </c>
    </row>
    <row r="57" spans="1:9" ht="14.5">
      <c r="A57" t="s">
        <v>4981</v>
      </c>
      <c r="B57" s="380" t="str">
        <f t="shared" si="0"/>
        <v>050-902</v>
      </c>
      <c r="C57" t="s">
        <v>2096</v>
      </c>
      <c r="D57" s="2043">
        <v>2744</v>
      </c>
      <c r="E57" s="2043">
        <v>2790</v>
      </c>
      <c r="F57" s="2043">
        <v>46</v>
      </c>
      <c r="G57" s="2168">
        <v>1.6763848396501357E-2</v>
      </c>
      <c r="H57" s="2168">
        <v>0.8082352156139132</v>
      </c>
      <c r="I57" s="727" t="s">
        <v>659</v>
      </c>
    </row>
    <row r="58" spans="1:9" ht="14.5">
      <c r="A58" t="s">
        <v>2943</v>
      </c>
      <c r="B58" s="380" t="str">
        <f t="shared" si="0"/>
        <v>046-901</v>
      </c>
      <c r="C58" t="s">
        <v>2083</v>
      </c>
      <c r="D58" s="2043">
        <v>9127</v>
      </c>
      <c r="E58" s="2043">
        <v>9282</v>
      </c>
      <c r="F58" s="2043">
        <v>155</v>
      </c>
      <c r="G58" s="2168">
        <v>1.698257916073187E-2</v>
      </c>
      <c r="H58" s="2168">
        <v>0.81008961953353409</v>
      </c>
      <c r="I58" s="727" t="s">
        <v>659</v>
      </c>
    </row>
    <row r="59" spans="1:9" ht="14.5">
      <c r="A59" t="s">
        <v>3104</v>
      </c>
      <c r="B59" s="380" t="str">
        <f t="shared" si="0"/>
        <v>141-901</v>
      </c>
      <c r="C59" t="s">
        <v>894</v>
      </c>
      <c r="D59" s="2043">
        <v>3358</v>
      </c>
      <c r="E59" s="2043">
        <v>3416</v>
      </c>
      <c r="F59" s="2043">
        <v>58</v>
      </c>
      <c r="G59" s="2168">
        <v>1.7272185824895869E-2</v>
      </c>
      <c r="H59" s="2168">
        <v>0.81077208492778374</v>
      </c>
      <c r="I59" s="727" t="s">
        <v>659</v>
      </c>
    </row>
    <row r="60" spans="1:9" ht="14.5">
      <c r="A60" t="s">
        <v>5052</v>
      </c>
      <c r="B60" s="380" t="str">
        <f t="shared" si="0"/>
        <v>092-906</v>
      </c>
      <c r="C60" t="s">
        <v>212</v>
      </c>
      <c r="D60" s="2043">
        <v>1495</v>
      </c>
      <c r="E60" s="2043">
        <v>1521</v>
      </c>
      <c r="F60" s="2043">
        <v>26</v>
      </c>
      <c r="G60" s="2168">
        <v>1.7391304347825987E-2</v>
      </c>
      <c r="H60" s="2168">
        <v>0.81107595783898212</v>
      </c>
      <c r="I60" s="727" t="s">
        <v>659</v>
      </c>
    </row>
    <row r="61" spans="1:9" ht="14.5">
      <c r="A61" t="s">
        <v>2971</v>
      </c>
      <c r="B61" s="380" t="str">
        <f t="shared" si="0"/>
        <v>065-902</v>
      </c>
      <c r="C61" t="s">
        <v>2237</v>
      </c>
      <c r="D61" s="2043">
        <v>111</v>
      </c>
      <c r="E61" s="2043">
        <v>113</v>
      </c>
      <c r="F61" s="2043">
        <v>2</v>
      </c>
      <c r="G61" s="2168">
        <v>1.8018018018018056E-2</v>
      </c>
      <c r="H61" s="2168">
        <v>0.81109853353849914</v>
      </c>
      <c r="I61" s="727" t="s">
        <v>659</v>
      </c>
    </row>
    <row r="62" spans="1:9" ht="14.5">
      <c r="A62" t="s">
        <v>3097</v>
      </c>
      <c r="B62" s="380" t="str">
        <f t="shared" si="0"/>
        <v>129-910</v>
      </c>
      <c r="C62" t="s">
        <v>1174</v>
      </c>
      <c r="D62" s="2043">
        <v>1054</v>
      </c>
      <c r="E62" s="2043">
        <v>1073</v>
      </c>
      <c r="F62" s="2043">
        <v>19</v>
      </c>
      <c r="G62" s="2168">
        <v>1.8026565464895672E-2</v>
      </c>
      <c r="H62" s="2168">
        <v>0.81131290279143531</v>
      </c>
      <c r="I62" s="727" t="s">
        <v>659</v>
      </c>
    </row>
    <row r="63" spans="1:9" ht="14.5">
      <c r="A63" t="s">
        <v>2977</v>
      </c>
      <c r="B63" s="380" t="str">
        <f t="shared" si="0"/>
        <v>070-911</v>
      </c>
      <c r="C63" t="s">
        <v>77</v>
      </c>
      <c r="D63" s="2043">
        <v>5891</v>
      </c>
      <c r="E63" s="2043">
        <v>6001</v>
      </c>
      <c r="F63" s="2043">
        <v>110</v>
      </c>
      <c r="G63" s="2168">
        <v>1.8672551349516286E-2</v>
      </c>
      <c r="H63" s="2168">
        <v>0.81251181228525615</v>
      </c>
      <c r="I63" s="727" t="s">
        <v>659</v>
      </c>
    </row>
    <row r="64" spans="1:9" ht="14.5">
      <c r="A64" t="s">
        <v>2875</v>
      </c>
      <c r="B64" s="380" t="str">
        <f t="shared" si="0"/>
        <v>014-910</v>
      </c>
      <c r="C64" t="s">
        <v>2187</v>
      </c>
      <c r="D64" s="2043">
        <v>1542</v>
      </c>
      <c r="E64" s="2043">
        <v>1571</v>
      </c>
      <c r="F64" s="2043">
        <v>29</v>
      </c>
      <c r="G64" s="2168">
        <v>1.8806744487678273E-2</v>
      </c>
      <c r="H64" s="2168">
        <v>0.81282567444402842</v>
      </c>
      <c r="I64" s="727" t="s">
        <v>659</v>
      </c>
    </row>
    <row r="65" spans="1:9" ht="14.5">
      <c r="A65" t="s">
        <v>5187</v>
      </c>
      <c r="B65" s="380" t="str">
        <f t="shared" ref="B65:B128" si="1">CONCATENATE(LEFT(RIGHT(CONCATENATE("000",A65),6),3),"-",(RIGHT(RIGHT(CONCATENATE("000",A65),6),3)))</f>
        <v>172-902</v>
      </c>
      <c r="C65" t="s">
        <v>2129</v>
      </c>
      <c r="D65" s="2043">
        <v>1037</v>
      </c>
      <c r="E65" s="2043">
        <v>1057</v>
      </c>
      <c r="F65" s="2043">
        <v>20</v>
      </c>
      <c r="G65" s="2168">
        <v>1.9286403085824411E-2</v>
      </c>
      <c r="H65" s="2168">
        <v>0.81303684713774094</v>
      </c>
      <c r="I65" s="727" t="s">
        <v>659</v>
      </c>
    </row>
    <row r="66" spans="1:9" ht="14.5">
      <c r="A66" t="s">
        <v>5320</v>
      </c>
      <c r="B66" s="380" t="str">
        <f t="shared" si="1"/>
        <v>252-902</v>
      </c>
      <c r="C66" t="s">
        <v>1299</v>
      </c>
      <c r="D66" s="2043">
        <v>206</v>
      </c>
      <c r="E66" s="2043">
        <v>210</v>
      </c>
      <c r="F66" s="2043">
        <v>4</v>
      </c>
      <c r="G66" s="2168">
        <v>1.9417475728155331E-2</v>
      </c>
      <c r="H66" s="2168">
        <v>0.81307880197755134</v>
      </c>
      <c r="I66" s="727" t="s">
        <v>659</v>
      </c>
    </row>
    <row r="67" spans="1:9" ht="14.5">
      <c r="A67" t="s">
        <v>4978</v>
      </c>
      <c r="B67" s="380" t="str">
        <f t="shared" si="1"/>
        <v>049-902</v>
      </c>
      <c r="C67" t="s">
        <v>2089</v>
      </c>
      <c r="D67" s="2043">
        <v>514</v>
      </c>
      <c r="E67" s="2043">
        <v>524</v>
      </c>
      <c r="F67" s="2043">
        <v>10</v>
      </c>
      <c r="G67" s="2168">
        <v>1.9455252918287869E-2</v>
      </c>
      <c r="H67" s="2168">
        <v>0.81318348929212592</v>
      </c>
      <c r="I67" s="727" t="s">
        <v>659</v>
      </c>
    </row>
    <row r="68" spans="1:9" ht="14.5">
      <c r="A68" t="s">
        <v>2857</v>
      </c>
      <c r="B68" s="380" t="str">
        <f t="shared" si="1"/>
        <v>007-904</v>
      </c>
      <c r="C68" t="s">
        <v>1129</v>
      </c>
      <c r="D68" s="2043">
        <v>1726</v>
      </c>
      <c r="E68" s="2043">
        <v>1760</v>
      </c>
      <c r="F68" s="2043">
        <v>34</v>
      </c>
      <c r="G68" s="2168">
        <v>1.9698725376593229E-2</v>
      </c>
      <c r="H68" s="2168">
        <v>0.81353511080672769</v>
      </c>
      <c r="I68" s="727" t="s">
        <v>659</v>
      </c>
    </row>
    <row r="69" spans="1:9" ht="14.5">
      <c r="A69" t="s">
        <v>5890</v>
      </c>
      <c r="B69" s="380" t="str">
        <f t="shared" si="1"/>
        <v>228-905</v>
      </c>
      <c r="C69" t="s">
        <v>1808</v>
      </c>
      <c r="D69" s="2043">
        <v>202</v>
      </c>
      <c r="E69" s="2043">
        <v>206</v>
      </c>
      <c r="F69" s="2043">
        <v>4</v>
      </c>
      <c r="G69" s="2168">
        <v>1.980198019801982E-2</v>
      </c>
      <c r="H69" s="2168">
        <v>0.8135762665067322</v>
      </c>
      <c r="I69" s="727" t="s">
        <v>659</v>
      </c>
    </row>
    <row r="70" spans="1:9" ht="14.5">
      <c r="A70" t="s">
        <v>3086</v>
      </c>
      <c r="B70" s="380" t="str">
        <f t="shared" si="1"/>
        <v>126-907</v>
      </c>
      <c r="C70" t="s">
        <v>2548</v>
      </c>
      <c r="D70" s="2043">
        <v>755</v>
      </c>
      <c r="E70" s="2043">
        <v>770</v>
      </c>
      <c r="F70" s="2043">
        <v>15</v>
      </c>
      <c r="G70" s="2168">
        <v>1.9867549668874274E-2</v>
      </c>
      <c r="H70" s="2168">
        <v>0.81373010091937037</v>
      </c>
      <c r="I70" s="727" t="s">
        <v>659</v>
      </c>
    </row>
    <row r="71" spans="1:9" ht="14.5">
      <c r="A71" t="s">
        <v>3031</v>
      </c>
      <c r="B71" s="380" t="str">
        <f t="shared" si="1"/>
        <v>105-906</v>
      </c>
      <c r="C71" t="s">
        <v>33</v>
      </c>
      <c r="D71" s="2043">
        <v>19925</v>
      </c>
      <c r="E71" s="2043">
        <v>20322</v>
      </c>
      <c r="F71" s="2043">
        <v>397</v>
      </c>
      <c r="G71" s="2168">
        <v>1.992471769134263E-2</v>
      </c>
      <c r="H71" s="2168">
        <v>0.81779013070331097</v>
      </c>
      <c r="I71" s="727" t="s">
        <v>659</v>
      </c>
    </row>
    <row r="72" spans="1:9" ht="14.5">
      <c r="A72" t="s">
        <v>4926</v>
      </c>
      <c r="B72" s="380" t="str">
        <f t="shared" si="1"/>
        <v>005-902</v>
      </c>
      <c r="C72" t="s">
        <v>1126</v>
      </c>
      <c r="D72" s="2043">
        <v>1048</v>
      </c>
      <c r="E72" s="2043">
        <v>1069</v>
      </c>
      <c r="F72" s="2043">
        <v>21</v>
      </c>
      <c r="G72" s="2168">
        <v>2.0038167938931206E-2</v>
      </c>
      <c r="H72" s="2168">
        <v>0.81800370081644114</v>
      </c>
      <c r="I72" s="727" t="s">
        <v>659</v>
      </c>
    </row>
    <row r="73" spans="1:9" ht="14.5">
      <c r="A73" t="s">
        <v>3647</v>
      </c>
      <c r="B73" s="380" t="str">
        <f t="shared" si="1"/>
        <v>034-906</v>
      </c>
      <c r="C73" t="s">
        <v>775</v>
      </c>
      <c r="D73" s="2043">
        <v>388</v>
      </c>
      <c r="E73" s="2043">
        <v>396</v>
      </c>
      <c r="F73" s="2043">
        <v>8</v>
      </c>
      <c r="G73" s="2168">
        <v>2.0618556701030855E-2</v>
      </c>
      <c r="H73" s="2168">
        <v>0.81808281565722651</v>
      </c>
      <c r="I73" s="727" t="s">
        <v>659</v>
      </c>
    </row>
    <row r="74" spans="1:9" ht="14.5">
      <c r="A74" t="s">
        <v>3948</v>
      </c>
      <c r="B74" s="380" t="str">
        <f t="shared" si="1"/>
        <v>091-902</v>
      </c>
      <c r="C74" t="s">
        <v>1360</v>
      </c>
      <c r="D74" s="2043">
        <v>528</v>
      </c>
      <c r="E74" s="2043">
        <v>539</v>
      </c>
      <c r="F74" s="2043">
        <v>11</v>
      </c>
      <c r="G74" s="2168">
        <v>2.0833333333333259E-2</v>
      </c>
      <c r="H74" s="2168">
        <v>0.81819049974607327</v>
      </c>
      <c r="I74" s="727" t="s">
        <v>659</v>
      </c>
    </row>
    <row r="75" spans="1:9" ht="14.5">
      <c r="A75" t="s">
        <v>5200</v>
      </c>
      <c r="B75" s="380" t="str">
        <f t="shared" si="1"/>
        <v>178-902</v>
      </c>
      <c r="C75" t="s">
        <v>2204</v>
      </c>
      <c r="D75" s="2043">
        <v>1524</v>
      </c>
      <c r="E75" s="2043">
        <v>1556</v>
      </c>
      <c r="F75" s="2043">
        <v>32</v>
      </c>
      <c r="G75" s="2168">
        <v>2.09973753280841E-2</v>
      </c>
      <c r="H75" s="2168">
        <v>0.81850136513057348</v>
      </c>
      <c r="I75" s="727" t="s">
        <v>659</v>
      </c>
    </row>
    <row r="76" spans="1:9" ht="14.5">
      <c r="A76" t="s">
        <v>2892</v>
      </c>
      <c r="B76" s="380" t="str">
        <f t="shared" si="1"/>
        <v>019-903</v>
      </c>
      <c r="C76" t="s">
        <v>1954</v>
      </c>
      <c r="D76" s="2043">
        <v>468</v>
      </c>
      <c r="E76" s="2043">
        <v>478</v>
      </c>
      <c r="F76" s="2043">
        <v>10</v>
      </c>
      <c r="G76" s="2168">
        <v>2.1367521367521292E-2</v>
      </c>
      <c r="H76" s="2168">
        <v>0.81859686233738005</v>
      </c>
      <c r="I76" s="727" t="s">
        <v>659</v>
      </c>
    </row>
    <row r="77" spans="1:9" ht="14.5">
      <c r="A77" t="s">
        <v>2947</v>
      </c>
      <c r="B77" s="380" t="str">
        <f t="shared" si="1"/>
        <v>047-905</v>
      </c>
      <c r="C77" t="s">
        <v>2086</v>
      </c>
      <c r="D77" s="2043">
        <v>139</v>
      </c>
      <c r="E77" s="2043">
        <v>142</v>
      </c>
      <c r="F77" s="2043">
        <v>3</v>
      </c>
      <c r="G77" s="2168">
        <v>2.1582733812949728E-2</v>
      </c>
      <c r="H77" s="2168">
        <v>0.81862523180048996</v>
      </c>
      <c r="I77" s="727" t="s">
        <v>659</v>
      </c>
    </row>
    <row r="78" spans="1:9" ht="14.5">
      <c r="A78" t="s">
        <v>3130</v>
      </c>
      <c r="B78" s="380" t="str">
        <f t="shared" si="1"/>
        <v>161-920</v>
      </c>
      <c r="C78" t="s">
        <v>1090</v>
      </c>
      <c r="D78" s="2043">
        <v>2809</v>
      </c>
      <c r="E78" s="2043">
        <v>2870</v>
      </c>
      <c r="F78" s="2043">
        <v>61</v>
      </c>
      <c r="G78" s="2168">
        <v>2.1715913136347353E-2</v>
      </c>
      <c r="H78" s="2168">
        <v>0.81919861461123245</v>
      </c>
      <c r="I78" s="727" t="s">
        <v>659</v>
      </c>
    </row>
    <row r="79" spans="1:9" ht="14.5">
      <c r="A79" t="s">
        <v>5251</v>
      </c>
      <c r="B79" s="380" t="str">
        <f t="shared" si="1"/>
        <v>208-903</v>
      </c>
      <c r="C79" t="s">
        <v>342</v>
      </c>
      <c r="D79" s="2043">
        <v>267</v>
      </c>
      <c r="E79" s="2043">
        <v>273</v>
      </c>
      <c r="F79" s="2043">
        <v>6</v>
      </c>
      <c r="G79" s="2168">
        <v>2.2471910112359605E-2</v>
      </c>
      <c r="H79" s="2168">
        <v>0.81925315590298597</v>
      </c>
      <c r="I79" s="727" t="s">
        <v>659</v>
      </c>
    </row>
    <row r="80" spans="1:9" ht="14.5">
      <c r="A80" t="s">
        <v>2962</v>
      </c>
      <c r="B80" s="380" t="str">
        <f t="shared" si="1"/>
        <v>061-906</v>
      </c>
      <c r="C80" t="s">
        <v>948</v>
      </c>
      <c r="D80" s="2043">
        <v>1550</v>
      </c>
      <c r="E80" s="2043">
        <v>1585</v>
      </c>
      <c r="F80" s="2043">
        <v>35</v>
      </c>
      <c r="G80" s="2168">
        <v>2.2580645161290214E-2</v>
      </c>
      <c r="H80" s="2168">
        <v>0.81956981505107906</v>
      </c>
      <c r="I80" s="727" t="s">
        <v>659</v>
      </c>
    </row>
    <row r="81" spans="1:9" ht="14.5">
      <c r="A81" t="s">
        <v>5141</v>
      </c>
      <c r="B81" s="380" t="str">
        <f t="shared" si="1"/>
        <v>144-901</v>
      </c>
      <c r="C81" t="s">
        <v>902</v>
      </c>
      <c r="D81" s="2043">
        <v>1871</v>
      </c>
      <c r="E81" s="2043">
        <v>1914</v>
      </c>
      <c r="F81" s="2043">
        <v>43</v>
      </c>
      <c r="G81" s="2168">
        <v>2.2982362373062504E-2</v>
      </c>
      <c r="H81" s="2168">
        <v>0.81995220344820829</v>
      </c>
      <c r="I81" s="727" t="s">
        <v>659</v>
      </c>
    </row>
    <row r="82" spans="1:9" ht="14.5">
      <c r="A82" t="s">
        <v>5210</v>
      </c>
      <c r="B82" s="380" t="str">
        <f t="shared" si="1"/>
        <v>181-906</v>
      </c>
      <c r="C82" t="s">
        <v>2205</v>
      </c>
      <c r="D82" s="2043">
        <v>2465</v>
      </c>
      <c r="E82" s="2043">
        <v>2522</v>
      </c>
      <c r="F82" s="2043">
        <v>57</v>
      </c>
      <c r="G82" s="2168">
        <v>2.3123732251521201E-2</v>
      </c>
      <c r="H82" s="2168">
        <v>0.82045606109583646</v>
      </c>
      <c r="I82" s="727" t="s">
        <v>659</v>
      </c>
    </row>
    <row r="83" spans="1:9" ht="14.5">
      <c r="A83" t="s">
        <v>5761</v>
      </c>
      <c r="B83" s="380" t="str">
        <f t="shared" si="1"/>
        <v>028-906</v>
      </c>
      <c r="C83" t="s">
        <v>1507</v>
      </c>
      <c r="D83" s="2043">
        <v>216</v>
      </c>
      <c r="E83" s="2043">
        <v>221</v>
      </c>
      <c r="F83" s="2043">
        <v>5</v>
      </c>
      <c r="G83" s="2168">
        <v>2.314814814814814E-2</v>
      </c>
      <c r="H83" s="2168">
        <v>0.82050021357011316</v>
      </c>
      <c r="I83" s="727" t="s">
        <v>659</v>
      </c>
    </row>
    <row r="84" spans="1:9" ht="14.5">
      <c r="A84" t="s">
        <v>7354</v>
      </c>
      <c r="B84" s="380" t="str">
        <f t="shared" si="1"/>
        <v>031-916</v>
      </c>
      <c r="C84" t="s">
        <v>7355</v>
      </c>
      <c r="D84" s="2043">
        <v>4098</v>
      </c>
      <c r="E84" s="2043">
        <v>4194</v>
      </c>
      <c r="F84" s="2043">
        <v>96</v>
      </c>
      <c r="G84" s="2168">
        <v>2.3426061493411421E-2</v>
      </c>
      <c r="H84" s="2168">
        <v>0.82133811165661286</v>
      </c>
      <c r="I84" s="727" t="s">
        <v>659</v>
      </c>
    </row>
    <row r="85" spans="1:9" ht="14.5">
      <c r="A85" t="s">
        <v>5899</v>
      </c>
      <c r="B85" s="380" t="str">
        <f t="shared" si="1"/>
        <v>246-914</v>
      </c>
      <c r="C85" t="s">
        <v>1521</v>
      </c>
      <c r="D85" s="2043">
        <v>169</v>
      </c>
      <c r="E85" s="2043">
        <v>173</v>
      </c>
      <c r="F85" s="2043">
        <v>4</v>
      </c>
      <c r="G85" s="2168">
        <v>2.3668639053254337E-2</v>
      </c>
      <c r="H85" s="2168">
        <v>0.8213726744532186</v>
      </c>
      <c r="I85" s="727" t="s">
        <v>659</v>
      </c>
    </row>
    <row r="86" spans="1:9" ht="14.5">
      <c r="A86" t="s">
        <v>4984</v>
      </c>
      <c r="B86" s="380" t="str">
        <f t="shared" si="1"/>
        <v>055-901</v>
      </c>
      <c r="C86" t="s">
        <v>113</v>
      </c>
      <c r="D86" s="2043">
        <v>378</v>
      </c>
      <c r="E86" s="2043">
        <v>387</v>
      </c>
      <c r="F86" s="2043">
        <v>9</v>
      </c>
      <c r="G86" s="2168">
        <v>2.3809523809523725E-2</v>
      </c>
      <c r="H86" s="2168">
        <v>0.82144999122944062</v>
      </c>
      <c r="I86" s="727" t="s">
        <v>659</v>
      </c>
    </row>
    <row r="87" spans="1:9" ht="14.5">
      <c r="A87" t="s">
        <v>5242</v>
      </c>
      <c r="B87" s="380" t="str">
        <f t="shared" si="1"/>
        <v>199-901</v>
      </c>
      <c r="C87" t="s">
        <v>924</v>
      </c>
      <c r="D87" s="2043">
        <v>16587</v>
      </c>
      <c r="E87" s="2043">
        <v>16987</v>
      </c>
      <c r="F87" s="2043">
        <v>400</v>
      </c>
      <c r="G87" s="2168">
        <v>2.4115270995357818E-2</v>
      </c>
      <c r="H87" s="2168">
        <v>0.82484373820020129</v>
      </c>
      <c r="I87" s="727" t="s">
        <v>659</v>
      </c>
    </row>
    <row r="88" spans="1:9" ht="14.5">
      <c r="A88" t="s">
        <v>5084</v>
      </c>
      <c r="B88" s="380" t="str">
        <f t="shared" si="1"/>
        <v>105-905</v>
      </c>
      <c r="C88" t="s">
        <v>153</v>
      </c>
      <c r="D88" s="2043">
        <v>2501</v>
      </c>
      <c r="E88" s="2043">
        <v>2562</v>
      </c>
      <c r="F88" s="2043">
        <v>61</v>
      </c>
      <c r="G88" s="2168">
        <v>2.4390243902439046E-2</v>
      </c>
      <c r="H88" s="2168">
        <v>0.82535558724588853</v>
      </c>
      <c r="I88" s="727" t="s">
        <v>659</v>
      </c>
    </row>
    <row r="89" spans="1:9" ht="14.5">
      <c r="A89" t="s">
        <v>5283</v>
      </c>
      <c r="B89" s="380" t="str">
        <f t="shared" si="1"/>
        <v>227-913</v>
      </c>
      <c r="C89" t="s">
        <v>1805</v>
      </c>
      <c r="D89" s="2043">
        <v>10738</v>
      </c>
      <c r="E89" s="2043">
        <v>11001</v>
      </c>
      <c r="F89" s="2043">
        <v>263</v>
      </c>
      <c r="G89" s="2168">
        <v>2.4492456695846432E-2</v>
      </c>
      <c r="H89" s="2168">
        <v>0.82755342149710054</v>
      </c>
      <c r="I89" s="727" t="s">
        <v>659</v>
      </c>
    </row>
    <row r="90" spans="1:9" ht="14.5">
      <c r="A90" t="s">
        <v>5839</v>
      </c>
      <c r="B90" s="380" t="str">
        <f t="shared" si="1"/>
        <v>143-902</v>
      </c>
      <c r="C90" t="s">
        <v>897</v>
      </c>
      <c r="D90" s="2043">
        <v>279</v>
      </c>
      <c r="E90" s="2043">
        <v>286</v>
      </c>
      <c r="F90" s="2043">
        <v>7</v>
      </c>
      <c r="G90" s="2168">
        <v>2.5089605734766929E-2</v>
      </c>
      <c r="H90" s="2168">
        <v>0.8276105599932233</v>
      </c>
      <c r="I90" s="727" t="s">
        <v>659</v>
      </c>
    </row>
    <row r="91" spans="1:9" ht="14.5">
      <c r="A91" t="s">
        <v>2961</v>
      </c>
      <c r="B91" s="380" t="str">
        <f t="shared" si="1"/>
        <v>061-905</v>
      </c>
      <c r="C91" t="s">
        <v>1598</v>
      </c>
      <c r="D91" s="2043">
        <v>2049</v>
      </c>
      <c r="E91" s="2043">
        <v>2101</v>
      </c>
      <c r="F91" s="2043">
        <v>52</v>
      </c>
      <c r="G91" s="2168">
        <v>2.5378233284528928E-2</v>
      </c>
      <c r="H91" s="2168">
        <v>0.8280303081762791</v>
      </c>
      <c r="I91" s="727" t="s">
        <v>659</v>
      </c>
    </row>
    <row r="92" spans="1:9" ht="14.5">
      <c r="A92" t="s">
        <v>5228</v>
      </c>
      <c r="B92" s="380" t="str">
        <f t="shared" si="1"/>
        <v>188-903</v>
      </c>
      <c r="C92" t="s">
        <v>121</v>
      </c>
      <c r="D92" s="2043">
        <v>864</v>
      </c>
      <c r="E92" s="2043">
        <v>886</v>
      </c>
      <c r="F92" s="2043">
        <v>22</v>
      </c>
      <c r="G92" s="2168">
        <v>2.5462962962963021E-2</v>
      </c>
      <c r="H92" s="2168">
        <v>0.82820731764328881</v>
      </c>
      <c r="I92" s="727" t="s">
        <v>659</v>
      </c>
    </row>
    <row r="93" spans="1:9" ht="14.5">
      <c r="A93" t="s">
        <v>5120</v>
      </c>
      <c r="B93" s="380" t="str">
        <f t="shared" si="1"/>
        <v>126-903</v>
      </c>
      <c r="C93" t="s">
        <v>1093</v>
      </c>
      <c r="D93" s="2043">
        <v>6684</v>
      </c>
      <c r="E93" s="2043">
        <v>6859</v>
      </c>
      <c r="F93" s="2043">
        <v>175</v>
      </c>
      <c r="G93" s="2168">
        <v>2.6181926989826465E-2</v>
      </c>
      <c r="H93" s="2168">
        <v>0.82957764262547795</v>
      </c>
      <c r="I93" s="727" t="s">
        <v>659</v>
      </c>
    </row>
    <row r="94" spans="1:9" ht="14.5">
      <c r="A94" t="s">
        <v>2872</v>
      </c>
      <c r="B94" s="380" t="str">
        <f t="shared" si="1"/>
        <v>014-907</v>
      </c>
      <c r="C94" t="s">
        <v>1317</v>
      </c>
      <c r="D94" s="2043">
        <v>869</v>
      </c>
      <c r="E94" s="2043">
        <v>892</v>
      </c>
      <c r="F94" s="2043">
        <v>23</v>
      </c>
      <c r="G94" s="2168">
        <v>2.6467203682393636E-2</v>
      </c>
      <c r="H94" s="2168">
        <v>0.82975585080219649</v>
      </c>
      <c r="I94" s="727" t="s">
        <v>659</v>
      </c>
    </row>
    <row r="95" spans="1:9" ht="14.5">
      <c r="A95" t="s">
        <v>3017</v>
      </c>
      <c r="B95" s="380" t="str">
        <f t="shared" si="1"/>
        <v>100-907</v>
      </c>
      <c r="C95" t="s">
        <v>793</v>
      </c>
      <c r="D95" s="2043">
        <v>4037</v>
      </c>
      <c r="E95" s="2043">
        <v>4144</v>
      </c>
      <c r="F95" s="2043">
        <v>107</v>
      </c>
      <c r="G95" s="2168">
        <v>2.6504830319544315E-2</v>
      </c>
      <c r="H95" s="2168">
        <v>0.8305837596411223</v>
      </c>
      <c r="I95" s="727" t="s">
        <v>659</v>
      </c>
    </row>
    <row r="96" spans="1:9" ht="14.5">
      <c r="A96" t="s">
        <v>3145</v>
      </c>
      <c r="B96" s="380" t="str">
        <f t="shared" si="1"/>
        <v>170-902</v>
      </c>
      <c r="C96" t="s">
        <v>1463</v>
      </c>
      <c r="D96" s="2043">
        <v>62837</v>
      </c>
      <c r="E96" s="2043">
        <v>64563</v>
      </c>
      <c r="F96" s="2043">
        <v>1726</v>
      </c>
      <c r="G96" s="2168">
        <v>2.7467893120295406E-2</v>
      </c>
      <c r="H96" s="2168">
        <v>0.84348247546341115</v>
      </c>
      <c r="I96" s="727" t="s">
        <v>659</v>
      </c>
    </row>
    <row r="97" spans="1:9" ht="14.5">
      <c r="A97" t="s">
        <v>5109</v>
      </c>
      <c r="B97" s="380" t="str">
        <f t="shared" si="1"/>
        <v>119-901</v>
      </c>
      <c r="C97" t="s">
        <v>2323</v>
      </c>
      <c r="D97" s="2043">
        <v>253</v>
      </c>
      <c r="E97" s="2043">
        <v>260</v>
      </c>
      <c r="F97" s="2043">
        <v>7</v>
      </c>
      <c r="G97" s="2168">
        <v>2.7667984189723382E-2</v>
      </c>
      <c r="H97" s="2168">
        <v>0.84353441955079556</v>
      </c>
      <c r="I97" s="727" t="s">
        <v>659</v>
      </c>
    </row>
    <row r="98" spans="1:9" ht="14.5">
      <c r="A98" t="s">
        <v>3170</v>
      </c>
      <c r="B98" s="380" t="str">
        <f t="shared" si="1"/>
        <v>184-901</v>
      </c>
      <c r="C98" t="s">
        <v>949</v>
      </c>
      <c r="D98" s="2043">
        <v>542</v>
      </c>
      <c r="E98" s="2043">
        <v>557</v>
      </c>
      <c r="F98" s="2043">
        <v>15</v>
      </c>
      <c r="G98" s="2168">
        <v>2.7675276752767486E-2</v>
      </c>
      <c r="H98" s="2168">
        <v>0.84364569976876891</v>
      </c>
      <c r="I98" s="727" t="s">
        <v>659</v>
      </c>
    </row>
    <row r="99" spans="1:9" ht="14.5">
      <c r="A99" t="s">
        <v>5113</v>
      </c>
      <c r="B99" s="380" t="str">
        <f t="shared" si="1"/>
        <v>120-905</v>
      </c>
      <c r="C99" t="s">
        <v>584</v>
      </c>
      <c r="D99" s="2043">
        <v>1162</v>
      </c>
      <c r="E99" s="2043">
        <v>1195</v>
      </c>
      <c r="F99" s="2043">
        <v>33</v>
      </c>
      <c r="G99" s="2168">
        <v>2.839931153184172E-2</v>
      </c>
      <c r="H99" s="2168">
        <v>0.84388444278578534</v>
      </c>
      <c r="I99" s="727" t="s">
        <v>659</v>
      </c>
    </row>
    <row r="100" spans="1:9" ht="14.5">
      <c r="A100" t="s">
        <v>5194</v>
      </c>
      <c r="B100" s="380" t="str">
        <f t="shared" si="1"/>
        <v>175-910</v>
      </c>
      <c r="C100" t="s">
        <v>292</v>
      </c>
      <c r="D100" s="2043">
        <v>734</v>
      </c>
      <c r="E100" s="2043">
        <v>755</v>
      </c>
      <c r="F100" s="2043">
        <v>21</v>
      </c>
      <c r="G100" s="2168">
        <v>2.8610354223433276E-2</v>
      </c>
      <c r="H100" s="2168">
        <v>0.84403528042415144</v>
      </c>
      <c r="I100" s="727" t="s">
        <v>659</v>
      </c>
    </row>
    <row r="101" spans="1:9" ht="14.5">
      <c r="A101" t="s">
        <v>5277</v>
      </c>
      <c r="B101" s="380" t="str">
        <f t="shared" si="1"/>
        <v>226-901</v>
      </c>
      <c r="C101" t="s">
        <v>1799</v>
      </c>
      <c r="D101" s="2043">
        <v>550</v>
      </c>
      <c r="E101" s="2043">
        <v>566</v>
      </c>
      <c r="F101" s="2043">
        <v>16</v>
      </c>
      <c r="G101" s="2168">
        <v>2.9090909090909056E-2</v>
      </c>
      <c r="H101" s="2168">
        <v>0.84414835870668814</v>
      </c>
      <c r="I101" s="727" t="s">
        <v>659</v>
      </c>
    </row>
    <row r="102" spans="1:9" ht="14.5">
      <c r="A102" t="s">
        <v>2862</v>
      </c>
      <c r="B102" s="380" t="str">
        <f t="shared" si="1"/>
        <v>011-901</v>
      </c>
      <c r="C102" t="s">
        <v>2004</v>
      </c>
      <c r="D102" s="2043">
        <v>11081</v>
      </c>
      <c r="E102" s="2043">
        <v>11405</v>
      </c>
      <c r="F102" s="2043">
        <v>324</v>
      </c>
      <c r="G102" s="2168">
        <v>2.9239238335890372E-2</v>
      </c>
      <c r="H102" s="2168">
        <v>0.84642690607829729</v>
      </c>
      <c r="I102" s="727" t="s">
        <v>659</v>
      </c>
    </row>
    <row r="103" spans="1:9" ht="14.5">
      <c r="A103" t="s">
        <v>4954</v>
      </c>
      <c r="B103" s="380" t="str">
        <f t="shared" si="1"/>
        <v>030-906</v>
      </c>
      <c r="C103" t="s">
        <v>1511</v>
      </c>
      <c r="D103" s="2043">
        <v>441</v>
      </c>
      <c r="E103" s="2043">
        <v>454</v>
      </c>
      <c r="F103" s="2043">
        <v>13</v>
      </c>
      <c r="G103" s="2168">
        <v>2.947845804988658E-2</v>
      </c>
      <c r="H103" s="2168">
        <v>0.84651760844626844</v>
      </c>
      <c r="I103" s="727" t="s">
        <v>659</v>
      </c>
    </row>
    <row r="104" spans="1:9" ht="14.5">
      <c r="A104" t="s">
        <v>5889</v>
      </c>
      <c r="B104" s="380" t="str">
        <f t="shared" si="1"/>
        <v>228-904</v>
      </c>
      <c r="C104" t="s">
        <v>1721</v>
      </c>
      <c r="D104" s="2043">
        <v>135</v>
      </c>
      <c r="E104" s="2043">
        <v>139</v>
      </c>
      <c r="F104" s="2043">
        <v>4</v>
      </c>
      <c r="G104" s="2168">
        <v>2.9629629629629672E-2</v>
      </c>
      <c r="H104" s="2168">
        <v>0.84654537855452394</v>
      </c>
      <c r="I104" s="727" t="s">
        <v>659</v>
      </c>
    </row>
    <row r="105" spans="1:9" ht="14.5">
      <c r="A105" t="s">
        <v>5102</v>
      </c>
      <c r="B105" s="380" t="str">
        <f t="shared" si="1"/>
        <v>115-901</v>
      </c>
      <c r="C105" t="s">
        <v>1484</v>
      </c>
      <c r="D105" s="2043">
        <v>397</v>
      </c>
      <c r="E105" s="2043">
        <v>409</v>
      </c>
      <c r="F105" s="2043">
        <v>12</v>
      </c>
      <c r="G105" s="2168">
        <v>3.0226700251889227E-2</v>
      </c>
      <c r="H105" s="2168">
        <v>0.84662709059967856</v>
      </c>
      <c r="I105" s="727" t="s">
        <v>659</v>
      </c>
    </row>
    <row r="106" spans="1:9" ht="14.5">
      <c r="A106" t="s">
        <v>5858</v>
      </c>
      <c r="B106" s="380" t="str">
        <f t="shared" si="1"/>
        <v>173-901</v>
      </c>
      <c r="C106" t="s">
        <v>2131</v>
      </c>
      <c r="D106" s="2043">
        <v>162</v>
      </c>
      <c r="E106" s="2043">
        <v>167</v>
      </c>
      <c r="F106" s="2043">
        <v>5</v>
      </c>
      <c r="G106" s="2168">
        <v>3.0864197530864113E-2</v>
      </c>
      <c r="H106" s="2168">
        <v>0.84666045468657536</v>
      </c>
      <c r="I106" s="727" t="s">
        <v>659</v>
      </c>
    </row>
    <row r="107" spans="1:9" ht="14.5">
      <c r="A107" t="s">
        <v>5888</v>
      </c>
      <c r="B107" s="380" t="str">
        <f t="shared" si="1"/>
        <v>228-901</v>
      </c>
      <c r="C107" t="s">
        <v>1806</v>
      </c>
      <c r="D107" s="2043">
        <v>739</v>
      </c>
      <c r="E107" s="2043">
        <v>762</v>
      </c>
      <c r="F107" s="2043">
        <v>23</v>
      </c>
      <c r="G107" s="2168">
        <v>3.1123139377537301E-2</v>
      </c>
      <c r="H107" s="2168">
        <v>0.84681269081960175</v>
      </c>
      <c r="I107" s="727" t="s">
        <v>659</v>
      </c>
    </row>
    <row r="108" spans="1:9" ht="14.5">
      <c r="A108" t="s">
        <v>2975</v>
      </c>
      <c r="B108" s="380" t="str">
        <f t="shared" si="1"/>
        <v>070-907</v>
      </c>
      <c r="C108" t="s">
        <v>1196</v>
      </c>
      <c r="D108" s="2043">
        <v>602</v>
      </c>
      <c r="E108" s="2043">
        <v>621</v>
      </c>
      <c r="F108" s="2043">
        <v>19</v>
      </c>
      <c r="G108" s="2168">
        <v>3.1561461794019863E-2</v>
      </c>
      <c r="H108" s="2168">
        <v>0.84693675727446971</v>
      </c>
      <c r="I108" s="727" t="s">
        <v>659</v>
      </c>
    </row>
    <row r="109" spans="1:9" ht="14.5">
      <c r="A109" t="s">
        <v>5142</v>
      </c>
      <c r="B109" s="380" t="str">
        <f t="shared" si="1"/>
        <v>144-902</v>
      </c>
      <c r="C109" t="s">
        <v>903</v>
      </c>
      <c r="D109" s="2043">
        <v>1026</v>
      </c>
      <c r="E109" s="2043">
        <v>1059</v>
      </c>
      <c r="F109" s="2043">
        <v>33</v>
      </c>
      <c r="G109" s="2168">
        <v>3.2163742690058506E-2</v>
      </c>
      <c r="H109" s="2168">
        <v>0.84714832953808517</v>
      </c>
      <c r="I109" s="727" t="s">
        <v>659</v>
      </c>
    </row>
    <row r="110" spans="1:9" ht="14.5">
      <c r="A110" t="s">
        <v>3903</v>
      </c>
      <c r="B110" s="380" t="str">
        <f t="shared" si="1"/>
        <v>073-904</v>
      </c>
      <c r="C110" t="s">
        <v>1256</v>
      </c>
      <c r="D110" s="2043">
        <v>155</v>
      </c>
      <c r="E110" s="2043">
        <v>160</v>
      </c>
      <c r="F110" s="2043">
        <v>5</v>
      </c>
      <c r="G110" s="2168">
        <v>3.2258064516129004E-2</v>
      </c>
      <c r="H110" s="2168">
        <v>0.84718029513032167</v>
      </c>
      <c r="I110" s="727" t="s">
        <v>659</v>
      </c>
    </row>
    <row r="111" spans="1:9" ht="14.5">
      <c r="A111" t="s">
        <v>5262</v>
      </c>
      <c r="B111" s="380" t="str">
        <f t="shared" si="1"/>
        <v>216-901</v>
      </c>
      <c r="C111" t="s">
        <v>2421</v>
      </c>
      <c r="D111" s="2043">
        <v>327</v>
      </c>
      <c r="E111" s="2043">
        <v>338</v>
      </c>
      <c r="F111" s="2043">
        <v>11</v>
      </c>
      <c r="G111" s="2168">
        <v>3.3639143730886945E-2</v>
      </c>
      <c r="H111" s="2168">
        <v>0.84724782244392138</v>
      </c>
      <c r="I111" s="727" t="s">
        <v>659</v>
      </c>
    </row>
    <row r="112" spans="1:9" ht="14.5">
      <c r="A112" t="s">
        <v>4942</v>
      </c>
      <c r="B112" s="380" t="str">
        <f t="shared" si="1"/>
        <v>019-911</v>
      </c>
      <c r="C112" t="s">
        <v>2347</v>
      </c>
      <c r="D112" s="2043">
        <v>501</v>
      </c>
      <c r="E112" s="2043">
        <v>518</v>
      </c>
      <c r="F112" s="2043">
        <v>17</v>
      </c>
      <c r="G112" s="2168">
        <v>3.3932135728542923E-2</v>
      </c>
      <c r="H112" s="2168">
        <v>0.84735131104878714</v>
      </c>
      <c r="I112" s="727" t="s">
        <v>659</v>
      </c>
    </row>
    <row r="113" spans="1:9" ht="14.5">
      <c r="A113" t="s">
        <v>5255</v>
      </c>
      <c r="B113" s="380" t="str">
        <f t="shared" si="1"/>
        <v>212-902</v>
      </c>
      <c r="C113" t="s">
        <v>1882</v>
      </c>
      <c r="D113" s="2043">
        <v>2587</v>
      </c>
      <c r="E113" s="2043">
        <v>2675</v>
      </c>
      <c r="F113" s="2043">
        <v>88</v>
      </c>
      <c r="G113" s="2168">
        <v>3.4016235021260055E-2</v>
      </c>
      <c r="H113" s="2168">
        <v>0.8478857357939914</v>
      </c>
      <c r="I113" s="727" t="s">
        <v>659</v>
      </c>
    </row>
    <row r="114" spans="1:9" ht="14.5">
      <c r="A114" t="s">
        <v>5189</v>
      </c>
      <c r="B114" s="380" t="str">
        <f t="shared" si="1"/>
        <v>174-902</v>
      </c>
      <c r="C114" t="s">
        <v>2132</v>
      </c>
      <c r="D114" s="2043">
        <v>557</v>
      </c>
      <c r="E114" s="2043">
        <v>576</v>
      </c>
      <c r="F114" s="2043">
        <v>19</v>
      </c>
      <c r="G114" s="2168">
        <v>3.4111310592459532E-2</v>
      </c>
      <c r="H114" s="2168">
        <v>0.84800081192604282</v>
      </c>
      <c r="I114" s="727" t="s">
        <v>659</v>
      </c>
    </row>
    <row r="115" spans="1:9" ht="14.5">
      <c r="A115" t="s">
        <v>5178</v>
      </c>
      <c r="B115" s="380" t="str">
        <f t="shared" si="1"/>
        <v>166-905</v>
      </c>
      <c r="C115" t="s">
        <v>1664</v>
      </c>
      <c r="D115" s="2043">
        <v>557</v>
      </c>
      <c r="E115" s="2043">
        <v>576</v>
      </c>
      <c r="F115" s="2043">
        <v>19</v>
      </c>
      <c r="G115" s="2168">
        <v>3.4111310592459532E-2</v>
      </c>
      <c r="H115" s="2168">
        <v>0.84811588805809424</v>
      </c>
      <c r="I115" s="727" t="s">
        <v>659</v>
      </c>
    </row>
    <row r="116" spans="1:9" ht="14.5">
      <c r="A116" t="s">
        <v>5259</v>
      </c>
      <c r="B116" s="380" t="str">
        <f t="shared" si="1"/>
        <v>213-901</v>
      </c>
      <c r="C116" t="s">
        <v>1887</v>
      </c>
      <c r="D116" s="2043">
        <v>1857</v>
      </c>
      <c r="E116" s="2043">
        <v>1921</v>
      </c>
      <c r="F116" s="2043">
        <v>64</v>
      </c>
      <c r="G116" s="2168">
        <v>3.4464189553042646E-2</v>
      </c>
      <c r="H116" s="2168">
        <v>0.84849967494988399</v>
      </c>
      <c r="I116" s="727" t="s">
        <v>659</v>
      </c>
    </row>
    <row r="117" spans="1:9" ht="14.5">
      <c r="A117" t="s">
        <v>4943</v>
      </c>
      <c r="B117" s="380" t="str">
        <f t="shared" si="1"/>
        <v>019-912</v>
      </c>
      <c r="C117" t="s">
        <v>2348</v>
      </c>
      <c r="D117" s="2043">
        <v>2158</v>
      </c>
      <c r="E117" s="2043">
        <v>2233</v>
      </c>
      <c r="F117" s="2043">
        <v>75</v>
      </c>
      <c r="G117" s="2168">
        <v>3.4754402224281833E-2</v>
      </c>
      <c r="H117" s="2168">
        <v>0.84894579474653487</v>
      </c>
      <c r="I117" s="727" t="s">
        <v>659</v>
      </c>
    </row>
    <row r="118" spans="1:9" ht="14.5">
      <c r="A118" t="s">
        <v>5063</v>
      </c>
      <c r="B118" s="380" t="str">
        <f t="shared" si="1"/>
        <v>099-902</v>
      </c>
      <c r="C118" t="s">
        <v>448</v>
      </c>
      <c r="D118" s="2043">
        <v>200</v>
      </c>
      <c r="E118" s="2043">
        <v>207</v>
      </c>
      <c r="F118" s="2043">
        <v>7</v>
      </c>
      <c r="G118" s="2168">
        <v>3.499999999999992E-2</v>
      </c>
      <c r="H118" s="2168">
        <v>0.84898715023149085</v>
      </c>
      <c r="I118" s="727" t="s">
        <v>659</v>
      </c>
    </row>
    <row r="119" spans="1:9" ht="14.5">
      <c r="A119" t="s">
        <v>3124</v>
      </c>
      <c r="B119" s="380" t="str">
        <f t="shared" si="1"/>
        <v>161-909</v>
      </c>
      <c r="C119" t="s">
        <v>773</v>
      </c>
      <c r="D119" s="2043">
        <v>1426</v>
      </c>
      <c r="E119" s="2043">
        <v>1478</v>
      </c>
      <c r="F119" s="2043">
        <v>52</v>
      </c>
      <c r="G119" s="2168">
        <v>3.6465638148667656E-2</v>
      </c>
      <c r="H119" s="2168">
        <v>0.84928243238977563</v>
      </c>
      <c r="I119" s="727" t="s">
        <v>659</v>
      </c>
    </row>
    <row r="120" spans="1:9" ht="14.5">
      <c r="A120" t="s">
        <v>5041</v>
      </c>
      <c r="B120" s="380" t="str">
        <f t="shared" si="1"/>
        <v>090-902</v>
      </c>
      <c r="C120" t="s">
        <v>1357</v>
      </c>
      <c r="D120" s="2043">
        <v>163</v>
      </c>
      <c r="E120" s="2043">
        <v>169</v>
      </c>
      <c r="F120" s="2043">
        <v>6</v>
      </c>
      <c r="G120" s="2168">
        <v>3.6809815950920255E-2</v>
      </c>
      <c r="H120" s="2168">
        <v>0.84931619604657549</v>
      </c>
      <c r="I120" s="727" t="s">
        <v>659</v>
      </c>
    </row>
    <row r="121" spans="1:9" ht="14.5">
      <c r="A121" t="s">
        <v>2863</v>
      </c>
      <c r="B121" s="380" t="str">
        <f t="shared" si="1"/>
        <v>011-902</v>
      </c>
      <c r="C121" t="s">
        <v>843</v>
      </c>
      <c r="D121" s="2043">
        <v>4457</v>
      </c>
      <c r="E121" s="2043">
        <v>4628</v>
      </c>
      <c r="F121" s="2043">
        <v>171</v>
      </c>
      <c r="G121" s="2168">
        <v>3.8366614314561343E-2</v>
      </c>
      <c r="H121" s="2168">
        <v>0.85024080080201669</v>
      </c>
      <c r="I121" s="727" t="s">
        <v>659</v>
      </c>
    </row>
    <row r="122" spans="1:9" ht="14.5">
      <c r="A122" t="s">
        <v>5056</v>
      </c>
      <c r="B122" s="380" t="str">
        <f t="shared" si="1"/>
        <v>095-901</v>
      </c>
      <c r="C122" t="s">
        <v>219</v>
      </c>
      <c r="D122" s="2043">
        <v>780</v>
      </c>
      <c r="E122" s="2043">
        <v>810</v>
      </c>
      <c r="F122" s="2043">
        <v>30</v>
      </c>
      <c r="G122" s="2168">
        <v>3.8461538461538547E-2</v>
      </c>
      <c r="H122" s="2168">
        <v>0.85040262661271404</v>
      </c>
      <c r="I122" s="727" t="s">
        <v>659</v>
      </c>
    </row>
    <row r="123" spans="1:9" ht="14.5">
      <c r="A123" t="s">
        <v>5883</v>
      </c>
      <c r="B123" s="380" t="str">
        <f t="shared" si="1"/>
        <v>219-901</v>
      </c>
      <c r="C123" t="s">
        <v>2424</v>
      </c>
      <c r="D123" s="2043">
        <v>259</v>
      </c>
      <c r="E123" s="2043">
        <v>269</v>
      </c>
      <c r="F123" s="2043">
        <v>10</v>
      </c>
      <c r="G123" s="2168">
        <v>3.8610038610038533E-2</v>
      </c>
      <c r="H123" s="2168">
        <v>0.85045636876466169</v>
      </c>
      <c r="I123" s="727" t="s">
        <v>659</v>
      </c>
    </row>
    <row r="124" spans="1:9" ht="14.5">
      <c r="A124" t="s">
        <v>4996</v>
      </c>
      <c r="B124" s="380" t="str">
        <f t="shared" si="1"/>
        <v>058-909</v>
      </c>
      <c r="C124" t="s">
        <v>2471</v>
      </c>
      <c r="D124" s="2043">
        <v>253</v>
      </c>
      <c r="E124" s="2043">
        <v>263</v>
      </c>
      <c r="F124" s="2043">
        <v>10</v>
      </c>
      <c r="G124" s="2168">
        <v>3.9525691699604737E-2</v>
      </c>
      <c r="H124" s="2168">
        <v>0.8505089122069005</v>
      </c>
      <c r="I124" s="727" t="s">
        <v>659</v>
      </c>
    </row>
    <row r="125" spans="1:9" ht="14.5">
      <c r="A125" t="s">
        <v>3112</v>
      </c>
      <c r="B125" s="380" t="str">
        <f t="shared" si="1"/>
        <v>152-907</v>
      </c>
      <c r="C125" t="s">
        <v>2179</v>
      </c>
      <c r="D125" s="2043">
        <v>9955</v>
      </c>
      <c r="E125" s="2043">
        <v>10353</v>
      </c>
      <c r="F125" s="2043">
        <v>398</v>
      </c>
      <c r="G125" s="2168">
        <v>3.9979909593169216E-2</v>
      </c>
      <c r="H125" s="2168">
        <v>0.85257728580955461</v>
      </c>
      <c r="I125" s="727" t="s">
        <v>659</v>
      </c>
    </row>
    <row r="126" spans="1:9" ht="14.5">
      <c r="A126" t="s">
        <v>4971</v>
      </c>
      <c r="B126" s="380" t="str">
        <f t="shared" si="1"/>
        <v>042-905</v>
      </c>
      <c r="C126" t="s">
        <v>974</v>
      </c>
      <c r="D126" s="2043">
        <v>150</v>
      </c>
      <c r="E126" s="2043">
        <v>156</v>
      </c>
      <c r="F126" s="2043">
        <v>6</v>
      </c>
      <c r="G126" s="2168">
        <v>4.0000000000000036E-2</v>
      </c>
      <c r="H126" s="2168">
        <v>0.85260845226198523</v>
      </c>
      <c r="I126" s="727" t="s">
        <v>659</v>
      </c>
    </row>
    <row r="127" spans="1:9" ht="14.5">
      <c r="A127" t="s">
        <v>5855</v>
      </c>
      <c r="B127" s="380" t="str">
        <f t="shared" si="1"/>
        <v>169-902</v>
      </c>
      <c r="C127" t="s">
        <v>1291</v>
      </c>
      <c r="D127" s="2043">
        <v>774</v>
      </c>
      <c r="E127" s="2043">
        <v>805</v>
      </c>
      <c r="F127" s="2043">
        <v>31</v>
      </c>
      <c r="G127" s="2168">
        <v>4.0051679586563305E-2</v>
      </c>
      <c r="H127" s="2168">
        <v>0.85276927914792522</v>
      </c>
      <c r="I127" s="727" t="s">
        <v>659</v>
      </c>
    </row>
    <row r="128" spans="1:9" ht="14.5">
      <c r="A128" t="s">
        <v>5099</v>
      </c>
      <c r="B128" s="380" t="str">
        <f t="shared" si="1"/>
        <v>113-905</v>
      </c>
      <c r="C128" t="s">
        <v>1479</v>
      </c>
      <c r="D128" s="2043">
        <v>446</v>
      </c>
      <c r="E128" s="2043">
        <v>464</v>
      </c>
      <c r="F128" s="2043">
        <v>18</v>
      </c>
      <c r="G128" s="2168">
        <v>4.0358744394618729E-2</v>
      </c>
      <c r="H128" s="2168">
        <v>0.85286197936541108</v>
      </c>
      <c r="I128" s="727" t="s">
        <v>659</v>
      </c>
    </row>
    <row r="129" spans="1:9" ht="14.5">
      <c r="A129" t="s">
        <v>2896</v>
      </c>
      <c r="B129" s="380" t="str">
        <f t="shared" ref="B129:B192" si="2">CONCATENATE(LEFT(RIGHT(CONCATENATE("000",A129),6),3),"-",(RIGHT(RIGHT(CONCATENATE("000",A129),6),3)))</f>
        <v>020-901</v>
      </c>
      <c r="C129" t="s">
        <v>996</v>
      </c>
      <c r="D129" s="2043">
        <v>25945</v>
      </c>
      <c r="E129" s="2043">
        <v>27006</v>
      </c>
      <c r="F129" s="2043">
        <v>1061</v>
      </c>
      <c r="G129" s="2168">
        <v>4.0894199267681675E-2</v>
      </c>
      <c r="H129" s="2168">
        <v>0.85825737176503214</v>
      </c>
      <c r="I129" s="727" t="s">
        <v>659</v>
      </c>
    </row>
    <row r="130" spans="1:9" ht="14.5">
      <c r="A130" t="s">
        <v>2885</v>
      </c>
      <c r="B130" s="380" t="str">
        <f t="shared" si="2"/>
        <v>015-916</v>
      </c>
      <c r="C130" t="s">
        <v>386</v>
      </c>
      <c r="D130" s="2043">
        <v>22870</v>
      </c>
      <c r="E130" s="2043">
        <v>23825</v>
      </c>
      <c r="F130" s="2043">
        <v>955</v>
      </c>
      <c r="G130" s="2168">
        <v>4.1757761259291648E-2</v>
      </c>
      <c r="H130" s="2168">
        <v>0.86301724823400094</v>
      </c>
      <c r="I130" s="727" t="s">
        <v>659</v>
      </c>
    </row>
    <row r="131" spans="1:9" ht="14.5">
      <c r="A131" t="s">
        <v>5029</v>
      </c>
      <c r="B131" s="380" t="str">
        <f t="shared" si="2"/>
        <v>084-901</v>
      </c>
      <c r="C131" t="s">
        <v>345</v>
      </c>
      <c r="D131" s="2043">
        <v>11162</v>
      </c>
      <c r="E131" s="2043">
        <v>11631</v>
      </c>
      <c r="F131" s="2043">
        <v>469</v>
      </c>
      <c r="G131" s="2168">
        <v>4.201755957713682E-2</v>
      </c>
      <c r="H131" s="2168">
        <v>0.86534094700464426</v>
      </c>
      <c r="I131" s="727" t="s">
        <v>659</v>
      </c>
    </row>
    <row r="132" spans="1:9" ht="14.5">
      <c r="A132" t="s">
        <v>3171</v>
      </c>
      <c r="B132" s="380" t="str">
        <f t="shared" si="2"/>
        <v>184-902</v>
      </c>
      <c r="C132" t="s">
        <v>1830</v>
      </c>
      <c r="D132" s="2043">
        <v>3473</v>
      </c>
      <c r="E132" s="2043">
        <v>3619</v>
      </c>
      <c r="F132" s="2043">
        <v>146</v>
      </c>
      <c r="G132" s="2168">
        <v>4.2038583357328019E-2</v>
      </c>
      <c r="H132" s="2168">
        <v>0.8660639687440439</v>
      </c>
      <c r="I132" s="727" t="s">
        <v>659</v>
      </c>
    </row>
    <row r="133" spans="1:9" ht="14.5">
      <c r="A133" t="s">
        <v>2940</v>
      </c>
      <c r="B133" s="380" t="str">
        <f t="shared" si="2"/>
        <v>043-917</v>
      </c>
      <c r="C133" t="s">
        <v>1269</v>
      </c>
      <c r="D133" s="2043">
        <v>852</v>
      </c>
      <c r="E133" s="2043">
        <v>888</v>
      </c>
      <c r="F133" s="2043">
        <v>36</v>
      </c>
      <c r="G133" s="2168">
        <v>4.2253521126760507E-2</v>
      </c>
      <c r="H133" s="2168">
        <v>0.86624137778095656</v>
      </c>
      <c r="I133" s="727" t="s">
        <v>659</v>
      </c>
    </row>
    <row r="134" spans="1:9" ht="14.5">
      <c r="A134" t="s">
        <v>5860</v>
      </c>
      <c r="B134" s="380" t="str">
        <f t="shared" si="2"/>
        <v>180-903</v>
      </c>
      <c r="C134" t="s">
        <v>308</v>
      </c>
      <c r="D134" s="2043">
        <v>117</v>
      </c>
      <c r="E134" s="2043">
        <v>122</v>
      </c>
      <c r="F134" s="2043">
        <v>5</v>
      </c>
      <c r="G134" s="2168">
        <v>4.2735042735042805E-2</v>
      </c>
      <c r="H134" s="2168">
        <v>0.86626575154503693</v>
      </c>
      <c r="I134" s="727" t="s">
        <v>659</v>
      </c>
    </row>
    <row r="135" spans="1:9" ht="14.5">
      <c r="A135" t="s">
        <v>3133</v>
      </c>
      <c r="B135" s="380" t="str">
        <f t="shared" si="2"/>
        <v>161-923</v>
      </c>
      <c r="C135" t="s">
        <v>1272</v>
      </c>
      <c r="D135" s="2043">
        <v>699</v>
      </c>
      <c r="E135" s="2043">
        <v>729</v>
      </c>
      <c r="F135" s="2043">
        <v>30</v>
      </c>
      <c r="G135" s="2168">
        <v>4.2918454935622297E-2</v>
      </c>
      <c r="H135" s="2168">
        <v>0.86641139477466456</v>
      </c>
      <c r="I135" s="727" t="s">
        <v>659</v>
      </c>
    </row>
    <row r="136" spans="1:9" ht="14.5">
      <c r="A136" t="s">
        <v>2949</v>
      </c>
      <c r="B136" s="380" t="str">
        <f t="shared" si="2"/>
        <v>049-903</v>
      </c>
      <c r="C136" t="s">
        <v>2231</v>
      </c>
      <c r="D136" s="2043">
        <v>849</v>
      </c>
      <c r="E136" s="2043">
        <v>886</v>
      </c>
      <c r="F136" s="2043">
        <v>37</v>
      </c>
      <c r="G136" s="2168">
        <v>4.3580683156654976E-2</v>
      </c>
      <c r="H136" s="2168">
        <v>0.86658840424167427</v>
      </c>
      <c r="I136" s="727" t="s">
        <v>659</v>
      </c>
    </row>
    <row r="137" spans="1:9" ht="14.5">
      <c r="A137" t="s">
        <v>2967</v>
      </c>
      <c r="B137" s="380" t="str">
        <f t="shared" si="2"/>
        <v>061-914</v>
      </c>
      <c r="C137" t="s">
        <v>1476</v>
      </c>
      <c r="D137" s="2043">
        <v>7769</v>
      </c>
      <c r="E137" s="2043">
        <v>8108</v>
      </c>
      <c r="F137" s="2043">
        <v>339</v>
      </c>
      <c r="G137" s="2168">
        <v>4.3634959454241118E-2</v>
      </c>
      <c r="H137" s="2168">
        <v>0.86820826062825973</v>
      </c>
      <c r="I137" s="727" t="s">
        <v>659</v>
      </c>
    </row>
    <row r="138" spans="1:9" ht="14.5">
      <c r="A138" t="s">
        <v>3248</v>
      </c>
      <c r="B138" s="380" t="str">
        <f t="shared" si="2"/>
        <v>237-905</v>
      </c>
      <c r="C138" t="s">
        <v>91</v>
      </c>
      <c r="D138" s="2043">
        <v>2371</v>
      </c>
      <c r="E138" s="2043">
        <v>2476</v>
      </c>
      <c r="F138" s="2043">
        <v>105</v>
      </c>
      <c r="G138" s="2168">
        <v>4.4285111767186747E-2</v>
      </c>
      <c r="H138" s="2168">
        <v>0.86870292816811978</v>
      </c>
      <c r="I138" s="727" t="s">
        <v>659</v>
      </c>
    </row>
    <row r="139" spans="1:9" ht="14.5">
      <c r="A139" t="s">
        <v>3275</v>
      </c>
      <c r="B139" s="380" t="str">
        <f t="shared" si="2"/>
        <v>252-903</v>
      </c>
      <c r="C139" t="s">
        <v>779</v>
      </c>
      <c r="D139" s="2043">
        <v>677</v>
      </c>
      <c r="E139" s="2043">
        <v>707</v>
      </c>
      <c r="F139" s="2043">
        <v>30</v>
      </c>
      <c r="G139" s="2168">
        <v>4.4313146233382561E-2</v>
      </c>
      <c r="H139" s="2168">
        <v>0.86884417612881493</v>
      </c>
      <c r="I139" s="727" t="s">
        <v>659</v>
      </c>
    </row>
    <row r="140" spans="1:9" ht="14.5">
      <c r="A140" t="s">
        <v>4933</v>
      </c>
      <c r="B140" s="380" t="str">
        <f t="shared" si="2"/>
        <v>014-901</v>
      </c>
      <c r="C140" t="s">
        <v>1138</v>
      </c>
      <c r="D140" s="2043">
        <v>1652</v>
      </c>
      <c r="E140" s="2043">
        <v>1726</v>
      </c>
      <c r="F140" s="2043">
        <v>74</v>
      </c>
      <c r="G140" s="2168">
        <v>4.4794188861985385E-2</v>
      </c>
      <c r="H140" s="2168">
        <v>0.86918900495506635</v>
      </c>
      <c r="I140" s="727" t="s">
        <v>659</v>
      </c>
    </row>
    <row r="141" spans="1:9" ht="14.5">
      <c r="A141" t="s">
        <v>3024</v>
      </c>
      <c r="B141" s="380" t="str">
        <f t="shared" si="2"/>
        <v>101-913</v>
      </c>
      <c r="C141" t="s">
        <v>2252</v>
      </c>
      <c r="D141" s="2043">
        <v>43553</v>
      </c>
      <c r="E141" s="2043">
        <v>45528</v>
      </c>
      <c r="F141" s="2043">
        <v>1975</v>
      </c>
      <c r="G141" s="2168">
        <v>4.5347048423759473E-2</v>
      </c>
      <c r="H141" s="2168">
        <v>0.87828481422596716</v>
      </c>
      <c r="I141" s="727" t="s">
        <v>659</v>
      </c>
    </row>
    <row r="142" spans="1:9" ht="14.5">
      <c r="A142" t="s">
        <v>5843</v>
      </c>
      <c r="B142" s="380" t="str">
        <f t="shared" si="2"/>
        <v>144-903</v>
      </c>
      <c r="C142" t="s">
        <v>904</v>
      </c>
      <c r="D142" s="2043">
        <v>153</v>
      </c>
      <c r="E142" s="2043">
        <v>160</v>
      </c>
      <c r="F142" s="2043">
        <v>7</v>
      </c>
      <c r="G142" s="2168">
        <v>4.5751633986928164E-2</v>
      </c>
      <c r="H142" s="2168">
        <v>0.87831677981820366</v>
      </c>
      <c r="I142" s="727" t="s">
        <v>659</v>
      </c>
    </row>
    <row r="143" spans="1:9" ht="14.5">
      <c r="A143" t="s">
        <v>5118</v>
      </c>
      <c r="B143" s="380" t="str">
        <f t="shared" si="2"/>
        <v>123-913</v>
      </c>
      <c r="C143" t="s">
        <v>2545</v>
      </c>
      <c r="D143" s="2043">
        <v>371</v>
      </c>
      <c r="E143" s="2043">
        <v>388</v>
      </c>
      <c r="F143" s="2043">
        <v>17</v>
      </c>
      <c r="G143" s="2168">
        <v>4.5822102425876032E-2</v>
      </c>
      <c r="H143" s="2168">
        <v>0.87839429637937727</v>
      </c>
      <c r="I143" s="727" t="s">
        <v>659</v>
      </c>
    </row>
    <row r="144" spans="1:9" ht="14.5">
      <c r="A144" t="s">
        <v>5829</v>
      </c>
      <c r="B144" s="380" t="str">
        <f t="shared" si="2"/>
        <v>133-905</v>
      </c>
      <c r="C144" t="s">
        <v>1933</v>
      </c>
      <c r="D144" s="2043">
        <v>21</v>
      </c>
      <c r="E144" s="2043">
        <v>22</v>
      </c>
      <c r="F144" s="2043">
        <v>1</v>
      </c>
      <c r="G144" s="2168">
        <v>4.7619047619047672E-2</v>
      </c>
      <c r="H144" s="2168">
        <v>0.87839869164830975</v>
      </c>
      <c r="I144" s="727" t="s">
        <v>659</v>
      </c>
    </row>
    <row r="145" spans="1:9" ht="14.5">
      <c r="A145" t="s">
        <v>3277</v>
      </c>
      <c r="B145" s="380" t="str">
        <f t="shared" si="2"/>
        <v>254-902</v>
      </c>
      <c r="C145" t="s">
        <v>1791</v>
      </c>
      <c r="D145" s="2043">
        <v>503</v>
      </c>
      <c r="E145" s="2043">
        <v>527</v>
      </c>
      <c r="F145" s="2043">
        <v>24</v>
      </c>
      <c r="G145" s="2168">
        <v>4.7713717693836921E-2</v>
      </c>
      <c r="H145" s="2168">
        <v>0.87850397831773874</v>
      </c>
      <c r="I145" s="727" t="s">
        <v>659</v>
      </c>
    </row>
    <row r="146" spans="1:9" ht="14.5">
      <c r="A146" t="s">
        <v>5008</v>
      </c>
      <c r="B146" s="380" t="str">
        <f t="shared" si="2"/>
        <v>070-908</v>
      </c>
      <c r="C146" t="s">
        <v>1864</v>
      </c>
      <c r="D146" s="2043">
        <v>9389</v>
      </c>
      <c r="E146" s="2043">
        <v>9838</v>
      </c>
      <c r="F146" s="2043">
        <v>449</v>
      </c>
      <c r="G146" s="2168">
        <v>4.7821919267227564E-2</v>
      </c>
      <c r="H146" s="2168">
        <v>0.88046946267038162</v>
      </c>
      <c r="I146" s="727" t="s">
        <v>659</v>
      </c>
    </row>
    <row r="147" spans="1:9" ht="14.5">
      <c r="A147" t="s">
        <v>3123</v>
      </c>
      <c r="B147" s="380" t="str">
        <f t="shared" si="2"/>
        <v>161-908</v>
      </c>
      <c r="C147" t="s">
        <v>1951</v>
      </c>
      <c r="D147" s="2043">
        <v>516</v>
      </c>
      <c r="E147" s="2043">
        <v>541</v>
      </c>
      <c r="F147" s="2043">
        <v>25</v>
      </c>
      <c r="G147" s="2168">
        <v>4.8449612403100861E-2</v>
      </c>
      <c r="H147" s="2168">
        <v>0.88057754632913132</v>
      </c>
      <c r="I147" s="727" t="s">
        <v>659</v>
      </c>
    </row>
    <row r="148" spans="1:9" ht="14.5">
      <c r="A148" t="s">
        <v>3247</v>
      </c>
      <c r="B148" s="380" t="str">
        <f t="shared" si="2"/>
        <v>237-904</v>
      </c>
      <c r="C148" t="s">
        <v>129</v>
      </c>
      <c r="D148" s="2043">
        <v>7403</v>
      </c>
      <c r="E148" s="2043">
        <v>7762</v>
      </c>
      <c r="F148" s="2043">
        <v>359</v>
      </c>
      <c r="G148" s="2168">
        <v>4.8493853843036616E-2</v>
      </c>
      <c r="H148" s="2168">
        <v>0.8821282771225053</v>
      </c>
      <c r="I148" s="727" t="s">
        <v>659</v>
      </c>
    </row>
    <row r="149" spans="1:9" ht="14.5">
      <c r="A149" t="s">
        <v>5127</v>
      </c>
      <c r="B149" s="380" t="str">
        <f t="shared" si="2"/>
        <v>130-901</v>
      </c>
      <c r="C149" t="s">
        <v>1926</v>
      </c>
      <c r="D149" s="2043">
        <v>9170</v>
      </c>
      <c r="E149" s="2043">
        <v>9617</v>
      </c>
      <c r="F149" s="2043">
        <v>447</v>
      </c>
      <c r="G149" s="2168">
        <v>4.8745910577971729E-2</v>
      </c>
      <c r="H149" s="2168">
        <v>0.88404960900087148</v>
      </c>
      <c r="I149" s="727" t="s">
        <v>659</v>
      </c>
    </row>
    <row r="150" spans="1:9" ht="14.5">
      <c r="A150" t="s">
        <v>5796</v>
      </c>
      <c r="B150" s="380" t="str">
        <f t="shared" si="2"/>
        <v>072-910</v>
      </c>
      <c r="C150" t="s">
        <v>1871</v>
      </c>
      <c r="D150" s="2043">
        <v>123</v>
      </c>
      <c r="E150" s="2043">
        <v>129</v>
      </c>
      <c r="F150" s="2043">
        <v>6</v>
      </c>
      <c r="G150" s="2168">
        <v>4.8780487804878092E-2</v>
      </c>
      <c r="H150" s="2168">
        <v>0.88407538125961216</v>
      </c>
      <c r="I150" s="727" t="s">
        <v>659</v>
      </c>
    </row>
    <row r="151" spans="1:9" ht="14.5">
      <c r="A151" t="s">
        <v>4205</v>
      </c>
      <c r="B151" s="380" t="str">
        <f t="shared" si="2"/>
        <v>109-914</v>
      </c>
      <c r="C151" t="s">
        <v>2450</v>
      </c>
      <c r="D151" s="2043">
        <v>201</v>
      </c>
      <c r="E151" s="2043">
        <v>211</v>
      </c>
      <c r="F151" s="2043">
        <v>10</v>
      </c>
      <c r="G151" s="2168">
        <v>4.9751243781094523E-2</v>
      </c>
      <c r="H151" s="2168">
        <v>0.88411753588437403</v>
      </c>
      <c r="I151" s="727" t="s">
        <v>659</v>
      </c>
    </row>
    <row r="152" spans="1:9" ht="14.5">
      <c r="A152" t="s">
        <v>5304</v>
      </c>
      <c r="B152" s="380" t="str">
        <f t="shared" si="2"/>
        <v>243-902</v>
      </c>
      <c r="C152" t="s">
        <v>1515</v>
      </c>
      <c r="D152" s="2043">
        <v>420</v>
      </c>
      <c r="E152" s="2043">
        <v>441</v>
      </c>
      <c r="F152" s="2043">
        <v>21</v>
      </c>
      <c r="G152" s="2168">
        <v>5.0000000000000044E-2</v>
      </c>
      <c r="H152" s="2168">
        <v>0.88420564104797594</v>
      </c>
      <c r="I152" s="727" t="s">
        <v>659</v>
      </c>
    </row>
    <row r="153" spans="1:9" ht="14.5">
      <c r="A153" t="s">
        <v>3232</v>
      </c>
      <c r="B153" s="380" t="str">
        <f t="shared" si="2"/>
        <v>230-906</v>
      </c>
      <c r="C153" t="s">
        <v>1446</v>
      </c>
      <c r="D153" s="2043">
        <v>1118</v>
      </c>
      <c r="E153" s="2043">
        <v>1175</v>
      </c>
      <c r="F153" s="2043">
        <v>57</v>
      </c>
      <c r="G153" s="2168">
        <v>5.098389982110918E-2</v>
      </c>
      <c r="H153" s="2168">
        <v>0.88444038836596284</v>
      </c>
      <c r="I153" s="727" t="s">
        <v>659</v>
      </c>
    </row>
    <row r="154" spans="1:9" ht="14.5">
      <c r="A154" t="s">
        <v>2965</v>
      </c>
      <c r="B154" s="380" t="str">
        <f t="shared" si="2"/>
        <v>061-911</v>
      </c>
      <c r="C154" t="s">
        <v>1182</v>
      </c>
      <c r="D154" s="2043">
        <v>24141</v>
      </c>
      <c r="E154" s="2043">
        <v>25383</v>
      </c>
      <c r="F154" s="2043">
        <v>1242</v>
      </c>
      <c r="G154" s="2168">
        <v>5.1447744501056381E-2</v>
      </c>
      <c r="H154" s="2168">
        <v>0.88951152978933479</v>
      </c>
      <c r="I154" s="727" t="s">
        <v>659</v>
      </c>
    </row>
    <row r="155" spans="1:9" ht="14.5">
      <c r="A155" t="s">
        <v>3146</v>
      </c>
      <c r="B155" s="380" t="str">
        <f t="shared" si="2"/>
        <v>170-904</v>
      </c>
      <c r="C155" t="s">
        <v>1060</v>
      </c>
      <c r="D155" s="2043">
        <v>7493</v>
      </c>
      <c r="E155" s="2043">
        <v>7882</v>
      </c>
      <c r="F155" s="2043">
        <v>389</v>
      </c>
      <c r="G155" s="2168">
        <v>5.1915120779394197E-2</v>
      </c>
      <c r="H155" s="2168">
        <v>0.8910862347768862</v>
      </c>
      <c r="I155" s="727" t="s">
        <v>659</v>
      </c>
    </row>
    <row r="156" spans="1:9" ht="14.5">
      <c r="A156" t="s">
        <v>3025</v>
      </c>
      <c r="B156" s="380" t="str">
        <f t="shared" si="2"/>
        <v>101-914</v>
      </c>
      <c r="C156" t="s">
        <v>388</v>
      </c>
      <c r="D156" s="2043">
        <v>79913</v>
      </c>
      <c r="E156" s="2043">
        <v>84176</v>
      </c>
      <c r="F156" s="2043">
        <v>4263</v>
      </c>
      <c r="G156" s="2168">
        <v>5.3345513245654619E-2</v>
      </c>
      <c r="H156" s="2168">
        <v>0.90790333285251756</v>
      </c>
      <c r="I156" s="727" t="s">
        <v>659</v>
      </c>
    </row>
    <row r="157" spans="1:9" ht="14.5">
      <c r="A157" t="s">
        <v>4285</v>
      </c>
      <c r="B157" s="380" t="str">
        <f t="shared" si="2"/>
        <v>126-904</v>
      </c>
      <c r="C157" t="s">
        <v>818</v>
      </c>
      <c r="D157" s="2043">
        <v>1274</v>
      </c>
      <c r="E157" s="2043">
        <v>1342</v>
      </c>
      <c r="F157" s="2043">
        <v>68</v>
      </c>
      <c r="G157" s="2168">
        <v>5.3375196232338995E-2</v>
      </c>
      <c r="H157" s="2168">
        <v>0.90817144425740137</v>
      </c>
      <c r="I157" s="727" t="s">
        <v>659</v>
      </c>
    </row>
    <row r="158" spans="1:9" ht="14.5">
      <c r="A158" t="s">
        <v>5865</v>
      </c>
      <c r="B158" s="380" t="str">
        <f t="shared" si="2"/>
        <v>187-903</v>
      </c>
      <c r="C158" t="s">
        <v>422</v>
      </c>
      <c r="D158" s="2043">
        <v>241</v>
      </c>
      <c r="E158" s="2043">
        <v>254</v>
      </c>
      <c r="F158" s="2043">
        <v>13</v>
      </c>
      <c r="G158" s="2168">
        <v>5.3941908713692976E-2</v>
      </c>
      <c r="H158" s="2168">
        <v>0.90822218963507684</v>
      </c>
      <c r="I158" s="727" t="s">
        <v>659</v>
      </c>
    </row>
    <row r="159" spans="1:9" ht="14.5">
      <c r="A159" t="s">
        <v>5840</v>
      </c>
      <c r="B159" s="380" t="str">
        <f t="shared" si="2"/>
        <v>143-903</v>
      </c>
      <c r="C159" t="s">
        <v>898</v>
      </c>
      <c r="D159" s="2043">
        <v>666</v>
      </c>
      <c r="E159" s="2043">
        <v>702</v>
      </c>
      <c r="F159" s="2043">
        <v>36</v>
      </c>
      <c r="G159" s="2168">
        <v>5.4054054054053946E-2</v>
      </c>
      <c r="H159" s="2168">
        <v>0.90836243867101452</v>
      </c>
      <c r="I159" s="727" t="s">
        <v>659</v>
      </c>
    </row>
    <row r="160" spans="1:9" ht="14.5">
      <c r="A160" t="s">
        <v>5753</v>
      </c>
      <c r="B160" s="380" t="str">
        <f t="shared" si="2"/>
        <v>018-903</v>
      </c>
      <c r="C160" t="s">
        <v>2536</v>
      </c>
      <c r="D160" s="2043">
        <v>129</v>
      </c>
      <c r="E160" s="2043">
        <v>136</v>
      </c>
      <c r="F160" s="2043">
        <v>7</v>
      </c>
      <c r="G160" s="2168">
        <v>5.4263565891472965E-2</v>
      </c>
      <c r="H160" s="2168">
        <v>0.9083896094244156</v>
      </c>
      <c r="I160" s="727" t="s">
        <v>659</v>
      </c>
    </row>
    <row r="161" spans="1:9" ht="14.5">
      <c r="A161" t="s">
        <v>5227</v>
      </c>
      <c r="B161" s="380" t="str">
        <f t="shared" si="2"/>
        <v>187-910</v>
      </c>
      <c r="C161" t="s">
        <v>425</v>
      </c>
      <c r="D161" s="2043">
        <v>1119</v>
      </c>
      <c r="E161" s="2043">
        <v>1180</v>
      </c>
      <c r="F161" s="2043">
        <v>61</v>
      </c>
      <c r="G161" s="2168">
        <v>5.4512957998212652E-2</v>
      </c>
      <c r="H161" s="2168">
        <v>0.90862535566715985</v>
      </c>
      <c r="I161" s="727" t="s">
        <v>659</v>
      </c>
    </row>
    <row r="162" spans="1:9" ht="14.5">
      <c r="A162" t="s">
        <v>2934</v>
      </c>
      <c r="B162" s="380" t="str">
        <f t="shared" si="2"/>
        <v>043-905</v>
      </c>
      <c r="C162" t="s">
        <v>1389</v>
      </c>
      <c r="D162" s="2043">
        <v>60182</v>
      </c>
      <c r="E162" s="2043">
        <v>63493</v>
      </c>
      <c r="F162" s="2043">
        <v>3311</v>
      </c>
      <c r="G162" s="2168">
        <v>5.5016450101359249E-2</v>
      </c>
      <c r="H162" s="2168">
        <v>0.92131030159136706</v>
      </c>
      <c r="I162" s="727" t="s">
        <v>659</v>
      </c>
    </row>
    <row r="163" spans="1:9" ht="14.5">
      <c r="A163" t="s">
        <v>3265</v>
      </c>
      <c r="B163" s="380" t="str">
        <f t="shared" si="2"/>
        <v>246-912</v>
      </c>
      <c r="C163" t="s">
        <v>567</v>
      </c>
      <c r="D163" s="2043">
        <v>736</v>
      </c>
      <c r="E163" s="2043">
        <v>777</v>
      </c>
      <c r="F163" s="2043">
        <v>41</v>
      </c>
      <c r="G163" s="2168">
        <v>5.5706521739130377E-2</v>
      </c>
      <c r="H163" s="2168">
        <v>0.92146553449866564</v>
      </c>
      <c r="I163" s="727" t="s">
        <v>659</v>
      </c>
    </row>
    <row r="164" spans="1:9" ht="14.5">
      <c r="A164" t="s">
        <v>3160</v>
      </c>
      <c r="B164" s="380" t="str">
        <f t="shared" si="2"/>
        <v>177-901</v>
      </c>
      <c r="C164" t="s">
        <v>3320</v>
      </c>
      <c r="D164" s="2043">
        <v>645</v>
      </c>
      <c r="E164" s="2043">
        <v>681</v>
      </c>
      <c r="F164" s="2043">
        <v>36</v>
      </c>
      <c r="G164" s="2168">
        <v>5.5813953488372148E-2</v>
      </c>
      <c r="H164" s="2168">
        <v>0.92160158805062231</v>
      </c>
      <c r="I164" s="727" t="s">
        <v>659</v>
      </c>
    </row>
    <row r="165" spans="1:9" ht="14.5">
      <c r="A165" t="s">
        <v>5098</v>
      </c>
      <c r="B165" s="380" t="str">
        <f t="shared" si="2"/>
        <v>113-902</v>
      </c>
      <c r="C165" t="s">
        <v>2043</v>
      </c>
      <c r="D165" s="2043">
        <v>573</v>
      </c>
      <c r="E165" s="2043">
        <v>605</v>
      </c>
      <c r="F165" s="2043">
        <v>32</v>
      </c>
      <c r="G165" s="2168">
        <v>5.5846422338568846E-2</v>
      </c>
      <c r="H165" s="2168">
        <v>0.92172245794626662</v>
      </c>
      <c r="I165" s="727" t="s">
        <v>659</v>
      </c>
    </row>
    <row r="166" spans="1:9" ht="14.5">
      <c r="A166" t="s">
        <v>5811</v>
      </c>
      <c r="B166" s="380" t="str">
        <f t="shared" si="2"/>
        <v>099-903</v>
      </c>
      <c r="C166" t="s">
        <v>449</v>
      </c>
      <c r="D166" s="2043">
        <v>500</v>
      </c>
      <c r="E166" s="2043">
        <v>528</v>
      </c>
      <c r="F166" s="2043">
        <v>28</v>
      </c>
      <c r="G166" s="2168">
        <v>5.600000000000005E-2</v>
      </c>
      <c r="H166" s="2168">
        <v>0.92182794440064719</v>
      </c>
      <c r="I166" s="727" t="s">
        <v>659</v>
      </c>
    </row>
    <row r="167" spans="1:9" ht="14.5">
      <c r="A167" t="s">
        <v>3009</v>
      </c>
      <c r="B167" s="380" t="str">
        <f t="shared" si="2"/>
        <v>091-917</v>
      </c>
      <c r="C167" t="s">
        <v>1636</v>
      </c>
      <c r="D167" s="2043">
        <v>969</v>
      </c>
      <c r="E167" s="2043">
        <v>1024</v>
      </c>
      <c r="F167" s="2043">
        <v>55</v>
      </c>
      <c r="G167" s="2168">
        <v>5.6759545923632526E-2</v>
      </c>
      <c r="H167" s="2168">
        <v>0.92203252419096082</v>
      </c>
      <c r="I167" s="727" t="s">
        <v>659</v>
      </c>
    </row>
    <row r="168" spans="1:9" ht="14.5">
      <c r="A168" t="s">
        <v>3192</v>
      </c>
      <c r="B168" s="380" t="str">
        <f t="shared" si="2"/>
        <v>205-901</v>
      </c>
      <c r="C168" t="s">
        <v>2282</v>
      </c>
      <c r="D168" s="2043">
        <v>1556</v>
      </c>
      <c r="E168" s="2043">
        <v>1645</v>
      </c>
      <c r="F168" s="2043">
        <v>89</v>
      </c>
      <c r="G168" s="2168">
        <v>5.7197943444730059E-2</v>
      </c>
      <c r="H168" s="2168">
        <v>0.92236117043614252</v>
      </c>
      <c r="I168" s="727" t="s">
        <v>659</v>
      </c>
    </row>
    <row r="169" spans="1:9" ht="14.5">
      <c r="A169" t="s">
        <v>5800</v>
      </c>
      <c r="B169" s="380" t="str">
        <f t="shared" si="2"/>
        <v>076-903</v>
      </c>
      <c r="C169" t="s">
        <v>980</v>
      </c>
      <c r="D169" s="2043">
        <v>297</v>
      </c>
      <c r="E169" s="2043">
        <v>314</v>
      </c>
      <c r="F169" s="2043">
        <v>17</v>
      </c>
      <c r="G169" s="2168">
        <v>5.7239057239057312E-2</v>
      </c>
      <c r="H169" s="2168">
        <v>0.9224239029109067</v>
      </c>
      <c r="I169" s="727" t="s">
        <v>659</v>
      </c>
    </row>
    <row r="170" spans="1:9" ht="14.5">
      <c r="A170" t="s">
        <v>2939</v>
      </c>
      <c r="B170" s="380" t="str">
        <f t="shared" si="2"/>
        <v>043-914</v>
      </c>
      <c r="C170" t="s">
        <v>1065</v>
      </c>
      <c r="D170" s="2043">
        <v>16527</v>
      </c>
      <c r="E170" s="2043">
        <v>17482</v>
      </c>
      <c r="F170" s="2043">
        <v>955</v>
      </c>
      <c r="G170" s="2168">
        <v>5.7784231863011959E-2</v>
      </c>
      <c r="H170" s="2168">
        <v>0.92591654343264906</v>
      </c>
      <c r="I170" s="727" t="s">
        <v>659</v>
      </c>
    </row>
    <row r="171" spans="1:9" ht="14.5">
      <c r="A171" t="s">
        <v>3149</v>
      </c>
      <c r="B171" s="380" t="str">
        <f t="shared" si="2"/>
        <v>170-908</v>
      </c>
      <c r="C171" t="s">
        <v>1072</v>
      </c>
      <c r="D171" s="2043">
        <v>15381</v>
      </c>
      <c r="E171" s="2043">
        <v>16274</v>
      </c>
      <c r="F171" s="2043">
        <v>893</v>
      </c>
      <c r="G171" s="2168">
        <v>5.8058643781288666E-2</v>
      </c>
      <c r="H171" s="2168">
        <v>0.92916784373300576</v>
      </c>
      <c r="I171" s="727" t="s">
        <v>659</v>
      </c>
    </row>
    <row r="172" spans="1:9" ht="14.5">
      <c r="A172" t="s">
        <v>5025</v>
      </c>
      <c r="B172" s="380" t="str">
        <f t="shared" si="2"/>
        <v>081-906</v>
      </c>
      <c r="C172" t="s">
        <v>811</v>
      </c>
      <c r="D172" s="2043">
        <v>155</v>
      </c>
      <c r="E172" s="2043">
        <v>164</v>
      </c>
      <c r="F172" s="2043">
        <v>9</v>
      </c>
      <c r="G172" s="2168">
        <v>5.8064516129032295E-2</v>
      </c>
      <c r="H172" s="2168">
        <v>0.92920060846504826</v>
      </c>
      <c r="I172" s="727" t="s">
        <v>659</v>
      </c>
    </row>
    <row r="173" spans="1:9" ht="14.5">
      <c r="A173" t="s">
        <v>5818</v>
      </c>
      <c r="B173" s="380" t="str">
        <f t="shared" si="2"/>
        <v>112-909</v>
      </c>
      <c r="C173" t="s">
        <v>596</v>
      </c>
      <c r="D173" s="2043">
        <v>241</v>
      </c>
      <c r="E173" s="2043">
        <v>255</v>
      </c>
      <c r="F173" s="2043">
        <v>14</v>
      </c>
      <c r="G173" s="2168">
        <v>5.8091286307053958E-2</v>
      </c>
      <c r="H173" s="2168">
        <v>0.9292515536276752</v>
      </c>
      <c r="I173" s="727" t="s">
        <v>659</v>
      </c>
    </row>
    <row r="174" spans="1:9" ht="14.5">
      <c r="A174" t="s">
        <v>5081</v>
      </c>
      <c r="B174" s="380" t="str">
        <f t="shared" si="2"/>
        <v>103-902</v>
      </c>
      <c r="C174" t="s">
        <v>149</v>
      </c>
      <c r="D174" s="2043">
        <v>223</v>
      </c>
      <c r="E174" s="2043">
        <v>236</v>
      </c>
      <c r="F174" s="2043">
        <v>13</v>
      </c>
      <c r="G174" s="2168">
        <v>5.8295964125560484E-2</v>
      </c>
      <c r="H174" s="2168">
        <v>0.92929870287622407</v>
      </c>
      <c r="I174" s="727" t="s">
        <v>659</v>
      </c>
    </row>
    <row r="175" spans="1:9" ht="14.5">
      <c r="A175" t="s">
        <v>5303</v>
      </c>
      <c r="B175" s="380" t="str">
        <f t="shared" si="2"/>
        <v>242-906</v>
      </c>
      <c r="C175" t="s">
        <v>1157</v>
      </c>
      <c r="D175" s="2043">
        <v>136</v>
      </c>
      <c r="E175" s="2043">
        <v>144</v>
      </c>
      <c r="F175" s="2043">
        <v>8</v>
      </c>
      <c r="G175" s="2168">
        <v>5.8823529411764719E-2</v>
      </c>
      <c r="H175" s="2168">
        <v>0.92932747190923692</v>
      </c>
      <c r="I175" s="727" t="s">
        <v>659</v>
      </c>
    </row>
    <row r="176" spans="1:9" ht="14.5">
      <c r="A176" t="s">
        <v>3217</v>
      </c>
      <c r="B176" s="380" t="str">
        <f t="shared" si="2"/>
        <v>220-918</v>
      </c>
      <c r="C176" t="s">
        <v>1205</v>
      </c>
      <c r="D176" s="2043">
        <v>20054</v>
      </c>
      <c r="E176" s="2043">
        <v>21245</v>
      </c>
      <c r="F176" s="2043">
        <v>1191</v>
      </c>
      <c r="G176" s="2168">
        <v>5.9389647950533586E-2</v>
      </c>
      <c r="H176" s="2168">
        <v>0.9335719032033919</v>
      </c>
      <c r="I176" s="727" t="s">
        <v>659</v>
      </c>
    </row>
    <row r="177" spans="1:9" ht="14.5">
      <c r="A177" t="s">
        <v>3030</v>
      </c>
      <c r="B177" s="380" t="str">
        <f t="shared" si="2"/>
        <v>105-904</v>
      </c>
      <c r="C177" t="s">
        <v>1005</v>
      </c>
      <c r="D177" s="2043">
        <v>6873</v>
      </c>
      <c r="E177" s="2043">
        <v>7283</v>
      </c>
      <c r="F177" s="2043">
        <v>410</v>
      </c>
      <c r="G177" s="2168">
        <v>5.9653717445074861E-2</v>
      </c>
      <c r="H177" s="2168">
        <v>0.93502693700500783</v>
      </c>
      <c r="I177" s="727" t="s">
        <v>659</v>
      </c>
    </row>
    <row r="178" spans="1:9" ht="14.5">
      <c r="A178" t="s">
        <v>4959</v>
      </c>
      <c r="B178" s="380" t="str">
        <f t="shared" si="2"/>
        <v>033-904</v>
      </c>
      <c r="C178" t="s">
        <v>2048</v>
      </c>
      <c r="D178" s="2043">
        <v>352</v>
      </c>
      <c r="E178" s="2043">
        <v>373</v>
      </c>
      <c r="F178" s="2043">
        <v>21</v>
      </c>
      <c r="G178" s="2168">
        <v>5.9659090909090828E-2</v>
      </c>
      <c r="H178" s="2168">
        <v>0.93510145679190915</v>
      </c>
      <c r="I178" s="727" t="s">
        <v>659</v>
      </c>
    </row>
    <row r="179" spans="1:9" ht="14.5">
      <c r="A179" t="s">
        <v>5065</v>
      </c>
      <c r="B179" s="380" t="str">
        <f t="shared" si="2"/>
        <v>100-905</v>
      </c>
      <c r="C179" t="s">
        <v>451</v>
      </c>
      <c r="D179" s="2043">
        <v>2341</v>
      </c>
      <c r="E179" s="2043">
        <v>2481</v>
      </c>
      <c r="F179" s="2043">
        <v>140</v>
      </c>
      <c r="G179" s="2168">
        <v>5.98035027765913E-2</v>
      </c>
      <c r="H179" s="2168">
        <v>0.93559712325652666</v>
      </c>
      <c r="I179" s="727" t="s">
        <v>659</v>
      </c>
    </row>
    <row r="180" spans="1:9" ht="14.5">
      <c r="A180" t="s">
        <v>3141</v>
      </c>
      <c r="B180" s="380" t="str">
        <f t="shared" si="2"/>
        <v>166-907</v>
      </c>
      <c r="C180" t="s">
        <v>2492</v>
      </c>
      <c r="D180" s="2043">
        <v>133</v>
      </c>
      <c r="E180" s="2043">
        <v>141</v>
      </c>
      <c r="F180" s="2043">
        <v>8</v>
      </c>
      <c r="G180" s="2168">
        <v>6.0150375939849621E-2</v>
      </c>
      <c r="H180" s="2168">
        <v>0.9356252929346851</v>
      </c>
      <c r="I180" s="727" t="s">
        <v>659</v>
      </c>
    </row>
    <row r="181" spans="1:9" ht="14.5">
      <c r="A181" t="s">
        <v>2869</v>
      </c>
      <c r="B181" s="380" t="str">
        <f t="shared" si="2"/>
        <v>014-903</v>
      </c>
      <c r="C181" t="s">
        <v>2533</v>
      </c>
      <c r="D181" s="2043">
        <v>11885</v>
      </c>
      <c r="E181" s="2043">
        <v>12609</v>
      </c>
      <c r="F181" s="2043">
        <v>724</v>
      </c>
      <c r="G181" s="2168">
        <v>6.0917122423222558E-2</v>
      </c>
      <c r="H181" s="2168">
        <v>0.93814438138787404</v>
      </c>
      <c r="I181" s="727" t="s">
        <v>659</v>
      </c>
    </row>
    <row r="182" spans="1:9" ht="14.5">
      <c r="A182" t="s">
        <v>5047</v>
      </c>
      <c r="B182" s="380" t="str">
        <f t="shared" si="2"/>
        <v>091-914</v>
      </c>
      <c r="C182" t="s">
        <v>985</v>
      </c>
      <c r="D182" s="2043">
        <v>928</v>
      </c>
      <c r="E182" s="2043">
        <v>985</v>
      </c>
      <c r="F182" s="2043">
        <v>57</v>
      </c>
      <c r="G182" s="2168">
        <v>6.1422413793103425E-2</v>
      </c>
      <c r="H182" s="2168">
        <v>0.93834116956508018</v>
      </c>
      <c r="I182" s="727" t="s">
        <v>659</v>
      </c>
    </row>
    <row r="183" spans="1:9" ht="14.5">
      <c r="A183" t="s">
        <v>5282</v>
      </c>
      <c r="B183" s="380" t="str">
        <f t="shared" si="2"/>
        <v>227-912</v>
      </c>
      <c r="C183" t="s">
        <v>1804</v>
      </c>
      <c r="D183" s="2043">
        <v>1530</v>
      </c>
      <c r="E183" s="2043">
        <v>1625</v>
      </c>
      <c r="F183" s="2043">
        <v>95</v>
      </c>
      <c r="G183" s="2168">
        <v>6.2091503267973858E-2</v>
      </c>
      <c r="H183" s="2168">
        <v>0.93866582011123223</v>
      </c>
      <c r="I183" s="727" t="s">
        <v>659</v>
      </c>
    </row>
    <row r="184" spans="1:9" ht="14.5">
      <c r="A184" t="s">
        <v>5186</v>
      </c>
      <c r="B184" s="380" t="str">
        <f t="shared" si="2"/>
        <v>171-902</v>
      </c>
      <c r="C184" t="s">
        <v>2128</v>
      </c>
      <c r="D184" s="2043">
        <v>556</v>
      </c>
      <c r="E184" s="2043">
        <v>591</v>
      </c>
      <c r="F184" s="2043">
        <v>35</v>
      </c>
      <c r="G184" s="2168">
        <v>6.2949640287769837E-2</v>
      </c>
      <c r="H184" s="2168">
        <v>0.93878389301755594</v>
      </c>
      <c r="I184" s="727" t="s">
        <v>659</v>
      </c>
    </row>
    <row r="185" spans="1:9" ht="14.5">
      <c r="A185" t="s">
        <v>5879</v>
      </c>
      <c r="B185" s="380" t="str">
        <f t="shared" si="2"/>
        <v>209-902</v>
      </c>
      <c r="C185" t="s">
        <v>344</v>
      </c>
      <c r="D185" s="2043">
        <v>111</v>
      </c>
      <c r="E185" s="2043">
        <v>118</v>
      </c>
      <c r="F185" s="2043">
        <v>7</v>
      </c>
      <c r="G185" s="2168">
        <v>6.3063063063063085E-2</v>
      </c>
      <c r="H185" s="2168">
        <v>0.93880746764183032</v>
      </c>
      <c r="I185" s="727" t="s">
        <v>659</v>
      </c>
    </row>
    <row r="186" spans="1:9" ht="14.5">
      <c r="A186" t="s">
        <v>4976</v>
      </c>
      <c r="B186" s="380" t="str">
        <f t="shared" si="2"/>
        <v>046-902</v>
      </c>
      <c r="C186" t="s">
        <v>2084</v>
      </c>
      <c r="D186" s="2043">
        <v>23935</v>
      </c>
      <c r="E186" s="2043">
        <v>25459</v>
      </c>
      <c r="F186" s="2043">
        <v>1524</v>
      </c>
      <c r="G186" s="2168">
        <v>6.3672446208481226E-2</v>
      </c>
      <c r="H186" s="2168">
        <v>0.94389379272151452</v>
      </c>
      <c r="I186" s="727" t="s">
        <v>659</v>
      </c>
    </row>
    <row r="187" spans="1:9" ht="14.5">
      <c r="A187" t="s">
        <v>4924</v>
      </c>
      <c r="B187" s="380" t="str">
        <f t="shared" si="2"/>
        <v>004-901</v>
      </c>
      <c r="C187" t="s">
        <v>1124</v>
      </c>
      <c r="D187" s="2043">
        <v>2829</v>
      </c>
      <c r="E187" s="2043">
        <v>3010</v>
      </c>
      <c r="F187" s="2043">
        <v>181</v>
      </c>
      <c r="G187" s="2168">
        <v>6.3980205019441572E-2</v>
      </c>
      <c r="H187" s="2168">
        <v>0.94449514542546398</v>
      </c>
      <c r="I187" s="727" t="s">
        <v>659</v>
      </c>
    </row>
    <row r="188" spans="1:9" ht="14.5">
      <c r="A188" t="s">
        <v>5771</v>
      </c>
      <c r="B188" s="380" t="str">
        <f t="shared" si="2"/>
        <v>048-901</v>
      </c>
      <c r="C188" t="s">
        <v>976</v>
      </c>
      <c r="D188" s="2043">
        <v>218</v>
      </c>
      <c r="E188" s="2043">
        <v>232</v>
      </c>
      <c r="F188" s="2043">
        <v>14</v>
      </c>
      <c r="G188" s="2168">
        <v>6.4220183486238591E-2</v>
      </c>
      <c r="H188" s="2168">
        <v>0.94454149553420697</v>
      </c>
      <c r="I188" s="727" t="s">
        <v>659</v>
      </c>
    </row>
    <row r="189" spans="1:9" ht="14.5">
      <c r="A189" t="s">
        <v>3157</v>
      </c>
      <c r="B189" s="380" t="str">
        <f t="shared" si="2"/>
        <v>175-911</v>
      </c>
      <c r="C189" t="s">
        <v>78</v>
      </c>
      <c r="D189" s="2043">
        <v>910</v>
      </c>
      <c r="E189" s="2043">
        <v>969</v>
      </c>
      <c r="F189" s="2043">
        <v>59</v>
      </c>
      <c r="G189" s="2168">
        <v>6.4835164835164827E-2</v>
      </c>
      <c r="H189" s="2168">
        <v>0.94473508715218935</v>
      </c>
      <c r="I189" s="727" t="s">
        <v>659</v>
      </c>
    </row>
    <row r="190" spans="1:9" ht="14.5">
      <c r="A190" t="s">
        <v>5027</v>
      </c>
      <c r="B190" s="380" t="str">
        <f t="shared" si="2"/>
        <v>083-902</v>
      </c>
      <c r="C190" t="s">
        <v>498</v>
      </c>
      <c r="D190" s="2043">
        <v>137</v>
      </c>
      <c r="E190" s="2043">
        <v>146</v>
      </c>
      <c r="F190" s="2043">
        <v>9</v>
      </c>
      <c r="G190" s="2168">
        <v>6.5693430656934337E-2</v>
      </c>
      <c r="H190" s="2168">
        <v>0.94476425575510525</v>
      </c>
      <c r="I190" s="727" t="s">
        <v>659</v>
      </c>
    </row>
    <row r="191" spans="1:9" ht="14.5">
      <c r="A191" t="s">
        <v>5183</v>
      </c>
      <c r="B191" s="380" t="str">
        <f t="shared" si="2"/>
        <v>169-911</v>
      </c>
      <c r="C191" t="s">
        <v>2125</v>
      </c>
      <c r="D191" s="2043">
        <v>299</v>
      </c>
      <c r="E191" s="2043">
        <v>319</v>
      </c>
      <c r="F191" s="2043">
        <v>20</v>
      </c>
      <c r="G191" s="2168">
        <v>6.6889632107023367E-2</v>
      </c>
      <c r="H191" s="2168">
        <v>0.94482798715462679</v>
      </c>
      <c r="I191" s="727" t="s">
        <v>659</v>
      </c>
    </row>
    <row r="192" spans="1:9" ht="14.5">
      <c r="A192" t="s">
        <v>4940</v>
      </c>
      <c r="B192" s="380" t="str">
        <f t="shared" si="2"/>
        <v>019-907</v>
      </c>
      <c r="C192" t="s">
        <v>1315</v>
      </c>
      <c r="D192" s="2043">
        <v>7174</v>
      </c>
      <c r="E192" s="2043">
        <v>7654</v>
      </c>
      <c r="F192" s="2043">
        <v>480</v>
      </c>
      <c r="G192" s="2168">
        <v>6.6908279899637657E-2</v>
      </c>
      <c r="H192" s="2168">
        <v>0.9463571411732411</v>
      </c>
      <c r="I192" s="727" t="s">
        <v>659</v>
      </c>
    </row>
    <row r="193" spans="1:9" ht="14.5">
      <c r="A193" t="s">
        <v>3222</v>
      </c>
      <c r="B193" s="380" t="str">
        <f t="shared" ref="B193:B256" si="3">CONCATENATE(LEFT(RIGHT(CONCATENATE("000",A193),6),3),"-",(RIGHT(RIGHT(CONCATENATE("000",A193),6),3)))</f>
        <v>226-906</v>
      </c>
      <c r="C193" t="s">
        <v>128</v>
      </c>
      <c r="D193" s="2043">
        <v>1179</v>
      </c>
      <c r="E193" s="2043">
        <v>1258</v>
      </c>
      <c r="F193" s="2043">
        <v>79</v>
      </c>
      <c r="G193" s="2168">
        <v>6.7005937234944968E-2</v>
      </c>
      <c r="H193" s="2168">
        <v>0.94660847064220077</v>
      </c>
      <c r="I193" s="727" t="s">
        <v>659</v>
      </c>
    </row>
    <row r="194" spans="1:9" ht="14.5">
      <c r="A194" t="s">
        <v>5752</v>
      </c>
      <c r="B194" s="380" t="str">
        <f t="shared" si="3"/>
        <v>012-901</v>
      </c>
      <c r="C194" t="s">
        <v>1135</v>
      </c>
      <c r="D194" s="2043">
        <v>582</v>
      </c>
      <c r="E194" s="2043">
        <v>621</v>
      </c>
      <c r="F194" s="2043">
        <v>39</v>
      </c>
      <c r="G194" s="2168">
        <v>6.7010309278350499E-2</v>
      </c>
      <c r="H194" s="2168">
        <v>0.94673253709706873</v>
      </c>
      <c r="I194" s="727" t="s">
        <v>659</v>
      </c>
    </row>
    <row r="195" spans="1:9" ht="14.5">
      <c r="A195" t="s">
        <v>5272</v>
      </c>
      <c r="B195" s="380" t="str">
        <f t="shared" si="3"/>
        <v>221-912</v>
      </c>
      <c r="C195" t="s">
        <v>1065</v>
      </c>
      <c r="D195" s="2043">
        <v>4600</v>
      </c>
      <c r="E195" s="2043">
        <v>4910</v>
      </c>
      <c r="F195" s="2043">
        <v>310</v>
      </c>
      <c r="G195" s="2168">
        <v>6.7391304347826031E-2</v>
      </c>
      <c r="H195" s="2168">
        <v>0.94771348120882681</v>
      </c>
      <c r="I195" s="727" t="s">
        <v>659</v>
      </c>
    </row>
    <row r="196" spans="1:9" ht="14.5">
      <c r="A196" t="s">
        <v>5762</v>
      </c>
      <c r="B196" s="380" t="str">
        <f t="shared" si="3"/>
        <v>030-901</v>
      </c>
      <c r="C196" t="s">
        <v>1509</v>
      </c>
      <c r="D196" s="2043">
        <v>340</v>
      </c>
      <c r="E196" s="2043">
        <v>363</v>
      </c>
      <c r="F196" s="2043">
        <v>23</v>
      </c>
      <c r="G196" s="2168">
        <v>6.7647058823529393E-2</v>
      </c>
      <c r="H196" s="2168">
        <v>0.94778600314621342</v>
      </c>
      <c r="I196" s="727" t="s">
        <v>659</v>
      </c>
    </row>
    <row r="197" spans="1:9" ht="14.5">
      <c r="A197" t="s">
        <v>5293</v>
      </c>
      <c r="B197" s="380" t="str">
        <f t="shared" si="3"/>
        <v>235-904</v>
      </c>
      <c r="C197" t="s">
        <v>1969</v>
      </c>
      <c r="D197" s="2043">
        <v>132</v>
      </c>
      <c r="E197" s="2043">
        <v>141</v>
      </c>
      <c r="F197" s="2043">
        <v>9</v>
      </c>
      <c r="G197" s="2168">
        <v>6.8181818181818121E-2</v>
      </c>
      <c r="H197" s="2168">
        <v>0.94781417282437186</v>
      </c>
      <c r="I197" s="727" t="s">
        <v>659</v>
      </c>
    </row>
    <row r="198" spans="1:9" ht="14.5">
      <c r="A198" t="s">
        <v>4960</v>
      </c>
      <c r="B198" s="380" t="str">
        <f t="shared" si="3"/>
        <v>034-901</v>
      </c>
      <c r="C198" t="s">
        <v>2049</v>
      </c>
      <c r="D198" s="2043">
        <v>1725</v>
      </c>
      <c r="E198" s="2043">
        <v>1848</v>
      </c>
      <c r="F198" s="2043">
        <v>123</v>
      </c>
      <c r="G198" s="2168">
        <v>7.1304347826086856E-2</v>
      </c>
      <c r="H198" s="2168">
        <v>0.94818337541470366</v>
      </c>
      <c r="I198" s="727" t="s">
        <v>659</v>
      </c>
    </row>
    <row r="199" spans="1:9" ht="14.5">
      <c r="A199" t="s">
        <v>3254</v>
      </c>
      <c r="B199" s="380" t="str">
        <f t="shared" si="3"/>
        <v>244-905</v>
      </c>
      <c r="C199" t="s">
        <v>2165</v>
      </c>
      <c r="D199" s="2043">
        <v>222</v>
      </c>
      <c r="E199" s="2043">
        <v>238</v>
      </c>
      <c r="F199" s="2043">
        <v>16</v>
      </c>
      <c r="G199" s="2168">
        <v>7.2072072072072002E-2</v>
      </c>
      <c r="H199" s="2168">
        <v>0.94823092423315547</v>
      </c>
      <c r="I199" s="727" t="s">
        <v>659</v>
      </c>
    </row>
    <row r="200" spans="1:9" ht="14.5">
      <c r="A200" t="s">
        <v>5219</v>
      </c>
      <c r="B200" s="380" t="str">
        <f t="shared" si="3"/>
        <v>184-911</v>
      </c>
      <c r="C200" t="s">
        <v>413</v>
      </c>
      <c r="D200" s="2043">
        <v>201</v>
      </c>
      <c r="E200" s="2043">
        <v>216</v>
      </c>
      <c r="F200" s="2043">
        <v>15</v>
      </c>
      <c r="G200" s="2168">
        <v>7.4626865671641784E-2</v>
      </c>
      <c r="H200" s="2168">
        <v>0.9482740777826747</v>
      </c>
      <c r="I200" s="727" t="s">
        <v>659</v>
      </c>
    </row>
    <row r="201" spans="1:9" ht="14.5">
      <c r="A201" t="s">
        <v>3045</v>
      </c>
      <c r="B201" s="380" t="str">
        <f t="shared" si="3"/>
        <v>108-914</v>
      </c>
      <c r="C201" t="s">
        <v>2175</v>
      </c>
      <c r="D201" s="2043">
        <v>555</v>
      </c>
      <c r="E201" s="2043">
        <v>597</v>
      </c>
      <c r="F201" s="2043">
        <v>42</v>
      </c>
      <c r="G201" s="2168">
        <v>7.5675675675675569E-2</v>
      </c>
      <c r="H201" s="2168">
        <v>0.94839334939870723</v>
      </c>
      <c r="I201" s="727" t="s">
        <v>659</v>
      </c>
    </row>
    <row r="202" spans="1:9" ht="14.5">
      <c r="A202" t="s">
        <v>3185</v>
      </c>
      <c r="B202" s="380" t="str">
        <f t="shared" si="3"/>
        <v>200-902</v>
      </c>
      <c r="C202" t="s">
        <v>2114</v>
      </c>
      <c r="D202" s="2043">
        <v>435</v>
      </c>
      <c r="E202" s="2043">
        <v>468</v>
      </c>
      <c r="F202" s="2043">
        <v>33</v>
      </c>
      <c r="G202" s="2168">
        <v>7.5862068965517171E-2</v>
      </c>
      <c r="H202" s="2168">
        <v>0.94848684875599909</v>
      </c>
      <c r="I202" s="727" t="s">
        <v>659</v>
      </c>
    </row>
    <row r="203" spans="1:9" ht="14.5">
      <c r="A203" t="s">
        <v>4993</v>
      </c>
      <c r="B203" s="380" t="str">
        <f t="shared" si="3"/>
        <v>057-919</v>
      </c>
      <c r="C203" t="s">
        <v>2467</v>
      </c>
      <c r="D203" s="2043">
        <v>1882</v>
      </c>
      <c r="E203" s="2043">
        <v>2025</v>
      </c>
      <c r="F203" s="2043">
        <v>143</v>
      </c>
      <c r="G203" s="2168">
        <v>7.5982996811902126E-2</v>
      </c>
      <c r="H203" s="2168">
        <v>0.9488914132827424</v>
      </c>
      <c r="I203" s="727" t="s">
        <v>659</v>
      </c>
    </row>
    <row r="204" spans="1:9" ht="14.5">
      <c r="A204" t="s">
        <v>2855</v>
      </c>
      <c r="B204" s="380" t="str">
        <f t="shared" si="3"/>
        <v>005-904</v>
      </c>
      <c r="C204" t="s">
        <v>1061</v>
      </c>
      <c r="D204" s="2043">
        <v>403</v>
      </c>
      <c r="E204" s="2043">
        <v>434</v>
      </c>
      <c r="F204" s="2043">
        <v>31</v>
      </c>
      <c r="G204" s="2168">
        <v>7.6923076923076872E-2</v>
      </c>
      <c r="H204" s="2168">
        <v>0.94897811995168402</v>
      </c>
      <c r="I204" s="727" t="s">
        <v>659</v>
      </c>
    </row>
    <row r="205" spans="1:9" ht="14.5">
      <c r="A205" t="s">
        <v>4936</v>
      </c>
      <c r="B205" s="380" t="str">
        <f t="shared" si="3"/>
        <v>017-901</v>
      </c>
      <c r="C205" t="s">
        <v>2158</v>
      </c>
      <c r="D205" s="2043">
        <v>214</v>
      </c>
      <c r="E205" s="2043">
        <v>231</v>
      </c>
      <c r="F205" s="2043">
        <v>17</v>
      </c>
      <c r="G205" s="2168">
        <v>7.9439252336448662E-2</v>
      </c>
      <c r="H205" s="2168">
        <v>0.94902427027547542</v>
      </c>
      <c r="I205" s="727" t="s">
        <v>659</v>
      </c>
    </row>
    <row r="206" spans="1:9" ht="14.5">
      <c r="A206" t="s">
        <v>2873</v>
      </c>
      <c r="B206" s="380" t="str">
        <f t="shared" si="3"/>
        <v>014-908</v>
      </c>
      <c r="C206" t="s">
        <v>1912</v>
      </c>
      <c r="D206" s="2043">
        <v>1949</v>
      </c>
      <c r="E206" s="2043">
        <v>2105</v>
      </c>
      <c r="F206" s="2043">
        <v>156</v>
      </c>
      <c r="G206" s="2168">
        <v>8.0041046690610518E-2</v>
      </c>
      <c r="H206" s="2168">
        <v>0.9494448175983371</v>
      </c>
      <c r="I206" s="727" t="s">
        <v>659</v>
      </c>
    </row>
    <row r="207" spans="1:9" ht="14.5">
      <c r="A207" t="s">
        <v>3064</v>
      </c>
      <c r="B207" s="380" t="str">
        <f t="shared" si="3"/>
        <v>116-901</v>
      </c>
      <c r="C207" t="s">
        <v>610</v>
      </c>
      <c r="D207" s="2043">
        <v>1841</v>
      </c>
      <c r="E207" s="2043">
        <v>1992</v>
      </c>
      <c r="F207" s="2043">
        <v>151</v>
      </c>
      <c r="G207" s="2168">
        <v>8.2020640956002255E-2</v>
      </c>
      <c r="H207" s="2168">
        <v>0.94984278922168175</v>
      </c>
      <c r="I207" s="727" t="s">
        <v>659</v>
      </c>
    </row>
    <row r="208" spans="1:9" ht="14.5">
      <c r="A208" t="s">
        <v>5265</v>
      </c>
      <c r="B208" s="380" t="str">
        <f t="shared" si="3"/>
        <v>219-905</v>
      </c>
      <c r="C208" t="s">
        <v>2426</v>
      </c>
      <c r="D208" s="2043">
        <v>256</v>
      </c>
      <c r="E208" s="2043">
        <v>277</v>
      </c>
      <c r="F208" s="2043">
        <v>21</v>
      </c>
      <c r="G208" s="2168">
        <v>8.203125E-2</v>
      </c>
      <c r="H208" s="2168">
        <v>0.94989812965324127</v>
      </c>
      <c r="I208" s="727" t="s">
        <v>659</v>
      </c>
    </row>
    <row r="209" spans="1:9" ht="14.5">
      <c r="A209" t="s">
        <v>3229</v>
      </c>
      <c r="B209" s="380" t="str">
        <f t="shared" si="3"/>
        <v>229-906</v>
      </c>
      <c r="C209" t="s">
        <v>2061</v>
      </c>
      <c r="D209" s="2043">
        <v>195</v>
      </c>
      <c r="E209" s="2043">
        <v>211</v>
      </c>
      <c r="F209" s="2043">
        <v>16</v>
      </c>
      <c r="G209" s="2168">
        <v>8.2051282051281982E-2</v>
      </c>
      <c r="H209" s="2168">
        <v>0.94994028427800314</v>
      </c>
      <c r="I209" s="727" t="s">
        <v>659</v>
      </c>
    </row>
    <row r="210" spans="1:9" ht="14.5">
      <c r="A210" t="s">
        <v>2963</v>
      </c>
      <c r="B210" s="380" t="str">
        <f t="shared" si="3"/>
        <v>061-907</v>
      </c>
      <c r="C210" t="s">
        <v>1997</v>
      </c>
      <c r="D210" s="2043">
        <v>2442</v>
      </c>
      <c r="E210" s="2043">
        <v>2644</v>
      </c>
      <c r="F210" s="2043">
        <v>202</v>
      </c>
      <c r="G210" s="2168">
        <v>8.2719082719082682E-2</v>
      </c>
      <c r="H210" s="2168">
        <v>0.95046851568971158</v>
      </c>
      <c r="I210" s="727" t="s">
        <v>659</v>
      </c>
    </row>
    <row r="211" spans="1:9" ht="14.5">
      <c r="A211" t="s">
        <v>3111</v>
      </c>
      <c r="B211" s="380" t="str">
        <f t="shared" si="3"/>
        <v>152-906</v>
      </c>
      <c r="C211" t="s">
        <v>550</v>
      </c>
      <c r="D211" s="2043">
        <v>6571</v>
      </c>
      <c r="E211" s="2043">
        <v>7115</v>
      </c>
      <c r="F211" s="2043">
        <v>544</v>
      </c>
      <c r="G211" s="2168">
        <v>8.2788007913559669E-2</v>
      </c>
      <c r="H211" s="2168">
        <v>0.95188998561947924</v>
      </c>
      <c r="I211" s="727" t="s">
        <v>659</v>
      </c>
    </row>
    <row r="212" spans="1:9" ht="14.5">
      <c r="A212" t="s">
        <v>2978</v>
      </c>
      <c r="B212" s="380" t="str">
        <f t="shared" si="3"/>
        <v>070-912</v>
      </c>
      <c r="C212" t="s">
        <v>130</v>
      </c>
      <c r="D212" s="2043">
        <v>8937</v>
      </c>
      <c r="E212" s="2043">
        <v>9679</v>
      </c>
      <c r="F212" s="2043">
        <v>742</v>
      </c>
      <c r="G212" s="2168">
        <v>8.3025623811122218E-2</v>
      </c>
      <c r="H212" s="2168">
        <v>0.95382370416483697</v>
      </c>
      <c r="I212" s="727" t="s">
        <v>659</v>
      </c>
    </row>
    <row r="213" spans="1:9" ht="14.5">
      <c r="A213" t="s">
        <v>4969</v>
      </c>
      <c r="B213" s="380" t="str">
        <f t="shared" si="3"/>
        <v>040-902</v>
      </c>
      <c r="C213" t="s">
        <v>973</v>
      </c>
      <c r="D213" s="2043">
        <v>313</v>
      </c>
      <c r="E213" s="2043">
        <v>339</v>
      </c>
      <c r="F213" s="2043">
        <v>26</v>
      </c>
      <c r="G213" s="2168">
        <v>8.3067092651757157E-2</v>
      </c>
      <c r="H213" s="2168">
        <v>0.95389143126338805</v>
      </c>
      <c r="I213" s="727" t="s">
        <v>659</v>
      </c>
    </row>
    <row r="214" spans="1:9" ht="14.5">
      <c r="A214" t="s">
        <v>5864</v>
      </c>
      <c r="B214" s="380" t="str">
        <f t="shared" si="3"/>
        <v>185-904</v>
      </c>
      <c r="C214" t="s">
        <v>417</v>
      </c>
      <c r="D214" s="2043">
        <v>168</v>
      </c>
      <c r="E214" s="2043">
        <v>182</v>
      </c>
      <c r="F214" s="2043">
        <v>14</v>
      </c>
      <c r="G214" s="2168">
        <v>8.3333333333333259E-2</v>
      </c>
      <c r="H214" s="2168">
        <v>0.95392779212455714</v>
      </c>
      <c r="I214" s="727" t="s">
        <v>659</v>
      </c>
    </row>
    <row r="215" spans="1:9" ht="14.5">
      <c r="A215" t="s">
        <v>5096</v>
      </c>
      <c r="B215" s="380" t="str">
        <f t="shared" si="3"/>
        <v>112-906</v>
      </c>
      <c r="C215" t="s">
        <v>207</v>
      </c>
      <c r="D215" s="2043">
        <v>512</v>
      </c>
      <c r="E215" s="2043">
        <v>555</v>
      </c>
      <c r="F215" s="2043">
        <v>43</v>
      </c>
      <c r="G215" s="2168">
        <v>8.3984375E-2</v>
      </c>
      <c r="H215" s="2168">
        <v>0.95403867277262755</v>
      </c>
      <c r="I215" s="727" t="s">
        <v>659</v>
      </c>
    </row>
    <row r="216" spans="1:9" ht="14.5">
      <c r="A216" t="s">
        <v>5074</v>
      </c>
      <c r="B216" s="380" t="str">
        <f t="shared" si="3"/>
        <v>101-924</v>
      </c>
      <c r="C216" t="s">
        <v>2069</v>
      </c>
      <c r="D216" s="2043">
        <v>9401</v>
      </c>
      <c r="E216" s="2043">
        <v>10206</v>
      </c>
      <c r="F216" s="2043">
        <v>805</v>
      </c>
      <c r="G216" s="2168">
        <v>8.5629188384214405E-2</v>
      </c>
      <c r="H216" s="2168">
        <v>0.95607767798741439</v>
      </c>
      <c r="I216" s="727" t="s">
        <v>659</v>
      </c>
    </row>
    <row r="217" spans="1:9" ht="14.5">
      <c r="A217" t="s">
        <v>5249</v>
      </c>
      <c r="B217" s="380" t="str">
        <f t="shared" si="3"/>
        <v>208-901</v>
      </c>
      <c r="C217" t="s">
        <v>340</v>
      </c>
      <c r="D217" s="2043">
        <v>244</v>
      </c>
      <c r="E217" s="2043">
        <v>265</v>
      </c>
      <c r="F217" s="2043">
        <v>21</v>
      </c>
      <c r="G217" s="2168">
        <v>8.6065573770491843E-2</v>
      </c>
      <c r="H217" s="2168">
        <v>0.95613062099955604</v>
      </c>
      <c r="I217" s="727" t="s">
        <v>659</v>
      </c>
    </row>
    <row r="218" spans="1:9" ht="14.5">
      <c r="A218" t="s">
        <v>3060</v>
      </c>
      <c r="B218" s="380" t="str">
        <f t="shared" si="3"/>
        <v>112-905</v>
      </c>
      <c r="C218" t="s">
        <v>400</v>
      </c>
      <c r="D218" s="2043">
        <v>386</v>
      </c>
      <c r="E218" s="2043">
        <v>420</v>
      </c>
      <c r="F218" s="2043">
        <v>34</v>
      </c>
      <c r="G218" s="2168">
        <v>8.8082901554404236E-2</v>
      </c>
      <c r="H218" s="2168">
        <v>0.95621453067917694</v>
      </c>
      <c r="I218" s="727" t="s">
        <v>659</v>
      </c>
    </row>
    <row r="219" spans="1:9" ht="14.5">
      <c r="A219" t="s">
        <v>2932</v>
      </c>
      <c r="B219" s="380" t="str">
        <f t="shared" si="3"/>
        <v>043-903</v>
      </c>
      <c r="C219" t="s">
        <v>617</v>
      </c>
      <c r="D219" s="2043">
        <v>2722</v>
      </c>
      <c r="E219" s="2043">
        <v>2962</v>
      </c>
      <c r="F219" s="2043">
        <v>240</v>
      </c>
      <c r="G219" s="2168">
        <v>8.8170462894930246E-2</v>
      </c>
      <c r="H219" s="2168">
        <v>0.95680629370545545</v>
      </c>
      <c r="I219" s="727" t="s">
        <v>659</v>
      </c>
    </row>
    <row r="220" spans="1:9" ht="14.5">
      <c r="A220" t="s">
        <v>5848</v>
      </c>
      <c r="B220" s="380" t="str">
        <f t="shared" si="3"/>
        <v>160-904</v>
      </c>
      <c r="C220" t="s">
        <v>1652</v>
      </c>
      <c r="D220" s="2043">
        <v>179</v>
      </c>
      <c r="E220" s="2043">
        <v>195</v>
      </c>
      <c r="F220" s="2043">
        <v>16</v>
      </c>
      <c r="G220" s="2168">
        <v>8.9385474860335101E-2</v>
      </c>
      <c r="H220" s="2168">
        <v>0.95684525177099367</v>
      </c>
      <c r="I220" s="727" t="s">
        <v>659</v>
      </c>
    </row>
    <row r="221" spans="1:9" ht="14.5">
      <c r="A221" t="s">
        <v>5758</v>
      </c>
      <c r="B221" s="380" t="str">
        <f t="shared" si="3"/>
        <v>022-902</v>
      </c>
      <c r="C221" t="s">
        <v>1498</v>
      </c>
      <c r="D221" s="2043">
        <v>55</v>
      </c>
      <c r="E221" s="2043">
        <v>60</v>
      </c>
      <c r="F221" s="2043">
        <v>5</v>
      </c>
      <c r="G221" s="2168">
        <v>9.0909090909090828E-2</v>
      </c>
      <c r="H221" s="2168">
        <v>0.95685723886808238</v>
      </c>
      <c r="I221" s="727" t="s">
        <v>659</v>
      </c>
    </row>
    <row r="222" spans="1:9" ht="14.5">
      <c r="A222" t="s">
        <v>5799</v>
      </c>
      <c r="B222" s="380" t="str">
        <f t="shared" si="3"/>
        <v>075-906</v>
      </c>
      <c r="C222" t="s">
        <v>437</v>
      </c>
      <c r="D222" s="2043">
        <v>251</v>
      </c>
      <c r="E222" s="2043">
        <v>274</v>
      </c>
      <c r="F222" s="2043">
        <v>23</v>
      </c>
      <c r="G222" s="2168">
        <v>9.1633466135458086E-2</v>
      </c>
      <c r="H222" s="2168">
        <v>0.95691197994478738</v>
      </c>
      <c r="I222" s="727" t="s">
        <v>659</v>
      </c>
    </row>
    <row r="223" spans="1:9" ht="14.5">
      <c r="A223" t="s">
        <v>5045</v>
      </c>
      <c r="B223" s="380" t="str">
        <f t="shared" si="3"/>
        <v>091-907</v>
      </c>
      <c r="C223" t="s">
        <v>1557</v>
      </c>
      <c r="D223" s="2043">
        <v>675</v>
      </c>
      <c r="E223" s="2043">
        <v>737</v>
      </c>
      <c r="F223" s="2043">
        <v>62</v>
      </c>
      <c r="G223" s="2168">
        <v>9.1851851851851851E-2</v>
      </c>
      <c r="H223" s="2168">
        <v>0.95705922145402689</v>
      </c>
      <c r="I223" s="727" t="s">
        <v>659</v>
      </c>
    </row>
    <row r="224" spans="1:9" ht="14.5">
      <c r="A224" t="s">
        <v>5019</v>
      </c>
      <c r="B224" s="380" t="str">
        <f t="shared" si="3"/>
        <v>079-901</v>
      </c>
      <c r="C224" t="s">
        <v>981</v>
      </c>
      <c r="D224" s="2043">
        <v>33444</v>
      </c>
      <c r="E224" s="2043">
        <v>36519</v>
      </c>
      <c r="F224" s="2043">
        <v>3075</v>
      </c>
      <c r="G224" s="2168">
        <v>9.1944743451740196E-2</v>
      </c>
      <c r="H224" s="2168">
        <v>0.96435516809706034</v>
      </c>
      <c r="I224" s="727" t="s">
        <v>659</v>
      </c>
    </row>
    <row r="225" spans="1:9" ht="14.5">
      <c r="A225" t="s">
        <v>5138</v>
      </c>
      <c r="B225" s="380" t="str">
        <f t="shared" si="3"/>
        <v>141-902</v>
      </c>
      <c r="C225" t="s">
        <v>895</v>
      </c>
      <c r="D225" s="2043">
        <v>289</v>
      </c>
      <c r="E225" s="2043">
        <v>316</v>
      </c>
      <c r="F225" s="2043">
        <v>27</v>
      </c>
      <c r="G225" s="2168">
        <v>9.3425605536332279E-2</v>
      </c>
      <c r="H225" s="2168">
        <v>0.96441830014172747</v>
      </c>
      <c r="I225" s="727" t="s">
        <v>659</v>
      </c>
    </row>
    <row r="226" spans="1:9" ht="14.5">
      <c r="A226" t="s">
        <v>3006</v>
      </c>
      <c r="B226" s="380" t="str">
        <f t="shared" si="3"/>
        <v>091-908</v>
      </c>
      <c r="C226" t="s">
        <v>2232</v>
      </c>
      <c r="D226" s="2043">
        <v>1707</v>
      </c>
      <c r="E226" s="2043">
        <v>1868</v>
      </c>
      <c r="F226" s="2043">
        <v>161</v>
      </c>
      <c r="G226" s="2168">
        <v>9.4317516110134836E-2</v>
      </c>
      <c r="H226" s="2168">
        <v>0.9647914984310888</v>
      </c>
      <c r="I226" s="727" t="s">
        <v>659</v>
      </c>
    </row>
    <row r="227" spans="1:9" ht="14.5">
      <c r="A227" t="s">
        <v>2951</v>
      </c>
      <c r="B227" s="380" t="str">
        <f t="shared" si="3"/>
        <v>050-904</v>
      </c>
      <c r="C227" t="s">
        <v>247</v>
      </c>
      <c r="D227" s="2043">
        <v>169</v>
      </c>
      <c r="E227" s="2043">
        <v>185</v>
      </c>
      <c r="F227" s="2043">
        <v>16</v>
      </c>
      <c r="G227" s="2168">
        <v>9.4674556213017791E-2</v>
      </c>
      <c r="H227" s="2168">
        <v>0.9648284586471122</v>
      </c>
      <c r="I227" s="727" t="s">
        <v>659</v>
      </c>
    </row>
    <row r="228" spans="1:9" ht="14.5">
      <c r="A228" t="s">
        <v>5218</v>
      </c>
      <c r="B228" s="380" t="str">
        <f t="shared" si="3"/>
        <v>184-907</v>
      </c>
      <c r="C228" t="s">
        <v>412</v>
      </c>
      <c r="D228" s="2043">
        <v>6129</v>
      </c>
      <c r="E228" s="2043">
        <v>6723</v>
      </c>
      <c r="F228" s="2043">
        <v>594</v>
      </c>
      <c r="G228" s="2168">
        <v>9.6916299559471453E-2</v>
      </c>
      <c r="H228" s="2168">
        <v>0.96617161287590037</v>
      </c>
      <c r="I228" s="727" t="s">
        <v>659</v>
      </c>
    </row>
    <row r="229" spans="1:9" ht="14.5">
      <c r="A229" t="s">
        <v>2933</v>
      </c>
      <c r="B229" s="380" t="str">
        <f t="shared" si="3"/>
        <v>043-904</v>
      </c>
      <c r="C229" t="s">
        <v>99</v>
      </c>
      <c r="D229" s="2043">
        <v>1717</v>
      </c>
      <c r="E229" s="2043">
        <v>1884</v>
      </c>
      <c r="F229" s="2043">
        <v>167</v>
      </c>
      <c r="G229" s="2168">
        <v>9.7262667443214879E-2</v>
      </c>
      <c r="H229" s="2168">
        <v>0.96654800772448535</v>
      </c>
      <c r="I229" s="727" t="s">
        <v>659</v>
      </c>
    </row>
    <row r="230" spans="1:9" ht="14.5">
      <c r="A230" t="s">
        <v>5073</v>
      </c>
      <c r="B230" s="380" t="str">
        <f t="shared" si="3"/>
        <v>101-921</v>
      </c>
      <c r="C230" t="s">
        <v>2068</v>
      </c>
      <c r="D230" s="2043">
        <v>16962</v>
      </c>
      <c r="E230" s="2043">
        <v>18666</v>
      </c>
      <c r="F230" s="2043">
        <v>1704</v>
      </c>
      <c r="G230" s="2168">
        <v>0.10045985143261404</v>
      </c>
      <c r="H230" s="2168">
        <v>0.97027719362877796</v>
      </c>
      <c r="I230" s="727" t="s">
        <v>659</v>
      </c>
    </row>
    <row r="231" spans="1:9" ht="14.5">
      <c r="A231" t="s">
        <v>5296</v>
      </c>
      <c r="B231" s="380" t="str">
        <f t="shared" si="3"/>
        <v>239-903</v>
      </c>
      <c r="C231" t="s">
        <v>1147</v>
      </c>
      <c r="D231" s="2043">
        <v>437</v>
      </c>
      <c r="E231" s="2043">
        <v>481</v>
      </c>
      <c r="F231" s="2043">
        <v>44</v>
      </c>
      <c r="G231" s="2168">
        <v>0.10068649885583514</v>
      </c>
      <c r="H231" s="2168">
        <v>0.97037329019043905</v>
      </c>
      <c r="I231" s="727" t="s">
        <v>659</v>
      </c>
    </row>
    <row r="232" spans="1:9" ht="14.5">
      <c r="A232" t="s">
        <v>3093</v>
      </c>
      <c r="B232" s="380" t="str">
        <f t="shared" si="3"/>
        <v>129-901</v>
      </c>
      <c r="C232" t="s">
        <v>394</v>
      </c>
      <c r="D232" s="2043">
        <v>4420</v>
      </c>
      <c r="E232" s="2043">
        <v>4868</v>
      </c>
      <c r="F232" s="2043">
        <v>448</v>
      </c>
      <c r="G232" s="2168">
        <v>0.1013574660633485</v>
      </c>
      <c r="H232" s="2168">
        <v>0.97134584333423502</v>
      </c>
      <c r="I232" s="727" t="s">
        <v>659</v>
      </c>
    </row>
    <row r="233" spans="1:9" ht="14.5">
      <c r="A233" t="s">
        <v>5197</v>
      </c>
      <c r="B233" s="380" t="str">
        <f t="shared" si="3"/>
        <v>177-903</v>
      </c>
      <c r="C233" t="s">
        <v>2203</v>
      </c>
      <c r="D233" s="2043">
        <v>152</v>
      </c>
      <c r="E233" s="2043">
        <v>168</v>
      </c>
      <c r="F233" s="2043">
        <v>16</v>
      </c>
      <c r="G233" s="2168">
        <v>0.10526315789473695</v>
      </c>
      <c r="H233" s="2168">
        <v>0.9713794072060834</v>
      </c>
      <c r="I233" s="727" t="s">
        <v>659</v>
      </c>
    </row>
    <row r="234" spans="1:9" ht="14.5">
      <c r="A234" t="s">
        <v>5780</v>
      </c>
      <c r="B234" s="380" t="str">
        <f t="shared" si="3"/>
        <v>056-902</v>
      </c>
      <c r="C234" t="s">
        <v>115</v>
      </c>
      <c r="D234" s="2043">
        <v>180</v>
      </c>
      <c r="E234" s="2043">
        <v>199</v>
      </c>
      <c r="F234" s="2043">
        <v>19</v>
      </c>
      <c r="G234" s="2168">
        <v>0.10555555555555562</v>
      </c>
      <c r="H234" s="2168">
        <v>0.9714191644114275</v>
      </c>
      <c r="I234" s="727" t="s">
        <v>659</v>
      </c>
    </row>
    <row r="235" spans="1:9" ht="14.5">
      <c r="A235" t="s">
        <v>5887</v>
      </c>
      <c r="B235" s="380" t="str">
        <f t="shared" si="3"/>
        <v>225-907</v>
      </c>
      <c r="C235" t="s">
        <v>1572</v>
      </c>
      <c r="D235" s="2043">
        <v>633</v>
      </c>
      <c r="E235" s="2043">
        <v>700</v>
      </c>
      <c r="F235" s="2043">
        <v>67</v>
      </c>
      <c r="G235" s="2168">
        <v>0.10584518167456558</v>
      </c>
      <c r="H235" s="2168">
        <v>0.97155901387746235</v>
      </c>
      <c r="I235" s="727" t="s">
        <v>659</v>
      </c>
    </row>
    <row r="236" spans="1:9" ht="14.5">
      <c r="A236" t="s">
        <v>2931</v>
      </c>
      <c r="B236" s="380" t="str">
        <f t="shared" si="3"/>
        <v>043-902</v>
      </c>
      <c r="C236" t="s">
        <v>1000</v>
      </c>
      <c r="D236" s="2043">
        <v>3597</v>
      </c>
      <c r="E236" s="2043">
        <v>3979</v>
      </c>
      <c r="F236" s="2043">
        <v>382</v>
      </c>
      <c r="G236" s="2168">
        <v>0.10619961078676665</v>
      </c>
      <c r="H236" s="2168">
        <v>0.97235395819939419</v>
      </c>
      <c r="I236" s="727" t="s">
        <v>659</v>
      </c>
    </row>
    <row r="237" spans="1:9" ht="14.5">
      <c r="A237" t="s">
        <v>2868</v>
      </c>
      <c r="B237" s="380" t="str">
        <f t="shared" si="3"/>
        <v>014-902</v>
      </c>
      <c r="C237" t="s">
        <v>2003</v>
      </c>
      <c r="D237" s="2043">
        <v>343</v>
      </c>
      <c r="E237" s="2043">
        <v>380</v>
      </c>
      <c r="F237" s="2043">
        <v>37</v>
      </c>
      <c r="G237" s="2168">
        <v>0.10787172011661816</v>
      </c>
      <c r="H237" s="2168">
        <v>0.97242987648095591</v>
      </c>
      <c r="I237" s="727" t="s">
        <v>659</v>
      </c>
    </row>
    <row r="238" spans="1:9" ht="14.5">
      <c r="A238" t="s">
        <v>5896</v>
      </c>
      <c r="B238" s="380" t="str">
        <f t="shared" si="3"/>
        <v>242-902</v>
      </c>
      <c r="C238" t="s">
        <v>1154</v>
      </c>
      <c r="D238" s="2043">
        <v>367</v>
      </c>
      <c r="E238" s="2043">
        <v>407</v>
      </c>
      <c r="F238" s="2043">
        <v>40</v>
      </c>
      <c r="G238" s="2168">
        <v>0.10899182561307907</v>
      </c>
      <c r="H238" s="2168">
        <v>0.97251118895620758</v>
      </c>
      <c r="I238" s="727" t="s">
        <v>659</v>
      </c>
    </row>
    <row r="239" spans="1:9" ht="14.5">
      <c r="A239" t="s">
        <v>3262</v>
      </c>
      <c r="B239" s="380" t="str">
        <f t="shared" si="3"/>
        <v>246-906</v>
      </c>
      <c r="C239" t="s">
        <v>1194</v>
      </c>
      <c r="D239" s="2043">
        <v>7592</v>
      </c>
      <c r="E239" s="2043">
        <v>8421</v>
      </c>
      <c r="F239" s="2043">
        <v>829</v>
      </c>
      <c r="G239" s="2168">
        <v>0.10919388830347732</v>
      </c>
      <c r="H239" s="2168">
        <v>0.97419357803260576</v>
      </c>
      <c r="I239" s="727" t="s">
        <v>659</v>
      </c>
    </row>
    <row r="240" spans="1:9" ht="14.5">
      <c r="A240" t="s">
        <v>5835</v>
      </c>
      <c r="B240" s="380" t="str">
        <f t="shared" si="3"/>
        <v>138-904</v>
      </c>
      <c r="C240" t="s">
        <v>1941</v>
      </c>
      <c r="D240" s="2043">
        <v>118</v>
      </c>
      <c r="E240" s="2043">
        <v>131</v>
      </c>
      <c r="F240" s="2043">
        <v>13</v>
      </c>
      <c r="G240" s="2168">
        <v>0.11016949152542366</v>
      </c>
      <c r="H240" s="2168">
        <v>0.97421974986124937</v>
      </c>
      <c r="I240" s="727" t="s">
        <v>659</v>
      </c>
    </row>
    <row r="241" spans="1:9" ht="14.5">
      <c r="A241" t="s">
        <v>5791</v>
      </c>
      <c r="B241" s="380" t="str">
        <f t="shared" si="3"/>
        <v>067-908</v>
      </c>
      <c r="C241" t="s">
        <v>1858</v>
      </c>
      <c r="D241" s="2043">
        <v>167</v>
      </c>
      <c r="E241" s="2043">
        <v>186</v>
      </c>
      <c r="F241" s="2043">
        <v>19</v>
      </c>
      <c r="G241" s="2168">
        <v>0.11377245508982026</v>
      </c>
      <c r="H241" s="2168">
        <v>0.97425690986222435</v>
      </c>
      <c r="I241" s="727" t="s">
        <v>659</v>
      </c>
    </row>
    <row r="242" spans="1:9" ht="14.5">
      <c r="A242" t="s">
        <v>5766</v>
      </c>
      <c r="B242" s="380" t="str">
        <f t="shared" si="3"/>
        <v>039-904</v>
      </c>
      <c r="C242" t="s">
        <v>1814</v>
      </c>
      <c r="D242" s="2043">
        <v>130</v>
      </c>
      <c r="E242" s="2043">
        <v>145</v>
      </c>
      <c r="F242" s="2043">
        <v>15</v>
      </c>
      <c r="G242" s="2168">
        <v>0.11538461538461542</v>
      </c>
      <c r="H242" s="2168">
        <v>0.97428587868018868</v>
      </c>
      <c r="I242" s="727" t="s">
        <v>659</v>
      </c>
    </row>
    <row r="243" spans="1:9" ht="14.5">
      <c r="A243" t="s">
        <v>3184</v>
      </c>
      <c r="B243" s="380" t="str">
        <f t="shared" si="3"/>
        <v>199-902</v>
      </c>
      <c r="C243" t="s">
        <v>576</v>
      </c>
      <c r="D243" s="2043">
        <v>6169</v>
      </c>
      <c r="E243" s="2043">
        <v>6886</v>
      </c>
      <c r="F243" s="2043">
        <v>717</v>
      </c>
      <c r="G243" s="2168">
        <v>0.11622629275409313</v>
      </c>
      <c r="H243" s="2168">
        <v>0.97566159785606776</v>
      </c>
      <c r="I243" s="727" t="s">
        <v>659</v>
      </c>
    </row>
    <row r="244" spans="1:9" ht="14.5">
      <c r="A244" t="s">
        <v>5886</v>
      </c>
      <c r="B244" s="380" t="str">
        <f t="shared" si="3"/>
        <v>224-902</v>
      </c>
      <c r="C244" t="s">
        <v>600</v>
      </c>
      <c r="D244" s="2043">
        <v>144</v>
      </c>
      <c r="E244" s="2043">
        <v>161</v>
      </c>
      <c r="F244" s="2043">
        <v>17</v>
      </c>
      <c r="G244" s="2168">
        <v>0.11805555555555558</v>
      </c>
      <c r="H244" s="2168">
        <v>0.97569376323325574</v>
      </c>
      <c r="I244" s="727" t="s">
        <v>659</v>
      </c>
    </row>
    <row r="245" spans="1:9" ht="14.5">
      <c r="A245" t="s">
        <v>3088</v>
      </c>
      <c r="B245" s="380" t="str">
        <f t="shared" si="3"/>
        <v>126-911</v>
      </c>
      <c r="C245" t="s">
        <v>2197</v>
      </c>
      <c r="D245" s="2043">
        <v>2181</v>
      </c>
      <c r="E245" s="2043">
        <v>2443</v>
      </c>
      <c r="F245" s="2043">
        <v>262</v>
      </c>
      <c r="G245" s="2168">
        <v>0.12012838147638694</v>
      </c>
      <c r="H245" s="2168">
        <v>0.97618183786971702</v>
      </c>
      <c r="I245" s="727" t="s">
        <v>659</v>
      </c>
    </row>
    <row r="246" spans="1:9" ht="14.5">
      <c r="A246" t="s">
        <v>4965</v>
      </c>
      <c r="B246" s="380" t="str">
        <f t="shared" si="3"/>
        <v>036-902</v>
      </c>
      <c r="C246" t="s">
        <v>1615</v>
      </c>
      <c r="D246" s="2043">
        <v>5732</v>
      </c>
      <c r="E246" s="2043">
        <v>6424</v>
      </c>
      <c r="F246" s="2043">
        <v>692</v>
      </c>
      <c r="G246" s="2168">
        <v>0.12072575017445919</v>
      </c>
      <c r="H246" s="2168">
        <v>0.97746525639801318</v>
      </c>
      <c r="I246" s="727" t="s">
        <v>659</v>
      </c>
    </row>
    <row r="247" spans="1:9" ht="14.5">
      <c r="A247" t="s">
        <v>5122</v>
      </c>
      <c r="B247" s="380" t="str">
        <f t="shared" si="3"/>
        <v>127-903</v>
      </c>
      <c r="C247" t="s">
        <v>1922</v>
      </c>
      <c r="D247" s="2043">
        <v>395</v>
      </c>
      <c r="E247" s="2043">
        <v>443</v>
      </c>
      <c r="F247" s="2043">
        <v>48</v>
      </c>
      <c r="G247" s="2168">
        <v>0.12151898734177213</v>
      </c>
      <c r="H247" s="2168">
        <v>0.97755376113151804</v>
      </c>
      <c r="I247" s="727" t="s">
        <v>659</v>
      </c>
    </row>
    <row r="248" spans="1:9" ht="14.5">
      <c r="A248" t="s">
        <v>3092</v>
      </c>
      <c r="B248" s="380" t="str">
        <f t="shared" si="3"/>
        <v>128-904</v>
      </c>
      <c r="C248" t="s">
        <v>846</v>
      </c>
      <c r="D248" s="2043">
        <v>363</v>
      </c>
      <c r="E248" s="2043">
        <v>408</v>
      </c>
      <c r="F248" s="2043">
        <v>45</v>
      </c>
      <c r="G248" s="2168">
        <v>0.12396694214876036</v>
      </c>
      <c r="H248" s="2168">
        <v>0.97763527339172118</v>
      </c>
      <c r="I248" s="727" t="s">
        <v>659</v>
      </c>
    </row>
    <row r="249" spans="1:9" ht="14.5">
      <c r="A249" t="s">
        <v>3138</v>
      </c>
      <c r="B249" s="380" t="str">
        <f t="shared" si="3"/>
        <v>163-908</v>
      </c>
      <c r="C249" t="s">
        <v>777</v>
      </c>
      <c r="D249" s="2043">
        <v>5455</v>
      </c>
      <c r="E249" s="2043">
        <v>6134</v>
      </c>
      <c r="F249" s="2043">
        <v>679</v>
      </c>
      <c r="G249" s="2168">
        <v>0.12447296058661772</v>
      </c>
      <c r="H249" s="2168">
        <v>0.97886075428408859</v>
      </c>
      <c r="I249" s="727" t="s">
        <v>659</v>
      </c>
    </row>
    <row r="250" spans="1:9" ht="14.5">
      <c r="A250" t="s">
        <v>3174</v>
      </c>
      <c r="B250" s="380" t="str">
        <f t="shared" si="3"/>
        <v>184-908</v>
      </c>
      <c r="C250" t="s">
        <v>2449</v>
      </c>
      <c r="D250" s="2043">
        <v>1228</v>
      </c>
      <c r="E250" s="2043">
        <v>1382</v>
      </c>
      <c r="F250" s="2043">
        <v>154</v>
      </c>
      <c r="G250" s="2168">
        <v>0.12540716612377856</v>
      </c>
      <c r="H250" s="2168">
        <v>0.97913685708703146</v>
      </c>
      <c r="I250" s="727" t="s">
        <v>659</v>
      </c>
    </row>
    <row r="251" spans="1:9" ht="14.5">
      <c r="A251" t="s">
        <v>5271</v>
      </c>
      <c r="B251" s="380" t="str">
        <f t="shared" si="3"/>
        <v>221-911</v>
      </c>
      <c r="C251" t="s">
        <v>2210</v>
      </c>
      <c r="D251" s="2043">
        <v>1254</v>
      </c>
      <c r="E251" s="2043">
        <v>1414</v>
      </c>
      <c r="F251" s="2043">
        <v>160</v>
      </c>
      <c r="G251" s="2168">
        <v>0.12759170653907503</v>
      </c>
      <c r="H251" s="2168">
        <v>0.97941935300842176</v>
      </c>
      <c r="I251" s="727" t="s">
        <v>659</v>
      </c>
    </row>
    <row r="252" spans="1:9" ht="14.5">
      <c r="A252" t="s">
        <v>5812</v>
      </c>
      <c r="B252" s="380" t="str">
        <f t="shared" si="3"/>
        <v>102-901</v>
      </c>
      <c r="C252" t="s">
        <v>2070</v>
      </c>
      <c r="D252" s="2043">
        <v>126</v>
      </c>
      <c r="E252" s="2043">
        <v>143</v>
      </c>
      <c r="F252" s="2043">
        <v>17</v>
      </c>
      <c r="G252" s="2168">
        <v>0.13492063492063489</v>
      </c>
      <c r="H252" s="2168">
        <v>0.97944792225648314</v>
      </c>
      <c r="I252" s="727" t="s">
        <v>659</v>
      </c>
    </row>
    <row r="253" spans="1:9" ht="14.5">
      <c r="A253" t="s">
        <v>3081</v>
      </c>
      <c r="B253" s="380" t="str">
        <f t="shared" si="3"/>
        <v>125-905</v>
      </c>
      <c r="C253" t="s">
        <v>1983</v>
      </c>
      <c r="D253" s="2043">
        <v>617</v>
      </c>
      <c r="E253" s="2043">
        <v>702</v>
      </c>
      <c r="F253" s="2043">
        <v>85</v>
      </c>
      <c r="G253" s="2168">
        <v>0.13776337115072934</v>
      </c>
      <c r="H253" s="2168">
        <v>0.97958817129242082</v>
      </c>
      <c r="I253" s="727" t="s">
        <v>659</v>
      </c>
    </row>
    <row r="254" spans="1:9" ht="14.5">
      <c r="A254" t="s">
        <v>5821</v>
      </c>
      <c r="B254" s="380" t="str">
        <f t="shared" si="3"/>
        <v>115-902</v>
      </c>
      <c r="C254" t="s">
        <v>1485</v>
      </c>
      <c r="D254" s="2043">
        <v>113</v>
      </c>
      <c r="E254" s="2043">
        <v>129</v>
      </c>
      <c r="F254" s="2043">
        <v>16</v>
      </c>
      <c r="G254" s="2168">
        <v>0.1415929203539823</v>
      </c>
      <c r="H254" s="2168">
        <v>0.97961394355116149</v>
      </c>
      <c r="I254" s="727" t="s">
        <v>659</v>
      </c>
    </row>
    <row r="255" spans="1:9" ht="14.5">
      <c r="A255" t="s">
        <v>3094</v>
      </c>
      <c r="B255" s="380" t="str">
        <f t="shared" si="3"/>
        <v>129-902</v>
      </c>
      <c r="C255" t="s">
        <v>102</v>
      </c>
      <c r="D255" s="2043">
        <v>11133</v>
      </c>
      <c r="E255" s="2043">
        <v>12765</v>
      </c>
      <c r="F255" s="2043">
        <v>1632</v>
      </c>
      <c r="G255" s="2168">
        <v>0.14659121530584751</v>
      </c>
      <c r="H255" s="2168">
        <v>0.98216419845678116</v>
      </c>
      <c r="I255" s="727" t="s">
        <v>659</v>
      </c>
    </row>
    <row r="256" spans="1:9" ht="14.5">
      <c r="A256" t="s">
        <v>3143</v>
      </c>
      <c r="B256" s="380" t="str">
        <f t="shared" si="3"/>
        <v>167-904</v>
      </c>
      <c r="C256" t="s">
        <v>71</v>
      </c>
      <c r="D256" s="2043">
        <v>101</v>
      </c>
      <c r="E256" s="2043">
        <v>116</v>
      </c>
      <c r="F256" s="2043">
        <v>15</v>
      </c>
      <c r="G256" s="2168">
        <v>0.14851485148514842</v>
      </c>
      <c r="H256" s="2168">
        <v>0.98218737351115259</v>
      </c>
      <c r="I256" s="727" t="s">
        <v>659</v>
      </c>
    </row>
    <row r="257" spans="1:9" ht="14.5">
      <c r="A257" t="s">
        <v>5876</v>
      </c>
      <c r="B257" s="380" t="str">
        <f t="shared" ref="B257:B298" si="4">CONCATENATE(LEFT(RIGHT(CONCATENATE("000",A257),6),3),"-",(RIGHT(RIGHT(CONCATENATE("000",A257),6),3)))</f>
        <v>206-903</v>
      </c>
      <c r="C257" t="s">
        <v>338</v>
      </c>
      <c r="D257" s="2043">
        <v>114</v>
      </c>
      <c r="E257" s="2043">
        <v>131</v>
      </c>
      <c r="F257" s="2043">
        <v>17</v>
      </c>
      <c r="G257" s="2168">
        <v>0.14912280701754388</v>
      </c>
      <c r="H257" s="2168">
        <v>0.98221354533979621</v>
      </c>
      <c r="I257" s="727" t="s">
        <v>659</v>
      </c>
    </row>
    <row r="258" spans="1:9" ht="14.5">
      <c r="A258" t="s">
        <v>5823</v>
      </c>
      <c r="B258" s="380" t="str">
        <f t="shared" si="4"/>
        <v>117-907</v>
      </c>
      <c r="C258" t="s">
        <v>2384</v>
      </c>
      <c r="D258" s="2043">
        <v>92</v>
      </c>
      <c r="E258" s="2043">
        <v>106</v>
      </c>
      <c r="F258" s="2043">
        <v>14</v>
      </c>
      <c r="G258" s="2168">
        <v>0.15217391304347827</v>
      </c>
      <c r="H258" s="2168">
        <v>0.98223472254465294</v>
      </c>
      <c r="I258" s="727" t="s">
        <v>659</v>
      </c>
    </row>
    <row r="259" spans="1:9" ht="14.5">
      <c r="A259" t="s">
        <v>5813</v>
      </c>
      <c r="B259" s="380" t="str">
        <f t="shared" si="4"/>
        <v>104-903</v>
      </c>
      <c r="C259" t="s">
        <v>150</v>
      </c>
      <c r="D259" s="2043">
        <v>122</v>
      </c>
      <c r="E259" s="2043">
        <v>141</v>
      </c>
      <c r="F259" s="2043">
        <v>19</v>
      </c>
      <c r="G259" s="2168">
        <v>0.15573770491803285</v>
      </c>
      <c r="H259" s="2168">
        <v>0.98226289222281138</v>
      </c>
      <c r="I259" s="727" t="s">
        <v>659</v>
      </c>
    </row>
    <row r="260" spans="1:9" ht="14.5">
      <c r="A260" t="s">
        <v>2941</v>
      </c>
      <c r="B260" s="380" t="str">
        <f t="shared" si="4"/>
        <v>043-918</v>
      </c>
      <c r="C260" t="s">
        <v>1461</v>
      </c>
      <c r="D260" s="2043">
        <v>2385</v>
      </c>
      <c r="E260" s="2043">
        <v>2757</v>
      </c>
      <c r="F260" s="2043">
        <v>372</v>
      </c>
      <c r="G260" s="2168">
        <v>0.15597484276729556</v>
      </c>
      <c r="H260" s="2168">
        <v>0.98281369933403684</v>
      </c>
      <c r="I260" s="727" t="s">
        <v>659</v>
      </c>
    </row>
    <row r="261" spans="1:9" ht="14.5">
      <c r="A261" t="s">
        <v>5203</v>
      </c>
      <c r="B261" s="380" t="str">
        <f t="shared" si="4"/>
        <v>178-906</v>
      </c>
      <c r="C261" t="s">
        <v>301</v>
      </c>
      <c r="D261" s="2043">
        <v>1107</v>
      </c>
      <c r="E261" s="2043">
        <v>1280</v>
      </c>
      <c r="F261" s="2043">
        <v>173</v>
      </c>
      <c r="G261" s="2168">
        <v>0.15627822944896108</v>
      </c>
      <c r="H261" s="2168">
        <v>0.98306942407192899</v>
      </c>
      <c r="I261" s="727" t="s">
        <v>659</v>
      </c>
    </row>
    <row r="262" spans="1:9" ht="14.5">
      <c r="A262" t="s">
        <v>5828</v>
      </c>
      <c r="B262" s="380" t="str">
        <f t="shared" si="4"/>
        <v>132-902</v>
      </c>
      <c r="C262" t="s">
        <v>1929</v>
      </c>
      <c r="D262" s="2043">
        <v>152</v>
      </c>
      <c r="E262" s="2043">
        <v>176</v>
      </c>
      <c r="F262" s="2043">
        <v>24</v>
      </c>
      <c r="G262" s="2168">
        <v>0.15789473684210531</v>
      </c>
      <c r="H262" s="2168">
        <v>0.98310458622338914</v>
      </c>
      <c r="I262" s="727" t="s">
        <v>659</v>
      </c>
    </row>
    <row r="263" spans="1:9" ht="14.5">
      <c r="A263" t="s">
        <v>5290</v>
      </c>
      <c r="B263" s="380" t="str">
        <f t="shared" si="4"/>
        <v>233-903</v>
      </c>
      <c r="C263" t="s">
        <v>586</v>
      </c>
      <c r="D263" s="2043">
        <v>199</v>
      </c>
      <c r="E263" s="2043">
        <v>231</v>
      </c>
      <c r="F263" s="2043">
        <v>32</v>
      </c>
      <c r="G263" s="2168">
        <v>0.16080402010050254</v>
      </c>
      <c r="H263" s="2168">
        <v>0.98315073654718066</v>
      </c>
      <c r="I263" s="727" t="s">
        <v>659</v>
      </c>
    </row>
    <row r="264" spans="1:9" ht="14.5">
      <c r="A264" t="s">
        <v>5212</v>
      </c>
      <c r="B264" s="380" t="str">
        <f t="shared" si="4"/>
        <v>182-901</v>
      </c>
      <c r="C264" t="s">
        <v>313</v>
      </c>
      <c r="D264" s="2043">
        <v>189</v>
      </c>
      <c r="E264" s="2043">
        <v>220</v>
      </c>
      <c r="F264" s="2043">
        <v>31</v>
      </c>
      <c r="G264" s="2168">
        <v>0.16402116402116396</v>
      </c>
      <c r="H264" s="2168">
        <v>0.98319468923650577</v>
      </c>
      <c r="I264" s="727" t="s">
        <v>659</v>
      </c>
    </row>
    <row r="265" spans="1:9" ht="14.5">
      <c r="A265" t="s">
        <v>5148</v>
      </c>
      <c r="B265" s="380" t="str">
        <f t="shared" si="4"/>
        <v>146-903</v>
      </c>
      <c r="C265" t="s">
        <v>1893</v>
      </c>
      <c r="D265" s="2043">
        <v>176</v>
      </c>
      <c r="E265" s="2043">
        <v>205</v>
      </c>
      <c r="F265" s="2043">
        <v>29</v>
      </c>
      <c r="G265" s="2168">
        <v>0.16477272727272729</v>
      </c>
      <c r="H265" s="2168">
        <v>0.98323564515155881</v>
      </c>
      <c r="I265" s="727" t="s">
        <v>659</v>
      </c>
    </row>
    <row r="266" spans="1:9" ht="14.5">
      <c r="A266" t="s">
        <v>5774</v>
      </c>
      <c r="B266" s="380" t="str">
        <f t="shared" si="4"/>
        <v>050-901</v>
      </c>
      <c r="C266" t="s">
        <v>2095</v>
      </c>
      <c r="D266" s="2043">
        <v>234</v>
      </c>
      <c r="E266" s="2043">
        <v>273</v>
      </c>
      <c r="F266" s="2043">
        <v>39</v>
      </c>
      <c r="G266" s="2168">
        <v>0.16666666666666674</v>
      </c>
      <c r="H266" s="2168">
        <v>0.98329018644331245</v>
      </c>
      <c r="I266" s="727" t="s">
        <v>659</v>
      </c>
    </row>
    <row r="267" spans="1:9" ht="14.5">
      <c r="A267" t="s">
        <v>3175</v>
      </c>
      <c r="B267" s="380" t="str">
        <f t="shared" si="4"/>
        <v>184-909</v>
      </c>
      <c r="C267" t="s">
        <v>1752</v>
      </c>
      <c r="D267" s="2043">
        <v>1510</v>
      </c>
      <c r="E267" s="2043">
        <v>1765</v>
      </c>
      <c r="F267" s="2043">
        <v>255</v>
      </c>
      <c r="G267" s="2168">
        <v>0.16887417218543055</v>
      </c>
      <c r="H267" s="2168">
        <v>0.98364280688267147</v>
      </c>
      <c r="I267" s="727" t="s">
        <v>659</v>
      </c>
    </row>
    <row r="268" spans="1:9" ht="14.5">
      <c r="A268" t="s">
        <v>4305</v>
      </c>
      <c r="B268" s="380" t="str">
        <f t="shared" si="4"/>
        <v>128-901</v>
      </c>
      <c r="C268" t="s">
        <v>387</v>
      </c>
      <c r="D268" s="2043">
        <v>1125</v>
      </c>
      <c r="E268" s="2043">
        <v>1315</v>
      </c>
      <c r="F268" s="2043">
        <v>190</v>
      </c>
      <c r="G268" s="2168">
        <v>0.16888888888888887</v>
      </c>
      <c r="H268" s="2168">
        <v>0.98390552409386534</v>
      </c>
      <c r="I268" s="727" t="s">
        <v>659</v>
      </c>
    </row>
    <row r="269" spans="1:9" ht="14.5">
      <c r="A269" t="s">
        <v>5199</v>
      </c>
      <c r="B269" s="380" t="str">
        <f t="shared" si="4"/>
        <v>178-901</v>
      </c>
      <c r="C269" t="s">
        <v>297</v>
      </c>
      <c r="D269" s="2043">
        <v>346</v>
      </c>
      <c r="E269" s="2043">
        <v>406</v>
      </c>
      <c r="F269" s="2043">
        <v>60</v>
      </c>
      <c r="G269" s="2168">
        <v>0.17341040462427748</v>
      </c>
      <c r="H269" s="2168">
        <v>0.98398663678416554</v>
      </c>
      <c r="I269" s="727" t="s">
        <v>659</v>
      </c>
    </row>
    <row r="270" spans="1:9" ht="14.5">
      <c r="A270" t="s">
        <v>5156</v>
      </c>
      <c r="B270" s="380" t="str">
        <f t="shared" si="4"/>
        <v>148-905</v>
      </c>
      <c r="C270" t="s">
        <v>515</v>
      </c>
      <c r="D270" s="2043">
        <v>118</v>
      </c>
      <c r="E270" s="2043">
        <v>139</v>
      </c>
      <c r="F270" s="2043">
        <v>21</v>
      </c>
      <c r="G270" s="2168">
        <v>0.17796610169491522</v>
      </c>
      <c r="H270" s="2168">
        <v>0.98401440689242103</v>
      </c>
      <c r="I270" s="727" t="s">
        <v>659</v>
      </c>
    </row>
    <row r="271" spans="1:9" ht="14.5">
      <c r="A271" t="s">
        <v>2937</v>
      </c>
      <c r="B271" s="380" t="str">
        <f t="shared" si="4"/>
        <v>043-911</v>
      </c>
      <c r="C271" t="s">
        <v>72</v>
      </c>
      <c r="D271" s="2043">
        <v>4887</v>
      </c>
      <c r="E271" s="2043">
        <v>5818</v>
      </c>
      <c r="F271" s="2043">
        <v>931</v>
      </c>
      <c r="G271" s="2168">
        <v>0.19050542254962144</v>
      </c>
      <c r="H271" s="2168">
        <v>0.98517675574012131</v>
      </c>
      <c r="I271" s="727" t="s">
        <v>659</v>
      </c>
    </row>
    <row r="272" spans="1:9" ht="14.5">
      <c r="A272" t="s">
        <v>5133</v>
      </c>
      <c r="B272" s="380" t="str">
        <f t="shared" si="4"/>
        <v>135-001</v>
      </c>
      <c r="C272" t="s">
        <v>1935</v>
      </c>
      <c r="D272" s="2043">
        <v>106</v>
      </c>
      <c r="E272" s="2043">
        <v>127</v>
      </c>
      <c r="F272" s="2043">
        <v>21</v>
      </c>
      <c r="G272" s="2168">
        <v>0.19811320754716988</v>
      </c>
      <c r="H272" s="2168">
        <v>0.98520212842895905</v>
      </c>
      <c r="I272" s="727" t="s">
        <v>659</v>
      </c>
    </row>
    <row r="273" spans="1:9" ht="14.5">
      <c r="A273" t="s">
        <v>5163</v>
      </c>
      <c r="B273" s="380" t="str">
        <f t="shared" si="4"/>
        <v>153-905</v>
      </c>
      <c r="C273" t="s">
        <v>525</v>
      </c>
      <c r="D273" s="2043">
        <v>479</v>
      </c>
      <c r="E273" s="2043">
        <v>575</v>
      </c>
      <c r="F273" s="2043">
        <v>96</v>
      </c>
      <c r="G273" s="2168">
        <v>0.20041753653444672</v>
      </c>
      <c r="H273" s="2168">
        <v>0.9853170047760591</v>
      </c>
      <c r="I273" s="727" t="s">
        <v>659</v>
      </c>
    </row>
    <row r="274" spans="1:9" ht="14.5">
      <c r="A274" t="s">
        <v>5795</v>
      </c>
      <c r="B274" s="380" t="str">
        <f t="shared" si="4"/>
        <v>072-908</v>
      </c>
      <c r="C274" t="s">
        <v>1870</v>
      </c>
      <c r="D274" s="2043">
        <v>236</v>
      </c>
      <c r="E274" s="2043">
        <v>284</v>
      </c>
      <c r="F274" s="2043">
        <v>48</v>
      </c>
      <c r="G274" s="2168">
        <v>0.20338983050847448</v>
      </c>
      <c r="H274" s="2168">
        <v>0.98537374370227881</v>
      </c>
      <c r="I274" s="727" t="s">
        <v>659</v>
      </c>
    </row>
    <row r="275" spans="1:9" ht="14.5">
      <c r="A275" t="s">
        <v>5031</v>
      </c>
      <c r="B275" s="380" t="str">
        <f t="shared" si="4"/>
        <v>084-903</v>
      </c>
      <c r="C275" t="s">
        <v>2242</v>
      </c>
      <c r="D275" s="2043">
        <v>142</v>
      </c>
      <c r="E275" s="2043">
        <v>171</v>
      </c>
      <c r="F275" s="2043">
        <v>29</v>
      </c>
      <c r="G275" s="2168">
        <v>0.20422535211267601</v>
      </c>
      <c r="H275" s="2168">
        <v>0.98540790692898161</v>
      </c>
      <c r="I275" s="727" t="s">
        <v>659</v>
      </c>
    </row>
    <row r="276" spans="1:9" ht="14.5">
      <c r="A276" t="s">
        <v>2992</v>
      </c>
      <c r="B276" s="380" t="str">
        <f t="shared" si="4"/>
        <v>074-912</v>
      </c>
      <c r="C276" t="s">
        <v>5</v>
      </c>
      <c r="D276" s="2043">
        <v>600</v>
      </c>
      <c r="E276" s="2043">
        <v>725</v>
      </c>
      <c r="F276" s="2043">
        <v>125</v>
      </c>
      <c r="G276" s="2168">
        <v>0.20833333333333326</v>
      </c>
      <c r="H276" s="2168">
        <v>0.98555275101880335</v>
      </c>
      <c r="I276" s="727" t="s">
        <v>659</v>
      </c>
    </row>
    <row r="277" spans="1:9" ht="14.5">
      <c r="A277" t="s">
        <v>5108</v>
      </c>
      <c r="B277" s="380" t="str">
        <f t="shared" si="4"/>
        <v>118-902</v>
      </c>
      <c r="C277" t="s">
        <v>992</v>
      </c>
      <c r="D277" s="2043">
        <v>266</v>
      </c>
      <c r="E277" s="2043">
        <v>323</v>
      </c>
      <c r="F277" s="2043">
        <v>57</v>
      </c>
      <c r="G277" s="2168">
        <v>0.21428571428571419</v>
      </c>
      <c r="H277" s="2168">
        <v>0.98561728155813078</v>
      </c>
      <c r="I277" s="727" t="s">
        <v>659</v>
      </c>
    </row>
    <row r="278" spans="1:9" ht="14.5">
      <c r="A278" t="s">
        <v>5307</v>
      </c>
      <c r="B278" s="380" t="str">
        <f t="shared" si="4"/>
        <v>246-907</v>
      </c>
      <c r="C278" t="s">
        <v>1520</v>
      </c>
      <c r="D278" s="2043">
        <v>1896</v>
      </c>
      <c r="E278" s="2043">
        <v>2305</v>
      </c>
      <c r="F278" s="2043">
        <v>409</v>
      </c>
      <c r="G278" s="2168">
        <v>0.21571729957805896</v>
      </c>
      <c r="H278" s="2168">
        <v>0.98607778587128814</v>
      </c>
      <c r="I278" s="727" t="s">
        <v>659</v>
      </c>
    </row>
    <row r="279" spans="1:9" ht="14.5">
      <c r="A279" t="s">
        <v>3245</v>
      </c>
      <c r="B279" s="380" t="str">
        <f t="shared" si="4"/>
        <v>236-902</v>
      </c>
      <c r="C279" t="s">
        <v>90</v>
      </c>
      <c r="D279" s="2043">
        <v>8928</v>
      </c>
      <c r="E279" s="2043">
        <v>10858</v>
      </c>
      <c r="F279" s="2043">
        <v>1930</v>
      </c>
      <c r="G279" s="2168">
        <v>0.21617383512544808</v>
      </c>
      <c r="H279" s="2168">
        <v>0.98824705087443876</v>
      </c>
      <c r="I279" s="727" t="s">
        <v>659</v>
      </c>
    </row>
    <row r="280" spans="1:9" ht="14.5">
      <c r="A280" t="s">
        <v>5226</v>
      </c>
      <c r="B280" s="380" t="str">
        <f t="shared" si="4"/>
        <v>187-906</v>
      </c>
      <c r="C280" t="s">
        <v>424</v>
      </c>
      <c r="D280" s="2043">
        <v>167</v>
      </c>
      <c r="E280" s="2043">
        <v>204</v>
      </c>
      <c r="F280" s="2043">
        <v>37</v>
      </c>
      <c r="G280" s="2168">
        <v>0.22155688622754499</v>
      </c>
      <c r="H280" s="2168">
        <v>0.98828780700454033</v>
      </c>
      <c r="I280" s="727" t="s">
        <v>659</v>
      </c>
    </row>
    <row r="281" spans="1:9" ht="14.5">
      <c r="A281" t="s">
        <v>5208</v>
      </c>
      <c r="B281" s="380" t="str">
        <f t="shared" si="4"/>
        <v>180-904</v>
      </c>
      <c r="C281" t="s">
        <v>309</v>
      </c>
      <c r="D281" s="2043">
        <v>176</v>
      </c>
      <c r="E281" s="2043">
        <v>216</v>
      </c>
      <c r="F281" s="2043">
        <v>40</v>
      </c>
      <c r="G281" s="2168">
        <v>0.22727272727272729</v>
      </c>
      <c r="H281" s="2168">
        <v>0.98833096055405956</v>
      </c>
      <c r="I281" s="727" t="s">
        <v>659</v>
      </c>
    </row>
    <row r="282" spans="1:9" ht="14.5">
      <c r="A282" t="s">
        <v>4998</v>
      </c>
      <c r="B282" s="380" t="str">
        <f t="shared" si="4"/>
        <v>061-910</v>
      </c>
      <c r="C282" t="s">
        <v>2475</v>
      </c>
      <c r="D282" s="2043">
        <v>3061</v>
      </c>
      <c r="E282" s="2043">
        <v>3795</v>
      </c>
      <c r="F282" s="2043">
        <v>734</v>
      </c>
      <c r="G282" s="2168">
        <v>0.23979091800065344</v>
      </c>
      <c r="H282" s="2168">
        <v>0.98908914444491947</v>
      </c>
      <c r="I282" s="727" t="s">
        <v>659</v>
      </c>
    </row>
    <row r="283" spans="1:9" ht="14.5">
      <c r="A283" t="s">
        <v>5785</v>
      </c>
      <c r="B283" s="380" t="str">
        <f t="shared" si="4"/>
        <v>062-906</v>
      </c>
      <c r="C283" t="s">
        <v>2479</v>
      </c>
      <c r="D283" s="2043">
        <v>132</v>
      </c>
      <c r="E283" s="2043">
        <v>166</v>
      </c>
      <c r="F283" s="2043">
        <v>34</v>
      </c>
      <c r="G283" s="2168">
        <v>0.25757575757575757</v>
      </c>
      <c r="H283" s="2168">
        <v>0.98912230874686491</v>
      </c>
      <c r="I283" s="727" t="s">
        <v>659</v>
      </c>
    </row>
    <row r="284" spans="1:9" ht="14.5">
      <c r="A284" t="s">
        <v>3263</v>
      </c>
      <c r="B284" s="380" t="str">
        <f t="shared" si="4"/>
        <v>246-908</v>
      </c>
      <c r="C284" t="s">
        <v>2328</v>
      </c>
      <c r="D284" s="2043">
        <v>4390</v>
      </c>
      <c r="E284" s="2043">
        <v>5539</v>
      </c>
      <c r="F284" s="2043">
        <v>1149</v>
      </c>
      <c r="G284" s="2168">
        <v>0.26173120728929389</v>
      </c>
      <c r="H284" s="2168">
        <v>0.99022891759310283</v>
      </c>
      <c r="I284" s="727" t="s">
        <v>659</v>
      </c>
    </row>
    <row r="285" spans="1:9" ht="14.5">
      <c r="A285" t="s">
        <v>3273</v>
      </c>
      <c r="B285" s="380" t="str">
        <f t="shared" si="4"/>
        <v>249-908</v>
      </c>
      <c r="C285" t="s">
        <v>1820</v>
      </c>
      <c r="D285" s="2043">
        <v>271</v>
      </c>
      <c r="E285" s="2043">
        <v>344</v>
      </c>
      <c r="F285" s="2043">
        <v>73</v>
      </c>
      <c r="G285" s="2168">
        <v>0.26937269372693717</v>
      </c>
      <c r="H285" s="2168">
        <v>0.99029764361641126</v>
      </c>
      <c r="I285" s="727" t="s">
        <v>659</v>
      </c>
    </row>
    <row r="286" spans="1:9" ht="14.5">
      <c r="A286" t="s">
        <v>5154</v>
      </c>
      <c r="B286" s="380" t="str">
        <f t="shared" si="4"/>
        <v>148-902</v>
      </c>
      <c r="C286" t="s">
        <v>513</v>
      </c>
      <c r="D286" s="2043">
        <v>133</v>
      </c>
      <c r="E286" s="2043">
        <v>170</v>
      </c>
      <c r="F286" s="2043">
        <v>37</v>
      </c>
      <c r="G286" s="2168">
        <v>0.27819548872180455</v>
      </c>
      <c r="H286" s="2168">
        <v>0.99033160705816259</v>
      </c>
      <c r="I286" s="727" t="s">
        <v>659</v>
      </c>
    </row>
    <row r="287" spans="1:9" ht="14.5">
      <c r="A287" t="s">
        <v>2936</v>
      </c>
      <c r="B287" s="380" t="str">
        <f t="shared" si="4"/>
        <v>043-908</v>
      </c>
      <c r="C287" t="s">
        <v>2076</v>
      </c>
      <c r="D287" s="2043">
        <v>3163</v>
      </c>
      <c r="E287" s="2043">
        <v>4104</v>
      </c>
      <c r="F287" s="2043">
        <v>941</v>
      </c>
      <c r="G287" s="2168">
        <v>0.29750237116661404</v>
      </c>
      <c r="H287" s="2168">
        <v>0.99115152449902921</v>
      </c>
      <c r="I287" s="727" t="s">
        <v>659</v>
      </c>
    </row>
    <row r="288" spans="1:9" ht="14.5">
      <c r="A288" t="s">
        <v>5846</v>
      </c>
      <c r="B288" s="380" t="str">
        <f t="shared" si="4"/>
        <v>153-907</v>
      </c>
      <c r="C288" t="s">
        <v>526</v>
      </c>
      <c r="D288" s="2043">
        <v>103</v>
      </c>
      <c r="E288" s="2043">
        <v>135</v>
      </c>
      <c r="F288" s="2043">
        <v>32</v>
      </c>
      <c r="G288" s="2168">
        <v>0.31067961165048552</v>
      </c>
      <c r="H288" s="2168">
        <v>0.99117849546747883</v>
      </c>
      <c r="I288" s="727" t="s">
        <v>659</v>
      </c>
    </row>
    <row r="289" spans="1:9" ht="14.5">
      <c r="A289" t="s">
        <v>5794</v>
      </c>
      <c r="B289" s="380" t="str">
        <f t="shared" si="4"/>
        <v>072-901</v>
      </c>
      <c r="C289" t="s">
        <v>1867</v>
      </c>
      <c r="D289" s="2043">
        <v>163</v>
      </c>
      <c r="E289" s="2043">
        <v>215</v>
      </c>
      <c r="F289" s="2043">
        <v>52</v>
      </c>
      <c r="G289" s="2168">
        <v>0.31901840490797539</v>
      </c>
      <c r="H289" s="2168">
        <v>0.99122144923204658</v>
      </c>
      <c r="I289" s="727" t="s">
        <v>659</v>
      </c>
    </row>
    <row r="290" spans="1:9" ht="14.5">
      <c r="A290" t="s">
        <v>5897</v>
      </c>
      <c r="B290" s="380" t="str">
        <f t="shared" si="4"/>
        <v>242-905</v>
      </c>
      <c r="C290" t="s">
        <v>1156</v>
      </c>
      <c r="D290" s="2043">
        <v>90</v>
      </c>
      <c r="E290" s="2043">
        <v>119</v>
      </c>
      <c r="F290" s="2043">
        <v>29</v>
      </c>
      <c r="G290" s="2168">
        <v>0.32222222222222219</v>
      </c>
      <c r="H290" s="2168">
        <v>0.99124522364127254</v>
      </c>
      <c r="I290" s="727" t="s">
        <v>659</v>
      </c>
    </row>
    <row r="291" spans="1:9" ht="14.5">
      <c r="A291" t="s">
        <v>2938</v>
      </c>
      <c r="B291" s="380" t="str">
        <f t="shared" si="4"/>
        <v>043-912</v>
      </c>
      <c r="C291" t="s">
        <v>74</v>
      </c>
      <c r="D291" s="2043">
        <v>14348</v>
      </c>
      <c r="E291" s="2043">
        <v>19138</v>
      </c>
      <c r="F291" s="2043">
        <v>4790</v>
      </c>
      <c r="G291" s="2168">
        <v>0.33384443824923338</v>
      </c>
      <c r="H291" s="2168">
        <v>0.9950687080426629</v>
      </c>
      <c r="I291" s="727" t="s">
        <v>659</v>
      </c>
    </row>
    <row r="292" spans="1:9" ht="14.5">
      <c r="A292" t="s">
        <v>3106</v>
      </c>
      <c r="B292" s="380" t="str">
        <f t="shared" si="4"/>
        <v>146-901</v>
      </c>
      <c r="C292" t="s">
        <v>1094</v>
      </c>
      <c r="D292" s="2043">
        <v>6584</v>
      </c>
      <c r="E292" s="2043">
        <v>8888</v>
      </c>
      <c r="F292" s="2043">
        <v>2304</v>
      </c>
      <c r="G292" s="2168">
        <v>0.34993924665856624</v>
      </c>
      <c r="H292" s="2168">
        <v>0.99684439669140135</v>
      </c>
      <c r="I292" s="727" t="s">
        <v>659</v>
      </c>
    </row>
    <row r="293" spans="1:9" ht="14.5">
      <c r="A293" t="s">
        <v>3119</v>
      </c>
      <c r="B293" s="380" t="str">
        <f t="shared" si="4"/>
        <v>160-905</v>
      </c>
      <c r="C293" t="s">
        <v>2105</v>
      </c>
      <c r="D293" s="2043">
        <v>75</v>
      </c>
      <c r="E293" s="2043">
        <v>102</v>
      </c>
      <c r="F293" s="2043">
        <v>27</v>
      </c>
      <c r="G293" s="2168">
        <v>0.3600000000000001</v>
      </c>
      <c r="H293" s="2168">
        <v>0.99686477475645219</v>
      </c>
      <c r="I293" s="727" t="s">
        <v>659</v>
      </c>
    </row>
    <row r="294" spans="1:9" ht="14.5">
      <c r="A294" t="s">
        <v>3186</v>
      </c>
      <c r="B294" s="380" t="str">
        <f t="shared" si="4"/>
        <v>200-906</v>
      </c>
      <c r="C294" t="s">
        <v>248</v>
      </c>
      <c r="D294" s="2043">
        <v>104</v>
      </c>
      <c r="E294" s="2043">
        <v>142</v>
      </c>
      <c r="F294" s="2043">
        <v>38</v>
      </c>
      <c r="G294" s="2168">
        <v>0.36538461538461542</v>
      </c>
      <c r="H294" s="2168">
        <v>0.9968931442195621</v>
      </c>
      <c r="I294" s="727" t="s">
        <v>659</v>
      </c>
    </row>
    <row r="295" spans="1:9" ht="14.5">
      <c r="A295" t="s">
        <v>5129</v>
      </c>
      <c r="B295" s="380" t="str">
        <f t="shared" si="4"/>
        <v>131-001</v>
      </c>
      <c r="C295" t="s">
        <v>1928</v>
      </c>
      <c r="D295" s="2043">
        <v>64</v>
      </c>
      <c r="E295" s="2043">
        <v>89</v>
      </c>
      <c r="F295" s="2043">
        <v>25</v>
      </c>
      <c r="G295" s="2168">
        <v>0.390625</v>
      </c>
      <c r="H295" s="2168">
        <v>0.99691092508024359</v>
      </c>
      <c r="I295" s="727" t="s">
        <v>659</v>
      </c>
    </row>
    <row r="296" spans="1:9" ht="14.5">
      <c r="A296" t="s">
        <v>5781</v>
      </c>
      <c r="B296" s="380" t="str">
        <f t="shared" si="4"/>
        <v>058-902</v>
      </c>
      <c r="C296" t="s">
        <v>2516</v>
      </c>
      <c r="D296" s="2043">
        <v>108</v>
      </c>
      <c r="E296" s="2043">
        <v>151</v>
      </c>
      <c r="F296" s="2043">
        <v>43</v>
      </c>
      <c r="G296" s="2168">
        <v>0.39814814814814814</v>
      </c>
      <c r="H296" s="2168">
        <v>0.99694109260791686</v>
      </c>
      <c r="I296" s="727" t="s">
        <v>659</v>
      </c>
    </row>
    <row r="297" spans="1:9" ht="14.5">
      <c r="A297" t="s">
        <v>5077</v>
      </c>
      <c r="B297" s="380" t="str">
        <f t="shared" si="4"/>
        <v>102-904</v>
      </c>
      <c r="C297" t="s">
        <v>1961</v>
      </c>
      <c r="D297" s="2043">
        <v>9486</v>
      </c>
      <c r="E297" s="2043">
        <v>15267</v>
      </c>
      <c r="F297" s="2043">
        <v>5781</v>
      </c>
      <c r="G297" s="2168">
        <v>0.60942441492726118</v>
      </c>
      <c r="H297" s="2168">
        <v>0.99999120946213493</v>
      </c>
      <c r="I297" s="727" t="s">
        <v>659</v>
      </c>
    </row>
    <row r="298" spans="1:9" ht="14.5">
      <c r="A298" t="s">
        <v>5788</v>
      </c>
      <c r="B298" s="380" t="str">
        <f t="shared" si="4"/>
        <v>066-005</v>
      </c>
      <c r="C298" t="s">
        <v>1852</v>
      </c>
      <c r="D298" s="2043">
        <v>27</v>
      </c>
      <c r="E298" s="2043">
        <v>44</v>
      </c>
      <c r="F298" s="2043">
        <v>17</v>
      </c>
      <c r="G298" s="2168">
        <v>0.62962962962962954</v>
      </c>
      <c r="H298" s="2168">
        <v>1</v>
      </c>
      <c r="I298" s="727" t="s">
        <v>659</v>
      </c>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FF00"/>
  </sheetPr>
  <dimension ref="A1:H319"/>
  <sheetViews>
    <sheetView workbookViewId="0">
      <selection activeCell="B1" sqref="B1"/>
    </sheetView>
  </sheetViews>
  <sheetFormatPr defaultRowHeight="12.5"/>
  <cols>
    <col min="1" max="2" width="9" style="1153" customWidth="1"/>
    <col min="3" max="3" width="33.26953125" customWidth="1"/>
    <col min="4" max="4" width="12.1796875" style="41" customWidth="1"/>
    <col min="7" max="7" width="22.81640625" customWidth="1"/>
  </cols>
  <sheetData>
    <row r="1" spans="1:8" ht="14.5">
      <c r="A1" s="1151">
        <v>14901</v>
      </c>
      <c r="B1" s="380" t="str">
        <f>CONCATENATE(LEFT(RIGHT(CONCATENATE("000",A1),6),3),"-",(RIGHT(RIGHT(CONCATENATE("000",A1),6),3)))</f>
        <v>014-901</v>
      </c>
      <c r="C1" t="s">
        <v>1138</v>
      </c>
      <c r="D1" s="41" t="s">
        <v>659</v>
      </c>
      <c r="F1" t="s">
        <v>4933</v>
      </c>
      <c r="G1" t="s">
        <v>1138</v>
      </c>
      <c r="H1" s="1764" t="s">
        <v>659</v>
      </c>
    </row>
    <row r="2" spans="1:8" ht="14.5">
      <c r="A2" s="1152">
        <v>184907</v>
      </c>
      <c r="B2" s="380" t="str">
        <f>CONCATENATE(LEFT(RIGHT(CONCATENATE("000",A2),6),3),"-",(RIGHT(RIGHT(CONCATENATE("000",A2),6),3)))</f>
        <v>184-907</v>
      </c>
      <c r="C2" t="s">
        <v>412</v>
      </c>
      <c r="D2" s="41" t="s">
        <v>659</v>
      </c>
      <c r="F2" t="s">
        <v>5218</v>
      </c>
      <c r="G2" t="s">
        <v>412</v>
      </c>
      <c r="H2" s="1764" t="s">
        <v>659</v>
      </c>
    </row>
    <row r="3" spans="1:8" ht="14.5">
      <c r="A3" s="1151">
        <v>37901</v>
      </c>
      <c r="B3" s="380" t="str">
        <f t="shared" ref="B3:B66" si="0">CONCATENATE(LEFT(RIGHT(CONCATENATE("000",A3),6),3),"-",(RIGHT(RIGHT(CONCATENATE("000",A3),6),3)))</f>
        <v>037-901</v>
      </c>
      <c r="C3" t="s">
        <v>1411</v>
      </c>
      <c r="D3" s="41" t="s">
        <v>659</v>
      </c>
      <c r="F3" t="s">
        <v>4966</v>
      </c>
      <c r="G3" t="s">
        <v>1411</v>
      </c>
      <c r="H3" s="1764" t="s">
        <v>659</v>
      </c>
    </row>
    <row r="4" spans="1:8" ht="14.5">
      <c r="A4" s="1151">
        <v>20901</v>
      </c>
      <c r="B4" s="380" t="str">
        <f t="shared" si="0"/>
        <v>020-901</v>
      </c>
      <c r="C4" t="s">
        <v>996</v>
      </c>
      <c r="D4" s="41" t="s">
        <v>659</v>
      </c>
      <c r="F4" t="s">
        <v>2896</v>
      </c>
      <c r="G4" t="s">
        <v>996</v>
      </c>
      <c r="H4" s="1764" t="s">
        <v>659</v>
      </c>
    </row>
    <row r="5" spans="1:8" ht="14.5">
      <c r="A5" s="1151">
        <v>2901</v>
      </c>
      <c r="B5" s="380" t="str">
        <f t="shared" si="0"/>
        <v>002-901</v>
      </c>
      <c r="C5" t="s">
        <v>1119</v>
      </c>
      <c r="D5" s="41" t="s">
        <v>659</v>
      </c>
      <c r="F5" t="s">
        <v>4921</v>
      </c>
      <c r="G5" t="s">
        <v>1119</v>
      </c>
      <c r="H5" s="1764" t="s">
        <v>659</v>
      </c>
    </row>
    <row r="6" spans="1:8" ht="14.5">
      <c r="A6" s="1151">
        <v>43902</v>
      </c>
      <c r="B6" s="380" t="str">
        <f t="shared" si="0"/>
        <v>043-902</v>
      </c>
      <c r="C6" t="s">
        <v>1000</v>
      </c>
      <c r="D6" s="41" t="s">
        <v>659</v>
      </c>
      <c r="F6" t="s">
        <v>2931</v>
      </c>
      <c r="G6" t="s">
        <v>1000</v>
      </c>
      <c r="H6" s="1764" t="s">
        <v>659</v>
      </c>
    </row>
    <row r="7" spans="1:8" ht="14.5">
      <c r="A7" s="1152">
        <v>228905</v>
      </c>
      <c r="B7" s="380" t="str">
        <f t="shared" si="0"/>
        <v>228-905</v>
      </c>
      <c r="C7" t="s">
        <v>1808</v>
      </c>
      <c r="D7" s="41" t="s">
        <v>659</v>
      </c>
      <c r="F7" t="s">
        <v>5890</v>
      </c>
      <c r="G7" t="s">
        <v>1808</v>
      </c>
      <c r="H7" s="1764" t="s">
        <v>659</v>
      </c>
    </row>
    <row r="8" spans="1:8" ht="14.5">
      <c r="A8" s="1152">
        <v>109912</v>
      </c>
      <c r="B8" s="380" t="str">
        <f t="shared" si="0"/>
        <v>109-912</v>
      </c>
      <c r="C8" t="s">
        <v>2281</v>
      </c>
      <c r="D8" s="41" t="s">
        <v>659</v>
      </c>
      <c r="F8" t="s">
        <v>3055</v>
      </c>
      <c r="G8" t="s">
        <v>2281</v>
      </c>
      <c r="H8" s="1764" t="s">
        <v>659</v>
      </c>
    </row>
    <row r="9" spans="1:8" ht="14.5">
      <c r="A9" s="1151">
        <v>5901</v>
      </c>
      <c r="B9" s="380" t="str">
        <f t="shared" si="0"/>
        <v>005-901</v>
      </c>
      <c r="C9" t="s">
        <v>1125</v>
      </c>
      <c r="D9" s="41" t="s">
        <v>659</v>
      </c>
      <c r="F9" t="s">
        <v>4925</v>
      </c>
      <c r="G9" t="s">
        <v>1125</v>
      </c>
      <c r="H9" s="1764" t="s">
        <v>659</v>
      </c>
    </row>
    <row r="10" spans="1:8" ht="14.5">
      <c r="A10" s="1151">
        <v>61910</v>
      </c>
      <c r="B10" s="380" t="str">
        <f t="shared" si="0"/>
        <v>061-910</v>
      </c>
      <c r="C10" t="s">
        <v>2475</v>
      </c>
      <c r="D10" s="41" t="s">
        <v>659</v>
      </c>
      <c r="F10" t="s">
        <v>4998</v>
      </c>
      <c r="G10" t="s">
        <v>2475</v>
      </c>
      <c r="H10" s="1764" t="s">
        <v>659</v>
      </c>
    </row>
    <row r="11" spans="1:8" ht="14.5">
      <c r="A11" s="1151">
        <v>34902</v>
      </c>
      <c r="B11" s="380" t="str">
        <f t="shared" si="0"/>
        <v>034-902</v>
      </c>
      <c r="C11" t="s">
        <v>2050</v>
      </c>
      <c r="D11" s="41" t="s">
        <v>659</v>
      </c>
      <c r="F11" t="s">
        <v>5763</v>
      </c>
      <c r="G11" t="s">
        <v>2050</v>
      </c>
      <c r="H11" s="1764" t="s">
        <v>659</v>
      </c>
    </row>
    <row r="12" spans="1:8" ht="14.5">
      <c r="A12" s="1152">
        <v>161918</v>
      </c>
      <c r="B12" s="380" t="str">
        <f t="shared" si="0"/>
        <v>161-918</v>
      </c>
      <c r="C12" t="s">
        <v>1654</v>
      </c>
      <c r="D12" s="41" t="s">
        <v>659</v>
      </c>
      <c r="F12" t="s">
        <v>5849</v>
      </c>
      <c r="G12" t="s">
        <v>1654</v>
      </c>
      <c r="H12" s="1764" t="s">
        <v>659</v>
      </c>
    </row>
    <row r="13" spans="1:8" ht="14.5">
      <c r="A13" s="1152">
        <v>220915</v>
      </c>
      <c r="B13" s="380" t="str">
        <f t="shared" si="0"/>
        <v>220-915</v>
      </c>
      <c r="C13" t="s">
        <v>2000</v>
      </c>
      <c r="D13" s="41" t="s">
        <v>659</v>
      </c>
      <c r="F13" t="s">
        <v>3214</v>
      </c>
      <c r="G13" t="s">
        <v>2000</v>
      </c>
      <c r="H13" s="1764" t="s">
        <v>659</v>
      </c>
    </row>
    <row r="14" spans="1:8" ht="14.5">
      <c r="A14" s="1152">
        <v>195902</v>
      </c>
      <c r="B14" s="380" t="str">
        <f t="shared" si="0"/>
        <v>195-902</v>
      </c>
      <c r="C14" t="s">
        <v>2001</v>
      </c>
      <c r="D14" s="41" t="s">
        <v>659</v>
      </c>
      <c r="F14" t="s">
        <v>3183</v>
      </c>
      <c r="G14" t="s">
        <v>2001</v>
      </c>
      <c r="H14" s="1764" t="s">
        <v>659</v>
      </c>
    </row>
    <row r="15" spans="1:8" ht="14.5">
      <c r="A15" s="1151">
        <v>36902</v>
      </c>
      <c r="B15" s="380" t="str">
        <f t="shared" si="0"/>
        <v>036-902</v>
      </c>
      <c r="C15" t="s">
        <v>1615</v>
      </c>
      <c r="D15" s="41" t="s">
        <v>659</v>
      </c>
      <c r="F15" t="s">
        <v>4965</v>
      </c>
      <c r="G15" t="s">
        <v>1615</v>
      </c>
      <c r="H15" s="1764" t="s">
        <v>659</v>
      </c>
    </row>
    <row r="16" spans="1:8" ht="14.5">
      <c r="A16" s="1151">
        <v>11901</v>
      </c>
      <c r="B16" s="380" t="str">
        <f t="shared" si="0"/>
        <v>011-901</v>
      </c>
      <c r="C16" t="s">
        <v>2004</v>
      </c>
      <c r="D16" s="41" t="s">
        <v>659</v>
      </c>
      <c r="F16" t="s">
        <v>2862</v>
      </c>
      <c r="G16" t="s">
        <v>2004</v>
      </c>
      <c r="H16" s="1764" t="s">
        <v>659</v>
      </c>
    </row>
    <row r="17" spans="1:8" ht="14.5">
      <c r="A17" s="1152">
        <v>183901</v>
      </c>
      <c r="B17" s="380" t="str">
        <f t="shared" si="0"/>
        <v>183-901</v>
      </c>
      <c r="C17" t="s">
        <v>410</v>
      </c>
      <c r="D17" s="41" t="s">
        <v>659</v>
      </c>
      <c r="F17" t="s">
        <v>5216</v>
      </c>
      <c r="G17" t="s">
        <v>410</v>
      </c>
      <c r="H17" s="1764" t="s">
        <v>659</v>
      </c>
    </row>
    <row r="18" spans="1:8" ht="14.5">
      <c r="A18" s="1151">
        <v>91901</v>
      </c>
      <c r="B18" s="380" t="str">
        <f t="shared" si="0"/>
        <v>091-901</v>
      </c>
      <c r="C18" t="s">
        <v>1469</v>
      </c>
      <c r="D18" s="41" t="s">
        <v>659</v>
      </c>
      <c r="F18" t="s">
        <v>3003</v>
      </c>
      <c r="G18" t="s">
        <v>1469</v>
      </c>
      <c r="H18" s="1764" t="s">
        <v>659</v>
      </c>
    </row>
    <row r="19" spans="1:8" ht="14.5">
      <c r="A19" s="1151">
        <v>14903</v>
      </c>
      <c r="B19" s="380" t="str">
        <f t="shared" si="0"/>
        <v>014-903</v>
      </c>
      <c r="C19" t="s">
        <v>2533</v>
      </c>
      <c r="D19" s="41" t="s">
        <v>659</v>
      </c>
      <c r="F19" t="s">
        <v>2869</v>
      </c>
      <c r="G19" t="s">
        <v>2533</v>
      </c>
      <c r="H19" s="1764" t="s">
        <v>659</v>
      </c>
    </row>
    <row r="20" spans="1:8" ht="14.5">
      <c r="A20" s="1152">
        <v>138904</v>
      </c>
      <c r="B20" s="380" t="str">
        <f t="shared" si="0"/>
        <v>138-904</v>
      </c>
      <c r="C20" t="s">
        <v>1941</v>
      </c>
      <c r="D20" s="41" t="s">
        <v>659</v>
      </c>
      <c r="F20" t="s">
        <v>5835</v>
      </c>
      <c r="G20" t="s">
        <v>1941</v>
      </c>
      <c r="H20" s="1764" t="s">
        <v>659</v>
      </c>
    </row>
    <row r="21" spans="1:8" ht="14.5">
      <c r="A21" s="1152">
        <v>114901</v>
      </c>
      <c r="B21" s="380" t="str">
        <f t="shared" si="0"/>
        <v>114-901</v>
      </c>
      <c r="C21" t="s">
        <v>1481</v>
      </c>
      <c r="D21" s="41" t="s">
        <v>659</v>
      </c>
      <c r="F21" t="s">
        <v>3063</v>
      </c>
      <c r="G21" t="s">
        <v>1481</v>
      </c>
      <c r="H21" s="1764" t="s">
        <v>659</v>
      </c>
    </row>
    <row r="22" spans="1:8" ht="14.5">
      <c r="A22" s="1152">
        <v>178902</v>
      </c>
      <c r="B22" s="380" t="str">
        <f t="shared" si="0"/>
        <v>178-902</v>
      </c>
      <c r="C22" t="s">
        <v>2204</v>
      </c>
      <c r="D22" s="41" t="s">
        <v>659</v>
      </c>
      <c r="F22" t="s">
        <v>5200</v>
      </c>
      <c r="G22" t="s">
        <v>2204</v>
      </c>
      <c r="H22" s="1764" t="s">
        <v>659</v>
      </c>
    </row>
    <row r="23" spans="1:8" ht="14.5">
      <c r="A23" s="1152">
        <v>116915</v>
      </c>
      <c r="B23" s="380" t="str">
        <f t="shared" si="0"/>
        <v>116-915</v>
      </c>
      <c r="C23" t="s">
        <v>754</v>
      </c>
      <c r="D23" s="41" t="s">
        <v>659</v>
      </c>
      <c r="F23" t="s">
        <v>3070</v>
      </c>
      <c r="G23" t="s">
        <v>754</v>
      </c>
      <c r="H23" s="1764" t="s">
        <v>659</v>
      </c>
    </row>
    <row r="24" spans="1:8" ht="14.5">
      <c r="A24" s="1151">
        <v>43917</v>
      </c>
      <c r="B24" s="380" t="str">
        <f t="shared" si="0"/>
        <v>043-917</v>
      </c>
      <c r="C24" t="s">
        <v>1269</v>
      </c>
      <c r="D24" s="41" t="s">
        <v>659</v>
      </c>
      <c r="F24" t="s">
        <v>2940</v>
      </c>
      <c r="G24" t="s">
        <v>1269</v>
      </c>
      <c r="H24" s="1764" t="s">
        <v>659</v>
      </c>
    </row>
    <row r="25" spans="1:8" ht="14.5">
      <c r="A25" s="1151">
        <v>72904</v>
      </c>
      <c r="B25" s="380" t="str">
        <f t="shared" si="0"/>
        <v>072-904</v>
      </c>
      <c r="C25" t="s">
        <v>1869</v>
      </c>
      <c r="D25" s="41" t="s">
        <v>659</v>
      </c>
      <c r="F25" t="s">
        <v>5010</v>
      </c>
      <c r="G25" t="s">
        <v>1869</v>
      </c>
      <c r="H25" s="1764" t="s">
        <v>659</v>
      </c>
    </row>
    <row r="26" spans="1:8" ht="14.5">
      <c r="A26" s="1152">
        <v>130901</v>
      </c>
      <c r="B26" s="380" t="str">
        <f t="shared" si="0"/>
        <v>130-901</v>
      </c>
      <c r="C26" t="s">
        <v>1926</v>
      </c>
      <c r="D26" s="41" t="s">
        <v>659</v>
      </c>
      <c r="F26" t="s">
        <v>5127</v>
      </c>
      <c r="G26" t="s">
        <v>1926</v>
      </c>
      <c r="H26" s="1764" t="s">
        <v>659</v>
      </c>
    </row>
    <row r="27" spans="1:8" ht="14.5">
      <c r="A27" s="1152">
        <v>116916</v>
      </c>
      <c r="B27" s="380" t="str">
        <f t="shared" si="0"/>
        <v>116-916</v>
      </c>
      <c r="C27" t="s">
        <v>1271</v>
      </c>
      <c r="D27" s="41" t="s">
        <v>659</v>
      </c>
      <c r="F27" t="s">
        <v>3071</v>
      </c>
      <c r="G27" t="s">
        <v>1271</v>
      </c>
      <c r="H27" s="1764" t="s">
        <v>659</v>
      </c>
    </row>
    <row r="28" spans="1:8" ht="14.5">
      <c r="A28" s="1152">
        <v>249902</v>
      </c>
      <c r="B28" s="380" t="str">
        <f t="shared" si="0"/>
        <v>249-902</v>
      </c>
      <c r="C28" t="s">
        <v>1524</v>
      </c>
      <c r="D28" s="41" t="s">
        <v>659</v>
      </c>
      <c r="F28" t="s">
        <v>5310</v>
      </c>
      <c r="G28" t="s">
        <v>1524</v>
      </c>
      <c r="H28" s="1764" t="s">
        <v>659</v>
      </c>
    </row>
    <row r="29" spans="1:8" ht="14.5">
      <c r="A29" s="1152">
        <v>180901</v>
      </c>
      <c r="B29" s="380" t="str">
        <f t="shared" si="0"/>
        <v>180-901</v>
      </c>
      <c r="C29" t="s">
        <v>7357</v>
      </c>
      <c r="D29" s="41" t="s">
        <v>659</v>
      </c>
      <c r="F29" t="s">
        <v>7356</v>
      </c>
      <c r="G29" t="s">
        <v>7357</v>
      </c>
      <c r="H29" s="1764" t="s">
        <v>659</v>
      </c>
    </row>
    <row r="30" spans="1:8" ht="14.5">
      <c r="A30" s="1151">
        <v>8903</v>
      </c>
      <c r="B30" s="380" t="str">
        <f t="shared" si="0"/>
        <v>008-903</v>
      </c>
      <c r="C30" t="s">
        <v>1132</v>
      </c>
      <c r="D30" s="41" t="s">
        <v>659</v>
      </c>
      <c r="F30" t="s">
        <v>4930</v>
      </c>
      <c r="G30" t="s">
        <v>1132</v>
      </c>
      <c r="H30" s="1764" t="s">
        <v>659</v>
      </c>
    </row>
    <row r="31" spans="1:8" ht="14.5">
      <c r="A31" s="1152">
        <v>198901</v>
      </c>
      <c r="B31" s="380" t="str">
        <f t="shared" si="0"/>
        <v>198-901</v>
      </c>
      <c r="C31" t="s">
        <v>1536</v>
      </c>
      <c r="D31" s="41" t="s">
        <v>659</v>
      </c>
      <c r="F31" t="s">
        <v>5239</v>
      </c>
      <c r="G31" t="s">
        <v>1536</v>
      </c>
      <c r="H31" s="1764" t="s">
        <v>659</v>
      </c>
    </row>
    <row r="32" spans="1:8" ht="14.5">
      <c r="A32" s="1152">
        <v>181901</v>
      </c>
      <c r="B32" s="380" t="str">
        <f t="shared" si="0"/>
        <v>181-901</v>
      </c>
      <c r="C32" t="s">
        <v>1751</v>
      </c>
      <c r="D32" s="41" t="s">
        <v>659</v>
      </c>
      <c r="F32" t="s">
        <v>3166</v>
      </c>
      <c r="G32" t="s">
        <v>1751</v>
      </c>
      <c r="H32" s="1764" t="s">
        <v>659</v>
      </c>
    </row>
    <row r="33" spans="1:8" ht="14.5">
      <c r="A33" s="1152">
        <v>184909</v>
      </c>
      <c r="B33" s="380" t="str">
        <f t="shared" si="0"/>
        <v>184-909</v>
      </c>
      <c r="C33" t="s">
        <v>1752</v>
      </c>
      <c r="D33" s="41" t="s">
        <v>659</v>
      </c>
      <c r="F33" t="s">
        <v>3175</v>
      </c>
      <c r="G33" t="s">
        <v>1752</v>
      </c>
      <c r="H33" s="1764" t="s">
        <v>659</v>
      </c>
    </row>
    <row r="34" spans="1:8" ht="14.5">
      <c r="A34" s="1151">
        <v>25908</v>
      </c>
      <c r="B34" s="380" t="str">
        <f t="shared" si="0"/>
        <v>025-908</v>
      </c>
      <c r="C34" t="s">
        <v>2278</v>
      </c>
      <c r="D34" s="41" t="s">
        <v>659</v>
      </c>
      <c r="F34" t="s">
        <v>2906</v>
      </c>
      <c r="G34" t="s">
        <v>2278</v>
      </c>
      <c r="H34" s="1764" t="s">
        <v>659</v>
      </c>
    </row>
    <row r="35" spans="1:8" ht="14.5">
      <c r="A35" s="1152">
        <v>186901</v>
      </c>
      <c r="B35" s="380" t="str">
        <f t="shared" si="0"/>
        <v>186-901</v>
      </c>
      <c r="C35" t="s">
        <v>418</v>
      </c>
      <c r="D35" s="41" t="s">
        <v>659</v>
      </c>
      <c r="F35" t="s">
        <v>5221</v>
      </c>
      <c r="G35" t="s">
        <v>418</v>
      </c>
      <c r="H35" s="1764" t="s">
        <v>659</v>
      </c>
    </row>
    <row r="36" spans="1:8" ht="14.5">
      <c r="A36" s="1152">
        <v>126902</v>
      </c>
      <c r="B36" s="380" t="str">
        <f t="shared" si="0"/>
        <v>126-902</v>
      </c>
      <c r="C36" t="s">
        <v>1364</v>
      </c>
      <c r="D36" s="41" t="s">
        <v>659</v>
      </c>
      <c r="F36" t="s">
        <v>3083</v>
      </c>
      <c r="G36" t="s">
        <v>1364</v>
      </c>
      <c r="H36" s="1764" t="s">
        <v>659</v>
      </c>
    </row>
    <row r="37" spans="1:8" ht="14.5">
      <c r="A37" s="1151">
        <v>27903</v>
      </c>
      <c r="B37" s="380" t="str">
        <f t="shared" si="0"/>
        <v>027-903</v>
      </c>
      <c r="C37" t="s">
        <v>124</v>
      </c>
      <c r="D37" s="41" t="s">
        <v>659</v>
      </c>
      <c r="F37" t="s">
        <v>2909</v>
      </c>
      <c r="G37" t="s">
        <v>124</v>
      </c>
      <c r="H37" s="1764" t="s">
        <v>659</v>
      </c>
    </row>
    <row r="38" spans="1:8" ht="14.5">
      <c r="A38" s="1152">
        <v>109902</v>
      </c>
      <c r="B38" s="380" t="str">
        <f t="shared" si="0"/>
        <v>109-902</v>
      </c>
      <c r="C38" t="s">
        <v>851</v>
      </c>
      <c r="D38" s="41" t="s">
        <v>659</v>
      </c>
      <c r="F38" t="s">
        <v>3049</v>
      </c>
      <c r="G38" t="s">
        <v>851</v>
      </c>
      <c r="H38" s="1764" t="s">
        <v>659</v>
      </c>
    </row>
    <row r="39" spans="1:8" ht="14.5">
      <c r="A39" s="1152">
        <v>116901</v>
      </c>
      <c r="B39" s="380" t="str">
        <f t="shared" si="0"/>
        <v>116-901</v>
      </c>
      <c r="C39" t="s">
        <v>610</v>
      </c>
      <c r="D39" s="41" t="s">
        <v>659</v>
      </c>
      <c r="F39" t="s">
        <v>3064</v>
      </c>
      <c r="G39" t="s">
        <v>610</v>
      </c>
      <c r="H39" s="1764" t="s">
        <v>659</v>
      </c>
    </row>
    <row r="40" spans="1:8" ht="14.5">
      <c r="A40" s="1151">
        <v>71907</v>
      </c>
      <c r="B40" s="380" t="str">
        <f t="shared" si="0"/>
        <v>071-907</v>
      </c>
      <c r="C40" t="s">
        <v>612</v>
      </c>
      <c r="D40" s="41" t="s">
        <v>659</v>
      </c>
      <c r="F40" t="s">
        <v>2984</v>
      </c>
      <c r="G40" t="s">
        <v>612</v>
      </c>
      <c r="H40" s="1764" t="s">
        <v>659</v>
      </c>
    </row>
    <row r="41" spans="1:8" ht="14.5">
      <c r="A41" s="1152">
        <v>191901</v>
      </c>
      <c r="B41" s="380" t="str">
        <f t="shared" si="0"/>
        <v>191-901</v>
      </c>
      <c r="C41" t="s">
        <v>2207</v>
      </c>
      <c r="D41" s="41" t="s">
        <v>659</v>
      </c>
      <c r="F41" t="s">
        <v>5231</v>
      </c>
      <c r="G41" t="s">
        <v>2207</v>
      </c>
      <c r="H41" s="1764" t="s">
        <v>659</v>
      </c>
    </row>
    <row r="42" spans="1:8" ht="14.5">
      <c r="A42" s="1151">
        <v>43903</v>
      </c>
      <c r="B42" s="380" t="str">
        <f t="shared" si="0"/>
        <v>043-903</v>
      </c>
      <c r="C42" t="s">
        <v>617</v>
      </c>
      <c r="D42" s="41" t="s">
        <v>659</v>
      </c>
      <c r="F42" t="s">
        <v>2932</v>
      </c>
      <c r="G42" t="s">
        <v>617</v>
      </c>
      <c r="H42" s="1764" t="s">
        <v>659</v>
      </c>
    </row>
    <row r="43" spans="1:8" ht="14.5">
      <c r="A43" s="1152">
        <v>228904</v>
      </c>
      <c r="B43" s="380" t="str">
        <f t="shared" si="0"/>
        <v>228-904</v>
      </c>
      <c r="C43" t="s">
        <v>1721</v>
      </c>
      <c r="D43" s="41" t="s">
        <v>659</v>
      </c>
      <c r="F43" t="s">
        <v>5889</v>
      </c>
      <c r="G43" t="s">
        <v>1721</v>
      </c>
      <c r="H43" s="1764" t="s">
        <v>659</v>
      </c>
    </row>
    <row r="44" spans="1:8" ht="14.5">
      <c r="A44" s="1151">
        <v>99902</v>
      </c>
      <c r="B44" s="380" t="str">
        <f t="shared" si="0"/>
        <v>099-902</v>
      </c>
      <c r="C44" t="s">
        <v>448</v>
      </c>
      <c r="D44" s="41" t="s">
        <v>659</v>
      </c>
      <c r="F44" t="s">
        <v>5063</v>
      </c>
      <c r="G44" t="s">
        <v>448</v>
      </c>
      <c r="H44" s="1764" t="s">
        <v>659</v>
      </c>
    </row>
    <row r="45" spans="1:8" ht="14.5">
      <c r="A45" s="1151">
        <v>73901</v>
      </c>
      <c r="B45" s="380" t="str">
        <f t="shared" si="0"/>
        <v>073-901</v>
      </c>
      <c r="C45" t="s">
        <v>979</v>
      </c>
      <c r="D45" s="41" t="s">
        <v>659</v>
      </c>
      <c r="F45" t="s">
        <v>5011</v>
      </c>
      <c r="G45" t="s">
        <v>979</v>
      </c>
      <c r="H45" s="1764" t="s">
        <v>659</v>
      </c>
    </row>
    <row r="46" spans="1:8" ht="14.5">
      <c r="A46" s="1152">
        <v>161920</v>
      </c>
      <c r="B46" s="380" t="str">
        <f t="shared" si="0"/>
        <v>161-920</v>
      </c>
      <c r="C46" t="s">
        <v>1090</v>
      </c>
      <c r="D46" s="41" t="s">
        <v>659</v>
      </c>
      <c r="F46" t="s">
        <v>3130</v>
      </c>
      <c r="G46" t="s">
        <v>1090</v>
      </c>
      <c r="H46" s="1764" t="s">
        <v>659</v>
      </c>
    </row>
    <row r="47" spans="1:8" ht="14.5">
      <c r="A47" s="1152">
        <v>226901</v>
      </c>
      <c r="B47" s="380" t="str">
        <f t="shared" si="0"/>
        <v>226-901</v>
      </c>
      <c r="C47" t="s">
        <v>1799</v>
      </c>
      <c r="D47" s="41" t="s">
        <v>659</v>
      </c>
      <c r="F47" t="s">
        <v>5277</v>
      </c>
      <c r="G47" t="s">
        <v>1799</v>
      </c>
      <c r="H47" s="1764" t="s">
        <v>659</v>
      </c>
    </row>
    <row r="48" spans="1:8" ht="14.5">
      <c r="A48" s="1152">
        <v>243906</v>
      </c>
      <c r="B48" s="380" t="str">
        <f t="shared" si="0"/>
        <v>243-906</v>
      </c>
      <c r="C48" t="s">
        <v>1092</v>
      </c>
      <c r="D48" s="41" t="s">
        <v>659</v>
      </c>
      <c r="F48" t="s">
        <v>3253</v>
      </c>
      <c r="G48" t="s">
        <v>1092</v>
      </c>
      <c r="H48" s="1764" t="s">
        <v>659</v>
      </c>
    </row>
    <row r="49" spans="1:8" ht="14.5">
      <c r="A49" s="1151">
        <v>6902</v>
      </c>
      <c r="B49" s="380" t="str">
        <f t="shared" si="0"/>
        <v>006-902</v>
      </c>
      <c r="C49" t="s">
        <v>1127</v>
      </c>
      <c r="D49" s="41" t="s">
        <v>659</v>
      </c>
      <c r="F49" t="s">
        <v>4927</v>
      </c>
      <c r="G49" t="s">
        <v>1127</v>
      </c>
      <c r="H49" s="1764" t="s">
        <v>659</v>
      </c>
    </row>
    <row r="50" spans="1:8" ht="14.5">
      <c r="A50" s="1152">
        <v>146901</v>
      </c>
      <c r="B50" s="380" t="str">
        <f t="shared" si="0"/>
        <v>146-901</v>
      </c>
      <c r="C50" t="s">
        <v>1094</v>
      </c>
      <c r="D50" s="41" t="s">
        <v>659</v>
      </c>
      <c r="F50" t="s">
        <v>3106</v>
      </c>
      <c r="G50" t="s">
        <v>1094</v>
      </c>
      <c r="H50" s="1764" t="s">
        <v>659</v>
      </c>
    </row>
    <row r="51" spans="1:8" ht="14.5">
      <c r="A51" s="1152">
        <v>114902</v>
      </c>
      <c r="B51" s="380" t="str">
        <f t="shared" si="0"/>
        <v>114-902</v>
      </c>
      <c r="C51" t="s">
        <v>1482</v>
      </c>
      <c r="D51" s="41" t="s">
        <v>659</v>
      </c>
      <c r="F51" t="s">
        <v>5100</v>
      </c>
      <c r="G51" t="s">
        <v>1482</v>
      </c>
      <c r="H51" s="1764" t="s">
        <v>659</v>
      </c>
    </row>
    <row r="52" spans="1:8" ht="14.5">
      <c r="A52" s="1152">
        <v>204901</v>
      </c>
      <c r="B52" s="380" t="str">
        <f t="shared" si="0"/>
        <v>204-901</v>
      </c>
      <c r="C52" t="s">
        <v>2209</v>
      </c>
      <c r="D52" s="41" t="s">
        <v>659</v>
      </c>
      <c r="F52" t="s">
        <v>5246</v>
      </c>
      <c r="G52" t="s">
        <v>2209</v>
      </c>
      <c r="H52" s="1764" t="s">
        <v>659</v>
      </c>
    </row>
    <row r="53" spans="1:8" ht="14.5">
      <c r="A53" s="1151">
        <v>46902</v>
      </c>
      <c r="B53" s="380" t="str">
        <f t="shared" si="0"/>
        <v>046-902</v>
      </c>
      <c r="C53" t="s">
        <v>2084</v>
      </c>
      <c r="D53" s="41" t="s">
        <v>659</v>
      </c>
      <c r="F53" t="s">
        <v>4976</v>
      </c>
      <c r="G53" t="s">
        <v>2084</v>
      </c>
      <c r="H53" s="1764" t="s">
        <v>659</v>
      </c>
    </row>
    <row r="54" spans="1:8" ht="14.5">
      <c r="A54" s="1151">
        <v>43918</v>
      </c>
      <c r="B54" s="380" t="str">
        <f t="shared" si="0"/>
        <v>043-918</v>
      </c>
      <c r="C54" t="s">
        <v>1461</v>
      </c>
      <c r="D54" s="41" t="s">
        <v>659</v>
      </c>
      <c r="F54" t="s">
        <v>2941</v>
      </c>
      <c r="G54" t="s">
        <v>1461</v>
      </c>
      <c r="H54" s="1764" t="s">
        <v>659</v>
      </c>
    </row>
    <row r="55" spans="1:8" ht="14.5">
      <c r="A55" s="1152">
        <v>170902</v>
      </c>
      <c r="B55" s="380" t="str">
        <f t="shared" si="0"/>
        <v>170-902</v>
      </c>
      <c r="C55" t="s">
        <v>1463</v>
      </c>
      <c r="D55" s="41" t="s">
        <v>659</v>
      </c>
      <c r="F55" t="s">
        <v>3145</v>
      </c>
      <c r="G55" t="s">
        <v>1463</v>
      </c>
      <c r="H55" s="1764" t="s">
        <v>659</v>
      </c>
    </row>
    <row r="56" spans="1:8" ht="14.5">
      <c r="A56" s="1151">
        <v>57922</v>
      </c>
      <c r="B56" s="380" t="str">
        <f t="shared" si="0"/>
        <v>057-922</v>
      </c>
      <c r="C56" t="s">
        <v>2468</v>
      </c>
      <c r="D56" s="41" t="s">
        <v>659</v>
      </c>
      <c r="F56" t="s">
        <v>4994</v>
      </c>
      <c r="G56" t="s">
        <v>2468</v>
      </c>
      <c r="H56" s="1764" t="s">
        <v>659</v>
      </c>
    </row>
    <row r="57" spans="1:8" ht="14.5">
      <c r="A57" s="1152">
        <v>175903</v>
      </c>
      <c r="B57" s="380" t="str">
        <f t="shared" si="0"/>
        <v>175-903</v>
      </c>
      <c r="C57" t="s">
        <v>1039</v>
      </c>
      <c r="D57" s="41" t="s">
        <v>659</v>
      </c>
      <c r="F57" t="s">
        <v>3154</v>
      </c>
      <c r="G57" t="s">
        <v>1039</v>
      </c>
      <c r="H57" s="1764" t="s">
        <v>659</v>
      </c>
    </row>
    <row r="58" spans="1:8" ht="14.5">
      <c r="A58" s="1151">
        <v>95902</v>
      </c>
      <c r="B58" s="380" t="str">
        <f t="shared" si="0"/>
        <v>095-902</v>
      </c>
      <c r="C58" t="s">
        <v>220</v>
      </c>
      <c r="D58" s="41" t="s">
        <v>659</v>
      </c>
      <c r="F58" t="s">
        <v>5807</v>
      </c>
      <c r="G58" t="s">
        <v>220</v>
      </c>
      <c r="H58" s="1764" t="s">
        <v>659</v>
      </c>
    </row>
    <row r="59" spans="1:8" ht="14.5">
      <c r="A59" s="1152">
        <v>109903</v>
      </c>
      <c r="B59" s="380" t="str">
        <f t="shared" si="0"/>
        <v>109-903</v>
      </c>
      <c r="C59" t="s">
        <v>626</v>
      </c>
      <c r="D59" s="41" t="s">
        <v>659</v>
      </c>
      <c r="F59" t="s">
        <v>4185</v>
      </c>
      <c r="G59" t="s">
        <v>626</v>
      </c>
      <c r="H59" s="1764" t="s">
        <v>659</v>
      </c>
    </row>
    <row r="60" spans="1:8" ht="14.5">
      <c r="A60" s="1152">
        <v>129901</v>
      </c>
      <c r="B60" s="380" t="str">
        <f t="shared" si="0"/>
        <v>129-901</v>
      </c>
      <c r="C60" t="s">
        <v>394</v>
      </c>
      <c r="D60" s="41" t="s">
        <v>659</v>
      </c>
      <c r="F60" t="s">
        <v>3093</v>
      </c>
      <c r="G60" t="s">
        <v>394</v>
      </c>
      <c r="H60" s="1764" t="s">
        <v>659</v>
      </c>
    </row>
    <row r="61" spans="1:8" ht="14.5">
      <c r="A61" s="1151">
        <v>52901</v>
      </c>
      <c r="B61" s="380" t="str">
        <f t="shared" si="0"/>
        <v>052-901</v>
      </c>
      <c r="C61" t="s">
        <v>2099</v>
      </c>
      <c r="D61" s="41" t="s">
        <v>659</v>
      </c>
      <c r="F61" t="s">
        <v>4983</v>
      </c>
      <c r="G61" t="s">
        <v>2099</v>
      </c>
      <c r="H61" s="1764" t="s">
        <v>659</v>
      </c>
    </row>
    <row r="62" spans="1:8" ht="14.5">
      <c r="A62" s="1152">
        <v>161901</v>
      </c>
      <c r="B62" s="380" t="str">
        <f t="shared" si="0"/>
        <v>161-901</v>
      </c>
      <c r="C62" t="s">
        <v>395</v>
      </c>
      <c r="D62" s="41" t="s">
        <v>659</v>
      </c>
      <c r="F62" t="s">
        <v>3120</v>
      </c>
      <c r="G62" t="s">
        <v>395</v>
      </c>
      <c r="H62" s="1764" t="s">
        <v>659</v>
      </c>
    </row>
    <row r="63" spans="1:8" ht="14.5">
      <c r="A63" s="1152">
        <v>101906</v>
      </c>
      <c r="B63" s="380" t="str">
        <f t="shared" si="0"/>
        <v>101-906</v>
      </c>
      <c r="C63" t="s">
        <v>396</v>
      </c>
      <c r="D63" s="41" t="s">
        <v>659</v>
      </c>
      <c r="F63" t="s">
        <v>3022</v>
      </c>
      <c r="G63" t="s">
        <v>396</v>
      </c>
      <c r="H63" s="1764" t="s">
        <v>659</v>
      </c>
    </row>
    <row r="64" spans="1:8" ht="14.5">
      <c r="A64" s="1152">
        <v>220912</v>
      </c>
      <c r="B64" s="380" t="str">
        <f t="shared" si="0"/>
        <v>220-912</v>
      </c>
      <c r="C64" t="s">
        <v>397</v>
      </c>
      <c r="D64" s="41" t="s">
        <v>659</v>
      </c>
      <c r="F64" t="s">
        <v>3212</v>
      </c>
      <c r="G64" t="s">
        <v>397</v>
      </c>
      <c r="H64" s="1764" t="s">
        <v>659</v>
      </c>
    </row>
    <row r="65" spans="1:8" ht="14.5">
      <c r="A65" s="1152">
        <v>175904</v>
      </c>
      <c r="B65" s="380" t="str">
        <f t="shared" si="0"/>
        <v>175-904</v>
      </c>
      <c r="C65" t="s">
        <v>2516</v>
      </c>
      <c r="D65" s="41" t="s">
        <v>659</v>
      </c>
      <c r="F65" t="s">
        <v>3155</v>
      </c>
      <c r="G65" t="s">
        <v>2516</v>
      </c>
      <c r="H65" s="1764" t="s">
        <v>659</v>
      </c>
    </row>
    <row r="66" spans="1:8" ht="14.5">
      <c r="A66" s="1151">
        <v>47902</v>
      </c>
      <c r="B66" s="380" t="str">
        <f t="shared" si="0"/>
        <v>047-902</v>
      </c>
      <c r="C66" t="s">
        <v>2518</v>
      </c>
      <c r="D66" s="41" t="s">
        <v>659</v>
      </c>
      <c r="F66" t="s">
        <v>2945</v>
      </c>
      <c r="G66" t="s">
        <v>2518</v>
      </c>
      <c r="H66" s="1764" t="s">
        <v>659</v>
      </c>
    </row>
    <row r="67" spans="1:8" ht="14.5">
      <c r="A67" s="1152">
        <v>249905</v>
      </c>
      <c r="B67" s="380" t="str">
        <f t="shared" ref="B67:B130" si="1">CONCATENATE(LEFT(RIGHT(CONCATENATE("000",A67),6),3),"-",(RIGHT(RIGHT(CONCATENATE("000",A67),6),3)))</f>
        <v>249-905</v>
      </c>
      <c r="C67" t="s">
        <v>1527</v>
      </c>
      <c r="D67" s="41" t="s">
        <v>659</v>
      </c>
      <c r="F67" t="s">
        <v>5313</v>
      </c>
      <c r="G67" t="s">
        <v>1527</v>
      </c>
      <c r="H67" s="1764" t="s">
        <v>659</v>
      </c>
    </row>
    <row r="68" spans="1:8" ht="14.5">
      <c r="A68" s="1151">
        <v>91903</v>
      </c>
      <c r="B68" s="380" t="str">
        <f t="shared" si="1"/>
        <v>091-903</v>
      </c>
      <c r="C68" t="s">
        <v>1361</v>
      </c>
      <c r="D68" s="41" t="s">
        <v>659</v>
      </c>
      <c r="F68" t="s">
        <v>5044</v>
      </c>
      <c r="G68" t="s">
        <v>1361</v>
      </c>
      <c r="H68" s="1764" t="s">
        <v>659</v>
      </c>
    </row>
    <row r="69" spans="1:8" ht="14.5">
      <c r="A69" s="1151">
        <v>61901</v>
      </c>
      <c r="B69" s="380" t="str">
        <f t="shared" si="1"/>
        <v>061-901</v>
      </c>
      <c r="C69" t="s">
        <v>2474</v>
      </c>
      <c r="D69" s="41" t="s">
        <v>659</v>
      </c>
      <c r="F69" t="s">
        <v>4997</v>
      </c>
      <c r="G69" t="s">
        <v>2474</v>
      </c>
      <c r="H69" s="1764" t="s">
        <v>659</v>
      </c>
    </row>
    <row r="70" spans="1:8" ht="14.5">
      <c r="A70" s="1152">
        <v>133905</v>
      </c>
      <c r="B70" s="380" t="str">
        <f t="shared" si="1"/>
        <v>133-905</v>
      </c>
      <c r="C70" t="s">
        <v>1933</v>
      </c>
      <c r="D70" s="41" t="s">
        <v>659</v>
      </c>
      <c r="F70" t="s">
        <v>5829</v>
      </c>
      <c r="G70" t="s">
        <v>1933</v>
      </c>
      <c r="H70" s="1764" t="s">
        <v>659</v>
      </c>
    </row>
    <row r="71" spans="1:8" ht="14.5">
      <c r="A71" s="1151">
        <v>86024</v>
      </c>
      <c r="B71" s="380" t="str">
        <f t="shared" si="1"/>
        <v>086-024</v>
      </c>
      <c r="C71" t="s">
        <v>983</v>
      </c>
      <c r="D71" s="41" t="s">
        <v>659</v>
      </c>
      <c r="F71" t="s">
        <v>5804</v>
      </c>
      <c r="G71" t="s">
        <v>983</v>
      </c>
      <c r="H71" s="1764" t="s">
        <v>659</v>
      </c>
    </row>
    <row r="72" spans="1:8" ht="14.5">
      <c r="A72" s="1152">
        <v>105904</v>
      </c>
      <c r="B72" s="380" t="str">
        <f t="shared" si="1"/>
        <v>105-904</v>
      </c>
      <c r="C72" t="s">
        <v>1005</v>
      </c>
      <c r="D72" s="41" t="s">
        <v>659</v>
      </c>
      <c r="F72" t="s">
        <v>3030</v>
      </c>
      <c r="G72" t="s">
        <v>1005</v>
      </c>
      <c r="H72" s="1764" t="s">
        <v>659</v>
      </c>
    </row>
    <row r="73" spans="1:8" ht="14.5">
      <c r="A73" s="1151">
        <v>68901</v>
      </c>
      <c r="B73" s="380" t="str">
        <f t="shared" si="1"/>
        <v>068-901</v>
      </c>
      <c r="C73" t="s">
        <v>1859</v>
      </c>
      <c r="D73" s="41" t="s">
        <v>659</v>
      </c>
      <c r="F73" t="s">
        <v>5005</v>
      </c>
      <c r="G73" t="s">
        <v>1859</v>
      </c>
      <c r="H73" s="1764" t="s">
        <v>659</v>
      </c>
    </row>
    <row r="74" spans="1:8" ht="14.5">
      <c r="A74" s="1151">
        <v>74905</v>
      </c>
      <c r="B74" s="380" t="str">
        <f t="shared" si="1"/>
        <v>074-905</v>
      </c>
      <c r="C74" t="s">
        <v>1009</v>
      </c>
      <c r="D74" s="41" t="s">
        <v>659</v>
      </c>
      <c r="F74" t="s">
        <v>2990</v>
      </c>
      <c r="G74" t="s">
        <v>1009</v>
      </c>
      <c r="H74" s="1764" t="s">
        <v>659</v>
      </c>
    </row>
    <row r="75" spans="1:8" ht="14.5">
      <c r="A75" s="1152">
        <v>234903</v>
      </c>
      <c r="B75" s="380" t="str">
        <f t="shared" si="1"/>
        <v>234-903</v>
      </c>
      <c r="C75" t="s">
        <v>841</v>
      </c>
      <c r="D75" s="41" t="s">
        <v>659</v>
      </c>
      <c r="F75" t="s">
        <v>5291</v>
      </c>
      <c r="G75" t="s">
        <v>841</v>
      </c>
      <c r="H75" s="1764" t="s">
        <v>659</v>
      </c>
    </row>
    <row r="76" spans="1:8" ht="14.5">
      <c r="A76" s="1151">
        <v>11902</v>
      </c>
      <c r="B76" s="380" t="str">
        <f t="shared" si="1"/>
        <v>011-902</v>
      </c>
      <c r="C76" t="s">
        <v>843</v>
      </c>
      <c r="D76" s="41" t="s">
        <v>659</v>
      </c>
      <c r="F76" t="s">
        <v>2863</v>
      </c>
      <c r="G76" t="s">
        <v>843</v>
      </c>
      <c r="H76" s="1764" t="s">
        <v>659</v>
      </c>
    </row>
    <row r="77" spans="1:8" ht="14.5">
      <c r="A77" s="1151">
        <v>49906</v>
      </c>
      <c r="B77" s="380" t="str">
        <f t="shared" si="1"/>
        <v>049-906</v>
      </c>
      <c r="C77" t="s">
        <v>2091</v>
      </c>
      <c r="D77" s="41" t="s">
        <v>659</v>
      </c>
      <c r="F77" t="s">
        <v>2950</v>
      </c>
      <c r="G77" t="s">
        <v>2091</v>
      </c>
      <c r="H77" s="1764" t="s">
        <v>659</v>
      </c>
    </row>
    <row r="78" spans="1:8" ht="14.5">
      <c r="A78" s="1151">
        <v>30906</v>
      </c>
      <c r="B78" s="380" t="str">
        <f t="shared" si="1"/>
        <v>030-906</v>
      </c>
      <c r="C78" t="s">
        <v>1511</v>
      </c>
      <c r="D78" s="41" t="s">
        <v>659</v>
      </c>
      <c r="F78" t="s">
        <v>4954</v>
      </c>
      <c r="G78" t="s">
        <v>1511</v>
      </c>
      <c r="H78" s="1764" t="s">
        <v>659</v>
      </c>
    </row>
    <row r="79" spans="1:8" ht="14.5">
      <c r="A79" s="1152">
        <v>220904</v>
      </c>
      <c r="B79" s="380" t="str">
        <f t="shared" si="1"/>
        <v>220-904</v>
      </c>
      <c r="C79" t="s">
        <v>2427</v>
      </c>
      <c r="D79" s="41" t="s">
        <v>659</v>
      </c>
      <c r="F79" t="s">
        <v>3208</v>
      </c>
      <c r="G79" t="s">
        <v>2427</v>
      </c>
      <c r="H79" s="1764" t="s">
        <v>659</v>
      </c>
    </row>
    <row r="80" spans="1:8" ht="14.5">
      <c r="A80" s="1151">
        <v>43904</v>
      </c>
      <c r="B80" s="380" t="str">
        <f t="shared" si="1"/>
        <v>043-904</v>
      </c>
      <c r="C80" t="s">
        <v>99</v>
      </c>
      <c r="D80" s="41" t="s">
        <v>659</v>
      </c>
      <c r="F80" t="s">
        <v>2933</v>
      </c>
      <c r="G80" t="s">
        <v>99</v>
      </c>
      <c r="H80" s="1764" t="s">
        <v>659</v>
      </c>
    </row>
    <row r="81" spans="1:8" ht="14.5">
      <c r="A81" s="1151">
        <v>75906</v>
      </c>
      <c r="B81" s="380" t="str">
        <f t="shared" si="1"/>
        <v>075-906</v>
      </c>
      <c r="C81" t="s">
        <v>437</v>
      </c>
      <c r="D81" s="41" t="s">
        <v>659</v>
      </c>
      <c r="F81" t="s">
        <v>5799</v>
      </c>
      <c r="G81" t="s">
        <v>437</v>
      </c>
      <c r="H81" s="1764" t="s">
        <v>659</v>
      </c>
    </row>
    <row r="82" spans="1:8" ht="14.5">
      <c r="A82" s="1151">
        <v>70905</v>
      </c>
      <c r="B82" s="380" t="str">
        <f t="shared" si="1"/>
        <v>070-905</v>
      </c>
      <c r="C82" t="s">
        <v>1863</v>
      </c>
      <c r="D82" s="41" t="s">
        <v>659</v>
      </c>
      <c r="F82" t="s">
        <v>2974</v>
      </c>
      <c r="G82" t="s">
        <v>1863</v>
      </c>
      <c r="H82" s="1764" t="s">
        <v>659</v>
      </c>
    </row>
    <row r="83" spans="1:8" ht="14.5">
      <c r="A83" s="1151">
        <v>75901</v>
      </c>
      <c r="B83" s="380" t="str">
        <f t="shared" si="1"/>
        <v>075-901</v>
      </c>
      <c r="C83" t="s">
        <v>434</v>
      </c>
      <c r="D83" s="41" t="s">
        <v>659</v>
      </c>
      <c r="F83" t="s">
        <v>5015</v>
      </c>
      <c r="G83" t="s">
        <v>434</v>
      </c>
      <c r="H83" s="1764" t="s">
        <v>659</v>
      </c>
    </row>
    <row r="84" spans="1:8" ht="14.5">
      <c r="A84" s="1152">
        <v>246902</v>
      </c>
      <c r="B84" s="380" t="str">
        <f t="shared" si="1"/>
        <v>246-902</v>
      </c>
      <c r="C84" t="s">
        <v>100</v>
      </c>
      <c r="D84" s="41" t="s">
        <v>659</v>
      </c>
      <c r="F84" t="s">
        <v>3259</v>
      </c>
      <c r="G84" t="s">
        <v>100</v>
      </c>
      <c r="H84" s="1764" t="s">
        <v>659</v>
      </c>
    </row>
    <row r="85" spans="1:8" ht="14.5">
      <c r="A85" s="1152">
        <v>169910</v>
      </c>
      <c r="B85" s="380" t="str">
        <f t="shared" si="1"/>
        <v>169-910</v>
      </c>
      <c r="C85" t="s">
        <v>2124</v>
      </c>
      <c r="D85" s="41" t="s">
        <v>659</v>
      </c>
      <c r="F85" t="s">
        <v>5182</v>
      </c>
      <c r="G85" t="s">
        <v>2124</v>
      </c>
      <c r="H85" s="1764" t="s">
        <v>659</v>
      </c>
    </row>
    <row r="86" spans="1:8" ht="14.5">
      <c r="A86" s="1152">
        <v>129902</v>
      </c>
      <c r="B86" s="380" t="str">
        <f t="shared" si="1"/>
        <v>129-902</v>
      </c>
      <c r="C86" t="s">
        <v>102</v>
      </c>
      <c r="D86" s="41" t="s">
        <v>659</v>
      </c>
      <c r="F86" t="s">
        <v>3094</v>
      </c>
      <c r="G86" t="s">
        <v>102</v>
      </c>
      <c r="H86" s="1764" t="s">
        <v>659</v>
      </c>
    </row>
    <row r="87" spans="1:8" ht="14.5">
      <c r="A87" s="1152">
        <v>198903</v>
      </c>
      <c r="B87" s="380" t="str">
        <f t="shared" si="1"/>
        <v>198-903</v>
      </c>
      <c r="C87" t="s">
        <v>1538</v>
      </c>
      <c r="D87" s="41" t="s">
        <v>659</v>
      </c>
      <c r="F87" t="s">
        <v>5240</v>
      </c>
      <c r="G87" t="s">
        <v>1538</v>
      </c>
      <c r="H87" s="1764" t="s">
        <v>659</v>
      </c>
    </row>
    <row r="88" spans="1:8" ht="14.5">
      <c r="A88" s="1152">
        <v>152907</v>
      </c>
      <c r="B88" s="380" t="str">
        <f t="shared" si="1"/>
        <v>152-907</v>
      </c>
      <c r="C88" t="s">
        <v>2179</v>
      </c>
      <c r="D88" s="41" t="s">
        <v>659</v>
      </c>
      <c r="F88" t="s">
        <v>3112</v>
      </c>
      <c r="G88" t="s">
        <v>2179</v>
      </c>
      <c r="H88" s="1764" t="s">
        <v>659</v>
      </c>
    </row>
    <row r="89" spans="1:8" ht="14.5">
      <c r="A89" s="1151">
        <v>43905</v>
      </c>
      <c r="B89" s="380" t="str">
        <f t="shared" si="1"/>
        <v>043-905</v>
      </c>
      <c r="C89" t="s">
        <v>1389</v>
      </c>
      <c r="D89" s="41" t="s">
        <v>659</v>
      </c>
      <c r="F89" t="s">
        <v>2934</v>
      </c>
      <c r="G89" t="s">
        <v>1389</v>
      </c>
      <c r="H89" s="1764" t="s">
        <v>659</v>
      </c>
    </row>
    <row r="90" spans="1:8" ht="14.5">
      <c r="A90" s="1152">
        <v>234909</v>
      </c>
      <c r="B90" s="380" t="str">
        <f t="shared" si="1"/>
        <v>234-909</v>
      </c>
      <c r="C90" t="s">
        <v>1390</v>
      </c>
      <c r="D90" s="41" t="s">
        <v>659</v>
      </c>
      <c r="F90" t="s">
        <v>3241</v>
      </c>
      <c r="G90" t="s">
        <v>1390</v>
      </c>
      <c r="H90" s="1764" t="s">
        <v>659</v>
      </c>
    </row>
    <row r="91" spans="1:8" ht="14.5">
      <c r="A91" s="1151">
        <v>49901</v>
      </c>
      <c r="B91" s="380" t="str">
        <f t="shared" si="1"/>
        <v>049-901</v>
      </c>
      <c r="C91" t="s">
        <v>1391</v>
      </c>
      <c r="D91" s="41" t="s">
        <v>659</v>
      </c>
      <c r="F91" t="s">
        <v>2948</v>
      </c>
      <c r="G91" t="s">
        <v>1391</v>
      </c>
      <c r="H91" s="1764" t="s">
        <v>659</v>
      </c>
    </row>
    <row r="92" spans="1:8" ht="14.5">
      <c r="A92" s="1152">
        <v>230902</v>
      </c>
      <c r="B92" s="380" t="str">
        <f t="shared" si="1"/>
        <v>230-902</v>
      </c>
      <c r="C92" t="s">
        <v>1811</v>
      </c>
      <c r="D92" s="41" t="s">
        <v>659</v>
      </c>
      <c r="F92" t="s">
        <v>5287</v>
      </c>
      <c r="G92" t="s">
        <v>1811</v>
      </c>
      <c r="H92" s="1764" t="s">
        <v>659</v>
      </c>
    </row>
    <row r="93" spans="1:8" ht="14.5">
      <c r="A93" s="1152">
        <v>213901</v>
      </c>
      <c r="B93" s="380" t="str">
        <f t="shared" si="1"/>
        <v>213-901</v>
      </c>
      <c r="C93" t="s">
        <v>1887</v>
      </c>
      <c r="D93" s="41" t="s">
        <v>659</v>
      </c>
      <c r="F93" t="s">
        <v>5259</v>
      </c>
      <c r="G93" t="s">
        <v>1887</v>
      </c>
      <c r="H93" s="1764" t="s">
        <v>659</v>
      </c>
    </row>
    <row r="94" spans="1:8" ht="14.5">
      <c r="A94" s="1152">
        <v>126911</v>
      </c>
      <c r="B94" s="380" t="str">
        <f t="shared" si="1"/>
        <v>126-911</v>
      </c>
      <c r="C94" t="s">
        <v>2197</v>
      </c>
      <c r="D94" s="41" t="s">
        <v>659</v>
      </c>
      <c r="F94" t="s">
        <v>3088</v>
      </c>
      <c r="G94" t="s">
        <v>2197</v>
      </c>
      <c r="H94" s="1764" t="s">
        <v>659</v>
      </c>
    </row>
    <row r="95" spans="1:8" ht="14.5">
      <c r="A95" s="1152">
        <v>169906</v>
      </c>
      <c r="B95" s="380" t="str">
        <f t="shared" si="1"/>
        <v>169-906</v>
      </c>
      <c r="C95" t="s">
        <v>1292</v>
      </c>
      <c r="D95" s="41" t="s">
        <v>659</v>
      </c>
      <c r="F95" t="s">
        <v>5181</v>
      </c>
      <c r="G95" t="s">
        <v>1292</v>
      </c>
      <c r="H95" s="1764" t="s">
        <v>659</v>
      </c>
    </row>
    <row r="96" spans="1:8" ht="14.5">
      <c r="A96" s="1152">
        <v>187903</v>
      </c>
      <c r="B96" s="380" t="str">
        <f t="shared" si="1"/>
        <v>187-903</v>
      </c>
      <c r="C96" t="s">
        <v>422</v>
      </c>
      <c r="D96" s="41" t="s">
        <v>659</v>
      </c>
      <c r="F96" t="s">
        <v>5865</v>
      </c>
      <c r="G96" t="s">
        <v>422</v>
      </c>
      <c r="H96" s="1764" t="s">
        <v>659</v>
      </c>
    </row>
    <row r="97" spans="1:8" ht="14.5">
      <c r="A97" s="1152">
        <v>111901</v>
      </c>
      <c r="B97" s="380" t="str">
        <f t="shared" si="1"/>
        <v>111-901</v>
      </c>
      <c r="C97" t="s">
        <v>205</v>
      </c>
      <c r="D97" s="41" t="s">
        <v>659</v>
      </c>
      <c r="F97" t="s">
        <v>5095</v>
      </c>
      <c r="G97" t="s">
        <v>205</v>
      </c>
      <c r="H97" s="1764" t="s">
        <v>659</v>
      </c>
    </row>
    <row r="98" spans="1:8" ht="14.5">
      <c r="A98" s="1152">
        <v>234904</v>
      </c>
      <c r="B98" s="380" t="str">
        <f t="shared" si="1"/>
        <v>234-904</v>
      </c>
      <c r="C98" t="s">
        <v>817</v>
      </c>
      <c r="D98" s="41" t="s">
        <v>659</v>
      </c>
      <c r="F98" t="s">
        <v>3238</v>
      </c>
      <c r="G98" t="s">
        <v>817</v>
      </c>
      <c r="H98" s="1764" t="s">
        <v>659</v>
      </c>
    </row>
    <row r="99" spans="1:8" ht="14.5">
      <c r="A99" s="1152">
        <v>238904</v>
      </c>
      <c r="B99" s="380" t="str">
        <f t="shared" si="1"/>
        <v>238-904</v>
      </c>
      <c r="C99" t="s">
        <v>1145</v>
      </c>
      <c r="D99" s="41" t="s">
        <v>659</v>
      </c>
      <c r="F99" t="s">
        <v>5894</v>
      </c>
      <c r="G99" t="s">
        <v>1145</v>
      </c>
      <c r="H99" s="1764" t="s">
        <v>659</v>
      </c>
    </row>
    <row r="100" spans="1:8" ht="14.5">
      <c r="A100" s="1152">
        <v>126904</v>
      </c>
      <c r="B100" s="380" t="str">
        <f t="shared" si="1"/>
        <v>126-904</v>
      </c>
      <c r="C100" t="s">
        <v>818</v>
      </c>
      <c r="D100" s="41" t="s">
        <v>659</v>
      </c>
      <c r="F100" t="s">
        <v>4285</v>
      </c>
      <c r="G100" t="s">
        <v>818</v>
      </c>
      <c r="H100" s="1764" t="s">
        <v>659</v>
      </c>
    </row>
    <row r="101" spans="1:8" ht="14.5">
      <c r="A101" s="1151">
        <v>90905</v>
      </c>
      <c r="B101" s="380" t="str">
        <f t="shared" si="1"/>
        <v>090-905</v>
      </c>
      <c r="C101" t="s">
        <v>1359</v>
      </c>
      <c r="D101" s="41" t="s">
        <v>659</v>
      </c>
      <c r="F101" t="s">
        <v>5043</v>
      </c>
      <c r="G101" t="s">
        <v>1359</v>
      </c>
      <c r="H101" s="1764" t="s">
        <v>659</v>
      </c>
    </row>
    <row r="102" spans="1:8" ht="14.5">
      <c r="A102" s="1152">
        <v>246905</v>
      </c>
      <c r="B102" s="380" t="str">
        <f t="shared" si="1"/>
        <v>246-905</v>
      </c>
      <c r="C102" t="s">
        <v>963</v>
      </c>
      <c r="D102" s="41" t="s">
        <v>659</v>
      </c>
      <c r="F102" t="s">
        <v>3261</v>
      </c>
      <c r="G102" t="s">
        <v>963</v>
      </c>
      <c r="H102" s="1764" t="s">
        <v>659</v>
      </c>
    </row>
    <row r="103" spans="1:8" ht="14.5">
      <c r="A103" s="1152">
        <v>226907</v>
      </c>
      <c r="B103" s="380" t="str">
        <f t="shared" si="1"/>
        <v>226-907</v>
      </c>
      <c r="C103" t="s">
        <v>1635</v>
      </c>
      <c r="D103" s="41" t="s">
        <v>659</v>
      </c>
      <c r="F103" t="s">
        <v>3223</v>
      </c>
      <c r="G103" t="s">
        <v>1635</v>
      </c>
      <c r="H103" s="1764" t="s">
        <v>659</v>
      </c>
    </row>
    <row r="104" spans="1:8" ht="14.5">
      <c r="A104" s="1152">
        <v>113902</v>
      </c>
      <c r="B104" s="380" t="str">
        <f t="shared" si="1"/>
        <v>113-902</v>
      </c>
      <c r="C104" t="s">
        <v>2043</v>
      </c>
      <c r="D104" s="41" t="s">
        <v>659</v>
      </c>
      <c r="F104" t="s">
        <v>5098</v>
      </c>
      <c r="G104" t="s">
        <v>2043</v>
      </c>
      <c r="H104" s="1764" t="s">
        <v>659</v>
      </c>
    </row>
    <row r="105" spans="1:8" ht="14.5">
      <c r="A105" s="1152">
        <v>165902</v>
      </c>
      <c r="B105" s="380" t="str">
        <f t="shared" si="1"/>
        <v>165-902</v>
      </c>
      <c r="C105" t="s">
        <v>1660</v>
      </c>
      <c r="D105" s="41" t="s">
        <v>659</v>
      </c>
      <c r="F105" t="s">
        <v>5175</v>
      </c>
      <c r="G105" t="s">
        <v>1660</v>
      </c>
      <c r="H105" s="1764" t="s">
        <v>659</v>
      </c>
    </row>
    <row r="106" spans="1:8" ht="14.5">
      <c r="A106" s="1152">
        <v>205902</v>
      </c>
      <c r="B106" s="380" t="str">
        <f t="shared" si="1"/>
        <v>205-902</v>
      </c>
      <c r="C106" s="629" t="s">
        <v>335</v>
      </c>
      <c r="D106" s="41" t="s">
        <v>8253</v>
      </c>
      <c r="F106" t="s">
        <v>4957</v>
      </c>
      <c r="G106" t="s">
        <v>1514</v>
      </c>
      <c r="H106" s="1764" t="s">
        <v>659</v>
      </c>
    </row>
    <row r="107" spans="1:8" ht="14.5">
      <c r="A107" s="1151">
        <v>33901</v>
      </c>
      <c r="B107" s="380" t="str">
        <f t="shared" si="1"/>
        <v>033-901</v>
      </c>
      <c r="C107" t="s">
        <v>1514</v>
      </c>
      <c r="D107" s="41" t="s">
        <v>659</v>
      </c>
      <c r="F107" t="s">
        <v>5060</v>
      </c>
      <c r="G107" t="s">
        <v>227</v>
      </c>
      <c r="H107" s="1764" t="s">
        <v>659</v>
      </c>
    </row>
    <row r="108" spans="1:8" ht="14.5">
      <c r="A108" s="1151">
        <v>98901</v>
      </c>
      <c r="B108" s="380" t="str">
        <f t="shared" si="1"/>
        <v>098-901</v>
      </c>
      <c r="C108" t="s">
        <v>227</v>
      </c>
      <c r="D108" s="41" t="s">
        <v>659</v>
      </c>
      <c r="F108" t="s">
        <v>3009</v>
      </c>
      <c r="G108" t="s">
        <v>1636</v>
      </c>
      <c r="H108" s="1764" t="s">
        <v>659</v>
      </c>
    </row>
    <row r="109" spans="1:8" ht="14.5">
      <c r="A109" s="1151">
        <v>91917</v>
      </c>
      <c r="B109" s="380" t="str">
        <f t="shared" si="1"/>
        <v>091-917</v>
      </c>
      <c r="C109" t="s">
        <v>1636</v>
      </c>
      <c r="D109" s="41" t="s">
        <v>659</v>
      </c>
      <c r="F109" t="s">
        <v>5057</v>
      </c>
      <c r="G109" t="s">
        <v>221</v>
      </c>
      <c r="H109" s="1764" t="s">
        <v>659</v>
      </c>
    </row>
    <row r="110" spans="1:8" ht="14.5">
      <c r="A110" s="1151">
        <v>95903</v>
      </c>
      <c r="B110" s="380" t="str">
        <f t="shared" si="1"/>
        <v>095-903</v>
      </c>
      <c r="C110" t="s">
        <v>221</v>
      </c>
      <c r="D110" s="41" t="s">
        <v>659</v>
      </c>
      <c r="F110" t="s">
        <v>5077</v>
      </c>
      <c r="G110" t="s">
        <v>1961</v>
      </c>
      <c r="H110" s="1764" t="s">
        <v>659</v>
      </c>
    </row>
    <row r="111" spans="1:8" ht="14.5">
      <c r="A111" s="1152">
        <v>102904</v>
      </c>
      <c r="B111" s="380" t="str">
        <f t="shared" si="1"/>
        <v>102-904</v>
      </c>
      <c r="C111" t="s">
        <v>1961</v>
      </c>
      <c r="D111" s="41" t="s">
        <v>659</v>
      </c>
      <c r="F111" t="s">
        <v>3077</v>
      </c>
      <c r="G111" t="s">
        <v>1638</v>
      </c>
      <c r="H111" s="1764" t="s">
        <v>659</v>
      </c>
    </row>
    <row r="112" spans="1:8" ht="14.5">
      <c r="A112" s="1152">
        <v>123914</v>
      </c>
      <c r="B112" s="380" t="str">
        <f t="shared" si="1"/>
        <v>123-914</v>
      </c>
      <c r="C112" t="s">
        <v>1638</v>
      </c>
      <c r="D112" s="41" t="s">
        <v>659</v>
      </c>
      <c r="F112" t="s">
        <v>5065</v>
      </c>
      <c r="G112" t="s">
        <v>451</v>
      </c>
      <c r="H112" s="1764" t="s">
        <v>659</v>
      </c>
    </row>
    <row r="113" spans="1:8" ht="14.5">
      <c r="A113" s="1152">
        <v>100905</v>
      </c>
      <c r="B113" s="380" t="str">
        <f t="shared" si="1"/>
        <v>100-905</v>
      </c>
      <c r="C113" t="s">
        <v>451</v>
      </c>
      <c r="D113" s="41" t="s">
        <v>659</v>
      </c>
      <c r="F113" t="s">
        <v>5887</v>
      </c>
      <c r="G113" t="s">
        <v>1572</v>
      </c>
      <c r="H113" s="1764" t="s">
        <v>659</v>
      </c>
    </row>
    <row r="114" spans="1:8" ht="14.5">
      <c r="A114" s="1152">
        <v>225907</v>
      </c>
      <c r="B114" s="380" t="str">
        <f t="shared" si="1"/>
        <v>225-907</v>
      </c>
      <c r="C114" t="s">
        <v>1572</v>
      </c>
      <c r="D114" s="41" t="s">
        <v>659</v>
      </c>
      <c r="F114" t="s">
        <v>5123</v>
      </c>
      <c r="G114" t="s">
        <v>783</v>
      </c>
      <c r="H114" s="1764" t="s">
        <v>659</v>
      </c>
    </row>
    <row r="115" spans="1:8" ht="14.5">
      <c r="A115" s="1152">
        <v>127904</v>
      </c>
      <c r="B115" s="380" t="str">
        <f t="shared" si="1"/>
        <v>127-904</v>
      </c>
      <c r="C115" t="s">
        <v>783</v>
      </c>
      <c r="D115" s="41" t="s">
        <v>659</v>
      </c>
      <c r="F115" t="s">
        <v>3031</v>
      </c>
      <c r="G115" t="s">
        <v>33</v>
      </c>
      <c r="H115" s="1764" t="s">
        <v>659</v>
      </c>
    </row>
    <row r="116" spans="1:8" ht="14.5">
      <c r="A116" s="1152">
        <v>105906</v>
      </c>
      <c r="B116" s="380" t="str">
        <f t="shared" si="1"/>
        <v>105-906</v>
      </c>
      <c r="C116" t="s">
        <v>33</v>
      </c>
      <c r="D116" s="41" t="s">
        <v>659</v>
      </c>
      <c r="F116" t="s">
        <v>3015</v>
      </c>
      <c r="G116" t="s">
        <v>2240</v>
      </c>
      <c r="H116" s="1764" t="s">
        <v>659</v>
      </c>
    </row>
    <row r="117" spans="1:8" ht="14.5">
      <c r="A117" s="1151">
        <v>97903</v>
      </c>
      <c r="B117" s="380" t="str">
        <f t="shared" si="1"/>
        <v>097-903</v>
      </c>
      <c r="C117" t="s">
        <v>2240</v>
      </c>
      <c r="D117" s="41" t="s">
        <v>659</v>
      </c>
      <c r="F117" t="s">
        <v>5198</v>
      </c>
      <c r="G117" t="s">
        <v>296</v>
      </c>
      <c r="H117" s="1764" t="s">
        <v>659</v>
      </c>
    </row>
    <row r="118" spans="1:8" ht="14.5">
      <c r="A118" s="1152">
        <v>177905</v>
      </c>
      <c r="B118" s="380" t="str">
        <f t="shared" si="1"/>
        <v>177-905</v>
      </c>
      <c r="C118" t="s">
        <v>296</v>
      </c>
      <c r="D118" s="41" t="s">
        <v>659</v>
      </c>
      <c r="F118" t="s">
        <v>4926</v>
      </c>
      <c r="G118" t="s">
        <v>1126</v>
      </c>
      <c r="H118" s="1764" t="s">
        <v>659</v>
      </c>
    </row>
    <row r="119" spans="1:8" ht="14.5">
      <c r="A119" s="1151">
        <v>5902</v>
      </c>
      <c r="B119" s="380" t="str">
        <f t="shared" si="1"/>
        <v>005-902</v>
      </c>
      <c r="C119" t="s">
        <v>1126</v>
      </c>
      <c r="D119" s="41" t="s">
        <v>659</v>
      </c>
      <c r="F119" t="s">
        <v>2991</v>
      </c>
      <c r="G119" t="s">
        <v>2</v>
      </c>
      <c r="H119" s="1764" t="s">
        <v>659</v>
      </c>
    </row>
    <row r="120" spans="1:8" ht="14.5">
      <c r="A120" s="1151">
        <v>74907</v>
      </c>
      <c r="B120" s="380" t="str">
        <f t="shared" si="1"/>
        <v>074-907</v>
      </c>
      <c r="C120" t="s">
        <v>2</v>
      </c>
      <c r="D120" s="41" t="s">
        <v>659</v>
      </c>
      <c r="F120" t="s">
        <v>3004</v>
      </c>
      <c r="G120" t="s">
        <v>2247</v>
      </c>
      <c r="H120" s="1764" t="s">
        <v>659</v>
      </c>
    </row>
    <row r="121" spans="1:8" ht="14.5">
      <c r="A121" s="1151">
        <v>91905</v>
      </c>
      <c r="B121" s="380" t="str">
        <f t="shared" si="1"/>
        <v>091-905</v>
      </c>
      <c r="C121" t="s">
        <v>2247</v>
      </c>
      <c r="D121" s="41" t="s">
        <v>659</v>
      </c>
      <c r="F121" t="s">
        <v>5755</v>
      </c>
      <c r="G121" t="s">
        <v>2248</v>
      </c>
      <c r="H121" s="1764" t="s">
        <v>659</v>
      </c>
    </row>
    <row r="122" spans="1:8" ht="14.5">
      <c r="A122" s="1152">
        <v>109905</v>
      </c>
      <c r="B122" s="380" t="str">
        <f t="shared" si="1"/>
        <v>109-905</v>
      </c>
      <c r="C122" t="s">
        <v>2248</v>
      </c>
      <c r="D122" s="41" t="s">
        <v>659</v>
      </c>
      <c r="F122" t="s">
        <v>3051</v>
      </c>
      <c r="G122" t="s">
        <v>2248</v>
      </c>
      <c r="H122" s="1764" t="s">
        <v>659</v>
      </c>
    </row>
    <row r="123" spans="1:8" ht="14.5">
      <c r="A123" s="1151">
        <v>19913</v>
      </c>
      <c r="B123" s="380" t="str">
        <f t="shared" si="1"/>
        <v>019-913</v>
      </c>
      <c r="C123" t="s">
        <v>2248</v>
      </c>
      <c r="D123" s="41" t="s">
        <v>659</v>
      </c>
      <c r="F123" t="s">
        <v>5795</v>
      </c>
      <c r="G123" t="s">
        <v>1870</v>
      </c>
      <c r="H123" s="1764" t="s">
        <v>659</v>
      </c>
    </row>
    <row r="124" spans="1:8" ht="14.5">
      <c r="A124" s="1151">
        <v>72908</v>
      </c>
      <c r="B124" s="380" t="str">
        <f t="shared" si="1"/>
        <v>072-908</v>
      </c>
      <c r="C124" t="s">
        <v>1870</v>
      </c>
      <c r="D124" s="41" t="s">
        <v>659</v>
      </c>
      <c r="F124" t="s">
        <v>2851</v>
      </c>
      <c r="G124" t="s">
        <v>2249</v>
      </c>
      <c r="H124" s="1764" t="s">
        <v>659</v>
      </c>
    </row>
    <row r="125" spans="1:8" ht="14.5">
      <c r="A125" s="1151">
        <v>3902</v>
      </c>
      <c r="B125" s="380" t="str">
        <f t="shared" si="1"/>
        <v>003-902</v>
      </c>
      <c r="C125" t="s">
        <v>2249</v>
      </c>
      <c r="D125" s="41" t="s">
        <v>659</v>
      </c>
      <c r="F125" t="s">
        <v>3028</v>
      </c>
      <c r="G125" t="s">
        <v>2250</v>
      </c>
      <c r="H125" s="1764" t="s">
        <v>659</v>
      </c>
    </row>
    <row r="126" spans="1:8" ht="14.5">
      <c r="A126" s="1152">
        <v>101925</v>
      </c>
      <c r="B126" s="380" t="str">
        <f t="shared" si="1"/>
        <v>101-925</v>
      </c>
      <c r="C126" t="s">
        <v>2250</v>
      </c>
      <c r="D126" s="41" t="s">
        <v>659</v>
      </c>
      <c r="F126" t="s">
        <v>3024</v>
      </c>
      <c r="G126" t="s">
        <v>2252</v>
      </c>
      <c r="H126" s="1764" t="s">
        <v>659</v>
      </c>
    </row>
    <row r="127" spans="1:8" ht="14.5">
      <c r="A127" s="1152">
        <v>101913</v>
      </c>
      <c r="B127" s="380" t="str">
        <f t="shared" si="1"/>
        <v>101-913</v>
      </c>
      <c r="C127" t="s">
        <v>2252</v>
      </c>
      <c r="D127" s="41" t="s">
        <v>659</v>
      </c>
      <c r="F127" t="s">
        <v>5130</v>
      </c>
      <c r="G127" t="s">
        <v>1930</v>
      </c>
      <c r="H127" s="1764" t="s">
        <v>659</v>
      </c>
    </row>
    <row r="128" spans="1:8" ht="14.5">
      <c r="A128" s="1152">
        <v>133902</v>
      </c>
      <c r="B128" s="380" t="str">
        <f t="shared" si="1"/>
        <v>133-902</v>
      </c>
      <c r="C128" t="s">
        <v>1930</v>
      </c>
      <c r="D128" s="41" t="s">
        <v>659</v>
      </c>
      <c r="F128" t="s">
        <v>3245</v>
      </c>
      <c r="G128" t="s">
        <v>90</v>
      </c>
      <c r="H128" s="1764" t="s">
        <v>659</v>
      </c>
    </row>
    <row r="129" spans="1:8" ht="14.5">
      <c r="A129" s="1152">
        <v>236902</v>
      </c>
      <c r="B129" s="380" t="str">
        <f t="shared" si="1"/>
        <v>236-902</v>
      </c>
      <c r="C129" t="s">
        <v>90</v>
      </c>
      <c r="D129" s="41" t="s">
        <v>659</v>
      </c>
      <c r="F129" t="s">
        <v>3262</v>
      </c>
      <c r="G129" t="s">
        <v>1194</v>
      </c>
      <c r="H129" s="1764" t="s">
        <v>659</v>
      </c>
    </row>
    <row r="130" spans="1:8" ht="14.5">
      <c r="A130" s="1152">
        <v>246906</v>
      </c>
      <c r="B130" s="380" t="str">
        <f t="shared" si="1"/>
        <v>246-906</v>
      </c>
      <c r="C130" t="s">
        <v>1194</v>
      </c>
      <c r="D130" s="41" t="s">
        <v>659</v>
      </c>
      <c r="F130" t="s">
        <v>5132</v>
      </c>
      <c r="G130" t="s">
        <v>1932</v>
      </c>
      <c r="H130" s="1764" t="s">
        <v>659</v>
      </c>
    </row>
    <row r="131" spans="1:8" ht="14.5">
      <c r="A131" s="1152">
        <v>133904</v>
      </c>
      <c r="B131" s="380" t="str">
        <f t="shared" ref="B131:B194" si="2">CONCATENATE(LEFT(RIGHT(CONCATENATE("000",A131),6),3),"-",(RIGHT(RIGHT(CONCATENATE("000",A131),6),3)))</f>
        <v>133-904</v>
      </c>
      <c r="C131" t="s">
        <v>1932</v>
      </c>
      <c r="D131" s="41" t="s">
        <v>659</v>
      </c>
      <c r="F131" t="s">
        <v>3011</v>
      </c>
      <c r="G131" t="s">
        <v>215</v>
      </c>
      <c r="H131" s="1764" t="s">
        <v>659</v>
      </c>
    </row>
    <row r="132" spans="1:8" ht="14.5">
      <c r="A132" s="1151">
        <v>93903</v>
      </c>
      <c r="B132" s="380" t="str">
        <f t="shared" si="2"/>
        <v>093-903</v>
      </c>
      <c r="C132" t="s">
        <v>215</v>
      </c>
      <c r="D132" s="41" t="s">
        <v>659</v>
      </c>
      <c r="F132" t="s">
        <v>5305</v>
      </c>
      <c r="G132" t="s">
        <v>2213</v>
      </c>
      <c r="H132" s="1764" t="s">
        <v>659</v>
      </c>
    </row>
    <row r="133" spans="1:8" ht="14.5">
      <c r="A133" s="1152">
        <v>243903</v>
      </c>
      <c r="B133" s="380" t="str">
        <f t="shared" si="2"/>
        <v>243-903</v>
      </c>
      <c r="C133" t="s">
        <v>2213</v>
      </c>
      <c r="D133" s="41" t="s">
        <v>659</v>
      </c>
      <c r="F133" t="s">
        <v>5110</v>
      </c>
      <c r="G133" t="s">
        <v>2324</v>
      </c>
      <c r="H133" s="1764" t="s">
        <v>659</v>
      </c>
    </row>
    <row r="134" spans="1:8" ht="14.5">
      <c r="A134" s="1152">
        <v>119902</v>
      </c>
      <c r="B134" s="380" t="str">
        <f t="shared" si="2"/>
        <v>119-902</v>
      </c>
      <c r="C134" t="s">
        <v>2324</v>
      </c>
      <c r="D134" s="41" t="s">
        <v>659</v>
      </c>
      <c r="F134" t="s">
        <v>5307</v>
      </c>
      <c r="G134" t="s">
        <v>1520</v>
      </c>
      <c r="H134" s="1764" t="s">
        <v>659</v>
      </c>
    </row>
    <row r="135" spans="1:8" ht="14.5">
      <c r="A135" s="1152">
        <v>246907</v>
      </c>
      <c r="B135" s="380" t="str">
        <f t="shared" si="2"/>
        <v>246-907</v>
      </c>
      <c r="C135" t="s">
        <v>1520</v>
      </c>
      <c r="D135" s="41" t="s">
        <v>659</v>
      </c>
      <c r="F135" t="s">
        <v>5828</v>
      </c>
      <c r="G135" t="s">
        <v>1929</v>
      </c>
      <c r="H135" s="1764" t="s">
        <v>659</v>
      </c>
    </row>
    <row r="136" spans="1:8" ht="14.5">
      <c r="A136" s="1152">
        <v>132902</v>
      </c>
      <c r="B136" s="380" t="str">
        <f t="shared" si="2"/>
        <v>132-902</v>
      </c>
      <c r="C136" t="s">
        <v>1929</v>
      </c>
      <c r="D136" s="41" t="s">
        <v>659</v>
      </c>
      <c r="F136" t="s">
        <v>5164</v>
      </c>
      <c r="G136" t="s">
        <v>528</v>
      </c>
      <c r="H136" s="1764" t="s">
        <v>659</v>
      </c>
    </row>
    <row r="137" spans="1:8" ht="14.5">
      <c r="A137" s="1152">
        <v>155901</v>
      </c>
      <c r="B137" s="380" t="str">
        <f t="shared" si="2"/>
        <v>155-901</v>
      </c>
      <c r="C137" t="s">
        <v>528</v>
      </c>
      <c r="D137" s="41" t="s">
        <v>659</v>
      </c>
      <c r="F137" t="s">
        <v>5271</v>
      </c>
      <c r="G137" t="s">
        <v>2210</v>
      </c>
      <c r="H137" s="1764" t="s">
        <v>659</v>
      </c>
    </row>
    <row r="138" spans="1:8" ht="14.5">
      <c r="A138" s="1152">
        <v>221911</v>
      </c>
      <c r="B138" s="380" t="str">
        <f t="shared" si="2"/>
        <v>221-911</v>
      </c>
      <c r="C138" t="s">
        <v>2210</v>
      </c>
      <c r="D138" s="41" t="s">
        <v>659</v>
      </c>
      <c r="F138" t="s">
        <v>4982</v>
      </c>
      <c r="G138" t="s">
        <v>2097</v>
      </c>
      <c r="H138" s="1764" t="s">
        <v>659</v>
      </c>
    </row>
    <row r="139" spans="1:8" ht="14.5">
      <c r="A139" s="1151">
        <v>50909</v>
      </c>
      <c r="B139" s="380" t="str">
        <f t="shared" si="2"/>
        <v>050-909</v>
      </c>
      <c r="C139" t="s">
        <v>2097</v>
      </c>
      <c r="D139" s="41" t="s">
        <v>659</v>
      </c>
      <c r="F139" t="s">
        <v>3084</v>
      </c>
      <c r="G139" t="s">
        <v>385</v>
      </c>
      <c r="H139" s="1764" t="s">
        <v>659</v>
      </c>
    </row>
    <row r="140" spans="1:8" ht="14.5">
      <c r="A140" s="1152">
        <v>126905</v>
      </c>
      <c r="B140" s="380" t="str">
        <f t="shared" si="2"/>
        <v>126-905</v>
      </c>
      <c r="C140" t="s">
        <v>385</v>
      </c>
      <c r="D140" s="41" t="s">
        <v>659</v>
      </c>
      <c r="F140" t="s">
        <v>4305</v>
      </c>
      <c r="G140" t="s">
        <v>387</v>
      </c>
      <c r="H140" s="1764" t="s">
        <v>659</v>
      </c>
    </row>
    <row r="141" spans="1:8" ht="14.5">
      <c r="A141" s="1152">
        <v>128901</v>
      </c>
      <c r="B141" s="380" t="str">
        <f t="shared" si="2"/>
        <v>128-901</v>
      </c>
      <c r="C141" t="s">
        <v>387</v>
      </c>
      <c r="D141" s="41" t="s">
        <v>659</v>
      </c>
      <c r="F141" t="s">
        <v>3025</v>
      </c>
      <c r="G141" t="s">
        <v>388</v>
      </c>
      <c r="H141" s="1764" t="s">
        <v>659</v>
      </c>
    </row>
    <row r="142" spans="1:8" ht="14.5">
      <c r="A142" s="1152">
        <v>101914</v>
      </c>
      <c r="B142" s="380" t="str">
        <f t="shared" si="2"/>
        <v>101-914</v>
      </c>
      <c r="C142" t="s">
        <v>388</v>
      </c>
      <c r="D142" s="41" t="s">
        <v>659</v>
      </c>
      <c r="F142" t="s">
        <v>3095</v>
      </c>
      <c r="G142" t="s">
        <v>389</v>
      </c>
      <c r="H142" s="1764" t="s">
        <v>659</v>
      </c>
    </row>
    <row r="143" spans="1:8" ht="14.5">
      <c r="A143" s="1152">
        <v>129903</v>
      </c>
      <c r="B143" s="380" t="str">
        <f t="shared" si="2"/>
        <v>129-903</v>
      </c>
      <c r="C143" t="s">
        <v>389</v>
      </c>
      <c r="D143" s="41" t="s">
        <v>659</v>
      </c>
      <c r="F143" t="s">
        <v>3096</v>
      </c>
      <c r="G143" t="s">
        <v>391</v>
      </c>
      <c r="H143" s="1764" t="s">
        <v>659</v>
      </c>
    </row>
    <row r="144" spans="1:8" ht="14.5">
      <c r="A144" s="1152">
        <v>129904</v>
      </c>
      <c r="B144" s="380" t="str">
        <f t="shared" si="2"/>
        <v>129-904</v>
      </c>
      <c r="C144" t="s">
        <v>391</v>
      </c>
      <c r="D144" s="41" t="s">
        <v>659</v>
      </c>
      <c r="F144" t="s">
        <v>5308</v>
      </c>
      <c r="G144" t="s">
        <v>1522</v>
      </c>
      <c r="H144" s="1764" t="s">
        <v>659</v>
      </c>
    </row>
    <row r="145" spans="1:8" ht="14.5">
      <c r="A145" s="1152">
        <v>248901</v>
      </c>
      <c r="B145" s="380" t="str">
        <f t="shared" si="2"/>
        <v>248-901</v>
      </c>
      <c r="C145" t="s">
        <v>1522</v>
      </c>
      <c r="D145" s="41" t="s">
        <v>659</v>
      </c>
      <c r="F145" t="s">
        <v>3233</v>
      </c>
      <c r="G145" t="s">
        <v>2332</v>
      </c>
      <c r="H145" s="1764" t="s">
        <v>659</v>
      </c>
    </row>
    <row r="146" spans="1:8" ht="14.5">
      <c r="A146" s="1152">
        <v>232901</v>
      </c>
      <c r="B146" s="380" t="str">
        <f t="shared" si="2"/>
        <v>232-901</v>
      </c>
      <c r="C146" t="s">
        <v>2332</v>
      </c>
      <c r="D146" s="41" t="s">
        <v>659</v>
      </c>
      <c r="F146" t="s">
        <v>5827</v>
      </c>
      <c r="G146" t="s">
        <v>1642</v>
      </c>
      <c r="H146" s="1764" t="s">
        <v>659</v>
      </c>
    </row>
    <row r="147" spans="1:8" ht="14.5">
      <c r="A147" s="1152">
        <v>125906</v>
      </c>
      <c r="B147" s="380" t="str">
        <f t="shared" si="2"/>
        <v>125-906</v>
      </c>
      <c r="C147" t="s">
        <v>1642</v>
      </c>
      <c r="D147" s="41" t="s">
        <v>659</v>
      </c>
      <c r="F147" t="s">
        <v>3277</v>
      </c>
      <c r="G147" t="s">
        <v>1791</v>
      </c>
      <c r="H147" s="1764" t="s">
        <v>659</v>
      </c>
    </row>
    <row r="148" spans="1:8" ht="14.5">
      <c r="A148" s="1152">
        <v>254902</v>
      </c>
      <c r="B148" s="380" t="str">
        <f t="shared" si="2"/>
        <v>254-902</v>
      </c>
      <c r="C148" t="s">
        <v>1791</v>
      </c>
      <c r="D148" s="41" t="s">
        <v>659</v>
      </c>
      <c r="F148" t="s">
        <v>3268</v>
      </c>
      <c r="G148" t="s">
        <v>1793</v>
      </c>
      <c r="H148" s="1764" t="s">
        <v>659</v>
      </c>
    </row>
    <row r="149" spans="1:8" ht="14.5">
      <c r="A149" s="1152">
        <v>247903</v>
      </c>
      <c r="B149" s="380" t="str">
        <f t="shared" si="2"/>
        <v>247-903</v>
      </c>
      <c r="C149" t="s">
        <v>1793</v>
      </c>
      <c r="D149" s="41" t="s">
        <v>659</v>
      </c>
      <c r="F149" t="s">
        <v>7352</v>
      </c>
      <c r="G149" t="s">
        <v>969</v>
      </c>
      <c r="H149" s="1764" t="s">
        <v>659</v>
      </c>
    </row>
    <row r="150" spans="1:8" ht="14.5">
      <c r="A150" s="1151">
        <v>15913</v>
      </c>
      <c r="B150" s="380" t="str">
        <f t="shared" si="2"/>
        <v>015-913</v>
      </c>
      <c r="C150" t="s">
        <v>969</v>
      </c>
      <c r="D150" s="41" t="s">
        <v>659</v>
      </c>
      <c r="F150" t="s">
        <v>5282</v>
      </c>
      <c r="G150" t="s">
        <v>1804</v>
      </c>
      <c r="H150" s="1764" t="s">
        <v>659</v>
      </c>
    </row>
    <row r="151" spans="1:8" ht="14.5">
      <c r="A151" s="1152">
        <v>227912</v>
      </c>
      <c r="B151" s="380" t="str">
        <f t="shared" si="2"/>
        <v>227-912</v>
      </c>
      <c r="C151" t="s">
        <v>1804</v>
      </c>
      <c r="D151" s="41" t="s">
        <v>659</v>
      </c>
      <c r="F151" t="s">
        <v>5283</v>
      </c>
      <c r="G151" t="s">
        <v>1805</v>
      </c>
      <c r="H151" s="1764" t="s">
        <v>659</v>
      </c>
    </row>
    <row r="152" spans="1:8" ht="14.5">
      <c r="A152" s="1152">
        <v>227913</v>
      </c>
      <c r="B152" s="380" t="str">
        <f t="shared" si="2"/>
        <v>227-913</v>
      </c>
      <c r="C152" t="s">
        <v>1805</v>
      </c>
      <c r="D152" s="41" t="s">
        <v>659</v>
      </c>
      <c r="F152" t="s">
        <v>5019</v>
      </c>
      <c r="G152" t="s">
        <v>981</v>
      </c>
      <c r="H152" s="1764" t="s">
        <v>659</v>
      </c>
    </row>
    <row r="153" spans="1:8" ht="14.5">
      <c r="A153" s="1151">
        <v>79901</v>
      </c>
      <c r="B153" s="380" t="str">
        <f t="shared" si="2"/>
        <v>079-901</v>
      </c>
      <c r="C153" t="s">
        <v>981</v>
      </c>
      <c r="D153" s="41" t="s">
        <v>659</v>
      </c>
      <c r="F153" t="s">
        <v>3266</v>
      </c>
      <c r="G153" t="s">
        <v>2326</v>
      </c>
      <c r="H153" s="1764" t="s">
        <v>659</v>
      </c>
    </row>
    <row r="154" spans="1:8" ht="14.5">
      <c r="A154" s="1152">
        <v>246913</v>
      </c>
      <c r="B154" s="380" t="str">
        <f t="shared" si="2"/>
        <v>246-913</v>
      </c>
      <c r="C154" t="s">
        <v>2326</v>
      </c>
      <c r="D154" s="41" t="s">
        <v>659</v>
      </c>
      <c r="F154" t="s">
        <v>5756</v>
      </c>
      <c r="G154" t="s">
        <v>2349</v>
      </c>
      <c r="H154" s="1764" t="s">
        <v>659</v>
      </c>
    </row>
    <row r="155" spans="1:8" ht="14.5">
      <c r="A155" s="1151">
        <v>19914</v>
      </c>
      <c r="B155" s="380" t="str">
        <f t="shared" si="2"/>
        <v>019-914</v>
      </c>
      <c r="C155" t="s">
        <v>2349</v>
      </c>
      <c r="D155" s="41" t="s">
        <v>659</v>
      </c>
      <c r="F155" t="s">
        <v>5142</v>
      </c>
      <c r="G155" t="s">
        <v>903</v>
      </c>
      <c r="H155" s="1764" t="s">
        <v>659</v>
      </c>
    </row>
    <row r="156" spans="1:8" ht="14.5">
      <c r="A156" s="1152">
        <v>144902</v>
      </c>
      <c r="B156" s="380" t="str">
        <f t="shared" si="2"/>
        <v>144-902</v>
      </c>
      <c r="C156" t="s">
        <v>903</v>
      </c>
      <c r="D156" s="41" t="s">
        <v>659</v>
      </c>
      <c r="F156" t="s">
        <v>3263</v>
      </c>
      <c r="G156" t="s">
        <v>2328</v>
      </c>
      <c r="H156" s="1764" t="s">
        <v>659</v>
      </c>
    </row>
    <row r="157" spans="1:8" ht="14.5">
      <c r="A157" s="1152">
        <v>246908</v>
      </c>
      <c r="B157" s="380" t="str">
        <f t="shared" si="2"/>
        <v>246-908</v>
      </c>
      <c r="C157" t="s">
        <v>2328</v>
      </c>
      <c r="D157" s="41" t="s">
        <v>659</v>
      </c>
      <c r="F157" t="s">
        <v>5149</v>
      </c>
      <c r="G157" t="s">
        <v>508</v>
      </c>
      <c r="H157" s="1764" t="s">
        <v>659</v>
      </c>
    </row>
    <row r="158" spans="1:8" ht="14.5">
      <c r="A158" s="1152">
        <v>146906</v>
      </c>
      <c r="B158" s="380" t="str">
        <f t="shared" si="2"/>
        <v>146-906</v>
      </c>
      <c r="C158" t="s">
        <v>508</v>
      </c>
      <c r="D158" s="41" t="s">
        <v>659</v>
      </c>
      <c r="F158" t="s">
        <v>4980</v>
      </c>
      <c r="G158" t="s">
        <v>2092</v>
      </c>
      <c r="H158" s="1764" t="s">
        <v>659</v>
      </c>
    </row>
    <row r="159" spans="1:8" ht="14.5">
      <c r="A159" s="1151">
        <v>49907</v>
      </c>
      <c r="B159" s="380" t="str">
        <f t="shared" si="2"/>
        <v>049-907</v>
      </c>
      <c r="C159" t="s">
        <v>2092</v>
      </c>
      <c r="D159" s="41" t="s">
        <v>659</v>
      </c>
      <c r="F159" t="s">
        <v>3057</v>
      </c>
      <c r="G159" t="s">
        <v>1475</v>
      </c>
      <c r="H159" s="1764" t="s">
        <v>659</v>
      </c>
    </row>
    <row r="160" spans="1:8" ht="14.5">
      <c r="A160" s="1152">
        <v>111902</v>
      </c>
      <c r="B160" s="380" t="str">
        <f t="shared" si="2"/>
        <v>111-902</v>
      </c>
      <c r="C160" t="s">
        <v>1475</v>
      </c>
      <c r="D160" s="41" t="s">
        <v>659</v>
      </c>
      <c r="F160" t="s">
        <v>2967</v>
      </c>
      <c r="G160" t="s">
        <v>1476</v>
      </c>
      <c r="H160" s="1764" t="s">
        <v>659</v>
      </c>
    </row>
    <row r="161" spans="1:8" ht="14.5">
      <c r="A161" s="1151">
        <v>61914</v>
      </c>
      <c r="B161" s="380" t="str">
        <f t="shared" si="2"/>
        <v>061-914</v>
      </c>
      <c r="C161" t="s">
        <v>1476</v>
      </c>
      <c r="D161" s="41" t="s">
        <v>659</v>
      </c>
      <c r="F161" t="s">
        <v>2910</v>
      </c>
      <c r="G161" t="s">
        <v>2104</v>
      </c>
      <c r="H161" s="1764" t="s">
        <v>659</v>
      </c>
    </row>
    <row r="162" spans="1:8" ht="14.5">
      <c r="A162" s="1151">
        <v>28902</v>
      </c>
      <c r="B162" s="380" t="str">
        <f t="shared" si="2"/>
        <v>028-902</v>
      </c>
      <c r="C162" t="s">
        <v>2104</v>
      </c>
      <c r="D162" s="41" t="s">
        <v>659</v>
      </c>
      <c r="F162" t="s">
        <v>5138</v>
      </c>
      <c r="G162" t="s">
        <v>895</v>
      </c>
      <c r="H162" s="1764" t="s">
        <v>659</v>
      </c>
    </row>
    <row r="163" spans="1:8" ht="14.5">
      <c r="A163" s="1152">
        <v>141902</v>
      </c>
      <c r="B163" s="380" t="str">
        <f t="shared" si="2"/>
        <v>141-902</v>
      </c>
      <c r="C163" t="s">
        <v>895</v>
      </c>
      <c r="D163" s="41" t="s">
        <v>659</v>
      </c>
      <c r="F163" t="s">
        <v>5203</v>
      </c>
      <c r="G163" t="s">
        <v>301</v>
      </c>
      <c r="H163" s="1764" t="s">
        <v>659</v>
      </c>
    </row>
    <row r="164" spans="1:8" ht="14.5">
      <c r="A164" s="1152">
        <v>178906</v>
      </c>
      <c r="B164" s="380" t="str">
        <f t="shared" si="2"/>
        <v>178-906</v>
      </c>
      <c r="C164" t="s">
        <v>301</v>
      </c>
      <c r="D164" s="41" t="s">
        <v>659</v>
      </c>
      <c r="F164" t="s">
        <v>5301</v>
      </c>
      <c r="G164" t="s">
        <v>1153</v>
      </c>
      <c r="H164" s="1764" t="s">
        <v>659</v>
      </c>
    </row>
    <row r="165" spans="1:8" ht="14.5">
      <c r="A165" s="1152">
        <v>241906</v>
      </c>
      <c r="B165" s="380" t="str">
        <f t="shared" si="2"/>
        <v>241-906</v>
      </c>
      <c r="C165" t="s">
        <v>1153</v>
      </c>
      <c r="D165" s="41" t="s">
        <v>659</v>
      </c>
      <c r="F165" t="s">
        <v>4973</v>
      </c>
      <c r="G165" t="s">
        <v>2078</v>
      </c>
      <c r="H165" s="1764" t="s">
        <v>659</v>
      </c>
    </row>
    <row r="166" spans="1:8" ht="14.5">
      <c r="A166" s="1151">
        <v>43919</v>
      </c>
      <c r="B166" s="380" t="str">
        <f t="shared" si="2"/>
        <v>043-919</v>
      </c>
      <c r="C166" t="s">
        <v>2078</v>
      </c>
      <c r="D166" s="41" t="s">
        <v>659</v>
      </c>
      <c r="F166" t="s">
        <v>3111</v>
      </c>
      <c r="G166" t="s">
        <v>550</v>
      </c>
      <c r="H166" s="1764" t="s">
        <v>659</v>
      </c>
    </row>
    <row r="167" spans="1:8" ht="14.5">
      <c r="A167" s="1152">
        <v>152906</v>
      </c>
      <c r="B167" s="380" t="str">
        <f t="shared" si="2"/>
        <v>152-906</v>
      </c>
      <c r="C167" t="s">
        <v>550</v>
      </c>
      <c r="D167" s="41" t="s">
        <v>659</v>
      </c>
      <c r="F167" t="s">
        <v>3017</v>
      </c>
      <c r="G167" t="s">
        <v>793</v>
      </c>
      <c r="H167" s="1764" t="s">
        <v>659</v>
      </c>
    </row>
    <row r="168" spans="1:8" ht="14.5">
      <c r="A168" s="1152">
        <v>100907</v>
      </c>
      <c r="B168" s="380" t="str">
        <f t="shared" si="2"/>
        <v>100-907</v>
      </c>
      <c r="C168" t="s">
        <v>793</v>
      </c>
      <c r="D168" s="41" t="s">
        <v>659</v>
      </c>
      <c r="F168" t="s">
        <v>2857</v>
      </c>
      <c r="G168" t="s">
        <v>1129</v>
      </c>
      <c r="H168" s="1764" t="s">
        <v>659</v>
      </c>
    </row>
    <row r="169" spans="1:8" ht="14.5">
      <c r="A169" s="1151">
        <v>7904</v>
      </c>
      <c r="B169" s="380" t="str">
        <f t="shared" si="2"/>
        <v>007-904</v>
      </c>
      <c r="C169" t="s">
        <v>1129</v>
      </c>
      <c r="D169" s="41" t="s">
        <v>659</v>
      </c>
      <c r="F169" t="s">
        <v>5125</v>
      </c>
      <c r="G169" t="s">
        <v>1924</v>
      </c>
      <c r="H169" s="1764" t="s">
        <v>659</v>
      </c>
    </row>
    <row r="170" spans="1:8" ht="14.5">
      <c r="A170" s="1152">
        <v>129905</v>
      </c>
      <c r="B170" s="380" t="str">
        <f t="shared" si="2"/>
        <v>129-905</v>
      </c>
      <c r="C170" t="s">
        <v>1924</v>
      </c>
      <c r="D170" s="41" t="s">
        <v>659</v>
      </c>
      <c r="F170" t="s">
        <v>3115</v>
      </c>
      <c r="G170" t="s">
        <v>35</v>
      </c>
      <c r="H170" s="1764" t="s">
        <v>659</v>
      </c>
    </row>
    <row r="171" spans="1:8" ht="14.5">
      <c r="A171" s="1152">
        <v>154901</v>
      </c>
      <c r="B171" s="380" t="str">
        <f t="shared" si="2"/>
        <v>154-901</v>
      </c>
      <c r="C171" t="s">
        <v>35</v>
      </c>
      <c r="D171" s="41" t="s">
        <v>659</v>
      </c>
      <c r="F171" t="s">
        <v>3147</v>
      </c>
      <c r="G171" t="s">
        <v>273</v>
      </c>
      <c r="H171" s="1764" t="s">
        <v>659</v>
      </c>
    </row>
    <row r="172" spans="1:8" ht="14.5">
      <c r="A172" s="1152">
        <v>170906</v>
      </c>
      <c r="B172" s="380" t="str">
        <f t="shared" si="2"/>
        <v>170-906</v>
      </c>
      <c r="C172" t="s">
        <v>273</v>
      </c>
      <c r="D172" s="41" t="s">
        <v>659</v>
      </c>
      <c r="F172" t="s">
        <v>3053</v>
      </c>
      <c r="G172" t="s">
        <v>2033</v>
      </c>
      <c r="H172" s="1764" t="s">
        <v>659</v>
      </c>
    </row>
    <row r="173" spans="1:8" ht="14.5">
      <c r="A173" s="1152">
        <v>109908</v>
      </c>
      <c r="B173" s="380" t="str">
        <f t="shared" si="2"/>
        <v>109-908</v>
      </c>
      <c r="C173" t="s">
        <v>2033</v>
      </c>
      <c r="D173" s="41" t="s">
        <v>659</v>
      </c>
      <c r="F173" t="s">
        <v>2895</v>
      </c>
      <c r="G173" t="s">
        <v>274</v>
      </c>
      <c r="H173" s="1764" t="s">
        <v>659</v>
      </c>
    </row>
    <row r="174" spans="1:8" ht="14.5">
      <c r="A174" s="1151">
        <v>19910</v>
      </c>
      <c r="B174" s="380" t="str">
        <f t="shared" si="2"/>
        <v>019-910</v>
      </c>
      <c r="C174" t="s">
        <v>274</v>
      </c>
      <c r="D174" s="41" t="s">
        <v>659</v>
      </c>
      <c r="F174" t="s">
        <v>5280</v>
      </c>
      <c r="G174" t="s">
        <v>1802</v>
      </c>
      <c r="H174" s="1764" t="s">
        <v>659</v>
      </c>
    </row>
    <row r="175" spans="1:8" ht="14.5">
      <c r="A175" s="1152">
        <v>227907</v>
      </c>
      <c r="B175" s="380" t="str">
        <f t="shared" si="2"/>
        <v>227-907</v>
      </c>
      <c r="C175" t="s">
        <v>1802</v>
      </c>
      <c r="D175" s="41" t="s">
        <v>659</v>
      </c>
      <c r="F175" t="s">
        <v>3993</v>
      </c>
      <c r="G175" t="s">
        <v>278</v>
      </c>
      <c r="H175" s="1764" t="s">
        <v>659</v>
      </c>
    </row>
    <row r="176" spans="1:8" ht="14.5">
      <c r="A176" s="1151">
        <v>94904</v>
      </c>
      <c r="B176" s="380" t="str">
        <f t="shared" si="2"/>
        <v>094-904</v>
      </c>
      <c r="C176" t="s">
        <v>278</v>
      </c>
      <c r="D176" s="41" t="s">
        <v>659</v>
      </c>
      <c r="F176" t="s">
        <v>4500</v>
      </c>
      <c r="G176" t="s">
        <v>2135</v>
      </c>
      <c r="H176" s="1764" t="s">
        <v>659</v>
      </c>
    </row>
    <row r="177" spans="1:8" ht="14.5">
      <c r="A177" s="1152">
        <v>174909</v>
      </c>
      <c r="B177" s="380" t="str">
        <f t="shared" si="2"/>
        <v>174-909</v>
      </c>
      <c r="C177" t="s">
        <v>2135</v>
      </c>
      <c r="D177" s="41" t="s">
        <v>659</v>
      </c>
      <c r="F177" t="s">
        <v>2979</v>
      </c>
      <c r="G177" t="s">
        <v>1879</v>
      </c>
      <c r="H177" s="1764" t="s">
        <v>659</v>
      </c>
    </row>
    <row r="178" spans="1:8" ht="14.5">
      <c r="A178" s="1151">
        <v>70915</v>
      </c>
      <c r="B178" s="380" t="str">
        <f t="shared" si="2"/>
        <v>070-915</v>
      </c>
      <c r="C178" t="s">
        <v>1879</v>
      </c>
      <c r="D178" s="41" t="s">
        <v>659</v>
      </c>
      <c r="F178" t="s">
        <v>5892</v>
      </c>
      <c r="G178" t="s">
        <v>734</v>
      </c>
      <c r="H178" s="1764" t="s">
        <v>659</v>
      </c>
    </row>
    <row r="179" spans="1:8" ht="14.5">
      <c r="A179" s="1152">
        <v>231901</v>
      </c>
      <c r="B179" s="380" t="str">
        <f t="shared" si="2"/>
        <v>231-901</v>
      </c>
      <c r="C179" t="s">
        <v>734</v>
      </c>
      <c r="D179" s="41" t="s">
        <v>659</v>
      </c>
      <c r="F179" t="s">
        <v>2865</v>
      </c>
      <c r="G179" t="s">
        <v>772</v>
      </c>
      <c r="H179" s="1764" t="s">
        <v>659</v>
      </c>
    </row>
    <row r="180" spans="1:8" ht="14.5">
      <c r="A180" s="1151">
        <v>11905</v>
      </c>
      <c r="B180" s="380" t="str">
        <f t="shared" si="2"/>
        <v>011-905</v>
      </c>
      <c r="C180" t="s">
        <v>772</v>
      </c>
      <c r="D180" s="41" t="s">
        <v>659</v>
      </c>
      <c r="F180" t="s">
        <v>3647</v>
      </c>
      <c r="G180" t="s">
        <v>775</v>
      </c>
      <c r="H180" s="1764" t="s">
        <v>659</v>
      </c>
    </row>
    <row r="181" spans="1:8" ht="14.5">
      <c r="A181" s="1151">
        <v>34906</v>
      </c>
      <c r="B181" s="380" t="str">
        <f t="shared" si="2"/>
        <v>034-906</v>
      </c>
      <c r="C181" t="s">
        <v>775</v>
      </c>
      <c r="D181" s="41" t="s">
        <v>659</v>
      </c>
      <c r="F181" t="s">
        <v>5174</v>
      </c>
      <c r="G181" t="s">
        <v>1658</v>
      </c>
      <c r="H181" s="1764" t="s">
        <v>659</v>
      </c>
    </row>
    <row r="182" spans="1:8" ht="14.5">
      <c r="A182" s="1152">
        <v>162904</v>
      </c>
      <c r="B182" s="380" t="str">
        <f t="shared" si="2"/>
        <v>162-904</v>
      </c>
      <c r="C182" t="s">
        <v>1658</v>
      </c>
      <c r="D182" s="41" t="s">
        <v>659</v>
      </c>
      <c r="F182" t="s">
        <v>3138</v>
      </c>
      <c r="G182" t="s">
        <v>777</v>
      </c>
      <c r="H182" s="1764" t="s">
        <v>659</v>
      </c>
    </row>
    <row r="183" spans="1:8" ht="14.5">
      <c r="A183" s="1152">
        <v>163908</v>
      </c>
      <c r="B183" s="380" t="str">
        <f t="shared" si="2"/>
        <v>163-908</v>
      </c>
      <c r="C183" t="s">
        <v>777</v>
      </c>
      <c r="D183" s="41" t="s">
        <v>659</v>
      </c>
      <c r="F183" t="s">
        <v>2936</v>
      </c>
      <c r="G183" t="s">
        <v>2076</v>
      </c>
      <c r="H183" s="1764" t="s">
        <v>659</v>
      </c>
    </row>
    <row r="184" spans="1:8" ht="14.5">
      <c r="A184" s="1151">
        <v>43908</v>
      </c>
      <c r="B184" s="380" t="str">
        <f t="shared" si="2"/>
        <v>043-908</v>
      </c>
      <c r="C184" t="s">
        <v>2076</v>
      </c>
      <c r="D184" s="41" t="s">
        <v>659</v>
      </c>
      <c r="F184" t="s">
        <v>5851</v>
      </c>
      <c r="G184" t="s">
        <v>1659</v>
      </c>
      <c r="H184" s="1764" t="s">
        <v>659</v>
      </c>
    </row>
    <row r="185" spans="1:8" ht="14.5">
      <c r="A185" s="1152">
        <v>164901</v>
      </c>
      <c r="B185" s="380" t="str">
        <f t="shared" si="2"/>
        <v>164-901</v>
      </c>
      <c r="C185" t="s">
        <v>1659</v>
      </c>
      <c r="D185" s="41" t="s">
        <v>659</v>
      </c>
      <c r="F185" t="s">
        <v>5269</v>
      </c>
      <c r="G185" t="s">
        <v>1207</v>
      </c>
      <c r="H185" s="1764" t="s">
        <v>659</v>
      </c>
    </row>
    <row r="186" spans="1:8" ht="14.5">
      <c r="A186" s="1152">
        <v>221904</v>
      </c>
      <c r="B186" s="380" t="str">
        <f t="shared" si="2"/>
        <v>221-904</v>
      </c>
      <c r="C186" t="s">
        <v>1207</v>
      </c>
      <c r="D186" s="41" t="s">
        <v>659</v>
      </c>
      <c r="F186" t="s">
        <v>5152</v>
      </c>
      <c r="G186" t="s">
        <v>511</v>
      </c>
      <c r="H186" s="1764" t="s">
        <v>659</v>
      </c>
    </row>
    <row r="187" spans="1:8" ht="14.5">
      <c r="A187" s="1152">
        <v>147903</v>
      </c>
      <c r="B187" s="380" t="str">
        <f t="shared" si="2"/>
        <v>147-903</v>
      </c>
      <c r="C187" t="s">
        <v>511</v>
      </c>
      <c r="D187" s="41" t="s">
        <v>659</v>
      </c>
      <c r="F187" t="s">
        <v>5785</v>
      </c>
      <c r="G187" t="s">
        <v>2479</v>
      </c>
      <c r="H187" s="1764" t="s">
        <v>659</v>
      </c>
    </row>
    <row r="188" spans="1:8" ht="14.5">
      <c r="A188" s="1151">
        <v>62906</v>
      </c>
      <c r="B188" s="380" t="str">
        <f t="shared" si="2"/>
        <v>062-906</v>
      </c>
      <c r="C188" t="s">
        <v>2479</v>
      </c>
      <c r="D188" s="41" t="s">
        <v>659</v>
      </c>
      <c r="F188" t="s">
        <v>5238</v>
      </c>
      <c r="G188" t="s">
        <v>1535</v>
      </c>
      <c r="H188" s="1764" t="s">
        <v>659</v>
      </c>
    </row>
    <row r="189" spans="1:8" ht="14.5">
      <c r="A189" s="1152">
        <v>197902</v>
      </c>
      <c r="B189" s="380" t="str">
        <f t="shared" si="2"/>
        <v>197-902</v>
      </c>
      <c r="C189" t="s">
        <v>1535</v>
      </c>
      <c r="D189" s="41" t="s">
        <v>659</v>
      </c>
      <c r="F189" t="s">
        <v>3139</v>
      </c>
      <c r="G189" t="s">
        <v>2113</v>
      </c>
      <c r="H189" s="1764" t="s">
        <v>659</v>
      </c>
    </row>
    <row r="190" spans="1:8" ht="14.5">
      <c r="A190" s="1152">
        <v>165901</v>
      </c>
      <c r="B190" s="380" t="str">
        <f t="shared" si="2"/>
        <v>165-901</v>
      </c>
      <c r="C190" t="s">
        <v>2113</v>
      </c>
      <c r="D190" s="41" t="s">
        <v>659</v>
      </c>
      <c r="F190" t="s">
        <v>5008</v>
      </c>
      <c r="G190" t="s">
        <v>1864</v>
      </c>
      <c r="H190" s="1764" t="s">
        <v>659</v>
      </c>
    </row>
    <row r="191" spans="1:8" ht="14.5">
      <c r="A191" s="1151">
        <v>70908</v>
      </c>
      <c r="B191" s="380" t="str">
        <f t="shared" si="2"/>
        <v>070-908</v>
      </c>
      <c r="C191" t="s">
        <v>1864</v>
      </c>
      <c r="D191" s="41" t="s">
        <v>659</v>
      </c>
      <c r="F191" t="s">
        <v>5172</v>
      </c>
      <c r="G191" t="s">
        <v>1815</v>
      </c>
      <c r="H191" s="1764" t="s">
        <v>659</v>
      </c>
    </row>
    <row r="192" spans="1:8" ht="14.5">
      <c r="A192" s="1152">
        <v>161903</v>
      </c>
      <c r="B192" s="380" t="str">
        <f t="shared" si="2"/>
        <v>161-903</v>
      </c>
      <c r="C192" t="s">
        <v>1815</v>
      </c>
      <c r="D192" s="41" t="s">
        <v>659</v>
      </c>
      <c r="F192" t="s">
        <v>5176</v>
      </c>
      <c r="G192" t="s">
        <v>1662</v>
      </c>
      <c r="H192" s="1764" t="s">
        <v>659</v>
      </c>
    </row>
    <row r="193" spans="1:8" ht="14.5">
      <c r="A193" s="1152">
        <v>166903</v>
      </c>
      <c r="B193" s="380" t="str">
        <f t="shared" si="2"/>
        <v>166-903</v>
      </c>
      <c r="C193" t="s">
        <v>1662</v>
      </c>
      <c r="D193" s="41" t="s">
        <v>659</v>
      </c>
      <c r="F193" t="s">
        <v>5793</v>
      </c>
      <c r="G193" t="s">
        <v>1865</v>
      </c>
      <c r="H193" s="1764" t="s">
        <v>659</v>
      </c>
    </row>
    <row r="194" spans="1:8" ht="14.5">
      <c r="A194" s="1151">
        <v>70909</v>
      </c>
      <c r="B194" s="380" t="str">
        <f t="shared" si="2"/>
        <v>070-909</v>
      </c>
      <c r="C194" t="s">
        <v>1865</v>
      </c>
      <c r="D194" s="41" t="s">
        <v>659</v>
      </c>
      <c r="F194" t="s">
        <v>3061</v>
      </c>
      <c r="G194" t="s">
        <v>2115</v>
      </c>
      <c r="H194" s="1764" t="s">
        <v>659</v>
      </c>
    </row>
    <row r="195" spans="1:8" ht="14.5">
      <c r="A195" s="1152">
        <v>112907</v>
      </c>
      <c r="B195" s="380" t="str">
        <f t="shared" ref="B195:B258" si="3">CONCATENATE(LEFT(RIGHT(CONCATENATE("000",A195),6),3),"-",(RIGHT(RIGHT(CONCATENATE("000",A195),6),3)))</f>
        <v>112-907</v>
      </c>
      <c r="C195" t="s">
        <v>2115</v>
      </c>
      <c r="D195" s="41" t="s">
        <v>659</v>
      </c>
      <c r="F195" t="s">
        <v>3173</v>
      </c>
      <c r="G195" t="s">
        <v>2116</v>
      </c>
      <c r="H195" s="1764" t="s">
        <v>659</v>
      </c>
    </row>
    <row r="196" spans="1:8" ht="14.5">
      <c r="A196" s="1152">
        <v>184904</v>
      </c>
      <c r="B196" s="380" t="str">
        <f t="shared" si="3"/>
        <v>184-904</v>
      </c>
      <c r="C196" t="s">
        <v>2116</v>
      </c>
      <c r="D196" s="41" t="s">
        <v>659</v>
      </c>
      <c r="F196" t="s">
        <v>5294</v>
      </c>
      <c r="G196" t="s">
        <v>840</v>
      </c>
      <c r="H196" s="1764" t="s">
        <v>659</v>
      </c>
    </row>
    <row r="197" spans="1:8" ht="14.5">
      <c r="A197" s="1152">
        <v>238902</v>
      </c>
      <c r="B197" s="380" t="str">
        <f t="shared" si="3"/>
        <v>238-902</v>
      </c>
      <c r="C197" t="s">
        <v>840</v>
      </c>
      <c r="D197" s="41" t="s">
        <v>659</v>
      </c>
      <c r="F197" t="s">
        <v>5856</v>
      </c>
      <c r="G197" t="s">
        <v>2122</v>
      </c>
      <c r="H197" s="1764" t="s">
        <v>659</v>
      </c>
    </row>
    <row r="198" spans="1:8" ht="14.5">
      <c r="A198" s="1152">
        <v>169908</v>
      </c>
      <c r="B198" s="380" t="str">
        <f t="shared" si="3"/>
        <v>169-908</v>
      </c>
      <c r="C198" t="s">
        <v>2122</v>
      </c>
      <c r="D198" s="41" t="s">
        <v>659</v>
      </c>
      <c r="F198" t="s">
        <v>5184</v>
      </c>
      <c r="G198" t="s">
        <v>2126</v>
      </c>
      <c r="H198" s="1764" t="s">
        <v>659</v>
      </c>
    </row>
    <row r="199" spans="1:8" ht="14.5">
      <c r="A199" s="1152">
        <v>170903</v>
      </c>
      <c r="B199" s="380" t="str">
        <f t="shared" si="3"/>
        <v>170-903</v>
      </c>
      <c r="C199" t="s">
        <v>2126</v>
      </c>
      <c r="D199" s="41" t="s">
        <v>659</v>
      </c>
      <c r="F199" t="s">
        <v>3125</v>
      </c>
      <c r="G199" t="s">
        <v>1653</v>
      </c>
      <c r="H199" s="1764" t="s">
        <v>659</v>
      </c>
    </row>
    <row r="200" spans="1:8" ht="14.5">
      <c r="A200" s="1152">
        <v>161910</v>
      </c>
      <c r="B200" s="380" t="str">
        <f t="shared" si="3"/>
        <v>161-910</v>
      </c>
      <c r="C200" t="s">
        <v>1653</v>
      </c>
      <c r="D200" s="41" t="s">
        <v>659</v>
      </c>
      <c r="F200" t="s">
        <v>5753</v>
      </c>
      <c r="G200" t="s">
        <v>2536</v>
      </c>
      <c r="H200" s="1764" t="s">
        <v>659</v>
      </c>
    </row>
    <row r="201" spans="1:8" ht="14.5">
      <c r="A201" s="1151">
        <v>18903</v>
      </c>
      <c r="B201" s="380" t="str">
        <f t="shared" si="3"/>
        <v>018-903</v>
      </c>
      <c r="C201" t="s">
        <v>2536</v>
      </c>
      <c r="D201" s="41" t="s">
        <v>659</v>
      </c>
      <c r="F201" t="s">
        <v>5796</v>
      </c>
      <c r="G201" t="s">
        <v>1871</v>
      </c>
      <c r="H201" s="1764" t="s">
        <v>659</v>
      </c>
    </row>
    <row r="202" spans="1:8" ht="14.5">
      <c r="A202" s="1151">
        <v>72910</v>
      </c>
      <c r="B202" s="380" t="str">
        <f t="shared" si="3"/>
        <v>072-910</v>
      </c>
      <c r="C202" t="s">
        <v>1871</v>
      </c>
      <c r="D202" s="41" t="s">
        <v>659</v>
      </c>
      <c r="F202" t="s">
        <v>3054</v>
      </c>
      <c r="G202" t="s">
        <v>2120</v>
      </c>
      <c r="H202" s="1764" t="s">
        <v>659</v>
      </c>
    </row>
    <row r="203" spans="1:8" ht="14.5">
      <c r="A203" s="1152">
        <v>109910</v>
      </c>
      <c r="B203" s="380" t="str">
        <f t="shared" si="3"/>
        <v>109-910</v>
      </c>
      <c r="C203" t="s">
        <v>2120</v>
      </c>
      <c r="D203" s="41" t="s">
        <v>659</v>
      </c>
      <c r="F203" t="s">
        <v>3014</v>
      </c>
      <c r="G203" t="s">
        <v>218</v>
      </c>
      <c r="H203" s="1764" t="s">
        <v>659</v>
      </c>
    </row>
    <row r="204" spans="1:8" ht="14.5">
      <c r="A204" s="1151">
        <v>94903</v>
      </c>
      <c r="B204" s="380" t="str">
        <f t="shared" si="3"/>
        <v>094-903</v>
      </c>
      <c r="C204" t="s">
        <v>218</v>
      </c>
      <c r="D204" s="41" t="s">
        <v>659</v>
      </c>
      <c r="F204" t="s">
        <v>2922</v>
      </c>
      <c r="G204" t="s">
        <v>370</v>
      </c>
      <c r="H204" s="1764" t="s">
        <v>659</v>
      </c>
    </row>
    <row r="205" spans="1:8" ht="14.5">
      <c r="A205" s="1151">
        <v>35903</v>
      </c>
      <c r="B205" s="380" t="str">
        <f t="shared" si="3"/>
        <v>035-903</v>
      </c>
      <c r="C205" t="s">
        <v>370</v>
      </c>
      <c r="D205" s="41" t="s">
        <v>659</v>
      </c>
      <c r="F205" t="s">
        <v>2943</v>
      </c>
      <c r="G205" t="s">
        <v>2083</v>
      </c>
      <c r="H205" s="1764" t="s">
        <v>659</v>
      </c>
    </row>
    <row r="206" spans="1:8" ht="14.5">
      <c r="A206" s="1151">
        <v>46901</v>
      </c>
      <c r="B206" s="380" t="str">
        <f t="shared" si="3"/>
        <v>046-901</v>
      </c>
      <c r="C206" t="s">
        <v>2083</v>
      </c>
      <c r="D206" s="41" t="s">
        <v>659</v>
      </c>
      <c r="F206" t="s">
        <v>3149</v>
      </c>
      <c r="G206" t="s">
        <v>1072</v>
      </c>
      <c r="H206" s="1764" t="s">
        <v>659</v>
      </c>
    </row>
    <row r="207" spans="1:8" ht="14.5">
      <c r="A207" s="1152">
        <v>170908</v>
      </c>
      <c r="B207" s="380" t="str">
        <f t="shared" si="3"/>
        <v>170-908</v>
      </c>
      <c r="C207" t="s">
        <v>1072</v>
      </c>
      <c r="D207" s="41" t="s">
        <v>659</v>
      </c>
      <c r="F207" t="s">
        <v>3232</v>
      </c>
      <c r="G207" t="s">
        <v>1446</v>
      </c>
      <c r="H207" s="1764" t="s">
        <v>659</v>
      </c>
    </row>
    <row r="208" spans="1:8" ht="14.5">
      <c r="A208" s="1152">
        <v>230906</v>
      </c>
      <c r="B208" s="380" t="str">
        <f t="shared" si="3"/>
        <v>230-906</v>
      </c>
      <c r="C208" t="s">
        <v>1446</v>
      </c>
      <c r="D208" s="41" t="s">
        <v>659</v>
      </c>
      <c r="F208" t="s">
        <v>5163</v>
      </c>
      <c r="G208" t="s">
        <v>525</v>
      </c>
      <c r="H208" s="1764" t="s">
        <v>659</v>
      </c>
    </row>
    <row r="209" spans="1:8" ht="14.5">
      <c r="A209" s="1152">
        <v>153905</v>
      </c>
      <c r="B209" s="380" t="str">
        <f t="shared" si="3"/>
        <v>153-905</v>
      </c>
      <c r="C209" t="s">
        <v>525</v>
      </c>
      <c r="D209" s="41" t="s">
        <v>659</v>
      </c>
      <c r="F209" t="s">
        <v>5145</v>
      </c>
      <c r="G209" t="s">
        <v>1722</v>
      </c>
      <c r="H209" s="1764" t="s">
        <v>659</v>
      </c>
    </row>
    <row r="210" spans="1:8" ht="14.5">
      <c r="A210" s="1152">
        <v>145906</v>
      </c>
      <c r="B210" s="380" t="str">
        <f t="shared" si="3"/>
        <v>145-906</v>
      </c>
      <c r="C210" t="s">
        <v>1722</v>
      </c>
      <c r="D210" s="41" t="s">
        <v>659</v>
      </c>
      <c r="F210" t="s">
        <v>3254</v>
      </c>
      <c r="G210" t="s">
        <v>2165</v>
      </c>
      <c r="H210" s="1764" t="s">
        <v>659</v>
      </c>
    </row>
    <row r="211" spans="1:8" ht="14.5">
      <c r="A211" s="1152">
        <v>244905</v>
      </c>
      <c r="B211" s="380" t="str">
        <f t="shared" si="3"/>
        <v>244-905</v>
      </c>
      <c r="C211" t="s">
        <v>2165</v>
      </c>
      <c r="D211" s="41" t="s">
        <v>659</v>
      </c>
      <c r="F211" t="s">
        <v>2965</v>
      </c>
      <c r="G211" t="s">
        <v>1182</v>
      </c>
      <c r="H211" s="1764" t="s">
        <v>659</v>
      </c>
    </row>
    <row r="212" spans="1:8" ht="14.5">
      <c r="A212" s="1151">
        <v>61911</v>
      </c>
      <c r="B212" s="380" t="str">
        <f t="shared" si="3"/>
        <v>061-911</v>
      </c>
      <c r="C212" t="s">
        <v>1182</v>
      </c>
      <c r="D212" s="41" t="s">
        <v>659</v>
      </c>
      <c r="F212" t="s">
        <v>5293</v>
      </c>
      <c r="G212" t="s">
        <v>1969</v>
      </c>
      <c r="H212" s="1764" t="s">
        <v>659</v>
      </c>
    </row>
    <row r="213" spans="1:8" ht="14.5">
      <c r="A213" s="1152">
        <v>235904</v>
      </c>
      <c r="B213" s="380" t="str">
        <f t="shared" si="3"/>
        <v>235-904</v>
      </c>
      <c r="C213" t="s">
        <v>1969</v>
      </c>
      <c r="D213" s="41" t="s">
        <v>659</v>
      </c>
      <c r="F213" t="s">
        <v>5146</v>
      </c>
      <c r="G213" t="s">
        <v>1723</v>
      </c>
      <c r="H213" s="1764" t="s">
        <v>659</v>
      </c>
    </row>
    <row r="214" spans="1:8" ht="14.5">
      <c r="A214" s="1152">
        <v>145907</v>
      </c>
      <c r="B214" s="380" t="str">
        <f t="shared" si="3"/>
        <v>145-907</v>
      </c>
      <c r="C214" t="s">
        <v>1723</v>
      </c>
      <c r="D214" s="41" t="s">
        <v>659</v>
      </c>
      <c r="F214" t="s">
        <v>5162</v>
      </c>
      <c r="G214" t="s">
        <v>523</v>
      </c>
      <c r="H214" s="1764" t="s">
        <v>659</v>
      </c>
    </row>
    <row r="215" spans="1:8" ht="14.5">
      <c r="A215" s="1152">
        <v>153903</v>
      </c>
      <c r="B215" s="380" t="str">
        <f t="shared" si="3"/>
        <v>153-903</v>
      </c>
      <c r="C215" t="s">
        <v>523</v>
      </c>
      <c r="D215" s="41" t="s">
        <v>659</v>
      </c>
      <c r="F215" t="s">
        <v>2951</v>
      </c>
      <c r="G215" t="s">
        <v>247</v>
      </c>
      <c r="H215" s="1764" t="s">
        <v>659</v>
      </c>
    </row>
    <row r="216" spans="1:8" ht="14.5">
      <c r="A216" s="1151">
        <v>50904</v>
      </c>
      <c r="B216" s="380" t="str">
        <f t="shared" si="3"/>
        <v>050-904</v>
      </c>
      <c r="C216" t="s">
        <v>247</v>
      </c>
      <c r="D216" s="41" t="s">
        <v>659</v>
      </c>
      <c r="F216" t="s">
        <v>3186</v>
      </c>
      <c r="G216" t="s">
        <v>248</v>
      </c>
      <c r="H216" s="1764" t="s">
        <v>659</v>
      </c>
    </row>
    <row r="217" spans="1:8" ht="14.5">
      <c r="A217" s="1152">
        <v>200906</v>
      </c>
      <c r="B217" s="380" t="str">
        <f t="shared" si="3"/>
        <v>200-906</v>
      </c>
      <c r="C217" t="s">
        <v>248</v>
      </c>
      <c r="D217" s="41" t="s">
        <v>659</v>
      </c>
      <c r="F217" t="s">
        <v>5227</v>
      </c>
      <c r="G217" t="s">
        <v>425</v>
      </c>
      <c r="H217" s="1764" t="s">
        <v>659</v>
      </c>
    </row>
    <row r="218" spans="1:8" ht="14.5">
      <c r="A218" s="1152">
        <v>187910</v>
      </c>
      <c r="B218" s="380" t="str">
        <f t="shared" si="3"/>
        <v>187-910</v>
      </c>
      <c r="C218" t="s">
        <v>425</v>
      </c>
      <c r="D218" s="41" t="s">
        <v>659</v>
      </c>
      <c r="F218" t="s">
        <v>5209</v>
      </c>
      <c r="G218" t="s">
        <v>310</v>
      </c>
      <c r="H218" s="1764" t="s">
        <v>659</v>
      </c>
    </row>
    <row r="219" spans="1:8" ht="14.5">
      <c r="A219" s="1152">
        <v>181905</v>
      </c>
      <c r="B219" s="380" t="str">
        <f t="shared" si="3"/>
        <v>181-905</v>
      </c>
      <c r="C219" t="s">
        <v>310</v>
      </c>
      <c r="D219" s="41" t="s">
        <v>659</v>
      </c>
      <c r="F219" t="s">
        <v>3230</v>
      </c>
      <c r="G219" t="s">
        <v>962</v>
      </c>
      <c r="H219" s="1764" t="s">
        <v>659</v>
      </c>
    </row>
    <row r="220" spans="1:8" ht="14.5">
      <c r="A220" s="1152">
        <v>230903</v>
      </c>
      <c r="B220" s="380" t="str">
        <f t="shared" si="3"/>
        <v>230-903</v>
      </c>
      <c r="C220" t="s">
        <v>962</v>
      </c>
      <c r="D220" s="41" t="s">
        <v>659</v>
      </c>
      <c r="F220" t="s">
        <v>4977</v>
      </c>
      <c r="G220" t="s">
        <v>2088</v>
      </c>
      <c r="H220" s="1764" t="s">
        <v>659</v>
      </c>
    </row>
    <row r="221" spans="1:8" ht="14.5">
      <c r="A221" s="1151">
        <v>48903</v>
      </c>
      <c r="B221" s="380" t="str">
        <f t="shared" si="3"/>
        <v>048-903</v>
      </c>
      <c r="C221" t="s">
        <v>2088</v>
      </c>
      <c r="D221" s="41" t="s">
        <v>659</v>
      </c>
      <c r="F221" t="s">
        <v>2976</v>
      </c>
      <c r="G221" t="s">
        <v>1287</v>
      </c>
      <c r="H221" s="1764" t="s">
        <v>659</v>
      </c>
    </row>
    <row r="222" spans="1:8" ht="14.5">
      <c r="A222" s="1151">
        <v>70910</v>
      </c>
      <c r="B222" s="380" t="str">
        <f t="shared" si="3"/>
        <v>070-910</v>
      </c>
      <c r="C222" t="s">
        <v>1287</v>
      </c>
      <c r="D222" s="41" t="s">
        <v>659</v>
      </c>
      <c r="F222" t="s">
        <v>3272</v>
      </c>
      <c r="G222" t="s">
        <v>1289</v>
      </c>
      <c r="H222" s="1764" t="s">
        <v>659</v>
      </c>
    </row>
    <row r="223" spans="1:8" ht="14.5">
      <c r="A223" s="1152">
        <v>249906</v>
      </c>
      <c r="B223" s="380" t="str">
        <f t="shared" si="3"/>
        <v>249-906</v>
      </c>
      <c r="C223" t="s">
        <v>1289</v>
      </c>
      <c r="D223" s="41" t="s">
        <v>659</v>
      </c>
      <c r="F223" t="s">
        <v>3102</v>
      </c>
      <c r="G223" t="s">
        <v>184</v>
      </c>
      <c r="H223" s="1764" t="s">
        <v>659</v>
      </c>
    </row>
    <row r="224" spans="1:8" ht="14.5">
      <c r="A224" s="1152">
        <v>139909</v>
      </c>
      <c r="B224" s="380" t="str">
        <f t="shared" si="3"/>
        <v>139-909</v>
      </c>
      <c r="C224" t="s">
        <v>184</v>
      </c>
      <c r="D224" s="41" t="s">
        <v>659</v>
      </c>
      <c r="F224" t="s">
        <v>3174</v>
      </c>
      <c r="G224" t="s">
        <v>2449</v>
      </c>
      <c r="H224" s="1764" t="s">
        <v>659</v>
      </c>
    </row>
    <row r="225" spans="1:8" ht="14.5">
      <c r="A225" s="1152">
        <v>184908</v>
      </c>
      <c r="B225" s="380" t="str">
        <f t="shared" si="3"/>
        <v>184-908</v>
      </c>
      <c r="C225" t="s">
        <v>2449</v>
      </c>
      <c r="D225" s="41" t="s">
        <v>659</v>
      </c>
      <c r="F225" t="s">
        <v>5234</v>
      </c>
      <c r="G225" t="s">
        <v>1531</v>
      </c>
      <c r="H225" s="1764" t="s">
        <v>659</v>
      </c>
    </row>
    <row r="226" spans="1:8" ht="14.5">
      <c r="A226" s="1152">
        <v>195901</v>
      </c>
      <c r="B226" s="380" t="str">
        <f t="shared" si="3"/>
        <v>195-901</v>
      </c>
      <c r="C226" t="s">
        <v>1531</v>
      </c>
      <c r="D226" s="41" t="s">
        <v>659</v>
      </c>
      <c r="F226" t="s">
        <v>5808</v>
      </c>
      <c r="G226" t="s">
        <v>222</v>
      </c>
      <c r="H226" s="1764" t="s">
        <v>659</v>
      </c>
    </row>
    <row r="227" spans="1:8" ht="14.5">
      <c r="A227" s="1151">
        <v>95904</v>
      </c>
      <c r="B227" s="380" t="str">
        <f t="shared" si="3"/>
        <v>095-904</v>
      </c>
      <c r="C227" t="s">
        <v>222</v>
      </c>
      <c r="D227" s="41" t="s">
        <v>659</v>
      </c>
      <c r="F227" t="s">
        <v>3225</v>
      </c>
      <c r="G227" t="s">
        <v>944</v>
      </c>
      <c r="H227" s="1764" t="s">
        <v>659</v>
      </c>
    </row>
    <row r="228" spans="1:8" ht="14.5">
      <c r="A228" s="1152">
        <v>227904</v>
      </c>
      <c r="B228" s="380" t="str">
        <f t="shared" si="3"/>
        <v>227-904</v>
      </c>
      <c r="C228" t="s">
        <v>944</v>
      </c>
      <c r="D228" s="41" t="s">
        <v>659</v>
      </c>
      <c r="F228" t="s">
        <v>5319</v>
      </c>
      <c r="G228" t="s">
        <v>1298</v>
      </c>
      <c r="H228" s="1764" t="s">
        <v>659</v>
      </c>
    </row>
    <row r="229" spans="1:8" ht="14.5">
      <c r="A229" s="1152">
        <v>251902</v>
      </c>
      <c r="B229" s="380" t="str">
        <f t="shared" si="3"/>
        <v>251-902</v>
      </c>
      <c r="C229" t="s">
        <v>1298</v>
      </c>
      <c r="D229" s="41" t="s">
        <v>659</v>
      </c>
      <c r="F229" t="s">
        <v>2962</v>
      </c>
      <c r="G229" t="s">
        <v>948</v>
      </c>
      <c r="H229" s="1764" t="s">
        <v>659</v>
      </c>
    </row>
    <row r="230" spans="1:8" ht="14.5">
      <c r="A230" s="1151">
        <v>61906</v>
      </c>
      <c r="B230" s="380" t="str">
        <f t="shared" si="3"/>
        <v>061-906</v>
      </c>
      <c r="C230" t="s">
        <v>948</v>
      </c>
      <c r="D230" s="41" t="s">
        <v>659</v>
      </c>
      <c r="F230" t="s">
        <v>5761</v>
      </c>
      <c r="G230" t="s">
        <v>1507</v>
      </c>
      <c r="H230" s="1764" t="s">
        <v>659</v>
      </c>
    </row>
    <row r="231" spans="1:8" ht="14.5">
      <c r="A231" s="1151">
        <v>28906</v>
      </c>
      <c r="B231" s="380" t="str">
        <f t="shared" si="3"/>
        <v>028-906</v>
      </c>
      <c r="C231" t="s">
        <v>1507</v>
      </c>
      <c r="D231" s="41" t="s">
        <v>659</v>
      </c>
      <c r="F231" t="s">
        <v>5857</v>
      </c>
      <c r="G231" t="s">
        <v>2123</v>
      </c>
      <c r="H231" s="1764" t="s">
        <v>659</v>
      </c>
    </row>
    <row r="232" spans="1:8" ht="14.5">
      <c r="A232" s="1152">
        <v>169909</v>
      </c>
      <c r="B232" s="380" t="str">
        <f t="shared" si="3"/>
        <v>169-909</v>
      </c>
      <c r="C232" t="s">
        <v>2123</v>
      </c>
      <c r="D232" s="41" t="s">
        <v>659</v>
      </c>
      <c r="F232" t="s">
        <v>3081</v>
      </c>
      <c r="G232" t="s">
        <v>1983</v>
      </c>
      <c r="H232" s="1764" t="s">
        <v>659</v>
      </c>
    </row>
    <row r="233" spans="1:8" ht="14.5">
      <c r="A233" s="1152">
        <v>125905</v>
      </c>
      <c r="B233" s="380" t="str">
        <f t="shared" si="3"/>
        <v>125-905</v>
      </c>
      <c r="C233" t="s">
        <v>1983</v>
      </c>
      <c r="D233" s="41" t="s">
        <v>659</v>
      </c>
      <c r="F233" t="s">
        <v>2937</v>
      </c>
      <c r="G233" t="s">
        <v>72</v>
      </c>
      <c r="H233" s="1764" t="s">
        <v>659</v>
      </c>
    </row>
    <row r="234" spans="1:8" ht="14.5">
      <c r="A234" s="1151">
        <v>43911</v>
      </c>
      <c r="B234" s="380" t="str">
        <f t="shared" si="3"/>
        <v>043-911</v>
      </c>
      <c r="C234" t="s">
        <v>72</v>
      </c>
      <c r="D234" s="41" t="s">
        <v>659</v>
      </c>
      <c r="F234" t="s">
        <v>2938</v>
      </c>
      <c r="G234" t="s">
        <v>74</v>
      </c>
      <c r="H234" s="1764" t="s">
        <v>659</v>
      </c>
    </row>
    <row r="235" spans="1:8" ht="14.5">
      <c r="A235" s="1151">
        <v>43912</v>
      </c>
      <c r="B235" s="380" t="str">
        <f t="shared" si="3"/>
        <v>043-912</v>
      </c>
      <c r="C235" t="s">
        <v>74</v>
      </c>
      <c r="D235" s="41" t="s">
        <v>659</v>
      </c>
      <c r="F235" t="s">
        <v>4962</v>
      </c>
      <c r="G235" t="s">
        <v>1610</v>
      </c>
      <c r="H235" s="1764" t="s">
        <v>659</v>
      </c>
    </row>
    <row r="236" spans="1:8" ht="14.5">
      <c r="A236" s="1151">
        <v>34907</v>
      </c>
      <c r="B236" s="380" t="str">
        <f t="shared" si="3"/>
        <v>034-907</v>
      </c>
      <c r="C236" t="s">
        <v>1610</v>
      </c>
      <c r="D236" s="41" t="s">
        <v>659</v>
      </c>
      <c r="F236" t="s">
        <v>5289</v>
      </c>
      <c r="G236" t="s">
        <v>735</v>
      </c>
      <c r="H236" s="1764" t="s">
        <v>659</v>
      </c>
    </row>
    <row r="237" spans="1:8" ht="14.5">
      <c r="A237" s="1152">
        <v>231902</v>
      </c>
      <c r="B237" s="380" t="str">
        <f t="shared" si="3"/>
        <v>231-902</v>
      </c>
      <c r="C237" t="s">
        <v>735</v>
      </c>
      <c r="D237" s="41" t="s">
        <v>659</v>
      </c>
      <c r="F237" t="s">
        <v>4974</v>
      </c>
      <c r="G237" t="s">
        <v>975</v>
      </c>
      <c r="H237" s="1764" t="s">
        <v>659</v>
      </c>
    </row>
    <row r="238" spans="1:8" ht="14.5">
      <c r="A238" s="1151">
        <v>45903</v>
      </c>
      <c r="B238" s="380" t="str">
        <f t="shared" si="3"/>
        <v>045-903</v>
      </c>
      <c r="C238" t="s">
        <v>975</v>
      </c>
      <c r="D238" s="41" t="s">
        <v>659</v>
      </c>
      <c r="F238" t="s">
        <v>5806</v>
      </c>
      <c r="G238" t="s">
        <v>217</v>
      </c>
      <c r="H238" s="1764" t="s">
        <v>659</v>
      </c>
    </row>
    <row r="239" spans="1:8" ht="14.5">
      <c r="A239" s="1151">
        <v>93905</v>
      </c>
      <c r="B239" s="380" t="str">
        <f t="shared" si="3"/>
        <v>093-905</v>
      </c>
      <c r="C239" t="s">
        <v>217</v>
      </c>
      <c r="D239" s="41" t="s">
        <v>659</v>
      </c>
      <c r="F239" t="s">
        <v>5875</v>
      </c>
      <c r="G239" t="s">
        <v>337</v>
      </c>
      <c r="H239" s="1764" t="s">
        <v>659</v>
      </c>
    </row>
    <row r="240" spans="1:8" ht="14.5">
      <c r="A240" s="1152">
        <v>206902</v>
      </c>
      <c r="B240" s="380" t="str">
        <f t="shared" si="3"/>
        <v>206-902</v>
      </c>
      <c r="C240" t="s">
        <v>337</v>
      </c>
      <c r="D240" s="41" t="s">
        <v>659</v>
      </c>
      <c r="F240" t="s">
        <v>3126</v>
      </c>
      <c r="G240" t="s">
        <v>1643</v>
      </c>
      <c r="H240" s="1764" t="s">
        <v>659</v>
      </c>
    </row>
    <row r="241" spans="1:8" ht="14.5">
      <c r="A241" s="1152">
        <v>161912</v>
      </c>
      <c r="B241" s="380" t="str">
        <f t="shared" si="3"/>
        <v>161-912</v>
      </c>
      <c r="C241" t="s">
        <v>1643</v>
      </c>
      <c r="D241" s="41" t="s">
        <v>659</v>
      </c>
      <c r="F241" t="s">
        <v>5791</v>
      </c>
      <c r="G241" t="s">
        <v>1858</v>
      </c>
      <c r="H241" s="1764" t="s">
        <v>659</v>
      </c>
    </row>
    <row r="242" spans="1:8" ht="14.5">
      <c r="A242" s="1151">
        <v>67908</v>
      </c>
      <c r="B242" s="380" t="str">
        <f t="shared" si="3"/>
        <v>067-908</v>
      </c>
      <c r="C242" t="s">
        <v>1858</v>
      </c>
      <c r="D242" s="41" t="s">
        <v>659</v>
      </c>
      <c r="F242" t="s">
        <v>3178</v>
      </c>
      <c r="G242" t="s">
        <v>2549</v>
      </c>
      <c r="H242" s="1764" t="s">
        <v>659</v>
      </c>
    </row>
    <row r="243" spans="1:8" ht="14.5">
      <c r="A243" s="1152">
        <v>188902</v>
      </c>
      <c r="B243" s="380" t="str">
        <f t="shared" si="3"/>
        <v>188-902</v>
      </c>
      <c r="C243" t="s">
        <v>2549</v>
      </c>
      <c r="D243" s="41" t="s">
        <v>659</v>
      </c>
      <c r="F243" t="s">
        <v>3181</v>
      </c>
      <c r="G243" t="s">
        <v>2550</v>
      </c>
      <c r="H243" s="1764" t="s">
        <v>659</v>
      </c>
    </row>
    <row r="244" spans="1:8" ht="14.5">
      <c r="A244" s="1152">
        <v>194903</v>
      </c>
      <c r="B244" s="380" t="str">
        <f t="shared" si="3"/>
        <v>194-903</v>
      </c>
      <c r="C244" t="s">
        <v>2550</v>
      </c>
      <c r="D244" s="41" t="s">
        <v>659</v>
      </c>
      <c r="F244" t="s">
        <v>5833</v>
      </c>
      <c r="G244" t="s">
        <v>1938</v>
      </c>
      <c r="H244" s="1764" t="s">
        <v>659</v>
      </c>
    </row>
    <row r="245" spans="1:8" ht="14.5">
      <c r="A245" s="1152">
        <v>137903</v>
      </c>
      <c r="B245" s="380" t="str">
        <f t="shared" si="3"/>
        <v>137-903</v>
      </c>
      <c r="C245" t="s">
        <v>1938</v>
      </c>
      <c r="D245" s="41" t="s">
        <v>659</v>
      </c>
      <c r="F245" t="s">
        <v>3132</v>
      </c>
      <c r="G245" t="s">
        <v>2551</v>
      </c>
      <c r="H245" s="1764" t="s">
        <v>659</v>
      </c>
    </row>
    <row r="246" spans="1:8" ht="14.5">
      <c r="A246" s="1152">
        <v>161922</v>
      </c>
      <c r="B246" s="380" t="str">
        <f t="shared" si="3"/>
        <v>161-922</v>
      </c>
      <c r="C246" t="s">
        <v>2551</v>
      </c>
      <c r="D246" s="41" t="s">
        <v>659</v>
      </c>
      <c r="F246" t="s">
        <v>5006</v>
      </c>
      <c r="G246" t="s">
        <v>1860</v>
      </c>
      <c r="H246" s="1764" t="s">
        <v>659</v>
      </c>
    </row>
    <row r="247" spans="1:8" ht="14.5">
      <c r="A247" s="1151">
        <v>69901</v>
      </c>
      <c r="B247" s="380" t="str">
        <f t="shared" si="3"/>
        <v>069-901</v>
      </c>
      <c r="C247" t="s">
        <v>1860</v>
      </c>
      <c r="D247" s="41" t="s">
        <v>659</v>
      </c>
      <c r="F247" t="s">
        <v>5242</v>
      </c>
      <c r="G247" t="s">
        <v>924</v>
      </c>
      <c r="H247" s="1764" t="s">
        <v>659</v>
      </c>
    </row>
    <row r="248" spans="1:8" ht="14.5">
      <c r="A248" s="1152">
        <v>199901</v>
      </c>
      <c r="B248" s="380" t="str">
        <f t="shared" si="3"/>
        <v>199-901</v>
      </c>
      <c r="C248" t="s">
        <v>924</v>
      </c>
      <c r="D248" s="41" t="s">
        <v>659</v>
      </c>
      <c r="F248" t="s">
        <v>5094</v>
      </c>
      <c r="G248" t="s">
        <v>2462</v>
      </c>
      <c r="H248" s="1764" t="s">
        <v>659</v>
      </c>
    </row>
    <row r="249" spans="1:8" ht="14.5">
      <c r="A249" s="1152">
        <v>110905</v>
      </c>
      <c r="B249" s="380" t="str">
        <f t="shared" si="3"/>
        <v>110-905</v>
      </c>
      <c r="C249" t="s">
        <v>2462</v>
      </c>
      <c r="D249" s="41" t="s">
        <v>659</v>
      </c>
      <c r="F249" t="s">
        <v>3160</v>
      </c>
      <c r="G249" t="s">
        <v>3320</v>
      </c>
      <c r="H249" s="1764" t="s">
        <v>659</v>
      </c>
    </row>
    <row r="250" spans="1:8" ht="14.5">
      <c r="A250" s="1152">
        <v>177901</v>
      </c>
      <c r="B250" s="380" t="str">
        <f t="shared" si="3"/>
        <v>177-901</v>
      </c>
      <c r="C250" t="s">
        <v>3320</v>
      </c>
      <c r="D250" s="41" t="s">
        <v>659</v>
      </c>
      <c r="F250" t="s">
        <v>5797</v>
      </c>
      <c r="G250" t="s">
        <v>1873</v>
      </c>
      <c r="H250" s="1764" t="s">
        <v>659</v>
      </c>
    </row>
    <row r="251" spans="1:8" ht="14.5">
      <c r="A251" s="1151">
        <v>73905</v>
      </c>
      <c r="B251" s="380" t="str">
        <f t="shared" si="3"/>
        <v>073-905</v>
      </c>
      <c r="C251" t="s">
        <v>1873</v>
      </c>
      <c r="D251" s="41" t="s">
        <v>659</v>
      </c>
      <c r="F251" t="s">
        <v>2994</v>
      </c>
      <c r="G251" t="s">
        <v>573</v>
      </c>
      <c r="H251" s="1764" t="s">
        <v>659</v>
      </c>
    </row>
    <row r="252" spans="1:8" ht="14.5">
      <c r="A252" s="1151">
        <v>76904</v>
      </c>
      <c r="B252" s="380" t="str">
        <f t="shared" si="3"/>
        <v>076-904</v>
      </c>
      <c r="C252" t="s">
        <v>573</v>
      </c>
      <c r="D252" s="41" t="s">
        <v>659</v>
      </c>
      <c r="F252" t="s">
        <v>4857</v>
      </c>
      <c r="G252" t="s">
        <v>574</v>
      </c>
      <c r="H252" s="1764" t="s">
        <v>659</v>
      </c>
    </row>
    <row r="253" spans="1:8" ht="14.5">
      <c r="A253" s="1152">
        <v>246909</v>
      </c>
      <c r="B253" s="380" t="str">
        <f t="shared" si="3"/>
        <v>246-909</v>
      </c>
      <c r="C253" t="s">
        <v>574</v>
      </c>
      <c r="D253" s="41" t="s">
        <v>659</v>
      </c>
      <c r="F253" t="s">
        <v>3184</v>
      </c>
      <c r="G253" t="s">
        <v>576</v>
      </c>
      <c r="H253" s="1764" t="s">
        <v>659</v>
      </c>
    </row>
    <row r="254" spans="1:8" ht="14.5">
      <c r="A254" s="1152">
        <v>199902</v>
      </c>
      <c r="B254" s="380" t="str">
        <f t="shared" si="3"/>
        <v>199-902</v>
      </c>
      <c r="C254" t="s">
        <v>576</v>
      </c>
      <c r="D254" s="41" t="s">
        <v>659</v>
      </c>
      <c r="F254" t="s">
        <v>5047</v>
      </c>
      <c r="G254" t="s">
        <v>985</v>
      </c>
      <c r="H254" s="1764" t="s">
        <v>659</v>
      </c>
    </row>
    <row r="255" spans="1:8" ht="14.5">
      <c r="A255" s="1151">
        <v>91914</v>
      </c>
      <c r="B255" s="380" t="str">
        <f t="shared" si="3"/>
        <v>091-914</v>
      </c>
      <c r="C255" t="s">
        <v>985</v>
      </c>
      <c r="D255" s="41" t="s">
        <v>659</v>
      </c>
      <c r="F255" t="s">
        <v>5183</v>
      </c>
      <c r="G255" t="s">
        <v>2125</v>
      </c>
      <c r="H255" s="1764" t="s">
        <v>659</v>
      </c>
    </row>
    <row r="256" spans="1:8" ht="14.5">
      <c r="A256" s="1152">
        <v>169911</v>
      </c>
      <c r="B256" s="380" t="str">
        <f t="shared" si="3"/>
        <v>169-911</v>
      </c>
      <c r="C256" t="s">
        <v>2125</v>
      </c>
      <c r="D256" s="41" t="s">
        <v>659</v>
      </c>
      <c r="F256" t="s">
        <v>2873</v>
      </c>
      <c r="G256" t="s">
        <v>1912</v>
      </c>
      <c r="H256" s="1764" t="s">
        <v>659</v>
      </c>
    </row>
    <row r="257" spans="1:8" ht="14.5">
      <c r="A257" s="1151">
        <v>14908</v>
      </c>
      <c r="B257" s="380" t="str">
        <f t="shared" si="3"/>
        <v>014-908</v>
      </c>
      <c r="C257" t="s">
        <v>1912</v>
      </c>
      <c r="D257" s="41" t="s">
        <v>659</v>
      </c>
      <c r="F257" t="s">
        <v>2972</v>
      </c>
      <c r="G257" t="s">
        <v>1917</v>
      </c>
      <c r="H257" s="1764" t="s">
        <v>659</v>
      </c>
    </row>
    <row r="258" spans="1:8" ht="14.5">
      <c r="A258" s="1151">
        <v>66902</v>
      </c>
      <c r="B258" s="380" t="str">
        <f t="shared" si="3"/>
        <v>066-902</v>
      </c>
      <c r="C258" t="s">
        <v>1917</v>
      </c>
      <c r="D258" s="41" t="s">
        <v>659</v>
      </c>
      <c r="F258" t="s">
        <v>4996</v>
      </c>
      <c r="G258" t="s">
        <v>2471</v>
      </c>
      <c r="H258" s="1764" t="s">
        <v>659</v>
      </c>
    </row>
    <row r="259" spans="1:8" ht="14.5">
      <c r="A259" s="1151">
        <v>58909</v>
      </c>
      <c r="B259" s="380" t="str">
        <f t="shared" ref="B259:B318" si="4">CONCATENATE(LEFT(RIGHT(CONCATENATE("000",A259),6),3),"-",(RIGHT(RIGHT(CONCATENATE("000",A259),6),3)))</f>
        <v>058-909</v>
      </c>
      <c r="C259" t="s">
        <v>2471</v>
      </c>
      <c r="D259" s="41" t="s">
        <v>659</v>
      </c>
      <c r="F259" t="s">
        <v>5134</v>
      </c>
      <c r="G259" t="s">
        <v>1939</v>
      </c>
      <c r="H259" s="1764" t="s">
        <v>659</v>
      </c>
    </row>
    <row r="260" spans="1:8" ht="14.5">
      <c r="A260" s="1152">
        <v>137904</v>
      </c>
      <c r="B260" s="380" t="str">
        <f t="shared" si="4"/>
        <v>137-904</v>
      </c>
      <c r="C260" t="s">
        <v>1939</v>
      </c>
      <c r="D260" s="41" t="s">
        <v>659</v>
      </c>
      <c r="F260" t="s">
        <v>5014</v>
      </c>
      <c r="G260" t="s">
        <v>4</v>
      </c>
      <c r="H260" s="1764" t="s">
        <v>659</v>
      </c>
    </row>
    <row r="261" spans="1:8" ht="14.5">
      <c r="A261" s="1151">
        <v>74911</v>
      </c>
      <c r="B261" s="380" t="str">
        <f t="shared" si="4"/>
        <v>074-911</v>
      </c>
      <c r="C261" t="s">
        <v>4</v>
      </c>
      <c r="D261" s="41" t="s">
        <v>659</v>
      </c>
      <c r="F261" t="s">
        <v>3097</v>
      </c>
      <c r="G261" t="s">
        <v>1174</v>
      </c>
      <c r="H261" s="1764" t="s">
        <v>659</v>
      </c>
    </row>
    <row r="262" spans="1:8" ht="14.5">
      <c r="A262" s="1152">
        <v>129910</v>
      </c>
      <c r="B262" s="380" t="str">
        <f t="shared" si="4"/>
        <v>129-910</v>
      </c>
      <c r="C262" t="s">
        <v>1174</v>
      </c>
      <c r="D262" s="41" t="s">
        <v>659</v>
      </c>
      <c r="F262" t="s">
        <v>5028</v>
      </c>
      <c r="G262" t="s">
        <v>499</v>
      </c>
      <c r="H262" s="1764" t="s">
        <v>659</v>
      </c>
    </row>
    <row r="263" spans="1:8" ht="14.5">
      <c r="A263" s="1151">
        <v>83903</v>
      </c>
      <c r="B263" s="380" t="str">
        <f t="shared" si="4"/>
        <v>083-903</v>
      </c>
      <c r="C263" t="s">
        <v>499</v>
      </c>
      <c r="D263" s="41" t="s">
        <v>659</v>
      </c>
      <c r="F263" t="s">
        <v>5074</v>
      </c>
      <c r="G263" t="s">
        <v>2069</v>
      </c>
      <c r="H263" s="1764" t="s">
        <v>659</v>
      </c>
    </row>
    <row r="264" spans="1:8" ht="14.5">
      <c r="A264" s="1152">
        <v>101924</v>
      </c>
      <c r="B264" s="380" t="str">
        <f t="shared" si="4"/>
        <v>101-924</v>
      </c>
      <c r="C264" t="s">
        <v>2069</v>
      </c>
      <c r="D264" s="41" t="s">
        <v>659</v>
      </c>
      <c r="F264" t="s">
        <v>5840</v>
      </c>
      <c r="G264" t="s">
        <v>898</v>
      </c>
      <c r="H264" s="1764" t="s">
        <v>659</v>
      </c>
    </row>
    <row r="265" spans="1:8" ht="14.5">
      <c r="A265" s="1152">
        <v>143903</v>
      </c>
      <c r="B265" s="380" t="str">
        <f t="shared" si="4"/>
        <v>143-903</v>
      </c>
      <c r="C265" t="s">
        <v>898</v>
      </c>
      <c r="D265" s="41" t="s">
        <v>659</v>
      </c>
      <c r="F265" t="s">
        <v>3016</v>
      </c>
      <c r="G265" t="s">
        <v>1406</v>
      </c>
      <c r="H265" s="1764" t="s">
        <v>659</v>
      </c>
    </row>
    <row r="266" spans="1:8" ht="14.5">
      <c r="A266" s="1152">
        <v>100904</v>
      </c>
      <c r="B266" s="380" t="str">
        <f t="shared" si="4"/>
        <v>100-904</v>
      </c>
      <c r="C266" t="s">
        <v>1406</v>
      </c>
      <c r="D266" s="41" t="s">
        <v>659</v>
      </c>
      <c r="F266" t="s">
        <v>2894</v>
      </c>
      <c r="G266" t="s">
        <v>252</v>
      </c>
      <c r="H266" s="1764" t="s">
        <v>659</v>
      </c>
    </row>
    <row r="267" spans="1:8" ht="14.5">
      <c r="A267" s="1151">
        <v>19909</v>
      </c>
      <c r="B267" s="380" t="str">
        <f t="shared" si="4"/>
        <v>019-909</v>
      </c>
      <c r="C267" t="s">
        <v>252</v>
      </c>
      <c r="D267" s="41" t="s">
        <v>659</v>
      </c>
      <c r="F267" t="s">
        <v>5160</v>
      </c>
      <c r="G267" t="s">
        <v>520</v>
      </c>
      <c r="H267" s="1764" t="s">
        <v>659</v>
      </c>
    </row>
    <row r="268" spans="1:8" ht="14.5">
      <c r="A268" s="1152">
        <v>152903</v>
      </c>
      <c r="B268" s="380" t="str">
        <f t="shared" si="4"/>
        <v>152-903</v>
      </c>
      <c r="C268" t="s">
        <v>520</v>
      </c>
      <c r="D268" s="41" t="s">
        <v>659</v>
      </c>
      <c r="F268" t="s">
        <v>3273</v>
      </c>
      <c r="G268" t="s">
        <v>1820</v>
      </c>
      <c r="H268" s="1764" t="s">
        <v>659</v>
      </c>
    </row>
    <row r="269" spans="1:8" ht="14.5">
      <c r="A269" s="1152">
        <v>249908</v>
      </c>
      <c r="B269" s="380" t="str">
        <f t="shared" si="4"/>
        <v>249-908</v>
      </c>
      <c r="C269" t="s">
        <v>1820</v>
      </c>
      <c r="D269" s="41" t="s">
        <v>659</v>
      </c>
      <c r="F269" t="s">
        <v>2908</v>
      </c>
      <c r="G269" t="s">
        <v>1506</v>
      </c>
      <c r="H269" s="1764" t="s">
        <v>659</v>
      </c>
    </row>
    <row r="270" spans="1:8" ht="14.5">
      <c r="A270" s="1151">
        <v>26903</v>
      </c>
      <c r="B270" s="380" t="str">
        <f t="shared" si="4"/>
        <v>026-903</v>
      </c>
      <c r="C270" t="s">
        <v>1506</v>
      </c>
      <c r="D270" s="41" t="s">
        <v>659</v>
      </c>
      <c r="F270" t="s">
        <v>4952</v>
      </c>
      <c r="G270" t="s">
        <v>1505</v>
      </c>
      <c r="H270" s="1764" t="s">
        <v>659</v>
      </c>
    </row>
    <row r="271" spans="1:8" ht="14.5">
      <c r="A271" s="1151">
        <v>26902</v>
      </c>
      <c r="B271" s="380" t="str">
        <f t="shared" si="4"/>
        <v>026-902</v>
      </c>
      <c r="C271" t="s">
        <v>1505</v>
      </c>
      <c r="D271" s="41" t="s">
        <v>659</v>
      </c>
      <c r="F271" t="s">
        <v>7354</v>
      </c>
      <c r="G271" t="s">
        <v>7355</v>
      </c>
      <c r="H271" s="1764" t="s">
        <v>659</v>
      </c>
    </row>
    <row r="272" spans="1:8" ht="14.5">
      <c r="A272" s="1151">
        <v>31916</v>
      </c>
      <c r="B272" s="380" t="str">
        <f t="shared" si="4"/>
        <v>031-916</v>
      </c>
      <c r="C272" t="s">
        <v>7355</v>
      </c>
      <c r="D272" s="41" t="s">
        <v>659</v>
      </c>
      <c r="F272" t="s">
        <v>3148</v>
      </c>
      <c r="G272" t="s">
        <v>1828</v>
      </c>
      <c r="H272" s="1764" t="s">
        <v>659</v>
      </c>
    </row>
    <row r="273" spans="1:8" ht="14.5">
      <c r="A273" s="1152">
        <v>170907</v>
      </c>
      <c r="B273" s="380" t="str">
        <f t="shared" si="4"/>
        <v>170-907</v>
      </c>
      <c r="C273" t="s">
        <v>1828</v>
      </c>
      <c r="D273" s="41" t="s">
        <v>659</v>
      </c>
      <c r="F273" t="s">
        <v>3010</v>
      </c>
      <c r="G273" t="s">
        <v>1829</v>
      </c>
      <c r="H273" s="1764" t="s">
        <v>659</v>
      </c>
    </row>
    <row r="274" spans="1:8" ht="14.5">
      <c r="A274" s="1151">
        <v>92907</v>
      </c>
      <c r="B274" s="380" t="str">
        <f t="shared" si="4"/>
        <v>092-907</v>
      </c>
      <c r="C274" t="s">
        <v>1829</v>
      </c>
      <c r="D274" s="41" t="s">
        <v>659</v>
      </c>
      <c r="F274" t="s">
        <v>5165</v>
      </c>
      <c r="G274" t="s">
        <v>529</v>
      </c>
      <c r="H274" s="1764" t="s">
        <v>659</v>
      </c>
    </row>
    <row r="275" spans="1:8" ht="14.5">
      <c r="A275" s="1152">
        <v>156902</v>
      </c>
      <c r="B275" s="380" t="str">
        <f t="shared" si="4"/>
        <v>156-902</v>
      </c>
      <c r="C275" t="s">
        <v>529</v>
      </c>
      <c r="D275" s="41" t="s">
        <v>659</v>
      </c>
      <c r="F275" t="s">
        <v>5262</v>
      </c>
      <c r="G275" t="s">
        <v>2421</v>
      </c>
      <c r="H275" s="1764" t="s">
        <v>659</v>
      </c>
    </row>
    <row r="276" spans="1:8" ht="14.5">
      <c r="A276" s="1152">
        <v>216901</v>
      </c>
      <c r="B276" s="380" t="str">
        <f t="shared" si="4"/>
        <v>216-901</v>
      </c>
      <c r="C276" t="s">
        <v>2421</v>
      </c>
      <c r="D276" s="41" t="s">
        <v>659</v>
      </c>
      <c r="F276" t="s">
        <v>3270</v>
      </c>
      <c r="G276" t="s">
        <v>1834</v>
      </c>
      <c r="H276" s="1764" t="s">
        <v>659</v>
      </c>
    </row>
    <row r="277" spans="1:8" ht="14.5">
      <c r="A277" s="1152">
        <v>247906</v>
      </c>
      <c r="B277" s="380" t="str">
        <f t="shared" si="4"/>
        <v>247-906</v>
      </c>
      <c r="C277" t="s">
        <v>1834</v>
      </c>
      <c r="D277" s="41" t="s">
        <v>659</v>
      </c>
      <c r="F277" t="s">
        <v>3062</v>
      </c>
      <c r="G277" t="s">
        <v>1835</v>
      </c>
      <c r="H277" s="1764" t="s">
        <v>659</v>
      </c>
    </row>
    <row r="278" spans="1:8" ht="14.5">
      <c r="A278" s="1152">
        <v>112910</v>
      </c>
      <c r="B278" s="380" t="str">
        <f t="shared" si="4"/>
        <v>112-910</v>
      </c>
      <c r="C278" t="s">
        <v>1835</v>
      </c>
      <c r="D278" s="41" t="s">
        <v>659</v>
      </c>
      <c r="F278" t="s">
        <v>4993</v>
      </c>
      <c r="G278" t="s">
        <v>2467</v>
      </c>
      <c r="H278" s="1764" t="s">
        <v>659</v>
      </c>
    </row>
    <row r="279" spans="1:8" ht="14.5">
      <c r="A279" s="1151">
        <v>57919</v>
      </c>
      <c r="B279" s="380" t="str">
        <f t="shared" si="4"/>
        <v>057-919</v>
      </c>
      <c r="C279" t="s">
        <v>2467</v>
      </c>
      <c r="D279" s="41" t="s">
        <v>659</v>
      </c>
      <c r="F279" t="s">
        <v>5845</v>
      </c>
      <c r="G279" t="s">
        <v>524</v>
      </c>
      <c r="H279" s="1764" t="s">
        <v>659</v>
      </c>
    </row>
    <row r="280" spans="1:8" ht="14.5">
      <c r="A280" s="1152">
        <v>153904</v>
      </c>
      <c r="B280" s="380" t="str">
        <f t="shared" si="4"/>
        <v>153-904</v>
      </c>
      <c r="C280" t="s">
        <v>524</v>
      </c>
      <c r="D280" s="41" t="s">
        <v>659</v>
      </c>
      <c r="F280" t="s">
        <v>5126</v>
      </c>
      <c r="G280" t="s">
        <v>1925</v>
      </c>
      <c r="H280" s="1764" t="s">
        <v>659</v>
      </c>
    </row>
    <row r="281" spans="1:8" ht="14.5">
      <c r="A281" s="1152">
        <v>129906</v>
      </c>
      <c r="B281" s="380" t="str">
        <f t="shared" si="4"/>
        <v>129-906</v>
      </c>
      <c r="C281" t="s">
        <v>1925</v>
      </c>
      <c r="D281" s="41" t="s">
        <v>659</v>
      </c>
      <c r="F281" t="s">
        <v>3265</v>
      </c>
      <c r="G281" t="s">
        <v>567</v>
      </c>
      <c r="H281" s="1764" t="s">
        <v>659</v>
      </c>
    </row>
    <row r="282" spans="1:8" ht="14.5">
      <c r="A282" s="1152">
        <v>246912</v>
      </c>
      <c r="B282" s="380" t="str">
        <f t="shared" si="4"/>
        <v>246-912</v>
      </c>
      <c r="C282" t="s">
        <v>567</v>
      </c>
      <c r="D282" s="41" t="s">
        <v>659</v>
      </c>
      <c r="F282" t="s">
        <v>5794</v>
      </c>
      <c r="G282" t="s">
        <v>1867</v>
      </c>
      <c r="H282" s="1764" t="s">
        <v>659</v>
      </c>
    </row>
    <row r="283" spans="1:8" ht="14.5">
      <c r="A283" s="1151">
        <v>72901</v>
      </c>
      <c r="B283" s="380" t="str">
        <f t="shared" si="4"/>
        <v>072-901</v>
      </c>
      <c r="C283" t="s">
        <v>1867</v>
      </c>
      <c r="D283" s="41" t="s">
        <v>659</v>
      </c>
      <c r="F283" t="s">
        <v>5169</v>
      </c>
      <c r="G283" t="s">
        <v>1648</v>
      </c>
      <c r="H283" s="1764" t="s">
        <v>659</v>
      </c>
    </row>
    <row r="284" spans="1:8" ht="14.5">
      <c r="A284" s="1152">
        <v>158902</v>
      </c>
      <c r="B284" s="380" t="str">
        <f t="shared" si="4"/>
        <v>158-902</v>
      </c>
      <c r="C284" t="s">
        <v>1648</v>
      </c>
      <c r="D284" s="41" t="s">
        <v>659</v>
      </c>
      <c r="F284" t="s">
        <v>5880</v>
      </c>
      <c r="G284" t="s">
        <v>1682</v>
      </c>
      <c r="H284" s="1764" t="s">
        <v>659</v>
      </c>
    </row>
    <row r="285" spans="1:8" ht="14.5">
      <c r="A285" s="1152">
        <v>210905</v>
      </c>
      <c r="B285" s="380" t="str">
        <f t="shared" si="4"/>
        <v>210-905</v>
      </c>
      <c r="C285" t="s">
        <v>1682</v>
      </c>
      <c r="D285" s="41" t="s">
        <v>659</v>
      </c>
      <c r="F285" t="s">
        <v>5045</v>
      </c>
      <c r="G285" t="s">
        <v>1557</v>
      </c>
      <c r="H285" s="1764" t="s">
        <v>659</v>
      </c>
    </row>
    <row r="286" spans="1:8" ht="14.5">
      <c r="A286" s="1151">
        <v>91907</v>
      </c>
      <c r="B286" s="380" t="str">
        <f t="shared" si="4"/>
        <v>091-907</v>
      </c>
      <c r="C286" t="s">
        <v>1557</v>
      </c>
      <c r="D286" s="41" t="s">
        <v>659</v>
      </c>
      <c r="F286" t="s">
        <v>5073</v>
      </c>
      <c r="G286" t="s">
        <v>2068</v>
      </c>
      <c r="H286" s="1764" t="s">
        <v>659</v>
      </c>
    </row>
    <row r="287" spans="1:8" ht="14.5">
      <c r="A287" s="1152">
        <v>101921</v>
      </c>
      <c r="B287" s="380" t="str">
        <f t="shared" si="4"/>
        <v>101-921</v>
      </c>
      <c r="C287" t="s">
        <v>2068</v>
      </c>
      <c r="D287" s="41" t="s">
        <v>659</v>
      </c>
      <c r="F287" t="s">
        <v>2992</v>
      </c>
      <c r="G287" t="s">
        <v>5</v>
      </c>
      <c r="H287" s="1764" t="s">
        <v>659</v>
      </c>
    </row>
    <row r="288" spans="1:8" ht="14.5">
      <c r="A288" s="1151">
        <v>74912</v>
      </c>
      <c r="B288" s="380" t="str">
        <f t="shared" si="4"/>
        <v>074-912</v>
      </c>
      <c r="C288" t="s">
        <v>5</v>
      </c>
      <c r="D288" s="41" t="s">
        <v>659</v>
      </c>
      <c r="F288" t="s">
        <v>3032</v>
      </c>
      <c r="G288" t="s">
        <v>570</v>
      </c>
      <c r="H288" s="1764" t="s">
        <v>659</v>
      </c>
    </row>
    <row r="289" spans="1:8" ht="14.5">
      <c r="A289" s="1152">
        <v>107907</v>
      </c>
      <c r="B289" s="380" t="str">
        <f t="shared" si="4"/>
        <v>107-907</v>
      </c>
      <c r="C289" t="s">
        <v>570</v>
      </c>
      <c r="D289" s="41" t="s">
        <v>659</v>
      </c>
      <c r="F289" t="s">
        <v>2875</v>
      </c>
      <c r="G289" t="s">
        <v>2187</v>
      </c>
      <c r="H289" s="1764" t="s">
        <v>659</v>
      </c>
    </row>
    <row r="290" spans="1:8" ht="14.5">
      <c r="A290" s="1151">
        <v>14910</v>
      </c>
      <c r="B290" s="380" t="str">
        <f t="shared" si="4"/>
        <v>014-910</v>
      </c>
      <c r="C290" t="s">
        <v>2187</v>
      </c>
      <c r="D290" s="41" t="s">
        <v>659</v>
      </c>
      <c r="F290" t="s">
        <v>5058</v>
      </c>
      <c r="G290" t="s">
        <v>225</v>
      </c>
      <c r="H290" s="1764" t="s">
        <v>659</v>
      </c>
    </row>
    <row r="291" spans="1:8" ht="14.5">
      <c r="A291" s="1151">
        <v>96905</v>
      </c>
      <c r="B291" s="380" t="str">
        <f t="shared" si="4"/>
        <v>096-905</v>
      </c>
      <c r="C291" t="s">
        <v>225</v>
      </c>
      <c r="D291" s="41" t="s">
        <v>659</v>
      </c>
      <c r="F291" t="s">
        <v>5893</v>
      </c>
      <c r="G291" t="s">
        <v>585</v>
      </c>
      <c r="H291" s="1764" t="s">
        <v>659</v>
      </c>
    </row>
    <row r="292" spans="1:8" ht="14.5">
      <c r="A292" s="1152">
        <v>232904</v>
      </c>
      <c r="B292" s="380" t="str">
        <f t="shared" si="4"/>
        <v>232-904</v>
      </c>
      <c r="C292" t="s">
        <v>585</v>
      </c>
      <c r="D292" s="41" t="s">
        <v>659</v>
      </c>
      <c r="F292" t="s">
        <v>2890</v>
      </c>
      <c r="G292" t="s">
        <v>2537</v>
      </c>
      <c r="H292" s="1764" t="s">
        <v>659</v>
      </c>
    </row>
    <row r="293" spans="1:8" ht="14.5">
      <c r="A293" s="1151">
        <v>18904</v>
      </c>
      <c r="B293" s="380" t="str">
        <f t="shared" si="4"/>
        <v>018-904</v>
      </c>
      <c r="C293" t="s">
        <v>2537</v>
      </c>
      <c r="D293" s="41" t="s">
        <v>659</v>
      </c>
      <c r="F293" t="s">
        <v>2949</v>
      </c>
      <c r="G293" t="s">
        <v>2231</v>
      </c>
      <c r="H293" s="1764" t="s">
        <v>659</v>
      </c>
    </row>
    <row r="294" spans="1:8" ht="14.5">
      <c r="A294" s="1151">
        <v>49903</v>
      </c>
      <c r="B294" s="380" t="str">
        <f t="shared" si="4"/>
        <v>049-903</v>
      </c>
      <c r="C294" t="s">
        <v>2231</v>
      </c>
      <c r="D294" s="41" t="s">
        <v>659</v>
      </c>
      <c r="F294" t="s">
        <v>3006</v>
      </c>
      <c r="G294" t="s">
        <v>2232</v>
      </c>
      <c r="H294" s="1764" t="s">
        <v>659</v>
      </c>
    </row>
    <row r="295" spans="1:8" ht="14.5">
      <c r="A295" s="1151">
        <v>91908</v>
      </c>
      <c r="B295" s="380" t="str">
        <f t="shared" si="4"/>
        <v>091-908</v>
      </c>
      <c r="C295" t="s">
        <v>2232</v>
      </c>
      <c r="D295" s="41" t="s">
        <v>659</v>
      </c>
      <c r="F295" t="s">
        <v>3087</v>
      </c>
      <c r="G295" t="s">
        <v>2499</v>
      </c>
      <c r="H295" s="1764" t="s">
        <v>659</v>
      </c>
    </row>
    <row r="296" spans="1:8" ht="14.5">
      <c r="A296" s="1152">
        <v>126908</v>
      </c>
      <c r="B296" s="380" t="str">
        <f t="shared" si="4"/>
        <v>126-908</v>
      </c>
      <c r="C296" t="s">
        <v>2499</v>
      </c>
      <c r="D296" s="41" t="s">
        <v>659</v>
      </c>
      <c r="F296" t="s">
        <v>3224</v>
      </c>
      <c r="G296" t="s">
        <v>2500</v>
      </c>
      <c r="H296" s="1764" t="s">
        <v>659</v>
      </c>
    </row>
    <row r="297" spans="1:8" ht="14.5">
      <c r="A297" s="1152">
        <v>226908</v>
      </c>
      <c r="B297" s="380" t="str">
        <f t="shared" si="4"/>
        <v>226-908</v>
      </c>
      <c r="C297" t="s">
        <v>2500</v>
      </c>
      <c r="D297" s="41" t="s">
        <v>659</v>
      </c>
      <c r="F297" t="s">
        <v>5841</v>
      </c>
      <c r="G297" t="s">
        <v>899</v>
      </c>
      <c r="H297" s="1764" t="s">
        <v>659</v>
      </c>
    </row>
    <row r="298" spans="1:8" ht="14.5">
      <c r="A298" s="1152">
        <v>143904</v>
      </c>
      <c r="B298" s="380" t="str">
        <f t="shared" si="4"/>
        <v>143-904</v>
      </c>
      <c r="C298" t="s">
        <v>899</v>
      </c>
      <c r="D298" s="41" t="s">
        <v>659</v>
      </c>
      <c r="F298" t="s">
        <v>5783</v>
      </c>
      <c r="G298" t="s">
        <v>2472</v>
      </c>
      <c r="H298" s="1764" t="s">
        <v>659</v>
      </c>
    </row>
    <row r="299" spans="1:8" ht="14.5">
      <c r="A299" s="1151">
        <v>59902</v>
      </c>
      <c r="B299" s="380" t="str">
        <f t="shared" si="4"/>
        <v>059-902</v>
      </c>
      <c r="C299" t="s">
        <v>2472</v>
      </c>
      <c r="D299" s="41" t="s">
        <v>659</v>
      </c>
      <c r="F299" t="s">
        <v>3222</v>
      </c>
      <c r="G299" t="s">
        <v>128</v>
      </c>
      <c r="H299" s="1764" t="s">
        <v>659</v>
      </c>
    </row>
    <row r="300" spans="1:8" ht="14.5">
      <c r="A300" s="1152">
        <v>226906</v>
      </c>
      <c r="B300" s="380" t="str">
        <f t="shared" si="4"/>
        <v>226-906</v>
      </c>
      <c r="C300" t="s">
        <v>128</v>
      </c>
      <c r="D300" s="41" t="s">
        <v>659</v>
      </c>
      <c r="F300" t="s">
        <v>3247</v>
      </c>
      <c r="G300" t="s">
        <v>129</v>
      </c>
      <c r="H300" s="1764" t="s">
        <v>659</v>
      </c>
    </row>
    <row r="301" spans="1:8" ht="14.5">
      <c r="A301" s="1152">
        <v>237904</v>
      </c>
      <c r="B301" s="380" t="str">
        <f t="shared" si="4"/>
        <v>237-904</v>
      </c>
      <c r="C301" t="s">
        <v>129</v>
      </c>
      <c r="D301" s="41" t="s">
        <v>659</v>
      </c>
      <c r="F301" t="s">
        <v>5772</v>
      </c>
      <c r="G301" t="s">
        <v>2093</v>
      </c>
      <c r="H301" s="1764" t="s">
        <v>659</v>
      </c>
    </row>
    <row r="302" spans="1:8" ht="14.5">
      <c r="A302" s="1151">
        <v>49908</v>
      </c>
      <c r="B302" s="380" t="str">
        <f t="shared" si="4"/>
        <v>049-908</v>
      </c>
      <c r="C302" t="s">
        <v>2093</v>
      </c>
      <c r="D302" s="41" t="s">
        <v>659</v>
      </c>
      <c r="F302" t="s">
        <v>2978</v>
      </c>
      <c r="G302" t="s">
        <v>130</v>
      </c>
      <c r="H302" s="1764" t="s">
        <v>659</v>
      </c>
    </row>
    <row r="303" spans="1:8" ht="14.5">
      <c r="A303" s="1151">
        <v>70912</v>
      </c>
      <c r="B303" s="380" t="str">
        <f t="shared" si="4"/>
        <v>070-912</v>
      </c>
      <c r="C303" t="s">
        <v>130</v>
      </c>
      <c r="D303" s="41" t="s">
        <v>659</v>
      </c>
      <c r="F303" t="s">
        <v>4975</v>
      </c>
      <c r="G303" t="s">
        <v>2082</v>
      </c>
      <c r="H303" s="1764" t="s">
        <v>659</v>
      </c>
    </row>
    <row r="304" spans="1:8" ht="14.5">
      <c r="A304" s="1151">
        <v>45905</v>
      </c>
      <c r="B304" s="380" t="str">
        <f t="shared" si="4"/>
        <v>045-905</v>
      </c>
      <c r="C304" t="s">
        <v>2082</v>
      </c>
      <c r="D304" s="41" t="s">
        <v>659</v>
      </c>
      <c r="F304" t="s">
        <v>5275</v>
      </c>
      <c r="G304" t="s">
        <v>2211</v>
      </c>
      <c r="H304" s="1764" t="s">
        <v>659</v>
      </c>
    </row>
    <row r="305" spans="1:8" ht="14.5">
      <c r="A305" s="1152">
        <v>223904</v>
      </c>
      <c r="B305" s="380" t="str">
        <f t="shared" si="4"/>
        <v>223-904</v>
      </c>
      <c r="C305" t="s">
        <v>2211</v>
      </c>
      <c r="D305" s="41" t="s">
        <v>659</v>
      </c>
      <c r="F305" t="s">
        <v>4967</v>
      </c>
      <c r="G305" t="s">
        <v>23</v>
      </c>
      <c r="H305" s="1764" t="s">
        <v>659</v>
      </c>
    </row>
    <row r="306" spans="1:8" ht="14.5">
      <c r="A306" s="1151">
        <v>37909</v>
      </c>
      <c r="B306" s="380" t="str">
        <f t="shared" si="4"/>
        <v>037-909</v>
      </c>
      <c r="C306" t="s">
        <v>23</v>
      </c>
      <c r="D306" s="41" t="s">
        <v>659</v>
      </c>
      <c r="F306" t="s">
        <v>5784</v>
      </c>
      <c r="G306" t="s">
        <v>2478</v>
      </c>
      <c r="H306" s="1764" t="s">
        <v>659</v>
      </c>
    </row>
    <row r="307" spans="1:8" ht="14.5">
      <c r="A307" s="1151">
        <v>62905</v>
      </c>
      <c r="B307" s="380" t="str">
        <f t="shared" si="4"/>
        <v>062-905</v>
      </c>
      <c r="C307" t="s">
        <v>2478</v>
      </c>
      <c r="D307" s="41" t="s">
        <v>659</v>
      </c>
      <c r="F307" t="s">
        <v>5302</v>
      </c>
      <c r="G307" t="s">
        <v>1155</v>
      </c>
      <c r="H307" s="1764" t="s">
        <v>659</v>
      </c>
    </row>
    <row r="308" spans="1:8" ht="14.5">
      <c r="A308" s="1152">
        <v>242903</v>
      </c>
      <c r="B308" s="380" t="str">
        <f t="shared" si="4"/>
        <v>242-903</v>
      </c>
      <c r="C308" t="s">
        <v>1155</v>
      </c>
      <c r="D308" s="41" t="s">
        <v>659</v>
      </c>
      <c r="F308" t="s">
        <v>5046</v>
      </c>
      <c r="G308" t="s">
        <v>1558</v>
      </c>
      <c r="H308" s="1764" t="s">
        <v>659</v>
      </c>
    </row>
    <row r="309" spans="1:8" ht="14.5">
      <c r="A309" s="1151">
        <v>91910</v>
      </c>
      <c r="B309" s="380" t="str">
        <f t="shared" si="4"/>
        <v>091-910</v>
      </c>
      <c r="C309" t="s">
        <v>1558</v>
      </c>
      <c r="D309" s="41" t="s">
        <v>659</v>
      </c>
      <c r="F309" t="s">
        <v>5208</v>
      </c>
      <c r="G309" t="s">
        <v>309</v>
      </c>
      <c r="H309" s="1764" t="s">
        <v>659</v>
      </c>
    </row>
    <row r="310" spans="1:8" ht="14.5">
      <c r="A310" s="1152">
        <v>180904</v>
      </c>
      <c r="B310" s="380" t="str">
        <f t="shared" si="4"/>
        <v>180-904</v>
      </c>
      <c r="C310" t="s">
        <v>309</v>
      </c>
      <c r="D310" s="41" t="s">
        <v>659</v>
      </c>
      <c r="F310" t="s">
        <v>5292</v>
      </c>
      <c r="G310" t="s">
        <v>1968</v>
      </c>
      <c r="H310" s="1764" t="s">
        <v>659</v>
      </c>
    </row>
    <row r="311" spans="1:8" ht="14.5">
      <c r="A311" s="1152">
        <v>234907</v>
      </c>
      <c r="B311" s="380" t="str">
        <f t="shared" si="4"/>
        <v>234-907</v>
      </c>
      <c r="C311" t="s">
        <v>1968</v>
      </c>
      <c r="D311" s="41" t="s">
        <v>659</v>
      </c>
      <c r="F311" t="s">
        <v>5084</v>
      </c>
      <c r="G311" t="s">
        <v>153</v>
      </c>
      <c r="H311" s="1764" t="s">
        <v>659</v>
      </c>
    </row>
    <row r="312" spans="1:8" ht="14.5">
      <c r="A312" s="1152">
        <v>105905</v>
      </c>
      <c r="B312" s="380" t="str">
        <f t="shared" si="4"/>
        <v>105-905</v>
      </c>
      <c r="C312" t="s">
        <v>153</v>
      </c>
      <c r="D312" s="41" t="s">
        <v>659</v>
      </c>
      <c r="F312" t="s">
        <v>5309</v>
      </c>
      <c r="G312" t="s">
        <v>1523</v>
      </c>
      <c r="H312" s="1764" t="s">
        <v>659</v>
      </c>
    </row>
    <row r="313" spans="1:8" ht="14.5">
      <c r="A313" s="1152">
        <v>248902</v>
      </c>
      <c r="B313" s="380" t="str">
        <f t="shared" si="4"/>
        <v>248-902</v>
      </c>
      <c r="C313" t="s">
        <v>1523</v>
      </c>
      <c r="D313" s="41" t="s">
        <v>659</v>
      </c>
      <c r="F313" t="s">
        <v>5258</v>
      </c>
      <c r="G313" t="s">
        <v>1886</v>
      </c>
      <c r="H313" s="1764" t="s">
        <v>659</v>
      </c>
    </row>
    <row r="314" spans="1:8" ht="14.5">
      <c r="A314" s="1152">
        <v>212910</v>
      </c>
      <c r="B314" s="380" t="str">
        <f t="shared" si="4"/>
        <v>212-910</v>
      </c>
      <c r="C314" t="s">
        <v>1886</v>
      </c>
      <c r="D314" s="41" t="s">
        <v>659</v>
      </c>
      <c r="F314" t="s">
        <v>3069</v>
      </c>
      <c r="G314" t="s">
        <v>1064</v>
      </c>
      <c r="H314" s="1764" t="s">
        <v>659</v>
      </c>
    </row>
    <row r="315" spans="1:8" ht="14.5">
      <c r="A315" s="1152">
        <v>116909</v>
      </c>
      <c r="B315" s="380" t="str">
        <f t="shared" si="4"/>
        <v>116-909</v>
      </c>
      <c r="C315" t="s">
        <v>1064</v>
      </c>
      <c r="D315" s="41" t="s">
        <v>659</v>
      </c>
      <c r="F315" t="s">
        <v>2939</v>
      </c>
      <c r="G315" t="s">
        <v>1065</v>
      </c>
      <c r="H315" s="1764" t="s">
        <v>659</v>
      </c>
    </row>
    <row r="316" spans="1:8" ht="14.5">
      <c r="A316" s="1152">
        <v>221912</v>
      </c>
      <c r="B316" s="380" t="str">
        <f t="shared" si="4"/>
        <v>221-912</v>
      </c>
      <c r="C316" t="s">
        <v>1065</v>
      </c>
      <c r="D316" s="41" t="s">
        <v>659</v>
      </c>
      <c r="F316" t="s">
        <v>5272</v>
      </c>
      <c r="G316" t="s">
        <v>1065</v>
      </c>
      <c r="H316" s="1764" t="s">
        <v>659</v>
      </c>
    </row>
    <row r="317" spans="1:8" ht="14.5">
      <c r="A317" s="1151">
        <v>43914</v>
      </c>
      <c r="B317" s="380" t="str">
        <f t="shared" si="4"/>
        <v>043-914</v>
      </c>
      <c r="C317" t="s">
        <v>1065</v>
      </c>
      <c r="D317" s="41" t="s">
        <v>659</v>
      </c>
      <c r="F317" t="s">
        <v>5000</v>
      </c>
      <c r="G317" t="s">
        <v>2477</v>
      </c>
      <c r="H317" s="1764" t="s">
        <v>659</v>
      </c>
    </row>
    <row r="318" spans="1:8" ht="14.5">
      <c r="A318" s="1151">
        <v>62904</v>
      </c>
      <c r="B318" s="380" t="str">
        <f t="shared" si="4"/>
        <v>062-904</v>
      </c>
      <c r="C318" t="s">
        <v>2477</v>
      </c>
      <c r="D318" s="41" t="s">
        <v>659</v>
      </c>
    </row>
    <row r="319" spans="1:8">
      <c r="A319"/>
      <c r="B319"/>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E1033"/>
  <sheetViews>
    <sheetView workbookViewId="0">
      <selection activeCell="A2" sqref="A2"/>
    </sheetView>
  </sheetViews>
  <sheetFormatPr defaultRowHeight="13"/>
  <cols>
    <col min="1" max="2" width="11.1796875" style="2402" customWidth="1"/>
    <col min="3" max="3" width="30.453125" style="2402" bestFit="1" customWidth="1"/>
    <col min="4" max="5" width="20.54296875" style="2043" customWidth="1"/>
  </cols>
  <sheetData>
    <row r="1" spans="1:5" s="41" customFormat="1" ht="12.5">
      <c r="A1" s="41" t="s">
        <v>3349</v>
      </c>
      <c r="C1" s="41" t="s">
        <v>7088</v>
      </c>
      <c r="D1" s="186" t="s">
        <v>9424</v>
      </c>
      <c r="E1" s="186" t="s">
        <v>9425</v>
      </c>
    </row>
    <row r="2" spans="1:5" ht="14.5">
      <c r="A2" s="2042" t="s">
        <v>5748</v>
      </c>
      <c r="B2" s="380" t="str">
        <f>CONCATENATE(LEFT(RIGHT(CONCATENATE("000",A2),6),3),"-",(RIGHT(RIGHT(CONCATENATE("000",A2),6),3)))</f>
        <v>001-902</v>
      </c>
      <c r="C2" s="2042" t="s">
        <v>265</v>
      </c>
      <c r="D2" s="2043">
        <v>0</v>
      </c>
      <c r="E2" s="2043">
        <v>0</v>
      </c>
    </row>
    <row r="3" spans="1:5" ht="14.5">
      <c r="A3" s="2042" t="s">
        <v>2849</v>
      </c>
      <c r="B3" s="380" t="str">
        <f t="shared" ref="B3:B66" si="0">CONCATENATE(LEFT(RIGHT(CONCATENATE("000",A3),6),3),"-",(RIGHT(RIGHT(CONCATENATE("000",A3),6),3)))</f>
        <v>001-903</v>
      </c>
      <c r="C3" s="2042" t="s">
        <v>266</v>
      </c>
      <c r="D3" s="2043">
        <v>944800</v>
      </c>
      <c r="E3" s="2043">
        <v>944800</v>
      </c>
    </row>
    <row r="4" spans="1:5" ht="14.5">
      <c r="A4" s="2042" t="s">
        <v>4918</v>
      </c>
      <c r="B4" s="380" t="str">
        <f t="shared" si="0"/>
        <v>001-904</v>
      </c>
      <c r="C4" s="2042" t="s">
        <v>267</v>
      </c>
      <c r="D4" s="2043">
        <v>829524</v>
      </c>
      <c r="E4" s="2043">
        <v>772320</v>
      </c>
    </row>
    <row r="5" spans="1:5" ht="14.5">
      <c r="A5" s="2042" t="s">
        <v>4919</v>
      </c>
      <c r="B5" s="380" t="str">
        <f t="shared" si="0"/>
        <v>001-906</v>
      </c>
      <c r="C5" s="2042" t="s">
        <v>268</v>
      </c>
      <c r="D5" s="2043">
        <v>325962</v>
      </c>
      <c r="E5" s="2043">
        <v>325962</v>
      </c>
    </row>
    <row r="6" spans="1:5" ht="14.5">
      <c r="A6" s="2042" t="s">
        <v>2850</v>
      </c>
      <c r="B6" s="380" t="str">
        <f t="shared" si="0"/>
        <v>001-907</v>
      </c>
      <c r="C6" s="2042" t="s">
        <v>269</v>
      </c>
      <c r="D6" s="2043">
        <v>3829800</v>
      </c>
      <c r="E6" s="2043">
        <v>3829800</v>
      </c>
    </row>
    <row r="7" spans="1:5" ht="14.5">
      <c r="A7" s="2042" t="s">
        <v>5749</v>
      </c>
      <c r="B7" s="380" t="str">
        <f t="shared" si="0"/>
        <v>001-908</v>
      </c>
      <c r="C7" s="2042" t="s">
        <v>1117</v>
      </c>
      <c r="D7" s="2043">
        <v>0</v>
      </c>
      <c r="E7" s="2043">
        <v>0</v>
      </c>
    </row>
    <row r="8" spans="1:5" ht="14.5">
      <c r="A8" s="2042" t="s">
        <v>4920</v>
      </c>
      <c r="B8" s="380" t="str">
        <f t="shared" si="0"/>
        <v>001-909</v>
      </c>
      <c r="C8" s="2042" t="s">
        <v>1118</v>
      </c>
      <c r="D8" s="2043">
        <v>201075</v>
      </c>
      <c r="E8" s="2043">
        <v>201075</v>
      </c>
    </row>
    <row r="9" spans="1:5" ht="14.5">
      <c r="A9" s="2042" t="s">
        <v>4921</v>
      </c>
      <c r="B9" s="380" t="str">
        <f t="shared" si="0"/>
        <v>002-901</v>
      </c>
      <c r="C9" s="2042" t="s">
        <v>1119</v>
      </c>
      <c r="D9" s="2043">
        <v>5197573</v>
      </c>
      <c r="E9" s="2043">
        <v>4372975</v>
      </c>
    </row>
    <row r="10" spans="1:5" ht="14.5">
      <c r="A10" s="2042" t="s">
        <v>2851</v>
      </c>
      <c r="B10" s="380" t="str">
        <f t="shared" si="0"/>
        <v>003-902</v>
      </c>
      <c r="C10" s="2042" t="s">
        <v>2249</v>
      </c>
      <c r="D10" s="2043">
        <v>1464336</v>
      </c>
      <c r="E10" s="2043">
        <v>1464336</v>
      </c>
    </row>
    <row r="11" spans="1:5" ht="14.5">
      <c r="A11" s="2042" t="s">
        <v>4922</v>
      </c>
      <c r="B11" s="380" t="str">
        <f t="shared" si="0"/>
        <v>003-903</v>
      </c>
      <c r="C11" s="2042" t="s">
        <v>1120</v>
      </c>
      <c r="D11" s="2043">
        <v>6726455</v>
      </c>
      <c r="E11" s="2043">
        <v>4720327</v>
      </c>
    </row>
    <row r="12" spans="1:5" ht="14.5">
      <c r="A12" s="2042" t="s">
        <v>2852</v>
      </c>
      <c r="B12" s="380" t="str">
        <f t="shared" si="0"/>
        <v>003-904</v>
      </c>
      <c r="C12" s="2042" t="s">
        <v>1192</v>
      </c>
      <c r="D12" s="2043">
        <v>1296800</v>
      </c>
      <c r="E12" s="2043">
        <v>1296800</v>
      </c>
    </row>
    <row r="13" spans="1:5" ht="14.5">
      <c r="A13" s="2042" t="s">
        <v>2853</v>
      </c>
      <c r="B13" s="380" t="str">
        <f t="shared" si="0"/>
        <v>003-905</v>
      </c>
      <c r="C13" s="2042" t="s">
        <v>1121</v>
      </c>
      <c r="D13" s="2043">
        <v>1211549</v>
      </c>
      <c r="E13" s="2043">
        <v>1310874</v>
      </c>
    </row>
    <row r="14" spans="1:5" ht="14.5">
      <c r="A14" s="2042" t="s">
        <v>4923</v>
      </c>
      <c r="B14" s="380" t="str">
        <f t="shared" si="0"/>
        <v>003-906</v>
      </c>
      <c r="C14" s="2042" t="s">
        <v>1122</v>
      </c>
      <c r="D14" s="2043">
        <v>421113</v>
      </c>
      <c r="E14" s="2043">
        <v>421113</v>
      </c>
    </row>
    <row r="15" spans="1:5" ht="14.5">
      <c r="A15" s="2042" t="s">
        <v>2854</v>
      </c>
      <c r="B15" s="380" t="str">
        <f t="shared" si="0"/>
        <v>003-907</v>
      </c>
      <c r="C15" s="2042" t="s">
        <v>1123</v>
      </c>
      <c r="D15" s="2043">
        <v>727250</v>
      </c>
      <c r="E15" s="2043">
        <v>727250</v>
      </c>
    </row>
    <row r="16" spans="1:5" ht="14.5">
      <c r="A16" s="2042" t="s">
        <v>4924</v>
      </c>
      <c r="B16" s="380" t="str">
        <f t="shared" si="0"/>
        <v>004-901</v>
      </c>
      <c r="C16" s="2042" t="s">
        <v>1124</v>
      </c>
      <c r="D16" s="2043">
        <v>1316554</v>
      </c>
      <c r="E16" s="2043">
        <v>1577013</v>
      </c>
    </row>
    <row r="17" spans="1:5" ht="14.5">
      <c r="A17" s="2042" t="s">
        <v>4925</v>
      </c>
      <c r="B17" s="380" t="str">
        <f t="shared" si="0"/>
        <v>005-901</v>
      </c>
      <c r="C17" s="2042" t="s">
        <v>1125</v>
      </c>
      <c r="D17" s="2043">
        <v>1112662</v>
      </c>
      <c r="E17" s="2043">
        <v>0</v>
      </c>
    </row>
    <row r="18" spans="1:5" ht="14.5">
      <c r="A18" s="2042" t="s">
        <v>4926</v>
      </c>
      <c r="B18" s="380" t="str">
        <f t="shared" si="0"/>
        <v>005-902</v>
      </c>
      <c r="C18" s="2042" t="s">
        <v>1126</v>
      </c>
      <c r="D18" s="2043">
        <v>1255010</v>
      </c>
      <c r="E18" s="2043">
        <v>1255010</v>
      </c>
    </row>
    <row r="19" spans="1:5" ht="14.5">
      <c r="A19" s="2042" t="s">
        <v>2855</v>
      </c>
      <c r="B19" s="380" t="str">
        <f t="shared" si="0"/>
        <v>005-904</v>
      </c>
      <c r="C19" s="2042" t="s">
        <v>1061</v>
      </c>
      <c r="D19" s="2043">
        <v>0</v>
      </c>
      <c r="E19" s="2043">
        <v>165592</v>
      </c>
    </row>
    <row r="20" spans="1:5" ht="14.5">
      <c r="A20" s="2042" t="s">
        <v>4927</v>
      </c>
      <c r="B20" s="380" t="str">
        <f t="shared" si="0"/>
        <v>006-902</v>
      </c>
      <c r="C20" s="2042" t="s">
        <v>1127</v>
      </c>
      <c r="D20" s="2043">
        <v>139125</v>
      </c>
      <c r="E20" s="2043">
        <v>139125</v>
      </c>
    </row>
    <row r="21" spans="1:5" ht="14.5">
      <c r="A21" s="2042" t="s">
        <v>2856</v>
      </c>
      <c r="B21" s="380" t="str">
        <f t="shared" si="0"/>
        <v>007-901</v>
      </c>
      <c r="C21" s="2042" t="s">
        <v>620</v>
      </c>
      <c r="D21" s="2043">
        <v>396082</v>
      </c>
      <c r="E21" s="2043">
        <v>412564</v>
      </c>
    </row>
    <row r="22" spans="1:5" ht="14.5">
      <c r="A22" s="2042" t="s">
        <v>5750</v>
      </c>
      <c r="B22" s="380" t="str">
        <f t="shared" si="0"/>
        <v>007-902</v>
      </c>
      <c r="C22" s="2042" t="s">
        <v>1128</v>
      </c>
      <c r="D22" s="2043">
        <v>1874246</v>
      </c>
      <c r="E22" s="2043">
        <v>0</v>
      </c>
    </row>
    <row r="23" spans="1:5" ht="14.5">
      <c r="A23" s="2042" t="s">
        <v>2857</v>
      </c>
      <c r="B23" s="380" t="str">
        <f t="shared" si="0"/>
        <v>007-904</v>
      </c>
      <c r="C23" s="2042" t="s">
        <v>1129</v>
      </c>
      <c r="D23" s="2043">
        <v>1657241</v>
      </c>
      <c r="E23" s="2043">
        <v>1166541</v>
      </c>
    </row>
    <row r="24" spans="1:5" ht="14.5">
      <c r="A24" s="2042" t="s">
        <v>2858</v>
      </c>
      <c r="B24" s="380" t="str">
        <f t="shared" si="0"/>
        <v>007-905</v>
      </c>
      <c r="C24" s="2042" t="s">
        <v>947</v>
      </c>
      <c r="D24" s="2043">
        <v>4485200</v>
      </c>
      <c r="E24" s="2043">
        <v>4690550</v>
      </c>
    </row>
    <row r="25" spans="1:5" ht="14.5">
      <c r="A25" s="2042" t="s">
        <v>2859</v>
      </c>
      <c r="B25" s="380" t="str">
        <f t="shared" si="0"/>
        <v>007-906</v>
      </c>
      <c r="C25" s="2042" t="s">
        <v>950</v>
      </c>
      <c r="D25" s="2043">
        <v>1962875</v>
      </c>
      <c r="E25" s="2043">
        <v>2039970</v>
      </c>
    </row>
    <row r="26" spans="1:5" ht="14.5">
      <c r="A26" s="2042" t="s">
        <v>4928</v>
      </c>
      <c r="B26" s="380" t="str">
        <f t="shared" si="0"/>
        <v>008-901</v>
      </c>
      <c r="C26" s="2042" t="s">
        <v>1130</v>
      </c>
      <c r="D26" s="2043">
        <v>1451048</v>
      </c>
      <c r="E26" s="2043">
        <v>1486179</v>
      </c>
    </row>
    <row r="27" spans="1:5" ht="14.5">
      <c r="A27" s="2042" t="s">
        <v>4929</v>
      </c>
      <c r="B27" s="380" t="str">
        <f t="shared" si="0"/>
        <v>008-902</v>
      </c>
      <c r="C27" s="2042" t="s">
        <v>1131</v>
      </c>
      <c r="D27" s="2043">
        <v>4065450</v>
      </c>
      <c r="E27" s="2043">
        <v>2476768</v>
      </c>
    </row>
    <row r="28" spans="1:5" ht="14.5">
      <c r="A28" s="2042" t="s">
        <v>4930</v>
      </c>
      <c r="B28" s="380" t="str">
        <f t="shared" si="0"/>
        <v>008-903</v>
      </c>
      <c r="C28" s="2042" t="s">
        <v>1132</v>
      </c>
      <c r="D28" s="2043">
        <v>1033073</v>
      </c>
      <c r="E28" s="2043">
        <v>1033073</v>
      </c>
    </row>
    <row r="29" spans="1:5" ht="14.5">
      <c r="A29" s="2042" t="s">
        <v>2860</v>
      </c>
      <c r="B29" s="380" t="str">
        <f t="shared" si="0"/>
        <v>009-901</v>
      </c>
      <c r="C29" s="2042" t="s">
        <v>1133</v>
      </c>
      <c r="D29" s="2043">
        <v>1341598</v>
      </c>
      <c r="E29" s="2043">
        <v>1341598</v>
      </c>
    </row>
    <row r="30" spans="1:5" ht="14.5">
      <c r="A30" s="2042" t="s">
        <v>5751</v>
      </c>
      <c r="B30" s="380" t="str">
        <f t="shared" si="0"/>
        <v>010-901</v>
      </c>
      <c r="C30" s="2042" t="s">
        <v>1134</v>
      </c>
      <c r="D30" s="2043">
        <v>411850</v>
      </c>
      <c r="E30" s="2043">
        <v>0</v>
      </c>
    </row>
    <row r="31" spans="1:5" ht="14.5">
      <c r="A31" s="2042" t="s">
        <v>2861</v>
      </c>
      <c r="B31" s="380" t="str">
        <f t="shared" si="0"/>
        <v>010-902</v>
      </c>
      <c r="C31" s="2042" t="s">
        <v>2002</v>
      </c>
      <c r="D31" s="2043">
        <v>1597425</v>
      </c>
      <c r="E31" s="2043">
        <v>1597425</v>
      </c>
    </row>
    <row r="32" spans="1:5" ht="14.5">
      <c r="A32" s="2042" t="s">
        <v>2862</v>
      </c>
      <c r="B32" s="380" t="str">
        <f t="shared" si="0"/>
        <v>011-901</v>
      </c>
      <c r="C32" s="2042" t="s">
        <v>2004</v>
      </c>
      <c r="D32" s="2043">
        <v>12166244</v>
      </c>
      <c r="E32" s="2043">
        <v>13160206</v>
      </c>
    </row>
    <row r="33" spans="1:5" ht="14.5">
      <c r="A33" s="2042" t="s">
        <v>2863</v>
      </c>
      <c r="B33" s="380" t="str">
        <f t="shared" si="0"/>
        <v>011-902</v>
      </c>
      <c r="C33" s="2042" t="s">
        <v>843</v>
      </c>
      <c r="D33" s="2043">
        <v>6177825</v>
      </c>
      <c r="E33" s="2043">
        <v>6177825</v>
      </c>
    </row>
    <row r="34" spans="1:5" ht="14.5">
      <c r="A34" s="2042" t="s">
        <v>2864</v>
      </c>
      <c r="B34" s="380" t="str">
        <f t="shared" si="0"/>
        <v>011-904</v>
      </c>
      <c r="C34" s="2042" t="s">
        <v>1821</v>
      </c>
      <c r="D34" s="2043">
        <v>2287600</v>
      </c>
      <c r="E34" s="2043">
        <v>1035600</v>
      </c>
    </row>
    <row r="35" spans="1:5" ht="14.5">
      <c r="A35" s="2042" t="s">
        <v>2865</v>
      </c>
      <c r="B35" s="380" t="str">
        <f t="shared" si="0"/>
        <v>011-905</v>
      </c>
      <c r="C35" s="2042" t="s">
        <v>772</v>
      </c>
      <c r="D35" s="2043">
        <v>82301</v>
      </c>
      <c r="E35" s="2043">
        <v>82301</v>
      </c>
    </row>
    <row r="36" spans="1:5" ht="14.5">
      <c r="A36" s="2042" t="s">
        <v>5752</v>
      </c>
      <c r="B36" s="380" t="str">
        <f t="shared" si="0"/>
        <v>012-901</v>
      </c>
      <c r="C36" s="2042" t="s">
        <v>1135</v>
      </c>
      <c r="D36" s="2043">
        <v>261000</v>
      </c>
      <c r="E36" s="2043">
        <v>0</v>
      </c>
    </row>
    <row r="37" spans="1:5" ht="14.5">
      <c r="A37" s="2042" t="s">
        <v>2866</v>
      </c>
      <c r="B37" s="380" t="str">
        <f t="shared" si="0"/>
        <v>013-901</v>
      </c>
      <c r="C37" s="2042" t="s">
        <v>2005</v>
      </c>
      <c r="D37" s="2043">
        <v>1652750</v>
      </c>
      <c r="E37" s="2043">
        <v>1652750</v>
      </c>
    </row>
    <row r="38" spans="1:5" ht="14.5">
      <c r="A38" s="2042" t="s">
        <v>4931</v>
      </c>
      <c r="B38" s="380" t="str">
        <f t="shared" si="0"/>
        <v>013-902</v>
      </c>
      <c r="C38" s="2042" t="s">
        <v>1136</v>
      </c>
      <c r="D38" s="2043">
        <v>756786</v>
      </c>
      <c r="E38" s="2043">
        <v>756786</v>
      </c>
    </row>
    <row r="39" spans="1:5" ht="14.5">
      <c r="A39" s="2042" t="s">
        <v>4932</v>
      </c>
      <c r="B39" s="380" t="str">
        <f t="shared" si="0"/>
        <v>013-903</v>
      </c>
      <c r="C39" s="2042" t="s">
        <v>1137</v>
      </c>
      <c r="D39" s="2043">
        <v>1772088</v>
      </c>
      <c r="E39" s="2043">
        <v>554188</v>
      </c>
    </row>
    <row r="40" spans="1:5" ht="14.5">
      <c r="A40" s="2042" t="s">
        <v>2867</v>
      </c>
      <c r="B40" s="380" t="str">
        <f t="shared" si="0"/>
        <v>013-905</v>
      </c>
      <c r="C40" s="2042" t="s">
        <v>1725</v>
      </c>
      <c r="D40" s="2043">
        <v>689575</v>
      </c>
      <c r="E40" s="2043">
        <v>689575</v>
      </c>
    </row>
    <row r="41" spans="1:5" ht="14.5">
      <c r="A41" s="2042" t="s">
        <v>4933</v>
      </c>
      <c r="B41" s="380" t="str">
        <f t="shared" si="0"/>
        <v>014-901</v>
      </c>
      <c r="C41" s="2042" t="s">
        <v>1138</v>
      </c>
      <c r="D41" s="2043">
        <v>1276641</v>
      </c>
      <c r="E41" s="2043">
        <v>1191462</v>
      </c>
    </row>
    <row r="42" spans="1:5" ht="14.5">
      <c r="A42" s="2042" t="s">
        <v>2868</v>
      </c>
      <c r="B42" s="380" t="str">
        <f t="shared" si="0"/>
        <v>014-902</v>
      </c>
      <c r="C42" s="2042" t="s">
        <v>2003</v>
      </c>
      <c r="D42" s="2043">
        <v>166683</v>
      </c>
      <c r="E42" s="2043">
        <v>166683</v>
      </c>
    </row>
    <row r="43" spans="1:5" ht="14.5">
      <c r="A43" s="2042" t="s">
        <v>2869</v>
      </c>
      <c r="B43" s="380" t="str">
        <f t="shared" si="0"/>
        <v>014-903</v>
      </c>
      <c r="C43" s="2042" t="s">
        <v>2533</v>
      </c>
      <c r="D43" s="2043">
        <v>15565957</v>
      </c>
      <c r="E43" s="2043">
        <v>8883007</v>
      </c>
    </row>
    <row r="44" spans="1:5" ht="14.5">
      <c r="A44" s="2042" t="s">
        <v>2870</v>
      </c>
      <c r="B44" s="380" t="str">
        <f t="shared" si="0"/>
        <v>014-905</v>
      </c>
      <c r="C44" s="2042" t="s">
        <v>2244</v>
      </c>
      <c r="D44" s="2043">
        <v>694400</v>
      </c>
      <c r="E44" s="2043">
        <v>473312</v>
      </c>
    </row>
    <row r="45" spans="1:5" ht="14.5">
      <c r="A45" s="2042" t="s">
        <v>2871</v>
      </c>
      <c r="B45" s="380" t="str">
        <f t="shared" si="0"/>
        <v>014-906</v>
      </c>
      <c r="C45" s="2042" t="s">
        <v>2378</v>
      </c>
      <c r="D45" s="2043">
        <v>26247350</v>
      </c>
      <c r="E45" s="2043">
        <v>5558368</v>
      </c>
    </row>
    <row r="46" spans="1:5" ht="14.5">
      <c r="A46" s="2042" t="s">
        <v>2872</v>
      </c>
      <c r="B46" s="380" t="str">
        <f t="shared" si="0"/>
        <v>014-907</v>
      </c>
      <c r="C46" s="2042" t="s">
        <v>1317</v>
      </c>
      <c r="D46" s="2043">
        <v>729200</v>
      </c>
      <c r="E46" s="2043">
        <v>271200</v>
      </c>
    </row>
    <row r="47" spans="1:5" ht="14.5">
      <c r="A47" s="2042" t="s">
        <v>2873</v>
      </c>
      <c r="B47" s="380" t="str">
        <f t="shared" si="0"/>
        <v>014-908</v>
      </c>
      <c r="C47" s="2042" t="s">
        <v>1912</v>
      </c>
      <c r="D47" s="2043">
        <v>1241426</v>
      </c>
      <c r="E47" s="2043">
        <v>1241426</v>
      </c>
    </row>
    <row r="48" spans="1:5" ht="14.5">
      <c r="A48" s="2042" t="s">
        <v>2874</v>
      </c>
      <c r="B48" s="380" t="str">
        <f t="shared" si="0"/>
        <v>014-909</v>
      </c>
      <c r="C48" s="2042" t="s">
        <v>566</v>
      </c>
      <c r="D48" s="2043">
        <v>10996925</v>
      </c>
      <c r="E48" s="2043">
        <v>5752947</v>
      </c>
    </row>
    <row r="49" spans="1:5" ht="14.5">
      <c r="A49" s="2042" t="s">
        <v>2875</v>
      </c>
      <c r="B49" s="380" t="str">
        <f t="shared" si="0"/>
        <v>014-910</v>
      </c>
      <c r="C49" s="2042" t="s">
        <v>2187</v>
      </c>
      <c r="D49" s="2043">
        <v>2010872</v>
      </c>
      <c r="E49" s="2043">
        <v>1102222</v>
      </c>
    </row>
    <row r="50" spans="1:5" ht="14.5">
      <c r="A50" s="2042" t="s">
        <v>4934</v>
      </c>
      <c r="B50" s="380" t="str">
        <f t="shared" si="0"/>
        <v>015-901</v>
      </c>
      <c r="C50" s="2042" t="s">
        <v>2156</v>
      </c>
      <c r="D50" s="2043">
        <v>13958765</v>
      </c>
      <c r="E50" s="2043">
        <v>7949371</v>
      </c>
    </row>
    <row r="51" spans="1:5" ht="14.5">
      <c r="A51" s="2042" t="s">
        <v>2876</v>
      </c>
      <c r="B51" s="380" t="str">
        <f t="shared" si="0"/>
        <v>015-904</v>
      </c>
      <c r="C51" s="2042" t="s">
        <v>683</v>
      </c>
      <c r="D51" s="2043">
        <v>13133045</v>
      </c>
      <c r="E51" s="2043">
        <v>16029329</v>
      </c>
    </row>
    <row r="52" spans="1:5" ht="14.5">
      <c r="A52" s="2042" t="s">
        <v>2877</v>
      </c>
      <c r="B52" s="380" t="str">
        <f t="shared" si="0"/>
        <v>015-905</v>
      </c>
      <c r="C52" s="2042" t="s">
        <v>841</v>
      </c>
      <c r="D52" s="2043">
        <v>6529121</v>
      </c>
      <c r="E52" s="2043">
        <v>6529121</v>
      </c>
    </row>
    <row r="53" spans="1:5" ht="14.5">
      <c r="A53" s="2042" t="s">
        <v>7351</v>
      </c>
      <c r="B53" s="380" t="str">
        <f t="shared" si="0"/>
        <v>015-906</v>
      </c>
      <c r="C53" s="2042" t="s">
        <v>968</v>
      </c>
      <c r="D53" s="2043">
        <v>0</v>
      </c>
      <c r="E53" s="2043">
        <v>0</v>
      </c>
    </row>
    <row r="54" spans="1:5" ht="14.5">
      <c r="A54" s="2042" t="s">
        <v>2878</v>
      </c>
      <c r="B54" s="380" t="str">
        <f t="shared" si="0"/>
        <v>015-907</v>
      </c>
      <c r="C54" s="2042" t="s">
        <v>1915</v>
      </c>
      <c r="D54" s="2043">
        <v>63859389</v>
      </c>
      <c r="E54" s="2043">
        <v>55040051</v>
      </c>
    </row>
    <row r="55" spans="1:5" ht="14.5">
      <c r="A55" s="2042" t="s">
        <v>2879</v>
      </c>
      <c r="B55" s="380" t="str">
        <f t="shared" si="0"/>
        <v>015-908</v>
      </c>
      <c r="C55" s="2042" t="s">
        <v>1825</v>
      </c>
      <c r="D55" s="2043">
        <v>12319114</v>
      </c>
      <c r="E55" s="2043">
        <v>12413735</v>
      </c>
    </row>
    <row r="56" spans="1:5" ht="14.5">
      <c r="A56" s="2042" t="s">
        <v>2880</v>
      </c>
      <c r="B56" s="380" t="str">
        <f t="shared" si="0"/>
        <v>015-909</v>
      </c>
      <c r="C56" s="2042" t="s">
        <v>1824</v>
      </c>
      <c r="D56" s="2043">
        <v>2451844</v>
      </c>
      <c r="E56" s="2043">
        <v>2529854</v>
      </c>
    </row>
    <row r="57" spans="1:5" ht="14.5">
      <c r="A57" s="2042" t="s">
        <v>2881</v>
      </c>
      <c r="B57" s="380" t="str">
        <f t="shared" si="0"/>
        <v>015-910</v>
      </c>
      <c r="C57" s="2042" t="s">
        <v>2163</v>
      </c>
      <c r="D57" s="2043">
        <v>99650878</v>
      </c>
      <c r="E57" s="2043">
        <v>94349255</v>
      </c>
    </row>
    <row r="58" spans="1:5" ht="14.5">
      <c r="A58" s="2042" t="s">
        <v>2882</v>
      </c>
      <c r="B58" s="380" t="str">
        <f t="shared" si="0"/>
        <v>015-911</v>
      </c>
      <c r="C58" s="2042" t="s">
        <v>1008</v>
      </c>
      <c r="D58" s="2043">
        <v>9499043</v>
      </c>
      <c r="E58" s="2043">
        <v>4603350</v>
      </c>
    </row>
    <row r="59" spans="1:5" ht="14.5">
      <c r="A59" s="2042" t="s">
        <v>2883</v>
      </c>
      <c r="B59" s="380" t="str">
        <f t="shared" si="0"/>
        <v>015-912</v>
      </c>
      <c r="C59" s="2042" t="s">
        <v>1827</v>
      </c>
      <c r="D59" s="2043">
        <v>19746962</v>
      </c>
      <c r="E59" s="2043">
        <v>15378061</v>
      </c>
    </row>
    <row r="60" spans="1:5" ht="14.5">
      <c r="A60" s="2042" t="s">
        <v>7352</v>
      </c>
      <c r="B60" s="380" t="str">
        <f t="shared" si="0"/>
        <v>015-913</v>
      </c>
      <c r="C60" s="2042" t="s">
        <v>969</v>
      </c>
      <c r="D60" s="2043">
        <v>0</v>
      </c>
      <c r="E60" s="2043">
        <v>0</v>
      </c>
    </row>
    <row r="61" spans="1:5" ht="14.5">
      <c r="A61" s="2042" t="s">
        <v>7353</v>
      </c>
      <c r="B61" s="380" t="str">
        <f t="shared" si="0"/>
        <v>015-914</v>
      </c>
      <c r="C61" s="2042" t="s">
        <v>970</v>
      </c>
      <c r="D61" s="2043">
        <v>0</v>
      </c>
      <c r="E61" s="2043">
        <v>0</v>
      </c>
    </row>
    <row r="62" spans="1:5" ht="14.5">
      <c r="A62" s="2042" t="s">
        <v>2884</v>
      </c>
      <c r="B62" s="380" t="str">
        <f t="shared" si="0"/>
        <v>015-915</v>
      </c>
      <c r="C62" s="2042" t="s">
        <v>2165</v>
      </c>
      <c r="D62" s="2043">
        <v>152739332</v>
      </c>
      <c r="E62" s="2043">
        <v>139458745</v>
      </c>
    </row>
    <row r="63" spans="1:5" ht="14.5">
      <c r="A63" s="2042" t="s">
        <v>2885</v>
      </c>
      <c r="B63" s="380" t="str">
        <f t="shared" si="0"/>
        <v>015-916</v>
      </c>
      <c r="C63" s="2042" t="s">
        <v>386</v>
      </c>
      <c r="D63" s="2043">
        <v>37832920</v>
      </c>
      <c r="E63" s="2043">
        <v>30516582</v>
      </c>
    </row>
    <row r="64" spans="1:5" ht="14.5">
      <c r="A64" s="2042" t="s">
        <v>2886</v>
      </c>
      <c r="B64" s="380" t="str">
        <f t="shared" si="0"/>
        <v>015-917</v>
      </c>
      <c r="C64" s="2042" t="s">
        <v>1826</v>
      </c>
      <c r="D64" s="2043">
        <v>5995726</v>
      </c>
      <c r="E64" s="2043">
        <v>3711275</v>
      </c>
    </row>
    <row r="65" spans="1:5" ht="14.5">
      <c r="A65" s="2042" t="s">
        <v>4935</v>
      </c>
      <c r="B65" s="380" t="str">
        <f t="shared" si="0"/>
        <v>016-901</v>
      </c>
      <c r="C65" s="2042" t="s">
        <v>2157</v>
      </c>
      <c r="D65" s="2043">
        <v>2017875</v>
      </c>
      <c r="E65" s="2043">
        <v>595825</v>
      </c>
    </row>
    <row r="66" spans="1:5" ht="14.5">
      <c r="A66" s="2042" t="s">
        <v>2887</v>
      </c>
      <c r="B66" s="380" t="str">
        <f t="shared" si="0"/>
        <v>016-902</v>
      </c>
      <c r="C66" s="2042" t="s">
        <v>753</v>
      </c>
      <c r="D66" s="2043">
        <v>1497219</v>
      </c>
      <c r="E66" s="2043">
        <v>1031738</v>
      </c>
    </row>
    <row r="67" spans="1:5" ht="14.5">
      <c r="A67" s="2042" t="s">
        <v>4936</v>
      </c>
      <c r="B67" s="380" t="str">
        <f t="shared" ref="B67:B130" si="1">CONCATENATE(LEFT(RIGHT(CONCATENATE("000",A67),6),3),"-",(RIGHT(RIGHT(CONCATENATE("000",A67),6),3)))</f>
        <v>017-901</v>
      </c>
      <c r="C67" s="2042" t="s">
        <v>2158</v>
      </c>
      <c r="D67" s="2043">
        <v>0</v>
      </c>
      <c r="E67" s="2043">
        <v>1174713</v>
      </c>
    </row>
    <row r="68" spans="1:5" ht="14.5">
      <c r="A68" s="2042" t="s">
        <v>2888</v>
      </c>
      <c r="B68" s="380" t="str">
        <f t="shared" si="1"/>
        <v>018-901</v>
      </c>
      <c r="C68" s="2042" t="s">
        <v>1095</v>
      </c>
      <c r="D68" s="2043">
        <v>1590006</v>
      </c>
      <c r="E68" s="2043">
        <v>0</v>
      </c>
    </row>
    <row r="69" spans="1:5" ht="14.5">
      <c r="A69" s="2042" t="s">
        <v>2889</v>
      </c>
      <c r="B69" s="380" t="str">
        <f t="shared" si="1"/>
        <v>018-902</v>
      </c>
      <c r="C69" s="2042" t="s">
        <v>2535</v>
      </c>
      <c r="D69" s="2043">
        <v>482262</v>
      </c>
      <c r="E69" s="2043">
        <v>482262</v>
      </c>
    </row>
    <row r="70" spans="1:5" ht="14.5">
      <c r="A70" s="2042" t="s">
        <v>5753</v>
      </c>
      <c r="B70" s="380" t="str">
        <f t="shared" si="1"/>
        <v>018-903</v>
      </c>
      <c r="C70" s="2042" t="s">
        <v>2536</v>
      </c>
      <c r="D70" s="2043">
        <v>0</v>
      </c>
      <c r="E70" s="2043">
        <v>0</v>
      </c>
    </row>
    <row r="71" spans="1:5" ht="14.5">
      <c r="A71" s="2042" t="s">
        <v>2890</v>
      </c>
      <c r="B71" s="380" t="str">
        <f t="shared" si="1"/>
        <v>018-904</v>
      </c>
      <c r="C71" s="2042" t="s">
        <v>2537</v>
      </c>
      <c r="D71" s="2043">
        <v>883038</v>
      </c>
      <c r="E71" s="2043">
        <v>478988</v>
      </c>
    </row>
    <row r="72" spans="1:5" ht="14.5">
      <c r="A72" s="2042" t="s">
        <v>3522</v>
      </c>
      <c r="B72" s="380" t="str">
        <f t="shared" si="1"/>
        <v>018-905</v>
      </c>
      <c r="C72" s="2042" t="s">
        <v>1911</v>
      </c>
      <c r="D72" s="2043">
        <v>0</v>
      </c>
      <c r="E72" s="2043">
        <v>0</v>
      </c>
    </row>
    <row r="73" spans="1:5" ht="14.5">
      <c r="A73" s="2042" t="s">
        <v>4937</v>
      </c>
      <c r="B73" s="380" t="str">
        <f t="shared" si="1"/>
        <v>018-906</v>
      </c>
      <c r="C73" s="2042" t="s">
        <v>2538</v>
      </c>
      <c r="D73" s="2043">
        <v>268350</v>
      </c>
      <c r="E73" s="2043">
        <v>0</v>
      </c>
    </row>
    <row r="74" spans="1:5" ht="14.5">
      <c r="A74" s="2042" t="s">
        <v>4938</v>
      </c>
      <c r="B74" s="380" t="str">
        <f t="shared" si="1"/>
        <v>018-907</v>
      </c>
      <c r="C74" s="2042" t="s">
        <v>2539</v>
      </c>
      <c r="D74" s="2043">
        <v>0</v>
      </c>
      <c r="E74" s="2043">
        <v>0</v>
      </c>
    </row>
    <row r="75" spans="1:5" ht="14.5">
      <c r="A75" s="2042" t="s">
        <v>5754</v>
      </c>
      <c r="B75" s="380" t="str">
        <f t="shared" si="1"/>
        <v>018-908</v>
      </c>
      <c r="C75" s="2042" t="s">
        <v>2540</v>
      </c>
      <c r="D75" s="2043">
        <v>0</v>
      </c>
      <c r="E75" s="2043">
        <v>0</v>
      </c>
    </row>
    <row r="76" spans="1:5" ht="14.5">
      <c r="A76" s="2042" t="s">
        <v>8503</v>
      </c>
      <c r="B76" s="380" t="str">
        <f t="shared" si="1"/>
        <v>019-000</v>
      </c>
      <c r="C76" s="2042" t="s">
        <v>8267</v>
      </c>
      <c r="D76" s="2043">
        <v>0</v>
      </c>
      <c r="E76" s="2043">
        <v>0</v>
      </c>
    </row>
    <row r="77" spans="1:5" ht="14.5">
      <c r="A77" s="2042" t="s">
        <v>3524</v>
      </c>
      <c r="B77" s="380" t="str">
        <f t="shared" si="1"/>
        <v>019-901</v>
      </c>
      <c r="C77" s="2042" t="s">
        <v>2519</v>
      </c>
      <c r="D77" s="2043">
        <v>0</v>
      </c>
      <c r="E77" s="2043">
        <v>0</v>
      </c>
    </row>
    <row r="78" spans="1:5" ht="14.5">
      <c r="A78" s="2042" t="s">
        <v>2891</v>
      </c>
      <c r="B78" s="380" t="str">
        <f t="shared" si="1"/>
        <v>019-902</v>
      </c>
      <c r="C78" s="2042" t="s">
        <v>2246</v>
      </c>
      <c r="D78" s="2043">
        <v>653812</v>
      </c>
      <c r="E78" s="2043">
        <v>694486</v>
      </c>
    </row>
    <row r="79" spans="1:5" ht="14.5">
      <c r="A79" s="2042" t="s">
        <v>2892</v>
      </c>
      <c r="B79" s="380" t="str">
        <f t="shared" si="1"/>
        <v>019-903</v>
      </c>
      <c r="C79" s="2042" t="s">
        <v>1954</v>
      </c>
      <c r="D79" s="2043">
        <v>63510</v>
      </c>
      <c r="E79" s="2043">
        <v>63510</v>
      </c>
    </row>
    <row r="80" spans="1:5" ht="14.5">
      <c r="A80" s="2042" t="s">
        <v>2893</v>
      </c>
      <c r="B80" s="380" t="str">
        <f t="shared" si="1"/>
        <v>019-905</v>
      </c>
      <c r="C80" s="2042" t="s">
        <v>1313</v>
      </c>
      <c r="D80" s="2043">
        <v>957730</v>
      </c>
      <c r="E80" s="2043">
        <v>1040508</v>
      </c>
    </row>
    <row r="81" spans="1:5" ht="14.5">
      <c r="A81" s="2042" t="s">
        <v>4939</v>
      </c>
      <c r="B81" s="380" t="str">
        <f t="shared" si="1"/>
        <v>019-906</v>
      </c>
      <c r="C81" s="2042" t="s">
        <v>1314</v>
      </c>
      <c r="D81" s="2043">
        <v>662800</v>
      </c>
      <c r="E81" s="2043">
        <v>0</v>
      </c>
    </row>
    <row r="82" spans="1:5" ht="14.5">
      <c r="A82" s="2042" t="s">
        <v>4940</v>
      </c>
      <c r="B82" s="380" t="str">
        <f t="shared" si="1"/>
        <v>019-907</v>
      </c>
      <c r="C82" s="2042" t="s">
        <v>1315</v>
      </c>
      <c r="D82" s="2043">
        <v>5277494</v>
      </c>
      <c r="E82" s="2043">
        <v>5277494</v>
      </c>
    </row>
    <row r="83" spans="1:5" ht="14.5">
      <c r="A83" s="2042" t="s">
        <v>4941</v>
      </c>
      <c r="B83" s="380" t="str">
        <f t="shared" si="1"/>
        <v>019-908</v>
      </c>
      <c r="C83" s="2042" t="s">
        <v>2346</v>
      </c>
      <c r="D83" s="2043">
        <v>1381462</v>
      </c>
      <c r="E83" s="2043">
        <v>428700</v>
      </c>
    </row>
    <row r="84" spans="1:5" ht="14.5">
      <c r="A84" s="2042" t="s">
        <v>2894</v>
      </c>
      <c r="B84" s="380" t="str">
        <f t="shared" si="1"/>
        <v>019-909</v>
      </c>
      <c r="C84" s="2042" t="s">
        <v>252</v>
      </c>
      <c r="D84" s="2043">
        <v>118450</v>
      </c>
      <c r="E84" s="2043">
        <v>118450</v>
      </c>
    </row>
    <row r="85" spans="1:5" ht="14.5">
      <c r="A85" s="2042" t="s">
        <v>2895</v>
      </c>
      <c r="B85" s="380" t="str">
        <f t="shared" si="1"/>
        <v>019-910</v>
      </c>
      <c r="C85" s="2042" t="s">
        <v>274</v>
      </c>
      <c r="D85" s="2043">
        <v>69706</v>
      </c>
      <c r="E85" s="2043">
        <v>69706</v>
      </c>
    </row>
    <row r="86" spans="1:5" ht="14.5">
      <c r="A86" s="2042" t="s">
        <v>4942</v>
      </c>
      <c r="B86" s="380" t="str">
        <f t="shared" si="1"/>
        <v>019-911</v>
      </c>
      <c r="C86" s="2042" t="s">
        <v>2347</v>
      </c>
      <c r="D86" s="2043">
        <v>329362</v>
      </c>
      <c r="E86" s="2043">
        <v>329362</v>
      </c>
    </row>
    <row r="87" spans="1:5" ht="14.5">
      <c r="A87" s="2042" t="s">
        <v>4943</v>
      </c>
      <c r="B87" s="380" t="str">
        <f t="shared" si="1"/>
        <v>019-912</v>
      </c>
      <c r="C87" s="2042" t="s">
        <v>2348</v>
      </c>
      <c r="D87" s="2043">
        <v>3116844</v>
      </c>
      <c r="E87" s="2043">
        <v>2629494</v>
      </c>
    </row>
    <row r="88" spans="1:5" ht="14.5">
      <c r="A88" s="2042" t="s">
        <v>5755</v>
      </c>
      <c r="B88" s="380" t="str">
        <f t="shared" si="1"/>
        <v>019-913</v>
      </c>
      <c r="C88" s="2042" t="s">
        <v>2248</v>
      </c>
      <c r="D88" s="2043">
        <v>0</v>
      </c>
      <c r="E88" s="2043">
        <v>0</v>
      </c>
    </row>
    <row r="89" spans="1:5" ht="14.5">
      <c r="A89" s="2042" t="s">
        <v>5756</v>
      </c>
      <c r="B89" s="380" t="str">
        <f t="shared" si="1"/>
        <v>019-914</v>
      </c>
      <c r="C89" s="2042" t="s">
        <v>2349</v>
      </c>
      <c r="D89" s="2043">
        <v>0</v>
      </c>
      <c r="E89" s="2043">
        <v>0</v>
      </c>
    </row>
    <row r="90" spans="1:5" ht="14.5">
      <c r="A90" s="2042" t="s">
        <v>2896</v>
      </c>
      <c r="B90" s="380" t="str">
        <f t="shared" si="1"/>
        <v>020-901</v>
      </c>
      <c r="C90" s="2042" t="s">
        <v>996</v>
      </c>
      <c r="D90" s="2043">
        <v>45793558</v>
      </c>
      <c r="E90" s="2043">
        <v>33564639</v>
      </c>
    </row>
    <row r="91" spans="1:5" ht="14.5">
      <c r="A91" s="2042" t="s">
        <v>4944</v>
      </c>
      <c r="B91" s="380" t="str">
        <f t="shared" si="1"/>
        <v>020-902</v>
      </c>
      <c r="C91" s="2042" t="s">
        <v>2350</v>
      </c>
      <c r="D91" s="2043">
        <v>9546443</v>
      </c>
      <c r="E91" s="2043">
        <v>10071280</v>
      </c>
    </row>
    <row r="92" spans="1:5" ht="14.5">
      <c r="A92" s="2042" t="s">
        <v>2897</v>
      </c>
      <c r="B92" s="380" t="str">
        <f t="shared" si="1"/>
        <v>020-904</v>
      </c>
      <c r="C92" s="2042" t="s">
        <v>2515</v>
      </c>
      <c r="D92" s="2043">
        <v>983350</v>
      </c>
      <c r="E92" s="2043">
        <v>225775</v>
      </c>
    </row>
    <row r="93" spans="1:5" ht="14.5">
      <c r="A93" s="2042" t="s">
        <v>4945</v>
      </c>
      <c r="B93" s="380" t="str">
        <f t="shared" si="1"/>
        <v>020-905</v>
      </c>
      <c r="C93" s="2042" t="s">
        <v>2351</v>
      </c>
      <c r="D93" s="2043">
        <v>25572164</v>
      </c>
      <c r="E93" s="2043">
        <v>12746056</v>
      </c>
    </row>
    <row r="94" spans="1:5" ht="14.5">
      <c r="A94" s="2042" t="s">
        <v>4946</v>
      </c>
      <c r="B94" s="380" t="str">
        <f t="shared" si="1"/>
        <v>020-906</v>
      </c>
      <c r="C94" s="2042" t="s">
        <v>2352</v>
      </c>
      <c r="D94" s="2043">
        <v>3968384</v>
      </c>
      <c r="E94" s="2043">
        <v>2093772</v>
      </c>
    </row>
    <row r="95" spans="1:5" ht="14.5">
      <c r="A95" s="2042" t="s">
        <v>2898</v>
      </c>
      <c r="B95" s="380" t="str">
        <f t="shared" si="1"/>
        <v>020-907</v>
      </c>
      <c r="C95" s="2042" t="s">
        <v>1458</v>
      </c>
      <c r="D95" s="2043">
        <v>2444112</v>
      </c>
      <c r="E95" s="2043">
        <v>2444112</v>
      </c>
    </row>
    <row r="96" spans="1:5" ht="14.5">
      <c r="A96" s="2042" t="s">
        <v>2899</v>
      </c>
      <c r="B96" s="380" t="str">
        <f t="shared" si="1"/>
        <v>020-908</v>
      </c>
      <c r="C96" s="2042" t="s">
        <v>259</v>
      </c>
      <c r="D96" s="2043">
        <v>29620943</v>
      </c>
      <c r="E96" s="2043">
        <v>25715717</v>
      </c>
    </row>
    <row r="97" spans="1:5" ht="14.5">
      <c r="A97" s="2042" t="s">
        <v>2900</v>
      </c>
      <c r="B97" s="380" t="str">
        <f t="shared" si="1"/>
        <v>020-910</v>
      </c>
      <c r="C97" s="2042" t="s">
        <v>2353</v>
      </c>
      <c r="D97" s="2043">
        <v>0</v>
      </c>
      <c r="E97" s="2043">
        <v>0</v>
      </c>
    </row>
    <row r="98" spans="1:5" ht="14.5">
      <c r="A98" s="2042" t="s">
        <v>2901</v>
      </c>
      <c r="B98" s="380" t="str">
        <f t="shared" si="1"/>
        <v>021-901</v>
      </c>
      <c r="C98" s="2042" t="s">
        <v>1099</v>
      </c>
      <c r="D98" s="2043">
        <v>25217537</v>
      </c>
      <c r="E98" s="2043">
        <v>19155988</v>
      </c>
    </row>
    <row r="99" spans="1:5" ht="14.5">
      <c r="A99" s="2042" t="s">
        <v>2902</v>
      </c>
      <c r="B99" s="380" t="str">
        <f t="shared" si="1"/>
        <v>021-902</v>
      </c>
      <c r="C99" s="2042" t="s">
        <v>2491</v>
      </c>
      <c r="D99" s="2043">
        <v>18641614</v>
      </c>
      <c r="E99" s="2043">
        <v>11367293</v>
      </c>
    </row>
    <row r="100" spans="1:5" ht="14.5">
      <c r="A100" s="2042" t="s">
        <v>5757</v>
      </c>
      <c r="B100" s="380" t="str">
        <f t="shared" si="1"/>
        <v>022-004</v>
      </c>
      <c r="C100" s="2042" t="s">
        <v>2354</v>
      </c>
      <c r="D100" s="2043">
        <v>0</v>
      </c>
      <c r="E100" s="2043">
        <v>0</v>
      </c>
    </row>
    <row r="101" spans="1:5" ht="14.5">
      <c r="A101" s="2042" t="s">
        <v>4947</v>
      </c>
      <c r="B101" s="380" t="str">
        <f t="shared" si="1"/>
        <v>022-901</v>
      </c>
      <c r="C101" s="2042" t="s">
        <v>2355</v>
      </c>
      <c r="D101" s="2043">
        <v>0</v>
      </c>
      <c r="E101" s="2043">
        <v>0</v>
      </c>
    </row>
    <row r="102" spans="1:5" ht="14.5">
      <c r="A102" s="2042" t="s">
        <v>5758</v>
      </c>
      <c r="B102" s="380" t="str">
        <f t="shared" si="1"/>
        <v>022-902</v>
      </c>
      <c r="C102" s="2042" t="s">
        <v>1498</v>
      </c>
      <c r="D102" s="2043">
        <v>0</v>
      </c>
      <c r="E102" s="2043">
        <v>0</v>
      </c>
    </row>
    <row r="103" spans="1:5" ht="14.5">
      <c r="A103" s="2042" t="s">
        <v>5759</v>
      </c>
      <c r="B103" s="380" t="str">
        <f t="shared" si="1"/>
        <v>022-903</v>
      </c>
      <c r="C103" s="2042" t="s">
        <v>1499</v>
      </c>
      <c r="D103" s="2043">
        <v>0</v>
      </c>
      <c r="E103" s="2043">
        <v>0</v>
      </c>
    </row>
    <row r="104" spans="1:5" ht="14.5">
      <c r="A104" s="2042" t="s">
        <v>5760</v>
      </c>
      <c r="B104" s="380" t="str">
        <f t="shared" si="1"/>
        <v>023-902</v>
      </c>
      <c r="C104" s="2042" t="s">
        <v>1500</v>
      </c>
      <c r="D104" s="2043">
        <v>705850</v>
      </c>
      <c r="E104" s="2043">
        <v>0</v>
      </c>
    </row>
    <row r="105" spans="1:5" ht="14.5">
      <c r="A105" s="2042" t="s">
        <v>4948</v>
      </c>
      <c r="B105" s="380" t="str">
        <f t="shared" si="1"/>
        <v>024-901</v>
      </c>
      <c r="C105" s="2042" t="s">
        <v>1501</v>
      </c>
      <c r="D105" s="2043">
        <v>2280534</v>
      </c>
      <c r="E105" s="2043">
        <v>2280534</v>
      </c>
    </row>
    <row r="106" spans="1:5" ht="14.5">
      <c r="A106" s="2042" t="s">
        <v>4949</v>
      </c>
      <c r="B106" s="380" t="str">
        <f t="shared" si="1"/>
        <v>025-901</v>
      </c>
      <c r="C106" s="2042" t="s">
        <v>1502</v>
      </c>
      <c r="D106" s="2043">
        <v>548238</v>
      </c>
      <c r="E106" s="2043">
        <v>548238</v>
      </c>
    </row>
    <row r="107" spans="1:5" ht="14.5">
      <c r="A107" s="2042" t="s">
        <v>4950</v>
      </c>
      <c r="B107" s="380" t="str">
        <f t="shared" si="1"/>
        <v>025-902</v>
      </c>
      <c r="C107" s="2042" t="s">
        <v>1503</v>
      </c>
      <c r="D107" s="2043">
        <v>2309100</v>
      </c>
      <c r="E107" s="2043">
        <v>2309100</v>
      </c>
    </row>
    <row r="108" spans="1:5" ht="14.5">
      <c r="A108" s="2042" t="s">
        <v>2903</v>
      </c>
      <c r="B108" s="380" t="str">
        <f t="shared" si="1"/>
        <v>025-904</v>
      </c>
      <c r="C108" s="2042" t="s">
        <v>1267</v>
      </c>
      <c r="D108" s="2043">
        <v>0</v>
      </c>
      <c r="E108" s="2043">
        <v>75434</v>
      </c>
    </row>
    <row r="109" spans="1:5" ht="14.5">
      <c r="A109" s="2042" t="s">
        <v>2904</v>
      </c>
      <c r="B109" s="380" t="str">
        <f t="shared" si="1"/>
        <v>025-905</v>
      </c>
      <c r="C109" s="2042" t="s">
        <v>1955</v>
      </c>
      <c r="D109" s="2043">
        <v>396376</v>
      </c>
      <c r="E109" s="2043">
        <v>396376</v>
      </c>
    </row>
    <row r="110" spans="1:5" ht="14.5">
      <c r="A110" s="2042" t="s">
        <v>2905</v>
      </c>
      <c r="B110" s="380" t="str">
        <f t="shared" si="1"/>
        <v>025-906</v>
      </c>
      <c r="C110" s="2042" t="s">
        <v>2528</v>
      </c>
      <c r="D110" s="2043">
        <v>267750</v>
      </c>
      <c r="E110" s="2043">
        <v>297136</v>
      </c>
    </row>
    <row r="111" spans="1:5" ht="14.5">
      <c r="A111" s="2042" t="s">
        <v>2906</v>
      </c>
      <c r="B111" s="380" t="str">
        <f t="shared" si="1"/>
        <v>025-908</v>
      </c>
      <c r="C111" s="2042" t="s">
        <v>2278</v>
      </c>
      <c r="D111" s="2043">
        <v>94112</v>
      </c>
      <c r="E111" s="2043">
        <v>94112</v>
      </c>
    </row>
    <row r="112" spans="1:5" ht="14.5">
      <c r="A112" s="2042" t="s">
        <v>2907</v>
      </c>
      <c r="B112" s="380" t="str">
        <f t="shared" si="1"/>
        <v>025-909</v>
      </c>
      <c r="C112" s="2042" t="s">
        <v>1007</v>
      </c>
      <c r="D112" s="2043">
        <v>1410125</v>
      </c>
      <c r="E112" s="2043">
        <v>1510175</v>
      </c>
    </row>
    <row r="113" spans="1:5" ht="14.5">
      <c r="A113" s="2042" t="s">
        <v>4951</v>
      </c>
      <c r="B113" s="380" t="str">
        <f t="shared" si="1"/>
        <v>026-901</v>
      </c>
      <c r="C113" s="2042" t="s">
        <v>1504</v>
      </c>
      <c r="D113" s="2043">
        <v>2923675</v>
      </c>
      <c r="E113" s="2043">
        <v>0</v>
      </c>
    </row>
    <row r="114" spans="1:5" ht="14.5">
      <c r="A114" s="2042" t="s">
        <v>4952</v>
      </c>
      <c r="B114" s="380" t="str">
        <f t="shared" si="1"/>
        <v>026-902</v>
      </c>
      <c r="C114" s="2042" t="s">
        <v>1505</v>
      </c>
      <c r="D114" s="2043">
        <v>895462</v>
      </c>
      <c r="E114" s="2043">
        <v>194600</v>
      </c>
    </row>
    <row r="115" spans="1:5" ht="14.5">
      <c r="A115" s="2042" t="s">
        <v>2908</v>
      </c>
      <c r="B115" s="380" t="str">
        <f t="shared" si="1"/>
        <v>026-903</v>
      </c>
      <c r="C115" s="2042" t="s">
        <v>1506</v>
      </c>
      <c r="D115" s="2043">
        <v>941350</v>
      </c>
      <c r="E115" s="2043">
        <v>512250</v>
      </c>
    </row>
    <row r="116" spans="1:5" ht="14.5">
      <c r="A116" s="2042" t="s">
        <v>2909</v>
      </c>
      <c r="B116" s="380" t="str">
        <f t="shared" si="1"/>
        <v>027-903</v>
      </c>
      <c r="C116" s="2042" t="s">
        <v>124</v>
      </c>
      <c r="D116" s="2043">
        <v>3855000</v>
      </c>
      <c r="E116" s="2043">
        <v>2465000</v>
      </c>
    </row>
    <row r="117" spans="1:5" ht="14.5">
      <c r="A117" s="2042" t="s">
        <v>3582</v>
      </c>
      <c r="B117" s="380" t="str">
        <f t="shared" si="1"/>
        <v>027-904</v>
      </c>
      <c r="C117" s="2042" t="s">
        <v>276</v>
      </c>
      <c r="D117" s="2043">
        <v>9140375</v>
      </c>
      <c r="E117" s="2043">
        <v>6687748</v>
      </c>
    </row>
    <row r="118" spans="1:5" ht="14.5">
      <c r="A118" s="2042" t="s">
        <v>2910</v>
      </c>
      <c r="B118" s="380" t="str">
        <f t="shared" si="1"/>
        <v>028-902</v>
      </c>
      <c r="C118" s="2042" t="s">
        <v>2104</v>
      </c>
      <c r="D118" s="2043">
        <v>2682061</v>
      </c>
      <c r="E118" s="2043">
        <v>5103513</v>
      </c>
    </row>
    <row r="119" spans="1:5" ht="14.5">
      <c r="A119" s="2042" t="s">
        <v>2911</v>
      </c>
      <c r="B119" s="380" t="str">
        <f t="shared" si="1"/>
        <v>028-903</v>
      </c>
      <c r="C119" s="2042" t="s">
        <v>792</v>
      </c>
      <c r="D119" s="2043">
        <v>332250</v>
      </c>
      <c r="E119" s="2043">
        <v>332250</v>
      </c>
    </row>
    <row r="120" spans="1:5" ht="14.5">
      <c r="A120" s="2042" t="s">
        <v>5761</v>
      </c>
      <c r="B120" s="380" t="str">
        <f t="shared" si="1"/>
        <v>028-906</v>
      </c>
      <c r="C120" s="2042" t="s">
        <v>1507</v>
      </c>
      <c r="D120" s="2043">
        <v>0</v>
      </c>
      <c r="E120" s="2043">
        <v>0</v>
      </c>
    </row>
    <row r="121" spans="1:5" ht="14.5">
      <c r="A121" s="2042" t="s">
        <v>4953</v>
      </c>
      <c r="B121" s="380" t="str">
        <f t="shared" si="1"/>
        <v>029-901</v>
      </c>
      <c r="C121" s="2042" t="s">
        <v>971</v>
      </c>
      <c r="D121" s="2043">
        <v>7991000</v>
      </c>
      <c r="E121" s="2043">
        <v>7991000</v>
      </c>
    </row>
    <row r="122" spans="1:5" ht="14.5">
      <c r="A122" s="2042" t="s">
        <v>5762</v>
      </c>
      <c r="B122" s="380" t="str">
        <f t="shared" si="1"/>
        <v>030-901</v>
      </c>
      <c r="C122" s="2042" t="s">
        <v>1509</v>
      </c>
      <c r="D122" s="2043">
        <v>0</v>
      </c>
      <c r="E122" s="2043">
        <v>0</v>
      </c>
    </row>
    <row r="123" spans="1:5" ht="14.5">
      <c r="A123" s="2042" t="s">
        <v>2912</v>
      </c>
      <c r="B123" s="380" t="str">
        <f t="shared" si="1"/>
        <v>030-902</v>
      </c>
      <c r="C123" s="2042" t="s">
        <v>29</v>
      </c>
      <c r="D123" s="2043">
        <v>1661875</v>
      </c>
      <c r="E123" s="2043">
        <v>1283900</v>
      </c>
    </row>
    <row r="124" spans="1:5" ht="14.5">
      <c r="A124" s="2042" t="s">
        <v>2913</v>
      </c>
      <c r="B124" s="380" t="str">
        <f t="shared" si="1"/>
        <v>030-903</v>
      </c>
      <c r="C124" s="2042" t="s">
        <v>1510</v>
      </c>
      <c r="D124" s="2043">
        <v>392035</v>
      </c>
      <c r="E124" s="2043">
        <v>392035</v>
      </c>
    </row>
    <row r="125" spans="1:5" ht="14.5">
      <c r="A125" s="2042" t="s">
        <v>4954</v>
      </c>
      <c r="B125" s="380" t="str">
        <f t="shared" si="1"/>
        <v>030-906</v>
      </c>
      <c r="C125" s="2042" t="s">
        <v>1511</v>
      </c>
      <c r="D125" s="2043">
        <v>490659</v>
      </c>
      <c r="E125" s="2043">
        <v>490659</v>
      </c>
    </row>
    <row r="126" spans="1:5" ht="14.5">
      <c r="A126" s="2042" t="s">
        <v>7946</v>
      </c>
      <c r="B126" s="380" t="str">
        <f t="shared" si="1"/>
        <v>031-505</v>
      </c>
      <c r="C126" s="2042" t="s">
        <v>7947</v>
      </c>
      <c r="D126" s="2043">
        <v>0</v>
      </c>
      <c r="E126" s="2043">
        <v>0</v>
      </c>
    </row>
    <row r="127" spans="1:5" ht="14.5">
      <c r="A127" s="2042" t="s">
        <v>2914</v>
      </c>
      <c r="B127" s="380" t="str">
        <f t="shared" si="1"/>
        <v>031-901</v>
      </c>
      <c r="C127" s="2042" t="s">
        <v>2490</v>
      </c>
      <c r="D127" s="2043">
        <v>13681525</v>
      </c>
      <c r="E127" s="2043">
        <v>15077706</v>
      </c>
    </row>
    <row r="128" spans="1:5" ht="14.5">
      <c r="A128" s="2042" t="s">
        <v>2915</v>
      </c>
      <c r="B128" s="380" t="str">
        <f t="shared" si="1"/>
        <v>031-903</v>
      </c>
      <c r="C128" s="2042" t="s">
        <v>32</v>
      </c>
      <c r="D128" s="2043">
        <v>9283447</v>
      </c>
      <c r="E128" s="2043">
        <v>9949656</v>
      </c>
    </row>
    <row r="129" spans="1:5" ht="14.5">
      <c r="A129" s="2042" t="s">
        <v>2916</v>
      </c>
      <c r="B129" s="380" t="str">
        <f t="shared" si="1"/>
        <v>031-905</v>
      </c>
      <c r="C129" s="2042" t="s">
        <v>1775</v>
      </c>
      <c r="D129" s="2043">
        <v>1930337</v>
      </c>
      <c r="E129" s="2043">
        <v>2310620</v>
      </c>
    </row>
    <row r="130" spans="1:5" ht="14.5">
      <c r="A130" s="2042" t="s">
        <v>2917</v>
      </c>
      <c r="B130" s="380" t="str">
        <f t="shared" si="1"/>
        <v>031-906</v>
      </c>
      <c r="C130" s="2042" t="s">
        <v>34</v>
      </c>
      <c r="D130" s="2043">
        <v>1247766</v>
      </c>
      <c r="E130" s="2043">
        <v>1247766</v>
      </c>
    </row>
    <row r="131" spans="1:5" ht="14.5">
      <c r="A131" s="2042" t="s">
        <v>4955</v>
      </c>
      <c r="B131" s="380" t="str">
        <f t="shared" ref="B131:B194" si="2">CONCATENATE(LEFT(RIGHT(CONCATENATE("000",A131),6),3),"-",(RIGHT(RIGHT(CONCATENATE("000",A131),6),3)))</f>
        <v>031-909</v>
      </c>
      <c r="C131" s="2042" t="s">
        <v>1512</v>
      </c>
      <c r="D131" s="2043">
        <v>1668750</v>
      </c>
      <c r="E131" s="2043">
        <v>1668750</v>
      </c>
    </row>
    <row r="132" spans="1:5" ht="14.5">
      <c r="A132" s="2042" t="s">
        <v>2918</v>
      </c>
      <c r="B132" s="380" t="str">
        <f t="shared" si="2"/>
        <v>031-911</v>
      </c>
      <c r="C132" s="2042" t="s">
        <v>2547</v>
      </c>
      <c r="D132" s="2043">
        <v>2374165</v>
      </c>
      <c r="E132" s="2043">
        <v>1521040</v>
      </c>
    </row>
    <row r="133" spans="1:5" ht="14.5">
      <c r="A133" s="2042" t="s">
        <v>2919</v>
      </c>
      <c r="B133" s="380" t="str">
        <f t="shared" si="2"/>
        <v>031-912</v>
      </c>
      <c r="C133" s="2042" t="s">
        <v>37</v>
      </c>
      <c r="D133" s="2043">
        <v>7382468</v>
      </c>
      <c r="E133" s="2043">
        <v>6029493</v>
      </c>
    </row>
    <row r="134" spans="1:5" ht="14.5">
      <c r="A134" s="2042" t="s">
        <v>2920</v>
      </c>
      <c r="B134" s="380" t="str">
        <f t="shared" si="2"/>
        <v>031-913</v>
      </c>
      <c r="C134" s="2042" t="s">
        <v>84</v>
      </c>
      <c r="D134" s="2043">
        <v>595787</v>
      </c>
      <c r="E134" s="2043">
        <v>286985</v>
      </c>
    </row>
    <row r="135" spans="1:5" ht="14.5">
      <c r="A135" s="2042" t="s">
        <v>2921</v>
      </c>
      <c r="B135" s="380" t="str">
        <f t="shared" si="2"/>
        <v>031-914</v>
      </c>
      <c r="C135" s="2042" t="s">
        <v>85</v>
      </c>
      <c r="D135" s="2043">
        <v>1039200</v>
      </c>
      <c r="E135" s="2043">
        <v>1039200</v>
      </c>
    </row>
    <row r="136" spans="1:5" ht="14.5">
      <c r="A136" s="2042" t="s">
        <v>7354</v>
      </c>
      <c r="B136" s="380" t="str">
        <f t="shared" si="2"/>
        <v>031-916</v>
      </c>
      <c r="C136" s="2042" t="s">
        <v>7355</v>
      </c>
      <c r="D136" s="2043">
        <v>0</v>
      </c>
      <c r="E136" s="2043">
        <v>0</v>
      </c>
    </row>
    <row r="137" spans="1:5" ht="14.5">
      <c r="A137" s="2042" t="s">
        <v>4956</v>
      </c>
      <c r="B137" s="380" t="str">
        <f t="shared" si="2"/>
        <v>032-902</v>
      </c>
      <c r="C137" s="2042" t="s">
        <v>1513</v>
      </c>
      <c r="D137" s="2043">
        <v>1572325</v>
      </c>
      <c r="E137" s="2043">
        <v>911125</v>
      </c>
    </row>
    <row r="138" spans="1:5" ht="14.5">
      <c r="A138" s="2042" t="s">
        <v>4957</v>
      </c>
      <c r="B138" s="380" t="str">
        <f t="shared" si="2"/>
        <v>033-901</v>
      </c>
      <c r="C138" s="2042" t="s">
        <v>1514</v>
      </c>
      <c r="D138" s="2043">
        <v>1199400</v>
      </c>
      <c r="E138" s="2043">
        <v>0</v>
      </c>
    </row>
    <row r="139" spans="1:5" ht="14.5">
      <c r="A139" s="2042" t="s">
        <v>4958</v>
      </c>
      <c r="B139" s="380" t="str">
        <f t="shared" si="2"/>
        <v>033-902</v>
      </c>
      <c r="C139" s="2042" t="s">
        <v>2047</v>
      </c>
      <c r="D139" s="2043">
        <v>2233000</v>
      </c>
      <c r="E139" s="2043">
        <v>1672884</v>
      </c>
    </row>
    <row r="140" spans="1:5" ht="14.5">
      <c r="A140" s="2042" t="s">
        <v>4959</v>
      </c>
      <c r="B140" s="380" t="str">
        <f t="shared" si="2"/>
        <v>033-904</v>
      </c>
      <c r="C140" s="2042" t="s">
        <v>2048</v>
      </c>
      <c r="D140" s="2043">
        <v>935628</v>
      </c>
      <c r="E140" s="2043">
        <v>412178</v>
      </c>
    </row>
    <row r="141" spans="1:5" ht="14.5">
      <c r="A141" s="2042" t="s">
        <v>4960</v>
      </c>
      <c r="B141" s="380" t="str">
        <f t="shared" si="2"/>
        <v>034-901</v>
      </c>
      <c r="C141" s="2042" t="s">
        <v>2049</v>
      </c>
      <c r="D141" s="2043">
        <v>934412</v>
      </c>
      <c r="E141" s="2043">
        <v>559580</v>
      </c>
    </row>
    <row r="142" spans="1:5" ht="14.5">
      <c r="A142" s="2042" t="s">
        <v>5763</v>
      </c>
      <c r="B142" s="380" t="str">
        <f t="shared" si="2"/>
        <v>034-902</v>
      </c>
      <c r="C142" s="2042" t="s">
        <v>2050</v>
      </c>
      <c r="D142" s="2043">
        <v>0</v>
      </c>
      <c r="E142" s="2043">
        <v>0</v>
      </c>
    </row>
    <row r="143" spans="1:5" ht="14.5">
      <c r="A143" s="2042" t="s">
        <v>4961</v>
      </c>
      <c r="B143" s="380" t="str">
        <f t="shared" si="2"/>
        <v>034-903</v>
      </c>
      <c r="C143" s="2042" t="s">
        <v>2051</v>
      </c>
      <c r="D143" s="2043">
        <v>205000</v>
      </c>
      <c r="E143" s="2043">
        <v>205000</v>
      </c>
    </row>
    <row r="144" spans="1:5" ht="14.5">
      <c r="A144" s="2042" t="s">
        <v>5764</v>
      </c>
      <c r="B144" s="380" t="str">
        <f t="shared" si="2"/>
        <v>034-905</v>
      </c>
      <c r="C144" s="2042" t="s">
        <v>972</v>
      </c>
      <c r="D144" s="2043">
        <v>0</v>
      </c>
      <c r="E144" s="2043">
        <v>0</v>
      </c>
    </row>
    <row r="145" spans="1:5" ht="14.5">
      <c r="A145" s="2042" t="s">
        <v>3647</v>
      </c>
      <c r="B145" s="380" t="str">
        <f t="shared" si="2"/>
        <v>034-906</v>
      </c>
      <c r="C145" s="2042" t="s">
        <v>775</v>
      </c>
      <c r="D145" s="2043">
        <v>0</v>
      </c>
      <c r="E145" s="2043">
        <v>0</v>
      </c>
    </row>
    <row r="146" spans="1:5" ht="14.5">
      <c r="A146" s="2042" t="s">
        <v>4962</v>
      </c>
      <c r="B146" s="380" t="str">
        <f t="shared" si="2"/>
        <v>034-907</v>
      </c>
      <c r="C146" s="2042" t="s">
        <v>1610</v>
      </c>
      <c r="D146" s="2043">
        <v>284300</v>
      </c>
      <c r="E146" s="2043">
        <v>284300</v>
      </c>
    </row>
    <row r="147" spans="1:5" ht="14.5">
      <c r="A147" s="2042" t="s">
        <v>4963</v>
      </c>
      <c r="B147" s="380" t="str">
        <f t="shared" si="2"/>
        <v>034-909</v>
      </c>
      <c r="C147" s="2042" t="s">
        <v>1612</v>
      </c>
      <c r="D147" s="2043">
        <v>91200</v>
      </c>
      <c r="E147" s="2043">
        <v>91200</v>
      </c>
    </row>
    <row r="148" spans="1:5" ht="14.5">
      <c r="A148" s="2042" t="s">
        <v>4964</v>
      </c>
      <c r="B148" s="380" t="str">
        <f t="shared" si="2"/>
        <v>035-901</v>
      </c>
      <c r="C148" s="2042" t="s">
        <v>1613</v>
      </c>
      <c r="D148" s="2043">
        <v>2273565</v>
      </c>
      <c r="E148" s="2043">
        <v>992015</v>
      </c>
    </row>
    <row r="149" spans="1:5" ht="14.5">
      <c r="A149" s="2042" t="s">
        <v>5765</v>
      </c>
      <c r="B149" s="380" t="str">
        <f t="shared" si="2"/>
        <v>035-902</v>
      </c>
      <c r="C149" s="2042" t="s">
        <v>1614</v>
      </c>
      <c r="D149" s="2043">
        <v>0</v>
      </c>
      <c r="E149" s="2043">
        <v>0</v>
      </c>
    </row>
    <row r="150" spans="1:5" ht="14.5">
      <c r="A150" s="2042" t="s">
        <v>2922</v>
      </c>
      <c r="B150" s="380" t="str">
        <f t="shared" si="2"/>
        <v>035-903</v>
      </c>
      <c r="C150" s="2042" t="s">
        <v>370</v>
      </c>
      <c r="D150" s="2043">
        <v>62765</v>
      </c>
      <c r="E150" s="2043">
        <v>62765</v>
      </c>
    </row>
    <row r="151" spans="1:5" ht="14.5">
      <c r="A151" s="2042" t="s">
        <v>2923</v>
      </c>
      <c r="B151" s="380" t="str">
        <f t="shared" si="2"/>
        <v>036-901</v>
      </c>
      <c r="C151" s="2042" t="s">
        <v>999</v>
      </c>
      <c r="D151" s="2043">
        <v>1821427</v>
      </c>
      <c r="E151" s="2043">
        <v>1227800</v>
      </c>
    </row>
    <row r="152" spans="1:5" ht="14.5">
      <c r="A152" s="2042" t="s">
        <v>4965</v>
      </c>
      <c r="B152" s="380" t="str">
        <f t="shared" si="2"/>
        <v>036-902</v>
      </c>
      <c r="C152" s="2042" t="s">
        <v>1615</v>
      </c>
      <c r="D152" s="2043">
        <v>24317056</v>
      </c>
      <c r="E152" s="2043">
        <v>18357242</v>
      </c>
    </row>
    <row r="153" spans="1:5" ht="14.5">
      <c r="A153" s="2042" t="s">
        <v>2924</v>
      </c>
      <c r="B153" s="380" t="str">
        <f t="shared" si="2"/>
        <v>036-903</v>
      </c>
      <c r="C153" s="2042" t="s">
        <v>2236</v>
      </c>
      <c r="D153" s="2043">
        <v>1189723</v>
      </c>
      <c r="E153" s="2043">
        <v>670875</v>
      </c>
    </row>
    <row r="154" spans="1:5" ht="14.5">
      <c r="A154" s="2042" t="s">
        <v>4966</v>
      </c>
      <c r="B154" s="380" t="str">
        <f t="shared" si="2"/>
        <v>037-901</v>
      </c>
      <c r="C154" s="2042" t="s">
        <v>1411</v>
      </c>
      <c r="D154" s="2043">
        <v>609625</v>
      </c>
      <c r="E154" s="2043">
        <v>609625</v>
      </c>
    </row>
    <row r="155" spans="1:5" ht="14.5">
      <c r="A155" s="2042" t="s">
        <v>2925</v>
      </c>
      <c r="B155" s="380" t="str">
        <f t="shared" si="2"/>
        <v>037-904</v>
      </c>
      <c r="C155" s="2042" t="s">
        <v>383</v>
      </c>
      <c r="D155" s="2043">
        <v>4493758</v>
      </c>
      <c r="E155" s="2043">
        <v>5166260</v>
      </c>
    </row>
    <row r="156" spans="1:5" ht="14.5">
      <c r="A156" s="2042" t="s">
        <v>2926</v>
      </c>
      <c r="B156" s="380" t="str">
        <f t="shared" si="2"/>
        <v>037-907</v>
      </c>
      <c r="C156" s="2042" t="s">
        <v>577</v>
      </c>
      <c r="D156" s="2043">
        <v>768863</v>
      </c>
      <c r="E156" s="2043">
        <v>375088</v>
      </c>
    </row>
    <row r="157" spans="1:5" ht="14.5">
      <c r="A157" s="2042" t="s">
        <v>3657</v>
      </c>
      <c r="B157" s="380" t="str">
        <f t="shared" si="2"/>
        <v>037-908</v>
      </c>
      <c r="C157" s="2042" t="s">
        <v>1073</v>
      </c>
      <c r="D157" s="2043">
        <v>496375</v>
      </c>
      <c r="E157" s="2043">
        <v>496375</v>
      </c>
    </row>
    <row r="158" spans="1:5" ht="14.5">
      <c r="A158" s="2042" t="s">
        <v>4967</v>
      </c>
      <c r="B158" s="380" t="str">
        <f t="shared" si="2"/>
        <v>037-909</v>
      </c>
      <c r="C158" s="2042" t="s">
        <v>23</v>
      </c>
      <c r="D158" s="2043">
        <v>202750</v>
      </c>
      <c r="E158" s="2043">
        <v>202750</v>
      </c>
    </row>
    <row r="159" spans="1:5" ht="14.5">
      <c r="A159" s="2042" t="s">
        <v>2927</v>
      </c>
      <c r="B159" s="380" t="str">
        <f t="shared" si="2"/>
        <v>038-901</v>
      </c>
      <c r="C159" s="2042" t="s">
        <v>2062</v>
      </c>
      <c r="D159" s="2043">
        <v>164800</v>
      </c>
      <c r="E159" s="2043">
        <v>164800</v>
      </c>
    </row>
    <row r="160" spans="1:5" ht="14.5">
      <c r="A160" s="2042" t="s">
        <v>4968</v>
      </c>
      <c r="B160" s="380" t="str">
        <f t="shared" si="2"/>
        <v>039-902</v>
      </c>
      <c r="C160" s="2042" t="s">
        <v>1813</v>
      </c>
      <c r="D160" s="2043">
        <v>821250</v>
      </c>
      <c r="E160" s="2043">
        <v>821250</v>
      </c>
    </row>
    <row r="161" spans="1:5" ht="14.5">
      <c r="A161" s="2042" t="s">
        <v>2928</v>
      </c>
      <c r="B161" s="380" t="str">
        <f t="shared" si="2"/>
        <v>039-903</v>
      </c>
      <c r="C161" s="2042" t="s">
        <v>3318</v>
      </c>
      <c r="D161" s="2043">
        <v>292775</v>
      </c>
      <c r="E161" s="2043">
        <v>292775</v>
      </c>
    </row>
    <row r="162" spans="1:5" ht="14.5">
      <c r="A162" s="2042" t="s">
        <v>5766</v>
      </c>
      <c r="B162" s="380" t="str">
        <f t="shared" si="2"/>
        <v>039-904</v>
      </c>
      <c r="C162" s="2042" t="s">
        <v>1814</v>
      </c>
      <c r="D162" s="2043">
        <v>0</v>
      </c>
      <c r="E162" s="2043">
        <v>0</v>
      </c>
    </row>
    <row r="163" spans="1:5" ht="14.5">
      <c r="A163" s="2042" t="s">
        <v>5767</v>
      </c>
      <c r="B163" s="380" t="str">
        <f t="shared" si="2"/>
        <v>039-905</v>
      </c>
      <c r="C163" s="2042" t="s">
        <v>1815</v>
      </c>
      <c r="D163" s="2043">
        <v>554600</v>
      </c>
      <c r="E163" s="2043">
        <v>0</v>
      </c>
    </row>
    <row r="164" spans="1:5" ht="14.5">
      <c r="A164" s="2042" t="s">
        <v>5768</v>
      </c>
      <c r="B164" s="380" t="str">
        <f t="shared" si="2"/>
        <v>040-901</v>
      </c>
      <c r="C164" s="2042" t="s">
        <v>2035</v>
      </c>
      <c r="D164" s="2043">
        <v>0</v>
      </c>
      <c r="E164" s="2043">
        <v>0</v>
      </c>
    </row>
    <row r="165" spans="1:5" ht="14.5">
      <c r="A165" s="2042" t="s">
        <v>4969</v>
      </c>
      <c r="B165" s="380" t="str">
        <f t="shared" si="2"/>
        <v>040-902</v>
      </c>
      <c r="C165" s="2042" t="s">
        <v>973</v>
      </c>
      <c r="D165" s="2043">
        <v>1233757</v>
      </c>
      <c r="E165" s="2043">
        <v>1004233</v>
      </c>
    </row>
    <row r="166" spans="1:5" ht="14.5">
      <c r="A166" s="2042" t="s">
        <v>5769</v>
      </c>
      <c r="B166" s="380" t="str">
        <f t="shared" si="2"/>
        <v>041-901</v>
      </c>
      <c r="C166" s="2042" t="s">
        <v>2037</v>
      </c>
      <c r="D166" s="2043">
        <v>0</v>
      </c>
      <c r="E166" s="2043">
        <v>0</v>
      </c>
    </row>
    <row r="167" spans="1:5" ht="14.5">
      <c r="A167" s="2042" t="s">
        <v>4970</v>
      </c>
      <c r="B167" s="380" t="str">
        <f t="shared" si="2"/>
        <v>041-902</v>
      </c>
      <c r="C167" s="2042" t="s">
        <v>2038</v>
      </c>
      <c r="D167" s="2043">
        <v>595734</v>
      </c>
      <c r="E167" s="2043">
        <v>595734</v>
      </c>
    </row>
    <row r="168" spans="1:5" ht="14.5">
      <c r="A168" s="2042" t="s">
        <v>3664</v>
      </c>
      <c r="B168" s="380" t="str">
        <f t="shared" si="2"/>
        <v>042-901</v>
      </c>
      <c r="C168" s="2042" t="s">
        <v>1098</v>
      </c>
      <c r="D168" s="2043">
        <v>0</v>
      </c>
      <c r="E168" s="2043">
        <v>0</v>
      </c>
    </row>
    <row r="169" spans="1:5" ht="14.5">
      <c r="A169" s="2042" t="s">
        <v>2929</v>
      </c>
      <c r="B169" s="380" t="str">
        <f t="shared" si="2"/>
        <v>042-903</v>
      </c>
      <c r="C169" s="2042" t="s">
        <v>82</v>
      </c>
      <c r="D169" s="2043">
        <v>90675</v>
      </c>
      <c r="E169" s="2043">
        <v>90675</v>
      </c>
    </row>
    <row r="170" spans="1:5" ht="14.5">
      <c r="A170" s="2042" t="s">
        <v>4971</v>
      </c>
      <c r="B170" s="380" t="str">
        <f t="shared" si="2"/>
        <v>042-905</v>
      </c>
      <c r="C170" s="2042" t="s">
        <v>974</v>
      </c>
      <c r="D170" s="2043">
        <v>69500</v>
      </c>
      <c r="E170" s="2043">
        <v>69500</v>
      </c>
    </row>
    <row r="171" spans="1:5" ht="14.5">
      <c r="A171" s="2042" t="s">
        <v>2930</v>
      </c>
      <c r="B171" s="380" t="str">
        <f t="shared" si="2"/>
        <v>043-901</v>
      </c>
      <c r="C171" s="2042" t="s">
        <v>1850</v>
      </c>
      <c r="D171" s="2043">
        <v>50405077</v>
      </c>
      <c r="E171" s="2043">
        <v>37829913</v>
      </c>
    </row>
    <row r="172" spans="1:5" ht="14.5">
      <c r="A172" s="2042" t="s">
        <v>2931</v>
      </c>
      <c r="B172" s="380" t="str">
        <f t="shared" si="2"/>
        <v>043-902</v>
      </c>
      <c r="C172" s="2042" t="s">
        <v>1000</v>
      </c>
      <c r="D172" s="2043">
        <v>8648769</v>
      </c>
      <c r="E172" s="2043">
        <v>5322407</v>
      </c>
    </row>
    <row r="173" spans="1:5" ht="14.5">
      <c r="A173" s="2042" t="s">
        <v>2932</v>
      </c>
      <c r="B173" s="380" t="str">
        <f t="shared" si="2"/>
        <v>043-903</v>
      </c>
      <c r="C173" s="2042" t="s">
        <v>617</v>
      </c>
      <c r="D173" s="2043">
        <v>6862445</v>
      </c>
      <c r="E173" s="2043">
        <v>3973182</v>
      </c>
    </row>
    <row r="174" spans="1:5" ht="14.5">
      <c r="A174" s="2042" t="s">
        <v>2933</v>
      </c>
      <c r="B174" s="380" t="str">
        <f t="shared" si="2"/>
        <v>043-904</v>
      </c>
      <c r="C174" s="2042" t="s">
        <v>99</v>
      </c>
      <c r="D174" s="2043">
        <v>892178</v>
      </c>
      <c r="E174" s="2043">
        <v>892178</v>
      </c>
    </row>
    <row r="175" spans="1:5" ht="14.5">
      <c r="A175" s="2042" t="s">
        <v>2934</v>
      </c>
      <c r="B175" s="380" t="str">
        <f t="shared" si="2"/>
        <v>043-905</v>
      </c>
      <c r="C175" s="2042" t="s">
        <v>1389</v>
      </c>
      <c r="D175" s="2043">
        <v>105473407</v>
      </c>
      <c r="E175" s="2043">
        <v>108797350</v>
      </c>
    </row>
    <row r="176" spans="1:5" ht="14.5">
      <c r="A176" s="2042" t="s">
        <v>2935</v>
      </c>
      <c r="B176" s="380" t="str">
        <f t="shared" si="2"/>
        <v>043-907</v>
      </c>
      <c r="C176" s="2042" t="s">
        <v>774</v>
      </c>
      <c r="D176" s="2043">
        <v>55219533</v>
      </c>
      <c r="E176" s="2043">
        <v>41636634</v>
      </c>
    </row>
    <row r="177" spans="1:5" ht="14.5">
      <c r="A177" s="2042" t="s">
        <v>2936</v>
      </c>
      <c r="B177" s="380" t="str">
        <f t="shared" si="2"/>
        <v>043-908</v>
      </c>
      <c r="C177" s="2042" t="s">
        <v>2076</v>
      </c>
      <c r="D177" s="2043">
        <v>7522931</v>
      </c>
      <c r="E177" s="2043">
        <v>3356008</v>
      </c>
    </row>
    <row r="178" spans="1:5" ht="14.5">
      <c r="A178" s="2042" t="s">
        <v>4972</v>
      </c>
      <c r="B178" s="380" t="str">
        <f t="shared" si="2"/>
        <v>043-910</v>
      </c>
      <c r="C178" s="2042" t="s">
        <v>2077</v>
      </c>
      <c r="D178" s="2043">
        <v>134173806</v>
      </c>
      <c r="E178" s="2043">
        <v>83126958</v>
      </c>
    </row>
    <row r="179" spans="1:5" ht="14.5">
      <c r="A179" s="2042" t="s">
        <v>2937</v>
      </c>
      <c r="B179" s="380" t="str">
        <f t="shared" si="2"/>
        <v>043-911</v>
      </c>
      <c r="C179" s="2042" t="s">
        <v>72</v>
      </c>
      <c r="D179" s="2043">
        <v>9992975</v>
      </c>
      <c r="E179" s="2043">
        <v>5591775</v>
      </c>
    </row>
    <row r="180" spans="1:5" ht="14.5">
      <c r="A180" s="2042" t="s">
        <v>2938</v>
      </c>
      <c r="B180" s="380" t="str">
        <f t="shared" si="2"/>
        <v>043-912</v>
      </c>
      <c r="C180" s="2042" t="s">
        <v>74</v>
      </c>
      <c r="D180" s="2043">
        <v>50069950</v>
      </c>
      <c r="E180" s="2043">
        <v>18073488</v>
      </c>
    </row>
    <row r="181" spans="1:5" ht="14.5">
      <c r="A181" s="2042" t="s">
        <v>2939</v>
      </c>
      <c r="B181" s="380" t="str">
        <f t="shared" si="2"/>
        <v>043-914</v>
      </c>
      <c r="C181" s="2042" t="s">
        <v>1065</v>
      </c>
      <c r="D181" s="2043">
        <v>12160419</v>
      </c>
      <c r="E181" s="2043">
        <v>23313488</v>
      </c>
    </row>
    <row r="182" spans="1:5" ht="14.5">
      <c r="A182" s="2042" t="s">
        <v>2940</v>
      </c>
      <c r="B182" s="380" t="str">
        <f t="shared" si="2"/>
        <v>043-917</v>
      </c>
      <c r="C182" s="2042" t="s">
        <v>1269</v>
      </c>
      <c r="D182" s="2043">
        <v>909800</v>
      </c>
      <c r="E182" s="2043">
        <v>897910</v>
      </c>
    </row>
    <row r="183" spans="1:5" ht="14.5">
      <c r="A183" s="2042" t="s">
        <v>2941</v>
      </c>
      <c r="B183" s="380" t="str">
        <f t="shared" si="2"/>
        <v>043-918</v>
      </c>
      <c r="C183" s="2042" t="s">
        <v>1461</v>
      </c>
      <c r="D183" s="2043">
        <v>3803725</v>
      </c>
      <c r="E183" s="2043">
        <v>2340590</v>
      </c>
    </row>
    <row r="184" spans="1:5" ht="14.5">
      <c r="A184" s="2042" t="s">
        <v>4973</v>
      </c>
      <c r="B184" s="380" t="str">
        <f t="shared" si="2"/>
        <v>043-919</v>
      </c>
      <c r="C184" s="2042" t="s">
        <v>2078</v>
      </c>
      <c r="D184" s="2043">
        <v>10777384</v>
      </c>
      <c r="E184" s="2043">
        <v>9341196</v>
      </c>
    </row>
    <row r="185" spans="1:5" ht="14.5">
      <c r="A185" s="2042" t="s">
        <v>5770</v>
      </c>
      <c r="B185" s="380" t="str">
        <f t="shared" si="2"/>
        <v>044-902</v>
      </c>
      <c r="C185" s="2042" t="s">
        <v>2079</v>
      </c>
      <c r="D185" s="2043">
        <v>0</v>
      </c>
      <c r="E185" s="2043">
        <v>0</v>
      </c>
    </row>
    <row r="186" spans="1:5" ht="14.5">
      <c r="A186" s="2042" t="s">
        <v>2942</v>
      </c>
      <c r="B186" s="380" t="str">
        <f t="shared" si="2"/>
        <v>045-902</v>
      </c>
      <c r="C186" s="2042" t="s">
        <v>1459</v>
      </c>
      <c r="D186" s="2043">
        <v>1238964</v>
      </c>
      <c r="E186" s="2043">
        <v>1238964</v>
      </c>
    </row>
    <row r="187" spans="1:5" ht="14.5">
      <c r="A187" s="2042" t="s">
        <v>4974</v>
      </c>
      <c r="B187" s="380" t="str">
        <f t="shared" si="2"/>
        <v>045-903</v>
      </c>
      <c r="C187" s="2042" t="s">
        <v>975</v>
      </c>
      <c r="D187" s="2043">
        <v>1837575</v>
      </c>
      <c r="E187" s="2043">
        <v>922675</v>
      </c>
    </row>
    <row r="188" spans="1:5" ht="14.5">
      <c r="A188" s="2042" t="s">
        <v>4975</v>
      </c>
      <c r="B188" s="380" t="str">
        <f t="shared" si="2"/>
        <v>045-905</v>
      </c>
      <c r="C188" s="2042" t="s">
        <v>2082</v>
      </c>
      <c r="D188" s="2043">
        <v>628343</v>
      </c>
      <c r="E188" s="2043">
        <v>628343</v>
      </c>
    </row>
    <row r="189" spans="1:5" ht="14.5">
      <c r="A189" s="2042" t="s">
        <v>2943</v>
      </c>
      <c r="B189" s="380" t="str">
        <f t="shared" si="2"/>
        <v>046-901</v>
      </c>
      <c r="C189" s="2042" t="s">
        <v>2083</v>
      </c>
      <c r="D189" s="2043">
        <v>17063502</v>
      </c>
      <c r="E189" s="2043">
        <v>13509809</v>
      </c>
    </row>
    <row r="190" spans="1:5" ht="14.5">
      <c r="A190" s="2042" t="s">
        <v>4976</v>
      </c>
      <c r="B190" s="380" t="str">
        <f t="shared" si="2"/>
        <v>046-902</v>
      </c>
      <c r="C190" s="2042" t="s">
        <v>2084</v>
      </c>
      <c r="D190" s="2043">
        <v>50519213</v>
      </c>
      <c r="E190" s="2043">
        <v>42866956</v>
      </c>
    </row>
    <row r="191" spans="1:5" ht="14.5">
      <c r="A191" s="2042" t="s">
        <v>2944</v>
      </c>
      <c r="B191" s="380" t="str">
        <f t="shared" si="2"/>
        <v>047-901</v>
      </c>
      <c r="C191" s="2042" t="s">
        <v>2085</v>
      </c>
      <c r="D191" s="2043">
        <v>734612</v>
      </c>
      <c r="E191" s="2043">
        <v>755187</v>
      </c>
    </row>
    <row r="192" spans="1:5" ht="14.5">
      <c r="A192" s="2042" t="s">
        <v>2945</v>
      </c>
      <c r="B192" s="380" t="str">
        <f t="shared" si="2"/>
        <v>047-902</v>
      </c>
      <c r="C192" s="2042" t="s">
        <v>2518</v>
      </c>
      <c r="D192" s="2043">
        <v>423598</v>
      </c>
      <c r="E192" s="2043">
        <v>423598</v>
      </c>
    </row>
    <row r="193" spans="1:5" ht="14.5">
      <c r="A193" s="2042" t="s">
        <v>2946</v>
      </c>
      <c r="B193" s="380" t="str">
        <f t="shared" si="2"/>
        <v>047-903</v>
      </c>
      <c r="C193" s="2042" t="s">
        <v>1637</v>
      </c>
      <c r="D193" s="2043">
        <v>83638</v>
      </c>
      <c r="E193" s="2043">
        <v>83638</v>
      </c>
    </row>
    <row r="194" spans="1:5" ht="14.5">
      <c r="A194" s="2042" t="s">
        <v>2947</v>
      </c>
      <c r="B194" s="380" t="str">
        <f t="shared" si="2"/>
        <v>047-905</v>
      </c>
      <c r="C194" s="2042" t="s">
        <v>2086</v>
      </c>
      <c r="D194" s="2043">
        <v>95550</v>
      </c>
      <c r="E194" s="2043">
        <v>95550</v>
      </c>
    </row>
    <row r="195" spans="1:5" ht="14.5">
      <c r="A195" s="2042" t="s">
        <v>5771</v>
      </c>
      <c r="B195" s="380" t="str">
        <f t="shared" ref="B195:B258" si="3">CONCATENATE(LEFT(RIGHT(CONCATENATE("000",A195),6),3),"-",(RIGHT(RIGHT(CONCATENATE("000",A195),6),3)))</f>
        <v>048-901</v>
      </c>
      <c r="C195" s="2042" t="s">
        <v>976</v>
      </c>
      <c r="D195" s="2043">
        <v>0</v>
      </c>
      <c r="E195" s="2043">
        <v>0</v>
      </c>
    </row>
    <row r="196" spans="1:5" ht="14.5">
      <c r="A196" s="2042" t="s">
        <v>4977</v>
      </c>
      <c r="B196" s="380" t="str">
        <f t="shared" si="3"/>
        <v>048-903</v>
      </c>
      <c r="C196" s="2042" t="s">
        <v>2088</v>
      </c>
      <c r="D196" s="2043">
        <v>159050</v>
      </c>
      <c r="E196" s="2043">
        <v>159050</v>
      </c>
    </row>
    <row r="197" spans="1:5" ht="14.5">
      <c r="A197" s="2042" t="s">
        <v>2948</v>
      </c>
      <c r="B197" s="380" t="str">
        <f t="shared" si="3"/>
        <v>049-901</v>
      </c>
      <c r="C197" s="2042" t="s">
        <v>1391</v>
      </c>
      <c r="D197" s="2043">
        <v>2283344</v>
      </c>
      <c r="E197" s="2043">
        <v>2283344</v>
      </c>
    </row>
    <row r="198" spans="1:5" ht="14.5">
      <c r="A198" s="2042" t="s">
        <v>4978</v>
      </c>
      <c r="B198" s="380" t="str">
        <f t="shared" si="3"/>
        <v>049-902</v>
      </c>
      <c r="C198" s="2042" t="s">
        <v>2089</v>
      </c>
      <c r="D198" s="2043">
        <v>1523344</v>
      </c>
      <c r="E198" s="2043">
        <v>1257419</v>
      </c>
    </row>
    <row r="199" spans="1:5" ht="14.5">
      <c r="A199" s="2042" t="s">
        <v>2949</v>
      </c>
      <c r="B199" s="380" t="str">
        <f t="shared" si="3"/>
        <v>049-903</v>
      </c>
      <c r="C199" s="2042" t="s">
        <v>2231</v>
      </c>
      <c r="D199" s="2043">
        <v>552925</v>
      </c>
      <c r="E199" s="2043">
        <v>863632</v>
      </c>
    </row>
    <row r="200" spans="1:5" ht="14.5">
      <c r="A200" s="2042" t="s">
        <v>4979</v>
      </c>
      <c r="B200" s="380" t="str">
        <f t="shared" si="3"/>
        <v>049-905</v>
      </c>
      <c r="C200" s="2042" t="s">
        <v>2090</v>
      </c>
      <c r="D200" s="2043">
        <v>1214138</v>
      </c>
      <c r="E200" s="2043">
        <v>1239241</v>
      </c>
    </row>
    <row r="201" spans="1:5" ht="14.5">
      <c r="A201" s="2042" t="s">
        <v>2950</v>
      </c>
      <c r="B201" s="380" t="str">
        <f t="shared" si="3"/>
        <v>049-906</v>
      </c>
      <c r="C201" s="2042" t="s">
        <v>2091</v>
      </c>
      <c r="D201" s="2043">
        <v>333900</v>
      </c>
      <c r="E201" s="2043">
        <v>208260</v>
      </c>
    </row>
    <row r="202" spans="1:5" ht="14.5">
      <c r="A202" s="2042" t="s">
        <v>4980</v>
      </c>
      <c r="B202" s="380" t="str">
        <f t="shared" si="3"/>
        <v>049-907</v>
      </c>
      <c r="C202" s="2042" t="s">
        <v>2092</v>
      </c>
      <c r="D202" s="2043">
        <v>0</v>
      </c>
      <c r="E202" s="2043">
        <v>0</v>
      </c>
    </row>
    <row r="203" spans="1:5" ht="14.5">
      <c r="A203" s="2042" t="s">
        <v>5772</v>
      </c>
      <c r="B203" s="380" t="str">
        <f t="shared" si="3"/>
        <v>049-908</v>
      </c>
      <c r="C203" s="2042" t="s">
        <v>2093</v>
      </c>
      <c r="D203" s="2043">
        <v>0</v>
      </c>
      <c r="E203" s="2043">
        <v>0</v>
      </c>
    </row>
    <row r="204" spans="1:5" ht="14.5">
      <c r="A204" s="2042" t="s">
        <v>5773</v>
      </c>
      <c r="B204" s="380" t="str">
        <f t="shared" si="3"/>
        <v>049-909</v>
      </c>
      <c r="C204" s="2042" t="s">
        <v>2094</v>
      </c>
      <c r="D204" s="2043">
        <v>0</v>
      </c>
      <c r="E204" s="2043">
        <v>0</v>
      </c>
    </row>
    <row r="205" spans="1:5" ht="14.5">
      <c r="A205" s="2042" t="s">
        <v>5774</v>
      </c>
      <c r="B205" s="380" t="str">
        <f t="shared" si="3"/>
        <v>050-901</v>
      </c>
      <c r="C205" s="2042" t="s">
        <v>2095</v>
      </c>
      <c r="D205" s="2043">
        <v>0</v>
      </c>
      <c r="E205" s="2043">
        <v>0</v>
      </c>
    </row>
    <row r="206" spans="1:5" ht="14.5">
      <c r="A206" s="2042" t="s">
        <v>4981</v>
      </c>
      <c r="B206" s="380" t="str">
        <f t="shared" si="3"/>
        <v>050-902</v>
      </c>
      <c r="C206" s="2042" t="s">
        <v>2096</v>
      </c>
      <c r="D206" s="2043">
        <v>1294806</v>
      </c>
      <c r="E206" s="2043">
        <v>1294806</v>
      </c>
    </row>
    <row r="207" spans="1:5" ht="14.5">
      <c r="A207" s="2042" t="s">
        <v>2951</v>
      </c>
      <c r="B207" s="380" t="str">
        <f t="shared" si="3"/>
        <v>050-904</v>
      </c>
      <c r="C207" s="2042" t="s">
        <v>247</v>
      </c>
      <c r="D207" s="2043">
        <v>0</v>
      </c>
      <c r="E207" s="2043">
        <v>0</v>
      </c>
    </row>
    <row r="208" spans="1:5" ht="14.5">
      <c r="A208" s="2042" t="s">
        <v>4982</v>
      </c>
      <c r="B208" s="380" t="str">
        <f t="shared" si="3"/>
        <v>050-909</v>
      </c>
      <c r="C208" s="2042" t="s">
        <v>2097</v>
      </c>
      <c r="D208" s="2043">
        <v>50162</v>
      </c>
      <c r="E208" s="2043">
        <v>50162</v>
      </c>
    </row>
    <row r="209" spans="1:5" ht="14.5">
      <c r="A209" s="2042" t="s">
        <v>2952</v>
      </c>
      <c r="B209" s="380" t="str">
        <f t="shared" si="3"/>
        <v>050-910</v>
      </c>
      <c r="C209" s="2042" t="s">
        <v>2430</v>
      </c>
      <c r="D209" s="2043">
        <v>1855950</v>
      </c>
      <c r="E209" s="2043">
        <v>1855950</v>
      </c>
    </row>
    <row r="210" spans="1:5" ht="14.5">
      <c r="A210" s="2042" t="s">
        <v>5775</v>
      </c>
      <c r="B210" s="380" t="str">
        <f t="shared" si="3"/>
        <v>051-901</v>
      </c>
      <c r="C210" s="2042" t="s">
        <v>2098</v>
      </c>
      <c r="D210" s="2043">
        <v>0</v>
      </c>
      <c r="E210" s="2043">
        <v>0</v>
      </c>
    </row>
    <row r="211" spans="1:5" ht="14.5">
      <c r="A211" s="2042" t="s">
        <v>4983</v>
      </c>
      <c r="B211" s="380" t="str">
        <f t="shared" si="3"/>
        <v>052-901</v>
      </c>
      <c r="C211" s="2042" t="s">
        <v>2099</v>
      </c>
      <c r="D211" s="2043">
        <v>450300</v>
      </c>
      <c r="E211" s="2043">
        <v>0</v>
      </c>
    </row>
    <row r="212" spans="1:5" ht="14.5">
      <c r="A212" s="2042" t="s">
        <v>5776</v>
      </c>
      <c r="B212" s="380" t="str">
        <f t="shared" si="3"/>
        <v>053-001</v>
      </c>
      <c r="C212" s="2042" t="s">
        <v>3319</v>
      </c>
      <c r="D212" s="2043">
        <v>1077850</v>
      </c>
      <c r="E212" s="2043">
        <v>0</v>
      </c>
    </row>
    <row r="213" spans="1:5" ht="14.5">
      <c r="A213" s="2042" t="s">
        <v>5777</v>
      </c>
      <c r="B213" s="380" t="str">
        <f t="shared" si="3"/>
        <v>054-901</v>
      </c>
      <c r="C213" s="2042" t="s">
        <v>978</v>
      </c>
      <c r="D213" s="2043">
        <v>559650</v>
      </c>
      <c r="E213" s="2043">
        <v>0</v>
      </c>
    </row>
    <row r="214" spans="1:5" ht="14.5">
      <c r="A214" s="2042" t="s">
        <v>5778</v>
      </c>
      <c r="B214" s="380" t="str">
        <f t="shared" si="3"/>
        <v>054-902</v>
      </c>
      <c r="C214" s="2042" t="s">
        <v>623</v>
      </c>
      <c r="D214" s="2043">
        <v>0</v>
      </c>
      <c r="E214" s="2043">
        <v>0</v>
      </c>
    </row>
    <row r="215" spans="1:5" ht="14.5">
      <c r="A215" s="2042" t="s">
        <v>5779</v>
      </c>
      <c r="B215" s="380" t="str">
        <f t="shared" si="3"/>
        <v>054-903</v>
      </c>
      <c r="C215" s="2042" t="s">
        <v>624</v>
      </c>
      <c r="D215" s="2043">
        <v>0</v>
      </c>
      <c r="E215" s="2043">
        <v>0</v>
      </c>
    </row>
    <row r="216" spans="1:5" ht="14.5">
      <c r="A216" s="2042" t="s">
        <v>4984</v>
      </c>
      <c r="B216" s="380" t="str">
        <f t="shared" si="3"/>
        <v>055-901</v>
      </c>
      <c r="C216" s="2042" t="s">
        <v>113</v>
      </c>
      <c r="D216" s="2043">
        <v>1401950</v>
      </c>
      <c r="E216" s="2043">
        <v>0</v>
      </c>
    </row>
    <row r="217" spans="1:5" ht="14.5">
      <c r="A217" s="2042" t="s">
        <v>4985</v>
      </c>
      <c r="B217" s="380" t="str">
        <f t="shared" si="3"/>
        <v>056-901</v>
      </c>
      <c r="C217" s="2042" t="s">
        <v>114</v>
      </c>
      <c r="D217" s="2043">
        <v>957016</v>
      </c>
      <c r="E217" s="2043">
        <v>957016</v>
      </c>
    </row>
    <row r="218" spans="1:5" ht="14.5">
      <c r="A218" s="2042" t="s">
        <v>5780</v>
      </c>
      <c r="B218" s="380" t="str">
        <f t="shared" si="3"/>
        <v>056-902</v>
      </c>
      <c r="C218" s="2042" t="s">
        <v>115</v>
      </c>
      <c r="D218" s="2043">
        <v>137825</v>
      </c>
      <c r="E218" s="2043">
        <v>0</v>
      </c>
    </row>
    <row r="219" spans="1:5" ht="14.5">
      <c r="A219" s="2042" t="s">
        <v>4986</v>
      </c>
      <c r="B219" s="380" t="str">
        <f t="shared" si="3"/>
        <v>057-903</v>
      </c>
      <c r="C219" s="2042" t="s">
        <v>116</v>
      </c>
      <c r="D219" s="2043">
        <v>20129975</v>
      </c>
      <c r="E219" s="2043">
        <v>23336094</v>
      </c>
    </row>
    <row r="220" spans="1:5" ht="14.5">
      <c r="A220" s="2042" t="s">
        <v>4987</v>
      </c>
      <c r="B220" s="380" t="str">
        <f t="shared" si="3"/>
        <v>057-904</v>
      </c>
      <c r="C220" s="2042" t="s">
        <v>117</v>
      </c>
      <c r="D220" s="2043">
        <v>11448132</v>
      </c>
      <c r="E220" s="2043">
        <v>12185209</v>
      </c>
    </row>
    <row r="221" spans="1:5" ht="14.5">
      <c r="A221" s="2042" t="s">
        <v>4988</v>
      </c>
      <c r="B221" s="380" t="str">
        <f t="shared" si="3"/>
        <v>057-905</v>
      </c>
      <c r="C221" s="2042" t="s">
        <v>118</v>
      </c>
      <c r="D221" s="2043">
        <v>182735067</v>
      </c>
      <c r="E221" s="2043">
        <v>167694319</v>
      </c>
    </row>
    <row r="222" spans="1:5" ht="14.5">
      <c r="A222" s="2042" t="s">
        <v>2953</v>
      </c>
      <c r="B222" s="380" t="str">
        <f t="shared" si="3"/>
        <v>057-906</v>
      </c>
      <c r="C222" s="2042" t="s">
        <v>119</v>
      </c>
      <c r="D222" s="2043">
        <v>14861831</v>
      </c>
      <c r="E222" s="2043">
        <v>13669532</v>
      </c>
    </row>
    <row r="223" spans="1:5" ht="14.5">
      <c r="A223" s="2042" t="s">
        <v>4989</v>
      </c>
      <c r="B223" s="380" t="str">
        <f t="shared" si="3"/>
        <v>057-907</v>
      </c>
      <c r="C223" s="2042" t="s">
        <v>120</v>
      </c>
      <c r="D223" s="2043">
        <v>18467310</v>
      </c>
      <c r="E223" s="2043">
        <v>17761156</v>
      </c>
    </row>
    <row r="224" spans="1:5" ht="14.5">
      <c r="A224" s="2042" t="s">
        <v>2954</v>
      </c>
      <c r="B224" s="380" t="str">
        <f t="shared" si="3"/>
        <v>057-909</v>
      </c>
      <c r="C224" s="2042" t="s">
        <v>1394</v>
      </c>
      <c r="D224" s="2043">
        <v>60964648</v>
      </c>
      <c r="E224" s="2043">
        <v>48728404</v>
      </c>
    </row>
    <row r="225" spans="1:5" ht="14.5">
      <c r="A225" s="2042" t="s">
        <v>2955</v>
      </c>
      <c r="B225" s="380" t="str">
        <f t="shared" si="3"/>
        <v>057-910</v>
      </c>
      <c r="C225" s="2042" t="s">
        <v>816</v>
      </c>
      <c r="D225" s="2043">
        <v>41842450</v>
      </c>
      <c r="E225" s="2043">
        <v>34486245</v>
      </c>
    </row>
    <row r="226" spans="1:5" ht="14.5">
      <c r="A226" s="2042" t="s">
        <v>4990</v>
      </c>
      <c r="B226" s="380" t="str">
        <f t="shared" si="3"/>
        <v>057-911</v>
      </c>
      <c r="C226" s="2042" t="s">
        <v>121</v>
      </c>
      <c r="D226" s="2043">
        <v>28649532</v>
      </c>
      <c r="E226" s="2043">
        <v>6890413</v>
      </c>
    </row>
    <row r="227" spans="1:5" ht="14.5">
      <c r="A227" s="2042" t="s">
        <v>2956</v>
      </c>
      <c r="B227" s="380" t="str">
        <f t="shared" si="3"/>
        <v>057-912</v>
      </c>
      <c r="C227" s="2042" t="s">
        <v>1195</v>
      </c>
      <c r="D227" s="2043">
        <v>45279600</v>
      </c>
      <c r="E227" s="2043">
        <v>45603026</v>
      </c>
    </row>
    <row r="228" spans="1:5" ht="14.5">
      <c r="A228" s="2042" t="s">
        <v>4991</v>
      </c>
      <c r="B228" s="380" t="str">
        <f t="shared" si="3"/>
        <v>057-913</v>
      </c>
      <c r="C228" s="2042" t="s">
        <v>122</v>
      </c>
      <c r="D228" s="2043">
        <v>13836282</v>
      </c>
      <c r="E228" s="2043">
        <v>10353388</v>
      </c>
    </row>
    <row r="229" spans="1:5" ht="14.5">
      <c r="A229" s="2042" t="s">
        <v>2957</v>
      </c>
      <c r="B229" s="380" t="str">
        <f t="shared" si="3"/>
        <v>057-914</v>
      </c>
      <c r="C229" s="2042" t="s">
        <v>2112</v>
      </c>
      <c r="D229" s="2043">
        <v>54293235</v>
      </c>
      <c r="E229" s="2043">
        <v>29095060</v>
      </c>
    </row>
    <row r="230" spans="1:5" ht="14.5">
      <c r="A230" s="2042" t="s">
        <v>4992</v>
      </c>
      <c r="B230" s="380" t="str">
        <f t="shared" si="3"/>
        <v>057-916</v>
      </c>
      <c r="C230" s="2042" t="s">
        <v>2466</v>
      </c>
      <c r="D230" s="2043">
        <v>79455993</v>
      </c>
      <c r="E230" s="2043">
        <v>36547308</v>
      </c>
    </row>
    <row r="231" spans="1:5" ht="14.5">
      <c r="A231" s="2042" t="s">
        <v>4993</v>
      </c>
      <c r="B231" s="380" t="str">
        <f t="shared" si="3"/>
        <v>057-919</v>
      </c>
      <c r="C231" s="2042" t="s">
        <v>2467</v>
      </c>
      <c r="D231" s="2043">
        <v>5717429</v>
      </c>
      <c r="E231" s="2043">
        <v>4035209</v>
      </c>
    </row>
    <row r="232" spans="1:5" ht="14.5">
      <c r="A232" s="2042" t="s">
        <v>4994</v>
      </c>
      <c r="B232" s="380" t="str">
        <f t="shared" si="3"/>
        <v>057-922</v>
      </c>
      <c r="C232" s="2042" t="s">
        <v>2468</v>
      </c>
      <c r="D232" s="2043">
        <v>26703411</v>
      </c>
      <c r="E232" s="2043">
        <v>24041318</v>
      </c>
    </row>
    <row r="233" spans="1:5" ht="14.5">
      <c r="A233" s="2042" t="s">
        <v>5781</v>
      </c>
      <c r="B233" s="380" t="str">
        <f t="shared" si="3"/>
        <v>058-902</v>
      </c>
      <c r="C233" s="2042" t="s">
        <v>2516</v>
      </c>
      <c r="D233" s="2043">
        <v>0</v>
      </c>
      <c r="E233" s="2043">
        <v>0</v>
      </c>
    </row>
    <row r="234" spans="1:5" ht="14.5">
      <c r="A234" s="2042" t="s">
        <v>4995</v>
      </c>
      <c r="B234" s="380" t="str">
        <f t="shared" si="3"/>
        <v>058-905</v>
      </c>
      <c r="C234" s="2042" t="s">
        <v>2469</v>
      </c>
      <c r="D234" s="2043">
        <v>983200</v>
      </c>
      <c r="E234" s="2043">
        <v>983200</v>
      </c>
    </row>
    <row r="235" spans="1:5" ht="14.5">
      <c r="A235" s="2042" t="s">
        <v>5782</v>
      </c>
      <c r="B235" s="380" t="str">
        <f t="shared" si="3"/>
        <v>058-906</v>
      </c>
      <c r="C235" s="2042" t="s">
        <v>2470</v>
      </c>
      <c r="D235" s="2043">
        <v>721300</v>
      </c>
      <c r="E235" s="2043">
        <v>0</v>
      </c>
    </row>
    <row r="236" spans="1:5" ht="14.5">
      <c r="A236" s="2042" t="s">
        <v>4996</v>
      </c>
      <c r="B236" s="380" t="str">
        <f t="shared" si="3"/>
        <v>058-909</v>
      </c>
      <c r="C236" s="2042" t="s">
        <v>2471</v>
      </c>
      <c r="D236" s="2043">
        <v>701475</v>
      </c>
      <c r="E236" s="2043">
        <v>701475</v>
      </c>
    </row>
    <row r="237" spans="1:5" ht="14.5">
      <c r="A237" s="2042" t="s">
        <v>3768</v>
      </c>
      <c r="B237" s="380" t="str">
        <f t="shared" si="3"/>
        <v>059-901</v>
      </c>
      <c r="C237" s="2042" t="s">
        <v>2239</v>
      </c>
      <c r="D237" s="2043">
        <v>0</v>
      </c>
      <c r="E237" s="2043">
        <v>0</v>
      </c>
    </row>
    <row r="238" spans="1:5" ht="14.5">
      <c r="A238" s="2042" t="s">
        <v>5783</v>
      </c>
      <c r="B238" s="380" t="str">
        <f t="shared" si="3"/>
        <v>059-902</v>
      </c>
      <c r="C238" s="2042" t="s">
        <v>2472</v>
      </c>
      <c r="D238" s="2043">
        <v>115958</v>
      </c>
      <c r="E238" s="2043">
        <v>0</v>
      </c>
    </row>
    <row r="239" spans="1:5" ht="14.5">
      <c r="A239" s="2042" t="s">
        <v>2958</v>
      </c>
      <c r="B239" s="380" t="str">
        <f t="shared" si="3"/>
        <v>060-902</v>
      </c>
      <c r="C239" s="2042" t="s">
        <v>2473</v>
      </c>
      <c r="D239" s="2043">
        <v>754997</v>
      </c>
      <c r="E239" s="2043">
        <v>754997</v>
      </c>
    </row>
    <row r="240" spans="1:5" ht="14.5">
      <c r="A240" s="2042" t="s">
        <v>2959</v>
      </c>
      <c r="B240" s="380" t="str">
        <f t="shared" si="3"/>
        <v>060-914</v>
      </c>
      <c r="C240" s="2042" t="s">
        <v>98</v>
      </c>
      <c r="D240" s="2043">
        <v>100800</v>
      </c>
      <c r="E240" s="2043">
        <v>100800</v>
      </c>
    </row>
    <row r="241" spans="1:5" ht="14.5">
      <c r="A241" s="2042" t="s">
        <v>7984</v>
      </c>
      <c r="B241" s="380" t="str">
        <f t="shared" si="3"/>
        <v>061-501</v>
      </c>
      <c r="C241" s="2042" t="s">
        <v>7985</v>
      </c>
      <c r="D241" s="2043">
        <v>0</v>
      </c>
      <c r="E241" s="2043">
        <v>0</v>
      </c>
    </row>
    <row r="242" spans="1:5" ht="14.5">
      <c r="A242" s="2042" t="s">
        <v>4997</v>
      </c>
      <c r="B242" s="380" t="str">
        <f t="shared" si="3"/>
        <v>061-901</v>
      </c>
      <c r="C242" s="2042" t="s">
        <v>2474</v>
      </c>
      <c r="D242" s="2043">
        <v>65382637</v>
      </c>
      <c r="E242" s="2043">
        <v>56316000</v>
      </c>
    </row>
    <row r="243" spans="1:5" ht="14.5">
      <c r="A243" s="2042" t="s">
        <v>2960</v>
      </c>
      <c r="B243" s="380" t="str">
        <f t="shared" si="3"/>
        <v>061-902</v>
      </c>
      <c r="C243" s="2042" t="s">
        <v>2327</v>
      </c>
      <c r="D243" s="2043">
        <v>134445735</v>
      </c>
      <c r="E243" s="2043">
        <v>121558727</v>
      </c>
    </row>
    <row r="244" spans="1:5" ht="14.5">
      <c r="A244" s="2042" t="s">
        <v>3776</v>
      </c>
      <c r="B244" s="380" t="str">
        <f t="shared" si="3"/>
        <v>061-903</v>
      </c>
      <c r="C244" s="2042" t="s">
        <v>946</v>
      </c>
      <c r="D244" s="2043">
        <v>1334200</v>
      </c>
      <c r="E244" s="2043">
        <v>1334200</v>
      </c>
    </row>
    <row r="245" spans="1:5" ht="14.5">
      <c r="A245" s="2042" t="s">
        <v>2961</v>
      </c>
      <c r="B245" s="380" t="str">
        <f t="shared" si="3"/>
        <v>061-905</v>
      </c>
      <c r="C245" s="2042" t="s">
        <v>1598</v>
      </c>
      <c r="D245" s="2043">
        <v>2848612</v>
      </c>
      <c r="E245" s="2043">
        <v>2848612</v>
      </c>
    </row>
    <row r="246" spans="1:5" ht="14.5">
      <c r="A246" s="2042" t="s">
        <v>2962</v>
      </c>
      <c r="B246" s="380" t="str">
        <f t="shared" si="3"/>
        <v>061-906</v>
      </c>
      <c r="C246" s="2042" t="s">
        <v>948</v>
      </c>
      <c r="D246" s="2043">
        <v>2299400</v>
      </c>
      <c r="E246" s="2043">
        <v>2299400</v>
      </c>
    </row>
    <row r="247" spans="1:5" ht="14.5">
      <c r="A247" s="2042" t="s">
        <v>2963</v>
      </c>
      <c r="B247" s="380" t="str">
        <f t="shared" si="3"/>
        <v>061-907</v>
      </c>
      <c r="C247" s="2042" t="s">
        <v>1997</v>
      </c>
      <c r="D247" s="2043">
        <v>5458908</v>
      </c>
      <c r="E247" s="2043">
        <v>3486208</v>
      </c>
    </row>
    <row r="248" spans="1:5" ht="14.5">
      <c r="A248" s="2042" t="s">
        <v>2964</v>
      </c>
      <c r="B248" s="380" t="str">
        <f t="shared" si="3"/>
        <v>061-908</v>
      </c>
      <c r="C248" s="2042" t="s">
        <v>1947</v>
      </c>
      <c r="D248" s="2043">
        <v>2861250</v>
      </c>
      <c r="E248" s="2043">
        <v>2861250</v>
      </c>
    </row>
    <row r="249" spans="1:5" ht="14.5">
      <c r="A249" s="2042" t="s">
        <v>4998</v>
      </c>
      <c r="B249" s="380" t="str">
        <f t="shared" si="3"/>
        <v>061-910</v>
      </c>
      <c r="C249" s="2042" t="s">
        <v>2475</v>
      </c>
      <c r="D249" s="2043">
        <v>10573725</v>
      </c>
      <c r="E249" s="2043">
        <v>6893464</v>
      </c>
    </row>
    <row r="250" spans="1:5" ht="14.5">
      <c r="A250" s="2042" t="s">
        <v>2965</v>
      </c>
      <c r="B250" s="380" t="str">
        <f t="shared" si="3"/>
        <v>061-911</v>
      </c>
      <c r="C250" s="2042" t="s">
        <v>1182</v>
      </c>
      <c r="D250" s="2043">
        <v>71838109</v>
      </c>
      <c r="E250" s="2043">
        <v>54246795</v>
      </c>
    </row>
    <row r="251" spans="1:5" ht="14.5">
      <c r="A251" s="2042" t="s">
        <v>2966</v>
      </c>
      <c r="B251" s="380" t="str">
        <f t="shared" si="3"/>
        <v>061-912</v>
      </c>
      <c r="C251" s="2042" t="s">
        <v>2176</v>
      </c>
      <c r="D251" s="2043">
        <v>8671331</v>
      </c>
      <c r="E251" s="2043">
        <v>7673387</v>
      </c>
    </row>
    <row r="252" spans="1:5" ht="14.5">
      <c r="A252" s="2042" t="s">
        <v>2967</v>
      </c>
      <c r="B252" s="380" t="str">
        <f t="shared" si="3"/>
        <v>061-914</v>
      </c>
      <c r="C252" s="2042" t="s">
        <v>1476</v>
      </c>
      <c r="D252" s="2043">
        <v>18212728</v>
      </c>
      <c r="E252" s="2043">
        <v>11227610</v>
      </c>
    </row>
    <row r="253" spans="1:5" ht="14.5">
      <c r="A253" s="2042" t="s">
        <v>2968</v>
      </c>
      <c r="B253" s="380" t="str">
        <f t="shared" si="3"/>
        <v>062-901</v>
      </c>
      <c r="C253" s="2042" t="s">
        <v>399</v>
      </c>
      <c r="D253" s="2043">
        <v>6249725</v>
      </c>
      <c r="E253" s="2043">
        <v>6632675</v>
      </c>
    </row>
    <row r="254" spans="1:5" ht="14.5">
      <c r="A254" s="2042" t="s">
        <v>4999</v>
      </c>
      <c r="B254" s="380" t="str">
        <f t="shared" si="3"/>
        <v>062-902</v>
      </c>
      <c r="C254" s="2042" t="s">
        <v>2476</v>
      </c>
      <c r="D254" s="2043">
        <v>0</v>
      </c>
      <c r="E254" s="2043">
        <v>0</v>
      </c>
    </row>
    <row r="255" spans="1:5" ht="14.5">
      <c r="A255" s="2042" t="s">
        <v>2969</v>
      </c>
      <c r="B255" s="380" t="str">
        <f t="shared" si="3"/>
        <v>062-903</v>
      </c>
      <c r="C255" s="2042" t="s">
        <v>2073</v>
      </c>
      <c r="D255" s="2043">
        <v>4524562</v>
      </c>
      <c r="E255" s="2043">
        <v>4036200</v>
      </c>
    </row>
    <row r="256" spans="1:5" ht="14.5">
      <c r="A256" s="2042" t="s">
        <v>5000</v>
      </c>
      <c r="B256" s="380" t="str">
        <f t="shared" si="3"/>
        <v>062-904</v>
      </c>
      <c r="C256" s="2042" t="s">
        <v>2477</v>
      </c>
      <c r="D256" s="2043">
        <v>384238</v>
      </c>
      <c r="E256" s="2043">
        <v>384238</v>
      </c>
    </row>
    <row r="257" spans="1:5" ht="14.5">
      <c r="A257" s="2042" t="s">
        <v>5784</v>
      </c>
      <c r="B257" s="380" t="str">
        <f t="shared" si="3"/>
        <v>062-905</v>
      </c>
      <c r="C257" s="2042" t="s">
        <v>2478</v>
      </c>
      <c r="D257" s="2043">
        <v>0</v>
      </c>
      <c r="E257" s="2043">
        <v>0</v>
      </c>
    </row>
    <row r="258" spans="1:5" ht="14.5">
      <c r="A258" s="2042" t="s">
        <v>5785</v>
      </c>
      <c r="B258" s="380" t="str">
        <f t="shared" si="3"/>
        <v>062-906</v>
      </c>
      <c r="C258" s="2042" t="s">
        <v>2479</v>
      </c>
      <c r="D258" s="2043">
        <v>0</v>
      </c>
      <c r="E258" s="2043">
        <v>0</v>
      </c>
    </row>
    <row r="259" spans="1:5" ht="14.5">
      <c r="A259" s="2042" t="s">
        <v>5001</v>
      </c>
      <c r="B259" s="380" t="str">
        <f t="shared" ref="B259:B322" si="4">CONCATENATE(LEFT(RIGHT(CONCATENATE("000",A259),6),3),"-",(RIGHT(RIGHT(CONCATENATE("000",A259),6),3)))</f>
        <v>063-903</v>
      </c>
      <c r="C259" s="2042" t="s">
        <v>2480</v>
      </c>
      <c r="D259" s="2043">
        <v>567225</v>
      </c>
      <c r="E259" s="2043">
        <v>567225</v>
      </c>
    </row>
    <row r="260" spans="1:5" ht="14.5">
      <c r="A260" s="2042" t="s">
        <v>5786</v>
      </c>
      <c r="B260" s="380" t="str">
        <f t="shared" si="4"/>
        <v>063-906</v>
      </c>
      <c r="C260" s="2042" t="s">
        <v>2481</v>
      </c>
      <c r="D260" s="2043">
        <v>0</v>
      </c>
      <c r="E260" s="2043">
        <v>0</v>
      </c>
    </row>
    <row r="261" spans="1:5" ht="14.5">
      <c r="A261" s="2042" t="s">
        <v>2970</v>
      </c>
      <c r="B261" s="380" t="str">
        <f t="shared" si="4"/>
        <v>064-903</v>
      </c>
      <c r="C261" s="2042" t="s">
        <v>28</v>
      </c>
      <c r="D261" s="2043">
        <v>3024927</v>
      </c>
      <c r="E261" s="2043">
        <v>3191712</v>
      </c>
    </row>
    <row r="262" spans="1:5" ht="14.5">
      <c r="A262" s="2042" t="s">
        <v>5787</v>
      </c>
      <c r="B262" s="380" t="str">
        <f t="shared" si="4"/>
        <v>065-901</v>
      </c>
      <c r="C262" s="2042" t="s">
        <v>1851</v>
      </c>
      <c r="D262" s="2043">
        <v>0</v>
      </c>
      <c r="E262" s="2043">
        <v>0</v>
      </c>
    </row>
    <row r="263" spans="1:5" ht="14.5">
      <c r="A263" s="2042" t="s">
        <v>2971</v>
      </c>
      <c r="B263" s="380" t="str">
        <f t="shared" si="4"/>
        <v>065-902</v>
      </c>
      <c r="C263" s="2042" t="s">
        <v>2237</v>
      </c>
      <c r="D263" s="2043">
        <v>0</v>
      </c>
      <c r="E263" s="2043">
        <v>0</v>
      </c>
    </row>
    <row r="264" spans="1:5" ht="14.5">
      <c r="A264" s="2042" t="s">
        <v>5788</v>
      </c>
      <c r="B264" s="380" t="str">
        <f t="shared" si="4"/>
        <v>066-005</v>
      </c>
      <c r="C264" s="2042" t="s">
        <v>1852</v>
      </c>
      <c r="D264" s="2043">
        <v>0</v>
      </c>
      <c r="E264" s="2043">
        <v>0</v>
      </c>
    </row>
    <row r="265" spans="1:5" ht="14.5">
      <c r="A265" s="2042" t="s">
        <v>5002</v>
      </c>
      <c r="B265" s="380" t="str">
        <f t="shared" si="4"/>
        <v>066-901</v>
      </c>
      <c r="C265" s="2042" t="s">
        <v>1853</v>
      </c>
      <c r="D265" s="2043">
        <v>537382</v>
      </c>
      <c r="E265" s="2043">
        <v>537382</v>
      </c>
    </row>
    <row r="266" spans="1:5" ht="14.5">
      <c r="A266" s="2042" t="s">
        <v>2972</v>
      </c>
      <c r="B266" s="380" t="str">
        <f t="shared" si="4"/>
        <v>066-902</v>
      </c>
      <c r="C266" s="2042" t="s">
        <v>1917</v>
      </c>
      <c r="D266" s="2043">
        <v>1629326</v>
      </c>
      <c r="E266" s="2043">
        <v>1629326</v>
      </c>
    </row>
    <row r="267" spans="1:5" ht="14.5">
      <c r="A267" s="2042" t="s">
        <v>5003</v>
      </c>
      <c r="B267" s="380" t="str">
        <f t="shared" si="4"/>
        <v>066-903</v>
      </c>
      <c r="C267" s="2042" t="s">
        <v>1854</v>
      </c>
      <c r="D267" s="2043">
        <v>1509838</v>
      </c>
      <c r="E267" s="2043">
        <v>1251500</v>
      </c>
    </row>
    <row r="268" spans="1:5" ht="14.5">
      <c r="A268" s="2042" t="s">
        <v>3827</v>
      </c>
      <c r="B268" s="380" t="str">
        <f t="shared" si="4"/>
        <v>067-902</v>
      </c>
      <c r="C268" s="2042" t="s">
        <v>2032</v>
      </c>
      <c r="D268" s="2043">
        <v>0</v>
      </c>
      <c r="E268" s="2043">
        <v>0</v>
      </c>
    </row>
    <row r="269" spans="1:5" ht="14.5">
      <c r="A269" s="2042" t="s">
        <v>5789</v>
      </c>
      <c r="B269" s="380" t="str">
        <f t="shared" si="4"/>
        <v>067-903</v>
      </c>
      <c r="C269" s="2042" t="s">
        <v>1855</v>
      </c>
      <c r="D269" s="2043">
        <v>781347</v>
      </c>
      <c r="E269" s="2043">
        <v>0</v>
      </c>
    </row>
    <row r="270" spans="1:5" ht="14.5">
      <c r="A270" s="2042" t="s">
        <v>5004</v>
      </c>
      <c r="B270" s="380" t="str">
        <f t="shared" si="4"/>
        <v>067-904</v>
      </c>
      <c r="C270" s="2042" t="s">
        <v>1856</v>
      </c>
      <c r="D270" s="2043">
        <v>315375</v>
      </c>
      <c r="E270" s="2043">
        <v>315375</v>
      </c>
    </row>
    <row r="271" spans="1:5" ht="14.5">
      <c r="A271" s="2042" t="s">
        <v>5790</v>
      </c>
      <c r="B271" s="380" t="str">
        <f t="shared" si="4"/>
        <v>067-907</v>
      </c>
      <c r="C271" s="2042" t="s">
        <v>1857</v>
      </c>
      <c r="D271" s="2043">
        <v>0</v>
      </c>
      <c r="E271" s="2043">
        <v>0</v>
      </c>
    </row>
    <row r="272" spans="1:5" ht="14.5">
      <c r="A272" s="2042" t="s">
        <v>5791</v>
      </c>
      <c r="B272" s="380" t="str">
        <f t="shared" si="4"/>
        <v>067-908</v>
      </c>
      <c r="C272" s="2042" t="s">
        <v>1858</v>
      </c>
      <c r="D272" s="2043">
        <v>0</v>
      </c>
      <c r="E272" s="2043">
        <v>0</v>
      </c>
    </row>
    <row r="273" spans="1:5" ht="14.5">
      <c r="A273" s="2042" t="s">
        <v>5005</v>
      </c>
      <c r="B273" s="380" t="str">
        <f t="shared" si="4"/>
        <v>068-901</v>
      </c>
      <c r="C273" s="2042" t="s">
        <v>1859</v>
      </c>
      <c r="D273" s="2043">
        <v>9952906</v>
      </c>
      <c r="E273" s="2043">
        <v>13097242</v>
      </c>
    </row>
    <row r="274" spans="1:5" ht="14.5">
      <c r="A274" s="2042" t="s">
        <v>5006</v>
      </c>
      <c r="B274" s="380" t="str">
        <f t="shared" si="4"/>
        <v>069-901</v>
      </c>
      <c r="C274" s="2042" t="s">
        <v>1860</v>
      </c>
      <c r="D274" s="2043">
        <v>288262</v>
      </c>
      <c r="E274" s="2043">
        <v>288262</v>
      </c>
    </row>
    <row r="275" spans="1:5" ht="14.5">
      <c r="A275" s="2042" t="s">
        <v>5792</v>
      </c>
      <c r="B275" s="380" t="str">
        <f t="shared" si="4"/>
        <v>069-902</v>
      </c>
      <c r="C275" s="2042" t="s">
        <v>1861</v>
      </c>
      <c r="D275" s="2043">
        <v>0</v>
      </c>
      <c r="E275" s="2043">
        <v>0</v>
      </c>
    </row>
    <row r="276" spans="1:5" ht="14.5">
      <c r="A276" s="2042" t="s">
        <v>2973</v>
      </c>
      <c r="B276" s="380" t="str">
        <f t="shared" si="4"/>
        <v>070-901</v>
      </c>
      <c r="C276" s="2042" t="s">
        <v>1998</v>
      </c>
      <c r="D276" s="2043">
        <v>84800</v>
      </c>
      <c r="E276" s="2043">
        <v>84800</v>
      </c>
    </row>
    <row r="277" spans="1:5" ht="14.5">
      <c r="A277" s="2042" t="s">
        <v>5007</v>
      </c>
      <c r="B277" s="380" t="str">
        <f t="shared" si="4"/>
        <v>070-903</v>
      </c>
      <c r="C277" s="2042" t="s">
        <v>1862</v>
      </c>
      <c r="D277" s="2043">
        <v>11319750</v>
      </c>
      <c r="E277" s="2043">
        <v>11883736</v>
      </c>
    </row>
    <row r="278" spans="1:5" ht="14.5">
      <c r="A278" s="2042" t="s">
        <v>2974</v>
      </c>
      <c r="B278" s="380" t="str">
        <f t="shared" si="4"/>
        <v>070-905</v>
      </c>
      <c r="C278" s="2042" t="s">
        <v>1863</v>
      </c>
      <c r="D278" s="2043">
        <v>3030650</v>
      </c>
      <c r="E278" s="2043">
        <v>2972350</v>
      </c>
    </row>
    <row r="279" spans="1:5" ht="14.5">
      <c r="A279" s="2042" t="s">
        <v>2975</v>
      </c>
      <c r="B279" s="380" t="str">
        <f t="shared" si="4"/>
        <v>070-907</v>
      </c>
      <c r="C279" s="2042" t="s">
        <v>1196</v>
      </c>
      <c r="D279" s="2043">
        <v>679574</v>
      </c>
      <c r="E279" s="2043">
        <v>542262</v>
      </c>
    </row>
    <row r="280" spans="1:5" ht="14.5">
      <c r="A280" s="2042" t="s">
        <v>5008</v>
      </c>
      <c r="B280" s="380" t="str">
        <f t="shared" si="4"/>
        <v>070-908</v>
      </c>
      <c r="C280" s="2042" t="s">
        <v>1864</v>
      </c>
      <c r="D280" s="2043">
        <v>14735837</v>
      </c>
      <c r="E280" s="2043">
        <v>15844873</v>
      </c>
    </row>
    <row r="281" spans="1:5" ht="14.5">
      <c r="A281" s="2042" t="s">
        <v>5793</v>
      </c>
      <c r="B281" s="380" t="str">
        <f t="shared" si="4"/>
        <v>070-909</v>
      </c>
      <c r="C281" s="2042" t="s">
        <v>1865</v>
      </c>
      <c r="D281" s="2043">
        <v>0</v>
      </c>
      <c r="E281" s="2043">
        <v>0</v>
      </c>
    </row>
    <row r="282" spans="1:5" ht="14.5">
      <c r="A282" s="2042" t="s">
        <v>2976</v>
      </c>
      <c r="B282" s="380" t="str">
        <f t="shared" si="4"/>
        <v>070-910</v>
      </c>
      <c r="C282" s="2042" t="s">
        <v>1287</v>
      </c>
      <c r="D282" s="2043">
        <v>1229777</v>
      </c>
      <c r="E282" s="2043">
        <v>1279078</v>
      </c>
    </row>
    <row r="283" spans="1:5" ht="14.5">
      <c r="A283" s="2042" t="s">
        <v>2977</v>
      </c>
      <c r="B283" s="380" t="str">
        <f t="shared" si="4"/>
        <v>070-911</v>
      </c>
      <c r="C283" s="2042" t="s">
        <v>77</v>
      </c>
      <c r="D283" s="2043">
        <v>7118253</v>
      </c>
      <c r="E283" s="2043">
        <v>7800250</v>
      </c>
    </row>
    <row r="284" spans="1:5" ht="14.5">
      <c r="A284" s="2042" t="s">
        <v>2978</v>
      </c>
      <c r="B284" s="380" t="str">
        <f t="shared" si="4"/>
        <v>070-912</v>
      </c>
      <c r="C284" s="2042" t="s">
        <v>130</v>
      </c>
      <c r="D284" s="2043">
        <v>17267547</v>
      </c>
      <c r="E284" s="2043">
        <v>13741296</v>
      </c>
    </row>
    <row r="285" spans="1:5" ht="14.5">
      <c r="A285" s="2042" t="s">
        <v>2979</v>
      </c>
      <c r="B285" s="380" t="str">
        <f t="shared" si="4"/>
        <v>070-915</v>
      </c>
      <c r="C285" s="2042" t="s">
        <v>1879</v>
      </c>
      <c r="D285" s="2043">
        <v>1025348</v>
      </c>
      <c r="E285" s="2043">
        <v>1025348</v>
      </c>
    </row>
    <row r="286" spans="1:5" ht="14.5">
      <c r="A286" s="2042" t="s">
        <v>2980</v>
      </c>
      <c r="B286" s="380" t="str">
        <f t="shared" si="4"/>
        <v>071-901</v>
      </c>
      <c r="C286" s="2042" t="s">
        <v>1096</v>
      </c>
      <c r="D286" s="2043">
        <v>13777700</v>
      </c>
      <c r="E286" s="2043">
        <v>14183020</v>
      </c>
    </row>
    <row r="287" spans="1:5" ht="14.5">
      <c r="A287" s="2042" t="s">
        <v>2981</v>
      </c>
      <c r="B287" s="380" t="str">
        <f t="shared" si="4"/>
        <v>071-902</v>
      </c>
      <c r="C287" s="2042" t="s">
        <v>1866</v>
      </c>
      <c r="D287" s="2043">
        <v>47142744</v>
      </c>
      <c r="E287" s="2043">
        <v>30853105</v>
      </c>
    </row>
    <row r="288" spans="1:5" ht="14.5">
      <c r="A288" s="2042" t="s">
        <v>2982</v>
      </c>
      <c r="B288" s="380" t="str">
        <f t="shared" si="4"/>
        <v>071-903</v>
      </c>
      <c r="C288" s="2042" t="s">
        <v>845</v>
      </c>
      <c r="D288" s="2043">
        <v>2232287</v>
      </c>
      <c r="E288" s="2043">
        <v>1931862</v>
      </c>
    </row>
    <row r="289" spans="1:5" ht="14.5">
      <c r="A289" s="2042" t="s">
        <v>3862</v>
      </c>
      <c r="B289" s="380" t="str">
        <f t="shared" si="4"/>
        <v>071-904</v>
      </c>
      <c r="C289" s="2042" t="s">
        <v>1918</v>
      </c>
      <c r="D289" s="2043">
        <v>1676900</v>
      </c>
      <c r="E289" s="2043">
        <v>1675772</v>
      </c>
    </row>
    <row r="290" spans="1:5" ht="14.5">
      <c r="A290" s="2042" t="s">
        <v>3867</v>
      </c>
      <c r="B290" s="380" t="str">
        <f t="shared" si="4"/>
        <v>071-905</v>
      </c>
      <c r="C290" s="2042" t="s">
        <v>716</v>
      </c>
      <c r="D290" s="2043">
        <v>33592671</v>
      </c>
      <c r="E290" s="2043">
        <v>16039000</v>
      </c>
    </row>
    <row r="291" spans="1:5" ht="14.5">
      <c r="A291" s="2042" t="s">
        <v>2983</v>
      </c>
      <c r="B291" s="380" t="str">
        <f t="shared" si="4"/>
        <v>071-906</v>
      </c>
      <c r="C291" s="2042" t="s">
        <v>123</v>
      </c>
      <c r="D291" s="2043">
        <v>471250</v>
      </c>
      <c r="E291" s="2043">
        <v>471250</v>
      </c>
    </row>
    <row r="292" spans="1:5" ht="14.5">
      <c r="A292" s="2042" t="s">
        <v>2984</v>
      </c>
      <c r="B292" s="380" t="str">
        <f t="shared" si="4"/>
        <v>071-907</v>
      </c>
      <c r="C292" s="2042" t="s">
        <v>612</v>
      </c>
      <c r="D292" s="2043">
        <v>6231325</v>
      </c>
      <c r="E292" s="2043">
        <v>7397778</v>
      </c>
    </row>
    <row r="293" spans="1:5" ht="14.5">
      <c r="A293" s="2042" t="s">
        <v>2985</v>
      </c>
      <c r="B293" s="380" t="str">
        <f t="shared" si="4"/>
        <v>071-908</v>
      </c>
      <c r="C293" s="2042" t="s">
        <v>569</v>
      </c>
      <c r="D293" s="2043">
        <v>1301819</v>
      </c>
      <c r="E293" s="2043">
        <v>984451</v>
      </c>
    </row>
    <row r="294" spans="1:5" ht="14.5">
      <c r="A294" s="2042" t="s">
        <v>2986</v>
      </c>
      <c r="B294" s="380" t="str">
        <f t="shared" si="4"/>
        <v>071-909</v>
      </c>
      <c r="C294" s="2042" t="s">
        <v>1823</v>
      </c>
      <c r="D294" s="2043">
        <v>53431032</v>
      </c>
      <c r="E294" s="2043">
        <v>44790983</v>
      </c>
    </row>
    <row r="295" spans="1:5" ht="14.5">
      <c r="A295" s="2042" t="s">
        <v>5794</v>
      </c>
      <c r="B295" s="380" t="str">
        <f t="shared" si="4"/>
        <v>072-901</v>
      </c>
      <c r="C295" s="2042" t="s">
        <v>1867</v>
      </c>
      <c r="D295" s="2043">
        <v>0</v>
      </c>
      <c r="E295" s="2043">
        <v>0</v>
      </c>
    </row>
    <row r="296" spans="1:5" ht="14.5">
      <c r="A296" s="2042" t="s">
        <v>5009</v>
      </c>
      <c r="B296" s="380" t="str">
        <f t="shared" si="4"/>
        <v>072-902</v>
      </c>
      <c r="C296" s="2042" t="s">
        <v>1868</v>
      </c>
      <c r="D296" s="2043">
        <v>632825</v>
      </c>
      <c r="E296" s="2043">
        <v>632825</v>
      </c>
    </row>
    <row r="297" spans="1:5" ht="14.5">
      <c r="A297" s="2042" t="s">
        <v>2987</v>
      </c>
      <c r="B297" s="380" t="str">
        <f t="shared" si="4"/>
        <v>072-903</v>
      </c>
      <c r="C297" s="2042" t="s">
        <v>1980</v>
      </c>
      <c r="D297" s="2043">
        <v>4850680</v>
      </c>
      <c r="E297" s="2043">
        <v>1528268</v>
      </c>
    </row>
    <row r="298" spans="1:5" ht="14.5">
      <c r="A298" s="2042" t="s">
        <v>5010</v>
      </c>
      <c r="B298" s="380" t="str">
        <f t="shared" si="4"/>
        <v>072-904</v>
      </c>
      <c r="C298" s="2042" t="s">
        <v>1869</v>
      </c>
      <c r="D298" s="2043">
        <v>285400</v>
      </c>
      <c r="E298" s="2043">
        <v>0</v>
      </c>
    </row>
    <row r="299" spans="1:5" ht="14.5">
      <c r="A299" s="2042" t="s">
        <v>5795</v>
      </c>
      <c r="B299" s="380" t="str">
        <f t="shared" si="4"/>
        <v>072-908</v>
      </c>
      <c r="C299" s="2042" t="s">
        <v>1870</v>
      </c>
      <c r="D299" s="2043">
        <v>0</v>
      </c>
      <c r="E299" s="2043">
        <v>0</v>
      </c>
    </row>
    <row r="300" spans="1:5" ht="14.5">
      <c r="A300" s="2042" t="s">
        <v>2988</v>
      </c>
      <c r="B300" s="380" t="str">
        <f t="shared" si="4"/>
        <v>072-909</v>
      </c>
      <c r="C300" s="2042" t="s">
        <v>2329</v>
      </c>
      <c r="D300" s="2043">
        <v>89608</v>
      </c>
      <c r="E300" s="2043">
        <v>89608</v>
      </c>
    </row>
    <row r="301" spans="1:5" ht="14.5">
      <c r="A301" s="2042" t="s">
        <v>5796</v>
      </c>
      <c r="B301" s="380" t="str">
        <f t="shared" si="4"/>
        <v>072-910</v>
      </c>
      <c r="C301" s="2042" t="s">
        <v>1871</v>
      </c>
      <c r="D301" s="2043">
        <v>0</v>
      </c>
      <c r="E301" s="2043">
        <v>0</v>
      </c>
    </row>
    <row r="302" spans="1:5" ht="14.5">
      <c r="A302" s="2042" t="s">
        <v>5011</v>
      </c>
      <c r="B302" s="380" t="str">
        <f t="shared" si="4"/>
        <v>073-901</v>
      </c>
      <c r="C302" s="2042" t="s">
        <v>979</v>
      </c>
      <c r="D302" s="2043">
        <v>346030</v>
      </c>
      <c r="E302" s="2043">
        <v>346030</v>
      </c>
    </row>
    <row r="303" spans="1:5" ht="14.5">
      <c r="A303" s="2042" t="s">
        <v>3901</v>
      </c>
      <c r="B303" s="380" t="str">
        <f t="shared" si="4"/>
        <v>073-903</v>
      </c>
      <c r="C303" s="2042" t="s">
        <v>1950</v>
      </c>
      <c r="D303" s="2043">
        <v>0</v>
      </c>
      <c r="E303" s="2043">
        <v>0</v>
      </c>
    </row>
    <row r="304" spans="1:5" ht="14.5">
      <c r="A304" s="2042" t="s">
        <v>3903</v>
      </c>
      <c r="B304" s="380" t="str">
        <f t="shared" si="4"/>
        <v>073-904</v>
      </c>
      <c r="C304" s="2042" t="s">
        <v>1256</v>
      </c>
      <c r="D304" s="2043">
        <v>0</v>
      </c>
      <c r="E304" s="2043">
        <v>0</v>
      </c>
    </row>
    <row r="305" spans="1:5" ht="14.5">
      <c r="A305" s="2042" t="s">
        <v>5797</v>
      </c>
      <c r="B305" s="380" t="str">
        <f t="shared" si="4"/>
        <v>073-905</v>
      </c>
      <c r="C305" s="2042" t="s">
        <v>1873</v>
      </c>
      <c r="D305" s="2043">
        <v>666762</v>
      </c>
      <c r="E305" s="2043">
        <v>0</v>
      </c>
    </row>
    <row r="306" spans="1:5" ht="14.5">
      <c r="A306" s="2042" t="s">
        <v>5012</v>
      </c>
      <c r="B306" s="380" t="str">
        <f t="shared" si="4"/>
        <v>074-903</v>
      </c>
      <c r="C306" s="2042" t="s">
        <v>1</v>
      </c>
      <c r="D306" s="2043">
        <v>2089713</v>
      </c>
      <c r="E306" s="2043">
        <v>352888</v>
      </c>
    </row>
    <row r="307" spans="1:5" ht="14.5">
      <c r="A307" s="2042" t="s">
        <v>2989</v>
      </c>
      <c r="B307" s="380" t="str">
        <f t="shared" si="4"/>
        <v>074-904</v>
      </c>
      <c r="C307" s="2042" t="s">
        <v>2058</v>
      </c>
      <c r="D307" s="2043">
        <v>295169</v>
      </c>
      <c r="E307" s="2043">
        <v>295169</v>
      </c>
    </row>
    <row r="308" spans="1:5" ht="14.5">
      <c r="A308" s="2042" t="s">
        <v>2990</v>
      </c>
      <c r="B308" s="380" t="str">
        <f t="shared" si="4"/>
        <v>074-905</v>
      </c>
      <c r="C308" s="2042" t="s">
        <v>1009</v>
      </c>
      <c r="D308" s="2043">
        <v>160125</v>
      </c>
      <c r="E308" s="2043">
        <v>160125</v>
      </c>
    </row>
    <row r="309" spans="1:5" ht="14.5">
      <c r="A309" s="2042" t="s">
        <v>2991</v>
      </c>
      <c r="B309" s="380" t="str">
        <f t="shared" si="4"/>
        <v>074-907</v>
      </c>
      <c r="C309" s="2042" t="s">
        <v>2</v>
      </c>
      <c r="D309" s="2043">
        <v>637775</v>
      </c>
      <c r="E309" s="2043">
        <v>637775</v>
      </c>
    </row>
    <row r="310" spans="1:5" ht="14.5">
      <c r="A310" s="2042" t="s">
        <v>5013</v>
      </c>
      <c r="B310" s="380" t="str">
        <f t="shared" si="4"/>
        <v>074-909</v>
      </c>
      <c r="C310" s="2042" t="s">
        <v>3</v>
      </c>
      <c r="D310" s="2043">
        <v>0</v>
      </c>
      <c r="E310" s="2043">
        <v>0</v>
      </c>
    </row>
    <row r="311" spans="1:5" ht="14.5">
      <c r="A311" s="2042" t="s">
        <v>5014</v>
      </c>
      <c r="B311" s="380" t="str">
        <f t="shared" si="4"/>
        <v>074-911</v>
      </c>
      <c r="C311" s="2042" t="s">
        <v>4</v>
      </c>
      <c r="D311" s="2043">
        <v>240856</v>
      </c>
      <c r="E311" s="2043">
        <v>240856</v>
      </c>
    </row>
    <row r="312" spans="1:5" ht="14.5">
      <c r="A312" s="2042" t="s">
        <v>2992</v>
      </c>
      <c r="B312" s="380" t="str">
        <f t="shared" si="4"/>
        <v>074-912</v>
      </c>
      <c r="C312" s="2042" t="s">
        <v>5</v>
      </c>
      <c r="D312" s="2043">
        <v>473875</v>
      </c>
      <c r="E312" s="2043">
        <v>473875</v>
      </c>
    </row>
    <row r="313" spans="1:5" ht="14.5">
      <c r="A313" s="2042" t="s">
        <v>2993</v>
      </c>
      <c r="B313" s="380" t="str">
        <f t="shared" si="4"/>
        <v>074-917</v>
      </c>
      <c r="C313" s="2042" t="s">
        <v>1913</v>
      </c>
      <c r="D313" s="2043">
        <v>209023</v>
      </c>
      <c r="E313" s="2043">
        <v>185450</v>
      </c>
    </row>
    <row r="314" spans="1:5" ht="14.5">
      <c r="A314" s="2042" t="s">
        <v>5015</v>
      </c>
      <c r="B314" s="380" t="str">
        <f t="shared" si="4"/>
        <v>075-901</v>
      </c>
      <c r="C314" s="2042" t="s">
        <v>434</v>
      </c>
      <c r="D314" s="2043">
        <v>844440</v>
      </c>
      <c r="E314" s="2043">
        <v>196840</v>
      </c>
    </row>
    <row r="315" spans="1:5" ht="14.5">
      <c r="A315" s="2042" t="s">
        <v>5798</v>
      </c>
      <c r="B315" s="380" t="str">
        <f t="shared" si="4"/>
        <v>075-902</v>
      </c>
      <c r="C315" s="2042" t="s">
        <v>435</v>
      </c>
      <c r="D315" s="2043">
        <v>2274400</v>
      </c>
      <c r="E315" s="2043">
        <v>0</v>
      </c>
    </row>
    <row r="316" spans="1:5" ht="14.5">
      <c r="A316" s="2042" t="s">
        <v>5016</v>
      </c>
      <c r="B316" s="380" t="str">
        <f t="shared" si="4"/>
        <v>075-903</v>
      </c>
      <c r="C316" s="2042" t="s">
        <v>436</v>
      </c>
      <c r="D316" s="2043">
        <v>905250</v>
      </c>
      <c r="E316" s="2043">
        <v>465750</v>
      </c>
    </row>
    <row r="317" spans="1:5" ht="14.5">
      <c r="A317" s="2042" t="s">
        <v>5799</v>
      </c>
      <c r="B317" s="380" t="str">
        <f t="shared" si="4"/>
        <v>075-906</v>
      </c>
      <c r="C317" s="2042" t="s">
        <v>437</v>
      </c>
      <c r="D317" s="2043">
        <v>482535</v>
      </c>
      <c r="E317" s="2043">
        <v>0</v>
      </c>
    </row>
    <row r="318" spans="1:5" ht="14.5">
      <c r="A318" s="2042" t="s">
        <v>5017</v>
      </c>
      <c r="B318" s="380" t="str">
        <f t="shared" si="4"/>
        <v>075-908</v>
      </c>
      <c r="C318" s="2042" t="s">
        <v>167</v>
      </c>
      <c r="D318" s="2043">
        <v>245425</v>
      </c>
      <c r="E318" s="2043">
        <v>0</v>
      </c>
    </row>
    <row r="319" spans="1:5" ht="14.5">
      <c r="A319" s="2042" t="s">
        <v>5800</v>
      </c>
      <c r="B319" s="380" t="str">
        <f t="shared" si="4"/>
        <v>076-903</v>
      </c>
      <c r="C319" s="2042" t="s">
        <v>980</v>
      </c>
      <c r="D319" s="2043">
        <v>0</v>
      </c>
      <c r="E319" s="2043">
        <v>0</v>
      </c>
    </row>
    <row r="320" spans="1:5" ht="14.5">
      <c r="A320" s="2042" t="s">
        <v>2994</v>
      </c>
      <c r="B320" s="380" t="str">
        <f t="shared" si="4"/>
        <v>076-904</v>
      </c>
      <c r="C320" s="2042" t="s">
        <v>573</v>
      </c>
      <c r="D320" s="2043">
        <v>0</v>
      </c>
      <c r="E320" s="2043">
        <v>0</v>
      </c>
    </row>
    <row r="321" spans="1:5" ht="14.5">
      <c r="A321" s="2042" t="s">
        <v>5018</v>
      </c>
      <c r="B321" s="380" t="str">
        <f t="shared" si="4"/>
        <v>077-901</v>
      </c>
      <c r="C321" s="2042" t="s">
        <v>801</v>
      </c>
      <c r="D321" s="2043">
        <v>3220675</v>
      </c>
      <c r="E321" s="2043">
        <v>0</v>
      </c>
    </row>
    <row r="322" spans="1:5" ht="14.5">
      <c r="A322" s="2042" t="s">
        <v>5801</v>
      </c>
      <c r="B322" s="380" t="str">
        <f t="shared" si="4"/>
        <v>077-902</v>
      </c>
      <c r="C322" s="2042" t="s">
        <v>802</v>
      </c>
      <c r="D322" s="2043">
        <v>604150</v>
      </c>
      <c r="E322" s="2043">
        <v>0</v>
      </c>
    </row>
    <row r="323" spans="1:5" ht="14.5">
      <c r="A323" s="2042" t="s">
        <v>5802</v>
      </c>
      <c r="B323" s="380" t="str">
        <f t="shared" ref="B323:B386" si="5">CONCATENATE(LEFT(RIGHT(CONCATENATE("000",A323),6),3),"-",(RIGHT(RIGHT(CONCATENATE("000",A323),6),3)))</f>
        <v>078-901</v>
      </c>
      <c r="C323" s="2042" t="s">
        <v>803</v>
      </c>
      <c r="D323" s="2043">
        <v>0</v>
      </c>
      <c r="E323" s="2043">
        <v>0</v>
      </c>
    </row>
    <row r="324" spans="1:5" ht="14.5">
      <c r="A324" s="2042" t="s">
        <v>5019</v>
      </c>
      <c r="B324" s="380" t="str">
        <f t="shared" si="5"/>
        <v>079-901</v>
      </c>
      <c r="C324" s="2042" t="s">
        <v>981</v>
      </c>
      <c r="D324" s="2043">
        <v>70447132</v>
      </c>
      <c r="E324" s="2043">
        <v>52911322</v>
      </c>
    </row>
    <row r="325" spans="1:5" ht="14.5">
      <c r="A325" s="2042" t="s">
        <v>2995</v>
      </c>
      <c r="B325" s="380" t="str">
        <f t="shared" si="5"/>
        <v>079-906</v>
      </c>
      <c r="C325" s="2042" t="s">
        <v>847</v>
      </c>
      <c r="D325" s="2043">
        <v>4525775</v>
      </c>
      <c r="E325" s="2043">
        <v>4986633</v>
      </c>
    </row>
    <row r="326" spans="1:5" ht="14.5">
      <c r="A326" s="2042" t="s">
        <v>2996</v>
      </c>
      <c r="B326" s="380" t="str">
        <f t="shared" si="5"/>
        <v>079-907</v>
      </c>
      <c r="C326" s="2042" t="s">
        <v>103</v>
      </c>
      <c r="D326" s="2043">
        <v>89163721</v>
      </c>
      <c r="E326" s="2043">
        <v>75998211</v>
      </c>
    </row>
    <row r="327" spans="1:5" ht="14.5">
      <c r="A327" s="2042" t="s">
        <v>5020</v>
      </c>
      <c r="B327" s="380" t="str">
        <f t="shared" si="5"/>
        <v>079-910</v>
      </c>
      <c r="C327" s="2042" t="s">
        <v>982</v>
      </c>
      <c r="D327" s="2043">
        <v>6402876</v>
      </c>
      <c r="E327" s="2043">
        <v>4023176</v>
      </c>
    </row>
    <row r="328" spans="1:5" ht="14.5">
      <c r="A328" s="2042" t="s">
        <v>5021</v>
      </c>
      <c r="B328" s="380" t="str">
        <f t="shared" si="5"/>
        <v>080-901</v>
      </c>
      <c r="C328" s="2042" t="s">
        <v>807</v>
      </c>
      <c r="D328" s="2043">
        <v>2439262</v>
      </c>
      <c r="E328" s="2043">
        <v>2439262</v>
      </c>
    </row>
    <row r="329" spans="1:5" ht="14.5">
      <c r="A329" s="2042" t="s">
        <v>5022</v>
      </c>
      <c r="B329" s="380" t="str">
        <f t="shared" si="5"/>
        <v>081-902</v>
      </c>
      <c r="C329" s="2042" t="s">
        <v>808</v>
      </c>
      <c r="D329" s="2043">
        <v>1816400</v>
      </c>
      <c r="E329" s="2043">
        <v>1816400</v>
      </c>
    </row>
    <row r="330" spans="1:5" ht="14.5">
      <c r="A330" s="2042" t="s">
        <v>5023</v>
      </c>
      <c r="B330" s="380" t="str">
        <f t="shared" si="5"/>
        <v>081-904</v>
      </c>
      <c r="C330" s="2042" t="s">
        <v>809</v>
      </c>
      <c r="D330" s="2043">
        <v>2307750</v>
      </c>
      <c r="E330" s="2043">
        <v>2656776</v>
      </c>
    </row>
    <row r="331" spans="1:5" ht="14.5">
      <c r="A331" s="2042" t="s">
        <v>5024</v>
      </c>
      <c r="B331" s="380" t="str">
        <f t="shared" si="5"/>
        <v>081-905</v>
      </c>
      <c r="C331" s="2042" t="s">
        <v>810</v>
      </c>
      <c r="D331" s="2043">
        <v>453802</v>
      </c>
      <c r="E331" s="2043">
        <v>453802</v>
      </c>
    </row>
    <row r="332" spans="1:5" ht="14.5">
      <c r="A332" s="2042" t="s">
        <v>5025</v>
      </c>
      <c r="B332" s="380" t="str">
        <f t="shared" si="5"/>
        <v>081-906</v>
      </c>
      <c r="C332" s="2042" t="s">
        <v>811</v>
      </c>
      <c r="D332" s="2043">
        <v>0</v>
      </c>
      <c r="E332" s="2043">
        <v>0</v>
      </c>
    </row>
    <row r="333" spans="1:5" ht="14.5">
      <c r="A333" s="2042" t="s">
        <v>2997</v>
      </c>
      <c r="B333" s="380" t="str">
        <f t="shared" si="5"/>
        <v>082-902</v>
      </c>
      <c r="C333" s="2042" t="s">
        <v>2057</v>
      </c>
      <c r="D333" s="2043">
        <v>3312620</v>
      </c>
      <c r="E333" s="2043">
        <v>1878860</v>
      </c>
    </row>
    <row r="334" spans="1:5" ht="14.5">
      <c r="A334" s="2042" t="s">
        <v>2998</v>
      </c>
      <c r="B334" s="380" t="str">
        <f t="shared" si="5"/>
        <v>082-903</v>
      </c>
      <c r="C334" s="2042" t="s">
        <v>2448</v>
      </c>
      <c r="D334" s="2043">
        <v>1633550</v>
      </c>
      <c r="E334" s="2043">
        <v>1633550</v>
      </c>
    </row>
    <row r="335" spans="1:5" ht="14.5">
      <c r="A335" s="2042" t="s">
        <v>5026</v>
      </c>
      <c r="B335" s="380" t="str">
        <f t="shared" si="5"/>
        <v>083-901</v>
      </c>
      <c r="C335" s="2042" t="s">
        <v>812</v>
      </c>
      <c r="D335" s="2043">
        <v>804075</v>
      </c>
      <c r="E335" s="2043">
        <v>804075</v>
      </c>
    </row>
    <row r="336" spans="1:5" ht="14.5">
      <c r="A336" s="2042" t="s">
        <v>5027</v>
      </c>
      <c r="B336" s="380" t="str">
        <f t="shared" si="5"/>
        <v>083-902</v>
      </c>
      <c r="C336" s="2042" t="s">
        <v>498</v>
      </c>
      <c r="D336" s="2043">
        <v>360700</v>
      </c>
      <c r="E336" s="2043">
        <v>360700</v>
      </c>
    </row>
    <row r="337" spans="1:5" ht="14.5">
      <c r="A337" s="2042" t="s">
        <v>5028</v>
      </c>
      <c r="B337" s="380" t="str">
        <f t="shared" si="5"/>
        <v>083-903</v>
      </c>
      <c r="C337" s="2042" t="s">
        <v>499</v>
      </c>
      <c r="D337" s="2043">
        <v>3701000</v>
      </c>
      <c r="E337" s="2043">
        <v>3701000</v>
      </c>
    </row>
    <row r="338" spans="1:5" ht="14.5">
      <c r="A338" s="2042" t="s">
        <v>5029</v>
      </c>
      <c r="B338" s="380" t="str">
        <f t="shared" si="5"/>
        <v>084-901</v>
      </c>
      <c r="C338" s="2042" t="s">
        <v>345</v>
      </c>
      <c r="D338" s="2043">
        <v>20118763</v>
      </c>
      <c r="E338" s="2043">
        <v>16666063</v>
      </c>
    </row>
    <row r="339" spans="1:5" ht="14.5">
      <c r="A339" s="2042" t="s">
        <v>5030</v>
      </c>
      <c r="B339" s="380" t="str">
        <f t="shared" si="5"/>
        <v>084-902</v>
      </c>
      <c r="C339" s="2042" t="s">
        <v>346</v>
      </c>
      <c r="D339" s="2043">
        <v>7301950</v>
      </c>
      <c r="E339" s="2043">
        <v>4407450</v>
      </c>
    </row>
    <row r="340" spans="1:5" ht="14.5">
      <c r="A340" s="2042" t="s">
        <v>5031</v>
      </c>
      <c r="B340" s="380" t="str">
        <f t="shared" si="5"/>
        <v>084-903</v>
      </c>
      <c r="C340" s="2042" t="s">
        <v>2242</v>
      </c>
      <c r="D340" s="2043">
        <v>173425</v>
      </c>
      <c r="E340" s="2043">
        <v>173425</v>
      </c>
    </row>
    <row r="341" spans="1:5" ht="14.5">
      <c r="A341" s="2042" t="s">
        <v>5032</v>
      </c>
      <c r="B341" s="380" t="str">
        <f t="shared" si="5"/>
        <v>084-906</v>
      </c>
      <c r="C341" s="2042" t="s">
        <v>348</v>
      </c>
      <c r="D341" s="2043">
        <v>15553685</v>
      </c>
      <c r="E341" s="2043">
        <v>12055245</v>
      </c>
    </row>
    <row r="342" spans="1:5" ht="14.5">
      <c r="A342" s="2042" t="s">
        <v>5033</v>
      </c>
      <c r="B342" s="380" t="str">
        <f t="shared" si="5"/>
        <v>084-908</v>
      </c>
      <c r="C342" s="2042" t="s">
        <v>349</v>
      </c>
      <c r="D342" s="2043">
        <v>2763386</v>
      </c>
      <c r="E342" s="2043">
        <v>2531410</v>
      </c>
    </row>
    <row r="343" spans="1:5" ht="14.5">
      <c r="A343" s="2042" t="s">
        <v>2999</v>
      </c>
      <c r="B343" s="380" t="str">
        <f t="shared" si="5"/>
        <v>084-909</v>
      </c>
      <c r="C343" s="2042" t="s">
        <v>83</v>
      </c>
      <c r="D343" s="2043">
        <v>6329150</v>
      </c>
      <c r="E343" s="2043">
        <v>5087278</v>
      </c>
    </row>
    <row r="344" spans="1:5" ht="14.5">
      <c r="A344" s="2042" t="s">
        <v>5034</v>
      </c>
      <c r="B344" s="380" t="str">
        <f t="shared" si="5"/>
        <v>084-910</v>
      </c>
      <c r="C344" s="2042" t="s">
        <v>350</v>
      </c>
      <c r="D344" s="2043">
        <v>70965717</v>
      </c>
      <c r="E344" s="2043">
        <v>63678154</v>
      </c>
    </row>
    <row r="345" spans="1:5" ht="14.5">
      <c r="A345" s="2042" t="s">
        <v>3000</v>
      </c>
      <c r="B345" s="380" t="str">
        <f t="shared" si="5"/>
        <v>084-911</v>
      </c>
      <c r="C345" s="2042" t="s">
        <v>1388</v>
      </c>
      <c r="D345" s="2043">
        <v>6998900</v>
      </c>
      <c r="E345" s="2043">
        <v>6998900</v>
      </c>
    </row>
    <row r="346" spans="1:5" ht="14.5">
      <c r="A346" s="2042" t="s">
        <v>5035</v>
      </c>
      <c r="B346" s="380" t="str">
        <f t="shared" si="5"/>
        <v>085-902</v>
      </c>
      <c r="C346" s="2042" t="s">
        <v>351</v>
      </c>
      <c r="D346" s="2043">
        <v>2205152</v>
      </c>
      <c r="E346" s="2043">
        <v>2511133</v>
      </c>
    </row>
    <row r="347" spans="1:5" ht="14.5">
      <c r="A347" s="2042" t="s">
        <v>5803</v>
      </c>
      <c r="B347" s="380" t="str">
        <f t="shared" si="5"/>
        <v>085-903</v>
      </c>
      <c r="C347" s="2042" t="s">
        <v>352</v>
      </c>
      <c r="D347" s="2043">
        <v>0</v>
      </c>
      <c r="E347" s="2043">
        <v>0</v>
      </c>
    </row>
    <row r="348" spans="1:5" ht="14.5">
      <c r="A348" s="2042" t="s">
        <v>5804</v>
      </c>
      <c r="B348" s="380" t="str">
        <f t="shared" si="5"/>
        <v>086-024</v>
      </c>
      <c r="C348" s="2042" t="s">
        <v>983</v>
      </c>
      <c r="D348" s="2043">
        <v>0</v>
      </c>
      <c r="E348" s="2043">
        <v>0</v>
      </c>
    </row>
    <row r="349" spans="1:5" ht="14.5">
      <c r="A349" s="2042" t="s">
        <v>5036</v>
      </c>
      <c r="B349" s="380" t="str">
        <f t="shared" si="5"/>
        <v>086-901</v>
      </c>
      <c r="C349" s="2042" t="s">
        <v>354</v>
      </c>
      <c r="D349" s="2043">
        <v>4458128</v>
      </c>
      <c r="E349" s="2043">
        <v>1453234</v>
      </c>
    </row>
    <row r="350" spans="1:5" ht="14.5">
      <c r="A350" s="2042" t="s">
        <v>5805</v>
      </c>
      <c r="B350" s="380" t="str">
        <f t="shared" si="5"/>
        <v>086-902</v>
      </c>
      <c r="C350" s="2042" t="s">
        <v>1688</v>
      </c>
      <c r="D350" s="2043">
        <v>0</v>
      </c>
      <c r="E350" s="2043">
        <v>0</v>
      </c>
    </row>
    <row r="351" spans="1:5" ht="14.5">
      <c r="A351" s="2042" t="s">
        <v>5037</v>
      </c>
      <c r="B351" s="380" t="str">
        <f t="shared" si="5"/>
        <v>087-901</v>
      </c>
      <c r="C351" s="2042" t="s">
        <v>1689</v>
      </c>
      <c r="D351" s="2043">
        <v>918875</v>
      </c>
      <c r="E351" s="2043">
        <v>918875</v>
      </c>
    </row>
    <row r="352" spans="1:5" ht="14.5">
      <c r="A352" s="2042" t="s">
        <v>5038</v>
      </c>
      <c r="B352" s="380" t="str">
        <f t="shared" si="5"/>
        <v>088-902</v>
      </c>
      <c r="C352" s="2042" t="s">
        <v>1690</v>
      </c>
      <c r="D352" s="2043">
        <v>1258150</v>
      </c>
      <c r="E352" s="2043">
        <v>1258150</v>
      </c>
    </row>
    <row r="353" spans="1:5" ht="14.5">
      <c r="A353" s="2042" t="s">
        <v>3001</v>
      </c>
      <c r="B353" s="380" t="str">
        <f t="shared" si="5"/>
        <v>089-901</v>
      </c>
      <c r="C353" s="2042" t="s">
        <v>814</v>
      </c>
      <c r="D353" s="2043">
        <v>1548981</v>
      </c>
      <c r="E353" s="2043">
        <v>902831</v>
      </c>
    </row>
    <row r="354" spans="1:5" ht="14.5">
      <c r="A354" s="2042" t="s">
        <v>5039</v>
      </c>
      <c r="B354" s="380" t="str">
        <f t="shared" si="5"/>
        <v>089-903</v>
      </c>
      <c r="C354" s="2042" t="s">
        <v>984</v>
      </c>
      <c r="D354" s="2043">
        <v>1507076</v>
      </c>
      <c r="E354" s="2043">
        <v>1509722</v>
      </c>
    </row>
    <row r="355" spans="1:5" ht="14.5">
      <c r="A355" s="2042" t="s">
        <v>5040</v>
      </c>
      <c r="B355" s="380" t="str">
        <f t="shared" si="5"/>
        <v>089-905</v>
      </c>
      <c r="C355" s="2042" t="s">
        <v>1356</v>
      </c>
      <c r="D355" s="2043">
        <v>220462</v>
      </c>
      <c r="E355" s="2043">
        <v>220462</v>
      </c>
    </row>
    <row r="356" spans="1:5" ht="14.5">
      <c r="A356" s="2042" t="s">
        <v>5041</v>
      </c>
      <c r="B356" s="380" t="str">
        <f t="shared" si="5"/>
        <v>090-902</v>
      </c>
      <c r="C356" s="2042" t="s">
        <v>1357</v>
      </c>
      <c r="D356" s="2043">
        <v>379800</v>
      </c>
      <c r="E356" s="2043">
        <v>379800</v>
      </c>
    </row>
    <row r="357" spans="1:5" ht="14.5">
      <c r="A357" s="2042" t="s">
        <v>5042</v>
      </c>
      <c r="B357" s="380" t="str">
        <f t="shared" si="5"/>
        <v>090-903</v>
      </c>
      <c r="C357" s="2042" t="s">
        <v>1358</v>
      </c>
      <c r="D357" s="2043">
        <v>208300</v>
      </c>
      <c r="E357" s="2043">
        <v>208300</v>
      </c>
    </row>
    <row r="358" spans="1:5" ht="14.5">
      <c r="A358" s="2042" t="s">
        <v>3002</v>
      </c>
      <c r="B358" s="380" t="str">
        <f t="shared" si="5"/>
        <v>090-904</v>
      </c>
      <c r="C358" s="2042" t="s">
        <v>1288</v>
      </c>
      <c r="D358" s="2043">
        <v>3123512</v>
      </c>
      <c r="E358" s="2043">
        <v>3123512</v>
      </c>
    </row>
    <row r="359" spans="1:5" ht="14.5">
      <c r="A359" s="2042" t="s">
        <v>5043</v>
      </c>
      <c r="B359" s="380" t="str">
        <f t="shared" si="5"/>
        <v>090-905</v>
      </c>
      <c r="C359" s="2042" t="s">
        <v>1359</v>
      </c>
      <c r="D359" s="2043">
        <v>0</v>
      </c>
      <c r="E359" s="2043">
        <v>0</v>
      </c>
    </row>
    <row r="360" spans="1:5" ht="14.5">
      <c r="A360" s="2042" t="s">
        <v>3003</v>
      </c>
      <c r="B360" s="380" t="str">
        <f t="shared" si="5"/>
        <v>091-901</v>
      </c>
      <c r="C360" s="2042" t="s">
        <v>1469</v>
      </c>
      <c r="D360" s="2043">
        <v>932188</v>
      </c>
      <c r="E360" s="2043">
        <v>565100</v>
      </c>
    </row>
    <row r="361" spans="1:5" ht="14.5">
      <c r="A361" s="2042" t="s">
        <v>3948</v>
      </c>
      <c r="B361" s="380" t="str">
        <f t="shared" si="5"/>
        <v>091-902</v>
      </c>
      <c r="C361" s="2042" t="s">
        <v>1360</v>
      </c>
      <c r="D361" s="2043">
        <v>518900</v>
      </c>
      <c r="E361" s="2043">
        <v>126350</v>
      </c>
    </row>
    <row r="362" spans="1:5" ht="14.5">
      <c r="A362" s="2042" t="s">
        <v>5044</v>
      </c>
      <c r="B362" s="380" t="str">
        <f t="shared" si="5"/>
        <v>091-903</v>
      </c>
      <c r="C362" s="2042" t="s">
        <v>1361</v>
      </c>
      <c r="D362" s="2043">
        <v>4642997</v>
      </c>
      <c r="E362" s="2043">
        <v>5589418</v>
      </c>
    </row>
    <row r="363" spans="1:5" ht="14.5">
      <c r="A363" s="2042" t="s">
        <v>3004</v>
      </c>
      <c r="B363" s="380" t="str">
        <f t="shared" si="5"/>
        <v>091-905</v>
      </c>
      <c r="C363" s="2042" t="s">
        <v>2247</v>
      </c>
      <c r="D363" s="2043">
        <v>1579900</v>
      </c>
      <c r="E363" s="2043">
        <v>906450</v>
      </c>
    </row>
    <row r="364" spans="1:5" ht="14.5">
      <c r="A364" s="2042" t="s">
        <v>3005</v>
      </c>
      <c r="B364" s="380" t="str">
        <f t="shared" si="5"/>
        <v>091-906</v>
      </c>
      <c r="C364" s="2042" t="s">
        <v>1556</v>
      </c>
      <c r="D364" s="2043">
        <v>13725900</v>
      </c>
      <c r="E364" s="2043">
        <v>7915469</v>
      </c>
    </row>
    <row r="365" spans="1:5" ht="14.5">
      <c r="A365" s="2042" t="s">
        <v>5045</v>
      </c>
      <c r="B365" s="380" t="str">
        <f t="shared" si="5"/>
        <v>091-907</v>
      </c>
      <c r="C365" s="2042" t="s">
        <v>1557</v>
      </c>
      <c r="D365" s="2043">
        <v>390656</v>
      </c>
      <c r="E365" s="2043">
        <v>221125</v>
      </c>
    </row>
    <row r="366" spans="1:5" ht="14.5">
      <c r="A366" s="2042" t="s">
        <v>3006</v>
      </c>
      <c r="B366" s="380" t="str">
        <f t="shared" si="5"/>
        <v>091-908</v>
      </c>
      <c r="C366" s="2042" t="s">
        <v>2232</v>
      </c>
      <c r="D366" s="2043">
        <v>3615511</v>
      </c>
      <c r="E366" s="2043">
        <v>2417724</v>
      </c>
    </row>
    <row r="367" spans="1:5" ht="14.5">
      <c r="A367" s="2042" t="s">
        <v>3007</v>
      </c>
      <c r="B367" s="380" t="str">
        <f t="shared" si="5"/>
        <v>091-909</v>
      </c>
      <c r="C367" s="2042" t="s">
        <v>1259</v>
      </c>
      <c r="D367" s="2043">
        <v>1339533</v>
      </c>
      <c r="E367" s="2043">
        <v>1186918</v>
      </c>
    </row>
    <row r="368" spans="1:5" ht="14.5">
      <c r="A368" s="2042" t="s">
        <v>5046</v>
      </c>
      <c r="B368" s="380" t="str">
        <f t="shared" si="5"/>
        <v>091-910</v>
      </c>
      <c r="C368" s="2042" t="s">
        <v>1558</v>
      </c>
      <c r="D368" s="2043">
        <v>185000</v>
      </c>
      <c r="E368" s="2043">
        <v>569700</v>
      </c>
    </row>
    <row r="369" spans="1:5" ht="14.5">
      <c r="A369" s="2042" t="s">
        <v>3008</v>
      </c>
      <c r="B369" s="380" t="str">
        <f t="shared" si="5"/>
        <v>091-913</v>
      </c>
      <c r="C369" s="2042" t="s">
        <v>1981</v>
      </c>
      <c r="D369" s="2043">
        <v>1000050</v>
      </c>
      <c r="E369" s="2043">
        <v>1000050</v>
      </c>
    </row>
    <row r="370" spans="1:5" ht="14.5">
      <c r="A370" s="2042" t="s">
        <v>5047</v>
      </c>
      <c r="B370" s="380" t="str">
        <f t="shared" si="5"/>
        <v>091-914</v>
      </c>
      <c r="C370" s="2042" t="s">
        <v>985</v>
      </c>
      <c r="D370" s="2043">
        <v>1329680</v>
      </c>
      <c r="E370" s="2043">
        <v>536680</v>
      </c>
    </row>
    <row r="371" spans="1:5" ht="14.5">
      <c r="A371" s="2042" t="s">
        <v>3009</v>
      </c>
      <c r="B371" s="380" t="str">
        <f t="shared" si="5"/>
        <v>091-917</v>
      </c>
      <c r="C371" s="2042" t="s">
        <v>1636</v>
      </c>
      <c r="D371" s="2043">
        <v>1155131</v>
      </c>
      <c r="E371" s="2043">
        <v>1046438</v>
      </c>
    </row>
    <row r="372" spans="1:5" ht="14.5">
      <c r="A372" s="2042" t="s">
        <v>5048</v>
      </c>
      <c r="B372" s="380" t="str">
        <f t="shared" si="5"/>
        <v>091-918</v>
      </c>
      <c r="C372" s="2042" t="s">
        <v>208</v>
      </c>
      <c r="D372" s="2043">
        <v>251025</v>
      </c>
      <c r="E372" s="2043">
        <v>578226</v>
      </c>
    </row>
    <row r="373" spans="1:5" ht="14.5">
      <c r="A373" s="2042" t="s">
        <v>5049</v>
      </c>
      <c r="B373" s="380" t="str">
        <f t="shared" si="5"/>
        <v>092-901</v>
      </c>
      <c r="C373" s="2042" t="s">
        <v>209</v>
      </c>
      <c r="D373" s="2043">
        <v>891650</v>
      </c>
      <c r="E373" s="2043">
        <v>1841116</v>
      </c>
    </row>
    <row r="374" spans="1:5" ht="14.5">
      <c r="A374" s="2042" t="s">
        <v>5050</v>
      </c>
      <c r="B374" s="380" t="str">
        <f t="shared" si="5"/>
        <v>092-902</v>
      </c>
      <c r="C374" s="2042" t="s">
        <v>210</v>
      </c>
      <c r="D374" s="2043">
        <v>2331472</v>
      </c>
      <c r="E374" s="2043">
        <v>3891483</v>
      </c>
    </row>
    <row r="375" spans="1:5" ht="14.5">
      <c r="A375" s="2042" t="s">
        <v>3969</v>
      </c>
      <c r="B375" s="380" t="str">
        <f t="shared" si="5"/>
        <v>092-903</v>
      </c>
      <c r="C375" s="2042" t="s">
        <v>2007</v>
      </c>
      <c r="D375" s="2043">
        <v>15930297</v>
      </c>
      <c r="E375" s="2043">
        <v>17410293</v>
      </c>
    </row>
    <row r="376" spans="1:5" ht="14.5">
      <c r="A376" s="2042" t="s">
        <v>5051</v>
      </c>
      <c r="B376" s="380" t="str">
        <f t="shared" si="5"/>
        <v>092-904</v>
      </c>
      <c r="C376" s="2042" t="s">
        <v>211</v>
      </c>
      <c r="D376" s="2043">
        <v>5257530</v>
      </c>
      <c r="E376" s="2043">
        <v>5519266</v>
      </c>
    </row>
    <row r="377" spans="1:5" ht="14.5">
      <c r="A377" s="2042" t="s">
        <v>5052</v>
      </c>
      <c r="B377" s="380" t="str">
        <f t="shared" si="5"/>
        <v>092-906</v>
      </c>
      <c r="C377" s="2042" t="s">
        <v>212</v>
      </c>
      <c r="D377" s="2043">
        <v>322600</v>
      </c>
      <c r="E377" s="2043">
        <v>730659</v>
      </c>
    </row>
    <row r="378" spans="1:5" ht="14.5">
      <c r="A378" s="2042" t="s">
        <v>3010</v>
      </c>
      <c r="B378" s="380" t="str">
        <f t="shared" si="5"/>
        <v>092-907</v>
      </c>
      <c r="C378" s="2042" t="s">
        <v>1829</v>
      </c>
      <c r="D378" s="2043">
        <v>2694050</v>
      </c>
      <c r="E378" s="2043">
        <v>2665470</v>
      </c>
    </row>
    <row r="379" spans="1:5" ht="14.5">
      <c r="A379" s="2042" t="s">
        <v>5053</v>
      </c>
      <c r="B379" s="380" t="str">
        <f t="shared" si="5"/>
        <v>092-908</v>
      </c>
      <c r="C379" s="2042" t="s">
        <v>213</v>
      </c>
      <c r="D379" s="2043">
        <v>1413538</v>
      </c>
      <c r="E379" s="2043">
        <v>310800</v>
      </c>
    </row>
    <row r="380" spans="1:5" ht="14.5">
      <c r="A380" s="2042" t="s">
        <v>5054</v>
      </c>
      <c r="B380" s="380" t="str">
        <f t="shared" si="5"/>
        <v>093-901</v>
      </c>
      <c r="C380" s="2042" t="s">
        <v>986</v>
      </c>
      <c r="D380" s="2043">
        <v>1919637</v>
      </c>
      <c r="E380" s="2043">
        <v>2075276</v>
      </c>
    </row>
    <row r="381" spans="1:5" ht="14.5">
      <c r="A381" s="2042" t="s">
        <v>3011</v>
      </c>
      <c r="B381" s="380" t="str">
        <f t="shared" si="5"/>
        <v>093-903</v>
      </c>
      <c r="C381" s="2042" t="s">
        <v>215</v>
      </c>
      <c r="D381" s="2043">
        <v>600625</v>
      </c>
      <c r="E381" s="2043">
        <v>600625</v>
      </c>
    </row>
    <row r="382" spans="1:5" ht="14.5">
      <c r="A382" s="2042" t="s">
        <v>5055</v>
      </c>
      <c r="B382" s="380" t="str">
        <f t="shared" si="5"/>
        <v>093-904</v>
      </c>
      <c r="C382" s="2042" t="s">
        <v>216</v>
      </c>
      <c r="D382" s="2043">
        <v>5206797</v>
      </c>
      <c r="E382" s="2043">
        <v>2191185</v>
      </c>
    </row>
    <row r="383" spans="1:5" ht="14.5">
      <c r="A383" s="2042" t="s">
        <v>5806</v>
      </c>
      <c r="B383" s="380" t="str">
        <f t="shared" si="5"/>
        <v>093-905</v>
      </c>
      <c r="C383" s="2042" t="s">
        <v>217</v>
      </c>
      <c r="D383" s="2043">
        <v>0</v>
      </c>
      <c r="E383" s="2043">
        <v>0</v>
      </c>
    </row>
    <row r="384" spans="1:5" ht="14.5">
      <c r="A384" s="2042" t="s">
        <v>3012</v>
      </c>
      <c r="B384" s="380" t="str">
        <f t="shared" si="5"/>
        <v>094-901</v>
      </c>
      <c r="C384" s="2042" t="s">
        <v>1175</v>
      </c>
      <c r="D384" s="2043">
        <v>9875160</v>
      </c>
      <c r="E384" s="2043">
        <v>9898483</v>
      </c>
    </row>
    <row r="385" spans="1:5" ht="14.5">
      <c r="A385" s="2042" t="s">
        <v>3013</v>
      </c>
      <c r="B385" s="380" t="str">
        <f t="shared" si="5"/>
        <v>094-902</v>
      </c>
      <c r="C385" s="2042" t="s">
        <v>1173</v>
      </c>
      <c r="D385" s="2043">
        <v>25837305</v>
      </c>
      <c r="E385" s="2043">
        <v>26247112</v>
      </c>
    </row>
    <row r="386" spans="1:5" ht="14.5">
      <c r="A386" s="2042" t="s">
        <v>3014</v>
      </c>
      <c r="B386" s="380" t="str">
        <f t="shared" si="5"/>
        <v>094-903</v>
      </c>
      <c r="C386" s="2042" t="s">
        <v>218</v>
      </c>
      <c r="D386" s="2043">
        <v>2520112</v>
      </c>
      <c r="E386" s="2043">
        <v>1560825</v>
      </c>
    </row>
    <row r="387" spans="1:5" ht="14.5">
      <c r="A387" s="2042" t="s">
        <v>3993</v>
      </c>
      <c r="B387" s="380" t="str">
        <f t="shared" ref="B387:B450" si="6">CONCATENATE(LEFT(RIGHT(CONCATENATE("000",A387),6),3),"-",(RIGHT(RIGHT(CONCATENATE("000",A387),6),3)))</f>
        <v>094-904</v>
      </c>
      <c r="C387" s="2042" t="s">
        <v>278</v>
      </c>
      <c r="D387" s="2043">
        <v>744042</v>
      </c>
      <c r="E387" s="2043">
        <v>633600</v>
      </c>
    </row>
    <row r="388" spans="1:5" ht="14.5">
      <c r="A388" s="2042" t="s">
        <v>5056</v>
      </c>
      <c r="B388" s="380" t="str">
        <f t="shared" si="6"/>
        <v>095-901</v>
      </c>
      <c r="C388" s="2042" t="s">
        <v>219</v>
      </c>
      <c r="D388" s="2043">
        <v>1640929</v>
      </c>
      <c r="E388" s="2043">
        <v>1640929</v>
      </c>
    </row>
    <row r="389" spans="1:5" ht="14.5">
      <c r="A389" s="2042" t="s">
        <v>5807</v>
      </c>
      <c r="B389" s="380" t="str">
        <f t="shared" si="6"/>
        <v>095-902</v>
      </c>
      <c r="C389" s="2042" t="s">
        <v>220</v>
      </c>
      <c r="D389" s="2043">
        <v>0</v>
      </c>
      <c r="E389" s="2043">
        <v>0</v>
      </c>
    </row>
    <row r="390" spans="1:5" ht="14.5">
      <c r="A390" s="2042" t="s">
        <v>5057</v>
      </c>
      <c r="B390" s="380" t="str">
        <f t="shared" si="6"/>
        <v>095-903</v>
      </c>
      <c r="C390" s="2042" t="s">
        <v>221</v>
      </c>
      <c r="D390" s="2043">
        <v>550925</v>
      </c>
      <c r="E390" s="2043">
        <v>550925</v>
      </c>
    </row>
    <row r="391" spans="1:5" ht="14.5">
      <c r="A391" s="2042" t="s">
        <v>5808</v>
      </c>
      <c r="B391" s="380" t="str">
        <f t="shared" si="6"/>
        <v>095-904</v>
      </c>
      <c r="C391" s="2042" t="s">
        <v>222</v>
      </c>
      <c r="D391" s="2043">
        <v>0</v>
      </c>
      <c r="E391" s="2043">
        <v>0</v>
      </c>
    </row>
    <row r="392" spans="1:5" ht="14.5">
      <c r="A392" s="2042" t="s">
        <v>5809</v>
      </c>
      <c r="B392" s="380" t="str">
        <f t="shared" si="6"/>
        <v>095-905</v>
      </c>
      <c r="C392" s="2042" t="s">
        <v>223</v>
      </c>
      <c r="D392" s="2043">
        <v>0</v>
      </c>
      <c r="E392" s="2043">
        <v>0</v>
      </c>
    </row>
    <row r="393" spans="1:5" ht="14.5">
      <c r="A393" s="2042" t="s">
        <v>5810</v>
      </c>
      <c r="B393" s="380" t="str">
        <f t="shared" si="6"/>
        <v>096-904</v>
      </c>
      <c r="C393" s="2042" t="s">
        <v>224</v>
      </c>
      <c r="D393" s="2043">
        <v>0</v>
      </c>
      <c r="E393" s="2043">
        <v>0</v>
      </c>
    </row>
    <row r="394" spans="1:5" ht="14.5">
      <c r="A394" s="2042" t="s">
        <v>5058</v>
      </c>
      <c r="B394" s="380" t="str">
        <f t="shared" si="6"/>
        <v>096-905</v>
      </c>
      <c r="C394" s="2042" t="s">
        <v>225</v>
      </c>
      <c r="D394" s="2043">
        <v>166212</v>
      </c>
      <c r="E394" s="2043">
        <v>166212</v>
      </c>
    </row>
    <row r="395" spans="1:5" ht="14.5">
      <c r="A395" s="2042" t="s">
        <v>5059</v>
      </c>
      <c r="B395" s="380" t="str">
        <f t="shared" si="6"/>
        <v>097-902</v>
      </c>
      <c r="C395" s="2042" t="s">
        <v>987</v>
      </c>
      <c r="D395" s="2043">
        <v>0</v>
      </c>
      <c r="E395" s="2043">
        <v>0</v>
      </c>
    </row>
    <row r="396" spans="1:5" ht="14.5">
      <c r="A396" s="2042" t="s">
        <v>3015</v>
      </c>
      <c r="B396" s="380" t="str">
        <f t="shared" si="6"/>
        <v>097-903</v>
      </c>
      <c r="C396" s="2042" t="s">
        <v>2240</v>
      </c>
      <c r="D396" s="2043">
        <v>313518</v>
      </c>
      <c r="E396" s="2043">
        <v>313518</v>
      </c>
    </row>
    <row r="397" spans="1:5" ht="14.5">
      <c r="A397" s="2042" t="s">
        <v>5060</v>
      </c>
      <c r="B397" s="380" t="str">
        <f t="shared" si="6"/>
        <v>098-901</v>
      </c>
      <c r="C397" s="2042" t="s">
        <v>227</v>
      </c>
      <c r="D397" s="2043">
        <v>504750</v>
      </c>
      <c r="E397" s="2043">
        <v>0</v>
      </c>
    </row>
    <row r="398" spans="1:5" ht="14.5">
      <c r="A398" s="2042" t="s">
        <v>5061</v>
      </c>
      <c r="B398" s="380" t="str">
        <f t="shared" si="6"/>
        <v>098-903</v>
      </c>
      <c r="C398" s="2042" t="s">
        <v>988</v>
      </c>
      <c r="D398" s="2043">
        <v>199056</v>
      </c>
      <c r="E398" s="2043">
        <v>199056</v>
      </c>
    </row>
    <row r="399" spans="1:5" ht="14.5">
      <c r="A399" s="2042" t="s">
        <v>5062</v>
      </c>
      <c r="B399" s="380" t="str">
        <f t="shared" si="6"/>
        <v>098-904</v>
      </c>
      <c r="C399" s="2042" t="s">
        <v>2452</v>
      </c>
      <c r="D399" s="2043">
        <v>779425</v>
      </c>
      <c r="E399" s="2043">
        <v>779425</v>
      </c>
    </row>
    <row r="400" spans="1:5" ht="14.5">
      <c r="A400" s="2042" t="s">
        <v>5063</v>
      </c>
      <c r="B400" s="380" t="str">
        <f t="shared" si="6"/>
        <v>099-902</v>
      </c>
      <c r="C400" s="2042" t="s">
        <v>448</v>
      </c>
      <c r="D400" s="2043">
        <v>319100</v>
      </c>
      <c r="E400" s="2043">
        <v>319100</v>
      </c>
    </row>
    <row r="401" spans="1:5" ht="14.5">
      <c r="A401" s="2042" t="s">
        <v>5811</v>
      </c>
      <c r="B401" s="380" t="str">
        <f t="shared" si="6"/>
        <v>099-903</v>
      </c>
      <c r="C401" s="2042" t="s">
        <v>449</v>
      </c>
      <c r="D401" s="2043">
        <v>0</v>
      </c>
      <c r="E401" s="2043">
        <v>0</v>
      </c>
    </row>
    <row r="402" spans="1:5" ht="14.5">
      <c r="A402" s="2042" t="s">
        <v>5064</v>
      </c>
      <c r="B402" s="380" t="str">
        <f t="shared" si="6"/>
        <v>100-903</v>
      </c>
      <c r="C402" s="2042" t="s">
        <v>450</v>
      </c>
      <c r="D402" s="2043">
        <v>698950</v>
      </c>
      <c r="E402" s="2043">
        <v>698950</v>
      </c>
    </row>
    <row r="403" spans="1:5" ht="14.5">
      <c r="A403" s="2042" t="s">
        <v>3016</v>
      </c>
      <c r="B403" s="380" t="str">
        <f t="shared" si="6"/>
        <v>100-904</v>
      </c>
      <c r="C403" s="2042" t="s">
        <v>1406</v>
      </c>
      <c r="D403" s="2043">
        <v>3011657</v>
      </c>
      <c r="E403" s="2043">
        <v>2926709</v>
      </c>
    </row>
    <row r="404" spans="1:5" ht="14.5">
      <c r="A404" s="2042" t="s">
        <v>5065</v>
      </c>
      <c r="B404" s="380" t="str">
        <f t="shared" si="6"/>
        <v>100-905</v>
      </c>
      <c r="C404" s="2042" t="s">
        <v>451</v>
      </c>
      <c r="D404" s="2043">
        <v>2447420</v>
      </c>
      <c r="E404" s="2043">
        <v>2240365</v>
      </c>
    </row>
    <row r="405" spans="1:5" ht="14.5">
      <c r="A405" s="2042" t="s">
        <v>3017</v>
      </c>
      <c r="B405" s="380" t="str">
        <f t="shared" si="6"/>
        <v>100-907</v>
      </c>
      <c r="C405" s="2042" t="s">
        <v>793</v>
      </c>
      <c r="D405" s="2043">
        <v>611050</v>
      </c>
      <c r="E405" s="2043">
        <v>611050</v>
      </c>
    </row>
    <row r="406" spans="1:5" ht="14.5">
      <c r="A406" s="2042" t="s">
        <v>3018</v>
      </c>
      <c r="B406" s="380" t="str">
        <f t="shared" si="6"/>
        <v>100-908</v>
      </c>
      <c r="C406" s="2042" t="s">
        <v>280</v>
      </c>
      <c r="D406" s="2043">
        <v>235800</v>
      </c>
      <c r="E406" s="2043">
        <v>235800</v>
      </c>
    </row>
    <row r="407" spans="1:5" ht="14.5">
      <c r="A407" s="2042" t="s">
        <v>8507</v>
      </c>
      <c r="B407" s="380" t="str">
        <f t="shared" si="6"/>
        <v>101-000</v>
      </c>
      <c r="C407" s="2042" t="s">
        <v>8268</v>
      </c>
      <c r="D407" s="2043">
        <v>0</v>
      </c>
      <c r="E407" s="2043">
        <v>0</v>
      </c>
    </row>
    <row r="408" spans="1:5" ht="14.5">
      <c r="A408" s="2042" t="s">
        <v>3019</v>
      </c>
      <c r="B408" s="380" t="str">
        <f t="shared" si="6"/>
        <v>101-902</v>
      </c>
      <c r="C408" s="2042" t="s">
        <v>658</v>
      </c>
      <c r="D408" s="2043">
        <v>63639375</v>
      </c>
      <c r="E408" s="2043">
        <v>38767624</v>
      </c>
    </row>
    <row r="409" spans="1:5" ht="14.5">
      <c r="A409" s="2042" t="s">
        <v>3020</v>
      </c>
      <c r="B409" s="380" t="str">
        <f t="shared" si="6"/>
        <v>101-903</v>
      </c>
      <c r="C409" s="2042" t="s">
        <v>1874</v>
      </c>
      <c r="D409" s="2043">
        <v>29951974</v>
      </c>
      <c r="E409" s="2043">
        <v>13491134</v>
      </c>
    </row>
    <row r="410" spans="1:5" ht="14.5">
      <c r="A410" s="2042" t="s">
        <v>3021</v>
      </c>
      <c r="B410" s="380" t="str">
        <f t="shared" si="6"/>
        <v>101-905</v>
      </c>
      <c r="C410" s="2042" t="s">
        <v>452</v>
      </c>
      <c r="D410" s="2043">
        <v>9875559</v>
      </c>
      <c r="E410" s="2043">
        <v>9926834</v>
      </c>
    </row>
    <row r="411" spans="1:5" ht="14.5">
      <c r="A411" s="2042" t="s">
        <v>3022</v>
      </c>
      <c r="B411" s="380" t="str">
        <f t="shared" si="6"/>
        <v>101-906</v>
      </c>
      <c r="C411" s="2042" t="s">
        <v>396</v>
      </c>
      <c r="D411" s="2043">
        <v>9015656</v>
      </c>
      <c r="E411" s="2043">
        <v>8234236</v>
      </c>
    </row>
    <row r="412" spans="1:5" ht="14.5">
      <c r="A412" s="2042" t="s">
        <v>5066</v>
      </c>
      <c r="B412" s="380" t="str">
        <f t="shared" si="6"/>
        <v>101-907</v>
      </c>
      <c r="C412" s="2042" t="s">
        <v>453</v>
      </c>
      <c r="D412" s="2043">
        <v>201993805</v>
      </c>
      <c r="E412" s="2043">
        <v>158336327</v>
      </c>
    </row>
    <row r="413" spans="1:5" ht="14.5">
      <c r="A413" s="2042" t="s">
        <v>5067</v>
      </c>
      <c r="B413" s="380" t="str">
        <f t="shared" si="6"/>
        <v>101-908</v>
      </c>
      <c r="C413" s="2042" t="s">
        <v>454</v>
      </c>
      <c r="D413" s="2043">
        <v>26251599</v>
      </c>
      <c r="E413" s="2043">
        <v>22777399</v>
      </c>
    </row>
    <row r="414" spans="1:5" ht="14.5">
      <c r="A414" s="2042" t="s">
        <v>3023</v>
      </c>
      <c r="B414" s="380" t="str">
        <f t="shared" si="6"/>
        <v>101-910</v>
      </c>
      <c r="C414" s="2042" t="s">
        <v>1392</v>
      </c>
      <c r="D414" s="2043">
        <v>29664561</v>
      </c>
      <c r="E414" s="2043">
        <v>20117186</v>
      </c>
    </row>
    <row r="415" spans="1:5" ht="14.5">
      <c r="A415" s="2042" t="s">
        <v>5068</v>
      </c>
      <c r="B415" s="380" t="str">
        <f t="shared" si="6"/>
        <v>101-911</v>
      </c>
      <c r="C415" s="2042" t="s">
        <v>455</v>
      </c>
      <c r="D415" s="2043">
        <v>37197617</v>
      </c>
      <c r="E415" s="2043">
        <v>39128086</v>
      </c>
    </row>
    <row r="416" spans="1:5" ht="14.5">
      <c r="A416" s="2042" t="s">
        <v>5069</v>
      </c>
      <c r="B416" s="380" t="str">
        <f t="shared" si="6"/>
        <v>101-912</v>
      </c>
      <c r="C416" s="2042" t="s">
        <v>456</v>
      </c>
      <c r="D416" s="2043">
        <v>252441461</v>
      </c>
      <c r="E416" s="2043">
        <v>199520498</v>
      </c>
    </row>
    <row r="417" spans="1:5" ht="14.5">
      <c r="A417" s="2042" t="s">
        <v>3024</v>
      </c>
      <c r="B417" s="380" t="str">
        <f t="shared" si="6"/>
        <v>101-913</v>
      </c>
      <c r="C417" s="2042" t="s">
        <v>2252</v>
      </c>
      <c r="D417" s="2043">
        <v>59859600</v>
      </c>
      <c r="E417" s="2043">
        <v>56074530</v>
      </c>
    </row>
    <row r="418" spans="1:5" ht="14.5">
      <c r="A418" s="2042" t="s">
        <v>3025</v>
      </c>
      <c r="B418" s="380" t="str">
        <f t="shared" si="6"/>
        <v>101-914</v>
      </c>
      <c r="C418" s="2042" t="s">
        <v>388</v>
      </c>
      <c r="D418" s="2043">
        <v>139073423</v>
      </c>
      <c r="E418" s="2043">
        <v>97595693</v>
      </c>
    </row>
    <row r="419" spans="1:5" ht="14.5">
      <c r="A419" s="2042" t="s">
        <v>3026</v>
      </c>
      <c r="B419" s="380" t="str">
        <f t="shared" si="6"/>
        <v>101-915</v>
      </c>
      <c r="C419" s="2042" t="s">
        <v>2442</v>
      </c>
      <c r="D419" s="2043">
        <v>86225075</v>
      </c>
      <c r="E419" s="2043">
        <v>70275815</v>
      </c>
    </row>
    <row r="420" spans="1:5" ht="14.5">
      <c r="A420" s="2042" t="s">
        <v>5070</v>
      </c>
      <c r="B420" s="380" t="str">
        <f t="shared" si="6"/>
        <v>101-916</v>
      </c>
      <c r="C420" s="2042" t="s">
        <v>457</v>
      </c>
      <c r="D420" s="2043">
        <v>27201170</v>
      </c>
      <c r="E420" s="2043">
        <v>25524070</v>
      </c>
    </row>
    <row r="421" spans="1:5" ht="14.5">
      <c r="A421" s="2042" t="s">
        <v>3027</v>
      </c>
      <c r="B421" s="380" t="str">
        <f t="shared" si="6"/>
        <v>101-917</v>
      </c>
      <c r="C421" s="2042" t="s">
        <v>258</v>
      </c>
      <c r="D421" s="2043">
        <v>52365018</v>
      </c>
      <c r="E421" s="2043">
        <v>50215142</v>
      </c>
    </row>
    <row r="422" spans="1:5" ht="14.5">
      <c r="A422" s="2042" t="s">
        <v>5071</v>
      </c>
      <c r="B422" s="380" t="str">
        <f t="shared" si="6"/>
        <v>101-919</v>
      </c>
      <c r="C422" s="2042" t="s">
        <v>458</v>
      </c>
      <c r="D422" s="2043">
        <v>66823919</v>
      </c>
      <c r="E422" s="2043">
        <v>49837890</v>
      </c>
    </row>
    <row r="423" spans="1:5" ht="14.5">
      <c r="A423" s="2042" t="s">
        <v>5072</v>
      </c>
      <c r="B423" s="380" t="str">
        <f t="shared" si="6"/>
        <v>101-920</v>
      </c>
      <c r="C423" s="2042" t="s">
        <v>2067</v>
      </c>
      <c r="D423" s="2043">
        <v>49369767</v>
      </c>
      <c r="E423" s="2043">
        <v>42547417</v>
      </c>
    </row>
    <row r="424" spans="1:5" ht="14.5">
      <c r="A424" s="2042" t="s">
        <v>5073</v>
      </c>
      <c r="B424" s="380" t="str">
        <f t="shared" si="6"/>
        <v>101-921</v>
      </c>
      <c r="C424" s="2042" t="s">
        <v>2068</v>
      </c>
      <c r="D424" s="2043">
        <v>31635065</v>
      </c>
      <c r="E424" s="2043">
        <v>28543852</v>
      </c>
    </row>
    <row r="425" spans="1:5" ht="14.5">
      <c r="A425" s="2042" t="s">
        <v>5074</v>
      </c>
      <c r="B425" s="380" t="str">
        <f t="shared" si="6"/>
        <v>101-924</v>
      </c>
      <c r="C425" s="2042" t="s">
        <v>2069</v>
      </c>
      <c r="D425" s="2043">
        <v>25710155</v>
      </c>
      <c r="E425" s="2043">
        <v>11733707</v>
      </c>
    </row>
    <row r="426" spans="1:5" ht="14.5">
      <c r="A426" s="2042" t="s">
        <v>3028</v>
      </c>
      <c r="B426" s="380" t="str">
        <f t="shared" si="6"/>
        <v>101-925</v>
      </c>
      <c r="C426" s="2042" t="s">
        <v>2250</v>
      </c>
      <c r="D426" s="2043">
        <v>5100768</v>
      </c>
      <c r="E426" s="2043">
        <v>3444298</v>
      </c>
    </row>
    <row r="427" spans="1:5" ht="14.5">
      <c r="A427" s="2042" t="s">
        <v>5812</v>
      </c>
      <c r="B427" s="380" t="str">
        <f t="shared" si="6"/>
        <v>102-901</v>
      </c>
      <c r="C427" s="2042" t="s">
        <v>2070</v>
      </c>
      <c r="D427" s="2043">
        <v>0</v>
      </c>
      <c r="E427" s="2043">
        <v>0</v>
      </c>
    </row>
    <row r="428" spans="1:5" ht="14.5">
      <c r="A428" s="2042" t="s">
        <v>5075</v>
      </c>
      <c r="B428" s="380" t="str">
        <f t="shared" si="6"/>
        <v>102-902</v>
      </c>
      <c r="C428" s="2042" t="s">
        <v>2071</v>
      </c>
      <c r="D428" s="2043">
        <v>7099326</v>
      </c>
      <c r="E428" s="2043">
        <v>5424325</v>
      </c>
    </row>
    <row r="429" spans="1:5" ht="14.5">
      <c r="A429" s="2042" t="s">
        <v>5076</v>
      </c>
      <c r="B429" s="380" t="str">
        <f t="shared" si="6"/>
        <v>102-903</v>
      </c>
      <c r="C429" s="2042" t="s">
        <v>2072</v>
      </c>
      <c r="D429" s="2043">
        <v>1269744</v>
      </c>
      <c r="E429" s="2043">
        <v>501569</v>
      </c>
    </row>
    <row r="430" spans="1:5" ht="14.5">
      <c r="A430" s="2042" t="s">
        <v>5077</v>
      </c>
      <c r="B430" s="380" t="str">
        <f t="shared" si="6"/>
        <v>102-904</v>
      </c>
      <c r="C430" s="2042" t="s">
        <v>1961</v>
      </c>
      <c r="D430" s="2043">
        <v>3809715</v>
      </c>
      <c r="E430" s="2043">
        <v>6726252</v>
      </c>
    </row>
    <row r="431" spans="1:5" ht="14.5">
      <c r="A431" s="2042" t="s">
        <v>5078</v>
      </c>
      <c r="B431" s="380" t="str">
        <f t="shared" si="6"/>
        <v>102-905</v>
      </c>
      <c r="C431" s="2042" t="s">
        <v>1962</v>
      </c>
      <c r="D431" s="2043">
        <v>152484</v>
      </c>
      <c r="E431" s="2043">
        <v>152484</v>
      </c>
    </row>
    <row r="432" spans="1:5" ht="14.5">
      <c r="A432" s="2042" t="s">
        <v>5079</v>
      </c>
      <c r="B432" s="380" t="str">
        <f t="shared" si="6"/>
        <v>102-906</v>
      </c>
      <c r="C432" s="2042" t="s">
        <v>147</v>
      </c>
      <c r="D432" s="2043">
        <v>937450</v>
      </c>
      <c r="E432" s="2043">
        <v>937450</v>
      </c>
    </row>
    <row r="433" spans="1:5" ht="14.5">
      <c r="A433" s="2042" t="s">
        <v>5080</v>
      </c>
      <c r="B433" s="380" t="str">
        <f t="shared" si="6"/>
        <v>103-901</v>
      </c>
      <c r="C433" s="2042" t="s">
        <v>148</v>
      </c>
      <c r="D433" s="2043">
        <v>282062</v>
      </c>
      <c r="E433" s="2043">
        <v>282062</v>
      </c>
    </row>
    <row r="434" spans="1:5" ht="14.5">
      <c r="A434" s="2042" t="s">
        <v>5081</v>
      </c>
      <c r="B434" s="380" t="str">
        <f t="shared" si="6"/>
        <v>103-902</v>
      </c>
      <c r="C434" s="2042" t="s">
        <v>149</v>
      </c>
      <c r="D434" s="2043">
        <v>421262</v>
      </c>
      <c r="E434" s="2043">
        <v>421262</v>
      </c>
    </row>
    <row r="435" spans="1:5" ht="14.5">
      <c r="A435" s="2042" t="s">
        <v>3029</v>
      </c>
      <c r="B435" s="380" t="str">
        <f t="shared" si="6"/>
        <v>104-901</v>
      </c>
      <c r="C435" s="2042" t="s">
        <v>782</v>
      </c>
      <c r="D435" s="2043">
        <v>1651209</v>
      </c>
      <c r="E435" s="2043">
        <v>84034</v>
      </c>
    </row>
    <row r="436" spans="1:5" ht="14.5">
      <c r="A436" s="2042" t="s">
        <v>5813</v>
      </c>
      <c r="B436" s="380" t="str">
        <f t="shared" si="6"/>
        <v>104-903</v>
      </c>
      <c r="C436" s="2042" t="s">
        <v>150</v>
      </c>
      <c r="D436" s="2043">
        <v>0</v>
      </c>
      <c r="E436" s="2043">
        <v>0</v>
      </c>
    </row>
    <row r="437" spans="1:5" ht="14.5">
      <c r="A437" s="2042" t="s">
        <v>5082</v>
      </c>
      <c r="B437" s="380" t="str">
        <f t="shared" si="6"/>
        <v>104-907</v>
      </c>
      <c r="C437" s="2042" t="s">
        <v>151</v>
      </c>
      <c r="D437" s="2043">
        <v>515816</v>
      </c>
      <c r="E437" s="2043">
        <v>105566</v>
      </c>
    </row>
    <row r="438" spans="1:5" ht="14.5">
      <c r="A438" s="2042" t="s">
        <v>5083</v>
      </c>
      <c r="B438" s="380" t="str">
        <f t="shared" si="6"/>
        <v>105-902</v>
      </c>
      <c r="C438" s="2042" t="s">
        <v>989</v>
      </c>
      <c r="D438" s="2043">
        <v>18808532</v>
      </c>
      <c r="E438" s="2043">
        <v>14090365</v>
      </c>
    </row>
    <row r="439" spans="1:5" ht="14.5">
      <c r="A439" s="2042" t="s">
        <v>3030</v>
      </c>
      <c r="B439" s="380" t="str">
        <f t="shared" si="6"/>
        <v>105-904</v>
      </c>
      <c r="C439" s="2042" t="s">
        <v>1005</v>
      </c>
      <c r="D439" s="2043">
        <v>14349825</v>
      </c>
      <c r="E439" s="2043">
        <v>14480225</v>
      </c>
    </row>
    <row r="440" spans="1:5" ht="14.5">
      <c r="A440" s="2042" t="s">
        <v>5084</v>
      </c>
      <c r="B440" s="380" t="str">
        <f t="shared" si="6"/>
        <v>105-905</v>
      </c>
      <c r="C440" s="2042" t="s">
        <v>153</v>
      </c>
      <c r="D440" s="2043">
        <v>5795780</v>
      </c>
      <c r="E440" s="2043">
        <v>3383542</v>
      </c>
    </row>
    <row r="441" spans="1:5" ht="14.5">
      <c r="A441" s="2042" t="s">
        <v>3031</v>
      </c>
      <c r="B441" s="380" t="str">
        <f t="shared" si="6"/>
        <v>105-906</v>
      </c>
      <c r="C441" s="2042" t="s">
        <v>33</v>
      </c>
      <c r="D441" s="2043">
        <v>32678557</v>
      </c>
      <c r="E441" s="2043">
        <v>27622549</v>
      </c>
    </row>
    <row r="442" spans="1:5" ht="14.5">
      <c r="A442" s="2042" t="s">
        <v>5085</v>
      </c>
      <c r="B442" s="380" t="str">
        <f t="shared" si="6"/>
        <v>106-901</v>
      </c>
      <c r="C442" s="2042" t="s">
        <v>154</v>
      </c>
      <c r="D442" s="2043">
        <v>1261850</v>
      </c>
      <c r="E442" s="2043">
        <v>0</v>
      </c>
    </row>
    <row r="443" spans="1:5" ht="14.5">
      <c r="A443" s="2042" t="s">
        <v>5086</v>
      </c>
      <c r="B443" s="380" t="str">
        <f t="shared" si="6"/>
        <v>107-901</v>
      </c>
      <c r="C443" s="2042" t="s">
        <v>1273</v>
      </c>
      <c r="D443" s="2043">
        <v>4126448</v>
      </c>
      <c r="E443" s="2043">
        <v>1593773</v>
      </c>
    </row>
    <row r="444" spans="1:5" ht="14.5">
      <c r="A444" s="2042" t="s">
        <v>5087</v>
      </c>
      <c r="B444" s="380" t="str">
        <f t="shared" si="6"/>
        <v>107-902</v>
      </c>
      <c r="C444" s="2042" t="s">
        <v>1274</v>
      </c>
      <c r="D444" s="2043">
        <v>2289350</v>
      </c>
      <c r="E444" s="2043">
        <v>2289350</v>
      </c>
    </row>
    <row r="445" spans="1:5" ht="14.5">
      <c r="A445" s="2042" t="s">
        <v>5088</v>
      </c>
      <c r="B445" s="380" t="str">
        <f t="shared" si="6"/>
        <v>107-904</v>
      </c>
      <c r="C445" s="2042" t="s">
        <v>1275</v>
      </c>
      <c r="D445" s="2043">
        <v>383900</v>
      </c>
      <c r="E445" s="2043">
        <v>383900</v>
      </c>
    </row>
    <row r="446" spans="1:5" ht="14.5">
      <c r="A446" s="2042" t="s">
        <v>5089</v>
      </c>
      <c r="B446" s="380" t="str">
        <f t="shared" si="6"/>
        <v>107-905</v>
      </c>
      <c r="C446" s="2042" t="s">
        <v>1276</v>
      </c>
      <c r="D446" s="2043">
        <v>2787500</v>
      </c>
      <c r="E446" s="2043">
        <v>893100</v>
      </c>
    </row>
    <row r="447" spans="1:5" ht="14.5">
      <c r="A447" s="2042" t="s">
        <v>5090</v>
      </c>
      <c r="B447" s="380" t="str">
        <f t="shared" si="6"/>
        <v>107-906</v>
      </c>
      <c r="C447" s="2042" t="s">
        <v>2455</v>
      </c>
      <c r="D447" s="2043">
        <v>1783320</v>
      </c>
      <c r="E447" s="2043">
        <v>1783320</v>
      </c>
    </row>
    <row r="448" spans="1:5" ht="14.5">
      <c r="A448" s="2042" t="s">
        <v>3032</v>
      </c>
      <c r="B448" s="380" t="str">
        <f t="shared" si="6"/>
        <v>107-907</v>
      </c>
      <c r="C448" s="2042" t="s">
        <v>570</v>
      </c>
      <c r="D448" s="2043">
        <v>101475</v>
      </c>
      <c r="E448" s="2043">
        <v>101475</v>
      </c>
    </row>
    <row r="449" spans="1:5" ht="14.5">
      <c r="A449" s="2042" t="s">
        <v>4087</v>
      </c>
      <c r="B449" s="380" t="str">
        <f t="shared" si="6"/>
        <v>107-908</v>
      </c>
      <c r="C449" s="2042" t="s">
        <v>1986</v>
      </c>
      <c r="D449" s="2043">
        <v>0</v>
      </c>
      <c r="E449" s="2043">
        <v>0</v>
      </c>
    </row>
    <row r="450" spans="1:5" ht="14.5">
      <c r="A450" s="2042" t="s">
        <v>5091</v>
      </c>
      <c r="B450" s="380" t="str">
        <f t="shared" si="6"/>
        <v>107-910</v>
      </c>
      <c r="C450" s="2042" t="s">
        <v>2456</v>
      </c>
      <c r="D450" s="2043">
        <v>0</v>
      </c>
      <c r="E450" s="2043">
        <v>526600</v>
      </c>
    </row>
    <row r="451" spans="1:5" ht="14.5">
      <c r="A451" s="2042" t="s">
        <v>3033</v>
      </c>
      <c r="B451" s="380" t="str">
        <f t="shared" ref="B451:B514" si="7">CONCATENATE(LEFT(RIGHT(CONCATENATE("000",A451),6),3),"-",(RIGHT(RIGHT(CONCATENATE("000",A451),6),3)))</f>
        <v>108-902</v>
      </c>
      <c r="C451" s="2042" t="s">
        <v>30</v>
      </c>
      <c r="D451" s="2043">
        <v>5591250</v>
      </c>
      <c r="E451" s="2043">
        <v>6936287</v>
      </c>
    </row>
    <row r="452" spans="1:5" ht="14.5">
      <c r="A452" s="2042" t="s">
        <v>3034</v>
      </c>
      <c r="B452" s="380" t="str">
        <f t="shared" si="7"/>
        <v>108-903</v>
      </c>
      <c r="C452" s="2042" t="s">
        <v>1010</v>
      </c>
      <c r="D452" s="2043">
        <v>3527445</v>
      </c>
      <c r="E452" s="2043">
        <v>3297119</v>
      </c>
    </row>
    <row r="453" spans="1:5" ht="14.5">
      <c r="A453" s="2042" t="s">
        <v>3035</v>
      </c>
      <c r="B453" s="380" t="str">
        <f t="shared" si="7"/>
        <v>108-904</v>
      </c>
      <c r="C453" s="2042" t="s">
        <v>31</v>
      </c>
      <c r="D453" s="2043">
        <v>9761500</v>
      </c>
      <c r="E453" s="2043">
        <v>9761500</v>
      </c>
    </row>
    <row r="454" spans="1:5" ht="14.5">
      <c r="A454" s="2042" t="s">
        <v>3036</v>
      </c>
      <c r="B454" s="380" t="str">
        <f t="shared" si="7"/>
        <v>108-905</v>
      </c>
      <c r="C454" s="2042" t="s">
        <v>2241</v>
      </c>
      <c r="D454" s="2043">
        <v>2811975</v>
      </c>
      <c r="E454" s="2043">
        <v>2811975</v>
      </c>
    </row>
    <row r="455" spans="1:5" ht="14.5">
      <c r="A455" s="2042" t="s">
        <v>3037</v>
      </c>
      <c r="B455" s="380" t="str">
        <f t="shared" si="7"/>
        <v>108-906</v>
      </c>
      <c r="C455" s="2042" t="s">
        <v>771</v>
      </c>
      <c r="D455" s="2043">
        <v>5433185</v>
      </c>
      <c r="E455" s="2043">
        <v>6640783</v>
      </c>
    </row>
    <row r="456" spans="1:5" ht="14.5">
      <c r="A456" s="2042" t="s">
        <v>3038</v>
      </c>
      <c r="B456" s="380" t="str">
        <f t="shared" si="7"/>
        <v>108-907</v>
      </c>
      <c r="C456" s="2042" t="s">
        <v>2111</v>
      </c>
      <c r="D456" s="2043">
        <v>5395846</v>
      </c>
      <c r="E456" s="2043">
        <v>5474025</v>
      </c>
    </row>
    <row r="457" spans="1:5" ht="14.5">
      <c r="A457" s="2042" t="s">
        <v>3039</v>
      </c>
      <c r="B457" s="380" t="str">
        <f t="shared" si="7"/>
        <v>108-908</v>
      </c>
      <c r="C457" s="2042" t="s">
        <v>36</v>
      </c>
      <c r="D457" s="2043">
        <v>8947927</v>
      </c>
      <c r="E457" s="2043">
        <v>9648225</v>
      </c>
    </row>
    <row r="458" spans="1:5" ht="14.5">
      <c r="A458" s="2042" t="s">
        <v>3040</v>
      </c>
      <c r="B458" s="380" t="str">
        <f t="shared" si="7"/>
        <v>108-909</v>
      </c>
      <c r="C458" s="2042" t="s">
        <v>945</v>
      </c>
      <c r="D458" s="2043">
        <v>23259362</v>
      </c>
      <c r="E458" s="2043">
        <v>24516971</v>
      </c>
    </row>
    <row r="459" spans="1:5" ht="14.5">
      <c r="A459" s="2042" t="s">
        <v>3041</v>
      </c>
      <c r="B459" s="380" t="str">
        <f t="shared" si="7"/>
        <v>108-910</v>
      </c>
      <c r="C459" s="2042" t="s">
        <v>73</v>
      </c>
      <c r="D459" s="2043">
        <v>2008442</v>
      </c>
      <c r="E459" s="2043">
        <v>2201647</v>
      </c>
    </row>
    <row r="460" spans="1:5" ht="14.5">
      <c r="A460" s="2042" t="s">
        <v>3042</v>
      </c>
      <c r="B460" s="380" t="str">
        <f t="shared" si="7"/>
        <v>108-911</v>
      </c>
      <c r="C460" s="2042" t="s">
        <v>2458</v>
      </c>
      <c r="D460" s="2043">
        <v>6140163</v>
      </c>
      <c r="E460" s="2043">
        <v>8043689</v>
      </c>
    </row>
    <row r="461" spans="1:5" ht="14.5">
      <c r="A461" s="2042" t="s">
        <v>3043</v>
      </c>
      <c r="B461" s="380" t="str">
        <f t="shared" si="7"/>
        <v>108-912</v>
      </c>
      <c r="C461" s="2042" t="s">
        <v>1790</v>
      </c>
      <c r="D461" s="2043">
        <v>17100081</v>
      </c>
      <c r="E461" s="2043">
        <v>21968143</v>
      </c>
    </row>
    <row r="462" spans="1:5" ht="14.5">
      <c r="A462" s="2042" t="s">
        <v>3044</v>
      </c>
      <c r="B462" s="380" t="str">
        <f t="shared" si="7"/>
        <v>108-913</v>
      </c>
      <c r="C462" s="2042" t="s">
        <v>132</v>
      </c>
      <c r="D462" s="2043">
        <v>3953075</v>
      </c>
      <c r="E462" s="2043">
        <v>3953075</v>
      </c>
    </row>
    <row r="463" spans="1:5" ht="14.5">
      <c r="A463" s="2042" t="s">
        <v>3045</v>
      </c>
      <c r="B463" s="380" t="str">
        <f t="shared" si="7"/>
        <v>108-914</v>
      </c>
      <c r="C463" s="2042" t="s">
        <v>2175</v>
      </c>
      <c r="D463" s="2043">
        <v>757950</v>
      </c>
      <c r="E463" s="2043">
        <v>500024</v>
      </c>
    </row>
    <row r="464" spans="1:5" ht="14.5">
      <c r="A464" s="2042" t="s">
        <v>3046</v>
      </c>
      <c r="B464" s="380" t="str">
        <f t="shared" si="7"/>
        <v>108-915</v>
      </c>
      <c r="C464" s="2042" t="s">
        <v>2119</v>
      </c>
      <c r="D464" s="2043">
        <v>948175</v>
      </c>
      <c r="E464" s="2043">
        <v>948175</v>
      </c>
    </row>
    <row r="465" spans="1:5" ht="14.5">
      <c r="A465" s="2042" t="s">
        <v>3047</v>
      </c>
      <c r="B465" s="380" t="str">
        <f t="shared" si="7"/>
        <v>108-916</v>
      </c>
      <c r="C465" s="2042" t="s">
        <v>2231</v>
      </c>
      <c r="D465" s="2043">
        <v>3336588</v>
      </c>
      <c r="E465" s="2043">
        <v>3598266</v>
      </c>
    </row>
    <row r="466" spans="1:5" ht="14.5">
      <c r="A466" s="2042" t="s">
        <v>3048</v>
      </c>
      <c r="B466" s="380" t="str">
        <f t="shared" si="7"/>
        <v>109-901</v>
      </c>
      <c r="C466" s="2042" t="s">
        <v>2031</v>
      </c>
      <c r="D466" s="2043">
        <v>318888</v>
      </c>
      <c r="E466" s="2043">
        <v>318888</v>
      </c>
    </row>
    <row r="467" spans="1:5" ht="14.5">
      <c r="A467" s="2042" t="s">
        <v>3049</v>
      </c>
      <c r="B467" s="380" t="str">
        <f t="shared" si="7"/>
        <v>109-902</v>
      </c>
      <c r="C467" s="2042" t="s">
        <v>851</v>
      </c>
      <c r="D467" s="2043">
        <v>170180</v>
      </c>
      <c r="E467" s="2043">
        <v>170180</v>
      </c>
    </row>
    <row r="468" spans="1:5" ht="14.5">
      <c r="A468" s="2042" t="s">
        <v>4185</v>
      </c>
      <c r="B468" s="380" t="str">
        <f t="shared" si="7"/>
        <v>109-903</v>
      </c>
      <c r="C468" s="2042" t="s">
        <v>626</v>
      </c>
      <c r="D468" s="2043">
        <v>113531</v>
      </c>
      <c r="E468" s="2043">
        <v>113531</v>
      </c>
    </row>
    <row r="469" spans="1:5" ht="14.5">
      <c r="A469" s="2042" t="s">
        <v>3050</v>
      </c>
      <c r="B469" s="380" t="str">
        <f t="shared" si="7"/>
        <v>109-904</v>
      </c>
      <c r="C469" s="2042" t="s">
        <v>2243</v>
      </c>
      <c r="D469" s="2043">
        <v>1430268</v>
      </c>
      <c r="E469" s="2043">
        <v>692950</v>
      </c>
    </row>
    <row r="470" spans="1:5" ht="14.5">
      <c r="A470" s="2042" t="s">
        <v>3051</v>
      </c>
      <c r="B470" s="380" t="str">
        <f t="shared" si="7"/>
        <v>109-905</v>
      </c>
      <c r="C470" s="2042" t="s">
        <v>2248</v>
      </c>
      <c r="D470" s="2043">
        <v>625873</v>
      </c>
      <c r="E470" s="2043">
        <v>625873</v>
      </c>
    </row>
    <row r="471" spans="1:5" ht="14.5">
      <c r="A471" s="2042" t="s">
        <v>3052</v>
      </c>
      <c r="B471" s="380" t="str">
        <f t="shared" si="7"/>
        <v>109-907</v>
      </c>
      <c r="C471" s="2042" t="s">
        <v>382</v>
      </c>
      <c r="D471" s="2043">
        <v>719812</v>
      </c>
      <c r="E471" s="2043">
        <v>546716</v>
      </c>
    </row>
    <row r="472" spans="1:5" ht="14.5">
      <c r="A472" s="2042" t="s">
        <v>3053</v>
      </c>
      <c r="B472" s="380" t="str">
        <f t="shared" si="7"/>
        <v>109-908</v>
      </c>
      <c r="C472" s="2042" t="s">
        <v>2033</v>
      </c>
      <c r="D472" s="2043">
        <v>82431</v>
      </c>
      <c r="E472" s="2043">
        <v>82431</v>
      </c>
    </row>
    <row r="473" spans="1:5" ht="14.5">
      <c r="A473" s="2042" t="s">
        <v>3054</v>
      </c>
      <c r="B473" s="380" t="str">
        <f t="shared" si="7"/>
        <v>109-910</v>
      </c>
      <c r="C473" s="2042" t="s">
        <v>2120</v>
      </c>
      <c r="D473" s="2043">
        <v>94839</v>
      </c>
      <c r="E473" s="2043">
        <v>94839</v>
      </c>
    </row>
    <row r="474" spans="1:5" ht="14.5">
      <c r="A474" s="2042" t="s">
        <v>5092</v>
      </c>
      <c r="B474" s="380" t="str">
        <f t="shared" si="7"/>
        <v>109-911</v>
      </c>
      <c r="C474" s="2042" t="s">
        <v>2459</v>
      </c>
      <c r="D474" s="2043">
        <v>2390150</v>
      </c>
      <c r="E474" s="2043">
        <v>1817500</v>
      </c>
    </row>
    <row r="475" spans="1:5" ht="14.5">
      <c r="A475" s="2042" t="s">
        <v>3055</v>
      </c>
      <c r="B475" s="380" t="str">
        <f t="shared" si="7"/>
        <v>109-912</v>
      </c>
      <c r="C475" s="2042" t="s">
        <v>2281</v>
      </c>
      <c r="D475" s="2043">
        <v>207248</v>
      </c>
      <c r="E475" s="2043">
        <v>207248</v>
      </c>
    </row>
    <row r="476" spans="1:5" ht="14.5">
      <c r="A476" s="2042" t="s">
        <v>4203</v>
      </c>
      <c r="B476" s="380" t="str">
        <f t="shared" si="7"/>
        <v>109-913</v>
      </c>
      <c r="C476" s="2042" t="s">
        <v>1270</v>
      </c>
      <c r="D476" s="2043">
        <v>190200</v>
      </c>
      <c r="E476" s="2043">
        <v>190200</v>
      </c>
    </row>
    <row r="477" spans="1:5" ht="14.5">
      <c r="A477" s="2042" t="s">
        <v>4205</v>
      </c>
      <c r="B477" s="380" t="str">
        <f t="shared" si="7"/>
        <v>109-914</v>
      </c>
      <c r="C477" s="2042" t="s">
        <v>2450</v>
      </c>
      <c r="D477" s="2043">
        <v>0</v>
      </c>
      <c r="E477" s="2043">
        <v>0</v>
      </c>
    </row>
    <row r="478" spans="1:5" ht="14.5">
      <c r="A478" s="2042" t="s">
        <v>5814</v>
      </c>
      <c r="B478" s="380" t="str">
        <f t="shared" si="7"/>
        <v>110-901</v>
      </c>
      <c r="C478" s="2042" t="s">
        <v>2460</v>
      </c>
      <c r="D478" s="2043">
        <v>0</v>
      </c>
      <c r="E478" s="2043">
        <v>0</v>
      </c>
    </row>
    <row r="479" spans="1:5" ht="14.5">
      <c r="A479" s="2042" t="s">
        <v>5093</v>
      </c>
      <c r="B479" s="380" t="str">
        <f t="shared" si="7"/>
        <v>110-902</v>
      </c>
      <c r="C479" s="2042" t="s">
        <v>2461</v>
      </c>
      <c r="D479" s="2043">
        <v>2509375</v>
      </c>
      <c r="E479" s="2043">
        <v>3823332</v>
      </c>
    </row>
    <row r="480" spans="1:5" ht="14.5">
      <c r="A480" s="2042" t="s">
        <v>5094</v>
      </c>
      <c r="B480" s="380" t="str">
        <f t="shared" si="7"/>
        <v>110-905</v>
      </c>
      <c r="C480" s="2042" t="s">
        <v>2462</v>
      </c>
      <c r="D480" s="2043">
        <v>299275</v>
      </c>
      <c r="E480" s="2043">
        <v>299275</v>
      </c>
    </row>
    <row r="481" spans="1:5" ht="14.5">
      <c r="A481" s="2042" t="s">
        <v>3056</v>
      </c>
      <c r="B481" s="380" t="str">
        <f t="shared" si="7"/>
        <v>110-906</v>
      </c>
      <c r="C481" s="2042" t="s">
        <v>1822</v>
      </c>
      <c r="D481" s="2043">
        <v>92895</v>
      </c>
      <c r="E481" s="2043">
        <v>92895</v>
      </c>
    </row>
    <row r="482" spans="1:5" ht="14.5">
      <c r="A482" s="2042" t="s">
        <v>5815</v>
      </c>
      <c r="B482" s="380" t="str">
        <f t="shared" si="7"/>
        <v>110-907</v>
      </c>
      <c r="C482" s="2042" t="s">
        <v>2463</v>
      </c>
      <c r="D482" s="2043">
        <v>0</v>
      </c>
      <c r="E482" s="2043">
        <v>0</v>
      </c>
    </row>
    <row r="483" spans="1:5" ht="14.5">
      <c r="A483" s="2042" t="s">
        <v>5816</v>
      </c>
      <c r="B483" s="380" t="str">
        <f t="shared" si="7"/>
        <v>110-908</v>
      </c>
      <c r="C483" s="2042" t="s">
        <v>2464</v>
      </c>
      <c r="D483" s="2043">
        <v>0</v>
      </c>
      <c r="E483" s="2043">
        <v>0</v>
      </c>
    </row>
    <row r="484" spans="1:5" ht="14.5">
      <c r="A484" s="2042" t="s">
        <v>5095</v>
      </c>
      <c r="B484" s="380" t="str">
        <f t="shared" si="7"/>
        <v>111-901</v>
      </c>
      <c r="C484" s="2042" t="s">
        <v>205</v>
      </c>
      <c r="D484" s="2043">
        <v>8026457</v>
      </c>
      <c r="E484" s="2043">
        <v>4334582</v>
      </c>
    </row>
    <row r="485" spans="1:5" ht="14.5">
      <c r="A485" s="2042" t="s">
        <v>3057</v>
      </c>
      <c r="B485" s="380" t="str">
        <f t="shared" si="7"/>
        <v>111-902</v>
      </c>
      <c r="C485" s="2042" t="s">
        <v>1475</v>
      </c>
      <c r="D485" s="2043">
        <v>540490</v>
      </c>
      <c r="E485" s="2043">
        <v>506604</v>
      </c>
    </row>
    <row r="486" spans="1:5" ht="14.5">
      <c r="A486" s="2042" t="s">
        <v>3058</v>
      </c>
      <c r="B486" s="380" t="str">
        <f t="shared" si="7"/>
        <v>111-903</v>
      </c>
      <c r="C486" s="2042" t="s">
        <v>568</v>
      </c>
      <c r="D486" s="2043">
        <v>577019</v>
      </c>
      <c r="E486" s="2043">
        <v>526785</v>
      </c>
    </row>
    <row r="487" spans="1:5" ht="14.5">
      <c r="A487" s="2042" t="s">
        <v>3059</v>
      </c>
      <c r="B487" s="380" t="str">
        <f t="shared" si="7"/>
        <v>112-901</v>
      </c>
      <c r="C487" s="2042" t="s">
        <v>206</v>
      </c>
      <c r="D487" s="2043">
        <v>3214831</v>
      </c>
      <c r="E487" s="2043">
        <v>3214831</v>
      </c>
    </row>
    <row r="488" spans="1:5" ht="14.5">
      <c r="A488" s="2042" t="s">
        <v>3060</v>
      </c>
      <c r="B488" s="380" t="str">
        <f t="shared" si="7"/>
        <v>112-905</v>
      </c>
      <c r="C488" s="2042" t="s">
        <v>400</v>
      </c>
      <c r="D488" s="2043">
        <v>150037</v>
      </c>
      <c r="E488" s="2043">
        <v>150037</v>
      </c>
    </row>
    <row r="489" spans="1:5" ht="14.5">
      <c r="A489" s="2042" t="s">
        <v>5096</v>
      </c>
      <c r="B489" s="380" t="str">
        <f t="shared" si="7"/>
        <v>112-906</v>
      </c>
      <c r="C489" s="2042" t="s">
        <v>207</v>
      </c>
      <c r="D489" s="2043">
        <v>308012</v>
      </c>
      <c r="E489" s="2043">
        <v>308012</v>
      </c>
    </row>
    <row r="490" spans="1:5" ht="14.5">
      <c r="A490" s="2042" t="s">
        <v>3061</v>
      </c>
      <c r="B490" s="380" t="str">
        <f t="shared" si="7"/>
        <v>112-907</v>
      </c>
      <c r="C490" s="2042" t="s">
        <v>2115</v>
      </c>
      <c r="D490" s="2043">
        <v>180479</v>
      </c>
      <c r="E490" s="2043">
        <v>182900</v>
      </c>
    </row>
    <row r="491" spans="1:5" ht="14.5">
      <c r="A491" s="2042" t="s">
        <v>5817</v>
      </c>
      <c r="B491" s="380" t="str">
        <f t="shared" si="7"/>
        <v>112-908</v>
      </c>
      <c r="C491" s="2042" t="s">
        <v>595</v>
      </c>
      <c r="D491" s="2043">
        <v>0</v>
      </c>
      <c r="E491" s="2043">
        <v>0</v>
      </c>
    </row>
    <row r="492" spans="1:5" ht="14.5">
      <c r="A492" s="2042" t="s">
        <v>5818</v>
      </c>
      <c r="B492" s="380" t="str">
        <f t="shared" si="7"/>
        <v>112-909</v>
      </c>
      <c r="C492" s="2042" t="s">
        <v>596</v>
      </c>
      <c r="D492" s="2043">
        <v>0</v>
      </c>
      <c r="E492" s="2043">
        <v>0</v>
      </c>
    </row>
    <row r="493" spans="1:5" ht="14.5">
      <c r="A493" s="2042" t="s">
        <v>3062</v>
      </c>
      <c r="B493" s="380" t="str">
        <f t="shared" si="7"/>
        <v>112-910</v>
      </c>
      <c r="C493" s="2042" t="s">
        <v>1835</v>
      </c>
      <c r="D493" s="2043">
        <v>83650</v>
      </c>
      <c r="E493" s="2043">
        <v>83650</v>
      </c>
    </row>
    <row r="494" spans="1:5" ht="14.5">
      <c r="A494" s="2042" t="s">
        <v>5097</v>
      </c>
      <c r="B494" s="380" t="str">
        <f t="shared" si="7"/>
        <v>113-901</v>
      </c>
      <c r="C494" s="2042" t="s">
        <v>597</v>
      </c>
      <c r="D494" s="2043">
        <v>975707</v>
      </c>
      <c r="E494" s="2043">
        <v>1013848</v>
      </c>
    </row>
    <row r="495" spans="1:5" ht="14.5">
      <c r="A495" s="2042" t="s">
        <v>5098</v>
      </c>
      <c r="B495" s="380" t="str">
        <f t="shared" si="7"/>
        <v>113-902</v>
      </c>
      <c r="C495" s="2042" t="s">
        <v>2043</v>
      </c>
      <c r="D495" s="2043">
        <v>606663</v>
      </c>
      <c r="E495" s="2043">
        <v>246112</v>
      </c>
    </row>
    <row r="496" spans="1:5" ht="14.5">
      <c r="A496" s="2042" t="s">
        <v>5819</v>
      </c>
      <c r="B496" s="380" t="str">
        <f t="shared" si="7"/>
        <v>113-903</v>
      </c>
      <c r="C496" s="2042" t="s">
        <v>2380</v>
      </c>
      <c r="D496" s="2043">
        <v>0</v>
      </c>
      <c r="E496" s="2043">
        <v>0</v>
      </c>
    </row>
    <row r="497" spans="1:5" ht="14.5">
      <c r="A497" s="2042" t="s">
        <v>5099</v>
      </c>
      <c r="B497" s="380" t="str">
        <f t="shared" si="7"/>
        <v>113-905</v>
      </c>
      <c r="C497" s="2042" t="s">
        <v>1479</v>
      </c>
      <c r="D497" s="2043">
        <v>245000</v>
      </c>
      <c r="E497" s="2043">
        <v>245000</v>
      </c>
    </row>
    <row r="498" spans="1:5" ht="14.5">
      <c r="A498" s="2042" t="s">
        <v>5820</v>
      </c>
      <c r="B498" s="380" t="str">
        <f t="shared" si="7"/>
        <v>113-906</v>
      </c>
      <c r="C498" s="2042" t="s">
        <v>1480</v>
      </c>
      <c r="D498" s="2043">
        <v>0</v>
      </c>
      <c r="E498" s="2043">
        <v>0</v>
      </c>
    </row>
    <row r="499" spans="1:5" ht="14.5">
      <c r="A499" s="2042" t="s">
        <v>3063</v>
      </c>
      <c r="B499" s="380" t="str">
        <f t="shared" si="7"/>
        <v>114-901</v>
      </c>
      <c r="C499" s="2042" t="s">
        <v>1481</v>
      </c>
      <c r="D499" s="2043">
        <v>3443400</v>
      </c>
      <c r="E499" s="2043">
        <v>3178065</v>
      </c>
    </row>
    <row r="500" spans="1:5" ht="14.5">
      <c r="A500" s="2042" t="s">
        <v>5100</v>
      </c>
      <c r="B500" s="380" t="str">
        <f t="shared" si="7"/>
        <v>114-902</v>
      </c>
      <c r="C500" s="2042" t="s">
        <v>1482</v>
      </c>
      <c r="D500" s="2043">
        <v>1103494</v>
      </c>
      <c r="E500" s="2043">
        <v>820844</v>
      </c>
    </row>
    <row r="501" spans="1:5" ht="14.5">
      <c r="A501" s="2042" t="s">
        <v>5101</v>
      </c>
      <c r="B501" s="380" t="str">
        <f t="shared" si="7"/>
        <v>114-904</v>
      </c>
      <c r="C501" s="2042" t="s">
        <v>1483</v>
      </c>
      <c r="D501" s="2043">
        <v>1381250</v>
      </c>
      <c r="E501" s="2043">
        <v>1381250</v>
      </c>
    </row>
    <row r="502" spans="1:5" ht="14.5">
      <c r="A502" s="2042" t="s">
        <v>5102</v>
      </c>
      <c r="B502" s="380" t="str">
        <f t="shared" si="7"/>
        <v>115-901</v>
      </c>
      <c r="C502" s="2042" t="s">
        <v>1484</v>
      </c>
      <c r="D502" s="2043">
        <v>113750</v>
      </c>
      <c r="E502" s="2043">
        <v>113750</v>
      </c>
    </row>
    <row r="503" spans="1:5" ht="14.5">
      <c r="A503" s="2042" t="s">
        <v>5821</v>
      </c>
      <c r="B503" s="380" t="str">
        <f t="shared" si="7"/>
        <v>115-902</v>
      </c>
      <c r="C503" s="2042" t="s">
        <v>1485</v>
      </c>
      <c r="D503" s="2043">
        <v>0</v>
      </c>
      <c r="E503" s="2043">
        <v>0</v>
      </c>
    </row>
    <row r="504" spans="1:5" ht="14.5">
      <c r="A504" s="2042" t="s">
        <v>5822</v>
      </c>
      <c r="B504" s="380" t="str">
        <f t="shared" si="7"/>
        <v>115-903</v>
      </c>
      <c r="C504" s="2042" t="s">
        <v>1486</v>
      </c>
      <c r="D504" s="2043">
        <v>0</v>
      </c>
      <c r="E504" s="2043">
        <v>0</v>
      </c>
    </row>
    <row r="505" spans="1:5" ht="14.5">
      <c r="A505" s="2042" t="s">
        <v>3064</v>
      </c>
      <c r="B505" s="380" t="str">
        <f t="shared" si="7"/>
        <v>116-901</v>
      </c>
      <c r="C505" s="2042" t="s">
        <v>610</v>
      </c>
      <c r="D505" s="2043">
        <v>1811350</v>
      </c>
      <c r="E505" s="2043">
        <v>1930600</v>
      </c>
    </row>
    <row r="506" spans="1:5" ht="14.5">
      <c r="A506" s="2042" t="s">
        <v>3065</v>
      </c>
      <c r="B506" s="380" t="str">
        <f t="shared" si="7"/>
        <v>116-902</v>
      </c>
      <c r="C506" s="2042" t="s">
        <v>1487</v>
      </c>
      <c r="D506" s="2043">
        <v>496775</v>
      </c>
      <c r="E506" s="2043">
        <v>496775</v>
      </c>
    </row>
    <row r="507" spans="1:5" ht="14.5">
      <c r="A507" s="2042" t="s">
        <v>3066</v>
      </c>
      <c r="B507" s="380" t="str">
        <f t="shared" si="7"/>
        <v>116-903</v>
      </c>
      <c r="C507" s="2042" t="s">
        <v>1460</v>
      </c>
      <c r="D507" s="2043">
        <v>1885585</v>
      </c>
      <c r="E507" s="2043">
        <v>1885585</v>
      </c>
    </row>
    <row r="508" spans="1:5" ht="14.5">
      <c r="A508" s="2042" t="s">
        <v>5103</v>
      </c>
      <c r="B508" s="380" t="str">
        <f t="shared" si="7"/>
        <v>116-905</v>
      </c>
      <c r="C508" s="2042" t="s">
        <v>1488</v>
      </c>
      <c r="D508" s="2043">
        <v>1919281</v>
      </c>
      <c r="E508" s="2043">
        <v>5017495</v>
      </c>
    </row>
    <row r="509" spans="1:5" ht="14.5">
      <c r="A509" s="2042" t="s">
        <v>3067</v>
      </c>
      <c r="B509" s="380" t="str">
        <f t="shared" si="7"/>
        <v>116-906</v>
      </c>
      <c r="C509" s="2042" t="s">
        <v>2006</v>
      </c>
      <c r="D509" s="2043">
        <v>584112</v>
      </c>
      <c r="E509" s="2043">
        <v>584112</v>
      </c>
    </row>
    <row r="510" spans="1:5" ht="14.5">
      <c r="A510" s="2042" t="s">
        <v>3068</v>
      </c>
      <c r="B510" s="380" t="str">
        <f t="shared" si="7"/>
        <v>116-908</v>
      </c>
      <c r="C510" s="2042" t="s">
        <v>75</v>
      </c>
      <c r="D510" s="2043">
        <v>1577500</v>
      </c>
      <c r="E510" s="2043">
        <v>1577500</v>
      </c>
    </row>
    <row r="511" spans="1:5" ht="14.5">
      <c r="A511" s="2042" t="s">
        <v>3069</v>
      </c>
      <c r="B511" s="380" t="str">
        <f t="shared" si="7"/>
        <v>116-909</v>
      </c>
      <c r="C511" s="2042" t="s">
        <v>1064</v>
      </c>
      <c r="D511" s="2043">
        <v>447000</v>
      </c>
      <c r="E511" s="2043">
        <v>125600</v>
      </c>
    </row>
    <row r="512" spans="1:5" ht="14.5">
      <c r="A512" s="2042" t="s">
        <v>5104</v>
      </c>
      <c r="B512" s="380" t="str">
        <f t="shared" si="7"/>
        <v>116-910</v>
      </c>
      <c r="C512" s="2042" t="s">
        <v>1489</v>
      </c>
      <c r="D512" s="2043">
        <v>0</v>
      </c>
      <c r="E512" s="2043">
        <v>0</v>
      </c>
    </row>
    <row r="513" spans="1:5" ht="14.5">
      <c r="A513" s="2042" t="s">
        <v>3070</v>
      </c>
      <c r="B513" s="380" t="str">
        <f t="shared" si="7"/>
        <v>116-915</v>
      </c>
      <c r="C513" s="2042" t="s">
        <v>754</v>
      </c>
      <c r="D513" s="2043">
        <v>887850</v>
      </c>
      <c r="E513" s="2043">
        <v>887850</v>
      </c>
    </row>
    <row r="514" spans="1:5" ht="14.5">
      <c r="A514" s="2042" t="s">
        <v>3071</v>
      </c>
      <c r="B514" s="380" t="str">
        <f t="shared" si="7"/>
        <v>116-916</v>
      </c>
      <c r="C514" s="2042" t="s">
        <v>1271</v>
      </c>
      <c r="D514" s="2043">
        <v>593096</v>
      </c>
      <c r="E514" s="2043">
        <v>593096</v>
      </c>
    </row>
    <row r="515" spans="1:5" ht="14.5">
      <c r="A515" s="2042" t="s">
        <v>5105</v>
      </c>
      <c r="B515" s="380" t="str">
        <f t="shared" ref="B515:B578" si="8">CONCATENATE(LEFT(RIGHT(CONCATENATE("000",A515),6),3),"-",(RIGHT(RIGHT(CONCATENATE("000",A515),6),3)))</f>
        <v>117-901</v>
      </c>
      <c r="C515" s="2042" t="s">
        <v>1490</v>
      </c>
      <c r="D515" s="2043">
        <v>4089363</v>
      </c>
      <c r="E515" s="2043">
        <v>2141613</v>
      </c>
    </row>
    <row r="516" spans="1:5" ht="14.5">
      <c r="A516" s="2042" t="s">
        <v>5106</v>
      </c>
      <c r="B516" s="380" t="str">
        <f t="shared" si="8"/>
        <v>117-903</v>
      </c>
      <c r="C516" s="2042" t="s">
        <v>990</v>
      </c>
      <c r="D516" s="2043">
        <v>564562</v>
      </c>
      <c r="E516" s="2043">
        <v>564562</v>
      </c>
    </row>
    <row r="517" spans="1:5" ht="14.5">
      <c r="A517" s="2042" t="s">
        <v>5107</v>
      </c>
      <c r="B517" s="380" t="str">
        <f t="shared" si="8"/>
        <v>117-904</v>
      </c>
      <c r="C517" s="2042" t="s">
        <v>991</v>
      </c>
      <c r="D517" s="2043">
        <v>3386475</v>
      </c>
      <c r="E517" s="2043">
        <v>3386475</v>
      </c>
    </row>
    <row r="518" spans="1:5" ht="14.5">
      <c r="A518" s="2042" t="s">
        <v>5823</v>
      </c>
      <c r="B518" s="380" t="str">
        <f t="shared" si="8"/>
        <v>117-907</v>
      </c>
      <c r="C518" s="2042" t="s">
        <v>2384</v>
      </c>
      <c r="D518" s="2043">
        <v>0</v>
      </c>
      <c r="E518" s="2043">
        <v>0</v>
      </c>
    </row>
    <row r="519" spans="1:5" ht="14.5">
      <c r="A519" s="2042" t="s">
        <v>5108</v>
      </c>
      <c r="B519" s="380" t="str">
        <f t="shared" si="8"/>
        <v>118-902</v>
      </c>
      <c r="C519" s="2042" t="s">
        <v>992</v>
      </c>
      <c r="D519" s="2043">
        <v>0</v>
      </c>
      <c r="E519" s="2043">
        <v>0</v>
      </c>
    </row>
    <row r="520" spans="1:5" ht="14.5">
      <c r="A520" s="2042" t="s">
        <v>5109</v>
      </c>
      <c r="B520" s="380" t="str">
        <f t="shared" si="8"/>
        <v>119-901</v>
      </c>
      <c r="C520" s="2042" t="s">
        <v>2323</v>
      </c>
      <c r="D520" s="2043">
        <v>1124250</v>
      </c>
      <c r="E520" s="2043">
        <v>1124250</v>
      </c>
    </row>
    <row r="521" spans="1:5" ht="14.5">
      <c r="A521" s="2042" t="s">
        <v>5110</v>
      </c>
      <c r="B521" s="380" t="str">
        <f t="shared" si="8"/>
        <v>119-902</v>
      </c>
      <c r="C521" s="2042" t="s">
        <v>2324</v>
      </c>
      <c r="D521" s="2043">
        <v>2502351</v>
      </c>
      <c r="E521" s="2043">
        <v>2502351</v>
      </c>
    </row>
    <row r="522" spans="1:5" ht="14.5">
      <c r="A522" s="2042" t="s">
        <v>5111</v>
      </c>
      <c r="B522" s="380" t="str">
        <f t="shared" si="8"/>
        <v>119-903</v>
      </c>
      <c r="C522" s="2042" t="s">
        <v>993</v>
      </c>
      <c r="D522" s="2043">
        <v>528337</v>
      </c>
      <c r="E522" s="2043">
        <v>528337</v>
      </c>
    </row>
    <row r="523" spans="1:5" ht="14.5">
      <c r="A523" s="2042" t="s">
        <v>5112</v>
      </c>
      <c r="B523" s="380" t="str">
        <f t="shared" si="8"/>
        <v>120-901</v>
      </c>
      <c r="C523" s="2042" t="s">
        <v>583</v>
      </c>
      <c r="D523" s="2043">
        <v>1414963</v>
      </c>
      <c r="E523" s="2043">
        <v>1414963</v>
      </c>
    </row>
    <row r="524" spans="1:5" ht="14.5">
      <c r="A524" s="2042" t="s">
        <v>3072</v>
      </c>
      <c r="B524" s="380" t="str">
        <f t="shared" si="8"/>
        <v>120-902</v>
      </c>
      <c r="C524" s="2042" t="s">
        <v>1393</v>
      </c>
      <c r="D524" s="2043">
        <v>1726875</v>
      </c>
      <c r="E524" s="2043">
        <v>380975</v>
      </c>
    </row>
    <row r="525" spans="1:5" ht="14.5">
      <c r="A525" s="2042" t="s">
        <v>5113</v>
      </c>
      <c r="B525" s="380" t="str">
        <f t="shared" si="8"/>
        <v>120-905</v>
      </c>
      <c r="C525" s="2042" t="s">
        <v>584</v>
      </c>
      <c r="D525" s="2043">
        <v>1988350</v>
      </c>
      <c r="E525" s="2043">
        <v>0</v>
      </c>
    </row>
    <row r="526" spans="1:5" ht="14.5">
      <c r="A526" s="2042" t="s">
        <v>5824</v>
      </c>
      <c r="B526" s="380" t="str">
        <f t="shared" si="8"/>
        <v>121-902</v>
      </c>
      <c r="C526" s="2042" t="s">
        <v>2359</v>
      </c>
      <c r="D526" s="2043">
        <v>0</v>
      </c>
      <c r="E526" s="2043">
        <v>0</v>
      </c>
    </row>
    <row r="527" spans="1:5" ht="14.5">
      <c r="A527" s="2042" t="s">
        <v>3073</v>
      </c>
      <c r="B527" s="380" t="str">
        <f t="shared" si="8"/>
        <v>121-903</v>
      </c>
      <c r="C527" s="2042" t="s">
        <v>1362</v>
      </c>
      <c r="D527" s="2043">
        <v>1740015</v>
      </c>
      <c r="E527" s="2043">
        <v>1740015</v>
      </c>
    </row>
    <row r="528" spans="1:5" ht="14.5">
      <c r="A528" s="2042" t="s">
        <v>3074</v>
      </c>
      <c r="B528" s="380" t="str">
        <f t="shared" si="8"/>
        <v>121-904</v>
      </c>
      <c r="C528" s="2042" t="s">
        <v>384</v>
      </c>
      <c r="D528" s="2043">
        <v>1540722</v>
      </c>
      <c r="E528" s="2043">
        <v>1540722</v>
      </c>
    </row>
    <row r="529" spans="1:5" ht="14.5">
      <c r="A529" s="2042" t="s">
        <v>3075</v>
      </c>
      <c r="B529" s="380" t="str">
        <f t="shared" si="8"/>
        <v>121-905</v>
      </c>
      <c r="C529" s="2042" t="s">
        <v>1904</v>
      </c>
      <c r="D529" s="2043">
        <v>915850</v>
      </c>
      <c r="E529" s="2043">
        <v>1531369</v>
      </c>
    </row>
    <row r="530" spans="1:5" ht="14.5">
      <c r="A530" s="2042" t="s">
        <v>5114</v>
      </c>
      <c r="B530" s="380" t="str">
        <f t="shared" si="8"/>
        <v>121-906</v>
      </c>
      <c r="C530" s="2042" t="s">
        <v>2360</v>
      </c>
      <c r="D530" s="2043">
        <v>485000</v>
      </c>
      <c r="E530" s="2043">
        <v>0</v>
      </c>
    </row>
    <row r="531" spans="1:5" ht="14.5">
      <c r="A531" s="2042" t="s">
        <v>5825</v>
      </c>
      <c r="B531" s="380" t="str">
        <f t="shared" si="8"/>
        <v>122-901</v>
      </c>
      <c r="C531" s="2042" t="s">
        <v>2361</v>
      </c>
      <c r="D531" s="2043">
        <v>0</v>
      </c>
      <c r="E531" s="2043">
        <v>0</v>
      </c>
    </row>
    <row r="532" spans="1:5" ht="14.5">
      <c r="A532" s="2042" t="s">
        <v>5826</v>
      </c>
      <c r="B532" s="380" t="str">
        <f t="shared" si="8"/>
        <v>122-902</v>
      </c>
      <c r="C532" s="2042" t="s">
        <v>2171</v>
      </c>
      <c r="D532" s="2043">
        <v>0</v>
      </c>
      <c r="E532" s="2043">
        <v>0</v>
      </c>
    </row>
    <row r="533" spans="1:5" ht="14.5">
      <c r="A533" s="2042" t="s">
        <v>8049</v>
      </c>
      <c r="B533" s="380" t="str">
        <f t="shared" si="8"/>
        <v>123-503</v>
      </c>
      <c r="C533" s="2042" t="s">
        <v>8050</v>
      </c>
      <c r="D533" s="2043">
        <v>0</v>
      </c>
      <c r="E533" s="2043">
        <v>0</v>
      </c>
    </row>
    <row r="534" spans="1:5" ht="14.5">
      <c r="A534" s="2042" t="s">
        <v>3076</v>
      </c>
      <c r="B534" s="380" t="str">
        <f t="shared" si="8"/>
        <v>123-905</v>
      </c>
      <c r="C534" s="2042" t="s">
        <v>371</v>
      </c>
      <c r="D534" s="2043">
        <v>1646860</v>
      </c>
      <c r="E534" s="2043">
        <v>1278348</v>
      </c>
    </row>
    <row r="535" spans="1:5" ht="14.5">
      <c r="A535" s="2042" t="s">
        <v>5115</v>
      </c>
      <c r="B535" s="380" t="str">
        <f t="shared" si="8"/>
        <v>123-907</v>
      </c>
      <c r="C535" s="2042" t="s">
        <v>2172</v>
      </c>
      <c r="D535" s="2043">
        <v>20780900</v>
      </c>
      <c r="E535" s="2043">
        <v>23104293</v>
      </c>
    </row>
    <row r="536" spans="1:5" ht="14.5">
      <c r="A536" s="2042" t="s">
        <v>5116</v>
      </c>
      <c r="B536" s="380" t="str">
        <f t="shared" si="8"/>
        <v>123-908</v>
      </c>
      <c r="C536" s="2042" t="s">
        <v>2543</v>
      </c>
      <c r="D536" s="2043">
        <v>7521242</v>
      </c>
      <c r="E536" s="2043">
        <v>8324729</v>
      </c>
    </row>
    <row r="537" spans="1:5" ht="14.5">
      <c r="A537" s="2042" t="s">
        <v>5117</v>
      </c>
      <c r="B537" s="380" t="str">
        <f t="shared" si="8"/>
        <v>123-910</v>
      </c>
      <c r="C537" s="2042" t="s">
        <v>2544</v>
      </c>
      <c r="D537" s="2043">
        <v>22492075</v>
      </c>
      <c r="E537" s="2043">
        <v>26854417</v>
      </c>
    </row>
    <row r="538" spans="1:5" ht="14.5">
      <c r="A538" s="2042" t="s">
        <v>5118</v>
      </c>
      <c r="B538" s="380" t="str">
        <f t="shared" si="8"/>
        <v>123-913</v>
      </c>
      <c r="C538" s="2042" t="s">
        <v>2545</v>
      </c>
      <c r="D538" s="2043">
        <v>1539595</v>
      </c>
      <c r="E538" s="2043">
        <v>1539595</v>
      </c>
    </row>
    <row r="539" spans="1:5" ht="14.5">
      <c r="A539" s="2042" t="s">
        <v>3077</v>
      </c>
      <c r="B539" s="380" t="str">
        <f t="shared" si="8"/>
        <v>123-914</v>
      </c>
      <c r="C539" s="2042" t="s">
        <v>1638</v>
      </c>
      <c r="D539" s="2043">
        <v>2150704</v>
      </c>
      <c r="E539" s="2043">
        <v>975066</v>
      </c>
    </row>
    <row r="540" spans="1:5" ht="14.5">
      <c r="A540" s="2042" t="s">
        <v>5119</v>
      </c>
      <c r="B540" s="380" t="str">
        <f t="shared" si="8"/>
        <v>124-901</v>
      </c>
      <c r="C540" s="2042" t="s">
        <v>1641</v>
      </c>
      <c r="D540" s="2043">
        <v>907488</v>
      </c>
      <c r="E540" s="2043">
        <v>353288</v>
      </c>
    </row>
    <row r="541" spans="1:5" ht="14.5">
      <c r="A541" s="2042" t="s">
        <v>3078</v>
      </c>
      <c r="B541" s="380" t="str">
        <f t="shared" si="8"/>
        <v>125-901</v>
      </c>
      <c r="C541" s="2042" t="s">
        <v>660</v>
      </c>
      <c r="D541" s="2043">
        <v>3389750</v>
      </c>
      <c r="E541" s="2043">
        <v>2278600</v>
      </c>
    </row>
    <row r="542" spans="1:5" ht="14.5">
      <c r="A542" s="2042" t="s">
        <v>3079</v>
      </c>
      <c r="B542" s="380" t="str">
        <f t="shared" si="8"/>
        <v>125-902</v>
      </c>
      <c r="C542" s="2042" t="s">
        <v>2534</v>
      </c>
      <c r="D542" s="2043">
        <v>417850</v>
      </c>
      <c r="E542" s="2043">
        <v>431389</v>
      </c>
    </row>
    <row r="543" spans="1:5" ht="14.5">
      <c r="A543" s="2042" t="s">
        <v>3080</v>
      </c>
      <c r="B543" s="380" t="str">
        <f t="shared" si="8"/>
        <v>125-903</v>
      </c>
      <c r="C543" s="2042" t="s">
        <v>961</v>
      </c>
      <c r="D543" s="2043">
        <v>1216750</v>
      </c>
      <c r="E543" s="2043">
        <v>1216750</v>
      </c>
    </row>
    <row r="544" spans="1:5" ht="14.5">
      <c r="A544" s="2042" t="s">
        <v>3081</v>
      </c>
      <c r="B544" s="380" t="str">
        <f t="shared" si="8"/>
        <v>125-905</v>
      </c>
      <c r="C544" s="2042" t="s">
        <v>1983</v>
      </c>
      <c r="D544" s="2043">
        <v>660419</v>
      </c>
      <c r="E544" s="2043">
        <v>234976</v>
      </c>
    </row>
    <row r="545" spans="1:5" ht="14.5">
      <c r="A545" s="2042" t="s">
        <v>5827</v>
      </c>
      <c r="B545" s="380" t="str">
        <f t="shared" si="8"/>
        <v>125-906</v>
      </c>
      <c r="C545" s="2042" t="s">
        <v>1642</v>
      </c>
      <c r="D545" s="2043">
        <v>0</v>
      </c>
      <c r="E545" s="2043">
        <v>0</v>
      </c>
    </row>
    <row r="546" spans="1:5" ht="14.5">
      <c r="A546" s="2042" t="s">
        <v>3082</v>
      </c>
      <c r="B546" s="380" t="str">
        <f t="shared" si="8"/>
        <v>126-901</v>
      </c>
      <c r="C546" s="2042" t="s">
        <v>995</v>
      </c>
      <c r="D546" s="2043">
        <v>3975281</v>
      </c>
      <c r="E546" s="2043">
        <v>5786859</v>
      </c>
    </row>
    <row r="547" spans="1:5" ht="14.5">
      <c r="A547" s="2042" t="s">
        <v>3083</v>
      </c>
      <c r="B547" s="380" t="str">
        <f t="shared" si="8"/>
        <v>126-902</v>
      </c>
      <c r="C547" s="2042" t="s">
        <v>1364</v>
      </c>
      <c r="D547" s="2043">
        <v>22802684</v>
      </c>
      <c r="E547" s="2043">
        <v>21470510</v>
      </c>
    </row>
    <row r="548" spans="1:5" ht="14.5">
      <c r="A548" s="2042" t="s">
        <v>5120</v>
      </c>
      <c r="B548" s="380" t="str">
        <f t="shared" si="8"/>
        <v>126-903</v>
      </c>
      <c r="C548" s="2042" t="s">
        <v>1093</v>
      </c>
      <c r="D548" s="2043">
        <v>10213625</v>
      </c>
      <c r="E548" s="2043">
        <v>2126225</v>
      </c>
    </row>
    <row r="549" spans="1:5" ht="14.5">
      <c r="A549" s="2042" t="s">
        <v>4285</v>
      </c>
      <c r="B549" s="380" t="str">
        <f t="shared" si="8"/>
        <v>126-904</v>
      </c>
      <c r="C549" s="2042" t="s">
        <v>818</v>
      </c>
      <c r="D549" s="2043">
        <v>910975</v>
      </c>
      <c r="E549" s="2043">
        <v>910975</v>
      </c>
    </row>
    <row r="550" spans="1:5" ht="14.5">
      <c r="A550" s="2042" t="s">
        <v>3084</v>
      </c>
      <c r="B550" s="380" t="str">
        <f t="shared" si="8"/>
        <v>126-905</v>
      </c>
      <c r="C550" s="2042" t="s">
        <v>385</v>
      </c>
      <c r="D550" s="2043">
        <v>5018419</v>
      </c>
      <c r="E550" s="2043">
        <v>7534362</v>
      </c>
    </row>
    <row r="551" spans="1:5" ht="14.5">
      <c r="A551" s="2042" t="s">
        <v>3085</v>
      </c>
      <c r="B551" s="380" t="str">
        <f t="shared" si="8"/>
        <v>126-906</v>
      </c>
      <c r="C551" s="2042" t="s">
        <v>1921</v>
      </c>
      <c r="D551" s="2043">
        <v>775944</v>
      </c>
      <c r="E551" s="2043">
        <v>775944</v>
      </c>
    </row>
    <row r="552" spans="1:5" ht="14.5">
      <c r="A552" s="2042" t="s">
        <v>3086</v>
      </c>
      <c r="B552" s="380" t="str">
        <f t="shared" si="8"/>
        <v>126-907</v>
      </c>
      <c r="C552" s="2042" t="s">
        <v>2548</v>
      </c>
      <c r="D552" s="2043">
        <v>1138525</v>
      </c>
      <c r="E552" s="2043">
        <v>1177397</v>
      </c>
    </row>
    <row r="553" spans="1:5" ht="14.5">
      <c r="A553" s="2042" t="s">
        <v>3087</v>
      </c>
      <c r="B553" s="380" t="str">
        <f t="shared" si="8"/>
        <v>126-908</v>
      </c>
      <c r="C553" s="2042" t="s">
        <v>2499</v>
      </c>
      <c r="D553" s="2043">
        <v>2724737</v>
      </c>
      <c r="E553" s="2043">
        <v>984650</v>
      </c>
    </row>
    <row r="554" spans="1:5" ht="14.5">
      <c r="A554" s="2042" t="s">
        <v>3088</v>
      </c>
      <c r="B554" s="380" t="str">
        <f t="shared" si="8"/>
        <v>126-911</v>
      </c>
      <c r="C554" s="2042" t="s">
        <v>2197</v>
      </c>
      <c r="D554" s="2043">
        <v>3952725</v>
      </c>
      <c r="E554" s="2043">
        <v>2678100</v>
      </c>
    </row>
    <row r="555" spans="1:5" ht="14.5">
      <c r="A555" s="2042" t="s">
        <v>5121</v>
      </c>
      <c r="B555" s="380" t="str">
        <f t="shared" si="8"/>
        <v>127-901</v>
      </c>
      <c r="C555" s="2042" t="s">
        <v>2279</v>
      </c>
      <c r="D555" s="2043">
        <v>530050</v>
      </c>
      <c r="E555" s="2043">
        <v>530050</v>
      </c>
    </row>
    <row r="556" spans="1:5" ht="14.5">
      <c r="A556" s="2042" t="s">
        <v>5122</v>
      </c>
      <c r="B556" s="380" t="str">
        <f t="shared" si="8"/>
        <v>127-903</v>
      </c>
      <c r="C556" s="2042" t="s">
        <v>1922</v>
      </c>
      <c r="D556" s="2043">
        <v>328175</v>
      </c>
      <c r="E556" s="2043">
        <v>328175</v>
      </c>
    </row>
    <row r="557" spans="1:5" ht="14.5">
      <c r="A557" s="2042" t="s">
        <v>5123</v>
      </c>
      <c r="B557" s="380" t="str">
        <f t="shared" si="8"/>
        <v>127-904</v>
      </c>
      <c r="C557" s="2042" t="s">
        <v>783</v>
      </c>
      <c r="D557" s="2043">
        <v>546000</v>
      </c>
      <c r="E557" s="2043">
        <v>546000</v>
      </c>
    </row>
    <row r="558" spans="1:5" ht="14.5">
      <c r="A558" s="2042" t="s">
        <v>3089</v>
      </c>
      <c r="B558" s="380" t="str">
        <f t="shared" si="8"/>
        <v>127-905</v>
      </c>
      <c r="C558" s="2042" t="s">
        <v>135</v>
      </c>
      <c r="D558" s="2043">
        <v>89200</v>
      </c>
      <c r="E558" s="2043">
        <v>89200</v>
      </c>
    </row>
    <row r="559" spans="1:5" ht="14.5">
      <c r="A559" s="2042" t="s">
        <v>3090</v>
      </c>
      <c r="B559" s="380" t="str">
        <f t="shared" si="8"/>
        <v>127-906</v>
      </c>
      <c r="C559" s="2042" t="s">
        <v>1832</v>
      </c>
      <c r="D559" s="2043">
        <v>598550</v>
      </c>
      <c r="E559" s="2043">
        <v>662802</v>
      </c>
    </row>
    <row r="560" spans="1:5" ht="14.5">
      <c r="A560" s="2042" t="s">
        <v>4305</v>
      </c>
      <c r="B560" s="380" t="str">
        <f t="shared" si="8"/>
        <v>128-901</v>
      </c>
      <c r="C560" s="2042" t="s">
        <v>387</v>
      </c>
      <c r="D560" s="2043">
        <v>3197144</v>
      </c>
      <c r="E560" s="2043">
        <v>2457850</v>
      </c>
    </row>
    <row r="561" spans="1:5" ht="14.5">
      <c r="A561" s="2042" t="s">
        <v>3091</v>
      </c>
      <c r="B561" s="380" t="str">
        <f t="shared" si="8"/>
        <v>128-902</v>
      </c>
      <c r="C561" s="2042" t="s">
        <v>392</v>
      </c>
      <c r="D561" s="2043">
        <v>2475150</v>
      </c>
      <c r="E561" s="2043">
        <v>1454362</v>
      </c>
    </row>
    <row r="562" spans="1:5" ht="14.5">
      <c r="A562" s="2042" t="s">
        <v>5124</v>
      </c>
      <c r="B562" s="380" t="str">
        <f t="shared" si="8"/>
        <v>128-903</v>
      </c>
      <c r="C562" s="2042" t="s">
        <v>1923</v>
      </c>
      <c r="D562" s="2043">
        <v>785961</v>
      </c>
      <c r="E562" s="2043">
        <v>596719</v>
      </c>
    </row>
    <row r="563" spans="1:5" ht="14.5">
      <c r="A563" s="2042" t="s">
        <v>3092</v>
      </c>
      <c r="B563" s="380" t="str">
        <f t="shared" si="8"/>
        <v>128-904</v>
      </c>
      <c r="C563" s="2042" t="s">
        <v>846</v>
      </c>
      <c r="D563" s="2043">
        <v>2498580</v>
      </c>
      <c r="E563" s="2043">
        <v>2374450</v>
      </c>
    </row>
    <row r="564" spans="1:5" ht="14.5">
      <c r="A564" s="2042" t="s">
        <v>3093</v>
      </c>
      <c r="B564" s="380" t="str">
        <f t="shared" si="8"/>
        <v>129-901</v>
      </c>
      <c r="C564" s="2042" t="s">
        <v>394</v>
      </c>
      <c r="D564" s="2043">
        <v>7224600</v>
      </c>
      <c r="E564" s="2043">
        <v>5360675</v>
      </c>
    </row>
    <row r="565" spans="1:5" ht="14.5">
      <c r="A565" s="2042" t="s">
        <v>3094</v>
      </c>
      <c r="B565" s="380" t="str">
        <f t="shared" si="8"/>
        <v>129-902</v>
      </c>
      <c r="C565" s="2042" t="s">
        <v>102</v>
      </c>
      <c r="D565" s="2043">
        <v>18332057</v>
      </c>
      <c r="E565" s="2043">
        <v>18604567</v>
      </c>
    </row>
    <row r="566" spans="1:5" ht="14.5">
      <c r="A566" s="2042" t="s">
        <v>3095</v>
      </c>
      <c r="B566" s="380" t="str">
        <f t="shared" si="8"/>
        <v>129-903</v>
      </c>
      <c r="C566" s="2042" t="s">
        <v>389</v>
      </c>
      <c r="D566" s="2043">
        <v>4473331</v>
      </c>
      <c r="E566" s="2043">
        <v>2087459</v>
      </c>
    </row>
    <row r="567" spans="1:5" ht="14.5">
      <c r="A567" s="2042" t="s">
        <v>3096</v>
      </c>
      <c r="B567" s="380" t="str">
        <f t="shared" si="8"/>
        <v>129-904</v>
      </c>
      <c r="C567" s="2042" t="s">
        <v>391</v>
      </c>
      <c r="D567" s="2043">
        <v>1784099</v>
      </c>
      <c r="E567" s="2043">
        <v>1784099</v>
      </c>
    </row>
    <row r="568" spans="1:5" ht="14.5">
      <c r="A568" s="2042" t="s">
        <v>5125</v>
      </c>
      <c r="B568" s="380" t="str">
        <f t="shared" si="8"/>
        <v>129-905</v>
      </c>
      <c r="C568" s="2042" t="s">
        <v>1924</v>
      </c>
      <c r="D568" s="2043">
        <v>3845355</v>
      </c>
      <c r="E568" s="2043">
        <v>3346130</v>
      </c>
    </row>
    <row r="569" spans="1:5" ht="14.5">
      <c r="A569" s="2042" t="s">
        <v>5126</v>
      </c>
      <c r="B569" s="380" t="str">
        <f t="shared" si="8"/>
        <v>129-906</v>
      </c>
      <c r="C569" s="2042" t="s">
        <v>1925</v>
      </c>
      <c r="D569" s="2043">
        <v>5573700</v>
      </c>
      <c r="E569" s="2043">
        <v>3916050</v>
      </c>
    </row>
    <row r="570" spans="1:5" ht="14.5">
      <c r="A570" s="2042" t="s">
        <v>3097</v>
      </c>
      <c r="B570" s="380" t="str">
        <f t="shared" si="8"/>
        <v>129-910</v>
      </c>
      <c r="C570" s="2042" t="s">
        <v>1174</v>
      </c>
      <c r="D570" s="2043">
        <v>537812</v>
      </c>
      <c r="E570" s="2043">
        <v>537812</v>
      </c>
    </row>
    <row r="571" spans="1:5" ht="14.5">
      <c r="A571" s="2042" t="s">
        <v>5127</v>
      </c>
      <c r="B571" s="380" t="str">
        <f t="shared" si="8"/>
        <v>130-901</v>
      </c>
      <c r="C571" s="2042" t="s">
        <v>1926</v>
      </c>
      <c r="D571" s="2043">
        <v>20608115</v>
      </c>
      <c r="E571" s="2043">
        <v>14747568</v>
      </c>
    </row>
    <row r="572" spans="1:5" ht="14.5">
      <c r="A572" s="2042" t="s">
        <v>5128</v>
      </c>
      <c r="B572" s="380" t="str">
        <f t="shared" si="8"/>
        <v>130-902</v>
      </c>
      <c r="C572" s="2042" t="s">
        <v>1927</v>
      </c>
      <c r="D572" s="2043">
        <v>1337975</v>
      </c>
      <c r="E572" s="2043">
        <v>1427011</v>
      </c>
    </row>
    <row r="573" spans="1:5" ht="14.5">
      <c r="A573" s="2042" t="s">
        <v>5129</v>
      </c>
      <c r="B573" s="380" t="str">
        <f t="shared" si="8"/>
        <v>131-001</v>
      </c>
      <c r="C573" s="2042" t="s">
        <v>1928</v>
      </c>
      <c r="D573" s="2043">
        <v>0</v>
      </c>
      <c r="E573" s="2043">
        <v>0</v>
      </c>
    </row>
    <row r="574" spans="1:5" ht="14.5">
      <c r="A574" s="2042" t="s">
        <v>5828</v>
      </c>
      <c r="B574" s="380" t="str">
        <f t="shared" si="8"/>
        <v>132-902</v>
      </c>
      <c r="C574" s="2042" t="s">
        <v>1929</v>
      </c>
      <c r="D574" s="2043">
        <v>451512</v>
      </c>
      <c r="E574" s="2043">
        <v>0</v>
      </c>
    </row>
    <row r="575" spans="1:5" ht="14.5">
      <c r="A575" s="2042" t="s">
        <v>3098</v>
      </c>
      <c r="B575" s="380" t="str">
        <f t="shared" si="8"/>
        <v>133-901</v>
      </c>
      <c r="C575" s="2042" t="s">
        <v>618</v>
      </c>
      <c r="D575" s="2043">
        <v>15212</v>
      </c>
      <c r="E575" s="2043">
        <v>15212</v>
      </c>
    </row>
    <row r="576" spans="1:5" ht="14.5">
      <c r="A576" s="2042" t="s">
        <v>5130</v>
      </c>
      <c r="B576" s="380" t="str">
        <f t="shared" si="8"/>
        <v>133-902</v>
      </c>
      <c r="C576" s="2042" t="s">
        <v>1930</v>
      </c>
      <c r="D576" s="2043">
        <v>310900</v>
      </c>
      <c r="E576" s="2043">
        <v>310900</v>
      </c>
    </row>
    <row r="577" spans="1:5" ht="14.5">
      <c r="A577" s="2042" t="s">
        <v>5131</v>
      </c>
      <c r="B577" s="380" t="str">
        <f t="shared" si="8"/>
        <v>133-903</v>
      </c>
      <c r="C577" s="2042" t="s">
        <v>1931</v>
      </c>
      <c r="D577" s="2043">
        <v>5363781</v>
      </c>
      <c r="E577" s="2043">
        <v>3375906</v>
      </c>
    </row>
    <row r="578" spans="1:5" ht="14.5">
      <c r="A578" s="2042" t="s">
        <v>5132</v>
      </c>
      <c r="B578" s="380" t="str">
        <f t="shared" si="8"/>
        <v>133-904</v>
      </c>
      <c r="C578" s="2042" t="s">
        <v>1932</v>
      </c>
      <c r="D578" s="2043">
        <v>1080225</v>
      </c>
      <c r="E578" s="2043">
        <v>1080225</v>
      </c>
    </row>
    <row r="579" spans="1:5" ht="14.5">
      <c r="A579" s="2042" t="s">
        <v>5829</v>
      </c>
      <c r="B579" s="380" t="str">
        <f t="shared" ref="B579:B642" si="9">CONCATENATE(LEFT(RIGHT(CONCATENATE("000",A579),6),3),"-",(RIGHT(RIGHT(CONCATENATE("000",A579),6),3)))</f>
        <v>133-905</v>
      </c>
      <c r="C579" s="2042" t="s">
        <v>1933</v>
      </c>
      <c r="D579" s="2043">
        <v>0</v>
      </c>
      <c r="E579" s="2043">
        <v>0</v>
      </c>
    </row>
    <row r="580" spans="1:5" ht="14.5">
      <c r="A580" s="2042" t="s">
        <v>5830</v>
      </c>
      <c r="B580" s="380" t="str">
        <f t="shared" si="9"/>
        <v>134-901</v>
      </c>
      <c r="C580" s="2042" t="s">
        <v>1934</v>
      </c>
      <c r="D580" s="2043">
        <v>0</v>
      </c>
      <c r="E580" s="2043">
        <v>0</v>
      </c>
    </row>
    <row r="581" spans="1:5" ht="14.5">
      <c r="A581" s="2042" t="s">
        <v>5133</v>
      </c>
      <c r="B581" s="380" t="str">
        <f t="shared" si="9"/>
        <v>135-001</v>
      </c>
      <c r="C581" s="2042" t="s">
        <v>1935</v>
      </c>
      <c r="D581" s="2043">
        <v>460750</v>
      </c>
      <c r="E581" s="2043">
        <v>0</v>
      </c>
    </row>
    <row r="582" spans="1:5" ht="14.5">
      <c r="A582" s="2042" t="s">
        <v>5831</v>
      </c>
      <c r="B582" s="380" t="str">
        <f t="shared" si="9"/>
        <v>136-901</v>
      </c>
      <c r="C582" s="2042" t="s">
        <v>1936</v>
      </c>
      <c r="D582" s="2043">
        <v>0</v>
      </c>
      <c r="E582" s="2043">
        <v>0</v>
      </c>
    </row>
    <row r="583" spans="1:5" ht="14.5">
      <c r="A583" s="2042" t="s">
        <v>3099</v>
      </c>
      <c r="B583" s="380" t="str">
        <f t="shared" si="9"/>
        <v>137-901</v>
      </c>
      <c r="C583" s="2042" t="s">
        <v>1903</v>
      </c>
      <c r="D583" s="2043">
        <v>4171863</v>
      </c>
      <c r="E583" s="2043">
        <v>4891057</v>
      </c>
    </row>
    <row r="584" spans="1:5" ht="14.5">
      <c r="A584" s="2042" t="s">
        <v>5832</v>
      </c>
      <c r="B584" s="380" t="str">
        <f t="shared" si="9"/>
        <v>137-902</v>
      </c>
      <c r="C584" s="2042" t="s">
        <v>1937</v>
      </c>
      <c r="D584" s="2043">
        <v>0</v>
      </c>
      <c r="E584" s="2043">
        <v>0</v>
      </c>
    </row>
    <row r="585" spans="1:5" ht="14.5">
      <c r="A585" s="2042" t="s">
        <v>5833</v>
      </c>
      <c r="B585" s="380" t="str">
        <f t="shared" si="9"/>
        <v>137-903</v>
      </c>
      <c r="C585" s="2042" t="s">
        <v>1938</v>
      </c>
      <c r="D585" s="2043">
        <v>0</v>
      </c>
      <c r="E585" s="2043">
        <v>0</v>
      </c>
    </row>
    <row r="586" spans="1:5" ht="14.5">
      <c r="A586" s="2042" t="s">
        <v>5134</v>
      </c>
      <c r="B586" s="380" t="str">
        <f t="shared" si="9"/>
        <v>137-904</v>
      </c>
      <c r="C586" s="2042" t="s">
        <v>1939</v>
      </c>
      <c r="D586" s="2043">
        <v>699458</v>
      </c>
      <c r="E586" s="2043">
        <v>699458</v>
      </c>
    </row>
    <row r="587" spans="1:5" ht="14.5">
      <c r="A587" s="2042" t="s">
        <v>3100</v>
      </c>
      <c r="B587" s="380" t="str">
        <f t="shared" si="9"/>
        <v>138-902</v>
      </c>
      <c r="C587" s="2042" t="s">
        <v>1597</v>
      </c>
      <c r="D587" s="2043">
        <v>0</v>
      </c>
      <c r="E587" s="2043">
        <v>0</v>
      </c>
    </row>
    <row r="588" spans="1:5" ht="14.5">
      <c r="A588" s="2042" t="s">
        <v>5834</v>
      </c>
      <c r="B588" s="380" t="str">
        <f t="shared" si="9"/>
        <v>138-903</v>
      </c>
      <c r="C588" s="2042" t="s">
        <v>1940</v>
      </c>
      <c r="D588" s="2043">
        <v>412300</v>
      </c>
      <c r="E588" s="2043">
        <v>0</v>
      </c>
    </row>
    <row r="589" spans="1:5" ht="14.5">
      <c r="A589" s="2042" t="s">
        <v>5835</v>
      </c>
      <c r="B589" s="380" t="str">
        <f t="shared" si="9"/>
        <v>138-904</v>
      </c>
      <c r="C589" s="2042" t="s">
        <v>1941</v>
      </c>
      <c r="D589" s="2043">
        <v>0</v>
      </c>
      <c r="E589" s="2043">
        <v>0</v>
      </c>
    </row>
    <row r="590" spans="1:5" ht="14.5">
      <c r="A590" s="2042" t="s">
        <v>5135</v>
      </c>
      <c r="B590" s="380" t="str">
        <f t="shared" si="9"/>
        <v>139-905</v>
      </c>
      <c r="C590" s="2042" t="s">
        <v>1942</v>
      </c>
      <c r="D590" s="2043">
        <v>1884500</v>
      </c>
      <c r="E590" s="2043">
        <v>1001400</v>
      </c>
    </row>
    <row r="591" spans="1:5" ht="14.5">
      <c r="A591" s="2042" t="s">
        <v>3101</v>
      </c>
      <c r="B591" s="380" t="str">
        <f t="shared" si="9"/>
        <v>139-908</v>
      </c>
      <c r="C591" s="2042"/>
      <c r="D591" s="2043">
        <v>0</v>
      </c>
      <c r="E591" s="2043">
        <v>0</v>
      </c>
    </row>
    <row r="592" spans="1:5" ht="14.5">
      <c r="A592" s="2042" t="s">
        <v>3102</v>
      </c>
      <c r="B592" s="380" t="str">
        <f t="shared" si="9"/>
        <v>139-909</v>
      </c>
      <c r="C592" s="2042" t="s">
        <v>184</v>
      </c>
      <c r="D592" s="2043">
        <v>3190720</v>
      </c>
      <c r="E592" s="2043">
        <v>3395429</v>
      </c>
    </row>
    <row r="593" spans="1:5" ht="14.5">
      <c r="A593" s="2042" t="s">
        <v>5136</v>
      </c>
      <c r="B593" s="380" t="str">
        <f t="shared" si="9"/>
        <v>139-911</v>
      </c>
      <c r="C593" s="2042" t="s">
        <v>2290</v>
      </c>
      <c r="D593" s="2043">
        <v>0</v>
      </c>
      <c r="E593" s="2043">
        <v>0</v>
      </c>
    </row>
    <row r="594" spans="1:5" ht="14.5">
      <c r="A594" s="2042" t="s">
        <v>3103</v>
      </c>
      <c r="B594" s="380" t="str">
        <f t="shared" si="9"/>
        <v>139-912</v>
      </c>
      <c r="C594" s="2042" t="s">
        <v>1982</v>
      </c>
      <c r="D594" s="2043">
        <v>436962</v>
      </c>
      <c r="E594" s="2043">
        <v>518053</v>
      </c>
    </row>
    <row r="595" spans="1:5" ht="14.5">
      <c r="A595" s="2042" t="s">
        <v>5836</v>
      </c>
      <c r="B595" s="380" t="str">
        <f t="shared" si="9"/>
        <v>140-901</v>
      </c>
      <c r="C595" s="2042" t="s">
        <v>2291</v>
      </c>
      <c r="D595" s="2043">
        <v>0</v>
      </c>
      <c r="E595" s="2043">
        <v>0</v>
      </c>
    </row>
    <row r="596" spans="1:5" ht="14.5">
      <c r="A596" s="2042" t="s">
        <v>5837</v>
      </c>
      <c r="B596" s="380" t="str">
        <f t="shared" si="9"/>
        <v>140-904</v>
      </c>
      <c r="C596" s="2042" t="s">
        <v>890</v>
      </c>
      <c r="D596" s="2043">
        <v>0</v>
      </c>
      <c r="E596" s="2043">
        <v>0</v>
      </c>
    </row>
    <row r="597" spans="1:5" ht="14.5">
      <c r="A597" s="2042" t="s">
        <v>4347</v>
      </c>
      <c r="B597" s="380" t="str">
        <f t="shared" si="9"/>
        <v>140-905</v>
      </c>
      <c r="C597" s="2042" t="s">
        <v>780</v>
      </c>
      <c r="D597" s="2043">
        <v>0</v>
      </c>
      <c r="E597" s="2043">
        <v>0</v>
      </c>
    </row>
    <row r="598" spans="1:5" ht="14.5">
      <c r="A598" s="2042" t="s">
        <v>5838</v>
      </c>
      <c r="B598" s="380" t="str">
        <f t="shared" si="9"/>
        <v>140-907</v>
      </c>
      <c r="C598" s="2042" t="s">
        <v>892</v>
      </c>
      <c r="D598" s="2043">
        <v>0</v>
      </c>
      <c r="E598" s="2043">
        <v>0</v>
      </c>
    </row>
    <row r="599" spans="1:5" ht="14.5">
      <c r="A599" s="2042" t="s">
        <v>5137</v>
      </c>
      <c r="B599" s="380" t="str">
        <f t="shared" si="9"/>
        <v>140-908</v>
      </c>
      <c r="C599" s="2042" t="s">
        <v>893</v>
      </c>
      <c r="D599" s="2043">
        <v>685250</v>
      </c>
      <c r="E599" s="2043">
        <v>685250</v>
      </c>
    </row>
    <row r="600" spans="1:5" ht="14.5">
      <c r="A600" s="2042" t="s">
        <v>3104</v>
      </c>
      <c r="B600" s="380" t="str">
        <f t="shared" si="9"/>
        <v>141-901</v>
      </c>
      <c r="C600" s="2042" t="s">
        <v>894</v>
      </c>
      <c r="D600" s="2043">
        <v>3151464</v>
      </c>
      <c r="E600" s="2043">
        <v>3151464</v>
      </c>
    </row>
    <row r="601" spans="1:5" ht="14.5">
      <c r="A601" s="2042" t="s">
        <v>5138</v>
      </c>
      <c r="B601" s="380" t="str">
        <f t="shared" si="9"/>
        <v>141-902</v>
      </c>
      <c r="C601" s="2042" t="s">
        <v>895</v>
      </c>
      <c r="D601" s="2043">
        <v>245050</v>
      </c>
      <c r="E601" s="2043">
        <v>364812</v>
      </c>
    </row>
    <row r="602" spans="1:5" ht="14.5">
      <c r="A602" s="2042" t="s">
        <v>3105</v>
      </c>
      <c r="B602" s="380" t="str">
        <f t="shared" si="9"/>
        <v>142-901</v>
      </c>
      <c r="C602" s="2042" t="s">
        <v>1040</v>
      </c>
      <c r="D602" s="2043">
        <v>4897772</v>
      </c>
      <c r="E602" s="2043">
        <v>1564625</v>
      </c>
    </row>
    <row r="603" spans="1:5" ht="14.5">
      <c r="A603" s="2042" t="s">
        <v>5139</v>
      </c>
      <c r="B603" s="380" t="str">
        <f t="shared" si="9"/>
        <v>143-901</v>
      </c>
      <c r="C603" s="2042" t="s">
        <v>896</v>
      </c>
      <c r="D603" s="2043">
        <v>1594321</v>
      </c>
      <c r="E603" s="2043">
        <v>1618300</v>
      </c>
    </row>
    <row r="604" spans="1:5" ht="14.5">
      <c r="A604" s="2042" t="s">
        <v>5839</v>
      </c>
      <c r="B604" s="380" t="str">
        <f t="shared" si="9"/>
        <v>143-902</v>
      </c>
      <c r="C604" s="2042" t="s">
        <v>897</v>
      </c>
      <c r="D604" s="2043">
        <v>0</v>
      </c>
      <c r="E604" s="2043">
        <v>0</v>
      </c>
    </row>
    <row r="605" spans="1:5" ht="14.5">
      <c r="A605" s="2042" t="s">
        <v>5840</v>
      </c>
      <c r="B605" s="380" t="str">
        <f t="shared" si="9"/>
        <v>143-903</v>
      </c>
      <c r="C605" s="2042" t="s">
        <v>898</v>
      </c>
      <c r="D605" s="2043">
        <v>399150</v>
      </c>
      <c r="E605" s="2043">
        <v>0</v>
      </c>
    </row>
    <row r="606" spans="1:5" ht="14.5">
      <c r="A606" s="2042" t="s">
        <v>5841</v>
      </c>
      <c r="B606" s="380" t="str">
        <f t="shared" si="9"/>
        <v>143-904</v>
      </c>
      <c r="C606" s="2042" t="s">
        <v>899</v>
      </c>
      <c r="D606" s="2043">
        <v>0</v>
      </c>
      <c r="E606" s="2043">
        <v>0</v>
      </c>
    </row>
    <row r="607" spans="1:5" ht="14.5">
      <c r="A607" s="2042" t="s">
        <v>5842</v>
      </c>
      <c r="B607" s="380" t="str">
        <f t="shared" si="9"/>
        <v>143-905</v>
      </c>
      <c r="C607" s="2042" t="s">
        <v>900</v>
      </c>
      <c r="D607" s="2043">
        <v>0</v>
      </c>
      <c r="E607" s="2043">
        <v>0</v>
      </c>
    </row>
    <row r="608" spans="1:5" ht="14.5">
      <c r="A608" s="2042" t="s">
        <v>5140</v>
      </c>
      <c r="B608" s="380" t="str">
        <f t="shared" si="9"/>
        <v>143-906</v>
      </c>
      <c r="C608" s="2042" t="s">
        <v>901</v>
      </c>
      <c r="D608" s="2043">
        <v>222350</v>
      </c>
      <c r="E608" s="2043">
        <v>222350</v>
      </c>
    </row>
    <row r="609" spans="1:5" ht="14.5">
      <c r="A609" s="2042" t="s">
        <v>5141</v>
      </c>
      <c r="B609" s="380" t="str">
        <f t="shared" si="9"/>
        <v>144-901</v>
      </c>
      <c r="C609" s="2042" t="s">
        <v>902</v>
      </c>
      <c r="D609" s="2043">
        <v>2274100</v>
      </c>
      <c r="E609" s="2043">
        <v>2274100</v>
      </c>
    </row>
    <row r="610" spans="1:5" ht="14.5">
      <c r="A610" s="2042" t="s">
        <v>5142</v>
      </c>
      <c r="B610" s="380" t="str">
        <f t="shared" si="9"/>
        <v>144-902</v>
      </c>
      <c r="C610" s="2042" t="s">
        <v>903</v>
      </c>
      <c r="D610" s="2043">
        <v>623875</v>
      </c>
      <c r="E610" s="2043">
        <v>0</v>
      </c>
    </row>
    <row r="611" spans="1:5" ht="14.5">
      <c r="A611" s="2042" t="s">
        <v>5843</v>
      </c>
      <c r="B611" s="380" t="str">
        <f t="shared" si="9"/>
        <v>144-903</v>
      </c>
      <c r="C611" s="2042" t="s">
        <v>904</v>
      </c>
      <c r="D611" s="2043">
        <v>0</v>
      </c>
      <c r="E611" s="2043">
        <v>0</v>
      </c>
    </row>
    <row r="612" spans="1:5" ht="14.5">
      <c r="A612" s="2042" t="s">
        <v>5143</v>
      </c>
      <c r="B612" s="380" t="str">
        <f t="shared" si="9"/>
        <v>145-901</v>
      </c>
      <c r="C612" s="2042" t="s">
        <v>905</v>
      </c>
      <c r="D612" s="2043">
        <v>1437818</v>
      </c>
      <c r="E612" s="2043">
        <v>1303360</v>
      </c>
    </row>
    <row r="613" spans="1:5" ht="14.5">
      <c r="A613" s="2042" t="s">
        <v>5144</v>
      </c>
      <c r="B613" s="380" t="str">
        <f t="shared" si="9"/>
        <v>145-902</v>
      </c>
      <c r="C613" s="2042" t="s">
        <v>1721</v>
      </c>
      <c r="D613" s="2043">
        <v>350000</v>
      </c>
      <c r="E613" s="2043">
        <v>917975</v>
      </c>
    </row>
    <row r="614" spans="1:5" ht="14.5">
      <c r="A614" s="2042" t="s">
        <v>5145</v>
      </c>
      <c r="B614" s="380" t="str">
        <f t="shared" si="9"/>
        <v>145-906</v>
      </c>
      <c r="C614" s="2042" t="s">
        <v>1722</v>
      </c>
      <c r="D614" s="2043">
        <v>1075970</v>
      </c>
      <c r="E614" s="2043">
        <v>599190</v>
      </c>
    </row>
    <row r="615" spans="1:5" ht="14.5">
      <c r="A615" s="2042" t="s">
        <v>5146</v>
      </c>
      <c r="B615" s="380" t="str">
        <f t="shared" si="9"/>
        <v>145-907</v>
      </c>
      <c r="C615" s="2042" t="s">
        <v>1723</v>
      </c>
      <c r="D615" s="2043">
        <v>224929</v>
      </c>
      <c r="E615" s="2043">
        <v>158479</v>
      </c>
    </row>
    <row r="616" spans="1:5" ht="14.5">
      <c r="A616" s="2042" t="s">
        <v>5147</v>
      </c>
      <c r="B616" s="380" t="str">
        <f t="shared" si="9"/>
        <v>145-911</v>
      </c>
      <c r="C616" s="2042" t="s">
        <v>1892</v>
      </c>
      <c r="D616" s="2043">
        <v>1446900</v>
      </c>
      <c r="E616" s="2043">
        <v>1446900</v>
      </c>
    </row>
    <row r="617" spans="1:5" ht="14.5">
      <c r="A617" s="2042" t="s">
        <v>3106</v>
      </c>
      <c r="B617" s="380" t="str">
        <f t="shared" si="9"/>
        <v>146-901</v>
      </c>
      <c r="C617" s="2042" t="s">
        <v>1094</v>
      </c>
      <c r="D617" s="2043">
        <v>7435525</v>
      </c>
      <c r="E617" s="2043">
        <v>2357625</v>
      </c>
    </row>
    <row r="618" spans="1:5" ht="14.5">
      <c r="A618" s="2042" t="s">
        <v>3107</v>
      </c>
      <c r="B618" s="380" t="str">
        <f t="shared" si="9"/>
        <v>146-902</v>
      </c>
      <c r="C618" s="2042" t="s">
        <v>2517</v>
      </c>
      <c r="D618" s="2043">
        <v>6494598</v>
      </c>
      <c r="E618" s="2043">
        <v>6494598</v>
      </c>
    </row>
    <row r="619" spans="1:5" ht="14.5">
      <c r="A619" s="2042" t="s">
        <v>5148</v>
      </c>
      <c r="B619" s="380" t="str">
        <f t="shared" si="9"/>
        <v>146-903</v>
      </c>
      <c r="C619" s="2042" t="s">
        <v>1893</v>
      </c>
      <c r="D619" s="2043">
        <v>139150</v>
      </c>
      <c r="E619" s="2043">
        <v>139150</v>
      </c>
    </row>
    <row r="620" spans="1:5" ht="14.5">
      <c r="A620" s="2042" t="s">
        <v>3108</v>
      </c>
      <c r="B620" s="380" t="str">
        <f t="shared" si="9"/>
        <v>146-904</v>
      </c>
      <c r="C620" s="2042" t="s">
        <v>1639</v>
      </c>
      <c r="D620" s="2043">
        <v>1387722</v>
      </c>
      <c r="E620" s="2043">
        <v>1013363</v>
      </c>
    </row>
    <row r="621" spans="1:5" ht="14.5">
      <c r="A621" s="2042" t="s">
        <v>3109</v>
      </c>
      <c r="B621" s="380" t="str">
        <f t="shared" si="9"/>
        <v>146-905</v>
      </c>
      <c r="C621" s="2042" t="s">
        <v>2251</v>
      </c>
      <c r="D621" s="2043">
        <v>117036</v>
      </c>
      <c r="E621" s="2043">
        <v>117036</v>
      </c>
    </row>
    <row r="622" spans="1:5" ht="14.5">
      <c r="A622" s="2042" t="s">
        <v>5149</v>
      </c>
      <c r="B622" s="380" t="str">
        <f t="shared" si="9"/>
        <v>146-906</v>
      </c>
      <c r="C622" s="2042" t="s">
        <v>508</v>
      </c>
      <c r="D622" s="2043">
        <v>3080213</v>
      </c>
      <c r="E622" s="2043">
        <v>2306913</v>
      </c>
    </row>
    <row r="623" spans="1:5" ht="14.5">
      <c r="A623" s="2042" t="s">
        <v>5150</v>
      </c>
      <c r="B623" s="380" t="str">
        <f t="shared" si="9"/>
        <v>146-907</v>
      </c>
      <c r="C623" s="2042" t="s">
        <v>509</v>
      </c>
      <c r="D623" s="2043">
        <v>674970</v>
      </c>
      <c r="E623" s="2043">
        <v>675985</v>
      </c>
    </row>
    <row r="624" spans="1:5" ht="14.5">
      <c r="A624" s="2042" t="s">
        <v>3110</v>
      </c>
      <c r="B624" s="380" t="str">
        <f t="shared" si="9"/>
        <v>147-901</v>
      </c>
      <c r="C624" s="2042" t="s">
        <v>1464</v>
      </c>
      <c r="D624" s="2043">
        <v>206885</v>
      </c>
      <c r="E624" s="2043">
        <v>206885</v>
      </c>
    </row>
    <row r="625" spans="1:5" ht="14.5">
      <c r="A625" s="2042" t="s">
        <v>5151</v>
      </c>
      <c r="B625" s="380" t="str">
        <f t="shared" si="9"/>
        <v>147-902</v>
      </c>
      <c r="C625" s="2042" t="s">
        <v>510</v>
      </c>
      <c r="D625" s="2043">
        <v>1309503</v>
      </c>
      <c r="E625" s="2043">
        <v>1145853</v>
      </c>
    </row>
    <row r="626" spans="1:5" ht="14.5">
      <c r="A626" s="2042" t="s">
        <v>5152</v>
      </c>
      <c r="B626" s="380" t="str">
        <f t="shared" si="9"/>
        <v>147-903</v>
      </c>
      <c r="C626" s="2042" t="s">
        <v>511</v>
      </c>
      <c r="D626" s="2043">
        <v>1143362</v>
      </c>
      <c r="E626" s="2043">
        <v>598150</v>
      </c>
    </row>
    <row r="627" spans="1:5" ht="14.5">
      <c r="A627" s="2042" t="s">
        <v>5153</v>
      </c>
      <c r="B627" s="380" t="str">
        <f t="shared" si="9"/>
        <v>148-901</v>
      </c>
      <c r="C627" s="2042" t="s">
        <v>512</v>
      </c>
      <c r="D627" s="2043">
        <v>0</v>
      </c>
      <c r="E627" s="2043">
        <v>0</v>
      </c>
    </row>
    <row r="628" spans="1:5" ht="14.5">
      <c r="A628" s="2042" t="s">
        <v>5154</v>
      </c>
      <c r="B628" s="380" t="str">
        <f t="shared" si="9"/>
        <v>148-902</v>
      </c>
      <c r="C628" s="2042" t="s">
        <v>513</v>
      </c>
      <c r="D628" s="2043">
        <v>0</v>
      </c>
      <c r="E628" s="2043">
        <v>0</v>
      </c>
    </row>
    <row r="629" spans="1:5" ht="14.5">
      <c r="A629" s="2042" t="s">
        <v>5155</v>
      </c>
      <c r="B629" s="380" t="str">
        <f t="shared" si="9"/>
        <v>148-903</v>
      </c>
      <c r="C629" s="2042"/>
      <c r="D629" s="2043">
        <v>0</v>
      </c>
      <c r="E629" s="2043">
        <v>0</v>
      </c>
    </row>
    <row r="630" spans="1:5" ht="14.5">
      <c r="A630" s="2042" t="s">
        <v>5156</v>
      </c>
      <c r="B630" s="380" t="str">
        <f t="shared" si="9"/>
        <v>148-905</v>
      </c>
      <c r="C630" s="2042" t="s">
        <v>515</v>
      </c>
      <c r="D630" s="2043">
        <v>0</v>
      </c>
      <c r="E630" s="2043">
        <v>0</v>
      </c>
    </row>
    <row r="631" spans="1:5" ht="14.5">
      <c r="A631" s="2042" t="s">
        <v>5157</v>
      </c>
      <c r="B631" s="380" t="str">
        <f t="shared" si="9"/>
        <v>149-901</v>
      </c>
      <c r="C631" s="2042" t="s">
        <v>516</v>
      </c>
      <c r="D631" s="2043">
        <v>1897950</v>
      </c>
      <c r="E631" s="2043">
        <v>942250</v>
      </c>
    </row>
    <row r="632" spans="1:5" ht="14.5">
      <c r="A632" s="2042" t="s">
        <v>5158</v>
      </c>
      <c r="B632" s="380" t="str">
        <f t="shared" si="9"/>
        <v>149-902</v>
      </c>
      <c r="C632" s="2042" t="s">
        <v>517</v>
      </c>
      <c r="D632" s="2043">
        <v>726578</v>
      </c>
      <c r="E632" s="2043">
        <v>1959507</v>
      </c>
    </row>
    <row r="633" spans="1:5" ht="14.5">
      <c r="A633" s="2042" t="s">
        <v>5159</v>
      </c>
      <c r="B633" s="380" t="str">
        <f t="shared" si="9"/>
        <v>150-901</v>
      </c>
      <c r="C633" s="2042" t="s">
        <v>518</v>
      </c>
      <c r="D633" s="2043">
        <v>3155035</v>
      </c>
      <c r="E633" s="2043">
        <v>3155035</v>
      </c>
    </row>
    <row r="634" spans="1:5" ht="14.5">
      <c r="A634" s="2042" t="s">
        <v>4363</v>
      </c>
      <c r="B634" s="380" t="str">
        <f t="shared" si="9"/>
        <v>152-901</v>
      </c>
      <c r="C634" s="2042" t="s">
        <v>549</v>
      </c>
      <c r="D634" s="2043">
        <v>19285145</v>
      </c>
      <c r="E634" s="2043">
        <v>16793104</v>
      </c>
    </row>
    <row r="635" spans="1:5" ht="14.5">
      <c r="A635" s="2042" t="s">
        <v>5844</v>
      </c>
      <c r="B635" s="380" t="str">
        <f t="shared" si="9"/>
        <v>152-902</v>
      </c>
      <c r="C635" s="2042" t="s">
        <v>519</v>
      </c>
      <c r="D635" s="2043">
        <v>0</v>
      </c>
      <c r="E635" s="2043">
        <v>0</v>
      </c>
    </row>
    <row r="636" spans="1:5" ht="14.5">
      <c r="A636" s="2042" t="s">
        <v>5160</v>
      </c>
      <c r="B636" s="380" t="str">
        <f t="shared" si="9"/>
        <v>152-903</v>
      </c>
      <c r="C636" s="2042" t="s">
        <v>520</v>
      </c>
      <c r="D636" s="2043">
        <v>1157512</v>
      </c>
      <c r="E636" s="2043">
        <v>1157512</v>
      </c>
    </row>
    <row r="637" spans="1:5" ht="14.5">
      <c r="A637" s="2042" t="s">
        <v>3111</v>
      </c>
      <c r="B637" s="380" t="str">
        <f t="shared" si="9"/>
        <v>152-906</v>
      </c>
      <c r="C637" s="2042" t="s">
        <v>550</v>
      </c>
      <c r="D637" s="2043">
        <v>14817062</v>
      </c>
      <c r="E637" s="2043">
        <v>10329116</v>
      </c>
    </row>
    <row r="638" spans="1:5" ht="14.5">
      <c r="A638" s="2042" t="s">
        <v>3112</v>
      </c>
      <c r="B638" s="380" t="str">
        <f t="shared" si="9"/>
        <v>152-907</v>
      </c>
      <c r="C638" s="2042" t="s">
        <v>2179</v>
      </c>
      <c r="D638" s="2043">
        <v>7377257</v>
      </c>
      <c r="E638" s="2043">
        <v>16544318</v>
      </c>
    </row>
    <row r="639" spans="1:5" ht="14.5">
      <c r="A639" s="2042" t="s">
        <v>5161</v>
      </c>
      <c r="B639" s="380" t="str">
        <f t="shared" si="9"/>
        <v>152-908</v>
      </c>
      <c r="C639" s="2042" t="s">
        <v>521</v>
      </c>
      <c r="D639" s="2043">
        <v>741816</v>
      </c>
      <c r="E639" s="2043">
        <v>741816</v>
      </c>
    </row>
    <row r="640" spans="1:5" ht="14.5">
      <c r="A640" s="2042" t="s">
        <v>3113</v>
      </c>
      <c r="B640" s="380" t="str">
        <f t="shared" si="9"/>
        <v>152-909</v>
      </c>
      <c r="C640" s="2042" t="s">
        <v>1176</v>
      </c>
      <c r="D640" s="2043">
        <v>1205831</v>
      </c>
      <c r="E640" s="2043">
        <v>1989762</v>
      </c>
    </row>
    <row r="641" spans="1:5" ht="14.5">
      <c r="A641" s="2042" t="s">
        <v>3114</v>
      </c>
      <c r="B641" s="380" t="str">
        <f t="shared" si="9"/>
        <v>152-910</v>
      </c>
      <c r="C641" s="2042" t="s">
        <v>522</v>
      </c>
      <c r="D641" s="2043">
        <v>870725</v>
      </c>
      <c r="E641" s="2043">
        <v>870725</v>
      </c>
    </row>
    <row r="642" spans="1:5" ht="14.5">
      <c r="A642" s="2042" t="s">
        <v>5162</v>
      </c>
      <c r="B642" s="380" t="str">
        <f t="shared" si="9"/>
        <v>153-903</v>
      </c>
      <c r="C642" s="2042" t="s">
        <v>523</v>
      </c>
      <c r="D642" s="2043">
        <v>990500</v>
      </c>
      <c r="E642" s="2043">
        <v>874650</v>
      </c>
    </row>
    <row r="643" spans="1:5" ht="14.5">
      <c r="A643" s="2042" t="s">
        <v>5845</v>
      </c>
      <c r="B643" s="380" t="str">
        <f t="shared" ref="B643:B706" si="10">CONCATENATE(LEFT(RIGHT(CONCATENATE("000",A643),6),3),"-",(RIGHT(RIGHT(CONCATENATE("000",A643),6),3)))</f>
        <v>153-904</v>
      </c>
      <c r="C643" s="2042" t="s">
        <v>524</v>
      </c>
      <c r="D643" s="2043">
        <v>495600</v>
      </c>
      <c r="E643" s="2043">
        <v>0</v>
      </c>
    </row>
    <row r="644" spans="1:5" ht="14.5">
      <c r="A644" s="2042" t="s">
        <v>5163</v>
      </c>
      <c r="B644" s="380" t="str">
        <f t="shared" si="10"/>
        <v>153-905</v>
      </c>
      <c r="C644" s="2042" t="s">
        <v>525</v>
      </c>
      <c r="D644" s="2043">
        <v>335634</v>
      </c>
      <c r="E644" s="2043">
        <v>335634</v>
      </c>
    </row>
    <row r="645" spans="1:5" ht="14.5">
      <c r="A645" s="2042" t="s">
        <v>5846</v>
      </c>
      <c r="B645" s="380" t="str">
        <f t="shared" si="10"/>
        <v>153-907</v>
      </c>
      <c r="C645" s="2042" t="s">
        <v>526</v>
      </c>
      <c r="D645" s="2043">
        <v>0</v>
      </c>
      <c r="E645" s="2043">
        <v>0</v>
      </c>
    </row>
    <row r="646" spans="1:5" ht="14.5">
      <c r="A646" s="2042" t="s">
        <v>3115</v>
      </c>
      <c r="B646" s="380" t="str">
        <f t="shared" si="10"/>
        <v>154-901</v>
      </c>
      <c r="C646" s="2042" t="s">
        <v>35</v>
      </c>
      <c r="D646" s="2043">
        <v>1510800</v>
      </c>
      <c r="E646" s="2043">
        <v>862550</v>
      </c>
    </row>
    <row r="647" spans="1:5" ht="14.5">
      <c r="A647" s="2042" t="s">
        <v>3116</v>
      </c>
      <c r="B647" s="380" t="str">
        <f t="shared" si="10"/>
        <v>154-903</v>
      </c>
      <c r="C647" s="2042" t="s">
        <v>527</v>
      </c>
      <c r="D647" s="2043">
        <v>267650</v>
      </c>
      <c r="E647" s="2043">
        <v>499937</v>
      </c>
    </row>
    <row r="648" spans="1:5" ht="14.5">
      <c r="A648" s="2042" t="s">
        <v>5164</v>
      </c>
      <c r="B648" s="380" t="str">
        <f t="shared" si="10"/>
        <v>155-901</v>
      </c>
      <c r="C648" s="2042" t="s">
        <v>528</v>
      </c>
      <c r="D648" s="2043">
        <v>503782</v>
      </c>
      <c r="E648" s="2043">
        <v>503782</v>
      </c>
    </row>
    <row r="649" spans="1:5" ht="14.5">
      <c r="A649" s="2042" t="s">
        <v>5165</v>
      </c>
      <c r="B649" s="380" t="str">
        <f t="shared" si="10"/>
        <v>156-902</v>
      </c>
      <c r="C649" s="2042" t="s">
        <v>529</v>
      </c>
      <c r="D649" s="2043">
        <v>2443206</v>
      </c>
      <c r="E649" s="2043">
        <v>2443206</v>
      </c>
    </row>
    <row r="650" spans="1:5" ht="14.5">
      <c r="A650" s="2042" t="s">
        <v>5166</v>
      </c>
      <c r="B650" s="380" t="str">
        <f t="shared" si="10"/>
        <v>156-905</v>
      </c>
      <c r="C650" s="2042" t="s">
        <v>530</v>
      </c>
      <c r="D650" s="2043">
        <v>2404968</v>
      </c>
      <c r="E650" s="2043">
        <v>784875</v>
      </c>
    </row>
    <row r="651" spans="1:5" ht="14.5">
      <c r="A651" s="2042" t="s">
        <v>5167</v>
      </c>
      <c r="B651" s="380" t="str">
        <f t="shared" si="10"/>
        <v>157-901</v>
      </c>
      <c r="C651" s="2042" t="s">
        <v>531</v>
      </c>
      <c r="D651" s="2043">
        <v>307900</v>
      </c>
      <c r="E651" s="2043">
        <v>0</v>
      </c>
    </row>
    <row r="652" spans="1:5" ht="14.5">
      <c r="A652" s="2042" t="s">
        <v>5168</v>
      </c>
      <c r="B652" s="380" t="str">
        <f t="shared" si="10"/>
        <v>158-901</v>
      </c>
      <c r="C652" s="2042" t="s">
        <v>532</v>
      </c>
      <c r="D652" s="2043">
        <v>6002526</v>
      </c>
      <c r="E652" s="2043">
        <v>1915750</v>
      </c>
    </row>
    <row r="653" spans="1:5" ht="14.5">
      <c r="A653" s="2042" t="s">
        <v>5169</v>
      </c>
      <c r="B653" s="380" t="str">
        <f t="shared" si="10"/>
        <v>158-902</v>
      </c>
      <c r="C653" s="2042" t="s">
        <v>1648</v>
      </c>
      <c r="D653" s="2043">
        <v>2658960</v>
      </c>
      <c r="E653" s="2043">
        <v>2658960</v>
      </c>
    </row>
    <row r="654" spans="1:5" ht="14.5">
      <c r="A654" s="2042" t="s">
        <v>5170</v>
      </c>
      <c r="B654" s="380" t="str">
        <f t="shared" si="10"/>
        <v>158-904</v>
      </c>
      <c r="C654" s="2042" t="s">
        <v>1649</v>
      </c>
      <c r="D654" s="2043">
        <v>321288</v>
      </c>
      <c r="E654" s="2043">
        <v>321288</v>
      </c>
    </row>
    <row r="655" spans="1:5" ht="14.5">
      <c r="A655" s="2042" t="s">
        <v>5171</v>
      </c>
      <c r="B655" s="380" t="str">
        <f t="shared" si="10"/>
        <v>158-905</v>
      </c>
      <c r="C655" s="2042" t="s">
        <v>1650</v>
      </c>
      <c r="D655" s="2043">
        <v>630058</v>
      </c>
      <c r="E655" s="2043">
        <v>350158</v>
      </c>
    </row>
    <row r="656" spans="1:5" ht="14.5">
      <c r="A656" s="2042" t="s">
        <v>5847</v>
      </c>
      <c r="B656" s="380" t="str">
        <f t="shared" si="10"/>
        <v>158-906</v>
      </c>
      <c r="C656" s="2042" t="s">
        <v>1651</v>
      </c>
      <c r="D656" s="2043">
        <v>4301912</v>
      </c>
      <c r="E656" s="2043">
        <v>0</v>
      </c>
    </row>
    <row r="657" spans="1:5" ht="14.5">
      <c r="A657" s="2042" t="s">
        <v>3117</v>
      </c>
      <c r="B657" s="380" t="str">
        <f t="shared" si="10"/>
        <v>159-901</v>
      </c>
      <c r="C657" s="2042" t="s">
        <v>1006</v>
      </c>
      <c r="D657" s="2043">
        <v>4239450</v>
      </c>
      <c r="E657" s="2043">
        <v>4517717</v>
      </c>
    </row>
    <row r="658" spans="1:5" ht="14.5">
      <c r="A658" s="2042" t="s">
        <v>3118</v>
      </c>
      <c r="B658" s="380" t="str">
        <f t="shared" si="10"/>
        <v>160-901</v>
      </c>
      <c r="C658" s="2042" t="s">
        <v>1750</v>
      </c>
      <c r="D658" s="2043">
        <v>1791518</v>
      </c>
      <c r="E658" s="2043">
        <v>1451706</v>
      </c>
    </row>
    <row r="659" spans="1:5" ht="14.5">
      <c r="A659" s="2042" t="s">
        <v>5848</v>
      </c>
      <c r="B659" s="380" t="str">
        <f t="shared" si="10"/>
        <v>160-904</v>
      </c>
      <c r="C659" s="2042" t="s">
        <v>1652</v>
      </c>
      <c r="D659" s="2043">
        <v>0</v>
      </c>
      <c r="E659" s="2043">
        <v>0</v>
      </c>
    </row>
    <row r="660" spans="1:5" ht="14.5">
      <c r="A660" s="2042" t="s">
        <v>3119</v>
      </c>
      <c r="B660" s="380" t="str">
        <f t="shared" si="10"/>
        <v>160-905</v>
      </c>
      <c r="C660" s="2042" t="s">
        <v>2105</v>
      </c>
      <c r="D660" s="2043">
        <v>96628</v>
      </c>
      <c r="E660" s="2043">
        <v>96628</v>
      </c>
    </row>
    <row r="661" spans="1:5" ht="14.5">
      <c r="A661" s="2042" t="s">
        <v>3120</v>
      </c>
      <c r="B661" s="380" t="str">
        <f t="shared" si="10"/>
        <v>161-901</v>
      </c>
      <c r="C661" s="2042" t="s">
        <v>395</v>
      </c>
      <c r="D661" s="2043">
        <v>514275</v>
      </c>
      <c r="E661" s="2043">
        <v>390775</v>
      </c>
    </row>
    <row r="662" spans="1:5" ht="14.5">
      <c r="A662" s="2042" t="s">
        <v>5172</v>
      </c>
      <c r="B662" s="380" t="str">
        <f t="shared" si="10"/>
        <v>161-903</v>
      </c>
      <c r="C662" s="2042" t="s">
        <v>1815</v>
      </c>
      <c r="D662" s="2043">
        <v>11142235</v>
      </c>
      <c r="E662" s="2043">
        <v>11699497</v>
      </c>
    </row>
    <row r="663" spans="1:5" ht="14.5">
      <c r="A663" s="2042" t="s">
        <v>3121</v>
      </c>
      <c r="B663" s="380" t="str">
        <f t="shared" si="10"/>
        <v>161-906</v>
      </c>
      <c r="C663" s="2042" t="s">
        <v>1792</v>
      </c>
      <c r="D663" s="2043">
        <v>2372233</v>
      </c>
      <c r="E663" s="2043">
        <v>2372233</v>
      </c>
    </row>
    <row r="664" spans="1:5" ht="14.5">
      <c r="A664" s="2042" t="s">
        <v>3122</v>
      </c>
      <c r="B664" s="380" t="str">
        <f t="shared" si="10"/>
        <v>161-907</v>
      </c>
      <c r="C664" s="2042" t="s">
        <v>1183</v>
      </c>
      <c r="D664" s="2043">
        <v>1198812</v>
      </c>
      <c r="E664" s="2043">
        <v>2152227</v>
      </c>
    </row>
    <row r="665" spans="1:5" ht="14.5">
      <c r="A665" s="2042" t="s">
        <v>3123</v>
      </c>
      <c r="B665" s="380" t="str">
        <f t="shared" si="10"/>
        <v>161-908</v>
      </c>
      <c r="C665" s="2042" t="s">
        <v>1951</v>
      </c>
      <c r="D665" s="2043">
        <v>658050</v>
      </c>
      <c r="E665" s="2043">
        <v>309200</v>
      </c>
    </row>
    <row r="666" spans="1:5" ht="14.5">
      <c r="A666" s="2042" t="s">
        <v>3124</v>
      </c>
      <c r="B666" s="380" t="str">
        <f t="shared" si="10"/>
        <v>161-909</v>
      </c>
      <c r="C666" s="2042" t="s">
        <v>773</v>
      </c>
      <c r="D666" s="2043">
        <v>1225635</v>
      </c>
      <c r="E666" s="2043">
        <v>1225635</v>
      </c>
    </row>
    <row r="667" spans="1:5" ht="14.5">
      <c r="A667" s="2042" t="s">
        <v>3125</v>
      </c>
      <c r="B667" s="380" t="str">
        <f t="shared" si="10"/>
        <v>161-910</v>
      </c>
      <c r="C667" s="2042" t="s">
        <v>1653</v>
      </c>
      <c r="D667" s="2043">
        <v>662162</v>
      </c>
      <c r="E667" s="2043">
        <v>662162</v>
      </c>
    </row>
    <row r="668" spans="1:5" ht="14.5">
      <c r="A668" s="2042" t="s">
        <v>3126</v>
      </c>
      <c r="B668" s="380" t="str">
        <f t="shared" si="10"/>
        <v>161-912</v>
      </c>
      <c r="C668" s="2042" t="s">
        <v>1643</v>
      </c>
      <c r="D668" s="2043">
        <v>1490325</v>
      </c>
      <c r="E668" s="2043">
        <v>1673733</v>
      </c>
    </row>
    <row r="669" spans="1:5" ht="14.5">
      <c r="A669" s="2042" t="s">
        <v>3127</v>
      </c>
      <c r="B669" s="380" t="str">
        <f t="shared" si="10"/>
        <v>161-914</v>
      </c>
      <c r="C669" s="2042" t="s">
        <v>127</v>
      </c>
      <c r="D669" s="2043">
        <v>13646914</v>
      </c>
      <c r="E669" s="2043">
        <v>14079200</v>
      </c>
    </row>
    <row r="670" spans="1:5" ht="14.5">
      <c r="A670" s="2042" t="s">
        <v>3128</v>
      </c>
      <c r="B670" s="380" t="str">
        <f t="shared" si="10"/>
        <v>161-916</v>
      </c>
      <c r="C670" s="2042" t="s">
        <v>1345</v>
      </c>
      <c r="D670" s="2043">
        <v>835000</v>
      </c>
      <c r="E670" s="2043">
        <v>996557</v>
      </c>
    </row>
    <row r="671" spans="1:5" ht="14.5">
      <c r="A671" s="2042" t="s">
        <v>5849</v>
      </c>
      <c r="B671" s="380" t="str">
        <f t="shared" si="10"/>
        <v>161-918</v>
      </c>
      <c r="C671" s="2042" t="s">
        <v>1654</v>
      </c>
      <c r="D671" s="2043">
        <v>0</v>
      </c>
      <c r="E671" s="2043">
        <v>0</v>
      </c>
    </row>
    <row r="672" spans="1:5" ht="14.5">
      <c r="A672" s="2042" t="s">
        <v>3129</v>
      </c>
      <c r="B672" s="380" t="str">
        <f t="shared" si="10"/>
        <v>161-919</v>
      </c>
      <c r="C672" s="2042" t="s">
        <v>1655</v>
      </c>
      <c r="D672" s="2043">
        <v>418250</v>
      </c>
      <c r="E672" s="2043">
        <v>418250</v>
      </c>
    </row>
    <row r="673" spans="1:5" ht="14.5">
      <c r="A673" s="2042" t="s">
        <v>3130</v>
      </c>
      <c r="B673" s="380" t="str">
        <f t="shared" si="10"/>
        <v>161-920</v>
      </c>
      <c r="C673" s="2042" t="s">
        <v>1090</v>
      </c>
      <c r="D673" s="2043">
        <v>2769952</v>
      </c>
      <c r="E673" s="2043">
        <v>2769952</v>
      </c>
    </row>
    <row r="674" spans="1:5" ht="14.5">
      <c r="A674" s="2042" t="s">
        <v>3131</v>
      </c>
      <c r="B674" s="380" t="str">
        <f t="shared" si="10"/>
        <v>161-921</v>
      </c>
      <c r="C674" s="2042" t="s">
        <v>1462</v>
      </c>
      <c r="D674" s="2043">
        <v>1576600</v>
      </c>
      <c r="E674" s="2043">
        <v>1576600</v>
      </c>
    </row>
    <row r="675" spans="1:5" ht="14.5">
      <c r="A675" s="2042" t="s">
        <v>3132</v>
      </c>
      <c r="B675" s="380" t="str">
        <f t="shared" si="10"/>
        <v>161-922</v>
      </c>
      <c r="C675" s="2042" t="s">
        <v>2551</v>
      </c>
      <c r="D675" s="2043">
        <v>1540606</v>
      </c>
      <c r="E675" s="2043">
        <v>2201806</v>
      </c>
    </row>
    <row r="676" spans="1:5" ht="14.5">
      <c r="A676" s="2042" t="s">
        <v>3133</v>
      </c>
      <c r="B676" s="380" t="str">
        <f t="shared" si="10"/>
        <v>161-923</v>
      </c>
      <c r="C676" s="2042" t="s">
        <v>1272</v>
      </c>
      <c r="D676" s="2043">
        <v>543394</v>
      </c>
      <c r="E676" s="2043">
        <v>543394</v>
      </c>
    </row>
    <row r="677" spans="1:5" ht="14.5">
      <c r="A677" s="2042" t="s">
        <v>5173</v>
      </c>
      <c r="B677" s="380" t="str">
        <f t="shared" si="10"/>
        <v>161-924</v>
      </c>
      <c r="C677" s="2042" t="s">
        <v>1656</v>
      </c>
      <c r="D677" s="2043">
        <v>141843</v>
      </c>
      <c r="E677" s="2043">
        <v>141843</v>
      </c>
    </row>
    <row r="678" spans="1:5" ht="14.5">
      <c r="A678" s="2042" t="s">
        <v>5850</v>
      </c>
      <c r="B678" s="380" t="str">
        <f t="shared" si="10"/>
        <v>161-925</v>
      </c>
      <c r="C678" s="2042" t="s">
        <v>1657</v>
      </c>
      <c r="D678" s="2043">
        <v>0</v>
      </c>
      <c r="E678" s="2043">
        <v>0</v>
      </c>
    </row>
    <row r="679" spans="1:5" ht="14.5">
      <c r="A679" s="2042" t="s">
        <v>5174</v>
      </c>
      <c r="B679" s="380" t="str">
        <f t="shared" si="10"/>
        <v>162-904</v>
      </c>
      <c r="C679" s="2042" t="s">
        <v>1658</v>
      </c>
      <c r="D679" s="2043">
        <v>1219348</v>
      </c>
      <c r="E679" s="2043">
        <v>322788</v>
      </c>
    </row>
    <row r="680" spans="1:5" ht="14.5">
      <c r="A680" s="2042" t="s">
        <v>3134</v>
      </c>
      <c r="B680" s="380" t="str">
        <f t="shared" si="10"/>
        <v>163-901</v>
      </c>
      <c r="C680" s="2042" t="s">
        <v>2522</v>
      </c>
      <c r="D680" s="2043">
        <v>933853</v>
      </c>
      <c r="E680" s="2043">
        <v>1010532</v>
      </c>
    </row>
    <row r="681" spans="1:5" ht="14.5">
      <c r="A681" s="2042" t="s">
        <v>3135</v>
      </c>
      <c r="B681" s="380" t="str">
        <f t="shared" si="10"/>
        <v>163-902</v>
      </c>
      <c r="C681" s="2042" t="s">
        <v>2056</v>
      </c>
      <c r="D681" s="2043">
        <v>314275</v>
      </c>
      <c r="E681" s="2043">
        <v>314275</v>
      </c>
    </row>
    <row r="682" spans="1:5" ht="14.5">
      <c r="A682" s="2042" t="s">
        <v>3136</v>
      </c>
      <c r="B682" s="380" t="str">
        <f t="shared" si="10"/>
        <v>163-903</v>
      </c>
      <c r="C682" s="2042" t="s">
        <v>2121</v>
      </c>
      <c r="D682" s="2043">
        <v>857155</v>
      </c>
      <c r="E682" s="2043">
        <v>248230</v>
      </c>
    </row>
    <row r="683" spans="1:5" ht="14.5">
      <c r="A683" s="2042" t="s">
        <v>3137</v>
      </c>
      <c r="B683" s="380" t="str">
        <f t="shared" si="10"/>
        <v>163-904</v>
      </c>
      <c r="C683" s="2042" t="s">
        <v>2245</v>
      </c>
      <c r="D683" s="2043">
        <v>2380125</v>
      </c>
      <c r="E683" s="2043">
        <v>1104681</v>
      </c>
    </row>
    <row r="684" spans="1:5" ht="14.5">
      <c r="A684" s="2042" t="s">
        <v>3138</v>
      </c>
      <c r="B684" s="380" t="str">
        <f t="shared" si="10"/>
        <v>163-908</v>
      </c>
      <c r="C684" s="2042" t="s">
        <v>777</v>
      </c>
      <c r="D684" s="2043">
        <v>10670300</v>
      </c>
      <c r="E684" s="2043">
        <v>3991825</v>
      </c>
    </row>
    <row r="685" spans="1:5" ht="14.5">
      <c r="A685" s="2042" t="s">
        <v>5851</v>
      </c>
      <c r="B685" s="380" t="str">
        <f t="shared" si="10"/>
        <v>164-901</v>
      </c>
      <c r="C685" s="2042" t="s">
        <v>1659</v>
      </c>
      <c r="D685" s="2043">
        <v>0</v>
      </c>
      <c r="E685" s="2043">
        <v>0</v>
      </c>
    </row>
    <row r="686" spans="1:5" ht="14.5">
      <c r="A686" s="2042" t="s">
        <v>3139</v>
      </c>
      <c r="B686" s="380" t="str">
        <f t="shared" si="10"/>
        <v>165-901</v>
      </c>
      <c r="C686" s="2042" t="s">
        <v>2113</v>
      </c>
      <c r="D686" s="2043">
        <v>15222976</v>
      </c>
      <c r="E686" s="2043">
        <v>17663519</v>
      </c>
    </row>
    <row r="687" spans="1:5" ht="14.5">
      <c r="A687" s="2042" t="s">
        <v>5175</v>
      </c>
      <c r="B687" s="380" t="str">
        <f t="shared" si="10"/>
        <v>165-902</v>
      </c>
      <c r="C687" s="2042" t="s">
        <v>1660</v>
      </c>
      <c r="D687" s="2043">
        <v>3485001</v>
      </c>
      <c r="E687" s="2043">
        <v>3485001</v>
      </c>
    </row>
    <row r="688" spans="1:5" ht="14.5">
      <c r="A688" s="2042" t="s">
        <v>3140</v>
      </c>
      <c r="B688" s="380" t="str">
        <f t="shared" si="10"/>
        <v>166-901</v>
      </c>
      <c r="C688" s="2042" t="s">
        <v>611</v>
      </c>
      <c r="D688" s="2043">
        <v>1729775</v>
      </c>
      <c r="E688" s="2043">
        <v>1729775</v>
      </c>
    </row>
    <row r="689" spans="1:5" ht="14.5">
      <c r="A689" s="2042" t="s">
        <v>5852</v>
      </c>
      <c r="B689" s="380" t="str">
        <f t="shared" si="10"/>
        <v>166-902</v>
      </c>
      <c r="C689" s="2042" t="s">
        <v>1661</v>
      </c>
      <c r="D689" s="2043">
        <v>0</v>
      </c>
      <c r="E689" s="2043">
        <v>0</v>
      </c>
    </row>
    <row r="690" spans="1:5" ht="14.5">
      <c r="A690" s="2042" t="s">
        <v>5176</v>
      </c>
      <c r="B690" s="380" t="str">
        <f t="shared" si="10"/>
        <v>166-903</v>
      </c>
      <c r="C690" s="2042" t="s">
        <v>1662</v>
      </c>
      <c r="D690" s="2043">
        <v>446906</v>
      </c>
      <c r="E690" s="2043">
        <v>446906</v>
      </c>
    </row>
    <row r="691" spans="1:5" ht="14.5">
      <c r="A691" s="2042" t="s">
        <v>5177</v>
      </c>
      <c r="B691" s="380" t="str">
        <f t="shared" si="10"/>
        <v>166-904</v>
      </c>
      <c r="C691" s="2042" t="s">
        <v>1663</v>
      </c>
      <c r="D691" s="2043">
        <v>1750812</v>
      </c>
      <c r="E691" s="2043">
        <v>1750812</v>
      </c>
    </row>
    <row r="692" spans="1:5" ht="14.5">
      <c r="A692" s="2042" t="s">
        <v>5178</v>
      </c>
      <c r="B692" s="380" t="str">
        <f t="shared" si="10"/>
        <v>166-905</v>
      </c>
      <c r="C692" s="2042" t="s">
        <v>1664</v>
      </c>
      <c r="D692" s="2043">
        <v>0</v>
      </c>
      <c r="E692" s="2043">
        <v>0</v>
      </c>
    </row>
    <row r="693" spans="1:5" ht="14.5">
      <c r="A693" s="2042" t="s">
        <v>3141</v>
      </c>
      <c r="B693" s="380" t="str">
        <f t="shared" si="10"/>
        <v>166-907</v>
      </c>
      <c r="C693" s="2042" t="s">
        <v>2492</v>
      </c>
      <c r="D693" s="2043">
        <v>88862</v>
      </c>
      <c r="E693" s="2043">
        <v>88862</v>
      </c>
    </row>
    <row r="694" spans="1:5" ht="14.5">
      <c r="A694" s="2042" t="s">
        <v>3142</v>
      </c>
      <c r="B694" s="380" t="str">
        <f t="shared" si="10"/>
        <v>167-901</v>
      </c>
      <c r="C694" s="2042" t="s">
        <v>813</v>
      </c>
      <c r="D694" s="2043">
        <v>1391864</v>
      </c>
      <c r="E694" s="2043">
        <v>581945</v>
      </c>
    </row>
    <row r="695" spans="1:5" ht="14.5">
      <c r="A695" s="2042" t="s">
        <v>5853</v>
      </c>
      <c r="B695" s="380" t="str">
        <f t="shared" si="10"/>
        <v>167-902</v>
      </c>
      <c r="C695" s="2042" t="s">
        <v>1665</v>
      </c>
      <c r="D695" s="2043">
        <v>0</v>
      </c>
      <c r="E695" s="2043">
        <v>0</v>
      </c>
    </row>
    <row r="696" spans="1:5" ht="14.5">
      <c r="A696" s="2042" t="s">
        <v>3143</v>
      </c>
      <c r="B696" s="380" t="str">
        <f t="shared" si="10"/>
        <v>167-904</v>
      </c>
      <c r="C696" s="2042" t="s">
        <v>71</v>
      </c>
      <c r="D696" s="2043">
        <v>0</v>
      </c>
      <c r="E696" s="2043">
        <v>0</v>
      </c>
    </row>
    <row r="697" spans="1:5" ht="14.5">
      <c r="A697" s="2042" t="s">
        <v>5179</v>
      </c>
      <c r="B697" s="380" t="str">
        <f t="shared" si="10"/>
        <v>168-901</v>
      </c>
      <c r="C697" s="2042" t="s">
        <v>1667</v>
      </c>
      <c r="D697" s="2043">
        <v>480800</v>
      </c>
      <c r="E697" s="2043">
        <v>1641794</v>
      </c>
    </row>
    <row r="698" spans="1:5" ht="14.5">
      <c r="A698" s="2042" t="s">
        <v>5180</v>
      </c>
      <c r="B698" s="380" t="str">
        <f t="shared" si="10"/>
        <v>168-902</v>
      </c>
      <c r="C698" s="2042" t="s">
        <v>1668</v>
      </c>
      <c r="D698" s="2043">
        <v>561000</v>
      </c>
      <c r="E698" s="2043">
        <v>780785</v>
      </c>
    </row>
    <row r="699" spans="1:5" ht="14.5">
      <c r="A699" s="2042" t="s">
        <v>5854</v>
      </c>
      <c r="B699" s="380" t="str">
        <f t="shared" si="10"/>
        <v>168-903</v>
      </c>
      <c r="C699" s="2042" t="s">
        <v>1669</v>
      </c>
      <c r="D699" s="2043">
        <v>0</v>
      </c>
      <c r="E699" s="2043">
        <v>0</v>
      </c>
    </row>
    <row r="700" spans="1:5" ht="14.5">
      <c r="A700" s="2042" t="s">
        <v>3144</v>
      </c>
      <c r="B700" s="380" t="str">
        <f t="shared" si="10"/>
        <v>169-901</v>
      </c>
      <c r="C700" s="2042" t="s">
        <v>1290</v>
      </c>
      <c r="D700" s="2043">
        <v>1609710</v>
      </c>
      <c r="E700" s="2043">
        <v>1609710</v>
      </c>
    </row>
    <row r="701" spans="1:5" ht="14.5">
      <c r="A701" s="2042" t="s">
        <v>5855</v>
      </c>
      <c r="B701" s="380" t="str">
        <f t="shared" si="10"/>
        <v>169-902</v>
      </c>
      <c r="C701" s="2042" t="s">
        <v>1291</v>
      </c>
      <c r="D701" s="2043">
        <v>0</v>
      </c>
      <c r="E701" s="2043">
        <v>0</v>
      </c>
    </row>
    <row r="702" spans="1:5" ht="14.5">
      <c r="A702" s="2042" t="s">
        <v>5181</v>
      </c>
      <c r="B702" s="380" t="str">
        <f t="shared" si="10"/>
        <v>169-906</v>
      </c>
      <c r="C702" s="2042" t="s">
        <v>1292</v>
      </c>
      <c r="D702" s="2043">
        <v>0</v>
      </c>
      <c r="E702" s="2043">
        <v>0</v>
      </c>
    </row>
    <row r="703" spans="1:5" ht="14.5">
      <c r="A703" s="2042" t="s">
        <v>5856</v>
      </c>
      <c r="B703" s="380" t="str">
        <f t="shared" si="10"/>
        <v>169-908</v>
      </c>
      <c r="C703" s="2042" t="s">
        <v>2122</v>
      </c>
      <c r="D703" s="2043">
        <v>0</v>
      </c>
      <c r="E703" s="2043">
        <v>0</v>
      </c>
    </row>
    <row r="704" spans="1:5" ht="14.5">
      <c r="A704" s="2042" t="s">
        <v>5857</v>
      </c>
      <c r="B704" s="380" t="str">
        <f t="shared" si="10"/>
        <v>169-909</v>
      </c>
      <c r="C704" s="2042" t="s">
        <v>2123</v>
      </c>
      <c r="D704" s="2043">
        <v>0</v>
      </c>
      <c r="E704" s="2043">
        <v>0</v>
      </c>
    </row>
    <row r="705" spans="1:5" ht="14.5">
      <c r="A705" s="2042" t="s">
        <v>5182</v>
      </c>
      <c r="B705" s="380" t="str">
        <f t="shared" si="10"/>
        <v>169-910</v>
      </c>
      <c r="C705" s="2042" t="s">
        <v>2124</v>
      </c>
      <c r="D705" s="2043">
        <v>0</v>
      </c>
      <c r="E705" s="2043">
        <v>0</v>
      </c>
    </row>
    <row r="706" spans="1:5" ht="14.5">
      <c r="A706" s="2042" t="s">
        <v>5183</v>
      </c>
      <c r="B706" s="380" t="str">
        <f t="shared" si="10"/>
        <v>169-911</v>
      </c>
      <c r="C706" s="2042" t="s">
        <v>2125</v>
      </c>
      <c r="D706" s="2043">
        <v>400331</v>
      </c>
      <c r="E706" s="2043">
        <v>0</v>
      </c>
    </row>
    <row r="707" spans="1:5" ht="14.5">
      <c r="A707" s="2042" t="s">
        <v>3145</v>
      </c>
      <c r="B707" s="380" t="str">
        <f t="shared" ref="B707:B770" si="11">CONCATENATE(LEFT(RIGHT(CONCATENATE("000",A707),6),3),"-",(RIGHT(RIGHT(CONCATENATE("000",A707),6),3)))</f>
        <v>170-902</v>
      </c>
      <c r="C707" s="2042" t="s">
        <v>1463</v>
      </c>
      <c r="D707" s="2043">
        <v>91073680</v>
      </c>
      <c r="E707" s="2043">
        <v>81039632</v>
      </c>
    </row>
    <row r="708" spans="1:5" ht="14.5">
      <c r="A708" s="2042" t="s">
        <v>5184</v>
      </c>
      <c r="B708" s="380" t="str">
        <f t="shared" si="11"/>
        <v>170-903</v>
      </c>
      <c r="C708" s="2042" t="s">
        <v>2126</v>
      </c>
      <c r="D708" s="2043">
        <v>23260512</v>
      </c>
      <c r="E708" s="2043">
        <v>20634668</v>
      </c>
    </row>
    <row r="709" spans="1:5" ht="14.5">
      <c r="A709" s="2042" t="s">
        <v>3146</v>
      </c>
      <c r="B709" s="380" t="str">
        <f t="shared" si="11"/>
        <v>170-904</v>
      </c>
      <c r="C709" s="2042" t="s">
        <v>1060</v>
      </c>
      <c r="D709" s="2043">
        <v>11597125</v>
      </c>
      <c r="E709" s="2043">
        <v>7460716</v>
      </c>
    </row>
    <row r="710" spans="1:5" ht="14.5">
      <c r="A710" s="2042" t="s">
        <v>3147</v>
      </c>
      <c r="B710" s="380" t="str">
        <f t="shared" si="11"/>
        <v>170-906</v>
      </c>
      <c r="C710" s="2042" t="s">
        <v>273</v>
      </c>
      <c r="D710" s="2043">
        <v>20186600</v>
      </c>
      <c r="E710" s="2043">
        <v>14342325</v>
      </c>
    </row>
    <row r="711" spans="1:5" ht="14.5">
      <c r="A711" s="2042" t="s">
        <v>3148</v>
      </c>
      <c r="B711" s="380" t="str">
        <f t="shared" si="11"/>
        <v>170-907</v>
      </c>
      <c r="C711" s="2042" t="s">
        <v>1828</v>
      </c>
      <c r="D711" s="2043">
        <v>6651048</v>
      </c>
      <c r="E711" s="2043">
        <v>3466163</v>
      </c>
    </row>
    <row r="712" spans="1:5" ht="14.5">
      <c r="A712" s="2042" t="s">
        <v>3149</v>
      </c>
      <c r="B712" s="380" t="str">
        <f t="shared" si="11"/>
        <v>170-908</v>
      </c>
      <c r="C712" s="2042" t="s">
        <v>1072</v>
      </c>
      <c r="D712" s="2043">
        <v>28435098</v>
      </c>
      <c r="E712" s="2043">
        <v>22158304</v>
      </c>
    </row>
    <row r="713" spans="1:5" ht="14.5">
      <c r="A713" s="2042" t="s">
        <v>5185</v>
      </c>
      <c r="B713" s="380" t="str">
        <f t="shared" si="11"/>
        <v>171-901</v>
      </c>
      <c r="C713" s="2042" t="s">
        <v>2127</v>
      </c>
      <c r="D713" s="2043">
        <v>1991800</v>
      </c>
      <c r="E713" s="2043">
        <v>1991800</v>
      </c>
    </row>
    <row r="714" spans="1:5" ht="14.5">
      <c r="A714" s="2042" t="s">
        <v>5186</v>
      </c>
      <c r="B714" s="380" t="str">
        <f t="shared" si="11"/>
        <v>171-902</v>
      </c>
      <c r="C714" s="2042" t="s">
        <v>2128</v>
      </c>
      <c r="D714" s="2043">
        <v>937104</v>
      </c>
      <c r="E714" s="2043">
        <v>417384</v>
      </c>
    </row>
    <row r="715" spans="1:5" ht="14.5">
      <c r="A715" s="2042" t="s">
        <v>5187</v>
      </c>
      <c r="B715" s="380" t="str">
        <f t="shared" si="11"/>
        <v>172-902</v>
      </c>
      <c r="C715" s="2042" t="s">
        <v>2129</v>
      </c>
      <c r="D715" s="2043">
        <v>849831</v>
      </c>
      <c r="E715" s="2043">
        <v>849831</v>
      </c>
    </row>
    <row r="716" spans="1:5" ht="14.5">
      <c r="A716" s="2042" t="s">
        <v>5188</v>
      </c>
      <c r="B716" s="380" t="str">
        <f t="shared" si="11"/>
        <v>172-905</v>
      </c>
      <c r="C716" s="2042" t="s">
        <v>2484</v>
      </c>
      <c r="D716" s="2043">
        <v>177425</v>
      </c>
      <c r="E716" s="2043">
        <v>177425</v>
      </c>
    </row>
    <row r="717" spans="1:5" ht="14.5">
      <c r="A717" s="2042" t="s">
        <v>5858</v>
      </c>
      <c r="B717" s="380" t="str">
        <f t="shared" si="11"/>
        <v>173-901</v>
      </c>
      <c r="C717" s="2042" t="s">
        <v>2131</v>
      </c>
      <c r="D717" s="2043">
        <v>0</v>
      </c>
      <c r="E717" s="2043">
        <v>0</v>
      </c>
    </row>
    <row r="718" spans="1:5" ht="14.5">
      <c r="A718" s="2042" t="s">
        <v>3150</v>
      </c>
      <c r="B718" s="380" t="str">
        <f t="shared" si="11"/>
        <v>174-901</v>
      </c>
      <c r="C718" s="2042" t="s">
        <v>1091</v>
      </c>
      <c r="D718" s="2043">
        <v>83150</v>
      </c>
      <c r="E718" s="2043">
        <v>83150</v>
      </c>
    </row>
    <row r="719" spans="1:5" ht="14.5">
      <c r="A719" s="2042" t="s">
        <v>5189</v>
      </c>
      <c r="B719" s="380" t="str">
        <f t="shared" si="11"/>
        <v>174-902</v>
      </c>
      <c r="C719" s="2042" t="s">
        <v>2132</v>
      </c>
      <c r="D719" s="2043">
        <v>1010763</v>
      </c>
      <c r="E719" s="2043">
        <v>1010763</v>
      </c>
    </row>
    <row r="720" spans="1:5" ht="14.5">
      <c r="A720" s="2042" t="s">
        <v>3151</v>
      </c>
      <c r="B720" s="380" t="str">
        <f t="shared" si="11"/>
        <v>174-903</v>
      </c>
      <c r="C720" s="2042" t="s">
        <v>429</v>
      </c>
      <c r="D720" s="2043">
        <v>146375</v>
      </c>
      <c r="E720" s="2043">
        <v>146375</v>
      </c>
    </row>
    <row r="721" spans="1:5" ht="14.5">
      <c r="A721" s="2042" t="s">
        <v>5190</v>
      </c>
      <c r="B721" s="380" t="str">
        <f t="shared" si="11"/>
        <v>174-904</v>
      </c>
      <c r="C721" s="2042" t="s">
        <v>2133</v>
      </c>
      <c r="D721" s="2043">
        <v>6874325</v>
      </c>
      <c r="E721" s="2043">
        <v>3516900</v>
      </c>
    </row>
    <row r="722" spans="1:5" ht="14.5">
      <c r="A722" s="2042" t="s">
        <v>3152</v>
      </c>
      <c r="B722" s="380" t="str">
        <f t="shared" si="11"/>
        <v>174-906</v>
      </c>
      <c r="C722" s="2042" t="s">
        <v>1063</v>
      </c>
      <c r="D722" s="2043">
        <v>530350</v>
      </c>
      <c r="E722" s="2043">
        <v>179600</v>
      </c>
    </row>
    <row r="723" spans="1:5" ht="14.5">
      <c r="A723" s="2042" t="s">
        <v>3153</v>
      </c>
      <c r="B723" s="380" t="str">
        <f t="shared" si="11"/>
        <v>174-908</v>
      </c>
      <c r="C723" s="2042" t="s">
        <v>2134</v>
      </c>
      <c r="D723" s="2043">
        <v>874682</v>
      </c>
      <c r="E723" s="2043">
        <v>874682</v>
      </c>
    </row>
    <row r="724" spans="1:5" ht="14.5">
      <c r="A724" s="2042" t="s">
        <v>4500</v>
      </c>
      <c r="B724" s="380" t="str">
        <f t="shared" si="11"/>
        <v>174-909</v>
      </c>
      <c r="C724" s="2042" t="s">
        <v>2135</v>
      </c>
      <c r="D724" s="2043">
        <v>312542</v>
      </c>
      <c r="E724" s="2043">
        <v>312542</v>
      </c>
    </row>
    <row r="725" spans="1:5" ht="14.5">
      <c r="A725" s="2042" t="s">
        <v>5191</v>
      </c>
      <c r="B725" s="380" t="str">
        <f t="shared" si="11"/>
        <v>174-910</v>
      </c>
      <c r="C725" s="2042" t="s">
        <v>844</v>
      </c>
      <c r="D725" s="2043">
        <v>155300</v>
      </c>
      <c r="E725" s="2043">
        <v>155300</v>
      </c>
    </row>
    <row r="726" spans="1:5" ht="14.5">
      <c r="A726" s="2042" t="s">
        <v>5859</v>
      </c>
      <c r="B726" s="380" t="str">
        <f t="shared" si="11"/>
        <v>174-911</v>
      </c>
      <c r="C726" s="2042" t="s">
        <v>2136</v>
      </c>
      <c r="D726" s="2043">
        <v>0</v>
      </c>
      <c r="E726" s="2043">
        <v>0</v>
      </c>
    </row>
    <row r="727" spans="1:5" ht="14.5">
      <c r="A727" s="2042" t="s">
        <v>5192</v>
      </c>
      <c r="B727" s="380" t="str">
        <f t="shared" si="11"/>
        <v>175-902</v>
      </c>
      <c r="C727" s="2042" t="s">
        <v>290</v>
      </c>
      <c r="D727" s="2043">
        <v>179850</v>
      </c>
      <c r="E727" s="2043">
        <v>179850</v>
      </c>
    </row>
    <row r="728" spans="1:5" ht="14.5">
      <c r="A728" s="2042" t="s">
        <v>3154</v>
      </c>
      <c r="B728" s="380" t="str">
        <f t="shared" si="11"/>
        <v>175-903</v>
      </c>
      <c r="C728" s="2042" t="s">
        <v>1039</v>
      </c>
      <c r="D728" s="2043">
        <v>6079613</v>
      </c>
      <c r="E728" s="2043">
        <v>6345387</v>
      </c>
    </row>
    <row r="729" spans="1:5" ht="14.5">
      <c r="A729" s="2042" t="s">
        <v>3155</v>
      </c>
      <c r="B729" s="380" t="str">
        <f t="shared" si="11"/>
        <v>175-904</v>
      </c>
      <c r="C729" s="2042" t="s">
        <v>2516</v>
      </c>
      <c r="D729" s="2043">
        <v>590725</v>
      </c>
      <c r="E729" s="2043">
        <v>310200</v>
      </c>
    </row>
    <row r="730" spans="1:5" ht="14.5">
      <c r="A730" s="2042" t="s">
        <v>5193</v>
      </c>
      <c r="B730" s="380" t="str">
        <f t="shared" si="11"/>
        <v>175-905</v>
      </c>
      <c r="C730" s="2042" t="s">
        <v>291</v>
      </c>
      <c r="D730" s="2043">
        <v>543462</v>
      </c>
      <c r="E730" s="2043">
        <v>99037</v>
      </c>
    </row>
    <row r="731" spans="1:5" ht="14.5">
      <c r="A731" s="2042" t="s">
        <v>3156</v>
      </c>
      <c r="B731" s="380" t="str">
        <f t="shared" si="11"/>
        <v>175-907</v>
      </c>
      <c r="C731" s="2042" t="s">
        <v>2377</v>
      </c>
      <c r="D731" s="2043">
        <v>1077425</v>
      </c>
      <c r="E731" s="2043">
        <v>151900</v>
      </c>
    </row>
    <row r="732" spans="1:5" ht="14.5">
      <c r="A732" s="2042" t="s">
        <v>5194</v>
      </c>
      <c r="B732" s="380" t="str">
        <f t="shared" si="11"/>
        <v>175-910</v>
      </c>
      <c r="C732" s="2042" t="s">
        <v>292</v>
      </c>
      <c r="D732" s="2043">
        <v>1328187</v>
      </c>
      <c r="E732" s="2043">
        <v>887887</v>
      </c>
    </row>
    <row r="733" spans="1:5" ht="14.5">
      <c r="A733" s="2042" t="s">
        <v>3157</v>
      </c>
      <c r="B733" s="380" t="str">
        <f t="shared" si="11"/>
        <v>175-911</v>
      </c>
      <c r="C733" s="2042" t="s">
        <v>78</v>
      </c>
      <c r="D733" s="2043">
        <v>1416338</v>
      </c>
      <c r="E733" s="2043">
        <v>524263</v>
      </c>
    </row>
    <row r="734" spans="1:5" ht="14.5">
      <c r="A734" s="2042" t="s">
        <v>5195</v>
      </c>
      <c r="B734" s="380" t="str">
        <f t="shared" si="11"/>
        <v>176-901</v>
      </c>
      <c r="C734" s="2042" t="s">
        <v>293</v>
      </c>
      <c r="D734" s="2043">
        <v>224100</v>
      </c>
      <c r="E734" s="2043">
        <v>224100</v>
      </c>
    </row>
    <row r="735" spans="1:5" ht="14.5">
      <c r="A735" s="2042" t="s">
        <v>3158</v>
      </c>
      <c r="B735" s="380" t="str">
        <f t="shared" si="11"/>
        <v>176-902</v>
      </c>
      <c r="C735" s="2042" t="s">
        <v>2162</v>
      </c>
      <c r="D735" s="2043">
        <v>743000</v>
      </c>
      <c r="E735" s="2043">
        <v>743000</v>
      </c>
    </row>
    <row r="736" spans="1:5" ht="14.5">
      <c r="A736" s="2042" t="s">
        <v>3159</v>
      </c>
      <c r="B736" s="380" t="str">
        <f t="shared" si="11"/>
        <v>176-903</v>
      </c>
      <c r="C736" s="2042" t="s">
        <v>2523</v>
      </c>
      <c r="D736" s="2043">
        <v>787600</v>
      </c>
      <c r="E736" s="2043">
        <v>857825</v>
      </c>
    </row>
    <row r="737" spans="1:5" ht="14.5">
      <c r="A737" s="2042" t="s">
        <v>3160</v>
      </c>
      <c r="B737" s="380" t="str">
        <f t="shared" si="11"/>
        <v>177-901</v>
      </c>
      <c r="C737" s="2042" t="s">
        <v>3320</v>
      </c>
      <c r="D737" s="2043">
        <v>839966</v>
      </c>
      <c r="E737" s="2043">
        <v>839966</v>
      </c>
    </row>
    <row r="738" spans="1:5" ht="14.5">
      <c r="A738" s="2042" t="s">
        <v>5196</v>
      </c>
      <c r="B738" s="380" t="str">
        <f t="shared" si="11"/>
        <v>177-902</v>
      </c>
      <c r="C738" s="2042" t="s">
        <v>294</v>
      </c>
      <c r="D738" s="2043">
        <v>829250</v>
      </c>
      <c r="E738" s="2043">
        <v>829250</v>
      </c>
    </row>
    <row r="739" spans="1:5" ht="14.5">
      <c r="A739" s="2042" t="s">
        <v>5197</v>
      </c>
      <c r="B739" s="380" t="str">
        <f t="shared" si="11"/>
        <v>177-903</v>
      </c>
      <c r="C739" s="2042" t="s">
        <v>2203</v>
      </c>
      <c r="D739" s="2043">
        <v>836400</v>
      </c>
      <c r="E739" s="2043">
        <v>836400</v>
      </c>
    </row>
    <row r="740" spans="1:5" ht="14.5">
      <c r="A740" s="2042" t="s">
        <v>5198</v>
      </c>
      <c r="B740" s="380" t="str">
        <f t="shared" si="11"/>
        <v>177-905</v>
      </c>
      <c r="C740" s="2042" t="s">
        <v>296</v>
      </c>
      <c r="D740" s="2043">
        <v>833950</v>
      </c>
      <c r="E740" s="2043">
        <v>458150</v>
      </c>
    </row>
    <row r="741" spans="1:5" ht="14.5">
      <c r="A741" s="2042" t="s">
        <v>5199</v>
      </c>
      <c r="B741" s="380" t="str">
        <f t="shared" si="11"/>
        <v>178-901</v>
      </c>
      <c r="C741" s="2042" t="s">
        <v>297</v>
      </c>
      <c r="D741" s="2043">
        <v>462550</v>
      </c>
      <c r="E741" s="2043">
        <v>285950</v>
      </c>
    </row>
    <row r="742" spans="1:5" ht="14.5">
      <c r="A742" s="2042" t="s">
        <v>5200</v>
      </c>
      <c r="B742" s="380" t="str">
        <f t="shared" si="11"/>
        <v>178-902</v>
      </c>
      <c r="C742" s="2042" t="s">
        <v>2204</v>
      </c>
      <c r="D742" s="2043">
        <v>2555700</v>
      </c>
      <c r="E742" s="2043">
        <v>1656700</v>
      </c>
    </row>
    <row r="743" spans="1:5" ht="14.5">
      <c r="A743" s="2042" t="s">
        <v>5201</v>
      </c>
      <c r="B743" s="380" t="str">
        <f t="shared" si="11"/>
        <v>178-903</v>
      </c>
      <c r="C743" s="2042" t="s">
        <v>299</v>
      </c>
      <c r="D743" s="2043">
        <v>4690644</v>
      </c>
      <c r="E743" s="2043">
        <v>2508525</v>
      </c>
    </row>
    <row r="744" spans="1:5" ht="14.5">
      <c r="A744" s="2042" t="s">
        <v>3161</v>
      </c>
      <c r="B744" s="380" t="str">
        <f t="shared" si="11"/>
        <v>178-904</v>
      </c>
      <c r="C744" s="2042" t="s">
        <v>1038</v>
      </c>
      <c r="D744" s="2043">
        <v>30230629</v>
      </c>
      <c r="E744" s="2043">
        <v>29705889</v>
      </c>
    </row>
    <row r="745" spans="1:5" ht="14.5">
      <c r="A745" s="2042" t="s">
        <v>5202</v>
      </c>
      <c r="B745" s="380" t="str">
        <f t="shared" si="11"/>
        <v>178-905</v>
      </c>
      <c r="C745" s="2042" t="s">
        <v>300</v>
      </c>
      <c r="D745" s="2043">
        <v>530027</v>
      </c>
      <c r="E745" s="2043">
        <v>529700</v>
      </c>
    </row>
    <row r="746" spans="1:5" ht="14.5">
      <c r="A746" s="2042" t="s">
        <v>5203</v>
      </c>
      <c r="B746" s="380" t="str">
        <f t="shared" si="11"/>
        <v>178-906</v>
      </c>
      <c r="C746" s="2042" t="s">
        <v>301</v>
      </c>
      <c r="D746" s="2043">
        <v>1298400</v>
      </c>
      <c r="E746" s="2043">
        <v>1187100</v>
      </c>
    </row>
    <row r="747" spans="1:5" ht="14.5">
      <c r="A747" s="2042" t="s">
        <v>5204</v>
      </c>
      <c r="B747" s="380" t="str">
        <f t="shared" si="11"/>
        <v>178-908</v>
      </c>
      <c r="C747" s="2042" t="s">
        <v>302</v>
      </c>
      <c r="D747" s="2043">
        <v>1205083</v>
      </c>
      <c r="E747" s="2043">
        <v>687550</v>
      </c>
    </row>
    <row r="748" spans="1:5" ht="14.5">
      <c r="A748" s="2042" t="s">
        <v>3162</v>
      </c>
      <c r="B748" s="380" t="str">
        <f t="shared" si="11"/>
        <v>178-909</v>
      </c>
      <c r="C748" s="2042" t="s">
        <v>2552</v>
      </c>
      <c r="D748" s="2043">
        <v>4131843</v>
      </c>
      <c r="E748" s="2043">
        <v>4588755</v>
      </c>
    </row>
    <row r="749" spans="1:5" ht="14.5">
      <c r="A749" s="2042" t="s">
        <v>5205</v>
      </c>
      <c r="B749" s="380" t="str">
        <f t="shared" si="11"/>
        <v>178-912</v>
      </c>
      <c r="C749" s="2042" t="s">
        <v>303</v>
      </c>
      <c r="D749" s="2043">
        <v>5271241</v>
      </c>
      <c r="E749" s="2043">
        <v>5549647</v>
      </c>
    </row>
    <row r="750" spans="1:5" ht="14.5">
      <c r="A750" s="2042" t="s">
        <v>3163</v>
      </c>
      <c r="B750" s="380" t="str">
        <f t="shared" si="11"/>
        <v>178-913</v>
      </c>
      <c r="C750" s="2042" t="s">
        <v>304</v>
      </c>
      <c r="D750" s="2043">
        <v>1099625</v>
      </c>
      <c r="E750" s="2043">
        <v>1099625</v>
      </c>
    </row>
    <row r="751" spans="1:5" ht="14.5">
      <c r="A751" s="2042" t="s">
        <v>5206</v>
      </c>
      <c r="B751" s="380" t="str">
        <f t="shared" si="11"/>
        <v>178-914</v>
      </c>
      <c r="C751" s="2042" t="s">
        <v>305</v>
      </c>
      <c r="D751" s="2043">
        <v>2720102</v>
      </c>
      <c r="E751" s="2043">
        <v>2720102</v>
      </c>
    </row>
    <row r="752" spans="1:5" ht="14.5">
      <c r="A752" s="2042" t="s">
        <v>3164</v>
      </c>
      <c r="B752" s="380" t="str">
        <f t="shared" si="11"/>
        <v>178-915</v>
      </c>
      <c r="C752" s="2042" t="s">
        <v>306</v>
      </c>
      <c r="D752" s="2043">
        <v>2505959</v>
      </c>
      <c r="E752" s="2043">
        <v>2326330</v>
      </c>
    </row>
    <row r="753" spans="1:5" ht="14.5">
      <c r="A753" s="2042" t="s">
        <v>3165</v>
      </c>
      <c r="B753" s="380" t="str">
        <f t="shared" si="11"/>
        <v>179-901</v>
      </c>
      <c r="C753" s="2042" t="s">
        <v>942</v>
      </c>
      <c r="D753" s="2043">
        <v>1102163</v>
      </c>
      <c r="E753" s="2043">
        <v>1102163</v>
      </c>
    </row>
    <row r="754" spans="1:5" ht="14.5">
      <c r="A754" s="2042" t="s">
        <v>7356</v>
      </c>
      <c r="B754" s="380" t="str">
        <f t="shared" si="11"/>
        <v>180-901</v>
      </c>
      <c r="C754" s="2042" t="s">
        <v>7357</v>
      </c>
      <c r="D754" s="2043">
        <v>0</v>
      </c>
      <c r="E754" s="2043">
        <v>0</v>
      </c>
    </row>
    <row r="755" spans="1:5" ht="14.5">
      <c r="A755" s="2042" t="s">
        <v>5207</v>
      </c>
      <c r="B755" s="380" t="str">
        <f t="shared" si="11"/>
        <v>180-902</v>
      </c>
      <c r="C755" s="2042" t="s">
        <v>307</v>
      </c>
      <c r="D755" s="2043">
        <v>1451667</v>
      </c>
      <c r="E755" s="2043">
        <v>1451667</v>
      </c>
    </row>
    <row r="756" spans="1:5" ht="14.5">
      <c r="A756" s="2042" t="s">
        <v>5860</v>
      </c>
      <c r="B756" s="380" t="str">
        <f t="shared" si="11"/>
        <v>180-903</v>
      </c>
      <c r="C756" s="2042" t="s">
        <v>308</v>
      </c>
      <c r="D756" s="2043">
        <v>695100</v>
      </c>
      <c r="E756" s="2043">
        <v>0</v>
      </c>
    </row>
    <row r="757" spans="1:5" ht="14.5">
      <c r="A757" s="2042" t="s">
        <v>5208</v>
      </c>
      <c r="B757" s="380" t="str">
        <f t="shared" si="11"/>
        <v>180-904</v>
      </c>
      <c r="C757" s="2042" t="s">
        <v>309</v>
      </c>
      <c r="D757" s="2043">
        <v>783494</v>
      </c>
      <c r="E757" s="2043">
        <v>783494</v>
      </c>
    </row>
    <row r="758" spans="1:5" ht="14.5">
      <c r="A758" s="2042" t="s">
        <v>3166</v>
      </c>
      <c r="B758" s="380" t="str">
        <f t="shared" si="11"/>
        <v>181-901</v>
      </c>
      <c r="C758" s="2042" t="s">
        <v>1751</v>
      </c>
      <c r="D758" s="2043">
        <v>1166912</v>
      </c>
      <c r="E758" s="2043">
        <v>1208959</v>
      </c>
    </row>
    <row r="759" spans="1:5" ht="14.5">
      <c r="A759" s="2042" t="s">
        <v>5209</v>
      </c>
      <c r="B759" s="380" t="str">
        <f t="shared" si="11"/>
        <v>181-905</v>
      </c>
      <c r="C759" s="2042" t="s">
        <v>310</v>
      </c>
      <c r="D759" s="2043">
        <v>577369</v>
      </c>
      <c r="E759" s="2043">
        <v>577369</v>
      </c>
    </row>
    <row r="760" spans="1:5" ht="14.5">
      <c r="A760" s="2042" t="s">
        <v>5210</v>
      </c>
      <c r="B760" s="380" t="str">
        <f t="shared" si="11"/>
        <v>181-906</v>
      </c>
      <c r="C760" s="2042" t="s">
        <v>2205</v>
      </c>
      <c r="D760" s="2043">
        <v>4842042</v>
      </c>
      <c r="E760" s="2043">
        <v>4181361</v>
      </c>
    </row>
    <row r="761" spans="1:5" ht="14.5">
      <c r="A761" s="2042" t="s">
        <v>3167</v>
      </c>
      <c r="B761" s="380" t="str">
        <f t="shared" si="11"/>
        <v>181-907</v>
      </c>
      <c r="C761" s="2042" t="s">
        <v>126</v>
      </c>
      <c r="D761" s="2043">
        <v>1553300</v>
      </c>
      <c r="E761" s="2043">
        <v>1458862</v>
      </c>
    </row>
    <row r="762" spans="1:5" ht="14.5">
      <c r="A762" s="2042" t="s">
        <v>5211</v>
      </c>
      <c r="B762" s="380" t="str">
        <f t="shared" si="11"/>
        <v>181-908</v>
      </c>
      <c r="C762" s="2042" t="s">
        <v>3321</v>
      </c>
      <c r="D762" s="2043">
        <v>4503975</v>
      </c>
      <c r="E762" s="2043">
        <v>3942166</v>
      </c>
    </row>
    <row r="763" spans="1:5" ht="14.5">
      <c r="A763" s="2042" t="s">
        <v>5212</v>
      </c>
      <c r="B763" s="380" t="str">
        <f t="shared" si="11"/>
        <v>182-901</v>
      </c>
      <c r="C763" s="2042" t="s">
        <v>313</v>
      </c>
      <c r="D763" s="2043">
        <v>0</v>
      </c>
      <c r="E763" s="2043">
        <v>0</v>
      </c>
    </row>
    <row r="764" spans="1:5" ht="14.5">
      <c r="A764" s="2042" t="s">
        <v>5213</v>
      </c>
      <c r="B764" s="380" t="str">
        <f t="shared" si="11"/>
        <v>182-902</v>
      </c>
      <c r="C764" s="2042" t="s">
        <v>314</v>
      </c>
      <c r="D764" s="2043">
        <v>739848</v>
      </c>
      <c r="E764" s="2043">
        <v>739848</v>
      </c>
    </row>
    <row r="765" spans="1:5" ht="14.5">
      <c r="A765" s="2042" t="s">
        <v>3168</v>
      </c>
      <c r="B765" s="380" t="str">
        <f t="shared" si="11"/>
        <v>182-903</v>
      </c>
      <c r="C765" s="2042" t="s">
        <v>2117</v>
      </c>
      <c r="D765" s="2043">
        <v>3721738</v>
      </c>
      <c r="E765" s="2043">
        <v>3721738</v>
      </c>
    </row>
    <row r="766" spans="1:5" ht="14.5">
      <c r="A766" s="2042" t="s">
        <v>5214</v>
      </c>
      <c r="B766" s="380" t="str">
        <f t="shared" si="11"/>
        <v>182-904</v>
      </c>
      <c r="C766" s="2042" t="s">
        <v>315</v>
      </c>
      <c r="D766" s="2043">
        <v>0</v>
      </c>
      <c r="E766" s="2043">
        <v>0</v>
      </c>
    </row>
    <row r="767" spans="1:5" ht="14.5">
      <c r="A767" s="2042" t="s">
        <v>5861</v>
      </c>
      <c r="B767" s="380" t="str">
        <f t="shared" si="11"/>
        <v>182-905</v>
      </c>
      <c r="C767" s="2042" t="s">
        <v>316</v>
      </c>
      <c r="D767" s="2043">
        <v>0</v>
      </c>
      <c r="E767" s="2043">
        <v>0</v>
      </c>
    </row>
    <row r="768" spans="1:5" ht="14.5">
      <c r="A768" s="2042" t="s">
        <v>5215</v>
      </c>
      <c r="B768" s="380" t="str">
        <f t="shared" si="11"/>
        <v>182-906</v>
      </c>
      <c r="C768" s="2042" t="s">
        <v>409</v>
      </c>
      <c r="D768" s="2043">
        <v>245225</v>
      </c>
      <c r="E768" s="2043">
        <v>245225</v>
      </c>
    </row>
    <row r="769" spans="1:5" ht="14.5">
      <c r="A769" s="2042" t="s">
        <v>5216</v>
      </c>
      <c r="B769" s="380" t="str">
        <f t="shared" si="11"/>
        <v>183-901</v>
      </c>
      <c r="C769" s="2042" t="s">
        <v>410</v>
      </c>
      <c r="D769" s="2043">
        <v>0</v>
      </c>
      <c r="E769" s="2043">
        <v>0</v>
      </c>
    </row>
    <row r="770" spans="1:5" ht="14.5">
      <c r="A770" s="2042" t="s">
        <v>5217</v>
      </c>
      <c r="B770" s="380" t="str">
        <f t="shared" si="11"/>
        <v>183-902</v>
      </c>
      <c r="C770" s="2042" t="s">
        <v>411</v>
      </c>
      <c r="D770" s="2043">
        <v>5205224</v>
      </c>
      <c r="E770" s="2043">
        <v>1431400</v>
      </c>
    </row>
    <row r="771" spans="1:5" ht="14.5">
      <c r="A771" s="2042" t="s">
        <v>3169</v>
      </c>
      <c r="B771" s="380" t="str">
        <f t="shared" ref="B771:B834" si="12">CONCATENATE(LEFT(RIGHT(CONCATENATE("000",A771),6),3),"-",(RIGHT(RIGHT(CONCATENATE("000",A771),6),3)))</f>
        <v>183-904</v>
      </c>
      <c r="C771" s="2042" t="s">
        <v>430</v>
      </c>
      <c r="D771" s="2043">
        <v>675640</v>
      </c>
      <c r="E771" s="2043">
        <v>675640</v>
      </c>
    </row>
    <row r="772" spans="1:5" ht="14.5">
      <c r="A772" s="2042" t="s">
        <v>3170</v>
      </c>
      <c r="B772" s="380" t="str">
        <f t="shared" si="12"/>
        <v>184-901</v>
      </c>
      <c r="C772" s="2042" t="s">
        <v>949</v>
      </c>
      <c r="D772" s="2043">
        <v>343456</v>
      </c>
      <c r="E772" s="2043">
        <v>343456</v>
      </c>
    </row>
    <row r="773" spans="1:5" ht="14.5">
      <c r="A773" s="2042" t="s">
        <v>3171</v>
      </c>
      <c r="B773" s="380" t="str">
        <f t="shared" si="12"/>
        <v>184-902</v>
      </c>
      <c r="C773" s="2042" t="s">
        <v>1830</v>
      </c>
      <c r="D773" s="2043">
        <v>3963575</v>
      </c>
      <c r="E773" s="2043">
        <v>3963575</v>
      </c>
    </row>
    <row r="774" spans="1:5" ht="14.5">
      <c r="A774" s="2042" t="s">
        <v>3172</v>
      </c>
      <c r="B774" s="380" t="str">
        <f t="shared" si="12"/>
        <v>184-903</v>
      </c>
      <c r="C774" s="2042" t="s">
        <v>131</v>
      </c>
      <c r="D774" s="2043">
        <v>11306191</v>
      </c>
      <c r="E774" s="2043">
        <v>11306191</v>
      </c>
    </row>
    <row r="775" spans="1:5" ht="14.5">
      <c r="A775" s="2042" t="s">
        <v>3173</v>
      </c>
      <c r="B775" s="380" t="str">
        <f t="shared" si="12"/>
        <v>184-904</v>
      </c>
      <c r="C775" s="2042" t="s">
        <v>2116</v>
      </c>
      <c r="D775" s="2043">
        <v>1318200</v>
      </c>
      <c r="E775" s="2043">
        <v>1318200</v>
      </c>
    </row>
    <row r="776" spans="1:5" ht="14.5">
      <c r="A776" s="2042" t="s">
        <v>5218</v>
      </c>
      <c r="B776" s="380" t="str">
        <f t="shared" si="12"/>
        <v>184-907</v>
      </c>
      <c r="C776" s="2042" t="s">
        <v>412</v>
      </c>
      <c r="D776" s="2043">
        <v>13128531</v>
      </c>
      <c r="E776" s="2043">
        <v>13640618</v>
      </c>
    </row>
    <row r="777" spans="1:5" ht="14.5">
      <c r="A777" s="2042" t="s">
        <v>3174</v>
      </c>
      <c r="B777" s="380" t="str">
        <f t="shared" si="12"/>
        <v>184-908</v>
      </c>
      <c r="C777" s="2042" t="s">
        <v>2449</v>
      </c>
      <c r="D777" s="2043">
        <v>1665200</v>
      </c>
      <c r="E777" s="2043">
        <v>1273952</v>
      </c>
    </row>
    <row r="778" spans="1:5" ht="14.5">
      <c r="A778" s="2042" t="s">
        <v>3175</v>
      </c>
      <c r="B778" s="380" t="str">
        <f t="shared" si="12"/>
        <v>184-909</v>
      </c>
      <c r="C778" s="2042" t="s">
        <v>1752</v>
      </c>
      <c r="D778" s="2043">
        <v>2533994</v>
      </c>
      <c r="E778" s="2043">
        <v>2149622</v>
      </c>
    </row>
    <row r="779" spans="1:5" ht="14.5">
      <c r="A779" s="2042" t="s">
        <v>5219</v>
      </c>
      <c r="B779" s="380" t="str">
        <f t="shared" si="12"/>
        <v>184-911</v>
      </c>
      <c r="C779" s="2042" t="s">
        <v>413</v>
      </c>
      <c r="D779" s="2043">
        <v>164250</v>
      </c>
      <c r="E779" s="2043">
        <v>164250</v>
      </c>
    </row>
    <row r="780" spans="1:5" ht="14.5">
      <c r="A780" s="2042" t="s">
        <v>5862</v>
      </c>
      <c r="B780" s="380" t="str">
        <f t="shared" si="12"/>
        <v>185-901</v>
      </c>
      <c r="C780" s="2042" t="s">
        <v>414</v>
      </c>
      <c r="D780" s="2043">
        <v>0</v>
      </c>
      <c r="E780" s="2043">
        <v>0</v>
      </c>
    </row>
    <row r="781" spans="1:5" ht="14.5">
      <c r="A781" s="2042" t="s">
        <v>5863</v>
      </c>
      <c r="B781" s="380" t="str">
        <f t="shared" si="12"/>
        <v>185-902</v>
      </c>
      <c r="C781" s="2042" t="s">
        <v>415</v>
      </c>
      <c r="D781" s="2043">
        <v>637606</v>
      </c>
      <c r="E781" s="2043">
        <v>0</v>
      </c>
    </row>
    <row r="782" spans="1:5" ht="14.5">
      <c r="A782" s="2042" t="s">
        <v>5220</v>
      </c>
      <c r="B782" s="380" t="str">
        <f t="shared" si="12"/>
        <v>185-903</v>
      </c>
      <c r="C782" s="2042" t="s">
        <v>416</v>
      </c>
      <c r="D782" s="2043">
        <v>310488</v>
      </c>
      <c r="E782" s="2043">
        <v>310488</v>
      </c>
    </row>
    <row r="783" spans="1:5" ht="14.5">
      <c r="A783" s="2042" t="s">
        <v>5864</v>
      </c>
      <c r="B783" s="380" t="str">
        <f t="shared" si="12"/>
        <v>185-904</v>
      </c>
      <c r="C783" s="2042" t="s">
        <v>417</v>
      </c>
      <c r="D783" s="2043">
        <v>0</v>
      </c>
      <c r="E783" s="2043">
        <v>0</v>
      </c>
    </row>
    <row r="784" spans="1:5" ht="14.5">
      <c r="A784" s="2042" t="s">
        <v>5221</v>
      </c>
      <c r="B784" s="380" t="str">
        <f t="shared" si="12"/>
        <v>186-901</v>
      </c>
      <c r="C784" s="2042" t="s">
        <v>418</v>
      </c>
      <c r="D784" s="2043">
        <v>0</v>
      </c>
      <c r="E784" s="2043">
        <v>0</v>
      </c>
    </row>
    <row r="785" spans="1:5" ht="14.5">
      <c r="A785" s="2042" t="s">
        <v>5222</v>
      </c>
      <c r="B785" s="380" t="str">
        <f t="shared" si="12"/>
        <v>186-902</v>
      </c>
      <c r="C785" s="2042" t="s">
        <v>2206</v>
      </c>
      <c r="D785" s="2043">
        <v>1544600</v>
      </c>
      <c r="E785" s="2043">
        <v>272362</v>
      </c>
    </row>
    <row r="786" spans="1:5" ht="14.5">
      <c r="A786" s="2042" t="s">
        <v>5223</v>
      </c>
      <c r="B786" s="380" t="str">
        <f t="shared" si="12"/>
        <v>186-903</v>
      </c>
      <c r="C786" s="2042" t="s">
        <v>420</v>
      </c>
      <c r="D786" s="2043">
        <v>1685425</v>
      </c>
      <c r="E786" s="2043">
        <v>878350</v>
      </c>
    </row>
    <row r="787" spans="1:5" ht="14.5">
      <c r="A787" s="2042" t="s">
        <v>5224</v>
      </c>
      <c r="B787" s="380" t="str">
        <f t="shared" si="12"/>
        <v>187-901</v>
      </c>
      <c r="C787" s="2042" t="s">
        <v>421</v>
      </c>
      <c r="D787" s="2043">
        <v>294825</v>
      </c>
      <c r="E787" s="2043">
        <v>294825</v>
      </c>
    </row>
    <row r="788" spans="1:5" ht="14.5">
      <c r="A788" s="2042" t="s">
        <v>5865</v>
      </c>
      <c r="B788" s="380" t="str">
        <f t="shared" si="12"/>
        <v>187-903</v>
      </c>
      <c r="C788" s="2042" t="s">
        <v>422</v>
      </c>
      <c r="D788" s="2043">
        <v>165287</v>
      </c>
      <c r="E788" s="2043">
        <v>0</v>
      </c>
    </row>
    <row r="789" spans="1:5" ht="14.5">
      <c r="A789" s="2042" t="s">
        <v>5225</v>
      </c>
      <c r="B789" s="380" t="str">
        <f t="shared" si="12"/>
        <v>187-904</v>
      </c>
      <c r="C789" s="2042" t="s">
        <v>423</v>
      </c>
      <c r="D789" s="2043">
        <v>578850</v>
      </c>
      <c r="E789" s="2043">
        <v>578850</v>
      </c>
    </row>
    <row r="790" spans="1:5" ht="14.5">
      <c r="A790" s="2042" t="s">
        <v>5226</v>
      </c>
      <c r="B790" s="380" t="str">
        <f t="shared" si="12"/>
        <v>187-906</v>
      </c>
      <c r="C790" s="2042" t="s">
        <v>424</v>
      </c>
      <c r="D790" s="2043">
        <v>120850</v>
      </c>
      <c r="E790" s="2043">
        <v>120850</v>
      </c>
    </row>
    <row r="791" spans="1:5" ht="14.5">
      <c r="A791" s="2042" t="s">
        <v>3176</v>
      </c>
      <c r="B791" s="380" t="str">
        <f t="shared" si="12"/>
        <v>187-907</v>
      </c>
      <c r="C791" s="2042" t="s">
        <v>2103</v>
      </c>
      <c r="D791" s="2043">
        <v>4299332</v>
      </c>
      <c r="E791" s="2043">
        <v>4299332</v>
      </c>
    </row>
    <row r="792" spans="1:5" ht="14.5">
      <c r="A792" s="2042" t="s">
        <v>5227</v>
      </c>
      <c r="B792" s="380" t="str">
        <f t="shared" si="12"/>
        <v>187-910</v>
      </c>
      <c r="C792" s="2042" t="s">
        <v>425</v>
      </c>
      <c r="D792" s="2043">
        <v>911300</v>
      </c>
      <c r="E792" s="2043">
        <v>1016964</v>
      </c>
    </row>
    <row r="793" spans="1:5" ht="14.5">
      <c r="A793" s="2042" t="s">
        <v>3177</v>
      </c>
      <c r="B793" s="380" t="str">
        <f t="shared" si="12"/>
        <v>188-901</v>
      </c>
      <c r="C793" s="2042" t="s">
        <v>998</v>
      </c>
      <c r="D793" s="2043">
        <v>13021338</v>
      </c>
      <c r="E793" s="2043">
        <v>11270181</v>
      </c>
    </row>
    <row r="794" spans="1:5" ht="14.5">
      <c r="A794" s="2042" t="s">
        <v>3178</v>
      </c>
      <c r="B794" s="380" t="str">
        <f t="shared" si="12"/>
        <v>188-902</v>
      </c>
      <c r="C794" s="2042" t="s">
        <v>2549</v>
      </c>
      <c r="D794" s="2043">
        <v>1237750</v>
      </c>
      <c r="E794" s="2043">
        <v>1237750</v>
      </c>
    </row>
    <row r="795" spans="1:5" ht="14.5">
      <c r="A795" s="2042" t="s">
        <v>5228</v>
      </c>
      <c r="B795" s="380" t="str">
        <f t="shared" si="12"/>
        <v>188-903</v>
      </c>
      <c r="C795" s="2042" t="s">
        <v>121</v>
      </c>
      <c r="D795" s="2043">
        <v>1738538</v>
      </c>
      <c r="E795" s="2043">
        <v>1160438</v>
      </c>
    </row>
    <row r="796" spans="1:5" ht="14.5">
      <c r="A796" s="2042" t="s">
        <v>5229</v>
      </c>
      <c r="B796" s="380" t="str">
        <f t="shared" si="12"/>
        <v>188-904</v>
      </c>
      <c r="C796" s="2042" t="s">
        <v>426</v>
      </c>
      <c r="D796" s="2043">
        <v>1932213</v>
      </c>
      <c r="E796" s="2043">
        <v>1932213</v>
      </c>
    </row>
    <row r="797" spans="1:5" ht="14.5">
      <c r="A797" s="2042" t="s">
        <v>3179</v>
      </c>
      <c r="B797" s="380" t="str">
        <f t="shared" si="12"/>
        <v>189-901</v>
      </c>
      <c r="C797" s="2042" t="s">
        <v>277</v>
      </c>
      <c r="D797" s="2043">
        <v>446706</v>
      </c>
      <c r="E797" s="2043">
        <v>446706</v>
      </c>
    </row>
    <row r="798" spans="1:5" ht="14.5">
      <c r="A798" s="2042" t="s">
        <v>3180</v>
      </c>
      <c r="B798" s="380" t="str">
        <f t="shared" si="12"/>
        <v>189-902</v>
      </c>
      <c r="C798" s="2042" t="s">
        <v>1984</v>
      </c>
      <c r="D798" s="2043">
        <v>677250</v>
      </c>
      <c r="E798" s="2043">
        <v>677250</v>
      </c>
    </row>
    <row r="799" spans="1:5" ht="14.5">
      <c r="A799" s="2042" t="s">
        <v>5230</v>
      </c>
      <c r="B799" s="380" t="str">
        <f t="shared" si="12"/>
        <v>190-903</v>
      </c>
      <c r="C799" s="2042" t="s">
        <v>427</v>
      </c>
      <c r="D799" s="2043">
        <v>1045750</v>
      </c>
      <c r="E799" s="2043">
        <v>1139069</v>
      </c>
    </row>
    <row r="800" spans="1:5" ht="14.5">
      <c r="A800" s="2042" t="s">
        <v>5231</v>
      </c>
      <c r="B800" s="380" t="str">
        <f t="shared" si="12"/>
        <v>191-901</v>
      </c>
      <c r="C800" s="2042" t="s">
        <v>2207</v>
      </c>
      <c r="D800" s="2043">
        <v>7049175</v>
      </c>
      <c r="E800" s="2043">
        <v>6343199</v>
      </c>
    </row>
    <row r="801" spans="1:5" ht="14.5">
      <c r="A801" s="2042" t="s">
        <v>5232</v>
      </c>
      <c r="B801" s="380" t="str">
        <f t="shared" si="12"/>
        <v>192-901</v>
      </c>
      <c r="C801" s="2042" t="s">
        <v>145</v>
      </c>
      <c r="D801" s="2043">
        <v>1558000</v>
      </c>
      <c r="E801" s="2043">
        <v>1558000</v>
      </c>
    </row>
    <row r="802" spans="1:5" ht="14.5">
      <c r="A802" s="2042" t="s">
        <v>5233</v>
      </c>
      <c r="B802" s="380" t="str">
        <f t="shared" si="12"/>
        <v>193-902</v>
      </c>
      <c r="C802" s="2042" t="s">
        <v>146</v>
      </c>
      <c r="D802" s="2043">
        <v>463500</v>
      </c>
      <c r="E802" s="2043">
        <v>463500</v>
      </c>
    </row>
    <row r="803" spans="1:5" ht="14.5">
      <c r="A803" s="2042" t="s">
        <v>5866</v>
      </c>
      <c r="B803" s="380" t="str">
        <f t="shared" si="12"/>
        <v>194-902</v>
      </c>
      <c r="C803" s="2042" t="s">
        <v>1999</v>
      </c>
      <c r="D803" s="2043">
        <v>0</v>
      </c>
      <c r="E803" s="2043">
        <v>0</v>
      </c>
    </row>
    <row r="804" spans="1:5" ht="14.5">
      <c r="A804" s="2042" t="s">
        <v>3181</v>
      </c>
      <c r="B804" s="380" t="str">
        <f t="shared" si="12"/>
        <v>194-903</v>
      </c>
      <c r="C804" s="2042" t="s">
        <v>2550</v>
      </c>
      <c r="D804" s="2043">
        <v>501475</v>
      </c>
      <c r="E804" s="2043">
        <v>501475</v>
      </c>
    </row>
    <row r="805" spans="1:5" ht="14.5">
      <c r="A805" s="2042" t="s">
        <v>5867</v>
      </c>
      <c r="B805" s="380" t="str">
        <f t="shared" si="12"/>
        <v>194-904</v>
      </c>
      <c r="C805" s="2042" t="s">
        <v>1530</v>
      </c>
      <c r="D805" s="2043">
        <v>0</v>
      </c>
      <c r="E805" s="2043">
        <v>0</v>
      </c>
    </row>
    <row r="806" spans="1:5" ht="14.5">
      <c r="A806" s="2042" t="s">
        <v>3182</v>
      </c>
      <c r="B806" s="380" t="str">
        <f t="shared" si="12"/>
        <v>194-905</v>
      </c>
      <c r="C806" s="2042" t="s">
        <v>2521</v>
      </c>
      <c r="D806" s="2043">
        <v>385050</v>
      </c>
      <c r="E806" s="2043">
        <v>385050</v>
      </c>
    </row>
    <row r="807" spans="1:5" ht="14.5">
      <c r="A807" s="2042" t="s">
        <v>5234</v>
      </c>
      <c r="B807" s="380" t="str">
        <f t="shared" si="12"/>
        <v>195-901</v>
      </c>
      <c r="C807" s="2042" t="s">
        <v>1531</v>
      </c>
      <c r="D807" s="2043">
        <v>3479962</v>
      </c>
      <c r="E807" s="2043">
        <v>1633700</v>
      </c>
    </row>
    <row r="808" spans="1:5" ht="14.5">
      <c r="A808" s="2042" t="s">
        <v>3183</v>
      </c>
      <c r="B808" s="380" t="str">
        <f t="shared" si="12"/>
        <v>195-902</v>
      </c>
      <c r="C808" s="2042" t="s">
        <v>2001</v>
      </c>
      <c r="D808" s="2043">
        <v>64800</v>
      </c>
      <c r="E808" s="2043">
        <v>64800</v>
      </c>
    </row>
    <row r="809" spans="1:5" ht="14.5">
      <c r="A809" s="2042" t="s">
        <v>5235</v>
      </c>
      <c r="B809" s="380" t="str">
        <f t="shared" si="12"/>
        <v>196-901</v>
      </c>
      <c r="C809" s="2042" t="s">
        <v>1532</v>
      </c>
      <c r="D809" s="2043">
        <v>916550</v>
      </c>
      <c r="E809" s="2043">
        <v>552612</v>
      </c>
    </row>
    <row r="810" spans="1:5" ht="14.5">
      <c r="A810" s="2042" t="s">
        <v>5236</v>
      </c>
      <c r="B810" s="380" t="str">
        <f t="shared" si="12"/>
        <v>196-902</v>
      </c>
      <c r="C810" s="2042" t="s">
        <v>1533</v>
      </c>
      <c r="D810" s="2043">
        <v>916063</v>
      </c>
      <c r="E810" s="2043">
        <v>916063</v>
      </c>
    </row>
    <row r="811" spans="1:5" ht="14.5">
      <c r="A811" s="2042" t="s">
        <v>5237</v>
      </c>
      <c r="B811" s="380" t="str">
        <f t="shared" si="12"/>
        <v>196-903</v>
      </c>
      <c r="C811" s="2042" t="s">
        <v>1534</v>
      </c>
      <c r="D811" s="2043">
        <v>1177950</v>
      </c>
      <c r="E811" s="2043">
        <v>0</v>
      </c>
    </row>
    <row r="812" spans="1:5" ht="14.5">
      <c r="A812" s="2042" t="s">
        <v>5238</v>
      </c>
      <c r="B812" s="380" t="str">
        <f t="shared" si="12"/>
        <v>197-902</v>
      </c>
      <c r="C812" s="2042" t="s">
        <v>1535</v>
      </c>
      <c r="D812" s="2043">
        <v>1669025</v>
      </c>
      <c r="E812" s="2043">
        <v>1729791</v>
      </c>
    </row>
    <row r="813" spans="1:5" ht="14.5">
      <c r="A813" s="2042" t="s">
        <v>5239</v>
      </c>
      <c r="B813" s="380" t="str">
        <f t="shared" si="12"/>
        <v>198-901</v>
      </c>
      <c r="C813" s="2042" t="s">
        <v>1536</v>
      </c>
      <c r="D813" s="2043">
        <v>924750</v>
      </c>
      <c r="E813" s="2043">
        <v>924750</v>
      </c>
    </row>
    <row r="814" spans="1:5" ht="14.5">
      <c r="A814" s="2042" t="s">
        <v>5868</v>
      </c>
      <c r="B814" s="380" t="str">
        <f t="shared" si="12"/>
        <v>198-902</v>
      </c>
      <c r="C814" s="2042" t="s">
        <v>1537</v>
      </c>
      <c r="D814" s="2043">
        <v>0</v>
      </c>
      <c r="E814" s="2043">
        <v>0</v>
      </c>
    </row>
    <row r="815" spans="1:5" ht="14.5">
      <c r="A815" s="2042" t="s">
        <v>5240</v>
      </c>
      <c r="B815" s="380" t="str">
        <f t="shared" si="12"/>
        <v>198-903</v>
      </c>
      <c r="C815" s="2042" t="s">
        <v>1538</v>
      </c>
      <c r="D815" s="2043">
        <v>0</v>
      </c>
      <c r="E815" s="2043">
        <v>0</v>
      </c>
    </row>
    <row r="816" spans="1:5" ht="14.5">
      <c r="A816" s="2042" t="s">
        <v>5241</v>
      </c>
      <c r="B816" s="380" t="str">
        <f t="shared" si="12"/>
        <v>198-905</v>
      </c>
      <c r="C816" s="2042" t="s">
        <v>1539</v>
      </c>
      <c r="D816" s="2043">
        <v>880975</v>
      </c>
      <c r="E816" s="2043">
        <v>880975</v>
      </c>
    </row>
    <row r="817" spans="1:5" ht="14.5">
      <c r="A817" s="2042" t="s">
        <v>5869</v>
      </c>
      <c r="B817" s="380" t="str">
        <f t="shared" si="12"/>
        <v>198-906</v>
      </c>
      <c r="C817" s="2042" t="s">
        <v>923</v>
      </c>
      <c r="D817" s="2043">
        <v>0</v>
      </c>
      <c r="E817" s="2043">
        <v>0</v>
      </c>
    </row>
    <row r="818" spans="1:5" ht="14.5">
      <c r="A818" s="2042" t="s">
        <v>5242</v>
      </c>
      <c r="B818" s="380" t="str">
        <f t="shared" si="12"/>
        <v>199-901</v>
      </c>
      <c r="C818" s="2042" t="s">
        <v>924</v>
      </c>
      <c r="D818" s="2043">
        <v>28846519</v>
      </c>
      <c r="E818" s="2043">
        <v>29582953</v>
      </c>
    </row>
    <row r="819" spans="1:5" ht="14.5">
      <c r="A819" s="2042" t="s">
        <v>3184</v>
      </c>
      <c r="B819" s="380" t="str">
        <f t="shared" si="12"/>
        <v>199-902</v>
      </c>
      <c r="C819" s="2042" t="s">
        <v>576</v>
      </c>
      <c r="D819" s="2043">
        <v>8509589</v>
      </c>
      <c r="E819" s="2043">
        <v>10264852</v>
      </c>
    </row>
    <row r="820" spans="1:5" ht="14.5">
      <c r="A820" s="2042" t="s">
        <v>5870</v>
      </c>
      <c r="B820" s="380" t="str">
        <f t="shared" si="12"/>
        <v>200-901</v>
      </c>
      <c r="C820" s="2042" t="s">
        <v>1787</v>
      </c>
      <c r="D820" s="2043">
        <v>0</v>
      </c>
      <c r="E820" s="2043">
        <v>0</v>
      </c>
    </row>
    <row r="821" spans="1:5" ht="14.5">
      <c r="A821" s="2042" t="s">
        <v>3185</v>
      </c>
      <c r="B821" s="380" t="str">
        <f t="shared" si="12"/>
        <v>200-902</v>
      </c>
      <c r="C821" s="2042" t="s">
        <v>2114</v>
      </c>
      <c r="D821" s="2043">
        <v>497046</v>
      </c>
      <c r="E821" s="2043">
        <v>497046</v>
      </c>
    </row>
    <row r="822" spans="1:5" ht="14.5">
      <c r="A822" s="2042" t="s">
        <v>4591</v>
      </c>
      <c r="B822" s="380" t="str">
        <f t="shared" si="12"/>
        <v>200-904</v>
      </c>
      <c r="C822" s="2042" t="s">
        <v>1062</v>
      </c>
      <c r="D822" s="2043">
        <v>0</v>
      </c>
      <c r="E822" s="2043">
        <v>0</v>
      </c>
    </row>
    <row r="823" spans="1:5" ht="14.5">
      <c r="A823" s="2042" t="s">
        <v>3186</v>
      </c>
      <c r="B823" s="380" t="str">
        <f t="shared" si="12"/>
        <v>200-906</v>
      </c>
      <c r="C823" s="2042" t="s">
        <v>248</v>
      </c>
      <c r="D823" s="2043">
        <v>81625</v>
      </c>
      <c r="E823" s="2043">
        <v>81625</v>
      </c>
    </row>
    <row r="824" spans="1:5" ht="14.5">
      <c r="A824" s="2042" t="s">
        <v>5243</v>
      </c>
      <c r="B824" s="380" t="str">
        <f t="shared" si="12"/>
        <v>201-902</v>
      </c>
      <c r="C824" s="2042" t="s">
        <v>1788</v>
      </c>
      <c r="D824" s="2043">
        <v>2834527</v>
      </c>
      <c r="E824" s="2043">
        <v>3349723</v>
      </c>
    </row>
    <row r="825" spans="1:5" ht="14.5">
      <c r="A825" s="2042" t="s">
        <v>5871</v>
      </c>
      <c r="B825" s="380" t="str">
        <f t="shared" si="12"/>
        <v>201-903</v>
      </c>
      <c r="C825" s="2042" t="s">
        <v>1435</v>
      </c>
      <c r="D825" s="2043">
        <v>0</v>
      </c>
      <c r="E825" s="2043">
        <v>0</v>
      </c>
    </row>
    <row r="826" spans="1:5" ht="14.5">
      <c r="A826" s="2042" t="s">
        <v>5872</v>
      </c>
      <c r="B826" s="380" t="str">
        <f t="shared" si="12"/>
        <v>201-904</v>
      </c>
      <c r="C826" s="2042" t="s">
        <v>1436</v>
      </c>
      <c r="D826" s="2043">
        <v>0</v>
      </c>
      <c r="E826" s="2043">
        <v>0</v>
      </c>
    </row>
    <row r="827" spans="1:5" ht="14.5">
      <c r="A827" s="2042" t="s">
        <v>4595</v>
      </c>
      <c r="B827" s="380" t="str">
        <f t="shared" si="12"/>
        <v>201-907</v>
      </c>
      <c r="C827" s="2042" t="s">
        <v>2034</v>
      </c>
      <c r="D827" s="2043">
        <v>184231</v>
      </c>
      <c r="E827" s="2043">
        <v>184231</v>
      </c>
    </row>
    <row r="828" spans="1:5" ht="14.5">
      <c r="A828" s="2042" t="s">
        <v>3187</v>
      </c>
      <c r="B828" s="380" t="str">
        <f t="shared" si="12"/>
        <v>201-908</v>
      </c>
      <c r="C828" s="2042" t="s">
        <v>1286</v>
      </c>
      <c r="D828" s="2043">
        <v>607903</v>
      </c>
      <c r="E828" s="2043">
        <v>670311</v>
      </c>
    </row>
    <row r="829" spans="1:5" ht="14.5">
      <c r="A829" s="2042" t="s">
        <v>5244</v>
      </c>
      <c r="B829" s="380" t="str">
        <f t="shared" si="12"/>
        <v>201-910</v>
      </c>
      <c r="C829" s="2042" t="s">
        <v>1437</v>
      </c>
      <c r="D829" s="2043">
        <v>991513</v>
      </c>
      <c r="E829" s="2043">
        <v>991513</v>
      </c>
    </row>
    <row r="830" spans="1:5" ht="14.5">
      <c r="A830" s="2042" t="s">
        <v>3188</v>
      </c>
      <c r="B830" s="380" t="str">
        <f t="shared" si="12"/>
        <v>201-913</v>
      </c>
      <c r="C830" s="2042" t="s">
        <v>613</v>
      </c>
      <c r="D830" s="2043">
        <v>488595</v>
      </c>
      <c r="E830" s="2043">
        <v>704103</v>
      </c>
    </row>
    <row r="831" spans="1:5" ht="14.5">
      <c r="A831" s="2042" t="s">
        <v>5245</v>
      </c>
      <c r="B831" s="380" t="str">
        <f t="shared" si="12"/>
        <v>201-914</v>
      </c>
      <c r="C831" s="2042" t="s">
        <v>3322</v>
      </c>
      <c r="D831" s="2043">
        <v>990086</v>
      </c>
      <c r="E831" s="2043">
        <v>872286</v>
      </c>
    </row>
    <row r="832" spans="1:5" ht="14.5">
      <c r="A832" s="2042" t="s">
        <v>5873</v>
      </c>
      <c r="B832" s="380" t="str">
        <f t="shared" si="12"/>
        <v>202-903</v>
      </c>
      <c r="C832" s="2042" t="s">
        <v>1439</v>
      </c>
      <c r="D832" s="2043">
        <v>0</v>
      </c>
      <c r="E832" s="2043">
        <v>0</v>
      </c>
    </row>
    <row r="833" spans="1:5" ht="14.5">
      <c r="A833" s="2042" t="s">
        <v>3189</v>
      </c>
      <c r="B833" s="380" t="str">
        <f t="shared" si="12"/>
        <v>202-905</v>
      </c>
      <c r="C833" s="2042" t="s">
        <v>1440</v>
      </c>
      <c r="D833" s="2043">
        <v>559925</v>
      </c>
      <c r="E833" s="2043">
        <v>559925</v>
      </c>
    </row>
    <row r="834" spans="1:5" ht="14.5">
      <c r="A834" s="2042" t="s">
        <v>3190</v>
      </c>
      <c r="B834" s="380" t="str">
        <f t="shared" si="12"/>
        <v>203-901</v>
      </c>
      <c r="C834" s="2042" t="s">
        <v>1957</v>
      </c>
      <c r="D834" s="2043">
        <v>701688</v>
      </c>
      <c r="E834" s="2043">
        <v>475188</v>
      </c>
    </row>
    <row r="835" spans="1:5" ht="14.5">
      <c r="A835" s="2042" t="s">
        <v>5874</v>
      </c>
      <c r="B835" s="380" t="str">
        <f t="shared" ref="B835:B898" si="13">CONCATENATE(LEFT(RIGHT(CONCATENATE("000",A835),6),3),"-",(RIGHT(RIGHT(CONCATENATE("000",A835),6),3)))</f>
        <v>203-902</v>
      </c>
      <c r="C835" s="2042" t="s">
        <v>1958</v>
      </c>
      <c r="D835" s="2043">
        <v>0</v>
      </c>
      <c r="E835" s="2043">
        <v>0</v>
      </c>
    </row>
    <row r="836" spans="1:5" ht="14.5">
      <c r="A836" s="2042" t="s">
        <v>5246</v>
      </c>
      <c r="B836" s="380" t="str">
        <f t="shared" si="13"/>
        <v>204-901</v>
      </c>
      <c r="C836" s="2042" t="s">
        <v>2209</v>
      </c>
      <c r="D836" s="2043">
        <v>1347615</v>
      </c>
      <c r="E836" s="2043">
        <v>0</v>
      </c>
    </row>
    <row r="837" spans="1:5" ht="14.5">
      <c r="A837" s="2042" t="s">
        <v>3191</v>
      </c>
      <c r="B837" s="380" t="str">
        <f t="shared" si="13"/>
        <v>204-904</v>
      </c>
      <c r="C837" s="2042" t="s">
        <v>334</v>
      </c>
      <c r="D837" s="2043">
        <v>1472530</v>
      </c>
      <c r="E837" s="2043">
        <v>1606783</v>
      </c>
    </row>
    <row r="838" spans="1:5" ht="14.5">
      <c r="A838" s="2042" t="s">
        <v>3192</v>
      </c>
      <c r="B838" s="380" t="str">
        <f t="shared" si="13"/>
        <v>205-901</v>
      </c>
      <c r="C838" s="2042" t="s">
        <v>2282</v>
      </c>
      <c r="D838" s="2043">
        <v>1353000</v>
      </c>
      <c r="E838" s="2043">
        <v>249500</v>
      </c>
    </row>
    <row r="839" spans="1:5" ht="14.5">
      <c r="A839" s="2042" t="s">
        <v>5247</v>
      </c>
      <c r="B839" s="380" t="str">
        <f t="shared" si="13"/>
        <v>205-902</v>
      </c>
      <c r="C839" s="2042" t="s">
        <v>335</v>
      </c>
      <c r="D839" s="2043">
        <v>9311689</v>
      </c>
      <c r="E839" s="2043">
        <v>3656494</v>
      </c>
    </row>
    <row r="840" spans="1:5" ht="14.5">
      <c r="A840" s="2042" t="s">
        <v>5248</v>
      </c>
      <c r="B840" s="380" t="str">
        <f t="shared" si="13"/>
        <v>205-903</v>
      </c>
      <c r="C840" s="2042" t="s">
        <v>336</v>
      </c>
      <c r="D840" s="2043">
        <v>3609600</v>
      </c>
      <c r="E840" s="2043">
        <v>586150</v>
      </c>
    </row>
    <row r="841" spans="1:5" ht="14.5">
      <c r="A841" s="2042" t="s">
        <v>3193</v>
      </c>
      <c r="B841" s="380" t="str">
        <f t="shared" si="13"/>
        <v>205-904</v>
      </c>
      <c r="C841" s="2042" t="s">
        <v>1953</v>
      </c>
      <c r="D841" s="2043">
        <v>1739525</v>
      </c>
      <c r="E841" s="2043">
        <v>1316987</v>
      </c>
    </row>
    <row r="842" spans="1:5" ht="14.5">
      <c r="A842" s="2042" t="s">
        <v>3194</v>
      </c>
      <c r="B842" s="380" t="str">
        <f t="shared" si="13"/>
        <v>205-905</v>
      </c>
      <c r="C842" s="2042" t="s">
        <v>246</v>
      </c>
      <c r="D842" s="2043">
        <v>1697162</v>
      </c>
      <c r="E842" s="2043">
        <v>1697162</v>
      </c>
    </row>
    <row r="843" spans="1:5" ht="14.5">
      <c r="A843" s="2042" t="s">
        <v>3195</v>
      </c>
      <c r="B843" s="380" t="str">
        <f t="shared" si="13"/>
        <v>205-906</v>
      </c>
      <c r="C843" s="2042" t="s">
        <v>253</v>
      </c>
      <c r="D843" s="2043">
        <v>1819672</v>
      </c>
      <c r="E843" s="2043">
        <v>1819672</v>
      </c>
    </row>
    <row r="844" spans="1:5" ht="14.5">
      <c r="A844" s="2042" t="s">
        <v>3196</v>
      </c>
      <c r="B844" s="380" t="str">
        <f t="shared" si="13"/>
        <v>205-907</v>
      </c>
      <c r="C844" s="2042" t="s">
        <v>564</v>
      </c>
      <c r="D844" s="2043">
        <v>1563777</v>
      </c>
      <c r="E844" s="2043">
        <v>1563777</v>
      </c>
    </row>
    <row r="845" spans="1:5" ht="14.5">
      <c r="A845" s="2042" t="s">
        <v>3197</v>
      </c>
      <c r="B845" s="380" t="str">
        <f t="shared" si="13"/>
        <v>206-901</v>
      </c>
      <c r="C845" s="2042" t="s">
        <v>1319</v>
      </c>
      <c r="D845" s="2043">
        <v>516044</v>
      </c>
      <c r="E845" s="2043">
        <v>516044</v>
      </c>
    </row>
    <row r="846" spans="1:5" ht="14.5">
      <c r="A846" s="2042" t="s">
        <v>5875</v>
      </c>
      <c r="B846" s="380" t="str">
        <f t="shared" si="13"/>
        <v>206-902</v>
      </c>
      <c r="C846" s="2042" t="s">
        <v>337</v>
      </c>
      <c r="D846" s="2043">
        <v>156250</v>
      </c>
      <c r="E846" s="2043">
        <v>0</v>
      </c>
    </row>
    <row r="847" spans="1:5" ht="14.5">
      <c r="A847" s="2042" t="s">
        <v>5876</v>
      </c>
      <c r="B847" s="380" t="str">
        <f t="shared" si="13"/>
        <v>206-903</v>
      </c>
      <c r="C847" s="2042" t="s">
        <v>338</v>
      </c>
      <c r="D847" s="2043">
        <v>0</v>
      </c>
      <c r="E847" s="2043">
        <v>0</v>
      </c>
    </row>
    <row r="848" spans="1:5" ht="14.5">
      <c r="A848" s="2042" t="s">
        <v>5877</v>
      </c>
      <c r="B848" s="380" t="str">
        <f t="shared" si="13"/>
        <v>207-901</v>
      </c>
      <c r="C848" s="2042" t="s">
        <v>339</v>
      </c>
      <c r="D848" s="2043">
        <v>0</v>
      </c>
      <c r="E848" s="2043">
        <v>0</v>
      </c>
    </row>
    <row r="849" spans="1:5" ht="14.5">
      <c r="A849" s="2042" t="s">
        <v>5249</v>
      </c>
      <c r="B849" s="380" t="str">
        <f t="shared" si="13"/>
        <v>208-901</v>
      </c>
      <c r="C849" s="2042" t="s">
        <v>340</v>
      </c>
      <c r="D849" s="2043">
        <v>718474</v>
      </c>
      <c r="E849" s="2043">
        <v>718474</v>
      </c>
    </row>
    <row r="850" spans="1:5" ht="14.5">
      <c r="A850" s="2042" t="s">
        <v>5250</v>
      </c>
      <c r="B850" s="380" t="str">
        <f t="shared" si="13"/>
        <v>208-902</v>
      </c>
      <c r="C850" s="2042" t="s">
        <v>341</v>
      </c>
      <c r="D850" s="2043">
        <v>1750295</v>
      </c>
      <c r="E850" s="2043">
        <v>1917750</v>
      </c>
    </row>
    <row r="851" spans="1:5" ht="14.5">
      <c r="A851" s="2042" t="s">
        <v>5251</v>
      </c>
      <c r="B851" s="380" t="str">
        <f t="shared" si="13"/>
        <v>208-903</v>
      </c>
      <c r="C851" s="2042" t="s">
        <v>342</v>
      </c>
      <c r="D851" s="2043">
        <v>774344</v>
      </c>
      <c r="E851" s="2043">
        <v>774344</v>
      </c>
    </row>
    <row r="852" spans="1:5" ht="14.5">
      <c r="A852" s="2042" t="s">
        <v>5878</v>
      </c>
      <c r="B852" s="380" t="str">
        <f t="shared" si="13"/>
        <v>209-901</v>
      </c>
      <c r="C852" s="2042" t="s">
        <v>343</v>
      </c>
      <c r="D852" s="2043">
        <v>0</v>
      </c>
      <c r="E852" s="2043">
        <v>0</v>
      </c>
    </row>
    <row r="853" spans="1:5" ht="14.5">
      <c r="A853" s="2042" t="s">
        <v>5879</v>
      </c>
      <c r="B853" s="380" t="str">
        <f t="shared" si="13"/>
        <v>209-902</v>
      </c>
      <c r="C853" s="2042" t="s">
        <v>344</v>
      </c>
      <c r="D853" s="2043">
        <v>0</v>
      </c>
      <c r="E853" s="2043">
        <v>0</v>
      </c>
    </row>
    <row r="854" spans="1:5" ht="14.5">
      <c r="A854" s="2042" t="s">
        <v>3198</v>
      </c>
      <c r="B854" s="380" t="str">
        <f t="shared" si="13"/>
        <v>210-901</v>
      </c>
      <c r="C854" s="2042" t="s">
        <v>1679</v>
      </c>
      <c r="D854" s="2043">
        <v>2089200</v>
      </c>
      <c r="E854" s="2043">
        <v>1236700</v>
      </c>
    </row>
    <row r="855" spans="1:5" ht="14.5">
      <c r="A855" s="2042" t="s">
        <v>5252</v>
      </c>
      <c r="B855" s="380" t="str">
        <f t="shared" si="13"/>
        <v>210-902</v>
      </c>
      <c r="C855" s="2042" t="s">
        <v>1680</v>
      </c>
      <c r="D855" s="2043">
        <v>887373</v>
      </c>
      <c r="E855" s="2043">
        <v>1043478</v>
      </c>
    </row>
    <row r="856" spans="1:5" ht="14.5">
      <c r="A856" s="2042" t="s">
        <v>3199</v>
      </c>
      <c r="B856" s="380" t="str">
        <f t="shared" si="13"/>
        <v>210-903</v>
      </c>
      <c r="C856" s="2042" t="s">
        <v>1177</v>
      </c>
      <c r="D856" s="2043">
        <v>154950</v>
      </c>
      <c r="E856" s="2043">
        <v>154950</v>
      </c>
    </row>
    <row r="857" spans="1:5" ht="14.5">
      <c r="A857" s="2042" t="s">
        <v>5253</v>
      </c>
      <c r="B857" s="380" t="str">
        <f t="shared" si="13"/>
        <v>210-904</v>
      </c>
      <c r="C857" s="2042" t="s">
        <v>1681</v>
      </c>
      <c r="D857" s="2043">
        <v>233600</v>
      </c>
      <c r="E857" s="2043">
        <v>233600</v>
      </c>
    </row>
    <row r="858" spans="1:5" ht="14.5">
      <c r="A858" s="2042" t="s">
        <v>5880</v>
      </c>
      <c r="B858" s="380" t="str">
        <f t="shared" si="13"/>
        <v>210-905</v>
      </c>
      <c r="C858" s="2042" t="s">
        <v>1682</v>
      </c>
      <c r="D858" s="2043">
        <v>528512</v>
      </c>
      <c r="E858" s="2043">
        <v>0</v>
      </c>
    </row>
    <row r="859" spans="1:5" ht="14.5">
      <c r="A859" s="2042" t="s">
        <v>5881</v>
      </c>
      <c r="B859" s="380" t="str">
        <f t="shared" si="13"/>
        <v>210-906</v>
      </c>
      <c r="C859" s="2042" t="s">
        <v>1683</v>
      </c>
      <c r="D859" s="2043">
        <v>0</v>
      </c>
      <c r="E859" s="2043">
        <v>0</v>
      </c>
    </row>
    <row r="860" spans="1:5" ht="14.5">
      <c r="A860" s="2042" t="s">
        <v>5254</v>
      </c>
      <c r="B860" s="380" t="str">
        <f t="shared" si="13"/>
        <v>211-901</v>
      </c>
      <c r="C860" s="2042" t="s">
        <v>1684</v>
      </c>
      <c r="D860" s="2043">
        <v>0</v>
      </c>
      <c r="E860" s="2043">
        <v>0</v>
      </c>
    </row>
    <row r="861" spans="1:5" ht="14.5">
      <c r="A861" s="2042" t="s">
        <v>5882</v>
      </c>
      <c r="B861" s="380" t="str">
        <f t="shared" si="13"/>
        <v>211-902</v>
      </c>
      <c r="C861" s="2042" t="s">
        <v>1881</v>
      </c>
      <c r="D861" s="2043">
        <v>435350</v>
      </c>
      <c r="E861" s="2043">
        <v>0</v>
      </c>
    </row>
    <row r="862" spans="1:5" ht="14.5">
      <c r="A862" s="2042" t="s">
        <v>3200</v>
      </c>
      <c r="B862" s="380" t="str">
        <f t="shared" si="13"/>
        <v>212-901</v>
      </c>
      <c r="C862" s="2042" t="s">
        <v>1996</v>
      </c>
      <c r="D862" s="2043">
        <v>1171763</v>
      </c>
      <c r="E862" s="2043">
        <v>980369</v>
      </c>
    </row>
    <row r="863" spans="1:5" ht="14.5">
      <c r="A863" s="2042" t="s">
        <v>5255</v>
      </c>
      <c r="B863" s="380" t="str">
        <f t="shared" si="13"/>
        <v>212-902</v>
      </c>
      <c r="C863" s="2042" t="s">
        <v>1882</v>
      </c>
      <c r="D863" s="2043">
        <v>4452025</v>
      </c>
      <c r="E863" s="2043">
        <v>4452025</v>
      </c>
    </row>
    <row r="864" spans="1:5" ht="14.5">
      <c r="A864" s="2042" t="s">
        <v>3201</v>
      </c>
      <c r="B864" s="380" t="str">
        <f t="shared" si="13"/>
        <v>212-903</v>
      </c>
      <c r="C864" s="2042" t="s">
        <v>1883</v>
      </c>
      <c r="D864" s="2043">
        <v>6168337</v>
      </c>
      <c r="E864" s="2043">
        <v>4035612</v>
      </c>
    </row>
    <row r="865" spans="1:5" ht="14.5">
      <c r="A865" s="2042" t="s">
        <v>5256</v>
      </c>
      <c r="B865" s="380" t="str">
        <f t="shared" si="13"/>
        <v>212-904</v>
      </c>
      <c r="C865" s="2042" t="s">
        <v>1884</v>
      </c>
      <c r="D865" s="2043">
        <v>485455</v>
      </c>
      <c r="E865" s="2043">
        <v>485455</v>
      </c>
    </row>
    <row r="866" spans="1:5" ht="14.5">
      <c r="A866" s="2042" t="s">
        <v>5257</v>
      </c>
      <c r="B866" s="380" t="str">
        <f t="shared" si="13"/>
        <v>212-905</v>
      </c>
      <c r="C866" s="2042" t="s">
        <v>1885</v>
      </c>
      <c r="D866" s="2043">
        <v>28425268</v>
      </c>
      <c r="E866" s="2043">
        <v>18179793</v>
      </c>
    </row>
    <row r="867" spans="1:5" ht="14.5">
      <c r="A867" s="2042" t="s">
        <v>3202</v>
      </c>
      <c r="B867" s="380" t="str">
        <f t="shared" si="13"/>
        <v>212-906</v>
      </c>
      <c r="C867" s="2042" t="s">
        <v>1258</v>
      </c>
      <c r="D867" s="2043">
        <v>7340750</v>
      </c>
      <c r="E867" s="2043">
        <v>2404525</v>
      </c>
    </row>
    <row r="868" spans="1:5" ht="14.5">
      <c r="A868" s="2042" t="s">
        <v>3203</v>
      </c>
      <c r="B868" s="380" t="str">
        <f t="shared" si="13"/>
        <v>212-909</v>
      </c>
      <c r="C868" s="2042" t="s">
        <v>619</v>
      </c>
      <c r="D868" s="2043">
        <v>1411194</v>
      </c>
      <c r="E868" s="2043">
        <v>1411194</v>
      </c>
    </row>
    <row r="869" spans="1:5" ht="14.5">
      <c r="A869" s="2042" t="s">
        <v>5258</v>
      </c>
      <c r="B869" s="380" t="str">
        <f t="shared" si="13"/>
        <v>212-910</v>
      </c>
      <c r="C869" s="2042" t="s">
        <v>1886</v>
      </c>
      <c r="D869" s="2043">
        <v>1568332</v>
      </c>
      <c r="E869" s="2043">
        <v>1568332</v>
      </c>
    </row>
    <row r="870" spans="1:5" ht="14.5">
      <c r="A870" s="2042" t="s">
        <v>5259</v>
      </c>
      <c r="B870" s="380" t="str">
        <f t="shared" si="13"/>
        <v>213-901</v>
      </c>
      <c r="C870" s="2042" t="s">
        <v>1887</v>
      </c>
      <c r="D870" s="2043">
        <v>2264700</v>
      </c>
      <c r="E870" s="2043">
        <v>2448717</v>
      </c>
    </row>
    <row r="871" spans="1:5" ht="14.5">
      <c r="A871" s="2042" t="s">
        <v>3204</v>
      </c>
      <c r="B871" s="380" t="str">
        <f t="shared" si="13"/>
        <v>214-901</v>
      </c>
      <c r="C871" s="2042" t="s">
        <v>2546</v>
      </c>
      <c r="D871" s="2043">
        <v>7723840</v>
      </c>
      <c r="E871" s="2043">
        <v>7723840</v>
      </c>
    </row>
    <row r="872" spans="1:5" ht="14.5">
      <c r="A872" s="2042" t="s">
        <v>5260</v>
      </c>
      <c r="B872" s="380" t="str">
        <f t="shared" si="13"/>
        <v>214-902</v>
      </c>
      <c r="C872" s="2042" t="s">
        <v>1888</v>
      </c>
      <c r="D872" s="2043">
        <v>185776</v>
      </c>
      <c r="E872" s="2043">
        <v>185776</v>
      </c>
    </row>
    <row r="873" spans="1:5" ht="14.5">
      <c r="A873" s="2042" t="s">
        <v>3205</v>
      </c>
      <c r="B873" s="380" t="str">
        <f t="shared" si="13"/>
        <v>214-903</v>
      </c>
      <c r="C873" s="2042" t="s">
        <v>571</v>
      </c>
      <c r="D873" s="2043">
        <v>6026831</v>
      </c>
      <c r="E873" s="2043">
        <v>4714281</v>
      </c>
    </row>
    <row r="874" spans="1:5" ht="14.5">
      <c r="A874" s="2042" t="s">
        <v>5261</v>
      </c>
      <c r="B874" s="380" t="str">
        <f t="shared" si="13"/>
        <v>215-901</v>
      </c>
      <c r="C874" s="2042" t="s">
        <v>1889</v>
      </c>
      <c r="D874" s="2043">
        <v>600900</v>
      </c>
      <c r="E874" s="2043">
        <v>600900</v>
      </c>
    </row>
    <row r="875" spans="1:5" ht="14.5">
      <c r="A875" s="2042" t="s">
        <v>5262</v>
      </c>
      <c r="B875" s="380" t="str">
        <f t="shared" si="13"/>
        <v>216-901</v>
      </c>
      <c r="C875" s="2042" t="s">
        <v>2421</v>
      </c>
      <c r="D875" s="2043">
        <v>2091075</v>
      </c>
      <c r="E875" s="2043">
        <v>1287454</v>
      </c>
    </row>
    <row r="876" spans="1:5" ht="14.5">
      <c r="A876" s="2042" t="s">
        <v>5263</v>
      </c>
      <c r="B876" s="380" t="str">
        <f t="shared" si="13"/>
        <v>217-901</v>
      </c>
      <c r="C876" s="2042" t="s">
        <v>2422</v>
      </c>
      <c r="D876" s="2043">
        <v>358900</v>
      </c>
      <c r="E876" s="2043">
        <v>551954</v>
      </c>
    </row>
    <row r="877" spans="1:5" ht="14.5">
      <c r="A877" s="2042" t="s">
        <v>5264</v>
      </c>
      <c r="B877" s="380" t="str">
        <f t="shared" si="13"/>
        <v>218-901</v>
      </c>
      <c r="C877" s="2042" t="s">
        <v>2423</v>
      </c>
      <c r="D877" s="2043">
        <v>0</v>
      </c>
      <c r="E877" s="2043">
        <v>0</v>
      </c>
    </row>
    <row r="878" spans="1:5" ht="14.5">
      <c r="A878" s="2042" t="s">
        <v>5883</v>
      </c>
      <c r="B878" s="380" t="str">
        <f t="shared" si="13"/>
        <v>219-901</v>
      </c>
      <c r="C878" s="2042" t="s">
        <v>2424</v>
      </c>
      <c r="D878" s="2043">
        <v>0</v>
      </c>
      <c r="E878" s="2043">
        <v>0</v>
      </c>
    </row>
    <row r="879" spans="1:5" ht="14.5">
      <c r="A879" s="2042" t="s">
        <v>5884</v>
      </c>
      <c r="B879" s="380" t="str">
        <f t="shared" si="13"/>
        <v>219-903</v>
      </c>
      <c r="C879" s="2042" t="s">
        <v>2425</v>
      </c>
      <c r="D879" s="2043">
        <v>820300</v>
      </c>
      <c r="E879" s="2043">
        <v>0</v>
      </c>
    </row>
    <row r="880" spans="1:5" ht="14.5">
      <c r="A880" s="2042" t="s">
        <v>5265</v>
      </c>
      <c r="B880" s="380" t="str">
        <f t="shared" si="13"/>
        <v>219-905</v>
      </c>
      <c r="C880" s="2042" t="s">
        <v>2426</v>
      </c>
      <c r="D880" s="2043">
        <v>205450</v>
      </c>
      <c r="E880" s="2043">
        <v>205450</v>
      </c>
    </row>
    <row r="881" spans="1:5" ht="14.5">
      <c r="A881" s="2042" t="s">
        <v>3206</v>
      </c>
      <c r="B881" s="380" t="str">
        <f t="shared" si="13"/>
        <v>220-901</v>
      </c>
      <c r="C881" s="2042" t="s">
        <v>2283</v>
      </c>
      <c r="D881" s="2043">
        <v>69459803</v>
      </c>
      <c r="E881" s="2043">
        <v>56381762</v>
      </c>
    </row>
    <row r="882" spans="1:5" ht="14.5">
      <c r="A882" s="2042" t="s">
        <v>3207</v>
      </c>
      <c r="B882" s="380" t="str">
        <f t="shared" si="13"/>
        <v>220-902</v>
      </c>
      <c r="C882" s="2042" t="s">
        <v>752</v>
      </c>
      <c r="D882" s="2043">
        <v>39136125</v>
      </c>
      <c r="E882" s="2043">
        <v>29343625</v>
      </c>
    </row>
    <row r="883" spans="1:5" ht="14.5">
      <c r="A883" s="2042" t="s">
        <v>3208</v>
      </c>
      <c r="B883" s="380" t="str">
        <f t="shared" si="13"/>
        <v>220-904</v>
      </c>
      <c r="C883" s="2042" t="s">
        <v>2427</v>
      </c>
      <c r="D883" s="2043">
        <v>5006795</v>
      </c>
      <c r="E883" s="2043">
        <v>6272536</v>
      </c>
    </row>
    <row r="884" spans="1:5" ht="14.5">
      <c r="A884" s="2042" t="s">
        <v>5266</v>
      </c>
      <c r="B884" s="380" t="str">
        <f t="shared" si="13"/>
        <v>220-905</v>
      </c>
      <c r="C884" s="2042" t="s">
        <v>1203</v>
      </c>
      <c r="D884" s="2043">
        <v>97097937</v>
      </c>
      <c r="E884" s="2043">
        <v>71415612</v>
      </c>
    </row>
    <row r="885" spans="1:5" ht="14.5">
      <c r="A885" s="2042" t="s">
        <v>5267</v>
      </c>
      <c r="B885" s="380" t="str">
        <f t="shared" si="13"/>
        <v>220-906</v>
      </c>
      <c r="C885" s="2042" t="s">
        <v>1204</v>
      </c>
      <c r="D885" s="2043">
        <v>45962962</v>
      </c>
      <c r="E885" s="2043">
        <v>31342137</v>
      </c>
    </row>
    <row r="886" spans="1:5" ht="14.5">
      <c r="A886" s="2042" t="s">
        <v>3209</v>
      </c>
      <c r="B886" s="380" t="str">
        <f t="shared" si="13"/>
        <v>220-907</v>
      </c>
      <c r="C886" s="2042" t="s">
        <v>390</v>
      </c>
      <c r="D886" s="2043">
        <v>51432368</v>
      </c>
      <c r="E886" s="2043">
        <v>63023463</v>
      </c>
    </row>
    <row r="887" spans="1:5" ht="14.5">
      <c r="A887" s="2042" t="s">
        <v>3210</v>
      </c>
      <c r="B887" s="380" t="str">
        <f t="shared" si="13"/>
        <v>220-908</v>
      </c>
      <c r="C887" s="2042" t="s">
        <v>275</v>
      </c>
      <c r="D887" s="2043">
        <v>42721055</v>
      </c>
      <c r="E887" s="2043">
        <v>56969705</v>
      </c>
    </row>
    <row r="888" spans="1:5" ht="14.5">
      <c r="A888" s="2042" t="s">
        <v>3211</v>
      </c>
      <c r="B888" s="380" t="str">
        <f t="shared" si="13"/>
        <v>220-910</v>
      </c>
      <c r="C888" s="2042" t="s">
        <v>2177</v>
      </c>
      <c r="D888" s="2043">
        <v>5323706</v>
      </c>
      <c r="E888" s="2043">
        <v>3307906</v>
      </c>
    </row>
    <row r="889" spans="1:5" ht="14.5">
      <c r="A889" s="2042" t="s">
        <v>3212</v>
      </c>
      <c r="B889" s="380" t="str">
        <f t="shared" si="13"/>
        <v>220-912</v>
      </c>
      <c r="C889" s="2042" t="s">
        <v>397</v>
      </c>
      <c r="D889" s="2043">
        <v>21170665</v>
      </c>
      <c r="E889" s="2043">
        <v>25791120</v>
      </c>
    </row>
    <row r="890" spans="1:5" ht="14.5">
      <c r="A890" s="2042" t="s">
        <v>3213</v>
      </c>
      <c r="B890" s="380" t="str">
        <f t="shared" si="13"/>
        <v>220-914</v>
      </c>
      <c r="C890" s="2042" t="s">
        <v>2376</v>
      </c>
      <c r="D890" s="2043">
        <v>3094775</v>
      </c>
      <c r="E890" s="2043">
        <v>3094775</v>
      </c>
    </row>
    <row r="891" spans="1:5" ht="14.5">
      <c r="A891" s="2042" t="s">
        <v>3214</v>
      </c>
      <c r="B891" s="380" t="str">
        <f t="shared" si="13"/>
        <v>220-915</v>
      </c>
      <c r="C891" s="2042" t="s">
        <v>2000</v>
      </c>
      <c r="D891" s="2043">
        <v>6721225</v>
      </c>
      <c r="E891" s="2043">
        <v>3930125</v>
      </c>
    </row>
    <row r="892" spans="1:5" ht="14.5">
      <c r="A892" s="2042" t="s">
        <v>3215</v>
      </c>
      <c r="B892" s="380" t="str">
        <f t="shared" si="13"/>
        <v>220-916</v>
      </c>
      <c r="C892" s="2042" t="s">
        <v>1193</v>
      </c>
      <c r="D892" s="2043">
        <v>30538912</v>
      </c>
      <c r="E892" s="2043">
        <v>25275837</v>
      </c>
    </row>
    <row r="893" spans="1:5" ht="14.5">
      <c r="A893" s="2042" t="s">
        <v>3216</v>
      </c>
      <c r="B893" s="380" t="str">
        <f t="shared" si="13"/>
        <v>220-917</v>
      </c>
      <c r="C893" s="2042" t="s">
        <v>616</v>
      </c>
      <c r="D893" s="2043">
        <v>3000554</v>
      </c>
      <c r="E893" s="2043">
        <v>3267434</v>
      </c>
    </row>
    <row r="894" spans="1:5" ht="14.5">
      <c r="A894" s="2042" t="s">
        <v>3217</v>
      </c>
      <c r="B894" s="380" t="str">
        <f t="shared" si="13"/>
        <v>220-918</v>
      </c>
      <c r="C894" s="2042" t="s">
        <v>1205</v>
      </c>
      <c r="D894" s="2043">
        <v>34430466</v>
      </c>
      <c r="E894" s="2043">
        <v>38184175</v>
      </c>
    </row>
    <row r="895" spans="1:5" ht="14.5">
      <c r="A895" s="2042" t="s">
        <v>4710</v>
      </c>
      <c r="B895" s="380" t="str">
        <f t="shared" si="13"/>
        <v>220-919</v>
      </c>
      <c r="C895" s="2042" t="s">
        <v>615</v>
      </c>
      <c r="D895" s="2043">
        <v>26818216</v>
      </c>
      <c r="E895" s="2043">
        <v>17637974</v>
      </c>
    </row>
    <row r="896" spans="1:5" ht="14.5">
      <c r="A896" s="2042" t="s">
        <v>3218</v>
      </c>
      <c r="B896" s="380" t="str">
        <f t="shared" si="13"/>
        <v>220-920</v>
      </c>
      <c r="C896" s="2042" t="s">
        <v>1257</v>
      </c>
      <c r="D896" s="2043">
        <v>5848305</v>
      </c>
      <c r="E896" s="2043">
        <v>10860187</v>
      </c>
    </row>
    <row r="897" spans="1:5" ht="14.5">
      <c r="A897" s="2042" t="s">
        <v>5268</v>
      </c>
      <c r="B897" s="380" t="str">
        <f t="shared" si="13"/>
        <v>221-901</v>
      </c>
      <c r="C897" s="2042" t="s">
        <v>1206</v>
      </c>
      <c r="D897" s="2043">
        <v>8672712</v>
      </c>
      <c r="E897" s="2043">
        <v>8672712</v>
      </c>
    </row>
    <row r="898" spans="1:5" ht="14.5">
      <c r="A898" s="2042" t="s">
        <v>5269</v>
      </c>
      <c r="B898" s="380" t="str">
        <f t="shared" si="13"/>
        <v>221-904</v>
      </c>
      <c r="C898" s="2042" t="s">
        <v>1207</v>
      </c>
      <c r="D898" s="2043">
        <v>945181</v>
      </c>
      <c r="E898" s="2043">
        <v>945181</v>
      </c>
    </row>
    <row r="899" spans="1:5" ht="14.5">
      <c r="A899" s="2042" t="s">
        <v>5270</v>
      </c>
      <c r="B899" s="380" t="str">
        <f t="shared" ref="B899:B962" si="14">CONCATENATE(LEFT(RIGHT(CONCATENATE("000",A899),6),3),"-",(RIGHT(RIGHT(CONCATENATE("000",A899),6),3)))</f>
        <v>221-905</v>
      </c>
      <c r="C899" s="2042" t="s">
        <v>1208</v>
      </c>
      <c r="D899" s="2043">
        <v>486351</v>
      </c>
      <c r="E899" s="2043">
        <v>486351</v>
      </c>
    </row>
    <row r="900" spans="1:5" ht="14.5">
      <c r="A900" s="2042" t="s">
        <v>5271</v>
      </c>
      <c r="B900" s="380" t="str">
        <f t="shared" si="14"/>
        <v>221-911</v>
      </c>
      <c r="C900" s="2042" t="s">
        <v>2210</v>
      </c>
      <c r="D900" s="2043">
        <v>817525</v>
      </c>
      <c r="E900" s="2043">
        <v>557875</v>
      </c>
    </row>
    <row r="901" spans="1:5" ht="14.5">
      <c r="A901" s="2042" t="s">
        <v>5272</v>
      </c>
      <c r="B901" s="380" t="str">
        <f t="shared" si="14"/>
        <v>221-912</v>
      </c>
      <c r="C901" s="2042" t="s">
        <v>1065</v>
      </c>
      <c r="D901" s="2043">
        <v>4851319</v>
      </c>
      <c r="E901" s="2043">
        <v>1681619</v>
      </c>
    </row>
    <row r="902" spans="1:5" ht="14.5">
      <c r="A902" s="2042" t="s">
        <v>5273</v>
      </c>
      <c r="B902" s="380" t="str">
        <f t="shared" si="14"/>
        <v>222-901</v>
      </c>
      <c r="C902" s="2042" t="s">
        <v>1210</v>
      </c>
      <c r="D902" s="2043">
        <v>397128</v>
      </c>
      <c r="E902" s="2043">
        <v>928503</v>
      </c>
    </row>
    <row r="903" spans="1:5" ht="14.5">
      <c r="A903" s="2042" t="s">
        <v>5274</v>
      </c>
      <c r="B903" s="380" t="str">
        <f t="shared" si="14"/>
        <v>223-901</v>
      </c>
      <c r="C903" s="2042" t="s">
        <v>288</v>
      </c>
      <c r="D903" s="2043">
        <v>759275</v>
      </c>
      <c r="E903" s="2043">
        <v>759275</v>
      </c>
    </row>
    <row r="904" spans="1:5" ht="14.5">
      <c r="A904" s="2042" t="s">
        <v>3219</v>
      </c>
      <c r="B904" s="380" t="str">
        <f t="shared" si="14"/>
        <v>223-902</v>
      </c>
      <c r="C904" s="2042" t="s">
        <v>776</v>
      </c>
      <c r="D904" s="2043">
        <v>86400</v>
      </c>
      <c r="E904" s="2043">
        <v>86400</v>
      </c>
    </row>
    <row r="905" spans="1:5" ht="14.5">
      <c r="A905" s="2042" t="s">
        <v>5275</v>
      </c>
      <c r="B905" s="380" t="str">
        <f t="shared" si="14"/>
        <v>223-904</v>
      </c>
      <c r="C905" s="2042" t="s">
        <v>2211</v>
      </c>
      <c r="D905" s="2043">
        <v>245438</v>
      </c>
      <c r="E905" s="2043">
        <v>860766</v>
      </c>
    </row>
    <row r="906" spans="1:5" ht="14.5">
      <c r="A906" s="2042" t="s">
        <v>5885</v>
      </c>
      <c r="B906" s="380" t="str">
        <f t="shared" si="14"/>
        <v>224-901</v>
      </c>
      <c r="C906" s="2042" t="s">
        <v>599</v>
      </c>
      <c r="D906" s="2043">
        <v>0</v>
      </c>
      <c r="E906" s="2043">
        <v>0</v>
      </c>
    </row>
    <row r="907" spans="1:5" ht="14.5">
      <c r="A907" s="2042" t="s">
        <v>5886</v>
      </c>
      <c r="B907" s="380" t="str">
        <f t="shared" si="14"/>
        <v>224-902</v>
      </c>
      <c r="C907" s="2042" t="s">
        <v>600</v>
      </c>
      <c r="D907" s="2043">
        <v>0</v>
      </c>
      <c r="E907" s="2043">
        <v>0</v>
      </c>
    </row>
    <row r="908" spans="1:5" ht="14.5">
      <c r="A908" s="2042" t="s">
        <v>5276</v>
      </c>
      <c r="B908" s="380" t="str">
        <f t="shared" si="14"/>
        <v>225-902</v>
      </c>
      <c r="C908" s="2042" t="s">
        <v>601</v>
      </c>
      <c r="D908" s="2043">
        <v>5226737</v>
      </c>
      <c r="E908" s="2043">
        <v>2930452</v>
      </c>
    </row>
    <row r="909" spans="1:5" ht="14.5">
      <c r="A909" s="2042" t="s">
        <v>3220</v>
      </c>
      <c r="B909" s="380" t="str">
        <f t="shared" si="14"/>
        <v>225-906</v>
      </c>
      <c r="C909" s="2042" t="s">
        <v>619</v>
      </c>
      <c r="D909" s="2043">
        <v>701766</v>
      </c>
      <c r="E909" s="2043">
        <v>701766</v>
      </c>
    </row>
    <row r="910" spans="1:5" ht="14.5">
      <c r="A910" s="2042" t="s">
        <v>5887</v>
      </c>
      <c r="B910" s="380" t="str">
        <f t="shared" si="14"/>
        <v>225-907</v>
      </c>
      <c r="C910" s="2042" t="s">
        <v>1572</v>
      </c>
      <c r="D910" s="2043">
        <v>0</v>
      </c>
      <c r="E910" s="2043">
        <v>0</v>
      </c>
    </row>
    <row r="911" spans="1:5" ht="14.5">
      <c r="A911" s="2042" t="s">
        <v>5277</v>
      </c>
      <c r="B911" s="380" t="str">
        <f t="shared" si="14"/>
        <v>226-901</v>
      </c>
      <c r="C911" s="2042" t="s">
        <v>1799</v>
      </c>
      <c r="D911" s="2043">
        <v>87888</v>
      </c>
      <c r="E911" s="2043">
        <v>0</v>
      </c>
    </row>
    <row r="912" spans="1:5" ht="14.5">
      <c r="A912" s="2042" t="s">
        <v>3221</v>
      </c>
      <c r="B912" s="380" t="str">
        <f t="shared" si="14"/>
        <v>226-903</v>
      </c>
      <c r="C912" s="2042" t="s">
        <v>1914</v>
      </c>
      <c r="D912" s="2043">
        <v>6134725</v>
      </c>
      <c r="E912" s="2043">
        <v>9132389</v>
      </c>
    </row>
    <row r="913" spans="1:5" ht="14.5">
      <c r="A913" s="2042" t="s">
        <v>5278</v>
      </c>
      <c r="B913" s="380" t="str">
        <f t="shared" si="14"/>
        <v>226-905</v>
      </c>
      <c r="C913" s="2042" t="s">
        <v>1800</v>
      </c>
      <c r="D913" s="2043">
        <v>204941</v>
      </c>
      <c r="E913" s="2043">
        <v>204941</v>
      </c>
    </row>
    <row r="914" spans="1:5" ht="14.5">
      <c r="A914" s="2042" t="s">
        <v>3222</v>
      </c>
      <c r="B914" s="380" t="str">
        <f t="shared" si="14"/>
        <v>226-906</v>
      </c>
      <c r="C914" s="2042" t="s">
        <v>128</v>
      </c>
      <c r="D914" s="2043">
        <v>1200362</v>
      </c>
      <c r="E914" s="2043">
        <v>0</v>
      </c>
    </row>
    <row r="915" spans="1:5" ht="14.5">
      <c r="A915" s="2042" t="s">
        <v>3223</v>
      </c>
      <c r="B915" s="380" t="str">
        <f t="shared" si="14"/>
        <v>226-907</v>
      </c>
      <c r="C915" s="2042" t="s">
        <v>1635</v>
      </c>
      <c r="D915" s="2043">
        <v>1078550</v>
      </c>
      <c r="E915" s="2043">
        <v>652800</v>
      </c>
    </row>
    <row r="916" spans="1:5" ht="14.5">
      <c r="A916" s="2042" t="s">
        <v>3224</v>
      </c>
      <c r="B916" s="380" t="str">
        <f t="shared" si="14"/>
        <v>226-908</v>
      </c>
      <c r="C916" s="2042" t="s">
        <v>2500</v>
      </c>
      <c r="D916" s="2043">
        <v>97900</v>
      </c>
      <c r="E916" s="2043">
        <v>97900</v>
      </c>
    </row>
    <row r="917" spans="1:5" ht="14.5">
      <c r="A917" s="2042" t="s">
        <v>8085</v>
      </c>
      <c r="B917" s="380" t="str">
        <f t="shared" si="14"/>
        <v>227-622</v>
      </c>
      <c r="C917" s="2042" t="s">
        <v>8086</v>
      </c>
      <c r="D917" s="2043">
        <v>0</v>
      </c>
      <c r="E917" s="2043">
        <v>0</v>
      </c>
    </row>
    <row r="918" spans="1:5" ht="14.5">
      <c r="A918" s="2042" t="s">
        <v>5279</v>
      </c>
      <c r="B918" s="380" t="str">
        <f t="shared" si="14"/>
        <v>227-901</v>
      </c>
      <c r="C918" s="2042" t="s">
        <v>1801</v>
      </c>
      <c r="D918" s="2043">
        <v>73812206</v>
      </c>
      <c r="E918" s="2043">
        <v>58353768</v>
      </c>
    </row>
    <row r="919" spans="1:5" ht="14.5">
      <c r="A919" s="2042" t="s">
        <v>3225</v>
      </c>
      <c r="B919" s="380" t="str">
        <f t="shared" si="14"/>
        <v>227-904</v>
      </c>
      <c r="C919" s="2042" t="s">
        <v>944</v>
      </c>
      <c r="D919" s="2043">
        <v>44920541</v>
      </c>
      <c r="E919" s="2043">
        <v>35730583</v>
      </c>
    </row>
    <row r="920" spans="1:5" ht="14.5">
      <c r="A920" s="2042" t="s">
        <v>8103</v>
      </c>
      <c r="B920" s="380" t="str">
        <f t="shared" si="14"/>
        <v>227-905</v>
      </c>
      <c r="C920" s="2042" t="s">
        <v>8104</v>
      </c>
      <c r="D920" s="2043">
        <v>0</v>
      </c>
      <c r="E920" s="2043">
        <v>0</v>
      </c>
    </row>
    <row r="921" spans="1:5" ht="14.5">
      <c r="A921" s="2042" t="s">
        <v>8105</v>
      </c>
      <c r="B921" s="380" t="str">
        <f t="shared" si="14"/>
        <v>227-906</v>
      </c>
      <c r="C921" s="2042" t="s">
        <v>8106</v>
      </c>
      <c r="D921" s="2043">
        <v>0</v>
      </c>
      <c r="E921" s="2043">
        <v>0</v>
      </c>
    </row>
    <row r="922" spans="1:5" ht="14.5">
      <c r="A922" s="2042" t="s">
        <v>5280</v>
      </c>
      <c r="B922" s="380" t="str">
        <f t="shared" si="14"/>
        <v>227-907</v>
      </c>
      <c r="C922" s="2042" t="s">
        <v>1802</v>
      </c>
      <c r="D922" s="2043">
        <v>18862638</v>
      </c>
      <c r="E922" s="2043">
        <v>18885338</v>
      </c>
    </row>
    <row r="923" spans="1:5" ht="14.5">
      <c r="A923" s="2042" t="s">
        <v>5281</v>
      </c>
      <c r="B923" s="380" t="str">
        <f t="shared" si="14"/>
        <v>227-909</v>
      </c>
      <c r="C923" s="2042" t="s">
        <v>1803</v>
      </c>
      <c r="D923" s="2043">
        <v>14151000</v>
      </c>
      <c r="E923" s="2043">
        <v>18003451</v>
      </c>
    </row>
    <row r="924" spans="1:5" ht="14.5">
      <c r="A924" s="2042" t="s">
        <v>3226</v>
      </c>
      <c r="B924" s="380" t="str">
        <f t="shared" si="14"/>
        <v>227-910</v>
      </c>
      <c r="C924" s="2042" t="s">
        <v>2520</v>
      </c>
      <c r="D924" s="2043">
        <v>11144050</v>
      </c>
      <c r="E924" s="2043">
        <v>6788700</v>
      </c>
    </row>
    <row r="925" spans="1:5" ht="14.5">
      <c r="A925" s="2042" t="s">
        <v>5282</v>
      </c>
      <c r="B925" s="380" t="str">
        <f t="shared" si="14"/>
        <v>227-912</v>
      </c>
      <c r="C925" s="2042" t="s">
        <v>1804</v>
      </c>
      <c r="D925" s="2043">
        <v>3562687</v>
      </c>
      <c r="E925" s="2043">
        <v>3290412</v>
      </c>
    </row>
    <row r="926" spans="1:5" ht="14.5">
      <c r="A926" s="2042" t="s">
        <v>5283</v>
      </c>
      <c r="B926" s="380" t="str">
        <f t="shared" si="14"/>
        <v>227-913</v>
      </c>
      <c r="C926" s="2042" t="s">
        <v>1805</v>
      </c>
      <c r="D926" s="2043">
        <v>26245116</v>
      </c>
      <c r="E926" s="2043">
        <v>17398088</v>
      </c>
    </row>
    <row r="927" spans="1:5" ht="14.5">
      <c r="A927" s="2042" t="s">
        <v>5888</v>
      </c>
      <c r="B927" s="380" t="str">
        <f t="shared" si="14"/>
        <v>228-901</v>
      </c>
      <c r="C927" s="2042" t="s">
        <v>1806</v>
      </c>
      <c r="D927" s="2043">
        <v>0</v>
      </c>
      <c r="E927" s="2043">
        <v>0</v>
      </c>
    </row>
    <row r="928" spans="1:5" ht="14.5">
      <c r="A928" s="2042" t="s">
        <v>5284</v>
      </c>
      <c r="B928" s="380" t="str">
        <f t="shared" si="14"/>
        <v>228-903</v>
      </c>
      <c r="C928" s="2042" t="s">
        <v>1807</v>
      </c>
      <c r="D928" s="2043">
        <v>778813</v>
      </c>
      <c r="E928" s="2043">
        <v>351250</v>
      </c>
    </row>
    <row r="929" spans="1:5" ht="14.5">
      <c r="A929" s="2042" t="s">
        <v>5889</v>
      </c>
      <c r="B929" s="380" t="str">
        <f t="shared" si="14"/>
        <v>228-904</v>
      </c>
      <c r="C929" s="2042" t="s">
        <v>1721</v>
      </c>
      <c r="D929" s="2043">
        <v>0</v>
      </c>
      <c r="E929" s="2043">
        <v>0</v>
      </c>
    </row>
    <row r="930" spans="1:5" ht="14.5">
      <c r="A930" s="2042" t="s">
        <v>5890</v>
      </c>
      <c r="B930" s="380" t="str">
        <f t="shared" si="14"/>
        <v>228-905</v>
      </c>
      <c r="C930" s="2042" t="s">
        <v>1808</v>
      </c>
      <c r="D930" s="2043">
        <v>0</v>
      </c>
      <c r="E930" s="2043">
        <v>0</v>
      </c>
    </row>
    <row r="931" spans="1:5" ht="14.5">
      <c r="A931" s="2042" t="s">
        <v>4736</v>
      </c>
      <c r="B931" s="380" t="str">
        <f t="shared" si="14"/>
        <v>229-901</v>
      </c>
      <c r="C931" s="2042" t="s">
        <v>1457</v>
      </c>
      <c r="D931" s="2043">
        <v>96171</v>
      </c>
      <c r="E931" s="2043">
        <v>96171</v>
      </c>
    </row>
    <row r="932" spans="1:5" ht="14.5">
      <c r="A932" s="2042" t="s">
        <v>5285</v>
      </c>
      <c r="B932" s="380" t="str">
        <f t="shared" si="14"/>
        <v>229-903</v>
      </c>
      <c r="C932" s="2042" t="s">
        <v>1809</v>
      </c>
      <c r="D932" s="2043">
        <v>0</v>
      </c>
      <c r="E932" s="2043">
        <v>0</v>
      </c>
    </row>
    <row r="933" spans="1:5" ht="14.5">
      <c r="A933" s="2042" t="s">
        <v>3227</v>
      </c>
      <c r="B933" s="380" t="str">
        <f t="shared" si="14"/>
        <v>229-904</v>
      </c>
      <c r="C933" s="2042" t="s">
        <v>1810</v>
      </c>
      <c r="D933" s="2043">
        <v>1391310</v>
      </c>
      <c r="E933" s="2043">
        <v>1497065</v>
      </c>
    </row>
    <row r="934" spans="1:5" ht="14.5">
      <c r="A934" s="2042" t="s">
        <v>3228</v>
      </c>
      <c r="B934" s="380" t="str">
        <f t="shared" si="14"/>
        <v>229-905</v>
      </c>
      <c r="C934" s="2042" t="s">
        <v>1831</v>
      </c>
      <c r="D934" s="2043">
        <v>181977</v>
      </c>
      <c r="E934" s="2043">
        <v>181977</v>
      </c>
    </row>
    <row r="935" spans="1:5" ht="14.5">
      <c r="A935" s="2042" t="s">
        <v>3229</v>
      </c>
      <c r="B935" s="380" t="str">
        <f t="shared" si="14"/>
        <v>229-906</v>
      </c>
      <c r="C935" s="2042" t="s">
        <v>2061</v>
      </c>
      <c r="D935" s="2043">
        <v>0</v>
      </c>
      <c r="E935" s="2043">
        <v>0</v>
      </c>
    </row>
    <row r="936" spans="1:5" ht="14.5">
      <c r="A936" s="2042" t="s">
        <v>5286</v>
      </c>
      <c r="B936" s="380" t="str">
        <f t="shared" si="14"/>
        <v>230-901</v>
      </c>
      <c r="C936" s="2042" t="s">
        <v>421</v>
      </c>
      <c r="D936" s="2043">
        <v>497794</v>
      </c>
      <c r="E936" s="2043">
        <v>497794</v>
      </c>
    </row>
    <row r="937" spans="1:5" ht="14.5">
      <c r="A937" s="2042" t="s">
        <v>5287</v>
      </c>
      <c r="B937" s="380" t="str">
        <f t="shared" si="14"/>
        <v>230-902</v>
      </c>
      <c r="C937" s="2042" t="s">
        <v>1811</v>
      </c>
      <c r="D937" s="2043">
        <v>1797338</v>
      </c>
      <c r="E937" s="2043">
        <v>1201788</v>
      </c>
    </row>
    <row r="938" spans="1:5" ht="14.5">
      <c r="A938" s="2042" t="s">
        <v>3230</v>
      </c>
      <c r="B938" s="380" t="str">
        <f t="shared" si="14"/>
        <v>230-903</v>
      </c>
      <c r="C938" s="2042" t="s">
        <v>962</v>
      </c>
      <c r="D938" s="2043">
        <v>587950</v>
      </c>
      <c r="E938" s="2043">
        <v>649550</v>
      </c>
    </row>
    <row r="939" spans="1:5" ht="14.5">
      <c r="A939" s="2042" t="s">
        <v>5891</v>
      </c>
      <c r="B939" s="380" t="str">
        <f t="shared" si="14"/>
        <v>230-904</v>
      </c>
      <c r="C939" s="2042" t="s">
        <v>732</v>
      </c>
      <c r="D939" s="2043">
        <v>0</v>
      </c>
      <c r="E939" s="2043">
        <v>0</v>
      </c>
    </row>
    <row r="940" spans="1:5" ht="14.5">
      <c r="A940" s="2042" t="s">
        <v>3231</v>
      </c>
      <c r="B940" s="380" t="str">
        <f t="shared" si="14"/>
        <v>230-905</v>
      </c>
      <c r="C940" s="2042" t="s">
        <v>781</v>
      </c>
      <c r="D940" s="2043">
        <v>243944</v>
      </c>
      <c r="E940" s="2043">
        <v>243944</v>
      </c>
    </row>
    <row r="941" spans="1:5" ht="14.5">
      <c r="A941" s="2042" t="s">
        <v>3232</v>
      </c>
      <c r="B941" s="380" t="str">
        <f t="shared" si="14"/>
        <v>230-906</v>
      </c>
      <c r="C941" s="2042" t="s">
        <v>1446</v>
      </c>
      <c r="D941" s="2043">
        <v>538818</v>
      </c>
      <c r="E941" s="2043">
        <v>267906</v>
      </c>
    </row>
    <row r="942" spans="1:5" ht="14.5">
      <c r="A942" s="2042" t="s">
        <v>5288</v>
      </c>
      <c r="B942" s="380" t="str">
        <f t="shared" si="14"/>
        <v>230-908</v>
      </c>
      <c r="C942" s="2042" t="s">
        <v>733</v>
      </c>
      <c r="D942" s="2043">
        <v>715537</v>
      </c>
      <c r="E942" s="2043">
        <v>827837</v>
      </c>
    </row>
    <row r="943" spans="1:5" ht="14.5">
      <c r="A943" s="2042" t="s">
        <v>5892</v>
      </c>
      <c r="B943" s="380" t="str">
        <f t="shared" si="14"/>
        <v>231-901</v>
      </c>
      <c r="C943" s="2042" t="s">
        <v>734</v>
      </c>
      <c r="D943" s="2043">
        <v>2952875</v>
      </c>
      <c r="E943" s="2043">
        <v>0</v>
      </c>
    </row>
    <row r="944" spans="1:5" ht="14.5">
      <c r="A944" s="2042" t="s">
        <v>5289</v>
      </c>
      <c r="B944" s="380" t="str">
        <f t="shared" si="14"/>
        <v>231-902</v>
      </c>
      <c r="C944" s="2042" t="s">
        <v>735</v>
      </c>
      <c r="D944" s="2043">
        <v>1341625</v>
      </c>
      <c r="E944" s="2043">
        <v>1341625</v>
      </c>
    </row>
    <row r="945" spans="1:5" ht="14.5">
      <c r="A945" s="2042" t="s">
        <v>3233</v>
      </c>
      <c r="B945" s="380" t="str">
        <f t="shared" si="14"/>
        <v>232-901</v>
      </c>
      <c r="C945" s="2042" t="s">
        <v>2332</v>
      </c>
      <c r="D945" s="2043">
        <v>217780</v>
      </c>
      <c r="E945" s="2043">
        <v>217780</v>
      </c>
    </row>
    <row r="946" spans="1:5" ht="14.5">
      <c r="A946" s="2042" t="s">
        <v>3234</v>
      </c>
      <c r="B946" s="380" t="str">
        <f t="shared" si="14"/>
        <v>232-902</v>
      </c>
      <c r="C946" s="2042" t="s">
        <v>578</v>
      </c>
      <c r="D946" s="2043">
        <v>116872</v>
      </c>
      <c r="E946" s="2043">
        <v>116872</v>
      </c>
    </row>
    <row r="947" spans="1:5" ht="14.5">
      <c r="A947" s="2042" t="s">
        <v>3235</v>
      </c>
      <c r="B947" s="380" t="str">
        <f t="shared" si="14"/>
        <v>232-903</v>
      </c>
      <c r="C947" s="2042" t="s">
        <v>279</v>
      </c>
      <c r="D947" s="2043">
        <v>2626520</v>
      </c>
      <c r="E947" s="2043">
        <v>2626520</v>
      </c>
    </row>
    <row r="948" spans="1:5" ht="14.5">
      <c r="A948" s="2042" t="s">
        <v>5893</v>
      </c>
      <c r="B948" s="380" t="str">
        <f t="shared" si="14"/>
        <v>232-904</v>
      </c>
      <c r="C948" s="2042" t="s">
        <v>585</v>
      </c>
      <c r="D948" s="2043">
        <v>0</v>
      </c>
      <c r="E948" s="2043">
        <v>0</v>
      </c>
    </row>
    <row r="949" spans="1:5" ht="14.5">
      <c r="A949" s="2042" t="s">
        <v>3236</v>
      </c>
      <c r="B949" s="380" t="str">
        <f t="shared" si="14"/>
        <v>233-901</v>
      </c>
      <c r="C949" s="2042" t="s">
        <v>2027</v>
      </c>
      <c r="D949" s="2043">
        <v>4040900</v>
      </c>
      <c r="E949" s="2043">
        <v>4040900</v>
      </c>
    </row>
    <row r="950" spans="1:5" ht="14.5">
      <c r="A950" s="2042" t="s">
        <v>5290</v>
      </c>
      <c r="B950" s="380" t="str">
        <f t="shared" si="14"/>
        <v>233-903</v>
      </c>
      <c r="C950" s="2042" t="s">
        <v>586</v>
      </c>
      <c r="D950" s="2043">
        <v>275138</v>
      </c>
      <c r="E950" s="2043">
        <v>275138</v>
      </c>
    </row>
    <row r="951" spans="1:5" ht="14.5">
      <c r="A951" s="2042" t="s">
        <v>3237</v>
      </c>
      <c r="B951" s="380" t="str">
        <f t="shared" si="14"/>
        <v>234-902</v>
      </c>
      <c r="C951" s="2042" t="s">
        <v>1076</v>
      </c>
      <c r="D951" s="2043">
        <v>2350214</v>
      </c>
      <c r="E951" s="2043">
        <v>2601723</v>
      </c>
    </row>
    <row r="952" spans="1:5" ht="14.5">
      <c r="A952" s="2042" t="s">
        <v>5291</v>
      </c>
      <c r="B952" s="380" t="str">
        <f t="shared" si="14"/>
        <v>234-903</v>
      </c>
      <c r="C952" s="2042" t="s">
        <v>841</v>
      </c>
      <c r="D952" s="2043">
        <v>523675</v>
      </c>
      <c r="E952" s="2043">
        <v>523675</v>
      </c>
    </row>
    <row r="953" spans="1:5" ht="14.5">
      <c r="A953" s="2042" t="s">
        <v>3238</v>
      </c>
      <c r="B953" s="380" t="str">
        <f t="shared" si="14"/>
        <v>234-904</v>
      </c>
      <c r="C953" s="2042" t="s">
        <v>817</v>
      </c>
      <c r="D953" s="2043">
        <v>919788</v>
      </c>
      <c r="E953" s="2043">
        <v>919788</v>
      </c>
    </row>
    <row r="954" spans="1:5" ht="14.5">
      <c r="A954" s="2042" t="s">
        <v>3239</v>
      </c>
      <c r="B954" s="380" t="str">
        <f t="shared" si="14"/>
        <v>234-905</v>
      </c>
      <c r="C954" s="2042" t="s">
        <v>1952</v>
      </c>
      <c r="D954" s="2043">
        <v>219970</v>
      </c>
      <c r="E954" s="2043">
        <v>219970</v>
      </c>
    </row>
    <row r="955" spans="1:5" ht="14.5">
      <c r="A955" s="2042" t="s">
        <v>3240</v>
      </c>
      <c r="B955" s="380" t="str">
        <f t="shared" si="14"/>
        <v>234-906</v>
      </c>
      <c r="C955" s="2042" t="s">
        <v>1077</v>
      </c>
      <c r="D955" s="2043">
        <v>2924325</v>
      </c>
      <c r="E955" s="2043">
        <v>2286901</v>
      </c>
    </row>
    <row r="956" spans="1:5" ht="14.5">
      <c r="A956" s="2042" t="s">
        <v>5292</v>
      </c>
      <c r="B956" s="380" t="str">
        <f t="shared" si="14"/>
        <v>234-907</v>
      </c>
      <c r="C956" s="2042" t="s">
        <v>1968</v>
      </c>
      <c r="D956" s="2043">
        <v>0</v>
      </c>
      <c r="E956" s="2043">
        <v>0</v>
      </c>
    </row>
    <row r="957" spans="1:5" ht="14.5">
      <c r="A957" s="2042" t="s">
        <v>3241</v>
      </c>
      <c r="B957" s="380" t="str">
        <f t="shared" si="14"/>
        <v>234-909</v>
      </c>
      <c r="C957" s="2042" t="s">
        <v>1390</v>
      </c>
      <c r="D957" s="2043">
        <v>163375</v>
      </c>
      <c r="E957" s="2043">
        <v>87250</v>
      </c>
    </row>
    <row r="958" spans="1:5" ht="14.5">
      <c r="A958" s="2042" t="s">
        <v>3242</v>
      </c>
      <c r="B958" s="380" t="str">
        <f t="shared" si="14"/>
        <v>235-901</v>
      </c>
      <c r="C958" s="2042" t="s">
        <v>1268</v>
      </c>
      <c r="D958" s="2043">
        <v>702740</v>
      </c>
      <c r="E958" s="2043">
        <v>771818</v>
      </c>
    </row>
    <row r="959" spans="1:5" ht="14.5">
      <c r="A959" s="2042" t="s">
        <v>3243</v>
      </c>
      <c r="B959" s="380" t="str">
        <f t="shared" si="14"/>
        <v>235-902</v>
      </c>
      <c r="C959" s="2042" t="s">
        <v>125</v>
      </c>
      <c r="D959" s="2043">
        <v>9127569</v>
      </c>
      <c r="E959" s="2043">
        <v>12383915</v>
      </c>
    </row>
    <row r="960" spans="1:5" ht="14.5">
      <c r="A960" s="2042" t="s">
        <v>5293</v>
      </c>
      <c r="B960" s="380" t="str">
        <f t="shared" si="14"/>
        <v>235-904</v>
      </c>
      <c r="C960" s="2042" t="s">
        <v>1969</v>
      </c>
      <c r="D960" s="2043">
        <v>224250</v>
      </c>
      <c r="E960" s="2043">
        <v>224250</v>
      </c>
    </row>
    <row r="961" spans="1:5" ht="14.5">
      <c r="A961" s="2042" t="s">
        <v>3244</v>
      </c>
      <c r="B961" s="380" t="str">
        <f t="shared" si="14"/>
        <v>236-901</v>
      </c>
      <c r="C961" s="2042" t="s">
        <v>1074</v>
      </c>
      <c r="D961" s="2043">
        <v>313800</v>
      </c>
      <c r="E961" s="2043">
        <v>439025</v>
      </c>
    </row>
    <row r="962" spans="1:5" ht="14.5">
      <c r="A962" s="2042" t="s">
        <v>3245</v>
      </c>
      <c r="B962" s="380" t="str">
        <f t="shared" si="14"/>
        <v>236-902</v>
      </c>
      <c r="C962" s="2042" t="s">
        <v>90</v>
      </c>
      <c r="D962" s="2043">
        <v>2000150</v>
      </c>
      <c r="E962" s="2043">
        <v>2000150</v>
      </c>
    </row>
    <row r="963" spans="1:5" ht="14.5">
      <c r="A963" s="2042" t="s">
        <v>8110</v>
      </c>
      <c r="B963" s="380" t="str">
        <f t="shared" ref="B963:B1026" si="15">CONCATENATE(LEFT(RIGHT(CONCATENATE("000",A963),6),3),"-",(RIGHT(RIGHT(CONCATENATE("000",A963),6),3)))</f>
        <v>236-903</v>
      </c>
      <c r="C963" s="2042" t="s">
        <v>8111</v>
      </c>
      <c r="D963" s="2043">
        <v>0</v>
      </c>
      <c r="E963" s="2043">
        <v>0</v>
      </c>
    </row>
    <row r="964" spans="1:5" ht="14.5">
      <c r="A964" s="2042" t="s">
        <v>3246</v>
      </c>
      <c r="B964" s="380" t="str">
        <f t="shared" si="15"/>
        <v>237-902</v>
      </c>
      <c r="C964" s="2042" t="s">
        <v>2238</v>
      </c>
      <c r="D964" s="2043">
        <v>1429963</v>
      </c>
      <c r="E964" s="2043">
        <v>1429963</v>
      </c>
    </row>
    <row r="965" spans="1:5" ht="14.5">
      <c r="A965" s="2042" t="s">
        <v>3247</v>
      </c>
      <c r="B965" s="380" t="str">
        <f t="shared" si="15"/>
        <v>237-904</v>
      </c>
      <c r="C965" s="2042" t="s">
        <v>129</v>
      </c>
      <c r="D965" s="2043">
        <v>9773325</v>
      </c>
      <c r="E965" s="2043">
        <v>7116025</v>
      </c>
    </row>
    <row r="966" spans="1:5" ht="14.5">
      <c r="A966" s="2042" t="s">
        <v>3248</v>
      </c>
      <c r="B966" s="380" t="str">
        <f t="shared" si="15"/>
        <v>237-905</v>
      </c>
      <c r="C966" s="2042" t="s">
        <v>91</v>
      </c>
      <c r="D966" s="2043">
        <v>4435863</v>
      </c>
      <c r="E966" s="2043">
        <v>5010078</v>
      </c>
    </row>
    <row r="967" spans="1:5" ht="14.5">
      <c r="A967" s="2042" t="s">
        <v>5294</v>
      </c>
      <c r="B967" s="380" t="str">
        <f t="shared" si="15"/>
        <v>238-902</v>
      </c>
      <c r="C967" s="2042" t="s">
        <v>840</v>
      </c>
      <c r="D967" s="2043">
        <v>2019394</v>
      </c>
      <c r="E967" s="2043">
        <v>2019394</v>
      </c>
    </row>
    <row r="968" spans="1:5" ht="14.5">
      <c r="A968" s="2042" t="s">
        <v>5894</v>
      </c>
      <c r="B968" s="380" t="str">
        <f t="shared" si="15"/>
        <v>238-904</v>
      </c>
      <c r="C968" s="2042" t="s">
        <v>1145</v>
      </c>
      <c r="D968" s="2043">
        <v>747225</v>
      </c>
      <c r="E968" s="2043">
        <v>0</v>
      </c>
    </row>
    <row r="969" spans="1:5" ht="14.5">
      <c r="A969" s="2042" t="s">
        <v>5295</v>
      </c>
      <c r="B969" s="380" t="str">
        <f t="shared" si="15"/>
        <v>239-901</v>
      </c>
      <c r="C969" s="2042" t="s">
        <v>1146</v>
      </c>
      <c r="D969" s="2043">
        <v>756638</v>
      </c>
      <c r="E969" s="2043">
        <v>2143477</v>
      </c>
    </row>
    <row r="970" spans="1:5" ht="14.5">
      <c r="A970" s="2042" t="s">
        <v>5296</v>
      </c>
      <c r="B970" s="380" t="str">
        <f t="shared" si="15"/>
        <v>239-903</v>
      </c>
      <c r="C970" s="2042" t="s">
        <v>1147</v>
      </c>
      <c r="D970" s="2043">
        <v>471469</v>
      </c>
      <c r="E970" s="2043">
        <v>488289</v>
      </c>
    </row>
    <row r="971" spans="1:5" ht="14.5">
      <c r="A971" s="2042" t="s">
        <v>8112</v>
      </c>
      <c r="B971" s="380" t="str">
        <f t="shared" si="15"/>
        <v>240-503</v>
      </c>
      <c r="C971" s="2042" t="s">
        <v>8113</v>
      </c>
      <c r="D971" s="2043">
        <v>0</v>
      </c>
      <c r="E971" s="2043">
        <v>0</v>
      </c>
    </row>
    <row r="972" spans="1:5" ht="14.5">
      <c r="A972" s="2042" t="s">
        <v>3249</v>
      </c>
      <c r="B972" s="380" t="str">
        <f t="shared" si="15"/>
        <v>240-901</v>
      </c>
      <c r="C972" s="2042" t="s">
        <v>2219</v>
      </c>
      <c r="D972" s="2043">
        <v>33380918</v>
      </c>
      <c r="E972" s="2043">
        <v>26797787</v>
      </c>
    </row>
    <row r="973" spans="1:5" ht="14.5">
      <c r="A973" s="2042" t="s">
        <v>3250</v>
      </c>
      <c r="B973" s="380" t="str">
        <f t="shared" si="15"/>
        <v>240-903</v>
      </c>
      <c r="C973" s="2042" t="s">
        <v>2229</v>
      </c>
      <c r="D973" s="2043">
        <v>34558018</v>
      </c>
      <c r="E973" s="2043">
        <v>30228487</v>
      </c>
    </row>
    <row r="974" spans="1:5" ht="14.5">
      <c r="A974" s="2042" t="s">
        <v>5297</v>
      </c>
      <c r="B974" s="380" t="str">
        <f t="shared" si="15"/>
        <v>240-904</v>
      </c>
      <c r="C974" s="2042" t="s">
        <v>2212</v>
      </c>
      <c r="D974" s="2043">
        <v>1573200</v>
      </c>
      <c r="E974" s="2043">
        <v>0</v>
      </c>
    </row>
    <row r="975" spans="1:5" ht="14.5">
      <c r="A975" s="2042" t="s">
        <v>5895</v>
      </c>
      <c r="B975" s="380" t="str">
        <f t="shared" si="15"/>
        <v>241-901</v>
      </c>
      <c r="C975" s="2042" t="s">
        <v>1149</v>
      </c>
      <c r="D975" s="2043">
        <v>0</v>
      </c>
      <c r="E975" s="2043">
        <v>0</v>
      </c>
    </row>
    <row r="976" spans="1:5" ht="14.5">
      <c r="A976" s="2042" t="s">
        <v>5298</v>
      </c>
      <c r="B976" s="380" t="str">
        <f t="shared" si="15"/>
        <v>241-902</v>
      </c>
      <c r="C976" s="2042" t="s">
        <v>1150</v>
      </c>
      <c r="D976" s="2043">
        <v>1167162</v>
      </c>
      <c r="E976" s="2043">
        <v>217700</v>
      </c>
    </row>
    <row r="977" spans="1:5" ht="14.5">
      <c r="A977" s="2042" t="s">
        <v>5299</v>
      </c>
      <c r="B977" s="380" t="str">
        <f t="shared" si="15"/>
        <v>241-903</v>
      </c>
      <c r="C977" s="2042" t="s">
        <v>1151</v>
      </c>
      <c r="D977" s="2043">
        <v>2134585</v>
      </c>
      <c r="E977" s="2043">
        <v>2073466</v>
      </c>
    </row>
    <row r="978" spans="1:5" ht="14.5">
      <c r="A978" s="2042" t="s">
        <v>5300</v>
      </c>
      <c r="B978" s="380" t="str">
        <f t="shared" si="15"/>
        <v>241-904</v>
      </c>
      <c r="C978" s="2042" t="s">
        <v>1152</v>
      </c>
      <c r="D978" s="2043">
        <v>2300462</v>
      </c>
      <c r="E978" s="2043">
        <v>1420881</v>
      </c>
    </row>
    <row r="979" spans="1:5" ht="14.5">
      <c r="A979" s="2042" t="s">
        <v>5301</v>
      </c>
      <c r="B979" s="380" t="str">
        <f t="shared" si="15"/>
        <v>241-906</v>
      </c>
      <c r="C979" s="2042" t="s">
        <v>1153</v>
      </c>
      <c r="D979" s="2043">
        <v>0</v>
      </c>
      <c r="E979" s="2043">
        <v>0</v>
      </c>
    </row>
    <row r="980" spans="1:5" ht="14.5">
      <c r="A980" s="2042" t="s">
        <v>5896</v>
      </c>
      <c r="B980" s="380" t="str">
        <f t="shared" si="15"/>
        <v>242-902</v>
      </c>
      <c r="C980" s="2042" t="s">
        <v>1154</v>
      </c>
      <c r="D980" s="2043">
        <v>0</v>
      </c>
      <c r="E980" s="2043">
        <v>0</v>
      </c>
    </row>
    <row r="981" spans="1:5" ht="14.5">
      <c r="A981" s="2042" t="s">
        <v>5302</v>
      </c>
      <c r="B981" s="380" t="str">
        <f t="shared" si="15"/>
        <v>242-903</v>
      </c>
      <c r="C981" s="2042" t="s">
        <v>1155</v>
      </c>
      <c r="D981" s="2043">
        <v>377350</v>
      </c>
      <c r="E981" s="2043">
        <v>377350</v>
      </c>
    </row>
    <row r="982" spans="1:5" ht="14.5">
      <c r="A982" s="2042" t="s">
        <v>5897</v>
      </c>
      <c r="B982" s="380" t="str">
        <f t="shared" si="15"/>
        <v>242-905</v>
      </c>
      <c r="C982" s="2042" t="s">
        <v>1156</v>
      </c>
      <c r="D982" s="2043">
        <v>531420</v>
      </c>
      <c r="E982" s="2043">
        <v>0</v>
      </c>
    </row>
    <row r="983" spans="1:5" ht="14.5">
      <c r="A983" s="2042" t="s">
        <v>5303</v>
      </c>
      <c r="B983" s="380" t="str">
        <f t="shared" si="15"/>
        <v>242-906</v>
      </c>
      <c r="C983" s="2042" t="s">
        <v>1157</v>
      </c>
      <c r="D983" s="2043">
        <v>1040300</v>
      </c>
      <c r="E983" s="2043">
        <v>0</v>
      </c>
    </row>
    <row r="984" spans="1:5" ht="14.5">
      <c r="A984" s="2042" t="s">
        <v>3251</v>
      </c>
      <c r="B984" s="380" t="str">
        <f t="shared" si="15"/>
        <v>243-901</v>
      </c>
      <c r="C984" s="2042" t="s">
        <v>1363</v>
      </c>
      <c r="D984" s="2043">
        <v>3458450</v>
      </c>
      <c r="E984" s="2043">
        <v>0</v>
      </c>
    </row>
    <row r="985" spans="1:5" ht="14.5">
      <c r="A985" s="2042" t="s">
        <v>5304</v>
      </c>
      <c r="B985" s="380" t="str">
        <f t="shared" si="15"/>
        <v>243-902</v>
      </c>
      <c r="C985" s="2042" t="s">
        <v>1515</v>
      </c>
      <c r="D985" s="2043">
        <v>663856</v>
      </c>
      <c r="E985" s="2043">
        <v>663856</v>
      </c>
    </row>
    <row r="986" spans="1:5" ht="14.5">
      <c r="A986" s="2042" t="s">
        <v>5305</v>
      </c>
      <c r="B986" s="380" t="str">
        <f t="shared" si="15"/>
        <v>243-903</v>
      </c>
      <c r="C986" s="2042" t="s">
        <v>2213</v>
      </c>
      <c r="D986" s="2043">
        <v>493500</v>
      </c>
      <c r="E986" s="2043">
        <v>841922</v>
      </c>
    </row>
    <row r="987" spans="1:5" ht="14.5">
      <c r="A987" s="2042" t="s">
        <v>3252</v>
      </c>
      <c r="B987" s="380" t="str">
        <f t="shared" si="15"/>
        <v>243-905</v>
      </c>
      <c r="C987" s="2042" t="s">
        <v>1517</v>
      </c>
      <c r="D987" s="2043">
        <v>8403825</v>
      </c>
      <c r="E987" s="2043">
        <v>8403825</v>
      </c>
    </row>
    <row r="988" spans="1:5" ht="14.5">
      <c r="A988" s="2042" t="s">
        <v>3253</v>
      </c>
      <c r="B988" s="380" t="str">
        <f t="shared" si="15"/>
        <v>243-906</v>
      </c>
      <c r="C988" s="2042" t="s">
        <v>1092</v>
      </c>
      <c r="D988" s="2043">
        <v>998431</v>
      </c>
      <c r="E988" s="2043">
        <v>720000</v>
      </c>
    </row>
    <row r="989" spans="1:5" ht="14.5">
      <c r="A989" s="2042" t="s">
        <v>5898</v>
      </c>
      <c r="B989" s="380" t="str">
        <f t="shared" si="15"/>
        <v>244-901</v>
      </c>
      <c r="C989" s="2042" t="s">
        <v>1518</v>
      </c>
      <c r="D989" s="2043">
        <v>0</v>
      </c>
      <c r="E989" s="2043">
        <v>0</v>
      </c>
    </row>
    <row r="990" spans="1:5" ht="14.5">
      <c r="A990" s="2042" t="s">
        <v>5306</v>
      </c>
      <c r="B990" s="380" t="str">
        <f t="shared" si="15"/>
        <v>244-903</v>
      </c>
      <c r="C990" s="2042" t="s">
        <v>1519</v>
      </c>
      <c r="D990" s="2043">
        <v>0</v>
      </c>
      <c r="E990" s="2043">
        <v>0</v>
      </c>
    </row>
    <row r="991" spans="1:5" ht="14.5">
      <c r="A991" s="2042" t="s">
        <v>3254</v>
      </c>
      <c r="B991" s="380" t="str">
        <f t="shared" si="15"/>
        <v>244-905</v>
      </c>
      <c r="C991" s="2042" t="s">
        <v>2165</v>
      </c>
      <c r="D991" s="2043">
        <v>136293</v>
      </c>
      <c r="E991" s="2043">
        <v>136293</v>
      </c>
    </row>
    <row r="992" spans="1:5" ht="14.5">
      <c r="A992" s="2042" t="s">
        <v>3255</v>
      </c>
      <c r="B992" s="380" t="str">
        <f t="shared" si="15"/>
        <v>245-901</v>
      </c>
      <c r="C992" s="2042" t="s">
        <v>2220</v>
      </c>
      <c r="D992" s="2043">
        <v>424436</v>
      </c>
      <c r="E992" s="2043">
        <v>513208</v>
      </c>
    </row>
    <row r="993" spans="1:5" ht="14.5">
      <c r="A993" s="2042" t="s">
        <v>3256</v>
      </c>
      <c r="B993" s="380" t="str">
        <f t="shared" si="15"/>
        <v>245-902</v>
      </c>
      <c r="C993" s="2042" t="s">
        <v>794</v>
      </c>
      <c r="D993" s="2043">
        <v>754600</v>
      </c>
      <c r="E993" s="2043">
        <v>754600</v>
      </c>
    </row>
    <row r="994" spans="1:5" ht="14.5">
      <c r="A994" s="2042" t="s">
        <v>3257</v>
      </c>
      <c r="B994" s="380" t="str">
        <f t="shared" si="15"/>
        <v>245-903</v>
      </c>
      <c r="C994" s="2042" t="s">
        <v>76</v>
      </c>
      <c r="D994" s="2043">
        <v>1707600</v>
      </c>
      <c r="E994" s="2043">
        <v>1707600</v>
      </c>
    </row>
    <row r="995" spans="1:5" ht="14.5">
      <c r="A995" s="2042" t="s">
        <v>3258</v>
      </c>
      <c r="B995" s="380" t="str">
        <f t="shared" si="15"/>
        <v>245-904</v>
      </c>
      <c r="C995" s="2042" t="s">
        <v>501</v>
      </c>
      <c r="D995" s="2043">
        <v>407950</v>
      </c>
      <c r="E995" s="2043">
        <v>256125</v>
      </c>
    </row>
    <row r="996" spans="1:5" ht="14.5">
      <c r="A996" s="2042" t="s">
        <v>3259</v>
      </c>
      <c r="B996" s="380" t="str">
        <f t="shared" si="15"/>
        <v>246-902</v>
      </c>
      <c r="C996" s="2042" t="s">
        <v>100</v>
      </c>
      <c r="D996" s="2043">
        <v>1117951</v>
      </c>
      <c r="E996" s="2043">
        <v>733420</v>
      </c>
    </row>
    <row r="997" spans="1:5" ht="14.5">
      <c r="A997" s="2042" t="s">
        <v>3260</v>
      </c>
      <c r="B997" s="380" t="str">
        <f t="shared" si="15"/>
        <v>246-904</v>
      </c>
      <c r="C997" s="2042" t="s">
        <v>2196</v>
      </c>
      <c r="D997" s="2043">
        <v>31753838</v>
      </c>
      <c r="E997" s="2043">
        <v>15026538</v>
      </c>
    </row>
    <row r="998" spans="1:5" ht="14.5">
      <c r="A998" s="2042" t="s">
        <v>3261</v>
      </c>
      <c r="B998" s="380" t="str">
        <f t="shared" si="15"/>
        <v>246-905</v>
      </c>
      <c r="C998" s="2042" t="s">
        <v>963</v>
      </c>
      <c r="D998" s="2043">
        <v>0</v>
      </c>
      <c r="E998" s="2043">
        <v>0</v>
      </c>
    </row>
    <row r="999" spans="1:5" ht="14.5">
      <c r="A999" s="2042" t="s">
        <v>3262</v>
      </c>
      <c r="B999" s="380" t="str">
        <f t="shared" si="15"/>
        <v>246-906</v>
      </c>
      <c r="C999" s="2042" t="s">
        <v>1194</v>
      </c>
      <c r="D999" s="2043">
        <v>16393105</v>
      </c>
      <c r="E999" s="2043">
        <v>10933031</v>
      </c>
    </row>
    <row r="1000" spans="1:5" ht="14.5">
      <c r="A1000" s="2042" t="s">
        <v>5307</v>
      </c>
      <c r="B1000" s="380" t="str">
        <f t="shared" si="15"/>
        <v>246-907</v>
      </c>
      <c r="C1000" s="2042" t="s">
        <v>1520</v>
      </c>
      <c r="D1000" s="2043">
        <v>6378361</v>
      </c>
      <c r="E1000" s="2043">
        <v>3241513</v>
      </c>
    </row>
    <row r="1001" spans="1:5" ht="14.5">
      <c r="A1001" s="2042" t="s">
        <v>3263</v>
      </c>
      <c r="B1001" s="380" t="str">
        <f t="shared" si="15"/>
        <v>246-908</v>
      </c>
      <c r="C1001" s="2042" t="s">
        <v>2328</v>
      </c>
      <c r="D1001" s="2043">
        <v>15174758</v>
      </c>
      <c r="E1001" s="2043">
        <v>8689000</v>
      </c>
    </row>
    <row r="1002" spans="1:5" ht="14.5">
      <c r="A1002" s="2042" t="s">
        <v>4857</v>
      </c>
      <c r="B1002" s="380" t="str">
        <f t="shared" si="15"/>
        <v>246-909</v>
      </c>
      <c r="C1002" s="2042" t="s">
        <v>574</v>
      </c>
      <c r="D1002" s="2043">
        <v>53664228</v>
      </c>
      <c r="E1002" s="2043">
        <v>47411722</v>
      </c>
    </row>
    <row r="1003" spans="1:5" ht="14.5">
      <c r="A1003" s="2042" t="s">
        <v>3264</v>
      </c>
      <c r="B1003" s="380" t="str">
        <f t="shared" si="15"/>
        <v>246-911</v>
      </c>
      <c r="C1003" s="2042" t="s">
        <v>565</v>
      </c>
      <c r="D1003" s="2043">
        <v>4763775</v>
      </c>
      <c r="E1003" s="2043">
        <v>3854398</v>
      </c>
    </row>
    <row r="1004" spans="1:5" ht="14.5">
      <c r="A1004" s="2042" t="s">
        <v>3265</v>
      </c>
      <c r="B1004" s="380" t="str">
        <f t="shared" si="15"/>
        <v>246-912</v>
      </c>
      <c r="C1004" s="2042" t="s">
        <v>567</v>
      </c>
      <c r="D1004" s="2043">
        <v>910899</v>
      </c>
      <c r="E1004" s="2043">
        <v>77237</v>
      </c>
    </row>
    <row r="1005" spans="1:5" ht="14.5">
      <c r="A1005" s="2042" t="s">
        <v>3266</v>
      </c>
      <c r="B1005" s="380" t="str">
        <f t="shared" si="15"/>
        <v>246-913</v>
      </c>
      <c r="C1005" s="2042" t="s">
        <v>2326</v>
      </c>
      <c r="D1005" s="2043">
        <v>98390380</v>
      </c>
      <c r="E1005" s="2043">
        <v>85726694</v>
      </c>
    </row>
    <row r="1006" spans="1:5" ht="14.5">
      <c r="A1006" s="2042" t="s">
        <v>5899</v>
      </c>
      <c r="B1006" s="380" t="str">
        <f t="shared" si="15"/>
        <v>246-914</v>
      </c>
      <c r="C1006" s="2042" t="s">
        <v>1521</v>
      </c>
      <c r="D1006" s="2043">
        <v>0</v>
      </c>
      <c r="E1006" s="2043">
        <v>0</v>
      </c>
    </row>
    <row r="1007" spans="1:5" ht="14.5">
      <c r="A1007" s="2042" t="s">
        <v>3267</v>
      </c>
      <c r="B1007" s="380" t="str">
        <f t="shared" si="15"/>
        <v>247-901</v>
      </c>
      <c r="C1007" s="2042" t="s">
        <v>101</v>
      </c>
      <c r="D1007" s="2043">
        <v>4471219</v>
      </c>
      <c r="E1007" s="2043">
        <v>5178913</v>
      </c>
    </row>
    <row r="1008" spans="1:5" ht="14.5">
      <c r="A1008" s="2042" t="s">
        <v>3268</v>
      </c>
      <c r="B1008" s="380" t="str">
        <f t="shared" si="15"/>
        <v>247-903</v>
      </c>
      <c r="C1008" s="2042" t="s">
        <v>1793</v>
      </c>
      <c r="D1008" s="2043">
        <v>3013856</v>
      </c>
      <c r="E1008" s="2043">
        <v>3307502</v>
      </c>
    </row>
    <row r="1009" spans="1:5" ht="14.5">
      <c r="A1009" s="2042" t="s">
        <v>3269</v>
      </c>
      <c r="B1009" s="380" t="str">
        <f t="shared" si="15"/>
        <v>247-904</v>
      </c>
      <c r="C1009" s="2042" t="s">
        <v>951</v>
      </c>
      <c r="D1009" s="2043">
        <v>994122</v>
      </c>
      <c r="E1009" s="2043">
        <v>368287</v>
      </c>
    </row>
    <row r="1010" spans="1:5" ht="14.5">
      <c r="A1010" s="2042" t="s">
        <v>3270</v>
      </c>
      <c r="B1010" s="380" t="str">
        <f t="shared" si="15"/>
        <v>247-906</v>
      </c>
      <c r="C1010" s="2042" t="s">
        <v>1834</v>
      </c>
      <c r="D1010" s="2043">
        <v>1109811</v>
      </c>
      <c r="E1010" s="2043">
        <v>773231</v>
      </c>
    </row>
    <row r="1011" spans="1:5" ht="14.5">
      <c r="A1011" s="2042" t="s">
        <v>5308</v>
      </c>
      <c r="B1011" s="380" t="str">
        <f t="shared" si="15"/>
        <v>248-901</v>
      </c>
      <c r="C1011" s="2042" t="s">
        <v>1522</v>
      </c>
      <c r="D1011" s="2043">
        <v>2070050</v>
      </c>
      <c r="E1011" s="2043">
        <v>2070050</v>
      </c>
    </row>
    <row r="1012" spans="1:5" ht="14.5">
      <c r="A1012" s="2042" t="s">
        <v>5309</v>
      </c>
      <c r="B1012" s="380" t="str">
        <f t="shared" si="15"/>
        <v>248-902</v>
      </c>
      <c r="C1012" s="2042" t="s">
        <v>1523</v>
      </c>
      <c r="D1012" s="2043">
        <v>4883275</v>
      </c>
      <c r="E1012" s="2043">
        <v>1677900</v>
      </c>
    </row>
    <row r="1013" spans="1:5" ht="14.5">
      <c r="A1013" s="2042" t="s">
        <v>3271</v>
      </c>
      <c r="B1013" s="380" t="str">
        <f t="shared" si="15"/>
        <v>249-901</v>
      </c>
      <c r="C1013" s="2042" t="s">
        <v>997</v>
      </c>
      <c r="D1013" s="2043">
        <v>743925</v>
      </c>
      <c r="E1013" s="2043">
        <v>743925</v>
      </c>
    </row>
    <row r="1014" spans="1:5" ht="14.5">
      <c r="A1014" s="2042" t="s">
        <v>5310</v>
      </c>
      <c r="B1014" s="380" t="str">
        <f t="shared" si="15"/>
        <v>249-902</v>
      </c>
      <c r="C1014" s="2042" t="s">
        <v>1524</v>
      </c>
      <c r="D1014" s="2043">
        <v>1385262</v>
      </c>
      <c r="E1014" s="2043">
        <v>1385262</v>
      </c>
    </row>
    <row r="1015" spans="1:5" ht="14.5">
      <c r="A1015" s="2042" t="s">
        <v>5311</v>
      </c>
      <c r="B1015" s="380" t="str">
        <f t="shared" si="15"/>
        <v>249-903</v>
      </c>
      <c r="C1015" s="2042" t="s">
        <v>1525</v>
      </c>
      <c r="D1015" s="2043">
        <v>2182250</v>
      </c>
      <c r="E1015" s="2043">
        <v>2487715</v>
      </c>
    </row>
    <row r="1016" spans="1:5" ht="14.5">
      <c r="A1016" s="2042" t="s">
        <v>5312</v>
      </c>
      <c r="B1016" s="380" t="str">
        <f t="shared" si="15"/>
        <v>249-904</v>
      </c>
      <c r="C1016" s="2042" t="s">
        <v>1526</v>
      </c>
      <c r="D1016" s="2043">
        <v>1319021</v>
      </c>
      <c r="E1016" s="2043">
        <v>1111421</v>
      </c>
    </row>
    <row r="1017" spans="1:5" ht="14.5">
      <c r="A1017" s="2042" t="s">
        <v>5313</v>
      </c>
      <c r="B1017" s="380" t="str">
        <f t="shared" si="15"/>
        <v>249-905</v>
      </c>
      <c r="C1017" s="2042" t="s">
        <v>1527</v>
      </c>
      <c r="D1017" s="2043">
        <v>5700675</v>
      </c>
      <c r="E1017" s="2043">
        <v>5700675</v>
      </c>
    </row>
    <row r="1018" spans="1:5" ht="14.5">
      <c r="A1018" s="2042" t="s">
        <v>3272</v>
      </c>
      <c r="B1018" s="380" t="str">
        <f t="shared" si="15"/>
        <v>249-906</v>
      </c>
      <c r="C1018" s="2042" t="s">
        <v>1289</v>
      </c>
      <c r="D1018" s="2043">
        <v>1025575</v>
      </c>
      <c r="E1018" s="2043">
        <v>1080938</v>
      </c>
    </row>
    <row r="1019" spans="1:5" ht="14.5">
      <c r="A1019" s="2402" t="s">
        <v>3273</v>
      </c>
      <c r="B1019" s="380" t="str">
        <f t="shared" si="15"/>
        <v>249-908</v>
      </c>
      <c r="C1019" s="2403" t="s">
        <v>1820</v>
      </c>
      <c r="D1019" s="2043">
        <v>201750</v>
      </c>
      <c r="E1019" s="2043">
        <v>201750</v>
      </c>
    </row>
    <row r="1020" spans="1:5" ht="14.5">
      <c r="A1020" s="2402" t="s">
        <v>5314</v>
      </c>
      <c r="B1020" s="380" t="str">
        <f t="shared" si="15"/>
        <v>250-902</v>
      </c>
      <c r="C1020" s="2403" t="s">
        <v>1528</v>
      </c>
      <c r="D1020" s="2043">
        <v>1810316</v>
      </c>
      <c r="E1020" s="2043">
        <v>1514716</v>
      </c>
    </row>
    <row r="1021" spans="1:5" ht="14.5">
      <c r="A1021" s="2402" t="s">
        <v>5900</v>
      </c>
      <c r="B1021" s="380" t="str">
        <f t="shared" si="15"/>
        <v>250-903</v>
      </c>
      <c r="C1021" s="2403" t="s">
        <v>1529</v>
      </c>
      <c r="D1021" s="2043">
        <v>0</v>
      </c>
      <c r="E1021" s="2043">
        <v>0</v>
      </c>
    </row>
    <row r="1022" spans="1:5" ht="14.5">
      <c r="A1022" s="2402" t="s">
        <v>5315</v>
      </c>
      <c r="B1022" s="380" t="str">
        <f t="shared" si="15"/>
        <v>250-904</v>
      </c>
      <c r="C1022" s="2403" t="s">
        <v>22</v>
      </c>
      <c r="D1022" s="2043">
        <v>900625</v>
      </c>
      <c r="E1022" s="2043">
        <v>539967</v>
      </c>
    </row>
    <row r="1023" spans="1:5" ht="14.5">
      <c r="A1023" s="2402" t="s">
        <v>5316</v>
      </c>
      <c r="B1023" s="380" t="str">
        <f t="shared" si="15"/>
        <v>250-905</v>
      </c>
      <c r="C1023" s="2403" t="s">
        <v>1294</v>
      </c>
      <c r="D1023" s="2043">
        <v>0</v>
      </c>
      <c r="E1023" s="2043">
        <v>0</v>
      </c>
    </row>
    <row r="1024" spans="1:5" ht="14.5">
      <c r="A1024" s="2402" t="s">
        <v>5317</v>
      </c>
      <c r="B1024" s="380" t="str">
        <f t="shared" si="15"/>
        <v>250-906</v>
      </c>
      <c r="C1024" s="2403" t="s">
        <v>1295</v>
      </c>
      <c r="D1024" s="2043">
        <v>136388</v>
      </c>
      <c r="E1024" s="2043">
        <v>136388</v>
      </c>
    </row>
    <row r="1025" spans="1:5" ht="14.5">
      <c r="A1025" s="2402" t="s">
        <v>5901</v>
      </c>
      <c r="B1025" s="380" t="str">
        <f t="shared" si="15"/>
        <v>250-907</v>
      </c>
      <c r="C1025" s="2403" t="s">
        <v>1296</v>
      </c>
      <c r="D1025" s="2043">
        <v>1705494</v>
      </c>
      <c r="E1025" s="2043">
        <v>0</v>
      </c>
    </row>
    <row r="1026" spans="1:5" ht="14.5">
      <c r="A1026" s="2402" t="s">
        <v>5318</v>
      </c>
      <c r="B1026" s="380" t="str">
        <f t="shared" si="15"/>
        <v>251-901</v>
      </c>
      <c r="C1026" s="2403" t="s">
        <v>1297</v>
      </c>
      <c r="D1026" s="2043">
        <v>3187762</v>
      </c>
      <c r="E1026" s="2043">
        <v>1233795</v>
      </c>
    </row>
    <row r="1027" spans="1:5" ht="14.5">
      <c r="A1027" s="2402" t="s">
        <v>5319</v>
      </c>
      <c r="B1027" s="380" t="str">
        <f t="shared" ref="B1027:B1033" si="16">CONCATENATE(LEFT(RIGHT(CONCATENATE("000",A1027),6),3),"-",(RIGHT(RIGHT(CONCATENATE("000",A1027),6),3)))</f>
        <v>251-902</v>
      </c>
      <c r="C1027" s="2403" t="s">
        <v>1298</v>
      </c>
      <c r="D1027" s="2043">
        <v>3588750</v>
      </c>
      <c r="E1027" s="2043">
        <v>3588750</v>
      </c>
    </row>
    <row r="1028" spans="1:5" ht="14.5">
      <c r="A1028" s="2402" t="s">
        <v>3274</v>
      </c>
      <c r="B1028" s="380" t="str">
        <f t="shared" si="16"/>
        <v>252-901</v>
      </c>
      <c r="C1028" s="2403" t="s">
        <v>815</v>
      </c>
      <c r="D1028" s="2043">
        <v>2516780</v>
      </c>
      <c r="E1028" s="2043">
        <v>2516780</v>
      </c>
    </row>
    <row r="1029" spans="1:5" ht="14.5">
      <c r="A1029" s="2402" t="s">
        <v>5320</v>
      </c>
      <c r="B1029" s="380" t="str">
        <f t="shared" si="16"/>
        <v>252-902</v>
      </c>
      <c r="C1029" s="2403" t="s">
        <v>1299</v>
      </c>
      <c r="D1029" s="2043">
        <v>320218</v>
      </c>
      <c r="E1029" s="2043">
        <v>320218</v>
      </c>
    </row>
    <row r="1030" spans="1:5" ht="14.5">
      <c r="A1030" s="2402" t="s">
        <v>3275</v>
      </c>
      <c r="B1030" s="380" t="str">
        <f t="shared" si="16"/>
        <v>252-903</v>
      </c>
      <c r="C1030" s="2402" t="s">
        <v>779</v>
      </c>
      <c r="D1030" s="2043">
        <v>594975</v>
      </c>
      <c r="E1030" s="2043">
        <v>189300</v>
      </c>
    </row>
    <row r="1031" spans="1:5" ht="14.5">
      <c r="A1031" s="2402" t="s">
        <v>5902</v>
      </c>
      <c r="B1031" s="380" t="str">
        <f t="shared" si="16"/>
        <v>253-901</v>
      </c>
      <c r="C1031" s="2402" t="s">
        <v>1300</v>
      </c>
      <c r="D1031" s="2043">
        <v>0</v>
      </c>
      <c r="E1031" s="2043">
        <v>0</v>
      </c>
    </row>
    <row r="1032" spans="1:5" ht="14.5">
      <c r="A1032" s="2402" t="s">
        <v>3276</v>
      </c>
      <c r="B1032" s="380" t="str">
        <f t="shared" si="16"/>
        <v>254-901</v>
      </c>
      <c r="C1032" s="2402" t="s">
        <v>398</v>
      </c>
      <c r="D1032" s="2043">
        <v>3667438</v>
      </c>
      <c r="E1032" s="2043">
        <v>3667438</v>
      </c>
    </row>
    <row r="1033" spans="1:5" ht="14.5">
      <c r="A1033" s="2402" t="s">
        <v>3277</v>
      </c>
      <c r="B1033" s="380" t="str">
        <f t="shared" si="16"/>
        <v>254-902</v>
      </c>
      <c r="C1033" s="2402" t="s">
        <v>1791</v>
      </c>
      <c r="D1033" s="2043">
        <v>171950</v>
      </c>
      <c r="E1033" s="2043">
        <v>171950</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231"/>
  <sheetViews>
    <sheetView topLeftCell="A942" workbookViewId="0">
      <selection activeCell="I960" sqref="I960"/>
    </sheetView>
  </sheetViews>
  <sheetFormatPr defaultRowHeight="12.5"/>
  <cols>
    <col min="1" max="1" width="12.81640625" customWidth="1"/>
    <col min="2" max="2" width="14.453125" style="2042" customWidth="1"/>
    <col min="3" max="4" width="20.54296875" style="105" customWidth="1"/>
  </cols>
  <sheetData>
    <row r="1" spans="1:4" s="41" customFormat="1">
      <c r="A1" s="41" t="s">
        <v>3349</v>
      </c>
      <c r="C1" s="389" t="s">
        <v>10364</v>
      </c>
      <c r="D1" s="389" t="s">
        <v>10365</v>
      </c>
    </row>
    <row r="2" spans="1:4" ht="14.5">
      <c r="A2" t="s">
        <v>5748</v>
      </c>
      <c r="B2" s="380" t="str">
        <f>CONCATENATE(LEFT(RIGHT(CONCATENATE("000",FTG_Data1920!A2),6),3),"-",(RIGHT(RIGHT(CONCATENATE("000",FTG_Data1920!A2),6),3)))</f>
        <v>001-902</v>
      </c>
      <c r="C2" s="105">
        <v>11694</v>
      </c>
      <c r="D2" s="105">
        <v>11353</v>
      </c>
    </row>
    <row r="3" spans="1:4" ht="14.5">
      <c r="A3" t="s">
        <v>2849</v>
      </c>
      <c r="B3" s="380" t="str">
        <f>CONCATENATE(LEFT(RIGHT(CONCATENATE("000",FTG_Data1920!A3),6),3),"-",(RIGHT(RIGHT(CONCATENATE("000",FTG_Data1920!A3),6),3)))</f>
        <v>001-903</v>
      </c>
      <c r="C3" s="105">
        <v>10022</v>
      </c>
      <c r="D3" s="105">
        <v>9730</v>
      </c>
    </row>
    <row r="4" spans="1:4" ht="14.5">
      <c r="A4" t="s">
        <v>4918</v>
      </c>
      <c r="B4" s="380" t="str">
        <f>CONCATENATE(LEFT(RIGHT(CONCATENATE("000",FTG_Data1920!A4),6),3),"-",(RIGHT(RIGHT(CONCATENATE("000",FTG_Data1920!A4),6),3)))</f>
        <v>001-904</v>
      </c>
      <c r="C4" s="105">
        <v>11165</v>
      </c>
      <c r="D4" s="105">
        <v>10840</v>
      </c>
    </row>
    <row r="5" spans="1:4" ht="14.5">
      <c r="A5" t="s">
        <v>4919</v>
      </c>
      <c r="B5" s="380" t="str">
        <f>CONCATENATE(LEFT(RIGHT(CONCATENATE("000",FTG_Data1920!A5),6),3),"-",(RIGHT(RIGHT(CONCATENATE("000",FTG_Data1920!A5),6),3)))</f>
        <v>001-906</v>
      </c>
      <c r="C5" s="105">
        <v>11342</v>
      </c>
      <c r="D5" s="105">
        <v>11012</v>
      </c>
    </row>
    <row r="6" spans="1:4" ht="14.5">
      <c r="A6" t="s">
        <v>2850</v>
      </c>
      <c r="B6" s="380" t="str">
        <f>CONCATENATE(LEFT(RIGHT(CONCATENATE("000",FTG_Data1920!A6),6),3),"-",(RIGHT(RIGHT(CONCATENATE("000",FTG_Data1920!A6),6),3)))</f>
        <v>001-907</v>
      </c>
      <c r="C6" s="105">
        <v>9876</v>
      </c>
      <c r="D6" s="105">
        <v>9589</v>
      </c>
    </row>
    <row r="7" spans="1:4" ht="14.5">
      <c r="A7" t="s">
        <v>5749</v>
      </c>
      <c r="B7" s="380" t="str">
        <f>CONCATENATE(LEFT(RIGHT(CONCATENATE("000",FTG_Data1920!A7),6),3),"-",(RIGHT(RIGHT(CONCATENATE("000",FTG_Data1920!A7),6),3)))</f>
        <v>001-908</v>
      </c>
      <c r="C7" s="105">
        <v>10254</v>
      </c>
      <c r="D7" s="105">
        <v>9955</v>
      </c>
    </row>
    <row r="8" spans="1:4" ht="14.5">
      <c r="A8" t="s">
        <v>4920</v>
      </c>
      <c r="B8" s="380" t="str">
        <f>CONCATENATE(LEFT(RIGHT(CONCATENATE("000",FTG_Data1920!A8),6),3),"-",(RIGHT(RIGHT(CONCATENATE("000",FTG_Data1920!A8),6),3)))</f>
        <v>001-909</v>
      </c>
      <c r="C8" s="105">
        <v>11849</v>
      </c>
      <c r="D8" s="105">
        <v>11699</v>
      </c>
    </row>
    <row r="9" spans="1:4" ht="14.5">
      <c r="A9" t="s">
        <v>4921</v>
      </c>
      <c r="B9" s="380" t="str">
        <f>CONCATENATE(LEFT(RIGHT(CONCATENATE("000",FTG_Data1920!A9),6),3),"-",(RIGHT(RIGHT(CONCATENATE("000",FTG_Data1920!A9),6),3)))</f>
        <v>002-901</v>
      </c>
      <c r="C9" s="105">
        <v>9425</v>
      </c>
      <c r="D9" s="105">
        <v>9150</v>
      </c>
    </row>
    <row r="10" spans="1:4" ht="14.5">
      <c r="A10" t="s">
        <v>7918</v>
      </c>
      <c r="B10" s="380" t="str">
        <f>CONCATENATE(LEFT(RIGHT(CONCATENATE("000",FTG_Data1920!A10),6),3),"-",(RIGHT(RIGHT(CONCATENATE("000",FTG_Data1920!A10),6),3)))</f>
        <v>003-801</v>
      </c>
      <c r="C10" s="105">
        <v>10071</v>
      </c>
      <c r="D10" s="105">
        <v>9778</v>
      </c>
    </row>
    <row r="11" spans="1:4" ht="14.5">
      <c r="A11" t="s">
        <v>2851</v>
      </c>
      <c r="B11" s="380" t="str">
        <f>CONCATENATE(LEFT(RIGHT(CONCATENATE("000",FTG_Data1920!A11),6),3),"-",(RIGHT(RIGHT(CONCATENATE("000",FTG_Data1920!A11),6),3)))</f>
        <v>003-902</v>
      </c>
      <c r="C11" s="105">
        <v>8988</v>
      </c>
      <c r="D11" s="105">
        <v>8726</v>
      </c>
    </row>
    <row r="12" spans="1:4" ht="14.5">
      <c r="A12" t="s">
        <v>4922</v>
      </c>
      <c r="B12" s="380" t="str">
        <f>CONCATENATE(LEFT(RIGHT(CONCATENATE("000",FTG_Data1920!A12),6),3),"-",(RIGHT(RIGHT(CONCATENATE("000",FTG_Data1920!A12),6),3)))</f>
        <v>003-903</v>
      </c>
      <c r="C12" s="105">
        <v>9505</v>
      </c>
      <c r="D12" s="105">
        <v>9228</v>
      </c>
    </row>
    <row r="13" spans="1:4" ht="14.5">
      <c r="A13" t="s">
        <v>2852</v>
      </c>
      <c r="B13" s="380" t="str">
        <f>CONCATENATE(LEFT(RIGHT(CONCATENATE("000",FTG_Data1920!A13),6),3),"-",(RIGHT(RIGHT(CONCATENATE("000",FTG_Data1920!A13),6),3)))</f>
        <v>003-904</v>
      </c>
      <c r="C13" s="105">
        <v>10613</v>
      </c>
      <c r="D13" s="105">
        <v>10304</v>
      </c>
    </row>
    <row r="14" spans="1:4" ht="14.5">
      <c r="A14" t="s">
        <v>2853</v>
      </c>
      <c r="B14" s="380" t="str">
        <f>CONCATENATE(LEFT(RIGHT(CONCATENATE("000",FTG_Data1920!A14),6),3),"-",(RIGHT(RIGHT(CONCATENATE("000",FTG_Data1920!A14),6),3)))</f>
        <v>003-905</v>
      </c>
      <c r="C14" s="105">
        <v>9961</v>
      </c>
      <c r="D14" s="105">
        <v>9671</v>
      </c>
    </row>
    <row r="15" spans="1:4" ht="14.5">
      <c r="A15" t="s">
        <v>4923</v>
      </c>
      <c r="B15" s="380" t="str">
        <f>CONCATENATE(LEFT(RIGHT(CONCATENATE("000",FTG_Data1920!A15),6),3),"-",(RIGHT(RIGHT(CONCATENATE("000",FTG_Data1920!A15),6),3)))</f>
        <v>003-906</v>
      </c>
      <c r="C15" s="105">
        <v>11849</v>
      </c>
      <c r="D15" s="105">
        <v>12262</v>
      </c>
    </row>
    <row r="16" spans="1:4" ht="14.5">
      <c r="A16" t="s">
        <v>2854</v>
      </c>
      <c r="B16" s="380" t="str">
        <f>CONCATENATE(LEFT(RIGHT(CONCATENATE("000",FTG_Data1920!A16),6),3),"-",(RIGHT(RIGHT(CONCATENATE("000",FTG_Data1920!A16),6),3)))</f>
        <v>003-907</v>
      </c>
      <c r="C16" s="105">
        <v>9807</v>
      </c>
      <c r="D16" s="105">
        <v>9521</v>
      </c>
    </row>
    <row r="17" spans="1:4" ht="14.5">
      <c r="A17" t="s">
        <v>4924</v>
      </c>
      <c r="B17" s="380" t="str">
        <f>CONCATENATE(LEFT(RIGHT(CONCATENATE("000",FTG_Data1920!A17),6),3),"-",(RIGHT(RIGHT(CONCATENATE("000",FTG_Data1920!A17),6),3)))</f>
        <v>004-901</v>
      </c>
      <c r="C17" s="105">
        <v>11268</v>
      </c>
      <c r="D17" s="105">
        <v>10940</v>
      </c>
    </row>
    <row r="18" spans="1:4" ht="14.5">
      <c r="A18" t="s">
        <v>4925</v>
      </c>
      <c r="B18" s="380" t="str">
        <f>CONCATENATE(LEFT(RIGHT(CONCATENATE("000",FTG_Data1920!A18),6),3),"-",(RIGHT(RIGHT(CONCATENATE("000",FTG_Data1920!A18),6),3)))</f>
        <v>005-901</v>
      </c>
      <c r="C18" s="105">
        <v>11849</v>
      </c>
      <c r="D18" s="105">
        <v>12978</v>
      </c>
    </row>
    <row r="19" spans="1:4" ht="14.5">
      <c r="A19" t="s">
        <v>4926</v>
      </c>
      <c r="B19" s="380" t="str">
        <f>CONCATENATE(LEFT(RIGHT(CONCATENATE("000",FTG_Data1920!A19),6),3),"-",(RIGHT(RIGHT(CONCATENATE("000",FTG_Data1920!A19),6),3)))</f>
        <v>005-902</v>
      </c>
      <c r="C19" s="105">
        <v>10749</v>
      </c>
      <c r="D19" s="105">
        <v>10436</v>
      </c>
    </row>
    <row r="20" spans="1:4" ht="14.5">
      <c r="A20" t="s">
        <v>2855</v>
      </c>
      <c r="B20" s="380" t="str">
        <f>CONCATENATE(LEFT(RIGHT(CONCATENATE("000",FTG_Data1920!A20),6),3),"-",(RIGHT(RIGHT(CONCATENATE("000",FTG_Data1920!A20),6),3)))</f>
        <v>005-904</v>
      </c>
      <c r="C20" s="105">
        <v>11704</v>
      </c>
      <c r="D20" s="105">
        <v>11363</v>
      </c>
    </row>
    <row r="21" spans="1:4" ht="14.5">
      <c r="A21" t="s">
        <v>4927</v>
      </c>
      <c r="B21" s="380" t="str">
        <f>CONCATENATE(LEFT(RIGHT(CONCATENATE("000",FTG_Data1920!A21),6),3),"-",(RIGHT(RIGHT(CONCATENATE("000",FTG_Data1920!A21),6),3)))</f>
        <v>006-902</v>
      </c>
      <c r="C21" s="105">
        <v>11849</v>
      </c>
      <c r="D21" s="105">
        <v>12016</v>
      </c>
    </row>
    <row r="22" spans="1:4" ht="14.5">
      <c r="A22" t="s">
        <v>2856</v>
      </c>
      <c r="B22" s="380" t="str">
        <f>CONCATENATE(LEFT(RIGHT(CONCATENATE("000",FTG_Data1920!A22),6),3),"-",(RIGHT(RIGHT(CONCATENATE("000",FTG_Data1920!A22),6),3)))</f>
        <v>007-901</v>
      </c>
      <c r="C22" s="105">
        <v>11849</v>
      </c>
      <c r="D22" s="105">
        <v>14725</v>
      </c>
    </row>
    <row r="23" spans="1:4" ht="14.5">
      <c r="A23" t="s">
        <v>5750</v>
      </c>
      <c r="B23" s="380" t="str">
        <f>CONCATENATE(LEFT(RIGHT(CONCATENATE("000",FTG_Data1920!A23),6),3),"-",(RIGHT(RIGHT(CONCATENATE("000",FTG_Data1920!A23),6),3)))</f>
        <v>007-902</v>
      </c>
      <c r="C23" s="105">
        <v>11634</v>
      </c>
      <c r="D23" s="105">
        <v>11295</v>
      </c>
    </row>
    <row r="24" spans="1:4" ht="14.5">
      <c r="A24" t="s">
        <v>2857</v>
      </c>
      <c r="B24" s="380" t="str">
        <f>CONCATENATE(LEFT(RIGHT(CONCATENATE("000",FTG_Data1920!A24),6),3),"-",(RIGHT(RIGHT(CONCATENATE("000",FTG_Data1920!A24),6),3)))</f>
        <v>007-904</v>
      </c>
      <c r="C24" s="105">
        <v>9975</v>
      </c>
      <c r="D24" s="105">
        <v>9685</v>
      </c>
    </row>
    <row r="25" spans="1:4" ht="14.5">
      <c r="A25" t="s">
        <v>2858</v>
      </c>
      <c r="B25" s="380" t="str">
        <f>CONCATENATE(LEFT(RIGHT(CONCATENATE("000",FTG_Data1920!A25),6),3),"-",(RIGHT(RIGHT(CONCATENATE("000",FTG_Data1920!A25),6),3)))</f>
        <v>007-905</v>
      </c>
      <c r="C25" s="105">
        <v>11244</v>
      </c>
      <c r="D25" s="105">
        <v>10916</v>
      </c>
    </row>
    <row r="26" spans="1:4" ht="14.5">
      <c r="A26" t="s">
        <v>2859</v>
      </c>
      <c r="B26" s="380" t="str">
        <f>CONCATENATE(LEFT(RIGHT(CONCATENATE("000",FTG_Data1920!A26),6),3),"-",(RIGHT(RIGHT(CONCATENATE("000",FTG_Data1920!A26),6),3)))</f>
        <v>007-906</v>
      </c>
      <c r="C26" s="105">
        <v>11064</v>
      </c>
      <c r="D26" s="105">
        <v>10741</v>
      </c>
    </row>
    <row r="27" spans="1:4" ht="14.5">
      <c r="A27" t="s">
        <v>4928</v>
      </c>
      <c r="B27" s="380" t="str">
        <f>CONCATENATE(LEFT(RIGHT(CONCATENATE("000",FTG_Data1920!A27),6),3),"-",(RIGHT(RIGHT(CONCATENATE("000",FTG_Data1920!A27),6),3)))</f>
        <v>008-901</v>
      </c>
      <c r="C27" s="105">
        <v>10003</v>
      </c>
      <c r="D27" s="105">
        <v>9712</v>
      </c>
    </row>
    <row r="28" spans="1:4" ht="14.5">
      <c r="A28" t="s">
        <v>4929</v>
      </c>
      <c r="B28" s="380" t="str">
        <f>CONCATENATE(LEFT(RIGHT(CONCATENATE("000",FTG_Data1920!A28),6),3),"-",(RIGHT(RIGHT(CONCATENATE("000",FTG_Data1920!A28),6),3)))</f>
        <v>008-902</v>
      </c>
      <c r="C28" s="105">
        <v>8779</v>
      </c>
      <c r="D28" s="105">
        <v>8524</v>
      </c>
    </row>
    <row r="29" spans="1:4" ht="14.5">
      <c r="A29" t="s">
        <v>4930</v>
      </c>
      <c r="B29" s="380" t="str">
        <f>CONCATENATE(LEFT(RIGHT(CONCATENATE("000",FTG_Data1920!A29),6),3),"-",(RIGHT(RIGHT(CONCATENATE("000",FTG_Data1920!A29),6),3)))</f>
        <v>008-903</v>
      </c>
      <c r="C29" s="105">
        <v>11849</v>
      </c>
      <c r="D29" s="105">
        <v>11696</v>
      </c>
    </row>
    <row r="30" spans="1:4" ht="14.5">
      <c r="A30" t="s">
        <v>2860</v>
      </c>
      <c r="B30" s="380" t="str">
        <f>CONCATENATE(LEFT(RIGHT(CONCATENATE("000",FTG_Data1920!A30),6),3),"-",(RIGHT(RIGHT(CONCATENATE("000",FTG_Data1920!A30),6),3)))</f>
        <v>009-901</v>
      </c>
      <c r="C30" s="105">
        <v>11665</v>
      </c>
      <c r="D30" s="105">
        <v>11325</v>
      </c>
    </row>
    <row r="31" spans="1:4" ht="14.5">
      <c r="A31" t="s">
        <v>5751</v>
      </c>
      <c r="B31" s="380" t="str">
        <f>CONCATENATE(LEFT(RIGHT(CONCATENATE("000",FTG_Data1920!A31),6),3),"-",(RIGHT(RIGHT(CONCATENATE("000",FTG_Data1920!A31),6),3)))</f>
        <v>010-901</v>
      </c>
      <c r="C31" s="105">
        <v>11849</v>
      </c>
      <c r="D31" s="105">
        <v>13060</v>
      </c>
    </row>
    <row r="32" spans="1:4" ht="14.5">
      <c r="A32" t="s">
        <v>2861</v>
      </c>
      <c r="B32" s="380" t="str">
        <f>CONCATENATE(LEFT(RIGHT(CONCATENATE("000",FTG_Data1920!A32),6),3),"-",(RIGHT(RIGHT(CONCATENATE("000",FTG_Data1920!A32),6),3)))</f>
        <v>010-902</v>
      </c>
      <c r="C32" s="105">
        <v>9176</v>
      </c>
      <c r="D32" s="105">
        <v>8909</v>
      </c>
    </row>
    <row r="33" spans="1:4" ht="14.5">
      <c r="A33" t="s">
        <v>2862</v>
      </c>
      <c r="B33" s="380" t="str">
        <f>CONCATENATE(LEFT(RIGHT(CONCATENATE("000",FTG_Data1920!A33),6),3),"-",(RIGHT(RIGHT(CONCATENATE("000",FTG_Data1920!A33),6),3)))</f>
        <v>011-901</v>
      </c>
      <c r="C33" s="105">
        <v>8779</v>
      </c>
      <c r="D33" s="105">
        <v>8523</v>
      </c>
    </row>
    <row r="34" spans="1:4" ht="14.5">
      <c r="A34" t="s">
        <v>2863</v>
      </c>
      <c r="B34" s="380" t="str">
        <f>CONCATENATE(LEFT(RIGHT(CONCATENATE("000",FTG_Data1920!A34),6),3),"-",(RIGHT(RIGHT(CONCATENATE("000",FTG_Data1920!A34),6),3)))</f>
        <v>011-902</v>
      </c>
      <c r="C34" s="105">
        <v>9995</v>
      </c>
      <c r="D34" s="105">
        <v>9704</v>
      </c>
    </row>
    <row r="35" spans="1:4" ht="14.5">
      <c r="A35" t="s">
        <v>2864</v>
      </c>
      <c r="B35" s="380" t="str">
        <f>CONCATENATE(LEFT(RIGHT(CONCATENATE("000",FTG_Data1920!A35),6),3),"-",(RIGHT(RIGHT(CONCATENATE("000",FTG_Data1920!A35),6),3)))</f>
        <v>011-904</v>
      </c>
      <c r="C35" s="105">
        <v>10367</v>
      </c>
      <c r="D35" s="105">
        <v>10065</v>
      </c>
    </row>
    <row r="36" spans="1:4" ht="14.5">
      <c r="A36" t="s">
        <v>2865</v>
      </c>
      <c r="B36" s="380" t="str">
        <f>CONCATENATE(LEFT(RIGHT(CONCATENATE("000",FTG_Data1920!A36),6),3),"-",(RIGHT(RIGHT(CONCATENATE("000",FTG_Data1920!A36),6),3)))</f>
        <v>011-905</v>
      </c>
      <c r="C36" s="105">
        <v>11301</v>
      </c>
      <c r="D36" s="105">
        <v>10972</v>
      </c>
    </row>
    <row r="37" spans="1:4" ht="14.5">
      <c r="A37" t="s">
        <v>5752</v>
      </c>
      <c r="B37" s="380" t="str">
        <f>CONCATENATE(LEFT(RIGHT(CONCATENATE("000",FTG_Data1920!A37),6),3),"-",(RIGHT(RIGHT(CONCATENATE("000",FTG_Data1920!A37),6),3)))</f>
        <v>012-901</v>
      </c>
      <c r="C37" s="105">
        <v>11849</v>
      </c>
      <c r="D37" s="105">
        <v>12515</v>
      </c>
    </row>
    <row r="38" spans="1:4" ht="14.5">
      <c r="A38" t="s">
        <v>7919</v>
      </c>
      <c r="B38" s="380" t="str">
        <f>CONCATENATE(LEFT(RIGHT(CONCATENATE("000",FTG_Data1920!A38),6),3),"-",(RIGHT(RIGHT(CONCATENATE("000",FTG_Data1920!A38),6),3)))</f>
        <v>013-801</v>
      </c>
      <c r="C38" s="105">
        <v>10159</v>
      </c>
      <c r="D38" s="105">
        <v>9863</v>
      </c>
    </row>
    <row r="39" spans="1:4" ht="14.5">
      <c r="A39" t="s">
        <v>2866</v>
      </c>
      <c r="B39" s="380" t="str">
        <f>CONCATENATE(LEFT(RIGHT(CONCATENATE("000",FTG_Data1920!A39),6),3),"-",(RIGHT(RIGHT(CONCATENATE("000",FTG_Data1920!A39),6),3)))</f>
        <v>013-901</v>
      </c>
      <c r="C39" s="105">
        <v>10148</v>
      </c>
      <c r="D39" s="105">
        <v>9852</v>
      </c>
    </row>
    <row r="40" spans="1:4" ht="14.5">
      <c r="A40" t="s">
        <v>4931</v>
      </c>
      <c r="B40" s="380" t="str">
        <f>CONCATENATE(LEFT(RIGHT(CONCATENATE("000",FTG_Data1920!A40),6),3),"-",(RIGHT(RIGHT(CONCATENATE("000",FTG_Data1920!A40),6),3)))</f>
        <v>013-902</v>
      </c>
      <c r="C40" s="105">
        <v>11849</v>
      </c>
      <c r="D40" s="105">
        <v>12002</v>
      </c>
    </row>
    <row r="41" spans="1:4" ht="14.5">
      <c r="A41" t="s">
        <v>4932</v>
      </c>
      <c r="B41" s="380" t="str">
        <f>CONCATENATE(LEFT(RIGHT(CONCATENATE("000",FTG_Data1920!A41),6),3),"-",(RIGHT(RIGHT(CONCATENATE("000",FTG_Data1920!A41),6),3)))</f>
        <v>013-903</v>
      </c>
      <c r="C41" s="105">
        <v>11849</v>
      </c>
      <c r="D41" s="105">
        <v>12495</v>
      </c>
    </row>
    <row r="42" spans="1:4" ht="14.5">
      <c r="A42" t="s">
        <v>2867</v>
      </c>
      <c r="B42" s="380" t="str">
        <f>CONCATENATE(LEFT(RIGHT(CONCATENATE("000",FTG_Data1920!A42),6),3),"-",(RIGHT(RIGHT(CONCATENATE("000",FTG_Data1920!A42),6),3)))</f>
        <v>013-905</v>
      </c>
      <c r="C42" s="105">
        <v>11774</v>
      </c>
      <c r="D42" s="105">
        <v>11431</v>
      </c>
    </row>
    <row r="43" spans="1:4" ht="14.5">
      <c r="A43" t="s">
        <v>7920</v>
      </c>
      <c r="B43" s="380" t="str">
        <f>CONCATENATE(LEFT(RIGHT(CONCATENATE("000",FTG_Data1920!A43),6),3),"-",(RIGHT(RIGHT(CONCATENATE("000",FTG_Data1920!A43),6),3)))</f>
        <v>014-801</v>
      </c>
      <c r="C43" s="105">
        <v>11755</v>
      </c>
      <c r="D43" s="105">
        <v>11413</v>
      </c>
    </row>
    <row r="44" spans="1:4" ht="14.5">
      <c r="A44" t="s">
        <v>7921</v>
      </c>
      <c r="B44" s="380" t="str">
        <f>CONCATENATE(LEFT(RIGHT(CONCATENATE("000",FTG_Data1920!A44),6),3),"-",(RIGHT(RIGHT(CONCATENATE("000",FTG_Data1920!A44),6),3)))</f>
        <v>014-803</v>
      </c>
      <c r="C44" s="105">
        <v>10359</v>
      </c>
      <c r="D44" s="105">
        <v>10057</v>
      </c>
    </row>
    <row r="45" spans="1:4" ht="14.5">
      <c r="A45" t="s">
        <v>7922</v>
      </c>
      <c r="B45" s="380" t="str">
        <f>CONCATENATE(LEFT(RIGHT(CONCATENATE("000",FTG_Data1920!A45),6),3),"-",(RIGHT(RIGHT(CONCATENATE("000",FTG_Data1920!A45),6),3)))</f>
        <v>014-804</v>
      </c>
      <c r="C45" s="105">
        <v>9646</v>
      </c>
      <c r="D45" s="105">
        <v>9365</v>
      </c>
    </row>
    <row r="46" spans="1:4" ht="14.5">
      <c r="A46" t="s">
        <v>4933</v>
      </c>
      <c r="B46" s="380" t="str">
        <f>CONCATENATE(LEFT(RIGHT(CONCATENATE("000",FTG_Data1920!A46),6),3),"-",(RIGHT(RIGHT(CONCATENATE("000",FTG_Data1920!A46),6),3)))</f>
        <v>014-901</v>
      </c>
      <c r="C46" s="105">
        <v>8690</v>
      </c>
      <c r="D46" s="105">
        <v>8437</v>
      </c>
    </row>
    <row r="47" spans="1:4" ht="14.5">
      <c r="A47" t="s">
        <v>2868</v>
      </c>
      <c r="B47" s="380" t="str">
        <f>CONCATENATE(LEFT(RIGHT(CONCATENATE("000",FTG_Data1920!A47),6),3),"-",(RIGHT(RIGHT(CONCATENATE("000",FTG_Data1920!A47),6),3)))</f>
        <v>014-902</v>
      </c>
      <c r="C47" s="105">
        <v>11153</v>
      </c>
      <c r="D47" s="105">
        <v>10828</v>
      </c>
    </row>
    <row r="48" spans="1:4" ht="14.5">
      <c r="A48" t="s">
        <v>2869</v>
      </c>
      <c r="B48" s="380" t="str">
        <f>CONCATENATE(LEFT(RIGHT(CONCATENATE("000",FTG_Data1920!A48),6),3),"-",(RIGHT(RIGHT(CONCATENATE("000",FTG_Data1920!A48),6),3)))</f>
        <v>014-903</v>
      </c>
      <c r="C48" s="105">
        <v>9370</v>
      </c>
      <c r="D48" s="105">
        <v>9097</v>
      </c>
    </row>
    <row r="49" spans="1:4" ht="14.5">
      <c r="A49" t="s">
        <v>2870</v>
      </c>
      <c r="B49" s="380" t="str">
        <f>CONCATENATE(LEFT(RIGHT(CONCATENATE("000",FTG_Data1920!A49),6),3),"-",(RIGHT(RIGHT(CONCATENATE("000",FTG_Data1920!A49),6),3)))</f>
        <v>014-905</v>
      </c>
      <c r="C49" s="105">
        <v>10695</v>
      </c>
      <c r="D49" s="105">
        <v>10383</v>
      </c>
    </row>
    <row r="50" spans="1:4" ht="14.5">
      <c r="A50" t="s">
        <v>2871</v>
      </c>
      <c r="B50" s="380" t="str">
        <f>CONCATENATE(LEFT(RIGHT(CONCATENATE("000",FTG_Data1920!A50),6),3),"-",(RIGHT(RIGHT(CONCATENATE("000",FTG_Data1920!A50),6),3)))</f>
        <v>014-906</v>
      </c>
      <c r="C50" s="105">
        <v>8692</v>
      </c>
      <c r="D50" s="105">
        <v>8439</v>
      </c>
    </row>
    <row r="51" spans="1:4" ht="14.5">
      <c r="A51" t="s">
        <v>2872</v>
      </c>
      <c r="B51" s="380" t="str">
        <f>CONCATENATE(LEFT(RIGHT(CONCATENATE("000",FTG_Data1920!A51),6),3),"-",(RIGHT(RIGHT(CONCATENATE("000",FTG_Data1920!A51),6),3)))</f>
        <v>014-907</v>
      </c>
      <c r="C51" s="105">
        <v>9871</v>
      </c>
      <c r="D51" s="105">
        <v>9584</v>
      </c>
    </row>
    <row r="52" spans="1:4" ht="14.5">
      <c r="A52" t="s">
        <v>2873</v>
      </c>
      <c r="B52" s="380" t="str">
        <f>CONCATENATE(LEFT(RIGHT(CONCATENATE("000",FTG_Data1920!A52),6),3),"-",(RIGHT(RIGHT(CONCATENATE("000",FTG_Data1920!A52),6),3)))</f>
        <v>014-908</v>
      </c>
      <c r="C52" s="105">
        <v>8551</v>
      </c>
      <c r="D52" s="105">
        <v>8302</v>
      </c>
    </row>
    <row r="53" spans="1:4" ht="14.5">
      <c r="A53" t="s">
        <v>2874</v>
      </c>
      <c r="B53" s="380" t="str">
        <f>CONCATENATE(LEFT(RIGHT(CONCATENATE("000",FTG_Data1920!A53),6),3),"-",(RIGHT(RIGHT(CONCATENATE("000",FTG_Data1920!A53),6),3)))</f>
        <v>014-909</v>
      </c>
      <c r="C53" s="105">
        <v>10036</v>
      </c>
      <c r="D53" s="105">
        <v>9744</v>
      </c>
    </row>
    <row r="54" spans="1:4" ht="14.5">
      <c r="A54" t="s">
        <v>2875</v>
      </c>
      <c r="B54" s="380" t="str">
        <f>CONCATENATE(LEFT(RIGHT(CONCATENATE("000",FTG_Data1920!A54),6),3),"-",(RIGHT(RIGHT(CONCATENATE("000",FTG_Data1920!A54),6),3)))</f>
        <v>014-910</v>
      </c>
      <c r="C54" s="105">
        <v>8749</v>
      </c>
      <c r="D54" s="105">
        <v>8494</v>
      </c>
    </row>
    <row r="55" spans="1:4" ht="14.5">
      <c r="A55" t="s">
        <v>7923</v>
      </c>
      <c r="B55" s="380" t="str">
        <f>CONCATENATE(LEFT(RIGHT(CONCATENATE("000",FTG_Data1920!A55),6),3),"-",(RIGHT(RIGHT(CONCATENATE("000",FTG_Data1920!A55),6),3)))</f>
        <v>015-801</v>
      </c>
      <c r="C55" s="105">
        <v>11849</v>
      </c>
      <c r="D55" s="105">
        <v>12443</v>
      </c>
    </row>
    <row r="56" spans="1:4" ht="14.5">
      <c r="A56" t="s">
        <v>7924</v>
      </c>
      <c r="B56" s="380" t="str">
        <f>CONCATENATE(LEFT(RIGHT(CONCATENATE("000",FTG_Data1920!A56),6),3),"-",(RIGHT(RIGHT(CONCATENATE("000",FTG_Data1920!A56),6),3)))</f>
        <v>015-802</v>
      </c>
      <c r="C56" s="105">
        <v>11552</v>
      </c>
      <c r="D56" s="105">
        <v>11215</v>
      </c>
    </row>
    <row r="57" spans="1:4" ht="14.5">
      <c r="A57" t="s">
        <v>7925</v>
      </c>
      <c r="B57" s="380" t="str">
        <f>CONCATENATE(LEFT(RIGHT(CONCATENATE("000",FTG_Data1920!A57),6),3),"-",(RIGHT(RIGHT(CONCATENATE("000",FTG_Data1920!A57),6),3)))</f>
        <v>015-805</v>
      </c>
      <c r="C57" s="105">
        <v>10425</v>
      </c>
      <c r="D57" s="105">
        <v>10122</v>
      </c>
    </row>
    <row r="58" spans="1:4" ht="14.5">
      <c r="A58" t="s">
        <v>7926</v>
      </c>
      <c r="B58" s="380" t="str">
        <f>CONCATENATE(LEFT(RIGHT(CONCATENATE("000",FTG_Data1920!A58),6),3),"-",(RIGHT(RIGHT(CONCATENATE("000",FTG_Data1920!A58),6),3)))</f>
        <v>015-806</v>
      </c>
      <c r="C58" s="105">
        <v>11849</v>
      </c>
      <c r="D58" s="105">
        <v>11615</v>
      </c>
    </row>
    <row r="59" spans="1:4" ht="14.5">
      <c r="A59" t="s">
        <v>7927</v>
      </c>
      <c r="B59" s="380" t="str">
        <f>CONCATENATE(LEFT(RIGHT(CONCATENATE("000",FTG_Data1920!A59),6),3),"-",(RIGHT(RIGHT(CONCATENATE("000",FTG_Data1920!A59),6),3)))</f>
        <v>015-807</v>
      </c>
      <c r="C59" s="105">
        <v>11071</v>
      </c>
      <c r="D59" s="105">
        <v>10749</v>
      </c>
    </row>
    <row r="60" spans="1:4" ht="14.5">
      <c r="A60" t="s">
        <v>7928</v>
      </c>
      <c r="B60" s="380" t="str">
        <f>CONCATENATE(LEFT(RIGHT(CONCATENATE("000",FTG_Data1920!A60),6),3),"-",(RIGHT(RIGHT(CONCATENATE("000",FTG_Data1920!A60),6),3)))</f>
        <v>015-808</v>
      </c>
      <c r="C60" s="105">
        <v>11849</v>
      </c>
      <c r="D60" s="105">
        <v>13967</v>
      </c>
    </row>
    <row r="61" spans="1:4" ht="14.5">
      <c r="A61" t="s">
        <v>7929</v>
      </c>
      <c r="B61" s="380" t="str">
        <f>CONCATENATE(LEFT(RIGHT(CONCATENATE("000",FTG_Data1920!A61),6),3),"-",(RIGHT(RIGHT(CONCATENATE("000",FTG_Data1920!A61),6),3)))</f>
        <v>015-809</v>
      </c>
      <c r="C61" s="105">
        <v>11201</v>
      </c>
      <c r="D61" s="105">
        <v>10875</v>
      </c>
    </row>
    <row r="62" spans="1:4" ht="14.5">
      <c r="A62" t="s">
        <v>7930</v>
      </c>
      <c r="B62" s="380" t="str">
        <f>CONCATENATE(LEFT(RIGHT(CONCATENATE("000",FTG_Data1920!A62),6),3),"-",(RIGHT(RIGHT(CONCATENATE("000",FTG_Data1920!A62),6),3)))</f>
        <v>015-814</v>
      </c>
      <c r="C62" s="105">
        <v>11720</v>
      </c>
      <c r="D62" s="105">
        <v>11379</v>
      </c>
    </row>
    <row r="63" spans="1:4" ht="14.5">
      <c r="A63" t="s">
        <v>7931</v>
      </c>
      <c r="B63" s="380" t="str">
        <f>CONCATENATE(LEFT(RIGHT(CONCATENATE("000",FTG_Data1920!A63),6),3),"-",(RIGHT(RIGHT(CONCATENATE("000",FTG_Data1920!A63),6),3)))</f>
        <v>015-815</v>
      </c>
      <c r="C63" s="105">
        <v>10696</v>
      </c>
      <c r="D63" s="105">
        <v>10384</v>
      </c>
    </row>
    <row r="64" spans="1:4" ht="14.5">
      <c r="A64" t="s">
        <v>7932</v>
      </c>
      <c r="B64" s="380" t="str">
        <f>CONCATENATE(LEFT(RIGHT(CONCATENATE("000",FTG_Data1920!A64),6),3),"-",(RIGHT(RIGHT(CONCATENATE("000",FTG_Data1920!A64),6),3)))</f>
        <v>015-822</v>
      </c>
      <c r="C64" s="105">
        <v>10461</v>
      </c>
      <c r="D64" s="105">
        <v>10157</v>
      </c>
    </row>
    <row r="65" spans="1:4" ht="14.5">
      <c r="A65" t="s">
        <v>7933</v>
      </c>
      <c r="B65" s="380" t="str">
        <f>CONCATENATE(LEFT(RIGHT(CONCATENATE("000",FTG_Data1920!A65),6),3),"-",(RIGHT(RIGHT(CONCATENATE("000",FTG_Data1920!A65),6),3)))</f>
        <v>015-825</v>
      </c>
      <c r="C65" s="105">
        <v>10810</v>
      </c>
      <c r="D65" s="105">
        <v>10495</v>
      </c>
    </row>
    <row r="66" spans="1:4" ht="14.5">
      <c r="A66" t="s">
        <v>7934</v>
      </c>
      <c r="B66" s="380" t="str">
        <f>CONCATENATE(LEFT(RIGHT(CONCATENATE("000",FTG_Data1920!A66),6),3),"-",(RIGHT(RIGHT(CONCATENATE("000",FTG_Data1920!A66),6),3)))</f>
        <v>015-827</v>
      </c>
      <c r="C66" s="105">
        <v>10128</v>
      </c>
      <c r="D66" s="105">
        <v>9833</v>
      </c>
    </row>
    <row r="67" spans="1:4" ht="14.5">
      <c r="A67" t="s">
        <v>7935</v>
      </c>
      <c r="B67" s="380" t="str">
        <f>CONCATENATE(LEFT(RIGHT(CONCATENATE("000",FTG_Data1920!A67),6),3),"-",(RIGHT(RIGHT(CONCATENATE("000",FTG_Data1920!A67),6),3)))</f>
        <v>015-828</v>
      </c>
      <c r="C67" s="105">
        <v>10875</v>
      </c>
      <c r="D67" s="105">
        <v>10558</v>
      </c>
    </row>
    <row r="68" spans="1:4" ht="14.5">
      <c r="A68" t="s">
        <v>7936</v>
      </c>
      <c r="B68" s="380" t="str">
        <f>CONCATENATE(LEFT(RIGHT(CONCATENATE("000",FTG_Data1920!A68),6),3),"-",(RIGHT(RIGHT(CONCATENATE("000",FTG_Data1920!A68),6),3)))</f>
        <v>015-830</v>
      </c>
      <c r="C68" s="105">
        <v>10608</v>
      </c>
      <c r="D68" s="105">
        <v>10299</v>
      </c>
    </row>
    <row r="69" spans="1:4" ht="14.5">
      <c r="A69" t="s">
        <v>7937</v>
      </c>
      <c r="B69" s="380" t="str">
        <f>CONCATENATE(LEFT(RIGHT(CONCATENATE("000",FTG_Data1920!A69),6),3),"-",(RIGHT(RIGHT(CONCATENATE("000",FTG_Data1920!A69),6),3)))</f>
        <v>015-831</v>
      </c>
      <c r="C69" s="105">
        <v>10007</v>
      </c>
      <c r="D69" s="105">
        <v>9715</v>
      </c>
    </row>
    <row r="70" spans="1:4" ht="14.5">
      <c r="A70" t="s">
        <v>7938</v>
      </c>
      <c r="B70" s="380" t="str">
        <f>CONCATENATE(LEFT(RIGHT(CONCATENATE("000",FTG_Data1920!A70),6),3),"-",(RIGHT(RIGHT(CONCATENATE("000",FTG_Data1920!A70),6),3)))</f>
        <v>015-833</v>
      </c>
      <c r="C70" s="105">
        <v>10591</v>
      </c>
      <c r="D70" s="105">
        <v>10282</v>
      </c>
    </row>
    <row r="71" spans="1:4" ht="14.5">
      <c r="A71" t="s">
        <v>7939</v>
      </c>
      <c r="B71" s="380" t="str">
        <f>CONCATENATE(LEFT(RIGHT(CONCATENATE("000",FTG_Data1920!A71),6),3),"-",(RIGHT(RIGHT(CONCATENATE("000",FTG_Data1920!A71),6),3)))</f>
        <v>015-834</v>
      </c>
      <c r="C71" s="105">
        <v>8421</v>
      </c>
      <c r="D71" s="105">
        <v>8176</v>
      </c>
    </row>
    <row r="72" spans="1:4" ht="14.5">
      <c r="A72" t="s">
        <v>7940</v>
      </c>
      <c r="B72" s="380" t="str">
        <f>CONCATENATE(LEFT(RIGHT(CONCATENATE("000",FTG_Data1920!A72),6),3),"-",(RIGHT(RIGHT(CONCATENATE("000",FTG_Data1920!A72),6),3)))</f>
        <v>015-835</v>
      </c>
      <c r="C72" s="105">
        <v>9044</v>
      </c>
      <c r="D72" s="105">
        <v>8780</v>
      </c>
    </row>
    <row r="73" spans="1:4" ht="14.5">
      <c r="A73" t="s">
        <v>7941</v>
      </c>
      <c r="B73" s="380" t="str">
        <f>CONCATENATE(LEFT(RIGHT(CONCATENATE("000",FTG_Data1920!A73),6),3),"-",(RIGHT(RIGHT(CONCATENATE("000",FTG_Data1920!A73),6),3)))</f>
        <v>015-836</v>
      </c>
      <c r="C73" s="105">
        <v>8854</v>
      </c>
      <c r="D73" s="105">
        <v>8597</v>
      </c>
    </row>
    <row r="74" spans="1:4" ht="14.5">
      <c r="A74" t="s">
        <v>7942</v>
      </c>
      <c r="B74" s="380" t="str">
        <f>CONCATENATE(LEFT(RIGHT(CONCATENATE("000",FTG_Data1920!A74),6),3),"-",(RIGHT(RIGHT(CONCATENATE("000",FTG_Data1920!A74),6),3)))</f>
        <v>015-838</v>
      </c>
      <c r="C74" s="105">
        <v>10333</v>
      </c>
      <c r="D74" s="105">
        <v>10032</v>
      </c>
    </row>
    <row r="75" spans="1:4" ht="14.5">
      <c r="A75" t="s">
        <v>4934</v>
      </c>
      <c r="B75" s="380" t="str">
        <f>CONCATENATE(LEFT(RIGHT(CONCATENATE("000",FTG_Data1920!A75),6),3),"-",(RIGHT(RIGHT(CONCATENATE("000",FTG_Data1920!A75),6),3)))</f>
        <v>015-901</v>
      </c>
      <c r="C75" s="105">
        <v>7851</v>
      </c>
      <c r="D75" s="105">
        <v>7623</v>
      </c>
    </row>
    <row r="76" spans="1:4" ht="14.5">
      <c r="A76" t="s">
        <v>2876</v>
      </c>
      <c r="B76" s="380" t="str">
        <f>CONCATENATE(LEFT(RIGHT(CONCATENATE("000",FTG_Data1920!A76),6),3),"-",(RIGHT(RIGHT(CONCATENATE("000",FTG_Data1920!A76),6),3)))</f>
        <v>015-904</v>
      </c>
      <c r="C76" s="105">
        <v>9969</v>
      </c>
      <c r="D76" s="105">
        <v>9679</v>
      </c>
    </row>
    <row r="77" spans="1:4" ht="14.5">
      <c r="A77" t="s">
        <v>2877</v>
      </c>
      <c r="B77" s="380" t="str">
        <f>CONCATENATE(LEFT(RIGHT(CONCATENATE("000",FTG_Data1920!A77),6),3),"-",(RIGHT(RIGHT(CONCATENATE("000",FTG_Data1920!A77),6),3)))</f>
        <v>015-905</v>
      </c>
      <c r="C77" s="105">
        <v>10234</v>
      </c>
      <c r="D77" s="105">
        <v>9936</v>
      </c>
    </row>
    <row r="78" spans="1:4" ht="14.5">
      <c r="A78" t="s">
        <v>7351</v>
      </c>
      <c r="B78" s="380" t="str">
        <f>CONCATENATE(LEFT(RIGHT(CONCATENATE("000",FTG_Data1920!A78),6),3),"-",(RIGHT(RIGHT(CONCATENATE("000",FTG_Data1920!A78),6),3)))</f>
        <v>015-906</v>
      </c>
      <c r="C78" s="105">
        <v>7472</v>
      </c>
      <c r="D78" s="105">
        <v>7254</v>
      </c>
    </row>
    <row r="79" spans="1:4" ht="14.5">
      <c r="A79" t="s">
        <v>2878</v>
      </c>
      <c r="B79" s="380" t="str">
        <f>CONCATENATE(LEFT(RIGHT(CONCATENATE("000",FTG_Data1920!A79),6),3),"-",(RIGHT(RIGHT(CONCATENATE("000",FTG_Data1920!A79),6),3)))</f>
        <v>015-907</v>
      </c>
      <c r="C79" s="105">
        <v>10258</v>
      </c>
      <c r="D79" s="105">
        <v>9960</v>
      </c>
    </row>
    <row r="80" spans="1:4" ht="14.5">
      <c r="A80" t="s">
        <v>2879</v>
      </c>
      <c r="B80" s="380" t="str">
        <f>CONCATENATE(LEFT(RIGHT(CONCATENATE("000",FTG_Data1920!A80),6),3),"-",(RIGHT(RIGHT(CONCATENATE("000",FTG_Data1920!A80),6),3)))</f>
        <v>015-908</v>
      </c>
      <c r="C80" s="105">
        <v>9095</v>
      </c>
      <c r="D80" s="105">
        <v>8830</v>
      </c>
    </row>
    <row r="81" spans="1:4" ht="14.5">
      <c r="A81" t="s">
        <v>2880</v>
      </c>
      <c r="B81" s="380" t="str">
        <f>CONCATENATE(LEFT(RIGHT(CONCATENATE("000",FTG_Data1920!A81),6),3),"-",(RIGHT(RIGHT(CONCATENATE("000",FTG_Data1920!A81),6),3)))</f>
        <v>015-909</v>
      </c>
      <c r="C81" s="105">
        <v>10107</v>
      </c>
      <c r="D81" s="105">
        <v>9812</v>
      </c>
    </row>
    <row r="82" spans="1:4" ht="14.5">
      <c r="A82" t="s">
        <v>2881</v>
      </c>
      <c r="B82" s="380" t="str">
        <f>CONCATENATE(LEFT(RIGHT(CONCATENATE("000",FTG_Data1920!A82),6),3),"-",(RIGHT(RIGHT(CONCATENATE("000",FTG_Data1920!A82),6),3)))</f>
        <v>015-910</v>
      </c>
      <c r="C82" s="105">
        <v>8300</v>
      </c>
      <c r="D82" s="105">
        <v>8058</v>
      </c>
    </row>
    <row r="83" spans="1:4" ht="14.5">
      <c r="A83" t="s">
        <v>2882</v>
      </c>
      <c r="B83" s="380" t="str">
        <f>CONCATENATE(LEFT(RIGHT(CONCATENATE("000",FTG_Data1920!A83),6),3),"-",(RIGHT(RIGHT(CONCATENATE("000",FTG_Data1920!A83),6),3)))</f>
        <v>015-911</v>
      </c>
      <c r="C83" s="105">
        <v>8878</v>
      </c>
      <c r="D83" s="105">
        <v>8619</v>
      </c>
    </row>
    <row r="84" spans="1:4" ht="14.5">
      <c r="A84" t="s">
        <v>2883</v>
      </c>
      <c r="B84" s="380" t="str">
        <f>CONCATENATE(LEFT(RIGHT(CONCATENATE("000",FTG_Data1920!A84),6),3),"-",(RIGHT(RIGHT(CONCATENATE("000",FTG_Data1920!A84),6),3)))</f>
        <v>015-912</v>
      </c>
      <c r="C84" s="105">
        <v>9550</v>
      </c>
      <c r="D84" s="105">
        <v>9272</v>
      </c>
    </row>
    <row r="85" spans="1:4" ht="14.5">
      <c r="A85" t="s">
        <v>7352</v>
      </c>
      <c r="B85" s="380" t="str">
        <f>CONCATENATE(LEFT(RIGHT(CONCATENATE("000",FTG_Data1920!A85),6),3),"-",(RIGHT(RIGHT(CONCATENATE("000",FTG_Data1920!A85),6),3)))</f>
        <v>015-913</v>
      </c>
      <c r="C85" s="105">
        <v>8794</v>
      </c>
      <c r="D85" s="105">
        <v>8538</v>
      </c>
    </row>
    <row r="86" spans="1:4" ht="14.5">
      <c r="A86" t="s">
        <v>7353</v>
      </c>
      <c r="B86" s="380" t="str">
        <f>CONCATENATE(LEFT(RIGHT(CONCATENATE("000",FTG_Data1920!A86),6),3),"-",(RIGHT(RIGHT(CONCATENATE("000",FTG_Data1920!A86),6),3)))</f>
        <v>015-914</v>
      </c>
      <c r="C86" s="105">
        <v>7999</v>
      </c>
      <c r="D86" s="105">
        <v>7766</v>
      </c>
    </row>
    <row r="87" spans="1:4" ht="14.5">
      <c r="A87" t="s">
        <v>2884</v>
      </c>
      <c r="B87" s="380" t="str">
        <f>CONCATENATE(LEFT(RIGHT(CONCATENATE("000",FTG_Data1920!A87),6),3),"-",(RIGHT(RIGHT(CONCATENATE("000",FTG_Data1920!A87),6),3)))</f>
        <v>015-915</v>
      </c>
      <c r="C87" s="105">
        <v>8485</v>
      </c>
      <c r="D87" s="105">
        <v>8238</v>
      </c>
    </row>
    <row r="88" spans="1:4" ht="14.5">
      <c r="A88" t="s">
        <v>2885</v>
      </c>
      <c r="B88" s="380" t="str">
        <f>CONCATENATE(LEFT(RIGHT(CONCATENATE("000",FTG_Data1920!A88),6),3),"-",(RIGHT(RIGHT(CONCATENATE("000",FTG_Data1920!A88),6),3)))</f>
        <v>015-916</v>
      </c>
      <c r="C88" s="105">
        <v>8792</v>
      </c>
      <c r="D88" s="105">
        <v>8536</v>
      </c>
    </row>
    <row r="89" spans="1:4" ht="14.5">
      <c r="A89" t="s">
        <v>2886</v>
      </c>
      <c r="B89" s="380" t="str">
        <f>CONCATENATE(LEFT(RIGHT(CONCATENATE("000",FTG_Data1920!A89),6),3),"-",(RIGHT(RIGHT(CONCATENATE("000",FTG_Data1920!A89),6),3)))</f>
        <v>015-917</v>
      </c>
      <c r="C89" s="105">
        <v>10657</v>
      </c>
      <c r="D89" s="105">
        <v>10346</v>
      </c>
    </row>
    <row r="90" spans="1:4" ht="14.5">
      <c r="A90" t="s">
        <v>8502</v>
      </c>
      <c r="B90" s="380" t="str">
        <f>CONCATENATE(LEFT(RIGHT(CONCATENATE("000",FTG_Data1920!A90),6),3),"-",(RIGHT(RIGHT(CONCATENATE("000",FTG_Data1920!A90),6),3)))</f>
        <v>015-950</v>
      </c>
      <c r="C90" s="105">
        <v>11849</v>
      </c>
      <c r="D90" s="105">
        <v>0</v>
      </c>
    </row>
    <row r="91" spans="1:4" ht="14.5">
      <c r="A91" t="s">
        <v>4935</v>
      </c>
      <c r="B91" s="380" t="str">
        <f>CONCATENATE(LEFT(RIGHT(CONCATENATE("000",FTG_Data1920!A91),6),3),"-",(RIGHT(RIGHT(CONCATENATE("000",FTG_Data1920!A91),6),3)))</f>
        <v>016-901</v>
      </c>
      <c r="C91" s="105">
        <v>11849</v>
      </c>
      <c r="D91" s="105">
        <v>12062</v>
      </c>
    </row>
    <row r="92" spans="1:4" ht="14.5">
      <c r="A92" t="s">
        <v>2887</v>
      </c>
      <c r="B92" s="380" t="str">
        <f>CONCATENATE(LEFT(RIGHT(CONCATENATE("000",FTG_Data1920!A92),6),3),"-",(RIGHT(RIGHT(CONCATENATE("000",FTG_Data1920!A92),6),3)))</f>
        <v>016-902</v>
      </c>
      <c r="C92" s="105">
        <v>11824</v>
      </c>
      <c r="D92" s="105">
        <v>11479</v>
      </c>
    </row>
    <row r="93" spans="1:4" ht="14.5">
      <c r="A93" t="s">
        <v>4936</v>
      </c>
      <c r="B93" s="380" t="str">
        <f>CONCATENATE(LEFT(RIGHT(CONCATENATE("000",FTG_Data1920!A93),6),3),"-",(RIGHT(RIGHT(CONCATENATE("000",FTG_Data1920!A93),6),3)))</f>
        <v>017-901</v>
      </c>
      <c r="C93" s="105">
        <v>11849</v>
      </c>
      <c r="D93" s="105">
        <v>20665</v>
      </c>
    </row>
    <row r="94" spans="1:4" ht="14.5">
      <c r="A94" t="s">
        <v>2888</v>
      </c>
      <c r="B94" s="380" t="str">
        <f>CONCATENATE(LEFT(RIGHT(CONCATENATE("000",FTG_Data1920!A94),6),3),"-",(RIGHT(RIGHT(CONCATENATE("000",FTG_Data1920!A94),6),3)))</f>
        <v>018-901</v>
      </c>
      <c r="C94" s="105">
        <v>10653</v>
      </c>
      <c r="D94" s="105">
        <v>10342</v>
      </c>
    </row>
    <row r="95" spans="1:4" ht="14.5">
      <c r="A95" t="s">
        <v>2889</v>
      </c>
      <c r="B95" s="380" t="str">
        <f>CONCATENATE(LEFT(RIGHT(CONCATENATE("000",FTG_Data1920!A95),6),3),"-",(RIGHT(RIGHT(CONCATENATE("000",FTG_Data1920!A95),6),3)))</f>
        <v>018-902</v>
      </c>
      <c r="C95" s="105">
        <v>11849</v>
      </c>
      <c r="D95" s="105">
        <v>11600</v>
      </c>
    </row>
    <row r="96" spans="1:4" ht="14.5">
      <c r="A96" t="s">
        <v>5753</v>
      </c>
      <c r="B96" s="380" t="str">
        <f>CONCATENATE(LEFT(RIGHT(CONCATENATE("000",FTG_Data1920!A96),6),3),"-",(RIGHT(RIGHT(CONCATENATE("000",FTG_Data1920!A96),6),3)))</f>
        <v>018-903</v>
      </c>
      <c r="C96" s="105">
        <v>11849</v>
      </c>
      <c r="D96" s="105">
        <v>14830</v>
      </c>
    </row>
    <row r="97" spans="1:4" ht="14.5">
      <c r="A97" t="s">
        <v>2890</v>
      </c>
      <c r="B97" s="380" t="str">
        <f>CONCATENATE(LEFT(RIGHT(CONCATENATE("000",FTG_Data1920!A97),6),3),"-",(RIGHT(RIGHT(CONCATENATE("000",FTG_Data1920!A97),6),3)))</f>
        <v>018-904</v>
      </c>
      <c r="C97" s="105">
        <v>10536</v>
      </c>
      <c r="D97" s="105">
        <v>10229</v>
      </c>
    </row>
    <row r="98" spans="1:4" ht="14.5">
      <c r="A98" t="s">
        <v>3522</v>
      </c>
      <c r="B98" s="380" t="str">
        <f>CONCATENATE(LEFT(RIGHT(CONCATENATE("000",FTG_Data1920!A98),6),3),"-",(RIGHT(RIGHT(CONCATENATE("000",FTG_Data1920!A98),6),3)))</f>
        <v>018-905</v>
      </c>
      <c r="C98" s="105">
        <v>11608</v>
      </c>
      <c r="D98" s="105">
        <v>11270</v>
      </c>
    </row>
    <row r="99" spans="1:4" ht="14.5">
      <c r="A99" t="s">
        <v>4937</v>
      </c>
      <c r="B99" s="380" t="str">
        <f>CONCATENATE(LEFT(RIGHT(CONCATENATE("000",FTG_Data1920!A99),6),3),"-",(RIGHT(RIGHT(CONCATENATE("000",FTG_Data1920!A99),6),3)))</f>
        <v>018-906</v>
      </c>
      <c r="C99" s="105">
        <v>11849</v>
      </c>
      <c r="D99" s="105">
        <v>12491</v>
      </c>
    </row>
    <row r="100" spans="1:4" ht="14.5">
      <c r="A100" t="s">
        <v>4938</v>
      </c>
      <c r="B100" s="380" t="str">
        <f>CONCATENATE(LEFT(RIGHT(CONCATENATE("000",FTG_Data1920!A100),6),3),"-",(RIGHT(RIGHT(CONCATENATE("000",FTG_Data1920!A100),6),3)))</f>
        <v>018-907</v>
      </c>
      <c r="C100" s="105">
        <v>11849</v>
      </c>
      <c r="D100" s="105">
        <v>13259</v>
      </c>
    </row>
    <row r="101" spans="1:4" ht="14.5">
      <c r="A101" t="s">
        <v>5754</v>
      </c>
      <c r="B101" s="380" t="str">
        <f>CONCATENATE(LEFT(RIGHT(CONCATENATE("000",FTG_Data1920!A101),6),3),"-",(RIGHT(RIGHT(CONCATENATE("000",FTG_Data1920!A101),6),3)))</f>
        <v>018-908</v>
      </c>
      <c r="C101" s="105">
        <v>11849</v>
      </c>
      <c r="D101" s="105">
        <v>13627</v>
      </c>
    </row>
    <row r="102" spans="1:4" ht="14.5">
      <c r="A102" t="s">
        <v>8503</v>
      </c>
      <c r="B102" s="380" t="str">
        <f>CONCATENATE(LEFT(RIGHT(CONCATENATE("000",FTG_Data1920!A102),6),3),"-",(RIGHT(RIGHT(CONCATENATE("000",FTG_Data1920!A102),6),3)))</f>
        <v>019-000</v>
      </c>
      <c r="C102" s="105">
        <v>11849</v>
      </c>
      <c r="D102" s="105">
        <v>0</v>
      </c>
    </row>
    <row r="103" spans="1:4" ht="14.5">
      <c r="A103" t="s">
        <v>3524</v>
      </c>
      <c r="B103" s="380" t="str">
        <f>CONCATENATE(LEFT(RIGHT(CONCATENATE("000",FTG_Data1920!A103),6),3),"-",(RIGHT(RIGHT(CONCATENATE("000",FTG_Data1920!A103),6),3)))</f>
        <v>019-901</v>
      </c>
      <c r="C103" s="105">
        <v>11604</v>
      </c>
      <c r="D103" s="105">
        <v>11266</v>
      </c>
    </row>
    <row r="104" spans="1:4" ht="14.5">
      <c r="A104" t="s">
        <v>2891</v>
      </c>
      <c r="B104" s="380" t="str">
        <f>CONCATENATE(LEFT(RIGHT(CONCATENATE("000",FTG_Data1920!A104),6),3),"-",(RIGHT(RIGHT(CONCATENATE("000",FTG_Data1920!A104),6),3)))</f>
        <v>019-902</v>
      </c>
      <c r="C104" s="105">
        <v>10783</v>
      </c>
      <c r="D104" s="105">
        <v>10469</v>
      </c>
    </row>
    <row r="105" spans="1:4" ht="14.5">
      <c r="A105" t="s">
        <v>2892</v>
      </c>
      <c r="B105" s="380" t="str">
        <f>CONCATENATE(LEFT(RIGHT(CONCATENATE("000",FTG_Data1920!A105),6),3),"-",(RIGHT(RIGHT(CONCATENATE("000",FTG_Data1920!A105),6),3)))</f>
        <v>019-903</v>
      </c>
      <c r="C105" s="105">
        <v>11849</v>
      </c>
      <c r="D105" s="105">
        <v>11523</v>
      </c>
    </row>
    <row r="106" spans="1:4" ht="14.5">
      <c r="A106" t="s">
        <v>2893</v>
      </c>
      <c r="B106" s="380" t="str">
        <f>CONCATENATE(LEFT(RIGHT(CONCATENATE("000",FTG_Data1920!A106),6),3),"-",(RIGHT(RIGHT(CONCATENATE("000",FTG_Data1920!A106),6),3)))</f>
        <v>019-905</v>
      </c>
      <c r="C106" s="105">
        <v>11237</v>
      </c>
      <c r="D106" s="105">
        <v>10910</v>
      </c>
    </row>
    <row r="107" spans="1:4" ht="14.5">
      <c r="A107" t="s">
        <v>4939</v>
      </c>
      <c r="B107" s="380" t="str">
        <f>CONCATENATE(LEFT(RIGHT(CONCATENATE("000",FTG_Data1920!A107),6),3),"-",(RIGHT(RIGHT(CONCATENATE("000",FTG_Data1920!A107),6),3)))</f>
        <v>019-906</v>
      </c>
      <c r="C107" s="105">
        <v>10160</v>
      </c>
      <c r="D107" s="105">
        <v>9864</v>
      </c>
    </row>
    <row r="108" spans="1:4" ht="14.5">
      <c r="A108" t="s">
        <v>4940</v>
      </c>
      <c r="B108" s="380" t="str">
        <f>CONCATENATE(LEFT(RIGHT(CONCATENATE("000",FTG_Data1920!A108),6),3),"-",(RIGHT(RIGHT(CONCATENATE("000",FTG_Data1920!A108),6),3)))</f>
        <v>019-907</v>
      </c>
      <c r="C108" s="105">
        <v>9043</v>
      </c>
      <c r="D108" s="105">
        <v>8779</v>
      </c>
    </row>
    <row r="109" spans="1:4" ht="14.5">
      <c r="A109" t="s">
        <v>4941</v>
      </c>
      <c r="B109" s="380" t="str">
        <f>CONCATENATE(LEFT(RIGHT(CONCATENATE("000",FTG_Data1920!A109),6),3),"-",(RIGHT(RIGHT(CONCATENATE("000",FTG_Data1920!A109),6),3)))</f>
        <v>019-908</v>
      </c>
      <c r="C109" s="105">
        <v>10202</v>
      </c>
      <c r="D109" s="105">
        <v>9905</v>
      </c>
    </row>
    <row r="110" spans="1:4" ht="14.5">
      <c r="A110" t="s">
        <v>2894</v>
      </c>
      <c r="B110" s="380" t="str">
        <f>CONCATENATE(LEFT(RIGHT(CONCATENATE("000",FTG_Data1920!A110),6),3),"-",(RIGHT(RIGHT(CONCATENATE("000",FTG_Data1920!A110),6),3)))</f>
        <v>019-909</v>
      </c>
      <c r="C110" s="105">
        <v>11849</v>
      </c>
      <c r="D110" s="105">
        <v>11895</v>
      </c>
    </row>
    <row r="111" spans="1:4" ht="14.5">
      <c r="A111" t="s">
        <v>2895</v>
      </c>
      <c r="B111" s="380" t="str">
        <f>CONCATENATE(LEFT(RIGHT(CONCATENATE("000",FTG_Data1920!A111),6),3),"-",(RIGHT(RIGHT(CONCATENATE("000",FTG_Data1920!A111),6),3)))</f>
        <v>019-910</v>
      </c>
      <c r="C111" s="105">
        <v>11215</v>
      </c>
      <c r="D111" s="105">
        <v>10888</v>
      </c>
    </row>
    <row r="112" spans="1:4" ht="14.5">
      <c r="A112" t="s">
        <v>4942</v>
      </c>
      <c r="B112" s="380" t="str">
        <f>CONCATENATE(LEFT(RIGHT(CONCATENATE("000",FTG_Data1920!A112),6),3),"-",(RIGHT(RIGHT(CONCATENATE("000",FTG_Data1920!A112),6),3)))</f>
        <v>019-911</v>
      </c>
      <c r="C112" s="105">
        <v>9337</v>
      </c>
      <c r="D112" s="105">
        <v>9065</v>
      </c>
    </row>
    <row r="113" spans="1:4" ht="14.5">
      <c r="A113" t="s">
        <v>4943</v>
      </c>
      <c r="B113" s="380" t="str">
        <f>CONCATENATE(LEFT(RIGHT(CONCATENATE("000",FTG_Data1920!A113),6),3),"-",(RIGHT(RIGHT(CONCATENATE("000",FTG_Data1920!A113),6),3)))</f>
        <v>019-912</v>
      </c>
      <c r="C113" s="105">
        <v>8649</v>
      </c>
      <c r="D113" s="105">
        <v>8398</v>
      </c>
    </row>
    <row r="114" spans="1:4" ht="14.5">
      <c r="A114" t="s">
        <v>5755</v>
      </c>
      <c r="B114" s="380" t="str">
        <f>CONCATENATE(LEFT(RIGHT(CONCATENATE("000",FTG_Data1920!A114),6),3),"-",(RIGHT(RIGHT(CONCATENATE("000",FTG_Data1920!A114),6),3)))</f>
        <v>019-913</v>
      </c>
      <c r="C114" s="105">
        <v>11849</v>
      </c>
      <c r="D114" s="105">
        <v>12452</v>
      </c>
    </row>
    <row r="115" spans="1:4" ht="14.5">
      <c r="A115" t="s">
        <v>5756</v>
      </c>
      <c r="B115" s="380" t="str">
        <f>CONCATENATE(LEFT(RIGHT(CONCATENATE("000",FTG_Data1920!A115),6),3),"-",(RIGHT(RIGHT(CONCATENATE("000",FTG_Data1920!A115),6),3)))</f>
        <v>019-914</v>
      </c>
      <c r="C115" s="105">
        <v>11849</v>
      </c>
      <c r="D115" s="105">
        <v>12151</v>
      </c>
    </row>
    <row r="116" spans="1:4" ht="14.5">
      <c r="A116" t="s">
        <v>2896</v>
      </c>
      <c r="B116" s="380" t="str">
        <f>CONCATENATE(LEFT(RIGHT(CONCATENATE("000",FTG_Data1920!A116),6),3),"-",(RIGHT(RIGHT(CONCATENATE("000",FTG_Data1920!A116),6),3)))</f>
        <v>020-901</v>
      </c>
      <c r="C116" s="105">
        <v>10021</v>
      </c>
      <c r="D116" s="105">
        <v>9729</v>
      </c>
    </row>
    <row r="117" spans="1:4" ht="14.5">
      <c r="A117" t="s">
        <v>4944</v>
      </c>
      <c r="B117" s="380" t="str">
        <f>CONCATENATE(LEFT(RIGHT(CONCATENATE("000",FTG_Data1920!A117),6),3),"-",(RIGHT(RIGHT(CONCATENATE("000",FTG_Data1920!A117),6),3)))</f>
        <v>020-902</v>
      </c>
      <c r="C117" s="105">
        <v>9549</v>
      </c>
      <c r="D117" s="105">
        <v>9270</v>
      </c>
    </row>
    <row r="118" spans="1:4" ht="14.5">
      <c r="A118" t="s">
        <v>2897</v>
      </c>
      <c r="B118" s="380" t="str">
        <f>CONCATENATE(LEFT(RIGHT(CONCATENATE("000",FTG_Data1920!A118),6),3),"-",(RIGHT(RIGHT(CONCATENATE("000",FTG_Data1920!A118),6),3)))</f>
        <v>020-904</v>
      </c>
      <c r="C118" s="105">
        <v>11744</v>
      </c>
      <c r="D118" s="105">
        <v>11402</v>
      </c>
    </row>
    <row r="119" spans="1:4" ht="14.5">
      <c r="A119" t="s">
        <v>4945</v>
      </c>
      <c r="B119" s="380" t="str">
        <f>CONCATENATE(LEFT(RIGHT(CONCATENATE("000",FTG_Data1920!A119),6),3),"-",(RIGHT(RIGHT(CONCATENATE("000",FTG_Data1920!A119),6),3)))</f>
        <v>020-905</v>
      </c>
      <c r="C119" s="105">
        <v>8595</v>
      </c>
      <c r="D119" s="105">
        <v>8345</v>
      </c>
    </row>
    <row r="120" spans="1:4" ht="14.5">
      <c r="A120" t="s">
        <v>4946</v>
      </c>
      <c r="B120" s="380" t="str">
        <f>CONCATENATE(LEFT(RIGHT(CONCATENATE("000",FTG_Data1920!A120),6),3),"-",(RIGHT(RIGHT(CONCATENATE("000",FTG_Data1920!A120),6),3)))</f>
        <v>020-906</v>
      </c>
      <c r="C120" s="105">
        <v>10064</v>
      </c>
      <c r="D120" s="105">
        <v>9770</v>
      </c>
    </row>
    <row r="121" spans="1:4" ht="14.5">
      <c r="A121" t="s">
        <v>2898</v>
      </c>
      <c r="B121" s="380" t="str">
        <f>CONCATENATE(LEFT(RIGHT(CONCATENATE("000",FTG_Data1920!A121),6),3),"-",(RIGHT(RIGHT(CONCATENATE("000",FTG_Data1920!A121),6),3)))</f>
        <v>020-907</v>
      </c>
      <c r="C121" s="105">
        <v>9030</v>
      </c>
      <c r="D121" s="105">
        <v>8767</v>
      </c>
    </row>
    <row r="122" spans="1:4" ht="14.5">
      <c r="A122" t="s">
        <v>2899</v>
      </c>
      <c r="B122" s="380" t="str">
        <f>CONCATENATE(LEFT(RIGHT(CONCATENATE("000",FTG_Data1920!A122),6),3),"-",(RIGHT(RIGHT(CONCATENATE("000",FTG_Data1920!A122),6),3)))</f>
        <v>020-908</v>
      </c>
      <c r="C122" s="105">
        <v>8017</v>
      </c>
      <c r="D122" s="105">
        <v>7783</v>
      </c>
    </row>
    <row r="123" spans="1:4" ht="14.5">
      <c r="A123" t="s">
        <v>2900</v>
      </c>
      <c r="B123" s="380" t="str">
        <f>CONCATENATE(LEFT(RIGHT(CONCATENATE("000",FTG_Data1920!A123),6),3),"-",(RIGHT(RIGHT(CONCATENATE("000",FTG_Data1920!A123),6),3)))</f>
        <v>020-910</v>
      </c>
      <c r="C123" s="105">
        <v>11849</v>
      </c>
      <c r="D123" s="105">
        <v>22137</v>
      </c>
    </row>
    <row r="124" spans="1:4" ht="14.5">
      <c r="A124" t="s">
        <v>7944</v>
      </c>
      <c r="B124" s="380" t="str">
        <f>CONCATENATE(LEFT(RIGHT(CONCATENATE("000",FTG_Data1920!A124),6),3),"-",(RIGHT(RIGHT(CONCATENATE("000",FTG_Data1920!A124),6),3)))</f>
        <v>021-803</v>
      </c>
      <c r="C124" s="105">
        <v>11142</v>
      </c>
      <c r="D124" s="105">
        <v>10818</v>
      </c>
    </row>
    <row r="125" spans="1:4" ht="14.5">
      <c r="A125" t="s">
        <v>7945</v>
      </c>
      <c r="B125" s="380" t="str">
        <f>CONCATENATE(LEFT(RIGHT(CONCATENATE("000",FTG_Data1920!A125),6),3),"-",(RIGHT(RIGHT(CONCATENATE("000",FTG_Data1920!A125),6),3)))</f>
        <v>021-805</v>
      </c>
      <c r="C125" s="105">
        <v>10547</v>
      </c>
      <c r="D125" s="105">
        <v>10240</v>
      </c>
    </row>
    <row r="126" spans="1:4" ht="14.5">
      <c r="A126" t="s">
        <v>2901</v>
      </c>
      <c r="B126" s="380" t="str">
        <f>CONCATENATE(LEFT(RIGHT(CONCATENATE("000",FTG_Data1920!A126),6),3),"-",(RIGHT(RIGHT(CONCATENATE("000",FTG_Data1920!A126),6),3)))</f>
        <v>021-901</v>
      </c>
      <c r="C126" s="105">
        <v>8047</v>
      </c>
      <c r="D126" s="105">
        <v>7813</v>
      </c>
    </row>
    <row r="127" spans="1:4" ht="14.5">
      <c r="A127" t="s">
        <v>2902</v>
      </c>
      <c r="B127" s="380" t="str">
        <f>CONCATENATE(LEFT(RIGHT(CONCATENATE("000",FTG_Data1920!A127),6),3),"-",(RIGHT(RIGHT(CONCATENATE("000",FTG_Data1920!A127),6),3)))</f>
        <v>021-902</v>
      </c>
      <c r="C127" s="105">
        <v>9589</v>
      </c>
      <c r="D127" s="105">
        <v>9310</v>
      </c>
    </row>
    <row r="128" spans="1:4" ht="14.5">
      <c r="A128" t="s">
        <v>5757</v>
      </c>
      <c r="B128" s="380" t="str">
        <f>CONCATENATE(LEFT(RIGHT(CONCATENATE("000",FTG_Data1920!A128),6),3),"-",(RIGHT(RIGHT(CONCATENATE("000",FTG_Data1920!A128),6),3)))</f>
        <v>022-004</v>
      </c>
      <c r="C128" s="105">
        <v>11849</v>
      </c>
      <c r="D128" s="105">
        <v>16377</v>
      </c>
    </row>
    <row r="129" spans="1:4" ht="14.5">
      <c r="A129" t="s">
        <v>4947</v>
      </c>
      <c r="B129" s="380" t="str">
        <f>CONCATENATE(LEFT(RIGHT(CONCATENATE("000",FTG_Data1920!A129),6),3),"-",(RIGHT(RIGHT(CONCATENATE("000",FTG_Data1920!A129),6),3)))</f>
        <v>022-901</v>
      </c>
      <c r="C129" s="105">
        <v>11642</v>
      </c>
      <c r="D129" s="105">
        <v>11303</v>
      </c>
    </row>
    <row r="130" spans="1:4" ht="14.5">
      <c r="A130" t="s">
        <v>5758</v>
      </c>
      <c r="B130" s="380" t="str">
        <f>CONCATENATE(LEFT(RIGHT(CONCATENATE("000",FTG_Data1920!A130),6),3),"-",(RIGHT(RIGHT(CONCATENATE("000",FTG_Data1920!A130),6),3)))</f>
        <v>022-902</v>
      </c>
      <c r="C130" s="105">
        <v>11849</v>
      </c>
      <c r="D130" s="105">
        <v>30308</v>
      </c>
    </row>
    <row r="131" spans="1:4" ht="14.5">
      <c r="A131" t="s">
        <v>5759</v>
      </c>
      <c r="B131" s="380" t="str">
        <f>CONCATENATE(LEFT(RIGHT(CONCATENATE("000",FTG_Data1920!A131),6),3),"-",(RIGHT(RIGHT(CONCATENATE("000",FTG_Data1920!A131),6),3)))</f>
        <v>022-903</v>
      </c>
      <c r="C131" s="105">
        <v>11849</v>
      </c>
      <c r="D131" s="105">
        <v>69615</v>
      </c>
    </row>
    <row r="132" spans="1:4" ht="14.5">
      <c r="A132" t="s">
        <v>5760</v>
      </c>
      <c r="B132" s="380" t="str">
        <f>CONCATENATE(LEFT(RIGHT(CONCATENATE("000",FTG_Data1920!A132),6),3),"-",(RIGHT(RIGHT(CONCATENATE("000",FTG_Data1920!A132),6),3)))</f>
        <v>023-902</v>
      </c>
      <c r="C132" s="105">
        <v>11849</v>
      </c>
      <c r="D132" s="105">
        <v>13829</v>
      </c>
    </row>
    <row r="133" spans="1:4" ht="14.5">
      <c r="A133" t="s">
        <v>4948</v>
      </c>
      <c r="B133" s="380" t="str">
        <f>CONCATENATE(LEFT(RIGHT(CONCATENATE("000",FTG_Data1920!A133),6),3),"-",(RIGHT(RIGHT(CONCATENATE("000",FTG_Data1920!A133),6),3)))</f>
        <v>024-901</v>
      </c>
      <c r="C133" s="105">
        <v>11049</v>
      </c>
      <c r="D133" s="105">
        <v>10727</v>
      </c>
    </row>
    <row r="134" spans="1:4" ht="14.5">
      <c r="A134" t="s">
        <v>4949</v>
      </c>
      <c r="B134" s="380" t="str">
        <f>CONCATENATE(LEFT(RIGHT(CONCATENATE("000",FTG_Data1920!A134),6),3),"-",(RIGHT(RIGHT(CONCATENATE("000",FTG_Data1920!A134),6),3)))</f>
        <v>025-901</v>
      </c>
      <c r="C134" s="105">
        <v>10335</v>
      </c>
      <c r="D134" s="105">
        <v>10034</v>
      </c>
    </row>
    <row r="135" spans="1:4" ht="14.5">
      <c r="A135" t="s">
        <v>4950</v>
      </c>
      <c r="B135" s="380" t="str">
        <f>CONCATENATE(LEFT(RIGHT(CONCATENATE("000",FTG_Data1920!A135),6),3),"-",(RIGHT(RIGHT(CONCATENATE("000",FTG_Data1920!A135),6),3)))</f>
        <v>025-902</v>
      </c>
      <c r="C135" s="105">
        <v>8880</v>
      </c>
      <c r="D135" s="105">
        <v>8621</v>
      </c>
    </row>
    <row r="136" spans="1:4" ht="14.5">
      <c r="A136" t="s">
        <v>2903</v>
      </c>
      <c r="B136" s="380" t="str">
        <f>CONCATENATE(LEFT(RIGHT(CONCATENATE("000",FTG_Data1920!A136),6),3),"-",(RIGHT(RIGHT(CONCATENATE("000",FTG_Data1920!A136),6),3)))</f>
        <v>025-904</v>
      </c>
      <c r="C136" s="105">
        <v>11849</v>
      </c>
      <c r="D136" s="105">
        <v>14763</v>
      </c>
    </row>
    <row r="137" spans="1:4" ht="14.5">
      <c r="A137" t="s">
        <v>2904</v>
      </c>
      <c r="B137" s="380" t="str">
        <f>CONCATENATE(LEFT(RIGHT(CONCATENATE("000",FTG_Data1920!A137),6),3),"-",(RIGHT(RIGHT(CONCATENATE("000",FTG_Data1920!A137),6),3)))</f>
        <v>025-905</v>
      </c>
      <c r="C137" s="105">
        <v>11849</v>
      </c>
      <c r="D137" s="105">
        <v>12189</v>
      </c>
    </row>
    <row r="138" spans="1:4" ht="14.5">
      <c r="A138" t="s">
        <v>2905</v>
      </c>
      <c r="B138" s="380" t="str">
        <f>CONCATENATE(LEFT(RIGHT(CONCATENATE("000",FTG_Data1920!A138),6),3),"-",(RIGHT(RIGHT(CONCATENATE("000",FTG_Data1920!A138),6),3)))</f>
        <v>025-906</v>
      </c>
      <c r="C138" s="105">
        <v>11849</v>
      </c>
      <c r="D138" s="105">
        <v>11594</v>
      </c>
    </row>
    <row r="139" spans="1:4" ht="14.5">
      <c r="A139" t="s">
        <v>2906</v>
      </c>
      <c r="B139" s="380" t="str">
        <f>CONCATENATE(LEFT(RIGHT(CONCATENATE("000",FTG_Data1920!A139),6),3),"-",(RIGHT(RIGHT(CONCATENATE("000",FTG_Data1920!A139),6),3)))</f>
        <v>025-908</v>
      </c>
      <c r="C139" s="105">
        <v>11849</v>
      </c>
      <c r="D139" s="105">
        <v>16315</v>
      </c>
    </row>
    <row r="140" spans="1:4" ht="14.5">
      <c r="A140" t="s">
        <v>2907</v>
      </c>
      <c r="B140" s="380" t="str">
        <f>CONCATENATE(LEFT(RIGHT(CONCATENATE("000",FTG_Data1920!A140),6),3),"-",(RIGHT(RIGHT(CONCATENATE("000",FTG_Data1920!A140),6),3)))</f>
        <v>025-909</v>
      </c>
      <c r="C140" s="105">
        <v>10174</v>
      </c>
      <c r="D140" s="105">
        <v>9877</v>
      </c>
    </row>
    <row r="141" spans="1:4" ht="14.5">
      <c r="A141" t="s">
        <v>4951</v>
      </c>
      <c r="B141" s="380" t="str">
        <f>CONCATENATE(LEFT(RIGHT(CONCATENATE("000",FTG_Data1920!A141),6),3),"-",(RIGHT(RIGHT(CONCATENATE("000",FTG_Data1920!A141),6),3)))</f>
        <v>026-901</v>
      </c>
      <c r="C141" s="105">
        <v>11762</v>
      </c>
      <c r="D141" s="105">
        <v>11419</v>
      </c>
    </row>
    <row r="142" spans="1:4" ht="14.5">
      <c r="A142" t="s">
        <v>4952</v>
      </c>
      <c r="B142" s="380" t="str">
        <f>CONCATENATE(LEFT(RIGHT(CONCATENATE("000",FTG_Data1920!A142),6),3),"-",(RIGHT(RIGHT(CONCATENATE("000",FTG_Data1920!A142),6),3)))</f>
        <v>026-902</v>
      </c>
      <c r="C142" s="105">
        <v>11849</v>
      </c>
      <c r="D142" s="105">
        <v>11586</v>
      </c>
    </row>
    <row r="143" spans="1:4" ht="14.5">
      <c r="A143" t="s">
        <v>2908</v>
      </c>
      <c r="B143" s="380" t="str">
        <f>CONCATENATE(LEFT(RIGHT(CONCATENATE("000",FTG_Data1920!A143),6),3),"-",(RIGHT(RIGHT(CONCATENATE("000",FTG_Data1920!A143),6),3)))</f>
        <v>026-903</v>
      </c>
      <c r="C143" s="105">
        <v>11849</v>
      </c>
      <c r="D143" s="105">
        <v>14092</v>
      </c>
    </row>
    <row r="144" spans="1:4" ht="14.5">
      <c r="A144" t="s">
        <v>2909</v>
      </c>
      <c r="B144" s="380" t="str">
        <f>CONCATENATE(LEFT(RIGHT(CONCATENATE("000",FTG_Data1920!A144),6),3),"-",(RIGHT(RIGHT(CONCATENATE("000",FTG_Data1920!A144),6),3)))</f>
        <v>027-903</v>
      </c>
      <c r="C144" s="105">
        <v>10325</v>
      </c>
      <c r="D144" s="105">
        <v>10024</v>
      </c>
    </row>
    <row r="145" spans="1:4" ht="14.5">
      <c r="A145" t="s">
        <v>3582</v>
      </c>
      <c r="B145" s="380" t="str">
        <f>CONCATENATE(LEFT(RIGHT(CONCATENATE("000",FTG_Data1920!A145),6),3),"-",(RIGHT(RIGHT(CONCATENATE("000",FTG_Data1920!A145),6),3)))</f>
        <v>027-904</v>
      </c>
      <c r="C145" s="105">
        <v>9734</v>
      </c>
      <c r="D145" s="105">
        <v>9451</v>
      </c>
    </row>
    <row r="146" spans="1:4" ht="14.5">
      <c r="A146" t="s">
        <v>2910</v>
      </c>
      <c r="B146" s="380" t="str">
        <f>CONCATENATE(LEFT(RIGHT(CONCATENATE("000",FTG_Data1920!A146),6),3),"-",(RIGHT(RIGHT(CONCATENATE("000",FTG_Data1920!A146),6),3)))</f>
        <v>028-902</v>
      </c>
      <c r="C146" s="105">
        <v>8447</v>
      </c>
      <c r="D146" s="105">
        <v>8201</v>
      </c>
    </row>
    <row r="147" spans="1:4" ht="14.5">
      <c r="A147" t="s">
        <v>2911</v>
      </c>
      <c r="B147" s="380" t="str">
        <f>CONCATENATE(LEFT(RIGHT(CONCATENATE("000",FTG_Data1920!A147),6),3),"-",(RIGHT(RIGHT(CONCATENATE("000",FTG_Data1920!A147),6),3)))</f>
        <v>028-903</v>
      </c>
      <c r="C147" s="105">
        <v>9959</v>
      </c>
      <c r="D147" s="105">
        <v>9669</v>
      </c>
    </row>
    <row r="148" spans="1:4" ht="14.5">
      <c r="A148" t="s">
        <v>5761</v>
      </c>
      <c r="B148" s="380" t="str">
        <f>CONCATENATE(LEFT(RIGHT(CONCATENATE("000",FTG_Data1920!A148),6),3),"-",(RIGHT(RIGHT(CONCATENATE("000",FTG_Data1920!A148),6),3)))</f>
        <v>028-906</v>
      </c>
      <c r="C148" s="105">
        <v>11849</v>
      </c>
      <c r="D148" s="105">
        <v>11526</v>
      </c>
    </row>
    <row r="149" spans="1:4" ht="14.5">
      <c r="A149" t="s">
        <v>4953</v>
      </c>
      <c r="B149" s="380" t="str">
        <f>CONCATENATE(LEFT(RIGHT(CONCATENATE("000",FTG_Data1920!A149),6),3),"-",(RIGHT(RIGHT(CONCATENATE("000",FTG_Data1920!A149),6),3)))</f>
        <v>029-901</v>
      </c>
      <c r="C149" s="105">
        <v>9875</v>
      </c>
      <c r="D149" s="105">
        <v>9588</v>
      </c>
    </row>
    <row r="150" spans="1:4" ht="14.5">
      <c r="A150" t="s">
        <v>5762</v>
      </c>
      <c r="B150" s="380" t="str">
        <f>CONCATENATE(LEFT(RIGHT(CONCATENATE("000",FTG_Data1920!A150),6),3),"-",(RIGHT(RIGHT(CONCATENATE("000",FTG_Data1920!A150),6),3)))</f>
        <v>030-901</v>
      </c>
      <c r="C150" s="105">
        <v>11849</v>
      </c>
      <c r="D150" s="105">
        <v>13605</v>
      </c>
    </row>
    <row r="151" spans="1:4" ht="14.5">
      <c r="A151" t="s">
        <v>2912</v>
      </c>
      <c r="B151" s="380" t="str">
        <f>CONCATENATE(LEFT(RIGHT(CONCATENATE("000",FTG_Data1920!A151),6),3),"-",(RIGHT(RIGHT(CONCATENATE("000",FTG_Data1920!A151),6),3)))</f>
        <v>030-902</v>
      </c>
      <c r="C151" s="105">
        <v>9536</v>
      </c>
      <c r="D151" s="105">
        <v>9259</v>
      </c>
    </row>
    <row r="152" spans="1:4" ht="14.5">
      <c r="A152" t="s">
        <v>2913</v>
      </c>
      <c r="B152" s="380" t="str">
        <f>CONCATENATE(LEFT(RIGHT(CONCATENATE("000",FTG_Data1920!A152),6),3),"-",(RIGHT(RIGHT(CONCATENATE("000",FTG_Data1920!A152),6),3)))</f>
        <v>030-903</v>
      </c>
      <c r="C152" s="105">
        <v>11849</v>
      </c>
      <c r="D152" s="105">
        <v>14284</v>
      </c>
    </row>
    <row r="153" spans="1:4" ht="14.5">
      <c r="A153" t="s">
        <v>4954</v>
      </c>
      <c r="B153" s="380" t="str">
        <f>CONCATENATE(LEFT(RIGHT(CONCATENATE("000",FTG_Data1920!A153),6),3),"-",(RIGHT(RIGHT(CONCATENATE("000",FTG_Data1920!A153),6),3)))</f>
        <v>030-906</v>
      </c>
      <c r="C153" s="105">
        <v>11849</v>
      </c>
      <c r="D153" s="105">
        <v>12131</v>
      </c>
    </row>
    <row r="154" spans="1:4" ht="14.5">
      <c r="A154" t="s">
        <v>7946</v>
      </c>
      <c r="B154" s="380" t="str">
        <f>CONCATENATE(LEFT(RIGHT(CONCATENATE("000",FTG_Data1920!A154),6),3),"-",(RIGHT(RIGHT(CONCATENATE("000",FTG_Data1920!A154),6),3)))</f>
        <v>031-505</v>
      </c>
      <c r="C154" s="105">
        <v>8535</v>
      </c>
      <c r="D154" s="105">
        <v>8286</v>
      </c>
    </row>
    <row r="155" spans="1:4" ht="14.5">
      <c r="A155" t="s">
        <v>2914</v>
      </c>
      <c r="B155" s="380" t="str">
        <f>CONCATENATE(LEFT(RIGHT(CONCATENATE("000",FTG_Data1920!A155),6),3),"-",(RIGHT(RIGHT(CONCATENATE("000",FTG_Data1920!A155),6),3)))</f>
        <v>031-901</v>
      </c>
      <c r="C155" s="105">
        <v>10571</v>
      </c>
      <c r="D155" s="105">
        <v>10263</v>
      </c>
    </row>
    <row r="156" spans="1:4" ht="14.5">
      <c r="A156" t="s">
        <v>2915</v>
      </c>
      <c r="B156" s="380" t="str">
        <f>CONCATENATE(LEFT(RIGHT(CONCATENATE("000",FTG_Data1920!A156),6),3),"-",(RIGHT(RIGHT(CONCATENATE("000",FTG_Data1920!A156),6),3)))</f>
        <v>031-903</v>
      </c>
      <c r="C156" s="105">
        <v>10196</v>
      </c>
      <c r="D156" s="105">
        <v>9899</v>
      </c>
    </row>
    <row r="157" spans="1:4" ht="14.5">
      <c r="A157" t="s">
        <v>2916</v>
      </c>
      <c r="B157" s="380" t="str">
        <f>CONCATENATE(LEFT(RIGHT(CONCATENATE("000",FTG_Data1920!A157),6),3),"-",(RIGHT(RIGHT(CONCATENATE("000",FTG_Data1920!A157),6),3)))</f>
        <v>031-905</v>
      </c>
      <c r="C157" s="105">
        <v>10507</v>
      </c>
      <c r="D157" s="105">
        <v>10201</v>
      </c>
    </row>
    <row r="158" spans="1:4" ht="14.5">
      <c r="A158" t="s">
        <v>2917</v>
      </c>
      <c r="B158" s="380" t="str">
        <f>CONCATENATE(LEFT(RIGHT(CONCATENATE("000",FTG_Data1920!A158),6),3),"-",(RIGHT(RIGHT(CONCATENATE("000",FTG_Data1920!A158),6),3)))</f>
        <v>031-906</v>
      </c>
      <c r="C158" s="105">
        <v>10171</v>
      </c>
      <c r="D158" s="105">
        <v>9875</v>
      </c>
    </row>
    <row r="159" spans="1:4" ht="14.5">
      <c r="A159" t="s">
        <v>4955</v>
      </c>
      <c r="B159" s="380" t="str">
        <f>CONCATENATE(LEFT(RIGHT(CONCATENATE("000",FTG_Data1920!A159),6),3),"-",(RIGHT(RIGHT(CONCATENATE("000",FTG_Data1920!A159),6),3)))</f>
        <v>031-909</v>
      </c>
      <c r="C159" s="105">
        <v>10866</v>
      </c>
      <c r="D159" s="105">
        <v>10550</v>
      </c>
    </row>
    <row r="160" spans="1:4" ht="14.5">
      <c r="A160" t="s">
        <v>2918</v>
      </c>
      <c r="B160" s="380" t="str">
        <f>CONCATENATE(LEFT(RIGHT(CONCATENATE("000",FTG_Data1920!A160),6),3),"-",(RIGHT(RIGHT(CONCATENATE("000",FTG_Data1920!A160),6),3)))</f>
        <v>031-911</v>
      </c>
      <c r="C160" s="105">
        <v>11011</v>
      </c>
      <c r="D160" s="105">
        <v>10690</v>
      </c>
    </row>
    <row r="161" spans="1:4" ht="14.5">
      <c r="A161" t="s">
        <v>2919</v>
      </c>
      <c r="B161" s="380" t="str">
        <f>CONCATENATE(LEFT(RIGHT(CONCATENATE("000",FTG_Data1920!A161),6),3),"-",(RIGHT(RIGHT(CONCATENATE("000",FTG_Data1920!A161),6),3)))</f>
        <v>031-912</v>
      </c>
      <c r="C161" s="105">
        <v>10640</v>
      </c>
      <c r="D161" s="105">
        <v>10330</v>
      </c>
    </row>
    <row r="162" spans="1:4" ht="14.5">
      <c r="A162" t="s">
        <v>2920</v>
      </c>
      <c r="B162" s="380" t="str">
        <f>CONCATENATE(LEFT(RIGHT(CONCATENATE("000",FTG_Data1920!A162),6),3),"-",(RIGHT(RIGHT(CONCATENATE("000",FTG_Data1920!A162),6),3)))</f>
        <v>031-913</v>
      </c>
      <c r="C162" s="105">
        <v>11849</v>
      </c>
      <c r="D162" s="105">
        <v>13283</v>
      </c>
    </row>
    <row r="163" spans="1:4" ht="14.5">
      <c r="A163" t="s">
        <v>2921</v>
      </c>
      <c r="B163" s="380" t="str">
        <f>CONCATENATE(LEFT(RIGHT(CONCATENATE("000",FTG_Data1920!A163),6),3),"-",(RIGHT(RIGHT(CONCATENATE("000",FTG_Data1920!A163),6),3)))</f>
        <v>031-914</v>
      </c>
      <c r="C163" s="105">
        <v>11849</v>
      </c>
      <c r="D163" s="105">
        <v>12390</v>
      </c>
    </row>
    <row r="164" spans="1:4" ht="14.5">
      <c r="A164" t="s">
        <v>7354</v>
      </c>
      <c r="B164" s="380" t="str">
        <f>CONCATENATE(LEFT(RIGHT(CONCATENATE("000",FTG_Data1920!A164),6),3),"-",(RIGHT(RIGHT(CONCATENATE("000",FTG_Data1920!A164),6),3)))</f>
        <v>031-916</v>
      </c>
      <c r="C164" s="105">
        <v>11849</v>
      </c>
      <c r="D164" s="105">
        <v>16279</v>
      </c>
    </row>
    <row r="165" spans="1:4" ht="14.5">
      <c r="A165" t="s">
        <v>4956</v>
      </c>
      <c r="B165" s="380" t="str">
        <f>CONCATENATE(LEFT(RIGHT(CONCATENATE("000",FTG_Data1920!A165),6),3),"-",(RIGHT(RIGHT(CONCATENATE("000",FTG_Data1920!A165),6),3)))</f>
        <v>032-902</v>
      </c>
      <c r="C165" s="105">
        <v>9224</v>
      </c>
      <c r="D165" s="105">
        <v>8956</v>
      </c>
    </row>
    <row r="166" spans="1:4" ht="14.5">
      <c r="A166" t="s">
        <v>4957</v>
      </c>
      <c r="B166" s="380" t="str">
        <f>CONCATENATE(LEFT(RIGHT(CONCATENATE("000",FTG_Data1920!A166),6),3),"-",(RIGHT(RIGHT(CONCATENATE("000",FTG_Data1920!A166),6),3)))</f>
        <v>033-901</v>
      </c>
      <c r="C166" s="105">
        <v>11849</v>
      </c>
      <c r="D166" s="105">
        <v>13247</v>
      </c>
    </row>
    <row r="167" spans="1:4" ht="14.5">
      <c r="A167" t="s">
        <v>4958</v>
      </c>
      <c r="B167" s="380" t="str">
        <f>CONCATENATE(LEFT(RIGHT(CONCATENATE("000",FTG_Data1920!A167),6),3),"-",(RIGHT(RIGHT(CONCATENATE("000",FTG_Data1920!A167),6),3)))</f>
        <v>033-902</v>
      </c>
      <c r="C167" s="105">
        <v>11849</v>
      </c>
      <c r="D167" s="105">
        <v>12699</v>
      </c>
    </row>
    <row r="168" spans="1:4" ht="14.5">
      <c r="A168" t="s">
        <v>4959</v>
      </c>
      <c r="B168" s="380" t="str">
        <f>CONCATENATE(LEFT(RIGHT(CONCATENATE("000",FTG_Data1920!A168),6),3),"-",(RIGHT(RIGHT(CONCATENATE("000",FTG_Data1920!A168),6),3)))</f>
        <v>033-904</v>
      </c>
      <c r="C168" s="105">
        <v>10939</v>
      </c>
      <c r="D168" s="105">
        <v>10621</v>
      </c>
    </row>
    <row r="169" spans="1:4" ht="14.5">
      <c r="A169" t="s">
        <v>4960</v>
      </c>
      <c r="B169" s="380" t="str">
        <f>CONCATENATE(LEFT(RIGHT(CONCATENATE("000",FTG_Data1920!A169),6),3),"-",(RIGHT(RIGHT(CONCATENATE("000",FTG_Data1920!A169),6),3)))</f>
        <v>034-901</v>
      </c>
      <c r="C169" s="105">
        <v>9749</v>
      </c>
      <c r="D169" s="105">
        <v>9465</v>
      </c>
    </row>
    <row r="170" spans="1:4" ht="14.5">
      <c r="A170" t="s">
        <v>5763</v>
      </c>
      <c r="B170" s="380" t="str">
        <f>CONCATENATE(LEFT(RIGHT(CONCATENATE("000",FTG_Data1920!A170),6),3),"-",(RIGHT(RIGHT(CONCATENATE("000",FTG_Data1920!A170),6),3)))</f>
        <v>034-902</v>
      </c>
      <c r="C170" s="105">
        <v>11849</v>
      </c>
      <c r="D170" s="105">
        <v>13353</v>
      </c>
    </row>
    <row r="171" spans="1:4" ht="14.5">
      <c r="A171" t="s">
        <v>4961</v>
      </c>
      <c r="B171" s="380" t="str">
        <f>CONCATENATE(LEFT(RIGHT(CONCATENATE("000",FTG_Data1920!A171),6),3),"-",(RIGHT(RIGHT(CONCATENATE("000",FTG_Data1920!A171),6),3)))</f>
        <v>034-903</v>
      </c>
      <c r="C171" s="105">
        <v>10301</v>
      </c>
      <c r="D171" s="105">
        <v>10001</v>
      </c>
    </row>
    <row r="172" spans="1:4" ht="14.5">
      <c r="A172" t="s">
        <v>5764</v>
      </c>
      <c r="B172" s="380" t="str">
        <f>CONCATENATE(LEFT(RIGHT(CONCATENATE("000",FTG_Data1920!A172),6),3),"-",(RIGHT(RIGHT(CONCATENATE("000",FTG_Data1920!A172),6),3)))</f>
        <v>034-905</v>
      </c>
      <c r="C172" s="105">
        <v>11849</v>
      </c>
      <c r="D172" s="105">
        <v>12288</v>
      </c>
    </row>
    <row r="173" spans="1:4" ht="14.5">
      <c r="A173" t="s">
        <v>3647</v>
      </c>
      <c r="B173" s="380" t="str">
        <f>CONCATENATE(LEFT(RIGHT(CONCATENATE("000",FTG_Data1920!A173),6),3),"-",(RIGHT(RIGHT(CONCATENATE("000",FTG_Data1920!A173),6),3)))</f>
        <v>034-906</v>
      </c>
      <c r="C173" s="105">
        <v>10548</v>
      </c>
      <c r="D173" s="105">
        <v>10241</v>
      </c>
    </row>
    <row r="174" spans="1:4" ht="14.5">
      <c r="A174" t="s">
        <v>4962</v>
      </c>
      <c r="B174" s="380" t="str">
        <f>CONCATENATE(LEFT(RIGHT(CONCATENATE("000",FTG_Data1920!A174),6),3),"-",(RIGHT(RIGHT(CONCATENATE("000",FTG_Data1920!A174),6),3)))</f>
        <v>034-907</v>
      </c>
      <c r="C174" s="105">
        <v>11321</v>
      </c>
      <c r="D174" s="105">
        <v>10991</v>
      </c>
    </row>
    <row r="175" spans="1:4" ht="14.5">
      <c r="A175" t="s">
        <v>4963</v>
      </c>
      <c r="B175" s="380" t="str">
        <f>CONCATENATE(LEFT(RIGHT(CONCATENATE("000",FTG_Data1920!A175),6),3),"-",(RIGHT(RIGHT(CONCATENATE("000",FTG_Data1920!A175),6),3)))</f>
        <v>034-909</v>
      </c>
      <c r="C175" s="105">
        <v>11849</v>
      </c>
      <c r="D175" s="105">
        <v>11574</v>
      </c>
    </row>
    <row r="176" spans="1:4" ht="14.5">
      <c r="A176" t="s">
        <v>4964</v>
      </c>
      <c r="B176" s="380" t="str">
        <f>CONCATENATE(LEFT(RIGHT(CONCATENATE("000",FTG_Data1920!A176),6),3),"-",(RIGHT(RIGHT(CONCATENATE("000",FTG_Data1920!A176),6),3)))</f>
        <v>035-901</v>
      </c>
      <c r="C176" s="105">
        <v>10923</v>
      </c>
      <c r="D176" s="105">
        <v>10605</v>
      </c>
    </row>
    <row r="177" spans="1:4" ht="14.5">
      <c r="A177" t="s">
        <v>5765</v>
      </c>
      <c r="B177" s="380" t="str">
        <f>CONCATENATE(LEFT(RIGHT(CONCATENATE("000",FTG_Data1920!A177),6),3),"-",(RIGHT(RIGHT(CONCATENATE("000",FTG_Data1920!A177),6),3)))</f>
        <v>035-902</v>
      </c>
      <c r="C177" s="105">
        <v>11849</v>
      </c>
      <c r="D177" s="105">
        <v>12292</v>
      </c>
    </row>
    <row r="178" spans="1:4" ht="14.5">
      <c r="A178" t="s">
        <v>2922</v>
      </c>
      <c r="B178" s="380" t="str">
        <f>CONCATENATE(LEFT(RIGHT(CONCATENATE("000",FTG_Data1920!A178),6),3),"-",(RIGHT(RIGHT(CONCATENATE("000",FTG_Data1920!A178),6),3)))</f>
        <v>035-903</v>
      </c>
      <c r="C178" s="105">
        <v>11822</v>
      </c>
      <c r="D178" s="105">
        <v>11477</v>
      </c>
    </row>
    <row r="179" spans="1:4" ht="14.5">
      <c r="A179" t="s">
        <v>2923</v>
      </c>
      <c r="B179" s="380" t="str">
        <f>CONCATENATE(LEFT(RIGHT(CONCATENATE("000",FTG_Data1920!A179),6),3),"-",(RIGHT(RIGHT(CONCATENATE("000",FTG_Data1920!A179),6),3)))</f>
        <v>036-901</v>
      </c>
      <c r="C179" s="105">
        <v>10265</v>
      </c>
      <c r="D179" s="105">
        <v>9966</v>
      </c>
    </row>
    <row r="180" spans="1:4" ht="14.5">
      <c r="A180" t="s">
        <v>4965</v>
      </c>
      <c r="B180" s="380" t="str">
        <f>CONCATENATE(LEFT(RIGHT(CONCATENATE("000",FTG_Data1920!A180),6),3),"-",(RIGHT(RIGHT(CONCATENATE("000",FTG_Data1920!A180),6),3)))</f>
        <v>036-902</v>
      </c>
      <c r="C180" s="105">
        <v>10454</v>
      </c>
      <c r="D180" s="105">
        <v>9386</v>
      </c>
    </row>
    <row r="181" spans="1:4" ht="14.5">
      <c r="A181" t="s">
        <v>2924</v>
      </c>
      <c r="B181" s="380" t="str">
        <f>CONCATENATE(LEFT(RIGHT(CONCATENATE("000",FTG_Data1920!A181),6),3),"-",(RIGHT(RIGHT(CONCATENATE("000",FTG_Data1920!A181),6),3)))</f>
        <v>036-903</v>
      </c>
      <c r="C181" s="105">
        <v>9289</v>
      </c>
      <c r="D181" s="105">
        <v>9019</v>
      </c>
    </row>
    <row r="182" spans="1:4" ht="14.5">
      <c r="A182" t="s">
        <v>4966</v>
      </c>
      <c r="B182" s="380" t="str">
        <f>CONCATENATE(LEFT(RIGHT(CONCATENATE("000",FTG_Data1920!A182),6),3),"-",(RIGHT(RIGHT(CONCATENATE("000",FTG_Data1920!A182),6),3)))</f>
        <v>037-901</v>
      </c>
      <c r="C182" s="105">
        <v>11654</v>
      </c>
      <c r="D182" s="105">
        <v>11314</v>
      </c>
    </row>
    <row r="183" spans="1:4" ht="14.5">
      <c r="A183" t="s">
        <v>2925</v>
      </c>
      <c r="B183" s="380" t="str">
        <f>CONCATENATE(LEFT(RIGHT(CONCATENATE("000",FTG_Data1920!A183),6),3),"-",(RIGHT(RIGHT(CONCATENATE("000",FTG_Data1920!A183),6),3)))</f>
        <v>037-904</v>
      </c>
      <c r="C183" s="105">
        <v>8909</v>
      </c>
      <c r="D183" s="105">
        <v>8649</v>
      </c>
    </row>
    <row r="184" spans="1:4" ht="14.5">
      <c r="A184" t="s">
        <v>2926</v>
      </c>
      <c r="B184" s="380" t="str">
        <f>CONCATENATE(LEFT(RIGHT(CONCATENATE("000",FTG_Data1920!A184),6),3),"-",(RIGHT(RIGHT(CONCATENATE("000",FTG_Data1920!A184),6),3)))</f>
        <v>037-907</v>
      </c>
      <c r="C184" s="105">
        <v>8854</v>
      </c>
      <c r="D184" s="105">
        <v>8596</v>
      </c>
    </row>
    <row r="185" spans="1:4" ht="14.5">
      <c r="A185" t="s">
        <v>3657</v>
      </c>
      <c r="B185" s="380" t="str">
        <f>CONCATENATE(LEFT(RIGHT(CONCATENATE("000",FTG_Data1920!A185),6),3),"-",(RIGHT(RIGHT(CONCATENATE("000",FTG_Data1920!A185),6),3)))</f>
        <v>037-908</v>
      </c>
      <c r="C185" s="105">
        <v>11849</v>
      </c>
      <c r="D185" s="105">
        <v>11755</v>
      </c>
    </row>
    <row r="186" spans="1:4" ht="14.5">
      <c r="A186" t="s">
        <v>4967</v>
      </c>
      <c r="B186" s="380" t="str">
        <f>CONCATENATE(LEFT(RIGHT(CONCATENATE("000",FTG_Data1920!A186),6),3),"-",(RIGHT(RIGHT(CONCATENATE("000",FTG_Data1920!A186),6),3)))</f>
        <v>037-909</v>
      </c>
      <c r="C186" s="105">
        <v>11849</v>
      </c>
      <c r="D186" s="105">
        <v>12707</v>
      </c>
    </row>
    <row r="187" spans="1:4" ht="14.5">
      <c r="A187" t="s">
        <v>2927</v>
      </c>
      <c r="B187" s="380" t="str">
        <f>CONCATENATE(LEFT(RIGHT(CONCATENATE("000",FTG_Data1920!A187),6),3),"-",(RIGHT(RIGHT(CONCATENATE("000",FTG_Data1920!A187),6),3)))</f>
        <v>038-901</v>
      </c>
      <c r="C187" s="105">
        <v>10039</v>
      </c>
      <c r="D187" s="105">
        <v>9747</v>
      </c>
    </row>
    <row r="188" spans="1:4" ht="14.5">
      <c r="A188" t="s">
        <v>4968</v>
      </c>
      <c r="B188" s="380" t="str">
        <f>CONCATENATE(LEFT(RIGHT(CONCATENATE("000",FTG_Data1920!A188),6),3),"-",(RIGHT(RIGHT(CONCATENATE("000",FTG_Data1920!A188),6),3)))</f>
        <v>039-902</v>
      </c>
      <c r="C188" s="105">
        <v>11380</v>
      </c>
      <c r="D188" s="105">
        <v>11049</v>
      </c>
    </row>
    <row r="189" spans="1:4" ht="14.5">
      <c r="A189" t="s">
        <v>2928</v>
      </c>
      <c r="B189" s="380" t="str">
        <f>CONCATENATE(LEFT(RIGHT(CONCATENATE("000",FTG_Data1920!A189),6),3),"-",(RIGHT(RIGHT(CONCATENATE("000",FTG_Data1920!A189),6),3)))</f>
        <v>039-903</v>
      </c>
      <c r="C189" s="105">
        <v>11849</v>
      </c>
      <c r="D189" s="105">
        <v>11994</v>
      </c>
    </row>
    <row r="190" spans="1:4" ht="14.5">
      <c r="A190" t="s">
        <v>5766</v>
      </c>
      <c r="B190" s="380" t="str">
        <f>CONCATENATE(LEFT(RIGHT(CONCATENATE("000",FTG_Data1920!A190),6),3),"-",(RIGHT(RIGHT(CONCATENATE("000",FTG_Data1920!A190),6),3)))</f>
        <v>039-904</v>
      </c>
      <c r="C190" s="105">
        <v>11849</v>
      </c>
      <c r="D190" s="105">
        <v>13300</v>
      </c>
    </row>
    <row r="191" spans="1:4" ht="14.5">
      <c r="A191" t="s">
        <v>5767</v>
      </c>
      <c r="B191" s="380" t="str">
        <f>CONCATENATE(LEFT(RIGHT(CONCATENATE("000",FTG_Data1920!A191),6),3),"-",(RIGHT(RIGHT(CONCATENATE("000",FTG_Data1920!A191),6),3)))</f>
        <v>039-905</v>
      </c>
      <c r="C191" s="105">
        <v>11849</v>
      </c>
      <c r="D191" s="105">
        <v>15967</v>
      </c>
    </row>
    <row r="192" spans="1:4" ht="14.5">
      <c r="A192" t="s">
        <v>5768</v>
      </c>
      <c r="B192" s="380" t="str">
        <f>CONCATENATE(LEFT(RIGHT(CONCATENATE("000",FTG_Data1920!A192),6),3),"-",(RIGHT(RIGHT(CONCATENATE("000",FTG_Data1920!A192),6),3)))</f>
        <v>040-901</v>
      </c>
      <c r="C192" s="105">
        <v>11849</v>
      </c>
      <c r="D192" s="105">
        <v>12042</v>
      </c>
    </row>
    <row r="193" spans="1:4" ht="14.5">
      <c r="A193" t="s">
        <v>4969</v>
      </c>
      <c r="B193" s="380" t="str">
        <f>CONCATENATE(LEFT(RIGHT(CONCATENATE("000",FTG_Data1920!A193),6),3),"-",(RIGHT(RIGHT(CONCATENATE("000",FTG_Data1920!A193),6),3)))</f>
        <v>040-902</v>
      </c>
      <c r="C193" s="105">
        <v>11849</v>
      </c>
      <c r="D193" s="105">
        <v>13055</v>
      </c>
    </row>
    <row r="194" spans="1:4" ht="14.5">
      <c r="A194" t="s">
        <v>5769</v>
      </c>
      <c r="B194" s="380" t="str">
        <f>CONCATENATE(LEFT(RIGHT(CONCATENATE("000",FTG_Data1920!A194),6),3),"-",(RIGHT(RIGHT(CONCATENATE("000",FTG_Data1920!A194),6),3)))</f>
        <v>041-901</v>
      </c>
      <c r="C194" s="105">
        <v>11849</v>
      </c>
      <c r="D194" s="105">
        <v>12984</v>
      </c>
    </row>
    <row r="195" spans="1:4" ht="14.5">
      <c r="A195" t="s">
        <v>4970</v>
      </c>
      <c r="B195" s="380" t="str">
        <f>CONCATENATE(LEFT(RIGHT(CONCATENATE("000",FTG_Data1920!A195),6),3),"-",(RIGHT(RIGHT(CONCATENATE("000",FTG_Data1920!A195),6),3)))</f>
        <v>041-902</v>
      </c>
      <c r="C195" s="105">
        <v>11849</v>
      </c>
      <c r="D195" s="105">
        <v>11785</v>
      </c>
    </row>
    <row r="196" spans="1:4" ht="14.5">
      <c r="A196" t="s">
        <v>3664</v>
      </c>
      <c r="B196" s="380" t="str">
        <f>CONCATENATE(LEFT(RIGHT(CONCATENATE("000",FTG_Data1920!A196),6),3),"-",(RIGHT(RIGHT(CONCATENATE("000",FTG_Data1920!A196),6),3)))</f>
        <v>042-901</v>
      </c>
      <c r="C196" s="105">
        <v>11849</v>
      </c>
      <c r="D196" s="105">
        <v>11546</v>
      </c>
    </row>
    <row r="197" spans="1:4" ht="14.5">
      <c r="A197" t="s">
        <v>2929</v>
      </c>
      <c r="B197" s="380" t="str">
        <f>CONCATENATE(LEFT(RIGHT(CONCATENATE("000",FTG_Data1920!A197),6),3),"-",(RIGHT(RIGHT(CONCATENATE("000",FTG_Data1920!A197),6),3)))</f>
        <v>042-903</v>
      </c>
      <c r="C197" s="105">
        <v>11846</v>
      </c>
      <c r="D197" s="105">
        <v>11501</v>
      </c>
    </row>
    <row r="198" spans="1:4" ht="14.5">
      <c r="A198" t="s">
        <v>4971</v>
      </c>
      <c r="B198" s="380" t="str">
        <f>CONCATENATE(LEFT(RIGHT(CONCATENATE("000",FTG_Data1920!A198),6),3),"-",(RIGHT(RIGHT(CONCATENATE("000",FTG_Data1920!A198),6),3)))</f>
        <v>042-905</v>
      </c>
      <c r="C198" s="105">
        <v>11849</v>
      </c>
      <c r="D198" s="105">
        <v>14695</v>
      </c>
    </row>
    <row r="199" spans="1:4" ht="14.5">
      <c r="A199" t="s">
        <v>7948</v>
      </c>
      <c r="B199" s="380" t="str">
        <f>CONCATENATE(LEFT(RIGHT(CONCATENATE("000",FTG_Data1920!A199),6),3),"-",(RIGHT(RIGHT(CONCATENATE("000",FTG_Data1920!A199),6),3)))</f>
        <v>043-801</v>
      </c>
      <c r="C199" s="105">
        <v>8807</v>
      </c>
      <c r="D199" s="105">
        <v>8550</v>
      </c>
    </row>
    <row r="200" spans="1:4" ht="14.5">
      <c r="A200" t="s">
        <v>7949</v>
      </c>
      <c r="B200" s="380" t="str">
        <f>CONCATENATE(LEFT(RIGHT(CONCATENATE("000",FTG_Data1920!A200),6),3),"-",(RIGHT(RIGHT(CONCATENATE("000",FTG_Data1920!A200),6),3)))</f>
        <v>043-802</v>
      </c>
      <c r="C200" s="105">
        <v>8689</v>
      </c>
      <c r="D200" s="105">
        <v>8436</v>
      </c>
    </row>
    <row r="201" spans="1:4" ht="14.5">
      <c r="A201" t="s">
        <v>2930</v>
      </c>
      <c r="B201" s="380" t="str">
        <f>CONCATENATE(LEFT(RIGHT(CONCATENATE("000",FTG_Data1920!A201),6),3),"-",(RIGHT(RIGHT(CONCATENATE("000",FTG_Data1920!A201),6),3)))</f>
        <v>043-901</v>
      </c>
      <c r="C201" s="105">
        <v>8891</v>
      </c>
      <c r="D201" s="105">
        <v>8632</v>
      </c>
    </row>
    <row r="202" spans="1:4" ht="14.5">
      <c r="A202" t="s">
        <v>2931</v>
      </c>
      <c r="B202" s="380" t="str">
        <f>CONCATENATE(LEFT(RIGHT(CONCATENATE("000",FTG_Data1920!A202),6),3),"-",(RIGHT(RIGHT(CONCATENATE("000",FTG_Data1920!A202),6),3)))</f>
        <v>043-902</v>
      </c>
      <c r="C202" s="105">
        <v>10162</v>
      </c>
      <c r="D202" s="105">
        <v>9866</v>
      </c>
    </row>
    <row r="203" spans="1:4" ht="14.5">
      <c r="A203" t="s">
        <v>2932</v>
      </c>
      <c r="B203" s="380" t="str">
        <f>CONCATENATE(LEFT(RIGHT(CONCATENATE("000",FTG_Data1920!A203),6),3),"-",(RIGHT(RIGHT(CONCATENATE("000",FTG_Data1920!A203),6),3)))</f>
        <v>043-903</v>
      </c>
      <c r="C203" s="105">
        <v>9727</v>
      </c>
      <c r="D203" s="105">
        <v>9444</v>
      </c>
    </row>
    <row r="204" spans="1:4" ht="14.5">
      <c r="A204" t="s">
        <v>2933</v>
      </c>
      <c r="B204" s="380" t="str">
        <f>CONCATENATE(LEFT(RIGHT(CONCATENATE("000",FTG_Data1920!A204),6),3),"-",(RIGHT(RIGHT(CONCATENATE("000",FTG_Data1920!A204),6),3)))</f>
        <v>043-904</v>
      </c>
      <c r="C204" s="105">
        <v>10412</v>
      </c>
      <c r="D204" s="105">
        <v>10108</v>
      </c>
    </row>
    <row r="205" spans="1:4" ht="14.5">
      <c r="A205" t="s">
        <v>2934</v>
      </c>
      <c r="B205" s="380" t="str">
        <f>CONCATENATE(LEFT(RIGHT(CONCATENATE("000",FTG_Data1920!A205),6),3),"-",(RIGHT(RIGHT(CONCATENATE("000",FTG_Data1920!A205),6),3)))</f>
        <v>043-905</v>
      </c>
      <c r="C205" s="105">
        <v>8759</v>
      </c>
      <c r="D205" s="105">
        <v>8503</v>
      </c>
    </row>
    <row r="206" spans="1:4" ht="14.5">
      <c r="A206" t="s">
        <v>2935</v>
      </c>
      <c r="B206" s="380" t="str">
        <f>CONCATENATE(LEFT(RIGHT(CONCATENATE("000",FTG_Data1920!A206),6),3),"-",(RIGHT(RIGHT(CONCATENATE("000",FTG_Data1920!A206),6),3)))</f>
        <v>043-907</v>
      </c>
      <c r="C206" s="105">
        <v>9276</v>
      </c>
      <c r="D206" s="105">
        <v>9006</v>
      </c>
    </row>
    <row r="207" spans="1:4" ht="14.5">
      <c r="A207" t="s">
        <v>2936</v>
      </c>
      <c r="B207" s="380" t="str">
        <f>CONCATENATE(LEFT(RIGHT(CONCATENATE("000",FTG_Data1920!A207),6),3),"-",(RIGHT(RIGHT(CONCATENATE("000",FTG_Data1920!A207),6),3)))</f>
        <v>043-908</v>
      </c>
      <c r="C207" s="105">
        <v>9516</v>
      </c>
      <c r="D207" s="105">
        <v>9239</v>
      </c>
    </row>
    <row r="208" spans="1:4" ht="14.5">
      <c r="A208" t="s">
        <v>4972</v>
      </c>
      <c r="B208" s="380" t="str">
        <f>CONCATENATE(LEFT(RIGHT(CONCATENATE("000",FTG_Data1920!A208),6),3),"-",(RIGHT(RIGHT(CONCATENATE("000",FTG_Data1920!A208),6),3)))</f>
        <v>043-910</v>
      </c>
      <c r="C208" s="105">
        <v>9184</v>
      </c>
      <c r="D208" s="105">
        <v>8917</v>
      </c>
    </row>
    <row r="209" spans="1:4" ht="14.5">
      <c r="A209" t="s">
        <v>2937</v>
      </c>
      <c r="B209" s="380" t="str">
        <f>CONCATENATE(LEFT(RIGHT(CONCATENATE("000",FTG_Data1920!A209),6),3),"-",(RIGHT(RIGHT(CONCATENATE("000",FTG_Data1920!A209),6),3)))</f>
        <v>043-911</v>
      </c>
      <c r="C209" s="105">
        <v>9907</v>
      </c>
      <c r="D209" s="105">
        <v>9618</v>
      </c>
    </row>
    <row r="210" spans="1:4" ht="14.5">
      <c r="A210" t="s">
        <v>2938</v>
      </c>
      <c r="B210" s="380" t="str">
        <f>CONCATENATE(LEFT(RIGHT(CONCATENATE("000",FTG_Data1920!A210),6),3),"-",(RIGHT(RIGHT(CONCATENATE("000",FTG_Data1920!A210),6),3)))</f>
        <v>043-912</v>
      </c>
      <c r="C210" s="105">
        <v>9112</v>
      </c>
      <c r="D210" s="105">
        <v>8847</v>
      </c>
    </row>
    <row r="211" spans="1:4" ht="14.5">
      <c r="A211" t="s">
        <v>2939</v>
      </c>
      <c r="B211" s="380" t="str">
        <f>CONCATENATE(LEFT(RIGHT(CONCATENATE("000",FTG_Data1920!A211),6),3),"-",(RIGHT(RIGHT(CONCATENATE("000",FTG_Data1920!A211),6),3)))</f>
        <v>043-914</v>
      </c>
      <c r="C211" s="105">
        <v>8901</v>
      </c>
      <c r="D211" s="105">
        <v>8642</v>
      </c>
    </row>
    <row r="212" spans="1:4" ht="14.5">
      <c r="A212" t="s">
        <v>2940</v>
      </c>
      <c r="B212" s="380" t="str">
        <f>CONCATENATE(LEFT(RIGHT(CONCATENATE("000",FTG_Data1920!A212),6),3),"-",(RIGHT(RIGHT(CONCATENATE("000",FTG_Data1920!A212),6),3)))</f>
        <v>043-917</v>
      </c>
      <c r="C212" s="105">
        <v>11849</v>
      </c>
      <c r="D212" s="105">
        <v>11708</v>
      </c>
    </row>
    <row r="213" spans="1:4" ht="14.5">
      <c r="A213" t="s">
        <v>2941</v>
      </c>
      <c r="B213" s="380" t="str">
        <f>CONCATENATE(LEFT(RIGHT(CONCATENATE("000",FTG_Data1920!A213),6),3),"-",(RIGHT(RIGHT(CONCATENATE("000",FTG_Data1920!A213),6),3)))</f>
        <v>043-918</v>
      </c>
      <c r="C213" s="105">
        <v>10322</v>
      </c>
      <c r="D213" s="105">
        <v>10021</v>
      </c>
    </row>
    <row r="214" spans="1:4" ht="14.5">
      <c r="A214" t="s">
        <v>4973</v>
      </c>
      <c r="B214" s="380" t="str">
        <f>CONCATENATE(LEFT(RIGHT(CONCATENATE("000",FTG_Data1920!A214),6),3),"-",(RIGHT(RIGHT(CONCATENATE("000",FTG_Data1920!A214),6),3)))</f>
        <v>043-919</v>
      </c>
      <c r="C214" s="105">
        <v>8465</v>
      </c>
      <c r="D214" s="105">
        <v>8219</v>
      </c>
    </row>
    <row r="215" spans="1:4" ht="14.5">
      <c r="A215" t="s">
        <v>5770</v>
      </c>
      <c r="B215" s="380" t="str">
        <f>CONCATENATE(LEFT(RIGHT(CONCATENATE("000",FTG_Data1920!A215),6),3),"-",(RIGHT(RIGHT(CONCATENATE("000",FTG_Data1920!A215),6),3)))</f>
        <v>044-902</v>
      </c>
      <c r="C215" s="105">
        <v>11826</v>
      </c>
      <c r="D215" s="105">
        <v>11482</v>
      </c>
    </row>
    <row r="216" spans="1:4" ht="14.5">
      <c r="A216" t="s">
        <v>2942</v>
      </c>
      <c r="B216" s="380" t="str">
        <f>CONCATENATE(LEFT(RIGHT(CONCATENATE("000",FTG_Data1920!A216),6),3),"-",(RIGHT(RIGHT(CONCATENATE("000",FTG_Data1920!A216),6),3)))</f>
        <v>045-902</v>
      </c>
      <c r="C216" s="105">
        <v>10728</v>
      </c>
      <c r="D216" s="105">
        <v>10416</v>
      </c>
    </row>
    <row r="217" spans="1:4" ht="14.5">
      <c r="A217" t="s">
        <v>4974</v>
      </c>
      <c r="B217" s="380" t="str">
        <f>CONCATENATE(LEFT(RIGHT(CONCATENATE("000",FTG_Data1920!A217),6),3),"-",(RIGHT(RIGHT(CONCATENATE("000",FTG_Data1920!A217),6),3)))</f>
        <v>045-903</v>
      </c>
      <c r="C217" s="105">
        <v>10579</v>
      </c>
      <c r="D217" s="105">
        <v>10270</v>
      </c>
    </row>
    <row r="218" spans="1:4" ht="14.5">
      <c r="A218" t="s">
        <v>4975</v>
      </c>
      <c r="B218" s="380" t="str">
        <f>CONCATENATE(LEFT(RIGHT(CONCATENATE("000",FTG_Data1920!A218),6),3),"-",(RIGHT(RIGHT(CONCATENATE("000",FTG_Data1920!A218),6),3)))</f>
        <v>045-905</v>
      </c>
      <c r="C218" s="105">
        <v>11100</v>
      </c>
      <c r="D218" s="105">
        <v>10777</v>
      </c>
    </row>
    <row r="219" spans="1:4" ht="14.5">
      <c r="A219" t="s">
        <v>7950</v>
      </c>
      <c r="B219" s="380" t="str">
        <f>CONCATENATE(LEFT(RIGHT(CONCATENATE("000",FTG_Data1920!A219),6),3),"-",(RIGHT(RIGHT(CONCATENATE("000",FTG_Data1920!A219),6),3)))</f>
        <v>046-802</v>
      </c>
      <c r="C219" s="105">
        <v>11849</v>
      </c>
      <c r="D219" s="105">
        <v>18453</v>
      </c>
    </row>
    <row r="220" spans="1:4" ht="14.5">
      <c r="A220" t="s">
        <v>2943</v>
      </c>
      <c r="B220" s="380" t="str">
        <f>CONCATENATE(LEFT(RIGHT(CONCATENATE("000",FTG_Data1920!A220),6),3),"-",(RIGHT(RIGHT(CONCATENATE("000",FTG_Data1920!A220),6),3)))</f>
        <v>046-901</v>
      </c>
      <c r="C220" s="105">
        <v>8483</v>
      </c>
      <c r="D220" s="105">
        <v>8236</v>
      </c>
    </row>
    <row r="221" spans="1:4" ht="14.5">
      <c r="A221" t="s">
        <v>4976</v>
      </c>
      <c r="B221" s="380" t="str">
        <f>CONCATENATE(LEFT(RIGHT(CONCATENATE("000",FTG_Data1920!A221),6),3),"-",(RIGHT(RIGHT(CONCATENATE("000",FTG_Data1920!A221),6),3)))</f>
        <v>046-902</v>
      </c>
      <c r="C221" s="105">
        <v>8192</v>
      </c>
      <c r="D221" s="105">
        <v>7953</v>
      </c>
    </row>
    <row r="222" spans="1:4" ht="14.5">
      <c r="A222" t="s">
        <v>2944</v>
      </c>
      <c r="B222" s="380" t="str">
        <f>CONCATENATE(LEFT(RIGHT(CONCATENATE("000",FTG_Data1920!A222),6),3),"-",(RIGHT(RIGHT(CONCATENATE("000",FTG_Data1920!A222),6),3)))</f>
        <v>047-901</v>
      </c>
      <c r="C222" s="105">
        <v>11471</v>
      </c>
      <c r="D222" s="105">
        <v>11137</v>
      </c>
    </row>
    <row r="223" spans="1:4" ht="14.5">
      <c r="A223" t="s">
        <v>2945</v>
      </c>
      <c r="B223" s="380" t="str">
        <f>CONCATENATE(LEFT(RIGHT(CONCATENATE("000",FTG_Data1920!A223),6),3),"-",(RIGHT(RIGHT(CONCATENATE("000",FTG_Data1920!A223),6),3)))</f>
        <v>047-902</v>
      </c>
      <c r="C223" s="105">
        <v>10853</v>
      </c>
      <c r="D223" s="105">
        <v>10537</v>
      </c>
    </row>
    <row r="224" spans="1:4" ht="14.5">
      <c r="A224" t="s">
        <v>2946</v>
      </c>
      <c r="B224" s="380" t="str">
        <f>CONCATENATE(LEFT(RIGHT(CONCATENATE("000",FTG_Data1920!A224),6),3),"-",(RIGHT(RIGHT(CONCATENATE("000",FTG_Data1920!A224),6),3)))</f>
        <v>047-903</v>
      </c>
      <c r="C224" s="105">
        <v>11849</v>
      </c>
      <c r="D224" s="105">
        <v>13556</v>
      </c>
    </row>
    <row r="225" spans="1:4" ht="14.5">
      <c r="A225" t="s">
        <v>2947</v>
      </c>
      <c r="B225" s="380" t="str">
        <f>CONCATENATE(LEFT(RIGHT(CONCATENATE("000",FTG_Data1920!A225),6),3),"-",(RIGHT(RIGHT(CONCATENATE("000",FTG_Data1920!A225),6),3)))</f>
        <v>047-905</v>
      </c>
      <c r="C225" s="105">
        <v>11849</v>
      </c>
      <c r="D225" s="105">
        <v>11531</v>
      </c>
    </row>
    <row r="226" spans="1:4" ht="14.5">
      <c r="A226" t="s">
        <v>5771</v>
      </c>
      <c r="B226" s="380" t="str">
        <f>CONCATENATE(LEFT(RIGHT(CONCATENATE("000",FTG_Data1920!A226),6),3),"-",(RIGHT(RIGHT(CONCATENATE("000",FTG_Data1920!A226),6),3)))</f>
        <v>048-901</v>
      </c>
      <c r="C226" s="105">
        <v>11849</v>
      </c>
      <c r="D226" s="105">
        <v>13935</v>
      </c>
    </row>
    <row r="227" spans="1:4" ht="14.5">
      <c r="A227" t="s">
        <v>4977</v>
      </c>
      <c r="B227" s="380" t="str">
        <f>CONCATENATE(LEFT(RIGHT(CONCATENATE("000",FTG_Data1920!A227),6),3),"-",(RIGHT(RIGHT(CONCATENATE("000",FTG_Data1920!A227),6),3)))</f>
        <v>048-903</v>
      </c>
      <c r="C227" s="105">
        <v>11849</v>
      </c>
      <c r="D227" s="105">
        <v>14339</v>
      </c>
    </row>
    <row r="228" spans="1:4" ht="14.5">
      <c r="A228" t="s">
        <v>2948</v>
      </c>
      <c r="B228" s="380" t="str">
        <f>CONCATENATE(LEFT(RIGHT(CONCATENATE("000",FTG_Data1920!A228),6),3),"-",(RIGHT(RIGHT(CONCATENATE("000",FTG_Data1920!A228),6),3)))</f>
        <v>049-901</v>
      </c>
      <c r="C228" s="105">
        <v>10489</v>
      </c>
      <c r="D228" s="105">
        <v>10184</v>
      </c>
    </row>
    <row r="229" spans="1:4" ht="14.5">
      <c r="A229" t="s">
        <v>4978</v>
      </c>
      <c r="B229" s="380" t="str">
        <f>CONCATENATE(LEFT(RIGHT(CONCATENATE("000",FTG_Data1920!A229),6),3),"-",(RIGHT(RIGHT(CONCATENATE("000",FTG_Data1920!A229),6),3)))</f>
        <v>049-902</v>
      </c>
      <c r="C229" s="105">
        <v>10801</v>
      </c>
      <c r="D229" s="105">
        <v>10487</v>
      </c>
    </row>
    <row r="230" spans="1:4" ht="14.5">
      <c r="A230" t="s">
        <v>2949</v>
      </c>
      <c r="B230" s="380" t="str">
        <f>CONCATENATE(LEFT(RIGHT(CONCATENATE("000",FTG_Data1920!A230),6),3),"-",(RIGHT(RIGHT(CONCATENATE("000",FTG_Data1920!A230),6),3)))</f>
        <v>049-903</v>
      </c>
      <c r="C230" s="105">
        <v>11466</v>
      </c>
      <c r="D230" s="105">
        <v>11132</v>
      </c>
    </row>
    <row r="231" spans="1:4" ht="14.5">
      <c r="A231" t="s">
        <v>4979</v>
      </c>
      <c r="B231" s="380" t="str">
        <f>CONCATENATE(LEFT(RIGHT(CONCATENATE("000",FTG_Data1920!A231),6),3),"-",(RIGHT(RIGHT(CONCATENATE("000",FTG_Data1920!A231),6),3)))</f>
        <v>049-905</v>
      </c>
      <c r="C231" s="105">
        <v>10572</v>
      </c>
      <c r="D231" s="105">
        <v>10264</v>
      </c>
    </row>
    <row r="232" spans="1:4" ht="14.5">
      <c r="A232" t="s">
        <v>2950</v>
      </c>
      <c r="B232" s="380" t="str">
        <f>CONCATENATE(LEFT(RIGHT(CONCATENATE("000",FTG_Data1920!A232),6),3),"-",(RIGHT(RIGHT(CONCATENATE("000",FTG_Data1920!A232),6),3)))</f>
        <v>049-906</v>
      </c>
      <c r="C232" s="105">
        <v>10915</v>
      </c>
      <c r="D232" s="105">
        <v>10597</v>
      </c>
    </row>
    <row r="233" spans="1:4" ht="14.5">
      <c r="A233" t="s">
        <v>4980</v>
      </c>
      <c r="B233" s="380" t="str">
        <f>CONCATENATE(LEFT(RIGHT(CONCATENATE("000",FTG_Data1920!A233),6),3),"-",(RIGHT(RIGHT(CONCATENATE("000",FTG_Data1920!A233),6),3)))</f>
        <v>049-907</v>
      </c>
      <c r="C233" s="105">
        <v>7421</v>
      </c>
      <c r="D233" s="105">
        <v>7205</v>
      </c>
    </row>
    <row r="234" spans="1:4" ht="14.5">
      <c r="A234" t="s">
        <v>5772</v>
      </c>
      <c r="B234" s="380" t="str">
        <f>CONCATENATE(LEFT(RIGHT(CONCATENATE("000",FTG_Data1920!A234),6),3),"-",(RIGHT(RIGHT(CONCATENATE("000",FTG_Data1920!A234),6),3)))</f>
        <v>049-908</v>
      </c>
      <c r="C234" s="105">
        <v>11849</v>
      </c>
      <c r="D234" s="105">
        <v>13600</v>
      </c>
    </row>
    <row r="235" spans="1:4" ht="14.5">
      <c r="A235" t="s">
        <v>5773</v>
      </c>
      <c r="B235" s="380" t="str">
        <f>CONCATENATE(LEFT(RIGHT(CONCATENATE("000",FTG_Data1920!A235),6),3),"-",(RIGHT(RIGHT(CONCATENATE("000",FTG_Data1920!A235),6),3)))</f>
        <v>049-909</v>
      </c>
      <c r="C235" s="105">
        <v>11849</v>
      </c>
      <c r="D235" s="105">
        <v>15952</v>
      </c>
    </row>
    <row r="236" spans="1:4" ht="14.5">
      <c r="A236" t="s">
        <v>5774</v>
      </c>
      <c r="B236" s="380" t="str">
        <f>CONCATENATE(LEFT(RIGHT(CONCATENATE("000",FTG_Data1920!A236),6),3),"-",(RIGHT(RIGHT(CONCATENATE("000",FTG_Data1920!A236),6),3)))</f>
        <v>050-901</v>
      </c>
      <c r="C236" s="105">
        <v>11849</v>
      </c>
      <c r="D236" s="105">
        <v>11621</v>
      </c>
    </row>
    <row r="237" spans="1:4" ht="14.5">
      <c r="A237" t="s">
        <v>4981</v>
      </c>
      <c r="B237" s="380" t="str">
        <f>CONCATENATE(LEFT(RIGHT(CONCATENATE("000",FTG_Data1920!A237),6),3),"-",(RIGHT(RIGHT(CONCATENATE("000",FTG_Data1920!A237),6),3)))</f>
        <v>050-902</v>
      </c>
      <c r="C237" s="105">
        <v>8845</v>
      </c>
      <c r="D237" s="105">
        <v>8588</v>
      </c>
    </row>
    <row r="238" spans="1:4" ht="14.5">
      <c r="A238" t="s">
        <v>2951</v>
      </c>
      <c r="B238" s="380" t="str">
        <f>CONCATENATE(LEFT(RIGHT(CONCATENATE("000",FTG_Data1920!A238),6),3),"-",(RIGHT(RIGHT(CONCATENATE("000",FTG_Data1920!A238),6),3)))</f>
        <v>050-904</v>
      </c>
      <c r="C238" s="105">
        <v>11849</v>
      </c>
      <c r="D238" s="105">
        <v>13031</v>
      </c>
    </row>
    <row r="239" spans="1:4" ht="14.5">
      <c r="A239" t="s">
        <v>4982</v>
      </c>
      <c r="B239" s="380" t="str">
        <f>CONCATENATE(LEFT(RIGHT(CONCATENATE("000",FTG_Data1920!A239),6),3),"-",(RIGHT(RIGHT(CONCATENATE("000",FTG_Data1920!A239),6),3)))</f>
        <v>050-909</v>
      </c>
      <c r="C239" s="105">
        <v>11849</v>
      </c>
      <c r="D239" s="105">
        <v>12017</v>
      </c>
    </row>
    <row r="240" spans="1:4" ht="14.5">
      <c r="A240" t="s">
        <v>2952</v>
      </c>
      <c r="B240" s="380" t="str">
        <f>CONCATENATE(LEFT(RIGHT(CONCATENATE("000",FTG_Data1920!A240),6),3),"-",(RIGHT(RIGHT(CONCATENATE("000",FTG_Data1920!A240),6),3)))</f>
        <v>050-910</v>
      </c>
      <c r="C240" s="105">
        <v>8931</v>
      </c>
      <c r="D240" s="105">
        <v>8671</v>
      </c>
    </row>
    <row r="241" spans="1:4" ht="14.5">
      <c r="A241" t="s">
        <v>5775</v>
      </c>
      <c r="B241" s="380" t="str">
        <f>CONCATENATE(LEFT(RIGHT(CONCATENATE("000",FTG_Data1920!A241),6),3),"-",(RIGHT(RIGHT(CONCATENATE("000",FTG_Data1920!A241),6),3)))</f>
        <v>051-901</v>
      </c>
      <c r="C241" s="105">
        <v>11849</v>
      </c>
      <c r="D241" s="105">
        <v>13870</v>
      </c>
    </row>
    <row r="242" spans="1:4" ht="14.5">
      <c r="A242" t="s">
        <v>4983</v>
      </c>
      <c r="B242" s="380" t="str">
        <f>CONCATENATE(LEFT(RIGHT(CONCATENATE("000",FTG_Data1920!A242),6),3),"-",(RIGHT(RIGHT(CONCATENATE("000",FTG_Data1920!A242),6),3)))</f>
        <v>052-901</v>
      </c>
      <c r="C242" s="105">
        <v>11849</v>
      </c>
      <c r="D242" s="105">
        <v>13104</v>
      </c>
    </row>
    <row r="243" spans="1:4" ht="14.5">
      <c r="A243" t="s">
        <v>5776</v>
      </c>
      <c r="B243" s="380" t="str">
        <f>CONCATENATE(LEFT(RIGHT(CONCATENATE("000",FTG_Data1920!A243),6),3),"-",(RIGHT(RIGHT(CONCATENATE("000",FTG_Data1920!A243),6),3)))</f>
        <v>053-001</v>
      </c>
      <c r="C243" s="105">
        <v>11849</v>
      </c>
      <c r="D243" s="105">
        <v>13526</v>
      </c>
    </row>
    <row r="244" spans="1:4" ht="14.5">
      <c r="A244" t="s">
        <v>5777</v>
      </c>
      <c r="B244" s="380" t="str">
        <f>CONCATENATE(LEFT(RIGHT(CONCATENATE("000",FTG_Data1920!A244),6),3),"-",(RIGHT(RIGHT(CONCATENATE("000",FTG_Data1920!A244),6),3)))</f>
        <v>054-901</v>
      </c>
      <c r="C244" s="105">
        <v>11849</v>
      </c>
      <c r="D244" s="105">
        <v>15609</v>
      </c>
    </row>
    <row r="245" spans="1:4" ht="14.5">
      <c r="A245" t="s">
        <v>5778</v>
      </c>
      <c r="B245" s="380" t="str">
        <f>CONCATENATE(LEFT(RIGHT(CONCATENATE("000",FTG_Data1920!A245),6),3),"-",(RIGHT(RIGHT(CONCATENATE("000",FTG_Data1920!A245),6),3)))</f>
        <v>054-902</v>
      </c>
      <c r="C245" s="105">
        <v>11849</v>
      </c>
      <c r="D245" s="105">
        <v>14939</v>
      </c>
    </row>
    <row r="246" spans="1:4" ht="14.5">
      <c r="A246" t="s">
        <v>5779</v>
      </c>
      <c r="B246" s="380" t="str">
        <f>CONCATENATE(LEFT(RIGHT(CONCATENATE("000",FTG_Data1920!A246),6),3),"-",(RIGHT(RIGHT(CONCATENATE("000",FTG_Data1920!A246),6),3)))</f>
        <v>054-903</v>
      </c>
      <c r="C246" s="105">
        <v>11849</v>
      </c>
      <c r="D246" s="105">
        <v>13424</v>
      </c>
    </row>
    <row r="247" spans="1:4" ht="14.5">
      <c r="A247" t="s">
        <v>4984</v>
      </c>
      <c r="B247" s="380" t="str">
        <f>CONCATENATE(LEFT(RIGHT(CONCATENATE("000",FTG_Data1920!A247),6),3),"-",(RIGHT(RIGHT(CONCATENATE("000",FTG_Data1920!A247),6),3)))</f>
        <v>055-901</v>
      </c>
      <c r="C247" s="105">
        <v>11849</v>
      </c>
      <c r="D247" s="105">
        <v>19254</v>
      </c>
    </row>
    <row r="248" spans="1:4" ht="14.5">
      <c r="A248" t="s">
        <v>4985</v>
      </c>
      <c r="B248" s="380" t="str">
        <f>CONCATENATE(LEFT(RIGHT(CONCATENATE("000",FTG_Data1920!A248),6),3),"-",(RIGHT(RIGHT(CONCATENATE("000",FTG_Data1920!A248),6),3)))</f>
        <v>056-901</v>
      </c>
      <c r="C248" s="105">
        <v>9378</v>
      </c>
      <c r="D248" s="105">
        <v>9105</v>
      </c>
    </row>
    <row r="249" spans="1:4" ht="14.5">
      <c r="A249" t="s">
        <v>5780</v>
      </c>
      <c r="B249" s="380" t="str">
        <f>CONCATENATE(LEFT(RIGHT(CONCATENATE("000",FTG_Data1920!A249),6),3),"-",(RIGHT(RIGHT(CONCATENATE("000",FTG_Data1920!A249),6),3)))</f>
        <v>056-902</v>
      </c>
      <c r="C249" s="105">
        <v>11849</v>
      </c>
      <c r="D249" s="105">
        <v>14709</v>
      </c>
    </row>
    <row r="250" spans="1:4" ht="14.5">
      <c r="A250" t="s">
        <v>7951</v>
      </c>
      <c r="B250" s="380" t="str">
        <f>CONCATENATE(LEFT(RIGHT(CONCATENATE("000",FTG_Data1920!A250),6),3),"-",(RIGHT(RIGHT(CONCATENATE("000",FTG_Data1920!A250),6),3)))</f>
        <v>057-802</v>
      </c>
      <c r="C250" s="105">
        <v>11111</v>
      </c>
      <c r="D250" s="105">
        <v>10788</v>
      </c>
    </row>
    <row r="251" spans="1:4" ht="14.5">
      <c r="A251" t="s">
        <v>7952</v>
      </c>
      <c r="B251" s="380" t="str">
        <f>CONCATENATE(LEFT(RIGHT(CONCATENATE("000",FTG_Data1920!A251),6),3),"-",(RIGHT(RIGHT(CONCATENATE("000",FTG_Data1920!A251),6),3)))</f>
        <v>057-803</v>
      </c>
      <c r="C251" s="105">
        <v>10484</v>
      </c>
      <c r="D251" s="105">
        <v>10178</v>
      </c>
    </row>
    <row r="252" spans="1:4" ht="14.5">
      <c r="A252" t="s">
        <v>7953</v>
      </c>
      <c r="B252" s="380" t="str">
        <f>CONCATENATE(LEFT(RIGHT(CONCATENATE("000",FTG_Data1920!A252),6),3),"-",(RIGHT(RIGHT(CONCATENATE("000",FTG_Data1920!A252),6),3)))</f>
        <v>057-804</v>
      </c>
      <c r="C252" s="105">
        <v>11292</v>
      </c>
      <c r="D252" s="105">
        <v>10963</v>
      </c>
    </row>
    <row r="253" spans="1:4" ht="14.5">
      <c r="A253" t="s">
        <v>7954</v>
      </c>
      <c r="B253" s="380" t="str">
        <f>CONCATENATE(LEFT(RIGHT(CONCATENATE("000",FTG_Data1920!A253),6),3),"-",(RIGHT(RIGHT(CONCATENATE("000",FTG_Data1920!A253),6),3)))</f>
        <v>057-805</v>
      </c>
      <c r="C253" s="105">
        <v>10650</v>
      </c>
      <c r="D253" s="105">
        <v>10339</v>
      </c>
    </row>
    <row r="254" spans="1:4" ht="14.5">
      <c r="A254" t="s">
        <v>7955</v>
      </c>
      <c r="B254" s="380" t="str">
        <f>CONCATENATE(LEFT(RIGHT(CONCATENATE("000",FTG_Data1920!A254),6),3),"-",(RIGHT(RIGHT(CONCATENATE("000",FTG_Data1920!A254),6),3)))</f>
        <v>057-806</v>
      </c>
      <c r="C254" s="105">
        <v>10707</v>
      </c>
      <c r="D254" s="105">
        <v>10395</v>
      </c>
    </row>
    <row r="255" spans="1:4" ht="14.5">
      <c r="A255" t="s">
        <v>7956</v>
      </c>
      <c r="B255" s="380" t="str">
        <f>CONCATENATE(LEFT(RIGHT(CONCATENATE("000",FTG_Data1920!A255),6),3),"-",(RIGHT(RIGHT(CONCATENATE("000",FTG_Data1920!A255),6),3)))</f>
        <v>057-807</v>
      </c>
      <c r="C255" s="105">
        <v>10502</v>
      </c>
      <c r="D255" s="105">
        <v>10196</v>
      </c>
    </row>
    <row r="256" spans="1:4" ht="14.5">
      <c r="A256" t="s">
        <v>7957</v>
      </c>
      <c r="B256" s="380" t="str">
        <f>CONCATENATE(LEFT(RIGHT(CONCATENATE("000",FTG_Data1920!A256),6),3),"-",(RIGHT(RIGHT(CONCATENATE("000",FTG_Data1920!A256),6),3)))</f>
        <v>057-808</v>
      </c>
      <c r="C256" s="105">
        <v>9324</v>
      </c>
      <c r="D256" s="105">
        <v>9053</v>
      </c>
    </row>
    <row r="257" spans="1:4" ht="14.5">
      <c r="A257" t="s">
        <v>7958</v>
      </c>
      <c r="B257" s="380" t="str">
        <f>CONCATENATE(LEFT(RIGHT(CONCATENATE("000",FTG_Data1920!A257),6),3),"-",(RIGHT(RIGHT(CONCATENATE("000",FTG_Data1920!A257),6),3)))</f>
        <v>057-809</v>
      </c>
      <c r="C257" s="105">
        <v>10676</v>
      </c>
      <c r="D257" s="105">
        <v>10365</v>
      </c>
    </row>
    <row r="258" spans="1:4" ht="14.5">
      <c r="A258" t="s">
        <v>7959</v>
      </c>
      <c r="B258" s="380" t="str">
        <f>CONCATENATE(LEFT(RIGHT(CONCATENATE("000",FTG_Data1920!A258),6),3),"-",(RIGHT(RIGHT(CONCATENATE("000",FTG_Data1920!A258),6),3)))</f>
        <v>057-810</v>
      </c>
      <c r="C258" s="105">
        <v>10787</v>
      </c>
      <c r="D258" s="105">
        <v>10473</v>
      </c>
    </row>
    <row r="259" spans="1:4" ht="14.5">
      <c r="A259" t="s">
        <v>7960</v>
      </c>
      <c r="B259" s="380" t="str">
        <f>CONCATENATE(LEFT(RIGHT(CONCATENATE("000",FTG_Data1920!A259),6),3),"-",(RIGHT(RIGHT(CONCATENATE("000",FTG_Data1920!A259),6),3)))</f>
        <v>057-813</v>
      </c>
      <c r="C259" s="105">
        <v>10840</v>
      </c>
      <c r="D259" s="105">
        <v>10524</v>
      </c>
    </row>
    <row r="260" spans="1:4" ht="14.5">
      <c r="A260" t="s">
        <v>7961</v>
      </c>
      <c r="B260" s="380" t="str">
        <f>CONCATENATE(LEFT(RIGHT(CONCATENATE("000",FTG_Data1920!A260),6),3),"-",(RIGHT(RIGHT(CONCATENATE("000",FTG_Data1920!A260),6),3)))</f>
        <v>057-814</v>
      </c>
      <c r="C260" s="105">
        <v>11849</v>
      </c>
      <c r="D260" s="105">
        <v>14764</v>
      </c>
    </row>
    <row r="261" spans="1:4" ht="14.5">
      <c r="A261" t="s">
        <v>7962</v>
      </c>
      <c r="B261" s="380" t="str">
        <f>CONCATENATE(LEFT(RIGHT(CONCATENATE("000",FTG_Data1920!A261),6),3),"-",(RIGHT(RIGHT(CONCATENATE("000",FTG_Data1920!A261),6),3)))</f>
        <v>057-816</v>
      </c>
      <c r="C261" s="105">
        <v>10668</v>
      </c>
      <c r="D261" s="105">
        <v>10357</v>
      </c>
    </row>
    <row r="262" spans="1:4" ht="14.5">
      <c r="A262" t="s">
        <v>7963</v>
      </c>
      <c r="B262" s="380" t="str">
        <f>CONCATENATE(LEFT(RIGHT(CONCATENATE("000",FTG_Data1920!A262),6),3),"-",(RIGHT(RIGHT(CONCATENATE("000",FTG_Data1920!A262),6),3)))</f>
        <v>057-819</v>
      </c>
      <c r="C262" s="105">
        <v>10896</v>
      </c>
      <c r="D262" s="105">
        <v>10579</v>
      </c>
    </row>
    <row r="263" spans="1:4" ht="14.5">
      <c r="A263" t="s">
        <v>7964</v>
      </c>
      <c r="B263" s="380" t="str">
        <f>CONCATENATE(LEFT(RIGHT(CONCATENATE("000",FTG_Data1920!A263),6),3),"-",(RIGHT(RIGHT(CONCATENATE("000",FTG_Data1920!A263),6),3)))</f>
        <v>057-827</v>
      </c>
      <c r="C263" s="105">
        <v>10585</v>
      </c>
      <c r="D263" s="105">
        <v>10277</v>
      </c>
    </row>
    <row r="264" spans="1:4" ht="14.5">
      <c r="A264" t="s">
        <v>7965</v>
      </c>
      <c r="B264" s="380" t="str">
        <f>CONCATENATE(LEFT(RIGHT(CONCATENATE("000",FTG_Data1920!A264),6),3),"-",(RIGHT(RIGHT(CONCATENATE("000",FTG_Data1920!A264),6),3)))</f>
        <v>057-828</v>
      </c>
      <c r="C264" s="105">
        <v>10996</v>
      </c>
      <c r="D264" s="105">
        <v>10675</v>
      </c>
    </row>
    <row r="265" spans="1:4" ht="14.5">
      <c r="A265" t="s">
        <v>7966</v>
      </c>
      <c r="B265" s="380" t="str">
        <f>CONCATENATE(LEFT(RIGHT(CONCATENATE("000",FTG_Data1920!A265),6),3),"-",(RIGHT(RIGHT(CONCATENATE("000",FTG_Data1920!A265),6),3)))</f>
        <v>057-829</v>
      </c>
      <c r="C265" s="105">
        <v>11036</v>
      </c>
      <c r="D265" s="105">
        <v>10714</v>
      </c>
    </row>
    <row r="266" spans="1:4" ht="14.5">
      <c r="A266" t="s">
        <v>7967</v>
      </c>
      <c r="B266" s="380" t="str">
        <f>CONCATENATE(LEFT(RIGHT(CONCATENATE("000",FTG_Data1920!A266),6),3),"-",(RIGHT(RIGHT(CONCATENATE("000",FTG_Data1920!A266),6),3)))</f>
        <v>057-830</v>
      </c>
      <c r="C266" s="105">
        <v>11020</v>
      </c>
      <c r="D266" s="105">
        <v>10699</v>
      </c>
    </row>
    <row r="267" spans="1:4" ht="14.5">
      <c r="A267" t="s">
        <v>7968</v>
      </c>
      <c r="B267" s="380" t="str">
        <f>CONCATENATE(LEFT(RIGHT(CONCATENATE("000",FTG_Data1920!A267),6),3),"-",(RIGHT(RIGHT(CONCATENATE("000",FTG_Data1920!A267),6),3)))</f>
        <v>057-831</v>
      </c>
      <c r="C267" s="105">
        <v>10722</v>
      </c>
      <c r="D267" s="105">
        <v>10410</v>
      </c>
    </row>
    <row r="268" spans="1:4" ht="14.5">
      <c r="A268" t="s">
        <v>7969</v>
      </c>
      <c r="B268" s="380" t="str">
        <f>CONCATENATE(LEFT(RIGHT(CONCATENATE("000",FTG_Data1920!A268),6),3),"-",(RIGHT(RIGHT(CONCATENATE("000",FTG_Data1920!A268),6),3)))</f>
        <v>057-833</v>
      </c>
      <c r="C268" s="105">
        <v>9862</v>
      </c>
      <c r="D268" s="105">
        <v>9575</v>
      </c>
    </row>
    <row r="269" spans="1:4" ht="14.5">
      <c r="A269" t="s">
        <v>7970</v>
      </c>
      <c r="B269" s="380" t="str">
        <f>CONCATENATE(LEFT(RIGHT(CONCATENATE("000",FTG_Data1920!A269),6),3),"-",(RIGHT(RIGHT(CONCATENATE("000",FTG_Data1920!A269),6),3)))</f>
        <v>057-834</v>
      </c>
      <c r="C269" s="105">
        <v>11849</v>
      </c>
      <c r="D269" s="105">
        <v>11519</v>
      </c>
    </row>
    <row r="270" spans="1:4" ht="14.5">
      <c r="A270" t="s">
        <v>7971</v>
      </c>
      <c r="B270" s="380" t="str">
        <f>CONCATENATE(LEFT(RIGHT(CONCATENATE("000",FTG_Data1920!A270),6),3),"-",(RIGHT(RIGHT(CONCATENATE("000",FTG_Data1920!A270),6),3)))</f>
        <v>057-835</v>
      </c>
      <c r="C270" s="105">
        <v>10977</v>
      </c>
      <c r="D270" s="105">
        <v>10657</v>
      </c>
    </row>
    <row r="271" spans="1:4" ht="14.5">
      <c r="A271" t="s">
        <v>7972</v>
      </c>
      <c r="B271" s="380" t="str">
        <f>CONCATENATE(LEFT(RIGHT(CONCATENATE("000",FTG_Data1920!A271),6),3),"-",(RIGHT(RIGHT(CONCATENATE("000",FTG_Data1920!A271),6),3)))</f>
        <v>057-836</v>
      </c>
      <c r="C271" s="105">
        <v>10252</v>
      </c>
      <c r="D271" s="105">
        <v>9954</v>
      </c>
    </row>
    <row r="272" spans="1:4" ht="14.5">
      <c r="A272" t="s">
        <v>7973</v>
      </c>
      <c r="B272" s="380" t="str">
        <f>CONCATENATE(LEFT(RIGHT(CONCATENATE("000",FTG_Data1920!A272),6),3),"-",(RIGHT(RIGHT(CONCATENATE("000",FTG_Data1920!A272),6),3)))</f>
        <v>057-839</v>
      </c>
      <c r="C272" s="105">
        <v>11257</v>
      </c>
      <c r="D272" s="105">
        <v>10929</v>
      </c>
    </row>
    <row r="273" spans="1:4" ht="14.5">
      <c r="A273" t="s">
        <v>7974</v>
      </c>
      <c r="B273" s="380" t="str">
        <f>CONCATENATE(LEFT(RIGHT(CONCATENATE("000",FTG_Data1920!A273),6),3),"-",(RIGHT(RIGHT(CONCATENATE("000",FTG_Data1920!A273),6),3)))</f>
        <v>057-840</v>
      </c>
      <c r="C273" s="105">
        <v>9180</v>
      </c>
      <c r="D273" s="105">
        <v>8913</v>
      </c>
    </row>
    <row r="274" spans="1:4" ht="14.5">
      <c r="A274" t="s">
        <v>7975</v>
      </c>
      <c r="B274" s="380" t="str">
        <f>CONCATENATE(LEFT(RIGHT(CONCATENATE("000",FTG_Data1920!A274),6),3),"-",(RIGHT(RIGHT(CONCATENATE("000",FTG_Data1920!A274),6),3)))</f>
        <v>057-841</v>
      </c>
      <c r="C274" s="105">
        <v>10534</v>
      </c>
      <c r="D274" s="105">
        <v>10228</v>
      </c>
    </row>
    <row r="275" spans="1:4" ht="14.5">
      <c r="A275" t="s">
        <v>7976</v>
      </c>
      <c r="B275" s="380" t="str">
        <f>CONCATENATE(LEFT(RIGHT(CONCATENATE("000",FTG_Data1920!A275),6),3),"-",(RIGHT(RIGHT(CONCATENATE("000",FTG_Data1920!A275),6),3)))</f>
        <v>057-844</v>
      </c>
      <c r="C275" s="105">
        <v>10424</v>
      </c>
      <c r="D275" s="105">
        <v>10120</v>
      </c>
    </row>
    <row r="276" spans="1:4" ht="14.5">
      <c r="A276" t="s">
        <v>7977</v>
      </c>
      <c r="B276" s="380" t="str">
        <f>CONCATENATE(LEFT(RIGHT(CONCATENATE("000",FTG_Data1920!A276),6),3),"-",(RIGHT(RIGHT(CONCATENATE("000",FTG_Data1920!A276),6),3)))</f>
        <v>057-845</v>
      </c>
      <c r="C276" s="105">
        <v>9028</v>
      </c>
      <c r="D276" s="105">
        <v>8765</v>
      </c>
    </row>
    <row r="277" spans="1:4" ht="14.5">
      <c r="A277" t="s">
        <v>7978</v>
      </c>
      <c r="B277" s="380" t="str">
        <f>CONCATENATE(LEFT(RIGHT(CONCATENATE("000",FTG_Data1920!A277),6),3),"-",(RIGHT(RIGHT(CONCATENATE("000",FTG_Data1920!A277),6),3)))</f>
        <v>057-846</v>
      </c>
      <c r="C277" s="105">
        <v>10559</v>
      </c>
      <c r="D277" s="105">
        <v>10252</v>
      </c>
    </row>
    <row r="278" spans="1:4" ht="14.5">
      <c r="A278" t="s">
        <v>7979</v>
      </c>
      <c r="B278" s="380" t="str">
        <f>CONCATENATE(LEFT(RIGHT(CONCATENATE("000",FTG_Data1920!A278),6),3),"-",(RIGHT(RIGHT(CONCATENATE("000",FTG_Data1920!A278),6),3)))</f>
        <v>057-847</v>
      </c>
      <c r="C278" s="105">
        <v>9627</v>
      </c>
      <c r="D278" s="105">
        <v>9347</v>
      </c>
    </row>
    <row r="279" spans="1:4" ht="14.5">
      <c r="A279" t="s">
        <v>7980</v>
      </c>
      <c r="B279" s="380" t="str">
        <f>CONCATENATE(LEFT(RIGHT(CONCATENATE("000",FTG_Data1920!A279),6),3),"-",(RIGHT(RIGHT(CONCATENATE("000",FTG_Data1920!A279),6),3)))</f>
        <v>057-848</v>
      </c>
      <c r="C279" s="105">
        <v>10219</v>
      </c>
      <c r="D279" s="105">
        <v>9921</v>
      </c>
    </row>
    <row r="280" spans="1:4" ht="14.5">
      <c r="A280" t="s">
        <v>7982</v>
      </c>
      <c r="B280" s="380" t="str">
        <f>CONCATENATE(LEFT(RIGHT(CONCATENATE("000",FTG_Data1920!A280),6),3),"-",(RIGHT(RIGHT(CONCATENATE("000",FTG_Data1920!A280),6),3)))</f>
        <v>057-850</v>
      </c>
      <c r="C280" s="105">
        <v>9525</v>
      </c>
      <c r="D280" s="105">
        <v>9247</v>
      </c>
    </row>
    <row r="281" spans="1:4" ht="14.5">
      <c r="A281" t="s">
        <v>7983</v>
      </c>
      <c r="B281" s="380" t="str">
        <f>CONCATENATE(LEFT(RIGHT(CONCATENATE("000",FTG_Data1920!A281),6),3),"-",(RIGHT(RIGHT(CONCATENATE("000",FTG_Data1920!A281),6),3)))</f>
        <v>057-851</v>
      </c>
      <c r="C281" s="105">
        <v>10394</v>
      </c>
      <c r="D281" s="105">
        <v>10092</v>
      </c>
    </row>
    <row r="282" spans="1:4" ht="14.5">
      <c r="A282" t="s">
        <v>4986</v>
      </c>
      <c r="B282" s="380" t="str">
        <f>CONCATENATE(LEFT(RIGHT(CONCATENATE("000",FTG_Data1920!A282),6),3),"-",(RIGHT(RIGHT(CONCATENATE("000",FTG_Data1920!A282),6),3)))</f>
        <v>057-903</v>
      </c>
      <c r="C282" s="105">
        <v>11025</v>
      </c>
      <c r="D282" s="105">
        <v>10704</v>
      </c>
    </row>
    <row r="283" spans="1:4" ht="14.5">
      <c r="A283" t="s">
        <v>4987</v>
      </c>
      <c r="B283" s="380" t="str">
        <f>CONCATENATE(LEFT(RIGHT(CONCATENATE("000",FTG_Data1920!A283),6),3),"-",(RIGHT(RIGHT(CONCATENATE("000",FTG_Data1920!A283),6),3)))</f>
        <v>057-904</v>
      </c>
      <c r="C283" s="105">
        <v>8574</v>
      </c>
      <c r="D283" s="105">
        <v>8324</v>
      </c>
    </row>
    <row r="284" spans="1:4" ht="14.5">
      <c r="A284" t="s">
        <v>4988</v>
      </c>
      <c r="B284" s="380" t="str">
        <f>CONCATENATE(LEFT(RIGHT(CONCATENATE("000",FTG_Data1920!A284),6),3),"-",(RIGHT(RIGHT(CONCATENATE("000",FTG_Data1920!A284),6),3)))</f>
        <v>057-905</v>
      </c>
      <c r="C284" s="105">
        <v>10392</v>
      </c>
      <c r="D284" s="105">
        <v>10089</v>
      </c>
    </row>
    <row r="285" spans="1:4" ht="14.5">
      <c r="A285" t="s">
        <v>2953</v>
      </c>
      <c r="B285" s="380" t="str">
        <f>CONCATENATE(LEFT(RIGHT(CONCATENATE("000",FTG_Data1920!A285),6),3),"-",(RIGHT(RIGHT(CONCATENATE("000",FTG_Data1920!A285),6),3)))</f>
        <v>057-906</v>
      </c>
      <c r="C285" s="105">
        <v>9979</v>
      </c>
      <c r="D285" s="105">
        <v>9688</v>
      </c>
    </row>
    <row r="286" spans="1:4" ht="14.5">
      <c r="A286" t="s">
        <v>4989</v>
      </c>
      <c r="B286" s="380" t="str">
        <f>CONCATENATE(LEFT(RIGHT(CONCATENATE("000",FTG_Data1920!A286),6),3),"-",(RIGHT(RIGHT(CONCATENATE("000",FTG_Data1920!A286),6),3)))</f>
        <v>057-907</v>
      </c>
      <c r="C286" s="105">
        <v>9991</v>
      </c>
      <c r="D286" s="105">
        <v>9700</v>
      </c>
    </row>
    <row r="287" spans="1:4" ht="14.5">
      <c r="A287" t="s">
        <v>2954</v>
      </c>
      <c r="B287" s="380" t="str">
        <f>CONCATENATE(LEFT(RIGHT(CONCATENATE("000",FTG_Data1920!A287),6),3),"-",(RIGHT(RIGHT(CONCATENATE("000",FTG_Data1920!A287),6),3)))</f>
        <v>057-909</v>
      </c>
      <c r="C287" s="105">
        <v>9144</v>
      </c>
      <c r="D287" s="105">
        <v>8878</v>
      </c>
    </row>
    <row r="288" spans="1:4" ht="14.5">
      <c r="A288" t="s">
        <v>2955</v>
      </c>
      <c r="B288" s="380" t="str">
        <f>CONCATENATE(LEFT(RIGHT(CONCATENATE("000",FTG_Data1920!A288),6),3),"-",(RIGHT(RIGHT(CONCATENATE("000",FTG_Data1920!A288),6),3)))</f>
        <v>057-910</v>
      </c>
      <c r="C288" s="105">
        <v>9912</v>
      </c>
      <c r="D288" s="105">
        <v>9623</v>
      </c>
    </row>
    <row r="289" spans="1:4" ht="14.5">
      <c r="A289" t="s">
        <v>4990</v>
      </c>
      <c r="B289" s="380" t="str">
        <f>CONCATENATE(LEFT(RIGHT(CONCATENATE("000",FTG_Data1920!A289),6),3),"-",(RIGHT(RIGHT(CONCATENATE("000",FTG_Data1920!A289),6),3)))</f>
        <v>057-911</v>
      </c>
      <c r="C289" s="105">
        <v>8514</v>
      </c>
      <c r="D289" s="105">
        <v>8017</v>
      </c>
    </row>
    <row r="290" spans="1:4" ht="14.5">
      <c r="A290" t="s">
        <v>2956</v>
      </c>
      <c r="B290" s="380" t="str">
        <f>CONCATENATE(LEFT(RIGHT(CONCATENATE("000",FTG_Data1920!A290),6),3),"-",(RIGHT(RIGHT(CONCATENATE("000",FTG_Data1920!A290),6),3)))</f>
        <v>057-912</v>
      </c>
      <c r="C290" s="105">
        <v>10074</v>
      </c>
      <c r="D290" s="105">
        <v>9780</v>
      </c>
    </row>
    <row r="291" spans="1:4" ht="14.5">
      <c r="A291" t="s">
        <v>4991</v>
      </c>
      <c r="B291" s="380" t="str">
        <f>CONCATENATE(LEFT(RIGHT(CONCATENATE("000",FTG_Data1920!A291),6),3),"-",(RIGHT(RIGHT(CONCATENATE("000",FTG_Data1920!A291),6),3)))</f>
        <v>057-913</v>
      </c>
      <c r="C291" s="105">
        <v>10245</v>
      </c>
      <c r="D291" s="105">
        <v>9947</v>
      </c>
    </row>
    <row r="292" spans="1:4" ht="14.5">
      <c r="A292" t="s">
        <v>2957</v>
      </c>
      <c r="B292" s="380" t="str">
        <f>CONCATENATE(LEFT(RIGHT(CONCATENATE("000",FTG_Data1920!A292),6),3),"-",(RIGHT(RIGHT(CONCATENATE("000",FTG_Data1920!A292),6),3)))</f>
        <v>057-914</v>
      </c>
      <c r="C292" s="105">
        <v>9221</v>
      </c>
      <c r="D292" s="105">
        <v>8952</v>
      </c>
    </row>
    <row r="293" spans="1:4" ht="14.5">
      <c r="A293" t="s">
        <v>4992</v>
      </c>
      <c r="B293" s="380" t="str">
        <f>CONCATENATE(LEFT(RIGHT(CONCATENATE("000",FTG_Data1920!A293),6),3),"-",(RIGHT(RIGHT(CONCATENATE("000",FTG_Data1920!A293),6),3)))</f>
        <v>057-916</v>
      </c>
      <c r="C293" s="105">
        <v>9430</v>
      </c>
      <c r="D293" s="105">
        <v>9156</v>
      </c>
    </row>
    <row r="294" spans="1:4" ht="14.5">
      <c r="A294" t="s">
        <v>4993</v>
      </c>
      <c r="B294" s="380" t="str">
        <f>CONCATENATE(LEFT(RIGHT(CONCATENATE("000",FTG_Data1920!A294),6),3),"-",(RIGHT(RIGHT(CONCATENATE("000",FTG_Data1920!A294),6),3)))</f>
        <v>057-919</v>
      </c>
      <c r="C294" s="105">
        <v>8991</v>
      </c>
      <c r="D294" s="105">
        <v>8729</v>
      </c>
    </row>
    <row r="295" spans="1:4" ht="14.5">
      <c r="A295" t="s">
        <v>4994</v>
      </c>
      <c r="B295" s="380" t="str">
        <f>CONCATENATE(LEFT(RIGHT(CONCATENATE("000",FTG_Data1920!A295),6),3),"-",(RIGHT(RIGHT(CONCATENATE("000",FTG_Data1920!A295),6),3)))</f>
        <v>057-922</v>
      </c>
      <c r="C295" s="105">
        <v>8826</v>
      </c>
      <c r="D295" s="105">
        <v>8568</v>
      </c>
    </row>
    <row r="296" spans="1:4" ht="14.5">
      <c r="A296" t="s">
        <v>8504</v>
      </c>
      <c r="B296" s="380" t="str">
        <f>CONCATENATE(LEFT(RIGHT(CONCATENATE("000",FTG_Data1920!A296),6),3),"-",(RIGHT(RIGHT(CONCATENATE("000",FTG_Data1920!A296),6),3)))</f>
        <v>057-950</v>
      </c>
      <c r="C296" s="105">
        <v>11849</v>
      </c>
      <c r="D296" s="105">
        <v>0</v>
      </c>
    </row>
    <row r="297" spans="1:4" ht="14.5">
      <c r="A297" t="s">
        <v>5781</v>
      </c>
      <c r="B297" s="380" t="str">
        <f>CONCATENATE(LEFT(RIGHT(CONCATENATE("000",FTG_Data1920!A297),6),3),"-",(RIGHT(RIGHT(CONCATENATE("000",FTG_Data1920!A297),6),3)))</f>
        <v>058-902</v>
      </c>
      <c r="C297" s="105">
        <v>11849</v>
      </c>
      <c r="D297" s="105">
        <v>12016</v>
      </c>
    </row>
    <row r="298" spans="1:4" ht="14.5">
      <c r="A298" t="s">
        <v>4995</v>
      </c>
      <c r="B298" s="380" t="str">
        <f>CONCATENATE(LEFT(RIGHT(CONCATENATE("000",FTG_Data1920!A298),6),3),"-",(RIGHT(RIGHT(CONCATENATE("000",FTG_Data1920!A298),6),3)))</f>
        <v>058-905</v>
      </c>
      <c r="C298" s="105">
        <v>11849</v>
      </c>
      <c r="D298" s="105">
        <v>26479</v>
      </c>
    </row>
    <row r="299" spans="1:4" ht="14.5">
      <c r="A299" t="s">
        <v>5782</v>
      </c>
      <c r="B299" s="380" t="str">
        <f>CONCATENATE(LEFT(RIGHT(CONCATENATE("000",FTG_Data1920!A299),6),3),"-",(RIGHT(RIGHT(CONCATENATE("000",FTG_Data1920!A299),6),3)))</f>
        <v>058-906</v>
      </c>
      <c r="C299" s="105">
        <v>11849</v>
      </c>
      <c r="D299" s="105">
        <v>11689</v>
      </c>
    </row>
    <row r="300" spans="1:4" ht="14.5">
      <c r="A300" t="s">
        <v>4996</v>
      </c>
      <c r="B300" s="380" t="str">
        <f>CONCATENATE(LEFT(RIGHT(CONCATENATE("000",FTG_Data1920!A300),6),3),"-",(RIGHT(RIGHT(CONCATENATE("000",FTG_Data1920!A300),6),3)))</f>
        <v>058-909</v>
      </c>
      <c r="C300" s="105">
        <v>11849</v>
      </c>
      <c r="D300" s="105">
        <v>17252</v>
      </c>
    </row>
    <row r="301" spans="1:4" ht="14.5">
      <c r="A301" t="s">
        <v>3768</v>
      </c>
      <c r="B301" s="380" t="str">
        <f>CONCATENATE(LEFT(RIGHT(CONCATENATE("000",FTG_Data1920!A301),6),3),"-",(RIGHT(RIGHT(CONCATENATE("000",FTG_Data1920!A301),6),3)))</f>
        <v>059-901</v>
      </c>
      <c r="C301" s="105">
        <v>9269</v>
      </c>
      <c r="D301" s="105">
        <v>8999</v>
      </c>
    </row>
    <row r="302" spans="1:4" ht="14.5">
      <c r="A302" t="s">
        <v>5783</v>
      </c>
      <c r="B302" s="380" t="str">
        <f>CONCATENATE(LEFT(RIGHT(CONCATENATE("000",FTG_Data1920!A302),6),3),"-",(RIGHT(RIGHT(CONCATENATE("000",FTG_Data1920!A302),6),3)))</f>
        <v>059-902</v>
      </c>
      <c r="C302" s="105">
        <v>11382</v>
      </c>
      <c r="D302" s="105">
        <v>11051</v>
      </c>
    </row>
    <row r="303" spans="1:4" ht="14.5">
      <c r="A303" t="s">
        <v>2958</v>
      </c>
      <c r="B303" s="380" t="str">
        <f>CONCATENATE(LEFT(RIGHT(CONCATENATE("000",FTG_Data1920!A303),6),3),"-",(RIGHT(RIGHT(CONCATENATE("000",FTG_Data1920!A303),6),3)))</f>
        <v>060-902</v>
      </c>
      <c r="C303" s="105">
        <v>11849</v>
      </c>
      <c r="D303" s="105">
        <v>11624</v>
      </c>
    </row>
    <row r="304" spans="1:4" ht="14.5">
      <c r="A304" t="s">
        <v>2959</v>
      </c>
      <c r="B304" s="380" t="str">
        <f>CONCATENATE(LEFT(RIGHT(CONCATENATE("000",FTG_Data1920!A304),6),3),"-",(RIGHT(RIGHT(CONCATENATE("000",FTG_Data1920!A304),6),3)))</f>
        <v>060-914</v>
      </c>
      <c r="C304" s="105">
        <v>11849</v>
      </c>
      <c r="D304" s="105">
        <v>20075</v>
      </c>
    </row>
    <row r="305" spans="1:4" ht="14.5">
      <c r="A305" t="s">
        <v>7984</v>
      </c>
      <c r="B305" s="380" t="str">
        <f>CONCATENATE(LEFT(RIGHT(CONCATENATE("000",FTG_Data1920!A305),6),3),"-",(RIGHT(RIGHT(CONCATENATE("000",FTG_Data1920!A305),6),3)))</f>
        <v>061-501</v>
      </c>
      <c r="C305" s="105">
        <v>7980</v>
      </c>
      <c r="D305" s="105">
        <v>7748</v>
      </c>
    </row>
    <row r="306" spans="1:4" ht="14.5">
      <c r="A306" t="s">
        <v>7986</v>
      </c>
      <c r="B306" s="380" t="str">
        <f>CONCATENATE(LEFT(RIGHT(CONCATENATE("000",FTG_Data1920!A306),6),3),"-",(RIGHT(RIGHT(CONCATENATE("000",FTG_Data1920!A306),6),3)))</f>
        <v>061-802</v>
      </c>
      <c r="C306" s="105">
        <v>10805</v>
      </c>
      <c r="D306" s="105">
        <v>10490</v>
      </c>
    </row>
    <row r="307" spans="1:4" ht="14.5">
      <c r="A307" t="s">
        <v>7987</v>
      </c>
      <c r="B307" s="380" t="str">
        <f>CONCATENATE(LEFT(RIGHT(CONCATENATE("000",FTG_Data1920!A307),6),3),"-",(RIGHT(RIGHT(CONCATENATE("000",FTG_Data1920!A307),6),3)))</f>
        <v>061-804</v>
      </c>
      <c r="C307" s="105">
        <v>8915</v>
      </c>
      <c r="D307" s="105">
        <v>8656</v>
      </c>
    </row>
    <row r="308" spans="1:4" ht="14.5">
      <c r="A308" t="s">
        <v>7988</v>
      </c>
      <c r="B308" s="380" t="str">
        <f>CONCATENATE(LEFT(RIGHT(CONCATENATE("000",FTG_Data1920!A308),6),3),"-",(RIGHT(RIGHT(CONCATENATE("000",FTG_Data1920!A308),6),3)))</f>
        <v>061-805</v>
      </c>
      <c r="C308" s="105">
        <v>8900</v>
      </c>
      <c r="D308" s="105">
        <v>8641</v>
      </c>
    </row>
    <row r="309" spans="1:4" ht="14.5">
      <c r="A309" t="s">
        <v>4997</v>
      </c>
      <c r="B309" s="380" t="str">
        <f>CONCATENATE(LEFT(RIGHT(CONCATENATE("000",FTG_Data1920!A309),6),3),"-",(RIGHT(RIGHT(CONCATENATE("000",FTG_Data1920!A309),6),3)))</f>
        <v>061-901</v>
      </c>
      <c r="C309" s="105">
        <v>9390</v>
      </c>
      <c r="D309" s="105">
        <v>9117</v>
      </c>
    </row>
    <row r="310" spans="1:4" ht="14.5">
      <c r="A310" t="s">
        <v>2960</v>
      </c>
      <c r="B310" s="380" t="str">
        <f>CONCATENATE(LEFT(RIGHT(CONCATENATE("000",FTG_Data1920!A310),6),3),"-",(RIGHT(RIGHT(CONCATENATE("000",FTG_Data1920!A310),6),3)))</f>
        <v>061-902</v>
      </c>
      <c r="C310" s="105">
        <v>8890</v>
      </c>
      <c r="D310" s="105">
        <v>8631</v>
      </c>
    </row>
    <row r="311" spans="1:4" ht="14.5">
      <c r="A311" t="s">
        <v>3776</v>
      </c>
      <c r="B311" s="380" t="str">
        <f>CONCATENATE(LEFT(RIGHT(CONCATENATE("000",FTG_Data1920!A311),6),3),"-",(RIGHT(RIGHT(CONCATENATE("000",FTG_Data1920!A311),6),3)))</f>
        <v>061-903</v>
      </c>
      <c r="C311" s="105">
        <v>11229</v>
      </c>
      <c r="D311" s="105">
        <v>10902</v>
      </c>
    </row>
    <row r="312" spans="1:4" ht="14.5">
      <c r="A312" t="s">
        <v>2961</v>
      </c>
      <c r="B312" s="380" t="str">
        <f>CONCATENATE(LEFT(RIGHT(CONCATENATE("000",FTG_Data1920!A312),6),3),"-",(RIGHT(RIGHT(CONCATENATE("000",FTG_Data1920!A312),6),3)))</f>
        <v>061-905</v>
      </c>
      <c r="C312" s="105">
        <v>10198</v>
      </c>
      <c r="D312" s="105">
        <v>9901</v>
      </c>
    </row>
    <row r="313" spans="1:4" ht="14.5">
      <c r="A313" t="s">
        <v>2962</v>
      </c>
      <c r="B313" s="380" t="str">
        <f>CONCATENATE(LEFT(RIGHT(CONCATENATE("000",FTG_Data1920!A313),6),3),"-",(RIGHT(RIGHT(CONCATENATE("000",FTG_Data1920!A313),6),3)))</f>
        <v>061-906</v>
      </c>
      <c r="C313" s="105">
        <v>8654</v>
      </c>
      <c r="D313" s="105">
        <v>8402</v>
      </c>
    </row>
    <row r="314" spans="1:4" ht="14.5">
      <c r="A314" t="s">
        <v>2963</v>
      </c>
      <c r="B314" s="380" t="str">
        <f>CONCATENATE(LEFT(RIGHT(CONCATENATE("000",FTG_Data1920!A314),6),3),"-",(RIGHT(RIGHT(CONCATENATE("000",FTG_Data1920!A314),6),3)))</f>
        <v>061-907</v>
      </c>
      <c r="C314" s="105">
        <v>9558</v>
      </c>
      <c r="D314" s="105">
        <v>9280</v>
      </c>
    </row>
    <row r="315" spans="1:4" ht="14.5">
      <c r="A315" t="s">
        <v>2964</v>
      </c>
      <c r="B315" s="380" t="str">
        <f>CONCATENATE(LEFT(RIGHT(CONCATENATE("000",FTG_Data1920!A315),6),3),"-",(RIGHT(RIGHT(CONCATENATE("000",FTG_Data1920!A315),6),3)))</f>
        <v>061-908</v>
      </c>
      <c r="C315" s="105">
        <v>9971</v>
      </c>
      <c r="D315" s="105">
        <v>9681</v>
      </c>
    </row>
    <row r="316" spans="1:4" ht="14.5">
      <c r="A316" t="s">
        <v>4998</v>
      </c>
      <c r="B316" s="380" t="str">
        <f>CONCATENATE(LEFT(RIGHT(CONCATENATE("000",FTG_Data1920!A316),6),3),"-",(RIGHT(RIGHT(CONCATENATE("000",FTG_Data1920!A316),6),3)))</f>
        <v>061-910</v>
      </c>
      <c r="C316" s="105">
        <v>9415</v>
      </c>
      <c r="D316" s="105">
        <v>9141</v>
      </c>
    </row>
    <row r="317" spans="1:4" ht="14.5">
      <c r="A317" t="s">
        <v>2965</v>
      </c>
      <c r="B317" s="380" t="str">
        <f>CONCATENATE(LEFT(RIGHT(CONCATENATE("000",FTG_Data1920!A317),6),3),"-",(RIGHT(RIGHT(CONCATENATE("000",FTG_Data1920!A317),6),3)))</f>
        <v>061-911</v>
      </c>
      <c r="C317" s="105">
        <v>8506</v>
      </c>
      <c r="D317" s="105">
        <v>8259</v>
      </c>
    </row>
    <row r="318" spans="1:4" ht="14.5">
      <c r="A318" t="s">
        <v>2966</v>
      </c>
      <c r="B318" s="380" t="str">
        <f>CONCATENATE(LEFT(RIGHT(CONCATENATE("000",FTG_Data1920!A318),6),3),"-",(RIGHT(RIGHT(CONCATENATE("000",FTG_Data1920!A318),6),3)))</f>
        <v>061-912</v>
      </c>
      <c r="C318" s="105">
        <v>9790</v>
      </c>
      <c r="D318" s="105">
        <v>9505</v>
      </c>
    </row>
    <row r="319" spans="1:4" ht="14.5">
      <c r="A319" t="s">
        <v>2967</v>
      </c>
      <c r="B319" s="380" t="str">
        <f>CONCATENATE(LEFT(RIGHT(CONCATENATE("000",FTG_Data1920!A319),6),3),"-",(RIGHT(RIGHT(CONCATENATE("000",FTG_Data1920!A319),6),3)))</f>
        <v>061-914</v>
      </c>
      <c r="C319" s="105">
        <v>9440</v>
      </c>
      <c r="D319" s="105">
        <v>9165</v>
      </c>
    </row>
    <row r="320" spans="1:4" ht="14.5">
      <c r="A320" t="s">
        <v>2968</v>
      </c>
      <c r="B320" s="380" t="str">
        <f>CONCATENATE(LEFT(RIGHT(CONCATENATE("000",FTG_Data1920!A320),6),3),"-",(RIGHT(RIGHT(CONCATENATE("000",FTG_Data1920!A320),6),3)))</f>
        <v>062-901</v>
      </c>
      <c r="C320" s="105">
        <v>11650</v>
      </c>
      <c r="D320" s="105">
        <v>11311</v>
      </c>
    </row>
    <row r="321" spans="1:4" ht="14.5">
      <c r="A321" t="s">
        <v>4999</v>
      </c>
      <c r="B321" s="380" t="str">
        <f>CONCATENATE(LEFT(RIGHT(CONCATENATE("000",FTG_Data1920!A321),6),3),"-",(RIGHT(RIGHT(CONCATENATE("000",FTG_Data1920!A321),6),3)))</f>
        <v>062-902</v>
      </c>
      <c r="C321" s="105">
        <v>11849</v>
      </c>
      <c r="D321" s="105">
        <v>28558</v>
      </c>
    </row>
    <row r="322" spans="1:4" ht="14.5">
      <c r="A322" t="s">
        <v>2969</v>
      </c>
      <c r="B322" s="380" t="str">
        <f>CONCATENATE(LEFT(RIGHT(CONCATENATE("000",FTG_Data1920!A322),6),3),"-",(RIGHT(RIGHT(CONCATENATE("000",FTG_Data1920!A322),6),3)))</f>
        <v>062-903</v>
      </c>
      <c r="C322" s="105">
        <v>10846</v>
      </c>
      <c r="D322" s="105">
        <v>10530</v>
      </c>
    </row>
    <row r="323" spans="1:4" ht="14.5">
      <c r="A323" t="s">
        <v>5000</v>
      </c>
      <c r="B323" s="380" t="str">
        <f>CONCATENATE(LEFT(RIGHT(CONCATENATE("000",FTG_Data1920!A323),6),3),"-",(RIGHT(RIGHT(CONCATENATE("000",FTG_Data1920!A323),6),3)))</f>
        <v>062-904</v>
      </c>
      <c r="C323" s="105">
        <v>11849</v>
      </c>
      <c r="D323" s="105">
        <v>14836</v>
      </c>
    </row>
    <row r="324" spans="1:4" ht="14.5">
      <c r="A324" t="s">
        <v>5784</v>
      </c>
      <c r="B324" s="380" t="str">
        <f>CONCATENATE(LEFT(RIGHT(CONCATENATE("000",FTG_Data1920!A324),6),3),"-",(RIGHT(RIGHT(CONCATENATE("000",FTG_Data1920!A324),6),3)))</f>
        <v>062-905</v>
      </c>
      <c r="C324" s="105">
        <v>11849</v>
      </c>
      <c r="D324" s="105">
        <v>25241</v>
      </c>
    </row>
    <row r="325" spans="1:4" ht="14.5">
      <c r="A325" t="s">
        <v>5785</v>
      </c>
      <c r="B325" s="380" t="str">
        <f>CONCATENATE(LEFT(RIGHT(CONCATENATE("000",FTG_Data1920!A325),6),3),"-",(RIGHT(RIGHT(CONCATENATE("000",FTG_Data1920!A325),6),3)))</f>
        <v>062-906</v>
      </c>
      <c r="C325" s="105">
        <v>10483</v>
      </c>
      <c r="D325" s="105">
        <v>10178</v>
      </c>
    </row>
    <row r="326" spans="1:4" ht="14.5">
      <c r="A326" t="s">
        <v>5001</v>
      </c>
      <c r="B326" s="380" t="str">
        <f>CONCATENATE(LEFT(RIGHT(CONCATENATE("000",FTG_Data1920!A326),6),3),"-",(RIGHT(RIGHT(CONCATENATE("000",FTG_Data1920!A326),6),3)))</f>
        <v>063-903</v>
      </c>
      <c r="C326" s="105">
        <v>11849</v>
      </c>
      <c r="D326" s="105">
        <v>12572</v>
      </c>
    </row>
    <row r="327" spans="1:4" ht="14.5">
      <c r="A327" t="s">
        <v>5786</v>
      </c>
      <c r="B327" s="380" t="str">
        <f>CONCATENATE(LEFT(RIGHT(CONCATENATE("000",FTG_Data1920!A327),6),3),"-",(RIGHT(RIGHT(CONCATENATE("000",FTG_Data1920!A327),6),3)))</f>
        <v>063-906</v>
      </c>
      <c r="C327" s="105">
        <v>11849</v>
      </c>
      <c r="D327" s="105">
        <v>20734</v>
      </c>
    </row>
    <row r="328" spans="1:4" ht="14.5">
      <c r="A328" t="s">
        <v>2970</v>
      </c>
      <c r="B328" s="380" t="str">
        <f>CONCATENATE(LEFT(RIGHT(CONCATENATE("000",FTG_Data1920!A328),6),3),"-",(RIGHT(RIGHT(CONCATENATE("000",FTG_Data1920!A328),6),3)))</f>
        <v>064-903</v>
      </c>
      <c r="C328" s="105">
        <v>11849</v>
      </c>
      <c r="D328" s="105">
        <v>13130</v>
      </c>
    </row>
    <row r="329" spans="1:4" ht="14.5">
      <c r="A329" t="s">
        <v>5787</v>
      </c>
      <c r="B329" s="380" t="str">
        <f>CONCATENATE(LEFT(RIGHT(CONCATENATE("000",FTG_Data1920!A329),6),3),"-",(RIGHT(RIGHT(CONCATENATE("000",FTG_Data1920!A329),6),3)))</f>
        <v>065-901</v>
      </c>
      <c r="C329" s="105">
        <v>11849</v>
      </c>
      <c r="D329" s="105">
        <v>13535</v>
      </c>
    </row>
    <row r="330" spans="1:4" ht="14.5">
      <c r="A330" t="s">
        <v>2971</v>
      </c>
      <c r="B330" s="380" t="str">
        <f>CONCATENATE(LEFT(RIGHT(CONCATENATE("000",FTG_Data1920!A330),6),3),"-",(RIGHT(RIGHT(CONCATENATE("000",FTG_Data1920!A330),6),3)))</f>
        <v>065-902</v>
      </c>
      <c r="C330" s="105">
        <v>11849</v>
      </c>
      <c r="D330" s="105">
        <v>17187</v>
      </c>
    </row>
    <row r="331" spans="1:4" ht="14.5">
      <c r="A331" t="s">
        <v>5788</v>
      </c>
      <c r="B331" s="380" t="str">
        <f>CONCATENATE(LEFT(RIGHT(CONCATENATE("000",FTG_Data1920!A331),6),3),"-",(RIGHT(RIGHT(CONCATENATE("000",FTG_Data1920!A331),6),3)))</f>
        <v>066-005</v>
      </c>
      <c r="C331" s="105">
        <v>11849</v>
      </c>
      <c r="D331" s="105">
        <v>20273</v>
      </c>
    </row>
    <row r="332" spans="1:4" ht="14.5">
      <c r="A332" t="s">
        <v>5002</v>
      </c>
      <c r="B332" s="380" t="str">
        <f>CONCATENATE(LEFT(RIGHT(CONCATENATE("000",FTG_Data1920!A332),6),3),"-",(RIGHT(RIGHT(CONCATENATE("000",FTG_Data1920!A332),6),3)))</f>
        <v>066-901</v>
      </c>
      <c r="C332" s="105">
        <v>11849</v>
      </c>
      <c r="D332" s="105">
        <v>14721</v>
      </c>
    </row>
    <row r="333" spans="1:4" ht="14.5">
      <c r="A333" t="s">
        <v>2972</v>
      </c>
      <c r="B333" s="380" t="str">
        <f>CONCATENATE(LEFT(RIGHT(CONCATENATE("000",FTG_Data1920!A333),6),3),"-",(RIGHT(RIGHT(CONCATENATE("000",FTG_Data1920!A333),6),3)))</f>
        <v>066-902</v>
      </c>
      <c r="C333" s="105">
        <v>10312</v>
      </c>
      <c r="D333" s="105">
        <v>10012</v>
      </c>
    </row>
    <row r="334" spans="1:4" ht="14.5">
      <c r="A334" t="s">
        <v>5003</v>
      </c>
      <c r="B334" s="380" t="str">
        <f>CONCATENATE(LEFT(RIGHT(CONCATENATE("000",FTG_Data1920!A334),6),3),"-",(RIGHT(RIGHT(CONCATENATE("000",FTG_Data1920!A334),6),3)))</f>
        <v>066-903</v>
      </c>
      <c r="C334" s="105">
        <v>11849</v>
      </c>
      <c r="D334" s="105">
        <v>12912</v>
      </c>
    </row>
    <row r="335" spans="1:4" ht="14.5">
      <c r="A335" t="s">
        <v>3827</v>
      </c>
      <c r="B335" s="380" t="str">
        <f>CONCATENATE(LEFT(RIGHT(CONCATENATE("000",FTG_Data1920!A335),6),3),"-",(RIGHT(RIGHT(CONCATENATE("000",FTG_Data1920!A335),6),3)))</f>
        <v>067-902</v>
      </c>
      <c r="C335" s="105">
        <v>11019</v>
      </c>
      <c r="D335" s="105">
        <v>10698</v>
      </c>
    </row>
    <row r="336" spans="1:4" ht="14.5">
      <c r="A336" t="s">
        <v>5789</v>
      </c>
      <c r="B336" s="380" t="str">
        <f>CONCATENATE(LEFT(RIGHT(CONCATENATE("000",FTG_Data1920!A336),6),3),"-",(RIGHT(RIGHT(CONCATENATE("000",FTG_Data1920!A336),6),3)))</f>
        <v>067-903</v>
      </c>
      <c r="C336" s="105">
        <v>10049</v>
      </c>
      <c r="D336" s="105">
        <v>9756</v>
      </c>
    </row>
    <row r="337" spans="1:4" ht="14.5">
      <c r="A337" t="s">
        <v>5004</v>
      </c>
      <c r="B337" s="380" t="str">
        <f>CONCATENATE(LEFT(RIGHT(CONCATENATE("000",FTG_Data1920!A337),6),3),"-",(RIGHT(RIGHT(CONCATENATE("000",FTG_Data1920!A337),6),3)))</f>
        <v>067-904</v>
      </c>
      <c r="C337" s="105">
        <v>11849</v>
      </c>
      <c r="D337" s="105">
        <v>11738</v>
      </c>
    </row>
    <row r="338" spans="1:4" ht="14.5">
      <c r="A338" t="s">
        <v>5790</v>
      </c>
      <c r="B338" s="380" t="str">
        <f>CONCATENATE(LEFT(RIGHT(CONCATENATE("000",FTG_Data1920!A338),6),3),"-",(RIGHT(RIGHT(CONCATENATE("000",FTG_Data1920!A338),6),3)))</f>
        <v>067-907</v>
      </c>
      <c r="C338" s="105">
        <v>11849</v>
      </c>
      <c r="D338" s="105">
        <v>11661</v>
      </c>
    </row>
    <row r="339" spans="1:4" ht="14.5">
      <c r="A339" t="s">
        <v>5791</v>
      </c>
      <c r="B339" s="380" t="str">
        <f>CONCATENATE(LEFT(RIGHT(CONCATENATE("000",FTG_Data1920!A339),6),3),"-",(RIGHT(RIGHT(CONCATENATE("000",FTG_Data1920!A339),6),3)))</f>
        <v>067-908</v>
      </c>
      <c r="C339" s="105">
        <v>11849</v>
      </c>
      <c r="D339" s="105">
        <v>12059</v>
      </c>
    </row>
    <row r="340" spans="1:4" ht="14.5">
      <c r="A340" t="s">
        <v>7989</v>
      </c>
      <c r="B340" s="380" t="str">
        <f>CONCATENATE(LEFT(RIGHT(CONCATENATE("000",FTG_Data1920!A340),6),3),"-",(RIGHT(RIGHT(CONCATENATE("000",FTG_Data1920!A340),6),3)))</f>
        <v>068-802</v>
      </c>
      <c r="C340" s="105">
        <v>9078</v>
      </c>
      <c r="D340" s="105">
        <v>8814</v>
      </c>
    </row>
    <row r="341" spans="1:4" ht="14.5">
      <c r="A341" t="s">
        <v>7990</v>
      </c>
      <c r="B341" s="380" t="str">
        <f>CONCATENATE(LEFT(RIGHT(CONCATENATE("000",FTG_Data1920!A341),6),3),"-",(RIGHT(RIGHT(CONCATENATE("000",FTG_Data1920!A341),6),3)))</f>
        <v>068-803</v>
      </c>
      <c r="C341" s="105">
        <v>9085</v>
      </c>
      <c r="D341" s="105">
        <v>8820</v>
      </c>
    </row>
    <row r="342" spans="1:4" ht="14.5">
      <c r="A342" t="s">
        <v>5005</v>
      </c>
      <c r="B342" s="380" t="str">
        <f>CONCATENATE(LEFT(RIGHT(CONCATENATE("000",FTG_Data1920!A342),6),3),"-",(RIGHT(RIGHT(CONCATENATE("000",FTG_Data1920!A342),6),3)))</f>
        <v>068-901</v>
      </c>
      <c r="C342" s="105">
        <v>9489</v>
      </c>
      <c r="D342" s="105">
        <v>9213</v>
      </c>
    </row>
    <row r="343" spans="1:4" ht="14.5">
      <c r="A343" t="s">
        <v>5006</v>
      </c>
      <c r="B343" s="380" t="str">
        <f>CONCATENATE(LEFT(RIGHT(CONCATENATE("000",FTG_Data1920!A343),6),3),"-",(RIGHT(RIGHT(CONCATENATE("000",FTG_Data1920!A343),6),3)))</f>
        <v>069-901</v>
      </c>
      <c r="C343" s="105">
        <v>11849</v>
      </c>
      <c r="D343" s="105">
        <v>16653</v>
      </c>
    </row>
    <row r="344" spans="1:4" ht="14.5">
      <c r="A344" t="s">
        <v>5792</v>
      </c>
      <c r="B344" s="380" t="str">
        <f>CONCATENATE(LEFT(RIGHT(CONCATENATE("000",FTG_Data1920!A344),6),3),"-",(RIGHT(RIGHT(CONCATENATE("000",FTG_Data1920!A344),6),3)))</f>
        <v>069-902</v>
      </c>
      <c r="C344" s="105">
        <v>11849</v>
      </c>
      <c r="D344" s="105">
        <v>14456</v>
      </c>
    </row>
    <row r="345" spans="1:4" ht="14.5">
      <c r="A345" t="s">
        <v>7991</v>
      </c>
      <c r="B345" s="380" t="str">
        <f>CONCATENATE(LEFT(RIGHT(CONCATENATE("000",FTG_Data1920!A345),6),3),"-",(RIGHT(RIGHT(CONCATENATE("000",FTG_Data1920!A345),6),3)))</f>
        <v>070-801</v>
      </c>
      <c r="C345" s="105">
        <v>11051</v>
      </c>
      <c r="D345" s="105">
        <v>10729</v>
      </c>
    </row>
    <row r="346" spans="1:4" ht="14.5">
      <c r="A346" t="s">
        <v>2973</v>
      </c>
      <c r="B346" s="380" t="str">
        <f>CONCATENATE(LEFT(RIGHT(CONCATENATE("000",FTG_Data1920!A346),6),3),"-",(RIGHT(RIGHT(CONCATENATE("000",FTG_Data1920!A346),6),3)))</f>
        <v>070-901</v>
      </c>
      <c r="C346" s="105">
        <v>11849</v>
      </c>
      <c r="D346" s="105">
        <v>12874</v>
      </c>
    </row>
    <row r="347" spans="1:4" ht="14.5">
      <c r="A347" t="s">
        <v>5007</v>
      </c>
      <c r="B347" s="380" t="str">
        <f>CONCATENATE(LEFT(RIGHT(CONCATENATE("000",FTG_Data1920!A347),6),3),"-",(RIGHT(RIGHT(CONCATENATE("000",FTG_Data1920!A347),6),3)))</f>
        <v>070-903</v>
      </c>
      <c r="C347" s="105">
        <v>10179</v>
      </c>
      <c r="D347" s="105">
        <v>9882</v>
      </c>
    </row>
    <row r="348" spans="1:4" ht="14.5">
      <c r="A348" t="s">
        <v>2974</v>
      </c>
      <c r="B348" s="380" t="str">
        <f>CONCATENATE(LEFT(RIGHT(CONCATENATE("000",FTG_Data1920!A348),6),3),"-",(RIGHT(RIGHT(CONCATENATE("000",FTG_Data1920!A348),6),3)))</f>
        <v>070-905</v>
      </c>
      <c r="C348" s="105">
        <v>11166</v>
      </c>
      <c r="D348" s="105">
        <v>10841</v>
      </c>
    </row>
    <row r="349" spans="1:4" ht="14.5">
      <c r="A349" t="s">
        <v>2975</v>
      </c>
      <c r="B349" s="380" t="str">
        <f>CONCATENATE(LEFT(RIGHT(CONCATENATE("000",FTG_Data1920!A349),6),3),"-",(RIGHT(RIGHT(CONCATENATE("000",FTG_Data1920!A349),6),3)))</f>
        <v>070-907</v>
      </c>
      <c r="C349" s="105">
        <v>11849</v>
      </c>
      <c r="D349" s="105">
        <v>12504</v>
      </c>
    </row>
    <row r="350" spans="1:4" ht="14.5">
      <c r="A350" t="s">
        <v>5008</v>
      </c>
      <c r="B350" s="380" t="str">
        <f>CONCATENATE(LEFT(RIGHT(CONCATENATE("000",FTG_Data1920!A350),6),3),"-",(RIGHT(RIGHT(CONCATENATE("000",FTG_Data1920!A350),6),3)))</f>
        <v>070-908</v>
      </c>
      <c r="C350" s="105">
        <v>8318</v>
      </c>
      <c r="D350" s="105">
        <v>8076</v>
      </c>
    </row>
    <row r="351" spans="1:4" ht="14.5">
      <c r="A351" t="s">
        <v>5793</v>
      </c>
      <c r="B351" s="380" t="str">
        <f>CONCATENATE(LEFT(RIGHT(CONCATENATE("000",FTG_Data1920!A351),6),3),"-",(RIGHT(RIGHT(CONCATENATE("000",FTG_Data1920!A351),6),3)))</f>
        <v>070-909</v>
      </c>
      <c r="C351" s="105">
        <v>11849</v>
      </c>
      <c r="D351" s="105">
        <v>13917</v>
      </c>
    </row>
    <row r="352" spans="1:4" ht="14.5">
      <c r="A352" t="s">
        <v>2976</v>
      </c>
      <c r="B352" s="380" t="str">
        <f>CONCATENATE(LEFT(RIGHT(CONCATENATE("000",FTG_Data1920!A352),6),3),"-",(RIGHT(RIGHT(CONCATENATE("000",FTG_Data1920!A352),6),3)))</f>
        <v>070-910</v>
      </c>
      <c r="C352" s="105">
        <v>11594</v>
      </c>
      <c r="D352" s="105">
        <v>11256</v>
      </c>
    </row>
    <row r="353" spans="1:4" ht="14.5">
      <c r="A353" t="s">
        <v>2977</v>
      </c>
      <c r="B353" s="380" t="str">
        <f>CONCATENATE(LEFT(RIGHT(CONCATENATE("000",FTG_Data1920!A353),6),3),"-",(RIGHT(RIGHT(CONCATENATE("000",FTG_Data1920!A353),6),3)))</f>
        <v>070-911</v>
      </c>
      <c r="C353" s="105">
        <v>9607</v>
      </c>
      <c r="D353" s="105">
        <v>9327</v>
      </c>
    </row>
    <row r="354" spans="1:4" ht="14.5">
      <c r="A354" t="s">
        <v>2978</v>
      </c>
      <c r="B354" s="380" t="str">
        <f>CONCATENATE(LEFT(RIGHT(CONCATENATE("000",FTG_Data1920!A354),6),3),"-",(RIGHT(RIGHT(CONCATENATE("000",FTG_Data1920!A354),6),3)))</f>
        <v>070-912</v>
      </c>
      <c r="C354" s="105">
        <v>9865</v>
      </c>
      <c r="D354" s="105">
        <v>9577</v>
      </c>
    </row>
    <row r="355" spans="1:4" ht="14.5">
      <c r="A355" t="s">
        <v>2979</v>
      </c>
      <c r="B355" s="380" t="str">
        <f>CONCATENATE(LEFT(RIGHT(CONCATENATE("000",FTG_Data1920!A355),6),3),"-",(RIGHT(RIGHT(CONCATENATE("000",FTG_Data1920!A355),6),3)))</f>
        <v>070-915</v>
      </c>
      <c r="C355" s="105">
        <v>10006</v>
      </c>
      <c r="D355" s="105">
        <v>9715</v>
      </c>
    </row>
    <row r="356" spans="1:4" ht="14.5">
      <c r="A356" t="s">
        <v>7992</v>
      </c>
      <c r="B356" s="380" t="str">
        <f>CONCATENATE(LEFT(RIGHT(CONCATENATE("000",FTG_Data1920!A356),6),3),"-",(RIGHT(RIGHT(CONCATENATE("000",FTG_Data1920!A356),6),3)))</f>
        <v>071-801</v>
      </c>
      <c r="C356" s="105">
        <v>9917</v>
      </c>
      <c r="D356" s="105">
        <v>9628</v>
      </c>
    </row>
    <row r="357" spans="1:4" ht="14.5">
      <c r="A357" t="s">
        <v>7993</v>
      </c>
      <c r="B357" s="380" t="str">
        <f>CONCATENATE(LEFT(RIGHT(CONCATENATE("000",FTG_Data1920!A357),6),3),"-",(RIGHT(RIGHT(CONCATENATE("000",FTG_Data1920!A357),6),3)))</f>
        <v>071-803</v>
      </c>
      <c r="C357" s="105">
        <v>11480</v>
      </c>
      <c r="D357" s="105">
        <v>11146</v>
      </c>
    </row>
    <row r="358" spans="1:4" ht="14.5">
      <c r="A358" t="s">
        <v>7994</v>
      </c>
      <c r="B358" s="380" t="str">
        <f>CONCATENATE(LEFT(RIGHT(CONCATENATE("000",FTG_Data1920!A358),6),3),"-",(RIGHT(RIGHT(CONCATENATE("000",FTG_Data1920!A358),6),3)))</f>
        <v>071-804</v>
      </c>
      <c r="C358" s="105">
        <v>11041</v>
      </c>
      <c r="D358" s="105">
        <v>10720</v>
      </c>
    </row>
    <row r="359" spans="1:4" ht="14.5">
      <c r="A359" t="s">
        <v>7995</v>
      </c>
      <c r="B359" s="380" t="str">
        <f>CONCATENATE(LEFT(RIGHT(CONCATENATE("000",FTG_Data1920!A359),6),3),"-",(RIGHT(RIGHT(CONCATENATE("000",FTG_Data1920!A359),6),3)))</f>
        <v>071-806</v>
      </c>
      <c r="C359" s="105">
        <v>10486</v>
      </c>
      <c r="D359" s="105">
        <v>10181</v>
      </c>
    </row>
    <row r="360" spans="1:4" ht="14.5">
      <c r="A360" t="s">
        <v>7996</v>
      </c>
      <c r="B360" s="380" t="str">
        <f>CONCATENATE(LEFT(RIGHT(CONCATENATE("000",FTG_Data1920!A360),6),3),"-",(RIGHT(RIGHT(CONCATENATE("000",FTG_Data1920!A360),6),3)))</f>
        <v>071-807</v>
      </c>
      <c r="C360" s="105">
        <v>10297</v>
      </c>
      <c r="D360" s="105">
        <v>9997</v>
      </c>
    </row>
    <row r="361" spans="1:4" ht="14.5">
      <c r="A361" t="s">
        <v>7997</v>
      </c>
      <c r="B361" s="380" t="str">
        <f>CONCATENATE(LEFT(RIGHT(CONCATENATE("000",FTG_Data1920!A361),6),3),"-",(RIGHT(RIGHT(CONCATENATE("000",FTG_Data1920!A361),6),3)))</f>
        <v>071-809</v>
      </c>
      <c r="C361" s="105">
        <v>9870</v>
      </c>
      <c r="D361" s="105">
        <v>9583</v>
      </c>
    </row>
    <row r="362" spans="1:4" ht="14.5">
      <c r="A362" t="s">
        <v>7998</v>
      </c>
      <c r="B362" s="380" t="str">
        <f>CONCATENATE(LEFT(RIGHT(CONCATENATE("000",FTG_Data1920!A362),6),3),"-",(RIGHT(RIGHT(CONCATENATE("000",FTG_Data1920!A362),6),3)))</f>
        <v>071-810</v>
      </c>
      <c r="C362" s="105">
        <v>10888</v>
      </c>
      <c r="D362" s="105">
        <v>10571</v>
      </c>
    </row>
    <row r="363" spans="1:4" ht="14.5">
      <c r="A363" t="s">
        <v>2980</v>
      </c>
      <c r="B363" s="380" t="str">
        <f>CONCATENATE(LEFT(RIGHT(CONCATENATE("000",FTG_Data1920!A363),6),3),"-",(RIGHT(RIGHT(CONCATENATE("000",FTG_Data1920!A363),6),3)))</f>
        <v>071-901</v>
      </c>
      <c r="C363" s="105">
        <v>9961</v>
      </c>
      <c r="D363" s="105">
        <v>9671</v>
      </c>
    </row>
    <row r="364" spans="1:4" ht="14.5">
      <c r="A364" t="s">
        <v>2981</v>
      </c>
      <c r="B364" s="380" t="str">
        <f>CONCATENATE(LEFT(RIGHT(CONCATENATE("000",FTG_Data1920!A364),6),3),"-",(RIGHT(RIGHT(CONCATENATE("000",FTG_Data1920!A364),6),3)))</f>
        <v>071-902</v>
      </c>
      <c r="C364" s="105">
        <v>9622</v>
      </c>
      <c r="D364" s="105">
        <v>9342</v>
      </c>
    </row>
    <row r="365" spans="1:4" ht="14.5">
      <c r="A365" t="s">
        <v>2982</v>
      </c>
      <c r="B365" s="380" t="str">
        <f>CONCATENATE(LEFT(RIGHT(CONCATENATE("000",FTG_Data1920!A365),6),3),"-",(RIGHT(RIGHT(CONCATENATE("000",FTG_Data1920!A365),6),3)))</f>
        <v>071-903</v>
      </c>
      <c r="C365" s="105">
        <v>10802</v>
      </c>
      <c r="D365" s="105">
        <v>10488</v>
      </c>
    </row>
    <row r="366" spans="1:4" ht="14.5">
      <c r="A366" t="s">
        <v>3862</v>
      </c>
      <c r="B366" s="380" t="str">
        <f>CONCATENATE(LEFT(RIGHT(CONCATENATE("000",FTG_Data1920!A366),6),3),"-",(RIGHT(RIGHT(CONCATENATE("000",FTG_Data1920!A366),6),3)))</f>
        <v>071-904</v>
      </c>
      <c r="C366" s="105">
        <v>10265</v>
      </c>
      <c r="D366" s="105">
        <v>9966</v>
      </c>
    </row>
    <row r="367" spans="1:4" ht="14.5">
      <c r="A367" t="s">
        <v>3867</v>
      </c>
      <c r="B367" s="380" t="str">
        <f>CONCATENATE(LEFT(RIGHT(CONCATENATE("000",FTG_Data1920!A367),6),3),"-",(RIGHT(RIGHT(CONCATENATE("000",FTG_Data1920!A367),6),3)))</f>
        <v>071-905</v>
      </c>
      <c r="C367" s="105">
        <v>9611</v>
      </c>
      <c r="D367" s="105">
        <v>9331</v>
      </c>
    </row>
    <row r="368" spans="1:4" ht="14.5">
      <c r="A368" t="s">
        <v>2983</v>
      </c>
      <c r="B368" s="380" t="str">
        <f>CONCATENATE(LEFT(RIGHT(CONCATENATE("000",FTG_Data1920!A368),6),3),"-",(RIGHT(RIGHT(CONCATENATE("000",FTG_Data1920!A368),6),3)))</f>
        <v>071-906</v>
      </c>
      <c r="C368" s="105">
        <v>10870</v>
      </c>
      <c r="D368" s="105">
        <v>10554</v>
      </c>
    </row>
    <row r="369" spans="1:4" ht="14.5">
      <c r="A369" t="s">
        <v>2984</v>
      </c>
      <c r="B369" s="380" t="str">
        <f>CONCATENATE(LEFT(RIGHT(CONCATENATE("000",FTG_Data1920!A369),6),3),"-",(RIGHT(RIGHT(CONCATENATE("000",FTG_Data1920!A369),6),3)))</f>
        <v>071-907</v>
      </c>
      <c r="C369" s="105">
        <v>10048</v>
      </c>
      <c r="D369" s="105">
        <v>9755</v>
      </c>
    </row>
    <row r="370" spans="1:4" ht="14.5">
      <c r="A370" t="s">
        <v>2985</v>
      </c>
      <c r="B370" s="380" t="str">
        <f>CONCATENATE(LEFT(RIGHT(CONCATENATE("000",FTG_Data1920!A370),6),3),"-",(RIGHT(RIGHT(CONCATENATE("000",FTG_Data1920!A370),6),3)))</f>
        <v>071-908</v>
      </c>
      <c r="C370" s="105">
        <v>11711</v>
      </c>
      <c r="D370" s="105">
        <v>11369</v>
      </c>
    </row>
    <row r="371" spans="1:4" ht="14.5">
      <c r="A371" t="s">
        <v>2986</v>
      </c>
      <c r="B371" s="380" t="str">
        <f>CONCATENATE(LEFT(RIGHT(CONCATENATE("000",FTG_Data1920!A371),6),3),"-",(RIGHT(RIGHT(CONCATENATE("000",FTG_Data1920!A371),6),3)))</f>
        <v>071-909</v>
      </c>
      <c r="C371" s="105">
        <v>8648</v>
      </c>
      <c r="D371" s="105">
        <v>8396</v>
      </c>
    </row>
    <row r="372" spans="1:4" ht="14.5">
      <c r="A372" t="s">
        <v>8505</v>
      </c>
      <c r="B372" s="380" t="str">
        <f>CONCATENATE(LEFT(RIGHT(CONCATENATE("000",FTG_Data1920!A372),6),3),"-",(RIGHT(RIGHT(CONCATENATE("000",FTG_Data1920!A372),6),3)))</f>
        <v>071-950</v>
      </c>
      <c r="C372" s="105">
        <v>11849</v>
      </c>
      <c r="D372" s="105">
        <v>0</v>
      </c>
    </row>
    <row r="373" spans="1:4" ht="14.5">
      <c r="A373" t="s">
        <v>7999</v>
      </c>
      <c r="B373" s="380" t="str">
        <f>CONCATENATE(LEFT(RIGHT(CONCATENATE("000",FTG_Data1920!A373),6),3),"-",(RIGHT(RIGHT(CONCATENATE("000",FTG_Data1920!A373),6),3)))</f>
        <v>072-801</v>
      </c>
      <c r="C373" s="105">
        <v>10958</v>
      </c>
      <c r="D373" s="105">
        <v>10639</v>
      </c>
    </row>
    <row r="374" spans="1:4" ht="14.5">
      <c r="A374" t="s">
        <v>8000</v>
      </c>
      <c r="B374" s="380" t="str">
        <f>CONCATENATE(LEFT(RIGHT(CONCATENATE("000",FTG_Data1920!A374),6),3),"-",(RIGHT(RIGHT(CONCATENATE("000",FTG_Data1920!A374),6),3)))</f>
        <v>072-802</v>
      </c>
      <c r="C374" s="105">
        <v>10888</v>
      </c>
      <c r="D374" s="105">
        <v>10570</v>
      </c>
    </row>
    <row r="375" spans="1:4" ht="14.5">
      <c r="A375" t="s">
        <v>5794</v>
      </c>
      <c r="B375" s="380" t="str">
        <f>CONCATENATE(LEFT(RIGHT(CONCATENATE("000",FTG_Data1920!A375),6),3),"-",(RIGHT(RIGHT(CONCATENATE("000",FTG_Data1920!A375),6),3)))</f>
        <v>072-901</v>
      </c>
      <c r="C375" s="105">
        <v>11545</v>
      </c>
      <c r="D375" s="105">
        <v>11209</v>
      </c>
    </row>
    <row r="376" spans="1:4" ht="14.5">
      <c r="A376" t="s">
        <v>5009</v>
      </c>
      <c r="B376" s="380" t="str">
        <f>CONCATENATE(LEFT(RIGHT(CONCATENATE("000",FTG_Data1920!A376),6),3),"-",(RIGHT(RIGHT(CONCATENATE("000",FTG_Data1920!A376),6),3)))</f>
        <v>072-902</v>
      </c>
      <c r="C376" s="105">
        <v>10931</v>
      </c>
      <c r="D376" s="105">
        <v>10613</v>
      </c>
    </row>
    <row r="377" spans="1:4" ht="14.5">
      <c r="A377" t="s">
        <v>2987</v>
      </c>
      <c r="B377" s="380" t="str">
        <f>CONCATENATE(LEFT(RIGHT(CONCATENATE("000",FTG_Data1920!A377),6),3),"-",(RIGHT(RIGHT(CONCATENATE("000",FTG_Data1920!A377),6),3)))</f>
        <v>072-903</v>
      </c>
      <c r="C377" s="105">
        <v>8890</v>
      </c>
      <c r="D377" s="105">
        <v>8631</v>
      </c>
    </row>
    <row r="378" spans="1:4" ht="14.5">
      <c r="A378" t="s">
        <v>5010</v>
      </c>
      <c r="B378" s="380" t="str">
        <f>CONCATENATE(LEFT(RIGHT(CONCATENATE("000",FTG_Data1920!A378),6),3),"-",(RIGHT(RIGHT(CONCATENATE("000",FTG_Data1920!A378),6),3)))</f>
        <v>072-904</v>
      </c>
      <c r="C378" s="105">
        <v>11849</v>
      </c>
      <c r="D378" s="105">
        <v>12211</v>
      </c>
    </row>
    <row r="379" spans="1:4" ht="14.5">
      <c r="A379" t="s">
        <v>5795</v>
      </c>
      <c r="B379" s="380" t="str">
        <f>CONCATENATE(LEFT(RIGHT(CONCATENATE("000",FTG_Data1920!A379),6),3),"-",(RIGHT(RIGHT(CONCATENATE("000",FTG_Data1920!A379),6),3)))</f>
        <v>072-908</v>
      </c>
      <c r="C379" s="105">
        <v>10468</v>
      </c>
      <c r="D379" s="105">
        <v>10163</v>
      </c>
    </row>
    <row r="380" spans="1:4" ht="14.5">
      <c r="A380" t="s">
        <v>2988</v>
      </c>
      <c r="B380" s="380" t="str">
        <f>CONCATENATE(LEFT(RIGHT(CONCATENATE("000",FTG_Data1920!A380),6),3),"-",(RIGHT(RIGHT(CONCATENATE("000",FTG_Data1920!A380),6),3)))</f>
        <v>072-909</v>
      </c>
      <c r="C380" s="105">
        <v>11316</v>
      </c>
      <c r="D380" s="105">
        <v>10987</v>
      </c>
    </row>
    <row r="381" spans="1:4" ht="14.5">
      <c r="A381" t="s">
        <v>5796</v>
      </c>
      <c r="B381" s="380" t="str">
        <f>CONCATENATE(LEFT(RIGHT(CONCATENATE("000",FTG_Data1920!A381),6),3),"-",(RIGHT(RIGHT(CONCATENATE("000",FTG_Data1920!A381),6),3)))</f>
        <v>072-910</v>
      </c>
      <c r="C381" s="105">
        <v>11849</v>
      </c>
      <c r="D381" s="105">
        <v>11468</v>
      </c>
    </row>
    <row r="382" spans="1:4" ht="14.5">
      <c r="A382" t="s">
        <v>5011</v>
      </c>
      <c r="B382" s="380" t="str">
        <f>CONCATENATE(LEFT(RIGHT(CONCATENATE("000",FTG_Data1920!A382),6),3),"-",(RIGHT(RIGHT(CONCATENATE("000",FTG_Data1920!A382),6),3)))</f>
        <v>073-901</v>
      </c>
      <c r="C382" s="105">
        <v>11849</v>
      </c>
      <c r="D382" s="105">
        <v>11715</v>
      </c>
    </row>
    <row r="383" spans="1:4" ht="14.5">
      <c r="A383" t="s">
        <v>3901</v>
      </c>
      <c r="B383" s="380" t="str">
        <f>CONCATENATE(LEFT(RIGHT(CONCATENATE("000",FTG_Data1920!A383),6),3),"-",(RIGHT(RIGHT(CONCATENATE("000",FTG_Data1920!A383),6),3)))</f>
        <v>073-903</v>
      </c>
      <c r="C383" s="105">
        <v>11849</v>
      </c>
      <c r="D383" s="105">
        <v>12272</v>
      </c>
    </row>
    <row r="384" spans="1:4" ht="14.5">
      <c r="A384" t="s">
        <v>3903</v>
      </c>
      <c r="B384" s="380" t="str">
        <f>CONCATENATE(LEFT(RIGHT(CONCATENATE("000",FTG_Data1920!A384),6),3),"-",(RIGHT(RIGHT(CONCATENATE("000",FTG_Data1920!A384),6),3)))</f>
        <v>073-904</v>
      </c>
      <c r="C384" s="105">
        <v>9833</v>
      </c>
      <c r="D384" s="105">
        <v>9546</v>
      </c>
    </row>
    <row r="385" spans="1:4" ht="14.5">
      <c r="A385" t="s">
        <v>5797</v>
      </c>
      <c r="B385" s="380" t="str">
        <f>CONCATENATE(LEFT(RIGHT(CONCATENATE("000",FTG_Data1920!A385),6),3),"-",(RIGHT(RIGHT(CONCATENATE("000",FTG_Data1920!A385),6),3)))</f>
        <v>073-905</v>
      </c>
      <c r="C385" s="105">
        <v>11849</v>
      </c>
      <c r="D385" s="105">
        <v>12047</v>
      </c>
    </row>
    <row r="386" spans="1:4" ht="14.5">
      <c r="A386" t="s">
        <v>5012</v>
      </c>
      <c r="B386" s="380" t="str">
        <f>CONCATENATE(LEFT(RIGHT(CONCATENATE("000",FTG_Data1920!A386),6),3),"-",(RIGHT(RIGHT(CONCATENATE("000",FTG_Data1920!A386),6),3)))</f>
        <v>074-903</v>
      </c>
      <c r="C386" s="105">
        <v>9731</v>
      </c>
      <c r="D386" s="105">
        <v>9448</v>
      </c>
    </row>
    <row r="387" spans="1:4" ht="14.5">
      <c r="A387" t="s">
        <v>2989</v>
      </c>
      <c r="B387" s="380" t="str">
        <f>CONCATENATE(LEFT(RIGHT(CONCATENATE("000",FTG_Data1920!A387),6),3),"-",(RIGHT(RIGHT(CONCATENATE("000",FTG_Data1920!A387),6),3)))</f>
        <v>074-904</v>
      </c>
      <c r="C387" s="105">
        <v>10926</v>
      </c>
      <c r="D387" s="105">
        <v>10607</v>
      </c>
    </row>
    <row r="388" spans="1:4" ht="14.5">
      <c r="A388" t="s">
        <v>2990</v>
      </c>
      <c r="B388" s="380" t="str">
        <f>CONCATENATE(LEFT(RIGHT(CONCATENATE("000",FTG_Data1920!A388),6),3),"-",(RIGHT(RIGHT(CONCATENATE("000",FTG_Data1920!A388),6),3)))</f>
        <v>074-905</v>
      </c>
      <c r="C388" s="105">
        <v>11849</v>
      </c>
      <c r="D388" s="105">
        <v>13200</v>
      </c>
    </row>
    <row r="389" spans="1:4" ht="14.5">
      <c r="A389" t="s">
        <v>2991</v>
      </c>
      <c r="B389" s="380" t="str">
        <f>CONCATENATE(LEFT(RIGHT(CONCATENATE("000",FTG_Data1920!A389),6),3),"-",(RIGHT(RIGHT(CONCATENATE("000",FTG_Data1920!A389),6),3)))</f>
        <v>074-907</v>
      </c>
      <c r="C389" s="105">
        <v>11849</v>
      </c>
      <c r="D389" s="105">
        <v>11553</v>
      </c>
    </row>
    <row r="390" spans="1:4" ht="14.5">
      <c r="A390" t="s">
        <v>5013</v>
      </c>
      <c r="B390" s="380" t="str">
        <f>CONCATENATE(LEFT(RIGHT(CONCATENATE("000",FTG_Data1920!A390),6),3),"-",(RIGHT(RIGHT(CONCATENATE("000",FTG_Data1920!A390),6),3)))</f>
        <v>074-909</v>
      </c>
      <c r="C390" s="105">
        <v>11600</v>
      </c>
      <c r="D390" s="105">
        <v>11262</v>
      </c>
    </row>
    <row r="391" spans="1:4" ht="14.5">
      <c r="A391" t="s">
        <v>5014</v>
      </c>
      <c r="B391" s="380" t="str">
        <f>CONCATENATE(LEFT(RIGHT(CONCATENATE("000",FTG_Data1920!A391),6),3),"-",(RIGHT(RIGHT(CONCATENATE("000",FTG_Data1920!A391),6),3)))</f>
        <v>074-911</v>
      </c>
      <c r="C391" s="105">
        <v>11849</v>
      </c>
      <c r="D391" s="105">
        <v>12223</v>
      </c>
    </row>
    <row r="392" spans="1:4" ht="14.5">
      <c r="A392" t="s">
        <v>2992</v>
      </c>
      <c r="B392" s="380" t="str">
        <f>CONCATENATE(LEFT(RIGHT(CONCATENATE("000",FTG_Data1920!A392),6),3),"-",(RIGHT(RIGHT(CONCATENATE("000",FTG_Data1920!A392),6),3)))</f>
        <v>074-912</v>
      </c>
      <c r="C392" s="105">
        <v>11849</v>
      </c>
      <c r="D392" s="105">
        <v>11519</v>
      </c>
    </row>
    <row r="393" spans="1:4" ht="14.5">
      <c r="A393" t="s">
        <v>2993</v>
      </c>
      <c r="B393" s="380" t="str">
        <f>CONCATENATE(LEFT(RIGHT(CONCATENATE("000",FTG_Data1920!A393),6),3),"-",(RIGHT(RIGHT(CONCATENATE("000",FTG_Data1920!A393),6),3)))</f>
        <v>074-917</v>
      </c>
      <c r="C393" s="105">
        <v>11849</v>
      </c>
      <c r="D393" s="105">
        <v>11639</v>
      </c>
    </row>
    <row r="394" spans="1:4" ht="14.5">
      <c r="A394" t="s">
        <v>5015</v>
      </c>
      <c r="B394" s="380" t="str">
        <f>CONCATENATE(LEFT(RIGHT(CONCATENATE("000",FTG_Data1920!A394),6),3),"-",(RIGHT(RIGHT(CONCATENATE("000",FTG_Data1920!A394),6),3)))</f>
        <v>075-901</v>
      </c>
      <c r="C394" s="105">
        <v>11849</v>
      </c>
      <c r="D394" s="105">
        <v>12112</v>
      </c>
    </row>
    <row r="395" spans="1:4" ht="14.5">
      <c r="A395" t="s">
        <v>5798</v>
      </c>
      <c r="B395" s="380" t="str">
        <f>CONCATENATE(LEFT(RIGHT(CONCATENATE("000",FTG_Data1920!A395),6),3),"-",(RIGHT(RIGHT(CONCATENATE("000",FTG_Data1920!A395),6),3)))</f>
        <v>075-902</v>
      </c>
      <c r="C395" s="105">
        <v>9566</v>
      </c>
      <c r="D395" s="105">
        <v>9287</v>
      </c>
    </row>
    <row r="396" spans="1:4" ht="14.5">
      <c r="A396" t="s">
        <v>5016</v>
      </c>
      <c r="B396" s="380" t="str">
        <f>CONCATENATE(LEFT(RIGHT(CONCATENATE("000",FTG_Data1920!A396),6),3),"-",(RIGHT(RIGHT(CONCATENATE("000",FTG_Data1920!A396),6),3)))</f>
        <v>075-903</v>
      </c>
      <c r="C396" s="105">
        <v>11398</v>
      </c>
      <c r="D396" s="105">
        <v>11066</v>
      </c>
    </row>
    <row r="397" spans="1:4" ht="14.5">
      <c r="A397" t="s">
        <v>5799</v>
      </c>
      <c r="B397" s="380" t="str">
        <f>CONCATENATE(LEFT(RIGHT(CONCATENATE("000",FTG_Data1920!A397),6),3),"-",(RIGHT(RIGHT(CONCATENATE("000",FTG_Data1920!A397),6),3)))</f>
        <v>075-906</v>
      </c>
      <c r="C397" s="105">
        <v>11849</v>
      </c>
      <c r="D397" s="105">
        <v>11842</v>
      </c>
    </row>
    <row r="398" spans="1:4" ht="14.5">
      <c r="A398" t="s">
        <v>5017</v>
      </c>
      <c r="B398" s="380" t="str">
        <f>CONCATENATE(LEFT(RIGHT(CONCATENATE("000",FTG_Data1920!A398),6),3),"-",(RIGHT(RIGHT(CONCATENATE("000",FTG_Data1920!A398),6),3)))</f>
        <v>075-908</v>
      </c>
      <c r="C398" s="105">
        <v>11849</v>
      </c>
      <c r="D398" s="105">
        <v>11883</v>
      </c>
    </row>
    <row r="399" spans="1:4" ht="14.5">
      <c r="A399" t="s">
        <v>5800</v>
      </c>
      <c r="B399" s="380" t="str">
        <f>CONCATENATE(LEFT(RIGHT(CONCATENATE("000",FTG_Data1920!A399),6),3),"-",(RIGHT(RIGHT(CONCATENATE("000",FTG_Data1920!A399),6),3)))</f>
        <v>076-903</v>
      </c>
      <c r="C399" s="105">
        <v>11849</v>
      </c>
      <c r="D399" s="105">
        <v>12667</v>
      </c>
    </row>
    <row r="400" spans="1:4" ht="14.5">
      <c r="A400" t="s">
        <v>2994</v>
      </c>
      <c r="B400" s="380" t="str">
        <f>CONCATENATE(LEFT(RIGHT(CONCATENATE("000",FTG_Data1920!A400),6),3),"-",(RIGHT(RIGHT(CONCATENATE("000",FTG_Data1920!A400),6),3)))</f>
        <v>076-904</v>
      </c>
      <c r="C400" s="105">
        <v>11849</v>
      </c>
      <c r="D400" s="105">
        <v>15749</v>
      </c>
    </row>
    <row r="401" spans="1:4" ht="14.5">
      <c r="A401" t="s">
        <v>5018</v>
      </c>
      <c r="B401" s="380" t="str">
        <f>CONCATENATE(LEFT(RIGHT(CONCATENATE("000",FTG_Data1920!A401),6),3),"-",(RIGHT(RIGHT(CONCATENATE("000",FTG_Data1920!A401),6),3)))</f>
        <v>077-901</v>
      </c>
      <c r="C401" s="105">
        <v>11849</v>
      </c>
      <c r="D401" s="105">
        <v>12935</v>
      </c>
    </row>
    <row r="402" spans="1:4" ht="14.5">
      <c r="A402" t="s">
        <v>5801</v>
      </c>
      <c r="B402" s="380" t="str">
        <f>CONCATENATE(LEFT(RIGHT(CONCATENATE("000",FTG_Data1920!A402),6),3),"-",(RIGHT(RIGHT(CONCATENATE("000",FTG_Data1920!A402),6),3)))</f>
        <v>077-902</v>
      </c>
      <c r="C402" s="105">
        <v>11849</v>
      </c>
      <c r="D402" s="105">
        <v>12066</v>
      </c>
    </row>
    <row r="403" spans="1:4" ht="14.5">
      <c r="A403" t="s">
        <v>5802</v>
      </c>
      <c r="B403" s="380" t="str">
        <f>CONCATENATE(LEFT(RIGHT(CONCATENATE("000",FTG_Data1920!A403),6),3),"-",(RIGHT(RIGHT(CONCATENATE("000",FTG_Data1920!A403),6),3)))</f>
        <v>078-901</v>
      </c>
      <c r="C403" s="105">
        <v>11849</v>
      </c>
      <c r="D403" s="105">
        <v>14830</v>
      </c>
    </row>
    <row r="404" spans="1:4" ht="14.5">
      <c r="A404" t="s">
        <v>5019</v>
      </c>
      <c r="B404" s="380" t="str">
        <f>CONCATENATE(LEFT(RIGHT(CONCATENATE("000",FTG_Data1920!A404),6),3),"-",(RIGHT(RIGHT(CONCATENATE("000",FTG_Data1920!A404),6),3)))</f>
        <v>079-901</v>
      </c>
      <c r="C404" s="105">
        <v>8823</v>
      </c>
      <c r="D404" s="105">
        <v>8566</v>
      </c>
    </row>
    <row r="405" spans="1:4" ht="14.5">
      <c r="A405" t="s">
        <v>2995</v>
      </c>
      <c r="B405" s="380" t="str">
        <f>CONCATENATE(LEFT(RIGHT(CONCATENATE("000",FTG_Data1920!A405),6),3),"-",(RIGHT(RIGHT(CONCATENATE("000",FTG_Data1920!A405),6),3)))</f>
        <v>079-906</v>
      </c>
      <c r="C405" s="105">
        <v>9934</v>
      </c>
      <c r="D405" s="105">
        <v>9645</v>
      </c>
    </row>
    <row r="406" spans="1:4" ht="14.5">
      <c r="A406" t="s">
        <v>2996</v>
      </c>
      <c r="B406" s="380" t="str">
        <f>CONCATENATE(LEFT(RIGHT(CONCATENATE("000",FTG_Data1920!A406),6),3),"-",(RIGHT(RIGHT(CONCATENATE("000",FTG_Data1920!A406),6),3)))</f>
        <v>079-907</v>
      </c>
      <c r="C406" s="105">
        <v>8801</v>
      </c>
      <c r="D406" s="105">
        <v>8545</v>
      </c>
    </row>
    <row r="407" spans="1:4" ht="14.5">
      <c r="A407" t="s">
        <v>5020</v>
      </c>
      <c r="B407" s="380" t="str">
        <f>CONCATENATE(LEFT(RIGHT(CONCATENATE("000",FTG_Data1920!A407),6),3),"-",(RIGHT(RIGHT(CONCATENATE("000",FTG_Data1920!A407),6),3)))</f>
        <v>079-910</v>
      </c>
      <c r="C407" s="105">
        <v>9131</v>
      </c>
      <c r="D407" s="105">
        <v>8865</v>
      </c>
    </row>
    <row r="408" spans="1:4" ht="14.5">
      <c r="A408" t="s">
        <v>5021</v>
      </c>
      <c r="B408" s="380" t="str">
        <f>CONCATENATE(LEFT(RIGHT(CONCATENATE("000",FTG_Data1920!A408),6),3),"-",(RIGHT(RIGHT(CONCATENATE("000",FTG_Data1920!A408),6),3)))</f>
        <v>080-901</v>
      </c>
      <c r="C408" s="105">
        <v>9265</v>
      </c>
      <c r="D408" s="105">
        <v>8995</v>
      </c>
    </row>
    <row r="409" spans="1:4" ht="14.5">
      <c r="A409" t="s">
        <v>5022</v>
      </c>
      <c r="B409" s="380" t="str">
        <f>CONCATENATE(LEFT(RIGHT(CONCATENATE("000",FTG_Data1920!A409),6),3),"-",(RIGHT(RIGHT(CONCATENATE("000",FTG_Data1920!A409),6),3)))</f>
        <v>081-902</v>
      </c>
      <c r="C409" s="105">
        <v>8692</v>
      </c>
      <c r="D409" s="105">
        <v>8439</v>
      </c>
    </row>
    <row r="410" spans="1:4" ht="14.5">
      <c r="A410" t="s">
        <v>5023</v>
      </c>
      <c r="B410" s="380" t="str">
        <f>CONCATENATE(LEFT(RIGHT(CONCATENATE("000",FTG_Data1920!A410),6),3),"-",(RIGHT(RIGHT(CONCATENATE("000",FTG_Data1920!A410),6),3)))</f>
        <v>081-904</v>
      </c>
      <c r="C410" s="105">
        <v>9416</v>
      </c>
      <c r="D410" s="105">
        <v>9142</v>
      </c>
    </row>
    <row r="411" spans="1:4" ht="14.5">
      <c r="A411" t="s">
        <v>5024</v>
      </c>
      <c r="B411" s="380" t="str">
        <f>CONCATENATE(LEFT(RIGHT(CONCATENATE("000",FTG_Data1920!A411),6),3),"-",(RIGHT(RIGHT(CONCATENATE("000",FTG_Data1920!A411),6),3)))</f>
        <v>081-905</v>
      </c>
      <c r="C411" s="105">
        <v>10835</v>
      </c>
      <c r="D411" s="105">
        <v>10520</v>
      </c>
    </row>
    <row r="412" spans="1:4" ht="14.5">
      <c r="A412" t="s">
        <v>5025</v>
      </c>
      <c r="B412" s="380" t="str">
        <f>CONCATENATE(LEFT(RIGHT(CONCATENATE("000",FTG_Data1920!A412),6),3),"-",(RIGHT(RIGHT(CONCATENATE("000",FTG_Data1920!A412),6),3)))</f>
        <v>081-906</v>
      </c>
      <c r="C412" s="105">
        <v>11849</v>
      </c>
      <c r="D412" s="105">
        <v>12271</v>
      </c>
    </row>
    <row r="413" spans="1:4" ht="14.5">
      <c r="A413" t="s">
        <v>2997</v>
      </c>
      <c r="B413" s="380" t="str">
        <f>CONCATENATE(LEFT(RIGHT(CONCATENATE("000",FTG_Data1920!A413),6),3),"-",(RIGHT(RIGHT(CONCATENATE("000",FTG_Data1920!A413),6),3)))</f>
        <v>082-902</v>
      </c>
      <c r="C413" s="105">
        <v>11849</v>
      </c>
      <c r="D413" s="105">
        <v>13706</v>
      </c>
    </row>
    <row r="414" spans="1:4" ht="14.5">
      <c r="A414" t="s">
        <v>2998</v>
      </c>
      <c r="B414" s="380" t="str">
        <f>CONCATENATE(LEFT(RIGHT(CONCATENATE("000",FTG_Data1920!A414),6),3),"-",(RIGHT(RIGHT(CONCATENATE("000",FTG_Data1920!A414),6),3)))</f>
        <v>082-903</v>
      </c>
      <c r="C414" s="105">
        <v>10384</v>
      </c>
      <c r="D414" s="105">
        <v>10082</v>
      </c>
    </row>
    <row r="415" spans="1:4" ht="14.5">
      <c r="A415" t="s">
        <v>5026</v>
      </c>
      <c r="B415" s="380" t="str">
        <f>CONCATENATE(LEFT(RIGHT(CONCATENATE("000",FTG_Data1920!A415),6),3),"-",(RIGHT(RIGHT(CONCATENATE("000",FTG_Data1920!A415),6),3)))</f>
        <v>083-901</v>
      </c>
      <c r="C415" s="105">
        <v>11849</v>
      </c>
      <c r="D415" s="105">
        <v>11859</v>
      </c>
    </row>
    <row r="416" spans="1:4" ht="14.5">
      <c r="A416" t="s">
        <v>5027</v>
      </c>
      <c r="B416" s="380" t="str">
        <f>CONCATENATE(LEFT(RIGHT(CONCATENATE("000",FTG_Data1920!A416),6),3),"-",(RIGHT(RIGHT(CONCATENATE("000",FTG_Data1920!A416),6),3)))</f>
        <v>083-902</v>
      </c>
      <c r="C416" s="105">
        <v>11849</v>
      </c>
      <c r="D416" s="105">
        <v>12580</v>
      </c>
    </row>
    <row r="417" spans="1:4" ht="14.5">
      <c r="A417" t="s">
        <v>5028</v>
      </c>
      <c r="B417" s="380" t="str">
        <f>CONCATENATE(LEFT(RIGHT(CONCATENATE("000",FTG_Data1920!A417),6),3),"-",(RIGHT(RIGHT(CONCATENATE("000",FTG_Data1920!A417),6),3)))</f>
        <v>083-903</v>
      </c>
      <c r="C417" s="105">
        <v>11361</v>
      </c>
      <c r="D417" s="105">
        <v>9995</v>
      </c>
    </row>
    <row r="418" spans="1:4" ht="14.5">
      <c r="A418" t="s">
        <v>8001</v>
      </c>
      <c r="B418" s="380" t="str">
        <f>CONCATENATE(LEFT(RIGHT(CONCATENATE("000",FTG_Data1920!A418),6),3),"-",(RIGHT(RIGHT(CONCATENATE("000",FTG_Data1920!A418),6),3)))</f>
        <v>084-802</v>
      </c>
      <c r="C418" s="105">
        <v>10595</v>
      </c>
      <c r="D418" s="105">
        <v>10287</v>
      </c>
    </row>
    <row r="419" spans="1:4" ht="14.5">
      <c r="A419" t="s">
        <v>8002</v>
      </c>
      <c r="B419" s="380" t="str">
        <f>CONCATENATE(LEFT(RIGHT(CONCATENATE("000",FTG_Data1920!A419),6),3),"-",(RIGHT(RIGHT(CONCATENATE("000",FTG_Data1920!A419),6),3)))</f>
        <v>084-804</v>
      </c>
      <c r="C419" s="105">
        <v>10299</v>
      </c>
      <c r="D419" s="105">
        <v>9999</v>
      </c>
    </row>
    <row r="420" spans="1:4" ht="14.5">
      <c r="A420" t="s">
        <v>5029</v>
      </c>
      <c r="B420" s="380" t="str">
        <f>CONCATENATE(LEFT(RIGHT(CONCATENATE("000",FTG_Data1920!A420),6),3),"-",(RIGHT(RIGHT(CONCATENATE("000",FTG_Data1920!A420),6),3)))</f>
        <v>084-901</v>
      </c>
      <c r="C420" s="105">
        <v>8993</v>
      </c>
      <c r="D420" s="105">
        <v>8731</v>
      </c>
    </row>
    <row r="421" spans="1:4" ht="14.5">
      <c r="A421" t="s">
        <v>5030</v>
      </c>
      <c r="B421" s="380" t="str">
        <f>CONCATENATE(LEFT(RIGHT(CONCATENATE("000",FTG_Data1920!A421),6),3),"-",(RIGHT(RIGHT(CONCATENATE("000",FTG_Data1920!A421),6),3)))</f>
        <v>084-902</v>
      </c>
      <c r="C421" s="105">
        <v>9707</v>
      </c>
      <c r="D421" s="105">
        <v>9425</v>
      </c>
    </row>
    <row r="422" spans="1:4" ht="14.5">
      <c r="A422" t="s">
        <v>5031</v>
      </c>
      <c r="B422" s="380" t="str">
        <f>CONCATENATE(LEFT(RIGHT(CONCATENATE("000",FTG_Data1920!A422),6),3),"-",(RIGHT(RIGHT(CONCATENATE("000",FTG_Data1920!A422),6),3)))</f>
        <v>084-903</v>
      </c>
      <c r="C422" s="105">
        <v>11849</v>
      </c>
      <c r="D422" s="105">
        <v>13866</v>
      </c>
    </row>
    <row r="423" spans="1:4" ht="14.5">
      <c r="A423" t="s">
        <v>5032</v>
      </c>
      <c r="B423" s="380" t="str">
        <f>CONCATENATE(LEFT(RIGHT(CONCATENATE("000",FTG_Data1920!A423),6),3),"-",(RIGHT(RIGHT(CONCATENATE("000",FTG_Data1920!A423),6),3)))</f>
        <v>084-906</v>
      </c>
      <c r="C423" s="105">
        <v>11849</v>
      </c>
      <c r="D423" s="105">
        <v>12114</v>
      </c>
    </row>
    <row r="424" spans="1:4" ht="14.5">
      <c r="A424" t="s">
        <v>5033</v>
      </c>
      <c r="B424" s="380" t="str">
        <f>CONCATENATE(LEFT(RIGHT(CONCATENATE("000",FTG_Data1920!A424),6),3),"-",(RIGHT(RIGHT(CONCATENATE("000",FTG_Data1920!A424),6),3)))</f>
        <v>084-908</v>
      </c>
      <c r="C424" s="105">
        <v>10658</v>
      </c>
      <c r="D424" s="105">
        <v>10348</v>
      </c>
    </row>
    <row r="425" spans="1:4" ht="14.5">
      <c r="A425" t="s">
        <v>2999</v>
      </c>
      <c r="B425" s="380" t="str">
        <f>CONCATENATE(LEFT(RIGHT(CONCATENATE("000",FTG_Data1920!A425),6),3),"-",(RIGHT(RIGHT(CONCATENATE("000",FTG_Data1920!A425),6),3)))</f>
        <v>084-909</v>
      </c>
      <c r="C425" s="105">
        <v>8912</v>
      </c>
      <c r="D425" s="105">
        <v>8652</v>
      </c>
    </row>
    <row r="426" spans="1:4" ht="14.5">
      <c r="A426" t="s">
        <v>5034</v>
      </c>
      <c r="B426" s="380" t="str">
        <f>CONCATENATE(LEFT(RIGHT(CONCATENATE("000",FTG_Data1920!A426),6),3),"-",(RIGHT(RIGHT(CONCATENATE("000",FTG_Data1920!A426),6),3)))</f>
        <v>084-910</v>
      </c>
      <c r="C426" s="105">
        <v>8240</v>
      </c>
      <c r="D426" s="105">
        <v>8000</v>
      </c>
    </row>
    <row r="427" spans="1:4" ht="14.5">
      <c r="A427" t="s">
        <v>3000</v>
      </c>
      <c r="B427" s="380" t="str">
        <f>CONCATENATE(LEFT(RIGHT(CONCATENATE("000",FTG_Data1920!A427),6),3),"-",(RIGHT(RIGHT(CONCATENATE("000",FTG_Data1920!A427),6),3)))</f>
        <v>084-911</v>
      </c>
      <c r="C427" s="105">
        <v>8423</v>
      </c>
      <c r="D427" s="105">
        <v>8178</v>
      </c>
    </row>
    <row r="428" spans="1:4" ht="14.5">
      <c r="A428" t="s">
        <v>5035</v>
      </c>
      <c r="B428" s="380" t="str">
        <f>CONCATENATE(LEFT(RIGHT(CONCATENATE("000",FTG_Data1920!A428),6),3),"-",(RIGHT(RIGHT(CONCATENATE("000",FTG_Data1920!A428),6),3)))</f>
        <v>085-902</v>
      </c>
      <c r="C428" s="105">
        <v>11849</v>
      </c>
      <c r="D428" s="105">
        <v>12284</v>
      </c>
    </row>
    <row r="429" spans="1:4" ht="14.5">
      <c r="A429" t="s">
        <v>5803</v>
      </c>
      <c r="B429" s="380" t="str">
        <f>CONCATENATE(LEFT(RIGHT(CONCATENATE("000",FTG_Data1920!A429),6),3),"-",(RIGHT(RIGHT(CONCATENATE("000",FTG_Data1920!A429),6),3)))</f>
        <v>085-903</v>
      </c>
      <c r="C429" s="105">
        <v>11849</v>
      </c>
      <c r="D429" s="105">
        <v>14760</v>
      </c>
    </row>
    <row r="430" spans="1:4" ht="14.5">
      <c r="A430" t="s">
        <v>5804</v>
      </c>
      <c r="B430" s="380" t="str">
        <f>CONCATENATE(LEFT(RIGHT(CONCATENATE("000",FTG_Data1920!A430),6),3),"-",(RIGHT(RIGHT(CONCATENATE("000",FTG_Data1920!A430),6),3)))</f>
        <v>086-024</v>
      </c>
      <c r="C430" s="105">
        <v>11849</v>
      </c>
      <c r="D430" s="105">
        <v>29825</v>
      </c>
    </row>
    <row r="431" spans="1:4" ht="14.5">
      <c r="A431" t="s">
        <v>5036</v>
      </c>
      <c r="B431" s="380" t="str">
        <f>CONCATENATE(LEFT(RIGHT(CONCATENATE("000",FTG_Data1920!A431),6),3),"-",(RIGHT(RIGHT(CONCATENATE("000",FTG_Data1920!A431),6),3)))</f>
        <v>086-901</v>
      </c>
      <c r="C431" s="105">
        <v>10221</v>
      </c>
      <c r="D431" s="105">
        <v>9924</v>
      </c>
    </row>
    <row r="432" spans="1:4" ht="14.5">
      <c r="A432" t="s">
        <v>5805</v>
      </c>
      <c r="B432" s="380" t="str">
        <f>CONCATENATE(LEFT(RIGHT(CONCATENATE("000",FTG_Data1920!A432),6),3),"-",(RIGHT(RIGHT(CONCATENATE("000",FTG_Data1920!A432),6),3)))</f>
        <v>086-902</v>
      </c>
      <c r="C432" s="105">
        <v>11849</v>
      </c>
      <c r="D432" s="105">
        <v>11530</v>
      </c>
    </row>
    <row r="433" spans="1:4" ht="14.5">
      <c r="A433" t="s">
        <v>5037</v>
      </c>
      <c r="B433" s="380" t="str">
        <f>CONCATENATE(LEFT(RIGHT(CONCATENATE("000",FTG_Data1920!A433),6),3),"-",(RIGHT(RIGHT(CONCATENATE("000",FTG_Data1920!A433),6),3)))</f>
        <v>087-901</v>
      </c>
      <c r="C433" s="105">
        <v>11849</v>
      </c>
      <c r="D433" s="105">
        <v>31950</v>
      </c>
    </row>
    <row r="434" spans="1:4" ht="14.5">
      <c r="A434" t="s">
        <v>5038</v>
      </c>
      <c r="B434" s="380" t="str">
        <f>CONCATENATE(LEFT(RIGHT(CONCATENATE("000",FTG_Data1920!A434),6),3),"-",(RIGHT(RIGHT(CONCATENATE("000",FTG_Data1920!A434),6),3)))</f>
        <v>088-902</v>
      </c>
      <c r="C434" s="105">
        <v>10269</v>
      </c>
      <c r="D434" s="105">
        <v>9970</v>
      </c>
    </row>
    <row r="435" spans="1:4" ht="14.5">
      <c r="A435" t="s">
        <v>3001</v>
      </c>
      <c r="B435" s="380" t="str">
        <f>CONCATENATE(LEFT(RIGHT(CONCATENATE("000",FTG_Data1920!A435),6),3),"-",(RIGHT(RIGHT(CONCATENATE("000",FTG_Data1920!A435),6),3)))</f>
        <v>089-901</v>
      </c>
      <c r="C435" s="105">
        <v>10922</v>
      </c>
      <c r="D435" s="105">
        <v>10604</v>
      </c>
    </row>
    <row r="436" spans="1:4" ht="14.5">
      <c r="A436" t="s">
        <v>5039</v>
      </c>
      <c r="B436" s="380" t="str">
        <f>CONCATENATE(LEFT(RIGHT(CONCATENATE("000",FTG_Data1920!A436),6),3),"-",(RIGHT(RIGHT(CONCATENATE("000",FTG_Data1920!A436),6),3)))</f>
        <v>089-903</v>
      </c>
      <c r="C436" s="105">
        <v>11849</v>
      </c>
      <c r="D436" s="105">
        <v>15943</v>
      </c>
    </row>
    <row r="437" spans="1:4" ht="14.5">
      <c r="A437" t="s">
        <v>5040</v>
      </c>
      <c r="B437" s="380" t="str">
        <f>CONCATENATE(LEFT(RIGHT(CONCATENATE("000",FTG_Data1920!A437),6),3),"-",(RIGHT(RIGHT(CONCATENATE("000",FTG_Data1920!A437),6),3)))</f>
        <v>089-905</v>
      </c>
      <c r="C437" s="105">
        <v>11849</v>
      </c>
      <c r="D437" s="105">
        <v>12069</v>
      </c>
    </row>
    <row r="438" spans="1:4" ht="14.5">
      <c r="A438" t="s">
        <v>5041</v>
      </c>
      <c r="B438" s="380" t="str">
        <f>CONCATENATE(LEFT(RIGHT(CONCATENATE("000",FTG_Data1920!A438),6),3),"-",(RIGHT(RIGHT(CONCATENATE("000",FTG_Data1920!A438),6),3)))</f>
        <v>090-902</v>
      </c>
      <c r="C438" s="105">
        <v>11849</v>
      </c>
      <c r="D438" s="105">
        <v>13065</v>
      </c>
    </row>
    <row r="439" spans="1:4" ht="14.5">
      <c r="A439" t="s">
        <v>5042</v>
      </c>
      <c r="B439" s="380" t="str">
        <f>CONCATENATE(LEFT(RIGHT(CONCATENATE("000",FTG_Data1920!A439),6),3),"-",(RIGHT(RIGHT(CONCATENATE("000",FTG_Data1920!A439),6),3)))</f>
        <v>090-903</v>
      </c>
      <c r="C439" s="105">
        <v>11849</v>
      </c>
      <c r="D439" s="105">
        <v>12482</v>
      </c>
    </row>
    <row r="440" spans="1:4" ht="14.5">
      <c r="A440" t="s">
        <v>3002</v>
      </c>
      <c r="B440" s="380" t="str">
        <f>CONCATENATE(LEFT(RIGHT(CONCATENATE("000",FTG_Data1920!A440),6),3),"-",(RIGHT(RIGHT(CONCATENATE("000",FTG_Data1920!A440),6),3)))</f>
        <v>090-904</v>
      </c>
      <c r="C440" s="105">
        <v>9186</v>
      </c>
      <c r="D440" s="105">
        <v>8919</v>
      </c>
    </row>
    <row r="441" spans="1:4" ht="14.5">
      <c r="A441" t="s">
        <v>5043</v>
      </c>
      <c r="B441" s="380" t="str">
        <f>CONCATENATE(LEFT(RIGHT(CONCATENATE("000",FTG_Data1920!A441),6),3),"-",(RIGHT(RIGHT(CONCATENATE("000",FTG_Data1920!A441),6),3)))</f>
        <v>090-905</v>
      </c>
      <c r="C441" s="105">
        <v>11849</v>
      </c>
      <c r="D441" s="105">
        <v>12933</v>
      </c>
    </row>
    <row r="442" spans="1:4" ht="14.5">
      <c r="A442" t="s">
        <v>3003</v>
      </c>
      <c r="B442" s="380" t="str">
        <f>CONCATENATE(LEFT(RIGHT(CONCATENATE("000",FTG_Data1920!A442),6),3),"-",(RIGHT(RIGHT(CONCATENATE("000",FTG_Data1920!A442),6),3)))</f>
        <v>091-901</v>
      </c>
      <c r="C442" s="105">
        <v>11526</v>
      </c>
      <c r="D442" s="105">
        <v>11190</v>
      </c>
    </row>
    <row r="443" spans="1:4" ht="14.5">
      <c r="A443" t="s">
        <v>3948</v>
      </c>
      <c r="B443" s="380" t="str">
        <f>CONCATENATE(LEFT(RIGHT(CONCATENATE("000",FTG_Data1920!A443),6),3),"-",(RIGHT(RIGHT(CONCATENATE("000",FTG_Data1920!A443),6),3)))</f>
        <v>091-902</v>
      </c>
      <c r="C443" s="105">
        <v>11849</v>
      </c>
      <c r="D443" s="105">
        <v>12501</v>
      </c>
    </row>
    <row r="444" spans="1:4" ht="14.5">
      <c r="A444" t="s">
        <v>5044</v>
      </c>
      <c r="B444" s="380" t="str">
        <f>CONCATENATE(LEFT(RIGHT(CONCATENATE("000",FTG_Data1920!A444),6),3),"-",(RIGHT(RIGHT(CONCATENATE("000",FTG_Data1920!A444),6),3)))</f>
        <v>091-903</v>
      </c>
      <c r="C444" s="105">
        <v>10078</v>
      </c>
      <c r="D444" s="105">
        <v>9784</v>
      </c>
    </row>
    <row r="445" spans="1:4" ht="14.5">
      <c r="A445" t="s">
        <v>3004</v>
      </c>
      <c r="B445" s="380" t="str">
        <f>CONCATENATE(LEFT(RIGHT(CONCATENATE("000",FTG_Data1920!A445),6),3),"-",(RIGHT(RIGHT(CONCATENATE("000",FTG_Data1920!A445),6),3)))</f>
        <v>091-905</v>
      </c>
      <c r="C445" s="105">
        <v>10608</v>
      </c>
      <c r="D445" s="105">
        <v>10299</v>
      </c>
    </row>
    <row r="446" spans="1:4" ht="14.5">
      <c r="A446" t="s">
        <v>3005</v>
      </c>
      <c r="B446" s="380" t="str">
        <f>CONCATENATE(LEFT(RIGHT(CONCATENATE("000",FTG_Data1920!A446),6),3),"-",(RIGHT(RIGHT(CONCATENATE("000",FTG_Data1920!A446),6),3)))</f>
        <v>091-906</v>
      </c>
      <c r="C446" s="105">
        <v>10036</v>
      </c>
      <c r="D446" s="105">
        <v>9744</v>
      </c>
    </row>
    <row r="447" spans="1:4" ht="14.5">
      <c r="A447" t="s">
        <v>5045</v>
      </c>
      <c r="B447" s="380" t="str">
        <f>CONCATENATE(LEFT(RIGHT(CONCATENATE("000",FTG_Data1920!A447),6),3),"-",(RIGHT(RIGHT(CONCATENATE("000",FTG_Data1920!A447),6),3)))</f>
        <v>091-907</v>
      </c>
      <c r="C447" s="105">
        <v>11486</v>
      </c>
      <c r="D447" s="105">
        <v>11151</v>
      </c>
    </row>
    <row r="448" spans="1:4" ht="14.5">
      <c r="A448" t="s">
        <v>3006</v>
      </c>
      <c r="B448" s="380" t="str">
        <f>CONCATENATE(LEFT(RIGHT(CONCATENATE("000",FTG_Data1920!A448),6),3),"-",(RIGHT(RIGHT(CONCATENATE("000",FTG_Data1920!A448),6),3)))</f>
        <v>091-908</v>
      </c>
      <c r="C448" s="105">
        <v>9509</v>
      </c>
      <c r="D448" s="105">
        <v>9232</v>
      </c>
    </row>
    <row r="449" spans="1:4" ht="14.5">
      <c r="A449" t="s">
        <v>3007</v>
      </c>
      <c r="B449" s="380" t="str">
        <f>CONCATENATE(LEFT(RIGHT(CONCATENATE("000",FTG_Data1920!A449),6),3),"-",(RIGHT(RIGHT(CONCATENATE("000",FTG_Data1920!A449),6),3)))</f>
        <v>091-909</v>
      </c>
      <c r="C449" s="105">
        <v>10288</v>
      </c>
      <c r="D449" s="105">
        <v>9988</v>
      </c>
    </row>
    <row r="450" spans="1:4" ht="14.5">
      <c r="A450" t="s">
        <v>5046</v>
      </c>
      <c r="B450" s="380" t="str">
        <f>CONCATENATE(LEFT(RIGHT(CONCATENATE("000",FTG_Data1920!A450),6),3),"-",(RIGHT(RIGHT(CONCATENATE("000",FTG_Data1920!A450),6),3)))</f>
        <v>091-910</v>
      </c>
      <c r="C450" s="105">
        <v>11799</v>
      </c>
      <c r="D450" s="105">
        <v>11455</v>
      </c>
    </row>
    <row r="451" spans="1:4" ht="14.5">
      <c r="A451" t="s">
        <v>3008</v>
      </c>
      <c r="B451" s="380" t="str">
        <f>CONCATENATE(LEFT(RIGHT(CONCATENATE("000",FTG_Data1920!A451),6),3),"-",(RIGHT(RIGHT(CONCATENATE("000",FTG_Data1920!A451),6),3)))</f>
        <v>091-913</v>
      </c>
      <c r="C451" s="105">
        <v>9367</v>
      </c>
      <c r="D451" s="105">
        <v>9094</v>
      </c>
    </row>
    <row r="452" spans="1:4" ht="14.5">
      <c r="A452" t="s">
        <v>5047</v>
      </c>
      <c r="B452" s="380" t="str">
        <f>CONCATENATE(LEFT(RIGHT(CONCATENATE("000",FTG_Data1920!A452),6),3),"-",(RIGHT(RIGHT(CONCATENATE("000",FTG_Data1920!A452),6),3)))</f>
        <v>091-914</v>
      </c>
      <c r="C452" s="105">
        <v>11626</v>
      </c>
      <c r="D452" s="105">
        <v>11287</v>
      </c>
    </row>
    <row r="453" spans="1:4" ht="14.5">
      <c r="A453" t="s">
        <v>3009</v>
      </c>
      <c r="B453" s="380" t="str">
        <f>CONCATENATE(LEFT(RIGHT(CONCATENATE("000",FTG_Data1920!A453),6),3),"-",(RIGHT(RIGHT(CONCATENATE("000",FTG_Data1920!A453),6),3)))</f>
        <v>091-917</v>
      </c>
      <c r="C453" s="105">
        <v>11021</v>
      </c>
      <c r="D453" s="105">
        <v>10700</v>
      </c>
    </row>
    <row r="454" spans="1:4" ht="14.5">
      <c r="A454" t="s">
        <v>5048</v>
      </c>
      <c r="B454" s="380" t="str">
        <f>CONCATENATE(LEFT(RIGHT(CONCATENATE("000",FTG_Data1920!A454),6),3),"-",(RIGHT(RIGHT(CONCATENATE("000",FTG_Data1920!A454),6),3)))</f>
        <v>091-918</v>
      </c>
      <c r="C454" s="105">
        <v>11849</v>
      </c>
      <c r="D454" s="105">
        <v>11869</v>
      </c>
    </row>
    <row r="455" spans="1:4" ht="14.5">
      <c r="A455" t="s">
        <v>8003</v>
      </c>
      <c r="B455" s="380" t="str">
        <f>CONCATENATE(LEFT(RIGHT(CONCATENATE("000",FTG_Data1920!A455),6),3),"-",(RIGHT(RIGHT(CONCATENATE("000",FTG_Data1920!A455),6),3)))</f>
        <v>092-801</v>
      </c>
      <c r="C455" s="105">
        <v>10529</v>
      </c>
      <c r="D455" s="105">
        <v>10222</v>
      </c>
    </row>
    <row r="456" spans="1:4" ht="14.5">
      <c r="A456" t="s">
        <v>5049</v>
      </c>
      <c r="B456" s="380" t="str">
        <f>CONCATENATE(LEFT(RIGHT(CONCATENATE("000",FTG_Data1920!A456),6),3),"-",(RIGHT(RIGHT(CONCATENATE("000",FTG_Data1920!A456),6),3)))</f>
        <v>092-901</v>
      </c>
      <c r="C456" s="105">
        <v>10006</v>
      </c>
      <c r="D456" s="105">
        <v>9715</v>
      </c>
    </row>
    <row r="457" spans="1:4" ht="14.5">
      <c r="A457" t="s">
        <v>5050</v>
      </c>
      <c r="B457" s="380" t="str">
        <f>CONCATENATE(LEFT(RIGHT(CONCATENATE("000",FTG_Data1920!A457),6),3),"-",(RIGHT(RIGHT(CONCATENATE("000",FTG_Data1920!A457),6),3)))</f>
        <v>092-902</v>
      </c>
      <c r="C457" s="105">
        <v>8611</v>
      </c>
      <c r="D457" s="105">
        <v>8361</v>
      </c>
    </row>
    <row r="458" spans="1:4" ht="14.5">
      <c r="A458" t="s">
        <v>3969</v>
      </c>
      <c r="B458" s="380" t="str">
        <f>CONCATENATE(LEFT(RIGHT(CONCATENATE("000",FTG_Data1920!A458),6),3),"-",(RIGHT(RIGHT(CONCATENATE("000",FTG_Data1920!A458),6),3)))</f>
        <v>092-903</v>
      </c>
      <c r="C458" s="105">
        <v>8708</v>
      </c>
      <c r="D458" s="105">
        <v>8455</v>
      </c>
    </row>
    <row r="459" spans="1:4" ht="14.5">
      <c r="A459" t="s">
        <v>5051</v>
      </c>
      <c r="B459" s="380" t="str">
        <f>CONCATENATE(LEFT(RIGHT(CONCATENATE("000",FTG_Data1920!A459),6),3),"-",(RIGHT(RIGHT(CONCATENATE("000",FTG_Data1920!A459),6),3)))</f>
        <v>092-904</v>
      </c>
      <c r="C459" s="105">
        <v>8930</v>
      </c>
      <c r="D459" s="105">
        <v>8669</v>
      </c>
    </row>
    <row r="460" spans="1:4" ht="14.5">
      <c r="A460" t="s">
        <v>5052</v>
      </c>
      <c r="B460" s="380" t="str">
        <f>CONCATENATE(LEFT(RIGHT(CONCATENATE("000",FTG_Data1920!A460),6),3),"-",(RIGHT(RIGHT(CONCATENATE("000",FTG_Data1920!A460),6),3)))</f>
        <v>092-906</v>
      </c>
      <c r="C460" s="105">
        <v>8201</v>
      </c>
      <c r="D460" s="105">
        <v>7962</v>
      </c>
    </row>
    <row r="461" spans="1:4" ht="14.5">
      <c r="A461" t="s">
        <v>3010</v>
      </c>
      <c r="B461" s="380" t="str">
        <f>CONCATENATE(LEFT(RIGHT(CONCATENATE("000",FTG_Data1920!A461),6),3),"-",(RIGHT(RIGHT(CONCATENATE("000",FTG_Data1920!A461),6),3)))</f>
        <v>092-907</v>
      </c>
      <c r="C461" s="105">
        <v>8475</v>
      </c>
      <c r="D461" s="105">
        <v>8228</v>
      </c>
    </row>
    <row r="462" spans="1:4" ht="14.5">
      <c r="A462" t="s">
        <v>5053</v>
      </c>
      <c r="B462" s="380" t="str">
        <f>CONCATENATE(LEFT(RIGHT(CONCATENATE("000",FTG_Data1920!A462),6),3),"-",(RIGHT(RIGHT(CONCATENATE("000",FTG_Data1920!A462),6),3)))</f>
        <v>092-908</v>
      </c>
      <c r="C462" s="105">
        <v>9099</v>
      </c>
      <c r="D462" s="105">
        <v>8834</v>
      </c>
    </row>
    <row r="463" spans="1:4" ht="14.5">
      <c r="A463" t="s">
        <v>8506</v>
      </c>
      <c r="B463" s="380" t="str">
        <f>CONCATENATE(LEFT(RIGHT(CONCATENATE("000",FTG_Data1920!A463),6),3),"-",(RIGHT(RIGHT(CONCATENATE("000",FTG_Data1920!A463),6),3)))</f>
        <v>092-950</v>
      </c>
      <c r="C463" s="105">
        <v>11849</v>
      </c>
      <c r="D463" s="105">
        <v>0</v>
      </c>
    </row>
    <row r="464" spans="1:4" ht="14.5">
      <c r="A464" t="s">
        <v>5054</v>
      </c>
      <c r="B464" s="380" t="str">
        <f>CONCATENATE(LEFT(RIGHT(CONCATENATE("000",FTG_Data1920!A464),6),3),"-",(RIGHT(RIGHT(CONCATENATE("000",FTG_Data1920!A464),6),3)))</f>
        <v>093-901</v>
      </c>
      <c r="C464" s="105">
        <v>11352</v>
      </c>
      <c r="D464" s="105">
        <v>11021</v>
      </c>
    </row>
    <row r="465" spans="1:4" ht="14.5">
      <c r="A465" t="s">
        <v>3011</v>
      </c>
      <c r="B465" s="380" t="str">
        <f>CONCATENATE(LEFT(RIGHT(CONCATENATE("000",FTG_Data1920!A465),6),3),"-",(RIGHT(RIGHT(CONCATENATE("000",FTG_Data1920!A465),6),3)))</f>
        <v>093-903</v>
      </c>
      <c r="C465" s="105">
        <v>11156</v>
      </c>
      <c r="D465" s="105">
        <v>10831</v>
      </c>
    </row>
    <row r="466" spans="1:4" ht="14.5">
      <c r="A466" t="s">
        <v>5055</v>
      </c>
      <c r="B466" s="380" t="str">
        <f>CONCATENATE(LEFT(RIGHT(CONCATENATE("000",FTG_Data1920!A466),6),3),"-",(RIGHT(RIGHT(CONCATENATE("000",FTG_Data1920!A466),6),3)))</f>
        <v>093-904</v>
      </c>
      <c r="C466" s="105">
        <v>9732</v>
      </c>
      <c r="D466" s="105">
        <v>9449</v>
      </c>
    </row>
    <row r="467" spans="1:4" ht="14.5">
      <c r="A467" t="s">
        <v>5806</v>
      </c>
      <c r="B467" s="380" t="str">
        <f>CONCATENATE(LEFT(RIGHT(CONCATENATE("000",FTG_Data1920!A467),6),3),"-",(RIGHT(RIGHT(CONCATENATE("000",FTG_Data1920!A467),6),3)))</f>
        <v>093-905</v>
      </c>
      <c r="C467" s="105">
        <v>11849</v>
      </c>
      <c r="D467" s="105">
        <v>12826</v>
      </c>
    </row>
    <row r="468" spans="1:4" ht="14.5">
      <c r="A468" t="s">
        <v>3012</v>
      </c>
      <c r="B468" s="380" t="str">
        <f>CONCATENATE(LEFT(RIGHT(CONCATENATE("000",FTG_Data1920!A468),6),3),"-",(RIGHT(RIGHT(CONCATENATE("000",FTG_Data1920!A468),6),3)))</f>
        <v>094-901</v>
      </c>
      <c r="C468" s="105">
        <v>9016</v>
      </c>
      <c r="D468" s="105">
        <v>8753</v>
      </c>
    </row>
    <row r="469" spans="1:4" ht="14.5">
      <c r="A469" t="s">
        <v>3013</v>
      </c>
      <c r="B469" s="380" t="str">
        <f>CONCATENATE(LEFT(RIGHT(CONCATENATE("000",FTG_Data1920!A469),6),3),"-",(RIGHT(RIGHT(CONCATENATE("000",FTG_Data1920!A469),6),3)))</f>
        <v>094-902</v>
      </c>
      <c r="C469" s="105">
        <v>7912</v>
      </c>
      <c r="D469" s="105">
        <v>7681</v>
      </c>
    </row>
    <row r="470" spans="1:4" ht="14.5">
      <c r="A470" t="s">
        <v>3014</v>
      </c>
      <c r="B470" s="380" t="str">
        <f>CONCATENATE(LEFT(RIGHT(CONCATENATE("000",FTG_Data1920!A470),6),3),"-",(RIGHT(RIGHT(CONCATENATE("000",FTG_Data1920!A470),6),3)))</f>
        <v>094-903</v>
      </c>
      <c r="C470" s="105">
        <v>9374</v>
      </c>
      <c r="D470" s="105">
        <v>9101</v>
      </c>
    </row>
    <row r="471" spans="1:4" ht="14.5">
      <c r="A471" t="s">
        <v>3993</v>
      </c>
      <c r="B471" s="380" t="str">
        <f>CONCATENATE(LEFT(RIGHT(CONCATENATE("000",FTG_Data1920!A471),6),3),"-",(RIGHT(RIGHT(CONCATENATE("000",FTG_Data1920!A471),6),3)))</f>
        <v>094-904</v>
      </c>
      <c r="C471" s="105">
        <v>9692</v>
      </c>
      <c r="D471" s="105">
        <v>9410</v>
      </c>
    </row>
    <row r="472" spans="1:4" ht="14.5">
      <c r="A472" t="s">
        <v>5056</v>
      </c>
      <c r="B472" s="380" t="str">
        <f>CONCATENATE(LEFT(RIGHT(CONCATENATE("000",FTG_Data1920!A472),6),3),"-",(RIGHT(RIGHT(CONCATENATE("000",FTG_Data1920!A472),6),3)))</f>
        <v>095-901</v>
      </c>
      <c r="C472" s="105">
        <v>9959</v>
      </c>
      <c r="D472" s="105">
        <v>9669</v>
      </c>
    </row>
    <row r="473" spans="1:4" ht="14.5">
      <c r="A473" t="s">
        <v>5807</v>
      </c>
      <c r="B473" s="380" t="str">
        <f>CONCATENATE(LEFT(RIGHT(CONCATENATE("000",FTG_Data1920!A473),6),3),"-",(RIGHT(RIGHT(CONCATENATE("000",FTG_Data1920!A473),6),3)))</f>
        <v>095-902</v>
      </c>
      <c r="C473" s="105">
        <v>11849</v>
      </c>
      <c r="D473" s="105">
        <v>20101</v>
      </c>
    </row>
    <row r="474" spans="1:4" ht="14.5">
      <c r="A474" t="s">
        <v>5057</v>
      </c>
      <c r="B474" s="380" t="str">
        <f>CONCATENATE(LEFT(RIGHT(CONCATENATE("000",FTG_Data1920!A474),6),3),"-",(RIGHT(RIGHT(CONCATENATE("000",FTG_Data1920!A474),6),3)))</f>
        <v>095-903</v>
      </c>
      <c r="C474" s="105">
        <v>11849</v>
      </c>
      <c r="D474" s="105">
        <v>12065</v>
      </c>
    </row>
    <row r="475" spans="1:4" ht="14.5">
      <c r="A475" t="s">
        <v>5808</v>
      </c>
      <c r="B475" s="380" t="str">
        <f>CONCATENATE(LEFT(RIGHT(CONCATENATE("000",FTG_Data1920!A475),6),3),"-",(RIGHT(RIGHT(CONCATENATE("000",FTG_Data1920!A475),6),3)))</f>
        <v>095-904</v>
      </c>
      <c r="C475" s="105">
        <v>11849</v>
      </c>
      <c r="D475" s="105">
        <v>15303</v>
      </c>
    </row>
    <row r="476" spans="1:4" ht="14.5">
      <c r="A476" t="s">
        <v>5809</v>
      </c>
      <c r="B476" s="380" t="str">
        <f>CONCATENATE(LEFT(RIGHT(CONCATENATE("000",FTG_Data1920!A476),6),3),"-",(RIGHT(RIGHT(CONCATENATE("000",FTG_Data1920!A476),6),3)))</f>
        <v>095-905</v>
      </c>
      <c r="C476" s="105">
        <v>9280</v>
      </c>
      <c r="D476" s="105">
        <v>9010</v>
      </c>
    </row>
    <row r="477" spans="1:4" ht="14.5">
      <c r="A477" t="s">
        <v>5810</v>
      </c>
      <c r="B477" s="380" t="str">
        <f>CONCATENATE(LEFT(RIGHT(CONCATENATE("000",FTG_Data1920!A477),6),3),"-",(RIGHT(RIGHT(CONCATENATE("000",FTG_Data1920!A477),6),3)))</f>
        <v>096-904</v>
      </c>
      <c r="C477" s="105">
        <v>11849</v>
      </c>
      <c r="D477" s="105">
        <v>14006</v>
      </c>
    </row>
    <row r="478" spans="1:4" ht="14.5">
      <c r="A478" t="s">
        <v>5058</v>
      </c>
      <c r="B478" s="380" t="str">
        <f>CONCATENATE(LEFT(RIGHT(CONCATENATE("000",FTG_Data1920!A478),6),3),"-",(RIGHT(RIGHT(CONCATENATE("000",FTG_Data1920!A478),6),3)))</f>
        <v>096-905</v>
      </c>
      <c r="C478" s="105">
        <v>11849</v>
      </c>
      <c r="D478" s="105">
        <v>12853</v>
      </c>
    </row>
    <row r="479" spans="1:4" ht="14.5">
      <c r="A479" t="s">
        <v>5059</v>
      </c>
      <c r="B479" s="380" t="str">
        <f>CONCATENATE(LEFT(RIGHT(CONCATENATE("000",FTG_Data1920!A479),6),3),"-",(RIGHT(RIGHT(CONCATENATE("000",FTG_Data1920!A479),6),3)))</f>
        <v>097-902</v>
      </c>
      <c r="C479" s="105">
        <v>11849</v>
      </c>
      <c r="D479" s="105">
        <v>12012</v>
      </c>
    </row>
    <row r="480" spans="1:4" ht="14.5">
      <c r="A480" t="s">
        <v>3015</v>
      </c>
      <c r="B480" s="380" t="str">
        <f>CONCATENATE(LEFT(RIGHT(CONCATENATE("000",FTG_Data1920!A480),6),3),"-",(RIGHT(RIGHT(CONCATENATE("000",FTG_Data1920!A480),6),3)))</f>
        <v>097-903</v>
      </c>
      <c r="C480" s="105">
        <v>11718</v>
      </c>
      <c r="D480" s="105">
        <v>11377</v>
      </c>
    </row>
    <row r="481" spans="1:4" ht="14.5">
      <c r="A481" t="s">
        <v>5060</v>
      </c>
      <c r="B481" s="380" t="str">
        <f>CONCATENATE(LEFT(RIGHT(CONCATENATE("000",FTG_Data1920!A481),6),3),"-",(RIGHT(RIGHT(CONCATENATE("000",FTG_Data1920!A481),6),3)))</f>
        <v>098-901</v>
      </c>
      <c r="C481" s="105">
        <v>11849</v>
      </c>
      <c r="D481" s="105">
        <v>12352</v>
      </c>
    </row>
    <row r="482" spans="1:4" ht="14.5">
      <c r="A482" t="s">
        <v>5061</v>
      </c>
      <c r="B482" s="380" t="str">
        <f>CONCATENATE(LEFT(RIGHT(CONCATENATE("000",FTG_Data1920!A482),6),3),"-",(RIGHT(RIGHT(CONCATENATE("000",FTG_Data1920!A482),6),3)))</f>
        <v>098-903</v>
      </c>
      <c r="C482" s="105">
        <v>11849</v>
      </c>
      <c r="D482" s="105">
        <v>12916</v>
      </c>
    </row>
    <row r="483" spans="1:4" ht="14.5">
      <c r="A483" t="s">
        <v>5062</v>
      </c>
      <c r="B483" s="380" t="str">
        <f>CONCATENATE(LEFT(RIGHT(CONCATENATE("000",FTG_Data1920!A483),6),3),"-",(RIGHT(RIGHT(CONCATENATE("000",FTG_Data1920!A483),6),3)))</f>
        <v>098-904</v>
      </c>
      <c r="C483" s="105">
        <v>11849</v>
      </c>
      <c r="D483" s="105">
        <v>11840</v>
      </c>
    </row>
    <row r="484" spans="1:4" ht="14.5">
      <c r="A484" t="s">
        <v>5063</v>
      </c>
      <c r="B484" s="380" t="str">
        <f>CONCATENATE(LEFT(RIGHT(CONCATENATE("000",FTG_Data1920!A484),6),3),"-",(RIGHT(RIGHT(CONCATENATE("000",FTG_Data1920!A484),6),3)))</f>
        <v>099-902</v>
      </c>
      <c r="C484" s="105">
        <v>11849</v>
      </c>
      <c r="D484" s="105">
        <v>14978</v>
      </c>
    </row>
    <row r="485" spans="1:4" ht="14.5">
      <c r="A485" t="s">
        <v>5811</v>
      </c>
      <c r="B485" s="380" t="str">
        <f>CONCATENATE(LEFT(RIGHT(CONCATENATE("000",FTG_Data1920!A485),6),3),"-",(RIGHT(RIGHT(CONCATENATE("000",FTG_Data1920!A485),6),3)))</f>
        <v>099-903</v>
      </c>
      <c r="C485" s="105">
        <v>11849</v>
      </c>
      <c r="D485" s="105">
        <v>13266</v>
      </c>
    </row>
    <row r="486" spans="1:4" ht="14.5">
      <c r="A486" t="s">
        <v>5064</v>
      </c>
      <c r="B486" s="380" t="str">
        <f>CONCATENATE(LEFT(RIGHT(CONCATENATE("000",FTG_Data1920!A486),6),3),"-",(RIGHT(RIGHT(CONCATENATE("000",FTG_Data1920!A486),6),3)))</f>
        <v>100-903</v>
      </c>
      <c r="C486" s="105">
        <v>11045</v>
      </c>
      <c r="D486" s="105">
        <v>10723</v>
      </c>
    </row>
    <row r="487" spans="1:4" ht="14.5">
      <c r="A487" t="s">
        <v>3016</v>
      </c>
      <c r="B487" s="380" t="str">
        <f>CONCATENATE(LEFT(RIGHT(CONCATENATE("000",FTG_Data1920!A487),6),3),"-",(RIGHT(RIGHT(CONCATENATE("000",FTG_Data1920!A487),6),3)))</f>
        <v>100-904</v>
      </c>
      <c r="C487" s="105">
        <v>10102</v>
      </c>
      <c r="D487" s="105">
        <v>9808</v>
      </c>
    </row>
    <row r="488" spans="1:4" ht="14.5">
      <c r="A488" t="s">
        <v>5065</v>
      </c>
      <c r="B488" s="380" t="str">
        <f>CONCATENATE(LEFT(RIGHT(CONCATENATE("000",FTG_Data1920!A488),6),3),"-",(RIGHT(RIGHT(CONCATENATE("000",FTG_Data1920!A488),6),3)))</f>
        <v>100-905</v>
      </c>
      <c r="C488" s="105">
        <v>8842</v>
      </c>
      <c r="D488" s="105">
        <v>8585</v>
      </c>
    </row>
    <row r="489" spans="1:4" ht="14.5">
      <c r="A489" t="s">
        <v>3017</v>
      </c>
      <c r="B489" s="380" t="str">
        <f>CONCATENATE(LEFT(RIGHT(CONCATENATE("000",FTG_Data1920!A489),6),3),"-",(RIGHT(RIGHT(CONCATENATE("000",FTG_Data1920!A489),6),3)))</f>
        <v>100-907</v>
      </c>
      <c r="C489" s="105">
        <v>8465</v>
      </c>
      <c r="D489" s="105">
        <v>8218</v>
      </c>
    </row>
    <row r="490" spans="1:4" ht="14.5">
      <c r="A490" t="s">
        <v>3018</v>
      </c>
      <c r="B490" s="380" t="str">
        <f>CONCATENATE(LEFT(RIGHT(CONCATENATE("000",FTG_Data1920!A490),6),3),"-",(RIGHT(RIGHT(CONCATENATE("000",FTG_Data1920!A490),6),3)))</f>
        <v>100-908</v>
      </c>
      <c r="C490" s="105">
        <v>11849</v>
      </c>
      <c r="D490" s="105">
        <v>11781</v>
      </c>
    </row>
    <row r="491" spans="1:4" ht="14.5">
      <c r="A491" t="s">
        <v>8507</v>
      </c>
      <c r="B491" s="380" t="str">
        <f>CONCATENATE(LEFT(RIGHT(CONCATENATE("000",FTG_Data1920!A491),6),3),"-",(RIGHT(RIGHT(CONCATENATE("000",FTG_Data1920!A491),6),3)))</f>
        <v>101-000</v>
      </c>
      <c r="C491" s="105">
        <v>11849</v>
      </c>
      <c r="D491" s="105">
        <v>0</v>
      </c>
    </row>
    <row r="492" spans="1:4" ht="14.5">
      <c r="A492" t="s">
        <v>8004</v>
      </c>
      <c r="B492" s="380" t="str">
        <f>CONCATENATE(LEFT(RIGHT(CONCATENATE("000",FTG_Data1920!A492),6),3),"-",(RIGHT(RIGHT(CONCATENATE("000",FTG_Data1920!A492),6),3)))</f>
        <v>101-802</v>
      </c>
      <c r="C492" s="105">
        <v>10918</v>
      </c>
      <c r="D492" s="105">
        <v>10600</v>
      </c>
    </row>
    <row r="493" spans="1:4" ht="14.5">
      <c r="A493" t="s">
        <v>8005</v>
      </c>
      <c r="B493" s="380" t="str">
        <f>CONCATENATE(LEFT(RIGHT(CONCATENATE("000",FTG_Data1920!A493),6),3),"-",(RIGHT(RIGHT(CONCATENATE("000",FTG_Data1920!A493),6),3)))</f>
        <v>101-803</v>
      </c>
      <c r="C493" s="105">
        <v>9425</v>
      </c>
      <c r="D493" s="105">
        <v>9151</v>
      </c>
    </row>
    <row r="494" spans="1:4" ht="14.5">
      <c r="A494" t="s">
        <v>8006</v>
      </c>
      <c r="B494" s="380" t="str">
        <f>CONCATENATE(LEFT(RIGHT(CONCATENATE("000",FTG_Data1920!A494),6),3),"-",(RIGHT(RIGHT(CONCATENATE("000",FTG_Data1920!A494),6),3)))</f>
        <v>101-804</v>
      </c>
      <c r="C494" s="105">
        <v>11402</v>
      </c>
      <c r="D494" s="105">
        <v>11070</v>
      </c>
    </row>
    <row r="495" spans="1:4" ht="14.5">
      <c r="A495" t="s">
        <v>8007</v>
      </c>
      <c r="B495" s="380" t="str">
        <f>CONCATENATE(LEFT(RIGHT(CONCATENATE("000",FTG_Data1920!A495),6),3),"-",(RIGHT(RIGHT(CONCATENATE("000",FTG_Data1920!A495),6),3)))</f>
        <v>101-806</v>
      </c>
      <c r="C495" s="105">
        <v>10937</v>
      </c>
      <c r="D495" s="105">
        <v>10619</v>
      </c>
    </row>
    <row r="496" spans="1:4" ht="14.5">
      <c r="A496" t="s">
        <v>8008</v>
      </c>
      <c r="B496" s="380" t="str">
        <f>CONCATENATE(LEFT(RIGHT(CONCATENATE("000",FTG_Data1920!A496),6),3),"-",(RIGHT(RIGHT(CONCATENATE("000",FTG_Data1920!A496),6),3)))</f>
        <v>101-807</v>
      </c>
      <c r="C496" s="105">
        <v>9810</v>
      </c>
      <c r="D496" s="105">
        <v>9524</v>
      </c>
    </row>
    <row r="497" spans="1:4" ht="14.5">
      <c r="A497" t="s">
        <v>8009</v>
      </c>
      <c r="B497" s="380" t="str">
        <f>CONCATENATE(LEFT(RIGHT(CONCATENATE("000",FTG_Data1920!A497),6),3),"-",(RIGHT(RIGHT(CONCATENATE("000",FTG_Data1920!A497),6),3)))</f>
        <v>101-810</v>
      </c>
      <c r="C497" s="105">
        <v>10532</v>
      </c>
      <c r="D497" s="105">
        <v>10225</v>
      </c>
    </row>
    <row r="498" spans="1:4" ht="14.5">
      <c r="A498" t="s">
        <v>8010</v>
      </c>
      <c r="B498" s="380" t="str">
        <f>CONCATENATE(LEFT(RIGHT(CONCATENATE("000",FTG_Data1920!A498),6),3),"-",(RIGHT(RIGHT(CONCATENATE("000",FTG_Data1920!A498),6),3)))</f>
        <v>101-811</v>
      </c>
      <c r="C498" s="105">
        <v>11849</v>
      </c>
      <c r="D498" s="105">
        <v>13639</v>
      </c>
    </row>
    <row r="499" spans="1:4" ht="14.5">
      <c r="A499" t="s">
        <v>8011</v>
      </c>
      <c r="B499" s="380" t="str">
        <f>CONCATENATE(LEFT(RIGHT(CONCATENATE("000",FTG_Data1920!A499),6),3),"-",(RIGHT(RIGHT(CONCATENATE("000",FTG_Data1920!A499),6),3)))</f>
        <v>101-814</v>
      </c>
      <c r="C499" s="105">
        <v>10533</v>
      </c>
      <c r="D499" s="105">
        <v>10226</v>
      </c>
    </row>
    <row r="500" spans="1:4" ht="14.5">
      <c r="A500" t="s">
        <v>8012</v>
      </c>
      <c r="B500" s="380" t="str">
        <f>CONCATENATE(LEFT(RIGHT(CONCATENATE("000",FTG_Data1920!A500),6),3),"-",(RIGHT(RIGHT(CONCATENATE("000",FTG_Data1920!A500),6),3)))</f>
        <v>101-815</v>
      </c>
      <c r="C500" s="105">
        <v>10784</v>
      </c>
      <c r="D500" s="105">
        <v>10470</v>
      </c>
    </row>
    <row r="501" spans="1:4" ht="14.5">
      <c r="A501" t="s">
        <v>8013</v>
      </c>
      <c r="B501" s="380" t="str">
        <f>CONCATENATE(LEFT(RIGHT(CONCATENATE("000",FTG_Data1920!A501),6),3),"-",(RIGHT(RIGHT(CONCATENATE("000",FTG_Data1920!A501),6),3)))</f>
        <v>101-819</v>
      </c>
      <c r="C501" s="105">
        <v>10901</v>
      </c>
      <c r="D501" s="105">
        <v>10584</v>
      </c>
    </row>
    <row r="502" spans="1:4" ht="14.5">
      <c r="A502" t="s">
        <v>8014</v>
      </c>
      <c r="B502" s="380" t="str">
        <f>CONCATENATE(LEFT(RIGHT(CONCATENATE("000",FTG_Data1920!A502),6),3),"-",(RIGHT(RIGHT(CONCATENATE("000",FTG_Data1920!A502),6),3)))</f>
        <v>101-821</v>
      </c>
      <c r="C502" s="105">
        <v>11842</v>
      </c>
      <c r="D502" s="105">
        <v>11498</v>
      </c>
    </row>
    <row r="503" spans="1:4" ht="14.5">
      <c r="A503" t="s">
        <v>8015</v>
      </c>
      <c r="B503" s="380" t="str">
        <f>CONCATENATE(LEFT(RIGHT(CONCATENATE("000",FTG_Data1920!A503),6),3),"-",(RIGHT(RIGHT(CONCATENATE("000",FTG_Data1920!A503),6),3)))</f>
        <v>101-828</v>
      </c>
      <c r="C503" s="105">
        <v>10661</v>
      </c>
      <c r="D503" s="105">
        <v>10350</v>
      </c>
    </row>
    <row r="504" spans="1:4" ht="14.5">
      <c r="A504" t="s">
        <v>8016</v>
      </c>
      <c r="B504" s="380" t="str">
        <f>CONCATENATE(LEFT(RIGHT(CONCATENATE("000",FTG_Data1920!A504),6),3),"-",(RIGHT(RIGHT(CONCATENATE("000",FTG_Data1920!A504),6),3)))</f>
        <v>101-837</v>
      </c>
      <c r="C504" s="105">
        <v>10274</v>
      </c>
      <c r="D504" s="105">
        <v>9975</v>
      </c>
    </row>
    <row r="505" spans="1:4" ht="14.5">
      <c r="A505" t="s">
        <v>8017</v>
      </c>
      <c r="B505" s="380" t="str">
        <f>CONCATENATE(LEFT(RIGHT(CONCATENATE("000",FTG_Data1920!A505),6),3),"-",(RIGHT(RIGHT(CONCATENATE("000",FTG_Data1920!A505),6),3)))</f>
        <v>101-838</v>
      </c>
      <c r="C505" s="105">
        <v>11070</v>
      </c>
      <c r="D505" s="105">
        <v>10748</v>
      </c>
    </row>
    <row r="506" spans="1:4" ht="14.5">
      <c r="A506" t="s">
        <v>8018</v>
      </c>
      <c r="B506" s="380" t="str">
        <f>CONCATENATE(LEFT(RIGHT(CONCATENATE("000",FTG_Data1920!A506),6),3),"-",(RIGHT(RIGHT(CONCATENATE("000",FTG_Data1920!A506),6),3)))</f>
        <v>101-840</v>
      </c>
      <c r="C506" s="105">
        <v>10640</v>
      </c>
      <c r="D506" s="105">
        <v>10330</v>
      </c>
    </row>
    <row r="507" spans="1:4" ht="14.5">
      <c r="A507" t="s">
        <v>8019</v>
      </c>
      <c r="B507" s="380" t="str">
        <f>CONCATENATE(LEFT(RIGHT(CONCATENATE("000",FTG_Data1920!A507),6),3),"-",(RIGHT(RIGHT(CONCATENATE("000",FTG_Data1920!A507),6),3)))</f>
        <v>101-842</v>
      </c>
      <c r="C507" s="105">
        <v>11335</v>
      </c>
      <c r="D507" s="105">
        <v>11005</v>
      </c>
    </row>
    <row r="508" spans="1:4" ht="14.5">
      <c r="A508" t="s">
        <v>8020</v>
      </c>
      <c r="B508" s="380" t="str">
        <f>CONCATENATE(LEFT(RIGHT(CONCATENATE("000",FTG_Data1920!A508),6),3),"-",(RIGHT(RIGHT(CONCATENATE("000",FTG_Data1920!A508),6),3)))</f>
        <v>101-845</v>
      </c>
      <c r="C508" s="105">
        <v>10659</v>
      </c>
      <c r="D508" s="105">
        <v>10348</v>
      </c>
    </row>
    <row r="509" spans="1:4" ht="14.5">
      <c r="A509" t="s">
        <v>8021</v>
      </c>
      <c r="B509" s="380" t="str">
        <f>CONCATENATE(LEFT(RIGHT(CONCATENATE("000",FTG_Data1920!A509),6),3),"-",(RIGHT(RIGHT(CONCATENATE("000",FTG_Data1920!A509),6),3)))</f>
        <v>101-846</v>
      </c>
      <c r="C509" s="105">
        <v>10827</v>
      </c>
      <c r="D509" s="105">
        <v>10512</v>
      </c>
    </row>
    <row r="510" spans="1:4" ht="14.5">
      <c r="A510" t="s">
        <v>8022</v>
      </c>
      <c r="B510" s="380" t="str">
        <f>CONCATENATE(LEFT(RIGHT(CONCATENATE("000",FTG_Data1920!A510),6),3),"-",(RIGHT(RIGHT(CONCATENATE("000",FTG_Data1920!A510),6),3)))</f>
        <v>101-847</v>
      </c>
      <c r="C510" s="105">
        <v>10178</v>
      </c>
      <c r="D510" s="105">
        <v>9882</v>
      </c>
    </row>
    <row r="511" spans="1:4" ht="14.5">
      <c r="A511" t="s">
        <v>8023</v>
      </c>
      <c r="B511" s="380" t="str">
        <f>CONCATENATE(LEFT(RIGHT(CONCATENATE("000",FTG_Data1920!A511),6),3),"-",(RIGHT(RIGHT(CONCATENATE("000",FTG_Data1920!A511),6),3)))</f>
        <v>101-849</v>
      </c>
      <c r="C511" s="105">
        <v>10320</v>
      </c>
      <c r="D511" s="105">
        <v>10019</v>
      </c>
    </row>
    <row r="512" spans="1:4" ht="14.5">
      <c r="A512" t="s">
        <v>8024</v>
      </c>
      <c r="B512" s="380" t="str">
        <f>CONCATENATE(LEFT(RIGHT(CONCATENATE("000",FTG_Data1920!A512),6),3),"-",(RIGHT(RIGHT(CONCATENATE("000",FTG_Data1920!A512),6),3)))</f>
        <v>101-853</v>
      </c>
      <c r="C512" s="105">
        <v>11627</v>
      </c>
      <c r="D512" s="105">
        <v>11289</v>
      </c>
    </row>
    <row r="513" spans="1:4" ht="14.5">
      <c r="A513" t="s">
        <v>8025</v>
      </c>
      <c r="B513" s="380" t="str">
        <f>CONCATENATE(LEFT(RIGHT(CONCATENATE("000",FTG_Data1920!A513),6),3),"-",(RIGHT(RIGHT(CONCATENATE("000",FTG_Data1920!A513),6),3)))</f>
        <v>101-855</v>
      </c>
      <c r="C513" s="105">
        <v>10230</v>
      </c>
      <c r="D513" s="105">
        <v>9932</v>
      </c>
    </row>
    <row r="514" spans="1:4" ht="14.5">
      <c r="A514" t="s">
        <v>8026</v>
      </c>
      <c r="B514" s="380" t="str">
        <f>CONCATENATE(LEFT(RIGHT(CONCATENATE("000",FTG_Data1920!A514),6),3),"-",(RIGHT(RIGHT(CONCATENATE("000",FTG_Data1920!A514),6),3)))</f>
        <v>101-856</v>
      </c>
      <c r="C514" s="105">
        <v>10726</v>
      </c>
      <c r="D514" s="105">
        <v>10414</v>
      </c>
    </row>
    <row r="515" spans="1:4" ht="14.5">
      <c r="A515" t="s">
        <v>8027</v>
      </c>
      <c r="B515" s="380" t="str">
        <f>CONCATENATE(LEFT(RIGHT(CONCATENATE("000",FTG_Data1920!A515),6),3),"-",(RIGHT(RIGHT(CONCATENATE("000",FTG_Data1920!A515),6),3)))</f>
        <v>101-858</v>
      </c>
      <c r="C515" s="105">
        <v>10178</v>
      </c>
      <c r="D515" s="105">
        <v>9881</v>
      </c>
    </row>
    <row r="516" spans="1:4" ht="14.5">
      <c r="A516" t="s">
        <v>8028</v>
      </c>
      <c r="B516" s="380" t="str">
        <f>CONCATENATE(LEFT(RIGHT(CONCATENATE("000",FTG_Data1920!A516),6),3),"-",(RIGHT(RIGHT(CONCATENATE("000",FTG_Data1920!A516),6),3)))</f>
        <v>101-859</v>
      </c>
      <c r="C516" s="105">
        <v>10639</v>
      </c>
      <c r="D516" s="105">
        <v>10329</v>
      </c>
    </row>
    <row r="517" spans="1:4" ht="14.5">
      <c r="A517" t="s">
        <v>8029</v>
      </c>
      <c r="B517" s="380" t="str">
        <f>CONCATENATE(LEFT(RIGHT(CONCATENATE("000",FTG_Data1920!A517),6),3),"-",(RIGHT(RIGHT(CONCATENATE("000",FTG_Data1920!A517),6),3)))</f>
        <v>101-861</v>
      </c>
      <c r="C517" s="105">
        <v>11092</v>
      </c>
      <c r="D517" s="105">
        <v>10769</v>
      </c>
    </row>
    <row r="518" spans="1:4" ht="14.5">
      <c r="A518" t="s">
        <v>8030</v>
      </c>
      <c r="B518" s="380" t="str">
        <f>CONCATENATE(LEFT(RIGHT(CONCATENATE("000",FTG_Data1920!A518),6),3),"-",(RIGHT(RIGHT(CONCATENATE("000",FTG_Data1920!A518),6),3)))</f>
        <v>101-862</v>
      </c>
      <c r="C518" s="105">
        <v>10013</v>
      </c>
      <c r="D518" s="105">
        <v>9721</v>
      </c>
    </row>
    <row r="519" spans="1:4" ht="14.5">
      <c r="A519" t="s">
        <v>8031</v>
      </c>
      <c r="B519" s="380" t="str">
        <f>CONCATENATE(LEFT(RIGHT(CONCATENATE("000",FTG_Data1920!A519),6),3),"-",(RIGHT(RIGHT(CONCATENATE("000",FTG_Data1920!A519),6),3)))</f>
        <v>101-864</v>
      </c>
      <c r="C519" s="105">
        <v>10967</v>
      </c>
      <c r="D519" s="105">
        <v>10647</v>
      </c>
    </row>
    <row r="520" spans="1:4" ht="14.5">
      <c r="A520" t="s">
        <v>8032</v>
      </c>
      <c r="B520" s="380" t="str">
        <f>CONCATENATE(LEFT(RIGHT(CONCATENATE("000",FTG_Data1920!A520),6),3),"-",(RIGHT(RIGHT(CONCATENATE("000",FTG_Data1920!A520),6),3)))</f>
        <v>101-868</v>
      </c>
      <c r="C520" s="105">
        <v>11490</v>
      </c>
      <c r="D520" s="105">
        <v>11155</v>
      </c>
    </row>
    <row r="521" spans="1:4" ht="14.5">
      <c r="A521" t="s">
        <v>8033</v>
      </c>
      <c r="B521" s="380" t="str">
        <f>CONCATENATE(LEFT(RIGHT(CONCATENATE("000",FTG_Data1920!A521),6),3),"-",(RIGHT(RIGHT(CONCATENATE("000",FTG_Data1920!A521),6),3)))</f>
        <v>101-870</v>
      </c>
      <c r="C521" s="105">
        <v>9931</v>
      </c>
      <c r="D521" s="105">
        <v>9641</v>
      </c>
    </row>
    <row r="522" spans="1:4" ht="14.5">
      <c r="A522" t="s">
        <v>8034</v>
      </c>
      <c r="B522" s="380" t="str">
        <f>CONCATENATE(LEFT(RIGHT(CONCATENATE("000",FTG_Data1920!A522),6),3),"-",(RIGHT(RIGHT(CONCATENATE("000",FTG_Data1920!A522),6),3)))</f>
        <v>101-871</v>
      </c>
      <c r="C522" s="105">
        <v>11849</v>
      </c>
      <c r="D522" s="105">
        <v>11772</v>
      </c>
    </row>
    <row r="523" spans="1:4" ht="14.5">
      <c r="A523" t="s">
        <v>8035</v>
      </c>
      <c r="B523" s="380" t="str">
        <f>CONCATENATE(LEFT(RIGHT(CONCATENATE("000",FTG_Data1920!A523),6),3),"-",(RIGHT(RIGHT(CONCATENATE("000",FTG_Data1920!A523),6),3)))</f>
        <v>101-872</v>
      </c>
      <c r="C523" s="105">
        <v>10508</v>
      </c>
      <c r="D523" s="105">
        <v>10202</v>
      </c>
    </row>
    <row r="524" spans="1:4" ht="14.5">
      <c r="A524" t="s">
        <v>8036</v>
      </c>
      <c r="B524" s="380" t="str">
        <f>CONCATENATE(LEFT(RIGHT(CONCATENATE("000",FTG_Data1920!A524),6),3),"-",(RIGHT(RIGHT(CONCATENATE("000",FTG_Data1920!A524),6),3)))</f>
        <v>101-873</v>
      </c>
      <c r="C524" s="105">
        <v>10080</v>
      </c>
      <c r="D524" s="105">
        <v>9787</v>
      </c>
    </row>
    <row r="525" spans="1:4" ht="14.5">
      <c r="A525" t="s">
        <v>8037</v>
      </c>
      <c r="B525" s="380" t="str">
        <f>CONCATENATE(LEFT(RIGHT(CONCATENATE("000",FTG_Data1920!A525),6),3),"-",(RIGHT(RIGHT(CONCATENATE("000",FTG_Data1920!A525),6),3)))</f>
        <v>101-874</v>
      </c>
      <c r="C525" s="105">
        <v>9433</v>
      </c>
      <c r="D525" s="105">
        <v>9158</v>
      </c>
    </row>
    <row r="526" spans="1:4" ht="14.5">
      <c r="A526" t="s">
        <v>8038</v>
      </c>
      <c r="B526" s="380" t="str">
        <f>CONCATENATE(LEFT(RIGHT(CONCATENATE("000",FTG_Data1920!A526),6),3),"-",(RIGHT(RIGHT(CONCATENATE("000",FTG_Data1920!A526),6),3)))</f>
        <v>101-875</v>
      </c>
      <c r="C526" s="105">
        <v>11055</v>
      </c>
      <c r="D526" s="105">
        <v>10733</v>
      </c>
    </row>
    <row r="527" spans="1:4" ht="14.5">
      <c r="A527" t="s">
        <v>8039</v>
      </c>
      <c r="B527" s="380" t="str">
        <f>CONCATENATE(LEFT(RIGHT(CONCATENATE("000",FTG_Data1920!A527),6),3),"-",(RIGHT(RIGHT(CONCATENATE("000",FTG_Data1920!A527),6),3)))</f>
        <v>101-876</v>
      </c>
      <c r="C527" s="105">
        <v>10020</v>
      </c>
      <c r="D527" s="105">
        <v>9729</v>
      </c>
    </row>
    <row r="528" spans="1:4" ht="14.5">
      <c r="A528" t="s">
        <v>3019</v>
      </c>
      <c r="B528" s="380" t="str">
        <f>CONCATENATE(LEFT(RIGHT(CONCATENATE("000",FTG_Data1920!A528),6),3),"-",(RIGHT(RIGHT(CONCATENATE("000",FTG_Data1920!A528),6),3)))</f>
        <v>101-902</v>
      </c>
      <c r="C528" s="105">
        <v>9238</v>
      </c>
      <c r="D528" s="105">
        <v>8969</v>
      </c>
    </row>
    <row r="529" spans="1:4" ht="14.5">
      <c r="A529" t="s">
        <v>3020</v>
      </c>
      <c r="B529" s="380" t="str">
        <f>CONCATENATE(LEFT(RIGHT(CONCATENATE("000",FTG_Data1920!A529),6),3),"-",(RIGHT(RIGHT(CONCATENATE("000",FTG_Data1920!A529),6),3)))</f>
        <v>101-903</v>
      </c>
      <c r="C529" s="105">
        <v>9712</v>
      </c>
      <c r="D529" s="105">
        <v>9429</v>
      </c>
    </row>
    <row r="530" spans="1:4" ht="14.5">
      <c r="A530" t="s">
        <v>3021</v>
      </c>
      <c r="B530" s="380" t="str">
        <f>CONCATENATE(LEFT(RIGHT(CONCATENATE("000",FTG_Data1920!A530),6),3),"-",(RIGHT(RIGHT(CONCATENATE("000",FTG_Data1920!A530),6),3)))</f>
        <v>101-905</v>
      </c>
      <c r="C530" s="105">
        <v>9071</v>
      </c>
      <c r="D530" s="105">
        <v>8807</v>
      </c>
    </row>
    <row r="531" spans="1:4" ht="14.5">
      <c r="A531" t="s">
        <v>3022</v>
      </c>
      <c r="B531" s="380" t="str">
        <f>CONCATENATE(LEFT(RIGHT(CONCATENATE("000",FTG_Data1920!A531),6),3),"-",(RIGHT(RIGHT(CONCATENATE("000",FTG_Data1920!A531),6),3)))</f>
        <v>101-906</v>
      </c>
      <c r="C531" s="105">
        <v>9246</v>
      </c>
      <c r="D531" s="105">
        <v>8977</v>
      </c>
    </row>
    <row r="532" spans="1:4" ht="14.5">
      <c r="A532" t="s">
        <v>5066</v>
      </c>
      <c r="B532" s="380" t="str">
        <f>CONCATENATE(LEFT(RIGHT(CONCATENATE("000",FTG_Data1920!A532),6),3),"-",(RIGHT(RIGHT(CONCATENATE("000",FTG_Data1920!A532),6),3)))</f>
        <v>101-907</v>
      </c>
      <c r="C532" s="105">
        <v>8109</v>
      </c>
      <c r="D532" s="105">
        <v>7873</v>
      </c>
    </row>
    <row r="533" spans="1:4" ht="14.5">
      <c r="A533" t="s">
        <v>5067</v>
      </c>
      <c r="B533" s="380" t="str">
        <f>CONCATENATE(LEFT(RIGHT(CONCATENATE("000",FTG_Data1920!A533),6),3),"-",(RIGHT(RIGHT(CONCATENATE("000",FTG_Data1920!A533),6),3)))</f>
        <v>101-908</v>
      </c>
      <c r="C533" s="105">
        <v>11198</v>
      </c>
      <c r="D533" s="105">
        <v>10872</v>
      </c>
    </row>
    <row r="534" spans="1:4" ht="14.5">
      <c r="A534" t="s">
        <v>3023</v>
      </c>
      <c r="B534" s="380" t="str">
        <f>CONCATENATE(LEFT(RIGHT(CONCATENATE("000",FTG_Data1920!A534),6),3),"-",(RIGHT(RIGHT(CONCATENATE("000",FTG_Data1920!A534),6),3)))</f>
        <v>101-910</v>
      </c>
      <c r="C534" s="105">
        <v>10835</v>
      </c>
      <c r="D534" s="105">
        <v>10520</v>
      </c>
    </row>
    <row r="535" spans="1:4" ht="14.5">
      <c r="A535" t="s">
        <v>5068</v>
      </c>
      <c r="B535" s="380" t="str">
        <f>CONCATENATE(LEFT(RIGHT(CONCATENATE("000",FTG_Data1920!A535),6),3),"-",(RIGHT(RIGHT(CONCATENATE("000",FTG_Data1920!A535),6),3)))</f>
        <v>101-911</v>
      </c>
      <c r="C535" s="105">
        <v>10098</v>
      </c>
      <c r="D535" s="105">
        <v>9804</v>
      </c>
    </row>
    <row r="536" spans="1:4" ht="14.5">
      <c r="A536" t="s">
        <v>5069</v>
      </c>
      <c r="B536" s="380" t="str">
        <f>CONCATENATE(LEFT(RIGHT(CONCATENATE("000",FTG_Data1920!A536),6),3),"-",(RIGHT(RIGHT(CONCATENATE("000",FTG_Data1920!A536),6),3)))</f>
        <v>101-912</v>
      </c>
      <c r="C536" s="105">
        <v>9101</v>
      </c>
      <c r="D536" s="105">
        <v>8836</v>
      </c>
    </row>
    <row r="537" spans="1:4" ht="14.5">
      <c r="A537" t="s">
        <v>3024</v>
      </c>
      <c r="B537" s="380" t="str">
        <f>CONCATENATE(LEFT(RIGHT(CONCATENATE("000",FTG_Data1920!A537),6),3),"-",(RIGHT(RIGHT(CONCATENATE("000",FTG_Data1920!A537),6),3)))</f>
        <v>101-913</v>
      </c>
      <c r="C537" s="105">
        <v>9206</v>
      </c>
      <c r="D537" s="105">
        <v>8938</v>
      </c>
    </row>
    <row r="538" spans="1:4" ht="14.5">
      <c r="A538" t="s">
        <v>3025</v>
      </c>
      <c r="B538" s="380" t="str">
        <f>CONCATENATE(LEFT(RIGHT(CONCATENATE("000",FTG_Data1920!A538),6),3),"-",(RIGHT(RIGHT(CONCATENATE("000",FTG_Data1920!A538),6),3)))</f>
        <v>101-914</v>
      </c>
      <c r="C538" s="105">
        <v>9171</v>
      </c>
      <c r="D538" s="105">
        <v>8904</v>
      </c>
    </row>
    <row r="539" spans="1:4" ht="14.5">
      <c r="A539" t="s">
        <v>3026</v>
      </c>
      <c r="B539" s="380" t="str">
        <f>CONCATENATE(LEFT(RIGHT(CONCATENATE("000",FTG_Data1920!A539),6),3),"-",(RIGHT(RIGHT(CONCATENATE("000",FTG_Data1920!A539),6),3)))</f>
        <v>101-915</v>
      </c>
      <c r="C539" s="105">
        <v>8503</v>
      </c>
      <c r="D539" s="105">
        <v>8255</v>
      </c>
    </row>
    <row r="540" spans="1:4" ht="14.5">
      <c r="A540" t="s">
        <v>5070</v>
      </c>
      <c r="B540" s="380" t="str">
        <f>CONCATENATE(LEFT(RIGHT(CONCATENATE("000",FTG_Data1920!A540),6),3),"-",(RIGHT(RIGHT(CONCATENATE("000",FTG_Data1920!A540),6),3)))</f>
        <v>101-916</v>
      </c>
      <c r="C540" s="105">
        <v>8890</v>
      </c>
      <c r="D540" s="105">
        <v>8631</v>
      </c>
    </row>
    <row r="541" spans="1:4" ht="14.5">
      <c r="A541" t="s">
        <v>3027</v>
      </c>
      <c r="B541" s="380" t="str">
        <f>CONCATENATE(LEFT(RIGHT(CONCATENATE("000",FTG_Data1920!A541),6),3),"-",(RIGHT(RIGHT(CONCATENATE("000",FTG_Data1920!A541),6),3)))</f>
        <v>101-917</v>
      </c>
      <c r="C541" s="105">
        <v>9995</v>
      </c>
      <c r="D541" s="105">
        <v>9704</v>
      </c>
    </row>
    <row r="542" spans="1:4" ht="14.5">
      <c r="A542" t="s">
        <v>5071</v>
      </c>
      <c r="B542" s="380" t="str">
        <f>CONCATENATE(LEFT(RIGHT(CONCATENATE("000",FTG_Data1920!A542),6),3),"-",(RIGHT(RIGHT(CONCATENATE("000",FTG_Data1920!A542),6),3)))</f>
        <v>101-919</v>
      </c>
      <c r="C542" s="105">
        <v>9238</v>
      </c>
      <c r="D542" s="105">
        <v>8969</v>
      </c>
    </row>
    <row r="543" spans="1:4" ht="14.5">
      <c r="A543" t="s">
        <v>5072</v>
      </c>
      <c r="B543" s="380" t="str">
        <f>CONCATENATE(LEFT(RIGHT(CONCATENATE("000",FTG_Data1920!A543),6),3),"-",(RIGHT(RIGHT(CONCATENATE("000",FTG_Data1920!A543),6),3)))</f>
        <v>101-920</v>
      </c>
      <c r="C543" s="105">
        <v>8701</v>
      </c>
      <c r="D543" s="105">
        <v>8447</v>
      </c>
    </row>
    <row r="544" spans="1:4" ht="14.5">
      <c r="A544" t="s">
        <v>5073</v>
      </c>
      <c r="B544" s="380" t="str">
        <f>CONCATENATE(LEFT(RIGHT(CONCATENATE("000",FTG_Data1920!A544),6),3),"-",(RIGHT(RIGHT(CONCATENATE("000",FTG_Data1920!A544),6),3)))</f>
        <v>101-921</v>
      </c>
      <c r="C544" s="105">
        <v>8038</v>
      </c>
      <c r="D544" s="105">
        <v>7804</v>
      </c>
    </row>
    <row r="545" spans="1:4" ht="14.5">
      <c r="A545" t="s">
        <v>5074</v>
      </c>
      <c r="B545" s="380" t="str">
        <f>CONCATENATE(LEFT(RIGHT(CONCATENATE("000",FTG_Data1920!A545),6),3),"-",(RIGHT(RIGHT(CONCATENATE("000",FTG_Data1920!A545),6),3)))</f>
        <v>101-924</v>
      </c>
      <c r="C545" s="105">
        <v>10030</v>
      </c>
      <c r="D545" s="105">
        <v>9738</v>
      </c>
    </row>
    <row r="546" spans="1:4" ht="14.5">
      <c r="A546" t="s">
        <v>3028</v>
      </c>
      <c r="B546" s="380" t="str">
        <f>CONCATENATE(LEFT(RIGHT(CONCATENATE("000",FTG_Data1920!A546),6),3),"-",(RIGHT(RIGHT(CONCATENATE("000",FTG_Data1920!A546),6),3)))</f>
        <v>101-925</v>
      </c>
      <c r="C546" s="105">
        <v>9664</v>
      </c>
      <c r="D546" s="105">
        <v>9382</v>
      </c>
    </row>
    <row r="547" spans="1:4" ht="14.5">
      <c r="A547" t="s">
        <v>8508</v>
      </c>
      <c r="B547" s="380" t="str">
        <f>CONCATENATE(LEFT(RIGHT(CONCATENATE("000",FTG_Data1920!A547),6),3),"-",(RIGHT(RIGHT(CONCATENATE("000",FTG_Data1920!A547),6),3)))</f>
        <v>101-950</v>
      </c>
      <c r="C547" s="105">
        <v>11849</v>
      </c>
      <c r="D547" s="105">
        <v>0</v>
      </c>
    </row>
    <row r="548" spans="1:4" ht="14.5">
      <c r="A548" t="s">
        <v>5812</v>
      </c>
      <c r="B548" s="380" t="str">
        <f>CONCATENATE(LEFT(RIGHT(CONCATENATE("000",FTG_Data1920!A548),6),3),"-",(RIGHT(RIGHT(CONCATENATE("000",FTG_Data1920!A548),6),3)))</f>
        <v>102-901</v>
      </c>
      <c r="C548" s="105">
        <v>11849</v>
      </c>
      <c r="D548" s="105">
        <v>12264</v>
      </c>
    </row>
    <row r="549" spans="1:4" ht="14.5">
      <c r="A549" t="s">
        <v>5075</v>
      </c>
      <c r="B549" s="380" t="str">
        <f>CONCATENATE(LEFT(RIGHT(CONCATENATE("000",FTG_Data1920!A549),6),3),"-",(RIGHT(RIGHT(CONCATENATE("000",FTG_Data1920!A549),6),3)))</f>
        <v>102-902</v>
      </c>
      <c r="C549" s="105">
        <v>8537</v>
      </c>
      <c r="D549" s="105">
        <v>8288</v>
      </c>
    </row>
    <row r="550" spans="1:4" ht="14.5">
      <c r="A550" t="s">
        <v>5076</v>
      </c>
      <c r="B550" s="380" t="str">
        <f>CONCATENATE(LEFT(RIGHT(CONCATENATE("000",FTG_Data1920!A550),6),3),"-",(RIGHT(RIGHT(CONCATENATE("000",FTG_Data1920!A550),6),3)))</f>
        <v>102-903</v>
      </c>
      <c r="C550" s="105">
        <v>10178</v>
      </c>
      <c r="D550" s="105">
        <v>9882</v>
      </c>
    </row>
    <row r="551" spans="1:4" ht="14.5">
      <c r="A551" t="s">
        <v>5077</v>
      </c>
      <c r="B551" s="380" t="str">
        <f>CONCATENATE(LEFT(RIGHT(CONCATENATE("000",FTG_Data1920!A551),6),3),"-",(RIGHT(RIGHT(CONCATENATE("000",FTG_Data1920!A551),6),3)))</f>
        <v>102-904</v>
      </c>
      <c r="C551" s="105">
        <v>7547</v>
      </c>
      <c r="D551" s="105">
        <v>7328</v>
      </c>
    </row>
    <row r="552" spans="1:4" ht="14.5">
      <c r="A552" t="s">
        <v>5078</v>
      </c>
      <c r="B552" s="380" t="str">
        <f>CONCATENATE(LEFT(RIGHT(CONCATENATE("000",FTG_Data1920!A552),6),3),"-",(RIGHT(RIGHT(CONCATENATE("000",FTG_Data1920!A552),6),3)))</f>
        <v>102-905</v>
      </c>
      <c r="C552" s="105">
        <v>10786</v>
      </c>
      <c r="D552" s="105">
        <v>10472</v>
      </c>
    </row>
    <row r="553" spans="1:4" ht="14.5">
      <c r="A553" t="s">
        <v>5079</v>
      </c>
      <c r="B553" s="380" t="str">
        <f>CONCATENATE(LEFT(RIGHT(CONCATENATE("000",FTG_Data1920!A553),6),3),"-",(RIGHT(RIGHT(CONCATENATE("000",FTG_Data1920!A553),6),3)))</f>
        <v>102-906</v>
      </c>
      <c r="C553" s="105">
        <v>11849</v>
      </c>
      <c r="D553" s="105">
        <v>13543</v>
      </c>
    </row>
    <row r="554" spans="1:4" ht="14.5">
      <c r="A554" t="s">
        <v>5080</v>
      </c>
      <c r="B554" s="380" t="str">
        <f>CONCATENATE(LEFT(RIGHT(CONCATENATE("000",FTG_Data1920!A554),6),3),"-",(RIGHT(RIGHT(CONCATENATE("000",FTG_Data1920!A554),6),3)))</f>
        <v>103-901</v>
      </c>
      <c r="C554" s="105">
        <v>11849</v>
      </c>
      <c r="D554" s="105">
        <v>13320</v>
      </c>
    </row>
    <row r="555" spans="1:4" ht="14.5">
      <c r="A555" t="s">
        <v>5081</v>
      </c>
      <c r="B555" s="380" t="str">
        <f>CONCATENATE(LEFT(RIGHT(CONCATENATE("000",FTG_Data1920!A555),6),3),"-",(RIGHT(RIGHT(CONCATENATE("000",FTG_Data1920!A555),6),3)))</f>
        <v>103-902</v>
      </c>
      <c r="C555" s="105">
        <v>11849</v>
      </c>
      <c r="D555" s="105">
        <v>12356</v>
      </c>
    </row>
    <row r="556" spans="1:4" ht="14.5">
      <c r="A556" t="s">
        <v>3029</v>
      </c>
      <c r="B556" s="380" t="str">
        <f>CONCATENATE(LEFT(RIGHT(CONCATENATE("000",FTG_Data1920!A556),6),3),"-",(RIGHT(RIGHT(CONCATENATE("000",FTG_Data1920!A556),6),3)))</f>
        <v>104-901</v>
      </c>
      <c r="C556" s="105">
        <v>11849</v>
      </c>
      <c r="D556" s="105">
        <v>13069</v>
      </c>
    </row>
    <row r="557" spans="1:4" ht="14.5">
      <c r="A557" t="s">
        <v>5813</v>
      </c>
      <c r="B557" s="380" t="str">
        <f>CONCATENATE(LEFT(RIGHT(CONCATENATE("000",FTG_Data1920!A557),6),3),"-",(RIGHT(RIGHT(CONCATENATE("000",FTG_Data1920!A557),6),3)))</f>
        <v>104-903</v>
      </c>
      <c r="C557" s="105">
        <v>11849</v>
      </c>
      <c r="D557" s="105">
        <v>17719</v>
      </c>
    </row>
    <row r="558" spans="1:4" ht="14.5">
      <c r="A558" t="s">
        <v>5082</v>
      </c>
      <c r="B558" s="380" t="str">
        <f>CONCATENATE(LEFT(RIGHT(CONCATENATE("000",FTG_Data1920!A558),6),3),"-",(RIGHT(RIGHT(CONCATENATE("000",FTG_Data1920!A558),6),3)))</f>
        <v>104-907</v>
      </c>
      <c r="C558" s="105">
        <v>11849</v>
      </c>
      <c r="D558" s="105">
        <v>15967</v>
      </c>
    </row>
    <row r="559" spans="1:4" ht="14.5">
      <c r="A559" t="s">
        <v>8040</v>
      </c>
      <c r="B559" s="380" t="str">
        <f>CONCATENATE(LEFT(RIGHT(CONCATENATE("000",FTG_Data1920!A559),6),3),"-",(RIGHT(RIGHT(CONCATENATE("000",FTG_Data1920!A559),6),3)))</f>
        <v>105-801</v>
      </c>
      <c r="C559" s="105">
        <v>11388</v>
      </c>
      <c r="D559" s="105">
        <v>11056</v>
      </c>
    </row>
    <row r="560" spans="1:4" ht="14.5">
      <c r="A560" t="s">
        <v>8041</v>
      </c>
      <c r="B560" s="380" t="str">
        <f>CONCATENATE(LEFT(RIGHT(CONCATENATE("000",FTG_Data1920!A560),6),3),"-",(RIGHT(RIGHT(CONCATENATE("000",FTG_Data1920!A560),6),3)))</f>
        <v>105-802</v>
      </c>
      <c r="C560" s="105">
        <v>10914</v>
      </c>
      <c r="D560" s="105">
        <v>10596</v>
      </c>
    </row>
    <row r="561" spans="1:4" ht="14.5">
      <c r="A561" t="s">
        <v>8042</v>
      </c>
      <c r="B561" s="380" t="str">
        <f>CONCATENATE(LEFT(RIGHT(CONCATENATE("000",FTG_Data1920!A561),6),3),"-",(RIGHT(RIGHT(CONCATENATE("000",FTG_Data1920!A561),6),3)))</f>
        <v>105-803</v>
      </c>
      <c r="C561" s="105">
        <v>11849</v>
      </c>
      <c r="D561" s="105">
        <v>22583</v>
      </c>
    </row>
    <row r="562" spans="1:4" ht="14.5">
      <c r="A562" t="s">
        <v>5083</v>
      </c>
      <c r="B562" s="380" t="str">
        <f>CONCATENATE(LEFT(RIGHT(CONCATENATE("000",FTG_Data1920!A562),6),3),"-",(RIGHT(RIGHT(CONCATENATE("000",FTG_Data1920!A562),6),3)))</f>
        <v>105-902</v>
      </c>
      <c r="C562" s="105">
        <v>10096</v>
      </c>
      <c r="D562" s="105">
        <v>9802</v>
      </c>
    </row>
    <row r="563" spans="1:4" ht="14.5">
      <c r="A563" t="s">
        <v>3030</v>
      </c>
      <c r="B563" s="380" t="str">
        <f>CONCATENATE(LEFT(RIGHT(CONCATENATE("000",FTG_Data1920!A563),6),3),"-",(RIGHT(RIGHT(CONCATENATE("000",FTG_Data1920!A563),6),3)))</f>
        <v>105-904</v>
      </c>
      <c r="C563" s="105">
        <v>9052</v>
      </c>
      <c r="D563" s="105">
        <v>8789</v>
      </c>
    </row>
    <row r="564" spans="1:4" ht="14.5">
      <c r="A564" t="s">
        <v>5084</v>
      </c>
      <c r="B564" s="380" t="str">
        <f>CONCATENATE(LEFT(RIGHT(CONCATENATE("000",FTG_Data1920!A564),6),3),"-",(RIGHT(RIGHT(CONCATENATE("000",FTG_Data1920!A564),6),3)))</f>
        <v>105-905</v>
      </c>
      <c r="C564" s="105">
        <v>9207</v>
      </c>
      <c r="D564" s="105">
        <v>8939</v>
      </c>
    </row>
    <row r="565" spans="1:4" ht="14.5">
      <c r="A565" t="s">
        <v>3031</v>
      </c>
      <c r="B565" s="380" t="str">
        <f>CONCATENATE(LEFT(RIGHT(CONCATENATE("000",FTG_Data1920!A565),6),3),"-",(RIGHT(RIGHT(CONCATENATE("000",FTG_Data1920!A565),6),3)))</f>
        <v>105-906</v>
      </c>
      <c r="C565" s="105">
        <v>8764</v>
      </c>
      <c r="D565" s="105">
        <v>8509</v>
      </c>
    </row>
    <row r="566" spans="1:4" ht="14.5">
      <c r="A566" t="s">
        <v>5085</v>
      </c>
      <c r="B566" s="380" t="str">
        <f>CONCATENATE(LEFT(RIGHT(CONCATENATE("000",FTG_Data1920!A566),6),3),"-",(RIGHT(RIGHT(CONCATENATE("000",FTG_Data1920!A566),6),3)))</f>
        <v>106-901</v>
      </c>
      <c r="C566" s="105">
        <v>9849</v>
      </c>
      <c r="D566" s="105">
        <v>9562</v>
      </c>
    </row>
    <row r="567" spans="1:4" ht="14.5">
      <c r="A567" t="s">
        <v>5086</v>
      </c>
      <c r="B567" s="380" t="str">
        <f>CONCATENATE(LEFT(RIGHT(CONCATENATE("000",FTG_Data1920!A567),6),3),"-",(RIGHT(RIGHT(CONCATENATE("000",FTG_Data1920!A567),6),3)))</f>
        <v>107-901</v>
      </c>
      <c r="C567" s="105">
        <v>9522</v>
      </c>
      <c r="D567" s="105">
        <v>9245</v>
      </c>
    </row>
    <row r="568" spans="1:4" ht="14.5">
      <c r="A568" t="s">
        <v>5087</v>
      </c>
      <c r="B568" s="380" t="str">
        <f>CONCATENATE(LEFT(RIGHT(CONCATENATE("000",FTG_Data1920!A568),6),3),"-",(RIGHT(RIGHT(CONCATENATE("000",FTG_Data1920!A568),6),3)))</f>
        <v>107-902</v>
      </c>
      <c r="C568" s="105">
        <v>9347</v>
      </c>
      <c r="D568" s="105">
        <v>9075</v>
      </c>
    </row>
    <row r="569" spans="1:4" ht="14.5">
      <c r="A569" t="s">
        <v>5088</v>
      </c>
      <c r="B569" s="380" t="str">
        <f>CONCATENATE(LEFT(RIGHT(CONCATENATE("000",FTG_Data1920!A569),6),3),"-",(RIGHT(RIGHT(CONCATENATE("000",FTG_Data1920!A569),6),3)))</f>
        <v>107-904</v>
      </c>
      <c r="C569" s="105">
        <v>11100</v>
      </c>
      <c r="D569" s="105">
        <v>10777</v>
      </c>
    </row>
    <row r="570" spans="1:4" ht="14.5">
      <c r="A570" t="s">
        <v>5089</v>
      </c>
      <c r="B570" s="380" t="str">
        <f>CONCATENATE(LEFT(RIGHT(CONCATENATE("000",FTG_Data1920!A570),6),3),"-",(RIGHT(RIGHT(CONCATENATE("000",FTG_Data1920!A570),6),3)))</f>
        <v>107-905</v>
      </c>
      <c r="C570" s="105">
        <v>9308</v>
      </c>
      <c r="D570" s="105">
        <v>9037</v>
      </c>
    </row>
    <row r="571" spans="1:4" ht="14.5">
      <c r="A571" t="s">
        <v>5090</v>
      </c>
      <c r="B571" s="380" t="str">
        <f>CONCATENATE(LEFT(RIGHT(CONCATENATE("000",FTG_Data1920!A571),6),3),"-",(RIGHT(RIGHT(CONCATENATE("000",FTG_Data1920!A571),6),3)))</f>
        <v>107-906</v>
      </c>
      <c r="C571" s="105">
        <v>9849</v>
      </c>
      <c r="D571" s="105">
        <v>9562</v>
      </c>
    </row>
    <row r="572" spans="1:4" ht="14.5">
      <c r="A572" t="s">
        <v>3032</v>
      </c>
      <c r="B572" s="380" t="str">
        <f>CONCATENATE(LEFT(RIGHT(CONCATENATE("000",FTG_Data1920!A572),6),3),"-",(RIGHT(RIGHT(CONCATENATE("000",FTG_Data1920!A572),6),3)))</f>
        <v>107-907</v>
      </c>
      <c r="C572" s="105">
        <v>11849</v>
      </c>
      <c r="D572" s="105">
        <v>13149</v>
      </c>
    </row>
    <row r="573" spans="1:4" ht="14.5">
      <c r="A573" t="s">
        <v>4087</v>
      </c>
      <c r="B573" s="380" t="str">
        <f>CONCATENATE(LEFT(RIGHT(CONCATENATE("000",FTG_Data1920!A573),6),3),"-",(RIGHT(RIGHT(CONCATENATE("000",FTG_Data1920!A573),6),3)))</f>
        <v>107-908</v>
      </c>
      <c r="C573" s="105">
        <v>11849</v>
      </c>
      <c r="D573" s="105">
        <v>11831</v>
      </c>
    </row>
    <row r="574" spans="1:4" ht="14.5">
      <c r="A574" t="s">
        <v>5091</v>
      </c>
      <c r="B574" s="380" t="str">
        <f>CONCATENATE(LEFT(RIGHT(CONCATENATE("000",FTG_Data1920!A574),6),3),"-",(RIGHT(RIGHT(CONCATENATE("000",FTG_Data1920!A574),6),3)))</f>
        <v>107-910</v>
      </c>
      <c r="C574" s="105">
        <v>11008</v>
      </c>
      <c r="D574" s="105">
        <v>10688</v>
      </c>
    </row>
    <row r="575" spans="1:4" ht="14.5">
      <c r="A575" t="s">
        <v>8043</v>
      </c>
      <c r="B575" s="380" t="str">
        <f>CONCATENATE(LEFT(RIGHT(CONCATENATE("000",FTG_Data1920!A575),6),3),"-",(RIGHT(RIGHT(CONCATENATE("000",FTG_Data1920!A575),6),3)))</f>
        <v>108-802</v>
      </c>
      <c r="C575" s="105">
        <v>10906</v>
      </c>
      <c r="D575" s="105">
        <v>10588</v>
      </c>
    </row>
    <row r="576" spans="1:4" ht="14.5">
      <c r="A576" t="s">
        <v>8044</v>
      </c>
      <c r="B576" s="380" t="str">
        <f>CONCATENATE(LEFT(RIGHT(CONCATENATE("000",FTG_Data1920!A576),6),3),"-",(RIGHT(RIGHT(CONCATENATE("000",FTG_Data1920!A576),6),3)))</f>
        <v>108-804</v>
      </c>
      <c r="C576" s="105">
        <v>11403</v>
      </c>
      <c r="D576" s="105">
        <v>11071</v>
      </c>
    </row>
    <row r="577" spans="1:4" ht="14.5">
      <c r="A577" t="s">
        <v>8045</v>
      </c>
      <c r="B577" s="380" t="str">
        <f>CONCATENATE(LEFT(RIGHT(CONCATENATE("000",FTG_Data1920!A577),6),3),"-",(RIGHT(RIGHT(CONCATENATE("000",FTG_Data1920!A577),6),3)))</f>
        <v>108-807</v>
      </c>
      <c r="C577" s="105">
        <v>10518</v>
      </c>
      <c r="D577" s="105">
        <v>10211</v>
      </c>
    </row>
    <row r="578" spans="1:4" ht="14.5">
      <c r="A578" t="s">
        <v>8046</v>
      </c>
      <c r="B578" s="380" t="str">
        <f>CONCATENATE(LEFT(RIGHT(CONCATENATE("000",FTG_Data1920!A578),6),3),"-",(RIGHT(RIGHT(CONCATENATE("000",FTG_Data1920!A578),6),3)))</f>
        <v>108-808</v>
      </c>
      <c r="C578" s="105">
        <v>10596</v>
      </c>
      <c r="D578" s="105">
        <v>10288</v>
      </c>
    </row>
    <row r="579" spans="1:4" ht="14.5">
      <c r="A579" t="s">
        <v>8047</v>
      </c>
      <c r="B579" s="380" t="str">
        <f>CONCATENATE(LEFT(RIGHT(CONCATENATE("000",FTG_Data1920!A579),6),3),"-",(RIGHT(RIGHT(CONCATENATE("000",FTG_Data1920!A579),6),3)))</f>
        <v>108-809</v>
      </c>
      <c r="C579" s="105">
        <v>10942</v>
      </c>
      <c r="D579" s="105">
        <v>10623</v>
      </c>
    </row>
    <row r="580" spans="1:4" ht="14.5">
      <c r="A580" t="s">
        <v>3033</v>
      </c>
      <c r="B580" s="380" t="str">
        <f>CONCATENATE(LEFT(RIGHT(CONCATENATE("000",FTG_Data1920!A580),6),3),"-",(RIGHT(RIGHT(CONCATENATE("000",FTG_Data1920!A580),6),3)))</f>
        <v>108-902</v>
      </c>
      <c r="C580" s="105">
        <v>10470</v>
      </c>
      <c r="D580" s="105">
        <v>10165</v>
      </c>
    </row>
    <row r="581" spans="1:4" ht="14.5">
      <c r="A581" t="s">
        <v>3034</v>
      </c>
      <c r="B581" s="380" t="str">
        <f>CONCATENATE(LEFT(RIGHT(CONCATENATE("000",FTG_Data1920!A581),6),3),"-",(RIGHT(RIGHT(CONCATENATE("000",FTG_Data1920!A581),6),3)))</f>
        <v>108-903</v>
      </c>
      <c r="C581" s="105">
        <v>10266</v>
      </c>
      <c r="D581" s="105">
        <v>9967</v>
      </c>
    </row>
    <row r="582" spans="1:4" ht="14.5">
      <c r="A582" t="s">
        <v>3035</v>
      </c>
      <c r="B582" s="380" t="str">
        <f>CONCATENATE(LEFT(RIGHT(CONCATENATE("000",FTG_Data1920!A582),6),3),"-",(RIGHT(RIGHT(CONCATENATE("000",FTG_Data1920!A582),6),3)))</f>
        <v>108-904</v>
      </c>
      <c r="C582" s="105">
        <v>9785</v>
      </c>
      <c r="D582" s="105">
        <v>9500</v>
      </c>
    </row>
    <row r="583" spans="1:4" ht="14.5">
      <c r="A583" t="s">
        <v>3036</v>
      </c>
      <c r="B583" s="380" t="str">
        <f>CONCATENATE(LEFT(RIGHT(CONCATENATE("000",FTG_Data1920!A583),6),3),"-",(RIGHT(RIGHT(CONCATENATE("000",FTG_Data1920!A583),6),3)))</f>
        <v>108-905</v>
      </c>
      <c r="C583" s="105">
        <v>11009</v>
      </c>
      <c r="D583" s="105">
        <v>10689</v>
      </c>
    </row>
    <row r="584" spans="1:4" ht="14.5">
      <c r="A584" t="s">
        <v>3037</v>
      </c>
      <c r="B584" s="380" t="str">
        <f>CONCATENATE(LEFT(RIGHT(CONCATENATE("000",FTG_Data1920!A584),6),3),"-",(RIGHT(RIGHT(CONCATENATE("000",FTG_Data1920!A584),6),3)))</f>
        <v>108-906</v>
      </c>
      <c r="C584" s="105">
        <v>9994</v>
      </c>
      <c r="D584" s="105">
        <v>9703</v>
      </c>
    </row>
    <row r="585" spans="1:4" ht="14.5">
      <c r="A585" t="s">
        <v>3038</v>
      </c>
      <c r="B585" s="380" t="str">
        <f>CONCATENATE(LEFT(RIGHT(CONCATENATE("000",FTG_Data1920!A585),6),3),"-",(RIGHT(RIGHT(CONCATENATE("000",FTG_Data1920!A585),6),3)))</f>
        <v>108-907</v>
      </c>
      <c r="C585" s="105">
        <v>10562</v>
      </c>
      <c r="D585" s="105">
        <v>10254</v>
      </c>
    </row>
    <row r="586" spans="1:4" ht="14.5">
      <c r="A586" t="s">
        <v>3039</v>
      </c>
      <c r="B586" s="380" t="str">
        <f>CONCATENATE(LEFT(RIGHT(CONCATENATE("000",FTG_Data1920!A586),6),3),"-",(RIGHT(RIGHT(CONCATENATE("000",FTG_Data1920!A586),6),3)))</f>
        <v>108-908</v>
      </c>
      <c r="C586" s="105">
        <v>10325</v>
      </c>
      <c r="D586" s="105">
        <v>10025</v>
      </c>
    </row>
    <row r="587" spans="1:4" ht="14.5">
      <c r="A587" t="s">
        <v>3040</v>
      </c>
      <c r="B587" s="380" t="str">
        <f>CONCATENATE(LEFT(RIGHT(CONCATENATE("000",FTG_Data1920!A587),6),3),"-",(RIGHT(RIGHT(CONCATENATE("000",FTG_Data1920!A587),6),3)))</f>
        <v>108-909</v>
      </c>
      <c r="C587" s="105">
        <v>10030</v>
      </c>
      <c r="D587" s="105">
        <v>9738</v>
      </c>
    </row>
    <row r="588" spans="1:4" ht="14.5">
      <c r="A588" t="s">
        <v>3041</v>
      </c>
      <c r="B588" s="380" t="str">
        <f>CONCATENATE(LEFT(RIGHT(CONCATENATE("000",FTG_Data1920!A588),6),3),"-",(RIGHT(RIGHT(CONCATENATE("000",FTG_Data1920!A588),6),3)))</f>
        <v>108-910</v>
      </c>
      <c r="C588" s="105">
        <v>9822</v>
      </c>
      <c r="D588" s="105">
        <v>9536</v>
      </c>
    </row>
    <row r="589" spans="1:4" ht="14.5">
      <c r="A589" t="s">
        <v>3042</v>
      </c>
      <c r="B589" s="380" t="str">
        <f>CONCATENATE(LEFT(RIGHT(CONCATENATE("000",FTG_Data1920!A589),6),3),"-",(RIGHT(RIGHT(CONCATENATE("000",FTG_Data1920!A589),6),3)))</f>
        <v>108-911</v>
      </c>
      <c r="C589" s="105">
        <v>9443</v>
      </c>
      <c r="D589" s="105">
        <v>9168</v>
      </c>
    </row>
    <row r="590" spans="1:4" ht="14.5">
      <c r="A590" t="s">
        <v>3043</v>
      </c>
      <c r="B590" s="380" t="str">
        <f>CONCATENATE(LEFT(RIGHT(CONCATENATE("000",FTG_Data1920!A590),6),3),"-",(RIGHT(RIGHT(CONCATENATE("000",FTG_Data1920!A590),6),3)))</f>
        <v>108-912</v>
      </c>
      <c r="C590" s="105">
        <v>10343</v>
      </c>
      <c r="D590" s="105">
        <v>10042</v>
      </c>
    </row>
    <row r="591" spans="1:4" ht="14.5">
      <c r="A591" t="s">
        <v>3044</v>
      </c>
      <c r="B591" s="380" t="str">
        <f>CONCATENATE(LEFT(RIGHT(CONCATENATE("000",FTG_Data1920!A591),6),3),"-",(RIGHT(RIGHT(CONCATENATE("000",FTG_Data1920!A591),6),3)))</f>
        <v>108-913</v>
      </c>
      <c r="C591" s="105">
        <v>9875</v>
      </c>
      <c r="D591" s="105">
        <v>9587</v>
      </c>
    </row>
    <row r="592" spans="1:4" ht="14.5">
      <c r="A592" t="s">
        <v>3045</v>
      </c>
      <c r="B592" s="380" t="str">
        <f>CONCATENATE(LEFT(RIGHT(CONCATENATE("000",FTG_Data1920!A592),6),3),"-",(RIGHT(RIGHT(CONCATENATE("000",FTG_Data1920!A592),6),3)))</f>
        <v>108-914</v>
      </c>
      <c r="C592" s="105">
        <v>11849</v>
      </c>
      <c r="D592" s="105">
        <v>12386</v>
      </c>
    </row>
    <row r="593" spans="1:4" ht="14.5">
      <c r="A593" t="s">
        <v>3046</v>
      </c>
      <c r="B593" s="380" t="str">
        <f>CONCATENATE(LEFT(RIGHT(CONCATENATE("000",FTG_Data1920!A593),6),3),"-",(RIGHT(RIGHT(CONCATENATE("000",FTG_Data1920!A593),6),3)))</f>
        <v>108-915</v>
      </c>
      <c r="C593" s="105">
        <v>11849</v>
      </c>
      <c r="D593" s="105">
        <v>11795</v>
      </c>
    </row>
    <row r="594" spans="1:4" ht="14.5">
      <c r="A594" t="s">
        <v>3047</v>
      </c>
      <c r="B594" s="380" t="str">
        <f>CONCATENATE(LEFT(RIGHT(CONCATENATE("000",FTG_Data1920!A594),6),3),"-",(RIGHT(RIGHT(CONCATENATE("000",FTG_Data1920!A594),6),3)))</f>
        <v>108-916</v>
      </c>
      <c r="C594" s="105">
        <v>10707</v>
      </c>
      <c r="D594" s="105">
        <v>10395</v>
      </c>
    </row>
    <row r="595" spans="1:4" ht="14.5">
      <c r="A595" t="s">
        <v>8509</v>
      </c>
      <c r="B595" s="380" t="str">
        <f>CONCATENATE(LEFT(RIGHT(CONCATENATE("000",FTG_Data1920!A595),6),3),"-",(RIGHT(RIGHT(CONCATENATE("000",FTG_Data1920!A595),6),3)))</f>
        <v>108-950</v>
      </c>
      <c r="C595" s="105">
        <v>11849</v>
      </c>
      <c r="D595" s="105">
        <v>0</v>
      </c>
    </row>
    <row r="596" spans="1:4" ht="14.5">
      <c r="A596" t="s">
        <v>3048</v>
      </c>
      <c r="B596" s="380" t="str">
        <f>CONCATENATE(LEFT(RIGHT(CONCATENATE("000",FTG_Data1920!A596),6),3),"-",(RIGHT(RIGHT(CONCATENATE("000",FTG_Data1920!A596),6),3)))</f>
        <v>109-901</v>
      </c>
      <c r="C596" s="105">
        <v>11268</v>
      </c>
      <c r="D596" s="105">
        <v>10939</v>
      </c>
    </row>
    <row r="597" spans="1:4" ht="14.5">
      <c r="A597" t="s">
        <v>3049</v>
      </c>
      <c r="B597" s="380" t="str">
        <f>CONCATENATE(LEFT(RIGHT(CONCATENATE("000",FTG_Data1920!A597),6),3),"-",(RIGHT(RIGHT(CONCATENATE("000",FTG_Data1920!A597),6),3)))</f>
        <v>109-902</v>
      </c>
      <c r="C597" s="105">
        <v>11849</v>
      </c>
      <c r="D597" s="105">
        <v>13526</v>
      </c>
    </row>
    <row r="598" spans="1:4" ht="14.5">
      <c r="A598" t="s">
        <v>4185</v>
      </c>
      <c r="B598" s="380" t="str">
        <f>CONCATENATE(LEFT(RIGHT(CONCATENATE("000",FTG_Data1920!A598),6),3),"-",(RIGHT(RIGHT(CONCATENATE("000",FTG_Data1920!A598),6),3)))</f>
        <v>109-903</v>
      </c>
      <c r="C598" s="105">
        <v>11849</v>
      </c>
      <c r="D598" s="105">
        <v>12350</v>
      </c>
    </row>
    <row r="599" spans="1:4" ht="14.5">
      <c r="A599" t="s">
        <v>3050</v>
      </c>
      <c r="B599" s="380" t="str">
        <f>CONCATENATE(LEFT(RIGHT(CONCATENATE("000",FTG_Data1920!A599),6),3),"-",(RIGHT(RIGHT(CONCATENATE("000",FTG_Data1920!A599),6),3)))</f>
        <v>109-904</v>
      </c>
      <c r="C599" s="105">
        <v>9925</v>
      </c>
      <c r="D599" s="105">
        <v>9636</v>
      </c>
    </row>
    <row r="600" spans="1:4" ht="14.5">
      <c r="A600" t="s">
        <v>3051</v>
      </c>
      <c r="B600" s="380" t="str">
        <f>CONCATENATE(LEFT(RIGHT(CONCATENATE("000",FTG_Data1920!A600),6),3),"-",(RIGHT(RIGHT(CONCATENATE("000",FTG_Data1920!A600),6),3)))</f>
        <v>109-905</v>
      </c>
      <c r="C600" s="105">
        <v>11849</v>
      </c>
      <c r="D600" s="105">
        <v>12407</v>
      </c>
    </row>
    <row r="601" spans="1:4" ht="14.5">
      <c r="A601" t="s">
        <v>3052</v>
      </c>
      <c r="B601" s="380" t="str">
        <f>CONCATENATE(LEFT(RIGHT(CONCATENATE("000",FTG_Data1920!A601),6),3),"-",(RIGHT(RIGHT(CONCATENATE("000",FTG_Data1920!A601),6),3)))</f>
        <v>109-907</v>
      </c>
      <c r="C601" s="105">
        <v>11849</v>
      </c>
      <c r="D601" s="105">
        <v>12097</v>
      </c>
    </row>
    <row r="602" spans="1:4" ht="14.5">
      <c r="A602" t="s">
        <v>3053</v>
      </c>
      <c r="B602" s="380" t="str">
        <f>CONCATENATE(LEFT(RIGHT(CONCATENATE("000",FTG_Data1920!A602),6),3),"-",(RIGHT(RIGHT(CONCATENATE("000",FTG_Data1920!A602),6),3)))</f>
        <v>109-908</v>
      </c>
      <c r="C602" s="105">
        <v>11849</v>
      </c>
      <c r="D602" s="105">
        <v>13102</v>
      </c>
    </row>
    <row r="603" spans="1:4" ht="14.5">
      <c r="A603" t="s">
        <v>3054</v>
      </c>
      <c r="B603" s="380" t="str">
        <f>CONCATENATE(LEFT(RIGHT(CONCATENATE("000",FTG_Data1920!A603),6),3),"-",(RIGHT(RIGHT(CONCATENATE("000",FTG_Data1920!A603),6),3)))</f>
        <v>109-910</v>
      </c>
      <c r="C603" s="105">
        <v>11849</v>
      </c>
      <c r="D603" s="105">
        <v>12964</v>
      </c>
    </row>
    <row r="604" spans="1:4" ht="14.5">
      <c r="A604" t="s">
        <v>5092</v>
      </c>
      <c r="B604" s="380" t="str">
        <f>CONCATENATE(LEFT(RIGHT(CONCATENATE("000",FTG_Data1920!A604),6),3),"-",(RIGHT(RIGHT(CONCATENATE("000",FTG_Data1920!A604),6),3)))</f>
        <v>109-911</v>
      </c>
      <c r="C604" s="105">
        <v>9907</v>
      </c>
      <c r="D604" s="105">
        <v>9619</v>
      </c>
    </row>
    <row r="605" spans="1:4" ht="14.5">
      <c r="A605" t="s">
        <v>3055</v>
      </c>
      <c r="B605" s="380" t="str">
        <f>CONCATENATE(LEFT(RIGHT(CONCATENATE("000",FTG_Data1920!A605),6),3),"-",(RIGHT(RIGHT(CONCATENATE("000",FTG_Data1920!A605),6),3)))</f>
        <v>109-912</v>
      </c>
      <c r="C605" s="105">
        <v>11849</v>
      </c>
      <c r="D605" s="105">
        <v>12340</v>
      </c>
    </row>
    <row r="606" spans="1:4" ht="14.5">
      <c r="A606" t="s">
        <v>4203</v>
      </c>
      <c r="B606" s="380" t="str">
        <f>CONCATENATE(LEFT(RIGHT(CONCATENATE("000",FTG_Data1920!A606),6),3),"-",(RIGHT(RIGHT(CONCATENATE("000",FTG_Data1920!A606),6),3)))</f>
        <v>109-913</v>
      </c>
      <c r="C606" s="105">
        <v>11849</v>
      </c>
      <c r="D606" s="105">
        <v>13297</v>
      </c>
    </row>
    <row r="607" spans="1:4" ht="14.5">
      <c r="A607" t="s">
        <v>4205</v>
      </c>
      <c r="B607" s="380" t="str">
        <f>CONCATENATE(LEFT(RIGHT(CONCATENATE("000",FTG_Data1920!A607),6),3),"-",(RIGHT(RIGHT(CONCATENATE("000",FTG_Data1920!A607),6),3)))</f>
        <v>109-914</v>
      </c>
      <c r="C607" s="105">
        <v>11849</v>
      </c>
      <c r="D607" s="105">
        <v>12759</v>
      </c>
    </row>
    <row r="608" spans="1:4" ht="14.5">
      <c r="A608" t="s">
        <v>5814</v>
      </c>
      <c r="B608" s="380" t="str">
        <f>CONCATENATE(LEFT(RIGHT(CONCATENATE("000",FTG_Data1920!A608),6),3),"-",(RIGHT(RIGHT(CONCATENATE("000",FTG_Data1920!A608),6),3)))</f>
        <v>110-901</v>
      </c>
      <c r="C608" s="105">
        <v>11849</v>
      </c>
      <c r="D608" s="105">
        <v>12871</v>
      </c>
    </row>
    <row r="609" spans="1:4" ht="14.5">
      <c r="A609" t="s">
        <v>5093</v>
      </c>
      <c r="B609" s="380" t="str">
        <f>CONCATENATE(LEFT(RIGHT(CONCATENATE("000",FTG_Data1920!A609),6),3),"-",(RIGHT(RIGHT(CONCATENATE("000",FTG_Data1920!A609),6),3)))</f>
        <v>110-902</v>
      </c>
      <c r="C609" s="105">
        <v>9696</v>
      </c>
      <c r="D609" s="105">
        <v>9414</v>
      </c>
    </row>
    <row r="610" spans="1:4" ht="14.5">
      <c r="A610" t="s">
        <v>5094</v>
      </c>
      <c r="B610" s="380" t="str">
        <f>CONCATENATE(LEFT(RIGHT(CONCATENATE("000",FTG_Data1920!A610),6),3),"-",(RIGHT(RIGHT(CONCATENATE("000",FTG_Data1920!A610),6),3)))</f>
        <v>110-905</v>
      </c>
      <c r="C610" s="105">
        <v>11478</v>
      </c>
      <c r="D610" s="105">
        <v>11144</v>
      </c>
    </row>
    <row r="611" spans="1:4" ht="14.5">
      <c r="A611" t="s">
        <v>3056</v>
      </c>
      <c r="B611" s="380" t="str">
        <f>CONCATENATE(LEFT(RIGHT(CONCATENATE("000",FTG_Data1920!A611),6),3),"-",(RIGHT(RIGHT(CONCATENATE("000",FTG_Data1920!A611),6),3)))</f>
        <v>110-906</v>
      </c>
      <c r="C611" s="105">
        <v>11849</v>
      </c>
      <c r="D611" s="105">
        <v>11969</v>
      </c>
    </row>
    <row r="612" spans="1:4" ht="14.5">
      <c r="A612" t="s">
        <v>5815</v>
      </c>
      <c r="B612" s="380" t="str">
        <f>CONCATENATE(LEFT(RIGHT(CONCATENATE("000",FTG_Data1920!A612),6),3),"-",(RIGHT(RIGHT(CONCATENATE("000",FTG_Data1920!A612),6),3)))</f>
        <v>110-907</v>
      </c>
      <c r="C612" s="105">
        <v>11849</v>
      </c>
      <c r="D612" s="105">
        <v>11319</v>
      </c>
    </row>
    <row r="613" spans="1:4" ht="14.5">
      <c r="A613" t="s">
        <v>5816</v>
      </c>
      <c r="B613" s="380" t="str">
        <f>CONCATENATE(LEFT(RIGHT(CONCATENATE("000",FTG_Data1920!A613),6),3),"-",(RIGHT(RIGHT(CONCATENATE("000",FTG_Data1920!A613),6),3)))</f>
        <v>110-908</v>
      </c>
      <c r="C613" s="105">
        <v>11643</v>
      </c>
      <c r="D613" s="105">
        <v>11304</v>
      </c>
    </row>
    <row r="614" spans="1:4" ht="14.5">
      <c r="A614" t="s">
        <v>8048</v>
      </c>
      <c r="B614" s="380" t="str">
        <f>CONCATENATE(LEFT(RIGHT(CONCATENATE("000",FTG_Data1920!A614),6),3),"-",(RIGHT(RIGHT(CONCATENATE("000",FTG_Data1920!A614),6),3)))</f>
        <v>111-801</v>
      </c>
      <c r="C614" s="105">
        <v>11686</v>
      </c>
      <c r="D614" s="105">
        <v>11345</v>
      </c>
    </row>
    <row r="615" spans="1:4" ht="14.5">
      <c r="A615" t="s">
        <v>5095</v>
      </c>
      <c r="B615" s="380" t="str">
        <f>CONCATENATE(LEFT(RIGHT(CONCATENATE("000",FTG_Data1920!A615),6),3),"-",(RIGHT(RIGHT(CONCATENATE("000",FTG_Data1920!A615),6),3)))</f>
        <v>111-901</v>
      </c>
      <c r="C615" s="105">
        <v>9020</v>
      </c>
      <c r="D615" s="105">
        <v>8758</v>
      </c>
    </row>
    <row r="616" spans="1:4" ht="14.5">
      <c r="A616" t="s">
        <v>3057</v>
      </c>
      <c r="B616" s="380" t="str">
        <f>CONCATENATE(LEFT(RIGHT(CONCATENATE("000",FTG_Data1920!A616),6),3),"-",(RIGHT(RIGHT(CONCATENATE("000",FTG_Data1920!A616),6),3)))</f>
        <v>111-902</v>
      </c>
      <c r="C616" s="105">
        <v>11342</v>
      </c>
      <c r="D616" s="105">
        <v>11011</v>
      </c>
    </row>
    <row r="617" spans="1:4" ht="14.5">
      <c r="A617" t="s">
        <v>3058</v>
      </c>
      <c r="B617" s="380" t="str">
        <f>CONCATENATE(LEFT(RIGHT(CONCATENATE("000",FTG_Data1920!A617),6),3),"-",(RIGHT(RIGHT(CONCATENATE("000",FTG_Data1920!A617),6),3)))</f>
        <v>111-903</v>
      </c>
      <c r="C617" s="105">
        <v>8946</v>
      </c>
      <c r="D617" s="105">
        <v>8686</v>
      </c>
    </row>
    <row r="618" spans="1:4" ht="14.5">
      <c r="A618" t="s">
        <v>3059</v>
      </c>
      <c r="B618" s="380" t="str">
        <f>CONCATENATE(LEFT(RIGHT(CONCATENATE("000",FTG_Data1920!A618),6),3),"-",(RIGHT(RIGHT(CONCATENATE("000",FTG_Data1920!A618),6),3)))</f>
        <v>112-901</v>
      </c>
      <c r="C618" s="105">
        <v>8455</v>
      </c>
      <c r="D618" s="105">
        <v>8209</v>
      </c>
    </row>
    <row r="619" spans="1:4" ht="14.5">
      <c r="A619" t="s">
        <v>3060</v>
      </c>
      <c r="B619" s="380" t="str">
        <f>CONCATENATE(LEFT(RIGHT(CONCATENATE("000",FTG_Data1920!A619),6),3),"-",(RIGHT(RIGHT(CONCATENATE("000",FTG_Data1920!A619),6),3)))</f>
        <v>112-905</v>
      </c>
      <c r="C619" s="105">
        <v>11849</v>
      </c>
      <c r="D619" s="105">
        <v>12020</v>
      </c>
    </row>
    <row r="620" spans="1:4" ht="14.5">
      <c r="A620" t="s">
        <v>5096</v>
      </c>
      <c r="B620" s="380" t="str">
        <f>CONCATENATE(LEFT(RIGHT(CONCATENATE("000",FTG_Data1920!A620),6),3),"-",(RIGHT(RIGHT(CONCATENATE("000",FTG_Data1920!A620),6),3)))</f>
        <v>112-906</v>
      </c>
      <c r="C620" s="105">
        <v>11849</v>
      </c>
      <c r="D620" s="105">
        <v>12019</v>
      </c>
    </row>
    <row r="621" spans="1:4" ht="14.5">
      <c r="A621" t="s">
        <v>3061</v>
      </c>
      <c r="B621" s="380" t="str">
        <f>CONCATENATE(LEFT(RIGHT(CONCATENATE("000",FTG_Data1920!A621),6),3),"-",(RIGHT(RIGHT(CONCATENATE("000",FTG_Data1920!A621),6),3)))</f>
        <v>112-907</v>
      </c>
      <c r="C621" s="105">
        <v>11675</v>
      </c>
      <c r="D621" s="105">
        <v>11335</v>
      </c>
    </row>
    <row r="622" spans="1:4" ht="14.5">
      <c r="A622" t="s">
        <v>5817</v>
      </c>
      <c r="B622" s="380" t="str">
        <f>CONCATENATE(LEFT(RIGHT(CONCATENATE("000",FTG_Data1920!A622),6),3),"-",(RIGHT(RIGHT(CONCATENATE("000",FTG_Data1920!A622),6),3)))</f>
        <v>112-908</v>
      </c>
      <c r="C622" s="105">
        <v>11195</v>
      </c>
      <c r="D622" s="105">
        <v>10869</v>
      </c>
    </row>
    <row r="623" spans="1:4" ht="14.5">
      <c r="A623" t="s">
        <v>5818</v>
      </c>
      <c r="B623" s="380" t="str">
        <f>CONCATENATE(LEFT(RIGHT(CONCATENATE("000",FTG_Data1920!A623),6),3),"-",(RIGHT(RIGHT(CONCATENATE("000",FTG_Data1920!A623),6),3)))</f>
        <v>112-909</v>
      </c>
      <c r="C623" s="105">
        <v>11291</v>
      </c>
      <c r="D623" s="105">
        <v>10963</v>
      </c>
    </row>
    <row r="624" spans="1:4" ht="14.5">
      <c r="A624" t="s">
        <v>3062</v>
      </c>
      <c r="B624" s="380" t="str">
        <f>CONCATENATE(LEFT(RIGHT(CONCATENATE("000",FTG_Data1920!A624),6),3),"-",(RIGHT(RIGHT(CONCATENATE("000",FTG_Data1920!A624),6),3)))</f>
        <v>112-910</v>
      </c>
      <c r="C624" s="105">
        <v>11849</v>
      </c>
      <c r="D624" s="105">
        <v>12745</v>
      </c>
    </row>
    <row r="625" spans="1:4" ht="14.5">
      <c r="A625" t="s">
        <v>5097</v>
      </c>
      <c r="B625" s="380" t="str">
        <f>CONCATENATE(LEFT(RIGHT(CONCATENATE("000",FTG_Data1920!A625),6),3),"-",(RIGHT(RIGHT(CONCATENATE("000",FTG_Data1920!A625),6),3)))</f>
        <v>113-901</v>
      </c>
      <c r="C625" s="105">
        <v>10454</v>
      </c>
      <c r="D625" s="105">
        <v>10149</v>
      </c>
    </row>
    <row r="626" spans="1:4" ht="14.5">
      <c r="A626" t="s">
        <v>5098</v>
      </c>
      <c r="B626" s="380" t="str">
        <f>CONCATENATE(LEFT(RIGHT(CONCATENATE("000",FTG_Data1920!A626),6),3),"-",(RIGHT(RIGHT(CONCATENATE("000",FTG_Data1920!A626),6),3)))</f>
        <v>113-902</v>
      </c>
      <c r="C626" s="105">
        <v>11458</v>
      </c>
      <c r="D626" s="105">
        <v>11124</v>
      </c>
    </row>
    <row r="627" spans="1:4" ht="14.5">
      <c r="A627" t="s">
        <v>5819</v>
      </c>
      <c r="B627" s="380" t="str">
        <f>CONCATENATE(LEFT(RIGHT(CONCATENATE("000",FTG_Data1920!A627),6),3),"-",(RIGHT(RIGHT(CONCATENATE("000",FTG_Data1920!A627),6),3)))</f>
        <v>113-903</v>
      </c>
      <c r="C627" s="105">
        <v>11849</v>
      </c>
      <c r="D627" s="105">
        <v>11955</v>
      </c>
    </row>
    <row r="628" spans="1:4" ht="14.5">
      <c r="A628" t="s">
        <v>5099</v>
      </c>
      <c r="B628" s="380" t="str">
        <f>CONCATENATE(LEFT(RIGHT(CONCATENATE("000",FTG_Data1920!A628),6),3),"-",(RIGHT(RIGHT(CONCATENATE("000",FTG_Data1920!A628),6),3)))</f>
        <v>113-905</v>
      </c>
      <c r="C628" s="105">
        <v>11303</v>
      </c>
      <c r="D628" s="105">
        <v>10974</v>
      </c>
    </row>
    <row r="629" spans="1:4" ht="14.5">
      <c r="A629" t="s">
        <v>5820</v>
      </c>
      <c r="B629" s="380" t="str">
        <f>CONCATENATE(LEFT(RIGHT(CONCATENATE("000",FTG_Data1920!A629),6),3),"-",(RIGHT(RIGHT(CONCATENATE("000",FTG_Data1920!A629),6),3)))</f>
        <v>113-906</v>
      </c>
      <c r="C629" s="105">
        <v>11849</v>
      </c>
      <c r="D629" s="105">
        <v>12662</v>
      </c>
    </row>
    <row r="630" spans="1:4" ht="14.5">
      <c r="A630" t="s">
        <v>3063</v>
      </c>
      <c r="B630" s="380" t="str">
        <f>CONCATENATE(LEFT(RIGHT(CONCATENATE("000",FTG_Data1920!A630),6),3),"-",(RIGHT(RIGHT(CONCATENATE("000",FTG_Data1920!A630),6),3)))</f>
        <v>114-901</v>
      </c>
      <c r="C630" s="105">
        <v>9845</v>
      </c>
      <c r="D630" s="105">
        <v>9558</v>
      </c>
    </row>
    <row r="631" spans="1:4" ht="14.5">
      <c r="A631" t="s">
        <v>5100</v>
      </c>
      <c r="B631" s="380" t="str">
        <f>CONCATENATE(LEFT(RIGHT(CONCATENATE("000",FTG_Data1920!A631),6),3),"-",(RIGHT(RIGHT(CONCATENATE("000",FTG_Data1920!A631),6),3)))</f>
        <v>114-902</v>
      </c>
      <c r="C631" s="105">
        <v>11035</v>
      </c>
      <c r="D631" s="105">
        <v>10714</v>
      </c>
    </row>
    <row r="632" spans="1:4" ht="14.5">
      <c r="A632" t="s">
        <v>5101</v>
      </c>
      <c r="B632" s="380" t="str">
        <f>CONCATENATE(LEFT(RIGHT(CONCATENATE("000",FTG_Data1920!A632),6),3),"-",(RIGHT(RIGHT(CONCATENATE("000",FTG_Data1920!A632),6),3)))</f>
        <v>114-904</v>
      </c>
      <c r="C632" s="105">
        <v>10158</v>
      </c>
      <c r="D632" s="105">
        <v>9862</v>
      </c>
    </row>
    <row r="633" spans="1:4" ht="14.5">
      <c r="A633" t="s">
        <v>5102</v>
      </c>
      <c r="B633" s="380" t="str">
        <f>CONCATENATE(LEFT(RIGHT(CONCATENATE("000",FTG_Data1920!A633),6),3),"-",(RIGHT(RIGHT(CONCATENATE("000",FTG_Data1920!A633),6),3)))</f>
        <v>115-901</v>
      </c>
      <c r="C633" s="105">
        <v>11849</v>
      </c>
      <c r="D633" s="105">
        <v>12908</v>
      </c>
    </row>
    <row r="634" spans="1:4" ht="14.5">
      <c r="A634" t="s">
        <v>5821</v>
      </c>
      <c r="B634" s="380" t="str">
        <f>CONCATENATE(LEFT(RIGHT(CONCATENATE("000",FTG_Data1920!A634),6),3),"-",(RIGHT(RIGHT(CONCATENATE("000",FTG_Data1920!A634),6),3)))</f>
        <v>115-902</v>
      </c>
      <c r="C634" s="105">
        <v>11849</v>
      </c>
      <c r="D634" s="105">
        <v>17087</v>
      </c>
    </row>
    <row r="635" spans="1:4" ht="14.5">
      <c r="A635" t="s">
        <v>5822</v>
      </c>
      <c r="B635" s="380" t="str">
        <f>CONCATENATE(LEFT(RIGHT(CONCATENATE("000",FTG_Data1920!A635),6),3),"-",(RIGHT(RIGHT(CONCATENATE("000",FTG_Data1920!A635),6),3)))</f>
        <v>115-903</v>
      </c>
      <c r="C635" s="105">
        <v>11849</v>
      </c>
      <c r="D635" s="105">
        <v>30310</v>
      </c>
    </row>
    <row r="636" spans="1:4" ht="14.5">
      <c r="A636" t="s">
        <v>3064</v>
      </c>
      <c r="B636" s="380" t="str">
        <f>CONCATENATE(LEFT(RIGHT(CONCATENATE("000",FTG_Data1920!A636),6),3),"-",(RIGHT(RIGHT(CONCATENATE("000",FTG_Data1920!A636),6),3)))</f>
        <v>116-901</v>
      </c>
      <c r="C636" s="105">
        <v>9659</v>
      </c>
      <c r="D636" s="105">
        <v>9377</v>
      </c>
    </row>
    <row r="637" spans="1:4" ht="14.5">
      <c r="A637" t="s">
        <v>3065</v>
      </c>
      <c r="B637" s="380" t="str">
        <f>CONCATENATE(LEFT(RIGHT(CONCATENATE("000",FTG_Data1920!A637),6),3),"-",(RIGHT(RIGHT(CONCATENATE("000",FTG_Data1920!A637),6),3)))</f>
        <v>116-902</v>
      </c>
      <c r="C637" s="105">
        <v>11849</v>
      </c>
      <c r="D637" s="105">
        <v>12290</v>
      </c>
    </row>
    <row r="638" spans="1:4" ht="14.5">
      <c r="A638" t="s">
        <v>3066</v>
      </c>
      <c r="B638" s="380" t="str">
        <f>CONCATENATE(LEFT(RIGHT(CONCATENATE("000",FTG_Data1920!A638),6),3),"-",(RIGHT(RIGHT(CONCATENATE("000",FTG_Data1920!A638),6),3)))</f>
        <v>116-903</v>
      </c>
      <c r="C638" s="105">
        <v>10368</v>
      </c>
      <c r="D638" s="105">
        <v>10066</v>
      </c>
    </row>
    <row r="639" spans="1:4" ht="14.5">
      <c r="A639" t="s">
        <v>5103</v>
      </c>
      <c r="B639" s="380" t="str">
        <f>CONCATENATE(LEFT(RIGHT(CONCATENATE("000",FTG_Data1920!A639),6),3),"-",(RIGHT(RIGHT(CONCATENATE("000",FTG_Data1920!A639),6),3)))</f>
        <v>116-905</v>
      </c>
      <c r="C639" s="105">
        <v>9387</v>
      </c>
      <c r="D639" s="105">
        <v>9114</v>
      </c>
    </row>
    <row r="640" spans="1:4" ht="14.5">
      <c r="A640" t="s">
        <v>3067</v>
      </c>
      <c r="B640" s="380" t="str">
        <f>CONCATENATE(LEFT(RIGHT(CONCATENATE("000",FTG_Data1920!A640),6),3),"-",(RIGHT(RIGHT(CONCATENATE("000",FTG_Data1920!A640),6),3)))</f>
        <v>116-906</v>
      </c>
      <c r="C640" s="105">
        <v>10674</v>
      </c>
      <c r="D640" s="105">
        <v>10363</v>
      </c>
    </row>
    <row r="641" spans="1:4" ht="14.5">
      <c r="A641" t="s">
        <v>3068</v>
      </c>
      <c r="B641" s="380" t="str">
        <f>CONCATENATE(LEFT(RIGHT(CONCATENATE("000",FTG_Data1920!A641),6),3),"-",(RIGHT(RIGHT(CONCATENATE("000",FTG_Data1920!A641),6),3)))</f>
        <v>116-908</v>
      </c>
      <c r="C641" s="105">
        <v>10167</v>
      </c>
      <c r="D641" s="105">
        <v>9871</v>
      </c>
    </row>
    <row r="642" spans="1:4" ht="14.5">
      <c r="A642" t="s">
        <v>3069</v>
      </c>
      <c r="B642" s="380" t="str">
        <f>CONCATENATE(LEFT(RIGHT(CONCATENATE("000",FTG_Data1920!A642),6),3),"-",(RIGHT(RIGHT(CONCATENATE("000",FTG_Data1920!A642),6),3)))</f>
        <v>116-909</v>
      </c>
      <c r="C642" s="105">
        <v>11744</v>
      </c>
      <c r="D642" s="105">
        <v>11402</v>
      </c>
    </row>
    <row r="643" spans="1:4" ht="14.5">
      <c r="A643" t="s">
        <v>5104</v>
      </c>
      <c r="B643" s="380" t="str">
        <f>CONCATENATE(LEFT(RIGHT(CONCATENATE("000",FTG_Data1920!A643),6),3),"-",(RIGHT(RIGHT(CONCATENATE("000",FTG_Data1920!A643),6),3)))</f>
        <v>116-910</v>
      </c>
      <c r="C643" s="105">
        <v>11849</v>
      </c>
      <c r="D643" s="105">
        <v>13088</v>
      </c>
    </row>
    <row r="644" spans="1:4" ht="14.5">
      <c r="A644" t="s">
        <v>3070</v>
      </c>
      <c r="B644" s="380" t="str">
        <f>CONCATENATE(LEFT(RIGHT(CONCATENATE("000",FTG_Data1920!A644),6),3),"-",(RIGHT(RIGHT(CONCATENATE("000",FTG_Data1920!A644),6),3)))</f>
        <v>116-915</v>
      </c>
      <c r="C644" s="105">
        <v>11063</v>
      </c>
      <c r="D644" s="105">
        <v>10741</v>
      </c>
    </row>
    <row r="645" spans="1:4" ht="14.5">
      <c r="A645" t="s">
        <v>3071</v>
      </c>
      <c r="B645" s="380" t="str">
        <f>CONCATENATE(LEFT(RIGHT(CONCATENATE("000",FTG_Data1920!A645),6),3),"-",(RIGHT(RIGHT(CONCATENATE("000",FTG_Data1920!A645),6),3)))</f>
        <v>116-916</v>
      </c>
      <c r="C645" s="105">
        <v>11849</v>
      </c>
      <c r="D645" s="105">
        <v>11776</v>
      </c>
    </row>
    <row r="646" spans="1:4" ht="14.5">
      <c r="A646" t="s">
        <v>5105</v>
      </c>
      <c r="B646" s="380" t="str">
        <f>CONCATENATE(LEFT(RIGHT(CONCATENATE("000",FTG_Data1920!A646),6),3),"-",(RIGHT(RIGHT(CONCATENATE("000",FTG_Data1920!A646),6),3)))</f>
        <v>117-901</v>
      </c>
      <c r="C646" s="105">
        <v>8767</v>
      </c>
      <c r="D646" s="105">
        <v>8511</v>
      </c>
    </row>
    <row r="647" spans="1:4" ht="14.5">
      <c r="A647" t="s">
        <v>5106</v>
      </c>
      <c r="B647" s="380" t="str">
        <f>CONCATENATE(LEFT(RIGHT(CONCATENATE("000",FTG_Data1920!A647),6),3),"-",(RIGHT(RIGHT(CONCATENATE("000",FTG_Data1920!A647),6),3)))</f>
        <v>117-903</v>
      </c>
      <c r="C647" s="105">
        <v>11227</v>
      </c>
      <c r="D647" s="105">
        <v>10900</v>
      </c>
    </row>
    <row r="648" spans="1:4" ht="14.5">
      <c r="A648" t="s">
        <v>5107</v>
      </c>
      <c r="B648" s="380" t="str">
        <f>CONCATENATE(LEFT(RIGHT(CONCATENATE("000",FTG_Data1920!A648),6),3),"-",(RIGHT(RIGHT(CONCATENATE("000",FTG_Data1920!A648),6),3)))</f>
        <v>117-904</v>
      </c>
      <c r="C648" s="105">
        <v>11064</v>
      </c>
      <c r="D648" s="105">
        <v>10742</v>
      </c>
    </row>
    <row r="649" spans="1:4" ht="14.5">
      <c r="A649" t="s">
        <v>5823</v>
      </c>
      <c r="B649" s="380" t="str">
        <f>CONCATENATE(LEFT(RIGHT(CONCATENATE("000",FTG_Data1920!A649),6),3),"-",(RIGHT(RIGHT(CONCATENATE("000",FTG_Data1920!A649),6),3)))</f>
        <v>117-907</v>
      </c>
      <c r="C649" s="105">
        <v>11849</v>
      </c>
      <c r="D649" s="105">
        <v>15115</v>
      </c>
    </row>
    <row r="650" spans="1:4" ht="14.5">
      <c r="A650" t="s">
        <v>5108</v>
      </c>
      <c r="B650" s="380" t="str">
        <f>CONCATENATE(LEFT(RIGHT(CONCATENATE("000",FTG_Data1920!A650),6),3),"-",(RIGHT(RIGHT(CONCATENATE("000",FTG_Data1920!A650),6),3)))</f>
        <v>118-902</v>
      </c>
      <c r="C650" s="105">
        <v>11849</v>
      </c>
      <c r="D650" s="105">
        <v>16176</v>
      </c>
    </row>
    <row r="651" spans="1:4" ht="14.5">
      <c r="A651" t="s">
        <v>5109</v>
      </c>
      <c r="B651" s="380" t="str">
        <f>CONCATENATE(LEFT(RIGHT(CONCATENATE("000",FTG_Data1920!A651),6),3),"-",(RIGHT(RIGHT(CONCATENATE("000",FTG_Data1920!A651),6),3)))</f>
        <v>119-901</v>
      </c>
      <c r="C651" s="105">
        <v>10836</v>
      </c>
      <c r="D651" s="105">
        <v>10520</v>
      </c>
    </row>
    <row r="652" spans="1:4" ht="14.5">
      <c r="A652" t="s">
        <v>5110</v>
      </c>
      <c r="B652" s="380" t="str">
        <f>CONCATENATE(LEFT(RIGHT(CONCATENATE("000",FTG_Data1920!A652),6),3),"-",(RIGHT(RIGHT(CONCATENATE("000",FTG_Data1920!A652),6),3)))</f>
        <v>119-902</v>
      </c>
      <c r="C652" s="105">
        <v>10768</v>
      </c>
      <c r="D652" s="105">
        <v>10455</v>
      </c>
    </row>
    <row r="653" spans="1:4" ht="14.5">
      <c r="A653" t="s">
        <v>5111</v>
      </c>
      <c r="B653" s="380" t="str">
        <f>CONCATENATE(LEFT(RIGHT(CONCATENATE("000",FTG_Data1920!A653),6),3),"-",(RIGHT(RIGHT(CONCATENATE("000",FTG_Data1920!A653),6),3)))</f>
        <v>119-903</v>
      </c>
      <c r="C653" s="105">
        <v>10678</v>
      </c>
      <c r="D653" s="105">
        <v>10367</v>
      </c>
    </row>
    <row r="654" spans="1:4" ht="14.5">
      <c r="A654" t="s">
        <v>5112</v>
      </c>
      <c r="B654" s="380" t="str">
        <f>CONCATENATE(LEFT(RIGHT(CONCATENATE("000",FTG_Data1920!A654),6),3),"-",(RIGHT(RIGHT(CONCATENATE("000",FTG_Data1920!A654),6),3)))</f>
        <v>120-901</v>
      </c>
      <c r="C654" s="105">
        <v>9655</v>
      </c>
      <c r="D654" s="105">
        <v>9374</v>
      </c>
    </row>
    <row r="655" spans="1:4" ht="14.5">
      <c r="A655" t="s">
        <v>3072</v>
      </c>
      <c r="B655" s="380" t="str">
        <f>CONCATENATE(LEFT(RIGHT(CONCATENATE("000",FTG_Data1920!A655),6),3),"-",(RIGHT(RIGHT(CONCATENATE("000",FTG_Data1920!A655),6),3)))</f>
        <v>120-902</v>
      </c>
      <c r="C655" s="105">
        <v>11385</v>
      </c>
      <c r="D655" s="105">
        <v>11054</v>
      </c>
    </row>
    <row r="656" spans="1:4" ht="14.5">
      <c r="A656" t="s">
        <v>5113</v>
      </c>
      <c r="B656" s="380" t="str">
        <f>CONCATENATE(LEFT(RIGHT(CONCATENATE("000",FTG_Data1920!A656),6),3),"-",(RIGHT(RIGHT(CONCATENATE("000",FTG_Data1920!A656),6),3)))</f>
        <v>120-905</v>
      </c>
      <c r="C656" s="105">
        <v>11562</v>
      </c>
      <c r="D656" s="105">
        <v>11225</v>
      </c>
    </row>
    <row r="657" spans="1:4" ht="14.5">
      <c r="A657" t="s">
        <v>5824</v>
      </c>
      <c r="B657" s="380" t="str">
        <f>CONCATENATE(LEFT(RIGHT(CONCATENATE("000",FTG_Data1920!A657),6),3),"-",(RIGHT(RIGHT(CONCATENATE("000",FTG_Data1920!A657),6),3)))</f>
        <v>121-902</v>
      </c>
      <c r="C657" s="105">
        <v>11165</v>
      </c>
      <c r="D657" s="105">
        <v>10840</v>
      </c>
    </row>
    <row r="658" spans="1:4" ht="14.5">
      <c r="A658" t="s">
        <v>3073</v>
      </c>
      <c r="B658" s="380" t="str">
        <f>CONCATENATE(LEFT(RIGHT(CONCATENATE("000",FTG_Data1920!A658),6),3),"-",(RIGHT(RIGHT(CONCATENATE("000",FTG_Data1920!A658),6),3)))</f>
        <v>121-903</v>
      </c>
      <c r="C658" s="105">
        <v>10320</v>
      </c>
      <c r="D658" s="105">
        <v>10019</v>
      </c>
    </row>
    <row r="659" spans="1:4" ht="14.5">
      <c r="A659" t="s">
        <v>3074</v>
      </c>
      <c r="B659" s="380" t="str">
        <f>CONCATENATE(LEFT(RIGHT(CONCATENATE("000",FTG_Data1920!A659),6),3),"-",(RIGHT(RIGHT(CONCATENATE("000",FTG_Data1920!A659),6),3)))</f>
        <v>121-904</v>
      </c>
      <c r="C659" s="105">
        <v>10612</v>
      </c>
      <c r="D659" s="105">
        <v>10303</v>
      </c>
    </row>
    <row r="660" spans="1:4" ht="14.5">
      <c r="A660" t="s">
        <v>3075</v>
      </c>
      <c r="B660" s="380" t="str">
        <f>CONCATENATE(LEFT(RIGHT(CONCATENATE("000",FTG_Data1920!A660),6),3),"-",(RIGHT(RIGHT(CONCATENATE("000",FTG_Data1920!A660),6),3)))</f>
        <v>121-905</v>
      </c>
      <c r="C660" s="105">
        <v>9576</v>
      </c>
      <c r="D660" s="105">
        <v>9297</v>
      </c>
    </row>
    <row r="661" spans="1:4" ht="14.5">
      <c r="A661" t="s">
        <v>5114</v>
      </c>
      <c r="B661" s="380" t="str">
        <f>CONCATENATE(LEFT(RIGHT(CONCATENATE("000",FTG_Data1920!A661),6),3),"-",(RIGHT(RIGHT(CONCATENATE("000",FTG_Data1920!A661),6),3)))</f>
        <v>121-906</v>
      </c>
      <c r="C661" s="105">
        <v>11554</v>
      </c>
      <c r="D661" s="105">
        <v>11109</v>
      </c>
    </row>
    <row r="662" spans="1:4" ht="14.5">
      <c r="A662" t="s">
        <v>5825</v>
      </c>
      <c r="B662" s="380" t="str">
        <f>CONCATENATE(LEFT(RIGHT(CONCATENATE("000",FTG_Data1920!A662),6),3),"-",(RIGHT(RIGHT(CONCATENATE("000",FTG_Data1920!A662),6),3)))</f>
        <v>122-901</v>
      </c>
      <c r="C662" s="105">
        <v>11849</v>
      </c>
      <c r="D662" s="105">
        <v>12433</v>
      </c>
    </row>
    <row r="663" spans="1:4" ht="14.5">
      <c r="A663" t="s">
        <v>5826</v>
      </c>
      <c r="B663" s="380" t="str">
        <f>CONCATENATE(LEFT(RIGHT(CONCATENATE("000",FTG_Data1920!A663),6),3),"-",(RIGHT(RIGHT(CONCATENATE("000",FTG_Data1920!A663),6),3)))</f>
        <v>122-902</v>
      </c>
      <c r="C663" s="105">
        <v>11849</v>
      </c>
      <c r="D663" s="105">
        <v>36268</v>
      </c>
    </row>
    <row r="664" spans="1:4" ht="14.5">
      <c r="A664" t="s">
        <v>8049</v>
      </c>
      <c r="B664" s="380" t="str">
        <f>CONCATENATE(LEFT(RIGHT(CONCATENATE("000",FTG_Data1920!A664),6),3),"-",(RIGHT(RIGHT(CONCATENATE("000",FTG_Data1920!A664),6),3)))</f>
        <v>123-503</v>
      </c>
      <c r="C664" s="105">
        <v>8549</v>
      </c>
      <c r="D664" s="105">
        <v>8300</v>
      </c>
    </row>
    <row r="665" spans="1:4" ht="14.5">
      <c r="A665" t="s">
        <v>8051</v>
      </c>
      <c r="B665" s="380" t="str">
        <f>CONCATENATE(LEFT(RIGHT(CONCATENATE("000",FTG_Data1920!A665),6),3),"-",(RIGHT(RIGHT(CONCATENATE("000",FTG_Data1920!A665),6),3)))</f>
        <v>123-803</v>
      </c>
      <c r="C665" s="105">
        <v>10686</v>
      </c>
      <c r="D665" s="105">
        <v>10375</v>
      </c>
    </row>
    <row r="666" spans="1:4" ht="14.5">
      <c r="A666" t="s">
        <v>8052</v>
      </c>
      <c r="B666" s="380" t="str">
        <f>CONCATENATE(LEFT(RIGHT(CONCATENATE("000",FTG_Data1920!A666),6),3),"-",(RIGHT(RIGHT(CONCATENATE("000",FTG_Data1920!A666),6),3)))</f>
        <v>123-805</v>
      </c>
      <c r="C666" s="105">
        <v>10900</v>
      </c>
      <c r="D666" s="105">
        <v>10582</v>
      </c>
    </row>
    <row r="667" spans="1:4" ht="14.5">
      <c r="A667" t="s">
        <v>8053</v>
      </c>
      <c r="B667" s="380" t="str">
        <f>CONCATENATE(LEFT(RIGHT(CONCATENATE("000",FTG_Data1920!A667),6),3),"-",(RIGHT(RIGHT(CONCATENATE("000",FTG_Data1920!A667),6),3)))</f>
        <v>123-807</v>
      </c>
      <c r="C667" s="105">
        <v>10743</v>
      </c>
      <c r="D667" s="105">
        <v>10430</v>
      </c>
    </row>
    <row r="668" spans="1:4" ht="14.5">
      <c r="A668" t="s">
        <v>3076</v>
      </c>
      <c r="B668" s="380" t="str">
        <f>CONCATENATE(LEFT(RIGHT(CONCATENATE("000",FTG_Data1920!A668),6),3),"-",(RIGHT(RIGHT(CONCATENATE("000",FTG_Data1920!A668),6),3)))</f>
        <v>123-905</v>
      </c>
      <c r="C668" s="105">
        <v>8926</v>
      </c>
      <c r="D668" s="105">
        <v>8666</v>
      </c>
    </row>
    <row r="669" spans="1:4" ht="14.5">
      <c r="A669" t="s">
        <v>5115</v>
      </c>
      <c r="B669" s="380" t="str">
        <f>CONCATENATE(LEFT(RIGHT(CONCATENATE("000",FTG_Data1920!A669),6),3),"-",(RIGHT(RIGHT(CONCATENATE("000",FTG_Data1920!A669),6),3)))</f>
        <v>123-907</v>
      </c>
      <c r="C669" s="105">
        <v>9132</v>
      </c>
      <c r="D669" s="105">
        <v>8866</v>
      </c>
    </row>
    <row r="670" spans="1:4" ht="14.5">
      <c r="A670" t="s">
        <v>5116</v>
      </c>
      <c r="B670" s="380" t="str">
        <f>CONCATENATE(LEFT(RIGHT(CONCATENATE("000",FTG_Data1920!A670),6),3),"-",(RIGHT(RIGHT(CONCATENATE("000",FTG_Data1920!A670),6),3)))</f>
        <v>123-908</v>
      </c>
      <c r="C670" s="105">
        <v>9048</v>
      </c>
      <c r="D670" s="105">
        <v>8785</v>
      </c>
    </row>
    <row r="671" spans="1:4" ht="14.5">
      <c r="A671" t="s">
        <v>5117</v>
      </c>
      <c r="B671" s="380" t="str">
        <f>CONCATENATE(LEFT(RIGHT(CONCATENATE("000",FTG_Data1920!A671),6),3),"-",(RIGHT(RIGHT(CONCATENATE("000",FTG_Data1920!A671),6),3)))</f>
        <v>123-910</v>
      </c>
      <c r="C671" s="105">
        <v>9088</v>
      </c>
      <c r="D671" s="105">
        <v>8823</v>
      </c>
    </row>
    <row r="672" spans="1:4" ht="14.5">
      <c r="A672" t="s">
        <v>5118</v>
      </c>
      <c r="B672" s="380" t="str">
        <f>CONCATENATE(LEFT(RIGHT(CONCATENATE("000",FTG_Data1920!A672),6),3),"-",(RIGHT(RIGHT(CONCATENATE("000",FTG_Data1920!A672),6),3)))</f>
        <v>123-913</v>
      </c>
      <c r="C672" s="105">
        <v>11849</v>
      </c>
      <c r="D672" s="105">
        <v>12485</v>
      </c>
    </row>
    <row r="673" spans="1:4" ht="14.5">
      <c r="A673" t="s">
        <v>3077</v>
      </c>
      <c r="B673" s="380" t="str">
        <f>CONCATENATE(LEFT(RIGHT(CONCATENATE("000",FTG_Data1920!A673),6),3),"-",(RIGHT(RIGHT(CONCATENATE("000",FTG_Data1920!A673),6),3)))</f>
        <v>123-914</v>
      </c>
      <c r="C673" s="105">
        <v>9947</v>
      </c>
      <c r="D673" s="105">
        <v>9657</v>
      </c>
    </row>
    <row r="674" spans="1:4" ht="14.5">
      <c r="A674" t="s">
        <v>5119</v>
      </c>
      <c r="B674" s="380" t="str">
        <f>CONCATENATE(LEFT(RIGHT(CONCATENATE("000",FTG_Data1920!A674),6),3),"-",(RIGHT(RIGHT(CONCATENATE("000",FTG_Data1920!A674),6),3)))</f>
        <v>124-901</v>
      </c>
      <c r="C674" s="105">
        <v>10735</v>
      </c>
      <c r="D674" s="105">
        <v>10422</v>
      </c>
    </row>
    <row r="675" spans="1:4" ht="14.5">
      <c r="A675" t="s">
        <v>3078</v>
      </c>
      <c r="B675" s="380" t="str">
        <f>CONCATENATE(LEFT(RIGHT(CONCATENATE("000",FTG_Data1920!A675),6),3),"-",(RIGHT(RIGHT(CONCATENATE("000",FTG_Data1920!A675),6),3)))</f>
        <v>125-901</v>
      </c>
      <c r="C675" s="105">
        <v>9550</v>
      </c>
      <c r="D675" s="105">
        <v>9272</v>
      </c>
    </row>
    <row r="676" spans="1:4" ht="14.5">
      <c r="A676" t="s">
        <v>3079</v>
      </c>
      <c r="B676" s="380" t="str">
        <f>CONCATENATE(LEFT(RIGHT(CONCATENATE("000",FTG_Data1920!A676),6),3),"-",(RIGHT(RIGHT(CONCATENATE("000",FTG_Data1920!A676),6),3)))</f>
        <v>125-902</v>
      </c>
      <c r="C676" s="105">
        <v>11849</v>
      </c>
      <c r="D676" s="105">
        <v>11660</v>
      </c>
    </row>
    <row r="677" spans="1:4" ht="14.5">
      <c r="A677" t="s">
        <v>3080</v>
      </c>
      <c r="B677" s="380" t="str">
        <f>CONCATENATE(LEFT(RIGHT(CONCATENATE("000",FTG_Data1920!A677),6),3),"-",(RIGHT(RIGHT(CONCATENATE("000",FTG_Data1920!A677),6),3)))</f>
        <v>125-903</v>
      </c>
      <c r="C677" s="105">
        <v>8943</v>
      </c>
      <c r="D677" s="105">
        <v>8682</v>
      </c>
    </row>
    <row r="678" spans="1:4" ht="14.5">
      <c r="A678" t="s">
        <v>3081</v>
      </c>
      <c r="B678" s="380" t="str">
        <f>CONCATENATE(LEFT(RIGHT(CONCATENATE("000",FTG_Data1920!A678),6),3),"-",(RIGHT(RIGHT(CONCATENATE("000",FTG_Data1920!A678),6),3)))</f>
        <v>125-905</v>
      </c>
      <c r="C678" s="105">
        <v>11849</v>
      </c>
      <c r="D678" s="105">
        <v>12977</v>
      </c>
    </row>
    <row r="679" spans="1:4" ht="14.5">
      <c r="A679" t="s">
        <v>5827</v>
      </c>
      <c r="B679" s="380" t="str">
        <f>CONCATENATE(LEFT(RIGHT(CONCATENATE("000",FTG_Data1920!A679),6),3),"-",(RIGHT(RIGHT(CONCATENATE("000",FTG_Data1920!A679),6),3)))</f>
        <v>125-906</v>
      </c>
      <c r="C679" s="105">
        <v>11051</v>
      </c>
      <c r="D679" s="105">
        <v>10730</v>
      </c>
    </row>
    <row r="680" spans="1:4" ht="14.5">
      <c r="A680" t="s">
        <v>3082</v>
      </c>
      <c r="B680" s="380" t="str">
        <f>CONCATENATE(LEFT(RIGHT(CONCATENATE("000",FTG_Data1920!A680),6),3),"-",(RIGHT(RIGHT(CONCATENATE("000",FTG_Data1920!A680),6),3)))</f>
        <v>126-901</v>
      </c>
      <c r="C680" s="105">
        <v>8880</v>
      </c>
      <c r="D680" s="105">
        <v>8621</v>
      </c>
    </row>
    <row r="681" spans="1:4" ht="14.5">
      <c r="A681" t="s">
        <v>3083</v>
      </c>
      <c r="B681" s="380" t="str">
        <f>CONCATENATE(LEFT(RIGHT(CONCATENATE("000",FTG_Data1920!A681),6),3),"-",(RIGHT(RIGHT(CONCATENATE("000",FTG_Data1920!A681),6),3)))</f>
        <v>126-902</v>
      </c>
      <c r="C681" s="105">
        <v>9062</v>
      </c>
      <c r="D681" s="105">
        <v>8798</v>
      </c>
    </row>
    <row r="682" spans="1:4" ht="14.5">
      <c r="A682" t="s">
        <v>5120</v>
      </c>
      <c r="B682" s="380" t="str">
        <f>CONCATENATE(LEFT(RIGHT(CONCATENATE("000",FTG_Data1920!A682),6),3),"-",(RIGHT(RIGHT(CONCATENATE("000",FTG_Data1920!A682),6),3)))</f>
        <v>126-903</v>
      </c>
      <c r="C682" s="105">
        <v>9631</v>
      </c>
      <c r="D682" s="105">
        <v>9351</v>
      </c>
    </row>
    <row r="683" spans="1:4" ht="14.5">
      <c r="A683" t="s">
        <v>4285</v>
      </c>
      <c r="B683" s="380" t="str">
        <f>CONCATENATE(LEFT(RIGHT(CONCATENATE("000",FTG_Data1920!A683),6),3),"-",(RIGHT(RIGHT(CONCATENATE("000",FTG_Data1920!A683),6),3)))</f>
        <v>126-904</v>
      </c>
      <c r="C683" s="105">
        <v>9185</v>
      </c>
      <c r="D683" s="105">
        <v>8917</v>
      </c>
    </row>
    <row r="684" spans="1:4" ht="14.5">
      <c r="A684" t="s">
        <v>3084</v>
      </c>
      <c r="B684" s="380" t="str">
        <f>CONCATENATE(LEFT(RIGHT(CONCATENATE("000",FTG_Data1920!A684),6),3),"-",(RIGHT(RIGHT(CONCATENATE("000",FTG_Data1920!A684),6),3)))</f>
        <v>126-905</v>
      </c>
      <c r="C684" s="105">
        <v>9228</v>
      </c>
      <c r="D684" s="105">
        <v>8959</v>
      </c>
    </row>
    <row r="685" spans="1:4" ht="14.5">
      <c r="A685" t="s">
        <v>3085</v>
      </c>
      <c r="B685" s="380" t="str">
        <f>CONCATENATE(LEFT(RIGHT(CONCATENATE("000",FTG_Data1920!A685),6),3),"-",(RIGHT(RIGHT(CONCATENATE("000",FTG_Data1920!A685),6),3)))</f>
        <v>126-906</v>
      </c>
      <c r="C685" s="105">
        <v>11029</v>
      </c>
      <c r="D685" s="105">
        <v>10708</v>
      </c>
    </row>
    <row r="686" spans="1:4" ht="14.5">
      <c r="A686" t="s">
        <v>3086</v>
      </c>
      <c r="B686" s="380" t="str">
        <f>CONCATENATE(LEFT(RIGHT(CONCATENATE("000",FTG_Data1920!A686),6),3),"-",(RIGHT(RIGHT(CONCATENATE("000",FTG_Data1920!A686),6),3)))</f>
        <v>126-907</v>
      </c>
      <c r="C686" s="105">
        <v>11849</v>
      </c>
      <c r="D686" s="105">
        <v>11858</v>
      </c>
    </row>
    <row r="687" spans="1:4" ht="14.5">
      <c r="A687" t="s">
        <v>3087</v>
      </c>
      <c r="B687" s="380" t="str">
        <f>CONCATENATE(LEFT(RIGHT(CONCATENATE("000",FTG_Data1920!A687),6),3),"-",(RIGHT(RIGHT(CONCATENATE("000",FTG_Data1920!A687),6),3)))</f>
        <v>126-908</v>
      </c>
      <c r="C687" s="105">
        <v>10166</v>
      </c>
      <c r="D687" s="105">
        <v>9869</v>
      </c>
    </row>
    <row r="688" spans="1:4" ht="14.5">
      <c r="A688" t="s">
        <v>3088</v>
      </c>
      <c r="B688" s="380" t="str">
        <f>CONCATENATE(LEFT(RIGHT(CONCATENATE("000",FTG_Data1920!A688),6),3),"-",(RIGHT(RIGHT(CONCATENATE("000",FTG_Data1920!A688),6),3)))</f>
        <v>126-911</v>
      </c>
      <c r="C688" s="105">
        <v>9489</v>
      </c>
      <c r="D688" s="105">
        <v>9213</v>
      </c>
    </row>
    <row r="689" spans="1:4" ht="14.5">
      <c r="A689" t="s">
        <v>5121</v>
      </c>
      <c r="B689" s="380" t="str">
        <f>CONCATENATE(LEFT(RIGHT(CONCATENATE("000",FTG_Data1920!A689),6),3),"-",(RIGHT(RIGHT(CONCATENATE("000",FTG_Data1920!A689),6),3)))</f>
        <v>127-901</v>
      </c>
      <c r="C689" s="105">
        <v>11734</v>
      </c>
      <c r="D689" s="105">
        <v>11392</v>
      </c>
    </row>
    <row r="690" spans="1:4" ht="14.5">
      <c r="A690" t="s">
        <v>5122</v>
      </c>
      <c r="B690" s="380" t="str">
        <f>CONCATENATE(LEFT(RIGHT(CONCATENATE("000",FTG_Data1920!A690),6),3),"-",(RIGHT(RIGHT(CONCATENATE("000",FTG_Data1920!A690),6),3)))</f>
        <v>127-903</v>
      </c>
      <c r="C690" s="105">
        <v>11849</v>
      </c>
      <c r="D690" s="105">
        <v>13291</v>
      </c>
    </row>
    <row r="691" spans="1:4" ht="14.5">
      <c r="A691" t="s">
        <v>5123</v>
      </c>
      <c r="B691" s="380" t="str">
        <f>CONCATENATE(LEFT(RIGHT(CONCATENATE("000",FTG_Data1920!A691),6),3),"-",(RIGHT(RIGHT(CONCATENATE("000",FTG_Data1920!A691),6),3)))</f>
        <v>127-904</v>
      </c>
      <c r="C691" s="105">
        <v>11331</v>
      </c>
      <c r="D691" s="105">
        <v>11001</v>
      </c>
    </row>
    <row r="692" spans="1:4" ht="14.5">
      <c r="A692" t="s">
        <v>3089</v>
      </c>
      <c r="B692" s="380" t="str">
        <f>CONCATENATE(LEFT(RIGHT(CONCATENATE("000",FTG_Data1920!A692),6),3),"-",(RIGHT(RIGHT(CONCATENATE("000",FTG_Data1920!A692),6),3)))</f>
        <v>127-905</v>
      </c>
      <c r="C692" s="105">
        <v>11849</v>
      </c>
      <c r="D692" s="105">
        <v>18474</v>
      </c>
    </row>
    <row r="693" spans="1:4" ht="14.5">
      <c r="A693" t="s">
        <v>3090</v>
      </c>
      <c r="B693" s="380" t="str">
        <f>CONCATENATE(LEFT(RIGHT(CONCATENATE("000",FTG_Data1920!A693),6),3),"-",(RIGHT(RIGHT(CONCATENATE("000",FTG_Data1920!A693),6),3)))</f>
        <v>127-906</v>
      </c>
      <c r="C693" s="105">
        <v>11560</v>
      </c>
      <c r="D693" s="105">
        <v>11223</v>
      </c>
    </row>
    <row r="694" spans="1:4" ht="14.5">
      <c r="A694" t="s">
        <v>4305</v>
      </c>
      <c r="B694" s="380" t="str">
        <f>CONCATENATE(LEFT(RIGHT(CONCATENATE("000",FTG_Data1920!A694),6),3),"-",(RIGHT(RIGHT(CONCATENATE("000",FTG_Data1920!A694),6),3)))</f>
        <v>128-901</v>
      </c>
      <c r="C694" s="105">
        <v>11849</v>
      </c>
      <c r="D694" s="105">
        <v>16892</v>
      </c>
    </row>
    <row r="695" spans="1:4" ht="14.5">
      <c r="A695" t="s">
        <v>3091</v>
      </c>
      <c r="B695" s="380" t="str">
        <f>CONCATENATE(LEFT(RIGHT(CONCATENATE("000",FTG_Data1920!A695),6),3),"-",(RIGHT(RIGHT(CONCATENATE("000",FTG_Data1920!A695),6),3)))</f>
        <v>128-902</v>
      </c>
      <c r="C695" s="105">
        <v>11849</v>
      </c>
      <c r="D695" s="105">
        <v>13255</v>
      </c>
    </row>
    <row r="696" spans="1:4" ht="14.5">
      <c r="A696" t="s">
        <v>5124</v>
      </c>
      <c r="B696" s="380" t="str">
        <f>CONCATENATE(LEFT(RIGHT(CONCATENATE("000",FTG_Data1920!A696),6),3),"-",(RIGHT(RIGHT(CONCATENATE("000",FTG_Data1920!A696),6),3)))</f>
        <v>128-903</v>
      </c>
      <c r="C696" s="105">
        <v>11849</v>
      </c>
      <c r="D696" s="105">
        <v>13361</v>
      </c>
    </row>
    <row r="697" spans="1:4" ht="14.5">
      <c r="A697" t="s">
        <v>3092</v>
      </c>
      <c r="B697" s="380" t="str">
        <f>CONCATENATE(LEFT(RIGHT(CONCATENATE("000",FTG_Data1920!A697),6),3),"-",(RIGHT(RIGHT(CONCATENATE("000",FTG_Data1920!A697),6),3)))</f>
        <v>128-904</v>
      </c>
      <c r="C697" s="105">
        <v>11849</v>
      </c>
      <c r="D697" s="105">
        <v>14155</v>
      </c>
    </row>
    <row r="698" spans="1:4" ht="14.5">
      <c r="A698" t="s">
        <v>3093</v>
      </c>
      <c r="B698" s="380" t="str">
        <f>CONCATENATE(LEFT(RIGHT(CONCATENATE("000",FTG_Data1920!A698),6),3),"-",(RIGHT(RIGHT(CONCATENATE("000",FTG_Data1920!A698),6),3)))</f>
        <v>129-901</v>
      </c>
      <c r="C698" s="105">
        <v>8767</v>
      </c>
      <c r="D698" s="105">
        <v>8511</v>
      </c>
    </row>
    <row r="699" spans="1:4" ht="14.5">
      <c r="A699" t="s">
        <v>3094</v>
      </c>
      <c r="B699" s="380" t="str">
        <f>CONCATENATE(LEFT(RIGHT(CONCATENATE("000",FTG_Data1920!A699),6),3),"-",(RIGHT(RIGHT(CONCATENATE("000",FTG_Data1920!A699),6),3)))</f>
        <v>129-902</v>
      </c>
      <c r="C699" s="105">
        <v>8442</v>
      </c>
      <c r="D699" s="105">
        <v>8196</v>
      </c>
    </row>
    <row r="700" spans="1:4" ht="14.5">
      <c r="A700" t="s">
        <v>3095</v>
      </c>
      <c r="B700" s="380" t="str">
        <f>CONCATENATE(LEFT(RIGHT(CONCATENATE("000",FTG_Data1920!A700),6),3),"-",(RIGHT(RIGHT(CONCATENATE("000",FTG_Data1920!A700),6),3)))</f>
        <v>129-903</v>
      </c>
      <c r="C700" s="105">
        <v>10283</v>
      </c>
      <c r="D700" s="105">
        <v>9984</v>
      </c>
    </row>
    <row r="701" spans="1:4" ht="14.5">
      <c r="A701" t="s">
        <v>3096</v>
      </c>
      <c r="B701" s="380" t="str">
        <f>CONCATENATE(LEFT(RIGHT(CONCATENATE("000",FTG_Data1920!A701),6),3),"-",(RIGHT(RIGHT(CONCATENATE("000",FTG_Data1920!A701),6),3)))</f>
        <v>129-904</v>
      </c>
      <c r="C701" s="105">
        <v>11026</v>
      </c>
      <c r="D701" s="105">
        <v>10705</v>
      </c>
    </row>
    <row r="702" spans="1:4" ht="14.5">
      <c r="A702" t="s">
        <v>5125</v>
      </c>
      <c r="B702" s="380" t="str">
        <f>CONCATENATE(LEFT(RIGHT(CONCATENATE("000",FTG_Data1920!A702),6),3),"-",(RIGHT(RIGHT(CONCATENATE("000",FTG_Data1920!A702),6),3)))</f>
        <v>129-905</v>
      </c>
      <c r="C702" s="105">
        <v>8795</v>
      </c>
      <c r="D702" s="105">
        <v>8539</v>
      </c>
    </row>
    <row r="703" spans="1:4" ht="14.5">
      <c r="A703" t="s">
        <v>5126</v>
      </c>
      <c r="B703" s="380" t="str">
        <f>CONCATENATE(LEFT(RIGHT(CONCATENATE("000",FTG_Data1920!A703),6),3),"-",(RIGHT(RIGHT(CONCATENATE("000",FTG_Data1920!A703),6),3)))</f>
        <v>129-906</v>
      </c>
      <c r="C703" s="105">
        <v>10674</v>
      </c>
      <c r="D703" s="105">
        <v>10363</v>
      </c>
    </row>
    <row r="704" spans="1:4" ht="14.5">
      <c r="A704" t="s">
        <v>3097</v>
      </c>
      <c r="B704" s="380" t="str">
        <f>CONCATENATE(LEFT(RIGHT(CONCATENATE("000",FTG_Data1920!A704),6),3),"-",(RIGHT(RIGHT(CONCATENATE("000",FTG_Data1920!A704),6),3)))</f>
        <v>129-910</v>
      </c>
      <c r="C704" s="105">
        <v>11479</v>
      </c>
      <c r="D704" s="105">
        <v>11145</v>
      </c>
    </row>
    <row r="705" spans="1:4" ht="14.5">
      <c r="A705" t="s">
        <v>8055</v>
      </c>
      <c r="B705" s="380" t="str">
        <f>CONCATENATE(LEFT(RIGHT(CONCATENATE("000",FTG_Data1920!A705),6),3),"-",(RIGHT(RIGHT(CONCATENATE("000",FTG_Data1920!A705),6),3)))</f>
        <v>130-801</v>
      </c>
      <c r="C705" s="105">
        <v>11849</v>
      </c>
      <c r="D705" s="105">
        <v>17894</v>
      </c>
    </row>
    <row r="706" spans="1:4" ht="14.5">
      <c r="A706" t="s">
        <v>5127</v>
      </c>
      <c r="B706" s="380" t="str">
        <f>CONCATENATE(LEFT(RIGHT(CONCATENATE("000",FTG_Data1920!A706),6),3),"-",(RIGHT(RIGHT(CONCATENATE("000",FTG_Data1920!A706),6),3)))</f>
        <v>130-901</v>
      </c>
      <c r="C706" s="105">
        <v>8202</v>
      </c>
      <c r="D706" s="105">
        <v>7964</v>
      </c>
    </row>
    <row r="707" spans="1:4" ht="14.5">
      <c r="A707" t="s">
        <v>5128</v>
      </c>
      <c r="B707" s="380" t="str">
        <f>CONCATENATE(LEFT(RIGHT(CONCATENATE("000",FTG_Data1920!A707),6),3),"-",(RIGHT(RIGHT(CONCATENATE("000",FTG_Data1920!A707),6),3)))</f>
        <v>130-902</v>
      </c>
      <c r="C707" s="105">
        <v>11653</v>
      </c>
      <c r="D707" s="105">
        <v>11313</v>
      </c>
    </row>
    <row r="708" spans="1:4" ht="14.5">
      <c r="A708" t="s">
        <v>5129</v>
      </c>
      <c r="B708" s="380" t="str">
        <f>CONCATENATE(LEFT(RIGHT(CONCATENATE("000",FTG_Data1920!A708),6),3),"-",(RIGHT(RIGHT(CONCATENATE("000",FTG_Data1920!A708),6),3)))</f>
        <v>131-001</v>
      </c>
      <c r="C708" s="105">
        <v>11849</v>
      </c>
      <c r="D708" s="105">
        <v>27209</v>
      </c>
    </row>
    <row r="709" spans="1:4" ht="14.5">
      <c r="A709" t="s">
        <v>5828</v>
      </c>
      <c r="B709" s="380" t="str">
        <f>CONCATENATE(LEFT(RIGHT(CONCATENATE("000",FTG_Data1920!A709),6),3),"-",(RIGHT(RIGHT(CONCATENATE("000",FTG_Data1920!A709),6),3)))</f>
        <v>132-902</v>
      </c>
      <c r="C709" s="105">
        <v>11849</v>
      </c>
      <c r="D709" s="105">
        <v>15170</v>
      </c>
    </row>
    <row r="710" spans="1:4" ht="14.5">
      <c r="A710" t="s">
        <v>3098</v>
      </c>
      <c r="B710" s="380" t="str">
        <f>CONCATENATE(LEFT(RIGHT(CONCATENATE("000",FTG_Data1920!A710),6),3),"-",(RIGHT(RIGHT(CONCATENATE("000",FTG_Data1920!A710),6),3)))</f>
        <v>133-901</v>
      </c>
      <c r="C710" s="105">
        <v>11702</v>
      </c>
      <c r="D710" s="105">
        <v>11361</v>
      </c>
    </row>
    <row r="711" spans="1:4" ht="14.5">
      <c r="A711" t="s">
        <v>5130</v>
      </c>
      <c r="B711" s="380" t="str">
        <f>CONCATENATE(LEFT(RIGHT(CONCATENATE("000",FTG_Data1920!A711),6),3),"-",(RIGHT(RIGHT(CONCATENATE("000",FTG_Data1920!A711),6),3)))</f>
        <v>133-902</v>
      </c>
      <c r="C711" s="105">
        <v>11849</v>
      </c>
      <c r="D711" s="105">
        <v>12483</v>
      </c>
    </row>
    <row r="712" spans="1:4" ht="14.5">
      <c r="A712" t="s">
        <v>5131</v>
      </c>
      <c r="B712" s="380" t="str">
        <f>CONCATENATE(LEFT(RIGHT(CONCATENATE("000",FTG_Data1920!A712),6),3),"-",(RIGHT(RIGHT(CONCATENATE("000",FTG_Data1920!A712),6),3)))</f>
        <v>133-903</v>
      </c>
      <c r="C712" s="105">
        <v>8333</v>
      </c>
      <c r="D712" s="105">
        <v>8090</v>
      </c>
    </row>
    <row r="713" spans="1:4" ht="14.5">
      <c r="A713" t="s">
        <v>5132</v>
      </c>
      <c r="B713" s="380" t="str">
        <f>CONCATENATE(LEFT(RIGHT(CONCATENATE("000",FTG_Data1920!A713),6),3),"-",(RIGHT(RIGHT(CONCATENATE("000",FTG_Data1920!A713),6),3)))</f>
        <v>133-904</v>
      </c>
      <c r="C713" s="105">
        <v>10330</v>
      </c>
      <c r="D713" s="105">
        <v>10029</v>
      </c>
    </row>
    <row r="714" spans="1:4" ht="14.5">
      <c r="A714" t="s">
        <v>5829</v>
      </c>
      <c r="B714" s="380" t="str">
        <f>CONCATENATE(LEFT(RIGHT(CONCATENATE("000",FTG_Data1920!A714),6),3),"-",(RIGHT(RIGHT(CONCATENATE("000",FTG_Data1920!A714),6),3)))</f>
        <v>133-905</v>
      </c>
      <c r="C714" s="105">
        <v>11849</v>
      </c>
      <c r="D714" s="105">
        <v>26513</v>
      </c>
    </row>
    <row r="715" spans="1:4" ht="14.5">
      <c r="A715" t="s">
        <v>5830</v>
      </c>
      <c r="B715" s="380" t="str">
        <f>CONCATENATE(LEFT(RIGHT(CONCATENATE("000",FTG_Data1920!A715),6),3),"-",(RIGHT(RIGHT(CONCATENATE("000",FTG_Data1920!A715),6),3)))</f>
        <v>134-901</v>
      </c>
      <c r="C715" s="105">
        <v>11849</v>
      </c>
      <c r="D715" s="105">
        <v>12254</v>
      </c>
    </row>
    <row r="716" spans="1:4" ht="14.5">
      <c r="A716" t="s">
        <v>5133</v>
      </c>
      <c r="B716" s="380" t="str">
        <f>CONCATENATE(LEFT(RIGHT(CONCATENATE("000",FTG_Data1920!A716),6),3),"-",(RIGHT(RIGHT(CONCATENATE("000",FTG_Data1920!A716),6),3)))</f>
        <v>135-001</v>
      </c>
      <c r="C716" s="105">
        <v>11849</v>
      </c>
      <c r="D716" s="105">
        <v>22892</v>
      </c>
    </row>
    <row r="717" spans="1:4" ht="14.5">
      <c r="A717" t="s">
        <v>5831</v>
      </c>
      <c r="B717" s="380" t="str">
        <f>CONCATENATE(LEFT(RIGHT(CONCATENATE("000",FTG_Data1920!A717),6),3),"-",(RIGHT(RIGHT(CONCATENATE("000",FTG_Data1920!A717),6),3)))</f>
        <v>136-901</v>
      </c>
      <c r="C717" s="105">
        <v>11849</v>
      </c>
      <c r="D717" s="105">
        <v>14558</v>
      </c>
    </row>
    <row r="718" spans="1:4" ht="14.5">
      <c r="A718" t="s">
        <v>3099</v>
      </c>
      <c r="B718" s="380" t="str">
        <f>CONCATENATE(LEFT(RIGHT(CONCATENATE("000",FTG_Data1920!A718),6),3),"-",(RIGHT(RIGHT(CONCATENATE("000",FTG_Data1920!A718),6),3)))</f>
        <v>137-901</v>
      </c>
      <c r="C718" s="105">
        <v>10321</v>
      </c>
      <c r="D718" s="105">
        <v>10020</v>
      </c>
    </row>
    <row r="719" spans="1:4" ht="14.5">
      <c r="A719" t="s">
        <v>5832</v>
      </c>
      <c r="B719" s="380" t="str">
        <f>CONCATENATE(LEFT(RIGHT(CONCATENATE("000",FTG_Data1920!A719),6),3),"-",(RIGHT(RIGHT(CONCATENATE("000",FTG_Data1920!A719),6),3)))</f>
        <v>137-902</v>
      </c>
      <c r="C719" s="105">
        <v>11849</v>
      </c>
      <c r="D719" s="105">
        <v>11734</v>
      </c>
    </row>
    <row r="720" spans="1:4" ht="14.5">
      <c r="A720" t="s">
        <v>5833</v>
      </c>
      <c r="B720" s="380" t="str">
        <f>CONCATENATE(LEFT(RIGHT(CONCATENATE("000",FTG_Data1920!A720),6),3),"-",(RIGHT(RIGHT(CONCATENATE("000",FTG_Data1920!A720),6),3)))</f>
        <v>137-903</v>
      </c>
      <c r="C720" s="105">
        <v>11849</v>
      </c>
      <c r="D720" s="105">
        <v>13594</v>
      </c>
    </row>
    <row r="721" spans="1:4" ht="14.5">
      <c r="A721" t="s">
        <v>5134</v>
      </c>
      <c r="B721" s="380" t="str">
        <f>CONCATENATE(LEFT(RIGHT(CONCATENATE("000",FTG_Data1920!A721),6),3),"-",(RIGHT(RIGHT(CONCATENATE("000",FTG_Data1920!A721),6),3)))</f>
        <v>137-904</v>
      </c>
      <c r="C721" s="105">
        <v>10119</v>
      </c>
      <c r="D721" s="105">
        <v>9824</v>
      </c>
    </row>
    <row r="722" spans="1:4" ht="14.5">
      <c r="A722" t="s">
        <v>3100</v>
      </c>
      <c r="B722" s="380" t="str">
        <f>CONCATENATE(LEFT(RIGHT(CONCATENATE("000",FTG_Data1920!A722),6),3),"-",(RIGHT(RIGHT(CONCATENATE("000",FTG_Data1920!A722),6),3)))</f>
        <v>138-902</v>
      </c>
      <c r="C722" s="105">
        <v>11849</v>
      </c>
      <c r="D722" s="105">
        <v>12791</v>
      </c>
    </row>
    <row r="723" spans="1:4" ht="14.5">
      <c r="A723" t="s">
        <v>5834</v>
      </c>
      <c r="B723" s="380" t="str">
        <f>CONCATENATE(LEFT(RIGHT(CONCATENATE("000",FTG_Data1920!A723),6),3),"-",(RIGHT(RIGHT(CONCATENATE("000",FTG_Data1920!A723),6),3)))</f>
        <v>138-903</v>
      </c>
      <c r="C723" s="105">
        <v>11849</v>
      </c>
      <c r="D723" s="105">
        <v>13133</v>
      </c>
    </row>
    <row r="724" spans="1:4" ht="14.5">
      <c r="A724" t="s">
        <v>5835</v>
      </c>
      <c r="B724" s="380" t="str">
        <f>CONCATENATE(LEFT(RIGHT(CONCATENATE("000",FTG_Data1920!A724),6),3),"-",(RIGHT(RIGHT(CONCATENATE("000",FTG_Data1920!A724),6),3)))</f>
        <v>138-904</v>
      </c>
      <c r="C724" s="105">
        <v>11849</v>
      </c>
      <c r="D724" s="105">
        <v>16202</v>
      </c>
    </row>
    <row r="725" spans="1:4" ht="14.5">
      <c r="A725" t="s">
        <v>5135</v>
      </c>
      <c r="B725" s="380" t="str">
        <f>CONCATENATE(LEFT(RIGHT(CONCATENATE("000",FTG_Data1920!A725),6),3),"-",(RIGHT(RIGHT(CONCATENATE("000",FTG_Data1920!A725),6),3)))</f>
        <v>139-905</v>
      </c>
      <c r="C725" s="105">
        <v>9144</v>
      </c>
      <c r="D725" s="105">
        <v>8877</v>
      </c>
    </row>
    <row r="726" spans="1:4" ht="14.5">
      <c r="A726" t="s">
        <v>3102</v>
      </c>
      <c r="B726" s="380" t="str">
        <f>CONCATENATE(LEFT(RIGHT(CONCATENATE("000",FTG_Data1920!A726),6),3),"-",(RIGHT(RIGHT(CONCATENATE("000",FTG_Data1920!A726),6),3)))</f>
        <v>139-909</v>
      </c>
      <c r="C726" s="105">
        <v>9910</v>
      </c>
      <c r="D726" s="105">
        <v>9621</v>
      </c>
    </row>
    <row r="727" spans="1:4" ht="14.5">
      <c r="A727" t="s">
        <v>5136</v>
      </c>
      <c r="B727" s="380" t="str">
        <f>CONCATENATE(LEFT(RIGHT(CONCATENATE("000",FTG_Data1920!A727),6),3),"-",(RIGHT(RIGHT(CONCATENATE("000",FTG_Data1920!A727),6),3)))</f>
        <v>139-911</v>
      </c>
      <c r="C727" s="105">
        <v>8791</v>
      </c>
      <c r="D727" s="105">
        <v>8535</v>
      </c>
    </row>
    <row r="728" spans="1:4" ht="14.5">
      <c r="A728" t="s">
        <v>3103</v>
      </c>
      <c r="B728" s="380" t="str">
        <f>CONCATENATE(LEFT(RIGHT(CONCATENATE("000",FTG_Data1920!A728),6),3),"-",(RIGHT(RIGHT(CONCATENATE("000",FTG_Data1920!A728),6),3)))</f>
        <v>139-912</v>
      </c>
      <c r="C728" s="105">
        <v>9077</v>
      </c>
      <c r="D728" s="105">
        <v>8812</v>
      </c>
    </row>
    <row r="729" spans="1:4" ht="14.5">
      <c r="A729" t="s">
        <v>5836</v>
      </c>
      <c r="B729" s="380" t="str">
        <f>CONCATENATE(LEFT(RIGHT(CONCATENATE("000",FTG_Data1920!A729),6),3),"-",(RIGHT(RIGHT(CONCATENATE("000",FTG_Data1920!A729),6),3)))</f>
        <v>140-901</v>
      </c>
      <c r="C729" s="105">
        <v>11849</v>
      </c>
      <c r="D729" s="105">
        <v>16042</v>
      </c>
    </row>
    <row r="730" spans="1:4" ht="14.5">
      <c r="A730" t="s">
        <v>5837</v>
      </c>
      <c r="B730" s="380" t="str">
        <f>CONCATENATE(LEFT(RIGHT(CONCATENATE("000",FTG_Data1920!A730),6),3),"-",(RIGHT(RIGHT(CONCATENATE("000",FTG_Data1920!A730),6),3)))</f>
        <v>140-904</v>
      </c>
      <c r="C730" s="105">
        <v>9598</v>
      </c>
      <c r="D730" s="105">
        <v>9318</v>
      </c>
    </row>
    <row r="731" spans="1:4" ht="14.5">
      <c r="A731" t="s">
        <v>4347</v>
      </c>
      <c r="B731" s="380" t="str">
        <f>CONCATENATE(LEFT(RIGHT(CONCATENATE("000",FTG_Data1920!A731),6),3),"-",(RIGHT(RIGHT(CONCATENATE("000",FTG_Data1920!A731),6),3)))</f>
        <v>140-905</v>
      </c>
      <c r="C731" s="105">
        <v>11849</v>
      </c>
      <c r="D731" s="105">
        <v>12538</v>
      </c>
    </row>
    <row r="732" spans="1:4" ht="14.5">
      <c r="A732" t="s">
        <v>5838</v>
      </c>
      <c r="B732" s="380" t="str">
        <f>CONCATENATE(LEFT(RIGHT(CONCATENATE("000",FTG_Data1920!A732),6),3),"-",(RIGHT(RIGHT(CONCATENATE("000",FTG_Data1920!A732),6),3)))</f>
        <v>140-907</v>
      </c>
      <c r="C732" s="105">
        <v>11849</v>
      </c>
      <c r="D732" s="105">
        <v>13448</v>
      </c>
    </row>
    <row r="733" spans="1:4" ht="14.5">
      <c r="A733" t="s">
        <v>5137</v>
      </c>
      <c r="B733" s="380" t="str">
        <f>CONCATENATE(LEFT(RIGHT(CONCATENATE("000",FTG_Data1920!A733),6),3),"-",(RIGHT(RIGHT(CONCATENATE("000",FTG_Data1920!A733),6),3)))</f>
        <v>140-908</v>
      </c>
      <c r="C733" s="105">
        <v>11849</v>
      </c>
      <c r="D733" s="105">
        <v>12386</v>
      </c>
    </row>
    <row r="734" spans="1:4" ht="14.5">
      <c r="A734" t="s">
        <v>3104</v>
      </c>
      <c r="B734" s="380" t="str">
        <f>CONCATENATE(LEFT(RIGHT(CONCATENATE("000",FTG_Data1920!A734),6),3),"-",(RIGHT(RIGHT(CONCATENATE("000",FTG_Data1920!A734),6),3)))</f>
        <v>141-901</v>
      </c>
      <c r="C734" s="105">
        <v>9645</v>
      </c>
      <c r="D734" s="105">
        <v>9364</v>
      </c>
    </row>
    <row r="735" spans="1:4" ht="14.5">
      <c r="A735" t="s">
        <v>5138</v>
      </c>
      <c r="B735" s="380" t="str">
        <f>CONCATENATE(LEFT(RIGHT(CONCATENATE("000",FTG_Data1920!A735),6),3),"-",(RIGHT(RIGHT(CONCATENATE("000",FTG_Data1920!A735),6),3)))</f>
        <v>141-902</v>
      </c>
      <c r="C735" s="105">
        <v>11849</v>
      </c>
      <c r="D735" s="105">
        <v>11919</v>
      </c>
    </row>
    <row r="736" spans="1:4" ht="14.5">
      <c r="A736" t="s">
        <v>3105</v>
      </c>
      <c r="B736" s="380" t="str">
        <f>CONCATENATE(LEFT(RIGHT(CONCATENATE("000",FTG_Data1920!A736),6),3),"-",(RIGHT(RIGHT(CONCATENATE("000",FTG_Data1920!A736),6),3)))</f>
        <v>142-901</v>
      </c>
      <c r="C736" s="105">
        <v>11849</v>
      </c>
      <c r="D736" s="105">
        <v>17027</v>
      </c>
    </row>
    <row r="737" spans="1:4" ht="14.5">
      <c r="A737" t="s">
        <v>5139</v>
      </c>
      <c r="B737" s="380" t="str">
        <f>CONCATENATE(LEFT(RIGHT(CONCATENATE("000",FTG_Data1920!A737),6),3),"-",(RIGHT(RIGHT(CONCATENATE("000",FTG_Data1920!A737),6),3)))</f>
        <v>143-901</v>
      </c>
      <c r="C737" s="105">
        <v>10745</v>
      </c>
      <c r="D737" s="105">
        <v>10432</v>
      </c>
    </row>
    <row r="738" spans="1:4" ht="14.5">
      <c r="A738" t="s">
        <v>5839</v>
      </c>
      <c r="B738" s="380" t="str">
        <f>CONCATENATE(LEFT(RIGHT(CONCATENATE("000",FTG_Data1920!A738),6),3),"-",(RIGHT(RIGHT(CONCATENATE("000",FTG_Data1920!A738),6),3)))</f>
        <v>143-902</v>
      </c>
      <c r="C738" s="105">
        <v>11849</v>
      </c>
      <c r="D738" s="105">
        <v>15842</v>
      </c>
    </row>
    <row r="739" spans="1:4" ht="14.5">
      <c r="A739" t="s">
        <v>5840</v>
      </c>
      <c r="B739" s="380" t="str">
        <f>CONCATENATE(LEFT(RIGHT(CONCATENATE("000",FTG_Data1920!A739),6),3),"-",(RIGHT(RIGHT(CONCATENATE("000",FTG_Data1920!A739),6),3)))</f>
        <v>143-903</v>
      </c>
      <c r="C739" s="105">
        <v>11849</v>
      </c>
      <c r="D739" s="105">
        <v>12385</v>
      </c>
    </row>
    <row r="740" spans="1:4" ht="14.5">
      <c r="A740" t="s">
        <v>5841</v>
      </c>
      <c r="B740" s="380" t="str">
        <f>CONCATENATE(LEFT(RIGHT(CONCATENATE("000",FTG_Data1920!A740),6),3),"-",(RIGHT(RIGHT(CONCATENATE("000",FTG_Data1920!A740),6),3)))</f>
        <v>143-904</v>
      </c>
      <c r="C740" s="105">
        <v>11849</v>
      </c>
      <c r="D740" s="105">
        <v>11701</v>
      </c>
    </row>
    <row r="741" spans="1:4" ht="14.5">
      <c r="A741" t="s">
        <v>5842</v>
      </c>
      <c r="B741" s="380" t="str">
        <f>CONCATENATE(LEFT(RIGHT(CONCATENATE("000",FTG_Data1920!A741),6),3),"-",(RIGHT(RIGHT(CONCATENATE("000",FTG_Data1920!A741),6),3)))</f>
        <v>143-905</v>
      </c>
      <c r="C741" s="105">
        <v>11561</v>
      </c>
      <c r="D741" s="105">
        <v>11225</v>
      </c>
    </row>
    <row r="742" spans="1:4" ht="14.5">
      <c r="A742" t="s">
        <v>5140</v>
      </c>
      <c r="B742" s="380" t="str">
        <f>CONCATENATE(LEFT(RIGHT(CONCATENATE("000",FTG_Data1920!A742),6),3),"-",(RIGHT(RIGHT(CONCATENATE("000",FTG_Data1920!A742),6),3)))</f>
        <v>143-906</v>
      </c>
      <c r="C742" s="105">
        <v>11849</v>
      </c>
      <c r="D742" s="105">
        <v>12107</v>
      </c>
    </row>
    <row r="743" spans="1:4" ht="14.5">
      <c r="A743" t="s">
        <v>5141</v>
      </c>
      <c r="B743" s="380" t="str">
        <f>CONCATENATE(LEFT(RIGHT(CONCATENATE("000",FTG_Data1920!A743),6),3),"-",(RIGHT(RIGHT(CONCATENATE("000",FTG_Data1920!A743),6),3)))</f>
        <v>144-901</v>
      </c>
      <c r="C743" s="105">
        <v>10369</v>
      </c>
      <c r="D743" s="105">
        <v>10067</v>
      </c>
    </row>
    <row r="744" spans="1:4" ht="14.5">
      <c r="A744" t="s">
        <v>5142</v>
      </c>
      <c r="B744" s="380" t="str">
        <f>CONCATENATE(LEFT(RIGHT(CONCATENATE("000",FTG_Data1920!A744),6),3),"-",(RIGHT(RIGHT(CONCATENATE("000",FTG_Data1920!A744),6),3)))</f>
        <v>144-902</v>
      </c>
      <c r="C744" s="105">
        <v>11198</v>
      </c>
      <c r="D744" s="105">
        <v>10872</v>
      </c>
    </row>
    <row r="745" spans="1:4" ht="14.5">
      <c r="A745" t="s">
        <v>5843</v>
      </c>
      <c r="B745" s="380" t="str">
        <f>CONCATENATE(LEFT(RIGHT(CONCATENATE("000",FTG_Data1920!A745),6),3),"-",(RIGHT(RIGHT(CONCATENATE("000",FTG_Data1920!A745),6),3)))</f>
        <v>144-903</v>
      </c>
      <c r="C745" s="105">
        <v>11849</v>
      </c>
      <c r="D745" s="105">
        <v>18329</v>
      </c>
    </row>
    <row r="746" spans="1:4" ht="14.5">
      <c r="A746" t="s">
        <v>5143</v>
      </c>
      <c r="B746" s="380" t="str">
        <f>CONCATENATE(LEFT(RIGHT(CONCATENATE("000",FTG_Data1920!A746),6),3),"-",(RIGHT(RIGHT(CONCATENATE("000",FTG_Data1920!A746),6),3)))</f>
        <v>145-901</v>
      </c>
      <c r="C746" s="105">
        <v>11551</v>
      </c>
      <c r="D746" s="105">
        <v>11215</v>
      </c>
    </row>
    <row r="747" spans="1:4" ht="14.5">
      <c r="A747" t="s">
        <v>5144</v>
      </c>
      <c r="B747" s="380" t="str">
        <f>CONCATENATE(LEFT(RIGHT(CONCATENATE("000",FTG_Data1920!A747),6),3),"-",(RIGHT(RIGHT(CONCATENATE("000",FTG_Data1920!A747),6),3)))</f>
        <v>145-902</v>
      </c>
      <c r="C747" s="105">
        <v>10718</v>
      </c>
      <c r="D747" s="105">
        <v>10405</v>
      </c>
    </row>
    <row r="748" spans="1:4" ht="14.5">
      <c r="A748" t="s">
        <v>5145</v>
      </c>
      <c r="B748" s="380" t="str">
        <f>CONCATENATE(LEFT(RIGHT(CONCATENATE("000",FTG_Data1920!A748),6),3),"-",(RIGHT(RIGHT(CONCATENATE("000",FTG_Data1920!A748),6),3)))</f>
        <v>145-906</v>
      </c>
      <c r="C748" s="105">
        <v>9823</v>
      </c>
      <c r="D748" s="105">
        <v>9537</v>
      </c>
    </row>
    <row r="749" spans="1:4" ht="14.5">
      <c r="A749" t="s">
        <v>5146</v>
      </c>
      <c r="B749" s="380" t="str">
        <f>CONCATENATE(LEFT(RIGHT(CONCATENATE("000",FTG_Data1920!A749),6),3),"-",(RIGHT(RIGHT(CONCATENATE("000",FTG_Data1920!A749),6),3)))</f>
        <v>145-907</v>
      </c>
      <c r="C749" s="105">
        <v>11849</v>
      </c>
      <c r="D749" s="105">
        <v>12745</v>
      </c>
    </row>
    <row r="750" spans="1:4" ht="14.5">
      <c r="A750" t="s">
        <v>5147</v>
      </c>
      <c r="B750" s="380" t="str">
        <f>CONCATENATE(LEFT(RIGHT(CONCATENATE("000",FTG_Data1920!A750),6),3),"-",(RIGHT(RIGHT(CONCATENATE("000",FTG_Data1920!A750),6),3)))</f>
        <v>145-911</v>
      </c>
      <c r="C750" s="105">
        <v>11849</v>
      </c>
      <c r="D750" s="105">
        <v>12212</v>
      </c>
    </row>
    <row r="751" spans="1:4" ht="14.5">
      <c r="A751" t="s">
        <v>3106</v>
      </c>
      <c r="B751" s="380" t="str">
        <f>CONCATENATE(LEFT(RIGHT(CONCATENATE("000",FTG_Data1920!A751),6),3),"-",(RIGHT(RIGHT(CONCATENATE("000",FTG_Data1920!A751),6),3)))</f>
        <v>146-901</v>
      </c>
      <c r="C751" s="105">
        <v>9487</v>
      </c>
      <c r="D751" s="105">
        <v>9210</v>
      </c>
    </row>
    <row r="752" spans="1:4" ht="14.5">
      <c r="A752" t="s">
        <v>3107</v>
      </c>
      <c r="B752" s="380" t="str">
        <f>CONCATENATE(LEFT(RIGHT(CONCATENATE("000",FTG_Data1920!A752),6),3),"-",(RIGHT(RIGHT(CONCATENATE("000",FTG_Data1920!A752),6),3)))</f>
        <v>146-902</v>
      </c>
      <c r="C752" s="105">
        <v>8914</v>
      </c>
      <c r="D752" s="105">
        <v>8654</v>
      </c>
    </row>
    <row r="753" spans="1:4" ht="14.5">
      <c r="A753" t="s">
        <v>5148</v>
      </c>
      <c r="B753" s="380" t="str">
        <f>CONCATENATE(LEFT(RIGHT(CONCATENATE("000",FTG_Data1920!A753),6),3),"-",(RIGHT(RIGHT(CONCATENATE("000",FTG_Data1920!A753),6),3)))</f>
        <v>146-903</v>
      </c>
      <c r="C753" s="105">
        <v>11849</v>
      </c>
      <c r="D753" s="105">
        <v>13781</v>
      </c>
    </row>
    <row r="754" spans="1:4" ht="14.5">
      <c r="A754" t="s">
        <v>3108</v>
      </c>
      <c r="B754" s="380" t="str">
        <f>CONCATENATE(LEFT(RIGHT(CONCATENATE("000",FTG_Data1920!A754),6),3),"-",(RIGHT(RIGHT(CONCATENATE("000",FTG_Data1920!A754),6),3)))</f>
        <v>146-904</v>
      </c>
      <c r="C754" s="105">
        <v>9527</v>
      </c>
      <c r="D754" s="105">
        <v>9249</v>
      </c>
    </row>
    <row r="755" spans="1:4" ht="14.5">
      <c r="A755" t="s">
        <v>3109</v>
      </c>
      <c r="B755" s="380" t="str">
        <f>CONCATENATE(LEFT(RIGHT(CONCATENATE("000",FTG_Data1920!A755),6),3),"-",(RIGHT(RIGHT(CONCATENATE("000",FTG_Data1920!A755),6),3)))</f>
        <v>146-905</v>
      </c>
      <c r="C755" s="105">
        <v>11849</v>
      </c>
      <c r="D755" s="105">
        <v>12738</v>
      </c>
    </row>
    <row r="756" spans="1:4" ht="14.5">
      <c r="A756" t="s">
        <v>5149</v>
      </c>
      <c r="B756" s="380" t="str">
        <f>CONCATENATE(LEFT(RIGHT(CONCATENATE("000",FTG_Data1920!A756),6),3),"-",(RIGHT(RIGHT(CONCATENATE("000",FTG_Data1920!A756),6),3)))</f>
        <v>146-906</v>
      </c>
      <c r="C756" s="105">
        <v>9589</v>
      </c>
      <c r="D756" s="105">
        <v>9310</v>
      </c>
    </row>
    <row r="757" spans="1:4" ht="14.5">
      <c r="A757" t="s">
        <v>5150</v>
      </c>
      <c r="B757" s="380" t="str">
        <f>CONCATENATE(LEFT(RIGHT(CONCATENATE("000",FTG_Data1920!A757),6),3),"-",(RIGHT(RIGHT(CONCATENATE("000",FTG_Data1920!A757),6),3)))</f>
        <v>146-907</v>
      </c>
      <c r="C757" s="105">
        <v>9236</v>
      </c>
      <c r="D757" s="105">
        <v>8967</v>
      </c>
    </row>
    <row r="758" spans="1:4" ht="14.5">
      <c r="A758" t="s">
        <v>3110</v>
      </c>
      <c r="B758" s="380" t="str">
        <f>CONCATENATE(LEFT(RIGHT(CONCATENATE("000",FTG_Data1920!A758),6),3),"-",(RIGHT(RIGHT(CONCATENATE("000",FTG_Data1920!A758),6),3)))</f>
        <v>147-901</v>
      </c>
      <c r="C758" s="105">
        <v>11849</v>
      </c>
      <c r="D758" s="105">
        <v>12999</v>
      </c>
    </row>
    <row r="759" spans="1:4" ht="14.5">
      <c r="A759" t="s">
        <v>5151</v>
      </c>
      <c r="B759" s="380" t="str">
        <f>CONCATENATE(LEFT(RIGHT(CONCATENATE("000",FTG_Data1920!A759),6),3),"-",(RIGHT(RIGHT(CONCATENATE("000",FTG_Data1920!A759),6),3)))</f>
        <v>147-902</v>
      </c>
      <c r="C759" s="105">
        <v>9524</v>
      </c>
      <c r="D759" s="105">
        <v>9147</v>
      </c>
    </row>
    <row r="760" spans="1:4" ht="14.5">
      <c r="A760" t="s">
        <v>5152</v>
      </c>
      <c r="B760" s="380" t="str">
        <f>CONCATENATE(LEFT(RIGHT(CONCATENATE("000",FTG_Data1920!A760),6),3),"-",(RIGHT(RIGHT(CONCATENATE("000",FTG_Data1920!A760),6),3)))</f>
        <v>147-903</v>
      </c>
      <c r="C760" s="105">
        <v>10695</v>
      </c>
      <c r="D760" s="105">
        <v>10383</v>
      </c>
    </row>
    <row r="761" spans="1:4" ht="14.5">
      <c r="A761" t="s">
        <v>5153</v>
      </c>
      <c r="B761" s="380" t="str">
        <f>CONCATENATE(LEFT(RIGHT(CONCATENATE("000",FTG_Data1920!A761),6),3),"-",(RIGHT(RIGHT(CONCATENATE("000",FTG_Data1920!A761),6),3)))</f>
        <v>148-901</v>
      </c>
      <c r="C761" s="105">
        <v>11849</v>
      </c>
      <c r="D761" s="105">
        <v>13907</v>
      </c>
    </row>
    <row r="762" spans="1:4" ht="14.5">
      <c r="A762" t="s">
        <v>5154</v>
      </c>
      <c r="B762" s="380" t="str">
        <f>CONCATENATE(LEFT(RIGHT(CONCATENATE("000",FTG_Data1920!A762),6),3),"-",(RIGHT(RIGHT(CONCATENATE("000",FTG_Data1920!A762),6),3)))</f>
        <v>148-902</v>
      </c>
      <c r="C762" s="105">
        <v>11583</v>
      </c>
      <c r="D762" s="105">
        <v>11246</v>
      </c>
    </row>
    <row r="763" spans="1:4" ht="14.5">
      <c r="A763" t="s">
        <v>5155</v>
      </c>
      <c r="B763" s="380" t="str">
        <f>CONCATENATE(LEFT(RIGHT(CONCATENATE("000",FTG_Data1920!A763),6),3),"-",(RIGHT(RIGHT(CONCATENATE("000",FTG_Data1920!A763),6),3)))</f>
        <v>148-903</v>
      </c>
      <c r="C763" s="105">
        <v>11849</v>
      </c>
      <c r="D763" s="105">
        <v>15015</v>
      </c>
    </row>
    <row r="764" spans="1:4" ht="14.5">
      <c r="A764" t="s">
        <v>5156</v>
      </c>
      <c r="B764" s="380" t="str">
        <f>CONCATENATE(LEFT(RIGHT(CONCATENATE("000",FTG_Data1920!A764),6),3),"-",(RIGHT(RIGHT(CONCATENATE("000",FTG_Data1920!A764),6),3)))</f>
        <v>148-905</v>
      </c>
      <c r="C764" s="105">
        <v>11849</v>
      </c>
      <c r="D764" s="105">
        <v>12143</v>
      </c>
    </row>
    <row r="765" spans="1:4" ht="14.5">
      <c r="A765" t="s">
        <v>5157</v>
      </c>
      <c r="B765" s="380" t="str">
        <f>CONCATENATE(LEFT(RIGHT(CONCATENATE("000",FTG_Data1920!A765),6),3),"-",(RIGHT(RIGHT(CONCATENATE("000",FTG_Data1920!A765),6),3)))</f>
        <v>149-901</v>
      </c>
      <c r="C765" s="105">
        <v>9716</v>
      </c>
      <c r="D765" s="105">
        <v>9433</v>
      </c>
    </row>
    <row r="766" spans="1:4" ht="14.5">
      <c r="A766" t="s">
        <v>5158</v>
      </c>
      <c r="B766" s="380" t="str">
        <f>CONCATENATE(LEFT(RIGHT(CONCATENATE("000",FTG_Data1920!A766),6),3),"-",(RIGHT(RIGHT(CONCATENATE("000",FTG_Data1920!A766),6),3)))</f>
        <v>149-902</v>
      </c>
      <c r="C766" s="105">
        <v>11849</v>
      </c>
      <c r="D766" s="105">
        <v>16386</v>
      </c>
    </row>
    <row r="767" spans="1:4" ht="14.5">
      <c r="A767" t="s">
        <v>5159</v>
      </c>
      <c r="B767" s="380" t="str">
        <f>CONCATENATE(LEFT(RIGHT(CONCATENATE("000",FTG_Data1920!A767),6),3),"-",(RIGHT(RIGHT(CONCATENATE("000",FTG_Data1920!A767),6),3)))</f>
        <v>150-901</v>
      </c>
      <c r="C767" s="105">
        <v>10433</v>
      </c>
      <c r="D767" s="105">
        <v>10129</v>
      </c>
    </row>
    <row r="768" spans="1:4" ht="14.5">
      <c r="A768" t="s">
        <v>8056</v>
      </c>
      <c r="B768" s="380" t="str">
        <f>CONCATENATE(LEFT(RIGHT(CONCATENATE("000",FTG_Data1920!A768),6),3),"-",(RIGHT(RIGHT(CONCATENATE("000",FTG_Data1920!A768),6),3)))</f>
        <v>152-802</v>
      </c>
      <c r="C768" s="105">
        <v>10241</v>
      </c>
      <c r="D768" s="105">
        <v>9943</v>
      </c>
    </row>
    <row r="769" spans="1:4" ht="14.5">
      <c r="A769" t="s">
        <v>8057</v>
      </c>
      <c r="B769" s="380" t="str">
        <f>CONCATENATE(LEFT(RIGHT(CONCATENATE("000",FTG_Data1920!A769),6),3),"-",(RIGHT(RIGHT(CONCATENATE("000",FTG_Data1920!A769),6),3)))</f>
        <v>152-803</v>
      </c>
      <c r="C769" s="105">
        <v>11849</v>
      </c>
      <c r="D769" s="105">
        <v>11912</v>
      </c>
    </row>
    <row r="770" spans="1:4" ht="14.5">
      <c r="A770" t="s">
        <v>8058</v>
      </c>
      <c r="B770" s="380" t="str">
        <f>CONCATENATE(LEFT(RIGHT(CONCATENATE("000",FTG_Data1920!A770),6),3),"-",(RIGHT(RIGHT(CONCATENATE("000",FTG_Data1920!A770),6),3)))</f>
        <v>152-806</v>
      </c>
      <c r="C770" s="105">
        <v>11545</v>
      </c>
      <c r="D770" s="105">
        <v>11208</v>
      </c>
    </row>
    <row r="771" spans="1:4" ht="14.5">
      <c r="A771" t="s">
        <v>4363</v>
      </c>
      <c r="B771" s="380" t="str">
        <f>CONCATENATE(LEFT(RIGHT(CONCATENATE("000",FTG_Data1920!A771),6),3),"-",(RIGHT(RIGHT(CONCATENATE("000",FTG_Data1920!A771),6),3)))</f>
        <v>152-901</v>
      </c>
      <c r="C771" s="105">
        <v>9050</v>
      </c>
      <c r="D771" s="105">
        <v>8787</v>
      </c>
    </row>
    <row r="772" spans="1:4" ht="14.5">
      <c r="A772" t="s">
        <v>5844</v>
      </c>
      <c r="B772" s="380" t="str">
        <f>CONCATENATE(LEFT(RIGHT(CONCATENATE("000",FTG_Data1920!A772),6),3),"-",(RIGHT(RIGHT(CONCATENATE("000",FTG_Data1920!A772),6),3)))</f>
        <v>152-902</v>
      </c>
      <c r="C772" s="105">
        <v>11849</v>
      </c>
      <c r="D772" s="105">
        <v>13213</v>
      </c>
    </row>
    <row r="773" spans="1:4" ht="14.5">
      <c r="A773" t="s">
        <v>5160</v>
      </c>
      <c r="B773" s="380" t="str">
        <f>CONCATENATE(LEFT(RIGHT(CONCATENATE("000",FTG_Data1920!A773),6),3),"-",(RIGHT(RIGHT(CONCATENATE("000",FTG_Data1920!A773),6),3)))</f>
        <v>152-903</v>
      </c>
      <c r="C773" s="105">
        <v>11487</v>
      </c>
      <c r="D773" s="105">
        <v>11152</v>
      </c>
    </row>
    <row r="774" spans="1:4" ht="14.5">
      <c r="A774" t="s">
        <v>3111</v>
      </c>
      <c r="B774" s="380" t="str">
        <f>CONCATENATE(LEFT(RIGHT(CONCATENATE("000",FTG_Data1920!A774),6),3),"-",(RIGHT(RIGHT(CONCATENATE("000",FTG_Data1920!A774),6),3)))</f>
        <v>152-906</v>
      </c>
      <c r="C774" s="105">
        <v>8091</v>
      </c>
      <c r="D774" s="105">
        <v>7856</v>
      </c>
    </row>
    <row r="775" spans="1:4" ht="14.5">
      <c r="A775" t="s">
        <v>3112</v>
      </c>
      <c r="B775" s="380" t="str">
        <f>CONCATENATE(LEFT(RIGHT(CONCATENATE("000",FTG_Data1920!A775),6),3),"-",(RIGHT(RIGHT(CONCATENATE("000",FTG_Data1920!A775),6),3)))</f>
        <v>152-907</v>
      </c>
      <c r="C775" s="105">
        <v>8256</v>
      </c>
      <c r="D775" s="105">
        <v>8016</v>
      </c>
    </row>
    <row r="776" spans="1:4" ht="14.5">
      <c r="A776" t="s">
        <v>5161</v>
      </c>
      <c r="B776" s="380" t="str">
        <f>CONCATENATE(LEFT(RIGHT(CONCATENATE("000",FTG_Data1920!A776),6),3),"-",(RIGHT(RIGHT(CONCATENATE("000",FTG_Data1920!A776),6),3)))</f>
        <v>152-908</v>
      </c>
      <c r="C776" s="105">
        <v>11849</v>
      </c>
      <c r="D776" s="105">
        <v>11601</v>
      </c>
    </row>
    <row r="777" spans="1:4" ht="14.5">
      <c r="A777" t="s">
        <v>3113</v>
      </c>
      <c r="B777" s="380" t="str">
        <f>CONCATENATE(LEFT(RIGHT(CONCATENATE("000",FTG_Data1920!A777),6),3),"-",(RIGHT(RIGHT(CONCATENATE("000",FTG_Data1920!A777),6),3)))</f>
        <v>152-909</v>
      </c>
      <c r="C777" s="105">
        <v>9261</v>
      </c>
      <c r="D777" s="105">
        <v>8991</v>
      </c>
    </row>
    <row r="778" spans="1:4" ht="14.5">
      <c r="A778" t="s">
        <v>3114</v>
      </c>
      <c r="B778" s="380" t="str">
        <f>CONCATENATE(LEFT(RIGHT(CONCATENATE("000",FTG_Data1920!A778),6),3),"-",(RIGHT(RIGHT(CONCATENATE("000",FTG_Data1920!A778),6),3)))</f>
        <v>152-910</v>
      </c>
      <c r="C778" s="105">
        <v>10371</v>
      </c>
      <c r="D778" s="105">
        <v>10069</v>
      </c>
    </row>
    <row r="779" spans="1:4" ht="14.5">
      <c r="A779" t="s">
        <v>8510</v>
      </c>
      <c r="B779" s="380" t="str">
        <f>CONCATENATE(LEFT(RIGHT(CONCATENATE("000",FTG_Data1920!A779),6),3),"-",(RIGHT(RIGHT(CONCATENATE("000",FTG_Data1920!A779),6),3)))</f>
        <v>152-950</v>
      </c>
      <c r="C779" s="105">
        <v>11849</v>
      </c>
      <c r="D779" s="105">
        <v>0</v>
      </c>
    </row>
    <row r="780" spans="1:4" ht="14.5">
      <c r="A780" t="s">
        <v>5162</v>
      </c>
      <c r="B780" s="380" t="str">
        <f>CONCATENATE(LEFT(RIGHT(CONCATENATE("000",FTG_Data1920!A780),6),3),"-",(RIGHT(RIGHT(CONCATENATE("000",FTG_Data1920!A780),6),3)))</f>
        <v>153-903</v>
      </c>
      <c r="C780" s="105">
        <v>11849</v>
      </c>
      <c r="D780" s="105">
        <v>13093</v>
      </c>
    </row>
    <row r="781" spans="1:4" ht="14.5">
      <c r="A781" t="s">
        <v>5845</v>
      </c>
      <c r="B781" s="380" t="str">
        <f>CONCATENATE(LEFT(RIGHT(CONCATENATE("000",FTG_Data1920!A781),6),3),"-",(RIGHT(RIGHT(CONCATENATE("000",FTG_Data1920!A781),6),3)))</f>
        <v>153-904</v>
      </c>
      <c r="C781" s="105">
        <v>11849</v>
      </c>
      <c r="D781" s="105">
        <v>13905</v>
      </c>
    </row>
    <row r="782" spans="1:4" ht="14.5">
      <c r="A782" t="s">
        <v>5163</v>
      </c>
      <c r="B782" s="380" t="str">
        <f>CONCATENATE(LEFT(RIGHT(CONCATENATE("000",FTG_Data1920!A782),6),3),"-",(RIGHT(RIGHT(CONCATENATE("000",FTG_Data1920!A782),6),3)))</f>
        <v>153-905</v>
      </c>
      <c r="C782" s="105">
        <v>10971</v>
      </c>
      <c r="D782" s="105">
        <v>10652</v>
      </c>
    </row>
    <row r="783" spans="1:4" ht="14.5">
      <c r="A783" t="s">
        <v>5846</v>
      </c>
      <c r="B783" s="380" t="str">
        <f>CONCATENATE(LEFT(RIGHT(CONCATENATE("000",FTG_Data1920!A783),6),3),"-",(RIGHT(RIGHT(CONCATENATE("000",FTG_Data1920!A783),6),3)))</f>
        <v>153-907</v>
      </c>
      <c r="C783" s="105">
        <v>11849</v>
      </c>
      <c r="D783" s="105">
        <v>13400</v>
      </c>
    </row>
    <row r="784" spans="1:4" ht="14.5">
      <c r="A784" t="s">
        <v>3115</v>
      </c>
      <c r="B784" s="380" t="str">
        <f>CONCATENATE(LEFT(RIGHT(CONCATENATE("000",FTG_Data1920!A784),6),3),"-",(RIGHT(RIGHT(CONCATENATE("000",FTG_Data1920!A784),6),3)))</f>
        <v>154-901</v>
      </c>
      <c r="C784" s="105">
        <v>9875</v>
      </c>
      <c r="D784" s="105">
        <v>9588</v>
      </c>
    </row>
    <row r="785" spans="1:4" ht="14.5">
      <c r="A785" t="s">
        <v>3116</v>
      </c>
      <c r="B785" s="380" t="str">
        <f>CONCATENATE(LEFT(RIGHT(CONCATENATE("000",FTG_Data1920!A785),6),3),"-",(RIGHT(RIGHT(CONCATENATE("000",FTG_Data1920!A785),6),3)))</f>
        <v>154-903</v>
      </c>
      <c r="C785" s="105">
        <v>11849</v>
      </c>
      <c r="D785" s="105">
        <v>16737</v>
      </c>
    </row>
    <row r="786" spans="1:4" ht="14.5">
      <c r="A786" t="s">
        <v>5164</v>
      </c>
      <c r="B786" s="380" t="str">
        <f>CONCATENATE(LEFT(RIGHT(CONCATENATE("000",FTG_Data1920!A786),6),3),"-",(RIGHT(RIGHT(CONCATENATE("000",FTG_Data1920!A786),6),3)))</f>
        <v>155-901</v>
      </c>
      <c r="C786" s="105">
        <v>11241</v>
      </c>
      <c r="D786" s="105">
        <v>10914</v>
      </c>
    </row>
    <row r="787" spans="1:4" ht="14.5">
      <c r="A787" t="s">
        <v>5165</v>
      </c>
      <c r="B787" s="380" t="str">
        <f>CONCATENATE(LEFT(RIGHT(CONCATENATE("000",FTG_Data1920!A787),6),3),"-",(RIGHT(RIGHT(CONCATENATE("000",FTG_Data1920!A787),6),3)))</f>
        <v>156-902</v>
      </c>
      <c r="C787" s="105">
        <v>11849</v>
      </c>
      <c r="D787" s="105">
        <v>16955</v>
      </c>
    </row>
    <row r="788" spans="1:4" ht="14.5">
      <c r="A788" t="s">
        <v>5166</v>
      </c>
      <c r="B788" s="380" t="str">
        <f>CONCATENATE(LEFT(RIGHT(CONCATENATE("000",FTG_Data1920!A788),6),3),"-",(RIGHT(RIGHT(CONCATENATE("000",FTG_Data1920!A788),6),3)))</f>
        <v>156-905</v>
      </c>
      <c r="C788" s="105">
        <v>11849</v>
      </c>
      <c r="D788" s="105">
        <v>36512</v>
      </c>
    </row>
    <row r="789" spans="1:4" ht="14.5">
      <c r="A789" t="s">
        <v>5167</v>
      </c>
      <c r="B789" s="380" t="str">
        <f>CONCATENATE(LEFT(RIGHT(CONCATENATE("000",FTG_Data1920!A789),6),3),"-",(RIGHT(RIGHT(CONCATENATE("000",FTG_Data1920!A789),6),3)))</f>
        <v>157-901</v>
      </c>
      <c r="C789" s="105">
        <v>11849</v>
      </c>
      <c r="D789" s="105">
        <v>12551</v>
      </c>
    </row>
    <row r="790" spans="1:4" ht="14.5">
      <c r="A790" t="s">
        <v>5168</v>
      </c>
      <c r="B790" s="380" t="str">
        <f>CONCATENATE(LEFT(RIGHT(CONCATENATE("000",FTG_Data1920!A790),6),3),"-",(RIGHT(RIGHT(CONCATENATE("000",FTG_Data1920!A790),6),3)))</f>
        <v>158-901</v>
      </c>
      <c r="C790" s="105">
        <v>9942</v>
      </c>
      <c r="D790" s="105">
        <v>9652</v>
      </c>
    </row>
    <row r="791" spans="1:4" ht="14.5">
      <c r="A791" t="s">
        <v>5169</v>
      </c>
      <c r="B791" s="380" t="str">
        <f>CONCATENATE(LEFT(RIGHT(CONCATENATE("000",FTG_Data1920!A791),6),3),"-",(RIGHT(RIGHT(CONCATENATE("000",FTG_Data1920!A791),6),3)))</f>
        <v>158-902</v>
      </c>
      <c r="C791" s="105">
        <v>11849</v>
      </c>
      <c r="D791" s="105">
        <v>12083</v>
      </c>
    </row>
    <row r="792" spans="1:4" ht="14.5">
      <c r="A792" t="s">
        <v>5170</v>
      </c>
      <c r="B792" s="380" t="str">
        <f>CONCATENATE(LEFT(RIGHT(CONCATENATE("000",FTG_Data1920!A792),6),3),"-",(RIGHT(RIGHT(CONCATENATE("000",FTG_Data1920!A792),6),3)))</f>
        <v>158-904</v>
      </c>
      <c r="C792" s="105">
        <v>11849</v>
      </c>
      <c r="D792" s="105">
        <v>13289</v>
      </c>
    </row>
    <row r="793" spans="1:4" ht="14.5">
      <c r="A793" t="s">
        <v>5171</v>
      </c>
      <c r="B793" s="380" t="str">
        <f>CONCATENATE(LEFT(RIGHT(CONCATENATE("000",FTG_Data1920!A793),6),3),"-",(RIGHT(RIGHT(CONCATENATE("000",FTG_Data1920!A793),6),3)))</f>
        <v>158-905</v>
      </c>
      <c r="C793" s="105">
        <v>11308</v>
      </c>
      <c r="D793" s="105">
        <v>10978</v>
      </c>
    </row>
    <row r="794" spans="1:4" ht="14.5">
      <c r="A794" t="s">
        <v>5847</v>
      </c>
      <c r="B794" s="380" t="str">
        <f>CONCATENATE(LEFT(RIGHT(CONCATENATE("000",FTG_Data1920!A794),6),3),"-",(RIGHT(RIGHT(CONCATENATE("000",FTG_Data1920!A794),6),3)))</f>
        <v>158-906</v>
      </c>
      <c r="C794" s="105">
        <v>10169</v>
      </c>
      <c r="D794" s="105">
        <v>9873</v>
      </c>
    </row>
    <row r="795" spans="1:4" ht="14.5">
      <c r="A795" t="s">
        <v>3117</v>
      </c>
      <c r="B795" s="380" t="str">
        <f>CONCATENATE(LEFT(RIGHT(CONCATENATE("000",FTG_Data1920!A795),6),3),"-",(RIGHT(RIGHT(CONCATENATE("000",FTG_Data1920!A795),6),3)))</f>
        <v>159-901</v>
      </c>
      <c r="C795" s="105">
        <v>9920</v>
      </c>
      <c r="D795" s="105">
        <v>9631</v>
      </c>
    </row>
    <row r="796" spans="1:4" ht="14.5">
      <c r="A796" t="s">
        <v>3118</v>
      </c>
      <c r="B796" s="380" t="str">
        <f>CONCATENATE(LEFT(RIGHT(CONCATENATE("000",FTG_Data1920!A796),6),3),"-",(RIGHT(RIGHT(CONCATENATE("000",FTG_Data1920!A796),6),3)))</f>
        <v>160-901</v>
      </c>
      <c r="C796" s="105">
        <v>9961</v>
      </c>
      <c r="D796" s="105">
        <v>9671</v>
      </c>
    </row>
    <row r="797" spans="1:4" ht="14.5">
      <c r="A797" t="s">
        <v>5848</v>
      </c>
      <c r="B797" s="380" t="str">
        <f>CONCATENATE(LEFT(RIGHT(CONCATENATE("000",FTG_Data1920!A797),6),3),"-",(RIGHT(RIGHT(CONCATENATE("000",FTG_Data1920!A797),6),3)))</f>
        <v>160-904</v>
      </c>
      <c r="C797" s="105">
        <v>11849</v>
      </c>
      <c r="D797" s="105">
        <v>12865</v>
      </c>
    </row>
    <row r="798" spans="1:4" ht="14.5">
      <c r="A798" t="s">
        <v>3119</v>
      </c>
      <c r="B798" s="380" t="str">
        <f>CONCATENATE(LEFT(RIGHT(CONCATENATE("000",FTG_Data1920!A798),6),3),"-",(RIGHT(RIGHT(CONCATENATE("000",FTG_Data1920!A798),6),3)))</f>
        <v>160-905</v>
      </c>
      <c r="C798" s="105">
        <v>11849</v>
      </c>
      <c r="D798" s="105">
        <v>14157</v>
      </c>
    </row>
    <row r="799" spans="1:4" ht="14.5">
      <c r="A799" t="s">
        <v>8059</v>
      </c>
      <c r="B799" s="380" t="str">
        <f>CONCATENATE(LEFT(RIGHT(CONCATENATE("000",FTG_Data1920!A799),6),3),"-",(RIGHT(RIGHT(CONCATENATE("000",FTG_Data1920!A799),6),3)))</f>
        <v>161-801</v>
      </c>
      <c r="C799" s="105">
        <v>10511</v>
      </c>
      <c r="D799" s="105">
        <v>10205</v>
      </c>
    </row>
    <row r="800" spans="1:4" ht="14.5">
      <c r="A800" t="s">
        <v>8060</v>
      </c>
      <c r="B800" s="380" t="str">
        <f>CONCATENATE(LEFT(RIGHT(CONCATENATE("000",FTG_Data1920!A800),6),3),"-",(RIGHT(RIGHT(CONCATENATE("000",FTG_Data1920!A800),6),3)))</f>
        <v>161-802</v>
      </c>
      <c r="C800" s="105">
        <v>10778</v>
      </c>
      <c r="D800" s="105">
        <v>10464</v>
      </c>
    </row>
    <row r="801" spans="1:4" ht="14.5">
      <c r="A801" t="s">
        <v>8061</v>
      </c>
      <c r="B801" s="380" t="str">
        <f>CONCATENATE(LEFT(RIGHT(CONCATENATE("000",FTG_Data1920!A801),6),3),"-",(RIGHT(RIGHT(CONCATENATE("000",FTG_Data1920!A801),6),3)))</f>
        <v>161-807</v>
      </c>
      <c r="C801" s="105">
        <v>10480</v>
      </c>
      <c r="D801" s="105">
        <v>10175</v>
      </c>
    </row>
    <row r="802" spans="1:4" ht="14.5">
      <c r="A802" t="s">
        <v>3120</v>
      </c>
      <c r="B802" s="380" t="str">
        <f>CONCATENATE(LEFT(RIGHT(CONCATENATE("000",FTG_Data1920!A802),6),3),"-",(RIGHT(RIGHT(CONCATENATE("000",FTG_Data1920!A802),6),3)))</f>
        <v>161-901</v>
      </c>
      <c r="C802" s="105">
        <v>11075</v>
      </c>
      <c r="D802" s="105">
        <v>10752</v>
      </c>
    </row>
    <row r="803" spans="1:4" ht="14.5">
      <c r="A803" t="s">
        <v>5172</v>
      </c>
      <c r="B803" s="380" t="str">
        <f>CONCATENATE(LEFT(RIGHT(CONCATENATE("000",FTG_Data1920!A803),6),3),"-",(RIGHT(RIGHT(CONCATENATE("000",FTG_Data1920!A803),6),3)))</f>
        <v>161-903</v>
      </c>
      <c r="C803" s="105">
        <v>8154</v>
      </c>
      <c r="D803" s="105">
        <v>7916</v>
      </c>
    </row>
    <row r="804" spans="1:4" ht="14.5">
      <c r="A804" t="s">
        <v>3121</v>
      </c>
      <c r="B804" s="380" t="str">
        <f>CONCATENATE(LEFT(RIGHT(CONCATENATE("000",FTG_Data1920!A804),6),3),"-",(RIGHT(RIGHT(CONCATENATE("000",FTG_Data1920!A804),6),3)))</f>
        <v>161-906</v>
      </c>
      <c r="C804" s="105">
        <v>9982</v>
      </c>
      <c r="D804" s="105">
        <v>9692</v>
      </c>
    </row>
    <row r="805" spans="1:4" ht="14.5">
      <c r="A805" t="s">
        <v>3122</v>
      </c>
      <c r="B805" s="380" t="str">
        <f>CONCATENATE(LEFT(RIGHT(CONCATENATE("000",FTG_Data1920!A805),6),3),"-",(RIGHT(RIGHT(CONCATENATE("000",FTG_Data1920!A805),6),3)))</f>
        <v>161-907</v>
      </c>
      <c r="C805" s="105">
        <v>9209</v>
      </c>
      <c r="D805" s="105">
        <v>8941</v>
      </c>
    </row>
    <row r="806" spans="1:4" ht="14.5">
      <c r="A806" t="s">
        <v>3123</v>
      </c>
      <c r="B806" s="380" t="str">
        <f>CONCATENATE(LEFT(RIGHT(CONCATENATE("000",FTG_Data1920!A806),6),3),"-",(RIGHT(RIGHT(CONCATENATE("000",FTG_Data1920!A806),6),3)))</f>
        <v>161-908</v>
      </c>
      <c r="C806" s="105">
        <v>11382</v>
      </c>
      <c r="D806" s="105">
        <v>11051</v>
      </c>
    </row>
    <row r="807" spans="1:4" ht="14.5">
      <c r="A807" t="s">
        <v>3124</v>
      </c>
      <c r="B807" s="380" t="str">
        <f>CONCATENATE(LEFT(RIGHT(CONCATENATE("000",FTG_Data1920!A807),6),3),"-",(RIGHT(RIGHT(CONCATENATE("000",FTG_Data1920!A807),6),3)))</f>
        <v>161-909</v>
      </c>
      <c r="C807" s="105">
        <v>9052</v>
      </c>
      <c r="D807" s="105">
        <v>8789</v>
      </c>
    </row>
    <row r="808" spans="1:4" ht="14.5">
      <c r="A808" t="s">
        <v>3125</v>
      </c>
      <c r="B808" s="380" t="str">
        <f>CONCATENATE(LEFT(RIGHT(CONCATENATE("000",FTG_Data1920!A808),6),3),"-",(RIGHT(RIGHT(CONCATENATE("000",FTG_Data1920!A808),6),3)))</f>
        <v>161-910</v>
      </c>
      <c r="C808" s="105">
        <v>11849</v>
      </c>
      <c r="D808" s="105">
        <v>11750</v>
      </c>
    </row>
    <row r="809" spans="1:4" ht="14.5">
      <c r="A809" t="s">
        <v>3126</v>
      </c>
      <c r="B809" s="380" t="str">
        <f>CONCATENATE(LEFT(RIGHT(CONCATENATE("000",FTG_Data1920!A809),6),3),"-",(RIGHT(RIGHT(CONCATENATE("000",FTG_Data1920!A809),6),3)))</f>
        <v>161-912</v>
      </c>
      <c r="C809" s="105">
        <v>8297</v>
      </c>
      <c r="D809" s="105">
        <v>8055</v>
      </c>
    </row>
    <row r="810" spans="1:4" ht="14.5">
      <c r="A810" t="s">
        <v>3127</v>
      </c>
      <c r="B810" s="380" t="str">
        <f>CONCATENATE(LEFT(RIGHT(CONCATENATE("000",FTG_Data1920!A810),6),3),"-",(RIGHT(RIGHT(CONCATENATE("000",FTG_Data1920!A810),6),3)))</f>
        <v>161-914</v>
      </c>
      <c r="C810" s="105">
        <v>10052</v>
      </c>
      <c r="D810" s="105">
        <v>9759</v>
      </c>
    </row>
    <row r="811" spans="1:4" ht="14.5">
      <c r="A811" t="s">
        <v>3128</v>
      </c>
      <c r="B811" s="380" t="str">
        <f>CONCATENATE(LEFT(RIGHT(CONCATENATE("000",FTG_Data1920!A811),6),3),"-",(RIGHT(RIGHT(CONCATENATE("000",FTG_Data1920!A811),6),3)))</f>
        <v>161-916</v>
      </c>
      <c r="C811" s="105">
        <v>9117</v>
      </c>
      <c r="D811" s="105">
        <v>8851</v>
      </c>
    </row>
    <row r="812" spans="1:4" ht="14.5">
      <c r="A812" t="s">
        <v>5849</v>
      </c>
      <c r="B812" s="380" t="str">
        <f>CONCATENATE(LEFT(RIGHT(CONCATENATE("000",FTG_Data1920!A812),6),3),"-",(RIGHT(RIGHT(CONCATENATE("000",FTG_Data1920!A812),6),3)))</f>
        <v>161-918</v>
      </c>
      <c r="C812" s="105">
        <v>11849</v>
      </c>
      <c r="D812" s="105">
        <v>12413</v>
      </c>
    </row>
    <row r="813" spans="1:4" ht="14.5">
      <c r="A813" t="s">
        <v>3129</v>
      </c>
      <c r="B813" s="380" t="str">
        <f>CONCATENATE(LEFT(RIGHT(CONCATENATE("000",FTG_Data1920!A813),6),3),"-",(RIGHT(RIGHT(CONCATENATE("000",FTG_Data1920!A813),6),3)))</f>
        <v>161-919</v>
      </c>
      <c r="C813" s="105">
        <v>11849</v>
      </c>
      <c r="D813" s="105">
        <v>12008</v>
      </c>
    </row>
    <row r="814" spans="1:4" ht="14.5">
      <c r="A814" t="s">
        <v>3130</v>
      </c>
      <c r="B814" s="380" t="str">
        <f>CONCATENATE(LEFT(RIGHT(CONCATENATE("000",FTG_Data1920!A814),6),3),"-",(RIGHT(RIGHT(CONCATENATE("000",FTG_Data1920!A814),6),3)))</f>
        <v>161-920</v>
      </c>
      <c r="C814" s="105">
        <v>8486</v>
      </c>
      <c r="D814" s="105">
        <v>8239</v>
      </c>
    </row>
    <row r="815" spans="1:4" ht="14.5">
      <c r="A815" t="s">
        <v>3131</v>
      </c>
      <c r="B815" s="380" t="str">
        <f>CONCATENATE(LEFT(RIGHT(CONCATENATE("000",FTG_Data1920!A815),6),3),"-",(RIGHT(RIGHT(CONCATENATE("000",FTG_Data1920!A815),6),3)))</f>
        <v>161-921</v>
      </c>
      <c r="C815" s="105">
        <v>10296</v>
      </c>
      <c r="D815" s="105">
        <v>9996</v>
      </c>
    </row>
    <row r="816" spans="1:4" ht="14.5">
      <c r="A816" t="s">
        <v>3132</v>
      </c>
      <c r="B816" s="380" t="str">
        <f>CONCATENATE(LEFT(RIGHT(CONCATENATE("000",FTG_Data1920!A816),6),3),"-",(RIGHT(RIGHT(CONCATENATE("000",FTG_Data1920!A816),6),3)))</f>
        <v>161-922</v>
      </c>
      <c r="C816" s="105">
        <v>9291</v>
      </c>
      <c r="D816" s="105">
        <v>9021</v>
      </c>
    </row>
    <row r="817" spans="1:4" ht="14.5">
      <c r="A817" t="s">
        <v>3133</v>
      </c>
      <c r="B817" s="380" t="str">
        <f>CONCATENATE(LEFT(RIGHT(CONCATENATE("000",FTG_Data1920!A817),6),3),"-",(RIGHT(RIGHT(CONCATENATE("000",FTG_Data1920!A817),6),3)))</f>
        <v>161-923</v>
      </c>
      <c r="C817" s="105">
        <v>11271</v>
      </c>
      <c r="D817" s="105">
        <v>10943</v>
      </c>
    </row>
    <row r="818" spans="1:4" ht="14.5">
      <c r="A818" t="s">
        <v>5173</v>
      </c>
      <c r="B818" s="380" t="str">
        <f>CONCATENATE(LEFT(RIGHT(CONCATENATE("000",FTG_Data1920!A818),6),3),"-",(RIGHT(RIGHT(CONCATENATE("000",FTG_Data1920!A818),6),3)))</f>
        <v>161-924</v>
      </c>
      <c r="C818" s="105">
        <v>10802</v>
      </c>
      <c r="D818" s="105">
        <v>10488</v>
      </c>
    </row>
    <row r="819" spans="1:4" ht="14.5">
      <c r="A819" t="s">
        <v>5850</v>
      </c>
      <c r="B819" s="380" t="str">
        <f>CONCATENATE(LEFT(RIGHT(CONCATENATE("000",FTG_Data1920!A819),6),3),"-",(RIGHT(RIGHT(CONCATENATE("000",FTG_Data1920!A819),6),3)))</f>
        <v>161-925</v>
      </c>
      <c r="C819" s="105">
        <v>11849</v>
      </c>
      <c r="D819" s="105">
        <v>11575</v>
      </c>
    </row>
    <row r="820" spans="1:4" ht="14.5">
      <c r="A820" t="s">
        <v>8511</v>
      </c>
      <c r="B820" s="380" t="str">
        <f>CONCATENATE(LEFT(RIGHT(CONCATENATE("000",FTG_Data1920!A820),6),3),"-",(RIGHT(RIGHT(CONCATENATE("000",FTG_Data1920!A820),6),3)))</f>
        <v>161-950</v>
      </c>
      <c r="C820" s="105">
        <v>11849</v>
      </c>
      <c r="D820" s="105">
        <v>0</v>
      </c>
    </row>
    <row r="821" spans="1:4" ht="14.5">
      <c r="A821" t="s">
        <v>5174</v>
      </c>
      <c r="B821" s="380" t="str">
        <f>CONCATENATE(LEFT(RIGHT(CONCATENATE("000",FTG_Data1920!A821),6),3),"-",(RIGHT(RIGHT(CONCATENATE("000",FTG_Data1920!A821),6),3)))</f>
        <v>162-904</v>
      </c>
      <c r="C821" s="105">
        <v>11849</v>
      </c>
      <c r="D821" s="105">
        <v>20853</v>
      </c>
    </row>
    <row r="822" spans="1:4" ht="14.5">
      <c r="A822" t="s">
        <v>3134</v>
      </c>
      <c r="B822" s="380" t="str">
        <f>CONCATENATE(LEFT(RIGHT(CONCATENATE("000",FTG_Data1920!A822),6),3),"-",(RIGHT(RIGHT(CONCATENATE("000",FTG_Data1920!A822),6),3)))</f>
        <v>163-901</v>
      </c>
      <c r="C822" s="105">
        <v>9644</v>
      </c>
      <c r="D822" s="105">
        <v>9364</v>
      </c>
    </row>
    <row r="823" spans="1:4" ht="14.5">
      <c r="A823" t="s">
        <v>3135</v>
      </c>
      <c r="B823" s="380" t="str">
        <f>CONCATENATE(LEFT(RIGHT(CONCATENATE("000",FTG_Data1920!A823),6),3),"-",(RIGHT(RIGHT(CONCATENATE("000",FTG_Data1920!A823),6),3)))</f>
        <v>163-902</v>
      </c>
      <c r="C823" s="105">
        <v>11849</v>
      </c>
      <c r="D823" s="105">
        <v>11648</v>
      </c>
    </row>
    <row r="824" spans="1:4" ht="14.5">
      <c r="A824" t="s">
        <v>3136</v>
      </c>
      <c r="B824" s="380" t="str">
        <f>CONCATENATE(LEFT(RIGHT(CONCATENATE("000",FTG_Data1920!A824),6),3),"-",(RIGHT(RIGHT(CONCATENATE("000",FTG_Data1920!A824),6),3)))</f>
        <v>163-903</v>
      </c>
      <c r="C824" s="105">
        <v>11236</v>
      </c>
      <c r="D824" s="105">
        <v>10909</v>
      </c>
    </row>
    <row r="825" spans="1:4" ht="14.5">
      <c r="A825" t="s">
        <v>3137</v>
      </c>
      <c r="B825" s="380" t="str">
        <f>CONCATENATE(LEFT(RIGHT(CONCATENATE("000",FTG_Data1920!A825),6),3),"-",(RIGHT(RIGHT(CONCATENATE("000",FTG_Data1920!A825),6),3)))</f>
        <v>163-904</v>
      </c>
      <c r="C825" s="105">
        <v>9140</v>
      </c>
      <c r="D825" s="105">
        <v>8873</v>
      </c>
    </row>
    <row r="826" spans="1:4" ht="14.5">
      <c r="A826" t="s">
        <v>3138</v>
      </c>
      <c r="B826" s="380" t="str">
        <f>CONCATENATE(LEFT(RIGHT(CONCATENATE("000",FTG_Data1920!A826),6),3),"-",(RIGHT(RIGHT(CONCATENATE("000",FTG_Data1920!A826),6),3)))</f>
        <v>163-908</v>
      </c>
      <c r="C826" s="105">
        <v>8645</v>
      </c>
      <c r="D826" s="105">
        <v>8393</v>
      </c>
    </row>
    <row r="827" spans="1:4" ht="14.5">
      <c r="A827" t="s">
        <v>5851</v>
      </c>
      <c r="B827" s="380" t="str">
        <f>CONCATENATE(LEFT(RIGHT(CONCATENATE("000",FTG_Data1920!A827),6),3),"-",(RIGHT(RIGHT(CONCATENATE("000",FTG_Data1920!A827),6),3)))</f>
        <v>164-901</v>
      </c>
      <c r="C827" s="105">
        <v>11849</v>
      </c>
      <c r="D827" s="105">
        <v>12033</v>
      </c>
    </row>
    <row r="828" spans="1:4" ht="14.5">
      <c r="A828" t="s">
        <v>8062</v>
      </c>
      <c r="B828" s="380" t="str">
        <f>CONCATENATE(LEFT(RIGHT(CONCATENATE("000",FTG_Data1920!A828),6),3),"-",(RIGHT(RIGHT(CONCATENATE("000",FTG_Data1920!A828),6),3)))</f>
        <v>165-802</v>
      </c>
      <c r="C828" s="105">
        <v>9477</v>
      </c>
      <c r="D828" s="105">
        <v>9201</v>
      </c>
    </row>
    <row r="829" spans="1:4" ht="14.5">
      <c r="A829" t="s">
        <v>3139</v>
      </c>
      <c r="B829" s="380" t="str">
        <f>CONCATENATE(LEFT(RIGHT(CONCATENATE("000",FTG_Data1920!A829),6),3),"-",(RIGHT(RIGHT(CONCATENATE("000",FTG_Data1920!A829),6),3)))</f>
        <v>165-901</v>
      </c>
      <c r="C829" s="105">
        <v>10949</v>
      </c>
      <c r="D829" s="105">
        <v>10630</v>
      </c>
    </row>
    <row r="830" spans="1:4" ht="14.5">
      <c r="A830" t="s">
        <v>5175</v>
      </c>
      <c r="B830" s="380" t="str">
        <f>CONCATENATE(LEFT(RIGHT(CONCATENATE("000",FTG_Data1920!A830),6),3),"-",(RIGHT(RIGHT(CONCATENATE("000",FTG_Data1920!A830),6),3)))</f>
        <v>165-902</v>
      </c>
      <c r="C830" s="105">
        <v>11849</v>
      </c>
      <c r="D830" s="105">
        <v>13257</v>
      </c>
    </row>
    <row r="831" spans="1:4" ht="14.5">
      <c r="A831" t="s">
        <v>8512</v>
      </c>
      <c r="B831" s="380" t="str">
        <f>CONCATENATE(LEFT(RIGHT(CONCATENATE("000",FTG_Data1920!A831),6),3),"-",(RIGHT(RIGHT(CONCATENATE("000",FTG_Data1920!A831),6),3)))</f>
        <v>165-950</v>
      </c>
      <c r="C831" s="105">
        <v>11849</v>
      </c>
      <c r="D831" s="105">
        <v>0</v>
      </c>
    </row>
    <row r="832" spans="1:4" ht="14.5">
      <c r="A832" t="s">
        <v>3140</v>
      </c>
      <c r="B832" s="380" t="str">
        <f>CONCATENATE(LEFT(RIGHT(CONCATENATE("000",FTG_Data1920!A832),6),3),"-",(RIGHT(RIGHT(CONCATENATE("000",FTG_Data1920!A832),6),3)))</f>
        <v>166-901</v>
      </c>
      <c r="C832" s="105">
        <v>9632</v>
      </c>
      <c r="D832" s="105">
        <v>9351</v>
      </c>
    </row>
    <row r="833" spans="1:4" ht="14.5">
      <c r="A833" t="s">
        <v>5852</v>
      </c>
      <c r="B833" s="380" t="str">
        <f>CONCATENATE(LEFT(RIGHT(CONCATENATE("000",FTG_Data1920!A833),6),3),"-",(RIGHT(RIGHT(CONCATENATE("000",FTG_Data1920!A833),6),3)))</f>
        <v>166-902</v>
      </c>
      <c r="C833" s="105">
        <v>11849</v>
      </c>
      <c r="D833" s="105">
        <v>14946</v>
      </c>
    </row>
    <row r="834" spans="1:4" ht="14.5">
      <c r="A834" t="s">
        <v>5176</v>
      </c>
      <c r="B834" s="380" t="str">
        <f>CONCATENATE(LEFT(RIGHT(CONCATENATE("000",FTG_Data1920!A834),6),3),"-",(RIGHT(RIGHT(CONCATENATE("000",FTG_Data1920!A834),6),3)))</f>
        <v>166-903</v>
      </c>
      <c r="C834" s="105">
        <v>11849</v>
      </c>
      <c r="D834" s="105">
        <v>12458</v>
      </c>
    </row>
    <row r="835" spans="1:4" ht="14.5">
      <c r="A835" t="s">
        <v>5177</v>
      </c>
      <c r="B835" s="380" t="str">
        <f>CONCATENATE(LEFT(RIGHT(CONCATENATE("000",FTG_Data1920!A835),6),3),"-",(RIGHT(RIGHT(CONCATENATE("000",FTG_Data1920!A835),6),3)))</f>
        <v>166-904</v>
      </c>
      <c r="C835" s="105">
        <v>9671</v>
      </c>
      <c r="D835" s="105">
        <v>9390</v>
      </c>
    </row>
    <row r="836" spans="1:4" ht="14.5">
      <c r="A836" t="s">
        <v>5178</v>
      </c>
      <c r="B836" s="380" t="str">
        <f>CONCATENATE(LEFT(RIGHT(CONCATENATE("000",FTG_Data1920!A836),6),3),"-",(RIGHT(RIGHT(CONCATENATE("000",FTG_Data1920!A836),6),3)))</f>
        <v>166-905</v>
      </c>
      <c r="C836" s="105">
        <v>11849</v>
      </c>
      <c r="D836" s="105">
        <v>12065</v>
      </c>
    </row>
    <row r="837" spans="1:4" ht="14.5">
      <c r="A837" t="s">
        <v>3141</v>
      </c>
      <c r="B837" s="380" t="str">
        <f>CONCATENATE(LEFT(RIGHT(CONCATENATE("000",FTG_Data1920!A837),6),3),"-",(RIGHT(RIGHT(CONCATENATE("000",FTG_Data1920!A837),6),3)))</f>
        <v>166-907</v>
      </c>
      <c r="C837" s="105">
        <v>11849</v>
      </c>
      <c r="D837" s="105">
        <v>15633</v>
      </c>
    </row>
    <row r="838" spans="1:4" ht="14.5">
      <c r="A838" t="s">
        <v>3142</v>
      </c>
      <c r="B838" s="380" t="str">
        <f>CONCATENATE(LEFT(RIGHT(CONCATENATE("000",FTG_Data1920!A838),6),3),"-",(RIGHT(RIGHT(CONCATENATE("000",FTG_Data1920!A838),6),3)))</f>
        <v>167-901</v>
      </c>
      <c r="C838" s="105">
        <v>11849</v>
      </c>
      <c r="D838" s="105">
        <v>11780</v>
      </c>
    </row>
    <row r="839" spans="1:4" ht="14.5">
      <c r="A839" t="s">
        <v>5853</v>
      </c>
      <c r="B839" s="380" t="str">
        <f>CONCATENATE(LEFT(RIGHT(CONCATENATE("000",FTG_Data1920!A839),6),3),"-",(RIGHT(RIGHT(CONCATENATE("000",FTG_Data1920!A839),6),3)))</f>
        <v>167-902</v>
      </c>
      <c r="C839" s="105">
        <v>11849</v>
      </c>
      <c r="D839" s="105">
        <v>16168</v>
      </c>
    </row>
    <row r="840" spans="1:4" ht="14.5">
      <c r="A840" t="s">
        <v>3143</v>
      </c>
      <c r="B840" s="380" t="str">
        <f>CONCATENATE(LEFT(RIGHT(CONCATENATE("000",FTG_Data1920!A840),6),3),"-",(RIGHT(RIGHT(CONCATENATE("000",FTG_Data1920!A840),6),3)))</f>
        <v>167-904</v>
      </c>
      <c r="C840" s="105">
        <v>4595</v>
      </c>
      <c r="D840" s="105">
        <v>4461</v>
      </c>
    </row>
    <row r="841" spans="1:4" ht="14.5">
      <c r="A841" t="s">
        <v>5179</v>
      </c>
      <c r="B841" s="380" t="str">
        <f>CONCATENATE(LEFT(RIGHT(CONCATENATE("000",FTG_Data1920!A841),6),3),"-",(RIGHT(RIGHT(CONCATENATE("000",FTG_Data1920!A841),6),3)))</f>
        <v>168-901</v>
      </c>
      <c r="C841" s="105">
        <v>11849</v>
      </c>
      <c r="D841" s="105">
        <v>12619</v>
      </c>
    </row>
    <row r="842" spans="1:4" ht="14.5">
      <c r="A842" t="s">
        <v>5180</v>
      </c>
      <c r="B842" s="380" t="str">
        <f>CONCATENATE(LEFT(RIGHT(CONCATENATE("000",FTG_Data1920!A842),6),3),"-",(RIGHT(RIGHT(CONCATENATE("000",FTG_Data1920!A842),6),3)))</f>
        <v>168-902</v>
      </c>
      <c r="C842" s="105">
        <v>11849</v>
      </c>
      <c r="D842" s="105">
        <v>11811</v>
      </c>
    </row>
    <row r="843" spans="1:4" ht="14.5">
      <c r="A843" t="s">
        <v>5854</v>
      </c>
      <c r="B843" s="380" t="str">
        <f>CONCATENATE(LEFT(RIGHT(CONCATENATE("000",FTG_Data1920!A843),6),3),"-",(RIGHT(RIGHT(CONCATENATE("000",FTG_Data1920!A843),6),3)))</f>
        <v>168-903</v>
      </c>
      <c r="C843" s="105">
        <v>11849</v>
      </c>
      <c r="D843" s="105">
        <v>11386</v>
      </c>
    </row>
    <row r="844" spans="1:4" ht="14.5">
      <c r="A844" t="s">
        <v>3144</v>
      </c>
      <c r="B844" s="380" t="str">
        <f>CONCATENATE(LEFT(RIGHT(CONCATENATE("000",FTG_Data1920!A844),6),3),"-",(RIGHT(RIGHT(CONCATENATE("000",FTG_Data1920!A844),6),3)))</f>
        <v>169-901</v>
      </c>
      <c r="C844" s="105">
        <v>9160</v>
      </c>
      <c r="D844" s="105">
        <v>8893</v>
      </c>
    </row>
    <row r="845" spans="1:4" ht="14.5">
      <c r="A845" t="s">
        <v>5855</v>
      </c>
      <c r="B845" s="380" t="str">
        <f>CONCATENATE(LEFT(RIGHT(CONCATENATE("000",FTG_Data1920!A845),6),3),"-",(RIGHT(RIGHT(CONCATENATE("000",FTG_Data1920!A845),6),3)))</f>
        <v>169-902</v>
      </c>
      <c r="C845" s="105">
        <v>11044</v>
      </c>
      <c r="D845" s="105">
        <v>10723</v>
      </c>
    </row>
    <row r="846" spans="1:4" ht="14.5">
      <c r="A846" t="s">
        <v>5181</v>
      </c>
      <c r="B846" s="380" t="str">
        <f>CONCATENATE(LEFT(RIGHT(CONCATENATE("000",FTG_Data1920!A846),6),3),"-",(RIGHT(RIGHT(CONCATENATE("000",FTG_Data1920!A846),6),3)))</f>
        <v>169-906</v>
      </c>
      <c r="C846" s="105">
        <v>11849</v>
      </c>
      <c r="D846" s="105">
        <v>13900</v>
      </c>
    </row>
    <row r="847" spans="1:4" ht="14.5">
      <c r="A847" t="s">
        <v>5856</v>
      </c>
      <c r="B847" s="380" t="str">
        <f>CONCATENATE(LEFT(RIGHT(CONCATENATE("000",FTG_Data1920!A847),6),3),"-",(RIGHT(RIGHT(CONCATENATE("000",FTG_Data1920!A847),6),3)))</f>
        <v>169-908</v>
      </c>
      <c r="C847" s="105">
        <v>11849</v>
      </c>
      <c r="D847" s="105">
        <v>11804</v>
      </c>
    </row>
    <row r="848" spans="1:4" ht="14.5">
      <c r="A848" t="s">
        <v>5857</v>
      </c>
      <c r="B848" s="380" t="str">
        <f>CONCATENATE(LEFT(RIGHT(CONCATENATE("000",FTG_Data1920!A848),6),3),"-",(RIGHT(RIGHT(CONCATENATE("000",FTG_Data1920!A848),6),3)))</f>
        <v>169-909</v>
      </c>
      <c r="C848" s="105">
        <v>11849</v>
      </c>
      <c r="D848" s="105">
        <v>13447</v>
      </c>
    </row>
    <row r="849" spans="1:4" ht="14.5">
      <c r="A849" t="s">
        <v>5182</v>
      </c>
      <c r="B849" s="380" t="str">
        <f>CONCATENATE(LEFT(RIGHT(CONCATENATE("000",FTG_Data1920!A849),6),3),"-",(RIGHT(RIGHT(CONCATENATE("000",FTG_Data1920!A849),6),3)))</f>
        <v>169-910</v>
      </c>
      <c r="C849" s="105">
        <v>11849</v>
      </c>
      <c r="D849" s="105">
        <v>12752</v>
      </c>
    </row>
    <row r="850" spans="1:4" ht="14.5">
      <c r="A850" t="s">
        <v>5183</v>
      </c>
      <c r="B850" s="380" t="str">
        <f>CONCATENATE(LEFT(RIGHT(CONCATENATE("000",FTG_Data1920!A850),6),3),"-",(RIGHT(RIGHT(CONCATENATE("000",FTG_Data1920!A850),6),3)))</f>
        <v>169-911</v>
      </c>
      <c r="C850" s="105">
        <v>11849</v>
      </c>
      <c r="D850" s="105">
        <v>12581</v>
      </c>
    </row>
    <row r="851" spans="1:4" ht="14.5">
      <c r="A851" t="s">
        <v>8063</v>
      </c>
      <c r="B851" s="380" t="str">
        <f>CONCATENATE(LEFT(RIGHT(CONCATENATE("000",FTG_Data1920!A851),6),3),"-",(RIGHT(RIGHT(CONCATENATE("000",FTG_Data1920!A851),6),3)))</f>
        <v>170-801</v>
      </c>
      <c r="C851" s="105">
        <v>10923</v>
      </c>
      <c r="D851" s="105">
        <v>10605</v>
      </c>
    </row>
    <row r="852" spans="1:4" ht="14.5">
      <c r="A852" t="s">
        <v>3145</v>
      </c>
      <c r="B852" s="380" t="str">
        <f>CONCATENATE(LEFT(RIGHT(CONCATENATE("000",FTG_Data1920!A852),6),3),"-",(RIGHT(RIGHT(CONCATENATE("000",FTG_Data1920!A852),6),3)))</f>
        <v>170-902</v>
      </c>
      <c r="C852" s="105">
        <v>8419</v>
      </c>
      <c r="D852" s="105">
        <v>8173</v>
      </c>
    </row>
    <row r="853" spans="1:4" ht="14.5">
      <c r="A853" t="s">
        <v>5184</v>
      </c>
      <c r="B853" s="380" t="str">
        <f>CONCATENATE(LEFT(RIGHT(CONCATENATE("000",FTG_Data1920!A853),6),3),"-",(RIGHT(RIGHT(CONCATENATE("000",FTG_Data1920!A853),6),3)))</f>
        <v>170-903</v>
      </c>
      <c r="C853" s="105">
        <v>8244</v>
      </c>
      <c r="D853" s="105">
        <v>8004</v>
      </c>
    </row>
    <row r="854" spans="1:4" ht="14.5">
      <c r="A854" t="s">
        <v>3146</v>
      </c>
      <c r="B854" s="380" t="str">
        <f>CONCATENATE(LEFT(RIGHT(CONCATENATE("000",FTG_Data1920!A854),6),3),"-",(RIGHT(RIGHT(CONCATENATE("000",FTG_Data1920!A854),6),3)))</f>
        <v>170-904</v>
      </c>
      <c r="C854" s="105">
        <v>8737</v>
      </c>
      <c r="D854" s="105">
        <v>8482</v>
      </c>
    </row>
    <row r="855" spans="1:4" ht="14.5">
      <c r="A855" t="s">
        <v>3147</v>
      </c>
      <c r="B855" s="380" t="str">
        <f>CONCATENATE(LEFT(RIGHT(CONCATENATE("000",FTG_Data1920!A855),6),3),"-",(RIGHT(RIGHT(CONCATENATE("000",FTG_Data1920!A855),6),3)))</f>
        <v>170-906</v>
      </c>
      <c r="C855" s="105">
        <v>8828</v>
      </c>
      <c r="D855" s="105">
        <v>8571</v>
      </c>
    </row>
    <row r="856" spans="1:4" ht="14.5">
      <c r="A856" t="s">
        <v>3148</v>
      </c>
      <c r="B856" s="380" t="str">
        <f>CONCATENATE(LEFT(RIGHT(CONCATENATE("000",FTG_Data1920!A856),6),3),"-",(RIGHT(RIGHT(CONCATENATE("000",FTG_Data1920!A856),6),3)))</f>
        <v>170-907</v>
      </c>
      <c r="C856" s="105">
        <v>9891</v>
      </c>
      <c r="D856" s="105">
        <v>9603</v>
      </c>
    </row>
    <row r="857" spans="1:4" ht="14.5">
      <c r="A857" t="s">
        <v>3149</v>
      </c>
      <c r="B857" s="380" t="str">
        <f>CONCATENATE(LEFT(RIGHT(CONCATENATE("000",FTG_Data1920!A857),6),3),"-",(RIGHT(RIGHT(CONCATENATE("000",FTG_Data1920!A857),6),3)))</f>
        <v>170-908</v>
      </c>
      <c r="C857" s="105">
        <v>9663</v>
      </c>
      <c r="D857" s="105">
        <v>9381</v>
      </c>
    </row>
    <row r="858" spans="1:4" ht="14.5">
      <c r="A858" t="s">
        <v>5185</v>
      </c>
      <c r="B858" s="380" t="str">
        <f>CONCATENATE(LEFT(RIGHT(CONCATENATE("000",FTG_Data1920!A858),6),3),"-",(RIGHT(RIGHT(CONCATENATE("000",FTG_Data1920!A858),6),3)))</f>
        <v>171-901</v>
      </c>
      <c r="C858" s="105">
        <v>8539</v>
      </c>
      <c r="D858" s="105">
        <v>8290</v>
      </c>
    </row>
    <row r="859" spans="1:4" ht="14.5">
      <c r="A859" t="s">
        <v>5186</v>
      </c>
      <c r="B859" s="380" t="str">
        <f>CONCATENATE(LEFT(RIGHT(CONCATENATE("000",FTG_Data1920!A859),6),3),"-",(RIGHT(RIGHT(CONCATENATE("000",FTG_Data1920!A859),6),3)))</f>
        <v>171-902</v>
      </c>
      <c r="C859" s="105">
        <v>10796</v>
      </c>
      <c r="D859" s="105">
        <v>10481</v>
      </c>
    </row>
    <row r="860" spans="1:4" ht="14.5">
      <c r="A860" t="s">
        <v>5187</v>
      </c>
      <c r="B860" s="380" t="str">
        <f>CONCATENATE(LEFT(RIGHT(CONCATENATE("000",FTG_Data1920!A860),6),3),"-",(RIGHT(RIGHT(CONCATENATE("000",FTG_Data1920!A860),6),3)))</f>
        <v>172-902</v>
      </c>
      <c r="C860" s="105">
        <v>11165</v>
      </c>
      <c r="D860" s="105">
        <v>10840</v>
      </c>
    </row>
    <row r="861" spans="1:4" ht="14.5">
      <c r="A861" t="s">
        <v>5188</v>
      </c>
      <c r="B861" s="380" t="str">
        <f>CONCATENATE(LEFT(RIGHT(CONCATENATE("000",FTG_Data1920!A861),6),3),"-",(RIGHT(RIGHT(CONCATENATE("000",FTG_Data1920!A861),6),3)))</f>
        <v>172-905</v>
      </c>
      <c r="C861" s="105">
        <v>11026</v>
      </c>
      <c r="D861" s="105">
        <v>10705</v>
      </c>
    </row>
    <row r="862" spans="1:4" ht="14.5">
      <c r="A862" t="s">
        <v>5858</v>
      </c>
      <c r="B862" s="380" t="str">
        <f>CONCATENATE(LEFT(RIGHT(CONCATENATE("000",FTG_Data1920!A862),6),3),"-",(RIGHT(RIGHT(CONCATENATE("000",FTG_Data1920!A862),6),3)))</f>
        <v>173-901</v>
      </c>
      <c r="C862" s="105">
        <v>11849</v>
      </c>
      <c r="D862" s="105">
        <v>14685</v>
      </c>
    </row>
    <row r="863" spans="1:4" ht="14.5">
      <c r="A863" t="s">
        <v>8064</v>
      </c>
      <c r="B863" s="380" t="str">
        <f>CONCATENATE(LEFT(RIGHT(CONCATENATE("000",FTG_Data1920!A863),6),3),"-",(RIGHT(RIGHT(CONCATENATE("000",FTG_Data1920!A863),6),3)))</f>
        <v>174-801</v>
      </c>
      <c r="C863" s="105">
        <v>8624</v>
      </c>
      <c r="D863" s="105">
        <v>8372</v>
      </c>
    </row>
    <row r="864" spans="1:4" ht="14.5">
      <c r="A864" t="s">
        <v>3150</v>
      </c>
      <c r="B864" s="380" t="str">
        <f>CONCATENATE(LEFT(RIGHT(CONCATENATE("000",FTG_Data1920!A864),6),3),"-",(RIGHT(RIGHT(CONCATENATE("000",FTG_Data1920!A864),6),3)))</f>
        <v>174-901</v>
      </c>
      <c r="C864" s="105">
        <v>11849</v>
      </c>
      <c r="D864" s="105">
        <v>13037</v>
      </c>
    </row>
    <row r="865" spans="1:4" ht="14.5">
      <c r="A865" t="s">
        <v>5189</v>
      </c>
      <c r="B865" s="380" t="str">
        <f>CONCATENATE(LEFT(RIGHT(CONCATENATE("000",FTG_Data1920!A865),6),3),"-",(RIGHT(RIGHT(CONCATENATE("000",FTG_Data1920!A865),6),3)))</f>
        <v>174-902</v>
      </c>
      <c r="C865" s="105">
        <v>9916</v>
      </c>
      <c r="D865" s="105">
        <v>9627</v>
      </c>
    </row>
    <row r="866" spans="1:4" ht="14.5">
      <c r="A866" t="s">
        <v>3151</v>
      </c>
      <c r="B866" s="380" t="str">
        <f>CONCATENATE(LEFT(RIGHT(CONCATENATE("000",FTG_Data1920!A866),6),3),"-",(RIGHT(RIGHT(CONCATENATE("000",FTG_Data1920!A866),6),3)))</f>
        <v>174-903</v>
      </c>
      <c r="C866" s="105">
        <v>11024</v>
      </c>
      <c r="D866" s="105">
        <v>10703</v>
      </c>
    </row>
    <row r="867" spans="1:4" ht="14.5">
      <c r="A867" t="s">
        <v>5190</v>
      </c>
      <c r="B867" s="380" t="str">
        <f>CONCATENATE(LEFT(RIGHT(CONCATENATE("000",FTG_Data1920!A867),6),3),"-",(RIGHT(RIGHT(CONCATENATE("000",FTG_Data1920!A867),6),3)))</f>
        <v>174-904</v>
      </c>
      <c r="C867" s="105">
        <v>9171</v>
      </c>
      <c r="D867" s="105">
        <v>8904</v>
      </c>
    </row>
    <row r="868" spans="1:4" ht="14.5">
      <c r="A868" t="s">
        <v>3152</v>
      </c>
      <c r="B868" s="380" t="str">
        <f>CONCATENATE(LEFT(RIGHT(CONCATENATE("000",FTG_Data1920!A868),6),3),"-",(RIGHT(RIGHT(CONCATENATE("000",FTG_Data1920!A868),6),3)))</f>
        <v>174-906</v>
      </c>
      <c r="C868" s="105">
        <v>11126</v>
      </c>
      <c r="D868" s="105">
        <v>10802</v>
      </c>
    </row>
    <row r="869" spans="1:4" ht="14.5">
      <c r="A869" t="s">
        <v>3153</v>
      </c>
      <c r="B869" s="380" t="str">
        <f>CONCATENATE(LEFT(RIGHT(CONCATENATE("000",FTG_Data1920!A869),6),3),"-",(RIGHT(RIGHT(CONCATENATE("000",FTG_Data1920!A869),6),3)))</f>
        <v>174-908</v>
      </c>
      <c r="C869" s="105">
        <v>8425</v>
      </c>
      <c r="D869" s="105">
        <v>8179</v>
      </c>
    </row>
    <row r="870" spans="1:4" ht="14.5">
      <c r="A870" t="s">
        <v>4500</v>
      </c>
      <c r="B870" s="380" t="str">
        <f>CONCATENATE(LEFT(RIGHT(CONCATENATE("000",FTG_Data1920!A870),6),3),"-",(RIGHT(RIGHT(CONCATENATE("000",FTG_Data1920!A870),6),3)))</f>
        <v>174-909</v>
      </c>
      <c r="C870" s="105">
        <v>11849</v>
      </c>
      <c r="D870" s="105">
        <v>13070</v>
      </c>
    </row>
    <row r="871" spans="1:4" ht="14.5">
      <c r="A871" t="s">
        <v>5191</v>
      </c>
      <c r="B871" s="380" t="str">
        <f>CONCATENATE(LEFT(RIGHT(CONCATENATE("000",FTG_Data1920!A871),6),3),"-",(RIGHT(RIGHT(CONCATENATE("000",FTG_Data1920!A871),6),3)))</f>
        <v>174-910</v>
      </c>
      <c r="C871" s="105">
        <v>11849</v>
      </c>
      <c r="D871" s="105">
        <v>14915</v>
      </c>
    </row>
    <row r="872" spans="1:4" ht="14.5">
      <c r="A872" t="s">
        <v>5859</v>
      </c>
      <c r="B872" s="380" t="str">
        <f>CONCATENATE(LEFT(RIGHT(CONCATENATE("000",FTG_Data1920!A872),6),3),"-",(RIGHT(RIGHT(CONCATENATE("000",FTG_Data1920!A872),6),3)))</f>
        <v>174-911</v>
      </c>
      <c r="C872" s="105">
        <v>9950</v>
      </c>
      <c r="D872" s="105">
        <v>9660</v>
      </c>
    </row>
    <row r="873" spans="1:4" ht="14.5">
      <c r="A873" t="s">
        <v>5192</v>
      </c>
      <c r="B873" s="380" t="str">
        <f>CONCATENATE(LEFT(RIGHT(CONCATENATE("000",FTG_Data1920!A873),6),3),"-",(RIGHT(RIGHT(CONCATENATE("000",FTG_Data1920!A873),6),3)))</f>
        <v>175-902</v>
      </c>
      <c r="C873" s="105">
        <v>10841</v>
      </c>
      <c r="D873" s="105">
        <v>10526</v>
      </c>
    </row>
    <row r="874" spans="1:4" ht="14.5">
      <c r="A874" t="s">
        <v>3154</v>
      </c>
      <c r="B874" s="380" t="str">
        <f>CONCATENATE(LEFT(RIGHT(CONCATENATE("000",FTG_Data1920!A874),6),3),"-",(RIGHT(RIGHT(CONCATENATE("000",FTG_Data1920!A874),6),3)))</f>
        <v>175-903</v>
      </c>
      <c r="C874" s="105">
        <v>9274</v>
      </c>
      <c r="D874" s="105">
        <v>9003</v>
      </c>
    </row>
    <row r="875" spans="1:4" ht="14.5">
      <c r="A875" t="s">
        <v>3155</v>
      </c>
      <c r="B875" s="380" t="str">
        <f>CONCATENATE(LEFT(RIGHT(CONCATENATE("000",FTG_Data1920!A875),6),3),"-",(RIGHT(RIGHT(CONCATENATE("000",FTG_Data1920!A875),6),3)))</f>
        <v>175-904</v>
      </c>
      <c r="C875" s="105">
        <v>11849</v>
      </c>
      <c r="D875" s="105">
        <v>11704</v>
      </c>
    </row>
    <row r="876" spans="1:4" ht="14.5">
      <c r="A876" t="s">
        <v>5193</v>
      </c>
      <c r="B876" s="380" t="str">
        <f>CONCATENATE(LEFT(RIGHT(CONCATENATE("000",FTG_Data1920!A876),6),3),"-",(RIGHT(RIGHT(CONCATENATE("000",FTG_Data1920!A876),6),3)))</f>
        <v>175-905</v>
      </c>
      <c r="C876" s="105">
        <v>11849</v>
      </c>
      <c r="D876" s="105">
        <v>12962</v>
      </c>
    </row>
    <row r="877" spans="1:4" ht="14.5">
      <c r="A877" t="s">
        <v>3156</v>
      </c>
      <c r="B877" s="380" t="str">
        <f>CONCATENATE(LEFT(RIGHT(CONCATENATE("000",FTG_Data1920!A877),6),3),"-",(RIGHT(RIGHT(CONCATENATE("000",FTG_Data1920!A877),6),3)))</f>
        <v>175-907</v>
      </c>
      <c r="C877" s="105">
        <v>11849</v>
      </c>
      <c r="D877" s="105">
        <v>12664</v>
      </c>
    </row>
    <row r="878" spans="1:4" ht="14.5">
      <c r="A878" t="s">
        <v>5194</v>
      </c>
      <c r="B878" s="380" t="str">
        <f>CONCATENATE(LEFT(RIGHT(CONCATENATE("000",FTG_Data1920!A878),6),3),"-",(RIGHT(RIGHT(CONCATENATE("000",FTG_Data1920!A878),6),3)))</f>
        <v>175-910</v>
      </c>
      <c r="C878" s="105">
        <v>10584</v>
      </c>
      <c r="D878" s="105">
        <v>10275</v>
      </c>
    </row>
    <row r="879" spans="1:4" ht="14.5">
      <c r="A879" t="s">
        <v>3157</v>
      </c>
      <c r="B879" s="380" t="str">
        <f>CONCATENATE(LEFT(RIGHT(CONCATENATE("000",FTG_Data1920!A879),6),3),"-",(RIGHT(RIGHT(CONCATENATE("000",FTG_Data1920!A879),6),3)))</f>
        <v>175-911</v>
      </c>
      <c r="C879" s="105">
        <v>11427</v>
      </c>
      <c r="D879" s="105">
        <v>11095</v>
      </c>
    </row>
    <row r="880" spans="1:4" ht="14.5">
      <c r="A880" t="s">
        <v>5195</v>
      </c>
      <c r="B880" s="380" t="str">
        <f>CONCATENATE(LEFT(RIGHT(CONCATENATE("000",FTG_Data1920!A880),6),3),"-",(RIGHT(RIGHT(CONCATENATE("000",FTG_Data1920!A880),6),3)))</f>
        <v>176-901</v>
      </c>
      <c r="C880" s="105">
        <v>11849</v>
      </c>
      <c r="D880" s="105">
        <v>15188</v>
      </c>
    </row>
    <row r="881" spans="1:4" ht="14.5">
      <c r="A881" t="s">
        <v>3158</v>
      </c>
      <c r="B881" s="380" t="str">
        <f>CONCATENATE(LEFT(RIGHT(CONCATENATE("000",FTG_Data1920!A881),6),3),"-",(RIGHT(RIGHT(CONCATENATE("000",FTG_Data1920!A881),6),3)))</f>
        <v>176-902</v>
      </c>
      <c r="C881" s="105">
        <v>11849</v>
      </c>
      <c r="D881" s="105">
        <v>12895</v>
      </c>
    </row>
    <row r="882" spans="1:4" ht="14.5">
      <c r="A882" t="s">
        <v>3159</v>
      </c>
      <c r="B882" s="380" t="str">
        <f>CONCATENATE(LEFT(RIGHT(CONCATENATE("000",FTG_Data1920!A882),6),3),"-",(RIGHT(RIGHT(CONCATENATE("000",FTG_Data1920!A882),6),3)))</f>
        <v>176-903</v>
      </c>
      <c r="C882" s="105">
        <v>11849</v>
      </c>
      <c r="D882" s="105">
        <v>12417</v>
      </c>
    </row>
    <row r="883" spans="1:4" ht="14.5">
      <c r="A883" t="s">
        <v>3160</v>
      </c>
      <c r="B883" s="380" t="str">
        <f>CONCATENATE(LEFT(RIGHT(CONCATENATE("000",FTG_Data1920!A883),6),3),"-",(RIGHT(RIGHT(CONCATENATE("000",FTG_Data1920!A883),6),3)))</f>
        <v>177-901</v>
      </c>
      <c r="C883" s="105">
        <v>10894</v>
      </c>
      <c r="D883" s="105">
        <v>10576</v>
      </c>
    </row>
    <row r="884" spans="1:4" ht="14.5">
      <c r="A884" t="s">
        <v>5196</v>
      </c>
      <c r="B884" s="380" t="str">
        <f>CONCATENATE(LEFT(RIGHT(CONCATENATE("000",FTG_Data1920!A884),6),3),"-",(RIGHT(RIGHT(CONCATENATE("000",FTG_Data1920!A884),6),3)))</f>
        <v>177-902</v>
      </c>
      <c r="C884" s="105">
        <v>10007</v>
      </c>
      <c r="D884" s="105">
        <v>9715</v>
      </c>
    </row>
    <row r="885" spans="1:4" ht="14.5">
      <c r="A885" t="s">
        <v>5197</v>
      </c>
      <c r="B885" s="380" t="str">
        <f>CONCATENATE(LEFT(RIGHT(CONCATENATE("000",FTG_Data1920!A885),6),3),"-",(RIGHT(RIGHT(CONCATENATE("000",FTG_Data1920!A885),6),3)))</f>
        <v>177-903</v>
      </c>
      <c r="C885" s="105">
        <v>11849</v>
      </c>
      <c r="D885" s="105">
        <v>26787</v>
      </c>
    </row>
    <row r="886" spans="1:4" ht="14.5">
      <c r="A886" t="s">
        <v>5198</v>
      </c>
      <c r="B886" s="380" t="str">
        <f>CONCATENATE(LEFT(RIGHT(CONCATENATE("000",FTG_Data1920!A886),6),3),"-",(RIGHT(RIGHT(CONCATENATE("000",FTG_Data1920!A886),6),3)))</f>
        <v>177-905</v>
      </c>
      <c r="C886" s="105">
        <v>11849</v>
      </c>
      <c r="D886" s="105">
        <v>11776</v>
      </c>
    </row>
    <row r="887" spans="1:4" ht="14.5">
      <c r="A887" t="s">
        <v>8065</v>
      </c>
      <c r="B887" s="380" t="str">
        <f>CONCATENATE(LEFT(RIGHT(CONCATENATE("000",FTG_Data1920!A887),6),3),"-",(RIGHT(RIGHT(CONCATENATE("000",FTG_Data1920!A887),6),3)))</f>
        <v>178-801</v>
      </c>
      <c r="C887" s="105">
        <v>10530</v>
      </c>
      <c r="D887" s="105">
        <v>10223</v>
      </c>
    </row>
    <row r="888" spans="1:4" ht="14.5">
      <c r="A888" t="s">
        <v>8066</v>
      </c>
      <c r="B888" s="380" t="str">
        <f>CONCATENATE(LEFT(RIGHT(CONCATENATE("000",FTG_Data1920!A888),6),3),"-",(RIGHT(RIGHT(CONCATENATE("000",FTG_Data1920!A888),6),3)))</f>
        <v>178-807</v>
      </c>
      <c r="C888" s="105">
        <v>9065</v>
      </c>
      <c r="D888" s="105">
        <v>8801</v>
      </c>
    </row>
    <row r="889" spans="1:4" ht="14.5">
      <c r="A889" t="s">
        <v>8067</v>
      </c>
      <c r="B889" s="380" t="str">
        <f>CONCATENATE(LEFT(RIGHT(CONCATENATE("000",FTG_Data1920!A889),6),3),"-",(RIGHT(RIGHT(CONCATENATE("000",FTG_Data1920!A889),6),3)))</f>
        <v>178-808</v>
      </c>
      <c r="C889" s="105">
        <v>8723</v>
      </c>
      <c r="D889" s="105">
        <v>8469</v>
      </c>
    </row>
    <row r="890" spans="1:4" ht="14.5">
      <c r="A890" t="s">
        <v>5199</v>
      </c>
      <c r="B890" s="380" t="str">
        <f>CONCATENATE(LEFT(RIGHT(CONCATENATE("000",FTG_Data1920!A890),6),3),"-",(RIGHT(RIGHT(CONCATENATE("000",FTG_Data1920!A890),6),3)))</f>
        <v>178-901</v>
      </c>
      <c r="C890" s="105">
        <v>11849</v>
      </c>
      <c r="D890" s="105">
        <v>13257</v>
      </c>
    </row>
    <row r="891" spans="1:4" ht="14.5">
      <c r="A891" t="s">
        <v>5200</v>
      </c>
      <c r="B891" s="380" t="str">
        <f>CONCATENATE(LEFT(RIGHT(CONCATENATE("000",FTG_Data1920!A891),6),3),"-",(RIGHT(RIGHT(CONCATENATE("000",FTG_Data1920!A891),6),3)))</f>
        <v>178-902</v>
      </c>
      <c r="C891" s="105">
        <v>10206</v>
      </c>
      <c r="D891" s="105">
        <v>9909</v>
      </c>
    </row>
    <row r="892" spans="1:4" ht="14.5">
      <c r="A892" t="s">
        <v>5201</v>
      </c>
      <c r="B892" s="380" t="str">
        <f>CONCATENATE(LEFT(RIGHT(CONCATENATE("000",FTG_Data1920!A892),6),3),"-",(RIGHT(RIGHT(CONCATENATE("000",FTG_Data1920!A892),6),3)))</f>
        <v>178-903</v>
      </c>
      <c r="C892" s="105">
        <v>9624</v>
      </c>
      <c r="D892" s="105">
        <v>9343</v>
      </c>
    </row>
    <row r="893" spans="1:4" ht="14.5">
      <c r="A893" t="s">
        <v>3161</v>
      </c>
      <c r="B893" s="380" t="str">
        <f>CONCATENATE(LEFT(RIGHT(CONCATENATE("000",FTG_Data1920!A893),6),3),"-",(RIGHT(RIGHT(CONCATENATE("000",FTG_Data1920!A893),6),3)))</f>
        <v>178-904</v>
      </c>
      <c r="C893" s="105">
        <v>8902</v>
      </c>
      <c r="D893" s="105">
        <v>8643</v>
      </c>
    </row>
    <row r="894" spans="1:4" ht="14.5">
      <c r="A894" t="s">
        <v>5202</v>
      </c>
      <c r="B894" s="380" t="str">
        <f>CONCATENATE(LEFT(RIGHT(CONCATENATE("000",FTG_Data1920!A894),6),3),"-",(RIGHT(RIGHT(CONCATENATE("000",FTG_Data1920!A894),6),3)))</f>
        <v>178-905</v>
      </c>
      <c r="C894" s="105">
        <v>11849</v>
      </c>
      <c r="D894" s="105">
        <v>11717</v>
      </c>
    </row>
    <row r="895" spans="1:4" ht="14.5">
      <c r="A895" t="s">
        <v>5203</v>
      </c>
      <c r="B895" s="380" t="str">
        <f>CONCATENATE(LEFT(RIGHT(CONCATENATE("000",FTG_Data1920!A895),6),3),"-",(RIGHT(RIGHT(CONCATENATE("000",FTG_Data1920!A895),6),3)))</f>
        <v>178-906</v>
      </c>
      <c r="C895" s="105">
        <v>7176</v>
      </c>
      <c r="D895" s="105">
        <v>6967</v>
      </c>
    </row>
    <row r="896" spans="1:4" ht="14.5">
      <c r="A896" t="s">
        <v>5204</v>
      </c>
      <c r="B896" s="380" t="str">
        <f>CONCATENATE(LEFT(RIGHT(CONCATENATE("000",FTG_Data1920!A896),6),3),"-",(RIGHT(RIGHT(CONCATENATE("000",FTG_Data1920!A896),6),3)))</f>
        <v>178-908</v>
      </c>
      <c r="C896" s="105">
        <v>11849</v>
      </c>
      <c r="D896" s="105">
        <v>14673</v>
      </c>
    </row>
    <row r="897" spans="1:4" ht="14.5">
      <c r="A897" t="s">
        <v>3162</v>
      </c>
      <c r="B897" s="380" t="str">
        <f>CONCATENATE(LEFT(RIGHT(CONCATENATE("000",FTG_Data1920!A897),6),3),"-",(RIGHT(RIGHT(CONCATENATE("000",FTG_Data1920!A897),6),3)))</f>
        <v>178-909</v>
      </c>
      <c r="C897" s="105">
        <v>10660</v>
      </c>
      <c r="D897" s="105">
        <v>10349</v>
      </c>
    </row>
    <row r="898" spans="1:4" ht="14.5">
      <c r="A898" t="s">
        <v>5205</v>
      </c>
      <c r="B898" s="380" t="str">
        <f>CONCATENATE(LEFT(RIGHT(CONCATENATE("000",FTG_Data1920!A898),6),3),"-",(RIGHT(RIGHT(CONCATENATE("000",FTG_Data1920!A898),6),3)))</f>
        <v>178-912</v>
      </c>
      <c r="C898" s="105">
        <v>10266</v>
      </c>
      <c r="D898" s="105">
        <v>9967</v>
      </c>
    </row>
    <row r="899" spans="1:4" ht="14.5">
      <c r="A899" t="s">
        <v>3163</v>
      </c>
      <c r="B899" s="380" t="str">
        <f>CONCATENATE(LEFT(RIGHT(CONCATENATE("000",FTG_Data1920!A899),6),3),"-",(RIGHT(RIGHT(CONCATENATE("000",FTG_Data1920!A899),6),3)))</f>
        <v>178-913</v>
      </c>
      <c r="C899" s="105">
        <v>11849</v>
      </c>
      <c r="D899" s="105">
        <v>14203</v>
      </c>
    </row>
    <row r="900" spans="1:4" ht="14.5">
      <c r="A900" t="s">
        <v>5206</v>
      </c>
      <c r="B900" s="380" t="str">
        <f>CONCATENATE(LEFT(RIGHT(CONCATENATE("000",FTG_Data1920!A900),6),3),"-",(RIGHT(RIGHT(CONCATENATE("000",FTG_Data1920!A900),6),3)))</f>
        <v>178-914</v>
      </c>
      <c r="C900" s="105">
        <v>8402</v>
      </c>
      <c r="D900" s="105">
        <v>8157</v>
      </c>
    </row>
    <row r="901" spans="1:4" ht="14.5">
      <c r="A901" t="s">
        <v>3164</v>
      </c>
      <c r="B901" s="380" t="str">
        <f>CONCATENATE(LEFT(RIGHT(CONCATENATE("000",FTG_Data1920!A901),6),3),"-",(RIGHT(RIGHT(CONCATENATE("000",FTG_Data1920!A901),6),3)))</f>
        <v>178-915</v>
      </c>
      <c r="C901" s="105">
        <v>10725</v>
      </c>
      <c r="D901" s="105">
        <v>10413</v>
      </c>
    </row>
    <row r="902" spans="1:4" ht="14.5">
      <c r="A902" t="s">
        <v>8513</v>
      </c>
      <c r="B902" s="380" t="str">
        <f>CONCATENATE(LEFT(RIGHT(CONCATENATE("000",FTG_Data1920!A902),6),3),"-",(RIGHT(RIGHT(CONCATENATE("000",FTG_Data1920!A902),6),3)))</f>
        <v>178-950</v>
      </c>
      <c r="C902" s="105">
        <v>11849</v>
      </c>
      <c r="D902" s="105">
        <v>0</v>
      </c>
    </row>
    <row r="903" spans="1:4" ht="14.5">
      <c r="A903" t="s">
        <v>3165</v>
      </c>
      <c r="B903" s="380" t="str">
        <f>CONCATENATE(LEFT(RIGHT(CONCATENATE("000",FTG_Data1920!A903),6),3),"-",(RIGHT(RIGHT(CONCATENATE("000",FTG_Data1920!A903),6),3)))</f>
        <v>179-901</v>
      </c>
      <c r="C903" s="105">
        <v>8977</v>
      </c>
      <c r="D903" s="105">
        <v>8716</v>
      </c>
    </row>
    <row r="904" spans="1:4" ht="14.5">
      <c r="A904" t="s">
        <v>7356</v>
      </c>
      <c r="B904" s="380" t="str">
        <f>CONCATENATE(LEFT(RIGHT(CONCATENATE("000",FTG_Data1920!A904),6),3),"-",(RIGHT(RIGHT(CONCATENATE("000",FTG_Data1920!A904),6),3)))</f>
        <v>180-901</v>
      </c>
      <c r="C904" s="105">
        <v>11849</v>
      </c>
      <c r="D904" s="105">
        <v>12108</v>
      </c>
    </row>
    <row r="905" spans="1:4" ht="14.5">
      <c r="A905" t="s">
        <v>5207</v>
      </c>
      <c r="B905" s="380" t="str">
        <f>CONCATENATE(LEFT(RIGHT(CONCATENATE("000",FTG_Data1920!A905),6),3),"-",(RIGHT(RIGHT(CONCATENATE("000",FTG_Data1920!A905),6),3)))</f>
        <v>180-902</v>
      </c>
      <c r="C905" s="105">
        <v>11849</v>
      </c>
      <c r="D905" s="105">
        <v>11551</v>
      </c>
    </row>
    <row r="906" spans="1:4" ht="14.5">
      <c r="A906" t="s">
        <v>5860</v>
      </c>
      <c r="B906" s="380" t="str">
        <f>CONCATENATE(LEFT(RIGHT(CONCATENATE("000",FTG_Data1920!A906),6),3),"-",(RIGHT(RIGHT(CONCATENATE("000",FTG_Data1920!A906),6),3)))</f>
        <v>180-903</v>
      </c>
      <c r="C906" s="105">
        <v>11849</v>
      </c>
      <c r="D906" s="105">
        <v>15817</v>
      </c>
    </row>
    <row r="907" spans="1:4" ht="14.5">
      <c r="A907" t="s">
        <v>5208</v>
      </c>
      <c r="B907" s="380" t="str">
        <f>CONCATENATE(LEFT(RIGHT(CONCATENATE("000",FTG_Data1920!A907),6),3),"-",(RIGHT(RIGHT(CONCATENATE("000",FTG_Data1920!A907),6),3)))</f>
        <v>180-904</v>
      </c>
      <c r="C907" s="105">
        <v>11849</v>
      </c>
      <c r="D907" s="105">
        <v>13359</v>
      </c>
    </row>
    <row r="908" spans="1:4" ht="14.5">
      <c r="A908" t="s">
        <v>3166</v>
      </c>
      <c r="B908" s="380" t="str">
        <f>CONCATENATE(LEFT(RIGHT(CONCATENATE("000",FTG_Data1920!A908),6),3),"-",(RIGHT(RIGHT(CONCATENATE("000",FTG_Data1920!A908),6),3)))</f>
        <v>181-901</v>
      </c>
      <c r="C908" s="105">
        <v>8520</v>
      </c>
      <c r="D908" s="105">
        <v>8272</v>
      </c>
    </row>
    <row r="909" spans="1:4" ht="14.5">
      <c r="A909" t="s">
        <v>5209</v>
      </c>
      <c r="B909" s="380" t="str">
        <f>CONCATENATE(LEFT(RIGHT(CONCATENATE("000",FTG_Data1920!A909),6),3),"-",(RIGHT(RIGHT(CONCATENATE("000",FTG_Data1920!A909),6),3)))</f>
        <v>181-905</v>
      </c>
      <c r="C909" s="105">
        <v>9339</v>
      </c>
      <c r="D909" s="105">
        <v>9067</v>
      </c>
    </row>
    <row r="910" spans="1:4" ht="14.5">
      <c r="A910" t="s">
        <v>5210</v>
      </c>
      <c r="B910" s="380" t="str">
        <f>CONCATENATE(LEFT(RIGHT(CONCATENATE("000",FTG_Data1920!A910),6),3),"-",(RIGHT(RIGHT(CONCATENATE("000",FTG_Data1920!A910),6),3)))</f>
        <v>181-906</v>
      </c>
      <c r="C910" s="105">
        <v>10618</v>
      </c>
      <c r="D910" s="105">
        <v>10309</v>
      </c>
    </row>
    <row r="911" spans="1:4" ht="14.5">
      <c r="A911" t="s">
        <v>3167</v>
      </c>
      <c r="B911" s="380" t="str">
        <f>CONCATENATE(LEFT(RIGHT(CONCATENATE("000",FTG_Data1920!A911),6),3),"-",(RIGHT(RIGHT(CONCATENATE("000",FTG_Data1920!A911),6),3)))</f>
        <v>181-907</v>
      </c>
      <c r="C911" s="105">
        <v>10126</v>
      </c>
      <c r="D911" s="105">
        <v>9831</v>
      </c>
    </row>
    <row r="912" spans="1:4" ht="14.5">
      <c r="A912" t="s">
        <v>5211</v>
      </c>
      <c r="B912" s="380" t="str">
        <f>CONCATENATE(LEFT(RIGHT(CONCATENATE("000",FTG_Data1920!A912),6),3),"-",(RIGHT(RIGHT(CONCATENATE("000",FTG_Data1920!A912),6),3)))</f>
        <v>181-908</v>
      </c>
      <c r="C912" s="105">
        <v>9289</v>
      </c>
      <c r="D912" s="105">
        <v>9018</v>
      </c>
    </row>
    <row r="913" spans="1:4" ht="14.5">
      <c r="A913" t="s">
        <v>8514</v>
      </c>
      <c r="B913" s="380" t="str">
        <f>CONCATENATE(LEFT(RIGHT(CONCATENATE("000",FTG_Data1920!A913),6),3),"-",(RIGHT(RIGHT(CONCATENATE("000",FTG_Data1920!A913),6),3)))</f>
        <v>181-950</v>
      </c>
      <c r="C913" s="105">
        <v>11849</v>
      </c>
      <c r="D913" s="105">
        <v>0</v>
      </c>
    </row>
    <row r="914" spans="1:4" ht="14.5">
      <c r="A914" t="s">
        <v>5212</v>
      </c>
      <c r="B914" s="380" t="str">
        <f>CONCATENATE(LEFT(RIGHT(CONCATENATE("000",FTG_Data1920!A914),6),3),"-",(RIGHT(RIGHT(CONCATENATE("000",FTG_Data1920!A914),6),3)))</f>
        <v>182-901</v>
      </c>
      <c r="C914" s="105">
        <v>10668</v>
      </c>
      <c r="D914" s="105">
        <v>10357</v>
      </c>
    </row>
    <row r="915" spans="1:4" ht="14.5">
      <c r="A915" t="s">
        <v>5213</v>
      </c>
      <c r="B915" s="380" t="str">
        <f>CONCATENATE(LEFT(RIGHT(CONCATENATE("000",FTG_Data1920!A915),6),3),"-",(RIGHT(RIGHT(CONCATENATE("000",FTG_Data1920!A915),6),3)))</f>
        <v>182-902</v>
      </c>
      <c r="C915" s="105">
        <v>11849</v>
      </c>
      <c r="D915" s="105">
        <v>12229</v>
      </c>
    </row>
    <row r="916" spans="1:4" ht="14.5">
      <c r="A916" t="s">
        <v>3168</v>
      </c>
      <c r="B916" s="380" t="str">
        <f>CONCATENATE(LEFT(RIGHT(CONCATENATE("000",FTG_Data1920!A916),6),3),"-",(RIGHT(RIGHT(CONCATENATE("000",FTG_Data1920!A916),6),3)))</f>
        <v>182-903</v>
      </c>
      <c r="C916" s="105">
        <v>9764</v>
      </c>
      <c r="D916" s="105">
        <v>9480</v>
      </c>
    </row>
    <row r="917" spans="1:4" ht="14.5">
      <c r="A917" t="s">
        <v>5214</v>
      </c>
      <c r="B917" s="380" t="str">
        <f>CONCATENATE(LEFT(RIGHT(CONCATENATE("000",FTG_Data1920!A917),6),3),"-",(RIGHT(RIGHT(CONCATENATE("000",FTG_Data1920!A917),6),3)))</f>
        <v>182-904</v>
      </c>
      <c r="C917" s="105">
        <v>11849</v>
      </c>
      <c r="D917" s="105">
        <v>11547</v>
      </c>
    </row>
    <row r="918" spans="1:4" ht="14.5">
      <c r="A918" t="s">
        <v>5861</v>
      </c>
      <c r="B918" s="380" t="str">
        <f>CONCATENATE(LEFT(RIGHT(CONCATENATE("000",FTG_Data1920!A918),6),3),"-",(RIGHT(RIGHT(CONCATENATE("000",FTG_Data1920!A918),6),3)))</f>
        <v>182-905</v>
      </c>
      <c r="C918" s="105">
        <v>11849</v>
      </c>
      <c r="D918" s="105">
        <v>13214</v>
      </c>
    </row>
    <row r="919" spans="1:4" ht="14.5">
      <c r="A919" t="s">
        <v>5215</v>
      </c>
      <c r="B919" s="380" t="str">
        <f>CONCATENATE(LEFT(RIGHT(CONCATENATE("000",FTG_Data1920!A919),6),3),"-",(RIGHT(RIGHT(CONCATENATE("000",FTG_Data1920!A919),6),3)))</f>
        <v>182-906</v>
      </c>
      <c r="C919" s="105">
        <v>11849</v>
      </c>
      <c r="D919" s="105">
        <v>15431</v>
      </c>
    </row>
    <row r="920" spans="1:4" ht="14.5">
      <c r="A920" t="s">
        <v>8068</v>
      </c>
      <c r="B920" s="380" t="str">
        <f>CONCATENATE(LEFT(RIGHT(CONCATENATE("000",FTG_Data1920!A920),6),3),"-",(RIGHT(RIGHT(CONCATENATE("000",FTG_Data1920!A920),6),3)))</f>
        <v>183-801</v>
      </c>
      <c r="C920" s="105">
        <v>10454</v>
      </c>
      <c r="D920" s="105">
        <v>10150</v>
      </c>
    </row>
    <row r="921" spans="1:4" ht="14.5">
      <c r="A921" t="s">
        <v>5216</v>
      </c>
      <c r="B921" s="380" t="str">
        <f>CONCATENATE(LEFT(RIGHT(CONCATENATE("000",FTG_Data1920!A921),6),3),"-",(RIGHT(RIGHT(CONCATENATE("000",FTG_Data1920!A921),6),3)))</f>
        <v>183-901</v>
      </c>
      <c r="C921" s="105">
        <v>9414</v>
      </c>
      <c r="D921" s="105">
        <v>9140</v>
      </c>
    </row>
    <row r="922" spans="1:4" ht="14.5">
      <c r="A922" t="s">
        <v>5217</v>
      </c>
      <c r="B922" s="380" t="str">
        <f>CONCATENATE(LEFT(RIGHT(CONCATENATE("000",FTG_Data1920!A922),6),3),"-",(RIGHT(RIGHT(CONCATENATE("000",FTG_Data1920!A922),6),3)))</f>
        <v>183-902</v>
      </c>
      <c r="C922" s="105">
        <v>10769</v>
      </c>
      <c r="D922" s="105">
        <v>10456</v>
      </c>
    </row>
    <row r="923" spans="1:4" ht="14.5">
      <c r="A923" t="s">
        <v>3169</v>
      </c>
      <c r="B923" s="380" t="str">
        <f>CONCATENATE(LEFT(RIGHT(CONCATENATE("000",FTG_Data1920!A923),6),3),"-",(RIGHT(RIGHT(CONCATENATE("000",FTG_Data1920!A923),6),3)))</f>
        <v>183-904</v>
      </c>
      <c r="C923" s="105">
        <v>10773</v>
      </c>
      <c r="D923" s="105">
        <v>10459</v>
      </c>
    </row>
    <row r="924" spans="1:4" ht="14.5">
      <c r="A924" t="s">
        <v>8069</v>
      </c>
      <c r="B924" s="380" t="str">
        <f>CONCATENATE(LEFT(RIGHT(CONCATENATE("000",FTG_Data1920!A924),6),3),"-",(RIGHT(RIGHT(CONCATENATE("000",FTG_Data1920!A924),6),3)))</f>
        <v>184-801</v>
      </c>
      <c r="C924" s="105">
        <v>11081</v>
      </c>
      <c r="D924" s="105">
        <v>10758</v>
      </c>
    </row>
    <row r="925" spans="1:4" ht="14.5">
      <c r="A925" t="s">
        <v>3170</v>
      </c>
      <c r="B925" s="380" t="str">
        <f>CONCATENATE(LEFT(RIGHT(CONCATENATE("000",FTG_Data1920!A925),6),3),"-",(RIGHT(RIGHT(CONCATENATE("000",FTG_Data1920!A925),6),3)))</f>
        <v>184-901</v>
      </c>
      <c r="C925" s="105">
        <v>11849</v>
      </c>
      <c r="D925" s="105">
        <v>12289</v>
      </c>
    </row>
    <row r="926" spans="1:4" ht="14.5">
      <c r="A926" t="s">
        <v>3171</v>
      </c>
      <c r="B926" s="380" t="str">
        <f>CONCATENATE(LEFT(RIGHT(CONCATENATE("000",FTG_Data1920!A926),6),3),"-",(RIGHT(RIGHT(CONCATENATE("000",FTG_Data1920!A926),6),3)))</f>
        <v>184-902</v>
      </c>
      <c r="C926" s="105">
        <v>10418</v>
      </c>
      <c r="D926" s="105">
        <v>10115</v>
      </c>
    </row>
    <row r="927" spans="1:4" ht="14.5">
      <c r="A927" t="s">
        <v>3172</v>
      </c>
      <c r="B927" s="380" t="str">
        <f>CONCATENATE(LEFT(RIGHT(CONCATENATE("000",FTG_Data1920!A927),6),3),"-",(RIGHT(RIGHT(CONCATENATE("000",FTG_Data1920!A927),6),3)))</f>
        <v>184-903</v>
      </c>
      <c r="C927" s="105">
        <v>10009</v>
      </c>
      <c r="D927" s="105">
        <v>9718</v>
      </c>
    </row>
    <row r="928" spans="1:4" ht="14.5">
      <c r="A928" t="s">
        <v>3173</v>
      </c>
      <c r="B928" s="380" t="str">
        <f>CONCATENATE(LEFT(RIGHT(CONCATENATE("000",FTG_Data1920!A928),6),3),"-",(RIGHT(RIGHT(CONCATENATE("000",FTG_Data1920!A928),6),3)))</f>
        <v>184-904</v>
      </c>
      <c r="C928" s="105">
        <v>11849</v>
      </c>
      <c r="D928" s="105">
        <v>12006</v>
      </c>
    </row>
    <row r="929" spans="1:4" ht="14.5">
      <c r="A929" t="s">
        <v>5218</v>
      </c>
      <c r="B929" s="380" t="str">
        <f>CONCATENATE(LEFT(RIGHT(CONCATENATE("000",FTG_Data1920!A929),6),3),"-",(RIGHT(RIGHT(CONCATENATE("000",FTG_Data1920!A929),6),3)))</f>
        <v>184-907</v>
      </c>
      <c r="C929" s="105">
        <v>9130</v>
      </c>
      <c r="D929" s="105">
        <v>8864</v>
      </c>
    </row>
    <row r="930" spans="1:4" ht="14.5">
      <c r="A930" t="s">
        <v>3174</v>
      </c>
      <c r="B930" s="380" t="str">
        <f>CONCATENATE(LEFT(RIGHT(CONCATENATE("000",FTG_Data1920!A930),6),3),"-",(RIGHT(RIGHT(CONCATENATE("000",FTG_Data1920!A930),6),3)))</f>
        <v>184-908</v>
      </c>
      <c r="C930" s="105">
        <v>9145</v>
      </c>
      <c r="D930" s="105">
        <v>8879</v>
      </c>
    </row>
    <row r="931" spans="1:4" ht="14.5">
      <c r="A931" t="s">
        <v>3175</v>
      </c>
      <c r="B931" s="380" t="str">
        <f>CONCATENATE(LEFT(RIGHT(CONCATENATE("000",FTG_Data1920!A931),6),3),"-",(RIGHT(RIGHT(CONCATENATE("000",FTG_Data1920!A931),6),3)))</f>
        <v>184-909</v>
      </c>
      <c r="C931" s="105">
        <v>9449</v>
      </c>
      <c r="D931" s="105">
        <v>9174</v>
      </c>
    </row>
    <row r="932" spans="1:4" ht="14.5">
      <c r="A932" t="s">
        <v>5219</v>
      </c>
      <c r="B932" s="380" t="str">
        <f>CONCATENATE(LEFT(RIGHT(CONCATENATE("000",FTG_Data1920!A932),6),3),"-",(RIGHT(RIGHT(CONCATENATE("000",FTG_Data1920!A932),6),3)))</f>
        <v>184-911</v>
      </c>
      <c r="C932" s="105">
        <v>11849</v>
      </c>
      <c r="D932" s="105">
        <v>12256</v>
      </c>
    </row>
    <row r="933" spans="1:4" ht="14.5">
      <c r="A933" t="s">
        <v>5862</v>
      </c>
      <c r="B933" s="380" t="str">
        <f>CONCATENATE(LEFT(RIGHT(CONCATENATE("000",FTG_Data1920!A933),6),3),"-",(RIGHT(RIGHT(CONCATENATE("000",FTG_Data1920!A933),6),3)))</f>
        <v>185-901</v>
      </c>
      <c r="C933" s="105">
        <v>11621</v>
      </c>
      <c r="D933" s="105">
        <v>11283</v>
      </c>
    </row>
    <row r="934" spans="1:4" ht="14.5">
      <c r="A934" t="s">
        <v>5863</v>
      </c>
      <c r="B934" s="380" t="str">
        <f>CONCATENATE(LEFT(RIGHT(CONCATENATE("000",FTG_Data1920!A934),6),3),"-",(RIGHT(RIGHT(CONCATENATE("000",FTG_Data1920!A934),6),3)))</f>
        <v>185-902</v>
      </c>
      <c r="C934" s="105">
        <v>11849</v>
      </c>
      <c r="D934" s="105">
        <v>11716</v>
      </c>
    </row>
    <row r="935" spans="1:4" ht="14.5">
      <c r="A935" t="s">
        <v>5220</v>
      </c>
      <c r="B935" s="380" t="str">
        <f>CONCATENATE(LEFT(RIGHT(CONCATENATE("000",FTG_Data1920!A935),6),3),"-",(RIGHT(RIGHT(CONCATENATE("000",FTG_Data1920!A935),6),3)))</f>
        <v>185-903</v>
      </c>
      <c r="C935" s="105">
        <v>10866</v>
      </c>
      <c r="D935" s="105">
        <v>10550</v>
      </c>
    </row>
    <row r="936" spans="1:4" ht="14.5">
      <c r="A936" t="s">
        <v>5864</v>
      </c>
      <c r="B936" s="380" t="str">
        <f>CONCATENATE(LEFT(RIGHT(CONCATENATE("000",FTG_Data1920!A936),6),3),"-",(RIGHT(RIGHT(CONCATENATE("000",FTG_Data1920!A936),6),3)))</f>
        <v>185-904</v>
      </c>
      <c r="C936" s="105">
        <v>11849</v>
      </c>
      <c r="D936" s="105">
        <v>12701</v>
      </c>
    </row>
    <row r="937" spans="1:4" ht="14.5">
      <c r="A937" t="s">
        <v>5221</v>
      </c>
      <c r="B937" s="380" t="str">
        <f>CONCATENATE(LEFT(RIGHT(CONCATENATE("000",FTG_Data1920!A937),6),3),"-",(RIGHT(RIGHT(CONCATENATE("000",FTG_Data1920!A937),6),3)))</f>
        <v>186-901</v>
      </c>
      <c r="C937" s="105">
        <v>11849</v>
      </c>
      <c r="D937" s="105">
        <v>23993</v>
      </c>
    </row>
    <row r="938" spans="1:4" ht="14.5">
      <c r="A938" t="s">
        <v>5222</v>
      </c>
      <c r="B938" s="380" t="str">
        <f>CONCATENATE(LEFT(RIGHT(CONCATENATE("000",FTG_Data1920!A938),6),3),"-",(RIGHT(RIGHT(CONCATENATE("000",FTG_Data1920!A938),6),3)))</f>
        <v>186-902</v>
      </c>
      <c r="C938" s="105">
        <v>11849</v>
      </c>
      <c r="D938" s="105">
        <v>12198</v>
      </c>
    </row>
    <row r="939" spans="1:4" ht="14.5">
      <c r="A939" t="s">
        <v>5223</v>
      </c>
      <c r="B939" s="380" t="str">
        <f>CONCATENATE(LEFT(RIGHT(CONCATENATE("000",FTG_Data1920!A939),6),3),"-",(RIGHT(RIGHT(CONCATENATE("000",FTG_Data1920!A939),6),3)))</f>
        <v>186-903</v>
      </c>
      <c r="C939" s="105">
        <v>11849</v>
      </c>
      <c r="D939" s="105">
        <v>14752</v>
      </c>
    </row>
    <row r="940" spans="1:4" ht="14.5">
      <c r="A940" t="s">
        <v>5224</v>
      </c>
      <c r="B940" s="380" t="str">
        <f>CONCATENATE(LEFT(RIGHT(CONCATENATE("000",FTG_Data1920!A940),6),3),"-",(RIGHT(RIGHT(CONCATENATE("000",FTG_Data1920!A940),6),3)))</f>
        <v>187-901</v>
      </c>
      <c r="C940" s="105">
        <v>11300</v>
      </c>
      <c r="D940" s="105">
        <v>10970</v>
      </c>
    </row>
    <row r="941" spans="1:4" ht="14.5">
      <c r="A941" t="s">
        <v>5865</v>
      </c>
      <c r="B941" s="380" t="str">
        <f>CONCATENATE(LEFT(RIGHT(CONCATENATE("000",FTG_Data1920!A941),6),3),"-",(RIGHT(RIGHT(CONCATENATE("000",FTG_Data1920!A941),6),3)))</f>
        <v>187-903</v>
      </c>
      <c r="C941" s="105">
        <v>11849</v>
      </c>
      <c r="D941" s="105">
        <v>13492</v>
      </c>
    </row>
    <row r="942" spans="1:4" ht="14.5">
      <c r="A942" t="s">
        <v>5225</v>
      </c>
      <c r="B942" s="380" t="str">
        <f>CONCATENATE(LEFT(RIGHT(CONCATENATE("000",FTG_Data1920!A942),6),3),"-",(RIGHT(RIGHT(CONCATENATE("000",FTG_Data1920!A942),6),3)))</f>
        <v>187-904</v>
      </c>
      <c r="C942" s="105">
        <v>11177</v>
      </c>
      <c r="D942" s="105">
        <v>10851</v>
      </c>
    </row>
    <row r="943" spans="1:4" ht="14.5">
      <c r="A943" t="s">
        <v>5226</v>
      </c>
      <c r="B943" s="380" t="str">
        <f>CONCATENATE(LEFT(RIGHT(CONCATENATE("000",FTG_Data1920!A943),6),3),"-",(RIGHT(RIGHT(CONCATENATE("000",FTG_Data1920!A943),6),3)))</f>
        <v>187-906</v>
      </c>
      <c r="C943" s="105">
        <v>11849</v>
      </c>
      <c r="D943" s="105">
        <v>11843</v>
      </c>
    </row>
    <row r="944" spans="1:4" ht="14.5">
      <c r="A944" t="s">
        <v>3176</v>
      </c>
      <c r="B944" s="380" t="str">
        <f>CONCATENATE(LEFT(RIGHT(CONCATENATE("000",FTG_Data1920!A944),6),3),"-",(RIGHT(RIGHT(CONCATENATE("000",FTG_Data1920!A944),6),3)))</f>
        <v>187-907</v>
      </c>
      <c r="C944" s="105">
        <v>10267</v>
      </c>
      <c r="D944" s="105">
        <v>9968</v>
      </c>
    </row>
    <row r="945" spans="1:4" ht="14.5">
      <c r="A945" t="s">
        <v>5227</v>
      </c>
      <c r="B945" s="380" t="str">
        <f>CONCATENATE(LEFT(RIGHT(CONCATENATE("000",FTG_Data1920!A945),6),3),"-",(RIGHT(RIGHT(CONCATENATE("000",FTG_Data1920!A945),6),3)))</f>
        <v>187-910</v>
      </c>
      <c r="C945" s="105">
        <v>11071</v>
      </c>
      <c r="D945" s="105">
        <v>10748</v>
      </c>
    </row>
    <row r="946" spans="1:4" ht="14.5">
      <c r="A946" t="s">
        <v>3177</v>
      </c>
      <c r="B946" s="380" t="str">
        <f>CONCATENATE(LEFT(RIGHT(CONCATENATE("000",FTG_Data1920!A946),6),3),"-",(RIGHT(RIGHT(CONCATENATE("000",FTG_Data1920!A946),6),3)))</f>
        <v>188-901</v>
      </c>
      <c r="C946" s="105">
        <v>8956</v>
      </c>
      <c r="D946" s="105">
        <v>8695</v>
      </c>
    </row>
    <row r="947" spans="1:4" ht="14.5">
      <c r="A947" t="s">
        <v>3178</v>
      </c>
      <c r="B947" s="380" t="str">
        <f>CONCATENATE(LEFT(RIGHT(CONCATENATE("000",FTG_Data1920!A947),6),3),"-",(RIGHT(RIGHT(CONCATENATE("000",FTG_Data1920!A947),6),3)))</f>
        <v>188-902</v>
      </c>
      <c r="C947" s="105">
        <v>10477</v>
      </c>
      <c r="D947" s="105">
        <v>10172</v>
      </c>
    </row>
    <row r="948" spans="1:4" ht="14.5">
      <c r="A948" t="s">
        <v>5228</v>
      </c>
      <c r="B948" s="380" t="str">
        <f>CONCATENATE(LEFT(RIGHT(CONCATENATE("000",FTG_Data1920!A948),6),3),"-",(RIGHT(RIGHT(CONCATENATE("000",FTG_Data1920!A948),6),3)))</f>
        <v>188-903</v>
      </c>
      <c r="C948" s="105">
        <v>10622</v>
      </c>
      <c r="D948" s="105">
        <v>10312</v>
      </c>
    </row>
    <row r="949" spans="1:4" ht="14.5">
      <c r="A949" t="s">
        <v>5229</v>
      </c>
      <c r="B949" s="380" t="str">
        <f>CONCATENATE(LEFT(RIGHT(CONCATENATE("000",FTG_Data1920!A949),6),3),"-",(RIGHT(RIGHT(CONCATENATE("000",FTG_Data1920!A949),6),3)))</f>
        <v>188-904</v>
      </c>
      <c r="C949" s="105">
        <v>9884</v>
      </c>
      <c r="D949" s="105">
        <v>9596</v>
      </c>
    </row>
    <row r="950" spans="1:4" ht="14.5">
      <c r="A950" t="s">
        <v>8515</v>
      </c>
      <c r="B950" s="380" t="str">
        <f>CONCATENATE(LEFT(RIGHT(CONCATENATE("000",FTG_Data1920!A950),6),3),"-",(RIGHT(RIGHT(CONCATENATE("000",FTG_Data1920!A950),6),3)))</f>
        <v>188-950</v>
      </c>
      <c r="C950" s="105">
        <v>11849</v>
      </c>
      <c r="D950" s="105">
        <v>0</v>
      </c>
    </row>
    <row r="951" spans="1:4" ht="14.5">
      <c r="A951" t="s">
        <v>3179</v>
      </c>
      <c r="B951" s="380" t="str">
        <f>CONCATENATE(LEFT(RIGHT(CONCATENATE("000",FTG_Data1920!A951),6),3),"-",(RIGHT(RIGHT(CONCATENATE("000",FTG_Data1920!A951),6),3)))</f>
        <v>189-901</v>
      </c>
      <c r="C951" s="105">
        <v>11849</v>
      </c>
      <c r="D951" s="105">
        <v>11991</v>
      </c>
    </row>
    <row r="952" spans="1:4" ht="14.5">
      <c r="A952" t="s">
        <v>3180</v>
      </c>
      <c r="B952" s="380" t="str">
        <f>CONCATENATE(LEFT(RIGHT(CONCATENATE("000",FTG_Data1920!A952),6),3),"-",(RIGHT(RIGHT(CONCATENATE("000",FTG_Data1920!A952),6),3)))</f>
        <v>189-902</v>
      </c>
      <c r="C952" s="105">
        <v>11849</v>
      </c>
      <c r="D952" s="105">
        <v>11588</v>
      </c>
    </row>
    <row r="953" spans="1:4" ht="14.5">
      <c r="A953" t="s">
        <v>5230</v>
      </c>
      <c r="B953" s="380" t="str">
        <f>CONCATENATE(LEFT(RIGHT(CONCATENATE("000",FTG_Data1920!A953),6),3),"-",(RIGHT(RIGHT(CONCATENATE("000",FTG_Data1920!A953),6),3)))</f>
        <v>190-903</v>
      </c>
      <c r="C953" s="105">
        <v>9068</v>
      </c>
      <c r="D953" s="105">
        <v>8804</v>
      </c>
    </row>
    <row r="954" spans="1:4" ht="14.5">
      <c r="A954" t="s">
        <v>5231</v>
      </c>
      <c r="B954" s="380" t="str">
        <f>CONCATENATE(LEFT(RIGHT(CONCATENATE("000",FTG_Data1920!A954),6),3),"-",(RIGHT(RIGHT(CONCATENATE("000",FTG_Data1920!A954),6),3)))</f>
        <v>191-901</v>
      </c>
      <c r="C954" s="105">
        <v>7830</v>
      </c>
      <c r="D954" s="105">
        <v>7602</v>
      </c>
    </row>
    <row r="955" spans="1:4" ht="14.5">
      <c r="A955" t="s">
        <v>5232</v>
      </c>
      <c r="B955" s="380" t="str">
        <f>CONCATENATE(LEFT(RIGHT(CONCATENATE("000",FTG_Data1920!A955),6),3),"-",(RIGHT(RIGHT(CONCATENATE("000",FTG_Data1920!A955),6),3)))</f>
        <v>192-901</v>
      </c>
      <c r="C955" s="105">
        <v>11849</v>
      </c>
      <c r="D955" s="105">
        <v>19909</v>
      </c>
    </row>
    <row r="956" spans="1:4" ht="14.5">
      <c r="A956" t="s">
        <v>8070</v>
      </c>
      <c r="B956" s="380" t="str">
        <f>CONCATENATE(LEFT(RIGHT(CONCATENATE("000",FTG_Data1920!A956),6),3),"-",(RIGHT(RIGHT(CONCATENATE("000",FTG_Data1920!A956),6),3)))</f>
        <v>193-801</v>
      </c>
      <c r="C956" s="105">
        <v>11849</v>
      </c>
      <c r="D956" s="105">
        <v>17472</v>
      </c>
    </row>
    <row r="957" spans="1:4" ht="14.5">
      <c r="A957" t="s">
        <v>5233</v>
      </c>
      <c r="B957" s="380" t="str">
        <f>CONCATENATE(LEFT(RIGHT(CONCATENATE("000",FTG_Data1920!A957),6),3),"-",(RIGHT(RIGHT(CONCATENATE("000",FTG_Data1920!A957),6),3)))</f>
        <v>193-902</v>
      </c>
      <c r="C957" s="105">
        <v>11849</v>
      </c>
      <c r="D957" s="105">
        <v>12971</v>
      </c>
    </row>
    <row r="958" spans="1:4" ht="14.5">
      <c r="A958" t="s">
        <v>5866</v>
      </c>
      <c r="B958" s="380" t="str">
        <f>CONCATENATE(LEFT(RIGHT(CONCATENATE("000",FTG_Data1920!A958),6),3),"-",(RIGHT(RIGHT(CONCATENATE("000",FTG_Data1920!A958),6),3)))</f>
        <v>194-902</v>
      </c>
      <c r="C958" s="105">
        <v>11849</v>
      </c>
      <c r="D958" s="105">
        <v>12233</v>
      </c>
    </row>
    <row r="959" spans="1:4" ht="14.5">
      <c r="A959" t="s">
        <v>3181</v>
      </c>
      <c r="B959" s="380" t="str">
        <f>CONCATENATE(LEFT(RIGHT(CONCATENATE("000",FTG_Data1920!A959),6),3),"-",(RIGHT(RIGHT(CONCATENATE("000",FTG_Data1920!A959),6),3)))</f>
        <v>194-903</v>
      </c>
      <c r="C959" s="105">
        <v>11849</v>
      </c>
      <c r="D959" s="105">
        <v>11688</v>
      </c>
    </row>
    <row r="960" spans="1:4" ht="14.5">
      <c r="A960" t="s">
        <v>5867</v>
      </c>
      <c r="B960" s="380" t="str">
        <f>CONCATENATE(LEFT(RIGHT(CONCATENATE("000",FTG_Data1920!A960),6),3),"-",(RIGHT(RIGHT(CONCATENATE("000",FTG_Data1920!A960),6),3)))</f>
        <v>194-904</v>
      </c>
      <c r="C960" s="105">
        <v>11849</v>
      </c>
      <c r="D960" s="105">
        <v>12642</v>
      </c>
    </row>
    <row r="961" spans="1:4" ht="14.5">
      <c r="A961" t="s">
        <v>3182</v>
      </c>
      <c r="B961" s="380" t="str">
        <f>CONCATENATE(LEFT(RIGHT(CONCATENATE("000",FTG_Data1920!A961),6),3),"-",(RIGHT(RIGHT(CONCATENATE("000",FTG_Data1920!A961),6),3)))</f>
        <v>194-905</v>
      </c>
      <c r="C961" s="105">
        <v>11849</v>
      </c>
      <c r="D961" s="105">
        <v>12241</v>
      </c>
    </row>
    <row r="962" spans="1:4" ht="14.5">
      <c r="A962" t="s">
        <v>5234</v>
      </c>
      <c r="B962" s="380" t="str">
        <f>CONCATENATE(LEFT(RIGHT(CONCATENATE("000",FTG_Data1920!A962),6),3),"-",(RIGHT(RIGHT(CONCATENATE("000",FTG_Data1920!A962),6),3)))</f>
        <v>195-901</v>
      </c>
      <c r="C962" s="105">
        <v>11849</v>
      </c>
      <c r="D962" s="105">
        <v>15925</v>
      </c>
    </row>
    <row r="963" spans="1:4" ht="14.5">
      <c r="A963" t="s">
        <v>3183</v>
      </c>
      <c r="B963" s="380" t="str">
        <f>CONCATENATE(LEFT(RIGHT(CONCATENATE("000",FTG_Data1920!A963),6),3),"-",(RIGHT(RIGHT(CONCATENATE("000",FTG_Data1920!A963),6),3)))</f>
        <v>195-902</v>
      </c>
      <c r="C963" s="105">
        <v>11849</v>
      </c>
      <c r="D963" s="105">
        <v>69146</v>
      </c>
    </row>
    <row r="964" spans="1:4" ht="14.5">
      <c r="A964" t="s">
        <v>5235</v>
      </c>
      <c r="B964" s="380" t="str">
        <f>CONCATENATE(LEFT(RIGHT(CONCATENATE("000",FTG_Data1920!A964),6),3),"-",(RIGHT(RIGHT(CONCATENATE("000",FTG_Data1920!A964),6),3)))</f>
        <v>196-901</v>
      </c>
      <c r="C964" s="105">
        <v>11849</v>
      </c>
      <c r="D964" s="105">
        <v>18563</v>
      </c>
    </row>
    <row r="965" spans="1:4" ht="14.5">
      <c r="A965" t="s">
        <v>5236</v>
      </c>
      <c r="B965" s="380" t="str">
        <f>CONCATENATE(LEFT(RIGHT(CONCATENATE("000",FTG_Data1920!A965),6),3),"-",(RIGHT(RIGHT(CONCATENATE("000",FTG_Data1920!A965),6),3)))</f>
        <v>196-902</v>
      </c>
      <c r="C965" s="105">
        <v>11849</v>
      </c>
      <c r="D965" s="105">
        <v>13118</v>
      </c>
    </row>
    <row r="966" spans="1:4" ht="14.5">
      <c r="A966" t="s">
        <v>5237</v>
      </c>
      <c r="B966" s="380" t="str">
        <f>CONCATENATE(LEFT(RIGHT(CONCATENATE("000",FTG_Data1920!A966),6),3),"-",(RIGHT(RIGHT(CONCATENATE("000",FTG_Data1920!A966),6),3)))</f>
        <v>196-903</v>
      </c>
      <c r="C966" s="105">
        <v>11849</v>
      </c>
      <c r="D966" s="105">
        <v>13002</v>
      </c>
    </row>
    <row r="967" spans="1:4" ht="14.5">
      <c r="A967" t="s">
        <v>5238</v>
      </c>
      <c r="B967" s="380" t="str">
        <f>CONCATENATE(LEFT(RIGHT(CONCATENATE("000",FTG_Data1920!A967),6),3),"-",(RIGHT(RIGHT(CONCATENATE("000",FTG_Data1920!A967),6),3)))</f>
        <v>197-902</v>
      </c>
      <c r="C967" s="105">
        <v>11849</v>
      </c>
      <c r="D967" s="105">
        <v>13181</v>
      </c>
    </row>
    <row r="968" spans="1:4" ht="14.5">
      <c r="A968" t="s">
        <v>5239</v>
      </c>
      <c r="B968" s="380" t="str">
        <f>CONCATENATE(LEFT(RIGHT(CONCATENATE("000",FTG_Data1920!A968),6),3),"-",(RIGHT(RIGHT(CONCATENATE("000",FTG_Data1920!A968),6),3)))</f>
        <v>198-901</v>
      </c>
      <c r="C968" s="105">
        <v>10549</v>
      </c>
      <c r="D968" s="105">
        <v>10242</v>
      </c>
    </row>
    <row r="969" spans="1:4" ht="14.5">
      <c r="A969" t="s">
        <v>5868</v>
      </c>
      <c r="B969" s="380" t="str">
        <f>CONCATENATE(LEFT(RIGHT(CONCATENATE("000",FTG_Data1920!A969),6),3),"-",(RIGHT(RIGHT(CONCATENATE("000",FTG_Data1920!A969),6),3)))</f>
        <v>198-902</v>
      </c>
      <c r="C969" s="105">
        <v>11849</v>
      </c>
      <c r="D969" s="105">
        <v>15351</v>
      </c>
    </row>
    <row r="970" spans="1:4" ht="14.5">
      <c r="A970" t="s">
        <v>5240</v>
      </c>
      <c r="B970" s="380" t="str">
        <f>CONCATENATE(LEFT(RIGHT(CONCATENATE("000",FTG_Data1920!A970),6),3),"-",(RIGHT(RIGHT(CONCATENATE("000",FTG_Data1920!A970),6),3)))</f>
        <v>198-903</v>
      </c>
      <c r="C970" s="105">
        <v>9954</v>
      </c>
      <c r="D970" s="105">
        <v>9664</v>
      </c>
    </row>
    <row r="971" spans="1:4" ht="14.5">
      <c r="A971" t="s">
        <v>5241</v>
      </c>
      <c r="B971" s="380" t="str">
        <f>CONCATENATE(LEFT(RIGHT(CONCATENATE("000",FTG_Data1920!A971),6),3),"-",(RIGHT(RIGHT(CONCATENATE("000",FTG_Data1920!A971),6),3)))</f>
        <v>198-905</v>
      </c>
      <c r="C971" s="105">
        <v>11849</v>
      </c>
      <c r="D971" s="105">
        <v>13490</v>
      </c>
    </row>
    <row r="972" spans="1:4" ht="14.5">
      <c r="A972" t="s">
        <v>5869</v>
      </c>
      <c r="B972" s="380" t="str">
        <f>CONCATENATE(LEFT(RIGHT(CONCATENATE("000",FTG_Data1920!A972),6),3),"-",(RIGHT(RIGHT(CONCATENATE("000",FTG_Data1920!A972),6),3)))</f>
        <v>198-906</v>
      </c>
      <c r="C972" s="105">
        <v>11849</v>
      </c>
      <c r="D972" s="105">
        <v>13060</v>
      </c>
    </row>
    <row r="973" spans="1:4" ht="14.5">
      <c r="A973" t="s">
        <v>5242</v>
      </c>
      <c r="B973" s="380" t="str">
        <f>CONCATENATE(LEFT(RIGHT(CONCATENATE("000",FTG_Data1920!A973),6),3),"-",(RIGHT(RIGHT(CONCATENATE("000",FTG_Data1920!A973),6),3)))</f>
        <v>199-901</v>
      </c>
      <c r="C973" s="105">
        <v>8205</v>
      </c>
      <c r="D973" s="105">
        <v>7966</v>
      </c>
    </row>
    <row r="974" spans="1:4" ht="14.5">
      <c r="A974" t="s">
        <v>3184</v>
      </c>
      <c r="B974" s="380" t="str">
        <f>CONCATENATE(LEFT(RIGHT(CONCATENATE("000",FTG_Data1920!A974),6),3),"-",(RIGHT(RIGHT(CONCATENATE("000",FTG_Data1920!A974),6),3)))</f>
        <v>199-902</v>
      </c>
      <c r="C974" s="105">
        <v>9478</v>
      </c>
      <c r="D974" s="105">
        <v>9202</v>
      </c>
    </row>
    <row r="975" spans="1:4" ht="14.5">
      <c r="A975" t="s">
        <v>5870</v>
      </c>
      <c r="B975" s="380" t="str">
        <f>CONCATENATE(LEFT(RIGHT(CONCATENATE("000",FTG_Data1920!A975),6),3),"-",(RIGHT(RIGHT(CONCATENATE("000",FTG_Data1920!A975),6),3)))</f>
        <v>200-901</v>
      </c>
      <c r="C975" s="105">
        <v>11849</v>
      </c>
      <c r="D975" s="105">
        <v>11746</v>
      </c>
    </row>
    <row r="976" spans="1:4" ht="14.5">
      <c r="A976" t="s">
        <v>3185</v>
      </c>
      <c r="B976" s="380" t="str">
        <f>CONCATENATE(LEFT(RIGHT(CONCATENATE("000",FTG_Data1920!A976),6),3),"-",(RIGHT(RIGHT(CONCATENATE("000",FTG_Data1920!A976),6),3)))</f>
        <v>200-902</v>
      </c>
      <c r="C976" s="105">
        <v>11132</v>
      </c>
      <c r="D976" s="105">
        <v>10808</v>
      </c>
    </row>
    <row r="977" spans="1:4" ht="14.5">
      <c r="A977" t="s">
        <v>4591</v>
      </c>
      <c r="B977" s="380" t="str">
        <f>CONCATENATE(LEFT(RIGHT(CONCATENATE("000",FTG_Data1920!A977),6),3),"-",(RIGHT(RIGHT(CONCATENATE("000",FTG_Data1920!A977),6),3)))</f>
        <v>200-904</v>
      </c>
      <c r="C977" s="105">
        <v>11849</v>
      </c>
      <c r="D977" s="105">
        <v>12430</v>
      </c>
    </row>
    <row r="978" spans="1:4" ht="14.5">
      <c r="A978" t="s">
        <v>3186</v>
      </c>
      <c r="B978" s="380" t="str">
        <f>CONCATENATE(LEFT(RIGHT(CONCATENATE("000",FTG_Data1920!A978),6),3),"-",(RIGHT(RIGHT(CONCATENATE("000",FTG_Data1920!A978),6),3)))</f>
        <v>200-906</v>
      </c>
      <c r="C978" s="105">
        <v>11849</v>
      </c>
      <c r="D978" s="105">
        <v>16155</v>
      </c>
    </row>
    <row r="979" spans="1:4" ht="14.5">
      <c r="A979" t="s">
        <v>5243</v>
      </c>
      <c r="B979" s="380" t="str">
        <f>CONCATENATE(LEFT(RIGHT(CONCATENATE("000",FTG_Data1920!A979),6),3),"-",(RIGHT(RIGHT(CONCATENATE("000",FTG_Data1920!A979),6),3)))</f>
        <v>201-902</v>
      </c>
      <c r="C979" s="105">
        <v>8900</v>
      </c>
      <c r="D979" s="105">
        <v>8640</v>
      </c>
    </row>
    <row r="980" spans="1:4" ht="14.5">
      <c r="A980" t="s">
        <v>5871</v>
      </c>
      <c r="B980" s="380" t="str">
        <f>CONCATENATE(LEFT(RIGHT(CONCATENATE("000",FTG_Data1920!A980),6),3),"-",(RIGHT(RIGHT(CONCATENATE("000",FTG_Data1920!A980),6),3)))</f>
        <v>201-903</v>
      </c>
      <c r="C980" s="105">
        <v>11849</v>
      </c>
      <c r="D980" s="105">
        <v>15052</v>
      </c>
    </row>
    <row r="981" spans="1:4" ht="14.5">
      <c r="A981" t="s">
        <v>5872</v>
      </c>
      <c r="B981" s="380" t="str">
        <f>CONCATENATE(LEFT(RIGHT(CONCATENATE("000",FTG_Data1920!A981),6),3),"-",(RIGHT(RIGHT(CONCATENATE("000",FTG_Data1920!A981),6),3)))</f>
        <v>201-904</v>
      </c>
      <c r="C981" s="105">
        <v>11849</v>
      </c>
      <c r="D981" s="105">
        <v>12971</v>
      </c>
    </row>
    <row r="982" spans="1:4" ht="14.5">
      <c r="A982" t="s">
        <v>4595</v>
      </c>
      <c r="B982" s="380" t="str">
        <f>CONCATENATE(LEFT(RIGHT(CONCATENATE("000",FTG_Data1920!A982),6),3),"-",(RIGHT(RIGHT(CONCATENATE("000",FTG_Data1920!A982),6),3)))</f>
        <v>201-907</v>
      </c>
      <c r="C982" s="105">
        <v>11836</v>
      </c>
      <c r="D982" s="105">
        <v>11491</v>
      </c>
    </row>
    <row r="983" spans="1:4" ht="14.5">
      <c r="A983" t="s">
        <v>3187</v>
      </c>
      <c r="B983" s="380" t="str">
        <f>CONCATENATE(LEFT(RIGHT(CONCATENATE("000",FTG_Data1920!A983),6),3),"-",(RIGHT(RIGHT(CONCATENATE("000",FTG_Data1920!A983),6),3)))</f>
        <v>201-908</v>
      </c>
      <c r="C983" s="105">
        <v>11682</v>
      </c>
      <c r="D983" s="105">
        <v>11342</v>
      </c>
    </row>
    <row r="984" spans="1:4" ht="14.5">
      <c r="A984" t="s">
        <v>5244</v>
      </c>
      <c r="B984" s="380" t="str">
        <f>CONCATENATE(LEFT(RIGHT(CONCATENATE("000",FTG_Data1920!A984),6),3),"-",(RIGHT(RIGHT(CONCATENATE("000",FTG_Data1920!A984),6),3)))</f>
        <v>201-910</v>
      </c>
      <c r="C984" s="105">
        <v>9225</v>
      </c>
      <c r="D984" s="105">
        <v>8956</v>
      </c>
    </row>
    <row r="985" spans="1:4" ht="14.5">
      <c r="A985" t="s">
        <v>3188</v>
      </c>
      <c r="B985" s="380" t="str">
        <f>CONCATENATE(LEFT(RIGHT(CONCATENATE("000",FTG_Data1920!A985),6),3),"-",(RIGHT(RIGHT(CONCATENATE("000",FTG_Data1920!A985),6),3)))</f>
        <v>201-913</v>
      </c>
      <c r="C985" s="105">
        <v>11849</v>
      </c>
      <c r="D985" s="105">
        <v>13647</v>
      </c>
    </row>
    <row r="986" spans="1:4" ht="14.5">
      <c r="A986" t="s">
        <v>5245</v>
      </c>
      <c r="B986" s="380" t="str">
        <f>CONCATENATE(LEFT(RIGHT(CONCATENATE("000",FTG_Data1920!A986),6),3),"-",(RIGHT(RIGHT(CONCATENATE("000",FTG_Data1920!A986),6),3)))</f>
        <v>201-914</v>
      </c>
      <c r="C986" s="105">
        <v>9830</v>
      </c>
      <c r="D986" s="105">
        <v>9544</v>
      </c>
    </row>
    <row r="987" spans="1:4" ht="14.5">
      <c r="A987" t="s">
        <v>5873</v>
      </c>
      <c r="B987" s="380" t="str">
        <f>CONCATENATE(LEFT(RIGHT(CONCATENATE("000",FTG_Data1920!A987),6),3),"-",(RIGHT(RIGHT(CONCATENATE("000",FTG_Data1920!A987),6),3)))</f>
        <v>202-903</v>
      </c>
      <c r="C987" s="105">
        <v>10049</v>
      </c>
      <c r="D987" s="105">
        <v>9756</v>
      </c>
    </row>
    <row r="988" spans="1:4" ht="14.5">
      <c r="A988" t="s">
        <v>3189</v>
      </c>
      <c r="B988" s="380" t="str">
        <f>CONCATENATE(LEFT(RIGHT(CONCATENATE("000",FTG_Data1920!A988),6),3),"-",(RIGHT(RIGHT(CONCATENATE("000",FTG_Data1920!A988),6),3)))</f>
        <v>202-905</v>
      </c>
      <c r="C988" s="105">
        <v>11849</v>
      </c>
      <c r="D988" s="105">
        <v>11639</v>
      </c>
    </row>
    <row r="989" spans="1:4" ht="14.5">
      <c r="A989" t="s">
        <v>3190</v>
      </c>
      <c r="B989" s="380" t="str">
        <f>CONCATENATE(LEFT(RIGHT(CONCATENATE("000",FTG_Data1920!A989),6),3),"-",(RIGHT(RIGHT(CONCATENATE("000",FTG_Data1920!A989),6),3)))</f>
        <v>203-901</v>
      </c>
      <c r="C989" s="105">
        <v>11849</v>
      </c>
      <c r="D989" s="105">
        <v>12164</v>
      </c>
    </row>
    <row r="990" spans="1:4" ht="14.5">
      <c r="A990" t="s">
        <v>5874</v>
      </c>
      <c r="B990" s="380" t="str">
        <f>CONCATENATE(LEFT(RIGHT(CONCATENATE("000",FTG_Data1920!A990),6),3),"-",(RIGHT(RIGHT(CONCATENATE("000",FTG_Data1920!A990),6),3)))</f>
        <v>203-902</v>
      </c>
      <c r="C990" s="105">
        <v>11849</v>
      </c>
      <c r="D990" s="105">
        <v>20311</v>
      </c>
    </row>
    <row r="991" spans="1:4" ht="14.5">
      <c r="A991" t="s">
        <v>5246</v>
      </c>
      <c r="B991" s="380" t="str">
        <f>CONCATENATE(LEFT(RIGHT(CONCATENATE("000",FTG_Data1920!A991),6),3),"-",(RIGHT(RIGHT(CONCATENATE("000",FTG_Data1920!A991),6),3)))</f>
        <v>204-901</v>
      </c>
      <c r="C991" s="105">
        <v>11407</v>
      </c>
      <c r="D991" s="105">
        <v>11075</v>
      </c>
    </row>
    <row r="992" spans="1:4" ht="14.5">
      <c r="A992" t="s">
        <v>3191</v>
      </c>
      <c r="B992" s="380" t="str">
        <f>CONCATENATE(LEFT(RIGHT(CONCATENATE("000",FTG_Data1920!A992),6),3),"-",(RIGHT(RIGHT(CONCATENATE("000",FTG_Data1920!A992),6),3)))</f>
        <v>204-904</v>
      </c>
      <c r="C992" s="105">
        <v>11353</v>
      </c>
      <c r="D992" s="105">
        <v>11022</v>
      </c>
    </row>
    <row r="993" spans="1:4" ht="14.5">
      <c r="A993" t="s">
        <v>3192</v>
      </c>
      <c r="B993" s="380" t="str">
        <f>CONCATENATE(LEFT(RIGHT(CONCATENATE("000",FTG_Data1920!A993),6),3),"-",(RIGHT(RIGHT(CONCATENATE("000",FTG_Data1920!A993),6),3)))</f>
        <v>205-901</v>
      </c>
      <c r="C993" s="105">
        <v>10037</v>
      </c>
      <c r="D993" s="105">
        <v>9745</v>
      </c>
    </row>
    <row r="994" spans="1:4" ht="14.5">
      <c r="A994" t="s">
        <v>5247</v>
      </c>
      <c r="B994" s="380" t="str">
        <f>CONCATENATE(LEFT(RIGHT(CONCATENATE("000",FTG_Data1920!A994),6),3),"-",(RIGHT(RIGHT(CONCATENATE("000",FTG_Data1920!A994),6),3)))</f>
        <v>205-902</v>
      </c>
      <c r="C994" s="105">
        <v>10313</v>
      </c>
      <c r="D994" s="105">
        <v>10013</v>
      </c>
    </row>
    <row r="995" spans="1:4" ht="14.5">
      <c r="A995" t="s">
        <v>5248</v>
      </c>
      <c r="B995" s="380" t="str">
        <f>CONCATENATE(LEFT(RIGHT(CONCATENATE("000",FTG_Data1920!A995),6),3),"-",(RIGHT(RIGHT(CONCATENATE("000",FTG_Data1920!A995),6),3)))</f>
        <v>205-903</v>
      </c>
      <c r="C995" s="105">
        <v>9655</v>
      </c>
      <c r="D995" s="105">
        <v>9374</v>
      </c>
    </row>
    <row r="996" spans="1:4" ht="14.5">
      <c r="A996" t="s">
        <v>3193</v>
      </c>
      <c r="B996" s="380" t="str">
        <f>CONCATENATE(LEFT(RIGHT(CONCATENATE("000",FTG_Data1920!A996),6),3),"-",(RIGHT(RIGHT(CONCATENATE("000",FTG_Data1920!A996),6),3)))</f>
        <v>205-904</v>
      </c>
      <c r="C996" s="105">
        <v>11047</v>
      </c>
      <c r="D996" s="105">
        <v>10726</v>
      </c>
    </row>
    <row r="997" spans="1:4" ht="14.5">
      <c r="A997" t="s">
        <v>3194</v>
      </c>
      <c r="B997" s="380" t="str">
        <f>CONCATENATE(LEFT(RIGHT(CONCATENATE("000",FTG_Data1920!A997),6),3),"-",(RIGHT(RIGHT(CONCATENATE("000",FTG_Data1920!A997),6),3)))</f>
        <v>205-905</v>
      </c>
      <c r="C997" s="105">
        <v>11849</v>
      </c>
      <c r="D997" s="105">
        <v>12684</v>
      </c>
    </row>
    <row r="998" spans="1:4" ht="14.5">
      <c r="A998" t="s">
        <v>3195</v>
      </c>
      <c r="B998" s="380" t="str">
        <f>CONCATENATE(LEFT(RIGHT(CONCATENATE("000",FTG_Data1920!A998),6),3),"-",(RIGHT(RIGHT(CONCATENATE("000",FTG_Data1920!A998),6),3)))</f>
        <v>205-906</v>
      </c>
      <c r="C998" s="105">
        <v>11765</v>
      </c>
      <c r="D998" s="105">
        <v>11422</v>
      </c>
    </row>
    <row r="999" spans="1:4" ht="14.5">
      <c r="A999" t="s">
        <v>3196</v>
      </c>
      <c r="B999" s="380" t="str">
        <f>CONCATENATE(LEFT(RIGHT(CONCATENATE("000",FTG_Data1920!A999),6),3),"-",(RIGHT(RIGHT(CONCATENATE("000",FTG_Data1920!A999),6),3)))</f>
        <v>205-907</v>
      </c>
      <c r="C999" s="105">
        <v>11849</v>
      </c>
      <c r="D999" s="105">
        <v>13411</v>
      </c>
    </row>
    <row r="1000" spans="1:4" ht="14.5">
      <c r="A1000" t="s">
        <v>3197</v>
      </c>
      <c r="B1000" s="380" t="str">
        <f>CONCATENATE(LEFT(RIGHT(CONCATENATE("000",FTG_Data1920!A1000),6),3),"-",(RIGHT(RIGHT(CONCATENATE("000",FTG_Data1920!A1000),6),3)))</f>
        <v>206-901</v>
      </c>
      <c r="C1000" s="105">
        <v>11849</v>
      </c>
      <c r="D1000" s="105">
        <v>11577</v>
      </c>
    </row>
    <row r="1001" spans="1:4" ht="14.5">
      <c r="A1001" t="s">
        <v>5875</v>
      </c>
      <c r="B1001" s="380" t="str">
        <f>CONCATENATE(LEFT(RIGHT(CONCATENATE("000",FTG_Data1920!A1001),6),3),"-",(RIGHT(RIGHT(CONCATENATE("000",FTG_Data1920!A1001),6),3)))</f>
        <v>206-902</v>
      </c>
      <c r="C1001" s="105">
        <v>11849</v>
      </c>
      <c r="D1001" s="105">
        <v>17338</v>
      </c>
    </row>
    <row r="1002" spans="1:4" ht="14.5">
      <c r="A1002" t="s">
        <v>5876</v>
      </c>
      <c r="B1002" s="380" t="str">
        <f>CONCATENATE(LEFT(RIGHT(CONCATENATE("000",FTG_Data1920!A1002),6),3),"-",(RIGHT(RIGHT(CONCATENATE("000",FTG_Data1920!A1002),6),3)))</f>
        <v>206-903</v>
      </c>
      <c r="C1002" s="105">
        <v>11849</v>
      </c>
      <c r="D1002" s="105">
        <v>17614</v>
      </c>
    </row>
    <row r="1003" spans="1:4" ht="14.5">
      <c r="A1003" t="s">
        <v>5877</v>
      </c>
      <c r="B1003" s="380" t="str">
        <f>CONCATENATE(LEFT(RIGHT(CONCATENATE("000",FTG_Data1920!A1003),6),3),"-",(RIGHT(RIGHT(CONCATENATE("000",FTG_Data1920!A1003),6),3)))</f>
        <v>207-901</v>
      </c>
      <c r="C1003" s="105">
        <v>11849</v>
      </c>
      <c r="D1003" s="105">
        <v>12222</v>
      </c>
    </row>
    <row r="1004" spans="1:4" ht="14.5">
      <c r="A1004" t="s">
        <v>5249</v>
      </c>
      <c r="B1004" s="380" t="str">
        <f>CONCATENATE(LEFT(RIGHT(CONCATENATE("000",FTG_Data1920!A1004),6),3),"-",(RIGHT(RIGHT(CONCATENATE("000",FTG_Data1920!A1004),6),3)))</f>
        <v>208-901</v>
      </c>
      <c r="C1004" s="105">
        <v>11849</v>
      </c>
      <c r="D1004" s="105">
        <v>16250</v>
      </c>
    </row>
    <row r="1005" spans="1:4" ht="14.5">
      <c r="A1005" t="s">
        <v>5250</v>
      </c>
      <c r="B1005" s="380" t="str">
        <f>CONCATENATE(LEFT(RIGHT(CONCATENATE("000",FTG_Data1920!A1005),6),3),"-",(RIGHT(RIGHT(CONCATENATE("000",FTG_Data1920!A1005),6),3)))</f>
        <v>208-902</v>
      </c>
      <c r="C1005" s="105">
        <v>9374</v>
      </c>
      <c r="D1005" s="105">
        <v>9101</v>
      </c>
    </row>
    <row r="1006" spans="1:4" ht="14.5">
      <c r="A1006" t="s">
        <v>5251</v>
      </c>
      <c r="B1006" s="380" t="str">
        <f>CONCATENATE(LEFT(RIGHT(CONCATENATE("000",FTG_Data1920!A1006),6),3),"-",(RIGHT(RIGHT(CONCATENATE("000",FTG_Data1920!A1006),6),3)))</f>
        <v>208-903</v>
      </c>
      <c r="C1006" s="105">
        <v>10722</v>
      </c>
      <c r="D1006" s="105">
        <v>10410</v>
      </c>
    </row>
    <row r="1007" spans="1:4" ht="14.5">
      <c r="A1007" t="s">
        <v>5878</v>
      </c>
      <c r="B1007" s="380" t="str">
        <f>CONCATENATE(LEFT(RIGHT(CONCATENATE("000",FTG_Data1920!A1007),6),3),"-",(RIGHT(RIGHT(CONCATENATE("000",FTG_Data1920!A1007),6),3)))</f>
        <v>209-901</v>
      </c>
      <c r="C1007" s="105">
        <v>10888</v>
      </c>
      <c r="D1007" s="105">
        <v>10571</v>
      </c>
    </row>
    <row r="1008" spans="1:4" ht="14.5">
      <c r="A1008" t="s">
        <v>5879</v>
      </c>
      <c r="B1008" s="380" t="str">
        <f>CONCATENATE(LEFT(RIGHT(CONCATENATE("000",FTG_Data1920!A1008),6),3),"-",(RIGHT(RIGHT(CONCATENATE("000",FTG_Data1920!A1008),6),3)))</f>
        <v>209-902</v>
      </c>
      <c r="C1008" s="105">
        <v>11849</v>
      </c>
      <c r="D1008" s="105">
        <v>15752</v>
      </c>
    </row>
    <row r="1009" spans="1:4" ht="14.5">
      <c r="A1009" t="s">
        <v>3198</v>
      </c>
      <c r="B1009" s="380" t="str">
        <f>CONCATENATE(LEFT(RIGHT(CONCATENATE("000",FTG_Data1920!A1009),6),3),"-",(RIGHT(RIGHT(CONCATENATE("000",FTG_Data1920!A1009),6),3)))</f>
        <v>210-901</v>
      </c>
      <c r="C1009" s="105">
        <v>9671</v>
      </c>
      <c r="D1009" s="105">
        <v>9390</v>
      </c>
    </row>
    <row r="1010" spans="1:4" ht="14.5">
      <c r="A1010" t="s">
        <v>5252</v>
      </c>
      <c r="B1010" s="380" t="str">
        <f>CONCATENATE(LEFT(RIGHT(CONCATENATE("000",FTG_Data1920!A1010),6),3),"-",(RIGHT(RIGHT(CONCATENATE("000",FTG_Data1920!A1010),6),3)))</f>
        <v>210-902</v>
      </c>
      <c r="C1010" s="105">
        <v>11849</v>
      </c>
      <c r="D1010" s="105">
        <v>13134</v>
      </c>
    </row>
    <row r="1011" spans="1:4" ht="14.5">
      <c r="A1011" t="s">
        <v>3199</v>
      </c>
      <c r="B1011" s="380" t="str">
        <f>CONCATENATE(LEFT(RIGHT(CONCATENATE("000",FTG_Data1920!A1011),6),3),"-",(RIGHT(RIGHT(CONCATENATE("000",FTG_Data1920!A1011),6),3)))</f>
        <v>210-903</v>
      </c>
      <c r="C1011" s="105">
        <v>11849</v>
      </c>
      <c r="D1011" s="105">
        <v>12016</v>
      </c>
    </row>
    <row r="1012" spans="1:4" ht="14.5">
      <c r="A1012" t="s">
        <v>5253</v>
      </c>
      <c r="B1012" s="380" t="str">
        <f>CONCATENATE(LEFT(RIGHT(CONCATENATE("000",FTG_Data1920!A1012),6),3),"-",(RIGHT(RIGHT(CONCATENATE("000",FTG_Data1920!A1012),6),3)))</f>
        <v>210-904</v>
      </c>
      <c r="C1012" s="105">
        <v>11849</v>
      </c>
      <c r="D1012" s="105">
        <v>11828</v>
      </c>
    </row>
    <row r="1013" spans="1:4" ht="14.5">
      <c r="A1013" t="s">
        <v>5880</v>
      </c>
      <c r="B1013" s="380" t="str">
        <f>CONCATENATE(LEFT(RIGHT(CONCATENATE("000",FTG_Data1920!A1013),6),3),"-",(RIGHT(RIGHT(CONCATENATE("000",FTG_Data1920!A1013),6),3)))</f>
        <v>210-905</v>
      </c>
      <c r="C1013" s="105">
        <v>11536</v>
      </c>
      <c r="D1013" s="105">
        <v>11200</v>
      </c>
    </row>
    <row r="1014" spans="1:4" ht="14.5">
      <c r="A1014" t="s">
        <v>5881</v>
      </c>
      <c r="B1014" s="380" t="str">
        <f>CONCATENATE(LEFT(RIGHT(CONCATENATE("000",FTG_Data1920!A1014),6),3),"-",(RIGHT(RIGHT(CONCATENATE("000",FTG_Data1920!A1014),6),3)))</f>
        <v>210-906</v>
      </c>
      <c r="C1014" s="105">
        <v>11849</v>
      </c>
      <c r="D1014" s="105">
        <v>14744</v>
      </c>
    </row>
    <row r="1015" spans="1:4" ht="14.5">
      <c r="A1015" t="s">
        <v>5254</v>
      </c>
      <c r="B1015" s="380" t="str">
        <f>CONCATENATE(LEFT(RIGHT(CONCATENATE("000",FTG_Data1920!A1015),6),3),"-",(RIGHT(RIGHT(CONCATENATE("000",FTG_Data1920!A1015),6),3)))</f>
        <v>211-901</v>
      </c>
      <c r="C1015" s="105">
        <v>11849</v>
      </c>
      <c r="D1015" s="105">
        <v>17820</v>
      </c>
    </row>
    <row r="1016" spans="1:4" ht="14.5">
      <c r="A1016" t="s">
        <v>5882</v>
      </c>
      <c r="B1016" s="380" t="str">
        <f>CONCATENATE(LEFT(RIGHT(CONCATENATE("000",FTG_Data1920!A1016),6),3),"-",(RIGHT(RIGHT(CONCATENATE("000",FTG_Data1920!A1016),6),3)))</f>
        <v>211-902</v>
      </c>
      <c r="C1016" s="105">
        <v>11849</v>
      </c>
      <c r="D1016" s="105">
        <v>12278</v>
      </c>
    </row>
    <row r="1017" spans="1:4" ht="14.5">
      <c r="A1017" t="s">
        <v>8071</v>
      </c>
      <c r="B1017" s="380" t="str">
        <f>CONCATENATE(LEFT(RIGHT(CONCATENATE("000",FTG_Data1920!A1017),6),3),"-",(RIGHT(RIGHT(CONCATENATE("000",FTG_Data1920!A1017),6),3)))</f>
        <v>212-801</v>
      </c>
      <c r="C1017" s="105">
        <v>10188</v>
      </c>
      <c r="D1017" s="105">
        <v>9891</v>
      </c>
    </row>
    <row r="1018" spans="1:4" ht="14.5">
      <c r="A1018" t="s">
        <v>8072</v>
      </c>
      <c r="B1018" s="380" t="str">
        <f>CONCATENATE(LEFT(RIGHT(CONCATENATE("000",FTG_Data1920!A1018),6),3),"-",(RIGHT(RIGHT(CONCATENATE("000",FTG_Data1920!A1018),6),3)))</f>
        <v>212-804</v>
      </c>
      <c r="C1018" s="105">
        <v>9360</v>
      </c>
      <c r="D1018" s="105">
        <v>9087</v>
      </c>
    </row>
    <row r="1019" spans="1:4" ht="14.5">
      <c r="A1019" t="s">
        <v>3200</v>
      </c>
      <c r="B1019" s="380" t="str">
        <f>CONCATENATE(LEFT(RIGHT(CONCATENATE("000",FTG_Data1920!A1019),6),3),"-",(RIGHT(RIGHT(CONCATENATE("000",FTG_Data1920!A1019),6),3)))</f>
        <v>212-901</v>
      </c>
      <c r="C1019" s="105">
        <v>10466</v>
      </c>
      <c r="D1019" s="105">
        <v>10161</v>
      </c>
    </row>
    <row r="1020" spans="1:4" ht="14.5">
      <c r="A1020" t="s">
        <v>5255</v>
      </c>
      <c r="B1020" s="380" t="str">
        <f>CONCATENATE(LEFT(RIGHT(CONCATENATE("000",FTG_Data1920!A1020),6),3),"-",(RIGHT(RIGHT(CONCATENATE("000",FTG_Data1920!A1020),6),3)))</f>
        <v>212-902</v>
      </c>
      <c r="C1020" s="105">
        <v>9117</v>
      </c>
      <c r="D1020" s="105">
        <v>8852</v>
      </c>
    </row>
    <row r="1021" spans="1:4" ht="14.5">
      <c r="A1021" t="s">
        <v>3201</v>
      </c>
      <c r="B1021" s="380" t="str">
        <f>CONCATENATE(LEFT(RIGHT(CONCATENATE("000",FTG_Data1920!A1021),6),3),"-",(RIGHT(RIGHT(CONCATENATE("000",FTG_Data1920!A1021),6),3)))</f>
        <v>212-903</v>
      </c>
      <c r="C1021" s="105">
        <v>8821</v>
      </c>
      <c r="D1021" s="105">
        <v>8564</v>
      </c>
    </row>
    <row r="1022" spans="1:4" ht="14.5">
      <c r="A1022" t="s">
        <v>5256</v>
      </c>
      <c r="B1022" s="380" t="str">
        <f>CONCATENATE(LEFT(RIGHT(CONCATENATE("000",FTG_Data1920!A1022),6),3),"-",(RIGHT(RIGHT(CONCATENATE("000",FTG_Data1920!A1022),6),3)))</f>
        <v>212-904</v>
      </c>
      <c r="C1022" s="105">
        <v>11091</v>
      </c>
      <c r="D1022" s="105">
        <v>10768</v>
      </c>
    </row>
    <row r="1023" spans="1:4" ht="14.5">
      <c r="A1023" t="s">
        <v>5257</v>
      </c>
      <c r="B1023" s="380" t="str">
        <f>CONCATENATE(LEFT(RIGHT(CONCATENATE("000",FTG_Data1920!A1023),6),3),"-",(RIGHT(RIGHT(CONCATENATE("000",FTG_Data1920!A1023),6),3)))</f>
        <v>212-905</v>
      </c>
      <c r="C1023" s="105">
        <v>8692</v>
      </c>
      <c r="D1023" s="105">
        <v>8439</v>
      </c>
    </row>
    <row r="1024" spans="1:4" ht="14.5">
      <c r="A1024" t="s">
        <v>3202</v>
      </c>
      <c r="B1024" s="380" t="str">
        <f>CONCATENATE(LEFT(RIGHT(CONCATENATE("000",FTG_Data1920!A1024),6),3),"-",(RIGHT(RIGHT(CONCATENATE("000",FTG_Data1920!A1024),6),3)))</f>
        <v>212-906</v>
      </c>
      <c r="C1024" s="105">
        <v>8521</v>
      </c>
      <c r="D1024" s="105">
        <v>8273</v>
      </c>
    </row>
    <row r="1025" spans="1:4" ht="14.5">
      <c r="A1025" t="s">
        <v>3203</v>
      </c>
      <c r="B1025" s="380" t="str">
        <f>CONCATENATE(LEFT(RIGHT(CONCATENATE("000",FTG_Data1920!A1025),6),3),"-",(RIGHT(RIGHT(CONCATENATE("000",FTG_Data1920!A1025),6),3)))</f>
        <v>212-909</v>
      </c>
      <c r="C1025" s="105">
        <v>10009</v>
      </c>
      <c r="D1025" s="105">
        <v>9718</v>
      </c>
    </row>
    <row r="1026" spans="1:4" ht="14.5">
      <c r="A1026" t="s">
        <v>5258</v>
      </c>
      <c r="B1026" s="380" t="str">
        <f>CONCATENATE(LEFT(RIGHT(CONCATENATE("000",FTG_Data1920!A1026),6),3),"-",(RIGHT(RIGHT(CONCATENATE("000",FTG_Data1920!A1026),6),3)))</f>
        <v>212-910</v>
      </c>
      <c r="C1026" s="105">
        <v>11849</v>
      </c>
      <c r="D1026" s="105">
        <v>11814</v>
      </c>
    </row>
    <row r="1027" spans="1:4" ht="14.5">
      <c r="A1027" t="s">
        <v>8073</v>
      </c>
      <c r="B1027" s="380" t="str">
        <f>CONCATENATE(LEFT(RIGHT(CONCATENATE("000",FTG_Data1920!A1027),6),3),"-",(RIGHT(RIGHT(CONCATENATE("000",FTG_Data1920!A1027),6),3)))</f>
        <v>213-801</v>
      </c>
      <c r="C1027" s="105">
        <v>11849</v>
      </c>
      <c r="D1027" s="105">
        <v>11536</v>
      </c>
    </row>
    <row r="1028" spans="1:4" ht="14.5">
      <c r="A1028" t="s">
        <v>5259</v>
      </c>
      <c r="B1028" s="380" t="str">
        <f>CONCATENATE(LEFT(RIGHT(CONCATENATE("000",FTG_Data1920!A1028),6),3),"-",(RIGHT(RIGHT(CONCATENATE("000",FTG_Data1920!A1028),6),3)))</f>
        <v>213-901</v>
      </c>
      <c r="C1028" s="105">
        <v>10987</v>
      </c>
      <c r="D1028" s="105">
        <v>7209</v>
      </c>
    </row>
    <row r="1029" spans="1:4" ht="14.5">
      <c r="A1029" t="s">
        <v>3204</v>
      </c>
      <c r="B1029" s="380" t="str">
        <f>CONCATENATE(LEFT(RIGHT(CONCATENATE("000",FTG_Data1920!A1029),6),3),"-",(RIGHT(RIGHT(CONCATENATE("000",FTG_Data1920!A1029),6),3)))</f>
        <v>214-901</v>
      </c>
      <c r="C1029" s="105">
        <v>9739</v>
      </c>
      <c r="D1029" s="105">
        <v>9455</v>
      </c>
    </row>
    <row r="1030" spans="1:4" ht="14.5">
      <c r="A1030" t="s">
        <v>5260</v>
      </c>
      <c r="B1030" s="380" t="str">
        <f>CONCATENATE(LEFT(RIGHT(CONCATENATE("000",FTG_Data1920!A1030),6),3),"-",(RIGHT(RIGHT(CONCATENATE("000",FTG_Data1920!A1030),6),3)))</f>
        <v>214-902</v>
      </c>
      <c r="C1030" s="105">
        <v>11849</v>
      </c>
      <c r="D1030" s="105">
        <v>14389</v>
      </c>
    </row>
    <row r="1031" spans="1:4" ht="14.5">
      <c r="A1031" t="s">
        <v>3205</v>
      </c>
      <c r="B1031" s="380" t="str">
        <f>CONCATENATE(LEFT(RIGHT(CONCATENATE("000",FTG_Data1920!A1031),6),3),"-",(RIGHT(RIGHT(CONCATENATE("000",FTG_Data1920!A1031),6),3)))</f>
        <v>214-903</v>
      </c>
      <c r="C1031" s="105">
        <v>9834</v>
      </c>
      <c r="D1031" s="105">
        <v>9548</v>
      </c>
    </row>
    <row r="1032" spans="1:4" ht="14.5">
      <c r="A1032" t="s">
        <v>5261</v>
      </c>
      <c r="B1032" s="380" t="str">
        <f>CONCATENATE(LEFT(RIGHT(CONCATENATE("000",FTG_Data1920!A1032),6),3),"-",(RIGHT(RIGHT(CONCATENATE("000",FTG_Data1920!A1032),6),3)))</f>
        <v>215-901</v>
      </c>
      <c r="C1032" s="105">
        <v>10398</v>
      </c>
      <c r="D1032" s="105">
        <v>10095</v>
      </c>
    </row>
    <row r="1033" spans="1:4" ht="14.5">
      <c r="A1033" t="s">
        <v>5262</v>
      </c>
      <c r="B1033" s="380" t="str">
        <f>CONCATENATE(LEFT(RIGHT(CONCATENATE("000",FTG_Data1920!A1033),6),3),"-",(RIGHT(RIGHT(CONCATENATE("000",FTG_Data1920!A1033),6),3)))</f>
        <v>216-901</v>
      </c>
      <c r="C1033" s="105">
        <v>11849</v>
      </c>
      <c r="D1033" s="105">
        <v>22536</v>
      </c>
    </row>
    <row r="1034" spans="1:4" ht="14.5">
      <c r="A1034" t="s">
        <v>5263</v>
      </c>
      <c r="B1034" s="380" t="str">
        <f>CONCATENATE(LEFT(RIGHT(CONCATENATE("000",FTG_Data1920!A1034),6),3),"-",(RIGHT(RIGHT(CONCATENATE("000",FTG_Data1920!A1034),6),3)))</f>
        <v>217-901</v>
      </c>
      <c r="C1034" s="105">
        <v>11849</v>
      </c>
      <c r="D1034" s="105">
        <v>13092</v>
      </c>
    </row>
    <row r="1035" spans="1:4" ht="14.5">
      <c r="A1035" t="s">
        <v>5264</v>
      </c>
      <c r="B1035" s="380" t="str">
        <f>CONCATENATE(LEFT(RIGHT(CONCATENATE("000",FTG_Data1920!A1035),6),3),"-",(RIGHT(RIGHT(CONCATENATE("000",FTG_Data1920!A1035),6),3)))</f>
        <v>218-901</v>
      </c>
      <c r="C1035" s="105">
        <v>11849</v>
      </c>
      <c r="D1035" s="105">
        <v>12306</v>
      </c>
    </row>
    <row r="1036" spans="1:4" ht="14.5">
      <c r="A1036" t="s">
        <v>5883</v>
      </c>
      <c r="B1036" s="380" t="str">
        <f>CONCATENATE(LEFT(RIGHT(CONCATENATE("000",FTG_Data1920!A1036),6),3),"-",(RIGHT(RIGHT(CONCATENATE("000",FTG_Data1920!A1036),6),3)))</f>
        <v>219-901</v>
      </c>
      <c r="C1036" s="105">
        <v>11849</v>
      </c>
      <c r="D1036" s="105">
        <v>11831</v>
      </c>
    </row>
    <row r="1037" spans="1:4" ht="14.5">
      <c r="A1037" t="s">
        <v>5884</v>
      </c>
      <c r="B1037" s="380" t="str">
        <f>CONCATENATE(LEFT(RIGHT(CONCATENATE("000",FTG_Data1920!A1037),6),3),"-",(RIGHT(RIGHT(CONCATENATE("000",FTG_Data1920!A1037),6),3)))</f>
        <v>219-903</v>
      </c>
      <c r="C1037" s="105">
        <v>11849</v>
      </c>
      <c r="D1037" s="105">
        <v>12322</v>
      </c>
    </row>
    <row r="1038" spans="1:4" ht="14.5">
      <c r="A1038" t="s">
        <v>5265</v>
      </c>
      <c r="B1038" s="380" t="str">
        <f>CONCATENATE(LEFT(RIGHT(CONCATENATE("000",FTG_Data1920!A1038),6),3),"-",(RIGHT(RIGHT(CONCATENATE("000",FTG_Data1920!A1038),6),3)))</f>
        <v>219-905</v>
      </c>
      <c r="C1038" s="105">
        <v>11849</v>
      </c>
      <c r="D1038" s="105">
        <v>11792</v>
      </c>
    </row>
    <row r="1039" spans="1:4" ht="14.5">
      <c r="A1039" t="s">
        <v>8074</v>
      </c>
      <c r="B1039" s="380" t="str">
        <f>CONCATENATE(LEFT(RIGHT(CONCATENATE("000",FTG_Data1920!A1039),6),3),"-",(RIGHT(RIGHT(CONCATENATE("000",FTG_Data1920!A1039),6),3)))</f>
        <v>220-801</v>
      </c>
      <c r="C1039" s="105">
        <v>8636</v>
      </c>
      <c r="D1039" s="105">
        <v>8384</v>
      </c>
    </row>
    <row r="1040" spans="1:4" ht="14.5">
      <c r="A1040" t="s">
        <v>8075</v>
      </c>
      <c r="B1040" s="380" t="str">
        <f>CONCATENATE(LEFT(RIGHT(CONCATENATE("000",FTG_Data1920!A1040),6),3),"-",(RIGHT(RIGHT(CONCATENATE("000",FTG_Data1920!A1040),6),3)))</f>
        <v>220-802</v>
      </c>
      <c r="C1040" s="105">
        <v>8821</v>
      </c>
      <c r="D1040" s="105">
        <v>8564</v>
      </c>
    </row>
    <row r="1041" spans="1:4" ht="14.5">
      <c r="A1041" t="s">
        <v>8076</v>
      </c>
      <c r="B1041" s="380" t="str">
        <f>CONCATENATE(LEFT(RIGHT(CONCATENATE("000",FTG_Data1920!A1041),6),3),"-",(RIGHT(RIGHT(CONCATENATE("000",FTG_Data1920!A1041),6),3)))</f>
        <v>220-809</v>
      </c>
      <c r="C1041" s="105">
        <v>8876</v>
      </c>
      <c r="D1041" s="105">
        <v>8617</v>
      </c>
    </row>
    <row r="1042" spans="1:4" ht="14.5">
      <c r="A1042" t="s">
        <v>8077</v>
      </c>
      <c r="B1042" s="380" t="str">
        <f>CONCATENATE(LEFT(RIGHT(CONCATENATE("000",FTG_Data1920!A1042),6),3),"-",(RIGHT(RIGHT(CONCATENATE("000",FTG_Data1920!A1042),6),3)))</f>
        <v>220-810</v>
      </c>
      <c r="C1042" s="105">
        <v>8739</v>
      </c>
      <c r="D1042" s="105">
        <v>8485</v>
      </c>
    </row>
    <row r="1043" spans="1:4" ht="14.5">
      <c r="A1043" t="s">
        <v>8078</v>
      </c>
      <c r="B1043" s="380" t="str">
        <f>CONCATENATE(LEFT(RIGHT(CONCATENATE("000",FTG_Data1920!A1043),6),3),"-",(RIGHT(RIGHT(CONCATENATE("000",FTG_Data1920!A1043),6),3)))</f>
        <v>220-811</v>
      </c>
      <c r="C1043" s="105">
        <v>10822</v>
      </c>
      <c r="D1043" s="105">
        <v>10507</v>
      </c>
    </row>
    <row r="1044" spans="1:4" ht="14.5">
      <c r="A1044" t="s">
        <v>8079</v>
      </c>
      <c r="B1044" s="380" t="str">
        <f>CONCATENATE(LEFT(RIGHT(CONCATENATE("000",FTG_Data1920!A1044),6),3),"-",(RIGHT(RIGHT(CONCATENATE("000",FTG_Data1920!A1044),6),3)))</f>
        <v>220-814</v>
      </c>
      <c r="C1044" s="105">
        <v>8827</v>
      </c>
      <c r="D1044" s="105">
        <v>8570</v>
      </c>
    </row>
    <row r="1045" spans="1:4" ht="14.5">
      <c r="A1045" t="s">
        <v>8080</v>
      </c>
      <c r="B1045" s="380" t="str">
        <f>CONCATENATE(LEFT(RIGHT(CONCATENATE("000",FTG_Data1920!A1045),6),3),"-",(RIGHT(RIGHT(CONCATENATE("000",FTG_Data1920!A1045),6),3)))</f>
        <v>220-815</v>
      </c>
      <c r="C1045" s="105">
        <v>9937</v>
      </c>
      <c r="D1045" s="105">
        <v>9647</v>
      </c>
    </row>
    <row r="1046" spans="1:4" ht="14.5">
      <c r="A1046" t="s">
        <v>8081</v>
      </c>
      <c r="B1046" s="380" t="str">
        <f>CONCATENATE(LEFT(RIGHT(CONCATENATE("000",FTG_Data1920!A1046),6),3),"-",(RIGHT(RIGHT(CONCATENATE("000",FTG_Data1920!A1046),6),3)))</f>
        <v>220-817</v>
      </c>
      <c r="C1046" s="105">
        <v>9830</v>
      </c>
      <c r="D1046" s="105">
        <v>9544</v>
      </c>
    </row>
    <row r="1047" spans="1:4" ht="14.5">
      <c r="A1047" t="s">
        <v>8082</v>
      </c>
      <c r="B1047" s="380" t="str">
        <f>CONCATENATE(LEFT(RIGHT(CONCATENATE("000",FTG_Data1920!A1047),6),3),"-",(RIGHT(RIGHT(CONCATENATE("000",FTG_Data1920!A1047),6),3)))</f>
        <v>220-819</v>
      </c>
      <c r="C1047" s="105">
        <v>9408</v>
      </c>
      <c r="D1047" s="105">
        <v>9134</v>
      </c>
    </row>
    <row r="1048" spans="1:4" ht="14.5">
      <c r="A1048" t="s">
        <v>3206</v>
      </c>
      <c r="B1048" s="380" t="str">
        <f>CONCATENATE(LEFT(RIGHT(CONCATENATE("000",FTG_Data1920!A1048),6),3),"-",(RIGHT(RIGHT(CONCATENATE("000",FTG_Data1920!A1048),6),3)))</f>
        <v>220-901</v>
      </c>
      <c r="C1048" s="105">
        <v>9167</v>
      </c>
      <c r="D1048" s="105">
        <v>8900</v>
      </c>
    </row>
    <row r="1049" spans="1:4" ht="14.5">
      <c r="A1049" t="s">
        <v>3207</v>
      </c>
      <c r="B1049" s="380" t="str">
        <f>CONCATENATE(LEFT(RIGHT(CONCATENATE("000",FTG_Data1920!A1049),6),3),"-",(RIGHT(RIGHT(CONCATENATE("000",FTG_Data1920!A1049),6),3)))</f>
        <v>220-902</v>
      </c>
      <c r="C1049" s="105">
        <v>9031</v>
      </c>
      <c r="D1049" s="105">
        <v>8768</v>
      </c>
    </row>
    <row r="1050" spans="1:4" ht="14.5">
      <c r="A1050" t="s">
        <v>3208</v>
      </c>
      <c r="B1050" s="380" t="str">
        <f>CONCATENATE(LEFT(RIGHT(CONCATENATE("000",FTG_Data1920!A1050),6),3),"-",(RIGHT(RIGHT(CONCATENATE("000",FTG_Data1920!A1050),6),3)))</f>
        <v>220-904</v>
      </c>
      <c r="C1050" s="105">
        <v>10200</v>
      </c>
      <c r="D1050" s="105">
        <v>9903</v>
      </c>
    </row>
    <row r="1051" spans="1:4" ht="14.5">
      <c r="A1051" t="s">
        <v>5266</v>
      </c>
      <c r="B1051" s="380" t="str">
        <f>CONCATENATE(LEFT(RIGHT(CONCATENATE("000",FTG_Data1920!A1051),6),3),"-",(RIGHT(RIGHT(CONCATENATE("000",FTG_Data1920!A1051),6),3)))</f>
        <v>220-905</v>
      </c>
      <c r="C1051" s="105">
        <v>9847</v>
      </c>
      <c r="D1051" s="105">
        <v>9561</v>
      </c>
    </row>
    <row r="1052" spans="1:4" ht="14.5">
      <c r="A1052" t="s">
        <v>5267</v>
      </c>
      <c r="B1052" s="380" t="str">
        <f>CONCATENATE(LEFT(RIGHT(CONCATENATE("000",FTG_Data1920!A1052),6),3),"-",(RIGHT(RIGHT(CONCATENATE("000",FTG_Data1920!A1052),6),3)))</f>
        <v>220-906</v>
      </c>
      <c r="C1052" s="105">
        <v>8758</v>
      </c>
      <c r="D1052" s="105">
        <v>8503</v>
      </c>
    </row>
    <row r="1053" spans="1:4" ht="14.5">
      <c r="A1053" t="s">
        <v>3209</v>
      </c>
      <c r="B1053" s="380" t="str">
        <f>CONCATENATE(LEFT(RIGHT(CONCATENATE("000",FTG_Data1920!A1053),6),3),"-",(RIGHT(RIGHT(CONCATENATE("000",FTG_Data1920!A1053),6),3)))</f>
        <v>220-907</v>
      </c>
      <c r="C1053" s="105">
        <v>9160</v>
      </c>
      <c r="D1053" s="105">
        <v>8893</v>
      </c>
    </row>
    <row r="1054" spans="1:4" ht="14.5">
      <c r="A1054" t="s">
        <v>3210</v>
      </c>
      <c r="B1054" s="380" t="str">
        <f>CONCATENATE(LEFT(RIGHT(CONCATENATE("000",FTG_Data1920!A1054),6),3),"-",(RIGHT(RIGHT(CONCATENATE("000",FTG_Data1920!A1054),6),3)))</f>
        <v>220-908</v>
      </c>
      <c r="C1054" s="105">
        <v>8646</v>
      </c>
      <c r="D1054" s="105">
        <v>8394</v>
      </c>
    </row>
    <row r="1055" spans="1:4" ht="14.5">
      <c r="A1055" t="s">
        <v>3211</v>
      </c>
      <c r="B1055" s="380" t="str">
        <f>CONCATENATE(LEFT(RIGHT(CONCATENATE("000",FTG_Data1920!A1055),6),3),"-",(RIGHT(RIGHT(CONCATENATE("000",FTG_Data1920!A1055),6),3)))</f>
        <v>220-910</v>
      </c>
      <c r="C1055" s="105">
        <v>10339</v>
      </c>
      <c r="D1055" s="105">
        <v>10038</v>
      </c>
    </row>
    <row r="1056" spans="1:4" ht="14.5">
      <c r="A1056" t="s">
        <v>3212</v>
      </c>
      <c r="B1056" s="380" t="str">
        <f>CONCATENATE(LEFT(RIGHT(CONCATENATE("000",FTG_Data1920!A1056),6),3),"-",(RIGHT(RIGHT(CONCATENATE("000",FTG_Data1920!A1056),6),3)))</f>
        <v>220-912</v>
      </c>
      <c r="C1056" s="105">
        <v>9776</v>
      </c>
      <c r="D1056" s="105">
        <v>9491</v>
      </c>
    </row>
    <row r="1057" spans="1:4" ht="14.5">
      <c r="A1057" t="s">
        <v>3213</v>
      </c>
      <c r="B1057" s="380" t="str">
        <f>CONCATENATE(LEFT(RIGHT(CONCATENATE("000",FTG_Data1920!A1057),6),3),"-",(RIGHT(RIGHT(CONCATENATE("000",FTG_Data1920!A1057),6),3)))</f>
        <v>220-914</v>
      </c>
      <c r="C1057" s="105">
        <v>9844</v>
      </c>
      <c r="D1057" s="105">
        <v>9557</v>
      </c>
    </row>
    <row r="1058" spans="1:4" ht="14.5">
      <c r="A1058" t="s">
        <v>3214</v>
      </c>
      <c r="B1058" s="380" t="str">
        <f>CONCATENATE(LEFT(RIGHT(CONCATENATE("000",FTG_Data1920!A1058),6),3),"-",(RIGHT(RIGHT(CONCATENATE("000",FTG_Data1920!A1058),6),3)))</f>
        <v>220-915</v>
      </c>
      <c r="C1058" s="105">
        <v>9536</v>
      </c>
      <c r="D1058" s="105">
        <v>9258</v>
      </c>
    </row>
    <row r="1059" spans="1:4" ht="14.5">
      <c r="A1059" t="s">
        <v>3215</v>
      </c>
      <c r="B1059" s="380" t="str">
        <f>CONCATENATE(LEFT(RIGHT(CONCATENATE("000",FTG_Data1920!A1059),6),3),"-",(RIGHT(RIGHT(CONCATENATE("000",FTG_Data1920!A1059),6),3)))</f>
        <v>220-916</v>
      </c>
      <c r="C1059" s="105">
        <v>9127</v>
      </c>
      <c r="D1059" s="105">
        <v>8861</v>
      </c>
    </row>
    <row r="1060" spans="1:4" ht="14.5">
      <c r="A1060" t="s">
        <v>3216</v>
      </c>
      <c r="B1060" s="380" t="str">
        <f>CONCATENATE(LEFT(RIGHT(CONCATENATE("000",FTG_Data1920!A1060),6),3),"-",(RIGHT(RIGHT(CONCATENATE("000",FTG_Data1920!A1060),6),3)))</f>
        <v>220-917</v>
      </c>
      <c r="C1060" s="105">
        <v>10764</v>
      </c>
      <c r="D1060" s="105">
        <v>10450</v>
      </c>
    </row>
    <row r="1061" spans="1:4" ht="14.5">
      <c r="A1061" t="s">
        <v>3217</v>
      </c>
      <c r="B1061" s="380" t="str">
        <f>CONCATENATE(LEFT(RIGHT(CONCATENATE("000",FTG_Data1920!A1061),6),3),"-",(RIGHT(RIGHT(CONCATENATE("000",FTG_Data1920!A1061),6),3)))</f>
        <v>220-918</v>
      </c>
      <c r="C1061" s="105">
        <v>9360</v>
      </c>
      <c r="D1061" s="105">
        <v>9087</v>
      </c>
    </row>
    <row r="1062" spans="1:4" ht="14.5">
      <c r="A1062" t="s">
        <v>4710</v>
      </c>
      <c r="B1062" s="380" t="str">
        <f>CONCATENATE(LEFT(RIGHT(CONCATENATE("000",FTG_Data1920!A1062),6),3),"-",(RIGHT(RIGHT(CONCATENATE("000",FTG_Data1920!A1062),6),3)))</f>
        <v>220-919</v>
      </c>
      <c r="C1062" s="105">
        <v>7829</v>
      </c>
      <c r="D1062" s="105">
        <v>7601</v>
      </c>
    </row>
    <row r="1063" spans="1:4" ht="14.5">
      <c r="A1063" t="s">
        <v>3218</v>
      </c>
      <c r="B1063" s="380" t="str">
        <f>CONCATENATE(LEFT(RIGHT(CONCATENATE("000",FTG_Data1920!A1063),6),3),"-",(RIGHT(RIGHT(CONCATENATE("000",FTG_Data1920!A1063),6),3)))</f>
        <v>220-920</v>
      </c>
      <c r="C1063" s="105">
        <v>8560</v>
      </c>
      <c r="D1063" s="105">
        <v>8311</v>
      </c>
    </row>
    <row r="1064" spans="1:4" ht="14.5">
      <c r="A1064" t="s">
        <v>8516</v>
      </c>
      <c r="B1064" s="380" t="str">
        <f>CONCATENATE(LEFT(RIGHT(CONCATENATE("000",FTG_Data1920!A1064),6),3),"-",(RIGHT(RIGHT(CONCATENATE("000",FTG_Data1920!A1064),6),3)))</f>
        <v>220-950</v>
      </c>
      <c r="C1064" s="105">
        <v>11849</v>
      </c>
      <c r="D1064" s="105">
        <v>0</v>
      </c>
    </row>
    <row r="1065" spans="1:4" ht="14.5">
      <c r="A1065" t="s">
        <v>8083</v>
      </c>
      <c r="B1065" s="380" t="str">
        <f>CONCATENATE(LEFT(RIGHT(CONCATENATE("000",FTG_Data1920!A1065),6),3),"-",(RIGHT(RIGHT(CONCATENATE("000",FTG_Data1920!A1065),6),3)))</f>
        <v>221-801</v>
      </c>
      <c r="C1065" s="105">
        <v>9430</v>
      </c>
      <c r="D1065" s="105">
        <v>9155</v>
      </c>
    </row>
    <row r="1066" spans="1:4" ht="14.5">
      <c r="A1066" t="s">
        <v>5268</v>
      </c>
      <c r="B1066" s="380" t="str">
        <f>CONCATENATE(LEFT(RIGHT(CONCATENATE("000",FTG_Data1920!A1066),6),3),"-",(RIGHT(RIGHT(CONCATENATE("000",FTG_Data1920!A1066),6),3)))</f>
        <v>221-901</v>
      </c>
      <c r="C1066" s="105">
        <v>8246</v>
      </c>
      <c r="D1066" s="105">
        <v>8006</v>
      </c>
    </row>
    <row r="1067" spans="1:4" ht="14.5">
      <c r="A1067" t="s">
        <v>5269</v>
      </c>
      <c r="B1067" s="380" t="str">
        <f>CONCATENATE(LEFT(RIGHT(CONCATENATE("000",FTG_Data1920!A1067),6),3),"-",(RIGHT(RIGHT(CONCATENATE("000",FTG_Data1920!A1067),6),3)))</f>
        <v>221-904</v>
      </c>
      <c r="C1067" s="105">
        <v>11052</v>
      </c>
      <c r="D1067" s="105">
        <v>10730</v>
      </c>
    </row>
    <row r="1068" spans="1:4" ht="14.5">
      <c r="A1068" t="s">
        <v>5270</v>
      </c>
      <c r="B1068" s="380" t="str">
        <f>CONCATENATE(LEFT(RIGHT(CONCATENATE("000",FTG_Data1920!A1068),6),3),"-",(RIGHT(RIGHT(CONCATENATE("000",FTG_Data1920!A1068),6),3)))</f>
        <v>221-905</v>
      </c>
      <c r="C1068" s="105">
        <v>11849</v>
      </c>
      <c r="D1068" s="105">
        <v>20750</v>
      </c>
    </row>
    <row r="1069" spans="1:4" ht="14.5">
      <c r="A1069" t="s">
        <v>5271</v>
      </c>
      <c r="B1069" s="380" t="str">
        <f>CONCATENATE(LEFT(RIGHT(CONCATENATE("000",FTG_Data1920!A1069),6),3),"-",(RIGHT(RIGHT(CONCATENATE("000",FTG_Data1920!A1069),6),3)))</f>
        <v>221-911</v>
      </c>
      <c r="C1069" s="105">
        <v>8627</v>
      </c>
      <c r="D1069" s="105">
        <v>8376</v>
      </c>
    </row>
    <row r="1070" spans="1:4" ht="14.5">
      <c r="A1070" t="s">
        <v>5272</v>
      </c>
      <c r="B1070" s="380" t="str">
        <f>CONCATENATE(LEFT(RIGHT(CONCATENATE("000",FTG_Data1920!A1070),6),3),"-",(RIGHT(RIGHT(CONCATENATE("000",FTG_Data1920!A1070),6),3)))</f>
        <v>221-912</v>
      </c>
      <c r="C1070" s="105">
        <v>7848</v>
      </c>
      <c r="D1070" s="105">
        <v>7620</v>
      </c>
    </row>
    <row r="1071" spans="1:4" ht="14.5">
      <c r="A1071" t="s">
        <v>8517</v>
      </c>
      <c r="B1071" s="380" t="str">
        <f>CONCATENATE(LEFT(RIGHT(CONCATENATE("000",FTG_Data1920!A1071),6),3),"-",(RIGHT(RIGHT(CONCATENATE("000",FTG_Data1920!A1071),6),3)))</f>
        <v>221-950</v>
      </c>
      <c r="C1071" s="105">
        <v>11849</v>
      </c>
      <c r="D1071" s="105">
        <v>0</v>
      </c>
    </row>
    <row r="1072" spans="1:4" ht="14.5">
      <c r="A1072" t="s">
        <v>5273</v>
      </c>
      <c r="B1072" s="380" t="str">
        <f>CONCATENATE(LEFT(RIGHT(CONCATENATE("000",FTG_Data1920!A1072),6),3),"-",(RIGHT(RIGHT(CONCATENATE("000",FTG_Data1920!A1072),6),3)))</f>
        <v>222-901</v>
      </c>
      <c r="C1072" s="105">
        <v>11849</v>
      </c>
      <c r="D1072" s="105">
        <v>14126</v>
      </c>
    </row>
    <row r="1073" spans="1:4" ht="14.5">
      <c r="A1073" t="s">
        <v>5274</v>
      </c>
      <c r="B1073" s="380" t="str">
        <f>CONCATENATE(LEFT(RIGHT(CONCATENATE("000",FTG_Data1920!A1073),6),3),"-",(RIGHT(RIGHT(CONCATENATE("000",FTG_Data1920!A1073),6),3)))</f>
        <v>223-901</v>
      </c>
      <c r="C1073" s="105">
        <v>11207</v>
      </c>
      <c r="D1073" s="105">
        <v>10881</v>
      </c>
    </row>
    <row r="1074" spans="1:4" ht="14.5">
      <c r="A1074" t="s">
        <v>3219</v>
      </c>
      <c r="B1074" s="380" t="str">
        <f>CONCATENATE(LEFT(RIGHT(CONCATENATE("000",FTG_Data1920!A1074),6),3),"-",(RIGHT(RIGHT(CONCATENATE("000",FTG_Data1920!A1074),6),3)))</f>
        <v>223-902</v>
      </c>
      <c r="C1074" s="105">
        <v>11849</v>
      </c>
      <c r="D1074" s="105">
        <v>12920</v>
      </c>
    </row>
    <row r="1075" spans="1:4" ht="14.5">
      <c r="A1075" t="s">
        <v>5275</v>
      </c>
      <c r="B1075" s="380" t="str">
        <f>CONCATENATE(LEFT(RIGHT(CONCATENATE("000",FTG_Data1920!A1075),6),3),"-",(RIGHT(RIGHT(CONCATENATE("000",FTG_Data1920!A1075),6),3)))</f>
        <v>223-904</v>
      </c>
      <c r="C1075" s="105">
        <v>10750</v>
      </c>
      <c r="D1075" s="105">
        <v>10384</v>
      </c>
    </row>
    <row r="1076" spans="1:4" ht="14.5">
      <c r="A1076" t="s">
        <v>5885</v>
      </c>
      <c r="B1076" s="380" t="str">
        <f>CONCATENATE(LEFT(RIGHT(CONCATENATE("000",FTG_Data1920!A1076),6),3),"-",(RIGHT(RIGHT(CONCATENATE("000",FTG_Data1920!A1076),6),3)))</f>
        <v>224-901</v>
      </c>
      <c r="C1076" s="105">
        <v>11849</v>
      </c>
      <c r="D1076" s="105">
        <v>14460</v>
      </c>
    </row>
    <row r="1077" spans="1:4" ht="14.5">
      <c r="A1077" t="s">
        <v>5886</v>
      </c>
      <c r="B1077" s="380" t="str">
        <f>CONCATENATE(LEFT(RIGHT(CONCATENATE("000",FTG_Data1920!A1077),6),3),"-",(RIGHT(RIGHT(CONCATENATE("000",FTG_Data1920!A1077),6),3)))</f>
        <v>224-902</v>
      </c>
      <c r="C1077" s="105">
        <v>11849</v>
      </c>
      <c r="D1077" s="105">
        <v>14733</v>
      </c>
    </row>
    <row r="1078" spans="1:4" ht="14.5">
      <c r="A1078" t="s">
        <v>5276</v>
      </c>
      <c r="B1078" s="380" t="str">
        <f>CONCATENATE(LEFT(RIGHT(CONCATENATE("000",FTG_Data1920!A1078),6),3),"-",(RIGHT(RIGHT(CONCATENATE("000",FTG_Data1920!A1078),6),3)))</f>
        <v>225-902</v>
      </c>
      <c r="C1078" s="105">
        <v>9152</v>
      </c>
      <c r="D1078" s="105">
        <v>8886</v>
      </c>
    </row>
    <row r="1079" spans="1:4" ht="14.5">
      <c r="A1079" t="s">
        <v>3220</v>
      </c>
      <c r="B1079" s="380" t="str">
        <f>CONCATENATE(LEFT(RIGHT(CONCATENATE("000",FTG_Data1920!A1079),6),3),"-",(RIGHT(RIGHT(CONCATENATE("000",FTG_Data1920!A1079),6),3)))</f>
        <v>225-906</v>
      </c>
      <c r="C1079" s="105">
        <v>10382</v>
      </c>
      <c r="D1079" s="105">
        <v>10080</v>
      </c>
    </row>
    <row r="1080" spans="1:4" ht="14.5">
      <c r="A1080" t="s">
        <v>5887</v>
      </c>
      <c r="B1080" s="380" t="str">
        <f>CONCATENATE(LEFT(RIGHT(CONCATENATE("000",FTG_Data1920!A1080),6),3),"-",(RIGHT(RIGHT(CONCATENATE("000",FTG_Data1920!A1080),6),3)))</f>
        <v>225-907</v>
      </c>
      <c r="C1080" s="105">
        <v>10113</v>
      </c>
      <c r="D1080" s="105">
        <v>9819</v>
      </c>
    </row>
    <row r="1081" spans="1:4" ht="14.5">
      <c r="A1081" t="s">
        <v>8518</v>
      </c>
      <c r="B1081" s="380" t="str">
        <f>CONCATENATE(LEFT(RIGHT(CONCATENATE("000",FTG_Data1920!A1081),6),3),"-",(RIGHT(RIGHT(CONCATENATE("000",FTG_Data1920!A1081),6),3)))</f>
        <v>225-950</v>
      </c>
      <c r="C1081" s="105">
        <v>11849</v>
      </c>
      <c r="D1081" s="105">
        <v>0</v>
      </c>
    </row>
    <row r="1082" spans="1:4" ht="14.5">
      <c r="A1082" t="s">
        <v>8084</v>
      </c>
      <c r="B1082" s="380" t="str">
        <f>CONCATENATE(LEFT(RIGHT(CONCATENATE("000",FTG_Data1920!A1082),6),3),"-",(RIGHT(RIGHT(CONCATENATE("000",FTG_Data1920!A1082),6),3)))</f>
        <v>226-801</v>
      </c>
      <c r="C1082" s="105">
        <v>9783</v>
      </c>
      <c r="D1082" s="105">
        <v>9498</v>
      </c>
    </row>
    <row r="1083" spans="1:4" ht="14.5">
      <c r="A1083" t="s">
        <v>5277</v>
      </c>
      <c r="B1083" s="380" t="str">
        <f>CONCATENATE(LEFT(RIGHT(CONCATENATE("000",FTG_Data1920!A1083),6),3),"-",(RIGHT(RIGHT(CONCATENATE("000",FTG_Data1920!A1083),6),3)))</f>
        <v>226-901</v>
      </c>
      <c r="C1083" s="105">
        <v>11849</v>
      </c>
      <c r="D1083" s="105">
        <v>11639</v>
      </c>
    </row>
    <row r="1084" spans="1:4" ht="14.5">
      <c r="A1084" t="s">
        <v>3221</v>
      </c>
      <c r="B1084" s="380" t="str">
        <f>CONCATENATE(LEFT(RIGHT(CONCATENATE("000",FTG_Data1920!A1084),6),3),"-",(RIGHT(RIGHT(CONCATENATE("000",FTG_Data1920!A1084),6),3)))</f>
        <v>226-903</v>
      </c>
      <c r="C1084" s="105">
        <v>8260</v>
      </c>
      <c r="D1084" s="105">
        <v>8020</v>
      </c>
    </row>
    <row r="1085" spans="1:4" ht="14.5">
      <c r="A1085" t="s">
        <v>5278</v>
      </c>
      <c r="B1085" s="380" t="str">
        <f>CONCATENATE(LEFT(RIGHT(CONCATENATE("000",FTG_Data1920!A1085),6),3),"-",(RIGHT(RIGHT(CONCATENATE("000",FTG_Data1920!A1085),6),3)))</f>
        <v>226-905</v>
      </c>
      <c r="C1085" s="105">
        <v>11849</v>
      </c>
      <c r="D1085" s="105">
        <v>12794</v>
      </c>
    </row>
    <row r="1086" spans="1:4" ht="14.5">
      <c r="A1086" t="s">
        <v>3222</v>
      </c>
      <c r="B1086" s="380" t="str">
        <f>CONCATENATE(LEFT(RIGHT(CONCATENATE("000",FTG_Data1920!A1086),6),3),"-",(RIGHT(RIGHT(CONCATENATE("000",FTG_Data1920!A1086),6),3)))</f>
        <v>226-906</v>
      </c>
      <c r="C1086" s="105">
        <v>8908</v>
      </c>
      <c r="D1086" s="105">
        <v>8649</v>
      </c>
    </row>
    <row r="1087" spans="1:4" ht="14.5">
      <c r="A1087" t="s">
        <v>3223</v>
      </c>
      <c r="B1087" s="380" t="str">
        <f>CONCATENATE(LEFT(RIGHT(CONCATENATE("000",FTG_Data1920!A1087),6),3),"-",(RIGHT(RIGHT(CONCATENATE("000",FTG_Data1920!A1087),6),3)))</f>
        <v>226-907</v>
      </c>
      <c r="C1087" s="105">
        <v>11292</v>
      </c>
      <c r="D1087" s="105">
        <v>10963</v>
      </c>
    </row>
    <row r="1088" spans="1:4" ht="14.5">
      <c r="A1088" t="s">
        <v>3224</v>
      </c>
      <c r="B1088" s="380" t="str">
        <f>CONCATENATE(LEFT(RIGHT(CONCATENATE("000",FTG_Data1920!A1088),6),3),"-",(RIGHT(RIGHT(CONCATENATE("000",FTG_Data1920!A1088),6),3)))</f>
        <v>226-908</v>
      </c>
      <c r="C1088" s="105">
        <v>11849</v>
      </c>
      <c r="D1088" s="105">
        <v>13423</v>
      </c>
    </row>
    <row r="1089" spans="1:4" ht="14.5">
      <c r="A1089" t="s">
        <v>8519</v>
      </c>
      <c r="B1089" s="380" t="str">
        <f>CONCATENATE(LEFT(RIGHT(CONCATENATE("000",FTG_Data1920!A1089),6),3),"-",(RIGHT(RIGHT(CONCATENATE("000",FTG_Data1920!A1089),6),3)))</f>
        <v>226-950</v>
      </c>
      <c r="C1089" s="105">
        <v>11849</v>
      </c>
      <c r="D1089" s="105">
        <v>0</v>
      </c>
    </row>
    <row r="1090" spans="1:4" ht="14.5">
      <c r="A1090" t="s">
        <v>8085</v>
      </c>
      <c r="B1090" s="380" t="str">
        <f>CONCATENATE(LEFT(RIGHT(CONCATENATE("000",FTG_Data1920!A1090),6),3),"-",(RIGHT(RIGHT(CONCATENATE("000",FTG_Data1920!A1090),6),3)))</f>
        <v>227-622</v>
      </c>
      <c r="C1090" s="105">
        <v>4553</v>
      </c>
      <c r="D1090" s="105">
        <v>4420</v>
      </c>
    </row>
    <row r="1091" spans="1:4" ht="14.5">
      <c r="A1091" t="s">
        <v>8087</v>
      </c>
      <c r="B1091" s="380" t="str">
        <f>CONCATENATE(LEFT(RIGHT(CONCATENATE("000",FTG_Data1920!A1091),6),3),"-",(RIGHT(RIGHT(CONCATENATE("000",FTG_Data1920!A1091),6),3)))</f>
        <v>227-803</v>
      </c>
      <c r="C1091" s="105">
        <v>10601</v>
      </c>
      <c r="D1091" s="105">
        <v>10292</v>
      </c>
    </row>
    <row r="1092" spans="1:4" ht="14.5">
      <c r="A1092" t="s">
        <v>8088</v>
      </c>
      <c r="B1092" s="380" t="str">
        <f>CONCATENATE(LEFT(RIGHT(CONCATENATE("000",FTG_Data1920!A1092),6),3),"-",(RIGHT(RIGHT(CONCATENATE("000",FTG_Data1920!A1092),6),3)))</f>
        <v>227-804</v>
      </c>
      <c r="C1092" s="105">
        <v>9834</v>
      </c>
      <c r="D1092" s="105">
        <v>9548</v>
      </c>
    </row>
    <row r="1093" spans="1:4" ht="14.5">
      <c r="A1093" t="s">
        <v>8089</v>
      </c>
      <c r="B1093" s="380" t="str">
        <f>CONCATENATE(LEFT(RIGHT(CONCATENATE("000",FTG_Data1920!A1093),6),3),"-",(RIGHT(RIGHT(CONCATENATE("000",FTG_Data1920!A1093),6),3)))</f>
        <v>227-805</v>
      </c>
      <c r="C1093" s="105">
        <v>10481</v>
      </c>
      <c r="D1093" s="105">
        <v>10175</v>
      </c>
    </row>
    <row r="1094" spans="1:4" ht="14.5">
      <c r="A1094" t="s">
        <v>8090</v>
      </c>
      <c r="B1094" s="380" t="str">
        <f>CONCATENATE(LEFT(RIGHT(CONCATENATE("000",FTG_Data1920!A1094),6),3),"-",(RIGHT(RIGHT(CONCATENATE("000",FTG_Data1920!A1094),6),3)))</f>
        <v>227-806</v>
      </c>
      <c r="C1094" s="105">
        <v>11849</v>
      </c>
      <c r="D1094" s="105">
        <v>17550</v>
      </c>
    </row>
    <row r="1095" spans="1:4" ht="14.5">
      <c r="A1095" t="s">
        <v>8091</v>
      </c>
      <c r="B1095" s="380" t="str">
        <f>CONCATENATE(LEFT(RIGHT(CONCATENATE("000",FTG_Data1920!A1095),6),3),"-",(RIGHT(RIGHT(CONCATENATE("000",FTG_Data1920!A1095),6),3)))</f>
        <v>227-814</v>
      </c>
      <c r="C1095" s="105">
        <v>8457</v>
      </c>
      <c r="D1095" s="105">
        <v>8211</v>
      </c>
    </row>
    <row r="1096" spans="1:4" ht="14.5">
      <c r="A1096" t="s">
        <v>8092</v>
      </c>
      <c r="B1096" s="380" t="str">
        <f>CONCATENATE(LEFT(RIGHT(CONCATENATE("000",FTG_Data1920!A1096),6),3),"-",(RIGHT(RIGHT(CONCATENATE("000",FTG_Data1920!A1096),6),3)))</f>
        <v>227-816</v>
      </c>
      <c r="C1096" s="105">
        <v>10516</v>
      </c>
      <c r="D1096" s="105">
        <v>10210</v>
      </c>
    </row>
    <row r="1097" spans="1:4" ht="14.5">
      <c r="A1097" t="s">
        <v>8093</v>
      </c>
      <c r="B1097" s="380" t="str">
        <f>CONCATENATE(LEFT(RIGHT(CONCATENATE("000",FTG_Data1920!A1097),6),3),"-",(RIGHT(RIGHT(CONCATENATE("000",FTG_Data1920!A1097),6),3)))</f>
        <v>227-817</v>
      </c>
      <c r="C1097" s="105">
        <v>11201</v>
      </c>
      <c r="D1097" s="105">
        <v>10874</v>
      </c>
    </row>
    <row r="1098" spans="1:4" ht="14.5">
      <c r="A1098" t="s">
        <v>8094</v>
      </c>
      <c r="B1098" s="380" t="str">
        <f>CONCATENATE(LEFT(RIGHT(CONCATENATE("000",FTG_Data1920!A1098),6),3),"-",(RIGHT(RIGHT(CONCATENATE("000",FTG_Data1920!A1098),6),3)))</f>
        <v>227-819</v>
      </c>
      <c r="C1098" s="105">
        <v>10333</v>
      </c>
      <c r="D1098" s="105">
        <v>10032</v>
      </c>
    </row>
    <row r="1099" spans="1:4" ht="14.5">
      <c r="A1099" t="s">
        <v>8095</v>
      </c>
      <c r="B1099" s="380" t="str">
        <f>CONCATENATE(LEFT(RIGHT(CONCATENATE("000",FTG_Data1920!A1099),6),3),"-",(RIGHT(RIGHT(CONCATENATE("000",FTG_Data1920!A1099),6),3)))</f>
        <v>227-820</v>
      </c>
      <c r="C1099" s="105">
        <v>10677</v>
      </c>
      <c r="D1099" s="105">
        <v>10366</v>
      </c>
    </row>
    <row r="1100" spans="1:4" ht="14.5">
      <c r="A1100" t="s">
        <v>8096</v>
      </c>
      <c r="B1100" s="380" t="str">
        <f>CONCATENATE(LEFT(RIGHT(CONCATENATE("000",FTG_Data1920!A1100),6),3),"-",(RIGHT(RIGHT(CONCATENATE("000",FTG_Data1920!A1100),6),3)))</f>
        <v>227-821</v>
      </c>
      <c r="C1100" s="105">
        <v>9396</v>
      </c>
      <c r="D1100" s="105">
        <v>9122</v>
      </c>
    </row>
    <row r="1101" spans="1:4" ht="14.5">
      <c r="A1101" t="s">
        <v>8097</v>
      </c>
      <c r="B1101" s="380" t="str">
        <f>CONCATENATE(LEFT(RIGHT(CONCATENATE("000",FTG_Data1920!A1101),6),3),"-",(RIGHT(RIGHT(CONCATENATE("000",FTG_Data1920!A1101),6),3)))</f>
        <v>227-824</v>
      </c>
      <c r="C1101" s="105">
        <v>10754</v>
      </c>
      <c r="D1101" s="105">
        <v>10440</v>
      </c>
    </row>
    <row r="1102" spans="1:4" ht="14.5">
      <c r="A1102" t="s">
        <v>8098</v>
      </c>
      <c r="B1102" s="380" t="str">
        <f>CONCATENATE(LEFT(RIGHT(CONCATENATE("000",FTG_Data1920!A1102),6),3),"-",(RIGHT(RIGHT(CONCATENATE("000",FTG_Data1920!A1102),6),3)))</f>
        <v>227-825</v>
      </c>
      <c r="C1102" s="105">
        <v>11251</v>
      </c>
      <c r="D1102" s="105">
        <v>10924</v>
      </c>
    </row>
    <row r="1103" spans="1:4" ht="14.5">
      <c r="A1103" t="s">
        <v>8099</v>
      </c>
      <c r="B1103" s="380" t="str">
        <f>CONCATENATE(LEFT(RIGHT(CONCATENATE("000",FTG_Data1920!A1103),6),3),"-",(RIGHT(RIGHT(CONCATENATE("000",FTG_Data1920!A1103),6),3)))</f>
        <v>227-826</v>
      </c>
      <c r="C1103" s="105">
        <v>10005</v>
      </c>
      <c r="D1103" s="105">
        <v>9713</v>
      </c>
    </row>
    <row r="1104" spans="1:4" ht="14.5">
      <c r="A1104" t="s">
        <v>8100</v>
      </c>
      <c r="B1104" s="380" t="str">
        <f>CONCATENATE(LEFT(RIGHT(CONCATENATE("000",FTG_Data1920!A1104),6),3),"-",(RIGHT(RIGHT(CONCATENATE("000",FTG_Data1920!A1104),6),3)))</f>
        <v>227-827</v>
      </c>
      <c r="C1104" s="105">
        <v>10171</v>
      </c>
      <c r="D1104" s="105">
        <v>9875</v>
      </c>
    </row>
    <row r="1105" spans="1:4" ht="14.5">
      <c r="A1105" t="s">
        <v>8102</v>
      </c>
      <c r="B1105" s="380" t="str">
        <f>CONCATENATE(LEFT(RIGHT(CONCATENATE("000",FTG_Data1920!A1105),6),3),"-",(RIGHT(RIGHT(CONCATENATE("000",FTG_Data1920!A1105),6),3)))</f>
        <v>227-829</v>
      </c>
      <c r="C1105" s="105">
        <v>9064</v>
      </c>
      <c r="D1105" s="105">
        <v>8800</v>
      </c>
    </row>
    <row r="1106" spans="1:4" ht="14.5">
      <c r="A1106" t="s">
        <v>5279</v>
      </c>
      <c r="B1106" s="380" t="str">
        <f>CONCATENATE(LEFT(RIGHT(CONCATENATE("000",FTG_Data1920!A1106),6),3),"-",(RIGHT(RIGHT(CONCATENATE("000",FTG_Data1920!A1106),6),3)))</f>
        <v>227-901</v>
      </c>
      <c r="C1106" s="105">
        <v>9260</v>
      </c>
      <c r="D1106" s="105">
        <v>8990</v>
      </c>
    </row>
    <row r="1107" spans="1:4" ht="14.5">
      <c r="A1107" t="s">
        <v>3225</v>
      </c>
      <c r="B1107" s="380" t="str">
        <f>CONCATENATE(LEFT(RIGHT(CONCATENATE("000",FTG_Data1920!A1107),6),3),"-",(RIGHT(RIGHT(CONCATENATE("000",FTG_Data1920!A1107),6),3)))</f>
        <v>227-904</v>
      </c>
      <c r="C1107" s="105">
        <v>9080</v>
      </c>
      <c r="D1107" s="105">
        <v>8815</v>
      </c>
    </row>
    <row r="1108" spans="1:4" ht="14.5">
      <c r="A1108" t="s">
        <v>8103</v>
      </c>
      <c r="B1108" s="380" t="str">
        <f>CONCATENATE(LEFT(RIGHT(CONCATENATE("000",FTG_Data1920!A1108),6),3),"-",(RIGHT(RIGHT(CONCATENATE("000",FTG_Data1920!A1108),6),3)))</f>
        <v>227-905</v>
      </c>
      <c r="C1108" s="105">
        <v>10472</v>
      </c>
      <c r="D1108" s="105">
        <v>10167</v>
      </c>
    </row>
    <row r="1109" spans="1:4" ht="14.5">
      <c r="A1109" t="s">
        <v>8105</v>
      </c>
      <c r="B1109" s="380" t="str">
        <f>CONCATENATE(LEFT(RIGHT(CONCATENATE("000",FTG_Data1920!A1109),6),3),"-",(RIGHT(RIGHT(CONCATENATE("000",FTG_Data1920!A1109),6),3)))</f>
        <v>227-906</v>
      </c>
      <c r="C1109" s="105">
        <v>11849</v>
      </c>
      <c r="D1109" s="105">
        <v>17674</v>
      </c>
    </row>
    <row r="1110" spans="1:4" ht="14.5">
      <c r="A1110" t="s">
        <v>5280</v>
      </c>
      <c r="B1110" s="380" t="str">
        <f>CONCATENATE(LEFT(RIGHT(CONCATENATE("000",FTG_Data1920!A1110),6),3),"-",(RIGHT(RIGHT(CONCATENATE("000",FTG_Data1920!A1110),6),3)))</f>
        <v>227-907</v>
      </c>
      <c r="C1110" s="105">
        <v>9630</v>
      </c>
      <c r="D1110" s="105">
        <v>9349</v>
      </c>
    </row>
    <row r="1111" spans="1:4" ht="14.5">
      <c r="A1111" t="s">
        <v>5281</v>
      </c>
      <c r="B1111" s="380" t="str">
        <f>CONCATENATE(LEFT(RIGHT(CONCATENATE("000",FTG_Data1920!A1111),6),3),"-",(RIGHT(RIGHT(CONCATENATE("000",FTG_Data1920!A1111),6),3)))</f>
        <v>227-909</v>
      </c>
      <c r="C1111" s="105">
        <v>8444</v>
      </c>
      <c r="D1111" s="105">
        <v>8198</v>
      </c>
    </row>
    <row r="1112" spans="1:4" ht="14.5">
      <c r="A1112" t="s">
        <v>3226</v>
      </c>
      <c r="B1112" s="380" t="str">
        <f>CONCATENATE(LEFT(RIGHT(CONCATENATE("000",FTG_Data1920!A1112),6),3),"-",(RIGHT(RIGHT(CONCATENATE("000",FTG_Data1920!A1112),6),3)))</f>
        <v>227-910</v>
      </c>
      <c r="C1112" s="105">
        <v>10015</v>
      </c>
      <c r="D1112" s="105">
        <v>9724</v>
      </c>
    </row>
    <row r="1113" spans="1:4" ht="14.5">
      <c r="A1113" t="s">
        <v>5282</v>
      </c>
      <c r="B1113" s="380" t="str">
        <f>CONCATENATE(LEFT(RIGHT(CONCATENATE("000",FTG_Data1920!A1113),6),3),"-",(RIGHT(RIGHT(CONCATENATE("000",FTG_Data1920!A1113),6),3)))</f>
        <v>227-912</v>
      </c>
      <c r="C1113" s="105">
        <v>9130</v>
      </c>
      <c r="D1113" s="105">
        <v>8864</v>
      </c>
    </row>
    <row r="1114" spans="1:4" ht="14.5">
      <c r="A1114" t="s">
        <v>5283</v>
      </c>
      <c r="B1114" s="380" t="str">
        <f>CONCATENATE(LEFT(RIGHT(CONCATENATE("000",FTG_Data1920!A1114),6),3),"-",(RIGHT(RIGHT(CONCATENATE("000",FTG_Data1920!A1114),6),3)))</f>
        <v>227-913</v>
      </c>
      <c r="C1114" s="105">
        <v>7826</v>
      </c>
      <c r="D1114" s="105">
        <v>7598</v>
      </c>
    </row>
    <row r="1115" spans="1:4" ht="14.5">
      <c r="A1115" t="s">
        <v>8520</v>
      </c>
      <c r="B1115" s="380" t="str">
        <f>CONCATENATE(LEFT(RIGHT(CONCATENATE("000",FTG_Data1920!A1115),6),3),"-",(RIGHT(RIGHT(CONCATENATE("000",FTG_Data1920!A1115),6),3)))</f>
        <v>227-950</v>
      </c>
      <c r="C1115" s="105">
        <v>11849</v>
      </c>
      <c r="D1115" s="105">
        <v>0</v>
      </c>
    </row>
    <row r="1116" spans="1:4" ht="14.5">
      <c r="A1116" t="s">
        <v>5888</v>
      </c>
      <c r="B1116" s="380" t="str">
        <f>CONCATENATE(LEFT(RIGHT(CONCATENATE("000",FTG_Data1920!A1116),6),3),"-",(RIGHT(RIGHT(CONCATENATE("000",FTG_Data1920!A1116),6),3)))</f>
        <v>228-901</v>
      </c>
      <c r="C1116" s="105">
        <v>11522</v>
      </c>
      <c r="D1116" s="105">
        <v>11186</v>
      </c>
    </row>
    <row r="1117" spans="1:4" ht="14.5">
      <c r="A1117" t="s">
        <v>5284</v>
      </c>
      <c r="B1117" s="380" t="str">
        <f>CONCATENATE(LEFT(RIGHT(CONCATENATE("000",FTG_Data1920!A1117),6),3),"-",(RIGHT(RIGHT(CONCATENATE("000",FTG_Data1920!A1117),6),3)))</f>
        <v>228-903</v>
      </c>
      <c r="C1117" s="105">
        <v>11276</v>
      </c>
      <c r="D1117" s="105">
        <v>10947</v>
      </c>
    </row>
    <row r="1118" spans="1:4" ht="14.5">
      <c r="A1118" t="s">
        <v>5889</v>
      </c>
      <c r="B1118" s="380" t="str">
        <f>CONCATENATE(LEFT(RIGHT(CONCATENATE("000",FTG_Data1920!A1118),6),3),"-",(RIGHT(RIGHT(CONCATENATE("000",FTG_Data1920!A1118),6),3)))</f>
        <v>228-904</v>
      </c>
      <c r="C1118" s="105">
        <v>11849</v>
      </c>
      <c r="D1118" s="105">
        <v>13079</v>
      </c>
    </row>
    <row r="1119" spans="1:4" ht="14.5">
      <c r="A1119" t="s">
        <v>5890</v>
      </c>
      <c r="B1119" s="380" t="str">
        <f>CONCATENATE(LEFT(RIGHT(CONCATENATE("000",FTG_Data1920!A1119),6),3),"-",(RIGHT(RIGHT(CONCATENATE("000",FTG_Data1920!A1119),6),3)))</f>
        <v>228-905</v>
      </c>
      <c r="C1119" s="105">
        <v>11849</v>
      </c>
      <c r="D1119" s="105">
        <v>11686</v>
      </c>
    </row>
    <row r="1120" spans="1:4" ht="14.5">
      <c r="A1120" t="s">
        <v>4736</v>
      </c>
      <c r="B1120" s="380" t="str">
        <f>CONCATENATE(LEFT(RIGHT(CONCATENATE("000",FTG_Data1920!A1120),6),3),"-",(RIGHT(RIGHT(CONCATENATE("000",FTG_Data1920!A1120),6),3)))</f>
        <v>229-901</v>
      </c>
      <c r="C1120" s="105">
        <v>11680</v>
      </c>
      <c r="D1120" s="105">
        <v>11339</v>
      </c>
    </row>
    <row r="1121" spans="1:4" ht="14.5">
      <c r="A1121" t="s">
        <v>5285</v>
      </c>
      <c r="B1121" s="380" t="str">
        <f>CONCATENATE(LEFT(RIGHT(CONCATENATE("000",FTG_Data1920!A1121),6),3),"-",(RIGHT(RIGHT(CONCATENATE("000",FTG_Data1920!A1121),6),3)))</f>
        <v>229-903</v>
      </c>
      <c r="C1121" s="105">
        <v>9982</v>
      </c>
      <c r="D1121" s="105">
        <v>9692</v>
      </c>
    </row>
    <row r="1122" spans="1:4" ht="14.5">
      <c r="A1122" t="s">
        <v>3227</v>
      </c>
      <c r="B1122" s="380" t="str">
        <f>CONCATENATE(LEFT(RIGHT(CONCATENATE("000",FTG_Data1920!A1122),6),3),"-",(RIGHT(RIGHT(CONCATENATE("000",FTG_Data1920!A1122),6),3)))</f>
        <v>229-904</v>
      </c>
      <c r="C1122" s="105">
        <v>10286</v>
      </c>
      <c r="D1122" s="105">
        <v>9987</v>
      </c>
    </row>
    <row r="1123" spans="1:4" ht="14.5">
      <c r="A1123" t="s">
        <v>3228</v>
      </c>
      <c r="B1123" s="380" t="str">
        <f>CONCATENATE(LEFT(RIGHT(CONCATENATE("000",FTG_Data1920!A1123),6),3),"-",(RIGHT(RIGHT(CONCATENATE("000",FTG_Data1920!A1123),6),3)))</f>
        <v>229-905</v>
      </c>
      <c r="C1123" s="105">
        <v>11849</v>
      </c>
      <c r="D1123" s="105">
        <v>12628</v>
      </c>
    </row>
    <row r="1124" spans="1:4" ht="14.5">
      <c r="A1124" t="s">
        <v>3229</v>
      </c>
      <c r="B1124" s="380" t="str">
        <f>CONCATENATE(LEFT(RIGHT(CONCATENATE("000",FTG_Data1920!A1124),6),3),"-",(RIGHT(RIGHT(CONCATENATE("000",FTG_Data1920!A1124),6),3)))</f>
        <v>229-906</v>
      </c>
      <c r="C1124" s="105">
        <v>11849</v>
      </c>
      <c r="D1124" s="105">
        <v>11890</v>
      </c>
    </row>
    <row r="1125" spans="1:4" ht="14.5">
      <c r="A1125" t="s">
        <v>5286</v>
      </c>
      <c r="B1125" s="380" t="str">
        <f>CONCATENATE(LEFT(RIGHT(CONCATENATE("000",FTG_Data1920!A1125),6),3),"-",(RIGHT(RIGHT(CONCATENATE("000",FTG_Data1920!A1125),6),3)))</f>
        <v>230-901</v>
      </c>
      <c r="C1125" s="105">
        <v>10906</v>
      </c>
      <c r="D1125" s="105">
        <v>10588</v>
      </c>
    </row>
    <row r="1126" spans="1:4" ht="14.5">
      <c r="A1126" t="s">
        <v>5287</v>
      </c>
      <c r="B1126" s="380" t="str">
        <f>CONCATENATE(LEFT(RIGHT(CONCATENATE("000",FTG_Data1920!A1126),6),3),"-",(RIGHT(RIGHT(CONCATENATE("000",FTG_Data1920!A1126),6),3)))</f>
        <v>230-902</v>
      </c>
      <c r="C1126" s="105">
        <v>9735</v>
      </c>
      <c r="D1126" s="105">
        <v>9452</v>
      </c>
    </row>
    <row r="1127" spans="1:4" ht="14.5">
      <c r="A1127" t="s">
        <v>3230</v>
      </c>
      <c r="B1127" s="380" t="str">
        <f>CONCATENATE(LEFT(RIGHT(CONCATENATE("000",FTG_Data1920!A1127),6),3),"-",(RIGHT(RIGHT(CONCATENATE("000",FTG_Data1920!A1127),6),3)))</f>
        <v>230-903</v>
      </c>
      <c r="C1127" s="105">
        <v>11402</v>
      </c>
      <c r="D1127" s="105">
        <v>11070</v>
      </c>
    </row>
    <row r="1128" spans="1:4" ht="14.5">
      <c r="A1128" t="s">
        <v>5891</v>
      </c>
      <c r="B1128" s="380" t="str">
        <f>CONCATENATE(LEFT(RIGHT(CONCATENATE("000",FTG_Data1920!A1128),6),3),"-",(RIGHT(RIGHT(CONCATENATE("000",FTG_Data1920!A1128),6),3)))</f>
        <v>230-904</v>
      </c>
      <c r="C1128" s="105">
        <v>11849</v>
      </c>
      <c r="D1128" s="105">
        <v>11939</v>
      </c>
    </row>
    <row r="1129" spans="1:4" ht="14.5">
      <c r="A1129" t="s">
        <v>3231</v>
      </c>
      <c r="B1129" s="380" t="str">
        <f>CONCATENATE(LEFT(RIGHT(CONCATENATE("000",FTG_Data1920!A1129),6),3),"-",(RIGHT(RIGHT(CONCATENATE("000",FTG_Data1920!A1129),6),3)))</f>
        <v>230-905</v>
      </c>
      <c r="C1129" s="105">
        <v>10456</v>
      </c>
      <c r="D1129" s="105">
        <v>10152</v>
      </c>
    </row>
    <row r="1130" spans="1:4" ht="14.5">
      <c r="A1130" t="s">
        <v>3232</v>
      </c>
      <c r="B1130" s="380" t="str">
        <f>CONCATENATE(LEFT(RIGHT(CONCATENATE("000",FTG_Data1920!A1130),6),3),"-",(RIGHT(RIGHT(CONCATENATE("000",FTG_Data1920!A1130),6),3)))</f>
        <v>230-906</v>
      </c>
      <c r="C1130" s="105">
        <v>9456</v>
      </c>
      <c r="D1130" s="105">
        <v>9181</v>
      </c>
    </row>
    <row r="1131" spans="1:4" ht="14.5">
      <c r="A1131" t="s">
        <v>5288</v>
      </c>
      <c r="B1131" s="380" t="str">
        <f>CONCATENATE(LEFT(RIGHT(CONCATENATE("000",FTG_Data1920!A1131),6),3),"-",(RIGHT(RIGHT(CONCATENATE("000",FTG_Data1920!A1131),6),3)))</f>
        <v>230-908</v>
      </c>
      <c r="C1131" s="105">
        <v>10783</v>
      </c>
      <c r="D1131" s="105">
        <v>10469</v>
      </c>
    </row>
    <row r="1132" spans="1:4" ht="14.5">
      <c r="A1132" t="s">
        <v>5892</v>
      </c>
      <c r="B1132" s="380" t="str">
        <f>CONCATENATE(LEFT(RIGHT(CONCATENATE("000",FTG_Data1920!A1132),6),3),"-",(RIGHT(RIGHT(CONCATENATE("000",FTG_Data1920!A1132),6),3)))</f>
        <v>231-901</v>
      </c>
      <c r="C1132" s="105">
        <v>11849</v>
      </c>
      <c r="D1132" s="105">
        <v>13380</v>
      </c>
    </row>
    <row r="1133" spans="1:4" ht="14.5">
      <c r="A1133" t="s">
        <v>5289</v>
      </c>
      <c r="B1133" s="380" t="str">
        <f>CONCATENATE(LEFT(RIGHT(CONCATENATE("000",FTG_Data1920!A1133),6),3),"-",(RIGHT(RIGHT(CONCATENATE("000",FTG_Data1920!A1133),6),3)))</f>
        <v>231-902</v>
      </c>
      <c r="C1133" s="105">
        <v>11849</v>
      </c>
      <c r="D1133" s="105">
        <v>29952</v>
      </c>
    </row>
    <row r="1134" spans="1:4" ht="14.5">
      <c r="A1134" t="s">
        <v>3233</v>
      </c>
      <c r="B1134" s="380" t="str">
        <f>CONCATENATE(LEFT(RIGHT(CONCATENATE("000",FTG_Data1920!A1134),6),3),"-",(RIGHT(RIGHT(CONCATENATE("000",FTG_Data1920!A1134),6),3)))</f>
        <v>232-901</v>
      </c>
      <c r="C1134" s="105">
        <v>10920</v>
      </c>
      <c r="D1134" s="105">
        <v>10602</v>
      </c>
    </row>
    <row r="1135" spans="1:4" ht="14.5">
      <c r="A1135" t="s">
        <v>3234</v>
      </c>
      <c r="B1135" s="380" t="str">
        <f>CONCATENATE(LEFT(RIGHT(CONCATENATE("000",FTG_Data1920!A1135),6),3),"-",(RIGHT(RIGHT(CONCATENATE("000",FTG_Data1920!A1135),6),3)))</f>
        <v>232-902</v>
      </c>
      <c r="C1135" s="105">
        <v>11849</v>
      </c>
      <c r="D1135" s="105">
        <v>14031</v>
      </c>
    </row>
    <row r="1136" spans="1:4" ht="14.5">
      <c r="A1136" t="s">
        <v>3235</v>
      </c>
      <c r="B1136" s="380" t="str">
        <f>CONCATENATE(LEFT(RIGHT(CONCATENATE("000",FTG_Data1920!A1136),6),3),"-",(RIGHT(RIGHT(CONCATENATE("000",FTG_Data1920!A1136),6),3)))</f>
        <v>232-903</v>
      </c>
      <c r="C1136" s="105">
        <v>9638</v>
      </c>
      <c r="D1136" s="105">
        <v>9357</v>
      </c>
    </row>
    <row r="1137" spans="1:4" ht="14.5">
      <c r="A1137" t="s">
        <v>5893</v>
      </c>
      <c r="B1137" s="380" t="str">
        <f>CONCATENATE(LEFT(RIGHT(CONCATENATE("000",FTG_Data1920!A1137),6),3),"-",(RIGHT(RIGHT(CONCATENATE("000",FTG_Data1920!A1137),6),3)))</f>
        <v>232-904</v>
      </c>
      <c r="C1137" s="105">
        <v>11849</v>
      </c>
      <c r="D1137" s="105">
        <v>12212</v>
      </c>
    </row>
    <row r="1138" spans="1:4" ht="14.5">
      <c r="A1138" t="s">
        <v>3236</v>
      </c>
      <c r="B1138" s="380" t="str">
        <f>CONCATENATE(LEFT(RIGHT(CONCATENATE("000",FTG_Data1920!A1138),6),3),"-",(RIGHT(RIGHT(CONCATENATE("000",FTG_Data1920!A1138),6),3)))</f>
        <v>233-901</v>
      </c>
      <c r="C1138" s="105">
        <v>9523</v>
      </c>
      <c r="D1138" s="105">
        <v>9245</v>
      </c>
    </row>
    <row r="1139" spans="1:4" ht="14.5">
      <c r="A1139" t="s">
        <v>5290</v>
      </c>
      <c r="B1139" s="380" t="str">
        <f>CONCATENATE(LEFT(RIGHT(CONCATENATE("000",FTG_Data1920!A1139),6),3),"-",(RIGHT(RIGHT(CONCATENATE("000",FTG_Data1920!A1139),6),3)))</f>
        <v>233-903</v>
      </c>
      <c r="C1139" s="105">
        <v>11849</v>
      </c>
      <c r="D1139" s="105">
        <v>12991</v>
      </c>
    </row>
    <row r="1140" spans="1:4" ht="14.5">
      <c r="A1140" t="s">
        <v>8107</v>
      </c>
      <c r="B1140" s="380" t="str">
        <f>CONCATENATE(LEFT(RIGHT(CONCATENATE("000",FTG_Data1920!A1140),6),3),"-",(RIGHT(RIGHT(CONCATENATE("000",FTG_Data1920!A1140),6),3)))</f>
        <v>234-801</v>
      </c>
      <c r="C1140" s="105">
        <v>11849</v>
      </c>
      <c r="D1140" s="105">
        <v>11985</v>
      </c>
    </row>
    <row r="1141" spans="1:4" ht="14.5">
      <c r="A1141" t="s">
        <v>3237</v>
      </c>
      <c r="B1141" s="380" t="str">
        <f>CONCATENATE(LEFT(RIGHT(CONCATENATE("000",FTG_Data1920!A1141),6),3),"-",(RIGHT(RIGHT(CONCATENATE("000",FTG_Data1920!A1141),6),3)))</f>
        <v>234-902</v>
      </c>
      <c r="C1141" s="105">
        <v>8697</v>
      </c>
      <c r="D1141" s="105">
        <v>8444</v>
      </c>
    </row>
    <row r="1142" spans="1:4" ht="14.5">
      <c r="A1142" t="s">
        <v>5291</v>
      </c>
      <c r="B1142" s="380" t="str">
        <f>CONCATENATE(LEFT(RIGHT(CONCATENATE("000",FTG_Data1920!A1142),6),3),"-",(RIGHT(RIGHT(CONCATENATE("000",FTG_Data1920!A1142),6),3)))</f>
        <v>234-903</v>
      </c>
      <c r="C1142" s="105">
        <v>11392</v>
      </c>
      <c r="D1142" s="105">
        <v>11060</v>
      </c>
    </row>
    <row r="1143" spans="1:4" ht="14.5">
      <c r="A1143" t="s">
        <v>3238</v>
      </c>
      <c r="B1143" s="380" t="str">
        <f>CONCATENATE(LEFT(RIGHT(CONCATENATE("000",FTG_Data1920!A1143),6),3),"-",(RIGHT(RIGHT(CONCATENATE("000",FTG_Data1920!A1143),6),3)))</f>
        <v>234-904</v>
      </c>
      <c r="C1143" s="105">
        <v>10876</v>
      </c>
      <c r="D1143" s="105">
        <v>10559</v>
      </c>
    </row>
    <row r="1144" spans="1:4" ht="14.5">
      <c r="A1144" t="s">
        <v>3239</v>
      </c>
      <c r="B1144" s="380" t="str">
        <f>CONCATENATE(LEFT(RIGHT(CONCATENATE("000",FTG_Data1920!A1144),6),3),"-",(RIGHT(RIGHT(CONCATENATE("000",FTG_Data1920!A1144),6),3)))</f>
        <v>234-905</v>
      </c>
      <c r="C1144" s="105">
        <v>10815</v>
      </c>
      <c r="D1144" s="105">
        <v>10500</v>
      </c>
    </row>
    <row r="1145" spans="1:4" ht="14.5">
      <c r="A1145" t="s">
        <v>3240</v>
      </c>
      <c r="B1145" s="380" t="str">
        <f>CONCATENATE(LEFT(RIGHT(CONCATENATE("000",FTG_Data1920!A1145),6),3),"-",(RIGHT(RIGHT(CONCATENATE("000",FTG_Data1920!A1145),6),3)))</f>
        <v>234-906</v>
      </c>
      <c r="C1145" s="105">
        <v>9498</v>
      </c>
      <c r="D1145" s="105">
        <v>9222</v>
      </c>
    </row>
    <row r="1146" spans="1:4" ht="14.5">
      <c r="A1146" t="s">
        <v>5292</v>
      </c>
      <c r="B1146" s="380" t="str">
        <f>CONCATENATE(LEFT(RIGHT(CONCATENATE("000",FTG_Data1920!A1146),6),3),"-",(RIGHT(RIGHT(CONCATENATE("000",FTG_Data1920!A1146),6),3)))</f>
        <v>234-907</v>
      </c>
      <c r="C1146" s="105">
        <v>10012</v>
      </c>
      <c r="D1146" s="105">
        <v>9720</v>
      </c>
    </row>
    <row r="1147" spans="1:4" ht="14.5">
      <c r="A1147" t="s">
        <v>3241</v>
      </c>
      <c r="B1147" s="380" t="str">
        <f>CONCATENATE(LEFT(RIGHT(CONCATENATE("000",FTG_Data1920!A1147),6),3),"-",(RIGHT(RIGHT(CONCATENATE("000",FTG_Data1920!A1147),6),3)))</f>
        <v>234-909</v>
      </c>
      <c r="C1147" s="105">
        <v>11849</v>
      </c>
      <c r="D1147" s="105">
        <v>11924</v>
      </c>
    </row>
    <row r="1148" spans="1:4" ht="14.5">
      <c r="A1148" t="s">
        <v>3242</v>
      </c>
      <c r="B1148" s="380" t="str">
        <f>CONCATENATE(LEFT(RIGHT(CONCATENATE("000",FTG_Data1920!A1148),6),3),"-",(RIGHT(RIGHT(CONCATENATE("000",FTG_Data1920!A1148),6),3)))</f>
        <v>235-901</v>
      </c>
      <c r="C1148" s="105">
        <v>11849</v>
      </c>
      <c r="D1148" s="105">
        <v>11993</v>
      </c>
    </row>
    <row r="1149" spans="1:4" ht="14.5">
      <c r="A1149" t="s">
        <v>3243</v>
      </c>
      <c r="B1149" s="380" t="str">
        <f>CONCATENATE(LEFT(RIGHT(CONCATENATE("000",FTG_Data1920!A1149),6),3),"-",(RIGHT(RIGHT(CONCATENATE("000",FTG_Data1920!A1149),6),3)))</f>
        <v>235-902</v>
      </c>
      <c r="C1149" s="105">
        <v>8725</v>
      </c>
      <c r="D1149" s="105">
        <v>8470</v>
      </c>
    </row>
    <row r="1150" spans="1:4" ht="14.5">
      <c r="A1150" t="s">
        <v>5293</v>
      </c>
      <c r="B1150" s="380" t="str">
        <f>CONCATENATE(LEFT(RIGHT(CONCATENATE("000",FTG_Data1920!A1150),6),3),"-",(RIGHT(RIGHT(CONCATENATE("000",FTG_Data1920!A1150),6),3)))</f>
        <v>235-904</v>
      </c>
      <c r="C1150" s="105">
        <v>11849</v>
      </c>
      <c r="D1150" s="105">
        <v>11508</v>
      </c>
    </row>
    <row r="1151" spans="1:4" ht="14.5">
      <c r="A1151" t="s">
        <v>8521</v>
      </c>
      <c r="B1151" s="380" t="str">
        <f>CONCATENATE(LEFT(RIGHT(CONCATENATE("000",FTG_Data1920!A1151),6),3),"-",(RIGHT(RIGHT(CONCATENATE("000",FTG_Data1920!A1151),6),3)))</f>
        <v>235-950</v>
      </c>
      <c r="C1151" s="105">
        <v>11849</v>
      </c>
      <c r="D1151" s="105">
        <v>0</v>
      </c>
    </row>
    <row r="1152" spans="1:4" ht="14.5">
      <c r="A1152" t="s">
        <v>8108</v>
      </c>
      <c r="B1152" s="380" t="str">
        <f>CONCATENATE(LEFT(RIGHT(CONCATENATE("000",FTG_Data1920!A1152),6),3),"-",(RIGHT(RIGHT(CONCATENATE("000",FTG_Data1920!A1152),6),3)))</f>
        <v>236-801</v>
      </c>
      <c r="C1152" s="105">
        <v>11849</v>
      </c>
      <c r="D1152" s="105">
        <v>20999</v>
      </c>
    </row>
    <row r="1153" spans="1:4" ht="14.5">
      <c r="A1153" t="s">
        <v>8109</v>
      </c>
      <c r="B1153" s="380" t="str">
        <f>CONCATENATE(LEFT(RIGHT(CONCATENATE("000",FTG_Data1920!A1153),6),3),"-",(RIGHT(RIGHT(CONCATENATE("000",FTG_Data1920!A1153),6),3)))</f>
        <v>236-802</v>
      </c>
      <c r="C1153" s="105">
        <v>9033</v>
      </c>
      <c r="D1153" s="105">
        <v>8770</v>
      </c>
    </row>
    <row r="1154" spans="1:4" ht="14.5">
      <c r="A1154" t="s">
        <v>3244</v>
      </c>
      <c r="B1154" s="380" t="str">
        <f>CONCATENATE(LEFT(RIGHT(CONCATENATE("000",FTG_Data1920!A1154),6),3),"-",(RIGHT(RIGHT(CONCATENATE("000",FTG_Data1920!A1154),6),3)))</f>
        <v>236-901</v>
      </c>
      <c r="C1154" s="105">
        <v>11013</v>
      </c>
      <c r="D1154" s="105">
        <v>10692</v>
      </c>
    </row>
    <row r="1155" spans="1:4" ht="14.5">
      <c r="A1155" t="s">
        <v>3245</v>
      </c>
      <c r="B1155" s="380" t="str">
        <f>CONCATENATE(LEFT(RIGHT(CONCATENATE("000",FTG_Data1920!A1155),6),3),"-",(RIGHT(RIGHT(CONCATENATE("000",FTG_Data1920!A1155),6),3)))</f>
        <v>236-902</v>
      </c>
      <c r="C1155" s="105">
        <v>8939</v>
      </c>
      <c r="D1155" s="105">
        <v>8679</v>
      </c>
    </row>
    <row r="1156" spans="1:4" ht="14.5">
      <c r="A1156" t="s">
        <v>8110</v>
      </c>
      <c r="B1156" s="380" t="str">
        <f>CONCATENATE(LEFT(RIGHT(CONCATENATE("000",FTG_Data1920!A1156),6),3),"-",(RIGHT(RIGHT(CONCATENATE("000",FTG_Data1920!A1156),6),3)))</f>
        <v>236-903</v>
      </c>
      <c r="C1156" s="105">
        <v>11849</v>
      </c>
      <c r="D1156" s="105">
        <v>0</v>
      </c>
    </row>
    <row r="1157" spans="1:4" ht="14.5">
      <c r="A1157" t="s">
        <v>8522</v>
      </c>
      <c r="B1157" s="380" t="str">
        <f>CONCATENATE(LEFT(RIGHT(CONCATENATE("000",FTG_Data1920!A1157),6),3),"-",(RIGHT(RIGHT(CONCATENATE("000",FTG_Data1920!A1157),6),3)))</f>
        <v>236-950</v>
      </c>
      <c r="C1157" s="105">
        <v>11849</v>
      </c>
      <c r="D1157" s="105">
        <v>0</v>
      </c>
    </row>
    <row r="1158" spans="1:4" ht="14.5">
      <c r="A1158" t="s">
        <v>3246</v>
      </c>
      <c r="B1158" s="380" t="str">
        <f>CONCATENATE(LEFT(RIGHT(CONCATENATE("000",FTG_Data1920!A1158),6),3),"-",(RIGHT(RIGHT(CONCATENATE("000",FTG_Data1920!A1158),6),3)))</f>
        <v>237-902</v>
      </c>
      <c r="C1158" s="105">
        <v>11715</v>
      </c>
      <c r="D1158" s="105">
        <v>11374</v>
      </c>
    </row>
    <row r="1159" spans="1:4" ht="14.5">
      <c r="A1159" t="s">
        <v>3247</v>
      </c>
      <c r="B1159" s="380" t="str">
        <f>CONCATENATE(LEFT(RIGHT(CONCATENATE("000",FTG_Data1920!A1159),6),3),"-",(RIGHT(RIGHT(CONCATENATE("000",FTG_Data1920!A1159),6),3)))</f>
        <v>237-904</v>
      </c>
      <c r="C1159" s="105">
        <v>9168</v>
      </c>
      <c r="D1159" s="105">
        <v>8901</v>
      </c>
    </row>
    <row r="1160" spans="1:4" ht="14.5">
      <c r="A1160" t="s">
        <v>3248</v>
      </c>
      <c r="B1160" s="380" t="str">
        <f>CONCATENATE(LEFT(RIGHT(CONCATENATE("000",FTG_Data1920!A1160),6),3),"-",(RIGHT(RIGHT(CONCATENATE("000",FTG_Data1920!A1160),6),3)))</f>
        <v>237-905</v>
      </c>
      <c r="C1160" s="105">
        <v>11849</v>
      </c>
      <c r="D1160" s="105">
        <v>11695</v>
      </c>
    </row>
    <row r="1161" spans="1:4" ht="14.5">
      <c r="A1161" t="s">
        <v>5294</v>
      </c>
      <c r="B1161" s="380" t="str">
        <f>CONCATENATE(LEFT(RIGHT(CONCATENATE("000",FTG_Data1920!A1161),6),3),"-",(RIGHT(RIGHT(CONCATENATE("000",FTG_Data1920!A1161),6),3)))</f>
        <v>238-902</v>
      </c>
      <c r="C1161" s="105">
        <v>11849</v>
      </c>
      <c r="D1161" s="105">
        <v>12651</v>
      </c>
    </row>
    <row r="1162" spans="1:4" ht="14.5">
      <c r="A1162" t="s">
        <v>5894</v>
      </c>
      <c r="B1162" s="380" t="str">
        <f>CONCATENATE(LEFT(RIGHT(CONCATENATE("000",FTG_Data1920!A1162),6),3),"-",(RIGHT(RIGHT(CONCATENATE("000",FTG_Data1920!A1162),6),3)))</f>
        <v>238-904</v>
      </c>
      <c r="C1162" s="105">
        <v>11849</v>
      </c>
      <c r="D1162" s="105">
        <v>18855</v>
      </c>
    </row>
    <row r="1163" spans="1:4" ht="14.5">
      <c r="A1163" t="s">
        <v>5295</v>
      </c>
      <c r="B1163" s="380" t="str">
        <f>CONCATENATE(LEFT(RIGHT(CONCATENATE("000",FTG_Data1920!A1163),6),3),"-",(RIGHT(RIGHT(CONCATENATE("000",FTG_Data1920!A1163),6),3)))</f>
        <v>239-901</v>
      </c>
      <c r="C1163" s="105">
        <v>9471</v>
      </c>
      <c r="D1163" s="105">
        <v>9195</v>
      </c>
    </row>
    <row r="1164" spans="1:4" ht="14.5">
      <c r="A1164" t="s">
        <v>5296</v>
      </c>
      <c r="B1164" s="380" t="str">
        <f>CONCATENATE(LEFT(RIGHT(CONCATENATE("000",FTG_Data1920!A1164),6),3),"-",(RIGHT(RIGHT(CONCATENATE("000",FTG_Data1920!A1164),6),3)))</f>
        <v>239-903</v>
      </c>
      <c r="C1164" s="105">
        <v>11849</v>
      </c>
      <c r="D1164" s="105">
        <v>16816</v>
      </c>
    </row>
    <row r="1165" spans="1:4" ht="14.5">
      <c r="A1165" t="s">
        <v>8112</v>
      </c>
      <c r="B1165" s="380" t="str">
        <f>CONCATENATE(LEFT(RIGHT(CONCATENATE("000",FTG_Data1920!A1165),6),3),"-",(RIGHT(RIGHT(CONCATENATE("000",FTG_Data1920!A1165),6),3)))</f>
        <v>240-503</v>
      </c>
      <c r="C1165" s="105">
        <v>8335</v>
      </c>
      <c r="D1165" s="105">
        <v>8092</v>
      </c>
    </row>
    <row r="1166" spans="1:4" ht="14.5">
      <c r="A1166" t="s">
        <v>8114</v>
      </c>
      <c r="B1166" s="380" t="str">
        <f>CONCATENATE(LEFT(RIGHT(CONCATENATE("000",FTG_Data1920!A1166),6),3),"-",(RIGHT(RIGHT(CONCATENATE("000",FTG_Data1920!A1166),6),3)))</f>
        <v>240-801</v>
      </c>
      <c r="C1166" s="105">
        <v>11849</v>
      </c>
      <c r="D1166" s="105">
        <v>11764</v>
      </c>
    </row>
    <row r="1167" spans="1:4" ht="14.5">
      <c r="A1167" t="s">
        <v>3249</v>
      </c>
      <c r="B1167" s="380" t="str">
        <f>CONCATENATE(LEFT(RIGHT(CONCATENATE("000",FTG_Data1920!A1167),6),3),"-",(RIGHT(RIGHT(CONCATENATE("000",FTG_Data1920!A1167),6),3)))</f>
        <v>240-901</v>
      </c>
      <c r="C1167" s="105">
        <v>9291</v>
      </c>
      <c r="D1167" s="105">
        <v>9020</v>
      </c>
    </row>
    <row r="1168" spans="1:4" ht="14.5">
      <c r="A1168" t="s">
        <v>3250</v>
      </c>
      <c r="B1168" s="380" t="str">
        <f>CONCATENATE(LEFT(RIGHT(CONCATENATE("000",FTG_Data1920!A1168),6),3),"-",(RIGHT(RIGHT(CONCATENATE("000",FTG_Data1920!A1168),6),3)))</f>
        <v>240-903</v>
      </c>
      <c r="C1168" s="105">
        <v>9313</v>
      </c>
      <c r="D1168" s="105">
        <v>9042</v>
      </c>
    </row>
    <row r="1169" spans="1:4" ht="14.5">
      <c r="A1169" t="s">
        <v>5297</v>
      </c>
      <c r="B1169" s="380" t="str">
        <f>CONCATENATE(LEFT(RIGHT(CONCATENATE("000",FTG_Data1920!A1169),6),3),"-",(RIGHT(RIGHT(CONCATENATE("000",FTG_Data1920!A1169),6),3)))</f>
        <v>240-904</v>
      </c>
      <c r="C1169" s="105">
        <v>11849</v>
      </c>
      <c r="D1169" s="105">
        <v>13810</v>
      </c>
    </row>
    <row r="1170" spans="1:4" ht="14.5">
      <c r="A1170" t="s">
        <v>5895</v>
      </c>
      <c r="B1170" s="380" t="str">
        <f>CONCATENATE(LEFT(RIGHT(CONCATENATE("000",FTG_Data1920!A1170),6),3),"-",(RIGHT(RIGHT(CONCATENATE("000",FTG_Data1920!A1170),6),3)))</f>
        <v>241-901</v>
      </c>
      <c r="C1170" s="105">
        <v>9797</v>
      </c>
      <c r="D1170" s="105">
        <v>9512</v>
      </c>
    </row>
    <row r="1171" spans="1:4" ht="14.5">
      <c r="A1171" t="s">
        <v>5298</v>
      </c>
      <c r="B1171" s="380" t="str">
        <f>CONCATENATE(LEFT(RIGHT(CONCATENATE("000",FTG_Data1920!A1171),6),3),"-",(RIGHT(RIGHT(CONCATENATE("000",FTG_Data1920!A1171),6),3)))</f>
        <v>241-902</v>
      </c>
      <c r="C1171" s="105">
        <v>11031</v>
      </c>
      <c r="D1171" s="105">
        <v>10710</v>
      </c>
    </row>
    <row r="1172" spans="1:4" ht="14.5">
      <c r="A1172" t="s">
        <v>5299</v>
      </c>
      <c r="B1172" s="380" t="str">
        <f>CONCATENATE(LEFT(RIGHT(CONCATENATE("000",FTG_Data1920!A1172),6),3),"-",(RIGHT(RIGHT(CONCATENATE("000",FTG_Data1920!A1172),6),3)))</f>
        <v>241-903</v>
      </c>
      <c r="C1172" s="105">
        <v>10051</v>
      </c>
      <c r="D1172" s="105">
        <v>9759</v>
      </c>
    </row>
    <row r="1173" spans="1:4" ht="14.5">
      <c r="A1173" t="s">
        <v>5300</v>
      </c>
      <c r="B1173" s="380" t="str">
        <f>CONCATENATE(LEFT(RIGHT(CONCATENATE("000",FTG_Data1920!A1173),6),3),"-",(RIGHT(RIGHT(CONCATENATE("000",FTG_Data1920!A1173),6),3)))</f>
        <v>241-904</v>
      </c>
      <c r="C1173" s="105">
        <v>10110</v>
      </c>
      <c r="D1173" s="105">
        <v>9816</v>
      </c>
    </row>
    <row r="1174" spans="1:4" ht="14.5">
      <c r="A1174" t="s">
        <v>5301</v>
      </c>
      <c r="B1174" s="380" t="str">
        <f>CONCATENATE(LEFT(RIGHT(CONCATENATE("000",FTG_Data1920!A1174),6),3),"-",(RIGHT(RIGHT(CONCATENATE("000",FTG_Data1920!A1174),6),3)))</f>
        <v>241-906</v>
      </c>
      <c r="C1174" s="105">
        <v>11849</v>
      </c>
      <c r="D1174" s="105">
        <v>11777</v>
      </c>
    </row>
    <row r="1175" spans="1:4" ht="14.5">
      <c r="A1175" t="s">
        <v>5896</v>
      </c>
      <c r="B1175" s="380" t="str">
        <f>CONCATENATE(LEFT(RIGHT(CONCATENATE("000",FTG_Data1920!A1175),6),3),"-",(RIGHT(RIGHT(CONCATENATE("000",FTG_Data1920!A1175),6),3)))</f>
        <v>242-902</v>
      </c>
      <c r="C1175" s="105">
        <v>11849</v>
      </c>
      <c r="D1175" s="105">
        <v>12301</v>
      </c>
    </row>
    <row r="1176" spans="1:4" ht="14.5">
      <c r="A1176" t="s">
        <v>5302</v>
      </c>
      <c r="B1176" s="380" t="str">
        <f>CONCATENATE(LEFT(RIGHT(CONCATENATE("000",FTG_Data1920!A1176),6),3),"-",(RIGHT(RIGHT(CONCATENATE("000",FTG_Data1920!A1176),6),3)))</f>
        <v>242-903</v>
      </c>
      <c r="C1176" s="105">
        <v>10554</v>
      </c>
      <c r="D1176" s="105">
        <v>10247</v>
      </c>
    </row>
    <row r="1177" spans="1:4" ht="14.5">
      <c r="A1177" t="s">
        <v>5897</v>
      </c>
      <c r="B1177" s="380" t="str">
        <f>CONCATENATE(LEFT(RIGHT(CONCATENATE("000",FTG_Data1920!A1177),6),3),"-",(RIGHT(RIGHT(CONCATENATE("000",FTG_Data1920!A1177),6),3)))</f>
        <v>242-905</v>
      </c>
      <c r="C1177" s="105">
        <v>11849</v>
      </c>
      <c r="D1177" s="105">
        <v>12834</v>
      </c>
    </row>
    <row r="1178" spans="1:4" ht="14.5">
      <c r="A1178" t="s">
        <v>5303</v>
      </c>
      <c r="B1178" s="380" t="str">
        <f>CONCATENATE(LEFT(RIGHT(CONCATENATE("000",FTG_Data1920!A1178),6),3),"-",(RIGHT(RIGHT(CONCATENATE("000",FTG_Data1920!A1178),6),3)))</f>
        <v>242-906</v>
      </c>
      <c r="C1178" s="105">
        <v>11849</v>
      </c>
      <c r="D1178" s="105">
        <v>19101</v>
      </c>
    </row>
    <row r="1179" spans="1:4" ht="14.5">
      <c r="A1179" t="s">
        <v>3251</v>
      </c>
      <c r="B1179" s="380" t="str">
        <f>CONCATENATE(LEFT(RIGHT(CONCATENATE("000",FTG_Data1920!A1179),6),3),"-",(RIGHT(RIGHT(CONCATENATE("000",FTG_Data1920!A1179),6),3)))</f>
        <v>243-901</v>
      </c>
      <c r="C1179" s="105">
        <v>9429</v>
      </c>
      <c r="D1179" s="105">
        <v>9154</v>
      </c>
    </row>
    <row r="1180" spans="1:4" ht="14.5">
      <c r="A1180" t="s">
        <v>5304</v>
      </c>
      <c r="B1180" s="380" t="str">
        <f>CONCATENATE(LEFT(RIGHT(CONCATENATE("000",FTG_Data1920!A1180),6),3),"-",(RIGHT(RIGHT(CONCATENATE("000",FTG_Data1920!A1180),6),3)))</f>
        <v>243-902</v>
      </c>
      <c r="C1180" s="105">
        <v>11849</v>
      </c>
      <c r="D1180" s="105">
        <v>12124</v>
      </c>
    </row>
    <row r="1181" spans="1:4" ht="14.5">
      <c r="A1181" t="s">
        <v>5305</v>
      </c>
      <c r="B1181" s="380" t="str">
        <f>CONCATENATE(LEFT(RIGHT(CONCATENATE("000",FTG_Data1920!A1181),6),3),"-",(RIGHT(RIGHT(CONCATENATE("000",FTG_Data1920!A1181),6),3)))</f>
        <v>243-903</v>
      </c>
      <c r="C1181" s="105">
        <v>9638</v>
      </c>
      <c r="D1181" s="105">
        <v>9357</v>
      </c>
    </row>
    <row r="1182" spans="1:4" ht="14.5">
      <c r="A1182" t="s">
        <v>3252</v>
      </c>
      <c r="B1182" s="380" t="str">
        <f>CONCATENATE(LEFT(RIGHT(CONCATENATE("000",FTG_Data1920!A1182),6),3),"-",(RIGHT(RIGHT(CONCATENATE("000",FTG_Data1920!A1182),6),3)))</f>
        <v>243-905</v>
      </c>
      <c r="C1182" s="105">
        <v>8338</v>
      </c>
      <c r="D1182" s="105">
        <v>8095</v>
      </c>
    </row>
    <row r="1183" spans="1:4" ht="14.5">
      <c r="A1183" t="s">
        <v>3253</v>
      </c>
      <c r="B1183" s="380" t="str">
        <f>CONCATENATE(LEFT(RIGHT(CONCATENATE("000",FTG_Data1920!A1183),6),3),"-",(RIGHT(RIGHT(CONCATENATE("000",FTG_Data1920!A1183),6),3)))</f>
        <v>243-906</v>
      </c>
      <c r="C1183" s="105">
        <v>11361</v>
      </c>
      <c r="D1183" s="105">
        <v>11030</v>
      </c>
    </row>
    <row r="1184" spans="1:4" ht="14.5">
      <c r="A1184" t="s">
        <v>8523</v>
      </c>
      <c r="B1184" s="380" t="str">
        <f>CONCATENATE(LEFT(RIGHT(CONCATENATE("000",FTG_Data1920!A1184),6),3),"-",(RIGHT(RIGHT(CONCATENATE("000",FTG_Data1920!A1184),6),3)))</f>
        <v>243-950</v>
      </c>
      <c r="C1184" s="105">
        <v>11849</v>
      </c>
      <c r="D1184" s="105">
        <v>0</v>
      </c>
    </row>
    <row r="1185" spans="1:4" ht="14.5">
      <c r="A1185" t="s">
        <v>5898</v>
      </c>
      <c r="B1185" s="380" t="str">
        <f>CONCATENATE(LEFT(RIGHT(CONCATENATE("000",FTG_Data1920!A1185),6),3),"-",(RIGHT(RIGHT(CONCATENATE("000",FTG_Data1920!A1185),6),3)))</f>
        <v>244-901</v>
      </c>
      <c r="C1185" s="105">
        <v>11849</v>
      </c>
      <c r="D1185" s="105">
        <v>15237</v>
      </c>
    </row>
    <row r="1186" spans="1:4" ht="14.5">
      <c r="A1186" t="s">
        <v>5306</v>
      </c>
      <c r="B1186" s="380" t="str">
        <f>CONCATENATE(LEFT(RIGHT(CONCATENATE("000",FTG_Data1920!A1186),6),3),"-",(RIGHT(RIGHT(CONCATENATE("000",FTG_Data1920!A1186),6),3)))</f>
        <v>244-903</v>
      </c>
      <c r="C1186" s="105">
        <v>9081</v>
      </c>
      <c r="D1186" s="105">
        <v>8817</v>
      </c>
    </row>
    <row r="1187" spans="1:4" ht="14.5">
      <c r="A1187" t="s">
        <v>3254</v>
      </c>
      <c r="B1187" s="380" t="str">
        <f>CONCATENATE(LEFT(RIGHT(CONCATENATE("000",FTG_Data1920!A1187),6),3),"-",(RIGHT(RIGHT(CONCATENATE("000",FTG_Data1920!A1187),6),3)))</f>
        <v>244-905</v>
      </c>
      <c r="C1187" s="105">
        <v>11359</v>
      </c>
      <c r="D1187" s="105">
        <v>11028</v>
      </c>
    </row>
    <row r="1188" spans="1:4" ht="14.5">
      <c r="A1188" t="s">
        <v>3255</v>
      </c>
      <c r="B1188" s="380" t="str">
        <f>CONCATENATE(LEFT(RIGHT(CONCATENATE("000",FTG_Data1920!A1188),6),3),"-",(RIGHT(RIGHT(CONCATENATE("000",FTG_Data1920!A1188),6),3)))</f>
        <v>245-901</v>
      </c>
      <c r="C1188" s="105">
        <v>11849</v>
      </c>
      <c r="D1188" s="105">
        <v>13882</v>
      </c>
    </row>
    <row r="1189" spans="1:4" ht="14.5">
      <c r="A1189" t="s">
        <v>3256</v>
      </c>
      <c r="B1189" s="380" t="str">
        <f>CONCATENATE(LEFT(RIGHT(CONCATENATE("000",FTG_Data1920!A1189),6),3),"-",(RIGHT(RIGHT(CONCATENATE("000",FTG_Data1920!A1189),6),3)))</f>
        <v>245-902</v>
      </c>
      <c r="C1189" s="105">
        <v>11849</v>
      </c>
      <c r="D1189" s="105">
        <v>11576</v>
      </c>
    </row>
    <row r="1190" spans="1:4" ht="14.5">
      <c r="A1190" t="s">
        <v>3257</v>
      </c>
      <c r="B1190" s="380" t="str">
        <f>CONCATENATE(LEFT(RIGHT(CONCATENATE("000",FTG_Data1920!A1190),6),3),"-",(RIGHT(RIGHT(CONCATENATE("000",FTG_Data1920!A1190),6),3)))</f>
        <v>245-903</v>
      </c>
      <c r="C1190" s="105">
        <v>11139</v>
      </c>
      <c r="D1190" s="105">
        <v>10815</v>
      </c>
    </row>
    <row r="1191" spans="1:4" ht="14.5">
      <c r="A1191" t="s">
        <v>3258</v>
      </c>
      <c r="B1191" s="380" t="str">
        <f>CONCATENATE(LEFT(RIGHT(CONCATENATE("000",FTG_Data1920!A1191),6),3),"-",(RIGHT(RIGHT(CONCATENATE("000",FTG_Data1920!A1191),6),3)))</f>
        <v>245-904</v>
      </c>
      <c r="C1191" s="105">
        <v>11849</v>
      </c>
      <c r="D1191" s="105">
        <v>13925</v>
      </c>
    </row>
    <row r="1192" spans="1:4" ht="14.5">
      <c r="A1192" t="s">
        <v>8115</v>
      </c>
      <c r="B1192" s="380" t="str">
        <f>CONCATENATE(LEFT(RIGHT(CONCATENATE("000",FTG_Data1920!A1192),6),3),"-",(RIGHT(RIGHT(CONCATENATE("000",FTG_Data1920!A1192),6),3)))</f>
        <v>246-801</v>
      </c>
      <c r="C1192" s="105">
        <v>9169</v>
      </c>
      <c r="D1192" s="105">
        <v>8902</v>
      </c>
    </row>
    <row r="1193" spans="1:4" ht="14.5">
      <c r="A1193" t="s">
        <v>8116</v>
      </c>
      <c r="B1193" s="380" t="str">
        <f>CONCATENATE(LEFT(RIGHT(CONCATENATE("000",FTG_Data1920!A1193),6),3),"-",(RIGHT(RIGHT(CONCATENATE("000",FTG_Data1920!A1193),6),3)))</f>
        <v>246-802</v>
      </c>
      <c r="C1193" s="105">
        <v>9457</v>
      </c>
      <c r="D1193" s="105">
        <v>9182</v>
      </c>
    </row>
    <row r="1194" spans="1:4" ht="14.5">
      <c r="A1194" t="s">
        <v>3259</v>
      </c>
      <c r="B1194" s="380" t="str">
        <f>CONCATENATE(LEFT(RIGHT(CONCATENATE("000",FTG_Data1920!A1194),6),3),"-",(RIGHT(RIGHT(CONCATENATE("000",FTG_Data1920!A1194),6),3)))</f>
        <v>246-902</v>
      </c>
      <c r="C1194" s="105">
        <v>11564</v>
      </c>
      <c r="D1194" s="105">
        <v>11227</v>
      </c>
    </row>
    <row r="1195" spans="1:4" ht="14.5">
      <c r="A1195" t="s">
        <v>3260</v>
      </c>
      <c r="B1195" s="380" t="str">
        <f>CONCATENATE(LEFT(RIGHT(CONCATENATE("000",FTG_Data1920!A1195),6),3),"-",(RIGHT(RIGHT(CONCATENATE("000",FTG_Data1920!A1195),6),3)))</f>
        <v>246-904</v>
      </c>
      <c r="C1195" s="105">
        <v>9082</v>
      </c>
      <c r="D1195" s="105">
        <v>8818</v>
      </c>
    </row>
    <row r="1196" spans="1:4" ht="14.5">
      <c r="A1196" t="s">
        <v>3261</v>
      </c>
      <c r="B1196" s="380" t="str">
        <f>CONCATENATE(LEFT(RIGHT(CONCATENATE("000",FTG_Data1920!A1196),6),3),"-",(RIGHT(RIGHT(CONCATENATE("000",FTG_Data1920!A1196),6),3)))</f>
        <v>246-905</v>
      </c>
      <c r="C1196" s="105">
        <v>11543</v>
      </c>
      <c r="D1196" s="105">
        <v>11207</v>
      </c>
    </row>
    <row r="1197" spans="1:4" ht="14.5">
      <c r="A1197" t="s">
        <v>3262</v>
      </c>
      <c r="B1197" s="380" t="str">
        <f>CONCATENATE(LEFT(RIGHT(CONCATENATE("000",FTG_Data1920!A1197),6),3),"-",(RIGHT(RIGHT(CONCATENATE("000",FTG_Data1920!A1197),6),3)))</f>
        <v>246-906</v>
      </c>
      <c r="C1197" s="105">
        <v>9353</v>
      </c>
      <c r="D1197" s="105">
        <v>9081</v>
      </c>
    </row>
    <row r="1198" spans="1:4" ht="14.5">
      <c r="A1198" t="s">
        <v>5307</v>
      </c>
      <c r="B1198" s="380" t="str">
        <f>CONCATENATE(LEFT(RIGHT(CONCATENATE("000",FTG_Data1920!A1198),6),3),"-",(RIGHT(RIGHT(CONCATENATE("000",FTG_Data1920!A1198),6),3)))</f>
        <v>246-907</v>
      </c>
      <c r="C1198" s="105">
        <v>9982</v>
      </c>
      <c r="D1198" s="105">
        <v>9691</v>
      </c>
    </row>
    <row r="1199" spans="1:4" ht="14.5">
      <c r="A1199" t="s">
        <v>3263</v>
      </c>
      <c r="B1199" s="380" t="str">
        <f>CONCATENATE(LEFT(RIGHT(CONCATENATE("000",FTG_Data1920!A1199),6),3),"-",(RIGHT(RIGHT(CONCATENATE("000",FTG_Data1920!A1199),6),3)))</f>
        <v>246-908</v>
      </c>
      <c r="C1199" s="105">
        <v>8628</v>
      </c>
      <c r="D1199" s="105">
        <v>8377</v>
      </c>
    </row>
    <row r="1200" spans="1:4" ht="14.5">
      <c r="A1200" t="s">
        <v>4857</v>
      </c>
      <c r="B1200" s="380" t="str">
        <f>CONCATENATE(LEFT(RIGHT(CONCATENATE("000",FTG_Data1920!A1200),6),3),"-",(RIGHT(RIGHT(CONCATENATE("000",FTG_Data1920!A1200),6),3)))</f>
        <v>246-909</v>
      </c>
      <c r="C1200" s="105">
        <v>8151</v>
      </c>
      <c r="D1200" s="105">
        <v>7914</v>
      </c>
    </row>
    <row r="1201" spans="1:4" ht="14.5">
      <c r="A1201" t="s">
        <v>3264</v>
      </c>
      <c r="B1201" s="380" t="str">
        <f>CONCATENATE(LEFT(RIGHT(CONCATENATE("000",FTG_Data1920!A1201),6),3),"-",(RIGHT(RIGHT(CONCATENATE("000",FTG_Data1920!A1201),6),3)))</f>
        <v>246-911</v>
      </c>
      <c r="C1201" s="105">
        <v>10083</v>
      </c>
      <c r="D1201" s="105">
        <v>9789</v>
      </c>
    </row>
    <row r="1202" spans="1:4" ht="14.5">
      <c r="A1202" t="s">
        <v>3265</v>
      </c>
      <c r="B1202" s="380" t="str">
        <f>CONCATENATE(LEFT(RIGHT(CONCATENATE("000",FTG_Data1920!A1202),6),3),"-",(RIGHT(RIGHT(CONCATENATE("000",FTG_Data1920!A1202),6),3)))</f>
        <v>246-912</v>
      </c>
      <c r="C1202" s="105">
        <v>11270</v>
      </c>
      <c r="D1202" s="105">
        <v>10942</v>
      </c>
    </row>
    <row r="1203" spans="1:4" ht="14.5">
      <c r="A1203" t="s">
        <v>3266</v>
      </c>
      <c r="B1203" s="380" t="str">
        <f>CONCATENATE(LEFT(RIGHT(CONCATENATE("000",FTG_Data1920!A1203),6),3),"-",(RIGHT(RIGHT(CONCATENATE("000",FTG_Data1920!A1203),6),3)))</f>
        <v>246-913</v>
      </c>
      <c r="C1203" s="105">
        <v>8341</v>
      </c>
      <c r="D1203" s="105">
        <v>8098</v>
      </c>
    </row>
    <row r="1204" spans="1:4" ht="14.5">
      <c r="A1204" t="s">
        <v>5899</v>
      </c>
      <c r="B1204" s="380" t="str">
        <f>CONCATENATE(LEFT(RIGHT(CONCATENATE("000",FTG_Data1920!A1204),6),3),"-",(RIGHT(RIGHT(CONCATENATE("000",FTG_Data1920!A1204),6),3)))</f>
        <v>246-914</v>
      </c>
      <c r="C1204" s="105">
        <v>11354</v>
      </c>
      <c r="D1204" s="105">
        <v>11024</v>
      </c>
    </row>
    <row r="1205" spans="1:4" ht="14.5">
      <c r="A1205" t="s">
        <v>3267</v>
      </c>
      <c r="B1205" s="380" t="str">
        <f>CONCATENATE(LEFT(RIGHT(CONCATENATE("000",FTG_Data1920!A1205),6),3),"-",(RIGHT(RIGHT(CONCATENATE("000",FTG_Data1920!A1205),6),3)))</f>
        <v>247-901</v>
      </c>
      <c r="C1205" s="105">
        <v>8500</v>
      </c>
      <c r="D1205" s="105">
        <v>8252</v>
      </c>
    </row>
    <row r="1206" spans="1:4" ht="14.5">
      <c r="A1206" t="s">
        <v>3268</v>
      </c>
      <c r="B1206" s="380" t="str">
        <f>CONCATENATE(LEFT(RIGHT(CONCATENATE("000",FTG_Data1920!A1206),6),3),"-",(RIGHT(RIGHT(CONCATENATE("000",FTG_Data1920!A1206),6),3)))</f>
        <v>247-903</v>
      </c>
      <c r="C1206" s="105">
        <v>8264</v>
      </c>
      <c r="D1206" s="105">
        <v>8023</v>
      </c>
    </row>
    <row r="1207" spans="1:4" ht="14.5">
      <c r="A1207" t="s">
        <v>3269</v>
      </c>
      <c r="B1207" s="380" t="str">
        <f>CONCATENATE(LEFT(RIGHT(CONCATENATE("000",FTG_Data1920!A1207),6),3),"-",(RIGHT(RIGHT(CONCATENATE("000",FTG_Data1920!A1207),6),3)))</f>
        <v>247-904</v>
      </c>
      <c r="C1207" s="105">
        <v>10059</v>
      </c>
      <c r="D1207" s="105">
        <v>9766</v>
      </c>
    </row>
    <row r="1208" spans="1:4" ht="14.5">
      <c r="A1208" t="s">
        <v>3270</v>
      </c>
      <c r="B1208" s="380" t="str">
        <f>CONCATENATE(LEFT(RIGHT(CONCATENATE("000",FTG_Data1920!A1208),6),3),"-",(RIGHT(RIGHT(CONCATENATE("000",FTG_Data1920!A1208),6),3)))</f>
        <v>247-906</v>
      </c>
      <c r="C1208" s="105">
        <v>10718</v>
      </c>
      <c r="D1208" s="105">
        <v>10406</v>
      </c>
    </row>
    <row r="1209" spans="1:4" ht="14.5">
      <c r="A1209" t="s">
        <v>5308</v>
      </c>
      <c r="B1209" s="380" t="str">
        <f>CONCATENATE(LEFT(RIGHT(CONCATENATE("000",FTG_Data1920!A1209),6),3),"-",(RIGHT(RIGHT(CONCATENATE("000",FTG_Data1920!A1209),6),3)))</f>
        <v>248-901</v>
      </c>
      <c r="C1209" s="105">
        <v>11849</v>
      </c>
      <c r="D1209" s="105">
        <v>14663</v>
      </c>
    </row>
    <row r="1210" spans="1:4" ht="14.5">
      <c r="A1210" t="s">
        <v>5309</v>
      </c>
      <c r="B1210" s="380" t="str">
        <f>CONCATENATE(LEFT(RIGHT(CONCATENATE("000",FTG_Data1920!A1210),6),3),"-",(RIGHT(RIGHT(CONCATENATE("000",FTG_Data1920!A1210),6),3)))</f>
        <v>248-902</v>
      </c>
      <c r="C1210" s="105">
        <v>11849</v>
      </c>
      <c r="D1210" s="105">
        <v>35874</v>
      </c>
    </row>
    <row r="1211" spans="1:4" ht="14.5">
      <c r="A1211" t="s">
        <v>3271</v>
      </c>
      <c r="B1211" s="380" t="str">
        <f>CONCATENATE(LEFT(RIGHT(CONCATENATE("000",FTG_Data1920!A1211),6),3),"-",(RIGHT(RIGHT(CONCATENATE("000",FTG_Data1920!A1211),6),3)))</f>
        <v>249-901</v>
      </c>
      <c r="C1211" s="105">
        <v>11849</v>
      </c>
      <c r="D1211" s="105">
        <v>12019</v>
      </c>
    </row>
    <row r="1212" spans="1:4" ht="14.5">
      <c r="A1212" t="s">
        <v>5310</v>
      </c>
      <c r="B1212" s="380" t="str">
        <f>CONCATENATE(LEFT(RIGHT(CONCATENATE("000",FTG_Data1920!A1212),6),3),"-",(RIGHT(RIGHT(CONCATENATE("000",FTG_Data1920!A1212),6),3)))</f>
        <v>249-902</v>
      </c>
      <c r="C1212" s="105">
        <v>9851</v>
      </c>
      <c r="D1212" s="105">
        <v>9564</v>
      </c>
    </row>
    <row r="1213" spans="1:4" ht="14.5">
      <c r="A1213" t="s">
        <v>5311</v>
      </c>
      <c r="B1213" s="380" t="str">
        <f>CONCATENATE(LEFT(RIGHT(CONCATENATE("000",FTG_Data1920!A1213),6),3),"-",(RIGHT(RIGHT(CONCATENATE("000",FTG_Data1920!A1213),6),3)))</f>
        <v>249-903</v>
      </c>
      <c r="C1213" s="105">
        <v>9758</v>
      </c>
      <c r="D1213" s="105">
        <v>9474</v>
      </c>
    </row>
    <row r="1214" spans="1:4" ht="14.5">
      <c r="A1214" t="s">
        <v>5312</v>
      </c>
      <c r="B1214" s="380" t="str">
        <f>CONCATENATE(LEFT(RIGHT(CONCATENATE("000",FTG_Data1920!A1214),6),3),"-",(RIGHT(RIGHT(CONCATENATE("000",FTG_Data1920!A1214),6),3)))</f>
        <v>249-904</v>
      </c>
      <c r="C1214" s="105">
        <v>11849</v>
      </c>
      <c r="D1214" s="105">
        <v>12916</v>
      </c>
    </row>
    <row r="1215" spans="1:4" ht="14.5">
      <c r="A1215" t="s">
        <v>5313</v>
      </c>
      <c r="B1215" s="380" t="str">
        <f>CONCATENATE(LEFT(RIGHT(CONCATENATE("000",FTG_Data1920!A1215),6),3),"-",(RIGHT(RIGHT(CONCATENATE("000",FTG_Data1920!A1215),6),3)))</f>
        <v>249-905</v>
      </c>
      <c r="C1215" s="105">
        <v>9429</v>
      </c>
      <c r="D1215" s="105">
        <v>9154</v>
      </c>
    </row>
    <row r="1216" spans="1:4" ht="14.5">
      <c r="A1216" t="s">
        <v>3272</v>
      </c>
      <c r="B1216" s="380" t="str">
        <f>CONCATENATE(LEFT(RIGHT(CONCATENATE("000",FTG_Data1920!A1216),6),3),"-",(RIGHT(RIGHT(CONCATENATE("000",FTG_Data1920!A1216),6),3)))</f>
        <v>249-906</v>
      </c>
      <c r="C1216" s="105">
        <v>9723</v>
      </c>
      <c r="D1216" s="105">
        <v>9440</v>
      </c>
    </row>
    <row r="1217" spans="1:4" ht="14.5">
      <c r="A1217" t="s">
        <v>3273</v>
      </c>
      <c r="B1217" s="380" t="str">
        <f>CONCATENATE(LEFT(RIGHT(CONCATENATE("000",FTG_Data1920!A1217),6),3),"-",(RIGHT(RIGHT(CONCATENATE("000",FTG_Data1920!A1217),6),3)))</f>
        <v>249-908</v>
      </c>
      <c r="C1217" s="105">
        <v>11849</v>
      </c>
      <c r="D1217" s="105">
        <v>12025</v>
      </c>
    </row>
    <row r="1218" spans="1:4" ht="14.5">
      <c r="A1218" t="s">
        <v>5314</v>
      </c>
      <c r="B1218" s="380" t="str">
        <f>CONCATENATE(LEFT(RIGHT(CONCATENATE("000",FTG_Data1920!A1218),6),3),"-",(RIGHT(RIGHT(CONCATENATE("000",FTG_Data1920!A1218),6),3)))</f>
        <v>250-902</v>
      </c>
      <c r="C1218" s="105">
        <v>11849</v>
      </c>
      <c r="D1218" s="105">
        <v>12405</v>
      </c>
    </row>
    <row r="1219" spans="1:4" ht="14.5">
      <c r="A1219" t="s">
        <v>5900</v>
      </c>
      <c r="B1219" s="380" t="str">
        <f>CONCATENATE(LEFT(RIGHT(CONCATENATE("000",FTG_Data1920!A1219),6),3),"-",(RIGHT(RIGHT(CONCATENATE("000",FTG_Data1920!A1219),6),3)))</f>
        <v>250-903</v>
      </c>
      <c r="C1219" s="105">
        <v>10348</v>
      </c>
      <c r="D1219" s="105">
        <v>10047</v>
      </c>
    </row>
    <row r="1220" spans="1:4" ht="14.5">
      <c r="A1220" t="s">
        <v>5315</v>
      </c>
      <c r="B1220" s="380" t="str">
        <f>CONCATENATE(LEFT(RIGHT(CONCATENATE("000",FTG_Data1920!A1220),6),3),"-",(RIGHT(RIGHT(CONCATENATE("000",FTG_Data1920!A1220),6),3)))</f>
        <v>250-904</v>
      </c>
      <c r="C1220" s="105">
        <v>11466</v>
      </c>
      <c r="D1220" s="105">
        <v>11132</v>
      </c>
    </row>
    <row r="1221" spans="1:4" ht="14.5">
      <c r="A1221" t="s">
        <v>5316</v>
      </c>
      <c r="B1221" s="380" t="str">
        <f>CONCATENATE(LEFT(RIGHT(CONCATENATE("000",FTG_Data1920!A1221),6),3),"-",(RIGHT(RIGHT(CONCATENATE("000",FTG_Data1920!A1221),6),3)))</f>
        <v>250-905</v>
      </c>
      <c r="C1221" s="105">
        <v>11849</v>
      </c>
      <c r="D1221" s="105">
        <v>11923</v>
      </c>
    </row>
    <row r="1222" spans="1:4" ht="14.5">
      <c r="A1222" t="s">
        <v>5317</v>
      </c>
      <c r="B1222" s="380" t="str">
        <f>CONCATENATE(LEFT(RIGHT(CONCATENATE("000",FTG_Data1920!A1222),6),3),"-",(RIGHT(RIGHT(CONCATENATE("000",FTG_Data1920!A1222),6),3)))</f>
        <v>250-906</v>
      </c>
      <c r="C1222" s="105">
        <v>11379</v>
      </c>
      <c r="D1222" s="105">
        <v>11048</v>
      </c>
    </row>
    <row r="1223" spans="1:4" ht="14.5">
      <c r="A1223" t="s">
        <v>5901</v>
      </c>
      <c r="B1223" s="380" t="str">
        <f>CONCATENATE(LEFT(RIGHT(CONCATENATE("000",FTG_Data1920!A1223),6),3),"-",(RIGHT(RIGHT(CONCATENATE("000",FTG_Data1920!A1223),6),3)))</f>
        <v>250-907</v>
      </c>
      <c r="C1223" s="105">
        <v>10164</v>
      </c>
      <c r="D1223" s="105">
        <v>9868</v>
      </c>
    </row>
    <row r="1224" spans="1:4" ht="14.5">
      <c r="A1224" t="s">
        <v>5318</v>
      </c>
      <c r="B1224" s="380" t="str">
        <f>CONCATENATE(LEFT(RIGHT(CONCATENATE("000",FTG_Data1920!A1224),6),3),"-",(RIGHT(RIGHT(CONCATENATE("000",FTG_Data1920!A1224),6),3)))</f>
        <v>251-901</v>
      </c>
      <c r="C1224" s="105">
        <v>10582</v>
      </c>
      <c r="D1224" s="105">
        <v>9343</v>
      </c>
    </row>
    <row r="1225" spans="1:4" ht="14.5">
      <c r="A1225" t="s">
        <v>5319</v>
      </c>
      <c r="B1225" s="380" t="str">
        <f>CONCATENATE(LEFT(RIGHT(CONCATENATE("000",FTG_Data1920!A1225),6),3),"-",(RIGHT(RIGHT(CONCATENATE("000",FTG_Data1920!A1225),6),3)))</f>
        <v>251-902</v>
      </c>
      <c r="C1225" s="105">
        <v>11849</v>
      </c>
      <c r="D1225" s="105">
        <v>18350</v>
      </c>
    </row>
    <row r="1226" spans="1:4" ht="14.5">
      <c r="A1226" t="s">
        <v>3274</v>
      </c>
      <c r="B1226" s="380" t="str">
        <f>CONCATENATE(LEFT(RIGHT(CONCATENATE("000",FTG_Data1920!A1226),6),3),"-",(RIGHT(RIGHT(CONCATENATE("000",FTG_Data1920!A1226),6),3)))</f>
        <v>252-901</v>
      </c>
      <c r="C1226" s="105">
        <v>9077</v>
      </c>
      <c r="D1226" s="105">
        <v>8812</v>
      </c>
    </row>
    <row r="1227" spans="1:4" ht="14.5">
      <c r="A1227" t="s">
        <v>5320</v>
      </c>
      <c r="B1227" s="380" t="str">
        <f>CONCATENATE(LEFT(RIGHT(CONCATENATE("000",FTG_Data1920!A1227),6),3),"-",(RIGHT(RIGHT(CONCATENATE("000",FTG_Data1920!A1227),6),3)))</f>
        <v>252-902</v>
      </c>
      <c r="C1227" s="105">
        <v>11849</v>
      </c>
      <c r="D1227" s="105">
        <v>12658</v>
      </c>
    </row>
    <row r="1228" spans="1:4" ht="14.5">
      <c r="A1228" t="s">
        <v>3275</v>
      </c>
      <c r="B1228" s="380" t="str">
        <f>CONCATENATE(LEFT(RIGHT(CONCATENATE("000",FTG_Data1920!A1228),6),3),"-",(RIGHT(RIGHT(CONCATENATE("000",FTG_Data1920!A1228),6),3)))</f>
        <v>252-903</v>
      </c>
      <c r="C1228" s="105">
        <v>11849</v>
      </c>
      <c r="D1228" s="105">
        <v>12853</v>
      </c>
    </row>
    <row r="1229" spans="1:4" ht="14.5">
      <c r="A1229" t="s">
        <v>5902</v>
      </c>
      <c r="B1229" s="380" t="str">
        <f>CONCATENATE(LEFT(RIGHT(CONCATENATE("000",FTG_Data1920!A1229),6),3),"-",(RIGHT(RIGHT(CONCATENATE("000",FTG_Data1920!A1229),6),3)))</f>
        <v>253-901</v>
      </c>
      <c r="C1229" s="105">
        <v>8966</v>
      </c>
      <c r="D1229" s="105">
        <v>8705</v>
      </c>
    </row>
    <row r="1230" spans="1:4" ht="14.5">
      <c r="A1230" t="s">
        <v>3276</v>
      </c>
      <c r="B1230" s="380" t="str">
        <f>CONCATENATE(LEFT(RIGHT(CONCATENATE("000",FTG_Data1920!A1230),6),3),"-",(RIGHT(RIGHT(CONCATENATE("000",FTG_Data1920!A1230),6),3)))</f>
        <v>254-901</v>
      </c>
      <c r="C1230" s="105">
        <v>11121</v>
      </c>
      <c r="D1230" s="105">
        <v>10798</v>
      </c>
    </row>
    <row r="1231" spans="1:4" ht="14.5">
      <c r="A1231" t="s">
        <v>3277</v>
      </c>
      <c r="B1231" s="380" t="str">
        <f>CONCATENATE(LEFT(RIGHT(CONCATENATE("000",FTG_Data1920!A1231),6),3),"-",(RIGHT(RIGHT(CONCATENATE("000",FTG_Data1920!A1231),6),3)))</f>
        <v>254-902</v>
      </c>
      <c r="C1231" s="105">
        <v>11849</v>
      </c>
      <c r="D1231" s="105">
        <v>15005</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1017"/>
  <sheetViews>
    <sheetView topLeftCell="C778" workbookViewId="0">
      <selection activeCell="I788" sqref="I788"/>
    </sheetView>
  </sheetViews>
  <sheetFormatPr defaultRowHeight="12.5"/>
  <cols>
    <col min="1" max="1" width="15.90625" customWidth="1"/>
    <col min="2" max="2" width="15.90625" style="2042" customWidth="1"/>
    <col min="3" max="3" width="20.90625" customWidth="1"/>
    <col min="4" max="9" width="20.6328125" style="2043" customWidth="1"/>
  </cols>
  <sheetData>
    <row r="1" spans="1:9" s="41" customFormat="1">
      <c r="B1" s="41">
        <v>1</v>
      </c>
      <c r="D1" s="186">
        <v>3</v>
      </c>
      <c r="E1" s="186">
        <v>4</v>
      </c>
      <c r="F1" s="186">
        <v>5</v>
      </c>
      <c r="G1" s="186">
        <v>6</v>
      </c>
      <c r="H1" s="186">
        <v>7</v>
      </c>
      <c r="I1" s="186">
        <v>8</v>
      </c>
    </row>
    <row r="2" spans="1:9" s="41" customFormat="1">
      <c r="A2" s="41" t="s">
        <v>5993</v>
      </c>
      <c r="C2" s="41" t="s">
        <v>5994</v>
      </c>
      <c r="D2" s="186" t="s">
        <v>10570</v>
      </c>
      <c r="E2" s="186" t="s">
        <v>10571</v>
      </c>
      <c r="F2" s="186" t="s">
        <v>5996</v>
      </c>
      <c r="G2" s="186" t="s">
        <v>5995</v>
      </c>
      <c r="H2" s="186" t="s">
        <v>7887</v>
      </c>
      <c r="I2" s="186" t="s">
        <v>7889</v>
      </c>
    </row>
    <row r="3" spans="1:9" ht="14.5">
      <c r="A3" t="s">
        <v>9433</v>
      </c>
      <c r="B3" s="2113" t="str">
        <f t="shared" ref="B3:B66" si="0">CONCATENATE(RIGHT(LEFT(CONCATENATE("000",A3),6),3),"-",(LEFT(RIGHT(CONCATENATE("000",A3),6),3)))</f>
        <v>001-902</v>
      </c>
      <c r="C3" t="s">
        <v>5997</v>
      </c>
      <c r="D3" s="2043">
        <v>15958237</v>
      </c>
      <c r="E3" s="2043">
        <v>0</v>
      </c>
      <c r="F3" s="2043">
        <v>300545328</v>
      </c>
      <c r="G3" s="2043">
        <v>295042091</v>
      </c>
      <c r="H3" s="2043">
        <v>300545328</v>
      </c>
      <c r="I3" s="2043">
        <v>295042091</v>
      </c>
    </row>
    <row r="4" spans="1:9" ht="14.5">
      <c r="A4" t="s">
        <v>9434</v>
      </c>
      <c r="B4" s="2113" t="str">
        <f t="shared" si="0"/>
        <v>001-903</v>
      </c>
      <c r="C4" t="s">
        <v>5998</v>
      </c>
      <c r="D4" s="2043">
        <v>36882539</v>
      </c>
      <c r="E4" s="2043">
        <v>0</v>
      </c>
      <c r="F4" s="2043">
        <v>313421657</v>
      </c>
      <c r="G4" s="2043">
        <v>300149118</v>
      </c>
      <c r="H4" s="2043">
        <v>313421657</v>
      </c>
      <c r="I4" s="2043">
        <v>300149118</v>
      </c>
    </row>
    <row r="5" spans="1:9" ht="14.5">
      <c r="A5" t="s">
        <v>9435</v>
      </c>
      <c r="B5" s="2113" t="str">
        <f t="shared" si="0"/>
        <v>001-904</v>
      </c>
      <c r="C5" t="s">
        <v>5999</v>
      </c>
      <c r="D5" s="2043">
        <v>29514238</v>
      </c>
      <c r="E5" s="2043">
        <v>0</v>
      </c>
      <c r="F5" s="2043">
        <v>298371746</v>
      </c>
      <c r="G5" s="2043">
        <v>288267508</v>
      </c>
      <c r="H5" s="2043">
        <v>298371746</v>
      </c>
      <c r="I5" s="2043">
        <v>288267508</v>
      </c>
    </row>
    <row r="6" spans="1:9" ht="14.5">
      <c r="A6" t="s">
        <v>9436</v>
      </c>
      <c r="B6" s="2113" t="str">
        <f t="shared" si="0"/>
        <v>001-906</v>
      </c>
      <c r="C6" t="s">
        <v>6000</v>
      </c>
      <c r="D6" s="2043">
        <v>10421983</v>
      </c>
      <c r="E6" s="2043">
        <v>0</v>
      </c>
      <c r="F6" s="2043">
        <v>118294409</v>
      </c>
      <c r="G6" s="2043">
        <v>114757426</v>
      </c>
      <c r="H6" s="2043">
        <v>118294409</v>
      </c>
      <c r="I6" s="2043">
        <v>114757426</v>
      </c>
    </row>
    <row r="7" spans="1:9" ht="14.5">
      <c r="A7" t="s">
        <v>9437</v>
      </c>
      <c r="B7" s="2113" t="str">
        <f t="shared" si="0"/>
        <v>001-907</v>
      </c>
      <c r="C7" t="s">
        <v>6001</v>
      </c>
      <c r="D7" s="2043">
        <v>109427999</v>
      </c>
      <c r="E7" s="2043">
        <v>0</v>
      </c>
      <c r="F7" s="2043">
        <v>1188566317</v>
      </c>
      <c r="G7" s="2043">
        <v>1147718318</v>
      </c>
      <c r="H7" s="2043">
        <v>1188566317</v>
      </c>
      <c r="I7" s="2043">
        <v>1147718318</v>
      </c>
    </row>
    <row r="8" spans="1:9" ht="14.5">
      <c r="A8" t="s">
        <v>9438</v>
      </c>
      <c r="B8" s="2113" t="str">
        <f t="shared" si="0"/>
        <v>001-908</v>
      </c>
      <c r="C8" t="s">
        <v>6002</v>
      </c>
      <c r="D8" s="2043">
        <v>46231933</v>
      </c>
      <c r="E8" s="2043">
        <v>0</v>
      </c>
      <c r="F8" s="2043">
        <v>532243548</v>
      </c>
      <c r="G8" s="2043">
        <v>515291615</v>
      </c>
      <c r="H8" s="2043">
        <v>532243548</v>
      </c>
      <c r="I8" s="2043">
        <v>515291615</v>
      </c>
    </row>
    <row r="9" spans="1:9" ht="14.5">
      <c r="A9" t="s">
        <v>9439</v>
      </c>
      <c r="B9" s="2113" t="str">
        <f t="shared" si="0"/>
        <v>001-909</v>
      </c>
      <c r="C9" t="s">
        <v>6003</v>
      </c>
      <c r="D9" s="2043">
        <v>14833200</v>
      </c>
      <c r="E9" s="2043">
        <v>0</v>
      </c>
      <c r="F9" s="2043">
        <v>127302970</v>
      </c>
      <c r="G9" s="2043">
        <v>122144770</v>
      </c>
      <c r="H9" s="2043">
        <v>127302970</v>
      </c>
      <c r="I9" s="2043">
        <v>122144770</v>
      </c>
    </row>
    <row r="10" spans="1:9" ht="14.5">
      <c r="A10" t="s">
        <v>10572</v>
      </c>
      <c r="B10" s="2113" t="str">
        <f t="shared" si="0"/>
        <v>002-901</v>
      </c>
      <c r="C10" t="s">
        <v>6004</v>
      </c>
      <c r="D10" s="2043">
        <v>94200745</v>
      </c>
      <c r="E10" s="2043">
        <v>50254850</v>
      </c>
      <c r="F10" s="2043">
        <v>4797127479</v>
      </c>
      <c r="G10" s="2043">
        <v>4762056734</v>
      </c>
      <c r="H10" s="2043">
        <v>4847382329</v>
      </c>
      <c r="I10" s="2043">
        <v>4812311584</v>
      </c>
    </row>
    <row r="11" spans="1:9" ht="14.5">
      <c r="A11" t="s">
        <v>10573</v>
      </c>
      <c r="B11" s="2113" t="str">
        <f t="shared" si="0"/>
        <v>003-902</v>
      </c>
      <c r="C11" t="s">
        <v>6005</v>
      </c>
      <c r="D11" s="2043">
        <v>59273417</v>
      </c>
      <c r="E11" s="2043">
        <v>0</v>
      </c>
      <c r="F11" s="2043">
        <v>585221255</v>
      </c>
      <c r="G11" s="2043">
        <v>569087838</v>
      </c>
      <c r="H11" s="2043">
        <v>585221255</v>
      </c>
      <c r="I11" s="2043">
        <v>569087838</v>
      </c>
    </row>
    <row r="12" spans="1:9" ht="14.5">
      <c r="A12" t="s">
        <v>9440</v>
      </c>
      <c r="B12" s="2113" t="str">
        <f t="shared" si="0"/>
        <v>003-903</v>
      </c>
      <c r="C12" t="s">
        <v>6006</v>
      </c>
      <c r="D12" s="2043">
        <v>209012350</v>
      </c>
      <c r="E12" s="2043">
        <v>0</v>
      </c>
      <c r="F12" s="2043">
        <v>2742094771</v>
      </c>
      <c r="G12" s="2043">
        <v>2676422421</v>
      </c>
      <c r="H12" s="2043">
        <v>2742094771</v>
      </c>
      <c r="I12" s="2043">
        <v>2676422421</v>
      </c>
    </row>
    <row r="13" spans="1:9" ht="14.5">
      <c r="A13" t="s">
        <v>9441</v>
      </c>
      <c r="B13" s="2113" t="str">
        <f t="shared" si="0"/>
        <v>003-904</v>
      </c>
      <c r="C13" t="s">
        <v>6007</v>
      </c>
      <c r="D13" s="2043">
        <v>51191241</v>
      </c>
      <c r="E13" s="2043">
        <v>0</v>
      </c>
      <c r="F13" s="2043">
        <v>416579118</v>
      </c>
      <c r="G13" s="2043">
        <v>408302877</v>
      </c>
      <c r="H13" s="2043">
        <v>416579118</v>
      </c>
      <c r="I13" s="2043">
        <v>408302877</v>
      </c>
    </row>
    <row r="14" spans="1:9" ht="14.5">
      <c r="A14" t="s">
        <v>9442</v>
      </c>
      <c r="B14" s="2113" t="str">
        <f t="shared" si="0"/>
        <v>003-905</v>
      </c>
      <c r="C14" t="s">
        <v>6008</v>
      </c>
      <c r="D14" s="2043">
        <v>38788074</v>
      </c>
      <c r="E14" s="2043">
        <v>0</v>
      </c>
      <c r="F14" s="2043">
        <v>330252774</v>
      </c>
      <c r="G14" s="2043">
        <v>319184700</v>
      </c>
      <c r="H14" s="2043">
        <v>330252774</v>
      </c>
      <c r="I14" s="2043">
        <v>319184700</v>
      </c>
    </row>
    <row r="15" spans="1:9" ht="14.5">
      <c r="A15" t="s">
        <v>9443</v>
      </c>
      <c r="B15" s="2113" t="str">
        <f t="shared" si="0"/>
        <v>003-906</v>
      </c>
      <c r="C15" t="s">
        <v>6009</v>
      </c>
      <c r="D15" s="2043">
        <v>19473583</v>
      </c>
      <c r="E15" s="2043">
        <v>0</v>
      </c>
      <c r="F15" s="2043">
        <v>119728896</v>
      </c>
      <c r="G15" s="2043">
        <v>117220313</v>
      </c>
      <c r="H15" s="2043">
        <v>119728896</v>
      </c>
      <c r="I15" s="2043">
        <v>117220313</v>
      </c>
    </row>
    <row r="16" spans="1:9" ht="14.5">
      <c r="A16" t="s">
        <v>10574</v>
      </c>
      <c r="B16" s="2113" t="str">
        <f t="shared" si="0"/>
        <v>003-907</v>
      </c>
      <c r="C16" t="s">
        <v>6010</v>
      </c>
      <c r="D16" s="2043">
        <v>45331026</v>
      </c>
      <c r="E16" s="2043">
        <v>0</v>
      </c>
      <c r="F16" s="2043">
        <v>302707087</v>
      </c>
      <c r="G16" s="2043">
        <v>293781061</v>
      </c>
      <c r="H16" s="2043">
        <v>302707087</v>
      </c>
      <c r="I16" s="2043">
        <v>293781061</v>
      </c>
    </row>
    <row r="17" spans="1:9" ht="14.5">
      <c r="A17" t="s">
        <v>9444</v>
      </c>
      <c r="B17" s="2113" t="str">
        <f t="shared" si="0"/>
        <v>004-901</v>
      </c>
      <c r="C17" t="s">
        <v>6011</v>
      </c>
      <c r="D17" s="2043">
        <v>138201025</v>
      </c>
      <c r="E17" s="2043">
        <v>0</v>
      </c>
      <c r="F17" s="2043">
        <v>3331097545</v>
      </c>
      <c r="G17" s="2043">
        <v>3280496520</v>
      </c>
      <c r="H17" s="2043">
        <v>3331097545</v>
      </c>
      <c r="I17" s="2043">
        <v>3280496520</v>
      </c>
    </row>
    <row r="18" spans="1:9" ht="14.5">
      <c r="A18" t="s">
        <v>10575</v>
      </c>
      <c r="B18" s="2113" t="str">
        <f t="shared" si="0"/>
        <v>005-901</v>
      </c>
      <c r="C18" t="s">
        <v>6012</v>
      </c>
      <c r="D18" s="2043">
        <v>18416330</v>
      </c>
      <c r="E18" s="2043">
        <v>172131340</v>
      </c>
      <c r="F18" s="2043">
        <v>270644501</v>
      </c>
      <c r="G18" s="2043">
        <v>263628171</v>
      </c>
      <c r="H18" s="2043">
        <v>442775841</v>
      </c>
      <c r="I18" s="2043">
        <v>435759511</v>
      </c>
    </row>
    <row r="19" spans="1:9" ht="14.5">
      <c r="A19" t="s">
        <v>9445</v>
      </c>
      <c r="B19" s="2113" t="str">
        <f t="shared" si="0"/>
        <v>005-902</v>
      </c>
      <c r="C19" t="s">
        <v>6013</v>
      </c>
      <c r="D19" s="2043">
        <v>34148837</v>
      </c>
      <c r="E19" s="2043">
        <v>0</v>
      </c>
      <c r="F19" s="2043">
        <v>423349461</v>
      </c>
      <c r="G19" s="2043">
        <v>410230624</v>
      </c>
      <c r="H19" s="2043">
        <v>423349461</v>
      </c>
      <c r="I19" s="2043">
        <v>410230624</v>
      </c>
    </row>
    <row r="20" spans="1:9" ht="14.5">
      <c r="A20" t="s">
        <v>9446</v>
      </c>
      <c r="B20" s="2113" t="str">
        <f t="shared" si="0"/>
        <v>005-904</v>
      </c>
      <c r="C20" t="s">
        <v>6014</v>
      </c>
      <c r="D20" s="2043">
        <v>9823060</v>
      </c>
      <c r="E20" s="2043">
        <v>0</v>
      </c>
      <c r="F20" s="2043">
        <v>97975495</v>
      </c>
      <c r="G20" s="2043">
        <v>94167435</v>
      </c>
      <c r="H20" s="2043">
        <v>97975495</v>
      </c>
      <c r="I20" s="2043">
        <v>94167435</v>
      </c>
    </row>
    <row r="21" spans="1:9" ht="14.5">
      <c r="A21" t="s">
        <v>9447</v>
      </c>
      <c r="B21" s="2113" t="str">
        <f t="shared" si="0"/>
        <v>006-902</v>
      </c>
      <c r="C21" t="s">
        <v>6015</v>
      </c>
      <c r="D21" s="2043">
        <v>12378220</v>
      </c>
      <c r="E21" s="2043">
        <v>34878780</v>
      </c>
      <c r="F21" s="2043">
        <v>215742676</v>
      </c>
      <c r="G21" s="2043">
        <v>210924456</v>
      </c>
      <c r="H21" s="2043">
        <v>250621456</v>
      </c>
      <c r="I21" s="2043">
        <v>245803236</v>
      </c>
    </row>
    <row r="22" spans="1:9" ht="14.5">
      <c r="A22" t="s">
        <v>9448</v>
      </c>
      <c r="B22" s="2113" t="str">
        <f t="shared" si="0"/>
        <v>007-901</v>
      </c>
      <c r="C22" t="s">
        <v>6016</v>
      </c>
      <c r="D22" s="2043">
        <v>11041734</v>
      </c>
      <c r="E22" s="2043">
        <v>0</v>
      </c>
      <c r="F22" s="2043">
        <v>320194392</v>
      </c>
      <c r="G22" s="2043">
        <v>316187658</v>
      </c>
      <c r="H22" s="2043">
        <v>320194392</v>
      </c>
      <c r="I22" s="2043">
        <v>316187658</v>
      </c>
    </row>
    <row r="23" spans="1:9" ht="14.5">
      <c r="A23" t="s">
        <v>9449</v>
      </c>
      <c r="B23" s="2113" t="str">
        <f t="shared" si="0"/>
        <v>007-902</v>
      </c>
      <c r="C23" t="s">
        <v>6017</v>
      </c>
      <c r="D23" s="2043">
        <v>31896512</v>
      </c>
      <c r="E23" s="2043">
        <v>0</v>
      </c>
      <c r="F23" s="2043">
        <v>943294233</v>
      </c>
      <c r="G23" s="2043">
        <v>931242721</v>
      </c>
      <c r="H23" s="2043">
        <v>943294233</v>
      </c>
      <c r="I23" s="2043">
        <v>931242721</v>
      </c>
    </row>
    <row r="24" spans="1:9" ht="14.5">
      <c r="A24" t="s">
        <v>9450</v>
      </c>
      <c r="B24" s="2113" t="str">
        <f t="shared" si="0"/>
        <v>007-904</v>
      </c>
      <c r="C24" t="s">
        <v>6018</v>
      </c>
      <c r="D24" s="2043">
        <v>37474233</v>
      </c>
      <c r="E24" s="2043">
        <v>0</v>
      </c>
      <c r="F24" s="2043">
        <v>401356216</v>
      </c>
      <c r="G24" s="2043">
        <v>387071983</v>
      </c>
      <c r="H24" s="2043">
        <v>401356216</v>
      </c>
      <c r="I24" s="2043">
        <v>387071983</v>
      </c>
    </row>
    <row r="25" spans="1:9" ht="14.5">
      <c r="A25" t="s">
        <v>9451</v>
      </c>
      <c r="B25" s="2113" t="str">
        <f t="shared" si="0"/>
        <v>007-905</v>
      </c>
      <c r="C25" t="s">
        <v>6019</v>
      </c>
      <c r="D25" s="2043">
        <v>88441184</v>
      </c>
      <c r="E25" s="2043">
        <v>0</v>
      </c>
      <c r="F25" s="2043">
        <v>2203983740</v>
      </c>
      <c r="G25" s="2043">
        <v>2169752556</v>
      </c>
      <c r="H25" s="2043">
        <v>2203983740</v>
      </c>
      <c r="I25" s="2043">
        <v>2169752556</v>
      </c>
    </row>
    <row r="26" spans="1:9" ht="14.5">
      <c r="A26" t="s">
        <v>9452</v>
      </c>
      <c r="B26" s="2113" t="str">
        <f t="shared" si="0"/>
        <v>007-906</v>
      </c>
      <c r="C26" t="s">
        <v>6020</v>
      </c>
      <c r="D26" s="2043">
        <v>43995853</v>
      </c>
      <c r="E26" s="2043">
        <v>0</v>
      </c>
      <c r="F26" s="2043">
        <v>455876438</v>
      </c>
      <c r="G26" s="2043">
        <v>439240585</v>
      </c>
      <c r="H26" s="2043">
        <v>455876438</v>
      </c>
      <c r="I26" s="2043">
        <v>439240585</v>
      </c>
    </row>
    <row r="27" spans="1:9" ht="14.5">
      <c r="A27" t="s">
        <v>9453</v>
      </c>
      <c r="B27" s="2113" t="str">
        <f t="shared" si="0"/>
        <v>008-901</v>
      </c>
      <c r="C27" t="s">
        <v>6021</v>
      </c>
      <c r="D27" s="2043">
        <v>84805779</v>
      </c>
      <c r="E27" s="2043">
        <v>0</v>
      </c>
      <c r="F27" s="2043">
        <v>1532903038</v>
      </c>
      <c r="G27" s="2043">
        <v>1502772259</v>
      </c>
      <c r="H27" s="2043">
        <v>1532903038</v>
      </c>
      <c r="I27" s="2043">
        <v>1502772259</v>
      </c>
    </row>
    <row r="28" spans="1:9" ht="14.5">
      <c r="A28" t="s">
        <v>9454</v>
      </c>
      <c r="B28" s="2113" t="str">
        <f t="shared" si="0"/>
        <v>008-902</v>
      </c>
      <c r="C28" t="s">
        <v>6022</v>
      </c>
      <c r="D28" s="2043">
        <v>82384171</v>
      </c>
      <c r="E28" s="2043">
        <v>0</v>
      </c>
      <c r="F28" s="2043">
        <v>1564553627</v>
      </c>
      <c r="G28" s="2043">
        <v>1535569456</v>
      </c>
      <c r="H28" s="2043">
        <v>1564553627</v>
      </c>
      <c r="I28" s="2043">
        <v>1535569456</v>
      </c>
    </row>
    <row r="29" spans="1:9" ht="14.5">
      <c r="A29" t="s">
        <v>9455</v>
      </c>
      <c r="B29" s="2113" t="str">
        <f t="shared" si="0"/>
        <v>008-903</v>
      </c>
      <c r="C29" t="s">
        <v>6023</v>
      </c>
      <c r="D29" s="2043">
        <v>25018994</v>
      </c>
      <c r="E29" s="2043">
        <v>0</v>
      </c>
      <c r="F29" s="2043">
        <v>392789171</v>
      </c>
      <c r="G29" s="2043">
        <v>384300177</v>
      </c>
      <c r="H29" s="2043">
        <v>392789171</v>
      </c>
      <c r="I29" s="2043">
        <v>384300177</v>
      </c>
    </row>
    <row r="30" spans="1:9" ht="14.5">
      <c r="A30" t="s">
        <v>9456</v>
      </c>
      <c r="B30" s="2113" t="str">
        <f t="shared" si="0"/>
        <v>009-901</v>
      </c>
      <c r="C30" t="s">
        <v>6024</v>
      </c>
      <c r="D30" s="2043">
        <v>27007228</v>
      </c>
      <c r="E30" s="2043">
        <v>0</v>
      </c>
      <c r="F30" s="2043">
        <v>302092475</v>
      </c>
      <c r="G30" s="2043">
        <v>293415247</v>
      </c>
      <c r="H30" s="2043">
        <v>302092475</v>
      </c>
      <c r="I30" s="2043">
        <v>293415247</v>
      </c>
    </row>
    <row r="31" spans="1:9" ht="14.5">
      <c r="A31" t="s">
        <v>9457</v>
      </c>
      <c r="B31" s="2113" t="str">
        <f t="shared" si="0"/>
        <v>010-901</v>
      </c>
      <c r="C31" t="s">
        <v>6025</v>
      </c>
      <c r="D31" s="2043">
        <v>14494254</v>
      </c>
      <c r="E31" s="2043">
        <v>0</v>
      </c>
      <c r="F31" s="2043">
        <v>252984586</v>
      </c>
      <c r="G31" s="2043">
        <v>247790332</v>
      </c>
      <c r="H31" s="2043">
        <v>252984586</v>
      </c>
      <c r="I31" s="2043">
        <v>247790332</v>
      </c>
    </row>
    <row r="32" spans="1:9" ht="14.5">
      <c r="A32" t="s">
        <v>9458</v>
      </c>
      <c r="B32" s="2113" t="str">
        <f t="shared" si="0"/>
        <v>010-902</v>
      </c>
      <c r="C32" t="s">
        <v>6026</v>
      </c>
      <c r="D32" s="2043">
        <v>133206741</v>
      </c>
      <c r="E32" s="2043">
        <v>0</v>
      </c>
      <c r="F32" s="2043">
        <v>1998490488</v>
      </c>
      <c r="G32" s="2043">
        <v>1950573747</v>
      </c>
      <c r="H32" s="2043">
        <v>1998490488</v>
      </c>
      <c r="I32" s="2043">
        <v>1950573747</v>
      </c>
    </row>
    <row r="33" spans="1:9" ht="14.5">
      <c r="A33" t="s">
        <v>9459</v>
      </c>
      <c r="B33" s="2113" t="str">
        <f t="shared" si="0"/>
        <v>011-901</v>
      </c>
      <c r="C33" t="s">
        <v>6027</v>
      </c>
      <c r="D33" s="2043">
        <v>273302330</v>
      </c>
      <c r="E33" s="2043">
        <v>0</v>
      </c>
      <c r="F33" s="2043">
        <v>4741940070</v>
      </c>
      <c r="G33" s="2043">
        <v>4654007740</v>
      </c>
      <c r="H33" s="2043">
        <v>4741940070</v>
      </c>
      <c r="I33" s="2043">
        <v>4654007740</v>
      </c>
    </row>
    <row r="34" spans="1:9" ht="14.5">
      <c r="A34" t="s">
        <v>9460</v>
      </c>
      <c r="B34" s="2113" t="str">
        <f t="shared" si="0"/>
        <v>011-902</v>
      </c>
      <c r="C34" t="s">
        <v>6028</v>
      </c>
      <c r="D34" s="2043">
        <v>111525415</v>
      </c>
      <c r="E34" s="2043">
        <v>0</v>
      </c>
      <c r="F34" s="2043">
        <v>1670587199</v>
      </c>
      <c r="G34" s="2043">
        <v>1631916784</v>
      </c>
      <c r="H34" s="2043">
        <v>1670587199</v>
      </c>
      <c r="I34" s="2043">
        <v>1631916784</v>
      </c>
    </row>
    <row r="35" spans="1:9" ht="14.5">
      <c r="A35" t="s">
        <v>9461</v>
      </c>
      <c r="B35" s="2113" t="str">
        <f t="shared" si="0"/>
        <v>011-904</v>
      </c>
      <c r="C35" t="s">
        <v>6029</v>
      </c>
      <c r="D35" s="2043">
        <v>72156854</v>
      </c>
      <c r="E35" s="2043">
        <v>0</v>
      </c>
      <c r="F35" s="2043">
        <v>1026408040</v>
      </c>
      <c r="G35" s="2043">
        <v>1004516186</v>
      </c>
      <c r="H35" s="2043">
        <v>1026408040</v>
      </c>
      <c r="I35" s="2043">
        <v>1004516186</v>
      </c>
    </row>
    <row r="36" spans="1:9" ht="14.5">
      <c r="A36" t="s">
        <v>9462</v>
      </c>
      <c r="B36" s="2113" t="str">
        <f t="shared" si="0"/>
        <v>011-905</v>
      </c>
      <c r="C36" t="s">
        <v>6030</v>
      </c>
      <c r="D36" s="2043">
        <v>8987290</v>
      </c>
      <c r="E36" s="2043">
        <v>0</v>
      </c>
      <c r="F36" s="2043">
        <v>125946933</v>
      </c>
      <c r="G36" s="2043">
        <v>122884643</v>
      </c>
      <c r="H36" s="2043">
        <v>125946933</v>
      </c>
      <c r="I36" s="2043">
        <v>122884643</v>
      </c>
    </row>
    <row r="37" spans="1:9" ht="14.5">
      <c r="A37" t="s">
        <v>9463</v>
      </c>
      <c r="B37" s="2113" t="str">
        <f t="shared" si="0"/>
        <v>012-901</v>
      </c>
      <c r="C37" t="s">
        <v>6031</v>
      </c>
      <c r="D37" s="2043">
        <v>22128110</v>
      </c>
      <c r="E37" s="2043">
        <v>218038070</v>
      </c>
      <c r="F37" s="2043">
        <v>328411144</v>
      </c>
      <c r="G37" s="2043">
        <v>320443034</v>
      </c>
      <c r="H37" s="2043">
        <v>546449214</v>
      </c>
      <c r="I37" s="2043">
        <v>538481104</v>
      </c>
    </row>
    <row r="38" spans="1:9" ht="14.5">
      <c r="A38" t="s">
        <v>9464</v>
      </c>
      <c r="B38" s="2113" t="str">
        <f t="shared" si="0"/>
        <v>013-901</v>
      </c>
      <c r="C38" t="s">
        <v>6032</v>
      </c>
      <c r="D38" s="2043">
        <v>89060260</v>
      </c>
      <c r="E38" s="2043">
        <v>0</v>
      </c>
      <c r="F38" s="2043">
        <v>924177714</v>
      </c>
      <c r="G38" s="2043">
        <v>892057454</v>
      </c>
      <c r="H38" s="2043">
        <v>924177714</v>
      </c>
      <c r="I38" s="2043">
        <v>892057454</v>
      </c>
    </row>
    <row r="39" spans="1:9" ht="14.5">
      <c r="A39" t="s">
        <v>9465</v>
      </c>
      <c r="B39" s="2113" t="str">
        <f t="shared" si="0"/>
        <v>013-902</v>
      </c>
      <c r="C39" t="s">
        <v>6033</v>
      </c>
      <c r="D39" s="2043">
        <v>4716217</v>
      </c>
      <c r="E39" s="2043">
        <v>0</v>
      </c>
      <c r="F39" s="2043">
        <v>355961762</v>
      </c>
      <c r="G39" s="2043">
        <v>354380545</v>
      </c>
      <c r="H39" s="2043">
        <v>355961762</v>
      </c>
      <c r="I39" s="2043">
        <v>354380545</v>
      </c>
    </row>
    <row r="40" spans="1:9" ht="14.5">
      <c r="A40" t="s">
        <v>9466</v>
      </c>
      <c r="B40" s="2113" t="str">
        <f t="shared" si="0"/>
        <v>013-903</v>
      </c>
      <c r="C40" t="s">
        <v>6034</v>
      </c>
      <c r="D40" s="2043">
        <v>10428856</v>
      </c>
      <c r="E40" s="2043">
        <v>66666520</v>
      </c>
      <c r="F40" s="2043">
        <v>565582780</v>
      </c>
      <c r="G40" s="2043">
        <v>562323924</v>
      </c>
      <c r="H40" s="2043">
        <v>632249300</v>
      </c>
      <c r="I40" s="2043">
        <v>628990444</v>
      </c>
    </row>
    <row r="41" spans="1:9" ht="14.5">
      <c r="A41" t="s">
        <v>9467</v>
      </c>
      <c r="B41" s="2113" t="str">
        <f t="shared" si="0"/>
        <v>013-905</v>
      </c>
      <c r="C41" t="s">
        <v>6035</v>
      </c>
      <c r="D41" s="2043">
        <v>16515435</v>
      </c>
      <c r="E41" s="2043">
        <v>149621380</v>
      </c>
      <c r="F41" s="2043">
        <v>220620251</v>
      </c>
      <c r="G41" s="2043">
        <v>215534816</v>
      </c>
      <c r="H41" s="2043">
        <v>370241631</v>
      </c>
      <c r="I41" s="2043">
        <v>365156196</v>
      </c>
    </row>
    <row r="42" spans="1:9" ht="14.5">
      <c r="A42" t="s">
        <v>9468</v>
      </c>
      <c r="B42" s="2113" t="str">
        <f t="shared" si="0"/>
        <v>014-901</v>
      </c>
      <c r="C42" t="s">
        <v>6036</v>
      </c>
      <c r="D42" s="2043">
        <v>52161542</v>
      </c>
      <c r="E42" s="2043">
        <v>0</v>
      </c>
      <c r="F42" s="2043">
        <v>595469349</v>
      </c>
      <c r="G42" s="2043">
        <v>578947807</v>
      </c>
      <c r="H42" s="2043">
        <v>595469349</v>
      </c>
      <c r="I42" s="2043">
        <v>578947807</v>
      </c>
    </row>
    <row r="43" spans="1:9" ht="14.5">
      <c r="A43" t="s">
        <v>9469</v>
      </c>
      <c r="B43" s="2113" t="str">
        <f t="shared" si="0"/>
        <v>014-902</v>
      </c>
      <c r="C43" t="s">
        <v>6037</v>
      </c>
      <c r="D43" s="2043">
        <v>13740548</v>
      </c>
      <c r="E43" s="2043">
        <v>0</v>
      </c>
      <c r="F43" s="2043">
        <v>134728142</v>
      </c>
      <c r="G43" s="2043">
        <v>130347594</v>
      </c>
      <c r="H43" s="2043">
        <v>134728142</v>
      </c>
      <c r="I43" s="2043">
        <v>130347594</v>
      </c>
    </row>
    <row r="44" spans="1:9" ht="14.5">
      <c r="A44" t="s">
        <v>9470</v>
      </c>
      <c r="B44" s="2113" t="str">
        <f t="shared" si="0"/>
        <v>014-903</v>
      </c>
      <c r="C44" t="s">
        <v>6038</v>
      </c>
      <c r="D44" s="2043">
        <v>322175053</v>
      </c>
      <c r="E44" s="2043">
        <v>0</v>
      </c>
      <c r="F44" s="2043">
        <v>4210952497</v>
      </c>
      <c r="G44" s="2043">
        <v>4097562444</v>
      </c>
      <c r="H44" s="2043">
        <v>4210952497</v>
      </c>
      <c r="I44" s="2043">
        <v>4097562444</v>
      </c>
    </row>
    <row r="45" spans="1:9" ht="14.5">
      <c r="A45" t="s">
        <v>9471</v>
      </c>
      <c r="B45" s="2113" t="str">
        <f t="shared" si="0"/>
        <v>014-905</v>
      </c>
      <c r="C45" t="s">
        <v>6039</v>
      </c>
      <c r="D45" s="2043">
        <v>14889494</v>
      </c>
      <c r="E45" s="2043">
        <v>0</v>
      </c>
      <c r="F45" s="2043">
        <v>154001154</v>
      </c>
      <c r="G45" s="2043">
        <v>151246660</v>
      </c>
      <c r="H45" s="2043">
        <v>154001154</v>
      </c>
      <c r="I45" s="2043">
        <v>151246660</v>
      </c>
    </row>
    <row r="46" spans="1:9" ht="14.5">
      <c r="A46" t="s">
        <v>9472</v>
      </c>
      <c r="B46" s="2113" t="str">
        <f t="shared" si="0"/>
        <v>014-906</v>
      </c>
      <c r="C46" t="s">
        <v>6040</v>
      </c>
      <c r="D46" s="2043">
        <v>763257819</v>
      </c>
      <c r="E46" s="2043">
        <v>0</v>
      </c>
      <c r="F46" s="2043">
        <v>9514907818</v>
      </c>
      <c r="G46" s="2043">
        <v>9232774999</v>
      </c>
      <c r="H46" s="2043">
        <v>9514907818</v>
      </c>
      <c r="I46" s="2043">
        <v>9232774999</v>
      </c>
    </row>
    <row r="47" spans="1:9" ht="14.5">
      <c r="A47" t="s">
        <v>9473</v>
      </c>
      <c r="B47" s="2113" t="str">
        <f t="shared" si="0"/>
        <v>014-907</v>
      </c>
      <c r="C47" t="s">
        <v>6041</v>
      </c>
      <c r="D47" s="2043">
        <v>24126100</v>
      </c>
      <c r="E47" s="2043">
        <v>0</v>
      </c>
      <c r="F47" s="2043">
        <v>214955897</v>
      </c>
      <c r="G47" s="2043">
        <v>211589797</v>
      </c>
      <c r="H47" s="2043">
        <v>214955897</v>
      </c>
      <c r="I47" s="2043">
        <v>211589797</v>
      </c>
    </row>
    <row r="48" spans="1:9" ht="14.5">
      <c r="A48" t="s">
        <v>9474</v>
      </c>
      <c r="B48" s="2113" t="str">
        <f t="shared" si="0"/>
        <v>014-908</v>
      </c>
      <c r="C48" t="s">
        <v>6042</v>
      </c>
      <c r="D48" s="2043">
        <v>66274377</v>
      </c>
      <c r="E48" s="2043">
        <v>0</v>
      </c>
      <c r="F48" s="2043">
        <v>1132451715</v>
      </c>
      <c r="G48" s="2043">
        <v>1112332338</v>
      </c>
      <c r="H48" s="2043">
        <v>1132451715</v>
      </c>
      <c r="I48" s="2043">
        <v>1112332338</v>
      </c>
    </row>
    <row r="49" spans="1:9" ht="14.5">
      <c r="A49" t="s">
        <v>9475</v>
      </c>
      <c r="B49" s="2113" t="str">
        <f t="shared" si="0"/>
        <v>014-909</v>
      </c>
      <c r="C49" t="s">
        <v>6043</v>
      </c>
      <c r="D49" s="2043">
        <v>246758156</v>
      </c>
      <c r="E49" s="2043">
        <v>0</v>
      </c>
      <c r="F49" s="2043">
        <v>4024982794</v>
      </c>
      <c r="G49" s="2043">
        <v>3931584638</v>
      </c>
      <c r="H49" s="2043">
        <v>4024982794</v>
      </c>
      <c r="I49" s="2043">
        <v>3931584638</v>
      </c>
    </row>
    <row r="50" spans="1:9" ht="14.5">
      <c r="A50" t="s">
        <v>10576</v>
      </c>
      <c r="B50" s="2113" t="str">
        <f t="shared" si="0"/>
        <v>014-910</v>
      </c>
      <c r="C50" t="s">
        <v>6044</v>
      </c>
      <c r="D50" s="2043">
        <v>39469851</v>
      </c>
      <c r="E50" s="2043">
        <v>0</v>
      </c>
      <c r="F50" s="2043">
        <v>471948935</v>
      </c>
      <c r="G50" s="2043">
        <v>463304084</v>
      </c>
      <c r="H50" s="2043">
        <v>471948935</v>
      </c>
      <c r="I50" s="2043">
        <v>463304084</v>
      </c>
    </row>
    <row r="51" spans="1:9" ht="14.5">
      <c r="A51" t="s">
        <v>9476</v>
      </c>
      <c r="B51" s="2113" t="str">
        <f t="shared" si="0"/>
        <v>015-901</v>
      </c>
      <c r="C51" t="s">
        <v>6045</v>
      </c>
      <c r="D51" s="2043">
        <v>175929661</v>
      </c>
      <c r="E51" s="2043">
        <v>0</v>
      </c>
      <c r="F51" s="2043">
        <v>7319208024</v>
      </c>
      <c r="G51" s="2043">
        <v>7249058363</v>
      </c>
      <c r="H51" s="2043">
        <v>7319208024</v>
      </c>
      <c r="I51" s="2043">
        <v>7249058363</v>
      </c>
    </row>
    <row r="52" spans="1:9" ht="14.5">
      <c r="A52" t="s">
        <v>9477</v>
      </c>
      <c r="B52" s="2113" t="str">
        <f t="shared" si="0"/>
        <v>015-904</v>
      </c>
      <c r="C52" t="s">
        <v>6046</v>
      </c>
      <c r="D52" s="2043">
        <v>259196969</v>
      </c>
      <c r="E52" s="2043">
        <v>0</v>
      </c>
      <c r="F52" s="2043">
        <v>2167478383</v>
      </c>
      <c r="G52" s="2043">
        <v>2064821414</v>
      </c>
      <c r="H52" s="2043">
        <v>2167478383</v>
      </c>
      <c r="I52" s="2043">
        <v>2064821414</v>
      </c>
    </row>
    <row r="53" spans="1:9" ht="14.5">
      <c r="A53" t="s">
        <v>9478</v>
      </c>
      <c r="B53" s="2113" t="str">
        <f t="shared" si="0"/>
        <v>015-905</v>
      </c>
      <c r="C53" t="s">
        <v>6047</v>
      </c>
      <c r="D53" s="2043">
        <v>220882676</v>
      </c>
      <c r="E53" s="2043">
        <v>0</v>
      </c>
      <c r="F53" s="2043">
        <v>1819891080</v>
      </c>
      <c r="G53" s="2043">
        <v>1732508404</v>
      </c>
      <c r="H53" s="2043">
        <v>1819891080</v>
      </c>
      <c r="I53" s="2043">
        <v>1732508404</v>
      </c>
    </row>
    <row r="54" spans="1:9" ht="14.5">
      <c r="A54" t="s">
        <v>9479</v>
      </c>
      <c r="B54" s="2113" t="str">
        <f t="shared" si="0"/>
        <v>015-907</v>
      </c>
      <c r="C54" t="s">
        <v>6048</v>
      </c>
      <c r="D54" s="2043">
        <v>1168124487</v>
      </c>
      <c r="E54" s="2043">
        <v>0</v>
      </c>
      <c r="F54" s="2043">
        <v>21808595871</v>
      </c>
      <c r="G54" s="2043">
        <v>21345096384</v>
      </c>
      <c r="H54" s="2043">
        <v>21808595871</v>
      </c>
      <c r="I54" s="2043">
        <v>21345096384</v>
      </c>
    </row>
    <row r="55" spans="1:9" ht="14.5">
      <c r="A55" t="s">
        <v>9480</v>
      </c>
      <c r="B55" s="2113" t="str">
        <f t="shared" si="0"/>
        <v>015-908</v>
      </c>
      <c r="C55" t="s">
        <v>6049</v>
      </c>
      <c r="D55" s="2043">
        <v>164265589</v>
      </c>
      <c r="E55" s="2043">
        <v>0</v>
      </c>
      <c r="F55" s="2043">
        <v>2096031709</v>
      </c>
      <c r="G55" s="2043">
        <v>2031051120</v>
      </c>
      <c r="H55" s="2043">
        <v>2096031709</v>
      </c>
      <c r="I55" s="2043">
        <v>2031051120</v>
      </c>
    </row>
    <row r="56" spans="1:9" ht="14.5">
      <c r="A56" t="s">
        <v>9481</v>
      </c>
      <c r="B56" s="2113" t="str">
        <f t="shared" si="0"/>
        <v>015-909</v>
      </c>
      <c r="C56" t="s">
        <v>6050</v>
      </c>
      <c r="D56" s="2043">
        <v>67935876</v>
      </c>
      <c r="E56" s="2043">
        <v>0</v>
      </c>
      <c r="F56" s="2043">
        <v>631379920</v>
      </c>
      <c r="G56" s="2043">
        <v>606164044</v>
      </c>
      <c r="H56" s="2043">
        <v>631379920</v>
      </c>
      <c r="I56" s="2043">
        <v>606164044</v>
      </c>
    </row>
    <row r="57" spans="1:9" ht="14.5">
      <c r="A57" t="s">
        <v>9482</v>
      </c>
      <c r="B57" s="2113" t="str">
        <f t="shared" si="0"/>
        <v>015-910</v>
      </c>
      <c r="C57" t="s">
        <v>6051</v>
      </c>
      <c r="D57" s="2043">
        <v>2104246843</v>
      </c>
      <c r="E57" s="2043">
        <v>0</v>
      </c>
      <c r="F57" s="2043">
        <v>44344380573</v>
      </c>
      <c r="G57" s="2043">
        <v>43506913730</v>
      </c>
      <c r="H57" s="2043">
        <v>44344380573</v>
      </c>
      <c r="I57" s="2043">
        <v>43506913730</v>
      </c>
    </row>
    <row r="58" spans="1:9" ht="14.5">
      <c r="A58" t="s">
        <v>9483</v>
      </c>
      <c r="B58" s="2113" t="str">
        <f t="shared" si="0"/>
        <v>015-911</v>
      </c>
      <c r="C58" t="s">
        <v>6052</v>
      </c>
      <c r="D58" s="2043">
        <v>307265956</v>
      </c>
      <c r="E58" s="2043">
        <v>0</v>
      </c>
      <c r="F58" s="2043">
        <v>4732233577</v>
      </c>
      <c r="G58" s="2043">
        <v>4614447621</v>
      </c>
      <c r="H58" s="2043">
        <v>4732233577</v>
      </c>
      <c r="I58" s="2043">
        <v>4614447621</v>
      </c>
    </row>
    <row r="59" spans="1:9" ht="14.5">
      <c r="A59" t="s">
        <v>9484</v>
      </c>
      <c r="B59" s="2113" t="str">
        <f t="shared" si="0"/>
        <v>015-912</v>
      </c>
      <c r="C59" t="s">
        <v>6053</v>
      </c>
      <c r="D59" s="2043">
        <v>250646638</v>
      </c>
      <c r="E59" s="2043">
        <v>0</v>
      </c>
      <c r="F59" s="2043">
        <v>4133993207</v>
      </c>
      <c r="G59" s="2043">
        <v>4036856569</v>
      </c>
      <c r="H59" s="2043">
        <v>4133993207</v>
      </c>
      <c r="I59" s="2043">
        <v>4036856569</v>
      </c>
    </row>
    <row r="60" spans="1:9" ht="14.5">
      <c r="A60" t="s">
        <v>9485</v>
      </c>
      <c r="B60" s="2113" t="str">
        <f t="shared" si="0"/>
        <v>015-915</v>
      </c>
      <c r="C60" t="s">
        <v>6054</v>
      </c>
      <c r="D60" s="2043">
        <v>2931874879</v>
      </c>
      <c r="E60" s="2043">
        <v>0</v>
      </c>
      <c r="F60" s="2043">
        <v>63003375593</v>
      </c>
      <c r="G60" s="2043">
        <v>61836265714</v>
      </c>
      <c r="H60" s="2043">
        <v>63003375593</v>
      </c>
      <c r="I60" s="2043">
        <v>61836265714</v>
      </c>
    </row>
    <row r="61" spans="1:9" ht="14.5">
      <c r="A61" t="s">
        <v>9486</v>
      </c>
      <c r="B61" s="2113" t="str">
        <f t="shared" si="0"/>
        <v>015-916</v>
      </c>
      <c r="C61" t="s">
        <v>6055</v>
      </c>
      <c r="D61" s="2043">
        <v>640841920</v>
      </c>
      <c r="E61" s="2043">
        <v>0</v>
      </c>
      <c r="F61" s="2043">
        <v>11610914875</v>
      </c>
      <c r="G61" s="2043">
        <v>11356337955</v>
      </c>
      <c r="H61" s="2043">
        <v>11610914875</v>
      </c>
      <c r="I61" s="2043">
        <v>11356337955</v>
      </c>
    </row>
    <row r="62" spans="1:9" ht="14.5">
      <c r="A62" t="s">
        <v>9487</v>
      </c>
      <c r="B62" s="2113" t="str">
        <f t="shared" si="0"/>
        <v>015-917</v>
      </c>
      <c r="C62" t="s">
        <v>6056</v>
      </c>
      <c r="D62" s="2043">
        <v>108979773</v>
      </c>
      <c r="E62" s="2043">
        <v>0</v>
      </c>
      <c r="F62" s="2043">
        <v>1574066233</v>
      </c>
      <c r="G62" s="2043">
        <v>1534641460</v>
      </c>
      <c r="H62" s="2043">
        <v>1574066233</v>
      </c>
      <c r="I62" s="2043">
        <v>1534641460</v>
      </c>
    </row>
    <row r="63" spans="1:9" ht="14.5">
      <c r="A63" t="s">
        <v>9488</v>
      </c>
      <c r="B63" s="2113" t="str">
        <f t="shared" si="0"/>
        <v>016-901</v>
      </c>
      <c r="C63" t="s">
        <v>6057</v>
      </c>
      <c r="D63" s="2043">
        <v>40811816</v>
      </c>
      <c r="E63" s="2043">
        <v>0</v>
      </c>
      <c r="F63" s="2043">
        <v>995994181</v>
      </c>
      <c r="G63" s="2043">
        <v>980232365</v>
      </c>
      <c r="H63" s="2043">
        <v>995994181</v>
      </c>
      <c r="I63" s="2043">
        <v>980232365</v>
      </c>
    </row>
    <row r="64" spans="1:9" ht="14.5">
      <c r="A64" t="s">
        <v>9489</v>
      </c>
      <c r="B64" s="2113" t="str">
        <f t="shared" si="0"/>
        <v>016-902</v>
      </c>
      <c r="C64" t="s">
        <v>6058</v>
      </c>
      <c r="D64" s="2043">
        <v>54638463</v>
      </c>
      <c r="E64" s="2043">
        <v>0</v>
      </c>
      <c r="F64" s="2043">
        <v>1168760294</v>
      </c>
      <c r="G64" s="2043">
        <v>1147676831</v>
      </c>
      <c r="H64" s="2043">
        <v>1168760294</v>
      </c>
      <c r="I64" s="2043">
        <v>1147676831</v>
      </c>
    </row>
    <row r="65" spans="1:9" ht="14.5">
      <c r="A65" t="s">
        <v>9490</v>
      </c>
      <c r="B65" s="2113" t="str">
        <f t="shared" si="0"/>
        <v>017-901</v>
      </c>
      <c r="C65" t="s">
        <v>6059</v>
      </c>
      <c r="D65" s="2043">
        <v>2825810</v>
      </c>
      <c r="E65" s="2043">
        <v>223213130</v>
      </c>
      <c r="F65" s="2043">
        <v>788548287</v>
      </c>
      <c r="G65" s="2043">
        <v>788197477</v>
      </c>
      <c r="H65" s="2043">
        <v>1011761417</v>
      </c>
      <c r="I65" s="2043">
        <v>1011410607</v>
      </c>
    </row>
    <row r="66" spans="1:9" ht="14.5">
      <c r="A66" t="s">
        <v>9491</v>
      </c>
      <c r="B66" s="2113" t="str">
        <f t="shared" si="0"/>
        <v>018-901</v>
      </c>
      <c r="C66" t="s">
        <v>6060</v>
      </c>
      <c r="D66" s="2043">
        <v>43405989</v>
      </c>
      <c r="E66" s="2043">
        <v>0</v>
      </c>
      <c r="F66" s="2043">
        <v>688694163</v>
      </c>
      <c r="G66" s="2043">
        <v>672448174</v>
      </c>
      <c r="H66" s="2043">
        <v>688694163</v>
      </c>
      <c r="I66" s="2043">
        <v>672448174</v>
      </c>
    </row>
    <row r="67" spans="1:9" ht="14.5">
      <c r="A67" t="s">
        <v>9492</v>
      </c>
      <c r="B67" s="2113" t="str">
        <f t="shared" ref="B67:B130" si="1">CONCATENATE(RIGHT(LEFT(CONCATENATE("000",A67),6),3),"-",(LEFT(RIGHT(CONCATENATE("000",A67),6),3)))</f>
        <v>018-902</v>
      </c>
      <c r="C67" t="s">
        <v>6061</v>
      </c>
      <c r="D67" s="2043">
        <v>16561334</v>
      </c>
      <c r="E67" s="2043">
        <v>0</v>
      </c>
      <c r="F67" s="2043">
        <v>218226950</v>
      </c>
      <c r="G67" s="2043">
        <v>211880616</v>
      </c>
      <c r="H67" s="2043">
        <v>218226950</v>
      </c>
      <c r="I67" s="2043">
        <v>211880616</v>
      </c>
    </row>
    <row r="68" spans="1:9" ht="14.5">
      <c r="A68" t="s">
        <v>9493</v>
      </c>
      <c r="B68" s="2113" t="str">
        <f t="shared" si="1"/>
        <v>018-903</v>
      </c>
      <c r="C68" t="s">
        <v>6062</v>
      </c>
      <c r="D68" s="2043">
        <v>6052104</v>
      </c>
      <c r="E68" s="2043">
        <v>0</v>
      </c>
      <c r="F68" s="2043">
        <v>86191554</v>
      </c>
      <c r="G68" s="2043">
        <v>84069450</v>
      </c>
      <c r="H68" s="2043">
        <v>86191554</v>
      </c>
      <c r="I68" s="2043">
        <v>84069450</v>
      </c>
    </row>
    <row r="69" spans="1:9" ht="14.5">
      <c r="A69" t="s">
        <v>9494</v>
      </c>
      <c r="B69" s="2113" t="str">
        <f t="shared" si="1"/>
        <v>018-904</v>
      </c>
      <c r="C69" t="s">
        <v>6063</v>
      </c>
      <c r="D69" s="2043">
        <v>21258710</v>
      </c>
      <c r="E69" s="2043">
        <v>0</v>
      </c>
      <c r="F69" s="2043">
        <v>270606551</v>
      </c>
      <c r="G69" s="2043">
        <v>262667841</v>
      </c>
      <c r="H69" s="2043">
        <v>270606551</v>
      </c>
      <c r="I69" s="2043">
        <v>262667841</v>
      </c>
    </row>
    <row r="70" spans="1:9" ht="14.5">
      <c r="A70" t="s">
        <v>9495</v>
      </c>
      <c r="B70" s="2113" t="str">
        <f t="shared" si="1"/>
        <v>018-905</v>
      </c>
      <c r="C70" t="s">
        <v>6064</v>
      </c>
      <c r="D70" s="2043">
        <v>6004394</v>
      </c>
      <c r="E70" s="2043">
        <v>0</v>
      </c>
      <c r="F70" s="2043">
        <v>134579567</v>
      </c>
      <c r="G70" s="2043">
        <v>132505173</v>
      </c>
      <c r="H70" s="2043">
        <v>134579567</v>
      </c>
      <c r="I70" s="2043">
        <v>132505173</v>
      </c>
    </row>
    <row r="71" spans="1:9" ht="14.5">
      <c r="A71" t="s">
        <v>9496</v>
      </c>
      <c r="B71" s="2113" t="str">
        <f t="shared" si="1"/>
        <v>018-906</v>
      </c>
      <c r="C71" t="s">
        <v>6065</v>
      </c>
      <c r="D71" s="2043">
        <v>7300393</v>
      </c>
      <c r="E71" s="2043">
        <v>0</v>
      </c>
      <c r="F71" s="2043">
        <v>161281662</v>
      </c>
      <c r="G71" s="2043">
        <v>158706269</v>
      </c>
      <c r="H71" s="2043">
        <v>161281662</v>
      </c>
      <c r="I71" s="2043">
        <v>158706269</v>
      </c>
    </row>
    <row r="72" spans="1:9" ht="14.5">
      <c r="A72" t="s">
        <v>9497</v>
      </c>
      <c r="B72" s="2113" t="str">
        <f t="shared" si="1"/>
        <v>018-907</v>
      </c>
      <c r="C72" t="s">
        <v>6066</v>
      </c>
      <c r="D72" s="2043">
        <v>14959583</v>
      </c>
      <c r="E72" s="2043">
        <v>0</v>
      </c>
      <c r="F72" s="2043">
        <v>202798102</v>
      </c>
      <c r="G72" s="2043">
        <v>197708519</v>
      </c>
      <c r="H72" s="2043">
        <v>202798102</v>
      </c>
      <c r="I72" s="2043">
        <v>197708519</v>
      </c>
    </row>
    <row r="73" spans="1:9" ht="14.5">
      <c r="A73" t="s">
        <v>9498</v>
      </c>
      <c r="B73" s="2113" t="str">
        <f t="shared" si="1"/>
        <v>018-908</v>
      </c>
      <c r="C73" t="s">
        <v>6067</v>
      </c>
      <c r="D73" s="2043">
        <v>5969332</v>
      </c>
      <c r="E73" s="2043">
        <v>0</v>
      </c>
      <c r="F73" s="2043">
        <v>96587708</v>
      </c>
      <c r="G73" s="2043">
        <v>94368376</v>
      </c>
      <c r="H73" s="2043">
        <v>96587708</v>
      </c>
      <c r="I73" s="2043">
        <v>94368376</v>
      </c>
    </row>
    <row r="74" spans="1:9" ht="14.5">
      <c r="A74" t="s">
        <v>9499</v>
      </c>
      <c r="B74" s="2113" t="str">
        <f t="shared" si="1"/>
        <v>019-901</v>
      </c>
      <c r="C74" t="s">
        <v>6068</v>
      </c>
      <c r="D74" s="2043">
        <v>26890145</v>
      </c>
      <c r="E74" s="2043">
        <v>0</v>
      </c>
      <c r="F74" s="2043">
        <v>221095162</v>
      </c>
      <c r="G74" s="2043">
        <v>211500017</v>
      </c>
      <c r="H74" s="2043">
        <v>221095162</v>
      </c>
      <c r="I74" s="2043">
        <v>211500017</v>
      </c>
    </row>
    <row r="75" spans="1:9" ht="14.5">
      <c r="A75" t="s">
        <v>9500</v>
      </c>
      <c r="B75" s="2113" t="str">
        <f t="shared" si="1"/>
        <v>019-902</v>
      </c>
      <c r="C75" t="s">
        <v>6069</v>
      </c>
      <c r="D75" s="2043">
        <v>24871652</v>
      </c>
      <c r="E75" s="2043">
        <v>0</v>
      </c>
      <c r="F75" s="2043">
        <v>174740874</v>
      </c>
      <c r="G75" s="2043">
        <v>166234222</v>
      </c>
      <c r="H75" s="2043">
        <v>174740874</v>
      </c>
      <c r="I75" s="2043">
        <v>166234222</v>
      </c>
    </row>
    <row r="76" spans="1:9" ht="14.5">
      <c r="A76" t="s">
        <v>9501</v>
      </c>
      <c r="B76" s="2113" t="str">
        <f t="shared" si="1"/>
        <v>019-903</v>
      </c>
      <c r="C76" t="s">
        <v>6070</v>
      </c>
      <c r="D76" s="2043">
        <v>13554811</v>
      </c>
      <c r="E76" s="2043">
        <v>0</v>
      </c>
      <c r="F76" s="2043">
        <v>73309568</v>
      </c>
      <c r="G76" s="2043">
        <v>68679757</v>
      </c>
      <c r="H76" s="2043">
        <v>73309568</v>
      </c>
      <c r="I76" s="2043">
        <v>68679757</v>
      </c>
    </row>
    <row r="77" spans="1:9" ht="14.5">
      <c r="A77" t="s">
        <v>9502</v>
      </c>
      <c r="B77" s="2113" t="str">
        <f t="shared" si="1"/>
        <v>019-905</v>
      </c>
      <c r="C77" t="s">
        <v>6071</v>
      </c>
      <c r="D77" s="2043">
        <v>41498168</v>
      </c>
      <c r="E77" s="2043">
        <v>0</v>
      </c>
      <c r="F77" s="2043">
        <v>416655953</v>
      </c>
      <c r="G77" s="2043">
        <v>401557785</v>
      </c>
      <c r="H77" s="2043">
        <v>416655953</v>
      </c>
      <c r="I77" s="2043">
        <v>401557785</v>
      </c>
    </row>
    <row r="78" spans="1:9" ht="14.5">
      <c r="A78" t="s">
        <v>9503</v>
      </c>
      <c r="B78" s="2113" t="str">
        <f t="shared" si="1"/>
        <v>019-906</v>
      </c>
      <c r="C78" t="s">
        <v>6072</v>
      </c>
      <c r="D78" s="2043">
        <v>34195336</v>
      </c>
      <c r="E78" s="2043">
        <v>0</v>
      </c>
      <c r="F78" s="2043">
        <v>294088363</v>
      </c>
      <c r="G78" s="2043">
        <v>281313027</v>
      </c>
      <c r="H78" s="2043">
        <v>294088363</v>
      </c>
      <c r="I78" s="2043">
        <v>281313027</v>
      </c>
    </row>
    <row r="79" spans="1:9" ht="14.5">
      <c r="A79" t="s">
        <v>9504</v>
      </c>
      <c r="B79" s="2113" t="str">
        <f t="shared" si="1"/>
        <v>019-907</v>
      </c>
      <c r="C79" t="s">
        <v>6073</v>
      </c>
      <c r="D79" s="2043">
        <v>118727861</v>
      </c>
      <c r="E79" s="2043">
        <v>0</v>
      </c>
      <c r="F79" s="2043">
        <v>2258678437</v>
      </c>
      <c r="G79" s="2043">
        <v>2214395576</v>
      </c>
      <c r="H79" s="2043">
        <v>2258678437</v>
      </c>
      <c r="I79" s="2043">
        <v>2214395576</v>
      </c>
    </row>
    <row r="80" spans="1:9" ht="14.5">
      <c r="A80" t="s">
        <v>9505</v>
      </c>
      <c r="B80" s="2113" t="str">
        <f t="shared" si="1"/>
        <v>019-908</v>
      </c>
      <c r="C80" t="s">
        <v>6074</v>
      </c>
      <c r="D80" s="2043">
        <v>64141589</v>
      </c>
      <c r="E80" s="2043">
        <v>0</v>
      </c>
      <c r="F80" s="2043">
        <v>602113342</v>
      </c>
      <c r="G80" s="2043">
        <v>579731753</v>
      </c>
      <c r="H80" s="2043">
        <v>602113342</v>
      </c>
      <c r="I80" s="2043">
        <v>579731753</v>
      </c>
    </row>
    <row r="81" spans="1:9" ht="14.5">
      <c r="A81" t="s">
        <v>9506</v>
      </c>
      <c r="B81" s="2113" t="str">
        <f t="shared" si="1"/>
        <v>019-909</v>
      </c>
      <c r="C81" t="s">
        <v>6075</v>
      </c>
      <c r="D81" s="2043">
        <v>19395665</v>
      </c>
      <c r="E81" s="2043">
        <v>0</v>
      </c>
      <c r="F81" s="2043">
        <v>135445643</v>
      </c>
      <c r="G81" s="2043">
        <v>128634978</v>
      </c>
      <c r="H81" s="2043">
        <v>135445643</v>
      </c>
      <c r="I81" s="2043">
        <v>128634978</v>
      </c>
    </row>
    <row r="82" spans="1:9" ht="14.5">
      <c r="A82" t="s">
        <v>9507</v>
      </c>
      <c r="B82" s="2113" t="str">
        <f t="shared" si="1"/>
        <v>019-910</v>
      </c>
      <c r="C82" t="s">
        <v>6076</v>
      </c>
      <c r="D82" s="2043">
        <v>4349192</v>
      </c>
      <c r="E82" s="2043">
        <v>0</v>
      </c>
      <c r="F82" s="2043">
        <v>26484589</v>
      </c>
      <c r="G82" s="2043">
        <v>24925397</v>
      </c>
      <c r="H82" s="2043">
        <v>26484589</v>
      </c>
      <c r="I82" s="2043">
        <v>24925397</v>
      </c>
    </row>
    <row r="83" spans="1:9" ht="14.5">
      <c r="A83" t="s">
        <v>9508</v>
      </c>
      <c r="B83" s="2113" t="str">
        <f t="shared" si="1"/>
        <v>019-911</v>
      </c>
      <c r="C83" t="s">
        <v>6077</v>
      </c>
      <c r="D83" s="2043">
        <v>19446595</v>
      </c>
      <c r="E83" s="2043">
        <v>0</v>
      </c>
      <c r="F83" s="2043">
        <v>258328512</v>
      </c>
      <c r="G83" s="2043">
        <v>250836917</v>
      </c>
      <c r="H83" s="2043">
        <v>258328512</v>
      </c>
      <c r="I83" s="2043">
        <v>250836917</v>
      </c>
    </row>
    <row r="84" spans="1:9" ht="14.5">
      <c r="A84" t="s">
        <v>9509</v>
      </c>
      <c r="B84" s="2113" t="str">
        <f t="shared" si="1"/>
        <v>019-912</v>
      </c>
      <c r="C84" t="s">
        <v>6078</v>
      </c>
      <c r="D84" s="2043">
        <v>64678654</v>
      </c>
      <c r="E84" s="2043">
        <v>0</v>
      </c>
      <c r="F84" s="2043">
        <v>1004213206</v>
      </c>
      <c r="G84" s="2043">
        <v>978804552</v>
      </c>
      <c r="H84" s="2043">
        <v>1004213206</v>
      </c>
      <c r="I84" s="2043">
        <v>978804552</v>
      </c>
    </row>
    <row r="85" spans="1:9" ht="14.5">
      <c r="A85" t="s">
        <v>9510</v>
      </c>
      <c r="B85" s="2113" t="str">
        <f t="shared" si="1"/>
        <v>019-913</v>
      </c>
      <c r="C85" t="s">
        <v>6079</v>
      </c>
      <c r="D85" s="2043">
        <v>4361038</v>
      </c>
      <c r="E85" s="2043">
        <v>0</v>
      </c>
      <c r="F85" s="2043">
        <v>25091649</v>
      </c>
      <c r="G85" s="2043">
        <v>23580611</v>
      </c>
      <c r="H85" s="2043">
        <v>25091649</v>
      </c>
      <c r="I85" s="2043">
        <v>23580611</v>
      </c>
    </row>
    <row r="86" spans="1:9" ht="14.5">
      <c r="A86" t="s">
        <v>9511</v>
      </c>
      <c r="B86" s="2113" t="str">
        <f t="shared" si="1"/>
        <v>019-914</v>
      </c>
      <c r="C86" t="s">
        <v>6080</v>
      </c>
      <c r="D86" s="2043">
        <v>5152111</v>
      </c>
      <c r="E86" s="2043">
        <v>0</v>
      </c>
      <c r="F86" s="2043">
        <v>47796345</v>
      </c>
      <c r="G86" s="2043">
        <v>46109234</v>
      </c>
      <c r="H86" s="2043">
        <v>47796345</v>
      </c>
      <c r="I86" s="2043">
        <v>46109234</v>
      </c>
    </row>
    <row r="87" spans="1:9" ht="14.5">
      <c r="A87" t="s">
        <v>9512</v>
      </c>
      <c r="B87" s="2113" t="str">
        <f t="shared" si="1"/>
        <v>020-901</v>
      </c>
      <c r="C87" t="s">
        <v>6081</v>
      </c>
      <c r="D87" s="2043">
        <v>659987944</v>
      </c>
      <c r="E87" s="2043">
        <v>0</v>
      </c>
      <c r="F87" s="2043">
        <v>8698747207</v>
      </c>
      <c r="G87" s="2043">
        <v>8446714263</v>
      </c>
      <c r="H87" s="2043">
        <v>8698747207</v>
      </c>
      <c r="I87" s="2043">
        <v>8446714263</v>
      </c>
    </row>
    <row r="88" spans="1:9" ht="14.5">
      <c r="A88" t="s">
        <v>9513</v>
      </c>
      <c r="B88" s="2113" t="str">
        <f t="shared" si="1"/>
        <v>020-902</v>
      </c>
      <c r="C88" t="s">
        <v>6082</v>
      </c>
      <c r="D88" s="2043">
        <v>184421283</v>
      </c>
      <c r="E88" s="2043">
        <v>417623500</v>
      </c>
      <c r="F88" s="2043">
        <v>3661253465</v>
      </c>
      <c r="G88" s="2043">
        <v>3593052182</v>
      </c>
      <c r="H88" s="2043">
        <v>4078876965</v>
      </c>
      <c r="I88" s="2043">
        <v>4010675682</v>
      </c>
    </row>
    <row r="89" spans="1:9" ht="14.5">
      <c r="A89" t="s">
        <v>9514</v>
      </c>
      <c r="B89" s="2113" t="str">
        <f t="shared" si="1"/>
        <v>020-904</v>
      </c>
      <c r="C89" t="s">
        <v>6083</v>
      </c>
      <c r="D89" s="2043">
        <v>25154837</v>
      </c>
      <c r="E89" s="2043">
        <v>0</v>
      </c>
      <c r="F89" s="2043">
        <v>361332996</v>
      </c>
      <c r="G89" s="2043">
        <v>351688159</v>
      </c>
      <c r="H89" s="2043">
        <v>361332996</v>
      </c>
      <c r="I89" s="2043">
        <v>351688159</v>
      </c>
    </row>
    <row r="90" spans="1:9" ht="14.5">
      <c r="A90" t="s">
        <v>9515</v>
      </c>
      <c r="B90" s="2113" t="str">
        <f t="shared" si="1"/>
        <v>020-905</v>
      </c>
      <c r="C90" t="s">
        <v>6084</v>
      </c>
      <c r="D90" s="2043">
        <v>324304797</v>
      </c>
      <c r="E90" s="2043">
        <v>10888959970</v>
      </c>
      <c r="F90" s="2043">
        <v>9903128592</v>
      </c>
      <c r="G90" s="2043">
        <v>9776403795</v>
      </c>
      <c r="H90" s="2043">
        <v>20792088562</v>
      </c>
      <c r="I90" s="2043">
        <v>20665363765</v>
      </c>
    </row>
    <row r="91" spans="1:9" ht="14.5">
      <c r="A91" t="s">
        <v>9516</v>
      </c>
      <c r="B91" s="2113" t="str">
        <f t="shared" si="1"/>
        <v>020-906</v>
      </c>
      <c r="C91" t="s">
        <v>6085</v>
      </c>
      <c r="D91" s="2043">
        <v>63859417</v>
      </c>
      <c r="E91" s="2043">
        <v>1545608450</v>
      </c>
      <c r="F91" s="2043">
        <v>2374835885</v>
      </c>
      <c r="G91" s="2043">
        <v>2350966468</v>
      </c>
      <c r="H91" s="2043">
        <v>3920444335</v>
      </c>
      <c r="I91" s="2043">
        <v>3896574918</v>
      </c>
    </row>
    <row r="92" spans="1:9" ht="14.5">
      <c r="A92" t="s">
        <v>9517</v>
      </c>
      <c r="B92" s="2113" t="str">
        <f t="shared" si="1"/>
        <v>020-907</v>
      </c>
      <c r="C92" t="s">
        <v>6086</v>
      </c>
      <c r="D92" s="2043">
        <v>127797180</v>
      </c>
      <c r="E92" s="2043">
        <v>0</v>
      </c>
      <c r="F92" s="2043">
        <v>1653217633</v>
      </c>
      <c r="G92" s="2043">
        <v>1604995453</v>
      </c>
      <c r="H92" s="2043">
        <v>1653217633</v>
      </c>
      <c r="I92" s="2043">
        <v>1604995453</v>
      </c>
    </row>
    <row r="93" spans="1:9" ht="14.5">
      <c r="A93" t="s">
        <v>9518</v>
      </c>
      <c r="B93" s="2113" t="str">
        <f t="shared" si="1"/>
        <v>020-908</v>
      </c>
      <c r="C93" t="s">
        <v>6087</v>
      </c>
      <c r="D93" s="2043">
        <v>614174033</v>
      </c>
      <c r="E93" s="2043">
        <v>0</v>
      </c>
      <c r="F93" s="2043">
        <v>8973834704</v>
      </c>
      <c r="G93" s="2043">
        <v>8731690671</v>
      </c>
      <c r="H93" s="2043">
        <v>8973834704</v>
      </c>
      <c r="I93" s="2043">
        <v>8731690671</v>
      </c>
    </row>
    <row r="94" spans="1:9" ht="14.5">
      <c r="A94" t="s">
        <v>9519</v>
      </c>
      <c r="B94" s="2113" t="str">
        <f t="shared" si="1"/>
        <v>020-910</v>
      </c>
      <c r="C94" t="s">
        <v>6088</v>
      </c>
      <c r="D94" s="2043">
        <v>6247814</v>
      </c>
      <c r="E94" s="2043">
        <v>23541880</v>
      </c>
      <c r="F94" s="2043">
        <v>104858833</v>
      </c>
      <c r="G94" s="2043">
        <v>102736019</v>
      </c>
      <c r="H94" s="2043">
        <v>128400713</v>
      </c>
      <c r="I94" s="2043">
        <v>126277899</v>
      </c>
    </row>
    <row r="95" spans="1:9" ht="14.5">
      <c r="A95" t="s">
        <v>9520</v>
      </c>
      <c r="B95" s="2113" t="str">
        <f t="shared" si="1"/>
        <v>021-901</v>
      </c>
      <c r="C95" t="s">
        <v>6089</v>
      </c>
      <c r="D95" s="2043">
        <v>319430570</v>
      </c>
      <c r="E95" s="2043">
        <v>0</v>
      </c>
      <c r="F95" s="2043">
        <v>11016902820</v>
      </c>
      <c r="G95" s="2043">
        <v>10891752250</v>
      </c>
      <c r="H95" s="2043">
        <v>11016902820</v>
      </c>
      <c r="I95" s="2043">
        <v>10891752250</v>
      </c>
    </row>
    <row r="96" spans="1:9" ht="14.5">
      <c r="A96" t="s">
        <v>9521</v>
      </c>
      <c r="B96" s="2113" t="str">
        <f t="shared" si="1"/>
        <v>021-902</v>
      </c>
      <c r="C96" t="s">
        <v>6090</v>
      </c>
      <c r="D96" s="2043">
        <v>382906750</v>
      </c>
      <c r="E96" s="2043">
        <v>173275912</v>
      </c>
      <c r="F96" s="2043">
        <v>9389171582</v>
      </c>
      <c r="G96" s="2043">
        <v>9244359832</v>
      </c>
      <c r="H96" s="2043">
        <v>9562447494</v>
      </c>
      <c r="I96" s="2043">
        <v>9417635744</v>
      </c>
    </row>
    <row r="97" spans="1:9" ht="14.5">
      <c r="A97" t="s">
        <v>9522</v>
      </c>
      <c r="B97" s="2113" t="str">
        <f t="shared" si="1"/>
        <v>022-004</v>
      </c>
      <c r="C97" t="s">
        <v>6091</v>
      </c>
      <c r="D97" s="2043">
        <v>4901931</v>
      </c>
      <c r="E97" s="2043">
        <v>0</v>
      </c>
      <c r="F97" s="2043">
        <v>103386781</v>
      </c>
      <c r="G97" s="2043">
        <v>101769850</v>
      </c>
      <c r="H97" s="2043">
        <v>103386781</v>
      </c>
      <c r="I97" s="2043">
        <v>101769850</v>
      </c>
    </row>
    <row r="98" spans="1:9" ht="14.5">
      <c r="A98" t="s">
        <v>9523</v>
      </c>
      <c r="B98" s="2113" t="str">
        <f t="shared" si="1"/>
        <v>022-901</v>
      </c>
      <c r="C98" t="s">
        <v>6092</v>
      </c>
      <c r="D98" s="2043">
        <v>50589170</v>
      </c>
      <c r="E98" s="2043">
        <v>44950040</v>
      </c>
      <c r="F98" s="2043">
        <v>718709434</v>
      </c>
      <c r="G98" s="2043">
        <v>700130264</v>
      </c>
      <c r="H98" s="2043">
        <v>763659474</v>
      </c>
      <c r="I98" s="2043">
        <v>745080304</v>
      </c>
    </row>
    <row r="99" spans="1:9" ht="14.5">
      <c r="A99" t="s">
        <v>9524</v>
      </c>
      <c r="B99" s="2113" t="str">
        <f t="shared" si="1"/>
        <v>022-902</v>
      </c>
      <c r="C99" t="s">
        <v>6093</v>
      </c>
      <c r="D99" s="2043">
        <v>3878507</v>
      </c>
      <c r="E99" s="2043">
        <v>0</v>
      </c>
      <c r="F99" s="2043">
        <v>100400861</v>
      </c>
      <c r="G99" s="2043">
        <v>98922354</v>
      </c>
      <c r="H99" s="2043">
        <v>100400861</v>
      </c>
      <c r="I99" s="2043">
        <v>98922354</v>
      </c>
    </row>
    <row r="100" spans="1:9" ht="14.5">
      <c r="A100" t="s">
        <v>9525</v>
      </c>
      <c r="B100" s="2113" t="str">
        <f t="shared" si="1"/>
        <v>022-903</v>
      </c>
      <c r="C100" t="s">
        <v>6094</v>
      </c>
      <c r="D100" s="2043">
        <v>25000</v>
      </c>
      <c r="E100" s="2043">
        <v>0</v>
      </c>
      <c r="F100" s="2043">
        <v>9471034</v>
      </c>
      <c r="G100" s="2043">
        <v>9461034</v>
      </c>
      <c r="H100" s="2043">
        <v>9471034</v>
      </c>
      <c r="I100" s="2043">
        <v>9461034</v>
      </c>
    </row>
    <row r="101" spans="1:9" ht="14.5">
      <c r="A101" t="s">
        <v>9526</v>
      </c>
      <c r="B101" s="2113" t="str">
        <f t="shared" si="1"/>
        <v>023-902</v>
      </c>
      <c r="C101" t="s">
        <v>6095</v>
      </c>
      <c r="D101" s="2043">
        <v>5878254</v>
      </c>
      <c r="E101" s="2043">
        <v>155475020</v>
      </c>
      <c r="F101" s="2043">
        <v>165496114</v>
      </c>
      <c r="G101" s="2043">
        <v>163382860</v>
      </c>
      <c r="H101" s="2043">
        <v>320971134</v>
      </c>
      <c r="I101" s="2043">
        <v>318857880</v>
      </c>
    </row>
    <row r="102" spans="1:9" ht="14.5">
      <c r="A102" t="s">
        <v>9527</v>
      </c>
      <c r="B102" s="2113" t="str">
        <f t="shared" si="1"/>
        <v>024-901</v>
      </c>
      <c r="C102" t="s">
        <v>6096</v>
      </c>
      <c r="D102" s="2043">
        <v>33786204</v>
      </c>
      <c r="E102" s="2043">
        <v>0</v>
      </c>
      <c r="F102" s="2043">
        <v>527286192</v>
      </c>
      <c r="G102" s="2043">
        <v>516314988</v>
      </c>
      <c r="H102" s="2043">
        <v>527286192</v>
      </c>
      <c r="I102" s="2043">
        <v>516314988</v>
      </c>
    </row>
    <row r="103" spans="1:9" ht="14.5">
      <c r="A103" t="s">
        <v>9528</v>
      </c>
      <c r="B103" s="2113" t="str">
        <f t="shared" si="1"/>
        <v>025-901</v>
      </c>
      <c r="C103" t="s">
        <v>6097</v>
      </c>
      <c r="D103" s="2043">
        <v>42779118</v>
      </c>
      <c r="E103" s="2043">
        <v>0</v>
      </c>
      <c r="F103" s="2043">
        <v>436400131</v>
      </c>
      <c r="G103" s="2043">
        <v>421026013</v>
      </c>
      <c r="H103" s="2043">
        <v>436400131</v>
      </c>
      <c r="I103" s="2043">
        <v>421026013</v>
      </c>
    </row>
    <row r="104" spans="1:9" ht="14.5">
      <c r="A104" t="s">
        <v>10577</v>
      </c>
      <c r="B104" s="2113" t="str">
        <f t="shared" si="1"/>
        <v>025-902</v>
      </c>
      <c r="C104" t="s">
        <v>6098</v>
      </c>
      <c r="D104" s="2043">
        <v>101965215</v>
      </c>
      <c r="E104" s="2043">
        <v>0</v>
      </c>
      <c r="F104" s="2043">
        <v>1615403121</v>
      </c>
      <c r="G104" s="2043">
        <v>1576797906</v>
      </c>
      <c r="H104" s="2043">
        <v>1615403121</v>
      </c>
      <c r="I104" s="2043">
        <v>1576797906</v>
      </c>
    </row>
    <row r="105" spans="1:9" ht="14.5">
      <c r="A105" t="s">
        <v>9529</v>
      </c>
      <c r="B105" s="2113" t="str">
        <f t="shared" si="1"/>
        <v>025-904</v>
      </c>
      <c r="C105" t="s">
        <v>6099</v>
      </c>
      <c r="D105" s="2043">
        <v>8371525</v>
      </c>
      <c r="E105" s="2043">
        <v>41584320</v>
      </c>
      <c r="F105" s="2043">
        <v>78071614</v>
      </c>
      <c r="G105" s="2043">
        <v>77916742</v>
      </c>
      <c r="H105" s="2043">
        <v>119655934</v>
      </c>
      <c r="I105" s="2043">
        <v>119501062</v>
      </c>
    </row>
    <row r="106" spans="1:9" ht="14.5">
      <c r="A106" t="s">
        <v>9530</v>
      </c>
      <c r="B106" s="2113" t="str">
        <f t="shared" si="1"/>
        <v>025-905</v>
      </c>
      <c r="C106" t="s">
        <v>6100</v>
      </c>
      <c r="D106" s="2043">
        <v>16704480</v>
      </c>
      <c r="E106" s="2043">
        <v>0</v>
      </c>
      <c r="F106" s="2043">
        <v>205270189</v>
      </c>
      <c r="G106" s="2043">
        <v>199485709</v>
      </c>
      <c r="H106" s="2043">
        <v>205270189</v>
      </c>
      <c r="I106" s="2043">
        <v>199485709</v>
      </c>
    </row>
    <row r="107" spans="1:9" ht="14.5">
      <c r="A107" t="s">
        <v>9531</v>
      </c>
      <c r="B107" s="2113" t="str">
        <f t="shared" si="1"/>
        <v>025-906</v>
      </c>
      <c r="C107" t="s">
        <v>6101</v>
      </c>
      <c r="D107" s="2043">
        <v>5632194</v>
      </c>
      <c r="E107" s="2043">
        <v>0</v>
      </c>
      <c r="F107" s="2043">
        <v>65777529</v>
      </c>
      <c r="G107" s="2043">
        <v>63670335</v>
      </c>
      <c r="H107" s="2043">
        <v>65777529</v>
      </c>
      <c r="I107" s="2043">
        <v>63670335</v>
      </c>
    </row>
    <row r="108" spans="1:9" ht="14.5">
      <c r="A108" t="s">
        <v>10578</v>
      </c>
      <c r="B108" s="2113" t="str">
        <f t="shared" si="1"/>
        <v>025-908</v>
      </c>
      <c r="C108" t="s">
        <v>6102</v>
      </c>
      <c r="D108" s="2043">
        <v>6475731</v>
      </c>
      <c r="E108" s="2043">
        <v>0</v>
      </c>
      <c r="F108" s="2043">
        <v>122903968</v>
      </c>
      <c r="G108" s="2043">
        <v>120553237</v>
      </c>
      <c r="H108" s="2043">
        <v>122903968</v>
      </c>
      <c r="I108" s="2043">
        <v>120553237</v>
      </c>
    </row>
    <row r="109" spans="1:9" ht="14.5">
      <c r="A109" t="s">
        <v>9532</v>
      </c>
      <c r="B109" s="2113" t="str">
        <f t="shared" si="1"/>
        <v>025-909</v>
      </c>
      <c r="C109" t="s">
        <v>6103</v>
      </c>
      <c r="D109" s="2043">
        <v>35240020</v>
      </c>
      <c r="E109" s="2043">
        <v>0</v>
      </c>
      <c r="F109" s="2043">
        <v>407403875</v>
      </c>
      <c r="G109" s="2043">
        <v>394213855</v>
      </c>
      <c r="H109" s="2043">
        <v>407403875</v>
      </c>
      <c r="I109" s="2043">
        <v>394213855</v>
      </c>
    </row>
    <row r="110" spans="1:9" ht="14.5">
      <c r="A110" t="s">
        <v>9533</v>
      </c>
      <c r="B110" s="2113" t="str">
        <f t="shared" si="1"/>
        <v>026-901</v>
      </c>
      <c r="C110" t="s">
        <v>6104</v>
      </c>
      <c r="D110" s="2043">
        <v>65732548</v>
      </c>
      <c r="E110" s="2043">
        <v>0</v>
      </c>
      <c r="F110" s="2043">
        <v>1581739923</v>
      </c>
      <c r="G110" s="2043">
        <v>1558592375</v>
      </c>
      <c r="H110" s="2043">
        <v>1581739923</v>
      </c>
      <c r="I110" s="2043">
        <v>1558592375</v>
      </c>
    </row>
    <row r="111" spans="1:9" ht="14.5">
      <c r="A111" t="s">
        <v>9534</v>
      </c>
      <c r="B111" s="2113" t="str">
        <f t="shared" si="1"/>
        <v>026-902</v>
      </c>
      <c r="C111" t="s">
        <v>6105</v>
      </c>
      <c r="D111" s="2043">
        <v>33800024</v>
      </c>
      <c r="E111" s="2043">
        <v>0</v>
      </c>
      <c r="F111" s="2043">
        <v>371827721</v>
      </c>
      <c r="G111" s="2043">
        <v>360962697</v>
      </c>
      <c r="H111" s="2043">
        <v>371827721</v>
      </c>
      <c r="I111" s="2043">
        <v>360962697</v>
      </c>
    </row>
    <row r="112" spans="1:9" ht="14.5">
      <c r="A112" t="s">
        <v>9535</v>
      </c>
      <c r="B112" s="2113" t="str">
        <f t="shared" si="1"/>
        <v>026-903</v>
      </c>
      <c r="C112" t="s">
        <v>6106</v>
      </c>
      <c r="D112" s="2043">
        <v>20457321</v>
      </c>
      <c r="E112" s="2043">
        <v>0</v>
      </c>
      <c r="F112" s="2043">
        <v>319079004</v>
      </c>
      <c r="G112" s="2043">
        <v>312841683</v>
      </c>
      <c r="H112" s="2043">
        <v>319079004</v>
      </c>
      <c r="I112" s="2043">
        <v>312841683</v>
      </c>
    </row>
    <row r="113" spans="1:9" ht="14.5">
      <c r="A113" t="s">
        <v>9536</v>
      </c>
      <c r="B113" s="2113" t="str">
        <f t="shared" si="1"/>
        <v>027-903</v>
      </c>
      <c r="C113" t="s">
        <v>6107</v>
      </c>
      <c r="D113" s="2043">
        <v>168544154</v>
      </c>
      <c r="E113" s="2043">
        <v>0</v>
      </c>
      <c r="F113" s="2043">
        <v>3167151893</v>
      </c>
      <c r="G113" s="2043">
        <v>3105572739</v>
      </c>
      <c r="H113" s="2043">
        <v>3167151893</v>
      </c>
      <c r="I113" s="2043">
        <v>3105572739</v>
      </c>
    </row>
    <row r="114" spans="1:9" ht="14.5">
      <c r="A114" t="s">
        <v>10579</v>
      </c>
      <c r="B114" s="2113" t="str">
        <f t="shared" si="1"/>
        <v>027-904</v>
      </c>
      <c r="C114" t="s">
        <v>6108</v>
      </c>
      <c r="D114" s="2043">
        <v>164071639</v>
      </c>
      <c r="E114" s="2043">
        <v>0</v>
      </c>
      <c r="F114" s="2043">
        <v>4608817628</v>
      </c>
      <c r="G114" s="2043">
        <v>4546880989</v>
      </c>
      <c r="H114" s="2043">
        <v>4608817628</v>
      </c>
      <c r="I114" s="2043">
        <v>4546880989</v>
      </c>
    </row>
    <row r="115" spans="1:9" ht="14.5">
      <c r="A115" t="s">
        <v>9537</v>
      </c>
      <c r="B115" s="2113" t="str">
        <f t="shared" si="1"/>
        <v>028-902</v>
      </c>
      <c r="C115" t="s">
        <v>6109</v>
      </c>
      <c r="D115" s="2043">
        <v>123963807</v>
      </c>
      <c r="E115" s="2043">
        <v>0</v>
      </c>
      <c r="F115" s="2043">
        <v>1935265742</v>
      </c>
      <c r="G115" s="2043">
        <v>1890546935</v>
      </c>
      <c r="H115" s="2043">
        <v>1935265742</v>
      </c>
      <c r="I115" s="2043">
        <v>1890546935</v>
      </c>
    </row>
    <row r="116" spans="1:9" ht="14.5">
      <c r="A116" t="s">
        <v>9538</v>
      </c>
      <c r="B116" s="2113" t="str">
        <f t="shared" si="1"/>
        <v>028-903</v>
      </c>
      <c r="C116" t="s">
        <v>6110</v>
      </c>
      <c r="D116" s="2043">
        <v>34523436</v>
      </c>
      <c r="E116" s="2043">
        <v>0</v>
      </c>
      <c r="F116" s="2043">
        <v>575674899</v>
      </c>
      <c r="G116" s="2043">
        <v>563186463</v>
      </c>
      <c r="H116" s="2043">
        <v>575674899</v>
      </c>
      <c r="I116" s="2043">
        <v>563186463</v>
      </c>
    </row>
    <row r="117" spans="1:9" ht="14.5">
      <c r="A117" t="s">
        <v>9539</v>
      </c>
      <c r="B117" s="2113" t="str">
        <f t="shared" si="1"/>
        <v>028-906</v>
      </c>
      <c r="C117" t="s">
        <v>6111</v>
      </c>
      <c r="D117" s="2043">
        <v>6519674</v>
      </c>
      <c r="E117" s="2043">
        <v>0</v>
      </c>
      <c r="F117" s="2043">
        <v>161856623</v>
      </c>
      <c r="G117" s="2043">
        <v>159746949</v>
      </c>
      <c r="H117" s="2043">
        <v>161856623</v>
      </c>
      <c r="I117" s="2043">
        <v>159746949</v>
      </c>
    </row>
    <row r="118" spans="1:9" ht="14.5">
      <c r="A118" t="s">
        <v>9540</v>
      </c>
      <c r="B118" s="2113" t="str">
        <f t="shared" si="1"/>
        <v>029-901</v>
      </c>
      <c r="C118" t="s">
        <v>6112</v>
      </c>
      <c r="D118" s="2043">
        <v>116106217</v>
      </c>
      <c r="E118" s="2043">
        <v>1263160300</v>
      </c>
      <c r="F118" s="2043">
        <v>3782800435</v>
      </c>
      <c r="G118" s="2043">
        <v>3740929218</v>
      </c>
      <c r="H118" s="2043">
        <v>5045960735</v>
      </c>
      <c r="I118" s="2043">
        <v>5004089518</v>
      </c>
    </row>
    <row r="119" spans="1:9" ht="14.5">
      <c r="A119" t="s">
        <v>9541</v>
      </c>
      <c r="B119" s="2113" t="str">
        <f t="shared" si="1"/>
        <v>030-901</v>
      </c>
      <c r="C119" t="s">
        <v>6113</v>
      </c>
      <c r="D119" s="2043">
        <v>19475204</v>
      </c>
      <c r="E119" s="2043">
        <v>0</v>
      </c>
      <c r="F119" s="2043">
        <v>187144999</v>
      </c>
      <c r="G119" s="2043">
        <v>180384104</v>
      </c>
      <c r="H119" s="2043">
        <v>187144999</v>
      </c>
      <c r="I119" s="2043">
        <v>180384104</v>
      </c>
    </row>
    <row r="120" spans="1:9" ht="14.5">
      <c r="A120" t="s">
        <v>9542</v>
      </c>
      <c r="B120" s="2113" t="str">
        <f t="shared" si="1"/>
        <v>030-902</v>
      </c>
      <c r="C120" t="s">
        <v>6114</v>
      </c>
      <c r="D120" s="2043">
        <v>54339586</v>
      </c>
      <c r="E120" s="2043">
        <v>0</v>
      </c>
      <c r="F120" s="2043">
        <v>545212010</v>
      </c>
      <c r="G120" s="2043">
        <v>524397424</v>
      </c>
      <c r="H120" s="2043">
        <v>545212010</v>
      </c>
      <c r="I120" s="2043">
        <v>524397424</v>
      </c>
    </row>
    <row r="121" spans="1:9" ht="14.5">
      <c r="A121" t="s">
        <v>9543</v>
      </c>
      <c r="B121" s="2113" t="str">
        <f t="shared" si="1"/>
        <v>030-903</v>
      </c>
      <c r="C121" t="s">
        <v>6115</v>
      </c>
      <c r="D121" s="2043">
        <v>17018640</v>
      </c>
      <c r="E121" s="2043">
        <v>0</v>
      </c>
      <c r="F121" s="2043">
        <v>256812280</v>
      </c>
      <c r="G121" s="2043">
        <v>250548640</v>
      </c>
      <c r="H121" s="2043">
        <v>256812280</v>
      </c>
      <c r="I121" s="2043">
        <v>250548640</v>
      </c>
    </row>
    <row r="122" spans="1:9" ht="14.5">
      <c r="A122" t="s">
        <v>9544</v>
      </c>
      <c r="B122" s="2113" t="str">
        <f t="shared" si="1"/>
        <v>030-906</v>
      </c>
      <c r="C122" t="s">
        <v>6116</v>
      </c>
      <c r="D122" s="2043">
        <v>18195054</v>
      </c>
      <c r="E122" s="2043">
        <v>0</v>
      </c>
      <c r="F122" s="2043">
        <v>291364391</v>
      </c>
      <c r="G122" s="2043">
        <v>284704337</v>
      </c>
      <c r="H122" s="2043">
        <v>291364391</v>
      </c>
      <c r="I122" s="2043">
        <v>284704337</v>
      </c>
    </row>
    <row r="123" spans="1:9" ht="14.5">
      <c r="A123" t="s">
        <v>9545</v>
      </c>
      <c r="B123" s="2113" t="str">
        <f t="shared" si="1"/>
        <v>031-901</v>
      </c>
      <c r="C123" t="s">
        <v>6117</v>
      </c>
      <c r="D123" s="2043">
        <v>606944522</v>
      </c>
      <c r="E123" s="2043">
        <v>0</v>
      </c>
      <c r="F123" s="2043">
        <v>6734658236</v>
      </c>
      <c r="G123" s="2043">
        <v>6510303714</v>
      </c>
      <c r="H123" s="2043">
        <v>6734658236</v>
      </c>
      <c r="I123" s="2043">
        <v>6510303714</v>
      </c>
    </row>
    <row r="124" spans="1:9" ht="14.5">
      <c r="A124" t="s">
        <v>9546</v>
      </c>
      <c r="B124" s="2113" t="str">
        <f t="shared" si="1"/>
        <v>031-903</v>
      </c>
      <c r="C124" t="s">
        <v>6118</v>
      </c>
      <c r="D124" s="2043">
        <v>328802042</v>
      </c>
      <c r="E124" s="2043">
        <v>0</v>
      </c>
      <c r="F124" s="2043">
        <v>4126678379</v>
      </c>
      <c r="G124" s="2043">
        <v>4003946337</v>
      </c>
      <c r="H124" s="2043">
        <v>4126678379</v>
      </c>
      <c r="I124" s="2043">
        <v>4003946337</v>
      </c>
    </row>
    <row r="125" spans="1:9" ht="14.5">
      <c r="A125" t="s">
        <v>9547</v>
      </c>
      <c r="B125" s="2113" t="str">
        <f t="shared" si="1"/>
        <v>031-905</v>
      </c>
      <c r="C125" t="s">
        <v>6119</v>
      </c>
      <c r="D125" s="2043">
        <v>59109408</v>
      </c>
      <c r="E125" s="2043">
        <v>0</v>
      </c>
      <c r="F125" s="2043">
        <v>497371462</v>
      </c>
      <c r="G125" s="2043">
        <v>478282054</v>
      </c>
      <c r="H125" s="2043">
        <v>497371462</v>
      </c>
      <c r="I125" s="2043">
        <v>478282054</v>
      </c>
    </row>
    <row r="126" spans="1:9" ht="14.5">
      <c r="A126" t="s">
        <v>9548</v>
      </c>
      <c r="B126" s="2113" t="str">
        <f t="shared" si="1"/>
        <v>031-906</v>
      </c>
      <c r="C126" t="s">
        <v>6120</v>
      </c>
      <c r="D126" s="2043">
        <v>176962565</v>
      </c>
      <c r="E126" s="2043">
        <v>188601510</v>
      </c>
      <c r="F126" s="2043">
        <v>2449780507</v>
      </c>
      <c r="G126" s="2043">
        <v>2385152942</v>
      </c>
      <c r="H126" s="2043">
        <v>2638382017</v>
      </c>
      <c r="I126" s="2043">
        <v>2573754452</v>
      </c>
    </row>
    <row r="127" spans="1:9" ht="14.5">
      <c r="A127" t="s">
        <v>9549</v>
      </c>
      <c r="B127" s="2113" t="str">
        <f t="shared" si="1"/>
        <v>031-909</v>
      </c>
      <c r="C127" t="s">
        <v>6121</v>
      </c>
      <c r="D127" s="2043">
        <v>61585868</v>
      </c>
      <c r="E127" s="2043">
        <v>0</v>
      </c>
      <c r="F127" s="2043">
        <v>4006390555</v>
      </c>
      <c r="G127" s="2043">
        <v>3983774687</v>
      </c>
      <c r="H127" s="2043">
        <v>4006390555</v>
      </c>
      <c r="I127" s="2043">
        <v>3983774687</v>
      </c>
    </row>
    <row r="128" spans="1:9" ht="14.5">
      <c r="A128" t="s">
        <v>9550</v>
      </c>
      <c r="B128" s="2113" t="str">
        <f t="shared" si="1"/>
        <v>031-911</v>
      </c>
      <c r="C128" t="s">
        <v>6122</v>
      </c>
      <c r="D128" s="2043">
        <v>34927617</v>
      </c>
      <c r="E128" s="2043">
        <v>21839960</v>
      </c>
      <c r="F128" s="2043">
        <v>316626261</v>
      </c>
      <c r="G128" s="2043">
        <v>304978644</v>
      </c>
      <c r="H128" s="2043">
        <v>338466221</v>
      </c>
      <c r="I128" s="2043">
        <v>326818604</v>
      </c>
    </row>
    <row r="129" spans="1:9" ht="14.5">
      <c r="A129" t="s">
        <v>9551</v>
      </c>
      <c r="B129" s="2113" t="str">
        <f t="shared" si="1"/>
        <v>031-912</v>
      </c>
      <c r="C129" t="s">
        <v>6123</v>
      </c>
      <c r="D129" s="2043">
        <v>148436021</v>
      </c>
      <c r="E129" s="2043">
        <v>0</v>
      </c>
      <c r="F129" s="2043">
        <v>1270167998</v>
      </c>
      <c r="G129" s="2043">
        <v>1220116977</v>
      </c>
      <c r="H129" s="2043">
        <v>1270167998</v>
      </c>
      <c r="I129" s="2043">
        <v>1220116977</v>
      </c>
    </row>
    <row r="130" spans="1:9" ht="14.5">
      <c r="A130" t="s">
        <v>9552</v>
      </c>
      <c r="B130" s="2113" t="str">
        <f t="shared" si="1"/>
        <v>031-913</v>
      </c>
      <c r="C130" t="s">
        <v>6124</v>
      </c>
      <c r="D130" s="2043">
        <v>8005627</v>
      </c>
      <c r="E130" s="2043">
        <v>0</v>
      </c>
      <c r="F130" s="2043">
        <v>70213166</v>
      </c>
      <c r="G130" s="2043">
        <v>67592539</v>
      </c>
      <c r="H130" s="2043">
        <v>70213166</v>
      </c>
      <c r="I130" s="2043">
        <v>67592539</v>
      </c>
    </row>
    <row r="131" spans="1:9" ht="14.5">
      <c r="A131" t="s">
        <v>9553</v>
      </c>
      <c r="B131" s="2113" t="str">
        <f t="shared" ref="B131:B194" si="2">CONCATENATE(RIGHT(LEFT(CONCATENATE("000",A131),6),3),"-",(LEFT(RIGHT(CONCATENATE("000",A131),6),3)))</f>
        <v>031-914</v>
      </c>
      <c r="C131" t="s">
        <v>6125</v>
      </c>
      <c r="D131" s="2043">
        <v>16591811</v>
      </c>
      <c r="E131" s="2043">
        <v>0</v>
      </c>
      <c r="F131" s="2043">
        <v>103799794</v>
      </c>
      <c r="G131" s="2043">
        <v>98067983</v>
      </c>
      <c r="H131" s="2043">
        <v>103799794</v>
      </c>
      <c r="I131" s="2043">
        <v>98067983</v>
      </c>
    </row>
    <row r="132" spans="1:9" ht="14.5">
      <c r="A132" t="s">
        <v>9554</v>
      </c>
      <c r="B132" s="2113" t="str">
        <f t="shared" si="2"/>
        <v>032-902</v>
      </c>
      <c r="C132" t="s">
        <v>6126</v>
      </c>
      <c r="D132" s="2043">
        <v>71493600</v>
      </c>
      <c r="E132" s="2043">
        <v>0</v>
      </c>
      <c r="F132" s="2043">
        <v>925502140</v>
      </c>
      <c r="G132" s="2043">
        <v>898438540</v>
      </c>
      <c r="H132" s="2043">
        <v>925502140</v>
      </c>
      <c r="I132" s="2043">
        <v>898438540</v>
      </c>
    </row>
    <row r="133" spans="1:9" ht="14.5">
      <c r="A133" t="s">
        <v>9555</v>
      </c>
      <c r="B133" s="2113" t="str">
        <f t="shared" si="2"/>
        <v>033-901</v>
      </c>
      <c r="C133" t="s">
        <v>6127</v>
      </c>
      <c r="D133" s="2043">
        <v>5183230</v>
      </c>
      <c r="E133" s="2043">
        <v>276027300</v>
      </c>
      <c r="F133" s="2043">
        <v>115223390</v>
      </c>
      <c r="G133" s="2043">
        <v>113325160</v>
      </c>
      <c r="H133" s="2043">
        <v>391250690</v>
      </c>
      <c r="I133" s="2043">
        <v>389352460</v>
      </c>
    </row>
    <row r="134" spans="1:9" ht="14.5">
      <c r="A134" t="s">
        <v>10580</v>
      </c>
      <c r="B134" s="2113" t="str">
        <f t="shared" si="2"/>
        <v>033-902</v>
      </c>
      <c r="C134" t="s">
        <v>6128</v>
      </c>
      <c r="D134" s="2043">
        <v>22784380</v>
      </c>
      <c r="E134" s="2043">
        <v>194209150</v>
      </c>
      <c r="F134" s="2043">
        <v>516603800</v>
      </c>
      <c r="G134" s="2043">
        <v>507844420</v>
      </c>
      <c r="H134" s="2043">
        <v>710812950</v>
      </c>
      <c r="I134" s="2043">
        <v>702053570</v>
      </c>
    </row>
    <row r="135" spans="1:9" ht="14.5">
      <c r="A135" t="s">
        <v>9556</v>
      </c>
      <c r="B135" s="2113" t="str">
        <f t="shared" si="2"/>
        <v>033-904</v>
      </c>
      <c r="C135" t="s">
        <v>6129</v>
      </c>
      <c r="D135" s="2043">
        <v>10876330</v>
      </c>
      <c r="E135" s="2043">
        <v>102097570</v>
      </c>
      <c r="F135" s="2043">
        <v>223563712</v>
      </c>
      <c r="G135" s="2043">
        <v>219737382</v>
      </c>
      <c r="H135" s="2043">
        <v>325661282</v>
      </c>
      <c r="I135" s="2043">
        <v>321834952</v>
      </c>
    </row>
    <row r="136" spans="1:9" ht="14.5">
      <c r="A136" t="s">
        <v>9557</v>
      </c>
      <c r="B136" s="2113" t="str">
        <f t="shared" si="2"/>
        <v>034-901</v>
      </c>
      <c r="C136" t="s">
        <v>6130</v>
      </c>
      <c r="D136" s="2043">
        <v>64610517</v>
      </c>
      <c r="E136" s="2043">
        <v>0</v>
      </c>
      <c r="F136" s="2043">
        <v>571351122</v>
      </c>
      <c r="G136" s="2043">
        <v>546820605</v>
      </c>
      <c r="H136" s="2043">
        <v>571351122</v>
      </c>
      <c r="I136" s="2043">
        <v>546820605</v>
      </c>
    </row>
    <row r="137" spans="1:9" ht="14.5">
      <c r="A137" t="s">
        <v>9558</v>
      </c>
      <c r="B137" s="2113" t="str">
        <f t="shared" si="2"/>
        <v>034-902</v>
      </c>
      <c r="C137" t="s">
        <v>6131</v>
      </c>
      <c r="D137" s="2043">
        <v>8909285</v>
      </c>
      <c r="E137" s="2043">
        <v>0</v>
      </c>
      <c r="F137" s="2043">
        <v>76661063</v>
      </c>
      <c r="G137" s="2043">
        <v>73196778</v>
      </c>
      <c r="H137" s="2043">
        <v>76661063</v>
      </c>
      <c r="I137" s="2043">
        <v>73196778</v>
      </c>
    </row>
    <row r="138" spans="1:9" ht="14.5">
      <c r="A138" t="s">
        <v>9559</v>
      </c>
      <c r="B138" s="2113" t="str">
        <f t="shared" si="2"/>
        <v>034-903</v>
      </c>
      <c r="C138" t="s">
        <v>6132</v>
      </c>
      <c r="D138" s="2043">
        <v>28407667</v>
      </c>
      <c r="E138" s="2043">
        <v>0</v>
      </c>
      <c r="F138" s="2043">
        <v>283109894</v>
      </c>
      <c r="G138" s="2043">
        <v>272267227</v>
      </c>
      <c r="H138" s="2043">
        <v>283109894</v>
      </c>
      <c r="I138" s="2043">
        <v>272267227</v>
      </c>
    </row>
    <row r="139" spans="1:9" ht="14.5">
      <c r="A139" t="s">
        <v>9560</v>
      </c>
      <c r="B139" s="2113" t="str">
        <f t="shared" si="2"/>
        <v>034-905</v>
      </c>
      <c r="C139" t="s">
        <v>6133</v>
      </c>
      <c r="D139" s="2043">
        <v>36723938</v>
      </c>
      <c r="E139" s="2043">
        <v>0</v>
      </c>
      <c r="F139" s="2043">
        <v>276887883</v>
      </c>
      <c r="G139" s="2043">
        <v>263188945</v>
      </c>
      <c r="H139" s="2043">
        <v>276887883</v>
      </c>
      <c r="I139" s="2043">
        <v>263188945</v>
      </c>
    </row>
    <row r="140" spans="1:9" ht="14.5">
      <c r="A140" t="s">
        <v>9561</v>
      </c>
      <c r="B140" s="2113" t="str">
        <f t="shared" si="2"/>
        <v>034-906</v>
      </c>
      <c r="C140" t="s">
        <v>6134</v>
      </c>
      <c r="D140" s="2043">
        <v>5583921</v>
      </c>
      <c r="E140" s="2043">
        <v>0</v>
      </c>
      <c r="F140" s="2043">
        <v>38425806</v>
      </c>
      <c r="G140" s="2043">
        <v>36441885</v>
      </c>
      <c r="H140" s="2043">
        <v>38425806</v>
      </c>
      <c r="I140" s="2043">
        <v>36441885</v>
      </c>
    </row>
    <row r="141" spans="1:9" ht="14.5">
      <c r="A141" t="s">
        <v>9562</v>
      </c>
      <c r="B141" s="2113" t="str">
        <f t="shared" si="2"/>
        <v>034-907</v>
      </c>
      <c r="C141" t="s">
        <v>6135</v>
      </c>
      <c r="D141" s="2043">
        <v>32626306</v>
      </c>
      <c r="E141" s="2043">
        <v>0</v>
      </c>
      <c r="F141" s="2043">
        <v>551711046</v>
      </c>
      <c r="G141" s="2043">
        <v>539784740</v>
      </c>
      <c r="H141" s="2043">
        <v>551711046</v>
      </c>
      <c r="I141" s="2043">
        <v>539784740</v>
      </c>
    </row>
    <row r="142" spans="1:9" ht="14.5">
      <c r="A142" t="s">
        <v>9563</v>
      </c>
      <c r="B142" s="2113" t="str">
        <f t="shared" si="2"/>
        <v>034-909</v>
      </c>
      <c r="C142" t="s">
        <v>6136</v>
      </c>
      <c r="D142" s="2043">
        <v>7910966</v>
      </c>
      <c r="E142" s="2043">
        <v>0</v>
      </c>
      <c r="F142" s="2043">
        <v>51890751</v>
      </c>
      <c r="G142" s="2043">
        <v>48914785</v>
      </c>
      <c r="H142" s="2043">
        <v>51890751</v>
      </c>
      <c r="I142" s="2043">
        <v>48914785</v>
      </c>
    </row>
    <row r="143" spans="1:9" ht="14.5">
      <c r="A143" t="s">
        <v>9564</v>
      </c>
      <c r="B143" s="2113" t="str">
        <f t="shared" si="2"/>
        <v>035-901</v>
      </c>
      <c r="C143" t="s">
        <v>6137</v>
      </c>
      <c r="D143" s="2043">
        <v>21320010</v>
      </c>
      <c r="E143" s="2043">
        <v>463253260</v>
      </c>
      <c r="F143" s="2043">
        <v>301636244</v>
      </c>
      <c r="G143" s="2043">
        <v>294056234</v>
      </c>
      <c r="H143" s="2043">
        <v>764889504</v>
      </c>
      <c r="I143" s="2043">
        <v>757309494</v>
      </c>
    </row>
    <row r="144" spans="1:9" ht="14.5">
      <c r="A144" t="s">
        <v>9565</v>
      </c>
      <c r="B144" s="2113" t="str">
        <f t="shared" si="2"/>
        <v>035-902</v>
      </c>
      <c r="C144" t="s">
        <v>6138</v>
      </c>
      <c r="D144" s="2043">
        <v>4953120</v>
      </c>
      <c r="E144" s="2043">
        <v>0</v>
      </c>
      <c r="F144" s="2043">
        <v>77581000</v>
      </c>
      <c r="G144" s="2043">
        <v>75957880</v>
      </c>
      <c r="H144" s="2043">
        <v>77581000</v>
      </c>
      <c r="I144" s="2043">
        <v>75957880</v>
      </c>
    </row>
    <row r="145" spans="1:9" ht="14.5">
      <c r="A145" t="s">
        <v>9566</v>
      </c>
      <c r="B145" s="2113" t="str">
        <f t="shared" si="2"/>
        <v>035-903</v>
      </c>
      <c r="C145" t="s">
        <v>6139</v>
      </c>
      <c r="D145" s="2043">
        <v>4664430</v>
      </c>
      <c r="E145" s="2043">
        <v>0</v>
      </c>
      <c r="F145" s="2043">
        <v>76848225</v>
      </c>
      <c r="G145" s="2043">
        <v>75033795</v>
      </c>
      <c r="H145" s="2043">
        <v>76848225</v>
      </c>
      <c r="I145" s="2043">
        <v>75033795</v>
      </c>
    </row>
    <row r="146" spans="1:9" ht="14.5">
      <c r="A146" t="s">
        <v>9567</v>
      </c>
      <c r="B146" s="2113" t="str">
        <f t="shared" si="2"/>
        <v>036-901</v>
      </c>
      <c r="C146" t="s">
        <v>6140</v>
      </c>
      <c r="D146" s="2043">
        <v>46457130</v>
      </c>
      <c r="E146" s="2043">
        <v>0</v>
      </c>
      <c r="F146" s="2043">
        <v>715130499</v>
      </c>
      <c r="G146" s="2043">
        <v>697908369</v>
      </c>
      <c r="H146" s="2043">
        <v>715130499</v>
      </c>
      <c r="I146" s="2043">
        <v>697908369</v>
      </c>
    </row>
    <row r="147" spans="1:9" ht="14.5">
      <c r="A147" t="s">
        <v>9568</v>
      </c>
      <c r="B147" s="2113" t="str">
        <f t="shared" si="2"/>
        <v>036-902</v>
      </c>
      <c r="C147" t="s">
        <v>6141</v>
      </c>
      <c r="D147" s="2043">
        <v>157045190</v>
      </c>
      <c r="E147" s="2043">
        <v>6769536667</v>
      </c>
      <c r="F147" s="2043">
        <v>7342222125</v>
      </c>
      <c r="G147" s="2043">
        <v>7280321935</v>
      </c>
      <c r="H147" s="2043">
        <v>14111758792</v>
      </c>
      <c r="I147" s="2043">
        <v>14049858602</v>
      </c>
    </row>
    <row r="148" spans="1:9" ht="14.5">
      <c r="A148" t="s">
        <v>9569</v>
      </c>
      <c r="B148" s="2113" t="str">
        <f t="shared" si="2"/>
        <v>036-903</v>
      </c>
      <c r="C148" t="s">
        <v>6142</v>
      </c>
      <c r="D148" s="2043">
        <v>32269840</v>
      </c>
      <c r="E148" s="2043">
        <v>0</v>
      </c>
      <c r="F148" s="2043">
        <v>340152252</v>
      </c>
      <c r="G148" s="2043">
        <v>328342412</v>
      </c>
      <c r="H148" s="2043">
        <v>340152252</v>
      </c>
      <c r="I148" s="2043">
        <v>328342412</v>
      </c>
    </row>
    <row r="149" spans="1:9" ht="14.5">
      <c r="A149" t="s">
        <v>9570</v>
      </c>
      <c r="B149" s="2113" t="str">
        <f t="shared" si="2"/>
        <v>037-901</v>
      </c>
      <c r="C149" t="s">
        <v>6143</v>
      </c>
      <c r="D149" s="2043">
        <v>16989264</v>
      </c>
      <c r="E149" s="2043">
        <v>0</v>
      </c>
      <c r="F149" s="2043">
        <v>163433568</v>
      </c>
      <c r="G149" s="2043">
        <v>157964304</v>
      </c>
      <c r="H149" s="2043">
        <v>163433568</v>
      </c>
      <c r="I149" s="2043">
        <v>157964304</v>
      </c>
    </row>
    <row r="150" spans="1:9" ht="14.5">
      <c r="A150" t="s">
        <v>10581</v>
      </c>
      <c r="B150" s="2113" t="str">
        <f t="shared" si="2"/>
        <v>037-904</v>
      </c>
      <c r="C150" t="s">
        <v>6144</v>
      </c>
      <c r="D150" s="2043">
        <v>124220274</v>
      </c>
      <c r="E150" s="2043">
        <v>0</v>
      </c>
      <c r="F150" s="2043">
        <v>1403126842</v>
      </c>
      <c r="G150" s="2043">
        <v>1358286568</v>
      </c>
      <c r="H150" s="2043">
        <v>1403126842</v>
      </c>
      <c r="I150" s="2043">
        <v>1358286568</v>
      </c>
    </row>
    <row r="151" spans="1:9" ht="14.5">
      <c r="A151" t="s">
        <v>10582</v>
      </c>
      <c r="B151" s="2113" t="str">
        <f t="shared" si="2"/>
        <v>037-907</v>
      </c>
      <c r="C151" t="s">
        <v>6145</v>
      </c>
      <c r="D151" s="2043">
        <v>57139017</v>
      </c>
      <c r="E151" s="2043">
        <v>0</v>
      </c>
      <c r="F151" s="2043">
        <v>466661404</v>
      </c>
      <c r="G151" s="2043">
        <v>447487387</v>
      </c>
      <c r="H151" s="2043">
        <v>466661404</v>
      </c>
      <c r="I151" s="2043">
        <v>447487387</v>
      </c>
    </row>
    <row r="152" spans="1:9" ht="14.5">
      <c r="A152" t="s">
        <v>9571</v>
      </c>
      <c r="B152" s="2113" t="str">
        <f t="shared" si="2"/>
        <v>037-908</v>
      </c>
      <c r="C152" t="s">
        <v>6146</v>
      </c>
      <c r="D152" s="2043">
        <v>7913627</v>
      </c>
      <c r="E152" s="2043">
        <v>0</v>
      </c>
      <c r="F152" s="2043">
        <v>78868799</v>
      </c>
      <c r="G152" s="2043">
        <v>76445172</v>
      </c>
      <c r="H152" s="2043">
        <v>78868799</v>
      </c>
      <c r="I152" s="2043">
        <v>76445172</v>
      </c>
    </row>
    <row r="153" spans="1:9" ht="14.5">
      <c r="A153" t="s">
        <v>9572</v>
      </c>
      <c r="B153" s="2113" t="str">
        <f t="shared" si="2"/>
        <v>037-909</v>
      </c>
      <c r="C153" t="s">
        <v>6147</v>
      </c>
      <c r="D153" s="2043">
        <v>9413183</v>
      </c>
      <c r="E153" s="2043">
        <v>0</v>
      </c>
      <c r="F153" s="2043">
        <v>98249065</v>
      </c>
      <c r="G153" s="2043">
        <v>95165882</v>
      </c>
      <c r="H153" s="2043">
        <v>98249065</v>
      </c>
      <c r="I153" s="2043">
        <v>95165882</v>
      </c>
    </row>
    <row r="154" spans="1:9" ht="14.5">
      <c r="A154" t="s">
        <v>9573</v>
      </c>
      <c r="B154" s="2113" t="str">
        <f t="shared" si="2"/>
        <v>038-901</v>
      </c>
      <c r="C154" t="s">
        <v>6148</v>
      </c>
      <c r="D154" s="2043">
        <v>34051458</v>
      </c>
      <c r="E154" s="2043">
        <v>204575960</v>
      </c>
      <c r="F154" s="2043">
        <v>481983419</v>
      </c>
      <c r="G154" s="2043">
        <v>469396961</v>
      </c>
      <c r="H154" s="2043">
        <v>686559379</v>
      </c>
      <c r="I154" s="2043">
        <v>673972921</v>
      </c>
    </row>
    <row r="155" spans="1:9" ht="14.5">
      <c r="A155" t="s">
        <v>10583</v>
      </c>
      <c r="B155" s="2113" t="str">
        <f t="shared" si="2"/>
        <v>039-902</v>
      </c>
      <c r="C155" t="s">
        <v>6149</v>
      </c>
      <c r="D155" s="2043">
        <v>38081630</v>
      </c>
      <c r="E155" s="2043">
        <v>0</v>
      </c>
      <c r="F155" s="2043">
        <v>429938089</v>
      </c>
      <c r="G155" s="2043">
        <v>418061459</v>
      </c>
      <c r="H155" s="2043">
        <v>429938089</v>
      </c>
      <c r="I155" s="2043">
        <v>418061459</v>
      </c>
    </row>
    <row r="156" spans="1:9" ht="14.5">
      <c r="A156" t="s">
        <v>10584</v>
      </c>
      <c r="B156" s="2113" t="str">
        <f t="shared" si="2"/>
        <v>039-903</v>
      </c>
      <c r="C156" t="s">
        <v>6150</v>
      </c>
      <c r="D156" s="2043">
        <v>18680955</v>
      </c>
      <c r="E156" s="2043">
        <v>0</v>
      </c>
      <c r="F156" s="2043">
        <v>163461404</v>
      </c>
      <c r="G156" s="2043">
        <v>156660449</v>
      </c>
      <c r="H156" s="2043">
        <v>163461404</v>
      </c>
      <c r="I156" s="2043">
        <v>156660449</v>
      </c>
    </row>
    <row r="157" spans="1:9" ht="14.5">
      <c r="A157" t="s">
        <v>10585</v>
      </c>
      <c r="B157" s="2113" t="str">
        <f t="shared" si="2"/>
        <v>039-904</v>
      </c>
      <c r="C157" t="s">
        <v>6151</v>
      </c>
      <c r="D157" s="2043">
        <v>4763140</v>
      </c>
      <c r="E157" s="2043">
        <v>0</v>
      </c>
      <c r="F157" s="2043">
        <v>136849219</v>
      </c>
      <c r="G157" s="2043">
        <v>135221079</v>
      </c>
      <c r="H157" s="2043">
        <v>136849219</v>
      </c>
      <c r="I157" s="2043">
        <v>135221079</v>
      </c>
    </row>
    <row r="158" spans="1:9" ht="14.5">
      <c r="A158" t="s">
        <v>10586</v>
      </c>
      <c r="B158" s="2113" t="str">
        <f t="shared" si="2"/>
        <v>039-905</v>
      </c>
      <c r="C158" t="s">
        <v>6152</v>
      </c>
      <c r="D158" s="2043">
        <v>6528750</v>
      </c>
      <c r="E158" s="2043">
        <v>159259180</v>
      </c>
      <c r="F158" s="2043">
        <v>88127807</v>
      </c>
      <c r="G158" s="2043">
        <v>85754057</v>
      </c>
      <c r="H158" s="2043">
        <v>247386987</v>
      </c>
      <c r="I158" s="2043">
        <v>245013237</v>
      </c>
    </row>
    <row r="159" spans="1:9" ht="14.5">
      <c r="A159" t="s">
        <v>9574</v>
      </c>
      <c r="B159" s="2113" t="str">
        <f t="shared" si="2"/>
        <v>040-901</v>
      </c>
      <c r="C159" t="s">
        <v>6153</v>
      </c>
      <c r="D159" s="2043">
        <v>9059959</v>
      </c>
      <c r="E159" s="2043">
        <v>0</v>
      </c>
      <c r="F159" s="2043">
        <v>55681272</v>
      </c>
      <c r="G159" s="2043">
        <v>53926313</v>
      </c>
      <c r="H159" s="2043">
        <v>55681272</v>
      </c>
      <c r="I159" s="2043">
        <v>53926313</v>
      </c>
    </row>
    <row r="160" spans="1:9" ht="14.5">
      <c r="A160" t="s">
        <v>9575</v>
      </c>
      <c r="B160" s="2113" t="str">
        <f t="shared" si="2"/>
        <v>040-902</v>
      </c>
      <c r="C160" t="s">
        <v>6154</v>
      </c>
      <c r="D160" s="2043">
        <v>3894325</v>
      </c>
      <c r="E160" s="2043">
        <v>116079044</v>
      </c>
      <c r="F160" s="2043">
        <v>451032881</v>
      </c>
      <c r="G160" s="2043">
        <v>450198556</v>
      </c>
      <c r="H160" s="2043">
        <v>567111925</v>
      </c>
      <c r="I160" s="2043">
        <v>566277600</v>
      </c>
    </row>
    <row r="161" spans="1:9" ht="14.5">
      <c r="A161" t="s">
        <v>9576</v>
      </c>
      <c r="B161" s="2113" t="str">
        <f t="shared" si="2"/>
        <v>041-901</v>
      </c>
      <c r="C161" t="s">
        <v>6155</v>
      </c>
      <c r="D161" s="2043">
        <v>10339150</v>
      </c>
      <c r="E161" s="2043">
        <v>0</v>
      </c>
      <c r="F161" s="2043">
        <v>143610231</v>
      </c>
      <c r="G161" s="2043">
        <v>139691081</v>
      </c>
      <c r="H161" s="2043">
        <v>143610231</v>
      </c>
      <c r="I161" s="2043">
        <v>139691081</v>
      </c>
    </row>
    <row r="162" spans="1:9" ht="14.5">
      <c r="A162" t="s">
        <v>9577</v>
      </c>
      <c r="B162" s="2113" t="str">
        <f t="shared" si="2"/>
        <v>041-902</v>
      </c>
      <c r="C162" t="s">
        <v>6156</v>
      </c>
      <c r="D162" s="2043">
        <v>12389345</v>
      </c>
      <c r="E162" s="2043">
        <v>0</v>
      </c>
      <c r="F162" s="2043">
        <v>253590697</v>
      </c>
      <c r="G162" s="2043">
        <v>249331352</v>
      </c>
      <c r="H162" s="2043">
        <v>253590697</v>
      </c>
      <c r="I162" s="2043">
        <v>249331352</v>
      </c>
    </row>
    <row r="163" spans="1:9" ht="14.5">
      <c r="A163" t="s">
        <v>9578</v>
      </c>
      <c r="B163" s="2113" t="str">
        <f t="shared" si="2"/>
        <v>042-901</v>
      </c>
      <c r="C163" t="s">
        <v>6157</v>
      </c>
      <c r="D163" s="2043">
        <v>36750129</v>
      </c>
      <c r="E163" s="2043">
        <v>0</v>
      </c>
      <c r="F163" s="2043">
        <v>221337902</v>
      </c>
      <c r="G163" s="2043">
        <v>209847773</v>
      </c>
      <c r="H163" s="2043">
        <v>221337902</v>
      </c>
      <c r="I163" s="2043">
        <v>209847773</v>
      </c>
    </row>
    <row r="164" spans="1:9" ht="14.5">
      <c r="A164" t="s">
        <v>9579</v>
      </c>
      <c r="B164" s="2113" t="str">
        <f t="shared" si="2"/>
        <v>042-903</v>
      </c>
      <c r="C164" t="s">
        <v>6158</v>
      </c>
      <c r="D164" s="2043">
        <v>11111340</v>
      </c>
      <c r="E164" s="2043">
        <v>0</v>
      </c>
      <c r="F164" s="2043">
        <v>111451272</v>
      </c>
      <c r="G164" s="2043">
        <v>107734932</v>
      </c>
      <c r="H164" s="2043">
        <v>111451272</v>
      </c>
      <c r="I164" s="2043">
        <v>107734932</v>
      </c>
    </row>
    <row r="165" spans="1:9" ht="14.5">
      <c r="A165" t="s">
        <v>9580</v>
      </c>
      <c r="B165" s="2113" t="str">
        <f t="shared" si="2"/>
        <v>042-905</v>
      </c>
      <c r="C165" t="s">
        <v>6159</v>
      </c>
      <c r="D165" s="2043">
        <v>8480990</v>
      </c>
      <c r="E165" s="2043">
        <v>0</v>
      </c>
      <c r="F165" s="2043">
        <v>133673838</v>
      </c>
      <c r="G165" s="2043">
        <v>130877848</v>
      </c>
      <c r="H165" s="2043">
        <v>133673838</v>
      </c>
      <c r="I165" s="2043">
        <v>130877848</v>
      </c>
    </row>
    <row r="166" spans="1:9" ht="14.5">
      <c r="A166" t="s">
        <v>9581</v>
      </c>
      <c r="B166" s="2113" t="str">
        <f t="shared" si="2"/>
        <v>043-901</v>
      </c>
      <c r="C166" t="s">
        <v>6160</v>
      </c>
      <c r="D166" s="2043">
        <v>572640048</v>
      </c>
      <c r="E166" s="2043">
        <v>0</v>
      </c>
      <c r="F166" s="2043">
        <v>15776053280</v>
      </c>
      <c r="G166" s="2043">
        <v>15549658232</v>
      </c>
      <c r="H166" s="2043">
        <v>15776053280</v>
      </c>
      <c r="I166" s="2043">
        <v>15549658232</v>
      </c>
    </row>
    <row r="167" spans="1:9" ht="14.5">
      <c r="A167" t="s">
        <v>9582</v>
      </c>
      <c r="B167" s="2113" t="str">
        <f t="shared" si="2"/>
        <v>043-902</v>
      </c>
      <c r="C167" t="s">
        <v>6161</v>
      </c>
      <c r="D167" s="2043">
        <v>98371479</v>
      </c>
      <c r="E167" s="2043">
        <v>0</v>
      </c>
      <c r="F167" s="2043">
        <v>1721592652</v>
      </c>
      <c r="G167" s="2043">
        <v>1683311173</v>
      </c>
      <c r="H167" s="2043">
        <v>1721592652</v>
      </c>
      <c r="I167" s="2043">
        <v>1683311173</v>
      </c>
    </row>
    <row r="168" spans="1:9" ht="14.5">
      <c r="A168" t="s">
        <v>9583</v>
      </c>
      <c r="B168" s="2113" t="str">
        <f t="shared" si="2"/>
        <v>043-903</v>
      </c>
      <c r="C168" t="s">
        <v>6162</v>
      </c>
      <c r="D168" s="2043">
        <v>76808930</v>
      </c>
      <c r="E168" s="2043">
        <v>0</v>
      </c>
      <c r="F168" s="2043">
        <v>1806615982</v>
      </c>
      <c r="G168" s="2043">
        <v>1776562052</v>
      </c>
      <c r="H168" s="2043">
        <v>1806615982</v>
      </c>
      <c r="I168" s="2043">
        <v>1776562052</v>
      </c>
    </row>
    <row r="169" spans="1:9" ht="14.5">
      <c r="A169" t="s">
        <v>10587</v>
      </c>
      <c r="B169" s="2113" t="str">
        <f t="shared" si="2"/>
        <v>043-904</v>
      </c>
      <c r="C169" t="s">
        <v>6163</v>
      </c>
      <c r="D169" s="2043">
        <v>48786475</v>
      </c>
      <c r="E169" s="2043">
        <v>0</v>
      </c>
      <c r="F169" s="2043">
        <v>784941648</v>
      </c>
      <c r="G169" s="2043">
        <v>766440173</v>
      </c>
      <c r="H169" s="2043">
        <v>784941648</v>
      </c>
      <c r="I169" s="2043">
        <v>766440173</v>
      </c>
    </row>
    <row r="170" spans="1:9" ht="14.5">
      <c r="A170" t="s">
        <v>9584</v>
      </c>
      <c r="B170" s="2113" t="str">
        <f t="shared" si="2"/>
        <v>043-905</v>
      </c>
      <c r="C170" t="s">
        <v>6164</v>
      </c>
      <c r="D170" s="2043">
        <v>1269308454</v>
      </c>
      <c r="E170" s="2043">
        <v>0</v>
      </c>
      <c r="F170" s="2043">
        <v>44398891405</v>
      </c>
      <c r="G170" s="2043">
        <v>43895017951</v>
      </c>
      <c r="H170" s="2043">
        <v>44398891405</v>
      </c>
      <c r="I170" s="2043">
        <v>43895017951</v>
      </c>
    </row>
    <row r="171" spans="1:9" ht="14.5">
      <c r="A171" t="s">
        <v>9585</v>
      </c>
      <c r="B171" s="2113" t="str">
        <f t="shared" si="2"/>
        <v>043-907</v>
      </c>
      <c r="C171" t="s">
        <v>6165</v>
      </c>
      <c r="D171" s="2043">
        <v>679142598</v>
      </c>
      <c r="E171" s="2043">
        <v>0</v>
      </c>
      <c r="F171" s="2043">
        <v>17521670332</v>
      </c>
      <c r="G171" s="2043">
        <v>17254817734</v>
      </c>
      <c r="H171" s="2043">
        <v>17521670332</v>
      </c>
      <c r="I171" s="2043">
        <v>17254817734</v>
      </c>
    </row>
    <row r="172" spans="1:9" ht="14.5">
      <c r="A172" t="s">
        <v>9586</v>
      </c>
      <c r="B172" s="2113" t="str">
        <f t="shared" si="2"/>
        <v>043-908</v>
      </c>
      <c r="C172" t="s">
        <v>6166</v>
      </c>
      <c r="D172" s="2043">
        <v>93028563</v>
      </c>
      <c r="E172" s="2043">
        <v>0</v>
      </c>
      <c r="F172" s="2043">
        <v>1784026423</v>
      </c>
      <c r="G172" s="2043">
        <v>1747562860</v>
      </c>
      <c r="H172" s="2043">
        <v>1784026423</v>
      </c>
      <c r="I172" s="2043">
        <v>1747562860</v>
      </c>
    </row>
    <row r="173" spans="1:9" ht="14.5">
      <c r="A173" t="s">
        <v>10588</v>
      </c>
      <c r="B173" s="2113" t="str">
        <f t="shared" si="2"/>
        <v>043-910</v>
      </c>
      <c r="C173" t="s">
        <v>6167</v>
      </c>
      <c r="D173" s="2043">
        <v>1755868383</v>
      </c>
      <c r="E173" s="2043">
        <v>0</v>
      </c>
      <c r="F173" s="2043">
        <v>58981777630</v>
      </c>
      <c r="G173" s="2043">
        <v>58287654247</v>
      </c>
      <c r="H173" s="2043">
        <v>58981777630</v>
      </c>
      <c r="I173" s="2043">
        <v>58287654247</v>
      </c>
    </row>
    <row r="174" spans="1:9" ht="14.5">
      <c r="A174" t="s">
        <v>9587</v>
      </c>
      <c r="B174" s="2113" t="str">
        <f t="shared" si="2"/>
        <v>043-911</v>
      </c>
      <c r="C174" t="s">
        <v>6168</v>
      </c>
      <c r="D174" s="2043">
        <v>112410834</v>
      </c>
      <c r="E174" s="2043">
        <v>0</v>
      </c>
      <c r="F174" s="2043">
        <v>1778344353</v>
      </c>
      <c r="G174" s="2043">
        <v>1736013519</v>
      </c>
      <c r="H174" s="2043">
        <v>1778344353</v>
      </c>
      <c r="I174" s="2043">
        <v>1736013519</v>
      </c>
    </row>
    <row r="175" spans="1:9" ht="14.5">
      <c r="A175" t="s">
        <v>9588</v>
      </c>
      <c r="B175" s="2113" t="str">
        <f t="shared" si="2"/>
        <v>043-912</v>
      </c>
      <c r="C175" t="s">
        <v>6169</v>
      </c>
      <c r="D175" s="2043">
        <v>404963417</v>
      </c>
      <c r="E175" s="2043">
        <v>0</v>
      </c>
      <c r="F175" s="2043">
        <v>11131959376</v>
      </c>
      <c r="G175" s="2043">
        <v>10972050959</v>
      </c>
      <c r="H175" s="2043">
        <v>11131959376</v>
      </c>
      <c r="I175" s="2043">
        <v>10972050959</v>
      </c>
    </row>
    <row r="176" spans="1:9" ht="14.5">
      <c r="A176" t="s">
        <v>9589</v>
      </c>
      <c r="B176" s="2113" t="str">
        <f t="shared" si="2"/>
        <v>043-914</v>
      </c>
      <c r="C176" t="s">
        <v>6170</v>
      </c>
      <c r="D176" s="2043">
        <v>430071612</v>
      </c>
      <c r="E176" s="2043">
        <v>0</v>
      </c>
      <c r="F176" s="2043">
        <v>7497615831</v>
      </c>
      <c r="G176" s="2043">
        <v>7329894219</v>
      </c>
      <c r="H176" s="2043">
        <v>7497615831</v>
      </c>
      <c r="I176" s="2043">
        <v>7329894219</v>
      </c>
    </row>
    <row r="177" spans="1:9" ht="14.5">
      <c r="A177" t="s">
        <v>9590</v>
      </c>
      <c r="B177" s="2113" t="str">
        <f t="shared" si="2"/>
        <v>043-917</v>
      </c>
      <c r="C177" t="s">
        <v>6171</v>
      </c>
      <c r="D177" s="2043">
        <v>23581969</v>
      </c>
      <c r="E177" s="2043">
        <v>0</v>
      </c>
      <c r="F177" s="2043">
        <v>335241384</v>
      </c>
      <c r="G177" s="2043">
        <v>326434415</v>
      </c>
      <c r="H177" s="2043">
        <v>335241384</v>
      </c>
      <c r="I177" s="2043">
        <v>326434415</v>
      </c>
    </row>
    <row r="178" spans="1:9" ht="14.5">
      <c r="A178" t="s">
        <v>9591</v>
      </c>
      <c r="B178" s="2113" t="str">
        <f t="shared" si="2"/>
        <v>043-918</v>
      </c>
      <c r="C178" t="s">
        <v>6172</v>
      </c>
      <c r="D178" s="2043">
        <v>87029091</v>
      </c>
      <c r="E178" s="2043">
        <v>0</v>
      </c>
      <c r="F178" s="2043">
        <v>1230608342</v>
      </c>
      <c r="G178" s="2043">
        <v>1197444251</v>
      </c>
      <c r="H178" s="2043">
        <v>1230608342</v>
      </c>
      <c r="I178" s="2043">
        <v>1197444251</v>
      </c>
    </row>
    <row r="179" spans="1:9" ht="14.5">
      <c r="A179" t="s">
        <v>9592</v>
      </c>
      <c r="B179" s="2113" t="str">
        <f t="shared" si="2"/>
        <v>043-919</v>
      </c>
      <c r="C179" t="s">
        <v>6173</v>
      </c>
      <c r="D179" s="2043">
        <v>115310383</v>
      </c>
      <c r="E179" s="2043">
        <v>0</v>
      </c>
      <c r="F179" s="2043">
        <v>2926315837</v>
      </c>
      <c r="G179" s="2043">
        <v>2880725454</v>
      </c>
      <c r="H179" s="2043">
        <v>2926315837</v>
      </c>
      <c r="I179" s="2043">
        <v>2880725454</v>
      </c>
    </row>
    <row r="180" spans="1:9" ht="14.5">
      <c r="A180" t="s">
        <v>9593</v>
      </c>
      <c r="B180" s="2113" t="str">
        <f t="shared" si="2"/>
        <v>044-902</v>
      </c>
      <c r="C180" t="s">
        <v>6174</v>
      </c>
      <c r="D180" s="2043">
        <v>16753777</v>
      </c>
      <c r="E180" s="2043">
        <v>0</v>
      </c>
      <c r="F180" s="2043">
        <v>203728684</v>
      </c>
      <c r="G180" s="2043">
        <v>198149907</v>
      </c>
      <c r="H180" s="2043">
        <v>203728684</v>
      </c>
      <c r="I180" s="2043">
        <v>198149907</v>
      </c>
    </row>
    <row r="181" spans="1:9" ht="14.5">
      <c r="A181" t="s">
        <v>9594</v>
      </c>
      <c r="B181" s="2113" t="str">
        <f t="shared" si="2"/>
        <v>045-902</v>
      </c>
      <c r="C181" t="s">
        <v>6175</v>
      </c>
      <c r="D181" s="2043">
        <v>70126227</v>
      </c>
      <c r="E181" s="2043">
        <v>0</v>
      </c>
      <c r="F181" s="2043">
        <v>1282525553</v>
      </c>
      <c r="G181" s="2043">
        <v>1256859326</v>
      </c>
      <c r="H181" s="2043">
        <v>1282525553</v>
      </c>
      <c r="I181" s="2043">
        <v>1256859326</v>
      </c>
    </row>
    <row r="182" spans="1:9" ht="14.5">
      <c r="A182" t="s">
        <v>9595</v>
      </c>
      <c r="B182" s="2113" t="str">
        <f t="shared" si="2"/>
        <v>045-903</v>
      </c>
      <c r="C182" t="s">
        <v>6176</v>
      </c>
      <c r="D182" s="2043">
        <v>39952818</v>
      </c>
      <c r="E182" s="2043">
        <v>0</v>
      </c>
      <c r="F182" s="2043">
        <v>865777049</v>
      </c>
      <c r="G182" s="2043">
        <v>852284231</v>
      </c>
      <c r="H182" s="2043">
        <v>865777049</v>
      </c>
      <c r="I182" s="2043">
        <v>852284231</v>
      </c>
    </row>
    <row r="183" spans="1:9" ht="14.5">
      <c r="A183" t="s">
        <v>9596</v>
      </c>
      <c r="B183" s="2113" t="str">
        <f t="shared" si="2"/>
        <v>045-905</v>
      </c>
      <c r="C183" t="s">
        <v>6177</v>
      </c>
      <c r="D183" s="2043">
        <v>33890618</v>
      </c>
      <c r="E183" s="2043">
        <v>0</v>
      </c>
      <c r="F183" s="2043">
        <v>446050230</v>
      </c>
      <c r="G183" s="2043">
        <v>434039612</v>
      </c>
      <c r="H183" s="2043">
        <v>446050230</v>
      </c>
      <c r="I183" s="2043">
        <v>434039612</v>
      </c>
    </row>
    <row r="184" spans="1:9" ht="14.5">
      <c r="A184" t="s">
        <v>9597</v>
      </c>
      <c r="B184" s="2113" t="str">
        <f t="shared" si="2"/>
        <v>046-901</v>
      </c>
      <c r="C184" t="s">
        <v>6178</v>
      </c>
      <c r="D184" s="2043">
        <v>345820241</v>
      </c>
      <c r="E184" s="2043">
        <v>0</v>
      </c>
      <c r="F184" s="2043">
        <v>6648888167</v>
      </c>
      <c r="G184" s="2043">
        <v>6515992926</v>
      </c>
      <c r="H184" s="2043">
        <v>6648888167</v>
      </c>
      <c r="I184" s="2043">
        <v>6515992926</v>
      </c>
    </row>
    <row r="185" spans="1:9" ht="14.5">
      <c r="A185" t="s">
        <v>9598</v>
      </c>
      <c r="B185" s="2113" t="str">
        <f t="shared" si="2"/>
        <v>046-902</v>
      </c>
      <c r="C185" t="s">
        <v>6179</v>
      </c>
      <c r="D185" s="2043">
        <v>973240931</v>
      </c>
      <c r="E185" s="2043">
        <v>68000000</v>
      </c>
      <c r="F185" s="2043">
        <v>22041269916</v>
      </c>
      <c r="G185" s="2043">
        <v>21677883985</v>
      </c>
      <c r="H185" s="2043">
        <v>22109269916</v>
      </c>
      <c r="I185" s="2043">
        <v>21745883985</v>
      </c>
    </row>
    <row r="186" spans="1:9" ht="14.5">
      <c r="A186" t="s">
        <v>9599</v>
      </c>
      <c r="B186" s="2113" t="str">
        <f t="shared" si="2"/>
        <v>047-901</v>
      </c>
      <c r="C186" t="s">
        <v>6180</v>
      </c>
      <c r="D186" s="2043">
        <v>45863471</v>
      </c>
      <c r="E186" s="2043">
        <v>98327080</v>
      </c>
      <c r="F186" s="2043">
        <v>495224892</v>
      </c>
      <c r="G186" s="2043">
        <v>479256421</v>
      </c>
      <c r="H186" s="2043">
        <v>593551972</v>
      </c>
      <c r="I186" s="2043">
        <v>577583501</v>
      </c>
    </row>
    <row r="187" spans="1:9" ht="14.5">
      <c r="A187" t="s">
        <v>9600</v>
      </c>
      <c r="B187" s="2113" t="str">
        <f t="shared" si="2"/>
        <v>047-902</v>
      </c>
      <c r="C187" t="s">
        <v>6181</v>
      </c>
      <c r="D187" s="2043">
        <v>29691969</v>
      </c>
      <c r="E187" s="2043">
        <v>0</v>
      </c>
      <c r="F187" s="2043">
        <v>237420800</v>
      </c>
      <c r="G187" s="2043">
        <v>227363831</v>
      </c>
      <c r="H187" s="2043">
        <v>237420800</v>
      </c>
      <c r="I187" s="2043">
        <v>227363831</v>
      </c>
    </row>
    <row r="188" spans="1:9" ht="14.5">
      <c r="A188" t="s">
        <v>9601</v>
      </c>
      <c r="B188" s="2113" t="str">
        <f t="shared" si="2"/>
        <v>047-903</v>
      </c>
      <c r="C188" t="s">
        <v>6182</v>
      </c>
      <c r="D188" s="2043">
        <v>6797842</v>
      </c>
      <c r="E188" s="2043">
        <v>0</v>
      </c>
      <c r="F188" s="2043">
        <v>86512202</v>
      </c>
      <c r="G188" s="2043">
        <v>84109360</v>
      </c>
      <c r="H188" s="2043">
        <v>86512202</v>
      </c>
      <c r="I188" s="2043">
        <v>84109360</v>
      </c>
    </row>
    <row r="189" spans="1:9" ht="14.5">
      <c r="A189" t="s">
        <v>9602</v>
      </c>
      <c r="B189" s="2113" t="str">
        <f t="shared" si="2"/>
        <v>047-905</v>
      </c>
      <c r="C189" t="s">
        <v>6183</v>
      </c>
      <c r="D189" s="2043">
        <v>4513565</v>
      </c>
      <c r="E189" s="2043">
        <v>0</v>
      </c>
      <c r="F189" s="2043">
        <v>41264203</v>
      </c>
      <c r="G189" s="2043">
        <v>39570638</v>
      </c>
      <c r="H189" s="2043">
        <v>41264203</v>
      </c>
      <c r="I189" s="2043">
        <v>39570638</v>
      </c>
    </row>
    <row r="190" spans="1:9" ht="14.5">
      <c r="A190" t="s">
        <v>9603</v>
      </c>
      <c r="B190" s="2113" t="str">
        <f t="shared" si="2"/>
        <v>048-901</v>
      </c>
      <c r="C190" t="s">
        <v>6184</v>
      </c>
      <c r="D190" s="2043">
        <v>10802776</v>
      </c>
      <c r="E190" s="2043">
        <v>114065196</v>
      </c>
      <c r="F190" s="2043">
        <v>208764451</v>
      </c>
      <c r="G190" s="2043">
        <v>204906675</v>
      </c>
      <c r="H190" s="2043">
        <v>322829647</v>
      </c>
      <c r="I190" s="2043">
        <v>318971871</v>
      </c>
    </row>
    <row r="191" spans="1:9" ht="14.5">
      <c r="A191" t="s">
        <v>9604</v>
      </c>
      <c r="B191" s="2113" t="str">
        <f t="shared" si="2"/>
        <v>048-903</v>
      </c>
      <c r="C191" t="s">
        <v>6185</v>
      </c>
      <c r="D191" s="2043">
        <v>5553150</v>
      </c>
      <c r="E191" s="2043">
        <v>0</v>
      </c>
      <c r="F191" s="2043">
        <v>105410230</v>
      </c>
      <c r="G191" s="2043">
        <v>103457080</v>
      </c>
      <c r="H191" s="2043">
        <v>105410230</v>
      </c>
      <c r="I191" s="2043">
        <v>103457080</v>
      </c>
    </row>
    <row r="192" spans="1:9" ht="14.5">
      <c r="A192" t="s">
        <v>9605</v>
      </c>
      <c r="B192" s="2113" t="str">
        <f t="shared" si="2"/>
        <v>049-901</v>
      </c>
      <c r="C192" t="s">
        <v>6186</v>
      </c>
      <c r="D192" s="2043">
        <v>81623700</v>
      </c>
      <c r="E192" s="2043">
        <v>0</v>
      </c>
      <c r="F192" s="2043">
        <v>1396341191</v>
      </c>
      <c r="G192" s="2043">
        <v>1364952491</v>
      </c>
      <c r="H192" s="2043">
        <v>1396341191</v>
      </c>
      <c r="I192" s="2043">
        <v>1364952491</v>
      </c>
    </row>
    <row r="193" spans="1:9" ht="14.5">
      <c r="A193" t="s">
        <v>9606</v>
      </c>
      <c r="B193" s="2113" t="str">
        <f t="shared" si="2"/>
        <v>049-902</v>
      </c>
      <c r="C193" t="s">
        <v>6187</v>
      </c>
      <c r="D193" s="2043">
        <v>20264241</v>
      </c>
      <c r="E193" s="2043">
        <v>76564309</v>
      </c>
      <c r="F193" s="2043">
        <v>399644879</v>
      </c>
      <c r="G193" s="2043">
        <v>391740638</v>
      </c>
      <c r="H193" s="2043">
        <v>476209188</v>
      </c>
      <c r="I193" s="2043">
        <v>468304947</v>
      </c>
    </row>
    <row r="194" spans="1:9" ht="14.5">
      <c r="A194" t="s">
        <v>10589</v>
      </c>
      <c r="B194" s="2113" t="str">
        <f t="shared" si="2"/>
        <v>049-903</v>
      </c>
      <c r="C194" t="s">
        <v>6188</v>
      </c>
      <c r="D194" s="2043">
        <v>22213662</v>
      </c>
      <c r="E194" s="2043">
        <v>0</v>
      </c>
      <c r="F194" s="2043">
        <v>345306725</v>
      </c>
      <c r="G194" s="2043">
        <v>337073063</v>
      </c>
      <c r="H194" s="2043">
        <v>345306725</v>
      </c>
      <c r="I194" s="2043">
        <v>337073063</v>
      </c>
    </row>
    <row r="195" spans="1:9" ht="14.5">
      <c r="A195" t="s">
        <v>9607</v>
      </c>
      <c r="B195" s="2113" t="str">
        <f t="shared" ref="B195:B258" si="3">CONCATENATE(RIGHT(LEFT(CONCATENATE("000",A195),6),3),"-",(LEFT(RIGHT(CONCATENATE("000",A195),6),3)))</f>
        <v>049-905</v>
      </c>
      <c r="C195" t="s">
        <v>6189</v>
      </c>
      <c r="D195" s="2043">
        <v>57110900</v>
      </c>
      <c r="E195" s="2043">
        <v>0</v>
      </c>
      <c r="F195" s="2043">
        <v>907195997</v>
      </c>
      <c r="G195" s="2043">
        <v>886160097</v>
      </c>
      <c r="H195" s="2043">
        <v>907195997</v>
      </c>
      <c r="I195" s="2043">
        <v>886160097</v>
      </c>
    </row>
    <row r="196" spans="1:9" ht="14.5">
      <c r="A196" t="s">
        <v>9608</v>
      </c>
      <c r="B196" s="2113" t="str">
        <f t="shared" si="3"/>
        <v>049-906</v>
      </c>
      <c r="C196" t="s">
        <v>6190</v>
      </c>
      <c r="D196" s="2043">
        <v>13358322</v>
      </c>
      <c r="E196" s="2043">
        <v>0</v>
      </c>
      <c r="F196" s="2043">
        <v>190074975</v>
      </c>
      <c r="G196" s="2043">
        <v>185206653</v>
      </c>
      <c r="H196" s="2043">
        <v>190074975</v>
      </c>
      <c r="I196" s="2043">
        <v>185206653</v>
      </c>
    </row>
    <row r="197" spans="1:9" ht="14.5">
      <c r="A197" t="s">
        <v>9609</v>
      </c>
      <c r="B197" s="2113" t="str">
        <f t="shared" si="3"/>
        <v>049-907</v>
      </c>
      <c r="C197" t="s">
        <v>6191</v>
      </c>
      <c r="D197" s="2043">
        <v>14586179</v>
      </c>
      <c r="E197" s="2043">
        <v>0</v>
      </c>
      <c r="F197" s="2043">
        <v>339648453</v>
      </c>
      <c r="G197" s="2043">
        <v>333957274</v>
      </c>
      <c r="H197" s="2043">
        <v>339648453</v>
      </c>
      <c r="I197" s="2043">
        <v>333957274</v>
      </c>
    </row>
    <row r="198" spans="1:9" ht="14.5">
      <c r="A198" t="s">
        <v>9610</v>
      </c>
      <c r="B198" s="2113" t="str">
        <f t="shared" si="3"/>
        <v>049-908</v>
      </c>
      <c r="C198" t="s">
        <v>6192</v>
      </c>
      <c r="D198" s="2043">
        <v>817898</v>
      </c>
      <c r="E198" s="2043">
        <v>0</v>
      </c>
      <c r="F198" s="2043">
        <v>13178816</v>
      </c>
      <c r="G198" s="2043">
        <v>12885918</v>
      </c>
      <c r="H198" s="2043">
        <v>13178816</v>
      </c>
      <c r="I198" s="2043">
        <v>12885918</v>
      </c>
    </row>
    <row r="199" spans="1:9" ht="14.5">
      <c r="A199" t="s">
        <v>9611</v>
      </c>
      <c r="B199" s="2113" t="str">
        <f t="shared" si="3"/>
        <v>049-909</v>
      </c>
      <c r="C199" t="s">
        <v>6193</v>
      </c>
      <c r="D199" s="2043">
        <v>3659168</v>
      </c>
      <c r="E199" s="2043">
        <v>0</v>
      </c>
      <c r="F199" s="2043">
        <v>175587260</v>
      </c>
      <c r="G199" s="2043">
        <v>174253092</v>
      </c>
      <c r="H199" s="2043">
        <v>175587260</v>
      </c>
      <c r="I199" s="2043">
        <v>174253092</v>
      </c>
    </row>
    <row r="200" spans="1:9" ht="14.5">
      <c r="A200" t="s">
        <v>9612</v>
      </c>
      <c r="B200" s="2113" t="str">
        <f t="shared" si="3"/>
        <v>050-901</v>
      </c>
      <c r="C200" t="s">
        <v>6194</v>
      </c>
      <c r="D200" s="2043">
        <v>10534634</v>
      </c>
      <c r="E200" s="2043">
        <v>0</v>
      </c>
      <c r="F200" s="2043">
        <v>120073980</v>
      </c>
      <c r="G200" s="2043">
        <v>118239346</v>
      </c>
      <c r="H200" s="2043">
        <v>120073980</v>
      </c>
      <c r="I200" s="2043">
        <v>118239346</v>
      </c>
    </row>
    <row r="201" spans="1:9" ht="14.5">
      <c r="A201" t="s">
        <v>9613</v>
      </c>
      <c r="B201" s="2113" t="str">
        <f t="shared" si="3"/>
        <v>050-902</v>
      </c>
      <c r="C201" t="s">
        <v>6195</v>
      </c>
      <c r="D201" s="2043">
        <v>90902744</v>
      </c>
      <c r="E201" s="2043">
        <v>0</v>
      </c>
      <c r="F201" s="2043">
        <v>904933186</v>
      </c>
      <c r="G201" s="2043">
        <v>879768054</v>
      </c>
      <c r="H201" s="2043">
        <v>904933186</v>
      </c>
      <c r="I201" s="2043">
        <v>879768054</v>
      </c>
    </row>
    <row r="202" spans="1:9" ht="14.5">
      <c r="A202" t="s">
        <v>9614</v>
      </c>
      <c r="B202" s="2113" t="str">
        <f t="shared" si="3"/>
        <v>050-904</v>
      </c>
      <c r="C202" t="s">
        <v>6196</v>
      </c>
      <c r="D202" s="2043">
        <v>7557495</v>
      </c>
      <c r="E202" s="2043">
        <v>0</v>
      </c>
      <c r="F202" s="2043">
        <v>89760152</v>
      </c>
      <c r="G202" s="2043">
        <v>87977657</v>
      </c>
      <c r="H202" s="2043">
        <v>89760152</v>
      </c>
      <c r="I202" s="2043">
        <v>87977657</v>
      </c>
    </row>
    <row r="203" spans="1:9" ht="14.5">
      <c r="A203" t="s">
        <v>9615</v>
      </c>
      <c r="B203" s="2113" t="str">
        <f t="shared" si="3"/>
        <v>050-909</v>
      </c>
      <c r="C203" t="s">
        <v>6197</v>
      </c>
      <c r="D203" s="2043">
        <v>7429051</v>
      </c>
      <c r="E203" s="2043">
        <v>0</v>
      </c>
      <c r="F203" s="2043">
        <v>103511290</v>
      </c>
      <c r="G203" s="2043">
        <v>102082239</v>
      </c>
      <c r="H203" s="2043">
        <v>103511290</v>
      </c>
      <c r="I203" s="2043">
        <v>102082239</v>
      </c>
    </row>
    <row r="204" spans="1:9" ht="14.5">
      <c r="A204" t="s">
        <v>9616</v>
      </c>
      <c r="B204" s="2113" t="str">
        <f t="shared" si="3"/>
        <v>050-910</v>
      </c>
      <c r="C204" t="s">
        <v>6198</v>
      </c>
      <c r="D204" s="2043">
        <v>182087084</v>
      </c>
      <c r="E204" s="2043">
        <v>0</v>
      </c>
      <c r="F204" s="2043">
        <v>1576920950</v>
      </c>
      <c r="G204" s="2043">
        <v>1506478866</v>
      </c>
      <c r="H204" s="2043">
        <v>1576920950</v>
      </c>
      <c r="I204" s="2043">
        <v>1506478866</v>
      </c>
    </row>
    <row r="205" spans="1:9" ht="14.5">
      <c r="A205" t="s">
        <v>9617</v>
      </c>
      <c r="B205" s="2113" t="str">
        <f t="shared" si="3"/>
        <v>051-901</v>
      </c>
      <c r="C205" t="s">
        <v>6199</v>
      </c>
      <c r="D205" s="2043">
        <v>9150990</v>
      </c>
      <c r="E205" s="2043">
        <v>0</v>
      </c>
      <c r="F205" s="2043">
        <v>158073397</v>
      </c>
      <c r="G205" s="2043">
        <v>154982407</v>
      </c>
      <c r="H205" s="2043">
        <v>158073397</v>
      </c>
      <c r="I205" s="2043">
        <v>154982407</v>
      </c>
    </row>
    <row r="206" spans="1:9" ht="14.5">
      <c r="A206" t="s">
        <v>9618</v>
      </c>
      <c r="B206" s="2113" t="str">
        <f t="shared" si="3"/>
        <v>052-901</v>
      </c>
      <c r="C206" t="s">
        <v>6200</v>
      </c>
      <c r="D206" s="2043">
        <v>24217930</v>
      </c>
      <c r="E206" s="2043">
        <v>0</v>
      </c>
      <c r="F206" s="2043">
        <v>1438412223</v>
      </c>
      <c r="G206" s="2043">
        <v>1430304293</v>
      </c>
      <c r="H206" s="2043">
        <v>1438412223</v>
      </c>
      <c r="I206" s="2043">
        <v>1430304293</v>
      </c>
    </row>
    <row r="207" spans="1:9" ht="14.5">
      <c r="A207" t="s">
        <v>9619</v>
      </c>
      <c r="B207" s="2113" t="str">
        <f t="shared" si="3"/>
        <v>053-001</v>
      </c>
      <c r="C207" t="s">
        <v>6201</v>
      </c>
      <c r="D207" s="2043">
        <v>19050580</v>
      </c>
      <c r="E207" s="2043">
        <v>432001630</v>
      </c>
      <c r="F207" s="2043">
        <v>1745287182</v>
      </c>
      <c r="G207" s="2043">
        <v>1738506602</v>
      </c>
      <c r="H207" s="2043">
        <v>2177288812</v>
      </c>
      <c r="I207" s="2043">
        <v>2170508232</v>
      </c>
    </row>
    <row r="208" spans="1:9" ht="14.5">
      <c r="A208" t="s">
        <v>9620</v>
      </c>
      <c r="B208" s="2113" t="str">
        <f t="shared" si="3"/>
        <v>054-901</v>
      </c>
      <c r="C208" t="s">
        <v>6202</v>
      </c>
      <c r="D208" s="2043">
        <v>10989358</v>
      </c>
      <c r="E208" s="2043">
        <v>101531791</v>
      </c>
      <c r="F208" s="2043">
        <v>119687603</v>
      </c>
      <c r="G208" s="2043">
        <v>115838245</v>
      </c>
      <c r="H208" s="2043">
        <v>221219394</v>
      </c>
      <c r="I208" s="2043">
        <v>217370036</v>
      </c>
    </row>
    <row r="209" spans="1:9" ht="14.5">
      <c r="A209" t="s">
        <v>9621</v>
      </c>
      <c r="B209" s="2113" t="str">
        <f t="shared" si="3"/>
        <v>054-902</v>
      </c>
      <c r="C209" t="s">
        <v>6203</v>
      </c>
      <c r="D209" s="2043">
        <v>6689744</v>
      </c>
      <c r="E209" s="2043">
        <v>75689857</v>
      </c>
      <c r="F209" s="2043">
        <v>189160873</v>
      </c>
      <c r="G209" s="2043">
        <v>186776129</v>
      </c>
      <c r="H209" s="2043">
        <v>264850730</v>
      </c>
      <c r="I209" s="2043">
        <v>262465986</v>
      </c>
    </row>
    <row r="210" spans="1:9" ht="14.5">
      <c r="A210" t="s">
        <v>9622</v>
      </c>
      <c r="B210" s="2113" t="str">
        <f t="shared" si="3"/>
        <v>054-903</v>
      </c>
      <c r="C210" t="s">
        <v>6204</v>
      </c>
      <c r="D210" s="2043">
        <v>10153637</v>
      </c>
      <c r="E210" s="2043">
        <v>0</v>
      </c>
      <c r="F210" s="2043">
        <v>142828776</v>
      </c>
      <c r="G210" s="2043">
        <v>139185139</v>
      </c>
      <c r="H210" s="2043">
        <v>142828776</v>
      </c>
      <c r="I210" s="2043">
        <v>139185139</v>
      </c>
    </row>
    <row r="211" spans="1:9" ht="14.5">
      <c r="A211" t="s">
        <v>9623</v>
      </c>
      <c r="B211" s="2113" t="str">
        <f t="shared" si="3"/>
        <v>055-901</v>
      </c>
      <c r="C211" t="s">
        <v>8428</v>
      </c>
      <c r="D211" s="2043">
        <v>10467592</v>
      </c>
      <c r="E211" s="2043">
        <v>75000000</v>
      </c>
      <c r="F211" s="2043">
        <v>3141245130</v>
      </c>
      <c r="G211" s="2043">
        <v>3138067538</v>
      </c>
      <c r="H211" s="2043">
        <v>3216245130</v>
      </c>
      <c r="I211" s="2043">
        <v>3213067538</v>
      </c>
    </row>
    <row r="212" spans="1:9" ht="14.5">
      <c r="A212" t="s">
        <v>9624</v>
      </c>
      <c r="B212" s="2113" t="str">
        <f t="shared" si="3"/>
        <v>056-901</v>
      </c>
      <c r="C212" t="s">
        <v>6205</v>
      </c>
      <c r="D212" s="2043">
        <v>39225972</v>
      </c>
      <c r="E212" s="2043">
        <v>0</v>
      </c>
      <c r="F212" s="2043">
        <v>1304813610</v>
      </c>
      <c r="G212" s="2043">
        <v>1289872638</v>
      </c>
      <c r="H212" s="2043">
        <v>1304813610</v>
      </c>
      <c r="I212" s="2043">
        <v>1289872638</v>
      </c>
    </row>
    <row r="213" spans="1:9" ht="14.5">
      <c r="A213" t="s">
        <v>9625</v>
      </c>
      <c r="B213" s="2113" t="str">
        <f t="shared" si="3"/>
        <v>056-902</v>
      </c>
      <c r="C213" t="s">
        <v>6206</v>
      </c>
      <c r="D213" s="2043">
        <v>3017214</v>
      </c>
      <c r="E213" s="2043">
        <v>0</v>
      </c>
      <c r="F213" s="2043">
        <v>201302131</v>
      </c>
      <c r="G213" s="2043">
        <v>200279917</v>
      </c>
      <c r="H213" s="2043">
        <v>201302131</v>
      </c>
      <c r="I213" s="2043">
        <v>200279917</v>
      </c>
    </row>
    <row r="214" spans="1:9" ht="14.5">
      <c r="A214" t="s">
        <v>9626</v>
      </c>
      <c r="B214" s="2113" t="str">
        <f t="shared" si="3"/>
        <v>057-903</v>
      </c>
      <c r="C214" t="s">
        <v>8429</v>
      </c>
      <c r="D214" s="2043">
        <v>651538846</v>
      </c>
      <c r="E214" s="2043">
        <v>0</v>
      </c>
      <c r="F214" s="2043">
        <v>25034486808</v>
      </c>
      <c r="G214" s="2043">
        <v>24779712962</v>
      </c>
      <c r="H214" s="2043">
        <v>25034486808</v>
      </c>
      <c r="I214" s="2043">
        <v>24779712962</v>
      </c>
    </row>
    <row r="215" spans="1:9" ht="14.5">
      <c r="A215" t="s">
        <v>9627</v>
      </c>
      <c r="B215" s="2113" t="str">
        <f t="shared" si="3"/>
        <v>057-904</v>
      </c>
      <c r="C215" t="s">
        <v>6207</v>
      </c>
      <c r="D215" s="2043">
        <v>255113705</v>
      </c>
      <c r="E215" s="2043">
        <v>0</v>
      </c>
      <c r="F215" s="2043">
        <v>4238779656</v>
      </c>
      <c r="G215" s="2043">
        <v>4138225951</v>
      </c>
      <c r="H215" s="2043">
        <v>4238779656</v>
      </c>
      <c r="I215" s="2043">
        <v>4138225951</v>
      </c>
    </row>
    <row r="216" spans="1:9" ht="14.5">
      <c r="A216" t="s">
        <v>10590</v>
      </c>
      <c r="B216" s="2113" t="str">
        <f t="shared" si="3"/>
        <v>057-905</v>
      </c>
      <c r="C216" t="s">
        <v>6208</v>
      </c>
      <c r="D216" s="2043">
        <v>3730050345</v>
      </c>
      <c r="E216" s="2043">
        <v>0</v>
      </c>
      <c r="F216" s="2043">
        <v>139201270214</v>
      </c>
      <c r="G216" s="2043">
        <v>137779209869</v>
      </c>
      <c r="H216" s="2043">
        <v>139201270214</v>
      </c>
      <c r="I216" s="2043">
        <v>137779209869</v>
      </c>
    </row>
    <row r="217" spans="1:9" ht="14.5">
      <c r="A217" t="s">
        <v>9628</v>
      </c>
      <c r="B217" s="2113" t="str">
        <f t="shared" si="3"/>
        <v>057-906</v>
      </c>
      <c r="C217" t="s">
        <v>6209</v>
      </c>
      <c r="D217" s="2043">
        <v>317080281</v>
      </c>
      <c r="E217" s="2043">
        <v>0</v>
      </c>
      <c r="F217" s="2043">
        <v>3739803455</v>
      </c>
      <c r="G217" s="2043">
        <v>3615353174</v>
      </c>
      <c r="H217" s="2043">
        <v>3739803455</v>
      </c>
      <c r="I217" s="2043">
        <v>3615353174</v>
      </c>
    </row>
    <row r="218" spans="1:9" ht="14.5">
      <c r="A218" t="s">
        <v>9629</v>
      </c>
      <c r="B218" s="2113" t="str">
        <f t="shared" si="3"/>
        <v>057-907</v>
      </c>
      <c r="C218" t="s">
        <v>6210</v>
      </c>
      <c r="D218" s="2043">
        <v>339210900</v>
      </c>
      <c r="E218" s="2043">
        <v>0</v>
      </c>
      <c r="F218" s="2043">
        <v>5521980008</v>
      </c>
      <c r="G218" s="2043">
        <v>5388719108</v>
      </c>
      <c r="H218" s="2043">
        <v>5521980008</v>
      </c>
      <c r="I218" s="2043">
        <v>5388719108</v>
      </c>
    </row>
    <row r="219" spans="1:9" ht="14.5">
      <c r="A219" t="s">
        <v>9630</v>
      </c>
      <c r="B219" s="2113" t="str">
        <f t="shared" si="3"/>
        <v>057-909</v>
      </c>
      <c r="C219" t="s">
        <v>6211</v>
      </c>
      <c r="D219" s="2043">
        <v>1410278221</v>
      </c>
      <c r="E219" s="2043">
        <v>0</v>
      </c>
      <c r="F219" s="2043">
        <v>22994049984</v>
      </c>
      <c r="G219" s="2043">
        <v>22443166763</v>
      </c>
      <c r="H219" s="2043">
        <v>22994049984</v>
      </c>
      <c r="I219" s="2043">
        <v>22443166763</v>
      </c>
    </row>
    <row r="220" spans="1:9" ht="14.5">
      <c r="A220" t="s">
        <v>9631</v>
      </c>
      <c r="B220" s="2113" t="str">
        <f t="shared" si="3"/>
        <v>057-910</v>
      </c>
      <c r="C220" t="s">
        <v>6212</v>
      </c>
      <c r="D220" s="2043">
        <v>484166212</v>
      </c>
      <c r="E220" s="2043">
        <v>0</v>
      </c>
      <c r="F220" s="2043">
        <v>8677222698</v>
      </c>
      <c r="G220" s="2043">
        <v>8490161486</v>
      </c>
      <c r="H220" s="2043">
        <v>8677222698</v>
      </c>
      <c r="I220" s="2043">
        <v>8490161486</v>
      </c>
    </row>
    <row r="221" spans="1:9" ht="14.5">
      <c r="A221" t="s">
        <v>9632</v>
      </c>
      <c r="B221" s="2113" t="str">
        <f t="shared" si="3"/>
        <v>057-911</v>
      </c>
      <c r="C221" t="s">
        <v>6213</v>
      </c>
      <c r="D221" s="2043">
        <v>206260485</v>
      </c>
      <c r="E221" s="2043">
        <v>0</v>
      </c>
      <c r="F221" s="2043">
        <v>18085792087</v>
      </c>
      <c r="G221" s="2043">
        <v>18004676602</v>
      </c>
      <c r="H221" s="2043">
        <v>18085792087</v>
      </c>
      <c r="I221" s="2043">
        <v>18004676602</v>
      </c>
    </row>
    <row r="222" spans="1:9" ht="14.5">
      <c r="A222" t="s">
        <v>10591</v>
      </c>
      <c r="B222" s="2113" t="str">
        <f t="shared" si="3"/>
        <v>057-912</v>
      </c>
      <c r="C222" t="s">
        <v>6214</v>
      </c>
      <c r="D222" s="2043">
        <v>552614795</v>
      </c>
      <c r="E222" s="2043">
        <v>0</v>
      </c>
      <c r="F222" s="2043">
        <v>15735718548</v>
      </c>
      <c r="G222" s="2043">
        <v>15521863753</v>
      </c>
      <c r="H222" s="2043">
        <v>15735718548</v>
      </c>
      <c r="I222" s="2043">
        <v>15521863753</v>
      </c>
    </row>
    <row r="223" spans="1:9" ht="14.5">
      <c r="A223" t="s">
        <v>10592</v>
      </c>
      <c r="B223" s="2113" t="str">
        <f t="shared" si="3"/>
        <v>057-913</v>
      </c>
      <c r="C223" t="s">
        <v>6215</v>
      </c>
      <c r="D223" s="2043">
        <v>190743912</v>
      </c>
      <c r="E223" s="2043">
        <v>0</v>
      </c>
      <c r="F223" s="2043">
        <v>3414278726</v>
      </c>
      <c r="G223" s="2043">
        <v>3339619814</v>
      </c>
      <c r="H223" s="2043">
        <v>3414278726</v>
      </c>
      <c r="I223" s="2043">
        <v>3339619814</v>
      </c>
    </row>
    <row r="224" spans="1:9" ht="14.5">
      <c r="A224" t="s">
        <v>9633</v>
      </c>
      <c r="B224" s="2113" t="str">
        <f t="shared" si="3"/>
        <v>057-914</v>
      </c>
      <c r="C224" t="s">
        <v>6216</v>
      </c>
      <c r="D224" s="2043">
        <v>670017529</v>
      </c>
      <c r="E224" s="2043">
        <v>0</v>
      </c>
      <c r="F224" s="2043">
        <v>10072452011</v>
      </c>
      <c r="G224" s="2043">
        <v>9811844482</v>
      </c>
      <c r="H224" s="2043">
        <v>10072452011</v>
      </c>
      <c r="I224" s="2043">
        <v>9811844482</v>
      </c>
    </row>
    <row r="225" spans="1:9" ht="14.5">
      <c r="A225" t="s">
        <v>10593</v>
      </c>
      <c r="B225" s="2113" t="str">
        <f t="shared" si="3"/>
        <v>057-916</v>
      </c>
      <c r="C225" t="s">
        <v>6217</v>
      </c>
      <c r="D225" s="2043">
        <v>1037833987</v>
      </c>
      <c r="E225" s="2043">
        <v>0</v>
      </c>
      <c r="F225" s="2043">
        <v>27209133414</v>
      </c>
      <c r="G225" s="2043">
        <v>26795914427</v>
      </c>
      <c r="H225" s="2043">
        <v>27209133414</v>
      </c>
      <c r="I225" s="2043">
        <v>26795914427</v>
      </c>
    </row>
    <row r="226" spans="1:9" ht="14.5">
      <c r="A226" t="s">
        <v>9634</v>
      </c>
      <c r="B226" s="2113" t="str">
        <f t="shared" si="3"/>
        <v>057-919</v>
      </c>
      <c r="C226" t="s">
        <v>6218</v>
      </c>
      <c r="D226" s="2043">
        <v>48318750</v>
      </c>
      <c r="E226" s="2043">
        <v>0</v>
      </c>
      <c r="F226" s="2043">
        <v>1412582045</v>
      </c>
      <c r="G226" s="2043">
        <v>1393393295</v>
      </c>
      <c r="H226" s="2043">
        <v>1412582045</v>
      </c>
      <c r="I226" s="2043">
        <v>1393393295</v>
      </c>
    </row>
    <row r="227" spans="1:9" ht="14.5">
      <c r="A227" t="s">
        <v>9635</v>
      </c>
      <c r="B227" s="2113" t="str">
        <f t="shared" si="3"/>
        <v>057-922</v>
      </c>
      <c r="C227" t="s">
        <v>6219</v>
      </c>
      <c r="D227" s="2043">
        <v>307239360</v>
      </c>
      <c r="E227" s="2043">
        <v>0</v>
      </c>
      <c r="F227" s="2043">
        <v>13883202126</v>
      </c>
      <c r="G227" s="2043">
        <v>13762157766</v>
      </c>
      <c r="H227" s="2043">
        <v>13883202126</v>
      </c>
      <c r="I227" s="2043">
        <v>13762157766</v>
      </c>
    </row>
    <row r="228" spans="1:9" ht="14.5">
      <c r="A228" t="s">
        <v>9636</v>
      </c>
      <c r="B228" s="2113" t="str">
        <f t="shared" si="3"/>
        <v>058-902</v>
      </c>
      <c r="C228" t="s">
        <v>6220</v>
      </c>
      <c r="D228" s="2043">
        <v>1702642</v>
      </c>
      <c r="E228" s="2043">
        <v>0</v>
      </c>
      <c r="F228" s="2043">
        <v>79550890</v>
      </c>
      <c r="G228" s="2043">
        <v>78943248</v>
      </c>
      <c r="H228" s="2043">
        <v>79550890</v>
      </c>
      <c r="I228" s="2043">
        <v>78943248</v>
      </c>
    </row>
    <row r="229" spans="1:9" ht="14.5">
      <c r="A229" t="s">
        <v>10594</v>
      </c>
      <c r="B229" s="2113" t="str">
        <f t="shared" si="3"/>
        <v>058-905</v>
      </c>
      <c r="C229" t="s">
        <v>6221</v>
      </c>
      <c r="D229" s="2043">
        <v>3469190</v>
      </c>
      <c r="E229" s="2043">
        <v>0</v>
      </c>
      <c r="F229" s="2043">
        <v>1889089241</v>
      </c>
      <c r="G229" s="2043">
        <v>1887720051</v>
      </c>
      <c r="H229" s="2043">
        <v>1889089241</v>
      </c>
      <c r="I229" s="2043">
        <v>1887720051</v>
      </c>
    </row>
    <row r="230" spans="1:9" ht="14.5">
      <c r="A230" t="s">
        <v>9637</v>
      </c>
      <c r="B230" s="2113" t="str">
        <f t="shared" si="3"/>
        <v>058-906</v>
      </c>
      <c r="C230" t="s">
        <v>6222</v>
      </c>
      <c r="D230" s="2043">
        <v>51251800</v>
      </c>
      <c r="E230" s="2043">
        <v>157286090</v>
      </c>
      <c r="F230" s="2043">
        <v>535372120</v>
      </c>
      <c r="G230" s="2043">
        <v>518260320</v>
      </c>
      <c r="H230" s="2043">
        <v>692658210</v>
      </c>
      <c r="I230" s="2043">
        <v>675546410</v>
      </c>
    </row>
    <row r="231" spans="1:9" ht="14.5">
      <c r="A231" t="s">
        <v>10595</v>
      </c>
      <c r="B231" s="2113" t="str">
        <f t="shared" si="3"/>
        <v>058-909</v>
      </c>
      <c r="C231" t="s">
        <v>6223</v>
      </c>
      <c r="D231" s="2043">
        <v>3348130</v>
      </c>
      <c r="E231" s="2043">
        <v>0</v>
      </c>
      <c r="F231" s="2043">
        <v>1694150654</v>
      </c>
      <c r="G231" s="2043">
        <v>1692887524</v>
      </c>
      <c r="H231" s="2043">
        <v>1694150654</v>
      </c>
      <c r="I231" s="2043">
        <v>1692887524</v>
      </c>
    </row>
    <row r="232" spans="1:9" ht="14.5">
      <c r="A232" t="s">
        <v>9638</v>
      </c>
      <c r="B232" s="2113" t="str">
        <f t="shared" si="3"/>
        <v>059-901</v>
      </c>
      <c r="C232" t="s">
        <v>6224</v>
      </c>
      <c r="D232" s="2043">
        <v>76394791</v>
      </c>
      <c r="E232" s="2043">
        <v>166468610</v>
      </c>
      <c r="F232" s="2043">
        <v>1647545867</v>
      </c>
      <c r="G232" s="2043">
        <v>1624221076</v>
      </c>
      <c r="H232" s="2043">
        <v>1814014477</v>
      </c>
      <c r="I232" s="2043">
        <v>1790689686</v>
      </c>
    </row>
    <row r="233" spans="1:9" ht="14.5">
      <c r="A233" t="s">
        <v>9639</v>
      </c>
      <c r="B233" s="2113" t="str">
        <f t="shared" si="3"/>
        <v>059-902</v>
      </c>
      <c r="C233" t="s">
        <v>6225</v>
      </c>
      <c r="D233" s="2043">
        <v>765488</v>
      </c>
      <c r="E233" s="2043">
        <v>57553200</v>
      </c>
      <c r="F233" s="2043">
        <v>68221494</v>
      </c>
      <c r="G233" s="2043">
        <v>68221494</v>
      </c>
      <c r="H233" s="2043">
        <v>125774694</v>
      </c>
      <c r="I233" s="2043">
        <v>125774694</v>
      </c>
    </row>
    <row r="234" spans="1:9" ht="14.5">
      <c r="A234" t="s">
        <v>9640</v>
      </c>
      <c r="B234" s="2113" t="str">
        <f t="shared" si="3"/>
        <v>060-902</v>
      </c>
      <c r="C234" t="s">
        <v>6226</v>
      </c>
      <c r="D234" s="2043">
        <v>30640302</v>
      </c>
      <c r="E234" s="2043">
        <v>0</v>
      </c>
      <c r="F234" s="2043">
        <v>258373401</v>
      </c>
      <c r="G234" s="2043">
        <v>247773099</v>
      </c>
      <c r="H234" s="2043">
        <v>258373401</v>
      </c>
      <c r="I234" s="2043">
        <v>247773099</v>
      </c>
    </row>
    <row r="235" spans="1:9" ht="14.5">
      <c r="A235" t="s">
        <v>9641</v>
      </c>
      <c r="B235" s="2113" t="str">
        <f t="shared" si="3"/>
        <v>060-914</v>
      </c>
      <c r="C235" t="s">
        <v>6227</v>
      </c>
      <c r="D235" s="2043">
        <v>8593225</v>
      </c>
      <c r="E235" s="2043">
        <v>0</v>
      </c>
      <c r="F235" s="2043">
        <v>78982376</v>
      </c>
      <c r="G235" s="2043">
        <v>76194151</v>
      </c>
      <c r="H235" s="2043">
        <v>78982376</v>
      </c>
      <c r="I235" s="2043">
        <v>76194151</v>
      </c>
    </row>
    <row r="236" spans="1:9" ht="14.5">
      <c r="A236" t="s">
        <v>9642</v>
      </c>
      <c r="B236" s="2113" t="str">
        <f t="shared" si="3"/>
        <v>061-901</v>
      </c>
      <c r="C236" t="s">
        <v>6228</v>
      </c>
      <c r="D236" s="2043">
        <v>926936930</v>
      </c>
      <c r="E236" s="2043">
        <v>0</v>
      </c>
      <c r="F236" s="2043">
        <v>21698838243</v>
      </c>
      <c r="G236" s="2043">
        <v>21334896313</v>
      </c>
      <c r="H236" s="2043">
        <v>21698838243</v>
      </c>
      <c r="I236" s="2043">
        <v>21334896313</v>
      </c>
    </row>
    <row r="237" spans="1:9" ht="14.5">
      <c r="A237" t="s">
        <v>9643</v>
      </c>
      <c r="B237" s="2113" t="str">
        <f t="shared" si="3"/>
        <v>061-902</v>
      </c>
      <c r="C237" t="s">
        <v>6229</v>
      </c>
      <c r="D237" s="2043">
        <v>1517709928</v>
      </c>
      <c r="E237" s="2043">
        <v>0</v>
      </c>
      <c r="F237" s="2043">
        <v>45381983158</v>
      </c>
      <c r="G237" s="2043">
        <v>44780038230</v>
      </c>
      <c r="H237" s="2043">
        <v>45381983158</v>
      </c>
      <c r="I237" s="2043">
        <v>44780038230</v>
      </c>
    </row>
    <row r="238" spans="1:9" ht="14.5">
      <c r="A238" t="s">
        <v>9644</v>
      </c>
      <c r="B238" s="2113" t="str">
        <f t="shared" si="3"/>
        <v>061-903</v>
      </c>
      <c r="C238" t="s">
        <v>6230</v>
      </c>
      <c r="D238" s="2043">
        <v>49287796</v>
      </c>
      <c r="E238" s="2043">
        <v>0</v>
      </c>
      <c r="F238" s="2043">
        <v>945311069</v>
      </c>
      <c r="G238" s="2043">
        <v>926668273</v>
      </c>
      <c r="H238" s="2043">
        <v>945311069</v>
      </c>
      <c r="I238" s="2043">
        <v>926668273</v>
      </c>
    </row>
    <row r="239" spans="1:9" ht="14.5">
      <c r="A239" t="s">
        <v>9645</v>
      </c>
      <c r="B239" s="2113" t="str">
        <f t="shared" si="3"/>
        <v>061-905</v>
      </c>
      <c r="C239" t="s">
        <v>6231</v>
      </c>
      <c r="D239" s="2043">
        <v>53799110</v>
      </c>
      <c r="E239" s="2043">
        <v>0</v>
      </c>
      <c r="F239" s="2043">
        <v>971499569</v>
      </c>
      <c r="G239" s="2043">
        <v>950535459</v>
      </c>
      <c r="H239" s="2043">
        <v>971499569</v>
      </c>
      <c r="I239" s="2043">
        <v>950535459</v>
      </c>
    </row>
    <row r="240" spans="1:9" ht="14.5">
      <c r="A240" t="s">
        <v>9646</v>
      </c>
      <c r="B240" s="2113" t="str">
        <f t="shared" si="3"/>
        <v>061-906</v>
      </c>
      <c r="C240" t="s">
        <v>6232</v>
      </c>
      <c r="D240" s="2043">
        <v>40269247</v>
      </c>
      <c r="E240" s="2043">
        <v>0</v>
      </c>
      <c r="F240" s="2043">
        <v>730652722</v>
      </c>
      <c r="G240" s="2043">
        <v>714848475</v>
      </c>
      <c r="H240" s="2043">
        <v>730652722</v>
      </c>
      <c r="I240" s="2043">
        <v>714848475</v>
      </c>
    </row>
    <row r="241" spans="1:9" ht="14.5">
      <c r="A241" t="s">
        <v>9647</v>
      </c>
      <c r="B241" s="2113" t="str">
        <f t="shared" si="3"/>
        <v>061-907</v>
      </c>
      <c r="C241" t="s">
        <v>6233</v>
      </c>
      <c r="D241" s="2043">
        <v>74791787</v>
      </c>
      <c r="E241" s="2043">
        <v>0</v>
      </c>
      <c r="F241" s="2043">
        <v>1332791287</v>
      </c>
      <c r="G241" s="2043">
        <v>1303239500</v>
      </c>
      <c r="H241" s="2043">
        <v>1332791287</v>
      </c>
      <c r="I241" s="2043">
        <v>1303239500</v>
      </c>
    </row>
    <row r="242" spans="1:9" ht="14.5">
      <c r="A242" t="s">
        <v>9648</v>
      </c>
      <c r="B242" s="2113" t="str">
        <f t="shared" si="3"/>
        <v>061-908</v>
      </c>
      <c r="C242" t="s">
        <v>6234</v>
      </c>
      <c r="D242" s="2043">
        <v>85269941</v>
      </c>
      <c r="E242" s="2043">
        <v>0</v>
      </c>
      <c r="F242" s="2043">
        <v>1383964565</v>
      </c>
      <c r="G242" s="2043">
        <v>1350744624</v>
      </c>
      <c r="H242" s="2043">
        <v>1383964565</v>
      </c>
      <c r="I242" s="2043">
        <v>1350744624</v>
      </c>
    </row>
    <row r="243" spans="1:9" ht="14.5">
      <c r="A243" t="s">
        <v>9649</v>
      </c>
      <c r="B243" s="2113" t="str">
        <f t="shared" si="3"/>
        <v>061-910</v>
      </c>
      <c r="C243" t="s">
        <v>6235</v>
      </c>
      <c r="D243" s="2043">
        <v>100746243</v>
      </c>
      <c r="E243" s="2043">
        <v>0</v>
      </c>
      <c r="F243" s="2043">
        <v>2795959812</v>
      </c>
      <c r="G243" s="2043">
        <v>2756143569</v>
      </c>
      <c r="H243" s="2043">
        <v>2795959812</v>
      </c>
      <c r="I243" s="2043">
        <v>2756143569</v>
      </c>
    </row>
    <row r="244" spans="1:9" ht="14.5">
      <c r="A244" t="s">
        <v>9650</v>
      </c>
      <c r="B244" s="2113" t="str">
        <f t="shared" si="3"/>
        <v>061-911</v>
      </c>
      <c r="C244" t="s">
        <v>6236</v>
      </c>
      <c r="D244" s="2043">
        <v>685214312</v>
      </c>
      <c r="E244" s="2043">
        <v>0</v>
      </c>
      <c r="F244" s="2043">
        <v>22368286673</v>
      </c>
      <c r="G244" s="2043">
        <v>22101137361</v>
      </c>
      <c r="H244" s="2043">
        <v>22368286673</v>
      </c>
      <c r="I244" s="2043">
        <v>22101137361</v>
      </c>
    </row>
    <row r="245" spans="1:9" ht="14.5">
      <c r="A245" t="s">
        <v>9651</v>
      </c>
      <c r="B245" s="2113" t="str">
        <f t="shared" si="3"/>
        <v>061-912</v>
      </c>
      <c r="C245" t="s">
        <v>6237</v>
      </c>
      <c r="D245" s="2043">
        <v>130689071</v>
      </c>
      <c r="E245" s="2043">
        <v>0</v>
      </c>
      <c r="F245" s="2043">
        <v>2312464972</v>
      </c>
      <c r="G245" s="2043">
        <v>2260855901</v>
      </c>
      <c r="H245" s="2043">
        <v>2312464972</v>
      </c>
      <c r="I245" s="2043">
        <v>2260855901</v>
      </c>
    </row>
    <row r="246" spans="1:9" ht="14.5">
      <c r="A246" t="s">
        <v>9652</v>
      </c>
      <c r="B246" s="2113" t="str">
        <f t="shared" si="3"/>
        <v>061-914</v>
      </c>
      <c r="C246" t="s">
        <v>6238</v>
      </c>
      <c r="D246" s="2043">
        <v>308369732</v>
      </c>
      <c r="E246" s="2043">
        <v>0</v>
      </c>
      <c r="F246" s="2043">
        <v>5650138354</v>
      </c>
      <c r="G246" s="2043">
        <v>5528578622</v>
      </c>
      <c r="H246" s="2043">
        <v>5650138354</v>
      </c>
      <c r="I246" s="2043">
        <v>5528578622</v>
      </c>
    </row>
    <row r="247" spans="1:9" ht="14.5">
      <c r="A247" t="s">
        <v>9653</v>
      </c>
      <c r="B247" s="2113" t="str">
        <f t="shared" si="3"/>
        <v>062-901</v>
      </c>
      <c r="C247" t="s">
        <v>6239</v>
      </c>
      <c r="D247" s="2043">
        <v>50360040</v>
      </c>
      <c r="E247" s="2043">
        <v>0</v>
      </c>
      <c r="F247" s="2043">
        <v>1174201792</v>
      </c>
      <c r="G247" s="2043">
        <v>1156196752</v>
      </c>
      <c r="H247" s="2043">
        <v>1174201792</v>
      </c>
      <c r="I247" s="2043">
        <v>1156196752</v>
      </c>
    </row>
    <row r="248" spans="1:9" ht="14.5">
      <c r="A248" t="s">
        <v>9654</v>
      </c>
      <c r="B248" s="2113" t="str">
        <f t="shared" si="3"/>
        <v>062-902</v>
      </c>
      <c r="C248" t="s">
        <v>6240</v>
      </c>
      <c r="D248" s="2043">
        <v>5426610</v>
      </c>
      <c r="E248" s="2043">
        <v>0</v>
      </c>
      <c r="F248" s="2043">
        <v>718287398</v>
      </c>
      <c r="G248" s="2043">
        <v>716250788</v>
      </c>
      <c r="H248" s="2043">
        <v>718287398</v>
      </c>
      <c r="I248" s="2043">
        <v>716250788</v>
      </c>
    </row>
    <row r="249" spans="1:9" ht="14.5">
      <c r="A249" t="s">
        <v>9655</v>
      </c>
      <c r="B249" s="2113" t="str">
        <f t="shared" si="3"/>
        <v>062-903</v>
      </c>
      <c r="C249" t="s">
        <v>6241</v>
      </c>
      <c r="D249" s="2043">
        <v>50441127</v>
      </c>
      <c r="E249" s="2043">
        <v>407155400</v>
      </c>
      <c r="F249" s="2043">
        <v>783360879</v>
      </c>
      <c r="G249" s="2043">
        <v>769189752</v>
      </c>
      <c r="H249" s="2043">
        <v>1190516279</v>
      </c>
      <c r="I249" s="2043">
        <v>1176345152</v>
      </c>
    </row>
    <row r="250" spans="1:9" ht="14.5">
      <c r="A250" t="s">
        <v>9656</v>
      </c>
      <c r="B250" s="2113" t="str">
        <f t="shared" si="3"/>
        <v>062-904</v>
      </c>
      <c r="C250" t="s">
        <v>6242</v>
      </c>
      <c r="D250" s="2043">
        <v>24139350</v>
      </c>
      <c r="E250" s="2043">
        <v>0</v>
      </c>
      <c r="F250" s="2043">
        <v>2467688281</v>
      </c>
      <c r="G250" s="2043">
        <v>2458728931</v>
      </c>
      <c r="H250" s="2043">
        <v>2467688281</v>
      </c>
      <c r="I250" s="2043">
        <v>2458728931</v>
      </c>
    </row>
    <row r="251" spans="1:9" ht="14.5">
      <c r="A251" t="s">
        <v>9657</v>
      </c>
      <c r="B251" s="2113" t="str">
        <f t="shared" si="3"/>
        <v>062-905</v>
      </c>
      <c r="C251" t="s">
        <v>6243</v>
      </c>
      <c r="D251" s="2043">
        <v>3573860</v>
      </c>
      <c r="E251" s="2043">
        <v>0</v>
      </c>
      <c r="F251" s="2043">
        <v>771129415</v>
      </c>
      <c r="G251" s="2043">
        <v>769880555</v>
      </c>
      <c r="H251" s="2043">
        <v>771129415</v>
      </c>
      <c r="I251" s="2043">
        <v>769880555</v>
      </c>
    </row>
    <row r="252" spans="1:9" ht="14.5">
      <c r="A252" t="s">
        <v>9658</v>
      </c>
      <c r="B252" s="2113" t="str">
        <f t="shared" si="3"/>
        <v>062-906</v>
      </c>
      <c r="C252" t="s">
        <v>6244</v>
      </c>
      <c r="D252" s="2043">
        <v>8934210</v>
      </c>
      <c r="E252" s="2043">
        <v>0</v>
      </c>
      <c r="F252" s="2043">
        <v>80047392</v>
      </c>
      <c r="G252" s="2043">
        <v>76783182</v>
      </c>
      <c r="H252" s="2043">
        <v>80047392</v>
      </c>
      <c r="I252" s="2043">
        <v>76783182</v>
      </c>
    </row>
    <row r="253" spans="1:9" ht="14.5">
      <c r="A253" t="s">
        <v>9659</v>
      </c>
      <c r="B253" s="2113" t="str">
        <f t="shared" si="3"/>
        <v>063-903</v>
      </c>
      <c r="C253" t="s">
        <v>6245</v>
      </c>
      <c r="D253" s="2043">
        <v>9878660</v>
      </c>
      <c r="E253" s="2043">
        <v>0</v>
      </c>
      <c r="F253" s="2043">
        <v>161592562</v>
      </c>
      <c r="G253" s="2043">
        <v>158448902</v>
      </c>
      <c r="H253" s="2043">
        <v>161592562</v>
      </c>
      <c r="I253" s="2043">
        <v>158448902</v>
      </c>
    </row>
    <row r="254" spans="1:9" ht="14.5">
      <c r="A254" t="s">
        <v>9660</v>
      </c>
      <c r="B254" s="2113" t="str">
        <f t="shared" si="3"/>
        <v>063-906</v>
      </c>
      <c r="C254" t="s">
        <v>6246</v>
      </c>
      <c r="D254" s="2043">
        <v>1882955</v>
      </c>
      <c r="E254" s="2043">
        <v>0</v>
      </c>
      <c r="F254" s="2043">
        <v>89257190</v>
      </c>
      <c r="G254" s="2043">
        <v>88649235</v>
      </c>
      <c r="H254" s="2043">
        <v>89257190</v>
      </c>
      <c r="I254" s="2043">
        <v>88649235</v>
      </c>
    </row>
    <row r="255" spans="1:9" ht="14.5">
      <c r="A255" t="s">
        <v>9661</v>
      </c>
      <c r="B255" s="2113" t="str">
        <f t="shared" si="3"/>
        <v>064-903</v>
      </c>
      <c r="C255" t="s">
        <v>6247</v>
      </c>
      <c r="D255" s="2043">
        <v>46904194</v>
      </c>
      <c r="E255" s="2043">
        <v>0</v>
      </c>
      <c r="F255" s="2043">
        <v>6872974057</v>
      </c>
      <c r="G255" s="2043">
        <v>6856654863</v>
      </c>
      <c r="H255" s="2043">
        <v>6872974057</v>
      </c>
      <c r="I255" s="2043">
        <v>6856654863</v>
      </c>
    </row>
    <row r="256" spans="1:9" ht="14.5">
      <c r="A256" t="s">
        <v>9662</v>
      </c>
      <c r="B256" s="2113" t="str">
        <f t="shared" si="3"/>
        <v>065-901</v>
      </c>
      <c r="C256" t="s">
        <v>6248</v>
      </c>
      <c r="D256" s="2043">
        <v>17075244</v>
      </c>
      <c r="E256" s="2043">
        <v>113941340</v>
      </c>
      <c r="F256" s="2043">
        <v>200096331</v>
      </c>
      <c r="G256" s="2043">
        <v>194001087</v>
      </c>
      <c r="H256" s="2043">
        <v>314037671</v>
      </c>
      <c r="I256" s="2043">
        <v>307942427</v>
      </c>
    </row>
    <row r="257" spans="1:9" ht="14.5">
      <c r="A257" t="s">
        <v>9663</v>
      </c>
      <c r="B257" s="2113" t="str">
        <f t="shared" si="3"/>
        <v>065-902</v>
      </c>
      <c r="C257" t="s">
        <v>6249</v>
      </c>
      <c r="D257" s="2043">
        <v>2488353</v>
      </c>
      <c r="E257" s="2043">
        <v>0</v>
      </c>
      <c r="F257" s="2043">
        <v>79625520</v>
      </c>
      <c r="G257" s="2043">
        <v>78922167</v>
      </c>
      <c r="H257" s="2043">
        <v>79625520</v>
      </c>
      <c r="I257" s="2043">
        <v>78922167</v>
      </c>
    </row>
    <row r="258" spans="1:9" ht="14.5">
      <c r="A258" t="s">
        <v>9664</v>
      </c>
      <c r="B258" s="2113" t="str">
        <f t="shared" si="3"/>
        <v>066-005</v>
      </c>
      <c r="C258" t="s">
        <v>6250</v>
      </c>
      <c r="D258" s="2043">
        <v>1498157</v>
      </c>
      <c r="E258" s="2043">
        <v>0</v>
      </c>
      <c r="F258" s="2043">
        <v>27799795</v>
      </c>
      <c r="G258" s="2043">
        <v>27471638</v>
      </c>
      <c r="H258" s="2043">
        <v>27799795</v>
      </c>
      <c r="I258" s="2043">
        <v>27471638</v>
      </c>
    </row>
    <row r="259" spans="1:9" ht="14.5">
      <c r="A259" t="s">
        <v>9665</v>
      </c>
      <c r="B259" s="2113" t="str">
        <f t="shared" ref="B259:B322" si="4">CONCATENATE(RIGHT(LEFT(CONCATENATE("000",A259),6),3),"-",(LEFT(RIGHT(CONCATENATE("000",A259),6),3)))</f>
        <v>066-901</v>
      </c>
      <c r="C259" t="s">
        <v>6251</v>
      </c>
      <c r="D259" s="2043">
        <v>13182019</v>
      </c>
      <c r="E259" s="2043">
        <v>114269600</v>
      </c>
      <c r="F259" s="2043">
        <v>271871955</v>
      </c>
      <c r="G259" s="2043">
        <v>267704936</v>
      </c>
      <c r="H259" s="2043">
        <v>386141555</v>
      </c>
      <c r="I259" s="2043">
        <v>381974536</v>
      </c>
    </row>
    <row r="260" spans="1:9" ht="14.5">
      <c r="A260" t="s">
        <v>9666</v>
      </c>
      <c r="B260" s="2113" t="str">
        <f t="shared" si="4"/>
        <v>066-902</v>
      </c>
      <c r="C260" t="s">
        <v>6252</v>
      </c>
      <c r="D260" s="2043">
        <v>30980722</v>
      </c>
      <c r="E260" s="2043">
        <v>0</v>
      </c>
      <c r="F260" s="2043">
        <v>355676480</v>
      </c>
      <c r="G260" s="2043">
        <v>346010758</v>
      </c>
      <c r="H260" s="2043">
        <v>355676480</v>
      </c>
      <c r="I260" s="2043">
        <v>346010758</v>
      </c>
    </row>
    <row r="261" spans="1:9" ht="14.5">
      <c r="A261" t="s">
        <v>9667</v>
      </c>
      <c r="B261" s="2113" t="str">
        <f t="shared" si="4"/>
        <v>066-903</v>
      </c>
      <c r="C261" t="s">
        <v>6253</v>
      </c>
      <c r="D261" s="2043">
        <v>18826433</v>
      </c>
      <c r="E261" s="2043">
        <v>0</v>
      </c>
      <c r="F261" s="2043">
        <v>391045138</v>
      </c>
      <c r="G261" s="2043">
        <v>384893705</v>
      </c>
      <c r="H261" s="2043">
        <v>391045138</v>
      </c>
      <c r="I261" s="2043">
        <v>384893705</v>
      </c>
    </row>
    <row r="262" spans="1:9" ht="14.5">
      <c r="A262" t="s">
        <v>9668</v>
      </c>
      <c r="B262" s="2113" t="str">
        <f t="shared" si="4"/>
        <v>067-902</v>
      </c>
      <c r="C262" t="s">
        <v>6254</v>
      </c>
      <c r="D262" s="2043">
        <v>29910730</v>
      </c>
      <c r="E262" s="2043">
        <v>0</v>
      </c>
      <c r="F262" s="2043">
        <v>566892064</v>
      </c>
      <c r="G262" s="2043">
        <v>556436334</v>
      </c>
      <c r="H262" s="2043">
        <v>566892064</v>
      </c>
      <c r="I262" s="2043">
        <v>556436334</v>
      </c>
    </row>
    <row r="263" spans="1:9" ht="14.5">
      <c r="A263" t="s">
        <v>10596</v>
      </c>
      <c r="B263" s="2113" t="str">
        <f t="shared" si="4"/>
        <v>067-903</v>
      </c>
      <c r="C263" t="s">
        <v>6255</v>
      </c>
      <c r="D263" s="2043">
        <v>40127110</v>
      </c>
      <c r="E263" s="2043">
        <v>0</v>
      </c>
      <c r="F263" s="2043">
        <v>571946608</v>
      </c>
      <c r="G263" s="2043">
        <v>557274498</v>
      </c>
      <c r="H263" s="2043">
        <v>571946608</v>
      </c>
      <c r="I263" s="2043">
        <v>557274498</v>
      </c>
    </row>
    <row r="264" spans="1:9" ht="14.5">
      <c r="A264" t="s">
        <v>9669</v>
      </c>
      <c r="B264" s="2113" t="str">
        <f t="shared" si="4"/>
        <v>067-904</v>
      </c>
      <c r="C264" t="s">
        <v>6256</v>
      </c>
      <c r="D264" s="2043">
        <v>11056454</v>
      </c>
      <c r="E264" s="2043">
        <v>0</v>
      </c>
      <c r="F264" s="2043">
        <v>141106546</v>
      </c>
      <c r="G264" s="2043">
        <v>137295092</v>
      </c>
      <c r="H264" s="2043">
        <v>141106546</v>
      </c>
      <c r="I264" s="2043">
        <v>137295092</v>
      </c>
    </row>
    <row r="265" spans="1:9" ht="14.5">
      <c r="A265" t="s">
        <v>9670</v>
      </c>
      <c r="B265" s="2113" t="str">
        <f t="shared" si="4"/>
        <v>067-907</v>
      </c>
      <c r="C265" t="s">
        <v>6257</v>
      </c>
      <c r="D265" s="2043">
        <v>13919617</v>
      </c>
      <c r="E265" s="2043">
        <v>0</v>
      </c>
      <c r="F265" s="2043">
        <v>165359541</v>
      </c>
      <c r="G265" s="2043">
        <v>161129924</v>
      </c>
      <c r="H265" s="2043">
        <v>165359541</v>
      </c>
      <c r="I265" s="2043">
        <v>161129924</v>
      </c>
    </row>
    <row r="266" spans="1:9" ht="14.5">
      <c r="A266" t="s">
        <v>9671</v>
      </c>
      <c r="B266" s="2113" t="str">
        <f t="shared" si="4"/>
        <v>067-908</v>
      </c>
      <c r="C266" t="s">
        <v>6258</v>
      </c>
      <c r="D266" s="2043">
        <v>8593250</v>
      </c>
      <c r="E266" s="2043">
        <v>0</v>
      </c>
      <c r="F266" s="2043">
        <v>56539355</v>
      </c>
      <c r="G266" s="2043">
        <v>53806105</v>
      </c>
      <c r="H266" s="2043">
        <v>56539355</v>
      </c>
      <c r="I266" s="2043">
        <v>53806105</v>
      </c>
    </row>
    <row r="267" spans="1:9" ht="14.5">
      <c r="A267" t="s">
        <v>10597</v>
      </c>
      <c r="B267" s="2113" t="str">
        <f t="shared" si="4"/>
        <v>068-901</v>
      </c>
      <c r="C267" t="s">
        <v>6259</v>
      </c>
      <c r="D267" s="2043">
        <v>691754543</v>
      </c>
      <c r="E267" s="2043">
        <v>62001156</v>
      </c>
      <c r="F267" s="2043">
        <v>15691223115</v>
      </c>
      <c r="G267" s="2043">
        <v>15430253572</v>
      </c>
      <c r="H267" s="2043">
        <v>15753224271</v>
      </c>
      <c r="I267" s="2043">
        <v>15492254728</v>
      </c>
    </row>
    <row r="268" spans="1:9" ht="14.5">
      <c r="A268" t="s">
        <v>9672</v>
      </c>
      <c r="B268" s="2113" t="str">
        <f t="shared" si="4"/>
        <v>069-901</v>
      </c>
      <c r="C268" t="s">
        <v>6260</v>
      </c>
      <c r="D268" s="2043">
        <v>10139150</v>
      </c>
      <c r="E268" s="2043">
        <v>0</v>
      </c>
      <c r="F268" s="2043">
        <v>659749441</v>
      </c>
      <c r="G268" s="2043">
        <v>656645291</v>
      </c>
      <c r="H268" s="2043">
        <v>659749441</v>
      </c>
      <c r="I268" s="2043">
        <v>656645291</v>
      </c>
    </row>
    <row r="269" spans="1:9" ht="14.5">
      <c r="A269" t="s">
        <v>9673</v>
      </c>
      <c r="B269" s="2113" t="str">
        <f t="shared" si="4"/>
        <v>069-902</v>
      </c>
      <c r="C269" t="s">
        <v>6261</v>
      </c>
      <c r="D269" s="2043">
        <v>11836375</v>
      </c>
      <c r="E269" s="2043">
        <v>0</v>
      </c>
      <c r="F269" s="2043">
        <v>339132747</v>
      </c>
      <c r="G269" s="2043">
        <v>335276372</v>
      </c>
      <c r="H269" s="2043">
        <v>339132747</v>
      </c>
      <c r="I269" s="2043">
        <v>335276372</v>
      </c>
    </row>
    <row r="270" spans="1:9" ht="14.5">
      <c r="A270" t="s">
        <v>9674</v>
      </c>
      <c r="B270" s="2113" t="str">
        <f t="shared" si="4"/>
        <v>070-901</v>
      </c>
      <c r="C270" t="s">
        <v>6262</v>
      </c>
      <c r="D270" s="2043">
        <v>3896001</v>
      </c>
      <c r="E270" s="2043">
        <v>0</v>
      </c>
      <c r="F270" s="2043">
        <v>54797934</v>
      </c>
      <c r="G270" s="2043">
        <v>53496933</v>
      </c>
      <c r="H270" s="2043">
        <v>54797934</v>
      </c>
      <c r="I270" s="2043">
        <v>53496933</v>
      </c>
    </row>
    <row r="271" spans="1:9" ht="14.5">
      <c r="A271" t="s">
        <v>9675</v>
      </c>
      <c r="B271" s="2113" t="str">
        <f t="shared" si="4"/>
        <v>070-903</v>
      </c>
      <c r="C271" t="s">
        <v>6263</v>
      </c>
      <c r="D271" s="2043">
        <v>127598188</v>
      </c>
      <c r="E271" s="2043">
        <v>0</v>
      </c>
      <c r="F271" s="2043">
        <v>2600083815</v>
      </c>
      <c r="G271" s="2043">
        <v>2551280627</v>
      </c>
      <c r="H271" s="2043">
        <v>2600083815</v>
      </c>
      <c r="I271" s="2043">
        <v>2551280627</v>
      </c>
    </row>
    <row r="272" spans="1:9" ht="14.5">
      <c r="A272" t="s">
        <v>9676</v>
      </c>
      <c r="B272" s="2113" t="str">
        <f t="shared" si="4"/>
        <v>070-905</v>
      </c>
      <c r="C272" t="s">
        <v>6264</v>
      </c>
      <c r="D272" s="2043">
        <v>48074627</v>
      </c>
      <c r="E272" s="2043">
        <v>0</v>
      </c>
      <c r="F272" s="2043">
        <v>598493685</v>
      </c>
      <c r="G272" s="2043">
        <v>581184058</v>
      </c>
      <c r="H272" s="2043">
        <v>598493685</v>
      </c>
      <c r="I272" s="2043">
        <v>581184058</v>
      </c>
    </row>
    <row r="273" spans="1:9" ht="14.5">
      <c r="A273" t="s">
        <v>9677</v>
      </c>
      <c r="B273" s="2113" t="str">
        <f t="shared" si="4"/>
        <v>070-907</v>
      </c>
      <c r="C273" t="s">
        <v>6265</v>
      </c>
      <c r="D273" s="2043">
        <v>15205731</v>
      </c>
      <c r="E273" s="2043">
        <v>0</v>
      </c>
      <c r="F273" s="2043">
        <v>177146744</v>
      </c>
      <c r="G273" s="2043">
        <v>171481013</v>
      </c>
      <c r="H273" s="2043">
        <v>177146744</v>
      </c>
      <c r="I273" s="2043">
        <v>171481013</v>
      </c>
    </row>
    <row r="274" spans="1:9" ht="14.5">
      <c r="A274" t="s">
        <v>9678</v>
      </c>
      <c r="B274" s="2113" t="str">
        <f t="shared" si="4"/>
        <v>070-908</v>
      </c>
      <c r="C274" t="s">
        <v>6266</v>
      </c>
      <c r="D274" s="2043">
        <v>292118942</v>
      </c>
      <c r="E274" s="2043">
        <v>0</v>
      </c>
      <c r="F274" s="2043">
        <v>5360207190</v>
      </c>
      <c r="G274" s="2043">
        <v>5245883248</v>
      </c>
      <c r="H274" s="2043">
        <v>5360207190</v>
      </c>
      <c r="I274" s="2043">
        <v>5245883248</v>
      </c>
    </row>
    <row r="275" spans="1:9" ht="14.5">
      <c r="A275" t="s">
        <v>9679</v>
      </c>
      <c r="B275" s="2113" t="str">
        <f t="shared" si="4"/>
        <v>070-909</v>
      </c>
      <c r="C275" t="s">
        <v>6267</v>
      </c>
      <c r="D275" s="2043">
        <v>6445874</v>
      </c>
      <c r="E275" s="2043">
        <v>0</v>
      </c>
      <c r="F275" s="2043">
        <v>113819456</v>
      </c>
      <c r="G275" s="2043">
        <v>111543582</v>
      </c>
      <c r="H275" s="2043">
        <v>113819456</v>
      </c>
      <c r="I275" s="2043">
        <v>111543582</v>
      </c>
    </row>
    <row r="276" spans="1:9" ht="14.5">
      <c r="A276" t="s">
        <v>9680</v>
      </c>
      <c r="B276" s="2113" t="str">
        <f t="shared" si="4"/>
        <v>070-910</v>
      </c>
      <c r="C276" t="s">
        <v>6268</v>
      </c>
      <c r="D276" s="2043">
        <v>32593923</v>
      </c>
      <c r="E276" s="2043">
        <v>0</v>
      </c>
      <c r="F276" s="2043">
        <v>382751781</v>
      </c>
      <c r="G276" s="2043">
        <v>370512858</v>
      </c>
      <c r="H276" s="2043">
        <v>382751781</v>
      </c>
      <c r="I276" s="2043">
        <v>370512858</v>
      </c>
    </row>
    <row r="277" spans="1:9" ht="14.5">
      <c r="A277" t="s">
        <v>9681</v>
      </c>
      <c r="B277" s="2113" t="str">
        <f t="shared" si="4"/>
        <v>070-911</v>
      </c>
      <c r="C277" t="s">
        <v>6269</v>
      </c>
      <c r="D277" s="2043">
        <v>172511262</v>
      </c>
      <c r="E277" s="2043">
        <v>0</v>
      </c>
      <c r="F277" s="2043">
        <v>2356504867</v>
      </c>
      <c r="G277" s="2043">
        <v>2289353605</v>
      </c>
      <c r="H277" s="2043">
        <v>2356504867</v>
      </c>
      <c r="I277" s="2043">
        <v>2289353605</v>
      </c>
    </row>
    <row r="278" spans="1:9" ht="14.5">
      <c r="A278" t="s">
        <v>9682</v>
      </c>
      <c r="B278" s="2113" t="str">
        <f t="shared" si="4"/>
        <v>070-912</v>
      </c>
      <c r="C278" t="s">
        <v>6270</v>
      </c>
      <c r="D278" s="2043">
        <v>279615106</v>
      </c>
      <c r="E278" s="2043">
        <v>0</v>
      </c>
      <c r="F278" s="2043">
        <v>5220969427</v>
      </c>
      <c r="G278" s="2043">
        <v>5112039321</v>
      </c>
      <c r="H278" s="2043">
        <v>5220969427</v>
      </c>
      <c r="I278" s="2043">
        <v>5112039321</v>
      </c>
    </row>
    <row r="279" spans="1:9" ht="14.5">
      <c r="A279" t="s">
        <v>10598</v>
      </c>
      <c r="B279" s="2113" t="str">
        <f t="shared" si="4"/>
        <v>070-915</v>
      </c>
      <c r="C279" t="s">
        <v>6271</v>
      </c>
      <c r="D279" s="2043">
        <v>33042443</v>
      </c>
      <c r="E279" s="2043">
        <v>0</v>
      </c>
      <c r="F279" s="2043">
        <v>470282025</v>
      </c>
      <c r="G279" s="2043">
        <v>457759582</v>
      </c>
      <c r="H279" s="2043">
        <v>470282025</v>
      </c>
      <c r="I279" s="2043">
        <v>457759582</v>
      </c>
    </row>
    <row r="280" spans="1:9" ht="14.5">
      <c r="A280" t="s">
        <v>9683</v>
      </c>
      <c r="B280" s="2113" t="str">
        <f t="shared" si="4"/>
        <v>071-901</v>
      </c>
      <c r="C280" t="s">
        <v>6272</v>
      </c>
      <c r="D280" s="2043">
        <v>214071522</v>
      </c>
      <c r="E280" s="2043">
        <v>0</v>
      </c>
      <c r="F280" s="2043">
        <v>1586510315</v>
      </c>
      <c r="G280" s="2043">
        <v>1516138793</v>
      </c>
      <c r="H280" s="2043">
        <v>1586510315</v>
      </c>
      <c r="I280" s="2043">
        <v>1516138793</v>
      </c>
    </row>
    <row r="281" spans="1:9" ht="14.5">
      <c r="A281" t="s">
        <v>9684</v>
      </c>
      <c r="B281" s="2113" t="str">
        <f t="shared" si="4"/>
        <v>071-902</v>
      </c>
      <c r="C281" t="s">
        <v>6273</v>
      </c>
      <c r="D281" s="2043">
        <v>1367917689</v>
      </c>
      <c r="E281" s="2043">
        <v>0</v>
      </c>
      <c r="F281" s="2043">
        <v>17962650256</v>
      </c>
      <c r="G281" s="2043">
        <v>17419642567</v>
      </c>
      <c r="H281" s="2043">
        <v>17962650256</v>
      </c>
      <c r="I281" s="2043">
        <v>17419642567</v>
      </c>
    </row>
    <row r="282" spans="1:9" ht="14.5">
      <c r="A282" t="s">
        <v>9685</v>
      </c>
      <c r="B282" s="2113" t="str">
        <f t="shared" si="4"/>
        <v>071-903</v>
      </c>
      <c r="C282" t="s">
        <v>6274</v>
      </c>
      <c r="D282" s="2043">
        <v>30443092</v>
      </c>
      <c r="E282" s="2043">
        <v>0</v>
      </c>
      <c r="F282" s="2043">
        <v>223809326</v>
      </c>
      <c r="G282" s="2043">
        <v>215056234</v>
      </c>
      <c r="H282" s="2043">
        <v>223809326</v>
      </c>
      <c r="I282" s="2043">
        <v>215056234</v>
      </c>
    </row>
    <row r="283" spans="1:9" ht="14.5">
      <c r="A283" t="s">
        <v>9686</v>
      </c>
      <c r="B283" s="2113" t="str">
        <f t="shared" si="4"/>
        <v>071-904</v>
      </c>
      <c r="C283" t="s">
        <v>6275</v>
      </c>
      <c r="D283" s="2043">
        <v>51510170</v>
      </c>
      <c r="E283" s="2043">
        <v>0</v>
      </c>
      <c r="F283" s="2043">
        <v>263065556</v>
      </c>
      <c r="G283" s="2043">
        <v>247630386</v>
      </c>
      <c r="H283" s="2043">
        <v>263065556</v>
      </c>
      <c r="I283" s="2043">
        <v>247630386</v>
      </c>
    </row>
    <row r="284" spans="1:9" ht="14.5">
      <c r="A284" t="s">
        <v>9687</v>
      </c>
      <c r="B284" s="2113" t="str">
        <f t="shared" si="4"/>
        <v>071-905</v>
      </c>
      <c r="C284" t="s">
        <v>6276</v>
      </c>
      <c r="D284" s="2043">
        <v>918909654</v>
      </c>
      <c r="E284" s="2043">
        <v>0</v>
      </c>
      <c r="F284" s="2043">
        <v>8044262972</v>
      </c>
      <c r="G284" s="2043">
        <v>7689593318</v>
      </c>
      <c r="H284" s="2043">
        <v>8044262972</v>
      </c>
      <c r="I284" s="2043">
        <v>7689593318</v>
      </c>
    </row>
    <row r="285" spans="1:9" ht="14.5">
      <c r="A285" t="s">
        <v>9688</v>
      </c>
      <c r="B285" s="2113" t="str">
        <f t="shared" si="4"/>
        <v>071-906</v>
      </c>
      <c r="C285" t="s">
        <v>6277</v>
      </c>
      <c r="D285" s="2043">
        <v>19726613</v>
      </c>
      <c r="E285" s="2043">
        <v>0</v>
      </c>
      <c r="F285" s="2043">
        <v>205217921</v>
      </c>
      <c r="G285" s="2043">
        <v>197761308</v>
      </c>
      <c r="H285" s="2043">
        <v>205217921</v>
      </c>
      <c r="I285" s="2043">
        <v>197761308</v>
      </c>
    </row>
    <row r="286" spans="1:9" ht="14.5">
      <c r="A286" t="s">
        <v>9689</v>
      </c>
      <c r="B286" s="2113" t="str">
        <f t="shared" si="4"/>
        <v>071-907</v>
      </c>
      <c r="C286" t="s">
        <v>6278</v>
      </c>
      <c r="D286" s="2043">
        <v>171663414</v>
      </c>
      <c r="E286" s="2043">
        <v>0</v>
      </c>
      <c r="F286" s="2043">
        <v>2693560046</v>
      </c>
      <c r="G286" s="2043">
        <v>2631861632</v>
      </c>
      <c r="H286" s="2043">
        <v>2693560046</v>
      </c>
      <c r="I286" s="2043">
        <v>2631861632</v>
      </c>
    </row>
    <row r="287" spans="1:9" ht="14.5">
      <c r="A287" t="s">
        <v>9690</v>
      </c>
      <c r="B287" s="2113" t="str">
        <f t="shared" si="4"/>
        <v>071-908</v>
      </c>
      <c r="C287" t="s">
        <v>6279</v>
      </c>
      <c r="D287" s="2043">
        <v>11836902</v>
      </c>
      <c r="E287" s="2043">
        <v>0</v>
      </c>
      <c r="F287" s="2043">
        <v>85688512</v>
      </c>
      <c r="G287" s="2043">
        <v>82866610</v>
      </c>
      <c r="H287" s="2043">
        <v>85688512</v>
      </c>
      <c r="I287" s="2043">
        <v>82866610</v>
      </c>
    </row>
    <row r="288" spans="1:9" ht="14.5">
      <c r="A288" t="s">
        <v>9691</v>
      </c>
      <c r="B288" s="2113" t="str">
        <f t="shared" si="4"/>
        <v>071-909</v>
      </c>
      <c r="C288" t="s">
        <v>6280</v>
      </c>
      <c r="D288" s="2043">
        <v>1183986640</v>
      </c>
      <c r="E288" s="2043">
        <v>0</v>
      </c>
      <c r="F288" s="2043">
        <v>11998349047</v>
      </c>
      <c r="G288" s="2043">
        <v>11537242407</v>
      </c>
      <c r="H288" s="2043">
        <v>11998349047</v>
      </c>
      <c r="I288" s="2043">
        <v>11537242407</v>
      </c>
    </row>
    <row r="289" spans="1:9" ht="14.5">
      <c r="A289" t="s">
        <v>9692</v>
      </c>
      <c r="B289" s="2113" t="str">
        <f t="shared" si="4"/>
        <v>072-901</v>
      </c>
      <c r="C289" t="s">
        <v>6281</v>
      </c>
      <c r="D289" s="2043">
        <v>3268050</v>
      </c>
      <c r="E289" s="2043">
        <v>0</v>
      </c>
      <c r="F289" s="2043">
        <v>62599805</v>
      </c>
      <c r="G289" s="2043">
        <v>61356755</v>
      </c>
      <c r="H289" s="2043">
        <v>62599805</v>
      </c>
      <c r="I289" s="2043">
        <v>61356755</v>
      </c>
    </row>
    <row r="290" spans="1:9" ht="14.5">
      <c r="A290" t="s">
        <v>9693</v>
      </c>
      <c r="B290" s="2113" t="str">
        <f t="shared" si="4"/>
        <v>072-902</v>
      </c>
      <c r="C290" t="s">
        <v>6282</v>
      </c>
      <c r="D290" s="2043">
        <v>35655367</v>
      </c>
      <c r="E290" s="2043">
        <v>0</v>
      </c>
      <c r="F290" s="2043">
        <v>422565841</v>
      </c>
      <c r="G290" s="2043">
        <v>409155474</v>
      </c>
      <c r="H290" s="2043">
        <v>422565841</v>
      </c>
      <c r="I290" s="2043">
        <v>409155474</v>
      </c>
    </row>
    <row r="291" spans="1:9" ht="14.5">
      <c r="A291" t="s">
        <v>9694</v>
      </c>
      <c r="B291" s="2113" t="str">
        <f t="shared" si="4"/>
        <v>072-903</v>
      </c>
      <c r="C291" t="s">
        <v>6283</v>
      </c>
      <c r="D291" s="2043">
        <v>111275655</v>
      </c>
      <c r="E291" s="2043">
        <v>0</v>
      </c>
      <c r="F291" s="2043">
        <v>2143385446</v>
      </c>
      <c r="G291" s="2043">
        <v>2099939791</v>
      </c>
      <c r="H291" s="2043">
        <v>2143385446</v>
      </c>
      <c r="I291" s="2043">
        <v>2099939791</v>
      </c>
    </row>
    <row r="292" spans="1:9" ht="14.5">
      <c r="A292" t="s">
        <v>9695</v>
      </c>
      <c r="B292" s="2113" t="str">
        <f t="shared" si="4"/>
        <v>072-904</v>
      </c>
      <c r="C292" t="s">
        <v>6284</v>
      </c>
      <c r="D292" s="2043">
        <v>9427521</v>
      </c>
      <c r="E292" s="2043">
        <v>0</v>
      </c>
      <c r="F292" s="2043">
        <v>189552135</v>
      </c>
      <c r="G292" s="2043">
        <v>185899614</v>
      </c>
      <c r="H292" s="2043">
        <v>189552135</v>
      </c>
      <c r="I292" s="2043">
        <v>185899614</v>
      </c>
    </row>
    <row r="293" spans="1:9" ht="14.5">
      <c r="A293" t="s">
        <v>9696</v>
      </c>
      <c r="B293" s="2113" t="str">
        <f t="shared" si="4"/>
        <v>072-908</v>
      </c>
      <c r="C293" t="s">
        <v>6285</v>
      </c>
      <c r="D293" s="2043">
        <v>9842410</v>
      </c>
      <c r="E293" s="2043">
        <v>89694860</v>
      </c>
      <c r="F293" s="2043">
        <v>197142416</v>
      </c>
      <c r="G293" s="2043">
        <v>193375006</v>
      </c>
      <c r="H293" s="2043">
        <v>286837276</v>
      </c>
      <c r="I293" s="2043">
        <v>283069866</v>
      </c>
    </row>
    <row r="294" spans="1:9" ht="14.5">
      <c r="A294" t="s">
        <v>9697</v>
      </c>
      <c r="B294" s="2113" t="str">
        <f t="shared" si="4"/>
        <v>072-909</v>
      </c>
      <c r="C294" t="s">
        <v>6286</v>
      </c>
      <c r="D294" s="2043">
        <v>6607760</v>
      </c>
      <c r="E294" s="2043">
        <v>0</v>
      </c>
      <c r="F294" s="2043">
        <v>130619835</v>
      </c>
      <c r="G294" s="2043">
        <v>128167075</v>
      </c>
      <c r="H294" s="2043">
        <v>130619835</v>
      </c>
      <c r="I294" s="2043">
        <v>128167075</v>
      </c>
    </row>
    <row r="295" spans="1:9" ht="14.5">
      <c r="A295" t="s">
        <v>9698</v>
      </c>
      <c r="B295" s="2113" t="str">
        <f t="shared" si="4"/>
        <v>072-910</v>
      </c>
      <c r="C295" t="s">
        <v>6287</v>
      </c>
      <c r="D295" s="2043">
        <v>6831950</v>
      </c>
      <c r="E295" s="2043">
        <v>0</v>
      </c>
      <c r="F295" s="2043">
        <v>113707339</v>
      </c>
      <c r="G295" s="2043">
        <v>111030389</v>
      </c>
      <c r="H295" s="2043">
        <v>113707339</v>
      </c>
      <c r="I295" s="2043">
        <v>111030389</v>
      </c>
    </row>
    <row r="296" spans="1:9" ht="14.5">
      <c r="A296" t="s">
        <v>9699</v>
      </c>
      <c r="B296" s="2113" t="str">
        <f t="shared" si="4"/>
        <v>073-901</v>
      </c>
      <c r="C296" t="s">
        <v>6288</v>
      </c>
      <c r="D296" s="2043">
        <v>11144171</v>
      </c>
      <c r="E296" s="2043">
        <v>0</v>
      </c>
      <c r="F296" s="2043">
        <v>85709412</v>
      </c>
      <c r="G296" s="2043">
        <v>81840241</v>
      </c>
      <c r="H296" s="2043">
        <v>85709412</v>
      </c>
      <c r="I296" s="2043">
        <v>81840241</v>
      </c>
    </row>
    <row r="297" spans="1:9" ht="14.5">
      <c r="A297" t="s">
        <v>9700</v>
      </c>
      <c r="B297" s="2113" t="str">
        <f t="shared" si="4"/>
        <v>073-903</v>
      </c>
      <c r="C297" t="s">
        <v>6289</v>
      </c>
      <c r="D297" s="2043">
        <v>35808651</v>
      </c>
      <c r="E297" s="2043">
        <v>0</v>
      </c>
      <c r="F297" s="2043">
        <v>341117200</v>
      </c>
      <c r="G297" s="2043">
        <v>328738549</v>
      </c>
      <c r="H297" s="2043">
        <v>341117200</v>
      </c>
      <c r="I297" s="2043">
        <v>328738549</v>
      </c>
    </row>
    <row r="298" spans="1:9" ht="14.5">
      <c r="A298" t="s">
        <v>9701</v>
      </c>
      <c r="B298" s="2113" t="str">
        <f t="shared" si="4"/>
        <v>073-904</v>
      </c>
      <c r="C298" t="s">
        <v>6290</v>
      </c>
      <c r="D298" s="2043">
        <v>3033349</v>
      </c>
      <c r="E298" s="2043">
        <v>0</v>
      </c>
      <c r="F298" s="2043">
        <v>21733934</v>
      </c>
      <c r="G298" s="2043">
        <v>20605585</v>
      </c>
      <c r="H298" s="2043">
        <v>21733934</v>
      </c>
      <c r="I298" s="2043">
        <v>20605585</v>
      </c>
    </row>
    <row r="299" spans="1:9" ht="14.5">
      <c r="A299" t="s">
        <v>9702</v>
      </c>
      <c r="B299" s="2113" t="str">
        <f t="shared" si="4"/>
        <v>073-905</v>
      </c>
      <c r="C299" t="s">
        <v>6291</v>
      </c>
      <c r="D299" s="2043">
        <v>29391077</v>
      </c>
      <c r="E299" s="2043">
        <v>0</v>
      </c>
      <c r="F299" s="2043">
        <v>317525916</v>
      </c>
      <c r="G299" s="2043">
        <v>308472024</v>
      </c>
      <c r="H299" s="2043">
        <v>317525916</v>
      </c>
      <c r="I299" s="2043">
        <v>308472024</v>
      </c>
    </row>
    <row r="300" spans="1:9" ht="14.5">
      <c r="A300" t="s">
        <v>9703</v>
      </c>
      <c r="B300" s="2113" t="str">
        <f t="shared" si="4"/>
        <v>074-903</v>
      </c>
      <c r="C300" t="s">
        <v>6292</v>
      </c>
      <c r="D300" s="2043">
        <v>82086318</v>
      </c>
      <c r="E300" s="2043">
        <v>0</v>
      </c>
      <c r="F300" s="2043">
        <v>875161534</v>
      </c>
      <c r="G300" s="2043">
        <v>844855216</v>
      </c>
      <c r="H300" s="2043">
        <v>875161534</v>
      </c>
      <c r="I300" s="2043">
        <v>844855216</v>
      </c>
    </row>
    <row r="301" spans="1:9" ht="14.5">
      <c r="A301" t="s">
        <v>9704</v>
      </c>
      <c r="B301" s="2113" t="str">
        <f t="shared" si="4"/>
        <v>074-904</v>
      </c>
      <c r="C301" t="s">
        <v>6293</v>
      </c>
      <c r="D301" s="2043">
        <v>7792253</v>
      </c>
      <c r="E301" s="2043">
        <v>0</v>
      </c>
      <c r="F301" s="2043">
        <v>87735595</v>
      </c>
      <c r="G301" s="2043">
        <v>84893342</v>
      </c>
      <c r="H301" s="2043">
        <v>87735595</v>
      </c>
      <c r="I301" s="2043">
        <v>84893342</v>
      </c>
    </row>
    <row r="302" spans="1:9" ht="14.5">
      <c r="A302" t="s">
        <v>9705</v>
      </c>
      <c r="B302" s="2113" t="str">
        <f t="shared" si="4"/>
        <v>074-905</v>
      </c>
      <c r="C302" t="s">
        <v>6294</v>
      </c>
      <c r="D302" s="2043">
        <v>6896776</v>
      </c>
      <c r="E302" s="2043">
        <v>0</v>
      </c>
      <c r="F302" s="2043">
        <v>68324532</v>
      </c>
      <c r="G302" s="2043">
        <v>65867756</v>
      </c>
      <c r="H302" s="2043">
        <v>68324532</v>
      </c>
      <c r="I302" s="2043">
        <v>65867756</v>
      </c>
    </row>
    <row r="303" spans="1:9" ht="14.5">
      <c r="A303" t="s">
        <v>9706</v>
      </c>
      <c r="B303" s="2113" t="str">
        <f t="shared" si="4"/>
        <v>074-907</v>
      </c>
      <c r="C303" t="s">
        <v>6295</v>
      </c>
      <c r="D303" s="2043">
        <v>22325928</v>
      </c>
      <c r="E303" s="2043">
        <v>0</v>
      </c>
      <c r="F303" s="2043">
        <v>250327169</v>
      </c>
      <c r="G303" s="2043">
        <v>242551241</v>
      </c>
      <c r="H303" s="2043">
        <v>250327169</v>
      </c>
      <c r="I303" s="2043">
        <v>242551241</v>
      </c>
    </row>
    <row r="304" spans="1:9" ht="14.5">
      <c r="A304" t="s">
        <v>9707</v>
      </c>
      <c r="B304" s="2113" t="str">
        <f t="shared" si="4"/>
        <v>074-909</v>
      </c>
      <c r="C304" t="s">
        <v>6296</v>
      </c>
      <c r="D304" s="2043">
        <v>23812438</v>
      </c>
      <c r="E304" s="2043">
        <v>0</v>
      </c>
      <c r="F304" s="2043">
        <v>277287500</v>
      </c>
      <c r="G304" s="2043">
        <v>268415062</v>
      </c>
      <c r="H304" s="2043">
        <v>277287500</v>
      </c>
      <c r="I304" s="2043">
        <v>268415062</v>
      </c>
    </row>
    <row r="305" spans="1:9" ht="14.5">
      <c r="A305" t="s">
        <v>9708</v>
      </c>
      <c r="B305" s="2113" t="str">
        <f t="shared" si="4"/>
        <v>074-911</v>
      </c>
      <c r="C305" t="s">
        <v>6297</v>
      </c>
      <c r="D305" s="2043">
        <v>13014722</v>
      </c>
      <c r="E305" s="2043">
        <v>0</v>
      </c>
      <c r="F305" s="2043">
        <v>138651882</v>
      </c>
      <c r="G305" s="2043">
        <v>134172160</v>
      </c>
      <c r="H305" s="2043">
        <v>138651882</v>
      </c>
      <c r="I305" s="2043">
        <v>134172160</v>
      </c>
    </row>
    <row r="306" spans="1:9" ht="14.5">
      <c r="A306" t="s">
        <v>9709</v>
      </c>
      <c r="B306" s="2113" t="str">
        <f t="shared" si="4"/>
        <v>074-912</v>
      </c>
      <c r="C306" t="s">
        <v>6298</v>
      </c>
      <c r="D306" s="2043">
        <v>24154613</v>
      </c>
      <c r="E306" s="2043">
        <v>0</v>
      </c>
      <c r="F306" s="2043">
        <v>294579394</v>
      </c>
      <c r="G306" s="2043">
        <v>285649781</v>
      </c>
      <c r="H306" s="2043">
        <v>294579394</v>
      </c>
      <c r="I306" s="2043">
        <v>285649781</v>
      </c>
    </row>
    <row r="307" spans="1:9" ht="14.5">
      <c r="A307" t="s">
        <v>9710</v>
      </c>
      <c r="B307" s="2113" t="str">
        <f t="shared" si="4"/>
        <v>074-917</v>
      </c>
      <c r="C307" t="s">
        <v>6299</v>
      </c>
      <c r="D307" s="2043">
        <v>18404402</v>
      </c>
      <c r="E307" s="2043">
        <v>0</v>
      </c>
      <c r="F307" s="2043">
        <v>150946128</v>
      </c>
      <c r="G307" s="2043">
        <v>144196726</v>
      </c>
      <c r="H307" s="2043">
        <v>150946128</v>
      </c>
      <c r="I307" s="2043">
        <v>144196726</v>
      </c>
    </row>
    <row r="308" spans="1:9" ht="14.5">
      <c r="A308" t="s">
        <v>9711</v>
      </c>
      <c r="B308" s="2113" t="str">
        <f t="shared" si="4"/>
        <v>075-901</v>
      </c>
      <c r="C308" t="s">
        <v>6300</v>
      </c>
      <c r="D308" s="2043">
        <v>26120684</v>
      </c>
      <c r="E308" s="2043">
        <v>0</v>
      </c>
      <c r="F308" s="2043">
        <v>451480543</v>
      </c>
      <c r="G308" s="2043">
        <v>442054859</v>
      </c>
      <c r="H308" s="2043">
        <v>451480543</v>
      </c>
      <c r="I308" s="2043">
        <v>442054859</v>
      </c>
    </row>
    <row r="309" spans="1:9" ht="14.5">
      <c r="A309" t="s">
        <v>9712</v>
      </c>
      <c r="B309" s="2113" t="str">
        <f t="shared" si="4"/>
        <v>075-902</v>
      </c>
      <c r="C309" t="s">
        <v>6301</v>
      </c>
      <c r="D309" s="2043">
        <v>80747717</v>
      </c>
      <c r="E309" s="2043">
        <v>0</v>
      </c>
      <c r="F309" s="2043">
        <v>1310118966</v>
      </c>
      <c r="G309" s="2043">
        <v>1280071249</v>
      </c>
      <c r="H309" s="2043">
        <v>1310118966</v>
      </c>
      <c r="I309" s="2043">
        <v>1280071249</v>
      </c>
    </row>
    <row r="310" spans="1:9" ht="14.5">
      <c r="A310" t="s">
        <v>9713</v>
      </c>
      <c r="B310" s="2113" t="str">
        <f t="shared" si="4"/>
        <v>075-903</v>
      </c>
      <c r="C310" t="s">
        <v>6302</v>
      </c>
      <c r="D310" s="2043">
        <v>33043292</v>
      </c>
      <c r="E310" s="2043">
        <v>0</v>
      </c>
      <c r="F310" s="2043">
        <v>515438816</v>
      </c>
      <c r="G310" s="2043">
        <v>503170524</v>
      </c>
      <c r="H310" s="2043">
        <v>515438816</v>
      </c>
      <c r="I310" s="2043">
        <v>503170524</v>
      </c>
    </row>
    <row r="311" spans="1:9" ht="14.5">
      <c r="A311" t="s">
        <v>9714</v>
      </c>
      <c r="B311" s="2113" t="str">
        <f t="shared" si="4"/>
        <v>075-906</v>
      </c>
      <c r="C311" t="s">
        <v>6303</v>
      </c>
      <c r="D311" s="2043">
        <v>13567827</v>
      </c>
      <c r="E311" s="2043">
        <v>0</v>
      </c>
      <c r="F311" s="2043">
        <v>269735892</v>
      </c>
      <c r="G311" s="2043">
        <v>264598065</v>
      </c>
      <c r="H311" s="2043">
        <v>269735892</v>
      </c>
      <c r="I311" s="2043">
        <v>264598065</v>
      </c>
    </row>
    <row r="312" spans="1:9" ht="14.5">
      <c r="A312" t="s">
        <v>9715</v>
      </c>
      <c r="B312" s="2113" t="str">
        <f t="shared" si="4"/>
        <v>075-908</v>
      </c>
      <c r="C312" t="s">
        <v>6304</v>
      </c>
      <c r="D312" s="2043">
        <v>16097382</v>
      </c>
      <c r="E312" s="2043">
        <v>0</v>
      </c>
      <c r="F312" s="2043">
        <v>434009647</v>
      </c>
      <c r="G312" s="2043">
        <v>427827265</v>
      </c>
      <c r="H312" s="2043">
        <v>434009647</v>
      </c>
      <c r="I312" s="2043">
        <v>427827265</v>
      </c>
    </row>
    <row r="313" spans="1:9" ht="14.5">
      <c r="A313" t="s">
        <v>9716</v>
      </c>
      <c r="B313" s="2113" t="str">
        <f t="shared" si="4"/>
        <v>076-903</v>
      </c>
      <c r="C313" t="s">
        <v>6305</v>
      </c>
      <c r="D313" s="2043">
        <v>9471070</v>
      </c>
      <c r="E313" s="2043">
        <v>195890940</v>
      </c>
      <c r="F313" s="2043">
        <v>156013042</v>
      </c>
      <c r="G313" s="2043">
        <v>152631972</v>
      </c>
      <c r="H313" s="2043">
        <v>351903982</v>
      </c>
      <c r="I313" s="2043">
        <v>348522912</v>
      </c>
    </row>
    <row r="314" spans="1:9" ht="14.5">
      <c r="A314" t="s">
        <v>9717</v>
      </c>
      <c r="B314" s="2113" t="str">
        <f t="shared" si="4"/>
        <v>076-904</v>
      </c>
      <c r="C314" t="s">
        <v>6306</v>
      </c>
      <c r="D314" s="2043">
        <v>11596020</v>
      </c>
      <c r="E314" s="2043">
        <v>11975000</v>
      </c>
      <c r="F314" s="2043">
        <v>193276372</v>
      </c>
      <c r="G314" s="2043">
        <v>189315352</v>
      </c>
      <c r="H314" s="2043">
        <v>205251372</v>
      </c>
      <c r="I314" s="2043">
        <v>201290352</v>
      </c>
    </row>
    <row r="315" spans="1:9" ht="14.5">
      <c r="A315" t="s">
        <v>9718</v>
      </c>
      <c r="B315" s="2113" t="str">
        <f t="shared" si="4"/>
        <v>077-901</v>
      </c>
      <c r="C315" t="s">
        <v>6307</v>
      </c>
      <c r="D315" s="2043">
        <v>20549050</v>
      </c>
      <c r="E315" s="2043">
        <v>405763000</v>
      </c>
      <c r="F315" s="2043">
        <v>321489968</v>
      </c>
      <c r="G315" s="2043">
        <v>315115918</v>
      </c>
      <c r="H315" s="2043">
        <v>727252968</v>
      </c>
      <c r="I315" s="2043">
        <v>720878918</v>
      </c>
    </row>
    <row r="316" spans="1:9" ht="14.5">
      <c r="A316" t="s">
        <v>9719</v>
      </c>
      <c r="B316" s="2113" t="str">
        <f t="shared" si="4"/>
        <v>077-902</v>
      </c>
      <c r="C316" t="s">
        <v>6308</v>
      </c>
      <c r="D316" s="2043">
        <v>12325654</v>
      </c>
      <c r="E316" s="2043">
        <v>247564670</v>
      </c>
      <c r="F316" s="2043">
        <v>125940135</v>
      </c>
      <c r="G316" s="2043">
        <v>121879481</v>
      </c>
      <c r="H316" s="2043">
        <v>373504805</v>
      </c>
      <c r="I316" s="2043">
        <v>369444151</v>
      </c>
    </row>
    <row r="317" spans="1:9" ht="14.5">
      <c r="A317" t="s">
        <v>9720</v>
      </c>
      <c r="B317" s="2113" t="str">
        <f t="shared" si="4"/>
        <v>078-901</v>
      </c>
      <c r="C317" t="s">
        <v>6309</v>
      </c>
      <c r="D317" s="2043">
        <v>7162430</v>
      </c>
      <c r="E317" s="2043">
        <v>322871230</v>
      </c>
      <c r="F317" s="2043">
        <v>289396008</v>
      </c>
      <c r="G317" s="2043">
        <v>287018578</v>
      </c>
      <c r="H317" s="2043">
        <v>612267238</v>
      </c>
      <c r="I317" s="2043">
        <v>609889808</v>
      </c>
    </row>
    <row r="318" spans="1:9" ht="14.5">
      <c r="A318" t="s">
        <v>9721</v>
      </c>
      <c r="B318" s="2113" t="str">
        <f t="shared" si="4"/>
        <v>079-901</v>
      </c>
      <c r="C318" t="s">
        <v>6310</v>
      </c>
      <c r="D318" s="2043">
        <v>1028270030</v>
      </c>
      <c r="E318" s="2043">
        <v>0</v>
      </c>
      <c r="F318" s="2043">
        <v>19219592424</v>
      </c>
      <c r="G318" s="2043">
        <v>18827232394</v>
      </c>
      <c r="H318" s="2043">
        <v>19219592424</v>
      </c>
      <c r="I318" s="2043">
        <v>18827232394</v>
      </c>
    </row>
    <row r="319" spans="1:9" ht="14.5">
      <c r="A319" t="s">
        <v>9722</v>
      </c>
      <c r="B319" s="2113" t="str">
        <f t="shared" si="4"/>
        <v>079-906</v>
      </c>
      <c r="C319" t="s">
        <v>6311</v>
      </c>
      <c r="D319" s="2043">
        <v>84906579</v>
      </c>
      <c r="E319" s="2043">
        <v>0</v>
      </c>
      <c r="F319" s="2043">
        <v>1204610518</v>
      </c>
      <c r="G319" s="2043">
        <v>1173553939</v>
      </c>
      <c r="H319" s="2043">
        <v>1204610518</v>
      </c>
      <c r="I319" s="2043">
        <v>1173553939</v>
      </c>
    </row>
    <row r="320" spans="1:9" ht="14.5">
      <c r="A320" t="s">
        <v>9723</v>
      </c>
      <c r="B320" s="2113" t="str">
        <f t="shared" si="4"/>
        <v>079-907</v>
      </c>
      <c r="C320" t="s">
        <v>6312</v>
      </c>
      <c r="D320" s="2043">
        <v>2322721972</v>
      </c>
      <c r="E320" s="2043">
        <v>0</v>
      </c>
      <c r="F320" s="2043">
        <v>45040052272</v>
      </c>
      <c r="G320" s="2043">
        <v>44142795300</v>
      </c>
      <c r="H320" s="2043">
        <v>45040052272</v>
      </c>
      <c r="I320" s="2043">
        <v>44142795300</v>
      </c>
    </row>
    <row r="321" spans="1:9" ht="14.5">
      <c r="A321" t="s">
        <v>9724</v>
      </c>
      <c r="B321" s="2113" t="str">
        <f t="shared" si="4"/>
        <v>079-910</v>
      </c>
      <c r="C321" t="s">
        <v>6313</v>
      </c>
      <c r="D321" s="2043">
        <v>61647285</v>
      </c>
      <c r="E321" s="2043">
        <v>0</v>
      </c>
      <c r="F321" s="2043">
        <v>2980002117</v>
      </c>
      <c r="G321" s="2043">
        <v>2956559832</v>
      </c>
      <c r="H321" s="2043">
        <v>2980002117</v>
      </c>
      <c r="I321" s="2043">
        <v>2956559832</v>
      </c>
    </row>
    <row r="322" spans="1:9" ht="14.5">
      <c r="A322" t="s">
        <v>9725</v>
      </c>
      <c r="B322" s="2113" t="str">
        <f t="shared" si="4"/>
        <v>080-901</v>
      </c>
      <c r="C322" t="s">
        <v>6314</v>
      </c>
      <c r="D322" s="2043">
        <v>55127980</v>
      </c>
      <c r="E322" s="2043">
        <v>0</v>
      </c>
      <c r="F322" s="2043">
        <v>1249801996</v>
      </c>
      <c r="G322" s="2043">
        <v>1228874016</v>
      </c>
      <c r="H322" s="2043">
        <v>1249801996</v>
      </c>
      <c r="I322" s="2043">
        <v>1228874016</v>
      </c>
    </row>
    <row r="323" spans="1:9" ht="14.5">
      <c r="A323" t="s">
        <v>10599</v>
      </c>
      <c r="B323" s="2113" t="str">
        <f t="shared" ref="B323:B386" si="5">CONCATENATE(RIGHT(LEFT(CONCATENATE("000",A323),6),3),"-",(LEFT(RIGHT(CONCATENATE("000",A323),6),3)))</f>
        <v>081-902</v>
      </c>
      <c r="C323" t="s">
        <v>6315</v>
      </c>
      <c r="D323" s="2043">
        <v>59353924</v>
      </c>
      <c r="E323" s="2043">
        <v>0</v>
      </c>
      <c r="F323" s="2043">
        <v>1261173366</v>
      </c>
      <c r="G323" s="2043">
        <v>1241149442</v>
      </c>
      <c r="H323" s="2043">
        <v>1261173366</v>
      </c>
      <c r="I323" s="2043">
        <v>1241149442</v>
      </c>
    </row>
    <row r="324" spans="1:9" ht="14.5">
      <c r="A324" t="s">
        <v>9726</v>
      </c>
      <c r="B324" s="2113" t="str">
        <f t="shared" si="5"/>
        <v>081-904</v>
      </c>
      <c r="C324" t="s">
        <v>6316</v>
      </c>
      <c r="D324" s="2043">
        <v>33026355</v>
      </c>
      <c r="E324" s="2043">
        <v>0</v>
      </c>
      <c r="F324" s="2043">
        <v>782234501</v>
      </c>
      <c r="G324" s="2043">
        <v>771138146</v>
      </c>
      <c r="H324" s="2043">
        <v>782234501</v>
      </c>
      <c r="I324" s="2043">
        <v>771138146</v>
      </c>
    </row>
    <row r="325" spans="1:9" ht="14.5">
      <c r="A325" t="s">
        <v>10600</v>
      </c>
      <c r="B325" s="2113" t="str">
        <f t="shared" si="5"/>
        <v>081-905</v>
      </c>
      <c r="C325" t="s">
        <v>6317</v>
      </c>
      <c r="D325" s="2043">
        <v>11026033</v>
      </c>
      <c r="E325" s="2043">
        <v>0</v>
      </c>
      <c r="F325" s="2043">
        <v>202059391</v>
      </c>
      <c r="G325" s="2043">
        <v>198248358</v>
      </c>
      <c r="H325" s="2043">
        <v>202059391</v>
      </c>
      <c r="I325" s="2043">
        <v>198248358</v>
      </c>
    </row>
    <row r="326" spans="1:9" ht="14.5">
      <c r="A326" t="s">
        <v>9727</v>
      </c>
      <c r="B326" s="2113" t="str">
        <f t="shared" si="5"/>
        <v>081-906</v>
      </c>
      <c r="C326" t="s">
        <v>6318</v>
      </c>
      <c r="D326" s="2043">
        <v>5460968</v>
      </c>
      <c r="E326" s="2043">
        <v>0</v>
      </c>
      <c r="F326" s="2043">
        <v>176137497</v>
      </c>
      <c r="G326" s="2043">
        <v>174321529</v>
      </c>
      <c r="H326" s="2043">
        <v>176137497</v>
      </c>
      <c r="I326" s="2043">
        <v>174321529</v>
      </c>
    </row>
    <row r="327" spans="1:9" ht="14.5">
      <c r="A327" t="s">
        <v>9728</v>
      </c>
      <c r="B327" s="2113" t="str">
        <f t="shared" si="5"/>
        <v>082-902</v>
      </c>
      <c r="C327" t="s">
        <v>6319</v>
      </c>
      <c r="D327" s="2043">
        <v>14977189</v>
      </c>
      <c r="E327" s="2043">
        <v>0</v>
      </c>
      <c r="F327" s="2043">
        <v>1216449129</v>
      </c>
      <c r="G327" s="2043">
        <v>1212076940</v>
      </c>
      <c r="H327" s="2043">
        <v>1216449129</v>
      </c>
      <c r="I327" s="2043">
        <v>1212076940</v>
      </c>
    </row>
    <row r="328" spans="1:9" ht="14.5">
      <c r="A328" t="s">
        <v>9729</v>
      </c>
      <c r="B328" s="2113" t="str">
        <f t="shared" si="5"/>
        <v>082-903</v>
      </c>
      <c r="C328" t="s">
        <v>6320</v>
      </c>
      <c r="D328" s="2043">
        <v>44646280</v>
      </c>
      <c r="E328" s="2043">
        <v>0</v>
      </c>
      <c r="F328" s="2043">
        <v>1358725156</v>
      </c>
      <c r="G328" s="2043">
        <v>1344543876</v>
      </c>
      <c r="H328" s="2043">
        <v>1358725156</v>
      </c>
      <c r="I328" s="2043">
        <v>1344543876</v>
      </c>
    </row>
    <row r="329" spans="1:9" ht="14.5">
      <c r="A329" t="s">
        <v>9730</v>
      </c>
      <c r="B329" s="2113" t="str">
        <f t="shared" si="5"/>
        <v>083-901</v>
      </c>
      <c r="C329" t="s">
        <v>6321</v>
      </c>
      <c r="D329" s="2043">
        <v>12635071</v>
      </c>
      <c r="E329" s="2043">
        <v>0</v>
      </c>
      <c r="F329" s="2043">
        <v>194444657</v>
      </c>
      <c r="G329" s="2043">
        <v>189954586</v>
      </c>
      <c r="H329" s="2043">
        <v>194444657</v>
      </c>
      <c r="I329" s="2043">
        <v>189954586</v>
      </c>
    </row>
    <row r="330" spans="1:9" ht="14.5">
      <c r="A330" t="s">
        <v>9731</v>
      </c>
      <c r="B330" s="2113" t="str">
        <f t="shared" si="5"/>
        <v>083-902</v>
      </c>
      <c r="C330" t="s">
        <v>6322</v>
      </c>
      <c r="D330" s="2043">
        <v>2204601</v>
      </c>
      <c r="E330" s="2043">
        <v>0</v>
      </c>
      <c r="F330" s="2043">
        <v>185390215</v>
      </c>
      <c r="G330" s="2043">
        <v>184565614</v>
      </c>
      <c r="H330" s="2043">
        <v>185390215</v>
      </c>
      <c r="I330" s="2043">
        <v>184565614</v>
      </c>
    </row>
    <row r="331" spans="1:9" ht="14.5">
      <c r="A331" t="s">
        <v>9732</v>
      </c>
      <c r="B331" s="2113" t="str">
        <f t="shared" si="5"/>
        <v>083-903</v>
      </c>
      <c r="C331" t="s">
        <v>6323</v>
      </c>
      <c r="D331" s="2043">
        <v>78124635</v>
      </c>
      <c r="E331" s="2043">
        <v>0</v>
      </c>
      <c r="F331" s="2043">
        <v>3302921836</v>
      </c>
      <c r="G331" s="2043">
        <v>3276082201</v>
      </c>
      <c r="H331" s="2043">
        <v>3302921836</v>
      </c>
      <c r="I331" s="2043">
        <v>3276082201</v>
      </c>
    </row>
    <row r="332" spans="1:9" ht="14.5">
      <c r="A332" t="s">
        <v>9733</v>
      </c>
      <c r="B332" s="2113" t="str">
        <f t="shared" si="5"/>
        <v>084-901</v>
      </c>
      <c r="C332" t="s">
        <v>6324</v>
      </c>
      <c r="D332" s="2043">
        <v>340570212</v>
      </c>
      <c r="E332" s="2043">
        <v>0</v>
      </c>
      <c r="F332" s="2043">
        <v>5053413246</v>
      </c>
      <c r="G332" s="2043">
        <v>4925813034</v>
      </c>
      <c r="H332" s="2043">
        <v>5053413246</v>
      </c>
      <c r="I332" s="2043">
        <v>4925813034</v>
      </c>
    </row>
    <row r="333" spans="1:9" ht="14.5">
      <c r="A333" t="s">
        <v>9734</v>
      </c>
      <c r="B333" s="2113" t="str">
        <f t="shared" si="5"/>
        <v>084-902</v>
      </c>
      <c r="C333" t="s">
        <v>6325</v>
      </c>
      <c r="D333" s="2043">
        <v>269608093</v>
      </c>
      <c r="E333" s="2043">
        <v>0</v>
      </c>
      <c r="F333" s="2043">
        <v>8898154392</v>
      </c>
      <c r="G333" s="2043">
        <v>8791386299</v>
      </c>
      <c r="H333" s="2043">
        <v>8898154392</v>
      </c>
      <c r="I333" s="2043">
        <v>8791386299</v>
      </c>
    </row>
    <row r="334" spans="1:9" ht="14.5">
      <c r="A334" t="s">
        <v>9735</v>
      </c>
      <c r="B334" s="2113" t="str">
        <f t="shared" si="5"/>
        <v>084-903</v>
      </c>
      <c r="C334" t="s">
        <v>6326</v>
      </c>
      <c r="D334" s="2043">
        <v>3711097</v>
      </c>
      <c r="E334" s="2043">
        <v>0</v>
      </c>
      <c r="F334" s="2043">
        <v>152691577</v>
      </c>
      <c r="G334" s="2043">
        <v>151410480</v>
      </c>
      <c r="H334" s="2043">
        <v>152691577</v>
      </c>
      <c r="I334" s="2043">
        <v>151410480</v>
      </c>
    </row>
    <row r="335" spans="1:9" ht="14.5">
      <c r="A335" t="s">
        <v>9736</v>
      </c>
      <c r="B335" s="2113" t="str">
        <f t="shared" si="5"/>
        <v>084-906</v>
      </c>
      <c r="C335" t="s">
        <v>6327</v>
      </c>
      <c r="D335" s="2043">
        <v>291166544</v>
      </c>
      <c r="E335" s="2043">
        <v>0</v>
      </c>
      <c r="F335" s="2043">
        <v>5990579875</v>
      </c>
      <c r="G335" s="2043">
        <v>5875648331</v>
      </c>
      <c r="H335" s="2043">
        <v>5990579875</v>
      </c>
      <c r="I335" s="2043">
        <v>5875648331</v>
      </c>
    </row>
    <row r="336" spans="1:9" ht="14.5">
      <c r="A336" t="s">
        <v>9737</v>
      </c>
      <c r="B336" s="2113" t="str">
        <f t="shared" si="5"/>
        <v>084-908</v>
      </c>
      <c r="C336" t="s">
        <v>6328</v>
      </c>
      <c r="D336" s="2043">
        <v>62818454</v>
      </c>
      <c r="E336" s="2043">
        <v>0</v>
      </c>
      <c r="F336" s="2043">
        <v>927049676</v>
      </c>
      <c r="G336" s="2043">
        <v>902991222</v>
      </c>
      <c r="H336" s="2043">
        <v>927049676</v>
      </c>
      <c r="I336" s="2043">
        <v>902991222</v>
      </c>
    </row>
    <row r="337" spans="1:9" ht="14.5">
      <c r="A337" t="s">
        <v>9738</v>
      </c>
      <c r="B337" s="2113" t="str">
        <f t="shared" si="5"/>
        <v>084-909</v>
      </c>
      <c r="C337" t="s">
        <v>6329</v>
      </c>
      <c r="D337" s="2043">
        <v>182595958</v>
      </c>
      <c r="E337" s="2043">
        <v>0</v>
      </c>
      <c r="F337" s="2043">
        <v>1905587619</v>
      </c>
      <c r="G337" s="2043">
        <v>1838971661</v>
      </c>
      <c r="H337" s="2043">
        <v>1905587619</v>
      </c>
      <c r="I337" s="2043">
        <v>1838971661</v>
      </c>
    </row>
    <row r="338" spans="1:9" ht="14.5">
      <c r="A338" t="s">
        <v>9739</v>
      </c>
      <c r="B338" s="2113" t="str">
        <f t="shared" si="5"/>
        <v>084-910</v>
      </c>
      <c r="C338" t="s">
        <v>6330</v>
      </c>
      <c r="D338" s="2043">
        <v>1391509947</v>
      </c>
      <c r="E338" s="2043">
        <v>0</v>
      </c>
      <c r="F338" s="2043">
        <v>27230773627</v>
      </c>
      <c r="G338" s="2043">
        <v>26677628680</v>
      </c>
      <c r="H338" s="2043">
        <v>27230773627</v>
      </c>
      <c r="I338" s="2043">
        <v>26677628680</v>
      </c>
    </row>
    <row r="339" spans="1:9" ht="14.5">
      <c r="A339" t="s">
        <v>9740</v>
      </c>
      <c r="B339" s="2113" t="str">
        <f t="shared" si="5"/>
        <v>084-911</v>
      </c>
      <c r="C339" t="s">
        <v>6331</v>
      </c>
      <c r="D339" s="2043">
        <v>211105940</v>
      </c>
      <c r="E339" s="2043">
        <v>0</v>
      </c>
      <c r="F339" s="2043">
        <v>3606665098</v>
      </c>
      <c r="G339" s="2043">
        <v>3522954158</v>
      </c>
      <c r="H339" s="2043">
        <v>3606665098</v>
      </c>
      <c r="I339" s="2043">
        <v>3522954158</v>
      </c>
    </row>
    <row r="340" spans="1:9" ht="14.5">
      <c r="A340" t="s">
        <v>9741</v>
      </c>
      <c r="B340" s="2113" t="str">
        <f t="shared" si="5"/>
        <v>085-902</v>
      </c>
      <c r="C340" t="s">
        <v>6332</v>
      </c>
      <c r="D340" s="2043">
        <v>22724352</v>
      </c>
      <c r="E340" s="2043">
        <v>0</v>
      </c>
      <c r="F340" s="2043">
        <v>425076845</v>
      </c>
      <c r="G340" s="2043">
        <v>417262493</v>
      </c>
      <c r="H340" s="2043">
        <v>425076845</v>
      </c>
      <c r="I340" s="2043">
        <v>417262493</v>
      </c>
    </row>
    <row r="341" spans="1:9" ht="14.5">
      <c r="A341" t="s">
        <v>9742</v>
      </c>
      <c r="B341" s="2113" t="str">
        <f t="shared" si="5"/>
        <v>085-903</v>
      </c>
      <c r="C341" t="s">
        <v>6333</v>
      </c>
      <c r="D341" s="2043">
        <v>1532969</v>
      </c>
      <c r="E341" s="2043">
        <v>137848266</v>
      </c>
      <c r="F341" s="2043">
        <v>82520640</v>
      </c>
      <c r="G341" s="2043">
        <v>81977671</v>
      </c>
      <c r="H341" s="2043">
        <v>220368906</v>
      </c>
      <c r="I341" s="2043">
        <v>219825937</v>
      </c>
    </row>
    <row r="342" spans="1:9" ht="14.5">
      <c r="A342" t="s">
        <v>9743</v>
      </c>
      <c r="B342" s="2113" t="str">
        <f t="shared" si="5"/>
        <v>086-024</v>
      </c>
      <c r="C342" t="s">
        <v>6334</v>
      </c>
      <c r="D342" s="2043">
        <v>2240090</v>
      </c>
      <c r="E342" s="2043">
        <v>0</v>
      </c>
      <c r="F342" s="2043">
        <v>58157533</v>
      </c>
      <c r="G342" s="2043">
        <v>57372443</v>
      </c>
      <c r="H342" s="2043">
        <v>58157533</v>
      </c>
      <c r="I342" s="2043">
        <v>57372443</v>
      </c>
    </row>
    <row r="343" spans="1:9" ht="14.5">
      <c r="A343" t="s">
        <v>9744</v>
      </c>
      <c r="B343" s="2113" t="str">
        <f t="shared" si="5"/>
        <v>086-901</v>
      </c>
      <c r="C343" t="s">
        <v>6335</v>
      </c>
      <c r="D343" s="2043">
        <v>159615073</v>
      </c>
      <c r="E343" s="2043">
        <v>0</v>
      </c>
      <c r="F343" s="2043">
        <v>4424292536</v>
      </c>
      <c r="G343" s="2043">
        <v>4361922463</v>
      </c>
      <c r="H343" s="2043">
        <v>4424292536</v>
      </c>
      <c r="I343" s="2043">
        <v>4361922463</v>
      </c>
    </row>
    <row r="344" spans="1:9" ht="14.5">
      <c r="A344" t="s">
        <v>9745</v>
      </c>
      <c r="B344" s="2113" t="str">
        <f t="shared" si="5"/>
        <v>086-902</v>
      </c>
      <c r="C344" t="s">
        <v>6336</v>
      </c>
      <c r="D344" s="2043">
        <v>33041257</v>
      </c>
      <c r="E344" s="2043">
        <v>0</v>
      </c>
      <c r="F344" s="2043">
        <v>524896909</v>
      </c>
      <c r="G344" s="2043">
        <v>512885652</v>
      </c>
      <c r="H344" s="2043">
        <v>524896909</v>
      </c>
      <c r="I344" s="2043">
        <v>512885652</v>
      </c>
    </row>
    <row r="345" spans="1:9" ht="14.5">
      <c r="A345" t="s">
        <v>10601</v>
      </c>
      <c r="B345" s="2113" t="str">
        <f t="shared" si="5"/>
        <v>087-901</v>
      </c>
      <c r="C345" t="s">
        <v>6337</v>
      </c>
      <c r="D345" s="2043">
        <v>6463800</v>
      </c>
      <c r="E345" s="2043">
        <v>436458320</v>
      </c>
      <c r="F345" s="2043">
        <v>4314508271</v>
      </c>
      <c r="G345" s="2043">
        <v>4312169471</v>
      </c>
      <c r="H345" s="2043">
        <v>4750966591</v>
      </c>
      <c r="I345" s="2043">
        <v>4748627791</v>
      </c>
    </row>
    <row r="346" spans="1:9" ht="14.5">
      <c r="A346" t="s">
        <v>9746</v>
      </c>
      <c r="B346" s="2113" t="str">
        <f t="shared" si="5"/>
        <v>088-902</v>
      </c>
      <c r="C346" t="s">
        <v>6338</v>
      </c>
      <c r="D346" s="2043">
        <v>51741660</v>
      </c>
      <c r="E346" s="2043">
        <v>134948430</v>
      </c>
      <c r="F346" s="2043">
        <v>924699966</v>
      </c>
      <c r="G346" s="2043">
        <v>906078306</v>
      </c>
      <c r="H346" s="2043">
        <v>1059648396</v>
      </c>
      <c r="I346" s="2043">
        <v>1041026736</v>
      </c>
    </row>
    <row r="347" spans="1:9" ht="14.5">
      <c r="A347" t="s">
        <v>9747</v>
      </c>
      <c r="B347" s="2113" t="str">
        <f t="shared" si="5"/>
        <v>089-901</v>
      </c>
      <c r="C347" t="s">
        <v>6339</v>
      </c>
      <c r="D347" s="2043">
        <v>60017877</v>
      </c>
      <c r="E347" s="2043">
        <v>0</v>
      </c>
      <c r="F347" s="2043">
        <v>1818910762</v>
      </c>
      <c r="G347" s="2043">
        <v>1796992885</v>
      </c>
      <c r="H347" s="2043">
        <v>1818910762</v>
      </c>
      <c r="I347" s="2043">
        <v>1796992885</v>
      </c>
    </row>
    <row r="348" spans="1:9" ht="14.5">
      <c r="A348" t="s">
        <v>9748</v>
      </c>
      <c r="B348" s="2113" t="str">
        <f t="shared" si="5"/>
        <v>089-903</v>
      </c>
      <c r="C348" t="s">
        <v>6340</v>
      </c>
      <c r="D348" s="2043">
        <v>21606414</v>
      </c>
      <c r="E348" s="2043">
        <v>0</v>
      </c>
      <c r="F348" s="2043">
        <v>1122585236</v>
      </c>
      <c r="G348" s="2043">
        <v>1115018822</v>
      </c>
      <c r="H348" s="2043">
        <v>1122585236</v>
      </c>
      <c r="I348" s="2043">
        <v>1115018822</v>
      </c>
    </row>
    <row r="349" spans="1:9" ht="14.5">
      <c r="A349" t="s">
        <v>9749</v>
      </c>
      <c r="B349" s="2113" t="str">
        <f t="shared" si="5"/>
        <v>089-905</v>
      </c>
      <c r="C349" t="s">
        <v>6341</v>
      </c>
      <c r="D349" s="2043">
        <v>8610802</v>
      </c>
      <c r="E349" s="2043">
        <v>0</v>
      </c>
      <c r="F349" s="2043">
        <v>206077882</v>
      </c>
      <c r="G349" s="2043">
        <v>203272080</v>
      </c>
      <c r="H349" s="2043">
        <v>206077882</v>
      </c>
      <c r="I349" s="2043">
        <v>203272080</v>
      </c>
    </row>
    <row r="350" spans="1:9" ht="14.5">
      <c r="A350" t="s">
        <v>9750</v>
      </c>
      <c r="B350" s="2113" t="str">
        <f t="shared" si="5"/>
        <v>090-902</v>
      </c>
      <c r="C350" t="s">
        <v>6342</v>
      </c>
      <c r="D350" s="2043">
        <v>2837970</v>
      </c>
      <c r="E350" s="2043">
        <v>0</v>
      </c>
      <c r="F350" s="2043">
        <v>91343772</v>
      </c>
      <c r="G350" s="2043">
        <v>90635802</v>
      </c>
      <c r="H350" s="2043">
        <v>91343772</v>
      </c>
      <c r="I350" s="2043">
        <v>90635802</v>
      </c>
    </row>
    <row r="351" spans="1:9" ht="14.5">
      <c r="A351" t="s">
        <v>9751</v>
      </c>
      <c r="B351" s="2113" t="str">
        <f t="shared" si="5"/>
        <v>090-903</v>
      </c>
      <c r="C351" t="s">
        <v>6343</v>
      </c>
      <c r="D351" s="2043">
        <v>5622340</v>
      </c>
      <c r="E351" s="2043">
        <v>0</v>
      </c>
      <c r="F351" s="2043">
        <v>86322694</v>
      </c>
      <c r="G351" s="2043">
        <v>84675354</v>
      </c>
      <c r="H351" s="2043">
        <v>86322694</v>
      </c>
      <c r="I351" s="2043">
        <v>84675354</v>
      </c>
    </row>
    <row r="352" spans="1:9" ht="14.5">
      <c r="A352" t="s">
        <v>9752</v>
      </c>
      <c r="B352" s="2113" t="str">
        <f t="shared" si="5"/>
        <v>090-904</v>
      </c>
      <c r="C352" t="s">
        <v>6344</v>
      </c>
      <c r="D352" s="2043">
        <v>97795137</v>
      </c>
      <c r="E352" s="2043">
        <v>0</v>
      </c>
      <c r="F352" s="2043">
        <v>1150393105</v>
      </c>
      <c r="G352" s="2043">
        <v>1116287968</v>
      </c>
      <c r="H352" s="2043">
        <v>1150393105</v>
      </c>
      <c r="I352" s="2043">
        <v>1116287968</v>
      </c>
    </row>
    <row r="353" spans="1:9" ht="14.5">
      <c r="A353" t="s">
        <v>9753</v>
      </c>
      <c r="B353" s="2113" t="str">
        <f t="shared" si="5"/>
        <v>090-905</v>
      </c>
      <c r="C353" t="s">
        <v>6345</v>
      </c>
      <c r="D353" s="2043">
        <v>702750</v>
      </c>
      <c r="E353" s="2043">
        <v>57349290</v>
      </c>
      <c r="F353" s="2043">
        <v>81450597</v>
      </c>
      <c r="G353" s="2043">
        <v>81182847</v>
      </c>
      <c r="H353" s="2043">
        <v>138799887</v>
      </c>
      <c r="I353" s="2043">
        <v>138532137</v>
      </c>
    </row>
    <row r="354" spans="1:9" ht="14.5">
      <c r="A354" t="s">
        <v>9754</v>
      </c>
      <c r="B354" s="2113" t="str">
        <f t="shared" si="5"/>
        <v>091-901</v>
      </c>
      <c r="C354" t="s">
        <v>6346</v>
      </c>
      <c r="D354" s="2043">
        <v>26934818</v>
      </c>
      <c r="E354" s="2043">
        <v>0</v>
      </c>
      <c r="F354" s="2043">
        <v>328949063</v>
      </c>
      <c r="G354" s="2043">
        <v>319459245</v>
      </c>
      <c r="H354" s="2043">
        <v>328949063</v>
      </c>
      <c r="I354" s="2043">
        <v>319459245</v>
      </c>
    </row>
    <row r="355" spans="1:9" ht="14.5">
      <c r="A355" t="s">
        <v>10602</v>
      </c>
      <c r="B355" s="2113" t="str">
        <f t="shared" si="5"/>
        <v>091-902</v>
      </c>
      <c r="C355" t="s">
        <v>6347</v>
      </c>
      <c r="D355" s="2043">
        <v>19744300</v>
      </c>
      <c r="E355" s="2043">
        <v>0</v>
      </c>
      <c r="F355" s="2043">
        <v>246626870</v>
      </c>
      <c r="G355" s="2043">
        <v>239602570</v>
      </c>
      <c r="H355" s="2043">
        <v>246626870</v>
      </c>
      <c r="I355" s="2043">
        <v>239602570</v>
      </c>
    </row>
    <row r="356" spans="1:9" ht="14.5">
      <c r="A356" t="s">
        <v>9755</v>
      </c>
      <c r="B356" s="2113" t="str">
        <f t="shared" si="5"/>
        <v>091-903</v>
      </c>
      <c r="C356" t="s">
        <v>6348</v>
      </c>
      <c r="D356" s="2043">
        <v>167465170</v>
      </c>
      <c r="E356" s="2043">
        <v>0</v>
      </c>
      <c r="F356" s="2043">
        <v>2279014906</v>
      </c>
      <c r="G356" s="2043">
        <v>2220434736</v>
      </c>
      <c r="H356" s="2043">
        <v>2279014906</v>
      </c>
      <c r="I356" s="2043">
        <v>2220434736</v>
      </c>
    </row>
    <row r="357" spans="1:9" ht="14.5">
      <c r="A357" t="s">
        <v>10603</v>
      </c>
      <c r="B357" s="2113" t="str">
        <f t="shared" si="5"/>
        <v>091-905</v>
      </c>
      <c r="C357" t="s">
        <v>6349</v>
      </c>
      <c r="D357" s="2043">
        <v>31172653</v>
      </c>
      <c r="E357" s="2043">
        <v>0</v>
      </c>
      <c r="F357" s="2043">
        <v>377088999</v>
      </c>
      <c r="G357" s="2043">
        <v>366106346</v>
      </c>
      <c r="H357" s="2043">
        <v>377088999</v>
      </c>
      <c r="I357" s="2043">
        <v>366106346</v>
      </c>
    </row>
    <row r="358" spans="1:9" ht="14.5">
      <c r="A358" t="s">
        <v>9756</v>
      </c>
      <c r="B358" s="2113" t="str">
        <f t="shared" si="5"/>
        <v>091-906</v>
      </c>
      <c r="C358" t="s">
        <v>6350</v>
      </c>
      <c r="D358" s="2043">
        <v>189908602</v>
      </c>
      <c r="E358" s="2043">
        <v>0</v>
      </c>
      <c r="F358" s="2043">
        <v>3962330954</v>
      </c>
      <c r="G358" s="2043">
        <v>3892512352</v>
      </c>
      <c r="H358" s="2043">
        <v>3962330954</v>
      </c>
      <c r="I358" s="2043">
        <v>3892512352</v>
      </c>
    </row>
    <row r="359" spans="1:9" ht="14.5">
      <c r="A359" t="s">
        <v>9757</v>
      </c>
      <c r="B359" s="2113" t="str">
        <f t="shared" si="5"/>
        <v>091-907</v>
      </c>
      <c r="C359" t="s">
        <v>6351</v>
      </c>
      <c r="D359" s="2043">
        <v>10423084</v>
      </c>
      <c r="E359" s="2043">
        <v>0</v>
      </c>
      <c r="F359" s="2043">
        <v>146582483</v>
      </c>
      <c r="G359" s="2043">
        <v>142849399</v>
      </c>
      <c r="H359" s="2043">
        <v>146582483</v>
      </c>
      <c r="I359" s="2043">
        <v>142849399</v>
      </c>
    </row>
    <row r="360" spans="1:9" ht="14.5">
      <c r="A360" t="s">
        <v>9758</v>
      </c>
      <c r="B360" s="2113" t="str">
        <f t="shared" si="5"/>
        <v>091-908</v>
      </c>
      <c r="C360" t="s">
        <v>6352</v>
      </c>
      <c r="D360" s="2043">
        <v>56375412</v>
      </c>
      <c r="E360" s="2043">
        <v>0</v>
      </c>
      <c r="F360" s="2043">
        <v>917638835</v>
      </c>
      <c r="G360" s="2043">
        <v>897053423</v>
      </c>
      <c r="H360" s="2043">
        <v>917638835</v>
      </c>
      <c r="I360" s="2043">
        <v>897053423</v>
      </c>
    </row>
    <row r="361" spans="1:9" ht="14.5">
      <c r="A361" t="s">
        <v>9759</v>
      </c>
      <c r="B361" s="2113" t="str">
        <f t="shared" si="5"/>
        <v>091-909</v>
      </c>
      <c r="C361" t="s">
        <v>6353</v>
      </c>
      <c r="D361" s="2043">
        <v>66365783</v>
      </c>
      <c r="E361" s="2043">
        <v>0</v>
      </c>
      <c r="F361" s="2043">
        <v>957373842</v>
      </c>
      <c r="G361" s="2043">
        <v>934568059</v>
      </c>
      <c r="H361" s="2043">
        <v>957373842</v>
      </c>
      <c r="I361" s="2043">
        <v>934568059</v>
      </c>
    </row>
    <row r="362" spans="1:9" ht="14.5">
      <c r="A362" t="s">
        <v>9760</v>
      </c>
      <c r="B362" s="2113" t="str">
        <f t="shared" si="5"/>
        <v>091-910</v>
      </c>
      <c r="C362" t="s">
        <v>6354</v>
      </c>
      <c r="D362" s="2043">
        <v>25434026</v>
      </c>
      <c r="E362" s="2043">
        <v>0</v>
      </c>
      <c r="F362" s="2043">
        <v>366856302</v>
      </c>
      <c r="G362" s="2043">
        <v>357937276</v>
      </c>
      <c r="H362" s="2043">
        <v>366856302</v>
      </c>
      <c r="I362" s="2043">
        <v>357937276</v>
      </c>
    </row>
    <row r="363" spans="1:9" ht="14.5">
      <c r="A363" t="s">
        <v>9761</v>
      </c>
      <c r="B363" s="2113" t="str">
        <f t="shared" si="5"/>
        <v>091-913</v>
      </c>
      <c r="C363" t="s">
        <v>6355</v>
      </c>
      <c r="D363" s="2043">
        <v>67685955</v>
      </c>
      <c r="E363" s="2043">
        <v>0</v>
      </c>
      <c r="F363" s="2043">
        <v>1072146188</v>
      </c>
      <c r="G363" s="2043">
        <v>1048935233</v>
      </c>
      <c r="H363" s="2043">
        <v>1072146188</v>
      </c>
      <c r="I363" s="2043">
        <v>1048935233</v>
      </c>
    </row>
    <row r="364" spans="1:9" ht="14.5">
      <c r="A364" t="s">
        <v>9762</v>
      </c>
      <c r="B364" s="2113" t="str">
        <f t="shared" si="5"/>
        <v>091-914</v>
      </c>
      <c r="C364" t="s">
        <v>6356</v>
      </c>
      <c r="D364" s="2043">
        <v>38270074</v>
      </c>
      <c r="E364" s="2043">
        <v>0</v>
      </c>
      <c r="F364" s="2043">
        <v>497746429</v>
      </c>
      <c r="G364" s="2043">
        <v>485066355</v>
      </c>
      <c r="H364" s="2043">
        <v>497746429</v>
      </c>
      <c r="I364" s="2043">
        <v>485066355</v>
      </c>
    </row>
    <row r="365" spans="1:9" ht="14.5">
      <c r="A365" t="s">
        <v>10604</v>
      </c>
      <c r="B365" s="2113" t="str">
        <f t="shared" si="5"/>
        <v>091-917</v>
      </c>
      <c r="C365" t="s">
        <v>6357</v>
      </c>
      <c r="D365" s="2043">
        <v>21610382</v>
      </c>
      <c r="E365" s="2043">
        <v>0</v>
      </c>
      <c r="F365" s="2043">
        <v>444095093</v>
      </c>
      <c r="G365" s="2043">
        <v>436014711</v>
      </c>
      <c r="H365" s="2043">
        <v>444095093</v>
      </c>
      <c r="I365" s="2043">
        <v>436014711</v>
      </c>
    </row>
    <row r="366" spans="1:9" ht="14.5">
      <c r="A366" t="s">
        <v>9763</v>
      </c>
      <c r="B366" s="2113" t="str">
        <f t="shared" si="5"/>
        <v>091-918</v>
      </c>
      <c r="C366" t="s">
        <v>6358</v>
      </c>
      <c r="D366" s="2043">
        <v>30957437</v>
      </c>
      <c r="E366" s="2043">
        <v>0</v>
      </c>
      <c r="F366" s="2043">
        <v>304176487</v>
      </c>
      <c r="G366" s="2043">
        <v>293949050</v>
      </c>
      <c r="H366" s="2043">
        <v>304176487</v>
      </c>
      <c r="I366" s="2043">
        <v>293949050</v>
      </c>
    </row>
    <row r="367" spans="1:9" ht="14.5">
      <c r="A367" t="s">
        <v>9764</v>
      </c>
      <c r="B367" s="2113" t="str">
        <f t="shared" si="5"/>
        <v>092-901</v>
      </c>
      <c r="C367" t="s">
        <v>6359</v>
      </c>
      <c r="D367" s="2043">
        <v>61188625</v>
      </c>
      <c r="E367" s="2043">
        <v>0</v>
      </c>
      <c r="F367" s="2043">
        <v>607329087</v>
      </c>
      <c r="G367" s="2043">
        <v>585245462</v>
      </c>
      <c r="H367" s="2043">
        <v>607329087</v>
      </c>
      <c r="I367" s="2043">
        <v>585245462</v>
      </c>
    </row>
    <row r="368" spans="1:9" ht="14.5">
      <c r="A368" t="s">
        <v>9765</v>
      </c>
      <c r="B368" s="2113" t="str">
        <f t="shared" si="5"/>
        <v>092-902</v>
      </c>
      <c r="C368" t="s">
        <v>6360</v>
      </c>
      <c r="D368" s="2043">
        <v>109511912</v>
      </c>
      <c r="E368" s="2043">
        <v>0</v>
      </c>
      <c r="F368" s="2043">
        <v>1721681466</v>
      </c>
      <c r="G368" s="2043">
        <v>1681274554</v>
      </c>
      <c r="H368" s="2043">
        <v>1721681466</v>
      </c>
      <c r="I368" s="2043">
        <v>1681274554</v>
      </c>
    </row>
    <row r="369" spans="1:9" ht="14.5">
      <c r="A369" t="s">
        <v>9766</v>
      </c>
      <c r="B369" s="2113" t="str">
        <f t="shared" si="5"/>
        <v>092-903</v>
      </c>
      <c r="C369" t="s">
        <v>6361</v>
      </c>
      <c r="D369" s="2043">
        <v>254581834</v>
      </c>
      <c r="E369" s="2043">
        <v>0</v>
      </c>
      <c r="F369" s="2043">
        <v>4774525748</v>
      </c>
      <c r="G369" s="2043">
        <v>4677428914</v>
      </c>
      <c r="H369" s="2043">
        <v>4774525748</v>
      </c>
      <c r="I369" s="2043">
        <v>4677428914</v>
      </c>
    </row>
    <row r="370" spans="1:9" ht="14.5">
      <c r="A370" t="s">
        <v>9767</v>
      </c>
      <c r="B370" s="2113" t="str">
        <f t="shared" si="5"/>
        <v>092-904</v>
      </c>
      <c r="C370" t="s">
        <v>6362</v>
      </c>
      <c r="D370" s="2043">
        <v>125102327</v>
      </c>
      <c r="E370" s="2043">
        <v>0</v>
      </c>
      <c r="F370" s="2043">
        <v>1695609822</v>
      </c>
      <c r="G370" s="2043">
        <v>1647277495</v>
      </c>
      <c r="H370" s="2043">
        <v>1695609822</v>
      </c>
      <c r="I370" s="2043">
        <v>1647277495</v>
      </c>
    </row>
    <row r="371" spans="1:9" ht="14.5">
      <c r="A371" t="s">
        <v>9768</v>
      </c>
      <c r="B371" s="2113" t="str">
        <f t="shared" si="5"/>
        <v>092-906</v>
      </c>
      <c r="C371" t="s">
        <v>6363</v>
      </c>
      <c r="D371" s="2043">
        <v>39103035</v>
      </c>
      <c r="E371" s="2043">
        <v>0</v>
      </c>
      <c r="F371" s="2043">
        <v>466016164</v>
      </c>
      <c r="G371" s="2043">
        <v>452593129</v>
      </c>
      <c r="H371" s="2043">
        <v>466016164</v>
      </c>
      <c r="I371" s="2043">
        <v>452593129</v>
      </c>
    </row>
    <row r="372" spans="1:9" ht="14.5">
      <c r="A372" t="s">
        <v>9769</v>
      </c>
      <c r="B372" s="2113" t="str">
        <f t="shared" si="5"/>
        <v>092-907</v>
      </c>
      <c r="C372" t="s">
        <v>6364</v>
      </c>
      <c r="D372" s="2043">
        <v>49900652</v>
      </c>
      <c r="E372" s="2043">
        <v>0</v>
      </c>
      <c r="F372" s="2043">
        <v>588608543</v>
      </c>
      <c r="G372" s="2043">
        <v>569112891</v>
      </c>
      <c r="H372" s="2043">
        <v>588608543</v>
      </c>
      <c r="I372" s="2043">
        <v>569112891</v>
      </c>
    </row>
    <row r="373" spans="1:9" ht="14.5">
      <c r="A373" t="s">
        <v>9770</v>
      </c>
      <c r="B373" s="2113" t="str">
        <f t="shared" si="5"/>
        <v>092-908</v>
      </c>
      <c r="C373" t="s">
        <v>6365</v>
      </c>
      <c r="D373" s="2043">
        <v>36432174</v>
      </c>
      <c r="E373" s="2043">
        <v>0</v>
      </c>
      <c r="F373" s="2043">
        <v>402923671</v>
      </c>
      <c r="G373" s="2043">
        <v>388976497</v>
      </c>
      <c r="H373" s="2043">
        <v>402923671</v>
      </c>
      <c r="I373" s="2043">
        <v>388976497</v>
      </c>
    </row>
    <row r="374" spans="1:9" ht="14.5">
      <c r="A374" t="s">
        <v>9771</v>
      </c>
      <c r="B374" s="2113" t="str">
        <f t="shared" si="5"/>
        <v>093-901</v>
      </c>
      <c r="C374" t="s">
        <v>6366</v>
      </c>
      <c r="D374" s="2043">
        <v>25154664</v>
      </c>
      <c r="E374" s="2043">
        <v>0</v>
      </c>
      <c r="F374" s="2043">
        <v>805535435</v>
      </c>
      <c r="G374" s="2043">
        <v>796685771</v>
      </c>
      <c r="H374" s="2043">
        <v>805535435</v>
      </c>
      <c r="I374" s="2043">
        <v>796685771</v>
      </c>
    </row>
    <row r="375" spans="1:9" ht="14.5">
      <c r="A375" t="s">
        <v>9772</v>
      </c>
      <c r="B375" s="2113" t="str">
        <f t="shared" si="5"/>
        <v>093-903</v>
      </c>
      <c r="C375" t="s">
        <v>6367</v>
      </c>
      <c r="D375" s="2043">
        <v>21662335</v>
      </c>
      <c r="E375" s="2043">
        <v>0</v>
      </c>
      <c r="F375" s="2043">
        <v>400661196</v>
      </c>
      <c r="G375" s="2043">
        <v>393113861</v>
      </c>
      <c r="H375" s="2043">
        <v>400661196</v>
      </c>
      <c r="I375" s="2043">
        <v>393113861</v>
      </c>
    </row>
    <row r="376" spans="1:9" ht="14.5">
      <c r="A376" t="s">
        <v>9773</v>
      </c>
      <c r="B376" s="2113" t="str">
        <f t="shared" si="5"/>
        <v>093-904</v>
      </c>
      <c r="C376" t="s">
        <v>6368</v>
      </c>
      <c r="D376" s="2043">
        <v>100846817</v>
      </c>
      <c r="E376" s="2043">
        <v>0</v>
      </c>
      <c r="F376" s="2043">
        <v>2036373619</v>
      </c>
      <c r="G376" s="2043">
        <v>2001166802</v>
      </c>
      <c r="H376" s="2043">
        <v>2036373619</v>
      </c>
      <c r="I376" s="2043">
        <v>2001166802</v>
      </c>
    </row>
    <row r="377" spans="1:9" ht="14.5">
      <c r="A377" t="s">
        <v>9774</v>
      </c>
      <c r="B377" s="2113" t="str">
        <f t="shared" si="5"/>
        <v>093-905</v>
      </c>
      <c r="C377" t="s">
        <v>6369</v>
      </c>
      <c r="D377" s="2043">
        <v>11615418</v>
      </c>
      <c r="E377" s="2043">
        <v>0</v>
      </c>
      <c r="F377" s="2043">
        <v>191050826</v>
      </c>
      <c r="G377" s="2043">
        <v>186995408</v>
      </c>
      <c r="H377" s="2043">
        <v>191050826</v>
      </c>
      <c r="I377" s="2043">
        <v>186995408</v>
      </c>
    </row>
    <row r="378" spans="1:9" ht="14.5">
      <c r="A378" t="s">
        <v>9775</v>
      </c>
      <c r="B378" s="2113" t="str">
        <f t="shared" si="5"/>
        <v>094-901</v>
      </c>
      <c r="C378" t="s">
        <v>6370</v>
      </c>
      <c r="D378" s="2043">
        <v>239462604</v>
      </c>
      <c r="E378" s="2043">
        <v>0</v>
      </c>
      <c r="F378" s="2043">
        <v>3764521637</v>
      </c>
      <c r="G378" s="2043">
        <v>3680579033</v>
      </c>
      <c r="H378" s="2043">
        <v>3764521637</v>
      </c>
      <c r="I378" s="2043">
        <v>3680579033</v>
      </c>
    </row>
    <row r="379" spans="1:9" ht="14.5">
      <c r="A379" t="s">
        <v>9776</v>
      </c>
      <c r="B379" s="2113" t="str">
        <f t="shared" si="5"/>
        <v>094-902</v>
      </c>
      <c r="C379" t="s">
        <v>8430</v>
      </c>
      <c r="D379" s="2043">
        <v>478260118</v>
      </c>
      <c r="E379" s="2043">
        <v>0</v>
      </c>
      <c r="F379" s="2043">
        <v>6471219919</v>
      </c>
      <c r="G379" s="2043">
        <v>6284184801</v>
      </c>
      <c r="H379" s="2043">
        <v>6471219919</v>
      </c>
      <c r="I379" s="2043">
        <v>6284184801</v>
      </c>
    </row>
    <row r="380" spans="1:9" ht="14.5">
      <c r="A380" t="s">
        <v>9777</v>
      </c>
      <c r="B380" s="2113" t="str">
        <f t="shared" si="5"/>
        <v>094-903</v>
      </c>
      <c r="C380" t="s">
        <v>6371</v>
      </c>
      <c r="D380" s="2043">
        <v>59363608</v>
      </c>
      <c r="E380" s="2043">
        <v>0</v>
      </c>
      <c r="F380" s="2043">
        <v>1115893497</v>
      </c>
      <c r="G380" s="2043">
        <v>1094329889</v>
      </c>
      <c r="H380" s="2043">
        <v>1115893497</v>
      </c>
      <c r="I380" s="2043">
        <v>1094329889</v>
      </c>
    </row>
    <row r="381" spans="1:9" ht="14.5">
      <c r="A381" t="s">
        <v>9778</v>
      </c>
      <c r="B381" s="2113" t="str">
        <f t="shared" si="5"/>
        <v>094-904</v>
      </c>
      <c r="C381" t="s">
        <v>6372</v>
      </c>
      <c r="D381" s="2043">
        <v>54470061</v>
      </c>
      <c r="E381" s="2043">
        <v>0</v>
      </c>
      <c r="F381" s="2043">
        <v>780825156</v>
      </c>
      <c r="G381" s="2043">
        <v>762490095</v>
      </c>
      <c r="H381" s="2043">
        <v>780825156</v>
      </c>
      <c r="I381" s="2043">
        <v>762490095</v>
      </c>
    </row>
    <row r="382" spans="1:9" ht="14.5">
      <c r="A382" t="s">
        <v>10605</v>
      </c>
      <c r="B382" s="2113" t="str">
        <f t="shared" si="5"/>
        <v>095-901</v>
      </c>
      <c r="C382" t="s">
        <v>6373</v>
      </c>
      <c r="D382" s="2043">
        <v>18342427</v>
      </c>
      <c r="E382" s="2043">
        <v>0</v>
      </c>
      <c r="F382" s="2043">
        <v>519210966</v>
      </c>
      <c r="G382" s="2043">
        <v>512268539</v>
      </c>
      <c r="H382" s="2043">
        <v>519210966</v>
      </c>
      <c r="I382" s="2043">
        <v>512268539</v>
      </c>
    </row>
    <row r="383" spans="1:9" ht="14.5">
      <c r="A383" t="s">
        <v>9779</v>
      </c>
      <c r="B383" s="2113" t="str">
        <f t="shared" si="5"/>
        <v>095-902</v>
      </c>
      <c r="C383" t="s">
        <v>6374</v>
      </c>
      <c r="D383" s="2043">
        <v>1428168</v>
      </c>
      <c r="E383" s="2043">
        <v>0</v>
      </c>
      <c r="F383" s="2043">
        <v>38652577</v>
      </c>
      <c r="G383" s="2043">
        <v>38109409</v>
      </c>
      <c r="H383" s="2043">
        <v>38652577</v>
      </c>
      <c r="I383" s="2043">
        <v>38109409</v>
      </c>
    </row>
    <row r="384" spans="1:9" ht="14.5">
      <c r="A384" t="s">
        <v>9780</v>
      </c>
      <c r="B384" s="2113" t="str">
        <f t="shared" si="5"/>
        <v>095-903</v>
      </c>
      <c r="C384" t="s">
        <v>6375</v>
      </c>
      <c r="D384" s="2043">
        <v>12777541</v>
      </c>
      <c r="E384" s="2043">
        <v>0</v>
      </c>
      <c r="F384" s="2043">
        <v>102192603</v>
      </c>
      <c r="G384" s="2043">
        <v>97740062</v>
      </c>
      <c r="H384" s="2043">
        <v>102192603</v>
      </c>
      <c r="I384" s="2043">
        <v>97740062</v>
      </c>
    </row>
    <row r="385" spans="1:9" ht="14.5">
      <c r="A385" t="s">
        <v>10606</v>
      </c>
      <c r="B385" s="2113" t="str">
        <f t="shared" si="5"/>
        <v>095-904</v>
      </c>
      <c r="C385" t="s">
        <v>6376</v>
      </c>
      <c r="D385" s="2043">
        <v>7599931</v>
      </c>
      <c r="E385" s="2043">
        <v>583064800</v>
      </c>
      <c r="F385" s="2043">
        <v>103425702</v>
      </c>
      <c r="G385" s="2043">
        <v>100805771</v>
      </c>
      <c r="H385" s="2043">
        <v>686490502</v>
      </c>
      <c r="I385" s="2043">
        <v>683870571</v>
      </c>
    </row>
    <row r="386" spans="1:9" ht="14.5">
      <c r="A386" t="s">
        <v>9781</v>
      </c>
      <c r="B386" s="2113" t="str">
        <f t="shared" si="5"/>
        <v>095-905</v>
      </c>
      <c r="C386" t="s">
        <v>6377</v>
      </c>
      <c r="D386" s="2043">
        <v>112020317</v>
      </c>
      <c r="E386" s="2043">
        <v>0</v>
      </c>
      <c r="F386" s="2043">
        <v>1249734436</v>
      </c>
      <c r="G386" s="2043">
        <v>1207824119</v>
      </c>
      <c r="H386" s="2043">
        <v>1249734436</v>
      </c>
      <c r="I386" s="2043">
        <v>1207824119</v>
      </c>
    </row>
    <row r="387" spans="1:9" ht="14.5">
      <c r="A387" t="s">
        <v>9782</v>
      </c>
      <c r="B387" s="2113" t="str">
        <f t="shared" ref="B387:B450" si="6">CONCATENATE(RIGHT(LEFT(CONCATENATE("000",A387),6),3),"-",(LEFT(RIGHT(CONCATENATE("000",A387),6),3)))</f>
        <v>096-904</v>
      </c>
      <c r="C387" t="s">
        <v>6378</v>
      </c>
      <c r="D387" s="2043">
        <v>13639160</v>
      </c>
      <c r="E387" s="2043">
        <v>0</v>
      </c>
      <c r="F387" s="2043">
        <v>208049983</v>
      </c>
      <c r="G387" s="2043">
        <v>203815823</v>
      </c>
      <c r="H387" s="2043">
        <v>208049983</v>
      </c>
      <c r="I387" s="2043">
        <v>203815823</v>
      </c>
    </row>
    <row r="388" spans="1:9" ht="14.5">
      <c r="A388" t="s">
        <v>9783</v>
      </c>
      <c r="B388" s="2113" t="str">
        <f t="shared" si="6"/>
        <v>096-905</v>
      </c>
      <c r="C388" t="s">
        <v>6379</v>
      </c>
      <c r="D388" s="2043">
        <v>5662949</v>
      </c>
      <c r="E388" s="2043">
        <v>0</v>
      </c>
      <c r="F388" s="2043">
        <v>86665623</v>
      </c>
      <c r="G388" s="2043">
        <v>84827674</v>
      </c>
      <c r="H388" s="2043">
        <v>86665623</v>
      </c>
      <c r="I388" s="2043">
        <v>84827674</v>
      </c>
    </row>
    <row r="389" spans="1:9" ht="14.5">
      <c r="A389" t="s">
        <v>9784</v>
      </c>
      <c r="B389" s="2113" t="str">
        <f t="shared" si="6"/>
        <v>097-902</v>
      </c>
      <c r="C389" t="s">
        <v>6380</v>
      </c>
      <c r="D389" s="2043">
        <v>34923951</v>
      </c>
      <c r="E389" s="2043">
        <v>0</v>
      </c>
      <c r="F389" s="2043">
        <v>359709635</v>
      </c>
      <c r="G389" s="2043">
        <v>346535684</v>
      </c>
      <c r="H389" s="2043">
        <v>359709635</v>
      </c>
      <c r="I389" s="2043">
        <v>346535684</v>
      </c>
    </row>
    <row r="390" spans="1:9" ht="14.5">
      <c r="A390" t="s">
        <v>9785</v>
      </c>
      <c r="B390" s="2113" t="str">
        <f t="shared" si="6"/>
        <v>097-903</v>
      </c>
      <c r="C390" t="s">
        <v>6381</v>
      </c>
      <c r="D390" s="2043">
        <v>19367799</v>
      </c>
      <c r="E390" s="2043">
        <v>0</v>
      </c>
      <c r="F390" s="2043">
        <v>234079311</v>
      </c>
      <c r="G390" s="2043">
        <v>226801512</v>
      </c>
      <c r="H390" s="2043">
        <v>234079311</v>
      </c>
      <c r="I390" s="2043">
        <v>226801512</v>
      </c>
    </row>
    <row r="391" spans="1:9" ht="14.5">
      <c r="A391" t="s">
        <v>9786</v>
      </c>
      <c r="B391" s="2113" t="str">
        <f t="shared" si="6"/>
        <v>098-901</v>
      </c>
      <c r="C391" t="s">
        <v>6382</v>
      </c>
      <c r="D391" s="2043">
        <v>9604996</v>
      </c>
      <c r="E391" s="2043">
        <v>0</v>
      </c>
      <c r="F391" s="2043">
        <v>260182878</v>
      </c>
      <c r="G391" s="2043">
        <v>256622882</v>
      </c>
      <c r="H391" s="2043">
        <v>260182878</v>
      </c>
      <c r="I391" s="2043">
        <v>256622882</v>
      </c>
    </row>
    <row r="392" spans="1:9" ht="14.5">
      <c r="A392" t="s">
        <v>9787</v>
      </c>
      <c r="B392" s="2113" t="str">
        <f t="shared" si="6"/>
        <v>098-903</v>
      </c>
      <c r="C392" t="s">
        <v>6383</v>
      </c>
      <c r="D392" s="2043">
        <v>1654342</v>
      </c>
      <c r="E392" s="2043">
        <v>0</v>
      </c>
      <c r="F392" s="2043">
        <v>125842254</v>
      </c>
      <c r="G392" s="2043">
        <v>125267912</v>
      </c>
      <c r="H392" s="2043">
        <v>125842254</v>
      </c>
      <c r="I392" s="2043">
        <v>125267912</v>
      </c>
    </row>
    <row r="393" spans="1:9" ht="14.5">
      <c r="A393" t="s">
        <v>9788</v>
      </c>
      <c r="B393" s="2113" t="str">
        <f t="shared" si="6"/>
        <v>098-904</v>
      </c>
      <c r="C393" t="s">
        <v>6384</v>
      </c>
      <c r="D393" s="2043">
        <v>21345093</v>
      </c>
      <c r="E393" s="2043">
        <v>19561000</v>
      </c>
      <c r="F393" s="2043">
        <v>355966355</v>
      </c>
      <c r="G393" s="2043">
        <v>347821262</v>
      </c>
      <c r="H393" s="2043">
        <v>375527355</v>
      </c>
      <c r="I393" s="2043">
        <v>367382262</v>
      </c>
    </row>
    <row r="394" spans="1:9" ht="14.5">
      <c r="A394" t="s">
        <v>9789</v>
      </c>
      <c r="B394" s="2113" t="str">
        <f t="shared" si="6"/>
        <v>099-902</v>
      </c>
      <c r="C394" t="s">
        <v>6385</v>
      </c>
      <c r="D394" s="2043">
        <v>5669510</v>
      </c>
      <c r="E394" s="2043">
        <v>213383100</v>
      </c>
      <c r="F394" s="2043">
        <v>175162585</v>
      </c>
      <c r="G394" s="2043">
        <v>173438075</v>
      </c>
      <c r="H394" s="2043">
        <v>388545685</v>
      </c>
      <c r="I394" s="2043">
        <v>386821175</v>
      </c>
    </row>
    <row r="395" spans="1:9" ht="14.5">
      <c r="A395" t="s">
        <v>9790</v>
      </c>
      <c r="B395" s="2113" t="str">
        <f t="shared" si="6"/>
        <v>099-903</v>
      </c>
      <c r="C395" t="s">
        <v>6386</v>
      </c>
      <c r="D395" s="2043">
        <v>16429460</v>
      </c>
      <c r="E395" s="2043">
        <v>70221330</v>
      </c>
      <c r="F395" s="2043">
        <v>369656821</v>
      </c>
      <c r="G395" s="2043">
        <v>364252361</v>
      </c>
      <c r="H395" s="2043">
        <v>439878151</v>
      </c>
      <c r="I395" s="2043">
        <v>434473691</v>
      </c>
    </row>
    <row r="396" spans="1:9" ht="14.5">
      <c r="A396" t="s">
        <v>9791</v>
      </c>
      <c r="B396" s="2113" t="str">
        <f t="shared" si="6"/>
        <v>100-903</v>
      </c>
      <c r="C396" t="s">
        <v>6387</v>
      </c>
      <c r="D396" s="2043">
        <v>49112450</v>
      </c>
      <c r="E396" s="2043">
        <v>0</v>
      </c>
      <c r="F396" s="2043">
        <v>450516522</v>
      </c>
      <c r="G396" s="2043">
        <v>433639072</v>
      </c>
      <c r="H396" s="2043">
        <v>450516522</v>
      </c>
      <c r="I396" s="2043">
        <v>433639072</v>
      </c>
    </row>
    <row r="397" spans="1:9" ht="14.5">
      <c r="A397" t="s">
        <v>9792</v>
      </c>
      <c r="B397" s="2113" t="str">
        <f t="shared" si="6"/>
        <v>100-904</v>
      </c>
      <c r="C397" t="s">
        <v>6388</v>
      </c>
      <c r="D397" s="2043">
        <v>101258089</v>
      </c>
      <c r="E397" s="2043">
        <v>0</v>
      </c>
      <c r="F397" s="2043">
        <v>970388811</v>
      </c>
      <c r="G397" s="2043">
        <v>934350722</v>
      </c>
      <c r="H397" s="2043">
        <v>970388811</v>
      </c>
      <c r="I397" s="2043">
        <v>934350722</v>
      </c>
    </row>
    <row r="398" spans="1:9" ht="14.5">
      <c r="A398" t="s">
        <v>9793</v>
      </c>
      <c r="B398" s="2113" t="str">
        <f t="shared" si="6"/>
        <v>100-905</v>
      </c>
      <c r="C398" t="s">
        <v>6389</v>
      </c>
      <c r="D398" s="2043">
        <v>83615523</v>
      </c>
      <c r="E398" s="2043">
        <v>0</v>
      </c>
      <c r="F398" s="2043">
        <v>1131300036</v>
      </c>
      <c r="G398" s="2043">
        <v>1101099513</v>
      </c>
      <c r="H398" s="2043">
        <v>1131300036</v>
      </c>
      <c r="I398" s="2043">
        <v>1101099513</v>
      </c>
    </row>
    <row r="399" spans="1:9" ht="14.5">
      <c r="A399" t="s">
        <v>9794</v>
      </c>
      <c r="B399" s="2113" t="str">
        <f t="shared" si="6"/>
        <v>100-907</v>
      </c>
      <c r="C399" t="s">
        <v>6390</v>
      </c>
      <c r="D399" s="2043">
        <v>139838420</v>
      </c>
      <c r="E399" s="2043">
        <v>0</v>
      </c>
      <c r="F399" s="2043">
        <v>1371775643</v>
      </c>
      <c r="G399" s="2043">
        <v>1319057223</v>
      </c>
      <c r="H399" s="2043">
        <v>1371775643</v>
      </c>
      <c r="I399" s="2043">
        <v>1319057223</v>
      </c>
    </row>
    <row r="400" spans="1:9" ht="14.5">
      <c r="A400" t="s">
        <v>9795</v>
      </c>
      <c r="B400" s="2113" t="str">
        <f t="shared" si="6"/>
        <v>100-908</v>
      </c>
      <c r="C400" t="s">
        <v>6391</v>
      </c>
      <c r="D400" s="2043">
        <v>20197315</v>
      </c>
      <c r="E400" s="2043">
        <v>0</v>
      </c>
      <c r="F400" s="2043">
        <v>284600157</v>
      </c>
      <c r="G400" s="2043">
        <v>277767842</v>
      </c>
      <c r="H400" s="2043">
        <v>284600157</v>
      </c>
      <c r="I400" s="2043">
        <v>277767842</v>
      </c>
    </row>
    <row r="401" spans="1:9" ht="14.5">
      <c r="A401" t="s">
        <v>9796</v>
      </c>
      <c r="B401" s="2113" t="str">
        <f t="shared" si="6"/>
        <v>101-902</v>
      </c>
      <c r="C401" t="s">
        <v>6392</v>
      </c>
      <c r="D401" s="2043">
        <v>863833660</v>
      </c>
      <c r="E401" s="2043">
        <v>0</v>
      </c>
      <c r="F401" s="2043">
        <v>23065008976</v>
      </c>
      <c r="G401" s="2043">
        <v>22730090316</v>
      </c>
      <c r="H401" s="2043">
        <v>23065008976</v>
      </c>
      <c r="I401" s="2043">
        <v>22730090316</v>
      </c>
    </row>
    <row r="402" spans="1:9" ht="14.5">
      <c r="A402" t="s">
        <v>9797</v>
      </c>
      <c r="B402" s="2113" t="str">
        <f t="shared" si="6"/>
        <v>101-903</v>
      </c>
      <c r="C402" t="s">
        <v>6393</v>
      </c>
      <c r="D402" s="2043">
        <v>681641627</v>
      </c>
      <c r="E402" s="2043">
        <v>0</v>
      </c>
      <c r="F402" s="2043">
        <v>17874090078</v>
      </c>
      <c r="G402" s="2043">
        <v>17608203451</v>
      </c>
      <c r="H402" s="2043">
        <v>17874090078</v>
      </c>
      <c r="I402" s="2043">
        <v>17608203451</v>
      </c>
    </row>
    <row r="403" spans="1:9" ht="14.5">
      <c r="A403" t="s">
        <v>9798</v>
      </c>
      <c r="B403" s="2113" t="str">
        <f t="shared" si="6"/>
        <v>101-905</v>
      </c>
      <c r="C403" t="s">
        <v>6394</v>
      </c>
      <c r="D403" s="2043">
        <v>166883984</v>
      </c>
      <c r="E403" s="2043">
        <v>0</v>
      </c>
      <c r="F403" s="2043">
        <v>4040181635</v>
      </c>
      <c r="G403" s="2043">
        <v>3976602651</v>
      </c>
      <c r="H403" s="2043">
        <v>4040181635</v>
      </c>
      <c r="I403" s="2043">
        <v>3976602651</v>
      </c>
    </row>
    <row r="404" spans="1:9" ht="14.5">
      <c r="A404" t="s">
        <v>9799</v>
      </c>
      <c r="B404" s="2113" t="str">
        <f t="shared" si="6"/>
        <v>101-906</v>
      </c>
      <c r="C404" t="s">
        <v>6395</v>
      </c>
      <c r="D404" s="2043">
        <v>171675464</v>
      </c>
      <c r="E404" s="2043">
        <v>0</v>
      </c>
      <c r="F404" s="2043">
        <v>2287182763</v>
      </c>
      <c r="G404" s="2043">
        <v>2222037299</v>
      </c>
      <c r="H404" s="2043">
        <v>2287182763</v>
      </c>
      <c r="I404" s="2043">
        <v>2222037299</v>
      </c>
    </row>
    <row r="405" spans="1:9" ht="14.5">
      <c r="A405" t="s">
        <v>9800</v>
      </c>
      <c r="B405" s="2113" t="str">
        <f t="shared" si="6"/>
        <v>101-907</v>
      </c>
      <c r="C405" t="s">
        <v>6396</v>
      </c>
      <c r="D405" s="2043">
        <v>3089445965</v>
      </c>
      <c r="E405" s="2043">
        <v>0</v>
      </c>
      <c r="F405" s="2043">
        <v>62989542273</v>
      </c>
      <c r="G405" s="2043">
        <v>61757951308</v>
      </c>
      <c r="H405" s="2043">
        <v>62989542273</v>
      </c>
      <c r="I405" s="2043">
        <v>61757951308</v>
      </c>
    </row>
    <row r="406" spans="1:9" ht="14.5">
      <c r="A406" t="s">
        <v>9801</v>
      </c>
      <c r="B406" s="2113" t="str">
        <f t="shared" si="6"/>
        <v>101-908</v>
      </c>
      <c r="C406" t="s">
        <v>6397</v>
      </c>
      <c r="D406" s="2043">
        <v>285723514</v>
      </c>
      <c r="E406" s="2043">
        <v>860464360</v>
      </c>
      <c r="F406" s="2043">
        <v>10887535584</v>
      </c>
      <c r="G406" s="2043">
        <v>10774417070</v>
      </c>
      <c r="H406" s="2043">
        <v>11747999944</v>
      </c>
      <c r="I406" s="2043">
        <v>11634881430</v>
      </c>
    </row>
    <row r="407" spans="1:9" ht="14.5">
      <c r="A407" t="s">
        <v>9802</v>
      </c>
      <c r="B407" s="2113" t="str">
        <f t="shared" si="6"/>
        <v>101-910</v>
      </c>
      <c r="C407" t="s">
        <v>6398</v>
      </c>
      <c r="D407" s="2043">
        <v>312231469</v>
      </c>
      <c r="E407" s="2043">
        <v>0</v>
      </c>
      <c r="F407" s="2043">
        <v>10411352786</v>
      </c>
      <c r="G407" s="2043">
        <v>10287986317</v>
      </c>
      <c r="H407" s="2043">
        <v>10411352786</v>
      </c>
      <c r="I407" s="2043">
        <v>10287986317</v>
      </c>
    </row>
    <row r="408" spans="1:9" ht="14.5">
      <c r="A408" t="s">
        <v>9803</v>
      </c>
      <c r="B408" s="2113" t="str">
        <f t="shared" si="6"/>
        <v>101-911</v>
      </c>
      <c r="C408" t="s">
        <v>6399</v>
      </c>
      <c r="D408" s="2043">
        <v>498833408</v>
      </c>
      <c r="E408" s="2043">
        <v>3265569374</v>
      </c>
      <c r="F408" s="2043">
        <v>13271808889</v>
      </c>
      <c r="G408" s="2043">
        <v>13077460481</v>
      </c>
      <c r="H408" s="2043">
        <v>16537378263</v>
      </c>
      <c r="I408" s="2043">
        <v>16343029855</v>
      </c>
    </row>
    <row r="409" spans="1:9" ht="14.5">
      <c r="A409" t="s">
        <v>9804</v>
      </c>
      <c r="B409" s="2113" t="str">
        <f t="shared" si="6"/>
        <v>101-912</v>
      </c>
      <c r="C409" t="s">
        <v>6400</v>
      </c>
      <c r="D409" s="2043">
        <v>5506111660</v>
      </c>
      <c r="E409" s="2043">
        <v>0</v>
      </c>
      <c r="F409" s="2043">
        <v>202342713714</v>
      </c>
      <c r="G409" s="2043">
        <v>200159027054</v>
      </c>
      <c r="H409" s="2043">
        <v>202342713714</v>
      </c>
      <c r="I409" s="2043">
        <v>200159027054</v>
      </c>
    </row>
    <row r="410" spans="1:9" ht="14.5">
      <c r="A410" t="s">
        <v>9805</v>
      </c>
      <c r="B410" s="2113" t="str">
        <f t="shared" si="6"/>
        <v>101-913</v>
      </c>
      <c r="C410" t="s">
        <v>6401</v>
      </c>
      <c r="D410" s="2043">
        <v>1186552108</v>
      </c>
      <c r="E410" s="2043">
        <v>0</v>
      </c>
      <c r="F410" s="2043">
        <v>18152387695</v>
      </c>
      <c r="G410" s="2043">
        <v>17685580587</v>
      </c>
      <c r="H410" s="2043">
        <v>18152387695</v>
      </c>
      <c r="I410" s="2043">
        <v>17685580587</v>
      </c>
    </row>
    <row r="411" spans="1:9" ht="14.5">
      <c r="A411" t="s">
        <v>9806</v>
      </c>
      <c r="B411" s="2113" t="str">
        <f t="shared" si="6"/>
        <v>101-914</v>
      </c>
      <c r="C411" t="s">
        <v>6402</v>
      </c>
      <c r="D411" s="2043">
        <v>1868083513</v>
      </c>
      <c r="E411" s="2043">
        <v>0</v>
      </c>
      <c r="F411" s="2043">
        <v>45188999981</v>
      </c>
      <c r="G411" s="2043">
        <v>44454241468</v>
      </c>
      <c r="H411" s="2043">
        <v>45188999981</v>
      </c>
      <c r="I411" s="2043">
        <v>44454241468</v>
      </c>
    </row>
    <row r="412" spans="1:9" ht="14.5">
      <c r="A412" t="s">
        <v>9807</v>
      </c>
      <c r="B412" s="2113" t="str">
        <f t="shared" si="6"/>
        <v>101-915</v>
      </c>
      <c r="C412" t="s">
        <v>6403</v>
      </c>
      <c r="D412" s="2043">
        <v>1435307111</v>
      </c>
      <c r="E412" s="2043">
        <v>0</v>
      </c>
      <c r="F412" s="2043">
        <v>24158953171</v>
      </c>
      <c r="G412" s="2043">
        <v>23594276060</v>
      </c>
      <c r="H412" s="2043">
        <v>24158953171</v>
      </c>
      <c r="I412" s="2043">
        <v>23594276060</v>
      </c>
    </row>
    <row r="413" spans="1:9" ht="14.5">
      <c r="A413" t="s">
        <v>9808</v>
      </c>
      <c r="B413" s="2113" t="str">
        <f t="shared" si="6"/>
        <v>101-916</v>
      </c>
      <c r="C413" t="s">
        <v>6404</v>
      </c>
      <c r="D413" s="2043">
        <v>261600936</v>
      </c>
      <c r="E413" s="2043">
        <v>1057681440</v>
      </c>
      <c r="F413" s="2043">
        <v>11428928891</v>
      </c>
      <c r="G413" s="2043">
        <v>11325112955</v>
      </c>
      <c r="H413" s="2043">
        <v>12486610331</v>
      </c>
      <c r="I413" s="2043">
        <v>12382794395</v>
      </c>
    </row>
    <row r="414" spans="1:9" ht="14.5">
      <c r="A414" t="s">
        <v>9809</v>
      </c>
      <c r="B414" s="2113" t="str">
        <f t="shared" si="6"/>
        <v>101-917</v>
      </c>
      <c r="C414" t="s">
        <v>6405</v>
      </c>
      <c r="D414" s="2043">
        <v>935402471</v>
      </c>
      <c r="E414" s="2043">
        <v>0</v>
      </c>
      <c r="F414" s="2043">
        <v>17745814511</v>
      </c>
      <c r="G414" s="2043">
        <v>17378552040</v>
      </c>
      <c r="H414" s="2043">
        <v>17745814511</v>
      </c>
      <c r="I414" s="2043">
        <v>17378552040</v>
      </c>
    </row>
    <row r="415" spans="1:9" ht="14.5">
      <c r="A415" t="s">
        <v>9810</v>
      </c>
      <c r="B415" s="2113" t="str">
        <f t="shared" si="6"/>
        <v>101-919</v>
      </c>
      <c r="C415" t="s">
        <v>6406</v>
      </c>
      <c r="D415" s="2043">
        <v>708288278</v>
      </c>
      <c r="E415" s="2043">
        <v>0</v>
      </c>
      <c r="F415" s="2043">
        <v>15527971830</v>
      </c>
      <c r="G415" s="2043">
        <v>15249973552</v>
      </c>
      <c r="H415" s="2043">
        <v>15527971830</v>
      </c>
      <c r="I415" s="2043">
        <v>15249973552</v>
      </c>
    </row>
    <row r="416" spans="1:9" ht="14.5">
      <c r="A416" t="s">
        <v>9811</v>
      </c>
      <c r="B416" s="2113" t="str">
        <f t="shared" si="6"/>
        <v>101-920</v>
      </c>
      <c r="C416" t="s">
        <v>6407</v>
      </c>
      <c r="D416" s="2043">
        <v>837843949</v>
      </c>
      <c r="E416" s="2043">
        <v>0</v>
      </c>
      <c r="F416" s="2043">
        <v>34557121051</v>
      </c>
      <c r="G416" s="2043">
        <v>34222572102</v>
      </c>
      <c r="H416" s="2043">
        <v>34557121051</v>
      </c>
      <c r="I416" s="2043">
        <v>34222572102</v>
      </c>
    </row>
    <row r="417" spans="1:9" ht="14.5">
      <c r="A417" t="s">
        <v>9812</v>
      </c>
      <c r="B417" s="2113" t="str">
        <f t="shared" si="6"/>
        <v>101-921</v>
      </c>
      <c r="C417" t="s">
        <v>6408</v>
      </c>
      <c r="D417" s="2043">
        <v>530426103</v>
      </c>
      <c r="E417" s="2043">
        <v>0</v>
      </c>
      <c r="F417" s="2043">
        <v>12439125245</v>
      </c>
      <c r="G417" s="2043">
        <v>12230809142</v>
      </c>
      <c r="H417" s="2043">
        <v>12439125245</v>
      </c>
      <c r="I417" s="2043">
        <v>12230809142</v>
      </c>
    </row>
    <row r="418" spans="1:9" ht="14.5">
      <c r="A418" t="s">
        <v>9813</v>
      </c>
      <c r="B418" s="2113" t="str">
        <f t="shared" si="6"/>
        <v>101-924</v>
      </c>
      <c r="C418" t="s">
        <v>6409</v>
      </c>
      <c r="D418" s="2043">
        <v>173696790</v>
      </c>
      <c r="E418" s="2043">
        <v>332058056</v>
      </c>
      <c r="F418" s="2043">
        <v>5851716325</v>
      </c>
      <c r="G418" s="2043">
        <v>5785089535</v>
      </c>
      <c r="H418" s="2043">
        <v>6183774381</v>
      </c>
      <c r="I418" s="2043">
        <v>6117147591</v>
      </c>
    </row>
    <row r="419" spans="1:9" ht="14.5">
      <c r="A419" t="s">
        <v>9814</v>
      </c>
      <c r="B419" s="2113" t="str">
        <f t="shared" si="6"/>
        <v>101-925</v>
      </c>
      <c r="C419" t="s">
        <v>6410</v>
      </c>
      <c r="D419" s="2043">
        <v>99623130</v>
      </c>
      <c r="E419" s="2043">
        <v>0</v>
      </c>
      <c r="F419" s="2043">
        <v>1428143063</v>
      </c>
      <c r="G419" s="2043">
        <v>1390019933</v>
      </c>
      <c r="H419" s="2043">
        <v>1428143063</v>
      </c>
      <c r="I419" s="2043">
        <v>1390019933</v>
      </c>
    </row>
    <row r="420" spans="1:9" ht="14.5">
      <c r="A420" t="s">
        <v>9815</v>
      </c>
      <c r="B420" s="2113" t="str">
        <f t="shared" si="6"/>
        <v>102-901</v>
      </c>
      <c r="C420" t="s">
        <v>6411</v>
      </c>
      <c r="D420" s="2043">
        <v>15523118</v>
      </c>
      <c r="E420" s="2043">
        <v>0</v>
      </c>
      <c r="F420" s="2043">
        <v>218589534</v>
      </c>
      <c r="G420" s="2043">
        <v>214016416</v>
      </c>
      <c r="H420" s="2043">
        <v>218589534</v>
      </c>
      <c r="I420" s="2043">
        <v>214016416</v>
      </c>
    </row>
    <row r="421" spans="1:9" ht="14.5">
      <c r="A421" t="s">
        <v>9816</v>
      </c>
      <c r="B421" s="2113" t="str">
        <f t="shared" si="6"/>
        <v>102-902</v>
      </c>
      <c r="C421" t="s">
        <v>6412</v>
      </c>
      <c r="D421" s="2043">
        <v>165098540</v>
      </c>
      <c r="E421" s="2043">
        <v>0</v>
      </c>
      <c r="F421" s="2043">
        <v>2671571227</v>
      </c>
      <c r="G421" s="2043">
        <v>2614847687</v>
      </c>
      <c r="H421" s="2043">
        <v>2671571227</v>
      </c>
      <c r="I421" s="2043">
        <v>2614847687</v>
      </c>
    </row>
    <row r="422" spans="1:9" ht="14.5">
      <c r="A422" t="s">
        <v>9817</v>
      </c>
      <c r="B422" s="2113" t="str">
        <f t="shared" si="6"/>
        <v>102-903</v>
      </c>
      <c r="C422" t="s">
        <v>6413</v>
      </c>
      <c r="D422" s="2043">
        <v>22160757</v>
      </c>
      <c r="E422" s="2043">
        <v>0</v>
      </c>
      <c r="F422" s="2043">
        <v>387169225</v>
      </c>
      <c r="G422" s="2043">
        <v>380893468</v>
      </c>
      <c r="H422" s="2043">
        <v>387169225</v>
      </c>
      <c r="I422" s="2043">
        <v>380893468</v>
      </c>
    </row>
    <row r="423" spans="1:9" ht="14.5">
      <c r="A423" t="s">
        <v>9818</v>
      </c>
      <c r="B423" s="2113" t="str">
        <f t="shared" si="6"/>
        <v>102-904</v>
      </c>
      <c r="C423" t="s">
        <v>6414</v>
      </c>
      <c r="D423" s="2043">
        <v>130519966</v>
      </c>
      <c r="E423" s="2043">
        <v>0</v>
      </c>
      <c r="F423" s="2043">
        <v>2906178218</v>
      </c>
      <c r="G423" s="2043">
        <v>2859538252</v>
      </c>
      <c r="H423" s="2043">
        <v>2906178218</v>
      </c>
      <c r="I423" s="2043">
        <v>2859538252</v>
      </c>
    </row>
    <row r="424" spans="1:9" ht="14.5">
      <c r="A424" t="s">
        <v>9819</v>
      </c>
      <c r="B424" s="2113" t="str">
        <f t="shared" si="6"/>
        <v>102-905</v>
      </c>
      <c r="C424" t="s">
        <v>6415</v>
      </c>
      <c r="D424" s="2043">
        <v>20842257</v>
      </c>
      <c r="E424" s="2043">
        <v>0</v>
      </c>
      <c r="F424" s="2043">
        <v>186061935</v>
      </c>
      <c r="G424" s="2043">
        <v>179904678</v>
      </c>
      <c r="H424" s="2043">
        <v>186061935</v>
      </c>
      <c r="I424" s="2043">
        <v>179904678</v>
      </c>
    </row>
    <row r="425" spans="1:9" ht="14.5">
      <c r="A425" t="s">
        <v>9820</v>
      </c>
      <c r="B425" s="2113" t="str">
        <f t="shared" si="6"/>
        <v>102-906</v>
      </c>
      <c r="C425" t="s">
        <v>6416</v>
      </c>
      <c r="D425" s="2043">
        <v>32382146</v>
      </c>
      <c r="E425" s="2043">
        <v>0</v>
      </c>
      <c r="F425" s="2043">
        <v>701421189</v>
      </c>
      <c r="G425" s="2043">
        <v>690594043</v>
      </c>
      <c r="H425" s="2043">
        <v>701421189</v>
      </c>
      <c r="I425" s="2043">
        <v>690594043</v>
      </c>
    </row>
    <row r="426" spans="1:9" ht="14.5">
      <c r="A426" t="s">
        <v>9821</v>
      </c>
      <c r="B426" s="2113" t="str">
        <f t="shared" si="6"/>
        <v>103-901</v>
      </c>
      <c r="C426" t="s">
        <v>6417</v>
      </c>
      <c r="D426" s="2043">
        <v>1925760</v>
      </c>
      <c r="E426" s="2043">
        <v>0</v>
      </c>
      <c r="F426" s="2043">
        <v>193847949</v>
      </c>
      <c r="G426" s="2043">
        <v>193167189</v>
      </c>
      <c r="H426" s="2043">
        <v>193847949</v>
      </c>
      <c r="I426" s="2043">
        <v>193167189</v>
      </c>
    </row>
    <row r="427" spans="1:9" ht="14.5">
      <c r="A427" t="s">
        <v>9822</v>
      </c>
      <c r="B427" s="2113" t="str">
        <f t="shared" si="6"/>
        <v>103-902</v>
      </c>
      <c r="C427" t="s">
        <v>6418</v>
      </c>
      <c r="D427" s="2043">
        <v>2442230</v>
      </c>
      <c r="E427" s="2043">
        <v>0</v>
      </c>
      <c r="F427" s="2043">
        <v>208299930</v>
      </c>
      <c r="G427" s="2043">
        <v>207357700</v>
      </c>
      <c r="H427" s="2043">
        <v>208299930</v>
      </c>
      <c r="I427" s="2043">
        <v>207357700</v>
      </c>
    </row>
    <row r="428" spans="1:9" ht="14.5">
      <c r="A428" t="s">
        <v>9823</v>
      </c>
      <c r="B428" s="2113" t="str">
        <f t="shared" si="6"/>
        <v>104-901</v>
      </c>
      <c r="C428" t="s">
        <v>6419</v>
      </c>
      <c r="D428" s="2043">
        <v>22691510</v>
      </c>
      <c r="E428" s="2043">
        <v>300397140</v>
      </c>
      <c r="F428" s="2043">
        <v>310259645</v>
      </c>
      <c r="G428" s="2043">
        <v>302388135</v>
      </c>
      <c r="H428" s="2043">
        <v>610656785</v>
      </c>
      <c r="I428" s="2043">
        <v>602785275</v>
      </c>
    </row>
    <row r="429" spans="1:9" ht="14.5">
      <c r="A429" t="s">
        <v>9824</v>
      </c>
      <c r="B429" s="2113" t="str">
        <f t="shared" si="6"/>
        <v>104-903</v>
      </c>
      <c r="C429" t="s">
        <v>6420</v>
      </c>
      <c r="D429" s="2043">
        <v>5264500</v>
      </c>
      <c r="E429" s="2043">
        <v>0</v>
      </c>
      <c r="F429" s="2043">
        <v>79995720</v>
      </c>
      <c r="G429" s="2043">
        <v>78421220</v>
      </c>
      <c r="H429" s="2043">
        <v>79995720</v>
      </c>
      <c r="I429" s="2043">
        <v>78421220</v>
      </c>
    </row>
    <row r="430" spans="1:9" ht="14.5">
      <c r="A430" t="s">
        <v>10607</v>
      </c>
      <c r="B430" s="2113" t="str">
        <f t="shared" si="6"/>
        <v>104-907</v>
      </c>
      <c r="C430" t="s">
        <v>6421</v>
      </c>
      <c r="D430" s="2043">
        <v>2260030</v>
      </c>
      <c r="E430" s="2043">
        <v>77665940</v>
      </c>
      <c r="F430" s="2043">
        <v>159671235</v>
      </c>
      <c r="G430" s="2043">
        <v>159001205</v>
      </c>
      <c r="H430" s="2043">
        <v>237337175</v>
      </c>
      <c r="I430" s="2043">
        <v>236667145</v>
      </c>
    </row>
    <row r="431" spans="1:9" ht="14.5">
      <c r="A431" t="s">
        <v>9825</v>
      </c>
      <c r="B431" s="2113" t="str">
        <f t="shared" si="6"/>
        <v>105-902</v>
      </c>
      <c r="C431" t="s">
        <v>6422</v>
      </c>
      <c r="D431" s="2043">
        <v>199304945</v>
      </c>
      <c r="E431" s="2043">
        <v>0</v>
      </c>
      <c r="F431" s="2043">
        <v>7092163421</v>
      </c>
      <c r="G431" s="2043">
        <v>7018153476</v>
      </c>
      <c r="H431" s="2043">
        <v>7092163421</v>
      </c>
      <c r="I431" s="2043">
        <v>7018153476</v>
      </c>
    </row>
    <row r="432" spans="1:9" ht="14.5">
      <c r="A432" t="s">
        <v>9826</v>
      </c>
      <c r="B432" s="2113" t="str">
        <f t="shared" si="6"/>
        <v>105-904</v>
      </c>
      <c r="C432" t="s">
        <v>6423</v>
      </c>
      <c r="D432" s="2043">
        <v>236880773</v>
      </c>
      <c r="E432" s="2043">
        <v>0</v>
      </c>
      <c r="F432" s="2043">
        <v>6508409234</v>
      </c>
      <c r="G432" s="2043">
        <v>6415468461</v>
      </c>
      <c r="H432" s="2043">
        <v>6508409234</v>
      </c>
      <c r="I432" s="2043">
        <v>6415468461</v>
      </c>
    </row>
    <row r="433" spans="1:9" ht="14.5">
      <c r="A433" t="s">
        <v>9827</v>
      </c>
      <c r="B433" s="2113" t="str">
        <f t="shared" si="6"/>
        <v>105-905</v>
      </c>
      <c r="C433" t="s">
        <v>6424</v>
      </c>
      <c r="D433" s="2043">
        <v>112840967</v>
      </c>
      <c r="E433" s="2043">
        <v>0</v>
      </c>
      <c r="F433" s="2043">
        <v>2560580990</v>
      </c>
      <c r="G433" s="2043">
        <v>2516725023</v>
      </c>
      <c r="H433" s="2043">
        <v>2560580990</v>
      </c>
      <c r="I433" s="2043">
        <v>2516725023</v>
      </c>
    </row>
    <row r="434" spans="1:9" ht="14.5">
      <c r="A434" t="s">
        <v>9828</v>
      </c>
      <c r="B434" s="2113" t="str">
        <f t="shared" si="6"/>
        <v>105-906</v>
      </c>
      <c r="C434" t="s">
        <v>6425</v>
      </c>
      <c r="D434" s="2043">
        <v>535401209</v>
      </c>
      <c r="E434" s="2043">
        <v>0</v>
      </c>
      <c r="F434" s="2043">
        <v>9938147645</v>
      </c>
      <c r="G434" s="2043">
        <v>9731651436</v>
      </c>
      <c r="H434" s="2043">
        <v>9938147645</v>
      </c>
      <c r="I434" s="2043">
        <v>9731651436</v>
      </c>
    </row>
    <row r="435" spans="1:9" ht="14.5">
      <c r="A435" t="s">
        <v>9829</v>
      </c>
      <c r="B435" s="2113" t="str">
        <f t="shared" si="6"/>
        <v>106-901</v>
      </c>
      <c r="C435" t="s">
        <v>6426</v>
      </c>
      <c r="D435" s="2043">
        <v>22300493</v>
      </c>
      <c r="E435" s="2043">
        <v>173890</v>
      </c>
      <c r="F435" s="2043">
        <v>1038330486</v>
      </c>
      <c r="G435" s="2043">
        <v>1030459993</v>
      </c>
      <c r="H435" s="2043">
        <v>1038504376</v>
      </c>
      <c r="I435" s="2043">
        <v>1030633883</v>
      </c>
    </row>
    <row r="436" spans="1:9" ht="14.5">
      <c r="A436" t="s">
        <v>9830</v>
      </c>
      <c r="B436" s="2113" t="str">
        <f t="shared" si="6"/>
        <v>107-901</v>
      </c>
      <c r="C436" t="s">
        <v>6427</v>
      </c>
      <c r="D436" s="2043">
        <v>121320325</v>
      </c>
      <c r="E436" s="2043">
        <v>0</v>
      </c>
      <c r="F436" s="2043">
        <v>1647676212</v>
      </c>
      <c r="G436" s="2043">
        <v>1603920887</v>
      </c>
      <c r="H436" s="2043">
        <v>1647676212</v>
      </c>
      <c r="I436" s="2043">
        <v>1603920887</v>
      </c>
    </row>
    <row r="437" spans="1:9" ht="14.5">
      <c r="A437" t="s">
        <v>9831</v>
      </c>
      <c r="B437" s="2113" t="str">
        <f t="shared" si="6"/>
        <v>107-902</v>
      </c>
      <c r="C437" t="s">
        <v>6428</v>
      </c>
      <c r="D437" s="2043">
        <v>113991154</v>
      </c>
      <c r="E437" s="2043">
        <v>0</v>
      </c>
      <c r="F437" s="2043">
        <v>888383542</v>
      </c>
      <c r="G437" s="2043">
        <v>852182388</v>
      </c>
      <c r="H437" s="2043">
        <v>888383542</v>
      </c>
      <c r="I437" s="2043">
        <v>852182388</v>
      </c>
    </row>
    <row r="438" spans="1:9" ht="14.5">
      <c r="A438" t="s">
        <v>10608</v>
      </c>
      <c r="B438" s="2113" t="str">
        <f t="shared" si="6"/>
        <v>107-904</v>
      </c>
      <c r="C438" t="s">
        <v>6429</v>
      </c>
      <c r="D438" s="2043">
        <v>17520310</v>
      </c>
      <c r="E438" s="2043">
        <v>0</v>
      </c>
      <c r="F438" s="2043">
        <v>257680092</v>
      </c>
      <c r="G438" s="2043">
        <v>251769782</v>
      </c>
      <c r="H438" s="2043">
        <v>257680092</v>
      </c>
      <c r="I438" s="2043">
        <v>251769782</v>
      </c>
    </row>
    <row r="439" spans="1:9" ht="14.5">
      <c r="A439" t="s">
        <v>10609</v>
      </c>
      <c r="B439" s="2113" t="str">
        <f t="shared" si="6"/>
        <v>107-905</v>
      </c>
      <c r="C439" t="s">
        <v>6430</v>
      </c>
      <c r="D439" s="2043">
        <v>53908221</v>
      </c>
      <c r="E439" s="2043">
        <v>0</v>
      </c>
      <c r="F439" s="2043">
        <v>740941906</v>
      </c>
      <c r="G439" s="2043">
        <v>725568685</v>
      </c>
      <c r="H439" s="2043">
        <v>740941906</v>
      </c>
      <c r="I439" s="2043">
        <v>725568685</v>
      </c>
    </row>
    <row r="440" spans="1:9" ht="14.5">
      <c r="A440" t="s">
        <v>10610</v>
      </c>
      <c r="B440" s="2113" t="str">
        <f t="shared" si="6"/>
        <v>107-906</v>
      </c>
      <c r="C440" t="s">
        <v>6431</v>
      </c>
      <c r="D440" s="2043">
        <v>65857540</v>
      </c>
      <c r="E440" s="2043">
        <v>0</v>
      </c>
      <c r="F440" s="2043">
        <v>1677125735</v>
      </c>
      <c r="G440" s="2043">
        <v>1654978195</v>
      </c>
      <c r="H440" s="2043">
        <v>1677125735</v>
      </c>
      <c r="I440" s="2043">
        <v>1654978195</v>
      </c>
    </row>
    <row r="441" spans="1:9" ht="14.5">
      <c r="A441" t="s">
        <v>9832</v>
      </c>
      <c r="B441" s="2113" t="str">
        <f t="shared" si="6"/>
        <v>107-907</v>
      </c>
      <c r="C441" t="s">
        <v>6432</v>
      </c>
      <c r="D441" s="2043">
        <v>4910100</v>
      </c>
      <c r="E441" s="2043">
        <v>0</v>
      </c>
      <c r="F441" s="2043">
        <v>53734088</v>
      </c>
      <c r="G441" s="2043">
        <v>52078988</v>
      </c>
      <c r="H441" s="2043">
        <v>53734088</v>
      </c>
      <c r="I441" s="2043">
        <v>52078988</v>
      </c>
    </row>
    <row r="442" spans="1:9" ht="14.5">
      <c r="A442" t="s">
        <v>9833</v>
      </c>
      <c r="B442" s="2113" t="str">
        <f t="shared" si="6"/>
        <v>107-908</v>
      </c>
      <c r="C442" t="s">
        <v>6433</v>
      </c>
      <c r="D442" s="2043">
        <v>4760527</v>
      </c>
      <c r="E442" s="2043">
        <v>0</v>
      </c>
      <c r="F442" s="2043">
        <v>46595242</v>
      </c>
      <c r="G442" s="2043">
        <v>44939715</v>
      </c>
      <c r="H442" s="2043">
        <v>46595242</v>
      </c>
      <c r="I442" s="2043">
        <v>44939715</v>
      </c>
    </row>
    <row r="443" spans="1:9" ht="14.5">
      <c r="A443" t="s">
        <v>10611</v>
      </c>
      <c r="B443" s="2113" t="str">
        <f t="shared" si="6"/>
        <v>107-910</v>
      </c>
      <c r="C443" t="s">
        <v>6434</v>
      </c>
      <c r="D443" s="2043">
        <v>18725126</v>
      </c>
      <c r="E443" s="2043">
        <v>0</v>
      </c>
      <c r="F443" s="2043">
        <v>227071246</v>
      </c>
      <c r="G443" s="2043">
        <v>220826120</v>
      </c>
      <c r="H443" s="2043">
        <v>227071246</v>
      </c>
      <c r="I443" s="2043">
        <v>220826120</v>
      </c>
    </row>
    <row r="444" spans="1:9" ht="14.5">
      <c r="A444" t="s">
        <v>9834</v>
      </c>
      <c r="B444" s="2113" t="str">
        <f t="shared" si="6"/>
        <v>108-902</v>
      </c>
      <c r="C444" t="s">
        <v>6435</v>
      </c>
      <c r="D444" s="2043">
        <v>218394950</v>
      </c>
      <c r="E444" s="2043">
        <v>0</v>
      </c>
      <c r="F444" s="2043">
        <v>1742463780</v>
      </c>
      <c r="G444" s="2043">
        <v>1657448830</v>
      </c>
      <c r="H444" s="2043">
        <v>1742463780</v>
      </c>
      <c r="I444" s="2043">
        <v>1657448830</v>
      </c>
    </row>
    <row r="445" spans="1:9" ht="14.5">
      <c r="A445" t="s">
        <v>9835</v>
      </c>
      <c r="B445" s="2113" t="str">
        <f t="shared" si="6"/>
        <v>108-903</v>
      </c>
      <c r="C445" t="s">
        <v>6436</v>
      </c>
      <c r="D445" s="2043">
        <v>67134673</v>
      </c>
      <c r="E445" s="2043">
        <v>0</v>
      </c>
      <c r="F445" s="2043">
        <v>406888453</v>
      </c>
      <c r="G445" s="2043">
        <v>380658780</v>
      </c>
      <c r="H445" s="2043">
        <v>406888453</v>
      </c>
      <c r="I445" s="2043">
        <v>380658780</v>
      </c>
    </row>
    <row r="446" spans="1:9" ht="14.5">
      <c r="A446" t="s">
        <v>9836</v>
      </c>
      <c r="B446" s="2113" t="str">
        <f t="shared" si="6"/>
        <v>108-904</v>
      </c>
      <c r="C446" t="s">
        <v>6437</v>
      </c>
      <c r="D446" s="2043">
        <v>593131564</v>
      </c>
      <c r="E446" s="2043">
        <v>165972650</v>
      </c>
      <c r="F446" s="2043">
        <v>7500143358</v>
      </c>
      <c r="G446" s="2043">
        <v>7266576794</v>
      </c>
      <c r="H446" s="2043">
        <v>7666116008</v>
      </c>
      <c r="I446" s="2043">
        <v>7432549444</v>
      </c>
    </row>
    <row r="447" spans="1:9" ht="14.5">
      <c r="A447" t="s">
        <v>9837</v>
      </c>
      <c r="B447" s="2113" t="str">
        <f t="shared" si="6"/>
        <v>108-905</v>
      </c>
      <c r="C447" t="s">
        <v>6438</v>
      </c>
      <c r="D447" s="2043">
        <v>28758050</v>
      </c>
      <c r="E447" s="2043">
        <v>0</v>
      </c>
      <c r="F447" s="2043">
        <v>615258067</v>
      </c>
      <c r="G447" s="2043">
        <v>603975017</v>
      </c>
      <c r="H447" s="2043">
        <v>615258067</v>
      </c>
      <c r="I447" s="2043">
        <v>603975017</v>
      </c>
    </row>
    <row r="448" spans="1:9" ht="14.5">
      <c r="A448" t="s">
        <v>9838</v>
      </c>
      <c r="B448" s="2113" t="str">
        <f t="shared" si="6"/>
        <v>108-906</v>
      </c>
      <c r="C448" t="s">
        <v>6439</v>
      </c>
      <c r="D448" s="2043">
        <v>493036277</v>
      </c>
      <c r="E448" s="2043">
        <v>0</v>
      </c>
      <c r="F448" s="2043">
        <v>7989451534</v>
      </c>
      <c r="G448" s="2043">
        <v>7793865257</v>
      </c>
      <c r="H448" s="2043">
        <v>7989451534</v>
      </c>
      <c r="I448" s="2043">
        <v>7793865257</v>
      </c>
    </row>
    <row r="449" spans="1:9" ht="14.5">
      <c r="A449" t="s">
        <v>9839</v>
      </c>
      <c r="B449" s="2113" t="str">
        <f t="shared" si="6"/>
        <v>108-907</v>
      </c>
      <c r="C449" t="s">
        <v>6440</v>
      </c>
      <c r="D449" s="2043">
        <v>78389170</v>
      </c>
      <c r="E449" s="2043">
        <v>0</v>
      </c>
      <c r="F449" s="2043">
        <v>656117973</v>
      </c>
      <c r="G449" s="2043">
        <v>625698803</v>
      </c>
      <c r="H449" s="2043">
        <v>656117973</v>
      </c>
      <c r="I449" s="2043">
        <v>625698803</v>
      </c>
    </row>
    <row r="450" spans="1:9" ht="14.5">
      <c r="A450" t="s">
        <v>9840</v>
      </c>
      <c r="B450" s="2113" t="str">
        <f t="shared" si="6"/>
        <v>108-908</v>
      </c>
      <c r="C450" t="s">
        <v>6441</v>
      </c>
      <c r="D450" s="2043">
        <v>265348597</v>
      </c>
      <c r="E450" s="2043">
        <v>0</v>
      </c>
      <c r="F450" s="2043">
        <v>2430482589</v>
      </c>
      <c r="G450" s="2043">
        <v>2325453992</v>
      </c>
      <c r="H450" s="2043">
        <v>2430482589</v>
      </c>
      <c r="I450" s="2043">
        <v>2325453992</v>
      </c>
    </row>
    <row r="451" spans="1:9" ht="14.5">
      <c r="A451" t="s">
        <v>9841</v>
      </c>
      <c r="B451" s="2113" t="str">
        <f t="shared" ref="B451:B514" si="7">CONCATENATE(RIGHT(LEFT(CONCATENATE("000",A451),6),3),"-",(LEFT(RIGHT(CONCATENATE("000",A451),6),3)))</f>
        <v>108-909</v>
      </c>
      <c r="C451" t="s">
        <v>6442</v>
      </c>
      <c r="D451" s="2043">
        <v>489846285</v>
      </c>
      <c r="E451" s="2043">
        <v>0</v>
      </c>
      <c r="F451" s="2043">
        <v>5334692368</v>
      </c>
      <c r="G451" s="2043">
        <v>5143586083</v>
      </c>
      <c r="H451" s="2043">
        <v>5334692368</v>
      </c>
      <c r="I451" s="2043">
        <v>5143586083</v>
      </c>
    </row>
    <row r="452" spans="1:9" ht="14.5">
      <c r="A452" t="s">
        <v>9842</v>
      </c>
      <c r="B452" s="2113" t="str">
        <f t="shared" si="7"/>
        <v>108-910</v>
      </c>
      <c r="C452" t="s">
        <v>6443</v>
      </c>
      <c r="D452" s="2043">
        <v>27302649</v>
      </c>
      <c r="E452" s="2043">
        <v>0</v>
      </c>
      <c r="F452" s="2043">
        <v>205338349</v>
      </c>
      <c r="G452" s="2043">
        <v>194700700</v>
      </c>
      <c r="H452" s="2043">
        <v>205338349</v>
      </c>
      <c r="I452" s="2043">
        <v>194700700</v>
      </c>
    </row>
    <row r="453" spans="1:9" ht="14.5">
      <c r="A453" t="s">
        <v>9843</v>
      </c>
      <c r="B453" s="2113" t="str">
        <f t="shared" si="7"/>
        <v>108-911</v>
      </c>
      <c r="C453" t="s">
        <v>6444</v>
      </c>
      <c r="D453" s="2043">
        <v>216738577</v>
      </c>
      <c r="E453" s="2043">
        <v>0</v>
      </c>
      <c r="F453" s="2043">
        <v>3574260950</v>
      </c>
      <c r="G453" s="2043">
        <v>3488727373</v>
      </c>
      <c r="H453" s="2043">
        <v>3574260950</v>
      </c>
      <c r="I453" s="2043">
        <v>3488727373</v>
      </c>
    </row>
    <row r="454" spans="1:9" ht="14.5">
      <c r="A454" t="s">
        <v>9844</v>
      </c>
      <c r="B454" s="2113" t="str">
        <f t="shared" si="7"/>
        <v>108-912</v>
      </c>
      <c r="C454" t="s">
        <v>6445</v>
      </c>
      <c r="D454" s="2043">
        <v>359523453</v>
      </c>
      <c r="E454" s="2043">
        <v>0</v>
      </c>
      <c r="F454" s="2043">
        <v>2833554219</v>
      </c>
      <c r="G454" s="2043">
        <v>2691560766</v>
      </c>
      <c r="H454" s="2043">
        <v>2833554219</v>
      </c>
      <c r="I454" s="2043">
        <v>2691560766</v>
      </c>
    </row>
    <row r="455" spans="1:9" ht="14.5">
      <c r="A455" t="s">
        <v>9845</v>
      </c>
      <c r="B455" s="2113" t="str">
        <f t="shared" si="7"/>
        <v>108-913</v>
      </c>
      <c r="C455" t="s">
        <v>6446</v>
      </c>
      <c r="D455" s="2043">
        <v>281939942</v>
      </c>
      <c r="E455" s="2043">
        <v>0</v>
      </c>
      <c r="F455" s="2043">
        <v>2655825585</v>
      </c>
      <c r="G455" s="2043">
        <v>2546595643</v>
      </c>
      <c r="H455" s="2043">
        <v>2655825585</v>
      </c>
      <c r="I455" s="2043">
        <v>2546595643</v>
      </c>
    </row>
    <row r="456" spans="1:9" ht="14.5">
      <c r="A456" t="s">
        <v>9846</v>
      </c>
      <c r="B456" s="2113" t="str">
        <f t="shared" si="7"/>
        <v>108-914</v>
      </c>
      <c r="C456" t="s">
        <v>6447</v>
      </c>
      <c r="D456" s="2043">
        <v>10856196</v>
      </c>
      <c r="E456" s="2043">
        <v>0</v>
      </c>
      <c r="F456" s="2043">
        <v>116590130</v>
      </c>
      <c r="G456" s="2043">
        <v>112483934</v>
      </c>
      <c r="H456" s="2043">
        <v>116590130</v>
      </c>
      <c r="I456" s="2043">
        <v>112483934</v>
      </c>
    </row>
    <row r="457" spans="1:9" ht="14.5">
      <c r="A457" t="s">
        <v>9847</v>
      </c>
      <c r="B457" s="2113" t="str">
        <f t="shared" si="7"/>
        <v>108-915</v>
      </c>
      <c r="C457" t="s">
        <v>6448</v>
      </c>
      <c r="D457" s="2043">
        <v>15498427</v>
      </c>
      <c r="E457" s="2043">
        <v>0</v>
      </c>
      <c r="F457" s="2043">
        <v>149380914</v>
      </c>
      <c r="G457" s="2043">
        <v>143392487</v>
      </c>
      <c r="H457" s="2043">
        <v>149380914</v>
      </c>
      <c r="I457" s="2043">
        <v>143392487</v>
      </c>
    </row>
    <row r="458" spans="1:9" ht="14.5">
      <c r="A458" t="s">
        <v>9848</v>
      </c>
      <c r="B458" s="2113" t="str">
        <f t="shared" si="7"/>
        <v>108-916</v>
      </c>
      <c r="C458" t="s">
        <v>6188</v>
      </c>
      <c r="D458" s="2043">
        <v>62495297</v>
      </c>
      <c r="E458" s="2043">
        <v>0</v>
      </c>
      <c r="F458" s="2043">
        <v>763112687</v>
      </c>
      <c r="G458" s="2043">
        <v>738237390</v>
      </c>
      <c r="H458" s="2043">
        <v>763112687</v>
      </c>
      <c r="I458" s="2043">
        <v>738237390</v>
      </c>
    </row>
    <row r="459" spans="1:9" ht="14.5">
      <c r="A459" t="s">
        <v>9849</v>
      </c>
      <c r="B459" s="2113" t="str">
        <f t="shared" si="7"/>
        <v>109-901</v>
      </c>
      <c r="C459" t="s">
        <v>6449</v>
      </c>
      <c r="D459" s="2043">
        <v>8107086</v>
      </c>
      <c r="E459" s="2043">
        <v>0</v>
      </c>
      <c r="F459" s="2043">
        <v>108178018</v>
      </c>
      <c r="G459" s="2043">
        <v>105290932</v>
      </c>
      <c r="H459" s="2043">
        <v>108178018</v>
      </c>
      <c r="I459" s="2043">
        <v>105290932</v>
      </c>
    </row>
    <row r="460" spans="1:9" ht="14.5">
      <c r="A460" t="s">
        <v>9850</v>
      </c>
      <c r="B460" s="2113" t="str">
        <f t="shared" si="7"/>
        <v>109-902</v>
      </c>
      <c r="C460" t="s">
        <v>6450</v>
      </c>
      <c r="D460" s="2043">
        <v>6348295</v>
      </c>
      <c r="E460" s="2043">
        <v>0</v>
      </c>
      <c r="F460" s="2043">
        <v>107303694</v>
      </c>
      <c r="G460" s="2043">
        <v>104975399</v>
      </c>
      <c r="H460" s="2043">
        <v>107303694</v>
      </c>
      <c r="I460" s="2043">
        <v>104975399</v>
      </c>
    </row>
    <row r="461" spans="1:9" ht="14.5">
      <c r="A461" t="s">
        <v>9851</v>
      </c>
      <c r="B461" s="2113" t="str">
        <f t="shared" si="7"/>
        <v>109-903</v>
      </c>
      <c r="C461" t="s">
        <v>6451</v>
      </c>
      <c r="D461" s="2043">
        <v>11100872</v>
      </c>
      <c r="E461" s="2043">
        <v>0</v>
      </c>
      <c r="F461" s="2043">
        <v>102898322</v>
      </c>
      <c r="G461" s="2043">
        <v>98847450</v>
      </c>
      <c r="H461" s="2043">
        <v>102898322</v>
      </c>
      <c r="I461" s="2043">
        <v>98847450</v>
      </c>
    </row>
    <row r="462" spans="1:9" ht="14.5">
      <c r="A462" t="s">
        <v>10612</v>
      </c>
      <c r="B462" s="2113" t="str">
        <f t="shared" si="7"/>
        <v>109-904</v>
      </c>
      <c r="C462" t="s">
        <v>6452</v>
      </c>
      <c r="D462" s="2043">
        <v>48150241</v>
      </c>
      <c r="E462" s="2043">
        <v>71590430</v>
      </c>
      <c r="F462" s="2043">
        <v>769679920</v>
      </c>
      <c r="G462" s="2043">
        <v>751964679</v>
      </c>
      <c r="H462" s="2043">
        <v>841270350</v>
      </c>
      <c r="I462" s="2043">
        <v>823555109</v>
      </c>
    </row>
    <row r="463" spans="1:9" ht="14.5">
      <c r="A463" t="s">
        <v>9852</v>
      </c>
      <c r="B463" s="2113" t="str">
        <f t="shared" si="7"/>
        <v>109-905</v>
      </c>
      <c r="C463" t="s">
        <v>6079</v>
      </c>
      <c r="D463" s="2043">
        <v>11596047</v>
      </c>
      <c r="E463" s="2043">
        <v>0</v>
      </c>
      <c r="F463" s="2043">
        <v>111089323</v>
      </c>
      <c r="G463" s="2043">
        <v>107083276</v>
      </c>
      <c r="H463" s="2043">
        <v>111089323</v>
      </c>
      <c r="I463" s="2043">
        <v>107083276</v>
      </c>
    </row>
    <row r="464" spans="1:9" ht="14.5">
      <c r="A464" t="s">
        <v>9853</v>
      </c>
      <c r="B464" s="2113" t="str">
        <f t="shared" si="7"/>
        <v>109-907</v>
      </c>
      <c r="C464" t="s">
        <v>6453</v>
      </c>
      <c r="D464" s="2043">
        <v>20170417</v>
      </c>
      <c r="E464" s="2043">
        <v>0</v>
      </c>
      <c r="F464" s="2043">
        <v>245294422</v>
      </c>
      <c r="G464" s="2043">
        <v>238099005</v>
      </c>
      <c r="H464" s="2043">
        <v>245294422</v>
      </c>
      <c r="I464" s="2043">
        <v>238099005</v>
      </c>
    </row>
    <row r="465" spans="1:9" ht="14.5">
      <c r="A465" t="s">
        <v>9854</v>
      </c>
      <c r="B465" s="2113" t="str">
        <f t="shared" si="7"/>
        <v>109-908</v>
      </c>
      <c r="C465" t="s">
        <v>6454</v>
      </c>
      <c r="D465" s="2043">
        <v>3339414</v>
      </c>
      <c r="E465" s="2043">
        <v>0</v>
      </c>
      <c r="F465" s="2043">
        <v>54576942</v>
      </c>
      <c r="G465" s="2043">
        <v>53382528</v>
      </c>
      <c r="H465" s="2043">
        <v>54576942</v>
      </c>
      <c r="I465" s="2043">
        <v>53382528</v>
      </c>
    </row>
    <row r="466" spans="1:9" ht="14.5">
      <c r="A466" t="s">
        <v>9855</v>
      </c>
      <c r="B466" s="2113" t="str">
        <f t="shared" si="7"/>
        <v>109-910</v>
      </c>
      <c r="C466" t="s">
        <v>6455</v>
      </c>
      <c r="D466" s="2043">
        <v>5532237</v>
      </c>
      <c r="E466" s="2043">
        <v>0</v>
      </c>
      <c r="F466" s="2043">
        <v>39853043</v>
      </c>
      <c r="G466" s="2043">
        <v>37890806</v>
      </c>
      <c r="H466" s="2043">
        <v>39853043</v>
      </c>
      <c r="I466" s="2043">
        <v>37890806</v>
      </c>
    </row>
    <row r="467" spans="1:9" ht="14.5">
      <c r="A467" t="s">
        <v>9856</v>
      </c>
      <c r="B467" s="2113" t="str">
        <f t="shared" si="7"/>
        <v>109-911</v>
      </c>
      <c r="C467" t="s">
        <v>6456</v>
      </c>
      <c r="D467" s="2043">
        <v>70609461</v>
      </c>
      <c r="E467" s="2043">
        <v>0</v>
      </c>
      <c r="F467" s="2043">
        <v>715568537</v>
      </c>
      <c r="G467" s="2043">
        <v>690244076</v>
      </c>
      <c r="H467" s="2043">
        <v>715568537</v>
      </c>
      <c r="I467" s="2043">
        <v>690244076</v>
      </c>
    </row>
    <row r="468" spans="1:9" ht="14.5">
      <c r="A468" t="s">
        <v>9857</v>
      </c>
      <c r="B468" s="2113" t="str">
        <f t="shared" si="7"/>
        <v>109-912</v>
      </c>
      <c r="C468" t="s">
        <v>6457</v>
      </c>
      <c r="D468" s="2043">
        <v>9586847</v>
      </c>
      <c r="E468" s="2043">
        <v>0</v>
      </c>
      <c r="F468" s="2043">
        <v>100263208</v>
      </c>
      <c r="G468" s="2043">
        <v>97111361</v>
      </c>
      <c r="H468" s="2043">
        <v>100263208</v>
      </c>
      <c r="I468" s="2043">
        <v>97111361</v>
      </c>
    </row>
    <row r="469" spans="1:9" ht="14.5">
      <c r="A469" t="s">
        <v>9858</v>
      </c>
      <c r="B469" s="2113" t="str">
        <f t="shared" si="7"/>
        <v>109-913</v>
      </c>
      <c r="C469" t="s">
        <v>6458</v>
      </c>
      <c r="D469" s="2043">
        <v>11313551</v>
      </c>
      <c r="E469" s="2043">
        <v>0</v>
      </c>
      <c r="F469" s="2043">
        <v>212052227</v>
      </c>
      <c r="G469" s="2043">
        <v>208133676</v>
      </c>
      <c r="H469" s="2043">
        <v>212052227</v>
      </c>
      <c r="I469" s="2043">
        <v>208133676</v>
      </c>
    </row>
    <row r="470" spans="1:9" ht="14.5">
      <c r="A470" t="s">
        <v>9859</v>
      </c>
      <c r="B470" s="2113" t="str">
        <f t="shared" si="7"/>
        <v>109-914</v>
      </c>
      <c r="C470" t="s">
        <v>6459</v>
      </c>
      <c r="D470" s="2043">
        <v>4347390</v>
      </c>
      <c r="E470" s="2043">
        <v>0</v>
      </c>
      <c r="F470" s="2043">
        <v>41085620</v>
      </c>
      <c r="G470" s="2043">
        <v>39753230</v>
      </c>
      <c r="H470" s="2043">
        <v>41085620</v>
      </c>
      <c r="I470" s="2043">
        <v>39753230</v>
      </c>
    </row>
    <row r="471" spans="1:9" ht="14.5">
      <c r="A471" t="s">
        <v>9860</v>
      </c>
      <c r="B471" s="2113" t="str">
        <f t="shared" si="7"/>
        <v>110-901</v>
      </c>
      <c r="C471" t="s">
        <v>6460</v>
      </c>
      <c r="D471" s="2043">
        <v>6686722</v>
      </c>
      <c r="E471" s="2043">
        <v>0</v>
      </c>
      <c r="F471" s="2043">
        <v>72837626</v>
      </c>
      <c r="G471" s="2043">
        <v>70950904</v>
      </c>
      <c r="H471" s="2043">
        <v>72837626</v>
      </c>
      <c r="I471" s="2043">
        <v>70950904</v>
      </c>
    </row>
    <row r="472" spans="1:9" ht="14.5">
      <c r="A472" t="s">
        <v>9861</v>
      </c>
      <c r="B472" s="2113" t="str">
        <f t="shared" si="7"/>
        <v>110-902</v>
      </c>
      <c r="C472" t="s">
        <v>6461</v>
      </c>
      <c r="D472" s="2043">
        <v>83529936</v>
      </c>
      <c r="E472" s="2043">
        <v>0</v>
      </c>
      <c r="F472" s="2043">
        <v>1302098716</v>
      </c>
      <c r="G472" s="2043">
        <v>1272283780</v>
      </c>
      <c r="H472" s="2043">
        <v>1302098716</v>
      </c>
      <c r="I472" s="2043">
        <v>1272283780</v>
      </c>
    </row>
    <row r="473" spans="1:9" ht="14.5">
      <c r="A473" t="s">
        <v>9862</v>
      </c>
      <c r="B473" s="2113" t="str">
        <f t="shared" si="7"/>
        <v>110-905</v>
      </c>
      <c r="C473" t="s">
        <v>6462</v>
      </c>
      <c r="D473" s="2043">
        <v>8051800</v>
      </c>
      <c r="E473" s="2043">
        <v>0</v>
      </c>
      <c r="F473" s="2043">
        <v>118412337</v>
      </c>
      <c r="G473" s="2043">
        <v>115610537</v>
      </c>
      <c r="H473" s="2043">
        <v>118412337</v>
      </c>
      <c r="I473" s="2043">
        <v>115610537</v>
      </c>
    </row>
    <row r="474" spans="1:9" ht="14.5">
      <c r="A474" t="s">
        <v>9863</v>
      </c>
      <c r="B474" s="2113" t="str">
        <f t="shared" si="7"/>
        <v>110-906</v>
      </c>
      <c r="C474" t="s">
        <v>6463</v>
      </c>
      <c r="D474" s="2043">
        <v>10638613</v>
      </c>
      <c r="E474" s="2043">
        <v>0</v>
      </c>
      <c r="F474" s="2043">
        <v>111244247</v>
      </c>
      <c r="G474" s="2043">
        <v>107865634</v>
      </c>
      <c r="H474" s="2043">
        <v>111244247</v>
      </c>
      <c r="I474" s="2043">
        <v>107865634</v>
      </c>
    </row>
    <row r="475" spans="1:9" ht="14.5">
      <c r="A475" t="s">
        <v>9864</v>
      </c>
      <c r="B475" s="2113" t="str">
        <f t="shared" si="7"/>
        <v>110-907</v>
      </c>
      <c r="C475" t="s">
        <v>6464</v>
      </c>
      <c r="D475" s="2043">
        <v>8084290</v>
      </c>
      <c r="E475" s="2043">
        <v>0</v>
      </c>
      <c r="F475" s="2043">
        <v>893570081</v>
      </c>
      <c r="G475" s="2043">
        <v>890915791</v>
      </c>
      <c r="H475" s="2043">
        <v>893570081</v>
      </c>
      <c r="I475" s="2043">
        <v>890915791</v>
      </c>
    </row>
    <row r="476" spans="1:9" ht="14.5">
      <c r="A476" t="s">
        <v>9865</v>
      </c>
      <c r="B476" s="2113" t="str">
        <f t="shared" si="7"/>
        <v>110-908</v>
      </c>
      <c r="C476" t="s">
        <v>6465</v>
      </c>
      <c r="D476" s="2043">
        <v>2540840</v>
      </c>
      <c r="E476" s="2043">
        <v>0</v>
      </c>
      <c r="F476" s="2043">
        <v>54540583</v>
      </c>
      <c r="G476" s="2043">
        <v>53769743</v>
      </c>
      <c r="H476" s="2043">
        <v>54540583</v>
      </c>
      <c r="I476" s="2043">
        <v>53769743</v>
      </c>
    </row>
    <row r="477" spans="1:9" ht="14.5">
      <c r="A477" t="s">
        <v>9866</v>
      </c>
      <c r="B477" s="2113" t="str">
        <f t="shared" si="7"/>
        <v>111-901</v>
      </c>
      <c r="C477" t="s">
        <v>6466</v>
      </c>
      <c r="D477" s="2043">
        <v>359537775</v>
      </c>
      <c r="E477" s="2043">
        <v>0</v>
      </c>
      <c r="F477" s="2043">
        <v>6795632428</v>
      </c>
      <c r="G477" s="2043">
        <v>6661994653</v>
      </c>
      <c r="H477" s="2043">
        <v>6795632428</v>
      </c>
      <c r="I477" s="2043">
        <v>6661994653</v>
      </c>
    </row>
    <row r="478" spans="1:9" ht="14.5">
      <c r="A478" t="s">
        <v>9867</v>
      </c>
      <c r="B478" s="2113" t="str">
        <f t="shared" si="7"/>
        <v>111-902</v>
      </c>
      <c r="C478" t="s">
        <v>6467</v>
      </c>
      <c r="D478" s="2043">
        <v>12627728</v>
      </c>
      <c r="E478" s="2043">
        <v>0</v>
      </c>
      <c r="F478" s="2043">
        <v>243419224</v>
      </c>
      <c r="G478" s="2043">
        <v>238876496</v>
      </c>
      <c r="H478" s="2043">
        <v>243419224</v>
      </c>
      <c r="I478" s="2043">
        <v>238876496</v>
      </c>
    </row>
    <row r="479" spans="1:9" ht="14.5">
      <c r="A479" t="s">
        <v>9868</v>
      </c>
      <c r="B479" s="2113" t="str">
        <f t="shared" si="7"/>
        <v>111-903</v>
      </c>
      <c r="C479" t="s">
        <v>6468</v>
      </c>
      <c r="D479" s="2043">
        <v>17339217</v>
      </c>
      <c r="E479" s="2043">
        <v>0</v>
      </c>
      <c r="F479" s="2043">
        <v>304112513</v>
      </c>
      <c r="G479" s="2043">
        <v>297828296</v>
      </c>
      <c r="H479" s="2043">
        <v>304112513</v>
      </c>
      <c r="I479" s="2043">
        <v>297828296</v>
      </c>
    </row>
    <row r="480" spans="1:9" ht="14.5">
      <c r="A480" t="s">
        <v>9869</v>
      </c>
      <c r="B480" s="2113" t="str">
        <f t="shared" si="7"/>
        <v>112-901</v>
      </c>
      <c r="C480" t="s">
        <v>6469</v>
      </c>
      <c r="D480" s="2043">
        <v>123476257</v>
      </c>
      <c r="E480" s="2043">
        <v>0</v>
      </c>
      <c r="F480" s="2043">
        <v>1659978373</v>
      </c>
      <c r="G480" s="2043">
        <v>1613767116</v>
      </c>
      <c r="H480" s="2043">
        <v>1659978373</v>
      </c>
      <c r="I480" s="2043">
        <v>1613767116</v>
      </c>
    </row>
    <row r="481" spans="1:9" ht="14.5">
      <c r="A481" t="s">
        <v>9870</v>
      </c>
      <c r="B481" s="2113" t="str">
        <f t="shared" si="7"/>
        <v>112-905</v>
      </c>
      <c r="C481" t="s">
        <v>6470</v>
      </c>
      <c r="D481" s="2043">
        <v>13785094</v>
      </c>
      <c r="E481" s="2043">
        <v>0</v>
      </c>
      <c r="F481" s="2043">
        <v>95215969</v>
      </c>
      <c r="G481" s="2043">
        <v>90445875</v>
      </c>
      <c r="H481" s="2043">
        <v>95215969</v>
      </c>
      <c r="I481" s="2043">
        <v>90445875</v>
      </c>
    </row>
    <row r="482" spans="1:9" ht="14.5">
      <c r="A482" t="s">
        <v>9871</v>
      </c>
      <c r="B482" s="2113" t="str">
        <f t="shared" si="7"/>
        <v>112-906</v>
      </c>
      <c r="C482" t="s">
        <v>6471</v>
      </c>
      <c r="D482" s="2043">
        <v>14442899</v>
      </c>
      <c r="E482" s="2043">
        <v>0</v>
      </c>
      <c r="F482" s="2043">
        <v>106149334</v>
      </c>
      <c r="G482" s="2043">
        <v>101966435</v>
      </c>
      <c r="H482" s="2043">
        <v>106149334</v>
      </c>
      <c r="I482" s="2043">
        <v>101966435</v>
      </c>
    </row>
    <row r="483" spans="1:9" ht="14.5">
      <c r="A483" t="s">
        <v>9872</v>
      </c>
      <c r="B483" s="2113" t="str">
        <f t="shared" si="7"/>
        <v>112-907</v>
      </c>
      <c r="C483" t="s">
        <v>6472</v>
      </c>
      <c r="D483" s="2043">
        <v>10934098</v>
      </c>
      <c r="E483" s="2043">
        <v>0</v>
      </c>
      <c r="F483" s="2043">
        <v>74609110</v>
      </c>
      <c r="G483" s="2043">
        <v>70830012</v>
      </c>
      <c r="H483" s="2043">
        <v>74609110</v>
      </c>
      <c r="I483" s="2043">
        <v>70830012</v>
      </c>
    </row>
    <row r="484" spans="1:9" ht="14.5">
      <c r="A484" t="s">
        <v>9873</v>
      </c>
      <c r="B484" s="2113" t="str">
        <f t="shared" si="7"/>
        <v>112-908</v>
      </c>
      <c r="C484" t="s">
        <v>6473</v>
      </c>
      <c r="D484" s="2043">
        <v>19736331</v>
      </c>
      <c r="E484" s="2043">
        <v>0</v>
      </c>
      <c r="F484" s="2043">
        <v>194959862</v>
      </c>
      <c r="G484" s="2043">
        <v>188247911</v>
      </c>
      <c r="H484" s="2043">
        <v>194959862</v>
      </c>
      <c r="I484" s="2043">
        <v>188247911</v>
      </c>
    </row>
    <row r="485" spans="1:9" ht="14.5">
      <c r="A485" t="s">
        <v>9874</v>
      </c>
      <c r="B485" s="2113" t="str">
        <f t="shared" si="7"/>
        <v>112-909</v>
      </c>
      <c r="C485" t="s">
        <v>6474</v>
      </c>
      <c r="D485" s="2043">
        <v>6986347</v>
      </c>
      <c r="E485" s="2043">
        <v>0</v>
      </c>
      <c r="F485" s="2043">
        <v>74965563</v>
      </c>
      <c r="G485" s="2043">
        <v>72839216</v>
      </c>
      <c r="H485" s="2043">
        <v>74965563</v>
      </c>
      <c r="I485" s="2043">
        <v>72839216</v>
      </c>
    </row>
    <row r="486" spans="1:9" ht="14.5">
      <c r="A486" t="s">
        <v>9875</v>
      </c>
      <c r="B486" s="2113" t="str">
        <f t="shared" si="7"/>
        <v>112-910</v>
      </c>
      <c r="C486" t="s">
        <v>6475</v>
      </c>
      <c r="D486" s="2043">
        <v>8396343</v>
      </c>
      <c r="E486" s="2043">
        <v>0</v>
      </c>
      <c r="F486" s="2043">
        <v>117769298</v>
      </c>
      <c r="G486" s="2043">
        <v>114922955</v>
      </c>
      <c r="H486" s="2043">
        <v>117769298</v>
      </c>
      <c r="I486" s="2043">
        <v>114922955</v>
      </c>
    </row>
    <row r="487" spans="1:9" ht="14.5">
      <c r="A487" t="s">
        <v>9876</v>
      </c>
      <c r="B487" s="2113" t="str">
        <f t="shared" si="7"/>
        <v>113-901</v>
      </c>
      <c r="C487" t="s">
        <v>6476</v>
      </c>
      <c r="D487" s="2043">
        <v>45855268</v>
      </c>
      <c r="E487" s="2043">
        <v>71231430</v>
      </c>
      <c r="F487" s="2043">
        <v>512000153</v>
      </c>
      <c r="G487" s="2043">
        <v>494929885</v>
      </c>
      <c r="H487" s="2043">
        <v>583231583</v>
      </c>
      <c r="I487" s="2043">
        <v>566161315</v>
      </c>
    </row>
    <row r="488" spans="1:9" ht="14.5">
      <c r="A488" t="s">
        <v>9877</v>
      </c>
      <c r="B488" s="2113" t="str">
        <f t="shared" si="7"/>
        <v>113-902</v>
      </c>
      <c r="C488" t="s">
        <v>6477</v>
      </c>
      <c r="D488" s="2043">
        <v>26905488</v>
      </c>
      <c r="E488" s="2043">
        <v>0</v>
      </c>
      <c r="F488" s="2043">
        <v>378857214</v>
      </c>
      <c r="G488" s="2043">
        <v>368796726</v>
      </c>
      <c r="H488" s="2043">
        <v>378857214</v>
      </c>
      <c r="I488" s="2043">
        <v>368796726</v>
      </c>
    </row>
    <row r="489" spans="1:9" ht="14.5">
      <c r="A489" t="s">
        <v>9878</v>
      </c>
      <c r="B489" s="2113" t="str">
        <f t="shared" si="7"/>
        <v>113-903</v>
      </c>
      <c r="C489" t="s">
        <v>6478</v>
      </c>
      <c r="D489" s="2043">
        <v>18365860</v>
      </c>
      <c r="E489" s="2043">
        <v>0</v>
      </c>
      <c r="F489" s="2043">
        <v>290954518</v>
      </c>
      <c r="G489" s="2043">
        <v>284318658</v>
      </c>
      <c r="H489" s="2043">
        <v>290954518</v>
      </c>
      <c r="I489" s="2043">
        <v>284318658</v>
      </c>
    </row>
    <row r="490" spans="1:9" ht="14.5">
      <c r="A490" t="s">
        <v>10613</v>
      </c>
      <c r="B490" s="2113" t="str">
        <f t="shared" si="7"/>
        <v>113-905</v>
      </c>
      <c r="C490" t="s">
        <v>6479</v>
      </c>
      <c r="D490" s="2043">
        <v>16226046</v>
      </c>
      <c r="E490" s="2043">
        <v>0</v>
      </c>
      <c r="F490" s="2043">
        <v>201950457</v>
      </c>
      <c r="G490" s="2043">
        <v>195969411</v>
      </c>
      <c r="H490" s="2043">
        <v>201950457</v>
      </c>
      <c r="I490" s="2043">
        <v>195969411</v>
      </c>
    </row>
    <row r="491" spans="1:9" ht="14.5">
      <c r="A491" t="s">
        <v>10614</v>
      </c>
      <c r="B491" s="2113" t="str">
        <f t="shared" si="7"/>
        <v>113-906</v>
      </c>
      <c r="C491" t="s">
        <v>6480</v>
      </c>
      <c r="D491" s="2043">
        <v>15035270</v>
      </c>
      <c r="E491" s="2043">
        <v>0</v>
      </c>
      <c r="F491" s="2043">
        <v>143593626</v>
      </c>
      <c r="G491" s="2043">
        <v>138158356</v>
      </c>
      <c r="H491" s="2043">
        <v>143593626</v>
      </c>
      <c r="I491" s="2043">
        <v>138158356</v>
      </c>
    </row>
    <row r="492" spans="1:9" ht="14.5">
      <c r="A492" t="s">
        <v>10615</v>
      </c>
      <c r="B492" s="2113" t="str">
        <f t="shared" si="7"/>
        <v>114-901</v>
      </c>
      <c r="C492" t="s">
        <v>6481</v>
      </c>
      <c r="D492" s="2043">
        <v>115128812</v>
      </c>
      <c r="E492" s="2043">
        <v>74520440</v>
      </c>
      <c r="F492" s="2043">
        <v>3043317338</v>
      </c>
      <c r="G492" s="2043">
        <v>3001163526</v>
      </c>
      <c r="H492" s="2043">
        <v>3117837778</v>
      </c>
      <c r="I492" s="2043">
        <v>3075683966</v>
      </c>
    </row>
    <row r="493" spans="1:9" ht="14.5">
      <c r="A493" t="s">
        <v>10616</v>
      </c>
      <c r="B493" s="2113" t="str">
        <f t="shared" si="7"/>
        <v>114-902</v>
      </c>
      <c r="C493" t="s">
        <v>6482</v>
      </c>
      <c r="D493" s="2043">
        <v>25197394</v>
      </c>
      <c r="E493" s="2043">
        <v>0</v>
      </c>
      <c r="F493" s="2043">
        <v>666773966</v>
      </c>
      <c r="G493" s="2043">
        <v>657446572</v>
      </c>
      <c r="H493" s="2043">
        <v>666773966</v>
      </c>
      <c r="I493" s="2043">
        <v>657446572</v>
      </c>
    </row>
    <row r="494" spans="1:9" ht="14.5">
      <c r="A494" t="s">
        <v>10617</v>
      </c>
      <c r="B494" s="2113" t="str">
        <f t="shared" si="7"/>
        <v>114-904</v>
      </c>
      <c r="C494" t="s">
        <v>6483</v>
      </c>
      <c r="D494" s="2043">
        <v>16659854</v>
      </c>
      <c r="E494" s="2043">
        <v>0</v>
      </c>
      <c r="F494" s="2043">
        <v>693117376</v>
      </c>
      <c r="G494" s="2043">
        <v>687137522</v>
      </c>
      <c r="H494" s="2043">
        <v>693117376</v>
      </c>
      <c r="I494" s="2043">
        <v>687137522</v>
      </c>
    </row>
    <row r="495" spans="1:9" ht="14.5">
      <c r="A495" t="s">
        <v>9879</v>
      </c>
      <c r="B495" s="2113" t="str">
        <f t="shared" si="7"/>
        <v>115-901</v>
      </c>
      <c r="C495" t="s">
        <v>6484</v>
      </c>
      <c r="D495" s="2043">
        <v>9366624</v>
      </c>
      <c r="E495" s="2043">
        <v>0</v>
      </c>
      <c r="F495" s="2043">
        <v>288261013</v>
      </c>
      <c r="G495" s="2043">
        <v>285509389</v>
      </c>
      <c r="H495" s="2043">
        <v>288261013</v>
      </c>
      <c r="I495" s="2043">
        <v>285509389</v>
      </c>
    </row>
    <row r="496" spans="1:9" ht="14.5">
      <c r="A496" t="s">
        <v>9880</v>
      </c>
      <c r="B496" s="2113" t="str">
        <f t="shared" si="7"/>
        <v>115-902</v>
      </c>
      <c r="C496" t="s">
        <v>6485</v>
      </c>
      <c r="D496" s="2043">
        <v>2395749</v>
      </c>
      <c r="E496" s="2043">
        <v>0</v>
      </c>
      <c r="F496" s="2043">
        <v>166338170</v>
      </c>
      <c r="G496" s="2043">
        <v>165592421</v>
      </c>
      <c r="H496" s="2043">
        <v>166338170</v>
      </c>
      <c r="I496" s="2043">
        <v>165592421</v>
      </c>
    </row>
    <row r="497" spans="1:9" ht="14.5">
      <c r="A497" t="s">
        <v>9881</v>
      </c>
      <c r="B497" s="2113" t="str">
        <f t="shared" si="7"/>
        <v>115-903</v>
      </c>
      <c r="C497" t="s">
        <v>6486</v>
      </c>
      <c r="D497" s="2043">
        <v>2470293</v>
      </c>
      <c r="E497" s="2043">
        <v>0</v>
      </c>
      <c r="F497" s="2043">
        <v>68911071</v>
      </c>
      <c r="G497" s="2043">
        <v>68285778</v>
      </c>
      <c r="H497" s="2043">
        <v>68911071</v>
      </c>
      <c r="I497" s="2043">
        <v>68285778</v>
      </c>
    </row>
    <row r="498" spans="1:9" ht="14.5">
      <c r="A498" t="s">
        <v>9882</v>
      </c>
      <c r="B498" s="2113" t="str">
        <f t="shared" si="7"/>
        <v>116-901</v>
      </c>
      <c r="C498" t="s">
        <v>6487</v>
      </c>
      <c r="D498" s="2043">
        <v>51015091</v>
      </c>
      <c r="E498" s="2043">
        <v>0</v>
      </c>
      <c r="F498" s="2043">
        <v>705598775</v>
      </c>
      <c r="G498" s="2043">
        <v>687358684</v>
      </c>
      <c r="H498" s="2043">
        <v>705598775</v>
      </c>
      <c r="I498" s="2043">
        <v>687358684</v>
      </c>
    </row>
    <row r="499" spans="1:9" ht="14.5">
      <c r="A499" t="s">
        <v>9883</v>
      </c>
      <c r="B499" s="2113" t="str">
        <f t="shared" si="7"/>
        <v>116-902</v>
      </c>
      <c r="C499" t="s">
        <v>6488</v>
      </c>
      <c r="D499" s="2043">
        <v>15803632</v>
      </c>
      <c r="E499" s="2043">
        <v>0</v>
      </c>
      <c r="F499" s="2043">
        <v>154060616</v>
      </c>
      <c r="G499" s="2043">
        <v>148666984</v>
      </c>
      <c r="H499" s="2043">
        <v>154060616</v>
      </c>
      <c r="I499" s="2043">
        <v>148666984</v>
      </c>
    </row>
    <row r="500" spans="1:9" ht="14.5">
      <c r="A500" t="s">
        <v>9884</v>
      </c>
      <c r="B500" s="2113" t="str">
        <f t="shared" si="7"/>
        <v>116-903</v>
      </c>
      <c r="C500" t="s">
        <v>6489</v>
      </c>
      <c r="D500" s="2043">
        <v>38830475</v>
      </c>
      <c r="E500" s="2043">
        <v>0</v>
      </c>
      <c r="F500" s="2043">
        <v>565984391</v>
      </c>
      <c r="G500" s="2043">
        <v>552023916</v>
      </c>
      <c r="H500" s="2043">
        <v>565984391</v>
      </c>
      <c r="I500" s="2043">
        <v>552023916</v>
      </c>
    </row>
    <row r="501" spans="1:9" ht="14.5">
      <c r="A501" t="s">
        <v>9885</v>
      </c>
      <c r="B501" s="2113" t="str">
        <f t="shared" si="7"/>
        <v>116-905</v>
      </c>
      <c r="C501" t="s">
        <v>6490</v>
      </c>
      <c r="D501" s="2043">
        <v>149101034</v>
      </c>
      <c r="E501" s="2043">
        <v>0</v>
      </c>
      <c r="F501" s="2043">
        <v>2750875592</v>
      </c>
      <c r="G501" s="2043">
        <v>2694324558</v>
      </c>
      <c r="H501" s="2043">
        <v>2750875592</v>
      </c>
      <c r="I501" s="2043">
        <v>2694324558</v>
      </c>
    </row>
    <row r="502" spans="1:9" ht="14.5">
      <c r="A502" t="s">
        <v>9886</v>
      </c>
      <c r="B502" s="2113" t="str">
        <f t="shared" si="7"/>
        <v>116-906</v>
      </c>
      <c r="C502" t="s">
        <v>6491</v>
      </c>
      <c r="D502" s="2043">
        <v>33347617</v>
      </c>
      <c r="E502" s="2043">
        <v>0</v>
      </c>
      <c r="F502" s="2043">
        <v>338516838</v>
      </c>
      <c r="G502" s="2043">
        <v>327219221</v>
      </c>
      <c r="H502" s="2043">
        <v>338516838</v>
      </c>
      <c r="I502" s="2043">
        <v>327219221</v>
      </c>
    </row>
    <row r="503" spans="1:9" ht="14.5">
      <c r="A503" t="s">
        <v>9887</v>
      </c>
      <c r="B503" s="2113" t="str">
        <f t="shared" si="7"/>
        <v>116-908</v>
      </c>
      <c r="C503" t="s">
        <v>6492</v>
      </c>
      <c r="D503" s="2043">
        <v>104248925</v>
      </c>
      <c r="E503" s="2043">
        <v>0</v>
      </c>
      <c r="F503" s="2043">
        <v>1111317750</v>
      </c>
      <c r="G503" s="2043">
        <v>1082098825</v>
      </c>
      <c r="H503" s="2043">
        <v>1111317750</v>
      </c>
      <c r="I503" s="2043">
        <v>1082098825</v>
      </c>
    </row>
    <row r="504" spans="1:9" ht="14.5">
      <c r="A504" t="s">
        <v>9888</v>
      </c>
      <c r="B504" s="2113" t="str">
        <f t="shared" si="7"/>
        <v>116-909</v>
      </c>
      <c r="C504" t="s">
        <v>6493</v>
      </c>
      <c r="D504" s="2043">
        <v>19448163</v>
      </c>
      <c r="E504" s="2043">
        <v>0</v>
      </c>
      <c r="F504" s="2043">
        <v>168039719</v>
      </c>
      <c r="G504" s="2043">
        <v>161236556</v>
      </c>
      <c r="H504" s="2043">
        <v>168039719</v>
      </c>
      <c r="I504" s="2043">
        <v>161236556</v>
      </c>
    </row>
    <row r="505" spans="1:9" ht="14.5">
      <c r="A505" t="s">
        <v>9889</v>
      </c>
      <c r="B505" s="2113" t="str">
        <f t="shared" si="7"/>
        <v>116-910</v>
      </c>
      <c r="C505" t="s">
        <v>6494</v>
      </c>
      <c r="D505" s="2043">
        <v>15316751</v>
      </c>
      <c r="E505" s="2043">
        <v>0</v>
      </c>
      <c r="F505" s="2043">
        <v>135782534</v>
      </c>
      <c r="G505" s="2043">
        <v>130920783</v>
      </c>
      <c r="H505" s="2043">
        <v>135782534</v>
      </c>
      <c r="I505" s="2043">
        <v>130920783</v>
      </c>
    </row>
    <row r="506" spans="1:9" ht="14.5">
      <c r="A506" t="s">
        <v>9890</v>
      </c>
      <c r="B506" s="2113" t="str">
        <f t="shared" si="7"/>
        <v>116-915</v>
      </c>
      <c r="C506" t="s">
        <v>6495</v>
      </c>
      <c r="D506" s="2043">
        <v>21908369</v>
      </c>
      <c r="E506" s="2043">
        <v>0</v>
      </c>
      <c r="F506" s="2043">
        <v>274695228</v>
      </c>
      <c r="G506" s="2043">
        <v>267306859</v>
      </c>
      <c r="H506" s="2043">
        <v>274695228</v>
      </c>
      <c r="I506" s="2043">
        <v>267306859</v>
      </c>
    </row>
    <row r="507" spans="1:9" ht="14.5">
      <c r="A507" t="s">
        <v>9891</v>
      </c>
      <c r="B507" s="2113" t="str">
        <f t="shared" si="7"/>
        <v>116-916</v>
      </c>
      <c r="C507" t="s">
        <v>6496</v>
      </c>
      <c r="D507" s="2043">
        <v>3356221</v>
      </c>
      <c r="E507" s="2043">
        <v>0</v>
      </c>
      <c r="F507" s="2043">
        <v>25465520</v>
      </c>
      <c r="G507" s="2043">
        <v>24404299</v>
      </c>
      <c r="H507" s="2043">
        <v>25465520</v>
      </c>
      <c r="I507" s="2043">
        <v>24404299</v>
      </c>
    </row>
    <row r="508" spans="1:9" ht="14.5">
      <c r="A508" t="s">
        <v>9892</v>
      </c>
      <c r="B508" s="2113" t="str">
        <f t="shared" si="7"/>
        <v>117-901</v>
      </c>
      <c r="C508" t="s">
        <v>6497</v>
      </c>
      <c r="D508" s="2043">
        <v>83432140</v>
      </c>
      <c r="E508" s="2043">
        <v>363069840</v>
      </c>
      <c r="F508" s="2043">
        <v>665267463</v>
      </c>
      <c r="G508" s="2043">
        <v>633930323</v>
      </c>
      <c r="H508" s="2043">
        <v>1028337303</v>
      </c>
      <c r="I508" s="2043">
        <v>997000163</v>
      </c>
    </row>
    <row r="509" spans="1:9" ht="14.5">
      <c r="A509" t="s">
        <v>9893</v>
      </c>
      <c r="B509" s="2113" t="str">
        <f t="shared" si="7"/>
        <v>117-903</v>
      </c>
      <c r="C509" t="s">
        <v>6498</v>
      </c>
      <c r="D509" s="2043">
        <v>34989560</v>
      </c>
      <c r="E509" s="2043">
        <v>0</v>
      </c>
      <c r="F509" s="2043">
        <v>141114878</v>
      </c>
      <c r="G509" s="2043">
        <v>129315318</v>
      </c>
      <c r="H509" s="2043">
        <v>141114878</v>
      </c>
      <c r="I509" s="2043">
        <v>129315318</v>
      </c>
    </row>
    <row r="510" spans="1:9" ht="14.5">
      <c r="A510" t="s">
        <v>9894</v>
      </c>
      <c r="B510" s="2113" t="str">
        <f t="shared" si="7"/>
        <v>117-904</v>
      </c>
      <c r="C510" t="s">
        <v>8431</v>
      </c>
      <c r="D510" s="2043">
        <v>16980550</v>
      </c>
      <c r="E510" s="2043">
        <v>0</v>
      </c>
      <c r="F510" s="2043">
        <v>1237048167</v>
      </c>
      <c r="G510" s="2043">
        <v>1230732617</v>
      </c>
      <c r="H510" s="2043">
        <v>1237048167</v>
      </c>
      <c r="I510" s="2043">
        <v>1230732617</v>
      </c>
    </row>
    <row r="511" spans="1:9" ht="14.5">
      <c r="A511" t="s">
        <v>9895</v>
      </c>
      <c r="B511" s="2113" t="str">
        <f t="shared" si="7"/>
        <v>117-907</v>
      </c>
      <c r="C511" t="s">
        <v>6499</v>
      </c>
      <c r="D511" s="2043">
        <v>579540</v>
      </c>
      <c r="E511" s="2043">
        <v>0</v>
      </c>
      <c r="F511" s="2043">
        <v>36979969</v>
      </c>
      <c r="G511" s="2043">
        <v>36790429</v>
      </c>
      <c r="H511" s="2043">
        <v>36979969</v>
      </c>
      <c r="I511" s="2043">
        <v>36790429</v>
      </c>
    </row>
    <row r="512" spans="1:9" ht="14.5">
      <c r="A512" t="s">
        <v>9896</v>
      </c>
      <c r="B512" s="2113" t="str">
        <f t="shared" si="7"/>
        <v>118-902</v>
      </c>
      <c r="C512" t="s">
        <v>6500</v>
      </c>
      <c r="D512" s="2043">
        <v>10044815</v>
      </c>
      <c r="E512" s="2043">
        <v>275164170</v>
      </c>
      <c r="F512" s="2043">
        <v>1334854664</v>
      </c>
      <c r="G512" s="2043">
        <v>1331439849</v>
      </c>
      <c r="H512" s="2043">
        <v>1610018834</v>
      </c>
      <c r="I512" s="2043">
        <v>1606604019</v>
      </c>
    </row>
    <row r="513" spans="1:9" ht="14.5">
      <c r="A513" t="s">
        <v>10618</v>
      </c>
      <c r="B513" s="2113" t="str">
        <f t="shared" si="7"/>
        <v>119-901</v>
      </c>
      <c r="C513" t="s">
        <v>6501</v>
      </c>
      <c r="D513" s="2043">
        <v>7464897</v>
      </c>
      <c r="E513" s="2043">
        <v>72833196</v>
      </c>
      <c r="F513" s="2043">
        <v>147116055</v>
      </c>
      <c r="G513" s="2043">
        <v>144871158</v>
      </c>
      <c r="H513" s="2043">
        <v>219949251</v>
      </c>
      <c r="I513" s="2043">
        <v>217704354</v>
      </c>
    </row>
    <row r="514" spans="1:9" ht="14.5">
      <c r="A514" t="s">
        <v>10619</v>
      </c>
      <c r="B514" s="2113" t="str">
        <f t="shared" si="7"/>
        <v>119-902</v>
      </c>
      <c r="C514" t="s">
        <v>6502</v>
      </c>
      <c r="D514" s="2043">
        <v>31233100</v>
      </c>
      <c r="E514" s="2043">
        <v>52196450</v>
      </c>
      <c r="F514" s="2043">
        <v>796545982</v>
      </c>
      <c r="G514" s="2043">
        <v>785862882</v>
      </c>
      <c r="H514" s="2043">
        <v>848742432</v>
      </c>
      <c r="I514" s="2043">
        <v>838059332</v>
      </c>
    </row>
    <row r="515" spans="1:9" ht="14.5">
      <c r="A515" t="s">
        <v>10620</v>
      </c>
      <c r="B515" s="2113" t="str">
        <f t="shared" ref="B515:B578" si="8">CONCATENATE(RIGHT(LEFT(CONCATENATE("000",A515),6),3),"-",(LEFT(RIGHT(CONCATENATE("000",A515),6),3)))</f>
        <v>119-903</v>
      </c>
      <c r="C515" t="s">
        <v>6503</v>
      </c>
      <c r="D515" s="2043">
        <v>14056780</v>
      </c>
      <c r="E515" s="2043">
        <v>990330</v>
      </c>
      <c r="F515" s="2043">
        <v>272451656</v>
      </c>
      <c r="G515" s="2043">
        <v>267589876</v>
      </c>
      <c r="H515" s="2043">
        <v>273441986</v>
      </c>
      <c r="I515" s="2043">
        <v>268580206</v>
      </c>
    </row>
    <row r="516" spans="1:9" ht="14.5">
      <c r="A516" t="s">
        <v>9897</v>
      </c>
      <c r="B516" s="2113" t="str">
        <f t="shared" si="8"/>
        <v>120-901</v>
      </c>
      <c r="C516" t="s">
        <v>6504</v>
      </c>
      <c r="D516" s="2043">
        <v>43638064</v>
      </c>
      <c r="E516" s="2043">
        <v>49993400</v>
      </c>
      <c r="F516" s="2043">
        <v>621192484</v>
      </c>
      <c r="G516" s="2043">
        <v>605274420</v>
      </c>
      <c r="H516" s="2043">
        <v>671185884</v>
      </c>
      <c r="I516" s="2043">
        <v>655267820</v>
      </c>
    </row>
    <row r="517" spans="1:9" ht="14.5">
      <c r="A517" t="s">
        <v>9898</v>
      </c>
      <c r="B517" s="2113" t="str">
        <f t="shared" si="8"/>
        <v>120-902</v>
      </c>
      <c r="C517" t="s">
        <v>6505</v>
      </c>
      <c r="D517" s="2043">
        <v>19084918</v>
      </c>
      <c r="E517" s="2043">
        <v>271311600</v>
      </c>
      <c r="F517" s="2043">
        <v>271855382</v>
      </c>
      <c r="G517" s="2043">
        <v>264785464</v>
      </c>
      <c r="H517" s="2043">
        <v>543166982</v>
      </c>
      <c r="I517" s="2043">
        <v>536097064</v>
      </c>
    </row>
    <row r="518" spans="1:9" ht="14.5">
      <c r="A518" t="s">
        <v>9899</v>
      </c>
      <c r="B518" s="2113" t="str">
        <f t="shared" si="8"/>
        <v>120-905</v>
      </c>
      <c r="C518" t="s">
        <v>6506</v>
      </c>
      <c r="D518" s="2043">
        <v>28104515</v>
      </c>
      <c r="E518" s="2043">
        <v>0</v>
      </c>
      <c r="F518" s="2043">
        <v>1126402779</v>
      </c>
      <c r="G518" s="2043">
        <v>1116298264</v>
      </c>
      <c r="H518" s="2043">
        <v>1126402779</v>
      </c>
      <c r="I518" s="2043">
        <v>1116298264</v>
      </c>
    </row>
    <row r="519" spans="1:9" ht="14.5">
      <c r="A519" t="s">
        <v>9900</v>
      </c>
      <c r="B519" s="2113" t="str">
        <f t="shared" si="8"/>
        <v>121-902</v>
      </c>
      <c r="C519" t="s">
        <v>6507</v>
      </c>
      <c r="D519" s="2043">
        <v>19976904</v>
      </c>
      <c r="E519" s="2043">
        <v>0</v>
      </c>
      <c r="F519" s="2043">
        <v>359569645</v>
      </c>
      <c r="G519" s="2043">
        <v>352567741</v>
      </c>
      <c r="H519" s="2043">
        <v>359569645</v>
      </c>
      <c r="I519" s="2043">
        <v>352567741</v>
      </c>
    </row>
    <row r="520" spans="1:9" ht="14.5">
      <c r="A520" t="s">
        <v>9901</v>
      </c>
      <c r="B520" s="2113" t="str">
        <f t="shared" si="8"/>
        <v>121-903</v>
      </c>
      <c r="C520" t="s">
        <v>6508</v>
      </c>
      <c r="D520" s="2043">
        <v>55371835</v>
      </c>
      <c r="E520" s="2043">
        <v>0</v>
      </c>
      <c r="F520" s="2043">
        <v>415429163</v>
      </c>
      <c r="G520" s="2043">
        <v>397062328</v>
      </c>
      <c r="H520" s="2043">
        <v>415429163</v>
      </c>
      <c r="I520" s="2043">
        <v>397062328</v>
      </c>
    </row>
    <row r="521" spans="1:9" ht="14.5">
      <c r="A521" t="s">
        <v>9902</v>
      </c>
      <c r="B521" s="2113" t="str">
        <f t="shared" si="8"/>
        <v>121-904</v>
      </c>
      <c r="C521" t="s">
        <v>6509</v>
      </c>
      <c r="D521" s="2043">
        <v>91530000</v>
      </c>
      <c r="E521" s="2043">
        <v>0</v>
      </c>
      <c r="F521" s="2043">
        <v>950311398</v>
      </c>
      <c r="G521" s="2043">
        <v>918766398</v>
      </c>
      <c r="H521" s="2043">
        <v>950311398</v>
      </c>
      <c r="I521" s="2043">
        <v>918766398</v>
      </c>
    </row>
    <row r="522" spans="1:9" ht="14.5">
      <c r="A522" t="s">
        <v>9903</v>
      </c>
      <c r="B522" s="2113" t="str">
        <f t="shared" si="8"/>
        <v>121-905</v>
      </c>
      <c r="C522" t="s">
        <v>6510</v>
      </c>
      <c r="D522" s="2043">
        <v>45998509</v>
      </c>
      <c r="E522" s="2043">
        <v>0</v>
      </c>
      <c r="F522" s="2043">
        <v>351456536</v>
      </c>
      <c r="G522" s="2043">
        <v>335788027</v>
      </c>
      <c r="H522" s="2043">
        <v>351456536</v>
      </c>
      <c r="I522" s="2043">
        <v>335788027</v>
      </c>
    </row>
    <row r="523" spans="1:9" ht="14.5">
      <c r="A523" t="s">
        <v>9904</v>
      </c>
      <c r="B523" s="2113" t="str">
        <f t="shared" si="8"/>
        <v>121-906</v>
      </c>
      <c r="C523" t="s">
        <v>6511</v>
      </c>
      <c r="D523" s="2043">
        <v>9468973</v>
      </c>
      <c r="E523" s="2043">
        <v>0</v>
      </c>
      <c r="F523" s="2043">
        <v>346561936</v>
      </c>
      <c r="G523" s="2043">
        <v>343332963</v>
      </c>
      <c r="H523" s="2043">
        <v>346561936</v>
      </c>
      <c r="I523" s="2043">
        <v>343332963</v>
      </c>
    </row>
    <row r="524" spans="1:9" ht="14.5">
      <c r="A524" t="s">
        <v>9905</v>
      </c>
      <c r="B524" s="2113" t="str">
        <f t="shared" si="8"/>
        <v>122-901</v>
      </c>
      <c r="C524" t="s">
        <v>6512</v>
      </c>
      <c r="D524" s="2043">
        <v>14180660</v>
      </c>
      <c r="E524" s="2043">
        <v>0</v>
      </c>
      <c r="F524" s="2043">
        <v>209558528</v>
      </c>
      <c r="G524" s="2043">
        <v>204332868</v>
      </c>
      <c r="H524" s="2043">
        <v>209558528</v>
      </c>
      <c r="I524" s="2043">
        <v>204332868</v>
      </c>
    </row>
    <row r="525" spans="1:9" ht="14.5">
      <c r="A525" t="s">
        <v>9906</v>
      </c>
      <c r="B525" s="2113" t="str">
        <f t="shared" si="8"/>
        <v>122-902</v>
      </c>
      <c r="C525" t="s">
        <v>6513</v>
      </c>
      <c r="D525" s="2043">
        <v>1196870</v>
      </c>
      <c r="E525" s="2043">
        <v>0</v>
      </c>
      <c r="F525" s="2043">
        <v>51811588</v>
      </c>
      <c r="G525" s="2043">
        <v>51484718</v>
      </c>
      <c r="H525" s="2043">
        <v>51811588</v>
      </c>
      <c r="I525" s="2043">
        <v>51484718</v>
      </c>
    </row>
    <row r="526" spans="1:9" ht="14.5">
      <c r="A526" t="s">
        <v>9907</v>
      </c>
      <c r="B526" s="2113" t="str">
        <f t="shared" si="8"/>
        <v>123-905</v>
      </c>
      <c r="C526" t="s">
        <v>6514</v>
      </c>
      <c r="D526" s="2043">
        <v>168449843</v>
      </c>
      <c r="E526" s="2043">
        <v>174849600</v>
      </c>
      <c r="F526" s="2043">
        <v>2974350860</v>
      </c>
      <c r="G526" s="2043">
        <v>2908816017</v>
      </c>
      <c r="H526" s="2043">
        <v>3149200460</v>
      </c>
      <c r="I526" s="2043">
        <v>3083665617</v>
      </c>
    </row>
    <row r="527" spans="1:9" ht="14.5">
      <c r="A527" t="s">
        <v>9908</v>
      </c>
      <c r="B527" s="2113" t="str">
        <f t="shared" si="8"/>
        <v>123-907</v>
      </c>
      <c r="C527" t="s">
        <v>6515</v>
      </c>
      <c r="D527" s="2043">
        <v>231868876</v>
      </c>
      <c r="E527" s="2043">
        <v>128983200</v>
      </c>
      <c r="F527" s="2043">
        <v>5264883957</v>
      </c>
      <c r="G527" s="2043">
        <v>5174750081</v>
      </c>
      <c r="H527" s="2043">
        <v>5393867157</v>
      </c>
      <c r="I527" s="2043">
        <v>5303733281</v>
      </c>
    </row>
    <row r="528" spans="1:9" ht="14.5">
      <c r="A528" t="s">
        <v>9909</v>
      </c>
      <c r="B528" s="2113" t="str">
        <f t="shared" si="8"/>
        <v>123-908</v>
      </c>
      <c r="C528" t="s">
        <v>6516</v>
      </c>
      <c r="D528" s="2043">
        <v>173024775</v>
      </c>
      <c r="E528" s="2043">
        <v>674714300</v>
      </c>
      <c r="F528" s="2043">
        <v>2749157064</v>
      </c>
      <c r="G528" s="2043">
        <v>2680112289</v>
      </c>
      <c r="H528" s="2043">
        <v>3423871364</v>
      </c>
      <c r="I528" s="2043">
        <v>3354826589</v>
      </c>
    </row>
    <row r="529" spans="1:9" ht="14.5">
      <c r="A529" t="s">
        <v>9910</v>
      </c>
      <c r="B529" s="2113" t="str">
        <f t="shared" si="8"/>
        <v>123-910</v>
      </c>
      <c r="C529" t="s">
        <v>6517</v>
      </c>
      <c r="D529" s="2043">
        <v>537285654</v>
      </c>
      <c r="E529" s="2043">
        <v>2490710421</v>
      </c>
      <c r="F529" s="2043">
        <v>11037369316</v>
      </c>
      <c r="G529" s="2043">
        <v>10831433662</v>
      </c>
      <c r="H529" s="2043">
        <v>13528079737</v>
      </c>
      <c r="I529" s="2043">
        <v>13322144083</v>
      </c>
    </row>
    <row r="530" spans="1:9" ht="14.5">
      <c r="A530" t="s">
        <v>9911</v>
      </c>
      <c r="B530" s="2113" t="str">
        <f t="shared" si="8"/>
        <v>123-913</v>
      </c>
      <c r="C530" t="s">
        <v>6518</v>
      </c>
      <c r="D530" s="2043">
        <v>2508831</v>
      </c>
      <c r="E530" s="2043">
        <v>0</v>
      </c>
      <c r="F530" s="2043">
        <v>881411897</v>
      </c>
      <c r="G530" s="2043">
        <v>880568066</v>
      </c>
      <c r="H530" s="2043">
        <v>881411897</v>
      </c>
      <c r="I530" s="2043">
        <v>880568066</v>
      </c>
    </row>
    <row r="531" spans="1:9" ht="14.5">
      <c r="A531" t="s">
        <v>9912</v>
      </c>
      <c r="B531" s="2113" t="str">
        <f t="shared" si="8"/>
        <v>123-914</v>
      </c>
      <c r="C531" t="s">
        <v>6519</v>
      </c>
      <c r="D531" s="2043">
        <v>65210532</v>
      </c>
      <c r="E531" s="2043">
        <v>0</v>
      </c>
      <c r="F531" s="2043">
        <v>732715068</v>
      </c>
      <c r="G531" s="2043">
        <v>710059536</v>
      </c>
      <c r="H531" s="2043">
        <v>732715068</v>
      </c>
      <c r="I531" s="2043">
        <v>710059536</v>
      </c>
    </row>
    <row r="532" spans="1:9" ht="14.5">
      <c r="A532" t="s">
        <v>9913</v>
      </c>
      <c r="B532" s="2113" t="str">
        <f t="shared" si="8"/>
        <v>124-901</v>
      </c>
      <c r="C532" t="s">
        <v>6520</v>
      </c>
      <c r="D532" s="2043">
        <v>24519620</v>
      </c>
      <c r="E532" s="2043">
        <v>91657950</v>
      </c>
      <c r="F532" s="2043">
        <v>340981581</v>
      </c>
      <c r="G532" s="2043">
        <v>332076961</v>
      </c>
      <c r="H532" s="2043">
        <v>432639531</v>
      </c>
      <c r="I532" s="2043">
        <v>423734911</v>
      </c>
    </row>
    <row r="533" spans="1:9" ht="14.5">
      <c r="A533" t="s">
        <v>9914</v>
      </c>
      <c r="B533" s="2113" t="str">
        <f t="shared" si="8"/>
        <v>125-901</v>
      </c>
      <c r="C533" t="s">
        <v>6521</v>
      </c>
      <c r="D533" s="2043">
        <v>105942231</v>
      </c>
      <c r="E533" s="2043">
        <v>0</v>
      </c>
      <c r="F533" s="2043">
        <v>1155956453</v>
      </c>
      <c r="G533" s="2043">
        <v>1112384222</v>
      </c>
      <c r="H533" s="2043">
        <v>1155956453</v>
      </c>
      <c r="I533" s="2043">
        <v>1112384222</v>
      </c>
    </row>
    <row r="534" spans="1:9" ht="14.5">
      <c r="A534" t="s">
        <v>9915</v>
      </c>
      <c r="B534" s="2113" t="str">
        <f t="shared" si="8"/>
        <v>125-902</v>
      </c>
      <c r="C534" t="s">
        <v>8432</v>
      </c>
      <c r="D534" s="2043">
        <v>11725021</v>
      </c>
      <c r="E534" s="2043">
        <v>0</v>
      </c>
      <c r="F534" s="2043">
        <v>94929560</v>
      </c>
      <c r="G534" s="2043">
        <v>90284539</v>
      </c>
      <c r="H534" s="2043">
        <v>94929560</v>
      </c>
      <c r="I534" s="2043">
        <v>90284539</v>
      </c>
    </row>
    <row r="535" spans="1:9" ht="14.5">
      <c r="A535" t="s">
        <v>9916</v>
      </c>
      <c r="B535" s="2113" t="str">
        <f t="shared" si="8"/>
        <v>125-903</v>
      </c>
      <c r="C535" t="s">
        <v>6522</v>
      </c>
      <c r="D535" s="2043">
        <v>36176555</v>
      </c>
      <c r="E535" s="2043">
        <v>0</v>
      </c>
      <c r="F535" s="2043">
        <v>439103775</v>
      </c>
      <c r="G535" s="2043">
        <v>427062220</v>
      </c>
      <c r="H535" s="2043">
        <v>439103775</v>
      </c>
      <c r="I535" s="2043">
        <v>427062220</v>
      </c>
    </row>
    <row r="536" spans="1:9" ht="14.5">
      <c r="A536" t="s">
        <v>9917</v>
      </c>
      <c r="B536" s="2113" t="str">
        <f t="shared" si="8"/>
        <v>125-905</v>
      </c>
      <c r="C536" t="s">
        <v>6523</v>
      </c>
      <c r="D536" s="2043">
        <v>15274295</v>
      </c>
      <c r="E536" s="2043">
        <v>0</v>
      </c>
      <c r="F536" s="2043">
        <v>169711495</v>
      </c>
      <c r="G536" s="2043">
        <v>164532200</v>
      </c>
      <c r="H536" s="2043">
        <v>169711495</v>
      </c>
      <c r="I536" s="2043">
        <v>164532200</v>
      </c>
    </row>
    <row r="537" spans="1:9" ht="14.5">
      <c r="A537" t="s">
        <v>9918</v>
      </c>
      <c r="B537" s="2113" t="str">
        <f t="shared" si="8"/>
        <v>125-906</v>
      </c>
      <c r="C537" t="s">
        <v>6524</v>
      </c>
      <c r="D537" s="2043">
        <v>1643443</v>
      </c>
      <c r="E537" s="2043">
        <v>0</v>
      </c>
      <c r="F537" s="2043">
        <v>45046129</v>
      </c>
      <c r="G537" s="2043">
        <v>44437686</v>
      </c>
      <c r="H537" s="2043">
        <v>45046129</v>
      </c>
      <c r="I537" s="2043">
        <v>44437686</v>
      </c>
    </row>
    <row r="538" spans="1:9" ht="14.5">
      <c r="A538" t="s">
        <v>9919</v>
      </c>
      <c r="B538" s="2113" t="str">
        <f t="shared" si="8"/>
        <v>126-901</v>
      </c>
      <c r="C538" t="s">
        <v>6525</v>
      </c>
      <c r="D538" s="2043">
        <v>105286584</v>
      </c>
      <c r="E538" s="2043">
        <v>0</v>
      </c>
      <c r="F538" s="2043">
        <v>1491156550</v>
      </c>
      <c r="G538" s="2043">
        <v>1456669966</v>
      </c>
      <c r="H538" s="2043">
        <v>1491156550</v>
      </c>
      <c r="I538" s="2043">
        <v>1456669966</v>
      </c>
    </row>
    <row r="539" spans="1:9" ht="14.5">
      <c r="A539" t="s">
        <v>9920</v>
      </c>
      <c r="B539" s="2113" t="str">
        <f t="shared" si="8"/>
        <v>126-902</v>
      </c>
      <c r="C539" t="s">
        <v>6526</v>
      </c>
      <c r="D539" s="2043">
        <v>370278454</v>
      </c>
      <c r="E539" s="2043">
        <v>0</v>
      </c>
      <c r="F539" s="2043">
        <v>5546795517</v>
      </c>
      <c r="G539" s="2043">
        <v>5403422063</v>
      </c>
      <c r="H539" s="2043">
        <v>5546795517</v>
      </c>
      <c r="I539" s="2043">
        <v>5403422063</v>
      </c>
    </row>
    <row r="540" spans="1:9" ht="14.5">
      <c r="A540" t="s">
        <v>9921</v>
      </c>
      <c r="B540" s="2113" t="str">
        <f t="shared" si="8"/>
        <v>126-903</v>
      </c>
      <c r="C540" t="s">
        <v>6527</v>
      </c>
      <c r="D540" s="2043">
        <v>196280462</v>
      </c>
      <c r="E540" s="2043">
        <v>0</v>
      </c>
      <c r="F540" s="2043">
        <v>2965721168</v>
      </c>
      <c r="G540" s="2043">
        <v>2891300706</v>
      </c>
      <c r="H540" s="2043">
        <v>2965721168</v>
      </c>
      <c r="I540" s="2043">
        <v>2891300706</v>
      </c>
    </row>
    <row r="541" spans="1:9" ht="14.5">
      <c r="A541" t="s">
        <v>9922</v>
      </c>
      <c r="B541" s="2113" t="str">
        <f t="shared" si="8"/>
        <v>126-904</v>
      </c>
      <c r="C541" t="s">
        <v>6528</v>
      </c>
      <c r="D541" s="2043">
        <v>32700822</v>
      </c>
      <c r="E541" s="2043">
        <v>0</v>
      </c>
      <c r="F541" s="2043">
        <v>395740316</v>
      </c>
      <c r="G541" s="2043">
        <v>383154494</v>
      </c>
      <c r="H541" s="2043">
        <v>395740316</v>
      </c>
      <c r="I541" s="2043">
        <v>383154494</v>
      </c>
    </row>
    <row r="542" spans="1:9" ht="14.5">
      <c r="A542" t="s">
        <v>9923</v>
      </c>
      <c r="B542" s="2113" t="str">
        <f t="shared" si="8"/>
        <v>126-905</v>
      </c>
      <c r="C542" t="s">
        <v>6529</v>
      </c>
      <c r="D542" s="2043">
        <v>159848842</v>
      </c>
      <c r="E542" s="2043">
        <v>0</v>
      </c>
      <c r="F542" s="2043">
        <v>1867441793</v>
      </c>
      <c r="G542" s="2043">
        <v>1809202951</v>
      </c>
      <c r="H542" s="2043">
        <v>1867441793</v>
      </c>
      <c r="I542" s="2043">
        <v>1809202951</v>
      </c>
    </row>
    <row r="543" spans="1:9" ht="14.5">
      <c r="A543" t="s">
        <v>9924</v>
      </c>
      <c r="B543" s="2113" t="str">
        <f t="shared" si="8"/>
        <v>126-906</v>
      </c>
      <c r="C543" t="s">
        <v>6530</v>
      </c>
      <c r="D543" s="2043">
        <v>16874153</v>
      </c>
      <c r="E543" s="2043">
        <v>0</v>
      </c>
      <c r="F543" s="2043">
        <v>205255845</v>
      </c>
      <c r="G543" s="2043">
        <v>199256692</v>
      </c>
      <c r="H543" s="2043">
        <v>205255845</v>
      </c>
      <c r="I543" s="2043">
        <v>199256692</v>
      </c>
    </row>
    <row r="544" spans="1:9" ht="14.5">
      <c r="A544" t="s">
        <v>9925</v>
      </c>
      <c r="B544" s="2113" t="str">
        <f t="shared" si="8"/>
        <v>126-907</v>
      </c>
      <c r="C544" t="s">
        <v>6531</v>
      </c>
      <c r="D544" s="2043">
        <v>27067651</v>
      </c>
      <c r="E544" s="2043">
        <v>0</v>
      </c>
      <c r="F544" s="2043">
        <v>345270209</v>
      </c>
      <c r="G544" s="2043">
        <v>335092558</v>
      </c>
      <c r="H544" s="2043">
        <v>345270209</v>
      </c>
      <c r="I544" s="2043">
        <v>335092558</v>
      </c>
    </row>
    <row r="545" spans="1:9" ht="14.5">
      <c r="A545" t="s">
        <v>9926</v>
      </c>
      <c r="B545" s="2113" t="str">
        <f t="shared" si="8"/>
        <v>126-908</v>
      </c>
      <c r="C545" t="s">
        <v>6532</v>
      </c>
      <c r="D545" s="2043">
        <v>45709235</v>
      </c>
      <c r="E545" s="2043">
        <v>0</v>
      </c>
      <c r="F545" s="2043">
        <v>419616724</v>
      </c>
      <c r="G545" s="2043">
        <v>404432489</v>
      </c>
      <c r="H545" s="2043">
        <v>419616724</v>
      </c>
      <c r="I545" s="2043">
        <v>404432489</v>
      </c>
    </row>
    <row r="546" spans="1:9" ht="14.5">
      <c r="A546" t="s">
        <v>10621</v>
      </c>
      <c r="B546" s="2113" t="str">
        <f t="shared" si="8"/>
        <v>126-911</v>
      </c>
      <c r="C546" t="s">
        <v>6533</v>
      </c>
      <c r="D546" s="2043">
        <v>51480447</v>
      </c>
      <c r="E546" s="2043">
        <v>0</v>
      </c>
      <c r="F546" s="2043">
        <v>1038992290</v>
      </c>
      <c r="G546" s="2043">
        <v>1021786843</v>
      </c>
      <c r="H546" s="2043">
        <v>1038992290</v>
      </c>
      <c r="I546" s="2043">
        <v>1021786843</v>
      </c>
    </row>
    <row r="547" spans="1:9" ht="14.5">
      <c r="A547" t="s">
        <v>9927</v>
      </c>
      <c r="B547" s="2113" t="str">
        <f t="shared" si="8"/>
        <v>127-901</v>
      </c>
      <c r="C547" t="s">
        <v>6534</v>
      </c>
      <c r="D547" s="2043">
        <v>22548390</v>
      </c>
      <c r="E547" s="2043">
        <v>0</v>
      </c>
      <c r="F547" s="2043">
        <v>157348639</v>
      </c>
      <c r="G547" s="2043">
        <v>148900249</v>
      </c>
      <c r="H547" s="2043">
        <v>157348639</v>
      </c>
      <c r="I547" s="2043">
        <v>148900249</v>
      </c>
    </row>
    <row r="548" spans="1:9" ht="14.5">
      <c r="A548" t="s">
        <v>9928</v>
      </c>
      <c r="B548" s="2113" t="str">
        <f t="shared" si="8"/>
        <v>127-903</v>
      </c>
      <c r="C548" t="s">
        <v>6535</v>
      </c>
      <c r="D548" s="2043">
        <v>14523800</v>
      </c>
      <c r="E548" s="2043">
        <v>0</v>
      </c>
      <c r="F548" s="2043">
        <v>152755973</v>
      </c>
      <c r="G548" s="2043">
        <v>147502173</v>
      </c>
      <c r="H548" s="2043">
        <v>152755973</v>
      </c>
      <c r="I548" s="2043">
        <v>147502173</v>
      </c>
    </row>
    <row r="549" spans="1:9" ht="14.5">
      <c r="A549" t="s">
        <v>9929</v>
      </c>
      <c r="B549" s="2113" t="str">
        <f t="shared" si="8"/>
        <v>127-904</v>
      </c>
      <c r="C549" t="s">
        <v>6536</v>
      </c>
      <c r="D549" s="2043">
        <v>23449590</v>
      </c>
      <c r="E549" s="2043">
        <v>0</v>
      </c>
      <c r="F549" s="2043">
        <v>219578252</v>
      </c>
      <c r="G549" s="2043">
        <v>210633662</v>
      </c>
      <c r="H549" s="2043">
        <v>219578252</v>
      </c>
      <c r="I549" s="2043">
        <v>210633662</v>
      </c>
    </row>
    <row r="550" spans="1:9" ht="14.5">
      <c r="A550" t="s">
        <v>9930</v>
      </c>
      <c r="B550" s="2113" t="str">
        <f t="shared" si="8"/>
        <v>127-905</v>
      </c>
      <c r="C550" t="s">
        <v>6537</v>
      </c>
      <c r="D550" s="2043">
        <v>4881780</v>
      </c>
      <c r="E550" s="2043">
        <v>0</v>
      </c>
      <c r="F550" s="2043">
        <v>82425371</v>
      </c>
      <c r="G550" s="2043">
        <v>80708591</v>
      </c>
      <c r="H550" s="2043">
        <v>82425371</v>
      </c>
      <c r="I550" s="2043">
        <v>80708591</v>
      </c>
    </row>
    <row r="551" spans="1:9" ht="14.5">
      <c r="A551" t="s">
        <v>9931</v>
      </c>
      <c r="B551" s="2113" t="str">
        <f t="shared" si="8"/>
        <v>127-906</v>
      </c>
      <c r="C551" t="s">
        <v>6538</v>
      </c>
      <c r="D551" s="2043">
        <v>19497470</v>
      </c>
      <c r="E551" s="2043">
        <v>0</v>
      </c>
      <c r="F551" s="2043">
        <v>111622757</v>
      </c>
      <c r="G551" s="2043">
        <v>104710287</v>
      </c>
      <c r="H551" s="2043">
        <v>111622757</v>
      </c>
      <c r="I551" s="2043">
        <v>104710287</v>
      </c>
    </row>
    <row r="552" spans="1:9" ht="14.5">
      <c r="A552" t="s">
        <v>9932</v>
      </c>
      <c r="B552" s="2113" t="str">
        <f t="shared" si="8"/>
        <v>128-901</v>
      </c>
      <c r="C552" t="s">
        <v>6539</v>
      </c>
      <c r="D552" s="2043">
        <v>24818982</v>
      </c>
      <c r="E552" s="2043">
        <v>0</v>
      </c>
      <c r="F552" s="2043">
        <v>5302930256</v>
      </c>
      <c r="G552" s="2043">
        <v>5293996274</v>
      </c>
      <c r="H552" s="2043">
        <v>5302930256</v>
      </c>
      <c r="I552" s="2043">
        <v>5293996274</v>
      </c>
    </row>
    <row r="553" spans="1:9" ht="14.5">
      <c r="A553" t="s">
        <v>9933</v>
      </c>
      <c r="B553" s="2113" t="str">
        <f t="shared" si="8"/>
        <v>128-902</v>
      </c>
      <c r="C553" t="s">
        <v>6540</v>
      </c>
      <c r="D553" s="2043">
        <v>20472917</v>
      </c>
      <c r="E553" s="2043">
        <v>130749860</v>
      </c>
      <c r="F553" s="2043">
        <v>1042837294</v>
      </c>
      <c r="G553" s="2043">
        <v>1035549377</v>
      </c>
      <c r="H553" s="2043">
        <v>1173587154</v>
      </c>
      <c r="I553" s="2043">
        <v>1166299237</v>
      </c>
    </row>
    <row r="554" spans="1:9" ht="14.5">
      <c r="A554" t="s">
        <v>9934</v>
      </c>
      <c r="B554" s="2113" t="str">
        <f t="shared" si="8"/>
        <v>128-903</v>
      </c>
      <c r="C554" t="s">
        <v>6541</v>
      </c>
      <c r="D554" s="2043">
        <v>6182591</v>
      </c>
      <c r="E554" s="2043">
        <v>0</v>
      </c>
      <c r="F554" s="2043">
        <v>322319989</v>
      </c>
      <c r="G554" s="2043">
        <v>320157398</v>
      </c>
      <c r="H554" s="2043">
        <v>322319989</v>
      </c>
      <c r="I554" s="2043">
        <v>320157398</v>
      </c>
    </row>
    <row r="555" spans="1:9" ht="14.5">
      <c r="A555" t="s">
        <v>9935</v>
      </c>
      <c r="B555" s="2113" t="str">
        <f t="shared" si="8"/>
        <v>128-904</v>
      </c>
      <c r="C555" t="s">
        <v>6542</v>
      </c>
      <c r="D555" s="2043">
        <v>12416610</v>
      </c>
      <c r="E555" s="2043">
        <v>0</v>
      </c>
      <c r="F555" s="2043">
        <v>768643283</v>
      </c>
      <c r="G555" s="2043">
        <v>763981673</v>
      </c>
      <c r="H555" s="2043">
        <v>768643283</v>
      </c>
      <c r="I555" s="2043">
        <v>763981673</v>
      </c>
    </row>
    <row r="556" spans="1:9" ht="14.5">
      <c r="A556" t="s">
        <v>9936</v>
      </c>
      <c r="B556" s="2113" t="str">
        <f t="shared" si="8"/>
        <v>129-901</v>
      </c>
      <c r="C556" t="s">
        <v>6543</v>
      </c>
      <c r="D556" s="2043">
        <v>109691083</v>
      </c>
      <c r="E556" s="2043">
        <v>0</v>
      </c>
      <c r="F556" s="2043">
        <v>1357891517</v>
      </c>
      <c r="G556" s="2043">
        <v>1315370434</v>
      </c>
      <c r="H556" s="2043">
        <v>1357891517</v>
      </c>
      <c r="I556" s="2043">
        <v>1315370434</v>
      </c>
    </row>
    <row r="557" spans="1:9" ht="14.5">
      <c r="A557" t="s">
        <v>9937</v>
      </c>
      <c r="B557" s="2113" t="str">
        <f t="shared" si="8"/>
        <v>129-902</v>
      </c>
      <c r="C557" t="s">
        <v>6544</v>
      </c>
      <c r="D557" s="2043">
        <v>296471395</v>
      </c>
      <c r="E557" s="2043">
        <v>0</v>
      </c>
      <c r="F557" s="2043">
        <v>5626809631</v>
      </c>
      <c r="G557" s="2043">
        <v>5510188236</v>
      </c>
      <c r="H557" s="2043">
        <v>5626809631</v>
      </c>
      <c r="I557" s="2043">
        <v>5510188236</v>
      </c>
    </row>
    <row r="558" spans="1:9" ht="14.5">
      <c r="A558" t="s">
        <v>10622</v>
      </c>
      <c r="B558" s="2113" t="str">
        <f t="shared" si="8"/>
        <v>129-903</v>
      </c>
      <c r="C558" t="s">
        <v>6545</v>
      </c>
      <c r="D558" s="2043">
        <v>98298155</v>
      </c>
      <c r="E558" s="2043">
        <v>0</v>
      </c>
      <c r="F558" s="2043">
        <v>1144835420</v>
      </c>
      <c r="G558" s="2043">
        <v>1109462265</v>
      </c>
      <c r="H558" s="2043">
        <v>1144835420</v>
      </c>
      <c r="I558" s="2043">
        <v>1109462265</v>
      </c>
    </row>
    <row r="559" spans="1:9" ht="14.5">
      <c r="A559" t="s">
        <v>9938</v>
      </c>
      <c r="B559" s="2113" t="str">
        <f t="shared" si="8"/>
        <v>129-904</v>
      </c>
      <c r="C559" t="s">
        <v>6546</v>
      </c>
      <c r="D559" s="2043">
        <v>59810877</v>
      </c>
      <c r="E559" s="2043">
        <v>0</v>
      </c>
      <c r="F559" s="2043">
        <v>585439523</v>
      </c>
      <c r="G559" s="2043">
        <v>566818646</v>
      </c>
      <c r="H559" s="2043">
        <v>585439523</v>
      </c>
      <c r="I559" s="2043">
        <v>566818646</v>
      </c>
    </row>
    <row r="560" spans="1:9" ht="14.5">
      <c r="A560" t="s">
        <v>10623</v>
      </c>
      <c r="B560" s="2113" t="str">
        <f t="shared" si="8"/>
        <v>129-905</v>
      </c>
      <c r="C560" t="s">
        <v>6547</v>
      </c>
      <c r="D560" s="2043">
        <v>116331412</v>
      </c>
      <c r="E560" s="2043">
        <v>0</v>
      </c>
      <c r="F560" s="2043">
        <v>1609128424</v>
      </c>
      <c r="G560" s="2043">
        <v>1571082012</v>
      </c>
      <c r="H560" s="2043">
        <v>1609128424</v>
      </c>
      <c r="I560" s="2043">
        <v>1571082012</v>
      </c>
    </row>
    <row r="561" spans="1:9" ht="14.5">
      <c r="A561" t="s">
        <v>10624</v>
      </c>
      <c r="B561" s="2113" t="str">
        <f t="shared" si="8"/>
        <v>129-906</v>
      </c>
      <c r="C561" t="s">
        <v>6548</v>
      </c>
      <c r="D561" s="2043">
        <v>130545038</v>
      </c>
      <c r="E561" s="2043">
        <v>0</v>
      </c>
      <c r="F561" s="2043">
        <v>2353240363</v>
      </c>
      <c r="G561" s="2043">
        <v>2304400325</v>
      </c>
      <c r="H561" s="2043">
        <v>2353240363</v>
      </c>
      <c r="I561" s="2043">
        <v>2304400325</v>
      </c>
    </row>
    <row r="562" spans="1:9" ht="14.5">
      <c r="A562" t="s">
        <v>9939</v>
      </c>
      <c r="B562" s="2113" t="str">
        <f t="shared" si="8"/>
        <v>129-910</v>
      </c>
      <c r="C562" t="s">
        <v>6549</v>
      </c>
      <c r="D562" s="2043">
        <v>28635570</v>
      </c>
      <c r="E562" s="2043">
        <v>0</v>
      </c>
      <c r="F562" s="2043">
        <v>303120677</v>
      </c>
      <c r="G562" s="2043">
        <v>293190107</v>
      </c>
      <c r="H562" s="2043">
        <v>303120677</v>
      </c>
      <c r="I562" s="2043">
        <v>293190107</v>
      </c>
    </row>
    <row r="563" spans="1:9" ht="14.5">
      <c r="A563" t="s">
        <v>9940</v>
      </c>
      <c r="B563" s="2113" t="str">
        <f t="shared" si="8"/>
        <v>130-901</v>
      </c>
      <c r="C563" t="s">
        <v>6550</v>
      </c>
      <c r="D563" s="2043">
        <v>346953714</v>
      </c>
      <c r="E563" s="2043">
        <v>0</v>
      </c>
      <c r="F563" s="2043">
        <v>8135096717</v>
      </c>
      <c r="G563" s="2043">
        <v>7999448003</v>
      </c>
      <c r="H563" s="2043">
        <v>8135096717</v>
      </c>
      <c r="I563" s="2043">
        <v>7999448003</v>
      </c>
    </row>
    <row r="564" spans="1:9" ht="14.5">
      <c r="A564" t="s">
        <v>9941</v>
      </c>
      <c r="B564" s="2113" t="str">
        <f t="shared" si="8"/>
        <v>130-902</v>
      </c>
      <c r="C564" t="s">
        <v>6551</v>
      </c>
      <c r="D564" s="2043">
        <v>51451093</v>
      </c>
      <c r="E564" s="2043">
        <v>0</v>
      </c>
      <c r="F564" s="2043">
        <v>985473931</v>
      </c>
      <c r="G564" s="2043">
        <v>966647838</v>
      </c>
      <c r="H564" s="2043">
        <v>985473931</v>
      </c>
      <c r="I564" s="2043">
        <v>966647838</v>
      </c>
    </row>
    <row r="565" spans="1:9" ht="14.5">
      <c r="A565" t="s">
        <v>9942</v>
      </c>
      <c r="B565" s="2113" t="str">
        <f t="shared" si="8"/>
        <v>131-001</v>
      </c>
      <c r="C565" t="s">
        <v>6552</v>
      </c>
      <c r="D565" s="2043">
        <v>1077103</v>
      </c>
      <c r="E565" s="2043">
        <v>171999980</v>
      </c>
      <c r="F565" s="2043">
        <v>896254269</v>
      </c>
      <c r="G565" s="2043">
        <v>895927166</v>
      </c>
      <c r="H565" s="2043">
        <v>1068254249</v>
      </c>
      <c r="I565" s="2043">
        <v>1067927146</v>
      </c>
    </row>
    <row r="566" spans="1:9" ht="14.5">
      <c r="A566" t="s">
        <v>9943</v>
      </c>
      <c r="B566" s="2113" t="str">
        <f t="shared" si="8"/>
        <v>132-902</v>
      </c>
      <c r="C566" t="s">
        <v>6553</v>
      </c>
      <c r="D566" s="2043">
        <v>4727250</v>
      </c>
      <c r="E566" s="2043">
        <v>0</v>
      </c>
      <c r="F566" s="2043">
        <v>434530925</v>
      </c>
      <c r="G566" s="2043">
        <v>432968675</v>
      </c>
      <c r="H566" s="2043">
        <v>434530925</v>
      </c>
      <c r="I566" s="2043">
        <v>432968675</v>
      </c>
    </row>
    <row r="567" spans="1:9" ht="14.5">
      <c r="A567" t="s">
        <v>9944</v>
      </c>
      <c r="B567" s="2113" t="str">
        <f t="shared" si="8"/>
        <v>133-901</v>
      </c>
      <c r="C567" t="s">
        <v>6554</v>
      </c>
      <c r="D567" s="2043">
        <v>22774356</v>
      </c>
      <c r="E567" s="2043">
        <v>0</v>
      </c>
      <c r="F567" s="2043">
        <v>387305450</v>
      </c>
      <c r="G567" s="2043">
        <v>379081094</v>
      </c>
      <c r="H567" s="2043">
        <v>387305450</v>
      </c>
      <c r="I567" s="2043">
        <v>379081094</v>
      </c>
    </row>
    <row r="568" spans="1:9" ht="14.5">
      <c r="A568" t="s">
        <v>9945</v>
      </c>
      <c r="B568" s="2113" t="str">
        <f t="shared" si="8"/>
        <v>133-902</v>
      </c>
      <c r="C568" t="s">
        <v>6555</v>
      </c>
      <c r="D568" s="2043">
        <v>12044287</v>
      </c>
      <c r="E568" s="2043">
        <v>0</v>
      </c>
      <c r="F568" s="2043">
        <v>499266027</v>
      </c>
      <c r="G568" s="2043">
        <v>494736740</v>
      </c>
      <c r="H568" s="2043">
        <v>499266027</v>
      </c>
      <c r="I568" s="2043">
        <v>494736740</v>
      </c>
    </row>
    <row r="569" spans="1:9" ht="14.5">
      <c r="A569" t="s">
        <v>9946</v>
      </c>
      <c r="B569" s="2113" t="str">
        <f t="shared" si="8"/>
        <v>133-903</v>
      </c>
      <c r="C569" t="s">
        <v>6556</v>
      </c>
      <c r="D569" s="2043">
        <v>218540450</v>
      </c>
      <c r="E569" s="2043">
        <v>0</v>
      </c>
      <c r="F569" s="2043">
        <v>3216683523</v>
      </c>
      <c r="G569" s="2043">
        <v>3133728073</v>
      </c>
      <c r="H569" s="2043">
        <v>3216683523</v>
      </c>
      <c r="I569" s="2043">
        <v>3133728073</v>
      </c>
    </row>
    <row r="570" spans="1:9" ht="14.5">
      <c r="A570" t="s">
        <v>9947</v>
      </c>
      <c r="B570" s="2113" t="str">
        <f t="shared" si="8"/>
        <v>133-904</v>
      </c>
      <c r="C570" t="s">
        <v>6557</v>
      </c>
      <c r="D570" s="2043">
        <v>54839031</v>
      </c>
      <c r="E570" s="2043">
        <v>0</v>
      </c>
      <c r="F570" s="2043">
        <v>695819653</v>
      </c>
      <c r="G570" s="2043">
        <v>675885622</v>
      </c>
      <c r="H570" s="2043">
        <v>695819653</v>
      </c>
      <c r="I570" s="2043">
        <v>675885622</v>
      </c>
    </row>
    <row r="571" spans="1:9" ht="14.5">
      <c r="A571" t="s">
        <v>9948</v>
      </c>
      <c r="B571" s="2113" t="str">
        <f t="shared" si="8"/>
        <v>133-905</v>
      </c>
      <c r="C571" t="s">
        <v>6558</v>
      </c>
      <c r="D571" s="2043">
        <v>1094151</v>
      </c>
      <c r="E571" s="2043">
        <v>0</v>
      </c>
      <c r="F571" s="2043">
        <v>77418945</v>
      </c>
      <c r="G571" s="2043">
        <v>77029794</v>
      </c>
      <c r="H571" s="2043">
        <v>77418945</v>
      </c>
      <c r="I571" s="2043">
        <v>77029794</v>
      </c>
    </row>
    <row r="572" spans="1:9" ht="14.5">
      <c r="A572" t="s">
        <v>9949</v>
      </c>
      <c r="B572" s="2113" t="str">
        <f t="shared" si="8"/>
        <v>134-901</v>
      </c>
      <c r="C572" t="s">
        <v>6559</v>
      </c>
      <c r="D572" s="2043">
        <v>26266304</v>
      </c>
      <c r="E572" s="2043">
        <v>0</v>
      </c>
      <c r="F572" s="2043">
        <v>530403224</v>
      </c>
      <c r="G572" s="2043">
        <v>521026920</v>
      </c>
      <c r="H572" s="2043">
        <v>530403224</v>
      </c>
      <c r="I572" s="2043">
        <v>521026920</v>
      </c>
    </row>
    <row r="573" spans="1:9" ht="14.5">
      <c r="A573" t="s">
        <v>9950</v>
      </c>
      <c r="B573" s="2113" t="str">
        <f t="shared" si="8"/>
        <v>135-001</v>
      </c>
      <c r="C573" t="s">
        <v>6560</v>
      </c>
      <c r="D573" s="2043">
        <v>689860</v>
      </c>
      <c r="E573" s="2043">
        <v>0</v>
      </c>
      <c r="F573" s="2043">
        <v>163428952</v>
      </c>
      <c r="G573" s="2043">
        <v>163219092</v>
      </c>
      <c r="H573" s="2043">
        <v>163428952</v>
      </c>
      <c r="I573" s="2043">
        <v>163219092</v>
      </c>
    </row>
    <row r="574" spans="1:9" ht="14.5">
      <c r="A574" t="s">
        <v>9951</v>
      </c>
      <c r="B574" s="2113" t="str">
        <f t="shared" si="8"/>
        <v>136-901</v>
      </c>
      <c r="C574" t="s">
        <v>6561</v>
      </c>
      <c r="D574" s="2043">
        <v>22165245</v>
      </c>
      <c r="E574" s="2043">
        <v>89400000</v>
      </c>
      <c r="F574" s="2043">
        <v>657915263</v>
      </c>
      <c r="G574" s="2043">
        <v>649940018</v>
      </c>
      <c r="H574" s="2043">
        <v>747315263</v>
      </c>
      <c r="I574" s="2043">
        <v>739340018</v>
      </c>
    </row>
    <row r="575" spans="1:9" ht="14.5">
      <c r="A575" t="s">
        <v>9952</v>
      </c>
      <c r="B575" s="2113" t="str">
        <f t="shared" si="8"/>
        <v>137-901</v>
      </c>
      <c r="C575" t="s">
        <v>6562</v>
      </c>
      <c r="D575" s="2043">
        <v>94603954</v>
      </c>
      <c r="E575" s="2043">
        <v>0</v>
      </c>
      <c r="F575" s="2043">
        <v>1011359098</v>
      </c>
      <c r="G575" s="2043">
        <v>976425144</v>
      </c>
      <c r="H575" s="2043">
        <v>1011359098</v>
      </c>
      <c r="I575" s="2043">
        <v>976425144</v>
      </c>
    </row>
    <row r="576" spans="1:9" ht="14.5">
      <c r="A576" t="s">
        <v>9953</v>
      </c>
      <c r="B576" s="2113" t="str">
        <f t="shared" si="8"/>
        <v>137-902</v>
      </c>
      <c r="C576" t="s">
        <v>6563</v>
      </c>
      <c r="D576" s="2043">
        <v>22687002</v>
      </c>
      <c r="E576" s="2043">
        <v>0</v>
      </c>
      <c r="F576" s="2043">
        <v>213315961</v>
      </c>
      <c r="G576" s="2043">
        <v>205283959</v>
      </c>
      <c r="H576" s="2043">
        <v>213315961</v>
      </c>
      <c r="I576" s="2043">
        <v>205283959</v>
      </c>
    </row>
    <row r="577" spans="1:9" ht="14.5">
      <c r="A577" t="s">
        <v>9954</v>
      </c>
      <c r="B577" s="2113" t="str">
        <f t="shared" si="8"/>
        <v>137-903</v>
      </c>
      <c r="C577" t="s">
        <v>6564</v>
      </c>
      <c r="D577" s="2043">
        <v>10082023</v>
      </c>
      <c r="E577" s="2043">
        <v>0</v>
      </c>
      <c r="F577" s="2043">
        <v>272476859</v>
      </c>
      <c r="G577" s="2043">
        <v>270839836</v>
      </c>
      <c r="H577" s="2043">
        <v>272476859</v>
      </c>
      <c r="I577" s="2043">
        <v>270839836</v>
      </c>
    </row>
    <row r="578" spans="1:9" ht="14.5">
      <c r="A578" t="s">
        <v>9955</v>
      </c>
      <c r="B578" s="2113" t="str">
        <f t="shared" si="8"/>
        <v>137-904</v>
      </c>
      <c r="C578" t="s">
        <v>6565</v>
      </c>
      <c r="D578" s="2043">
        <v>0</v>
      </c>
      <c r="E578" s="2043">
        <v>0</v>
      </c>
      <c r="F578" s="2043">
        <v>100003800</v>
      </c>
      <c r="G578" s="2043">
        <v>100003800</v>
      </c>
      <c r="H578" s="2043">
        <v>100003800</v>
      </c>
      <c r="I578" s="2043">
        <v>100003800</v>
      </c>
    </row>
    <row r="579" spans="1:9" ht="14.5">
      <c r="A579" t="s">
        <v>9956</v>
      </c>
      <c r="B579" s="2113" t="str">
        <f t="shared" ref="B579:B642" si="9">CONCATENATE(RIGHT(LEFT(CONCATENATE("000",A579),6),3),"-",(LEFT(RIGHT(CONCATENATE("000",A579),6),3)))</f>
        <v>138-902</v>
      </c>
      <c r="C579" t="s">
        <v>6566</v>
      </c>
      <c r="D579" s="2043">
        <v>9164220</v>
      </c>
      <c r="E579" s="2043">
        <v>0</v>
      </c>
      <c r="F579" s="2043">
        <v>70631651</v>
      </c>
      <c r="G579" s="2043">
        <v>67467431</v>
      </c>
      <c r="H579" s="2043">
        <v>70631651</v>
      </c>
      <c r="I579" s="2043">
        <v>67467431</v>
      </c>
    </row>
    <row r="580" spans="1:9" ht="14.5">
      <c r="A580" t="s">
        <v>9957</v>
      </c>
      <c r="B580" s="2113" t="str">
        <f t="shared" si="9"/>
        <v>138-903</v>
      </c>
      <c r="C580" t="s">
        <v>6567</v>
      </c>
      <c r="D580" s="2043">
        <v>11401290</v>
      </c>
      <c r="E580" s="2043">
        <v>42504150</v>
      </c>
      <c r="F580" s="2043">
        <v>122518264</v>
      </c>
      <c r="G580" s="2043">
        <v>118541974</v>
      </c>
      <c r="H580" s="2043">
        <v>165022414</v>
      </c>
      <c r="I580" s="2043">
        <v>161046124</v>
      </c>
    </row>
    <row r="581" spans="1:9" ht="14.5">
      <c r="A581" t="s">
        <v>9958</v>
      </c>
      <c r="B581" s="2113" t="str">
        <f t="shared" si="9"/>
        <v>138-904</v>
      </c>
      <c r="C581" t="s">
        <v>6568</v>
      </c>
      <c r="D581" s="2043">
        <v>1788310</v>
      </c>
      <c r="E581" s="2043">
        <v>0</v>
      </c>
      <c r="F581" s="2043">
        <v>91137757</v>
      </c>
      <c r="G581" s="2043">
        <v>90519447</v>
      </c>
      <c r="H581" s="2043">
        <v>91137757</v>
      </c>
      <c r="I581" s="2043">
        <v>90519447</v>
      </c>
    </row>
    <row r="582" spans="1:9" ht="14.5">
      <c r="A582" t="s">
        <v>10625</v>
      </c>
      <c r="B582" s="2113" t="str">
        <f t="shared" si="9"/>
        <v>139-905</v>
      </c>
      <c r="C582" t="s">
        <v>6569</v>
      </c>
      <c r="D582" s="2043">
        <v>33638724</v>
      </c>
      <c r="E582" s="2043">
        <v>0</v>
      </c>
      <c r="F582" s="2043">
        <v>1137660876</v>
      </c>
      <c r="G582" s="2043">
        <v>1125112152</v>
      </c>
      <c r="H582" s="2043">
        <v>1137660876</v>
      </c>
      <c r="I582" s="2043">
        <v>1125112152</v>
      </c>
    </row>
    <row r="583" spans="1:9" ht="14.5">
      <c r="A583" t="s">
        <v>9959</v>
      </c>
      <c r="B583" s="2113" t="str">
        <f t="shared" si="9"/>
        <v>139-909</v>
      </c>
      <c r="C583" t="s">
        <v>6570</v>
      </c>
      <c r="D583" s="2043">
        <v>93021716</v>
      </c>
      <c r="E583" s="2043">
        <v>0</v>
      </c>
      <c r="F583" s="2043">
        <v>1043366232</v>
      </c>
      <c r="G583" s="2043">
        <v>1008004516</v>
      </c>
      <c r="H583" s="2043">
        <v>1043366232</v>
      </c>
      <c r="I583" s="2043">
        <v>1008004516</v>
      </c>
    </row>
    <row r="584" spans="1:9" ht="14.5">
      <c r="A584" t="s">
        <v>9960</v>
      </c>
      <c r="B584" s="2113" t="str">
        <f t="shared" si="9"/>
        <v>139-911</v>
      </c>
      <c r="C584" t="s">
        <v>6571</v>
      </c>
      <c r="D584" s="2043">
        <v>114911726</v>
      </c>
      <c r="E584" s="2043">
        <v>0</v>
      </c>
      <c r="F584" s="2043">
        <v>1415015678</v>
      </c>
      <c r="G584" s="2043">
        <v>1370558952</v>
      </c>
      <c r="H584" s="2043">
        <v>1415015678</v>
      </c>
      <c r="I584" s="2043">
        <v>1370558952</v>
      </c>
    </row>
    <row r="585" spans="1:9" ht="14.5">
      <c r="A585" t="s">
        <v>9961</v>
      </c>
      <c r="B585" s="2113" t="str">
        <f t="shared" si="9"/>
        <v>139-912</v>
      </c>
      <c r="C585" t="s">
        <v>6572</v>
      </c>
      <c r="D585" s="2043">
        <v>40476478</v>
      </c>
      <c r="E585" s="2043">
        <v>0</v>
      </c>
      <c r="F585" s="2043">
        <v>328725596</v>
      </c>
      <c r="G585" s="2043">
        <v>313419118</v>
      </c>
      <c r="H585" s="2043">
        <v>328725596</v>
      </c>
      <c r="I585" s="2043">
        <v>313419118</v>
      </c>
    </row>
    <row r="586" spans="1:9" ht="14.5">
      <c r="A586" t="s">
        <v>9962</v>
      </c>
      <c r="B586" s="2113" t="str">
        <f t="shared" si="9"/>
        <v>140-901</v>
      </c>
      <c r="C586" t="s">
        <v>6573</v>
      </c>
      <c r="D586" s="2043">
        <v>3659536</v>
      </c>
      <c r="E586" s="2043">
        <v>0</v>
      </c>
      <c r="F586" s="2043">
        <v>50146582</v>
      </c>
      <c r="G586" s="2043">
        <v>49187046</v>
      </c>
      <c r="H586" s="2043">
        <v>50146582</v>
      </c>
      <c r="I586" s="2043">
        <v>49187046</v>
      </c>
    </row>
    <row r="587" spans="1:9" ht="14.5">
      <c r="A587" t="s">
        <v>9963</v>
      </c>
      <c r="B587" s="2113" t="str">
        <f t="shared" si="9"/>
        <v>140-904</v>
      </c>
      <c r="C587" t="s">
        <v>6574</v>
      </c>
      <c r="D587" s="2043">
        <v>29591313</v>
      </c>
      <c r="E587" s="2043">
        <v>153536210</v>
      </c>
      <c r="F587" s="2043">
        <v>268682310</v>
      </c>
      <c r="G587" s="2043">
        <v>260150997</v>
      </c>
      <c r="H587" s="2043">
        <v>422218520</v>
      </c>
      <c r="I587" s="2043">
        <v>413687207</v>
      </c>
    </row>
    <row r="588" spans="1:9" ht="14.5">
      <c r="A588" t="s">
        <v>9964</v>
      </c>
      <c r="B588" s="2113" t="str">
        <f t="shared" si="9"/>
        <v>140-905</v>
      </c>
      <c r="C588" t="s">
        <v>6575</v>
      </c>
      <c r="D588" s="2043">
        <v>11498150</v>
      </c>
      <c r="E588" s="2043">
        <v>0</v>
      </c>
      <c r="F588" s="2043">
        <v>141475796</v>
      </c>
      <c r="G588" s="2043">
        <v>138422646</v>
      </c>
      <c r="H588" s="2043">
        <v>141475796</v>
      </c>
      <c r="I588" s="2043">
        <v>138422646</v>
      </c>
    </row>
    <row r="589" spans="1:9" ht="14.5">
      <c r="A589" t="s">
        <v>9965</v>
      </c>
      <c r="B589" s="2113" t="str">
        <f t="shared" si="9"/>
        <v>140-907</v>
      </c>
      <c r="C589" t="s">
        <v>6576</v>
      </c>
      <c r="D589" s="2043">
        <v>6767158</v>
      </c>
      <c r="E589" s="2043">
        <v>0</v>
      </c>
      <c r="F589" s="2043">
        <v>84044190</v>
      </c>
      <c r="G589" s="2043">
        <v>82062032</v>
      </c>
      <c r="H589" s="2043">
        <v>84044190</v>
      </c>
      <c r="I589" s="2043">
        <v>82062032</v>
      </c>
    </row>
    <row r="590" spans="1:9" ht="14.5">
      <c r="A590" t="s">
        <v>9966</v>
      </c>
      <c r="B590" s="2113" t="str">
        <f t="shared" si="9"/>
        <v>140-908</v>
      </c>
      <c r="C590" t="s">
        <v>6577</v>
      </c>
      <c r="D590" s="2043">
        <v>7397206</v>
      </c>
      <c r="E590" s="2043">
        <v>127385620</v>
      </c>
      <c r="F590" s="2043">
        <v>536794476</v>
      </c>
      <c r="G590" s="2043">
        <v>534872270</v>
      </c>
      <c r="H590" s="2043">
        <v>664180096</v>
      </c>
      <c r="I590" s="2043">
        <v>662257890</v>
      </c>
    </row>
    <row r="591" spans="1:9" ht="14.5">
      <c r="A591" t="s">
        <v>10626</v>
      </c>
      <c r="B591" s="2113" t="str">
        <f t="shared" si="9"/>
        <v>141-901</v>
      </c>
      <c r="C591" t="s">
        <v>6578</v>
      </c>
      <c r="D591" s="2043">
        <v>134658425</v>
      </c>
      <c r="E591" s="2043">
        <v>0</v>
      </c>
      <c r="F591" s="2043">
        <v>1377188489</v>
      </c>
      <c r="G591" s="2043">
        <v>1326445064</v>
      </c>
      <c r="H591" s="2043">
        <v>1377188489</v>
      </c>
      <c r="I591" s="2043">
        <v>1326445064</v>
      </c>
    </row>
    <row r="592" spans="1:9" ht="14.5">
      <c r="A592" t="s">
        <v>9967</v>
      </c>
      <c r="B592" s="2113" t="str">
        <f t="shared" si="9"/>
        <v>141-902</v>
      </c>
      <c r="C592" t="s">
        <v>6579</v>
      </c>
      <c r="D592" s="2043">
        <v>9055687</v>
      </c>
      <c r="E592" s="2043">
        <v>0</v>
      </c>
      <c r="F592" s="2043">
        <v>153261903</v>
      </c>
      <c r="G592" s="2043">
        <v>149906216</v>
      </c>
      <c r="H592" s="2043">
        <v>153261903</v>
      </c>
      <c r="I592" s="2043">
        <v>149906216</v>
      </c>
    </row>
    <row r="593" spans="1:9" ht="14.5">
      <c r="A593" t="s">
        <v>9968</v>
      </c>
      <c r="B593" s="2113" t="str">
        <f t="shared" si="9"/>
        <v>142-901</v>
      </c>
      <c r="C593" t="s">
        <v>6580</v>
      </c>
      <c r="D593" s="2043">
        <v>24344034</v>
      </c>
      <c r="E593" s="2043">
        <v>0</v>
      </c>
      <c r="F593" s="2043">
        <v>5706449253</v>
      </c>
      <c r="G593" s="2043">
        <v>5698680219</v>
      </c>
      <c r="H593" s="2043">
        <v>5706449253</v>
      </c>
      <c r="I593" s="2043">
        <v>5698680219</v>
      </c>
    </row>
    <row r="594" spans="1:9" ht="14.5">
      <c r="A594" t="s">
        <v>9969</v>
      </c>
      <c r="B594" s="2113" t="str">
        <f t="shared" si="9"/>
        <v>143-901</v>
      </c>
      <c r="C594" t="s">
        <v>6581</v>
      </c>
      <c r="D594" s="2043">
        <v>50761497</v>
      </c>
      <c r="E594" s="2043">
        <v>0</v>
      </c>
      <c r="F594" s="2043">
        <v>811128893</v>
      </c>
      <c r="G594" s="2043">
        <v>811128893</v>
      </c>
      <c r="H594" s="2043">
        <v>811128893</v>
      </c>
      <c r="I594" s="2043">
        <v>811128893</v>
      </c>
    </row>
    <row r="595" spans="1:9" ht="14.5">
      <c r="A595" t="s">
        <v>9970</v>
      </c>
      <c r="B595" s="2113" t="str">
        <f t="shared" si="9"/>
        <v>143-902</v>
      </c>
      <c r="C595" t="s">
        <v>6582</v>
      </c>
      <c r="D595" s="2043">
        <v>15207841</v>
      </c>
      <c r="E595" s="2043">
        <v>0</v>
      </c>
      <c r="F595" s="2043">
        <v>437711716</v>
      </c>
      <c r="G595" s="2043">
        <v>436998606</v>
      </c>
      <c r="H595" s="2043">
        <v>437711716</v>
      </c>
      <c r="I595" s="2043">
        <v>436998606</v>
      </c>
    </row>
    <row r="596" spans="1:9" ht="14.5">
      <c r="A596" t="s">
        <v>9971</v>
      </c>
      <c r="B596" s="2113" t="str">
        <f t="shared" si="9"/>
        <v>143-903</v>
      </c>
      <c r="C596" t="s">
        <v>6583</v>
      </c>
      <c r="D596" s="2043">
        <v>30117473</v>
      </c>
      <c r="E596" s="2043">
        <v>0</v>
      </c>
      <c r="F596" s="2043">
        <v>755962066</v>
      </c>
      <c r="G596" s="2043">
        <v>754629593</v>
      </c>
      <c r="H596" s="2043">
        <v>755962066</v>
      </c>
      <c r="I596" s="2043">
        <v>754629593</v>
      </c>
    </row>
    <row r="597" spans="1:9" ht="14.5">
      <c r="A597" t="s">
        <v>9972</v>
      </c>
      <c r="B597" s="2113" t="str">
        <f t="shared" si="9"/>
        <v>143-904</v>
      </c>
      <c r="C597" t="s">
        <v>6584</v>
      </c>
      <c r="D597" s="2043">
        <v>6531837</v>
      </c>
      <c r="E597" s="2043">
        <v>0</v>
      </c>
      <c r="F597" s="2043">
        <v>62519144</v>
      </c>
      <c r="G597" s="2043">
        <v>62519144</v>
      </c>
      <c r="H597" s="2043">
        <v>62519144</v>
      </c>
      <c r="I597" s="2043">
        <v>62519144</v>
      </c>
    </row>
    <row r="598" spans="1:9" ht="14.5">
      <c r="A598" t="s">
        <v>9973</v>
      </c>
      <c r="B598" s="2113" t="str">
        <f t="shared" si="9"/>
        <v>143-905</v>
      </c>
      <c r="C598" t="s">
        <v>6585</v>
      </c>
      <c r="D598" s="2043">
        <v>7338951</v>
      </c>
      <c r="E598" s="2043">
        <v>0</v>
      </c>
      <c r="F598" s="2043">
        <v>75065189</v>
      </c>
      <c r="G598" s="2043">
        <v>75065189</v>
      </c>
      <c r="H598" s="2043">
        <v>75065189</v>
      </c>
      <c r="I598" s="2043">
        <v>75065189</v>
      </c>
    </row>
    <row r="599" spans="1:9" ht="14.5">
      <c r="A599" t="s">
        <v>9974</v>
      </c>
      <c r="B599" s="2113" t="str">
        <f t="shared" si="9"/>
        <v>143-906</v>
      </c>
      <c r="C599" t="s">
        <v>6586</v>
      </c>
      <c r="D599" s="2043">
        <v>6790440</v>
      </c>
      <c r="E599" s="2043">
        <v>0</v>
      </c>
      <c r="F599" s="2043">
        <v>90868290</v>
      </c>
      <c r="G599" s="2043">
        <v>90868290</v>
      </c>
      <c r="H599" s="2043">
        <v>90868290</v>
      </c>
      <c r="I599" s="2043">
        <v>90868290</v>
      </c>
    </row>
    <row r="600" spans="1:9" ht="14.5">
      <c r="A600" t="s">
        <v>9975</v>
      </c>
      <c r="B600" s="2113" t="str">
        <f t="shared" si="9"/>
        <v>144-901</v>
      </c>
      <c r="C600" t="s">
        <v>6587</v>
      </c>
      <c r="D600" s="2043">
        <v>56416903</v>
      </c>
      <c r="E600" s="2043">
        <v>0</v>
      </c>
      <c r="F600" s="2043">
        <v>945593262</v>
      </c>
      <c r="G600" s="2043">
        <v>926121359</v>
      </c>
      <c r="H600" s="2043">
        <v>945593262</v>
      </c>
      <c r="I600" s="2043">
        <v>926121359</v>
      </c>
    </row>
    <row r="601" spans="1:9" ht="14.5">
      <c r="A601" t="s">
        <v>9976</v>
      </c>
      <c r="B601" s="2113" t="str">
        <f t="shared" si="9"/>
        <v>144-902</v>
      </c>
      <c r="C601" t="s">
        <v>6588</v>
      </c>
      <c r="D601" s="2043">
        <v>39228089</v>
      </c>
      <c r="E601" s="2043">
        <v>0</v>
      </c>
      <c r="F601" s="2043">
        <v>475920547</v>
      </c>
      <c r="G601" s="2043">
        <v>462972458</v>
      </c>
      <c r="H601" s="2043">
        <v>475920547</v>
      </c>
      <c r="I601" s="2043">
        <v>462972458</v>
      </c>
    </row>
    <row r="602" spans="1:9" ht="14.5">
      <c r="A602" t="s">
        <v>9977</v>
      </c>
      <c r="B602" s="2113" t="str">
        <f t="shared" si="9"/>
        <v>144-903</v>
      </c>
      <c r="C602" t="s">
        <v>6589</v>
      </c>
      <c r="D602" s="2043">
        <v>8405775</v>
      </c>
      <c r="E602" s="2043">
        <v>0</v>
      </c>
      <c r="F602" s="2043">
        <v>161257082</v>
      </c>
      <c r="G602" s="2043">
        <v>158761307</v>
      </c>
      <c r="H602" s="2043">
        <v>161257082</v>
      </c>
      <c r="I602" s="2043">
        <v>158761307</v>
      </c>
    </row>
    <row r="603" spans="1:9" ht="14.5">
      <c r="A603" t="s">
        <v>9978</v>
      </c>
      <c r="B603" s="2113" t="str">
        <f t="shared" si="9"/>
        <v>145-901</v>
      </c>
      <c r="C603" t="s">
        <v>6590</v>
      </c>
      <c r="D603" s="2043">
        <v>31007173</v>
      </c>
      <c r="E603" s="2043">
        <v>0</v>
      </c>
      <c r="F603" s="2043">
        <v>482165493</v>
      </c>
      <c r="G603" s="2043">
        <v>471288320</v>
      </c>
      <c r="H603" s="2043">
        <v>482165493</v>
      </c>
      <c r="I603" s="2043">
        <v>471288320</v>
      </c>
    </row>
    <row r="604" spans="1:9" ht="14.5">
      <c r="A604" t="s">
        <v>10627</v>
      </c>
      <c r="B604" s="2113" t="str">
        <f t="shared" si="9"/>
        <v>145-902</v>
      </c>
      <c r="C604" t="s">
        <v>6591</v>
      </c>
      <c r="D604" s="2043">
        <v>33111410</v>
      </c>
      <c r="E604" s="2043">
        <v>0</v>
      </c>
      <c r="F604" s="2043">
        <v>410871712</v>
      </c>
      <c r="G604" s="2043">
        <v>398985302</v>
      </c>
      <c r="H604" s="2043">
        <v>410871712</v>
      </c>
      <c r="I604" s="2043">
        <v>398985302</v>
      </c>
    </row>
    <row r="605" spans="1:9" ht="14.5">
      <c r="A605" t="s">
        <v>9979</v>
      </c>
      <c r="B605" s="2113" t="str">
        <f t="shared" si="9"/>
        <v>145-906</v>
      </c>
      <c r="C605" t="s">
        <v>6592</v>
      </c>
      <c r="D605" s="2043">
        <v>29194655</v>
      </c>
      <c r="E605" s="2043">
        <v>0</v>
      </c>
      <c r="F605" s="2043">
        <v>388008542</v>
      </c>
      <c r="G605" s="2043">
        <v>378479192</v>
      </c>
      <c r="H605" s="2043">
        <v>388008542</v>
      </c>
      <c r="I605" s="2043">
        <v>378479192</v>
      </c>
    </row>
    <row r="606" spans="1:9" ht="14.5">
      <c r="A606" t="s">
        <v>9980</v>
      </c>
      <c r="B606" s="2113" t="str">
        <f t="shared" si="9"/>
        <v>145-907</v>
      </c>
      <c r="C606" t="s">
        <v>6593</v>
      </c>
      <c r="D606" s="2043">
        <v>7760811</v>
      </c>
      <c r="E606" s="2043">
        <v>0</v>
      </c>
      <c r="F606" s="2043">
        <v>171290089</v>
      </c>
      <c r="G606" s="2043">
        <v>168869278</v>
      </c>
      <c r="H606" s="2043">
        <v>171290089</v>
      </c>
      <c r="I606" s="2043">
        <v>168869278</v>
      </c>
    </row>
    <row r="607" spans="1:9" ht="14.5">
      <c r="A607" t="s">
        <v>10628</v>
      </c>
      <c r="B607" s="2113" t="str">
        <f t="shared" si="9"/>
        <v>145-911</v>
      </c>
      <c r="C607" t="s">
        <v>6594</v>
      </c>
      <c r="D607" s="2043">
        <v>23019120</v>
      </c>
      <c r="E607" s="2043">
        <v>0</v>
      </c>
      <c r="F607" s="2043">
        <v>924664795</v>
      </c>
      <c r="G607" s="2043">
        <v>916540675</v>
      </c>
      <c r="H607" s="2043">
        <v>924664795</v>
      </c>
      <c r="I607" s="2043">
        <v>916540675</v>
      </c>
    </row>
    <row r="608" spans="1:9" ht="14.5">
      <c r="A608" t="s">
        <v>9981</v>
      </c>
      <c r="B608" s="2113" t="str">
        <f t="shared" si="9"/>
        <v>146-901</v>
      </c>
      <c r="C608" t="s">
        <v>6595</v>
      </c>
      <c r="D608" s="2043">
        <v>97118437</v>
      </c>
      <c r="E608" s="2043">
        <v>0</v>
      </c>
      <c r="F608" s="2043">
        <v>2251887550</v>
      </c>
      <c r="G608" s="2043">
        <v>2221099113</v>
      </c>
      <c r="H608" s="2043">
        <v>2251887550</v>
      </c>
      <c r="I608" s="2043">
        <v>2221099113</v>
      </c>
    </row>
    <row r="609" spans="1:9" ht="14.5">
      <c r="A609" t="s">
        <v>9982</v>
      </c>
      <c r="B609" s="2113" t="str">
        <f t="shared" si="9"/>
        <v>146-902</v>
      </c>
      <c r="C609" t="s">
        <v>6596</v>
      </c>
      <c r="D609" s="2043">
        <v>141386115</v>
      </c>
      <c r="E609" s="2043">
        <v>0</v>
      </c>
      <c r="F609" s="2043">
        <v>2286374862</v>
      </c>
      <c r="G609" s="2043">
        <v>2239293747</v>
      </c>
      <c r="H609" s="2043">
        <v>2286374862</v>
      </c>
      <c r="I609" s="2043">
        <v>2239293747</v>
      </c>
    </row>
    <row r="610" spans="1:9" ht="14.5">
      <c r="A610" t="s">
        <v>9983</v>
      </c>
      <c r="B610" s="2113" t="str">
        <f t="shared" si="9"/>
        <v>146-903</v>
      </c>
      <c r="C610" t="s">
        <v>6597</v>
      </c>
      <c r="D610" s="2043">
        <v>5799147</v>
      </c>
      <c r="E610" s="2043">
        <v>0</v>
      </c>
      <c r="F610" s="2043">
        <v>206951722</v>
      </c>
      <c r="G610" s="2043">
        <v>205712575</v>
      </c>
      <c r="H610" s="2043">
        <v>206951722</v>
      </c>
      <c r="I610" s="2043">
        <v>205712575</v>
      </c>
    </row>
    <row r="611" spans="1:9" ht="14.5">
      <c r="A611" t="s">
        <v>9984</v>
      </c>
      <c r="B611" s="2113" t="str">
        <f t="shared" si="9"/>
        <v>146-904</v>
      </c>
      <c r="C611" t="s">
        <v>6598</v>
      </c>
      <c r="D611" s="2043">
        <v>42075955</v>
      </c>
      <c r="E611" s="2043">
        <v>0</v>
      </c>
      <c r="F611" s="2043">
        <v>528861739</v>
      </c>
      <c r="G611" s="2043">
        <v>514850784</v>
      </c>
      <c r="H611" s="2043">
        <v>528861739</v>
      </c>
      <c r="I611" s="2043">
        <v>514850784</v>
      </c>
    </row>
    <row r="612" spans="1:9" ht="14.5">
      <c r="A612" t="s">
        <v>9985</v>
      </c>
      <c r="B612" s="2113" t="str">
        <f t="shared" si="9"/>
        <v>146-905</v>
      </c>
      <c r="C612" t="s">
        <v>6599</v>
      </c>
      <c r="D612" s="2043">
        <v>17833078</v>
      </c>
      <c r="E612" s="2043">
        <v>0</v>
      </c>
      <c r="F612" s="2043">
        <v>269451861</v>
      </c>
      <c r="G612" s="2043">
        <v>264143783</v>
      </c>
      <c r="H612" s="2043">
        <v>269451861</v>
      </c>
      <c r="I612" s="2043">
        <v>264143783</v>
      </c>
    </row>
    <row r="613" spans="1:9" ht="14.5">
      <c r="A613" t="s">
        <v>9986</v>
      </c>
      <c r="B613" s="2113" t="str">
        <f t="shared" si="9"/>
        <v>146-906</v>
      </c>
      <c r="C613" t="s">
        <v>6600</v>
      </c>
      <c r="D613" s="2043">
        <v>56517483</v>
      </c>
      <c r="E613" s="2043">
        <v>0</v>
      </c>
      <c r="F613" s="2043">
        <v>1047179856</v>
      </c>
      <c r="G613" s="2043">
        <v>1028282373</v>
      </c>
      <c r="H613" s="2043">
        <v>1047179856</v>
      </c>
      <c r="I613" s="2043">
        <v>1028282373</v>
      </c>
    </row>
    <row r="614" spans="1:9" ht="14.5">
      <c r="A614" t="s">
        <v>9987</v>
      </c>
      <c r="B614" s="2113" t="str">
        <f t="shared" si="9"/>
        <v>146-907</v>
      </c>
      <c r="C614" t="s">
        <v>6601</v>
      </c>
      <c r="D614" s="2043">
        <v>56151053</v>
      </c>
      <c r="E614" s="2043">
        <v>0</v>
      </c>
      <c r="F614" s="2043">
        <v>766390992</v>
      </c>
      <c r="G614" s="2043">
        <v>746959939</v>
      </c>
      <c r="H614" s="2043">
        <v>766390992</v>
      </c>
      <c r="I614" s="2043">
        <v>746959939</v>
      </c>
    </row>
    <row r="615" spans="1:9" ht="14.5">
      <c r="A615" t="s">
        <v>9988</v>
      </c>
      <c r="B615" s="2113" t="str">
        <f t="shared" si="9"/>
        <v>147-901</v>
      </c>
      <c r="C615" t="s">
        <v>6602</v>
      </c>
      <c r="D615" s="2043">
        <v>5900518</v>
      </c>
      <c r="E615" s="2043">
        <v>0</v>
      </c>
      <c r="F615" s="2043">
        <v>60252929</v>
      </c>
      <c r="G615" s="2043">
        <v>58507411</v>
      </c>
      <c r="H615" s="2043">
        <v>60252929</v>
      </c>
      <c r="I615" s="2043">
        <v>58507411</v>
      </c>
    </row>
    <row r="616" spans="1:9" ht="14.5">
      <c r="A616" t="s">
        <v>10629</v>
      </c>
      <c r="B616" s="2113" t="str">
        <f t="shared" si="9"/>
        <v>147-902</v>
      </c>
      <c r="C616" t="s">
        <v>6603</v>
      </c>
      <c r="D616" s="2043">
        <v>56521428</v>
      </c>
      <c r="E616" s="2043">
        <v>0</v>
      </c>
      <c r="F616" s="2043">
        <v>1325837563</v>
      </c>
      <c r="G616" s="2043">
        <v>1306681135</v>
      </c>
      <c r="H616" s="2043">
        <v>1325837563</v>
      </c>
      <c r="I616" s="2043">
        <v>1306681135</v>
      </c>
    </row>
    <row r="617" spans="1:9" ht="14.5">
      <c r="A617" t="s">
        <v>10630</v>
      </c>
      <c r="B617" s="2113" t="str">
        <f t="shared" si="9"/>
        <v>147-903</v>
      </c>
      <c r="C617" t="s">
        <v>6604</v>
      </c>
      <c r="D617" s="2043">
        <v>55642310</v>
      </c>
      <c r="E617" s="2043">
        <v>0</v>
      </c>
      <c r="F617" s="2043">
        <v>505603470</v>
      </c>
      <c r="G617" s="2043">
        <v>486276160</v>
      </c>
      <c r="H617" s="2043">
        <v>505603470</v>
      </c>
      <c r="I617" s="2043">
        <v>486276160</v>
      </c>
    </row>
    <row r="618" spans="1:9" ht="14.5">
      <c r="A618" t="s">
        <v>9989</v>
      </c>
      <c r="B618" s="2113" t="str">
        <f t="shared" si="9"/>
        <v>148-901</v>
      </c>
      <c r="C618" t="s">
        <v>6605</v>
      </c>
      <c r="D618" s="2043">
        <v>7625840</v>
      </c>
      <c r="E618" s="2043">
        <v>0</v>
      </c>
      <c r="F618" s="2043">
        <v>156795781</v>
      </c>
      <c r="G618" s="2043">
        <v>154089941</v>
      </c>
      <c r="H618" s="2043">
        <v>156795781</v>
      </c>
      <c r="I618" s="2043">
        <v>154089941</v>
      </c>
    </row>
    <row r="619" spans="1:9" ht="14.5">
      <c r="A619" t="s">
        <v>9990</v>
      </c>
      <c r="B619" s="2113" t="str">
        <f t="shared" si="9"/>
        <v>148-902</v>
      </c>
      <c r="C619" t="s">
        <v>6606</v>
      </c>
      <c r="D619" s="2043">
        <v>3602810</v>
      </c>
      <c r="E619" s="2043">
        <v>0</v>
      </c>
      <c r="F619" s="2043">
        <v>90306965</v>
      </c>
      <c r="G619" s="2043">
        <v>89104155</v>
      </c>
      <c r="H619" s="2043">
        <v>90306965</v>
      </c>
      <c r="I619" s="2043">
        <v>89104155</v>
      </c>
    </row>
    <row r="620" spans="1:9" ht="14.5">
      <c r="A620" t="s">
        <v>9991</v>
      </c>
      <c r="B620" s="2113" t="str">
        <f t="shared" si="9"/>
        <v>148-905</v>
      </c>
      <c r="C620" t="s">
        <v>6607</v>
      </c>
      <c r="D620" s="2043">
        <v>2904170</v>
      </c>
      <c r="E620" s="2043">
        <v>0</v>
      </c>
      <c r="F620" s="2043">
        <v>55659606</v>
      </c>
      <c r="G620" s="2043">
        <v>54660436</v>
      </c>
      <c r="H620" s="2043">
        <v>55659606</v>
      </c>
      <c r="I620" s="2043">
        <v>54660436</v>
      </c>
    </row>
    <row r="621" spans="1:9" ht="14.5">
      <c r="A621" t="s">
        <v>9992</v>
      </c>
      <c r="B621" s="2113" t="str">
        <f t="shared" si="9"/>
        <v>149-901</v>
      </c>
      <c r="C621" t="s">
        <v>6608</v>
      </c>
      <c r="D621" s="2043">
        <v>44737108</v>
      </c>
      <c r="E621" s="2043">
        <v>0</v>
      </c>
      <c r="F621" s="2043">
        <v>842914699</v>
      </c>
      <c r="G621" s="2043">
        <v>826902591</v>
      </c>
      <c r="H621" s="2043">
        <v>842914699</v>
      </c>
      <c r="I621" s="2043">
        <v>826902591</v>
      </c>
    </row>
    <row r="622" spans="1:9" ht="14.5">
      <c r="A622" t="s">
        <v>9993</v>
      </c>
      <c r="B622" s="2113" t="str">
        <f t="shared" si="9"/>
        <v>149-902</v>
      </c>
      <c r="C622" t="s">
        <v>6609</v>
      </c>
      <c r="D622" s="2043">
        <v>19870633</v>
      </c>
      <c r="E622" s="2043">
        <v>0</v>
      </c>
      <c r="F622" s="2043">
        <v>2227701566</v>
      </c>
      <c r="G622" s="2043">
        <v>2220220933</v>
      </c>
      <c r="H622" s="2043">
        <v>2227701566</v>
      </c>
      <c r="I622" s="2043">
        <v>2220220933</v>
      </c>
    </row>
    <row r="623" spans="1:9" ht="14.5">
      <c r="A623" t="s">
        <v>9994</v>
      </c>
      <c r="B623" s="2113" t="str">
        <f t="shared" si="9"/>
        <v>150-901</v>
      </c>
      <c r="C623" t="s">
        <v>6610</v>
      </c>
      <c r="D623" s="2043">
        <v>139006923</v>
      </c>
      <c r="E623" s="2043">
        <v>0</v>
      </c>
      <c r="F623" s="2043">
        <v>4641783589</v>
      </c>
      <c r="G623" s="2043">
        <v>4591321666</v>
      </c>
      <c r="H623" s="2043">
        <v>4641783589</v>
      </c>
      <c r="I623" s="2043">
        <v>4591321666</v>
      </c>
    </row>
    <row r="624" spans="1:9" ht="14.5">
      <c r="A624" t="s">
        <v>9995</v>
      </c>
      <c r="B624" s="2113" t="str">
        <f t="shared" si="9"/>
        <v>152-901</v>
      </c>
      <c r="C624" t="s">
        <v>6611</v>
      </c>
      <c r="D624" s="2043">
        <v>725086996</v>
      </c>
      <c r="E624" s="2043">
        <v>0</v>
      </c>
      <c r="F624" s="2043">
        <v>11942094269</v>
      </c>
      <c r="G624" s="2043">
        <v>11657317273</v>
      </c>
      <c r="H624" s="2043">
        <v>11942094269</v>
      </c>
      <c r="I624" s="2043">
        <v>11657317273</v>
      </c>
    </row>
    <row r="625" spans="1:9" ht="14.5">
      <c r="A625" t="s">
        <v>9996</v>
      </c>
      <c r="B625" s="2113" t="str">
        <f t="shared" si="9"/>
        <v>152-902</v>
      </c>
      <c r="C625" t="s">
        <v>6612</v>
      </c>
      <c r="D625" s="2043">
        <v>18041519</v>
      </c>
      <c r="E625" s="2043">
        <v>0</v>
      </c>
      <c r="F625" s="2043">
        <v>428063736</v>
      </c>
      <c r="G625" s="2043">
        <v>422487217</v>
      </c>
      <c r="H625" s="2043">
        <v>428063736</v>
      </c>
      <c r="I625" s="2043">
        <v>422487217</v>
      </c>
    </row>
    <row r="626" spans="1:9" ht="14.5">
      <c r="A626" t="s">
        <v>9997</v>
      </c>
      <c r="B626" s="2113" t="str">
        <f t="shared" si="9"/>
        <v>152-903</v>
      </c>
      <c r="C626" t="s">
        <v>6613</v>
      </c>
      <c r="D626" s="2043">
        <v>40681216</v>
      </c>
      <c r="E626" s="2043">
        <v>0</v>
      </c>
      <c r="F626" s="2043">
        <v>467594586</v>
      </c>
      <c r="G626" s="2043">
        <v>452443370</v>
      </c>
      <c r="H626" s="2043">
        <v>467594586</v>
      </c>
      <c r="I626" s="2043">
        <v>452443370</v>
      </c>
    </row>
    <row r="627" spans="1:9" ht="14.5">
      <c r="A627" t="s">
        <v>9998</v>
      </c>
      <c r="B627" s="2113" t="str">
        <f t="shared" si="9"/>
        <v>152-906</v>
      </c>
      <c r="C627" t="s">
        <v>6614</v>
      </c>
      <c r="D627" s="2043">
        <v>200117327</v>
      </c>
      <c r="E627" s="2043">
        <v>0</v>
      </c>
      <c r="F627" s="2043">
        <v>3861114889</v>
      </c>
      <c r="G627" s="2043">
        <v>3784357562</v>
      </c>
      <c r="H627" s="2043">
        <v>3861114889</v>
      </c>
      <c r="I627" s="2043">
        <v>3784357562</v>
      </c>
    </row>
    <row r="628" spans="1:9" ht="14.5">
      <c r="A628" t="s">
        <v>9999</v>
      </c>
      <c r="B628" s="2113" t="str">
        <f t="shared" si="9"/>
        <v>152-907</v>
      </c>
      <c r="C628" t="s">
        <v>6615</v>
      </c>
      <c r="D628" s="2043">
        <v>257940272</v>
      </c>
      <c r="E628" s="2043">
        <v>0</v>
      </c>
      <c r="F628" s="2043">
        <v>4818546589</v>
      </c>
      <c r="G628" s="2043">
        <v>4720356317</v>
      </c>
      <c r="H628" s="2043">
        <v>4818546589</v>
      </c>
      <c r="I628" s="2043">
        <v>4720356317</v>
      </c>
    </row>
    <row r="629" spans="1:9" ht="14.5">
      <c r="A629" t="s">
        <v>10000</v>
      </c>
      <c r="B629" s="2113" t="str">
        <f t="shared" si="9"/>
        <v>152-908</v>
      </c>
      <c r="C629" t="s">
        <v>6616</v>
      </c>
      <c r="D629" s="2043">
        <v>23974663</v>
      </c>
      <c r="E629" s="2043">
        <v>0</v>
      </c>
      <c r="F629" s="2043">
        <v>272044573</v>
      </c>
      <c r="G629" s="2043">
        <v>264464910</v>
      </c>
      <c r="H629" s="2043">
        <v>272044573</v>
      </c>
      <c r="I629" s="2043">
        <v>264464910</v>
      </c>
    </row>
    <row r="630" spans="1:9" ht="14.5">
      <c r="A630" t="s">
        <v>10001</v>
      </c>
      <c r="B630" s="2113" t="str">
        <f t="shared" si="9"/>
        <v>152-909</v>
      </c>
      <c r="C630" t="s">
        <v>6617</v>
      </c>
      <c r="D630" s="2043">
        <v>30257540</v>
      </c>
      <c r="E630" s="2043">
        <v>0</v>
      </c>
      <c r="F630" s="2043">
        <v>390917227</v>
      </c>
      <c r="G630" s="2043">
        <v>380444687</v>
      </c>
      <c r="H630" s="2043">
        <v>390917227</v>
      </c>
      <c r="I630" s="2043">
        <v>380444687</v>
      </c>
    </row>
    <row r="631" spans="1:9" ht="14.5">
      <c r="A631" t="s">
        <v>10002</v>
      </c>
      <c r="B631" s="2113" t="str">
        <f t="shared" si="9"/>
        <v>152-910</v>
      </c>
      <c r="C631" t="s">
        <v>6618</v>
      </c>
      <c r="D631" s="2043">
        <v>21710151</v>
      </c>
      <c r="E631" s="2043">
        <v>0</v>
      </c>
      <c r="F631" s="2043">
        <v>310264011</v>
      </c>
      <c r="G631" s="2043">
        <v>301933860</v>
      </c>
      <c r="H631" s="2043">
        <v>310264011</v>
      </c>
      <c r="I631" s="2043">
        <v>301933860</v>
      </c>
    </row>
    <row r="632" spans="1:9" ht="14.5">
      <c r="A632" t="s">
        <v>10003</v>
      </c>
      <c r="B632" s="2113" t="str">
        <f t="shared" si="9"/>
        <v>153-903</v>
      </c>
      <c r="C632" t="s">
        <v>6619</v>
      </c>
      <c r="D632" s="2043">
        <v>6427020</v>
      </c>
      <c r="E632" s="2043">
        <v>151388860</v>
      </c>
      <c r="F632" s="2043">
        <v>103813069</v>
      </c>
      <c r="G632" s="2043">
        <v>101571049</v>
      </c>
      <c r="H632" s="2043">
        <v>255201929</v>
      </c>
      <c r="I632" s="2043">
        <v>252959909</v>
      </c>
    </row>
    <row r="633" spans="1:9" ht="14.5">
      <c r="A633" t="s">
        <v>10004</v>
      </c>
      <c r="B633" s="2113" t="str">
        <f t="shared" si="9"/>
        <v>153-904</v>
      </c>
      <c r="C633" t="s">
        <v>6620</v>
      </c>
      <c r="D633" s="2043">
        <v>16183790</v>
      </c>
      <c r="E633" s="2043">
        <v>270591030</v>
      </c>
      <c r="F633" s="2043">
        <v>189021718</v>
      </c>
      <c r="G633" s="2043">
        <v>183202928</v>
      </c>
      <c r="H633" s="2043">
        <v>459612748</v>
      </c>
      <c r="I633" s="2043">
        <v>453793958</v>
      </c>
    </row>
    <row r="634" spans="1:9" ht="14.5">
      <c r="A634" t="s">
        <v>10005</v>
      </c>
      <c r="B634" s="2113" t="str">
        <f t="shared" si="9"/>
        <v>153-905</v>
      </c>
      <c r="C634" t="s">
        <v>6621</v>
      </c>
      <c r="D634" s="2043">
        <v>6866320</v>
      </c>
      <c r="E634" s="2043">
        <v>0</v>
      </c>
      <c r="F634" s="2043">
        <v>130646682</v>
      </c>
      <c r="G634" s="2043">
        <v>128010362</v>
      </c>
      <c r="H634" s="2043">
        <v>130646682</v>
      </c>
      <c r="I634" s="2043">
        <v>128010362</v>
      </c>
    </row>
    <row r="635" spans="1:9" ht="14.5">
      <c r="A635" t="s">
        <v>10006</v>
      </c>
      <c r="B635" s="2113" t="str">
        <f t="shared" si="9"/>
        <v>153-907</v>
      </c>
      <c r="C635" t="s">
        <v>6622</v>
      </c>
      <c r="D635" s="2043">
        <v>4558010</v>
      </c>
      <c r="E635" s="2043">
        <v>101461570</v>
      </c>
      <c r="F635" s="2043">
        <v>75852577</v>
      </c>
      <c r="G635" s="2043">
        <v>74294567</v>
      </c>
      <c r="H635" s="2043">
        <v>177314147</v>
      </c>
      <c r="I635" s="2043">
        <v>175756137</v>
      </c>
    </row>
    <row r="636" spans="1:9" ht="14.5">
      <c r="A636" t="s">
        <v>10007</v>
      </c>
      <c r="B636" s="2113" t="str">
        <f t="shared" si="9"/>
        <v>154-901</v>
      </c>
      <c r="C636" t="s">
        <v>6623</v>
      </c>
      <c r="D636" s="2043">
        <v>58868487</v>
      </c>
      <c r="E636" s="2043">
        <v>0</v>
      </c>
      <c r="F636" s="2043">
        <v>928267863</v>
      </c>
      <c r="G636" s="2043">
        <v>907259376</v>
      </c>
      <c r="H636" s="2043">
        <v>928267863</v>
      </c>
      <c r="I636" s="2043">
        <v>907259376</v>
      </c>
    </row>
    <row r="637" spans="1:9" ht="14.5">
      <c r="A637" t="s">
        <v>10008</v>
      </c>
      <c r="B637" s="2113" t="str">
        <f t="shared" si="9"/>
        <v>154-903</v>
      </c>
      <c r="C637" t="s">
        <v>6624</v>
      </c>
      <c r="D637" s="2043">
        <v>11901907</v>
      </c>
      <c r="E637" s="2043">
        <v>0</v>
      </c>
      <c r="F637" s="2043">
        <v>256336062</v>
      </c>
      <c r="G637" s="2043">
        <v>256336062</v>
      </c>
      <c r="H637" s="2043">
        <v>256336062</v>
      </c>
      <c r="I637" s="2043">
        <v>256336062</v>
      </c>
    </row>
    <row r="638" spans="1:9" ht="14.5">
      <c r="A638" t="s">
        <v>10009</v>
      </c>
      <c r="B638" s="2113" t="str">
        <f t="shared" si="9"/>
        <v>155-901</v>
      </c>
      <c r="C638" t="s">
        <v>6625</v>
      </c>
      <c r="D638" s="2043">
        <v>61163265</v>
      </c>
      <c r="E638" s="2043">
        <v>0</v>
      </c>
      <c r="F638" s="2043">
        <v>697053716</v>
      </c>
      <c r="G638" s="2043">
        <v>675445451</v>
      </c>
      <c r="H638" s="2043">
        <v>697053716</v>
      </c>
      <c r="I638" s="2043">
        <v>675445451</v>
      </c>
    </row>
    <row r="639" spans="1:9" ht="14.5">
      <c r="A639" t="s">
        <v>10631</v>
      </c>
      <c r="B639" s="2113" t="str">
        <f t="shared" si="9"/>
        <v>156-902</v>
      </c>
      <c r="C639" t="s">
        <v>6626</v>
      </c>
      <c r="D639" s="2043">
        <v>24166437</v>
      </c>
      <c r="E639" s="2043">
        <v>59014500</v>
      </c>
      <c r="F639" s="2043">
        <v>3675132627</v>
      </c>
      <c r="G639" s="2043">
        <v>3666101190</v>
      </c>
      <c r="H639" s="2043">
        <v>3734147127</v>
      </c>
      <c r="I639" s="2043">
        <v>3725115690</v>
      </c>
    </row>
    <row r="640" spans="1:9" ht="14.5">
      <c r="A640" t="s">
        <v>10632</v>
      </c>
      <c r="B640" s="2113" t="str">
        <f t="shared" si="9"/>
        <v>156-905</v>
      </c>
      <c r="C640" t="s">
        <v>6627</v>
      </c>
      <c r="D640" s="2043">
        <v>2812470</v>
      </c>
      <c r="E640" s="2043">
        <v>0</v>
      </c>
      <c r="F640" s="2043">
        <v>4455280894</v>
      </c>
      <c r="G640" s="2043">
        <v>4454178424</v>
      </c>
      <c r="H640" s="2043">
        <v>4455280894</v>
      </c>
      <c r="I640" s="2043">
        <v>4454178424</v>
      </c>
    </row>
    <row r="641" spans="1:9" ht="14.5">
      <c r="A641" t="s">
        <v>10010</v>
      </c>
      <c r="B641" s="2113" t="str">
        <f t="shared" si="9"/>
        <v>157-901</v>
      </c>
      <c r="C641" t="s">
        <v>6628</v>
      </c>
      <c r="D641" s="2043">
        <v>30839480</v>
      </c>
      <c r="E641" s="2043">
        <v>0</v>
      </c>
      <c r="F641" s="2043">
        <v>494331948</v>
      </c>
      <c r="G641" s="2043">
        <v>482527468</v>
      </c>
      <c r="H641" s="2043">
        <v>494331948</v>
      </c>
      <c r="I641" s="2043">
        <v>482527468</v>
      </c>
    </row>
    <row r="642" spans="1:9" ht="14.5">
      <c r="A642" t="s">
        <v>10011</v>
      </c>
      <c r="B642" s="2113" t="str">
        <f t="shared" si="9"/>
        <v>158-901</v>
      </c>
      <c r="C642" t="s">
        <v>6629</v>
      </c>
      <c r="D642" s="2043">
        <v>94726881</v>
      </c>
      <c r="E642" s="2043">
        <v>138241490</v>
      </c>
      <c r="F642" s="2043">
        <v>1446660817</v>
      </c>
      <c r="G642" s="2043">
        <v>1411783936</v>
      </c>
      <c r="H642" s="2043">
        <v>1584902307</v>
      </c>
      <c r="I642" s="2043">
        <v>1550025426</v>
      </c>
    </row>
    <row r="643" spans="1:9" ht="14.5">
      <c r="A643" t="s">
        <v>10012</v>
      </c>
      <c r="B643" s="2113" t="str">
        <f t="shared" ref="B643:B706" si="10">CONCATENATE(RIGHT(LEFT(CONCATENATE("000",A643),6),3),"-",(LEFT(RIGHT(CONCATENATE("000",A643),6),3)))</f>
        <v>158-902</v>
      </c>
      <c r="C643" t="s">
        <v>6630</v>
      </c>
      <c r="D643" s="2043">
        <v>22837946</v>
      </c>
      <c r="E643" s="2043">
        <v>0</v>
      </c>
      <c r="F643" s="2043">
        <v>1258919598</v>
      </c>
      <c r="G643" s="2043">
        <v>1251201652</v>
      </c>
      <c r="H643" s="2043">
        <v>1258919598</v>
      </c>
      <c r="I643" s="2043">
        <v>1251201652</v>
      </c>
    </row>
    <row r="644" spans="1:9" ht="14.5">
      <c r="A644" t="s">
        <v>10013</v>
      </c>
      <c r="B644" s="2113" t="str">
        <f t="shared" si="10"/>
        <v>158-904</v>
      </c>
      <c r="C644" t="s">
        <v>6631</v>
      </c>
      <c r="D644" s="2043">
        <v>7820149</v>
      </c>
      <c r="E644" s="2043">
        <v>0</v>
      </c>
      <c r="F644" s="2043">
        <v>330461521</v>
      </c>
      <c r="G644" s="2043">
        <v>327546372</v>
      </c>
      <c r="H644" s="2043">
        <v>330461521</v>
      </c>
      <c r="I644" s="2043">
        <v>327546372</v>
      </c>
    </row>
    <row r="645" spans="1:9" ht="14.5">
      <c r="A645" t="s">
        <v>10014</v>
      </c>
      <c r="B645" s="2113" t="str">
        <f t="shared" si="10"/>
        <v>158-905</v>
      </c>
      <c r="C645" t="s">
        <v>6632</v>
      </c>
      <c r="D645" s="2043">
        <v>38813242</v>
      </c>
      <c r="E645" s="2043">
        <v>257657200</v>
      </c>
      <c r="F645" s="2043">
        <v>1252204319</v>
      </c>
      <c r="G645" s="2043">
        <v>1238171077</v>
      </c>
      <c r="H645" s="2043">
        <v>1509861519</v>
      </c>
      <c r="I645" s="2043">
        <v>1495828277</v>
      </c>
    </row>
    <row r="646" spans="1:9" ht="14.5">
      <c r="A646" t="s">
        <v>10015</v>
      </c>
      <c r="B646" s="2113" t="str">
        <f t="shared" si="10"/>
        <v>158-906</v>
      </c>
      <c r="C646" t="s">
        <v>6633</v>
      </c>
      <c r="D646" s="2043">
        <v>36948107</v>
      </c>
      <c r="E646" s="2043">
        <v>1435099210</v>
      </c>
      <c r="F646" s="2043">
        <v>694540246</v>
      </c>
      <c r="G646" s="2043">
        <v>681337139</v>
      </c>
      <c r="H646" s="2043">
        <v>2129639456</v>
      </c>
      <c r="I646" s="2043">
        <v>2116436349</v>
      </c>
    </row>
    <row r="647" spans="1:9" ht="14.5">
      <c r="A647" t="s">
        <v>10016</v>
      </c>
      <c r="B647" s="2113" t="str">
        <f t="shared" si="10"/>
        <v>159-901</v>
      </c>
      <c r="C647" t="s">
        <v>6634</v>
      </c>
      <c r="D647" s="2043">
        <v>216143174</v>
      </c>
      <c r="E647" s="2043">
        <v>0</v>
      </c>
      <c r="F647" s="2043">
        <v>2752325991</v>
      </c>
      <c r="G647" s="2043">
        <v>2670102817</v>
      </c>
      <c r="H647" s="2043">
        <v>2752325991</v>
      </c>
      <c r="I647" s="2043">
        <v>2670102817</v>
      </c>
    </row>
    <row r="648" spans="1:9" ht="14.5">
      <c r="A648" t="s">
        <v>10017</v>
      </c>
      <c r="B648" s="2113" t="str">
        <f t="shared" si="10"/>
        <v>160-901</v>
      </c>
      <c r="C648" t="s">
        <v>6635</v>
      </c>
      <c r="D648" s="2043">
        <v>41467067</v>
      </c>
      <c r="E648" s="2043">
        <v>114137240</v>
      </c>
      <c r="F648" s="2043">
        <v>409695161</v>
      </c>
      <c r="G648" s="2043">
        <v>394838094</v>
      </c>
      <c r="H648" s="2043">
        <v>523832401</v>
      </c>
      <c r="I648" s="2043">
        <v>508975334</v>
      </c>
    </row>
    <row r="649" spans="1:9" ht="14.5">
      <c r="A649" t="s">
        <v>10018</v>
      </c>
      <c r="B649" s="2113" t="str">
        <f t="shared" si="10"/>
        <v>160-904</v>
      </c>
      <c r="C649" t="s">
        <v>6636</v>
      </c>
      <c r="D649" s="2043">
        <v>7169890</v>
      </c>
      <c r="E649" s="2043">
        <v>0</v>
      </c>
      <c r="F649" s="2043">
        <v>101174590</v>
      </c>
      <c r="G649" s="2043">
        <v>98624700</v>
      </c>
      <c r="H649" s="2043">
        <v>101174590</v>
      </c>
      <c r="I649" s="2043">
        <v>98624700</v>
      </c>
    </row>
    <row r="650" spans="1:9" ht="14.5">
      <c r="A650" t="s">
        <v>10019</v>
      </c>
      <c r="B650" s="2113" t="str">
        <f t="shared" si="10"/>
        <v>160-905</v>
      </c>
      <c r="C650" t="s">
        <v>6637</v>
      </c>
      <c r="D650" s="2043">
        <v>1644457</v>
      </c>
      <c r="E650" s="2043">
        <v>51184640</v>
      </c>
      <c r="F650" s="2043">
        <v>79583765</v>
      </c>
      <c r="G650" s="2043">
        <v>78944308</v>
      </c>
      <c r="H650" s="2043">
        <v>130768405</v>
      </c>
      <c r="I650" s="2043">
        <v>130128948</v>
      </c>
    </row>
    <row r="651" spans="1:9" ht="14.5">
      <c r="A651" t="s">
        <v>10020</v>
      </c>
      <c r="B651" s="2113" t="str">
        <f t="shared" si="10"/>
        <v>161-901</v>
      </c>
      <c r="C651" t="s">
        <v>6638</v>
      </c>
      <c r="D651" s="2043">
        <v>17546461</v>
      </c>
      <c r="E651" s="2043">
        <v>0</v>
      </c>
      <c r="F651" s="2043">
        <v>245573559</v>
      </c>
      <c r="G651" s="2043">
        <v>238872098</v>
      </c>
      <c r="H651" s="2043">
        <v>245573559</v>
      </c>
      <c r="I651" s="2043">
        <v>238872098</v>
      </c>
    </row>
    <row r="652" spans="1:9" ht="14.5">
      <c r="A652" t="s">
        <v>10021</v>
      </c>
      <c r="B652" s="2113" t="str">
        <f t="shared" si="10"/>
        <v>161-903</v>
      </c>
      <c r="C652" t="s">
        <v>6152</v>
      </c>
      <c r="D652" s="2043">
        <v>280616033</v>
      </c>
      <c r="E652" s="2043">
        <v>0</v>
      </c>
      <c r="F652" s="2043">
        <v>5866419542</v>
      </c>
      <c r="G652" s="2043">
        <v>5754598509</v>
      </c>
      <c r="H652" s="2043">
        <v>5866419542</v>
      </c>
      <c r="I652" s="2043">
        <v>5754598509</v>
      </c>
    </row>
    <row r="653" spans="1:9" ht="14.5">
      <c r="A653" t="s">
        <v>10022</v>
      </c>
      <c r="B653" s="2113" t="str">
        <f t="shared" si="10"/>
        <v>161-906</v>
      </c>
      <c r="C653" t="s">
        <v>6639</v>
      </c>
      <c r="D653" s="2043">
        <v>50803537</v>
      </c>
      <c r="E653" s="2043">
        <v>0</v>
      </c>
      <c r="F653" s="2043">
        <v>1035779025</v>
      </c>
      <c r="G653" s="2043">
        <v>1016535488</v>
      </c>
      <c r="H653" s="2043">
        <v>1035779025</v>
      </c>
      <c r="I653" s="2043">
        <v>1016535488</v>
      </c>
    </row>
    <row r="654" spans="1:9" ht="14.5">
      <c r="A654" t="s">
        <v>10023</v>
      </c>
      <c r="B654" s="2113" t="str">
        <f t="shared" si="10"/>
        <v>161-907</v>
      </c>
      <c r="C654" t="s">
        <v>6640</v>
      </c>
      <c r="D654" s="2043">
        <v>52270236</v>
      </c>
      <c r="E654" s="2043">
        <v>0</v>
      </c>
      <c r="F654" s="2043">
        <v>650824732</v>
      </c>
      <c r="G654" s="2043">
        <v>630264496</v>
      </c>
      <c r="H654" s="2043">
        <v>650824732</v>
      </c>
      <c r="I654" s="2043">
        <v>630264496</v>
      </c>
    </row>
    <row r="655" spans="1:9" ht="14.5">
      <c r="A655" t="s">
        <v>10024</v>
      </c>
      <c r="B655" s="2113" t="str">
        <f t="shared" si="10"/>
        <v>161-908</v>
      </c>
      <c r="C655" t="s">
        <v>6641</v>
      </c>
      <c r="D655" s="2043">
        <v>16684492</v>
      </c>
      <c r="E655" s="2043">
        <v>0</v>
      </c>
      <c r="F655" s="2043">
        <v>152245034</v>
      </c>
      <c r="G655" s="2043">
        <v>146165542</v>
      </c>
      <c r="H655" s="2043">
        <v>152245034</v>
      </c>
      <c r="I655" s="2043">
        <v>146165542</v>
      </c>
    </row>
    <row r="656" spans="1:9" ht="14.5">
      <c r="A656" t="s">
        <v>10025</v>
      </c>
      <c r="B656" s="2113" t="str">
        <f t="shared" si="10"/>
        <v>161-909</v>
      </c>
      <c r="C656" t="s">
        <v>6642</v>
      </c>
      <c r="D656" s="2043">
        <v>29071979</v>
      </c>
      <c r="E656" s="2043">
        <v>0</v>
      </c>
      <c r="F656" s="2043">
        <v>535485692</v>
      </c>
      <c r="G656" s="2043">
        <v>524053713</v>
      </c>
      <c r="H656" s="2043">
        <v>535485692</v>
      </c>
      <c r="I656" s="2043">
        <v>524053713</v>
      </c>
    </row>
    <row r="657" spans="1:9" ht="14.5">
      <c r="A657" t="s">
        <v>10026</v>
      </c>
      <c r="B657" s="2113" t="str">
        <f t="shared" si="10"/>
        <v>161-910</v>
      </c>
      <c r="C657" t="s">
        <v>6643</v>
      </c>
      <c r="D657" s="2043">
        <v>25707942</v>
      </c>
      <c r="E657" s="2043">
        <v>0</v>
      </c>
      <c r="F657" s="2043">
        <v>232491729</v>
      </c>
      <c r="G657" s="2043">
        <v>225218787</v>
      </c>
      <c r="H657" s="2043">
        <v>232491729</v>
      </c>
      <c r="I657" s="2043">
        <v>225218787</v>
      </c>
    </row>
    <row r="658" spans="1:9" ht="14.5">
      <c r="A658" t="s">
        <v>10633</v>
      </c>
      <c r="B658" s="2113" t="str">
        <f t="shared" si="10"/>
        <v>161-912</v>
      </c>
      <c r="C658" t="s">
        <v>6644</v>
      </c>
      <c r="D658" s="2043">
        <v>13861454</v>
      </c>
      <c r="E658" s="2043">
        <v>0</v>
      </c>
      <c r="F658" s="2043">
        <v>570749279</v>
      </c>
      <c r="G658" s="2043">
        <v>565527825</v>
      </c>
      <c r="H658" s="2043">
        <v>570749279</v>
      </c>
      <c r="I658" s="2043">
        <v>565527825</v>
      </c>
    </row>
    <row r="659" spans="1:9" ht="14.5">
      <c r="A659" t="s">
        <v>10027</v>
      </c>
      <c r="B659" s="2113" t="str">
        <f t="shared" si="10"/>
        <v>161-914</v>
      </c>
      <c r="C659" t="s">
        <v>6645</v>
      </c>
      <c r="D659" s="2043">
        <v>346262793</v>
      </c>
      <c r="E659" s="2043">
        <v>0</v>
      </c>
      <c r="F659" s="2043">
        <v>6460678132</v>
      </c>
      <c r="G659" s="2043">
        <v>6323395339</v>
      </c>
      <c r="H659" s="2043">
        <v>6460678132</v>
      </c>
      <c r="I659" s="2043">
        <v>6323395339</v>
      </c>
    </row>
    <row r="660" spans="1:9" ht="14.5">
      <c r="A660" t="s">
        <v>10028</v>
      </c>
      <c r="B660" s="2113" t="str">
        <f t="shared" si="10"/>
        <v>161-916</v>
      </c>
      <c r="C660" t="s">
        <v>6646</v>
      </c>
      <c r="D660" s="2043">
        <v>50708548</v>
      </c>
      <c r="E660" s="2043">
        <v>0</v>
      </c>
      <c r="F660" s="2043">
        <v>561110510</v>
      </c>
      <c r="G660" s="2043">
        <v>541511962</v>
      </c>
      <c r="H660" s="2043">
        <v>561110510</v>
      </c>
      <c r="I660" s="2043">
        <v>541511962</v>
      </c>
    </row>
    <row r="661" spans="1:9" ht="14.5">
      <c r="A661" t="s">
        <v>10029</v>
      </c>
      <c r="B661" s="2113" t="str">
        <f t="shared" si="10"/>
        <v>161-918</v>
      </c>
      <c r="C661" t="s">
        <v>6647</v>
      </c>
      <c r="D661" s="2043">
        <v>20347069</v>
      </c>
      <c r="E661" s="2043">
        <v>0</v>
      </c>
      <c r="F661" s="2043">
        <v>180710948</v>
      </c>
      <c r="G661" s="2043">
        <v>173203879</v>
      </c>
      <c r="H661" s="2043">
        <v>180710948</v>
      </c>
      <c r="I661" s="2043">
        <v>173203879</v>
      </c>
    </row>
    <row r="662" spans="1:9" ht="14.5">
      <c r="A662" t="s">
        <v>10030</v>
      </c>
      <c r="B662" s="2113" t="str">
        <f t="shared" si="10"/>
        <v>161-919</v>
      </c>
      <c r="C662" t="s">
        <v>6648</v>
      </c>
      <c r="D662" s="2043">
        <v>22300861</v>
      </c>
      <c r="E662" s="2043">
        <v>0</v>
      </c>
      <c r="F662" s="2043">
        <v>240323275</v>
      </c>
      <c r="G662" s="2043">
        <v>231957414</v>
      </c>
      <c r="H662" s="2043">
        <v>240323275</v>
      </c>
      <c r="I662" s="2043">
        <v>231957414</v>
      </c>
    </row>
    <row r="663" spans="1:9" ht="14.5">
      <c r="A663" t="s">
        <v>10031</v>
      </c>
      <c r="B663" s="2113" t="str">
        <f t="shared" si="10"/>
        <v>161-920</v>
      </c>
      <c r="C663" t="s">
        <v>6649</v>
      </c>
      <c r="D663" s="2043">
        <v>87926185</v>
      </c>
      <c r="E663" s="2043">
        <v>0</v>
      </c>
      <c r="F663" s="2043">
        <v>1131818608</v>
      </c>
      <c r="G663" s="2043">
        <v>1097322423</v>
      </c>
      <c r="H663" s="2043">
        <v>1131818608</v>
      </c>
      <c r="I663" s="2043">
        <v>1097322423</v>
      </c>
    </row>
    <row r="664" spans="1:9" ht="14.5">
      <c r="A664" t="s">
        <v>10032</v>
      </c>
      <c r="B664" s="2113" t="str">
        <f t="shared" si="10"/>
        <v>161-921</v>
      </c>
      <c r="C664" t="s">
        <v>6650</v>
      </c>
      <c r="D664" s="2043">
        <v>60146370</v>
      </c>
      <c r="E664" s="2043">
        <v>0</v>
      </c>
      <c r="F664" s="2043">
        <v>834670852</v>
      </c>
      <c r="G664" s="2043">
        <v>811169482</v>
      </c>
      <c r="H664" s="2043">
        <v>834670852</v>
      </c>
      <c r="I664" s="2043">
        <v>811169482</v>
      </c>
    </row>
    <row r="665" spans="1:9" ht="14.5">
      <c r="A665" t="s">
        <v>10033</v>
      </c>
      <c r="B665" s="2113" t="str">
        <f t="shared" si="10"/>
        <v>161-922</v>
      </c>
      <c r="C665" t="s">
        <v>6651</v>
      </c>
      <c r="D665" s="2043">
        <v>76078243</v>
      </c>
      <c r="E665" s="2043">
        <v>0</v>
      </c>
      <c r="F665" s="2043">
        <v>865661887</v>
      </c>
      <c r="G665" s="2043">
        <v>835648644</v>
      </c>
      <c r="H665" s="2043">
        <v>865661887</v>
      </c>
      <c r="I665" s="2043">
        <v>835648644</v>
      </c>
    </row>
    <row r="666" spans="1:9" ht="14.5">
      <c r="A666" t="s">
        <v>10034</v>
      </c>
      <c r="B666" s="2113" t="str">
        <f t="shared" si="10"/>
        <v>161-923</v>
      </c>
      <c r="C666" t="s">
        <v>6652</v>
      </c>
      <c r="D666" s="2043">
        <v>13863210</v>
      </c>
      <c r="E666" s="2043">
        <v>0</v>
      </c>
      <c r="F666" s="2043">
        <v>220321762</v>
      </c>
      <c r="G666" s="2043">
        <v>214903552</v>
      </c>
      <c r="H666" s="2043">
        <v>220321762</v>
      </c>
      <c r="I666" s="2043">
        <v>214903552</v>
      </c>
    </row>
    <row r="667" spans="1:9" ht="14.5">
      <c r="A667" t="s">
        <v>10035</v>
      </c>
      <c r="B667" s="2113" t="str">
        <f t="shared" si="10"/>
        <v>161-924</v>
      </c>
      <c r="C667" t="s">
        <v>6653</v>
      </c>
      <c r="D667" s="2043">
        <v>7793147</v>
      </c>
      <c r="E667" s="2043">
        <v>0</v>
      </c>
      <c r="F667" s="2043">
        <v>92080819</v>
      </c>
      <c r="G667" s="2043">
        <v>89042672</v>
      </c>
      <c r="H667" s="2043">
        <v>92080819</v>
      </c>
      <c r="I667" s="2043">
        <v>89042672</v>
      </c>
    </row>
    <row r="668" spans="1:9" ht="14.5">
      <c r="A668" t="s">
        <v>10036</v>
      </c>
      <c r="B668" s="2113" t="str">
        <f t="shared" si="10"/>
        <v>161-925</v>
      </c>
      <c r="C668" t="s">
        <v>6654</v>
      </c>
      <c r="D668" s="2043">
        <v>8567447</v>
      </c>
      <c r="E668" s="2043">
        <v>0</v>
      </c>
      <c r="F668" s="2043">
        <v>67490948</v>
      </c>
      <c r="G668" s="2043">
        <v>64338501</v>
      </c>
      <c r="H668" s="2043">
        <v>67490948</v>
      </c>
      <c r="I668" s="2043">
        <v>64338501</v>
      </c>
    </row>
    <row r="669" spans="1:9" ht="14.5">
      <c r="A669" t="s">
        <v>10037</v>
      </c>
      <c r="B669" s="2113" t="str">
        <f t="shared" si="10"/>
        <v>162-904</v>
      </c>
      <c r="C669" t="s">
        <v>6655</v>
      </c>
      <c r="D669" s="2043">
        <v>4594830</v>
      </c>
      <c r="E669" s="2043">
        <v>0</v>
      </c>
      <c r="F669" s="2043">
        <v>3193897734</v>
      </c>
      <c r="G669" s="2043">
        <v>3192452904</v>
      </c>
      <c r="H669" s="2043">
        <v>3193897734</v>
      </c>
      <c r="I669" s="2043">
        <v>3192452904</v>
      </c>
    </row>
    <row r="670" spans="1:9" ht="14.5">
      <c r="A670" t="s">
        <v>10038</v>
      </c>
      <c r="B670" s="2113" t="str">
        <f t="shared" si="10"/>
        <v>163-901</v>
      </c>
      <c r="C670" t="s">
        <v>6656</v>
      </c>
      <c r="D670" s="2043">
        <v>54006102</v>
      </c>
      <c r="E670" s="2043">
        <v>0</v>
      </c>
      <c r="F670" s="2043">
        <v>531965739</v>
      </c>
      <c r="G670" s="2043">
        <v>512519637</v>
      </c>
      <c r="H670" s="2043">
        <v>531965739</v>
      </c>
      <c r="I670" s="2043">
        <v>512519637</v>
      </c>
    </row>
    <row r="671" spans="1:9" ht="14.5">
      <c r="A671" t="s">
        <v>10039</v>
      </c>
      <c r="B671" s="2113" t="str">
        <f t="shared" si="10"/>
        <v>163-902</v>
      </c>
      <c r="C671" t="s">
        <v>6657</v>
      </c>
      <c r="D671" s="2043">
        <v>8957568</v>
      </c>
      <c r="E671" s="2043">
        <v>0</v>
      </c>
      <c r="F671" s="2043">
        <v>226026771</v>
      </c>
      <c r="G671" s="2043">
        <v>222919203</v>
      </c>
      <c r="H671" s="2043">
        <v>226026771</v>
      </c>
      <c r="I671" s="2043">
        <v>222919203</v>
      </c>
    </row>
    <row r="672" spans="1:9" ht="14.5">
      <c r="A672" t="s">
        <v>10040</v>
      </c>
      <c r="B672" s="2113" t="str">
        <f t="shared" si="10"/>
        <v>163-903</v>
      </c>
      <c r="C672" t="s">
        <v>6658</v>
      </c>
      <c r="D672" s="2043">
        <v>33066413</v>
      </c>
      <c r="E672" s="2043">
        <v>0</v>
      </c>
      <c r="F672" s="2043">
        <v>267165350</v>
      </c>
      <c r="G672" s="2043">
        <v>255338937</v>
      </c>
      <c r="H672" s="2043">
        <v>267165350</v>
      </c>
      <c r="I672" s="2043">
        <v>255338937</v>
      </c>
    </row>
    <row r="673" spans="1:9" ht="14.5">
      <c r="A673" t="s">
        <v>10041</v>
      </c>
      <c r="B673" s="2113" t="str">
        <f t="shared" si="10"/>
        <v>163-904</v>
      </c>
      <c r="C673" t="s">
        <v>6659</v>
      </c>
      <c r="D673" s="2043">
        <v>62317123</v>
      </c>
      <c r="E673" s="2043">
        <v>0</v>
      </c>
      <c r="F673" s="2043">
        <v>863030838</v>
      </c>
      <c r="G673" s="2043">
        <v>841228715</v>
      </c>
      <c r="H673" s="2043">
        <v>863030838</v>
      </c>
      <c r="I673" s="2043">
        <v>841228715</v>
      </c>
    </row>
    <row r="674" spans="1:9" ht="14.5">
      <c r="A674" t="s">
        <v>10042</v>
      </c>
      <c r="B674" s="2113" t="str">
        <f t="shared" si="10"/>
        <v>163-908</v>
      </c>
      <c r="C674" t="s">
        <v>6660</v>
      </c>
      <c r="D674" s="2043">
        <v>182811586</v>
      </c>
      <c r="E674" s="2043">
        <v>0</v>
      </c>
      <c r="F674" s="2043">
        <v>2580827946</v>
      </c>
      <c r="G674" s="2043">
        <v>2510711360</v>
      </c>
      <c r="H674" s="2043">
        <v>2580827946</v>
      </c>
      <c r="I674" s="2043">
        <v>2510711360</v>
      </c>
    </row>
    <row r="675" spans="1:9" ht="14.5">
      <c r="A675" t="s">
        <v>10043</v>
      </c>
      <c r="B675" s="2113" t="str">
        <f t="shared" si="10"/>
        <v>164-901</v>
      </c>
      <c r="C675" t="s">
        <v>6661</v>
      </c>
      <c r="D675" s="2043">
        <v>13468515</v>
      </c>
      <c r="E675" s="2043">
        <v>0</v>
      </c>
      <c r="F675" s="2043">
        <v>194724217</v>
      </c>
      <c r="G675" s="2043">
        <v>190000702</v>
      </c>
      <c r="H675" s="2043">
        <v>194724217</v>
      </c>
      <c r="I675" s="2043">
        <v>190000702</v>
      </c>
    </row>
    <row r="676" spans="1:9" ht="14.5">
      <c r="A676" t="s">
        <v>10634</v>
      </c>
      <c r="B676" s="2113" t="str">
        <f t="shared" si="10"/>
        <v>165-901</v>
      </c>
      <c r="C676" t="s">
        <v>6662</v>
      </c>
      <c r="D676" s="2043">
        <v>744183611</v>
      </c>
      <c r="E676" s="2043">
        <v>0</v>
      </c>
      <c r="F676" s="2043">
        <v>36606420996</v>
      </c>
      <c r="G676" s="2043">
        <v>36318297385</v>
      </c>
      <c r="H676" s="2043">
        <v>36606420996</v>
      </c>
      <c r="I676" s="2043">
        <v>36318297385</v>
      </c>
    </row>
    <row r="677" spans="1:9" ht="14.5">
      <c r="A677" t="s">
        <v>10635</v>
      </c>
      <c r="B677" s="2113" t="str">
        <f t="shared" si="10"/>
        <v>165-902</v>
      </c>
      <c r="C677" t="s">
        <v>6663</v>
      </c>
      <c r="D677" s="2043">
        <v>47711526</v>
      </c>
      <c r="E677" s="2043">
        <v>0</v>
      </c>
      <c r="F677" s="2043">
        <v>3068705418</v>
      </c>
      <c r="G677" s="2043">
        <v>3052088892</v>
      </c>
      <c r="H677" s="2043">
        <v>3068705418</v>
      </c>
      <c r="I677" s="2043">
        <v>3052088892</v>
      </c>
    </row>
    <row r="678" spans="1:9" ht="14.5">
      <c r="A678" t="s">
        <v>10044</v>
      </c>
      <c r="B678" s="2113" t="str">
        <f t="shared" si="10"/>
        <v>166-901</v>
      </c>
      <c r="C678" t="s">
        <v>6664</v>
      </c>
      <c r="D678" s="2043">
        <v>45590961</v>
      </c>
      <c r="E678" s="2043">
        <v>0</v>
      </c>
      <c r="F678" s="2043">
        <v>456748136</v>
      </c>
      <c r="G678" s="2043">
        <v>441052175</v>
      </c>
      <c r="H678" s="2043">
        <v>456748136</v>
      </c>
      <c r="I678" s="2043">
        <v>441052175</v>
      </c>
    </row>
    <row r="679" spans="1:9" ht="14.5">
      <c r="A679" t="s">
        <v>10045</v>
      </c>
      <c r="B679" s="2113" t="str">
        <f t="shared" si="10"/>
        <v>166-902</v>
      </c>
      <c r="C679" t="s">
        <v>6665</v>
      </c>
      <c r="D679" s="2043">
        <v>6470736</v>
      </c>
      <c r="E679" s="2043">
        <v>0</v>
      </c>
      <c r="F679" s="2043">
        <v>203386900</v>
      </c>
      <c r="G679" s="2043">
        <v>201116164</v>
      </c>
      <c r="H679" s="2043">
        <v>203386900</v>
      </c>
      <c r="I679" s="2043">
        <v>201116164</v>
      </c>
    </row>
    <row r="680" spans="1:9" ht="14.5">
      <c r="A680" t="s">
        <v>10046</v>
      </c>
      <c r="B680" s="2113" t="str">
        <f t="shared" si="10"/>
        <v>166-903</v>
      </c>
      <c r="C680" t="s">
        <v>6666</v>
      </c>
      <c r="D680" s="2043">
        <v>12549120</v>
      </c>
      <c r="E680" s="2043">
        <v>0</v>
      </c>
      <c r="F680" s="2043">
        <v>136029677</v>
      </c>
      <c r="G680" s="2043">
        <v>132315557</v>
      </c>
      <c r="H680" s="2043">
        <v>136029677</v>
      </c>
      <c r="I680" s="2043">
        <v>132315557</v>
      </c>
    </row>
    <row r="681" spans="1:9" ht="14.5">
      <c r="A681" t="s">
        <v>10047</v>
      </c>
      <c r="B681" s="2113" t="str">
        <f t="shared" si="10"/>
        <v>166-904</v>
      </c>
      <c r="C681" t="s">
        <v>6667</v>
      </c>
      <c r="D681" s="2043">
        <v>50989831</v>
      </c>
      <c r="E681" s="2043">
        <v>0</v>
      </c>
      <c r="F681" s="2043">
        <v>531441281</v>
      </c>
      <c r="G681" s="2043">
        <v>513451450</v>
      </c>
      <c r="H681" s="2043">
        <v>531441281</v>
      </c>
      <c r="I681" s="2043">
        <v>513451450</v>
      </c>
    </row>
    <row r="682" spans="1:9" ht="14.5">
      <c r="A682" t="s">
        <v>10048</v>
      </c>
      <c r="B682" s="2113" t="str">
        <f t="shared" si="10"/>
        <v>166-905</v>
      </c>
      <c r="C682" t="s">
        <v>6668</v>
      </c>
      <c r="D682" s="2043">
        <v>19576468</v>
      </c>
      <c r="E682" s="2043">
        <v>0</v>
      </c>
      <c r="F682" s="2043">
        <v>216244672</v>
      </c>
      <c r="G682" s="2043">
        <v>209238204</v>
      </c>
      <c r="H682" s="2043">
        <v>216244672</v>
      </c>
      <c r="I682" s="2043">
        <v>209238204</v>
      </c>
    </row>
    <row r="683" spans="1:9" ht="14.5">
      <c r="A683" t="s">
        <v>10049</v>
      </c>
      <c r="B683" s="2113" t="str">
        <f t="shared" si="10"/>
        <v>166-907</v>
      </c>
      <c r="C683" t="s">
        <v>6669</v>
      </c>
      <c r="D683" s="2043">
        <v>3974972</v>
      </c>
      <c r="E683" s="2043">
        <v>0</v>
      </c>
      <c r="F683" s="2043">
        <v>42393608</v>
      </c>
      <c r="G683" s="2043">
        <v>41103636</v>
      </c>
      <c r="H683" s="2043">
        <v>42393608</v>
      </c>
      <c r="I683" s="2043">
        <v>41103636</v>
      </c>
    </row>
    <row r="684" spans="1:9" ht="14.5">
      <c r="A684" t="s">
        <v>10050</v>
      </c>
      <c r="B684" s="2113" t="str">
        <f t="shared" si="10"/>
        <v>167-901</v>
      </c>
      <c r="C684" t="s">
        <v>6670</v>
      </c>
      <c r="D684" s="2043">
        <v>23743459</v>
      </c>
      <c r="E684" s="2043">
        <v>73772710</v>
      </c>
      <c r="F684" s="2043">
        <v>326797928</v>
      </c>
      <c r="G684" s="2043">
        <v>317769469</v>
      </c>
      <c r="H684" s="2043">
        <v>400570638</v>
      </c>
      <c r="I684" s="2043">
        <v>391542179</v>
      </c>
    </row>
    <row r="685" spans="1:9" ht="14.5">
      <c r="A685" t="s">
        <v>10051</v>
      </c>
      <c r="B685" s="2113" t="str">
        <f t="shared" si="10"/>
        <v>167-902</v>
      </c>
      <c r="C685" t="s">
        <v>6671</v>
      </c>
      <c r="D685" s="2043">
        <v>6115419</v>
      </c>
      <c r="E685" s="2043">
        <v>11036340</v>
      </c>
      <c r="F685" s="2043">
        <v>133802336</v>
      </c>
      <c r="G685" s="2043">
        <v>131551917</v>
      </c>
      <c r="H685" s="2043">
        <v>144838676</v>
      </c>
      <c r="I685" s="2043">
        <v>142588257</v>
      </c>
    </row>
    <row r="686" spans="1:9" ht="14.5">
      <c r="A686" t="s">
        <v>10052</v>
      </c>
      <c r="B686" s="2113" t="str">
        <f t="shared" si="10"/>
        <v>167-904</v>
      </c>
      <c r="C686" t="s">
        <v>6672</v>
      </c>
      <c r="D686" s="2043">
        <v>2894480</v>
      </c>
      <c r="E686" s="2043">
        <v>127320770</v>
      </c>
      <c r="F686" s="2043">
        <v>47265371</v>
      </c>
      <c r="G686" s="2043">
        <v>46155891</v>
      </c>
      <c r="H686" s="2043">
        <v>174586141</v>
      </c>
      <c r="I686" s="2043">
        <v>173476661</v>
      </c>
    </row>
    <row r="687" spans="1:9" ht="14.5">
      <c r="A687" t="s">
        <v>10636</v>
      </c>
      <c r="B687" s="2113" t="str">
        <f t="shared" si="10"/>
        <v>168-901</v>
      </c>
      <c r="C687" t="s">
        <v>6673</v>
      </c>
      <c r="D687" s="2043">
        <v>26987386</v>
      </c>
      <c r="E687" s="2043">
        <v>0</v>
      </c>
      <c r="F687" s="2043">
        <v>523748493</v>
      </c>
      <c r="G687" s="2043">
        <v>513576107</v>
      </c>
      <c r="H687" s="2043">
        <v>523748493</v>
      </c>
      <c r="I687" s="2043">
        <v>513576107</v>
      </c>
    </row>
    <row r="688" spans="1:9" ht="14.5">
      <c r="A688" t="s">
        <v>10637</v>
      </c>
      <c r="B688" s="2113" t="str">
        <f t="shared" si="10"/>
        <v>168-902</v>
      </c>
      <c r="C688" t="s">
        <v>6674</v>
      </c>
      <c r="D688" s="2043">
        <v>5484644</v>
      </c>
      <c r="E688" s="2043">
        <v>0</v>
      </c>
      <c r="F688" s="2043">
        <v>164591896</v>
      </c>
      <c r="G688" s="2043">
        <v>162632252</v>
      </c>
      <c r="H688" s="2043">
        <v>164591896</v>
      </c>
      <c r="I688" s="2043">
        <v>162632252</v>
      </c>
    </row>
    <row r="689" spans="1:9" ht="14.5">
      <c r="A689" t="s">
        <v>10053</v>
      </c>
      <c r="B689" s="2113" t="str">
        <f t="shared" si="10"/>
        <v>168-903</v>
      </c>
      <c r="C689" t="s">
        <v>6675</v>
      </c>
      <c r="D689" s="2043">
        <v>5739063</v>
      </c>
      <c r="E689" s="2043">
        <v>0</v>
      </c>
      <c r="F689" s="2043">
        <v>256529478</v>
      </c>
      <c r="G689" s="2043">
        <v>254375415</v>
      </c>
      <c r="H689" s="2043">
        <v>256529478</v>
      </c>
      <c r="I689" s="2043">
        <v>254375415</v>
      </c>
    </row>
    <row r="690" spans="1:9" ht="14.5">
      <c r="A690" t="s">
        <v>10638</v>
      </c>
      <c r="B690" s="2113" t="str">
        <f t="shared" si="10"/>
        <v>169-901</v>
      </c>
      <c r="C690" t="s">
        <v>6676</v>
      </c>
      <c r="D690" s="2043">
        <v>66007145</v>
      </c>
      <c r="E690" s="2043">
        <v>0</v>
      </c>
      <c r="F690" s="2043">
        <v>1017523864</v>
      </c>
      <c r="G690" s="2043">
        <v>993351719</v>
      </c>
      <c r="H690" s="2043">
        <v>1017523864</v>
      </c>
      <c r="I690" s="2043">
        <v>993351719</v>
      </c>
    </row>
    <row r="691" spans="1:9" ht="14.5">
      <c r="A691" t="s">
        <v>10054</v>
      </c>
      <c r="B691" s="2113" t="str">
        <f t="shared" si="10"/>
        <v>169-902</v>
      </c>
      <c r="C691" t="s">
        <v>6677</v>
      </c>
      <c r="D691" s="2043">
        <v>27331141</v>
      </c>
      <c r="E691" s="2043">
        <v>0</v>
      </c>
      <c r="F691" s="2043">
        <v>284497525</v>
      </c>
      <c r="G691" s="2043">
        <v>274551384</v>
      </c>
      <c r="H691" s="2043">
        <v>284497525</v>
      </c>
      <c r="I691" s="2043">
        <v>274551384</v>
      </c>
    </row>
    <row r="692" spans="1:9" ht="14.5">
      <c r="A692" t="s">
        <v>10055</v>
      </c>
      <c r="B692" s="2113" t="str">
        <f t="shared" si="10"/>
        <v>169-906</v>
      </c>
      <c r="C692" t="s">
        <v>6678</v>
      </c>
      <c r="D692" s="2043">
        <v>5018231</v>
      </c>
      <c r="E692" s="2043">
        <v>0</v>
      </c>
      <c r="F692" s="2043">
        <v>131396461</v>
      </c>
      <c r="G692" s="2043">
        <v>129783230</v>
      </c>
      <c r="H692" s="2043">
        <v>131396461</v>
      </c>
      <c r="I692" s="2043">
        <v>129783230</v>
      </c>
    </row>
    <row r="693" spans="1:9" ht="14.5">
      <c r="A693" t="s">
        <v>10056</v>
      </c>
      <c r="B693" s="2113" t="str">
        <f t="shared" si="10"/>
        <v>169-908</v>
      </c>
      <c r="C693" t="s">
        <v>6679</v>
      </c>
      <c r="D693" s="2043">
        <v>3976420</v>
      </c>
      <c r="E693" s="2043">
        <v>0</v>
      </c>
      <c r="F693" s="2043">
        <v>40788050</v>
      </c>
      <c r="G693" s="2043">
        <v>39316630</v>
      </c>
      <c r="H693" s="2043">
        <v>40788050</v>
      </c>
      <c r="I693" s="2043">
        <v>39316630</v>
      </c>
    </row>
    <row r="694" spans="1:9" ht="14.5">
      <c r="A694" t="s">
        <v>10057</v>
      </c>
      <c r="B694" s="2113" t="str">
        <f t="shared" si="10"/>
        <v>169-909</v>
      </c>
      <c r="C694" t="s">
        <v>6680</v>
      </c>
      <c r="D694" s="2043">
        <v>5294104</v>
      </c>
      <c r="E694" s="2043">
        <v>0</v>
      </c>
      <c r="F694" s="2043">
        <v>98664055</v>
      </c>
      <c r="G694" s="2043">
        <v>97134951</v>
      </c>
      <c r="H694" s="2043">
        <v>98664055</v>
      </c>
      <c r="I694" s="2043">
        <v>97134951</v>
      </c>
    </row>
    <row r="695" spans="1:9" ht="14.5">
      <c r="A695" t="s">
        <v>10058</v>
      </c>
      <c r="B695" s="2113" t="str">
        <f t="shared" si="10"/>
        <v>169-910</v>
      </c>
      <c r="C695" t="s">
        <v>6681</v>
      </c>
      <c r="D695" s="2043">
        <v>7296189</v>
      </c>
      <c r="E695" s="2043">
        <v>0</v>
      </c>
      <c r="F695" s="2043">
        <v>194141661</v>
      </c>
      <c r="G695" s="2043">
        <v>191510472</v>
      </c>
      <c r="H695" s="2043">
        <v>194141661</v>
      </c>
      <c r="I695" s="2043">
        <v>191510472</v>
      </c>
    </row>
    <row r="696" spans="1:9" ht="14.5">
      <c r="A696" t="s">
        <v>10059</v>
      </c>
      <c r="B696" s="2113" t="str">
        <f t="shared" si="10"/>
        <v>169-911</v>
      </c>
      <c r="C696" t="s">
        <v>6682</v>
      </c>
      <c r="D696" s="2043">
        <v>10018095</v>
      </c>
      <c r="E696" s="2043">
        <v>0</v>
      </c>
      <c r="F696" s="2043">
        <v>190376335</v>
      </c>
      <c r="G696" s="2043">
        <v>186643240</v>
      </c>
      <c r="H696" s="2043">
        <v>190376335</v>
      </c>
      <c r="I696" s="2043">
        <v>186643240</v>
      </c>
    </row>
    <row r="697" spans="1:9" ht="14.5">
      <c r="A697" t="s">
        <v>10060</v>
      </c>
      <c r="B697" s="2113" t="str">
        <f t="shared" si="10"/>
        <v>170-902</v>
      </c>
      <c r="C697" t="s">
        <v>6683</v>
      </c>
      <c r="D697" s="2043">
        <v>1781985568</v>
      </c>
      <c r="E697" s="2043">
        <v>0</v>
      </c>
      <c r="F697" s="2043">
        <v>40430578109</v>
      </c>
      <c r="G697" s="2043">
        <v>39742137541</v>
      </c>
      <c r="H697" s="2043">
        <v>40430578109</v>
      </c>
      <c r="I697" s="2043">
        <v>39742137541</v>
      </c>
    </row>
    <row r="698" spans="1:9" ht="14.5">
      <c r="A698" t="s">
        <v>10061</v>
      </c>
      <c r="B698" s="2113" t="str">
        <f t="shared" si="10"/>
        <v>170-903</v>
      </c>
      <c r="C698" t="s">
        <v>6684</v>
      </c>
      <c r="D698" s="2043">
        <v>355276184</v>
      </c>
      <c r="E698" s="2043">
        <v>0</v>
      </c>
      <c r="F698" s="2043">
        <v>6820110804</v>
      </c>
      <c r="G698" s="2043">
        <v>6681194620</v>
      </c>
      <c r="H698" s="2043">
        <v>6820110804</v>
      </c>
      <c r="I698" s="2043">
        <v>6681194620</v>
      </c>
    </row>
    <row r="699" spans="1:9" ht="14.5">
      <c r="A699" t="s">
        <v>10062</v>
      </c>
      <c r="B699" s="2113" t="str">
        <f t="shared" si="10"/>
        <v>170-904</v>
      </c>
      <c r="C699" t="s">
        <v>6685</v>
      </c>
      <c r="D699" s="2043">
        <v>274348774</v>
      </c>
      <c r="E699" s="2043">
        <v>0</v>
      </c>
      <c r="F699" s="2043">
        <v>4374076903</v>
      </c>
      <c r="G699" s="2043">
        <v>4270428129</v>
      </c>
      <c r="H699" s="2043">
        <v>4374076903</v>
      </c>
      <c r="I699" s="2043">
        <v>4270428129</v>
      </c>
    </row>
    <row r="700" spans="1:9" ht="14.5">
      <c r="A700" t="s">
        <v>10063</v>
      </c>
      <c r="B700" s="2113" t="str">
        <f t="shared" si="10"/>
        <v>170-906</v>
      </c>
      <c r="C700" t="s">
        <v>6686</v>
      </c>
      <c r="D700" s="2043">
        <v>405340342</v>
      </c>
      <c r="E700" s="2043">
        <v>0</v>
      </c>
      <c r="F700" s="2043">
        <v>7645576794</v>
      </c>
      <c r="G700" s="2043">
        <v>7491366452</v>
      </c>
      <c r="H700" s="2043">
        <v>7645576794</v>
      </c>
      <c r="I700" s="2043">
        <v>7491366452</v>
      </c>
    </row>
    <row r="701" spans="1:9" ht="14.5">
      <c r="A701" t="s">
        <v>10064</v>
      </c>
      <c r="B701" s="2113" t="str">
        <f t="shared" si="10"/>
        <v>170-907</v>
      </c>
      <c r="C701" t="s">
        <v>6687</v>
      </c>
      <c r="D701" s="2043">
        <v>88474535</v>
      </c>
      <c r="E701" s="2043">
        <v>0</v>
      </c>
      <c r="F701" s="2043">
        <v>1008092774</v>
      </c>
      <c r="G701" s="2043">
        <v>976663239</v>
      </c>
      <c r="H701" s="2043">
        <v>1008092774</v>
      </c>
      <c r="I701" s="2043">
        <v>976663239</v>
      </c>
    </row>
    <row r="702" spans="1:9" ht="14.5">
      <c r="A702" t="s">
        <v>10065</v>
      </c>
      <c r="B702" s="2113" t="str">
        <f t="shared" si="10"/>
        <v>170-908</v>
      </c>
      <c r="C702" t="s">
        <v>6688</v>
      </c>
      <c r="D702" s="2043">
        <v>336979755</v>
      </c>
      <c r="E702" s="2043">
        <v>0</v>
      </c>
      <c r="F702" s="2043">
        <v>5389642559</v>
      </c>
      <c r="G702" s="2043">
        <v>5267057804</v>
      </c>
      <c r="H702" s="2043">
        <v>5389642559</v>
      </c>
      <c r="I702" s="2043">
        <v>5267057804</v>
      </c>
    </row>
    <row r="703" spans="1:9" ht="14.5">
      <c r="A703" t="s">
        <v>10066</v>
      </c>
      <c r="B703" s="2113" t="str">
        <f t="shared" si="10"/>
        <v>171-901</v>
      </c>
      <c r="C703" t="s">
        <v>6689</v>
      </c>
      <c r="D703" s="2043">
        <v>83069345</v>
      </c>
      <c r="E703" s="2043">
        <v>0</v>
      </c>
      <c r="F703" s="2043">
        <v>1933547874</v>
      </c>
      <c r="G703" s="2043">
        <v>1904808529</v>
      </c>
      <c r="H703" s="2043">
        <v>1933547874</v>
      </c>
      <c r="I703" s="2043">
        <v>1904808529</v>
      </c>
    </row>
    <row r="704" spans="1:9" ht="14.5">
      <c r="A704" t="s">
        <v>10067</v>
      </c>
      <c r="B704" s="2113" t="str">
        <f t="shared" si="10"/>
        <v>171-902</v>
      </c>
      <c r="C704" t="s">
        <v>6690</v>
      </c>
      <c r="D704" s="2043">
        <v>10210410</v>
      </c>
      <c r="E704" s="2043">
        <v>0</v>
      </c>
      <c r="F704" s="2043">
        <v>265245280</v>
      </c>
      <c r="G704" s="2043">
        <v>261529870</v>
      </c>
      <c r="H704" s="2043">
        <v>265245280</v>
      </c>
      <c r="I704" s="2043">
        <v>261529870</v>
      </c>
    </row>
    <row r="705" spans="1:9" ht="14.5">
      <c r="A705" t="s">
        <v>10068</v>
      </c>
      <c r="B705" s="2113" t="str">
        <f t="shared" si="10"/>
        <v>172-902</v>
      </c>
      <c r="C705" t="s">
        <v>8433</v>
      </c>
      <c r="D705" s="2043">
        <v>51239647</v>
      </c>
      <c r="E705" s="2043">
        <v>0</v>
      </c>
      <c r="F705" s="2043">
        <v>743384117</v>
      </c>
      <c r="G705" s="2043">
        <v>724334470</v>
      </c>
      <c r="H705" s="2043">
        <v>743384117</v>
      </c>
      <c r="I705" s="2043">
        <v>724334470</v>
      </c>
    </row>
    <row r="706" spans="1:9" ht="14.5">
      <c r="A706" t="s">
        <v>10069</v>
      </c>
      <c r="B706" s="2113" t="str">
        <f t="shared" si="10"/>
        <v>172-905</v>
      </c>
      <c r="C706" t="s">
        <v>6691</v>
      </c>
      <c r="D706" s="2043">
        <v>36023059</v>
      </c>
      <c r="E706" s="2043">
        <v>0</v>
      </c>
      <c r="F706" s="2043">
        <v>326181582</v>
      </c>
      <c r="G706" s="2043">
        <v>312388523</v>
      </c>
      <c r="H706" s="2043">
        <v>326181582</v>
      </c>
      <c r="I706" s="2043">
        <v>312388523</v>
      </c>
    </row>
    <row r="707" spans="1:9" ht="14.5">
      <c r="A707" t="s">
        <v>10070</v>
      </c>
      <c r="B707" s="2113" t="str">
        <f t="shared" ref="B707:B770" si="11">CONCATENATE(RIGHT(LEFT(CONCATENATE("000",A707),6),3),"-",(LEFT(RIGHT(CONCATENATE("000",A707),6),3)))</f>
        <v>173-901</v>
      </c>
      <c r="C707" t="s">
        <v>6692</v>
      </c>
      <c r="D707" s="2043">
        <v>7998520</v>
      </c>
      <c r="E707" s="2043">
        <v>0</v>
      </c>
      <c r="F707" s="2043">
        <v>120910418</v>
      </c>
      <c r="G707" s="2043">
        <v>118281898</v>
      </c>
      <c r="H707" s="2043">
        <v>120910418</v>
      </c>
      <c r="I707" s="2043">
        <v>118281898</v>
      </c>
    </row>
    <row r="708" spans="1:9" ht="14.5">
      <c r="A708" t="s">
        <v>10071</v>
      </c>
      <c r="B708" s="2113" t="str">
        <f t="shared" si="11"/>
        <v>174-901</v>
      </c>
      <c r="C708" t="s">
        <v>6693</v>
      </c>
      <c r="D708" s="2043">
        <v>10979650</v>
      </c>
      <c r="E708" s="2043">
        <v>0</v>
      </c>
      <c r="F708" s="2043">
        <v>254374054</v>
      </c>
      <c r="G708" s="2043">
        <v>250564404</v>
      </c>
      <c r="H708" s="2043">
        <v>254374054</v>
      </c>
      <c r="I708" s="2043">
        <v>250564404</v>
      </c>
    </row>
    <row r="709" spans="1:9" ht="14.5">
      <c r="A709" t="s">
        <v>10639</v>
      </c>
      <c r="B709" s="2113" t="str">
        <f t="shared" si="11"/>
        <v>174-902</v>
      </c>
      <c r="C709" t="s">
        <v>6694</v>
      </c>
      <c r="D709" s="2043">
        <v>22007090</v>
      </c>
      <c r="E709" s="2043">
        <v>0</v>
      </c>
      <c r="F709" s="2043">
        <v>197190528</v>
      </c>
      <c r="G709" s="2043">
        <v>189808438</v>
      </c>
      <c r="H709" s="2043">
        <v>197190528</v>
      </c>
      <c r="I709" s="2043">
        <v>189808438</v>
      </c>
    </row>
    <row r="710" spans="1:9" ht="14.5">
      <c r="A710" t="s">
        <v>10072</v>
      </c>
      <c r="B710" s="2113" t="str">
        <f t="shared" si="11"/>
        <v>174-903</v>
      </c>
      <c r="C710" t="s">
        <v>6695</v>
      </c>
      <c r="D710" s="2043">
        <v>18365650</v>
      </c>
      <c r="E710" s="2043">
        <v>0</v>
      </c>
      <c r="F710" s="2043">
        <v>161217370</v>
      </c>
      <c r="G710" s="2043">
        <v>155016720</v>
      </c>
      <c r="H710" s="2043">
        <v>161217370</v>
      </c>
      <c r="I710" s="2043">
        <v>155016720</v>
      </c>
    </row>
    <row r="711" spans="1:9" ht="14.5">
      <c r="A711" t="s">
        <v>10640</v>
      </c>
      <c r="B711" s="2113" t="str">
        <f t="shared" si="11"/>
        <v>174-904</v>
      </c>
      <c r="C711" t="s">
        <v>6696</v>
      </c>
      <c r="D711" s="2043">
        <v>200440960</v>
      </c>
      <c r="E711" s="2043">
        <v>0</v>
      </c>
      <c r="F711" s="2043">
        <v>2500021562</v>
      </c>
      <c r="G711" s="2043">
        <v>2427830602</v>
      </c>
      <c r="H711" s="2043">
        <v>2500021562</v>
      </c>
      <c r="I711" s="2043">
        <v>2427830602</v>
      </c>
    </row>
    <row r="712" spans="1:9" ht="14.5">
      <c r="A712" t="s">
        <v>10073</v>
      </c>
      <c r="B712" s="2113" t="str">
        <f t="shared" si="11"/>
        <v>174-906</v>
      </c>
      <c r="C712" t="s">
        <v>6697</v>
      </c>
      <c r="D712" s="2043">
        <v>18932180</v>
      </c>
      <c r="E712" s="2043">
        <v>0</v>
      </c>
      <c r="F712" s="2043">
        <v>269967844</v>
      </c>
      <c r="G712" s="2043">
        <v>263500664</v>
      </c>
      <c r="H712" s="2043">
        <v>269967844</v>
      </c>
      <c r="I712" s="2043">
        <v>263500664</v>
      </c>
    </row>
    <row r="713" spans="1:9" ht="14.5">
      <c r="A713" t="s">
        <v>10074</v>
      </c>
      <c r="B713" s="2113" t="str">
        <f t="shared" si="11"/>
        <v>174-908</v>
      </c>
      <c r="C713" t="s">
        <v>6698</v>
      </c>
      <c r="D713" s="2043">
        <v>23345440</v>
      </c>
      <c r="E713" s="2043">
        <v>0</v>
      </c>
      <c r="F713" s="2043">
        <v>171620796</v>
      </c>
      <c r="G713" s="2043">
        <v>163440356</v>
      </c>
      <c r="H713" s="2043">
        <v>171620796</v>
      </c>
      <c r="I713" s="2043">
        <v>163440356</v>
      </c>
    </row>
    <row r="714" spans="1:9" ht="14.5">
      <c r="A714" t="s">
        <v>10075</v>
      </c>
      <c r="B714" s="2113" t="str">
        <f t="shared" si="11"/>
        <v>174-909</v>
      </c>
      <c r="C714" t="s">
        <v>6699</v>
      </c>
      <c r="D714" s="2043">
        <v>9071160</v>
      </c>
      <c r="E714" s="2043">
        <v>0</v>
      </c>
      <c r="F714" s="2043">
        <v>81650383</v>
      </c>
      <c r="G714" s="2043">
        <v>78459223</v>
      </c>
      <c r="H714" s="2043">
        <v>81650383</v>
      </c>
      <c r="I714" s="2043">
        <v>78459223</v>
      </c>
    </row>
    <row r="715" spans="1:9" ht="14.5">
      <c r="A715" t="s">
        <v>10076</v>
      </c>
      <c r="B715" s="2113" t="str">
        <f t="shared" si="11"/>
        <v>174-910</v>
      </c>
      <c r="C715" t="s">
        <v>6700</v>
      </c>
      <c r="D715" s="2043">
        <v>11186530</v>
      </c>
      <c r="E715" s="2043">
        <v>0</v>
      </c>
      <c r="F715" s="2043">
        <v>83494901</v>
      </c>
      <c r="G715" s="2043">
        <v>79673371</v>
      </c>
      <c r="H715" s="2043">
        <v>83494901</v>
      </c>
      <c r="I715" s="2043">
        <v>79673371</v>
      </c>
    </row>
    <row r="716" spans="1:9" ht="14.5">
      <c r="A716" t="s">
        <v>10077</v>
      </c>
      <c r="B716" s="2113" t="str">
        <f t="shared" si="11"/>
        <v>174-911</v>
      </c>
      <c r="C716" t="s">
        <v>6701</v>
      </c>
      <c r="D716" s="2043">
        <v>16474910</v>
      </c>
      <c r="E716" s="2043">
        <v>0</v>
      </c>
      <c r="F716" s="2043">
        <v>180867442</v>
      </c>
      <c r="G716" s="2043">
        <v>174922532</v>
      </c>
      <c r="H716" s="2043">
        <v>180867442</v>
      </c>
      <c r="I716" s="2043">
        <v>174922532</v>
      </c>
    </row>
    <row r="717" spans="1:9" ht="14.5">
      <c r="A717" t="s">
        <v>10078</v>
      </c>
      <c r="B717" s="2113" t="str">
        <f t="shared" si="11"/>
        <v>175-902</v>
      </c>
      <c r="C717" t="s">
        <v>6702</v>
      </c>
      <c r="D717" s="2043">
        <v>26995305</v>
      </c>
      <c r="E717" s="2043">
        <v>0</v>
      </c>
      <c r="F717" s="2043">
        <v>279581991</v>
      </c>
      <c r="G717" s="2043">
        <v>270121686</v>
      </c>
      <c r="H717" s="2043">
        <v>279581991</v>
      </c>
      <c r="I717" s="2043">
        <v>270121686</v>
      </c>
    </row>
    <row r="718" spans="1:9" ht="14.5">
      <c r="A718" t="s">
        <v>10079</v>
      </c>
      <c r="B718" s="2113" t="str">
        <f t="shared" si="11"/>
        <v>175-903</v>
      </c>
      <c r="C718" t="s">
        <v>6703</v>
      </c>
      <c r="D718" s="2043">
        <v>134440186</v>
      </c>
      <c r="E718" s="2043">
        <v>0</v>
      </c>
      <c r="F718" s="2043">
        <v>2201915602</v>
      </c>
      <c r="G718" s="2043">
        <v>2150185416</v>
      </c>
      <c r="H718" s="2043">
        <v>2201915602</v>
      </c>
      <c r="I718" s="2043">
        <v>2150185416</v>
      </c>
    </row>
    <row r="719" spans="1:9" ht="14.5">
      <c r="A719" t="s">
        <v>10080</v>
      </c>
      <c r="B719" s="2113" t="str">
        <f t="shared" si="11"/>
        <v>175-904</v>
      </c>
      <c r="C719" t="s">
        <v>6220</v>
      </c>
      <c r="D719" s="2043">
        <v>17238989</v>
      </c>
      <c r="E719" s="2043">
        <v>0</v>
      </c>
      <c r="F719" s="2043">
        <v>210082181</v>
      </c>
      <c r="G719" s="2043">
        <v>203718192</v>
      </c>
      <c r="H719" s="2043">
        <v>210082181</v>
      </c>
      <c r="I719" s="2043">
        <v>203718192</v>
      </c>
    </row>
    <row r="720" spans="1:9" ht="14.5">
      <c r="A720" t="s">
        <v>10081</v>
      </c>
      <c r="B720" s="2113" t="str">
        <f t="shared" si="11"/>
        <v>175-905</v>
      </c>
      <c r="C720" t="s">
        <v>6704</v>
      </c>
      <c r="D720" s="2043">
        <v>10447880</v>
      </c>
      <c r="E720" s="2043">
        <v>0</v>
      </c>
      <c r="F720" s="2043">
        <v>214916963</v>
      </c>
      <c r="G720" s="2043">
        <v>211129083</v>
      </c>
      <c r="H720" s="2043">
        <v>214916963</v>
      </c>
      <c r="I720" s="2043">
        <v>211129083</v>
      </c>
    </row>
    <row r="721" spans="1:9" ht="14.5">
      <c r="A721" t="s">
        <v>10082</v>
      </c>
      <c r="B721" s="2113" t="str">
        <f t="shared" si="11"/>
        <v>175-907</v>
      </c>
      <c r="C721" t="s">
        <v>6705</v>
      </c>
      <c r="D721" s="2043">
        <v>22447895</v>
      </c>
      <c r="E721" s="2043">
        <v>0</v>
      </c>
      <c r="F721" s="2043">
        <v>377959707</v>
      </c>
      <c r="G721" s="2043">
        <v>369626812</v>
      </c>
      <c r="H721" s="2043">
        <v>377959707</v>
      </c>
      <c r="I721" s="2043">
        <v>369626812</v>
      </c>
    </row>
    <row r="722" spans="1:9" ht="14.5">
      <c r="A722" t="s">
        <v>10083</v>
      </c>
      <c r="B722" s="2113" t="str">
        <f t="shared" si="11"/>
        <v>175-910</v>
      </c>
      <c r="C722" t="s">
        <v>6706</v>
      </c>
      <c r="D722" s="2043">
        <v>24896217</v>
      </c>
      <c r="E722" s="2043">
        <v>0</v>
      </c>
      <c r="F722" s="2043">
        <v>524494284</v>
      </c>
      <c r="G722" s="2043">
        <v>515258067</v>
      </c>
      <c r="H722" s="2043">
        <v>524494284</v>
      </c>
      <c r="I722" s="2043">
        <v>515258067</v>
      </c>
    </row>
    <row r="723" spans="1:9" ht="14.5">
      <c r="A723" t="s">
        <v>10084</v>
      </c>
      <c r="B723" s="2113" t="str">
        <f t="shared" si="11"/>
        <v>175-911</v>
      </c>
      <c r="C723" t="s">
        <v>6707</v>
      </c>
      <c r="D723" s="2043">
        <v>14007860</v>
      </c>
      <c r="E723" s="2043">
        <v>0</v>
      </c>
      <c r="F723" s="2043">
        <v>183820831</v>
      </c>
      <c r="G723" s="2043">
        <v>179052971</v>
      </c>
      <c r="H723" s="2043">
        <v>183820831</v>
      </c>
      <c r="I723" s="2043">
        <v>179052971</v>
      </c>
    </row>
    <row r="724" spans="1:9" ht="14.5">
      <c r="A724" t="s">
        <v>10085</v>
      </c>
      <c r="B724" s="2113" t="str">
        <f t="shared" si="11"/>
        <v>176-901</v>
      </c>
      <c r="C724" t="s">
        <v>6708</v>
      </c>
      <c r="D724" s="2043">
        <v>16294966</v>
      </c>
      <c r="E724" s="2043">
        <v>0</v>
      </c>
      <c r="F724" s="2043">
        <v>257301247</v>
      </c>
      <c r="G724" s="2043">
        <v>251986281</v>
      </c>
      <c r="H724" s="2043">
        <v>257301247</v>
      </c>
      <c r="I724" s="2043">
        <v>251986281</v>
      </c>
    </row>
    <row r="725" spans="1:9" ht="14.5">
      <c r="A725" t="s">
        <v>10086</v>
      </c>
      <c r="B725" s="2113" t="str">
        <f t="shared" si="11"/>
        <v>176-902</v>
      </c>
      <c r="C725" t="s">
        <v>6709</v>
      </c>
      <c r="D725" s="2043">
        <v>40122700</v>
      </c>
      <c r="E725" s="2043">
        <v>0</v>
      </c>
      <c r="F725" s="2043">
        <v>338080023</v>
      </c>
      <c r="G725" s="2043">
        <v>325692323</v>
      </c>
      <c r="H725" s="2043">
        <v>338080023</v>
      </c>
      <c r="I725" s="2043">
        <v>325692323</v>
      </c>
    </row>
    <row r="726" spans="1:9" ht="14.5">
      <c r="A726" t="s">
        <v>10087</v>
      </c>
      <c r="B726" s="2113" t="str">
        <f t="shared" si="11"/>
        <v>176-903</v>
      </c>
      <c r="C726" t="s">
        <v>6710</v>
      </c>
      <c r="D726" s="2043">
        <v>22392602</v>
      </c>
      <c r="E726" s="2043">
        <v>0</v>
      </c>
      <c r="F726" s="2043">
        <v>727625123</v>
      </c>
      <c r="G726" s="2043">
        <v>720997521</v>
      </c>
      <c r="H726" s="2043">
        <v>727625123</v>
      </c>
      <c r="I726" s="2043">
        <v>720997521</v>
      </c>
    </row>
    <row r="727" spans="1:9" ht="14.5">
      <c r="A727" t="s">
        <v>10641</v>
      </c>
      <c r="B727" s="2113" t="str">
        <f t="shared" si="11"/>
        <v>177-901</v>
      </c>
      <c r="C727" t="s">
        <v>6711</v>
      </c>
      <c r="D727" s="2043">
        <v>10479830</v>
      </c>
      <c r="E727" s="2043">
        <v>156928470</v>
      </c>
      <c r="F727" s="2043">
        <v>319960591</v>
      </c>
      <c r="G727" s="2043">
        <v>316125761</v>
      </c>
      <c r="H727" s="2043">
        <v>476889061</v>
      </c>
      <c r="I727" s="2043">
        <v>473054231</v>
      </c>
    </row>
    <row r="728" spans="1:9" ht="14.5">
      <c r="A728" t="s">
        <v>10642</v>
      </c>
      <c r="B728" s="2113" t="str">
        <f t="shared" si="11"/>
        <v>177-902</v>
      </c>
      <c r="C728" t="s">
        <v>6712</v>
      </c>
      <c r="D728" s="2043">
        <v>64481560</v>
      </c>
      <c r="E728" s="2043">
        <v>0</v>
      </c>
      <c r="F728" s="2043">
        <v>908578391</v>
      </c>
      <c r="G728" s="2043">
        <v>884941831</v>
      </c>
      <c r="H728" s="2043">
        <v>908578391</v>
      </c>
      <c r="I728" s="2043">
        <v>884941831</v>
      </c>
    </row>
    <row r="729" spans="1:9" ht="14.5">
      <c r="A729" t="s">
        <v>10643</v>
      </c>
      <c r="B729" s="2113" t="str">
        <f t="shared" si="11"/>
        <v>177-903</v>
      </c>
      <c r="C729" t="s">
        <v>6713</v>
      </c>
      <c r="D729" s="2043">
        <v>6593514</v>
      </c>
      <c r="E729" s="2043">
        <v>0</v>
      </c>
      <c r="F729" s="2043">
        <v>796236630</v>
      </c>
      <c r="G729" s="2043">
        <v>794053116</v>
      </c>
      <c r="H729" s="2043">
        <v>796236630</v>
      </c>
      <c r="I729" s="2043">
        <v>794053116</v>
      </c>
    </row>
    <row r="730" spans="1:9" ht="14.5">
      <c r="A730" t="s">
        <v>10088</v>
      </c>
      <c r="B730" s="2113" t="str">
        <f t="shared" si="11"/>
        <v>177-905</v>
      </c>
      <c r="C730" t="s">
        <v>6714</v>
      </c>
      <c r="D730" s="2043">
        <v>2563060</v>
      </c>
      <c r="E730" s="2043">
        <v>278574300</v>
      </c>
      <c r="F730" s="2043">
        <v>305898547</v>
      </c>
      <c r="G730" s="2043">
        <v>304955487</v>
      </c>
      <c r="H730" s="2043">
        <v>584472847</v>
      </c>
      <c r="I730" s="2043">
        <v>583529787</v>
      </c>
    </row>
    <row r="731" spans="1:9" ht="14.5">
      <c r="A731" t="s">
        <v>10089</v>
      </c>
      <c r="B731" s="2113" t="str">
        <f t="shared" si="11"/>
        <v>178-901</v>
      </c>
      <c r="C731" t="s">
        <v>6715</v>
      </c>
      <c r="D731" s="2043">
        <v>7239061</v>
      </c>
      <c r="E731" s="2043">
        <v>0</v>
      </c>
      <c r="F731" s="2043">
        <v>188688347</v>
      </c>
      <c r="G731" s="2043">
        <v>186069286</v>
      </c>
      <c r="H731" s="2043">
        <v>188688347</v>
      </c>
      <c r="I731" s="2043">
        <v>186069286</v>
      </c>
    </row>
    <row r="732" spans="1:9" ht="14.5">
      <c r="A732" t="s">
        <v>10090</v>
      </c>
      <c r="B732" s="2113" t="str">
        <f t="shared" si="11"/>
        <v>178-902</v>
      </c>
      <c r="C732" t="s">
        <v>6716</v>
      </c>
      <c r="D732" s="2043">
        <v>31822744</v>
      </c>
      <c r="E732" s="2043">
        <v>0</v>
      </c>
      <c r="F732" s="2043">
        <v>921059210</v>
      </c>
      <c r="G732" s="2043">
        <v>909156466</v>
      </c>
      <c r="H732" s="2043">
        <v>921059210</v>
      </c>
      <c r="I732" s="2043">
        <v>909156466</v>
      </c>
    </row>
    <row r="733" spans="1:9" ht="14.5">
      <c r="A733" t="s">
        <v>10091</v>
      </c>
      <c r="B733" s="2113" t="str">
        <f t="shared" si="11"/>
        <v>178-903</v>
      </c>
      <c r="C733" t="s">
        <v>6717</v>
      </c>
      <c r="D733" s="2043">
        <v>117718870</v>
      </c>
      <c r="E733" s="2043">
        <v>593750520</v>
      </c>
      <c r="F733" s="2043">
        <v>1905176543</v>
      </c>
      <c r="G733" s="2043">
        <v>1859652673</v>
      </c>
      <c r="H733" s="2043">
        <v>2498927063</v>
      </c>
      <c r="I733" s="2043">
        <v>2453403193</v>
      </c>
    </row>
    <row r="734" spans="1:9" ht="14.5">
      <c r="A734" t="s">
        <v>10092</v>
      </c>
      <c r="B734" s="2113" t="str">
        <f t="shared" si="11"/>
        <v>178-904</v>
      </c>
      <c r="C734" t="s">
        <v>6718</v>
      </c>
      <c r="D734" s="2043">
        <v>1112939979</v>
      </c>
      <c r="E734" s="2043">
        <v>0</v>
      </c>
      <c r="F734" s="2043">
        <v>17893354004</v>
      </c>
      <c r="G734" s="2043">
        <v>17454184025</v>
      </c>
      <c r="H734" s="2043">
        <v>17893354004</v>
      </c>
      <c r="I734" s="2043">
        <v>17454184025</v>
      </c>
    </row>
    <row r="735" spans="1:9" ht="14.5">
      <c r="A735" t="s">
        <v>10093</v>
      </c>
      <c r="B735" s="2113" t="str">
        <f t="shared" si="11"/>
        <v>178-905</v>
      </c>
      <c r="C735" t="s">
        <v>6719</v>
      </c>
      <c r="D735" s="2043">
        <v>6226927</v>
      </c>
      <c r="E735" s="2043">
        <v>0</v>
      </c>
      <c r="F735" s="2043">
        <v>82807752</v>
      </c>
      <c r="G735" s="2043">
        <v>80750825</v>
      </c>
      <c r="H735" s="2043">
        <v>82807752</v>
      </c>
      <c r="I735" s="2043">
        <v>80750825</v>
      </c>
    </row>
    <row r="736" spans="1:9" ht="14.5">
      <c r="A736" t="s">
        <v>10094</v>
      </c>
      <c r="B736" s="2113" t="str">
        <f t="shared" si="11"/>
        <v>178-906</v>
      </c>
      <c r="C736" t="s">
        <v>6720</v>
      </c>
      <c r="D736" s="2043">
        <v>19712501</v>
      </c>
      <c r="E736" s="2043">
        <v>0</v>
      </c>
      <c r="F736" s="2043">
        <v>665240261</v>
      </c>
      <c r="G736" s="2043">
        <v>657452760</v>
      </c>
      <c r="H736" s="2043">
        <v>665240261</v>
      </c>
      <c r="I736" s="2043">
        <v>657452760</v>
      </c>
    </row>
    <row r="737" spans="1:9" ht="14.5">
      <c r="A737" t="s">
        <v>10095</v>
      </c>
      <c r="B737" s="2113" t="str">
        <f t="shared" si="11"/>
        <v>178-908</v>
      </c>
      <c r="C737" t="s">
        <v>6721</v>
      </c>
      <c r="D737" s="2043">
        <v>24373492</v>
      </c>
      <c r="E737" s="2043">
        <v>0</v>
      </c>
      <c r="F737" s="2043">
        <v>2716840750</v>
      </c>
      <c r="G737" s="2043">
        <v>2707557258</v>
      </c>
      <c r="H737" s="2043">
        <v>2716840750</v>
      </c>
      <c r="I737" s="2043">
        <v>2707557258</v>
      </c>
    </row>
    <row r="738" spans="1:9" ht="14.5">
      <c r="A738" t="s">
        <v>10096</v>
      </c>
      <c r="B738" s="2113" t="str">
        <f t="shared" si="11"/>
        <v>178-909</v>
      </c>
      <c r="C738" t="s">
        <v>6722</v>
      </c>
      <c r="D738" s="2043">
        <v>65713191</v>
      </c>
      <c r="E738" s="2043">
        <v>0</v>
      </c>
      <c r="F738" s="2043">
        <v>636063828</v>
      </c>
      <c r="G738" s="2043">
        <v>611735637</v>
      </c>
      <c r="H738" s="2043">
        <v>636063828</v>
      </c>
      <c r="I738" s="2043">
        <v>611735637</v>
      </c>
    </row>
    <row r="739" spans="1:9" ht="14.5">
      <c r="A739" t="s">
        <v>10097</v>
      </c>
      <c r="B739" s="2113" t="str">
        <f t="shared" si="11"/>
        <v>178-912</v>
      </c>
      <c r="C739" t="s">
        <v>6723</v>
      </c>
      <c r="D739" s="2043">
        <v>65715740</v>
      </c>
      <c r="E739" s="2043">
        <v>502193993</v>
      </c>
      <c r="F739" s="2043">
        <v>3463504495</v>
      </c>
      <c r="G739" s="2043">
        <v>3438438755</v>
      </c>
      <c r="H739" s="2043">
        <v>3965698488</v>
      </c>
      <c r="I739" s="2043">
        <v>3940632748</v>
      </c>
    </row>
    <row r="740" spans="1:9" ht="14.5">
      <c r="A740" t="s">
        <v>10098</v>
      </c>
      <c r="B740" s="2113" t="str">
        <f t="shared" si="11"/>
        <v>178-913</v>
      </c>
      <c r="C740" t="s">
        <v>6724</v>
      </c>
      <c r="D740" s="2043">
        <v>25823720</v>
      </c>
      <c r="E740" s="2043">
        <v>0</v>
      </c>
      <c r="F740" s="2043">
        <v>608493923</v>
      </c>
      <c r="G740" s="2043">
        <v>599710203</v>
      </c>
      <c r="H740" s="2043">
        <v>608493923</v>
      </c>
      <c r="I740" s="2043">
        <v>599710203</v>
      </c>
    </row>
    <row r="741" spans="1:9" ht="14.5">
      <c r="A741" t="s">
        <v>10099</v>
      </c>
      <c r="B741" s="2113" t="str">
        <f t="shared" si="11"/>
        <v>178-914</v>
      </c>
      <c r="C741" t="s">
        <v>6725</v>
      </c>
      <c r="D741" s="2043">
        <v>179209386</v>
      </c>
      <c r="E741" s="2043">
        <v>0</v>
      </c>
      <c r="F741" s="2043">
        <v>3351148502</v>
      </c>
      <c r="G741" s="2043">
        <v>3283569116</v>
      </c>
      <c r="H741" s="2043">
        <v>3351148502</v>
      </c>
      <c r="I741" s="2043">
        <v>3283569116</v>
      </c>
    </row>
    <row r="742" spans="1:9" ht="14.5">
      <c r="A742" t="s">
        <v>10100</v>
      </c>
      <c r="B742" s="2113" t="str">
        <f t="shared" si="11"/>
        <v>178-915</v>
      </c>
      <c r="C742" t="s">
        <v>6726</v>
      </c>
      <c r="D742" s="2043">
        <v>35613666</v>
      </c>
      <c r="E742" s="2043">
        <v>0</v>
      </c>
      <c r="F742" s="2043">
        <v>825391888</v>
      </c>
      <c r="G742" s="2043">
        <v>811918222</v>
      </c>
      <c r="H742" s="2043">
        <v>825391888</v>
      </c>
      <c r="I742" s="2043">
        <v>811918222</v>
      </c>
    </row>
    <row r="743" spans="1:9" ht="14.5">
      <c r="A743" t="s">
        <v>10101</v>
      </c>
      <c r="B743" s="2113" t="str">
        <f t="shared" si="11"/>
        <v>179-901</v>
      </c>
      <c r="C743" t="s">
        <v>6727</v>
      </c>
      <c r="D743" s="2043">
        <v>48869222</v>
      </c>
      <c r="E743" s="2043">
        <v>126590471</v>
      </c>
      <c r="F743" s="2043">
        <v>1037530992</v>
      </c>
      <c r="G743" s="2043">
        <v>1019486770</v>
      </c>
      <c r="H743" s="2043">
        <v>1164121463</v>
      </c>
      <c r="I743" s="2043">
        <v>1146077241</v>
      </c>
    </row>
    <row r="744" spans="1:9" ht="14.5">
      <c r="A744" t="s">
        <v>10102</v>
      </c>
      <c r="B744" s="2113" t="str">
        <f t="shared" si="11"/>
        <v>180-902</v>
      </c>
      <c r="C744" t="s">
        <v>6728</v>
      </c>
      <c r="D744" s="2043">
        <v>8197035</v>
      </c>
      <c r="E744" s="2043">
        <v>234691790</v>
      </c>
      <c r="F744" s="2043">
        <v>234597525</v>
      </c>
      <c r="G744" s="2043">
        <v>231570490</v>
      </c>
      <c r="H744" s="2043">
        <v>469289315</v>
      </c>
      <c r="I744" s="2043">
        <v>466262280</v>
      </c>
    </row>
    <row r="745" spans="1:9" ht="14.5">
      <c r="A745" t="s">
        <v>10103</v>
      </c>
      <c r="B745" s="2113" t="str">
        <f t="shared" si="11"/>
        <v>180-903</v>
      </c>
      <c r="C745" t="s">
        <v>6729</v>
      </c>
      <c r="D745" s="2043">
        <v>1539832</v>
      </c>
      <c r="E745" s="2043">
        <v>204312990</v>
      </c>
      <c r="F745" s="2043">
        <v>62491418</v>
      </c>
      <c r="G745" s="2043">
        <v>62029576</v>
      </c>
      <c r="H745" s="2043">
        <v>266804408</v>
      </c>
      <c r="I745" s="2043">
        <v>266342566</v>
      </c>
    </row>
    <row r="746" spans="1:9" ht="14.5">
      <c r="A746" t="s">
        <v>10644</v>
      </c>
      <c r="B746" s="2113" t="str">
        <f t="shared" si="11"/>
        <v>180-904</v>
      </c>
      <c r="C746" t="s">
        <v>6730</v>
      </c>
      <c r="D746" s="2043">
        <v>2314616</v>
      </c>
      <c r="E746" s="2043">
        <v>88771720</v>
      </c>
      <c r="F746" s="2043">
        <v>214931341</v>
      </c>
      <c r="G746" s="2043">
        <v>214243535</v>
      </c>
      <c r="H746" s="2043">
        <v>303703061</v>
      </c>
      <c r="I746" s="2043">
        <v>303015255</v>
      </c>
    </row>
    <row r="747" spans="1:9" ht="14.5">
      <c r="A747" t="s">
        <v>10104</v>
      </c>
      <c r="B747" s="2113" t="str">
        <f t="shared" si="11"/>
        <v>181-901</v>
      </c>
      <c r="C747" t="s">
        <v>6731</v>
      </c>
      <c r="D747" s="2043">
        <v>94230311</v>
      </c>
      <c r="E747" s="2043">
        <v>0</v>
      </c>
      <c r="F747" s="2043">
        <v>1184637134</v>
      </c>
      <c r="G747" s="2043">
        <v>1149371823</v>
      </c>
      <c r="H747" s="2043">
        <v>1184637134</v>
      </c>
      <c r="I747" s="2043">
        <v>1149371823</v>
      </c>
    </row>
    <row r="748" spans="1:9" ht="14.5">
      <c r="A748" t="s">
        <v>10105</v>
      </c>
      <c r="B748" s="2113" t="str">
        <f t="shared" si="11"/>
        <v>181-905</v>
      </c>
      <c r="C748" t="s">
        <v>6732</v>
      </c>
      <c r="D748" s="2043">
        <v>57679776</v>
      </c>
      <c r="E748" s="2043">
        <v>0</v>
      </c>
      <c r="F748" s="2043">
        <v>679474467</v>
      </c>
      <c r="G748" s="2043">
        <v>658829691</v>
      </c>
      <c r="H748" s="2043">
        <v>679474467</v>
      </c>
      <c r="I748" s="2043">
        <v>658829691</v>
      </c>
    </row>
    <row r="749" spans="1:9" ht="14.5">
      <c r="A749" t="s">
        <v>10106</v>
      </c>
      <c r="B749" s="2113" t="str">
        <f t="shared" si="11"/>
        <v>181-906</v>
      </c>
      <c r="C749" t="s">
        <v>6733</v>
      </c>
      <c r="D749" s="2043">
        <v>85561033</v>
      </c>
      <c r="E749" s="2043">
        <v>0</v>
      </c>
      <c r="F749" s="2043">
        <v>1977936448</v>
      </c>
      <c r="G749" s="2043">
        <v>1946045415</v>
      </c>
      <c r="H749" s="2043">
        <v>1977936448</v>
      </c>
      <c r="I749" s="2043">
        <v>1946045415</v>
      </c>
    </row>
    <row r="750" spans="1:9" ht="14.5">
      <c r="A750" t="s">
        <v>10107</v>
      </c>
      <c r="B750" s="2113" t="str">
        <f t="shared" si="11"/>
        <v>181-907</v>
      </c>
      <c r="C750" t="s">
        <v>6734</v>
      </c>
      <c r="D750" s="2043">
        <v>141419711</v>
      </c>
      <c r="E750" s="2043">
        <v>0</v>
      </c>
      <c r="F750" s="2043">
        <v>1438648622</v>
      </c>
      <c r="G750" s="2043">
        <v>1389328911</v>
      </c>
      <c r="H750" s="2043">
        <v>1438648622</v>
      </c>
      <c r="I750" s="2043">
        <v>1389328911</v>
      </c>
    </row>
    <row r="751" spans="1:9" ht="14.5">
      <c r="A751" t="s">
        <v>10108</v>
      </c>
      <c r="B751" s="2113" t="str">
        <f t="shared" si="11"/>
        <v>181-908</v>
      </c>
      <c r="C751" t="s">
        <v>8434</v>
      </c>
      <c r="D751" s="2043">
        <v>125722872</v>
      </c>
      <c r="E751" s="2043">
        <v>0</v>
      </c>
      <c r="F751" s="2043">
        <v>1144327875</v>
      </c>
      <c r="G751" s="2043">
        <v>1099320003</v>
      </c>
      <c r="H751" s="2043">
        <v>1144327875</v>
      </c>
      <c r="I751" s="2043">
        <v>1099320003</v>
      </c>
    </row>
    <row r="752" spans="1:9" ht="14.5">
      <c r="A752" t="s">
        <v>10109</v>
      </c>
      <c r="B752" s="2113" t="str">
        <f t="shared" si="11"/>
        <v>182-901</v>
      </c>
      <c r="C752" t="s">
        <v>6735</v>
      </c>
      <c r="D752" s="2043">
        <v>9257980</v>
      </c>
      <c r="E752" s="2043">
        <v>0</v>
      </c>
      <c r="F752" s="2043">
        <v>186474638</v>
      </c>
      <c r="G752" s="2043">
        <v>183066658</v>
      </c>
      <c r="H752" s="2043">
        <v>186474638</v>
      </c>
      <c r="I752" s="2043">
        <v>183066658</v>
      </c>
    </row>
    <row r="753" spans="1:9" ht="14.5">
      <c r="A753" t="s">
        <v>10110</v>
      </c>
      <c r="B753" s="2113" t="str">
        <f t="shared" si="11"/>
        <v>182-902</v>
      </c>
      <c r="C753" t="s">
        <v>6736</v>
      </c>
      <c r="D753" s="2043">
        <v>16304232</v>
      </c>
      <c r="E753" s="2043">
        <v>0</v>
      </c>
      <c r="F753" s="2043">
        <v>1059335200</v>
      </c>
      <c r="G753" s="2043">
        <v>1053575968</v>
      </c>
      <c r="H753" s="2043">
        <v>1059335200</v>
      </c>
      <c r="I753" s="2043">
        <v>1053575968</v>
      </c>
    </row>
    <row r="754" spans="1:9" ht="14.5">
      <c r="A754" t="s">
        <v>10111</v>
      </c>
      <c r="B754" s="2113" t="str">
        <f t="shared" si="11"/>
        <v>182-903</v>
      </c>
      <c r="C754" t="s">
        <v>6737</v>
      </c>
      <c r="D754" s="2043">
        <v>96514444</v>
      </c>
      <c r="E754" s="2043">
        <v>0</v>
      </c>
      <c r="F754" s="2043">
        <v>954910684</v>
      </c>
      <c r="G754" s="2043">
        <v>918981240</v>
      </c>
      <c r="H754" s="2043">
        <v>954910684</v>
      </c>
      <c r="I754" s="2043">
        <v>918981240</v>
      </c>
    </row>
    <row r="755" spans="1:9" ht="14.5">
      <c r="A755" t="s">
        <v>10112</v>
      </c>
      <c r="B755" s="2113" t="str">
        <f t="shared" si="11"/>
        <v>182-904</v>
      </c>
      <c r="C755" t="s">
        <v>6738</v>
      </c>
      <c r="D755" s="2043">
        <v>22769354</v>
      </c>
      <c r="E755" s="2043">
        <v>0</v>
      </c>
      <c r="F755" s="2043">
        <v>348531409</v>
      </c>
      <c r="G755" s="2043">
        <v>340042055</v>
      </c>
      <c r="H755" s="2043">
        <v>348531409</v>
      </c>
      <c r="I755" s="2043">
        <v>340042055</v>
      </c>
    </row>
    <row r="756" spans="1:9" ht="14.5">
      <c r="A756" t="s">
        <v>10113</v>
      </c>
      <c r="B756" s="2113" t="str">
        <f t="shared" si="11"/>
        <v>182-905</v>
      </c>
      <c r="C756" t="s">
        <v>6739</v>
      </c>
      <c r="D756" s="2043">
        <v>4364479</v>
      </c>
      <c r="E756" s="2043">
        <v>0</v>
      </c>
      <c r="F756" s="2043">
        <v>62153867</v>
      </c>
      <c r="G756" s="2043">
        <v>60609388</v>
      </c>
      <c r="H756" s="2043">
        <v>62153867</v>
      </c>
      <c r="I756" s="2043">
        <v>60609388</v>
      </c>
    </row>
    <row r="757" spans="1:9" ht="14.5">
      <c r="A757" t="s">
        <v>10114</v>
      </c>
      <c r="B757" s="2113" t="str">
        <f t="shared" si="11"/>
        <v>182-906</v>
      </c>
      <c r="C757" t="s">
        <v>6740</v>
      </c>
      <c r="D757" s="2043">
        <v>7672320</v>
      </c>
      <c r="E757" s="2043">
        <v>0</v>
      </c>
      <c r="F757" s="2043">
        <v>571957321</v>
      </c>
      <c r="G757" s="2043">
        <v>569145001</v>
      </c>
      <c r="H757" s="2043">
        <v>571957321</v>
      </c>
      <c r="I757" s="2043">
        <v>569145001</v>
      </c>
    </row>
    <row r="758" spans="1:9" ht="14.5">
      <c r="A758" t="s">
        <v>10115</v>
      </c>
      <c r="B758" s="2113" t="str">
        <f t="shared" si="11"/>
        <v>183-901</v>
      </c>
      <c r="C758" t="s">
        <v>6741</v>
      </c>
      <c r="D758" s="2043">
        <v>16891340</v>
      </c>
      <c r="E758" s="2043">
        <v>0</v>
      </c>
      <c r="F758" s="2043">
        <v>360934182</v>
      </c>
      <c r="G758" s="2043">
        <v>355052842</v>
      </c>
      <c r="H758" s="2043">
        <v>360934182</v>
      </c>
      <c r="I758" s="2043">
        <v>355052842</v>
      </c>
    </row>
    <row r="759" spans="1:9" ht="14.5">
      <c r="A759" t="s">
        <v>10116</v>
      </c>
      <c r="B759" s="2113" t="str">
        <f t="shared" si="11"/>
        <v>183-902</v>
      </c>
      <c r="C759" t="s">
        <v>6742</v>
      </c>
      <c r="D759" s="2043">
        <v>111803147</v>
      </c>
      <c r="E759" s="2043">
        <v>0</v>
      </c>
      <c r="F759" s="2043">
        <v>2857011559</v>
      </c>
      <c r="G759" s="2043">
        <v>2817028412</v>
      </c>
      <c r="H759" s="2043">
        <v>2857011559</v>
      </c>
      <c r="I759" s="2043">
        <v>2817028412</v>
      </c>
    </row>
    <row r="760" spans="1:9" ht="14.5">
      <c r="A760" t="s">
        <v>10117</v>
      </c>
      <c r="B760" s="2113" t="str">
        <f t="shared" si="11"/>
        <v>183-904</v>
      </c>
      <c r="C760" t="s">
        <v>6743</v>
      </c>
      <c r="D760" s="2043">
        <v>14092210</v>
      </c>
      <c r="E760" s="2043">
        <v>0</v>
      </c>
      <c r="F760" s="2043">
        <v>143865665</v>
      </c>
      <c r="G760" s="2043">
        <v>139013455</v>
      </c>
      <c r="H760" s="2043">
        <v>143865665</v>
      </c>
      <c r="I760" s="2043">
        <v>139013455</v>
      </c>
    </row>
    <row r="761" spans="1:9" ht="14.5">
      <c r="A761" t="s">
        <v>10118</v>
      </c>
      <c r="B761" s="2113" t="str">
        <f t="shared" si="11"/>
        <v>184-901</v>
      </c>
      <c r="C761" t="s">
        <v>6744</v>
      </c>
      <c r="D761" s="2043">
        <v>19450769</v>
      </c>
      <c r="E761" s="2043">
        <v>0</v>
      </c>
      <c r="F761" s="2043">
        <v>276842506</v>
      </c>
      <c r="G761" s="2043">
        <v>270276737</v>
      </c>
      <c r="H761" s="2043">
        <v>276842506</v>
      </c>
      <c r="I761" s="2043">
        <v>270276737</v>
      </c>
    </row>
    <row r="762" spans="1:9" ht="14.5">
      <c r="A762" t="s">
        <v>10119</v>
      </c>
      <c r="B762" s="2113" t="str">
        <f t="shared" si="11"/>
        <v>184-902</v>
      </c>
      <c r="C762" t="s">
        <v>6745</v>
      </c>
      <c r="D762" s="2043">
        <v>137334411</v>
      </c>
      <c r="E762" s="2043">
        <v>0</v>
      </c>
      <c r="F762" s="2043">
        <v>1580353042</v>
      </c>
      <c r="G762" s="2043">
        <v>1527918631</v>
      </c>
      <c r="H762" s="2043">
        <v>1580353042</v>
      </c>
      <c r="I762" s="2043">
        <v>1527918631</v>
      </c>
    </row>
    <row r="763" spans="1:9" ht="14.5">
      <c r="A763" t="s">
        <v>10120</v>
      </c>
      <c r="B763" s="2113" t="str">
        <f t="shared" si="11"/>
        <v>184-903</v>
      </c>
      <c r="C763" t="s">
        <v>6746</v>
      </c>
      <c r="D763" s="2043">
        <v>324213017</v>
      </c>
      <c r="E763" s="2043">
        <v>0</v>
      </c>
      <c r="F763" s="2043">
        <v>5284884771</v>
      </c>
      <c r="G763" s="2043">
        <v>5159646754</v>
      </c>
      <c r="H763" s="2043">
        <v>5284884771</v>
      </c>
      <c r="I763" s="2043">
        <v>5159646754</v>
      </c>
    </row>
    <row r="764" spans="1:9" ht="14.5">
      <c r="A764" t="s">
        <v>10121</v>
      </c>
      <c r="B764" s="2113" t="str">
        <f t="shared" si="11"/>
        <v>184-904</v>
      </c>
      <c r="C764" t="s">
        <v>6747</v>
      </c>
      <c r="D764" s="2043">
        <v>30388323</v>
      </c>
      <c r="E764" s="2043">
        <v>0</v>
      </c>
      <c r="F764" s="2043">
        <v>469716025</v>
      </c>
      <c r="G764" s="2043">
        <v>458257702</v>
      </c>
      <c r="H764" s="2043">
        <v>469716025</v>
      </c>
      <c r="I764" s="2043">
        <v>458257702</v>
      </c>
    </row>
    <row r="765" spans="1:9" ht="14.5">
      <c r="A765" t="s">
        <v>10122</v>
      </c>
      <c r="B765" s="2113" t="str">
        <f t="shared" si="11"/>
        <v>184-907</v>
      </c>
      <c r="C765" t="s">
        <v>6748</v>
      </c>
      <c r="D765" s="2043">
        <v>196308444</v>
      </c>
      <c r="E765" s="2043">
        <v>0</v>
      </c>
      <c r="F765" s="2043">
        <v>4288306982</v>
      </c>
      <c r="G765" s="2043">
        <v>4211158538</v>
      </c>
      <c r="H765" s="2043">
        <v>4288306982</v>
      </c>
      <c r="I765" s="2043">
        <v>4211158538</v>
      </c>
    </row>
    <row r="766" spans="1:9" ht="14.5">
      <c r="A766" t="s">
        <v>10123</v>
      </c>
      <c r="B766" s="2113" t="str">
        <f t="shared" si="11"/>
        <v>184-908</v>
      </c>
      <c r="C766" t="s">
        <v>6749</v>
      </c>
      <c r="D766" s="2043">
        <v>31716850</v>
      </c>
      <c r="E766" s="2043">
        <v>0</v>
      </c>
      <c r="F766" s="2043">
        <v>465576163</v>
      </c>
      <c r="G766" s="2043">
        <v>453179313</v>
      </c>
      <c r="H766" s="2043">
        <v>465576163</v>
      </c>
      <c r="I766" s="2043">
        <v>453179313</v>
      </c>
    </row>
    <row r="767" spans="1:9" ht="14.5">
      <c r="A767" t="s">
        <v>10124</v>
      </c>
      <c r="B767" s="2113" t="str">
        <f t="shared" si="11"/>
        <v>184-909</v>
      </c>
      <c r="C767" t="s">
        <v>6750</v>
      </c>
      <c r="D767" s="2043">
        <v>43203480</v>
      </c>
      <c r="E767" s="2043">
        <v>0</v>
      </c>
      <c r="F767" s="2043">
        <v>857686236</v>
      </c>
      <c r="G767" s="2043">
        <v>840642756</v>
      </c>
      <c r="H767" s="2043">
        <v>857686236</v>
      </c>
      <c r="I767" s="2043">
        <v>840642756</v>
      </c>
    </row>
    <row r="768" spans="1:9" ht="14.5">
      <c r="A768" t="s">
        <v>10125</v>
      </c>
      <c r="B768" s="2113" t="str">
        <f t="shared" si="11"/>
        <v>184-911</v>
      </c>
      <c r="C768" t="s">
        <v>6751</v>
      </c>
      <c r="D768" s="2043">
        <v>11780301</v>
      </c>
      <c r="E768" s="2043">
        <v>0</v>
      </c>
      <c r="F768" s="2043">
        <v>215793163</v>
      </c>
      <c r="G768" s="2043">
        <v>211407862</v>
      </c>
      <c r="H768" s="2043">
        <v>215793163</v>
      </c>
      <c r="I768" s="2043">
        <v>211407862</v>
      </c>
    </row>
    <row r="769" spans="1:9" ht="14.5">
      <c r="A769" t="s">
        <v>10126</v>
      </c>
      <c r="B769" s="2113" t="str">
        <f t="shared" si="11"/>
        <v>185-901</v>
      </c>
      <c r="C769" t="s">
        <v>6752</v>
      </c>
      <c r="D769" s="2043">
        <v>8744272</v>
      </c>
      <c r="E769" s="2043">
        <v>20314726</v>
      </c>
      <c r="F769" s="2043">
        <v>117867211</v>
      </c>
      <c r="G769" s="2043">
        <v>114777939</v>
      </c>
      <c r="H769" s="2043">
        <v>138181937</v>
      </c>
      <c r="I769" s="2043">
        <v>135092665</v>
      </c>
    </row>
    <row r="770" spans="1:9" ht="14.5">
      <c r="A770" t="s">
        <v>10645</v>
      </c>
      <c r="B770" s="2113" t="str">
        <f t="shared" si="11"/>
        <v>185-902</v>
      </c>
      <c r="C770" t="s">
        <v>6753</v>
      </c>
      <c r="D770" s="2043">
        <v>10931969</v>
      </c>
      <c r="E770" s="2043">
        <v>0</v>
      </c>
      <c r="F770" s="2043">
        <v>169373911</v>
      </c>
      <c r="G770" s="2043">
        <v>165281942</v>
      </c>
      <c r="H770" s="2043">
        <v>169373911</v>
      </c>
      <c r="I770" s="2043">
        <v>165281942</v>
      </c>
    </row>
    <row r="771" spans="1:9" ht="14.5">
      <c r="A771" t="s">
        <v>10127</v>
      </c>
      <c r="B771" s="2113" t="str">
        <f t="shared" ref="B771:B834" si="12">CONCATENATE(RIGHT(LEFT(CONCATENATE("000",A771),6),3),"-",(LEFT(RIGHT(CONCATENATE("000",A771),6),3)))</f>
        <v>185-903</v>
      </c>
      <c r="C771" t="s">
        <v>6754</v>
      </c>
      <c r="D771" s="2043">
        <v>21057630</v>
      </c>
      <c r="E771" s="2043">
        <v>139839390</v>
      </c>
      <c r="F771" s="2043">
        <v>454059825</v>
      </c>
      <c r="G771" s="2043">
        <v>446207195</v>
      </c>
      <c r="H771" s="2043">
        <v>593899215</v>
      </c>
      <c r="I771" s="2043">
        <v>586046585</v>
      </c>
    </row>
    <row r="772" spans="1:9" ht="14.5">
      <c r="A772" t="s">
        <v>10128</v>
      </c>
      <c r="B772" s="2113" t="str">
        <f t="shared" si="12"/>
        <v>185-904</v>
      </c>
      <c r="C772" t="s">
        <v>6755</v>
      </c>
      <c r="D772" s="2043">
        <v>2725239</v>
      </c>
      <c r="E772" s="2043">
        <v>0</v>
      </c>
      <c r="F772" s="2043">
        <v>61605611</v>
      </c>
      <c r="G772" s="2043">
        <v>60545372</v>
      </c>
      <c r="H772" s="2043">
        <v>61605611</v>
      </c>
      <c r="I772" s="2043">
        <v>60545372</v>
      </c>
    </row>
    <row r="773" spans="1:9" ht="14.5">
      <c r="A773" t="s">
        <v>10129</v>
      </c>
      <c r="B773" s="2113" t="str">
        <f t="shared" si="12"/>
        <v>186-901</v>
      </c>
      <c r="C773" t="s">
        <v>6756</v>
      </c>
      <c r="D773" s="2043">
        <v>1960130</v>
      </c>
      <c r="E773" s="2043">
        <v>0</v>
      </c>
      <c r="F773" s="2043">
        <v>820479965</v>
      </c>
      <c r="G773" s="2043">
        <v>819854835</v>
      </c>
      <c r="H773" s="2043">
        <v>820479965</v>
      </c>
      <c r="I773" s="2043">
        <v>819854835</v>
      </c>
    </row>
    <row r="774" spans="1:9" ht="14.5">
      <c r="A774" t="s">
        <v>10130</v>
      </c>
      <c r="B774" s="2113" t="str">
        <f t="shared" si="12"/>
        <v>186-902</v>
      </c>
      <c r="C774" t="s">
        <v>6757</v>
      </c>
      <c r="D774" s="2043">
        <v>64756530</v>
      </c>
      <c r="E774" s="2043">
        <v>177180781</v>
      </c>
      <c r="F774" s="2043">
        <v>2714394540</v>
      </c>
      <c r="G774" s="2043">
        <v>2690918010</v>
      </c>
      <c r="H774" s="2043">
        <v>2891575321</v>
      </c>
      <c r="I774" s="2043">
        <v>2868098791</v>
      </c>
    </row>
    <row r="775" spans="1:9" ht="14.5">
      <c r="A775" t="s">
        <v>10131</v>
      </c>
      <c r="B775" s="2113" t="str">
        <f t="shared" si="12"/>
        <v>186-903</v>
      </c>
      <c r="C775" t="s">
        <v>6758</v>
      </c>
      <c r="D775" s="2043">
        <v>8571220</v>
      </c>
      <c r="E775" s="2043">
        <v>330410200</v>
      </c>
      <c r="F775" s="2043">
        <v>1029225238</v>
      </c>
      <c r="G775" s="2043">
        <v>1026114018</v>
      </c>
      <c r="H775" s="2043">
        <v>1359635438</v>
      </c>
      <c r="I775" s="2043">
        <v>1356524218</v>
      </c>
    </row>
    <row r="776" spans="1:9" ht="14.5">
      <c r="A776" t="s">
        <v>10132</v>
      </c>
      <c r="B776" s="2113" t="str">
        <f t="shared" si="12"/>
        <v>187-901</v>
      </c>
      <c r="C776" t="s">
        <v>6759</v>
      </c>
      <c r="D776" s="2043">
        <v>12077146</v>
      </c>
      <c r="E776" s="2043">
        <v>0</v>
      </c>
      <c r="F776" s="2043">
        <v>195314643</v>
      </c>
      <c r="G776" s="2043">
        <v>190947497</v>
      </c>
      <c r="H776" s="2043">
        <v>195314643</v>
      </c>
      <c r="I776" s="2043">
        <v>190947497</v>
      </c>
    </row>
    <row r="777" spans="1:9" ht="14.5">
      <c r="A777" t="s">
        <v>10133</v>
      </c>
      <c r="B777" s="2113" t="str">
        <f t="shared" si="12"/>
        <v>187-903</v>
      </c>
      <c r="C777" t="s">
        <v>6760</v>
      </c>
      <c r="D777" s="2043">
        <v>12813165</v>
      </c>
      <c r="E777" s="2043">
        <v>0</v>
      </c>
      <c r="F777" s="2043">
        <v>136267221</v>
      </c>
      <c r="G777" s="2043">
        <v>131419056</v>
      </c>
      <c r="H777" s="2043">
        <v>136267221</v>
      </c>
      <c r="I777" s="2043">
        <v>131419056</v>
      </c>
    </row>
    <row r="778" spans="1:9" ht="14.5">
      <c r="A778" t="s">
        <v>10134</v>
      </c>
      <c r="B778" s="2113" t="str">
        <f t="shared" si="12"/>
        <v>187-904</v>
      </c>
      <c r="C778" t="s">
        <v>6761</v>
      </c>
      <c r="D778" s="2043">
        <v>24580294</v>
      </c>
      <c r="E778" s="2043">
        <v>196189074</v>
      </c>
      <c r="F778" s="2043">
        <v>433434707</v>
      </c>
      <c r="G778" s="2043">
        <v>424274413</v>
      </c>
      <c r="H778" s="2043">
        <v>629623781</v>
      </c>
      <c r="I778" s="2043">
        <v>620463487</v>
      </c>
    </row>
    <row r="779" spans="1:9" ht="14.5">
      <c r="A779" t="s">
        <v>10135</v>
      </c>
      <c r="B779" s="2113" t="str">
        <f t="shared" si="12"/>
        <v>187-906</v>
      </c>
      <c r="C779" t="s">
        <v>6762</v>
      </c>
      <c r="D779" s="2043">
        <v>7315857</v>
      </c>
      <c r="E779" s="2043">
        <v>0</v>
      </c>
      <c r="F779" s="2043">
        <v>94293705</v>
      </c>
      <c r="G779" s="2043">
        <v>91762848</v>
      </c>
      <c r="H779" s="2043">
        <v>94293705</v>
      </c>
      <c r="I779" s="2043">
        <v>91762848</v>
      </c>
    </row>
    <row r="780" spans="1:9" ht="14.5">
      <c r="A780" t="s">
        <v>10136</v>
      </c>
      <c r="B780" s="2113" t="str">
        <f t="shared" si="12"/>
        <v>187-907</v>
      </c>
      <c r="C780" t="s">
        <v>6763</v>
      </c>
      <c r="D780" s="2043">
        <v>145421118</v>
      </c>
      <c r="E780" s="2043">
        <v>0</v>
      </c>
      <c r="F780" s="2043">
        <v>1826200670</v>
      </c>
      <c r="G780" s="2043">
        <v>1772624552</v>
      </c>
      <c r="H780" s="2043">
        <v>1826200670</v>
      </c>
      <c r="I780" s="2043">
        <v>1772624552</v>
      </c>
    </row>
    <row r="781" spans="1:9" ht="14.5">
      <c r="A781" t="s">
        <v>10137</v>
      </c>
      <c r="B781" s="2113" t="str">
        <f t="shared" si="12"/>
        <v>187-910</v>
      </c>
      <c r="C781" t="s">
        <v>6764</v>
      </c>
      <c r="D781" s="2043">
        <v>48725596</v>
      </c>
      <c r="E781" s="2043">
        <v>0</v>
      </c>
      <c r="F781" s="2043">
        <v>603359721</v>
      </c>
      <c r="G781" s="2043">
        <v>585924125</v>
      </c>
      <c r="H781" s="2043">
        <v>603359721</v>
      </c>
      <c r="I781" s="2043">
        <v>585924125</v>
      </c>
    </row>
    <row r="782" spans="1:9" ht="14.5">
      <c r="A782" t="s">
        <v>10138</v>
      </c>
      <c r="B782" s="2113" t="str">
        <f t="shared" si="12"/>
        <v>188-901</v>
      </c>
      <c r="C782" t="s">
        <v>6765</v>
      </c>
      <c r="D782" s="2043">
        <v>765384260</v>
      </c>
      <c r="E782" s="2043">
        <v>0</v>
      </c>
      <c r="F782" s="2043">
        <v>9741586537</v>
      </c>
      <c r="G782" s="2043">
        <v>9451207277</v>
      </c>
      <c r="H782" s="2043">
        <v>9741586537</v>
      </c>
      <c r="I782" s="2043">
        <v>9451207277</v>
      </c>
    </row>
    <row r="783" spans="1:9" ht="14.5">
      <c r="A783" t="s">
        <v>10646</v>
      </c>
      <c r="B783" s="2113" t="str">
        <f t="shared" si="12"/>
        <v>188-902</v>
      </c>
      <c r="C783" t="s">
        <v>6766</v>
      </c>
      <c r="D783" s="2043">
        <v>41121189</v>
      </c>
      <c r="E783" s="2043">
        <v>0</v>
      </c>
      <c r="F783" s="2043">
        <v>308574320</v>
      </c>
      <c r="G783" s="2043">
        <v>295803131</v>
      </c>
      <c r="H783" s="2043">
        <v>308574320</v>
      </c>
      <c r="I783" s="2043">
        <v>295803131</v>
      </c>
    </row>
    <row r="784" spans="1:9" ht="14.5">
      <c r="A784" t="s">
        <v>10139</v>
      </c>
      <c r="B784" s="2113" t="str">
        <f t="shared" si="12"/>
        <v>188-903</v>
      </c>
      <c r="C784" t="s">
        <v>6213</v>
      </c>
      <c r="D784" s="2043">
        <v>5737044</v>
      </c>
      <c r="E784" s="2043">
        <v>0</v>
      </c>
      <c r="F784" s="2043">
        <v>1331204775</v>
      </c>
      <c r="G784" s="2043">
        <v>1329697731</v>
      </c>
      <c r="H784" s="2043">
        <v>1331204775</v>
      </c>
      <c r="I784" s="2043">
        <v>1329697731</v>
      </c>
    </row>
    <row r="785" spans="1:9" ht="14.5">
      <c r="A785" t="s">
        <v>10140</v>
      </c>
      <c r="B785" s="2113" t="str">
        <f t="shared" si="12"/>
        <v>188-904</v>
      </c>
      <c r="C785" t="s">
        <v>6767</v>
      </c>
      <c r="D785" s="2043">
        <v>51659489</v>
      </c>
      <c r="E785" s="2043">
        <v>0</v>
      </c>
      <c r="F785" s="2043">
        <v>1422386107</v>
      </c>
      <c r="G785" s="2043">
        <v>1403531618</v>
      </c>
      <c r="H785" s="2043">
        <v>1422386107</v>
      </c>
      <c r="I785" s="2043">
        <v>1403531618</v>
      </c>
    </row>
    <row r="786" spans="1:9" ht="14.5">
      <c r="A786" t="s">
        <v>10141</v>
      </c>
      <c r="B786" s="2113" t="str">
        <f t="shared" si="12"/>
        <v>189-901</v>
      </c>
      <c r="C786" t="s">
        <v>6768</v>
      </c>
      <c r="D786" s="2043">
        <v>14043505</v>
      </c>
      <c r="E786" s="2043">
        <v>0</v>
      </c>
      <c r="F786" s="2043">
        <v>469597638</v>
      </c>
      <c r="G786" s="2043">
        <v>464329133</v>
      </c>
      <c r="H786" s="2043">
        <v>469597638</v>
      </c>
      <c r="I786" s="2043">
        <v>464329133</v>
      </c>
    </row>
    <row r="787" spans="1:9" ht="14.5">
      <c r="A787" t="s">
        <v>10142</v>
      </c>
      <c r="B787" s="2113" t="str">
        <f t="shared" si="12"/>
        <v>189-902</v>
      </c>
      <c r="C787" t="s">
        <v>6769</v>
      </c>
      <c r="D787" s="2043">
        <v>20454997</v>
      </c>
      <c r="E787" s="2043">
        <v>0</v>
      </c>
      <c r="F787" s="2043">
        <v>202206203</v>
      </c>
      <c r="G787" s="2043">
        <v>193032407</v>
      </c>
      <c r="H787" s="2043">
        <v>202206203</v>
      </c>
      <c r="I787" s="2043">
        <v>193032407</v>
      </c>
    </row>
    <row r="788" spans="1:9" ht="14.5">
      <c r="A788" t="s">
        <v>10143</v>
      </c>
      <c r="B788" s="2113" t="str">
        <f t="shared" si="12"/>
        <v>190-903</v>
      </c>
      <c r="C788" t="s">
        <v>6770</v>
      </c>
      <c r="D788" s="2043">
        <v>75427977</v>
      </c>
      <c r="E788" s="2043">
        <v>0</v>
      </c>
      <c r="F788" s="2043">
        <v>754297546</v>
      </c>
      <c r="G788" s="2043">
        <v>727439569</v>
      </c>
      <c r="H788" s="2043">
        <v>754297546</v>
      </c>
      <c r="I788" s="2043">
        <v>727439569</v>
      </c>
    </row>
    <row r="789" spans="1:9" ht="14.5">
      <c r="A789" t="s">
        <v>10144</v>
      </c>
      <c r="B789" s="2113" t="str">
        <f t="shared" si="12"/>
        <v>191-901</v>
      </c>
      <c r="C789" t="s">
        <v>6771</v>
      </c>
      <c r="D789" s="2043">
        <v>360503375</v>
      </c>
      <c r="E789" s="2043">
        <v>70644340</v>
      </c>
      <c r="F789" s="2043">
        <v>5624237528</v>
      </c>
      <c r="G789" s="2043">
        <v>5493759153</v>
      </c>
      <c r="H789" s="2043">
        <v>5694881868</v>
      </c>
      <c r="I789" s="2043">
        <v>5564403493</v>
      </c>
    </row>
    <row r="790" spans="1:9" ht="14.5">
      <c r="A790" t="s">
        <v>10647</v>
      </c>
      <c r="B790" s="2113" t="str">
        <f t="shared" si="12"/>
        <v>192-901</v>
      </c>
      <c r="C790" t="s">
        <v>6772</v>
      </c>
      <c r="D790" s="2043">
        <v>16453030</v>
      </c>
      <c r="E790" s="2043">
        <v>186506970</v>
      </c>
      <c r="F790" s="2043">
        <v>4624028596</v>
      </c>
      <c r="G790" s="2043">
        <v>4618420566</v>
      </c>
      <c r="H790" s="2043">
        <v>4810535566</v>
      </c>
      <c r="I790" s="2043">
        <v>4804927536</v>
      </c>
    </row>
    <row r="791" spans="1:9" ht="14.5">
      <c r="A791" t="s">
        <v>10145</v>
      </c>
      <c r="B791" s="2113" t="str">
        <f t="shared" si="12"/>
        <v>193-902</v>
      </c>
      <c r="C791" t="s">
        <v>6773</v>
      </c>
      <c r="D791" s="2043">
        <v>14434026</v>
      </c>
      <c r="E791" s="2043">
        <v>0</v>
      </c>
      <c r="F791" s="2043">
        <v>470671340</v>
      </c>
      <c r="G791" s="2043">
        <v>466827314</v>
      </c>
      <c r="H791" s="2043">
        <v>470671340</v>
      </c>
      <c r="I791" s="2043">
        <v>466827314</v>
      </c>
    </row>
    <row r="792" spans="1:9" ht="14.5">
      <c r="A792" t="s">
        <v>10146</v>
      </c>
      <c r="B792" s="2113" t="str">
        <f t="shared" si="12"/>
        <v>194-902</v>
      </c>
      <c r="C792" t="s">
        <v>6774</v>
      </c>
      <c r="D792" s="2043">
        <v>11035419</v>
      </c>
      <c r="E792" s="2043">
        <v>0</v>
      </c>
      <c r="F792" s="2043">
        <v>60525428</v>
      </c>
      <c r="G792" s="2043">
        <v>56630009</v>
      </c>
      <c r="H792" s="2043">
        <v>60525428</v>
      </c>
      <c r="I792" s="2043">
        <v>56630009</v>
      </c>
    </row>
    <row r="793" spans="1:9" ht="14.5">
      <c r="A793" t="s">
        <v>10147</v>
      </c>
      <c r="B793" s="2113" t="str">
        <f t="shared" si="12"/>
        <v>194-903</v>
      </c>
      <c r="C793" t="s">
        <v>6775</v>
      </c>
      <c r="D793" s="2043">
        <v>25091641</v>
      </c>
      <c r="E793" s="2043">
        <v>0</v>
      </c>
      <c r="F793" s="2043">
        <v>258770867</v>
      </c>
      <c r="G793" s="2043">
        <v>249849226</v>
      </c>
      <c r="H793" s="2043">
        <v>258770867</v>
      </c>
      <c r="I793" s="2043">
        <v>249849226</v>
      </c>
    </row>
    <row r="794" spans="1:9" ht="14.5">
      <c r="A794" t="s">
        <v>10148</v>
      </c>
      <c r="B794" s="2113" t="str">
        <f t="shared" si="12"/>
        <v>194-904</v>
      </c>
      <c r="C794" t="s">
        <v>6776</v>
      </c>
      <c r="D794" s="2043">
        <v>35363385</v>
      </c>
      <c r="E794" s="2043">
        <v>0</v>
      </c>
      <c r="F794" s="2043">
        <v>260391901</v>
      </c>
      <c r="G794" s="2043">
        <v>248083516</v>
      </c>
      <c r="H794" s="2043">
        <v>260391901</v>
      </c>
      <c r="I794" s="2043">
        <v>248083516</v>
      </c>
    </row>
    <row r="795" spans="1:9" ht="14.5">
      <c r="A795" t="s">
        <v>10149</v>
      </c>
      <c r="B795" s="2113" t="str">
        <f t="shared" si="12"/>
        <v>194-905</v>
      </c>
      <c r="C795" t="s">
        <v>6777</v>
      </c>
      <c r="D795" s="2043">
        <v>13858416</v>
      </c>
      <c r="E795" s="2043">
        <v>0</v>
      </c>
      <c r="F795" s="2043">
        <v>83319031</v>
      </c>
      <c r="G795" s="2043">
        <v>78430615</v>
      </c>
      <c r="H795" s="2043">
        <v>83319031</v>
      </c>
      <c r="I795" s="2043">
        <v>78430615</v>
      </c>
    </row>
    <row r="796" spans="1:9" ht="14.5">
      <c r="A796" t="s">
        <v>10648</v>
      </c>
      <c r="B796" s="2113" t="str">
        <f t="shared" si="12"/>
        <v>195-901</v>
      </c>
      <c r="C796" t="s">
        <v>6778</v>
      </c>
      <c r="D796" s="2043">
        <v>60366336</v>
      </c>
      <c r="E796" s="2043">
        <v>1536007956</v>
      </c>
      <c r="F796" s="2043">
        <v>13765679386</v>
      </c>
      <c r="G796" s="2043">
        <v>13743848050</v>
      </c>
      <c r="H796" s="2043">
        <v>15301687342</v>
      </c>
      <c r="I796" s="2043">
        <v>15279856006</v>
      </c>
    </row>
    <row r="797" spans="1:9" ht="14.5">
      <c r="A797" t="s">
        <v>10150</v>
      </c>
      <c r="B797" s="2113" t="str">
        <f t="shared" si="12"/>
        <v>195-902</v>
      </c>
      <c r="C797" t="s">
        <v>6779</v>
      </c>
      <c r="D797" s="2043">
        <v>3160743</v>
      </c>
      <c r="E797" s="2043">
        <v>0</v>
      </c>
      <c r="F797" s="2043">
        <v>481451518</v>
      </c>
      <c r="G797" s="2043">
        <v>480375775</v>
      </c>
      <c r="H797" s="2043">
        <v>481451518</v>
      </c>
      <c r="I797" s="2043">
        <v>480375775</v>
      </c>
    </row>
    <row r="798" spans="1:9" ht="14.5">
      <c r="A798" t="s">
        <v>10151</v>
      </c>
      <c r="B798" s="2113" t="str">
        <f t="shared" si="12"/>
        <v>196-901</v>
      </c>
      <c r="C798" t="s">
        <v>6780</v>
      </c>
      <c r="D798" s="2043">
        <v>4860600</v>
      </c>
      <c r="E798" s="2043">
        <v>0</v>
      </c>
      <c r="F798" s="2043">
        <v>214282640</v>
      </c>
      <c r="G798" s="2043">
        <v>212707040</v>
      </c>
      <c r="H798" s="2043">
        <v>214282640</v>
      </c>
      <c r="I798" s="2043">
        <v>212707040</v>
      </c>
    </row>
    <row r="799" spans="1:9" ht="14.5">
      <c r="A799" t="s">
        <v>10152</v>
      </c>
      <c r="B799" s="2113" t="str">
        <f t="shared" si="12"/>
        <v>196-902</v>
      </c>
      <c r="C799" t="s">
        <v>6781</v>
      </c>
      <c r="D799" s="2043">
        <v>17189852</v>
      </c>
      <c r="E799" s="2043">
        <v>132464000</v>
      </c>
      <c r="F799" s="2043">
        <v>339035408</v>
      </c>
      <c r="G799" s="2043">
        <v>333395556</v>
      </c>
      <c r="H799" s="2043">
        <v>471499408</v>
      </c>
      <c r="I799" s="2043">
        <v>465859556</v>
      </c>
    </row>
    <row r="800" spans="1:9" ht="14.5">
      <c r="A800" t="s">
        <v>10153</v>
      </c>
      <c r="B800" s="2113" t="str">
        <f t="shared" si="12"/>
        <v>196-903</v>
      </c>
      <c r="C800" t="s">
        <v>6782</v>
      </c>
      <c r="D800" s="2043">
        <v>20728659</v>
      </c>
      <c r="E800" s="2043">
        <v>0</v>
      </c>
      <c r="F800" s="2043">
        <v>392028072</v>
      </c>
      <c r="G800" s="2043">
        <v>384649413</v>
      </c>
      <c r="H800" s="2043">
        <v>392028072</v>
      </c>
      <c r="I800" s="2043">
        <v>384649413</v>
      </c>
    </row>
    <row r="801" spans="1:9" ht="14.5">
      <c r="A801" t="s">
        <v>10154</v>
      </c>
      <c r="B801" s="2113" t="str">
        <f t="shared" si="12"/>
        <v>197-902</v>
      </c>
      <c r="C801" t="s">
        <v>6783</v>
      </c>
      <c r="D801" s="2043">
        <v>5587830</v>
      </c>
      <c r="E801" s="2043">
        <v>86389420</v>
      </c>
      <c r="F801" s="2043">
        <v>341907363</v>
      </c>
      <c r="G801" s="2043">
        <v>339799533</v>
      </c>
      <c r="H801" s="2043">
        <v>428296783</v>
      </c>
      <c r="I801" s="2043">
        <v>426188953</v>
      </c>
    </row>
    <row r="802" spans="1:9" ht="14.5">
      <c r="A802" t="s">
        <v>10155</v>
      </c>
      <c r="B802" s="2113" t="str">
        <f t="shared" si="12"/>
        <v>198-901</v>
      </c>
      <c r="C802" t="s">
        <v>6784</v>
      </c>
      <c r="D802" s="2043">
        <v>15108631</v>
      </c>
      <c r="E802" s="2043">
        <v>0</v>
      </c>
      <c r="F802" s="2043">
        <v>277025501</v>
      </c>
      <c r="G802" s="2043">
        <v>272131870</v>
      </c>
      <c r="H802" s="2043">
        <v>277025501</v>
      </c>
      <c r="I802" s="2043">
        <v>272131870</v>
      </c>
    </row>
    <row r="803" spans="1:9" ht="14.5">
      <c r="A803" t="s">
        <v>10156</v>
      </c>
      <c r="B803" s="2113" t="str">
        <f t="shared" si="12"/>
        <v>198-902</v>
      </c>
      <c r="C803" t="s">
        <v>6785</v>
      </c>
      <c r="D803" s="2043">
        <v>8039365</v>
      </c>
      <c r="E803" s="2043">
        <v>0</v>
      </c>
      <c r="F803" s="2043">
        <v>151313343</v>
      </c>
      <c r="G803" s="2043">
        <v>148673978</v>
      </c>
      <c r="H803" s="2043">
        <v>151313343</v>
      </c>
      <c r="I803" s="2043">
        <v>148673978</v>
      </c>
    </row>
    <row r="804" spans="1:9" ht="14.5">
      <c r="A804" t="s">
        <v>10649</v>
      </c>
      <c r="B804" s="2113" t="str">
        <f t="shared" si="12"/>
        <v>198-903</v>
      </c>
      <c r="C804" t="s">
        <v>6786</v>
      </c>
      <c r="D804" s="2043">
        <v>38947997</v>
      </c>
      <c r="E804" s="2043">
        <v>0</v>
      </c>
      <c r="F804" s="2043">
        <v>1737615627</v>
      </c>
      <c r="G804" s="2043">
        <v>1724617630</v>
      </c>
      <c r="H804" s="2043">
        <v>1737615627</v>
      </c>
      <c r="I804" s="2043">
        <v>1724617630</v>
      </c>
    </row>
    <row r="805" spans="1:9" ht="14.5">
      <c r="A805" t="s">
        <v>10157</v>
      </c>
      <c r="B805" s="2113" t="str">
        <f t="shared" si="12"/>
        <v>198-905</v>
      </c>
      <c r="C805" t="s">
        <v>6787</v>
      </c>
      <c r="D805" s="2043">
        <v>37678208</v>
      </c>
      <c r="E805" s="2043">
        <v>0</v>
      </c>
      <c r="F805" s="2043">
        <v>609823661</v>
      </c>
      <c r="G805" s="2043">
        <v>597330453</v>
      </c>
      <c r="H805" s="2043">
        <v>609823661</v>
      </c>
      <c r="I805" s="2043">
        <v>597330453</v>
      </c>
    </row>
    <row r="806" spans="1:9" ht="14.5">
      <c r="A806" t="s">
        <v>10158</v>
      </c>
      <c r="B806" s="2113" t="str">
        <f t="shared" si="12"/>
        <v>198-906</v>
      </c>
      <c r="C806" t="s">
        <v>6788</v>
      </c>
      <c r="D806" s="2043">
        <v>893456</v>
      </c>
      <c r="E806" s="2043">
        <v>0</v>
      </c>
      <c r="F806" s="2043">
        <v>122591939</v>
      </c>
      <c r="G806" s="2043">
        <v>122328483</v>
      </c>
      <c r="H806" s="2043">
        <v>122591939</v>
      </c>
      <c r="I806" s="2043">
        <v>122328483</v>
      </c>
    </row>
    <row r="807" spans="1:9" ht="14.5">
      <c r="A807" t="s">
        <v>10159</v>
      </c>
      <c r="B807" s="2113" t="str">
        <f t="shared" si="12"/>
        <v>199-901</v>
      </c>
      <c r="C807" t="s">
        <v>6789</v>
      </c>
      <c r="D807" s="2043">
        <v>507098817</v>
      </c>
      <c r="E807" s="2043">
        <v>0</v>
      </c>
      <c r="F807" s="2043">
        <v>11386370912</v>
      </c>
      <c r="G807" s="2043">
        <v>11191062095</v>
      </c>
      <c r="H807" s="2043">
        <v>11386370912</v>
      </c>
      <c r="I807" s="2043">
        <v>11191062095</v>
      </c>
    </row>
    <row r="808" spans="1:9" ht="14.5">
      <c r="A808" t="s">
        <v>10160</v>
      </c>
      <c r="B808" s="2113" t="str">
        <f t="shared" si="12"/>
        <v>199-902</v>
      </c>
      <c r="C808" t="s">
        <v>6790</v>
      </c>
      <c r="D808" s="2043">
        <v>172325907</v>
      </c>
      <c r="E808" s="2043">
        <v>0</v>
      </c>
      <c r="F808" s="2043">
        <v>2704819094</v>
      </c>
      <c r="G808" s="2043">
        <v>2640868187</v>
      </c>
      <c r="H808" s="2043">
        <v>2704819094</v>
      </c>
      <c r="I808" s="2043">
        <v>2640868187</v>
      </c>
    </row>
    <row r="809" spans="1:9" ht="14.5">
      <c r="A809" t="s">
        <v>10161</v>
      </c>
      <c r="B809" s="2113" t="str">
        <f t="shared" si="12"/>
        <v>200-901</v>
      </c>
      <c r="C809" t="s">
        <v>6791</v>
      </c>
      <c r="D809" s="2043">
        <v>34316302</v>
      </c>
      <c r="E809" s="2043">
        <v>0</v>
      </c>
      <c r="F809" s="2043">
        <v>369855425</v>
      </c>
      <c r="G809" s="2043">
        <v>356884123</v>
      </c>
      <c r="H809" s="2043">
        <v>369855425</v>
      </c>
      <c r="I809" s="2043">
        <v>356884123</v>
      </c>
    </row>
    <row r="810" spans="1:9" ht="14.5">
      <c r="A810" t="s">
        <v>10162</v>
      </c>
      <c r="B810" s="2113" t="str">
        <f t="shared" si="12"/>
        <v>200-902</v>
      </c>
      <c r="C810" t="s">
        <v>6792</v>
      </c>
      <c r="D810" s="2043">
        <v>11338812</v>
      </c>
      <c r="E810" s="2043">
        <v>0</v>
      </c>
      <c r="F810" s="2043">
        <v>114945511</v>
      </c>
      <c r="G810" s="2043">
        <v>110566699</v>
      </c>
      <c r="H810" s="2043">
        <v>114945511</v>
      </c>
      <c r="I810" s="2043">
        <v>110566699</v>
      </c>
    </row>
    <row r="811" spans="1:9" ht="14.5">
      <c r="A811" t="s">
        <v>10650</v>
      </c>
      <c r="B811" s="2113" t="str">
        <f t="shared" si="12"/>
        <v>200-904</v>
      </c>
      <c r="C811" t="s">
        <v>6793</v>
      </c>
      <c r="D811" s="2043">
        <v>21037986</v>
      </c>
      <c r="E811" s="2043">
        <v>0</v>
      </c>
      <c r="F811" s="2043">
        <v>231329207</v>
      </c>
      <c r="G811" s="2043">
        <v>223446221</v>
      </c>
      <c r="H811" s="2043">
        <v>231329207</v>
      </c>
      <c r="I811" s="2043">
        <v>223446221</v>
      </c>
    </row>
    <row r="812" spans="1:9" ht="14.5">
      <c r="A812" t="s">
        <v>10163</v>
      </c>
      <c r="B812" s="2113" t="str">
        <f t="shared" si="12"/>
        <v>200-906</v>
      </c>
      <c r="C812" t="s">
        <v>6794</v>
      </c>
      <c r="D812" s="2043">
        <v>743750</v>
      </c>
      <c r="E812" s="2043">
        <v>0</v>
      </c>
      <c r="F812" s="2043">
        <v>11851628</v>
      </c>
      <c r="G812" s="2043">
        <v>11557878</v>
      </c>
      <c r="H812" s="2043">
        <v>11851628</v>
      </c>
      <c r="I812" s="2043">
        <v>11557878</v>
      </c>
    </row>
    <row r="813" spans="1:9" ht="14.5">
      <c r="A813" t="s">
        <v>10651</v>
      </c>
      <c r="B813" s="2113" t="str">
        <f t="shared" si="12"/>
        <v>201-902</v>
      </c>
      <c r="C813" t="s">
        <v>6795</v>
      </c>
      <c r="D813" s="2043">
        <v>116035173</v>
      </c>
      <c r="E813" s="2043">
        <v>0</v>
      </c>
      <c r="F813" s="2043">
        <v>1606387500</v>
      </c>
      <c r="G813" s="2043">
        <v>1563042327</v>
      </c>
      <c r="H813" s="2043">
        <v>1606387500</v>
      </c>
      <c r="I813" s="2043">
        <v>1563042327</v>
      </c>
    </row>
    <row r="814" spans="1:9" ht="14.5">
      <c r="A814" t="s">
        <v>10164</v>
      </c>
      <c r="B814" s="2113" t="str">
        <f t="shared" si="12"/>
        <v>201-903</v>
      </c>
      <c r="C814" t="s">
        <v>6796</v>
      </c>
      <c r="D814" s="2043">
        <v>10508890</v>
      </c>
      <c r="E814" s="2043">
        <v>0</v>
      </c>
      <c r="F814" s="2043">
        <v>103313833</v>
      </c>
      <c r="G814" s="2043">
        <v>99749943</v>
      </c>
      <c r="H814" s="2043">
        <v>103313833</v>
      </c>
      <c r="I814" s="2043">
        <v>99749943</v>
      </c>
    </row>
    <row r="815" spans="1:9" ht="14.5">
      <c r="A815" t="s">
        <v>10165</v>
      </c>
      <c r="B815" s="2113" t="str">
        <f t="shared" si="12"/>
        <v>201-904</v>
      </c>
      <c r="C815" t="s">
        <v>6797</v>
      </c>
      <c r="D815" s="2043">
        <v>4087950</v>
      </c>
      <c r="E815" s="2043">
        <v>0</v>
      </c>
      <c r="F815" s="2043">
        <v>33462114</v>
      </c>
      <c r="G815" s="2043">
        <v>32224164</v>
      </c>
      <c r="H815" s="2043">
        <v>33462114</v>
      </c>
      <c r="I815" s="2043">
        <v>32224164</v>
      </c>
    </row>
    <row r="816" spans="1:9" ht="14.5">
      <c r="A816" t="s">
        <v>10166</v>
      </c>
      <c r="B816" s="2113" t="str">
        <f t="shared" si="12"/>
        <v>201-907</v>
      </c>
      <c r="C816" t="s">
        <v>6798</v>
      </c>
      <c r="D816" s="2043">
        <v>11226890</v>
      </c>
      <c r="E816" s="2043">
        <v>0</v>
      </c>
      <c r="F816" s="2043">
        <v>69954059</v>
      </c>
      <c r="G816" s="2043">
        <v>66467169</v>
      </c>
      <c r="H816" s="2043">
        <v>69954059</v>
      </c>
      <c r="I816" s="2043">
        <v>66467169</v>
      </c>
    </row>
    <row r="817" spans="1:9" ht="14.5">
      <c r="A817" t="s">
        <v>10167</v>
      </c>
      <c r="B817" s="2113" t="str">
        <f t="shared" si="12"/>
        <v>201-908</v>
      </c>
      <c r="C817" t="s">
        <v>6799</v>
      </c>
      <c r="D817" s="2043">
        <v>13361745</v>
      </c>
      <c r="E817" s="2043">
        <v>0</v>
      </c>
      <c r="F817" s="2043">
        <v>89027614</v>
      </c>
      <c r="G817" s="2043">
        <v>84095869</v>
      </c>
      <c r="H817" s="2043">
        <v>89027614</v>
      </c>
      <c r="I817" s="2043">
        <v>84095869</v>
      </c>
    </row>
    <row r="818" spans="1:9" ht="14.5">
      <c r="A818" t="s">
        <v>10652</v>
      </c>
      <c r="B818" s="2113" t="str">
        <f t="shared" si="12"/>
        <v>201-910</v>
      </c>
      <c r="C818" t="s">
        <v>6800</v>
      </c>
      <c r="D818" s="2043">
        <v>35897290</v>
      </c>
      <c r="E818" s="2043">
        <v>0</v>
      </c>
      <c r="F818" s="2043">
        <v>871223184</v>
      </c>
      <c r="G818" s="2043">
        <v>858755894</v>
      </c>
      <c r="H818" s="2043">
        <v>871223184</v>
      </c>
      <c r="I818" s="2043">
        <v>858755894</v>
      </c>
    </row>
    <row r="819" spans="1:9" ht="14.5">
      <c r="A819" t="s">
        <v>10168</v>
      </c>
      <c r="B819" s="2113" t="str">
        <f t="shared" si="12"/>
        <v>201-913</v>
      </c>
      <c r="C819" t="s">
        <v>6801</v>
      </c>
      <c r="D819" s="2043">
        <v>12636476</v>
      </c>
      <c r="E819" s="2043">
        <v>0</v>
      </c>
      <c r="F819" s="2043">
        <v>141861543</v>
      </c>
      <c r="G819" s="2043">
        <v>137520067</v>
      </c>
      <c r="H819" s="2043">
        <v>141861543</v>
      </c>
      <c r="I819" s="2043">
        <v>137520067</v>
      </c>
    </row>
    <row r="820" spans="1:9" ht="14.5">
      <c r="A820" t="s">
        <v>10169</v>
      </c>
      <c r="B820" s="2113" t="str">
        <f t="shared" si="12"/>
        <v>201-914</v>
      </c>
      <c r="C820" t="s">
        <v>6802</v>
      </c>
      <c r="D820" s="2043">
        <v>31119056</v>
      </c>
      <c r="E820" s="2043">
        <v>0</v>
      </c>
      <c r="F820" s="2043">
        <v>341363870</v>
      </c>
      <c r="G820" s="2043">
        <v>330704814</v>
      </c>
      <c r="H820" s="2043">
        <v>341363870</v>
      </c>
      <c r="I820" s="2043">
        <v>330704814</v>
      </c>
    </row>
    <row r="821" spans="1:9" ht="14.5">
      <c r="A821" t="s">
        <v>10170</v>
      </c>
      <c r="B821" s="2113" t="str">
        <f t="shared" si="12"/>
        <v>202-903</v>
      </c>
      <c r="C821" t="s">
        <v>6803</v>
      </c>
      <c r="D821" s="2043">
        <v>59975010</v>
      </c>
      <c r="E821" s="2043">
        <v>0</v>
      </c>
      <c r="F821" s="2043">
        <v>662398411</v>
      </c>
      <c r="G821" s="2043">
        <v>640733401</v>
      </c>
      <c r="H821" s="2043">
        <v>662398411</v>
      </c>
      <c r="I821" s="2043">
        <v>640733401</v>
      </c>
    </row>
    <row r="822" spans="1:9" ht="14.5">
      <c r="A822" t="s">
        <v>10171</v>
      </c>
      <c r="B822" s="2113" t="str">
        <f t="shared" si="12"/>
        <v>202-905</v>
      </c>
      <c r="C822" t="s">
        <v>6804</v>
      </c>
      <c r="D822" s="2043">
        <v>17007193</v>
      </c>
      <c r="E822" s="2043">
        <v>0</v>
      </c>
      <c r="F822" s="2043">
        <v>172170310</v>
      </c>
      <c r="G822" s="2043">
        <v>166413117</v>
      </c>
      <c r="H822" s="2043">
        <v>172170310</v>
      </c>
      <c r="I822" s="2043">
        <v>166413117</v>
      </c>
    </row>
    <row r="823" spans="1:9" ht="14.5">
      <c r="A823" t="s">
        <v>10172</v>
      </c>
      <c r="B823" s="2113" t="str">
        <f t="shared" si="12"/>
        <v>203-901</v>
      </c>
      <c r="C823" t="s">
        <v>6805</v>
      </c>
      <c r="D823" s="2043">
        <v>28331025</v>
      </c>
      <c r="E823" s="2043">
        <v>0</v>
      </c>
      <c r="F823" s="2043">
        <v>452767624</v>
      </c>
      <c r="G823" s="2043">
        <v>444026599</v>
      </c>
      <c r="H823" s="2043">
        <v>452767624</v>
      </c>
      <c r="I823" s="2043">
        <v>444026599</v>
      </c>
    </row>
    <row r="824" spans="1:9" ht="14.5">
      <c r="A824" t="s">
        <v>10173</v>
      </c>
      <c r="B824" s="2113" t="str">
        <f t="shared" si="12"/>
        <v>203-902</v>
      </c>
      <c r="C824" t="s">
        <v>6806</v>
      </c>
      <c r="D824" s="2043">
        <v>17817950</v>
      </c>
      <c r="E824" s="2043">
        <v>0</v>
      </c>
      <c r="F824" s="2043">
        <v>638713786</v>
      </c>
      <c r="G824" s="2043">
        <v>633165836</v>
      </c>
      <c r="H824" s="2043">
        <v>638713786</v>
      </c>
      <c r="I824" s="2043">
        <v>633165836</v>
      </c>
    </row>
    <row r="825" spans="1:9" ht="14.5">
      <c r="A825" t="s">
        <v>10174</v>
      </c>
      <c r="B825" s="2113" t="str">
        <f t="shared" si="12"/>
        <v>204-901</v>
      </c>
      <c r="C825" t="s">
        <v>6807</v>
      </c>
      <c r="D825" s="2043">
        <v>102343123</v>
      </c>
      <c r="E825" s="2043">
        <v>0</v>
      </c>
      <c r="F825" s="2043">
        <v>1511927209</v>
      </c>
      <c r="G825" s="2043">
        <v>1484554086</v>
      </c>
      <c r="H825" s="2043">
        <v>1511927209</v>
      </c>
      <c r="I825" s="2043">
        <v>1484554086</v>
      </c>
    </row>
    <row r="826" spans="1:9" ht="14.5">
      <c r="A826" t="s">
        <v>10175</v>
      </c>
      <c r="B826" s="2113" t="str">
        <f t="shared" si="12"/>
        <v>204-904</v>
      </c>
      <c r="C826" t="s">
        <v>6808</v>
      </c>
      <c r="D826" s="2043">
        <v>44454479</v>
      </c>
      <c r="E826" s="2043">
        <v>0</v>
      </c>
      <c r="F826" s="2043">
        <v>505239948</v>
      </c>
      <c r="G826" s="2043">
        <v>493710469</v>
      </c>
      <c r="H826" s="2043">
        <v>505239948</v>
      </c>
      <c r="I826" s="2043">
        <v>493710469</v>
      </c>
    </row>
    <row r="827" spans="1:9" ht="14.5">
      <c r="A827" t="s">
        <v>10176</v>
      </c>
      <c r="B827" s="2113" t="str">
        <f t="shared" si="12"/>
        <v>205-901</v>
      </c>
      <c r="C827" t="s">
        <v>6809</v>
      </c>
      <c r="D827" s="2043">
        <v>55927791</v>
      </c>
      <c r="E827" s="2043">
        <v>0</v>
      </c>
      <c r="F827" s="2043">
        <v>863807992</v>
      </c>
      <c r="G827" s="2043">
        <v>843235201</v>
      </c>
      <c r="H827" s="2043">
        <v>863807992</v>
      </c>
      <c r="I827" s="2043">
        <v>843235201</v>
      </c>
    </row>
    <row r="828" spans="1:9" ht="14.5">
      <c r="A828" t="s">
        <v>10177</v>
      </c>
      <c r="B828" s="2113" t="str">
        <f t="shared" si="12"/>
        <v>205-902</v>
      </c>
      <c r="C828" t="s">
        <v>6810</v>
      </c>
      <c r="D828" s="2043">
        <v>106136856</v>
      </c>
      <c r="E828" s="2043">
        <v>6754174820</v>
      </c>
      <c r="F828" s="2043">
        <v>3354689992</v>
      </c>
      <c r="G828" s="2043">
        <v>3312888136</v>
      </c>
      <c r="H828" s="2043">
        <v>10108864812</v>
      </c>
      <c r="I828" s="2043">
        <v>10067062956</v>
      </c>
    </row>
    <row r="829" spans="1:9" ht="14.5">
      <c r="A829" t="s">
        <v>10178</v>
      </c>
      <c r="B829" s="2113" t="str">
        <f t="shared" si="12"/>
        <v>205-903</v>
      </c>
      <c r="C829" t="s">
        <v>6811</v>
      </c>
      <c r="D829" s="2043">
        <v>50109910</v>
      </c>
      <c r="E829" s="2043">
        <v>1246194650</v>
      </c>
      <c r="F829" s="2043">
        <v>2419981992</v>
      </c>
      <c r="G829" s="2043">
        <v>2400412082</v>
      </c>
      <c r="H829" s="2043">
        <v>3666176642</v>
      </c>
      <c r="I829" s="2043">
        <v>3646606732</v>
      </c>
    </row>
    <row r="830" spans="1:9" ht="14.5">
      <c r="A830" t="s">
        <v>10179</v>
      </c>
      <c r="B830" s="2113" t="str">
        <f t="shared" si="12"/>
        <v>205-904</v>
      </c>
      <c r="C830" t="s">
        <v>6812</v>
      </c>
      <c r="D830" s="2043">
        <v>43045086</v>
      </c>
      <c r="E830" s="2043">
        <v>148276550</v>
      </c>
      <c r="F830" s="2043">
        <v>498709565</v>
      </c>
      <c r="G830" s="2043">
        <v>483489479</v>
      </c>
      <c r="H830" s="2043">
        <v>646986115</v>
      </c>
      <c r="I830" s="2043">
        <v>631766029</v>
      </c>
    </row>
    <row r="831" spans="1:9" ht="14.5">
      <c r="A831" t="s">
        <v>10180</v>
      </c>
      <c r="B831" s="2113" t="str">
        <f t="shared" si="12"/>
        <v>205-905</v>
      </c>
      <c r="C831" t="s">
        <v>6813</v>
      </c>
      <c r="D831" s="2043">
        <v>28522832</v>
      </c>
      <c r="E831" s="2043">
        <v>0</v>
      </c>
      <c r="F831" s="2043">
        <v>415988571</v>
      </c>
      <c r="G831" s="2043">
        <v>405300739</v>
      </c>
      <c r="H831" s="2043">
        <v>415988571</v>
      </c>
      <c r="I831" s="2043">
        <v>405300739</v>
      </c>
    </row>
    <row r="832" spans="1:9" ht="14.5">
      <c r="A832" t="s">
        <v>10181</v>
      </c>
      <c r="B832" s="2113" t="str">
        <f t="shared" si="12"/>
        <v>205-906</v>
      </c>
      <c r="C832" t="s">
        <v>6814</v>
      </c>
      <c r="D832" s="2043">
        <v>45042243</v>
      </c>
      <c r="E832" s="2043">
        <v>0</v>
      </c>
      <c r="F832" s="2043">
        <v>826678457</v>
      </c>
      <c r="G832" s="2043">
        <v>809926214</v>
      </c>
      <c r="H832" s="2043">
        <v>826678457</v>
      </c>
      <c r="I832" s="2043">
        <v>809926214</v>
      </c>
    </row>
    <row r="833" spans="1:9" ht="14.5">
      <c r="A833" t="s">
        <v>10182</v>
      </c>
      <c r="B833" s="2113" t="str">
        <f t="shared" si="12"/>
        <v>205-907</v>
      </c>
      <c r="C833" t="s">
        <v>6815</v>
      </c>
      <c r="D833" s="2043">
        <v>24087807</v>
      </c>
      <c r="E833" s="2043">
        <v>33070650</v>
      </c>
      <c r="F833" s="2043">
        <v>714645867</v>
      </c>
      <c r="G833" s="2043">
        <v>705603060</v>
      </c>
      <c r="H833" s="2043">
        <v>747716517</v>
      </c>
      <c r="I833" s="2043">
        <v>738673710</v>
      </c>
    </row>
    <row r="834" spans="1:9" ht="14.5">
      <c r="A834" t="s">
        <v>10183</v>
      </c>
      <c r="B834" s="2113" t="str">
        <f t="shared" si="12"/>
        <v>206-901</v>
      </c>
      <c r="C834" t="s">
        <v>6816</v>
      </c>
      <c r="D834" s="2043">
        <v>25368670</v>
      </c>
      <c r="E834" s="2043">
        <v>0</v>
      </c>
      <c r="F834" s="2043">
        <v>340921255</v>
      </c>
      <c r="G834" s="2043">
        <v>331257585</v>
      </c>
      <c r="H834" s="2043">
        <v>340921255</v>
      </c>
      <c r="I834" s="2043">
        <v>331257585</v>
      </c>
    </row>
    <row r="835" spans="1:9" ht="14.5">
      <c r="A835" t="s">
        <v>10184</v>
      </c>
      <c r="B835" s="2113" t="str">
        <f t="shared" ref="B835:B898" si="13">CONCATENATE(RIGHT(LEFT(CONCATENATE("000",A835),6),3),"-",(LEFT(RIGHT(CONCATENATE("000",A835),6),3)))</f>
        <v>206-902</v>
      </c>
      <c r="C835" t="s">
        <v>6817</v>
      </c>
      <c r="D835" s="2043">
        <v>6285150</v>
      </c>
      <c r="E835" s="2043">
        <v>0</v>
      </c>
      <c r="F835" s="2043">
        <v>98834417</v>
      </c>
      <c r="G835" s="2043">
        <v>96509267</v>
      </c>
      <c r="H835" s="2043">
        <v>98834417</v>
      </c>
      <c r="I835" s="2043">
        <v>96509267</v>
      </c>
    </row>
    <row r="836" spans="1:9" ht="14.5">
      <c r="A836" t="s">
        <v>10185</v>
      </c>
      <c r="B836" s="2113" t="str">
        <f t="shared" si="13"/>
        <v>206-903</v>
      </c>
      <c r="C836" t="s">
        <v>6818</v>
      </c>
      <c r="D836" s="2043">
        <v>4326697</v>
      </c>
      <c r="E836" s="2043">
        <v>0</v>
      </c>
      <c r="F836" s="2043">
        <v>72985002</v>
      </c>
      <c r="G836" s="2043">
        <v>71343305</v>
      </c>
      <c r="H836" s="2043">
        <v>72985002</v>
      </c>
      <c r="I836" s="2043">
        <v>71343305</v>
      </c>
    </row>
    <row r="837" spans="1:9" ht="14.5">
      <c r="A837" t="s">
        <v>10186</v>
      </c>
      <c r="B837" s="2113" t="str">
        <f t="shared" si="13"/>
        <v>207-901</v>
      </c>
      <c r="C837" t="s">
        <v>6819</v>
      </c>
      <c r="D837" s="2043">
        <v>16146895</v>
      </c>
      <c r="E837" s="2043">
        <v>196251000</v>
      </c>
      <c r="F837" s="2043">
        <v>281732363</v>
      </c>
      <c r="G837" s="2043">
        <v>276610468</v>
      </c>
      <c r="H837" s="2043">
        <v>477983363</v>
      </c>
      <c r="I837" s="2043">
        <v>472861468</v>
      </c>
    </row>
    <row r="838" spans="1:9" ht="14.5">
      <c r="A838" t="s">
        <v>10653</v>
      </c>
      <c r="B838" s="2113" t="str">
        <f t="shared" si="13"/>
        <v>208-901</v>
      </c>
      <c r="C838" t="s">
        <v>6820</v>
      </c>
      <c r="D838" s="2043">
        <v>5294208</v>
      </c>
      <c r="E838" s="2043">
        <v>0</v>
      </c>
      <c r="F838" s="2043">
        <v>277207044</v>
      </c>
      <c r="G838" s="2043">
        <v>275452836</v>
      </c>
      <c r="H838" s="2043">
        <v>277207044</v>
      </c>
      <c r="I838" s="2043">
        <v>275452836</v>
      </c>
    </row>
    <row r="839" spans="1:9" ht="14.5">
      <c r="A839" t="s">
        <v>10654</v>
      </c>
      <c r="B839" s="2113" t="str">
        <f t="shared" si="13"/>
        <v>208-902</v>
      </c>
      <c r="C839" t="s">
        <v>6821</v>
      </c>
      <c r="D839" s="2043">
        <v>85915221</v>
      </c>
      <c r="E839" s="2043">
        <v>327297200</v>
      </c>
      <c r="F839" s="2043">
        <v>2383505949</v>
      </c>
      <c r="G839" s="2043">
        <v>2353585728</v>
      </c>
      <c r="H839" s="2043">
        <v>2710803149</v>
      </c>
      <c r="I839" s="2043">
        <v>2680882928</v>
      </c>
    </row>
    <row r="840" spans="1:9" ht="14.5">
      <c r="A840" t="s">
        <v>10655</v>
      </c>
      <c r="B840" s="2113" t="str">
        <f t="shared" si="13"/>
        <v>208-903</v>
      </c>
      <c r="C840" t="s">
        <v>6822</v>
      </c>
      <c r="D840" s="2043">
        <v>5020352</v>
      </c>
      <c r="E840" s="2043">
        <v>0</v>
      </c>
      <c r="F840" s="2043">
        <v>139944986</v>
      </c>
      <c r="G840" s="2043">
        <v>138254634</v>
      </c>
      <c r="H840" s="2043">
        <v>139944986</v>
      </c>
      <c r="I840" s="2043">
        <v>138254634</v>
      </c>
    </row>
    <row r="841" spans="1:9" ht="14.5">
      <c r="A841" t="s">
        <v>10187</v>
      </c>
      <c r="B841" s="2113" t="str">
        <f t="shared" si="13"/>
        <v>209-901</v>
      </c>
      <c r="C841" t="s">
        <v>6823</v>
      </c>
      <c r="D841" s="2043">
        <v>16373047</v>
      </c>
      <c r="E841" s="2043">
        <v>0</v>
      </c>
      <c r="F841" s="2043">
        <v>343326341</v>
      </c>
      <c r="G841" s="2043">
        <v>337243294</v>
      </c>
      <c r="H841" s="2043">
        <v>343326341</v>
      </c>
      <c r="I841" s="2043">
        <v>337243294</v>
      </c>
    </row>
    <row r="842" spans="1:9" ht="14.5">
      <c r="A842" t="s">
        <v>10188</v>
      </c>
      <c r="B842" s="2113" t="str">
        <f t="shared" si="13"/>
        <v>209-902</v>
      </c>
      <c r="C842" t="s">
        <v>6824</v>
      </c>
      <c r="D842" s="2043">
        <v>2869368</v>
      </c>
      <c r="E842" s="2043">
        <v>0</v>
      </c>
      <c r="F842" s="2043">
        <v>52411731</v>
      </c>
      <c r="G842" s="2043">
        <v>51597363</v>
      </c>
      <c r="H842" s="2043">
        <v>52411731</v>
      </c>
      <c r="I842" s="2043">
        <v>51597363</v>
      </c>
    </row>
    <row r="843" spans="1:9" ht="14.5">
      <c r="A843" t="s">
        <v>10189</v>
      </c>
      <c r="B843" s="2113" t="str">
        <f t="shared" si="13"/>
        <v>210-901</v>
      </c>
      <c r="C843" t="s">
        <v>6825</v>
      </c>
      <c r="D843" s="2043">
        <v>56417684</v>
      </c>
      <c r="E843" s="2043">
        <v>0</v>
      </c>
      <c r="F843" s="2043">
        <v>597100794</v>
      </c>
      <c r="G843" s="2043">
        <v>580508110</v>
      </c>
      <c r="H843" s="2043">
        <v>597100794</v>
      </c>
      <c r="I843" s="2043">
        <v>580508110</v>
      </c>
    </row>
    <row r="844" spans="1:9" ht="14.5">
      <c r="A844" t="s">
        <v>10190</v>
      </c>
      <c r="B844" s="2113" t="str">
        <f t="shared" si="13"/>
        <v>210-902</v>
      </c>
      <c r="C844" t="s">
        <v>6826</v>
      </c>
      <c r="D844" s="2043">
        <v>22238465</v>
      </c>
      <c r="E844" s="2043">
        <v>0</v>
      </c>
      <c r="F844" s="2043">
        <v>219184452</v>
      </c>
      <c r="G844" s="2043">
        <v>212575987</v>
      </c>
      <c r="H844" s="2043">
        <v>219184452</v>
      </c>
      <c r="I844" s="2043">
        <v>212575987</v>
      </c>
    </row>
    <row r="845" spans="1:9" ht="14.5">
      <c r="A845" t="s">
        <v>10191</v>
      </c>
      <c r="B845" s="2113" t="str">
        <f t="shared" si="13"/>
        <v>210-903</v>
      </c>
      <c r="C845" t="s">
        <v>6827</v>
      </c>
      <c r="D845" s="2043">
        <v>21983293</v>
      </c>
      <c r="E845" s="2043">
        <v>0</v>
      </c>
      <c r="F845" s="2043">
        <v>265050352</v>
      </c>
      <c r="G845" s="2043">
        <v>259057059</v>
      </c>
      <c r="H845" s="2043">
        <v>265050352</v>
      </c>
      <c r="I845" s="2043">
        <v>259057059</v>
      </c>
    </row>
    <row r="846" spans="1:9" ht="14.5">
      <c r="A846" t="s">
        <v>10192</v>
      </c>
      <c r="B846" s="2113" t="str">
        <f t="shared" si="13"/>
        <v>210-904</v>
      </c>
      <c r="C846" t="s">
        <v>6828</v>
      </c>
      <c r="D846" s="2043">
        <v>11830494</v>
      </c>
      <c r="E846" s="2043">
        <v>0</v>
      </c>
      <c r="F846" s="2043">
        <v>126010349</v>
      </c>
      <c r="G846" s="2043">
        <v>122714855</v>
      </c>
      <c r="H846" s="2043">
        <v>126010349</v>
      </c>
      <c r="I846" s="2043">
        <v>122714855</v>
      </c>
    </row>
    <row r="847" spans="1:9" ht="14.5">
      <c r="A847" t="s">
        <v>10193</v>
      </c>
      <c r="B847" s="2113" t="str">
        <f t="shared" si="13"/>
        <v>210-905</v>
      </c>
      <c r="C847" t="s">
        <v>6829</v>
      </c>
      <c r="D847" s="2043">
        <v>22130580</v>
      </c>
      <c r="E847" s="2043">
        <v>0</v>
      </c>
      <c r="F847" s="2043">
        <v>152209033</v>
      </c>
      <c r="G847" s="2043">
        <v>146038453</v>
      </c>
      <c r="H847" s="2043">
        <v>152209033</v>
      </c>
      <c r="I847" s="2043">
        <v>146038453</v>
      </c>
    </row>
    <row r="848" spans="1:9" ht="14.5">
      <c r="A848" t="s">
        <v>10194</v>
      </c>
      <c r="B848" s="2113" t="str">
        <f t="shared" si="13"/>
        <v>210-906</v>
      </c>
      <c r="C848" t="s">
        <v>6830</v>
      </c>
      <c r="D848" s="2043">
        <v>3048803</v>
      </c>
      <c r="E848" s="2043">
        <v>0</v>
      </c>
      <c r="F848" s="2043">
        <v>36118949</v>
      </c>
      <c r="G848" s="2043">
        <v>35320146</v>
      </c>
      <c r="H848" s="2043">
        <v>36118949</v>
      </c>
      <c r="I848" s="2043">
        <v>35320146</v>
      </c>
    </row>
    <row r="849" spans="1:9" ht="14.5">
      <c r="A849" t="s">
        <v>10195</v>
      </c>
      <c r="B849" s="2113" t="str">
        <f t="shared" si="13"/>
        <v>211-901</v>
      </c>
      <c r="C849" t="s">
        <v>6831</v>
      </c>
      <c r="D849" s="2043">
        <v>2620920</v>
      </c>
      <c r="E849" s="2043">
        <v>0</v>
      </c>
      <c r="F849" s="2043">
        <v>94109154</v>
      </c>
      <c r="G849" s="2043">
        <v>93093234</v>
      </c>
      <c r="H849" s="2043">
        <v>94109154</v>
      </c>
      <c r="I849" s="2043">
        <v>93093234</v>
      </c>
    </row>
    <row r="850" spans="1:9" ht="14.5">
      <c r="A850" t="s">
        <v>10196</v>
      </c>
      <c r="B850" s="2113" t="str">
        <f t="shared" si="13"/>
        <v>211-902</v>
      </c>
      <c r="C850" t="s">
        <v>6832</v>
      </c>
      <c r="D850" s="2043">
        <v>12585561</v>
      </c>
      <c r="E850" s="2043">
        <v>0</v>
      </c>
      <c r="F850" s="2043">
        <v>472636526</v>
      </c>
      <c r="G850" s="2043">
        <v>467805965</v>
      </c>
      <c r="H850" s="2043">
        <v>472636526</v>
      </c>
      <c r="I850" s="2043">
        <v>467805965</v>
      </c>
    </row>
    <row r="851" spans="1:9" ht="14.5">
      <c r="A851" t="s">
        <v>10197</v>
      </c>
      <c r="B851" s="2113" t="str">
        <f t="shared" si="13"/>
        <v>212-901</v>
      </c>
      <c r="C851" t="s">
        <v>6833</v>
      </c>
      <c r="D851" s="2043">
        <v>37595885</v>
      </c>
      <c r="E851" s="2043">
        <v>0</v>
      </c>
      <c r="F851" s="2043">
        <v>407359562</v>
      </c>
      <c r="G851" s="2043">
        <v>393613677</v>
      </c>
      <c r="H851" s="2043">
        <v>407359562</v>
      </c>
      <c r="I851" s="2043">
        <v>393613677</v>
      </c>
    </row>
    <row r="852" spans="1:9" ht="14.5">
      <c r="A852" t="s">
        <v>10198</v>
      </c>
      <c r="B852" s="2113" t="str">
        <f t="shared" si="13"/>
        <v>212-902</v>
      </c>
      <c r="C852" t="s">
        <v>6834</v>
      </c>
      <c r="D852" s="2043">
        <v>93772974</v>
      </c>
      <c r="E852" s="2043">
        <v>0</v>
      </c>
      <c r="F852" s="2043">
        <v>1302861760</v>
      </c>
      <c r="G852" s="2043">
        <v>1268233786</v>
      </c>
      <c r="H852" s="2043">
        <v>1302861760</v>
      </c>
      <c r="I852" s="2043">
        <v>1268233786</v>
      </c>
    </row>
    <row r="853" spans="1:9" ht="14.5">
      <c r="A853" t="s">
        <v>10199</v>
      </c>
      <c r="B853" s="2113" t="str">
        <f t="shared" si="13"/>
        <v>212-903</v>
      </c>
      <c r="C853" t="s">
        <v>6835</v>
      </c>
      <c r="D853" s="2043">
        <v>141459581</v>
      </c>
      <c r="E853" s="2043">
        <v>0</v>
      </c>
      <c r="F853" s="2043">
        <v>1774522310</v>
      </c>
      <c r="G853" s="2043">
        <v>1720572729</v>
      </c>
      <c r="H853" s="2043">
        <v>1774522310</v>
      </c>
      <c r="I853" s="2043">
        <v>1720572729</v>
      </c>
    </row>
    <row r="854" spans="1:9" ht="14.5">
      <c r="A854" t="s">
        <v>10200</v>
      </c>
      <c r="B854" s="2113" t="str">
        <f t="shared" si="13"/>
        <v>212-904</v>
      </c>
      <c r="C854" t="s">
        <v>6836</v>
      </c>
      <c r="D854" s="2043">
        <v>30164294</v>
      </c>
      <c r="E854" s="2043">
        <v>0</v>
      </c>
      <c r="F854" s="2043">
        <v>421868865</v>
      </c>
      <c r="G854" s="2043">
        <v>410919571</v>
      </c>
      <c r="H854" s="2043">
        <v>421868865</v>
      </c>
      <c r="I854" s="2043">
        <v>410919571</v>
      </c>
    </row>
    <row r="855" spans="1:9" ht="14.5">
      <c r="A855" t="s">
        <v>10656</v>
      </c>
      <c r="B855" s="2113" t="str">
        <f t="shared" si="13"/>
        <v>212-905</v>
      </c>
      <c r="C855" t="s">
        <v>6837</v>
      </c>
      <c r="D855" s="2043">
        <v>596268412</v>
      </c>
      <c r="E855" s="2043">
        <v>0</v>
      </c>
      <c r="F855" s="2043">
        <v>10260002723</v>
      </c>
      <c r="G855" s="2043">
        <v>10030379311</v>
      </c>
      <c r="H855" s="2043">
        <v>10260002723</v>
      </c>
      <c r="I855" s="2043">
        <v>10030379311</v>
      </c>
    </row>
    <row r="856" spans="1:9" ht="14.5">
      <c r="A856" t="s">
        <v>10201</v>
      </c>
      <c r="B856" s="2113" t="str">
        <f t="shared" si="13"/>
        <v>212-906</v>
      </c>
      <c r="C856" t="s">
        <v>6838</v>
      </c>
      <c r="D856" s="2043">
        <v>154158070</v>
      </c>
      <c r="E856" s="2043">
        <v>0</v>
      </c>
      <c r="F856" s="2043">
        <v>2400410371</v>
      </c>
      <c r="G856" s="2043">
        <v>2341487301</v>
      </c>
      <c r="H856" s="2043">
        <v>2400410371</v>
      </c>
      <c r="I856" s="2043">
        <v>2341487301</v>
      </c>
    </row>
    <row r="857" spans="1:9" ht="14.5">
      <c r="A857" t="s">
        <v>10202</v>
      </c>
      <c r="B857" s="2113" t="str">
        <f t="shared" si="13"/>
        <v>212-909</v>
      </c>
      <c r="C857" t="s">
        <v>6839</v>
      </c>
      <c r="D857" s="2043">
        <v>112286855</v>
      </c>
      <c r="E857" s="2043">
        <v>0</v>
      </c>
      <c r="F857" s="2043">
        <v>1511678684</v>
      </c>
      <c r="G857" s="2043">
        <v>1470446829</v>
      </c>
      <c r="H857" s="2043">
        <v>1511678684</v>
      </c>
      <c r="I857" s="2043">
        <v>1470446829</v>
      </c>
    </row>
    <row r="858" spans="1:9" ht="14.5">
      <c r="A858" t="s">
        <v>10203</v>
      </c>
      <c r="B858" s="2113" t="str">
        <f t="shared" si="13"/>
        <v>212-910</v>
      </c>
      <c r="C858" t="s">
        <v>6840</v>
      </c>
      <c r="D858" s="2043">
        <v>34631077</v>
      </c>
      <c r="E858" s="2043">
        <v>0</v>
      </c>
      <c r="F858" s="2043">
        <v>654935242</v>
      </c>
      <c r="G858" s="2043">
        <v>642609165</v>
      </c>
      <c r="H858" s="2043">
        <v>654935242</v>
      </c>
      <c r="I858" s="2043">
        <v>642609165</v>
      </c>
    </row>
    <row r="859" spans="1:9" ht="14.5">
      <c r="A859" t="s">
        <v>10657</v>
      </c>
      <c r="B859" s="2113" t="str">
        <f t="shared" si="13"/>
        <v>213-901</v>
      </c>
      <c r="C859" t="s">
        <v>6841</v>
      </c>
      <c r="D859" s="2043">
        <v>55805942</v>
      </c>
      <c r="E859" s="2043">
        <v>0</v>
      </c>
      <c r="F859" s="2043">
        <v>3120023712</v>
      </c>
      <c r="G859" s="2043">
        <v>3098867770</v>
      </c>
      <c r="H859" s="2043">
        <v>3120023712</v>
      </c>
      <c r="I859" s="2043">
        <v>3098867770</v>
      </c>
    </row>
    <row r="860" spans="1:9" ht="14.5">
      <c r="A860" t="s">
        <v>10204</v>
      </c>
      <c r="B860" s="2113" t="str">
        <f t="shared" si="13"/>
        <v>214-901</v>
      </c>
      <c r="C860" t="s">
        <v>6842</v>
      </c>
      <c r="D860" s="2043">
        <v>181015618</v>
      </c>
      <c r="E860" s="2043">
        <v>675345060</v>
      </c>
      <c r="F860" s="2043">
        <v>1386590242</v>
      </c>
      <c r="G860" s="2043">
        <v>1326249624</v>
      </c>
      <c r="H860" s="2043">
        <v>2061935302</v>
      </c>
      <c r="I860" s="2043">
        <v>2001594684</v>
      </c>
    </row>
    <row r="861" spans="1:9" ht="14.5">
      <c r="A861" t="s">
        <v>10205</v>
      </c>
      <c r="B861" s="2113" t="str">
        <f t="shared" si="13"/>
        <v>214-902</v>
      </c>
      <c r="C861" t="s">
        <v>6843</v>
      </c>
      <c r="D861" s="2043">
        <v>5083438</v>
      </c>
      <c r="E861" s="2043">
        <v>0</v>
      </c>
      <c r="F861" s="2043">
        <v>137451335</v>
      </c>
      <c r="G861" s="2043">
        <v>136417897</v>
      </c>
      <c r="H861" s="2043">
        <v>137451335</v>
      </c>
      <c r="I861" s="2043">
        <v>136417897</v>
      </c>
    </row>
    <row r="862" spans="1:9" ht="14.5">
      <c r="A862" t="s">
        <v>10206</v>
      </c>
      <c r="B862" s="2113" t="str">
        <f t="shared" si="13"/>
        <v>214-903</v>
      </c>
      <c r="C862" t="s">
        <v>6844</v>
      </c>
      <c r="D862" s="2043">
        <v>105740388</v>
      </c>
      <c r="E862" s="2043">
        <v>263326000</v>
      </c>
      <c r="F862" s="2043">
        <v>645654082</v>
      </c>
      <c r="G862" s="2043">
        <v>610173694</v>
      </c>
      <c r="H862" s="2043">
        <v>908980082</v>
      </c>
      <c r="I862" s="2043">
        <v>873499694</v>
      </c>
    </row>
    <row r="863" spans="1:9" ht="14.5">
      <c r="A863" t="s">
        <v>10658</v>
      </c>
      <c r="B863" s="2113" t="str">
        <f t="shared" si="13"/>
        <v>215-901</v>
      </c>
      <c r="C863" t="s">
        <v>6845</v>
      </c>
      <c r="D863" s="2043">
        <v>53947848</v>
      </c>
      <c r="E863" s="2043">
        <v>0</v>
      </c>
      <c r="F863" s="2043">
        <v>544325503</v>
      </c>
      <c r="G863" s="2043">
        <v>524277655</v>
      </c>
      <c r="H863" s="2043">
        <v>544325503</v>
      </c>
      <c r="I863" s="2043">
        <v>524277655</v>
      </c>
    </row>
    <row r="864" spans="1:9" ht="14.5">
      <c r="A864" t="s">
        <v>10207</v>
      </c>
      <c r="B864" s="2113" t="str">
        <f t="shared" si="13"/>
        <v>216-901</v>
      </c>
      <c r="C864" t="s">
        <v>6846</v>
      </c>
      <c r="D864" s="2043">
        <v>6828520</v>
      </c>
      <c r="E864" s="2043">
        <v>0</v>
      </c>
      <c r="F864" s="2043">
        <v>801056055</v>
      </c>
      <c r="G864" s="2043">
        <v>798832535</v>
      </c>
      <c r="H864" s="2043">
        <v>801056055</v>
      </c>
      <c r="I864" s="2043">
        <v>798832535</v>
      </c>
    </row>
    <row r="865" spans="1:9" ht="14.5">
      <c r="A865" t="s">
        <v>10208</v>
      </c>
      <c r="B865" s="2113" t="str">
        <f t="shared" si="13"/>
        <v>217-901</v>
      </c>
      <c r="C865" t="s">
        <v>6847</v>
      </c>
      <c r="D865" s="2043">
        <v>9815375</v>
      </c>
      <c r="E865" s="2043">
        <v>0</v>
      </c>
      <c r="F865" s="2043">
        <v>159241798</v>
      </c>
      <c r="G865" s="2043">
        <v>156296423</v>
      </c>
      <c r="H865" s="2043">
        <v>159241798</v>
      </c>
      <c r="I865" s="2043">
        <v>156296423</v>
      </c>
    </row>
    <row r="866" spans="1:9" ht="14.5">
      <c r="A866" t="s">
        <v>10209</v>
      </c>
      <c r="B866" s="2113" t="str">
        <f t="shared" si="13"/>
        <v>218-901</v>
      </c>
      <c r="C866" t="s">
        <v>6848</v>
      </c>
      <c r="D866" s="2043">
        <v>20789787</v>
      </c>
      <c r="E866" s="2043">
        <v>0</v>
      </c>
      <c r="F866" s="2043">
        <v>661859840</v>
      </c>
      <c r="G866" s="2043">
        <v>654120053</v>
      </c>
      <c r="H866" s="2043">
        <v>661859840</v>
      </c>
      <c r="I866" s="2043">
        <v>654120053</v>
      </c>
    </row>
    <row r="867" spans="1:9" ht="14.5">
      <c r="A867" t="s">
        <v>10210</v>
      </c>
      <c r="B867" s="2113" t="str">
        <f t="shared" si="13"/>
        <v>219-901</v>
      </c>
      <c r="C867" t="s">
        <v>6849</v>
      </c>
      <c r="D867" s="2043">
        <v>5688431</v>
      </c>
      <c r="E867" s="2043">
        <v>0</v>
      </c>
      <c r="F867" s="2043">
        <v>91182730</v>
      </c>
      <c r="G867" s="2043">
        <v>89529299</v>
      </c>
      <c r="H867" s="2043">
        <v>91182730</v>
      </c>
      <c r="I867" s="2043">
        <v>89529299</v>
      </c>
    </row>
    <row r="868" spans="1:9" ht="14.5">
      <c r="A868" t="s">
        <v>10659</v>
      </c>
      <c r="B868" s="2113" t="str">
        <f t="shared" si="13"/>
        <v>219-903</v>
      </c>
      <c r="C868" t="s">
        <v>6850</v>
      </c>
      <c r="D868" s="2043">
        <v>24339164</v>
      </c>
      <c r="E868" s="2043">
        <v>0</v>
      </c>
      <c r="F868" s="2043">
        <v>214605396</v>
      </c>
      <c r="G868" s="2043">
        <v>206181232</v>
      </c>
      <c r="H868" s="2043">
        <v>214605396</v>
      </c>
      <c r="I868" s="2043">
        <v>206181232</v>
      </c>
    </row>
    <row r="869" spans="1:9" ht="14.5">
      <c r="A869" t="s">
        <v>10660</v>
      </c>
      <c r="B869" s="2113" t="str">
        <f t="shared" si="13"/>
        <v>219-905</v>
      </c>
      <c r="C869" t="s">
        <v>6851</v>
      </c>
      <c r="D869" s="2043">
        <v>5593558</v>
      </c>
      <c r="E869" s="2043">
        <v>0</v>
      </c>
      <c r="F869" s="2043">
        <v>116552114</v>
      </c>
      <c r="G869" s="2043">
        <v>114843556</v>
      </c>
      <c r="H869" s="2043">
        <v>116552114</v>
      </c>
      <c r="I869" s="2043">
        <v>114843556</v>
      </c>
    </row>
    <row r="870" spans="1:9" ht="14.5">
      <c r="A870" t="s">
        <v>10211</v>
      </c>
      <c r="B870" s="2113" t="str">
        <f t="shared" si="13"/>
        <v>220-901</v>
      </c>
      <c r="C870" t="s">
        <v>6852</v>
      </c>
      <c r="D870" s="2043">
        <v>1418617955</v>
      </c>
      <c r="E870" s="2043">
        <v>0</v>
      </c>
      <c r="F870" s="2043">
        <v>32783717477</v>
      </c>
      <c r="G870" s="2043">
        <v>32229474522</v>
      </c>
      <c r="H870" s="2043">
        <v>32783717477</v>
      </c>
      <c r="I870" s="2043">
        <v>32229474522</v>
      </c>
    </row>
    <row r="871" spans="1:9" ht="14.5">
      <c r="A871" t="s">
        <v>10212</v>
      </c>
      <c r="B871" s="2113" t="str">
        <f t="shared" si="13"/>
        <v>220-902</v>
      </c>
      <c r="C871" t="s">
        <v>6853</v>
      </c>
      <c r="D871" s="2043">
        <v>692029208</v>
      </c>
      <c r="E871" s="2043">
        <v>0</v>
      </c>
      <c r="F871" s="2043">
        <v>11802607289</v>
      </c>
      <c r="G871" s="2043">
        <v>11533023081</v>
      </c>
      <c r="H871" s="2043">
        <v>11802607289</v>
      </c>
      <c r="I871" s="2043">
        <v>11533023081</v>
      </c>
    </row>
    <row r="872" spans="1:9" ht="14.5">
      <c r="A872" t="s">
        <v>10213</v>
      </c>
      <c r="B872" s="2113" t="str">
        <f t="shared" si="13"/>
        <v>220-904</v>
      </c>
      <c r="C872" t="s">
        <v>6854</v>
      </c>
      <c r="D872" s="2043">
        <v>105089789</v>
      </c>
      <c r="E872" s="2043">
        <v>0</v>
      </c>
      <c r="F872" s="2043">
        <v>1696782970</v>
      </c>
      <c r="G872" s="2043">
        <v>1656418181</v>
      </c>
      <c r="H872" s="2043">
        <v>1696782970</v>
      </c>
      <c r="I872" s="2043">
        <v>1656418181</v>
      </c>
    </row>
    <row r="873" spans="1:9" ht="14.5">
      <c r="A873" t="s">
        <v>10214</v>
      </c>
      <c r="B873" s="2113" t="str">
        <f t="shared" si="13"/>
        <v>220-905</v>
      </c>
      <c r="C873" t="s">
        <v>6855</v>
      </c>
      <c r="D873" s="2043">
        <v>2005233642</v>
      </c>
      <c r="E873" s="2043">
        <v>0</v>
      </c>
      <c r="F873" s="2043">
        <v>43074927966</v>
      </c>
      <c r="G873" s="2043">
        <v>42298794324</v>
      </c>
      <c r="H873" s="2043">
        <v>43074927966</v>
      </c>
      <c r="I873" s="2043">
        <v>42298794324</v>
      </c>
    </row>
    <row r="874" spans="1:9" ht="14.5">
      <c r="A874" t="s">
        <v>10215</v>
      </c>
      <c r="B874" s="2113" t="str">
        <f t="shared" si="13"/>
        <v>220-906</v>
      </c>
      <c r="C874" t="s">
        <v>6856</v>
      </c>
      <c r="D874" s="2043">
        <v>442898538</v>
      </c>
      <c r="E874" s="2043">
        <v>0</v>
      </c>
      <c r="F874" s="2043">
        <v>16797270953</v>
      </c>
      <c r="G874" s="2043">
        <v>16622992415</v>
      </c>
      <c r="H874" s="2043">
        <v>16797270953</v>
      </c>
      <c r="I874" s="2043">
        <v>16622992415</v>
      </c>
    </row>
    <row r="875" spans="1:9" ht="14.5">
      <c r="A875" t="s">
        <v>10216</v>
      </c>
      <c r="B875" s="2113" t="str">
        <f t="shared" si="13"/>
        <v>220-907</v>
      </c>
      <c r="C875" t="s">
        <v>6857</v>
      </c>
      <c r="D875" s="2043">
        <v>1015581238</v>
      </c>
      <c r="E875" s="2043">
        <v>0</v>
      </c>
      <c r="F875" s="2043">
        <v>20626279100</v>
      </c>
      <c r="G875" s="2043">
        <v>20227782862</v>
      </c>
      <c r="H875" s="2043">
        <v>20626279100</v>
      </c>
      <c r="I875" s="2043">
        <v>20227782862</v>
      </c>
    </row>
    <row r="876" spans="1:9" ht="14.5">
      <c r="A876" t="s">
        <v>10217</v>
      </c>
      <c r="B876" s="2113" t="str">
        <f t="shared" si="13"/>
        <v>220-908</v>
      </c>
      <c r="C876" t="s">
        <v>6858</v>
      </c>
      <c r="D876" s="2043">
        <v>889134621</v>
      </c>
      <c r="E876" s="2043">
        <v>0</v>
      </c>
      <c r="F876" s="2043">
        <v>16366337258</v>
      </c>
      <c r="G876" s="2043">
        <v>16019257637</v>
      </c>
      <c r="H876" s="2043">
        <v>16366337258</v>
      </c>
      <c r="I876" s="2043">
        <v>16019257637</v>
      </c>
    </row>
    <row r="877" spans="1:9" ht="14.5">
      <c r="A877" t="s">
        <v>10218</v>
      </c>
      <c r="B877" s="2113" t="str">
        <f t="shared" si="13"/>
        <v>220-910</v>
      </c>
      <c r="C877" t="s">
        <v>6859</v>
      </c>
      <c r="D877" s="2043">
        <v>52028127</v>
      </c>
      <c r="E877" s="2043">
        <v>0</v>
      </c>
      <c r="F877" s="2043">
        <v>1176788394</v>
      </c>
      <c r="G877" s="2043">
        <v>1156590267</v>
      </c>
      <c r="H877" s="2043">
        <v>1176788394</v>
      </c>
      <c r="I877" s="2043">
        <v>1156590267</v>
      </c>
    </row>
    <row r="878" spans="1:9" ht="14.5">
      <c r="A878" t="s">
        <v>10219</v>
      </c>
      <c r="B878" s="2113" t="str">
        <f t="shared" si="13"/>
        <v>220-912</v>
      </c>
      <c r="C878" t="s">
        <v>6860</v>
      </c>
      <c r="D878" s="2043">
        <v>497217182</v>
      </c>
      <c r="E878" s="2043">
        <v>0</v>
      </c>
      <c r="F878" s="2043">
        <v>8358846845</v>
      </c>
      <c r="G878" s="2043">
        <v>8164779663</v>
      </c>
      <c r="H878" s="2043">
        <v>8358846845</v>
      </c>
      <c r="I878" s="2043">
        <v>8164779663</v>
      </c>
    </row>
    <row r="879" spans="1:9" ht="14.5">
      <c r="A879" t="s">
        <v>10220</v>
      </c>
      <c r="B879" s="2113" t="str">
        <f t="shared" si="13"/>
        <v>220-914</v>
      </c>
      <c r="C879" t="s">
        <v>6861</v>
      </c>
      <c r="D879" s="2043">
        <v>117231340</v>
      </c>
      <c r="E879" s="2043">
        <v>0</v>
      </c>
      <c r="F879" s="2043">
        <v>1706072287</v>
      </c>
      <c r="G879" s="2043">
        <v>1660045947</v>
      </c>
      <c r="H879" s="2043">
        <v>1706072287</v>
      </c>
      <c r="I879" s="2043">
        <v>1660045947</v>
      </c>
    </row>
    <row r="880" spans="1:9" ht="14.5">
      <c r="A880" t="s">
        <v>10221</v>
      </c>
      <c r="B880" s="2113" t="str">
        <f t="shared" si="13"/>
        <v>220-915</v>
      </c>
      <c r="C880" t="s">
        <v>6862</v>
      </c>
      <c r="D880" s="2043">
        <v>251775546</v>
      </c>
      <c r="E880" s="2043">
        <v>0</v>
      </c>
      <c r="F880" s="2043">
        <v>3381501581</v>
      </c>
      <c r="G880" s="2043">
        <v>3285366035</v>
      </c>
      <c r="H880" s="2043">
        <v>3381501581</v>
      </c>
      <c r="I880" s="2043">
        <v>3285366035</v>
      </c>
    </row>
    <row r="881" spans="1:9" ht="14.5">
      <c r="A881" t="s">
        <v>10222</v>
      </c>
      <c r="B881" s="2113" t="str">
        <f t="shared" si="13"/>
        <v>220-916</v>
      </c>
      <c r="C881" t="s">
        <v>6863</v>
      </c>
      <c r="D881" s="2043">
        <v>738392355</v>
      </c>
      <c r="E881" s="2043">
        <v>0</v>
      </c>
      <c r="F881" s="2043">
        <v>16374609734</v>
      </c>
      <c r="G881" s="2043">
        <v>16085167379</v>
      </c>
      <c r="H881" s="2043">
        <v>16374609734</v>
      </c>
      <c r="I881" s="2043">
        <v>16085167379</v>
      </c>
    </row>
    <row r="882" spans="1:9" ht="14.5">
      <c r="A882" t="s">
        <v>10223</v>
      </c>
      <c r="B882" s="2113" t="str">
        <f t="shared" si="13"/>
        <v>220-917</v>
      </c>
      <c r="C882" t="s">
        <v>6864</v>
      </c>
      <c r="D882" s="2043">
        <v>84818542</v>
      </c>
      <c r="E882" s="2043">
        <v>0</v>
      </c>
      <c r="F882" s="2043">
        <v>979568414</v>
      </c>
      <c r="G882" s="2043">
        <v>947174872</v>
      </c>
      <c r="H882" s="2043">
        <v>979568414</v>
      </c>
      <c r="I882" s="2043">
        <v>947174872</v>
      </c>
    </row>
    <row r="883" spans="1:9" ht="14.5">
      <c r="A883" t="s">
        <v>10224</v>
      </c>
      <c r="B883" s="2113" t="str">
        <f t="shared" si="13"/>
        <v>220-918</v>
      </c>
      <c r="C883" t="s">
        <v>8435</v>
      </c>
      <c r="D883" s="2043">
        <v>582498900</v>
      </c>
      <c r="E883" s="2043">
        <v>0</v>
      </c>
      <c r="F883" s="2043">
        <v>11519575538</v>
      </c>
      <c r="G883" s="2043">
        <v>11291691638</v>
      </c>
      <c r="H883" s="2043">
        <v>11519575538</v>
      </c>
      <c r="I883" s="2043">
        <v>11291691638</v>
      </c>
    </row>
    <row r="884" spans="1:9" ht="14.5">
      <c r="A884" t="s">
        <v>10225</v>
      </c>
      <c r="B884" s="2113" t="str">
        <f t="shared" si="13"/>
        <v>220-919</v>
      </c>
      <c r="C884" t="s">
        <v>6865</v>
      </c>
      <c r="D884" s="2043">
        <v>218126978</v>
      </c>
      <c r="E884" s="2043">
        <v>0</v>
      </c>
      <c r="F884" s="2043">
        <v>9309856645</v>
      </c>
      <c r="G884" s="2043">
        <v>9223534667</v>
      </c>
      <c r="H884" s="2043">
        <v>9309856645</v>
      </c>
      <c r="I884" s="2043">
        <v>9223534667</v>
      </c>
    </row>
    <row r="885" spans="1:9" ht="14.5">
      <c r="A885" t="s">
        <v>10226</v>
      </c>
      <c r="B885" s="2113" t="str">
        <f t="shared" si="13"/>
        <v>220-920</v>
      </c>
      <c r="C885" t="s">
        <v>6866</v>
      </c>
      <c r="D885" s="2043">
        <v>180271973</v>
      </c>
      <c r="E885" s="2043">
        <v>0</v>
      </c>
      <c r="F885" s="2043">
        <v>2551250403</v>
      </c>
      <c r="G885" s="2043">
        <v>2480763430</v>
      </c>
      <c r="H885" s="2043">
        <v>2551250403</v>
      </c>
      <c r="I885" s="2043">
        <v>2480763430</v>
      </c>
    </row>
    <row r="886" spans="1:9" ht="14.5">
      <c r="A886" t="s">
        <v>10227</v>
      </c>
      <c r="B886" s="2113" t="str">
        <f t="shared" si="13"/>
        <v>221-901</v>
      </c>
      <c r="C886" t="s">
        <v>6867</v>
      </c>
      <c r="D886" s="2043">
        <v>444282881</v>
      </c>
      <c r="E886" s="2043">
        <v>0</v>
      </c>
      <c r="F886" s="2043">
        <v>5224067914</v>
      </c>
      <c r="G886" s="2043">
        <v>5055395033</v>
      </c>
      <c r="H886" s="2043">
        <v>5224067914</v>
      </c>
      <c r="I886" s="2043">
        <v>5055395033</v>
      </c>
    </row>
    <row r="887" spans="1:9" ht="14.5">
      <c r="A887" t="s">
        <v>10228</v>
      </c>
      <c r="B887" s="2113" t="str">
        <f t="shared" si="13"/>
        <v>221-904</v>
      </c>
      <c r="C887" t="s">
        <v>6868</v>
      </c>
      <c r="D887" s="2043">
        <v>36966403</v>
      </c>
      <c r="E887" s="2043">
        <v>0</v>
      </c>
      <c r="F887" s="2043">
        <v>466353054</v>
      </c>
      <c r="G887" s="2043">
        <v>454931651</v>
      </c>
      <c r="H887" s="2043">
        <v>466353054</v>
      </c>
      <c r="I887" s="2043">
        <v>454931651</v>
      </c>
    </row>
    <row r="888" spans="1:9" ht="14.5">
      <c r="A888" t="s">
        <v>10661</v>
      </c>
      <c r="B888" s="2113" t="str">
        <f t="shared" si="13"/>
        <v>221-905</v>
      </c>
      <c r="C888" t="s">
        <v>6869</v>
      </c>
      <c r="D888" s="2043">
        <v>4158953</v>
      </c>
      <c r="E888" s="2043">
        <v>0</v>
      </c>
      <c r="F888" s="2043">
        <v>216634521</v>
      </c>
      <c r="G888" s="2043">
        <v>215280568</v>
      </c>
      <c r="H888" s="2043">
        <v>216634521</v>
      </c>
      <c r="I888" s="2043">
        <v>215280568</v>
      </c>
    </row>
    <row r="889" spans="1:9" ht="14.5">
      <c r="A889" t="s">
        <v>10229</v>
      </c>
      <c r="B889" s="2113" t="str">
        <f t="shared" si="13"/>
        <v>221-911</v>
      </c>
      <c r="C889" t="s">
        <v>6870</v>
      </c>
      <c r="D889" s="2043">
        <v>47952075</v>
      </c>
      <c r="E889" s="2043">
        <v>0</v>
      </c>
      <c r="F889" s="2043">
        <v>703841298</v>
      </c>
      <c r="G889" s="2043">
        <v>687494223</v>
      </c>
      <c r="H889" s="2043">
        <v>703841298</v>
      </c>
      <c r="I889" s="2043">
        <v>687494223</v>
      </c>
    </row>
    <row r="890" spans="1:9" ht="14.5">
      <c r="A890" t="s">
        <v>10230</v>
      </c>
      <c r="B890" s="2113" t="str">
        <f t="shared" si="13"/>
        <v>221-912</v>
      </c>
      <c r="C890" t="s">
        <v>6170</v>
      </c>
      <c r="D890" s="2043">
        <v>164920490</v>
      </c>
      <c r="E890" s="2043">
        <v>0</v>
      </c>
      <c r="F890" s="2043">
        <v>2366193236</v>
      </c>
      <c r="G890" s="2043">
        <v>2303212746</v>
      </c>
      <c r="H890" s="2043">
        <v>2366193236</v>
      </c>
      <c r="I890" s="2043">
        <v>2303212746</v>
      </c>
    </row>
    <row r="891" spans="1:9" ht="14.5">
      <c r="A891" t="s">
        <v>10231</v>
      </c>
      <c r="B891" s="2113" t="str">
        <f t="shared" si="13"/>
        <v>222-901</v>
      </c>
      <c r="C891" t="s">
        <v>6871</v>
      </c>
      <c r="D891" s="2043">
        <v>5920137</v>
      </c>
      <c r="E891" s="2043">
        <v>0</v>
      </c>
      <c r="F891" s="2043">
        <v>190150845</v>
      </c>
      <c r="G891" s="2043">
        <v>188670708</v>
      </c>
      <c r="H891" s="2043">
        <v>190150845</v>
      </c>
      <c r="I891" s="2043">
        <v>188670708</v>
      </c>
    </row>
    <row r="892" spans="1:9" ht="14.5">
      <c r="A892" t="s">
        <v>10232</v>
      </c>
      <c r="B892" s="2113" t="str">
        <f t="shared" si="13"/>
        <v>223-901</v>
      </c>
      <c r="C892" t="s">
        <v>6872</v>
      </c>
      <c r="D892" s="2043">
        <v>38537026</v>
      </c>
      <c r="E892" s="2043">
        <v>0</v>
      </c>
      <c r="F892" s="2043">
        <v>638425069</v>
      </c>
      <c r="G892" s="2043">
        <v>628583043</v>
      </c>
      <c r="H892" s="2043">
        <v>638425069</v>
      </c>
      <c r="I892" s="2043">
        <v>628583043</v>
      </c>
    </row>
    <row r="893" spans="1:9" ht="14.5">
      <c r="A893" t="s">
        <v>10233</v>
      </c>
      <c r="B893" s="2113" t="str">
        <f t="shared" si="13"/>
        <v>223-902</v>
      </c>
      <c r="C893" t="s">
        <v>6873</v>
      </c>
      <c r="D893" s="2043">
        <v>3447680</v>
      </c>
      <c r="E893" s="2043">
        <v>0</v>
      </c>
      <c r="F893" s="2043">
        <v>57078949</v>
      </c>
      <c r="G893" s="2043">
        <v>56211269</v>
      </c>
      <c r="H893" s="2043">
        <v>57078949</v>
      </c>
      <c r="I893" s="2043">
        <v>56211269</v>
      </c>
    </row>
    <row r="894" spans="1:9" ht="14.5">
      <c r="A894" t="s">
        <v>10234</v>
      </c>
      <c r="B894" s="2113" t="str">
        <f t="shared" si="13"/>
        <v>223-904</v>
      </c>
      <c r="C894" t="s">
        <v>6874</v>
      </c>
      <c r="D894" s="2043">
        <v>2265284</v>
      </c>
      <c r="E894" s="2043">
        <v>0</v>
      </c>
      <c r="F894" s="2043">
        <v>150711344</v>
      </c>
      <c r="G894" s="2043">
        <v>150066060</v>
      </c>
      <c r="H894" s="2043">
        <v>150711344</v>
      </c>
      <c r="I894" s="2043">
        <v>150066060</v>
      </c>
    </row>
    <row r="895" spans="1:9" ht="14.5">
      <c r="A895" t="s">
        <v>10662</v>
      </c>
      <c r="B895" s="2113" t="str">
        <f t="shared" si="13"/>
        <v>224-901</v>
      </c>
      <c r="C895" t="s">
        <v>6875</v>
      </c>
      <c r="D895" s="2043">
        <v>7210650</v>
      </c>
      <c r="E895" s="2043">
        <v>0</v>
      </c>
      <c r="F895" s="2043">
        <v>135566053</v>
      </c>
      <c r="G895" s="2043">
        <v>132915403</v>
      </c>
      <c r="H895" s="2043">
        <v>135566053</v>
      </c>
      <c r="I895" s="2043">
        <v>132915403</v>
      </c>
    </row>
    <row r="896" spans="1:9" ht="14.5">
      <c r="A896" t="s">
        <v>10235</v>
      </c>
      <c r="B896" s="2113" t="str">
        <f t="shared" si="13"/>
        <v>224-902</v>
      </c>
      <c r="C896" t="s">
        <v>6876</v>
      </c>
      <c r="D896" s="2043">
        <v>2903860</v>
      </c>
      <c r="E896" s="2043">
        <v>0</v>
      </c>
      <c r="F896" s="2043">
        <v>41720910</v>
      </c>
      <c r="G896" s="2043">
        <v>40692050</v>
      </c>
      <c r="H896" s="2043">
        <v>41720910</v>
      </c>
      <c r="I896" s="2043">
        <v>40692050</v>
      </c>
    </row>
    <row r="897" spans="1:9" ht="14.5">
      <c r="A897" t="s">
        <v>10236</v>
      </c>
      <c r="B897" s="2113" t="str">
        <f t="shared" si="13"/>
        <v>225-902</v>
      </c>
      <c r="C897" t="s">
        <v>6877</v>
      </c>
      <c r="D897" s="2043">
        <v>110410444</v>
      </c>
      <c r="E897" s="2043">
        <v>0</v>
      </c>
      <c r="F897" s="2043">
        <v>1603343215</v>
      </c>
      <c r="G897" s="2043">
        <v>1563342771</v>
      </c>
      <c r="H897" s="2043">
        <v>1603343215</v>
      </c>
      <c r="I897" s="2043">
        <v>1563342771</v>
      </c>
    </row>
    <row r="898" spans="1:9" ht="14.5">
      <c r="A898" t="s">
        <v>10237</v>
      </c>
      <c r="B898" s="2113" t="str">
        <f t="shared" si="13"/>
        <v>225-906</v>
      </c>
      <c r="C898" t="s">
        <v>6839</v>
      </c>
      <c r="D898" s="2043">
        <v>17456703</v>
      </c>
      <c r="E898" s="2043">
        <v>0</v>
      </c>
      <c r="F898" s="2043">
        <v>155806993</v>
      </c>
      <c r="G898" s="2043">
        <v>149915290</v>
      </c>
      <c r="H898" s="2043">
        <v>155806993</v>
      </c>
      <c r="I898" s="2043">
        <v>149915290</v>
      </c>
    </row>
    <row r="899" spans="1:9" ht="14.5">
      <c r="A899" t="s">
        <v>10238</v>
      </c>
      <c r="B899" s="2113" t="str">
        <f t="shared" ref="B899:B962" si="14">CONCATENATE(RIGHT(LEFT(CONCATENATE("000",A899),6),3),"-",(LEFT(RIGHT(CONCATENATE("000",A899),6),3)))</f>
        <v>225-907</v>
      </c>
      <c r="C899" t="s">
        <v>6878</v>
      </c>
      <c r="D899" s="2043">
        <v>18080792</v>
      </c>
      <c r="E899" s="2043">
        <v>0</v>
      </c>
      <c r="F899" s="2043">
        <v>185032430</v>
      </c>
      <c r="G899" s="2043">
        <v>178186638</v>
      </c>
      <c r="H899" s="2043">
        <v>185032430</v>
      </c>
      <c r="I899" s="2043">
        <v>178186638</v>
      </c>
    </row>
    <row r="900" spans="1:9" ht="14.5">
      <c r="A900" t="s">
        <v>10239</v>
      </c>
      <c r="B900" s="2113" t="str">
        <f t="shared" si="14"/>
        <v>226-901</v>
      </c>
      <c r="C900" t="s">
        <v>6879</v>
      </c>
      <c r="D900" s="2043">
        <v>20649060</v>
      </c>
      <c r="E900" s="2043">
        <v>0</v>
      </c>
      <c r="F900" s="2043">
        <v>264365848</v>
      </c>
      <c r="G900" s="2043">
        <v>256211788</v>
      </c>
      <c r="H900" s="2043">
        <v>264365848</v>
      </c>
      <c r="I900" s="2043">
        <v>256211788</v>
      </c>
    </row>
    <row r="901" spans="1:9" ht="14.5">
      <c r="A901" t="s">
        <v>10240</v>
      </c>
      <c r="B901" s="2113" t="str">
        <f t="shared" si="14"/>
        <v>226-903</v>
      </c>
      <c r="C901" t="s">
        <v>6880</v>
      </c>
      <c r="D901" s="2043">
        <v>546552014</v>
      </c>
      <c r="E901" s="2043">
        <v>0</v>
      </c>
      <c r="F901" s="2043">
        <v>5930083483</v>
      </c>
      <c r="G901" s="2043">
        <v>5715001469</v>
      </c>
      <c r="H901" s="2043">
        <v>5930083483</v>
      </c>
      <c r="I901" s="2043">
        <v>5715001469</v>
      </c>
    </row>
    <row r="902" spans="1:9" ht="14.5">
      <c r="A902" t="s">
        <v>10241</v>
      </c>
      <c r="B902" s="2113" t="str">
        <f t="shared" si="14"/>
        <v>226-905</v>
      </c>
      <c r="C902" t="s">
        <v>6881</v>
      </c>
      <c r="D902" s="2043">
        <v>11348850</v>
      </c>
      <c r="E902" s="2043">
        <v>0</v>
      </c>
      <c r="F902" s="2043">
        <v>237076293</v>
      </c>
      <c r="G902" s="2043">
        <v>232792443</v>
      </c>
      <c r="H902" s="2043">
        <v>237076293</v>
      </c>
      <c r="I902" s="2043">
        <v>232792443</v>
      </c>
    </row>
    <row r="903" spans="1:9" ht="14.5">
      <c r="A903" t="s">
        <v>10242</v>
      </c>
      <c r="B903" s="2113" t="str">
        <f t="shared" si="14"/>
        <v>226-906</v>
      </c>
      <c r="C903" t="s">
        <v>6882</v>
      </c>
      <c r="D903" s="2043">
        <v>34467780</v>
      </c>
      <c r="E903" s="2043">
        <v>0</v>
      </c>
      <c r="F903" s="2043">
        <v>499551146</v>
      </c>
      <c r="G903" s="2043">
        <v>486053366</v>
      </c>
      <c r="H903" s="2043">
        <v>499551146</v>
      </c>
      <c r="I903" s="2043">
        <v>486053366</v>
      </c>
    </row>
    <row r="904" spans="1:9" ht="14.5">
      <c r="A904" t="s">
        <v>10243</v>
      </c>
      <c r="B904" s="2113" t="str">
        <f t="shared" si="14"/>
        <v>226-907</v>
      </c>
      <c r="C904" t="s">
        <v>6883</v>
      </c>
      <c r="D904" s="2043">
        <v>47017350</v>
      </c>
      <c r="E904" s="2043">
        <v>0</v>
      </c>
      <c r="F904" s="2043">
        <v>361372970</v>
      </c>
      <c r="G904" s="2043">
        <v>343020620</v>
      </c>
      <c r="H904" s="2043">
        <v>361372970</v>
      </c>
      <c r="I904" s="2043">
        <v>343020620</v>
      </c>
    </row>
    <row r="905" spans="1:9" ht="14.5">
      <c r="A905" t="s">
        <v>10244</v>
      </c>
      <c r="B905" s="2113" t="str">
        <f t="shared" si="14"/>
        <v>226-908</v>
      </c>
      <c r="C905" t="s">
        <v>6884</v>
      </c>
      <c r="D905" s="2043">
        <v>8015860</v>
      </c>
      <c r="E905" s="2043">
        <v>0</v>
      </c>
      <c r="F905" s="2043">
        <v>160642346</v>
      </c>
      <c r="G905" s="2043">
        <v>157471486</v>
      </c>
      <c r="H905" s="2043">
        <v>160642346</v>
      </c>
      <c r="I905" s="2043">
        <v>157471486</v>
      </c>
    </row>
    <row r="906" spans="1:9" ht="14.5">
      <c r="A906" t="s">
        <v>10245</v>
      </c>
      <c r="B906" s="2113" t="str">
        <f t="shared" si="14"/>
        <v>227-901</v>
      </c>
      <c r="C906" t="s">
        <v>6885</v>
      </c>
      <c r="D906" s="2043">
        <v>2914640964</v>
      </c>
      <c r="E906" s="2043">
        <v>0</v>
      </c>
      <c r="F906" s="2043">
        <v>143350952020</v>
      </c>
      <c r="G906" s="2043">
        <v>142205141056</v>
      </c>
      <c r="H906" s="2043">
        <v>143350952020</v>
      </c>
      <c r="I906" s="2043">
        <v>142205141056</v>
      </c>
    </row>
    <row r="907" spans="1:9" ht="14.5">
      <c r="A907" t="s">
        <v>10246</v>
      </c>
      <c r="B907" s="2113" t="str">
        <f t="shared" si="14"/>
        <v>227-904</v>
      </c>
      <c r="C907" t="s">
        <v>6886</v>
      </c>
      <c r="D907" s="2043">
        <v>757428176</v>
      </c>
      <c r="E907" s="2043">
        <v>0</v>
      </c>
      <c r="F907" s="2043">
        <v>17422751268</v>
      </c>
      <c r="G907" s="2043">
        <v>17126648092</v>
      </c>
      <c r="H907" s="2043">
        <v>17422751268</v>
      </c>
      <c r="I907" s="2043">
        <v>17126648092</v>
      </c>
    </row>
    <row r="908" spans="1:9" ht="14.5">
      <c r="A908" t="s">
        <v>10247</v>
      </c>
      <c r="B908" s="2113" t="str">
        <f t="shared" si="14"/>
        <v>227-907</v>
      </c>
      <c r="C908" t="s">
        <v>6887</v>
      </c>
      <c r="D908" s="2043">
        <v>264448785</v>
      </c>
      <c r="E908" s="2043">
        <v>815124708</v>
      </c>
      <c r="F908" s="2043">
        <v>6148010127</v>
      </c>
      <c r="G908" s="2043">
        <v>6046641342</v>
      </c>
      <c r="H908" s="2043">
        <v>6963134835</v>
      </c>
      <c r="I908" s="2043">
        <v>6861766050</v>
      </c>
    </row>
    <row r="909" spans="1:9" ht="14.5">
      <c r="A909" t="s">
        <v>10663</v>
      </c>
      <c r="B909" s="2113" t="str">
        <f t="shared" si="14"/>
        <v>227-909</v>
      </c>
      <c r="C909" t="s">
        <v>6888</v>
      </c>
      <c r="D909" s="2043">
        <v>245094635</v>
      </c>
      <c r="E909" s="2043">
        <v>0</v>
      </c>
      <c r="F909" s="2043">
        <v>16927909987</v>
      </c>
      <c r="G909" s="2043">
        <v>16830535352</v>
      </c>
      <c r="H909" s="2043">
        <v>16927909987</v>
      </c>
      <c r="I909" s="2043">
        <v>16830535352</v>
      </c>
    </row>
    <row r="910" spans="1:9" ht="14.5">
      <c r="A910" t="s">
        <v>10248</v>
      </c>
      <c r="B910" s="2113" t="str">
        <f t="shared" si="14"/>
        <v>227-910</v>
      </c>
      <c r="C910" t="s">
        <v>6889</v>
      </c>
      <c r="D910" s="2043">
        <v>231844651</v>
      </c>
      <c r="E910" s="2043">
        <v>0</v>
      </c>
      <c r="F910" s="2043">
        <v>8192473263</v>
      </c>
      <c r="G910" s="2043">
        <v>8105363612</v>
      </c>
      <c r="H910" s="2043">
        <v>8192473263</v>
      </c>
      <c r="I910" s="2043">
        <v>8105363612</v>
      </c>
    </row>
    <row r="911" spans="1:9" ht="14.5">
      <c r="A911" t="s">
        <v>10664</v>
      </c>
      <c r="B911" s="2113" t="str">
        <f t="shared" si="14"/>
        <v>227-912</v>
      </c>
      <c r="C911" t="s">
        <v>6890</v>
      </c>
      <c r="D911" s="2043">
        <v>98834248</v>
      </c>
      <c r="E911" s="2043">
        <v>0</v>
      </c>
      <c r="F911" s="2043">
        <v>2107905957</v>
      </c>
      <c r="G911" s="2043">
        <v>2069641709</v>
      </c>
      <c r="H911" s="2043">
        <v>2107905957</v>
      </c>
      <c r="I911" s="2043">
        <v>2069641709</v>
      </c>
    </row>
    <row r="912" spans="1:9" ht="14.5">
      <c r="A912" t="s">
        <v>10665</v>
      </c>
      <c r="B912" s="2113" t="str">
        <f t="shared" si="14"/>
        <v>227-913</v>
      </c>
      <c r="C912" t="s">
        <v>6891</v>
      </c>
      <c r="D912" s="2043">
        <v>422561654</v>
      </c>
      <c r="E912" s="2043">
        <v>0</v>
      </c>
      <c r="F912" s="2043">
        <v>14827392163</v>
      </c>
      <c r="G912" s="2043">
        <v>14661270509</v>
      </c>
      <c r="H912" s="2043">
        <v>14827392163</v>
      </c>
      <c r="I912" s="2043">
        <v>14661270509</v>
      </c>
    </row>
    <row r="913" spans="1:9" ht="14.5">
      <c r="A913" t="s">
        <v>10249</v>
      </c>
      <c r="B913" s="2113" t="str">
        <f t="shared" si="14"/>
        <v>228-901</v>
      </c>
      <c r="C913" t="s">
        <v>6892</v>
      </c>
      <c r="D913" s="2043">
        <v>32377291</v>
      </c>
      <c r="E913" s="2043">
        <v>0</v>
      </c>
      <c r="F913" s="2043">
        <v>356138806</v>
      </c>
      <c r="G913" s="2043">
        <v>345901515</v>
      </c>
      <c r="H913" s="2043">
        <v>356138806</v>
      </c>
      <c r="I913" s="2043">
        <v>345901515</v>
      </c>
    </row>
    <row r="914" spans="1:9" ht="14.5">
      <c r="A914" t="s">
        <v>10250</v>
      </c>
      <c r="B914" s="2113" t="str">
        <f t="shared" si="14"/>
        <v>228-903</v>
      </c>
      <c r="C914" t="s">
        <v>6893</v>
      </c>
      <c r="D914" s="2043">
        <v>48025830</v>
      </c>
      <c r="E914" s="2043">
        <v>0</v>
      </c>
      <c r="F914" s="2043">
        <v>463311103</v>
      </c>
      <c r="G914" s="2043">
        <v>447850273</v>
      </c>
      <c r="H914" s="2043">
        <v>463311103</v>
      </c>
      <c r="I914" s="2043">
        <v>447850273</v>
      </c>
    </row>
    <row r="915" spans="1:9" ht="14.5">
      <c r="A915" t="s">
        <v>10251</v>
      </c>
      <c r="B915" s="2113" t="str">
        <f t="shared" si="14"/>
        <v>228-904</v>
      </c>
      <c r="C915" t="s">
        <v>6591</v>
      </c>
      <c r="D915" s="2043">
        <v>5525515</v>
      </c>
      <c r="E915" s="2043">
        <v>0</v>
      </c>
      <c r="F915" s="2043">
        <v>37568999</v>
      </c>
      <c r="G915" s="2043">
        <v>35703484</v>
      </c>
      <c r="H915" s="2043">
        <v>37568999</v>
      </c>
      <c r="I915" s="2043">
        <v>35703484</v>
      </c>
    </row>
    <row r="916" spans="1:9" ht="14.5">
      <c r="A916" t="s">
        <v>10252</v>
      </c>
      <c r="B916" s="2113" t="str">
        <f t="shared" si="14"/>
        <v>228-905</v>
      </c>
      <c r="C916" t="s">
        <v>6894</v>
      </c>
      <c r="D916" s="2043">
        <v>7200320</v>
      </c>
      <c r="E916" s="2043">
        <v>0</v>
      </c>
      <c r="F916" s="2043">
        <v>56573940</v>
      </c>
      <c r="G916" s="2043">
        <v>54053620</v>
      </c>
      <c r="H916" s="2043">
        <v>56573940</v>
      </c>
      <c r="I916" s="2043">
        <v>54053620</v>
      </c>
    </row>
    <row r="917" spans="1:9" ht="14.5">
      <c r="A917" t="s">
        <v>10253</v>
      </c>
      <c r="B917" s="2113" t="str">
        <f t="shared" si="14"/>
        <v>229-901</v>
      </c>
      <c r="C917" t="s">
        <v>6895</v>
      </c>
      <c r="D917" s="2043">
        <v>17340100</v>
      </c>
      <c r="E917" s="2043">
        <v>0</v>
      </c>
      <c r="F917" s="2043">
        <v>159083239</v>
      </c>
      <c r="G917" s="2043">
        <v>156298559</v>
      </c>
      <c r="H917" s="2043">
        <v>159083239</v>
      </c>
      <c r="I917" s="2043">
        <v>156298559</v>
      </c>
    </row>
    <row r="918" spans="1:9" ht="14.5">
      <c r="A918" t="s">
        <v>10254</v>
      </c>
      <c r="B918" s="2113" t="str">
        <f t="shared" si="14"/>
        <v>229-903</v>
      </c>
      <c r="C918" t="s">
        <v>6896</v>
      </c>
      <c r="D918" s="2043">
        <v>55916791</v>
      </c>
      <c r="E918" s="2043">
        <v>33517407</v>
      </c>
      <c r="F918" s="2043">
        <v>592696171</v>
      </c>
      <c r="G918" s="2043">
        <v>574624380</v>
      </c>
      <c r="H918" s="2043">
        <v>626213578</v>
      </c>
      <c r="I918" s="2043">
        <v>608141787</v>
      </c>
    </row>
    <row r="919" spans="1:9" ht="14.5">
      <c r="A919" t="s">
        <v>10255</v>
      </c>
      <c r="B919" s="2113" t="str">
        <f t="shared" si="14"/>
        <v>229-904</v>
      </c>
      <c r="C919" t="s">
        <v>6897</v>
      </c>
      <c r="D919" s="2043">
        <v>46897073</v>
      </c>
      <c r="E919" s="2043">
        <v>0</v>
      </c>
      <c r="F919" s="2043">
        <v>316432405</v>
      </c>
      <c r="G919" s="2043">
        <v>305505332</v>
      </c>
      <c r="H919" s="2043">
        <v>316432405</v>
      </c>
      <c r="I919" s="2043">
        <v>305505332</v>
      </c>
    </row>
    <row r="920" spans="1:9" ht="14.5">
      <c r="A920" t="s">
        <v>10256</v>
      </c>
      <c r="B920" s="2113" t="str">
        <f t="shared" si="14"/>
        <v>229-905</v>
      </c>
      <c r="C920" t="s">
        <v>6898</v>
      </c>
      <c r="D920" s="2043">
        <v>13249276</v>
      </c>
      <c r="E920" s="2043">
        <v>0</v>
      </c>
      <c r="F920" s="2043">
        <v>100439114</v>
      </c>
      <c r="G920" s="2043">
        <v>96444838</v>
      </c>
      <c r="H920" s="2043">
        <v>100439114</v>
      </c>
      <c r="I920" s="2043">
        <v>96444838</v>
      </c>
    </row>
    <row r="921" spans="1:9" ht="14.5">
      <c r="A921" t="s">
        <v>10257</v>
      </c>
      <c r="B921" s="2113" t="str">
        <f t="shared" si="14"/>
        <v>229-906</v>
      </c>
      <c r="C921" t="s">
        <v>6899</v>
      </c>
      <c r="D921" s="2043">
        <v>8317678</v>
      </c>
      <c r="E921" s="2043">
        <v>0</v>
      </c>
      <c r="F921" s="2043">
        <v>84414119</v>
      </c>
      <c r="G921" s="2043">
        <v>82606441</v>
      </c>
      <c r="H921" s="2043">
        <v>84414119</v>
      </c>
      <c r="I921" s="2043">
        <v>82606441</v>
      </c>
    </row>
    <row r="922" spans="1:9" ht="14.5">
      <c r="A922" t="s">
        <v>10258</v>
      </c>
      <c r="B922" s="2113" t="str">
        <f t="shared" si="14"/>
        <v>230-901</v>
      </c>
      <c r="C922" t="s">
        <v>6759</v>
      </c>
      <c r="D922" s="2043">
        <v>23298023</v>
      </c>
      <c r="E922" s="2043">
        <v>0</v>
      </c>
      <c r="F922" s="2043">
        <v>243144627</v>
      </c>
      <c r="G922" s="2043">
        <v>234981604</v>
      </c>
      <c r="H922" s="2043">
        <v>243144627</v>
      </c>
      <c r="I922" s="2043">
        <v>234981604</v>
      </c>
    </row>
    <row r="923" spans="1:9" ht="14.5">
      <c r="A923" t="s">
        <v>10259</v>
      </c>
      <c r="B923" s="2113" t="str">
        <f t="shared" si="14"/>
        <v>230-902</v>
      </c>
      <c r="C923" t="s">
        <v>6900</v>
      </c>
      <c r="D923" s="2043">
        <v>99198132</v>
      </c>
      <c r="E923" s="2043">
        <v>0</v>
      </c>
      <c r="F923" s="2043">
        <v>925373789</v>
      </c>
      <c r="G923" s="2043">
        <v>889115657</v>
      </c>
      <c r="H923" s="2043">
        <v>925373789</v>
      </c>
      <c r="I923" s="2043">
        <v>889115657</v>
      </c>
    </row>
    <row r="924" spans="1:9" ht="14.5">
      <c r="A924" t="s">
        <v>10260</v>
      </c>
      <c r="B924" s="2113" t="str">
        <f t="shared" si="14"/>
        <v>230-903</v>
      </c>
      <c r="C924" t="s">
        <v>6901</v>
      </c>
      <c r="D924" s="2043">
        <v>25267511</v>
      </c>
      <c r="E924" s="2043">
        <v>0</v>
      </c>
      <c r="F924" s="2043">
        <v>176138234</v>
      </c>
      <c r="G924" s="2043">
        <v>167520723</v>
      </c>
      <c r="H924" s="2043">
        <v>176138234</v>
      </c>
      <c r="I924" s="2043">
        <v>167520723</v>
      </c>
    </row>
    <row r="925" spans="1:9" ht="14.5">
      <c r="A925" t="s">
        <v>10261</v>
      </c>
      <c r="B925" s="2113" t="str">
        <f t="shared" si="14"/>
        <v>230-904</v>
      </c>
      <c r="C925" t="s">
        <v>6902</v>
      </c>
      <c r="D925" s="2043">
        <v>13312508</v>
      </c>
      <c r="E925" s="2043">
        <v>0</v>
      </c>
      <c r="F925" s="2043">
        <v>99036241</v>
      </c>
      <c r="G925" s="2043">
        <v>94288733</v>
      </c>
      <c r="H925" s="2043">
        <v>99036241</v>
      </c>
      <c r="I925" s="2043">
        <v>94288733</v>
      </c>
    </row>
    <row r="926" spans="1:9" ht="14.5">
      <c r="A926" t="s">
        <v>10262</v>
      </c>
      <c r="B926" s="2113" t="str">
        <f t="shared" si="14"/>
        <v>230-905</v>
      </c>
      <c r="C926" t="s">
        <v>6903</v>
      </c>
      <c r="D926" s="2043">
        <v>52235404</v>
      </c>
      <c r="E926" s="2043">
        <v>0</v>
      </c>
      <c r="F926" s="2043">
        <v>466662063</v>
      </c>
      <c r="G926" s="2043">
        <v>447636659</v>
      </c>
      <c r="H926" s="2043">
        <v>466662063</v>
      </c>
      <c r="I926" s="2043">
        <v>447636659</v>
      </c>
    </row>
    <row r="927" spans="1:9" ht="14.5">
      <c r="A927" t="s">
        <v>10263</v>
      </c>
      <c r="B927" s="2113" t="str">
        <f t="shared" si="14"/>
        <v>230-906</v>
      </c>
      <c r="C927" t="s">
        <v>6904</v>
      </c>
      <c r="D927" s="2043">
        <v>30937217</v>
      </c>
      <c r="E927" s="2043">
        <v>0</v>
      </c>
      <c r="F927" s="2043">
        <v>254413721</v>
      </c>
      <c r="G927" s="2043">
        <v>243081504</v>
      </c>
      <c r="H927" s="2043">
        <v>254413721</v>
      </c>
      <c r="I927" s="2043">
        <v>243081504</v>
      </c>
    </row>
    <row r="928" spans="1:9" ht="14.5">
      <c r="A928" t="s">
        <v>10264</v>
      </c>
      <c r="B928" s="2113" t="str">
        <f t="shared" si="14"/>
        <v>230-908</v>
      </c>
      <c r="C928" t="s">
        <v>6905</v>
      </c>
      <c r="D928" s="2043">
        <v>19421741</v>
      </c>
      <c r="E928" s="2043">
        <v>0</v>
      </c>
      <c r="F928" s="2043">
        <v>163571648</v>
      </c>
      <c r="G928" s="2043">
        <v>156554907</v>
      </c>
      <c r="H928" s="2043">
        <v>163571648</v>
      </c>
      <c r="I928" s="2043">
        <v>156554907</v>
      </c>
    </row>
    <row r="929" spans="1:9" ht="14.5">
      <c r="A929" t="s">
        <v>10265</v>
      </c>
      <c r="B929" s="2113" t="str">
        <f t="shared" si="14"/>
        <v>231-901</v>
      </c>
      <c r="C929" t="s">
        <v>6906</v>
      </c>
      <c r="D929" s="2043">
        <v>13994909</v>
      </c>
      <c r="E929" s="2043">
        <v>354507760</v>
      </c>
      <c r="F929" s="2043">
        <v>998270454</v>
      </c>
      <c r="G929" s="2043">
        <v>993500545</v>
      </c>
      <c r="H929" s="2043">
        <v>1352778214</v>
      </c>
      <c r="I929" s="2043">
        <v>1348008305</v>
      </c>
    </row>
    <row r="930" spans="1:9" ht="14.5">
      <c r="A930" t="s">
        <v>10666</v>
      </c>
      <c r="B930" s="2113" t="str">
        <f t="shared" si="14"/>
        <v>231-902</v>
      </c>
      <c r="C930" t="s">
        <v>6907</v>
      </c>
      <c r="D930" s="2043">
        <v>5880710</v>
      </c>
      <c r="E930" s="2043">
        <v>397375100</v>
      </c>
      <c r="F930" s="2043">
        <v>5912403732</v>
      </c>
      <c r="G930" s="2043">
        <v>5910273022</v>
      </c>
      <c r="H930" s="2043">
        <v>6309778832</v>
      </c>
      <c r="I930" s="2043">
        <v>6307648122</v>
      </c>
    </row>
    <row r="931" spans="1:9" ht="14.5">
      <c r="A931" t="s">
        <v>10266</v>
      </c>
      <c r="B931" s="2113" t="str">
        <f t="shared" si="14"/>
        <v>232-901</v>
      </c>
      <c r="C931" t="s">
        <v>6908</v>
      </c>
      <c r="D931" s="2043">
        <v>4677277</v>
      </c>
      <c r="E931" s="2043">
        <v>19064380</v>
      </c>
      <c r="F931" s="2043">
        <v>90309500</v>
      </c>
      <c r="G931" s="2043">
        <v>88677223</v>
      </c>
      <c r="H931" s="2043">
        <v>109373880</v>
      </c>
      <c r="I931" s="2043">
        <v>107741603</v>
      </c>
    </row>
    <row r="932" spans="1:9" ht="14.5">
      <c r="A932" t="s">
        <v>10267</v>
      </c>
      <c r="B932" s="2113" t="str">
        <f t="shared" si="14"/>
        <v>232-902</v>
      </c>
      <c r="C932" t="s">
        <v>6909</v>
      </c>
      <c r="D932" s="2043">
        <v>14296316</v>
      </c>
      <c r="E932" s="2043">
        <v>0</v>
      </c>
      <c r="F932" s="2043">
        <v>421103111</v>
      </c>
      <c r="G932" s="2043">
        <v>415926795</v>
      </c>
      <c r="H932" s="2043">
        <v>421103111</v>
      </c>
      <c r="I932" s="2043">
        <v>415926795</v>
      </c>
    </row>
    <row r="933" spans="1:9" ht="14.5">
      <c r="A933" t="s">
        <v>10268</v>
      </c>
      <c r="B933" s="2113" t="str">
        <f t="shared" si="14"/>
        <v>232-903</v>
      </c>
      <c r="C933" t="s">
        <v>6910</v>
      </c>
      <c r="D933" s="2043">
        <v>105636121</v>
      </c>
      <c r="E933" s="2043">
        <v>58935620</v>
      </c>
      <c r="F933" s="2043">
        <v>1371380209</v>
      </c>
      <c r="G933" s="2043">
        <v>1331699088</v>
      </c>
      <c r="H933" s="2043">
        <v>1430315829</v>
      </c>
      <c r="I933" s="2043">
        <v>1390634708</v>
      </c>
    </row>
    <row r="934" spans="1:9" ht="14.5">
      <c r="A934" t="s">
        <v>10269</v>
      </c>
      <c r="B934" s="2113" t="str">
        <f t="shared" si="14"/>
        <v>232-904</v>
      </c>
      <c r="C934" t="s">
        <v>6911</v>
      </c>
      <c r="D934" s="2043">
        <v>10738825</v>
      </c>
      <c r="E934" s="2043">
        <v>0</v>
      </c>
      <c r="F934" s="2043">
        <v>222864530</v>
      </c>
      <c r="G934" s="2043">
        <v>219010705</v>
      </c>
      <c r="H934" s="2043">
        <v>222864530</v>
      </c>
      <c r="I934" s="2043">
        <v>219010705</v>
      </c>
    </row>
    <row r="935" spans="1:9" ht="14.5">
      <c r="A935" t="s">
        <v>10270</v>
      </c>
      <c r="B935" s="2113" t="str">
        <f t="shared" si="14"/>
        <v>233-901</v>
      </c>
      <c r="C935" t="s">
        <v>6912</v>
      </c>
      <c r="D935" s="2043">
        <v>221349130</v>
      </c>
      <c r="E935" s="2043">
        <v>0</v>
      </c>
      <c r="F935" s="2043">
        <v>2583474614</v>
      </c>
      <c r="G935" s="2043">
        <v>2499180484</v>
      </c>
      <c r="H935" s="2043">
        <v>2583474614</v>
      </c>
      <c r="I935" s="2043">
        <v>2499180484</v>
      </c>
    </row>
    <row r="936" spans="1:9" ht="14.5">
      <c r="A936" t="s">
        <v>10271</v>
      </c>
      <c r="B936" s="2113" t="str">
        <f t="shared" si="14"/>
        <v>233-903</v>
      </c>
      <c r="C936" t="s">
        <v>6913</v>
      </c>
      <c r="D936" s="2043">
        <v>3511908</v>
      </c>
      <c r="E936" s="2043">
        <v>0</v>
      </c>
      <c r="F936" s="2043">
        <v>336644952</v>
      </c>
      <c r="G936" s="2043">
        <v>335413044</v>
      </c>
      <c r="H936" s="2043">
        <v>336644952</v>
      </c>
      <c r="I936" s="2043">
        <v>335413044</v>
      </c>
    </row>
    <row r="937" spans="1:9" ht="14.5">
      <c r="A937" t="s">
        <v>10272</v>
      </c>
      <c r="B937" s="2113" t="str">
        <f t="shared" si="14"/>
        <v>234-902</v>
      </c>
      <c r="C937" t="s">
        <v>6914</v>
      </c>
      <c r="D937" s="2043">
        <v>78632703</v>
      </c>
      <c r="E937" s="2043">
        <v>0</v>
      </c>
      <c r="F937" s="2043">
        <v>922476739</v>
      </c>
      <c r="G937" s="2043">
        <v>893584036</v>
      </c>
      <c r="H937" s="2043">
        <v>922476739</v>
      </c>
      <c r="I937" s="2043">
        <v>893584036</v>
      </c>
    </row>
    <row r="938" spans="1:9" ht="14.5">
      <c r="A938" t="s">
        <v>10273</v>
      </c>
      <c r="B938" s="2113" t="str">
        <f t="shared" si="14"/>
        <v>234-903</v>
      </c>
      <c r="C938" t="s">
        <v>6047</v>
      </c>
      <c r="D938" s="2043">
        <v>33614448</v>
      </c>
      <c r="E938" s="2043">
        <v>0</v>
      </c>
      <c r="F938" s="2043">
        <v>319825515</v>
      </c>
      <c r="G938" s="2043">
        <v>307556067</v>
      </c>
      <c r="H938" s="2043">
        <v>319825515</v>
      </c>
      <c r="I938" s="2043">
        <v>307556067</v>
      </c>
    </row>
    <row r="939" spans="1:9" ht="14.5">
      <c r="A939" t="s">
        <v>10274</v>
      </c>
      <c r="B939" s="2113" t="str">
        <f t="shared" si="14"/>
        <v>234-904</v>
      </c>
      <c r="C939" t="s">
        <v>6915</v>
      </c>
      <c r="D939" s="2043">
        <v>38345087</v>
      </c>
      <c r="E939" s="2043">
        <v>0</v>
      </c>
      <c r="F939" s="2043">
        <v>341064472</v>
      </c>
      <c r="G939" s="2043">
        <v>327064385</v>
      </c>
      <c r="H939" s="2043">
        <v>341064472</v>
      </c>
      <c r="I939" s="2043">
        <v>327064385</v>
      </c>
    </row>
    <row r="940" spans="1:9" ht="14.5">
      <c r="A940" t="s">
        <v>10275</v>
      </c>
      <c r="B940" s="2113" t="str">
        <f t="shared" si="14"/>
        <v>234-905</v>
      </c>
      <c r="C940" t="s">
        <v>6916</v>
      </c>
      <c r="D940" s="2043">
        <v>13585523</v>
      </c>
      <c r="E940" s="2043">
        <v>0</v>
      </c>
      <c r="F940" s="2043">
        <v>146551933</v>
      </c>
      <c r="G940" s="2043">
        <v>141831410</v>
      </c>
      <c r="H940" s="2043">
        <v>146551933</v>
      </c>
      <c r="I940" s="2043">
        <v>141831410</v>
      </c>
    </row>
    <row r="941" spans="1:9" ht="14.5">
      <c r="A941" t="s">
        <v>10276</v>
      </c>
      <c r="B941" s="2113" t="str">
        <f t="shared" si="14"/>
        <v>234-906</v>
      </c>
      <c r="C941" t="s">
        <v>6917</v>
      </c>
      <c r="D941" s="2043">
        <v>92891578</v>
      </c>
      <c r="E941" s="2043">
        <v>0</v>
      </c>
      <c r="F941" s="2043">
        <v>834208324</v>
      </c>
      <c r="G941" s="2043">
        <v>801451746</v>
      </c>
      <c r="H941" s="2043">
        <v>834208324</v>
      </c>
      <c r="I941" s="2043">
        <v>801451746</v>
      </c>
    </row>
    <row r="942" spans="1:9" ht="14.5">
      <c r="A942" t="s">
        <v>10277</v>
      </c>
      <c r="B942" s="2113" t="str">
        <f t="shared" si="14"/>
        <v>234-907</v>
      </c>
      <c r="C942" t="s">
        <v>6918</v>
      </c>
      <c r="D942" s="2043">
        <v>80616265</v>
      </c>
      <c r="E942" s="2043">
        <v>0</v>
      </c>
      <c r="F942" s="2043">
        <v>897917938</v>
      </c>
      <c r="G942" s="2043">
        <v>869531673</v>
      </c>
      <c r="H942" s="2043">
        <v>897917938</v>
      </c>
      <c r="I942" s="2043">
        <v>869531673</v>
      </c>
    </row>
    <row r="943" spans="1:9" ht="14.5">
      <c r="A943" t="s">
        <v>10278</v>
      </c>
      <c r="B943" s="2113" t="str">
        <f t="shared" si="14"/>
        <v>234-909</v>
      </c>
      <c r="C943" t="s">
        <v>6919</v>
      </c>
      <c r="D943" s="2043">
        <v>10959047</v>
      </c>
      <c r="E943" s="2043">
        <v>0</v>
      </c>
      <c r="F943" s="2043">
        <v>66231183</v>
      </c>
      <c r="G943" s="2043">
        <v>62517136</v>
      </c>
      <c r="H943" s="2043">
        <v>66231183</v>
      </c>
      <c r="I943" s="2043">
        <v>62517136</v>
      </c>
    </row>
    <row r="944" spans="1:9" ht="14.5">
      <c r="A944" t="s">
        <v>10279</v>
      </c>
      <c r="B944" s="2113" t="str">
        <f t="shared" si="14"/>
        <v>235-901</v>
      </c>
      <c r="C944" t="s">
        <v>6920</v>
      </c>
      <c r="D944" s="2043">
        <v>15779615</v>
      </c>
      <c r="E944" s="2043">
        <v>0</v>
      </c>
      <c r="F944" s="2043">
        <v>234041315</v>
      </c>
      <c r="G944" s="2043">
        <v>228731700</v>
      </c>
      <c r="H944" s="2043">
        <v>234041315</v>
      </c>
      <c r="I944" s="2043">
        <v>228731700</v>
      </c>
    </row>
    <row r="945" spans="1:9" ht="14.5">
      <c r="A945" t="s">
        <v>10280</v>
      </c>
      <c r="B945" s="2113" t="str">
        <f t="shared" si="14"/>
        <v>235-902</v>
      </c>
      <c r="C945" t="s">
        <v>6921</v>
      </c>
      <c r="D945" s="2043">
        <v>417356057</v>
      </c>
      <c r="E945" s="2043">
        <v>0</v>
      </c>
      <c r="F945" s="2043">
        <v>6295652931</v>
      </c>
      <c r="G945" s="2043">
        <v>6136416874</v>
      </c>
      <c r="H945" s="2043">
        <v>6295652931</v>
      </c>
      <c r="I945" s="2043">
        <v>6136416874</v>
      </c>
    </row>
    <row r="946" spans="1:9" ht="14.5">
      <c r="A946" t="s">
        <v>10281</v>
      </c>
      <c r="B946" s="2113" t="str">
        <f t="shared" si="14"/>
        <v>235-904</v>
      </c>
      <c r="C946" t="s">
        <v>6922</v>
      </c>
      <c r="D946" s="2043">
        <v>11171045</v>
      </c>
      <c r="E946" s="2043">
        <v>0</v>
      </c>
      <c r="F946" s="2043">
        <v>282625232</v>
      </c>
      <c r="G946" s="2043">
        <v>278534187</v>
      </c>
      <c r="H946" s="2043">
        <v>282625232</v>
      </c>
      <c r="I946" s="2043">
        <v>278534187</v>
      </c>
    </row>
    <row r="947" spans="1:9" ht="14.5">
      <c r="A947" t="s">
        <v>10282</v>
      </c>
      <c r="B947" s="2113" t="str">
        <f t="shared" si="14"/>
        <v>236-901</v>
      </c>
      <c r="C947" t="s">
        <v>6923</v>
      </c>
      <c r="D947" s="2043">
        <v>29991611</v>
      </c>
      <c r="E947" s="2043">
        <v>0</v>
      </c>
      <c r="F947" s="2043">
        <v>458853895</v>
      </c>
      <c r="G947" s="2043">
        <v>450027284</v>
      </c>
      <c r="H947" s="2043">
        <v>458853895</v>
      </c>
      <c r="I947" s="2043">
        <v>450027284</v>
      </c>
    </row>
    <row r="948" spans="1:9" ht="14.5">
      <c r="A948" t="s">
        <v>10283</v>
      </c>
      <c r="B948" s="2113" t="str">
        <f t="shared" si="14"/>
        <v>236-902</v>
      </c>
      <c r="C948" t="s">
        <v>6924</v>
      </c>
      <c r="D948" s="2043">
        <v>208177536</v>
      </c>
      <c r="E948" s="2043">
        <v>0</v>
      </c>
      <c r="F948" s="2043">
        <v>3766126940</v>
      </c>
      <c r="G948" s="2043">
        <v>3700509404</v>
      </c>
      <c r="H948" s="2043">
        <v>3766126940</v>
      </c>
      <c r="I948" s="2043">
        <v>3700509404</v>
      </c>
    </row>
    <row r="949" spans="1:9" ht="14.5">
      <c r="A949" t="s">
        <v>10284</v>
      </c>
      <c r="B949" s="2113" t="str">
        <f t="shared" si="14"/>
        <v>237-902</v>
      </c>
      <c r="C949" t="s">
        <v>6925</v>
      </c>
      <c r="D949" s="2043">
        <v>41581850</v>
      </c>
      <c r="E949" s="2043">
        <v>0</v>
      </c>
      <c r="F949" s="2043">
        <v>742524577</v>
      </c>
      <c r="G949" s="2043">
        <v>727957727</v>
      </c>
      <c r="H949" s="2043">
        <v>742524577</v>
      </c>
      <c r="I949" s="2043">
        <v>727957727</v>
      </c>
    </row>
    <row r="950" spans="1:9" ht="14.5">
      <c r="A950" t="s">
        <v>10285</v>
      </c>
      <c r="B950" s="2113" t="str">
        <f t="shared" si="14"/>
        <v>237-904</v>
      </c>
      <c r="C950" t="s">
        <v>6926</v>
      </c>
      <c r="D950" s="2043">
        <v>193015809</v>
      </c>
      <c r="E950" s="2043">
        <v>72030441</v>
      </c>
      <c r="F950" s="2043">
        <v>4515357845</v>
      </c>
      <c r="G950" s="2043">
        <v>4444622036</v>
      </c>
      <c r="H950" s="2043">
        <v>4587388286</v>
      </c>
      <c r="I950" s="2043">
        <v>4516652477</v>
      </c>
    </row>
    <row r="951" spans="1:9" ht="14.5">
      <c r="A951" t="s">
        <v>10667</v>
      </c>
      <c r="B951" s="2113" t="str">
        <f t="shared" si="14"/>
        <v>237-905</v>
      </c>
      <c r="C951" t="s">
        <v>6927</v>
      </c>
      <c r="D951" s="2043">
        <v>43985567</v>
      </c>
      <c r="E951" s="2043">
        <v>26806660</v>
      </c>
      <c r="F951" s="2043">
        <v>1782980697</v>
      </c>
      <c r="G951" s="2043">
        <v>1767720130</v>
      </c>
      <c r="H951" s="2043">
        <v>1809787357</v>
      </c>
      <c r="I951" s="2043">
        <v>1794526790</v>
      </c>
    </row>
    <row r="952" spans="1:9" ht="14.5">
      <c r="A952" t="s">
        <v>10668</v>
      </c>
      <c r="B952" s="2113" t="str">
        <f t="shared" si="14"/>
        <v>238-902</v>
      </c>
      <c r="C952" t="s">
        <v>8436</v>
      </c>
      <c r="D952" s="2043">
        <v>54587880</v>
      </c>
      <c r="E952" s="2043">
        <v>0</v>
      </c>
      <c r="F952" s="2043">
        <v>3314482463</v>
      </c>
      <c r="G952" s="2043">
        <v>3294349583</v>
      </c>
      <c r="H952" s="2043">
        <v>3314482463</v>
      </c>
      <c r="I952" s="2043">
        <v>3294349583</v>
      </c>
    </row>
    <row r="953" spans="1:9" ht="14.5">
      <c r="A953" t="s">
        <v>10286</v>
      </c>
      <c r="B953" s="2113" t="str">
        <f t="shared" si="14"/>
        <v>238-904</v>
      </c>
      <c r="C953" t="s">
        <v>6928</v>
      </c>
      <c r="D953" s="2043">
        <v>2500460</v>
      </c>
      <c r="E953" s="2043">
        <v>0</v>
      </c>
      <c r="F953" s="2043">
        <v>179512888</v>
      </c>
      <c r="G953" s="2043">
        <v>178827428</v>
      </c>
      <c r="H953" s="2043">
        <v>179512888</v>
      </c>
      <c r="I953" s="2043">
        <v>178827428</v>
      </c>
    </row>
    <row r="954" spans="1:9" ht="14.5">
      <c r="A954" t="s">
        <v>10287</v>
      </c>
      <c r="B954" s="2113" t="str">
        <f t="shared" si="14"/>
        <v>239-901</v>
      </c>
      <c r="C954" t="s">
        <v>6929</v>
      </c>
      <c r="D954" s="2043">
        <v>180001653</v>
      </c>
      <c r="E954" s="2043">
        <v>0</v>
      </c>
      <c r="F954" s="2043">
        <v>3211500555</v>
      </c>
      <c r="G954" s="2043">
        <v>3143383902</v>
      </c>
      <c r="H954" s="2043">
        <v>3211500555</v>
      </c>
      <c r="I954" s="2043">
        <v>3143383902</v>
      </c>
    </row>
    <row r="955" spans="1:9" ht="14.5">
      <c r="A955" t="s">
        <v>10288</v>
      </c>
      <c r="B955" s="2113" t="str">
        <f t="shared" si="14"/>
        <v>239-903</v>
      </c>
      <c r="C955" t="s">
        <v>6930</v>
      </c>
      <c r="D955" s="2043">
        <v>23278763</v>
      </c>
      <c r="E955" s="2043">
        <v>0</v>
      </c>
      <c r="F955" s="2043">
        <v>709065314</v>
      </c>
      <c r="G955" s="2043">
        <v>700786551</v>
      </c>
      <c r="H955" s="2043">
        <v>709065314</v>
      </c>
      <c r="I955" s="2043">
        <v>700786551</v>
      </c>
    </row>
    <row r="956" spans="1:9" ht="14.5">
      <c r="A956" t="s">
        <v>10289</v>
      </c>
      <c r="B956" s="2113" t="str">
        <f t="shared" si="14"/>
        <v>240-901</v>
      </c>
      <c r="C956" t="s">
        <v>6931</v>
      </c>
      <c r="D956" s="2043">
        <v>223951818</v>
      </c>
      <c r="E956" s="2043">
        <v>0</v>
      </c>
      <c r="F956" s="2043">
        <v>2565191500</v>
      </c>
      <c r="G956" s="2043">
        <v>2484864682</v>
      </c>
      <c r="H956" s="2043">
        <v>2565191500</v>
      </c>
      <c r="I956" s="2043">
        <v>2484864682</v>
      </c>
    </row>
    <row r="957" spans="1:9" ht="14.5">
      <c r="A957" t="s">
        <v>10290</v>
      </c>
      <c r="B957" s="2113" t="str">
        <f t="shared" si="14"/>
        <v>240-903</v>
      </c>
      <c r="C957" t="s">
        <v>6932</v>
      </c>
      <c r="D957" s="2043">
        <v>719813545</v>
      </c>
      <c r="E957" s="2043">
        <v>0</v>
      </c>
      <c r="F957" s="2043">
        <v>17815681444</v>
      </c>
      <c r="G957" s="2043">
        <v>17553547899</v>
      </c>
      <c r="H957" s="2043">
        <v>17815681444</v>
      </c>
      <c r="I957" s="2043">
        <v>17553547899</v>
      </c>
    </row>
    <row r="958" spans="1:9" ht="14.5">
      <c r="A958" t="s">
        <v>10291</v>
      </c>
      <c r="B958" s="2113" t="str">
        <f t="shared" si="14"/>
        <v>240-904</v>
      </c>
      <c r="C958" t="s">
        <v>6933</v>
      </c>
      <c r="D958" s="2043">
        <v>4506631</v>
      </c>
      <c r="E958" s="2043">
        <v>533070090</v>
      </c>
      <c r="F958" s="2043">
        <v>515590606</v>
      </c>
      <c r="G958" s="2043">
        <v>514278975</v>
      </c>
      <c r="H958" s="2043">
        <v>1048660696</v>
      </c>
      <c r="I958" s="2043">
        <v>1047349065</v>
      </c>
    </row>
    <row r="959" spans="1:9" ht="14.5">
      <c r="A959" t="s">
        <v>10292</v>
      </c>
      <c r="B959" s="2113" t="str">
        <f t="shared" si="14"/>
        <v>241-901</v>
      </c>
      <c r="C959" t="s">
        <v>6934</v>
      </c>
      <c r="D959" s="2043">
        <v>26638503</v>
      </c>
      <c r="E959" s="2043">
        <v>0</v>
      </c>
      <c r="F959" s="2043">
        <v>450028779</v>
      </c>
      <c r="G959" s="2043">
        <v>440220276</v>
      </c>
      <c r="H959" s="2043">
        <v>450028779</v>
      </c>
      <c r="I959" s="2043">
        <v>440220276</v>
      </c>
    </row>
    <row r="960" spans="1:9" ht="14.5">
      <c r="A960" t="s">
        <v>10293</v>
      </c>
      <c r="B960" s="2113" t="str">
        <f t="shared" si="14"/>
        <v>241-902</v>
      </c>
      <c r="C960" t="s">
        <v>6935</v>
      </c>
      <c r="D960" s="2043">
        <v>26802924</v>
      </c>
      <c r="E960" s="2043">
        <v>0</v>
      </c>
      <c r="F960" s="2043">
        <v>432343568</v>
      </c>
      <c r="G960" s="2043">
        <v>422145644</v>
      </c>
      <c r="H960" s="2043">
        <v>432343568</v>
      </c>
      <c r="I960" s="2043">
        <v>422145644</v>
      </c>
    </row>
    <row r="961" spans="1:9" ht="14.5">
      <c r="A961" t="s">
        <v>10294</v>
      </c>
      <c r="B961" s="2113" t="str">
        <f t="shared" si="14"/>
        <v>241-903</v>
      </c>
      <c r="C961" t="s">
        <v>6936</v>
      </c>
      <c r="D961" s="2043">
        <v>90639906</v>
      </c>
      <c r="E961" s="2043">
        <v>0</v>
      </c>
      <c r="F961" s="2043">
        <v>1387603330</v>
      </c>
      <c r="G961" s="2043">
        <v>1352853424</v>
      </c>
      <c r="H961" s="2043">
        <v>1387603330</v>
      </c>
      <c r="I961" s="2043">
        <v>1352853424</v>
      </c>
    </row>
    <row r="962" spans="1:9" ht="14.5">
      <c r="A962" t="s">
        <v>10295</v>
      </c>
      <c r="B962" s="2113" t="str">
        <f t="shared" si="14"/>
        <v>241-904</v>
      </c>
      <c r="C962" t="s">
        <v>6937</v>
      </c>
      <c r="D962" s="2043">
        <v>61899908</v>
      </c>
      <c r="E962" s="2043">
        <v>0</v>
      </c>
      <c r="F962" s="2043">
        <v>1329946258</v>
      </c>
      <c r="G962" s="2043">
        <v>1306806350</v>
      </c>
      <c r="H962" s="2043">
        <v>1329946258</v>
      </c>
      <c r="I962" s="2043">
        <v>1306806350</v>
      </c>
    </row>
    <row r="963" spans="1:9" ht="14.5">
      <c r="A963" t="s">
        <v>10296</v>
      </c>
      <c r="B963" s="2113" t="str">
        <f t="shared" ref="B963:B1017" si="15">CONCATENATE(RIGHT(LEFT(CONCATENATE("000",A963),6),3),"-",(LEFT(RIGHT(CONCATENATE("000",A963),6),3)))</f>
        <v>241-906</v>
      </c>
      <c r="C963" t="s">
        <v>6938</v>
      </c>
      <c r="D963" s="2043">
        <v>15149255</v>
      </c>
      <c r="E963" s="2043">
        <v>0</v>
      </c>
      <c r="F963" s="2043">
        <v>287820022</v>
      </c>
      <c r="G963" s="2043">
        <v>281985767</v>
      </c>
      <c r="H963" s="2043">
        <v>287820022</v>
      </c>
      <c r="I963" s="2043">
        <v>281985767</v>
      </c>
    </row>
    <row r="964" spans="1:9" ht="14.5">
      <c r="A964" t="s">
        <v>10297</v>
      </c>
      <c r="B964" s="2113" t="str">
        <f t="shared" si="15"/>
        <v>242-902</v>
      </c>
      <c r="C964" t="s">
        <v>6939</v>
      </c>
      <c r="D964" s="2043">
        <v>13479763</v>
      </c>
      <c r="E964" s="2043">
        <v>0</v>
      </c>
      <c r="F964" s="2043">
        <v>139031867</v>
      </c>
      <c r="G964" s="2043">
        <v>134282104</v>
      </c>
      <c r="H964" s="2043">
        <v>139031867</v>
      </c>
      <c r="I964" s="2043">
        <v>134282104</v>
      </c>
    </row>
    <row r="965" spans="1:9" ht="14.5">
      <c r="A965" t="s">
        <v>10298</v>
      </c>
      <c r="B965" s="2113" t="str">
        <f t="shared" si="15"/>
        <v>242-903</v>
      </c>
      <c r="C965" t="s">
        <v>6940</v>
      </c>
      <c r="D965" s="2043">
        <v>10090520</v>
      </c>
      <c r="E965" s="2043">
        <v>0</v>
      </c>
      <c r="F965" s="2043">
        <v>245191642</v>
      </c>
      <c r="G965" s="2043">
        <v>241414462</v>
      </c>
      <c r="H965" s="2043">
        <v>245191642</v>
      </c>
      <c r="I965" s="2043">
        <v>241414462</v>
      </c>
    </row>
    <row r="966" spans="1:9" ht="14.5">
      <c r="A966" t="s">
        <v>10299</v>
      </c>
      <c r="B966" s="2113" t="str">
        <f t="shared" si="15"/>
        <v>242-905</v>
      </c>
      <c r="C966" t="s">
        <v>6941</v>
      </c>
      <c r="D966" s="2043">
        <v>847790</v>
      </c>
      <c r="E966" s="2043">
        <v>0</v>
      </c>
      <c r="F966" s="2043">
        <v>471957069</v>
      </c>
      <c r="G966" s="2043">
        <v>471649279</v>
      </c>
      <c r="H966" s="2043">
        <v>471957069</v>
      </c>
      <c r="I966" s="2043">
        <v>471649279</v>
      </c>
    </row>
    <row r="967" spans="1:9" ht="14.5">
      <c r="A967" t="s">
        <v>10300</v>
      </c>
      <c r="B967" s="2113" t="str">
        <f t="shared" si="15"/>
        <v>242-906</v>
      </c>
      <c r="C967" t="s">
        <v>6942</v>
      </c>
      <c r="D967" s="2043">
        <v>4940860</v>
      </c>
      <c r="E967" s="2043">
        <v>17565120</v>
      </c>
      <c r="F967" s="2043">
        <v>855134130</v>
      </c>
      <c r="G967" s="2043">
        <v>853373270</v>
      </c>
      <c r="H967" s="2043">
        <v>872699250</v>
      </c>
      <c r="I967" s="2043">
        <v>870938390</v>
      </c>
    </row>
    <row r="968" spans="1:9" ht="14.5">
      <c r="A968" t="s">
        <v>10301</v>
      </c>
      <c r="B968" s="2113" t="str">
        <f t="shared" si="15"/>
        <v>243-901</v>
      </c>
      <c r="C968" t="s">
        <v>6943</v>
      </c>
      <c r="D968" s="2043">
        <v>85731884</v>
      </c>
      <c r="E968" s="2043">
        <v>0</v>
      </c>
      <c r="F968" s="2043">
        <v>973936913</v>
      </c>
      <c r="G968" s="2043">
        <v>941725029</v>
      </c>
      <c r="H968" s="2043">
        <v>973936913</v>
      </c>
      <c r="I968" s="2043">
        <v>941725029</v>
      </c>
    </row>
    <row r="969" spans="1:9" ht="14.5">
      <c r="A969" t="s">
        <v>10302</v>
      </c>
      <c r="B969" s="2113" t="str">
        <f t="shared" si="15"/>
        <v>243-902</v>
      </c>
      <c r="C969" t="s">
        <v>6944</v>
      </c>
      <c r="D969" s="2043">
        <v>15404836</v>
      </c>
      <c r="E969" s="2043">
        <v>0</v>
      </c>
      <c r="F969" s="2043">
        <v>186773456</v>
      </c>
      <c r="G969" s="2043">
        <v>181628620</v>
      </c>
      <c r="H969" s="2043">
        <v>186773456</v>
      </c>
      <c r="I969" s="2043">
        <v>181628620</v>
      </c>
    </row>
    <row r="970" spans="1:9" ht="14.5">
      <c r="A970" t="s">
        <v>10303</v>
      </c>
      <c r="B970" s="2113" t="str">
        <f t="shared" si="15"/>
        <v>243-903</v>
      </c>
      <c r="C970" t="s">
        <v>6945</v>
      </c>
      <c r="D970" s="2043">
        <v>65845593</v>
      </c>
      <c r="E970" s="2043">
        <v>0</v>
      </c>
      <c r="F970" s="2043">
        <v>641549272</v>
      </c>
      <c r="G970" s="2043">
        <v>616698679</v>
      </c>
      <c r="H970" s="2043">
        <v>641549272</v>
      </c>
      <c r="I970" s="2043">
        <v>616698679</v>
      </c>
    </row>
    <row r="971" spans="1:9" ht="14.5">
      <c r="A971" t="s">
        <v>10304</v>
      </c>
      <c r="B971" s="2113" t="str">
        <f t="shared" si="15"/>
        <v>243-905</v>
      </c>
      <c r="C971" t="s">
        <v>6946</v>
      </c>
      <c r="D971" s="2043">
        <v>395337025</v>
      </c>
      <c r="E971" s="2043">
        <v>0</v>
      </c>
      <c r="F971" s="2043">
        <v>4907126650</v>
      </c>
      <c r="G971" s="2043">
        <v>4755644625</v>
      </c>
      <c r="H971" s="2043">
        <v>4907126650</v>
      </c>
      <c r="I971" s="2043">
        <v>4755644625</v>
      </c>
    </row>
    <row r="972" spans="1:9" ht="14.5">
      <c r="A972" t="s">
        <v>10305</v>
      </c>
      <c r="B972" s="2113" t="str">
        <f t="shared" si="15"/>
        <v>243-906</v>
      </c>
      <c r="C972" t="s">
        <v>6947</v>
      </c>
      <c r="D972" s="2043">
        <v>22214002</v>
      </c>
      <c r="E972" s="2043">
        <v>0</v>
      </c>
      <c r="F972" s="2043">
        <v>218021939</v>
      </c>
      <c r="G972" s="2043">
        <v>209622937</v>
      </c>
      <c r="H972" s="2043">
        <v>218021939</v>
      </c>
      <c r="I972" s="2043">
        <v>209622937</v>
      </c>
    </row>
    <row r="973" spans="1:9" ht="14.5">
      <c r="A973" t="s">
        <v>10669</v>
      </c>
      <c r="B973" s="2113" t="str">
        <f t="shared" si="15"/>
        <v>244-901</v>
      </c>
      <c r="C973" t="s">
        <v>6948</v>
      </c>
      <c r="D973" s="2043">
        <v>838610</v>
      </c>
      <c r="E973" s="2043">
        <v>60560900</v>
      </c>
      <c r="F973" s="2043">
        <v>82320111</v>
      </c>
      <c r="G973" s="2043">
        <v>82006501</v>
      </c>
      <c r="H973" s="2043">
        <v>142881011</v>
      </c>
      <c r="I973" s="2043">
        <v>142567401</v>
      </c>
    </row>
    <row r="974" spans="1:9" ht="14.5">
      <c r="A974" t="s">
        <v>10670</v>
      </c>
      <c r="B974" s="2113" t="str">
        <f t="shared" si="15"/>
        <v>244-903</v>
      </c>
      <c r="C974" t="s">
        <v>6949</v>
      </c>
      <c r="D974" s="2043">
        <v>58277592</v>
      </c>
      <c r="E974" s="2043">
        <v>264340140</v>
      </c>
      <c r="F974" s="2043">
        <v>911350140</v>
      </c>
      <c r="G974" s="2043">
        <v>889342548</v>
      </c>
      <c r="H974" s="2043">
        <v>1175690280</v>
      </c>
      <c r="I974" s="2043">
        <v>1153682688</v>
      </c>
    </row>
    <row r="975" spans="1:9" ht="14.5">
      <c r="A975" t="s">
        <v>10306</v>
      </c>
      <c r="B975" s="2113" t="str">
        <f t="shared" si="15"/>
        <v>244-905</v>
      </c>
      <c r="C975" t="s">
        <v>6054</v>
      </c>
      <c r="D975" s="2043">
        <v>1427380</v>
      </c>
      <c r="E975" s="2043">
        <v>22104230</v>
      </c>
      <c r="F975" s="2043">
        <v>44692577</v>
      </c>
      <c r="G975" s="2043">
        <v>44150197</v>
      </c>
      <c r="H975" s="2043">
        <v>66796807</v>
      </c>
      <c r="I975" s="2043">
        <v>66254427</v>
      </c>
    </row>
    <row r="976" spans="1:9" ht="14.5">
      <c r="A976" t="s">
        <v>10307</v>
      </c>
      <c r="B976" s="2113" t="str">
        <f t="shared" si="15"/>
        <v>245-901</v>
      </c>
      <c r="C976" t="s">
        <v>6950</v>
      </c>
      <c r="D976" s="2043">
        <v>6541106</v>
      </c>
      <c r="E976" s="2043">
        <v>0</v>
      </c>
      <c r="F976" s="2043">
        <v>40238927</v>
      </c>
      <c r="G976" s="2043">
        <v>37957821</v>
      </c>
      <c r="H976" s="2043">
        <v>40238927</v>
      </c>
      <c r="I976" s="2043">
        <v>37957821</v>
      </c>
    </row>
    <row r="977" spans="1:9" ht="14.5">
      <c r="A977" t="s">
        <v>10308</v>
      </c>
      <c r="B977" s="2113" t="str">
        <f t="shared" si="15"/>
        <v>245-902</v>
      </c>
      <c r="C977" t="s">
        <v>6951</v>
      </c>
      <c r="D977" s="2043">
        <v>29739005</v>
      </c>
      <c r="E977" s="2043">
        <v>217983855</v>
      </c>
      <c r="F977" s="2043">
        <v>279739808</v>
      </c>
      <c r="G977" s="2043">
        <v>269155803</v>
      </c>
      <c r="H977" s="2043">
        <v>497723663</v>
      </c>
      <c r="I977" s="2043">
        <v>487139658</v>
      </c>
    </row>
    <row r="978" spans="1:9" ht="14.5">
      <c r="A978" t="s">
        <v>10309</v>
      </c>
      <c r="B978" s="2113" t="str">
        <f t="shared" si="15"/>
        <v>245-903</v>
      </c>
      <c r="C978" t="s">
        <v>6952</v>
      </c>
      <c r="D978" s="2043">
        <v>39836979</v>
      </c>
      <c r="E978" s="2043">
        <v>41173250</v>
      </c>
      <c r="F978" s="2043">
        <v>330005875</v>
      </c>
      <c r="G978" s="2043">
        <v>315683896</v>
      </c>
      <c r="H978" s="2043">
        <v>371179125</v>
      </c>
      <c r="I978" s="2043">
        <v>356857146</v>
      </c>
    </row>
    <row r="979" spans="1:9" ht="14.5">
      <c r="A979" t="s">
        <v>10310</v>
      </c>
      <c r="B979" s="2113" t="str">
        <f t="shared" si="15"/>
        <v>245-904</v>
      </c>
      <c r="C979" t="s">
        <v>6953</v>
      </c>
      <c r="D979" s="2043">
        <v>6596494</v>
      </c>
      <c r="E979" s="2043">
        <v>0</v>
      </c>
      <c r="F979" s="2043">
        <v>294562558</v>
      </c>
      <c r="G979" s="2043">
        <v>292211064</v>
      </c>
      <c r="H979" s="2043">
        <v>294562558</v>
      </c>
      <c r="I979" s="2043">
        <v>292211064</v>
      </c>
    </row>
    <row r="980" spans="1:9" ht="14.5">
      <c r="A980" t="s">
        <v>10311</v>
      </c>
      <c r="B980" s="2113" t="str">
        <f t="shared" si="15"/>
        <v>246-902</v>
      </c>
      <c r="C980" t="s">
        <v>6954</v>
      </c>
      <c r="D980" s="2043">
        <v>32483788</v>
      </c>
      <c r="E980" s="2043">
        <v>0</v>
      </c>
      <c r="F980" s="2043">
        <v>502539266</v>
      </c>
      <c r="G980" s="2043">
        <v>492300478</v>
      </c>
      <c r="H980" s="2043">
        <v>502539266</v>
      </c>
      <c r="I980" s="2043">
        <v>492300478</v>
      </c>
    </row>
    <row r="981" spans="1:9" ht="14.5">
      <c r="A981" t="s">
        <v>10312</v>
      </c>
      <c r="B981" s="2113" t="str">
        <f t="shared" si="15"/>
        <v>246-904</v>
      </c>
      <c r="C981" t="s">
        <v>6955</v>
      </c>
      <c r="D981" s="2043">
        <v>591954218</v>
      </c>
      <c r="E981" s="2043">
        <v>0</v>
      </c>
      <c r="F981" s="2043">
        <v>12017369568</v>
      </c>
      <c r="G981" s="2043">
        <v>11781635350</v>
      </c>
      <c r="H981" s="2043">
        <v>12017369568</v>
      </c>
      <c r="I981" s="2043">
        <v>11781635350</v>
      </c>
    </row>
    <row r="982" spans="1:9" ht="14.5">
      <c r="A982" t="s">
        <v>10313</v>
      </c>
      <c r="B982" s="2113" t="str">
        <f t="shared" si="15"/>
        <v>246-905</v>
      </c>
      <c r="C982" t="s">
        <v>6956</v>
      </c>
      <c r="D982" s="2043">
        <v>16759296</v>
      </c>
      <c r="E982" s="2043">
        <v>0</v>
      </c>
      <c r="F982" s="2043">
        <v>176729976</v>
      </c>
      <c r="G982" s="2043">
        <v>170365680</v>
      </c>
      <c r="H982" s="2043">
        <v>176729976</v>
      </c>
      <c r="I982" s="2043">
        <v>170365680</v>
      </c>
    </row>
    <row r="983" spans="1:9" ht="14.5">
      <c r="A983" t="s">
        <v>10314</v>
      </c>
      <c r="B983" s="2113" t="str">
        <f t="shared" si="15"/>
        <v>246-906</v>
      </c>
      <c r="C983" t="s">
        <v>6957</v>
      </c>
      <c r="D983" s="2043">
        <v>241857035</v>
      </c>
      <c r="E983" s="2043">
        <v>0</v>
      </c>
      <c r="F983" s="2043">
        <v>4203403777</v>
      </c>
      <c r="G983" s="2043">
        <v>4106941742</v>
      </c>
      <c r="H983" s="2043">
        <v>4203403777</v>
      </c>
      <c r="I983" s="2043">
        <v>4106941742</v>
      </c>
    </row>
    <row r="984" spans="1:9" ht="14.5">
      <c r="A984" t="s">
        <v>10315</v>
      </c>
      <c r="B984" s="2113" t="str">
        <f t="shared" si="15"/>
        <v>246-907</v>
      </c>
      <c r="C984" t="s">
        <v>6958</v>
      </c>
      <c r="D984" s="2043">
        <v>118281641</v>
      </c>
      <c r="E984" s="2043">
        <v>0</v>
      </c>
      <c r="F984" s="2043">
        <v>1742807844</v>
      </c>
      <c r="G984" s="2043">
        <v>1695956203</v>
      </c>
      <c r="H984" s="2043">
        <v>1742807844</v>
      </c>
      <c r="I984" s="2043">
        <v>1695956203</v>
      </c>
    </row>
    <row r="985" spans="1:9" ht="14.5">
      <c r="A985" t="s">
        <v>10316</v>
      </c>
      <c r="B985" s="2113" t="str">
        <f t="shared" si="15"/>
        <v>246-908</v>
      </c>
      <c r="C985" t="s">
        <v>6959</v>
      </c>
      <c r="D985" s="2043">
        <v>153737138</v>
      </c>
      <c r="E985" s="2043">
        <v>0</v>
      </c>
      <c r="F985" s="2043">
        <v>3571674970</v>
      </c>
      <c r="G985" s="2043">
        <v>3511297832</v>
      </c>
      <c r="H985" s="2043">
        <v>3571674970</v>
      </c>
      <c r="I985" s="2043">
        <v>3511297832</v>
      </c>
    </row>
    <row r="986" spans="1:9" ht="14.5">
      <c r="A986" t="s">
        <v>10671</v>
      </c>
      <c r="B986" s="2113" t="str">
        <f t="shared" si="15"/>
        <v>246-909</v>
      </c>
      <c r="C986" t="s">
        <v>6960</v>
      </c>
      <c r="D986" s="2043">
        <v>1349429159</v>
      </c>
      <c r="E986" s="2043">
        <v>0</v>
      </c>
      <c r="F986" s="2043">
        <v>40562099988</v>
      </c>
      <c r="G986" s="2043">
        <v>40024785829</v>
      </c>
      <c r="H986" s="2043">
        <v>40562099988</v>
      </c>
      <c r="I986" s="2043">
        <v>40024785829</v>
      </c>
    </row>
    <row r="987" spans="1:9" ht="14.5">
      <c r="A987" t="s">
        <v>10317</v>
      </c>
      <c r="B987" s="2113" t="str">
        <f t="shared" si="15"/>
        <v>246-911</v>
      </c>
      <c r="C987" t="s">
        <v>6961</v>
      </c>
      <c r="D987" s="2043">
        <v>94925168</v>
      </c>
      <c r="E987" s="2043">
        <v>0</v>
      </c>
      <c r="F987" s="2043">
        <v>1356905900</v>
      </c>
      <c r="G987" s="2043">
        <v>1319445732</v>
      </c>
      <c r="H987" s="2043">
        <v>1356905900</v>
      </c>
      <c r="I987" s="2043">
        <v>1319445732</v>
      </c>
    </row>
    <row r="988" spans="1:9" ht="14.5">
      <c r="A988" t="s">
        <v>10672</v>
      </c>
      <c r="B988" s="2113" t="str">
        <f t="shared" si="15"/>
        <v>246-912</v>
      </c>
      <c r="C988" t="s">
        <v>6962</v>
      </c>
      <c r="D988" s="2043">
        <v>22265455</v>
      </c>
      <c r="E988" s="2043">
        <v>0</v>
      </c>
      <c r="F988" s="2043">
        <v>292847973</v>
      </c>
      <c r="G988" s="2043">
        <v>284277518</v>
      </c>
      <c r="H988" s="2043">
        <v>292847973</v>
      </c>
      <c r="I988" s="2043">
        <v>284277518</v>
      </c>
    </row>
    <row r="989" spans="1:9" ht="14.5">
      <c r="A989" t="s">
        <v>10673</v>
      </c>
      <c r="B989" s="2113" t="str">
        <f t="shared" si="15"/>
        <v>246-913</v>
      </c>
      <c r="C989" t="s">
        <v>6963</v>
      </c>
      <c r="D989" s="2043">
        <v>1179238211</v>
      </c>
      <c r="E989" s="2043">
        <v>0</v>
      </c>
      <c r="F989" s="2043">
        <v>28942493551</v>
      </c>
      <c r="G989" s="2043">
        <v>28475065340</v>
      </c>
      <c r="H989" s="2043">
        <v>28942493551</v>
      </c>
      <c r="I989" s="2043">
        <v>28475065340</v>
      </c>
    </row>
    <row r="990" spans="1:9" ht="14.5">
      <c r="A990" t="s">
        <v>10318</v>
      </c>
      <c r="B990" s="2113" t="str">
        <f t="shared" si="15"/>
        <v>246-914</v>
      </c>
      <c r="C990" t="s">
        <v>6964</v>
      </c>
      <c r="D990" s="2043">
        <v>6902073</v>
      </c>
      <c r="E990" s="2043">
        <v>0</v>
      </c>
      <c r="F990" s="2043">
        <v>110265548</v>
      </c>
      <c r="G990" s="2043">
        <v>107638475</v>
      </c>
      <c r="H990" s="2043">
        <v>110265548</v>
      </c>
      <c r="I990" s="2043">
        <v>107638475</v>
      </c>
    </row>
    <row r="991" spans="1:9" ht="14.5">
      <c r="A991" t="s">
        <v>10319</v>
      </c>
      <c r="B991" s="2113" t="str">
        <f t="shared" si="15"/>
        <v>247-901</v>
      </c>
      <c r="C991" t="s">
        <v>6965</v>
      </c>
      <c r="D991" s="2043">
        <v>146437141</v>
      </c>
      <c r="E991" s="2043">
        <v>0</v>
      </c>
      <c r="F991" s="2043">
        <v>1669196436</v>
      </c>
      <c r="G991" s="2043">
        <v>1614304295</v>
      </c>
      <c r="H991" s="2043">
        <v>1669196436</v>
      </c>
      <c r="I991" s="2043">
        <v>1614304295</v>
      </c>
    </row>
    <row r="992" spans="1:9" ht="14.5">
      <c r="A992" t="s">
        <v>10320</v>
      </c>
      <c r="B992" s="2113" t="str">
        <f t="shared" si="15"/>
        <v>247-903</v>
      </c>
      <c r="C992" t="s">
        <v>6966</v>
      </c>
      <c r="D992" s="2043">
        <v>116412430</v>
      </c>
      <c r="E992" s="2043">
        <v>0</v>
      </c>
      <c r="F992" s="2043">
        <v>1367384125</v>
      </c>
      <c r="G992" s="2043">
        <v>1323901695</v>
      </c>
      <c r="H992" s="2043">
        <v>1367384125</v>
      </c>
      <c r="I992" s="2043">
        <v>1323901695</v>
      </c>
    </row>
    <row r="993" spans="1:9" ht="14.5">
      <c r="A993" t="s">
        <v>10321</v>
      </c>
      <c r="B993" s="2113" t="str">
        <f t="shared" si="15"/>
        <v>247-904</v>
      </c>
      <c r="C993" t="s">
        <v>6967</v>
      </c>
      <c r="D993" s="2043">
        <v>24075271</v>
      </c>
      <c r="E993" s="2043">
        <v>0</v>
      </c>
      <c r="F993" s="2043">
        <v>340704608</v>
      </c>
      <c r="G993" s="2043">
        <v>331809337</v>
      </c>
      <c r="H993" s="2043">
        <v>340704608</v>
      </c>
      <c r="I993" s="2043">
        <v>331809337</v>
      </c>
    </row>
    <row r="994" spans="1:9" ht="14.5">
      <c r="A994" t="s">
        <v>10322</v>
      </c>
      <c r="B994" s="2113" t="str">
        <f t="shared" si="15"/>
        <v>247-906</v>
      </c>
      <c r="C994" t="s">
        <v>6968</v>
      </c>
      <c r="D994" s="2043">
        <v>26214610</v>
      </c>
      <c r="E994" s="2043">
        <v>0</v>
      </c>
      <c r="F994" s="2043">
        <v>266685853</v>
      </c>
      <c r="G994" s="2043">
        <v>257196243</v>
      </c>
      <c r="H994" s="2043">
        <v>266685853</v>
      </c>
      <c r="I994" s="2043">
        <v>257196243</v>
      </c>
    </row>
    <row r="995" spans="1:9" ht="14.5">
      <c r="A995" t="s">
        <v>10674</v>
      </c>
      <c r="B995" s="2113" t="str">
        <f t="shared" si="15"/>
        <v>248-901</v>
      </c>
      <c r="C995" t="s">
        <v>6969</v>
      </c>
      <c r="D995" s="2043">
        <v>33326865</v>
      </c>
      <c r="E995" s="2043">
        <v>0</v>
      </c>
      <c r="F995" s="2043">
        <v>1087816463</v>
      </c>
      <c r="G995" s="2043">
        <v>1075279598</v>
      </c>
      <c r="H995" s="2043">
        <v>1087816463</v>
      </c>
      <c r="I995" s="2043">
        <v>1075279598</v>
      </c>
    </row>
    <row r="996" spans="1:9" ht="14.5">
      <c r="A996" t="s">
        <v>10675</v>
      </c>
      <c r="B996" s="2113" t="str">
        <f t="shared" si="15"/>
        <v>248-902</v>
      </c>
      <c r="C996" t="s">
        <v>6970</v>
      </c>
      <c r="D996" s="2043">
        <v>5391926</v>
      </c>
      <c r="E996" s="2043">
        <v>208763880</v>
      </c>
      <c r="F996" s="2043">
        <v>10647845329</v>
      </c>
      <c r="G996" s="2043">
        <v>10645888403</v>
      </c>
      <c r="H996" s="2043">
        <v>10856609209</v>
      </c>
      <c r="I996" s="2043">
        <v>10854652283</v>
      </c>
    </row>
    <row r="997" spans="1:9" ht="14.5">
      <c r="A997" t="s">
        <v>10323</v>
      </c>
      <c r="B997" s="2113" t="str">
        <f t="shared" si="15"/>
        <v>249-901</v>
      </c>
      <c r="C997" t="s">
        <v>6971</v>
      </c>
      <c r="D997" s="2043">
        <v>25682541</v>
      </c>
      <c r="E997" s="2043">
        <v>0</v>
      </c>
      <c r="F997" s="2043">
        <v>426743125</v>
      </c>
      <c r="G997" s="2043">
        <v>417710584</v>
      </c>
      <c r="H997" s="2043">
        <v>426743125</v>
      </c>
      <c r="I997" s="2043">
        <v>417710584</v>
      </c>
    </row>
    <row r="998" spans="1:9" ht="14.5">
      <c r="A998" t="s">
        <v>10324</v>
      </c>
      <c r="B998" s="2113" t="str">
        <f t="shared" si="15"/>
        <v>249-902</v>
      </c>
      <c r="C998" t="s">
        <v>6972</v>
      </c>
      <c r="D998" s="2043">
        <v>38899681</v>
      </c>
      <c r="E998" s="2043">
        <v>0</v>
      </c>
      <c r="F998" s="2043">
        <v>724665868</v>
      </c>
      <c r="G998" s="2043">
        <v>711521187</v>
      </c>
      <c r="H998" s="2043">
        <v>724665868</v>
      </c>
      <c r="I998" s="2043">
        <v>711521187</v>
      </c>
    </row>
    <row r="999" spans="1:9" ht="14.5">
      <c r="A999" t="s">
        <v>10325</v>
      </c>
      <c r="B999" s="2113" t="str">
        <f t="shared" si="15"/>
        <v>249-903</v>
      </c>
      <c r="C999" t="s">
        <v>6973</v>
      </c>
      <c r="D999" s="2043">
        <v>66612525</v>
      </c>
      <c r="E999" s="2043">
        <v>0</v>
      </c>
      <c r="F999" s="2043">
        <v>1460777044</v>
      </c>
      <c r="G999" s="2043">
        <v>1438384519</v>
      </c>
      <c r="H999" s="2043">
        <v>1460777044</v>
      </c>
      <c r="I999" s="2043">
        <v>1438384519</v>
      </c>
    </row>
    <row r="1000" spans="1:9" ht="14.5">
      <c r="A1000" t="s">
        <v>10326</v>
      </c>
      <c r="B1000" s="2113" t="str">
        <f t="shared" si="15"/>
        <v>249-904</v>
      </c>
      <c r="C1000" t="s">
        <v>6974</v>
      </c>
      <c r="D1000" s="2043">
        <v>22680849</v>
      </c>
      <c r="E1000" s="2043">
        <v>0</v>
      </c>
      <c r="F1000" s="2043">
        <v>698295392</v>
      </c>
      <c r="G1000" s="2043">
        <v>691169543</v>
      </c>
      <c r="H1000" s="2043">
        <v>698295392</v>
      </c>
      <c r="I1000" s="2043">
        <v>691169543</v>
      </c>
    </row>
    <row r="1001" spans="1:9" ht="14.5">
      <c r="A1001" t="s">
        <v>10327</v>
      </c>
      <c r="B1001" s="2113" t="str">
        <f t="shared" si="15"/>
        <v>249-905</v>
      </c>
      <c r="C1001" t="s">
        <v>6975</v>
      </c>
      <c r="D1001" s="2043">
        <v>102320616</v>
      </c>
      <c r="E1001" s="2043">
        <v>0</v>
      </c>
      <c r="F1001" s="2043">
        <v>2484828824</v>
      </c>
      <c r="G1001" s="2043">
        <v>2448373208</v>
      </c>
      <c r="H1001" s="2043">
        <v>2484828824</v>
      </c>
      <c r="I1001" s="2043">
        <v>2448373208</v>
      </c>
    </row>
    <row r="1002" spans="1:9" ht="14.5">
      <c r="A1002" t="s">
        <v>10328</v>
      </c>
      <c r="B1002" s="2113" t="str">
        <f t="shared" si="15"/>
        <v>249-906</v>
      </c>
      <c r="C1002" t="s">
        <v>6976</v>
      </c>
      <c r="D1002" s="2043">
        <v>36201719</v>
      </c>
      <c r="E1002" s="2043">
        <v>0</v>
      </c>
      <c r="F1002" s="2043">
        <v>539387721</v>
      </c>
      <c r="G1002" s="2043">
        <v>526766002</v>
      </c>
      <c r="H1002" s="2043">
        <v>539387721</v>
      </c>
      <c r="I1002" s="2043">
        <v>526766002</v>
      </c>
    </row>
    <row r="1003" spans="1:9" ht="14.5">
      <c r="A1003" t="s">
        <v>10329</v>
      </c>
      <c r="B1003" s="2113" t="str">
        <f t="shared" si="15"/>
        <v>249-908</v>
      </c>
      <c r="C1003" t="s">
        <v>6977</v>
      </c>
      <c r="D1003" s="2043">
        <v>9959013</v>
      </c>
      <c r="E1003" s="2043">
        <v>0</v>
      </c>
      <c r="F1003" s="2043">
        <v>279506090</v>
      </c>
      <c r="G1003" s="2043">
        <v>276087077</v>
      </c>
      <c r="H1003" s="2043">
        <v>279506090</v>
      </c>
      <c r="I1003" s="2043">
        <v>276087077</v>
      </c>
    </row>
    <row r="1004" spans="1:9" ht="14.5">
      <c r="A1004" t="s">
        <v>10330</v>
      </c>
      <c r="B1004" s="2113" t="str">
        <f t="shared" si="15"/>
        <v>250-902</v>
      </c>
      <c r="C1004" t="s">
        <v>6978</v>
      </c>
      <c r="D1004" s="2043">
        <v>35429532</v>
      </c>
      <c r="E1004" s="2043">
        <v>0</v>
      </c>
      <c r="F1004" s="2043">
        <v>689831066</v>
      </c>
      <c r="G1004" s="2043">
        <v>678146534</v>
      </c>
      <c r="H1004" s="2043">
        <v>689831066</v>
      </c>
      <c r="I1004" s="2043">
        <v>678146534</v>
      </c>
    </row>
    <row r="1005" spans="1:9" ht="14.5">
      <c r="A1005" t="s">
        <v>10331</v>
      </c>
      <c r="B1005" s="2113" t="str">
        <f t="shared" si="15"/>
        <v>250-903</v>
      </c>
      <c r="C1005" t="s">
        <v>6979</v>
      </c>
      <c r="D1005" s="2043">
        <v>58717648</v>
      </c>
      <c r="E1005" s="2043">
        <v>0</v>
      </c>
      <c r="F1005" s="2043">
        <v>683790720</v>
      </c>
      <c r="G1005" s="2043">
        <v>662378072</v>
      </c>
      <c r="H1005" s="2043">
        <v>683790720</v>
      </c>
      <c r="I1005" s="2043">
        <v>662378072</v>
      </c>
    </row>
    <row r="1006" spans="1:9" ht="14.5">
      <c r="A1006" t="s">
        <v>10332</v>
      </c>
      <c r="B1006" s="2113" t="str">
        <f t="shared" si="15"/>
        <v>250-904</v>
      </c>
      <c r="C1006" t="s">
        <v>6980</v>
      </c>
      <c r="D1006" s="2043">
        <v>59917775</v>
      </c>
      <c r="E1006" s="2043">
        <v>0</v>
      </c>
      <c r="F1006" s="2043">
        <v>552781927</v>
      </c>
      <c r="G1006" s="2043">
        <v>532944152</v>
      </c>
      <c r="H1006" s="2043">
        <v>552781927</v>
      </c>
      <c r="I1006" s="2043">
        <v>532944152</v>
      </c>
    </row>
    <row r="1007" spans="1:9" ht="14.5">
      <c r="A1007" t="s">
        <v>10333</v>
      </c>
      <c r="B1007" s="2113" t="str">
        <f t="shared" si="15"/>
        <v>250-905</v>
      </c>
      <c r="C1007" t="s">
        <v>6981</v>
      </c>
      <c r="D1007" s="2043">
        <v>28386759</v>
      </c>
      <c r="E1007" s="2043">
        <v>0</v>
      </c>
      <c r="F1007" s="2043">
        <v>409994761</v>
      </c>
      <c r="G1007" s="2043">
        <v>400028002</v>
      </c>
      <c r="H1007" s="2043">
        <v>409994761</v>
      </c>
      <c r="I1007" s="2043">
        <v>400028002</v>
      </c>
    </row>
    <row r="1008" spans="1:9" ht="14.5">
      <c r="A1008" t="s">
        <v>10334</v>
      </c>
      <c r="B1008" s="2113" t="str">
        <f t="shared" si="15"/>
        <v>250-906</v>
      </c>
      <c r="C1008" t="s">
        <v>6982</v>
      </c>
      <c r="D1008" s="2043">
        <v>41057614</v>
      </c>
      <c r="E1008" s="2043">
        <v>0</v>
      </c>
      <c r="F1008" s="2043">
        <v>344392472</v>
      </c>
      <c r="G1008" s="2043">
        <v>330604858</v>
      </c>
      <c r="H1008" s="2043">
        <v>344392472</v>
      </c>
      <c r="I1008" s="2043">
        <v>330604858</v>
      </c>
    </row>
    <row r="1009" spans="1:9" ht="14.5">
      <c r="A1009" t="s">
        <v>10335</v>
      </c>
      <c r="B1009" s="2113" t="str">
        <f t="shared" si="15"/>
        <v>250-907</v>
      </c>
      <c r="C1009" t="s">
        <v>6983</v>
      </c>
      <c r="D1009" s="2043">
        <v>54647327</v>
      </c>
      <c r="E1009" s="2043">
        <v>0</v>
      </c>
      <c r="F1009" s="2043">
        <v>544168941</v>
      </c>
      <c r="G1009" s="2043">
        <v>524516614</v>
      </c>
      <c r="H1009" s="2043">
        <v>544168941</v>
      </c>
      <c r="I1009" s="2043">
        <v>524516614</v>
      </c>
    </row>
    <row r="1010" spans="1:9" ht="14.5">
      <c r="A1010" t="s">
        <v>10336</v>
      </c>
      <c r="B1010" s="2113" t="str">
        <f t="shared" si="15"/>
        <v>251-901</v>
      </c>
      <c r="C1010" t="s">
        <v>6984</v>
      </c>
      <c r="D1010" s="2043">
        <v>30249688</v>
      </c>
      <c r="E1010" s="2043">
        <v>0</v>
      </c>
      <c r="F1010" s="2043">
        <v>1239543844</v>
      </c>
      <c r="G1010" s="2043">
        <v>1228464156</v>
      </c>
      <c r="H1010" s="2043">
        <v>1239543844</v>
      </c>
      <c r="I1010" s="2043">
        <v>1228464156</v>
      </c>
    </row>
    <row r="1011" spans="1:9" ht="14.5">
      <c r="A1011" t="s">
        <v>10337</v>
      </c>
      <c r="B1011" s="2113" t="str">
        <f t="shared" si="15"/>
        <v>251-902</v>
      </c>
      <c r="C1011" t="s">
        <v>6985</v>
      </c>
      <c r="D1011" s="2043">
        <v>11504659</v>
      </c>
      <c r="E1011" s="2043">
        <v>0</v>
      </c>
      <c r="F1011" s="2043">
        <v>1254684551</v>
      </c>
      <c r="G1011" s="2043">
        <v>1250814892</v>
      </c>
      <c r="H1011" s="2043">
        <v>1254684551</v>
      </c>
      <c r="I1011" s="2043">
        <v>1250814892</v>
      </c>
    </row>
    <row r="1012" spans="1:9" ht="14.5">
      <c r="A1012" t="s">
        <v>10338</v>
      </c>
      <c r="B1012" s="2113" t="str">
        <f t="shared" si="15"/>
        <v>252-901</v>
      </c>
      <c r="C1012" t="s">
        <v>6986</v>
      </c>
      <c r="D1012" s="2043">
        <v>83047751</v>
      </c>
      <c r="E1012" s="2043">
        <v>5675190</v>
      </c>
      <c r="F1012" s="2043">
        <v>800518559</v>
      </c>
      <c r="G1012" s="2043">
        <v>771860808</v>
      </c>
      <c r="H1012" s="2043">
        <v>806193749</v>
      </c>
      <c r="I1012" s="2043">
        <v>777535998</v>
      </c>
    </row>
    <row r="1013" spans="1:9" ht="14.5">
      <c r="A1013" t="s">
        <v>10339</v>
      </c>
      <c r="B1013" s="2113" t="str">
        <f t="shared" si="15"/>
        <v>252-902</v>
      </c>
      <c r="C1013" t="s">
        <v>6987</v>
      </c>
      <c r="D1013" s="2043">
        <v>5407610</v>
      </c>
      <c r="E1013" s="2043">
        <v>0</v>
      </c>
      <c r="F1013" s="2043">
        <v>81584548</v>
      </c>
      <c r="G1013" s="2043">
        <v>80286938</v>
      </c>
      <c r="H1013" s="2043">
        <v>81584548</v>
      </c>
      <c r="I1013" s="2043">
        <v>80286938</v>
      </c>
    </row>
    <row r="1014" spans="1:9" ht="14.5">
      <c r="A1014" t="s">
        <v>10340</v>
      </c>
      <c r="B1014" s="2113" t="str">
        <f t="shared" si="15"/>
        <v>252-903</v>
      </c>
      <c r="C1014" t="s">
        <v>6988</v>
      </c>
      <c r="D1014" s="2043">
        <v>22009800</v>
      </c>
      <c r="E1014" s="2043">
        <v>15000000</v>
      </c>
      <c r="F1014" s="2043">
        <v>281126652</v>
      </c>
      <c r="G1014" s="2043">
        <v>274041852</v>
      </c>
      <c r="H1014" s="2043">
        <v>296126652</v>
      </c>
      <c r="I1014" s="2043">
        <v>289041852</v>
      </c>
    </row>
    <row r="1015" spans="1:9" ht="14.5">
      <c r="A1015" t="s">
        <v>10341</v>
      </c>
      <c r="B1015" s="2113" t="str">
        <f t="shared" si="15"/>
        <v>253-901</v>
      </c>
      <c r="C1015" t="s">
        <v>6989</v>
      </c>
      <c r="D1015" s="2043">
        <v>77521414</v>
      </c>
      <c r="E1015" s="2043">
        <v>0</v>
      </c>
      <c r="F1015" s="2043">
        <v>914813444</v>
      </c>
      <c r="G1015" s="2043">
        <v>886837030</v>
      </c>
      <c r="H1015" s="2043">
        <v>914813444</v>
      </c>
      <c r="I1015" s="2043">
        <v>886837030</v>
      </c>
    </row>
    <row r="1016" spans="1:9" ht="14.5">
      <c r="A1016" t="s">
        <v>10342</v>
      </c>
      <c r="B1016" s="2113" t="str">
        <f t="shared" si="15"/>
        <v>254-901</v>
      </c>
      <c r="C1016" t="s">
        <v>6990</v>
      </c>
      <c r="D1016" s="2043">
        <v>37262852</v>
      </c>
      <c r="E1016" s="2043">
        <v>0</v>
      </c>
      <c r="F1016" s="2043">
        <v>1050556910</v>
      </c>
      <c r="G1016" s="2043">
        <v>1037369058</v>
      </c>
      <c r="H1016" s="2043">
        <v>1050556910</v>
      </c>
      <c r="I1016" s="2043">
        <v>1037369058</v>
      </c>
    </row>
    <row r="1017" spans="1:9" ht="14.5">
      <c r="A1017" t="s">
        <v>10343</v>
      </c>
      <c r="B1017" s="2113" t="str">
        <f t="shared" si="15"/>
        <v>254-902</v>
      </c>
      <c r="C1017" t="s">
        <v>6991</v>
      </c>
      <c r="D1017" s="2043">
        <v>9158044</v>
      </c>
      <c r="E1017" s="2043">
        <v>0</v>
      </c>
      <c r="F1017" s="2043">
        <v>239279344</v>
      </c>
      <c r="G1017" s="2043">
        <v>235956300</v>
      </c>
      <c r="H1017" s="2043">
        <v>239279344</v>
      </c>
      <c r="I1017" s="2043">
        <v>235956300</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M1017"/>
  <sheetViews>
    <sheetView workbookViewId="0">
      <pane xSplit="2" topLeftCell="C1" activePane="topRight" state="frozen"/>
      <selection pane="topRight" activeCell="A2" sqref="A2"/>
    </sheetView>
  </sheetViews>
  <sheetFormatPr defaultRowHeight="12.5"/>
  <cols>
    <col min="2" max="2" width="8.7265625" style="2042"/>
    <col min="3" max="3" width="23.7265625" customWidth="1"/>
    <col min="4" max="13" width="20.6328125" customWidth="1"/>
  </cols>
  <sheetData>
    <row r="1" spans="1:13" s="27" customFormat="1">
      <c r="B1" s="27">
        <v>1</v>
      </c>
      <c r="C1" s="27">
        <f>B1+1</f>
        <v>2</v>
      </c>
      <c r="D1" s="27">
        <f t="shared" ref="D1:M1" si="0">C1+1</f>
        <v>3</v>
      </c>
      <c r="E1" s="27">
        <f t="shared" si="0"/>
        <v>4</v>
      </c>
      <c r="F1" s="27">
        <f t="shared" si="0"/>
        <v>5</v>
      </c>
      <c r="G1" s="27">
        <f t="shared" si="0"/>
        <v>6</v>
      </c>
      <c r="H1" s="27">
        <f t="shared" si="0"/>
        <v>7</v>
      </c>
      <c r="I1" s="27">
        <f t="shared" si="0"/>
        <v>8</v>
      </c>
      <c r="J1" s="27">
        <f t="shared" si="0"/>
        <v>9</v>
      </c>
      <c r="K1" s="27">
        <f t="shared" si="0"/>
        <v>10</v>
      </c>
      <c r="L1" s="27">
        <f t="shared" si="0"/>
        <v>11</v>
      </c>
      <c r="M1" s="27">
        <f t="shared" si="0"/>
        <v>12</v>
      </c>
    </row>
    <row r="2" spans="1:13" s="2979" customFormat="1" ht="13" thickBot="1">
      <c r="A2" s="2635" t="s">
        <v>5993</v>
      </c>
      <c r="B2" s="2635"/>
      <c r="C2" s="2635" t="s">
        <v>5994</v>
      </c>
      <c r="D2" s="2635" t="s">
        <v>5996</v>
      </c>
      <c r="E2" s="2635" t="s">
        <v>5995</v>
      </c>
      <c r="F2" s="2635" t="s">
        <v>5699</v>
      </c>
      <c r="G2" s="2635" t="s">
        <v>5700</v>
      </c>
      <c r="H2" s="2635" t="s">
        <v>7887</v>
      </c>
      <c r="I2" s="2635" t="s">
        <v>7889</v>
      </c>
      <c r="J2" s="2635" t="s">
        <v>5701</v>
      </c>
      <c r="K2" s="2635" t="s">
        <v>5702</v>
      </c>
      <c r="L2" s="2635" t="s">
        <v>10570</v>
      </c>
      <c r="M2" s="2635" t="s">
        <v>10571</v>
      </c>
    </row>
    <row r="3" spans="1:13" ht="15" thickTop="1">
      <c r="A3" s="2977" t="s">
        <v>9433</v>
      </c>
      <c r="B3" s="2113" t="str">
        <f t="shared" ref="B3:B66" si="1">CONCATENATE(RIGHT(LEFT(CONCATENATE("000",A3),6),3),"-",(LEFT(RIGHT(CONCATENATE("000",A3),6),3)))</f>
        <v>001-902</v>
      </c>
      <c r="C3" s="2977" t="s">
        <v>5997</v>
      </c>
      <c r="D3" s="2637">
        <v>311663359</v>
      </c>
      <c r="E3" s="2637">
        <v>306063840</v>
      </c>
      <c r="F3" s="2637">
        <v>304453010</v>
      </c>
      <c r="G3" s="2637">
        <v>298853491</v>
      </c>
      <c r="H3" s="2637">
        <v>311663359</v>
      </c>
      <c r="I3" s="2637">
        <v>306063840</v>
      </c>
      <c r="J3" s="2637">
        <v>304453010</v>
      </c>
      <c r="K3" s="2637">
        <v>298853491</v>
      </c>
      <c r="L3" s="2637">
        <v>16114519</v>
      </c>
      <c r="M3" s="2637">
        <v>0</v>
      </c>
    </row>
    <row r="4" spans="1:13" ht="14.5">
      <c r="A4" s="2978" t="s">
        <v>9434</v>
      </c>
      <c r="B4" s="2113" t="str">
        <f t="shared" si="1"/>
        <v>001-903</v>
      </c>
      <c r="C4" s="2978" t="s">
        <v>5998</v>
      </c>
      <c r="D4" s="2639">
        <v>333101407</v>
      </c>
      <c r="E4" s="2639">
        <v>319794930</v>
      </c>
      <c r="F4" s="2639">
        <v>333101407</v>
      </c>
      <c r="G4" s="2639">
        <v>319794930</v>
      </c>
      <c r="H4" s="2639">
        <v>333101407</v>
      </c>
      <c r="I4" s="2639">
        <v>319794930</v>
      </c>
      <c r="J4" s="2639">
        <v>333101407</v>
      </c>
      <c r="K4" s="2639">
        <v>319794930</v>
      </c>
      <c r="L4" s="2639">
        <v>37186477</v>
      </c>
      <c r="M4" s="2639">
        <v>0</v>
      </c>
    </row>
    <row r="5" spans="1:13" ht="14.5">
      <c r="A5" s="2977" t="s">
        <v>9435</v>
      </c>
      <c r="B5" s="2113" t="str">
        <f t="shared" si="1"/>
        <v>001-904</v>
      </c>
      <c r="C5" s="2977" t="s">
        <v>5999</v>
      </c>
      <c r="D5" s="2637">
        <v>350011646</v>
      </c>
      <c r="E5" s="2637">
        <v>339672479</v>
      </c>
      <c r="F5" s="2637">
        <v>331262233</v>
      </c>
      <c r="G5" s="2637">
        <v>320923066</v>
      </c>
      <c r="H5" s="2637">
        <v>350011646</v>
      </c>
      <c r="I5" s="2637">
        <v>339672479</v>
      </c>
      <c r="J5" s="2637">
        <v>331262233</v>
      </c>
      <c r="K5" s="2637">
        <v>320923066</v>
      </c>
      <c r="L5" s="2637">
        <v>30664167</v>
      </c>
      <c r="M5" s="2637">
        <v>0</v>
      </c>
    </row>
    <row r="6" spans="1:13" ht="14.5">
      <c r="A6" s="2978" t="s">
        <v>9436</v>
      </c>
      <c r="B6" s="2113" t="str">
        <f t="shared" si="1"/>
        <v>001-906</v>
      </c>
      <c r="C6" s="2978" t="s">
        <v>6000</v>
      </c>
      <c r="D6" s="2639">
        <v>142214716</v>
      </c>
      <c r="E6" s="2639">
        <v>138510923</v>
      </c>
      <c r="F6" s="2639">
        <v>137046182</v>
      </c>
      <c r="G6" s="2639">
        <v>133342389</v>
      </c>
      <c r="H6" s="2639">
        <v>142214716</v>
      </c>
      <c r="I6" s="2639">
        <v>138510923</v>
      </c>
      <c r="J6" s="2639">
        <v>137046182</v>
      </c>
      <c r="K6" s="2639">
        <v>133342389</v>
      </c>
      <c r="L6" s="2639">
        <v>10873793</v>
      </c>
      <c r="M6" s="2639">
        <v>0</v>
      </c>
    </row>
    <row r="7" spans="1:13" ht="14.5">
      <c r="A7" s="2977" t="s">
        <v>9437</v>
      </c>
      <c r="B7" s="2113" t="str">
        <f t="shared" si="1"/>
        <v>001-907</v>
      </c>
      <c r="C7" s="2977" t="s">
        <v>6001</v>
      </c>
      <c r="D7" s="2637">
        <v>1248030762</v>
      </c>
      <c r="E7" s="2637">
        <v>1206801857</v>
      </c>
      <c r="F7" s="2637">
        <v>1248030762</v>
      </c>
      <c r="G7" s="2637">
        <v>1206801857</v>
      </c>
      <c r="H7" s="2637">
        <v>1248030762</v>
      </c>
      <c r="I7" s="2637">
        <v>1206801857</v>
      </c>
      <c r="J7" s="2637">
        <v>1248030762</v>
      </c>
      <c r="K7" s="2637">
        <v>1206801857</v>
      </c>
      <c r="L7" s="2637">
        <v>110273905</v>
      </c>
      <c r="M7" s="2637">
        <v>0</v>
      </c>
    </row>
    <row r="8" spans="1:13" ht="14.5">
      <c r="A8" s="2978" t="s">
        <v>9438</v>
      </c>
      <c r="B8" s="2113" t="str">
        <f t="shared" si="1"/>
        <v>001-908</v>
      </c>
      <c r="C8" s="2978" t="s">
        <v>6002</v>
      </c>
      <c r="D8" s="2639">
        <v>591904683</v>
      </c>
      <c r="E8" s="2639">
        <v>574954694</v>
      </c>
      <c r="F8" s="2639">
        <v>591904683</v>
      </c>
      <c r="G8" s="2639">
        <v>574954694</v>
      </c>
      <c r="H8" s="2639">
        <v>591904683</v>
      </c>
      <c r="I8" s="2639">
        <v>574954694</v>
      </c>
      <c r="J8" s="2639">
        <v>591904683</v>
      </c>
      <c r="K8" s="2639">
        <v>574954694</v>
      </c>
      <c r="L8" s="2639">
        <v>46349989</v>
      </c>
      <c r="M8" s="2639">
        <v>0</v>
      </c>
    </row>
    <row r="9" spans="1:13" ht="14.5">
      <c r="A9" s="2977" t="s">
        <v>9439</v>
      </c>
      <c r="B9" s="2113" t="str">
        <f t="shared" si="1"/>
        <v>001-909</v>
      </c>
      <c r="C9" s="2977" t="s">
        <v>6003</v>
      </c>
      <c r="D9" s="2637">
        <v>136160308</v>
      </c>
      <c r="E9" s="2637">
        <v>130966168</v>
      </c>
      <c r="F9" s="2637">
        <v>136160308</v>
      </c>
      <c r="G9" s="2637">
        <v>130966168</v>
      </c>
      <c r="H9" s="2637">
        <v>136160308</v>
      </c>
      <c r="I9" s="2637">
        <v>130966168</v>
      </c>
      <c r="J9" s="2637">
        <v>136160308</v>
      </c>
      <c r="K9" s="2637">
        <v>130966168</v>
      </c>
      <c r="L9" s="2637">
        <v>14854140</v>
      </c>
      <c r="M9" s="2637">
        <v>0</v>
      </c>
    </row>
    <row r="10" spans="1:13" ht="14.5">
      <c r="A10" s="2978" t="s">
        <v>10572</v>
      </c>
      <c r="B10" s="2113" t="str">
        <f t="shared" si="1"/>
        <v>002-901</v>
      </c>
      <c r="C10" s="2978" t="s">
        <v>6004</v>
      </c>
      <c r="D10" s="2639">
        <v>4885656574</v>
      </c>
      <c r="E10" s="2639">
        <v>4849324046</v>
      </c>
      <c r="F10" s="2639">
        <v>4815299037</v>
      </c>
      <c r="G10" s="2639">
        <v>4778966509</v>
      </c>
      <c r="H10" s="2639">
        <v>5223179609</v>
      </c>
      <c r="I10" s="2639">
        <v>5186847081</v>
      </c>
      <c r="J10" s="2639">
        <v>5152822072</v>
      </c>
      <c r="K10" s="2639">
        <v>5116489544</v>
      </c>
      <c r="L10" s="2639">
        <v>96917528</v>
      </c>
      <c r="M10" s="2639">
        <v>337523035</v>
      </c>
    </row>
    <row r="11" spans="1:13" ht="14.5">
      <c r="A11" s="2977" t="s">
        <v>10573</v>
      </c>
      <c r="B11" s="2113" t="str">
        <f t="shared" si="1"/>
        <v>003-902</v>
      </c>
      <c r="C11" s="2977" t="s">
        <v>6005</v>
      </c>
      <c r="D11" s="2637">
        <v>679185312</v>
      </c>
      <c r="E11" s="2637">
        <v>657754911</v>
      </c>
      <c r="F11" s="2637">
        <v>679185312</v>
      </c>
      <c r="G11" s="2637">
        <v>657754911</v>
      </c>
      <c r="H11" s="2637">
        <v>679185312</v>
      </c>
      <c r="I11" s="2637">
        <v>657754911</v>
      </c>
      <c r="J11" s="2637">
        <v>679185312</v>
      </c>
      <c r="K11" s="2637">
        <v>657754911</v>
      </c>
      <c r="L11" s="2637">
        <v>60580401</v>
      </c>
      <c r="M11" s="2637">
        <v>0</v>
      </c>
    </row>
    <row r="12" spans="1:13" ht="14.5">
      <c r="A12" s="2978" t="s">
        <v>9440</v>
      </c>
      <c r="B12" s="2113" t="str">
        <f t="shared" si="1"/>
        <v>003-903</v>
      </c>
      <c r="C12" s="2978" t="s">
        <v>6006</v>
      </c>
      <c r="D12" s="2639">
        <v>2949510442</v>
      </c>
      <c r="E12" s="2639">
        <v>2872461448</v>
      </c>
      <c r="F12" s="2639">
        <v>2949510442</v>
      </c>
      <c r="G12" s="2639">
        <v>2872461448</v>
      </c>
      <c r="H12" s="2639">
        <v>2949510442</v>
      </c>
      <c r="I12" s="2639">
        <v>2872461448</v>
      </c>
      <c r="J12" s="2639">
        <v>2949510442</v>
      </c>
      <c r="K12" s="2639">
        <v>2872461448</v>
      </c>
      <c r="L12" s="2639">
        <v>211733994</v>
      </c>
      <c r="M12" s="2639">
        <v>0</v>
      </c>
    </row>
    <row r="13" spans="1:13" ht="14.5">
      <c r="A13" s="2977" t="s">
        <v>9441</v>
      </c>
      <c r="B13" s="2113" t="str">
        <f t="shared" si="1"/>
        <v>003-904</v>
      </c>
      <c r="C13" s="2977" t="s">
        <v>6007</v>
      </c>
      <c r="D13" s="2637">
        <v>448717194</v>
      </c>
      <c r="E13" s="2637">
        <v>432523612</v>
      </c>
      <c r="F13" s="2637">
        <v>423489297</v>
      </c>
      <c r="G13" s="2637">
        <v>407295715</v>
      </c>
      <c r="H13" s="2637">
        <v>448717194</v>
      </c>
      <c r="I13" s="2637">
        <v>432523612</v>
      </c>
      <c r="J13" s="2637">
        <v>423489297</v>
      </c>
      <c r="K13" s="2637">
        <v>407295715</v>
      </c>
      <c r="L13" s="2637">
        <v>52283582</v>
      </c>
      <c r="M13" s="2637">
        <v>0</v>
      </c>
    </row>
    <row r="14" spans="1:13" ht="14.5">
      <c r="A14" s="2978" t="s">
        <v>9442</v>
      </c>
      <c r="B14" s="2113" t="str">
        <f t="shared" si="1"/>
        <v>003-905</v>
      </c>
      <c r="C14" s="2978" t="s">
        <v>6008</v>
      </c>
      <c r="D14" s="2639">
        <v>371398835</v>
      </c>
      <c r="E14" s="2639">
        <v>357588154</v>
      </c>
      <c r="F14" s="2639">
        <v>354678626</v>
      </c>
      <c r="G14" s="2639">
        <v>340867945</v>
      </c>
      <c r="H14" s="2639">
        <v>371398835</v>
      </c>
      <c r="I14" s="2639">
        <v>357588154</v>
      </c>
      <c r="J14" s="2639">
        <v>354678626</v>
      </c>
      <c r="K14" s="2639">
        <v>340867945</v>
      </c>
      <c r="L14" s="2639">
        <v>38860681</v>
      </c>
      <c r="M14" s="2639">
        <v>0</v>
      </c>
    </row>
    <row r="15" spans="1:13" ht="14.5">
      <c r="A15" s="2977" t="s">
        <v>9443</v>
      </c>
      <c r="B15" s="2113" t="str">
        <f t="shared" si="1"/>
        <v>003-906</v>
      </c>
      <c r="C15" s="2977" t="s">
        <v>6009</v>
      </c>
      <c r="D15" s="2637">
        <v>150836377</v>
      </c>
      <c r="E15" s="2637">
        <v>146529192</v>
      </c>
      <c r="F15" s="2637">
        <v>143953734</v>
      </c>
      <c r="G15" s="2637">
        <v>139646549</v>
      </c>
      <c r="H15" s="2637">
        <v>150836377</v>
      </c>
      <c r="I15" s="2637">
        <v>146529192</v>
      </c>
      <c r="J15" s="2637">
        <v>143953734</v>
      </c>
      <c r="K15" s="2637">
        <v>139646549</v>
      </c>
      <c r="L15" s="2637">
        <v>19697185</v>
      </c>
      <c r="M15" s="2637">
        <v>0</v>
      </c>
    </row>
    <row r="16" spans="1:13" ht="14.5">
      <c r="A16" s="2978" t="s">
        <v>10574</v>
      </c>
      <c r="B16" s="2113" t="str">
        <f t="shared" si="1"/>
        <v>003-907</v>
      </c>
      <c r="C16" s="2978" t="s">
        <v>6010</v>
      </c>
      <c r="D16" s="2639">
        <v>355527536</v>
      </c>
      <c r="E16" s="2639">
        <v>340021993</v>
      </c>
      <c r="F16" s="2639">
        <v>355527536</v>
      </c>
      <c r="G16" s="2639">
        <v>340021993</v>
      </c>
      <c r="H16" s="2639">
        <v>355527536</v>
      </c>
      <c r="I16" s="2639">
        <v>340021993</v>
      </c>
      <c r="J16" s="2639">
        <v>355527536</v>
      </c>
      <c r="K16" s="2639">
        <v>340021993</v>
      </c>
      <c r="L16" s="2639">
        <v>46060543</v>
      </c>
      <c r="M16" s="2639">
        <v>0</v>
      </c>
    </row>
    <row r="17" spans="1:13" ht="14.5">
      <c r="A17" s="2977" t="s">
        <v>9444</v>
      </c>
      <c r="B17" s="2113" t="str">
        <f t="shared" si="1"/>
        <v>004-901</v>
      </c>
      <c r="C17" s="2977" t="s">
        <v>6011</v>
      </c>
      <c r="D17" s="2637">
        <v>3765646452</v>
      </c>
      <c r="E17" s="2637">
        <v>3714697816</v>
      </c>
      <c r="F17" s="2637">
        <v>3765646452</v>
      </c>
      <c r="G17" s="2637">
        <v>3714697816</v>
      </c>
      <c r="H17" s="2637">
        <v>3765646452</v>
      </c>
      <c r="I17" s="2637">
        <v>3714697816</v>
      </c>
      <c r="J17" s="2637">
        <v>3765646452</v>
      </c>
      <c r="K17" s="2637">
        <v>3714697816</v>
      </c>
      <c r="L17" s="2637">
        <v>139703636</v>
      </c>
      <c r="M17" s="2637">
        <v>0</v>
      </c>
    </row>
    <row r="18" spans="1:13" ht="14.5">
      <c r="A18" s="2978" t="s">
        <v>10575</v>
      </c>
      <c r="B18" s="2113" t="str">
        <f t="shared" si="1"/>
        <v>005-901</v>
      </c>
      <c r="C18" s="2978" t="s">
        <v>6012</v>
      </c>
      <c r="D18" s="2639">
        <v>253156559</v>
      </c>
      <c r="E18" s="2639">
        <v>246184874</v>
      </c>
      <c r="F18" s="2639">
        <v>253156559</v>
      </c>
      <c r="G18" s="2639">
        <v>246184874</v>
      </c>
      <c r="H18" s="2639">
        <v>396580379</v>
      </c>
      <c r="I18" s="2639">
        <v>389608694</v>
      </c>
      <c r="J18" s="2639">
        <v>396580379</v>
      </c>
      <c r="K18" s="2639">
        <v>389608694</v>
      </c>
      <c r="L18" s="2639">
        <v>18371685</v>
      </c>
      <c r="M18" s="2639">
        <v>143423820</v>
      </c>
    </row>
    <row r="19" spans="1:13" ht="14.5">
      <c r="A19" s="2977" t="s">
        <v>9445</v>
      </c>
      <c r="B19" s="2113" t="str">
        <f t="shared" si="1"/>
        <v>005-902</v>
      </c>
      <c r="C19" s="2977" t="s">
        <v>6013</v>
      </c>
      <c r="D19" s="2637">
        <v>436900012</v>
      </c>
      <c r="E19" s="2637">
        <v>423528941</v>
      </c>
      <c r="F19" s="2637">
        <v>436900012</v>
      </c>
      <c r="G19" s="2637">
        <v>423528941</v>
      </c>
      <c r="H19" s="2637">
        <v>436900012</v>
      </c>
      <c r="I19" s="2637">
        <v>423528941</v>
      </c>
      <c r="J19" s="2637">
        <v>436900012</v>
      </c>
      <c r="K19" s="2637">
        <v>423528941</v>
      </c>
      <c r="L19" s="2637">
        <v>34641071</v>
      </c>
      <c r="M19" s="2637">
        <v>0</v>
      </c>
    </row>
    <row r="20" spans="1:13" ht="14.5">
      <c r="A20" s="2978" t="s">
        <v>9446</v>
      </c>
      <c r="B20" s="2113" t="str">
        <f t="shared" si="1"/>
        <v>005-904</v>
      </c>
      <c r="C20" s="2978" t="s">
        <v>6014</v>
      </c>
      <c r="D20" s="2639">
        <v>96623400</v>
      </c>
      <c r="E20" s="2639">
        <v>92795530</v>
      </c>
      <c r="F20" s="2639">
        <v>96623400</v>
      </c>
      <c r="G20" s="2639">
        <v>92795530</v>
      </c>
      <c r="H20" s="2639">
        <v>96623400</v>
      </c>
      <c r="I20" s="2639">
        <v>92795530</v>
      </c>
      <c r="J20" s="2639">
        <v>96623400</v>
      </c>
      <c r="K20" s="2639">
        <v>92795530</v>
      </c>
      <c r="L20" s="2639">
        <v>9842870</v>
      </c>
      <c r="M20" s="2639">
        <v>0</v>
      </c>
    </row>
    <row r="21" spans="1:13" ht="14.5">
      <c r="A21" s="2977" t="s">
        <v>9447</v>
      </c>
      <c r="B21" s="2113" t="str">
        <f t="shared" si="1"/>
        <v>006-902</v>
      </c>
      <c r="C21" s="2977" t="s">
        <v>6015</v>
      </c>
      <c r="D21" s="2637">
        <v>219471610</v>
      </c>
      <c r="E21" s="2637">
        <v>214575170</v>
      </c>
      <c r="F21" s="2637">
        <v>219471610</v>
      </c>
      <c r="G21" s="2637">
        <v>214575170</v>
      </c>
      <c r="H21" s="2637">
        <v>249700410</v>
      </c>
      <c r="I21" s="2637">
        <v>244803970</v>
      </c>
      <c r="J21" s="2637">
        <v>249700410</v>
      </c>
      <c r="K21" s="2637">
        <v>244803970</v>
      </c>
      <c r="L21" s="2637">
        <v>12546440</v>
      </c>
      <c r="M21" s="2637">
        <v>30228800</v>
      </c>
    </row>
    <row r="22" spans="1:13" ht="14.5">
      <c r="A22" s="2978" t="s">
        <v>9448</v>
      </c>
      <c r="B22" s="2113" t="str">
        <f t="shared" si="1"/>
        <v>007-901</v>
      </c>
      <c r="C22" s="2978" t="s">
        <v>6016</v>
      </c>
      <c r="D22" s="2639">
        <v>357416145</v>
      </c>
      <c r="E22" s="2639">
        <v>353282987</v>
      </c>
      <c r="F22" s="2639">
        <v>357416145</v>
      </c>
      <c r="G22" s="2639">
        <v>353282987</v>
      </c>
      <c r="H22" s="2639">
        <v>357416145</v>
      </c>
      <c r="I22" s="2639">
        <v>353282987</v>
      </c>
      <c r="J22" s="2639">
        <v>357416145</v>
      </c>
      <c r="K22" s="2639">
        <v>353282987</v>
      </c>
      <c r="L22" s="2639">
        <v>11273158</v>
      </c>
      <c r="M22" s="2639">
        <v>0</v>
      </c>
    </row>
    <row r="23" spans="1:13" ht="14.5">
      <c r="A23" s="2977" t="s">
        <v>9449</v>
      </c>
      <c r="B23" s="2113" t="str">
        <f t="shared" si="1"/>
        <v>007-902</v>
      </c>
      <c r="C23" s="2977" t="s">
        <v>6017</v>
      </c>
      <c r="D23" s="2637">
        <v>863217505</v>
      </c>
      <c r="E23" s="2637">
        <v>850737612</v>
      </c>
      <c r="F23" s="2637">
        <v>863217505</v>
      </c>
      <c r="G23" s="2637">
        <v>850737612</v>
      </c>
      <c r="H23" s="2637">
        <v>863217505</v>
      </c>
      <c r="I23" s="2637">
        <v>850737612</v>
      </c>
      <c r="J23" s="2637">
        <v>863217505</v>
      </c>
      <c r="K23" s="2637">
        <v>850737612</v>
      </c>
      <c r="L23" s="2637">
        <v>32504893</v>
      </c>
      <c r="M23" s="2637">
        <v>0</v>
      </c>
    </row>
    <row r="24" spans="1:13" ht="14.5">
      <c r="A24" s="2978" t="s">
        <v>9450</v>
      </c>
      <c r="B24" s="2113" t="str">
        <f t="shared" si="1"/>
        <v>007-904</v>
      </c>
      <c r="C24" s="2978" t="s">
        <v>6018</v>
      </c>
      <c r="D24" s="2639">
        <v>458711319</v>
      </c>
      <c r="E24" s="2639">
        <v>443789587</v>
      </c>
      <c r="F24" s="2639">
        <v>458711319</v>
      </c>
      <c r="G24" s="2639">
        <v>443789587</v>
      </c>
      <c r="H24" s="2639">
        <v>458711319</v>
      </c>
      <c r="I24" s="2639">
        <v>443789587</v>
      </c>
      <c r="J24" s="2639">
        <v>458711319</v>
      </c>
      <c r="K24" s="2639">
        <v>443789587</v>
      </c>
      <c r="L24" s="2639">
        <v>38921732</v>
      </c>
      <c r="M24" s="2639">
        <v>0</v>
      </c>
    </row>
    <row r="25" spans="1:13" ht="14.5">
      <c r="A25" s="2977" t="s">
        <v>9451</v>
      </c>
      <c r="B25" s="2113" t="str">
        <f t="shared" si="1"/>
        <v>007-905</v>
      </c>
      <c r="C25" s="2977" t="s">
        <v>6019</v>
      </c>
      <c r="D25" s="2637">
        <v>1909007775</v>
      </c>
      <c r="E25" s="2637">
        <v>1874297951</v>
      </c>
      <c r="F25" s="2637">
        <v>1909007775</v>
      </c>
      <c r="G25" s="2637">
        <v>1874297951</v>
      </c>
      <c r="H25" s="2637">
        <v>1909007775</v>
      </c>
      <c r="I25" s="2637">
        <v>1874297951</v>
      </c>
      <c r="J25" s="2637">
        <v>1909007775</v>
      </c>
      <c r="K25" s="2637">
        <v>1874297951</v>
      </c>
      <c r="L25" s="2637">
        <v>89369824</v>
      </c>
      <c r="M25" s="2637">
        <v>0</v>
      </c>
    </row>
    <row r="26" spans="1:13" ht="14.5">
      <c r="A26" s="2978" t="s">
        <v>9452</v>
      </c>
      <c r="B26" s="2113" t="str">
        <f t="shared" si="1"/>
        <v>007-906</v>
      </c>
      <c r="C26" s="2978" t="s">
        <v>6020</v>
      </c>
      <c r="D26" s="2639">
        <v>507572532</v>
      </c>
      <c r="E26" s="2639">
        <v>490465406</v>
      </c>
      <c r="F26" s="2639">
        <v>507572532</v>
      </c>
      <c r="G26" s="2639">
        <v>490465406</v>
      </c>
      <c r="H26" s="2639">
        <v>507572532</v>
      </c>
      <c r="I26" s="2639">
        <v>490465406</v>
      </c>
      <c r="J26" s="2639">
        <v>507572532</v>
      </c>
      <c r="K26" s="2639">
        <v>490465406</v>
      </c>
      <c r="L26" s="2639">
        <v>44992126</v>
      </c>
      <c r="M26" s="2639">
        <v>0</v>
      </c>
    </row>
    <row r="27" spans="1:13" ht="14.5">
      <c r="A27" s="2977" t="s">
        <v>9453</v>
      </c>
      <c r="B27" s="2113" t="str">
        <f t="shared" si="1"/>
        <v>008-901</v>
      </c>
      <c r="C27" s="2977" t="s">
        <v>6021</v>
      </c>
      <c r="D27" s="2637">
        <v>1584793069</v>
      </c>
      <c r="E27" s="2637">
        <v>1554835464</v>
      </c>
      <c r="F27" s="2637">
        <v>1584793069</v>
      </c>
      <c r="G27" s="2637">
        <v>1554835464</v>
      </c>
      <c r="H27" s="2637">
        <v>1584793069</v>
      </c>
      <c r="I27" s="2637">
        <v>1554835464</v>
      </c>
      <c r="J27" s="2637">
        <v>1584793069</v>
      </c>
      <c r="K27" s="2637">
        <v>1554835464</v>
      </c>
      <c r="L27" s="2637">
        <v>83987605</v>
      </c>
      <c r="M27" s="2637">
        <v>0</v>
      </c>
    </row>
    <row r="28" spans="1:13" ht="14.5">
      <c r="A28" s="2978" t="s">
        <v>9454</v>
      </c>
      <c r="B28" s="2113" t="str">
        <f t="shared" si="1"/>
        <v>008-902</v>
      </c>
      <c r="C28" s="2978" t="s">
        <v>6022</v>
      </c>
      <c r="D28" s="2639">
        <v>1663505608</v>
      </c>
      <c r="E28" s="2639">
        <v>1634782589</v>
      </c>
      <c r="F28" s="2639">
        <v>1629540023</v>
      </c>
      <c r="G28" s="2639">
        <v>1600817004</v>
      </c>
      <c r="H28" s="2639">
        <v>1663505608</v>
      </c>
      <c r="I28" s="2639">
        <v>1634782589</v>
      </c>
      <c r="J28" s="2639">
        <v>1629540023</v>
      </c>
      <c r="K28" s="2639">
        <v>1600817004</v>
      </c>
      <c r="L28" s="2639">
        <v>81388019</v>
      </c>
      <c r="M28" s="2639">
        <v>0</v>
      </c>
    </row>
    <row r="29" spans="1:13" ht="14.5">
      <c r="A29" s="2977" t="s">
        <v>9455</v>
      </c>
      <c r="B29" s="2113" t="str">
        <f t="shared" si="1"/>
        <v>008-903</v>
      </c>
      <c r="C29" s="2977" t="s">
        <v>6023</v>
      </c>
      <c r="D29" s="2637">
        <v>422612914</v>
      </c>
      <c r="E29" s="2637">
        <v>415858101</v>
      </c>
      <c r="F29" s="2637">
        <v>418636891</v>
      </c>
      <c r="G29" s="2637">
        <v>411882078</v>
      </c>
      <c r="H29" s="2637">
        <v>422612914</v>
      </c>
      <c r="I29" s="2637">
        <v>415858101</v>
      </c>
      <c r="J29" s="2637">
        <v>418636891</v>
      </c>
      <c r="K29" s="2637">
        <v>411882078</v>
      </c>
      <c r="L29" s="2637">
        <v>25189813</v>
      </c>
      <c r="M29" s="2637">
        <v>0</v>
      </c>
    </row>
    <row r="30" spans="1:13" ht="14.5">
      <c r="A30" s="2978" t="s">
        <v>9456</v>
      </c>
      <c r="B30" s="2113" t="str">
        <f t="shared" si="1"/>
        <v>009-901</v>
      </c>
      <c r="C30" s="2978" t="s">
        <v>6024</v>
      </c>
      <c r="D30" s="2639">
        <v>337426224</v>
      </c>
      <c r="E30" s="2639">
        <v>328878474</v>
      </c>
      <c r="F30" s="2639">
        <v>337426224</v>
      </c>
      <c r="G30" s="2639">
        <v>328878474</v>
      </c>
      <c r="H30" s="2639">
        <v>337426224</v>
      </c>
      <c r="I30" s="2639">
        <v>328878474</v>
      </c>
      <c r="J30" s="2639">
        <v>337426224</v>
      </c>
      <c r="K30" s="2639">
        <v>328878474</v>
      </c>
      <c r="L30" s="2639">
        <v>26607750</v>
      </c>
      <c r="M30" s="2639">
        <v>0</v>
      </c>
    </row>
    <row r="31" spans="1:13" ht="14.5">
      <c r="A31" s="2977" t="s">
        <v>9457</v>
      </c>
      <c r="B31" s="2113" t="str">
        <f t="shared" si="1"/>
        <v>010-901</v>
      </c>
      <c r="C31" s="2977" t="s">
        <v>6025</v>
      </c>
      <c r="D31" s="2637">
        <v>296817164</v>
      </c>
      <c r="E31" s="2637">
        <v>291759125</v>
      </c>
      <c r="F31" s="2637">
        <v>296817164</v>
      </c>
      <c r="G31" s="2637">
        <v>291759125</v>
      </c>
      <c r="H31" s="2637">
        <v>296817164</v>
      </c>
      <c r="I31" s="2637">
        <v>291759125</v>
      </c>
      <c r="J31" s="2637">
        <v>296817164</v>
      </c>
      <c r="K31" s="2637">
        <v>291759125</v>
      </c>
      <c r="L31" s="2637">
        <v>14178039</v>
      </c>
      <c r="M31" s="2637">
        <v>0</v>
      </c>
    </row>
    <row r="32" spans="1:13" ht="14.5">
      <c r="A32" s="2978" t="s">
        <v>9458</v>
      </c>
      <c r="B32" s="2113" t="str">
        <f t="shared" si="1"/>
        <v>010-902</v>
      </c>
      <c r="C32" s="2978" t="s">
        <v>6026</v>
      </c>
      <c r="D32" s="2639">
        <v>2119336358</v>
      </c>
      <c r="E32" s="2639">
        <v>2070325014</v>
      </c>
      <c r="F32" s="2639">
        <v>2119336358</v>
      </c>
      <c r="G32" s="2639">
        <v>2070325014</v>
      </c>
      <c r="H32" s="2639">
        <v>2119336358</v>
      </c>
      <c r="I32" s="2639">
        <v>2070325014</v>
      </c>
      <c r="J32" s="2639">
        <v>2119336358</v>
      </c>
      <c r="K32" s="2639">
        <v>2070325014</v>
      </c>
      <c r="L32" s="2639">
        <v>136071344</v>
      </c>
      <c r="M32" s="2639">
        <v>0</v>
      </c>
    </row>
    <row r="33" spans="1:13" ht="14.5">
      <c r="A33" s="2977" t="s">
        <v>9459</v>
      </c>
      <c r="B33" s="2113" t="str">
        <f t="shared" si="1"/>
        <v>011-901</v>
      </c>
      <c r="C33" s="2977" t="s">
        <v>6027</v>
      </c>
      <c r="D33" s="2637">
        <v>5608149561</v>
      </c>
      <c r="E33" s="2637">
        <v>5520798596</v>
      </c>
      <c r="F33" s="2637">
        <v>5608149561</v>
      </c>
      <c r="G33" s="2637">
        <v>5520798596</v>
      </c>
      <c r="H33" s="2637">
        <v>5608149561</v>
      </c>
      <c r="I33" s="2637">
        <v>5520798596</v>
      </c>
      <c r="J33" s="2637">
        <v>5608149561</v>
      </c>
      <c r="K33" s="2637">
        <v>5520798596</v>
      </c>
      <c r="L33" s="2637">
        <v>279680965</v>
      </c>
      <c r="M33" s="2637">
        <v>0</v>
      </c>
    </row>
    <row r="34" spans="1:13" ht="14.5">
      <c r="A34" s="2978" t="s">
        <v>9460</v>
      </c>
      <c r="B34" s="2113" t="str">
        <f t="shared" si="1"/>
        <v>011-902</v>
      </c>
      <c r="C34" s="2978" t="s">
        <v>6028</v>
      </c>
      <c r="D34" s="2639">
        <v>1994464039</v>
      </c>
      <c r="E34" s="2639">
        <v>1954653551</v>
      </c>
      <c r="F34" s="2639">
        <v>1994464039</v>
      </c>
      <c r="G34" s="2639">
        <v>1954653551</v>
      </c>
      <c r="H34" s="2639">
        <v>2014205876</v>
      </c>
      <c r="I34" s="2639">
        <v>1974395388</v>
      </c>
      <c r="J34" s="2639">
        <v>2014205876</v>
      </c>
      <c r="K34" s="2639">
        <v>1974395388</v>
      </c>
      <c r="L34" s="2639">
        <v>114720488</v>
      </c>
      <c r="M34" s="2639">
        <v>19741837</v>
      </c>
    </row>
    <row r="35" spans="1:13" ht="14.5">
      <c r="A35" s="2977" t="s">
        <v>9461</v>
      </c>
      <c r="B35" s="2113" t="str">
        <f t="shared" si="1"/>
        <v>011-904</v>
      </c>
      <c r="C35" s="2977" t="s">
        <v>6029</v>
      </c>
      <c r="D35" s="2637">
        <v>1142656139</v>
      </c>
      <c r="E35" s="2637">
        <v>1119973017</v>
      </c>
      <c r="F35" s="2637">
        <v>1142656139</v>
      </c>
      <c r="G35" s="2637">
        <v>1119973017</v>
      </c>
      <c r="H35" s="2637">
        <v>1142656139</v>
      </c>
      <c r="I35" s="2637">
        <v>1119973017</v>
      </c>
      <c r="J35" s="2637">
        <v>1142656139</v>
      </c>
      <c r="K35" s="2637">
        <v>1119973017</v>
      </c>
      <c r="L35" s="2637">
        <v>74268122</v>
      </c>
      <c r="M35" s="2637">
        <v>0</v>
      </c>
    </row>
    <row r="36" spans="1:13" ht="14.5">
      <c r="A36" s="2978" t="s">
        <v>9462</v>
      </c>
      <c r="B36" s="2113" t="str">
        <f t="shared" si="1"/>
        <v>011-905</v>
      </c>
      <c r="C36" s="2978" t="s">
        <v>6030</v>
      </c>
      <c r="D36" s="2639">
        <v>151566827</v>
      </c>
      <c r="E36" s="2639">
        <v>148436686</v>
      </c>
      <c r="F36" s="2639">
        <v>151566827</v>
      </c>
      <c r="G36" s="2639">
        <v>148436686</v>
      </c>
      <c r="H36" s="2639">
        <v>151566827</v>
      </c>
      <c r="I36" s="2639">
        <v>148436686</v>
      </c>
      <c r="J36" s="2639">
        <v>151566827</v>
      </c>
      <c r="K36" s="2639">
        <v>148436686</v>
      </c>
      <c r="L36" s="2639">
        <v>9100141</v>
      </c>
      <c r="M36" s="2639">
        <v>0</v>
      </c>
    </row>
    <row r="37" spans="1:13" ht="14.5">
      <c r="A37" s="2977" t="s">
        <v>9463</v>
      </c>
      <c r="B37" s="2113" t="str">
        <f t="shared" si="1"/>
        <v>012-901</v>
      </c>
      <c r="C37" s="2977" t="s">
        <v>6031</v>
      </c>
      <c r="D37" s="2637">
        <v>355574819</v>
      </c>
      <c r="E37" s="2637">
        <v>347883089</v>
      </c>
      <c r="F37" s="2637">
        <v>355574819</v>
      </c>
      <c r="G37" s="2637">
        <v>347883089</v>
      </c>
      <c r="H37" s="2637">
        <v>533245619</v>
      </c>
      <c r="I37" s="2637">
        <v>525553889</v>
      </c>
      <c r="J37" s="2637">
        <v>533245619</v>
      </c>
      <c r="K37" s="2637">
        <v>525553889</v>
      </c>
      <c r="L37" s="2637">
        <v>20906730</v>
      </c>
      <c r="M37" s="2637">
        <v>177670800</v>
      </c>
    </row>
    <row r="38" spans="1:13" ht="14.5">
      <c r="A38" s="2978" t="s">
        <v>9464</v>
      </c>
      <c r="B38" s="2113" t="str">
        <f t="shared" si="1"/>
        <v>013-901</v>
      </c>
      <c r="C38" s="2978" t="s">
        <v>6032</v>
      </c>
      <c r="D38" s="2639">
        <v>861067290</v>
      </c>
      <c r="E38" s="2639">
        <v>828829935</v>
      </c>
      <c r="F38" s="2639">
        <v>861067290</v>
      </c>
      <c r="G38" s="2639">
        <v>828829935</v>
      </c>
      <c r="H38" s="2639">
        <v>861067290</v>
      </c>
      <c r="I38" s="2639">
        <v>828829935</v>
      </c>
      <c r="J38" s="2639">
        <v>861067290</v>
      </c>
      <c r="K38" s="2639">
        <v>828829935</v>
      </c>
      <c r="L38" s="2639">
        <v>87452355</v>
      </c>
      <c r="M38" s="2639">
        <v>0</v>
      </c>
    </row>
    <row r="39" spans="1:13" ht="14.5">
      <c r="A39" s="2977" t="s">
        <v>9465</v>
      </c>
      <c r="B39" s="2113" t="str">
        <f t="shared" si="1"/>
        <v>013-902</v>
      </c>
      <c r="C39" s="2977" t="s">
        <v>6033</v>
      </c>
      <c r="D39" s="2637">
        <v>319015370</v>
      </c>
      <c r="E39" s="2637">
        <v>317428519</v>
      </c>
      <c r="F39" s="2637">
        <v>319015370</v>
      </c>
      <c r="G39" s="2637">
        <v>317428519</v>
      </c>
      <c r="H39" s="2637">
        <v>319015370</v>
      </c>
      <c r="I39" s="2637">
        <v>317428519</v>
      </c>
      <c r="J39" s="2637">
        <v>319015370</v>
      </c>
      <c r="K39" s="2637">
        <v>317428519</v>
      </c>
      <c r="L39" s="2637">
        <v>4571851</v>
      </c>
      <c r="M39" s="2637">
        <v>0</v>
      </c>
    </row>
    <row r="40" spans="1:13" ht="14.5">
      <c r="A40" s="2978" t="s">
        <v>9466</v>
      </c>
      <c r="B40" s="2113" t="str">
        <f t="shared" si="1"/>
        <v>013-903</v>
      </c>
      <c r="C40" s="2978" t="s">
        <v>6034</v>
      </c>
      <c r="D40" s="2639">
        <v>555605140</v>
      </c>
      <c r="E40" s="2639">
        <v>552462976</v>
      </c>
      <c r="F40" s="2639">
        <v>555605140</v>
      </c>
      <c r="G40" s="2639">
        <v>552462976</v>
      </c>
      <c r="H40" s="2639">
        <v>603485330</v>
      </c>
      <c r="I40" s="2639">
        <v>600343166</v>
      </c>
      <c r="J40" s="2639">
        <v>603485330</v>
      </c>
      <c r="K40" s="2639">
        <v>600343166</v>
      </c>
      <c r="L40" s="2639">
        <v>9997164</v>
      </c>
      <c r="M40" s="2639">
        <v>47880190</v>
      </c>
    </row>
    <row r="41" spans="1:13" ht="14.5">
      <c r="A41" s="2977" t="s">
        <v>9467</v>
      </c>
      <c r="B41" s="2113" t="str">
        <f t="shared" si="1"/>
        <v>013-905</v>
      </c>
      <c r="C41" s="2977" t="s">
        <v>6035</v>
      </c>
      <c r="D41" s="2637">
        <v>237309643</v>
      </c>
      <c r="E41" s="2637">
        <v>232186388</v>
      </c>
      <c r="F41" s="2637">
        <v>237309643</v>
      </c>
      <c r="G41" s="2637">
        <v>232186388</v>
      </c>
      <c r="H41" s="2637">
        <v>379723213</v>
      </c>
      <c r="I41" s="2637">
        <v>374599958</v>
      </c>
      <c r="J41" s="2637">
        <v>379723213</v>
      </c>
      <c r="K41" s="2637">
        <v>374599958</v>
      </c>
      <c r="L41" s="2637">
        <v>16043255</v>
      </c>
      <c r="M41" s="2637">
        <v>142413570</v>
      </c>
    </row>
    <row r="42" spans="1:13" ht="14.5">
      <c r="A42" s="2978" t="s">
        <v>9468</v>
      </c>
      <c r="B42" s="2113" t="str">
        <f t="shared" si="1"/>
        <v>014-901</v>
      </c>
      <c r="C42" s="2978" t="s">
        <v>6036</v>
      </c>
      <c r="D42" s="2639">
        <v>652667266</v>
      </c>
      <c r="E42" s="2639">
        <v>631794068</v>
      </c>
      <c r="F42" s="2639">
        <v>652667266</v>
      </c>
      <c r="G42" s="2639">
        <v>631794068</v>
      </c>
      <c r="H42" s="2639">
        <v>652667266</v>
      </c>
      <c r="I42" s="2639">
        <v>631794068</v>
      </c>
      <c r="J42" s="2639">
        <v>652667266</v>
      </c>
      <c r="K42" s="2639">
        <v>631794068</v>
      </c>
      <c r="L42" s="2639">
        <v>54458198</v>
      </c>
      <c r="M42" s="2639">
        <v>0</v>
      </c>
    </row>
    <row r="43" spans="1:13" ht="14.5">
      <c r="A43" s="2977" t="s">
        <v>9469</v>
      </c>
      <c r="B43" s="2113" t="str">
        <f t="shared" si="1"/>
        <v>014-902</v>
      </c>
      <c r="C43" s="2977" t="s">
        <v>6037</v>
      </c>
      <c r="D43" s="2637">
        <v>162139399</v>
      </c>
      <c r="E43" s="2637">
        <v>157067266</v>
      </c>
      <c r="F43" s="2637">
        <v>162139399</v>
      </c>
      <c r="G43" s="2637">
        <v>157067266</v>
      </c>
      <c r="H43" s="2637">
        <v>162139399</v>
      </c>
      <c r="I43" s="2637">
        <v>157067266</v>
      </c>
      <c r="J43" s="2637">
        <v>162139399</v>
      </c>
      <c r="K43" s="2637">
        <v>157067266</v>
      </c>
      <c r="L43" s="2637">
        <v>13607133</v>
      </c>
      <c r="M43" s="2637">
        <v>0</v>
      </c>
    </row>
    <row r="44" spans="1:13" ht="14.5">
      <c r="A44" s="2978" t="s">
        <v>9470</v>
      </c>
      <c r="B44" s="2113" t="str">
        <f t="shared" si="1"/>
        <v>014-903</v>
      </c>
      <c r="C44" s="2978" t="s">
        <v>6038</v>
      </c>
      <c r="D44" s="2639">
        <v>4710105019</v>
      </c>
      <c r="E44" s="2639">
        <v>4578658339</v>
      </c>
      <c r="F44" s="2639">
        <v>4710105019</v>
      </c>
      <c r="G44" s="2639">
        <v>4578658339</v>
      </c>
      <c r="H44" s="2639">
        <v>4710105019</v>
      </c>
      <c r="I44" s="2639">
        <v>4578658339</v>
      </c>
      <c r="J44" s="2639">
        <v>4710105019</v>
      </c>
      <c r="K44" s="2639">
        <v>4578658339</v>
      </c>
      <c r="L44" s="2639">
        <v>341581680</v>
      </c>
      <c r="M44" s="2639">
        <v>0</v>
      </c>
    </row>
    <row r="45" spans="1:13" ht="14.5">
      <c r="A45" s="2977" t="s">
        <v>9471</v>
      </c>
      <c r="B45" s="2113" t="str">
        <f t="shared" si="1"/>
        <v>014-905</v>
      </c>
      <c r="C45" s="2977" t="s">
        <v>6039</v>
      </c>
      <c r="D45" s="2637">
        <v>167329106</v>
      </c>
      <c r="E45" s="2637">
        <v>161705461</v>
      </c>
      <c r="F45" s="2637">
        <v>167329106</v>
      </c>
      <c r="G45" s="2637">
        <v>161705461</v>
      </c>
      <c r="H45" s="2637">
        <v>167329106</v>
      </c>
      <c r="I45" s="2637">
        <v>161705461</v>
      </c>
      <c r="J45" s="2637">
        <v>167329106</v>
      </c>
      <c r="K45" s="2637">
        <v>161705461</v>
      </c>
      <c r="L45" s="2637">
        <v>15088645</v>
      </c>
      <c r="M45" s="2637">
        <v>0</v>
      </c>
    </row>
    <row r="46" spans="1:13" ht="14.5">
      <c r="A46" s="2978" t="s">
        <v>9472</v>
      </c>
      <c r="B46" s="2113" t="str">
        <f t="shared" si="1"/>
        <v>014-906</v>
      </c>
      <c r="C46" s="2978" t="s">
        <v>6040</v>
      </c>
      <c r="D46" s="2639">
        <v>10441131909</v>
      </c>
      <c r="E46" s="2639">
        <v>10140023676</v>
      </c>
      <c r="F46" s="2639">
        <v>10441131909</v>
      </c>
      <c r="G46" s="2639">
        <v>10140023676</v>
      </c>
      <c r="H46" s="2639">
        <v>10441131909</v>
      </c>
      <c r="I46" s="2639">
        <v>10140023676</v>
      </c>
      <c r="J46" s="2639">
        <v>10441131909</v>
      </c>
      <c r="K46" s="2639">
        <v>10140023676</v>
      </c>
      <c r="L46" s="2639">
        <v>773758233</v>
      </c>
      <c r="M46" s="2639">
        <v>0</v>
      </c>
    </row>
    <row r="47" spans="1:13" ht="14.5">
      <c r="A47" s="2977" t="s">
        <v>9473</v>
      </c>
      <c r="B47" s="2113" t="str">
        <f t="shared" si="1"/>
        <v>014-907</v>
      </c>
      <c r="C47" s="2977" t="s">
        <v>6041</v>
      </c>
      <c r="D47" s="2637">
        <v>239729569</v>
      </c>
      <c r="E47" s="2637">
        <v>230834331</v>
      </c>
      <c r="F47" s="2637">
        <v>239729569</v>
      </c>
      <c r="G47" s="2637">
        <v>230834331</v>
      </c>
      <c r="H47" s="2637">
        <v>239729569</v>
      </c>
      <c r="I47" s="2637">
        <v>230834331</v>
      </c>
      <c r="J47" s="2637">
        <v>239729569</v>
      </c>
      <c r="K47" s="2637">
        <v>230834331</v>
      </c>
      <c r="L47" s="2637">
        <v>24270238</v>
      </c>
      <c r="M47" s="2637">
        <v>0</v>
      </c>
    </row>
    <row r="48" spans="1:13" ht="14.5">
      <c r="A48" s="2978" t="s">
        <v>9474</v>
      </c>
      <c r="B48" s="2113" t="str">
        <f t="shared" si="1"/>
        <v>014-908</v>
      </c>
      <c r="C48" s="2978" t="s">
        <v>6042</v>
      </c>
      <c r="D48" s="2639">
        <v>1269031425</v>
      </c>
      <c r="E48" s="2639">
        <v>1241858789</v>
      </c>
      <c r="F48" s="2639">
        <v>1269031425</v>
      </c>
      <c r="G48" s="2639">
        <v>1241858789</v>
      </c>
      <c r="H48" s="2639">
        <v>1269031425</v>
      </c>
      <c r="I48" s="2639">
        <v>1241858789</v>
      </c>
      <c r="J48" s="2639">
        <v>1269031425</v>
      </c>
      <c r="K48" s="2639">
        <v>1241858789</v>
      </c>
      <c r="L48" s="2639">
        <v>70702636</v>
      </c>
      <c r="M48" s="2639">
        <v>0</v>
      </c>
    </row>
    <row r="49" spans="1:13" ht="14.5">
      <c r="A49" s="2977" t="s">
        <v>9475</v>
      </c>
      <c r="B49" s="2113" t="str">
        <f t="shared" si="1"/>
        <v>014-909</v>
      </c>
      <c r="C49" s="2977" t="s">
        <v>6043</v>
      </c>
      <c r="D49" s="2637">
        <v>4311200884</v>
      </c>
      <c r="E49" s="2637">
        <v>4213480493</v>
      </c>
      <c r="F49" s="2637">
        <v>4311200884</v>
      </c>
      <c r="G49" s="2637">
        <v>4213480493</v>
      </c>
      <c r="H49" s="2637">
        <v>4311200884</v>
      </c>
      <c r="I49" s="2637">
        <v>4213480493</v>
      </c>
      <c r="J49" s="2637">
        <v>4311200884</v>
      </c>
      <c r="K49" s="2637">
        <v>4213480493</v>
      </c>
      <c r="L49" s="2637">
        <v>250360391</v>
      </c>
      <c r="M49" s="2637">
        <v>0</v>
      </c>
    </row>
    <row r="50" spans="1:13" ht="14.5">
      <c r="A50" s="2978" t="s">
        <v>10576</v>
      </c>
      <c r="B50" s="2113" t="str">
        <f t="shared" si="1"/>
        <v>014-910</v>
      </c>
      <c r="C50" s="2978" t="s">
        <v>6044</v>
      </c>
      <c r="D50" s="2639">
        <v>515062876</v>
      </c>
      <c r="E50" s="2639">
        <v>500376768</v>
      </c>
      <c r="F50" s="2639">
        <v>515062876</v>
      </c>
      <c r="G50" s="2639">
        <v>500376768</v>
      </c>
      <c r="H50" s="2639">
        <v>515062876</v>
      </c>
      <c r="I50" s="2639">
        <v>500376768</v>
      </c>
      <c r="J50" s="2639">
        <v>515062876</v>
      </c>
      <c r="K50" s="2639">
        <v>500376768</v>
      </c>
      <c r="L50" s="2639">
        <v>40546108</v>
      </c>
      <c r="M50" s="2639">
        <v>0</v>
      </c>
    </row>
    <row r="51" spans="1:13" ht="14.5">
      <c r="A51" s="2977" t="s">
        <v>9476</v>
      </c>
      <c r="B51" s="2113" t="str">
        <f t="shared" si="1"/>
        <v>015-901</v>
      </c>
      <c r="C51" s="2977" t="s">
        <v>6045</v>
      </c>
      <c r="D51" s="2637">
        <v>7389734490</v>
      </c>
      <c r="E51" s="2637">
        <v>7319513828</v>
      </c>
      <c r="F51" s="2637">
        <v>7389734490</v>
      </c>
      <c r="G51" s="2637">
        <v>7319513828</v>
      </c>
      <c r="H51" s="2637">
        <v>7389734490</v>
      </c>
      <c r="I51" s="2637">
        <v>7319513828</v>
      </c>
      <c r="J51" s="2637">
        <v>7389734490</v>
      </c>
      <c r="K51" s="2637">
        <v>7319513828</v>
      </c>
      <c r="L51" s="2637">
        <v>176180662</v>
      </c>
      <c r="M51" s="2637">
        <v>0</v>
      </c>
    </row>
    <row r="52" spans="1:13" ht="14.5">
      <c r="A52" s="2978" t="s">
        <v>9477</v>
      </c>
      <c r="B52" s="2113" t="str">
        <f t="shared" si="1"/>
        <v>015-904</v>
      </c>
      <c r="C52" s="2978" t="s">
        <v>6046</v>
      </c>
      <c r="D52" s="2639">
        <v>2279126749</v>
      </c>
      <c r="E52" s="2639">
        <v>2176174341</v>
      </c>
      <c r="F52" s="2639">
        <v>2279126749</v>
      </c>
      <c r="G52" s="2639">
        <v>2176174341</v>
      </c>
      <c r="H52" s="2639">
        <v>2279126749</v>
      </c>
      <c r="I52" s="2639">
        <v>2176174341</v>
      </c>
      <c r="J52" s="2639">
        <v>2279126749</v>
      </c>
      <c r="K52" s="2639">
        <v>2176174341</v>
      </c>
      <c r="L52" s="2639">
        <v>259837408</v>
      </c>
      <c r="M52" s="2639">
        <v>0</v>
      </c>
    </row>
    <row r="53" spans="1:13" ht="14.5">
      <c r="A53" s="2977" t="s">
        <v>9478</v>
      </c>
      <c r="B53" s="2113" t="str">
        <f t="shared" si="1"/>
        <v>015-905</v>
      </c>
      <c r="C53" s="2977" t="s">
        <v>6047</v>
      </c>
      <c r="D53" s="2637">
        <v>1987157398</v>
      </c>
      <c r="E53" s="2637">
        <v>1898614931</v>
      </c>
      <c r="F53" s="2637">
        <v>1987157398</v>
      </c>
      <c r="G53" s="2637">
        <v>1898614931</v>
      </c>
      <c r="H53" s="2637">
        <v>1987157398</v>
      </c>
      <c r="I53" s="2637">
        <v>1898614931</v>
      </c>
      <c r="J53" s="2637">
        <v>1987157398</v>
      </c>
      <c r="K53" s="2637">
        <v>1898614931</v>
      </c>
      <c r="L53" s="2637">
        <v>223482467</v>
      </c>
      <c r="M53" s="2637">
        <v>0</v>
      </c>
    </row>
    <row r="54" spans="1:13" ht="14.5">
      <c r="A54" s="2978" t="s">
        <v>9479</v>
      </c>
      <c r="B54" s="2113" t="str">
        <f t="shared" si="1"/>
        <v>015-907</v>
      </c>
      <c r="C54" s="2978" t="s">
        <v>6048</v>
      </c>
      <c r="D54" s="2639">
        <v>22591402760</v>
      </c>
      <c r="E54" s="2639">
        <v>22123488272</v>
      </c>
      <c r="F54" s="2639">
        <v>22477467280</v>
      </c>
      <c r="G54" s="2639">
        <v>22009552792</v>
      </c>
      <c r="H54" s="2639">
        <v>22591402760</v>
      </c>
      <c r="I54" s="2639">
        <v>22123488272</v>
      </c>
      <c r="J54" s="2639">
        <v>22477467280</v>
      </c>
      <c r="K54" s="2639">
        <v>22009552792</v>
      </c>
      <c r="L54" s="2639">
        <v>1178614488</v>
      </c>
      <c r="M54" s="2639">
        <v>0</v>
      </c>
    </row>
    <row r="55" spans="1:13" ht="14.5">
      <c r="A55" s="2977" t="s">
        <v>9480</v>
      </c>
      <c r="B55" s="2113" t="str">
        <f t="shared" si="1"/>
        <v>015-908</v>
      </c>
      <c r="C55" s="2977" t="s">
        <v>6049</v>
      </c>
      <c r="D55" s="2637">
        <v>2188873784</v>
      </c>
      <c r="E55" s="2637">
        <v>2123026626</v>
      </c>
      <c r="F55" s="2637">
        <v>2188873784</v>
      </c>
      <c r="G55" s="2637">
        <v>2123026626</v>
      </c>
      <c r="H55" s="2637">
        <v>2188873784</v>
      </c>
      <c r="I55" s="2637">
        <v>2123026626</v>
      </c>
      <c r="J55" s="2637">
        <v>2188873784</v>
      </c>
      <c r="K55" s="2637">
        <v>2123026626</v>
      </c>
      <c r="L55" s="2637">
        <v>166512158</v>
      </c>
      <c r="M55" s="2637">
        <v>0</v>
      </c>
    </row>
    <row r="56" spans="1:13" ht="14.5">
      <c r="A56" s="2978" t="s">
        <v>9481</v>
      </c>
      <c r="B56" s="2113" t="str">
        <f t="shared" si="1"/>
        <v>015-909</v>
      </c>
      <c r="C56" s="2978" t="s">
        <v>6050</v>
      </c>
      <c r="D56" s="2639">
        <v>732556042</v>
      </c>
      <c r="E56" s="2639">
        <v>706969386</v>
      </c>
      <c r="F56" s="2639">
        <v>732556042</v>
      </c>
      <c r="G56" s="2639">
        <v>706969386</v>
      </c>
      <c r="H56" s="2639">
        <v>732556042</v>
      </c>
      <c r="I56" s="2639">
        <v>706969386</v>
      </c>
      <c r="J56" s="2639">
        <v>732556042</v>
      </c>
      <c r="K56" s="2639">
        <v>706969386</v>
      </c>
      <c r="L56" s="2639">
        <v>68696656</v>
      </c>
      <c r="M56" s="2639">
        <v>0</v>
      </c>
    </row>
    <row r="57" spans="1:13" ht="14.5">
      <c r="A57" s="2977" t="s">
        <v>9482</v>
      </c>
      <c r="B57" s="2113" t="str">
        <f t="shared" si="1"/>
        <v>015-910</v>
      </c>
      <c r="C57" s="2977" t="s">
        <v>6051</v>
      </c>
      <c r="D57" s="2637">
        <v>45806717637</v>
      </c>
      <c r="E57" s="2637">
        <v>44964021917</v>
      </c>
      <c r="F57" s="2637">
        <v>45806717637</v>
      </c>
      <c r="G57" s="2637">
        <v>44964021917</v>
      </c>
      <c r="H57" s="2637">
        <v>45806717637</v>
      </c>
      <c r="I57" s="2637">
        <v>44964021917</v>
      </c>
      <c r="J57" s="2637">
        <v>45806717637</v>
      </c>
      <c r="K57" s="2637">
        <v>44964021917</v>
      </c>
      <c r="L57" s="2637">
        <v>2117545720</v>
      </c>
      <c r="M57" s="2637">
        <v>0</v>
      </c>
    </row>
    <row r="58" spans="1:13" ht="14.5">
      <c r="A58" s="2978" t="s">
        <v>9483</v>
      </c>
      <c r="B58" s="2113" t="str">
        <f t="shared" si="1"/>
        <v>015-911</v>
      </c>
      <c r="C58" s="2978" t="s">
        <v>6052</v>
      </c>
      <c r="D58" s="2639">
        <v>5239193100</v>
      </c>
      <c r="E58" s="2639">
        <v>5116326332</v>
      </c>
      <c r="F58" s="2639">
        <v>5239193100</v>
      </c>
      <c r="G58" s="2639">
        <v>5116326332</v>
      </c>
      <c r="H58" s="2639">
        <v>5239193100</v>
      </c>
      <c r="I58" s="2639">
        <v>5116326332</v>
      </c>
      <c r="J58" s="2639">
        <v>5239193100</v>
      </c>
      <c r="K58" s="2639">
        <v>5116326332</v>
      </c>
      <c r="L58" s="2639">
        <v>320296768</v>
      </c>
      <c r="M58" s="2639">
        <v>0</v>
      </c>
    </row>
    <row r="59" spans="1:13" ht="14.5">
      <c r="A59" s="2977" t="s">
        <v>9484</v>
      </c>
      <c r="B59" s="2113" t="str">
        <f t="shared" si="1"/>
        <v>015-912</v>
      </c>
      <c r="C59" s="2977" t="s">
        <v>6053</v>
      </c>
      <c r="D59" s="2637">
        <v>4594493269</v>
      </c>
      <c r="E59" s="2637">
        <v>4495907126</v>
      </c>
      <c r="F59" s="2637">
        <v>4594493269</v>
      </c>
      <c r="G59" s="2637">
        <v>4495907126</v>
      </c>
      <c r="H59" s="2637">
        <v>4594493269</v>
      </c>
      <c r="I59" s="2637">
        <v>4495907126</v>
      </c>
      <c r="J59" s="2637">
        <v>4594493269</v>
      </c>
      <c r="K59" s="2637">
        <v>4495907126</v>
      </c>
      <c r="L59" s="2637">
        <v>253581143</v>
      </c>
      <c r="M59" s="2637">
        <v>0</v>
      </c>
    </row>
    <row r="60" spans="1:13" ht="14.5">
      <c r="A60" s="2978" t="s">
        <v>9485</v>
      </c>
      <c r="B60" s="2113" t="str">
        <f t="shared" si="1"/>
        <v>015-915</v>
      </c>
      <c r="C60" s="2978" t="s">
        <v>6054</v>
      </c>
      <c r="D60" s="2639">
        <v>66320280275</v>
      </c>
      <c r="E60" s="2639">
        <v>65122604892</v>
      </c>
      <c r="F60" s="2639">
        <v>66320280275</v>
      </c>
      <c r="G60" s="2639">
        <v>65122604892</v>
      </c>
      <c r="H60" s="2639">
        <v>66320280275</v>
      </c>
      <c r="I60" s="2639">
        <v>65122604892</v>
      </c>
      <c r="J60" s="2639">
        <v>66320280275</v>
      </c>
      <c r="K60" s="2639">
        <v>65122604892</v>
      </c>
      <c r="L60" s="2639">
        <v>3008490383</v>
      </c>
      <c r="M60" s="2639">
        <v>0</v>
      </c>
    </row>
    <row r="61" spans="1:13" ht="14.5">
      <c r="A61" s="2977" t="s">
        <v>9486</v>
      </c>
      <c r="B61" s="2113" t="str">
        <f t="shared" si="1"/>
        <v>015-916</v>
      </c>
      <c r="C61" s="2977" t="s">
        <v>6055</v>
      </c>
      <c r="D61" s="2637">
        <v>12341888629</v>
      </c>
      <c r="E61" s="2637">
        <v>12078519854</v>
      </c>
      <c r="F61" s="2637">
        <v>12341888629</v>
      </c>
      <c r="G61" s="2637">
        <v>12078519854</v>
      </c>
      <c r="H61" s="2637">
        <v>12341888629</v>
      </c>
      <c r="I61" s="2637">
        <v>12078519854</v>
      </c>
      <c r="J61" s="2637">
        <v>12341888629</v>
      </c>
      <c r="K61" s="2637">
        <v>12078519854</v>
      </c>
      <c r="L61" s="2637">
        <v>662923775</v>
      </c>
      <c r="M61" s="2637">
        <v>0</v>
      </c>
    </row>
    <row r="62" spans="1:13" ht="14.5">
      <c r="A62" s="2978" t="s">
        <v>9487</v>
      </c>
      <c r="B62" s="2113" t="str">
        <f t="shared" si="1"/>
        <v>015-917</v>
      </c>
      <c r="C62" s="2978" t="s">
        <v>6056</v>
      </c>
      <c r="D62" s="2639">
        <v>1436665449</v>
      </c>
      <c r="E62" s="2639">
        <v>1395857490</v>
      </c>
      <c r="F62" s="2639">
        <v>1436665449</v>
      </c>
      <c r="G62" s="2639">
        <v>1395857490</v>
      </c>
      <c r="H62" s="2639">
        <v>1436665449</v>
      </c>
      <c r="I62" s="2639">
        <v>1395857490</v>
      </c>
      <c r="J62" s="2639">
        <v>1436665449</v>
      </c>
      <c r="K62" s="2639">
        <v>1395857490</v>
      </c>
      <c r="L62" s="2639">
        <v>112417959</v>
      </c>
      <c r="M62" s="2639">
        <v>0</v>
      </c>
    </row>
    <row r="63" spans="1:13" ht="14.5">
      <c r="A63" s="2977" t="s">
        <v>9488</v>
      </c>
      <c r="B63" s="2113" t="str">
        <f t="shared" si="1"/>
        <v>016-901</v>
      </c>
      <c r="C63" s="2977" t="s">
        <v>6057</v>
      </c>
      <c r="D63" s="2637">
        <v>1127720066</v>
      </c>
      <c r="E63" s="2637">
        <v>1111793757</v>
      </c>
      <c r="F63" s="2637">
        <v>1127720066</v>
      </c>
      <c r="G63" s="2637">
        <v>1111793757</v>
      </c>
      <c r="H63" s="2637">
        <v>1127720066</v>
      </c>
      <c r="I63" s="2637">
        <v>1111793757</v>
      </c>
      <c r="J63" s="2637">
        <v>1127720066</v>
      </c>
      <c r="K63" s="2637">
        <v>1111793757</v>
      </c>
      <c r="L63" s="2637">
        <v>41246309</v>
      </c>
      <c r="M63" s="2637">
        <v>0</v>
      </c>
    </row>
    <row r="64" spans="1:13" ht="14.5">
      <c r="A64" s="2978" t="s">
        <v>9489</v>
      </c>
      <c r="B64" s="2113" t="str">
        <f t="shared" si="1"/>
        <v>016-902</v>
      </c>
      <c r="C64" s="2978" t="s">
        <v>6058</v>
      </c>
      <c r="D64" s="2639">
        <v>1341013114</v>
      </c>
      <c r="E64" s="2639">
        <v>1319575904</v>
      </c>
      <c r="F64" s="2639">
        <v>1341013114</v>
      </c>
      <c r="G64" s="2639">
        <v>1319575904</v>
      </c>
      <c r="H64" s="2639">
        <v>1341013114</v>
      </c>
      <c r="I64" s="2639">
        <v>1319575904</v>
      </c>
      <c r="J64" s="2639">
        <v>1341013114</v>
      </c>
      <c r="K64" s="2639">
        <v>1319575904</v>
      </c>
      <c r="L64" s="2639">
        <v>56102210</v>
      </c>
      <c r="M64" s="2639">
        <v>0</v>
      </c>
    </row>
    <row r="65" spans="1:13" ht="14.5">
      <c r="A65" s="2977" t="s">
        <v>9490</v>
      </c>
      <c r="B65" s="2113" t="str">
        <f t="shared" si="1"/>
        <v>017-901</v>
      </c>
      <c r="C65" s="2977" t="s">
        <v>6059</v>
      </c>
      <c r="D65" s="2637">
        <v>763946168</v>
      </c>
      <c r="E65" s="2637">
        <v>763465988</v>
      </c>
      <c r="F65" s="2637">
        <v>763595322</v>
      </c>
      <c r="G65" s="2637">
        <v>763115142</v>
      </c>
      <c r="H65" s="2637">
        <v>1133086318</v>
      </c>
      <c r="I65" s="2637">
        <v>1132606138</v>
      </c>
      <c r="J65" s="2637">
        <v>1132735472</v>
      </c>
      <c r="K65" s="2637">
        <v>1132255292</v>
      </c>
      <c r="L65" s="2637">
        <v>2715180</v>
      </c>
      <c r="M65" s="2637">
        <v>369140150</v>
      </c>
    </row>
    <row r="66" spans="1:13" ht="14.5">
      <c r="A66" s="2978" t="s">
        <v>9491</v>
      </c>
      <c r="B66" s="2113" t="str">
        <f t="shared" si="1"/>
        <v>018-901</v>
      </c>
      <c r="C66" s="2978" t="s">
        <v>6060</v>
      </c>
      <c r="D66" s="2639">
        <v>767222218</v>
      </c>
      <c r="E66" s="2639">
        <v>750601361</v>
      </c>
      <c r="F66" s="2639">
        <v>767222218</v>
      </c>
      <c r="G66" s="2639">
        <v>750601361</v>
      </c>
      <c r="H66" s="2639">
        <v>767222218</v>
      </c>
      <c r="I66" s="2639">
        <v>750601361</v>
      </c>
      <c r="J66" s="2639">
        <v>767222218</v>
      </c>
      <c r="K66" s="2639">
        <v>750601361</v>
      </c>
      <c r="L66" s="2639">
        <v>43815857</v>
      </c>
      <c r="M66" s="2639">
        <v>0</v>
      </c>
    </row>
    <row r="67" spans="1:13" ht="14.5">
      <c r="A67" s="2977" t="s">
        <v>9492</v>
      </c>
      <c r="B67" s="2113" t="str">
        <f t="shared" ref="B67:B130" si="2">CONCATENATE(RIGHT(LEFT(CONCATENATE("000",A67),6),3),"-",(LEFT(RIGHT(CONCATENATE("000",A67),6),3)))</f>
        <v>018-902</v>
      </c>
      <c r="C67" s="2977" t="s">
        <v>6061</v>
      </c>
      <c r="D67" s="2637">
        <v>286008652</v>
      </c>
      <c r="E67" s="2637">
        <v>279594739</v>
      </c>
      <c r="F67" s="2637">
        <v>286008652</v>
      </c>
      <c r="G67" s="2637">
        <v>279594739</v>
      </c>
      <c r="H67" s="2637">
        <v>286008652</v>
      </c>
      <c r="I67" s="2637">
        <v>279594739</v>
      </c>
      <c r="J67" s="2637">
        <v>286008652</v>
      </c>
      <c r="K67" s="2637">
        <v>279594739</v>
      </c>
      <c r="L67" s="2637">
        <v>16808913</v>
      </c>
      <c r="M67" s="2637">
        <v>0</v>
      </c>
    </row>
    <row r="68" spans="1:13" ht="14.5">
      <c r="A68" s="2978" t="s">
        <v>9493</v>
      </c>
      <c r="B68" s="2113" t="str">
        <f t="shared" si="2"/>
        <v>018-903</v>
      </c>
      <c r="C68" s="2978" t="s">
        <v>6062</v>
      </c>
      <c r="D68" s="2639">
        <v>98860324</v>
      </c>
      <c r="E68" s="2639">
        <v>96732086</v>
      </c>
      <c r="F68" s="2639">
        <v>98860324</v>
      </c>
      <c r="G68" s="2639">
        <v>96732086</v>
      </c>
      <c r="H68" s="2639">
        <v>98860324</v>
      </c>
      <c r="I68" s="2639">
        <v>96732086</v>
      </c>
      <c r="J68" s="2639">
        <v>98860324</v>
      </c>
      <c r="K68" s="2639">
        <v>96732086</v>
      </c>
      <c r="L68" s="2639">
        <v>5923238</v>
      </c>
      <c r="M68" s="2639">
        <v>0</v>
      </c>
    </row>
    <row r="69" spans="1:13" ht="14.5">
      <c r="A69" s="2977" t="s">
        <v>9494</v>
      </c>
      <c r="B69" s="2113" t="str">
        <f t="shared" si="2"/>
        <v>018-904</v>
      </c>
      <c r="C69" s="2977" t="s">
        <v>6063</v>
      </c>
      <c r="D69" s="2637">
        <v>315824021</v>
      </c>
      <c r="E69" s="2637">
        <v>307642521</v>
      </c>
      <c r="F69" s="2637">
        <v>315824021</v>
      </c>
      <c r="G69" s="2637">
        <v>307642521</v>
      </c>
      <c r="H69" s="2637">
        <v>315824021</v>
      </c>
      <c r="I69" s="2637">
        <v>307642521</v>
      </c>
      <c r="J69" s="2637">
        <v>315824021</v>
      </c>
      <c r="K69" s="2637">
        <v>307642521</v>
      </c>
      <c r="L69" s="2637">
        <v>21891500</v>
      </c>
      <c r="M69" s="2637">
        <v>0</v>
      </c>
    </row>
    <row r="70" spans="1:13" ht="14.5">
      <c r="A70" s="2978" t="s">
        <v>9495</v>
      </c>
      <c r="B70" s="2113" t="str">
        <f t="shared" si="2"/>
        <v>018-905</v>
      </c>
      <c r="C70" s="2978" t="s">
        <v>6064</v>
      </c>
      <c r="D70" s="2639">
        <v>141229394</v>
      </c>
      <c r="E70" s="2639">
        <v>139072926</v>
      </c>
      <c r="F70" s="2639">
        <v>141229394</v>
      </c>
      <c r="G70" s="2639">
        <v>139072926</v>
      </c>
      <c r="H70" s="2639">
        <v>141229394</v>
      </c>
      <c r="I70" s="2639">
        <v>139072926</v>
      </c>
      <c r="J70" s="2639">
        <v>141229394</v>
      </c>
      <c r="K70" s="2639">
        <v>139072926</v>
      </c>
      <c r="L70" s="2639">
        <v>6191468</v>
      </c>
      <c r="M70" s="2639">
        <v>0</v>
      </c>
    </row>
    <row r="71" spans="1:13" ht="14.5">
      <c r="A71" s="2977" t="s">
        <v>9496</v>
      </c>
      <c r="B71" s="2113" t="str">
        <f t="shared" si="2"/>
        <v>018-906</v>
      </c>
      <c r="C71" s="2977" t="s">
        <v>6065</v>
      </c>
      <c r="D71" s="2637">
        <v>182241455</v>
      </c>
      <c r="E71" s="2637">
        <v>179702314</v>
      </c>
      <c r="F71" s="2637">
        <v>182241455</v>
      </c>
      <c r="G71" s="2637">
        <v>179702314</v>
      </c>
      <c r="H71" s="2637">
        <v>182241455</v>
      </c>
      <c r="I71" s="2637">
        <v>179702314</v>
      </c>
      <c r="J71" s="2637">
        <v>182241455</v>
      </c>
      <c r="K71" s="2637">
        <v>179702314</v>
      </c>
      <c r="L71" s="2637">
        <v>7024141</v>
      </c>
      <c r="M71" s="2637">
        <v>0</v>
      </c>
    </row>
    <row r="72" spans="1:13" ht="14.5">
      <c r="A72" s="2978" t="s">
        <v>9497</v>
      </c>
      <c r="B72" s="2113" t="str">
        <f t="shared" si="2"/>
        <v>018-907</v>
      </c>
      <c r="C72" s="2978" t="s">
        <v>6066</v>
      </c>
      <c r="D72" s="2639">
        <v>221897353</v>
      </c>
      <c r="E72" s="2639">
        <v>216886260</v>
      </c>
      <c r="F72" s="2639">
        <v>221897353</v>
      </c>
      <c r="G72" s="2639">
        <v>216886260</v>
      </c>
      <c r="H72" s="2639">
        <v>221897353</v>
      </c>
      <c r="I72" s="2639">
        <v>216886260</v>
      </c>
      <c r="J72" s="2639">
        <v>221897353</v>
      </c>
      <c r="K72" s="2639">
        <v>216886260</v>
      </c>
      <c r="L72" s="2639">
        <v>14956093</v>
      </c>
      <c r="M72" s="2639">
        <v>0</v>
      </c>
    </row>
    <row r="73" spans="1:13" ht="14.5">
      <c r="A73" s="2977" t="s">
        <v>9498</v>
      </c>
      <c r="B73" s="2113" t="str">
        <f t="shared" si="2"/>
        <v>018-908</v>
      </c>
      <c r="C73" s="2977" t="s">
        <v>6067</v>
      </c>
      <c r="D73" s="2637">
        <v>146561830</v>
      </c>
      <c r="E73" s="2637">
        <v>144262512</v>
      </c>
      <c r="F73" s="2637">
        <v>146561830</v>
      </c>
      <c r="G73" s="2637">
        <v>144262512</v>
      </c>
      <c r="H73" s="2637">
        <v>146561830</v>
      </c>
      <c r="I73" s="2637">
        <v>144262512</v>
      </c>
      <c r="J73" s="2637">
        <v>146561830</v>
      </c>
      <c r="K73" s="2637">
        <v>144262512</v>
      </c>
      <c r="L73" s="2637">
        <v>6199318</v>
      </c>
      <c r="M73" s="2637">
        <v>0</v>
      </c>
    </row>
    <row r="74" spans="1:13" ht="14.5">
      <c r="A74" s="2978" t="s">
        <v>9499</v>
      </c>
      <c r="B74" s="2113" t="str">
        <f t="shared" si="2"/>
        <v>019-901</v>
      </c>
      <c r="C74" s="2978" t="s">
        <v>6068</v>
      </c>
      <c r="D74" s="2639">
        <v>232756636</v>
      </c>
      <c r="E74" s="2639">
        <v>223168295</v>
      </c>
      <c r="F74" s="2639">
        <v>232756636</v>
      </c>
      <c r="G74" s="2639">
        <v>223168295</v>
      </c>
      <c r="H74" s="2639">
        <v>232756636</v>
      </c>
      <c r="I74" s="2639">
        <v>223168295</v>
      </c>
      <c r="J74" s="2639">
        <v>232756636</v>
      </c>
      <c r="K74" s="2639">
        <v>223168295</v>
      </c>
      <c r="L74" s="2639">
        <v>26658341</v>
      </c>
      <c r="M74" s="2639">
        <v>0</v>
      </c>
    </row>
    <row r="75" spans="1:13" ht="14.5">
      <c r="A75" s="2977" t="s">
        <v>9500</v>
      </c>
      <c r="B75" s="2113" t="str">
        <f t="shared" si="2"/>
        <v>019-902</v>
      </c>
      <c r="C75" s="2977" t="s">
        <v>6069</v>
      </c>
      <c r="D75" s="2637">
        <v>186663741</v>
      </c>
      <c r="E75" s="2637">
        <v>178005687</v>
      </c>
      <c r="F75" s="2637">
        <v>186663741</v>
      </c>
      <c r="G75" s="2637">
        <v>178005687</v>
      </c>
      <c r="H75" s="2637">
        <v>186663741</v>
      </c>
      <c r="I75" s="2637">
        <v>178005687</v>
      </c>
      <c r="J75" s="2637">
        <v>186663741</v>
      </c>
      <c r="K75" s="2637">
        <v>178005687</v>
      </c>
      <c r="L75" s="2637">
        <v>24948054</v>
      </c>
      <c r="M75" s="2637">
        <v>0</v>
      </c>
    </row>
    <row r="76" spans="1:13" ht="14.5">
      <c r="A76" s="2978" t="s">
        <v>9501</v>
      </c>
      <c r="B76" s="2113" t="str">
        <f t="shared" si="2"/>
        <v>019-903</v>
      </c>
      <c r="C76" s="2978" t="s">
        <v>6070</v>
      </c>
      <c r="D76" s="2639">
        <v>80981610</v>
      </c>
      <c r="E76" s="2639">
        <v>76272638</v>
      </c>
      <c r="F76" s="2639">
        <v>80981610</v>
      </c>
      <c r="G76" s="2639">
        <v>76272638</v>
      </c>
      <c r="H76" s="2639">
        <v>80981610</v>
      </c>
      <c r="I76" s="2639">
        <v>76272638</v>
      </c>
      <c r="J76" s="2639">
        <v>80981610</v>
      </c>
      <c r="K76" s="2639">
        <v>76272638</v>
      </c>
      <c r="L76" s="2639">
        <v>13678972</v>
      </c>
      <c r="M76" s="2639">
        <v>0</v>
      </c>
    </row>
    <row r="77" spans="1:13" ht="14.5">
      <c r="A77" s="2977" t="s">
        <v>9502</v>
      </c>
      <c r="B77" s="2113" t="str">
        <f t="shared" si="2"/>
        <v>019-905</v>
      </c>
      <c r="C77" s="2977" t="s">
        <v>6071</v>
      </c>
      <c r="D77" s="2637">
        <v>430870425</v>
      </c>
      <c r="E77" s="2637">
        <v>415970267</v>
      </c>
      <c r="F77" s="2637">
        <v>430870425</v>
      </c>
      <c r="G77" s="2637">
        <v>415970267</v>
      </c>
      <c r="H77" s="2637">
        <v>430870425</v>
      </c>
      <c r="I77" s="2637">
        <v>415970267</v>
      </c>
      <c r="J77" s="2637">
        <v>430870425</v>
      </c>
      <c r="K77" s="2637">
        <v>415970267</v>
      </c>
      <c r="L77" s="2637">
        <v>41000158</v>
      </c>
      <c r="M77" s="2637">
        <v>0</v>
      </c>
    </row>
    <row r="78" spans="1:13" ht="14.5">
      <c r="A78" s="2978" t="s">
        <v>9503</v>
      </c>
      <c r="B78" s="2113" t="str">
        <f t="shared" si="2"/>
        <v>019-906</v>
      </c>
      <c r="C78" s="2978" t="s">
        <v>6072</v>
      </c>
      <c r="D78" s="2639">
        <v>314414576</v>
      </c>
      <c r="E78" s="2639">
        <v>301529090</v>
      </c>
      <c r="F78" s="2639">
        <v>314414576</v>
      </c>
      <c r="G78" s="2639">
        <v>301529090</v>
      </c>
      <c r="H78" s="2639">
        <v>314414576</v>
      </c>
      <c r="I78" s="2639">
        <v>301529090</v>
      </c>
      <c r="J78" s="2639">
        <v>314414576</v>
      </c>
      <c r="K78" s="2639">
        <v>301529090</v>
      </c>
      <c r="L78" s="2639">
        <v>34425486</v>
      </c>
      <c r="M78" s="2639">
        <v>0</v>
      </c>
    </row>
    <row r="79" spans="1:13" ht="14.5">
      <c r="A79" s="2977" t="s">
        <v>9504</v>
      </c>
      <c r="B79" s="2113" t="str">
        <f t="shared" si="2"/>
        <v>019-907</v>
      </c>
      <c r="C79" s="2977" t="s">
        <v>6073</v>
      </c>
      <c r="D79" s="2637">
        <v>2248035180</v>
      </c>
      <c r="E79" s="2637">
        <v>2203831926</v>
      </c>
      <c r="F79" s="2637">
        <v>2248035180</v>
      </c>
      <c r="G79" s="2637">
        <v>2203831926</v>
      </c>
      <c r="H79" s="2637">
        <v>2248035180</v>
      </c>
      <c r="I79" s="2637">
        <v>2203831926</v>
      </c>
      <c r="J79" s="2637">
        <v>2248035180</v>
      </c>
      <c r="K79" s="2637">
        <v>2203831926</v>
      </c>
      <c r="L79" s="2637">
        <v>117523254</v>
      </c>
      <c r="M79" s="2637">
        <v>0</v>
      </c>
    </row>
    <row r="80" spans="1:13" ht="14.5">
      <c r="A80" s="2978" t="s">
        <v>9505</v>
      </c>
      <c r="B80" s="2113" t="str">
        <f t="shared" si="2"/>
        <v>019-908</v>
      </c>
      <c r="C80" s="2978" t="s">
        <v>6074</v>
      </c>
      <c r="D80" s="2639">
        <v>620001966</v>
      </c>
      <c r="E80" s="2639">
        <v>597656974</v>
      </c>
      <c r="F80" s="2639">
        <v>620001966</v>
      </c>
      <c r="G80" s="2639">
        <v>597656974</v>
      </c>
      <c r="H80" s="2639">
        <v>620001966</v>
      </c>
      <c r="I80" s="2639">
        <v>597656974</v>
      </c>
      <c r="J80" s="2639">
        <v>620001966</v>
      </c>
      <c r="K80" s="2639">
        <v>597656974</v>
      </c>
      <c r="L80" s="2639">
        <v>63999992</v>
      </c>
      <c r="M80" s="2639">
        <v>0</v>
      </c>
    </row>
    <row r="81" spans="1:13" ht="14.5">
      <c r="A81" s="2977" t="s">
        <v>9506</v>
      </c>
      <c r="B81" s="2113" t="str">
        <f t="shared" si="2"/>
        <v>019-909</v>
      </c>
      <c r="C81" s="2977" t="s">
        <v>6075</v>
      </c>
      <c r="D81" s="2637">
        <v>150449905</v>
      </c>
      <c r="E81" s="2637">
        <v>143558637</v>
      </c>
      <c r="F81" s="2637">
        <v>150449905</v>
      </c>
      <c r="G81" s="2637">
        <v>143558637</v>
      </c>
      <c r="H81" s="2637">
        <v>150449905</v>
      </c>
      <c r="I81" s="2637">
        <v>143558637</v>
      </c>
      <c r="J81" s="2637">
        <v>150449905</v>
      </c>
      <c r="K81" s="2637">
        <v>143558637</v>
      </c>
      <c r="L81" s="2637">
        <v>19566268</v>
      </c>
      <c r="M81" s="2637">
        <v>0</v>
      </c>
    </row>
    <row r="82" spans="1:13" ht="14.5">
      <c r="A82" s="2978" t="s">
        <v>9507</v>
      </c>
      <c r="B82" s="2113" t="str">
        <f t="shared" si="2"/>
        <v>019-910</v>
      </c>
      <c r="C82" s="2978" t="s">
        <v>6076</v>
      </c>
      <c r="D82" s="2639">
        <v>29842762</v>
      </c>
      <c r="E82" s="2639">
        <v>28232819</v>
      </c>
      <c r="F82" s="2639">
        <v>29842762</v>
      </c>
      <c r="G82" s="2639">
        <v>28232819</v>
      </c>
      <c r="H82" s="2639">
        <v>29842762</v>
      </c>
      <c r="I82" s="2639">
        <v>28232819</v>
      </c>
      <c r="J82" s="2639">
        <v>29842762</v>
      </c>
      <c r="K82" s="2639">
        <v>28232819</v>
      </c>
      <c r="L82" s="2639">
        <v>4504943</v>
      </c>
      <c r="M82" s="2639">
        <v>0</v>
      </c>
    </row>
    <row r="83" spans="1:13" ht="14.5">
      <c r="A83" s="2977" t="s">
        <v>9508</v>
      </c>
      <c r="B83" s="2113" t="str">
        <f t="shared" si="2"/>
        <v>019-911</v>
      </c>
      <c r="C83" s="2977" t="s">
        <v>6077</v>
      </c>
      <c r="D83" s="2637">
        <v>272077785</v>
      </c>
      <c r="E83" s="2637">
        <v>264466569</v>
      </c>
      <c r="F83" s="2637">
        <v>272077785</v>
      </c>
      <c r="G83" s="2637">
        <v>264466569</v>
      </c>
      <c r="H83" s="2637">
        <v>272077785</v>
      </c>
      <c r="I83" s="2637">
        <v>264466569</v>
      </c>
      <c r="J83" s="2637">
        <v>272077785</v>
      </c>
      <c r="K83" s="2637">
        <v>264466569</v>
      </c>
      <c r="L83" s="2637">
        <v>19791216</v>
      </c>
      <c r="M83" s="2637">
        <v>0</v>
      </c>
    </row>
    <row r="84" spans="1:13" ht="14.5">
      <c r="A84" s="2978" t="s">
        <v>9509</v>
      </c>
      <c r="B84" s="2113" t="str">
        <f t="shared" si="2"/>
        <v>019-912</v>
      </c>
      <c r="C84" s="2978" t="s">
        <v>6078</v>
      </c>
      <c r="D84" s="2639">
        <v>1043813711</v>
      </c>
      <c r="E84" s="2639">
        <v>1018549269</v>
      </c>
      <c r="F84" s="2639">
        <v>1043813711</v>
      </c>
      <c r="G84" s="2639">
        <v>1018549269</v>
      </c>
      <c r="H84" s="2639">
        <v>1043813711</v>
      </c>
      <c r="I84" s="2639">
        <v>1018549269</v>
      </c>
      <c r="J84" s="2639">
        <v>1043813711</v>
      </c>
      <c r="K84" s="2639">
        <v>1018549269</v>
      </c>
      <c r="L84" s="2639">
        <v>64264442</v>
      </c>
      <c r="M84" s="2639">
        <v>0</v>
      </c>
    </row>
    <row r="85" spans="1:13" ht="14.5">
      <c r="A85" s="2977" t="s">
        <v>9510</v>
      </c>
      <c r="B85" s="2113" t="str">
        <f t="shared" si="2"/>
        <v>019-913</v>
      </c>
      <c r="C85" s="2977" t="s">
        <v>6079</v>
      </c>
      <c r="D85" s="2637">
        <v>27000187</v>
      </c>
      <c r="E85" s="2637">
        <v>25483684</v>
      </c>
      <c r="F85" s="2637">
        <v>27000187</v>
      </c>
      <c r="G85" s="2637">
        <v>25483684</v>
      </c>
      <c r="H85" s="2637">
        <v>27000187</v>
      </c>
      <c r="I85" s="2637">
        <v>25483684</v>
      </c>
      <c r="J85" s="2637">
        <v>27000187</v>
      </c>
      <c r="K85" s="2637">
        <v>25483684</v>
      </c>
      <c r="L85" s="2637">
        <v>4336503</v>
      </c>
      <c r="M85" s="2637">
        <v>0</v>
      </c>
    </row>
    <row r="86" spans="1:13" ht="14.5">
      <c r="A86" s="2978" t="s">
        <v>9511</v>
      </c>
      <c r="B86" s="2113" t="str">
        <f t="shared" si="2"/>
        <v>019-914</v>
      </c>
      <c r="C86" s="2978" t="s">
        <v>6080</v>
      </c>
      <c r="D86" s="2639">
        <v>50566314</v>
      </c>
      <c r="E86" s="2639">
        <v>48843400</v>
      </c>
      <c r="F86" s="2639">
        <v>50566314</v>
      </c>
      <c r="G86" s="2639">
        <v>48843400</v>
      </c>
      <c r="H86" s="2639">
        <v>50566314</v>
      </c>
      <c r="I86" s="2639">
        <v>48843400</v>
      </c>
      <c r="J86" s="2639">
        <v>50566314</v>
      </c>
      <c r="K86" s="2639">
        <v>48843400</v>
      </c>
      <c r="L86" s="2639">
        <v>5202914</v>
      </c>
      <c r="M86" s="2639">
        <v>0</v>
      </c>
    </row>
    <row r="87" spans="1:13" ht="14.5">
      <c r="A87" s="2977" t="s">
        <v>9512</v>
      </c>
      <c r="B87" s="2113" t="str">
        <f t="shared" si="2"/>
        <v>020-901</v>
      </c>
      <c r="C87" s="2977" t="s">
        <v>6081</v>
      </c>
      <c r="D87" s="2637">
        <v>9366575861</v>
      </c>
      <c r="E87" s="2637">
        <v>9099354884</v>
      </c>
      <c r="F87" s="2637">
        <v>9366575861</v>
      </c>
      <c r="G87" s="2637">
        <v>9099354884</v>
      </c>
      <c r="H87" s="2637">
        <v>9366575861</v>
      </c>
      <c r="I87" s="2637">
        <v>9099354884</v>
      </c>
      <c r="J87" s="2637">
        <v>9366575861</v>
      </c>
      <c r="K87" s="2637">
        <v>9099354884</v>
      </c>
      <c r="L87" s="2637">
        <v>699490977</v>
      </c>
      <c r="M87" s="2637">
        <v>0</v>
      </c>
    </row>
    <row r="88" spans="1:13" ht="14.5">
      <c r="A88" s="2978" t="s">
        <v>9513</v>
      </c>
      <c r="B88" s="2113" t="str">
        <f t="shared" si="2"/>
        <v>020-902</v>
      </c>
      <c r="C88" s="2978" t="s">
        <v>6082</v>
      </c>
      <c r="D88" s="2639">
        <v>4172469492</v>
      </c>
      <c r="E88" s="2639">
        <v>4102456848</v>
      </c>
      <c r="F88" s="2639">
        <v>4172469492</v>
      </c>
      <c r="G88" s="2639">
        <v>4102456848</v>
      </c>
      <c r="H88" s="2639">
        <v>4652322262</v>
      </c>
      <c r="I88" s="2639">
        <v>4582309618</v>
      </c>
      <c r="J88" s="2639">
        <v>4652322262</v>
      </c>
      <c r="K88" s="2639">
        <v>4582309618</v>
      </c>
      <c r="L88" s="2639">
        <v>188962644</v>
      </c>
      <c r="M88" s="2639">
        <v>479852770</v>
      </c>
    </row>
    <row r="89" spans="1:13" ht="14.5">
      <c r="A89" s="2977" t="s">
        <v>9514</v>
      </c>
      <c r="B89" s="2113" t="str">
        <f t="shared" si="2"/>
        <v>020-904</v>
      </c>
      <c r="C89" s="2977" t="s">
        <v>6083</v>
      </c>
      <c r="D89" s="2637">
        <v>376417336</v>
      </c>
      <c r="E89" s="2637">
        <v>366613080</v>
      </c>
      <c r="F89" s="2637">
        <v>376417336</v>
      </c>
      <c r="G89" s="2637">
        <v>366613080</v>
      </c>
      <c r="H89" s="2637">
        <v>376417336</v>
      </c>
      <c r="I89" s="2637">
        <v>366613080</v>
      </c>
      <c r="J89" s="2637">
        <v>376417336</v>
      </c>
      <c r="K89" s="2637">
        <v>366613080</v>
      </c>
      <c r="L89" s="2637">
        <v>25599256</v>
      </c>
      <c r="M89" s="2637">
        <v>0</v>
      </c>
    </row>
    <row r="90" spans="1:13" ht="14.5">
      <c r="A90" s="2978" t="s">
        <v>9515</v>
      </c>
      <c r="B90" s="2113" t="str">
        <f t="shared" si="2"/>
        <v>020-905</v>
      </c>
      <c r="C90" s="2978" t="s">
        <v>6084</v>
      </c>
      <c r="D90" s="2639">
        <v>9792293714</v>
      </c>
      <c r="E90" s="2639">
        <v>9665550091</v>
      </c>
      <c r="F90" s="2639">
        <v>9668444085</v>
      </c>
      <c r="G90" s="2639">
        <v>9541700462</v>
      </c>
      <c r="H90" s="2639">
        <v>20653016084</v>
      </c>
      <c r="I90" s="2639">
        <v>20526272461</v>
      </c>
      <c r="J90" s="2639">
        <v>20529166455</v>
      </c>
      <c r="K90" s="2639">
        <v>20402422832</v>
      </c>
      <c r="L90" s="2639">
        <v>323843623</v>
      </c>
      <c r="M90" s="2639">
        <v>10860722370</v>
      </c>
    </row>
    <row r="91" spans="1:13" ht="14.5">
      <c r="A91" s="2977" t="s">
        <v>9516</v>
      </c>
      <c r="B91" s="2113" t="str">
        <f t="shared" si="2"/>
        <v>020-906</v>
      </c>
      <c r="C91" s="2977" t="s">
        <v>6085</v>
      </c>
      <c r="D91" s="2637">
        <v>2148462599</v>
      </c>
      <c r="E91" s="2637">
        <v>2124480707</v>
      </c>
      <c r="F91" s="2637">
        <v>2108794561</v>
      </c>
      <c r="G91" s="2637">
        <v>2084812669</v>
      </c>
      <c r="H91" s="2637">
        <v>4215071269</v>
      </c>
      <c r="I91" s="2637">
        <v>4191089377</v>
      </c>
      <c r="J91" s="2637">
        <v>4175403231</v>
      </c>
      <c r="K91" s="2637">
        <v>4151421339</v>
      </c>
      <c r="L91" s="2637">
        <v>64541892</v>
      </c>
      <c r="M91" s="2637">
        <v>2066608670</v>
      </c>
    </row>
    <row r="92" spans="1:13" ht="14.5">
      <c r="A92" s="2978" t="s">
        <v>9517</v>
      </c>
      <c r="B92" s="2113" t="str">
        <f t="shared" si="2"/>
        <v>020-907</v>
      </c>
      <c r="C92" s="2978" t="s">
        <v>6086</v>
      </c>
      <c r="D92" s="2639">
        <v>1825809677</v>
      </c>
      <c r="E92" s="2639">
        <v>1776453181</v>
      </c>
      <c r="F92" s="2639">
        <v>1780919174</v>
      </c>
      <c r="G92" s="2639">
        <v>1731562678</v>
      </c>
      <c r="H92" s="2639">
        <v>1825809677</v>
      </c>
      <c r="I92" s="2639">
        <v>1776453181</v>
      </c>
      <c r="J92" s="2639">
        <v>1780919174</v>
      </c>
      <c r="K92" s="2639">
        <v>1731562678</v>
      </c>
      <c r="L92" s="2639">
        <v>130866496</v>
      </c>
      <c r="M92" s="2639">
        <v>0</v>
      </c>
    </row>
    <row r="93" spans="1:13" ht="14.5">
      <c r="A93" s="2977" t="s">
        <v>9518</v>
      </c>
      <c r="B93" s="2113" t="str">
        <f t="shared" si="2"/>
        <v>020-908</v>
      </c>
      <c r="C93" s="2977" t="s">
        <v>6087</v>
      </c>
      <c r="D93" s="2637">
        <v>9280757232</v>
      </c>
      <c r="E93" s="2637">
        <v>9036411007</v>
      </c>
      <c r="F93" s="2637">
        <v>9280757232</v>
      </c>
      <c r="G93" s="2637">
        <v>9036411007</v>
      </c>
      <c r="H93" s="2637">
        <v>9280757232</v>
      </c>
      <c r="I93" s="2637">
        <v>9036411007</v>
      </c>
      <c r="J93" s="2637">
        <v>9280757232</v>
      </c>
      <c r="K93" s="2637">
        <v>9036411007</v>
      </c>
      <c r="L93" s="2637">
        <v>619766225</v>
      </c>
      <c r="M93" s="2637">
        <v>0</v>
      </c>
    </row>
    <row r="94" spans="1:13" ht="14.5">
      <c r="A94" s="2978" t="s">
        <v>9519</v>
      </c>
      <c r="B94" s="2113" t="str">
        <f t="shared" si="2"/>
        <v>020-910</v>
      </c>
      <c r="C94" s="2978" t="s">
        <v>6088</v>
      </c>
      <c r="D94" s="2639">
        <v>118060567</v>
      </c>
      <c r="E94" s="2639">
        <v>115945336</v>
      </c>
      <c r="F94" s="2639">
        <v>118060567</v>
      </c>
      <c r="G94" s="2639">
        <v>115945336</v>
      </c>
      <c r="H94" s="2639">
        <v>194239047</v>
      </c>
      <c r="I94" s="2639">
        <v>192123816</v>
      </c>
      <c r="J94" s="2639">
        <v>194239047</v>
      </c>
      <c r="K94" s="2639">
        <v>192123816</v>
      </c>
      <c r="L94" s="2639">
        <v>6375231</v>
      </c>
      <c r="M94" s="2639">
        <v>76178480</v>
      </c>
    </row>
    <row r="95" spans="1:13" ht="14.5">
      <c r="A95" s="2977" t="s">
        <v>9520</v>
      </c>
      <c r="B95" s="2113" t="str">
        <f t="shared" si="2"/>
        <v>021-901</v>
      </c>
      <c r="C95" s="2977" t="s">
        <v>6089</v>
      </c>
      <c r="D95" s="2637">
        <v>11455749203</v>
      </c>
      <c r="E95" s="2637">
        <v>11326004720</v>
      </c>
      <c r="F95" s="2637">
        <v>11455749203</v>
      </c>
      <c r="G95" s="2637">
        <v>11326004720</v>
      </c>
      <c r="H95" s="2637">
        <v>11455749203</v>
      </c>
      <c r="I95" s="2637">
        <v>11326004720</v>
      </c>
      <c r="J95" s="2637">
        <v>11455749203</v>
      </c>
      <c r="K95" s="2637">
        <v>11326004720</v>
      </c>
      <c r="L95" s="2637">
        <v>331209483</v>
      </c>
      <c r="M95" s="2637">
        <v>0</v>
      </c>
    </row>
    <row r="96" spans="1:13" ht="14.5">
      <c r="A96" s="2978" t="s">
        <v>9521</v>
      </c>
      <c r="B96" s="2113" t="str">
        <f t="shared" si="2"/>
        <v>021-902</v>
      </c>
      <c r="C96" s="2978" t="s">
        <v>6090</v>
      </c>
      <c r="D96" s="2639">
        <v>9638168764</v>
      </c>
      <c r="E96" s="2639">
        <v>9488612115</v>
      </c>
      <c r="F96" s="2639">
        <v>9638168764</v>
      </c>
      <c r="G96" s="2639">
        <v>9488612115</v>
      </c>
      <c r="H96" s="2639">
        <v>9789560313</v>
      </c>
      <c r="I96" s="2639">
        <v>9640003664</v>
      </c>
      <c r="J96" s="2639">
        <v>9789560313</v>
      </c>
      <c r="K96" s="2639">
        <v>9640003664</v>
      </c>
      <c r="L96" s="2639">
        <v>395841649</v>
      </c>
      <c r="M96" s="2639">
        <v>151391549</v>
      </c>
    </row>
    <row r="97" spans="1:13" ht="14.5">
      <c r="A97" s="2977" t="s">
        <v>9522</v>
      </c>
      <c r="B97" s="2113" t="str">
        <f t="shared" si="2"/>
        <v>022-004</v>
      </c>
      <c r="C97" s="2977" t="s">
        <v>6091</v>
      </c>
      <c r="D97" s="2637">
        <v>109257024</v>
      </c>
      <c r="E97" s="2637">
        <v>107571020</v>
      </c>
      <c r="F97" s="2637">
        <v>109257024</v>
      </c>
      <c r="G97" s="2637">
        <v>107571020</v>
      </c>
      <c r="H97" s="2637">
        <v>109257024</v>
      </c>
      <c r="I97" s="2637">
        <v>107571020</v>
      </c>
      <c r="J97" s="2637">
        <v>109257024</v>
      </c>
      <c r="K97" s="2637">
        <v>107571020</v>
      </c>
      <c r="L97" s="2637">
        <v>5001004</v>
      </c>
      <c r="M97" s="2637">
        <v>0</v>
      </c>
    </row>
    <row r="98" spans="1:13" ht="14.5">
      <c r="A98" s="2978" t="s">
        <v>9523</v>
      </c>
      <c r="B98" s="2113" t="str">
        <f t="shared" si="2"/>
        <v>022-901</v>
      </c>
      <c r="C98" s="2978" t="s">
        <v>6092</v>
      </c>
      <c r="D98" s="2639">
        <v>786622283</v>
      </c>
      <c r="E98" s="2639">
        <v>767982295</v>
      </c>
      <c r="F98" s="2639">
        <v>769905075</v>
      </c>
      <c r="G98" s="2639">
        <v>751265087</v>
      </c>
      <c r="H98" s="2639">
        <v>825577323</v>
      </c>
      <c r="I98" s="2639">
        <v>806937335</v>
      </c>
      <c r="J98" s="2639">
        <v>808860115</v>
      </c>
      <c r="K98" s="2639">
        <v>790220127</v>
      </c>
      <c r="L98" s="2639">
        <v>50694988</v>
      </c>
      <c r="M98" s="2639">
        <v>38955040</v>
      </c>
    </row>
    <row r="99" spans="1:13" ht="14.5">
      <c r="A99" s="2977" t="s">
        <v>9524</v>
      </c>
      <c r="B99" s="2113" t="str">
        <f t="shared" si="2"/>
        <v>022-902</v>
      </c>
      <c r="C99" s="2977" t="s">
        <v>6093</v>
      </c>
      <c r="D99" s="2637">
        <v>111727166</v>
      </c>
      <c r="E99" s="2637">
        <v>110300927</v>
      </c>
      <c r="F99" s="2637">
        <v>111727166</v>
      </c>
      <c r="G99" s="2637">
        <v>110300927</v>
      </c>
      <c r="H99" s="2637">
        <v>111727166</v>
      </c>
      <c r="I99" s="2637">
        <v>110300927</v>
      </c>
      <c r="J99" s="2637">
        <v>111727166</v>
      </c>
      <c r="K99" s="2637">
        <v>110300927</v>
      </c>
      <c r="L99" s="2637">
        <v>3826239</v>
      </c>
      <c r="M99" s="2637">
        <v>0</v>
      </c>
    </row>
    <row r="100" spans="1:13" ht="14.5">
      <c r="A100" s="2978" t="s">
        <v>9525</v>
      </c>
      <c r="B100" s="2113" t="str">
        <f t="shared" si="2"/>
        <v>022-903</v>
      </c>
      <c r="C100" s="2978" t="s">
        <v>6094</v>
      </c>
      <c r="D100" s="2639">
        <v>9326943</v>
      </c>
      <c r="E100" s="2639">
        <v>9316943</v>
      </c>
      <c r="F100" s="2639">
        <v>9326943</v>
      </c>
      <c r="G100" s="2639">
        <v>9316943</v>
      </c>
      <c r="H100" s="2639">
        <v>9326943</v>
      </c>
      <c r="I100" s="2639">
        <v>9316943</v>
      </c>
      <c r="J100" s="2639">
        <v>9326943</v>
      </c>
      <c r="K100" s="2639">
        <v>9316943</v>
      </c>
      <c r="L100" s="2639">
        <v>25000</v>
      </c>
      <c r="M100" s="2639">
        <v>0</v>
      </c>
    </row>
    <row r="101" spans="1:13" ht="14.5">
      <c r="A101" s="2977" t="s">
        <v>9526</v>
      </c>
      <c r="B101" s="2113" t="str">
        <f t="shared" si="2"/>
        <v>023-902</v>
      </c>
      <c r="C101" s="2977" t="s">
        <v>6095</v>
      </c>
      <c r="D101" s="2637">
        <v>165479543</v>
      </c>
      <c r="E101" s="2637">
        <v>163295553</v>
      </c>
      <c r="F101" s="2637">
        <v>165479543</v>
      </c>
      <c r="G101" s="2637">
        <v>163295553</v>
      </c>
      <c r="H101" s="2637">
        <v>298357693</v>
      </c>
      <c r="I101" s="2637">
        <v>296173703</v>
      </c>
      <c r="J101" s="2637">
        <v>298357693</v>
      </c>
      <c r="K101" s="2637">
        <v>296173703</v>
      </c>
      <c r="L101" s="2637">
        <v>6563990</v>
      </c>
      <c r="M101" s="2637">
        <v>132878150</v>
      </c>
    </row>
    <row r="102" spans="1:13" ht="14.5">
      <c r="A102" s="2978" t="s">
        <v>9527</v>
      </c>
      <c r="B102" s="2113" t="str">
        <f t="shared" si="2"/>
        <v>024-901</v>
      </c>
      <c r="C102" s="2978" t="s">
        <v>6096</v>
      </c>
      <c r="D102" s="2639">
        <v>508425786</v>
      </c>
      <c r="E102" s="2639">
        <v>497300699</v>
      </c>
      <c r="F102" s="2639">
        <v>508425786</v>
      </c>
      <c r="G102" s="2639">
        <v>497300699</v>
      </c>
      <c r="H102" s="2639">
        <v>508425786</v>
      </c>
      <c r="I102" s="2639">
        <v>497300699</v>
      </c>
      <c r="J102" s="2639">
        <v>508425786</v>
      </c>
      <c r="K102" s="2639">
        <v>497300699</v>
      </c>
      <c r="L102" s="2639">
        <v>33865087</v>
      </c>
      <c r="M102" s="2639">
        <v>0</v>
      </c>
    </row>
    <row r="103" spans="1:13" ht="14.5">
      <c r="A103" s="2977" t="s">
        <v>9528</v>
      </c>
      <c r="B103" s="2113" t="str">
        <f t="shared" si="2"/>
        <v>025-901</v>
      </c>
      <c r="C103" s="2977" t="s">
        <v>6097</v>
      </c>
      <c r="D103" s="2637">
        <v>493218009</v>
      </c>
      <c r="E103" s="2637">
        <v>478805132</v>
      </c>
      <c r="F103" s="2637">
        <v>493218009</v>
      </c>
      <c r="G103" s="2637">
        <v>478805132</v>
      </c>
      <c r="H103" s="2637">
        <v>493218009</v>
      </c>
      <c r="I103" s="2637">
        <v>478805132</v>
      </c>
      <c r="J103" s="2637">
        <v>493218009</v>
      </c>
      <c r="K103" s="2637">
        <v>478805132</v>
      </c>
      <c r="L103" s="2637">
        <v>41877877</v>
      </c>
      <c r="M103" s="2637">
        <v>0</v>
      </c>
    </row>
    <row r="104" spans="1:13" ht="14.5">
      <c r="A104" s="2978" t="s">
        <v>10577</v>
      </c>
      <c r="B104" s="2113" t="str">
        <f t="shared" si="2"/>
        <v>025-902</v>
      </c>
      <c r="C104" s="2978" t="s">
        <v>6098</v>
      </c>
      <c r="D104" s="2639">
        <v>1705103724</v>
      </c>
      <c r="E104" s="2639">
        <v>1666861518</v>
      </c>
      <c r="F104" s="2639">
        <v>1705103724</v>
      </c>
      <c r="G104" s="2639">
        <v>1666861518</v>
      </c>
      <c r="H104" s="2639">
        <v>1705103724</v>
      </c>
      <c r="I104" s="2639">
        <v>1666861518</v>
      </c>
      <c r="J104" s="2639">
        <v>1705103724</v>
      </c>
      <c r="K104" s="2639">
        <v>1666861518</v>
      </c>
      <c r="L104" s="2639">
        <v>101047206</v>
      </c>
      <c r="M104" s="2639">
        <v>0</v>
      </c>
    </row>
    <row r="105" spans="1:13" ht="14.5">
      <c r="A105" s="2977" t="s">
        <v>9529</v>
      </c>
      <c r="B105" s="2113" t="str">
        <f t="shared" si="2"/>
        <v>025-904</v>
      </c>
      <c r="C105" s="2977" t="s">
        <v>6099</v>
      </c>
      <c r="D105" s="2637">
        <v>88995943</v>
      </c>
      <c r="E105" s="2637">
        <v>86008597</v>
      </c>
      <c r="F105" s="2637">
        <v>88995943</v>
      </c>
      <c r="G105" s="2637">
        <v>86008597</v>
      </c>
      <c r="H105" s="2637">
        <v>125629873</v>
      </c>
      <c r="I105" s="2637">
        <v>122642527</v>
      </c>
      <c r="J105" s="2637">
        <v>125629873</v>
      </c>
      <c r="K105" s="2637">
        <v>122642527</v>
      </c>
      <c r="L105" s="2637">
        <v>8432346</v>
      </c>
      <c r="M105" s="2637">
        <v>36633930</v>
      </c>
    </row>
    <row r="106" spans="1:13" ht="14.5">
      <c r="A106" s="2978" t="s">
        <v>9530</v>
      </c>
      <c r="B106" s="2113" t="str">
        <f t="shared" si="2"/>
        <v>025-905</v>
      </c>
      <c r="C106" s="2978" t="s">
        <v>6100</v>
      </c>
      <c r="D106" s="2639">
        <v>248908478</v>
      </c>
      <c r="E106" s="2639">
        <v>242890888</v>
      </c>
      <c r="F106" s="2639">
        <v>248908478</v>
      </c>
      <c r="G106" s="2639">
        <v>242890888</v>
      </c>
      <c r="H106" s="2639">
        <v>248908478</v>
      </c>
      <c r="I106" s="2639">
        <v>242890888</v>
      </c>
      <c r="J106" s="2639">
        <v>248908478</v>
      </c>
      <c r="K106" s="2639">
        <v>242890888</v>
      </c>
      <c r="L106" s="2639">
        <v>17207590</v>
      </c>
      <c r="M106" s="2639">
        <v>0</v>
      </c>
    </row>
    <row r="107" spans="1:13" ht="14.5">
      <c r="A107" s="2977" t="s">
        <v>9531</v>
      </c>
      <c r="B107" s="2113" t="str">
        <f t="shared" si="2"/>
        <v>025-906</v>
      </c>
      <c r="C107" s="2977" t="s">
        <v>6101</v>
      </c>
      <c r="D107" s="2637">
        <v>74766112</v>
      </c>
      <c r="E107" s="2637">
        <v>72604892</v>
      </c>
      <c r="F107" s="2637">
        <v>74766112</v>
      </c>
      <c r="G107" s="2637">
        <v>72604892</v>
      </c>
      <c r="H107" s="2637">
        <v>74766112</v>
      </c>
      <c r="I107" s="2637">
        <v>72604892</v>
      </c>
      <c r="J107" s="2637">
        <v>74766112</v>
      </c>
      <c r="K107" s="2637">
        <v>72604892</v>
      </c>
      <c r="L107" s="2637">
        <v>5716220</v>
      </c>
      <c r="M107" s="2637">
        <v>0</v>
      </c>
    </row>
    <row r="108" spans="1:13" ht="14.5">
      <c r="A108" s="2978" t="s">
        <v>10578</v>
      </c>
      <c r="B108" s="2113" t="str">
        <f t="shared" si="2"/>
        <v>025-908</v>
      </c>
      <c r="C108" s="2978" t="s">
        <v>6102</v>
      </c>
      <c r="D108" s="2639">
        <v>147056791</v>
      </c>
      <c r="E108" s="2639">
        <v>144700868</v>
      </c>
      <c r="F108" s="2639">
        <v>147056791</v>
      </c>
      <c r="G108" s="2639">
        <v>144700868</v>
      </c>
      <c r="H108" s="2639">
        <v>147056791</v>
      </c>
      <c r="I108" s="2639">
        <v>144700868</v>
      </c>
      <c r="J108" s="2639">
        <v>147056791</v>
      </c>
      <c r="K108" s="2639">
        <v>144700868</v>
      </c>
      <c r="L108" s="2639">
        <v>6465923</v>
      </c>
      <c r="M108" s="2639">
        <v>0</v>
      </c>
    </row>
    <row r="109" spans="1:13" ht="14.5">
      <c r="A109" s="2977" t="s">
        <v>9532</v>
      </c>
      <c r="B109" s="2113" t="str">
        <f t="shared" si="2"/>
        <v>025-909</v>
      </c>
      <c r="C109" s="2977" t="s">
        <v>6103</v>
      </c>
      <c r="D109" s="2637">
        <v>452704521</v>
      </c>
      <c r="E109" s="2637">
        <v>439657375</v>
      </c>
      <c r="F109" s="2637">
        <v>452704521</v>
      </c>
      <c r="G109" s="2637">
        <v>439657375</v>
      </c>
      <c r="H109" s="2637">
        <v>452704521</v>
      </c>
      <c r="I109" s="2637">
        <v>439657375</v>
      </c>
      <c r="J109" s="2637">
        <v>452704521</v>
      </c>
      <c r="K109" s="2637">
        <v>439657375</v>
      </c>
      <c r="L109" s="2637">
        <v>35022146</v>
      </c>
      <c r="M109" s="2637">
        <v>0</v>
      </c>
    </row>
    <row r="110" spans="1:13" ht="14.5">
      <c r="A110" s="2978" t="s">
        <v>9533</v>
      </c>
      <c r="B110" s="2113" t="str">
        <f t="shared" si="2"/>
        <v>026-901</v>
      </c>
      <c r="C110" s="2978" t="s">
        <v>6104</v>
      </c>
      <c r="D110" s="2639">
        <v>1484371915</v>
      </c>
      <c r="E110" s="2639">
        <v>1461062380</v>
      </c>
      <c r="F110" s="2639">
        <v>1484371915</v>
      </c>
      <c r="G110" s="2639">
        <v>1461062380</v>
      </c>
      <c r="H110" s="2639">
        <v>1484371915</v>
      </c>
      <c r="I110" s="2639">
        <v>1461062380</v>
      </c>
      <c r="J110" s="2639">
        <v>1484371915</v>
      </c>
      <c r="K110" s="2639">
        <v>1461062380</v>
      </c>
      <c r="L110" s="2639">
        <v>65999535</v>
      </c>
      <c r="M110" s="2639">
        <v>0</v>
      </c>
    </row>
    <row r="111" spans="1:13" ht="14.5">
      <c r="A111" s="2977" t="s">
        <v>9534</v>
      </c>
      <c r="B111" s="2113" t="str">
        <f t="shared" si="2"/>
        <v>026-902</v>
      </c>
      <c r="C111" s="2977" t="s">
        <v>6105</v>
      </c>
      <c r="D111" s="2637">
        <v>391179820</v>
      </c>
      <c r="E111" s="2637">
        <v>380330960</v>
      </c>
      <c r="F111" s="2637">
        <v>391179820</v>
      </c>
      <c r="G111" s="2637">
        <v>380330960</v>
      </c>
      <c r="H111" s="2637">
        <v>391179820</v>
      </c>
      <c r="I111" s="2637">
        <v>380330960</v>
      </c>
      <c r="J111" s="2637">
        <v>391179820</v>
      </c>
      <c r="K111" s="2637">
        <v>380330960</v>
      </c>
      <c r="L111" s="2637">
        <v>34128860</v>
      </c>
      <c r="M111" s="2637">
        <v>0</v>
      </c>
    </row>
    <row r="112" spans="1:13" ht="14.5">
      <c r="A112" s="2978" t="s">
        <v>9535</v>
      </c>
      <c r="B112" s="2113" t="str">
        <f t="shared" si="2"/>
        <v>026-903</v>
      </c>
      <c r="C112" s="2978" t="s">
        <v>6106</v>
      </c>
      <c r="D112" s="2639">
        <v>312452216</v>
      </c>
      <c r="E112" s="2639">
        <v>306089146</v>
      </c>
      <c r="F112" s="2639">
        <v>312452216</v>
      </c>
      <c r="G112" s="2639">
        <v>306089146</v>
      </c>
      <c r="H112" s="2639">
        <v>312452216</v>
      </c>
      <c r="I112" s="2639">
        <v>306089146</v>
      </c>
      <c r="J112" s="2639">
        <v>312452216</v>
      </c>
      <c r="K112" s="2639">
        <v>306089146</v>
      </c>
      <c r="L112" s="2639">
        <v>20838070</v>
      </c>
      <c r="M112" s="2639">
        <v>0</v>
      </c>
    </row>
    <row r="113" spans="1:13" ht="14.5">
      <c r="A113" s="2977" t="s">
        <v>9536</v>
      </c>
      <c r="B113" s="2113" t="str">
        <f t="shared" si="2"/>
        <v>027-903</v>
      </c>
      <c r="C113" s="2977" t="s">
        <v>6107</v>
      </c>
      <c r="D113" s="2637">
        <v>3883286685</v>
      </c>
      <c r="E113" s="2637">
        <v>3819103947</v>
      </c>
      <c r="F113" s="2637">
        <v>3883286685</v>
      </c>
      <c r="G113" s="2637">
        <v>3819103947</v>
      </c>
      <c r="H113" s="2637">
        <v>3883286685</v>
      </c>
      <c r="I113" s="2637">
        <v>3819103947</v>
      </c>
      <c r="J113" s="2637">
        <v>3883286685</v>
      </c>
      <c r="K113" s="2637">
        <v>3819103947</v>
      </c>
      <c r="L113" s="2637">
        <v>175197738</v>
      </c>
      <c r="M113" s="2637">
        <v>0</v>
      </c>
    </row>
    <row r="114" spans="1:13" ht="14.5">
      <c r="A114" s="2978" t="s">
        <v>10579</v>
      </c>
      <c r="B114" s="2113" t="str">
        <f t="shared" si="2"/>
        <v>027-904</v>
      </c>
      <c r="C114" s="2978" t="s">
        <v>6108</v>
      </c>
      <c r="D114" s="2639">
        <v>5094726598</v>
      </c>
      <c r="E114" s="2639">
        <v>5031258040</v>
      </c>
      <c r="F114" s="2639">
        <v>5094726598</v>
      </c>
      <c r="G114" s="2639">
        <v>5031258040</v>
      </c>
      <c r="H114" s="2639">
        <v>5094726598</v>
      </c>
      <c r="I114" s="2639">
        <v>5031258040</v>
      </c>
      <c r="J114" s="2639">
        <v>5094726598</v>
      </c>
      <c r="K114" s="2639">
        <v>5031258040</v>
      </c>
      <c r="L114" s="2639">
        <v>167853558</v>
      </c>
      <c r="M114" s="2639">
        <v>0</v>
      </c>
    </row>
    <row r="115" spans="1:13" ht="14.5">
      <c r="A115" s="2977" t="s">
        <v>9537</v>
      </c>
      <c r="B115" s="2113" t="str">
        <f t="shared" si="2"/>
        <v>028-902</v>
      </c>
      <c r="C115" s="2977" t="s">
        <v>6109</v>
      </c>
      <c r="D115" s="2637">
        <v>2172169579</v>
      </c>
      <c r="E115" s="2637">
        <v>2127212973</v>
      </c>
      <c r="F115" s="2637">
        <v>2172169579</v>
      </c>
      <c r="G115" s="2637">
        <v>2127212973</v>
      </c>
      <c r="H115" s="2637">
        <v>2172169579</v>
      </c>
      <c r="I115" s="2637">
        <v>2127212973</v>
      </c>
      <c r="J115" s="2637">
        <v>2172169579</v>
      </c>
      <c r="K115" s="2637">
        <v>2127212973</v>
      </c>
      <c r="L115" s="2637">
        <v>125746606</v>
      </c>
      <c r="M115" s="2637">
        <v>0</v>
      </c>
    </row>
    <row r="116" spans="1:13" ht="14.5">
      <c r="A116" s="2978" t="s">
        <v>9538</v>
      </c>
      <c r="B116" s="2113" t="str">
        <f t="shared" si="2"/>
        <v>028-903</v>
      </c>
      <c r="C116" s="2978" t="s">
        <v>6110</v>
      </c>
      <c r="D116" s="2639">
        <v>597448249</v>
      </c>
      <c r="E116" s="2639">
        <v>584268928</v>
      </c>
      <c r="F116" s="2639">
        <v>597448249</v>
      </c>
      <c r="G116" s="2639">
        <v>584268928</v>
      </c>
      <c r="H116" s="2639">
        <v>597448249</v>
      </c>
      <c r="I116" s="2639">
        <v>584268928</v>
      </c>
      <c r="J116" s="2639">
        <v>597448249</v>
      </c>
      <c r="K116" s="2639">
        <v>584268928</v>
      </c>
      <c r="L116" s="2639">
        <v>36114321</v>
      </c>
      <c r="M116" s="2639">
        <v>0</v>
      </c>
    </row>
    <row r="117" spans="1:13" ht="14.5">
      <c r="A117" s="2977" t="s">
        <v>9539</v>
      </c>
      <c r="B117" s="2113" t="str">
        <f t="shared" si="2"/>
        <v>028-906</v>
      </c>
      <c r="C117" s="2977" t="s">
        <v>6111</v>
      </c>
      <c r="D117" s="2637">
        <v>149176185</v>
      </c>
      <c r="E117" s="2637">
        <v>146966868</v>
      </c>
      <c r="F117" s="2637">
        <v>149176185</v>
      </c>
      <c r="G117" s="2637">
        <v>146966868</v>
      </c>
      <c r="H117" s="2637">
        <v>149176185</v>
      </c>
      <c r="I117" s="2637">
        <v>146966868</v>
      </c>
      <c r="J117" s="2637">
        <v>149176185</v>
      </c>
      <c r="K117" s="2637">
        <v>146966868</v>
      </c>
      <c r="L117" s="2637">
        <v>6724317</v>
      </c>
      <c r="M117" s="2637">
        <v>0</v>
      </c>
    </row>
    <row r="118" spans="1:13" ht="14.5">
      <c r="A118" s="2978" t="s">
        <v>9540</v>
      </c>
      <c r="B118" s="2113" t="str">
        <f t="shared" si="2"/>
        <v>029-901</v>
      </c>
      <c r="C118" s="2978" t="s">
        <v>6112</v>
      </c>
      <c r="D118" s="2639">
        <v>3891447829</v>
      </c>
      <c r="E118" s="2639">
        <v>3849270967</v>
      </c>
      <c r="F118" s="2639">
        <v>3823410384</v>
      </c>
      <c r="G118" s="2639">
        <v>3781233522</v>
      </c>
      <c r="H118" s="2639">
        <v>5327642859</v>
      </c>
      <c r="I118" s="2639">
        <v>5285465997</v>
      </c>
      <c r="J118" s="2639">
        <v>5259605414</v>
      </c>
      <c r="K118" s="2639">
        <v>5217428552</v>
      </c>
      <c r="L118" s="2639">
        <v>117896862</v>
      </c>
      <c r="M118" s="2639">
        <v>1436195030</v>
      </c>
    </row>
    <row r="119" spans="1:13" ht="14.5">
      <c r="A119" s="2977" t="s">
        <v>9541</v>
      </c>
      <c r="B119" s="2113" t="str">
        <f t="shared" si="2"/>
        <v>030-901</v>
      </c>
      <c r="C119" s="2977" t="s">
        <v>6113</v>
      </c>
      <c r="D119" s="2637">
        <v>199300230</v>
      </c>
      <c r="E119" s="2637">
        <v>192055575</v>
      </c>
      <c r="F119" s="2637">
        <v>199300230</v>
      </c>
      <c r="G119" s="2637">
        <v>192055575</v>
      </c>
      <c r="H119" s="2637">
        <v>199300230</v>
      </c>
      <c r="I119" s="2637">
        <v>192055575</v>
      </c>
      <c r="J119" s="2637">
        <v>199300230</v>
      </c>
      <c r="K119" s="2637">
        <v>192055575</v>
      </c>
      <c r="L119" s="2637">
        <v>19529655</v>
      </c>
      <c r="M119" s="2637">
        <v>0</v>
      </c>
    </row>
    <row r="120" spans="1:13" ht="14.5">
      <c r="A120" s="2978" t="s">
        <v>9542</v>
      </c>
      <c r="B120" s="2113" t="str">
        <f t="shared" si="2"/>
        <v>030-902</v>
      </c>
      <c r="C120" s="2978" t="s">
        <v>6114</v>
      </c>
      <c r="D120" s="2639">
        <v>552494275</v>
      </c>
      <c r="E120" s="2639">
        <v>531446196</v>
      </c>
      <c r="F120" s="2639">
        <v>552494275</v>
      </c>
      <c r="G120" s="2639">
        <v>531446196</v>
      </c>
      <c r="H120" s="2639">
        <v>552494275</v>
      </c>
      <c r="I120" s="2639">
        <v>531446196</v>
      </c>
      <c r="J120" s="2639">
        <v>552494275</v>
      </c>
      <c r="K120" s="2639">
        <v>531446196</v>
      </c>
      <c r="L120" s="2639">
        <v>54753079</v>
      </c>
      <c r="M120" s="2639">
        <v>0</v>
      </c>
    </row>
    <row r="121" spans="1:13" ht="14.5">
      <c r="A121" s="2977" t="s">
        <v>9543</v>
      </c>
      <c r="B121" s="2113" t="str">
        <f t="shared" si="2"/>
        <v>030-903</v>
      </c>
      <c r="C121" s="2977" t="s">
        <v>6115</v>
      </c>
      <c r="D121" s="2637">
        <v>289166502</v>
      </c>
      <c r="E121" s="2637">
        <v>282805522</v>
      </c>
      <c r="F121" s="2637">
        <v>289166502</v>
      </c>
      <c r="G121" s="2637">
        <v>282805522</v>
      </c>
      <c r="H121" s="2637">
        <v>289166502</v>
      </c>
      <c r="I121" s="2637">
        <v>282805522</v>
      </c>
      <c r="J121" s="2637">
        <v>289166502</v>
      </c>
      <c r="K121" s="2637">
        <v>282805522</v>
      </c>
      <c r="L121" s="2637">
        <v>17115980</v>
      </c>
      <c r="M121" s="2637">
        <v>0</v>
      </c>
    </row>
    <row r="122" spans="1:13" ht="14.5">
      <c r="A122" s="2978" t="s">
        <v>9544</v>
      </c>
      <c r="B122" s="2113" t="str">
        <f t="shared" si="2"/>
        <v>030-906</v>
      </c>
      <c r="C122" s="2978" t="s">
        <v>6116</v>
      </c>
      <c r="D122" s="2639">
        <v>317689049</v>
      </c>
      <c r="E122" s="2639">
        <v>310934165</v>
      </c>
      <c r="F122" s="2639">
        <v>317689049</v>
      </c>
      <c r="G122" s="2639">
        <v>310934165</v>
      </c>
      <c r="H122" s="2639">
        <v>317689049</v>
      </c>
      <c r="I122" s="2639">
        <v>310934165</v>
      </c>
      <c r="J122" s="2639">
        <v>317689049</v>
      </c>
      <c r="K122" s="2639">
        <v>310934165</v>
      </c>
      <c r="L122" s="2639">
        <v>18349884</v>
      </c>
      <c r="M122" s="2639">
        <v>0</v>
      </c>
    </row>
    <row r="123" spans="1:13" ht="14.5">
      <c r="A123" s="2977" t="s">
        <v>9545</v>
      </c>
      <c r="B123" s="2113" t="str">
        <f t="shared" si="2"/>
        <v>031-901</v>
      </c>
      <c r="C123" s="2977" t="s">
        <v>6117</v>
      </c>
      <c r="D123" s="2637">
        <v>6988332735</v>
      </c>
      <c r="E123" s="2637">
        <v>6761390429</v>
      </c>
      <c r="F123" s="2637">
        <v>6988332735</v>
      </c>
      <c r="G123" s="2637">
        <v>6761390429</v>
      </c>
      <c r="H123" s="2637">
        <v>6988332735</v>
      </c>
      <c r="I123" s="2637">
        <v>6761390429</v>
      </c>
      <c r="J123" s="2637">
        <v>6988332735</v>
      </c>
      <c r="K123" s="2637">
        <v>6761390429</v>
      </c>
      <c r="L123" s="2637">
        <v>614377306</v>
      </c>
      <c r="M123" s="2637">
        <v>0</v>
      </c>
    </row>
    <row r="124" spans="1:13" ht="14.5">
      <c r="A124" s="2978" t="s">
        <v>9546</v>
      </c>
      <c r="B124" s="2113" t="str">
        <f t="shared" si="2"/>
        <v>031-903</v>
      </c>
      <c r="C124" s="2978" t="s">
        <v>6118</v>
      </c>
      <c r="D124" s="2639">
        <v>4402874274</v>
      </c>
      <c r="E124" s="2639">
        <v>4283760648</v>
      </c>
      <c r="F124" s="2639">
        <v>4402874274</v>
      </c>
      <c r="G124" s="2639">
        <v>4283760648</v>
      </c>
      <c r="H124" s="2639">
        <v>4402874274</v>
      </c>
      <c r="I124" s="2639">
        <v>4283760648</v>
      </c>
      <c r="J124" s="2639">
        <v>4402874274</v>
      </c>
      <c r="K124" s="2639">
        <v>4283760648</v>
      </c>
      <c r="L124" s="2639">
        <v>317383626</v>
      </c>
      <c r="M124" s="2639">
        <v>0</v>
      </c>
    </row>
    <row r="125" spans="1:13" ht="14.5">
      <c r="A125" s="2977" t="s">
        <v>9547</v>
      </c>
      <c r="B125" s="2113" t="str">
        <f t="shared" si="2"/>
        <v>031-905</v>
      </c>
      <c r="C125" s="2977" t="s">
        <v>6119</v>
      </c>
      <c r="D125" s="2637">
        <v>555687507</v>
      </c>
      <c r="E125" s="2637">
        <v>536902237</v>
      </c>
      <c r="F125" s="2637">
        <v>555687507</v>
      </c>
      <c r="G125" s="2637">
        <v>536902237</v>
      </c>
      <c r="H125" s="2637">
        <v>555687507</v>
      </c>
      <c r="I125" s="2637">
        <v>536902237</v>
      </c>
      <c r="J125" s="2637">
        <v>555687507</v>
      </c>
      <c r="K125" s="2637">
        <v>536902237</v>
      </c>
      <c r="L125" s="2637">
        <v>56705270</v>
      </c>
      <c r="M125" s="2637">
        <v>0</v>
      </c>
    </row>
    <row r="126" spans="1:13" ht="14.5">
      <c r="A126" s="2978" t="s">
        <v>9548</v>
      </c>
      <c r="B126" s="2113" t="str">
        <f t="shared" si="2"/>
        <v>031-906</v>
      </c>
      <c r="C126" s="2978" t="s">
        <v>6120</v>
      </c>
      <c r="D126" s="2639">
        <v>2462702946</v>
      </c>
      <c r="E126" s="2639">
        <v>2397963681</v>
      </c>
      <c r="F126" s="2639">
        <v>2462702946</v>
      </c>
      <c r="G126" s="2639">
        <v>2397963681</v>
      </c>
      <c r="H126" s="2639">
        <v>2837307206</v>
      </c>
      <c r="I126" s="2639">
        <v>2772567941</v>
      </c>
      <c r="J126" s="2639">
        <v>2837307206</v>
      </c>
      <c r="K126" s="2639">
        <v>2772567941</v>
      </c>
      <c r="L126" s="2639">
        <v>176384265</v>
      </c>
      <c r="M126" s="2639">
        <v>374604260</v>
      </c>
    </row>
    <row r="127" spans="1:13" ht="14.5">
      <c r="A127" s="2977" t="s">
        <v>9549</v>
      </c>
      <c r="B127" s="2113" t="str">
        <f t="shared" si="2"/>
        <v>031-909</v>
      </c>
      <c r="C127" s="2977" t="s">
        <v>6121</v>
      </c>
      <c r="D127" s="2637">
        <v>4204757969</v>
      </c>
      <c r="E127" s="2637">
        <v>4182127557</v>
      </c>
      <c r="F127" s="2637">
        <v>4204757969</v>
      </c>
      <c r="G127" s="2637">
        <v>4182127557</v>
      </c>
      <c r="H127" s="2637">
        <v>4204757969</v>
      </c>
      <c r="I127" s="2637">
        <v>4182127557</v>
      </c>
      <c r="J127" s="2637">
        <v>4204757969</v>
      </c>
      <c r="K127" s="2637">
        <v>4182127557</v>
      </c>
      <c r="L127" s="2637">
        <v>59440412</v>
      </c>
      <c r="M127" s="2637">
        <v>0</v>
      </c>
    </row>
    <row r="128" spans="1:13" ht="14.5">
      <c r="A128" s="2978" t="s">
        <v>9550</v>
      </c>
      <c r="B128" s="2113" t="str">
        <f t="shared" si="2"/>
        <v>031-911</v>
      </c>
      <c r="C128" s="2978" t="s">
        <v>6122</v>
      </c>
      <c r="D128" s="2639">
        <v>372406025</v>
      </c>
      <c r="E128" s="2639">
        <v>360774194</v>
      </c>
      <c r="F128" s="2639">
        <v>372406025</v>
      </c>
      <c r="G128" s="2639">
        <v>360774194</v>
      </c>
      <c r="H128" s="2639">
        <v>407342735</v>
      </c>
      <c r="I128" s="2639">
        <v>395710904</v>
      </c>
      <c r="J128" s="2639">
        <v>407342735</v>
      </c>
      <c r="K128" s="2639">
        <v>395710904</v>
      </c>
      <c r="L128" s="2639">
        <v>33546831</v>
      </c>
      <c r="M128" s="2639">
        <v>34936710</v>
      </c>
    </row>
    <row r="129" spans="1:13" ht="14.5">
      <c r="A129" s="2977" t="s">
        <v>9551</v>
      </c>
      <c r="B129" s="2113" t="str">
        <f t="shared" si="2"/>
        <v>031-912</v>
      </c>
      <c r="C129" s="2977" t="s">
        <v>6123</v>
      </c>
      <c r="D129" s="2637">
        <v>1306776540</v>
      </c>
      <c r="E129" s="2637">
        <v>1256576130</v>
      </c>
      <c r="F129" s="2637">
        <v>1306776540</v>
      </c>
      <c r="G129" s="2637">
        <v>1256576130</v>
      </c>
      <c r="H129" s="2637">
        <v>1306776540</v>
      </c>
      <c r="I129" s="2637">
        <v>1256576130</v>
      </c>
      <c r="J129" s="2637">
        <v>1306776540</v>
      </c>
      <c r="K129" s="2637">
        <v>1256576130</v>
      </c>
      <c r="L129" s="2637">
        <v>149560410</v>
      </c>
      <c r="M129" s="2637">
        <v>0</v>
      </c>
    </row>
    <row r="130" spans="1:13" ht="14.5">
      <c r="A130" s="2978" t="s">
        <v>9552</v>
      </c>
      <c r="B130" s="2113" t="str">
        <f t="shared" si="2"/>
        <v>031-913</v>
      </c>
      <c r="C130" s="2978" t="s">
        <v>6124</v>
      </c>
      <c r="D130" s="2639">
        <v>76050404</v>
      </c>
      <c r="E130" s="2639">
        <v>73637515</v>
      </c>
      <c r="F130" s="2639">
        <v>76050404</v>
      </c>
      <c r="G130" s="2639">
        <v>73637515</v>
      </c>
      <c r="H130" s="2639">
        <v>76050404</v>
      </c>
      <c r="I130" s="2639">
        <v>73637515</v>
      </c>
      <c r="J130" s="2639">
        <v>76050404</v>
      </c>
      <c r="K130" s="2639">
        <v>73637515</v>
      </c>
      <c r="L130" s="2639">
        <v>7647889</v>
      </c>
      <c r="M130" s="2639">
        <v>0</v>
      </c>
    </row>
    <row r="131" spans="1:13" ht="14.5">
      <c r="A131" s="2977" t="s">
        <v>9553</v>
      </c>
      <c r="B131" s="2113" t="str">
        <f t="shared" ref="B131:B196" si="3">CONCATENATE(RIGHT(LEFT(CONCATENATE("000",A131),6),3),"-",(LEFT(RIGHT(CONCATENATE("000",A131),6),3)))</f>
        <v>031-914</v>
      </c>
      <c r="C131" s="2977" t="s">
        <v>6125</v>
      </c>
      <c r="D131" s="2637">
        <v>134320304</v>
      </c>
      <c r="E131" s="2637">
        <v>128635901</v>
      </c>
      <c r="F131" s="2637">
        <v>134320304</v>
      </c>
      <c r="G131" s="2637">
        <v>128635901</v>
      </c>
      <c r="H131" s="2637">
        <v>134320304</v>
      </c>
      <c r="I131" s="2637">
        <v>128635901</v>
      </c>
      <c r="J131" s="2637">
        <v>134320304</v>
      </c>
      <c r="K131" s="2637">
        <v>128635901</v>
      </c>
      <c r="L131" s="2637">
        <v>16394403</v>
      </c>
      <c r="M131" s="2637">
        <v>0</v>
      </c>
    </row>
    <row r="132" spans="1:13" ht="14.5">
      <c r="A132" s="2978" t="s">
        <v>9554</v>
      </c>
      <c r="B132" s="2113" t="str">
        <f t="shared" si="3"/>
        <v>032-902</v>
      </c>
      <c r="C132" s="2978" t="s">
        <v>6126</v>
      </c>
      <c r="D132" s="2639">
        <v>1008389564</v>
      </c>
      <c r="E132" s="2639">
        <v>980631820</v>
      </c>
      <c r="F132" s="2639">
        <v>1008389564</v>
      </c>
      <c r="G132" s="2639">
        <v>980631820</v>
      </c>
      <c r="H132" s="2639">
        <v>1008389564</v>
      </c>
      <c r="I132" s="2639">
        <v>980631820</v>
      </c>
      <c r="J132" s="2639">
        <v>1008389564</v>
      </c>
      <c r="K132" s="2639">
        <v>980631820</v>
      </c>
      <c r="L132" s="2639">
        <v>73342744</v>
      </c>
      <c r="M132" s="2639">
        <v>0</v>
      </c>
    </row>
    <row r="133" spans="1:13" ht="14.5">
      <c r="A133" s="2977" t="s">
        <v>9555</v>
      </c>
      <c r="B133" s="2113" t="str">
        <f t="shared" si="3"/>
        <v>033-901</v>
      </c>
      <c r="C133" s="2977" t="s">
        <v>6127</v>
      </c>
      <c r="D133" s="2637">
        <v>119228700</v>
      </c>
      <c r="E133" s="2637">
        <v>117252990</v>
      </c>
      <c r="F133" s="2637">
        <v>119228700</v>
      </c>
      <c r="G133" s="2637">
        <v>117252990</v>
      </c>
      <c r="H133" s="2637">
        <v>370669450</v>
      </c>
      <c r="I133" s="2637">
        <v>368693740</v>
      </c>
      <c r="J133" s="2637">
        <v>370669450</v>
      </c>
      <c r="K133" s="2637">
        <v>368693740</v>
      </c>
      <c r="L133" s="2637">
        <v>5290710</v>
      </c>
      <c r="M133" s="2637">
        <v>251440750</v>
      </c>
    </row>
    <row r="134" spans="1:13" ht="14.5">
      <c r="A134" s="2978" t="s">
        <v>10580</v>
      </c>
      <c r="B134" s="2113" t="str">
        <f t="shared" si="3"/>
        <v>033-902</v>
      </c>
      <c r="C134" s="2978" t="s">
        <v>6128</v>
      </c>
      <c r="D134" s="2639">
        <v>563468609</v>
      </c>
      <c r="E134" s="2639">
        <v>554544089</v>
      </c>
      <c r="F134" s="2639">
        <v>551917099</v>
      </c>
      <c r="G134" s="2639">
        <v>542992579</v>
      </c>
      <c r="H134" s="2639">
        <v>735186249</v>
      </c>
      <c r="I134" s="2639">
        <v>726261729</v>
      </c>
      <c r="J134" s="2639">
        <v>723634739</v>
      </c>
      <c r="K134" s="2639">
        <v>714710219</v>
      </c>
      <c r="L134" s="2639">
        <v>23084520</v>
      </c>
      <c r="M134" s="2639">
        <v>171717640</v>
      </c>
    </row>
    <row r="135" spans="1:13" ht="14.5">
      <c r="A135" s="2977" t="s">
        <v>9556</v>
      </c>
      <c r="B135" s="2113" t="str">
        <f t="shared" si="3"/>
        <v>033-904</v>
      </c>
      <c r="C135" s="2977" t="s">
        <v>6129</v>
      </c>
      <c r="D135" s="2637">
        <v>234646564</v>
      </c>
      <c r="E135" s="2637">
        <v>230738344</v>
      </c>
      <c r="F135" s="2637">
        <v>232829829</v>
      </c>
      <c r="G135" s="2637">
        <v>228921609</v>
      </c>
      <c r="H135" s="2637">
        <v>325642894</v>
      </c>
      <c r="I135" s="2637">
        <v>321734674</v>
      </c>
      <c r="J135" s="2637">
        <v>323826159</v>
      </c>
      <c r="K135" s="2637">
        <v>319917939</v>
      </c>
      <c r="L135" s="2637">
        <v>11093220</v>
      </c>
      <c r="M135" s="2637">
        <v>90996330</v>
      </c>
    </row>
    <row r="136" spans="1:13" ht="14.5">
      <c r="A136" s="2978" t="s">
        <v>9557</v>
      </c>
      <c r="B136" s="2113" t="str">
        <f t="shared" si="3"/>
        <v>034-901</v>
      </c>
      <c r="C136" s="2978" t="s">
        <v>6130</v>
      </c>
      <c r="D136" s="2639">
        <v>614999700</v>
      </c>
      <c r="E136" s="2639">
        <v>590406575</v>
      </c>
      <c r="F136" s="2639">
        <v>614999700</v>
      </c>
      <c r="G136" s="2639">
        <v>590406575</v>
      </c>
      <c r="H136" s="2639">
        <v>614999700</v>
      </c>
      <c r="I136" s="2639">
        <v>590406575</v>
      </c>
      <c r="J136" s="2639">
        <v>614999700</v>
      </c>
      <c r="K136" s="2639">
        <v>590406575</v>
      </c>
      <c r="L136" s="2639">
        <v>64853125</v>
      </c>
      <c r="M136" s="2639">
        <v>0</v>
      </c>
    </row>
    <row r="137" spans="1:13" ht="14.5">
      <c r="A137" s="2977" t="s">
        <v>9558</v>
      </c>
      <c r="B137" s="2113" t="str">
        <f t="shared" si="3"/>
        <v>034-902</v>
      </c>
      <c r="C137" s="2977" t="s">
        <v>6131</v>
      </c>
      <c r="D137" s="2637">
        <v>92479056</v>
      </c>
      <c r="E137" s="2637">
        <v>89130883</v>
      </c>
      <c r="F137" s="2637">
        <v>92479056</v>
      </c>
      <c r="G137" s="2637">
        <v>89130883</v>
      </c>
      <c r="H137" s="2637">
        <v>92479056</v>
      </c>
      <c r="I137" s="2637">
        <v>89130883</v>
      </c>
      <c r="J137" s="2637">
        <v>92479056</v>
      </c>
      <c r="K137" s="2637">
        <v>89130883</v>
      </c>
      <c r="L137" s="2637">
        <v>8748173</v>
      </c>
      <c r="M137" s="2637">
        <v>0</v>
      </c>
    </row>
    <row r="138" spans="1:13" ht="14.5">
      <c r="A138" s="2978" t="s">
        <v>9559</v>
      </c>
      <c r="B138" s="2113" t="str">
        <f t="shared" si="3"/>
        <v>034-903</v>
      </c>
      <c r="C138" s="2978" t="s">
        <v>6132</v>
      </c>
      <c r="D138" s="2639">
        <v>266404281</v>
      </c>
      <c r="E138" s="2639">
        <v>255515293</v>
      </c>
      <c r="F138" s="2639">
        <v>266404281</v>
      </c>
      <c r="G138" s="2639">
        <v>255515293</v>
      </c>
      <c r="H138" s="2639">
        <v>266404281</v>
      </c>
      <c r="I138" s="2639">
        <v>255515293</v>
      </c>
      <c r="J138" s="2639">
        <v>266404281</v>
      </c>
      <c r="K138" s="2639">
        <v>255515293</v>
      </c>
      <c r="L138" s="2639">
        <v>28588988</v>
      </c>
      <c r="M138" s="2639">
        <v>0</v>
      </c>
    </row>
    <row r="139" spans="1:13" ht="14.5">
      <c r="A139" s="2977" t="s">
        <v>9560</v>
      </c>
      <c r="B139" s="2113" t="str">
        <f t="shared" si="3"/>
        <v>034-905</v>
      </c>
      <c r="C139" s="2977" t="s">
        <v>6133</v>
      </c>
      <c r="D139" s="2637">
        <v>299048683</v>
      </c>
      <c r="E139" s="2637">
        <v>285768441</v>
      </c>
      <c r="F139" s="2637">
        <v>299048683</v>
      </c>
      <c r="G139" s="2637">
        <v>285768441</v>
      </c>
      <c r="H139" s="2637">
        <v>299048683</v>
      </c>
      <c r="I139" s="2637">
        <v>285768441</v>
      </c>
      <c r="J139" s="2637">
        <v>299048683</v>
      </c>
      <c r="K139" s="2637">
        <v>285768441</v>
      </c>
      <c r="L139" s="2637">
        <v>37100242</v>
      </c>
      <c r="M139" s="2637">
        <v>0</v>
      </c>
    </row>
    <row r="140" spans="1:13" ht="14.5">
      <c r="A140" s="2978" t="s">
        <v>9561</v>
      </c>
      <c r="B140" s="2113" t="str">
        <f t="shared" si="3"/>
        <v>034-906</v>
      </c>
      <c r="C140" s="2978" t="s">
        <v>6134</v>
      </c>
      <c r="D140" s="2639">
        <v>37942758</v>
      </c>
      <c r="E140" s="2639">
        <v>35981138</v>
      </c>
      <c r="F140" s="2639">
        <v>37942758</v>
      </c>
      <c r="G140" s="2639">
        <v>35981138</v>
      </c>
      <c r="H140" s="2639">
        <v>37942758</v>
      </c>
      <c r="I140" s="2639">
        <v>35981138</v>
      </c>
      <c r="J140" s="2639">
        <v>37942758</v>
      </c>
      <c r="K140" s="2639">
        <v>35981138</v>
      </c>
      <c r="L140" s="2639">
        <v>5651620</v>
      </c>
      <c r="M140" s="2639">
        <v>0</v>
      </c>
    </row>
    <row r="141" spans="1:13" ht="14.5">
      <c r="A141" s="2977" t="s">
        <v>9562</v>
      </c>
      <c r="B141" s="2113" t="str">
        <f t="shared" si="3"/>
        <v>034-907</v>
      </c>
      <c r="C141" s="2977" t="s">
        <v>6135</v>
      </c>
      <c r="D141" s="2637">
        <v>572682080</v>
      </c>
      <c r="E141" s="2637">
        <v>560712629</v>
      </c>
      <c r="F141" s="2637">
        <v>559695924</v>
      </c>
      <c r="G141" s="2637">
        <v>547726473</v>
      </c>
      <c r="H141" s="2637">
        <v>572682080</v>
      </c>
      <c r="I141" s="2637">
        <v>560712629</v>
      </c>
      <c r="J141" s="2637">
        <v>559695924</v>
      </c>
      <c r="K141" s="2637">
        <v>547726473</v>
      </c>
      <c r="L141" s="2637">
        <v>32789451</v>
      </c>
      <c r="M141" s="2637">
        <v>0</v>
      </c>
    </row>
    <row r="142" spans="1:13" ht="14.5">
      <c r="A142" s="2978" t="s">
        <v>9563</v>
      </c>
      <c r="B142" s="2113" t="str">
        <f t="shared" si="3"/>
        <v>034-909</v>
      </c>
      <c r="C142" s="2978" t="s">
        <v>6136</v>
      </c>
      <c r="D142" s="2639">
        <v>58563552</v>
      </c>
      <c r="E142" s="2639">
        <v>55573748</v>
      </c>
      <c r="F142" s="2639">
        <v>58563552</v>
      </c>
      <c r="G142" s="2639">
        <v>55573748</v>
      </c>
      <c r="H142" s="2639">
        <v>58563552</v>
      </c>
      <c r="I142" s="2639">
        <v>55573748</v>
      </c>
      <c r="J142" s="2639">
        <v>58563552</v>
      </c>
      <c r="K142" s="2639">
        <v>55573748</v>
      </c>
      <c r="L142" s="2639">
        <v>8059804</v>
      </c>
      <c r="M142" s="2639">
        <v>0</v>
      </c>
    </row>
    <row r="143" spans="1:13" ht="14.5">
      <c r="A143" s="2977" t="s">
        <v>9564</v>
      </c>
      <c r="B143" s="2113" t="str">
        <f t="shared" si="3"/>
        <v>035-901</v>
      </c>
      <c r="C143" s="2977" t="s">
        <v>6137</v>
      </c>
      <c r="D143" s="2637">
        <v>334078468</v>
      </c>
      <c r="E143" s="2637">
        <v>326608498</v>
      </c>
      <c r="F143" s="2637">
        <v>334078468</v>
      </c>
      <c r="G143" s="2637">
        <v>326608498</v>
      </c>
      <c r="H143" s="2637">
        <v>779821688</v>
      </c>
      <c r="I143" s="2637">
        <v>772351718</v>
      </c>
      <c r="J143" s="2637">
        <v>779821688</v>
      </c>
      <c r="K143" s="2637">
        <v>772351718</v>
      </c>
      <c r="L143" s="2637">
        <v>21029970</v>
      </c>
      <c r="M143" s="2637">
        <v>445743220</v>
      </c>
    </row>
    <row r="144" spans="1:13" ht="14.5">
      <c r="A144" s="2978" t="s">
        <v>9565</v>
      </c>
      <c r="B144" s="2113" t="str">
        <f t="shared" si="3"/>
        <v>035-902</v>
      </c>
      <c r="C144" s="2978" t="s">
        <v>6138</v>
      </c>
      <c r="D144" s="2639">
        <v>88854988</v>
      </c>
      <c r="E144" s="2639">
        <v>87209628</v>
      </c>
      <c r="F144" s="2639">
        <v>88854988</v>
      </c>
      <c r="G144" s="2639">
        <v>87209628</v>
      </c>
      <c r="H144" s="2639">
        <v>88854988</v>
      </c>
      <c r="I144" s="2639">
        <v>87209628</v>
      </c>
      <c r="J144" s="2639">
        <v>88854988</v>
      </c>
      <c r="K144" s="2639">
        <v>87209628</v>
      </c>
      <c r="L144" s="2639">
        <v>4960360</v>
      </c>
      <c r="M144" s="2639">
        <v>0</v>
      </c>
    </row>
    <row r="145" spans="1:13" ht="14.5">
      <c r="A145" s="2977" t="s">
        <v>9566</v>
      </c>
      <c r="B145" s="2113" t="str">
        <f t="shared" si="3"/>
        <v>035-903</v>
      </c>
      <c r="C145" s="2977" t="s">
        <v>6139</v>
      </c>
      <c r="D145" s="2637">
        <v>84292399</v>
      </c>
      <c r="E145" s="2637">
        <v>82492869</v>
      </c>
      <c r="F145" s="2637">
        <v>84292399</v>
      </c>
      <c r="G145" s="2637">
        <v>82492869</v>
      </c>
      <c r="H145" s="2637">
        <v>84292399</v>
      </c>
      <c r="I145" s="2637">
        <v>82492869</v>
      </c>
      <c r="J145" s="2637">
        <v>84292399</v>
      </c>
      <c r="K145" s="2637">
        <v>82492869</v>
      </c>
      <c r="L145" s="2637">
        <v>4634530</v>
      </c>
      <c r="M145" s="2637">
        <v>0</v>
      </c>
    </row>
    <row r="146" spans="1:13" ht="14.5">
      <c r="A146" s="2978" t="s">
        <v>9567</v>
      </c>
      <c r="B146" s="2113" t="str">
        <f t="shared" si="3"/>
        <v>036-901</v>
      </c>
      <c r="C146" s="2978" t="s">
        <v>6140</v>
      </c>
      <c r="D146" s="2639">
        <v>685550344</v>
      </c>
      <c r="E146" s="2639">
        <v>667580574</v>
      </c>
      <c r="F146" s="2639">
        <v>655453189</v>
      </c>
      <c r="G146" s="2639">
        <v>637483419</v>
      </c>
      <c r="H146" s="2639">
        <v>685550344</v>
      </c>
      <c r="I146" s="2639">
        <v>667580574</v>
      </c>
      <c r="J146" s="2639">
        <v>655453189</v>
      </c>
      <c r="K146" s="2639">
        <v>637483419</v>
      </c>
      <c r="L146" s="2639">
        <v>48509770</v>
      </c>
      <c r="M146" s="2639">
        <v>0</v>
      </c>
    </row>
    <row r="147" spans="1:13" ht="14.5">
      <c r="A147" s="2977" t="s">
        <v>9568</v>
      </c>
      <c r="B147" s="2113" t="str">
        <f t="shared" si="3"/>
        <v>036-902</v>
      </c>
      <c r="C147" s="2977" t="s">
        <v>6141</v>
      </c>
      <c r="D147" s="2637">
        <v>6978696137</v>
      </c>
      <c r="E147" s="2637">
        <v>6913536947</v>
      </c>
      <c r="F147" s="2637">
        <v>6780438657</v>
      </c>
      <c r="G147" s="2637">
        <v>6715279467</v>
      </c>
      <c r="H147" s="2637">
        <v>14374406662</v>
      </c>
      <c r="I147" s="2637">
        <v>14309247472</v>
      </c>
      <c r="J147" s="2637">
        <v>14176149182</v>
      </c>
      <c r="K147" s="2637">
        <v>14110989992</v>
      </c>
      <c r="L147" s="2637">
        <v>165389190</v>
      </c>
      <c r="M147" s="2637">
        <v>7395710525</v>
      </c>
    </row>
    <row r="148" spans="1:13" ht="14.5">
      <c r="A148" s="2978" t="s">
        <v>9569</v>
      </c>
      <c r="B148" s="2113" t="str">
        <f t="shared" si="3"/>
        <v>036-903</v>
      </c>
      <c r="C148" s="2978" t="s">
        <v>6142</v>
      </c>
      <c r="D148" s="2639">
        <v>376980584</v>
      </c>
      <c r="E148" s="2639">
        <v>365223394</v>
      </c>
      <c r="F148" s="2639">
        <v>359250649</v>
      </c>
      <c r="G148" s="2639">
        <v>347493459</v>
      </c>
      <c r="H148" s="2639">
        <v>376980584</v>
      </c>
      <c r="I148" s="2639">
        <v>365223394</v>
      </c>
      <c r="J148" s="2639">
        <v>359250649</v>
      </c>
      <c r="K148" s="2639">
        <v>347493459</v>
      </c>
      <c r="L148" s="2639">
        <v>31902190</v>
      </c>
      <c r="M148" s="2639">
        <v>0</v>
      </c>
    </row>
    <row r="149" spans="1:13" ht="14.5">
      <c r="A149" s="2977" t="s">
        <v>9570</v>
      </c>
      <c r="B149" s="2113" t="str">
        <f t="shared" si="3"/>
        <v>037-901</v>
      </c>
      <c r="C149" s="2977" t="s">
        <v>6143</v>
      </c>
      <c r="D149" s="2637">
        <v>167716398</v>
      </c>
      <c r="E149" s="2637">
        <v>162224076</v>
      </c>
      <c r="F149" s="2637">
        <v>167716398</v>
      </c>
      <c r="G149" s="2637">
        <v>162224076</v>
      </c>
      <c r="H149" s="2637">
        <v>167716398</v>
      </c>
      <c r="I149" s="2637">
        <v>162224076</v>
      </c>
      <c r="J149" s="2637">
        <v>167716398</v>
      </c>
      <c r="K149" s="2637">
        <v>162224076</v>
      </c>
      <c r="L149" s="2637">
        <v>16802322</v>
      </c>
      <c r="M149" s="2637">
        <v>0</v>
      </c>
    </row>
    <row r="150" spans="1:13" ht="14.5">
      <c r="A150" s="2978" t="s">
        <v>10581</v>
      </c>
      <c r="B150" s="2113" t="str">
        <f t="shared" si="3"/>
        <v>037-904</v>
      </c>
      <c r="C150" s="2978" t="s">
        <v>6144</v>
      </c>
      <c r="D150" s="2639">
        <v>1494686461</v>
      </c>
      <c r="E150" s="2639">
        <v>1449261576</v>
      </c>
      <c r="F150" s="2639">
        <v>1494686461</v>
      </c>
      <c r="G150" s="2639">
        <v>1449261576</v>
      </c>
      <c r="H150" s="2639">
        <v>1494686461</v>
      </c>
      <c r="I150" s="2639">
        <v>1449261576</v>
      </c>
      <c r="J150" s="2639">
        <v>1494686461</v>
      </c>
      <c r="K150" s="2639">
        <v>1449261576</v>
      </c>
      <c r="L150" s="2639">
        <v>125269885</v>
      </c>
      <c r="M150" s="2639">
        <v>0</v>
      </c>
    </row>
    <row r="151" spans="1:13" ht="14.5">
      <c r="A151" s="2977" t="s">
        <v>10582</v>
      </c>
      <c r="B151" s="2113" t="str">
        <f t="shared" si="3"/>
        <v>037-907</v>
      </c>
      <c r="C151" s="2977" t="s">
        <v>6145</v>
      </c>
      <c r="D151" s="2637">
        <v>506280759</v>
      </c>
      <c r="E151" s="2637">
        <v>487148144</v>
      </c>
      <c r="F151" s="2637">
        <v>506280759</v>
      </c>
      <c r="G151" s="2637">
        <v>487148144</v>
      </c>
      <c r="H151" s="2637">
        <v>506280759</v>
      </c>
      <c r="I151" s="2637">
        <v>487148144</v>
      </c>
      <c r="J151" s="2637">
        <v>506280759</v>
      </c>
      <c r="K151" s="2637">
        <v>487148144</v>
      </c>
      <c r="L151" s="2637">
        <v>57232615</v>
      </c>
      <c r="M151" s="2637">
        <v>0</v>
      </c>
    </row>
    <row r="152" spans="1:13" ht="14.5">
      <c r="A152" s="2978" t="s">
        <v>9571</v>
      </c>
      <c r="B152" s="2113" t="str">
        <f t="shared" si="3"/>
        <v>037-908</v>
      </c>
      <c r="C152" s="2978" t="s">
        <v>6146</v>
      </c>
      <c r="D152" s="2639">
        <v>84587722</v>
      </c>
      <c r="E152" s="2639">
        <v>82191938</v>
      </c>
      <c r="F152" s="2639">
        <v>84587722</v>
      </c>
      <c r="G152" s="2639">
        <v>82191938</v>
      </c>
      <c r="H152" s="2639">
        <v>84587722</v>
      </c>
      <c r="I152" s="2639">
        <v>82191938</v>
      </c>
      <c r="J152" s="2639">
        <v>84587722</v>
      </c>
      <c r="K152" s="2639">
        <v>82191938</v>
      </c>
      <c r="L152" s="2639">
        <v>7780784</v>
      </c>
      <c r="M152" s="2639">
        <v>0</v>
      </c>
    </row>
    <row r="153" spans="1:13" ht="14.5">
      <c r="A153" s="2977" t="s">
        <v>9572</v>
      </c>
      <c r="B153" s="2113" t="str">
        <f t="shared" si="3"/>
        <v>037-909</v>
      </c>
      <c r="C153" s="2977" t="s">
        <v>6147</v>
      </c>
      <c r="D153" s="2637">
        <v>108340982</v>
      </c>
      <c r="E153" s="2637">
        <v>105130049</v>
      </c>
      <c r="F153" s="2637">
        <v>108340982</v>
      </c>
      <c r="G153" s="2637">
        <v>105130049</v>
      </c>
      <c r="H153" s="2637">
        <v>108340982</v>
      </c>
      <c r="I153" s="2637">
        <v>105130049</v>
      </c>
      <c r="J153" s="2637">
        <v>108340982</v>
      </c>
      <c r="K153" s="2637">
        <v>105130049</v>
      </c>
      <c r="L153" s="2637">
        <v>9390933</v>
      </c>
      <c r="M153" s="2637">
        <v>0</v>
      </c>
    </row>
    <row r="154" spans="1:13" ht="14.5">
      <c r="A154" s="2978" t="s">
        <v>9573</v>
      </c>
      <c r="B154" s="2113" t="str">
        <f t="shared" si="3"/>
        <v>038-901</v>
      </c>
      <c r="C154" s="2978" t="s">
        <v>6148</v>
      </c>
      <c r="D154" s="2639">
        <v>486585283</v>
      </c>
      <c r="E154" s="2639">
        <v>473850229</v>
      </c>
      <c r="F154" s="2639">
        <v>486585283</v>
      </c>
      <c r="G154" s="2639">
        <v>473850229</v>
      </c>
      <c r="H154" s="2639">
        <v>653414063</v>
      </c>
      <c r="I154" s="2639">
        <v>640679009</v>
      </c>
      <c r="J154" s="2639">
        <v>653414063</v>
      </c>
      <c r="K154" s="2639">
        <v>640679009</v>
      </c>
      <c r="L154" s="2639">
        <v>33945054</v>
      </c>
      <c r="M154" s="2639">
        <v>166828780</v>
      </c>
    </row>
    <row r="155" spans="1:13" ht="14.5">
      <c r="A155" s="2977" t="s">
        <v>10583</v>
      </c>
      <c r="B155" s="2113" t="str">
        <f t="shared" si="3"/>
        <v>039-902</v>
      </c>
      <c r="C155" s="2977" t="s">
        <v>6149</v>
      </c>
      <c r="D155" s="2637">
        <v>416776067</v>
      </c>
      <c r="E155" s="2637">
        <v>404465647</v>
      </c>
      <c r="F155" s="2637">
        <v>416776067</v>
      </c>
      <c r="G155" s="2637">
        <v>404465647</v>
      </c>
      <c r="H155" s="2637">
        <v>416776067</v>
      </c>
      <c r="I155" s="2637">
        <v>404465647</v>
      </c>
      <c r="J155" s="2637">
        <v>416776067</v>
      </c>
      <c r="K155" s="2637">
        <v>404465647</v>
      </c>
      <c r="L155" s="2637">
        <v>38845420</v>
      </c>
      <c r="M155" s="2637">
        <v>0</v>
      </c>
    </row>
    <row r="156" spans="1:13" ht="14.5">
      <c r="A156" s="2978" t="s">
        <v>10584</v>
      </c>
      <c r="B156" s="2113" t="str">
        <f t="shared" si="3"/>
        <v>039-903</v>
      </c>
      <c r="C156" s="2978" t="s">
        <v>6150</v>
      </c>
      <c r="D156" s="2639">
        <v>169868198</v>
      </c>
      <c r="E156" s="2639">
        <v>162983218</v>
      </c>
      <c r="F156" s="2639">
        <v>169868198</v>
      </c>
      <c r="G156" s="2639">
        <v>162983218</v>
      </c>
      <c r="H156" s="2639">
        <v>169868198</v>
      </c>
      <c r="I156" s="2639">
        <v>162983218</v>
      </c>
      <c r="J156" s="2639">
        <v>169868198</v>
      </c>
      <c r="K156" s="2639">
        <v>162983218</v>
      </c>
      <c r="L156" s="2639">
        <v>18764980</v>
      </c>
      <c r="M156" s="2639">
        <v>0</v>
      </c>
    </row>
    <row r="157" spans="1:13" ht="14.5">
      <c r="A157" s="2977" t="s">
        <v>10585</v>
      </c>
      <c r="B157" s="2113" t="str">
        <f t="shared" si="3"/>
        <v>039-904</v>
      </c>
      <c r="C157" s="2977" t="s">
        <v>6151</v>
      </c>
      <c r="D157" s="2637">
        <v>150507086</v>
      </c>
      <c r="E157" s="2637">
        <v>148813236</v>
      </c>
      <c r="F157" s="2637">
        <v>150507086</v>
      </c>
      <c r="G157" s="2637">
        <v>148813236</v>
      </c>
      <c r="H157" s="2637">
        <v>150507086</v>
      </c>
      <c r="I157" s="2637">
        <v>148813236</v>
      </c>
      <c r="J157" s="2637">
        <v>150507086</v>
      </c>
      <c r="K157" s="2637">
        <v>148813236</v>
      </c>
      <c r="L157" s="2637">
        <v>4828850</v>
      </c>
      <c r="M157" s="2637">
        <v>0</v>
      </c>
    </row>
    <row r="158" spans="1:13" ht="14.5">
      <c r="A158" s="2978" t="s">
        <v>10586</v>
      </c>
      <c r="B158" s="2113" t="str">
        <f t="shared" si="3"/>
        <v>039-905</v>
      </c>
      <c r="C158" s="2978" t="s">
        <v>6152</v>
      </c>
      <c r="D158" s="2639">
        <v>90295937</v>
      </c>
      <c r="E158" s="2639">
        <v>87868507</v>
      </c>
      <c r="F158" s="2639">
        <v>90295937</v>
      </c>
      <c r="G158" s="2639">
        <v>87868507</v>
      </c>
      <c r="H158" s="2639">
        <v>224922247</v>
      </c>
      <c r="I158" s="2639">
        <v>222494817</v>
      </c>
      <c r="J158" s="2639">
        <v>224922247</v>
      </c>
      <c r="K158" s="2639">
        <v>222494817</v>
      </c>
      <c r="L158" s="2639">
        <v>6612430</v>
      </c>
      <c r="M158" s="2639">
        <v>134626310</v>
      </c>
    </row>
    <row r="159" spans="1:13" ht="14.5">
      <c r="A159" s="2977" t="s">
        <v>9574</v>
      </c>
      <c r="B159" s="2113" t="str">
        <f t="shared" si="3"/>
        <v>040-901</v>
      </c>
      <c r="C159" s="2977" t="s">
        <v>6153</v>
      </c>
      <c r="D159" s="2637">
        <v>55496926</v>
      </c>
      <c r="E159" s="2637">
        <v>53562252</v>
      </c>
      <c r="F159" s="2637">
        <v>55496926</v>
      </c>
      <c r="G159" s="2637">
        <v>53562252</v>
      </c>
      <c r="H159" s="2637">
        <v>55496926</v>
      </c>
      <c r="I159" s="2637">
        <v>53562252</v>
      </c>
      <c r="J159" s="2637">
        <v>55496926</v>
      </c>
      <c r="K159" s="2637">
        <v>53562252</v>
      </c>
      <c r="L159" s="2637">
        <v>9089674</v>
      </c>
      <c r="M159" s="2637">
        <v>0</v>
      </c>
    </row>
    <row r="160" spans="1:13" ht="14.5">
      <c r="A160" s="2978" t="s">
        <v>9575</v>
      </c>
      <c r="B160" s="2113" t="str">
        <f t="shared" si="3"/>
        <v>040-902</v>
      </c>
      <c r="C160" s="2978" t="s">
        <v>6154</v>
      </c>
      <c r="D160" s="2639">
        <v>364762298</v>
      </c>
      <c r="E160" s="2639">
        <v>363819023</v>
      </c>
      <c r="F160" s="2639">
        <v>364762298</v>
      </c>
      <c r="G160" s="2639">
        <v>363819023</v>
      </c>
      <c r="H160" s="2639">
        <v>468716653</v>
      </c>
      <c r="I160" s="2639">
        <v>467773378</v>
      </c>
      <c r="J160" s="2639">
        <v>468716653</v>
      </c>
      <c r="K160" s="2639">
        <v>467773378</v>
      </c>
      <c r="L160" s="2639">
        <v>3898275</v>
      </c>
      <c r="M160" s="2639">
        <v>103954355</v>
      </c>
    </row>
    <row r="161" spans="1:13" ht="14.5">
      <c r="A161" s="2977" t="s">
        <v>9576</v>
      </c>
      <c r="B161" s="2113" t="str">
        <f t="shared" si="3"/>
        <v>041-901</v>
      </c>
      <c r="C161" s="2977" t="s">
        <v>6155</v>
      </c>
      <c r="D161" s="2637">
        <v>173712392</v>
      </c>
      <c r="E161" s="2637">
        <v>169603212</v>
      </c>
      <c r="F161" s="2637">
        <v>173712392</v>
      </c>
      <c r="G161" s="2637">
        <v>169603212</v>
      </c>
      <c r="H161" s="2637">
        <v>173712392</v>
      </c>
      <c r="I161" s="2637">
        <v>169603212</v>
      </c>
      <c r="J161" s="2637">
        <v>173712392</v>
      </c>
      <c r="K161" s="2637">
        <v>169603212</v>
      </c>
      <c r="L161" s="2637">
        <v>10679180</v>
      </c>
      <c r="M161" s="2637">
        <v>0</v>
      </c>
    </row>
    <row r="162" spans="1:13" ht="14.5">
      <c r="A162" s="2978" t="s">
        <v>9577</v>
      </c>
      <c r="B162" s="2113" t="str">
        <f t="shared" si="3"/>
        <v>041-902</v>
      </c>
      <c r="C162" s="2978" t="s">
        <v>6156</v>
      </c>
      <c r="D162" s="2639">
        <v>273467121</v>
      </c>
      <c r="E162" s="2639">
        <v>269119466</v>
      </c>
      <c r="F162" s="2639">
        <v>269888121</v>
      </c>
      <c r="G162" s="2639">
        <v>265540466</v>
      </c>
      <c r="H162" s="2639">
        <v>419276281</v>
      </c>
      <c r="I162" s="2639">
        <v>414928626</v>
      </c>
      <c r="J162" s="2639">
        <v>415697281</v>
      </c>
      <c r="K162" s="2639">
        <v>411349626</v>
      </c>
      <c r="L162" s="2639">
        <v>12462655</v>
      </c>
      <c r="M162" s="2639">
        <v>145809160</v>
      </c>
    </row>
    <row r="163" spans="1:13" ht="14.5">
      <c r="A163" s="2977" t="s">
        <v>9578</v>
      </c>
      <c r="B163" s="2113" t="str">
        <f t="shared" si="3"/>
        <v>042-901</v>
      </c>
      <c r="C163" s="2977" t="s">
        <v>6157</v>
      </c>
      <c r="D163" s="2637">
        <v>229197887</v>
      </c>
      <c r="E163" s="2637">
        <v>217488186</v>
      </c>
      <c r="F163" s="2637">
        <v>229197887</v>
      </c>
      <c r="G163" s="2637">
        <v>217488186</v>
      </c>
      <c r="H163" s="2637">
        <v>229197887</v>
      </c>
      <c r="I163" s="2637">
        <v>217488186</v>
      </c>
      <c r="J163" s="2637">
        <v>229197887</v>
      </c>
      <c r="K163" s="2637">
        <v>217488186</v>
      </c>
      <c r="L163" s="2637">
        <v>36789701</v>
      </c>
      <c r="M163" s="2637">
        <v>0</v>
      </c>
    </row>
    <row r="164" spans="1:13" ht="14.5">
      <c r="A164" s="2978" t="s">
        <v>9579</v>
      </c>
      <c r="B164" s="2113" t="str">
        <f t="shared" si="3"/>
        <v>042-903</v>
      </c>
      <c r="C164" s="2978" t="s">
        <v>6158</v>
      </c>
      <c r="D164" s="2639">
        <v>114579687</v>
      </c>
      <c r="E164" s="2639">
        <v>110739987</v>
      </c>
      <c r="F164" s="2639">
        <v>114579687</v>
      </c>
      <c r="G164" s="2639">
        <v>110739987</v>
      </c>
      <c r="H164" s="2639">
        <v>114579687</v>
      </c>
      <c r="I164" s="2639">
        <v>110739987</v>
      </c>
      <c r="J164" s="2639">
        <v>114579687</v>
      </c>
      <c r="K164" s="2639">
        <v>110739987</v>
      </c>
      <c r="L164" s="2639">
        <v>11249700</v>
      </c>
      <c r="M164" s="2639">
        <v>0</v>
      </c>
    </row>
    <row r="165" spans="1:13" ht="14.5">
      <c r="A165" s="2977" t="s">
        <v>9580</v>
      </c>
      <c r="B165" s="2113" t="str">
        <f t="shared" si="3"/>
        <v>042-905</v>
      </c>
      <c r="C165" s="2977" t="s">
        <v>6159</v>
      </c>
      <c r="D165" s="2637">
        <v>136588205</v>
      </c>
      <c r="E165" s="2637">
        <v>133754285</v>
      </c>
      <c r="F165" s="2637">
        <v>136588205</v>
      </c>
      <c r="G165" s="2637">
        <v>133754285</v>
      </c>
      <c r="H165" s="2637">
        <v>136588205</v>
      </c>
      <c r="I165" s="2637">
        <v>133754285</v>
      </c>
      <c r="J165" s="2637">
        <v>136588205</v>
      </c>
      <c r="K165" s="2637">
        <v>133754285</v>
      </c>
      <c r="L165" s="2637">
        <v>8563920</v>
      </c>
      <c r="M165" s="2637">
        <v>0</v>
      </c>
    </row>
    <row r="166" spans="1:13" ht="14.5">
      <c r="A166" s="2978" t="s">
        <v>9581</v>
      </c>
      <c r="B166" s="2113" t="str">
        <f t="shared" si="3"/>
        <v>043-901</v>
      </c>
      <c r="C166" s="2978" t="s">
        <v>6160</v>
      </c>
      <c r="D166" s="2639">
        <v>16809445272</v>
      </c>
      <c r="E166" s="2639">
        <v>16580485630</v>
      </c>
      <c r="F166" s="2639">
        <v>16809445272</v>
      </c>
      <c r="G166" s="2639">
        <v>16580485630</v>
      </c>
      <c r="H166" s="2639">
        <v>16809445272</v>
      </c>
      <c r="I166" s="2639">
        <v>16580485630</v>
      </c>
      <c r="J166" s="2639">
        <v>16809445272</v>
      </c>
      <c r="K166" s="2639">
        <v>16580485630</v>
      </c>
      <c r="L166" s="2639">
        <v>579119642</v>
      </c>
      <c r="M166" s="2639">
        <v>0</v>
      </c>
    </row>
    <row r="167" spans="1:13" ht="14.5">
      <c r="A167" s="2977" t="s">
        <v>9582</v>
      </c>
      <c r="B167" s="2113" t="str">
        <f t="shared" si="3"/>
        <v>043-902</v>
      </c>
      <c r="C167" s="2977" t="s">
        <v>6161</v>
      </c>
      <c r="D167" s="2637">
        <v>2042253698</v>
      </c>
      <c r="E167" s="2637">
        <v>2000530516</v>
      </c>
      <c r="F167" s="2637">
        <v>2042253698</v>
      </c>
      <c r="G167" s="2637">
        <v>2000530516</v>
      </c>
      <c r="H167" s="2637">
        <v>2042253698</v>
      </c>
      <c r="I167" s="2637">
        <v>2000530516</v>
      </c>
      <c r="J167" s="2637">
        <v>2042253698</v>
      </c>
      <c r="K167" s="2637">
        <v>2000530516</v>
      </c>
      <c r="L167" s="2637">
        <v>107333182</v>
      </c>
      <c r="M167" s="2637">
        <v>0</v>
      </c>
    </row>
    <row r="168" spans="1:13" ht="14.5">
      <c r="A168" s="2978" t="s">
        <v>9583</v>
      </c>
      <c r="B168" s="2113" t="str">
        <f t="shared" si="3"/>
        <v>043-903</v>
      </c>
      <c r="C168" s="2978" t="s">
        <v>6162</v>
      </c>
      <c r="D168" s="2639">
        <v>2180286250</v>
      </c>
      <c r="E168" s="2639">
        <v>2147024384</v>
      </c>
      <c r="F168" s="2639">
        <v>2180286250</v>
      </c>
      <c r="G168" s="2639">
        <v>2147024384</v>
      </c>
      <c r="H168" s="2639">
        <v>2180286250</v>
      </c>
      <c r="I168" s="2639">
        <v>2147024384</v>
      </c>
      <c r="J168" s="2639">
        <v>2180286250</v>
      </c>
      <c r="K168" s="2639">
        <v>2147024384</v>
      </c>
      <c r="L168" s="2639">
        <v>84846866</v>
      </c>
      <c r="M168" s="2639">
        <v>0</v>
      </c>
    </row>
    <row r="169" spans="1:13" ht="14.5">
      <c r="A169" s="2977" t="s">
        <v>10587</v>
      </c>
      <c r="B169" s="2113" t="str">
        <f t="shared" si="3"/>
        <v>043-904</v>
      </c>
      <c r="C169" s="2977" t="s">
        <v>6163</v>
      </c>
      <c r="D169" s="2637">
        <v>884526856</v>
      </c>
      <c r="E169" s="2637">
        <v>865543882</v>
      </c>
      <c r="F169" s="2637">
        <v>884526856</v>
      </c>
      <c r="G169" s="2637">
        <v>865543882</v>
      </c>
      <c r="H169" s="2637">
        <v>884526856</v>
      </c>
      <c r="I169" s="2637">
        <v>865543882</v>
      </c>
      <c r="J169" s="2637">
        <v>884526856</v>
      </c>
      <c r="K169" s="2637">
        <v>865543882</v>
      </c>
      <c r="L169" s="2637">
        <v>49942974</v>
      </c>
      <c r="M169" s="2637">
        <v>0</v>
      </c>
    </row>
    <row r="170" spans="1:13" ht="14.5">
      <c r="A170" s="2978" t="s">
        <v>9584</v>
      </c>
      <c r="B170" s="2113" t="str">
        <f t="shared" si="3"/>
        <v>043-905</v>
      </c>
      <c r="C170" s="2978" t="s">
        <v>6164</v>
      </c>
      <c r="D170" s="2639">
        <v>47548083771</v>
      </c>
      <c r="E170" s="2639">
        <v>47031010416</v>
      </c>
      <c r="F170" s="2639">
        <v>47548083771</v>
      </c>
      <c r="G170" s="2639">
        <v>47031010416</v>
      </c>
      <c r="H170" s="2639">
        <v>47548083771</v>
      </c>
      <c r="I170" s="2639">
        <v>47031010416</v>
      </c>
      <c r="J170" s="2639">
        <v>47548083771</v>
      </c>
      <c r="K170" s="2639">
        <v>47031010416</v>
      </c>
      <c r="L170" s="2639">
        <v>1302338355</v>
      </c>
      <c r="M170" s="2639">
        <v>0</v>
      </c>
    </row>
    <row r="171" spans="1:13" ht="14.5">
      <c r="A171" s="2977" t="s">
        <v>9585</v>
      </c>
      <c r="B171" s="2113" t="str">
        <f t="shared" si="3"/>
        <v>043-907</v>
      </c>
      <c r="C171" s="2977" t="s">
        <v>6165</v>
      </c>
      <c r="D171" s="2637">
        <v>19025750968</v>
      </c>
      <c r="E171" s="2637">
        <v>18754343726</v>
      </c>
      <c r="F171" s="2637">
        <v>19025750968</v>
      </c>
      <c r="G171" s="2637">
        <v>18754343726</v>
      </c>
      <c r="H171" s="2637">
        <v>19025750968</v>
      </c>
      <c r="I171" s="2637">
        <v>18754343726</v>
      </c>
      <c r="J171" s="2637">
        <v>19025750968</v>
      </c>
      <c r="K171" s="2637">
        <v>18754343726</v>
      </c>
      <c r="L171" s="2637">
        <v>690282242</v>
      </c>
      <c r="M171" s="2637">
        <v>0</v>
      </c>
    </row>
    <row r="172" spans="1:13" ht="14.5">
      <c r="A172" s="2978" t="s">
        <v>9586</v>
      </c>
      <c r="B172" s="2113" t="str">
        <f t="shared" si="3"/>
        <v>043-908</v>
      </c>
      <c r="C172" s="2978" t="s">
        <v>6166</v>
      </c>
      <c r="D172" s="2639">
        <v>2180308836</v>
      </c>
      <c r="E172" s="2639">
        <v>2139100882</v>
      </c>
      <c r="F172" s="2639">
        <v>2180308836</v>
      </c>
      <c r="G172" s="2639">
        <v>2139100882</v>
      </c>
      <c r="H172" s="2639">
        <v>2180308836</v>
      </c>
      <c r="I172" s="2639">
        <v>2139100882</v>
      </c>
      <c r="J172" s="2639">
        <v>2180308836</v>
      </c>
      <c r="K172" s="2639">
        <v>2139100882</v>
      </c>
      <c r="L172" s="2639">
        <v>104972954</v>
      </c>
      <c r="M172" s="2639">
        <v>0</v>
      </c>
    </row>
    <row r="173" spans="1:13" ht="14.5">
      <c r="A173" s="2977" t="s">
        <v>10588</v>
      </c>
      <c r="B173" s="2113" t="str">
        <f t="shared" si="3"/>
        <v>043-910</v>
      </c>
      <c r="C173" s="2977" t="s">
        <v>6167</v>
      </c>
      <c r="D173" s="2637">
        <v>60306910237</v>
      </c>
      <c r="E173" s="2637">
        <v>59614331570</v>
      </c>
      <c r="F173" s="2637">
        <v>60306910237</v>
      </c>
      <c r="G173" s="2637">
        <v>59614331570</v>
      </c>
      <c r="H173" s="2637">
        <v>60306910237</v>
      </c>
      <c r="I173" s="2637">
        <v>59614331570</v>
      </c>
      <c r="J173" s="2637">
        <v>60306910237</v>
      </c>
      <c r="K173" s="2637">
        <v>59614331570</v>
      </c>
      <c r="L173" s="2637">
        <v>1751908667</v>
      </c>
      <c r="M173" s="2637">
        <v>0</v>
      </c>
    </row>
    <row r="174" spans="1:13" ht="14.5">
      <c r="A174" s="2978" t="s">
        <v>9587</v>
      </c>
      <c r="B174" s="2113" t="str">
        <f t="shared" si="3"/>
        <v>043-911</v>
      </c>
      <c r="C174" s="2978" t="s">
        <v>6168</v>
      </c>
      <c r="D174" s="2639">
        <v>2234165644</v>
      </c>
      <c r="E174" s="2639">
        <v>2186363723</v>
      </c>
      <c r="F174" s="2639">
        <v>2234165644</v>
      </c>
      <c r="G174" s="2639">
        <v>2186363723</v>
      </c>
      <c r="H174" s="2639">
        <v>2234165644</v>
      </c>
      <c r="I174" s="2639">
        <v>2186363723</v>
      </c>
      <c r="J174" s="2639">
        <v>2234165644</v>
      </c>
      <c r="K174" s="2639">
        <v>2186363723</v>
      </c>
      <c r="L174" s="2639">
        <v>126221921</v>
      </c>
      <c r="M174" s="2639">
        <v>0</v>
      </c>
    </row>
    <row r="175" spans="1:13" ht="14.5">
      <c r="A175" s="2977" t="s">
        <v>9588</v>
      </c>
      <c r="B175" s="2113" t="str">
        <f t="shared" si="3"/>
        <v>043-912</v>
      </c>
      <c r="C175" s="2977" t="s">
        <v>6169</v>
      </c>
      <c r="D175" s="2637">
        <v>13076291237</v>
      </c>
      <c r="E175" s="2637">
        <v>12898890544</v>
      </c>
      <c r="F175" s="2637">
        <v>13076291237</v>
      </c>
      <c r="G175" s="2637">
        <v>12898890544</v>
      </c>
      <c r="H175" s="2637">
        <v>13076291237</v>
      </c>
      <c r="I175" s="2637">
        <v>12898890544</v>
      </c>
      <c r="J175" s="2637">
        <v>13076291237</v>
      </c>
      <c r="K175" s="2637">
        <v>12898890544</v>
      </c>
      <c r="L175" s="2637">
        <v>449230693</v>
      </c>
      <c r="M175" s="2637">
        <v>0</v>
      </c>
    </row>
    <row r="176" spans="1:13" ht="14.5">
      <c r="A176" s="2978" t="s">
        <v>9589</v>
      </c>
      <c r="B176" s="2113" t="str">
        <f t="shared" si="3"/>
        <v>043-914</v>
      </c>
      <c r="C176" s="2978" t="s">
        <v>6170</v>
      </c>
      <c r="D176" s="2639">
        <v>8173445103</v>
      </c>
      <c r="E176" s="2639">
        <v>8002662506</v>
      </c>
      <c r="F176" s="2639">
        <v>8173445103</v>
      </c>
      <c r="G176" s="2639">
        <v>8002662506</v>
      </c>
      <c r="H176" s="2639">
        <v>8173445103</v>
      </c>
      <c r="I176" s="2639">
        <v>8002662506</v>
      </c>
      <c r="J176" s="2639">
        <v>8173445103</v>
      </c>
      <c r="K176" s="2639">
        <v>8002662506</v>
      </c>
      <c r="L176" s="2639">
        <v>437842597</v>
      </c>
      <c r="M176" s="2639">
        <v>0</v>
      </c>
    </row>
    <row r="177" spans="1:13" ht="14.5">
      <c r="A177" s="2977" t="s">
        <v>9590</v>
      </c>
      <c r="B177" s="2113" t="str">
        <f t="shared" si="3"/>
        <v>043-917</v>
      </c>
      <c r="C177" s="2977" t="s">
        <v>6171</v>
      </c>
      <c r="D177" s="2637">
        <v>386691568</v>
      </c>
      <c r="E177" s="2637">
        <v>377864536</v>
      </c>
      <c r="F177" s="2637">
        <v>386691568</v>
      </c>
      <c r="G177" s="2637">
        <v>377864536</v>
      </c>
      <c r="H177" s="2637">
        <v>386691568</v>
      </c>
      <c r="I177" s="2637">
        <v>377864536</v>
      </c>
      <c r="J177" s="2637">
        <v>386691568</v>
      </c>
      <c r="K177" s="2637">
        <v>377864536</v>
      </c>
      <c r="L177" s="2637">
        <v>23767032</v>
      </c>
      <c r="M177" s="2637">
        <v>0</v>
      </c>
    </row>
    <row r="178" spans="1:13" ht="14.5">
      <c r="A178" s="2978" t="s">
        <v>9591</v>
      </c>
      <c r="B178" s="2113" t="str">
        <f t="shared" si="3"/>
        <v>043-918</v>
      </c>
      <c r="C178" s="2978" t="s">
        <v>6172</v>
      </c>
      <c r="D178" s="2639">
        <v>1539848390</v>
      </c>
      <c r="E178" s="2639">
        <v>1504540003</v>
      </c>
      <c r="F178" s="2639">
        <v>1539848390</v>
      </c>
      <c r="G178" s="2639">
        <v>1504540003</v>
      </c>
      <c r="H178" s="2639">
        <v>1539848390</v>
      </c>
      <c r="I178" s="2639">
        <v>1504540003</v>
      </c>
      <c r="J178" s="2639">
        <v>1539848390</v>
      </c>
      <c r="K178" s="2639">
        <v>1504540003</v>
      </c>
      <c r="L178" s="2639">
        <v>92668387</v>
      </c>
      <c r="M178" s="2639">
        <v>0</v>
      </c>
    </row>
    <row r="179" spans="1:13" ht="14.5">
      <c r="A179" s="2977" t="s">
        <v>9592</v>
      </c>
      <c r="B179" s="2113" t="str">
        <f t="shared" si="3"/>
        <v>043-919</v>
      </c>
      <c r="C179" s="2977" t="s">
        <v>6173</v>
      </c>
      <c r="D179" s="2637">
        <v>3145505077</v>
      </c>
      <c r="E179" s="2637">
        <v>3099539061</v>
      </c>
      <c r="F179" s="2637">
        <v>3145505077</v>
      </c>
      <c r="G179" s="2637">
        <v>3099539061</v>
      </c>
      <c r="H179" s="2637">
        <v>3145505077</v>
      </c>
      <c r="I179" s="2637">
        <v>3099539061</v>
      </c>
      <c r="J179" s="2637">
        <v>3145505077</v>
      </c>
      <c r="K179" s="2637">
        <v>3099539061</v>
      </c>
      <c r="L179" s="2637">
        <v>116151016</v>
      </c>
      <c r="M179" s="2637">
        <v>0</v>
      </c>
    </row>
    <row r="180" spans="1:13" ht="14.5">
      <c r="A180" s="2978" t="s">
        <v>9593</v>
      </c>
      <c r="B180" s="2113" t="str">
        <f t="shared" si="3"/>
        <v>044-902</v>
      </c>
      <c r="C180" s="2978" t="s">
        <v>6174</v>
      </c>
      <c r="D180" s="2639">
        <v>214779708</v>
      </c>
      <c r="E180" s="2639">
        <v>209005189</v>
      </c>
      <c r="F180" s="2639">
        <v>214779708</v>
      </c>
      <c r="G180" s="2639">
        <v>209005189</v>
      </c>
      <c r="H180" s="2639">
        <v>214779708</v>
      </c>
      <c r="I180" s="2639">
        <v>209005189</v>
      </c>
      <c r="J180" s="2639">
        <v>214779708</v>
      </c>
      <c r="K180" s="2639">
        <v>209005189</v>
      </c>
      <c r="L180" s="2639">
        <v>17054519</v>
      </c>
      <c r="M180" s="2639">
        <v>0</v>
      </c>
    </row>
    <row r="181" spans="1:13" ht="14.5">
      <c r="A181" s="2977" t="s">
        <v>9594</v>
      </c>
      <c r="B181" s="2113" t="str">
        <f t="shared" si="3"/>
        <v>045-902</v>
      </c>
      <c r="C181" s="2977" t="s">
        <v>6175</v>
      </c>
      <c r="D181" s="2637">
        <v>1502931844</v>
      </c>
      <c r="E181" s="2637">
        <v>1477067734</v>
      </c>
      <c r="F181" s="2637">
        <v>1502931844</v>
      </c>
      <c r="G181" s="2637">
        <v>1477067734</v>
      </c>
      <c r="H181" s="2637">
        <v>1502931844</v>
      </c>
      <c r="I181" s="2637">
        <v>1477067734</v>
      </c>
      <c r="J181" s="2637">
        <v>1502931844</v>
      </c>
      <c r="K181" s="2637">
        <v>1477067734</v>
      </c>
      <c r="L181" s="2637">
        <v>70939110</v>
      </c>
      <c r="M181" s="2637">
        <v>0</v>
      </c>
    </row>
    <row r="182" spans="1:13" ht="14.5">
      <c r="A182" s="2978" t="s">
        <v>9595</v>
      </c>
      <c r="B182" s="2113" t="str">
        <f t="shared" si="3"/>
        <v>045-903</v>
      </c>
      <c r="C182" s="2978" t="s">
        <v>6176</v>
      </c>
      <c r="D182" s="2639">
        <v>987122939</v>
      </c>
      <c r="E182" s="2639">
        <v>973461350</v>
      </c>
      <c r="F182" s="2639">
        <v>987122939</v>
      </c>
      <c r="G182" s="2639">
        <v>973461350</v>
      </c>
      <c r="H182" s="2639">
        <v>987122939</v>
      </c>
      <c r="I182" s="2639">
        <v>973461350</v>
      </c>
      <c r="J182" s="2639">
        <v>987122939</v>
      </c>
      <c r="K182" s="2639">
        <v>973461350</v>
      </c>
      <c r="L182" s="2639">
        <v>40496589</v>
      </c>
      <c r="M182" s="2639">
        <v>0</v>
      </c>
    </row>
    <row r="183" spans="1:13" ht="14.5">
      <c r="A183" s="2977" t="s">
        <v>9596</v>
      </c>
      <c r="B183" s="2113" t="str">
        <f t="shared" si="3"/>
        <v>045-905</v>
      </c>
      <c r="C183" s="2977" t="s">
        <v>6177</v>
      </c>
      <c r="D183" s="2637">
        <v>456334996</v>
      </c>
      <c r="E183" s="2637">
        <v>443715368</v>
      </c>
      <c r="F183" s="2637">
        <v>456334996</v>
      </c>
      <c r="G183" s="2637">
        <v>443715368</v>
      </c>
      <c r="H183" s="2637">
        <v>456334996</v>
      </c>
      <c r="I183" s="2637">
        <v>443715368</v>
      </c>
      <c r="J183" s="2637">
        <v>456334996</v>
      </c>
      <c r="K183" s="2637">
        <v>443715368</v>
      </c>
      <c r="L183" s="2637">
        <v>34879628</v>
      </c>
      <c r="M183" s="2637">
        <v>0</v>
      </c>
    </row>
    <row r="184" spans="1:13" s="2983" customFormat="1" ht="14.5">
      <c r="A184" s="2980"/>
      <c r="B184" s="2113" t="s">
        <v>26</v>
      </c>
      <c r="C184" s="2638" t="s">
        <v>6178</v>
      </c>
      <c r="D184" s="2984">
        <v>7592951902</v>
      </c>
      <c r="E184" s="2984">
        <v>7454487667</v>
      </c>
      <c r="F184" s="2982"/>
      <c r="G184" s="2982"/>
      <c r="H184" s="2984">
        <v>7592951902</v>
      </c>
      <c r="I184" s="2984">
        <v>7454487667</v>
      </c>
      <c r="J184" s="2982"/>
      <c r="K184" s="2982"/>
      <c r="L184" s="2984">
        <v>360344235</v>
      </c>
      <c r="M184" s="2984">
        <v>0</v>
      </c>
    </row>
    <row r="185" spans="1:13" s="2983" customFormat="1" ht="14.5">
      <c r="A185" s="2980"/>
      <c r="B185" s="2113" t="s">
        <v>1191</v>
      </c>
      <c r="C185" s="2636" t="s">
        <v>6179</v>
      </c>
      <c r="D185" s="2982">
        <v>25161530658</v>
      </c>
      <c r="E185" s="2982">
        <v>24780914401</v>
      </c>
      <c r="F185" s="2982"/>
      <c r="G185" s="2982"/>
      <c r="H185" s="2982">
        <v>25231115288</v>
      </c>
      <c r="I185" s="2982">
        <v>24850499031</v>
      </c>
      <c r="J185" s="2982"/>
      <c r="K185" s="2982"/>
      <c r="L185" s="2982">
        <v>1026606257</v>
      </c>
      <c r="M185" s="2982">
        <v>69584630</v>
      </c>
    </row>
    <row r="186" spans="1:13" ht="14.5">
      <c r="A186" s="2978" t="s">
        <v>9599</v>
      </c>
      <c r="B186" s="2113" t="str">
        <f t="shared" si="3"/>
        <v>047-901</v>
      </c>
      <c r="C186" s="2978" t="s">
        <v>6180</v>
      </c>
      <c r="D186" s="2639">
        <v>518791574</v>
      </c>
      <c r="E186" s="2639">
        <v>502465597</v>
      </c>
      <c r="F186" s="2639">
        <v>518791574</v>
      </c>
      <c r="G186" s="2639">
        <v>502465597</v>
      </c>
      <c r="H186" s="2639">
        <v>606722834</v>
      </c>
      <c r="I186" s="2639">
        <v>590396857</v>
      </c>
      <c r="J186" s="2639">
        <v>606722834</v>
      </c>
      <c r="K186" s="2639">
        <v>590396857</v>
      </c>
      <c r="L186" s="2639">
        <v>46790977</v>
      </c>
      <c r="M186" s="2639">
        <v>87931260</v>
      </c>
    </row>
    <row r="187" spans="1:13" ht="14.5">
      <c r="A187" s="2977" t="s">
        <v>9600</v>
      </c>
      <c r="B187" s="2113" t="str">
        <f t="shared" si="3"/>
        <v>047-902</v>
      </c>
      <c r="C187" s="2977" t="s">
        <v>6181</v>
      </c>
      <c r="D187" s="2637">
        <v>258199239</v>
      </c>
      <c r="E187" s="2637">
        <v>248167353</v>
      </c>
      <c r="F187" s="2637">
        <v>258199239</v>
      </c>
      <c r="G187" s="2637">
        <v>248167353</v>
      </c>
      <c r="H187" s="2637">
        <v>258199239</v>
      </c>
      <c r="I187" s="2637">
        <v>248167353</v>
      </c>
      <c r="J187" s="2637">
        <v>258199239</v>
      </c>
      <c r="K187" s="2637">
        <v>248167353</v>
      </c>
      <c r="L187" s="2637">
        <v>29891886</v>
      </c>
      <c r="M187" s="2637">
        <v>0</v>
      </c>
    </row>
    <row r="188" spans="1:13" ht="14.5">
      <c r="A188" s="2978" t="s">
        <v>9601</v>
      </c>
      <c r="B188" s="2113" t="str">
        <f t="shared" si="3"/>
        <v>047-903</v>
      </c>
      <c r="C188" s="2978" t="s">
        <v>6182</v>
      </c>
      <c r="D188" s="2639">
        <v>101578089</v>
      </c>
      <c r="E188" s="2639">
        <v>99095571</v>
      </c>
      <c r="F188" s="2639">
        <v>101578089</v>
      </c>
      <c r="G188" s="2639">
        <v>99095571</v>
      </c>
      <c r="H188" s="2639">
        <v>101578089</v>
      </c>
      <c r="I188" s="2639">
        <v>99095571</v>
      </c>
      <c r="J188" s="2639">
        <v>101578089</v>
      </c>
      <c r="K188" s="2639">
        <v>99095571</v>
      </c>
      <c r="L188" s="2639">
        <v>6967518</v>
      </c>
      <c r="M188" s="2639">
        <v>0</v>
      </c>
    </row>
    <row r="189" spans="1:13" ht="14.5">
      <c r="A189" s="2977" t="s">
        <v>9602</v>
      </c>
      <c r="B189" s="2113" t="str">
        <f t="shared" si="3"/>
        <v>047-905</v>
      </c>
      <c r="C189" s="2977" t="s">
        <v>6183</v>
      </c>
      <c r="D189" s="2637">
        <v>44342339</v>
      </c>
      <c r="E189" s="2637">
        <v>42746810</v>
      </c>
      <c r="F189" s="2637">
        <v>44342339</v>
      </c>
      <c r="G189" s="2637">
        <v>42746810</v>
      </c>
      <c r="H189" s="2637">
        <v>44342339</v>
      </c>
      <c r="I189" s="2637">
        <v>42746810</v>
      </c>
      <c r="J189" s="2637">
        <v>44342339</v>
      </c>
      <c r="K189" s="2637">
        <v>42746810</v>
      </c>
      <c r="L189" s="2637">
        <v>4415529</v>
      </c>
      <c r="M189" s="2637">
        <v>0</v>
      </c>
    </row>
    <row r="190" spans="1:13" ht="14.5">
      <c r="A190" s="2978" t="s">
        <v>9603</v>
      </c>
      <c r="B190" s="2113" t="str">
        <f t="shared" si="3"/>
        <v>048-901</v>
      </c>
      <c r="C190" s="2978" t="s">
        <v>6184</v>
      </c>
      <c r="D190" s="2639">
        <v>239517092</v>
      </c>
      <c r="E190" s="2639">
        <v>235883501</v>
      </c>
      <c r="F190" s="2639">
        <v>239517092</v>
      </c>
      <c r="G190" s="2639">
        <v>235883501</v>
      </c>
      <c r="H190" s="2639">
        <v>808301392</v>
      </c>
      <c r="I190" s="2639">
        <v>804667801</v>
      </c>
      <c r="J190" s="2639">
        <v>808301392</v>
      </c>
      <c r="K190" s="2639">
        <v>804667801</v>
      </c>
      <c r="L190" s="2639">
        <v>10173591</v>
      </c>
      <c r="M190" s="2639">
        <v>568784300</v>
      </c>
    </row>
    <row r="191" spans="1:13" ht="14.5">
      <c r="A191" s="2977" t="s">
        <v>9604</v>
      </c>
      <c r="B191" s="2113" t="str">
        <f t="shared" si="3"/>
        <v>048-903</v>
      </c>
      <c r="C191" s="2977" t="s">
        <v>6185</v>
      </c>
      <c r="D191" s="2637">
        <v>236917397</v>
      </c>
      <c r="E191" s="2637">
        <v>235006900</v>
      </c>
      <c r="F191" s="2637">
        <v>236917397</v>
      </c>
      <c r="G191" s="2637">
        <v>235006900</v>
      </c>
      <c r="H191" s="2637">
        <v>236917397</v>
      </c>
      <c r="I191" s="2637">
        <v>235006900</v>
      </c>
      <c r="J191" s="2637">
        <v>236917397</v>
      </c>
      <c r="K191" s="2637">
        <v>235006900</v>
      </c>
      <c r="L191" s="2637">
        <v>5345497</v>
      </c>
      <c r="M191" s="2637">
        <v>0</v>
      </c>
    </row>
    <row r="192" spans="1:13" ht="14.5">
      <c r="A192" s="2978" t="s">
        <v>9605</v>
      </c>
      <c r="B192" s="2113" t="str">
        <f t="shared" si="3"/>
        <v>049-901</v>
      </c>
      <c r="C192" s="2978" t="s">
        <v>6186</v>
      </c>
      <c r="D192" s="2639">
        <v>1503105276</v>
      </c>
      <c r="E192" s="2639">
        <v>1471422488</v>
      </c>
      <c r="F192" s="2639">
        <v>1503105276</v>
      </c>
      <c r="G192" s="2639">
        <v>1471422488</v>
      </c>
      <c r="H192" s="2639">
        <v>1503105276</v>
      </c>
      <c r="I192" s="2639">
        <v>1471422488</v>
      </c>
      <c r="J192" s="2639">
        <v>1503105276</v>
      </c>
      <c r="K192" s="2639">
        <v>1471422488</v>
      </c>
      <c r="L192" s="2639">
        <v>82322788</v>
      </c>
      <c r="M192" s="2639">
        <v>0</v>
      </c>
    </row>
    <row r="193" spans="1:13" ht="14.5">
      <c r="A193" s="2977" t="s">
        <v>9606</v>
      </c>
      <c r="B193" s="2113" t="str">
        <f t="shared" si="3"/>
        <v>049-902</v>
      </c>
      <c r="C193" s="2977" t="s">
        <v>6187</v>
      </c>
      <c r="D193" s="2637">
        <v>466882448</v>
      </c>
      <c r="E193" s="2637">
        <v>458866569</v>
      </c>
      <c r="F193" s="2637">
        <v>466882448</v>
      </c>
      <c r="G193" s="2637">
        <v>458866569</v>
      </c>
      <c r="H193" s="2637">
        <v>537002299</v>
      </c>
      <c r="I193" s="2637">
        <v>528986420</v>
      </c>
      <c r="J193" s="2637">
        <v>537002299</v>
      </c>
      <c r="K193" s="2637">
        <v>528986420</v>
      </c>
      <c r="L193" s="2637">
        <v>20630879</v>
      </c>
      <c r="M193" s="2637">
        <v>70119851</v>
      </c>
    </row>
    <row r="194" spans="1:13" ht="14.5">
      <c r="A194" s="2978" t="s">
        <v>10589</v>
      </c>
      <c r="B194" s="2113" t="str">
        <f t="shared" si="3"/>
        <v>049-903</v>
      </c>
      <c r="C194" s="2978" t="s">
        <v>6188</v>
      </c>
      <c r="D194" s="2639">
        <v>376193937</v>
      </c>
      <c r="E194" s="2639">
        <v>367700638</v>
      </c>
      <c r="F194" s="2639">
        <v>376193937</v>
      </c>
      <c r="G194" s="2639">
        <v>367700638</v>
      </c>
      <c r="H194" s="2639">
        <v>376193937</v>
      </c>
      <c r="I194" s="2639">
        <v>367700638</v>
      </c>
      <c r="J194" s="2639">
        <v>376193937</v>
      </c>
      <c r="K194" s="2639">
        <v>367700638</v>
      </c>
      <c r="L194" s="2639">
        <v>23103299</v>
      </c>
      <c r="M194" s="2639">
        <v>0</v>
      </c>
    </row>
    <row r="195" spans="1:13" ht="14.5">
      <c r="A195" s="2977" t="s">
        <v>9607</v>
      </c>
      <c r="B195" s="2113" t="str">
        <f t="shared" si="3"/>
        <v>049-905</v>
      </c>
      <c r="C195" s="2977" t="s">
        <v>6189</v>
      </c>
      <c r="D195" s="2637">
        <v>984247654</v>
      </c>
      <c r="E195" s="2637">
        <v>962762137</v>
      </c>
      <c r="F195" s="2637">
        <v>984247654</v>
      </c>
      <c r="G195" s="2637">
        <v>962762137</v>
      </c>
      <c r="H195" s="2637">
        <v>984247654</v>
      </c>
      <c r="I195" s="2637">
        <v>962762137</v>
      </c>
      <c r="J195" s="2637">
        <v>984247654</v>
      </c>
      <c r="K195" s="2637">
        <v>962762137</v>
      </c>
      <c r="L195" s="2637">
        <v>58370517</v>
      </c>
      <c r="M195" s="2637">
        <v>0</v>
      </c>
    </row>
    <row r="196" spans="1:13" ht="14.5">
      <c r="A196" s="2978" t="s">
        <v>9608</v>
      </c>
      <c r="B196" s="2113" t="str">
        <f t="shared" si="3"/>
        <v>049-906</v>
      </c>
      <c r="C196" s="2978" t="s">
        <v>6190</v>
      </c>
      <c r="D196" s="2639">
        <v>274087137</v>
      </c>
      <c r="E196" s="2639">
        <v>269069210</v>
      </c>
      <c r="F196" s="2639">
        <v>274087137</v>
      </c>
      <c r="G196" s="2639">
        <v>269069210</v>
      </c>
      <c r="H196" s="2639">
        <v>274087137</v>
      </c>
      <c r="I196" s="2639">
        <v>269069210</v>
      </c>
      <c r="J196" s="2639">
        <v>274087137</v>
      </c>
      <c r="K196" s="2639">
        <v>269069210</v>
      </c>
      <c r="L196" s="2639">
        <v>13792927</v>
      </c>
      <c r="M196" s="2639">
        <v>0</v>
      </c>
    </row>
    <row r="197" spans="1:13" ht="14.5">
      <c r="A197" s="2977" t="s">
        <v>9609</v>
      </c>
      <c r="B197" s="2113" t="str">
        <f t="shared" ref="B197:B260" si="4">CONCATENATE(RIGHT(LEFT(CONCATENATE("000",A197),6),3),"-",(LEFT(RIGHT(CONCATENATE("000",A197),6),3)))</f>
        <v>049-907</v>
      </c>
      <c r="C197" s="2977" t="s">
        <v>6191</v>
      </c>
      <c r="D197" s="2637">
        <v>373401194</v>
      </c>
      <c r="E197" s="2637">
        <v>367666170</v>
      </c>
      <c r="F197" s="2637">
        <v>373401194</v>
      </c>
      <c r="G197" s="2637">
        <v>367666170</v>
      </c>
      <c r="H197" s="2637">
        <v>373401194</v>
      </c>
      <c r="I197" s="2637">
        <v>367666170</v>
      </c>
      <c r="J197" s="2637">
        <v>373401194</v>
      </c>
      <c r="K197" s="2637">
        <v>367666170</v>
      </c>
      <c r="L197" s="2637">
        <v>14675024</v>
      </c>
      <c r="M197" s="2637">
        <v>0</v>
      </c>
    </row>
    <row r="198" spans="1:13" ht="14.5">
      <c r="A198" s="2978" t="s">
        <v>9610</v>
      </c>
      <c r="B198" s="2113" t="str">
        <f t="shared" si="4"/>
        <v>049-908</v>
      </c>
      <c r="C198" s="2978" t="s">
        <v>6192</v>
      </c>
      <c r="D198" s="2639">
        <v>12583525</v>
      </c>
      <c r="E198" s="2639">
        <v>12291559</v>
      </c>
      <c r="F198" s="2639">
        <v>12583525</v>
      </c>
      <c r="G198" s="2639">
        <v>12291559</v>
      </c>
      <c r="H198" s="2639">
        <v>12583525</v>
      </c>
      <c r="I198" s="2639">
        <v>12291559</v>
      </c>
      <c r="J198" s="2639">
        <v>12583525</v>
      </c>
      <c r="K198" s="2639">
        <v>12291559</v>
      </c>
      <c r="L198" s="2639">
        <v>846966</v>
      </c>
      <c r="M198" s="2639">
        <v>0</v>
      </c>
    </row>
    <row r="199" spans="1:13" ht="14.5">
      <c r="A199" s="2977" t="s">
        <v>9611</v>
      </c>
      <c r="B199" s="2113" t="str">
        <f t="shared" si="4"/>
        <v>049-909</v>
      </c>
      <c r="C199" s="2977" t="s">
        <v>6193</v>
      </c>
      <c r="D199" s="2637">
        <v>198173171</v>
      </c>
      <c r="E199" s="2637">
        <v>196771836</v>
      </c>
      <c r="F199" s="2637">
        <v>198173171</v>
      </c>
      <c r="G199" s="2637">
        <v>196771836</v>
      </c>
      <c r="H199" s="2637">
        <v>198173171</v>
      </c>
      <c r="I199" s="2637">
        <v>196771836</v>
      </c>
      <c r="J199" s="2637">
        <v>198173171</v>
      </c>
      <c r="K199" s="2637">
        <v>196771836</v>
      </c>
      <c r="L199" s="2637">
        <v>3861335</v>
      </c>
      <c r="M199" s="2637">
        <v>0</v>
      </c>
    </row>
    <row r="200" spans="1:13" ht="14.5">
      <c r="A200" s="2978" t="s">
        <v>9612</v>
      </c>
      <c r="B200" s="2113" t="str">
        <f t="shared" si="4"/>
        <v>050-901</v>
      </c>
      <c r="C200" s="2978" t="s">
        <v>6194</v>
      </c>
      <c r="D200" s="2639">
        <v>145253034</v>
      </c>
      <c r="E200" s="2639">
        <v>141145351</v>
      </c>
      <c r="F200" s="2639">
        <v>145253034</v>
      </c>
      <c r="G200" s="2639">
        <v>141145351</v>
      </c>
      <c r="H200" s="2639">
        <v>145253034</v>
      </c>
      <c r="I200" s="2639">
        <v>141145351</v>
      </c>
      <c r="J200" s="2639">
        <v>145253034</v>
      </c>
      <c r="K200" s="2639">
        <v>141145351</v>
      </c>
      <c r="L200" s="2639">
        <v>10857683</v>
      </c>
      <c r="M200" s="2639">
        <v>0</v>
      </c>
    </row>
    <row r="201" spans="1:13" ht="14.5">
      <c r="A201" s="2977" t="s">
        <v>9613</v>
      </c>
      <c r="B201" s="2113" t="str">
        <f t="shared" si="4"/>
        <v>050-902</v>
      </c>
      <c r="C201" s="2977" t="s">
        <v>6195</v>
      </c>
      <c r="D201" s="2637">
        <v>1025356101</v>
      </c>
      <c r="E201" s="2637">
        <v>989173682</v>
      </c>
      <c r="F201" s="2637">
        <v>1025356101</v>
      </c>
      <c r="G201" s="2637">
        <v>989173682</v>
      </c>
      <c r="H201" s="2637">
        <v>1025356101</v>
      </c>
      <c r="I201" s="2637">
        <v>989173682</v>
      </c>
      <c r="J201" s="2637">
        <v>1025356101</v>
      </c>
      <c r="K201" s="2637">
        <v>989173682</v>
      </c>
      <c r="L201" s="2637">
        <v>92507419</v>
      </c>
      <c r="M201" s="2637">
        <v>0</v>
      </c>
    </row>
    <row r="202" spans="1:13" ht="14.5">
      <c r="A202" s="2978" t="s">
        <v>9614</v>
      </c>
      <c r="B202" s="2113" t="str">
        <f t="shared" si="4"/>
        <v>050-904</v>
      </c>
      <c r="C202" s="2978" t="s">
        <v>6196</v>
      </c>
      <c r="D202" s="2639">
        <v>119393535</v>
      </c>
      <c r="E202" s="2639">
        <v>116428153</v>
      </c>
      <c r="F202" s="2639">
        <v>119393535</v>
      </c>
      <c r="G202" s="2639">
        <v>116428153</v>
      </c>
      <c r="H202" s="2639">
        <v>119393535</v>
      </c>
      <c r="I202" s="2639">
        <v>116428153</v>
      </c>
      <c r="J202" s="2639">
        <v>119393535</v>
      </c>
      <c r="K202" s="2639">
        <v>116428153</v>
      </c>
      <c r="L202" s="2639">
        <v>7705382</v>
      </c>
      <c r="M202" s="2639">
        <v>0</v>
      </c>
    </row>
    <row r="203" spans="1:13" ht="14.5">
      <c r="A203" s="2977" t="s">
        <v>9615</v>
      </c>
      <c r="B203" s="2113" t="str">
        <f t="shared" si="4"/>
        <v>050-909</v>
      </c>
      <c r="C203" s="2977" t="s">
        <v>6197</v>
      </c>
      <c r="D203" s="2637">
        <v>125229571</v>
      </c>
      <c r="E203" s="2637">
        <v>122281959</v>
      </c>
      <c r="F203" s="2637">
        <v>125229571</v>
      </c>
      <c r="G203" s="2637">
        <v>122281959</v>
      </c>
      <c r="H203" s="2637">
        <v>125229571</v>
      </c>
      <c r="I203" s="2637">
        <v>122281959</v>
      </c>
      <c r="J203" s="2637">
        <v>125229571</v>
      </c>
      <c r="K203" s="2637">
        <v>122281959</v>
      </c>
      <c r="L203" s="2637">
        <v>7717612</v>
      </c>
      <c r="M203" s="2637">
        <v>0</v>
      </c>
    </row>
    <row r="204" spans="1:13" ht="14.5">
      <c r="A204" s="2978" t="s">
        <v>9616</v>
      </c>
      <c r="B204" s="2113" t="str">
        <f t="shared" si="4"/>
        <v>050-910</v>
      </c>
      <c r="C204" s="2978" t="s">
        <v>6198</v>
      </c>
      <c r="D204" s="2639">
        <v>1763704161</v>
      </c>
      <c r="E204" s="2639">
        <v>1689249960</v>
      </c>
      <c r="F204" s="2639">
        <v>1763704161</v>
      </c>
      <c r="G204" s="2639">
        <v>1689249960</v>
      </c>
      <c r="H204" s="2639">
        <v>1763704161</v>
      </c>
      <c r="I204" s="2639">
        <v>1689249960</v>
      </c>
      <c r="J204" s="2639">
        <v>1763704161</v>
      </c>
      <c r="K204" s="2639">
        <v>1689249960</v>
      </c>
      <c r="L204" s="2639">
        <v>187509201</v>
      </c>
      <c r="M204" s="2639">
        <v>0</v>
      </c>
    </row>
    <row r="205" spans="1:13" ht="14.5">
      <c r="A205" s="2977" t="s">
        <v>9617</v>
      </c>
      <c r="B205" s="2113" t="str">
        <f t="shared" si="4"/>
        <v>051-901</v>
      </c>
      <c r="C205" s="2977" t="s">
        <v>6199</v>
      </c>
      <c r="D205" s="2637">
        <v>141707906</v>
      </c>
      <c r="E205" s="2637">
        <v>138473956</v>
      </c>
      <c r="F205" s="2637">
        <v>140367796</v>
      </c>
      <c r="G205" s="2637">
        <v>137133846</v>
      </c>
      <c r="H205" s="2637">
        <v>141707906</v>
      </c>
      <c r="I205" s="2637">
        <v>138473956</v>
      </c>
      <c r="J205" s="2637">
        <v>140367796</v>
      </c>
      <c r="K205" s="2637">
        <v>137133846</v>
      </c>
      <c r="L205" s="2637">
        <v>9098950</v>
      </c>
      <c r="M205" s="2637">
        <v>0</v>
      </c>
    </row>
    <row r="206" spans="1:13" ht="14.5">
      <c r="A206" s="2978" t="s">
        <v>9618</v>
      </c>
      <c r="B206" s="2113" t="str">
        <f t="shared" si="4"/>
        <v>052-901</v>
      </c>
      <c r="C206" s="2978" t="s">
        <v>6200</v>
      </c>
      <c r="D206" s="2639">
        <v>1347834520</v>
      </c>
      <c r="E206" s="2639">
        <v>1339611780</v>
      </c>
      <c r="F206" s="2639">
        <v>1347834520</v>
      </c>
      <c r="G206" s="2639">
        <v>1339611780</v>
      </c>
      <c r="H206" s="2639">
        <v>1438045770</v>
      </c>
      <c r="I206" s="2639">
        <v>1429823030</v>
      </c>
      <c r="J206" s="2639">
        <v>1438045770</v>
      </c>
      <c r="K206" s="2639">
        <v>1429823030</v>
      </c>
      <c r="L206" s="2639">
        <v>24497740</v>
      </c>
      <c r="M206" s="2639">
        <v>90211250</v>
      </c>
    </row>
    <row r="207" spans="1:13" ht="14.5">
      <c r="A207" s="2977" t="s">
        <v>9619</v>
      </c>
      <c r="B207" s="2113" t="str">
        <f t="shared" si="4"/>
        <v>053-001</v>
      </c>
      <c r="C207" s="2977" t="s">
        <v>6201</v>
      </c>
      <c r="D207" s="2637">
        <v>1883896505</v>
      </c>
      <c r="E207" s="2637">
        <v>1877103555</v>
      </c>
      <c r="F207" s="2637">
        <v>1880486220</v>
      </c>
      <c r="G207" s="2637">
        <v>1873693270</v>
      </c>
      <c r="H207" s="2637">
        <v>2280620995</v>
      </c>
      <c r="I207" s="2637">
        <v>2273828045</v>
      </c>
      <c r="J207" s="2637">
        <v>2277210710</v>
      </c>
      <c r="K207" s="2637">
        <v>2270417760</v>
      </c>
      <c r="L207" s="2637">
        <v>19197950</v>
      </c>
      <c r="M207" s="2637">
        <v>396724490</v>
      </c>
    </row>
    <row r="208" spans="1:13" ht="14.5">
      <c r="A208" s="2978" t="s">
        <v>9620</v>
      </c>
      <c r="B208" s="2113" t="str">
        <f t="shared" si="4"/>
        <v>054-901</v>
      </c>
      <c r="C208" s="2978" t="s">
        <v>6202</v>
      </c>
      <c r="D208" s="2639">
        <v>116952504</v>
      </c>
      <c r="E208" s="2639">
        <v>113032928</v>
      </c>
      <c r="F208" s="2639">
        <v>116952504</v>
      </c>
      <c r="G208" s="2639">
        <v>113032928</v>
      </c>
      <c r="H208" s="2639">
        <v>208786900</v>
      </c>
      <c r="I208" s="2639">
        <v>204867324</v>
      </c>
      <c r="J208" s="2639">
        <v>208786900</v>
      </c>
      <c r="K208" s="2639">
        <v>204867324</v>
      </c>
      <c r="L208" s="2639">
        <v>11089576</v>
      </c>
      <c r="M208" s="2639">
        <v>91834396</v>
      </c>
    </row>
    <row r="209" spans="1:13" ht="14.5">
      <c r="A209" s="2977" t="s">
        <v>9621</v>
      </c>
      <c r="B209" s="2113" t="str">
        <f t="shared" si="4"/>
        <v>054-902</v>
      </c>
      <c r="C209" s="2977" t="s">
        <v>6203</v>
      </c>
      <c r="D209" s="2637">
        <v>159767448</v>
      </c>
      <c r="E209" s="2637">
        <v>157308879</v>
      </c>
      <c r="F209" s="2637">
        <v>159767448</v>
      </c>
      <c r="G209" s="2637">
        <v>157308879</v>
      </c>
      <c r="H209" s="2637">
        <v>227762953</v>
      </c>
      <c r="I209" s="2637">
        <v>225304384</v>
      </c>
      <c r="J209" s="2637">
        <v>227762953</v>
      </c>
      <c r="K209" s="2637">
        <v>225304384</v>
      </c>
      <c r="L209" s="2637">
        <v>6913569</v>
      </c>
      <c r="M209" s="2637">
        <v>67995505</v>
      </c>
    </row>
    <row r="210" spans="1:13" ht="14.5">
      <c r="A210" s="2978" t="s">
        <v>9622</v>
      </c>
      <c r="B210" s="2113" t="str">
        <f t="shared" si="4"/>
        <v>054-903</v>
      </c>
      <c r="C210" s="2978" t="s">
        <v>6204</v>
      </c>
      <c r="D210" s="2639">
        <v>127846001</v>
      </c>
      <c r="E210" s="2639">
        <v>124232949</v>
      </c>
      <c r="F210" s="2639">
        <v>127846001</v>
      </c>
      <c r="G210" s="2639">
        <v>124232949</v>
      </c>
      <c r="H210" s="2639">
        <v>127846001</v>
      </c>
      <c r="I210" s="2639">
        <v>124232949</v>
      </c>
      <c r="J210" s="2639">
        <v>127846001</v>
      </c>
      <c r="K210" s="2639">
        <v>124232949</v>
      </c>
      <c r="L210" s="2639">
        <v>10198052</v>
      </c>
      <c r="M210" s="2639">
        <v>0</v>
      </c>
    </row>
    <row r="211" spans="1:13" ht="14.5">
      <c r="A211" s="2977" t="s">
        <v>9623</v>
      </c>
      <c r="B211" s="2113" t="str">
        <f t="shared" si="4"/>
        <v>055-901</v>
      </c>
      <c r="C211" s="2977" t="s">
        <v>8428</v>
      </c>
      <c r="D211" s="2637">
        <v>3186448752</v>
      </c>
      <c r="E211" s="2637">
        <v>3183321330</v>
      </c>
      <c r="F211" s="2637">
        <v>3186448752</v>
      </c>
      <c r="G211" s="2637">
        <v>3183321330</v>
      </c>
      <c r="H211" s="2637">
        <v>3304878752</v>
      </c>
      <c r="I211" s="2637">
        <v>3301751330</v>
      </c>
      <c r="J211" s="2637">
        <v>3304878752</v>
      </c>
      <c r="K211" s="2637">
        <v>3301751330</v>
      </c>
      <c r="L211" s="2637">
        <v>10177422</v>
      </c>
      <c r="M211" s="2637">
        <v>118430000</v>
      </c>
    </row>
    <row r="212" spans="1:13" ht="14.5">
      <c r="A212" s="2978" t="s">
        <v>9624</v>
      </c>
      <c r="B212" s="2113" t="str">
        <f t="shared" si="4"/>
        <v>056-901</v>
      </c>
      <c r="C212" s="2978" t="s">
        <v>6205</v>
      </c>
      <c r="D212" s="2639">
        <v>1355739225</v>
      </c>
      <c r="E212" s="2639">
        <v>1340596559</v>
      </c>
      <c r="F212" s="2639">
        <v>1355739225</v>
      </c>
      <c r="G212" s="2639">
        <v>1340596559</v>
      </c>
      <c r="H212" s="2639">
        <v>1355739225</v>
      </c>
      <c r="I212" s="2639">
        <v>1340596559</v>
      </c>
      <c r="J212" s="2639">
        <v>1355739225</v>
      </c>
      <c r="K212" s="2639">
        <v>1340596559</v>
      </c>
      <c r="L212" s="2639">
        <v>39352666</v>
      </c>
      <c r="M212" s="2639">
        <v>0</v>
      </c>
    </row>
    <row r="213" spans="1:13" ht="14.5">
      <c r="A213" s="2977" t="s">
        <v>9625</v>
      </c>
      <c r="B213" s="2113" t="str">
        <f t="shared" si="4"/>
        <v>056-902</v>
      </c>
      <c r="C213" s="2977" t="s">
        <v>6206</v>
      </c>
      <c r="D213" s="2637">
        <v>206755561</v>
      </c>
      <c r="E213" s="2637">
        <v>205711569</v>
      </c>
      <c r="F213" s="2637">
        <v>206755561</v>
      </c>
      <c r="G213" s="2637">
        <v>205711569</v>
      </c>
      <c r="H213" s="2637">
        <v>206755561</v>
      </c>
      <c r="I213" s="2637">
        <v>205711569</v>
      </c>
      <c r="J213" s="2637">
        <v>206755561</v>
      </c>
      <c r="K213" s="2637">
        <v>205711569</v>
      </c>
      <c r="L213" s="2637">
        <v>2978992</v>
      </c>
      <c r="M213" s="2637">
        <v>0</v>
      </c>
    </row>
    <row r="214" spans="1:13" ht="14.5">
      <c r="A214" s="2978" t="s">
        <v>9626</v>
      </c>
      <c r="B214" s="2113" t="str">
        <f t="shared" si="4"/>
        <v>057-903</v>
      </c>
      <c r="C214" s="2978" t="s">
        <v>8429</v>
      </c>
      <c r="D214" s="2639">
        <v>25986818892</v>
      </c>
      <c r="E214" s="2639">
        <v>25731520006</v>
      </c>
      <c r="F214" s="2639">
        <v>25986818892</v>
      </c>
      <c r="G214" s="2639">
        <v>25731520006</v>
      </c>
      <c r="H214" s="2639">
        <v>25986818892</v>
      </c>
      <c r="I214" s="2639">
        <v>25731520006</v>
      </c>
      <c r="J214" s="2639">
        <v>25986818892</v>
      </c>
      <c r="K214" s="2639">
        <v>25731520006</v>
      </c>
      <c r="L214" s="2639">
        <v>653503886</v>
      </c>
      <c r="M214" s="2639">
        <v>0</v>
      </c>
    </row>
    <row r="215" spans="1:13" ht="14.5">
      <c r="A215" s="2977" t="s">
        <v>9627</v>
      </c>
      <c r="B215" s="2113" t="str">
        <f t="shared" si="4"/>
        <v>057-904</v>
      </c>
      <c r="C215" s="2977" t="s">
        <v>6207</v>
      </c>
      <c r="D215" s="2637">
        <v>4476570451</v>
      </c>
      <c r="E215" s="2637">
        <v>4375686766</v>
      </c>
      <c r="F215" s="2637">
        <v>4476570451</v>
      </c>
      <c r="G215" s="2637">
        <v>4375686766</v>
      </c>
      <c r="H215" s="2637">
        <v>4476570451</v>
      </c>
      <c r="I215" s="2637">
        <v>4375686766</v>
      </c>
      <c r="J215" s="2637">
        <v>4476570451</v>
      </c>
      <c r="K215" s="2637">
        <v>4375686766</v>
      </c>
      <c r="L215" s="2637">
        <v>256193685</v>
      </c>
      <c r="M215" s="2637">
        <v>0</v>
      </c>
    </row>
    <row r="216" spans="1:13" ht="14.5">
      <c r="A216" s="2978" t="s">
        <v>10590</v>
      </c>
      <c r="B216" s="2113" t="str">
        <f t="shared" si="4"/>
        <v>057-905</v>
      </c>
      <c r="C216" s="2978" t="s">
        <v>6208</v>
      </c>
      <c r="D216" s="2639">
        <v>146203200890</v>
      </c>
      <c r="E216" s="2639">
        <v>144768655890</v>
      </c>
      <c r="F216" s="2639">
        <v>143483244561</v>
      </c>
      <c r="G216" s="2639">
        <v>142048699561</v>
      </c>
      <c r="H216" s="2639">
        <v>146203200890</v>
      </c>
      <c r="I216" s="2639">
        <v>144768655890</v>
      </c>
      <c r="J216" s="2639">
        <v>143483244561</v>
      </c>
      <c r="K216" s="2639">
        <v>142048699561</v>
      </c>
      <c r="L216" s="2639">
        <v>3751025000</v>
      </c>
      <c r="M216" s="2639">
        <v>0</v>
      </c>
    </row>
    <row r="217" spans="1:13" ht="14.5">
      <c r="A217" s="2977" t="s">
        <v>9628</v>
      </c>
      <c r="B217" s="2113" t="str">
        <f t="shared" si="4"/>
        <v>057-906</v>
      </c>
      <c r="C217" s="2977" t="s">
        <v>6209</v>
      </c>
      <c r="D217" s="2637">
        <v>4064380443</v>
      </c>
      <c r="E217" s="2637">
        <v>3938982052</v>
      </c>
      <c r="F217" s="2637">
        <v>4064380443</v>
      </c>
      <c r="G217" s="2637">
        <v>3938982052</v>
      </c>
      <c r="H217" s="2637">
        <v>4064380443</v>
      </c>
      <c r="I217" s="2637">
        <v>3938982052</v>
      </c>
      <c r="J217" s="2637">
        <v>4064380443</v>
      </c>
      <c r="K217" s="2637">
        <v>3938982052</v>
      </c>
      <c r="L217" s="2637">
        <v>319453391</v>
      </c>
      <c r="M217" s="2637">
        <v>0</v>
      </c>
    </row>
    <row r="218" spans="1:13" ht="14.5">
      <c r="A218" s="2978" t="s">
        <v>9629</v>
      </c>
      <c r="B218" s="2113" t="str">
        <f t="shared" si="4"/>
        <v>057-907</v>
      </c>
      <c r="C218" s="2978" t="s">
        <v>6210</v>
      </c>
      <c r="D218" s="2639">
        <v>5714183590</v>
      </c>
      <c r="E218" s="2639">
        <v>5581000620</v>
      </c>
      <c r="F218" s="2639">
        <v>5714183590</v>
      </c>
      <c r="G218" s="2639">
        <v>5581000620</v>
      </c>
      <c r="H218" s="2639">
        <v>5714183590</v>
      </c>
      <c r="I218" s="2639">
        <v>5581000620</v>
      </c>
      <c r="J218" s="2639">
        <v>5714183590</v>
      </c>
      <c r="K218" s="2639">
        <v>5581000620</v>
      </c>
      <c r="L218" s="2639">
        <v>339312970</v>
      </c>
      <c r="M218" s="2639">
        <v>0</v>
      </c>
    </row>
    <row r="219" spans="1:13" ht="14.5">
      <c r="A219" s="2977" t="s">
        <v>9630</v>
      </c>
      <c r="B219" s="2113" t="str">
        <f t="shared" si="4"/>
        <v>057-909</v>
      </c>
      <c r="C219" s="2977" t="s">
        <v>6211</v>
      </c>
      <c r="D219" s="2637">
        <v>24406484603</v>
      </c>
      <c r="E219" s="2637">
        <v>23856604969</v>
      </c>
      <c r="F219" s="2637">
        <v>24406484603</v>
      </c>
      <c r="G219" s="2637">
        <v>23856604969</v>
      </c>
      <c r="H219" s="2637">
        <v>24406484603</v>
      </c>
      <c r="I219" s="2637">
        <v>23856604969</v>
      </c>
      <c r="J219" s="2637">
        <v>24406484603</v>
      </c>
      <c r="K219" s="2637">
        <v>23856604969</v>
      </c>
      <c r="L219" s="2637">
        <v>1409199634</v>
      </c>
      <c r="M219" s="2637">
        <v>0</v>
      </c>
    </row>
    <row r="220" spans="1:13" ht="14.5">
      <c r="A220" s="2978" t="s">
        <v>9631</v>
      </c>
      <c r="B220" s="2113" t="str">
        <f t="shared" si="4"/>
        <v>057-910</v>
      </c>
      <c r="C220" s="2978" t="s">
        <v>6212</v>
      </c>
      <c r="D220" s="2639">
        <v>10232330532</v>
      </c>
      <c r="E220" s="2639">
        <v>10044958517</v>
      </c>
      <c r="F220" s="2639">
        <v>10232330532</v>
      </c>
      <c r="G220" s="2639">
        <v>10044958517</v>
      </c>
      <c r="H220" s="2639">
        <v>10232330532</v>
      </c>
      <c r="I220" s="2639">
        <v>10044958517</v>
      </c>
      <c r="J220" s="2639">
        <v>10232330532</v>
      </c>
      <c r="K220" s="2639">
        <v>10044958517</v>
      </c>
      <c r="L220" s="2639">
        <v>486412015</v>
      </c>
      <c r="M220" s="2639">
        <v>0</v>
      </c>
    </row>
    <row r="221" spans="1:13" ht="14.5">
      <c r="A221" s="2977" t="s">
        <v>9632</v>
      </c>
      <c r="B221" s="2113" t="str">
        <f t="shared" si="4"/>
        <v>057-911</v>
      </c>
      <c r="C221" s="2977" t="s">
        <v>6213</v>
      </c>
      <c r="D221" s="2637">
        <v>18359971816</v>
      </c>
      <c r="E221" s="2637">
        <v>18276156816</v>
      </c>
      <c r="F221" s="2637">
        <v>16820399741</v>
      </c>
      <c r="G221" s="2637">
        <v>16736584741</v>
      </c>
      <c r="H221" s="2637">
        <v>18359971816</v>
      </c>
      <c r="I221" s="2637">
        <v>18276156816</v>
      </c>
      <c r="J221" s="2637">
        <v>16820399741</v>
      </c>
      <c r="K221" s="2637">
        <v>16736584741</v>
      </c>
      <c r="L221" s="2637">
        <v>209650000</v>
      </c>
      <c r="M221" s="2637">
        <v>0</v>
      </c>
    </row>
    <row r="222" spans="1:13" ht="14.5">
      <c r="A222" s="2978" t="s">
        <v>10591</v>
      </c>
      <c r="B222" s="2113" t="str">
        <f t="shared" si="4"/>
        <v>057-912</v>
      </c>
      <c r="C222" s="2978" t="s">
        <v>6214</v>
      </c>
      <c r="D222" s="2639">
        <v>16626443121</v>
      </c>
      <c r="E222" s="2639">
        <v>16414509269</v>
      </c>
      <c r="F222" s="2639">
        <v>16626443121</v>
      </c>
      <c r="G222" s="2639">
        <v>16414509269</v>
      </c>
      <c r="H222" s="2639">
        <v>16626443121</v>
      </c>
      <c r="I222" s="2639">
        <v>16414509269</v>
      </c>
      <c r="J222" s="2639">
        <v>16626443121</v>
      </c>
      <c r="K222" s="2639">
        <v>16414509269</v>
      </c>
      <c r="L222" s="2639">
        <v>547798852</v>
      </c>
      <c r="M222" s="2639">
        <v>0</v>
      </c>
    </row>
    <row r="223" spans="1:13" ht="14.5">
      <c r="A223" s="2977" t="s">
        <v>10592</v>
      </c>
      <c r="B223" s="2113" t="str">
        <f t="shared" si="4"/>
        <v>057-913</v>
      </c>
      <c r="C223" s="2977" t="s">
        <v>6215</v>
      </c>
      <c r="D223" s="2637">
        <v>3635389845</v>
      </c>
      <c r="E223" s="2637">
        <v>3560685814</v>
      </c>
      <c r="F223" s="2637">
        <v>3635389845</v>
      </c>
      <c r="G223" s="2637">
        <v>3560685814</v>
      </c>
      <c r="H223" s="2637">
        <v>3635389845</v>
      </c>
      <c r="I223" s="2637">
        <v>3560685814</v>
      </c>
      <c r="J223" s="2637">
        <v>3635389845</v>
      </c>
      <c r="K223" s="2637">
        <v>3560685814</v>
      </c>
      <c r="L223" s="2637">
        <v>190969031</v>
      </c>
      <c r="M223" s="2637">
        <v>0</v>
      </c>
    </row>
    <row r="224" spans="1:13" ht="14.5">
      <c r="A224" s="2978" t="s">
        <v>9633</v>
      </c>
      <c r="B224" s="2113" t="str">
        <f t="shared" si="4"/>
        <v>057-914</v>
      </c>
      <c r="C224" s="2978" t="s">
        <v>6216</v>
      </c>
      <c r="D224" s="2639">
        <v>11208450115</v>
      </c>
      <c r="E224" s="2639">
        <v>10948872749</v>
      </c>
      <c r="F224" s="2639">
        <v>11208450115</v>
      </c>
      <c r="G224" s="2639">
        <v>10948872749</v>
      </c>
      <c r="H224" s="2639">
        <v>11208450115</v>
      </c>
      <c r="I224" s="2639">
        <v>10948872749</v>
      </c>
      <c r="J224" s="2639">
        <v>11208450115</v>
      </c>
      <c r="K224" s="2639">
        <v>10948872749</v>
      </c>
      <c r="L224" s="2639">
        <v>667382366</v>
      </c>
      <c r="M224" s="2639">
        <v>0</v>
      </c>
    </row>
    <row r="225" spans="1:13" ht="14.5">
      <c r="A225" s="2977" t="s">
        <v>10593</v>
      </c>
      <c r="B225" s="2113" t="str">
        <f t="shared" si="4"/>
        <v>057-916</v>
      </c>
      <c r="C225" s="2977" t="s">
        <v>6217</v>
      </c>
      <c r="D225" s="2637">
        <v>28086693103</v>
      </c>
      <c r="E225" s="2637">
        <v>27680903103</v>
      </c>
      <c r="F225" s="2637">
        <v>27348590045</v>
      </c>
      <c r="G225" s="2637">
        <v>26942800045</v>
      </c>
      <c r="H225" s="2637">
        <v>28086693103</v>
      </c>
      <c r="I225" s="2637">
        <v>27680903103</v>
      </c>
      <c r="J225" s="2637">
        <v>27348590045</v>
      </c>
      <c r="K225" s="2637">
        <v>26942800045</v>
      </c>
      <c r="L225" s="2637">
        <v>1031500000</v>
      </c>
      <c r="M225" s="2637">
        <v>0</v>
      </c>
    </row>
    <row r="226" spans="1:13" ht="14.5">
      <c r="A226" s="2978" t="s">
        <v>9634</v>
      </c>
      <c r="B226" s="2113" t="str">
        <f t="shared" si="4"/>
        <v>057-919</v>
      </c>
      <c r="C226" s="2978" t="s">
        <v>6218</v>
      </c>
      <c r="D226" s="2639">
        <v>1537541699</v>
      </c>
      <c r="E226" s="2639">
        <v>1517492949</v>
      </c>
      <c r="F226" s="2639">
        <v>1537541699</v>
      </c>
      <c r="G226" s="2639">
        <v>1517492949</v>
      </c>
      <c r="H226" s="2639">
        <v>1537541699</v>
      </c>
      <c r="I226" s="2639">
        <v>1517492949</v>
      </c>
      <c r="J226" s="2639">
        <v>1537541699</v>
      </c>
      <c r="K226" s="2639">
        <v>1517492949</v>
      </c>
      <c r="L226" s="2639">
        <v>50543750</v>
      </c>
      <c r="M226" s="2639">
        <v>0</v>
      </c>
    </row>
    <row r="227" spans="1:13" ht="14.5">
      <c r="A227" s="2977" t="s">
        <v>9635</v>
      </c>
      <c r="B227" s="2113" t="str">
        <f t="shared" si="4"/>
        <v>057-922</v>
      </c>
      <c r="C227" s="2977" t="s">
        <v>6219</v>
      </c>
      <c r="D227" s="2637">
        <v>14344744262</v>
      </c>
      <c r="E227" s="2637">
        <v>14222110335</v>
      </c>
      <c r="F227" s="2637">
        <v>14344744262</v>
      </c>
      <c r="G227" s="2637">
        <v>14222110335</v>
      </c>
      <c r="H227" s="2637">
        <v>14344744262</v>
      </c>
      <c r="I227" s="2637">
        <v>14222110335</v>
      </c>
      <c r="J227" s="2637">
        <v>14344744262</v>
      </c>
      <c r="K227" s="2637">
        <v>14222110335</v>
      </c>
      <c r="L227" s="2637">
        <v>311348927</v>
      </c>
      <c r="M227" s="2637">
        <v>0</v>
      </c>
    </row>
    <row r="228" spans="1:13" ht="14.5">
      <c r="A228" s="2978" t="s">
        <v>9636</v>
      </c>
      <c r="B228" s="2113" t="str">
        <f t="shared" si="4"/>
        <v>058-902</v>
      </c>
      <c r="C228" s="2978" t="s">
        <v>6220</v>
      </c>
      <c r="D228" s="2639">
        <v>63456332</v>
      </c>
      <c r="E228" s="2639">
        <v>62916780</v>
      </c>
      <c r="F228" s="2639">
        <v>63456332</v>
      </c>
      <c r="G228" s="2639">
        <v>62916780</v>
      </c>
      <c r="H228" s="2639">
        <v>63456332</v>
      </c>
      <c r="I228" s="2639">
        <v>62916780</v>
      </c>
      <c r="J228" s="2639">
        <v>63456332</v>
      </c>
      <c r="K228" s="2639">
        <v>62916780</v>
      </c>
      <c r="L228" s="2639">
        <v>1619552</v>
      </c>
      <c r="M228" s="2639">
        <v>0</v>
      </c>
    </row>
    <row r="229" spans="1:13" ht="14.5">
      <c r="A229" s="2977" t="s">
        <v>10594</v>
      </c>
      <c r="B229" s="2113" t="str">
        <f t="shared" si="4"/>
        <v>058-905</v>
      </c>
      <c r="C229" s="2977" t="s">
        <v>6221</v>
      </c>
      <c r="D229" s="2637">
        <v>1670636836</v>
      </c>
      <c r="E229" s="2637">
        <v>1669347706</v>
      </c>
      <c r="F229" s="2637">
        <v>1669058381</v>
      </c>
      <c r="G229" s="2637">
        <v>1667769251</v>
      </c>
      <c r="H229" s="2637">
        <v>1670636836</v>
      </c>
      <c r="I229" s="2637">
        <v>1669347706</v>
      </c>
      <c r="J229" s="2637">
        <v>1669058381</v>
      </c>
      <c r="K229" s="2637">
        <v>1667769251</v>
      </c>
      <c r="L229" s="2637">
        <v>3299130</v>
      </c>
      <c r="M229" s="2637">
        <v>0</v>
      </c>
    </row>
    <row r="230" spans="1:13" ht="14.5">
      <c r="A230" s="2978" t="s">
        <v>9637</v>
      </c>
      <c r="B230" s="2113" t="str">
        <f t="shared" si="4"/>
        <v>058-906</v>
      </c>
      <c r="C230" s="2978" t="s">
        <v>6222</v>
      </c>
      <c r="D230" s="2639">
        <v>530725948</v>
      </c>
      <c r="E230" s="2639">
        <v>513543598</v>
      </c>
      <c r="F230" s="2639">
        <v>530725948</v>
      </c>
      <c r="G230" s="2639">
        <v>513543598</v>
      </c>
      <c r="H230" s="2639">
        <v>654819568</v>
      </c>
      <c r="I230" s="2639">
        <v>637637218</v>
      </c>
      <c r="J230" s="2639">
        <v>654819568</v>
      </c>
      <c r="K230" s="2639">
        <v>637637218</v>
      </c>
      <c r="L230" s="2639">
        <v>51052350</v>
      </c>
      <c r="M230" s="2639">
        <v>124093620</v>
      </c>
    </row>
    <row r="231" spans="1:13" ht="14.5">
      <c r="A231" s="2977" t="s">
        <v>10595</v>
      </c>
      <c r="B231" s="2113" t="str">
        <f t="shared" si="4"/>
        <v>058-909</v>
      </c>
      <c r="C231" s="2977" t="s">
        <v>6223</v>
      </c>
      <c r="D231" s="2637">
        <v>1695918188</v>
      </c>
      <c r="E231" s="2637">
        <v>1694707218</v>
      </c>
      <c r="F231" s="2637">
        <v>1694522516</v>
      </c>
      <c r="G231" s="2637">
        <v>1693311546</v>
      </c>
      <c r="H231" s="2637">
        <v>1695918188</v>
      </c>
      <c r="I231" s="2637">
        <v>1694707218</v>
      </c>
      <c r="J231" s="2637">
        <v>1694522516</v>
      </c>
      <c r="K231" s="2637">
        <v>1693311546</v>
      </c>
      <c r="L231" s="2637">
        <v>3220970</v>
      </c>
      <c r="M231" s="2637">
        <v>0</v>
      </c>
    </row>
    <row r="232" spans="1:13" ht="14.5">
      <c r="A232" s="2978" t="s">
        <v>9638</v>
      </c>
      <c r="B232" s="2113" t="str">
        <f t="shared" si="4"/>
        <v>059-901</v>
      </c>
      <c r="C232" s="2978" t="s">
        <v>6224</v>
      </c>
      <c r="D232" s="2639">
        <v>1733763014</v>
      </c>
      <c r="E232" s="2639">
        <v>1704838686</v>
      </c>
      <c r="F232" s="2639">
        <v>1733763014</v>
      </c>
      <c r="G232" s="2639">
        <v>1704838686</v>
      </c>
      <c r="H232" s="2639">
        <v>1879250524</v>
      </c>
      <c r="I232" s="2639">
        <v>1850326196</v>
      </c>
      <c r="J232" s="2639">
        <v>1879250524</v>
      </c>
      <c r="K232" s="2639">
        <v>1850326196</v>
      </c>
      <c r="L232" s="2639">
        <v>76399328</v>
      </c>
      <c r="M232" s="2639">
        <v>145487510</v>
      </c>
    </row>
    <row r="233" spans="1:13" ht="14.5">
      <c r="A233" s="2977" t="s">
        <v>9639</v>
      </c>
      <c r="B233" s="2113" t="str">
        <f t="shared" si="4"/>
        <v>059-902</v>
      </c>
      <c r="C233" s="2977" t="s">
        <v>6225</v>
      </c>
      <c r="D233" s="2637">
        <v>71152178</v>
      </c>
      <c r="E233" s="2637">
        <v>70835141</v>
      </c>
      <c r="F233" s="2637">
        <v>71152178</v>
      </c>
      <c r="G233" s="2637">
        <v>70835141</v>
      </c>
      <c r="H233" s="2637">
        <v>118152178</v>
      </c>
      <c r="I233" s="2637">
        <v>117835141</v>
      </c>
      <c r="J233" s="2637">
        <v>118152178</v>
      </c>
      <c r="K233" s="2637">
        <v>117835141</v>
      </c>
      <c r="L233" s="2637">
        <v>842037</v>
      </c>
      <c r="M233" s="2637">
        <v>47000000</v>
      </c>
    </row>
    <row r="234" spans="1:13" ht="14.5">
      <c r="A234" s="2978" t="s">
        <v>9640</v>
      </c>
      <c r="B234" s="2113" t="str">
        <f t="shared" si="4"/>
        <v>060-902</v>
      </c>
      <c r="C234" s="2978" t="s">
        <v>6226</v>
      </c>
      <c r="D234" s="2639">
        <v>293106526</v>
      </c>
      <c r="E234" s="2639">
        <v>282406949</v>
      </c>
      <c r="F234" s="2639">
        <v>293106526</v>
      </c>
      <c r="G234" s="2639">
        <v>282406949</v>
      </c>
      <c r="H234" s="2639">
        <v>293106526</v>
      </c>
      <c r="I234" s="2639">
        <v>282406949</v>
      </c>
      <c r="J234" s="2639">
        <v>293106526</v>
      </c>
      <c r="K234" s="2639">
        <v>282406949</v>
      </c>
      <c r="L234" s="2639">
        <v>30574577</v>
      </c>
      <c r="M234" s="2639">
        <v>0</v>
      </c>
    </row>
    <row r="235" spans="1:13" ht="14.5">
      <c r="A235" s="2977" t="s">
        <v>9641</v>
      </c>
      <c r="B235" s="2113" t="str">
        <f t="shared" si="4"/>
        <v>060-914</v>
      </c>
      <c r="C235" s="2977" t="s">
        <v>6227</v>
      </c>
      <c r="D235" s="2637">
        <v>88214840</v>
      </c>
      <c r="E235" s="2637">
        <v>85434571</v>
      </c>
      <c r="F235" s="2637">
        <v>88214840</v>
      </c>
      <c r="G235" s="2637">
        <v>85434571</v>
      </c>
      <c r="H235" s="2637">
        <v>88214840</v>
      </c>
      <c r="I235" s="2637">
        <v>85434571</v>
      </c>
      <c r="J235" s="2637">
        <v>88214840</v>
      </c>
      <c r="K235" s="2637">
        <v>85434571</v>
      </c>
      <c r="L235" s="2637">
        <v>8360269</v>
      </c>
      <c r="M235" s="2637">
        <v>0</v>
      </c>
    </row>
    <row r="236" spans="1:13" ht="14.5">
      <c r="A236" s="2978" t="s">
        <v>9642</v>
      </c>
      <c r="B236" s="2113" t="str">
        <f t="shared" si="4"/>
        <v>061-901</v>
      </c>
      <c r="C236" s="2978" t="s">
        <v>6228</v>
      </c>
      <c r="D236" s="2639">
        <v>23826272110</v>
      </c>
      <c r="E236" s="2639">
        <v>23451365187</v>
      </c>
      <c r="F236" s="2639">
        <v>23826272110</v>
      </c>
      <c r="G236" s="2639">
        <v>23451365187</v>
      </c>
      <c r="H236" s="2639">
        <v>23826272110</v>
      </c>
      <c r="I236" s="2639">
        <v>23451365187</v>
      </c>
      <c r="J236" s="2639">
        <v>23826272110</v>
      </c>
      <c r="K236" s="2639">
        <v>23451365187</v>
      </c>
      <c r="L236" s="2639">
        <v>956066923</v>
      </c>
      <c r="M236" s="2639">
        <v>0</v>
      </c>
    </row>
    <row r="237" spans="1:13" ht="14.5">
      <c r="A237" s="2977" t="s">
        <v>9643</v>
      </c>
      <c r="B237" s="2113" t="str">
        <f t="shared" si="4"/>
        <v>061-902</v>
      </c>
      <c r="C237" s="2977" t="s">
        <v>6229</v>
      </c>
      <c r="D237" s="2637">
        <v>48008349457</v>
      </c>
      <c r="E237" s="2637">
        <v>47403589091</v>
      </c>
      <c r="F237" s="2637">
        <v>48008349457</v>
      </c>
      <c r="G237" s="2637">
        <v>47403589091</v>
      </c>
      <c r="H237" s="2637">
        <v>48008349457</v>
      </c>
      <c r="I237" s="2637">
        <v>47403589091</v>
      </c>
      <c r="J237" s="2637">
        <v>48008349457</v>
      </c>
      <c r="K237" s="2637">
        <v>47403589091</v>
      </c>
      <c r="L237" s="2637">
        <v>1524935366</v>
      </c>
      <c r="M237" s="2637">
        <v>0</v>
      </c>
    </row>
    <row r="238" spans="1:13" ht="14.5">
      <c r="A238" s="2978" t="s">
        <v>9644</v>
      </c>
      <c r="B238" s="2113" t="str">
        <f t="shared" si="4"/>
        <v>061-903</v>
      </c>
      <c r="C238" s="2978" t="s">
        <v>6230</v>
      </c>
      <c r="D238" s="2639">
        <v>1056274122</v>
      </c>
      <c r="E238" s="2639">
        <v>1037361259</v>
      </c>
      <c r="F238" s="2639">
        <v>1056274122</v>
      </c>
      <c r="G238" s="2639">
        <v>1037361259</v>
      </c>
      <c r="H238" s="2639">
        <v>1056274122</v>
      </c>
      <c r="I238" s="2639">
        <v>1037361259</v>
      </c>
      <c r="J238" s="2639">
        <v>1056274122</v>
      </c>
      <c r="K238" s="2639">
        <v>1037361259</v>
      </c>
      <c r="L238" s="2639">
        <v>50442863</v>
      </c>
      <c r="M238" s="2639">
        <v>0</v>
      </c>
    </row>
    <row r="239" spans="1:13" ht="14.5">
      <c r="A239" s="2977" t="s">
        <v>9645</v>
      </c>
      <c r="B239" s="2113" t="str">
        <f t="shared" si="4"/>
        <v>061-905</v>
      </c>
      <c r="C239" s="2977" t="s">
        <v>6231</v>
      </c>
      <c r="D239" s="2637">
        <v>1141952572</v>
      </c>
      <c r="E239" s="2637">
        <v>1120077212</v>
      </c>
      <c r="F239" s="2637">
        <v>1141952572</v>
      </c>
      <c r="G239" s="2637">
        <v>1120077212</v>
      </c>
      <c r="H239" s="2637">
        <v>1141952572</v>
      </c>
      <c r="I239" s="2637">
        <v>1120077212</v>
      </c>
      <c r="J239" s="2637">
        <v>1141952572</v>
      </c>
      <c r="K239" s="2637">
        <v>1120077212</v>
      </c>
      <c r="L239" s="2637">
        <v>57095360</v>
      </c>
      <c r="M239" s="2637">
        <v>0</v>
      </c>
    </row>
    <row r="240" spans="1:13" ht="14.5">
      <c r="A240" s="2978" t="s">
        <v>9646</v>
      </c>
      <c r="B240" s="2113" t="str">
        <f t="shared" si="4"/>
        <v>061-906</v>
      </c>
      <c r="C240" s="2978" t="s">
        <v>6232</v>
      </c>
      <c r="D240" s="2639">
        <v>815327604</v>
      </c>
      <c r="E240" s="2639">
        <v>800168138</v>
      </c>
      <c r="F240" s="2639">
        <v>815327604</v>
      </c>
      <c r="G240" s="2639">
        <v>800168138</v>
      </c>
      <c r="H240" s="2639">
        <v>815327604</v>
      </c>
      <c r="I240" s="2639">
        <v>800168138</v>
      </c>
      <c r="J240" s="2639">
        <v>815327604</v>
      </c>
      <c r="K240" s="2639">
        <v>800168138</v>
      </c>
      <c r="L240" s="2639">
        <v>39759466</v>
      </c>
      <c r="M240" s="2639">
        <v>0</v>
      </c>
    </row>
    <row r="241" spans="1:13" ht="14.5">
      <c r="A241" s="2977" t="s">
        <v>9647</v>
      </c>
      <c r="B241" s="2113" t="str">
        <f t="shared" si="4"/>
        <v>061-907</v>
      </c>
      <c r="C241" s="2977" t="s">
        <v>6233</v>
      </c>
      <c r="D241" s="2637">
        <v>1632237558</v>
      </c>
      <c r="E241" s="2637">
        <v>1600468316</v>
      </c>
      <c r="F241" s="2637">
        <v>1632237558</v>
      </c>
      <c r="G241" s="2637">
        <v>1600468316</v>
      </c>
      <c r="H241" s="2637">
        <v>1632237558</v>
      </c>
      <c r="I241" s="2637">
        <v>1600468316</v>
      </c>
      <c r="J241" s="2637">
        <v>1632237558</v>
      </c>
      <c r="K241" s="2637">
        <v>1600468316</v>
      </c>
      <c r="L241" s="2637">
        <v>81149242</v>
      </c>
      <c r="M241" s="2637">
        <v>0</v>
      </c>
    </row>
    <row r="242" spans="1:13" ht="14.5">
      <c r="A242" s="2978" t="s">
        <v>9648</v>
      </c>
      <c r="B242" s="2113" t="str">
        <f t="shared" si="4"/>
        <v>061-908</v>
      </c>
      <c r="C242" s="2978" t="s">
        <v>6234</v>
      </c>
      <c r="D242" s="2639">
        <v>1566266921</v>
      </c>
      <c r="E242" s="2639">
        <v>1533319451</v>
      </c>
      <c r="F242" s="2639">
        <v>1566266921</v>
      </c>
      <c r="G242" s="2639">
        <v>1533319451</v>
      </c>
      <c r="H242" s="2639">
        <v>1566266921</v>
      </c>
      <c r="I242" s="2639">
        <v>1533319451</v>
      </c>
      <c r="J242" s="2639">
        <v>1566266921</v>
      </c>
      <c r="K242" s="2639">
        <v>1533319451</v>
      </c>
      <c r="L242" s="2639">
        <v>86197470</v>
      </c>
      <c r="M242" s="2639">
        <v>0</v>
      </c>
    </row>
    <row r="243" spans="1:13" ht="14.5">
      <c r="A243" s="2977" t="s">
        <v>9649</v>
      </c>
      <c r="B243" s="2113" t="str">
        <f t="shared" si="4"/>
        <v>061-910</v>
      </c>
      <c r="C243" s="2977" t="s">
        <v>6235</v>
      </c>
      <c r="D243" s="2637">
        <v>3252026434</v>
      </c>
      <c r="E243" s="2637">
        <v>3209825299</v>
      </c>
      <c r="F243" s="2637">
        <v>3252026434</v>
      </c>
      <c r="G243" s="2637">
        <v>3209825299</v>
      </c>
      <c r="H243" s="2637">
        <v>3252026434</v>
      </c>
      <c r="I243" s="2637">
        <v>3209825299</v>
      </c>
      <c r="J243" s="2637">
        <v>3252026434</v>
      </c>
      <c r="K243" s="2637">
        <v>3209825299</v>
      </c>
      <c r="L243" s="2637">
        <v>108096135</v>
      </c>
      <c r="M243" s="2637">
        <v>0</v>
      </c>
    </row>
    <row r="244" spans="1:13" ht="14.5">
      <c r="A244" s="2978" t="s">
        <v>9650</v>
      </c>
      <c r="B244" s="2113" t="str">
        <f t="shared" si="4"/>
        <v>061-911</v>
      </c>
      <c r="C244" s="2978" t="s">
        <v>6236</v>
      </c>
      <c r="D244" s="2639">
        <v>26212543558</v>
      </c>
      <c r="E244" s="2639">
        <v>25932064546</v>
      </c>
      <c r="F244" s="2639">
        <v>26212543558</v>
      </c>
      <c r="G244" s="2639">
        <v>25932064546</v>
      </c>
      <c r="H244" s="2639">
        <v>26212543558</v>
      </c>
      <c r="I244" s="2639">
        <v>25932064546</v>
      </c>
      <c r="J244" s="2639">
        <v>26212543558</v>
      </c>
      <c r="K244" s="2639">
        <v>25932064546</v>
      </c>
      <c r="L244" s="2639">
        <v>720624012</v>
      </c>
      <c r="M244" s="2639">
        <v>0</v>
      </c>
    </row>
    <row r="245" spans="1:13" ht="14.5">
      <c r="A245" s="2977" t="s">
        <v>9651</v>
      </c>
      <c r="B245" s="2113" t="str">
        <f t="shared" si="4"/>
        <v>061-912</v>
      </c>
      <c r="C245" s="2977" t="s">
        <v>6237</v>
      </c>
      <c r="D245" s="2637">
        <v>2501216474</v>
      </c>
      <c r="E245" s="2637">
        <v>2449296102</v>
      </c>
      <c r="F245" s="2637">
        <v>2501216474</v>
      </c>
      <c r="G245" s="2637">
        <v>2449296102</v>
      </c>
      <c r="H245" s="2637">
        <v>2501216474</v>
      </c>
      <c r="I245" s="2637">
        <v>2449296102</v>
      </c>
      <c r="J245" s="2637">
        <v>2501216474</v>
      </c>
      <c r="K245" s="2637">
        <v>2449296102</v>
      </c>
      <c r="L245" s="2637">
        <v>131810372</v>
      </c>
      <c r="M245" s="2637">
        <v>0</v>
      </c>
    </row>
    <row r="246" spans="1:13" ht="14.5">
      <c r="A246" s="2978" t="s">
        <v>9652</v>
      </c>
      <c r="B246" s="2113" t="str">
        <f t="shared" si="4"/>
        <v>061-914</v>
      </c>
      <c r="C246" s="2978" t="s">
        <v>6238</v>
      </c>
      <c r="D246" s="2639">
        <v>6277376306</v>
      </c>
      <c r="E246" s="2639">
        <v>6151491924</v>
      </c>
      <c r="F246" s="2639">
        <v>6277376306</v>
      </c>
      <c r="G246" s="2639">
        <v>6151491924</v>
      </c>
      <c r="H246" s="2639">
        <v>6277376306</v>
      </c>
      <c r="I246" s="2639">
        <v>6151491924</v>
      </c>
      <c r="J246" s="2639">
        <v>6277376306</v>
      </c>
      <c r="K246" s="2639">
        <v>6151491924</v>
      </c>
      <c r="L246" s="2639">
        <v>319819382</v>
      </c>
      <c r="M246" s="2639">
        <v>0</v>
      </c>
    </row>
    <row r="247" spans="1:13" ht="14.5">
      <c r="A247" s="2977" t="s">
        <v>9653</v>
      </c>
      <c r="B247" s="2113" t="str">
        <f t="shared" si="4"/>
        <v>062-901</v>
      </c>
      <c r="C247" s="2977" t="s">
        <v>6239</v>
      </c>
      <c r="D247" s="2637">
        <v>1012341277</v>
      </c>
      <c r="E247" s="2637">
        <v>994207797</v>
      </c>
      <c r="F247" s="2637">
        <v>1012341277</v>
      </c>
      <c r="G247" s="2637">
        <v>994207797</v>
      </c>
      <c r="H247" s="2637">
        <v>1012341277</v>
      </c>
      <c r="I247" s="2637">
        <v>994207797</v>
      </c>
      <c r="J247" s="2637">
        <v>1012341277</v>
      </c>
      <c r="K247" s="2637">
        <v>994207797</v>
      </c>
      <c r="L247" s="2637">
        <v>50548480</v>
      </c>
      <c r="M247" s="2637">
        <v>0</v>
      </c>
    </row>
    <row r="248" spans="1:13" ht="14.5">
      <c r="A248" s="2978" t="s">
        <v>9654</v>
      </c>
      <c r="B248" s="2113" t="str">
        <f t="shared" si="4"/>
        <v>062-902</v>
      </c>
      <c r="C248" s="2978" t="s">
        <v>6240</v>
      </c>
      <c r="D248" s="2639">
        <v>596247484</v>
      </c>
      <c r="E248" s="2639">
        <v>594245934</v>
      </c>
      <c r="F248" s="2639">
        <v>596247484</v>
      </c>
      <c r="G248" s="2639">
        <v>594245934</v>
      </c>
      <c r="H248" s="2639">
        <v>596247484</v>
      </c>
      <c r="I248" s="2639">
        <v>594245934</v>
      </c>
      <c r="J248" s="2639">
        <v>596247484</v>
      </c>
      <c r="K248" s="2639">
        <v>594245934</v>
      </c>
      <c r="L248" s="2639">
        <v>5406550</v>
      </c>
      <c r="M248" s="2639">
        <v>0</v>
      </c>
    </row>
    <row r="249" spans="1:13" ht="14.5">
      <c r="A249" s="2977" t="s">
        <v>9655</v>
      </c>
      <c r="B249" s="2113" t="str">
        <f t="shared" si="4"/>
        <v>062-903</v>
      </c>
      <c r="C249" s="2977" t="s">
        <v>6241</v>
      </c>
      <c r="D249" s="2637">
        <v>770476523</v>
      </c>
      <c r="E249" s="2637">
        <v>751663011</v>
      </c>
      <c r="F249" s="2637">
        <v>770476523</v>
      </c>
      <c r="G249" s="2637">
        <v>751663011</v>
      </c>
      <c r="H249" s="2637">
        <v>1175069623</v>
      </c>
      <c r="I249" s="2637">
        <v>1156256111</v>
      </c>
      <c r="J249" s="2637">
        <v>1175069623</v>
      </c>
      <c r="K249" s="2637">
        <v>1156256111</v>
      </c>
      <c r="L249" s="2637">
        <v>49938512</v>
      </c>
      <c r="M249" s="2637">
        <v>404593100</v>
      </c>
    </row>
    <row r="250" spans="1:13" ht="14.5">
      <c r="A250" s="2978" t="s">
        <v>9656</v>
      </c>
      <c r="B250" s="2113" t="str">
        <f t="shared" si="4"/>
        <v>062-904</v>
      </c>
      <c r="C250" s="2978" t="s">
        <v>6242</v>
      </c>
      <c r="D250" s="2639">
        <v>1648404908</v>
      </c>
      <c r="E250" s="2639">
        <v>1639651138</v>
      </c>
      <c r="F250" s="2639">
        <v>1648404908</v>
      </c>
      <c r="G250" s="2639">
        <v>1639651138</v>
      </c>
      <c r="H250" s="2639">
        <v>1648404908</v>
      </c>
      <c r="I250" s="2639">
        <v>1639651138</v>
      </c>
      <c r="J250" s="2639">
        <v>1648404908</v>
      </c>
      <c r="K250" s="2639">
        <v>1639651138</v>
      </c>
      <c r="L250" s="2639">
        <v>23528770</v>
      </c>
      <c r="M250" s="2639">
        <v>0</v>
      </c>
    </row>
    <row r="251" spans="1:13" ht="14.5">
      <c r="A251" s="2977" t="s">
        <v>9657</v>
      </c>
      <c r="B251" s="2113" t="str">
        <f t="shared" si="4"/>
        <v>062-905</v>
      </c>
      <c r="C251" s="2977" t="s">
        <v>6243</v>
      </c>
      <c r="D251" s="2637">
        <v>592828285</v>
      </c>
      <c r="E251" s="2637">
        <v>591544145</v>
      </c>
      <c r="F251" s="2637">
        <v>592828285</v>
      </c>
      <c r="G251" s="2637">
        <v>591544145</v>
      </c>
      <c r="H251" s="2637">
        <v>592828285</v>
      </c>
      <c r="I251" s="2637">
        <v>591544145</v>
      </c>
      <c r="J251" s="2637">
        <v>592828285</v>
      </c>
      <c r="K251" s="2637">
        <v>591544145</v>
      </c>
      <c r="L251" s="2637">
        <v>3609140</v>
      </c>
      <c r="M251" s="2637">
        <v>0</v>
      </c>
    </row>
    <row r="252" spans="1:13" ht="14.5">
      <c r="A252" s="2978" t="s">
        <v>9658</v>
      </c>
      <c r="B252" s="2113" t="str">
        <f t="shared" si="4"/>
        <v>062-906</v>
      </c>
      <c r="C252" s="2978" t="s">
        <v>6244</v>
      </c>
      <c r="D252" s="2639">
        <v>93264397</v>
      </c>
      <c r="E252" s="2639">
        <v>89933047</v>
      </c>
      <c r="F252" s="2639">
        <v>93264397</v>
      </c>
      <c r="G252" s="2639">
        <v>89933047</v>
      </c>
      <c r="H252" s="2639">
        <v>93264397</v>
      </c>
      <c r="I252" s="2639">
        <v>89933047</v>
      </c>
      <c r="J252" s="2639">
        <v>93264397</v>
      </c>
      <c r="K252" s="2639">
        <v>89933047</v>
      </c>
      <c r="L252" s="2639">
        <v>9076350</v>
      </c>
      <c r="M252" s="2639">
        <v>0</v>
      </c>
    </row>
    <row r="253" spans="1:13" ht="14.5">
      <c r="A253" s="2977" t="s">
        <v>9659</v>
      </c>
      <c r="B253" s="2113" t="str">
        <f t="shared" si="4"/>
        <v>063-903</v>
      </c>
      <c r="C253" s="2977" t="s">
        <v>6245</v>
      </c>
      <c r="D253" s="2637">
        <v>148389664</v>
      </c>
      <c r="E253" s="2637">
        <v>145052974</v>
      </c>
      <c r="F253" s="2637">
        <v>148389664</v>
      </c>
      <c r="G253" s="2637">
        <v>145052974</v>
      </c>
      <c r="H253" s="2637">
        <v>148389664</v>
      </c>
      <c r="I253" s="2637">
        <v>145052974</v>
      </c>
      <c r="J253" s="2637">
        <v>148389664</v>
      </c>
      <c r="K253" s="2637">
        <v>145052974</v>
      </c>
      <c r="L253" s="2637">
        <v>10026690</v>
      </c>
      <c r="M253" s="2637">
        <v>0</v>
      </c>
    </row>
    <row r="254" spans="1:13" ht="14.5">
      <c r="A254" s="2978" t="s">
        <v>9660</v>
      </c>
      <c r="B254" s="2113" t="str">
        <f t="shared" si="4"/>
        <v>063-906</v>
      </c>
      <c r="C254" s="2978" t="s">
        <v>6246</v>
      </c>
      <c r="D254" s="2639">
        <v>89915668</v>
      </c>
      <c r="E254" s="2639">
        <v>89262293</v>
      </c>
      <c r="F254" s="2639">
        <v>89915668</v>
      </c>
      <c r="G254" s="2639">
        <v>89262293</v>
      </c>
      <c r="H254" s="2639">
        <v>89915668</v>
      </c>
      <c r="I254" s="2639">
        <v>89262293</v>
      </c>
      <c r="J254" s="2639">
        <v>89915668</v>
      </c>
      <c r="K254" s="2639">
        <v>89262293</v>
      </c>
      <c r="L254" s="2639">
        <v>1883375</v>
      </c>
      <c r="M254" s="2639">
        <v>0</v>
      </c>
    </row>
    <row r="255" spans="1:13" ht="14.5">
      <c r="A255" s="2977" t="s">
        <v>9661</v>
      </c>
      <c r="B255" s="2113" t="str">
        <f t="shared" si="4"/>
        <v>064-903</v>
      </c>
      <c r="C255" s="2977" t="s">
        <v>6247</v>
      </c>
      <c r="D255" s="2637">
        <v>5780726871</v>
      </c>
      <c r="E255" s="2637">
        <v>5764795271</v>
      </c>
      <c r="F255" s="2637">
        <v>5767028662</v>
      </c>
      <c r="G255" s="2637">
        <v>5751097062</v>
      </c>
      <c r="H255" s="2637">
        <v>5780726871</v>
      </c>
      <c r="I255" s="2637">
        <v>5764795271</v>
      </c>
      <c r="J255" s="2637">
        <v>5767028662</v>
      </c>
      <c r="K255" s="2637">
        <v>5751097062</v>
      </c>
      <c r="L255" s="2637">
        <v>45946600</v>
      </c>
      <c r="M255" s="2637">
        <v>0</v>
      </c>
    </row>
    <row r="256" spans="1:13" ht="14.5">
      <c r="A256" s="2978" t="s">
        <v>9662</v>
      </c>
      <c r="B256" s="2113" t="str">
        <f t="shared" si="4"/>
        <v>065-901</v>
      </c>
      <c r="C256" s="2978" t="s">
        <v>6248</v>
      </c>
      <c r="D256" s="2639">
        <v>212413510</v>
      </c>
      <c r="E256" s="2639">
        <v>206089839</v>
      </c>
      <c r="F256" s="2639">
        <v>212413510</v>
      </c>
      <c r="G256" s="2639">
        <v>206089839</v>
      </c>
      <c r="H256" s="2639">
        <v>318772550</v>
      </c>
      <c r="I256" s="2639">
        <v>312448879</v>
      </c>
      <c r="J256" s="2639">
        <v>318772550</v>
      </c>
      <c r="K256" s="2639">
        <v>312448879</v>
      </c>
      <c r="L256" s="2639">
        <v>17453671</v>
      </c>
      <c r="M256" s="2639">
        <v>106359040</v>
      </c>
    </row>
    <row r="257" spans="1:13" ht="14.5">
      <c r="A257" s="2977" t="s">
        <v>9663</v>
      </c>
      <c r="B257" s="2113" t="str">
        <f t="shared" si="4"/>
        <v>065-902</v>
      </c>
      <c r="C257" s="2977" t="s">
        <v>6249</v>
      </c>
      <c r="D257" s="2637">
        <v>80879314</v>
      </c>
      <c r="E257" s="2637">
        <v>80076696</v>
      </c>
      <c r="F257" s="2637">
        <v>80879314</v>
      </c>
      <c r="G257" s="2637">
        <v>80076696</v>
      </c>
      <c r="H257" s="2637">
        <v>80879314</v>
      </c>
      <c r="I257" s="2637">
        <v>80076696</v>
      </c>
      <c r="J257" s="2637">
        <v>80879314</v>
      </c>
      <c r="K257" s="2637">
        <v>80076696</v>
      </c>
      <c r="L257" s="2637">
        <v>2677618</v>
      </c>
      <c r="M257" s="2637">
        <v>0</v>
      </c>
    </row>
    <row r="258" spans="1:13" ht="14.5">
      <c r="A258" s="2978" t="s">
        <v>9664</v>
      </c>
      <c r="B258" s="2113" t="str">
        <f t="shared" si="4"/>
        <v>066-005</v>
      </c>
      <c r="C258" s="2978" t="s">
        <v>6250</v>
      </c>
      <c r="D258" s="2639">
        <v>28449923</v>
      </c>
      <c r="E258" s="2639">
        <v>28110288</v>
      </c>
      <c r="F258" s="2639">
        <v>28128025</v>
      </c>
      <c r="G258" s="2639">
        <v>27788390</v>
      </c>
      <c r="H258" s="2639">
        <v>28449923</v>
      </c>
      <c r="I258" s="2639">
        <v>28110288</v>
      </c>
      <c r="J258" s="2639">
        <v>28128025</v>
      </c>
      <c r="K258" s="2639">
        <v>27788390</v>
      </c>
      <c r="L258" s="2639">
        <v>1494635</v>
      </c>
      <c r="M258" s="2639">
        <v>0</v>
      </c>
    </row>
    <row r="259" spans="1:13" ht="14.5">
      <c r="A259" s="2977" t="s">
        <v>9665</v>
      </c>
      <c r="B259" s="2113" t="str">
        <f t="shared" si="4"/>
        <v>066-901</v>
      </c>
      <c r="C259" s="2977" t="s">
        <v>6251</v>
      </c>
      <c r="D259" s="2637">
        <v>252804296</v>
      </c>
      <c r="E259" s="2637">
        <v>248481319</v>
      </c>
      <c r="F259" s="2637">
        <v>252804296</v>
      </c>
      <c r="G259" s="2637">
        <v>248481319</v>
      </c>
      <c r="H259" s="2637">
        <v>353804296</v>
      </c>
      <c r="I259" s="2637">
        <v>349481319</v>
      </c>
      <c r="J259" s="2637">
        <v>353804296</v>
      </c>
      <c r="K259" s="2637">
        <v>349481319</v>
      </c>
      <c r="L259" s="2637">
        <v>13337977</v>
      </c>
      <c r="M259" s="2637">
        <v>101000000</v>
      </c>
    </row>
    <row r="260" spans="1:13" ht="14.5">
      <c r="A260" s="2978" t="s">
        <v>9666</v>
      </c>
      <c r="B260" s="2113" t="str">
        <f t="shared" si="4"/>
        <v>066-902</v>
      </c>
      <c r="C260" s="2978" t="s">
        <v>6252</v>
      </c>
      <c r="D260" s="2639">
        <v>390048902</v>
      </c>
      <c r="E260" s="2639">
        <v>380552461</v>
      </c>
      <c r="F260" s="2639">
        <v>390048902</v>
      </c>
      <c r="G260" s="2639">
        <v>380552461</v>
      </c>
      <c r="H260" s="2639">
        <v>390048902</v>
      </c>
      <c r="I260" s="2639">
        <v>380552461</v>
      </c>
      <c r="J260" s="2639">
        <v>390048902</v>
      </c>
      <c r="K260" s="2639">
        <v>380552461</v>
      </c>
      <c r="L260" s="2639">
        <v>30571441</v>
      </c>
      <c r="M260" s="2639">
        <v>0</v>
      </c>
    </row>
    <row r="261" spans="1:13" ht="14.5">
      <c r="A261" s="2977" t="s">
        <v>9667</v>
      </c>
      <c r="B261" s="2113" t="str">
        <f t="shared" ref="B261:B324" si="5">CONCATENATE(RIGHT(LEFT(CONCATENATE("000",A261),6),3),"-",(LEFT(RIGHT(CONCATENATE("000",A261),6),3)))</f>
        <v>066-903</v>
      </c>
      <c r="C261" s="2977" t="s">
        <v>6253</v>
      </c>
      <c r="D261" s="2637">
        <v>391583471</v>
      </c>
      <c r="E261" s="2637">
        <v>385264301</v>
      </c>
      <c r="F261" s="2637">
        <v>386850476</v>
      </c>
      <c r="G261" s="2637">
        <v>380531306</v>
      </c>
      <c r="H261" s="2637">
        <v>391583471</v>
      </c>
      <c r="I261" s="2637">
        <v>385264301</v>
      </c>
      <c r="J261" s="2637">
        <v>386850476</v>
      </c>
      <c r="K261" s="2637">
        <v>380531306</v>
      </c>
      <c r="L261" s="2637">
        <v>19144170</v>
      </c>
      <c r="M261" s="2637">
        <v>0</v>
      </c>
    </row>
    <row r="262" spans="1:13" ht="14.5">
      <c r="A262" s="2978" t="s">
        <v>9668</v>
      </c>
      <c r="B262" s="2113" t="str">
        <f t="shared" si="5"/>
        <v>067-902</v>
      </c>
      <c r="C262" s="2978" t="s">
        <v>6254</v>
      </c>
      <c r="D262" s="2639">
        <v>551761512</v>
      </c>
      <c r="E262" s="2639">
        <v>541252552</v>
      </c>
      <c r="F262" s="2639">
        <v>551761512</v>
      </c>
      <c r="G262" s="2639">
        <v>541252552</v>
      </c>
      <c r="H262" s="2639">
        <v>551761512</v>
      </c>
      <c r="I262" s="2639">
        <v>541252552</v>
      </c>
      <c r="J262" s="2639">
        <v>551761512</v>
      </c>
      <c r="K262" s="2639">
        <v>541252552</v>
      </c>
      <c r="L262" s="2639">
        <v>30068960</v>
      </c>
      <c r="M262" s="2639">
        <v>0</v>
      </c>
    </row>
    <row r="263" spans="1:13" ht="14.5">
      <c r="A263" s="2977" t="s">
        <v>10596</v>
      </c>
      <c r="B263" s="2113" t="str">
        <f t="shared" si="5"/>
        <v>067-903</v>
      </c>
      <c r="C263" s="2977" t="s">
        <v>6255</v>
      </c>
      <c r="D263" s="2637">
        <v>602075457</v>
      </c>
      <c r="E263" s="2637">
        <v>587183977</v>
      </c>
      <c r="F263" s="2637">
        <v>602075457</v>
      </c>
      <c r="G263" s="2637">
        <v>587183977</v>
      </c>
      <c r="H263" s="2637">
        <v>602075457</v>
      </c>
      <c r="I263" s="2637">
        <v>587183977</v>
      </c>
      <c r="J263" s="2637">
        <v>602075457</v>
      </c>
      <c r="K263" s="2637">
        <v>587183977</v>
      </c>
      <c r="L263" s="2637">
        <v>40526480</v>
      </c>
      <c r="M263" s="2637">
        <v>0</v>
      </c>
    </row>
    <row r="264" spans="1:13" ht="14.5">
      <c r="A264" s="2978" t="s">
        <v>9669</v>
      </c>
      <c r="B264" s="2113" t="str">
        <f t="shared" si="5"/>
        <v>067-904</v>
      </c>
      <c r="C264" s="2978" t="s">
        <v>6256</v>
      </c>
      <c r="D264" s="2639">
        <v>157213796</v>
      </c>
      <c r="E264" s="2639">
        <v>153383546</v>
      </c>
      <c r="F264" s="2639">
        <v>157213796</v>
      </c>
      <c r="G264" s="2639">
        <v>153383546</v>
      </c>
      <c r="H264" s="2639">
        <v>157213796</v>
      </c>
      <c r="I264" s="2639">
        <v>153383546</v>
      </c>
      <c r="J264" s="2639">
        <v>157213796</v>
      </c>
      <c r="K264" s="2639">
        <v>153383546</v>
      </c>
      <c r="L264" s="2639">
        <v>10955250</v>
      </c>
      <c r="M264" s="2639">
        <v>0</v>
      </c>
    </row>
    <row r="265" spans="1:13" ht="14.5">
      <c r="A265" s="2977" t="s">
        <v>9670</v>
      </c>
      <c r="B265" s="2113" t="str">
        <f t="shared" si="5"/>
        <v>067-907</v>
      </c>
      <c r="C265" s="2977" t="s">
        <v>6257</v>
      </c>
      <c r="D265" s="2637">
        <v>173707008</v>
      </c>
      <c r="E265" s="2637">
        <v>169397591</v>
      </c>
      <c r="F265" s="2637">
        <v>173707008</v>
      </c>
      <c r="G265" s="2637">
        <v>169397591</v>
      </c>
      <c r="H265" s="2637">
        <v>173707008</v>
      </c>
      <c r="I265" s="2637">
        <v>169397591</v>
      </c>
      <c r="J265" s="2637">
        <v>173707008</v>
      </c>
      <c r="K265" s="2637">
        <v>169397591</v>
      </c>
      <c r="L265" s="2637">
        <v>13894417</v>
      </c>
      <c r="M265" s="2637">
        <v>0</v>
      </c>
    </row>
    <row r="266" spans="1:13" ht="14.5">
      <c r="A266" s="2978" t="s">
        <v>9671</v>
      </c>
      <c r="B266" s="2113" t="str">
        <f t="shared" si="5"/>
        <v>067-908</v>
      </c>
      <c r="C266" s="2978" t="s">
        <v>6258</v>
      </c>
      <c r="D266" s="2639">
        <v>60984805</v>
      </c>
      <c r="E266" s="2639">
        <v>58281515</v>
      </c>
      <c r="F266" s="2639">
        <v>60984805</v>
      </c>
      <c r="G266" s="2639">
        <v>58281515</v>
      </c>
      <c r="H266" s="2639">
        <v>60984805</v>
      </c>
      <c r="I266" s="2639">
        <v>58281515</v>
      </c>
      <c r="J266" s="2639">
        <v>60984805</v>
      </c>
      <c r="K266" s="2639">
        <v>58281515</v>
      </c>
      <c r="L266" s="2639">
        <v>8433290</v>
      </c>
      <c r="M266" s="2639">
        <v>0</v>
      </c>
    </row>
    <row r="267" spans="1:13" ht="14.5">
      <c r="A267" s="2977" t="s">
        <v>10597</v>
      </c>
      <c r="B267" s="2113" t="str">
        <f t="shared" si="5"/>
        <v>068-901</v>
      </c>
      <c r="C267" s="2977" t="s">
        <v>6259</v>
      </c>
      <c r="D267" s="2637">
        <v>15518021171</v>
      </c>
      <c r="E267" s="2637">
        <v>15245722555</v>
      </c>
      <c r="F267" s="2637">
        <v>14986962124</v>
      </c>
      <c r="G267" s="2637">
        <v>14714663508</v>
      </c>
      <c r="H267" s="2637">
        <v>15608759004</v>
      </c>
      <c r="I267" s="2637">
        <v>15336460388</v>
      </c>
      <c r="J267" s="2637">
        <v>15077699957</v>
      </c>
      <c r="K267" s="2637">
        <v>14805401341</v>
      </c>
      <c r="L267" s="2637">
        <v>722253616</v>
      </c>
      <c r="M267" s="2637">
        <v>90737833</v>
      </c>
    </row>
    <row r="268" spans="1:13" ht="14.5">
      <c r="A268" s="2978" t="s">
        <v>9672</v>
      </c>
      <c r="B268" s="2113" t="str">
        <f t="shared" si="5"/>
        <v>069-901</v>
      </c>
      <c r="C268" s="2978" t="s">
        <v>6260</v>
      </c>
      <c r="D268" s="2639">
        <v>635365259</v>
      </c>
      <c r="E268" s="2639">
        <v>632202675</v>
      </c>
      <c r="F268" s="2639">
        <v>635365259</v>
      </c>
      <c r="G268" s="2639">
        <v>632202675</v>
      </c>
      <c r="H268" s="2639">
        <v>635365259</v>
      </c>
      <c r="I268" s="2639">
        <v>632202675</v>
      </c>
      <c r="J268" s="2639">
        <v>635365259</v>
      </c>
      <c r="K268" s="2639">
        <v>632202675</v>
      </c>
      <c r="L268" s="2639">
        <v>10197584</v>
      </c>
      <c r="M268" s="2639">
        <v>0</v>
      </c>
    </row>
    <row r="269" spans="1:13" ht="14.5">
      <c r="A269" s="2977" t="s">
        <v>9673</v>
      </c>
      <c r="B269" s="2113" t="str">
        <f t="shared" si="5"/>
        <v>069-902</v>
      </c>
      <c r="C269" s="2977" t="s">
        <v>6261</v>
      </c>
      <c r="D269" s="2637">
        <v>287497521</v>
      </c>
      <c r="E269" s="2637">
        <v>283954196</v>
      </c>
      <c r="F269" s="2637">
        <v>287497521</v>
      </c>
      <c r="G269" s="2637">
        <v>283954196</v>
      </c>
      <c r="H269" s="2637">
        <v>287497521</v>
      </c>
      <c r="I269" s="2637">
        <v>283954196</v>
      </c>
      <c r="J269" s="2637">
        <v>287497521</v>
      </c>
      <c r="K269" s="2637">
        <v>283954196</v>
      </c>
      <c r="L269" s="2637">
        <v>11763325</v>
      </c>
      <c r="M269" s="2637">
        <v>0</v>
      </c>
    </row>
    <row r="270" spans="1:13" ht="14.5">
      <c r="A270" s="2978" t="s">
        <v>9674</v>
      </c>
      <c r="B270" s="2113" t="str">
        <f t="shared" si="5"/>
        <v>070-901</v>
      </c>
      <c r="C270" s="2978" t="s">
        <v>6262</v>
      </c>
      <c r="D270" s="2639">
        <v>56906662</v>
      </c>
      <c r="E270" s="2639">
        <v>55573759</v>
      </c>
      <c r="F270" s="2639">
        <v>56906662</v>
      </c>
      <c r="G270" s="2639">
        <v>55573759</v>
      </c>
      <c r="H270" s="2639">
        <v>56906662</v>
      </c>
      <c r="I270" s="2639">
        <v>55573759</v>
      </c>
      <c r="J270" s="2639">
        <v>56906662</v>
      </c>
      <c r="K270" s="2639">
        <v>55573759</v>
      </c>
      <c r="L270" s="2639">
        <v>3987903</v>
      </c>
      <c r="M270" s="2639">
        <v>0</v>
      </c>
    </row>
    <row r="271" spans="1:13" ht="14.5">
      <c r="A271" s="2977" t="s">
        <v>9675</v>
      </c>
      <c r="B271" s="2113" t="str">
        <f t="shared" si="5"/>
        <v>070-903</v>
      </c>
      <c r="C271" s="2977" t="s">
        <v>6263</v>
      </c>
      <c r="D271" s="2637">
        <v>2763615428</v>
      </c>
      <c r="E271" s="2637">
        <v>2714703212</v>
      </c>
      <c r="F271" s="2637">
        <v>2763615428</v>
      </c>
      <c r="G271" s="2637">
        <v>2714703212</v>
      </c>
      <c r="H271" s="2637">
        <v>2763615428</v>
      </c>
      <c r="I271" s="2637">
        <v>2714703212</v>
      </c>
      <c r="J271" s="2637">
        <v>2763615428</v>
      </c>
      <c r="K271" s="2637">
        <v>2714703212</v>
      </c>
      <c r="L271" s="2637">
        <v>128382216</v>
      </c>
      <c r="M271" s="2637">
        <v>0</v>
      </c>
    </row>
    <row r="272" spans="1:13" ht="14.5">
      <c r="A272" s="2978" t="s">
        <v>9676</v>
      </c>
      <c r="B272" s="2113" t="str">
        <f t="shared" si="5"/>
        <v>070-905</v>
      </c>
      <c r="C272" s="2978" t="s">
        <v>6264</v>
      </c>
      <c r="D272" s="2639">
        <v>663045806</v>
      </c>
      <c r="E272" s="2639">
        <v>644928322</v>
      </c>
      <c r="F272" s="2639">
        <v>663045806</v>
      </c>
      <c r="G272" s="2639">
        <v>644928322</v>
      </c>
      <c r="H272" s="2639">
        <v>663045806</v>
      </c>
      <c r="I272" s="2639">
        <v>644928322</v>
      </c>
      <c r="J272" s="2639">
        <v>663045806</v>
      </c>
      <c r="K272" s="2639">
        <v>644928322</v>
      </c>
      <c r="L272" s="2639">
        <v>50127484</v>
      </c>
      <c r="M272" s="2639">
        <v>0</v>
      </c>
    </row>
    <row r="273" spans="1:13" ht="14.5">
      <c r="A273" s="2977" t="s">
        <v>9677</v>
      </c>
      <c r="B273" s="2113" t="str">
        <f t="shared" si="5"/>
        <v>070-907</v>
      </c>
      <c r="C273" s="2977" t="s">
        <v>6265</v>
      </c>
      <c r="D273" s="2637">
        <v>189696774</v>
      </c>
      <c r="E273" s="2637">
        <v>183941151</v>
      </c>
      <c r="F273" s="2637">
        <v>189696774</v>
      </c>
      <c r="G273" s="2637">
        <v>183941151</v>
      </c>
      <c r="H273" s="2637">
        <v>189696774</v>
      </c>
      <c r="I273" s="2637">
        <v>183941151</v>
      </c>
      <c r="J273" s="2637">
        <v>189696774</v>
      </c>
      <c r="K273" s="2637">
        <v>183941151</v>
      </c>
      <c r="L273" s="2637">
        <v>15400623</v>
      </c>
      <c r="M273" s="2637">
        <v>0</v>
      </c>
    </row>
    <row r="274" spans="1:13" ht="14.5">
      <c r="A274" s="2978" t="s">
        <v>9678</v>
      </c>
      <c r="B274" s="2113" t="str">
        <f t="shared" si="5"/>
        <v>070-908</v>
      </c>
      <c r="C274" s="2978" t="s">
        <v>6266</v>
      </c>
      <c r="D274" s="2639">
        <v>6018673352</v>
      </c>
      <c r="E274" s="2639">
        <v>5899144246</v>
      </c>
      <c r="F274" s="2639">
        <v>5826251590</v>
      </c>
      <c r="G274" s="2639">
        <v>5706722484</v>
      </c>
      <c r="H274" s="2639">
        <v>6018673352</v>
      </c>
      <c r="I274" s="2639">
        <v>5899144246</v>
      </c>
      <c r="J274" s="2639">
        <v>5826251590</v>
      </c>
      <c r="K274" s="2639">
        <v>5706722484</v>
      </c>
      <c r="L274" s="2639">
        <v>304794106</v>
      </c>
      <c r="M274" s="2639">
        <v>0</v>
      </c>
    </row>
    <row r="275" spans="1:13" ht="14.5">
      <c r="A275" s="2977" t="s">
        <v>9679</v>
      </c>
      <c r="B275" s="2113" t="str">
        <f t="shared" si="5"/>
        <v>070-909</v>
      </c>
      <c r="C275" s="2977" t="s">
        <v>6267</v>
      </c>
      <c r="D275" s="2637">
        <v>126772949</v>
      </c>
      <c r="E275" s="2637">
        <v>124481529</v>
      </c>
      <c r="F275" s="2637">
        <v>126772949</v>
      </c>
      <c r="G275" s="2637">
        <v>124481529</v>
      </c>
      <c r="H275" s="2637">
        <v>126772949</v>
      </c>
      <c r="I275" s="2637">
        <v>124481529</v>
      </c>
      <c r="J275" s="2637">
        <v>126772949</v>
      </c>
      <c r="K275" s="2637">
        <v>124481529</v>
      </c>
      <c r="L275" s="2637">
        <v>6446420</v>
      </c>
      <c r="M275" s="2637">
        <v>0</v>
      </c>
    </row>
    <row r="276" spans="1:13" ht="14.5">
      <c r="A276" s="2978" t="s">
        <v>9680</v>
      </c>
      <c r="B276" s="2113" t="str">
        <f t="shared" si="5"/>
        <v>070-910</v>
      </c>
      <c r="C276" s="2978" t="s">
        <v>6268</v>
      </c>
      <c r="D276" s="2639">
        <v>417109044</v>
      </c>
      <c r="E276" s="2639">
        <v>404448190</v>
      </c>
      <c r="F276" s="2639">
        <v>417109044</v>
      </c>
      <c r="G276" s="2639">
        <v>404448190</v>
      </c>
      <c r="H276" s="2639">
        <v>417109044</v>
      </c>
      <c r="I276" s="2639">
        <v>404448190</v>
      </c>
      <c r="J276" s="2639">
        <v>417109044</v>
      </c>
      <c r="K276" s="2639">
        <v>404448190</v>
      </c>
      <c r="L276" s="2639">
        <v>33720854</v>
      </c>
      <c r="M276" s="2639">
        <v>0</v>
      </c>
    </row>
    <row r="277" spans="1:13" ht="14.5">
      <c r="A277" s="2977" t="s">
        <v>9681</v>
      </c>
      <c r="B277" s="2113" t="str">
        <f t="shared" si="5"/>
        <v>070-911</v>
      </c>
      <c r="C277" s="2977" t="s">
        <v>6269</v>
      </c>
      <c r="D277" s="2637">
        <v>2701871915</v>
      </c>
      <c r="E277" s="2637">
        <v>2631222870</v>
      </c>
      <c r="F277" s="2637">
        <v>2701871915</v>
      </c>
      <c r="G277" s="2637">
        <v>2631222870</v>
      </c>
      <c r="H277" s="2637">
        <v>2701871915</v>
      </c>
      <c r="I277" s="2637">
        <v>2631222870</v>
      </c>
      <c r="J277" s="2637">
        <v>2701871915</v>
      </c>
      <c r="K277" s="2637">
        <v>2631222870</v>
      </c>
      <c r="L277" s="2637">
        <v>181844045</v>
      </c>
      <c r="M277" s="2637">
        <v>0</v>
      </c>
    </row>
    <row r="278" spans="1:13" ht="14.5">
      <c r="A278" s="2978" t="s">
        <v>9682</v>
      </c>
      <c r="B278" s="2113" t="str">
        <f t="shared" si="5"/>
        <v>070-912</v>
      </c>
      <c r="C278" s="2978" t="s">
        <v>6270</v>
      </c>
      <c r="D278" s="2639">
        <v>5815486347</v>
      </c>
      <c r="E278" s="2639">
        <v>5700690663</v>
      </c>
      <c r="F278" s="2639">
        <v>5815486347</v>
      </c>
      <c r="G278" s="2639">
        <v>5700690663</v>
      </c>
      <c r="H278" s="2639">
        <v>5815486347</v>
      </c>
      <c r="I278" s="2639">
        <v>5700690663</v>
      </c>
      <c r="J278" s="2639">
        <v>5815486347</v>
      </c>
      <c r="K278" s="2639">
        <v>5700690663</v>
      </c>
      <c r="L278" s="2639">
        <v>293595684</v>
      </c>
      <c r="M278" s="2639">
        <v>0</v>
      </c>
    </row>
    <row r="279" spans="1:13" ht="14.5">
      <c r="A279" s="2977" t="s">
        <v>10598</v>
      </c>
      <c r="B279" s="2113" t="str">
        <f t="shared" si="5"/>
        <v>070-915</v>
      </c>
      <c r="C279" s="2977" t="s">
        <v>6271</v>
      </c>
      <c r="D279" s="2637">
        <v>526063882</v>
      </c>
      <c r="E279" s="2637">
        <v>513387382</v>
      </c>
      <c r="F279" s="2637">
        <v>526063882</v>
      </c>
      <c r="G279" s="2637">
        <v>513387382</v>
      </c>
      <c r="H279" s="2637">
        <v>526063882</v>
      </c>
      <c r="I279" s="2637">
        <v>513387382</v>
      </c>
      <c r="J279" s="2637">
        <v>526063882</v>
      </c>
      <c r="K279" s="2637">
        <v>513387382</v>
      </c>
      <c r="L279" s="2637">
        <v>33706500</v>
      </c>
      <c r="M279" s="2637">
        <v>0</v>
      </c>
    </row>
    <row r="280" spans="1:13" ht="14.5">
      <c r="A280" s="2978" t="s">
        <v>9683</v>
      </c>
      <c r="B280" s="2113" t="str">
        <f t="shared" si="5"/>
        <v>071-901</v>
      </c>
      <c r="C280" s="2978" t="s">
        <v>6272</v>
      </c>
      <c r="D280" s="2639">
        <v>1827214158</v>
      </c>
      <c r="E280" s="2639">
        <v>1753853383</v>
      </c>
      <c r="F280" s="2639">
        <v>1827214158</v>
      </c>
      <c r="G280" s="2639">
        <v>1753853383</v>
      </c>
      <c r="H280" s="2639">
        <v>1827214158</v>
      </c>
      <c r="I280" s="2639">
        <v>1753853383</v>
      </c>
      <c r="J280" s="2639">
        <v>1827214158</v>
      </c>
      <c r="K280" s="2639">
        <v>1753853383</v>
      </c>
      <c r="L280" s="2639">
        <v>222835775</v>
      </c>
      <c r="M280" s="2639">
        <v>0</v>
      </c>
    </row>
    <row r="281" spans="1:13" ht="14.5">
      <c r="A281" s="2977" t="s">
        <v>9684</v>
      </c>
      <c r="B281" s="2113" t="str">
        <f t="shared" si="5"/>
        <v>071-902</v>
      </c>
      <c r="C281" s="2977" t="s">
        <v>6273</v>
      </c>
      <c r="D281" s="2637">
        <v>18161173499</v>
      </c>
      <c r="E281" s="2637">
        <v>17614900467</v>
      </c>
      <c r="F281" s="2637">
        <v>18161173499</v>
      </c>
      <c r="G281" s="2637">
        <v>17614900467</v>
      </c>
      <c r="H281" s="2637">
        <v>18161173499</v>
      </c>
      <c r="I281" s="2637">
        <v>17614900467</v>
      </c>
      <c r="J281" s="2637">
        <v>18161173499</v>
      </c>
      <c r="K281" s="2637">
        <v>17614900467</v>
      </c>
      <c r="L281" s="2637">
        <v>1375878032</v>
      </c>
      <c r="M281" s="2637">
        <v>0</v>
      </c>
    </row>
    <row r="282" spans="1:13" ht="14.5">
      <c r="A282" s="2978" t="s">
        <v>9685</v>
      </c>
      <c r="B282" s="2113" t="str">
        <f t="shared" si="5"/>
        <v>071-903</v>
      </c>
      <c r="C282" s="2978" t="s">
        <v>6274</v>
      </c>
      <c r="D282" s="2639">
        <v>233674986</v>
      </c>
      <c r="E282" s="2639">
        <v>224664126</v>
      </c>
      <c r="F282" s="2639">
        <v>233674986</v>
      </c>
      <c r="G282" s="2639">
        <v>224664126</v>
      </c>
      <c r="H282" s="2639">
        <v>233674986</v>
      </c>
      <c r="I282" s="2639">
        <v>224664126</v>
      </c>
      <c r="J282" s="2639">
        <v>233674986</v>
      </c>
      <c r="K282" s="2639">
        <v>224664126</v>
      </c>
      <c r="L282" s="2639">
        <v>31090860</v>
      </c>
      <c r="M282" s="2639">
        <v>0</v>
      </c>
    </row>
    <row r="283" spans="1:13" ht="14.5">
      <c r="A283" s="2977" t="s">
        <v>9686</v>
      </c>
      <c r="B283" s="2113" t="str">
        <f t="shared" si="5"/>
        <v>071-904</v>
      </c>
      <c r="C283" s="2977" t="s">
        <v>6275</v>
      </c>
      <c r="D283" s="2637">
        <v>312456810</v>
      </c>
      <c r="E283" s="2637">
        <v>296554397</v>
      </c>
      <c r="F283" s="2637">
        <v>312456810</v>
      </c>
      <c r="G283" s="2637">
        <v>296554397</v>
      </c>
      <c r="H283" s="2637">
        <v>312456810</v>
      </c>
      <c r="I283" s="2637">
        <v>296554397</v>
      </c>
      <c r="J283" s="2637">
        <v>312456810</v>
      </c>
      <c r="K283" s="2637">
        <v>296554397</v>
      </c>
      <c r="L283" s="2637">
        <v>52562413</v>
      </c>
      <c r="M283" s="2637">
        <v>0</v>
      </c>
    </row>
    <row r="284" spans="1:13" ht="14.5">
      <c r="A284" s="2978" t="s">
        <v>9687</v>
      </c>
      <c r="B284" s="2113" t="str">
        <f t="shared" si="5"/>
        <v>071-905</v>
      </c>
      <c r="C284" s="2978" t="s">
        <v>6276</v>
      </c>
      <c r="D284" s="2639">
        <v>8296519606</v>
      </c>
      <c r="E284" s="2639">
        <v>7939393045</v>
      </c>
      <c r="F284" s="2639">
        <v>7837838260</v>
      </c>
      <c r="G284" s="2639">
        <v>7480711699</v>
      </c>
      <c r="H284" s="2639">
        <v>8296519606</v>
      </c>
      <c r="I284" s="2639">
        <v>7939393045</v>
      </c>
      <c r="J284" s="2639">
        <v>7837838260</v>
      </c>
      <c r="K284" s="2639">
        <v>7480711699</v>
      </c>
      <c r="L284" s="2639">
        <v>923421561</v>
      </c>
      <c r="M284" s="2639">
        <v>0</v>
      </c>
    </row>
    <row r="285" spans="1:13" ht="14.5">
      <c r="A285" s="2977" t="s">
        <v>9688</v>
      </c>
      <c r="B285" s="2113" t="str">
        <f t="shared" si="5"/>
        <v>071-906</v>
      </c>
      <c r="C285" s="2977" t="s">
        <v>6277</v>
      </c>
      <c r="D285" s="2637">
        <v>220596911</v>
      </c>
      <c r="E285" s="2637">
        <v>213286873</v>
      </c>
      <c r="F285" s="2637">
        <v>220596911</v>
      </c>
      <c r="G285" s="2637">
        <v>213286873</v>
      </c>
      <c r="H285" s="2637">
        <v>220596911</v>
      </c>
      <c r="I285" s="2637">
        <v>213286873</v>
      </c>
      <c r="J285" s="2637">
        <v>220596911</v>
      </c>
      <c r="K285" s="2637">
        <v>213286873</v>
      </c>
      <c r="L285" s="2637">
        <v>19295038</v>
      </c>
      <c r="M285" s="2637">
        <v>0</v>
      </c>
    </row>
    <row r="286" spans="1:13" ht="14.5">
      <c r="A286" s="2978" t="s">
        <v>9689</v>
      </c>
      <c r="B286" s="2113" t="str">
        <f t="shared" si="5"/>
        <v>071-907</v>
      </c>
      <c r="C286" s="2978" t="s">
        <v>6278</v>
      </c>
      <c r="D286" s="2639">
        <v>2947013267</v>
      </c>
      <c r="E286" s="2639">
        <v>2880436419</v>
      </c>
      <c r="F286" s="2639">
        <v>2947013267</v>
      </c>
      <c r="G286" s="2639">
        <v>2880436419</v>
      </c>
      <c r="H286" s="2639">
        <v>2947013267</v>
      </c>
      <c r="I286" s="2639">
        <v>2880436419</v>
      </c>
      <c r="J286" s="2639">
        <v>2947013267</v>
      </c>
      <c r="K286" s="2639">
        <v>2880436419</v>
      </c>
      <c r="L286" s="2639">
        <v>183396848</v>
      </c>
      <c r="M286" s="2639">
        <v>0</v>
      </c>
    </row>
    <row r="287" spans="1:13" ht="14.5">
      <c r="A287" s="2977" t="s">
        <v>9690</v>
      </c>
      <c r="B287" s="2113" t="str">
        <f t="shared" si="5"/>
        <v>071-908</v>
      </c>
      <c r="C287" s="2977" t="s">
        <v>6279</v>
      </c>
      <c r="D287" s="2637">
        <v>95504769</v>
      </c>
      <c r="E287" s="2637">
        <v>92633808</v>
      </c>
      <c r="F287" s="2637">
        <v>95504769</v>
      </c>
      <c r="G287" s="2637">
        <v>92633808</v>
      </c>
      <c r="H287" s="2637">
        <v>95504769</v>
      </c>
      <c r="I287" s="2637">
        <v>92633808</v>
      </c>
      <c r="J287" s="2637">
        <v>95504769</v>
      </c>
      <c r="K287" s="2637">
        <v>92633808</v>
      </c>
      <c r="L287" s="2637">
        <v>12050961</v>
      </c>
      <c r="M287" s="2637">
        <v>0</v>
      </c>
    </row>
    <row r="288" spans="1:13" ht="14.5">
      <c r="A288" s="2978" t="s">
        <v>9691</v>
      </c>
      <c r="B288" s="2113" t="str">
        <f t="shared" si="5"/>
        <v>071-909</v>
      </c>
      <c r="C288" s="2978" t="s">
        <v>6280</v>
      </c>
      <c r="D288" s="2639">
        <v>13289572521</v>
      </c>
      <c r="E288" s="2639">
        <v>12808121836</v>
      </c>
      <c r="F288" s="2639">
        <v>13289572521</v>
      </c>
      <c r="G288" s="2639">
        <v>12808121836</v>
      </c>
      <c r="H288" s="2639">
        <v>13289572521</v>
      </c>
      <c r="I288" s="2639">
        <v>12808121836</v>
      </c>
      <c r="J288" s="2639">
        <v>13289572521</v>
      </c>
      <c r="K288" s="2639">
        <v>12808121836</v>
      </c>
      <c r="L288" s="2639">
        <v>1234780685</v>
      </c>
      <c r="M288" s="2639">
        <v>0</v>
      </c>
    </row>
    <row r="289" spans="1:13" ht="14.5">
      <c r="A289" s="2977" t="s">
        <v>9692</v>
      </c>
      <c r="B289" s="2113" t="str">
        <f t="shared" si="5"/>
        <v>072-901</v>
      </c>
      <c r="C289" s="2977" t="s">
        <v>6281</v>
      </c>
      <c r="D289" s="2637">
        <v>68258683</v>
      </c>
      <c r="E289" s="2637">
        <v>67007113</v>
      </c>
      <c r="F289" s="2637">
        <v>68258683</v>
      </c>
      <c r="G289" s="2637">
        <v>67007113</v>
      </c>
      <c r="H289" s="2637">
        <v>68258683</v>
      </c>
      <c r="I289" s="2637">
        <v>67007113</v>
      </c>
      <c r="J289" s="2637">
        <v>68258683</v>
      </c>
      <c r="K289" s="2637">
        <v>67007113</v>
      </c>
      <c r="L289" s="2637">
        <v>3291570</v>
      </c>
      <c r="M289" s="2637">
        <v>0</v>
      </c>
    </row>
    <row r="290" spans="1:13" ht="14.5">
      <c r="A290" s="2978" t="s">
        <v>9693</v>
      </c>
      <c r="B290" s="2113" t="str">
        <f t="shared" si="5"/>
        <v>072-902</v>
      </c>
      <c r="C290" s="2978" t="s">
        <v>6282</v>
      </c>
      <c r="D290" s="2639">
        <v>447113922</v>
      </c>
      <c r="E290" s="2639">
        <v>433577695</v>
      </c>
      <c r="F290" s="2639">
        <v>447113922</v>
      </c>
      <c r="G290" s="2639">
        <v>433577695</v>
      </c>
      <c r="H290" s="2639">
        <v>447113922</v>
      </c>
      <c r="I290" s="2639">
        <v>433577695</v>
      </c>
      <c r="J290" s="2639">
        <v>447113922</v>
      </c>
      <c r="K290" s="2639">
        <v>433577695</v>
      </c>
      <c r="L290" s="2639">
        <v>36036227</v>
      </c>
      <c r="M290" s="2639">
        <v>0</v>
      </c>
    </row>
    <row r="291" spans="1:13" ht="14.5">
      <c r="A291" s="2977" t="s">
        <v>9694</v>
      </c>
      <c r="B291" s="2113" t="str">
        <f t="shared" si="5"/>
        <v>072-903</v>
      </c>
      <c r="C291" s="2977" t="s">
        <v>6283</v>
      </c>
      <c r="D291" s="2637">
        <v>2272150632</v>
      </c>
      <c r="E291" s="2637">
        <v>2228244465</v>
      </c>
      <c r="F291" s="2637">
        <v>2272150632</v>
      </c>
      <c r="G291" s="2637">
        <v>2228244465</v>
      </c>
      <c r="H291" s="2637">
        <v>2272150632</v>
      </c>
      <c r="I291" s="2637">
        <v>2228244465</v>
      </c>
      <c r="J291" s="2637">
        <v>2272150632</v>
      </c>
      <c r="K291" s="2637">
        <v>2228244465</v>
      </c>
      <c r="L291" s="2637">
        <v>112591167</v>
      </c>
      <c r="M291" s="2637">
        <v>0</v>
      </c>
    </row>
    <row r="292" spans="1:13" ht="14.5">
      <c r="A292" s="2978" t="s">
        <v>9695</v>
      </c>
      <c r="B292" s="2113" t="str">
        <f t="shared" si="5"/>
        <v>072-904</v>
      </c>
      <c r="C292" s="2978" t="s">
        <v>6284</v>
      </c>
      <c r="D292" s="2639">
        <v>215943048</v>
      </c>
      <c r="E292" s="2639">
        <v>211996192</v>
      </c>
      <c r="F292" s="2639">
        <v>210317018</v>
      </c>
      <c r="G292" s="2639">
        <v>206370162</v>
      </c>
      <c r="H292" s="2639">
        <v>215943048</v>
      </c>
      <c r="I292" s="2639">
        <v>211996192</v>
      </c>
      <c r="J292" s="2639">
        <v>210317018</v>
      </c>
      <c r="K292" s="2639">
        <v>206370162</v>
      </c>
      <c r="L292" s="2639">
        <v>10156856</v>
      </c>
      <c r="M292" s="2639">
        <v>0</v>
      </c>
    </row>
    <row r="293" spans="1:13" ht="14.5">
      <c r="A293" s="2977" t="s">
        <v>9696</v>
      </c>
      <c r="B293" s="2113" t="str">
        <f t="shared" si="5"/>
        <v>072-908</v>
      </c>
      <c r="C293" s="2977" t="s">
        <v>6285</v>
      </c>
      <c r="D293" s="2637">
        <v>209615336</v>
      </c>
      <c r="E293" s="2637">
        <v>205695033</v>
      </c>
      <c r="F293" s="2637">
        <v>209615336</v>
      </c>
      <c r="G293" s="2637">
        <v>205695033</v>
      </c>
      <c r="H293" s="2637">
        <v>282545096</v>
      </c>
      <c r="I293" s="2637">
        <v>278624793</v>
      </c>
      <c r="J293" s="2637">
        <v>282545096</v>
      </c>
      <c r="K293" s="2637">
        <v>278624793</v>
      </c>
      <c r="L293" s="2637">
        <v>10160303</v>
      </c>
      <c r="M293" s="2637">
        <v>72929760</v>
      </c>
    </row>
    <row r="294" spans="1:13" ht="14.5">
      <c r="A294" s="2978" t="s">
        <v>9697</v>
      </c>
      <c r="B294" s="2113" t="str">
        <f t="shared" si="5"/>
        <v>072-909</v>
      </c>
      <c r="C294" s="2978" t="s">
        <v>6286</v>
      </c>
      <c r="D294" s="2639">
        <v>165696013</v>
      </c>
      <c r="E294" s="2639">
        <v>163278661</v>
      </c>
      <c r="F294" s="2639">
        <v>165696013</v>
      </c>
      <c r="G294" s="2639">
        <v>163278661</v>
      </c>
      <c r="H294" s="2639">
        <v>165696013</v>
      </c>
      <c r="I294" s="2639">
        <v>163278661</v>
      </c>
      <c r="J294" s="2639">
        <v>165696013</v>
      </c>
      <c r="K294" s="2639">
        <v>163278661</v>
      </c>
      <c r="L294" s="2639">
        <v>6617352</v>
      </c>
      <c r="M294" s="2639">
        <v>0</v>
      </c>
    </row>
    <row r="295" spans="1:13" ht="14.5">
      <c r="A295" s="2977" t="s">
        <v>9698</v>
      </c>
      <c r="B295" s="2113" t="str">
        <f t="shared" si="5"/>
        <v>072-910</v>
      </c>
      <c r="C295" s="2977" t="s">
        <v>6287</v>
      </c>
      <c r="D295" s="2637">
        <v>126441224</v>
      </c>
      <c r="E295" s="2637">
        <v>123679274</v>
      </c>
      <c r="F295" s="2637">
        <v>126441224</v>
      </c>
      <c r="G295" s="2637">
        <v>123679274</v>
      </c>
      <c r="H295" s="2637">
        <v>126441224</v>
      </c>
      <c r="I295" s="2637">
        <v>123679274</v>
      </c>
      <c r="J295" s="2637">
        <v>126441224</v>
      </c>
      <c r="K295" s="2637">
        <v>123679274</v>
      </c>
      <c r="L295" s="2637">
        <v>7081950</v>
      </c>
      <c r="M295" s="2637">
        <v>0</v>
      </c>
    </row>
    <row r="296" spans="1:13" ht="14.5">
      <c r="A296" s="2978" t="s">
        <v>9699</v>
      </c>
      <c r="B296" s="2113" t="str">
        <f t="shared" si="5"/>
        <v>073-901</v>
      </c>
      <c r="C296" s="2978" t="s">
        <v>6288</v>
      </c>
      <c r="D296" s="2639">
        <v>95044630</v>
      </c>
      <c r="E296" s="2639">
        <v>91379961</v>
      </c>
      <c r="F296" s="2639">
        <v>95044630</v>
      </c>
      <c r="G296" s="2639">
        <v>91379961</v>
      </c>
      <c r="H296" s="2639">
        <v>95044630</v>
      </c>
      <c r="I296" s="2639">
        <v>91379961</v>
      </c>
      <c r="J296" s="2639">
        <v>95044630</v>
      </c>
      <c r="K296" s="2639">
        <v>91379961</v>
      </c>
      <c r="L296" s="2639">
        <v>11569669</v>
      </c>
      <c r="M296" s="2639">
        <v>0</v>
      </c>
    </row>
    <row r="297" spans="1:13" ht="14.5">
      <c r="A297" s="2977" t="s">
        <v>9700</v>
      </c>
      <c r="B297" s="2113" t="str">
        <f t="shared" si="5"/>
        <v>073-903</v>
      </c>
      <c r="C297" s="2977" t="s">
        <v>6289</v>
      </c>
      <c r="D297" s="2637">
        <v>370866437</v>
      </c>
      <c r="E297" s="2637">
        <v>357887406</v>
      </c>
      <c r="F297" s="2637">
        <v>370866437</v>
      </c>
      <c r="G297" s="2637">
        <v>357887406</v>
      </c>
      <c r="H297" s="2637">
        <v>370866437</v>
      </c>
      <c r="I297" s="2637">
        <v>357887406</v>
      </c>
      <c r="J297" s="2637">
        <v>370866437</v>
      </c>
      <c r="K297" s="2637">
        <v>357887406</v>
      </c>
      <c r="L297" s="2637">
        <v>36934031</v>
      </c>
      <c r="M297" s="2637">
        <v>0</v>
      </c>
    </row>
    <row r="298" spans="1:13" ht="14.5">
      <c r="A298" s="2978" t="s">
        <v>9701</v>
      </c>
      <c r="B298" s="2113" t="str">
        <f t="shared" si="5"/>
        <v>073-904</v>
      </c>
      <c r="C298" s="2978" t="s">
        <v>6290</v>
      </c>
      <c r="D298" s="2639">
        <v>22669749</v>
      </c>
      <c r="E298" s="2639">
        <v>21567561</v>
      </c>
      <c r="F298" s="2639">
        <v>22669749</v>
      </c>
      <c r="G298" s="2639">
        <v>21567561</v>
      </c>
      <c r="H298" s="2639">
        <v>22669749</v>
      </c>
      <c r="I298" s="2639">
        <v>21567561</v>
      </c>
      <c r="J298" s="2639">
        <v>22669749</v>
      </c>
      <c r="K298" s="2639">
        <v>21567561</v>
      </c>
      <c r="L298" s="2639">
        <v>2947188</v>
      </c>
      <c r="M298" s="2639">
        <v>0</v>
      </c>
    </row>
    <row r="299" spans="1:13" ht="14.5">
      <c r="A299" s="2977" t="s">
        <v>9702</v>
      </c>
      <c r="B299" s="2113" t="str">
        <f t="shared" si="5"/>
        <v>073-905</v>
      </c>
      <c r="C299" s="2977" t="s">
        <v>6291</v>
      </c>
      <c r="D299" s="2637">
        <v>299612029</v>
      </c>
      <c r="E299" s="2637">
        <v>289866848</v>
      </c>
      <c r="F299" s="2637">
        <v>299612029</v>
      </c>
      <c r="G299" s="2637">
        <v>289866848</v>
      </c>
      <c r="H299" s="2637">
        <v>299612029</v>
      </c>
      <c r="I299" s="2637">
        <v>289866848</v>
      </c>
      <c r="J299" s="2637">
        <v>299612029</v>
      </c>
      <c r="K299" s="2637">
        <v>289866848</v>
      </c>
      <c r="L299" s="2637">
        <v>29920181</v>
      </c>
      <c r="M299" s="2637">
        <v>0</v>
      </c>
    </row>
    <row r="300" spans="1:13" ht="14.5">
      <c r="A300" s="2978" t="s">
        <v>9703</v>
      </c>
      <c r="B300" s="2113" t="str">
        <f t="shared" si="5"/>
        <v>074-903</v>
      </c>
      <c r="C300" s="2978" t="s">
        <v>6292</v>
      </c>
      <c r="D300" s="2639">
        <v>1046228460</v>
      </c>
      <c r="E300" s="2639">
        <v>1016899708</v>
      </c>
      <c r="F300" s="2639">
        <v>1046228460</v>
      </c>
      <c r="G300" s="2639">
        <v>1016899708</v>
      </c>
      <c r="H300" s="2639">
        <v>1086519190</v>
      </c>
      <c r="I300" s="2639">
        <v>1057190438</v>
      </c>
      <c r="J300" s="2639">
        <v>1086519190</v>
      </c>
      <c r="K300" s="2639">
        <v>1057190438</v>
      </c>
      <c r="L300" s="2639">
        <v>80688752</v>
      </c>
      <c r="M300" s="2639">
        <v>40290730</v>
      </c>
    </row>
    <row r="301" spans="1:13" ht="14.5">
      <c r="A301" s="2977" t="s">
        <v>9704</v>
      </c>
      <c r="B301" s="2113" t="str">
        <f t="shared" si="5"/>
        <v>074-904</v>
      </c>
      <c r="C301" s="2977" t="s">
        <v>6293</v>
      </c>
      <c r="D301" s="2637">
        <v>94034414</v>
      </c>
      <c r="E301" s="2637">
        <v>91572051</v>
      </c>
      <c r="F301" s="2637">
        <v>94034414</v>
      </c>
      <c r="G301" s="2637">
        <v>91572051</v>
      </c>
      <c r="H301" s="2637">
        <v>94034414</v>
      </c>
      <c r="I301" s="2637">
        <v>91572051</v>
      </c>
      <c r="J301" s="2637">
        <v>94034414</v>
      </c>
      <c r="K301" s="2637">
        <v>91572051</v>
      </c>
      <c r="L301" s="2637">
        <v>7397363</v>
      </c>
      <c r="M301" s="2637">
        <v>0</v>
      </c>
    </row>
    <row r="302" spans="1:13" ht="14.5">
      <c r="A302" s="2978" t="s">
        <v>9705</v>
      </c>
      <c r="B302" s="2113" t="str">
        <f t="shared" si="5"/>
        <v>074-905</v>
      </c>
      <c r="C302" s="2978" t="s">
        <v>6294</v>
      </c>
      <c r="D302" s="2639">
        <v>79263916</v>
      </c>
      <c r="E302" s="2639">
        <v>77091916</v>
      </c>
      <c r="F302" s="2639">
        <v>79263916</v>
      </c>
      <c r="G302" s="2639">
        <v>77091916</v>
      </c>
      <c r="H302" s="2639">
        <v>79263916</v>
      </c>
      <c r="I302" s="2639">
        <v>77091916</v>
      </c>
      <c r="J302" s="2639">
        <v>79263916</v>
      </c>
      <c r="K302" s="2639">
        <v>77091916</v>
      </c>
      <c r="L302" s="2639">
        <v>6537000</v>
      </c>
      <c r="M302" s="2639">
        <v>0</v>
      </c>
    </row>
    <row r="303" spans="1:13" ht="14.5">
      <c r="A303" s="2977" t="s">
        <v>9706</v>
      </c>
      <c r="B303" s="2113" t="str">
        <f t="shared" si="5"/>
        <v>074-907</v>
      </c>
      <c r="C303" s="2977" t="s">
        <v>6295</v>
      </c>
      <c r="D303" s="2637">
        <v>287439823</v>
      </c>
      <c r="E303" s="2637">
        <v>279900026</v>
      </c>
      <c r="F303" s="2637">
        <v>287439823</v>
      </c>
      <c r="G303" s="2637">
        <v>279900026</v>
      </c>
      <c r="H303" s="2637">
        <v>287439823</v>
      </c>
      <c r="I303" s="2637">
        <v>279900026</v>
      </c>
      <c r="J303" s="2637">
        <v>287439823</v>
      </c>
      <c r="K303" s="2637">
        <v>279900026</v>
      </c>
      <c r="L303" s="2637">
        <v>21534797</v>
      </c>
      <c r="M303" s="2637">
        <v>0</v>
      </c>
    </row>
    <row r="304" spans="1:13" ht="14.5">
      <c r="A304" s="2978" t="s">
        <v>9707</v>
      </c>
      <c r="B304" s="2113" t="str">
        <f t="shared" si="5"/>
        <v>074-909</v>
      </c>
      <c r="C304" s="2978" t="s">
        <v>6296</v>
      </c>
      <c r="D304" s="2639">
        <v>314708560</v>
      </c>
      <c r="E304" s="2639">
        <v>305927365</v>
      </c>
      <c r="F304" s="2639">
        <v>314708560</v>
      </c>
      <c r="G304" s="2639">
        <v>305927365</v>
      </c>
      <c r="H304" s="2639">
        <v>314708560</v>
      </c>
      <c r="I304" s="2639">
        <v>305927365</v>
      </c>
      <c r="J304" s="2639">
        <v>314708560</v>
      </c>
      <c r="K304" s="2639">
        <v>305927365</v>
      </c>
      <c r="L304" s="2639">
        <v>23766195</v>
      </c>
      <c r="M304" s="2639">
        <v>0</v>
      </c>
    </row>
    <row r="305" spans="1:13" ht="14.5">
      <c r="A305" s="2977" t="s">
        <v>9708</v>
      </c>
      <c r="B305" s="2113" t="str">
        <f t="shared" si="5"/>
        <v>074-911</v>
      </c>
      <c r="C305" s="2977" t="s">
        <v>6297</v>
      </c>
      <c r="D305" s="2637">
        <v>169726114</v>
      </c>
      <c r="E305" s="2637">
        <v>165125217</v>
      </c>
      <c r="F305" s="2637">
        <v>169726114</v>
      </c>
      <c r="G305" s="2637">
        <v>165125217</v>
      </c>
      <c r="H305" s="2637">
        <v>169726114</v>
      </c>
      <c r="I305" s="2637">
        <v>165125217</v>
      </c>
      <c r="J305" s="2637">
        <v>169726114</v>
      </c>
      <c r="K305" s="2637">
        <v>165125217</v>
      </c>
      <c r="L305" s="2637">
        <v>12895897</v>
      </c>
      <c r="M305" s="2637">
        <v>0</v>
      </c>
    </row>
    <row r="306" spans="1:13" ht="14.5">
      <c r="A306" s="2978" t="s">
        <v>9709</v>
      </c>
      <c r="B306" s="2113" t="str">
        <f t="shared" si="5"/>
        <v>074-912</v>
      </c>
      <c r="C306" s="2978" t="s">
        <v>6298</v>
      </c>
      <c r="D306" s="2639">
        <v>339816625</v>
      </c>
      <c r="E306" s="2639">
        <v>330855507</v>
      </c>
      <c r="F306" s="2639">
        <v>339816625</v>
      </c>
      <c r="G306" s="2639">
        <v>330855507</v>
      </c>
      <c r="H306" s="2639">
        <v>339816625</v>
      </c>
      <c r="I306" s="2639">
        <v>330855507</v>
      </c>
      <c r="J306" s="2639">
        <v>339816625</v>
      </c>
      <c r="K306" s="2639">
        <v>330855507</v>
      </c>
      <c r="L306" s="2639">
        <v>24306118</v>
      </c>
      <c r="M306" s="2639">
        <v>0</v>
      </c>
    </row>
    <row r="307" spans="1:13" ht="14.5">
      <c r="A307" s="2977" t="s">
        <v>9710</v>
      </c>
      <c r="B307" s="2113" t="str">
        <f t="shared" si="5"/>
        <v>074-917</v>
      </c>
      <c r="C307" s="2977" t="s">
        <v>6299</v>
      </c>
      <c r="D307" s="2637">
        <v>175771591</v>
      </c>
      <c r="E307" s="2637">
        <v>169336432</v>
      </c>
      <c r="F307" s="2637">
        <v>175771591</v>
      </c>
      <c r="G307" s="2637">
        <v>169336432</v>
      </c>
      <c r="H307" s="2637">
        <v>175771591</v>
      </c>
      <c r="I307" s="2637">
        <v>169336432</v>
      </c>
      <c r="J307" s="2637">
        <v>175771591</v>
      </c>
      <c r="K307" s="2637">
        <v>169336432</v>
      </c>
      <c r="L307" s="2637">
        <v>17985159</v>
      </c>
      <c r="M307" s="2637">
        <v>0</v>
      </c>
    </row>
    <row r="308" spans="1:13" ht="14.5">
      <c r="A308" s="2978" t="s">
        <v>9711</v>
      </c>
      <c r="B308" s="2113" t="str">
        <f t="shared" si="5"/>
        <v>075-901</v>
      </c>
      <c r="C308" s="2978" t="s">
        <v>6300</v>
      </c>
      <c r="D308" s="2639">
        <v>451828518</v>
      </c>
      <c r="E308" s="2639">
        <v>442296204</v>
      </c>
      <c r="F308" s="2639">
        <v>451828518</v>
      </c>
      <c r="G308" s="2639">
        <v>442296204</v>
      </c>
      <c r="H308" s="2639">
        <v>451828518</v>
      </c>
      <c r="I308" s="2639">
        <v>442296204</v>
      </c>
      <c r="J308" s="2639">
        <v>451828518</v>
      </c>
      <c r="K308" s="2639">
        <v>442296204</v>
      </c>
      <c r="L308" s="2639">
        <v>26677314</v>
      </c>
      <c r="M308" s="2639">
        <v>0</v>
      </c>
    </row>
    <row r="309" spans="1:13" ht="14.5">
      <c r="A309" s="2977" t="s">
        <v>9712</v>
      </c>
      <c r="B309" s="2113" t="str">
        <f t="shared" si="5"/>
        <v>075-902</v>
      </c>
      <c r="C309" s="2977" t="s">
        <v>6301</v>
      </c>
      <c r="D309" s="2637">
        <v>1363726542</v>
      </c>
      <c r="E309" s="2637">
        <v>1333278898</v>
      </c>
      <c r="F309" s="2637">
        <v>1363726542</v>
      </c>
      <c r="G309" s="2637">
        <v>1333278898</v>
      </c>
      <c r="H309" s="2637">
        <v>1363726542</v>
      </c>
      <c r="I309" s="2637">
        <v>1333278898</v>
      </c>
      <c r="J309" s="2637">
        <v>1363726542</v>
      </c>
      <c r="K309" s="2637">
        <v>1333278898</v>
      </c>
      <c r="L309" s="2637">
        <v>82167644</v>
      </c>
      <c r="M309" s="2637">
        <v>0</v>
      </c>
    </row>
    <row r="310" spans="1:13" ht="14.5">
      <c r="A310" s="2978" t="s">
        <v>9713</v>
      </c>
      <c r="B310" s="2113" t="str">
        <f t="shared" si="5"/>
        <v>075-903</v>
      </c>
      <c r="C310" s="2978" t="s">
        <v>6302</v>
      </c>
      <c r="D310" s="2639">
        <v>541144756</v>
      </c>
      <c r="E310" s="2639">
        <v>528567563</v>
      </c>
      <c r="F310" s="2639">
        <v>541144756</v>
      </c>
      <c r="G310" s="2639">
        <v>528567563</v>
      </c>
      <c r="H310" s="2639">
        <v>541144756</v>
      </c>
      <c r="I310" s="2639">
        <v>528567563</v>
      </c>
      <c r="J310" s="2639">
        <v>541144756</v>
      </c>
      <c r="K310" s="2639">
        <v>528567563</v>
      </c>
      <c r="L310" s="2639">
        <v>32917193</v>
      </c>
      <c r="M310" s="2639">
        <v>0</v>
      </c>
    </row>
    <row r="311" spans="1:13" ht="14.5">
      <c r="A311" s="2977" t="s">
        <v>9714</v>
      </c>
      <c r="B311" s="2113" t="str">
        <f t="shared" si="5"/>
        <v>075-906</v>
      </c>
      <c r="C311" s="2977" t="s">
        <v>6303</v>
      </c>
      <c r="D311" s="2637">
        <v>281273818</v>
      </c>
      <c r="E311" s="2637">
        <v>276123428</v>
      </c>
      <c r="F311" s="2637">
        <v>281273818</v>
      </c>
      <c r="G311" s="2637">
        <v>276123428</v>
      </c>
      <c r="H311" s="2637">
        <v>281273818</v>
      </c>
      <c r="I311" s="2637">
        <v>276123428</v>
      </c>
      <c r="J311" s="2637">
        <v>281273818</v>
      </c>
      <c r="K311" s="2637">
        <v>276123428</v>
      </c>
      <c r="L311" s="2637">
        <v>13610390</v>
      </c>
      <c r="M311" s="2637">
        <v>0</v>
      </c>
    </row>
    <row r="312" spans="1:13" ht="14.5">
      <c r="A312" s="2978" t="s">
        <v>9715</v>
      </c>
      <c r="B312" s="2113" t="str">
        <f t="shared" si="5"/>
        <v>075-908</v>
      </c>
      <c r="C312" s="2978" t="s">
        <v>6304</v>
      </c>
      <c r="D312" s="2639">
        <v>496730000</v>
      </c>
      <c r="E312" s="2639">
        <v>490672999</v>
      </c>
      <c r="F312" s="2639">
        <v>480979069</v>
      </c>
      <c r="G312" s="2639">
        <v>474922068</v>
      </c>
      <c r="H312" s="2639">
        <v>496730000</v>
      </c>
      <c r="I312" s="2639">
        <v>490672999</v>
      </c>
      <c r="J312" s="2639">
        <v>480979069</v>
      </c>
      <c r="K312" s="2639">
        <v>474922068</v>
      </c>
      <c r="L312" s="2639">
        <v>16752001</v>
      </c>
      <c r="M312" s="2639">
        <v>0</v>
      </c>
    </row>
    <row r="313" spans="1:13" ht="14.5">
      <c r="A313" s="2977" t="s">
        <v>9716</v>
      </c>
      <c r="B313" s="2113" t="str">
        <f t="shared" si="5"/>
        <v>076-903</v>
      </c>
      <c r="C313" s="2977" t="s">
        <v>6305</v>
      </c>
      <c r="D313" s="2637">
        <v>158845253</v>
      </c>
      <c r="E313" s="2637">
        <v>155411573</v>
      </c>
      <c r="F313" s="2637">
        <v>158845253</v>
      </c>
      <c r="G313" s="2637">
        <v>155411573</v>
      </c>
      <c r="H313" s="2637">
        <v>329027553</v>
      </c>
      <c r="I313" s="2637">
        <v>325593873</v>
      </c>
      <c r="J313" s="2637">
        <v>329027553</v>
      </c>
      <c r="K313" s="2637">
        <v>325593873</v>
      </c>
      <c r="L313" s="2637">
        <v>9583680</v>
      </c>
      <c r="M313" s="2637">
        <v>170182300</v>
      </c>
    </row>
    <row r="314" spans="1:13" ht="14.5">
      <c r="A314" s="2978" t="s">
        <v>9717</v>
      </c>
      <c r="B314" s="2113" t="str">
        <f t="shared" si="5"/>
        <v>076-904</v>
      </c>
      <c r="C314" s="2978" t="s">
        <v>6306</v>
      </c>
      <c r="D314" s="2639">
        <v>224071105</v>
      </c>
      <c r="E314" s="2639">
        <v>220004555</v>
      </c>
      <c r="F314" s="2639">
        <v>224071105</v>
      </c>
      <c r="G314" s="2639">
        <v>220004555</v>
      </c>
      <c r="H314" s="2639">
        <v>494787318</v>
      </c>
      <c r="I314" s="2639">
        <v>490720768</v>
      </c>
      <c r="J314" s="2639">
        <v>494787318</v>
      </c>
      <c r="K314" s="2639">
        <v>490720768</v>
      </c>
      <c r="L314" s="2639">
        <v>11581550</v>
      </c>
      <c r="M314" s="2639">
        <v>270716213</v>
      </c>
    </row>
    <row r="315" spans="1:13" ht="14.5">
      <c r="A315" s="2977" t="s">
        <v>9718</v>
      </c>
      <c r="B315" s="2113" t="str">
        <f t="shared" si="5"/>
        <v>077-901</v>
      </c>
      <c r="C315" s="2977" t="s">
        <v>6307</v>
      </c>
      <c r="D315" s="2637">
        <v>312770983</v>
      </c>
      <c r="E315" s="2637">
        <v>306262363</v>
      </c>
      <c r="F315" s="2637">
        <v>312770983</v>
      </c>
      <c r="G315" s="2637">
        <v>306262363</v>
      </c>
      <c r="H315" s="2637">
        <v>667510833</v>
      </c>
      <c r="I315" s="2637">
        <v>661002213</v>
      </c>
      <c r="J315" s="2637">
        <v>667510833</v>
      </c>
      <c r="K315" s="2637">
        <v>661002213</v>
      </c>
      <c r="L315" s="2637">
        <v>20488620</v>
      </c>
      <c r="M315" s="2637">
        <v>354739850</v>
      </c>
    </row>
    <row r="316" spans="1:13" ht="14.5">
      <c r="A316" s="2978" t="s">
        <v>9719</v>
      </c>
      <c r="B316" s="2113" t="str">
        <f t="shared" si="5"/>
        <v>077-902</v>
      </c>
      <c r="C316" s="2978" t="s">
        <v>6308</v>
      </c>
      <c r="D316" s="2639">
        <v>114387399</v>
      </c>
      <c r="E316" s="2639">
        <v>110312597</v>
      </c>
      <c r="F316" s="2639">
        <v>114387399</v>
      </c>
      <c r="G316" s="2639">
        <v>110312597</v>
      </c>
      <c r="H316" s="2639">
        <v>326000379</v>
      </c>
      <c r="I316" s="2639">
        <v>321925577</v>
      </c>
      <c r="J316" s="2639">
        <v>326000379</v>
      </c>
      <c r="K316" s="2639">
        <v>321925577</v>
      </c>
      <c r="L316" s="2639">
        <v>12144802</v>
      </c>
      <c r="M316" s="2639">
        <v>211612980</v>
      </c>
    </row>
    <row r="317" spans="1:13" ht="14.5">
      <c r="A317" s="2977" t="s">
        <v>9720</v>
      </c>
      <c r="B317" s="2113" t="str">
        <f t="shared" si="5"/>
        <v>078-901</v>
      </c>
      <c r="C317" s="2977" t="s">
        <v>6309</v>
      </c>
      <c r="D317" s="2637">
        <v>332165410</v>
      </c>
      <c r="E317" s="2637">
        <v>329787090</v>
      </c>
      <c r="F317" s="2637">
        <v>332165410</v>
      </c>
      <c r="G317" s="2637">
        <v>329787090</v>
      </c>
      <c r="H317" s="2637">
        <v>622199410</v>
      </c>
      <c r="I317" s="2637">
        <v>619821090</v>
      </c>
      <c r="J317" s="2637">
        <v>622199410</v>
      </c>
      <c r="K317" s="2637">
        <v>619821090</v>
      </c>
      <c r="L317" s="2637">
        <v>7178320</v>
      </c>
      <c r="M317" s="2637">
        <v>290034000</v>
      </c>
    </row>
    <row r="318" spans="1:13" ht="14.5">
      <c r="A318" s="2978" t="s">
        <v>9721</v>
      </c>
      <c r="B318" s="2113" t="str">
        <f t="shared" si="5"/>
        <v>079-901</v>
      </c>
      <c r="C318" s="2978" t="s">
        <v>6310</v>
      </c>
      <c r="D318" s="2639">
        <v>21259894874</v>
      </c>
      <c r="E318" s="2639">
        <v>20835749312</v>
      </c>
      <c r="F318" s="2639">
        <v>21259894874</v>
      </c>
      <c r="G318" s="2639">
        <v>20835749312</v>
      </c>
      <c r="H318" s="2639">
        <v>21259894874</v>
      </c>
      <c r="I318" s="2639">
        <v>20835749312</v>
      </c>
      <c r="J318" s="2639">
        <v>21259894874</v>
      </c>
      <c r="K318" s="2639">
        <v>20835749312</v>
      </c>
      <c r="L318" s="2639">
        <v>1114370562</v>
      </c>
      <c r="M318" s="2639">
        <v>0</v>
      </c>
    </row>
    <row r="319" spans="1:13" ht="14.5">
      <c r="A319" s="2977" t="s">
        <v>9722</v>
      </c>
      <c r="B319" s="2113" t="str">
        <f t="shared" si="5"/>
        <v>079-906</v>
      </c>
      <c r="C319" s="2977" t="s">
        <v>6311</v>
      </c>
      <c r="D319" s="2637">
        <v>1295080424</v>
      </c>
      <c r="E319" s="2637">
        <v>1261250707</v>
      </c>
      <c r="F319" s="2637">
        <v>1295080424</v>
      </c>
      <c r="G319" s="2637">
        <v>1261250707</v>
      </c>
      <c r="H319" s="2637">
        <v>1295080424</v>
      </c>
      <c r="I319" s="2637">
        <v>1261250707</v>
      </c>
      <c r="J319" s="2637">
        <v>1295080424</v>
      </c>
      <c r="K319" s="2637">
        <v>1261250707</v>
      </c>
      <c r="L319" s="2637">
        <v>89059717</v>
      </c>
      <c r="M319" s="2637">
        <v>0</v>
      </c>
    </row>
    <row r="320" spans="1:13" ht="14.5">
      <c r="A320" s="2978" t="s">
        <v>9723</v>
      </c>
      <c r="B320" s="2113" t="str">
        <f t="shared" si="5"/>
        <v>079-907</v>
      </c>
      <c r="C320" s="2978" t="s">
        <v>6312</v>
      </c>
      <c r="D320" s="2639">
        <v>47919735340</v>
      </c>
      <c r="E320" s="2639">
        <v>46978821499</v>
      </c>
      <c r="F320" s="2639">
        <v>47919735340</v>
      </c>
      <c r="G320" s="2639">
        <v>46978821499</v>
      </c>
      <c r="H320" s="2639">
        <v>47919735340</v>
      </c>
      <c r="I320" s="2639">
        <v>46978821499</v>
      </c>
      <c r="J320" s="2639">
        <v>47919735340</v>
      </c>
      <c r="K320" s="2639">
        <v>46978821499</v>
      </c>
      <c r="L320" s="2639">
        <v>2444228841</v>
      </c>
      <c r="M320" s="2639">
        <v>0</v>
      </c>
    </row>
    <row r="321" spans="1:13" ht="14.5">
      <c r="A321" s="2977" t="s">
        <v>9724</v>
      </c>
      <c r="B321" s="2113" t="str">
        <f t="shared" si="5"/>
        <v>079-910</v>
      </c>
      <c r="C321" s="2977" t="s">
        <v>6313</v>
      </c>
      <c r="D321" s="2637">
        <v>3187123761</v>
      </c>
      <c r="E321" s="2637">
        <v>3163542823</v>
      </c>
      <c r="F321" s="2637">
        <v>3131054651</v>
      </c>
      <c r="G321" s="2637">
        <v>3107473713</v>
      </c>
      <c r="H321" s="2637">
        <v>3187123761</v>
      </c>
      <c r="I321" s="2637">
        <v>3163542823</v>
      </c>
      <c r="J321" s="2637">
        <v>3131054651</v>
      </c>
      <c r="K321" s="2637">
        <v>3107473713</v>
      </c>
      <c r="L321" s="2637">
        <v>62235938</v>
      </c>
      <c r="M321" s="2637">
        <v>0</v>
      </c>
    </row>
    <row r="322" spans="1:13" ht="14.5">
      <c r="A322" s="2978" t="s">
        <v>9725</v>
      </c>
      <c r="B322" s="2113" t="str">
        <f t="shared" si="5"/>
        <v>080-901</v>
      </c>
      <c r="C322" s="2978" t="s">
        <v>6314</v>
      </c>
      <c r="D322" s="2639">
        <v>1435385108</v>
      </c>
      <c r="E322" s="2639">
        <v>1414221873</v>
      </c>
      <c r="F322" s="2639">
        <v>1435385108</v>
      </c>
      <c r="G322" s="2639">
        <v>1414221873</v>
      </c>
      <c r="H322" s="2639">
        <v>1435385108</v>
      </c>
      <c r="I322" s="2639">
        <v>1414221873</v>
      </c>
      <c r="J322" s="2639">
        <v>1435385108</v>
      </c>
      <c r="K322" s="2639">
        <v>1414221873</v>
      </c>
      <c r="L322" s="2639">
        <v>55618235</v>
      </c>
      <c r="M322" s="2639">
        <v>0</v>
      </c>
    </row>
    <row r="323" spans="1:13" ht="14.5">
      <c r="A323" s="2977" t="s">
        <v>10599</v>
      </c>
      <c r="B323" s="2113" t="str">
        <f t="shared" si="5"/>
        <v>081-902</v>
      </c>
      <c r="C323" s="2977" t="s">
        <v>6315</v>
      </c>
      <c r="D323" s="2637">
        <v>1293591948</v>
      </c>
      <c r="E323" s="2637">
        <v>1273273010</v>
      </c>
      <c r="F323" s="2637">
        <v>1293591948</v>
      </c>
      <c r="G323" s="2637">
        <v>1273273010</v>
      </c>
      <c r="H323" s="2637">
        <v>1293591948</v>
      </c>
      <c r="I323" s="2637">
        <v>1273273010</v>
      </c>
      <c r="J323" s="2637">
        <v>1293591948</v>
      </c>
      <c r="K323" s="2637">
        <v>1273273010</v>
      </c>
      <c r="L323" s="2637">
        <v>60338938</v>
      </c>
      <c r="M323" s="2637">
        <v>0</v>
      </c>
    </row>
    <row r="324" spans="1:13" ht="14.5">
      <c r="A324" s="2978" t="s">
        <v>9726</v>
      </c>
      <c r="B324" s="2113" t="str">
        <f t="shared" si="5"/>
        <v>081-904</v>
      </c>
      <c r="C324" s="2978" t="s">
        <v>6316</v>
      </c>
      <c r="D324" s="2639">
        <v>760317392</v>
      </c>
      <c r="E324" s="2639">
        <v>748987669</v>
      </c>
      <c r="F324" s="2639">
        <v>760317392</v>
      </c>
      <c r="G324" s="2639">
        <v>748987669</v>
      </c>
      <c r="H324" s="2639">
        <v>760317392</v>
      </c>
      <c r="I324" s="2639">
        <v>748987669</v>
      </c>
      <c r="J324" s="2639">
        <v>760317392</v>
      </c>
      <c r="K324" s="2639">
        <v>748987669</v>
      </c>
      <c r="L324" s="2639">
        <v>33514723</v>
      </c>
      <c r="M324" s="2639">
        <v>0</v>
      </c>
    </row>
    <row r="325" spans="1:13" ht="14.5">
      <c r="A325" s="2977" t="s">
        <v>10600</v>
      </c>
      <c r="B325" s="2113" t="str">
        <f t="shared" ref="B325:B388" si="6">CONCATENATE(RIGHT(LEFT(CONCATENATE("000",A325),6),3),"-",(LEFT(RIGHT(CONCATENATE("000",A325),6),3)))</f>
        <v>081-905</v>
      </c>
      <c r="C325" s="2977" t="s">
        <v>6317</v>
      </c>
      <c r="D325" s="2637">
        <v>202079317</v>
      </c>
      <c r="E325" s="2637">
        <v>198178887</v>
      </c>
      <c r="F325" s="2637">
        <v>202079317</v>
      </c>
      <c r="G325" s="2637">
        <v>198178887</v>
      </c>
      <c r="H325" s="2637">
        <v>202079317</v>
      </c>
      <c r="I325" s="2637">
        <v>198178887</v>
      </c>
      <c r="J325" s="2637">
        <v>202079317</v>
      </c>
      <c r="K325" s="2637">
        <v>198178887</v>
      </c>
      <c r="L325" s="2637">
        <v>11295430</v>
      </c>
      <c r="M325" s="2637">
        <v>0</v>
      </c>
    </row>
    <row r="326" spans="1:13" ht="14.5">
      <c r="A326" s="2978" t="s">
        <v>9727</v>
      </c>
      <c r="B326" s="2113" t="str">
        <f t="shared" si="6"/>
        <v>081-906</v>
      </c>
      <c r="C326" s="2978" t="s">
        <v>6318</v>
      </c>
      <c r="D326" s="2639">
        <v>167137571</v>
      </c>
      <c r="E326" s="2639">
        <v>165232475</v>
      </c>
      <c r="F326" s="2639">
        <v>167137571</v>
      </c>
      <c r="G326" s="2639">
        <v>165232475</v>
      </c>
      <c r="H326" s="2639">
        <v>167137571</v>
      </c>
      <c r="I326" s="2639">
        <v>165232475</v>
      </c>
      <c r="J326" s="2639">
        <v>167137571</v>
      </c>
      <c r="K326" s="2639">
        <v>165232475</v>
      </c>
      <c r="L326" s="2639">
        <v>5745096</v>
      </c>
      <c r="M326" s="2639">
        <v>0</v>
      </c>
    </row>
    <row r="327" spans="1:13" ht="14.5">
      <c r="A327" s="2977" t="s">
        <v>9728</v>
      </c>
      <c r="B327" s="2113" t="str">
        <f t="shared" si="6"/>
        <v>082-902</v>
      </c>
      <c r="C327" s="2977" t="s">
        <v>6319</v>
      </c>
      <c r="D327" s="2637">
        <v>1096757760</v>
      </c>
      <c r="E327" s="2637">
        <v>1092435750</v>
      </c>
      <c r="F327" s="2637">
        <v>1096757760</v>
      </c>
      <c r="G327" s="2637">
        <v>1092435750</v>
      </c>
      <c r="H327" s="2637">
        <v>1096757760</v>
      </c>
      <c r="I327" s="2637">
        <v>1092435750</v>
      </c>
      <c r="J327" s="2637">
        <v>1096757760</v>
      </c>
      <c r="K327" s="2637">
        <v>1092435750</v>
      </c>
      <c r="L327" s="2637">
        <v>14957010</v>
      </c>
      <c r="M327" s="2637">
        <v>0</v>
      </c>
    </row>
    <row r="328" spans="1:13" ht="14.5">
      <c r="A328" s="2978" t="s">
        <v>9729</v>
      </c>
      <c r="B328" s="2113" t="str">
        <f t="shared" si="6"/>
        <v>082-903</v>
      </c>
      <c r="C328" s="2978" t="s">
        <v>6320</v>
      </c>
      <c r="D328" s="2639">
        <v>1143108833</v>
      </c>
      <c r="E328" s="2639">
        <v>1128794633</v>
      </c>
      <c r="F328" s="2639">
        <v>1143108833</v>
      </c>
      <c r="G328" s="2639">
        <v>1128794633</v>
      </c>
      <c r="H328" s="2639">
        <v>1143108833</v>
      </c>
      <c r="I328" s="2639">
        <v>1128794633</v>
      </c>
      <c r="J328" s="2639">
        <v>1143108833</v>
      </c>
      <c r="K328" s="2639">
        <v>1128794633</v>
      </c>
      <c r="L328" s="2639">
        <v>45004200</v>
      </c>
      <c r="M328" s="2639">
        <v>0</v>
      </c>
    </row>
    <row r="329" spans="1:13" ht="14.5">
      <c r="A329" s="2977" t="s">
        <v>9730</v>
      </c>
      <c r="B329" s="2113" t="str">
        <f t="shared" si="6"/>
        <v>083-901</v>
      </c>
      <c r="C329" s="2977" t="s">
        <v>6321</v>
      </c>
      <c r="D329" s="2637">
        <v>180638553</v>
      </c>
      <c r="E329" s="2637">
        <v>176044562</v>
      </c>
      <c r="F329" s="2637">
        <v>180638553</v>
      </c>
      <c r="G329" s="2637">
        <v>176044562</v>
      </c>
      <c r="H329" s="2637">
        <v>180638553</v>
      </c>
      <c r="I329" s="2637">
        <v>176044562</v>
      </c>
      <c r="J329" s="2637">
        <v>180638553</v>
      </c>
      <c r="K329" s="2637">
        <v>176044562</v>
      </c>
      <c r="L329" s="2637">
        <v>12738991</v>
      </c>
      <c r="M329" s="2637">
        <v>0</v>
      </c>
    </row>
    <row r="330" spans="1:13" ht="14.5">
      <c r="A330" s="2978" t="s">
        <v>9731</v>
      </c>
      <c r="B330" s="2113" t="str">
        <f t="shared" si="6"/>
        <v>083-902</v>
      </c>
      <c r="C330" s="2978" t="s">
        <v>6322</v>
      </c>
      <c r="D330" s="2639">
        <v>150581504</v>
      </c>
      <c r="E330" s="2639">
        <v>149760050</v>
      </c>
      <c r="F330" s="2639">
        <v>149369558</v>
      </c>
      <c r="G330" s="2639">
        <v>148548104</v>
      </c>
      <c r="H330" s="2639">
        <v>150581504</v>
      </c>
      <c r="I330" s="2639">
        <v>149760050</v>
      </c>
      <c r="J330" s="2639">
        <v>149369558</v>
      </c>
      <c r="K330" s="2639">
        <v>148548104</v>
      </c>
      <c r="L330" s="2639">
        <v>2216454</v>
      </c>
      <c r="M330" s="2639">
        <v>0</v>
      </c>
    </row>
    <row r="331" spans="1:13" ht="14.5">
      <c r="A331" s="2977" t="s">
        <v>9732</v>
      </c>
      <c r="B331" s="2113" t="str">
        <f t="shared" si="6"/>
        <v>083-903</v>
      </c>
      <c r="C331" s="2977" t="s">
        <v>6323</v>
      </c>
      <c r="D331" s="2637">
        <v>2957011597</v>
      </c>
      <c r="E331" s="2637">
        <v>2930269210</v>
      </c>
      <c r="F331" s="2637">
        <v>2957011597</v>
      </c>
      <c r="G331" s="2637">
        <v>2930269210</v>
      </c>
      <c r="H331" s="2637">
        <v>2957011597</v>
      </c>
      <c r="I331" s="2637">
        <v>2930269210</v>
      </c>
      <c r="J331" s="2637">
        <v>2957011597</v>
      </c>
      <c r="K331" s="2637">
        <v>2930269210</v>
      </c>
      <c r="L331" s="2637">
        <v>79092387</v>
      </c>
      <c r="M331" s="2637">
        <v>0</v>
      </c>
    </row>
    <row r="332" spans="1:13" ht="14.5">
      <c r="A332" s="2978" t="s">
        <v>9733</v>
      </c>
      <c r="B332" s="2113" t="str">
        <f t="shared" si="6"/>
        <v>084-901</v>
      </c>
      <c r="C332" s="2978" t="s">
        <v>6324</v>
      </c>
      <c r="D332" s="2639">
        <v>5984522034</v>
      </c>
      <c r="E332" s="2639">
        <v>5849468641</v>
      </c>
      <c r="F332" s="2639">
        <v>5984522034</v>
      </c>
      <c r="G332" s="2639">
        <v>5849468641</v>
      </c>
      <c r="H332" s="2639">
        <v>5984522034</v>
      </c>
      <c r="I332" s="2639">
        <v>5849468641</v>
      </c>
      <c r="J332" s="2639">
        <v>5984522034</v>
      </c>
      <c r="K332" s="2639">
        <v>5849468641</v>
      </c>
      <c r="L332" s="2639">
        <v>358673393</v>
      </c>
      <c r="M332" s="2639">
        <v>0</v>
      </c>
    </row>
    <row r="333" spans="1:13" ht="14.5">
      <c r="A333" s="2977" t="s">
        <v>9734</v>
      </c>
      <c r="B333" s="2113" t="str">
        <f t="shared" si="6"/>
        <v>084-902</v>
      </c>
      <c r="C333" s="2977" t="s">
        <v>6325</v>
      </c>
      <c r="D333" s="2637">
        <v>10599101945</v>
      </c>
      <c r="E333" s="2637">
        <v>10491181089</v>
      </c>
      <c r="F333" s="2637">
        <v>10321319409</v>
      </c>
      <c r="G333" s="2637">
        <v>10213398553</v>
      </c>
      <c r="H333" s="2637">
        <v>10599101945</v>
      </c>
      <c r="I333" s="2637">
        <v>10491181089</v>
      </c>
      <c r="J333" s="2637">
        <v>10321319409</v>
      </c>
      <c r="K333" s="2637">
        <v>10213398553</v>
      </c>
      <c r="L333" s="2637">
        <v>271975856</v>
      </c>
      <c r="M333" s="2637">
        <v>0</v>
      </c>
    </row>
    <row r="334" spans="1:13" ht="14.5">
      <c r="A334" s="2978" t="s">
        <v>9735</v>
      </c>
      <c r="B334" s="2113" t="str">
        <f t="shared" si="6"/>
        <v>084-903</v>
      </c>
      <c r="C334" s="2978" t="s">
        <v>6326</v>
      </c>
      <c r="D334" s="2639">
        <v>184307662</v>
      </c>
      <c r="E334" s="2639">
        <v>183011248</v>
      </c>
      <c r="F334" s="2639">
        <v>183732666</v>
      </c>
      <c r="G334" s="2639">
        <v>182436252</v>
      </c>
      <c r="H334" s="2639">
        <v>184307662</v>
      </c>
      <c r="I334" s="2639">
        <v>183011248</v>
      </c>
      <c r="J334" s="2639">
        <v>183732666</v>
      </c>
      <c r="K334" s="2639">
        <v>182436252</v>
      </c>
      <c r="L334" s="2639">
        <v>3621414</v>
      </c>
      <c r="M334" s="2639">
        <v>0</v>
      </c>
    </row>
    <row r="335" spans="1:13" ht="14.5">
      <c r="A335" s="2977" t="s">
        <v>9736</v>
      </c>
      <c r="B335" s="2113" t="str">
        <f t="shared" si="6"/>
        <v>084-906</v>
      </c>
      <c r="C335" s="2977" t="s">
        <v>6327</v>
      </c>
      <c r="D335" s="2637">
        <v>6116991356</v>
      </c>
      <c r="E335" s="2637">
        <v>6000645090</v>
      </c>
      <c r="F335" s="2637">
        <v>5935631837</v>
      </c>
      <c r="G335" s="2637">
        <v>5819285571</v>
      </c>
      <c r="H335" s="2637">
        <v>6116991356</v>
      </c>
      <c r="I335" s="2637">
        <v>6000645090</v>
      </c>
      <c r="J335" s="2637">
        <v>5935631837</v>
      </c>
      <c r="K335" s="2637">
        <v>5819285571</v>
      </c>
      <c r="L335" s="2637">
        <v>293961266</v>
      </c>
      <c r="M335" s="2637">
        <v>0</v>
      </c>
    </row>
    <row r="336" spans="1:13" ht="14.5">
      <c r="A336" s="2978" t="s">
        <v>9737</v>
      </c>
      <c r="B336" s="2113" t="str">
        <f t="shared" si="6"/>
        <v>084-908</v>
      </c>
      <c r="C336" s="2978" t="s">
        <v>6328</v>
      </c>
      <c r="D336" s="2639">
        <v>1102321944</v>
      </c>
      <c r="E336" s="2639">
        <v>1076951888</v>
      </c>
      <c r="F336" s="2639">
        <v>1102321944</v>
      </c>
      <c r="G336" s="2639">
        <v>1076951888</v>
      </c>
      <c r="H336" s="2639">
        <v>1102321944</v>
      </c>
      <c r="I336" s="2639">
        <v>1076951888</v>
      </c>
      <c r="J336" s="2639">
        <v>1102321944</v>
      </c>
      <c r="K336" s="2639">
        <v>1076951888</v>
      </c>
      <c r="L336" s="2639">
        <v>66110056</v>
      </c>
      <c r="M336" s="2639">
        <v>0</v>
      </c>
    </row>
    <row r="337" spans="1:13" ht="14.5">
      <c r="A337" s="2977" t="s">
        <v>9738</v>
      </c>
      <c r="B337" s="2113" t="str">
        <f t="shared" si="6"/>
        <v>084-909</v>
      </c>
      <c r="C337" s="2977" t="s">
        <v>6329</v>
      </c>
      <c r="D337" s="2637">
        <v>2169616835</v>
      </c>
      <c r="E337" s="2637">
        <v>2101599988</v>
      </c>
      <c r="F337" s="2637">
        <v>2169616835</v>
      </c>
      <c r="G337" s="2637">
        <v>2101599988</v>
      </c>
      <c r="H337" s="2637">
        <v>2169616835</v>
      </c>
      <c r="I337" s="2637">
        <v>2101599988</v>
      </c>
      <c r="J337" s="2637">
        <v>2169616835</v>
      </c>
      <c r="K337" s="2637">
        <v>2101599988</v>
      </c>
      <c r="L337" s="2637">
        <v>186006847</v>
      </c>
      <c r="M337" s="2637">
        <v>0</v>
      </c>
    </row>
    <row r="338" spans="1:13" ht="14.5">
      <c r="A338" s="2978" t="s">
        <v>9739</v>
      </c>
      <c r="B338" s="2113" t="str">
        <f t="shared" si="6"/>
        <v>084-910</v>
      </c>
      <c r="C338" s="2978" t="s">
        <v>6330</v>
      </c>
      <c r="D338" s="2639">
        <v>29179447054</v>
      </c>
      <c r="E338" s="2639">
        <v>28617832836</v>
      </c>
      <c r="F338" s="2639">
        <v>28753857141</v>
      </c>
      <c r="G338" s="2639">
        <v>28192242923</v>
      </c>
      <c r="H338" s="2639">
        <v>29310875654</v>
      </c>
      <c r="I338" s="2639">
        <v>28749261436</v>
      </c>
      <c r="J338" s="2639">
        <v>28885285741</v>
      </c>
      <c r="K338" s="2639">
        <v>28323671523</v>
      </c>
      <c r="L338" s="2639">
        <v>1411649218</v>
      </c>
      <c r="M338" s="2639">
        <v>131428600</v>
      </c>
    </row>
    <row r="339" spans="1:13" ht="14.5">
      <c r="A339" s="2977" t="s">
        <v>9740</v>
      </c>
      <c r="B339" s="2113" t="str">
        <f t="shared" si="6"/>
        <v>084-911</v>
      </c>
      <c r="C339" s="2977" t="s">
        <v>6331</v>
      </c>
      <c r="D339" s="2637">
        <v>4010207010</v>
      </c>
      <c r="E339" s="2637">
        <v>3925500830</v>
      </c>
      <c r="F339" s="2637">
        <v>4010207010</v>
      </c>
      <c r="G339" s="2637">
        <v>3925500830</v>
      </c>
      <c r="H339" s="2637">
        <v>4010207010</v>
      </c>
      <c r="I339" s="2637">
        <v>3925500830</v>
      </c>
      <c r="J339" s="2637">
        <v>4010207010</v>
      </c>
      <c r="K339" s="2637">
        <v>3925500830</v>
      </c>
      <c r="L339" s="2637">
        <v>213241180</v>
      </c>
      <c r="M339" s="2637">
        <v>0</v>
      </c>
    </row>
    <row r="340" spans="1:13" ht="14.5">
      <c r="A340" s="2978" t="s">
        <v>9741</v>
      </c>
      <c r="B340" s="2113" t="str">
        <f t="shared" si="6"/>
        <v>085-902</v>
      </c>
      <c r="C340" s="2978" t="s">
        <v>6332</v>
      </c>
      <c r="D340" s="2639">
        <v>384944085</v>
      </c>
      <c r="E340" s="2639">
        <v>376874524</v>
      </c>
      <c r="F340" s="2639">
        <v>384944085</v>
      </c>
      <c r="G340" s="2639">
        <v>376874524</v>
      </c>
      <c r="H340" s="2639">
        <v>384944085</v>
      </c>
      <c r="I340" s="2639">
        <v>376874524</v>
      </c>
      <c r="J340" s="2639">
        <v>384944085</v>
      </c>
      <c r="K340" s="2639">
        <v>376874524</v>
      </c>
      <c r="L340" s="2639">
        <v>23024561</v>
      </c>
      <c r="M340" s="2639">
        <v>0</v>
      </c>
    </row>
    <row r="341" spans="1:13" ht="14.5">
      <c r="A341" s="2977" t="s">
        <v>9742</v>
      </c>
      <c r="B341" s="2113" t="str">
        <f t="shared" si="6"/>
        <v>085-903</v>
      </c>
      <c r="C341" s="2977" t="s">
        <v>6333</v>
      </c>
      <c r="D341" s="2637">
        <v>71943238</v>
      </c>
      <c r="E341" s="2637">
        <v>71398921</v>
      </c>
      <c r="F341" s="2637">
        <v>71943238</v>
      </c>
      <c r="G341" s="2637">
        <v>71398921</v>
      </c>
      <c r="H341" s="2637">
        <v>210721357</v>
      </c>
      <c r="I341" s="2637">
        <v>210177040</v>
      </c>
      <c r="J341" s="2637">
        <v>210721357</v>
      </c>
      <c r="K341" s="2637">
        <v>210177040</v>
      </c>
      <c r="L341" s="2637">
        <v>1564317</v>
      </c>
      <c r="M341" s="2637">
        <v>138778119</v>
      </c>
    </row>
    <row r="342" spans="1:13" ht="14.5">
      <c r="A342" s="2978" t="s">
        <v>9743</v>
      </c>
      <c r="B342" s="2113" t="str">
        <f t="shared" si="6"/>
        <v>086-024</v>
      </c>
      <c r="C342" s="2978" t="s">
        <v>6334</v>
      </c>
      <c r="D342" s="2639">
        <v>68055887</v>
      </c>
      <c r="E342" s="2639">
        <v>67151897</v>
      </c>
      <c r="F342" s="2639">
        <v>68055887</v>
      </c>
      <c r="G342" s="2639">
        <v>67151897</v>
      </c>
      <c r="H342" s="2639">
        <v>68055887</v>
      </c>
      <c r="I342" s="2639">
        <v>67151897</v>
      </c>
      <c r="J342" s="2639">
        <v>68055887</v>
      </c>
      <c r="K342" s="2639">
        <v>67151897</v>
      </c>
      <c r="L342" s="2639">
        <v>2298990</v>
      </c>
      <c r="M342" s="2639">
        <v>0</v>
      </c>
    </row>
    <row r="343" spans="1:13" ht="14.5">
      <c r="A343" s="2977" t="s">
        <v>9744</v>
      </c>
      <c r="B343" s="2113" t="str">
        <f t="shared" si="6"/>
        <v>086-901</v>
      </c>
      <c r="C343" s="2977" t="s">
        <v>6335</v>
      </c>
      <c r="D343" s="2637">
        <v>5323492509</v>
      </c>
      <c r="E343" s="2637">
        <v>5260570354</v>
      </c>
      <c r="F343" s="2637">
        <v>5323492509</v>
      </c>
      <c r="G343" s="2637">
        <v>5260570354</v>
      </c>
      <c r="H343" s="2637">
        <v>5323492509</v>
      </c>
      <c r="I343" s="2637">
        <v>5260570354</v>
      </c>
      <c r="J343" s="2637">
        <v>5323492509</v>
      </c>
      <c r="K343" s="2637">
        <v>5260570354</v>
      </c>
      <c r="L343" s="2637">
        <v>160977155</v>
      </c>
      <c r="M343" s="2637">
        <v>0</v>
      </c>
    </row>
    <row r="344" spans="1:13" ht="14.5">
      <c r="A344" s="2978" t="s">
        <v>9745</v>
      </c>
      <c r="B344" s="2113" t="str">
        <f t="shared" si="6"/>
        <v>086-902</v>
      </c>
      <c r="C344" s="2978" t="s">
        <v>6336</v>
      </c>
      <c r="D344" s="2639">
        <v>682470494</v>
      </c>
      <c r="E344" s="2639">
        <v>669608410</v>
      </c>
      <c r="F344" s="2639">
        <v>682470494</v>
      </c>
      <c r="G344" s="2639">
        <v>669608410</v>
      </c>
      <c r="H344" s="2639">
        <v>682470494</v>
      </c>
      <c r="I344" s="2639">
        <v>669608410</v>
      </c>
      <c r="J344" s="2639">
        <v>682470494</v>
      </c>
      <c r="K344" s="2639">
        <v>669608410</v>
      </c>
      <c r="L344" s="2639">
        <v>34012084</v>
      </c>
      <c r="M344" s="2639">
        <v>0</v>
      </c>
    </row>
    <row r="345" spans="1:13" ht="14.5">
      <c r="A345" s="2977" t="s">
        <v>10601</v>
      </c>
      <c r="B345" s="2113" t="str">
        <f t="shared" si="6"/>
        <v>087-901</v>
      </c>
      <c r="C345" s="2977" t="s">
        <v>6337</v>
      </c>
      <c r="D345" s="2637">
        <v>3973753802</v>
      </c>
      <c r="E345" s="2637">
        <v>3971485984</v>
      </c>
      <c r="F345" s="2637">
        <v>3971000229</v>
      </c>
      <c r="G345" s="2637">
        <v>3968732411</v>
      </c>
      <c r="H345" s="2637">
        <v>4509439902</v>
      </c>
      <c r="I345" s="2637">
        <v>4507172084</v>
      </c>
      <c r="J345" s="2637">
        <v>4506686329</v>
      </c>
      <c r="K345" s="2637">
        <v>4504418511</v>
      </c>
      <c r="L345" s="2637">
        <v>6257818</v>
      </c>
      <c r="M345" s="2637">
        <v>535686100</v>
      </c>
    </row>
    <row r="346" spans="1:13" ht="14.5">
      <c r="A346" s="2978" t="s">
        <v>9746</v>
      </c>
      <c r="B346" s="2113" t="str">
        <f t="shared" si="6"/>
        <v>088-902</v>
      </c>
      <c r="C346" s="2978" t="s">
        <v>6338</v>
      </c>
      <c r="D346" s="2639">
        <v>883394168</v>
      </c>
      <c r="E346" s="2639">
        <v>866831951</v>
      </c>
      <c r="F346" s="2639">
        <v>855440111</v>
      </c>
      <c r="G346" s="2639">
        <v>838877894</v>
      </c>
      <c r="H346" s="2639">
        <v>1012508258</v>
      </c>
      <c r="I346" s="2639">
        <v>995946041</v>
      </c>
      <c r="J346" s="2639">
        <v>984554201</v>
      </c>
      <c r="K346" s="2639">
        <v>967991984</v>
      </c>
      <c r="L346" s="2639">
        <v>51662217</v>
      </c>
      <c r="M346" s="2639">
        <v>129114090</v>
      </c>
    </row>
    <row r="347" spans="1:13" ht="14.5">
      <c r="A347" s="2977" t="s">
        <v>9747</v>
      </c>
      <c r="B347" s="2113" t="str">
        <f t="shared" si="6"/>
        <v>089-901</v>
      </c>
      <c r="C347" s="2977" t="s">
        <v>6339</v>
      </c>
      <c r="D347" s="2637">
        <v>1761559052</v>
      </c>
      <c r="E347" s="2637">
        <v>1739518635</v>
      </c>
      <c r="F347" s="2637">
        <v>1761559052</v>
      </c>
      <c r="G347" s="2637">
        <v>1739518635</v>
      </c>
      <c r="H347" s="2637">
        <v>1761559052</v>
      </c>
      <c r="I347" s="2637">
        <v>1739518635</v>
      </c>
      <c r="J347" s="2637">
        <v>1761559052</v>
      </c>
      <c r="K347" s="2637">
        <v>1739518635</v>
      </c>
      <c r="L347" s="2637">
        <v>59900417</v>
      </c>
      <c r="M347" s="2637">
        <v>0</v>
      </c>
    </row>
    <row r="348" spans="1:13" ht="14.5">
      <c r="A348" s="2978" t="s">
        <v>9748</v>
      </c>
      <c r="B348" s="2113" t="str">
        <f t="shared" si="6"/>
        <v>089-903</v>
      </c>
      <c r="C348" s="2978" t="s">
        <v>6340</v>
      </c>
      <c r="D348" s="2639">
        <v>855273097</v>
      </c>
      <c r="E348" s="2639">
        <v>847540510</v>
      </c>
      <c r="F348" s="2639">
        <v>845862673</v>
      </c>
      <c r="G348" s="2639">
        <v>838130086</v>
      </c>
      <c r="H348" s="2639">
        <v>855273097</v>
      </c>
      <c r="I348" s="2639">
        <v>847540510</v>
      </c>
      <c r="J348" s="2639">
        <v>845862673</v>
      </c>
      <c r="K348" s="2639">
        <v>838130086</v>
      </c>
      <c r="L348" s="2639">
        <v>21862587</v>
      </c>
      <c r="M348" s="2639">
        <v>0</v>
      </c>
    </row>
    <row r="349" spans="1:13" ht="14.5">
      <c r="A349" s="2977" t="s">
        <v>9749</v>
      </c>
      <c r="B349" s="2113" t="str">
        <f t="shared" si="6"/>
        <v>089-905</v>
      </c>
      <c r="C349" s="2977" t="s">
        <v>6341</v>
      </c>
      <c r="D349" s="2637">
        <v>280578014</v>
      </c>
      <c r="E349" s="2637">
        <v>277725916</v>
      </c>
      <c r="F349" s="2637">
        <v>280578014</v>
      </c>
      <c r="G349" s="2637">
        <v>277725916</v>
      </c>
      <c r="H349" s="2637">
        <v>280578014</v>
      </c>
      <c r="I349" s="2637">
        <v>277725916</v>
      </c>
      <c r="J349" s="2637">
        <v>280578014</v>
      </c>
      <c r="K349" s="2637">
        <v>277725916</v>
      </c>
      <c r="L349" s="2637">
        <v>8597098</v>
      </c>
      <c r="M349" s="2637">
        <v>0</v>
      </c>
    </row>
    <row r="350" spans="1:13" ht="14.5">
      <c r="A350" s="2978" t="s">
        <v>9750</v>
      </c>
      <c r="B350" s="2113" t="str">
        <f t="shared" si="6"/>
        <v>090-902</v>
      </c>
      <c r="C350" s="2978" t="s">
        <v>6342</v>
      </c>
      <c r="D350" s="2639">
        <v>79927201</v>
      </c>
      <c r="E350" s="2639">
        <v>79199101</v>
      </c>
      <c r="F350" s="2639">
        <v>79927201</v>
      </c>
      <c r="G350" s="2639">
        <v>79199101</v>
      </c>
      <c r="H350" s="2639">
        <v>79927201</v>
      </c>
      <c r="I350" s="2639">
        <v>79199101</v>
      </c>
      <c r="J350" s="2639">
        <v>79927201</v>
      </c>
      <c r="K350" s="2639">
        <v>79199101</v>
      </c>
      <c r="L350" s="2639">
        <v>2798100</v>
      </c>
      <c r="M350" s="2639">
        <v>0</v>
      </c>
    </row>
    <row r="351" spans="1:13" ht="14.5">
      <c r="A351" s="2977" t="s">
        <v>9751</v>
      </c>
      <c r="B351" s="2113" t="str">
        <f t="shared" si="6"/>
        <v>090-903</v>
      </c>
      <c r="C351" s="2977" t="s">
        <v>6343</v>
      </c>
      <c r="D351" s="2637">
        <v>92627862</v>
      </c>
      <c r="E351" s="2637">
        <v>90931842</v>
      </c>
      <c r="F351" s="2637">
        <v>92627862</v>
      </c>
      <c r="G351" s="2637">
        <v>90931842</v>
      </c>
      <c r="H351" s="2637">
        <v>92627862</v>
      </c>
      <c r="I351" s="2637">
        <v>90931842</v>
      </c>
      <c r="J351" s="2637">
        <v>92627862</v>
      </c>
      <c r="K351" s="2637">
        <v>90931842</v>
      </c>
      <c r="L351" s="2637">
        <v>5521020</v>
      </c>
      <c r="M351" s="2637">
        <v>0</v>
      </c>
    </row>
    <row r="352" spans="1:13" ht="14.5">
      <c r="A352" s="2978" t="s">
        <v>9752</v>
      </c>
      <c r="B352" s="2113" t="str">
        <f t="shared" si="6"/>
        <v>090-904</v>
      </c>
      <c r="C352" s="2978" t="s">
        <v>6344</v>
      </c>
      <c r="D352" s="2639">
        <v>1146889827</v>
      </c>
      <c r="E352" s="2639">
        <v>1112336750</v>
      </c>
      <c r="F352" s="2639">
        <v>1146889827</v>
      </c>
      <c r="G352" s="2639">
        <v>1112336750</v>
      </c>
      <c r="H352" s="2639">
        <v>1146889827</v>
      </c>
      <c r="I352" s="2639">
        <v>1112336750</v>
      </c>
      <c r="J352" s="2639">
        <v>1146889827</v>
      </c>
      <c r="K352" s="2639">
        <v>1112336750</v>
      </c>
      <c r="L352" s="2639">
        <v>97373077</v>
      </c>
      <c r="M352" s="2639">
        <v>0</v>
      </c>
    </row>
    <row r="353" spans="1:13" ht="14.5">
      <c r="A353" s="2977" t="s">
        <v>9753</v>
      </c>
      <c r="B353" s="2113" t="str">
        <f t="shared" si="6"/>
        <v>090-905</v>
      </c>
      <c r="C353" s="2977" t="s">
        <v>6345</v>
      </c>
      <c r="D353" s="2637">
        <v>80305873</v>
      </c>
      <c r="E353" s="2637">
        <v>80058123</v>
      </c>
      <c r="F353" s="2637">
        <v>80305873</v>
      </c>
      <c r="G353" s="2637">
        <v>80058123</v>
      </c>
      <c r="H353" s="2637">
        <v>132201483</v>
      </c>
      <c r="I353" s="2637">
        <v>131953733</v>
      </c>
      <c r="J353" s="2637">
        <v>132201483</v>
      </c>
      <c r="K353" s="2637">
        <v>131953733</v>
      </c>
      <c r="L353" s="2637">
        <v>652750</v>
      </c>
      <c r="M353" s="2637">
        <v>51895610</v>
      </c>
    </row>
    <row r="354" spans="1:13" ht="14.5">
      <c r="A354" s="2978" t="s">
        <v>9754</v>
      </c>
      <c r="B354" s="2113" t="str">
        <f t="shared" si="6"/>
        <v>091-901</v>
      </c>
      <c r="C354" s="2978" t="s">
        <v>6346</v>
      </c>
      <c r="D354" s="2639">
        <v>358801571</v>
      </c>
      <c r="E354" s="2639">
        <v>349216238</v>
      </c>
      <c r="F354" s="2639">
        <v>358801571</v>
      </c>
      <c r="G354" s="2639">
        <v>349216238</v>
      </c>
      <c r="H354" s="2639">
        <v>358801571</v>
      </c>
      <c r="I354" s="2639">
        <v>349216238</v>
      </c>
      <c r="J354" s="2639">
        <v>358801571</v>
      </c>
      <c r="K354" s="2639">
        <v>349216238</v>
      </c>
      <c r="L354" s="2639">
        <v>27585333</v>
      </c>
      <c r="M354" s="2639">
        <v>0</v>
      </c>
    </row>
    <row r="355" spans="1:13" ht="14.5">
      <c r="A355" s="2977" t="s">
        <v>10602</v>
      </c>
      <c r="B355" s="2113" t="str">
        <f t="shared" si="6"/>
        <v>091-902</v>
      </c>
      <c r="C355" s="2977" t="s">
        <v>6347</v>
      </c>
      <c r="D355" s="2637">
        <v>268040499</v>
      </c>
      <c r="E355" s="2637">
        <v>260760518</v>
      </c>
      <c r="F355" s="2637">
        <v>268040499</v>
      </c>
      <c r="G355" s="2637">
        <v>260760518</v>
      </c>
      <c r="H355" s="2637">
        <v>268040499</v>
      </c>
      <c r="I355" s="2637">
        <v>260760518</v>
      </c>
      <c r="J355" s="2637">
        <v>268040499</v>
      </c>
      <c r="K355" s="2637">
        <v>260760518</v>
      </c>
      <c r="L355" s="2637">
        <v>20239981</v>
      </c>
      <c r="M355" s="2637">
        <v>0</v>
      </c>
    </row>
    <row r="356" spans="1:13" ht="14.5">
      <c r="A356" s="2978" t="s">
        <v>9755</v>
      </c>
      <c r="B356" s="2113" t="str">
        <f t="shared" si="6"/>
        <v>091-903</v>
      </c>
      <c r="C356" s="2978" t="s">
        <v>6348</v>
      </c>
      <c r="D356" s="2639">
        <v>2470297242</v>
      </c>
      <c r="E356" s="2639">
        <v>2410600992</v>
      </c>
      <c r="F356" s="2639">
        <v>2470297242</v>
      </c>
      <c r="G356" s="2639">
        <v>2410600992</v>
      </c>
      <c r="H356" s="2639">
        <v>2470297242</v>
      </c>
      <c r="I356" s="2639">
        <v>2410600992</v>
      </c>
      <c r="J356" s="2639">
        <v>2470297242</v>
      </c>
      <c r="K356" s="2639">
        <v>2410600992</v>
      </c>
      <c r="L356" s="2639">
        <v>170066250</v>
      </c>
      <c r="M356" s="2639">
        <v>0</v>
      </c>
    </row>
    <row r="357" spans="1:13" ht="14.5">
      <c r="A357" s="2977" t="s">
        <v>10603</v>
      </c>
      <c r="B357" s="2113" t="str">
        <f t="shared" si="6"/>
        <v>091-905</v>
      </c>
      <c r="C357" s="2977" t="s">
        <v>6349</v>
      </c>
      <c r="D357" s="2637">
        <v>406253117</v>
      </c>
      <c r="E357" s="2637">
        <v>395347207</v>
      </c>
      <c r="F357" s="2637">
        <v>406253117</v>
      </c>
      <c r="G357" s="2637">
        <v>395347207</v>
      </c>
      <c r="H357" s="2637">
        <v>406253117</v>
      </c>
      <c r="I357" s="2637">
        <v>395347207</v>
      </c>
      <c r="J357" s="2637">
        <v>406253117</v>
      </c>
      <c r="K357" s="2637">
        <v>395347207</v>
      </c>
      <c r="L357" s="2637">
        <v>31395910</v>
      </c>
      <c r="M357" s="2637">
        <v>0</v>
      </c>
    </row>
    <row r="358" spans="1:13" ht="14.5">
      <c r="A358" s="2978" t="s">
        <v>9756</v>
      </c>
      <c r="B358" s="2113" t="str">
        <f t="shared" si="6"/>
        <v>091-906</v>
      </c>
      <c r="C358" s="2978" t="s">
        <v>6350</v>
      </c>
      <c r="D358" s="2639">
        <v>4203179955</v>
      </c>
      <c r="E358" s="2639">
        <v>4131847055</v>
      </c>
      <c r="F358" s="2639">
        <v>4203179955</v>
      </c>
      <c r="G358" s="2639">
        <v>4131847055</v>
      </c>
      <c r="H358" s="2639">
        <v>4203179955</v>
      </c>
      <c r="I358" s="2639">
        <v>4131847055</v>
      </c>
      <c r="J358" s="2639">
        <v>4203179955</v>
      </c>
      <c r="K358" s="2639">
        <v>4131847055</v>
      </c>
      <c r="L358" s="2639">
        <v>193732900</v>
      </c>
      <c r="M358" s="2639">
        <v>0</v>
      </c>
    </row>
    <row r="359" spans="1:13" ht="14.5">
      <c r="A359" s="2977" t="s">
        <v>9757</v>
      </c>
      <c r="B359" s="2113" t="str">
        <f t="shared" si="6"/>
        <v>091-907</v>
      </c>
      <c r="C359" s="2977" t="s">
        <v>6351</v>
      </c>
      <c r="D359" s="2637">
        <v>160465132</v>
      </c>
      <c r="E359" s="2637">
        <v>156671826</v>
      </c>
      <c r="F359" s="2637">
        <v>160465132</v>
      </c>
      <c r="G359" s="2637">
        <v>156671826</v>
      </c>
      <c r="H359" s="2637">
        <v>160465132</v>
      </c>
      <c r="I359" s="2637">
        <v>156671826</v>
      </c>
      <c r="J359" s="2637">
        <v>160465132</v>
      </c>
      <c r="K359" s="2637">
        <v>156671826</v>
      </c>
      <c r="L359" s="2637">
        <v>10648306</v>
      </c>
      <c r="M359" s="2637">
        <v>0</v>
      </c>
    </row>
    <row r="360" spans="1:13" ht="14.5">
      <c r="A360" s="2978" t="s">
        <v>9758</v>
      </c>
      <c r="B360" s="2113" t="str">
        <f t="shared" si="6"/>
        <v>091-908</v>
      </c>
      <c r="C360" s="2978" t="s">
        <v>6352</v>
      </c>
      <c r="D360" s="2639">
        <v>1079880188</v>
      </c>
      <c r="E360" s="2639">
        <v>1057848652</v>
      </c>
      <c r="F360" s="2639">
        <v>1079880188</v>
      </c>
      <c r="G360" s="2639">
        <v>1057848652</v>
      </c>
      <c r="H360" s="2639">
        <v>1079880188</v>
      </c>
      <c r="I360" s="2639">
        <v>1057848652</v>
      </c>
      <c r="J360" s="2639">
        <v>1079880188</v>
      </c>
      <c r="K360" s="2639">
        <v>1057848652</v>
      </c>
      <c r="L360" s="2639">
        <v>60296536</v>
      </c>
      <c r="M360" s="2639">
        <v>0</v>
      </c>
    </row>
    <row r="361" spans="1:13" ht="14.5">
      <c r="A361" s="2977" t="s">
        <v>9759</v>
      </c>
      <c r="B361" s="2113" t="str">
        <f t="shared" si="6"/>
        <v>091-909</v>
      </c>
      <c r="C361" s="2977" t="s">
        <v>6353</v>
      </c>
      <c r="D361" s="2637">
        <v>1017691085</v>
      </c>
      <c r="E361" s="2637">
        <v>994744351</v>
      </c>
      <c r="F361" s="2637">
        <v>1017691085</v>
      </c>
      <c r="G361" s="2637">
        <v>994744351</v>
      </c>
      <c r="H361" s="2637">
        <v>1017691085</v>
      </c>
      <c r="I361" s="2637">
        <v>994744351</v>
      </c>
      <c r="J361" s="2637">
        <v>1017691085</v>
      </c>
      <c r="K361" s="2637">
        <v>994744351</v>
      </c>
      <c r="L361" s="2637">
        <v>66956734</v>
      </c>
      <c r="M361" s="2637">
        <v>0</v>
      </c>
    </row>
    <row r="362" spans="1:13" ht="14.5">
      <c r="A362" s="2978" t="s">
        <v>9760</v>
      </c>
      <c r="B362" s="2113" t="str">
        <f t="shared" si="6"/>
        <v>091-910</v>
      </c>
      <c r="C362" s="2978" t="s">
        <v>6354</v>
      </c>
      <c r="D362" s="2639">
        <v>404422207</v>
      </c>
      <c r="E362" s="2639">
        <v>395209805</v>
      </c>
      <c r="F362" s="2639">
        <v>404422207</v>
      </c>
      <c r="G362" s="2639">
        <v>395209805</v>
      </c>
      <c r="H362" s="2639">
        <v>404422207</v>
      </c>
      <c r="I362" s="2639">
        <v>395209805</v>
      </c>
      <c r="J362" s="2639">
        <v>404422207</v>
      </c>
      <c r="K362" s="2639">
        <v>395209805</v>
      </c>
      <c r="L362" s="2639">
        <v>26387402</v>
      </c>
      <c r="M362" s="2639">
        <v>0</v>
      </c>
    </row>
    <row r="363" spans="1:13" ht="14.5">
      <c r="A363" s="2977" t="s">
        <v>9761</v>
      </c>
      <c r="B363" s="2113" t="str">
        <f t="shared" si="6"/>
        <v>091-913</v>
      </c>
      <c r="C363" s="2977" t="s">
        <v>6355</v>
      </c>
      <c r="D363" s="2637">
        <v>1175543958</v>
      </c>
      <c r="E363" s="2637">
        <v>1152283846</v>
      </c>
      <c r="F363" s="2637">
        <v>1175543958</v>
      </c>
      <c r="G363" s="2637">
        <v>1152283846</v>
      </c>
      <c r="H363" s="2637">
        <v>1175543958</v>
      </c>
      <c r="I363" s="2637">
        <v>1152283846</v>
      </c>
      <c r="J363" s="2637">
        <v>1175543958</v>
      </c>
      <c r="K363" s="2637">
        <v>1152283846</v>
      </c>
      <c r="L363" s="2637">
        <v>68485112</v>
      </c>
      <c r="M363" s="2637">
        <v>0</v>
      </c>
    </row>
    <row r="364" spans="1:13" ht="14.5">
      <c r="A364" s="2978" t="s">
        <v>9762</v>
      </c>
      <c r="B364" s="2113" t="str">
        <f t="shared" si="6"/>
        <v>091-914</v>
      </c>
      <c r="C364" s="2978" t="s">
        <v>6356</v>
      </c>
      <c r="D364" s="2639">
        <v>521178503</v>
      </c>
      <c r="E364" s="2639">
        <v>508177548</v>
      </c>
      <c r="F364" s="2639">
        <v>521178503</v>
      </c>
      <c r="G364" s="2639">
        <v>508177548</v>
      </c>
      <c r="H364" s="2639">
        <v>521178503</v>
      </c>
      <c r="I364" s="2639">
        <v>508177548</v>
      </c>
      <c r="J364" s="2639">
        <v>521178503</v>
      </c>
      <c r="K364" s="2639">
        <v>508177548</v>
      </c>
      <c r="L364" s="2639">
        <v>39205955</v>
      </c>
      <c r="M364" s="2639">
        <v>0</v>
      </c>
    </row>
    <row r="365" spans="1:13" ht="14.5">
      <c r="A365" s="2977" t="s">
        <v>10604</v>
      </c>
      <c r="B365" s="2113" t="str">
        <f t="shared" si="6"/>
        <v>091-917</v>
      </c>
      <c r="C365" s="2977" t="s">
        <v>6357</v>
      </c>
      <c r="D365" s="2637">
        <v>512573061</v>
      </c>
      <c r="E365" s="2637">
        <v>504048016</v>
      </c>
      <c r="F365" s="2637">
        <v>512573061</v>
      </c>
      <c r="G365" s="2637">
        <v>504048016</v>
      </c>
      <c r="H365" s="2637">
        <v>512573061</v>
      </c>
      <c r="I365" s="2637">
        <v>504048016</v>
      </c>
      <c r="J365" s="2637">
        <v>512573061</v>
      </c>
      <c r="K365" s="2637">
        <v>504048016</v>
      </c>
      <c r="L365" s="2637">
        <v>22805045</v>
      </c>
      <c r="M365" s="2637">
        <v>0</v>
      </c>
    </row>
    <row r="366" spans="1:13" ht="14.5">
      <c r="A366" s="2978" t="s">
        <v>9763</v>
      </c>
      <c r="B366" s="2113" t="str">
        <f t="shared" si="6"/>
        <v>091-918</v>
      </c>
      <c r="C366" s="2978" t="s">
        <v>6358</v>
      </c>
      <c r="D366" s="2639">
        <v>333753001</v>
      </c>
      <c r="E366" s="2639">
        <v>323520628</v>
      </c>
      <c r="F366" s="2639">
        <v>333753001</v>
      </c>
      <c r="G366" s="2639">
        <v>323520628</v>
      </c>
      <c r="H366" s="2639">
        <v>333753001</v>
      </c>
      <c r="I366" s="2639">
        <v>323520628</v>
      </c>
      <c r="J366" s="2639">
        <v>333753001</v>
      </c>
      <c r="K366" s="2639">
        <v>323520628</v>
      </c>
      <c r="L366" s="2639">
        <v>31067373</v>
      </c>
      <c r="M366" s="2639">
        <v>0</v>
      </c>
    </row>
    <row r="367" spans="1:13" ht="14.5">
      <c r="A367" s="2977" t="s">
        <v>9764</v>
      </c>
      <c r="B367" s="2113" t="str">
        <f t="shared" si="6"/>
        <v>092-901</v>
      </c>
      <c r="C367" s="2977" t="s">
        <v>6359</v>
      </c>
      <c r="D367" s="2637">
        <v>583787937</v>
      </c>
      <c r="E367" s="2637">
        <v>561714843</v>
      </c>
      <c r="F367" s="2637">
        <v>554589242</v>
      </c>
      <c r="G367" s="2637">
        <v>532516148</v>
      </c>
      <c r="H367" s="2637">
        <v>583787937</v>
      </c>
      <c r="I367" s="2637">
        <v>561714843</v>
      </c>
      <c r="J367" s="2637">
        <v>554589242</v>
      </c>
      <c r="K367" s="2637">
        <v>532516148</v>
      </c>
      <c r="L367" s="2637">
        <v>60953094</v>
      </c>
      <c r="M367" s="2637">
        <v>0</v>
      </c>
    </row>
    <row r="368" spans="1:13" ht="14.5">
      <c r="A368" s="2978" t="s">
        <v>9765</v>
      </c>
      <c r="B368" s="2113" t="str">
        <f t="shared" si="6"/>
        <v>092-902</v>
      </c>
      <c r="C368" s="2978" t="s">
        <v>6360</v>
      </c>
      <c r="D368" s="2639">
        <v>1615723389</v>
      </c>
      <c r="E368" s="2639">
        <v>1575471769</v>
      </c>
      <c r="F368" s="2639">
        <v>1615723389</v>
      </c>
      <c r="G368" s="2639">
        <v>1575471769</v>
      </c>
      <c r="H368" s="2639">
        <v>1615723389</v>
      </c>
      <c r="I368" s="2639">
        <v>1575471769</v>
      </c>
      <c r="J368" s="2639">
        <v>1615723389</v>
      </c>
      <c r="K368" s="2639">
        <v>1575471769</v>
      </c>
      <c r="L368" s="2639">
        <v>109041620</v>
      </c>
      <c r="M368" s="2639">
        <v>0</v>
      </c>
    </row>
    <row r="369" spans="1:13" ht="14.5">
      <c r="A369" s="2977" t="s">
        <v>9766</v>
      </c>
      <c r="B369" s="2113" t="str">
        <f t="shared" si="6"/>
        <v>092-903</v>
      </c>
      <c r="C369" s="2977" t="s">
        <v>6361</v>
      </c>
      <c r="D369" s="2637">
        <v>5010696473</v>
      </c>
      <c r="E369" s="2637">
        <v>4912031988</v>
      </c>
      <c r="F369" s="2637">
        <v>5010696473</v>
      </c>
      <c r="G369" s="2637">
        <v>4912031988</v>
      </c>
      <c r="H369" s="2637">
        <v>5010696473</v>
      </c>
      <c r="I369" s="2637">
        <v>4912031988</v>
      </c>
      <c r="J369" s="2637">
        <v>5010696473</v>
      </c>
      <c r="K369" s="2637">
        <v>4912031988</v>
      </c>
      <c r="L369" s="2637">
        <v>257154485</v>
      </c>
      <c r="M369" s="2637">
        <v>0</v>
      </c>
    </row>
    <row r="370" spans="1:13" ht="14.5">
      <c r="A370" s="2978" t="s">
        <v>9767</v>
      </c>
      <c r="B370" s="2113" t="str">
        <f t="shared" si="6"/>
        <v>092-904</v>
      </c>
      <c r="C370" s="2978" t="s">
        <v>6362</v>
      </c>
      <c r="D370" s="2639">
        <v>1694428850</v>
      </c>
      <c r="E370" s="2639">
        <v>1645257523</v>
      </c>
      <c r="F370" s="2639">
        <v>1614724684</v>
      </c>
      <c r="G370" s="2639">
        <v>1565553357</v>
      </c>
      <c r="H370" s="2639">
        <v>1694428850</v>
      </c>
      <c r="I370" s="2639">
        <v>1645257523</v>
      </c>
      <c r="J370" s="2639">
        <v>1614724684</v>
      </c>
      <c r="K370" s="2639">
        <v>1565553357</v>
      </c>
      <c r="L370" s="2639">
        <v>127156327</v>
      </c>
      <c r="M370" s="2639">
        <v>0</v>
      </c>
    </row>
    <row r="371" spans="1:13" ht="14.5">
      <c r="A371" s="2977" t="s">
        <v>9768</v>
      </c>
      <c r="B371" s="2113" t="str">
        <f t="shared" si="6"/>
        <v>092-906</v>
      </c>
      <c r="C371" s="2977" t="s">
        <v>6363</v>
      </c>
      <c r="D371" s="2637">
        <v>473908895</v>
      </c>
      <c r="E371" s="2637">
        <v>460366518</v>
      </c>
      <c r="F371" s="2637">
        <v>449344930</v>
      </c>
      <c r="G371" s="2637">
        <v>435802553</v>
      </c>
      <c r="H371" s="2637">
        <v>473908895</v>
      </c>
      <c r="I371" s="2637">
        <v>460366518</v>
      </c>
      <c r="J371" s="2637">
        <v>449344930</v>
      </c>
      <c r="K371" s="2637">
        <v>435802553</v>
      </c>
      <c r="L371" s="2637">
        <v>39252377</v>
      </c>
      <c r="M371" s="2637">
        <v>0</v>
      </c>
    </row>
    <row r="372" spans="1:13" ht="14.5">
      <c r="A372" s="2978" t="s">
        <v>9769</v>
      </c>
      <c r="B372" s="2113" t="str">
        <f t="shared" si="6"/>
        <v>092-907</v>
      </c>
      <c r="C372" s="2978" t="s">
        <v>6364</v>
      </c>
      <c r="D372" s="2639">
        <v>605298855</v>
      </c>
      <c r="E372" s="2639">
        <v>585459108</v>
      </c>
      <c r="F372" s="2639">
        <v>569997535</v>
      </c>
      <c r="G372" s="2639">
        <v>550157788</v>
      </c>
      <c r="H372" s="2639">
        <v>605298855</v>
      </c>
      <c r="I372" s="2639">
        <v>585459108</v>
      </c>
      <c r="J372" s="2639">
        <v>569997535</v>
      </c>
      <c r="K372" s="2639">
        <v>550157788</v>
      </c>
      <c r="L372" s="2639">
        <v>50784747</v>
      </c>
      <c r="M372" s="2639">
        <v>0</v>
      </c>
    </row>
    <row r="373" spans="1:13" ht="14.5">
      <c r="A373" s="2977" t="s">
        <v>9770</v>
      </c>
      <c r="B373" s="2113" t="str">
        <f t="shared" si="6"/>
        <v>092-908</v>
      </c>
      <c r="C373" s="2977" t="s">
        <v>6365</v>
      </c>
      <c r="D373" s="2637">
        <v>383679656</v>
      </c>
      <c r="E373" s="2637">
        <v>369680700</v>
      </c>
      <c r="F373" s="2637">
        <v>358831964</v>
      </c>
      <c r="G373" s="2637">
        <v>344833008</v>
      </c>
      <c r="H373" s="2637">
        <v>383679656</v>
      </c>
      <c r="I373" s="2637">
        <v>369680700</v>
      </c>
      <c r="J373" s="2637">
        <v>358831964</v>
      </c>
      <c r="K373" s="2637">
        <v>344833008</v>
      </c>
      <c r="L373" s="2637">
        <v>36573956</v>
      </c>
      <c r="M373" s="2637">
        <v>0</v>
      </c>
    </row>
    <row r="374" spans="1:13" ht="14.5">
      <c r="A374" s="2978" t="s">
        <v>9771</v>
      </c>
      <c r="B374" s="2113" t="str">
        <f t="shared" si="6"/>
        <v>093-901</v>
      </c>
      <c r="C374" s="2978" t="s">
        <v>6366</v>
      </c>
      <c r="D374" s="2639">
        <v>850631320</v>
      </c>
      <c r="E374" s="2639">
        <v>841522390</v>
      </c>
      <c r="F374" s="2639">
        <v>850631320</v>
      </c>
      <c r="G374" s="2639">
        <v>841522390</v>
      </c>
      <c r="H374" s="2639">
        <v>850631320</v>
      </c>
      <c r="I374" s="2639">
        <v>841522390</v>
      </c>
      <c r="J374" s="2639">
        <v>850631320</v>
      </c>
      <c r="K374" s="2639">
        <v>841522390</v>
      </c>
      <c r="L374" s="2639">
        <v>25863930</v>
      </c>
      <c r="M374" s="2639">
        <v>0</v>
      </c>
    </row>
    <row r="375" spans="1:13" ht="14.5">
      <c r="A375" s="2977" t="s">
        <v>9772</v>
      </c>
      <c r="B375" s="2113" t="str">
        <f t="shared" si="6"/>
        <v>093-903</v>
      </c>
      <c r="C375" s="2977" t="s">
        <v>6367</v>
      </c>
      <c r="D375" s="2637">
        <v>447899832</v>
      </c>
      <c r="E375" s="2637">
        <v>439945206</v>
      </c>
      <c r="F375" s="2637">
        <v>447899832</v>
      </c>
      <c r="G375" s="2637">
        <v>439945206</v>
      </c>
      <c r="H375" s="2637">
        <v>447899832</v>
      </c>
      <c r="I375" s="2637">
        <v>439945206</v>
      </c>
      <c r="J375" s="2637">
        <v>447899832</v>
      </c>
      <c r="K375" s="2637">
        <v>439945206</v>
      </c>
      <c r="L375" s="2637">
        <v>23059626</v>
      </c>
      <c r="M375" s="2637">
        <v>0</v>
      </c>
    </row>
    <row r="376" spans="1:13" ht="14.5">
      <c r="A376" s="2978" t="s">
        <v>9773</v>
      </c>
      <c r="B376" s="2113" t="str">
        <f t="shared" si="6"/>
        <v>093-904</v>
      </c>
      <c r="C376" s="2978" t="s">
        <v>6368</v>
      </c>
      <c r="D376" s="2639">
        <v>2156355193</v>
      </c>
      <c r="E376" s="2639">
        <v>2119795939</v>
      </c>
      <c r="F376" s="2639">
        <v>2075898975</v>
      </c>
      <c r="G376" s="2639">
        <v>2039339721</v>
      </c>
      <c r="H376" s="2639">
        <v>2156355193</v>
      </c>
      <c r="I376" s="2639">
        <v>2119795939</v>
      </c>
      <c r="J376" s="2639">
        <v>2075898975</v>
      </c>
      <c r="K376" s="2639">
        <v>2039339721</v>
      </c>
      <c r="L376" s="2639">
        <v>104374254</v>
      </c>
      <c r="M376" s="2639">
        <v>0</v>
      </c>
    </row>
    <row r="377" spans="1:13" ht="14.5">
      <c r="A377" s="2977" t="s">
        <v>9774</v>
      </c>
      <c r="B377" s="2113" t="str">
        <f t="shared" si="6"/>
        <v>093-905</v>
      </c>
      <c r="C377" s="2977" t="s">
        <v>6369</v>
      </c>
      <c r="D377" s="2637">
        <v>208840809</v>
      </c>
      <c r="E377" s="2637">
        <v>204574654</v>
      </c>
      <c r="F377" s="2637">
        <v>208840809</v>
      </c>
      <c r="G377" s="2637">
        <v>204574654</v>
      </c>
      <c r="H377" s="2637">
        <v>208840809</v>
      </c>
      <c r="I377" s="2637">
        <v>204574654</v>
      </c>
      <c r="J377" s="2637">
        <v>208840809</v>
      </c>
      <c r="K377" s="2637">
        <v>204574654</v>
      </c>
      <c r="L377" s="2637">
        <v>12111155</v>
      </c>
      <c r="M377" s="2637">
        <v>0</v>
      </c>
    </row>
    <row r="378" spans="1:13" ht="14.5">
      <c r="A378" s="2978" t="s">
        <v>9775</v>
      </c>
      <c r="B378" s="2113" t="str">
        <f t="shared" si="6"/>
        <v>094-901</v>
      </c>
      <c r="C378" s="2978" t="s">
        <v>6370</v>
      </c>
      <c r="D378" s="2639">
        <v>4219413732</v>
      </c>
      <c r="E378" s="2639">
        <v>4133098899</v>
      </c>
      <c r="F378" s="2639">
        <v>4219413732</v>
      </c>
      <c r="G378" s="2639">
        <v>4133098899</v>
      </c>
      <c r="H378" s="2639">
        <v>4219413732</v>
      </c>
      <c r="I378" s="2639">
        <v>4133098899</v>
      </c>
      <c r="J378" s="2639">
        <v>4219413732</v>
      </c>
      <c r="K378" s="2639">
        <v>4133098899</v>
      </c>
      <c r="L378" s="2639">
        <v>242944833</v>
      </c>
      <c r="M378" s="2639">
        <v>0</v>
      </c>
    </row>
    <row r="379" spans="1:13" ht="14.5">
      <c r="A379" s="2977" t="s">
        <v>9776</v>
      </c>
      <c r="B379" s="2113" t="str">
        <f t="shared" si="6"/>
        <v>094-902</v>
      </c>
      <c r="C379" s="2977" t="s">
        <v>8430</v>
      </c>
      <c r="D379" s="2637">
        <v>7019796633</v>
      </c>
      <c r="E379" s="2637">
        <v>6826742418</v>
      </c>
      <c r="F379" s="2637">
        <v>7019796633</v>
      </c>
      <c r="G379" s="2637">
        <v>6826742418</v>
      </c>
      <c r="H379" s="2637">
        <v>7019796633</v>
      </c>
      <c r="I379" s="2637">
        <v>6826742418</v>
      </c>
      <c r="J379" s="2637">
        <v>7019796633</v>
      </c>
      <c r="K379" s="2637">
        <v>6826742418</v>
      </c>
      <c r="L379" s="2637">
        <v>493129215</v>
      </c>
      <c r="M379" s="2637">
        <v>0</v>
      </c>
    </row>
    <row r="380" spans="1:13" ht="14.5">
      <c r="A380" s="2978" t="s">
        <v>9777</v>
      </c>
      <c r="B380" s="2113" t="str">
        <f t="shared" si="6"/>
        <v>094-903</v>
      </c>
      <c r="C380" s="2978" t="s">
        <v>6371</v>
      </c>
      <c r="D380" s="2639">
        <v>1244982829</v>
      </c>
      <c r="E380" s="2639">
        <v>1222304206</v>
      </c>
      <c r="F380" s="2639">
        <v>1244982829</v>
      </c>
      <c r="G380" s="2639">
        <v>1222304206</v>
      </c>
      <c r="H380" s="2639">
        <v>1244982829</v>
      </c>
      <c r="I380" s="2639">
        <v>1222304206</v>
      </c>
      <c r="J380" s="2639">
        <v>1244982829</v>
      </c>
      <c r="K380" s="2639">
        <v>1222304206</v>
      </c>
      <c r="L380" s="2639">
        <v>61258623</v>
      </c>
      <c r="M380" s="2639">
        <v>0</v>
      </c>
    </row>
    <row r="381" spans="1:13" ht="14.5">
      <c r="A381" s="2977" t="s">
        <v>9778</v>
      </c>
      <c r="B381" s="2113" t="str">
        <f t="shared" si="6"/>
        <v>094-904</v>
      </c>
      <c r="C381" s="2977" t="s">
        <v>6372</v>
      </c>
      <c r="D381" s="2637">
        <v>955568100</v>
      </c>
      <c r="E381" s="2637">
        <v>935931164</v>
      </c>
      <c r="F381" s="2637">
        <v>955568100</v>
      </c>
      <c r="G381" s="2637">
        <v>935931164</v>
      </c>
      <c r="H381" s="2637">
        <v>955568100</v>
      </c>
      <c r="I381" s="2637">
        <v>935931164</v>
      </c>
      <c r="J381" s="2637">
        <v>955568100</v>
      </c>
      <c r="K381" s="2637">
        <v>935931164</v>
      </c>
      <c r="L381" s="2637">
        <v>56821936</v>
      </c>
      <c r="M381" s="2637">
        <v>0</v>
      </c>
    </row>
    <row r="382" spans="1:13" ht="14.5">
      <c r="A382" s="2978" t="s">
        <v>10605</v>
      </c>
      <c r="B382" s="2113" t="str">
        <f t="shared" si="6"/>
        <v>095-901</v>
      </c>
      <c r="C382" s="2978" t="s">
        <v>6373</v>
      </c>
      <c r="D382" s="2639">
        <v>472893284</v>
      </c>
      <c r="E382" s="2639">
        <v>465947826</v>
      </c>
      <c r="F382" s="2639">
        <v>472893284</v>
      </c>
      <c r="G382" s="2639">
        <v>465947826</v>
      </c>
      <c r="H382" s="2639">
        <v>472893284</v>
      </c>
      <c r="I382" s="2639">
        <v>465947826</v>
      </c>
      <c r="J382" s="2639">
        <v>472893284</v>
      </c>
      <c r="K382" s="2639">
        <v>465947826</v>
      </c>
      <c r="L382" s="2639">
        <v>18300458</v>
      </c>
      <c r="M382" s="2639">
        <v>0</v>
      </c>
    </row>
    <row r="383" spans="1:13" ht="14.5">
      <c r="A383" s="2977" t="s">
        <v>9779</v>
      </c>
      <c r="B383" s="2113" t="str">
        <f t="shared" si="6"/>
        <v>095-902</v>
      </c>
      <c r="C383" s="2977" t="s">
        <v>6374</v>
      </c>
      <c r="D383" s="2637">
        <v>47874841</v>
      </c>
      <c r="E383" s="2637">
        <v>47329935</v>
      </c>
      <c r="F383" s="2637">
        <v>47874841</v>
      </c>
      <c r="G383" s="2637">
        <v>47329935</v>
      </c>
      <c r="H383" s="2637">
        <v>47874841</v>
      </c>
      <c r="I383" s="2637">
        <v>47329935</v>
      </c>
      <c r="J383" s="2637">
        <v>47874841</v>
      </c>
      <c r="K383" s="2637">
        <v>47329935</v>
      </c>
      <c r="L383" s="2637">
        <v>1429906</v>
      </c>
      <c r="M383" s="2637">
        <v>0</v>
      </c>
    </row>
    <row r="384" spans="1:13" ht="14.5">
      <c r="A384" s="2978" t="s">
        <v>9780</v>
      </c>
      <c r="B384" s="2113" t="str">
        <f t="shared" si="6"/>
        <v>095-903</v>
      </c>
      <c r="C384" s="2978" t="s">
        <v>6375</v>
      </c>
      <c r="D384" s="2639">
        <v>106999165</v>
      </c>
      <c r="E384" s="2639">
        <v>102630278</v>
      </c>
      <c r="F384" s="2639">
        <v>106999165</v>
      </c>
      <c r="G384" s="2639">
        <v>102630278</v>
      </c>
      <c r="H384" s="2639">
        <v>106999165</v>
      </c>
      <c r="I384" s="2639">
        <v>102630278</v>
      </c>
      <c r="J384" s="2639">
        <v>106999165</v>
      </c>
      <c r="K384" s="2639">
        <v>102630278</v>
      </c>
      <c r="L384" s="2639">
        <v>12558887</v>
      </c>
      <c r="M384" s="2639">
        <v>0</v>
      </c>
    </row>
    <row r="385" spans="1:13" ht="14.5">
      <c r="A385" s="2977" t="s">
        <v>10606</v>
      </c>
      <c r="B385" s="2113" t="str">
        <f t="shared" si="6"/>
        <v>095-904</v>
      </c>
      <c r="C385" s="2977" t="s">
        <v>6376</v>
      </c>
      <c r="D385" s="2637">
        <v>99698966</v>
      </c>
      <c r="E385" s="2637">
        <v>97078395</v>
      </c>
      <c r="F385" s="2637">
        <v>99698966</v>
      </c>
      <c r="G385" s="2637">
        <v>97078395</v>
      </c>
      <c r="H385" s="2637">
        <v>658989086</v>
      </c>
      <c r="I385" s="2637">
        <v>656368515</v>
      </c>
      <c r="J385" s="2637">
        <v>658989086</v>
      </c>
      <c r="K385" s="2637">
        <v>656368515</v>
      </c>
      <c r="L385" s="2637">
        <v>7570571</v>
      </c>
      <c r="M385" s="2637">
        <v>559290120</v>
      </c>
    </row>
    <row r="386" spans="1:13" ht="14.5">
      <c r="A386" s="2978" t="s">
        <v>9781</v>
      </c>
      <c r="B386" s="2113" t="str">
        <f t="shared" si="6"/>
        <v>095-905</v>
      </c>
      <c r="C386" s="2978" t="s">
        <v>6377</v>
      </c>
      <c r="D386" s="2639">
        <v>1275517753</v>
      </c>
      <c r="E386" s="2639">
        <v>1234162866</v>
      </c>
      <c r="F386" s="2639">
        <v>1275517753</v>
      </c>
      <c r="G386" s="2639">
        <v>1234162866</v>
      </c>
      <c r="H386" s="2639">
        <v>1275517753</v>
      </c>
      <c r="I386" s="2639">
        <v>1234162866</v>
      </c>
      <c r="J386" s="2639">
        <v>1275517753</v>
      </c>
      <c r="K386" s="2639">
        <v>1234162866</v>
      </c>
      <c r="L386" s="2639">
        <v>110729887</v>
      </c>
      <c r="M386" s="2639">
        <v>0</v>
      </c>
    </row>
    <row r="387" spans="1:13" ht="14.5">
      <c r="A387" s="2977" t="s">
        <v>9782</v>
      </c>
      <c r="B387" s="2113" t="str">
        <f t="shared" si="6"/>
        <v>096-904</v>
      </c>
      <c r="C387" s="2977" t="s">
        <v>6378</v>
      </c>
      <c r="D387" s="2637">
        <v>208697510</v>
      </c>
      <c r="E387" s="2637">
        <v>204240390</v>
      </c>
      <c r="F387" s="2637">
        <v>208697510</v>
      </c>
      <c r="G387" s="2637">
        <v>204240390</v>
      </c>
      <c r="H387" s="2637">
        <v>208697510</v>
      </c>
      <c r="I387" s="2637">
        <v>204240390</v>
      </c>
      <c r="J387" s="2637">
        <v>208697510</v>
      </c>
      <c r="K387" s="2637">
        <v>204240390</v>
      </c>
      <c r="L387" s="2637">
        <v>13742120</v>
      </c>
      <c r="M387" s="2637">
        <v>0</v>
      </c>
    </row>
    <row r="388" spans="1:13" ht="14.5">
      <c r="A388" s="2978" t="s">
        <v>9783</v>
      </c>
      <c r="B388" s="2113" t="str">
        <f t="shared" si="6"/>
        <v>096-905</v>
      </c>
      <c r="C388" s="2978" t="s">
        <v>6379</v>
      </c>
      <c r="D388" s="2639">
        <v>90143322</v>
      </c>
      <c r="E388" s="2639">
        <v>88293794</v>
      </c>
      <c r="F388" s="2639">
        <v>90143322</v>
      </c>
      <c r="G388" s="2639">
        <v>88293794</v>
      </c>
      <c r="H388" s="2639">
        <v>90143322</v>
      </c>
      <c r="I388" s="2639">
        <v>88293794</v>
      </c>
      <c r="J388" s="2639">
        <v>90143322</v>
      </c>
      <c r="K388" s="2639">
        <v>88293794</v>
      </c>
      <c r="L388" s="2639">
        <v>5704528</v>
      </c>
      <c r="M388" s="2639">
        <v>0</v>
      </c>
    </row>
    <row r="389" spans="1:13" ht="14.5">
      <c r="A389" s="2977" t="s">
        <v>9784</v>
      </c>
      <c r="B389" s="2113" t="str">
        <f t="shared" ref="B389:B452" si="7">CONCATENATE(RIGHT(LEFT(CONCATENATE("000",A389),6),3),"-",(LEFT(RIGHT(CONCATENATE("000",A389),6),3)))</f>
        <v>097-902</v>
      </c>
      <c r="C389" s="2977" t="s">
        <v>6380</v>
      </c>
      <c r="D389" s="2637">
        <v>448764515</v>
      </c>
      <c r="E389" s="2637">
        <v>435110195</v>
      </c>
      <c r="F389" s="2637">
        <v>448764515</v>
      </c>
      <c r="G389" s="2637">
        <v>435110195</v>
      </c>
      <c r="H389" s="2637">
        <v>448764515</v>
      </c>
      <c r="I389" s="2637">
        <v>435110195</v>
      </c>
      <c r="J389" s="2637">
        <v>448764515</v>
      </c>
      <c r="K389" s="2637">
        <v>435110195</v>
      </c>
      <c r="L389" s="2637">
        <v>35929320</v>
      </c>
      <c r="M389" s="2637">
        <v>0</v>
      </c>
    </row>
    <row r="390" spans="1:13" ht="14.5">
      <c r="A390" s="2978" t="s">
        <v>9785</v>
      </c>
      <c r="B390" s="2113" t="str">
        <f t="shared" si="7"/>
        <v>097-903</v>
      </c>
      <c r="C390" s="2978" t="s">
        <v>6381</v>
      </c>
      <c r="D390" s="2639">
        <v>297638363</v>
      </c>
      <c r="E390" s="2639">
        <v>290186317</v>
      </c>
      <c r="F390" s="2639">
        <v>297638363</v>
      </c>
      <c r="G390" s="2639">
        <v>290186317</v>
      </c>
      <c r="H390" s="2639">
        <v>297638363</v>
      </c>
      <c r="I390" s="2639">
        <v>290186317</v>
      </c>
      <c r="J390" s="2639">
        <v>297638363</v>
      </c>
      <c r="K390" s="2639">
        <v>290186317</v>
      </c>
      <c r="L390" s="2639">
        <v>19992046</v>
      </c>
      <c r="M390" s="2639">
        <v>0</v>
      </c>
    </row>
    <row r="391" spans="1:13" ht="14.5">
      <c r="A391" s="2977" t="s">
        <v>9786</v>
      </c>
      <c r="B391" s="2113" t="str">
        <f t="shared" si="7"/>
        <v>098-901</v>
      </c>
      <c r="C391" s="2977" t="s">
        <v>6382</v>
      </c>
      <c r="D391" s="2637">
        <v>276885007</v>
      </c>
      <c r="E391" s="2637">
        <v>273283081</v>
      </c>
      <c r="F391" s="2637">
        <v>276885007</v>
      </c>
      <c r="G391" s="2637">
        <v>273283081</v>
      </c>
      <c r="H391" s="2637">
        <v>276885007</v>
      </c>
      <c r="I391" s="2637">
        <v>273283081</v>
      </c>
      <c r="J391" s="2637">
        <v>276885007</v>
      </c>
      <c r="K391" s="2637">
        <v>273283081</v>
      </c>
      <c r="L391" s="2637">
        <v>9706926</v>
      </c>
      <c r="M391" s="2637">
        <v>0</v>
      </c>
    </row>
    <row r="392" spans="1:13" ht="14.5">
      <c r="A392" s="2978" t="s">
        <v>9787</v>
      </c>
      <c r="B392" s="2113" t="str">
        <f t="shared" si="7"/>
        <v>098-903</v>
      </c>
      <c r="C392" s="2978" t="s">
        <v>6383</v>
      </c>
      <c r="D392" s="2639">
        <v>130333944</v>
      </c>
      <c r="E392" s="2639">
        <v>129759582</v>
      </c>
      <c r="F392" s="2639">
        <v>129702601</v>
      </c>
      <c r="G392" s="2639">
        <v>129128239</v>
      </c>
      <c r="H392" s="2639">
        <v>130333944</v>
      </c>
      <c r="I392" s="2639">
        <v>129759582</v>
      </c>
      <c r="J392" s="2639">
        <v>129702601</v>
      </c>
      <c r="K392" s="2639">
        <v>129128239</v>
      </c>
      <c r="L392" s="2639">
        <v>1654362</v>
      </c>
      <c r="M392" s="2639">
        <v>0</v>
      </c>
    </row>
    <row r="393" spans="1:13" ht="14.5">
      <c r="A393" s="2977" t="s">
        <v>9788</v>
      </c>
      <c r="B393" s="2113" t="str">
        <f t="shared" si="7"/>
        <v>098-904</v>
      </c>
      <c r="C393" s="2977" t="s">
        <v>6384</v>
      </c>
      <c r="D393" s="2637">
        <v>383249719</v>
      </c>
      <c r="E393" s="2637">
        <v>375114991</v>
      </c>
      <c r="F393" s="2637">
        <v>383249719</v>
      </c>
      <c r="G393" s="2637">
        <v>375114991</v>
      </c>
      <c r="H393" s="2637">
        <v>400169569</v>
      </c>
      <c r="I393" s="2637">
        <v>392034841</v>
      </c>
      <c r="J393" s="2637">
        <v>400169569</v>
      </c>
      <c r="K393" s="2637">
        <v>392034841</v>
      </c>
      <c r="L393" s="2637">
        <v>21199728</v>
      </c>
      <c r="M393" s="2637">
        <v>16919850</v>
      </c>
    </row>
    <row r="394" spans="1:13" ht="14.5">
      <c r="A394" s="2978" t="s">
        <v>9789</v>
      </c>
      <c r="B394" s="2113" t="str">
        <f t="shared" si="7"/>
        <v>099-902</v>
      </c>
      <c r="C394" s="2978" t="s">
        <v>6385</v>
      </c>
      <c r="D394" s="2639">
        <v>176088617</v>
      </c>
      <c r="E394" s="2639">
        <v>174241157</v>
      </c>
      <c r="F394" s="2639">
        <v>176088617</v>
      </c>
      <c r="G394" s="2639">
        <v>174241157</v>
      </c>
      <c r="H394" s="2639">
        <v>352182987</v>
      </c>
      <c r="I394" s="2639">
        <v>350335527</v>
      </c>
      <c r="J394" s="2639">
        <v>352182987</v>
      </c>
      <c r="K394" s="2639">
        <v>350335527</v>
      </c>
      <c r="L394" s="2639">
        <v>5867460</v>
      </c>
      <c r="M394" s="2639">
        <v>176094370</v>
      </c>
    </row>
    <row r="395" spans="1:13" ht="14.5">
      <c r="A395" s="2977" t="s">
        <v>9790</v>
      </c>
      <c r="B395" s="2113" t="str">
        <f t="shared" si="7"/>
        <v>099-903</v>
      </c>
      <c r="C395" s="2977" t="s">
        <v>6386</v>
      </c>
      <c r="D395" s="2637">
        <v>347775875</v>
      </c>
      <c r="E395" s="2637">
        <v>342336315</v>
      </c>
      <c r="F395" s="2637">
        <v>347775875</v>
      </c>
      <c r="G395" s="2637">
        <v>342336315</v>
      </c>
      <c r="H395" s="2637">
        <v>404775775</v>
      </c>
      <c r="I395" s="2637">
        <v>399336215</v>
      </c>
      <c r="J395" s="2637">
        <v>404775775</v>
      </c>
      <c r="K395" s="2637">
        <v>399336215</v>
      </c>
      <c r="L395" s="2637">
        <v>16524560</v>
      </c>
      <c r="M395" s="2637">
        <v>56999900</v>
      </c>
    </row>
    <row r="396" spans="1:13" ht="14.5">
      <c r="A396" s="2978" t="s">
        <v>9791</v>
      </c>
      <c r="B396" s="2113" t="str">
        <f t="shared" si="7"/>
        <v>100-903</v>
      </c>
      <c r="C396" s="2978" t="s">
        <v>6387</v>
      </c>
      <c r="D396" s="2639">
        <v>499510837</v>
      </c>
      <c r="E396" s="2639">
        <v>482869637</v>
      </c>
      <c r="F396" s="2639">
        <v>488882302</v>
      </c>
      <c r="G396" s="2639">
        <v>472241102</v>
      </c>
      <c r="H396" s="2639">
        <v>499510837</v>
      </c>
      <c r="I396" s="2639">
        <v>482869637</v>
      </c>
      <c r="J396" s="2639">
        <v>488882302</v>
      </c>
      <c r="K396" s="2639">
        <v>472241102</v>
      </c>
      <c r="L396" s="2639">
        <v>48096200</v>
      </c>
      <c r="M396" s="2639">
        <v>0</v>
      </c>
    </row>
    <row r="397" spans="1:13" ht="14.5">
      <c r="A397" s="2977" t="s">
        <v>9792</v>
      </c>
      <c r="B397" s="2113" t="str">
        <f t="shared" si="7"/>
        <v>100-904</v>
      </c>
      <c r="C397" s="2977" t="s">
        <v>6388</v>
      </c>
      <c r="D397" s="2637">
        <v>1075066799</v>
      </c>
      <c r="E397" s="2637">
        <v>1039673144</v>
      </c>
      <c r="F397" s="2637">
        <v>1075066799</v>
      </c>
      <c r="G397" s="2637">
        <v>1039673144</v>
      </c>
      <c r="H397" s="2637">
        <v>1075066799</v>
      </c>
      <c r="I397" s="2637">
        <v>1039673144</v>
      </c>
      <c r="J397" s="2637">
        <v>1075066799</v>
      </c>
      <c r="K397" s="2637">
        <v>1039673144</v>
      </c>
      <c r="L397" s="2637">
        <v>99518655</v>
      </c>
      <c r="M397" s="2637">
        <v>0</v>
      </c>
    </row>
    <row r="398" spans="1:13" ht="14.5">
      <c r="A398" s="2978" t="s">
        <v>9793</v>
      </c>
      <c r="B398" s="2113" t="str">
        <f t="shared" si="7"/>
        <v>100-905</v>
      </c>
      <c r="C398" s="2978" t="s">
        <v>6389</v>
      </c>
      <c r="D398" s="2639">
        <v>1254558555</v>
      </c>
      <c r="E398" s="2639">
        <v>1223790435</v>
      </c>
      <c r="F398" s="2639">
        <v>1208857999</v>
      </c>
      <c r="G398" s="2639">
        <v>1178089879</v>
      </c>
      <c r="H398" s="2639">
        <v>1254558555</v>
      </c>
      <c r="I398" s="2639">
        <v>1223790435</v>
      </c>
      <c r="J398" s="2639">
        <v>1208857999</v>
      </c>
      <c r="K398" s="2639">
        <v>1178089879</v>
      </c>
      <c r="L398" s="2639">
        <v>85308120</v>
      </c>
      <c r="M398" s="2639">
        <v>0</v>
      </c>
    </row>
    <row r="399" spans="1:13" ht="14.5">
      <c r="A399" s="2977" t="s">
        <v>9794</v>
      </c>
      <c r="B399" s="2113" t="str">
        <f t="shared" si="7"/>
        <v>100-907</v>
      </c>
      <c r="C399" s="2977" t="s">
        <v>6390</v>
      </c>
      <c r="D399" s="2637">
        <v>1551828102</v>
      </c>
      <c r="E399" s="2637">
        <v>1499046182</v>
      </c>
      <c r="F399" s="2637">
        <v>1551828102</v>
      </c>
      <c r="G399" s="2637">
        <v>1499046182</v>
      </c>
      <c r="H399" s="2637">
        <v>1551828102</v>
      </c>
      <c r="I399" s="2637">
        <v>1499046182</v>
      </c>
      <c r="J399" s="2637">
        <v>1551828102</v>
      </c>
      <c r="K399" s="2637">
        <v>1499046182</v>
      </c>
      <c r="L399" s="2637">
        <v>140261920</v>
      </c>
      <c r="M399" s="2637">
        <v>0</v>
      </c>
    </row>
    <row r="400" spans="1:13" ht="14.5">
      <c r="A400" s="2978" t="s">
        <v>9795</v>
      </c>
      <c r="B400" s="2113" t="str">
        <f t="shared" si="7"/>
        <v>100-908</v>
      </c>
      <c r="C400" s="2978" t="s">
        <v>6391</v>
      </c>
      <c r="D400" s="2639">
        <v>285269572</v>
      </c>
      <c r="E400" s="2639">
        <v>278539207</v>
      </c>
      <c r="F400" s="2639">
        <v>285269572</v>
      </c>
      <c r="G400" s="2639">
        <v>278539207</v>
      </c>
      <c r="H400" s="2639">
        <v>285269572</v>
      </c>
      <c r="I400" s="2639">
        <v>278539207</v>
      </c>
      <c r="J400" s="2639">
        <v>285269572</v>
      </c>
      <c r="K400" s="2639">
        <v>278539207</v>
      </c>
      <c r="L400" s="2639">
        <v>19915365</v>
      </c>
      <c r="M400" s="2639">
        <v>0</v>
      </c>
    </row>
    <row r="401" spans="1:13" ht="14.5">
      <c r="A401" s="2977" t="s">
        <v>9796</v>
      </c>
      <c r="B401" s="2113" t="str">
        <f t="shared" si="7"/>
        <v>101-902</v>
      </c>
      <c r="C401" s="2977" t="s">
        <v>6392</v>
      </c>
      <c r="D401" s="2637">
        <v>23590581559</v>
      </c>
      <c r="E401" s="2637">
        <v>23255836873</v>
      </c>
      <c r="F401" s="2637">
        <v>23590581559</v>
      </c>
      <c r="G401" s="2637">
        <v>23255836873</v>
      </c>
      <c r="H401" s="2637">
        <v>23590581559</v>
      </c>
      <c r="I401" s="2637">
        <v>23255836873</v>
      </c>
      <c r="J401" s="2637">
        <v>23590581559</v>
      </c>
      <c r="K401" s="2637">
        <v>23255836873</v>
      </c>
      <c r="L401" s="2637">
        <v>864349686</v>
      </c>
      <c r="M401" s="2637">
        <v>0</v>
      </c>
    </row>
    <row r="402" spans="1:13" ht="14.5">
      <c r="A402" s="2978" t="s">
        <v>9797</v>
      </c>
      <c r="B402" s="2113" t="str">
        <f t="shared" si="7"/>
        <v>101-903</v>
      </c>
      <c r="C402" s="2978" t="s">
        <v>6393</v>
      </c>
      <c r="D402" s="2639">
        <v>18035788456</v>
      </c>
      <c r="E402" s="2639">
        <v>17770820753</v>
      </c>
      <c r="F402" s="2639">
        <v>18035788456</v>
      </c>
      <c r="G402" s="2639">
        <v>17770820753</v>
      </c>
      <c r="H402" s="2639">
        <v>18035788456</v>
      </c>
      <c r="I402" s="2639">
        <v>17770820753</v>
      </c>
      <c r="J402" s="2639">
        <v>18035788456</v>
      </c>
      <c r="K402" s="2639">
        <v>17770820753</v>
      </c>
      <c r="L402" s="2639">
        <v>679912703</v>
      </c>
      <c r="M402" s="2639">
        <v>0</v>
      </c>
    </row>
    <row r="403" spans="1:13" ht="14.5">
      <c r="A403" s="2977" t="s">
        <v>9798</v>
      </c>
      <c r="B403" s="2113" t="str">
        <f t="shared" si="7"/>
        <v>101-905</v>
      </c>
      <c r="C403" s="2977" t="s">
        <v>6394</v>
      </c>
      <c r="D403" s="2637">
        <v>4103954006</v>
      </c>
      <c r="E403" s="2637">
        <v>4039335687</v>
      </c>
      <c r="F403" s="2637">
        <v>4103954006</v>
      </c>
      <c r="G403" s="2637">
        <v>4039335687</v>
      </c>
      <c r="H403" s="2637">
        <v>4372791896</v>
      </c>
      <c r="I403" s="2637">
        <v>4308173577</v>
      </c>
      <c r="J403" s="2637">
        <v>4372791896</v>
      </c>
      <c r="K403" s="2637">
        <v>4308173577</v>
      </c>
      <c r="L403" s="2637">
        <v>169588319</v>
      </c>
      <c r="M403" s="2637">
        <v>268837890</v>
      </c>
    </row>
    <row r="404" spans="1:13" ht="14.5">
      <c r="A404" s="2978" t="s">
        <v>9799</v>
      </c>
      <c r="B404" s="2113" t="str">
        <f t="shared" si="7"/>
        <v>101-906</v>
      </c>
      <c r="C404" s="2978" t="s">
        <v>6395</v>
      </c>
      <c r="D404" s="2639">
        <v>2477402676</v>
      </c>
      <c r="E404" s="2639">
        <v>2411021724</v>
      </c>
      <c r="F404" s="2639">
        <v>2477402676</v>
      </c>
      <c r="G404" s="2639">
        <v>2411021724</v>
      </c>
      <c r="H404" s="2639">
        <v>2477402676</v>
      </c>
      <c r="I404" s="2639">
        <v>2411021724</v>
      </c>
      <c r="J404" s="2639">
        <v>2477402676</v>
      </c>
      <c r="K404" s="2639">
        <v>2411021724</v>
      </c>
      <c r="L404" s="2639">
        <v>174875952</v>
      </c>
      <c r="M404" s="2639">
        <v>0</v>
      </c>
    </row>
    <row r="405" spans="1:13" ht="14.5">
      <c r="A405" s="2977" t="s">
        <v>9800</v>
      </c>
      <c r="B405" s="2113" t="str">
        <f t="shared" si="7"/>
        <v>101-907</v>
      </c>
      <c r="C405" s="2977" t="s">
        <v>6396</v>
      </c>
      <c r="D405" s="2637">
        <v>66976187500</v>
      </c>
      <c r="E405" s="2637">
        <v>65724522384</v>
      </c>
      <c r="F405" s="2637">
        <v>63712547627</v>
      </c>
      <c r="G405" s="2637">
        <v>62460882511</v>
      </c>
      <c r="H405" s="2637">
        <v>66976187500</v>
      </c>
      <c r="I405" s="2637">
        <v>65724522384</v>
      </c>
      <c r="J405" s="2637">
        <v>63712547627</v>
      </c>
      <c r="K405" s="2637">
        <v>62460882511</v>
      </c>
      <c r="L405" s="2637">
        <v>3139175116</v>
      </c>
      <c r="M405" s="2637">
        <v>0</v>
      </c>
    </row>
    <row r="406" spans="1:13" ht="14.5">
      <c r="A406" s="2978" t="s">
        <v>9801</v>
      </c>
      <c r="B406" s="2113" t="str">
        <f t="shared" si="7"/>
        <v>101-908</v>
      </c>
      <c r="C406" s="2978" t="s">
        <v>6397</v>
      </c>
      <c r="D406" s="2639">
        <v>11378375260</v>
      </c>
      <c r="E406" s="2639">
        <v>11264390394</v>
      </c>
      <c r="F406" s="2639">
        <v>11135304862</v>
      </c>
      <c r="G406" s="2639">
        <v>11021319996</v>
      </c>
      <c r="H406" s="2639">
        <v>12398633190</v>
      </c>
      <c r="I406" s="2639">
        <v>12284648324</v>
      </c>
      <c r="J406" s="2639">
        <v>12155562792</v>
      </c>
      <c r="K406" s="2639">
        <v>12041577926</v>
      </c>
      <c r="L406" s="2639">
        <v>287774866</v>
      </c>
      <c r="M406" s="2639">
        <v>1020257930</v>
      </c>
    </row>
    <row r="407" spans="1:13" ht="14.5">
      <c r="A407" s="2977" t="s">
        <v>9802</v>
      </c>
      <c r="B407" s="2113" t="str">
        <f t="shared" si="7"/>
        <v>101-910</v>
      </c>
      <c r="C407" s="2977" t="s">
        <v>6398</v>
      </c>
      <c r="D407" s="2637">
        <v>10827868381</v>
      </c>
      <c r="E407" s="2637">
        <v>10705213222</v>
      </c>
      <c r="F407" s="2637">
        <v>10659212386</v>
      </c>
      <c r="G407" s="2637">
        <v>10536557227</v>
      </c>
      <c r="H407" s="2637">
        <v>10827868381</v>
      </c>
      <c r="I407" s="2637">
        <v>10705213222</v>
      </c>
      <c r="J407" s="2637">
        <v>10659212386</v>
      </c>
      <c r="K407" s="2637">
        <v>10536557227</v>
      </c>
      <c r="L407" s="2637">
        <v>310260159</v>
      </c>
      <c r="M407" s="2637">
        <v>0</v>
      </c>
    </row>
    <row r="408" spans="1:13" ht="14.5">
      <c r="A408" s="2978" t="s">
        <v>9803</v>
      </c>
      <c r="B408" s="2113" t="str">
        <f t="shared" si="7"/>
        <v>101-911</v>
      </c>
      <c r="C408" s="2978" t="s">
        <v>6399</v>
      </c>
      <c r="D408" s="2639">
        <v>13886308459</v>
      </c>
      <c r="E408" s="2639">
        <v>13688530777</v>
      </c>
      <c r="F408" s="2639">
        <v>13719080019</v>
      </c>
      <c r="G408" s="2639">
        <v>13521302337</v>
      </c>
      <c r="H408" s="2639">
        <v>16735138091</v>
      </c>
      <c r="I408" s="2639">
        <v>16537360409</v>
      </c>
      <c r="J408" s="2639">
        <v>16567909651</v>
      </c>
      <c r="K408" s="2639">
        <v>16370131969</v>
      </c>
      <c r="L408" s="2639">
        <v>507317682</v>
      </c>
      <c r="M408" s="2639">
        <v>2848829632</v>
      </c>
    </row>
    <row r="409" spans="1:13" ht="14.5">
      <c r="A409" s="2977" t="s">
        <v>9804</v>
      </c>
      <c r="B409" s="2113" t="str">
        <f t="shared" si="7"/>
        <v>101-912</v>
      </c>
      <c r="C409" s="2977" t="s">
        <v>6400</v>
      </c>
      <c r="D409" s="2637">
        <v>205711530426</v>
      </c>
      <c r="E409" s="2637">
        <v>203490915025</v>
      </c>
      <c r="F409" s="2637">
        <v>197275486685</v>
      </c>
      <c r="G409" s="2637">
        <v>195054871284</v>
      </c>
      <c r="H409" s="2637">
        <v>205711530426</v>
      </c>
      <c r="I409" s="2637">
        <v>203490915025</v>
      </c>
      <c r="J409" s="2637">
        <v>197275486685</v>
      </c>
      <c r="K409" s="2637">
        <v>195054871284</v>
      </c>
      <c r="L409" s="2637">
        <v>5595555401</v>
      </c>
      <c r="M409" s="2637">
        <v>0</v>
      </c>
    </row>
    <row r="410" spans="1:13" ht="14.5">
      <c r="A410" s="2978" t="s">
        <v>9805</v>
      </c>
      <c r="B410" s="2113" t="str">
        <f t="shared" si="7"/>
        <v>101-913</v>
      </c>
      <c r="C410" s="2978" t="s">
        <v>6401</v>
      </c>
      <c r="D410" s="2639">
        <v>19522314722</v>
      </c>
      <c r="E410" s="2639">
        <v>19043226340</v>
      </c>
      <c r="F410" s="2639">
        <v>19522314722</v>
      </c>
      <c r="G410" s="2639">
        <v>19043226340</v>
      </c>
      <c r="H410" s="2639">
        <v>19522314722</v>
      </c>
      <c r="I410" s="2639">
        <v>19043226340</v>
      </c>
      <c r="J410" s="2639">
        <v>19522314722</v>
      </c>
      <c r="K410" s="2639">
        <v>19043226340</v>
      </c>
      <c r="L410" s="2639">
        <v>1218543382</v>
      </c>
      <c r="M410" s="2639">
        <v>0</v>
      </c>
    </row>
    <row r="411" spans="1:13" ht="14.5">
      <c r="A411" s="2977" t="s">
        <v>9806</v>
      </c>
      <c r="B411" s="2113" t="str">
        <f t="shared" si="7"/>
        <v>101-914</v>
      </c>
      <c r="C411" s="2977" t="s">
        <v>6402</v>
      </c>
      <c r="D411" s="2637">
        <v>48015594464</v>
      </c>
      <c r="E411" s="2637">
        <v>47249247548</v>
      </c>
      <c r="F411" s="2637">
        <v>48015594464</v>
      </c>
      <c r="G411" s="2637">
        <v>47249247548</v>
      </c>
      <c r="H411" s="2637">
        <v>48015594464</v>
      </c>
      <c r="I411" s="2637">
        <v>47249247548</v>
      </c>
      <c r="J411" s="2637">
        <v>48015594464</v>
      </c>
      <c r="K411" s="2637">
        <v>47249247548</v>
      </c>
      <c r="L411" s="2637">
        <v>1950161916</v>
      </c>
      <c r="M411" s="2637">
        <v>0</v>
      </c>
    </row>
    <row r="412" spans="1:13" ht="14.5">
      <c r="A412" s="2978" t="s">
        <v>9807</v>
      </c>
      <c r="B412" s="2113" t="str">
        <f t="shared" si="7"/>
        <v>101-915</v>
      </c>
      <c r="C412" s="2978" t="s">
        <v>6403</v>
      </c>
      <c r="D412" s="2639">
        <v>25497914679</v>
      </c>
      <c r="E412" s="2639">
        <v>24928936248</v>
      </c>
      <c r="F412" s="2639">
        <v>25497914679</v>
      </c>
      <c r="G412" s="2639">
        <v>24928936248</v>
      </c>
      <c r="H412" s="2639">
        <v>25497914679</v>
      </c>
      <c r="I412" s="2639">
        <v>24928936248</v>
      </c>
      <c r="J412" s="2639">
        <v>25497914679</v>
      </c>
      <c r="K412" s="2639">
        <v>24928936248</v>
      </c>
      <c r="L412" s="2639">
        <v>1447933431</v>
      </c>
      <c r="M412" s="2639">
        <v>0</v>
      </c>
    </row>
    <row r="413" spans="1:13" ht="14.5">
      <c r="A413" s="2977" t="s">
        <v>9808</v>
      </c>
      <c r="B413" s="2113" t="str">
        <f t="shared" si="7"/>
        <v>101-916</v>
      </c>
      <c r="C413" s="2977" t="s">
        <v>6404</v>
      </c>
      <c r="D413" s="2637">
        <v>11997704219</v>
      </c>
      <c r="E413" s="2637">
        <v>11892392296</v>
      </c>
      <c r="F413" s="2637">
        <v>11767513780</v>
      </c>
      <c r="G413" s="2637">
        <v>11662201857</v>
      </c>
      <c r="H413" s="2637">
        <v>12873969569</v>
      </c>
      <c r="I413" s="2637">
        <v>12768657646</v>
      </c>
      <c r="J413" s="2637">
        <v>12643779130</v>
      </c>
      <c r="K413" s="2637">
        <v>12538467207</v>
      </c>
      <c r="L413" s="2637">
        <v>265196923</v>
      </c>
      <c r="M413" s="2637">
        <v>876265350</v>
      </c>
    </row>
    <row r="414" spans="1:13" ht="14.5">
      <c r="A414" s="2978" t="s">
        <v>9809</v>
      </c>
      <c r="B414" s="2113" t="str">
        <f t="shared" si="7"/>
        <v>101-917</v>
      </c>
      <c r="C414" s="2978" t="s">
        <v>6405</v>
      </c>
      <c r="D414" s="2639">
        <v>17896187548</v>
      </c>
      <c r="E414" s="2639">
        <v>17526870372</v>
      </c>
      <c r="F414" s="2639">
        <v>17579971677</v>
      </c>
      <c r="G414" s="2639">
        <v>17210654501</v>
      </c>
      <c r="H414" s="2639">
        <v>17896187548</v>
      </c>
      <c r="I414" s="2639">
        <v>17526870372</v>
      </c>
      <c r="J414" s="2639">
        <v>17579971677</v>
      </c>
      <c r="K414" s="2639">
        <v>17210654501</v>
      </c>
      <c r="L414" s="2639">
        <v>939692176</v>
      </c>
      <c r="M414" s="2639">
        <v>0</v>
      </c>
    </row>
    <row r="415" spans="1:13" ht="14.5">
      <c r="A415" s="2977" t="s">
        <v>9810</v>
      </c>
      <c r="B415" s="2113" t="str">
        <f t="shared" si="7"/>
        <v>101-919</v>
      </c>
      <c r="C415" s="2977" t="s">
        <v>6406</v>
      </c>
      <c r="D415" s="2637">
        <v>16348518156</v>
      </c>
      <c r="E415" s="2637">
        <v>16066916252</v>
      </c>
      <c r="F415" s="2637">
        <v>16348518156</v>
      </c>
      <c r="G415" s="2637">
        <v>16066916252</v>
      </c>
      <c r="H415" s="2637">
        <v>16348518156</v>
      </c>
      <c r="I415" s="2637">
        <v>16066916252</v>
      </c>
      <c r="J415" s="2637">
        <v>16348518156</v>
      </c>
      <c r="K415" s="2637">
        <v>16066916252</v>
      </c>
      <c r="L415" s="2637">
        <v>718821904</v>
      </c>
      <c r="M415" s="2637">
        <v>0</v>
      </c>
    </row>
    <row r="416" spans="1:13" ht="14.5">
      <c r="A416" s="2978" t="s">
        <v>9811</v>
      </c>
      <c r="B416" s="2113" t="str">
        <f t="shared" si="7"/>
        <v>101-920</v>
      </c>
      <c r="C416" s="2978" t="s">
        <v>6407</v>
      </c>
      <c r="D416" s="2639">
        <v>38864753521</v>
      </c>
      <c r="E416" s="2639">
        <v>38525509626</v>
      </c>
      <c r="F416" s="2639">
        <v>36499079977</v>
      </c>
      <c r="G416" s="2639">
        <v>36159836082</v>
      </c>
      <c r="H416" s="2639">
        <v>38864753521</v>
      </c>
      <c r="I416" s="2639">
        <v>38525509626</v>
      </c>
      <c r="J416" s="2639">
        <v>36499079977</v>
      </c>
      <c r="K416" s="2639">
        <v>36159836082</v>
      </c>
      <c r="L416" s="2639">
        <v>849453895</v>
      </c>
      <c r="M416" s="2639">
        <v>0</v>
      </c>
    </row>
    <row r="417" spans="1:13" ht="14.5">
      <c r="A417" s="2977" t="s">
        <v>9812</v>
      </c>
      <c r="B417" s="2113" t="str">
        <f t="shared" si="7"/>
        <v>101-921</v>
      </c>
      <c r="C417" s="2977" t="s">
        <v>6408</v>
      </c>
      <c r="D417" s="2637">
        <v>13621019697</v>
      </c>
      <c r="E417" s="2637">
        <v>13400754025</v>
      </c>
      <c r="F417" s="2637">
        <v>13621019697</v>
      </c>
      <c r="G417" s="2637">
        <v>13400754025</v>
      </c>
      <c r="H417" s="2637">
        <v>13621019697</v>
      </c>
      <c r="I417" s="2637">
        <v>13400754025</v>
      </c>
      <c r="J417" s="2637">
        <v>13621019697</v>
      </c>
      <c r="K417" s="2637">
        <v>13400754025</v>
      </c>
      <c r="L417" s="2637">
        <v>561560672</v>
      </c>
      <c r="M417" s="2637">
        <v>0</v>
      </c>
    </row>
    <row r="418" spans="1:13" ht="14.5">
      <c r="A418" s="2978" t="s">
        <v>9813</v>
      </c>
      <c r="B418" s="2113" t="str">
        <f t="shared" si="7"/>
        <v>101-924</v>
      </c>
      <c r="C418" s="2978" t="s">
        <v>6409</v>
      </c>
      <c r="D418" s="2639">
        <v>5970094293</v>
      </c>
      <c r="E418" s="2639">
        <v>5900859741</v>
      </c>
      <c r="F418" s="2639">
        <v>5856028210</v>
      </c>
      <c r="G418" s="2639">
        <v>5786793658</v>
      </c>
      <c r="H418" s="2639">
        <v>6277172283</v>
      </c>
      <c r="I418" s="2639">
        <v>6207937731</v>
      </c>
      <c r="J418" s="2639">
        <v>6163106200</v>
      </c>
      <c r="K418" s="2639">
        <v>6093871648</v>
      </c>
      <c r="L418" s="2639">
        <v>180009552</v>
      </c>
      <c r="M418" s="2639">
        <v>307077990</v>
      </c>
    </row>
    <row r="419" spans="1:13" ht="14.5">
      <c r="A419" s="2977" t="s">
        <v>9814</v>
      </c>
      <c r="B419" s="2113" t="str">
        <f t="shared" si="7"/>
        <v>101-925</v>
      </c>
      <c r="C419" s="2977" t="s">
        <v>6410</v>
      </c>
      <c r="D419" s="2637">
        <v>1567387404</v>
      </c>
      <c r="E419" s="2637">
        <v>1528315875</v>
      </c>
      <c r="F419" s="2637">
        <v>1567387404</v>
      </c>
      <c r="G419" s="2637">
        <v>1528315875</v>
      </c>
      <c r="H419" s="2637">
        <v>1567387404</v>
      </c>
      <c r="I419" s="2637">
        <v>1528315875</v>
      </c>
      <c r="J419" s="2637">
        <v>1567387404</v>
      </c>
      <c r="K419" s="2637">
        <v>1528315875</v>
      </c>
      <c r="L419" s="2637">
        <v>101951529</v>
      </c>
      <c r="M419" s="2637">
        <v>0</v>
      </c>
    </row>
    <row r="420" spans="1:13" ht="14.5">
      <c r="A420" s="2978" t="s">
        <v>9815</v>
      </c>
      <c r="B420" s="2113" t="str">
        <f t="shared" si="7"/>
        <v>102-901</v>
      </c>
      <c r="C420" s="2978" t="s">
        <v>6411</v>
      </c>
      <c r="D420" s="2639">
        <v>225166458</v>
      </c>
      <c r="E420" s="2639">
        <v>220530406</v>
      </c>
      <c r="F420" s="2639">
        <v>217612154</v>
      </c>
      <c r="G420" s="2639">
        <v>212976102</v>
      </c>
      <c r="H420" s="2639">
        <v>225166458</v>
      </c>
      <c r="I420" s="2639">
        <v>220530406</v>
      </c>
      <c r="J420" s="2639">
        <v>217612154</v>
      </c>
      <c r="K420" s="2639">
        <v>212976102</v>
      </c>
      <c r="L420" s="2639">
        <v>15571052</v>
      </c>
      <c r="M420" s="2639">
        <v>0</v>
      </c>
    </row>
    <row r="421" spans="1:13" ht="14.5">
      <c r="A421" s="2977" t="s">
        <v>9816</v>
      </c>
      <c r="B421" s="2113" t="str">
        <f t="shared" si="7"/>
        <v>102-902</v>
      </c>
      <c r="C421" s="2977" t="s">
        <v>6412</v>
      </c>
      <c r="D421" s="2637">
        <v>2615127235</v>
      </c>
      <c r="E421" s="2637">
        <v>2557707429</v>
      </c>
      <c r="F421" s="2637">
        <v>2529759766</v>
      </c>
      <c r="G421" s="2637">
        <v>2472339960</v>
      </c>
      <c r="H421" s="2637">
        <v>2615127235</v>
      </c>
      <c r="I421" s="2637">
        <v>2557707429</v>
      </c>
      <c r="J421" s="2637">
        <v>2529759766</v>
      </c>
      <c r="K421" s="2637">
        <v>2472339960</v>
      </c>
      <c r="L421" s="2637">
        <v>166694806</v>
      </c>
      <c r="M421" s="2637">
        <v>0</v>
      </c>
    </row>
    <row r="422" spans="1:13" ht="14.5">
      <c r="A422" s="2978" t="s">
        <v>9817</v>
      </c>
      <c r="B422" s="2113" t="str">
        <f t="shared" si="7"/>
        <v>102-903</v>
      </c>
      <c r="C422" s="2978" t="s">
        <v>6413</v>
      </c>
      <c r="D422" s="2639">
        <v>486320093</v>
      </c>
      <c r="E422" s="2639">
        <v>479962131</v>
      </c>
      <c r="F422" s="2639">
        <v>476580421</v>
      </c>
      <c r="G422" s="2639">
        <v>470222459</v>
      </c>
      <c r="H422" s="2639">
        <v>486320093</v>
      </c>
      <c r="I422" s="2639">
        <v>479962131</v>
      </c>
      <c r="J422" s="2639">
        <v>476580421</v>
      </c>
      <c r="K422" s="2639">
        <v>470222459</v>
      </c>
      <c r="L422" s="2639">
        <v>22362962</v>
      </c>
      <c r="M422" s="2639">
        <v>0</v>
      </c>
    </row>
    <row r="423" spans="1:13" ht="14.5">
      <c r="A423" s="2977" t="s">
        <v>9818</v>
      </c>
      <c r="B423" s="2113" t="str">
        <f t="shared" si="7"/>
        <v>102-904</v>
      </c>
      <c r="C423" s="2977" t="s">
        <v>6414</v>
      </c>
      <c r="D423" s="2637">
        <v>2984717560</v>
      </c>
      <c r="E423" s="2637">
        <v>2936640867</v>
      </c>
      <c r="F423" s="2637">
        <v>2872928201</v>
      </c>
      <c r="G423" s="2637">
        <v>2824851508</v>
      </c>
      <c r="H423" s="2637">
        <v>2984717560</v>
      </c>
      <c r="I423" s="2637">
        <v>2936640867</v>
      </c>
      <c r="J423" s="2637">
        <v>2872928201</v>
      </c>
      <c r="K423" s="2637">
        <v>2824851508</v>
      </c>
      <c r="L423" s="2637">
        <v>133246693</v>
      </c>
      <c r="M423" s="2637">
        <v>0</v>
      </c>
    </row>
    <row r="424" spans="1:13" ht="14.5">
      <c r="A424" s="2978" t="s">
        <v>9819</v>
      </c>
      <c r="B424" s="2113" t="str">
        <f t="shared" si="7"/>
        <v>102-905</v>
      </c>
      <c r="C424" s="2978" t="s">
        <v>6415</v>
      </c>
      <c r="D424" s="2639">
        <v>200493183</v>
      </c>
      <c r="E424" s="2639">
        <v>194075919</v>
      </c>
      <c r="F424" s="2639">
        <v>188188511</v>
      </c>
      <c r="G424" s="2639">
        <v>181771247</v>
      </c>
      <c r="H424" s="2639">
        <v>200493183</v>
      </c>
      <c r="I424" s="2639">
        <v>194075919</v>
      </c>
      <c r="J424" s="2639">
        <v>188188511</v>
      </c>
      <c r="K424" s="2639">
        <v>181771247</v>
      </c>
      <c r="L424" s="2639">
        <v>21357264</v>
      </c>
      <c r="M424" s="2639">
        <v>0</v>
      </c>
    </row>
    <row r="425" spans="1:13" ht="14.5">
      <c r="A425" s="2977" t="s">
        <v>9820</v>
      </c>
      <c r="B425" s="2113" t="str">
        <f t="shared" si="7"/>
        <v>102-906</v>
      </c>
      <c r="C425" s="2977" t="s">
        <v>6416</v>
      </c>
      <c r="D425" s="2637">
        <v>1066443199</v>
      </c>
      <c r="E425" s="2637">
        <v>1055675273</v>
      </c>
      <c r="F425" s="2637">
        <v>1049735438</v>
      </c>
      <c r="G425" s="2637">
        <v>1038967512</v>
      </c>
      <c r="H425" s="2637">
        <v>1066443199</v>
      </c>
      <c r="I425" s="2637">
        <v>1055675273</v>
      </c>
      <c r="J425" s="2637">
        <v>1049735438</v>
      </c>
      <c r="K425" s="2637">
        <v>1038967512</v>
      </c>
      <c r="L425" s="2637">
        <v>32217926</v>
      </c>
      <c r="M425" s="2637">
        <v>0</v>
      </c>
    </row>
    <row r="426" spans="1:13" ht="14.5">
      <c r="A426" s="2978" t="s">
        <v>9821</v>
      </c>
      <c r="B426" s="2113" t="str">
        <f t="shared" si="7"/>
        <v>103-901</v>
      </c>
      <c r="C426" s="2978" t="s">
        <v>6417</v>
      </c>
      <c r="D426" s="2639">
        <v>211038296</v>
      </c>
      <c r="E426" s="2639">
        <v>210342296</v>
      </c>
      <c r="F426" s="2639">
        <v>211038296</v>
      </c>
      <c r="G426" s="2639">
        <v>210342296</v>
      </c>
      <c r="H426" s="2639">
        <v>211038296</v>
      </c>
      <c r="I426" s="2639">
        <v>210342296</v>
      </c>
      <c r="J426" s="2639">
        <v>211038296</v>
      </c>
      <c r="K426" s="2639">
        <v>210342296</v>
      </c>
      <c r="L426" s="2639">
        <v>1956000</v>
      </c>
      <c r="M426" s="2639">
        <v>0</v>
      </c>
    </row>
    <row r="427" spans="1:13" ht="14.5">
      <c r="A427" s="2977" t="s">
        <v>9822</v>
      </c>
      <c r="B427" s="2113" t="str">
        <f t="shared" si="7"/>
        <v>103-902</v>
      </c>
      <c r="C427" s="2977" t="s">
        <v>6418</v>
      </c>
      <c r="D427" s="2637">
        <v>229383550</v>
      </c>
      <c r="E427" s="2637">
        <v>228405020</v>
      </c>
      <c r="F427" s="2637">
        <v>229383550</v>
      </c>
      <c r="G427" s="2637">
        <v>228405020</v>
      </c>
      <c r="H427" s="2637">
        <v>229383550</v>
      </c>
      <c r="I427" s="2637">
        <v>228405020</v>
      </c>
      <c r="J427" s="2637">
        <v>229383550</v>
      </c>
      <c r="K427" s="2637">
        <v>228405020</v>
      </c>
      <c r="L427" s="2637">
        <v>2523530</v>
      </c>
      <c r="M427" s="2637">
        <v>0</v>
      </c>
    </row>
    <row r="428" spans="1:13" ht="14.5">
      <c r="A428" s="2978" t="s">
        <v>9823</v>
      </c>
      <c r="B428" s="2113" t="str">
        <f t="shared" si="7"/>
        <v>104-901</v>
      </c>
      <c r="C428" s="2978" t="s">
        <v>6419</v>
      </c>
      <c r="D428" s="2639">
        <v>298251266</v>
      </c>
      <c r="E428" s="2639">
        <v>290215766</v>
      </c>
      <c r="F428" s="2639">
        <v>298251266</v>
      </c>
      <c r="G428" s="2639">
        <v>290215766</v>
      </c>
      <c r="H428" s="2639">
        <v>548104526</v>
      </c>
      <c r="I428" s="2639">
        <v>540069026</v>
      </c>
      <c r="J428" s="2639">
        <v>548104526</v>
      </c>
      <c r="K428" s="2639">
        <v>540069026</v>
      </c>
      <c r="L428" s="2639">
        <v>22810500</v>
      </c>
      <c r="M428" s="2639">
        <v>249853260</v>
      </c>
    </row>
    <row r="429" spans="1:13" ht="14.5">
      <c r="A429" s="2977" t="s">
        <v>9824</v>
      </c>
      <c r="B429" s="2113" t="str">
        <f t="shared" si="7"/>
        <v>104-903</v>
      </c>
      <c r="C429" s="2977" t="s">
        <v>6420</v>
      </c>
      <c r="D429" s="2637">
        <v>69399920</v>
      </c>
      <c r="E429" s="2637">
        <v>67741290</v>
      </c>
      <c r="F429" s="2637">
        <v>68653820</v>
      </c>
      <c r="G429" s="2637">
        <v>66995190</v>
      </c>
      <c r="H429" s="2637">
        <v>69399920</v>
      </c>
      <c r="I429" s="2637">
        <v>67741290</v>
      </c>
      <c r="J429" s="2637">
        <v>68653820</v>
      </c>
      <c r="K429" s="2637">
        <v>66995190</v>
      </c>
      <c r="L429" s="2637">
        <v>5318630</v>
      </c>
      <c r="M429" s="2637">
        <v>0</v>
      </c>
    </row>
    <row r="430" spans="1:13" ht="14.5">
      <c r="A430" s="2978" t="s">
        <v>10607</v>
      </c>
      <c r="B430" s="2113" t="str">
        <f t="shared" si="7"/>
        <v>104-907</v>
      </c>
      <c r="C430" s="2978" t="s">
        <v>6421</v>
      </c>
      <c r="D430" s="2639">
        <v>199696819</v>
      </c>
      <c r="E430" s="2639">
        <v>198976339</v>
      </c>
      <c r="F430" s="2639">
        <v>199696819</v>
      </c>
      <c r="G430" s="2639">
        <v>198976339</v>
      </c>
      <c r="H430" s="2639">
        <v>265375679</v>
      </c>
      <c r="I430" s="2639">
        <v>264655199</v>
      </c>
      <c r="J430" s="2639">
        <v>265375679</v>
      </c>
      <c r="K430" s="2639">
        <v>264655199</v>
      </c>
      <c r="L430" s="2639">
        <v>2370480</v>
      </c>
      <c r="M430" s="2639">
        <v>65678860</v>
      </c>
    </row>
    <row r="431" spans="1:13" ht="14.5">
      <c r="A431" s="2977" t="s">
        <v>9825</v>
      </c>
      <c r="B431" s="2113" t="str">
        <f t="shared" si="7"/>
        <v>105-902</v>
      </c>
      <c r="C431" s="2977" t="s">
        <v>6422</v>
      </c>
      <c r="D431" s="2637">
        <v>7458904485</v>
      </c>
      <c r="E431" s="2637">
        <v>7380682310</v>
      </c>
      <c r="F431" s="2637">
        <v>7458904485</v>
      </c>
      <c r="G431" s="2637">
        <v>7380682310</v>
      </c>
      <c r="H431" s="2637">
        <v>7458904485</v>
      </c>
      <c r="I431" s="2637">
        <v>7380682310</v>
      </c>
      <c r="J431" s="2637">
        <v>7458904485</v>
      </c>
      <c r="K431" s="2637">
        <v>7380682310</v>
      </c>
      <c r="L431" s="2637">
        <v>209877175</v>
      </c>
      <c r="M431" s="2637">
        <v>0</v>
      </c>
    </row>
    <row r="432" spans="1:13" ht="14.5">
      <c r="A432" s="2978" t="s">
        <v>9826</v>
      </c>
      <c r="B432" s="2113" t="str">
        <f t="shared" si="7"/>
        <v>105-904</v>
      </c>
      <c r="C432" s="2978" t="s">
        <v>6423</v>
      </c>
      <c r="D432" s="2639">
        <v>7620995907</v>
      </c>
      <c r="E432" s="2639">
        <v>7521526078</v>
      </c>
      <c r="F432" s="2639">
        <v>7620995907</v>
      </c>
      <c r="G432" s="2639">
        <v>7521526078</v>
      </c>
      <c r="H432" s="2639">
        <v>7620995907</v>
      </c>
      <c r="I432" s="2639">
        <v>7521526078</v>
      </c>
      <c r="J432" s="2639">
        <v>7620995907</v>
      </c>
      <c r="K432" s="2639">
        <v>7521526078</v>
      </c>
      <c r="L432" s="2639">
        <v>253999829</v>
      </c>
      <c r="M432" s="2639">
        <v>0</v>
      </c>
    </row>
    <row r="433" spans="1:13" ht="14.5">
      <c r="A433" s="2977" t="s">
        <v>9827</v>
      </c>
      <c r="B433" s="2113" t="str">
        <f t="shared" si="7"/>
        <v>105-905</v>
      </c>
      <c r="C433" s="2977" t="s">
        <v>6424</v>
      </c>
      <c r="D433" s="2637">
        <v>2871623722</v>
      </c>
      <c r="E433" s="2637">
        <v>2827388361</v>
      </c>
      <c r="F433" s="2637">
        <v>2871623722</v>
      </c>
      <c r="G433" s="2637">
        <v>2827388361</v>
      </c>
      <c r="H433" s="2637">
        <v>2871623722</v>
      </c>
      <c r="I433" s="2637">
        <v>2827388361</v>
      </c>
      <c r="J433" s="2637">
        <v>2871623722</v>
      </c>
      <c r="K433" s="2637">
        <v>2827388361</v>
      </c>
      <c r="L433" s="2637">
        <v>113895361</v>
      </c>
      <c r="M433" s="2637">
        <v>0</v>
      </c>
    </row>
    <row r="434" spans="1:13" ht="14.5">
      <c r="A434" s="2978" t="s">
        <v>9828</v>
      </c>
      <c r="B434" s="2113" t="str">
        <f t="shared" si="7"/>
        <v>105-906</v>
      </c>
      <c r="C434" s="2978" t="s">
        <v>6425</v>
      </c>
      <c r="D434" s="2639">
        <v>11631919110</v>
      </c>
      <c r="E434" s="2639">
        <v>11416133515</v>
      </c>
      <c r="F434" s="2639">
        <v>11631919110</v>
      </c>
      <c r="G434" s="2639">
        <v>11416133515</v>
      </c>
      <c r="H434" s="2639">
        <v>11631919110</v>
      </c>
      <c r="I434" s="2639">
        <v>11416133515</v>
      </c>
      <c r="J434" s="2639">
        <v>11631919110</v>
      </c>
      <c r="K434" s="2639">
        <v>11416133515</v>
      </c>
      <c r="L434" s="2639">
        <v>560050595</v>
      </c>
      <c r="M434" s="2639">
        <v>0</v>
      </c>
    </row>
    <row r="435" spans="1:13" ht="14.5">
      <c r="A435" s="2977" t="s">
        <v>9829</v>
      </c>
      <c r="B435" s="2113" t="str">
        <f t="shared" si="7"/>
        <v>106-901</v>
      </c>
      <c r="C435" s="2977" t="s">
        <v>6426</v>
      </c>
      <c r="D435" s="2637">
        <v>951853578</v>
      </c>
      <c r="E435" s="2637">
        <v>944015651</v>
      </c>
      <c r="F435" s="2637">
        <v>941733487</v>
      </c>
      <c r="G435" s="2637">
        <v>933895560</v>
      </c>
      <c r="H435" s="2637">
        <v>951853578</v>
      </c>
      <c r="I435" s="2637">
        <v>944015651</v>
      </c>
      <c r="J435" s="2637">
        <v>941733487</v>
      </c>
      <c r="K435" s="2637">
        <v>933895560</v>
      </c>
      <c r="L435" s="2637">
        <v>22222927</v>
      </c>
      <c r="M435" s="2637">
        <v>0</v>
      </c>
    </row>
    <row r="436" spans="1:13" ht="14.5">
      <c r="A436" s="2978" t="s">
        <v>9830</v>
      </c>
      <c r="B436" s="2113" t="str">
        <f t="shared" si="7"/>
        <v>107-901</v>
      </c>
      <c r="C436" s="2978" t="s">
        <v>6427</v>
      </c>
      <c r="D436" s="2639">
        <v>1769824889</v>
      </c>
      <c r="E436" s="2639">
        <v>1724928728</v>
      </c>
      <c r="F436" s="2639">
        <v>1769824889</v>
      </c>
      <c r="G436" s="2639">
        <v>1724928728</v>
      </c>
      <c r="H436" s="2639">
        <v>1769824889</v>
      </c>
      <c r="I436" s="2639">
        <v>1724928728</v>
      </c>
      <c r="J436" s="2639">
        <v>1769824889</v>
      </c>
      <c r="K436" s="2639">
        <v>1724928728</v>
      </c>
      <c r="L436" s="2639">
        <v>125491161</v>
      </c>
      <c r="M436" s="2639">
        <v>0</v>
      </c>
    </row>
    <row r="437" spans="1:13" ht="14.5">
      <c r="A437" s="2977" t="s">
        <v>9831</v>
      </c>
      <c r="B437" s="2113" t="str">
        <f t="shared" si="7"/>
        <v>107-902</v>
      </c>
      <c r="C437" s="2977" t="s">
        <v>6428</v>
      </c>
      <c r="D437" s="2637">
        <v>974767371</v>
      </c>
      <c r="E437" s="2637">
        <v>938471518</v>
      </c>
      <c r="F437" s="2637">
        <v>906058871</v>
      </c>
      <c r="G437" s="2637">
        <v>869763018</v>
      </c>
      <c r="H437" s="2637">
        <v>974767371</v>
      </c>
      <c r="I437" s="2637">
        <v>938471518</v>
      </c>
      <c r="J437" s="2637">
        <v>906058871</v>
      </c>
      <c r="K437" s="2637">
        <v>869763018</v>
      </c>
      <c r="L437" s="2637">
        <v>116755853</v>
      </c>
      <c r="M437" s="2637">
        <v>0</v>
      </c>
    </row>
    <row r="438" spans="1:13" ht="14.5">
      <c r="A438" s="2978" t="s">
        <v>10608</v>
      </c>
      <c r="B438" s="2113" t="str">
        <f t="shared" si="7"/>
        <v>107-904</v>
      </c>
      <c r="C438" s="2978" t="s">
        <v>6429</v>
      </c>
      <c r="D438" s="2639">
        <v>271575969</v>
      </c>
      <c r="E438" s="2639">
        <v>265554448</v>
      </c>
      <c r="F438" s="2639">
        <v>271575969</v>
      </c>
      <c r="G438" s="2639">
        <v>265554448</v>
      </c>
      <c r="H438" s="2639">
        <v>271575969</v>
      </c>
      <c r="I438" s="2639">
        <v>265554448</v>
      </c>
      <c r="J438" s="2639">
        <v>271575969</v>
      </c>
      <c r="K438" s="2639">
        <v>265554448</v>
      </c>
      <c r="L438" s="2639">
        <v>18141521</v>
      </c>
      <c r="M438" s="2639">
        <v>0</v>
      </c>
    </row>
    <row r="439" spans="1:13" ht="14.5">
      <c r="A439" s="2977" t="s">
        <v>10609</v>
      </c>
      <c r="B439" s="2113" t="str">
        <f t="shared" si="7"/>
        <v>107-905</v>
      </c>
      <c r="C439" s="2977" t="s">
        <v>6430</v>
      </c>
      <c r="D439" s="2637">
        <v>860020931</v>
      </c>
      <c r="E439" s="2637">
        <v>844899232</v>
      </c>
      <c r="F439" s="2637">
        <v>824181599</v>
      </c>
      <c r="G439" s="2637">
        <v>809059900</v>
      </c>
      <c r="H439" s="2637">
        <v>860020931</v>
      </c>
      <c r="I439" s="2637">
        <v>844899232</v>
      </c>
      <c r="J439" s="2637">
        <v>824181599</v>
      </c>
      <c r="K439" s="2637">
        <v>809059900</v>
      </c>
      <c r="L439" s="2637">
        <v>55636699</v>
      </c>
      <c r="M439" s="2637">
        <v>0</v>
      </c>
    </row>
    <row r="440" spans="1:13" ht="14.5">
      <c r="A440" s="2978" t="s">
        <v>10610</v>
      </c>
      <c r="B440" s="2113" t="str">
        <f t="shared" si="7"/>
        <v>107-906</v>
      </c>
      <c r="C440" s="2978" t="s">
        <v>6431</v>
      </c>
      <c r="D440" s="2639">
        <v>2062258719</v>
      </c>
      <c r="E440" s="2639">
        <v>2040840516</v>
      </c>
      <c r="F440" s="2639">
        <v>2062258719</v>
      </c>
      <c r="G440" s="2639">
        <v>2040840516</v>
      </c>
      <c r="H440" s="2639">
        <v>2062258719</v>
      </c>
      <c r="I440" s="2639">
        <v>2040840516</v>
      </c>
      <c r="J440" s="2639">
        <v>2062258719</v>
      </c>
      <c r="K440" s="2639">
        <v>2040840516</v>
      </c>
      <c r="L440" s="2639">
        <v>68548203</v>
      </c>
      <c r="M440" s="2639">
        <v>0</v>
      </c>
    </row>
    <row r="441" spans="1:13" ht="14.5">
      <c r="A441" s="2977" t="s">
        <v>9832</v>
      </c>
      <c r="B441" s="2113" t="str">
        <f t="shared" si="7"/>
        <v>107-907</v>
      </c>
      <c r="C441" s="2977" t="s">
        <v>6432</v>
      </c>
      <c r="D441" s="2637">
        <v>59966260</v>
      </c>
      <c r="E441" s="2637">
        <v>58387730</v>
      </c>
      <c r="F441" s="2637">
        <v>58730433</v>
      </c>
      <c r="G441" s="2637">
        <v>57151903</v>
      </c>
      <c r="H441" s="2637">
        <v>59966260</v>
      </c>
      <c r="I441" s="2637">
        <v>58387730</v>
      </c>
      <c r="J441" s="2637">
        <v>58730433</v>
      </c>
      <c r="K441" s="2637">
        <v>57151903</v>
      </c>
      <c r="L441" s="2637">
        <v>4833530</v>
      </c>
      <c r="M441" s="2637">
        <v>0</v>
      </c>
    </row>
    <row r="442" spans="1:13" ht="14.5">
      <c r="A442" s="2978" t="s">
        <v>9833</v>
      </c>
      <c r="B442" s="2113" t="str">
        <f t="shared" si="7"/>
        <v>107-908</v>
      </c>
      <c r="C442" s="2978" t="s">
        <v>6433</v>
      </c>
      <c r="D442" s="2639">
        <v>49708610</v>
      </c>
      <c r="E442" s="2639">
        <v>48005052</v>
      </c>
      <c r="F442" s="2639">
        <v>49708610</v>
      </c>
      <c r="G442" s="2639">
        <v>48005052</v>
      </c>
      <c r="H442" s="2639">
        <v>49708610</v>
      </c>
      <c r="I442" s="2639">
        <v>48005052</v>
      </c>
      <c r="J442" s="2639">
        <v>49708610</v>
      </c>
      <c r="K442" s="2639">
        <v>48005052</v>
      </c>
      <c r="L442" s="2639">
        <v>4868558</v>
      </c>
      <c r="M442" s="2639">
        <v>0</v>
      </c>
    </row>
    <row r="443" spans="1:13" ht="14.5">
      <c r="A443" s="2977" t="s">
        <v>10611</v>
      </c>
      <c r="B443" s="2113" t="str">
        <f t="shared" si="7"/>
        <v>107-910</v>
      </c>
      <c r="C443" s="2977" t="s">
        <v>6434</v>
      </c>
      <c r="D443" s="2637">
        <v>243341007</v>
      </c>
      <c r="E443" s="2637">
        <v>236960421</v>
      </c>
      <c r="F443" s="2637">
        <v>231966903</v>
      </c>
      <c r="G443" s="2637">
        <v>225586317</v>
      </c>
      <c r="H443" s="2637">
        <v>243341007</v>
      </c>
      <c r="I443" s="2637">
        <v>236960421</v>
      </c>
      <c r="J443" s="2637">
        <v>231966903</v>
      </c>
      <c r="K443" s="2637">
        <v>225586317</v>
      </c>
      <c r="L443" s="2637">
        <v>19400586</v>
      </c>
      <c r="M443" s="2637">
        <v>0</v>
      </c>
    </row>
    <row r="444" spans="1:13" ht="14.5">
      <c r="A444" s="2978" t="s">
        <v>9834</v>
      </c>
      <c r="B444" s="2113" t="str">
        <f t="shared" si="7"/>
        <v>108-902</v>
      </c>
      <c r="C444" s="2978" t="s">
        <v>6435</v>
      </c>
      <c r="D444" s="2639">
        <v>1939136955</v>
      </c>
      <c r="E444" s="2639">
        <v>1853967194</v>
      </c>
      <c r="F444" s="2639">
        <v>1939136955</v>
      </c>
      <c r="G444" s="2639">
        <v>1853967194</v>
      </c>
      <c r="H444" s="2639">
        <v>1939136955</v>
      </c>
      <c r="I444" s="2639">
        <v>1853967194</v>
      </c>
      <c r="J444" s="2639">
        <v>1939136955</v>
      </c>
      <c r="K444" s="2639">
        <v>1853967194</v>
      </c>
      <c r="L444" s="2639">
        <v>217889761</v>
      </c>
      <c r="M444" s="2639">
        <v>0</v>
      </c>
    </row>
    <row r="445" spans="1:13" ht="14.5">
      <c r="A445" s="2977" t="s">
        <v>9835</v>
      </c>
      <c r="B445" s="2113" t="str">
        <f t="shared" si="7"/>
        <v>108-903</v>
      </c>
      <c r="C445" s="2977" t="s">
        <v>6436</v>
      </c>
      <c r="D445" s="2637">
        <v>456158629</v>
      </c>
      <c r="E445" s="2637">
        <v>429805995</v>
      </c>
      <c r="F445" s="2637">
        <v>456158629</v>
      </c>
      <c r="G445" s="2637">
        <v>429805995</v>
      </c>
      <c r="H445" s="2637">
        <v>456158629</v>
      </c>
      <c r="I445" s="2637">
        <v>429805995</v>
      </c>
      <c r="J445" s="2637">
        <v>456158629</v>
      </c>
      <c r="K445" s="2637">
        <v>429805995</v>
      </c>
      <c r="L445" s="2637">
        <v>67152634</v>
      </c>
      <c r="M445" s="2637">
        <v>0</v>
      </c>
    </row>
    <row r="446" spans="1:13" ht="14.5">
      <c r="A446" s="2978" t="s">
        <v>9836</v>
      </c>
      <c r="B446" s="2113" t="str">
        <f t="shared" si="7"/>
        <v>108-904</v>
      </c>
      <c r="C446" s="2978" t="s">
        <v>6437</v>
      </c>
      <c r="D446" s="2639">
        <v>8312380226</v>
      </c>
      <c r="E446" s="2639">
        <v>8072143285</v>
      </c>
      <c r="F446" s="2639">
        <v>8312380226</v>
      </c>
      <c r="G446" s="2639">
        <v>8072143285</v>
      </c>
      <c r="H446" s="2639">
        <v>8461877806</v>
      </c>
      <c r="I446" s="2639">
        <v>8221640865</v>
      </c>
      <c r="J446" s="2639">
        <v>8461877806</v>
      </c>
      <c r="K446" s="2639">
        <v>8221640865</v>
      </c>
      <c r="L446" s="2639">
        <v>608966941</v>
      </c>
      <c r="M446" s="2639">
        <v>149497580</v>
      </c>
    </row>
    <row r="447" spans="1:13" ht="14.5">
      <c r="A447" s="2977" t="s">
        <v>9837</v>
      </c>
      <c r="B447" s="2113" t="str">
        <f t="shared" si="7"/>
        <v>108-905</v>
      </c>
      <c r="C447" s="2977" t="s">
        <v>6438</v>
      </c>
      <c r="D447" s="2637">
        <v>626904182</v>
      </c>
      <c r="E447" s="2637">
        <v>615675021</v>
      </c>
      <c r="F447" s="2637">
        <v>626904182</v>
      </c>
      <c r="G447" s="2637">
        <v>615675021</v>
      </c>
      <c r="H447" s="2637">
        <v>626904182</v>
      </c>
      <c r="I447" s="2637">
        <v>615675021</v>
      </c>
      <c r="J447" s="2637">
        <v>626904182</v>
      </c>
      <c r="K447" s="2637">
        <v>615675021</v>
      </c>
      <c r="L447" s="2637">
        <v>28434161</v>
      </c>
      <c r="M447" s="2637">
        <v>0</v>
      </c>
    </row>
    <row r="448" spans="1:13" ht="14.5">
      <c r="A448" s="2978" t="s">
        <v>9838</v>
      </c>
      <c r="B448" s="2113" t="str">
        <f t="shared" si="7"/>
        <v>108-906</v>
      </c>
      <c r="C448" s="2978" t="s">
        <v>6439</v>
      </c>
      <c r="D448" s="2639">
        <v>8347303420</v>
      </c>
      <c r="E448" s="2639">
        <v>8150539649</v>
      </c>
      <c r="F448" s="2639">
        <v>8347303420</v>
      </c>
      <c r="G448" s="2639">
        <v>8150539649</v>
      </c>
      <c r="H448" s="2639">
        <v>8347303420</v>
      </c>
      <c r="I448" s="2639">
        <v>8150539649</v>
      </c>
      <c r="J448" s="2639">
        <v>8347303420</v>
      </c>
      <c r="K448" s="2639">
        <v>8150539649</v>
      </c>
      <c r="L448" s="2639">
        <v>495473771</v>
      </c>
      <c r="M448" s="2639">
        <v>0</v>
      </c>
    </row>
    <row r="449" spans="1:13" ht="14.5">
      <c r="A449" s="2977" t="s">
        <v>9839</v>
      </c>
      <c r="B449" s="2113" t="str">
        <f t="shared" si="7"/>
        <v>108-907</v>
      </c>
      <c r="C449" s="2977" t="s">
        <v>6440</v>
      </c>
      <c r="D449" s="2637">
        <v>692820049</v>
      </c>
      <c r="E449" s="2637">
        <v>662059463</v>
      </c>
      <c r="F449" s="2637">
        <v>692820049</v>
      </c>
      <c r="G449" s="2637">
        <v>662059463</v>
      </c>
      <c r="H449" s="2637">
        <v>692820049</v>
      </c>
      <c r="I449" s="2637">
        <v>662059463</v>
      </c>
      <c r="J449" s="2637">
        <v>692820049</v>
      </c>
      <c r="K449" s="2637">
        <v>662059463</v>
      </c>
      <c r="L449" s="2637">
        <v>78595586</v>
      </c>
      <c r="M449" s="2637">
        <v>0</v>
      </c>
    </row>
    <row r="450" spans="1:13" ht="14.5">
      <c r="A450" s="2978" t="s">
        <v>9840</v>
      </c>
      <c r="B450" s="2113" t="str">
        <f t="shared" si="7"/>
        <v>108-908</v>
      </c>
      <c r="C450" s="2978" t="s">
        <v>6441</v>
      </c>
      <c r="D450" s="2639">
        <v>2656421443</v>
      </c>
      <c r="E450" s="2639">
        <v>2550768930</v>
      </c>
      <c r="F450" s="2639">
        <v>2656421443</v>
      </c>
      <c r="G450" s="2639">
        <v>2550768930</v>
      </c>
      <c r="H450" s="2639">
        <v>2656421443</v>
      </c>
      <c r="I450" s="2639">
        <v>2550768930</v>
      </c>
      <c r="J450" s="2639">
        <v>2656421443</v>
      </c>
      <c r="K450" s="2639">
        <v>2550768930</v>
      </c>
      <c r="L450" s="2639">
        <v>266302513</v>
      </c>
      <c r="M450" s="2639">
        <v>0</v>
      </c>
    </row>
    <row r="451" spans="1:13" ht="14.5">
      <c r="A451" s="2977" t="s">
        <v>9841</v>
      </c>
      <c r="B451" s="2113" t="str">
        <f t="shared" si="7"/>
        <v>108-909</v>
      </c>
      <c r="C451" s="2977" t="s">
        <v>6442</v>
      </c>
      <c r="D451" s="2637">
        <v>5786050803</v>
      </c>
      <c r="E451" s="2637">
        <v>5592241096</v>
      </c>
      <c r="F451" s="2637">
        <v>5786050803</v>
      </c>
      <c r="G451" s="2637">
        <v>5592241096</v>
      </c>
      <c r="H451" s="2637">
        <v>5786050803</v>
      </c>
      <c r="I451" s="2637">
        <v>5592241096</v>
      </c>
      <c r="J451" s="2637">
        <v>5786050803</v>
      </c>
      <c r="K451" s="2637">
        <v>5592241096</v>
      </c>
      <c r="L451" s="2637">
        <v>494739707</v>
      </c>
      <c r="M451" s="2637">
        <v>0</v>
      </c>
    </row>
    <row r="452" spans="1:13" ht="14.5">
      <c r="A452" s="2978" t="s">
        <v>9842</v>
      </c>
      <c r="B452" s="2113" t="str">
        <f t="shared" si="7"/>
        <v>108-910</v>
      </c>
      <c r="C452" s="2978" t="s">
        <v>6443</v>
      </c>
      <c r="D452" s="2639">
        <v>222770260</v>
      </c>
      <c r="E452" s="2639">
        <v>212029045</v>
      </c>
      <c r="F452" s="2639">
        <v>222770260</v>
      </c>
      <c r="G452" s="2639">
        <v>212029045</v>
      </c>
      <c r="H452" s="2639">
        <v>222770260</v>
      </c>
      <c r="I452" s="2639">
        <v>212029045</v>
      </c>
      <c r="J452" s="2639">
        <v>222770260</v>
      </c>
      <c r="K452" s="2639">
        <v>212029045</v>
      </c>
      <c r="L452" s="2639">
        <v>27406215</v>
      </c>
      <c r="M452" s="2639">
        <v>0</v>
      </c>
    </row>
    <row r="453" spans="1:13" ht="14.5">
      <c r="A453" s="2977" t="s">
        <v>9843</v>
      </c>
      <c r="B453" s="2113" t="str">
        <f t="shared" ref="B453:B516" si="8">CONCATENATE(RIGHT(LEFT(CONCATENATE("000",A453),6),3),"-",(LEFT(RIGHT(CONCATENATE("000",A453),6),3)))</f>
        <v>108-911</v>
      </c>
      <c r="C453" s="2977" t="s">
        <v>6444</v>
      </c>
      <c r="D453" s="2637">
        <v>3874226497</v>
      </c>
      <c r="E453" s="2637">
        <v>3786869944</v>
      </c>
      <c r="F453" s="2637">
        <v>3874226497</v>
      </c>
      <c r="G453" s="2637">
        <v>3786869944</v>
      </c>
      <c r="H453" s="2637">
        <v>3874226497</v>
      </c>
      <c r="I453" s="2637">
        <v>3786869944</v>
      </c>
      <c r="J453" s="2637">
        <v>3874226497</v>
      </c>
      <c r="K453" s="2637">
        <v>3786869944</v>
      </c>
      <c r="L453" s="2637">
        <v>220916553</v>
      </c>
      <c r="M453" s="2637">
        <v>0</v>
      </c>
    </row>
    <row r="454" spans="1:13" ht="14.5">
      <c r="A454" s="2978" t="s">
        <v>9844</v>
      </c>
      <c r="B454" s="2113" t="str">
        <f t="shared" si="8"/>
        <v>108-912</v>
      </c>
      <c r="C454" s="2978" t="s">
        <v>6445</v>
      </c>
      <c r="D454" s="2639">
        <v>3212337529</v>
      </c>
      <c r="E454" s="2639">
        <v>3069568171</v>
      </c>
      <c r="F454" s="2639">
        <v>3212337529</v>
      </c>
      <c r="G454" s="2639">
        <v>3069568171</v>
      </c>
      <c r="H454" s="2639">
        <v>3212337529</v>
      </c>
      <c r="I454" s="2639">
        <v>3069568171</v>
      </c>
      <c r="J454" s="2639">
        <v>3212337529</v>
      </c>
      <c r="K454" s="2639">
        <v>3069568171</v>
      </c>
      <c r="L454" s="2639">
        <v>360794358</v>
      </c>
      <c r="M454" s="2639">
        <v>0</v>
      </c>
    </row>
    <row r="455" spans="1:13" ht="14.5">
      <c r="A455" s="2977" t="s">
        <v>9845</v>
      </c>
      <c r="B455" s="2113" t="str">
        <f t="shared" si="8"/>
        <v>108-913</v>
      </c>
      <c r="C455" s="2977" t="s">
        <v>6446</v>
      </c>
      <c r="D455" s="2637">
        <v>2918827915</v>
      </c>
      <c r="E455" s="2637">
        <v>2808577081</v>
      </c>
      <c r="F455" s="2637">
        <v>2918827915</v>
      </c>
      <c r="G455" s="2637">
        <v>2808577081</v>
      </c>
      <c r="H455" s="2637">
        <v>2918827915</v>
      </c>
      <c r="I455" s="2637">
        <v>2808577081</v>
      </c>
      <c r="J455" s="2637">
        <v>2918827915</v>
      </c>
      <c r="K455" s="2637">
        <v>2808577081</v>
      </c>
      <c r="L455" s="2637">
        <v>283095834</v>
      </c>
      <c r="M455" s="2637">
        <v>0</v>
      </c>
    </row>
    <row r="456" spans="1:13" ht="14.5">
      <c r="A456" s="2978" t="s">
        <v>9846</v>
      </c>
      <c r="B456" s="2113" t="str">
        <f t="shared" si="8"/>
        <v>108-914</v>
      </c>
      <c r="C456" s="2978" t="s">
        <v>6447</v>
      </c>
      <c r="D456" s="2639">
        <v>128263464</v>
      </c>
      <c r="E456" s="2639">
        <v>124086475</v>
      </c>
      <c r="F456" s="2639">
        <v>128263464</v>
      </c>
      <c r="G456" s="2639">
        <v>124086475</v>
      </c>
      <c r="H456" s="2639">
        <v>128263464</v>
      </c>
      <c r="I456" s="2639">
        <v>124086475</v>
      </c>
      <c r="J456" s="2639">
        <v>128263464</v>
      </c>
      <c r="K456" s="2639">
        <v>124086475</v>
      </c>
      <c r="L456" s="2639">
        <v>10911989</v>
      </c>
      <c r="M456" s="2639">
        <v>0</v>
      </c>
    </row>
    <row r="457" spans="1:13" ht="14.5">
      <c r="A457" s="2977" t="s">
        <v>9847</v>
      </c>
      <c r="B457" s="2113" t="str">
        <f t="shared" si="8"/>
        <v>108-915</v>
      </c>
      <c r="C457" s="2977" t="s">
        <v>6448</v>
      </c>
      <c r="D457" s="2637">
        <v>178432348</v>
      </c>
      <c r="E457" s="2637">
        <v>172435115</v>
      </c>
      <c r="F457" s="2637">
        <v>178432348</v>
      </c>
      <c r="G457" s="2637">
        <v>172435115</v>
      </c>
      <c r="H457" s="2637">
        <v>178432348</v>
      </c>
      <c r="I457" s="2637">
        <v>172435115</v>
      </c>
      <c r="J457" s="2637">
        <v>178432348</v>
      </c>
      <c r="K457" s="2637">
        <v>172435115</v>
      </c>
      <c r="L457" s="2637">
        <v>15522233</v>
      </c>
      <c r="M457" s="2637">
        <v>0</v>
      </c>
    </row>
    <row r="458" spans="1:13" ht="14.5">
      <c r="A458" s="2978" t="s">
        <v>9848</v>
      </c>
      <c r="B458" s="2113" t="str">
        <f t="shared" si="8"/>
        <v>108-916</v>
      </c>
      <c r="C458" s="2978" t="s">
        <v>6188</v>
      </c>
      <c r="D458" s="2639">
        <v>837757290</v>
      </c>
      <c r="E458" s="2639">
        <v>812177553</v>
      </c>
      <c r="F458" s="2639">
        <v>837757290</v>
      </c>
      <c r="G458" s="2639">
        <v>812177553</v>
      </c>
      <c r="H458" s="2639">
        <v>837757290</v>
      </c>
      <c r="I458" s="2639">
        <v>812177553</v>
      </c>
      <c r="J458" s="2639">
        <v>837757290</v>
      </c>
      <c r="K458" s="2639">
        <v>812177553</v>
      </c>
      <c r="L458" s="2639">
        <v>64249737</v>
      </c>
      <c r="M458" s="2639">
        <v>0</v>
      </c>
    </row>
    <row r="459" spans="1:13" ht="14.5">
      <c r="A459" s="2977" t="s">
        <v>9849</v>
      </c>
      <c r="B459" s="2113" t="str">
        <f t="shared" si="8"/>
        <v>109-901</v>
      </c>
      <c r="C459" s="2977" t="s">
        <v>6449</v>
      </c>
      <c r="D459" s="2637">
        <v>118843033</v>
      </c>
      <c r="E459" s="2637">
        <v>115843601</v>
      </c>
      <c r="F459" s="2637">
        <v>118843033</v>
      </c>
      <c r="G459" s="2637">
        <v>115843601</v>
      </c>
      <c r="H459" s="2637">
        <v>118843033</v>
      </c>
      <c r="I459" s="2637">
        <v>115843601</v>
      </c>
      <c r="J459" s="2637">
        <v>118843033</v>
      </c>
      <c r="K459" s="2637">
        <v>115843601</v>
      </c>
      <c r="L459" s="2637">
        <v>8309432</v>
      </c>
      <c r="M459" s="2637">
        <v>0</v>
      </c>
    </row>
    <row r="460" spans="1:13" ht="14.5">
      <c r="A460" s="2978" t="s">
        <v>9850</v>
      </c>
      <c r="B460" s="2113" t="str">
        <f t="shared" si="8"/>
        <v>109-902</v>
      </c>
      <c r="C460" s="2978" t="s">
        <v>6450</v>
      </c>
      <c r="D460" s="2639">
        <v>113546155</v>
      </c>
      <c r="E460" s="2639">
        <v>111163290</v>
      </c>
      <c r="F460" s="2639">
        <v>113546155</v>
      </c>
      <c r="G460" s="2639">
        <v>111163290</v>
      </c>
      <c r="H460" s="2639">
        <v>113546155</v>
      </c>
      <c r="I460" s="2639">
        <v>111163290</v>
      </c>
      <c r="J460" s="2639">
        <v>113546155</v>
      </c>
      <c r="K460" s="2639">
        <v>111163290</v>
      </c>
      <c r="L460" s="2639">
        <v>6537865</v>
      </c>
      <c r="M460" s="2639">
        <v>0</v>
      </c>
    </row>
    <row r="461" spans="1:13" ht="14.5">
      <c r="A461" s="2977" t="s">
        <v>9851</v>
      </c>
      <c r="B461" s="2113" t="str">
        <f t="shared" si="8"/>
        <v>109-903</v>
      </c>
      <c r="C461" s="2977" t="s">
        <v>6451</v>
      </c>
      <c r="D461" s="2637">
        <v>119132477</v>
      </c>
      <c r="E461" s="2637">
        <v>115083903</v>
      </c>
      <c r="F461" s="2637">
        <v>119132477</v>
      </c>
      <c r="G461" s="2637">
        <v>115083903</v>
      </c>
      <c r="H461" s="2637">
        <v>119132477</v>
      </c>
      <c r="I461" s="2637">
        <v>115083903</v>
      </c>
      <c r="J461" s="2637">
        <v>119132477</v>
      </c>
      <c r="K461" s="2637">
        <v>115083903</v>
      </c>
      <c r="L461" s="2637">
        <v>11038574</v>
      </c>
      <c r="M461" s="2637">
        <v>0</v>
      </c>
    </row>
    <row r="462" spans="1:13" ht="14.5">
      <c r="A462" s="2978" t="s">
        <v>10612</v>
      </c>
      <c r="B462" s="2113" t="str">
        <f t="shared" si="8"/>
        <v>109-904</v>
      </c>
      <c r="C462" s="2978" t="s">
        <v>6452</v>
      </c>
      <c r="D462" s="2639">
        <v>797533014</v>
      </c>
      <c r="E462" s="2639">
        <v>779636148</v>
      </c>
      <c r="F462" s="2639">
        <v>797533014</v>
      </c>
      <c r="G462" s="2639">
        <v>779636148</v>
      </c>
      <c r="H462" s="2639">
        <v>875422914</v>
      </c>
      <c r="I462" s="2639">
        <v>857526048</v>
      </c>
      <c r="J462" s="2639">
        <v>875422914</v>
      </c>
      <c r="K462" s="2639">
        <v>857526048</v>
      </c>
      <c r="L462" s="2639">
        <v>48811866</v>
      </c>
      <c r="M462" s="2639">
        <v>77889900</v>
      </c>
    </row>
    <row r="463" spans="1:13" ht="14.5">
      <c r="A463" s="2977" t="s">
        <v>9852</v>
      </c>
      <c r="B463" s="2113" t="str">
        <f t="shared" si="8"/>
        <v>109-905</v>
      </c>
      <c r="C463" s="2977" t="s">
        <v>6079</v>
      </c>
      <c r="D463" s="2637">
        <v>111495071</v>
      </c>
      <c r="E463" s="2637">
        <v>107346212</v>
      </c>
      <c r="F463" s="2637">
        <v>111495071</v>
      </c>
      <c r="G463" s="2637">
        <v>107346212</v>
      </c>
      <c r="H463" s="2637">
        <v>111495071</v>
      </c>
      <c r="I463" s="2637">
        <v>107346212</v>
      </c>
      <c r="J463" s="2637">
        <v>111495071</v>
      </c>
      <c r="K463" s="2637">
        <v>107346212</v>
      </c>
      <c r="L463" s="2637">
        <v>11858859</v>
      </c>
      <c r="M463" s="2637">
        <v>0</v>
      </c>
    </row>
    <row r="464" spans="1:13" ht="14.5">
      <c r="A464" s="2978" t="s">
        <v>9853</v>
      </c>
      <c r="B464" s="2113" t="str">
        <f t="shared" si="8"/>
        <v>109-907</v>
      </c>
      <c r="C464" s="2978" t="s">
        <v>6453</v>
      </c>
      <c r="D464" s="2639">
        <v>272543201</v>
      </c>
      <c r="E464" s="2639">
        <v>265054533</v>
      </c>
      <c r="F464" s="2639">
        <v>272543201</v>
      </c>
      <c r="G464" s="2639">
        <v>265054533</v>
      </c>
      <c r="H464" s="2639">
        <v>272543201</v>
      </c>
      <c r="I464" s="2639">
        <v>265054533</v>
      </c>
      <c r="J464" s="2639">
        <v>272543201</v>
      </c>
      <c r="K464" s="2639">
        <v>265054533</v>
      </c>
      <c r="L464" s="2639">
        <v>21033668</v>
      </c>
      <c r="M464" s="2639">
        <v>0</v>
      </c>
    </row>
    <row r="465" spans="1:13" ht="14.5">
      <c r="A465" s="2977" t="s">
        <v>9854</v>
      </c>
      <c r="B465" s="2113" t="str">
        <f t="shared" si="8"/>
        <v>109-908</v>
      </c>
      <c r="C465" s="2977" t="s">
        <v>6454</v>
      </c>
      <c r="D465" s="2637">
        <v>58213895</v>
      </c>
      <c r="E465" s="2637">
        <v>57046971</v>
      </c>
      <c r="F465" s="2637">
        <v>58213895</v>
      </c>
      <c r="G465" s="2637">
        <v>57046971</v>
      </c>
      <c r="H465" s="2637">
        <v>58213895</v>
      </c>
      <c r="I465" s="2637">
        <v>57046971</v>
      </c>
      <c r="J465" s="2637">
        <v>58213895</v>
      </c>
      <c r="K465" s="2637">
        <v>57046971</v>
      </c>
      <c r="L465" s="2637">
        <v>3386924</v>
      </c>
      <c r="M465" s="2637">
        <v>0</v>
      </c>
    </row>
    <row r="466" spans="1:13" ht="14.5">
      <c r="A466" s="2978" t="s">
        <v>9855</v>
      </c>
      <c r="B466" s="2113" t="str">
        <f t="shared" si="8"/>
        <v>109-910</v>
      </c>
      <c r="C466" s="2978" t="s">
        <v>6455</v>
      </c>
      <c r="D466" s="2639">
        <v>41460660</v>
      </c>
      <c r="E466" s="2639">
        <v>39537991</v>
      </c>
      <c r="F466" s="2639">
        <v>41460660</v>
      </c>
      <c r="G466" s="2639">
        <v>39537991</v>
      </c>
      <c r="H466" s="2639">
        <v>41460660</v>
      </c>
      <c r="I466" s="2639">
        <v>39537991</v>
      </c>
      <c r="J466" s="2639">
        <v>41460660</v>
      </c>
      <c r="K466" s="2639">
        <v>39537991</v>
      </c>
      <c r="L466" s="2639">
        <v>5537669</v>
      </c>
      <c r="M466" s="2639">
        <v>0</v>
      </c>
    </row>
    <row r="467" spans="1:13" ht="14.5">
      <c r="A467" s="2977" t="s">
        <v>9856</v>
      </c>
      <c r="B467" s="2113" t="str">
        <f t="shared" si="8"/>
        <v>109-911</v>
      </c>
      <c r="C467" s="2977" t="s">
        <v>6456</v>
      </c>
      <c r="D467" s="2637">
        <v>771946931</v>
      </c>
      <c r="E467" s="2637">
        <v>746019617</v>
      </c>
      <c r="F467" s="2637">
        <v>771946931</v>
      </c>
      <c r="G467" s="2637">
        <v>746019617</v>
      </c>
      <c r="H467" s="2637">
        <v>771946931</v>
      </c>
      <c r="I467" s="2637">
        <v>746019617</v>
      </c>
      <c r="J467" s="2637">
        <v>771946931</v>
      </c>
      <c r="K467" s="2637">
        <v>746019617</v>
      </c>
      <c r="L467" s="2637">
        <v>72202314</v>
      </c>
      <c r="M467" s="2637">
        <v>0</v>
      </c>
    </row>
    <row r="468" spans="1:13" ht="14.5">
      <c r="A468" s="2978" t="s">
        <v>9857</v>
      </c>
      <c r="B468" s="2113" t="str">
        <f t="shared" si="8"/>
        <v>109-912</v>
      </c>
      <c r="C468" s="2978" t="s">
        <v>6457</v>
      </c>
      <c r="D468" s="2639">
        <v>116501620</v>
      </c>
      <c r="E468" s="2639">
        <v>113107935</v>
      </c>
      <c r="F468" s="2639">
        <v>116501620</v>
      </c>
      <c r="G468" s="2639">
        <v>113107935</v>
      </c>
      <c r="H468" s="2639">
        <v>116501620</v>
      </c>
      <c r="I468" s="2639">
        <v>113107935</v>
      </c>
      <c r="J468" s="2639">
        <v>116501620</v>
      </c>
      <c r="K468" s="2639">
        <v>113107935</v>
      </c>
      <c r="L468" s="2639">
        <v>10308685</v>
      </c>
      <c r="M468" s="2639">
        <v>0</v>
      </c>
    </row>
    <row r="469" spans="1:13" ht="14.5">
      <c r="A469" s="2977" t="s">
        <v>9858</v>
      </c>
      <c r="B469" s="2113" t="str">
        <f t="shared" si="8"/>
        <v>109-913</v>
      </c>
      <c r="C469" s="2977" t="s">
        <v>6458</v>
      </c>
      <c r="D469" s="2637">
        <v>217965782</v>
      </c>
      <c r="E469" s="2637">
        <v>213950935</v>
      </c>
      <c r="F469" s="2637">
        <v>217965782</v>
      </c>
      <c r="G469" s="2637">
        <v>213950935</v>
      </c>
      <c r="H469" s="2637">
        <v>217965782</v>
      </c>
      <c r="I469" s="2637">
        <v>213950935</v>
      </c>
      <c r="J469" s="2637">
        <v>217965782</v>
      </c>
      <c r="K469" s="2637">
        <v>213950935</v>
      </c>
      <c r="L469" s="2637">
        <v>11634847</v>
      </c>
      <c r="M469" s="2637">
        <v>0</v>
      </c>
    </row>
    <row r="470" spans="1:13" ht="14.5">
      <c r="A470" s="2978" t="s">
        <v>9859</v>
      </c>
      <c r="B470" s="2113" t="str">
        <f t="shared" si="8"/>
        <v>109-914</v>
      </c>
      <c r="C470" s="2978" t="s">
        <v>6459</v>
      </c>
      <c r="D470" s="2639">
        <v>42995364</v>
      </c>
      <c r="E470" s="2639">
        <v>41609595</v>
      </c>
      <c r="F470" s="2639">
        <v>42995364</v>
      </c>
      <c r="G470" s="2639">
        <v>41609595</v>
      </c>
      <c r="H470" s="2639">
        <v>42995364</v>
      </c>
      <c r="I470" s="2639">
        <v>41609595</v>
      </c>
      <c r="J470" s="2639">
        <v>42995364</v>
      </c>
      <c r="K470" s="2639">
        <v>41609595</v>
      </c>
      <c r="L470" s="2639">
        <v>4430769</v>
      </c>
      <c r="M470" s="2639">
        <v>0</v>
      </c>
    </row>
    <row r="471" spans="1:13" ht="14.5">
      <c r="A471" s="2977" t="s">
        <v>9860</v>
      </c>
      <c r="B471" s="2113" t="str">
        <f t="shared" si="8"/>
        <v>110-901</v>
      </c>
      <c r="C471" s="2977" t="s">
        <v>6460</v>
      </c>
      <c r="D471" s="2637">
        <v>70723087</v>
      </c>
      <c r="E471" s="2637">
        <v>68596476</v>
      </c>
      <c r="F471" s="2637">
        <v>70723087</v>
      </c>
      <c r="G471" s="2637">
        <v>68596476</v>
      </c>
      <c r="H471" s="2637">
        <v>70723087</v>
      </c>
      <c r="I471" s="2637">
        <v>68596476</v>
      </c>
      <c r="J471" s="2637">
        <v>70723087</v>
      </c>
      <c r="K471" s="2637">
        <v>68596476</v>
      </c>
      <c r="L471" s="2637">
        <v>6773261</v>
      </c>
      <c r="M471" s="2637">
        <v>0</v>
      </c>
    </row>
    <row r="472" spans="1:13" ht="14.5">
      <c r="A472" s="2978" t="s">
        <v>9861</v>
      </c>
      <c r="B472" s="2113" t="str">
        <f t="shared" si="8"/>
        <v>110-902</v>
      </c>
      <c r="C472" s="2978" t="s">
        <v>6461</v>
      </c>
      <c r="D472" s="2639">
        <v>1190190261</v>
      </c>
      <c r="E472" s="2639">
        <v>1160177755</v>
      </c>
      <c r="F472" s="2639">
        <v>1190190261</v>
      </c>
      <c r="G472" s="2639">
        <v>1160177755</v>
      </c>
      <c r="H472" s="2639">
        <v>1190190261</v>
      </c>
      <c r="I472" s="2639">
        <v>1160177755</v>
      </c>
      <c r="J472" s="2639">
        <v>1190190261</v>
      </c>
      <c r="K472" s="2639">
        <v>1160177755</v>
      </c>
      <c r="L472" s="2639">
        <v>82332506</v>
      </c>
      <c r="M472" s="2639">
        <v>0</v>
      </c>
    </row>
    <row r="473" spans="1:13" ht="14.5">
      <c r="A473" s="2977" t="s">
        <v>9862</v>
      </c>
      <c r="B473" s="2113" t="str">
        <f t="shared" si="8"/>
        <v>110-905</v>
      </c>
      <c r="C473" s="2977" t="s">
        <v>6462</v>
      </c>
      <c r="D473" s="2637">
        <v>124621282</v>
      </c>
      <c r="E473" s="2637">
        <v>121577342</v>
      </c>
      <c r="F473" s="2637">
        <v>124621282</v>
      </c>
      <c r="G473" s="2637">
        <v>121577342</v>
      </c>
      <c r="H473" s="2637">
        <v>124621282</v>
      </c>
      <c r="I473" s="2637">
        <v>121577342</v>
      </c>
      <c r="J473" s="2637">
        <v>124621282</v>
      </c>
      <c r="K473" s="2637">
        <v>121577342</v>
      </c>
      <c r="L473" s="2637">
        <v>8218940</v>
      </c>
      <c r="M473" s="2637">
        <v>0</v>
      </c>
    </row>
    <row r="474" spans="1:13" ht="14.5">
      <c r="A474" s="2978" t="s">
        <v>9863</v>
      </c>
      <c r="B474" s="2113" t="str">
        <f t="shared" si="8"/>
        <v>110-906</v>
      </c>
      <c r="C474" s="2978" t="s">
        <v>6463</v>
      </c>
      <c r="D474" s="2639">
        <v>102156180</v>
      </c>
      <c r="E474" s="2639">
        <v>98504560</v>
      </c>
      <c r="F474" s="2639">
        <v>102156180</v>
      </c>
      <c r="G474" s="2639">
        <v>98504560</v>
      </c>
      <c r="H474" s="2639">
        <v>102156180</v>
      </c>
      <c r="I474" s="2639">
        <v>98504560</v>
      </c>
      <c r="J474" s="2639">
        <v>102156180</v>
      </c>
      <c r="K474" s="2639">
        <v>98504560</v>
      </c>
      <c r="L474" s="2639">
        <v>10581620</v>
      </c>
      <c r="M474" s="2639">
        <v>0</v>
      </c>
    </row>
    <row r="475" spans="1:13" ht="14.5">
      <c r="A475" s="2977" t="s">
        <v>9864</v>
      </c>
      <c r="B475" s="2113" t="str">
        <f t="shared" si="8"/>
        <v>110-907</v>
      </c>
      <c r="C475" s="2977" t="s">
        <v>6464</v>
      </c>
      <c r="D475" s="2637">
        <v>748443965</v>
      </c>
      <c r="E475" s="2637">
        <v>745659300</v>
      </c>
      <c r="F475" s="2637">
        <v>745669654</v>
      </c>
      <c r="G475" s="2637">
        <v>742884989</v>
      </c>
      <c r="H475" s="2637">
        <v>748443965</v>
      </c>
      <c r="I475" s="2637">
        <v>745659300</v>
      </c>
      <c r="J475" s="2637">
        <v>745669654</v>
      </c>
      <c r="K475" s="2637">
        <v>742884989</v>
      </c>
      <c r="L475" s="2637">
        <v>8019665</v>
      </c>
      <c r="M475" s="2637">
        <v>0</v>
      </c>
    </row>
    <row r="476" spans="1:13" ht="14.5">
      <c r="A476" s="2978" t="s">
        <v>9865</v>
      </c>
      <c r="B476" s="2113" t="str">
        <f t="shared" si="8"/>
        <v>110-908</v>
      </c>
      <c r="C476" s="2978" t="s">
        <v>6465</v>
      </c>
      <c r="D476" s="2639">
        <v>48702343</v>
      </c>
      <c r="E476" s="2639">
        <v>47768293</v>
      </c>
      <c r="F476" s="2639">
        <v>48702343</v>
      </c>
      <c r="G476" s="2639">
        <v>47768293</v>
      </c>
      <c r="H476" s="2639">
        <v>48702343</v>
      </c>
      <c r="I476" s="2639">
        <v>47768293</v>
      </c>
      <c r="J476" s="2639">
        <v>48702343</v>
      </c>
      <c r="K476" s="2639">
        <v>47768293</v>
      </c>
      <c r="L476" s="2639">
        <v>2569050</v>
      </c>
      <c r="M476" s="2639">
        <v>0</v>
      </c>
    </row>
    <row r="477" spans="1:13" ht="14.5">
      <c r="A477" s="2977" t="s">
        <v>9866</v>
      </c>
      <c r="B477" s="2113" t="str">
        <f t="shared" si="8"/>
        <v>111-901</v>
      </c>
      <c r="C477" s="2977" t="s">
        <v>6466</v>
      </c>
      <c r="D477" s="2637">
        <v>7213288958</v>
      </c>
      <c r="E477" s="2637">
        <v>7073598209</v>
      </c>
      <c r="F477" s="2637">
        <v>7213288958</v>
      </c>
      <c r="G477" s="2637">
        <v>7073598209</v>
      </c>
      <c r="H477" s="2637">
        <v>7213288958</v>
      </c>
      <c r="I477" s="2637">
        <v>7073598209</v>
      </c>
      <c r="J477" s="2637">
        <v>7213288958</v>
      </c>
      <c r="K477" s="2637">
        <v>7073598209</v>
      </c>
      <c r="L477" s="2637">
        <v>374380749</v>
      </c>
      <c r="M477" s="2637">
        <v>0</v>
      </c>
    </row>
    <row r="478" spans="1:13" ht="14.5">
      <c r="A478" s="2978" t="s">
        <v>9867</v>
      </c>
      <c r="B478" s="2113" t="str">
        <f t="shared" si="8"/>
        <v>111-902</v>
      </c>
      <c r="C478" s="2978" t="s">
        <v>6467</v>
      </c>
      <c r="D478" s="2639">
        <v>245231622</v>
      </c>
      <c r="E478" s="2639">
        <v>240612170</v>
      </c>
      <c r="F478" s="2639">
        <v>245231622</v>
      </c>
      <c r="G478" s="2639">
        <v>240612170</v>
      </c>
      <c r="H478" s="2639">
        <v>245231622</v>
      </c>
      <c r="I478" s="2639">
        <v>240612170</v>
      </c>
      <c r="J478" s="2639">
        <v>245231622</v>
      </c>
      <c r="K478" s="2639">
        <v>240612170</v>
      </c>
      <c r="L478" s="2639">
        <v>12824452</v>
      </c>
      <c r="M478" s="2639">
        <v>0</v>
      </c>
    </row>
    <row r="479" spans="1:13" ht="14.5">
      <c r="A479" s="2977" t="s">
        <v>9868</v>
      </c>
      <c r="B479" s="2113" t="str">
        <f t="shared" si="8"/>
        <v>111-903</v>
      </c>
      <c r="C479" s="2977" t="s">
        <v>6468</v>
      </c>
      <c r="D479" s="2637">
        <v>294112773</v>
      </c>
      <c r="E479" s="2637">
        <v>287532633</v>
      </c>
      <c r="F479" s="2637">
        <v>294112773</v>
      </c>
      <c r="G479" s="2637">
        <v>287532633</v>
      </c>
      <c r="H479" s="2637">
        <v>294112773</v>
      </c>
      <c r="I479" s="2637">
        <v>287532633</v>
      </c>
      <c r="J479" s="2637">
        <v>294112773</v>
      </c>
      <c r="K479" s="2637">
        <v>287532633</v>
      </c>
      <c r="L479" s="2637">
        <v>18115140</v>
      </c>
      <c r="M479" s="2637">
        <v>0</v>
      </c>
    </row>
    <row r="480" spans="1:13" ht="14.5">
      <c r="A480" s="2978" t="s">
        <v>9869</v>
      </c>
      <c r="B480" s="2113" t="str">
        <f t="shared" si="8"/>
        <v>112-901</v>
      </c>
      <c r="C480" s="2978" t="s">
        <v>6469</v>
      </c>
      <c r="D480" s="2639">
        <v>1840753045</v>
      </c>
      <c r="E480" s="2639">
        <v>1794014243</v>
      </c>
      <c r="F480" s="2639">
        <v>1840753045</v>
      </c>
      <c r="G480" s="2639">
        <v>1794014243</v>
      </c>
      <c r="H480" s="2639">
        <v>1840753045</v>
      </c>
      <c r="I480" s="2639">
        <v>1794014243</v>
      </c>
      <c r="J480" s="2639">
        <v>1840753045</v>
      </c>
      <c r="K480" s="2639">
        <v>1794014243</v>
      </c>
      <c r="L480" s="2639">
        <v>124783802</v>
      </c>
      <c r="M480" s="2639">
        <v>0</v>
      </c>
    </row>
    <row r="481" spans="1:13" ht="14.5">
      <c r="A481" s="2977" t="s">
        <v>9870</v>
      </c>
      <c r="B481" s="2113" t="str">
        <f t="shared" si="8"/>
        <v>112-905</v>
      </c>
      <c r="C481" s="2977" t="s">
        <v>6470</v>
      </c>
      <c r="D481" s="2637">
        <v>102688955</v>
      </c>
      <c r="E481" s="2637">
        <v>97831586</v>
      </c>
      <c r="F481" s="2637">
        <v>102688955</v>
      </c>
      <c r="G481" s="2637">
        <v>97831586</v>
      </c>
      <c r="H481" s="2637">
        <v>102688955</v>
      </c>
      <c r="I481" s="2637">
        <v>97831586</v>
      </c>
      <c r="J481" s="2637">
        <v>102688955</v>
      </c>
      <c r="K481" s="2637">
        <v>97831586</v>
      </c>
      <c r="L481" s="2637">
        <v>14082369</v>
      </c>
      <c r="M481" s="2637">
        <v>0</v>
      </c>
    </row>
    <row r="482" spans="1:13" ht="14.5">
      <c r="A482" s="2978" t="s">
        <v>9871</v>
      </c>
      <c r="B482" s="2113" t="str">
        <f t="shared" si="8"/>
        <v>112-906</v>
      </c>
      <c r="C482" s="2978" t="s">
        <v>6471</v>
      </c>
      <c r="D482" s="2639">
        <v>115430804</v>
      </c>
      <c r="E482" s="2639">
        <v>111055983</v>
      </c>
      <c r="F482" s="2639">
        <v>115430804</v>
      </c>
      <c r="G482" s="2639">
        <v>111055983</v>
      </c>
      <c r="H482" s="2639">
        <v>115430804</v>
      </c>
      <c r="I482" s="2639">
        <v>111055983</v>
      </c>
      <c r="J482" s="2639">
        <v>115430804</v>
      </c>
      <c r="K482" s="2639">
        <v>111055983</v>
      </c>
      <c r="L482" s="2639">
        <v>14874821</v>
      </c>
      <c r="M482" s="2639">
        <v>0</v>
      </c>
    </row>
    <row r="483" spans="1:13" ht="14.5">
      <c r="A483" s="2977" t="s">
        <v>9872</v>
      </c>
      <c r="B483" s="2113" t="str">
        <f t="shared" si="8"/>
        <v>112-907</v>
      </c>
      <c r="C483" s="2977" t="s">
        <v>6472</v>
      </c>
      <c r="D483" s="2637">
        <v>84004034</v>
      </c>
      <c r="E483" s="2637">
        <v>80198712</v>
      </c>
      <c r="F483" s="2637">
        <v>84004034</v>
      </c>
      <c r="G483" s="2637">
        <v>80198712</v>
      </c>
      <c r="H483" s="2637">
        <v>84004034</v>
      </c>
      <c r="I483" s="2637">
        <v>80198712</v>
      </c>
      <c r="J483" s="2637">
        <v>84004034</v>
      </c>
      <c r="K483" s="2637">
        <v>80198712</v>
      </c>
      <c r="L483" s="2637">
        <v>11020322</v>
      </c>
      <c r="M483" s="2637">
        <v>0</v>
      </c>
    </row>
    <row r="484" spans="1:13" ht="14.5">
      <c r="A484" s="2978" t="s">
        <v>9873</v>
      </c>
      <c r="B484" s="2113" t="str">
        <f t="shared" si="8"/>
        <v>112-908</v>
      </c>
      <c r="C484" s="2978" t="s">
        <v>6473</v>
      </c>
      <c r="D484" s="2639">
        <v>183953051</v>
      </c>
      <c r="E484" s="2639">
        <v>177112594</v>
      </c>
      <c r="F484" s="2639">
        <v>183953051</v>
      </c>
      <c r="G484" s="2639">
        <v>177112594</v>
      </c>
      <c r="H484" s="2639">
        <v>183953051</v>
      </c>
      <c r="I484" s="2639">
        <v>177112594</v>
      </c>
      <c r="J484" s="2639">
        <v>183953051</v>
      </c>
      <c r="K484" s="2639">
        <v>177112594</v>
      </c>
      <c r="L484" s="2639">
        <v>19740457</v>
      </c>
      <c r="M484" s="2639">
        <v>0</v>
      </c>
    </row>
    <row r="485" spans="1:13" ht="14.5">
      <c r="A485" s="2977" t="s">
        <v>9874</v>
      </c>
      <c r="B485" s="2113" t="str">
        <f t="shared" si="8"/>
        <v>112-909</v>
      </c>
      <c r="C485" s="2977" t="s">
        <v>6474</v>
      </c>
      <c r="D485" s="2637">
        <v>81639051</v>
      </c>
      <c r="E485" s="2637">
        <v>79470864</v>
      </c>
      <c r="F485" s="2637">
        <v>81639051</v>
      </c>
      <c r="G485" s="2637">
        <v>79470864</v>
      </c>
      <c r="H485" s="2637">
        <v>81639051</v>
      </c>
      <c r="I485" s="2637">
        <v>79470864</v>
      </c>
      <c r="J485" s="2637">
        <v>81639051</v>
      </c>
      <c r="K485" s="2637">
        <v>79470864</v>
      </c>
      <c r="L485" s="2637">
        <v>7013187</v>
      </c>
      <c r="M485" s="2637">
        <v>0</v>
      </c>
    </row>
    <row r="486" spans="1:13" ht="14.5">
      <c r="A486" s="2978" t="s">
        <v>9875</v>
      </c>
      <c r="B486" s="2113" t="str">
        <f t="shared" si="8"/>
        <v>112-910</v>
      </c>
      <c r="C486" s="2978" t="s">
        <v>6475</v>
      </c>
      <c r="D486" s="2639">
        <v>120529700</v>
      </c>
      <c r="E486" s="2639">
        <v>117660519</v>
      </c>
      <c r="F486" s="2639">
        <v>120529700</v>
      </c>
      <c r="G486" s="2639">
        <v>117660519</v>
      </c>
      <c r="H486" s="2639">
        <v>120529700</v>
      </c>
      <c r="I486" s="2639">
        <v>117660519</v>
      </c>
      <c r="J486" s="2639">
        <v>120529700</v>
      </c>
      <c r="K486" s="2639">
        <v>117660519</v>
      </c>
      <c r="L486" s="2639">
        <v>8554181</v>
      </c>
      <c r="M486" s="2639">
        <v>0</v>
      </c>
    </row>
    <row r="487" spans="1:13" ht="14.5">
      <c r="A487" s="2977" t="s">
        <v>9876</v>
      </c>
      <c r="B487" s="2113" t="str">
        <f t="shared" si="8"/>
        <v>113-901</v>
      </c>
      <c r="C487" s="2977" t="s">
        <v>6476</v>
      </c>
      <c r="D487" s="2637">
        <v>532774046</v>
      </c>
      <c r="E487" s="2637">
        <v>515340748</v>
      </c>
      <c r="F487" s="2637">
        <v>532774046</v>
      </c>
      <c r="G487" s="2637">
        <v>515340748</v>
      </c>
      <c r="H487" s="2637">
        <v>603042256</v>
      </c>
      <c r="I487" s="2637">
        <v>585608958</v>
      </c>
      <c r="J487" s="2637">
        <v>603042256</v>
      </c>
      <c r="K487" s="2637">
        <v>585608958</v>
      </c>
      <c r="L487" s="2637">
        <v>46563298</v>
      </c>
      <c r="M487" s="2637">
        <v>70268210</v>
      </c>
    </row>
    <row r="488" spans="1:13" ht="14.5">
      <c r="A488" s="2978" t="s">
        <v>9877</v>
      </c>
      <c r="B488" s="2113" t="str">
        <f t="shared" si="8"/>
        <v>113-902</v>
      </c>
      <c r="C488" s="2978" t="s">
        <v>6477</v>
      </c>
      <c r="D488" s="2639">
        <v>430344295</v>
      </c>
      <c r="E488" s="2639">
        <v>420065877</v>
      </c>
      <c r="F488" s="2639">
        <v>430344295</v>
      </c>
      <c r="G488" s="2639">
        <v>420065877</v>
      </c>
      <c r="H488" s="2639">
        <v>430344295</v>
      </c>
      <c r="I488" s="2639">
        <v>420065877</v>
      </c>
      <c r="J488" s="2639">
        <v>430344295</v>
      </c>
      <c r="K488" s="2639">
        <v>420065877</v>
      </c>
      <c r="L488" s="2639">
        <v>27288418</v>
      </c>
      <c r="M488" s="2639">
        <v>0</v>
      </c>
    </row>
    <row r="489" spans="1:13" ht="14.5">
      <c r="A489" s="2977" t="s">
        <v>9878</v>
      </c>
      <c r="B489" s="2113" t="str">
        <f t="shared" si="8"/>
        <v>113-903</v>
      </c>
      <c r="C489" s="2977" t="s">
        <v>6478</v>
      </c>
      <c r="D489" s="2637">
        <v>286027480</v>
      </c>
      <c r="E489" s="2637">
        <v>279358840</v>
      </c>
      <c r="F489" s="2637">
        <v>286027480</v>
      </c>
      <c r="G489" s="2637">
        <v>279358840</v>
      </c>
      <c r="H489" s="2637">
        <v>286027480</v>
      </c>
      <c r="I489" s="2637">
        <v>279358840</v>
      </c>
      <c r="J489" s="2637">
        <v>286027480</v>
      </c>
      <c r="K489" s="2637">
        <v>279358840</v>
      </c>
      <c r="L489" s="2637">
        <v>18293640</v>
      </c>
      <c r="M489" s="2637">
        <v>0</v>
      </c>
    </row>
    <row r="490" spans="1:13" ht="14.5">
      <c r="A490" s="2978" t="s">
        <v>10613</v>
      </c>
      <c r="B490" s="2113" t="str">
        <f t="shared" si="8"/>
        <v>113-905</v>
      </c>
      <c r="C490" s="2978" t="s">
        <v>6479</v>
      </c>
      <c r="D490" s="2639">
        <v>208165275</v>
      </c>
      <c r="E490" s="2639">
        <v>202054839</v>
      </c>
      <c r="F490" s="2639">
        <v>208165275</v>
      </c>
      <c r="G490" s="2639">
        <v>202054839</v>
      </c>
      <c r="H490" s="2639">
        <v>208165275</v>
      </c>
      <c r="I490" s="2639">
        <v>202054839</v>
      </c>
      <c r="J490" s="2639">
        <v>208165275</v>
      </c>
      <c r="K490" s="2639">
        <v>202054839</v>
      </c>
      <c r="L490" s="2639">
        <v>16430436</v>
      </c>
      <c r="M490" s="2639">
        <v>0</v>
      </c>
    </row>
    <row r="491" spans="1:13" ht="14.5">
      <c r="A491" s="2977" t="s">
        <v>10614</v>
      </c>
      <c r="B491" s="2113" t="str">
        <f t="shared" si="8"/>
        <v>113-906</v>
      </c>
      <c r="C491" s="2977" t="s">
        <v>6480</v>
      </c>
      <c r="D491" s="2637">
        <v>151093359</v>
      </c>
      <c r="E491" s="2637">
        <v>145608149</v>
      </c>
      <c r="F491" s="2637">
        <v>151093359</v>
      </c>
      <c r="G491" s="2637">
        <v>145608149</v>
      </c>
      <c r="H491" s="2637">
        <v>151093359</v>
      </c>
      <c r="I491" s="2637">
        <v>145608149</v>
      </c>
      <c r="J491" s="2637">
        <v>151093359</v>
      </c>
      <c r="K491" s="2637">
        <v>145608149</v>
      </c>
      <c r="L491" s="2637">
        <v>15100210</v>
      </c>
      <c r="M491" s="2637">
        <v>0</v>
      </c>
    </row>
    <row r="492" spans="1:13" ht="14.5">
      <c r="A492" s="2978" t="s">
        <v>10615</v>
      </c>
      <c r="B492" s="2113" t="str">
        <f t="shared" si="8"/>
        <v>114-901</v>
      </c>
      <c r="C492" s="2978" t="s">
        <v>6481</v>
      </c>
      <c r="D492" s="2639">
        <v>2998883942</v>
      </c>
      <c r="E492" s="2639">
        <v>2956029770</v>
      </c>
      <c r="F492" s="2639">
        <v>2946683902</v>
      </c>
      <c r="G492" s="2639">
        <v>2903829730</v>
      </c>
      <c r="H492" s="2639">
        <v>3060507692</v>
      </c>
      <c r="I492" s="2639">
        <v>3017653520</v>
      </c>
      <c r="J492" s="2639">
        <v>3008307652</v>
      </c>
      <c r="K492" s="2639">
        <v>2965453480</v>
      </c>
      <c r="L492" s="2639">
        <v>116129172</v>
      </c>
      <c r="M492" s="2639">
        <v>61623750</v>
      </c>
    </row>
    <row r="493" spans="1:13" ht="14.5">
      <c r="A493" s="2977" t="s">
        <v>10616</v>
      </c>
      <c r="B493" s="2113" t="str">
        <f t="shared" si="8"/>
        <v>114-902</v>
      </c>
      <c r="C493" s="2977" t="s">
        <v>6482</v>
      </c>
      <c r="D493" s="2637">
        <v>724419289</v>
      </c>
      <c r="E493" s="2637">
        <v>714998291</v>
      </c>
      <c r="F493" s="2637">
        <v>710326535</v>
      </c>
      <c r="G493" s="2637">
        <v>700905537</v>
      </c>
      <c r="H493" s="2637">
        <v>724419289</v>
      </c>
      <c r="I493" s="2637">
        <v>714998291</v>
      </c>
      <c r="J493" s="2637">
        <v>710326535</v>
      </c>
      <c r="K493" s="2637">
        <v>700905537</v>
      </c>
      <c r="L493" s="2637">
        <v>25350998</v>
      </c>
      <c r="M493" s="2637">
        <v>0</v>
      </c>
    </row>
    <row r="494" spans="1:13" ht="14.5">
      <c r="A494" s="2978" t="s">
        <v>10617</v>
      </c>
      <c r="B494" s="2113" t="str">
        <f t="shared" si="8"/>
        <v>114-904</v>
      </c>
      <c r="C494" s="2978" t="s">
        <v>6483</v>
      </c>
      <c r="D494" s="2639">
        <v>626935271</v>
      </c>
      <c r="E494" s="2639">
        <v>620908662</v>
      </c>
      <c r="F494" s="2639">
        <v>616579962</v>
      </c>
      <c r="G494" s="2639">
        <v>610553353</v>
      </c>
      <c r="H494" s="2639">
        <v>626935271</v>
      </c>
      <c r="I494" s="2639">
        <v>620908662</v>
      </c>
      <c r="J494" s="2639">
        <v>616579962</v>
      </c>
      <c r="K494" s="2639">
        <v>610553353</v>
      </c>
      <c r="L494" s="2639">
        <v>16826609</v>
      </c>
      <c r="M494" s="2639">
        <v>0</v>
      </c>
    </row>
    <row r="495" spans="1:13" ht="14.5">
      <c r="A495" s="2977" t="s">
        <v>9879</v>
      </c>
      <c r="B495" s="2113" t="str">
        <f t="shared" si="8"/>
        <v>115-901</v>
      </c>
      <c r="C495" s="2977" t="s">
        <v>6484</v>
      </c>
      <c r="D495" s="2637">
        <v>298113906</v>
      </c>
      <c r="E495" s="2637">
        <v>295300068</v>
      </c>
      <c r="F495" s="2637">
        <v>298113906</v>
      </c>
      <c r="G495" s="2637">
        <v>295300068</v>
      </c>
      <c r="H495" s="2637">
        <v>298113906</v>
      </c>
      <c r="I495" s="2637">
        <v>295300068</v>
      </c>
      <c r="J495" s="2637">
        <v>298113906</v>
      </c>
      <c r="K495" s="2637">
        <v>295300068</v>
      </c>
      <c r="L495" s="2637">
        <v>9383838</v>
      </c>
      <c r="M495" s="2637">
        <v>0</v>
      </c>
    </row>
    <row r="496" spans="1:13" ht="14.5">
      <c r="A496" s="2978" t="s">
        <v>9880</v>
      </c>
      <c r="B496" s="2113" t="str">
        <f t="shared" si="8"/>
        <v>115-902</v>
      </c>
      <c r="C496" s="2978" t="s">
        <v>6485</v>
      </c>
      <c r="D496" s="2639">
        <v>173261659</v>
      </c>
      <c r="E496" s="2639">
        <v>172515183</v>
      </c>
      <c r="F496" s="2639">
        <v>173261659</v>
      </c>
      <c r="G496" s="2639">
        <v>172515183</v>
      </c>
      <c r="H496" s="2639">
        <v>173261659</v>
      </c>
      <c r="I496" s="2639">
        <v>172515183</v>
      </c>
      <c r="J496" s="2639">
        <v>173261659</v>
      </c>
      <c r="K496" s="2639">
        <v>172515183</v>
      </c>
      <c r="L496" s="2639">
        <v>2411476</v>
      </c>
      <c r="M496" s="2639">
        <v>0</v>
      </c>
    </row>
    <row r="497" spans="1:13" ht="14.5">
      <c r="A497" s="2977" t="s">
        <v>9881</v>
      </c>
      <c r="B497" s="2113" t="str">
        <f t="shared" si="8"/>
        <v>115-903</v>
      </c>
      <c r="C497" s="2977" t="s">
        <v>6486</v>
      </c>
      <c r="D497" s="2637">
        <v>76162816</v>
      </c>
      <c r="E497" s="2637">
        <v>75567458</v>
      </c>
      <c r="F497" s="2637">
        <v>75915663</v>
      </c>
      <c r="G497" s="2637">
        <v>75320305</v>
      </c>
      <c r="H497" s="2637">
        <v>76162816</v>
      </c>
      <c r="I497" s="2637">
        <v>75567458</v>
      </c>
      <c r="J497" s="2637">
        <v>75915663</v>
      </c>
      <c r="K497" s="2637">
        <v>75320305</v>
      </c>
      <c r="L497" s="2637">
        <v>2395358</v>
      </c>
      <c r="M497" s="2637">
        <v>0</v>
      </c>
    </row>
    <row r="498" spans="1:13" ht="14.5">
      <c r="A498" s="2978" t="s">
        <v>9882</v>
      </c>
      <c r="B498" s="2113" t="str">
        <f t="shared" si="8"/>
        <v>116-901</v>
      </c>
      <c r="C498" s="2978" t="s">
        <v>6487</v>
      </c>
      <c r="D498" s="2639">
        <v>856857875</v>
      </c>
      <c r="E498" s="2639">
        <v>836986498</v>
      </c>
      <c r="F498" s="2639">
        <v>856857875</v>
      </c>
      <c r="G498" s="2639">
        <v>836986498</v>
      </c>
      <c r="H498" s="2639">
        <v>856857875</v>
      </c>
      <c r="I498" s="2639">
        <v>836986498</v>
      </c>
      <c r="J498" s="2639">
        <v>856857875</v>
      </c>
      <c r="K498" s="2639">
        <v>836986498</v>
      </c>
      <c r="L498" s="2639">
        <v>55136377</v>
      </c>
      <c r="M498" s="2639">
        <v>0</v>
      </c>
    </row>
    <row r="499" spans="1:13" ht="14.5">
      <c r="A499" s="2977" t="s">
        <v>9883</v>
      </c>
      <c r="B499" s="2113" t="str">
        <f t="shared" si="8"/>
        <v>116-902</v>
      </c>
      <c r="C499" s="2977" t="s">
        <v>6488</v>
      </c>
      <c r="D499" s="2637">
        <v>172338711</v>
      </c>
      <c r="E499" s="2637">
        <v>166707777</v>
      </c>
      <c r="F499" s="2637">
        <v>172338711</v>
      </c>
      <c r="G499" s="2637">
        <v>166707777</v>
      </c>
      <c r="H499" s="2637">
        <v>172338711</v>
      </c>
      <c r="I499" s="2637">
        <v>166707777</v>
      </c>
      <c r="J499" s="2637">
        <v>172338711</v>
      </c>
      <c r="K499" s="2637">
        <v>166707777</v>
      </c>
      <c r="L499" s="2637">
        <v>16370934</v>
      </c>
      <c r="M499" s="2637">
        <v>0</v>
      </c>
    </row>
    <row r="500" spans="1:13" ht="14.5">
      <c r="A500" s="2978" t="s">
        <v>9884</v>
      </c>
      <c r="B500" s="2113" t="str">
        <f t="shared" si="8"/>
        <v>116-903</v>
      </c>
      <c r="C500" s="2978" t="s">
        <v>6489</v>
      </c>
      <c r="D500" s="2639">
        <v>622535781</v>
      </c>
      <c r="E500" s="2639">
        <v>608811056</v>
      </c>
      <c r="F500" s="2639">
        <v>622535781</v>
      </c>
      <c r="G500" s="2639">
        <v>608811056</v>
      </c>
      <c r="H500" s="2639">
        <v>622535781</v>
      </c>
      <c r="I500" s="2639">
        <v>608811056</v>
      </c>
      <c r="J500" s="2639">
        <v>622535781</v>
      </c>
      <c r="K500" s="2639">
        <v>608811056</v>
      </c>
      <c r="L500" s="2639">
        <v>38354725</v>
      </c>
      <c r="M500" s="2639">
        <v>0</v>
      </c>
    </row>
    <row r="501" spans="1:13" ht="14.5">
      <c r="A501" s="2977" t="s">
        <v>9885</v>
      </c>
      <c r="B501" s="2113" t="str">
        <f t="shared" si="8"/>
        <v>116-905</v>
      </c>
      <c r="C501" s="2977" t="s">
        <v>6490</v>
      </c>
      <c r="D501" s="2637">
        <v>3044261121</v>
      </c>
      <c r="E501" s="2637">
        <v>2988045305</v>
      </c>
      <c r="F501" s="2637">
        <v>3044261121</v>
      </c>
      <c r="G501" s="2637">
        <v>2988045305</v>
      </c>
      <c r="H501" s="2637">
        <v>3044261121</v>
      </c>
      <c r="I501" s="2637">
        <v>2988045305</v>
      </c>
      <c r="J501" s="2637">
        <v>3044261121</v>
      </c>
      <c r="K501" s="2637">
        <v>2988045305</v>
      </c>
      <c r="L501" s="2637">
        <v>148690816</v>
      </c>
      <c r="M501" s="2637">
        <v>0</v>
      </c>
    </row>
    <row r="502" spans="1:13" ht="14.5">
      <c r="A502" s="2978" t="s">
        <v>9886</v>
      </c>
      <c r="B502" s="2113" t="str">
        <f t="shared" si="8"/>
        <v>116-906</v>
      </c>
      <c r="C502" s="2978" t="s">
        <v>6491</v>
      </c>
      <c r="D502" s="2639">
        <v>381949464</v>
      </c>
      <c r="E502" s="2639">
        <v>370298532</v>
      </c>
      <c r="F502" s="2639">
        <v>381949464</v>
      </c>
      <c r="G502" s="2639">
        <v>370298532</v>
      </c>
      <c r="H502" s="2639">
        <v>381949464</v>
      </c>
      <c r="I502" s="2639">
        <v>370298532</v>
      </c>
      <c r="J502" s="2639">
        <v>381949464</v>
      </c>
      <c r="K502" s="2639">
        <v>370298532</v>
      </c>
      <c r="L502" s="2639">
        <v>34315932</v>
      </c>
      <c r="M502" s="2639">
        <v>0</v>
      </c>
    </row>
    <row r="503" spans="1:13" ht="14.5">
      <c r="A503" s="2977" t="s">
        <v>9887</v>
      </c>
      <c r="B503" s="2113" t="str">
        <f t="shared" si="8"/>
        <v>116-908</v>
      </c>
      <c r="C503" s="2977" t="s">
        <v>6492</v>
      </c>
      <c r="D503" s="2637">
        <v>1252859119</v>
      </c>
      <c r="E503" s="2637">
        <v>1223887433</v>
      </c>
      <c r="F503" s="2637">
        <v>1252859119</v>
      </c>
      <c r="G503" s="2637">
        <v>1223887433</v>
      </c>
      <c r="H503" s="2637">
        <v>1252859119</v>
      </c>
      <c r="I503" s="2637">
        <v>1223887433</v>
      </c>
      <c r="J503" s="2637">
        <v>1252859119</v>
      </c>
      <c r="K503" s="2637">
        <v>1223887433</v>
      </c>
      <c r="L503" s="2637">
        <v>103851686</v>
      </c>
      <c r="M503" s="2637">
        <v>0</v>
      </c>
    </row>
    <row r="504" spans="1:13" ht="14.5">
      <c r="A504" s="2978" t="s">
        <v>9888</v>
      </c>
      <c r="B504" s="2113" t="str">
        <f t="shared" si="8"/>
        <v>116-909</v>
      </c>
      <c r="C504" s="2978" t="s">
        <v>6493</v>
      </c>
      <c r="D504" s="2639">
        <v>189479439</v>
      </c>
      <c r="E504" s="2639">
        <v>182722595</v>
      </c>
      <c r="F504" s="2639">
        <v>189479439</v>
      </c>
      <c r="G504" s="2639">
        <v>182722595</v>
      </c>
      <c r="H504" s="2639">
        <v>189479439</v>
      </c>
      <c r="I504" s="2639">
        <v>182722595</v>
      </c>
      <c r="J504" s="2639">
        <v>189479439</v>
      </c>
      <c r="K504" s="2639">
        <v>182722595</v>
      </c>
      <c r="L504" s="2639">
        <v>19716844</v>
      </c>
      <c r="M504" s="2639">
        <v>0</v>
      </c>
    </row>
    <row r="505" spans="1:13" ht="14.5">
      <c r="A505" s="2977" t="s">
        <v>9889</v>
      </c>
      <c r="B505" s="2113" t="str">
        <f t="shared" si="8"/>
        <v>116-910</v>
      </c>
      <c r="C505" s="2977" t="s">
        <v>6494</v>
      </c>
      <c r="D505" s="2637">
        <v>153196145</v>
      </c>
      <c r="E505" s="2637">
        <v>148376076</v>
      </c>
      <c r="F505" s="2637">
        <v>153196145</v>
      </c>
      <c r="G505" s="2637">
        <v>148376076</v>
      </c>
      <c r="H505" s="2637">
        <v>153196145</v>
      </c>
      <c r="I505" s="2637">
        <v>148376076</v>
      </c>
      <c r="J505" s="2637">
        <v>153196145</v>
      </c>
      <c r="K505" s="2637">
        <v>148376076</v>
      </c>
      <c r="L505" s="2637">
        <v>15245069</v>
      </c>
      <c r="M505" s="2637">
        <v>0</v>
      </c>
    </row>
    <row r="506" spans="1:13" ht="14.5">
      <c r="A506" s="2978" t="s">
        <v>9890</v>
      </c>
      <c r="B506" s="2113" t="str">
        <f t="shared" si="8"/>
        <v>116-915</v>
      </c>
      <c r="C506" s="2978" t="s">
        <v>6495</v>
      </c>
      <c r="D506" s="2639">
        <v>315794590</v>
      </c>
      <c r="E506" s="2639">
        <v>308365272</v>
      </c>
      <c r="F506" s="2639">
        <v>315794590</v>
      </c>
      <c r="G506" s="2639">
        <v>308365272</v>
      </c>
      <c r="H506" s="2639">
        <v>315794590</v>
      </c>
      <c r="I506" s="2639">
        <v>308365272</v>
      </c>
      <c r="J506" s="2639">
        <v>315794590</v>
      </c>
      <c r="K506" s="2639">
        <v>308365272</v>
      </c>
      <c r="L506" s="2639">
        <v>22219318</v>
      </c>
      <c r="M506" s="2639">
        <v>0</v>
      </c>
    </row>
    <row r="507" spans="1:13" ht="14.5">
      <c r="A507" s="2977" t="s">
        <v>9891</v>
      </c>
      <c r="B507" s="2113" t="str">
        <f t="shared" si="8"/>
        <v>116-916</v>
      </c>
      <c r="C507" s="2977" t="s">
        <v>6496</v>
      </c>
      <c r="D507" s="2637">
        <v>30686469</v>
      </c>
      <c r="E507" s="2637">
        <v>29642679</v>
      </c>
      <c r="F507" s="2637">
        <v>30686469</v>
      </c>
      <c r="G507" s="2637">
        <v>29642679</v>
      </c>
      <c r="H507" s="2637">
        <v>30686469</v>
      </c>
      <c r="I507" s="2637">
        <v>29642679</v>
      </c>
      <c r="J507" s="2637">
        <v>30686469</v>
      </c>
      <c r="K507" s="2637">
        <v>29642679</v>
      </c>
      <c r="L507" s="2637">
        <v>3383790</v>
      </c>
      <c r="M507" s="2637">
        <v>0</v>
      </c>
    </row>
    <row r="508" spans="1:13" ht="14.5">
      <c r="A508" s="2978" t="s">
        <v>9892</v>
      </c>
      <c r="B508" s="2113" t="str">
        <f t="shared" si="8"/>
        <v>117-901</v>
      </c>
      <c r="C508" s="2978" t="s">
        <v>6497</v>
      </c>
      <c r="D508" s="2639">
        <v>671409693</v>
      </c>
      <c r="E508" s="2639">
        <v>640455893</v>
      </c>
      <c r="F508" s="2639">
        <v>657638203</v>
      </c>
      <c r="G508" s="2639">
        <v>626684403</v>
      </c>
      <c r="H508" s="2639">
        <v>1018672913</v>
      </c>
      <c r="I508" s="2639">
        <v>987719113</v>
      </c>
      <c r="J508" s="2639">
        <v>1004901423</v>
      </c>
      <c r="K508" s="2639">
        <v>973947623</v>
      </c>
      <c r="L508" s="2639">
        <v>82253800</v>
      </c>
      <c r="M508" s="2639">
        <v>347263220</v>
      </c>
    </row>
    <row r="509" spans="1:13" ht="14.5">
      <c r="A509" s="2977" t="s">
        <v>9893</v>
      </c>
      <c r="B509" s="2113" t="str">
        <f t="shared" si="8"/>
        <v>117-903</v>
      </c>
      <c r="C509" s="2977" t="s">
        <v>6498</v>
      </c>
      <c r="D509" s="2637">
        <v>163102142</v>
      </c>
      <c r="E509" s="2637">
        <v>151241269</v>
      </c>
      <c r="F509" s="2637">
        <v>162687387</v>
      </c>
      <c r="G509" s="2637">
        <v>150826514</v>
      </c>
      <c r="H509" s="2637">
        <v>163102142</v>
      </c>
      <c r="I509" s="2637">
        <v>151241269</v>
      </c>
      <c r="J509" s="2637">
        <v>162687387</v>
      </c>
      <c r="K509" s="2637">
        <v>150826514</v>
      </c>
      <c r="L509" s="2637">
        <v>35140873</v>
      </c>
      <c r="M509" s="2637">
        <v>0</v>
      </c>
    </row>
    <row r="510" spans="1:13" ht="14.5">
      <c r="A510" s="2978" t="s">
        <v>9894</v>
      </c>
      <c r="B510" s="2113" t="str">
        <f t="shared" si="8"/>
        <v>117-904</v>
      </c>
      <c r="C510" s="2978" t="s">
        <v>8431</v>
      </c>
      <c r="D510" s="2639">
        <v>1148931849</v>
      </c>
      <c r="E510" s="2639">
        <v>1142578699</v>
      </c>
      <c r="F510" s="2639">
        <v>1143647469</v>
      </c>
      <c r="G510" s="2639">
        <v>1137294319</v>
      </c>
      <c r="H510" s="2639">
        <v>1148931849</v>
      </c>
      <c r="I510" s="2639">
        <v>1142578699</v>
      </c>
      <c r="J510" s="2639">
        <v>1143647469</v>
      </c>
      <c r="K510" s="2639">
        <v>1137294319</v>
      </c>
      <c r="L510" s="2639">
        <v>17153150</v>
      </c>
      <c r="M510" s="2639">
        <v>0</v>
      </c>
    </row>
    <row r="511" spans="1:13" ht="14.5">
      <c r="A511" s="2977" t="s">
        <v>9895</v>
      </c>
      <c r="B511" s="2113" t="str">
        <f t="shared" si="8"/>
        <v>117-907</v>
      </c>
      <c r="C511" s="2977" t="s">
        <v>6499</v>
      </c>
      <c r="D511" s="2637">
        <v>35679124</v>
      </c>
      <c r="E511" s="2637">
        <v>35506494</v>
      </c>
      <c r="F511" s="2637">
        <v>35552539</v>
      </c>
      <c r="G511" s="2637">
        <v>35379909</v>
      </c>
      <c r="H511" s="2637">
        <v>35679124</v>
      </c>
      <c r="I511" s="2637">
        <v>35506494</v>
      </c>
      <c r="J511" s="2637">
        <v>35552539</v>
      </c>
      <c r="K511" s="2637">
        <v>35379909</v>
      </c>
      <c r="L511" s="2637">
        <v>562630</v>
      </c>
      <c r="M511" s="2637">
        <v>0</v>
      </c>
    </row>
    <row r="512" spans="1:13" ht="14.5">
      <c r="A512" s="2978" t="s">
        <v>9896</v>
      </c>
      <c r="B512" s="2113" t="str">
        <f t="shared" si="8"/>
        <v>118-902</v>
      </c>
      <c r="C512" s="2978" t="s">
        <v>6500</v>
      </c>
      <c r="D512" s="2639">
        <v>1153536761</v>
      </c>
      <c r="E512" s="2639">
        <v>1150142746</v>
      </c>
      <c r="F512" s="2639">
        <v>1153536761</v>
      </c>
      <c r="G512" s="2639">
        <v>1150142746</v>
      </c>
      <c r="H512" s="2639">
        <v>1422593951</v>
      </c>
      <c r="I512" s="2639">
        <v>1419199936</v>
      </c>
      <c r="J512" s="2639">
        <v>1422593951</v>
      </c>
      <c r="K512" s="2639">
        <v>1419199936</v>
      </c>
      <c r="L512" s="2639">
        <v>9979015</v>
      </c>
      <c r="M512" s="2639">
        <v>269057190</v>
      </c>
    </row>
    <row r="513" spans="1:13" ht="14.5">
      <c r="A513" s="2977" t="s">
        <v>10618</v>
      </c>
      <c r="B513" s="2113" t="str">
        <f t="shared" si="8"/>
        <v>119-901</v>
      </c>
      <c r="C513" s="2977" t="s">
        <v>6501</v>
      </c>
      <c r="D513" s="2637">
        <v>199473928</v>
      </c>
      <c r="E513" s="2637">
        <v>197184442</v>
      </c>
      <c r="F513" s="2637">
        <v>199473928</v>
      </c>
      <c r="G513" s="2637">
        <v>197184442</v>
      </c>
      <c r="H513" s="2637">
        <v>199473928</v>
      </c>
      <c r="I513" s="2637">
        <v>197184442</v>
      </c>
      <c r="J513" s="2637">
        <v>199473928</v>
      </c>
      <c r="K513" s="2637">
        <v>197184442</v>
      </c>
      <c r="L513" s="2637">
        <v>7524486</v>
      </c>
      <c r="M513" s="2637">
        <v>0</v>
      </c>
    </row>
    <row r="514" spans="1:13" ht="14.5">
      <c r="A514" s="2978" t="s">
        <v>10619</v>
      </c>
      <c r="B514" s="2113" t="str">
        <f t="shared" si="8"/>
        <v>119-902</v>
      </c>
      <c r="C514" s="2978" t="s">
        <v>6502</v>
      </c>
      <c r="D514" s="2639">
        <v>795427832</v>
      </c>
      <c r="E514" s="2639">
        <v>784470407</v>
      </c>
      <c r="F514" s="2639">
        <v>795427832</v>
      </c>
      <c r="G514" s="2639">
        <v>784470407</v>
      </c>
      <c r="H514" s="2639">
        <v>829214402</v>
      </c>
      <c r="I514" s="2639">
        <v>818256977</v>
      </c>
      <c r="J514" s="2639">
        <v>829214402</v>
      </c>
      <c r="K514" s="2639">
        <v>818256977</v>
      </c>
      <c r="L514" s="2639">
        <v>32047425</v>
      </c>
      <c r="M514" s="2639">
        <v>33786570</v>
      </c>
    </row>
    <row r="515" spans="1:13" ht="14.5">
      <c r="A515" s="2977" t="s">
        <v>10620</v>
      </c>
      <c r="B515" s="2113" t="str">
        <f t="shared" si="8"/>
        <v>119-903</v>
      </c>
      <c r="C515" s="2977" t="s">
        <v>6503</v>
      </c>
      <c r="D515" s="2637">
        <v>332414576</v>
      </c>
      <c r="E515" s="2637">
        <v>327430166</v>
      </c>
      <c r="F515" s="2637">
        <v>332414576</v>
      </c>
      <c r="G515" s="2637">
        <v>327430166</v>
      </c>
      <c r="H515" s="2637">
        <v>332414576</v>
      </c>
      <c r="I515" s="2637">
        <v>327430166</v>
      </c>
      <c r="J515" s="2637">
        <v>332414576</v>
      </c>
      <c r="K515" s="2637">
        <v>327430166</v>
      </c>
      <c r="L515" s="2637">
        <v>14254410</v>
      </c>
      <c r="M515" s="2637">
        <v>0</v>
      </c>
    </row>
    <row r="516" spans="1:13" ht="14.5">
      <c r="A516" s="2978" t="s">
        <v>9897</v>
      </c>
      <c r="B516" s="2113" t="str">
        <f t="shared" si="8"/>
        <v>120-901</v>
      </c>
      <c r="C516" s="2978" t="s">
        <v>6504</v>
      </c>
      <c r="D516" s="2639">
        <v>705200971</v>
      </c>
      <c r="E516" s="2639">
        <v>688839735</v>
      </c>
      <c r="F516" s="2639">
        <v>705200971</v>
      </c>
      <c r="G516" s="2639">
        <v>688839735</v>
      </c>
      <c r="H516" s="2639">
        <v>739123271</v>
      </c>
      <c r="I516" s="2639">
        <v>722762035</v>
      </c>
      <c r="J516" s="2639">
        <v>739123271</v>
      </c>
      <c r="K516" s="2639">
        <v>722762035</v>
      </c>
      <c r="L516" s="2639">
        <v>44111236</v>
      </c>
      <c r="M516" s="2639">
        <v>33922300</v>
      </c>
    </row>
    <row r="517" spans="1:13" ht="14.5">
      <c r="A517" s="2977" t="s">
        <v>9898</v>
      </c>
      <c r="B517" s="2113" t="str">
        <f t="shared" ref="B517:B581" si="9">CONCATENATE(RIGHT(LEFT(CONCATENATE("000",A517),6),3),"-",(LEFT(RIGHT(CONCATENATE("000",A517),6),3)))</f>
        <v>120-902</v>
      </c>
      <c r="C517" s="2977" t="s">
        <v>6505</v>
      </c>
      <c r="D517" s="2637">
        <v>291079499</v>
      </c>
      <c r="E517" s="2637">
        <v>283957701</v>
      </c>
      <c r="F517" s="2637">
        <v>291079499</v>
      </c>
      <c r="G517" s="2637">
        <v>283957701</v>
      </c>
      <c r="H517" s="2637">
        <v>536457599</v>
      </c>
      <c r="I517" s="2637">
        <v>529335801</v>
      </c>
      <c r="J517" s="2637">
        <v>536457599</v>
      </c>
      <c r="K517" s="2637">
        <v>529335801</v>
      </c>
      <c r="L517" s="2637">
        <v>19466798</v>
      </c>
      <c r="M517" s="2637">
        <v>245378100</v>
      </c>
    </row>
    <row r="518" spans="1:13" ht="14.5">
      <c r="A518" s="2978" t="s">
        <v>9899</v>
      </c>
      <c r="B518" s="2113" t="str">
        <f t="shared" si="9"/>
        <v>120-905</v>
      </c>
      <c r="C518" s="2978" t="s">
        <v>6506</v>
      </c>
      <c r="D518" s="2639">
        <v>1085405784</v>
      </c>
      <c r="E518" s="2639">
        <v>1075009258</v>
      </c>
      <c r="F518" s="2639">
        <v>1064255850</v>
      </c>
      <c r="G518" s="2639">
        <v>1053859324</v>
      </c>
      <c r="H518" s="2639">
        <v>1085405784</v>
      </c>
      <c r="I518" s="2639">
        <v>1075009258</v>
      </c>
      <c r="J518" s="2639">
        <v>1064255850</v>
      </c>
      <c r="K518" s="2639">
        <v>1053859324</v>
      </c>
      <c r="L518" s="2639">
        <v>28936526</v>
      </c>
      <c r="M518" s="2639">
        <v>0</v>
      </c>
    </row>
    <row r="519" spans="1:13" ht="14.5">
      <c r="A519" s="2977" t="s">
        <v>9900</v>
      </c>
      <c r="B519" s="2113" t="str">
        <f t="shared" si="9"/>
        <v>121-902</v>
      </c>
      <c r="C519" s="2977" t="s">
        <v>6507</v>
      </c>
      <c r="D519" s="2637">
        <v>389239335</v>
      </c>
      <c r="E519" s="2637">
        <v>382046302</v>
      </c>
      <c r="F519" s="2637">
        <v>375744618</v>
      </c>
      <c r="G519" s="2637">
        <v>368551585</v>
      </c>
      <c r="H519" s="2637">
        <v>389239335</v>
      </c>
      <c r="I519" s="2637">
        <v>382046302</v>
      </c>
      <c r="J519" s="2637">
        <v>375744618</v>
      </c>
      <c r="K519" s="2637">
        <v>368551585</v>
      </c>
      <c r="L519" s="2637">
        <v>20618033</v>
      </c>
      <c r="M519" s="2637">
        <v>0</v>
      </c>
    </row>
    <row r="520" spans="1:13" ht="14.5">
      <c r="A520" s="2978" t="s">
        <v>9901</v>
      </c>
      <c r="B520" s="2113" t="str">
        <f t="shared" si="9"/>
        <v>121-903</v>
      </c>
      <c r="C520" s="2978" t="s">
        <v>6508</v>
      </c>
      <c r="D520" s="2639">
        <v>444050599</v>
      </c>
      <c r="E520" s="2639">
        <v>426440487</v>
      </c>
      <c r="F520" s="2639">
        <v>444050599</v>
      </c>
      <c r="G520" s="2639">
        <v>426440487</v>
      </c>
      <c r="H520" s="2639">
        <v>444050599</v>
      </c>
      <c r="I520" s="2639">
        <v>426440487</v>
      </c>
      <c r="J520" s="2639">
        <v>444050599</v>
      </c>
      <c r="K520" s="2639">
        <v>426440487</v>
      </c>
      <c r="L520" s="2639">
        <v>53295112</v>
      </c>
      <c r="M520" s="2639">
        <v>0</v>
      </c>
    </row>
    <row r="521" spans="1:13" ht="14.5">
      <c r="A521" s="2977" t="s">
        <v>9902</v>
      </c>
      <c r="B521" s="2113" t="str">
        <f t="shared" si="9"/>
        <v>121-904</v>
      </c>
      <c r="C521" s="2977" t="s">
        <v>6509</v>
      </c>
      <c r="D521" s="2637">
        <v>988927660</v>
      </c>
      <c r="E521" s="2637">
        <v>957378645</v>
      </c>
      <c r="F521" s="2637">
        <v>988927660</v>
      </c>
      <c r="G521" s="2637">
        <v>957378645</v>
      </c>
      <c r="H521" s="2637">
        <v>988927660</v>
      </c>
      <c r="I521" s="2637">
        <v>957378645</v>
      </c>
      <c r="J521" s="2637">
        <v>988927660</v>
      </c>
      <c r="K521" s="2637">
        <v>957378645</v>
      </c>
      <c r="L521" s="2637">
        <v>92314015</v>
      </c>
      <c r="M521" s="2637">
        <v>0</v>
      </c>
    </row>
    <row r="522" spans="1:13" ht="14.5">
      <c r="A522" s="2978" t="s">
        <v>9903</v>
      </c>
      <c r="B522" s="2113" t="str">
        <f t="shared" si="9"/>
        <v>121-905</v>
      </c>
      <c r="C522" s="2978" t="s">
        <v>6510</v>
      </c>
      <c r="D522" s="2639">
        <v>372912995</v>
      </c>
      <c r="E522" s="2639">
        <v>357324470</v>
      </c>
      <c r="F522" s="2639">
        <v>372912995</v>
      </c>
      <c r="G522" s="2639">
        <v>357324470</v>
      </c>
      <c r="H522" s="2639">
        <v>372912995</v>
      </c>
      <c r="I522" s="2639">
        <v>357324470</v>
      </c>
      <c r="J522" s="2639">
        <v>372912995</v>
      </c>
      <c r="K522" s="2639">
        <v>357324470</v>
      </c>
      <c r="L522" s="2639">
        <v>46218525</v>
      </c>
      <c r="M522" s="2639">
        <v>0</v>
      </c>
    </row>
    <row r="523" spans="1:13" ht="14.5">
      <c r="A523" s="2977" t="s">
        <v>9904</v>
      </c>
      <c r="B523" s="2113" t="str">
        <f t="shared" si="9"/>
        <v>121-906</v>
      </c>
      <c r="C523" s="2977" t="s">
        <v>6511</v>
      </c>
      <c r="D523" s="2637">
        <v>346323624</v>
      </c>
      <c r="E523" s="2637">
        <v>343034733</v>
      </c>
      <c r="F523" s="2637">
        <v>341915048</v>
      </c>
      <c r="G523" s="2637">
        <v>338626157</v>
      </c>
      <c r="H523" s="2637">
        <v>346323624</v>
      </c>
      <c r="I523" s="2637">
        <v>343034733</v>
      </c>
      <c r="J523" s="2637">
        <v>341915048</v>
      </c>
      <c r="K523" s="2637">
        <v>338626157</v>
      </c>
      <c r="L523" s="2637">
        <v>9753891</v>
      </c>
      <c r="M523" s="2637">
        <v>0</v>
      </c>
    </row>
    <row r="524" spans="1:13" ht="14.5">
      <c r="A524" s="2978" t="s">
        <v>9905</v>
      </c>
      <c r="B524" s="2113" t="str">
        <f t="shared" si="9"/>
        <v>122-901</v>
      </c>
      <c r="C524" s="2978" t="s">
        <v>6512</v>
      </c>
      <c r="D524" s="2639">
        <v>233805526</v>
      </c>
      <c r="E524" s="2639">
        <v>228578476</v>
      </c>
      <c r="F524" s="2639">
        <v>233805526</v>
      </c>
      <c r="G524" s="2639">
        <v>228578476</v>
      </c>
      <c r="H524" s="2639">
        <v>233805526</v>
      </c>
      <c r="I524" s="2639">
        <v>228578476</v>
      </c>
      <c r="J524" s="2639">
        <v>233805526</v>
      </c>
      <c r="K524" s="2639">
        <v>228578476</v>
      </c>
      <c r="L524" s="2639">
        <v>14107050</v>
      </c>
      <c r="M524" s="2639">
        <v>0</v>
      </c>
    </row>
    <row r="525" spans="1:13" ht="14.5">
      <c r="A525" s="2977" t="s">
        <v>9906</v>
      </c>
      <c r="B525" s="2113" t="str">
        <f t="shared" si="9"/>
        <v>122-902</v>
      </c>
      <c r="C525" s="2977" t="s">
        <v>6513</v>
      </c>
      <c r="D525" s="2637">
        <v>55522858</v>
      </c>
      <c r="E525" s="2637">
        <v>55191358</v>
      </c>
      <c r="F525" s="2637">
        <v>55522858</v>
      </c>
      <c r="G525" s="2637">
        <v>55191358</v>
      </c>
      <c r="H525" s="2637">
        <v>55522858</v>
      </c>
      <c r="I525" s="2637">
        <v>55191358</v>
      </c>
      <c r="J525" s="2637">
        <v>55522858</v>
      </c>
      <c r="K525" s="2637">
        <v>55191358</v>
      </c>
      <c r="L525" s="2637">
        <v>1201500</v>
      </c>
      <c r="M525" s="2637">
        <v>0</v>
      </c>
    </row>
    <row r="526" spans="1:13" ht="14.5">
      <c r="A526" s="2978" t="s">
        <v>9907</v>
      </c>
      <c r="B526" s="2113" t="str">
        <f t="shared" si="9"/>
        <v>123-905</v>
      </c>
      <c r="C526" s="2978" t="s">
        <v>6514</v>
      </c>
      <c r="D526" s="2639">
        <v>3303443793</v>
      </c>
      <c r="E526" s="2639">
        <v>3237569981</v>
      </c>
      <c r="F526" s="2639">
        <v>3303443793</v>
      </c>
      <c r="G526" s="2639">
        <v>3237569981</v>
      </c>
      <c r="H526" s="2639">
        <v>3470352893</v>
      </c>
      <c r="I526" s="2639">
        <v>3404479081</v>
      </c>
      <c r="J526" s="2639">
        <v>3470352893</v>
      </c>
      <c r="K526" s="2639">
        <v>3404479081</v>
      </c>
      <c r="L526" s="2639">
        <v>169508812</v>
      </c>
      <c r="M526" s="2639">
        <v>166909100</v>
      </c>
    </row>
    <row r="527" spans="1:13" ht="14.5">
      <c r="A527" s="2977" t="s">
        <v>9908</v>
      </c>
      <c r="B527" s="2113" t="str">
        <f t="shared" si="9"/>
        <v>123-907</v>
      </c>
      <c r="C527" s="2977" t="s">
        <v>6515</v>
      </c>
      <c r="D527" s="2637">
        <v>5188100025</v>
      </c>
      <c r="E527" s="2637">
        <v>5096891815</v>
      </c>
      <c r="F527" s="2637">
        <v>5188100025</v>
      </c>
      <c r="G527" s="2637">
        <v>5096891815</v>
      </c>
      <c r="H527" s="2637">
        <v>5292267425</v>
      </c>
      <c r="I527" s="2637">
        <v>5201059215</v>
      </c>
      <c r="J527" s="2637">
        <v>5292267425</v>
      </c>
      <c r="K527" s="2637">
        <v>5201059215</v>
      </c>
      <c r="L527" s="2637">
        <v>232193210</v>
      </c>
      <c r="M527" s="2637">
        <v>104167400</v>
      </c>
    </row>
    <row r="528" spans="1:13" ht="14.5">
      <c r="A528" s="2978" t="s">
        <v>9909</v>
      </c>
      <c r="B528" s="2113" t="str">
        <f t="shared" si="9"/>
        <v>123-908</v>
      </c>
      <c r="C528" s="2978" t="s">
        <v>6516</v>
      </c>
      <c r="D528" s="2639">
        <v>2977768543</v>
      </c>
      <c r="E528" s="2639">
        <v>2908131579</v>
      </c>
      <c r="F528" s="2639">
        <v>2856240864</v>
      </c>
      <c r="G528" s="2639">
        <v>2786603900</v>
      </c>
      <c r="H528" s="2639">
        <v>3775427343</v>
      </c>
      <c r="I528" s="2639">
        <v>3705790379</v>
      </c>
      <c r="J528" s="2639">
        <v>3653899664</v>
      </c>
      <c r="K528" s="2639">
        <v>3584262700</v>
      </c>
      <c r="L528" s="2639">
        <v>174561964</v>
      </c>
      <c r="M528" s="2639">
        <v>797658800</v>
      </c>
    </row>
    <row r="529" spans="1:13" ht="14.5">
      <c r="A529" s="2977" t="s">
        <v>9910</v>
      </c>
      <c r="B529" s="2113" t="str">
        <f t="shared" si="9"/>
        <v>123-910</v>
      </c>
      <c r="C529" s="2977" t="s">
        <v>6517</v>
      </c>
      <c r="D529" s="2637">
        <v>12063666272</v>
      </c>
      <c r="E529" s="2637">
        <v>11852986201</v>
      </c>
      <c r="F529" s="2637">
        <v>12063666272</v>
      </c>
      <c r="G529" s="2637">
        <v>11852986201</v>
      </c>
      <c r="H529" s="2637">
        <v>14053001129</v>
      </c>
      <c r="I529" s="2637">
        <v>13842321058</v>
      </c>
      <c r="J529" s="2637">
        <v>14053001129</v>
      </c>
      <c r="K529" s="2637">
        <v>13842321058</v>
      </c>
      <c r="L529" s="2637">
        <v>535130071</v>
      </c>
      <c r="M529" s="2637">
        <v>1989334857</v>
      </c>
    </row>
    <row r="530" spans="1:13" ht="14.5">
      <c r="A530" s="2978" t="s">
        <v>9911</v>
      </c>
      <c r="B530" s="2113" t="str">
        <f t="shared" si="9"/>
        <v>123-913</v>
      </c>
      <c r="C530" s="2978" t="s">
        <v>6518</v>
      </c>
      <c r="D530" s="2639">
        <v>928949549</v>
      </c>
      <c r="E530" s="2639">
        <v>927990140</v>
      </c>
      <c r="F530" s="2639">
        <v>927956923</v>
      </c>
      <c r="G530" s="2639">
        <v>926997514</v>
      </c>
      <c r="H530" s="2639">
        <v>928949549</v>
      </c>
      <c r="I530" s="2639">
        <v>927990140</v>
      </c>
      <c r="J530" s="2639">
        <v>927956923</v>
      </c>
      <c r="K530" s="2639">
        <v>926997514</v>
      </c>
      <c r="L530" s="2639">
        <v>2519409</v>
      </c>
      <c r="M530" s="2639">
        <v>0</v>
      </c>
    </row>
    <row r="531" spans="1:13" ht="14.5">
      <c r="A531" s="2977" t="s">
        <v>9912</v>
      </c>
      <c r="B531" s="2113" t="str">
        <f t="shared" si="9"/>
        <v>123-914</v>
      </c>
      <c r="C531" s="2977" t="s">
        <v>6519</v>
      </c>
      <c r="D531" s="2637">
        <v>873909703</v>
      </c>
      <c r="E531" s="2637">
        <v>850289170</v>
      </c>
      <c r="F531" s="2637">
        <v>873909703</v>
      </c>
      <c r="G531" s="2637">
        <v>850289170</v>
      </c>
      <c r="H531" s="2637">
        <v>873909703</v>
      </c>
      <c r="I531" s="2637">
        <v>850289170</v>
      </c>
      <c r="J531" s="2637">
        <v>873909703</v>
      </c>
      <c r="K531" s="2637">
        <v>850289170</v>
      </c>
      <c r="L531" s="2637">
        <v>67615533</v>
      </c>
      <c r="M531" s="2637">
        <v>0</v>
      </c>
    </row>
    <row r="532" spans="1:13" ht="14.5">
      <c r="A532" s="2978" t="s">
        <v>9913</v>
      </c>
      <c r="B532" s="2113" t="str">
        <f t="shared" si="9"/>
        <v>124-901</v>
      </c>
      <c r="C532" s="2978" t="s">
        <v>6520</v>
      </c>
      <c r="D532" s="2639">
        <v>350085150</v>
      </c>
      <c r="E532" s="2639">
        <v>340877090</v>
      </c>
      <c r="F532" s="2639">
        <v>346362415</v>
      </c>
      <c r="G532" s="2639">
        <v>337154355</v>
      </c>
      <c r="H532" s="2639">
        <v>446883610</v>
      </c>
      <c r="I532" s="2639">
        <v>437675550</v>
      </c>
      <c r="J532" s="2639">
        <v>443160875</v>
      </c>
      <c r="K532" s="2639">
        <v>433952815</v>
      </c>
      <c r="L532" s="2639">
        <v>25198060</v>
      </c>
      <c r="M532" s="2639">
        <v>96798460</v>
      </c>
    </row>
    <row r="533" spans="1:13" ht="14.5">
      <c r="A533" s="2977" t="s">
        <v>9914</v>
      </c>
      <c r="B533" s="2113" t="str">
        <f t="shared" si="9"/>
        <v>125-901</v>
      </c>
      <c r="C533" s="2977" t="s">
        <v>6521</v>
      </c>
      <c r="D533" s="2637">
        <v>1203656741</v>
      </c>
      <c r="E533" s="2637">
        <v>1165123287</v>
      </c>
      <c r="F533" s="2637">
        <v>1203656741</v>
      </c>
      <c r="G533" s="2637">
        <v>1165123287</v>
      </c>
      <c r="H533" s="2637">
        <v>1203656741</v>
      </c>
      <c r="I533" s="2637">
        <v>1165123287</v>
      </c>
      <c r="J533" s="2637">
        <v>1203656741</v>
      </c>
      <c r="K533" s="2637">
        <v>1165123287</v>
      </c>
      <c r="L533" s="2637">
        <v>106033454</v>
      </c>
      <c r="M533" s="2637">
        <v>0</v>
      </c>
    </row>
    <row r="534" spans="1:13" ht="14.5">
      <c r="A534" s="2978" t="s">
        <v>9915</v>
      </c>
      <c r="B534" s="2113" t="str">
        <f t="shared" si="9"/>
        <v>125-902</v>
      </c>
      <c r="C534" s="2978" t="s">
        <v>8432</v>
      </c>
      <c r="D534" s="2639">
        <v>99265282</v>
      </c>
      <c r="E534" s="2639">
        <v>95342044</v>
      </c>
      <c r="F534" s="2639">
        <v>99265282</v>
      </c>
      <c r="G534" s="2639">
        <v>95342044</v>
      </c>
      <c r="H534" s="2639">
        <v>99265282</v>
      </c>
      <c r="I534" s="2639">
        <v>95342044</v>
      </c>
      <c r="J534" s="2639">
        <v>99265282</v>
      </c>
      <c r="K534" s="2639">
        <v>95342044</v>
      </c>
      <c r="L534" s="2639">
        <v>11858238</v>
      </c>
      <c r="M534" s="2639">
        <v>0</v>
      </c>
    </row>
    <row r="535" spans="1:13" ht="14.5">
      <c r="A535" s="2977" t="s">
        <v>9916</v>
      </c>
      <c r="B535" s="2113" t="str">
        <f t="shared" si="9"/>
        <v>125-903</v>
      </c>
      <c r="C535" s="2977" t="s">
        <v>6522</v>
      </c>
      <c r="D535" s="2637">
        <v>493045462</v>
      </c>
      <c r="E535" s="2637">
        <v>480488565</v>
      </c>
      <c r="F535" s="2637">
        <v>493045462</v>
      </c>
      <c r="G535" s="2637">
        <v>480488565</v>
      </c>
      <c r="H535" s="2637">
        <v>493045462</v>
      </c>
      <c r="I535" s="2637">
        <v>480488565</v>
      </c>
      <c r="J535" s="2637">
        <v>493045462</v>
      </c>
      <c r="K535" s="2637">
        <v>480488565</v>
      </c>
      <c r="L535" s="2637">
        <v>36931897</v>
      </c>
      <c r="M535" s="2637">
        <v>0</v>
      </c>
    </row>
    <row r="536" spans="1:13" ht="14.5">
      <c r="A536" s="2978" t="s">
        <v>9917</v>
      </c>
      <c r="B536" s="2113" t="str">
        <f t="shared" si="9"/>
        <v>125-905</v>
      </c>
      <c r="C536" s="2978" t="s">
        <v>6523</v>
      </c>
      <c r="D536" s="2639">
        <v>165477318</v>
      </c>
      <c r="E536" s="2639">
        <v>160276724</v>
      </c>
      <c r="F536" s="2639">
        <v>165477318</v>
      </c>
      <c r="G536" s="2639">
        <v>160276724</v>
      </c>
      <c r="H536" s="2639">
        <v>165477318</v>
      </c>
      <c r="I536" s="2639">
        <v>160276724</v>
      </c>
      <c r="J536" s="2639">
        <v>165477318</v>
      </c>
      <c r="K536" s="2639">
        <v>160276724</v>
      </c>
      <c r="L536" s="2639">
        <v>15220594</v>
      </c>
      <c r="M536" s="2639">
        <v>0</v>
      </c>
    </row>
    <row r="537" spans="1:13" ht="14.5">
      <c r="A537" s="2977" t="s">
        <v>9918</v>
      </c>
      <c r="B537" s="2113" t="str">
        <f t="shared" si="9"/>
        <v>125-906</v>
      </c>
      <c r="C537" s="2977" t="s">
        <v>6524</v>
      </c>
      <c r="D537" s="2637">
        <v>44508241</v>
      </c>
      <c r="E537" s="2637">
        <v>43923211</v>
      </c>
      <c r="F537" s="2637">
        <v>44351249</v>
      </c>
      <c r="G537" s="2637">
        <v>43766219</v>
      </c>
      <c r="H537" s="2637">
        <v>44508241</v>
      </c>
      <c r="I537" s="2637">
        <v>43923211</v>
      </c>
      <c r="J537" s="2637">
        <v>44351249</v>
      </c>
      <c r="K537" s="2637">
        <v>43766219</v>
      </c>
      <c r="L537" s="2637">
        <v>1770030</v>
      </c>
      <c r="M537" s="2637">
        <v>0</v>
      </c>
    </row>
    <row r="538" spans="1:13" ht="14.5">
      <c r="A538" s="2978" t="s">
        <v>9919</v>
      </c>
      <c r="B538" s="2113" t="str">
        <f t="shared" si="9"/>
        <v>126-901</v>
      </c>
      <c r="C538" s="2978" t="s">
        <v>6525</v>
      </c>
      <c r="D538" s="2639">
        <v>1713849488</v>
      </c>
      <c r="E538" s="2639">
        <v>1678613711</v>
      </c>
      <c r="F538" s="2639">
        <v>1713849488</v>
      </c>
      <c r="G538" s="2639">
        <v>1678613711</v>
      </c>
      <c r="H538" s="2639">
        <v>1713849488</v>
      </c>
      <c r="I538" s="2639">
        <v>1678613711</v>
      </c>
      <c r="J538" s="2639">
        <v>1713849488</v>
      </c>
      <c r="K538" s="2639">
        <v>1678613711</v>
      </c>
      <c r="L538" s="2639">
        <v>106860777</v>
      </c>
      <c r="M538" s="2639">
        <v>0</v>
      </c>
    </row>
    <row r="539" spans="1:13" ht="14.5">
      <c r="A539" s="2977" t="s">
        <v>9920</v>
      </c>
      <c r="B539" s="2113" t="str">
        <f t="shared" si="9"/>
        <v>126-902</v>
      </c>
      <c r="C539" s="2977" t="s">
        <v>6526</v>
      </c>
      <c r="D539" s="2637">
        <v>5953002374</v>
      </c>
      <c r="E539" s="2637">
        <v>5807219288</v>
      </c>
      <c r="F539" s="2637">
        <v>5953002374</v>
      </c>
      <c r="G539" s="2637">
        <v>5807219288</v>
      </c>
      <c r="H539" s="2637">
        <v>5953002374</v>
      </c>
      <c r="I539" s="2637">
        <v>5807219288</v>
      </c>
      <c r="J539" s="2637">
        <v>5953002374</v>
      </c>
      <c r="K539" s="2637">
        <v>5807219288</v>
      </c>
      <c r="L539" s="2637">
        <v>376618086</v>
      </c>
      <c r="M539" s="2637">
        <v>0</v>
      </c>
    </row>
    <row r="540" spans="1:13" ht="14.5">
      <c r="A540" s="2978" t="s">
        <v>9921</v>
      </c>
      <c r="B540" s="2113" t="str">
        <f t="shared" si="9"/>
        <v>126-903</v>
      </c>
      <c r="C540" s="2978" t="s">
        <v>6527</v>
      </c>
      <c r="D540" s="2639">
        <v>3283458064</v>
      </c>
      <c r="E540" s="2639">
        <v>3206908950</v>
      </c>
      <c r="F540" s="2639">
        <v>3283458064</v>
      </c>
      <c r="G540" s="2639">
        <v>3206908950</v>
      </c>
      <c r="H540" s="2639">
        <v>3283458064</v>
      </c>
      <c r="I540" s="2639">
        <v>3206908950</v>
      </c>
      <c r="J540" s="2639">
        <v>3283458064</v>
      </c>
      <c r="K540" s="2639">
        <v>3206908950</v>
      </c>
      <c r="L540" s="2639">
        <v>202159114</v>
      </c>
      <c r="M540" s="2639">
        <v>0</v>
      </c>
    </row>
    <row r="541" spans="1:13" ht="14.5">
      <c r="A541" s="2977" t="s">
        <v>9922</v>
      </c>
      <c r="B541" s="2113" t="str">
        <f t="shared" si="9"/>
        <v>126-904</v>
      </c>
      <c r="C541" s="2977" t="s">
        <v>6528</v>
      </c>
      <c r="D541" s="2637">
        <v>439842810</v>
      </c>
      <c r="E541" s="2637">
        <v>427129370</v>
      </c>
      <c r="F541" s="2637">
        <v>439842810</v>
      </c>
      <c r="G541" s="2637">
        <v>427129370</v>
      </c>
      <c r="H541" s="2637">
        <v>439842810</v>
      </c>
      <c r="I541" s="2637">
        <v>427129370</v>
      </c>
      <c r="J541" s="2637">
        <v>439842810</v>
      </c>
      <c r="K541" s="2637">
        <v>427129370</v>
      </c>
      <c r="L541" s="2637">
        <v>33098440</v>
      </c>
      <c r="M541" s="2637">
        <v>0</v>
      </c>
    </row>
    <row r="542" spans="1:13" ht="14.5">
      <c r="A542" s="2978" t="s">
        <v>9923</v>
      </c>
      <c r="B542" s="2113" t="str">
        <f t="shared" si="9"/>
        <v>126-905</v>
      </c>
      <c r="C542" s="2978" t="s">
        <v>6529</v>
      </c>
      <c r="D542" s="2639">
        <v>2165938534</v>
      </c>
      <c r="E542" s="2639">
        <v>2104929589</v>
      </c>
      <c r="F542" s="2639">
        <v>2165938534</v>
      </c>
      <c r="G542" s="2639">
        <v>2104929589</v>
      </c>
      <c r="H542" s="2639">
        <v>2165938534</v>
      </c>
      <c r="I542" s="2639">
        <v>2104929589</v>
      </c>
      <c r="J542" s="2639">
        <v>2165938534</v>
      </c>
      <c r="K542" s="2639">
        <v>2104929589</v>
      </c>
      <c r="L542" s="2639">
        <v>166938945</v>
      </c>
      <c r="M542" s="2639">
        <v>0</v>
      </c>
    </row>
    <row r="543" spans="1:13" ht="14.5">
      <c r="A543" s="2977" t="s">
        <v>9924</v>
      </c>
      <c r="B543" s="2113" t="str">
        <f t="shared" si="9"/>
        <v>126-906</v>
      </c>
      <c r="C543" s="2977" t="s">
        <v>6530</v>
      </c>
      <c r="D543" s="2637">
        <v>219899824</v>
      </c>
      <c r="E543" s="2637">
        <v>213720020</v>
      </c>
      <c r="F543" s="2637">
        <v>219899824</v>
      </c>
      <c r="G543" s="2637">
        <v>213720020</v>
      </c>
      <c r="H543" s="2637">
        <v>219899824</v>
      </c>
      <c r="I543" s="2637">
        <v>213720020</v>
      </c>
      <c r="J543" s="2637">
        <v>219899824</v>
      </c>
      <c r="K543" s="2637">
        <v>213720020</v>
      </c>
      <c r="L543" s="2637">
        <v>17069804</v>
      </c>
      <c r="M543" s="2637">
        <v>0</v>
      </c>
    </row>
    <row r="544" spans="1:13" ht="14.5">
      <c r="A544" s="2978" t="s">
        <v>9925</v>
      </c>
      <c r="B544" s="2113" t="str">
        <f t="shared" si="9"/>
        <v>126-907</v>
      </c>
      <c r="C544" s="2978" t="s">
        <v>6531</v>
      </c>
      <c r="D544" s="2639">
        <v>384627474</v>
      </c>
      <c r="E544" s="2639">
        <v>374346686</v>
      </c>
      <c r="F544" s="2639">
        <v>384627474</v>
      </c>
      <c r="G544" s="2639">
        <v>374346686</v>
      </c>
      <c r="H544" s="2639">
        <v>384627474</v>
      </c>
      <c r="I544" s="2639">
        <v>374346686</v>
      </c>
      <c r="J544" s="2639">
        <v>384627474</v>
      </c>
      <c r="K544" s="2639">
        <v>374346686</v>
      </c>
      <c r="L544" s="2639">
        <v>27515788</v>
      </c>
      <c r="M544" s="2639">
        <v>0</v>
      </c>
    </row>
    <row r="545" spans="1:13" ht="14.5">
      <c r="A545" s="2977" t="s">
        <v>9926</v>
      </c>
      <c r="B545" s="2113" t="str">
        <f t="shared" si="9"/>
        <v>126-908</v>
      </c>
      <c r="C545" s="2977" t="s">
        <v>6532</v>
      </c>
      <c r="D545" s="2637">
        <v>526019704</v>
      </c>
      <c r="E545" s="2637">
        <v>510139018</v>
      </c>
      <c r="F545" s="2637">
        <v>526019704</v>
      </c>
      <c r="G545" s="2637">
        <v>510139018</v>
      </c>
      <c r="H545" s="2637">
        <v>526019704</v>
      </c>
      <c r="I545" s="2637">
        <v>510139018</v>
      </c>
      <c r="J545" s="2637">
        <v>526019704</v>
      </c>
      <c r="K545" s="2637">
        <v>510139018</v>
      </c>
      <c r="L545" s="2637">
        <v>47605686</v>
      </c>
      <c r="M545" s="2637">
        <v>0</v>
      </c>
    </row>
    <row r="546" spans="1:13" ht="14.5">
      <c r="A546" s="2978" t="s">
        <v>10621</v>
      </c>
      <c r="B546" s="2113" t="str">
        <f t="shared" si="9"/>
        <v>126-911</v>
      </c>
      <c r="C546" s="2978" t="s">
        <v>6533</v>
      </c>
      <c r="D546" s="2639">
        <v>1166372220</v>
      </c>
      <c r="E546" s="2639">
        <v>1146878262</v>
      </c>
      <c r="F546" s="2639">
        <v>1166372220</v>
      </c>
      <c r="G546" s="2639">
        <v>1146878262</v>
      </c>
      <c r="H546" s="2639">
        <v>1166372220</v>
      </c>
      <c r="I546" s="2639">
        <v>1146878262</v>
      </c>
      <c r="J546" s="2639">
        <v>1166372220</v>
      </c>
      <c r="K546" s="2639">
        <v>1146878262</v>
      </c>
      <c r="L546" s="2639">
        <v>57428958</v>
      </c>
      <c r="M546" s="2639">
        <v>0</v>
      </c>
    </row>
    <row r="547" spans="1:13" ht="14.5">
      <c r="A547" s="2977" t="s">
        <v>9927</v>
      </c>
      <c r="B547" s="2113" t="str">
        <f t="shared" si="9"/>
        <v>127-901</v>
      </c>
      <c r="C547" s="2977" t="s">
        <v>6534</v>
      </c>
      <c r="D547" s="2637">
        <v>192936384</v>
      </c>
      <c r="E547" s="2637">
        <v>184257444</v>
      </c>
      <c r="F547" s="2637">
        <v>192936384</v>
      </c>
      <c r="G547" s="2637">
        <v>184257444</v>
      </c>
      <c r="H547" s="2637">
        <v>361175524</v>
      </c>
      <c r="I547" s="2637">
        <v>352496584</v>
      </c>
      <c r="J547" s="2637">
        <v>361175524</v>
      </c>
      <c r="K547" s="2637">
        <v>352496584</v>
      </c>
      <c r="L547" s="2637">
        <v>22973940</v>
      </c>
      <c r="M547" s="2637">
        <v>168239140</v>
      </c>
    </row>
    <row r="548" spans="1:13" ht="14.5">
      <c r="A548" s="2978" t="s">
        <v>9928</v>
      </c>
      <c r="B548" s="2113" t="str">
        <f t="shared" si="9"/>
        <v>127-903</v>
      </c>
      <c r="C548" s="2978" t="s">
        <v>6535</v>
      </c>
      <c r="D548" s="2639">
        <v>144910029</v>
      </c>
      <c r="E548" s="2639">
        <v>139507399</v>
      </c>
      <c r="F548" s="2639">
        <v>144910029</v>
      </c>
      <c r="G548" s="2639">
        <v>139507399</v>
      </c>
      <c r="H548" s="2639">
        <v>144910029</v>
      </c>
      <c r="I548" s="2639">
        <v>139507399</v>
      </c>
      <c r="J548" s="2639">
        <v>144910029</v>
      </c>
      <c r="K548" s="2639">
        <v>139507399</v>
      </c>
      <c r="L548" s="2639">
        <v>14642630</v>
      </c>
      <c r="M548" s="2639">
        <v>0</v>
      </c>
    </row>
    <row r="549" spans="1:13" ht="14.5">
      <c r="A549" s="2977" t="s">
        <v>9929</v>
      </c>
      <c r="B549" s="2113" t="str">
        <f t="shared" si="9"/>
        <v>127-904</v>
      </c>
      <c r="C549" s="2977" t="s">
        <v>6536</v>
      </c>
      <c r="D549" s="2637">
        <v>208325703</v>
      </c>
      <c r="E549" s="2637">
        <v>199032243</v>
      </c>
      <c r="F549" s="2637">
        <v>208325703</v>
      </c>
      <c r="G549" s="2637">
        <v>199032243</v>
      </c>
      <c r="H549" s="2637">
        <v>208325703</v>
      </c>
      <c r="I549" s="2637">
        <v>199032243</v>
      </c>
      <c r="J549" s="2637">
        <v>208325703</v>
      </c>
      <c r="K549" s="2637">
        <v>199032243</v>
      </c>
      <c r="L549" s="2637">
        <v>24143460</v>
      </c>
      <c r="M549" s="2637">
        <v>0</v>
      </c>
    </row>
    <row r="550" spans="1:13" ht="14.5">
      <c r="A550" s="2978" t="s">
        <v>9930</v>
      </c>
      <c r="B550" s="2113" t="str">
        <f t="shared" si="9"/>
        <v>127-905</v>
      </c>
      <c r="C550" s="2978" t="s">
        <v>6537</v>
      </c>
      <c r="D550" s="2639">
        <v>85903973</v>
      </c>
      <c r="E550" s="2639">
        <v>84108203</v>
      </c>
      <c r="F550" s="2639">
        <v>85903973</v>
      </c>
      <c r="G550" s="2639">
        <v>84108203</v>
      </c>
      <c r="H550" s="2639">
        <v>85903973</v>
      </c>
      <c r="I550" s="2639">
        <v>84108203</v>
      </c>
      <c r="J550" s="2639">
        <v>85903973</v>
      </c>
      <c r="K550" s="2639">
        <v>84108203</v>
      </c>
      <c r="L550" s="2639">
        <v>4990770</v>
      </c>
      <c r="M550" s="2639">
        <v>0</v>
      </c>
    </row>
    <row r="551" spans="1:13" ht="14.5">
      <c r="A551" s="2977" t="s">
        <v>9931</v>
      </c>
      <c r="B551" s="2113" t="str">
        <f t="shared" si="9"/>
        <v>127-906</v>
      </c>
      <c r="C551" s="2977" t="s">
        <v>6538</v>
      </c>
      <c r="D551" s="2637">
        <v>121615441</v>
      </c>
      <c r="E551" s="2637">
        <v>114345711</v>
      </c>
      <c r="F551" s="2637">
        <v>121615441</v>
      </c>
      <c r="G551" s="2637">
        <v>114345711</v>
      </c>
      <c r="H551" s="2637">
        <v>121615441</v>
      </c>
      <c r="I551" s="2637">
        <v>114345711</v>
      </c>
      <c r="J551" s="2637">
        <v>121615441</v>
      </c>
      <c r="K551" s="2637">
        <v>114345711</v>
      </c>
      <c r="L551" s="2637">
        <v>19959730</v>
      </c>
      <c r="M551" s="2637">
        <v>0</v>
      </c>
    </row>
    <row r="552" spans="1:13" ht="14.5">
      <c r="A552" s="2978" t="s">
        <v>9932</v>
      </c>
      <c r="B552" s="2113" t="str">
        <f t="shared" si="9"/>
        <v>128-901</v>
      </c>
      <c r="C552" s="2978" t="s">
        <v>6539</v>
      </c>
      <c r="D552" s="2639">
        <v>3539941408</v>
      </c>
      <c r="E552" s="2639">
        <v>3531254542</v>
      </c>
      <c r="F552" s="2639">
        <v>3539941408</v>
      </c>
      <c r="G552" s="2639">
        <v>3531254542</v>
      </c>
      <c r="H552" s="2639">
        <v>3539941408</v>
      </c>
      <c r="I552" s="2639">
        <v>3531254542</v>
      </c>
      <c r="J552" s="2639">
        <v>3539941408</v>
      </c>
      <c r="K552" s="2639">
        <v>3531254542</v>
      </c>
      <c r="L552" s="2639">
        <v>24481866</v>
      </c>
      <c r="M552" s="2639">
        <v>0</v>
      </c>
    </row>
    <row r="553" spans="1:13" ht="14.5">
      <c r="A553" s="2977" t="s">
        <v>9933</v>
      </c>
      <c r="B553" s="2113" t="str">
        <f t="shared" si="9"/>
        <v>128-902</v>
      </c>
      <c r="C553" s="2977" t="s">
        <v>6540</v>
      </c>
      <c r="D553" s="2637">
        <v>829628934</v>
      </c>
      <c r="E553" s="2637">
        <v>822457138</v>
      </c>
      <c r="F553" s="2637">
        <v>829628934</v>
      </c>
      <c r="G553" s="2637">
        <v>822457138</v>
      </c>
      <c r="H553" s="2637">
        <v>950953144</v>
      </c>
      <c r="I553" s="2637">
        <v>943781348</v>
      </c>
      <c r="J553" s="2637">
        <v>950953144</v>
      </c>
      <c r="K553" s="2637">
        <v>943781348</v>
      </c>
      <c r="L553" s="2637">
        <v>20341796</v>
      </c>
      <c r="M553" s="2637">
        <v>121324210</v>
      </c>
    </row>
    <row r="554" spans="1:13" ht="14.5">
      <c r="A554" s="2978" t="s">
        <v>9934</v>
      </c>
      <c r="B554" s="2113" t="str">
        <f t="shared" si="9"/>
        <v>128-903</v>
      </c>
      <c r="C554" s="2978" t="s">
        <v>6541</v>
      </c>
      <c r="D554" s="2639">
        <v>248372877</v>
      </c>
      <c r="E554" s="2639">
        <v>246220084</v>
      </c>
      <c r="F554" s="2639">
        <v>248372877</v>
      </c>
      <c r="G554" s="2639">
        <v>246220084</v>
      </c>
      <c r="H554" s="2639">
        <v>248372877</v>
      </c>
      <c r="I554" s="2639">
        <v>246220084</v>
      </c>
      <c r="J554" s="2639">
        <v>248372877</v>
      </c>
      <c r="K554" s="2639">
        <v>246220084</v>
      </c>
      <c r="L554" s="2639">
        <v>6217793</v>
      </c>
      <c r="M554" s="2639">
        <v>0</v>
      </c>
    </row>
    <row r="555" spans="1:13" ht="14.5">
      <c r="A555" s="2977" t="s">
        <v>9935</v>
      </c>
      <c r="B555" s="2113" t="str">
        <f t="shared" si="9"/>
        <v>128-904</v>
      </c>
      <c r="C555" s="2977" t="s">
        <v>6542</v>
      </c>
      <c r="D555" s="2637">
        <v>644031939</v>
      </c>
      <c r="E555" s="2637">
        <v>639446123</v>
      </c>
      <c r="F555" s="2637">
        <v>644031939</v>
      </c>
      <c r="G555" s="2637">
        <v>639446123</v>
      </c>
      <c r="H555" s="2637">
        <v>644031939</v>
      </c>
      <c r="I555" s="2637">
        <v>639446123</v>
      </c>
      <c r="J555" s="2637">
        <v>644031939</v>
      </c>
      <c r="K555" s="2637">
        <v>639446123</v>
      </c>
      <c r="L555" s="2637">
        <v>12295816</v>
      </c>
      <c r="M555" s="2637">
        <v>0</v>
      </c>
    </row>
    <row r="556" spans="1:13" ht="14.5">
      <c r="A556" s="2978" t="s">
        <v>9936</v>
      </c>
      <c r="B556" s="2113" t="str">
        <f t="shared" si="9"/>
        <v>129-901</v>
      </c>
      <c r="C556" s="2978" t="s">
        <v>6543</v>
      </c>
      <c r="D556" s="2639">
        <v>1660838761</v>
      </c>
      <c r="E556" s="2639">
        <v>1614942257</v>
      </c>
      <c r="F556" s="2639">
        <v>1660838761</v>
      </c>
      <c r="G556" s="2639">
        <v>1614942257</v>
      </c>
      <c r="H556" s="2639">
        <v>1660838761</v>
      </c>
      <c r="I556" s="2639">
        <v>1614942257</v>
      </c>
      <c r="J556" s="2639">
        <v>1660838761</v>
      </c>
      <c r="K556" s="2639">
        <v>1614942257</v>
      </c>
      <c r="L556" s="2639">
        <v>119381504</v>
      </c>
      <c r="M556" s="2639">
        <v>0</v>
      </c>
    </row>
    <row r="557" spans="1:13" ht="14.5">
      <c r="A557" s="2977" t="s">
        <v>9937</v>
      </c>
      <c r="B557" s="2113" t="str">
        <f t="shared" si="9"/>
        <v>129-902</v>
      </c>
      <c r="C557" s="2977" t="s">
        <v>6544</v>
      </c>
      <c r="D557" s="2637">
        <v>6620948804</v>
      </c>
      <c r="E557" s="2637">
        <v>6496837410</v>
      </c>
      <c r="F557" s="2637">
        <v>6620948804</v>
      </c>
      <c r="G557" s="2637">
        <v>6496837410</v>
      </c>
      <c r="H557" s="2637">
        <v>6620948804</v>
      </c>
      <c r="I557" s="2637">
        <v>6496837410</v>
      </c>
      <c r="J557" s="2637">
        <v>6620948804</v>
      </c>
      <c r="K557" s="2637">
        <v>6496837410</v>
      </c>
      <c r="L557" s="2637">
        <v>316171394</v>
      </c>
      <c r="M557" s="2637">
        <v>0</v>
      </c>
    </row>
    <row r="558" spans="1:13" ht="14.5">
      <c r="A558" s="2978" t="s">
        <v>10622</v>
      </c>
      <c r="B558" s="2113" t="str">
        <f t="shared" si="9"/>
        <v>129-903</v>
      </c>
      <c r="C558" s="2978" t="s">
        <v>6545</v>
      </c>
      <c r="D558" s="2639">
        <v>1282031966</v>
      </c>
      <c r="E558" s="2639">
        <v>1246986504</v>
      </c>
      <c r="F558" s="2639">
        <v>1282031966</v>
      </c>
      <c r="G558" s="2639">
        <v>1246986504</v>
      </c>
      <c r="H558" s="2639">
        <v>1282031966</v>
      </c>
      <c r="I558" s="2639">
        <v>1246986504</v>
      </c>
      <c r="J558" s="2639">
        <v>1282031966</v>
      </c>
      <c r="K558" s="2639">
        <v>1246986504</v>
      </c>
      <c r="L558" s="2639">
        <v>98105462</v>
      </c>
      <c r="M558" s="2639">
        <v>0</v>
      </c>
    </row>
    <row r="559" spans="1:13" ht="14.5">
      <c r="A559" s="2977" t="s">
        <v>9938</v>
      </c>
      <c r="B559" s="2113" t="str">
        <f t="shared" si="9"/>
        <v>129-904</v>
      </c>
      <c r="C559" s="2977" t="s">
        <v>6546</v>
      </c>
      <c r="D559" s="2637">
        <v>678666156</v>
      </c>
      <c r="E559" s="2637">
        <v>660390400</v>
      </c>
      <c r="F559" s="2637">
        <v>678666156</v>
      </c>
      <c r="G559" s="2637">
        <v>660390400</v>
      </c>
      <c r="H559" s="2637">
        <v>678666156</v>
      </c>
      <c r="I559" s="2637">
        <v>660390400</v>
      </c>
      <c r="J559" s="2637">
        <v>678666156</v>
      </c>
      <c r="K559" s="2637">
        <v>660390400</v>
      </c>
      <c r="L559" s="2637">
        <v>58820756</v>
      </c>
      <c r="M559" s="2637">
        <v>0</v>
      </c>
    </row>
    <row r="560" spans="1:13" ht="14.5">
      <c r="A560" s="2978" t="s">
        <v>10623</v>
      </c>
      <c r="B560" s="2113" t="str">
        <f t="shared" si="9"/>
        <v>129-905</v>
      </c>
      <c r="C560" s="2978" t="s">
        <v>6547</v>
      </c>
      <c r="D560" s="2639">
        <v>1854854971</v>
      </c>
      <c r="E560" s="2639">
        <v>1816333692</v>
      </c>
      <c r="F560" s="2639">
        <v>1854854971</v>
      </c>
      <c r="G560" s="2639">
        <v>1816333692</v>
      </c>
      <c r="H560" s="2639">
        <v>1854854971</v>
      </c>
      <c r="I560" s="2639">
        <v>1816333692</v>
      </c>
      <c r="J560" s="2639">
        <v>1854854971</v>
      </c>
      <c r="K560" s="2639">
        <v>1816333692</v>
      </c>
      <c r="L560" s="2639">
        <v>119491279</v>
      </c>
      <c r="M560" s="2639">
        <v>0</v>
      </c>
    </row>
    <row r="561" spans="1:13" ht="14.5">
      <c r="A561" s="2977" t="s">
        <v>10624</v>
      </c>
      <c r="B561" s="2113" t="str">
        <f t="shared" si="9"/>
        <v>129-906</v>
      </c>
      <c r="C561" s="2977" t="s">
        <v>6548</v>
      </c>
      <c r="D561" s="2637">
        <v>2551239169</v>
      </c>
      <c r="E561" s="2637">
        <v>2502467795</v>
      </c>
      <c r="F561" s="2637">
        <v>2551239169</v>
      </c>
      <c r="G561" s="2637">
        <v>2502467795</v>
      </c>
      <c r="H561" s="2637">
        <v>2551239169</v>
      </c>
      <c r="I561" s="2637">
        <v>2502467795</v>
      </c>
      <c r="J561" s="2637">
        <v>2551239169</v>
      </c>
      <c r="K561" s="2637">
        <v>2502467795</v>
      </c>
      <c r="L561" s="2637">
        <v>130686374</v>
      </c>
      <c r="M561" s="2637">
        <v>0</v>
      </c>
    </row>
    <row r="562" spans="1:13" ht="14.5">
      <c r="A562" s="2978" t="s">
        <v>9939</v>
      </c>
      <c r="B562" s="2113" t="str">
        <f t="shared" si="9"/>
        <v>129-910</v>
      </c>
      <c r="C562" s="2978" t="s">
        <v>6549</v>
      </c>
      <c r="D562" s="2639">
        <v>357714456</v>
      </c>
      <c r="E562" s="2639">
        <v>347320976</v>
      </c>
      <c r="F562" s="2639">
        <v>357714456</v>
      </c>
      <c r="G562" s="2639">
        <v>347320976</v>
      </c>
      <c r="H562" s="2639">
        <v>357714456</v>
      </c>
      <c r="I562" s="2639">
        <v>347320976</v>
      </c>
      <c r="J562" s="2639">
        <v>357714456</v>
      </c>
      <c r="K562" s="2639">
        <v>347320976</v>
      </c>
      <c r="L562" s="2639">
        <v>28933480</v>
      </c>
      <c r="M562" s="2639">
        <v>0</v>
      </c>
    </row>
    <row r="563" spans="1:13" ht="14.5">
      <c r="A563" s="2977" t="s">
        <v>9940</v>
      </c>
      <c r="B563" s="2113" t="str">
        <f t="shared" si="9"/>
        <v>130-901</v>
      </c>
      <c r="C563" s="2977" t="s">
        <v>6550</v>
      </c>
      <c r="D563" s="2637">
        <v>9108547776</v>
      </c>
      <c r="E563" s="2637">
        <v>8965588062</v>
      </c>
      <c r="F563" s="2637">
        <v>9108547776</v>
      </c>
      <c r="G563" s="2637">
        <v>8965588062</v>
      </c>
      <c r="H563" s="2637">
        <v>9108547776</v>
      </c>
      <c r="I563" s="2637">
        <v>8965588062</v>
      </c>
      <c r="J563" s="2637">
        <v>9108547776</v>
      </c>
      <c r="K563" s="2637">
        <v>8965588062</v>
      </c>
      <c r="L563" s="2637">
        <v>365349714</v>
      </c>
      <c r="M563" s="2637">
        <v>0</v>
      </c>
    </row>
    <row r="564" spans="1:13" ht="14.5">
      <c r="A564" s="2978" t="s">
        <v>9941</v>
      </c>
      <c r="B564" s="2113" t="str">
        <f t="shared" si="9"/>
        <v>130-902</v>
      </c>
      <c r="C564" s="2978" t="s">
        <v>6551</v>
      </c>
      <c r="D564" s="2639">
        <v>1054381616</v>
      </c>
      <c r="E564" s="2639">
        <v>1035127385</v>
      </c>
      <c r="F564" s="2639">
        <v>1054381616</v>
      </c>
      <c r="G564" s="2639">
        <v>1035127385</v>
      </c>
      <c r="H564" s="2639">
        <v>1054381616</v>
      </c>
      <c r="I564" s="2639">
        <v>1035127385</v>
      </c>
      <c r="J564" s="2639">
        <v>1054381616</v>
      </c>
      <c r="K564" s="2639">
        <v>1035127385</v>
      </c>
      <c r="L564" s="2639">
        <v>52569231</v>
      </c>
      <c r="M564" s="2639">
        <v>0</v>
      </c>
    </row>
    <row r="565" spans="1:13" s="2983" customFormat="1" ht="14.5">
      <c r="A565" s="2985"/>
      <c r="B565" s="2981" t="s">
        <v>2542</v>
      </c>
      <c r="C565" s="2636" t="s">
        <v>6552</v>
      </c>
      <c r="D565" s="2982">
        <v>1109242064</v>
      </c>
      <c r="E565" s="2982">
        <v>1108988800</v>
      </c>
      <c r="F565" s="2984"/>
      <c r="G565" s="2984"/>
      <c r="H565" s="2982">
        <v>1263342064</v>
      </c>
      <c r="I565" s="2982">
        <v>1263088800</v>
      </c>
      <c r="J565" s="2984"/>
      <c r="K565" s="2984"/>
      <c r="L565" s="2982">
        <v>1003264</v>
      </c>
      <c r="M565" s="2982">
        <v>154100000</v>
      </c>
    </row>
    <row r="566" spans="1:13" ht="14.5">
      <c r="A566" s="2978" t="s">
        <v>9943</v>
      </c>
      <c r="B566" s="2113" t="str">
        <f t="shared" si="9"/>
        <v>132-902</v>
      </c>
      <c r="C566" s="2978" t="s">
        <v>6553</v>
      </c>
      <c r="D566" s="2639">
        <v>324697152</v>
      </c>
      <c r="E566" s="2639">
        <v>323116552</v>
      </c>
      <c r="F566" s="2639">
        <v>323817882</v>
      </c>
      <c r="G566" s="2639">
        <v>322237282</v>
      </c>
      <c r="H566" s="2639">
        <v>324697152</v>
      </c>
      <c r="I566" s="2639">
        <v>323116552</v>
      </c>
      <c r="J566" s="2639">
        <v>323817882</v>
      </c>
      <c r="K566" s="2639">
        <v>322237282</v>
      </c>
      <c r="L566" s="2639">
        <v>4835600</v>
      </c>
      <c r="M566" s="2639">
        <v>0</v>
      </c>
    </row>
    <row r="567" spans="1:13" ht="14.5">
      <c r="A567" s="2977" t="s">
        <v>9944</v>
      </c>
      <c r="B567" s="2113" t="str">
        <f t="shared" si="9"/>
        <v>133-901</v>
      </c>
      <c r="C567" s="2977" t="s">
        <v>6554</v>
      </c>
      <c r="D567" s="2637">
        <v>414975696</v>
      </c>
      <c r="E567" s="2637">
        <v>406395147</v>
      </c>
      <c r="F567" s="2637">
        <v>414975696</v>
      </c>
      <c r="G567" s="2637">
        <v>406395147</v>
      </c>
      <c r="H567" s="2637">
        <v>414975696</v>
      </c>
      <c r="I567" s="2637">
        <v>406395147</v>
      </c>
      <c r="J567" s="2637">
        <v>414975696</v>
      </c>
      <c r="K567" s="2637">
        <v>406395147</v>
      </c>
      <c r="L567" s="2637">
        <v>23565549</v>
      </c>
      <c r="M567" s="2637">
        <v>0</v>
      </c>
    </row>
    <row r="568" spans="1:13" ht="14.5">
      <c r="A568" s="2978" t="s">
        <v>9945</v>
      </c>
      <c r="B568" s="2113" t="str">
        <f t="shared" si="9"/>
        <v>133-902</v>
      </c>
      <c r="C568" s="2978" t="s">
        <v>6555</v>
      </c>
      <c r="D568" s="2639">
        <v>548240674</v>
      </c>
      <c r="E568" s="2639">
        <v>543548441</v>
      </c>
      <c r="F568" s="2639">
        <v>548240674</v>
      </c>
      <c r="G568" s="2639">
        <v>543548441</v>
      </c>
      <c r="H568" s="2639">
        <v>548240674</v>
      </c>
      <c r="I568" s="2639">
        <v>543548441</v>
      </c>
      <c r="J568" s="2639">
        <v>548240674</v>
      </c>
      <c r="K568" s="2639">
        <v>543548441</v>
      </c>
      <c r="L568" s="2639">
        <v>12432233</v>
      </c>
      <c r="M568" s="2639">
        <v>0</v>
      </c>
    </row>
    <row r="569" spans="1:13" ht="14.5">
      <c r="A569" s="2977" t="s">
        <v>9946</v>
      </c>
      <c r="B569" s="2113" t="str">
        <f t="shared" si="9"/>
        <v>133-903</v>
      </c>
      <c r="C569" s="2977" t="s">
        <v>6556</v>
      </c>
      <c r="D569" s="2637">
        <v>3449004559</v>
      </c>
      <c r="E569" s="2637">
        <v>3365839949</v>
      </c>
      <c r="F569" s="2637">
        <v>3449004559</v>
      </c>
      <c r="G569" s="2637">
        <v>3365839949</v>
      </c>
      <c r="H569" s="2637">
        <v>3449004559</v>
      </c>
      <c r="I569" s="2637">
        <v>3365839949</v>
      </c>
      <c r="J569" s="2637">
        <v>3449004559</v>
      </c>
      <c r="K569" s="2637">
        <v>3365839949</v>
      </c>
      <c r="L569" s="2637">
        <v>219139610</v>
      </c>
      <c r="M569" s="2637">
        <v>0</v>
      </c>
    </row>
    <row r="570" spans="1:13" ht="14.5">
      <c r="A570" s="2978" t="s">
        <v>9947</v>
      </c>
      <c r="B570" s="2113" t="str">
        <f t="shared" si="9"/>
        <v>133-904</v>
      </c>
      <c r="C570" s="2978" t="s">
        <v>6557</v>
      </c>
      <c r="D570" s="2639">
        <v>748092258</v>
      </c>
      <c r="E570" s="2639">
        <v>728060026</v>
      </c>
      <c r="F570" s="2639">
        <v>748092258</v>
      </c>
      <c r="G570" s="2639">
        <v>728060026</v>
      </c>
      <c r="H570" s="2639">
        <v>748092258</v>
      </c>
      <c r="I570" s="2639">
        <v>728060026</v>
      </c>
      <c r="J570" s="2639">
        <v>748092258</v>
      </c>
      <c r="K570" s="2639">
        <v>728060026</v>
      </c>
      <c r="L570" s="2639">
        <v>55312232</v>
      </c>
      <c r="M570" s="2639">
        <v>0</v>
      </c>
    </row>
    <row r="571" spans="1:13" ht="14.5">
      <c r="A571" s="2977" t="s">
        <v>9948</v>
      </c>
      <c r="B571" s="2113" t="str">
        <f t="shared" si="9"/>
        <v>133-905</v>
      </c>
      <c r="C571" s="2977" t="s">
        <v>6558</v>
      </c>
      <c r="D571" s="2637">
        <v>89121106</v>
      </c>
      <c r="E571" s="2637">
        <v>88747303</v>
      </c>
      <c r="F571" s="2637">
        <v>89121106</v>
      </c>
      <c r="G571" s="2637">
        <v>88747303</v>
      </c>
      <c r="H571" s="2637">
        <v>89121106</v>
      </c>
      <c r="I571" s="2637">
        <v>88747303</v>
      </c>
      <c r="J571" s="2637">
        <v>89121106</v>
      </c>
      <c r="K571" s="2637">
        <v>88747303</v>
      </c>
      <c r="L571" s="2637">
        <v>1093803</v>
      </c>
      <c r="M571" s="2637">
        <v>0</v>
      </c>
    </row>
    <row r="572" spans="1:13" ht="14.5">
      <c r="A572" s="2978" t="s">
        <v>9949</v>
      </c>
      <c r="B572" s="2113" t="str">
        <f t="shared" si="9"/>
        <v>134-901</v>
      </c>
      <c r="C572" s="2978" t="s">
        <v>6559</v>
      </c>
      <c r="D572" s="2639">
        <v>606706723</v>
      </c>
      <c r="E572" s="2639">
        <v>597087570</v>
      </c>
      <c r="F572" s="2639">
        <v>606706723</v>
      </c>
      <c r="G572" s="2639">
        <v>597087570</v>
      </c>
      <c r="H572" s="2639">
        <v>606706723</v>
      </c>
      <c r="I572" s="2639">
        <v>597087570</v>
      </c>
      <c r="J572" s="2639">
        <v>606706723</v>
      </c>
      <c r="K572" s="2639">
        <v>597087570</v>
      </c>
      <c r="L572" s="2639">
        <v>26764153</v>
      </c>
      <c r="M572" s="2639">
        <v>0</v>
      </c>
    </row>
    <row r="573" spans="1:13" ht="14.5">
      <c r="A573" s="2977" t="s">
        <v>9950</v>
      </c>
      <c r="B573" s="2113" t="str">
        <f t="shared" si="9"/>
        <v>135-001</v>
      </c>
      <c r="C573" s="2977" t="s">
        <v>6560</v>
      </c>
      <c r="D573" s="2637">
        <v>125283200</v>
      </c>
      <c r="E573" s="2637">
        <v>125076440</v>
      </c>
      <c r="F573" s="2637">
        <v>125141065</v>
      </c>
      <c r="G573" s="2637">
        <v>124934305</v>
      </c>
      <c r="H573" s="2637">
        <v>125283200</v>
      </c>
      <c r="I573" s="2637">
        <v>125076440</v>
      </c>
      <c r="J573" s="2637">
        <v>125141065</v>
      </c>
      <c r="K573" s="2637">
        <v>124934305</v>
      </c>
      <c r="L573" s="2637">
        <v>671760</v>
      </c>
      <c r="M573" s="2637">
        <v>0</v>
      </c>
    </row>
    <row r="574" spans="1:13" ht="14.5">
      <c r="A574" s="2978" t="s">
        <v>9951</v>
      </c>
      <c r="B574" s="2113" t="str">
        <f t="shared" si="9"/>
        <v>136-901</v>
      </c>
      <c r="C574" s="2978" t="s">
        <v>6561</v>
      </c>
      <c r="D574" s="2639">
        <v>717048890</v>
      </c>
      <c r="E574" s="2639">
        <v>708871970</v>
      </c>
      <c r="F574" s="2639">
        <v>717048890</v>
      </c>
      <c r="G574" s="2639">
        <v>708871970</v>
      </c>
      <c r="H574" s="2639">
        <v>797848890</v>
      </c>
      <c r="I574" s="2639">
        <v>789671970</v>
      </c>
      <c r="J574" s="2639">
        <v>797848890</v>
      </c>
      <c r="K574" s="2639">
        <v>789671970</v>
      </c>
      <c r="L574" s="2639">
        <v>22576920</v>
      </c>
      <c r="M574" s="2639">
        <v>80800000</v>
      </c>
    </row>
    <row r="575" spans="1:13" ht="14.5">
      <c r="A575" s="2977" t="s">
        <v>9952</v>
      </c>
      <c r="B575" s="2113" t="str">
        <f t="shared" si="9"/>
        <v>137-901</v>
      </c>
      <c r="C575" s="2977" t="s">
        <v>6562</v>
      </c>
      <c r="D575" s="2637">
        <v>1086320696</v>
      </c>
      <c r="E575" s="2637">
        <v>1050509752</v>
      </c>
      <c r="F575" s="2637">
        <v>1086320696</v>
      </c>
      <c r="G575" s="2637">
        <v>1050509752</v>
      </c>
      <c r="H575" s="2637">
        <v>1086320696</v>
      </c>
      <c r="I575" s="2637">
        <v>1050509752</v>
      </c>
      <c r="J575" s="2637">
        <v>1086320696</v>
      </c>
      <c r="K575" s="2637">
        <v>1050509752</v>
      </c>
      <c r="L575" s="2637">
        <v>95675944</v>
      </c>
      <c r="M575" s="2637">
        <v>0</v>
      </c>
    </row>
    <row r="576" spans="1:13" ht="14.5">
      <c r="A576" s="2978" t="s">
        <v>9953</v>
      </c>
      <c r="B576" s="2113" t="str">
        <f t="shared" si="9"/>
        <v>137-902</v>
      </c>
      <c r="C576" s="2978" t="s">
        <v>6563</v>
      </c>
      <c r="D576" s="2639">
        <v>242265498</v>
      </c>
      <c r="E576" s="2639">
        <v>233994628</v>
      </c>
      <c r="F576" s="2639">
        <v>235314319</v>
      </c>
      <c r="G576" s="2639">
        <v>227043449</v>
      </c>
      <c r="H576" s="2639">
        <v>242265498</v>
      </c>
      <c r="I576" s="2639">
        <v>233994628</v>
      </c>
      <c r="J576" s="2639">
        <v>235314319</v>
      </c>
      <c r="K576" s="2639">
        <v>227043449</v>
      </c>
      <c r="L576" s="2639">
        <v>22970870</v>
      </c>
      <c r="M576" s="2639">
        <v>0</v>
      </c>
    </row>
    <row r="577" spans="1:13" ht="14.5">
      <c r="A577" s="2977" t="s">
        <v>9954</v>
      </c>
      <c r="B577" s="2113" t="str">
        <f t="shared" si="9"/>
        <v>137-903</v>
      </c>
      <c r="C577" s="2977" t="s">
        <v>6564</v>
      </c>
      <c r="D577" s="2637">
        <v>292084052</v>
      </c>
      <c r="E577" s="2637">
        <v>288443848</v>
      </c>
      <c r="F577" s="2637">
        <v>292084052</v>
      </c>
      <c r="G577" s="2637">
        <v>288443848</v>
      </c>
      <c r="H577" s="2637">
        <v>292084052</v>
      </c>
      <c r="I577" s="2637">
        <v>288443848</v>
      </c>
      <c r="J577" s="2637">
        <v>292084052</v>
      </c>
      <c r="K577" s="2637">
        <v>288443848</v>
      </c>
      <c r="L577" s="2637">
        <v>10420204</v>
      </c>
      <c r="M577" s="2637">
        <v>0</v>
      </c>
    </row>
    <row r="578" spans="1:13" ht="14.5">
      <c r="A578" s="2978" t="s">
        <v>9955</v>
      </c>
      <c r="B578" s="2113" t="str">
        <f t="shared" si="9"/>
        <v>137-904</v>
      </c>
      <c r="C578" s="2978" t="s">
        <v>6565</v>
      </c>
      <c r="D578" s="2639">
        <v>92033656</v>
      </c>
      <c r="E578" s="2639">
        <v>92033656</v>
      </c>
      <c r="F578" s="2639">
        <v>92033656</v>
      </c>
      <c r="G578" s="2639">
        <v>92033656</v>
      </c>
      <c r="H578" s="2639">
        <v>92033656</v>
      </c>
      <c r="I578" s="2639">
        <v>92033656</v>
      </c>
      <c r="J578" s="2639">
        <v>92033656</v>
      </c>
      <c r="K578" s="2639">
        <v>92033656</v>
      </c>
      <c r="L578" s="2639">
        <v>0</v>
      </c>
      <c r="M578" s="2639">
        <v>0</v>
      </c>
    </row>
    <row r="579" spans="1:13" ht="14.5">
      <c r="A579" s="2977" t="s">
        <v>9956</v>
      </c>
      <c r="B579" s="2113" t="str">
        <f t="shared" si="9"/>
        <v>138-902</v>
      </c>
      <c r="C579" s="2977" t="s">
        <v>6566</v>
      </c>
      <c r="D579" s="2637">
        <v>65173651</v>
      </c>
      <c r="E579" s="2637">
        <v>62078541</v>
      </c>
      <c r="F579" s="2637">
        <v>65173651</v>
      </c>
      <c r="G579" s="2637">
        <v>62078541</v>
      </c>
      <c r="H579" s="2637">
        <v>65173651</v>
      </c>
      <c r="I579" s="2637">
        <v>62078541</v>
      </c>
      <c r="J579" s="2637">
        <v>65173651</v>
      </c>
      <c r="K579" s="2637">
        <v>62078541</v>
      </c>
      <c r="L579" s="2637">
        <v>8945110</v>
      </c>
      <c r="M579" s="2637">
        <v>0</v>
      </c>
    </row>
    <row r="580" spans="1:13" ht="14.5">
      <c r="A580" s="2978" t="s">
        <v>9957</v>
      </c>
      <c r="B580" s="2113" t="str">
        <f t="shared" si="9"/>
        <v>138-903</v>
      </c>
      <c r="C580" s="2978" t="s">
        <v>6567</v>
      </c>
      <c r="D580" s="2639">
        <v>124346624</v>
      </c>
      <c r="E580" s="2639">
        <v>120467304</v>
      </c>
      <c r="F580" s="2639">
        <v>124346624</v>
      </c>
      <c r="G580" s="2639">
        <v>120467304</v>
      </c>
      <c r="H580" s="2639">
        <v>157001484</v>
      </c>
      <c r="I580" s="2639">
        <v>153122164</v>
      </c>
      <c r="J580" s="2639">
        <v>157001484</v>
      </c>
      <c r="K580" s="2639">
        <v>153122164</v>
      </c>
      <c r="L580" s="2639">
        <v>11154320</v>
      </c>
      <c r="M580" s="2639">
        <v>32654860</v>
      </c>
    </row>
    <row r="581" spans="1:13" ht="14.5">
      <c r="A581" s="2977" t="s">
        <v>9958</v>
      </c>
      <c r="B581" s="2113" t="str">
        <f t="shared" si="9"/>
        <v>138-904</v>
      </c>
      <c r="C581" s="2977" t="s">
        <v>6568</v>
      </c>
      <c r="D581" s="2637">
        <v>136980921</v>
      </c>
      <c r="E581" s="2637">
        <v>136363521</v>
      </c>
      <c r="F581" s="2637">
        <v>136980921</v>
      </c>
      <c r="G581" s="2637">
        <v>136363521</v>
      </c>
      <c r="H581" s="2637">
        <v>311291611</v>
      </c>
      <c r="I581" s="2637">
        <v>310674211</v>
      </c>
      <c r="J581" s="2637">
        <v>311291611</v>
      </c>
      <c r="K581" s="2637">
        <v>310674211</v>
      </c>
      <c r="L581" s="2637">
        <v>1772400</v>
      </c>
      <c r="M581" s="2637">
        <v>174310690</v>
      </c>
    </row>
    <row r="582" spans="1:13" ht="14.5">
      <c r="A582" s="2978" t="s">
        <v>10625</v>
      </c>
      <c r="B582" s="2113" t="str">
        <f t="shared" ref="B582:B645" si="10">CONCATENATE(RIGHT(LEFT(CONCATENATE("000",A582),6),3),"-",(LEFT(RIGHT(CONCATENATE("000",A582),6),3)))</f>
        <v>139-905</v>
      </c>
      <c r="C582" s="2978" t="s">
        <v>6569</v>
      </c>
      <c r="D582" s="2639">
        <v>1142099997</v>
      </c>
      <c r="E582" s="2639">
        <v>1129645062</v>
      </c>
      <c r="F582" s="2639">
        <v>1142099997</v>
      </c>
      <c r="G582" s="2639">
        <v>1129645062</v>
      </c>
      <c r="H582" s="2639">
        <v>1142099997</v>
      </c>
      <c r="I582" s="2639">
        <v>1129645062</v>
      </c>
      <c r="J582" s="2639">
        <v>1142099997</v>
      </c>
      <c r="K582" s="2639">
        <v>1129645062</v>
      </c>
      <c r="L582" s="2639">
        <v>33454935</v>
      </c>
      <c r="M582" s="2639">
        <v>0</v>
      </c>
    </row>
    <row r="583" spans="1:13" ht="14.5">
      <c r="A583" s="2977" t="s">
        <v>9959</v>
      </c>
      <c r="B583" s="2113" t="str">
        <f t="shared" si="10"/>
        <v>139-909</v>
      </c>
      <c r="C583" s="2977" t="s">
        <v>6570</v>
      </c>
      <c r="D583" s="2637">
        <v>1256302648</v>
      </c>
      <c r="E583" s="2637">
        <v>1220467709</v>
      </c>
      <c r="F583" s="2637">
        <v>1256302648</v>
      </c>
      <c r="G583" s="2637">
        <v>1220467709</v>
      </c>
      <c r="H583" s="2637">
        <v>1256302648</v>
      </c>
      <c r="I583" s="2637">
        <v>1220467709</v>
      </c>
      <c r="J583" s="2637">
        <v>1256302648</v>
      </c>
      <c r="K583" s="2637">
        <v>1220467709</v>
      </c>
      <c r="L583" s="2637">
        <v>93299939</v>
      </c>
      <c r="M583" s="2637">
        <v>0</v>
      </c>
    </row>
    <row r="584" spans="1:13" ht="14.5">
      <c r="A584" s="2978" t="s">
        <v>9960</v>
      </c>
      <c r="B584" s="2113" t="str">
        <f t="shared" si="10"/>
        <v>139-911</v>
      </c>
      <c r="C584" s="2978" t="s">
        <v>6571</v>
      </c>
      <c r="D584" s="2639">
        <v>1471551896</v>
      </c>
      <c r="E584" s="2639">
        <v>1426690058</v>
      </c>
      <c r="F584" s="2639">
        <v>1471551896</v>
      </c>
      <c r="G584" s="2639">
        <v>1426690058</v>
      </c>
      <c r="H584" s="2639">
        <v>1471551896</v>
      </c>
      <c r="I584" s="2639">
        <v>1426690058</v>
      </c>
      <c r="J584" s="2639">
        <v>1471551896</v>
      </c>
      <c r="K584" s="2639">
        <v>1426690058</v>
      </c>
      <c r="L584" s="2639">
        <v>115991838</v>
      </c>
      <c r="M584" s="2639">
        <v>0</v>
      </c>
    </row>
    <row r="585" spans="1:13" ht="14.5">
      <c r="A585" s="2977" t="s">
        <v>9961</v>
      </c>
      <c r="B585" s="2113" t="str">
        <f t="shared" si="10"/>
        <v>139-912</v>
      </c>
      <c r="C585" s="2977" t="s">
        <v>6572</v>
      </c>
      <c r="D585" s="2637">
        <v>477876463</v>
      </c>
      <c r="E585" s="2637">
        <v>462084044</v>
      </c>
      <c r="F585" s="2637">
        <v>477876463</v>
      </c>
      <c r="G585" s="2637">
        <v>462084044</v>
      </c>
      <c r="H585" s="2637">
        <v>650944078</v>
      </c>
      <c r="I585" s="2637">
        <v>635151659</v>
      </c>
      <c r="J585" s="2637">
        <v>650944078</v>
      </c>
      <c r="K585" s="2637">
        <v>635151659</v>
      </c>
      <c r="L585" s="2637">
        <v>41397419</v>
      </c>
      <c r="M585" s="2637">
        <v>173067615</v>
      </c>
    </row>
    <row r="586" spans="1:13" ht="14.5">
      <c r="A586" s="2978" t="s">
        <v>9962</v>
      </c>
      <c r="B586" s="2113" t="str">
        <f t="shared" si="10"/>
        <v>140-901</v>
      </c>
      <c r="C586" s="2978" t="s">
        <v>6573</v>
      </c>
      <c r="D586" s="2639">
        <v>55398823</v>
      </c>
      <c r="E586" s="2639">
        <v>54392256</v>
      </c>
      <c r="F586" s="2639">
        <v>55398823</v>
      </c>
      <c r="G586" s="2639">
        <v>54392256</v>
      </c>
      <c r="H586" s="2639">
        <v>55398823</v>
      </c>
      <c r="I586" s="2639">
        <v>54392256</v>
      </c>
      <c r="J586" s="2639">
        <v>55398823</v>
      </c>
      <c r="K586" s="2639">
        <v>54392256</v>
      </c>
      <c r="L586" s="2639">
        <v>3631567</v>
      </c>
      <c r="M586" s="2639">
        <v>0</v>
      </c>
    </row>
    <row r="587" spans="1:13" ht="14.5">
      <c r="A587" s="2977" t="s">
        <v>9963</v>
      </c>
      <c r="B587" s="2113" t="str">
        <f t="shared" si="10"/>
        <v>140-904</v>
      </c>
      <c r="C587" s="2977" t="s">
        <v>6574</v>
      </c>
      <c r="D587" s="2637">
        <v>304199078</v>
      </c>
      <c r="E587" s="2637">
        <v>295121505</v>
      </c>
      <c r="F587" s="2637">
        <v>304199078</v>
      </c>
      <c r="G587" s="2637">
        <v>295121505</v>
      </c>
      <c r="H587" s="2637">
        <v>480315188</v>
      </c>
      <c r="I587" s="2637">
        <v>471237615</v>
      </c>
      <c r="J587" s="2637">
        <v>480315188</v>
      </c>
      <c r="K587" s="2637">
        <v>471237615</v>
      </c>
      <c r="L587" s="2637">
        <v>30092573</v>
      </c>
      <c r="M587" s="2637">
        <v>176116110</v>
      </c>
    </row>
    <row r="588" spans="1:13" ht="14.5">
      <c r="A588" s="2978" t="s">
        <v>9964</v>
      </c>
      <c r="B588" s="2113" t="str">
        <f t="shared" si="10"/>
        <v>140-905</v>
      </c>
      <c r="C588" s="2978" t="s">
        <v>6575</v>
      </c>
      <c r="D588" s="2639">
        <v>155484629</v>
      </c>
      <c r="E588" s="2639">
        <v>152345976</v>
      </c>
      <c r="F588" s="2639">
        <v>155484629</v>
      </c>
      <c r="G588" s="2639">
        <v>152345976</v>
      </c>
      <c r="H588" s="2639">
        <v>155484629</v>
      </c>
      <c r="I588" s="2639">
        <v>152345976</v>
      </c>
      <c r="J588" s="2639">
        <v>155484629</v>
      </c>
      <c r="K588" s="2639">
        <v>152345976</v>
      </c>
      <c r="L588" s="2639">
        <v>11388653</v>
      </c>
      <c r="M588" s="2639">
        <v>0</v>
      </c>
    </row>
    <row r="589" spans="1:13" ht="14.5">
      <c r="A589" s="2977" t="s">
        <v>9965</v>
      </c>
      <c r="B589" s="2113" t="str">
        <f t="shared" si="10"/>
        <v>140-907</v>
      </c>
      <c r="C589" s="2977" t="s">
        <v>6576</v>
      </c>
      <c r="D589" s="2637">
        <v>88723838</v>
      </c>
      <c r="E589" s="2637">
        <v>86604746</v>
      </c>
      <c r="F589" s="2637">
        <v>88723838</v>
      </c>
      <c r="G589" s="2637">
        <v>86604746</v>
      </c>
      <c r="H589" s="2637">
        <v>88723838</v>
      </c>
      <c r="I589" s="2637">
        <v>86604746</v>
      </c>
      <c r="J589" s="2637">
        <v>88723838</v>
      </c>
      <c r="K589" s="2637">
        <v>86604746</v>
      </c>
      <c r="L589" s="2637">
        <v>6874092</v>
      </c>
      <c r="M589" s="2637">
        <v>0</v>
      </c>
    </row>
    <row r="590" spans="1:13" ht="14.5">
      <c r="A590" s="2978" t="s">
        <v>9966</v>
      </c>
      <c r="B590" s="2113" t="str">
        <f t="shared" si="10"/>
        <v>140-908</v>
      </c>
      <c r="C590" s="2978" t="s">
        <v>6577</v>
      </c>
      <c r="D590" s="2639">
        <v>533221912</v>
      </c>
      <c r="E590" s="2639">
        <v>531101602</v>
      </c>
      <c r="F590" s="2639">
        <v>533221912</v>
      </c>
      <c r="G590" s="2639">
        <v>531101602</v>
      </c>
      <c r="H590" s="2639">
        <v>651125662</v>
      </c>
      <c r="I590" s="2639">
        <v>649005352</v>
      </c>
      <c r="J590" s="2639">
        <v>651125662</v>
      </c>
      <c r="K590" s="2639">
        <v>649005352</v>
      </c>
      <c r="L590" s="2639">
        <v>7655310</v>
      </c>
      <c r="M590" s="2639">
        <v>117903750</v>
      </c>
    </row>
    <row r="591" spans="1:13" ht="14.5">
      <c r="A591" s="2977" t="s">
        <v>10626</v>
      </c>
      <c r="B591" s="2113" t="str">
        <f t="shared" si="10"/>
        <v>141-901</v>
      </c>
      <c r="C591" s="2977" t="s">
        <v>6578</v>
      </c>
      <c r="D591" s="2637">
        <v>1572808292</v>
      </c>
      <c r="E591" s="2637">
        <v>1521854919</v>
      </c>
      <c r="F591" s="2637">
        <v>1572808292</v>
      </c>
      <c r="G591" s="2637">
        <v>1521854919</v>
      </c>
      <c r="H591" s="2637">
        <v>1572808292</v>
      </c>
      <c r="I591" s="2637">
        <v>1521854919</v>
      </c>
      <c r="J591" s="2637">
        <v>1572808292</v>
      </c>
      <c r="K591" s="2637">
        <v>1521854919</v>
      </c>
      <c r="L591" s="2637">
        <v>133333373</v>
      </c>
      <c r="M591" s="2637">
        <v>0</v>
      </c>
    </row>
    <row r="592" spans="1:13" ht="14.5">
      <c r="A592" s="2978" t="s">
        <v>9967</v>
      </c>
      <c r="B592" s="2113" t="str">
        <f t="shared" si="10"/>
        <v>141-902</v>
      </c>
      <c r="C592" s="2978" t="s">
        <v>6579</v>
      </c>
      <c r="D592" s="2639">
        <v>172664390</v>
      </c>
      <c r="E592" s="2639">
        <v>169355990</v>
      </c>
      <c r="F592" s="2639">
        <v>172664390</v>
      </c>
      <c r="G592" s="2639">
        <v>169355990</v>
      </c>
      <c r="H592" s="2639">
        <v>172664390</v>
      </c>
      <c r="I592" s="2639">
        <v>169355990</v>
      </c>
      <c r="J592" s="2639">
        <v>172664390</v>
      </c>
      <c r="K592" s="2639">
        <v>169355990</v>
      </c>
      <c r="L592" s="2639">
        <v>8828400</v>
      </c>
      <c r="M592" s="2639">
        <v>0</v>
      </c>
    </row>
    <row r="593" spans="1:13" ht="14.5">
      <c r="A593" s="2977" t="s">
        <v>9968</v>
      </c>
      <c r="B593" s="2113" t="str">
        <f t="shared" si="10"/>
        <v>142-901</v>
      </c>
      <c r="C593" s="2977" t="s">
        <v>6580</v>
      </c>
      <c r="D593" s="2637">
        <v>4875677557</v>
      </c>
      <c r="E593" s="2637">
        <v>4868560069</v>
      </c>
      <c r="F593" s="2637">
        <v>4875677557</v>
      </c>
      <c r="G593" s="2637">
        <v>4868560069</v>
      </c>
      <c r="H593" s="2637">
        <v>4875677557</v>
      </c>
      <c r="I593" s="2637">
        <v>4868560069</v>
      </c>
      <c r="J593" s="2637">
        <v>4875677557</v>
      </c>
      <c r="K593" s="2637">
        <v>4868560069</v>
      </c>
      <c r="L593" s="2637">
        <v>21712488</v>
      </c>
      <c r="M593" s="2637">
        <v>0</v>
      </c>
    </row>
    <row r="594" spans="1:13" ht="14.5">
      <c r="A594" s="2978" t="s">
        <v>9969</v>
      </c>
      <c r="B594" s="2113" t="str">
        <f t="shared" si="10"/>
        <v>143-901</v>
      </c>
      <c r="C594" s="2978" t="s">
        <v>6581</v>
      </c>
      <c r="D594" s="2639">
        <v>960532830</v>
      </c>
      <c r="E594" s="2639">
        <v>941612109</v>
      </c>
      <c r="F594" s="2639">
        <v>960532830</v>
      </c>
      <c r="G594" s="2639">
        <v>941612109</v>
      </c>
      <c r="H594" s="2639">
        <v>960532830</v>
      </c>
      <c r="I594" s="2639">
        <v>941612109</v>
      </c>
      <c r="J594" s="2639">
        <v>960532830</v>
      </c>
      <c r="K594" s="2639">
        <v>941612109</v>
      </c>
      <c r="L594" s="2639">
        <v>51380721</v>
      </c>
      <c r="M594" s="2639">
        <v>0</v>
      </c>
    </row>
    <row r="595" spans="1:13" ht="14.5">
      <c r="A595" s="2977" t="s">
        <v>9970</v>
      </c>
      <c r="B595" s="2113" t="str">
        <f t="shared" si="10"/>
        <v>143-902</v>
      </c>
      <c r="C595" s="2977" t="s">
        <v>6582</v>
      </c>
      <c r="D595" s="2637">
        <v>447904334</v>
      </c>
      <c r="E595" s="2637">
        <v>442304293</v>
      </c>
      <c r="F595" s="2637">
        <v>439735732</v>
      </c>
      <c r="G595" s="2637">
        <v>434135691</v>
      </c>
      <c r="H595" s="2637">
        <v>447904334</v>
      </c>
      <c r="I595" s="2637">
        <v>442304293</v>
      </c>
      <c r="J595" s="2637">
        <v>439735732</v>
      </c>
      <c r="K595" s="2637">
        <v>434135691</v>
      </c>
      <c r="L595" s="2637">
        <v>15350041</v>
      </c>
      <c r="M595" s="2637">
        <v>0</v>
      </c>
    </row>
    <row r="596" spans="1:13" ht="14.5">
      <c r="A596" s="2978" t="s">
        <v>9971</v>
      </c>
      <c r="B596" s="2113" t="str">
        <f t="shared" si="10"/>
        <v>143-903</v>
      </c>
      <c r="C596" s="2978" t="s">
        <v>6583</v>
      </c>
      <c r="D596" s="2639">
        <v>690492385</v>
      </c>
      <c r="E596" s="2639">
        <v>678879701</v>
      </c>
      <c r="F596" s="2639">
        <v>690492385</v>
      </c>
      <c r="G596" s="2639">
        <v>678879701</v>
      </c>
      <c r="H596" s="2639">
        <v>690492385</v>
      </c>
      <c r="I596" s="2639">
        <v>678879701</v>
      </c>
      <c r="J596" s="2639">
        <v>690492385</v>
      </c>
      <c r="K596" s="2639">
        <v>678879701</v>
      </c>
      <c r="L596" s="2639">
        <v>30392684</v>
      </c>
      <c r="M596" s="2639">
        <v>0</v>
      </c>
    </row>
    <row r="597" spans="1:13" ht="14.5">
      <c r="A597" s="2977" t="s">
        <v>9972</v>
      </c>
      <c r="B597" s="2113" t="str">
        <f t="shared" si="10"/>
        <v>143-904</v>
      </c>
      <c r="C597" s="2977" t="s">
        <v>6584</v>
      </c>
      <c r="D597" s="2637">
        <v>69205869</v>
      </c>
      <c r="E597" s="2637">
        <v>66680677</v>
      </c>
      <c r="F597" s="2637">
        <v>64914582</v>
      </c>
      <c r="G597" s="2637">
        <v>62389390</v>
      </c>
      <c r="H597" s="2637">
        <v>69205869</v>
      </c>
      <c r="I597" s="2637">
        <v>66680677</v>
      </c>
      <c r="J597" s="2637">
        <v>64914582</v>
      </c>
      <c r="K597" s="2637">
        <v>62389390</v>
      </c>
      <c r="L597" s="2637">
        <v>6665192</v>
      </c>
      <c r="M597" s="2637">
        <v>0</v>
      </c>
    </row>
    <row r="598" spans="1:13" ht="14.5">
      <c r="A598" s="2978" t="s">
        <v>9973</v>
      </c>
      <c r="B598" s="2113" t="str">
        <f t="shared" si="10"/>
        <v>143-905</v>
      </c>
      <c r="C598" s="2978" t="s">
        <v>6585</v>
      </c>
      <c r="D598" s="2639">
        <v>83995146</v>
      </c>
      <c r="E598" s="2639">
        <v>81249236</v>
      </c>
      <c r="F598" s="2639">
        <v>83995146</v>
      </c>
      <c r="G598" s="2639">
        <v>81249236</v>
      </c>
      <c r="H598" s="2639">
        <v>83995146</v>
      </c>
      <c r="I598" s="2639">
        <v>81249236</v>
      </c>
      <c r="J598" s="2639">
        <v>83995146</v>
      </c>
      <c r="K598" s="2639">
        <v>81249236</v>
      </c>
      <c r="L598" s="2639">
        <v>7335910</v>
      </c>
      <c r="M598" s="2639">
        <v>0</v>
      </c>
    </row>
    <row r="599" spans="1:13" ht="14.5">
      <c r="A599" s="2977" t="s">
        <v>9974</v>
      </c>
      <c r="B599" s="2113" t="str">
        <f t="shared" si="10"/>
        <v>143-906</v>
      </c>
      <c r="C599" s="2977" t="s">
        <v>6586</v>
      </c>
      <c r="D599" s="2637">
        <v>96509659</v>
      </c>
      <c r="E599" s="2637">
        <v>94051145</v>
      </c>
      <c r="F599" s="2637">
        <v>92853540</v>
      </c>
      <c r="G599" s="2637">
        <v>90395026</v>
      </c>
      <c r="H599" s="2637">
        <v>96509659</v>
      </c>
      <c r="I599" s="2637">
        <v>94051145</v>
      </c>
      <c r="J599" s="2637">
        <v>92853540</v>
      </c>
      <c r="K599" s="2637">
        <v>90395026</v>
      </c>
      <c r="L599" s="2637">
        <v>6688514</v>
      </c>
      <c r="M599" s="2637">
        <v>0</v>
      </c>
    </row>
    <row r="600" spans="1:13" ht="14.5">
      <c r="A600" s="2978" t="s">
        <v>9975</v>
      </c>
      <c r="B600" s="2113" t="str">
        <f t="shared" si="10"/>
        <v>144-901</v>
      </c>
      <c r="C600" s="2978" t="s">
        <v>6587</v>
      </c>
      <c r="D600" s="2639">
        <v>977015646</v>
      </c>
      <c r="E600" s="2639">
        <v>957303222</v>
      </c>
      <c r="F600" s="2639">
        <v>957090665</v>
      </c>
      <c r="G600" s="2639">
        <v>937378241</v>
      </c>
      <c r="H600" s="2639">
        <v>977015646</v>
      </c>
      <c r="I600" s="2639">
        <v>957303222</v>
      </c>
      <c r="J600" s="2639">
        <v>957090665</v>
      </c>
      <c r="K600" s="2639">
        <v>937378241</v>
      </c>
      <c r="L600" s="2639">
        <v>56762424</v>
      </c>
      <c r="M600" s="2639">
        <v>0</v>
      </c>
    </row>
    <row r="601" spans="1:13" ht="14.5">
      <c r="A601" s="2977" t="s">
        <v>9976</v>
      </c>
      <c r="B601" s="2113" t="str">
        <f t="shared" si="10"/>
        <v>144-902</v>
      </c>
      <c r="C601" s="2977" t="s">
        <v>6588</v>
      </c>
      <c r="D601" s="2637">
        <v>539218614</v>
      </c>
      <c r="E601" s="2637">
        <v>525884364</v>
      </c>
      <c r="F601" s="2637">
        <v>539218614</v>
      </c>
      <c r="G601" s="2637">
        <v>525884364</v>
      </c>
      <c r="H601" s="2637">
        <v>539218614</v>
      </c>
      <c r="I601" s="2637">
        <v>525884364</v>
      </c>
      <c r="J601" s="2637">
        <v>539218614</v>
      </c>
      <c r="K601" s="2637">
        <v>525884364</v>
      </c>
      <c r="L601" s="2637">
        <v>40049250</v>
      </c>
      <c r="M601" s="2637">
        <v>0</v>
      </c>
    </row>
    <row r="602" spans="1:13" ht="14.5">
      <c r="A602" s="2978" t="s">
        <v>9977</v>
      </c>
      <c r="B602" s="2113" t="str">
        <f t="shared" si="10"/>
        <v>144-903</v>
      </c>
      <c r="C602" s="2978" t="s">
        <v>6589</v>
      </c>
      <c r="D602" s="2639">
        <v>159647051</v>
      </c>
      <c r="E602" s="2639">
        <v>156900784</v>
      </c>
      <c r="F602" s="2639">
        <v>158870176</v>
      </c>
      <c r="G602" s="2639">
        <v>156123909</v>
      </c>
      <c r="H602" s="2639">
        <v>159647051</v>
      </c>
      <c r="I602" s="2639">
        <v>156900784</v>
      </c>
      <c r="J602" s="2639">
        <v>158870176</v>
      </c>
      <c r="K602" s="2639">
        <v>156123909</v>
      </c>
      <c r="L602" s="2639">
        <v>8791267</v>
      </c>
      <c r="M602" s="2639">
        <v>0</v>
      </c>
    </row>
    <row r="603" spans="1:13" ht="14.5">
      <c r="A603" s="2977" t="s">
        <v>9978</v>
      </c>
      <c r="B603" s="2113" t="str">
        <f t="shared" si="10"/>
        <v>145-901</v>
      </c>
      <c r="C603" s="2977" t="s">
        <v>6590</v>
      </c>
      <c r="D603" s="2637">
        <v>528988704</v>
      </c>
      <c r="E603" s="2637">
        <v>518052282</v>
      </c>
      <c r="F603" s="2637">
        <v>526272677</v>
      </c>
      <c r="G603" s="2637">
        <v>515336255</v>
      </c>
      <c r="H603" s="2637">
        <v>528988704</v>
      </c>
      <c r="I603" s="2637">
        <v>518052282</v>
      </c>
      <c r="J603" s="2637">
        <v>526272677</v>
      </c>
      <c r="K603" s="2637">
        <v>515336255</v>
      </c>
      <c r="L603" s="2637">
        <v>30961422</v>
      </c>
      <c r="M603" s="2637">
        <v>0</v>
      </c>
    </row>
    <row r="604" spans="1:13" ht="14.5">
      <c r="A604" s="2978" t="s">
        <v>10627</v>
      </c>
      <c r="B604" s="2113" t="str">
        <f t="shared" si="10"/>
        <v>145-902</v>
      </c>
      <c r="C604" s="2978" t="s">
        <v>6591</v>
      </c>
      <c r="D604" s="2639">
        <v>426457393</v>
      </c>
      <c r="E604" s="2639">
        <v>414628513</v>
      </c>
      <c r="F604" s="2639">
        <v>418444853</v>
      </c>
      <c r="G604" s="2639">
        <v>406615973</v>
      </c>
      <c r="H604" s="2639">
        <v>426457393</v>
      </c>
      <c r="I604" s="2639">
        <v>414628513</v>
      </c>
      <c r="J604" s="2639">
        <v>418444853</v>
      </c>
      <c r="K604" s="2639">
        <v>406615973</v>
      </c>
      <c r="L604" s="2639">
        <v>32948880</v>
      </c>
      <c r="M604" s="2639">
        <v>0</v>
      </c>
    </row>
    <row r="605" spans="1:13" ht="14.5">
      <c r="A605" s="2977" t="s">
        <v>9979</v>
      </c>
      <c r="B605" s="2113" t="str">
        <f t="shared" si="10"/>
        <v>145-906</v>
      </c>
      <c r="C605" s="2977" t="s">
        <v>6592</v>
      </c>
      <c r="D605" s="2637">
        <v>397438320</v>
      </c>
      <c r="E605" s="2637">
        <v>386462822</v>
      </c>
      <c r="F605" s="2637">
        <v>379931534</v>
      </c>
      <c r="G605" s="2637">
        <v>368956036</v>
      </c>
      <c r="H605" s="2637">
        <v>397438320</v>
      </c>
      <c r="I605" s="2637">
        <v>386462822</v>
      </c>
      <c r="J605" s="2637">
        <v>379931534</v>
      </c>
      <c r="K605" s="2637">
        <v>368956036</v>
      </c>
      <c r="L605" s="2637">
        <v>29365498</v>
      </c>
      <c r="M605" s="2637">
        <v>0</v>
      </c>
    </row>
    <row r="606" spans="1:13" ht="14.5">
      <c r="A606" s="2978" t="s">
        <v>9980</v>
      </c>
      <c r="B606" s="2113" t="str">
        <f t="shared" si="10"/>
        <v>145-907</v>
      </c>
      <c r="C606" s="2978" t="s">
        <v>6593</v>
      </c>
      <c r="D606" s="2639">
        <v>181235350</v>
      </c>
      <c r="E606" s="2639">
        <v>178654556</v>
      </c>
      <c r="F606" s="2639">
        <v>181235350</v>
      </c>
      <c r="G606" s="2639">
        <v>178654556</v>
      </c>
      <c r="H606" s="2639">
        <v>181235350</v>
      </c>
      <c r="I606" s="2639">
        <v>178654556</v>
      </c>
      <c r="J606" s="2639">
        <v>181235350</v>
      </c>
      <c r="K606" s="2639">
        <v>178654556</v>
      </c>
      <c r="L606" s="2639">
        <v>8100794</v>
      </c>
      <c r="M606" s="2639">
        <v>0</v>
      </c>
    </row>
    <row r="607" spans="1:13" ht="14.5">
      <c r="A607" s="2977" t="s">
        <v>10628</v>
      </c>
      <c r="B607" s="2113" t="str">
        <f t="shared" si="10"/>
        <v>145-911</v>
      </c>
      <c r="C607" s="2977" t="s">
        <v>6594</v>
      </c>
      <c r="D607" s="2637">
        <v>942301384</v>
      </c>
      <c r="E607" s="2637">
        <v>933216408</v>
      </c>
      <c r="F607" s="2637">
        <v>942301384</v>
      </c>
      <c r="G607" s="2637">
        <v>933216408</v>
      </c>
      <c r="H607" s="2637">
        <v>942301384</v>
      </c>
      <c r="I607" s="2637">
        <v>933216408</v>
      </c>
      <c r="J607" s="2637">
        <v>942301384</v>
      </c>
      <c r="K607" s="2637">
        <v>933216408</v>
      </c>
      <c r="L607" s="2637">
        <v>25614976</v>
      </c>
      <c r="M607" s="2637">
        <v>0</v>
      </c>
    </row>
    <row r="608" spans="1:13" ht="14.5">
      <c r="A608" s="2978" t="s">
        <v>9981</v>
      </c>
      <c r="B608" s="2113" t="str">
        <f t="shared" si="10"/>
        <v>146-901</v>
      </c>
      <c r="C608" s="2978" t="s">
        <v>6595</v>
      </c>
      <c r="D608" s="2639">
        <v>2711140023</v>
      </c>
      <c r="E608" s="2639">
        <v>2678381050</v>
      </c>
      <c r="F608" s="2639">
        <v>2711140023</v>
      </c>
      <c r="G608" s="2639">
        <v>2678381050</v>
      </c>
      <c r="H608" s="2639">
        <v>2711140023</v>
      </c>
      <c r="I608" s="2639">
        <v>2678381050</v>
      </c>
      <c r="J608" s="2639">
        <v>2711140023</v>
      </c>
      <c r="K608" s="2639">
        <v>2678381050</v>
      </c>
      <c r="L608" s="2639">
        <v>103498973</v>
      </c>
      <c r="M608" s="2639">
        <v>0</v>
      </c>
    </row>
    <row r="609" spans="1:13" ht="14.5">
      <c r="A609" s="2977" t="s">
        <v>9982</v>
      </c>
      <c r="B609" s="2113" t="str">
        <f t="shared" si="10"/>
        <v>146-902</v>
      </c>
      <c r="C609" s="2977" t="s">
        <v>6596</v>
      </c>
      <c r="D609" s="2637">
        <v>2590399437</v>
      </c>
      <c r="E609" s="2637">
        <v>2542006048</v>
      </c>
      <c r="F609" s="2637">
        <v>2590399437</v>
      </c>
      <c r="G609" s="2637">
        <v>2542006048</v>
      </c>
      <c r="H609" s="2637">
        <v>2590399437</v>
      </c>
      <c r="I609" s="2637">
        <v>2542006048</v>
      </c>
      <c r="J609" s="2637">
        <v>2590399437</v>
      </c>
      <c r="K609" s="2637">
        <v>2542006048</v>
      </c>
      <c r="L609" s="2637">
        <v>146268389</v>
      </c>
      <c r="M609" s="2637">
        <v>0</v>
      </c>
    </row>
    <row r="610" spans="1:13" ht="14.5">
      <c r="A610" s="2978" t="s">
        <v>9983</v>
      </c>
      <c r="B610" s="2113" t="str">
        <f t="shared" si="10"/>
        <v>146-903</v>
      </c>
      <c r="C610" s="2978" t="s">
        <v>6597</v>
      </c>
      <c r="D610" s="2639">
        <v>212168100</v>
      </c>
      <c r="E610" s="2639">
        <v>210164790</v>
      </c>
      <c r="F610" s="2639">
        <v>212168100</v>
      </c>
      <c r="G610" s="2639">
        <v>210164790</v>
      </c>
      <c r="H610" s="2639">
        <v>212168100</v>
      </c>
      <c r="I610" s="2639">
        <v>210164790</v>
      </c>
      <c r="J610" s="2639">
        <v>212168100</v>
      </c>
      <c r="K610" s="2639">
        <v>210164790</v>
      </c>
      <c r="L610" s="2639">
        <v>5723310</v>
      </c>
      <c r="M610" s="2639">
        <v>0</v>
      </c>
    </row>
    <row r="611" spans="1:13" ht="14.5">
      <c r="A611" s="2977" t="s">
        <v>9984</v>
      </c>
      <c r="B611" s="2113" t="str">
        <f t="shared" si="10"/>
        <v>146-904</v>
      </c>
      <c r="C611" s="2977" t="s">
        <v>6598</v>
      </c>
      <c r="D611" s="2637">
        <v>564371117</v>
      </c>
      <c r="E611" s="2637">
        <v>550651609</v>
      </c>
      <c r="F611" s="2637">
        <v>564371117</v>
      </c>
      <c r="G611" s="2637">
        <v>550651609</v>
      </c>
      <c r="H611" s="2637">
        <v>564371117</v>
      </c>
      <c r="I611" s="2637">
        <v>550651609</v>
      </c>
      <c r="J611" s="2637">
        <v>564371117</v>
      </c>
      <c r="K611" s="2637">
        <v>550651609</v>
      </c>
      <c r="L611" s="2637">
        <v>41304508</v>
      </c>
      <c r="M611" s="2637">
        <v>0</v>
      </c>
    </row>
    <row r="612" spans="1:13" ht="14.5">
      <c r="A612" s="2978" t="s">
        <v>9985</v>
      </c>
      <c r="B612" s="2113" t="str">
        <f t="shared" si="10"/>
        <v>146-905</v>
      </c>
      <c r="C612" s="2978" t="s">
        <v>6599</v>
      </c>
      <c r="D612" s="2639">
        <v>286581755</v>
      </c>
      <c r="E612" s="2639">
        <v>280734728</v>
      </c>
      <c r="F612" s="2639">
        <v>286581755</v>
      </c>
      <c r="G612" s="2639">
        <v>280734728</v>
      </c>
      <c r="H612" s="2639">
        <v>286581755</v>
      </c>
      <c r="I612" s="2639">
        <v>280734728</v>
      </c>
      <c r="J612" s="2639">
        <v>286581755</v>
      </c>
      <c r="K612" s="2639">
        <v>280734728</v>
      </c>
      <c r="L612" s="2639">
        <v>17382027</v>
      </c>
      <c r="M612" s="2639">
        <v>0</v>
      </c>
    </row>
    <row r="613" spans="1:13" ht="14.5">
      <c r="A613" s="2977" t="s">
        <v>9986</v>
      </c>
      <c r="B613" s="2113" t="str">
        <f t="shared" si="10"/>
        <v>146-906</v>
      </c>
      <c r="C613" s="2977" t="s">
        <v>6600</v>
      </c>
      <c r="D613" s="2637">
        <v>1056932465</v>
      </c>
      <c r="E613" s="2637">
        <v>1036451521</v>
      </c>
      <c r="F613" s="2637">
        <v>1056932465</v>
      </c>
      <c r="G613" s="2637">
        <v>1036451521</v>
      </c>
      <c r="H613" s="2637">
        <v>1056932465</v>
      </c>
      <c r="I613" s="2637">
        <v>1036451521</v>
      </c>
      <c r="J613" s="2637">
        <v>1056932465</v>
      </c>
      <c r="K613" s="2637">
        <v>1036451521</v>
      </c>
      <c r="L613" s="2637">
        <v>56645944</v>
      </c>
      <c r="M613" s="2637">
        <v>0</v>
      </c>
    </row>
    <row r="614" spans="1:13" ht="14.5">
      <c r="A614" s="2978" t="s">
        <v>9987</v>
      </c>
      <c r="B614" s="2113" t="str">
        <f t="shared" si="10"/>
        <v>146-907</v>
      </c>
      <c r="C614" s="2978" t="s">
        <v>6601</v>
      </c>
      <c r="D614" s="2639">
        <v>832534712</v>
      </c>
      <c r="E614" s="2639">
        <v>812937484</v>
      </c>
      <c r="F614" s="2639">
        <v>832534712</v>
      </c>
      <c r="G614" s="2639">
        <v>812937484</v>
      </c>
      <c r="H614" s="2639">
        <v>832534712</v>
      </c>
      <c r="I614" s="2639">
        <v>812937484</v>
      </c>
      <c r="J614" s="2639">
        <v>832534712</v>
      </c>
      <c r="K614" s="2639">
        <v>812937484</v>
      </c>
      <c r="L614" s="2639">
        <v>56947228</v>
      </c>
      <c r="M614" s="2639">
        <v>0</v>
      </c>
    </row>
    <row r="615" spans="1:13" ht="14.5">
      <c r="A615" s="2977" t="s">
        <v>9988</v>
      </c>
      <c r="B615" s="2113" t="str">
        <f t="shared" si="10"/>
        <v>147-901</v>
      </c>
      <c r="C615" s="2977" t="s">
        <v>6602</v>
      </c>
      <c r="D615" s="2637">
        <v>84262426</v>
      </c>
      <c r="E615" s="2637">
        <v>82562153</v>
      </c>
      <c r="F615" s="2637">
        <v>84262426</v>
      </c>
      <c r="G615" s="2637">
        <v>82562153</v>
      </c>
      <c r="H615" s="2637">
        <v>84262426</v>
      </c>
      <c r="I615" s="2637">
        <v>82562153</v>
      </c>
      <c r="J615" s="2637">
        <v>84262426</v>
      </c>
      <c r="K615" s="2637">
        <v>82562153</v>
      </c>
      <c r="L615" s="2637">
        <v>5720273</v>
      </c>
      <c r="M615" s="2637">
        <v>0</v>
      </c>
    </row>
    <row r="616" spans="1:13" ht="14.5">
      <c r="A616" s="2978" t="s">
        <v>10629</v>
      </c>
      <c r="B616" s="2113" t="str">
        <f t="shared" si="10"/>
        <v>147-902</v>
      </c>
      <c r="C616" s="2978" t="s">
        <v>6603</v>
      </c>
      <c r="D616" s="2639">
        <v>1323128208</v>
      </c>
      <c r="E616" s="2639">
        <v>1304286001</v>
      </c>
      <c r="F616" s="2639">
        <v>1323128208</v>
      </c>
      <c r="G616" s="2639">
        <v>1304286001</v>
      </c>
      <c r="H616" s="2639">
        <v>1323128208</v>
      </c>
      <c r="I616" s="2639">
        <v>1304286001</v>
      </c>
      <c r="J616" s="2639">
        <v>1323128208</v>
      </c>
      <c r="K616" s="2639">
        <v>1304286001</v>
      </c>
      <c r="L616" s="2639">
        <v>55772207</v>
      </c>
      <c r="M616" s="2639">
        <v>0</v>
      </c>
    </row>
    <row r="617" spans="1:13" ht="14.5">
      <c r="A617" s="2977" t="s">
        <v>10630</v>
      </c>
      <c r="B617" s="2113" t="str">
        <f t="shared" si="10"/>
        <v>147-903</v>
      </c>
      <c r="C617" s="2977" t="s">
        <v>6604</v>
      </c>
      <c r="D617" s="2637">
        <v>530292515</v>
      </c>
      <c r="E617" s="2637">
        <v>511305214</v>
      </c>
      <c r="F617" s="2637">
        <v>530292515</v>
      </c>
      <c r="G617" s="2637">
        <v>511305214</v>
      </c>
      <c r="H617" s="2637">
        <v>530292515</v>
      </c>
      <c r="I617" s="2637">
        <v>511305214</v>
      </c>
      <c r="J617" s="2637">
        <v>530292515</v>
      </c>
      <c r="K617" s="2637">
        <v>511305214</v>
      </c>
      <c r="L617" s="2637">
        <v>54612301</v>
      </c>
      <c r="M617" s="2637">
        <v>0</v>
      </c>
    </row>
    <row r="618" spans="1:13" ht="14.5">
      <c r="A618" s="2978" t="s">
        <v>9989</v>
      </c>
      <c r="B618" s="2113" t="str">
        <f t="shared" si="10"/>
        <v>148-901</v>
      </c>
      <c r="C618" s="2978" t="s">
        <v>6605</v>
      </c>
      <c r="D618" s="2639">
        <v>136545154</v>
      </c>
      <c r="E618" s="2639">
        <v>133874984</v>
      </c>
      <c r="F618" s="2639">
        <v>136545154</v>
      </c>
      <c r="G618" s="2639">
        <v>133874984</v>
      </c>
      <c r="H618" s="2639">
        <v>136545154</v>
      </c>
      <c r="I618" s="2639">
        <v>133874984</v>
      </c>
      <c r="J618" s="2639">
        <v>136545154</v>
      </c>
      <c r="K618" s="2639">
        <v>133874984</v>
      </c>
      <c r="L618" s="2639">
        <v>7485170</v>
      </c>
      <c r="M618" s="2639">
        <v>0</v>
      </c>
    </row>
    <row r="619" spans="1:13" ht="14.5">
      <c r="A619" s="2977" t="s">
        <v>9990</v>
      </c>
      <c r="B619" s="2113" t="str">
        <f t="shared" si="10"/>
        <v>148-902</v>
      </c>
      <c r="C619" s="2977" t="s">
        <v>6606</v>
      </c>
      <c r="D619" s="2637">
        <v>90491641</v>
      </c>
      <c r="E619" s="2637">
        <v>89316361</v>
      </c>
      <c r="F619" s="2637">
        <v>90491641</v>
      </c>
      <c r="G619" s="2637">
        <v>89316361</v>
      </c>
      <c r="H619" s="2637">
        <v>90491641</v>
      </c>
      <c r="I619" s="2637">
        <v>89316361</v>
      </c>
      <c r="J619" s="2637">
        <v>90491641</v>
      </c>
      <c r="K619" s="2637">
        <v>89316361</v>
      </c>
      <c r="L619" s="2637">
        <v>3440280</v>
      </c>
      <c r="M619" s="2637">
        <v>0</v>
      </c>
    </row>
    <row r="620" spans="1:13" ht="14.5">
      <c r="A620" s="2978" t="s">
        <v>9991</v>
      </c>
      <c r="B620" s="2113" t="str">
        <f t="shared" si="10"/>
        <v>148-905</v>
      </c>
      <c r="C620" s="2978" t="s">
        <v>6607</v>
      </c>
      <c r="D620" s="2639">
        <v>53518727</v>
      </c>
      <c r="E620" s="2639">
        <v>52527877</v>
      </c>
      <c r="F620" s="2639">
        <v>53518727</v>
      </c>
      <c r="G620" s="2639">
        <v>52527877</v>
      </c>
      <c r="H620" s="2639">
        <v>53518727</v>
      </c>
      <c r="I620" s="2639">
        <v>52527877</v>
      </c>
      <c r="J620" s="2639">
        <v>53518727</v>
      </c>
      <c r="K620" s="2639">
        <v>52527877</v>
      </c>
      <c r="L620" s="2639">
        <v>2865850</v>
      </c>
      <c r="M620" s="2639">
        <v>0</v>
      </c>
    </row>
    <row r="621" spans="1:13" ht="14.5">
      <c r="A621" s="2977" t="s">
        <v>9992</v>
      </c>
      <c r="B621" s="2113" t="str">
        <f t="shared" si="10"/>
        <v>149-901</v>
      </c>
      <c r="C621" s="2977" t="s">
        <v>6608</v>
      </c>
      <c r="D621" s="2637">
        <v>852262689</v>
      </c>
      <c r="E621" s="2637">
        <v>836019311</v>
      </c>
      <c r="F621" s="2637">
        <v>830320286</v>
      </c>
      <c r="G621" s="2637">
        <v>814076908</v>
      </c>
      <c r="H621" s="2637">
        <v>852262689</v>
      </c>
      <c r="I621" s="2637">
        <v>836019311</v>
      </c>
      <c r="J621" s="2637">
        <v>830320286</v>
      </c>
      <c r="K621" s="2637">
        <v>814076908</v>
      </c>
      <c r="L621" s="2637">
        <v>45148378</v>
      </c>
      <c r="M621" s="2637">
        <v>0</v>
      </c>
    </row>
    <row r="622" spans="1:13" ht="14.5">
      <c r="A622" s="2978" t="s">
        <v>9993</v>
      </c>
      <c r="B622" s="2113" t="str">
        <f t="shared" si="10"/>
        <v>149-902</v>
      </c>
      <c r="C622" s="2978" t="s">
        <v>6609</v>
      </c>
      <c r="D622" s="2639">
        <v>2241852721</v>
      </c>
      <c r="E622" s="2639">
        <v>2234472802</v>
      </c>
      <c r="F622" s="2639">
        <v>2233167767</v>
      </c>
      <c r="G622" s="2639">
        <v>2225787848</v>
      </c>
      <c r="H622" s="2639">
        <v>2241852721</v>
      </c>
      <c r="I622" s="2639">
        <v>2234472802</v>
      </c>
      <c r="J622" s="2639">
        <v>2233167767</v>
      </c>
      <c r="K622" s="2639">
        <v>2225787848</v>
      </c>
      <c r="L622" s="2639">
        <v>19589919</v>
      </c>
      <c r="M622" s="2639">
        <v>0</v>
      </c>
    </row>
    <row r="623" spans="1:13" ht="14.5">
      <c r="A623" s="2977" t="s">
        <v>9994</v>
      </c>
      <c r="B623" s="2113" t="str">
        <f t="shared" si="10"/>
        <v>150-901</v>
      </c>
      <c r="C623" s="2977" t="s">
        <v>6610</v>
      </c>
      <c r="D623" s="2637">
        <v>5027428895</v>
      </c>
      <c r="E623" s="2637">
        <v>4975900962</v>
      </c>
      <c r="F623" s="2637">
        <v>4930707444</v>
      </c>
      <c r="G623" s="2637">
        <v>4879179511</v>
      </c>
      <c r="H623" s="2637">
        <v>5027428895</v>
      </c>
      <c r="I623" s="2637">
        <v>4975900962</v>
      </c>
      <c r="J623" s="2637">
        <v>4930707444</v>
      </c>
      <c r="K623" s="2637">
        <v>4879179511</v>
      </c>
      <c r="L623" s="2637">
        <v>142832933</v>
      </c>
      <c r="M623" s="2637">
        <v>0</v>
      </c>
    </row>
    <row r="624" spans="1:13" ht="14.5">
      <c r="A624" s="2978" t="s">
        <v>9995</v>
      </c>
      <c r="B624" s="2113" t="str">
        <f t="shared" si="10"/>
        <v>152-901</v>
      </c>
      <c r="C624" s="2978" t="s">
        <v>6611</v>
      </c>
      <c r="D624" s="2639">
        <v>12461249678</v>
      </c>
      <c r="E624" s="2639">
        <v>12178382642</v>
      </c>
      <c r="F624" s="2639">
        <v>12461249678</v>
      </c>
      <c r="G624" s="2639">
        <v>12178382642</v>
      </c>
      <c r="H624" s="2639">
        <v>12461249678</v>
      </c>
      <c r="I624" s="2639">
        <v>12178382642</v>
      </c>
      <c r="J624" s="2639">
        <v>12461249678</v>
      </c>
      <c r="K624" s="2639">
        <v>12178382642</v>
      </c>
      <c r="L624" s="2639">
        <v>719937036</v>
      </c>
      <c r="M624" s="2639">
        <v>0</v>
      </c>
    </row>
    <row r="625" spans="1:13" ht="14.5">
      <c r="A625" s="2977" t="s">
        <v>9996</v>
      </c>
      <c r="B625" s="2113" t="str">
        <f t="shared" si="10"/>
        <v>152-902</v>
      </c>
      <c r="C625" s="2977" t="s">
        <v>6612</v>
      </c>
      <c r="D625" s="2637">
        <v>443232986</v>
      </c>
      <c r="E625" s="2637">
        <v>437684438</v>
      </c>
      <c r="F625" s="2637">
        <v>443232986</v>
      </c>
      <c r="G625" s="2637">
        <v>437684438</v>
      </c>
      <c r="H625" s="2637">
        <v>443232986</v>
      </c>
      <c r="I625" s="2637">
        <v>437684438</v>
      </c>
      <c r="J625" s="2637">
        <v>443232986</v>
      </c>
      <c r="K625" s="2637">
        <v>437684438</v>
      </c>
      <c r="L625" s="2637">
        <v>17938548</v>
      </c>
      <c r="M625" s="2637">
        <v>0</v>
      </c>
    </row>
    <row r="626" spans="1:13" ht="14.5">
      <c r="A626" s="2978" t="s">
        <v>9997</v>
      </c>
      <c r="B626" s="2113" t="str">
        <f t="shared" si="10"/>
        <v>152-903</v>
      </c>
      <c r="C626" s="2978" t="s">
        <v>6613</v>
      </c>
      <c r="D626" s="2639">
        <v>498193353</v>
      </c>
      <c r="E626" s="2639">
        <v>483019470</v>
      </c>
      <c r="F626" s="2639">
        <v>498193353</v>
      </c>
      <c r="G626" s="2639">
        <v>483019470</v>
      </c>
      <c r="H626" s="2639">
        <v>498193353</v>
      </c>
      <c r="I626" s="2639">
        <v>483019470</v>
      </c>
      <c r="J626" s="2639">
        <v>498193353</v>
      </c>
      <c r="K626" s="2639">
        <v>483019470</v>
      </c>
      <c r="L626" s="2639">
        <v>40703883</v>
      </c>
      <c r="M626" s="2639">
        <v>0</v>
      </c>
    </row>
    <row r="627" spans="1:13" ht="14.5">
      <c r="A627" s="2977" t="s">
        <v>9998</v>
      </c>
      <c r="B627" s="2113" t="str">
        <f t="shared" si="10"/>
        <v>152-906</v>
      </c>
      <c r="C627" s="2977" t="s">
        <v>6614</v>
      </c>
      <c r="D627" s="2637">
        <v>4372727418</v>
      </c>
      <c r="E627" s="2637">
        <v>4292089032</v>
      </c>
      <c r="F627" s="2637">
        <v>4372727418</v>
      </c>
      <c r="G627" s="2637">
        <v>4292089032</v>
      </c>
      <c r="H627" s="2637">
        <v>4372727418</v>
      </c>
      <c r="I627" s="2637">
        <v>4292089032</v>
      </c>
      <c r="J627" s="2637">
        <v>4372727418</v>
      </c>
      <c r="K627" s="2637">
        <v>4292089032</v>
      </c>
      <c r="L627" s="2637">
        <v>210073386</v>
      </c>
      <c r="M627" s="2637">
        <v>0</v>
      </c>
    </row>
    <row r="628" spans="1:13" ht="14.5">
      <c r="A628" s="2978" t="s">
        <v>9999</v>
      </c>
      <c r="B628" s="2113" t="str">
        <f t="shared" si="10"/>
        <v>152-907</v>
      </c>
      <c r="C628" s="2978" t="s">
        <v>6615</v>
      </c>
      <c r="D628" s="2639">
        <v>5250065442</v>
      </c>
      <c r="E628" s="2639">
        <v>5147440646</v>
      </c>
      <c r="F628" s="2639">
        <v>5250065442</v>
      </c>
      <c r="G628" s="2639">
        <v>5147440646</v>
      </c>
      <c r="H628" s="2639">
        <v>5250065442</v>
      </c>
      <c r="I628" s="2639">
        <v>5147440646</v>
      </c>
      <c r="J628" s="2639">
        <v>5250065442</v>
      </c>
      <c r="K628" s="2639">
        <v>5147440646</v>
      </c>
      <c r="L628" s="2639">
        <v>269229796</v>
      </c>
      <c r="M628" s="2639">
        <v>0</v>
      </c>
    </row>
    <row r="629" spans="1:13" ht="14.5">
      <c r="A629" s="2977" t="s">
        <v>10000</v>
      </c>
      <c r="B629" s="2113" t="str">
        <f t="shared" si="10"/>
        <v>152-908</v>
      </c>
      <c r="C629" s="2977" t="s">
        <v>6616</v>
      </c>
      <c r="D629" s="2637">
        <v>283304996</v>
      </c>
      <c r="E629" s="2637">
        <v>275719008</v>
      </c>
      <c r="F629" s="2637">
        <v>283304996</v>
      </c>
      <c r="G629" s="2637">
        <v>275719008</v>
      </c>
      <c r="H629" s="2637">
        <v>283304996</v>
      </c>
      <c r="I629" s="2637">
        <v>275719008</v>
      </c>
      <c r="J629" s="2637">
        <v>283304996</v>
      </c>
      <c r="K629" s="2637">
        <v>275719008</v>
      </c>
      <c r="L629" s="2637">
        <v>23950988</v>
      </c>
      <c r="M629" s="2637">
        <v>0</v>
      </c>
    </row>
    <row r="630" spans="1:13" ht="14.5">
      <c r="A630" s="2978" t="s">
        <v>10001</v>
      </c>
      <c r="B630" s="2113" t="str">
        <f t="shared" si="10"/>
        <v>152-909</v>
      </c>
      <c r="C630" s="2978" t="s">
        <v>6617</v>
      </c>
      <c r="D630" s="2639">
        <v>439096378</v>
      </c>
      <c r="E630" s="2639">
        <v>428201717</v>
      </c>
      <c r="F630" s="2639">
        <v>439096378</v>
      </c>
      <c r="G630" s="2639">
        <v>428201717</v>
      </c>
      <c r="H630" s="2639">
        <v>439096378</v>
      </c>
      <c r="I630" s="2639">
        <v>428201717</v>
      </c>
      <c r="J630" s="2639">
        <v>439096378</v>
      </c>
      <c r="K630" s="2639">
        <v>428201717</v>
      </c>
      <c r="L630" s="2639">
        <v>31294661</v>
      </c>
      <c r="M630" s="2639">
        <v>0</v>
      </c>
    </row>
    <row r="631" spans="1:13" ht="14.5">
      <c r="A631" s="2977" t="s">
        <v>10002</v>
      </c>
      <c r="B631" s="2113" t="str">
        <f t="shared" si="10"/>
        <v>152-910</v>
      </c>
      <c r="C631" s="2977" t="s">
        <v>6618</v>
      </c>
      <c r="D631" s="2637">
        <v>320521859</v>
      </c>
      <c r="E631" s="2637">
        <v>312101063</v>
      </c>
      <c r="F631" s="2637">
        <v>320521859</v>
      </c>
      <c r="G631" s="2637">
        <v>312101063</v>
      </c>
      <c r="H631" s="2637">
        <v>320521859</v>
      </c>
      <c r="I631" s="2637">
        <v>312101063</v>
      </c>
      <c r="J631" s="2637">
        <v>320521859</v>
      </c>
      <c r="K631" s="2637">
        <v>312101063</v>
      </c>
      <c r="L631" s="2637">
        <v>22010796</v>
      </c>
      <c r="M631" s="2637">
        <v>0</v>
      </c>
    </row>
    <row r="632" spans="1:13" ht="14.5">
      <c r="A632" s="2978" t="s">
        <v>10003</v>
      </c>
      <c r="B632" s="2113" t="str">
        <f t="shared" si="10"/>
        <v>153-903</v>
      </c>
      <c r="C632" s="2978" t="s">
        <v>6619</v>
      </c>
      <c r="D632" s="2639">
        <v>103985028</v>
      </c>
      <c r="E632" s="2639">
        <v>101665988</v>
      </c>
      <c r="F632" s="2639">
        <v>103985028</v>
      </c>
      <c r="G632" s="2639">
        <v>101665988</v>
      </c>
      <c r="H632" s="2639">
        <v>216137668</v>
      </c>
      <c r="I632" s="2639">
        <v>213818628</v>
      </c>
      <c r="J632" s="2639">
        <v>216137668</v>
      </c>
      <c r="K632" s="2639">
        <v>213818628</v>
      </c>
      <c r="L632" s="2639">
        <v>6519040</v>
      </c>
      <c r="M632" s="2639">
        <v>112152640</v>
      </c>
    </row>
    <row r="633" spans="1:13" ht="14.5">
      <c r="A633" s="2977" t="s">
        <v>10004</v>
      </c>
      <c r="B633" s="2113" t="str">
        <f t="shared" si="10"/>
        <v>153-904</v>
      </c>
      <c r="C633" s="2977" t="s">
        <v>6620</v>
      </c>
      <c r="D633" s="2637">
        <v>194381994</v>
      </c>
      <c r="E633" s="2637">
        <v>188259294</v>
      </c>
      <c r="F633" s="2637">
        <v>194381994</v>
      </c>
      <c r="G633" s="2637">
        <v>188259294</v>
      </c>
      <c r="H633" s="2637">
        <v>443554024</v>
      </c>
      <c r="I633" s="2637">
        <v>437431324</v>
      </c>
      <c r="J633" s="2637">
        <v>443554024</v>
      </c>
      <c r="K633" s="2637">
        <v>437431324</v>
      </c>
      <c r="L633" s="2637">
        <v>16862700</v>
      </c>
      <c r="M633" s="2637">
        <v>249172030</v>
      </c>
    </row>
    <row r="634" spans="1:13" ht="14.5">
      <c r="A634" s="2978" t="s">
        <v>10005</v>
      </c>
      <c r="B634" s="2113" t="str">
        <f t="shared" si="10"/>
        <v>153-905</v>
      </c>
      <c r="C634" s="2978" t="s">
        <v>6621</v>
      </c>
      <c r="D634" s="2639">
        <v>156205088</v>
      </c>
      <c r="E634" s="2639">
        <v>153173888</v>
      </c>
      <c r="F634" s="2639">
        <v>156205088</v>
      </c>
      <c r="G634" s="2639">
        <v>153173888</v>
      </c>
      <c r="H634" s="2639">
        <v>156205088</v>
      </c>
      <c r="I634" s="2639">
        <v>153173888</v>
      </c>
      <c r="J634" s="2639">
        <v>156205088</v>
      </c>
      <c r="K634" s="2639">
        <v>153173888</v>
      </c>
      <c r="L634" s="2639">
        <v>7846200</v>
      </c>
      <c r="M634" s="2639">
        <v>0</v>
      </c>
    </row>
    <row r="635" spans="1:13" ht="14.5">
      <c r="A635" s="2977" t="s">
        <v>10006</v>
      </c>
      <c r="B635" s="2113" t="str">
        <f t="shared" si="10"/>
        <v>153-907</v>
      </c>
      <c r="C635" s="2977" t="s">
        <v>6622</v>
      </c>
      <c r="D635" s="2637">
        <v>83847628</v>
      </c>
      <c r="E635" s="2637">
        <v>82173318</v>
      </c>
      <c r="F635" s="2637">
        <v>83847628</v>
      </c>
      <c r="G635" s="2637">
        <v>82173318</v>
      </c>
      <c r="H635" s="2637">
        <v>196490288</v>
      </c>
      <c r="I635" s="2637">
        <v>194815978</v>
      </c>
      <c r="J635" s="2637">
        <v>196490288</v>
      </c>
      <c r="K635" s="2637">
        <v>194815978</v>
      </c>
      <c r="L635" s="2637">
        <v>4809310</v>
      </c>
      <c r="M635" s="2637">
        <v>112642660</v>
      </c>
    </row>
    <row r="636" spans="1:13" ht="14.5">
      <c r="A636" s="2978" t="s">
        <v>10007</v>
      </c>
      <c r="B636" s="2113" t="str">
        <f t="shared" si="10"/>
        <v>154-901</v>
      </c>
      <c r="C636" s="2978" t="s">
        <v>6623</v>
      </c>
      <c r="D636" s="2639">
        <v>954594725</v>
      </c>
      <c r="E636" s="2639">
        <v>933099630</v>
      </c>
      <c r="F636" s="2639">
        <v>954594725</v>
      </c>
      <c r="G636" s="2639">
        <v>933099630</v>
      </c>
      <c r="H636" s="2639">
        <v>954594725</v>
      </c>
      <c r="I636" s="2639">
        <v>933099630</v>
      </c>
      <c r="J636" s="2639">
        <v>954594725</v>
      </c>
      <c r="K636" s="2639">
        <v>933099630</v>
      </c>
      <c r="L636" s="2639">
        <v>60000095</v>
      </c>
      <c r="M636" s="2639">
        <v>0</v>
      </c>
    </row>
    <row r="637" spans="1:13" ht="14.5">
      <c r="A637" s="2977" t="s">
        <v>10008</v>
      </c>
      <c r="B637" s="2113" t="str">
        <f t="shared" si="10"/>
        <v>154-903</v>
      </c>
      <c r="C637" s="2977" t="s">
        <v>6624</v>
      </c>
      <c r="D637" s="2637">
        <v>228039010</v>
      </c>
      <c r="E637" s="2637">
        <v>223708812</v>
      </c>
      <c r="F637" s="2637">
        <v>228039010</v>
      </c>
      <c r="G637" s="2637">
        <v>223708812</v>
      </c>
      <c r="H637" s="2637">
        <v>228039010</v>
      </c>
      <c r="I637" s="2637">
        <v>223708812</v>
      </c>
      <c r="J637" s="2637">
        <v>228039010</v>
      </c>
      <c r="K637" s="2637">
        <v>223708812</v>
      </c>
      <c r="L637" s="2637">
        <v>12310198</v>
      </c>
      <c r="M637" s="2637">
        <v>0</v>
      </c>
    </row>
    <row r="638" spans="1:13" ht="14.5">
      <c r="A638" s="2978" t="s">
        <v>10009</v>
      </c>
      <c r="B638" s="2113" t="str">
        <f t="shared" si="10"/>
        <v>155-901</v>
      </c>
      <c r="C638" s="2978" t="s">
        <v>6625</v>
      </c>
      <c r="D638" s="2639">
        <v>692049905</v>
      </c>
      <c r="E638" s="2639">
        <v>669880510</v>
      </c>
      <c r="F638" s="2639">
        <v>680707955</v>
      </c>
      <c r="G638" s="2639">
        <v>658538560</v>
      </c>
      <c r="H638" s="2639">
        <v>692049905</v>
      </c>
      <c r="I638" s="2639">
        <v>669880510</v>
      </c>
      <c r="J638" s="2639">
        <v>680707955</v>
      </c>
      <c r="K638" s="2639">
        <v>658538560</v>
      </c>
      <c r="L638" s="2639">
        <v>62264395</v>
      </c>
      <c r="M638" s="2639">
        <v>0</v>
      </c>
    </row>
    <row r="639" spans="1:13" ht="14.5">
      <c r="A639" s="2977" t="s">
        <v>10631</v>
      </c>
      <c r="B639" s="2113" t="str">
        <f t="shared" si="10"/>
        <v>156-902</v>
      </c>
      <c r="C639" s="2977" t="s">
        <v>6626</v>
      </c>
      <c r="D639" s="2637">
        <v>3488267933</v>
      </c>
      <c r="E639" s="2637">
        <v>3479403893</v>
      </c>
      <c r="F639" s="2637">
        <v>3481116100</v>
      </c>
      <c r="G639" s="2637">
        <v>3472252060</v>
      </c>
      <c r="H639" s="2637">
        <v>3544660433</v>
      </c>
      <c r="I639" s="2637">
        <v>3535796393</v>
      </c>
      <c r="J639" s="2637">
        <v>3537508600</v>
      </c>
      <c r="K639" s="2637">
        <v>3528644560</v>
      </c>
      <c r="L639" s="2637">
        <v>23894040</v>
      </c>
      <c r="M639" s="2637">
        <v>56392500</v>
      </c>
    </row>
    <row r="640" spans="1:13" ht="14.5">
      <c r="A640" s="2978" t="s">
        <v>10632</v>
      </c>
      <c r="B640" s="2113" t="str">
        <f t="shared" si="10"/>
        <v>156-905</v>
      </c>
      <c r="C640" s="2978" t="s">
        <v>6627</v>
      </c>
      <c r="D640" s="2639">
        <v>3445996655</v>
      </c>
      <c r="E640" s="2639">
        <v>3444929705</v>
      </c>
      <c r="F640" s="2639">
        <v>3444704645</v>
      </c>
      <c r="G640" s="2639">
        <v>3443637695</v>
      </c>
      <c r="H640" s="2639">
        <v>3445996655</v>
      </c>
      <c r="I640" s="2639">
        <v>3444929705</v>
      </c>
      <c r="J640" s="2639">
        <v>3444704645</v>
      </c>
      <c r="K640" s="2639">
        <v>3443637695</v>
      </c>
      <c r="L640" s="2639">
        <v>2716950</v>
      </c>
      <c r="M640" s="2639">
        <v>0</v>
      </c>
    </row>
    <row r="641" spans="1:13" ht="14.5">
      <c r="A641" s="2977" t="s">
        <v>10010</v>
      </c>
      <c r="B641" s="2113" t="str">
        <f t="shared" si="10"/>
        <v>157-901</v>
      </c>
      <c r="C641" s="2977" t="s">
        <v>6628</v>
      </c>
      <c r="D641" s="2637">
        <v>527312682</v>
      </c>
      <c r="E641" s="2637">
        <v>515320966</v>
      </c>
      <c r="F641" s="2637">
        <v>527312682</v>
      </c>
      <c r="G641" s="2637">
        <v>515320966</v>
      </c>
      <c r="H641" s="2637">
        <v>527312682</v>
      </c>
      <c r="I641" s="2637">
        <v>515320966</v>
      </c>
      <c r="J641" s="2637">
        <v>527312682</v>
      </c>
      <c r="K641" s="2637">
        <v>515320966</v>
      </c>
      <c r="L641" s="2637">
        <v>31281716</v>
      </c>
      <c r="M641" s="2637">
        <v>0</v>
      </c>
    </row>
    <row r="642" spans="1:13" ht="14.5">
      <c r="A642" s="2978" t="s">
        <v>10011</v>
      </c>
      <c r="B642" s="2113" t="str">
        <f t="shared" si="10"/>
        <v>158-901</v>
      </c>
      <c r="C642" s="2978" t="s">
        <v>6629</v>
      </c>
      <c r="D642" s="2639">
        <v>1543787381</v>
      </c>
      <c r="E642" s="2639">
        <v>1508786504</v>
      </c>
      <c r="F642" s="2639">
        <v>1543787381</v>
      </c>
      <c r="G642" s="2639">
        <v>1508786504</v>
      </c>
      <c r="H642" s="2639">
        <v>1742822851</v>
      </c>
      <c r="I642" s="2639">
        <v>1707821974</v>
      </c>
      <c r="J642" s="2639">
        <v>1742822851</v>
      </c>
      <c r="K642" s="2639">
        <v>1707821974</v>
      </c>
      <c r="L642" s="2639">
        <v>94910877</v>
      </c>
      <c r="M642" s="2639">
        <v>199035470</v>
      </c>
    </row>
    <row r="643" spans="1:13" ht="14.5">
      <c r="A643" s="2977" t="s">
        <v>10012</v>
      </c>
      <c r="B643" s="2113" t="str">
        <f t="shared" si="10"/>
        <v>158-902</v>
      </c>
      <c r="C643" s="2977" t="s">
        <v>6630</v>
      </c>
      <c r="D643" s="2637">
        <v>1451639783</v>
      </c>
      <c r="E643" s="2637">
        <v>1443857833</v>
      </c>
      <c r="F643" s="2637">
        <v>1441139293</v>
      </c>
      <c r="G643" s="2637">
        <v>1433357343</v>
      </c>
      <c r="H643" s="2637">
        <v>1451639783</v>
      </c>
      <c r="I643" s="2637">
        <v>1443857833</v>
      </c>
      <c r="J643" s="2637">
        <v>1441139293</v>
      </c>
      <c r="K643" s="2637">
        <v>1433357343</v>
      </c>
      <c r="L643" s="2637">
        <v>23096950</v>
      </c>
      <c r="M643" s="2637">
        <v>0</v>
      </c>
    </row>
    <row r="644" spans="1:13" ht="14.5">
      <c r="A644" s="2978" t="s">
        <v>10013</v>
      </c>
      <c r="B644" s="2113" t="str">
        <f t="shared" si="10"/>
        <v>158-904</v>
      </c>
      <c r="C644" s="2978" t="s">
        <v>6631</v>
      </c>
      <c r="D644" s="2639">
        <v>359914247</v>
      </c>
      <c r="E644" s="2639">
        <v>356956902</v>
      </c>
      <c r="F644" s="2639">
        <v>352663202</v>
      </c>
      <c r="G644" s="2639">
        <v>349705857</v>
      </c>
      <c r="H644" s="2639">
        <v>359914247</v>
      </c>
      <c r="I644" s="2639">
        <v>356956902</v>
      </c>
      <c r="J644" s="2639">
        <v>352663202</v>
      </c>
      <c r="K644" s="2639">
        <v>349705857</v>
      </c>
      <c r="L644" s="2639">
        <v>7937345</v>
      </c>
      <c r="M644" s="2639">
        <v>0</v>
      </c>
    </row>
    <row r="645" spans="1:13" ht="14.5">
      <c r="A645" s="2977" t="s">
        <v>10014</v>
      </c>
      <c r="B645" s="2113" t="str">
        <f t="shared" si="10"/>
        <v>158-905</v>
      </c>
      <c r="C645" s="2977" t="s">
        <v>6632</v>
      </c>
      <c r="D645" s="2637">
        <v>1363234202</v>
      </c>
      <c r="E645" s="2637">
        <v>1349187359</v>
      </c>
      <c r="F645" s="2637">
        <v>1341983816</v>
      </c>
      <c r="G645" s="2637">
        <v>1327936973</v>
      </c>
      <c r="H645" s="2637">
        <v>1952859902</v>
      </c>
      <c r="I645" s="2637">
        <v>1938813059</v>
      </c>
      <c r="J645" s="2637">
        <v>1931609516</v>
      </c>
      <c r="K645" s="2637">
        <v>1917562673</v>
      </c>
      <c r="L645" s="2637">
        <v>39141843</v>
      </c>
      <c r="M645" s="2637">
        <v>589625700</v>
      </c>
    </row>
    <row r="646" spans="1:13" ht="14.5">
      <c r="A646" s="2978" t="s">
        <v>10015</v>
      </c>
      <c r="B646" s="2113" t="str">
        <f t="shared" ref="B646:B709" si="11">CONCATENATE(RIGHT(LEFT(CONCATENATE("000",A646),6),3),"-",(LEFT(RIGHT(CONCATENATE("000",A646),6),3)))</f>
        <v>158-906</v>
      </c>
      <c r="C646" s="2978" t="s">
        <v>6633</v>
      </c>
      <c r="D646" s="2639">
        <v>758537321</v>
      </c>
      <c r="E646" s="2639">
        <v>745388957</v>
      </c>
      <c r="F646" s="2639">
        <v>735392794</v>
      </c>
      <c r="G646" s="2639">
        <v>722244430</v>
      </c>
      <c r="H646" s="2639">
        <v>2092029671</v>
      </c>
      <c r="I646" s="2639">
        <v>2078881307</v>
      </c>
      <c r="J646" s="2639">
        <v>2068885144</v>
      </c>
      <c r="K646" s="2639">
        <v>2055736780</v>
      </c>
      <c r="L646" s="2639">
        <v>37493364</v>
      </c>
      <c r="M646" s="2639">
        <v>1333492350</v>
      </c>
    </row>
    <row r="647" spans="1:13" ht="14.5">
      <c r="A647" s="2977" t="s">
        <v>10016</v>
      </c>
      <c r="B647" s="2113" t="str">
        <f t="shared" si="11"/>
        <v>159-901</v>
      </c>
      <c r="C647" s="2977" t="s">
        <v>6634</v>
      </c>
      <c r="D647" s="2637">
        <v>2814748722</v>
      </c>
      <c r="E647" s="2637">
        <v>2730367451</v>
      </c>
      <c r="F647" s="2637">
        <v>2814748722</v>
      </c>
      <c r="G647" s="2637">
        <v>2730367451</v>
      </c>
      <c r="H647" s="2637">
        <v>2814748722</v>
      </c>
      <c r="I647" s="2637">
        <v>2730367451</v>
      </c>
      <c r="J647" s="2637">
        <v>2814748722</v>
      </c>
      <c r="K647" s="2637">
        <v>2730367451</v>
      </c>
      <c r="L647" s="2637">
        <v>218961271</v>
      </c>
      <c r="M647" s="2637">
        <v>0</v>
      </c>
    </row>
    <row r="648" spans="1:13" ht="14.5">
      <c r="A648" s="2978" t="s">
        <v>10017</v>
      </c>
      <c r="B648" s="2113" t="str">
        <f t="shared" si="11"/>
        <v>160-901</v>
      </c>
      <c r="C648" s="2978" t="s">
        <v>6635</v>
      </c>
      <c r="D648" s="2639">
        <v>516743570</v>
      </c>
      <c r="E648" s="2639">
        <v>502515133</v>
      </c>
      <c r="F648" s="2639">
        <v>516743570</v>
      </c>
      <c r="G648" s="2639">
        <v>502515133</v>
      </c>
      <c r="H648" s="2639">
        <v>618925790</v>
      </c>
      <c r="I648" s="2639">
        <v>604697353</v>
      </c>
      <c r="J648" s="2639">
        <v>618925790</v>
      </c>
      <c r="K648" s="2639">
        <v>604697353</v>
      </c>
      <c r="L648" s="2639">
        <v>39668437</v>
      </c>
      <c r="M648" s="2639">
        <v>102182220</v>
      </c>
    </row>
    <row r="649" spans="1:13" ht="14.5">
      <c r="A649" s="2977" t="s">
        <v>10018</v>
      </c>
      <c r="B649" s="2113" t="str">
        <f t="shared" si="11"/>
        <v>160-904</v>
      </c>
      <c r="C649" s="2977" t="s">
        <v>6636</v>
      </c>
      <c r="D649" s="2637">
        <v>159357811</v>
      </c>
      <c r="E649" s="2637">
        <v>156911271</v>
      </c>
      <c r="F649" s="2637">
        <v>159357811</v>
      </c>
      <c r="G649" s="2637">
        <v>156911271</v>
      </c>
      <c r="H649" s="2637">
        <v>159357811</v>
      </c>
      <c r="I649" s="2637">
        <v>156911271</v>
      </c>
      <c r="J649" s="2637">
        <v>159357811</v>
      </c>
      <c r="K649" s="2637">
        <v>156911271</v>
      </c>
      <c r="L649" s="2637">
        <v>6871540</v>
      </c>
      <c r="M649" s="2637">
        <v>0</v>
      </c>
    </row>
    <row r="650" spans="1:13" ht="14.5">
      <c r="A650" s="2978" t="s">
        <v>10019</v>
      </c>
      <c r="B650" s="2113" t="str">
        <f t="shared" si="11"/>
        <v>160-905</v>
      </c>
      <c r="C650" s="2978" t="s">
        <v>6637</v>
      </c>
      <c r="D650" s="2639">
        <v>106970849</v>
      </c>
      <c r="E650" s="2639">
        <v>106381882</v>
      </c>
      <c r="F650" s="2639">
        <v>106970849</v>
      </c>
      <c r="G650" s="2639">
        <v>106381882</v>
      </c>
      <c r="H650" s="2639">
        <v>247119529</v>
      </c>
      <c r="I650" s="2639">
        <v>246530562</v>
      </c>
      <c r="J650" s="2639">
        <v>247119529</v>
      </c>
      <c r="K650" s="2639">
        <v>246530562</v>
      </c>
      <c r="L650" s="2639">
        <v>1533967</v>
      </c>
      <c r="M650" s="2639">
        <v>140148680</v>
      </c>
    </row>
    <row r="651" spans="1:13" ht="14.5">
      <c r="A651" s="2977" t="s">
        <v>10020</v>
      </c>
      <c r="B651" s="2113" t="str">
        <f t="shared" si="11"/>
        <v>161-901</v>
      </c>
      <c r="C651" s="2977" t="s">
        <v>6638</v>
      </c>
      <c r="D651" s="2637">
        <v>271377245</v>
      </c>
      <c r="E651" s="2637">
        <v>264263051</v>
      </c>
      <c r="F651" s="2637">
        <v>271377245</v>
      </c>
      <c r="G651" s="2637">
        <v>264263051</v>
      </c>
      <c r="H651" s="2637">
        <v>271377245</v>
      </c>
      <c r="I651" s="2637">
        <v>264263051</v>
      </c>
      <c r="J651" s="2637">
        <v>271377245</v>
      </c>
      <c r="K651" s="2637">
        <v>264263051</v>
      </c>
      <c r="L651" s="2637">
        <v>18289194</v>
      </c>
      <c r="M651" s="2637">
        <v>0</v>
      </c>
    </row>
    <row r="652" spans="1:13" ht="14.5">
      <c r="A652" s="2978" t="s">
        <v>10021</v>
      </c>
      <c r="B652" s="2113" t="str">
        <f t="shared" si="11"/>
        <v>161-903</v>
      </c>
      <c r="C652" s="2978" t="s">
        <v>6152</v>
      </c>
      <c r="D652" s="2639">
        <v>6426946378</v>
      </c>
      <c r="E652" s="2639">
        <v>6311781751</v>
      </c>
      <c r="F652" s="2639">
        <v>6426946378</v>
      </c>
      <c r="G652" s="2639">
        <v>6311781751</v>
      </c>
      <c r="H652" s="2639">
        <v>6426946378</v>
      </c>
      <c r="I652" s="2639">
        <v>6311781751</v>
      </c>
      <c r="J652" s="2639">
        <v>6426946378</v>
      </c>
      <c r="K652" s="2639">
        <v>6311781751</v>
      </c>
      <c r="L652" s="2639">
        <v>289014627</v>
      </c>
      <c r="M652" s="2639">
        <v>0</v>
      </c>
    </row>
    <row r="653" spans="1:13" ht="14.5">
      <c r="A653" s="2977" t="s">
        <v>10022</v>
      </c>
      <c r="B653" s="2113" t="str">
        <f t="shared" si="11"/>
        <v>161-906</v>
      </c>
      <c r="C653" s="2977" t="s">
        <v>6639</v>
      </c>
      <c r="D653" s="2637">
        <v>1095059108</v>
      </c>
      <c r="E653" s="2637">
        <v>1075526925</v>
      </c>
      <c r="F653" s="2637">
        <v>1095059108</v>
      </c>
      <c r="G653" s="2637">
        <v>1075526925</v>
      </c>
      <c r="H653" s="2637">
        <v>1095059108</v>
      </c>
      <c r="I653" s="2637">
        <v>1075526925</v>
      </c>
      <c r="J653" s="2637">
        <v>1095059108</v>
      </c>
      <c r="K653" s="2637">
        <v>1075526925</v>
      </c>
      <c r="L653" s="2637">
        <v>51377183</v>
      </c>
      <c r="M653" s="2637">
        <v>0</v>
      </c>
    </row>
    <row r="654" spans="1:13" ht="14.5">
      <c r="A654" s="2978" t="s">
        <v>10023</v>
      </c>
      <c r="B654" s="2113" t="str">
        <f t="shared" si="11"/>
        <v>161-907</v>
      </c>
      <c r="C654" s="2978" t="s">
        <v>6640</v>
      </c>
      <c r="D654" s="2639">
        <v>737882309</v>
      </c>
      <c r="E654" s="2639">
        <v>716886079</v>
      </c>
      <c r="F654" s="2639">
        <v>737882309</v>
      </c>
      <c r="G654" s="2639">
        <v>716886079</v>
      </c>
      <c r="H654" s="2639">
        <v>737882309</v>
      </c>
      <c r="I654" s="2639">
        <v>716886079</v>
      </c>
      <c r="J654" s="2639">
        <v>737882309</v>
      </c>
      <c r="K654" s="2639">
        <v>716886079</v>
      </c>
      <c r="L654" s="2639">
        <v>53711230</v>
      </c>
      <c r="M654" s="2639">
        <v>0</v>
      </c>
    </row>
    <row r="655" spans="1:13" ht="14.5">
      <c r="A655" s="2977" t="s">
        <v>10024</v>
      </c>
      <c r="B655" s="2113" t="str">
        <f t="shared" si="11"/>
        <v>161-908</v>
      </c>
      <c r="C655" s="2977" t="s">
        <v>6641</v>
      </c>
      <c r="D655" s="2637">
        <v>227136500</v>
      </c>
      <c r="E655" s="2637">
        <v>220970618</v>
      </c>
      <c r="F655" s="2637">
        <v>227136500</v>
      </c>
      <c r="G655" s="2637">
        <v>220970618</v>
      </c>
      <c r="H655" s="2637">
        <v>447865240</v>
      </c>
      <c r="I655" s="2637">
        <v>441699358</v>
      </c>
      <c r="J655" s="2637">
        <v>447865240</v>
      </c>
      <c r="K655" s="2637">
        <v>441699358</v>
      </c>
      <c r="L655" s="2637">
        <v>16785882</v>
      </c>
      <c r="M655" s="2637">
        <v>220728740</v>
      </c>
    </row>
    <row r="656" spans="1:13" ht="14.5">
      <c r="A656" s="2978" t="s">
        <v>10025</v>
      </c>
      <c r="B656" s="2113" t="str">
        <f t="shared" si="11"/>
        <v>161-909</v>
      </c>
      <c r="C656" s="2978" t="s">
        <v>6642</v>
      </c>
      <c r="D656" s="2639">
        <v>574220024</v>
      </c>
      <c r="E656" s="2639">
        <v>562272044</v>
      </c>
      <c r="F656" s="2639">
        <v>574220024</v>
      </c>
      <c r="G656" s="2639">
        <v>562272044</v>
      </c>
      <c r="H656" s="2639">
        <v>574220024</v>
      </c>
      <c r="I656" s="2639">
        <v>562272044</v>
      </c>
      <c r="J656" s="2639">
        <v>574220024</v>
      </c>
      <c r="K656" s="2639">
        <v>562272044</v>
      </c>
      <c r="L656" s="2639">
        <v>30367980</v>
      </c>
      <c r="M656" s="2639">
        <v>0</v>
      </c>
    </row>
    <row r="657" spans="1:13" ht="14.5">
      <c r="A657" s="2977" t="s">
        <v>10026</v>
      </c>
      <c r="B657" s="2113" t="str">
        <f t="shared" si="11"/>
        <v>161-910</v>
      </c>
      <c r="C657" s="2977" t="s">
        <v>6643</v>
      </c>
      <c r="D657" s="2637">
        <v>265864810</v>
      </c>
      <c r="E657" s="2637">
        <v>256003648</v>
      </c>
      <c r="F657" s="2637">
        <v>265864810</v>
      </c>
      <c r="G657" s="2637">
        <v>256003648</v>
      </c>
      <c r="H657" s="2637">
        <v>265864810</v>
      </c>
      <c r="I657" s="2637">
        <v>256003648</v>
      </c>
      <c r="J657" s="2637">
        <v>265864810</v>
      </c>
      <c r="K657" s="2637">
        <v>256003648</v>
      </c>
      <c r="L657" s="2637">
        <v>26841162</v>
      </c>
      <c r="M657" s="2637">
        <v>0</v>
      </c>
    </row>
    <row r="658" spans="1:13" ht="14.5">
      <c r="A658" s="2978" t="s">
        <v>10633</v>
      </c>
      <c r="B658" s="2113" t="str">
        <f t="shared" si="11"/>
        <v>161-912</v>
      </c>
      <c r="C658" s="2978" t="s">
        <v>6644</v>
      </c>
      <c r="D658" s="2639">
        <v>409452594</v>
      </c>
      <c r="E658" s="2639">
        <v>404364930</v>
      </c>
      <c r="F658" s="2639">
        <v>405300332</v>
      </c>
      <c r="G658" s="2639">
        <v>400212668</v>
      </c>
      <c r="H658" s="2639">
        <v>409452594</v>
      </c>
      <c r="I658" s="2639">
        <v>404364930</v>
      </c>
      <c r="J658" s="2639">
        <v>405300332</v>
      </c>
      <c r="K658" s="2639">
        <v>400212668</v>
      </c>
      <c r="L658" s="2639">
        <v>13547664</v>
      </c>
      <c r="M658" s="2639">
        <v>0</v>
      </c>
    </row>
    <row r="659" spans="1:13" ht="14.5">
      <c r="A659" s="2977" t="s">
        <v>10027</v>
      </c>
      <c r="B659" s="2113" t="str">
        <f t="shared" si="11"/>
        <v>161-914</v>
      </c>
      <c r="C659" s="2977" t="s">
        <v>6645</v>
      </c>
      <c r="D659" s="2637">
        <v>6757055652</v>
      </c>
      <c r="E659" s="2637">
        <v>6619558654</v>
      </c>
      <c r="F659" s="2637">
        <v>6757055652</v>
      </c>
      <c r="G659" s="2637">
        <v>6619558654</v>
      </c>
      <c r="H659" s="2637">
        <v>6757055652</v>
      </c>
      <c r="I659" s="2637">
        <v>6619558654</v>
      </c>
      <c r="J659" s="2637">
        <v>6757055652</v>
      </c>
      <c r="K659" s="2637">
        <v>6619558654</v>
      </c>
      <c r="L659" s="2637">
        <v>346551998</v>
      </c>
      <c r="M659" s="2637">
        <v>0</v>
      </c>
    </row>
    <row r="660" spans="1:13" ht="14.5">
      <c r="A660" s="2978" t="s">
        <v>10028</v>
      </c>
      <c r="B660" s="2113" t="str">
        <f t="shared" si="11"/>
        <v>161-916</v>
      </c>
      <c r="C660" s="2978" t="s">
        <v>6646</v>
      </c>
      <c r="D660" s="2639">
        <v>606950218</v>
      </c>
      <c r="E660" s="2639">
        <v>587227635</v>
      </c>
      <c r="F660" s="2639">
        <v>606950218</v>
      </c>
      <c r="G660" s="2639">
        <v>587227635</v>
      </c>
      <c r="H660" s="2639">
        <v>606950218</v>
      </c>
      <c r="I660" s="2639">
        <v>587227635</v>
      </c>
      <c r="J660" s="2639">
        <v>606950218</v>
      </c>
      <c r="K660" s="2639">
        <v>587227635</v>
      </c>
      <c r="L660" s="2639">
        <v>51042583</v>
      </c>
      <c r="M660" s="2639">
        <v>0</v>
      </c>
    </row>
    <row r="661" spans="1:13" ht="14.5">
      <c r="A661" s="2977" t="s">
        <v>10029</v>
      </c>
      <c r="B661" s="2113" t="str">
        <f t="shared" si="11"/>
        <v>161-918</v>
      </c>
      <c r="C661" s="2977" t="s">
        <v>6647</v>
      </c>
      <c r="D661" s="2637">
        <v>206321819</v>
      </c>
      <c r="E661" s="2637">
        <v>198868397</v>
      </c>
      <c r="F661" s="2637">
        <v>206321819</v>
      </c>
      <c r="G661" s="2637">
        <v>198868397</v>
      </c>
      <c r="H661" s="2637">
        <v>206321819</v>
      </c>
      <c r="I661" s="2637">
        <v>198868397</v>
      </c>
      <c r="J661" s="2637">
        <v>206321819</v>
      </c>
      <c r="K661" s="2637">
        <v>198868397</v>
      </c>
      <c r="L661" s="2637">
        <v>20338422</v>
      </c>
      <c r="M661" s="2637">
        <v>0</v>
      </c>
    </row>
    <row r="662" spans="1:13" ht="14.5">
      <c r="A662" s="2978" t="s">
        <v>10030</v>
      </c>
      <c r="B662" s="2113" t="str">
        <f t="shared" si="11"/>
        <v>161-919</v>
      </c>
      <c r="C662" s="2978" t="s">
        <v>6648</v>
      </c>
      <c r="D662" s="2639">
        <v>253207694</v>
      </c>
      <c r="E662" s="2639">
        <v>244772271</v>
      </c>
      <c r="F662" s="2639">
        <v>253207694</v>
      </c>
      <c r="G662" s="2639">
        <v>244772271</v>
      </c>
      <c r="H662" s="2639">
        <v>253207694</v>
      </c>
      <c r="I662" s="2639">
        <v>244772271</v>
      </c>
      <c r="J662" s="2639">
        <v>253207694</v>
      </c>
      <c r="K662" s="2639">
        <v>244772271</v>
      </c>
      <c r="L662" s="2639">
        <v>22535423</v>
      </c>
      <c r="M662" s="2639">
        <v>0</v>
      </c>
    </row>
    <row r="663" spans="1:13" ht="14.5">
      <c r="A663" s="2977" t="s">
        <v>10031</v>
      </c>
      <c r="B663" s="2113" t="str">
        <f t="shared" si="11"/>
        <v>161-920</v>
      </c>
      <c r="C663" s="2977" t="s">
        <v>6649</v>
      </c>
      <c r="D663" s="2637">
        <v>1236925738</v>
      </c>
      <c r="E663" s="2637">
        <v>1200691194</v>
      </c>
      <c r="F663" s="2637">
        <v>1236925738</v>
      </c>
      <c r="G663" s="2637">
        <v>1200691194</v>
      </c>
      <c r="H663" s="2637">
        <v>1236925738</v>
      </c>
      <c r="I663" s="2637">
        <v>1200691194</v>
      </c>
      <c r="J663" s="2637">
        <v>1236925738</v>
      </c>
      <c r="K663" s="2637">
        <v>1200691194</v>
      </c>
      <c r="L663" s="2637">
        <v>91989544</v>
      </c>
      <c r="M663" s="2637">
        <v>0</v>
      </c>
    </row>
    <row r="664" spans="1:13" ht="14.5">
      <c r="A664" s="2978" t="s">
        <v>10032</v>
      </c>
      <c r="B664" s="2113" t="str">
        <f t="shared" si="11"/>
        <v>161-921</v>
      </c>
      <c r="C664" s="2978" t="s">
        <v>6650</v>
      </c>
      <c r="D664" s="2639">
        <v>910750272</v>
      </c>
      <c r="E664" s="2639">
        <v>887320763</v>
      </c>
      <c r="F664" s="2639">
        <v>910750272</v>
      </c>
      <c r="G664" s="2639">
        <v>887320763</v>
      </c>
      <c r="H664" s="2639">
        <v>910750272</v>
      </c>
      <c r="I664" s="2639">
        <v>887320763</v>
      </c>
      <c r="J664" s="2639">
        <v>910750272</v>
      </c>
      <c r="K664" s="2639">
        <v>887320763</v>
      </c>
      <c r="L664" s="2639">
        <v>59969509</v>
      </c>
      <c r="M664" s="2639">
        <v>0</v>
      </c>
    </row>
    <row r="665" spans="1:13" ht="14.5">
      <c r="A665" s="2977" t="s">
        <v>10033</v>
      </c>
      <c r="B665" s="2113" t="str">
        <f t="shared" si="11"/>
        <v>161-922</v>
      </c>
      <c r="C665" s="2977" t="s">
        <v>6651</v>
      </c>
      <c r="D665" s="2637">
        <v>960409932</v>
      </c>
      <c r="E665" s="2637">
        <v>930316309</v>
      </c>
      <c r="F665" s="2637">
        <v>960409932</v>
      </c>
      <c r="G665" s="2637">
        <v>930316309</v>
      </c>
      <c r="H665" s="2637">
        <v>960409932</v>
      </c>
      <c r="I665" s="2637">
        <v>930316309</v>
      </c>
      <c r="J665" s="2637">
        <v>960409932</v>
      </c>
      <c r="K665" s="2637">
        <v>930316309</v>
      </c>
      <c r="L665" s="2637">
        <v>76698623</v>
      </c>
      <c r="M665" s="2637">
        <v>0</v>
      </c>
    </row>
    <row r="666" spans="1:13" ht="14.5">
      <c r="A666" s="2978" t="s">
        <v>10034</v>
      </c>
      <c r="B666" s="2113" t="str">
        <f t="shared" si="11"/>
        <v>161-923</v>
      </c>
      <c r="C666" s="2978" t="s">
        <v>6652</v>
      </c>
      <c r="D666" s="2639">
        <v>241853188</v>
      </c>
      <c r="E666" s="2639">
        <v>236375139</v>
      </c>
      <c r="F666" s="2639">
        <v>241853188</v>
      </c>
      <c r="G666" s="2639">
        <v>236375139</v>
      </c>
      <c r="H666" s="2639">
        <v>241853188</v>
      </c>
      <c r="I666" s="2639">
        <v>236375139</v>
      </c>
      <c r="J666" s="2639">
        <v>241853188</v>
      </c>
      <c r="K666" s="2639">
        <v>236375139</v>
      </c>
      <c r="L666" s="2639">
        <v>14013049</v>
      </c>
      <c r="M666" s="2639">
        <v>0</v>
      </c>
    </row>
    <row r="667" spans="1:13" ht="14.5">
      <c r="A667" s="2977" t="s">
        <v>10035</v>
      </c>
      <c r="B667" s="2113" t="str">
        <f t="shared" si="11"/>
        <v>161-924</v>
      </c>
      <c r="C667" s="2977" t="s">
        <v>6653</v>
      </c>
      <c r="D667" s="2637">
        <v>104531536</v>
      </c>
      <c r="E667" s="2637">
        <v>101430276</v>
      </c>
      <c r="F667" s="2637">
        <v>104531536</v>
      </c>
      <c r="G667" s="2637">
        <v>101430276</v>
      </c>
      <c r="H667" s="2637">
        <v>104531536</v>
      </c>
      <c r="I667" s="2637">
        <v>101430276</v>
      </c>
      <c r="J667" s="2637">
        <v>104531536</v>
      </c>
      <c r="K667" s="2637">
        <v>101430276</v>
      </c>
      <c r="L667" s="2637">
        <v>7946260</v>
      </c>
      <c r="M667" s="2637">
        <v>0</v>
      </c>
    </row>
    <row r="668" spans="1:13" ht="14.5">
      <c r="A668" s="2978" t="s">
        <v>10036</v>
      </c>
      <c r="B668" s="2113" t="str">
        <f t="shared" si="11"/>
        <v>161-925</v>
      </c>
      <c r="C668" s="2978" t="s">
        <v>6654</v>
      </c>
      <c r="D668" s="2639">
        <v>76070821</v>
      </c>
      <c r="E668" s="2639">
        <v>72835393</v>
      </c>
      <c r="F668" s="2639">
        <v>76070821</v>
      </c>
      <c r="G668" s="2639">
        <v>72835393</v>
      </c>
      <c r="H668" s="2639">
        <v>76070821</v>
      </c>
      <c r="I668" s="2639">
        <v>72835393</v>
      </c>
      <c r="J668" s="2639">
        <v>76070821</v>
      </c>
      <c r="K668" s="2639">
        <v>72835393</v>
      </c>
      <c r="L668" s="2639">
        <v>8935428</v>
      </c>
      <c r="M668" s="2639">
        <v>0</v>
      </c>
    </row>
    <row r="669" spans="1:13" ht="14.5">
      <c r="A669" s="2977" t="s">
        <v>10037</v>
      </c>
      <c r="B669" s="2113" t="str">
        <f t="shared" si="11"/>
        <v>162-904</v>
      </c>
      <c r="C669" s="2977" t="s">
        <v>6655</v>
      </c>
      <c r="D669" s="2637">
        <v>2830129600</v>
      </c>
      <c r="E669" s="2637">
        <v>2828683011</v>
      </c>
      <c r="F669" s="2637">
        <v>2827931350</v>
      </c>
      <c r="G669" s="2637">
        <v>2826484761</v>
      </c>
      <c r="H669" s="2637">
        <v>2830129600</v>
      </c>
      <c r="I669" s="2637">
        <v>2828683011</v>
      </c>
      <c r="J669" s="2637">
        <v>2827931350</v>
      </c>
      <c r="K669" s="2637">
        <v>2826484761</v>
      </c>
      <c r="L669" s="2637">
        <v>4641589</v>
      </c>
      <c r="M669" s="2637">
        <v>0</v>
      </c>
    </row>
    <row r="670" spans="1:13" ht="14.5">
      <c r="A670" s="2978" t="s">
        <v>10038</v>
      </c>
      <c r="B670" s="2113" t="str">
        <f t="shared" si="11"/>
        <v>163-901</v>
      </c>
      <c r="C670" s="2978" t="s">
        <v>6656</v>
      </c>
      <c r="D670" s="2639">
        <v>599414523</v>
      </c>
      <c r="E670" s="2639">
        <v>580119266</v>
      </c>
      <c r="F670" s="2639">
        <v>599414523</v>
      </c>
      <c r="G670" s="2639">
        <v>580119266</v>
      </c>
      <c r="H670" s="2639">
        <v>599414523</v>
      </c>
      <c r="I670" s="2639">
        <v>580119266</v>
      </c>
      <c r="J670" s="2639">
        <v>599414523</v>
      </c>
      <c r="K670" s="2639">
        <v>580119266</v>
      </c>
      <c r="L670" s="2639">
        <v>53735257</v>
      </c>
      <c r="M670" s="2639">
        <v>0</v>
      </c>
    </row>
    <row r="671" spans="1:13" ht="14.5">
      <c r="A671" s="2977" t="s">
        <v>10039</v>
      </c>
      <c r="B671" s="2113" t="str">
        <f t="shared" si="11"/>
        <v>163-902</v>
      </c>
      <c r="C671" s="2977" t="s">
        <v>6657</v>
      </c>
      <c r="D671" s="2637">
        <v>240635519</v>
      </c>
      <c r="E671" s="2637">
        <v>237463164</v>
      </c>
      <c r="F671" s="2637">
        <v>240635519</v>
      </c>
      <c r="G671" s="2637">
        <v>237463164</v>
      </c>
      <c r="H671" s="2637">
        <v>240635519</v>
      </c>
      <c r="I671" s="2637">
        <v>237463164</v>
      </c>
      <c r="J671" s="2637">
        <v>240635519</v>
      </c>
      <c r="K671" s="2637">
        <v>237463164</v>
      </c>
      <c r="L671" s="2637">
        <v>9232355</v>
      </c>
      <c r="M671" s="2637">
        <v>0</v>
      </c>
    </row>
    <row r="672" spans="1:13" ht="14.5">
      <c r="A672" s="2978" t="s">
        <v>10040</v>
      </c>
      <c r="B672" s="2113" t="str">
        <f t="shared" si="11"/>
        <v>163-903</v>
      </c>
      <c r="C672" s="2978" t="s">
        <v>6658</v>
      </c>
      <c r="D672" s="2639">
        <v>314724848</v>
      </c>
      <c r="E672" s="2639">
        <v>301879526</v>
      </c>
      <c r="F672" s="2639">
        <v>314724848</v>
      </c>
      <c r="G672" s="2639">
        <v>301879526</v>
      </c>
      <c r="H672" s="2639">
        <v>314724848</v>
      </c>
      <c r="I672" s="2639">
        <v>301879526</v>
      </c>
      <c r="J672" s="2639">
        <v>314724848</v>
      </c>
      <c r="K672" s="2639">
        <v>301879526</v>
      </c>
      <c r="L672" s="2639">
        <v>35060322</v>
      </c>
      <c r="M672" s="2639">
        <v>0</v>
      </c>
    </row>
    <row r="673" spans="1:13" ht="14.5">
      <c r="A673" s="2977" t="s">
        <v>10041</v>
      </c>
      <c r="B673" s="2113" t="str">
        <f t="shared" si="11"/>
        <v>163-904</v>
      </c>
      <c r="C673" s="2977" t="s">
        <v>6659</v>
      </c>
      <c r="D673" s="2637">
        <v>963117560</v>
      </c>
      <c r="E673" s="2637">
        <v>941089021</v>
      </c>
      <c r="F673" s="2637">
        <v>963117560</v>
      </c>
      <c r="G673" s="2637">
        <v>941089021</v>
      </c>
      <c r="H673" s="2637">
        <v>963117560</v>
      </c>
      <c r="I673" s="2637">
        <v>941089021</v>
      </c>
      <c r="J673" s="2637">
        <v>963117560</v>
      </c>
      <c r="K673" s="2637">
        <v>941089021</v>
      </c>
      <c r="L673" s="2637">
        <v>62603539</v>
      </c>
      <c r="M673" s="2637">
        <v>0</v>
      </c>
    </row>
    <row r="674" spans="1:13" ht="14.5">
      <c r="A674" s="2978" t="s">
        <v>10042</v>
      </c>
      <c r="B674" s="2113" t="str">
        <f t="shared" si="11"/>
        <v>163-908</v>
      </c>
      <c r="C674" s="2978" t="s">
        <v>6660</v>
      </c>
      <c r="D674" s="2639">
        <v>3141951861</v>
      </c>
      <c r="E674" s="2639">
        <v>3065704366</v>
      </c>
      <c r="F674" s="2639">
        <v>3141951861</v>
      </c>
      <c r="G674" s="2639">
        <v>3065704366</v>
      </c>
      <c r="H674" s="2639">
        <v>3141951861</v>
      </c>
      <c r="I674" s="2639">
        <v>3065704366</v>
      </c>
      <c r="J674" s="2639">
        <v>3141951861</v>
      </c>
      <c r="K674" s="2639">
        <v>3065704366</v>
      </c>
      <c r="L674" s="2639">
        <v>199232495</v>
      </c>
      <c r="M674" s="2639">
        <v>0</v>
      </c>
    </row>
    <row r="675" spans="1:13" ht="14.5">
      <c r="A675" s="2977" t="s">
        <v>10043</v>
      </c>
      <c r="B675" s="2113" t="str">
        <f t="shared" si="11"/>
        <v>164-901</v>
      </c>
      <c r="C675" s="2977" t="s">
        <v>6661</v>
      </c>
      <c r="D675" s="2637">
        <v>235890824</v>
      </c>
      <c r="E675" s="2637">
        <v>231151649</v>
      </c>
      <c r="F675" s="2637">
        <v>235890824</v>
      </c>
      <c r="G675" s="2637">
        <v>231151649</v>
      </c>
      <c r="H675" s="2637">
        <v>235890824</v>
      </c>
      <c r="I675" s="2637">
        <v>231151649</v>
      </c>
      <c r="J675" s="2637">
        <v>235890824</v>
      </c>
      <c r="K675" s="2637">
        <v>231151649</v>
      </c>
      <c r="L675" s="2637">
        <v>13364175</v>
      </c>
      <c r="M675" s="2637">
        <v>0</v>
      </c>
    </row>
    <row r="676" spans="1:13" ht="14.5">
      <c r="A676" s="2978" t="s">
        <v>10634</v>
      </c>
      <c r="B676" s="2113" t="str">
        <f t="shared" si="11"/>
        <v>165-901</v>
      </c>
      <c r="C676" s="2978" t="s">
        <v>6662</v>
      </c>
      <c r="D676" s="2639">
        <v>35370523767</v>
      </c>
      <c r="E676" s="2639">
        <v>35075800152</v>
      </c>
      <c r="F676" s="2639">
        <v>34924763593</v>
      </c>
      <c r="G676" s="2639">
        <v>34630039978</v>
      </c>
      <c r="H676" s="2639">
        <v>35370523767</v>
      </c>
      <c r="I676" s="2639">
        <v>35075800152</v>
      </c>
      <c r="J676" s="2639">
        <v>34924763593</v>
      </c>
      <c r="K676" s="2639">
        <v>34630039978</v>
      </c>
      <c r="L676" s="2639">
        <v>762318615</v>
      </c>
      <c r="M676" s="2639">
        <v>0</v>
      </c>
    </row>
    <row r="677" spans="1:13" ht="14.5">
      <c r="A677" s="2977" t="s">
        <v>10635</v>
      </c>
      <c r="B677" s="2113" t="str">
        <f t="shared" si="11"/>
        <v>165-902</v>
      </c>
      <c r="C677" s="2977" t="s">
        <v>6663</v>
      </c>
      <c r="D677" s="2637">
        <v>3255430749</v>
      </c>
      <c r="E677" s="2637">
        <v>3238733830</v>
      </c>
      <c r="F677" s="2637">
        <v>3196303469</v>
      </c>
      <c r="G677" s="2637">
        <v>3179606550</v>
      </c>
      <c r="H677" s="2637">
        <v>3255430749</v>
      </c>
      <c r="I677" s="2637">
        <v>3238733830</v>
      </c>
      <c r="J677" s="2637">
        <v>3196303469</v>
      </c>
      <c r="K677" s="2637">
        <v>3179606550</v>
      </c>
      <c r="L677" s="2637">
        <v>48226919</v>
      </c>
      <c r="M677" s="2637">
        <v>0</v>
      </c>
    </row>
    <row r="678" spans="1:13" ht="14.5">
      <c r="A678" s="2978" t="s">
        <v>10044</v>
      </c>
      <c r="B678" s="2113" t="str">
        <f t="shared" si="11"/>
        <v>166-901</v>
      </c>
      <c r="C678" s="2978" t="s">
        <v>6664</v>
      </c>
      <c r="D678" s="2639">
        <v>506710663</v>
      </c>
      <c r="E678" s="2639">
        <v>490823623</v>
      </c>
      <c r="F678" s="2639">
        <v>506710663</v>
      </c>
      <c r="G678" s="2639">
        <v>490823623</v>
      </c>
      <c r="H678" s="2639">
        <v>506710663</v>
      </c>
      <c r="I678" s="2639">
        <v>490823623</v>
      </c>
      <c r="J678" s="2639">
        <v>506710663</v>
      </c>
      <c r="K678" s="2639">
        <v>490823623</v>
      </c>
      <c r="L678" s="2639">
        <v>46112040</v>
      </c>
      <c r="M678" s="2639">
        <v>0</v>
      </c>
    </row>
    <row r="679" spans="1:13" ht="14.5">
      <c r="A679" s="2977" t="s">
        <v>10045</v>
      </c>
      <c r="B679" s="2113" t="str">
        <f t="shared" si="11"/>
        <v>166-902</v>
      </c>
      <c r="C679" s="2977" t="s">
        <v>6665</v>
      </c>
      <c r="D679" s="2637">
        <v>194446481</v>
      </c>
      <c r="E679" s="2637">
        <v>192177392</v>
      </c>
      <c r="F679" s="2637">
        <v>194446481</v>
      </c>
      <c r="G679" s="2637">
        <v>192177392</v>
      </c>
      <c r="H679" s="2637">
        <v>194446481</v>
      </c>
      <c r="I679" s="2637">
        <v>192177392</v>
      </c>
      <c r="J679" s="2637">
        <v>194446481</v>
      </c>
      <c r="K679" s="2637">
        <v>192177392</v>
      </c>
      <c r="L679" s="2637">
        <v>6529089</v>
      </c>
      <c r="M679" s="2637">
        <v>0</v>
      </c>
    </row>
    <row r="680" spans="1:13" ht="14.5">
      <c r="A680" s="2978" t="s">
        <v>10046</v>
      </c>
      <c r="B680" s="2113" t="str">
        <f t="shared" si="11"/>
        <v>166-903</v>
      </c>
      <c r="C680" s="2978" t="s">
        <v>6666</v>
      </c>
      <c r="D680" s="2639">
        <v>148119341</v>
      </c>
      <c r="E680" s="2639">
        <v>144127732</v>
      </c>
      <c r="F680" s="2639">
        <v>148119341</v>
      </c>
      <c r="G680" s="2639">
        <v>144127732</v>
      </c>
      <c r="H680" s="2639">
        <v>148119341</v>
      </c>
      <c r="I680" s="2639">
        <v>144127732</v>
      </c>
      <c r="J680" s="2639">
        <v>148119341</v>
      </c>
      <c r="K680" s="2639">
        <v>144127732</v>
      </c>
      <c r="L680" s="2639">
        <v>13216609</v>
      </c>
      <c r="M680" s="2639">
        <v>0</v>
      </c>
    </row>
    <row r="681" spans="1:13" ht="14.5">
      <c r="A681" s="2977" t="s">
        <v>10047</v>
      </c>
      <c r="B681" s="2113" t="str">
        <f t="shared" si="11"/>
        <v>166-904</v>
      </c>
      <c r="C681" s="2977" t="s">
        <v>6667</v>
      </c>
      <c r="D681" s="2637">
        <v>663954972</v>
      </c>
      <c r="E681" s="2637">
        <v>645105085</v>
      </c>
      <c r="F681" s="2637">
        <v>663954972</v>
      </c>
      <c r="G681" s="2637">
        <v>645105085</v>
      </c>
      <c r="H681" s="2637">
        <v>663954972</v>
      </c>
      <c r="I681" s="2637">
        <v>645105085</v>
      </c>
      <c r="J681" s="2637">
        <v>663954972</v>
      </c>
      <c r="K681" s="2637">
        <v>645105085</v>
      </c>
      <c r="L681" s="2637">
        <v>53004887</v>
      </c>
      <c r="M681" s="2637">
        <v>0</v>
      </c>
    </row>
    <row r="682" spans="1:13" ht="14.5">
      <c r="A682" s="2978" t="s">
        <v>10048</v>
      </c>
      <c r="B682" s="2113" t="str">
        <f t="shared" si="11"/>
        <v>166-905</v>
      </c>
      <c r="C682" s="2978" t="s">
        <v>6668</v>
      </c>
      <c r="D682" s="2639">
        <v>230860597</v>
      </c>
      <c r="E682" s="2639">
        <v>223544906</v>
      </c>
      <c r="F682" s="2639">
        <v>230860597</v>
      </c>
      <c r="G682" s="2639">
        <v>223544906</v>
      </c>
      <c r="H682" s="2639">
        <v>230860597</v>
      </c>
      <c r="I682" s="2639">
        <v>223544906</v>
      </c>
      <c r="J682" s="2639">
        <v>230860597</v>
      </c>
      <c r="K682" s="2639">
        <v>223544906</v>
      </c>
      <c r="L682" s="2639">
        <v>20350691</v>
      </c>
      <c r="M682" s="2639">
        <v>0</v>
      </c>
    </row>
    <row r="683" spans="1:13" ht="14.5">
      <c r="A683" s="2977" t="s">
        <v>10049</v>
      </c>
      <c r="B683" s="2113" t="str">
        <f t="shared" si="11"/>
        <v>166-907</v>
      </c>
      <c r="C683" s="2977" t="s">
        <v>6669</v>
      </c>
      <c r="D683" s="2637">
        <v>44045968</v>
      </c>
      <c r="E683" s="2637">
        <v>42813142</v>
      </c>
      <c r="F683" s="2637">
        <v>44045968</v>
      </c>
      <c r="G683" s="2637">
        <v>42813142</v>
      </c>
      <c r="H683" s="2637">
        <v>44045968</v>
      </c>
      <c r="I683" s="2637">
        <v>42813142</v>
      </c>
      <c r="J683" s="2637">
        <v>44045968</v>
      </c>
      <c r="K683" s="2637">
        <v>42813142</v>
      </c>
      <c r="L683" s="2637">
        <v>3797826</v>
      </c>
      <c r="M683" s="2637">
        <v>0</v>
      </c>
    </row>
    <row r="684" spans="1:13" ht="14.5">
      <c r="A684" s="2978" t="s">
        <v>10050</v>
      </c>
      <c r="B684" s="2113" t="str">
        <f t="shared" si="11"/>
        <v>167-901</v>
      </c>
      <c r="C684" s="2978" t="s">
        <v>6670</v>
      </c>
      <c r="D684" s="2639">
        <v>341069797</v>
      </c>
      <c r="E684" s="2639">
        <v>332026027</v>
      </c>
      <c r="F684" s="2639">
        <v>341069797</v>
      </c>
      <c r="G684" s="2639">
        <v>332026027</v>
      </c>
      <c r="H684" s="2639">
        <v>394876387</v>
      </c>
      <c r="I684" s="2639">
        <v>385832617</v>
      </c>
      <c r="J684" s="2639">
        <v>394876387</v>
      </c>
      <c r="K684" s="2639">
        <v>385832617</v>
      </c>
      <c r="L684" s="2639">
        <v>23593770</v>
      </c>
      <c r="M684" s="2639">
        <v>53806590</v>
      </c>
    </row>
    <row r="685" spans="1:13" ht="14.5">
      <c r="A685" s="2977" t="s">
        <v>10051</v>
      </c>
      <c r="B685" s="2113" t="str">
        <f t="shared" si="11"/>
        <v>167-902</v>
      </c>
      <c r="C685" s="2977" t="s">
        <v>6671</v>
      </c>
      <c r="D685" s="2637">
        <v>138596134</v>
      </c>
      <c r="E685" s="2637">
        <v>136381794</v>
      </c>
      <c r="F685" s="2637">
        <v>138596134</v>
      </c>
      <c r="G685" s="2637">
        <v>136381794</v>
      </c>
      <c r="H685" s="2637">
        <v>148477384</v>
      </c>
      <c r="I685" s="2637">
        <v>146263044</v>
      </c>
      <c r="J685" s="2637">
        <v>148477384</v>
      </c>
      <c r="K685" s="2637">
        <v>146263044</v>
      </c>
      <c r="L685" s="2637">
        <v>5949340</v>
      </c>
      <c r="M685" s="2637">
        <v>9881250</v>
      </c>
    </row>
    <row r="686" spans="1:13" ht="14.5">
      <c r="A686" s="2978" t="s">
        <v>10052</v>
      </c>
      <c r="B686" s="2113" t="str">
        <f t="shared" si="11"/>
        <v>167-904</v>
      </c>
      <c r="C686" s="2978" t="s">
        <v>6672</v>
      </c>
      <c r="D686" s="2639">
        <v>49264667</v>
      </c>
      <c r="E686" s="2639">
        <v>48133467</v>
      </c>
      <c r="F686" s="2639">
        <v>49264667</v>
      </c>
      <c r="G686" s="2639">
        <v>48133467</v>
      </c>
      <c r="H686" s="2639">
        <v>161049297</v>
      </c>
      <c r="I686" s="2639">
        <v>159918097</v>
      </c>
      <c r="J686" s="2639">
        <v>161049297</v>
      </c>
      <c r="K686" s="2639">
        <v>159918097</v>
      </c>
      <c r="L686" s="2639">
        <v>2931200</v>
      </c>
      <c r="M686" s="2639">
        <v>111784630</v>
      </c>
    </row>
    <row r="687" spans="1:13" ht="14.5">
      <c r="A687" s="2977" t="s">
        <v>10636</v>
      </c>
      <c r="B687" s="2113" t="str">
        <f t="shared" si="11"/>
        <v>168-901</v>
      </c>
      <c r="C687" s="2977" t="s">
        <v>6673</v>
      </c>
      <c r="D687" s="2637">
        <v>539072953</v>
      </c>
      <c r="E687" s="2637">
        <v>528891224</v>
      </c>
      <c r="F687" s="2637">
        <v>539072953</v>
      </c>
      <c r="G687" s="2637">
        <v>528891224</v>
      </c>
      <c r="H687" s="2637">
        <v>539072953</v>
      </c>
      <c r="I687" s="2637">
        <v>528891224</v>
      </c>
      <c r="J687" s="2637">
        <v>539072953</v>
      </c>
      <c r="K687" s="2637">
        <v>528891224</v>
      </c>
      <c r="L687" s="2637">
        <v>26936729</v>
      </c>
      <c r="M687" s="2637">
        <v>0</v>
      </c>
    </row>
    <row r="688" spans="1:13" ht="14.5">
      <c r="A688" s="2978" t="s">
        <v>10637</v>
      </c>
      <c r="B688" s="2113" t="str">
        <f t="shared" si="11"/>
        <v>168-902</v>
      </c>
      <c r="C688" s="2978" t="s">
        <v>6674</v>
      </c>
      <c r="D688" s="2639">
        <v>171466018</v>
      </c>
      <c r="E688" s="2639">
        <v>169548335</v>
      </c>
      <c r="F688" s="2639">
        <v>171466018</v>
      </c>
      <c r="G688" s="2639">
        <v>169548335</v>
      </c>
      <c r="H688" s="2639">
        <v>171466018</v>
      </c>
      <c r="I688" s="2639">
        <v>169548335</v>
      </c>
      <c r="J688" s="2639">
        <v>171466018</v>
      </c>
      <c r="K688" s="2639">
        <v>169548335</v>
      </c>
      <c r="L688" s="2639">
        <v>5367683</v>
      </c>
      <c r="M688" s="2639">
        <v>0</v>
      </c>
    </row>
    <row r="689" spans="1:13" ht="14.5">
      <c r="A689" s="2977" t="s">
        <v>10053</v>
      </c>
      <c r="B689" s="2113" t="str">
        <f t="shared" si="11"/>
        <v>168-903</v>
      </c>
      <c r="C689" s="2977" t="s">
        <v>6675</v>
      </c>
      <c r="D689" s="2637">
        <v>253205254</v>
      </c>
      <c r="E689" s="2637">
        <v>251100379</v>
      </c>
      <c r="F689" s="2637">
        <v>253205254</v>
      </c>
      <c r="G689" s="2637">
        <v>251100379</v>
      </c>
      <c r="H689" s="2637">
        <v>253205254</v>
      </c>
      <c r="I689" s="2637">
        <v>251100379</v>
      </c>
      <c r="J689" s="2637">
        <v>253205254</v>
      </c>
      <c r="K689" s="2637">
        <v>251100379</v>
      </c>
      <c r="L689" s="2637">
        <v>5704875</v>
      </c>
      <c r="M689" s="2637">
        <v>0</v>
      </c>
    </row>
    <row r="690" spans="1:13" ht="14.5">
      <c r="A690" s="2978" t="s">
        <v>10638</v>
      </c>
      <c r="B690" s="2113" t="str">
        <f t="shared" si="11"/>
        <v>169-901</v>
      </c>
      <c r="C690" s="2978" t="s">
        <v>6676</v>
      </c>
      <c r="D690" s="2639">
        <v>1061964825</v>
      </c>
      <c r="E690" s="2639">
        <v>1037843002</v>
      </c>
      <c r="F690" s="2639">
        <v>1061964825</v>
      </c>
      <c r="G690" s="2639">
        <v>1037843002</v>
      </c>
      <c r="H690" s="2639">
        <v>1061964825</v>
      </c>
      <c r="I690" s="2639">
        <v>1037843002</v>
      </c>
      <c r="J690" s="2639">
        <v>1061964825</v>
      </c>
      <c r="K690" s="2639">
        <v>1037843002</v>
      </c>
      <c r="L690" s="2639">
        <v>66451823</v>
      </c>
      <c r="M690" s="2639">
        <v>0</v>
      </c>
    </row>
    <row r="691" spans="1:13" ht="14.5">
      <c r="A691" s="2977" t="s">
        <v>10054</v>
      </c>
      <c r="B691" s="2113" t="str">
        <f t="shared" si="11"/>
        <v>169-902</v>
      </c>
      <c r="C691" s="2977" t="s">
        <v>6677</v>
      </c>
      <c r="D691" s="2637">
        <v>315280082</v>
      </c>
      <c r="E691" s="2637">
        <v>305422962</v>
      </c>
      <c r="F691" s="2637">
        <v>315280082</v>
      </c>
      <c r="G691" s="2637">
        <v>305422962</v>
      </c>
      <c r="H691" s="2637">
        <v>315280082</v>
      </c>
      <c r="I691" s="2637">
        <v>305422962</v>
      </c>
      <c r="J691" s="2637">
        <v>315280082</v>
      </c>
      <c r="K691" s="2637">
        <v>305422962</v>
      </c>
      <c r="L691" s="2637">
        <v>27692120</v>
      </c>
      <c r="M691" s="2637">
        <v>0</v>
      </c>
    </row>
    <row r="692" spans="1:13" ht="14.5">
      <c r="A692" s="2978" t="s">
        <v>10055</v>
      </c>
      <c r="B692" s="2113" t="str">
        <f t="shared" si="11"/>
        <v>169-906</v>
      </c>
      <c r="C692" s="2978" t="s">
        <v>6678</v>
      </c>
      <c r="D692" s="2639">
        <v>146187012</v>
      </c>
      <c r="E692" s="2639">
        <v>144513222</v>
      </c>
      <c r="F692" s="2639">
        <v>146187012</v>
      </c>
      <c r="G692" s="2639">
        <v>144513222</v>
      </c>
      <c r="H692" s="2639">
        <v>146187012</v>
      </c>
      <c r="I692" s="2639">
        <v>144513222</v>
      </c>
      <c r="J692" s="2639">
        <v>146187012</v>
      </c>
      <c r="K692" s="2639">
        <v>144513222</v>
      </c>
      <c r="L692" s="2639">
        <v>5123790</v>
      </c>
      <c r="M692" s="2639">
        <v>0</v>
      </c>
    </row>
    <row r="693" spans="1:13" ht="14.5">
      <c r="A693" s="2977" t="s">
        <v>10056</v>
      </c>
      <c r="B693" s="2113" t="str">
        <f t="shared" si="11"/>
        <v>169-908</v>
      </c>
      <c r="C693" s="2977" t="s">
        <v>6679</v>
      </c>
      <c r="D693" s="2637">
        <v>42428136</v>
      </c>
      <c r="E693" s="2637">
        <v>40890916</v>
      </c>
      <c r="F693" s="2637">
        <v>42428136</v>
      </c>
      <c r="G693" s="2637">
        <v>40890916</v>
      </c>
      <c r="H693" s="2637">
        <v>42428136</v>
      </c>
      <c r="I693" s="2637">
        <v>40890916</v>
      </c>
      <c r="J693" s="2637">
        <v>42428136</v>
      </c>
      <c r="K693" s="2637">
        <v>40890916</v>
      </c>
      <c r="L693" s="2637">
        <v>4102220</v>
      </c>
      <c r="M693" s="2637">
        <v>0</v>
      </c>
    </row>
    <row r="694" spans="1:13" ht="14.5">
      <c r="A694" s="2978" t="s">
        <v>10057</v>
      </c>
      <c r="B694" s="2113" t="str">
        <f t="shared" si="11"/>
        <v>169-909</v>
      </c>
      <c r="C694" s="2978" t="s">
        <v>6680</v>
      </c>
      <c r="D694" s="2639">
        <v>96318752</v>
      </c>
      <c r="E694" s="2639">
        <v>94761534</v>
      </c>
      <c r="F694" s="2639">
        <v>96318752</v>
      </c>
      <c r="G694" s="2639">
        <v>94761534</v>
      </c>
      <c r="H694" s="2639">
        <v>96318752</v>
      </c>
      <c r="I694" s="2639">
        <v>94761534</v>
      </c>
      <c r="J694" s="2639">
        <v>96318752</v>
      </c>
      <c r="K694" s="2639">
        <v>94761534</v>
      </c>
      <c r="L694" s="2639">
        <v>5262218</v>
      </c>
      <c r="M694" s="2639">
        <v>0</v>
      </c>
    </row>
    <row r="695" spans="1:13" ht="14.5">
      <c r="A695" s="2977" t="s">
        <v>10058</v>
      </c>
      <c r="B695" s="2113" t="str">
        <f t="shared" si="11"/>
        <v>169-910</v>
      </c>
      <c r="C695" s="2977" t="s">
        <v>6681</v>
      </c>
      <c r="D695" s="2637">
        <v>192002928</v>
      </c>
      <c r="E695" s="2637">
        <v>189285085</v>
      </c>
      <c r="F695" s="2637">
        <v>192002928</v>
      </c>
      <c r="G695" s="2637">
        <v>189285085</v>
      </c>
      <c r="H695" s="2637">
        <v>192002928</v>
      </c>
      <c r="I695" s="2637">
        <v>189285085</v>
      </c>
      <c r="J695" s="2637">
        <v>192002928</v>
      </c>
      <c r="K695" s="2637">
        <v>189285085</v>
      </c>
      <c r="L695" s="2637">
        <v>7502843</v>
      </c>
      <c r="M695" s="2637">
        <v>0</v>
      </c>
    </row>
    <row r="696" spans="1:13" ht="14.5">
      <c r="A696" s="2978" t="s">
        <v>10059</v>
      </c>
      <c r="B696" s="2113" t="str">
        <f t="shared" si="11"/>
        <v>169-911</v>
      </c>
      <c r="C696" s="2978" t="s">
        <v>6682</v>
      </c>
      <c r="D696" s="2639">
        <v>207534584</v>
      </c>
      <c r="E696" s="2639">
        <v>203753720</v>
      </c>
      <c r="F696" s="2639">
        <v>207534584</v>
      </c>
      <c r="G696" s="2639">
        <v>203753720</v>
      </c>
      <c r="H696" s="2639">
        <v>207534584</v>
      </c>
      <c r="I696" s="2639">
        <v>203753720</v>
      </c>
      <c r="J696" s="2639">
        <v>207534584</v>
      </c>
      <c r="K696" s="2639">
        <v>203753720</v>
      </c>
      <c r="L696" s="2639">
        <v>10200864</v>
      </c>
      <c r="M696" s="2639">
        <v>0</v>
      </c>
    </row>
    <row r="697" spans="1:13" ht="14.5">
      <c r="A697" s="2977" t="s">
        <v>10060</v>
      </c>
      <c r="B697" s="2113" t="str">
        <f t="shared" si="11"/>
        <v>170-902</v>
      </c>
      <c r="C697" s="2977" t="s">
        <v>6683</v>
      </c>
      <c r="D697" s="2637">
        <v>43228231271</v>
      </c>
      <c r="E697" s="2637">
        <v>42513716676</v>
      </c>
      <c r="F697" s="2637">
        <v>43228231271</v>
      </c>
      <c r="G697" s="2637">
        <v>42513716676</v>
      </c>
      <c r="H697" s="2637">
        <v>43228231271</v>
      </c>
      <c r="I697" s="2637">
        <v>42513716676</v>
      </c>
      <c r="J697" s="2637">
        <v>43228231271</v>
      </c>
      <c r="K697" s="2637">
        <v>42513716676</v>
      </c>
      <c r="L697" s="2637">
        <v>1852729595</v>
      </c>
      <c r="M697" s="2637">
        <v>0</v>
      </c>
    </row>
    <row r="698" spans="1:13" ht="14.5">
      <c r="A698" s="2978" t="s">
        <v>10061</v>
      </c>
      <c r="B698" s="2113" t="str">
        <f t="shared" si="11"/>
        <v>170-903</v>
      </c>
      <c r="C698" s="2978" t="s">
        <v>6684</v>
      </c>
      <c r="D698" s="2639">
        <v>7421077134</v>
      </c>
      <c r="E698" s="2639">
        <v>7279561506</v>
      </c>
      <c r="F698" s="2639">
        <v>7421077134</v>
      </c>
      <c r="G698" s="2639">
        <v>7279561506</v>
      </c>
      <c r="H698" s="2639">
        <v>7421077134</v>
      </c>
      <c r="I698" s="2639">
        <v>7279561506</v>
      </c>
      <c r="J698" s="2639">
        <v>7421077134</v>
      </c>
      <c r="K698" s="2639">
        <v>7279561506</v>
      </c>
      <c r="L698" s="2639">
        <v>364265628</v>
      </c>
      <c r="M698" s="2639">
        <v>0</v>
      </c>
    </row>
    <row r="699" spans="1:13" ht="14.5">
      <c r="A699" s="2977" t="s">
        <v>10062</v>
      </c>
      <c r="B699" s="2113" t="str">
        <f t="shared" si="11"/>
        <v>170-904</v>
      </c>
      <c r="C699" s="2977" t="s">
        <v>6685</v>
      </c>
      <c r="D699" s="2637">
        <v>5044020441</v>
      </c>
      <c r="E699" s="2637">
        <v>4934856313</v>
      </c>
      <c r="F699" s="2637">
        <v>5044020441</v>
      </c>
      <c r="G699" s="2637">
        <v>4934856313</v>
      </c>
      <c r="H699" s="2637">
        <v>5044020441</v>
      </c>
      <c r="I699" s="2637">
        <v>4934856313</v>
      </c>
      <c r="J699" s="2637">
        <v>5044020441</v>
      </c>
      <c r="K699" s="2637">
        <v>4934856313</v>
      </c>
      <c r="L699" s="2637">
        <v>289014128</v>
      </c>
      <c r="M699" s="2637">
        <v>0</v>
      </c>
    </row>
    <row r="700" spans="1:13" ht="14.5">
      <c r="A700" s="2978" t="s">
        <v>10063</v>
      </c>
      <c r="B700" s="2113" t="str">
        <f t="shared" si="11"/>
        <v>170-906</v>
      </c>
      <c r="C700" s="2978" t="s">
        <v>6686</v>
      </c>
      <c r="D700" s="2639">
        <v>8436175876</v>
      </c>
      <c r="E700" s="2639">
        <v>8277952939</v>
      </c>
      <c r="F700" s="2639">
        <v>8436175876</v>
      </c>
      <c r="G700" s="2639">
        <v>8277952939</v>
      </c>
      <c r="H700" s="2639">
        <v>8436175876</v>
      </c>
      <c r="I700" s="2639">
        <v>8277952939</v>
      </c>
      <c r="J700" s="2639">
        <v>8436175876</v>
      </c>
      <c r="K700" s="2639">
        <v>8277952939</v>
      </c>
      <c r="L700" s="2639">
        <v>419477937</v>
      </c>
      <c r="M700" s="2639">
        <v>0</v>
      </c>
    </row>
    <row r="701" spans="1:13" ht="14.5">
      <c r="A701" s="2977" t="s">
        <v>10064</v>
      </c>
      <c r="B701" s="2113" t="str">
        <f t="shared" si="11"/>
        <v>170-907</v>
      </c>
      <c r="C701" s="2977" t="s">
        <v>6687</v>
      </c>
      <c r="D701" s="2637">
        <v>1130609223</v>
      </c>
      <c r="E701" s="2637">
        <v>1097540274</v>
      </c>
      <c r="F701" s="2637">
        <v>1130609223</v>
      </c>
      <c r="G701" s="2637">
        <v>1097540274</v>
      </c>
      <c r="H701" s="2637">
        <v>1130609223</v>
      </c>
      <c r="I701" s="2637">
        <v>1097540274</v>
      </c>
      <c r="J701" s="2637">
        <v>1130609223</v>
      </c>
      <c r="K701" s="2637">
        <v>1097540274</v>
      </c>
      <c r="L701" s="2637">
        <v>92573949</v>
      </c>
      <c r="M701" s="2637">
        <v>0</v>
      </c>
    </row>
    <row r="702" spans="1:13" ht="14.5">
      <c r="A702" s="2978" t="s">
        <v>10065</v>
      </c>
      <c r="B702" s="2113" t="str">
        <f t="shared" si="11"/>
        <v>170-908</v>
      </c>
      <c r="C702" s="2978" t="s">
        <v>6688</v>
      </c>
      <c r="D702" s="2639">
        <v>6033382837</v>
      </c>
      <c r="E702" s="2639">
        <v>5903702157</v>
      </c>
      <c r="F702" s="2639">
        <v>6033382837</v>
      </c>
      <c r="G702" s="2639">
        <v>5903702157</v>
      </c>
      <c r="H702" s="2639">
        <v>6033382837</v>
      </c>
      <c r="I702" s="2639">
        <v>5903702157</v>
      </c>
      <c r="J702" s="2639">
        <v>6033382837</v>
      </c>
      <c r="K702" s="2639">
        <v>5903702157</v>
      </c>
      <c r="L702" s="2639">
        <v>356645680</v>
      </c>
      <c r="M702" s="2639">
        <v>0</v>
      </c>
    </row>
    <row r="703" spans="1:13" ht="14.5">
      <c r="A703" s="2977" t="s">
        <v>10066</v>
      </c>
      <c r="B703" s="2113" t="str">
        <f t="shared" si="11"/>
        <v>171-901</v>
      </c>
      <c r="C703" s="2977" t="s">
        <v>6689</v>
      </c>
      <c r="D703" s="2637">
        <v>1995011517</v>
      </c>
      <c r="E703" s="2637">
        <v>1966162748</v>
      </c>
      <c r="F703" s="2637">
        <v>1982569028</v>
      </c>
      <c r="G703" s="2637">
        <v>1953720259</v>
      </c>
      <c r="H703" s="2637">
        <v>1995011517</v>
      </c>
      <c r="I703" s="2637">
        <v>1966162748</v>
      </c>
      <c r="J703" s="2637">
        <v>1982569028</v>
      </c>
      <c r="K703" s="2637">
        <v>1953720259</v>
      </c>
      <c r="L703" s="2637">
        <v>83298769</v>
      </c>
      <c r="M703" s="2637">
        <v>0</v>
      </c>
    </row>
    <row r="704" spans="1:13" ht="14.5">
      <c r="A704" s="2978" t="s">
        <v>10067</v>
      </c>
      <c r="B704" s="2113" t="str">
        <f t="shared" si="11"/>
        <v>171-902</v>
      </c>
      <c r="C704" s="2978" t="s">
        <v>6690</v>
      </c>
      <c r="D704" s="2639">
        <v>279749760</v>
      </c>
      <c r="E704" s="2639">
        <v>276192248</v>
      </c>
      <c r="F704" s="2639">
        <v>279749760</v>
      </c>
      <c r="G704" s="2639">
        <v>276192248</v>
      </c>
      <c r="H704" s="2639">
        <v>279749760</v>
      </c>
      <c r="I704" s="2639">
        <v>276192248</v>
      </c>
      <c r="J704" s="2639">
        <v>279749760</v>
      </c>
      <c r="K704" s="2639">
        <v>276192248</v>
      </c>
      <c r="L704" s="2639">
        <v>9752512</v>
      </c>
      <c r="M704" s="2639">
        <v>0</v>
      </c>
    </row>
    <row r="705" spans="1:13" ht="14.5">
      <c r="A705" s="2977" t="s">
        <v>10068</v>
      </c>
      <c r="B705" s="2113" t="str">
        <f t="shared" si="11"/>
        <v>172-902</v>
      </c>
      <c r="C705" s="2977" t="s">
        <v>8433</v>
      </c>
      <c r="D705" s="2637">
        <v>710011828</v>
      </c>
      <c r="E705" s="2637">
        <v>690758928</v>
      </c>
      <c r="F705" s="2637">
        <v>710011828</v>
      </c>
      <c r="G705" s="2637">
        <v>690758928</v>
      </c>
      <c r="H705" s="2637">
        <v>710011828</v>
      </c>
      <c r="I705" s="2637">
        <v>690758928</v>
      </c>
      <c r="J705" s="2637">
        <v>710011828</v>
      </c>
      <c r="K705" s="2637">
        <v>690758928</v>
      </c>
      <c r="L705" s="2637">
        <v>51487900</v>
      </c>
      <c r="M705" s="2637">
        <v>0</v>
      </c>
    </row>
    <row r="706" spans="1:13" ht="14.5">
      <c r="A706" s="2978" t="s">
        <v>10069</v>
      </c>
      <c r="B706" s="2113" t="str">
        <f t="shared" si="11"/>
        <v>172-905</v>
      </c>
      <c r="C706" s="2978" t="s">
        <v>6691</v>
      </c>
      <c r="D706" s="2639">
        <v>340480194</v>
      </c>
      <c r="E706" s="2639">
        <v>326606859</v>
      </c>
      <c r="F706" s="2639">
        <v>340480194</v>
      </c>
      <c r="G706" s="2639">
        <v>326606859</v>
      </c>
      <c r="H706" s="2639">
        <v>340480194</v>
      </c>
      <c r="I706" s="2639">
        <v>326606859</v>
      </c>
      <c r="J706" s="2639">
        <v>340480194</v>
      </c>
      <c r="K706" s="2639">
        <v>326606859</v>
      </c>
      <c r="L706" s="2639">
        <v>36223335</v>
      </c>
      <c r="M706" s="2639">
        <v>0</v>
      </c>
    </row>
    <row r="707" spans="1:13" ht="14.5">
      <c r="A707" s="2977" t="s">
        <v>10070</v>
      </c>
      <c r="B707" s="2113" t="str">
        <f t="shared" si="11"/>
        <v>173-901</v>
      </c>
      <c r="C707" s="2977" t="s">
        <v>6692</v>
      </c>
      <c r="D707" s="2637">
        <v>120497609</v>
      </c>
      <c r="E707" s="2637">
        <v>117922979</v>
      </c>
      <c r="F707" s="2637">
        <v>120497609</v>
      </c>
      <c r="G707" s="2637">
        <v>117922979</v>
      </c>
      <c r="H707" s="2637">
        <v>120497609</v>
      </c>
      <c r="I707" s="2637">
        <v>117922979</v>
      </c>
      <c r="J707" s="2637">
        <v>120497609</v>
      </c>
      <c r="K707" s="2637">
        <v>117922979</v>
      </c>
      <c r="L707" s="2637">
        <v>7914630</v>
      </c>
      <c r="M707" s="2637">
        <v>0</v>
      </c>
    </row>
    <row r="708" spans="1:13" ht="14.5">
      <c r="A708" s="2978" t="s">
        <v>10071</v>
      </c>
      <c r="B708" s="2113" t="str">
        <f t="shared" si="11"/>
        <v>174-901</v>
      </c>
      <c r="C708" s="2978" t="s">
        <v>6693</v>
      </c>
      <c r="D708" s="2639">
        <v>251604436</v>
      </c>
      <c r="E708" s="2639">
        <v>247777486</v>
      </c>
      <c r="F708" s="2639">
        <v>247667476</v>
      </c>
      <c r="G708" s="2639">
        <v>243840526</v>
      </c>
      <c r="H708" s="2639">
        <v>251604436</v>
      </c>
      <c r="I708" s="2639">
        <v>247777486</v>
      </c>
      <c r="J708" s="2639">
        <v>247667476</v>
      </c>
      <c r="K708" s="2639">
        <v>243840526</v>
      </c>
      <c r="L708" s="2639">
        <v>11146950</v>
      </c>
      <c r="M708" s="2639">
        <v>0</v>
      </c>
    </row>
    <row r="709" spans="1:13" ht="14.5">
      <c r="A709" s="2977" t="s">
        <v>10639</v>
      </c>
      <c r="B709" s="2113" t="str">
        <f t="shared" si="11"/>
        <v>174-902</v>
      </c>
      <c r="C709" s="2977" t="s">
        <v>6694</v>
      </c>
      <c r="D709" s="2637">
        <v>194908676</v>
      </c>
      <c r="E709" s="2637">
        <v>187535626</v>
      </c>
      <c r="F709" s="2637">
        <v>186914471</v>
      </c>
      <c r="G709" s="2637">
        <v>179541421</v>
      </c>
      <c r="H709" s="2637">
        <v>194908676</v>
      </c>
      <c r="I709" s="2637">
        <v>187535626</v>
      </c>
      <c r="J709" s="2637">
        <v>186914471</v>
      </c>
      <c r="K709" s="2637">
        <v>179541421</v>
      </c>
      <c r="L709" s="2637">
        <v>21923050</v>
      </c>
      <c r="M709" s="2637">
        <v>0</v>
      </c>
    </row>
    <row r="710" spans="1:13" ht="14.5">
      <c r="A710" s="2978" t="s">
        <v>10072</v>
      </c>
      <c r="B710" s="2113" t="str">
        <f t="shared" ref="B710:B773" si="12">CONCATENATE(RIGHT(LEFT(CONCATENATE("000",A710),6),3),"-",(LEFT(RIGHT(CONCATENATE("000",A710),6),3)))</f>
        <v>174-903</v>
      </c>
      <c r="C710" s="2978" t="s">
        <v>6695</v>
      </c>
      <c r="D710" s="2639">
        <v>163891376</v>
      </c>
      <c r="E710" s="2639">
        <v>157641956</v>
      </c>
      <c r="F710" s="2639">
        <v>155850626</v>
      </c>
      <c r="G710" s="2639">
        <v>149601206</v>
      </c>
      <c r="H710" s="2639">
        <v>163891376</v>
      </c>
      <c r="I710" s="2639">
        <v>157641956</v>
      </c>
      <c r="J710" s="2639">
        <v>155850626</v>
      </c>
      <c r="K710" s="2639">
        <v>149601206</v>
      </c>
      <c r="L710" s="2639">
        <v>18519420</v>
      </c>
      <c r="M710" s="2639">
        <v>0</v>
      </c>
    </row>
    <row r="711" spans="1:13" ht="14.5">
      <c r="A711" s="2977" t="s">
        <v>10640</v>
      </c>
      <c r="B711" s="2113" t="str">
        <f t="shared" si="12"/>
        <v>174-904</v>
      </c>
      <c r="C711" s="2977" t="s">
        <v>6696</v>
      </c>
      <c r="D711" s="2637">
        <v>2503826270</v>
      </c>
      <c r="E711" s="2637">
        <v>2431621080</v>
      </c>
      <c r="F711" s="2637">
        <v>2386790660</v>
      </c>
      <c r="G711" s="2637">
        <v>2314585470</v>
      </c>
      <c r="H711" s="2637">
        <v>2503826270</v>
      </c>
      <c r="I711" s="2637">
        <v>2431621080</v>
      </c>
      <c r="J711" s="2637">
        <v>2386790660</v>
      </c>
      <c r="K711" s="2637">
        <v>2314585470</v>
      </c>
      <c r="L711" s="2637">
        <v>199675190</v>
      </c>
      <c r="M711" s="2637">
        <v>0</v>
      </c>
    </row>
    <row r="712" spans="1:13" ht="14.5">
      <c r="A712" s="2978" t="s">
        <v>10073</v>
      </c>
      <c r="B712" s="2113" t="str">
        <f t="shared" si="12"/>
        <v>174-906</v>
      </c>
      <c r="C712" s="2978" t="s">
        <v>6697</v>
      </c>
      <c r="D712" s="2639">
        <v>236221936</v>
      </c>
      <c r="E712" s="2639">
        <v>229711266</v>
      </c>
      <c r="F712" s="2639">
        <v>228574421</v>
      </c>
      <c r="G712" s="2639">
        <v>222063751</v>
      </c>
      <c r="H712" s="2639">
        <v>236221936</v>
      </c>
      <c r="I712" s="2639">
        <v>229711266</v>
      </c>
      <c r="J712" s="2639">
        <v>228574421</v>
      </c>
      <c r="K712" s="2639">
        <v>222063751</v>
      </c>
      <c r="L712" s="2639">
        <v>19065670</v>
      </c>
      <c r="M712" s="2639">
        <v>0</v>
      </c>
    </row>
    <row r="713" spans="1:13" ht="14.5">
      <c r="A713" s="2977" t="s">
        <v>10074</v>
      </c>
      <c r="B713" s="2113" t="str">
        <f t="shared" si="12"/>
        <v>174-908</v>
      </c>
      <c r="C713" s="2977" t="s">
        <v>6698</v>
      </c>
      <c r="D713" s="2637">
        <v>173386794</v>
      </c>
      <c r="E713" s="2637">
        <v>165158164</v>
      </c>
      <c r="F713" s="2637">
        <v>160596034</v>
      </c>
      <c r="G713" s="2637">
        <v>152367404</v>
      </c>
      <c r="H713" s="2637">
        <v>173386794</v>
      </c>
      <c r="I713" s="2637">
        <v>165158164</v>
      </c>
      <c r="J713" s="2637">
        <v>160596034</v>
      </c>
      <c r="K713" s="2637">
        <v>152367404</v>
      </c>
      <c r="L713" s="2637">
        <v>23408630</v>
      </c>
      <c r="M713" s="2637">
        <v>0</v>
      </c>
    </row>
    <row r="714" spans="1:13" ht="14.5">
      <c r="A714" s="2978" t="s">
        <v>10075</v>
      </c>
      <c r="B714" s="2113" t="str">
        <f t="shared" si="12"/>
        <v>174-909</v>
      </c>
      <c r="C714" s="2978" t="s">
        <v>6699</v>
      </c>
      <c r="D714" s="2639">
        <v>94220400</v>
      </c>
      <c r="E714" s="2639">
        <v>90846920</v>
      </c>
      <c r="F714" s="2639">
        <v>89874880</v>
      </c>
      <c r="G714" s="2639">
        <v>86501400</v>
      </c>
      <c r="H714" s="2639">
        <v>94220400</v>
      </c>
      <c r="I714" s="2639">
        <v>90846920</v>
      </c>
      <c r="J714" s="2639">
        <v>89874880</v>
      </c>
      <c r="K714" s="2639">
        <v>86501400</v>
      </c>
      <c r="L714" s="2639">
        <v>9448480</v>
      </c>
      <c r="M714" s="2639">
        <v>0</v>
      </c>
    </row>
    <row r="715" spans="1:13" ht="14.5">
      <c r="A715" s="2977" t="s">
        <v>10076</v>
      </c>
      <c r="B715" s="2113" t="str">
        <f t="shared" si="12"/>
        <v>174-910</v>
      </c>
      <c r="C715" s="2977" t="s">
        <v>6700</v>
      </c>
      <c r="D715" s="2637">
        <v>81656883</v>
      </c>
      <c r="E715" s="2637">
        <v>77721823</v>
      </c>
      <c r="F715" s="2637">
        <v>77270528</v>
      </c>
      <c r="G715" s="2637">
        <v>73335468</v>
      </c>
      <c r="H715" s="2637">
        <v>81656883</v>
      </c>
      <c r="I715" s="2637">
        <v>77721823</v>
      </c>
      <c r="J715" s="2637">
        <v>77270528</v>
      </c>
      <c r="K715" s="2637">
        <v>73335468</v>
      </c>
      <c r="L715" s="2637">
        <v>11435060</v>
      </c>
      <c r="M715" s="2637">
        <v>0</v>
      </c>
    </row>
    <row r="716" spans="1:13" ht="14.5">
      <c r="A716" s="2978" t="s">
        <v>10077</v>
      </c>
      <c r="B716" s="2113" t="str">
        <f t="shared" si="12"/>
        <v>174-911</v>
      </c>
      <c r="C716" s="2978" t="s">
        <v>6701</v>
      </c>
      <c r="D716" s="2639">
        <v>191583554</v>
      </c>
      <c r="E716" s="2639">
        <v>185602734</v>
      </c>
      <c r="F716" s="2639">
        <v>180391709</v>
      </c>
      <c r="G716" s="2639">
        <v>174410889</v>
      </c>
      <c r="H716" s="2639">
        <v>191583554</v>
      </c>
      <c r="I716" s="2639">
        <v>185602734</v>
      </c>
      <c r="J716" s="2639">
        <v>180391709</v>
      </c>
      <c r="K716" s="2639">
        <v>174410889</v>
      </c>
      <c r="L716" s="2639">
        <v>16570820</v>
      </c>
      <c r="M716" s="2639">
        <v>0</v>
      </c>
    </row>
    <row r="717" spans="1:13" ht="14.5">
      <c r="A717" s="2977" t="s">
        <v>10078</v>
      </c>
      <c r="B717" s="2113" t="str">
        <f t="shared" si="12"/>
        <v>175-902</v>
      </c>
      <c r="C717" s="2977" t="s">
        <v>6702</v>
      </c>
      <c r="D717" s="2637">
        <v>300735672</v>
      </c>
      <c r="E717" s="2637">
        <v>291544758</v>
      </c>
      <c r="F717" s="2637">
        <v>300735672</v>
      </c>
      <c r="G717" s="2637">
        <v>291544758</v>
      </c>
      <c r="H717" s="2637">
        <v>300735672</v>
      </c>
      <c r="I717" s="2637">
        <v>291544758</v>
      </c>
      <c r="J717" s="2637">
        <v>300735672</v>
      </c>
      <c r="K717" s="2637">
        <v>291544758</v>
      </c>
      <c r="L717" s="2637">
        <v>26590914</v>
      </c>
      <c r="M717" s="2637">
        <v>0</v>
      </c>
    </row>
    <row r="718" spans="1:13" ht="14.5">
      <c r="A718" s="2978" t="s">
        <v>10079</v>
      </c>
      <c r="B718" s="2113" t="str">
        <f t="shared" si="12"/>
        <v>175-903</v>
      </c>
      <c r="C718" s="2978" t="s">
        <v>6703</v>
      </c>
      <c r="D718" s="2639">
        <v>2245477261</v>
      </c>
      <c r="E718" s="2639">
        <v>2194262105</v>
      </c>
      <c r="F718" s="2639">
        <v>2245477261</v>
      </c>
      <c r="G718" s="2639">
        <v>2194262105</v>
      </c>
      <c r="H718" s="2639">
        <v>2245477261</v>
      </c>
      <c r="I718" s="2639">
        <v>2194262105</v>
      </c>
      <c r="J718" s="2639">
        <v>2245477261</v>
      </c>
      <c r="K718" s="2639">
        <v>2194262105</v>
      </c>
      <c r="L718" s="2639">
        <v>132965156</v>
      </c>
      <c r="M718" s="2639">
        <v>0</v>
      </c>
    </row>
    <row r="719" spans="1:13" ht="14.5">
      <c r="A719" s="2977" t="s">
        <v>10080</v>
      </c>
      <c r="B719" s="2113" t="str">
        <f t="shared" si="12"/>
        <v>175-904</v>
      </c>
      <c r="C719" s="2977" t="s">
        <v>6220</v>
      </c>
      <c r="D719" s="2637">
        <v>219937636</v>
      </c>
      <c r="E719" s="2637">
        <v>213981935</v>
      </c>
      <c r="F719" s="2637">
        <v>219937636</v>
      </c>
      <c r="G719" s="2637">
        <v>213981935</v>
      </c>
      <c r="H719" s="2637">
        <v>219937636</v>
      </c>
      <c r="I719" s="2637">
        <v>213981935</v>
      </c>
      <c r="J719" s="2637">
        <v>219937636</v>
      </c>
      <c r="K719" s="2637">
        <v>213981935</v>
      </c>
      <c r="L719" s="2637">
        <v>16920701</v>
      </c>
      <c r="M719" s="2637">
        <v>0</v>
      </c>
    </row>
    <row r="720" spans="1:13" ht="14.5">
      <c r="A720" s="2978" t="s">
        <v>10081</v>
      </c>
      <c r="B720" s="2113" t="str">
        <f t="shared" si="12"/>
        <v>175-905</v>
      </c>
      <c r="C720" s="2978" t="s">
        <v>6704</v>
      </c>
      <c r="D720" s="2639">
        <v>208445400</v>
      </c>
      <c r="E720" s="2639">
        <v>205081028</v>
      </c>
      <c r="F720" s="2639">
        <v>208445400</v>
      </c>
      <c r="G720" s="2639">
        <v>205081028</v>
      </c>
      <c r="H720" s="2639">
        <v>208445400</v>
      </c>
      <c r="I720" s="2639">
        <v>205081028</v>
      </c>
      <c r="J720" s="2639">
        <v>208445400</v>
      </c>
      <c r="K720" s="2639">
        <v>205081028</v>
      </c>
      <c r="L720" s="2639">
        <v>10159372</v>
      </c>
      <c r="M720" s="2639">
        <v>0</v>
      </c>
    </row>
    <row r="721" spans="1:13" ht="14.5">
      <c r="A721" s="2977" t="s">
        <v>10082</v>
      </c>
      <c r="B721" s="2113" t="str">
        <f t="shared" si="12"/>
        <v>175-907</v>
      </c>
      <c r="C721" s="2977" t="s">
        <v>6705</v>
      </c>
      <c r="D721" s="2637">
        <v>409869595</v>
      </c>
      <c r="E721" s="2637">
        <v>402003350</v>
      </c>
      <c r="F721" s="2637">
        <v>409869595</v>
      </c>
      <c r="G721" s="2637">
        <v>402003350</v>
      </c>
      <c r="H721" s="2637">
        <v>409869595</v>
      </c>
      <c r="I721" s="2637">
        <v>402003350</v>
      </c>
      <c r="J721" s="2637">
        <v>409869595</v>
      </c>
      <c r="K721" s="2637">
        <v>402003350</v>
      </c>
      <c r="L721" s="2637">
        <v>21951245</v>
      </c>
      <c r="M721" s="2637">
        <v>0</v>
      </c>
    </row>
    <row r="722" spans="1:13" ht="14.5">
      <c r="A722" s="2978" t="s">
        <v>10083</v>
      </c>
      <c r="B722" s="2113" t="str">
        <f t="shared" si="12"/>
        <v>175-910</v>
      </c>
      <c r="C722" s="2978" t="s">
        <v>6706</v>
      </c>
      <c r="D722" s="2639">
        <v>575663661</v>
      </c>
      <c r="E722" s="2639">
        <v>566741941</v>
      </c>
      <c r="F722" s="2639">
        <v>575663661</v>
      </c>
      <c r="G722" s="2639">
        <v>566741941</v>
      </c>
      <c r="H722" s="2639">
        <v>575663661</v>
      </c>
      <c r="I722" s="2639">
        <v>566741941</v>
      </c>
      <c r="J722" s="2639">
        <v>575663661</v>
      </c>
      <c r="K722" s="2639">
        <v>566741941</v>
      </c>
      <c r="L722" s="2639">
        <v>25121720</v>
      </c>
      <c r="M722" s="2639">
        <v>0</v>
      </c>
    </row>
    <row r="723" spans="1:13" ht="14.5">
      <c r="A723" s="2977" t="s">
        <v>10084</v>
      </c>
      <c r="B723" s="2113" t="str">
        <f t="shared" si="12"/>
        <v>175-911</v>
      </c>
      <c r="C723" s="2977" t="s">
        <v>6707</v>
      </c>
      <c r="D723" s="2637">
        <v>199284758</v>
      </c>
      <c r="E723" s="2637">
        <v>194561723</v>
      </c>
      <c r="F723" s="2637">
        <v>199284758</v>
      </c>
      <c r="G723" s="2637">
        <v>194561723</v>
      </c>
      <c r="H723" s="2637">
        <v>199284758</v>
      </c>
      <c r="I723" s="2637">
        <v>194561723</v>
      </c>
      <c r="J723" s="2637">
        <v>199284758</v>
      </c>
      <c r="K723" s="2637">
        <v>194561723</v>
      </c>
      <c r="L723" s="2637">
        <v>14293035</v>
      </c>
      <c r="M723" s="2637">
        <v>0</v>
      </c>
    </row>
    <row r="724" spans="1:13" ht="14.5">
      <c r="A724" s="2978" t="s">
        <v>10085</v>
      </c>
      <c r="B724" s="2113" t="str">
        <f t="shared" si="12"/>
        <v>176-901</v>
      </c>
      <c r="C724" s="2978" t="s">
        <v>6708</v>
      </c>
      <c r="D724" s="2639">
        <v>263161420</v>
      </c>
      <c r="E724" s="2639">
        <v>257936310</v>
      </c>
      <c r="F724" s="2639">
        <v>255388378</v>
      </c>
      <c r="G724" s="2639">
        <v>250163268</v>
      </c>
      <c r="H724" s="2639">
        <v>263161420</v>
      </c>
      <c r="I724" s="2639">
        <v>257936310</v>
      </c>
      <c r="J724" s="2639">
        <v>255388378</v>
      </c>
      <c r="K724" s="2639">
        <v>250163268</v>
      </c>
      <c r="L724" s="2639">
        <v>16145110</v>
      </c>
      <c r="M724" s="2639">
        <v>0</v>
      </c>
    </row>
    <row r="725" spans="1:13" ht="14.5">
      <c r="A725" s="2977" t="s">
        <v>10086</v>
      </c>
      <c r="B725" s="2113" t="str">
        <f t="shared" si="12"/>
        <v>176-902</v>
      </c>
      <c r="C725" s="2977" t="s">
        <v>6709</v>
      </c>
      <c r="D725" s="2637">
        <v>330302710</v>
      </c>
      <c r="E725" s="2637">
        <v>317851816</v>
      </c>
      <c r="F725" s="2637">
        <v>316306587</v>
      </c>
      <c r="G725" s="2637">
        <v>303855693</v>
      </c>
      <c r="H725" s="2637">
        <v>330302710</v>
      </c>
      <c r="I725" s="2637">
        <v>317851816</v>
      </c>
      <c r="J725" s="2637">
        <v>316306587</v>
      </c>
      <c r="K725" s="2637">
        <v>303855693</v>
      </c>
      <c r="L725" s="2637">
        <v>40425894</v>
      </c>
      <c r="M725" s="2637">
        <v>0</v>
      </c>
    </row>
    <row r="726" spans="1:13" ht="14.5">
      <c r="A726" s="2978" t="s">
        <v>10087</v>
      </c>
      <c r="B726" s="2113" t="str">
        <f t="shared" si="12"/>
        <v>176-903</v>
      </c>
      <c r="C726" s="2978" t="s">
        <v>6710</v>
      </c>
      <c r="D726" s="2639">
        <v>600122062</v>
      </c>
      <c r="E726" s="2639">
        <v>593183290</v>
      </c>
      <c r="F726" s="2639">
        <v>590492516</v>
      </c>
      <c r="G726" s="2639">
        <v>583553744</v>
      </c>
      <c r="H726" s="2639">
        <v>600122062</v>
      </c>
      <c r="I726" s="2639">
        <v>593183290</v>
      </c>
      <c r="J726" s="2639">
        <v>590492516</v>
      </c>
      <c r="K726" s="2639">
        <v>583553744</v>
      </c>
      <c r="L726" s="2639">
        <v>22793772</v>
      </c>
      <c r="M726" s="2639">
        <v>0</v>
      </c>
    </row>
    <row r="727" spans="1:13" ht="14.5">
      <c r="A727" s="2977" t="s">
        <v>10641</v>
      </c>
      <c r="B727" s="2113" t="str">
        <f t="shared" si="12"/>
        <v>177-901</v>
      </c>
      <c r="C727" s="2977" t="s">
        <v>6711</v>
      </c>
      <c r="D727" s="2637">
        <v>352739322</v>
      </c>
      <c r="E727" s="2637">
        <v>348958533</v>
      </c>
      <c r="F727" s="2637">
        <v>352739322</v>
      </c>
      <c r="G727" s="2637">
        <v>348958533</v>
      </c>
      <c r="H727" s="2637">
        <v>487656822</v>
      </c>
      <c r="I727" s="2637">
        <v>483876033</v>
      </c>
      <c r="J727" s="2637">
        <v>487656822</v>
      </c>
      <c r="K727" s="2637">
        <v>483876033</v>
      </c>
      <c r="L727" s="2637">
        <v>10290789</v>
      </c>
      <c r="M727" s="2637">
        <v>134917500</v>
      </c>
    </row>
    <row r="728" spans="1:13" ht="14.5">
      <c r="A728" s="2978" t="s">
        <v>10642</v>
      </c>
      <c r="B728" s="2113" t="str">
        <f t="shared" si="12"/>
        <v>177-902</v>
      </c>
      <c r="C728" s="2978" t="s">
        <v>6712</v>
      </c>
      <c r="D728" s="2639">
        <v>974168829</v>
      </c>
      <c r="E728" s="2639">
        <v>950774789</v>
      </c>
      <c r="F728" s="2639">
        <v>974168829</v>
      </c>
      <c r="G728" s="2639">
        <v>950774789</v>
      </c>
      <c r="H728" s="2639">
        <v>974168829</v>
      </c>
      <c r="I728" s="2639">
        <v>950774789</v>
      </c>
      <c r="J728" s="2639">
        <v>974168829</v>
      </c>
      <c r="K728" s="2639">
        <v>950774789</v>
      </c>
      <c r="L728" s="2639">
        <v>63534040</v>
      </c>
      <c r="M728" s="2639">
        <v>0</v>
      </c>
    </row>
    <row r="729" spans="1:13" ht="14.5">
      <c r="A729" s="2977" t="s">
        <v>10643</v>
      </c>
      <c r="B729" s="2113" t="str">
        <f t="shared" si="12"/>
        <v>177-903</v>
      </c>
      <c r="C729" s="2977" t="s">
        <v>6713</v>
      </c>
      <c r="D729" s="2637">
        <v>682010194</v>
      </c>
      <c r="E729" s="2637">
        <v>679675762</v>
      </c>
      <c r="F729" s="2637">
        <v>682010194</v>
      </c>
      <c r="G729" s="2637">
        <v>679675762</v>
      </c>
      <c r="H729" s="2637">
        <v>828067374</v>
      </c>
      <c r="I729" s="2637">
        <v>825732942</v>
      </c>
      <c r="J729" s="2637">
        <v>828067374</v>
      </c>
      <c r="K729" s="2637">
        <v>825732942</v>
      </c>
      <c r="L729" s="2637">
        <v>6924432</v>
      </c>
      <c r="M729" s="2637">
        <v>146057180</v>
      </c>
    </row>
    <row r="730" spans="1:13" ht="14.5">
      <c r="A730" s="2978" t="s">
        <v>10088</v>
      </c>
      <c r="B730" s="2113" t="str">
        <f t="shared" si="12"/>
        <v>177-905</v>
      </c>
      <c r="C730" s="2978" t="s">
        <v>6714</v>
      </c>
      <c r="D730" s="2639">
        <v>366605887</v>
      </c>
      <c r="E730" s="2639">
        <v>365660747</v>
      </c>
      <c r="F730" s="2639">
        <v>366605887</v>
      </c>
      <c r="G730" s="2639">
        <v>365660747</v>
      </c>
      <c r="H730" s="2639">
        <v>671081817</v>
      </c>
      <c r="I730" s="2639">
        <v>670136677</v>
      </c>
      <c r="J730" s="2639">
        <v>671081817</v>
      </c>
      <c r="K730" s="2639">
        <v>670136677</v>
      </c>
      <c r="L730" s="2639">
        <v>2565140</v>
      </c>
      <c r="M730" s="2639">
        <v>304475930</v>
      </c>
    </row>
    <row r="731" spans="1:13" ht="14.5">
      <c r="A731" s="2977" t="s">
        <v>10089</v>
      </c>
      <c r="B731" s="2113" t="str">
        <f t="shared" si="12"/>
        <v>178-901</v>
      </c>
      <c r="C731" s="2977" t="s">
        <v>6715</v>
      </c>
      <c r="D731" s="2637">
        <v>185713799</v>
      </c>
      <c r="E731" s="2637">
        <v>182962093</v>
      </c>
      <c r="F731" s="2637">
        <v>185713799</v>
      </c>
      <c r="G731" s="2637">
        <v>182962093</v>
      </c>
      <c r="H731" s="2637">
        <v>185713799</v>
      </c>
      <c r="I731" s="2637">
        <v>182962093</v>
      </c>
      <c r="J731" s="2637">
        <v>185713799</v>
      </c>
      <c r="K731" s="2637">
        <v>182962093</v>
      </c>
      <c r="L731" s="2637">
        <v>7536706</v>
      </c>
      <c r="M731" s="2637">
        <v>0</v>
      </c>
    </row>
    <row r="732" spans="1:13" ht="14.5">
      <c r="A732" s="2978" t="s">
        <v>10090</v>
      </c>
      <c r="B732" s="2113" t="str">
        <f t="shared" si="12"/>
        <v>178-902</v>
      </c>
      <c r="C732" s="2978" t="s">
        <v>6716</v>
      </c>
      <c r="D732" s="2639">
        <v>908091907</v>
      </c>
      <c r="E732" s="2639">
        <v>896241722</v>
      </c>
      <c r="F732" s="2639">
        <v>892886630</v>
      </c>
      <c r="G732" s="2639">
        <v>881036445</v>
      </c>
      <c r="H732" s="2639">
        <v>908091907</v>
      </c>
      <c r="I732" s="2639">
        <v>896241722</v>
      </c>
      <c r="J732" s="2639">
        <v>892886630</v>
      </c>
      <c r="K732" s="2639">
        <v>881036445</v>
      </c>
      <c r="L732" s="2639">
        <v>31650185</v>
      </c>
      <c r="M732" s="2639">
        <v>0</v>
      </c>
    </row>
    <row r="733" spans="1:13" ht="14.5">
      <c r="A733" s="2977" t="s">
        <v>10091</v>
      </c>
      <c r="B733" s="2113" t="str">
        <f t="shared" si="12"/>
        <v>178-903</v>
      </c>
      <c r="C733" s="2977" t="s">
        <v>6717</v>
      </c>
      <c r="D733" s="2637">
        <v>1944694544</v>
      </c>
      <c r="E733" s="2637">
        <v>1898957755</v>
      </c>
      <c r="F733" s="2637">
        <v>1944694544</v>
      </c>
      <c r="G733" s="2637">
        <v>1898957755</v>
      </c>
      <c r="H733" s="2637">
        <v>2638959237</v>
      </c>
      <c r="I733" s="2637">
        <v>2593222448</v>
      </c>
      <c r="J733" s="2637">
        <v>2638959237</v>
      </c>
      <c r="K733" s="2637">
        <v>2593222448</v>
      </c>
      <c r="L733" s="2637">
        <v>118351789</v>
      </c>
      <c r="M733" s="2637">
        <v>694264693</v>
      </c>
    </row>
    <row r="734" spans="1:13" ht="14.5">
      <c r="A734" s="2978" t="s">
        <v>10092</v>
      </c>
      <c r="B734" s="2113" t="str">
        <f t="shared" si="12"/>
        <v>178-904</v>
      </c>
      <c r="C734" s="2978" t="s">
        <v>6718</v>
      </c>
      <c r="D734" s="2639">
        <v>18576139849</v>
      </c>
      <c r="E734" s="2639">
        <v>18136789891</v>
      </c>
      <c r="F734" s="2639">
        <v>18576139849</v>
      </c>
      <c r="G734" s="2639">
        <v>18136789891</v>
      </c>
      <c r="H734" s="2639">
        <v>18576139849</v>
      </c>
      <c r="I734" s="2639">
        <v>18136789891</v>
      </c>
      <c r="J734" s="2639">
        <v>18576139849</v>
      </c>
      <c r="K734" s="2639">
        <v>18136789891</v>
      </c>
      <c r="L734" s="2639">
        <v>1113764958</v>
      </c>
      <c r="M734" s="2639">
        <v>0</v>
      </c>
    </row>
    <row r="735" spans="1:13" ht="14.5">
      <c r="A735" s="2977" t="s">
        <v>10093</v>
      </c>
      <c r="B735" s="2113" t="str">
        <f t="shared" si="12"/>
        <v>178-905</v>
      </c>
      <c r="C735" s="2977" t="s">
        <v>6719</v>
      </c>
      <c r="D735" s="2637">
        <v>89990821</v>
      </c>
      <c r="E735" s="2637">
        <v>87908950</v>
      </c>
      <c r="F735" s="2637">
        <v>89990821</v>
      </c>
      <c r="G735" s="2637">
        <v>87908950</v>
      </c>
      <c r="H735" s="2637">
        <v>89990821</v>
      </c>
      <c r="I735" s="2637">
        <v>87908950</v>
      </c>
      <c r="J735" s="2637">
        <v>89990821</v>
      </c>
      <c r="K735" s="2637">
        <v>87908950</v>
      </c>
      <c r="L735" s="2637">
        <v>6371871</v>
      </c>
      <c r="M735" s="2637">
        <v>0</v>
      </c>
    </row>
    <row r="736" spans="1:13" ht="14.5">
      <c r="A736" s="2978" t="s">
        <v>10094</v>
      </c>
      <c r="B736" s="2113" t="str">
        <f t="shared" si="12"/>
        <v>178-906</v>
      </c>
      <c r="C736" s="2978" t="s">
        <v>6720</v>
      </c>
      <c r="D736" s="2639">
        <v>717165549</v>
      </c>
      <c r="E736" s="2639">
        <v>708720548</v>
      </c>
      <c r="F736" s="2639">
        <v>717165549</v>
      </c>
      <c r="G736" s="2639">
        <v>708720548</v>
      </c>
      <c r="H736" s="2639">
        <v>717165549</v>
      </c>
      <c r="I736" s="2639">
        <v>708720548</v>
      </c>
      <c r="J736" s="2639">
        <v>717165549</v>
      </c>
      <c r="K736" s="2639">
        <v>708720548</v>
      </c>
      <c r="L736" s="2639">
        <v>21300001</v>
      </c>
      <c r="M736" s="2639">
        <v>0</v>
      </c>
    </row>
    <row r="737" spans="1:13" ht="14.5">
      <c r="A737" s="2977" t="s">
        <v>10095</v>
      </c>
      <c r="B737" s="2113" t="str">
        <f t="shared" si="12"/>
        <v>178-908</v>
      </c>
      <c r="C737" s="2977" t="s">
        <v>6721</v>
      </c>
      <c r="D737" s="2637">
        <v>3205530934</v>
      </c>
      <c r="E737" s="2637">
        <v>3196199480</v>
      </c>
      <c r="F737" s="2637">
        <v>3162175073</v>
      </c>
      <c r="G737" s="2637">
        <v>3152843619</v>
      </c>
      <c r="H737" s="2637">
        <v>3205530934</v>
      </c>
      <c r="I737" s="2637">
        <v>3196199480</v>
      </c>
      <c r="J737" s="2637">
        <v>3162175073</v>
      </c>
      <c r="K737" s="2637">
        <v>3152843619</v>
      </c>
      <c r="L737" s="2637">
        <v>24451454</v>
      </c>
      <c r="M737" s="2637">
        <v>0</v>
      </c>
    </row>
    <row r="738" spans="1:13" ht="14.5">
      <c r="A738" s="2978" t="s">
        <v>10096</v>
      </c>
      <c r="B738" s="2113" t="str">
        <f t="shared" si="12"/>
        <v>178-909</v>
      </c>
      <c r="C738" s="2978" t="s">
        <v>6722</v>
      </c>
      <c r="D738" s="2639">
        <v>660245092</v>
      </c>
      <c r="E738" s="2639">
        <v>636345980</v>
      </c>
      <c r="F738" s="2639">
        <v>660245092</v>
      </c>
      <c r="G738" s="2639">
        <v>636345980</v>
      </c>
      <c r="H738" s="2639">
        <v>660245092</v>
      </c>
      <c r="I738" s="2639">
        <v>636345980</v>
      </c>
      <c r="J738" s="2639">
        <v>660245092</v>
      </c>
      <c r="K738" s="2639">
        <v>636345980</v>
      </c>
      <c r="L738" s="2639">
        <v>65014112</v>
      </c>
      <c r="M738" s="2639">
        <v>0</v>
      </c>
    </row>
    <row r="739" spans="1:13" ht="14.5">
      <c r="A739" s="2977" t="s">
        <v>10097</v>
      </c>
      <c r="B739" s="2113" t="str">
        <f t="shared" si="12"/>
        <v>178-912</v>
      </c>
      <c r="C739" s="2977" t="s">
        <v>6723</v>
      </c>
      <c r="D739" s="2637">
        <v>3360957224</v>
      </c>
      <c r="E739" s="2637">
        <v>3335117237</v>
      </c>
      <c r="F739" s="2637">
        <v>3317403041</v>
      </c>
      <c r="G739" s="2637">
        <v>3291563054</v>
      </c>
      <c r="H739" s="2637">
        <v>3861564067</v>
      </c>
      <c r="I739" s="2637">
        <v>3835724080</v>
      </c>
      <c r="J739" s="2637">
        <v>3818009884</v>
      </c>
      <c r="K739" s="2637">
        <v>3792169897</v>
      </c>
      <c r="L739" s="2637">
        <v>67389987</v>
      </c>
      <c r="M739" s="2637">
        <v>500606843</v>
      </c>
    </row>
    <row r="740" spans="1:13" ht="14.5">
      <c r="A740" s="2978" t="s">
        <v>10098</v>
      </c>
      <c r="B740" s="2113" t="str">
        <f t="shared" si="12"/>
        <v>178-913</v>
      </c>
      <c r="C740" s="2978" t="s">
        <v>6724</v>
      </c>
      <c r="D740" s="2639">
        <v>672991409</v>
      </c>
      <c r="E740" s="2639">
        <v>664316023</v>
      </c>
      <c r="F740" s="2639">
        <v>672991409</v>
      </c>
      <c r="G740" s="2639">
        <v>664316023</v>
      </c>
      <c r="H740" s="2639">
        <v>672991409</v>
      </c>
      <c r="I740" s="2639">
        <v>664316023</v>
      </c>
      <c r="J740" s="2639">
        <v>672991409</v>
      </c>
      <c r="K740" s="2639">
        <v>664316023</v>
      </c>
      <c r="L740" s="2639">
        <v>25580386</v>
      </c>
      <c r="M740" s="2639">
        <v>0</v>
      </c>
    </row>
    <row r="741" spans="1:13" ht="14.5">
      <c r="A741" s="2977" t="s">
        <v>10099</v>
      </c>
      <c r="B741" s="2113" t="str">
        <f t="shared" si="12"/>
        <v>178-914</v>
      </c>
      <c r="C741" s="2977" t="s">
        <v>6725</v>
      </c>
      <c r="D741" s="2637">
        <v>3692986837</v>
      </c>
      <c r="E741" s="2637">
        <v>3624647092</v>
      </c>
      <c r="F741" s="2637">
        <v>3692986837</v>
      </c>
      <c r="G741" s="2637">
        <v>3624647092</v>
      </c>
      <c r="H741" s="2637">
        <v>3692986837</v>
      </c>
      <c r="I741" s="2637">
        <v>3624647092</v>
      </c>
      <c r="J741" s="2637">
        <v>3692986837</v>
      </c>
      <c r="K741" s="2637">
        <v>3624647092</v>
      </c>
      <c r="L741" s="2637">
        <v>180839745</v>
      </c>
      <c r="M741" s="2637">
        <v>0</v>
      </c>
    </row>
    <row r="742" spans="1:13" ht="14.5">
      <c r="A742" s="2978" t="s">
        <v>10100</v>
      </c>
      <c r="B742" s="2113" t="str">
        <f t="shared" si="12"/>
        <v>178-915</v>
      </c>
      <c r="C742" s="2978" t="s">
        <v>6726</v>
      </c>
      <c r="D742" s="2639">
        <v>893551721</v>
      </c>
      <c r="E742" s="2639">
        <v>880230691</v>
      </c>
      <c r="F742" s="2639">
        <v>893551721</v>
      </c>
      <c r="G742" s="2639">
        <v>880230691</v>
      </c>
      <c r="H742" s="2639">
        <v>893551721</v>
      </c>
      <c r="I742" s="2639">
        <v>880230691</v>
      </c>
      <c r="J742" s="2639">
        <v>893551721</v>
      </c>
      <c r="K742" s="2639">
        <v>880230691</v>
      </c>
      <c r="L742" s="2639">
        <v>34966030</v>
      </c>
      <c r="M742" s="2639">
        <v>0</v>
      </c>
    </row>
    <row r="743" spans="1:13" ht="14.5">
      <c r="A743" s="2977" t="s">
        <v>10101</v>
      </c>
      <c r="B743" s="2113" t="str">
        <f t="shared" si="12"/>
        <v>179-901</v>
      </c>
      <c r="C743" s="2977" t="s">
        <v>6727</v>
      </c>
      <c r="D743" s="2637">
        <v>931464970</v>
      </c>
      <c r="E743" s="2637">
        <v>913164391</v>
      </c>
      <c r="F743" s="2637">
        <v>931464970</v>
      </c>
      <c r="G743" s="2637">
        <v>913164391</v>
      </c>
      <c r="H743" s="2637">
        <v>1045177310</v>
      </c>
      <c r="I743" s="2637">
        <v>1026876731</v>
      </c>
      <c r="J743" s="2637">
        <v>1045177310</v>
      </c>
      <c r="K743" s="2637">
        <v>1026876731</v>
      </c>
      <c r="L743" s="2637">
        <v>49575579</v>
      </c>
      <c r="M743" s="2637">
        <v>113712340</v>
      </c>
    </row>
    <row r="744" spans="1:13" ht="14.5">
      <c r="A744" s="2978" t="s">
        <v>10102</v>
      </c>
      <c r="B744" s="2113" t="str">
        <f t="shared" si="12"/>
        <v>180-902</v>
      </c>
      <c r="C744" s="2978" t="s">
        <v>6728</v>
      </c>
      <c r="D744" s="2639">
        <v>327968461</v>
      </c>
      <c r="E744" s="2639">
        <v>324875141</v>
      </c>
      <c r="F744" s="2639">
        <v>327968461</v>
      </c>
      <c r="G744" s="2639">
        <v>324875141</v>
      </c>
      <c r="H744" s="2639">
        <v>435263211</v>
      </c>
      <c r="I744" s="2639">
        <v>432169891</v>
      </c>
      <c r="J744" s="2639">
        <v>435263211</v>
      </c>
      <c r="K744" s="2639">
        <v>432169891</v>
      </c>
      <c r="L744" s="2639">
        <v>8013320</v>
      </c>
      <c r="M744" s="2639">
        <v>107294750</v>
      </c>
    </row>
    <row r="745" spans="1:13" ht="14.5">
      <c r="A745" s="2977" t="s">
        <v>10103</v>
      </c>
      <c r="B745" s="2113" t="str">
        <f t="shared" si="12"/>
        <v>180-903</v>
      </c>
      <c r="C745" s="2977" t="s">
        <v>6729</v>
      </c>
      <c r="D745" s="2637">
        <v>66386391</v>
      </c>
      <c r="E745" s="2637">
        <v>65809401</v>
      </c>
      <c r="F745" s="2637">
        <v>66386391</v>
      </c>
      <c r="G745" s="2637">
        <v>65809401</v>
      </c>
      <c r="H745" s="2637">
        <v>244965381</v>
      </c>
      <c r="I745" s="2637">
        <v>244388391</v>
      </c>
      <c r="J745" s="2637">
        <v>244965381</v>
      </c>
      <c r="K745" s="2637">
        <v>244388391</v>
      </c>
      <c r="L745" s="2637">
        <v>1506990</v>
      </c>
      <c r="M745" s="2637">
        <v>178578990</v>
      </c>
    </row>
    <row r="746" spans="1:13" ht="14.5">
      <c r="A746" s="2978" t="s">
        <v>10644</v>
      </c>
      <c r="B746" s="2113" t="str">
        <f t="shared" si="12"/>
        <v>180-904</v>
      </c>
      <c r="C746" s="2978" t="s">
        <v>6730</v>
      </c>
      <c r="D746" s="2639">
        <v>203977602</v>
      </c>
      <c r="E746" s="2639">
        <v>203140742</v>
      </c>
      <c r="F746" s="2639">
        <v>203977602</v>
      </c>
      <c r="G746" s="2639">
        <v>203140742</v>
      </c>
      <c r="H746" s="2639">
        <v>283115692</v>
      </c>
      <c r="I746" s="2639">
        <v>282278832</v>
      </c>
      <c r="J746" s="2639">
        <v>283115692</v>
      </c>
      <c r="K746" s="2639">
        <v>282278832</v>
      </c>
      <c r="L746" s="2639">
        <v>2276860</v>
      </c>
      <c r="M746" s="2639">
        <v>79138090</v>
      </c>
    </row>
    <row r="747" spans="1:13" ht="14.5">
      <c r="A747" s="2977" t="s">
        <v>10104</v>
      </c>
      <c r="B747" s="2113" t="str">
        <f t="shared" si="12"/>
        <v>181-901</v>
      </c>
      <c r="C747" s="2977" t="s">
        <v>6731</v>
      </c>
      <c r="D747" s="2637">
        <v>1268000216</v>
      </c>
      <c r="E747" s="2637">
        <v>1232284186</v>
      </c>
      <c r="F747" s="2637">
        <v>1268000216</v>
      </c>
      <c r="G747" s="2637">
        <v>1232284186</v>
      </c>
      <c r="H747" s="2637">
        <v>1268000216</v>
      </c>
      <c r="I747" s="2637">
        <v>1232284186</v>
      </c>
      <c r="J747" s="2637">
        <v>1268000216</v>
      </c>
      <c r="K747" s="2637">
        <v>1232284186</v>
      </c>
      <c r="L747" s="2637">
        <v>95566030</v>
      </c>
      <c r="M747" s="2637">
        <v>0</v>
      </c>
    </row>
    <row r="748" spans="1:13" ht="14.5">
      <c r="A748" s="2978" t="s">
        <v>10105</v>
      </c>
      <c r="B748" s="2113" t="str">
        <f t="shared" si="12"/>
        <v>181-905</v>
      </c>
      <c r="C748" s="2978" t="s">
        <v>6732</v>
      </c>
      <c r="D748" s="2639">
        <v>740976804</v>
      </c>
      <c r="E748" s="2639">
        <v>721772657</v>
      </c>
      <c r="F748" s="2639">
        <v>699791068</v>
      </c>
      <c r="G748" s="2639">
        <v>680586921</v>
      </c>
      <c r="H748" s="2639">
        <v>740976804</v>
      </c>
      <c r="I748" s="2639">
        <v>721772657</v>
      </c>
      <c r="J748" s="2639">
        <v>699791068</v>
      </c>
      <c r="K748" s="2639">
        <v>680586921</v>
      </c>
      <c r="L748" s="2639">
        <v>57529147</v>
      </c>
      <c r="M748" s="2639">
        <v>0</v>
      </c>
    </row>
    <row r="749" spans="1:13" ht="14.5">
      <c r="A749" s="2977" t="s">
        <v>10106</v>
      </c>
      <c r="B749" s="2113" t="str">
        <f t="shared" si="12"/>
        <v>181-906</v>
      </c>
      <c r="C749" s="2977" t="s">
        <v>6733</v>
      </c>
      <c r="D749" s="2637">
        <v>1976249845</v>
      </c>
      <c r="E749" s="2637">
        <v>1944555215</v>
      </c>
      <c r="F749" s="2637">
        <v>1944184532</v>
      </c>
      <c r="G749" s="2637">
        <v>1912489902</v>
      </c>
      <c r="H749" s="2637">
        <v>1976249845</v>
      </c>
      <c r="I749" s="2637">
        <v>1944555215</v>
      </c>
      <c r="J749" s="2637">
        <v>1944184532</v>
      </c>
      <c r="K749" s="2637">
        <v>1912489902</v>
      </c>
      <c r="L749" s="2637">
        <v>84794630</v>
      </c>
      <c r="M749" s="2637">
        <v>0</v>
      </c>
    </row>
    <row r="750" spans="1:13" ht="14.5">
      <c r="A750" s="2978" t="s">
        <v>10107</v>
      </c>
      <c r="B750" s="2113" t="str">
        <f t="shared" si="12"/>
        <v>181-907</v>
      </c>
      <c r="C750" s="2978" t="s">
        <v>6734</v>
      </c>
      <c r="D750" s="2639">
        <v>1565632953</v>
      </c>
      <c r="E750" s="2639">
        <v>1516796081</v>
      </c>
      <c r="F750" s="2639">
        <v>1516990469</v>
      </c>
      <c r="G750" s="2639">
        <v>1468153597</v>
      </c>
      <c r="H750" s="2639">
        <v>1565632953</v>
      </c>
      <c r="I750" s="2639">
        <v>1516796081</v>
      </c>
      <c r="J750" s="2639">
        <v>1516990469</v>
      </c>
      <c r="K750" s="2639">
        <v>1468153597</v>
      </c>
      <c r="L750" s="2639">
        <v>140636872</v>
      </c>
      <c r="M750" s="2639">
        <v>0</v>
      </c>
    </row>
    <row r="751" spans="1:13" ht="14.5">
      <c r="A751" s="2977" t="s">
        <v>10108</v>
      </c>
      <c r="B751" s="2113" t="str">
        <f t="shared" si="12"/>
        <v>181-908</v>
      </c>
      <c r="C751" s="2977" t="s">
        <v>8434</v>
      </c>
      <c r="D751" s="2637">
        <v>1209911633</v>
      </c>
      <c r="E751" s="2637">
        <v>1164961832</v>
      </c>
      <c r="F751" s="2637">
        <v>1152698489</v>
      </c>
      <c r="G751" s="2637">
        <v>1107748688</v>
      </c>
      <c r="H751" s="2637">
        <v>1209911633</v>
      </c>
      <c r="I751" s="2637">
        <v>1164961832</v>
      </c>
      <c r="J751" s="2637">
        <v>1152698489</v>
      </c>
      <c r="K751" s="2637">
        <v>1107748688</v>
      </c>
      <c r="L751" s="2637">
        <v>126129801</v>
      </c>
      <c r="M751" s="2637">
        <v>0</v>
      </c>
    </row>
    <row r="752" spans="1:13" ht="14.5">
      <c r="A752" s="2978" t="s">
        <v>10109</v>
      </c>
      <c r="B752" s="2113" t="str">
        <f t="shared" si="12"/>
        <v>182-901</v>
      </c>
      <c r="C752" s="2978" t="s">
        <v>6735</v>
      </c>
      <c r="D752" s="2639">
        <v>202538033</v>
      </c>
      <c r="E752" s="2639">
        <v>198988833</v>
      </c>
      <c r="F752" s="2639">
        <v>202538033</v>
      </c>
      <c r="G752" s="2639">
        <v>198988833</v>
      </c>
      <c r="H752" s="2639">
        <v>202538033</v>
      </c>
      <c r="I752" s="2639">
        <v>198988833</v>
      </c>
      <c r="J752" s="2639">
        <v>202538033</v>
      </c>
      <c r="K752" s="2639">
        <v>198988833</v>
      </c>
      <c r="L752" s="2639">
        <v>9549200</v>
      </c>
      <c r="M752" s="2639">
        <v>0</v>
      </c>
    </row>
    <row r="753" spans="1:13" ht="14.5">
      <c r="A753" s="2977" t="s">
        <v>10110</v>
      </c>
      <c r="B753" s="2113" t="str">
        <f t="shared" si="12"/>
        <v>182-902</v>
      </c>
      <c r="C753" s="2977" t="s">
        <v>6736</v>
      </c>
      <c r="D753" s="2637">
        <v>1140184850</v>
      </c>
      <c r="E753" s="2637">
        <v>1134218041</v>
      </c>
      <c r="F753" s="2637">
        <v>1140184850</v>
      </c>
      <c r="G753" s="2637">
        <v>1134218041</v>
      </c>
      <c r="H753" s="2637">
        <v>1140184850</v>
      </c>
      <c r="I753" s="2637">
        <v>1134218041</v>
      </c>
      <c r="J753" s="2637">
        <v>1140184850</v>
      </c>
      <c r="K753" s="2637">
        <v>1134218041</v>
      </c>
      <c r="L753" s="2637">
        <v>16721809</v>
      </c>
      <c r="M753" s="2637">
        <v>0</v>
      </c>
    </row>
    <row r="754" spans="1:13" ht="14.5">
      <c r="A754" s="2978" t="s">
        <v>10111</v>
      </c>
      <c r="B754" s="2113" t="str">
        <f t="shared" si="12"/>
        <v>182-903</v>
      </c>
      <c r="C754" s="2978" t="s">
        <v>6737</v>
      </c>
      <c r="D754" s="2639">
        <v>1103154660</v>
      </c>
      <c r="E754" s="2639">
        <v>1066728142</v>
      </c>
      <c r="F754" s="2639">
        <v>1103154660</v>
      </c>
      <c r="G754" s="2639">
        <v>1066728142</v>
      </c>
      <c r="H754" s="2639">
        <v>1103154660</v>
      </c>
      <c r="I754" s="2639">
        <v>1066728142</v>
      </c>
      <c r="J754" s="2639">
        <v>1103154660</v>
      </c>
      <c r="K754" s="2639">
        <v>1066728142</v>
      </c>
      <c r="L754" s="2639">
        <v>97251518</v>
      </c>
      <c r="M754" s="2639">
        <v>0</v>
      </c>
    </row>
    <row r="755" spans="1:13" ht="14.5">
      <c r="A755" s="2977" t="s">
        <v>10112</v>
      </c>
      <c r="B755" s="2113" t="str">
        <f t="shared" si="12"/>
        <v>182-904</v>
      </c>
      <c r="C755" s="2977" t="s">
        <v>6738</v>
      </c>
      <c r="D755" s="2637">
        <v>410941385</v>
      </c>
      <c r="E755" s="2637">
        <v>402237233</v>
      </c>
      <c r="F755" s="2637">
        <v>410941385</v>
      </c>
      <c r="G755" s="2637">
        <v>402237233</v>
      </c>
      <c r="H755" s="2637">
        <v>410941385</v>
      </c>
      <c r="I755" s="2637">
        <v>402237233</v>
      </c>
      <c r="J755" s="2637">
        <v>410941385</v>
      </c>
      <c r="K755" s="2637">
        <v>402237233</v>
      </c>
      <c r="L755" s="2637">
        <v>23314152</v>
      </c>
      <c r="M755" s="2637">
        <v>0</v>
      </c>
    </row>
    <row r="756" spans="1:13" ht="14.5">
      <c r="A756" s="2978" t="s">
        <v>10113</v>
      </c>
      <c r="B756" s="2113" t="str">
        <f t="shared" si="12"/>
        <v>182-905</v>
      </c>
      <c r="C756" s="2978" t="s">
        <v>6739</v>
      </c>
      <c r="D756" s="2639">
        <v>63041139</v>
      </c>
      <c r="E756" s="2639">
        <v>61518299</v>
      </c>
      <c r="F756" s="2639">
        <v>63041139</v>
      </c>
      <c r="G756" s="2639">
        <v>61518299</v>
      </c>
      <c r="H756" s="2639">
        <v>63041139</v>
      </c>
      <c r="I756" s="2639">
        <v>61518299</v>
      </c>
      <c r="J756" s="2639">
        <v>63041139</v>
      </c>
      <c r="K756" s="2639">
        <v>61518299</v>
      </c>
      <c r="L756" s="2639">
        <v>4207840</v>
      </c>
      <c r="M756" s="2639">
        <v>0</v>
      </c>
    </row>
    <row r="757" spans="1:13" ht="14.5">
      <c r="A757" s="2977" t="s">
        <v>10114</v>
      </c>
      <c r="B757" s="2113" t="str">
        <f t="shared" si="12"/>
        <v>182-906</v>
      </c>
      <c r="C757" s="2977" t="s">
        <v>6740</v>
      </c>
      <c r="D757" s="2637">
        <v>608444744</v>
      </c>
      <c r="E757" s="2637">
        <v>605593914</v>
      </c>
      <c r="F757" s="2637">
        <v>597903840</v>
      </c>
      <c r="G757" s="2637">
        <v>595053010</v>
      </c>
      <c r="H757" s="2637">
        <v>608444744</v>
      </c>
      <c r="I757" s="2637">
        <v>605593914</v>
      </c>
      <c r="J757" s="2637">
        <v>597903840</v>
      </c>
      <c r="K757" s="2637">
        <v>595053010</v>
      </c>
      <c r="L757" s="2637">
        <v>7785830</v>
      </c>
      <c r="M757" s="2637">
        <v>0</v>
      </c>
    </row>
    <row r="758" spans="1:13" ht="14.5">
      <c r="A758" s="2978" t="s">
        <v>10115</v>
      </c>
      <c r="B758" s="2113" t="str">
        <f t="shared" si="12"/>
        <v>183-901</v>
      </c>
      <c r="C758" s="2978" t="s">
        <v>6741</v>
      </c>
      <c r="D758" s="2639">
        <v>407372342</v>
      </c>
      <c r="E758" s="2639">
        <v>401462512</v>
      </c>
      <c r="F758" s="2639">
        <v>398821592</v>
      </c>
      <c r="G758" s="2639">
        <v>392911762</v>
      </c>
      <c r="H758" s="2639">
        <v>407372342</v>
      </c>
      <c r="I758" s="2639">
        <v>401462512</v>
      </c>
      <c r="J758" s="2639">
        <v>398821592</v>
      </c>
      <c r="K758" s="2639">
        <v>392911762</v>
      </c>
      <c r="L758" s="2639">
        <v>16739830</v>
      </c>
      <c r="M758" s="2639">
        <v>0</v>
      </c>
    </row>
    <row r="759" spans="1:13" ht="14.5">
      <c r="A759" s="2977" t="s">
        <v>10116</v>
      </c>
      <c r="B759" s="2113" t="str">
        <f t="shared" si="12"/>
        <v>183-902</v>
      </c>
      <c r="C759" s="2977" t="s">
        <v>6742</v>
      </c>
      <c r="D759" s="2637">
        <v>3059460599</v>
      </c>
      <c r="E759" s="2637">
        <v>3020303622</v>
      </c>
      <c r="F759" s="2637">
        <v>3006564604</v>
      </c>
      <c r="G759" s="2637">
        <v>2967407627</v>
      </c>
      <c r="H759" s="2637">
        <v>3125656369</v>
      </c>
      <c r="I759" s="2637">
        <v>3086499392</v>
      </c>
      <c r="J759" s="2637">
        <v>3072760374</v>
      </c>
      <c r="K759" s="2637">
        <v>3033603397</v>
      </c>
      <c r="L759" s="2637">
        <v>109866977</v>
      </c>
      <c r="M759" s="2637">
        <v>66195770</v>
      </c>
    </row>
    <row r="760" spans="1:13" ht="14.5">
      <c r="A760" s="2978" t="s">
        <v>10117</v>
      </c>
      <c r="B760" s="2113" t="str">
        <f t="shared" si="12"/>
        <v>183-904</v>
      </c>
      <c r="C760" s="2978" t="s">
        <v>6743</v>
      </c>
      <c r="D760" s="2639">
        <v>140449229</v>
      </c>
      <c r="E760" s="2639">
        <v>135722109</v>
      </c>
      <c r="F760" s="2639">
        <v>134458809</v>
      </c>
      <c r="G760" s="2639">
        <v>129731689</v>
      </c>
      <c r="H760" s="2639">
        <v>140449229</v>
      </c>
      <c r="I760" s="2639">
        <v>135722109</v>
      </c>
      <c r="J760" s="2639">
        <v>134458809</v>
      </c>
      <c r="K760" s="2639">
        <v>129731689</v>
      </c>
      <c r="L760" s="2639">
        <v>13997120</v>
      </c>
      <c r="M760" s="2639">
        <v>0</v>
      </c>
    </row>
    <row r="761" spans="1:13" ht="14.5">
      <c r="A761" s="2977" t="s">
        <v>10118</v>
      </c>
      <c r="B761" s="2113" t="str">
        <f t="shared" si="12"/>
        <v>184-901</v>
      </c>
      <c r="C761" s="2977" t="s">
        <v>6744</v>
      </c>
      <c r="D761" s="2637">
        <v>339687169</v>
      </c>
      <c r="E761" s="2637">
        <v>332868615</v>
      </c>
      <c r="F761" s="2637">
        <v>339687169</v>
      </c>
      <c r="G761" s="2637">
        <v>332868615</v>
      </c>
      <c r="H761" s="2637">
        <v>339687169</v>
      </c>
      <c r="I761" s="2637">
        <v>332868615</v>
      </c>
      <c r="J761" s="2637">
        <v>339687169</v>
      </c>
      <c r="K761" s="2637">
        <v>332868615</v>
      </c>
      <c r="L761" s="2637">
        <v>20003554</v>
      </c>
      <c r="M761" s="2637">
        <v>0</v>
      </c>
    </row>
    <row r="762" spans="1:13" ht="14.5">
      <c r="A762" s="2978" t="s">
        <v>10119</v>
      </c>
      <c r="B762" s="2113" t="str">
        <f t="shared" si="12"/>
        <v>184-902</v>
      </c>
      <c r="C762" s="2978" t="s">
        <v>6745</v>
      </c>
      <c r="D762" s="2639">
        <v>1929079693</v>
      </c>
      <c r="E762" s="2639">
        <v>1873234396</v>
      </c>
      <c r="F762" s="2639">
        <v>1929079693</v>
      </c>
      <c r="G762" s="2639">
        <v>1873234396</v>
      </c>
      <c r="H762" s="2639">
        <v>1929079693</v>
      </c>
      <c r="I762" s="2639">
        <v>1873234396</v>
      </c>
      <c r="J762" s="2639">
        <v>1929079693</v>
      </c>
      <c r="K762" s="2639">
        <v>1873234396</v>
      </c>
      <c r="L762" s="2639">
        <v>145920297</v>
      </c>
      <c r="M762" s="2639">
        <v>0</v>
      </c>
    </row>
    <row r="763" spans="1:13" ht="14.5">
      <c r="A763" s="2977" t="s">
        <v>10120</v>
      </c>
      <c r="B763" s="2113" t="str">
        <f t="shared" si="12"/>
        <v>184-903</v>
      </c>
      <c r="C763" s="2977" t="s">
        <v>6746</v>
      </c>
      <c r="D763" s="2637">
        <v>5996431812</v>
      </c>
      <c r="E763" s="2637">
        <v>5866648891</v>
      </c>
      <c r="F763" s="2637">
        <v>5996431812</v>
      </c>
      <c r="G763" s="2637">
        <v>5866648891</v>
      </c>
      <c r="H763" s="2637">
        <v>5996431812</v>
      </c>
      <c r="I763" s="2637">
        <v>5866648891</v>
      </c>
      <c r="J763" s="2637">
        <v>5996431812</v>
      </c>
      <c r="K763" s="2637">
        <v>5866648891</v>
      </c>
      <c r="L763" s="2637">
        <v>335597921</v>
      </c>
      <c r="M763" s="2637">
        <v>0</v>
      </c>
    </row>
    <row r="764" spans="1:13" ht="14.5">
      <c r="A764" s="2978" t="s">
        <v>10121</v>
      </c>
      <c r="B764" s="2113" t="str">
        <f t="shared" si="12"/>
        <v>184-904</v>
      </c>
      <c r="C764" s="2978" t="s">
        <v>6747</v>
      </c>
      <c r="D764" s="2639">
        <v>544944077</v>
      </c>
      <c r="E764" s="2639">
        <v>532782243</v>
      </c>
      <c r="F764" s="2639">
        <v>544944077</v>
      </c>
      <c r="G764" s="2639">
        <v>532782243</v>
      </c>
      <c r="H764" s="2639">
        <v>544944077</v>
      </c>
      <c r="I764" s="2639">
        <v>532782243</v>
      </c>
      <c r="J764" s="2639">
        <v>544944077</v>
      </c>
      <c r="K764" s="2639">
        <v>532782243</v>
      </c>
      <c r="L764" s="2639">
        <v>32006834</v>
      </c>
      <c r="M764" s="2639">
        <v>0</v>
      </c>
    </row>
    <row r="765" spans="1:13" ht="14.5">
      <c r="A765" s="2977" t="s">
        <v>10122</v>
      </c>
      <c r="B765" s="2113" t="str">
        <f t="shared" si="12"/>
        <v>184-907</v>
      </c>
      <c r="C765" s="2977" t="s">
        <v>6748</v>
      </c>
      <c r="D765" s="2637">
        <v>4841310488</v>
      </c>
      <c r="E765" s="2637">
        <v>4758417033</v>
      </c>
      <c r="F765" s="2637">
        <v>4841310488</v>
      </c>
      <c r="G765" s="2637">
        <v>4758417033</v>
      </c>
      <c r="H765" s="2637">
        <v>4841310488</v>
      </c>
      <c r="I765" s="2637">
        <v>4758417033</v>
      </c>
      <c r="J765" s="2637">
        <v>4841310488</v>
      </c>
      <c r="K765" s="2637">
        <v>4758417033</v>
      </c>
      <c r="L765" s="2637">
        <v>210753455</v>
      </c>
      <c r="M765" s="2637">
        <v>0</v>
      </c>
    </row>
    <row r="766" spans="1:13" ht="14.5">
      <c r="A766" s="2978" t="s">
        <v>10123</v>
      </c>
      <c r="B766" s="2113" t="str">
        <f t="shared" si="12"/>
        <v>184-908</v>
      </c>
      <c r="C766" s="2978" t="s">
        <v>6749</v>
      </c>
      <c r="D766" s="2639">
        <v>578645051</v>
      </c>
      <c r="E766" s="2639">
        <v>565430188</v>
      </c>
      <c r="F766" s="2639">
        <v>578645051</v>
      </c>
      <c r="G766" s="2639">
        <v>565430188</v>
      </c>
      <c r="H766" s="2639">
        <v>578645051</v>
      </c>
      <c r="I766" s="2639">
        <v>565430188</v>
      </c>
      <c r="J766" s="2639">
        <v>578645051</v>
      </c>
      <c r="K766" s="2639">
        <v>565430188</v>
      </c>
      <c r="L766" s="2639">
        <v>33899863</v>
      </c>
      <c r="M766" s="2639">
        <v>0</v>
      </c>
    </row>
    <row r="767" spans="1:13" ht="14.5">
      <c r="A767" s="2977" t="s">
        <v>10124</v>
      </c>
      <c r="B767" s="2113" t="str">
        <f t="shared" si="12"/>
        <v>184-909</v>
      </c>
      <c r="C767" s="2977" t="s">
        <v>6750</v>
      </c>
      <c r="D767" s="2637">
        <v>1019030558</v>
      </c>
      <c r="E767" s="2637">
        <v>1001010958</v>
      </c>
      <c r="F767" s="2637">
        <v>1019030558</v>
      </c>
      <c r="G767" s="2637">
        <v>1001010958</v>
      </c>
      <c r="H767" s="2637">
        <v>1019030558</v>
      </c>
      <c r="I767" s="2637">
        <v>1001010958</v>
      </c>
      <c r="J767" s="2637">
        <v>1019030558</v>
      </c>
      <c r="K767" s="2637">
        <v>1001010958</v>
      </c>
      <c r="L767" s="2637">
        <v>45679600</v>
      </c>
      <c r="M767" s="2637">
        <v>0</v>
      </c>
    </row>
    <row r="768" spans="1:13" ht="14.5">
      <c r="A768" s="2978" t="s">
        <v>10125</v>
      </c>
      <c r="B768" s="2113" t="str">
        <f t="shared" si="12"/>
        <v>184-911</v>
      </c>
      <c r="C768" s="2978" t="s">
        <v>6751</v>
      </c>
      <c r="D768" s="2639">
        <v>252313565</v>
      </c>
      <c r="E768" s="2639">
        <v>247787905</v>
      </c>
      <c r="F768" s="2639">
        <v>252313565</v>
      </c>
      <c r="G768" s="2639">
        <v>247787905</v>
      </c>
      <c r="H768" s="2639">
        <v>252313565</v>
      </c>
      <c r="I768" s="2639">
        <v>247787905</v>
      </c>
      <c r="J768" s="2639">
        <v>252313565</v>
      </c>
      <c r="K768" s="2639">
        <v>247787905</v>
      </c>
      <c r="L768" s="2639">
        <v>12145660</v>
      </c>
      <c r="M768" s="2639">
        <v>0</v>
      </c>
    </row>
    <row r="769" spans="1:13" ht="14.5">
      <c r="A769" s="2977" t="s">
        <v>10126</v>
      </c>
      <c r="B769" s="2113" t="str">
        <f t="shared" si="12"/>
        <v>185-901</v>
      </c>
      <c r="C769" s="2977" t="s">
        <v>6752</v>
      </c>
      <c r="D769" s="2637">
        <v>118610467</v>
      </c>
      <c r="E769" s="2637">
        <v>115448367</v>
      </c>
      <c r="F769" s="2637">
        <v>118610467</v>
      </c>
      <c r="G769" s="2637">
        <v>115448367</v>
      </c>
      <c r="H769" s="2637">
        <v>138590479</v>
      </c>
      <c r="I769" s="2637">
        <v>135428379</v>
      </c>
      <c r="J769" s="2637">
        <v>138590479</v>
      </c>
      <c r="K769" s="2637">
        <v>135428379</v>
      </c>
      <c r="L769" s="2637">
        <v>8952100</v>
      </c>
      <c r="M769" s="2637">
        <v>19980012</v>
      </c>
    </row>
    <row r="770" spans="1:13" ht="14.5">
      <c r="A770" s="2978" t="s">
        <v>10645</v>
      </c>
      <c r="B770" s="2113" t="str">
        <f t="shared" si="12"/>
        <v>185-902</v>
      </c>
      <c r="C770" s="2978" t="s">
        <v>6753</v>
      </c>
      <c r="D770" s="2639">
        <v>177019251</v>
      </c>
      <c r="E770" s="2639">
        <v>173063518</v>
      </c>
      <c r="F770" s="2639">
        <v>177019251</v>
      </c>
      <c r="G770" s="2639">
        <v>173063518</v>
      </c>
      <c r="H770" s="2639">
        <v>177019251</v>
      </c>
      <c r="I770" s="2639">
        <v>173063518</v>
      </c>
      <c r="J770" s="2639">
        <v>177019251</v>
      </c>
      <c r="K770" s="2639">
        <v>173063518</v>
      </c>
      <c r="L770" s="2639">
        <v>10795733</v>
      </c>
      <c r="M770" s="2639">
        <v>0</v>
      </c>
    </row>
    <row r="771" spans="1:13" ht="14.5">
      <c r="A771" s="2977" t="s">
        <v>10127</v>
      </c>
      <c r="B771" s="2113" t="str">
        <f t="shared" si="12"/>
        <v>185-903</v>
      </c>
      <c r="C771" s="2977" t="s">
        <v>6754</v>
      </c>
      <c r="D771" s="2637">
        <v>466305676</v>
      </c>
      <c r="E771" s="2637">
        <v>458646204</v>
      </c>
      <c r="F771" s="2637">
        <v>466305676</v>
      </c>
      <c r="G771" s="2637">
        <v>458646204</v>
      </c>
      <c r="H771" s="2637">
        <v>581467696</v>
      </c>
      <c r="I771" s="2637">
        <v>573808224</v>
      </c>
      <c r="J771" s="2637">
        <v>581467696</v>
      </c>
      <c r="K771" s="2637">
        <v>573808224</v>
      </c>
      <c r="L771" s="2637">
        <v>20484472</v>
      </c>
      <c r="M771" s="2637">
        <v>115162020</v>
      </c>
    </row>
    <row r="772" spans="1:13" ht="14.5">
      <c r="A772" s="2978" t="s">
        <v>10128</v>
      </c>
      <c r="B772" s="2113" t="str">
        <f t="shared" si="12"/>
        <v>185-904</v>
      </c>
      <c r="C772" s="2978" t="s">
        <v>6755</v>
      </c>
      <c r="D772" s="2639">
        <v>61603324</v>
      </c>
      <c r="E772" s="2639">
        <v>60512843</v>
      </c>
      <c r="F772" s="2639">
        <v>61603324</v>
      </c>
      <c r="G772" s="2639">
        <v>60512843</v>
      </c>
      <c r="H772" s="2639">
        <v>61603324</v>
      </c>
      <c r="I772" s="2639">
        <v>60512843</v>
      </c>
      <c r="J772" s="2639">
        <v>61603324</v>
      </c>
      <c r="K772" s="2639">
        <v>60512843</v>
      </c>
      <c r="L772" s="2639">
        <v>2800481</v>
      </c>
      <c r="M772" s="2639">
        <v>0</v>
      </c>
    </row>
    <row r="773" spans="1:13" ht="14.5">
      <c r="A773" s="2977" t="s">
        <v>10129</v>
      </c>
      <c r="B773" s="2113" t="str">
        <f t="shared" si="12"/>
        <v>186-901</v>
      </c>
      <c r="C773" s="2977" t="s">
        <v>6756</v>
      </c>
      <c r="D773" s="2637">
        <v>906716792</v>
      </c>
      <c r="E773" s="2637">
        <v>906105362</v>
      </c>
      <c r="F773" s="2637">
        <v>906179292</v>
      </c>
      <c r="G773" s="2637">
        <v>905567862</v>
      </c>
      <c r="H773" s="2637">
        <v>1105496792</v>
      </c>
      <c r="I773" s="2637">
        <v>1104885362</v>
      </c>
      <c r="J773" s="2637">
        <v>1104959292</v>
      </c>
      <c r="K773" s="2637">
        <v>1104347862</v>
      </c>
      <c r="L773" s="2637">
        <v>1871430</v>
      </c>
      <c r="M773" s="2637">
        <v>198780000</v>
      </c>
    </row>
    <row r="774" spans="1:13" ht="14.5">
      <c r="A774" s="2978" t="s">
        <v>10130</v>
      </c>
      <c r="B774" s="2113" t="str">
        <f t="shared" ref="B774:B837" si="13">CONCATENATE(RIGHT(LEFT(CONCATENATE("000",A774),6),3),"-",(LEFT(RIGHT(CONCATENATE("000",A774),6),3)))</f>
        <v>186-902</v>
      </c>
      <c r="C774" s="2978" t="s">
        <v>6757</v>
      </c>
      <c r="D774" s="2639">
        <v>2729917605</v>
      </c>
      <c r="E774" s="2639">
        <v>2705867905</v>
      </c>
      <c r="F774" s="2639">
        <v>2703762675</v>
      </c>
      <c r="G774" s="2639">
        <v>2679712975</v>
      </c>
      <c r="H774" s="2639">
        <v>3141973715</v>
      </c>
      <c r="I774" s="2639">
        <v>3117924015</v>
      </c>
      <c r="J774" s="2639">
        <v>3115818785</v>
      </c>
      <c r="K774" s="2639">
        <v>3091769085</v>
      </c>
      <c r="L774" s="2639">
        <v>65689700</v>
      </c>
      <c r="M774" s="2639">
        <v>412056110</v>
      </c>
    </row>
    <row r="775" spans="1:13" ht="14.5">
      <c r="A775" s="2977" t="s">
        <v>10131</v>
      </c>
      <c r="B775" s="2113" t="str">
        <f t="shared" si="13"/>
        <v>186-903</v>
      </c>
      <c r="C775" s="2977" t="s">
        <v>6758</v>
      </c>
      <c r="D775" s="2637">
        <v>806549831</v>
      </c>
      <c r="E775" s="2637">
        <v>803258411</v>
      </c>
      <c r="F775" s="2637">
        <v>803598641</v>
      </c>
      <c r="G775" s="2637">
        <v>800307221</v>
      </c>
      <c r="H775" s="2637">
        <v>1130742631</v>
      </c>
      <c r="I775" s="2637">
        <v>1127451211</v>
      </c>
      <c r="J775" s="2637">
        <v>1127791441</v>
      </c>
      <c r="K775" s="2637">
        <v>1124500021</v>
      </c>
      <c r="L775" s="2637">
        <v>8946420</v>
      </c>
      <c r="M775" s="2637">
        <v>324192800</v>
      </c>
    </row>
    <row r="776" spans="1:13" ht="14.5">
      <c r="A776" s="2978" t="s">
        <v>10132</v>
      </c>
      <c r="B776" s="2113" t="str">
        <f t="shared" si="13"/>
        <v>187-901</v>
      </c>
      <c r="C776" s="2978" t="s">
        <v>6759</v>
      </c>
      <c r="D776" s="2639">
        <v>187208481</v>
      </c>
      <c r="E776" s="2639">
        <v>182902634</v>
      </c>
      <c r="F776" s="2639">
        <v>181911416</v>
      </c>
      <c r="G776" s="2639">
        <v>177605569</v>
      </c>
      <c r="H776" s="2639">
        <v>187208481</v>
      </c>
      <c r="I776" s="2639">
        <v>182902634</v>
      </c>
      <c r="J776" s="2639">
        <v>181911416</v>
      </c>
      <c r="K776" s="2639">
        <v>177605569</v>
      </c>
      <c r="L776" s="2639">
        <v>12330847</v>
      </c>
      <c r="M776" s="2639">
        <v>0</v>
      </c>
    </row>
    <row r="777" spans="1:13" ht="14.5">
      <c r="A777" s="2977" t="s">
        <v>10133</v>
      </c>
      <c r="B777" s="2113" t="str">
        <f t="shared" si="13"/>
        <v>187-903</v>
      </c>
      <c r="C777" s="2977" t="s">
        <v>6760</v>
      </c>
      <c r="D777" s="2637">
        <v>170397091</v>
      </c>
      <c r="E777" s="2637">
        <v>165530942</v>
      </c>
      <c r="F777" s="2637">
        <v>170397091</v>
      </c>
      <c r="G777" s="2637">
        <v>165530942</v>
      </c>
      <c r="H777" s="2637">
        <v>170397091</v>
      </c>
      <c r="I777" s="2637">
        <v>165530942</v>
      </c>
      <c r="J777" s="2637">
        <v>170397091</v>
      </c>
      <c r="K777" s="2637">
        <v>165530942</v>
      </c>
      <c r="L777" s="2637">
        <v>12981149</v>
      </c>
      <c r="M777" s="2637">
        <v>0</v>
      </c>
    </row>
    <row r="778" spans="1:13" ht="14.5">
      <c r="A778" s="2978" t="s">
        <v>10134</v>
      </c>
      <c r="B778" s="2113" t="str">
        <f t="shared" si="13"/>
        <v>187-904</v>
      </c>
      <c r="C778" s="2978" t="s">
        <v>6761</v>
      </c>
      <c r="D778" s="2639">
        <v>453563263</v>
      </c>
      <c r="E778" s="2639">
        <v>444527624</v>
      </c>
      <c r="F778" s="2639">
        <v>443911328</v>
      </c>
      <c r="G778" s="2639">
        <v>434875689</v>
      </c>
      <c r="H778" s="2639">
        <v>645600399</v>
      </c>
      <c r="I778" s="2639">
        <v>636564760</v>
      </c>
      <c r="J778" s="2639">
        <v>635948464</v>
      </c>
      <c r="K778" s="2639">
        <v>626912825</v>
      </c>
      <c r="L778" s="2639">
        <v>24545639</v>
      </c>
      <c r="M778" s="2639">
        <v>192037136</v>
      </c>
    </row>
    <row r="779" spans="1:13" ht="14.5">
      <c r="A779" s="2977" t="s">
        <v>10135</v>
      </c>
      <c r="B779" s="2113" t="str">
        <f t="shared" si="13"/>
        <v>187-906</v>
      </c>
      <c r="C779" s="2977" t="s">
        <v>6762</v>
      </c>
      <c r="D779" s="2637">
        <v>97649762</v>
      </c>
      <c r="E779" s="2637">
        <v>95194176</v>
      </c>
      <c r="F779" s="2637">
        <v>97649762</v>
      </c>
      <c r="G779" s="2637">
        <v>95194176</v>
      </c>
      <c r="H779" s="2637">
        <v>97649762</v>
      </c>
      <c r="I779" s="2637">
        <v>95194176</v>
      </c>
      <c r="J779" s="2637">
        <v>97649762</v>
      </c>
      <c r="K779" s="2637">
        <v>95194176</v>
      </c>
      <c r="L779" s="2637">
        <v>7555586</v>
      </c>
      <c r="M779" s="2637">
        <v>0</v>
      </c>
    </row>
    <row r="780" spans="1:13" ht="14.5">
      <c r="A780" s="2978" t="s">
        <v>10136</v>
      </c>
      <c r="B780" s="2113" t="str">
        <f t="shared" si="13"/>
        <v>187-907</v>
      </c>
      <c r="C780" s="2978" t="s">
        <v>6763</v>
      </c>
      <c r="D780" s="2639">
        <v>2027630327</v>
      </c>
      <c r="E780" s="2639">
        <v>1971590999</v>
      </c>
      <c r="F780" s="2639">
        <v>2027630327</v>
      </c>
      <c r="G780" s="2639">
        <v>1971590999</v>
      </c>
      <c r="H780" s="2639">
        <v>2027630327</v>
      </c>
      <c r="I780" s="2639">
        <v>1971590999</v>
      </c>
      <c r="J780" s="2639">
        <v>2027630327</v>
      </c>
      <c r="K780" s="2639">
        <v>1971590999</v>
      </c>
      <c r="L780" s="2639">
        <v>151694328</v>
      </c>
      <c r="M780" s="2639">
        <v>0</v>
      </c>
    </row>
    <row r="781" spans="1:13" ht="14.5">
      <c r="A781" s="2977" t="s">
        <v>10137</v>
      </c>
      <c r="B781" s="2113" t="str">
        <f t="shared" si="13"/>
        <v>187-910</v>
      </c>
      <c r="C781" s="2977" t="s">
        <v>6764</v>
      </c>
      <c r="D781" s="2637">
        <v>695964294</v>
      </c>
      <c r="E781" s="2637">
        <v>677396672</v>
      </c>
      <c r="F781" s="2637">
        <v>695964294</v>
      </c>
      <c r="G781" s="2637">
        <v>677396672</v>
      </c>
      <c r="H781" s="2637">
        <v>695964294</v>
      </c>
      <c r="I781" s="2637">
        <v>677396672</v>
      </c>
      <c r="J781" s="2637">
        <v>695964294</v>
      </c>
      <c r="K781" s="2637">
        <v>677396672</v>
      </c>
      <c r="L781" s="2637">
        <v>52932622</v>
      </c>
      <c r="M781" s="2637">
        <v>0</v>
      </c>
    </row>
    <row r="782" spans="1:13" ht="14.5">
      <c r="A782" s="2978" t="s">
        <v>10138</v>
      </c>
      <c r="B782" s="2113" t="str">
        <f t="shared" si="13"/>
        <v>188-901</v>
      </c>
      <c r="C782" s="2978" t="s">
        <v>6765</v>
      </c>
      <c r="D782" s="2639">
        <v>10029402458</v>
      </c>
      <c r="E782" s="2639">
        <v>9743652149</v>
      </c>
      <c r="F782" s="2639">
        <v>10029402458</v>
      </c>
      <c r="G782" s="2639">
        <v>9743652149</v>
      </c>
      <c r="H782" s="2639">
        <v>10029402458</v>
      </c>
      <c r="I782" s="2639">
        <v>9743652149</v>
      </c>
      <c r="J782" s="2639">
        <v>10029402458</v>
      </c>
      <c r="K782" s="2639">
        <v>9743652149</v>
      </c>
      <c r="L782" s="2639">
        <v>756525309</v>
      </c>
      <c r="M782" s="2639">
        <v>0</v>
      </c>
    </row>
    <row r="783" spans="1:13" ht="14.5">
      <c r="A783" s="2977" t="s">
        <v>10646</v>
      </c>
      <c r="B783" s="2113" t="str">
        <f t="shared" si="13"/>
        <v>188-902</v>
      </c>
      <c r="C783" s="2977" t="s">
        <v>6766</v>
      </c>
      <c r="D783" s="2637">
        <v>350545342</v>
      </c>
      <c r="E783" s="2637">
        <v>337823883</v>
      </c>
      <c r="F783" s="2637">
        <v>350545342</v>
      </c>
      <c r="G783" s="2637">
        <v>337823883</v>
      </c>
      <c r="H783" s="2637">
        <v>350545342</v>
      </c>
      <c r="I783" s="2637">
        <v>337823883</v>
      </c>
      <c r="J783" s="2637">
        <v>350545342</v>
      </c>
      <c r="K783" s="2637">
        <v>337823883</v>
      </c>
      <c r="L783" s="2637">
        <v>41056459</v>
      </c>
      <c r="M783" s="2637">
        <v>0</v>
      </c>
    </row>
    <row r="784" spans="1:13" ht="14.5">
      <c r="A784" s="2978" t="s">
        <v>10139</v>
      </c>
      <c r="B784" s="2113" t="str">
        <f t="shared" si="13"/>
        <v>188-903</v>
      </c>
      <c r="C784" s="2978" t="s">
        <v>6213</v>
      </c>
      <c r="D784" s="2639">
        <v>1378779420</v>
      </c>
      <c r="E784" s="2639">
        <v>1377355157</v>
      </c>
      <c r="F784" s="2639">
        <v>1378779420</v>
      </c>
      <c r="G784" s="2639">
        <v>1377355157</v>
      </c>
      <c r="H784" s="2639">
        <v>1378779420</v>
      </c>
      <c r="I784" s="2639">
        <v>1377355157</v>
      </c>
      <c r="J784" s="2639">
        <v>1378779420</v>
      </c>
      <c r="K784" s="2639">
        <v>1377355157</v>
      </c>
      <c r="L784" s="2639">
        <v>5639263</v>
      </c>
      <c r="M784" s="2639">
        <v>0</v>
      </c>
    </row>
    <row r="785" spans="1:13" ht="14.5">
      <c r="A785" s="2977" t="s">
        <v>10140</v>
      </c>
      <c r="B785" s="2113" t="str">
        <f t="shared" si="13"/>
        <v>188-904</v>
      </c>
      <c r="C785" s="2977" t="s">
        <v>6767</v>
      </c>
      <c r="D785" s="2637">
        <v>1445507003</v>
      </c>
      <c r="E785" s="2637">
        <v>1429454819</v>
      </c>
      <c r="F785" s="2637">
        <v>1445507003</v>
      </c>
      <c r="G785" s="2637">
        <v>1429454819</v>
      </c>
      <c r="H785" s="2637">
        <v>1445507003</v>
      </c>
      <c r="I785" s="2637">
        <v>1429454819</v>
      </c>
      <c r="J785" s="2637">
        <v>1445507003</v>
      </c>
      <c r="K785" s="2637">
        <v>1429454819</v>
      </c>
      <c r="L785" s="2637">
        <v>44597184</v>
      </c>
      <c r="M785" s="2637">
        <v>0</v>
      </c>
    </row>
    <row r="786" spans="1:13" ht="14.5">
      <c r="A786" s="2978" t="s">
        <v>10141</v>
      </c>
      <c r="B786" s="2113" t="str">
        <f t="shared" si="13"/>
        <v>189-901</v>
      </c>
      <c r="C786" s="2978" t="s">
        <v>6768</v>
      </c>
      <c r="D786" s="2639">
        <v>483022958</v>
      </c>
      <c r="E786" s="2639">
        <v>477648381</v>
      </c>
      <c r="F786" s="2639">
        <v>483022958</v>
      </c>
      <c r="G786" s="2639">
        <v>477648381</v>
      </c>
      <c r="H786" s="2639">
        <v>483022958</v>
      </c>
      <c r="I786" s="2639">
        <v>477648381</v>
      </c>
      <c r="J786" s="2639">
        <v>483022958</v>
      </c>
      <c r="K786" s="2639">
        <v>477648381</v>
      </c>
      <c r="L786" s="2639">
        <v>14284577</v>
      </c>
      <c r="M786" s="2639">
        <v>0</v>
      </c>
    </row>
    <row r="787" spans="1:13" ht="14.5">
      <c r="A787" s="2977" t="s">
        <v>10142</v>
      </c>
      <c r="B787" s="2113" t="str">
        <f t="shared" si="13"/>
        <v>189-902</v>
      </c>
      <c r="C787" s="2977" t="s">
        <v>6769</v>
      </c>
      <c r="D787" s="2637">
        <v>238569615</v>
      </c>
      <c r="E787" s="2637">
        <v>230730869</v>
      </c>
      <c r="F787" s="2637">
        <v>238569615</v>
      </c>
      <c r="G787" s="2637">
        <v>230730869</v>
      </c>
      <c r="H787" s="2637">
        <v>238569615</v>
      </c>
      <c r="I787" s="2637">
        <v>230730869</v>
      </c>
      <c r="J787" s="2637">
        <v>238569615</v>
      </c>
      <c r="K787" s="2637">
        <v>230730869</v>
      </c>
      <c r="L787" s="2637">
        <v>21353746</v>
      </c>
      <c r="M787" s="2637">
        <v>0</v>
      </c>
    </row>
    <row r="788" spans="1:13" ht="14.5">
      <c r="A788" s="2978" t="s">
        <v>10143</v>
      </c>
      <c r="B788" s="2113" t="str">
        <f t="shared" si="13"/>
        <v>190-903</v>
      </c>
      <c r="C788" s="2978" t="s">
        <v>6770</v>
      </c>
      <c r="D788" s="2639">
        <v>880016823</v>
      </c>
      <c r="E788" s="2639">
        <v>852330010</v>
      </c>
      <c r="F788" s="2639">
        <v>880016823</v>
      </c>
      <c r="G788" s="2639">
        <v>852330010</v>
      </c>
      <c r="H788" s="2639">
        <v>880016823</v>
      </c>
      <c r="I788" s="2639">
        <v>852330010</v>
      </c>
      <c r="J788" s="2639">
        <v>880016823</v>
      </c>
      <c r="K788" s="2639">
        <v>852330010</v>
      </c>
      <c r="L788" s="2639">
        <v>77621813</v>
      </c>
      <c r="M788" s="2639">
        <v>0</v>
      </c>
    </row>
    <row r="789" spans="1:13" ht="14.5">
      <c r="A789" s="2977" t="s">
        <v>10144</v>
      </c>
      <c r="B789" s="2113" t="str">
        <f t="shared" si="13"/>
        <v>191-901</v>
      </c>
      <c r="C789" s="2977" t="s">
        <v>6771</v>
      </c>
      <c r="D789" s="2637">
        <v>5998305041</v>
      </c>
      <c r="E789" s="2637">
        <v>5863487649</v>
      </c>
      <c r="F789" s="2637">
        <v>5998305041</v>
      </c>
      <c r="G789" s="2637">
        <v>5863487649</v>
      </c>
      <c r="H789" s="2637">
        <v>6041382951</v>
      </c>
      <c r="I789" s="2637">
        <v>5906565559</v>
      </c>
      <c r="J789" s="2637">
        <v>6041382951</v>
      </c>
      <c r="K789" s="2637">
        <v>5906565559</v>
      </c>
      <c r="L789" s="2637">
        <v>370677392</v>
      </c>
      <c r="M789" s="2637">
        <v>43077910</v>
      </c>
    </row>
    <row r="790" spans="1:13" ht="14.5">
      <c r="A790" s="2978" t="s">
        <v>10647</v>
      </c>
      <c r="B790" s="2113" t="str">
        <f t="shared" si="13"/>
        <v>192-901</v>
      </c>
      <c r="C790" s="2978" t="s">
        <v>6772</v>
      </c>
      <c r="D790" s="2639">
        <v>4628652803</v>
      </c>
      <c r="E790" s="2639">
        <v>4623095106</v>
      </c>
      <c r="F790" s="2639">
        <v>4624248334</v>
      </c>
      <c r="G790" s="2639">
        <v>4618690637</v>
      </c>
      <c r="H790" s="2639">
        <v>4847917423</v>
      </c>
      <c r="I790" s="2639">
        <v>4842359726</v>
      </c>
      <c r="J790" s="2639">
        <v>4843512954</v>
      </c>
      <c r="K790" s="2639">
        <v>4837955257</v>
      </c>
      <c r="L790" s="2639">
        <v>16582697</v>
      </c>
      <c r="M790" s="2639">
        <v>219264620</v>
      </c>
    </row>
    <row r="791" spans="1:13" ht="14.5">
      <c r="A791" s="2977" t="s">
        <v>10145</v>
      </c>
      <c r="B791" s="2113" t="str">
        <f t="shared" si="13"/>
        <v>193-902</v>
      </c>
      <c r="C791" s="2977" t="s">
        <v>6773</v>
      </c>
      <c r="D791" s="2637">
        <v>539275566</v>
      </c>
      <c r="E791" s="2637">
        <v>534137076</v>
      </c>
      <c r="F791" s="2637">
        <v>539275566</v>
      </c>
      <c r="G791" s="2637">
        <v>534137076</v>
      </c>
      <c r="H791" s="2637">
        <v>539275566</v>
      </c>
      <c r="I791" s="2637">
        <v>534137076</v>
      </c>
      <c r="J791" s="2637">
        <v>539275566</v>
      </c>
      <c r="K791" s="2637">
        <v>534137076</v>
      </c>
      <c r="L791" s="2637">
        <v>14558490</v>
      </c>
      <c r="M791" s="2637">
        <v>0</v>
      </c>
    </row>
    <row r="792" spans="1:13" ht="14.5">
      <c r="A792" s="2978" t="s">
        <v>10146</v>
      </c>
      <c r="B792" s="2113" t="str">
        <f t="shared" si="13"/>
        <v>194-902</v>
      </c>
      <c r="C792" s="2978" t="s">
        <v>6774</v>
      </c>
      <c r="D792" s="2639">
        <v>69708350</v>
      </c>
      <c r="E792" s="2639">
        <v>65753669</v>
      </c>
      <c r="F792" s="2639">
        <v>69708350</v>
      </c>
      <c r="G792" s="2639">
        <v>65753669</v>
      </c>
      <c r="H792" s="2639">
        <v>69708350</v>
      </c>
      <c r="I792" s="2639">
        <v>65753669</v>
      </c>
      <c r="J792" s="2639">
        <v>69708350</v>
      </c>
      <c r="K792" s="2639">
        <v>65753669</v>
      </c>
      <c r="L792" s="2639">
        <v>11184681</v>
      </c>
      <c r="M792" s="2639">
        <v>0</v>
      </c>
    </row>
    <row r="793" spans="1:13" ht="14.5">
      <c r="A793" s="2977" t="s">
        <v>10147</v>
      </c>
      <c r="B793" s="2113" t="str">
        <f t="shared" si="13"/>
        <v>194-903</v>
      </c>
      <c r="C793" s="2977" t="s">
        <v>6775</v>
      </c>
      <c r="D793" s="2637">
        <v>258159249</v>
      </c>
      <c r="E793" s="2637">
        <v>249162225</v>
      </c>
      <c r="F793" s="2637">
        <v>258159249</v>
      </c>
      <c r="G793" s="2637">
        <v>249162225</v>
      </c>
      <c r="H793" s="2637">
        <v>258159249</v>
      </c>
      <c r="I793" s="2637">
        <v>249162225</v>
      </c>
      <c r="J793" s="2637">
        <v>258159249</v>
      </c>
      <c r="K793" s="2637">
        <v>249162225</v>
      </c>
      <c r="L793" s="2637">
        <v>25092024</v>
      </c>
      <c r="M793" s="2637">
        <v>0</v>
      </c>
    </row>
    <row r="794" spans="1:13" ht="14.5">
      <c r="A794" s="2978" t="s">
        <v>10148</v>
      </c>
      <c r="B794" s="2113" t="str">
        <f t="shared" si="13"/>
        <v>194-904</v>
      </c>
      <c r="C794" s="2978" t="s">
        <v>6776</v>
      </c>
      <c r="D794" s="2639">
        <v>273954273</v>
      </c>
      <c r="E794" s="2639">
        <v>261430097</v>
      </c>
      <c r="F794" s="2639">
        <v>273954273</v>
      </c>
      <c r="G794" s="2639">
        <v>261430097</v>
      </c>
      <c r="H794" s="2639">
        <v>273954273</v>
      </c>
      <c r="I794" s="2639">
        <v>261430097</v>
      </c>
      <c r="J794" s="2639">
        <v>273954273</v>
      </c>
      <c r="K794" s="2639">
        <v>261430097</v>
      </c>
      <c r="L794" s="2639">
        <v>35564176</v>
      </c>
      <c r="M794" s="2639">
        <v>0</v>
      </c>
    </row>
    <row r="795" spans="1:13" ht="14.5">
      <c r="A795" s="2977" t="s">
        <v>10149</v>
      </c>
      <c r="B795" s="2113" t="str">
        <f t="shared" si="13"/>
        <v>194-905</v>
      </c>
      <c r="C795" s="2977" t="s">
        <v>6777</v>
      </c>
      <c r="D795" s="2637">
        <v>97047307</v>
      </c>
      <c r="E795" s="2637">
        <v>92020644</v>
      </c>
      <c r="F795" s="2637">
        <v>97047307</v>
      </c>
      <c r="G795" s="2637">
        <v>92020644</v>
      </c>
      <c r="H795" s="2637">
        <v>97047307</v>
      </c>
      <c r="I795" s="2637">
        <v>92020644</v>
      </c>
      <c r="J795" s="2637">
        <v>97047307</v>
      </c>
      <c r="K795" s="2637">
        <v>92020644</v>
      </c>
      <c r="L795" s="2637">
        <v>14161663</v>
      </c>
      <c r="M795" s="2637">
        <v>0</v>
      </c>
    </row>
    <row r="796" spans="1:13" ht="14.5">
      <c r="A796" s="2978" t="s">
        <v>10648</v>
      </c>
      <c r="B796" s="2113" t="str">
        <f t="shared" si="13"/>
        <v>195-901</v>
      </c>
      <c r="C796" s="2978" t="s">
        <v>6778</v>
      </c>
      <c r="D796" s="2639">
        <v>14432320625</v>
      </c>
      <c r="E796" s="2639">
        <v>14409903687</v>
      </c>
      <c r="F796" s="2639">
        <v>14414990891</v>
      </c>
      <c r="G796" s="2639">
        <v>14392573953</v>
      </c>
      <c r="H796" s="2639">
        <v>15802279011</v>
      </c>
      <c r="I796" s="2639">
        <v>15779862073</v>
      </c>
      <c r="J796" s="2639">
        <v>15784949277</v>
      </c>
      <c r="K796" s="2639">
        <v>15762532339</v>
      </c>
      <c r="L796" s="2639">
        <v>61116938</v>
      </c>
      <c r="M796" s="2639">
        <v>1369958386</v>
      </c>
    </row>
    <row r="797" spans="1:13" ht="14.5">
      <c r="A797" s="2977" t="s">
        <v>10150</v>
      </c>
      <c r="B797" s="2113" t="str">
        <f t="shared" si="13"/>
        <v>195-902</v>
      </c>
      <c r="C797" s="2977" t="s">
        <v>6779</v>
      </c>
      <c r="D797" s="2637">
        <v>469376445</v>
      </c>
      <c r="E797" s="2637">
        <v>468203622</v>
      </c>
      <c r="F797" s="2637">
        <v>469376445</v>
      </c>
      <c r="G797" s="2637">
        <v>468203622</v>
      </c>
      <c r="H797" s="2637">
        <v>469376445</v>
      </c>
      <c r="I797" s="2637">
        <v>468203622</v>
      </c>
      <c r="J797" s="2637">
        <v>469376445</v>
      </c>
      <c r="K797" s="2637">
        <v>468203622</v>
      </c>
      <c r="L797" s="2637">
        <v>3317823</v>
      </c>
      <c r="M797" s="2637">
        <v>0</v>
      </c>
    </row>
    <row r="798" spans="1:13" ht="14.5">
      <c r="A798" s="2978" t="s">
        <v>10151</v>
      </c>
      <c r="B798" s="2113" t="str">
        <f t="shared" si="13"/>
        <v>196-901</v>
      </c>
      <c r="C798" s="2978" t="s">
        <v>6780</v>
      </c>
      <c r="D798" s="2639">
        <v>193755557</v>
      </c>
      <c r="E798" s="2639">
        <v>192184407</v>
      </c>
      <c r="F798" s="2639">
        <v>192410222</v>
      </c>
      <c r="G798" s="2639">
        <v>190839072</v>
      </c>
      <c r="H798" s="2639">
        <v>193755557</v>
      </c>
      <c r="I798" s="2639">
        <v>192184407</v>
      </c>
      <c r="J798" s="2639">
        <v>192410222</v>
      </c>
      <c r="K798" s="2639">
        <v>190839072</v>
      </c>
      <c r="L798" s="2639">
        <v>4841150</v>
      </c>
      <c r="M798" s="2639">
        <v>0</v>
      </c>
    </row>
    <row r="799" spans="1:13" ht="14.5">
      <c r="A799" s="2977" t="s">
        <v>10152</v>
      </c>
      <c r="B799" s="2113" t="str">
        <f t="shared" si="13"/>
        <v>196-902</v>
      </c>
      <c r="C799" s="2977" t="s">
        <v>6781</v>
      </c>
      <c r="D799" s="2637">
        <v>275362289</v>
      </c>
      <c r="E799" s="2637">
        <v>269722707</v>
      </c>
      <c r="F799" s="2637">
        <v>275362289</v>
      </c>
      <c r="G799" s="2637">
        <v>269722707</v>
      </c>
      <c r="H799" s="2637">
        <v>490265289</v>
      </c>
      <c r="I799" s="2637">
        <v>484625707</v>
      </c>
      <c r="J799" s="2637">
        <v>490265289</v>
      </c>
      <c r="K799" s="2637">
        <v>484625707</v>
      </c>
      <c r="L799" s="2637">
        <v>17099582</v>
      </c>
      <c r="M799" s="2637">
        <v>214903000</v>
      </c>
    </row>
    <row r="800" spans="1:13" ht="14.5">
      <c r="A800" s="2978" t="s">
        <v>10153</v>
      </c>
      <c r="B800" s="2113" t="str">
        <f t="shared" si="13"/>
        <v>196-903</v>
      </c>
      <c r="C800" s="2978" t="s">
        <v>6782</v>
      </c>
      <c r="D800" s="2639">
        <v>384339410</v>
      </c>
      <c r="E800" s="2639">
        <v>377043311</v>
      </c>
      <c r="F800" s="2639">
        <v>384339410</v>
      </c>
      <c r="G800" s="2639">
        <v>377043311</v>
      </c>
      <c r="H800" s="2639">
        <v>384339410</v>
      </c>
      <c r="I800" s="2639">
        <v>377043311</v>
      </c>
      <c r="J800" s="2639">
        <v>384339410</v>
      </c>
      <c r="K800" s="2639">
        <v>377043311</v>
      </c>
      <c r="L800" s="2639">
        <v>20601099</v>
      </c>
      <c r="M800" s="2639">
        <v>0</v>
      </c>
    </row>
    <row r="801" spans="1:13" ht="14.5">
      <c r="A801" s="2977" t="s">
        <v>10154</v>
      </c>
      <c r="B801" s="2113" t="str">
        <f t="shared" si="13"/>
        <v>197-902</v>
      </c>
      <c r="C801" s="2977" t="s">
        <v>6783</v>
      </c>
      <c r="D801" s="2637">
        <v>289120040</v>
      </c>
      <c r="E801" s="2637">
        <v>286943939</v>
      </c>
      <c r="F801" s="2637">
        <v>287943053</v>
      </c>
      <c r="G801" s="2637">
        <v>285766952</v>
      </c>
      <c r="H801" s="2637">
        <v>358687660</v>
      </c>
      <c r="I801" s="2637">
        <v>356511559</v>
      </c>
      <c r="J801" s="2637">
        <v>357510673</v>
      </c>
      <c r="K801" s="2637">
        <v>355334572</v>
      </c>
      <c r="L801" s="2637">
        <v>5731101</v>
      </c>
      <c r="M801" s="2637">
        <v>69567620</v>
      </c>
    </row>
    <row r="802" spans="1:13" ht="14.5">
      <c r="A802" s="2978" t="s">
        <v>10155</v>
      </c>
      <c r="B802" s="2113" t="str">
        <f t="shared" si="13"/>
        <v>198-901</v>
      </c>
      <c r="C802" s="2978" t="s">
        <v>6784</v>
      </c>
      <c r="D802" s="2639">
        <v>283199319</v>
      </c>
      <c r="E802" s="2639">
        <v>277896254</v>
      </c>
      <c r="F802" s="2639">
        <v>283199319</v>
      </c>
      <c r="G802" s="2639">
        <v>277896254</v>
      </c>
      <c r="H802" s="2639">
        <v>283199319</v>
      </c>
      <c r="I802" s="2639">
        <v>277896254</v>
      </c>
      <c r="J802" s="2639">
        <v>283199319</v>
      </c>
      <c r="K802" s="2639">
        <v>277896254</v>
      </c>
      <c r="L802" s="2639">
        <v>15113065</v>
      </c>
      <c r="M802" s="2639">
        <v>0</v>
      </c>
    </row>
    <row r="803" spans="1:13" ht="14.5">
      <c r="A803" s="2977" t="s">
        <v>10156</v>
      </c>
      <c r="B803" s="2113" t="str">
        <f t="shared" si="13"/>
        <v>198-902</v>
      </c>
      <c r="C803" s="2977" t="s">
        <v>6785</v>
      </c>
      <c r="D803" s="2637">
        <v>175701789</v>
      </c>
      <c r="E803" s="2637">
        <v>172911684</v>
      </c>
      <c r="F803" s="2637">
        <v>175701789</v>
      </c>
      <c r="G803" s="2637">
        <v>172911684</v>
      </c>
      <c r="H803" s="2637">
        <v>175701789</v>
      </c>
      <c r="I803" s="2637">
        <v>172911684</v>
      </c>
      <c r="J803" s="2637">
        <v>175701789</v>
      </c>
      <c r="K803" s="2637">
        <v>172911684</v>
      </c>
      <c r="L803" s="2637">
        <v>8175105</v>
      </c>
      <c r="M803" s="2637">
        <v>0</v>
      </c>
    </row>
    <row r="804" spans="1:13" ht="14.5">
      <c r="A804" s="2978" t="s">
        <v>10649</v>
      </c>
      <c r="B804" s="2113" t="str">
        <f t="shared" si="13"/>
        <v>198-903</v>
      </c>
      <c r="C804" s="2978" t="s">
        <v>6786</v>
      </c>
      <c r="D804" s="2639">
        <v>1749113492</v>
      </c>
      <c r="E804" s="2639">
        <v>1735177559</v>
      </c>
      <c r="F804" s="2639">
        <v>1749113492</v>
      </c>
      <c r="G804" s="2639">
        <v>1735177559</v>
      </c>
      <c r="H804" s="2639">
        <v>1749113492</v>
      </c>
      <c r="I804" s="2639">
        <v>1735177559</v>
      </c>
      <c r="J804" s="2639">
        <v>1749113492</v>
      </c>
      <c r="K804" s="2639">
        <v>1735177559</v>
      </c>
      <c r="L804" s="2639">
        <v>39060933</v>
      </c>
      <c r="M804" s="2639">
        <v>0</v>
      </c>
    </row>
    <row r="805" spans="1:13" ht="14.5">
      <c r="A805" s="2977" t="s">
        <v>10157</v>
      </c>
      <c r="B805" s="2113" t="str">
        <f t="shared" si="13"/>
        <v>198-905</v>
      </c>
      <c r="C805" s="2977" t="s">
        <v>6787</v>
      </c>
      <c r="D805" s="2637">
        <v>556508983</v>
      </c>
      <c r="E805" s="2637">
        <v>543268834</v>
      </c>
      <c r="F805" s="2637">
        <v>556508983</v>
      </c>
      <c r="G805" s="2637">
        <v>543268834</v>
      </c>
      <c r="H805" s="2637">
        <v>556508983</v>
      </c>
      <c r="I805" s="2637">
        <v>543268834</v>
      </c>
      <c r="J805" s="2637">
        <v>556508983</v>
      </c>
      <c r="K805" s="2637">
        <v>543268834</v>
      </c>
      <c r="L805" s="2637">
        <v>37345149</v>
      </c>
      <c r="M805" s="2637">
        <v>0</v>
      </c>
    </row>
    <row r="806" spans="1:13" ht="14.5">
      <c r="A806" s="2978" t="s">
        <v>10158</v>
      </c>
      <c r="B806" s="2113" t="str">
        <f t="shared" si="13"/>
        <v>198-906</v>
      </c>
      <c r="C806" s="2978" t="s">
        <v>6788</v>
      </c>
      <c r="D806" s="2639">
        <v>109867804</v>
      </c>
      <c r="E806" s="2639">
        <v>109548291</v>
      </c>
      <c r="F806" s="2639">
        <v>109867804</v>
      </c>
      <c r="G806" s="2639">
        <v>109548291</v>
      </c>
      <c r="H806" s="2639">
        <v>109867804</v>
      </c>
      <c r="I806" s="2639">
        <v>109548291</v>
      </c>
      <c r="J806" s="2639">
        <v>109867804</v>
      </c>
      <c r="K806" s="2639">
        <v>109548291</v>
      </c>
      <c r="L806" s="2639">
        <v>919513</v>
      </c>
      <c r="M806" s="2639">
        <v>0</v>
      </c>
    </row>
    <row r="807" spans="1:13" ht="14.5">
      <c r="A807" s="2977" t="s">
        <v>10159</v>
      </c>
      <c r="B807" s="2113" t="str">
        <f t="shared" si="13"/>
        <v>199-901</v>
      </c>
      <c r="C807" s="2977" t="s">
        <v>6789</v>
      </c>
      <c r="D807" s="2637">
        <v>12143189692</v>
      </c>
      <c r="E807" s="2637">
        <v>11934673724</v>
      </c>
      <c r="F807" s="2637">
        <v>12143189692</v>
      </c>
      <c r="G807" s="2637">
        <v>11934673724</v>
      </c>
      <c r="H807" s="2637">
        <v>12143189692</v>
      </c>
      <c r="I807" s="2637">
        <v>11934673724</v>
      </c>
      <c r="J807" s="2637">
        <v>12143189692</v>
      </c>
      <c r="K807" s="2637">
        <v>11934673724</v>
      </c>
      <c r="L807" s="2637">
        <v>527880968</v>
      </c>
      <c r="M807" s="2637">
        <v>0</v>
      </c>
    </row>
    <row r="808" spans="1:13" ht="14.5">
      <c r="A808" s="2978" t="s">
        <v>10160</v>
      </c>
      <c r="B808" s="2113" t="str">
        <f t="shared" si="13"/>
        <v>199-902</v>
      </c>
      <c r="C808" s="2978" t="s">
        <v>6790</v>
      </c>
      <c r="D808" s="2639">
        <v>3146650002</v>
      </c>
      <c r="E808" s="2639">
        <v>3074404252</v>
      </c>
      <c r="F808" s="2639">
        <v>3146650002</v>
      </c>
      <c r="G808" s="2639">
        <v>3074404252</v>
      </c>
      <c r="H808" s="2639">
        <v>3146650002</v>
      </c>
      <c r="I808" s="2639">
        <v>3074404252</v>
      </c>
      <c r="J808" s="2639">
        <v>3146650002</v>
      </c>
      <c r="K808" s="2639">
        <v>3074404252</v>
      </c>
      <c r="L808" s="2639">
        <v>186575750</v>
      </c>
      <c r="M808" s="2639">
        <v>0</v>
      </c>
    </row>
    <row r="809" spans="1:13" ht="14.5">
      <c r="A809" s="2977" t="s">
        <v>10161</v>
      </c>
      <c r="B809" s="2113" t="str">
        <f t="shared" si="13"/>
        <v>200-901</v>
      </c>
      <c r="C809" s="2977" t="s">
        <v>6791</v>
      </c>
      <c r="D809" s="2637">
        <v>431075625</v>
      </c>
      <c r="E809" s="2637">
        <v>418094491</v>
      </c>
      <c r="F809" s="2637">
        <v>431075625</v>
      </c>
      <c r="G809" s="2637">
        <v>418094491</v>
      </c>
      <c r="H809" s="2637">
        <v>431075625</v>
      </c>
      <c r="I809" s="2637">
        <v>418094491</v>
      </c>
      <c r="J809" s="2637">
        <v>431075625</v>
      </c>
      <c r="K809" s="2637">
        <v>418094491</v>
      </c>
      <c r="L809" s="2637">
        <v>34101134</v>
      </c>
      <c r="M809" s="2637">
        <v>0</v>
      </c>
    </row>
    <row r="810" spans="1:13" ht="14.5">
      <c r="A810" s="2978" t="s">
        <v>10162</v>
      </c>
      <c r="B810" s="2113" t="str">
        <f t="shared" si="13"/>
        <v>200-902</v>
      </c>
      <c r="C810" s="2978" t="s">
        <v>6792</v>
      </c>
      <c r="D810" s="2639">
        <v>121031271</v>
      </c>
      <c r="E810" s="2639">
        <v>116586369</v>
      </c>
      <c r="F810" s="2639">
        <v>121031271</v>
      </c>
      <c r="G810" s="2639">
        <v>116586369</v>
      </c>
      <c r="H810" s="2639">
        <v>121031271</v>
      </c>
      <c r="I810" s="2639">
        <v>116586369</v>
      </c>
      <c r="J810" s="2639">
        <v>121031271</v>
      </c>
      <c r="K810" s="2639">
        <v>116586369</v>
      </c>
      <c r="L810" s="2639">
        <v>11464902</v>
      </c>
      <c r="M810" s="2639">
        <v>0</v>
      </c>
    </row>
    <row r="811" spans="1:13" ht="14.5">
      <c r="A811" s="2977" t="s">
        <v>10650</v>
      </c>
      <c r="B811" s="2113" t="str">
        <f t="shared" si="13"/>
        <v>200-904</v>
      </c>
      <c r="C811" s="2977" t="s">
        <v>6793</v>
      </c>
      <c r="D811" s="2637">
        <v>228441239</v>
      </c>
      <c r="E811" s="2637">
        <v>220537358</v>
      </c>
      <c r="F811" s="2637">
        <v>228441239</v>
      </c>
      <c r="G811" s="2637">
        <v>220537358</v>
      </c>
      <c r="H811" s="2637">
        <v>228441239</v>
      </c>
      <c r="I811" s="2637">
        <v>220537358</v>
      </c>
      <c r="J811" s="2637">
        <v>228441239</v>
      </c>
      <c r="K811" s="2637">
        <v>220537358</v>
      </c>
      <c r="L811" s="2637">
        <v>20908881</v>
      </c>
      <c r="M811" s="2637">
        <v>0</v>
      </c>
    </row>
    <row r="812" spans="1:13" ht="14.5">
      <c r="A812" s="2978" t="s">
        <v>10163</v>
      </c>
      <c r="B812" s="2113" t="str">
        <f t="shared" si="13"/>
        <v>200-906</v>
      </c>
      <c r="C812" s="2978" t="s">
        <v>6794</v>
      </c>
      <c r="D812" s="2639">
        <v>13107033</v>
      </c>
      <c r="E812" s="2639">
        <v>12813283</v>
      </c>
      <c r="F812" s="2639">
        <v>13107033</v>
      </c>
      <c r="G812" s="2639">
        <v>12813283</v>
      </c>
      <c r="H812" s="2639">
        <v>13107033</v>
      </c>
      <c r="I812" s="2639">
        <v>12813283</v>
      </c>
      <c r="J812" s="2639">
        <v>13107033</v>
      </c>
      <c r="K812" s="2639">
        <v>12813283</v>
      </c>
      <c r="L812" s="2639">
        <v>743750</v>
      </c>
      <c r="M812" s="2639">
        <v>0</v>
      </c>
    </row>
    <row r="813" spans="1:13" ht="14.5">
      <c r="A813" s="2977" t="s">
        <v>10651</v>
      </c>
      <c r="B813" s="2113" t="str">
        <f t="shared" si="13"/>
        <v>201-902</v>
      </c>
      <c r="C813" s="2977" t="s">
        <v>6795</v>
      </c>
      <c r="D813" s="2637">
        <v>1641147694</v>
      </c>
      <c r="E813" s="2637">
        <v>1598438439</v>
      </c>
      <c r="F813" s="2637">
        <v>1581970329</v>
      </c>
      <c r="G813" s="2637">
        <v>1539261074</v>
      </c>
      <c r="H813" s="2637">
        <v>1641147694</v>
      </c>
      <c r="I813" s="2637">
        <v>1598438439</v>
      </c>
      <c r="J813" s="2637">
        <v>1581970329</v>
      </c>
      <c r="K813" s="2637">
        <v>1539261074</v>
      </c>
      <c r="L813" s="2637">
        <v>114484255</v>
      </c>
      <c r="M813" s="2637">
        <v>0</v>
      </c>
    </row>
    <row r="814" spans="1:13" ht="14.5">
      <c r="A814" s="2978" t="s">
        <v>10164</v>
      </c>
      <c r="B814" s="2113" t="str">
        <f t="shared" si="13"/>
        <v>201-903</v>
      </c>
      <c r="C814" s="2978" t="s">
        <v>6796</v>
      </c>
      <c r="D814" s="2639">
        <v>109828624</v>
      </c>
      <c r="E814" s="2639">
        <v>106352934</v>
      </c>
      <c r="F814" s="2639">
        <v>105909749</v>
      </c>
      <c r="G814" s="2639">
        <v>102434059</v>
      </c>
      <c r="H814" s="2639">
        <v>109828624</v>
      </c>
      <c r="I814" s="2639">
        <v>106352934</v>
      </c>
      <c r="J814" s="2639">
        <v>105909749</v>
      </c>
      <c r="K814" s="2639">
        <v>102434059</v>
      </c>
      <c r="L814" s="2639">
        <v>10315690</v>
      </c>
      <c r="M814" s="2639">
        <v>0</v>
      </c>
    </row>
    <row r="815" spans="1:13" ht="14.5">
      <c r="A815" s="2977" t="s">
        <v>10165</v>
      </c>
      <c r="B815" s="2113" t="str">
        <f t="shared" si="13"/>
        <v>201-904</v>
      </c>
      <c r="C815" s="2977" t="s">
        <v>6797</v>
      </c>
      <c r="D815" s="2637">
        <v>33600765</v>
      </c>
      <c r="E815" s="2637">
        <v>32454035</v>
      </c>
      <c r="F815" s="2637">
        <v>32359515</v>
      </c>
      <c r="G815" s="2637">
        <v>31212785</v>
      </c>
      <c r="H815" s="2637">
        <v>33600765</v>
      </c>
      <c r="I815" s="2637">
        <v>32454035</v>
      </c>
      <c r="J815" s="2637">
        <v>32359515</v>
      </c>
      <c r="K815" s="2637">
        <v>31212785</v>
      </c>
      <c r="L815" s="2637">
        <v>3876730</v>
      </c>
      <c r="M815" s="2637">
        <v>0</v>
      </c>
    </row>
    <row r="816" spans="1:13" ht="14.5">
      <c r="A816" s="2978" t="s">
        <v>10166</v>
      </c>
      <c r="B816" s="2113" t="str">
        <f t="shared" si="13"/>
        <v>201-907</v>
      </c>
      <c r="C816" s="2978" t="s">
        <v>6798</v>
      </c>
      <c r="D816" s="2639">
        <v>75494220</v>
      </c>
      <c r="E816" s="2639">
        <v>71911320</v>
      </c>
      <c r="F816" s="2639">
        <v>71141075</v>
      </c>
      <c r="G816" s="2639">
        <v>67558175</v>
      </c>
      <c r="H816" s="2639">
        <v>75494220</v>
      </c>
      <c r="I816" s="2639">
        <v>71911320</v>
      </c>
      <c r="J816" s="2639">
        <v>71141075</v>
      </c>
      <c r="K816" s="2639">
        <v>67558175</v>
      </c>
      <c r="L816" s="2639">
        <v>11382900</v>
      </c>
      <c r="M816" s="2639">
        <v>0</v>
      </c>
    </row>
    <row r="817" spans="1:13" ht="14.5">
      <c r="A817" s="2977" t="s">
        <v>10167</v>
      </c>
      <c r="B817" s="2113" t="str">
        <f t="shared" si="13"/>
        <v>201-908</v>
      </c>
      <c r="C817" s="2977" t="s">
        <v>6799</v>
      </c>
      <c r="D817" s="2637">
        <v>92293406</v>
      </c>
      <c r="E817" s="2637">
        <v>87362221</v>
      </c>
      <c r="F817" s="2637">
        <v>87469306</v>
      </c>
      <c r="G817" s="2637">
        <v>82538121</v>
      </c>
      <c r="H817" s="2637">
        <v>92293406</v>
      </c>
      <c r="I817" s="2637">
        <v>87362221</v>
      </c>
      <c r="J817" s="2637">
        <v>87469306</v>
      </c>
      <c r="K817" s="2637">
        <v>82538121</v>
      </c>
      <c r="L817" s="2637">
        <v>13391185</v>
      </c>
      <c r="M817" s="2637">
        <v>0</v>
      </c>
    </row>
    <row r="818" spans="1:13" ht="14.5">
      <c r="A818" s="2978" t="s">
        <v>10652</v>
      </c>
      <c r="B818" s="2113" t="str">
        <f t="shared" si="13"/>
        <v>201-910</v>
      </c>
      <c r="C818" s="2978" t="s">
        <v>6800</v>
      </c>
      <c r="D818" s="2639">
        <v>823602317</v>
      </c>
      <c r="E818" s="2639">
        <v>811187537</v>
      </c>
      <c r="F818" s="2639">
        <v>804532342</v>
      </c>
      <c r="G818" s="2639">
        <v>792117562</v>
      </c>
      <c r="H818" s="2639">
        <v>823602317</v>
      </c>
      <c r="I818" s="2639">
        <v>811187537</v>
      </c>
      <c r="J818" s="2639">
        <v>804532342</v>
      </c>
      <c r="K818" s="2639">
        <v>792117562</v>
      </c>
      <c r="L818" s="2639">
        <v>35589780</v>
      </c>
      <c r="M818" s="2639">
        <v>0</v>
      </c>
    </row>
    <row r="819" spans="1:13" ht="14.5">
      <c r="A819" s="2977" t="s">
        <v>10168</v>
      </c>
      <c r="B819" s="2113" t="str">
        <f t="shared" si="13"/>
        <v>201-913</v>
      </c>
      <c r="C819" s="2977" t="s">
        <v>6801</v>
      </c>
      <c r="D819" s="2637">
        <v>147754688</v>
      </c>
      <c r="E819" s="2637">
        <v>143340858</v>
      </c>
      <c r="F819" s="2637">
        <v>141601831</v>
      </c>
      <c r="G819" s="2637">
        <v>137188001</v>
      </c>
      <c r="H819" s="2637">
        <v>147754688</v>
      </c>
      <c r="I819" s="2637">
        <v>143340858</v>
      </c>
      <c r="J819" s="2637">
        <v>141601831</v>
      </c>
      <c r="K819" s="2637">
        <v>137188001</v>
      </c>
      <c r="L819" s="2637">
        <v>12648830</v>
      </c>
      <c r="M819" s="2637">
        <v>0</v>
      </c>
    </row>
    <row r="820" spans="1:13" ht="14.5">
      <c r="A820" s="2978" t="s">
        <v>10169</v>
      </c>
      <c r="B820" s="2113" t="str">
        <f t="shared" si="13"/>
        <v>201-914</v>
      </c>
      <c r="C820" s="2978" t="s">
        <v>6802</v>
      </c>
      <c r="D820" s="2639">
        <v>346260225</v>
      </c>
      <c r="E820" s="2639">
        <v>335479239</v>
      </c>
      <c r="F820" s="2639">
        <v>334318020</v>
      </c>
      <c r="G820" s="2639">
        <v>323537034</v>
      </c>
      <c r="H820" s="2639">
        <v>346260225</v>
      </c>
      <c r="I820" s="2639">
        <v>335479239</v>
      </c>
      <c r="J820" s="2639">
        <v>334318020</v>
      </c>
      <c r="K820" s="2639">
        <v>323537034</v>
      </c>
      <c r="L820" s="2639">
        <v>31195986</v>
      </c>
      <c r="M820" s="2639">
        <v>0</v>
      </c>
    </row>
    <row r="821" spans="1:13" ht="14.5">
      <c r="A821" s="2977" t="s">
        <v>10170</v>
      </c>
      <c r="B821" s="2113" t="str">
        <f t="shared" si="13"/>
        <v>202-903</v>
      </c>
      <c r="C821" s="2977" t="s">
        <v>6803</v>
      </c>
      <c r="D821" s="2637">
        <v>722698026</v>
      </c>
      <c r="E821" s="2637">
        <v>700757183</v>
      </c>
      <c r="F821" s="2637">
        <v>722698026</v>
      </c>
      <c r="G821" s="2637">
        <v>700757183</v>
      </c>
      <c r="H821" s="2637">
        <v>722698026</v>
      </c>
      <c r="I821" s="2637">
        <v>700757183</v>
      </c>
      <c r="J821" s="2637">
        <v>722698026</v>
      </c>
      <c r="K821" s="2637">
        <v>700757183</v>
      </c>
      <c r="L821" s="2637">
        <v>60340843</v>
      </c>
      <c r="M821" s="2637">
        <v>0</v>
      </c>
    </row>
    <row r="822" spans="1:13" ht="14.5">
      <c r="A822" s="2978" t="s">
        <v>10171</v>
      </c>
      <c r="B822" s="2113" t="str">
        <f t="shared" si="13"/>
        <v>202-905</v>
      </c>
      <c r="C822" s="2978" t="s">
        <v>6804</v>
      </c>
      <c r="D822" s="2639">
        <v>181951197</v>
      </c>
      <c r="E822" s="2639">
        <v>175915941</v>
      </c>
      <c r="F822" s="2639">
        <v>176920484</v>
      </c>
      <c r="G822" s="2639">
        <v>170885228</v>
      </c>
      <c r="H822" s="2639">
        <v>181951197</v>
      </c>
      <c r="I822" s="2639">
        <v>175915941</v>
      </c>
      <c r="J822" s="2639">
        <v>176920484</v>
      </c>
      <c r="K822" s="2639">
        <v>170885228</v>
      </c>
      <c r="L822" s="2639">
        <v>17420256</v>
      </c>
      <c r="M822" s="2639">
        <v>0</v>
      </c>
    </row>
    <row r="823" spans="1:13" ht="14.5">
      <c r="A823" s="2977" t="s">
        <v>10172</v>
      </c>
      <c r="B823" s="2113" t="str">
        <f t="shared" si="13"/>
        <v>203-901</v>
      </c>
      <c r="C823" s="2977" t="s">
        <v>6805</v>
      </c>
      <c r="D823" s="2637">
        <v>464656186</v>
      </c>
      <c r="E823" s="2637">
        <v>455680031</v>
      </c>
      <c r="F823" s="2637">
        <v>464656186</v>
      </c>
      <c r="G823" s="2637">
        <v>455680031</v>
      </c>
      <c r="H823" s="2637">
        <v>464656186</v>
      </c>
      <c r="I823" s="2637">
        <v>455680031</v>
      </c>
      <c r="J823" s="2637">
        <v>464656186</v>
      </c>
      <c r="K823" s="2637">
        <v>455680031</v>
      </c>
      <c r="L823" s="2637">
        <v>28566155</v>
      </c>
      <c r="M823" s="2637">
        <v>0</v>
      </c>
    </row>
    <row r="824" spans="1:13" ht="14.5">
      <c r="A824" s="2978" t="s">
        <v>10173</v>
      </c>
      <c r="B824" s="2113" t="str">
        <f t="shared" si="13"/>
        <v>203-902</v>
      </c>
      <c r="C824" s="2978" t="s">
        <v>6806</v>
      </c>
      <c r="D824" s="2639">
        <v>535423157</v>
      </c>
      <c r="E824" s="2639">
        <v>529263817</v>
      </c>
      <c r="F824" s="2639">
        <v>535423157</v>
      </c>
      <c r="G824" s="2639">
        <v>529263817</v>
      </c>
      <c r="H824" s="2639">
        <v>535423157</v>
      </c>
      <c r="I824" s="2639">
        <v>529263817</v>
      </c>
      <c r="J824" s="2639">
        <v>535423157</v>
      </c>
      <c r="K824" s="2639">
        <v>529263817</v>
      </c>
      <c r="L824" s="2639">
        <v>18639340</v>
      </c>
      <c r="M824" s="2639">
        <v>0</v>
      </c>
    </row>
    <row r="825" spans="1:13" ht="14.5">
      <c r="A825" s="2977" t="s">
        <v>10174</v>
      </c>
      <c r="B825" s="2113" t="str">
        <f t="shared" si="13"/>
        <v>204-901</v>
      </c>
      <c r="C825" s="2977" t="s">
        <v>6807</v>
      </c>
      <c r="D825" s="2637">
        <v>1685472270</v>
      </c>
      <c r="E825" s="2637">
        <v>1651792693</v>
      </c>
      <c r="F825" s="2637">
        <v>1685472270</v>
      </c>
      <c r="G825" s="2637">
        <v>1651792693</v>
      </c>
      <c r="H825" s="2637">
        <v>1685472270</v>
      </c>
      <c r="I825" s="2637">
        <v>1651792693</v>
      </c>
      <c r="J825" s="2637">
        <v>1685472270</v>
      </c>
      <c r="K825" s="2637">
        <v>1651792693</v>
      </c>
      <c r="L825" s="2637">
        <v>105214577</v>
      </c>
      <c r="M825" s="2637">
        <v>0</v>
      </c>
    </row>
    <row r="826" spans="1:13" ht="14.5">
      <c r="A826" s="2978" t="s">
        <v>10175</v>
      </c>
      <c r="B826" s="2113" t="str">
        <f t="shared" si="13"/>
        <v>204-904</v>
      </c>
      <c r="C826" s="2978" t="s">
        <v>6808</v>
      </c>
      <c r="D826" s="2639">
        <v>561512673</v>
      </c>
      <c r="E826" s="2639">
        <v>547763042</v>
      </c>
      <c r="F826" s="2639">
        <v>561512673</v>
      </c>
      <c r="G826" s="2639">
        <v>547763042</v>
      </c>
      <c r="H826" s="2639">
        <v>561512673</v>
      </c>
      <c r="I826" s="2639">
        <v>547763042</v>
      </c>
      <c r="J826" s="2639">
        <v>561512673</v>
      </c>
      <c r="K826" s="2639">
        <v>547763042</v>
      </c>
      <c r="L826" s="2639">
        <v>45594631</v>
      </c>
      <c r="M826" s="2639">
        <v>0</v>
      </c>
    </row>
    <row r="827" spans="1:13" ht="14.5">
      <c r="A827" s="2977" t="s">
        <v>10176</v>
      </c>
      <c r="B827" s="2113" t="str">
        <f t="shared" si="13"/>
        <v>205-901</v>
      </c>
      <c r="C827" s="2977" t="s">
        <v>6809</v>
      </c>
      <c r="D827" s="2637">
        <v>1036298921</v>
      </c>
      <c r="E827" s="2637">
        <v>1015335650</v>
      </c>
      <c r="F827" s="2637">
        <v>1036298921</v>
      </c>
      <c r="G827" s="2637">
        <v>1015335650</v>
      </c>
      <c r="H827" s="2637">
        <v>1036298921</v>
      </c>
      <c r="I827" s="2637">
        <v>1015335650</v>
      </c>
      <c r="J827" s="2637">
        <v>1036298921</v>
      </c>
      <c r="K827" s="2637">
        <v>1015335650</v>
      </c>
      <c r="L827" s="2637">
        <v>57308271</v>
      </c>
      <c r="M827" s="2637">
        <v>0</v>
      </c>
    </row>
    <row r="828" spans="1:13" ht="14.5">
      <c r="A828" s="2978" t="s">
        <v>10177</v>
      </c>
      <c r="B828" s="2113" t="str">
        <f t="shared" si="13"/>
        <v>205-902</v>
      </c>
      <c r="C828" s="2978" t="s">
        <v>6810</v>
      </c>
      <c r="D828" s="2639">
        <v>3639942329</v>
      </c>
      <c r="E828" s="2639">
        <v>3598117973</v>
      </c>
      <c r="F828" s="2639">
        <v>3639942329</v>
      </c>
      <c r="G828" s="2639">
        <v>3598117973</v>
      </c>
      <c r="H828" s="2639">
        <v>11446566889</v>
      </c>
      <c r="I828" s="2639">
        <v>11404742533</v>
      </c>
      <c r="J828" s="2639">
        <v>11446566889</v>
      </c>
      <c r="K828" s="2639">
        <v>11404742533</v>
      </c>
      <c r="L828" s="2639">
        <v>106429356</v>
      </c>
      <c r="M828" s="2639">
        <v>7806624560</v>
      </c>
    </row>
    <row r="829" spans="1:13" ht="14.5">
      <c r="A829" s="2977" t="s">
        <v>10178</v>
      </c>
      <c r="B829" s="2113" t="str">
        <f t="shared" si="13"/>
        <v>205-903</v>
      </c>
      <c r="C829" s="2977" t="s">
        <v>6811</v>
      </c>
      <c r="D829" s="2637">
        <v>2757111060</v>
      </c>
      <c r="E829" s="2637">
        <v>2737195456</v>
      </c>
      <c r="F829" s="2637">
        <v>2757111060</v>
      </c>
      <c r="G829" s="2637">
        <v>2737195456</v>
      </c>
      <c r="H829" s="2637">
        <v>4085205690</v>
      </c>
      <c r="I829" s="2637">
        <v>4065290086</v>
      </c>
      <c r="J829" s="2637">
        <v>4085205690</v>
      </c>
      <c r="K829" s="2637">
        <v>4065290086</v>
      </c>
      <c r="L829" s="2637">
        <v>51250604</v>
      </c>
      <c r="M829" s="2637">
        <v>1328094630</v>
      </c>
    </row>
    <row r="830" spans="1:13" ht="14.5">
      <c r="A830" s="2978" t="s">
        <v>10179</v>
      </c>
      <c r="B830" s="2113" t="str">
        <f t="shared" si="13"/>
        <v>205-904</v>
      </c>
      <c r="C830" s="2978" t="s">
        <v>6812</v>
      </c>
      <c r="D830" s="2639">
        <v>563724791</v>
      </c>
      <c r="E830" s="2639">
        <v>548444167</v>
      </c>
      <c r="F830" s="2639">
        <v>563724791</v>
      </c>
      <c r="G830" s="2639">
        <v>548444167</v>
      </c>
      <c r="H830" s="2639">
        <v>711487221</v>
      </c>
      <c r="I830" s="2639">
        <v>696206597</v>
      </c>
      <c r="J830" s="2639">
        <v>711487221</v>
      </c>
      <c r="K830" s="2639">
        <v>696206597</v>
      </c>
      <c r="L830" s="2639">
        <v>43180624</v>
      </c>
      <c r="M830" s="2639">
        <v>147762430</v>
      </c>
    </row>
    <row r="831" spans="1:13" ht="14.5">
      <c r="A831" s="2977" t="s">
        <v>10180</v>
      </c>
      <c r="B831" s="2113" t="str">
        <f t="shared" si="13"/>
        <v>205-905</v>
      </c>
      <c r="C831" s="2977" t="s">
        <v>6813</v>
      </c>
      <c r="D831" s="2637">
        <v>442520719</v>
      </c>
      <c r="E831" s="2637">
        <v>431772093</v>
      </c>
      <c r="F831" s="2637">
        <v>442520719</v>
      </c>
      <c r="G831" s="2637">
        <v>431772093</v>
      </c>
      <c r="H831" s="2637">
        <v>442520719</v>
      </c>
      <c r="I831" s="2637">
        <v>431772093</v>
      </c>
      <c r="J831" s="2637">
        <v>442520719</v>
      </c>
      <c r="K831" s="2637">
        <v>431772093</v>
      </c>
      <c r="L831" s="2637">
        <v>29093626</v>
      </c>
      <c r="M831" s="2637">
        <v>0</v>
      </c>
    </row>
    <row r="832" spans="1:13" ht="14.5">
      <c r="A832" s="2978" t="s">
        <v>10181</v>
      </c>
      <c r="B832" s="2113" t="str">
        <f t="shared" si="13"/>
        <v>205-906</v>
      </c>
      <c r="C832" s="2978" t="s">
        <v>6814</v>
      </c>
      <c r="D832" s="2639">
        <v>1142299782</v>
      </c>
      <c r="E832" s="2639">
        <v>1125490490</v>
      </c>
      <c r="F832" s="2639">
        <v>1142299782</v>
      </c>
      <c r="G832" s="2639">
        <v>1125490490</v>
      </c>
      <c r="H832" s="2639">
        <v>1142299782</v>
      </c>
      <c r="I832" s="2639">
        <v>1125490490</v>
      </c>
      <c r="J832" s="2639">
        <v>1142299782</v>
      </c>
      <c r="K832" s="2639">
        <v>1125490490</v>
      </c>
      <c r="L832" s="2639">
        <v>45789292</v>
      </c>
      <c r="M832" s="2639">
        <v>0</v>
      </c>
    </row>
    <row r="833" spans="1:13" ht="14.5">
      <c r="A833" s="2977" t="s">
        <v>10182</v>
      </c>
      <c r="B833" s="2113" t="str">
        <f t="shared" si="13"/>
        <v>205-907</v>
      </c>
      <c r="C833" s="2977" t="s">
        <v>6815</v>
      </c>
      <c r="D833" s="2637">
        <v>802221528</v>
      </c>
      <c r="E833" s="2637">
        <v>793032509</v>
      </c>
      <c r="F833" s="2637">
        <v>802221528</v>
      </c>
      <c r="G833" s="2637">
        <v>793032509</v>
      </c>
      <c r="H833" s="2637">
        <v>834482588</v>
      </c>
      <c r="I833" s="2637">
        <v>825293569</v>
      </c>
      <c r="J833" s="2637">
        <v>834482588</v>
      </c>
      <c r="K833" s="2637">
        <v>825293569</v>
      </c>
      <c r="L833" s="2637">
        <v>24324019</v>
      </c>
      <c r="M833" s="2637">
        <v>32261060</v>
      </c>
    </row>
    <row r="834" spans="1:13" ht="14.5">
      <c r="A834" s="2978" t="s">
        <v>10183</v>
      </c>
      <c r="B834" s="2113" t="str">
        <f t="shared" si="13"/>
        <v>206-901</v>
      </c>
      <c r="C834" s="2978" t="s">
        <v>6816</v>
      </c>
      <c r="D834" s="2639">
        <v>460067223</v>
      </c>
      <c r="E834" s="2639">
        <v>450407273</v>
      </c>
      <c r="F834" s="2639">
        <v>460067223</v>
      </c>
      <c r="G834" s="2639">
        <v>450407273</v>
      </c>
      <c r="H834" s="2639">
        <v>460067223</v>
      </c>
      <c r="I834" s="2639">
        <v>450407273</v>
      </c>
      <c r="J834" s="2639">
        <v>460067223</v>
      </c>
      <c r="K834" s="2639">
        <v>450407273</v>
      </c>
      <c r="L834" s="2639">
        <v>25349950</v>
      </c>
      <c r="M834" s="2639">
        <v>0</v>
      </c>
    </row>
    <row r="835" spans="1:13" ht="14.5">
      <c r="A835" s="2977" t="s">
        <v>10184</v>
      </c>
      <c r="B835" s="2113" t="str">
        <f t="shared" si="13"/>
        <v>206-902</v>
      </c>
      <c r="C835" s="2977" t="s">
        <v>6817</v>
      </c>
      <c r="D835" s="2637">
        <v>115355126</v>
      </c>
      <c r="E835" s="2637">
        <v>112933606</v>
      </c>
      <c r="F835" s="2637">
        <v>115355126</v>
      </c>
      <c r="G835" s="2637">
        <v>112933606</v>
      </c>
      <c r="H835" s="2637">
        <v>115355126</v>
      </c>
      <c r="I835" s="2637">
        <v>112933606</v>
      </c>
      <c r="J835" s="2637">
        <v>115355126</v>
      </c>
      <c r="K835" s="2637">
        <v>112933606</v>
      </c>
      <c r="L835" s="2637">
        <v>6471520</v>
      </c>
      <c r="M835" s="2637">
        <v>0</v>
      </c>
    </row>
    <row r="836" spans="1:13" ht="14.5">
      <c r="A836" s="2978" t="s">
        <v>10185</v>
      </c>
      <c r="B836" s="2113" t="str">
        <f t="shared" si="13"/>
        <v>206-903</v>
      </c>
      <c r="C836" s="2978" t="s">
        <v>6818</v>
      </c>
      <c r="D836" s="2639">
        <v>82032475</v>
      </c>
      <c r="E836" s="2639">
        <v>80280975</v>
      </c>
      <c r="F836" s="2639">
        <v>82032475</v>
      </c>
      <c r="G836" s="2639">
        <v>80280975</v>
      </c>
      <c r="H836" s="2639">
        <v>82032475</v>
      </c>
      <c r="I836" s="2639">
        <v>80280975</v>
      </c>
      <c r="J836" s="2639">
        <v>82032475</v>
      </c>
      <c r="K836" s="2639">
        <v>80280975</v>
      </c>
      <c r="L836" s="2639">
        <v>4541500</v>
      </c>
      <c r="M836" s="2639">
        <v>0</v>
      </c>
    </row>
    <row r="837" spans="1:13" ht="14.5">
      <c r="A837" s="2977" t="s">
        <v>10186</v>
      </c>
      <c r="B837" s="2113" t="str">
        <f t="shared" si="13"/>
        <v>207-901</v>
      </c>
      <c r="C837" s="2977" t="s">
        <v>6819</v>
      </c>
      <c r="D837" s="2637">
        <v>378199195</v>
      </c>
      <c r="E837" s="2637">
        <v>373174747</v>
      </c>
      <c r="F837" s="2637">
        <v>374071134</v>
      </c>
      <c r="G837" s="2637">
        <v>369046686</v>
      </c>
      <c r="H837" s="2637">
        <v>555784195</v>
      </c>
      <c r="I837" s="2637">
        <v>550759747</v>
      </c>
      <c r="J837" s="2637">
        <v>551656134</v>
      </c>
      <c r="K837" s="2637">
        <v>546631686</v>
      </c>
      <c r="L837" s="2637">
        <v>16004448</v>
      </c>
      <c r="M837" s="2637">
        <v>177585000</v>
      </c>
    </row>
    <row r="838" spans="1:13" ht="14.5">
      <c r="A838" s="2978" t="s">
        <v>10653</v>
      </c>
      <c r="B838" s="2113" t="str">
        <f t="shared" ref="B838:B901" si="14">CONCATENATE(RIGHT(LEFT(CONCATENATE("000",A838),6),3),"-",(LEFT(RIGHT(CONCATENATE("000",A838),6),3)))</f>
        <v>208-901</v>
      </c>
      <c r="C838" s="2978" t="s">
        <v>6820</v>
      </c>
      <c r="D838" s="2639">
        <v>354171859</v>
      </c>
      <c r="E838" s="2639">
        <v>352455173</v>
      </c>
      <c r="F838" s="2639">
        <v>354171859</v>
      </c>
      <c r="G838" s="2639">
        <v>352455173</v>
      </c>
      <c r="H838" s="2639">
        <v>354171859</v>
      </c>
      <c r="I838" s="2639">
        <v>352455173</v>
      </c>
      <c r="J838" s="2639">
        <v>354171859</v>
      </c>
      <c r="K838" s="2639">
        <v>352455173</v>
      </c>
      <c r="L838" s="2639">
        <v>5196686</v>
      </c>
      <c r="M838" s="2639">
        <v>0</v>
      </c>
    </row>
    <row r="839" spans="1:13" ht="14.5">
      <c r="A839" s="2977" t="s">
        <v>10654</v>
      </c>
      <c r="B839" s="2113" t="str">
        <f t="shared" si="14"/>
        <v>208-902</v>
      </c>
      <c r="C839" s="2977" t="s">
        <v>6821</v>
      </c>
      <c r="D839" s="2637">
        <v>1968937627</v>
      </c>
      <c r="E839" s="2637">
        <v>1939446399</v>
      </c>
      <c r="F839" s="2637">
        <v>1968937627</v>
      </c>
      <c r="G839" s="2637">
        <v>1939446399</v>
      </c>
      <c r="H839" s="2637">
        <v>2478911927</v>
      </c>
      <c r="I839" s="2637">
        <v>2449420699</v>
      </c>
      <c r="J839" s="2637">
        <v>2478911927</v>
      </c>
      <c r="K839" s="2637">
        <v>2449420699</v>
      </c>
      <c r="L839" s="2637">
        <v>84526228</v>
      </c>
      <c r="M839" s="2637">
        <v>509974300</v>
      </c>
    </row>
    <row r="840" spans="1:13" ht="14.5">
      <c r="A840" s="2978" t="s">
        <v>10655</v>
      </c>
      <c r="B840" s="2113" t="str">
        <f t="shared" si="14"/>
        <v>208-903</v>
      </c>
      <c r="C840" s="2978" t="s">
        <v>6822</v>
      </c>
      <c r="D840" s="2639">
        <v>104448349</v>
      </c>
      <c r="E840" s="2639">
        <v>102783047</v>
      </c>
      <c r="F840" s="2639">
        <v>104448349</v>
      </c>
      <c r="G840" s="2639">
        <v>102783047</v>
      </c>
      <c r="H840" s="2639">
        <v>104448349</v>
      </c>
      <c r="I840" s="2639">
        <v>102783047</v>
      </c>
      <c r="J840" s="2639">
        <v>104448349</v>
      </c>
      <c r="K840" s="2639">
        <v>102783047</v>
      </c>
      <c r="L840" s="2639">
        <v>4950302</v>
      </c>
      <c r="M840" s="2639">
        <v>0</v>
      </c>
    </row>
    <row r="841" spans="1:13" ht="14.5">
      <c r="A841" s="2977" t="s">
        <v>10187</v>
      </c>
      <c r="B841" s="2113" t="str">
        <f t="shared" si="14"/>
        <v>209-901</v>
      </c>
      <c r="C841" s="2977" t="s">
        <v>6823</v>
      </c>
      <c r="D841" s="2637">
        <v>331252216</v>
      </c>
      <c r="E841" s="2637">
        <v>325479089</v>
      </c>
      <c r="F841" s="2637">
        <v>331252216</v>
      </c>
      <c r="G841" s="2637">
        <v>325479089</v>
      </c>
      <c r="H841" s="2637">
        <v>331252216</v>
      </c>
      <c r="I841" s="2637">
        <v>325479089</v>
      </c>
      <c r="J841" s="2637">
        <v>331252216</v>
      </c>
      <c r="K841" s="2637">
        <v>325479089</v>
      </c>
      <c r="L841" s="2637">
        <v>15808127</v>
      </c>
      <c r="M841" s="2637">
        <v>0</v>
      </c>
    </row>
    <row r="842" spans="1:13" ht="14.5">
      <c r="A842" s="2978" t="s">
        <v>10188</v>
      </c>
      <c r="B842" s="2113" t="str">
        <f t="shared" si="14"/>
        <v>209-902</v>
      </c>
      <c r="C842" s="2978" t="s">
        <v>6824</v>
      </c>
      <c r="D842" s="2639">
        <v>55292506</v>
      </c>
      <c r="E842" s="2639">
        <v>54454192</v>
      </c>
      <c r="F842" s="2639">
        <v>55292506</v>
      </c>
      <c r="G842" s="2639">
        <v>54454192</v>
      </c>
      <c r="H842" s="2639">
        <v>55292506</v>
      </c>
      <c r="I842" s="2639">
        <v>54454192</v>
      </c>
      <c r="J842" s="2639">
        <v>55292506</v>
      </c>
      <c r="K842" s="2639">
        <v>54454192</v>
      </c>
      <c r="L842" s="2639">
        <v>2848314</v>
      </c>
      <c r="M842" s="2639">
        <v>0</v>
      </c>
    </row>
    <row r="843" spans="1:13" ht="14.5">
      <c r="A843" s="2977" t="s">
        <v>10189</v>
      </c>
      <c r="B843" s="2113" t="str">
        <f t="shared" si="14"/>
        <v>210-901</v>
      </c>
      <c r="C843" s="2977" t="s">
        <v>6825</v>
      </c>
      <c r="D843" s="2637">
        <v>634061854</v>
      </c>
      <c r="E843" s="2637">
        <v>617246692</v>
      </c>
      <c r="F843" s="2637">
        <v>615334126</v>
      </c>
      <c r="G843" s="2637">
        <v>598518964</v>
      </c>
      <c r="H843" s="2637">
        <v>634061854</v>
      </c>
      <c r="I843" s="2637">
        <v>617246692</v>
      </c>
      <c r="J843" s="2637">
        <v>615334126</v>
      </c>
      <c r="K843" s="2637">
        <v>598518964</v>
      </c>
      <c r="L843" s="2637">
        <v>56640162</v>
      </c>
      <c r="M843" s="2637">
        <v>0</v>
      </c>
    </row>
    <row r="844" spans="1:13" ht="14.5">
      <c r="A844" s="2978" t="s">
        <v>10190</v>
      </c>
      <c r="B844" s="2113" t="str">
        <f t="shared" si="14"/>
        <v>210-902</v>
      </c>
      <c r="C844" s="2978" t="s">
        <v>6826</v>
      </c>
      <c r="D844" s="2639">
        <v>232650675</v>
      </c>
      <c r="E844" s="2639">
        <v>225818524</v>
      </c>
      <c r="F844" s="2639">
        <v>224972400</v>
      </c>
      <c r="G844" s="2639">
        <v>218140249</v>
      </c>
      <c r="H844" s="2639">
        <v>232650675</v>
      </c>
      <c r="I844" s="2639">
        <v>225818524</v>
      </c>
      <c r="J844" s="2639">
        <v>224972400</v>
      </c>
      <c r="K844" s="2639">
        <v>218140249</v>
      </c>
      <c r="L844" s="2639">
        <v>22672151</v>
      </c>
      <c r="M844" s="2639">
        <v>0</v>
      </c>
    </row>
    <row r="845" spans="1:13" ht="14.5">
      <c r="A845" s="2977" t="s">
        <v>10191</v>
      </c>
      <c r="B845" s="2113" t="str">
        <f t="shared" si="14"/>
        <v>210-903</v>
      </c>
      <c r="C845" s="2977" t="s">
        <v>6827</v>
      </c>
      <c r="D845" s="2637">
        <v>250802505</v>
      </c>
      <c r="E845" s="2637">
        <v>244767487</v>
      </c>
      <c r="F845" s="2637">
        <v>250802505</v>
      </c>
      <c r="G845" s="2637">
        <v>244767487</v>
      </c>
      <c r="H845" s="2637">
        <v>250802505</v>
      </c>
      <c r="I845" s="2637">
        <v>244767487</v>
      </c>
      <c r="J845" s="2637">
        <v>250802505</v>
      </c>
      <c r="K845" s="2637">
        <v>244767487</v>
      </c>
      <c r="L845" s="2637">
        <v>22085018</v>
      </c>
      <c r="M845" s="2637">
        <v>0</v>
      </c>
    </row>
    <row r="846" spans="1:13" ht="14.5">
      <c r="A846" s="2978" t="s">
        <v>10192</v>
      </c>
      <c r="B846" s="2113" t="str">
        <f t="shared" si="14"/>
        <v>210-904</v>
      </c>
      <c r="C846" s="2978" t="s">
        <v>6828</v>
      </c>
      <c r="D846" s="2639">
        <v>120763843</v>
      </c>
      <c r="E846" s="2639">
        <v>117493046</v>
      </c>
      <c r="F846" s="2639">
        <v>120763843</v>
      </c>
      <c r="G846" s="2639">
        <v>117493046</v>
      </c>
      <c r="H846" s="2639">
        <v>120763843</v>
      </c>
      <c r="I846" s="2639">
        <v>117493046</v>
      </c>
      <c r="J846" s="2639">
        <v>120763843</v>
      </c>
      <c r="K846" s="2639">
        <v>117493046</v>
      </c>
      <c r="L846" s="2639">
        <v>11835797</v>
      </c>
      <c r="M846" s="2639">
        <v>0</v>
      </c>
    </row>
    <row r="847" spans="1:13" ht="14.5">
      <c r="A847" s="2977" t="s">
        <v>10193</v>
      </c>
      <c r="B847" s="2113" t="str">
        <f t="shared" si="14"/>
        <v>210-905</v>
      </c>
      <c r="C847" s="2977" t="s">
        <v>6829</v>
      </c>
      <c r="D847" s="2637">
        <v>160907433</v>
      </c>
      <c r="E847" s="2637">
        <v>154592827</v>
      </c>
      <c r="F847" s="2637">
        <v>154263732</v>
      </c>
      <c r="G847" s="2637">
        <v>147949126</v>
      </c>
      <c r="H847" s="2637">
        <v>160907433</v>
      </c>
      <c r="I847" s="2637">
        <v>154592827</v>
      </c>
      <c r="J847" s="2637">
        <v>154263732</v>
      </c>
      <c r="K847" s="2637">
        <v>147949126</v>
      </c>
      <c r="L847" s="2637">
        <v>22424606</v>
      </c>
      <c r="M847" s="2637">
        <v>0</v>
      </c>
    </row>
    <row r="848" spans="1:13" ht="14.5">
      <c r="A848" s="2978" t="s">
        <v>10194</v>
      </c>
      <c r="B848" s="2113" t="str">
        <f t="shared" si="14"/>
        <v>210-906</v>
      </c>
      <c r="C848" s="2978" t="s">
        <v>6830</v>
      </c>
      <c r="D848" s="2639">
        <v>34996372</v>
      </c>
      <c r="E848" s="2639">
        <v>34151012</v>
      </c>
      <c r="F848" s="2639">
        <v>34996372</v>
      </c>
      <c r="G848" s="2639">
        <v>34151012</v>
      </c>
      <c r="H848" s="2639">
        <v>34996372</v>
      </c>
      <c r="I848" s="2639">
        <v>34151012</v>
      </c>
      <c r="J848" s="2639">
        <v>34996372</v>
      </c>
      <c r="K848" s="2639">
        <v>34151012</v>
      </c>
      <c r="L848" s="2639">
        <v>3065360</v>
      </c>
      <c r="M848" s="2639">
        <v>0</v>
      </c>
    </row>
    <row r="849" spans="1:13" ht="14.5">
      <c r="A849" s="2977" t="s">
        <v>10195</v>
      </c>
      <c r="B849" s="2113" t="str">
        <f t="shared" si="14"/>
        <v>211-901</v>
      </c>
      <c r="C849" s="2977" t="s">
        <v>6831</v>
      </c>
      <c r="D849" s="2637">
        <v>96298427</v>
      </c>
      <c r="E849" s="2637">
        <v>95280897</v>
      </c>
      <c r="F849" s="2637">
        <v>96298427</v>
      </c>
      <c r="G849" s="2637">
        <v>95280897</v>
      </c>
      <c r="H849" s="2637">
        <v>96298427</v>
      </c>
      <c r="I849" s="2637">
        <v>95280897</v>
      </c>
      <c r="J849" s="2637">
        <v>96298427</v>
      </c>
      <c r="K849" s="2637">
        <v>95280897</v>
      </c>
      <c r="L849" s="2637">
        <v>2607530</v>
      </c>
      <c r="M849" s="2637">
        <v>0</v>
      </c>
    </row>
    <row r="850" spans="1:13" ht="14.5">
      <c r="A850" s="2978" t="s">
        <v>10196</v>
      </c>
      <c r="B850" s="2113" t="str">
        <f t="shared" si="14"/>
        <v>211-902</v>
      </c>
      <c r="C850" s="2978" t="s">
        <v>6832</v>
      </c>
      <c r="D850" s="2639">
        <v>481636820</v>
      </c>
      <c r="E850" s="2639">
        <v>476752817</v>
      </c>
      <c r="F850" s="2639">
        <v>481636820</v>
      </c>
      <c r="G850" s="2639">
        <v>476752817</v>
      </c>
      <c r="H850" s="2639">
        <v>481636820</v>
      </c>
      <c r="I850" s="2639">
        <v>476752817</v>
      </c>
      <c r="J850" s="2639">
        <v>481636820</v>
      </c>
      <c r="K850" s="2639">
        <v>476752817</v>
      </c>
      <c r="L850" s="2639">
        <v>12609003</v>
      </c>
      <c r="M850" s="2639">
        <v>0</v>
      </c>
    </row>
    <row r="851" spans="1:13" ht="14.5">
      <c r="A851" s="2977" t="s">
        <v>10197</v>
      </c>
      <c r="B851" s="2113" t="str">
        <f t="shared" si="14"/>
        <v>212-901</v>
      </c>
      <c r="C851" s="2977" t="s">
        <v>6833</v>
      </c>
      <c r="D851" s="2637">
        <v>435030506</v>
      </c>
      <c r="E851" s="2637">
        <v>420999645</v>
      </c>
      <c r="F851" s="2637">
        <v>404331288</v>
      </c>
      <c r="G851" s="2637">
        <v>390300427</v>
      </c>
      <c r="H851" s="2637">
        <v>435030506</v>
      </c>
      <c r="I851" s="2637">
        <v>420999645</v>
      </c>
      <c r="J851" s="2637">
        <v>404331288</v>
      </c>
      <c r="K851" s="2637">
        <v>390300427</v>
      </c>
      <c r="L851" s="2637">
        <v>38420861</v>
      </c>
      <c r="M851" s="2637">
        <v>0</v>
      </c>
    </row>
    <row r="852" spans="1:13" ht="14.5">
      <c r="A852" s="2978" t="s">
        <v>10198</v>
      </c>
      <c r="B852" s="2113" t="str">
        <f t="shared" si="14"/>
        <v>212-902</v>
      </c>
      <c r="C852" s="2978" t="s">
        <v>6834</v>
      </c>
      <c r="D852" s="2639">
        <v>1408198054</v>
      </c>
      <c r="E852" s="2639">
        <v>1372955416</v>
      </c>
      <c r="F852" s="2639">
        <v>1408198054</v>
      </c>
      <c r="G852" s="2639">
        <v>1372955416</v>
      </c>
      <c r="H852" s="2639">
        <v>1408198054</v>
      </c>
      <c r="I852" s="2639">
        <v>1372955416</v>
      </c>
      <c r="J852" s="2639">
        <v>1408198054</v>
      </c>
      <c r="K852" s="2639">
        <v>1372955416</v>
      </c>
      <c r="L852" s="2639">
        <v>96082638</v>
      </c>
      <c r="M852" s="2639">
        <v>0</v>
      </c>
    </row>
    <row r="853" spans="1:13" ht="14.5">
      <c r="A853" s="2977" t="s">
        <v>10199</v>
      </c>
      <c r="B853" s="2113" t="str">
        <f t="shared" si="14"/>
        <v>212-903</v>
      </c>
      <c r="C853" s="2977" t="s">
        <v>6835</v>
      </c>
      <c r="D853" s="2637">
        <v>1962369688</v>
      </c>
      <c r="E853" s="2637">
        <v>1907416516</v>
      </c>
      <c r="F853" s="2637">
        <v>1962369688</v>
      </c>
      <c r="G853" s="2637">
        <v>1907416516</v>
      </c>
      <c r="H853" s="2637">
        <v>1962369688</v>
      </c>
      <c r="I853" s="2637">
        <v>1907416516</v>
      </c>
      <c r="J853" s="2637">
        <v>1962369688</v>
      </c>
      <c r="K853" s="2637">
        <v>1907416516</v>
      </c>
      <c r="L853" s="2637">
        <v>144563172</v>
      </c>
      <c r="M853" s="2637">
        <v>0</v>
      </c>
    </row>
    <row r="854" spans="1:13" ht="14.5">
      <c r="A854" s="2978" t="s">
        <v>10200</v>
      </c>
      <c r="B854" s="2113" t="str">
        <f t="shared" si="14"/>
        <v>212-904</v>
      </c>
      <c r="C854" s="2978" t="s">
        <v>6836</v>
      </c>
      <c r="D854" s="2639">
        <v>425570984</v>
      </c>
      <c r="E854" s="2639">
        <v>414473855</v>
      </c>
      <c r="F854" s="2639">
        <v>425570984</v>
      </c>
      <c r="G854" s="2639">
        <v>414473855</v>
      </c>
      <c r="H854" s="2639">
        <v>425570984</v>
      </c>
      <c r="I854" s="2639">
        <v>414473855</v>
      </c>
      <c r="J854" s="2639">
        <v>425570984</v>
      </c>
      <c r="K854" s="2639">
        <v>414473855</v>
      </c>
      <c r="L854" s="2639">
        <v>30762129</v>
      </c>
      <c r="M854" s="2639">
        <v>0</v>
      </c>
    </row>
    <row r="855" spans="1:13" ht="14.5">
      <c r="A855" s="2977" t="s">
        <v>10656</v>
      </c>
      <c r="B855" s="2113" t="str">
        <f t="shared" si="14"/>
        <v>212-905</v>
      </c>
      <c r="C855" s="2977" t="s">
        <v>6837</v>
      </c>
      <c r="D855" s="2637">
        <v>10722974049</v>
      </c>
      <c r="E855" s="2637">
        <v>10492103473</v>
      </c>
      <c r="F855" s="2637">
        <v>10722974049</v>
      </c>
      <c r="G855" s="2637">
        <v>10492103473</v>
      </c>
      <c r="H855" s="2637">
        <v>10722974049</v>
      </c>
      <c r="I855" s="2637">
        <v>10492103473</v>
      </c>
      <c r="J855" s="2637">
        <v>10722974049</v>
      </c>
      <c r="K855" s="2637">
        <v>10492103473</v>
      </c>
      <c r="L855" s="2637">
        <v>598880576</v>
      </c>
      <c r="M855" s="2637">
        <v>0</v>
      </c>
    </row>
    <row r="856" spans="1:13" ht="14.5">
      <c r="A856" s="2978" t="s">
        <v>10201</v>
      </c>
      <c r="B856" s="2113" t="str">
        <f t="shared" si="14"/>
        <v>212-906</v>
      </c>
      <c r="C856" s="2978" t="s">
        <v>6838</v>
      </c>
      <c r="D856" s="2639">
        <v>2562084976</v>
      </c>
      <c r="E856" s="2639">
        <v>2502631810</v>
      </c>
      <c r="F856" s="2639">
        <v>2562084976</v>
      </c>
      <c r="G856" s="2639">
        <v>2502631810</v>
      </c>
      <c r="H856" s="2639">
        <v>2562084976</v>
      </c>
      <c r="I856" s="2639">
        <v>2502631810</v>
      </c>
      <c r="J856" s="2639">
        <v>2562084976</v>
      </c>
      <c r="K856" s="2639">
        <v>2502631810</v>
      </c>
      <c r="L856" s="2639">
        <v>155603166</v>
      </c>
      <c r="M856" s="2639">
        <v>0</v>
      </c>
    </row>
    <row r="857" spans="1:13" ht="14.5">
      <c r="A857" s="2977" t="s">
        <v>10202</v>
      </c>
      <c r="B857" s="2113" t="str">
        <f t="shared" si="14"/>
        <v>212-909</v>
      </c>
      <c r="C857" s="2977" t="s">
        <v>6839</v>
      </c>
      <c r="D857" s="2637">
        <v>1512673264</v>
      </c>
      <c r="E857" s="2637">
        <v>1471408854</v>
      </c>
      <c r="F857" s="2637">
        <v>1512673264</v>
      </c>
      <c r="G857" s="2637">
        <v>1471408854</v>
      </c>
      <c r="H857" s="2637">
        <v>1512673264</v>
      </c>
      <c r="I857" s="2637">
        <v>1471408854</v>
      </c>
      <c r="J857" s="2637">
        <v>1512673264</v>
      </c>
      <c r="K857" s="2637">
        <v>1471408854</v>
      </c>
      <c r="L857" s="2637">
        <v>112859410</v>
      </c>
      <c r="M857" s="2637">
        <v>0</v>
      </c>
    </row>
    <row r="858" spans="1:13" ht="14.5">
      <c r="A858" s="2978" t="s">
        <v>10203</v>
      </c>
      <c r="B858" s="2113" t="str">
        <f t="shared" si="14"/>
        <v>212-910</v>
      </c>
      <c r="C858" s="2978" t="s">
        <v>6840</v>
      </c>
      <c r="D858" s="2639">
        <v>667786284</v>
      </c>
      <c r="E858" s="2639">
        <v>655470898</v>
      </c>
      <c r="F858" s="2639">
        <v>667786284</v>
      </c>
      <c r="G858" s="2639">
        <v>655470898</v>
      </c>
      <c r="H858" s="2639">
        <v>667786284</v>
      </c>
      <c r="I858" s="2639">
        <v>655470898</v>
      </c>
      <c r="J858" s="2639">
        <v>667786284</v>
      </c>
      <c r="K858" s="2639">
        <v>655470898</v>
      </c>
      <c r="L858" s="2639">
        <v>34530386</v>
      </c>
      <c r="M858" s="2639">
        <v>0</v>
      </c>
    </row>
    <row r="859" spans="1:13" ht="14.5">
      <c r="A859" s="2977" t="s">
        <v>10657</v>
      </c>
      <c r="B859" s="2113" t="str">
        <f t="shared" si="14"/>
        <v>213-901</v>
      </c>
      <c r="C859" s="2977" t="s">
        <v>6841</v>
      </c>
      <c r="D859" s="2637">
        <v>2551096189</v>
      </c>
      <c r="E859" s="2637">
        <v>2529097979</v>
      </c>
      <c r="F859" s="2637">
        <v>2494169957</v>
      </c>
      <c r="G859" s="2637">
        <v>2472171747</v>
      </c>
      <c r="H859" s="2637">
        <v>2551096189</v>
      </c>
      <c r="I859" s="2637">
        <v>2529097979</v>
      </c>
      <c r="J859" s="2637">
        <v>2494169957</v>
      </c>
      <c r="K859" s="2637">
        <v>2472171747</v>
      </c>
      <c r="L859" s="2637">
        <v>58073210</v>
      </c>
      <c r="M859" s="2637">
        <v>0</v>
      </c>
    </row>
    <row r="860" spans="1:13" ht="14.5">
      <c r="A860" s="2978" t="s">
        <v>10204</v>
      </c>
      <c r="B860" s="2113" t="str">
        <f t="shared" si="14"/>
        <v>214-901</v>
      </c>
      <c r="C860" s="2978" t="s">
        <v>11040</v>
      </c>
      <c r="D860" s="2639">
        <v>1566112205</v>
      </c>
      <c r="E860" s="2639">
        <v>1503952867</v>
      </c>
      <c r="F860" s="2639">
        <v>1566112205</v>
      </c>
      <c r="G860" s="2639">
        <v>1503952867</v>
      </c>
      <c r="H860" s="2639">
        <v>2199279175</v>
      </c>
      <c r="I860" s="2639">
        <v>2137119837</v>
      </c>
      <c r="J860" s="2639">
        <v>2199279175</v>
      </c>
      <c r="K860" s="2639">
        <v>2137119837</v>
      </c>
      <c r="L860" s="2639">
        <v>180899338</v>
      </c>
      <c r="M860" s="2639">
        <v>633166970</v>
      </c>
    </row>
    <row r="861" spans="1:13" ht="14.5">
      <c r="A861" s="2977" t="s">
        <v>10205</v>
      </c>
      <c r="B861" s="2113" t="str">
        <f t="shared" si="14"/>
        <v>214-902</v>
      </c>
      <c r="C861" s="2977" t="s">
        <v>6843</v>
      </c>
      <c r="D861" s="2637">
        <v>128524489</v>
      </c>
      <c r="E861" s="2637">
        <v>127357271</v>
      </c>
      <c r="F861" s="2637">
        <v>128524489</v>
      </c>
      <c r="G861" s="2637">
        <v>127357271</v>
      </c>
      <c r="H861" s="2637">
        <v>128524489</v>
      </c>
      <c r="I861" s="2637">
        <v>127357271</v>
      </c>
      <c r="J861" s="2637">
        <v>128524489</v>
      </c>
      <c r="K861" s="2637">
        <v>127357271</v>
      </c>
      <c r="L861" s="2637">
        <v>5052218</v>
      </c>
      <c r="M861" s="2637">
        <v>0</v>
      </c>
    </row>
    <row r="862" spans="1:13" ht="14.5">
      <c r="A862" s="2978" t="s">
        <v>10206</v>
      </c>
      <c r="B862" s="2113" t="str">
        <f t="shared" si="14"/>
        <v>214-903</v>
      </c>
      <c r="C862" s="2978" t="s">
        <v>6844</v>
      </c>
      <c r="D862" s="2639">
        <v>707951748</v>
      </c>
      <c r="E862" s="2639">
        <v>671633101</v>
      </c>
      <c r="F862" s="2639">
        <v>707951748</v>
      </c>
      <c r="G862" s="2639">
        <v>671633101</v>
      </c>
      <c r="H862" s="2639">
        <v>945283748</v>
      </c>
      <c r="I862" s="2639">
        <v>908965101</v>
      </c>
      <c r="J862" s="2639">
        <v>945283748</v>
      </c>
      <c r="K862" s="2639">
        <v>908965101</v>
      </c>
      <c r="L862" s="2639">
        <v>105078647</v>
      </c>
      <c r="M862" s="2639">
        <v>237332000</v>
      </c>
    </row>
    <row r="863" spans="1:13" ht="14.5">
      <c r="A863" s="2977" t="s">
        <v>10658</v>
      </c>
      <c r="B863" s="2113" t="str">
        <f t="shared" si="14"/>
        <v>215-901</v>
      </c>
      <c r="C863" s="2977" t="s">
        <v>6845</v>
      </c>
      <c r="D863" s="2637">
        <v>561883110</v>
      </c>
      <c r="E863" s="2637">
        <v>541013389</v>
      </c>
      <c r="F863" s="2637">
        <v>561883110</v>
      </c>
      <c r="G863" s="2637">
        <v>541013389</v>
      </c>
      <c r="H863" s="2637">
        <v>561883110</v>
      </c>
      <c r="I863" s="2637">
        <v>541013389</v>
      </c>
      <c r="J863" s="2637">
        <v>561883110</v>
      </c>
      <c r="K863" s="2637">
        <v>541013389</v>
      </c>
      <c r="L863" s="2637">
        <v>55039721</v>
      </c>
      <c r="M863" s="2637">
        <v>0</v>
      </c>
    </row>
    <row r="864" spans="1:13" ht="14.5">
      <c r="A864" s="2978" t="s">
        <v>10207</v>
      </c>
      <c r="B864" s="2113" t="str">
        <f t="shared" si="14"/>
        <v>216-901</v>
      </c>
      <c r="C864" s="2978" t="s">
        <v>6846</v>
      </c>
      <c r="D864" s="2639">
        <v>783931933</v>
      </c>
      <c r="E864" s="2639">
        <v>781663003</v>
      </c>
      <c r="F864" s="2639">
        <v>783931933</v>
      </c>
      <c r="G864" s="2639">
        <v>781663003</v>
      </c>
      <c r="H864" s="2639">
        <v>864884543</v>
      </c>
      <c r="I864" s="2639">
        <v>862615613</v>
      </c>
      <c r="J864" s="2639">
        <v>864884543</v>
      </c>
      <c r="K864" s="2639">
        <v>862615613</v>
      </c>
      <c r="L864" s="2639">
        <v>6888930</v>
      </c>
      <c r="M864" s="2639">
        <v>80952610</v>
      </c>
    </row>
    <row r="865" spans="1:13" ht="14.5">
      <c r="A865" s="2977" t="s">
        <v>10208</v>
      </c>
      <c r="B865" s="2113" t="str">
        <f t="shared" si="14"/>
        <v>217-901</v>
      </c>
      <c r="C865" s="2977" t="s">
        <v>6847</v>
      </c>
      <c r="D865" s="2637">
        <v>172803395</v>
      </c>
      <c r="E865" s="2637">
        <v>169859015</v>
      </c>
      <c r="F865" s="2637">
        <v>172803395</v>
      </c>
      <c r="G865" s="2637">
        <v>169859015</v>
      </c>
      <c r="H865" s="2637">
        <v>172803395</v>
      </c>
      <c r="I865" s="2637">
        <v>169859015</v>
      </c>
      <c r="J865" s="2637">
        <v>172803395</v>
      </c>
      <c r="K865" s="2637">
        <v>169859015</v>
      </c>
      <c r="L865" s="2637">
        <v>9769380</v>
      </c>
      <c r="M865" s="2637">
        <v>0</v>
      </c>
    </row>
    <row r="866" spans="1:13" ht="14.5">
      <c r="A866" s="2978" t="s">
        <v>10209</v>
      </c>
      <c r="B866" s="2113" t="str">
        <f t="shared" si="14"/>
        <v>218-901</v>
      </c>
      <c r="C866" s="2978" t="s">
        <v>6848</v>
      </c>
      <c r="D866" s="2639">
        <v>646397927</v>
      </c>
      <c r="E866" s="2639">
        <v>638508154</v>
      </c>
      <c r="F866" s="2639">
        <v>636739624</v>
      </c>
      <c r="G866" s="2639">
        <v>628849851</v>
      </c>
      <c r="H866" s="2639">
        <v>646397927</v>
      </c>
      <c r="I866" s="2639">
        <v>638508154</v>
      </c>
      <c r="J866" s="2639">
        <v>636739624</v>
      </c>
      <c r="K866" s="2639">
        <v>628849851</v>
      </c>
      <c r="L866" s="2639">
        <v>21074773</v>
      </c>
      <c r="M866" s="2639">
        <v>0</v>
      </c>
    </row>
    <row r="867" spans="1:13" ht="14.5">
      <c r="A867" s="2977" t="s">
        <v>10210</v>
      </c>
      <c r="B867" s="2113" t="str">
        <f t="shared" si="14"/>
        <v>219-901</v>
      </c>
      <c r="C867" s="2977" t="s">
        <v>6849</v>
      </c>
      <c r="D867" s="2637">
        <v>99412094</v>
      </c>
      <c r="E867" s="2637">
        <v>97803373</v>
      </c>
      <c r="F867" s="2637">
        <v>99412094</v>
      </c>
      <c r="G867" s="2637">
        <v>97803373</v>
      </c>
      <c r="H867" s="2637">
        <v>99412094</v>
      </c>
      <c r="I867" s="2637">
        <v>97803373</v>
      </c>
      <c r="J867" s="2637">
        <v>99412094</v>
      </c>
      <c r="K867" s="2637">
        <v>97803373</v>
      </c>
      <c r="L867" s="2637">
        <v>5313721</v>
      </c>
      <c r="M867" s="2637">
        <v>0</v>
      </c>
    </row>
    <row r="868" spans="1:13" ht="14.5">
      <c r="A868" s="2978" t="s">
        <v>10659</v>
      </c>
      <c r="B868" s="2113" t="str">
        <f t="shared" si="14"/>
        <v>219-903</v>
      </c>
      <c r="C868" s="2978" t="s">
        <v>6850</v>
      </c>
      <c r="D868" s="2639">
        <v>226755684</v>
      </c>
      <c r="E868" s="2639">
        <v>218543425</v>
      </c>
      <c r="F868" s="2639">
        <v>226755684</v>
      </c>
      <c r="G868" s="2639">
        <v>218543425</v>
      </c>
      <c r="H868" s="2639">
        <v>226755684</v>
      </c>
      <c r="I868" s="2639">
        <v>218543425</v>
      </c>
      <c r="J868" s="2639">
        <v>226755684</v>
      </c>
      <c r="K868" s="2639">
        <v>218543425</v>
      </c>
      <c r="L868" s="2639">
        <v>23062259</v>
      </c>
      <c r="M868" s="2639">
        <v>0</v>
      </c>
    </row>
    <row r="869" spans="1:13" ht="14.5">
      <c r="A869" s="2977" t="s">
        <v>10660</v>
      </c>
      <c r="B869" s="2113" t="str">
        <f t="shared" si="14"/>
        <v>219-905</v>
      </c>
      <c r="C869" s="2977" t="s">
        <v>6851</v>
      </c>
      <c r="D869" s="2637">
        <v>120428368</v>
      </c>
      <c r="E869" s="2637">
        <v>118758412</v>
      </c>
      <c r="F869" s="2637">
        <v>120428368</v>
      </c>
      <c r="G869" s="2637">
        <v>118758412</v>
      </c>
      <c r="H869" s="2637">
        <v>120428368</v>
      </c>
      <c r="I869" s="2637">
        <v>118758412</v>
      </c>
      <c r="J869" s="2637">
        <v>120428368</v>
      </c>
      <c r="K869" s="2637">
        <v>118758412</v>
      </c>
      <c r="L869" s="2637">
        <v>5224956</v>
      </c>
      <c r="M869" s="2637">
        <v>0</v>
      </c>
    </row>
    <row r="870" spans="1:13" ht="14.5">
      <c r="A870" s="2978" t="s">
        <v>10211</v>
      </c>
      <c r="B870" s="2113" t="str">
        <f t="shared" si="14"/>
        <v>220-901</v>
      </c>
      <c r="C870" s="2978" t="s">
        <v>6852</v>
      </c>
      <c r="D870" s="2639">
        <v>34175027361</v>
      </c>
      <c r="E870" s="2639">
        <v>33624787450</v>
      </c>
      <c r="F870" s="2639">
        <v>34175027361</v>
      </c>
      <c r="G870" s="2639">
        <v>33624787450</v>
      </c>
      <c r="H870" s="2639">
        <v>34175027361</v>
      </c>
      <c r="I870" s="2639">
        <v>33624787450</v>
      </c>
      <c r="J870" s="2639">
        <v>34175027361</v>
      </c>
      <c r="K870" s="2639">
        <v>33624787450</v>
      </c>
      <c r="L870" s="2639">
        <v>1410384911</v>
      </c>
      <c r="M870" s="2639">
        <v>0</v>
      </c>
    </row>
    <row r="871" spans="1:13" ht="14.5">
      <c r="A871" s="2977" t="s">
        <v>10212</v>
      </c>
      <c r="B871" s="2113" t="str">
        <f t="shared" si="14"/>
        <v>220-902</v>
      </c>
      <c r="C871" s="2977" t="s">
        <v>6853</v>
      </c>
      <c r="D871" s="2637">
        <v>12491347141</v>
      </c>
      <c r="E871" s="2637">
        <v>12220432396</v>
      </c>
      <c r="F871" s="2637">
        <v>12491347141</v>
      </c>
      <c r="G871" s="2637">
        <v>12220432396</v>
      </c>
      <c r="H871" s="2637">
        <v>12491347141</v>
      </c>
      <c r="I871" s="2637">
        <v>12220432396</v>
      </c>
      <c r="J871" s="2637">
        <v>12491347141</v>
      </c>
      <c r="K871" s="2637">
        <v>12220432396</v>
      </c>
      <c r="L871" s="2637">
        <v>695954745</v>
      </c>
      <c r="M871" s="2637">
        <v>0</v>
      </c>
    </row>
    <row r="872" spans="1:13" ht="14.5">
      <c r="A872" s="2978" t="s">
        <v>10213</v>
      </c>
      <c r="B872" s="2113" t="str">
        <f t="shared" si="14"/>
        <v>220-904</v>
      </c>
      <c r="C872" s="2978" t="s">
        <v>6854</v>
      </c>
      <c r="D872" s="2639">
        <v>1840235404</v>
      </c>
      <c r="E872" s="2639">
        <v>1800110437</v>
      </c>
      <c r="F872" s="2639">
        <v>1840235404</v>
      </c>
      <c r="G872" s="2639">
        <v>1800110437</v>
      </c>
      <c r="H872" s="2639">
        <v>1840235404</v>
      </c>
      <c r="I872" s="2639">
        <v>1800110437</v>
      </c>
      <c r="J872" s="2639">
        <v>1840235404</v>
      </c>
      <c r="K872" s="2639">
        <v>1800110437</v>
      </c>
      <c r="L872" s="2639">
        <v>104714967</v>
      </c>
      <c r="M872" s="2639">
        <v>0</v>
      </c>
    </row>
    <row r="873" spans="1:13" ht="14.5">
      <c r="A873" s="2977" t="s">
        <v>10214</v>
      </c>
      <c r="B873" s="2113" t="str">
        <f t="shared" si="14"/>
        <v>220-905</v>
      </c>
      <c r="C873" s="2977" t="s">
        <v>6855</v>
      </c>
      <c r="D873" s="2637">
        <v>45201333530</v>
      </c>
      <c r="E873" s="2637">
        <v>44421289326</v>
      </c>
      <c r="F873" s="2637">
        <v>45201333530</v>
      </c>
      <c r="G873" s="2637">
        <v>44421289326</v>
      </c>
      <c r="H873" s="2637">
        <v>45201333530</v>
      </c>
      <c r="I873" s="2637">
        <v>44421289326</v>
      </c>
      <c r="J873" s="2637">
        <v>45201333530</v>
      </c>
      <c r="K873" s="2637">
        <v>44421289326</v>
      </c>
      <c r="L873" s="2637">
        <v>2014544204</v>
      </c>
      <c r="M873" s="2637">
        <v>0</v>
      </c>
    </row>
    <row r="874" spans="1:13" ht="14.5">
      <c r="A874" s="2978" t="s">
        <v>10215</v>
      </c>
      <c r="B874" s="2113" t="str">
        <f t="shared" si="14"/>
        <v>220-906</v>
      </c>
      <c r="C874" s="2978" t="s">
        <v>6856</v>
      </c>
      <c r="D874" s="2639">
        <v>16804814740</v>
      </c>
      <c r="E874" s="2639">
        <v>16630223484</v>
      </c>
      <c r="F874" s="2639">
        <v>16804814740</v>
      </c>
      <c r="G874" s="2639">
        <v>16630223484</v>
      </c>
      <c r="H874" s="2639">
        <v>16804814740</v>
      </c>
      <c r="I874" s="2639">
        <v>16630223484</v>
      </c>
      <c r="J874" s="2639">
        <v>16804814740</v>
      </c>
      <c r="K874" s="2639">
        <v>16630223484</v>
      </c>
      <c r="L874" s="2639">
        <v>443616256</v>
      </c>
      <c r="M874" s="2639">
        <v>0</v>
      </c>
    </row>
    <row r="875" spans="1:13" ht="14.5">
      <c r="A875" s="2977" t="s">
        <v>10216</v>
      </c>
      <c r="B875" s="2113" t="str">
        <f t="shared" si="14"/>
        <v>220-907</v>
      </c>
      <c r="C875" s="2977" t="s">
        <v>6857</v>
      </c>
      <c r="D875" s="2637">
        <v>21788911972</v>
      </c>
      <c r="E875" s="2637">
        <v>21391227934</v>
      </c>
      <c r="F875" s="2637">
        <v>21788911972</v>
      </c>
      <c r="G875" s="2637">
        <v>21391227934</v>
      </c>
      <c r="H875" s="2637">
        <v>21788911972</v>
      </c>
      <c r="I875" s="2637">
        <v>21391227934</v>
      </c>
      <c r="J875" s="2637">
        <v>21788911972</v>
      </c>
      <c r="K875" s="2637">
        <v>21391227934</v>
      </c>
      <c r="L875" s="2637">
        <v>1013734038</v>
      </c>
      <c r="M875" s="2637">
        <v>0</v>
      </c>
    </row>
    <row r="876" spans="1:13" ht="14.5">
      <c r="A876" s="2978" t="s">
        <v>10217</v>
      </c>
      <c r="B876" s="2113" t="str">
        <f t="shared" si="14"/>
        <v>220-908</v>
      </c>
      <c r="C876" s="2978" t="s">
        <v>6858</v>
      </c>
      <c r="D876" s="2639">
        <v>17573139325</v>
      </c>
      <c r="E876" s="2639">
        <v>17223596771</v>
      </c>
      <c r="F876" s="2639">
        <v>17573139325</v>
      </c>
      <c r="G876" s="2639">
        <v>17223596771</v>
      </c>
      <c r="H876" s="2639">
        <v>17573139325</v>
      </c>
      <c r="I876" s="2639">
        <v>17223596771</v>
      </c>
      <c r="J876" s="2639">
        <v>17573139325</v>
      </c>
      <c r="K876" s="2639">
        <v>17223596771</v>
      </c>
      <c r="L876" s="2639">
        <v>895497554</v>
      </c>
      <c r="M876" s="2639">
        <v>0</v>
      </c>
    </row>
    <row r="877" spans="1:13" ht="14.5">
      <c r="A877" s="2977" t="s">
        <v>10218</v>
      </c>
      <c r="B877" s="2113" t="str">
        <f t="shared" si="14"/>
        <v>220-910</v>
      </c>
      <c r="C877" s="2977" t="s">
        <v>6859</v>
      </c>
      <c r="D877" s="2637">
        <v>1226810773</v>
      </c>
      <c r="E877" s="2637">
        <v>1206865094</v>
      </c>
      <c r="F877" s="2637">
        <v>1226810773</v>
      </c>
      <c r="G877" s="2637">
        <v>1206865094</v>
      </c>
      <c r="H877" s="2637">
        <v>1226810773</v>
      </c>
      <c r="I877" s="2637">
        <v>1206865094</v>
      </c>
      <c r="J877" s="2637">
        <v>1226810773</v>
      </c>
      <c r="K877" s="2637">
        <v>1206865094</v>
      </c>
      <c r="L877" s="2637">
        <v>51550679</v>
      </c>
      <c r="M877" s="2637">
        <v>0</v>
      </c>
    </row>
    <row r="878" spans="1:13" ht="14.5">
      <c r="A878" s="2978" t="s">
        <v>10219</v>
      </c>
      <c r="B878" s="2113" t="str">
        <f t="shared" si="14"/>
        <v>220-912</v>
      </c>
      <c r="C878" s="2978" t="s">
        <v>6860</v>
      </c>
      <c r="D878" s="2639">
        <v>9128804140</v>
      </c>
      <c r="E878" s="2639">
        <v>8932588156</v>
      </c>
      <c r="F878" s="2639">
        <v>8887254936</v>
      </c>
      <c r="G878" s="2639">
        <v>8691038952</v>
      </c>
      <c r="H878" s="2639">
        <v>9128804140</v>
      </c>
      <c r="I878" s="2639">
        <v>8932588156</v>
      </c>
      <c r="J878" s="2639">
        <v>8887254936</v>
      </c>
      <c r="K878" s="2639">
        <v>8691038952</v>
      </c>
      <c r="L878" s="2639">
        <v>503520984</v>
      </c>
      <c r="M878" s="2639">
        <v>0</v>
      </c>
    </row>
    <row r="879" spans="1:13" ht="14.5">
      <c r="A879" s="2977" t="s">
        <v>10220</v>
      </c>
      <c r="B879" s="2113" t="str">
        <f t="shared" si="14"/>
        <v>220-914</v>
      </c>
      <c r="C879" s="2977" t="s">
        <v>6861</v>
      </c>
      <c r="D879" s="2637">
        <v>1802804865</v>
      </c>
      <c r="E879" s="2637">
        <v>1756935811</v>
      </c>
      <c r="F879" s="2637">
        <v>1802804865</v>
      </c>
      <c r="G879" s="2637">
        <v>1756935811</v>
      </c>
      <c r="H879" s="2637">
        <v>1802804865</v>
      </c>
      <c r="I879" s="2637">
        <v>1756935811</v>
      </c>
      <c r="J879" s="2637">
        <v>1802804865</v>
      </c>
      <c r="K879" s="2637">
        <v>1756935811</v>
      </c>
      <c r="L879" s="2637">
        <v>116714054</v>
      </c>
      <c r="M879" s="2637">
        <v>0</v>
      </c>
    </row>
    <row r="880" spans="1:13" ht="14.5">
      <c r="A880" s="2978" t="s">
        <v>10221</v>
      </c>
      <c r="B880" s="2113" t="str">
        <f t="shared" si="14"/>
        <v>220-915</v>
      </c>
      <c r="C880" s="2978" t="s">
        <v>6862</v>
      </c>
      <c r="D880" s="2639">
        <v>3735395875</v>
      </c>
      <c r="E880" s="2639">
        <v>3635769256</v>
      </c>
      <c r="F880" s="2639">
        <v>3735395875</v>
      </c>
      <c r="G880" s="2639">
        <v>3635769256</v>
      </c>
      <c r="H880" s="2639">
        <v>3735395875</v>
      </c>
      <c r="I880" s="2639">
        <v>3635769256</v>
      </c>
      <c r="J880" s="2639">
        <v>3735395875</v>
      </c>
      <c r="K880" s="2639">
        <v>3635769256</v>
      </c>
      <c r="L880" s="2639">
        <v>260351619</v>
      </c>
      <c r="M880" s="2639">
        <v>0</v>
      </c>
    </row>
    <row r="881" spans="1:13" ht="14.5">
      <c r="A881" s="2977" t="s">
        <v>10222</v>
      </c>
      <c r="B881" s="2113" t="str">
        <f t="shared" si="14"/>
        <v>220-916</v>
      </c>
      <c r="C881" s="2977" t="s">
        <v>6863</v>
      </c>
      <c r="D881" s="2637">
        <v>17186167278</v>
      </c>
      <c r="E881" s="2637">
        <v>16894556386</v>
      </c>
      <c r="F881" s="2637">
        <v>17111817353</v>
      </c>
      <c r="G881" s="2637">
        <v>16820206461</v>
      </c>
      <c r="H881" s="2637">
        <v>17186167278</v>
      </c>
      <c r="I881" s="2637">
        <v>16894556386</v>
      </c>
      <c r="J881" s="2637">
        <v>17111817353</v>
      </c>
      <c r="K881" s="2637">
        <v>16820206461</v>
      </c>
      <c r="L881" s="2637">
        <v>744445892</v>
      </c>
      <c r="M881" s="2637">
        <v>0</v>
      </c>
    </row>
    <row r="882" spans="1:13" ht="14.5">
      <c r="A882" s="2978" t="s">
        <v>10223</v>
      </c>
      <c r="B882" s="2113" t="str">
        <f t="shared" si="14"/>
        <v>220-917</v>
      </c>
      <c r="C882" s="2978" t="s">
        <v>6864</v>
      </c>
      <c r="D882" s="2639">
        <v>1074876592</v>
      </c>
      <c r="E882" s="2639">
        <v>1042544699</v>
      </c>
      <c r="F882" s="2639">
        <v>1074876592</v>
      </c>
      <c r="G882" s="2639">
        <v>1042544699</v>
      </c>
      <c r="H882" s="2639">
        <v>1074876592</v>
      </c>
      <c r="I882" s="2639">
        <v>1042544699</v>
      </c>
      <c r="J882" s="2639">
        <v>1074876592</v>
      </c>
      <c r="K882" s="2639">
        <v>1042544699</v>
      </c>
      <c r="L882" s="2639">
        <v>84906893</v>
      </c>
      <c r="M882" s="2639">
        <v>0</v>
      </c>
    </row>
    <row r="883" spans="1:13" ht="14.5">
      <c r="A883" s="2977" t="s">
        <v>10224</v>
      </c>
      <c r="B883" s="2113" t="str">
        <f t="shared" si="14"/>
        <v>220-918</v>
      </c>
      <c r="C883" s="2977" t="s">
        <v>8435</v>
      </c>
      <c r="D883" s="2637">
        <v>12523012418</v>
      </c>
      <c r="E883" s="2637">
        <v>12282596363</v>
      </c>
      <c r="F883" s="2637">
        <v>12523012418</v>
      </c>
      <c r="G883" s="2637">
        <v>12282596363</v>
      </c>
      <c r="H883" s="2637">
        <v>12523012418</v>
      </c>
      <c r="I883" s="2637">
        <v>12282596363</v>
      </c>
      <c r="J883" s="2637">
        <v>12523012418</v>
      </c>
      <c r="K883" s="2637">
        <v>12282596363</v>
      </c>
      <c r="L883" s="2637">
        <v>615071055</v>
      </c>
      <c r="M883" s="2637">
        <v>0</v>
      </c>
    </row>
    <row r="884" spans="1:13" ht="14.5">
      <c r="A884" s="2978" t="s">
        <v>10225</v>
      </c>
      <c r="B884" s="2113" t="str">
        <f t="shared" si="14"/>
        <v>220-919</v>
      </c>
      <c r="C884" s="2978" t="s">
        <v>6865</v>
      </c>
      <c r="D884" s="2639">
        <v>9864432538</v>
      </c>
      <c r="E884" s="2639">
        <v>9777793366</v>
      </c>
      <c r="F884" s="2639">
        <v>9864432538</v>
      </c>
      <c r="G884" s="2639">
        <v>9777793366</v>
      </c>
      <c r="H884" s="2639">
        <v>9864432538</v>
      </c>
      <c r="I884" s="2639">
        <v>9777793366</v>
      </c>
      <c r="J884" s="2639">
        <v>9864432538</v>
      </c>
      <c r="K884" s="2639">
        <v>9777793366</v>
      </c>
      <c r="L884" s="2639">
        <v>219089172</v>
      </c>
      <c r="M884" s="2639">
        <v>0</v>
      </c>
    </row>
    <row r="885" spans="1:13" ht="14.5">
      <c r="A885" s="2977" t="s">
        <v>10226</v>
      </c>
      <c r="B885" s="2113" t="str">
        <f t="shared" si="14"/>
        <v>220-920</v>
      </c>
      <c r="C885" s="2977" t="s">
        <v>6866</v>
      </c>
      <c r="D885" s="2637">
        <v>2766142634</v>
      </c>
      <c r="E885" s="2637">
        <v>2693368257</v>
      </c>
      <c r="F885" s="2637">
        <v>2766142634</v>
      </c>
      <c r="G885" s="2637">
        <v>2693368257</v>
      </c>
      <c r="H885" s="2637">
        <v>2766142634</v>
      </c>
      <c r="I885" s="2637">
        <v>2693368257</v>
      </c>
      <c r="J885" s="2637">
        <v>2766142634</v>
      </c>
      <c r="K885" s="2637">
        <v>2693368257</v>
      </c>
      <c r="L885" s="2637">
        <v>186399377</v>
      </c>
      <c r="M885" s="2637">
        <v>0</v>
      </c>
    </row>
    <row r="886" spans="1:13" ht="14.5">
      <c r="A886" s="2978" t="s">
        <v>10227</v>
      </c>
      <c r="B886" s="2113" t="str">
        <f t="shared" si="14"/>
        <v>221-901</v>
      </c>
      <c r="C886" s="2978" t="s">
        <v>6867</v>
      </c>
      <c r="D886" s="2639">
        <v>5565123868</v>
      </c>
      <c r="E886" s="2639">
        <v>5394710556</v>
      </c>
      <c r="F886" s="2639">
        <v>5504321849</v>
      </c>
      <c r="G886" s="2639">
        <v>5333908537</v>
      </c>
      <c r="H886" s="2639">
        <v>5565123868</v>
      </c>
      <c r="I886" s="2639">
        <v>5394710556</v>
      </c>
      <c r="J886" s="2639">
        <v>5504321849</v>
      </c>
      <c r="K886" s="2639">
        <v>5333908537</v>
      </c>
      <c r="L886" s="2639">
        <v>446173312</v>
      </c>
      <c r="M886" s="2639">
        <v>0</v>
      </c>
    </row>
    <row r="887" spans="1:13" ht="14.5">
      <c r="A887" s="2977" t="s">
        <v>10228</v>
      </c>
      <c r="B887" s="2113" t="str">
        <f t="shared" si="14"/>
        <v>221-904</v>
      </c>
      <c r="C887" s="2977" t="s">
        <v>6868</v>
      </c>
      <c r="D887" s="2637">
        <v>479289834</v>
      </c>
      <c r="E887" s="2637">
        <v>467660199</v>
      </c>
      <c r="F887" s="2637">
        <v>479289834</v>
      </c>
      <c r="G887" s="2637">
        <v>467660199</v>
      </c>
      <c r="H887" s="2637">
        <v>479289834</v>
      </c>
      <c r="I887" s="2637">
        <v>467660199</v>
      </c>
      <c r="J887" s="2637">
        <v>479289834</v>
      </c>
      <c r="K887" s="2637">
        <v>467660199</v>
      </c>
      <c r="L887" s="2637">
        <v>37564635</v>
      </c>
      <c r="M887" s="2637">
        <v>0</v>
      </c>
    </row>
    <row r="888" spans="1:13" ht="14.5">
      <c r="A888" s="2978" t="s">
        <v>10661</v>
      </c>
      <c r="B888" s="2113" t="str">
        <f t="shared" si="14"/>
        <v>221-905</v>
      </c>
      <c r="C888" s="2978" t="s">
        <v>6869</v>
      </c>
      <c r="D888" s="2639">
        <v>209007590</v>
      </c>
      <c r="E888" s="2639">
        <v>207745467</v>
      </c>
      <c r="F888" s="2639">
        <v>209007590</v>
      </c>
      <c r="G888" s="2639">
        <v>207745467</v>
      </c>
      <c r="H888" s="2639">
        <v>209007590</v>
      </c>
      <c r="I888" s="2639">
        <v>207745467</v>
      </c>
      <c r="J888" s="2639">
        <v>209007590</v>
      </c>
      <c r="K888" s="2639">
        <v>207745467</v>
      </c>
      <c r="L888" s="2639">
        <v>4157123</v>
      </c>
      <c r="M888" s="2639">
        <v>0</v>
      </c>
    </row>
    <row r="889" spans="1:13" ht="14.5">
      <c r="A889" s="2977" t="s">
        <v>10229</v>
      </c>
      <c r="B889" s="2113" t="str">
        <f t="shared" si="14"/>
        <v>221-911</v>
      </c>
      <c r="C889" s="2977" t="s">
        <v>6870</v>
      </c>
      <c r="D889" s="2637">
        <v>747930863</v>
      </c>
      <c r="E889" s="2637">
        <v>729948264</v>
      </c>
      <c r="F889" s="2637">
        <v>707989885</v>
      </c>
      <c r="G889" s="2637">
        <v>690007286</v>
      </c>
      <c r="H889" s="2637">
        <v>747930863</v>
      </c>
      <c r="I889" s="2637">
        <v>729948264</v>
      </c>
      <c r="J889" s="2637">
        <v>707989885</v>
      </c>
      <c r="K889" s="2637">
        <v>690007286</v>
      </c>
      <c r="L889" s="2637">
        <v>50052599</v>
      </c>
      <c r="M889" s="2637">
        <v>0</v>
      </c>
    </row>
    <row r="890" spans="1:13" ht="14.5">
      <c r="A890" s="2978" t="s">
        <v>10230</v>
      </c>
      <c r="B890" s="2113" t="str">
        <f t="shared" si="14"/>
        <v>221-912</v>
      </c>
      <c r="C890" s="2978" t="s">
        <v>6170</v>
      </c>
      <c r="D890" s="2639">
        <v>2481681530</v>
      </c>
      <c r="E890" s="2639">
        <v>2417145825</v>
      </c>
      <c r="F890" s="2639">
        <v>2481681530</v>
      </c>
      <c r="G890" s="2639">
        <v>2417145825</v>
      </c>
      <c r="H890" s="2639">
        <v>2481681530</v>
      </c>
      <c r="I890" s="2639">
        <v>2417145825</v>
      </c>
      <c r="J890" s="2639">
        <v>2481681530</v>
      </c>
      <c r="K890" s="2639">
        <v>2417145825</v>
      </c>
      <c r="L890" s="2639">
        <v>169100705</v>
      </c>
      <c r="M890" s="2639">
        <v>0</v>
      </c>
    </row>
    <row r="891" spans="1:13" ht="14.5">
      <c r="A891" s="2977" t="s">
        <v>10231</v>
      </c>
      <c r="B891" s="2113" t="str">
        <f t="shared" si="14"/>
        <v>222-901</v>
      </c>
      <c r="C891" s="2977" t="s">
        <v>6871</v>
      </c>
      <c r="D891" s="2637">
        <v>197477151</v>
      </c>
      <c r="E891" s="2637">
        <v>195395384</v>
      </c>
      <c r="F891" s="2637">
        <v>196253252</v>
      </c>
      <c r="G891" s="2637">
        <v>194171485</v>
      </c>
      <c r="H891" s="2637">
        <v>197477151</v>
      </c>
      <c r="I891" s="2637">
        <v>195395384</v>
      </c>
      <c r="J891" s="2637">
        <v>196253252</v>
      </c>
      <c r="K891" s="2637">
        <v>194171485</v>
      </c>
      <c r="L891" s="2637">
        <v>5801767</v>
      </c>
      <c r="M891" s="2637">
        <v>0</v>
      </c>
    </row>
    <row r="892" spans="1:13" ht="14.5">
      <c r="A892" s="2978" t="s">
        <v>10232</v>
      </c>
      <c r="B892" s="2113" t="str">
        <f t="shared" si="14"/>
        <v>223-901</v>
      </c>
      <c r="C892" s="2978" t="s">
        <v>6872</v>
      </c>
      <c r="D892" s="2639">
        <v>486717166</v>
      </c>
      <c r="E892" s="2639">
        <v>476422696</v>
      </c>
      <c r="F892" s="2639">
        <v>486717166</v>
      </c>
      <c r="G892" s="2639">
        <v>476422696</v>
      </c>
      <c r="H892" s="2639">
        <v>486717166</v>
      </c>
      <c r="I892" s="2639">
        <v>476422696</v>
      </c>
      <c r="J892" s="2639">
        <v>486717166</v>
      </c>
      <c r="K892" s="2639">
        <v>476422696</v>
      </c>
      <c r="L892" s="2639">
        <v>38974470</v>
      </c>
      <c r="M892" s="2639">
        <v>0</v>
      </c>
    </row>
    <row r="893" spans="1:13" ht="14.5">
      <c r="A893" s="2977" t="s">
        <v>10233</v>
      </c>
      <c r="B893" s="2113" t="str">
        <f t="shared" si="14"/>
        <v>223-902</v>
      </c>
      <c r="C893" s="2977" t="s">
        <v>6873</v>
      </c>
      <c r="D893" s="2637">
        <v>57983074</v>
      </c>
      <c r="E893" s="2637">
        <v>57129603</v>
      </c>
      <c r="F893" s="2637">
        <v>57983074</v>
      </c>
      <c r="G893" s="2637">
        <v>57129603</v>
      </c>
      <c r="H893" s="2637">
        <v>57983074</v>
      </c>
      <c r="I893" s="2637">
        <v>57129603</v>
      </c>
      <c r="J893" s="2637">
        <v>57983074</v>
      </c>
      <c r="K893" s="2637">
        <v>57129603</v>
      </c>
      <c r="L893" s="2637">
        <v>3418471</v>
      </c>
      <c r="M893" s="2637">
        <v>0</v>
      </c>
    </row>
    <row r="894" spans="1:13" ht="14.5">
      <c r="A894" s="2978" t="s">
        <v>10234</v>
      </c>
      <c r="B894" s="2113" t="str">
        <f t="shared" si="14"/>
        <v>223-904</v>
      </c>
      <c r="C894" s="2978" t="s">
        <v>6874</v>
      </c>
      <c r="D894" s="2639">
        <v>127344902</v>
      </c>
      <c r="E894" s="2639">
        <v>126643799</v>
      </c>
      <c r="F894" s="2639">
        <v>127344902</v>
      </c>
      <c r="G894" s="2639">
        <v>126643799</v>
      </c>
      <c r="H894" s="2639">
        <v>127344902</v>
      </c>
      <c r="I894" s="2639">
        <v>126643799</v>
      </c>
      <c r="J894" s="2639">
        <v>127344902</v>
      </c>
      <c r="K894" s="2639">
        <v>126643799</v>
      </c>
      <c r="L894" s="2639">
        <v>2426103</v>
      </c>
      <c r="M894" s="2639">
        <v>0</v>
      </c>
    </row>
    <row r="895" spans="1:13" ht="14.5">
      <c r="A895" s="2977" t="s">
        <v>10662</v>
      </c>
      <c r="B895" s="2113" t="str">
        <f t="shared" si="14"/>
        <v>224-901</v>
      </c>
      <c r="C895" s="2977" t="s">
        <v>6875</v>
      </c>
      <c r="D895" s="2637">
        <v>138117195</v>
      </c>
      <c r="E895" s="2637">
        <v>135428095</v>
      </c>
      <c r="F895" s="2637">
        <v>138117195</v>
      </c>
      <c r="G895" s="2637">
        <v>135428095</v>
      </c>
      <c r="H895" s="2637">
        <v>138117195</v>
      </c>
      <c r="I895" s="2637">
        <v>135428095</v>
      </c>
      <c r="J895" s="2637">
        <v>138117195</v>
      </c>
      <c r="K895" s="2637">
        <v>135428095</v>
      </c>
      <c r="L895" s="2637">
        <v>7294100</v>
      </c>
      <c r="M895" s="2637">
        <v>0</v>
      </c>
    </row>
    <row r="896" spans="1:13" ht="14.5">
      <c r="A896" s="2978" t="s">
        <v>10235</v>
      </c>
      <c r="B896" s="2113" t="str">
        <f t="shared" si="14"/>
        <v>224-902</v>
      </c>
      <c r="C896" s="2978" t="s">
        <v>6876</v>
      </c>
      <c r="D896" s="2639">
        <v>41284361</v>
      </c>
      <c r="E896" s="2639">
        <v>40191431</v>
      </c>
      <c r="F896" s="2639">
        <v>41284361</v>
      </c>
      <c r="G896" s="2639">
        <v>40191431</v>
      </c>
      <c r="H896" s="2639">
        <v>41284361</v>
      </c>
      <c r="I896" s="2639">
        <v>40191431</v>
      </c>
      <c r="J896" s="2639">
        <v>41284361</v>
      </c>
      <c r="K896" s="2639">
        <v>40191431</v>
      </c>
      <c r="L896" s="2639">
        <v>3042930</v>
      </c>
      <c r="M896" s="2639">
        <v>0</v>
      </c>
    </row>
    <row r="897" spans="1:13" ht="14.5">
      <c r="A897" s="2977" t="s">
        <v>10236</v>
      </c>
      <c r="B897" s="2113" t="str">
        <f t="shared" si="14"/>
        <v>225-902</v>
      </c>
      <c r="C897" s="2977" t="s">
        <v>6877</v>
      </c>
      <c r="D897" s="2637">
        <v>1664540852</v>
      </c>
      <c r="E897" s="2637">
        <v>1624088279</v>
      </c>
      <c r="F897" s="2637">
        <v>1603142447</v>
      </c>
      <c r="G897" s="2637">
        <v>1562689874</v>
      </c>
      <c r="H897" s="2637">
        <v>1664540852</v>
      </c>
      <c r="I897" s="2637">
        <v>1624088279</v>
      </c>
      <c r="J897" s="2637">
        <v>1603142447</v>
      </c>
      <c r="K897" s="2637">
        <v>1562689874</v>
      </c>
      <c r="L897" s="2637">
        <v>112062573</v>
      </c>
      <c r="M897" s="2637">
        <v>0</v>
      </c>
    </row>
    <row r="898" spans="1:13" ht="14.5">
      <c r="A898" s="2978" t="s">
        <v>10237</v>
      </c>
      <c r="B898" s="2113" t="str">
        <f t="shared" si="14"/>
        <v>225-906</v>
      </c>
      <c r="C898" s="2978" t="s">
        <v>6839</v>
      </c>
      <c r="D898" s="2639">
        <v>172037572</v>
      </c>
      <c r="E898" s="2639">
        <v>165959225</v>
      </c>
      <c r="F898" s="2639">
        <v>172037572</v>
      </c>
      <c r="G898" s="2639">
        <v>165959225</v>
      </c>
      <c r="H898" s="2639">
        <v>172037572</v>
      </c>
      <c r="I898" s="2639">
        <v>165959225</v>
      </c>
      <c r="J898" s="2639">
        <v>172037572</v>
      </c>
      <c r="K898" s="2639">
        <v>165959225</v>
      </c>
      <c r="L898" s="2639">
        <v>17673347</v>
      </c>
      <c r="M898" s="2639">
        <v>0</v>
      </c>
    </row>
    <row r="899" spans="1:13" ht="14.5">
      <c r="A899" s="2977" t="s">
        <v>10238</v>
      </c>
      <c r="B899" s="2113" t="str">
        <f t="shared" si="14"/>
        <v>225-907</v>
      </c>
      <c r="C899" s="2977" t="s">
        <v>6878</v>
      </c>
      <c r="D899" s="2637">
        <v>201646970</v>
      </c>
      <c r="E899" s="2637">
        <v>194791552</v>
      </c>
      <c r="F899" s="2637">
        <v>201646970</v>
      </c>
      <c r="G899" s="2637">
        <v>194791552</v>
      </c>
      <c r="H899" s="2637">
        <v>201646970</v>
      </c>
      <c r="I899" s="2637">
        <v>194791552</v>
      </c>
      <c r="J899" s="2637">
        <v>201646970</v>
      </c>
      <c r="K899" s="2637">
        <v>194791552</v>
      </c>
      <c r="L899" s="2637">
        <v>18195418</v>
      </c>
      <c r="M899" s="2637">
        <v>0</v>
      </c>
    </row>
    <row r="900" spans="1:13" ht="14.5">
      <c r="A900" s="2978" t="s">
        <v>10239</v>
      </c>
      <c r="B900" s="2113" t="str">
        <f t="shared" si="14"/>
        <v>226-901</v>
      </c>
      <c r="C900" s="2978" t="s">
        <v>6879</v>
      </c>
      <c r="D900" s="2639">
        <v>341614873</v>
      </c>
      <c r="E900" s="2639">
        <v>333335613</v>
      </c>
      <c r="F900" s="2639">
        <v>341614873</v>
      </c>
      <c r="G900" s="2639">
        <v>333335613</v>
      </c>
      <c r="H900" s="2639">
        <v>341614873</v>
      </c>
      <c r="I900" s="2639">
        <v>333335613</v>
      </c>
      <c r="J900" s="2639">
        <v>341614873</v>
      </c>
      <c r="K900" s="2639">
        <v>333335613</v>
      </c>
      <c r="L900" s="2639">
        <v>20939260</v>
      </c>
      <c r="M900" s="2639">
        <v>0</v>
      </c>
    </row>
    <row r="901" spans="1:13" ht="14.5">
      <c r="A901" s="2977" t="s">
        <v>10240</v>
      </c>
      <c r="B901" s="2113" t="str">
        <f t="shared" si="14"/>
        <v>226-903</v>
      </c>
      <c r="C901" s="2977" t="s">
        <v>6880</v>
      </c>
      <c r="D901" s="2637">
        <v>6136209200</v>
      </c>
      <c r="E901" s="2637">
        <v>5921531301</v>
      </c>
      <c r="F901" s="2637">
        <v>6136209200</v>
      </c>
      <c r="G901" s="2637">
        <v>5921531301</v>
      </c>
      <c r="H901" s="2637">
        <v>6136209200</v>
      </c>
      <c r="I901" s="2637">
        <v>5921531301</v>
      </c>
      <c r="J901" s="2637">
        <v>6136209200</v>
      </c>
      <c r="K901" s="2637">
        <v>5921531301</v>
      </c>
      <c r="L901" s="2637">
        <v>544542899</v>
      </c>
      <c r="M901" s="2637">
        <v>0</v>
      </c>
    </row>
    <row r="902" spans="1:13" ht="14.5">
      <c r="A902" s="2978" t="s">
        <v>10241</v>
      </c>
      <c r="B902" s="2113" t="str">
        <f t="shared" ref="B902:B968" si="15">CONCATENATE(RIGHT(LEFT(CONCATENATE("000",A902),6),3),"-",(LEFT(RIGHT(CONCATENATE("000",A902),6),3)))</f>
        <v>226-905</v>
      </c>
      <c r="C902" s="2978" t="s">
        <v>6881</v>
      </c>
      <c r="D902" s="2639">
        <v>216319321</v>
      </c>
      <c r="E902" s="2639">
        <v>212047321</v>
      </c>
      <c r="F902" s="2639">
        <v>216319321</v>
      </c>
      <c r="G902" s="2639">
        <v>212047321</v>
      </c>
      <c r="H902" s="2639">
        <v>713541051</v>
      </c>
      <c r="I902" s="2639">
        <v>709269051</v>
      </c>
      <c r="J902" s="2639">
        <v>713541051</v>
      </c>
      <c r="K902" s="2639">
        <v>709269051</v>
      </c>
      <c r="L902" s="2639">
        <v>11247000</v>
      </c>
      <c r="M902" s="2639">
        <v>497221730</v>
      </c>
    </row>
    <row r="903" spans="1:13" ht="14.5">
      <c r="A903" s="2977" t="s">
        <v>10242</v>
      </c>
      <c r="B903" s="2113" t="str">
        <f t="shared" si="15"/>
        <v>226-906</v>
      </c>
      <c r="C903" s="2977" t="s">
        <v>6882</v>
      </c>
      <c r="D903" s="2637">
        <v>541682535</v>
      </c>
      <c r="E903" s="2637">
        <v>527885455</v>
      </c>
      <c r="F903" s="2637">
        <v>541682535</v>
      </c>
      <c r="G903" s="2637">
        <v>527885455</v>
      </c>
      <c r="H903" s="2637">
        <v>541682535</v>
      </c>
      <c r="I903" s="2637">
        <v>527885455</v>
      </c>
      <c r="J903" s="2637">
        <v>541682535</v>
      </c>
      <c r="K903" s="2637">
        <v>527885455</v>
      </c>
      <c r="L903" s="2637">
        <v>35082080</v>
      </c>
      <c r="M903" s="2637">
        <v>0</v>
      </c>
    </row>
    <row r="904" spans="1:13" ht="14.5">
      <c r="A904" s="2978" t="s">
        <v>10243</v>
      </c>
      <c r="B904" s="2113" t="str">
        <f t="shared" si="15"/>
        <v>226-907</v>
      </c>
      <c r="C904" s="2978" t="s">
        <v>6883</v>
      </c>
      <c r="D904" s="2639">
        <v>389191913</v>
      </c>
      <c r="E904" s="2639">
        <v>370598153</v>
      </c>
      <c r="F904" s="2639">
        <v>389191913</v>
      </c>
      <c r="G904" s="2639">
        <v>370598153</v>
      </c>
      <c r="H904" s="2639">
        <v>389191913</v>
      </c>
      <c r="I904" s="2639">
        <v>370598153</v>
      </c>
      <c r="J904" s="2639">
        <v>389191913</v>
      </c>
      <c r="K904" s="2639">
        <v>370598153</v>
      </c>
      <c r="L904" s="2639">
        <v>47588760</v>
      </c>
      <c r="M904" s="2639">
        <v>0</v>
      </c>
    </row>
    <row r="905" spans="1:13" ht="14.5">
      <c r="A905" s="2977" t="s">
        <v>10244</v>
      </c>
      <c r="B905" s="2113" t="str">
        <f t="shared" si="15"/>
        <v>226-908</v>
      </c>
      <c r="C905" s="2977" t="s">
        <v>6884</v>
      </c>
      <c r="D905" s="2637">
        <v>168184783</v>
      </c>
      <c r="E905" s="2637">
        <v>165013373</v>
      </c>
      <c r="F905" s="2637">
        <v>168184783</v>
      </c>
      <c r="G905" s="2637">
        <v>165013373</v>
      </c>
      <c r="H905" s="2637">
        <v>168184783</v>
      </c>
      <c r="I905" s="2637">
        <v>165013373</v>
      </c>
      <c r="J905" s="2637">
        <v>168184783</v>
      </c>
      <c r="K905" s="2637">
        <v>165013373</v>
      </c>
      <c r="L905" s="2637">
        <v>8001410</v>
      </c>
      <c r="M905" s="2637">
        <v>0</v>
      </c>
    </row>
    <row r="906" spans="1:13" ht="14.5">
      <c r="A906" s="2978" t="s">
        <v>10245</v>
      </c>
      <c r="B906" s="2113" t="str">
        <f t="shared" si="15"/>
        <v>227-901</v>
      </c>
      <c r="C906" s="2978" t="s">
        <v>6885</v>
      </c>
      <c r="D906" s="2639">
        <v>153882779606</v>
      </c>
      <c r="E906" s="2639">
        <v>152727684977</v>
      </c>
      <c r="F906" s="2639">
        <v>153882779606</v>
      </c>
      <c r="G906" s="2639">
        <v>152727684977</v>
      </c>
      <c r="H906" s="2639">
        <v>153882779606</v>
      </c>
      <c r="I906" s="2639">
        <v>152727684977</v>
      </c>
      <c r="J906" s="2639">
        <v>153882779606</v>
      </c>
      <c r="K906" s="2639">
        <v>152727684977</v>
      </c>
      <c r="L906" s="2639">
        <v>2941384629</v>
      </c>
      <c r="M906" s="2639">
        <v>0</v>
      </c>
    </row>
    <row r="907" spans="1:13" ht="14.5">
      <c r="A907" s="2977" t="s">
        <v>10246</v>
      </c>
      <c r="B907" s="2113" t="str">
        <f t="shared" si="15"/>
        <v>227-904</v>
      </c>
      <c r="C907" s="2977" t="s">
        <v>6886</v>
      </c>
      <c r="D907" s="2637">
        <v>19635205575</v>
      </c>
      <c r="E907" s="2637">
        <v>19332067668</v>
      </c>
      <c r="F907" s="2637">
        <v>19635205575</v>
      </c>
      <c r="G907" s="2637">
        <v>19332067668</v>
      </c>
      <c r="H907" s="2637">
        <v>19635205575</v>
      </c>
      <c r="I907" s="2637">
        <v>19332067668</v>
      </c>
      <c r="J907" s="2637">
        <v>19635205575</v>
      </c>
      <c r="K907" s="2637">
        <v>19332067668</v>
      </c>
      <c r="L907" s="2637">
        <v>775922907</v>
      </c>
      <c r="M907" s="2637">
        <v>0</v>
      </c>
    </row>
    <row r="908" spans="1:13" ht="14.5">
      <c r="A908" s="2978" t="s">
        <v>10247</v>
      </c>
      <c r="B908" s="2113" t="str">
        <f t="shared" si="15"/>
        <v>227-907</v>
      </c>
      <c r="C908" s="2978" t="s">
        <v>6887</v>
      </c>
      <c r="D908" s="2639">
        <v>7067206841</v>
      </c>
      <c r="E908" s="2639">
        <v>6959902014</v>
      </c>
      <c r="F908" s="2639">
        <v>7067206841</v>
      </c>
      <c r="G908" s="2639">
        <v>6959902014</v>
      </c>
      <c r="H908" s="2639">
        <v>7825019719</v>
      </c>
      <c r="I908" s="2639">
        <v>7717714892</v>
      </c>
      <c r="J908" s="2639">
        <v>7825019719</v>
      </c>
      <c r="K908" s="2639">
        <v>7717714892</v>
      </c>
      <c r="L908" s="2639">
        <v>280224827</v>
      </c>
      <c r="M908" s="2639">
        <v>757812878</v>
      </c>
    </row>
    <row r="909" spans="1:13" s="2983" customFormat="1" ht="14.5">
      <c r="A909" s="2985"/>
      <c r="B909" s="2981" t="s">
        <v>251</v>
      </c>
      <c r="C909" s="2636" t="s">
        <v>6888</v>
      </c>
      <c r="D909" s="2982">
        <v>18262595792</v>
      </c>
      <c r="E909" s="2982">
        <v>18165191287</v>
      </c>
      <c r="F909" s="2984"/>
      <c r="G909" s="2984"/>
      <c r="H909" s="2982">
        <v>18262595792</v>
      </c>
      <c r="I909" s="2982">
        <v>18165191287</v>
      </c>
      <c r="J909" s="2984"/>
      <c r="K909" s="2984"/>
      <c r="L909" s="2982">
        <v>245409505</v>
      </c>
      <c r="M909" s="2982">
        <v>0</v>
      </c>
    </row>
    <row r="910" spans="1:13" ht="14.5">
      <c r="A910" s="2978" t="s">
        <v>10248</v>
      </c>
      <c r="B910" s="2113" t="str">
        <f t="shared" si="15"/>
        <v>227-910</v>
      </c>
      <c r="C910" s="2978" t="s">
        <v>6889</v>
      </c>
      <c r="D910" s="2639">
        <v>9685910772</v>
      </c>
      <c r="E910" s="2639">
        <v>9592563392</v>
      </c>
      <c r="F910" s="2639">
        <v>9685910772</v>
      </c>
      <c r="G910" s="2639">
        <v>9592563392</v>
      </c>
      <c r="H910" s="2639">
        <v>9685910772</v>
      </c>
      <c r="I910" s="2639">
        <v>9592563392</v>
      </c>
      <c r="J910" s="2639">
        <v>9685910772</v>
      </c>
      <c r="K910" s="2639">
        <v>9592563392</v>
      </c>
      <c r="L910" s="2639">
        <v>247757380</v>
      </c>
      <c r="M910" s="2639">
        <v>0</v>
      </c>
    </row>
    <row r="911" spans="1:13" s="2983" customFormat="1" ht="14.5">
      <c r="A911" s="2985"/>
      <c r="B911" s="2981" t="s">
        <v>2307</v>
      </c>
      <c r="C911" s="2636" t="s">
        <v>6890</v>
      </c>
      <c r="D911" s="2982">
        <v>2442398716</v>
      </c>
      <c r="E911" s="2982">
        <v>2401228584</v>
      </c>
      <c r="F911" s="2984"/>
      <c r="G911" s="2984"/>
      <c r="H911" s="2982">
        <v>2442398716</v>
      </c>
      <c r="I911" s="2982">
        <v>2401228584</v>
      </c>
      <c r="J911" s="2984"/>
      <c r="K911" s="2984"/>
      <c r="L911" s="2982">
        <v>106495132</v>
      </c>
      <c r="M911" s="2982">
        <v>0</v>
      </c>
    </row>
    <row r="912" spans="1:13" s="2983" customFormat="1" ht="14.5">
      <c r="A912" s="2985"/>
      <c r="B912" s="2981" t="s">
        <v>1244</v>
      </c>
      <c r="C912" s="2638" t="s">
        <v>6891</v>
      </c>
      <c r="D912" s="2984">
        <v>16539572339</v>
      </c>
      <c r="E912" s="2984">
        <v>16369051544</v>
      </c>
      <c r="F912" s="2984"/>
      <c r="G912" s="2984"/>
      <c r="H912" s="2984">
        <v>16539572339</v>
      </c>
      <c r="I912" s="2984">
        <v>16369051544</v>
      </c>
      <c r="J912" s="2984"/>
      <c r="K912" s="2984"/>
      <c r="L912" s="2984">
        <v>434775795</v>
      </c>
      <c r="M912" s="2984">
        <v>0</v>
      </c>
    </row>
    <row r="913" spans="1:13" ht="14.5">
      <c r="A913" s="2977" t="s">
        <v>10249</v>
      </c>
      <c r="B913" s="2113" t="str">
        <f t="shared" si="15"/>
        <v>228-901</v>
      </c>
      <c r="C913" s="2977" t="s">
        <v>6892</v>
      </c>
      <c r="D913" s="2637">
        <v>390119660</v>
      </c>
      <c r="E913" s="2637">
        <v>379621889</v>
      </c>
      <c r="F913" s="2637">
        <v>390119660</v>
      </c>
      <c r="G913" s="2637">
        <v>379621889</v>
      </c>
      <c r="H913" s="2637">
        <v>390119660</v>
      </c>
      <c r="I913" s="2637">
        <v>379621889</v>
      </c>
      <c r="J913" s="2637">
        <v>390119660</v>
      </c>
      <c r="K913" s="2637">
        <v>379621889</v>
      </c>
      <c r="L913" s="2637">
        <v>33087771</v>
      </c>
      <c r="M913" s="2637">
        <v>0</v>
      </c>
    </row>
    <row r="914" spans="1:13" ht="14.5">
      <c r="A914" s="2978" t="s">
        <v>10250</v>
      </c>
      <c r="B914" s="2113" t="str">
        <f t="shared" si="15"/>
        <v>228-903</v>
      </c>
      <c r="C914" s="2978" t="s">
        <v>6893</v>
      </c>
      <c r="D914" s="2639">
        <v>524122852</v>
      </c>
      <c r="E914" s="2639">
        <v>508157929</v>
      </c>
      <c r="F914" s="2639">
        <v>524122852</v>
      </c>
      <c r="G914" s="2639">
        <v>508157929</v>
      </c>
      <c r="H914" s="2639">
        <v>524122852</v>
      </c>
      <c r="I914" s="2639">
        <v>508157929</v>
      </c>
      <c r="J914" s="2639">
        <v>524122852</v>
      </c>
      <c r="K914" s="2639">
        <v>508157929</v>
      </c>
      <c r="L914" s="2639">
        <v>48964923</v>
      </c>
      <c r="M914" s="2639">
        <v>0</v>
      </c>
    </row>
    <row r="915" spans="1:13" ht="14.5">
      <c r="A915" s="2977" t="s">
        <v>10251</v>
      </c>
      <c r="B915" s="2113" t="str">
        <f t="shared" si="15"/>
        <v>228-904</v>
      </c>
      <c r="C915" s="2977" t="s">
        <v>6591</v>
      </c>
      <c r="D915" s="2637">
        <v>41621444</v>
      </c>
      <c r="E915" s="2637">
        <v>39745533</v>
      </c>
      <c r="F915" s="2637">
        <v>41621444</v>
      </c>
      <c r="G915" s="2637">
        <v>39745533</v>
      </c>
      <c r="H915" s="2637">
        <v>41621444</v>
      </c>
      <c r="I915" s="2637">
        <v>39745533</v>
      </c>
      <c r="J915" s="2637">
        <v>41621444</v>
      </c>
      <c r="K915" s="2637">
        <v>39745533</v>
      </c>
      <c r="L915" s="2637">
        <v>5535911</v>
      </c>
      <c r="M915" s="2637">
        <v>0</v>
      </c>
    </row>
    <row r="916" spans="1:13" ht="14.5">
      <c r="A916" s="2978" t="s">
        <v>10252</v>
      </c>
      <c r="B916" s="2113" t="str">
        <f t="shared" si="15"/>
        <v>228-905</v>
      </c>
      <c r="C916" s="2978" t="s">
        <v>6894</v>
      </c>
      <c r="D916" s="2639">
        <v>60832662</v>
      </c>
      <c r="E916" s="2639">
        <v>58285327</v>
      </c>
      <c r="F916" s="2639">
        <v>60832662</v>
      </c>
      <c r="G916" s="2639">
        <v>58285327</v>
      </c>
      <c r="H916" s="2639">
        <v>60832662</v>
      </c>
      <c r="I916" s="2639">
        <v>58285327</v>
      </c>
      <c r="J916" s="2639">
        <v>60832662</v>
      </c>
      <c r="K916" s="2639">
        <v>58285327</v>
      </c>
      <c r="L916" s="2639">
        <v>7227335</v>
      </c>
      <c r="M916" s="2639">
        <v>0</v>
      </c>
    </row>
    <row r="917" spans="1:13" ht="14.5">
      <c r="A917" s="2977" t="s">
        <v>10253</v>
      </c>
      <c r="B917" s="2113" t="str">
        <f t="shared" si="15"/>
        <v>229-901</v>
      </c>
      <c r="C917" s="2977" t="s">
        <v>6895</v>
      </c>
      <c r="D917" s="2637">
        <v>184815651</v>
      </c>
      <c r="E917" s="2637">
        <v>179053329</v>
      </c>
      <c r="F917" s="2637">
        <v>184815651</v>
      </c>
      <c r="G917" s="2637">
        <v>179053329</v>
      </c>
      <c r="H917" s="2637">
        <v>184815651</v>
      </c>
      <c r="I917" s="2637">
        <v>179053329</v>
      </c>
      <c r="J917" s="2637">
        <v>184815651</v>
      </c>
      <c r="K917" s="2637">
        <v>179053329</v>
      </c>
      <c r="L917" s="2637">
        <v>18098284</v>
      </c>
      <c r="M917" s="2637">
        <v>0</v>
      </c>
    </row>
    <row r="918" spans="1:13" ht="14.5">
      <c r="A918" s="2978" t="s">
        <v>10254</v>
      </c>
      <c r="B918" s="2113" t="str">
        <f t="shared" si="15"/>
        <v>229-903</v>
      </c>
      <c r="C918" s="2978" t="s">
        <v>6896</v>
      </c>
      <c r="D918" s="2639">
        <v>651248550</v>
      </c>
      <c r="E918" s="2639">
        <v>633463413</v>
      </c>
      <c r="F918" s="2639">
        <v>651248550</v>
      </c>
      <c r="G918" s="2639">
        <v>633463413</v>
      </c>
      <c r="H918" s="2639">
        <v>683049914</v>
      </c>
      <c r="I918" s="2639">
        <v>665264777</v>
      </c>
      <c r="J918" s="2639">
        <v>683049914</v>
      </c>
      <c r="K918" s="2639">
        <v>665264777</v>
      </c>
      <c r="L918" s="2639">
        <v>55495137</v>
      </c>
      <c r="M918" s="2639">
        <v>31801364</v>
      </c>
    </row>
    <row r="919" spans="1:13" ht="14.5">
      <c r="A919" s="2977" t="s">
        <v>10255</v>
      </c>
      <c r="B919" s="2113" t="str">
        <f t="shared" si="15"/>
        <v>229-904</v>
      </c>
      <c r="C919" s="2977" t="s">
        <v>6897</v>
      </c>
      <c r="D919" s="2637">
        <v>360173918</v>
      </c>
      <c r="E919" s="2637">
        <v>345074059</v>
      </c>
      <c r="F919" s="2637">
        <v>360173918</v>
      </c>
      <c r="G919" s="2637">
        <v>345074059</v>
      </c>
      <c r="H919" s="2637">
        <v>360173918</v>
      </c>
      <c r="I919" s="2637">
        <v>345074059</v>
      </c>
      <c r="J919" s="2637">
        <v>360173918</v>
      </c>
      <c r="K919" s="2637">
        <v>345074059</v>
      </c>
      <c r="L919" s="2637">
        <v>47169859</v>
      </c>
      <c r="M919" s="2637">
        <v>0</v>
      </c>
    </row>
    <row r="920" spans="1:13" ht="14.5">
      <c r="A920" s="2978" t="s">
        <v>10256</v>
      </c>
      <c r="B920" s="2113" t="str">
        <f t="shared" si="15"/>
        <v>229-905</v>
      </c>
      <c r="C920" s="2978" t="s">
        <v>6898</v>
      </c>
      <c r="D920" s="2639">
        <v>102481243</v>
      </c>
      <c r="E920" s="2639">
        <v>98628226</v>
      </c>
      <c r="F920" s="2639">
        <v>102481243</v>
      </c>
      <c r="G920" s="2639">
        <v>98628226</v>
      </c>
      <c r="H920" s="2639">
        <v>102481243</v>
      </c>
      <c r="I920" s="2639">
        <v>98628226</v>
      </c>
      <c r="J920" s="2639">
        <v>102481243</v>
      </c>
      <c r="K920" s="2639">
        <v>98628226</v>
      </c>
      <c r="L920" s="2639">
        <v>13423017</v>
      </c>
      <c r="M920" s="2639">
        <v>0</v>
      </c>
    </row>
    <row r="921" spans="1:13" ht="14.5">
      <c r="A921" s="2977" t="s">
        <v>10257</v>
      </c>
      <c r="B921" s="2113" t="str">
        <f t="shared" si="15"/>
        <v>229-906</v>
      </c>
      <c r="C921" s="2977" t="s">
        <v>6899</v>
      </c>
      <c r="D921" s="2637">
        <v>98626685</v>
      </c>
      <c r="E921" s="2637">
        <v>95677285</v>
      </c>
      <c r="F921" s="2637">
        <v>98626685</v>
      </c>
      <c r="G921" s="2637">
        <v>95677285</v>
      </c>
      <c r="H921" s="2637">
        <v>98626685</v>
      </c>
      <c r="I921" s="2637">
        <v>95677285</v>
      </c>
      <c r="J921" s="2637">
        <v>98626685</v>
      </c>
      <c r="K921" s="2637">
        <v>95677285</v>
      </c>
      <c r="L921" s="2637">
        <v>8499400</v>
      </c>
      <c r="M921" s="2637">
        <v>0</v>
      </c>
    </row>
    <row r="922" spans="1:13" ht="14.5">
      <c r="A922" s="2978" t="s">
        <v>10258</v>
      </c>
      <c r="B922" s="2113" t="str">
        <f t="shared" si="15"/>
        <v>230-901</v>
      </c>
      <c r="C922" s="2978" t="s">
        <v>6759</v>
      </c>
      <c r="D922" s="2639">
        <v>245733771</v>
      </c>
      <c r="E922" s="2639">
        <v>237591899</v>
      </c>
      <c r="F922" s="2639">
        <v>245733771</v>
      </c>
      <c r="G922" s="2639">
        <v>237591899</v>
      </c>
      <c r="H922" s="2639">
        <v>245733771</v>
      </c>
      <c r="I922" s="2639">
        <v>237591899</v>
      </c>
      <c r="J922" s="2639">
        <v>245733771</v>
      </c>
      <c r="K922" s="2639">
        <v>237591899</v>
      </c>
      <c r="L922" s="2639">
        <v>23186872</v>
      </c>
      <c r="M922" s="2639">
        <v>0</v>
      </c>
    </row>
    <row r="923" spans="1:13" ht="14.5">
      <c r="A923" s="2977" t="s">
        <v>10259</v>
      </c>
      <c r="B923" s="2113" t="str">
        <f t="shared" si="15"/>
        <v>230-902</v>
      </c>
      <c r="C923" s="2977" t="s">
        <v>6900</v>
      </c>
      <c r="D923" s="2637">
        <v>961925642</v>
      </c>
      <c r="E923" s="2637">
        <v>925850307</v>
      </c>
      <c r="F923" s="2637">
        <v>961925642</v>
      </c>
      <c r="G923" s="2637">
        <v>925850307</v>
      </c>
      <c r="H923" s="2637">
        <v>961925642</v>
      </c>
      <c r="I923" s="2637">
        <v>925850307</v>
      </c>
      <c r="J923" s="2637">
        <v>961925642</v>
      </c>
      <c r="K923" s="2637">
        <v>925850307</v>
      </c>
      <c r="L923" s="2637">
        <v>99150335</v>
      </c>
      <c r="M923" s="2637">
        <v>0</v>
      </c>
    </row>
    <row r="924" spans="1:13" ht="14.5">
      <c r="A924" s="2978" t="s">
        <v>10260</v>
      </c>
      <c r="B924" s="2113" t="str">
        <f t="shared" si="15"/>
        <v>230-903</v>
      </c>
      <c r="C924" s="2978" t="s">
        <v>6901</v>
      </c>
      <c r="D924" s="2639">
        <v>177007259</v>
      </c>
      <c r="E924" s="2639">
        <v>168434879</v>
      </c>
      <c r="F924" s="2639">
        <v>177007259</v>
      </c>
      <c r="G924" s="2639">
        <v>168434879</v>
      </c>
      <c r="H924" s="2639">
        <v>177007259</v>
      </c>
      <c r="I924" s="2639">
        <v>168434879</v>
      </c>
      <c r="J924" s="2639">
        <v>177007259</v>
      </c>
      <c r="K924" s="2639">
        <v>168434879</v>
      </c>
      <c r="L924" s="2639">
        <v>24922380</v>
      </c>
      <c r="M924" s="2639">
        <v>0</v>
      </c>
    </row>
    <row r="925" spans="1:13" ht="14.5">
      <c r="A925" s="2977" t="s">
        <v>10261</v>
      </c>
      <c r="B925" s="2113" t="str">
        <f t="shared" si="15"/>
        <v>230-904</v>
      </c>
      <c r="C925" s="2977" t="s">
        <v>6902</v>
      </c>
      <c r="D925" s="2637">
        <v>104466371</v>
      </c>
      <c r="E925" s="2637">
        <v>99698550</v>
      </c>
      <c r="F925" s="2637">
        <v>104466371</v>
      </c>
      <c r="G925" s="2637">
        <v>99698550</v>
      </c>
      <c r="H925" s="2637">
        <v>104466371</v>
      </c>
      <c r="I925" s="2637">
        <v>99698550</v>
      </c>
      <c r="J925" s="2637">
        <v>104466371</v>
      </c>
      <c r="K925" s="2637">
        <v>99698550</v>
      </c>
      <c r="L925" s="2637">
        <v>13497821</v>
      </c>
      <c r="M925" s="2637">
        <v>0</v>
      </c>
    </row>
    <row r="926" spans="1:13" ht="14.5">
      <c r="A926" s="2978" t="s">
        <v>10262</v>
      </c>
      <c r="B926" s="2113" t="str">
        <f t="shared" si="15"/>
        <v>230-905</v>
      </c>
      <c r="C926" s="2978" t="s">
        <v>6903</v>
      </c>
      <c r="D926" s="2639">
        <v>509455423</v>
      </c>
      <c r="E926" s="2639">
        <v>490271252</v>
      </c>
      <c r="F926" s="2639">
        <v>509455423</v>
      </c>
      <c r="G926" s="2639">
        <v>490271252</v>
      </c>
      <c r="H926" s="2639">
        <v>509455423</v>
      </c>
      <c r="I926" s="2639">
        <v>490271252</v>
      </c>
      <c r="J926" s="2639">
        <v>509455423</v>
      </c>
      <c r="K926" s="2639">
        <v>490271252</v>
      </c>
      <c r="L926" s="2639">
        <v>52664171</v>
      </c>
      <c r="M926" s="2639">
        <v>0</v>
      </c>
    </row>
    <row r="927" spans="1:13" ht="14.5">
      <c r="A927" s="2977" t="s">
        <v>10263</v>
      </c>
      <c r="B927" s="2113" t="str">
        <f t="shared" si="15"/>
        <v>230-906</v>
      </c>
      <c r="C927" s="2977" t="s">
        <v>6904</v>
      </c>
      <c r="D927" s="2637">
        <v>268898448</v>
      </c>
      <c r="E927" s="2637">
        <v>257690305</v>
      </c>
      <c r="F927" s="2637">
        <v>268898448</v>
      </c>
      <c r="G927" s="2637">
        <v>257690305</v>
      </c>
      <c r="H927" s="2637">
        <v>268898448</v>
      </c>
      <c r="I927" s="2637">
        <v>257690305</v>
      </c>
      <c r="J927" s="2637">
        <v>268898448</v>
      </c>
      <c r="K927" s="2637">
        <v>257690305</v>
      </c>
      <c r="L927" s="2637">
        <v>30723143</v>
      </c>
      <c r="M927" s="2637">
        <v>0</v>
      </c>
    </row>
    <row r="928" spans="1:13" ht="14.5">
      <c r="A928" s="2978" t="s">
        <v>10264</v>
      </c>
      <c r="B928" s="2113" t="str">
        <f t="shared" si="15"/>
        <v>230-908</v>
      </c>
      <c r="C928" s="2978" t="s">
        <v>6905</v>
      </c>
      <c r="D928" s="2639">
        <v>169694150</v>
      </c>
      <c r="E928" s="2639">
        <v>162610552</v>
      </c>
      <c r="F928" s="2639">
        <v>169694150</v>
      </c>
      <c r="G928" s="2639">
        <v>162610552</v>
      </c>
      <c r="H928" s="2639">
        <v>169694150</v>
      </c>
      <c r="I928" s="2639">
        <v>162610552</v>
      </c>
      <c r="J928" s="2639">
        <v>169694150</v>
      </c>
      <c r="K928" s="2639">
        <v>162610552</v>
      </c>
      <c r="L928" s="2639">
        <v>19518598</v>
      </c>
      <c r="M928" s="2639">
        <v>0</v>
      </c>
    </row>
    <row r="929" spans="1:13" ht="14.5">
      <c r="A929" s="2977" t="s">
        <v>10265</v>
      </c>
      <c r="B929" s="2113" t="str">
        <f t="shared" si="15"/>
        <v>231-901</v>
      </c>
      <c r="C929" s="2977" t="s">
        <v>6906</v>
      </c>
      <c r="D929" s="2637">
        <v>933164454</v>
      </c>
      <c r="E929" s="2637">
        <v>928995216</v>
      </c>
      <c r="F929" s="2637">
        <v>929762934</v>
      </c>
      <c r="G929" s="2637">
        <v>925593696</v>
      </c>
      <c r="H929" s="2637">
        <v>1409372934</v>
      </c>
      <c r="I929" s="2637">
        <v>1405203696</v>
      </c>
      <c r="J929" s="2637">
        <v>1405971414</v>
      </c>
      <c r="K929" s="2637">
        <v>1401802176</v>
      </c>
      <c r="L929" s="2637">
        <v>12299238</v>
      </c>
      <c r="M929" s="2637">
        <v>476208480</v>
      </c>
    </row>
    <row r="930" spans="1:13" ht="14.5">
      <c r="A930" s="2978" t="s">
        <v>10666</v>
      </c>
      <c r="B930" s="2113" t="str">
        <f t="shared" si="15"/>
        <v>231-902</v>
      </c>
      <c r="C930" s="2978" t="s">
        <v>6907</v>
      </c>
      <c r="D930" s="2639">
        <v>6273484063</v>
      </c>
      <c r="E930" s="2639">
        <v>6271836923</v>
      </c>
      <c r="F930" s="2639">
        <v>6273484063</v>
      </c>
      <c r="G930" s="2639">
        <v>6271836923</v>
      </c>
      <c r="H930" s="2639">
        <v>6682185913</v>
      </c>
      <c r="I930" s="2639">
        <v>6680538773</v>
      </c>
      <c r="J930" s="2639">
        <v>6682185913</v>
      </c>
      <c r="K930" s="2639">
        <v>6680538773</v>
      </c>
      <c r="L930" s="2639">
        <v>4512140</v>
      </c>
      <c r="M930" s="2639">
        <v>408701850</v>
      </c>
    </row>
    <row r="931" spans="1:13" ht="14.5">
      <c r="A931" s="2977" t="s">
        <v>10266</v>
      </c>
      <c r="B931" s="2113" t="str">
        <f t="shared" si="15"/>
        <v>232-901</v>
      </c>
      <c r="C931" s="2977" t="s">
        <v>6908</v>
      </c>
      <c r="D931" s="2637">
        <v>96232235</v>
      </c>
      <c r="E931" s="2637">
        <v>94594313</v>
      </c>
      <c r="F931" s="2637">
        <v>96232235</v>
      </c>
      <c r="G931" s="2637">
        <v>94594313</v>
      </c>
      <c r="H931" s="2637">
        <v>107289085</v>
      </c>
      <c r="I931" s="2637">
        <v>105651163</v>
      </c>
      <c r="J931" s="2637">
        <v>107289085</v>
      </c>
      <c r="K931" s="2637">
        <v>105651163</v>
      </c>
      <c r="L931" s="2637">
        <v>4607922</v>
      </c>
      <c r="M931" s="2637">
        <v>11056850</v>
      </c>
    </row>
    <row r="932" spans="1:13" ht="14.5">
      <c r="A932" s="2978" t="s">
        <v>10267</v>
      </c>
      <c r="B932" s="2113" t="str">
        <f t="shared" si="15"/>
        <v>232-902</v>
      </c>
      <c r="C932" s="2978" t="s">
        <v>6909</v>
      </c>
      <c r="D932" s="2639">
        <v>450725926</v>
      </c>
      <c r="E932" s="2639">
        <v>445704896</v>
      </c>
      <c r="F932" s="2639">
        <v>450725926</v>
      </c>
      <c r="G932" s="2639">
        <v>445704896</v>
      </c>
      <c r="H932" s="2639">
        <v>450725926</v>
      </c>
      <c r="I932" s="2639">
        <v>445704896</v>
      </c>
      <c r="J932" s="2639">
        <v>450725926</v>
      </c>
      <c r="K932" s="2639">
        <v>445704896</v>
      </c>
      <c r="L932" s="2639">
        <v>13751030</v>
      </c>
      <c r="M932" s="2639">
        <v>0</v>
      </c>
    </row>
    <row r="933" spans="1:13" ht="14.5">
      <c r="A933" s="2977" t="s">
        <v>10268</v>
      </c>
      <c r="B933" s="2113" t="str">
        <f t="shared" si="15"/>
        <v>232-903</v>
      </c>
      <c r="C933" s="2977" t="s">
        <v>6910</v>
      </c>
      <c r="D933" s="2637">
        <v>1459002424</v>
      </c>
      <c r="E933" s="2637">
        <v>1419952041</v>
      </c>
      <c r="F933" s="2637">
        <v>1459002424</v>
      </c>
      <c r="G933" s="2637">
        <v>1419952041</v>
      </c>
      <c r="H933" s="2637">
        <v>1498945574</v>
      </c>
      <c r="I933" s="2637">
        <v>1459895191</v>
      </c>
      <c r="J933" s="2637">
        <v>1498945574</v>
      </c>
      <c r="K933" s="2637">
        <v>1459895191</v>
      </c>
      <c r="L933" s="2637">
        <v>103250383</v>
      </c>
      <c r="M933" s="2637">
        <v>39943150</v>
      </c>
    </row>
    <row r="934" spans="1:13" ht="14.5">
      <c r="A934" s="2978" t="s">
        <v>10269</v>
      </c>
      <c r="B934" s="2113" t="str">
        <f t="shared" si="15"/>
        <v>232-904</v>
      </c>
      <c r="C934" s="2978" t="s">
        <v>6911</v>
      </c>
      <c r="D934" s="2639">
        <v>263344844</v>
      </c>
      <c r="E934" s="2639">
        <v>259642238</v>
      </c>
      <c r="F934" s="2639">
        <v>263344844</v>
      </c>
      <c r="G934" s="2639">
        <v>259642238</v>
      </c>
      <c r="H934" s="2639">
        <v>263344844</v>
      </c>
      <c r="I934" s="2639">
        <v>259642238</v>
      </c>
      <c r="J934" s="2639">
        <v>263344844</v>
      </c>
      <c r="K934" s="2639">
        <v>259642238</v>
      </c>
      <c r="L934" s="2639">
        <v>10527606</v>
      </c>
      <c r="M934" s="2639">
        <v>0</v>
      </c>
    </row>
    <row r="935" spans="1:13" ht="14.5">
      <c r="A935" s="2977" t="s">
        <v>10270</v>
      </c>
      <c r="B935" s="2113" t="str">
        <f t="shared" si="15"/>
        <v>233-901</v>
      </c>
      <c r="C935" s="2977" t="s">
        <v>6912</v>
      </c>
      <c r="D935" s="2637">
        <v>2553089131</v>
      </c>
      <c r="E935" s="2637">
        <v>2467908428</v>
      </c>
      <c r="F935" s="2637">
        <v>2441945713</v>
      </c>
      <c r="G935" s="2637">
        <v>2356765010</v>
      </c>
      <c r="H935" s="2637">
        <v>2553089131</v>
      </c>
      <c r="I935" s="2637">
        <v>2467908428</v>
      </c>
      <c r="J935" s="2637">
        <v>2441945713</v>
      </c>
      <c r="K935" s="2637">
        <v>2356765010</v>
      </c>
      <c r="L935" s="2637">
        <v>222340703</v>
      </c>
      <c r="M935" s="2637">
        <v>0</v>
      </c>
    </row>
    <row r="936" spans="1:13" ht="14.5">
      <c r="A936" s="2978" t="s">
        <v>10271</v>
      </c>
      <c r="B936" s="2113" t="str">
        <f t="shared" si="15"/>
        <v>233-903</v>
      </c>
      <c r="C936" s="2978" t="s">
        <v>6913</v>
      </c>
      <c r="D936" s="2639">
        <v>348596122</v>
      </c>
      <c r="E936" s="2639">
        <v>347247199</v>
      </c>
      <c r="F936" s="2639">
        <v>348208530</v>
      </c>
      <c r="G936" s="2639">
        <v>346859607</v>
      </c>
      <c r="H936" s="2639">
        <v>348596122</v>
      </c>
      <c r="I936" s="2639">
        <v>347247199</v>
      </c>
      <c r="J936" s="2639">
        <v>348208530</v>
      </c>
      <c r="K936" s="2639">
        <v>346859607</v>
      </c>
      <c r="L936" s="2639">
        <v>3688923</v>
      </c>
      <c r="M936" s="2639">
        <v>0</v>
      </c>
    </row>
    <row r="937" spans="1:13" ht="14.5">
      <c r="A937" s="2977" t="s">
        <v>10272</v>
      </c>
      <c r="B937" s="2113" t="str">
        <f t="shared" si="15"/>
        <v>234-902</v>
      </c>
      <c r="C937" s="2977" t="s">
        <v>6914</v>
      </c>
      <c r="D937" s="2637">
        <v>1040662034</v>
      </c>
      <c r="E937" s="2637">
        <v>1011321490</v>
      </c>
      <c r="F937" s="2637">
        <v>1040662034</v>
      </c>
      <c r="G937" s="2637">
        <v>1011321490</v>
      </c>
      <c r="H937" s="2637">
        <v>1040662034</v>
      </c>
      <c r="I937" s="2637">
        <v>1011321490</v>
      </c>
      <c r="J937" s="2637">
        <v>1040662034</v>
      </c>
      <c r="K937" s="2637">
        <v>1011321490</v>
      </c>
      <c r="L937" s="2637">
        <v>80175544</v>
      </c>
      <c r="M937" s="2637">
        <v>0</v>
      </c>
    </row>
    <row r="938" spans="1:13" ht="14.5">
      <c r="A938" s="2978" t="s">
        <v>10273</v>
      </c>
      <c r="B938" s="2113" t="str">
        <f t="shared" si="15"/>
        <v>234-903</v>
      </c>
      <c r="C938" s="2978" t="s">
        <v>6047</v>
      </c>
      <c r="D938" s="2639">
        <v>361251018</v>
      </c>
      <c r="E938" s="2639">
        <v>348581641</v>
      </c>
      <c r="F938" s="2639">
        <v>361251018</v>
      </c>
      <c r="G938" s="2639">
        <v>348581641</v>
      </c>
      <c r="H938" s="2639">
        <v>361251018</v>
      </c>
      <c r="I938" s="2639">
        <v>348581641</v>
      </c>
      <c r="J938" s="2639">
        <v>361251018</v>
      </c>
      <c r="K938" s="2639">
        <v>348581641</v>
      </c>
      <c r="L938" s="2639">
        <v>34569377</v>
      </c>
      <c r="M938" s="2639">
        <v>0</v>
      </c>
    </row>
    <row r="939" spans="1:13" ht="14.5">
      <c r="A939" s="2977" t="s">
        <v>10274</v>
      </c>
      <c r="B939" s="2113" t="str">
        <f t="shared" si="15"/>
        <v>234-904</v>
      </c>
      <c r="C939" s="2977" t="s">
        <v>6915</v>
      </c>
      <c r="D939" s="2637">
        <v>391289227</v>
      </c>
      <c r="E939" s="2637">
        <v>376916639</v>
      </c>
      <c r="F939" s="2637">
        <v>369340693</v>
      </c>
      <c r="G939" s="2637">
        <v>354968105</v>
      </c>
      <c r="H939" s="2637">
        <v>391289227</v>
      </c>
      <c r="I939" s="2637">
        <v>376916639</v>
      </c>
      <c r="J939" s="2637">
        <v>369340693</v>
      </c>
      <c r="K939" s="2637">
        <v>354968105</v>
      </c>
      <c r="L939" s="2637">
        <v>39077588</v>
      </c>
      <c r="M939" s="2637">
        <v>0</v>
      </c>
    </row>
    <row r="940" spans="1:13" ht="14.5">
      <c r="A940" s="2978" t="s">
        <v>10275</v>
      </c>
      <c r="B940" s="2113" t="str">
        <f t="shared" si="15"/>
        <v>234-905</v>
      </c>
      <c r="C940" s="2978" t="s">
        <v>6916</v>
      </c>
      <c r="D940" s="2639">
        <v>166601965</v>
      </c>
      <c r="E940" s="2639">
        <v>161712180</v>
      </c>
      <c r="F940" s="2639">
        <v>166601965</v>
      </c>
      <c r="G940" s="2639">
        <v>161712180</v>
      </c>
      <c r="H940" s="2639">
        <v>166601965</v>
      </c>
      <c r="I940" s="2639">
        <v>161712180</v>
      </c>
      <c r="J940" s="2639">
        <v>166601965</v>
      </c>
      <c r="K940" s="2639">
        <v>161712180</v>
      </c>
      <c r="L940" s="2639">
        <v>14234785</v>
      </c>
      <c r="M940" s="2639">
        <v>0</v>
      </c>
    </row>
    <row r="941" spans="1:13" ht="14.5">
      <c r="A941" s="2977" t="s">
        <v>10276</v>
      </c>
      <c r="B941" s="2113" t="str">
        <f t="shared" si="15"/>
        <v>234-906</v>
      </c>
      <c r="C941" s="2977" t="s">
        <v>6917</v>
      </c>
      <c r="D941" s="2637">
        <v>992096581</v>
      </c>
      <c r="E941" s="2637">
        <v>958807629</v>
      </c>
      <c r="F941" s="2637">
        <v>931720479</v>
      </c>
      <c r="G941" s="2637">
        <v>898431527</v>
      </c>
      <c r="H941" s="2637">
        <v>992096581</v>
      </c>
      <c r="I941" s="2637">
        <v>958807629</v>
      </c>
      <c r="J941" s="2637">
        <v>931720479</v>
      </c>
      <c r="K941" s="2637">
        <v>898431527</v>
      </c>
      <c r="L941" s="2637">
        <v>94173952</v>
      </c>
      <c r="M941" s="2637">
        <v>0</v>
      </c>
    </row>
    <row r="942" spans="1:13" ht="14.5">
      <c r="A942" s="2978" t="s">
        <v>10277</v>
      </c>
      <c r="B942" s="2113" t="str">
        <f t="shared" si="15"/>
        <v>234-907</v>
      </c>
      <c r="C942" s="2978" t="s">
        <v>6918</v>
      </c>
      <c r="D942" s="2639">
        <v>1055930784</v>
      </c>
      <c r="E942" s="2639">
        <v>1026997314</v>
      </c>
      <c r="F942" s="2639">
        <v>1055930784</v>
      </c>
      <c r="G942" s="2639">
        <v>1026997314</v>
      </c>
      <c r="H942" s="2639">
        <v>1055930784</v>
      </c>
      <c r="I942" s="2639">
        <v>1026997314</v>
      </c>
      <c r="J942" s="2639">
        <v>1055930784</v>
      </c>
      <c r="K942" s="2639">
        <v>1026997314</v>
      </c>
      <c r="L942" s="2639">
        <v>82603470</v>
      </c>
      <c r="M942" s="2639">
        <v>0</v>
      </c>
    </row>
    <row r="943" spans="1:13" ht="14.5">
      <c r="A943" s="2977" t="s">
        <v>10278</v>
      </c>
      <c r="B943" s="2113" t="str">
        <f t="shared" si="15"/>
        <v>234-909</v>
      </c>
      <c r="C943" s="2977" t="s">
        <v>6919</v>
      </c>
      <c r="D943" s="2637">
        <v>77505737</v>
      </c>
      <c r="E943" s="2637">
        <v>73685384</v>
      </c>
      <c r="F943" s="2637">
        <v>72136707</v>
      </c>
      <c r="G943" s="2637">
        <v>68316354</v>
      </c>
      <c r="H943" s="2637">
        <v>77505737</v>
      </c>
      <c r="I943" s="2637">
        <v>73685384</v>
      </c>
      <c r="J943" s="2637">
        <v>72136707</v>
      </c>
      <c r="K943" s="2637">
        <v>68316354</v>
      </c>
      <c r="L943" s="2637">
        <v>11140353</v>
      </c>
      <c r="M943" s="2637">
        <v>0</v>
      </c>
    </row>
    <row r="944" spans="1:13" ht="14.5">
      <c r="A944" s="2978" t="s">
        <v>10279</v>
      </c>
      <c r="B944" s="2113" t="str">
        <f t="shared" si="15"/>
        <v>235-901</v>
      </c>
      <c r="C944" s="2978" t="s">
        <v>6920</v>
      </c>
      <c r="D944" s="2639">
        <v>240821455</v>
      </c>
      <c r="E944" s="2639">
        <v>235248226</v>
      </c>
      <c r="F944" s="2639">
        <v>240821455</v>
      </c>
      <c r="G944" s="2639">
        <v>235248226</v>
      </c>
      <c r="H944" s="2639">
        <v>240821455</v>
      </c>
      <c r="I944" s="2639">
        <v>235248226</v>
      </c>
      <c r="J944" s="2639">
        <v>240821455</v>
      </c>
      <c r="K944" s="2639">
        <v>235248226</v>
      </c>
      <c r="L944" s="2639">
        <v>16298229</v>
      </c>
      <c r="M944" s="2639">
        <v>0</v>
      </c>
    </row>
    <row r="945" spans="1:13" ht="14.5">
      <c r="A945" s="2977" t="s">
        <v>10280</v>
      </c>
      <c r="B945" s="2113" t="str">
        <f t="shared" si="15"/>
        <v>235-902</v>
      </c>
      <c r="C945" s="2977" t="s">
        <v>6921</v>
      </c>
      <c r="D945" s="2637">
        <v>6899138023</v>
      </c>
      <c r="E945" s="2637">
        <v>6738415316</v>
      </c>
      <c r="F945" s="2637">
        <v>6899138023</v>
      </c>
      <c r="G945" s="2637">
        <v>6738415316</v>
      </c>
      <c r="H945" s="2637">
        <v>6899138023</v>
      </c>
      <c r="I945" s="2637">
        <v>6738415316</v>
      </c>
      <c r="J945" s="2637">
        <v>6899138023</v>
      </c>
      <c r="K945" s="2637">
        <v>6738415316</v>
      </c>
      <c r="L945" s="2637">
        <v>421152707</v>
      </c>
      <c r="M945" s="2637">
        <v>0</v>
      </c>
    </row>
    <row r="946" spans="1:13" ht="14.5">
      <c r="A946" s="2978" t="s">
        <v>10281</v>
      </c>
      <c r="B946" s="2113" t="str">
        <f t="shared" si="15"/>
        <v>235-904</v>
      </c>
      <c r="C946" s="2978" t="s">
        <v>6922</v>
      </c>
      <c r="D946" s="2639">
        <v>266606317</v>
      </c>
      <c r="E946" s="2639">
        <v>262550170</v>
      </c>
      <c r="F946" s="2639">
        <v>266606317</v>
      </c>
      <c r="G946" s="2639">
        <v>262550170</v>
      </c>
      <c r="H946" s="2639">
        <v>266606317</v>
      </c>
      <c r="I946" s="2639">
        <v>262550170</v>
      </c>
      <c r="J946" s="2639">
        <v>266606317</v>
      </c>
      <c r="K946" s="2639">
        <v>262550170</v>
      </c>
      <c r="L946" s="2639">
        <v>11076147</v>
      </c>
      <c r="M946" s="2639">
        <v>0</v>
      </c>
    </row>
    <row r="947" spans="1:13" ht="14.5">
      <c r="A947" s="2977" t="s">
        <v>10282</v>
      </c>
      <c r="B947" s="2113" t="str">
        <f t="shared" si="15"/>
        <v>236-901</v>
      </c>
      <c r="C947" s="2977" t="s">
        <v>6923</v>
      </c>
      <c r="D947" s="2637">
        <v>535017411</v>
      </c>
      <c r="E947" s="2637">
        <v>525888678</v>
      </c>
      <c r="F947" s="2637">
        <v>535017411</v>
      </c>
      <c r="G947" s="2637">
        <v>525888678</v>
      </c>
      <c r="H947" s="2637">
        <v>535017411</v>
      </c>
      <c r="I947" s="2637">
        <v>525888678</v>
      </c>
      <c r="J947" s="2637">
        <v>535017411</v>
      </c>
      <c r="K947" s="2637">
        <v>525888678</v>
      </c>
      <c r="L947" s="2637">
        <v>30938733</v>
      </c>
      <c r="M947" s="2637">
        <v>0</v>
      </c>
    </row>
    <row r="948" spans="1:13" ht="14.5">
      <c r="A948" s="2978" t="s">
        <v>10283</v>
      </c>
      <c r="B948" s="2113" t="str">
        <f t="shared" si="15"/>
        <v>236-902</v>
      </c>
      <c r="C948" s="2978" t="s">
        <v>6924</v>
      </c>
      <c r="D948" s="2639">
        <v>4142910803</v>
      </c>
      <c r="E948" s="2639">
        <v>4076860029</v>
      </c>
      <c r="F948" s="2639">
        <v>4142910803</v>
      </c>
      <c r="G948" s="2639">
        <v>4076860029</v>
      </c>
      <c r="H948" s="2639">
        <v>4142910803</v>
      </c>
      <c r="I948" s="2639">
        <v>4076860029</v>
      </c>
      <c r="J948" s="2639">
        <v>4142910803</v>
      </c>
      <c r="K948" s="2639">
        <v>4076860029</v>
      </c>
      <c r="L948" s="2639">
        <v>213065774</v>
      </c>
      <c r="M948" s="2639">
        <v>0</v>
      </c>
    </row>
    <row r="949" spans="1:13" ht="14.5">
      <c r="A949" s="2977" t="s">
        <v>10284</v>
      </c>
      <c r="B949" s="2113" t="str">
        <f t="shared" si="15"/>
        <v>237-902</v>
      </c>
      <c r="C949" s="2977" t="s">
        <v>6925</v>
      </c>
      <c r="D949" s="2637">
        <v>814379084</v>
      </c>
      <c r="E949" s="2637">
        <v>799059313</v>
      </c>
      <c r="F949" s="2637">
        <v>814379084</v>
      </c>
      <c r="G949" s="2637">
        <v>799059313</v>
      </c>
      <c r="H949" s="2637">
        <v>814379084</v>
      </c>
      <c r="I949" s="2637">
        <v>799059313</v>
      </c>
      <c r="J949" s="2637">
        <v>814379084</v>
      </c>
      <c r="K949" s="2637">
        <v>799059313</v>
      </c>
      <c r="L949" s="2637">
        <v>43429771</v>
      </c>
      <c r="M949" s="2637">
        <v>0</v>
      </c>
    </row>
    <row r="950" spans="1:13" ht="14.5">
      <c r="A950" s="2978" t="s">
        <v>10285</v>
      </c>
      <c r="B950" s="2113" t="str">
        <f t="shared" si="15"/>
        <v>237-904</v>
      </c>
      <c r="C950" s="2978" t="s">
        <v>6926</v>
      </c>
      <c r="D950" s="2639">
        <v>5078984698</v>
      </c>
      <c r="E950" s="2639">
        <v>5003184572</v>
      </c>
      <c r="F950" s="2639">
        <v>5078984698</v>
      </c>
      <c r="G950" s="2639">
        <v>5003184572</v>
      </c>
      <c r="H950" s="2639">
        <v>5078984698</v>
      </c>
      <c r="I950" s="2639">
        <v>5003184572</v>
      </c>
      <c r="J950" s="2639">
        <v>5078984698</v>
      </c>
      <c r="K950" s="2639">
        <v>5003184572</v>
      </c>
      <c r="L950" s="2639">
        <v>207725126</v>
      </c>
      <c r="M950" s="2639">
        <v>0</v>
      </c>
    </row>
    <row r="951" spans="1:13" ht="14.5">
      <c r="A951" s="2977" t="s">
        <v>10667</v>
      </c>
      <c r="B951" s="2113" t="str">
        <f t="shared" si="15"/>
        <v>237-905</v>
      </c>
      <c r="C951" s="2977" t="s">
        <v>6927</v>
      </c>
      <c r="D951" s="2637">
        <v>2147427550</v>
      </c>
      <c r="E951" s="2637">
        <v>2130261234</v>
      </c>
      <c r="F951" s="2637">
        <v>2142772875</v>
      </c>
      <c r="G951" s="2637">
        <v>2125606559</v>
      </c>
      <c r="H951" s="2637">
        <v>2172080080</v>
      </c>
      <c r="I951" s="2637">
        <v>2154913764</v>
      </c>
      <c r="J951" s="2637">
        <v>2167425405</v>
      </c>
      <c r="K951" s="2637">
        <v>2150259089</v>
      </c>
      <c r="L951" s="2637">
        <v>48906316</v>
      </c>
      <c r="M951" s="2637">
        <v>24652530</v>
      </c>
    </row>
    <row r="952" spans="1:13" ht="14.5">
      <c r="A952" s="2978" t="s">
        <v>10668</v>
      </c>
      <c r="B952" s="2113" t="str">
        <f t="shared" si="15"/>
        <v>238-902</v>
      </c>
      <c r="C952" s="2978" t="s">
        <v>8436</v>
      </c>
      <c r="D952" s="2639">
        <v>2954993733</v>
      </c>
      <c r="E952" s="2639">
        <v>2934333883</v>
      </c>
      <c r="F952" s="2639">
        <v>2934907788</v>
      </c>
      <c r="G952" s="2639">
        <v>2914247938</v>
      </c>
      <c r="H952" s="2639">
        <v>2954993733</v>
      </c>
      <c r="I952" s="2639">
        <v>2934333883</v>
      </c>
      <c r="J952" s="2639">
        <v>2934907788</v>
      </c>
      <c r="K952" s="2639">
        <v>2914247938</v>
      </c>
      <c r="L952" s="2639">
        <v>55054850</v>
      </c>
      <c r="M952" s="2639">
        <v>0</v>
      </c>
    </row>
    <row r="953" spans="1:13" ht="14.5">
      <c r="A953" s="2977" t="s">
        <v>10286</v>
      </c>
      <c r="B953" s="2113" t="str">
        <f t="shared" si="15"/>
        <v>238-904</v>
      </c>
      <c r="C953" s="2977" t="s">
        <v>6928</v>
      </c>
      <c r="D953" s="2637">
        <v>129965683</v>
      </c>
      <c r="E953" s="2637">
        <v>129135713</v>
      </c>
      <c r="F953" s="2637">
        <v>129532173</v>
      </c>
      <c r="G953" s="2637">
        <v>128702203</v>
      </c>
      <c r="H953" s="2637">
        <v>129965683</v>
      </c>
      <c r="I953" s="2637">
        <v>129135713</v>
      </c>
      <c r="J953" s="2637">
        <v>129532173</v>
      </c>
      <c r="K953" s="2637">
        <v>128702203</v>
      </c>
      <c r="L953" s="2637">
        <v>2674970</v>
      </c>
      <c r="M953" s="2637">
        <v>0</v>
      </c>
    </row>
    <row r="954" spans="1:13" ht="14.5">
      <c r="A954" s="2978" t="s">
        <v>10287</v>
      </c>
      <c r="B954" s="2113" t="str">
        <f t="shared" si="15"/>
        <v>239-901</v>
      </c>
      <c r="C954" s="2978" t="s">
        <v>6929</v>
      </c>
      <c r="D954" s="2639">
        <v>3527535522</v>
      </c>
      <c r="E954" s="2639">
        <v>3458004067</v>
      </c>
      <c r="F954" s="2639">
        <v>3527535522</v>
      </c>
      <c r="G954" s="2639">
        <v>3458004067</v>
      </c>
      <c r="H954" s="2639">
        <v>3527535522</v>
      </c>
      <c r="I954" s="2639">
        <v>3458004067</v>
      </c>
      <c r="J954" s="2639">
        <v>3527535522</v>
      </c>
      <c r="K954" s="2639">
        <v>3458004067</v>
      </c>
      <c r="L954" s="2639">
        <v>182691455</v>
      </c>
      <c r="M954" s="2639">
        <v>0</v>
      </c>
    </row>
    <row r="955" spans="1:13" ht="14.5">
      <c r="A955" s="2977" t="s">
        <v>10288</v>
      </c>
      <c r="B955" s="2113" t="str">
        <f t="shared" si="15"/>
        <v>239-903</v>
      </c>
      <c r="C955" s="2977" t="s">
        <v>6930</v>
      </c>
      <c r="D955" s="2637">
        <v>782511406</v>
      </c>
      <c r="E955" s="2637">
        <v>774267392</v>
      </c>
      <c r="F955" s="2637">
        <v>782511406</v>
      </c>
      <c r="G955" s="2637">
        <v>774267392</v>
      </c>
      <c r="H955" s="2637">
        <v>782511406</v>
      </c>
      <c r="I955" s="2637">
        <v>774267392</v>
      </c>
      <c r="J955" s="2637">
        <v>782511406</v>
      </c>
      <c r="K955" s="2637">
        <v>774267392</v>
      </c>
      <c r="L955" s="2637">
        <v>23334014</v>
      </c>
      <c r="M955" s="2637">
        <v>0</v>
      </c>
    </row>
    <row r="956" spans="1:13" ht="14.5">
      <c r="A956" s="2978" t="s">
        <v>10289</v>
      </c>
      <c r="B956" s="2113" t="str">
        <f t="shared" si="15"/>
        <v>240-901</v>
      </c>
      <c r="C956" s="2978" t="s">
        <v>6931</v>
      </c>
      <c r="D956" s="2639">
        <v>2648122621</v>
      </c>
      <c r="E956" s="2639">
        <v>2567446805</v>
      </c>
      <c r="F956" s="2639">
        <v>2605675575</v>
      </c>
      <c r="G956" s="2639">
        <v>2524999759</v>
      </c>
      <c r="H956" s="2639">
        <v>2648122621</v>
      </c>
      <c r="I956" s="2639">
        <v>2567446805</v>
      </c>
      <c r="J956" s="2639">
        <v>2605675575</v>
      </c>
      <c r="K956" s="2639">
        <v>2524999759</v>
      </c>
      <c r="L956" s="2639">
        <v>221585816</v>
      </c>
      <c r="M956" s="2639">
        <v>0</v>
      </c>
    </row>
    <row r="957" spans="1:13" ht="14.5">
      <c r="A957" s="2977" t="s">
        <v>10290</v>
      </c>
      <c r="B957" s="2113" t="str">
        <f t="shared" si="15"/>
        <v>240-903</v>
      </c>
      <c r="C957" s="2977" t="s">
        <v>6932</v>
      </c>
      <c r="D957" s="2637">
        <v>18496645689</v>
      </c>
      <c r="E957" s="2637">
        <v>18229123885</v>
      </c>
      <c r="F957" s="2637">
        <v>18102485668</v>
      </c>
      <c r="G957" s="2637">
        <v>17834963864</v>
      </c>
      <c r="H957" s="2637">
        <v>18496645689</v>
      </c>
      <c r="I957" s="2637">
        <v>18229123885</v>
      </c>
      <c r="J957" s="2637">
        <v>18102485668</v>
      </c>
      <c r="K957" s="2637">
        <v>17834963864</v>
      </c>
      <c r="L957" s="2637">
        <v>729041804</v>
      </c>
      <c r="M957" s="2637">
        <v>0</v>
      </c>
    </row>
    <row r="958" spans="1:13" ht="14.5">
      <c r="A958" s="2978" t="s">
        <v>10291</v>
      </c>
      <c r="B958" s="2113" t="str">
        <f t="shared" si="15"/>
        <v>240-904</v>
      </c>
      <c r="C958" s="2978" t="s">
        <v>6933</v>
      </c>
      <c r="D958" s="2639">
        <v>589328716</v>
      </c>
      <c r="E958" s="2639">
        <v>587853143</v>
      </c>
      <c r="F958" s="2639">
        <v>588058232</v>
      </c>
      <c r="G958" s="2639">
        <v>586582659</v>
      </c>
      <c r="H958" s="2639">
        <v>1027880286</v>
      </c>
      <c r="I958" s="2639">
        <v>1026404713</v>
      </c>
      <c r="J958" s="2639">
        <v>1026609802</v>
      </c>
      <c r="K958" s="2639">
        <v>1025134229</v>
      </c>
      <c r="L958" s="2639">
        <v>4565573</v>
      </c>
      <c r="M958" s="2639">
        <v>438551570</v>
      </c>
    </row>
    <row r="959" spans="1:13" ht="14.5">
      <c r="A959" s="2977" t="s">
        <v>10292</v>
      </c>
      <c r="B959" s="2113" t="str">
        <f t="shared" si="15"/>
        <v>241-901</v>
      </c>
      <c r="C959" s="2977" t="s">
        <v>6934</v>
      </c>
      <c r="D959" s="2637">
        <v>472395070</v>
      </c>
      <c r="E959" s="2637">
        <v>462535813</v>
      </c>
      <c r="F959" s="2637">
        <v>472395070</v>
      </c>
      <c r="G959" s="2637">
        <v>462535813</v>
      </c>
      <c r="H959" s="2637">
        <v>472395070</v>
      </c>
      <c r="I959" s="2637">
        <v>462535813</v>
      </c>
      <c r="J959" s="2637">
        <v>472395070</v>
      </c>
      <c r="K959" s="2637">
        <v>462535813</v>
      </c>
      <c r="L959" s="2637">
        <v>26734257</v>
      </c>
      <c r="M959" s="2637">
        <v>0</v>
      </c>
    </row>
    <row r="960" spans="1:13" ht="14.5">
      <c r="A960" s="2978" t="s">
        <v>10293</v>
      </c>
      <c r="B960" s="2113" t="str">
        <f t="shared" si="15"/>
        <v>241-902</v>
      </c>
      <c r="C960" s="2978" t="s">
        <v>6935</v>
      </c>
      <c r="D960" s="2639">
        <v>484877507</v>
      </c>
      <c r="E960" s="2639">
        <v>474362137</v>
      </c>
      <c r="F960" s="2639">
        <v>484877507</v>
      </c>
      <c r="G960" s="2639">
        <v>474362137</v>
      </c>
      <c r="H960" s="2639">
        <v>484877507</v>
      </c>
      <c r="I960" s="2639">
        <v>474362137</v>
      </c>
      <c r="J960" s="2639">
        <v>484877507</v>
      </c>
      <c r="K960" s="2639">
        <v>474362137</v>
      </c>
      <c r="L960" s="2639">
        <v>27480370</v>
      </c>
      <c r="M960" s="2639">
        <v>0</v>
      </c>
    </row>
    <row r="961" spans="1:13" ht="14.5">
      <c r="A961" s="2977" t="s">
        <v>10294</v>
      </c>
      <c r="B961" s="2113" t="str">
        <f t="shared" si="15"/>
        <v>241-903</v>
      </c>
      <c r="C961" s="2977" t="s">
        <v>6936</v>
      </c>
      <c r="D961" s="2637">
        <v>1499113322</v>
      </c>
      <c r="E961" s="2637">
        <v>1464383332</v>
      </c>
      <c r="F961" s="2637">
        <v>1499113322</v>
      </c>
      <c r="G961" s="2637">
        <v>1464383332</v>
      </c>
      <c r="H961" s="2637">
        <v>1499113322</v>
      </c>
      <c r="I961" s="2637">
        <v>1464383332</v>
      </c>
      <c r="J961" s="2637">
        <v>1499113322</v>
      </c>
      <c r="K961" s="2637">
        <v>1464383332</v>
      </c>
      <c r="L961" s="2637">
        <v>90454990</v>
      </c>
      <c r="M961" s="2637">
        <v>0</v>
      </c>
    </row>
    <row r="962" spans="1:13" ht="14.5">
      <c r="A962" s="2978" t="s">
        <v>10295</v>
      </c>
      <c r="B962" s="2113" t="str">
        <f t="shared" si="15"/>
        <v>241-904</v>
      </c>
      <c r="C962" s="2978" t="s">
        <v>6937</v>
      </c>
      <c r="D962" s="2639">
        <v>1294893392</v>
      </c>
      <c r="E962" s="2639">
        <v>1271754684</v>
      </c>
      <c r="F962" s="2639">
        <v>1294893392</v>
      </c>
      <c r="G962" s="2639">
        <v>1271754684</v>
      </c>
      <c r="H962" s="2639">
        <v>1294893392</v>
      </c>
      <c r="I962" s="2639">
        <v>1271754684</v>
      </c>
      <c r="J962" s="2639">
        <v>1294893392</v>
      </c>
      <c r="K962" s="2639">
        <v>1271754684</v>
      </c>
      <c r="L962" s="2639">
        <v>61538708</v>
      </c>
      <c r="M962" s="2639">
        <v>0</v>
      </c>
    </row>
    <row r="963" spans="1:13" ht="14.5">
      <c r="A963" s="2977" t="s">
        <v>10296</v>
      </c>
      <c r="B963" s="2113" t="str">
        <f t="shared" si="15"/>
        <v>241-906</v>
      </c>
      <c r="C963" s="2977" t="s">
        <v>6938</v>
      </c>
      <c r="D963" s="2637">
        <v>374908154</v>
      </c>
      <c r="E963" s="2637">
        <v>369127414</v>
      </c>
      <c r="F963" s="2637">
        <v>374908154</v>
      </c>
      <c r="G963" s="2637">
        <v>369127414</v>
      </c>
      <c r="H963" s="2637">
        <v>374908154</v>
      </c>
      <c r="I963" s="2637">
        <v>369127414</v>
      </c>
      <c r="J963" s="2637">
        <v>374908154</v>
      </c>
      <c r="K963" s="2637">
        <v>369127414</v>
      </c>
      <c r="L963" s="2637">
        <v>15020740</v>
      </c>
      <c r="M963" s="2637">
        <v>0</v>
      </c>
    </row>
    <row r="964" spans="1:13" ht="14.5">
      <c r="A964" s="2978" t="s">
        <v>10297</v>
      </c>
      <c r="B964" s="2113" t="str">
        <f t="shared" si="15"/>
        <v>242-902</v>
      </c>
      <c r="C964" s="2978" t="s">
        <v>6939</v>
      </c>
      <c r="D964" s="2639">
        <v>139025575</v>
      </c>
      <c r="E964" s="2639">
        <v>134322082</v>
      </c>
      <c r="F964" s="2639">
        <v>139025575</v>
      </c>
      <c r="G964" s="2639">
        <v>134322082</v>
      </c>
      <c r="H964" s="2639">
        <v>139025575</v>
      </c>
      <c r="I964" s="2639">
        <v>134322082</v>
      </c>
      <c r="J964" s="2639">
        <v>139025575</v>
      </c>
      <c r="K964" s="2639">
        <v>134322082</v>
      </c>
      <c r="L964" s="2639">
        <v>13298493</v>
      </c>
      <c r="M964" s="2639">
        <v>0</v>
      </c>
    </row>
    <row r="965" spans="1:13" ht="14.5">
      <c r="A965" s="2977" t="s">
        <v>10298</v>
      </c>
      <c r="B965" s="2113" t="str">
        <f t="shared" si="15"/>
        <v>242-903</v>
      </c>
      <c r="C965" s="2977" t="s">
        <v>6940</v>
      </c>
      <c r="D965" s="2637">
        <v>229765237</v>
      </c>
      <c r="E965" s="2637">
        <v>225971907</v>
      </c>
      <c r="F965" s="2637">
        <v>229765237</v>
      </c>
      <c r="G965" s="2637">
        <v>225971907</v>
      </c>
      <c r="H965" s="2637">
        <v>229765237</v>
      </c>
      <c r="I965" s="2637">
        <v>225971907</v>
      </c>
      <c r="J965" s="2637">
        <v>229765237</v>
      </c>
      <c r="K965" s="2637">
        <v>225971907</v>
      </c>
      <c r="L965" s="2637">
        <v>9973000</v>
      </c>
      <c r="M965" s="2637">
        <v>0</v>
      </c>
    </row>
    <row r="966" spans="1:13" ht="14.5">
      <c r="A966" s="2978" t="s">
        <v>10299</v>
      </c>
      <c r="B966" s="2113" t="str">
        <f t="shared" si="15"/>
        <v>242-905</v>
      </c>
      <c r="C966" s="2978" t="s">
        <v>6941</v>
      </c>
      <c r="D966" s="2639">
        <v>440977116</v>
      </c>
      <c r="E966" s="2639">
        <v>440676946</v>
      </c>
      <c r="F966" s="2639">
        <v>440977116</v>
      </c>
      <c r="G966" s="2639">
        <v>440676946</v>
      </c>
      <c r="H966" s="2639">
        <v>440977116</v>
      </c>
      <c r="I966" s="2639">
        <v>440676946</v>
      </c>
      <c r="J966" s="2639">
        <v>440977116</v>
      </c>
      <c r="K966" s="2639">
        <v>440676946</v>
      </c>
      <c r="L966" s="2639">
        <v>825170</v>
      </c>
      <c r="M966" s="2639">
        <v>0</v>
      </c>
    </row>
    <row r="967" spans="1:13" ht="14.5">
      <c r="A967" s="2977" t="s">
        <v>10300</v>
      </c>
      <c r="B967" s="2113" t="str">
        <f t="shared" si="15"/>
        <v>242-906</v>
      </c>
      <c r="C967" s="2977" t="s">
        <v>6942</v>
      </c>
      <c r="D967" s="2637">
        <v>769307357</v>
      </c>
      <c r="E967" s="2637">
        <v>767554437</v>
      </c>
      <c r="F967" s="2637">
        <v>769307357</v>
      </c>
      <c r="G967" s="2637">
        <v>767554437</v>
      </c>
      <c r="H967" s="2637">
        <v>782356537</v>
      </c>
      <c r="I967" s="2637">
        <v>780603617</v>
      </c>
      <c r="J967" s="2637">
        <v>782356537</v>
      </c>
      <c r="K967" s="2637">
        <v>780603617</v>
      </c>
      <c r="L967" s="2637">
        <v>4932920</v>
      </c>
      <c r="M967" s="2637">
        <v>13049180</v>
      </c>
    </row>
    <row r="968" spans="1:13" ht="14.5">
      <c r="A968" s="2978" t="s">
        <v>10301</v>
      </c>
      <c r="B968" s="2113" t="str">
        <f t="shared" si="15"/>
        <v>243-901</v>
      </c>
      <c r="C968" s="2978" t="s">
        <v>6943</v>
      </c>
      <c r="D968" s="2639">
        <v>997679334</v>
      </c>
      <c r="E968" s="2639">
        <v>964737228</v>
      </c>
      <c r="F968" s="2639">
        <v>997679334</v>
      </c>
      <c r="G968" s="2639">
        <v>964737228</v>
      </c>
      <c r="H968" s="2639">
        <v>997679334</v>
      </c>
      <c r="I968" s="2639">
        <v>964737228</v>
      </c>
      <c r="J968" s="2639">
        <v>997679334</v>
      </c>
      <c r="K968" s="2639">
        <v>964737228</v>
      </c>
      <c r="L968" s="2639">
        <v>87047106</v>
      </c>
      <c r="M968" s="2639">
        <v>0</v>
      </c>
    </row>
    <row r="969" spans="1:13" ht="14.5">
      <c r="A969" s="2977" t="s">
        <v>10302</v>
      </c>
      <c r="B969" s="2113" t="str">
        <f t="shared" ref="B969:B1017" si="16">CONCATENATE(RIGHT(LEFT(CONCATENATE("000",A969),6),3),"-",(LEFT(RIGHT(CONCATENATE("000",A969),6),3)))</f>
        <v>243-902</v>
      </c>
      <c r="C969" s="2977" t="s">
        <v>6944</v>
      </c>
      <c r="D969" s="2637">
        <v>164754505</v>
      </c>
      <c r="E969" s="2637">
        <v>159469105</v>
      </c>
      <c r="F969" s="2637">
        <v>164754505</v>
      </c>
      <c r="G969" s="2637">
        <v>159469105</v>
      </c>
      <c r="H969" s="2637">
        <v>164754505</v>
      </c>
      <c r="I969" s="2637">
        <v>159469105</v>
      </c>
      <c r="J969" s="2637">
        <v>164754505</v>
      </c>
      <c r="K969" s="2637">
        <v>159469105</v>
      </c>
      <c r="L969" s="2637">
        <v>15500400</v>
      </c>
      <c r="M969" s="2637">
        <v>0</v>
      </c>
    </row>
    <row r="970" spans="1:13" ht="14.5">
      <c r="A970" s="2978" t="s">
        <v>10303</v>
      </c>
      <c r="B970" s="2113" t="str">
        <f t="shared" si="16"/>
        <v>243-903</v>
      </c>
      <c r="C970" s="2978" t="s">
        <v>6945</v>
      </c>
      <c r="D970" s="2639">
        <v>664705667</v>
      </c>
      <c r="E970" s="2639">
        <v>639602212</v>
      </c>
      <c r="F970" s="2639">
        <v>664705667</v>
      </c>
      <c r="G970" s="2639">
        <v>639602212</v>
      </c>
      <c r="H970" s="2639">
        <v>664705667</v>
      </c>
      <c r="I970" s="2639">
        <v>639602212</v>
      </c>
      <c r="J970" s="2639">
        <v>664705667</v>
      </c>
      <c r="K970" s="2639">
        <v>639602212</v>
      </c>
      <c r="L970" s="2639">
        <v>66488455</v>
      </c>
      <c r="M970" s="2639">
        <v>0</v>
      </c>
    </row>
    <row r="971" spans="1:13" ht="14.5">
      <c r="A971" s="2977" t="s">
        <v>10304</v>
      </c>
      <c r="B971" s="2113" t="str">
        <f t="shared" si="16"/>
        <v>243-905</v>
      </c>
      <c r="C971" s="2977" t="s">
        <v>6946</v>
      </c>
      <c r="D971" s="2637">
        <v>5085238522</v>
      </c>
      <c r="E971" s="2637">
        <v>4932251136</v>
      </c>
      <c r="F971" s="2637">
        <v>5085238522</v>
      </c>
      <c r="G971" s="2637">
        <v>4932251136</v>
      </c>
      <c r="H971" s="2637">
        <v>5085238522</v>
      </c>
      <c r="I971" s="2637">
        <v>4932251136</v>
      </c>
      <c r="J971" s="2637">
        <v>5085238522</v>
      </c>
      <c r="K971" s="2637">
        <v>4932251136</v>
      </c>
      <c r="L971" s="2637">
        <v>397352386</v>
      </c>
      <c r="M971" s="2637">
        <v>0</v>
      </c>
    </row>
    <row r="972" spans="1:13" ht="14.5">
      <c r="A972" s="2978" t="s">
        <v>10305</v>
      </c>
      <c r="B972" s="2113" t="str">
        <f t="shared" si="16"/>
        <v>243-906</v>
      </c>
      <c r="C972" s="2978" t="s">
        <v>6947</v>
      </c>
      <c r="D972" s="2639">
        <v>226537829</v>
      </c>
      <c r="E972" s="2639">
        <v>218156698</v>
      </c>
      <c r="F972" s="2639">
        <v>226537829</v>
      </c>
      <c r="G972" s="2639">
        <v>218156698</v>
      </c>
      <c r="H972" s="2639">
        <v>226537829</v>
      </c>
      <c r="I972" s="2639">
        <v>218156698</v>
      </c>
      <c r="J972" s="2639">
        <v>226537829</v>
      </c>
      <c r="K972" s="2639">
        <v>218156698</v>
      </c>
      <c r="L972" s="2639">
        <v>21986131</v>
      </c>
      <c r="M972" s="2639">
        <v>0</v>
      </c>
    </row>
    <row r="973" spans="1:13" ht="14.5">
      <c r="A973" s="2977" t="s">
        <v>10669</v>
      </c>
      <c r="B973" s="2113" t="str">
        <f t="shared" si="16"/>
        <v>244-901</v>
      </c>
      <c r="C973" s="2977" t="s">
        <v>6948</v>
      </c>
      <c r="D973" s="2637">
        <v>80265220</v>
      </c>
      <c r="E973" s="2637">
        <v>79931670</v>
      </c>
      <c r="F973" s="2637">
        <v>80265220</v>
      </c>
      <c r="G973" s="2637">
        <v>79931670</v>
      </c>
      <c r="H973" s="2637">
        <v>129912330</v>
      </c>
      <c r="I973" s="2637">
        <v>129578780</v>
      </c>
      <c r="J973" s="2637">
        <v>129912330</v>
      </c>
      <c r="K973" s="2637">
        <v>129578780</v>
      </c>
      <c r="L973" s="2637">
        <v>888550</v>
      </c>
      <c r="M973" s="2637">
        <v>49647110</v>
      </c>
    </row>
    <row r="974" spans="1:13" ht="14.5">
      <c r="A974" s="2978" t="s">
        <v>10670</v>
      </c>
      <c r="B974" s="2113" t="str">
        <f t="shared" si="16"/>
        <v>244-903</v>
      </c>
      <c r="C974" s="2978" t="s">
        <v>6949</v>
      </c>
      <c r="D974" s="2639">
        <v>867488105</v>
      </c>
      <c r="E974" s="2639">
        <v>845456513</v>
      </c>
      <c r="F974" s="2639">
        <v>867488105</v>
      </c>
      <c r="G974" s="2639">
        <v>845456513</v>
      </c>
      <c r="H974" s="2639">
        <v>1094427625</v>
      </c>
      <c r="I974" s="2639">
        <v>1072396033</v>
      </c>
      <c r="J974" s="2639">
        <v>1094427625</v>
      </c>
      <c r="K974" s="2639">
        <v>1072396033</v>
      </c>
      <c r="L974" s="2639">
        <v>57971592</v>
      </c>
      <c r="M974" s="2639">
        <v>226939520</v>
      </c>
    </row>
    <row r="975" spans="1:13" ht="14.5">
      <c r="A975" s="2977" t="s">
        <v>10306</v>
      </c>
      <c r="B975" s="2113" t="str">
        <f t="shared" si="16"/>
        <v>244-905</v>
      </c>
      <c r="C975" s="2977" t="s">
        <v>6054</v>
      </c>
      <c r="D975" s="2637">
        <v>37857070</v>
      </c>
      <c r="E975" s="2637">
        <v>37267780</v>
      </c>
      <c r="F975" s="2637">
        <v>37857070</v>
      </c>
      <c r="G975" s="2637">
        <v>37267780</v>
      </c>
      <c r="H975" s="2637">
        <v>56029340</v>
      </c>
      <c r="I975" s="2637">
        <v>55440050</v>
      </c>
      <c r="J975" s="2637">
        <v>56029340</v>
      </c>
      <c r="K975" s="2637">
        <v>55440050</v>
      </c>
      <c r="L975" s="2637">
        <v>1519290</v>
      </c>
      <c r="M975" s="2637">
        <v>18172270</v>
      </c>
    </row>
    <row r="976" spans="1:13" ht="14.5">
      <c r="A976" s="2978" t="s">
        <v>10307</v>
      </c>
      <c r="B976" s="2113" t="str">
        <f t="shared" si="16"/>
        <v>245-901</v>
      </c>
      <c r="C976" s="2978" t="s">
        <v>6950</v>
      </c>
      <c r="D976" s="2639">
        <v>41438536</v>
      </c>
      <c r="E976" s="2639">
        <v>39074503</v>
      </c>
      <c r="F976" s="2639">
        <v>41438536</v>
      </c>
      <c r="G976" s="2639">
        <v>39074503</v>
      </c>
      <c r="H976" s="2639">
        <v>41438536</v>
      </c>
      <c r="I976" s="2639">
        <v>39074503</v>
      </c>
      <c r="J976" s="2639">
        <v>41438536</v>
      </c>
      <c r="K976" s="2639">
        <v>39074503</v>
      </c>
      <c r="L976" s="2639">
        <v>6504033</v>
      </c>
      <c r="M976" s="2639">
        <v>0</v>
      </c>
    </row>
    <row r="977" spans="1:13" ht="14.5">
      <c r="A977" s="2977" t="s">
        <v>10308</v>
      </c>
      <c r="B977" s="2113" t="str">
        <f t="shared" si="16"/>
        <v>245-902</v>
      </c>
      <c r="C977" s="2977" t="s">
        <v>6951</v>
      </c>
      <c r="D977" s="2637">
        <v>561998222</v>
      </c>
      <c r="E977" s="2637">
        <v>551777876</v>
      </c>
      <c r="F977" s="2637">
        <v>561998222</v>
      </c>
      <c r="G977" s="2637">
        <v>551777876</v>
      </c>
      <c r="H977" s="2637">
        <v>1222046777</v>
      </c>
      <c r="I977" s="2637">
        <v>1211826431</v>
      </c>
      <c r="J977" s="2637">
        <v>1222046777</v>
      </c>
      <c r="K977" s="2637">
        <v>1211826431</v>
      </c>
      <c r="L977" s="2637">
        <v>29090346</v>
      </c>
      <c r="M977" s="2637">
        <v>660048555</v>
      </c>
    </row>
    <row r="978" spans="1:13" ht="14.5">
      <c r="A978" s="2978" t="s">
        <v>10309</v>
      </c>
      <c r="B978" s="2113" t="str">
        <f t="shared" si="16"/>
        <v>245-903</v>
      </c>
      <c r="C978" s="2978" t="s">
        <v>6952</v>
      </c>
      <c r="D978" s="2639">
        <v>369158475</v>
      </c>
      <c r="E978" s="2639">
        <v>354947365</v>
      </c>
      <c r="F978" s="2639">
        <v>369158475</v>
      </c>
      <c r="G978" s="2639">
        <v>354947365</v>
      </c>
      <c r="H978" s="2639">
        <v>407020545</v>
      </c>
      <c r="I978" s="2639">
        <v>392809435</v>
      </c>
      <c r="J978" s="2639">
        <v>407020545</v>
      </c>
      <c r="K978" s="2639">
        <v>392809435</v>
      </c>
      <c r="L978" s="2639">
        <v>39201110</v>
      </c>
      <c r="M978" s="2639">
        <v>37862070</v>
      </c>
    </row>
    <row r="979" spans="1:13" ht="14.5">
      <c r="A979" s="2977" t="s">
        <v>10310</v>
      </c>
      <c r="B979" s="2113" t="str">
        <f t="shared" si="16"/>
        <v>245-904</v>
      </c>
      <c r="C979" s="2977" t="s">
        <v>6953</v>
      </c>
      <c r="D979" s="2637">
        <v>169532815</v>
      </c>
      <c r="E979" s="2637">
        <v>167284677</v>
      </c>
      <c r="F979" s="2637">
        <v>169532815</v>
      </c>
      <c r="G979" s="2637">
        <v>167284677</v>
      </c>
      <c r="H979" s="2637">
        <v>317216645</v>
      </c>
      <c r="I979" s="2637">
        <v>314968507</v>
      </c>
      <c r="J979" s="2637">
        <v>317216645</v>
      </c>
      <c r="K979" s="2637">
        <v>314968507</v>
      </c>
      <c r="L979" s="2637">
        <v>6328138</v>
      </c>
      <c r="M979" s="2637">
        <v>147683830</v>
      </c>
    </row>
    <row r="980" spans="1:13" ht="14.5">
      <c r="A980" s="2978" t="s">
        <v>10311</v>
      </c>
      <c r="B980" s="2113" t="str">
        <f t="shared" si="16"/>
        <v>246-902</v>
      </c>
      <c r="C980" s="2978" t="s">
        <v>6954</v>
      </c>
      <c r="D980" s="2639">
        <v>683509331</v>
      </c>
      <c r="E980" s="2639">
        <v>671748943</v>
      </c>
      <c r="F980" s="2639">
        <v>683509331</v>
      </c>
      <c r="G980" s="2639">
        <v>671748943</v>
      </c>
      <c r="H980" s="2639">
        <v>683509331</v>
      </c>
      <c r="I980" s="2639">
        <v>671748943</v>
      </c>
      <c r="J980" s="2639">
        <v>683509331</v>
      </c>
      <c r="K980" s="2639">
        <v>671748943</v>
      </c>
      <c r="L980" s="2639">
        <v>32850388</v>
      </c>
      <c r="M980" s="2639">
        <v>0</v>
      </c>
    </row>
    <row r="981" spans="1:13" ht="14.5">
      <c r="A981" s="2977" t="s">
        <v>10312</v>
      </c>
      <c r="B981" s="2113" t="str">
        <f t="shared" si="16"/>
        <v>246-904</v>
      </c>
      <c r="C981" s="2977" t="s">
        <v>6955</v>
      </c>
      <c r="D981" s="2637">
        <v>14222728699</v>
      </c>
      <c r="E981" s="2637">
        <v>13971211999</v>
      </c>
      <c r="F981" s="2637">
        <v>14222728699</v>
      </c>
      <c r="G981" s="2637">
        <v>13971211999</v>
      </c>
      <c r="H981" s="2637">
        <v>14222728699</v>
      </c>
      <c r="I981" s="2637">
        <v>13971211999</v>
      </c>
      <c r="J981" s="2637">
        <v>14222728699</v>
      </c>
      <c r="K981" s="2637">
        <v>13971211999</v>
      </c>
      <c r="L981" s="2637">
        <v>631346700</v>
      </c>
      <c r="M981" s="2637">
        <v>0</v>
      </c>
    </row>
    <row r="982" spans="1:13" ht="14.5">
      <c r="A982" s="2978" t="s">
        <v>10313</v>
      </c>
      <c r="B982" s="2113" t="str">
        <f t="shared" si="16"/>
        <v>246-905</v>
      </c>
      <c r="C982" s="2978" t="s">
        <v>6956</v>
      </c>
      <c r="D982" s="2639">
        <v>208014324</v>
      </c>
      <c r="E982" s="2639">
        <v>201624817</v>
      </c>
      <c r="F982" s="2639">
        <v>208014324</v>
      </c>
      <c r="G982" s="2639">
        <v>201624817</v>
      </c>
      <c r="H982" s="2639">
        <v>208014324</v>
      </c>
      <c r="I982" s="2639">
        <v>201624817</v>
      </c>
      <c r="J982" s="2639">
        <v>208014324</v>
      </c>
      <c r="K982" s="2639">
        <v>201624817</v>
      </c>
      <c r="L982" s="2639">
        <v>16784507</v>
      </c>
      <c r="M982" s="2639">
        <v>0</v>
      </c>
    </row>
    <row r="983" spans="1:13" ht="14.5">
      <c r="A983" s="2977" t="s">
        <v>10314</v>
      </c>
      <c r="B983" s="2113" t="str">
        <f t="shared" si="16"/>
        <v>246-906</v>
      </c>
      <c r="C983" s="2977" t="s">
        <v>6957</v>
      </c>
      <c r="D983" s="2637">
        <v>5299221480</v>
      </c>
      <c r="E983" s="2637">
        <v>5193912559</v>
      </c>
      <c r="F983" s="2637">
        <v>5299221480</v>
      </c>
      <c r="G983" s="2637">
        <v>5193912559</v>
      </c>
      <c r="H983" s="2637">
        <v>5299221480</v>
      </c>
      <c r="I983" s="2637">
        <v>5193912559</v>
      </c>
      <c r="J983" s="2637">
        <v>5299221480</v>
      </c>
      <c r="K983" s="2637">
        <v>5193912559</v>
      </c>
      <c r="L983" s="2637">
        <v>263963921</v>
      </c>
      <c r="M983" s="2637">
        <v>0</v>
      </c>
    </row>
    <row r="984" spans="1:13" ht="14.5">
      <c r="A984" s="2978" t="s">
        <v>10315</v>
      </c>
      <c r="B984" s="2113" t="str">
        <f t="shared" si="16"/>
        <v>246-907</v>
      </c>
      <c r="C984" s="2978" t="s">
        <v>6958</v>
      </c>
      <c r="D984" s="2639">
        <v>2116955986</v>
      </c>
      <c r="E984" s="2639">
        <v>2064521468</v>
      </c>
      <c r="F984" s="2639">
        <v>2116955986</v>
      </c>
      <c r="G984" s="2639">
        <v>2064521468</v>
      </c>
      <c r="H984" s="2639">
        <v>2116955986</v>
      </c>
      <c r="I984" s="2639">
        <v>2064521468</v>
      </c>
      <c r="J984" s="2639">
        <v>2116955986</v>
      </c>
      <c r="K984" s="2639">
        <v>2064521468</v>
      </c>
      <c r="L984" s="2639">
        <v>132144518</v>
      </c>
      <c r="M984" s="2639">
        <v>0</v>
      </c>
    </row>
    <row r="985" spans="1:13" ht="14.5">
      <c r="A985" s="2977" t="s">
        <v>10316</v>
      </c>
      <c r="B985" s="2113" t="str">
        <f t="shared" si="16"/>
        <v>246-908</v>
      </c>
      <c r="C985" s="2977" t="s">
        <v>6959</v>
      </c>
      <c r="D985" s="2637">
        <v>4593863588</v>
      </c>
      <c r="E985" s="2637">
        <v>4519774969</v>
      </c>
      <c r="F985" s="2637">
        <v>4593863588</v>
      </c>
      <c r="G985" s="2637">
        <v>4519774969</v>
      </c>
      <c r="H985" s="2637">
        <v>4593863588</v>
      </c>
      <c r="I985" s="2637">
        <v>4519774969</v>
      </c>
      <c r="J985" s="2637">
        <v>4593863588</v>
      </c>
      <c r="K985" s="2637">
        <v>4519774969</v>
      </c>
      <c r="L985" s="2637">
        <v>188058619</v>
      </c>
      <c r="M985" s="2637">
        <v>0</v>
      </c>
    </row>
    <row r="986" spans="1:13" s="2983" customFormat="1" ht="14.5">
      <c r="A986" s="2980"/>
      <c r="B986" s="2981" t="s">
        <v>1234</v>
      </c>
      <c r="C986" s="2985" t="s">
        <v>6960</v>
      </c>
      <c r="D986" s="2984">
        <v>45202008576</v>
      </c>
      <c r="E986" s="2984">
        <v>44658041463</v>
      </c>
      <c r="F986" s="2982"/>
      <c r="G986" s="2982"/>
      <c r="H986" s="2984">
        <v>45202008576</v>
      </c>
      <c r="I986" s="2984">
        <v>44658041463</v>
      </c>
      <c r="J986" s="2982"/>
      <c r="K986" s="2982"/>
      <c r="L986" s="2984">
        <v>1366282113</v>
      </c>
      <c r="M986" s="2984">
        <v>0</v>
      </c>
    </row>
    <row r="987" spans="1:13" ht="14.5">
      <c r="A987" s="2977" t="s">
        <v>10317</v>
      </c>
      <c r="B987" s="2113" t="str">
        <f t="shared" si="16"/>
        <v>246-911</v>
      </c>
      <c r="C987" s="2977" t="s">
        <v>6961</v>
      </c>
      <c r="D987" s="2637">
        <v>1616885037</v>
      </c>
      <c r="E987" s="2637">
        <v>1578357127</v>
      </c>
      <c r="F987" s="2637">
        <v>1616885037</v>
      </c>
      <c r="G987" s="2637">
        <v>1578357127</v>
      </c>
      <c r="H987" s="2637">
        <v>1616885037</v>
      </c>
      <c r="I987" s="2637">
        <v>1578357127</v>
      </c>
      <c r="J987" s="2637">
        <v>1616885037</v>
      </c>
      <c r="K987" s="2637">
        <v>1578357127</v>
      </c>
      <c r="L987" s="2637">
        <v>97372910</v>
      </c>
      <c r="M987" s="2637">
        <v>0</v>
      </c>
    </row>
    <row r="988" spans="1:13" ht="14.5">
      <c r="A988" s="2978" t="s">
        <v>10672</v>
      </c>
      <c r="B988" s="2113" t="str">
        <f t="shared" si="16"/>
        <v>246-912</v>
      </c>
      <c r="C988" s="2978" t="s">
        <v>6962</v>
      </c>
      <c r="D988" s="2639">
        <v>354319715</v>
      </c>
      <c r="E988" s="2639">
        <v>345334663</v>
      </c>
      <c r="F988" s="2639">
        <v>354319715</v>
      </c>
      <c r="G988" s="2639">
        <v>345334663</v>
      </c>
      <c r="H988" s="2639">
        <v>354319715</v>
      </c>
      <c r="I988" s="2639">
        <v>345334663</v>
      </c>
      <c r="J988" s="2639">
        <v>354319715</v>
      </c>
      <c r="K988" s="2639">
        <v>345334663</v>
      </c>
      <c r="L988" s="2639">
        <v>23355052</v>
      </c>
      <c r="M988" s="2639">
        <v>0</v>
      </c>
    </row>
    <row r="989" spans="1:13" s="2983" customFormat="1" ht="14.5">
      <c r="A989" s="2985"/>
      <c r="B989" s="2981" t="s">
        <v>1672</v>
      </c>
      <c r="C989" s="2636" t="s">
        <v>6963</v>
      </c>
      <c r="D989" s="2982">
        <v>33116774939</v>
      </c>
      <c r="E989" s="2982">
        <v>32631397883</v>
      </c>
      <c r="F989" s="2984"/>
      <c r="G989" s="2984"/>
      <c r="H989" s="2982">
        <v>33116774939</v>
      </c>
      <c r="I989" s="2982">
        <v>32631397883</v>
      </c>
      <c r="J989" s="2984"/>
      <c r="K989" s="2984"/>
      <c r="L989" s="2982">
        <v>1225402056</v>
      </c>
      <c r="M989" s="2982">
        <v>0</v>
      </c>
    </row>
    <row r="990" spans="1:13" ht="14.5">
      <c r="A990" s="2978" t="s">
        <v>10318</v>
      </c>
      <c r="B990" s="2113" t="str">
        <f t="shared" si="16"/>
        <v>246-914</v>
      </c>
      <c r="C990" s="2978" t="s">
        <v>6964</v>
      </c>
      <c r="D990" s="2639">
        <v>176561769</v>
      </c>
      <c r="E990" s="2639">
        <v>173823342</v>
      </c>
      <c r="F990" s="2639">
        <v>176561769</v>
      </c>
      <c r="G990" s="2639">
        <v>173823342</v>
      </c>
      <c r="H990" s="2639">
        <v>176561769</v>
      </c>
      <c r="I990" s="2639">
        <v>173823342</v>
      </c>
      <c r="J990" s="2639">
        <v>176561769</v>
      </c>
      <c r="K990" s="2639">
        <v>173823342</v>
      </c>
      <c r="L990" s="2639">
        <v>7178427</v>
      </c>
      <c r="M990" s="2639">
        <v>0</v>
      </c>
    </row>
    <row r="991" spans="1:13" ht="14.5">
      <c r="A991" s="2977" t="s">
        <v>10319</v>
      </c>
      <c r="B991" s="2113" t="str">
        <f t="shared" si="16"/>
        <v>247-901</v>
      </c>
      <c r="C991" s="2977" t="s">
        <v>6965</v>
      </c>
      <c r="D991" s="2637">
        <v>1865917471</v>
      </c>
      <c r="E991" s="2637">
        <v>1810388850</v>
      </c>
      <c r="F991" s="2637">
        <v>1865917471</v>
      </c>
      <c r="G991" s="2637">
        <v>1810388850</v>
      </c>
      <c r="H991" s="2637">
        <v>1865917471</v>
      </c>
      <c r="I991" s="2637">
        <v>1810388850</v>
      </c>
      <c r="J991" s="2637">
        <v>1865917471</v>
      </c>
      <c r="K991" s="2637">
        <v>1810388850</v>
      </c>
      <c r="L991" s="2637">
        <v>150073621</v>
      </c>
      <c r="M991" s="2637">
        <v>0</v>
      </c>
    </row>
    <row r="992" spans="1:13" ht="14.5">
      <c r="A992" s="2978" t="s">
        <v>10320</v>
      </c>
      <c r="B992" s="2113" t="str">
        <f t="shared" si="16"/>
        <v>247-903</v>
      </c>
      <c r="C992" s="2978" t="s">
        <v>6966</v>
      </c>
      <c r="D992" s="2639">
        <v>1566976449</v>
      </c>
      <c r="E992" s="2639">
        <v>1520774036</v>
      </c>
      <c r="F992" s="2639">
        <v>1566976449</v>
      </c>
      <c r="G992" s="2639">
        <v>1520774036</v>
      </c>
      <c r="H992" s="2639">
        <v>1566976449</v>
      </c>
      <c r="I992" s="2639">
        <v>1520774036</v>
      </c>
      <c r="J992" s="2639">
        <v>1566976449</v>
      </c>
      <c r="K992" s="2639">
        <v>1520774036</v>
      </c>
      <c r="L992" s="2639">
        <v>123017413</v>
      </c>
      <c r="M992" s="2639">
        <v>0</v>
      </c>
    </row>
    <row r="993" spans="1:13" ht="14.5">
      <c r="A993" s="2977" t="s">
        <v>10321</v>
      </c>
      <c r="B993" s="2113" t="str">
        <f t="shared" si="16"/>
        <v>247-904</v>
      </c>
      <c r="C993" s="2977" t="s">
        <v>6967</v>
      </c>
      <c r="D993" s="2637">
        <v>390065465</v>
      </c>
      <c r="E993" s="2637">
        <v>380741790</v>
      </c>
      <c r="F993" s="2637">
        <v>390065465</v>
      </c>
      <c r="G993" s="2637">
        <v>380741790</v>
      </c>
      <c r="H993" s="2637">
        <v>390065465</v>
      </c>
      <c r="I993" s="2637">
        <v>380741790</v>
      </c>
      <c r="J993" s="2637">
        <v>390065465</v>
      </c>
      <c r="K993" s="2637">
        <v>380741790</v>
      </c>
      <c r="L993" s="2637">
        <v>25013675</v>
      </c>
      <c r="M993" s="2637">
        <v>0</v>
      </c>
    </row>
    <row r="994" spans="1:13" ht="14.5">
      <c r="A994" s="2978" t="s">
        <v>10322</v>
      </c>
      <c r="B994" s="2113" t="str">
        <f t="shared" si="16"/>
        <v>247-906</v>
      </c>
      <c r="C994" s="2978" t="s">
        <v>6968</v>
      </c>
      <c r="D994" s="2639">
        <v>306858295</v>
      </c>
      <c r="E994" s="2639">
        <v>296712883</v>
      </c>
      <c r="F994" s="2639">
        <v>306858295</v>
      </c>
      <c r="G994" s="2639">
        <v>296712883</v>
      </c>
      <c r="H994" s="2639">
        <v>306858295</v>
      </c>
      <c r="I994" s="2639">
        <v>296712883</v>
      </c>
      <c r="J994" s="2639">
        <v>306858295</v>
      </c>
      <c r="K994" s="2639">
        <v>296712883</v>
      </c>
      <c r="L994" s="2639">
        <v>27845412</v>
      </c>
      <c r="M994" s="2639">
        <v>0</v>
      </c>
    </row>
    <row r="995" spans="1:13" ht="14.5">
      <c r="A995" s="2977" t="s">
        <v>10674</v>
      </c>
      <c r="B995" s="2113" t="str">
        <f t="shared" si="16"/>
        <v>248-901</v>
      </c>
      <c r="C995" s="2977" t="s">
        <v>6969</v>
      </c>
      <c r="D995" s="2637">
        <v>959943003</v>
      </c>
      <c r="E995" s="2637">
        <v>947161766</v>
      </c>
      <c r="F995" s="2637">
        <v>947568425</v>
      </c>
      <c r="G995" s="2637">
        <v>934787188</v>
      </c>
      <c r="H995" s="2637">
        <v>959943003</v>
      </c>
      <c r="I995" s="2637">
        <v>947161766</v>
      </c>
      <c r="J995" s="2637">
        <v>947568425</v>
      </c>
      <c r="K995" s="2637">
        <v>934787188</v>
      </c>
      <c r="L995" s="2637">
        <v>33706237</v>
      </c>
      <c r="M995" s="2637">
        <v>0</v>
      </c>
    </row>
    <row r="996" spans="1:13" ht="14.5">
      <c r="A996" s="2978" t="s">
        <v>10675</v>
      </c>
      <c r="B996" s="2113" t="str">
        <f t="shared" si="16"/>
        <v>248-902</v>
      </c>
      <c r="C996" s="2978" t="s">
        <v>6970</v>
      </c>
      <c r="D996" s="2639">
        <v>9334895831</v>
      </c>
      <c r="E996" s="2639">
        <v>9332911991</v>
      </c>
      <c r="F996" s="2639">
        <v>9333303444</v>
      </c>
      <c r="G996" s="2639">
        <v>9331319604</v>
      </c>
      <c r="H996" s="2639">
        <v>9588537081</v>
      </c>
      <c r="I996" s="2639">
        <v>9586553241</v>
      </c>
      <c r="J996" s="2639">
        <v>9586944694</v>
      </c>
      <c r="K996" s="2639">
        <v>9584960854</v>
      </c>
      <c r="L996" s="2639">
        <v>5568840</v>
      </c>
      <c r="M996" s="2639">
        <v>253641250</v>
      </c>
    </row>
    <row r="997" spans="1:13" ht="14.5">
      <c r="A997" s="2977" t="s">
        <v>10323</v>
      </c>
      <c r="B997" s="2113" t="str">
        <f t="shared" si="16"/>
        <v>249-901</v>
      </c>
      <c r="C997" s="2977" t="s">
        <v>6971</v>
      </c>
      <c r="D997" s="2637">
        <v>472984803</v>
      </c>
      <c r="E997" s="2637">
        <v>463777618</v>
      </c>
      <c r="F997" s="2637">
        <v>472984803</v>
      </c>
      <c r="G997" s="2637">
        <v>463777618</v>
      </c>
      <c r="H997" s="2637">
        <v>472984803</v>
      </c>
      <c r="I997" s="2637">
        <v>463777618</v>
      </c>
      <c r="J997" s="2637">
        <v>472984803</v>
      </c>
      <c r="K997" s="2637">
        <v>463777618</v>
      </c>
      <c r="L997" s="2637">
        <v>26052185</v>
      </c>
      <c r="M997" s="2637">
        <v>0</v>
      </c>
    </row>
    <row r="998" spans="1:13" ht="14.5">
      <c r="A998" s="2978" t="s">
        <v>10324</v>
      </c>
      <c r="B998" s="2113" t="str">
        <f t="shared" si="16"/>
        <v>249-902</v>
      </c>
      <c r="C998" s="2978" t="s">
        <v>6972</v>
      </c>
      <c r="D998" s="2639">
        <v>819769793</v>
      </c>
      <c r="E998" s="2639">
        <v>806439006</v>
      </c>
      <c r="F998" s="2639">
        <v>819769793</v>
      </c>
      <c r="G998" s="2639">
        <v>806439006</v>
      </c>
      <c r="H998" s="2639">
        <v>819769793</v>
      </c>
      <c r="I998" s="2639">
        <v>806439006</v>
      </c>
      <c r="J998" s="2639">
        <v>819769793</v>
      </c>
      <c r="K998" s="2639">
        <v>806439006</v>
      </c>
      <c r="L998" s="2639">
        <v>39235787</v>
      </c>
      <c r="M998" s="2639">
        <v>0</v>
      </c>
    </row>
    <row r="999" spans="1:13" ht="14.5">
      <c r="A999" s="2977" t="s">
        <v>10325</v>
      </c>
      <c r="B999" s="2113" t="str">
        <f t="shared" si="16"/>
        <v>249-903</v>
      </c>
      <c r="C999" s="2977" t="s">
        <v>6973</v>
      </c>
      <c r="D999" s="2637">
        <v>1561281569</v>
      </c>
      <c r="E999" s="2637">
        <v>1538660295</v>
      </c>
      <c r="F999" s="2637">
        <v>1554664805</v>
      </c>
      <c r="G999" s="2637">
        <v>1532043531</v>
      </c>
      <c r="H999" s="2637">
        <v>1561281569</v>
      </c>
      <c r="I999" s="2637">
        <v>1538660295</v>
      </c>
      <c r="J999" s="2637">
        <v>1554664805</v>
      </c>
      <c r="K999" s="2637">
        <v>1532043531</v>
      </c>
      <c r="L999" s="2637">
        <v>67966274</v>
      </c>
      <c r="M999" s="2637">
        <v>0</v>
      </c>
    </row>
    <row r="1000" spans="1:13" ht="14.5">
      <c r="A1000" s="2978" t="s">
        <v>10326</v>
      </c>
      <c r="B1000" s="2113" t="str">
        <f t="shared" si="16"/>
        <v>249-904</v>
      </c>
      <c r="C1000" s="2978" t="s">
        <v>6974</v>
      </c>
      <c r="D1000" s="2639">
        <v>766881521</v>
      </c>
      <c r="E1000" s="2639">
        <v>759546418</v>
      </c>
      <c r="F1000" s="2639">
        <v>766881521</v>
      </c>
      <c r="G1000" s="2639">
        <v>759546418</v>
      </c>
      <c r="H1000" s="2639">
        <v>766881521</v>
      </c>
      <c r="I1000" s="2639">
        <v>759546418</v>
      </c>
      <c r="J1000" s="2639">
        <v>766881521</v>
      </c>
      <c r="K1000" s="2639">
        <v>759546418</v>
      </c>
      <c r="L1000" s="2639">
        <v>23070103</v>
      </c>
      <c r="M1000" s="2639">
        <v>0</v>
      </c>
    </row>
    <row r="1001" spans="1:13" ht="14.5">
      <c r="A1001" s="2977" t="s">
        <v>10327</v>
      </c>
      <c r="B1001" s="2113" t="str">
        <f t="shared" si="16"/>
        <v>249-905</v>
      </c>
      <c r="C1001" s="2977" t="s">
        <v>6975</v>
      </c>
      <c r="D1001" s="2637">
        <v>2696826608</v>
      </c>
      <c r="E1001" s="2637">
        <v>2659275634</v>
      </c>
      <c r="F1001" s="2637">
        <v>2696826608</v>
      </c>
      <c r="G1001" s="2637">
        <v>2659275634</v>
      </c>
      <c r="H1001" s="2637">
        <v>2696826608</v>
      </c>
      <c r="I1001" s="2637">
        <v>2659275634</v>
      </c>
      <c r="J1001" s="2637">
        <v>2696826608</v>
      </c>
      <c r="K1001" s="2637">
        <v>2659275634</v>
      </c>
      <c r="L1001" s="2637">
        <v>106070974</v>
      </c>
      <c r="M1001" s="2637">
        <v>0</v>
      </c>
    </row>
    <row r="1002" spans="1:13" ht="14.5">
      <c r="A1002" s="2978" t="s">
        <v>10328</v>
      </c>
      <c r="B1002" s="2113" t="str">
        <f t="shared" si="16"/>
        <v>249-906</v>
      </c>
      <c r="C1002" s="2978" t="s">
        <v>6976</v>
      </c>
      <c r="D1002" s="2639">
        <v>620776898</v>
      </c>
      <c r="E1002" s="2639">
        <v>607648083</v>
      </c>
      <c r="F1002" s="2639">
        <v>620776898</v>
      </c>
      <c r="G1002" s="2639">
        <v>607648083</v>
      </c>
      <c r="H1002" s="2639">
        <v>620776898</v>
      </c>
      <c r="I1002" s="2639">
        <v>607648083</v>
      </c>
      <c r="J1002" s="2639">
        <v>620776898</v>
      </c>
      <c r="K1002" s="2639">
        <v>607648083</v>
      </c>
      <c r="L1002" s="2639">
        <v>37548815</v>
      </c>
      <c r="M1002" s="2639">
        <v>0</v>
      </c>
    </row>
    <row r="1003" spans="1:13" ht="14.5">
      <c r="A1003" s="2977" t="s">
        <v>10329</v>
      </c>
      <c r="B1003" s="2113" t="str">
        <f t="shared" si="16"/>
        <v>249-908</v>
      </c>
      <c r="C1003" s="2977" t="s">
        <v>6977</v>
      </c>
      <c r="D1003" s="2637">
        <v>282984506</v>
      </c>
      <c r="E1003" s="2637">
        <v>278601984</v>
      </c>
      <c r="F1003" s="2637">
        <v>272811087</v>
      </c>
      <c r="G1003" s="2637">
        <v>268428565</v>
      </c>
      <c r="H1003" s="2637">
        <v>282984506</v>
      </c>
      <c r="I1003" s="2637">
        <v>278601984</v>
      </c>
      <c r="J1003" s="2637">
        <v>272811087</v>
      </c>
      <c r="K1003" s="2637">
        <v>268428565</v>
      </c>
      <c r="L1003" s="2637">
        <v>12632522</v>
      </c>
      <c r="M1003" s="2637">
        <v>0</v>
      </c>
    </row>
    <row r="1004" spans="1:13" ht="14.5">
      <c r="A1004" s="2978" t="s">
        <v>10330</v>
      </c>
      <c r="B1004" s="2113" t="str">
        <f t="shared" si="16"/>
        <v>250-902</v>
      </c>
      <c r="C1004" s="2978" t="s">
        <v>6978</v>
      </c>
      <c r="D1004" s="2639">
        <v>675349841</v>
      </c>
      <c r="E1004" s="2639">
        <v>663601436</v>
      </c>
      <c r="F1004" s="2639">
        <v>675349841</v>
      </c>
      <c r="G1004" s="2639">
        <v>663601436</v>
      </c>
      <c r="H1004" s="2639">
        <v>675349841</v>
      </c>
      <c r="I1004" s="2639">
        <v>663601436</v>
      </c>
      <c r="J1004" s="2639">
        <v>675349841</v>
      </c>
      <c r="K1004" s="2639">
        <v>663601436</v>
      </c>
      <c r="L1004" s="2639">
        <v>35838405</v>
      </c>
      <c r="M1004" s="2639">
        <v>0</v>
      </c>
    </row>
    <row r="1005" spans="1:13" ht="14.5">
      <c r="A1005" s="2977" t="s">
        <v>10331</v>
      </c>
      <c r="B1005" s="2113" t="str">
        <f t="shared" si="16"/>
        <v>250-903</v>
      </c>
      <c r="C1005" s="2977" t="s">
        <v>6979</v>
      </c>
      <c r="D1005" s="2637">
        <v>763553227</v>
      </c>
      <c r="E1005" s="2637">
        <v>742123019</v>
      </c>
      <c r="F1005" s="2637">
        <v>763553227</v>
      </c>
      <c r="G1005" s="2637">
        <v>742123019</v>
      </c>
      <c r="H1005" s="2637">
        <v>763553227</v>
      </c>
      <c r="I1005" s="2637">
        <v>742123019</v>
      </c>
      <c r="J1005" s="2637">
        <v>763553227</v>
      </c>
      <c r="K1005" s="2637">
        <v>742123019</v>
      </c>
      <c r="L1005" s="2637">
        <v>59155208</v>
      </c>
      <c r="M1005" s="2637">
        <v>0</v>
      </c>
    </row>
    <row r="1006" spans="1:13" ht="14.5">
      <c r="A1006" s="2978" t="s">
        <v>10332</v>
      </c>
      <c r="B1006" s="2113" t="str">
        <f t="shared" si="16"/>
        <v>250-904</v>
      </c>
      <c r="C1006" s="2978" t="s">
        <v>6980</v>
      </c>
      <c r="D1006" s="2639">
        <v>605380112</v>
      </c>
      <c r="E1006" s="2639">
        <v>585723815</v>
      </c>
      <c r="F1006" s="2639">
        <v>605380112</v>
      </c>
      <c r="G1006" s="2639">
        <v>585723815</v>
      </c>
      <c r="H1006" s="2639">
        <v>605380112</v>
      </c>
      <c r="I1006" s="2639">
        <v>585723815</v>
      </c>
      <c r="J1006" s="2639">
        <v>605380112</v>
      </c>
      <c r="K1006" s="2639">
        <v>585723815</v>
      </c>
      <c r="L1006" s="2639">
        <v>61326297</v>
      </c>
      <c r="M1006" s="2639">
        <v>0</v>
      </c>
    </row>
    <row r="1007" spans="1:13" ht="14.5">
      <c r="A1007" s="2977" t="s">
        <v>10333</v>
      </c>
      <c r="B1007" s="2113" t="str">
        <f t="shared" si="16"/>
        <v>250-905</v>
      </c>
      <c r="C1007" s="2977" t="s">
        <v>6981</v>
      </c>
      <c r="D1007" s="2637">
        <v>450168609</v>
      </c>
      <c r="E1007" s="2637">
        <v>440382969</v>
      </c>
      <c r="F1007" s="2637">
        <v>450168609</v>
      </c>
      <c r="G1007" s="2637">
        <v>440382969</v>
      </c>
      <c r="H1007" s="2637">
        <v>450168609</v>
      </c>
      <c r="I1007" s="2637">
        <v>440382969</v>
      </c>
      <c r="J1007" s="2637">
        <v>450168609</v>
      </c>
      <c r="K1007" s="2637">
        <v>440382969</v>
      </c>
      <c r="L1007" s="2637">
        <v>29120640</v>
      </c>
      <c r="M1007" s="2637">
        <v>0</v>
      </c>
    </row>
    <row r="1008" spans="1:13" ht="14.5">
      <c r="A1008" s="2978" t="s">
        <v>10334</v>
      </c>
      <c r="B1008" s="2113" t="str">
        <f t="shared" si="16"/>
        <v>250-906</v>
      </c>
      <c r="C1008" s="2978" t="s">
        <v>6982</v>
      </c>
      <c r="D1008" s="2639">
        <v>396516071</v>
      </c>
      <c r="E1008" s="2639">
        <v>382514438</v>
      </c>
      <c r="F1008" s="2639">
        <v>396516071</v>
      </c>
      <c r="G1008" s="2639">
        <v>382514438</v>
      </c>
      <c r="H1008" s="2639">
        <v>396516071</v>
      </c>
      <c r="I1008" s="2639">
        <v>382514438</v>
      </c>
      <c r="J1008" s="2639">
        <v>396516071</v>
      </c>
      <c r="K1008" s="2639">
        <v>382514438</v>
      </c>
      <c r="L1008" s="2639">
        <v>42276633</v>
      </c>
      <c r="M1008" s="2639">
        <v>0</v>
      </c>
    </row>
    <row r="1009" spans="1:13" ht="14.5">
      <c r="A1009" s="2977" t="s">
        <v>10335</v>
      </c>
      <c r="B1009" s="2113" t="str">
        <f t="shared" si="16"/>
        <v>250-907</v>
      </c>
      <c r="C1009" s="2977" t="s">
        <v>6983</v>
      </c>
      <c r="D1009" s="2637">
        <v>601922577</v>
      </c>
      <c r="E1009" s="2637">
        <v>582048121</v>
      </c>
      <c r="F1009" s="2637">
        <v>601922577</v>
      </c>
      <c r="G1009" s="2637">
        <v>582048121</v>
      </c>
      <c r="H1009" s="2637">
        <v>601922577</v>
      </c>
      <c r="I1009" s="2637">
        <v>582048121</v>
      </c>
      <c r="J1009" s="2637">
        <v>601922577</v>
      </c>
      <c r="K1009" s="2637">
        <v>582048121</v>
      </c>
      <c r="L1009" s="2637">
        <v>55379456</v>
      </c>
      <c r="M1009" s="2637">
        <v>0</v>
      </c>
    </row>
    <row r="1010" spans="1:13" ht="14.5">
      <c r="A1010" s="2978" t="s">
        <v>10336</v>
      </c>
      <c r="B1010" s="2113" t="str">
        <f t="shared" si="16"/>
        <v>251-901</v>
      </c>
      <c r="C1010" s="2978" t="s">
        <v>6984</v>
      </c>
      <c r="D1010" s="2639">
        <v>932673900</v>
      </c>
      <c r="E1010" s="2639">
        <v>921542867</v>
      </c>
      <c r="F1010" s="2639">
        <v>927231554</v>
      </c>
      <c r="G1010" s="2639">
        <v>916100521</v>
      </c>
      <c r="H1010" s="2639">
        <v>932673900</v>
      </c>
      <c r="I1010" s="2639">
        <v>921542867</v>
      </c>
      <c r="J1010" s="2639">
        <v>927231554</v>
      </c>
      <c r="K1010" s="2639">
        <v>916100521</v>
      </c>
      <c r="L1010" s="2639">
        <v>30301033</v>
      </c>
      <c r="M1010" s="2639">
        <v>0</v>
      </c>
    </row>
    <row r="1011" spans="1:13" ht="14.5">
      <c r="A1011" s="2977" t="s">
        <v>10337</v>
      </c>
      <c r="B1011" s="2113" t="str">
        <f t="shared" si="16"/>
        <v>251-902</v>
      </c>
      <c r="C1011" s="2977" t="s">
        <v>6985</v>
      </c>
      <c r="D1011" s="2637">
        <v>980342592</v>
      </c>
      <c r="E1011" s="2637">
        <v>976457199</v>
      </c>
      <c r="F1011" s="2637">
        <v>976052512</v>
      </c>
      <c r="G1011" s="2637">
        <v>972167119</v>
      </c>
      <c r="H1011" s="2637">
        <v>980342592</v>
      </c>
      <c r="I1011" s="2637">
        <v>976457199</v>
      </c>
      <c r="J1011" s="2637">
        <v>976052512</v>
      </c>
      <c r="K1011" s="2637">
        <v>972167119</v>
      </c>
      <c r="L1011" s="2637">
        <v>11550393</v>
      </c>
      <c r="M1011" s="2637">
        <v>0</v>
      </c>
    </row>
    <row r="1012" spans="1:13" ht="14.5">
      <c r="A1012" s="2978" t="s">
        <v>10338</v>
      </c>
      <c r="B1012" s="2113" t="str">
        <f t="shared" si="16"/>
        <v>252-901</v>
      </c>
      <c r="C1012" s="2978" t="s">
        <v>6986</v>
      </c>
      <c r="D1012" s="2639">
        <v>818612119</v>
      </c>
      <c r="E1012" s="2639">
        <v>789438679</v>
      </c>
      <c r="F1012" s="2639">
        <v>818612119</v>
      </c>
      <c r="G1012" s="2639">
        <v>789438679</v>
      </c>
      <c r="H1012" s="2639">
        <v>818612119</v>
      </c>
      <c r="I1012" s="2639">
        <v>789438679</v>
      </c>
      <c r="J1012" s="2639">
        <v>818612119</v>
      </c>
      <c r="K1012" s="2639">
        <v>789438679</v>
      </c>
      <c r="L1012" s="2639">
        <v>83428440</v>
      </c>
      <c r="M1012" s="2639">
        <v>0</v>
      </c>
    </row>
    <row r="1013" spans="1:13" ht="14.5">
      <c r="A1013" s="2977" t="s">
        <v>10339</v>
      </c>
      <c r="B1013" s="2113" t="str">
        <f t="shared" si="16"/>
        <v>252-902</v>
      </c>
      <c r="C1013" s="2977" t="s">
        <v>6987</v>
      </c>
      <c r="D1013" s="2637">
        <v>73625214</v>
      </c>
      <c r="E1013" s="2637">
        <v>72247148</v>
      </c>
      <c r="F1013" s="2637">
        <v>73625214</v>
      </c>
      <c r="G1013" s="2637">
        <v>72247148</v>
      </c>
      <c r="H1013" s="2637">
        <v>73625214</v>
      </c>
      <c r="I1013" s="2637">
        <v>72247148</v>
      </c>
      <c r="J1013" s="2637">
        <v>73625214</v>
      </c>
      <c r="K1013" s="2637">
        <v>72247148</v>
      </c>
      <c r="L1013" s="2637">
        <v>5563066</v>
      </c>
      <c r="M1013" s="2637">
        <v>0</v>
      </c>
    </row>
    <row r="1014" spans="1:13" ht="14.5">
      <c r="A1014" s="2978" t="s">
        <v>10340</v>
      </c>
      <c r="B1014" s="2113" t="str">
        <f t="shared" si="16"/>
        <v>252-903</v>
      </c>
      <c r="C1014" s="2978" t="s">
        <v>6988</v>
      </c>
      <c r="D1014" s="2639">
        <v>414313742</v>
      </c>
      <c r="E1014" s="2639">
        <v>407055218</v>
      </c>
      <c r="F1014" s="2639">
        <v>414313742</v>
      </c>
      <c r="G1014" s="2639">
        <v>407055218</v>
      </c>
      <c r="H1014" s="2639">
        <v>414313742</v>
      </c>
      <c r="I1014" s="2639">
        <v>407055218</v>
      </c>
      <c r="J1014" s="2639">
        <v>414313742</v>
      </c>
      <c r="K1014" s="2639">
        <v>407055218</v>
      </c>
      <c r="L1014" s="2639">
        <v>21853524</v>
      </c>
      <c r="M1014" s="2639">
        <v>0</v>
      </c>
    </row>
    <row r="1015" spans="1:13" ht="14.5">
      <c r="A1015" s="2977" t="s">
        <v>10341</v>
      </c>
      <c r="B1015" s="2113" t="str">
        <f t="shared" si="16"/>
        <v>253-901</v>
      </c>
      <c r="C1015" s="2977" t="s">
        <v>6989</v>
      </c>
      <c r="D1015" s="2637">
        <v>1033233726</v>
      </c>
      <c r="E1015" s="2637">
        <v>1006153546</v>
      </c>
      <c r="F1015" s="2637">
        <v>1006199218</v>
      </c>
      <c r="G1015" s="2637">
        <v>979119038</v>
      </c>
      <c r="H1015" s="2637">
        <v>1414448116</v>
      </c>
      <c r="I1015" s="2637">
        <v>1387367936</v>
      </c>
      <c r="J1015" s="2637">
        <v>1387413608</v>
      </c>
      <c r="K1015" s="2637">
        <v>1360333428</v>
      </c>
      <c r="L1015" s="2637">
        <v>76100180</v>
      </c>
      <c r="M1015" s="2637">
        <v>381214390</v>
      </c>
    </row>
    <row r="1016" spans="1:13" ht="14.5">
      <c r="A1016" s="2978" t="s">
        <v>10342</v>
      </c>
      <c r="B1016" s="2113" t="str">
        <f t="shared" si="16"/>
        <v>254-901</v>
      </c>
      <c r="C1016" s="2978" t="s">
        <v>6990</v>
      </c>
      <c r="D1016" s="2639">
        <v>906134580</v>
      </c>
      <c r="E1016" s="2639">
        <v>892852731</v>
      </c>
      <c r="F1016" s="2639">
        <v>906134580</v>
      </c>
      <c r="G1016" s="2639">
        <v>892852731</v>
      </c>
      <c r="H1016" s="2639">
        <v>906134580</v>
      </c>
      <c r="I1016" s="2639">
        <v>892852731</v>
      </c>
      <c r="J1016" s="2639">
        <v>906134580</v>
      </c>
      <c r="K1016" s="2639">
        <v>892852731</v>
      </c>
      <c r="L1016" s="2639">
        <v>37191849</v>
      </c>
      <c r="M1016" s="2639">
        <v>0</v>
      </c>
    </row>
    <row r="1017" spans="1:13" ht="14.5">
      <c r="A1017" s="2977" t="s">
        <v>10343</v>
      </c>
      <c r="B1017" s="2113" t="str">
        <f t="shared" si="16"/>
        <v>254-902</v>
      </c>
      <c r="C1017" s="2977" t="s">
        <v>6991</v>
      </c>
      <c r="D1017" s="2637">
        <v>284054721</v>
      </c>
      <c r="E1017" s="2637">
        <v>280780882</v>
      </c>
      <c r="F1017" s="2637">
        <v>284054721</v>
      </c>
      <c r="G1017" s="2637">
        <v>280780882</v>
      </c>
      <c r="H1017" s="2637">
        <v>284054721</v>
      </c>
      <c r="I1017" s="2637">
        <v>280780882</v>
      </c>
      <c r="J1017" s="2637">
        <v>284054721</v>
      </c>
      <c r="K1017" s="2637">
        <v>280780882</v>
      </c>
      <c r="L1017" s="2637">
        <v>8958839</v>
      </c>
      <c r="M1017" s="2637">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2:K28"/>
  <sheetViews>
    <sheetView topLeftCell="A10" workbookViewId="0">
      <selection activeCell="G12" sqref="G12"/>
    </sheetView>
  </sheetViews>
  <sheetFormatPr defaultRowHeight="12.5"/>
  <cols>
    <col min="1" max="1" width="23.7265625" customWidth="1"/>
    <col min="2" max="2" width="10.90625" customWidth="1"/>
    <col min="3" max="5" width="10.6328125" customWidth="1"/>
    <col min="7" max="7" width="10.90625" customWidth="1"/>
    <col min="8" max="11" width="10.6328125" customWidth="1"/>
  </cols>
  <sheetData>
    <row r="2" spans="1:11" ht="13">
      <c r="A2" s="25" t="s">
        <v>10921</v>
      </c>
    </row>
    <row r="4" spans="1:11" ht="13">
      <c r="A4" s="25" t="s">
        <v>10917</v>
      </c>
    </row>
    <row r="5" spans="1:11">
      <c r="A5" t="s">
        <v>10924</v>
      </c>
      <c r="B5" s="2797" t="s">
        <v>10920</v>
      </c>
    </row>
    <row r="6" spans="1:11">
      <c r="A6" t="s">
        <v>10925</v>
      </c>
      <c r="B6" t="s">
        <v>10922</v>
      </c>
      <c r="C6" t="s">
        <v>10923</v>
      </c>
    </row>
    <row r="8" spans="1:11" ht="13">
      <c r="A8" s="25" t="s">
        <v>10918</v>
      </c>
    </row>
    <row r="9" spans="1:11">
      <c r="A9" t="s">
        <v>10926</v>
      </c>
      <c r="B9" t="s">
        <v>10919</v>
      </c>
    </row>
    <row r="10" spans="1:11">
      <c r="A10" t="s">
        <v>10927</v>
      </c>
      <c r="B10" t="s">
        <v>10919</v>
      </c>
    </row>
    <row r="11" spans="1:11" s="2042" customFormat="1"/>
    <row r="12" spans="1:11" ht="13">
      <c r="A12" s="25" t="s">
        <v>10966</v>
      </c>
      <c r="B12" s="2958" t="s">
        <v>10937</v>
      </c>
      <c r="C12" s="2958" t="s">
        <v>10938</v>
      </c>
      <c r="D12" s="2958" t="s">
        <v>10938</v>
      </c>
      <c r="E12" s="2958" t="s">
        <v>10939</v>
      </c>
      <c r="G12" s="25" t="s">
        <v>10968</v>
      </c>
      <c r="H12" s="2958" t="s">
        <v>10937</v>
      </c>
      <c r="I12" s="2958" t="s">
        <v>10938</v>
      </c>
      <c r="J12" s="2958" t="s">
        <v>10938</v>
      </c>
      <c r="K12" s="2958" t="s">
        <v>10939</v>
      </c>
    </row>
    <row r="13" spans="1:11">
      <c r="B13" s="2958" t="s">
        <v>5957</v>
      </c>
      <c r="C13" s="2958" t="s">
        <v>7039</v>
      </c>
      <c r="D13" s="2958" t="s">
        <v>9173</v>
      </c>
      <c r="E13" s="2958" t="s">
        <v>9174</v>
      </c>
      <c r="G13" s="2042"/>
      <c r="H13" s="2958" t="s">
        <v>5957</v>
      </c>
      <c r="I13" s="2958" t="s">
        <v>7039</v>
      </c>
      <c r="J13" s="2958" t="s">
        <v>9173</v>
      </c>
      <c r="K13" s="2958" t="s">
        <v>9174</v>
      </c>
    </row>
    <row r="14" spans="1:11">
      <c r="A14" t="s">
        <v>10928</v>
      </c>
      <c r="B14" s="2959" t="s">
        <v>10940</v>
      </c>
      <c r="C14" s="2959" t="s">
        <v>10955</v>
      </c>
      <c r="D14" s="2959" t="s">
        <v>10955</v>
      </c>
      <c r="E14" s="2959" t="s">
        <v>10956</v>
      </c>
      <c r="G14" s="2042" t="s">
        <v>10928</v>
      </c>
      <c r="H14" s="2959" t="str">
        <f>B14</f>
        <v>C79</v>
      </c>
      <c r="I14" s="2959" t="str">
        <f>C14</f>
        <v>G79</v>
      </c>
      <c r="J14" s="2959" t="s">
        <v>10955</v>
      </c>
      <c r="K14" s="2959" t="s">
        <v>10956</v>
      </c>
    </row>
    <row r="15" spans="1:11">
      <c r="A15" t="s">
        <v>10929</v>
      </c>
      <c r="B15" s="2959" t="s">
        <v>10941</v>
      </c>
      <c r="C15" s="2959" t="s">
        <v>10957</v>
      </c>
      <c r="D15" s="2959" t="s">
        <v>10957</v>
      </c>
      <c r="E15" s="2959" t="s">
        <v>10958</v>
      </c>
      <c r="G15" s="2042" t="s">
        <v>10929</v>
      </c>
      <c r="H15" s="2959" t="s">
        <v>10969</v>
      </c>
      <c r="I15" s="2959" t="s">
        <v>10973</v>
      </c>
      <c r="J15" s="2959" t="s">
        <v>10973</v>
      </c>
      <c r="K15" s="2959" t="s">
        <v>10977</v>
      </c>
    </row>
    <row r="16" spans="1:11">
      <c r="A16" t="s">
        <v>10930</v>
      </c>
      <c r="B16" s="2959" t="s">
        <v>10942</v>
      </c>
      <c r="C16" s="2959" t="s">
        <v>10959</v>
      </c>
      <c r="D16" s="2959" t="s">
        <v>10959</v>
      </c>
      <c r="E16" s="2959" t="s">
        <v>10960</v>
      </c>
      <c r="G16" s="2042" t="s">
        <v>10930</v>
      </c>
      <c r="H16" s="2959" t="s">
        <v>10972</v>
      </c>
      <c r="I16" s="2959" t="s">
        <v>10974</v>
      </c>
      <c r="J16" s="2959" t="s">
        <v>10974</v>
      </c>
      <c r="K16" s="2959" t="s">
        <v>10978</v>
      </c>
    </row>
    <row r="17" spans="1:11">
      <c r="A17" t="s">
        <v>10931</v>
      </c>
      <c r="B17" s="2959"/>
      <c r="C17" s="2959"/>
      <c r="D17" s="2959"/>
      <c r="E17" s="2959"/>
      <c r="G17" s="2042" t="s">
        <v>10931</v>
      </c>
      <c r="H17" s="2959"/>
      <c r="I17" s="2959"/>
      <c r="J17" s="2959"/>
      <c r="K17" s="2959"/>
    </row>
    <row r="18" spans="1:11">
      <c r="A18" t="s">
        <v>10932</v>
      </c>
      <c r="B18" s="2959" t="s">
        <v>10943</v>
      </c>
      <c r="C18" s="2959" t="s">
        <v>10952</v>
      </c>
      <c r="D18" s="2959" t="s">
        <v>10953</v>
      </c>
      <c r="E18" s="2959" t="s">
        <v>10954</v>
      </c>
      <c r="G18" s="2042" t="s">
        <v>10932</v>
      </c>
      <c r="H18" s="2959" t="str">
        <f>B18</f>
        <v>G96</v>
      </c>
      <c r="I18" s="2959" t="s">
        <v>10952</v>
      </c>
      <c r="J18" s="2959" t="s">
        <v>10953</v>
      </c>
      <c r="K18" s="2959" t="s">
        <v>10954</v>
      </c>
    </row>
    <row r="19" spans="1:11">
      <c r="A19" t="s">
        <v>10933</v>
      </c>
      <c r="B19" s="2959" t="s">
        <v>10944</v>
      </c>
      <c r="C19" s="2959" t="s">
        <v>10949</v>
      </c>
      <c r="D19" s="2959" t="s">
        <v>10950</v>
      </c>
      <c r="E19" s="2959" t="s">
        <v>10951</v>
      </c>
      <c r="G19" s="2042" t="s">
        <v>10933</v>
      </c>
      <c r="H19" s="2959" t="str">
        <f>B19</f>
        <v>J55</v>
      </c>
      <c r="I19" s="2959" t="s">
        <v>10949</v>
      </c>
      <c r="J19" s="2959" t="s">
        <v>10950</v>
      </c>
      <c r="K19" s="2959" t="s">
        <v>10951</v>
      </c>
    </row>
    <row r="20" spans="1:11">
      <c r="A20" t="s">
        <v>10934</v>
      </c>
      <c r="B20" s="2959" t="s">
        <v>10945</v>
      </c>
      <c r="C20" s="2959" t="s">
        <v>10965</v>
      </c>
      <c r="D20" s="2959" t="s">
        <v>10947</v>
      </c>
      <c r="E20" s="2959" t="s">
        <v>10948</v>
      </c>
      <c r="G20" s="2042" t="s">
        <v>10934</v>
      </c>
      <c r="H20" s="2959" t="str">
        <f>B20</f>
        <v>G19</v>
      </c>
      <c r="I20" s="2959" t="s">
        <v>10965</v>
      </c>
      <c r="J20" s="2959" t="s">
        <v>10947</v>
      </c>
      <c r="K20" s="2959" t="s">
        <v>10948</v>
      </c>
    </row>
    <row r="21" spans="1:11">
      <c r="A21" t="s">
        <v>10935</v>
      </c>
      <c r="B21" s="2959" t="s">
        <v>10946</v>
      </c>
      <c r="C21" s="2959" t="s">
        <v>10961</v>
      </c>
      <c r="D21" s="2959" t="s">
        <v>10961</v>
      </c>
      <c r="E21" s="2959" t="s">
        <v>10963</v>
      </c>
      <c r="G21" s="2042" t="s">
        <v>10935</v>
      </c>
      <c r="H21" s="2959" t="s">
        <v>10970</v>
      </c>
      <c r="I21" s="2959" t="s">
        <v>10971</v>
      </c>
      <c r="J21" s="2959" t="s">
        <v>10971</v>
      </c>
      <c r="K21" s="2959" t="s">
        <v>10976</v>
      </c>
    </row>
    <row r="22" spans="1:11">
      <c r="A22" t="s">
        <v>10936</v>
      </c>
      <c r="B22" s="2959" t="s">
        <v>10961</v>
      </c>
      <c r="C22" s="2959" t="s">
        <v>10962</v>
      </c>
      <c r="D22" s="2959" t="s">
        <v>10963</v>
      </c>
      <c r="E22" s="2959" t="s">
        <v>10964</v>
      </c>
      <c r="G22" s="2042" t="s">
        <v>10936</v>
      </c>
      <c r="H22" s="2959" t="s">
        <v>10971</v>
      </c>
      <c r="I22" s="2959" t="s">
        <v>10975</v>
      </c>
      <c r="J22" s="2959" t="s">
        <v>10976</v>
      </c>
      <c r="K22" s="2959" t="s">
        <v>10979</v>
      </c>
    </row>
    <row r="24" spans="1:11" ht="13">
      <c r="A24" s="25" t="s">
        <v>10967</v>
      </c>
    </row>
    <row r="25" spans="1:11">
      <c r="B25" s="2958" t="s">
        <v>10937</v>
      </c>
      <c r="C25" s="2958" t="s">
        <v>10938</v>
      </c>
      <c r="D25" s="2958" t="s">
        <v>10938</v>
      </c>
      <c r="E25" s="2958" t="s">
        <v>10939</v>
      </c>
    </row>
    <row r="26" spans="1:11">
      <c r="B26" s="2958" t="s">
        <v>5957</v>
      </c>
      <c r="C26" s="2958" t="s">
        <v>7039</v>
      </c>
      <c r="D26" s="2958" t="s">
        <v>9173</v>
      </c>
      <c r="E26" s="2958" t="s">
        <v>9174</v>
      </c>
    </row>
    <row r="27" spans="1:11">
      <c r="A27" t="s">
        <v>10934</v>
      </c>
    </row>
    <row r="28" spans="1:11">
      <c r="A28" t="s">
        <v>10936</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C321"/>
  <sheetViews>
    <sheetView workbookViewId="0">
      <selection activeCell="A2" sqref="A2"/>
    </sheetView>
  </sheetViews>
  <sheetFormatPr defaultRowHeight="12.5"/>
  <cols>
    <col min="1" max="1" width="11.36328125" style="2042" bestFit="1" customWidth="1"/>
    <col min="2" max="2" width="11.36328125" style="2042" customWidth="1"/>
    <col min="3" max="3" width="15.81640625" style="2736" bestFit="1" customWidth="1"/>
    <col min="4" max="16384" width="8.7265625" style="2042"/>
  </cols>
  <sheetData>
    <row r="1" spans="1:3">
      <c r="C1" s="2736" t="s">
        <v>10753</v>
      </c>
    </row>
    <row r="2" spans="1:3" ht="14.5">
      <c r="A2" s="2042" t="s">
        <v>4921</v>
      </c>
      <c r="B2" s="380" t="str">
        <f>CONCATENATE(LEFT(RIGHT(CONCATENATE("000",A2),6),3),"-",(RIGHT(RIGHT(CONCATENATE("000",A2),6),3)))</f>
        <v>002-901</v>
      </c>
      <c r="C2" s="2736">
        <v>1001612</v>
      </c>
    </row>
    <row r="3" spans="1:3" ht="14.5">
      <c r="A3" s="2042" t="s">
        <v>2851</v>
      </c>
      <c r="B3" s="380" t="str">
        <f t="shared" ref="B3:B66" si="0">CONCATENATE(LEFT(RIGHT(CONCATENATE("000",A3),6),3),"-",(RIGHT(RIGHT(CONCATENATE("000",A3),6),3)))</f>
        <v>003-902</v>
      </c>
      <c r="C3" s="2736">
        <v>668228</v>
      </c>
    </row>
    <row r="4" spans="1:3" ht="14.5">
      <c r="A4" s="2042" t="s">
        <v>4925</v>
      </c>
      <c r="B4" s="380" t="str">
        <f t="shared" si="0"/>
        <v>005-901</v>
      </c>
      <c r="C4" s="2736">
        <v>112290</v>
      </c>
    </row>
    <row r="5" spans="1:3" ht="14.5">
      <c r="A5" s="2042" t="s">
        <v>4926</v>
      </c>
      <c r="B5" s="380" t="str">
        <f t="shared" si="0"/>
        <v>005-902</v>
      </c>
      <c r="C5" s="2736">
        <v>247497</v>
      </c>
    </row>
    <row r="6" spans="1:3" ht="14.5">
      <c r="A6" s="2042" t="s">
        <v>4927</v>
      </c>
      <c r="B6" s="380" t="str">
        <f t="shared" si="0"/>
        <v>006-902</v>
      </c>
      <c r="C6" s="2736">
        <v>74377</v>
      </c>
    </row>
    <row r="7" spans="1:3" ht="14.5">
      <c r="A7" s="2042" t="s">
        <v>2857</v>
      </c>
      <c r="B7" s="380" t="str">
        <f t="shared" si="0"/>
        <v>007-904</v>
      </c>
      <c r="C7" s="2736">
        <v>390894</v>
      </c>
    </row>
    <row r="8" spans="1:3" ht="14.5">
      <c r="A8" s="2042" t="s">
        <v>4930</v>
      </c>
      <c r="B8" s="380" t="str">
        <f t="shared" si="0"/>
        <v>008-903</v>
      </c>
      <c r="C8" s="2736">
        <v>191574</v>
      </c>
    </row>
    <row r="9" spans="1:3" ht="14.5">
      <c r="A9" s="2042" t="s">
        <v>2862</v>
      </c>
      <c r="B9" s="380" t="str">
        <f t="shared" si="0"/>
        <v>011-901</v>
      </c>
      <c r="C9" s="2736">
        <v>2501761</v>
      </c>
    </row>
    <row r="10" spans="1:3" ht="14.5">
      <c r="A10" s="2042" t="s">
        <v>2863</v>
      </c>
      <c r="B10" s="380" t="str">
        <f t="shared" si="0"/>
        <v>011-902</v>
      </c>
      <c r="C10" s="2736">
        <v>996246</v>
      </c>
    </row>
    <row r="11" spans="1:3" ht="14.5">
      <c r="A11" s="2042" t="s">
        <v>2865</v>
      </c>
      <c r="B11" s="380" t="str">
        <f t="shared" si="0"/>
        <v>011-905</v>
      </c>
      <c r="C11" s="2736">
        <v>81774</v>
      </c>
    </row>
    <row r="12" spans="1:3" ht="14.5">
      <c r="A12" s="2042" t="s">
        <v>4933</v>
      </c>
      <c r="B12" s="380" t="str">
        <f t="shared" si="0"/>
        <v>014-901</v>
      </c>
      <c r="C12" s="2736">
        <v>398719</v>
      </c>
    </row>
    <row r="13" spans="1:3" ht="14.5">
      <c r="A13" s="2042" t="s">
        <v>2869</v>
      </c>
      <c r="B13" s="380" t="str">
        <f t="shared" si="0"/>
        <v>014-903</v>
      </c>
      <c r="C13" s="2736">
        <v>2743224</v>
      </c>
    </row>
    <row r="14" spans="1:3" ht="14.5">
      <c r="A14" s="2042" t="s">
        <v>2873</v>
      </c>
      <c r="B14" s="380" t="str">
        <f t="shared" si="0"/>
        <v>014-908</v>
      </c>
      <c r="C14" s="2736">
        <v>473844</v>
      </c>
    </row>
    <row r="15" spans="1:3" ht="14.5">
      <c r="A15" s="2042" t="s">
        <v>2875</v>
      </c>
      <c r="B15" s="380" t="str">
        <f t="shared" si="0"/>
        <v>014-910</v>
      </c>
      <c r="C15" s="2736">
        <v>348930</v>
      </c>
    </row>
    <row r="16" spans="1:3" ht="14.5">
      <c r="A16" s="2042" t="s">
        <v>7352</v>
      </c>
      <c r="B16" s="380" t="str">
        <f t="shared" si="0"/>
        <v>015-913</v>
      </c>
      <c r="C16" s="2736">
        <v>237393</v>
      </c>
    </row>
    <row r="17" spans="1:3" ht="14.5">
      <c r="A17" s="2042" t="s">
        <v>5753</v>
      </c>
      <c r="B17" s="380" t="str">
        <f t="shared" si="0"/>
        <v>018-903</v>
      </c>
      <c r="C17" s="2736">
        <v>28158</v>
      </c>
    </row>
    <row r="18" spans="1:3" ht="14.5">
      <c r="A18" s="2042" t="s">
        <v>2890</v>
      </c>
      <c r="B18" s="380" t="str">
        <f t="shared" si="0"/>
        <v>018-904</v>
      </c>
      <c r="C18" s="2736">
        <v>143231</v>
      </c>
    </row>
    <row r="19" spans="1:3" ht="14.5">
      <c r="A19" s="2042" t="s">
        <v>2894</v>
      </c>
      <c r="B19" s="380" t="str">
        <f t="shared" si="0"/>
        <v>019-909</v>
      </c>
      <c r="C19" s="2736">
        <v>109088</v>
      </c>
    </row>
    <row r="20" spans="1:3" ht="14.5">
      <c r="A20" s="2042" t="s">
        <v>2895</v>
      </c>
      <c r="B20" s="380" t="str">
        <f t="shared" si="0"/>
        <v>019-910</v>
      </c>
      <c r="C20" s="2736">
        <v>44430</v>
      </c>
    </row>
    <row r="21" spans="1:3" ht="14.5">
      <c r="A21" s="2042" t="s">
        <v>5755</v>
      </c>
      <c r="B21" s="380" t="str">
        <f t="shared" si="0"/>
        <v>019-913</v>
      </c>
      <c r="C21" s="2736">
        <v>22656</v>
      </c>
    </row>
    <row r="22" spans="1:3" ht="14.5">
      <c r="A22" s="2042" t="s">
        <v>5756</v>
      </c>
      <c r="B22" s="380" t="str">
        <f t="shared" si="0"/>
        <v>019-914</v>
      </c>
      <c r="C22" s="2736">
        <v>25513</v>
      </c>
    </row>
    <row r="23" spans="1:3" ht="14.5">
      <c r="A23" s="2042" t="s">
        <v>2896</v>
      </c>
      <c r="B23" s="380" t="str">
        <f t="shared" si="0"/>
        <v>020-901</v>
      </c>
      <c r="C23" s="2736">
        <v>6171429</v>
      </c>
    </row>
    <row r="24" spans="1:3" ht="14.5">
      <c r="A24" s="2042" t="s">
        <v>2906</v>
      </c>
      <c r="B24" s="380" t="str">
        <f t="shared" si="0"/>
        <v>025-908</v>
      </c>
      <c r="C24" s="2736">
        <v>33775</v>
      </c>
    </row>
    <row r="25" spans="1:3" ht="14.5">
      <c r="A25" s="2042" t="s">
        <v>4952</v>
      </c>
      <c r="B25" s="380" t="str">
        <f t="shared" si="0"/>
        <v>026-902</v>
      </c>
      <c r="C25" s="2736">
        <v>118939</v>
      </c>
    </row>
    <row r="26" spans="1:3" ht="14.5">
      <c r="A26" s="2042" t="s">
        <v>2908</v>
      </c>
      <c r="B26" s="380" t="str">
        <f t="shared" si="0"/>
        <v>026-903</v>
      </c>
      <c r="C26" s="2736">
        <v>108166</v>
      </c>
    </row>
    <row r="27" spans="1:3" ht="14.5">
      <c r="A27" s="2042" t="s">
        <v>2909</v>
      </c>
      <c r="B27" s="380" t="str">
        <f t="shared" si="0"/>
        <v>027-903</v>
      </c>
      <c r="C27" s="2736">
        <v>724155</v>
      </c>
    </row>
    <row r="28" spans="1:3" ht="14.5">
      <c r="A28" s="2042" t="s">
        <v>2910</v>
      </c>
      <c r="B28" s="380" t="str">
        <f t="shared" si="0"/>
        <v>028-902</v>
      </c>
      <c r="C28" s="2736">
        <v>1354695</v>
      </c>
    </row>
    <row r="29" spans="1:3" ht="14.5">
      <c r="A29" s="2042" t="s">
        <v>5761</v>
      </c>
      <c r="B29" s="380" t="str">
        <f t="shared" si="0"/>
        <v>028-906</v>
      </c>
      <c r="C29" s="2736">
        <v>45727</v>
      </c>
    </row>
    <row r="30" spans="1:3" ht="14.5">
      <c r="A30" s="2042" t="s">
        <v>4954</v>
      </c>
      <c r="B30" s="380" t="str">
        <f t="shared" si="0"/>
        <v>030-906</v>
      </c>
      <c r="C30" s="2736">
        <v>94453</v>
      </c>
    </row>
    <row r="31" spans="1:3" ht="14.5">
      <c r="A31" s="2042" t="s">
        <v>7354</v>
      </c>
      <c r="B31" s="380" t="str">
        <f t="shared" si="0"/>
        <v>031-916</v>
      </c>
      <c r="C31" s="2736">
        <v>938159</v>
      </c>
    </row>
    <row r="32" spans="1:3" ht="14.5">
      <c r="A32" s="2042" t="s">
        <v>4957</v>
      </c>
      <c r="B32" s="380" t="str">
        <f t="shared" si="0"/>
        <v>033-901</v>
      </c>
      <c r="C32" s="2736">
        <v>35756</v>
      </c>
    </row>
    <row r="33" spans="1:3" ht="14.5">
      <c r="A33" s="2042" t="s">
        <v>5763</v>
      </c>
      <c r="B33" s="380" t="str">
        <f t="shared" si="0"/>
        <v>034-902</v>
      </c>
      <c r="C33" s="2736">
        <v>33466</v>
      </c>
    </row>
    <row r="34" spans="1:3" ht="14.5">
      <c r="A34" s="2042" t="s">
        <v>3647</v>
      </c>
      <c r="B34" s="380" t="str">
        <f t="shared" si="0"/>
        <v>034-906</v>
      </c>
      <c r="C34" s="2736">
        <v>86732</v>
      </c>
    </row>
    <row r="35" spans="1:3" ht="14.5">
      <c r="A35" s="2042" t="s">
        <v>4962</v>
      </c>
      <c r="B35" s="380" t="str">
        <f t="shared" si="0"/>
        <v>034-907</v>
      </c>
      <c r="C35" s="2736">
        <v>225895</v>
      </c>
    </row>
    <row r="36" spans="1:3" ht="14.5">
      <c r="A36" s="2042" t="s">
        <v>2922</v>
      </c>
      <c r="B36" s="380" t="str">
        <f t="shared" si="0"/>
        <v>035-903</v>
      </c>
      <c r="C36" s="2736">
        <v>55062</v>
      </c>
    </row>
    <row r="37" spans="1:3" ht="14.5">
      <c r="A37" s="2042" t="s">
        <v>4965</v>
      </c>
      <c r="B37" s="380" t="str">
        <f t="shared" si="0"/>
        <v>036-902</v>
      </c>
      <c r="C37" s="2736">
        <v>1452332</v>
      </c>
    </row>
    <row r="38" spans="1:3" ht="14.5">
      <c r="A38" s="2042" t="s">
        <v>4966</v>
      </c>
      <c r="B38" s="380" t="str">
        <f t="shared" si="0"/>
        <v>037-901</v>
      </c>
      <c r="C38" s="2736">
        <v>138464</v>
      </c>
    </row>
    <row r="39" spans="1:3" ht="14.5">
      <c r="A39" s="2042" t="s">
        <v>4967</v>
      </c>
      <c r="B39" s="380" t="str">
        <f t="shared" si="0"/>
        <v>037-909</v>
      </c>
      <c r="C39" s="2736">
        <v>60018</v>
      </c>
    </row>
    <row r="40" spans="1:3" ht="14.5">
      <c r="A40" s="2042" t="s">
        <v>2931</v>
      </c>
      <c r="B40" s="380" t="str">
        <f t="shared" si="0"/>
        <v>043-902</v>
      </c>
      <c r="C40" s="2736">
        <v>876926</v>
      </c>
    </row>
    <row r="41" spans="1:3" ht="14.5">
      <c r="A41" s="2042" t="s">
        <v>2932</v>
      </c>
      <c r="B41" s="380" t="str">
        <f t="shared" si="0"/>
        <v>043-903</v>
      </c>
      <c r="C41" s="2736">
        <v>657218</v>
      </c>
    </row>
    <row r="42" spans="1:3" ht="14.5">
      <c r="A42" s="2042" t="s">
        <v>2933</v>
      </c>
      <c r="B42" s="380" t="str">
        <f t="shared" si="0"/>
        <v>043-904</v>
      </c>
      <c r="C42" s="2736">
        <v>406451</v>
      </c>
    </row>
    <row r="43" spans="1:3" ht="14.5">
      <c r="A43" s="2042" t="s">
        <v>2934</v>
      </c>
      <c r="B43" s="380" t="str">
        <f t="shared" si="0"/>
        <v>043-905</v>
      </c>
      <c r="C43" s="2736">
        <v>14827330</v>
      </c>
    </row>
    <row r="44" spans="1:3" ht="14.5">
      <c r="A44" s="2042" t="s">
        <v>2936</v>
      </c>
      <c r="B44" s="380" t="str">
        <f t="shared" si="0"/>
        <v>043-908</v>
      </c>
      <c r="C44" s="2736">
        <v>847276</v>
      </c>
    </row>
    <row r="45" spans="1:3" ht="14.5">
      <c r="A45" s="2042" t="s">
        <v>2937</v>
      </c>
      <c r="B45" s="380" t="str">
        <f t="shared" si="0"/>
        <v>043-911</v>
      </c>
      <c r="C45" s="2736">
        <v>1232232</v>
      </c>
    </row>
    <row r="46" spans="1:3" ht="14.5">
      <c r="A46" s="2042" t="s">
        <v>2938</v>
      </c>
      <c r="B46" s="380" t="str">
        <f t="shared" si="0"/>
        <v>043-912</v>
      </c>
      <c r="C46" s="2736">
        <v>3991839</v>
      </c>
    </row>
    <row r="47" spans="1:3" ht="14.5">
      <c r="A47" s="2042" t="s">
        <v>2939</v>
      </c>
      <c r="B47" s="380" t="str">
        <f t="shared" si="0"/>
        <v>043-914</v>
      </c>
      <c r="C47" s="2736">
        <v>4016648</v>
      </c>
    </row>
    <row r="48" spans="1:3" ht="14.5">
      <c r="A48" s="2042" t="s">
        <v>2940</v>
      </c>
      <c r="B48" s="380" t="str">
        <f t="shared" si="0"/>
        <v>043-917</v>
      </c>
      <c r="C48" s="2736">
        <v>208115</v>
      </c>
    </row>
    <row r="49" spans="1:3" ht="14.5">
      <c r="A49" s="2042" t="s">
        <v>2941</v>
      </c>
      <c r="B49" s="380" t="str">
        <f t="shared" si="0"/>
        <v>043-918</v>
      </c>
      <c r="C49" s="2736">
        <v>576500</v>
      </c>
    </row>
    <row r="50" spans="1:3" ht="14.5">
      <c r="A50" s="2042" t="s">
        <v>4973</v>
      </c>
      <c r="B50" s="380" t="str">
        <f t="shared" si="0"/>
        <v>043-919</v>
      </c>
      <c r="C50" s="2736">
        <v>1033723</v>
      </c>
    </row>
    <row r="51" spans="1:3" ht="14.5">
      <c r="A51" s="2042" t="s">
        <v>4974</v>
      </c>
      <c r="B51" s="380" t="str">
        <f t="shared" si="0"/>
        <v>045-903</v>
      </c>
      <c r="C51" s="2736">
        <v>288275</v>
      </c>
    </row>
    <row r="52" spans="1:3" ht="14.5">
      <c r="A52" s="2042" t="s">
        <v>4975</v>
      </c>
      <c r="B52" s="380" t="str">
        <f t="shared" si="0"/>
        <v>045-905</v>
      </c>
      <c r="C52" s="2736">
        <v>151044</v>
      </c>
    </row>
    <row r="53" spans="1:3" ht="14.5">
      <c r="A53" s="2042" t="s">
        <v>2943</v>
      </c>
      <c r="B53" s="380" t="str">
        <f t="shared" si="0"/>
        <v>046-901</v>
      </c>
      <c r="C53" s="2736">
        <v>2148002</v>
      </c>
    </row>
    <row r="54" spans="1:3" ht="14.5">
      <c r="A54" s="2042" t="s">
        <v>4976</v>
      </c>
      <c r="B54" s="380" t="str">
        <f t="shared" si="0"/>
        <v>046-902</v>
      </c>
      <c r="C54" s="2736">
        <v>5780012</v>
      </c>
    </row>
    <row r="55" spans="1:3" ht="14.5">
      <c r="A55" s="2042" t="s">
        <v>2945</v>
      </c>
      <c r="B55" s="380" t="str">
        <f t="shared" si="0"/>
        <v>047-902</v>
      </c>
      <c r="C55" s="2736">
        <v>166142</v>
      </c>
    </row>
    <row r="56" spans="1:3" ht="14.5">
      <c r="A56" s="2042" t="s">
        <v>4977</v>
      </c>
      <c r="B56" s="380" t="str">
        <f t="shared" si="0"/>
        <v>048-903</v>
      </c>
      <c r="C56" s="2736">
        <v>50036</v>
      </c>
    </row>
    <row r="57" spans="1:3" ht="14.5">
      <c r="A57" s="2042" t="s">
        <v>2948</v>
      </c>
      <c r="B57" s="380" t="str">
        <f t="shared" si="0"/>
        <v>049-901</v>
      </c>
      <c r="C57" s="2736">
        <v>669116</v>
      </c>
    </row>
    <row r="58" spans="1:3" ht="14.5">
      <c r="A58" s="2042" t="s">
        <v>2949</v>
      </c>
      <c r="B58" s="380" t="str">
        <f t="shared" si="0"/>
        <v>049-903</v>
      </c>
      <c r="C58" s="2736">
        <v>195666</v>
      </c>
    </row>
    <row r="59" spans="1:3" ht="14.5">
      <c r="A59" s="2042" t="s">
        <v>2950</v>
      </c>
      <c r="B59" s="380" t="str">
        <f t="shared" si="0"/>
        <v>049-906</v>
      </c>
      <c r="C59" s="2736">
        <v>112838</v>
      </c>
    </row>
    <row r="60" spans="1:3" ht="14.5">
      <c r="A60" s="2042" t="s">
        <v>4980</v>
      </c>
      <c r="B60" s="380" t="str">
        <f t="shared" si="0"/>
        <v>049-907</v>
      </c>
      <c r="C60" s="2736">
        <v>122088</v>
      </c>
    </row>
    <row r="61" spans="1:3" ht="14.5">
      <c r="A61" s="2042" t="s">
        <v>5772</v>
      </c>
      <c r="B61" s="380" t="str">
        <f t="shared" si="0"/>
        <v>049-908</v>
      </c>
      <c r="C61" s="2736">
        <v>14918</v>
      </c>
    </row>
    <row r="62" spans="1:3" ht="14.5">
      <c r="A62" s="2042" t="s">
        <v>2951</v>
      </c>
      <c r="B62" s="380" t="str">
        <f t="shared" si="0"/>
        <v>050-904</v>
      </c>
      <c r="C62" s="2736">
        <v>37430</v>
      </c>
    </row>
    <row r="63" spans="1:3" ht="14.5">
      <c r="A63" s="2042" t="s">
        <v>4982</v>
      </c>
      <c r="B63" s="380" t="str">
        <f t="shared" si="0"/>
        <v>050-909</v>
      </c>
      <c r="C63" s="2736">
        <v>76042</v>
      </c>
    </row>
    <row r="64" spans="1:3" ht="14.5">
      <c r="A64" s="2042" t="s">
        <v>4983</v>
      </c>
      <c r="B64" s="380" t="str">
        <f t="shared" si="0"/>
        <v>052-901</v>
      </c>
      <c r="C64" s="2736">
        <v>256939</v>
      </c>
    </row>
    <row r="65" spans="1:3" ht="14.5">
      <c r="A65" s="2042" t="s">
        <v>4993</v>
      </c>
      <c r="B65" s="380" t="str">
        <f t="shared" si="0"/>
        <v>057-919</v>
      </c>
      <c r="C65" s="2736">
        <v>463839</v>
      </c>
    </row>
    <row r="66" spans="1:3" ht="14.5">
      <c r="A66" s="2042" t="s">
        <v>4994</v>
      </c>
      <c r="B66" s="380" t="str">
        <f t="shared" si="0"/>
        <v>057-922</v>
      </c>
      <c r="C66" s="2736">
        <v>3100528</v>
      </c>
    </row>
    <row r="67" spans="1:3" ht="14.5">
      <c r="A67" s="2042" t="s">
        <v>4996</v>
      </c>
      <c r="B67" s="380" t="str">
        <f t="shared" ref="B67:B130" si="1">CONCATENATE(LEFT(RIGHT(CONCATENATE("000",A67),6),3),"-",(RIGHT(RIGHT(CONCATENATE("000",A67),6),3)))</f>
        <v>058-909</v>
      </c>
      <c r="C67" s="2736">
        <v>59861</v>
      </c>
    </row>
    <row r="68" spans="1:3" ht="14.5">
      <c r="A68" s="2042" t="s">
        <v>5783</v>
      </c>
      <c r="B68" s="380" t="str">
        <f t="shared" si="1"/>
        <v>059-902</v>
      </c>
      <c r="C68" s="2736">
        <v>30740</v>
      </c>
    </row>
    <row r="69" spans="1:3" ht="14.5">
      <c r="A69" s="2042" t="s">
        <v>4997</v>
      </c>
      <c r="B69" s="380" t="str">
        <f t="shared" si="1"/>
        <v>061-901</v>
      </c>
      <c r="C69" s="2736">
        <v>7102644</v>
      </c>
    </row>
    <row r="70" spans="1:3" ht="14.5">
      <c r="A70" s="2042" t="s">
        <v>2962</v>
      </c>
      <c r="B70" s="380" t="str">
        <f t="shared" si="1"/>
        <v>061-906</v>
      </c>
      <c r="C70" s="2736">
        <v>360624</v>
      </c>
    </row>
    <row r="71" spans="1:3" ht="14.5">
      <c r="A71" s="2042" t="s">
        <v>4998</v>
      </c>
      <c r="B71" s="380" t="str">
        <f t="shared" si="1"/>
        <v>061-910</v>
      </c>
      <c r="C71" s="2736">
        <v>823502</v>
      </c>
    </row>
    <row r="72" spans="1:3" ht="14.5">
      <c r="A72" s="2042" t="s">
        <v>2965</v>
      </c>
      <c r="B72" s="380" t="str">
        <f t="shared" si="1"/>
        <v>061-911</v>
      </c>
      <c r="C72" s="2736">
        <v>5820514</v>
      </c>
    </row>
    <row r="73" spans="1:3" ht="14.5">
      <c r="A73" s="2042" t="s">
        <v>2967</v>
      </c>
      <c r="B73" s="380" t="str">
        <f t="shared" si="1"/>
        <v>061-914</v>
      </c>
      <c r="C73" s="2736">
        <v>1859162</v>
      </c>
    </row>
    <row r="74" spans="1:3" ht="14.5">
      <c r="A74" s="2042" t="s">
        <v>5000</v>
      </c>
      <c r="B74" s="380" t="str">
        <f t="shared" si="1"/>
        <v>062-904</v>
      </c>
      <c r="C74" s="2736">
        <v>124936</v>
      </c>
    </row>
    <row r="75" spans="1:3" ht="14.5">
      <c r="A75" s="2042" t="s">
        <v>5784</v>
      </c>
      <c r="B75" s="380" t="str">
        <f t="shared" si="1"/>
        <v>062-905</v>
      </c>
      <c r="C75" s="2736">
        <v>17568</v>
      </c>
    </row>
    <row r="76" spans="1:3" ht="14.5">
      <c r="A76" s="2042" t="s">
        <v>5785</v>
      </c>
      <c r="B76" s="380" t="str">
        <f t="shared" si="1"/>
        <v>062-906</v>
      </c>
      <c r="C76" s="2736">
        <v>31841</v>
      </c>
    </row>
    <row r="77" spans="1:3" ht="14.5">
      <c r="A77" s="2042" t="s">
        <v>2972</v>
      </c>
      <c r="B77" s="380" t="str">
        <f t="shared" si="1"/>
        <v>066-902</v>
      </c>
      <c r="C77" s="2736">
        <v>304025</v>
      </c>
    </row>
    <row r="78" spans="1:3" ht="14.5">
      <c r="A78" s="2042" t="s">
        <v>5791</v>
      </c>
      <c r="B78" s="380" t="str">
        <f t="shared" si="1"/>
        <v>067-908</v>
      </c>
      <c r="C78" s="2736">
        <v>36461</v>
      </c>
    </row>
    <row r="79" spans="1:3" ht="14.5">
      <c r="A79" s="2042" t="s">
        <v>5005</v>
      </c>
      <c r="B79" s="380" t="str">
        <f t="shared" si="1"/>
        <v>068-901</v>
      </c>
      <c r="C79" s="2736">
        <v>7331285</v>
      </c>
    </row>
    <row r="80" spans="1:3" ht="14.5">
      <c r="A80" s="2042" t="s">
        <v>5006</v>
      </c>
      <c r="B80" s="380" t="str">
        <f t="shared" si="1"/>
        <v>069-901</v>
      </c>
      <c r="C80" s="2736">
        <v>66423</v>
      </c>
    </row>
    <row r="81" spans="1:3" ht="14.5">
      <c r="A81" s="2042" t="s">
        <v>2974</v>
      </c>
      <c r="B81" s="380" t="str">
        <f t="shared" si="1"/>
        <v>070-905</v>
      </c>
      <c r="C81" s="2736">
        <v>587079</v>
      </c>
    </row>
    <row r="82" spans="1:3" ht="14.5">
      <c r="A82" s="2042" t="s">
        <v>5008</v>
      </c>
      <c r="B82" s="380" t="str">
        <f t="shared" si="1"/>
        <v>070-908</v>
      </c>
      <c r="C82" s="2736">
        <v>2290607</v>
      </c>
    </row>
    <row r="83" spans="1:3" ht="14.5">
      <c r="A83" s="2042" t="s">
        <v>5793</v>
      </c>
      <c r="B83" s="380" t="str">
        <f t="shared" si="1"/>
        <v>070-909</v>
      </c>
      <c r="C83" s="2736">
        <v>55279</v>
      </c>
    </row>
    <row r="84" spans="1:3" ht="14.5">
      <c r="A84" s="2042" t="s">
        <v>2976</v>
      </c>
      <c r="B84" s="380" t="str">
        <f t="shared" si="1"/>
        <v>070-910</v>
      </c>
      <c r="C84" s="2736">
        <v>287449</v>
      </c>
    </row>
    <row r="85" spans="1:3" ht="14.5">
      <c r="A85" s="2042" t="s">
        <v>2978</v>
      </c>
      <c r="B85" s="380" t="str">
        <f t="shared" si="1"/>
        <v>070-912</v>
      </c>
      <c r="C85" s="2736">
        <v>2168659</v>
      </c>
    </row>
    <row r="86" spans="1:3" ht="14.5">
      <c r="A86" s="2042" t="s">
        <v>2979</v>
      </c>
      <c r="B86" s="380" t="str">
        <f t="shared" si="1"/>
        <v>070-915</v>
      </c>
      <c r="C86" s="2736">
        <v>256975</v>
      </c>
    </row>
    <row r="87" spans="1:3" ht="14.5">
      <c r="A87" s="2042" t="s">
        <v>2984</v>
      </c>
      <c r="B87" s="380" t="str">
        <f t="shared" si="1"/>
        <v>071-907</v>
      </c>
      <c r="C87" s="2736">
        <v>1384631</v>
      </c>
    </row>
    <row r="88" spans="1:3" ht="14.5">
      <c r="A88" s="2042" t="s">
        <v>5794</v>
      </c>
      <c r="B88" s="380" t="str">
        <f t="shared" si="1"/>
        <v>072-901</v>
      </c>
      <c r="C88" s="2736">
        <v>40274</v>
      </c>
    </row>
    <row r="89" spans="1:3" ht="14.5">
      <c r="A89" s="2042" t="s">
        <v>5010</v>
      </c>
      <c r="B89" s="380" t="str">
        <f t="shared" si="1"/>
        <v>072-904</v>
      </c>
      <c r="C89" s="2736">
        <v>48344</v>
      </c>
    </row>
    <row r="90" spans="1:3" ht="14.5">
      <c r="A90" s="2042" t="s">
        <v>5795</v>
      </c>
      <c r="B90" s="380" t="str">
        <f t="shared" si="1"/>
        <v>072-908</v>
      </c>
      <c r="C90" s="2736">
        <v>55274</v>
      </c>
    </row>
    <row r="91" spans="1:3" ht="14.5">
      <c r="A91" s="2042" t="s">
        <v>5796</v>
      </c>
      <c r="B91" s="380" t="str">
        <f t="shared" si="1"/>
        <v>072-910</v>
      </c>
      <c r="C91" s="2736">
        <v>24403</v>
      </c>
    </row>
    <row r="92" spans="1:3" ht="14.5">
      <c r="A92" s="2042" t="s">
        <v>5011</v>
      </c>
      <c r="B92" s="380" t="str">
        <f t="shared" si="1"/>
        <v>073-901</v>
      </c>
      <c r="C92" s="2736">
        <v>117318</v>
      </c>
    </row>
    <row r="93" spans="1:3" ht="14.5">
      <c r="A93" s="2042" t="s">
        <v>5797</v>
      </c>
      <c r="B93" s="380" t="str">
        <f t="shared" si="1"/>
        <v>073-905</v>
      </c>
      <c r="C93" s="2736">
        <v>147798</v>
      </c>
    </row>
    <row r="94" spans="1:3" ht="14.5">
      <c r="A94" s="2042" t="s">
        <v>2990</v>
      </c>
      <c r="B94" s="380" t="str">
        <f t="shared" si="1"/>
        <v>074-905</v>
      </c>
      <c r="C94" s="2736">
        <v>61019</v>
      </c>
    </row>
    <row r="95" spans="1:3" ht="14.5">
      <c r="A95" s="2042" t="s">
        <v>2991</v>
      </c>
      <c r="B95" s="380" t="str">
        <f t="shared" si="1"/>
        <v>074-907</v>
      </c>
      <c r="C95" s="2736">
        <v>145792</v>
      </c>
    </row>
    <row r="96" spans="1:3" ht="14.5">
      <c r="A96" s="2042" t="s">
        <v>5014</v>
      </c>
      <c r="B96" s="380" t="str">
        <f t="shared" si="1"/>
        <v>074-911</v>
      </c>
      <c r="C96" s="2736">
        <v>74270</v>
      </c>
    </row>
    <row r="97" spans="1:3" ht="14.5">
      <c r="A97" s="2042" t="s">
        <v>2992</v>
      </c>
      <c r="B97" s="380" t="str">
        <f t="shared" si="1"/>
        <v>074-912</v>
      </c>
      <c r="C97" s="2736">
        <v>155991</v>
      </c>
    </row>
    <row r="98" spans="1:3" ht="14.5">
      <c r="A98" s="2042" t="s">
        <v>5015</v>
      </c>
      <c r="B98" s="380" t="str">
        <f t="shared" si="1"/>
        <v>075-901</v>
      </c>
      <c r="C98" s="2736">
        <v>135569</v>
      </c>
    </row>
    <row r="99" spans="1:3" ht="14.5">
      <c r="A99" s="2042" t="s">
        <v>5799</v>
      </c>
      <c r="B99" s="380" t="str">
        <f t="shared" si="1"/>
        <v>075-906</v>
      </c>
      <c r="C99" s="2736">
        <v>58129</v>
      </c>
    </row>
    <row r="100" spans="1:3" ht="14.5">
      <c r="A100" s="2042" t="s">
        <v>2994</v>
      </c>
      <c r="B100" s="380" t="str">
        <f t="shared" si="1"/>
        <v>076-904</v>
      </c>
      <c r="C100" s="2736">
        <v>56410</v>
      </c>
    </row>
    <row r="101" spans="1:3" ht="14.5">
      <c r="A101" s="2042" t="s">
        <v>5019</v>
      </c>
      <c r="B101" s="380" t="str">
        <f t="shared" si="1"/>
        <v>079-901</v>
      </c>
      <c r="C101" s="2736">
        <v>7938673</v>
      </c>
    </row>
    <row r="102" spans="1:3" ht="14.5">
      <c r="A102" s="2042" t="s">
        <v>5028</v>
      </c>
      <c r="B102" s="380" t="str">
        <f t="shared" si="1"/>
        <v>083-903</v>
      </c>
      <c r="C102" s="2736">
        <v>677422</v>
      </c>
    </row>
    <row r="103" spans="1:3" ht="14.5">
      <c r="A103" s="2042" t="s">
        <v>5804</v>
      </c>
      <c r="B103" s="380" t="str">
        <f t="shared" si="1"/>
        <v>086-024</v>
      </c>
      <c r="C103" s="2736">
        <v>4769</v>
      </c>
    </row>
    <row r="104" spans="1:3" ht="14.5">
      <c r="A104" s="2042" t="s">
        <v>5043</v>
      </c>
      <c r="B104" s="380" t="str">
        <f t="shared" si="1"/>
        <v>090-905</v>
      </c>
      <c r="C104" s="2736">
        <v>11050</v>
      </c>
    </row>
    <row r="105" spans="1:3" ht="14.5">
      <c r="A105" s="2042" t="s">
        <v>3003</v>
      </c>
      <c r="B105" s="380" t="str">
        <f t="shared" si="1"/>
        <v>091-901</v>
      </c>
      <c r="C105" s="2736">
        <v>202668</v>
      </c>
    </row>
    <row r="106" spans="1:3" ht="14.5">
      <c r="A106" s="2042" t="s">
        <v>5044</v>
      </c>
      <c r="B106" s="380" t="str">
        <f t="shared" si="1"/>
        <v>091-903</v>
      </c>
      <c r="C106" s="2736">
        <v>1042799</v>
      </c>
    </row>
    <row r="107" spans="1:3" ht="14.5">
      <c r="A107" s="2042" t="s">
        <v>3004</v>
      </c>
      <c r="B107" s="380" t="str">
        <f t="shared" si="1"/>
        <v>091-905</v>
      </c>
      <c r="C107" s="2736">
        <v>286300</v>
      </c>
    </row>
    <row r="108" spans="1:3" ht="14.5">
      <c r="A108" s="2042" t="s">
        <v>5045</v>
      </c>
      <c r="B108" s="380" t="str">
        <f t="shared" si="1"/>
        <v>091-907</v>
      </c>
      <c r="C108" s="2736">
        <v>157896</v>
      </c>
    </row>
    <row r="109" spans="1:3" ht="14.5">
      <c r="A109" s="2042" t="s">
        <v>3006</v>
      </c>
      <c r="B109" s="380" t="str">
        <f t="shared" si="1"/>
        <v>091-908</v>
      </c>
      <c r="C109" s="2736">
        <v>419450</v>
      </c>
    </row>
    <row r="110" spans="1:3" ht="14.5">
      <c r="A110" s="2042" t="s">
        <v>5046</v>
      </c>
      <c r="B110" s="380" t="str">
        <f t="shared" si="1"/>
        <v>091-910</v>
      </c>
      <c r="C110" s="2736">
        <v>185853</v>
      </c>
    </row>
    <row r="111" spans="1:3" ht="14.5">
      <c r="A111" s="2042" t="s">
        <v>5047</v>
      </c>
      <c r="B111" s="380" t="str">
        <f t="shared" si="1"/>
        <v>091-914</v>
      </c>
      <c r="C111" s="2736">
        <v>211727</v>
      </c>
    </row>
    <row r="112" spans="1:3" ht="14.5">
      <c r="A112" s="2042" t="s">
        <v>3009</v>
      </c>
      <c r="B112" s="380" t="str">
        <f t="shared" si="1"/>
        <v>091-917</v>
      </c>
      <c r="C112" s="2736">
        <v>224950</v>
      </c>
    </row>
    <row r="113" spans="1:3" ht="14.5">
      <c r="A113" s="2042" t="s">
        <v>3010</v>
      </c>
      <c r="B113" s="380" t="str">
        <f t="shared" si="1"/>
        <v>092-907</v>
      </c>
      <c r="C113" s="2736">
        <v>473170</v>
      </c>
    </row>
    <row r="114" spans="1:3" ht="14.5">
      <c r="A114" s="2042" t="s">
        <v>3011</v>
      </c>
      <c r="B114" s="380" t="str">
        <f t="shared" si="1"/>
        <v>093-903</v>
      </c>
      <c r="C114" s="2736">
        <v>121293</v>
      </c>
    </row>
    <row r="115" spans="1:3" ht="14.5">
      <c r="A115" s="2042" t="s">
        <v>5806</v>
      </c>
      <c r="B115" s="380" t="str">
        <f t="shared" si="1"/>
        <v>093-905</v>
      </c>
      <c r="C115" s="2736">
        <v>39858</v>
      </c>
    </row>
    <row r="116" spans="1:3" ht="14.5">
      <c r="A116" s="2042" t="s">
        <v>3014</v>
      </c>
      <c r="B116" s="380" t="str">
        <f t="shared" si="1"/>
        <v>094-903</v>
      </c>
      <c r="C116" s="2736">
        <v>446867</v>
      </c>
    </row>
    <row r="117" spans="1:3" ht="14.5">
      <c r="A117" s="2042" t="s">
        <v>3993</v>
      </c>
      <c r="B117" s="380" t="str">
        <f t="shared" si="1"/>
        <v>094-904</v>
      </c>
      <c r="C117" s="2736">
        <v>345530</v>
      </c>
    </row>
    <row r="118" spans="1:3" ht="14.5">
      <c r="A118" s="2042" t="s">
        <v>5807</v>
      </c>
      <c r="B118" s="380" t="str">
        <f t="shared" si="1"/>
        <v>095-902</v>
      </c>
      <c r="C118" s="2736">
        <v>21972</v>
      </c>
    </row>
    <row r="119" spans="1:3" ht="14.5">
      <c r="A119" s="2042" t="s">
        <v>5057</v>
      </c>
      <c r="B119" s="380" t="str">
        <f t="shared" si="1"/>
        <v>095-903</v>
      </c>
      <c r="C119" s="2736">
        <v>138752</v>
      </c>
    </row>
    <row r="120" spans="1:3" ht="14.5">
      <c r="A120" s="2042" t="s">
        <v>5808</v>
      </c>
      <c r="B120" s="380" t="str">
        <f t="shared" si="1"/>
        <v>095-904</v>
      </c>
      <c r="C120" s="2736">
        <v>64011</v>
      </c>
    </row>
    <row r="121" spans="1:3" ht="14.5">
      <c r="A121" s="2042" t="s">
        <v>5058</v>
      </c>
      <c r="B121" s="380" t="str">
        <f t="shared" si="1"/>
        <v>096-905</v>
      </c>
      <c r="C121" s="2736">
        <v>43410</v>
      </c>
    </row>
    <row r="122" spans="1:3" ht="14.5">
      <c r="A122" s="2042" t="s">
        <v>3015</v>
      </c>
      <c r="B122" s="380" t="str">
        <f t="shared" si="1"/>
        <v>097-903</v>
      </c>
      <c r="C122" s="2736">
        <v>123553</v>
      </c>
    </row>
    <row r="123" spans="1:3" ht="14.5">
      <c r="A123" s="2042" t="s">
        <v>5060</v>
      </c>
      <c r="B123" s="380" t="str">
        <f t="shared" si="1"/>
        <v>098-901</v>
      </c>
      <c r="C123" s="2736">
        <v>103026</v>
      </c>
    </row>
    <row r="124" spans="1:3" ht="14.5">
      <c r="A124" s="2042" t="s">
        <v>5063</v>
      </c>
      <c r="B124" s="380" t="str">
        <f t="shared" si="1"/>
        <v>099-902</v>
      </c>
      <c r="C124" s="2736">
        <v>42720</v>
      </c>
    </row>
    <row r="125" spans="1:3" ht="14.5">
      <c r="A125" s="2042" t="s">
        <v>3016</v>
      </c>
      <c r="B125" s="380" t="str">
        <f t="shared" si="1"/>
        <v>100-904</v>
      </c>
      <c r="C125" s="2736">
        <v>641976</v>
      </c>
    </row>
    <row r="126" spans="1:3" ht="14.5">
      <c r="A126" s="2042" t="s">
        <v>5065</v>
      </c>
      <c r="B126" s="380" t="str">
        <f t="shared" si="1"/>
        <v>100-905</v>
      </c>
      <c r="C126" s="2736">
        <v>566043</v>
      </c>
    </row>
    <row r="127" spans="1:3" ht="14.5">
      <c r="A127" s="2042" t="s">
        <v>3017</v>
      </c>
      <c r="B127" s="380" t="str">
        <f t="shared" si="1"/>
        <v>100-907</v>
      </c>
      <c r="C127" s="2736">
        <v>948148</v>
      </c>
    </row>
    <row r="128" spans="1:3" ht="14.5">
      <c r="A128" s="2042" t="s">
        <v>3022</v>
      </c>
      <c r="B128" s="380" t="str">
        <f t="shared" si="1"/>
        <v>101-906</v>
      </c>
      <c r="C128" s="2736">
        <v>1432734</v>
      </c>
    </row>
    <row r="129" spans="1:3" ht="14.5">
      <c r="A129" s="2042" t="s">
        <v>3024</v>
      </c>
      <c r="B129" s="380" t="str">
        <f t="shared" si="1"/>
        <v>101-913</v>
      </c>
      <c r="C129" s="2736">
        <v>10390444</v>
      </c>
    </row>
    <row r="130" spans="1:3" ht="14.5">
      <c r="A130" s="2042" t="s">
        <v>3025</v>
      </c>
      <c r="B130" s="380" t="str">
        <f t="shared" si="1"/>
        <v>101-914</v>
      </c>
      <c r="C130" s="2736">
        <v>19341599</v>
      </c>
    </row>
    <row r="131" spans="1:3" ht="14.5">
      <c r="A131" s="2042" t="s">
        <v>5073</v>
      </c>
      <c r="B131" s="380" t="str">
        <f t="shared" ref="B131:B194" si="2">CONCATENATE(LEFT(RIGHT(CONCATENATE("000",A131),6),3),"-",(RIGHT(RIGHT(CONCATENATE("000",A131),6),3)))</f>
        <v>101-921</v>
      </c>
      <c r="C131" s="2736">
        <v>4265911</v>
      </c>
    </row>
    <row r="132" spans="1:3" ht="14.5">
      <c r="A132" s="2042" t="s">
        <v>5074</v>
      </c>
      <c r="B132" s="380" t="str">
        <f t="shared" si="2"/>
        <v>101-924</v>
      </c>
      <c r="C132" s="2736">
        <v>2220914</v>
      </c>
    </row>
    <row r="133" spans="1:3" ht="14.5">
      <c r="A133" s="2042" t="s">
        <v>3028</v>
      </c>
      <c r="B133" s="380" t="str">
        <f t="shared" si="2"/>
        <v>101-925</v>
      </c>
      <c r="C133" s="2736">
        <v>818466</v>
      </c>
    </row>
    <row r="134" spans="1:3" ht="14.5">
      <c r="A134" s="2042" t="s">
        <v>5077</v>
      </c>
      <c r="B134" s="380" t="str">
        <f t="shared" si="2"/>
        <v>102-904</v>
      </c>
      <c r="C134" s="2736">
        <v>2530769</v>
      </c>
    </row>
    <row r="135" spans="1:3" ht="14.5">
      <c r="A135" s="2042" t="s">
        <v>3030</v>
      </c>
      <c r="B135" s="380" t="str">
        <f t="shared" si="2"/>
        <v>105-904</v>
      </c>
      <c r="C135" s="2736">
        <v>1637219</v>
      </c>
    </row>
    <row r="136" spans="1:3" ht="14.5">
      <c r="A136" s="2042" t="s">
        <v>5084</v>
      </c>
      <c r="B136" s="380" t="str">
        <f t="shared" si="2"/>
        <v>105-905</v>
      </c>
      <c r="C136" s="2736">
        <v>576133</v>
      </c>
    </row>
    <row r="137" spans="1:3" ht="14.5">
      <c r="A137" s="2042" t="s">
        <v>3031</v>
      </c>
      <c r="B137" s="380" t="str">
        <f t="shared" si="2"/>
        <v>105-906</v>
      </c>
      <c r="C137" s="2736">
        <v>4670923</v>
      </c>
    </row>
    <row r="138" spans="1:3" ht="14.5">
      <c r="A138" s="2042" t="s">
        <v>3032</v>
      </c>
      <c r="B138" s="380" t="str">
        <f t="shared" si="2"/>
        <v>107-907</v>
      </c>
      <c r="C138" s="2736">
        <v>36745</v>
      </c>
    </row>
    <row r="139" spans="1:3" ht="14.5">
      <c r="A139" s="2042" t="s">
        <v>3049</v>
      </c>
      <c r="B139" s="380" t="str">
        <f t="shared" si="2"/>
        <v>109-902</v>
      </c>
      <c r="C139" s="2736">
        <v>46581</v>
      </c>
    </row>
    <row r="140" spans="1:3" ht="14.5">
      <c r="A140" s="2042" t="s">
        <v>4185</v>
      </c>
      <c r="B140" s="380" t="str">
        <f t="shared" si="2"/>
        <v>109-903</v>
      </c>
      <c r="C140" s="2736">
        <v>65899</v>
      </c>
    </row>
    <row r="141" spans="1:3" ht="14.5">
      <c r="A141" s="2042" t="s">
        <v>3051</v>
      </c>
      <c r="B141" s="380" t="str">
        <f t="shared" si="2"/>
        <v>109-905</v>
      </c>
      <c r="C141" s="2736">
        <v>90420</v>
      </c>
    </row>
    <row r="142" spans="1:3" ht="14.5">
      <c r="A142" s="2042" t="s">
        <v>3053</v>
      </c>
      <c r="B142" s="380" t="str">
        <f t="shared" si="2"/>
        <v>109-908</v>
      </c>
      <c r="C142" s="2736">
        <v>36143</v>
      </c>
    </row>
    <row r="143" spans="1:3" ht="14.5">
      <c r="A143" s="2042" t="s">
        <v>3054</v>
      </c>
      <c r="B143" s="380" t="str">
        <f t="shared" si="2"/>
        <v>109-910</v>
      </c>
      <c r="C143" s="2736">
        <v>41760</v>
      </c>
    </row>
    <row r="144" spans="1:3" ht="14.5">
      <c r="A144" s="2042" t="s">
        <v>3055</v>
      </c>
      <c r="B144" s="380" t="str">
        <f t="shared" si="2"/>
        <v>109-912</v>
      </c>
      <c r="C144" s="2736">
        <v>75297</v>
      </c>
    </row>
    <row r="145" spans="1:3" ht="14.5">
      <c r="A145" s="2042" t="s">
        <v>5094</v>
      </c>
      <c r="B145" s="380" t="str">
        <f t="shared" si="2"/>
        <v>110-905</v>
      </c>
      <c r="C145" s="2736">
        <v>106644</v>
      </c>
    </row>
    <row r="146" spans="1:3" ht="14.5">
      <c r="A146" s="2042" t="s">
        <v>5095</v>
      </c>
      <c r="B146" s="380" t="str">
        <f t="shared" si="2"/>
        <v>111-901</v>
      </c>
      <c r="C146" s="2736">
        <v>1662291</v>
      </c>
    </row>
    <row r="147" spans="1:3" ht="14.5">
      <c r="A147" s="2042" t="s">
        <v>3057</v>
      </c>
      <c r="B147" s="380" t="str">
        <f t="shared" si="2"/>
        <v>111-902</v>
      </c>
      <c r="C147" s="2736">
        <v>100106</v>
      </c>
    </row>
    <row r="148" spans="1:3" ht="14.5">
      <c r="A148" s="2042" t="s">
        <v>3061</v>
      </c>
      <c r="B148" s="380" t="str">
        <f t="shared" si="2"/>
        <v>112-907</v>
      </c>
      <c r="C148" s="2736">
        <v>75316</v>
      </c>
    </row>
    <row r="149" spans="1:3" ht="14.5">
      <c r="A149" s="2042" t="s">
        <v>3062</v>
      </c>
      <c r="B149" s="380" t="str">
        <f t="shared" si="2"/>
        <v>112-910</v>
      </c>
      <c r="C149" s="2736">
        <v>50413</v>
      </c>
    </row>
    <row r="150" spans="1:3" ht="14.5">
      <c r="A150" s="2042" t="s">
        <v>5098</v>
      </c>
      <c r="B150" s="380" t="str">
        <f t="shared" si="2"/>
        <v>113-902</v>
      </c>
      <c r="C150" s="2736">
        <v>130958</v>
      </c>
    </row>
    <row r="151" spans="1:3" ht="14.5">
      <c r="A151" s="2042" t="s">
        <v>3063</v>
      </c>
      <c r="B151" s="380" t="str">
        <f t="shared" si="2"/>
        <v>114-901</v>
      </c>
      <c r="C151" s="2736">
        <v>874571</v>
      </c>
    </row>
    <row r="152" spans="1:3" ht="14.5">
      <c r="A152" s="2042" t="s">
        <v>5100</v>
      </c>
      <c r="B152" s="380" t="str">
        <f t="shared" si="2"/>
        <v>114-902</v>
      </c>
      <c r="C152" s="2736">
        <v>246040</v>
      </c>
    </row>
    <row r="153" spans="1:3" ht="14.5">
      <c r="A153" s="2042" t="s">
        <v>3064</v>
      </c>
      <c r="B153" s="380" t="str">
        <f t="shared" si="2"/>
        <v>116-901</v>
      </c>
      <c r="C153" s="2736">
        <v>442141</v>
      </c>
    </row>
    <row r="154" spans="1:3" ht="14.5">
      <c r="A154" s="2042" t="s">
        <v>3069</v>
      </c>
      <c r="B154" s="380" t="str">
        <f t="shared" si="2"/>
        <v>116-909</v>
      </c>
      <c r="C154" s="2736">
        <v>152240</v>
      </c>
    </row>
    <row r="155" spans="1:3" ht="14.5">
      <c r="A155" s="2042" t="s">
        <v>3070</v>
      </c>
      <c r="B155" s="380" t="str">
        <f t="shared" si="2"/>
        <v>116-915</v>
      </c>
      <c r="C155" s="2736">
        <v>165213</v>
      </c>
    </row>
    <row r="156" spans="1:3" ht="14.5">
      <c r="A156" s="2042" t="s">
        <v>3071</v>
      </c>
      <c r="B156" s="380" t="str">
        <f t="shared" si="2"/>
        <v>116-916</v>
      </c>
      <c r="C156" s="2736">
        <v>117321</v>
      </c>
    </row>
    <row r="157" spans="1:3" ht="14.5">
      <c r="A157" s="2042" t="s">
        <v>5110</v>
      </c>
      <c r="B157" s="380" t="str">
        <f t="shared" si="2"/>
        <v>119-902</v>
      </c>
      <c r="C157" s="2736">
        <v>236537</v>
      </c>
    </row>
    <row r="158" spans="1:3" ht="14.5">
      <c r="A158" s="2042" t="s">
        <v>3077</v>
      </c>
      <c r="B158" s="380" t="str">
        <f t="shared" si="2"/>
        <v>123-914</v>
      </c>
      <c r="C158" s="2736">
        <v>445082</v>
      </c>
    </row>
    <row r="159" spans="1:3" ht="14.5">
      <c r="A159" s="2042" t="s">
        <v>3081</v>
      </c>
      <c r="B159" s="380" t="str">
        <f t="shared" si="2"/>
        <v>125-905</v>
      </c>
      <c r="C159" s="2736">
        <v>134071</v>
      </c>
    </row>
    <row r="160" spans="1:3" ht="14.5">
      <c r="A160" s="2042" t="s">
        <v>5827</v>
      </c>
      <c r="B160" s="380" t="str">
        <f t="shared" si="2"/>
        <v>125-906</v>
      </c>
      <c r="C160" s="2736">
        <v>28621</v>
      </c>
    </row>
    <row r="161" spans="1:3" ht="14.5">
      <c r="A161" s="2042" t="s">
        <v>3083</v>
      </c>
      <c r="B161" s="380" t="str">
        <f t="shared" si="2"/>
        <v>126-902</v>
      </c>
      <c r="C161" s="2736">
        <v>2950242</v>
      </c>
    </row>
    <row r="162" spans="1:3" ht="14.5">
      <c r="A162" s="2042" t="s">
        <v>4285</v>
      </c>
      <c r="B162" s="380" t="str">
        <f t="shared" si="2"/>
        <v>126-904</v>
      </c>
      <c r="C162" s="2736">
        <v>310275</v>
      </c>
    </row>
    <row r="163" spans="1:3" ht="14.5">
      <c r="A163" s="2042" t="s">
        <v>3084</v>
      </c>
      <c r="B163" s="380" t="str">
        <f t="shared" si="2"/>
        <v>126-905</v>
      </c>
      <c r="C163" s="2736">
        <v>1277433</v>
      </c>
    </row>
    <row r="164" spans="1:3" ht="14.5">
      <c r="A164" s="2042" t="s">
        <v>3087</v>
      </c>
      <c r="B164" s="380" t="str">
        <f t="shared" si="2"/>
        <v>126-908</v>
      </c>
      <c r="C164" s="2736">
        <v>499524</v>
      </c>
    </row>
    <row r="165" spans="1:3" ht="14.5">
      <c r="A165" s="2042" t="s">
        <v>3088</v>
      </c>
      <c r="B165" s="380" t="str">
        <f t="shared" si="2"/>
        <v>126-911</v>
      </c>
      <c r="C165" s="2736">
        <v>529021</v>
      </c>
    </row>
    <row r="166" spans="1:3" ht="14.5">
      <c r="A166" s="2042" t="s">
        <v>5123</v>
      </c>
      <c r="B166" s="380" t="str">
        <f t="shared" si="2"/>
        <v>127-904</v>
      </c>
      <c r="C166" s="2736">
        <v>184546</v>
      </c>
    </row>
    <row r="167" spans="1:3" ht="14.5">
      <c r="A167" s="2042" t="s">
        <v>4305</v>
      </c>
      <c r="B167" s="380" t="str">
        <f t="shared" si="2"/>
        <v>128-901</v>
      </c>
      <c r="C167" s="2736">
        <v>240296</v>
      </c>
    </row>
    <row r="168" spans="1:3" ht="14.5">
      <c r="A168" s="2042" t="s">
        <v>3093</v>
      </c>
      <c r="B168" s="380" t="str">
        <f t="shared" si="2"/>
        <v>129-901</v>
      </c>
      <c r="C168" s="2736">
        <v>1048159</v>
      </c>
    </row>
    <row r="169" spans="1:3" ht="14.5">
      <c r="A169" s="2042" t="s">
        <v>3094</v>
      </c>
      <c r="B169" s="380" t="str">
        <f t="shared" si="2"/>
        <v>129-902</v>
      </c>
      <c r="C169" s="2736">
        <v>2791205</v>
      </c>
    </row>
    <row r="170" spans="1:3" ht="14.5">
      <c r="A170" s="2042" t="s">
        <v>3095</v>
      </c>
      <c r="B170" s="380" t="str">
        <f t="shared" si="2"/>
        <v>129-903</v>
      </c>
      <c r="C170" s="2736">
        <v>907680</v>
      </c>
    </row>
    <row r="171" spans="1:3" ht="14.5">
      <c r="A171" s="2042" t="s">
        <v>3096</v>
      </c>
      <c r="B171" s="380" t="str">
        <f t="shared" si="2"/>
        <v>129-904</v>
      </c>
      <c r="C171" s="2736">
        <v>345817</v>
      </c>
    </row>
    <row r="172" spans="1:3" ht="14.5">
      <c r="A172" s="2042" t="s">
        <v>5125</v>
      </c>
      <c r="B172" s="380" t="str">
        <f t="shared" si="2"/>
        <v>129-905</v>
      </c>
      <c r="C172" s="2736">
        <v>815622</v>
      </c>
    </row>
    <row r="173" spans="1:3" ht="14.5">
      <c r="A173" s="2042" t="s">
        <v>5126</v>
      </c>
      <c r="B173" s="380" t="str">
        <f t="shared" si="2"/>
        <v>129-906</v>
      </c>
      <c r="C173" s="2736">
        <v>1042732</v>
      </c>
    </row>
    <row r="174" spans="1:3" ht="14.5">
      <c r="A174" s="2042" t="s">
        <v>3097</v>
      </c>
      <c r="B174" s="380" t="str">
        <f t="shared" si="2"/>
        <v>129-910</v>
      </c>
      <c r="C174" s="2736">
        <v>249093</v>
      </c>
    </row>
    <row r="175" spans="1:3" ht="14.5">
      <c r="A175" s="2042" t="s">
        <v>5127</v>
      </c>
      <c r="B175" s="380" t="str">
        <f t="shared" si="2"/>
        <v>130-901</v>
      </c>
      <c r="C175" s="2736">
        <v>2168320</v>
      </c>
    </row>
    <row r="176" spans="1:3" ht="14.5">
      <c r="A176" s="2042" t="s">
        <v>5828</v>
      </c>
      <c r="B176" s="380" t="str">
        <f t="shared" si="2"/>
        <v>132-902</v>
      </c>
      <c r="C176" s="2736">
        <v>38818</v>
      </c>
    </row>
    <row r="177" spans="1:3" ht="14.5">
      <c r="A177" s="2042" t="s">
        <v>5130</v>
      </c>
      <c r="B177" s="380" t="str">
        <f t="shared" si="2"/>
        <v>133-902</v>
      </c>
      <c r="C177" s="2736">
        <v>44104</v>
      </c>
    </row>
    <row r="178" spans="1:3" ht="14.5">
      <c r="A178" s="2042" t="s">
        <v>5132</v>
      </c>
      <c r="B178" s="380" t="str">
        <f t="shared" si="2"/>
        <v>133-904</v>
      </c>
      <c r="C178" s="2736">
        <v>247089</v>
      </c>
    </row>
    <row r="179" spans="1:3" ht="14.5">
      <c r="A179" s="2042" t="s">
        <v>5829</v>
      </c>
      <c r="B179" s="380" t="str">
        <f t="shared" si="2"/>
        <v>133-905</v>
      </c>
      <c r="C179" s="2736">
        <v>3618</v>
      </c>
    </row>
    <row r="180" spans="1:3" ht="14.5">
      <c r="A180" s="2042" t="s">
        <v>5833</v>
      </c>
      <c r="B180" s="380" t="str">
        <f t="shared" si="2"/>
        <v>137-903</v>
      </c>
      <c r="C180" s="2736">
        <v>93175</v>
      </c>
    </row>
    <row r="181" spans="1:3" ht="14.5">
      <c r="A181" s="2042" t="s">
        <v>5134</v>
      </c>
      <c r="B181" s="380" t="str">
        <f t="shared" si="2"/>
        <v>137-904</v>
      </c>
      <c r="C181" s="2736">
        <v>179764</v>
      </c>
    </row>
    <row r="182" spans="1:3" ht="14.5">
      <c r="A182" s="2042" t="s">
        <v>5835</v>
      </c>
      <c r="B182" s="380" t="str">
        <f t="shared" si="2"/>
        <v>138-904</v>
      </c>
      <c r="C182" s="2736">
        <v>29631</v>
      </c>
    </row>
    <row r="183" spans="1:3" ht="14.5">
      <c r="A183" s="2042" t="s">
        <v>3102</v>
      </c>
      <c r="B183" s="380" t="str">
        <f t="shared" si="2"/>
        <v>139-909</v>
      </c>
      <c r="C183" s="2736">
        <v>848901</v>
      </c>
    </row>
    <row r="184" spans="1:3" ht="14.5">
      <c r="A184" s="2042" t="s">
        <v>5138</v>
      </c>
      <c r="B184" s="380" t="str">
        <f t="shared" si="2"/>
        <v>141-902</v>
      </c>
      <c r="C184" s="2736">
        <v>72588</v>
      </c>
    </row>
    <row r="185" spans="1:3" ht="14.5">
      <c r="A185" s="2042" t="s">
        <v>5840</v>
      </c>
      <c r="B185" s="380" t="str">
        <f t="shared" si="2"/>
        <v>143-903</v>
      </c>
      <c r="C185" s="2736">
        <v>158911</v>
      </c>
    </row>
    <row r="186" spans="1:3" ht="14.5">
      <c r="A186" s="2042" t="s">
        <v>5841</v>
      </c>
      <c r="B186" s="380" t="str">
        <f t="shared" si="2"/>
        <v>143-904</v>
      </c>
      <c r="C186" s="2736">
        <v>25237</v>
      </c>
    </row>
    <row r="187" spans="1:3" ht="14.5">
      <c r="A187" s="2042" t="s">
        <v>5142</v>
      </c>
      <c r="B187" s="380" t="str">
        <f t="shared" si="2"/>
        <v>144-902</v>
      </c>
      <c r="C187" s="2736">
        <v>244129</v>
      </c>
    </row>
    <row r="188" spans="1:3" ht="14.5">
      <c r="A188" s="2042" t="s">
        <v>5145</v>
      </c>
      <c r="B188" s="380" t="str">
        <f t="shared" si="2"/>
        <v>145-906</v>
      </c>
      <c r="C188" s="2736">
        <v>134795</v>
      </c>
    </row>
    <row r="189" spans="1:3" ht="14.5">
      <c r="A189" s="2042" t="s">
        <v>5146</v>
      </c>
      <c r="B189" s="380" t="str">
        <f t="shared" si="2"/>
        <v>145-907</v>
      </c>
      <c r="C189" s="2736">
        <v>40139</v>
      </c>
    </row>
    <row r="190" spans="1:3" ht="14.5">
      <c r="A190" s="2042" t="s">
        <v>3106</v>
      </c>
      <c r="B190" s="380" t="str">
        <f t="shared" si="2"/>
        <v>146-901</v>
      </c>
      <c r="C190" s="2736">
        <v>1685374</v>
      </c>
    </row>
    <row r="191" spans="1:3" ht="14.5">
      <c r="A191" s="2042" t="s">
        <v>5149</v>
      </c>
      <c r="B191" s="380" t="str">
        <f t="shared" si="2"/>
        <v>146-906</v>
      </c>
      <c r="C191" s="2736">
        <v>492564</v>
      </c>
    </row>
    <row r="192" spans="1:3" ht="14.5">
      <c r="A192" s="2042" t="s">
        <v>5152</v>
      </c>
      <c r="B192" s="380" t="str">
        <f t="shared" si="2"/>
        <v>147-903</v>
      </c>
      <c r="C192" s="2736">
        <v>406543</v>
      </c>
    </row>
    <row r="193" spans="1:3" ht="14.5">
      <c r="A193" s="2042" t="s">
        <v>5160</v>
      </c>
      <c r="B193" s="380" t="str">
        <f t="shared" si="2"/>
        <v>152-903</v>
      </c>
      <c r="C193" s="2736">
        <v>287231</v>
      </c>
    </row>
    <row r="194" spans="1:3" ht="14.5">
      <c r="A194" s="2042" t="s">
        <v>3111</v>
      </c>
      <c r="B194" s="380" t="str">
        <f t="shared" si="2"/>
        <v>152-906</v>
      </c>
      <c r="C194" s="2736">
        <v>1598397</v>
      </c>
    </row>
    <row r="195" spans="1:3" ht="14.5">
      <c r="A195" s="2042" t="s">
        <v>3112</v>
      </c>
      <c r="B195" s="380" t="str">
        <f t="shared" ref="B195:B258" si="3">CONCATENATE(LEFT(RIGHT(CONCATENATE("000",A195),6),3),"-",(RIGHT(RIGHT(CONCATENATE("000",A195),6),3)))</f>
        <v>152-907</v>
      </c>
      <c r="C195" s="2736">
        <v>2344564</v>
      </c>
    </row>
    <row r="196" spans="1:3" ht="14.5">
      <c r="A196" s="2042" t="s">
        <v>5162</v>
      </c>
      <c r="B196" s="380" t="str">
        <f t="shared" si="3"/>
        <v>153-903</v>
      </c>
      <c r="C196" s="2736">
        <v>67902</v>
      </c>
    </row>
    <row r="197" spans="1:3" ht="14.5">
      <c r="A197" s="2042" t="s">
        <v>5845</v>
      </c>
      <c r="B197" s="380" t="str">
        <f t="shared" si="3"/>
        <v>153-904</v>
      </c>
      <c r="C197" s="2736">
        <v>136934</v>
      </c>
    </row>
    <row r="198" spans="1:3" ht="14.5">
      <c r="A198" s="2042" t="s">
        <v>5163</v>
      </c>
      <c r="B198" s="380" t="str">
        <f t="shared" si="3"/>
        <v>153-905</v>
      </c>
      <c r="C198" s="2736">
        <v>118384</v>
      </c>
    </row>
    <row r="199" spans="1:3" ht="14.5">
      <c r="A199" s="2042" t="s">
        <v>3115</v>
      </c>
      <c r="B199" s="380" t="str">
        <f t="shared" si="3"/>
        <v>154-901</v>
      </c>
      <c r="C199" s="2736">
        <v>525946</v>
      </c>
    </row>
    <row r="200" spans="1:3" ht="14.5">
      <c r="A200" s="2042" t="s">
        <v>5164</v>
      </c>
      <c r="B200" s="380" t="str">
        <f t="shared" si="3"/>
        <v>155-901</v>
      </c>
      <c r="C200" s="2736">
        <v>269984</v>
      </c>
    </row>
    <row r="201" spans="1:3" ht="14.5">
      <c r="A201" s="2042" t="s">
        <v>5165</v>
      </c>
      <c r="B201" s="380" t="str">
        <f t="shared" si="3"/>
        <v>156-902</v>
      </c>
      <c r="C201" s="2736">
        <v>251444</v>
      </c>
    </row>
    <row r="202" spans="1:3" ht="14.5">
      <c r="A202" s="2042" t="s">
        <v>5169</v>
      </c>
      <c r="B202" s="380" t="str">
        <f t="shared" si="3"/>
        <v>158-902</v>
      </c>
      <c r="C202" s="2736">
        <v>221368</v>
      </c>
    </row>
    <row r="203" spans="1:3" ht="14.5">
      <c r="A203" s="2042" t="s">
        <v>3120</v>
      </c>
      <c r="B203" s="380" t="str">
        <f t="shared" si="3"/>
        <v>161-901</v>
      </c>
      <c r="C203" s="2736">
        <v>137690</v>
      </c>
    </row>
    <row r="204" spans="1:3" ht="14.5">
      <c r="A204" s="2042" t="s">
        <v>5172</v>
      </c>
      <c r="B204" s="380" t="str">
        <f t="shared" si="3"/>
        <v>161-903</v>
      </c>
      <c r="C204" s="2736">
        <v>1938698</v>
      </c>
    </row>
    <row r="205" spans="1:3" ht="14.5">
      <c r="A205" s="2042" t="s">
        <v>3125</v>
      </c>
      <c r="B205" s="380" t="str">
        <f t="shared" si="3"/>
        <v>161-910</v>
      </c>
      <c r="C205" s="2736">
        <v>152034</v>
      </c>
    </row>
    <row r="206" spans="1:3" ht="14.5">
      <c r="A206" s="2042" t="s">
        <v>3126</v>
      </c>
      <c r="B206" s="380" t="str">
        <f t="shared" si="3"/>
        <v>161-912</v>
      </c>
      <c r="C206" s="2736">
        <v>146796</v>
      </c>
    </row>
    <row r="207" spans="1:3" ht="14.5">
      <c r="A207" s="2042" t="s">
        <v>5849</v>
      </c>
      <c r="B207" s="380" t="str">
        <f t="shared" si="3"/>
        <v>161-918</v>
      </c>
      <c r="C207" s="2736">
        <v>168672</v>
      </c>
    </row>
    <row r="208" spans="1:3" ht="14.5">
      <c r="A208" s="2042" t="s">
        <v>3130</v>
      </c>
      <c r="B208" s="380" t="str">
        <f t="shared" si="3"/>
        <v>161-920</v>
      </c>
      <c r="C208" s="2736">
        <v>674727</v>
      </c>
    </row>
    <row r="209" spans="1:3" ht="14.5">
      <c r="A209" s="2042" t="s">
        <v>3132</v>
      </c>
      <c r="B209" s="380" t="str">
        <f t="shared" si="3"/>
        <v>161-922</v>
      </c>
      <c r="C209" s="2736">
        <v>563492</v>
      </c>
    </row>
    <row r="210" spans="1:3" ht="14.5">
      <c r="A210" s="2042" t="s">
        <v>5174</v>
      </c>
      <c r="B210" s="380" t="str">
        <f t="shared" si="3"/>
        <v>162-904</v>
      </c>
      <c r="C210" s="2736">
        <v>63699</v>
      </c>
    </row>
    <row r="211" spans="1:3" ht="14.5">
      <c r="A211" s="2042" t="s">
        <v>3138</v>
      </c>
      <c r="B211" s="380" t="str">
        <f t="shared" si="3"/>
        <v>163-908</v>
      </c>
      <c r="C211" s="2736">
        <v>1339533</v>
      </c>
    </row>
    <row r="212" spans="1:3" ht="14.5">
      <c r="A212" s="2042" t="s">
        <v>5851</v>
      </c>
      <c r="B212" s="380" t="str">
        <f t="shared" si="3"/>
        <v>164-901</v>
      </c>
      <c r="C212" s="2736">
        <v>65462</v>
      </c>
    </row>
    <row r="213" spans="1:3" ht="14.5">
      <c r="A213" s="2042" t="s">
        <v>3139</v>
      </c>
      <c r="B213" s="380" t="str">
        <f t="shared" si="3"/>
        <v>165-901</v>
      </c>
      <c r="C213" s="2736">
        <v>5877118</v>
      </c>
    </row>
    <row r="214" spans="1:3" ht="14.5">
      <c r="A214" s="2042" t="s">
        <v>5175</v>
      </c>
      <c r="B214" s="380" t="str">
        <f t="shared" si="3"/>
        <v>165-902</v>
      </c>
      <c r="C214" s="2736">
        <v>673136</v>
      </c>
    </row>
    <row r="215" spans="1:3" ht="14.5">
      <c r="A215" s="2042" t="s">
        <v>5176</v>
      </c>
      <c r="B215" s="380" t="str">
        <f t="shared" si="3"/>
        <v>166-903</v>
      </c>
      <c r="C215" s="2736">
        <v>95631</v>
      </c>
    </row>
    <row r="216" spans="1:3" ht="14.5">
      <c r="A216" s="2042" t="s">
        <v>5181</v>
      </c>
      <c r="B216" s="380" t="str">
        <f t="shared" si="3"/>
        <v>169-906</v>
      </c>
      <c r="C216" s="2736">
        <v>29410</v>
      </c>
    </row>
    <row r="217" spans="1:3" ht="14.5">
      <c r="A217" s="2042" t="s">
        <v>5856</v>
      </c>
      <c r="B217" s="380" t="str">
        <f t="shared" si="3"/>
        <v>169-908</v>
      </c>
      <c r="C217" s="2736">
        <v>37583</v>
      </c>
    </row>
    <row r="218" spans="1:3" ht="14.5">
      <c r="A218" s="2042" t="s">
        <v>5857</v>
      </c>
      <c r="B218" s="380" t="str">
        <f t="shared" si="3"/>
        <v>169-909</v>
      </c>
      <c r="C218" s="2736">
        <v>32815</v>
      </c>
    </row>
    <row r="219" spans="1:3" ht="14.5">
      <c r="A219" s="2042" t="s">
        <v>5182</v>
      </c>
      <c r="B219" s="380" t="str">
        <f t="shared" si="3"/>
        <v>169-910</v>
      </c>
      <c r="C219" s="2736">
        <v>35946</v>
      </c>
    </row>
    <row r="220" spans="1:3" ht="14.5">
      <c r="A220" s="2042" t="s">
        <v>5183</v>
      </c>
      <c r="B220" s="380" t="str">
        <f t="shared" si="3"/>
        <v>169-911</v>
      </c>
      <c r="C220" s="2736">
        <v>70478</v>
      </c>
    </row>
    <row r="221" spans="1:3" ht="14.5">
      <c r="A221" s="2042" t="s">
        <v>3145</v>
      </c>
      <c r="B221" s="380" t="str">
        <f t="shared" si="3"/>
        <v>170-902</v>
      </c>
      <c r="C221" s="2736">
        <v>14809516</v>
      </c>
    </row>
    <row r="222" spans="1:3" ht="14.5">
      <c r="A222" s="2042" t="s">
        <v>5184</v>
      </c>
      <c r="B222" s="380" t="str">
        <f t="shared" si="3"/>
        <v>170-903</v>
      </c>
      <c r="C222" s="2736">
        <v>2063786</v>
      </c>
    </row>
    <row r="223" spans="1:3" ht="14.5">
      <c r="A223" s="2042" t="s">
        <v>3147</v>
      </c>
      <c r="B223" s="380" t="str">
        <f t="shared" si="3"/>
        <v>170-906</v>
      </c>
      <c r="C223" s="2736">
        <v>3007805</v>
      </c>
    </row>
    <row r="224" spans="1:3" ht="14.5">
      <c r="A224" s="2042" t="s">
        <v>3148</v>
      </c>
      <c r="B224" s="380" t="str">
        <f t="shared" si="3"/>
        <v>170-907</v>
      </c>
      <c r="C224" s="2736">
        <v>916451</v>
      </c>
    </row>
    <row r="225" spans="1:3" ht="14.5">
      <c r="A225" s="2042" t="s">
        <v>3149</v>
      </c>
      <c r="B225" s="380" t="str">
        <f t="shared" si="3"/>
        <v>170-908</v>
      </c>
      <c r="C225" s="2736">
        <v>3616749</v>
      </c>
    </row>
    <row r="226" spans="1:3" ht="14.5">
      <c r="A226" s="2042" t="s">
        <v>4500</v>
      </c>
      <c r="B226" s="380" t="str">
        <f t="shared" si="3"/>
        <v>174-909</v>
      </c>
      <c r="C226" s="2736">
        <v>83616</v>
      </c>
    </row>
    <row r="227" spans="1:3" ht="14.5">
      <c r="A227" s="2042" t="s">
        <v>3154</v>
      </c>
      <c r="B227" s="380" t="str">
        <f t="shared" si="3"/>
        <v>175-903</v>
      </c>
      <c r="C227" s="2736">
        <v>1315316</v>
      </c>
    </row>
    <row r="228" spans="1:3" ht="14.5">
      <c r="A228" s="2042" t="s">
        <v>3155</v>
      </c>
      <c r="B228" s="380" t="str">
        <f t="shared" si="3"/>
        <v>175-904</v>
      </c>
      <c r="C228" s="2736">
        <v>119764</v>
      </c>
    </row>
    <row r="229" spans="1:3" ht="14.5">
      <c r="A229" s="2042" t="s">
        <v>3160</v>
      </c>
      <c r="B229" s="380" t="str">
        <f t="shared" si="3"/>
        <v>177-901</v>
      </c>
      <c r="C229" s="2736">
        <v>130939</v>
      </c>
    </row>
    <row r="230" spans="1:3" ht="14.5">
      <c r="A230" s="2042" t="s">
        <v>5198</v>
      </c>
      <c r="B230" s="380" t="str">
        <f t="shared" si="3"/>
        <v>177-905</v>
      </c>
      <c r="C230" s="2736">
        <v>52710</v>
      </c>
    </row>
    <row r="231" spans="1:3" ht="14.5">
      <c r="A231" s="2042" t="s">
        <v>5200</v>
      </c>
      <c r="B231" s="380" t="str">
        <f t="shared" si="3"/>
        <v>178-902</v>
      </c>
      <c r="C231" s="2736">
        <v>359531</v>
      </c>
    </row>
    <row r="232" spans="1:3" ht="14.5">
      <c r="A232" s="2042" t="s">
        <v>5203</v>
      </c>
      <c r="B232" s="380" t="str">
        <f t="shared" si="3"/>
        <v>178-906</v>
      </c>
      <c r="C232" s="2736">
        <v>278235</v>
      </c>
    </row>
    <row r="233" spans="1:3" ht="14.5">
      <c r="A233" s="2042" t="s">
        <v>7356</v>
      </c>
      <c r="B233" s="380" t="str">
        <f t="shared" si="3"/>
        <v>180-901</v>
      </c>
      <c r="C233" s="2736">
        <v>65705</v>
      </c>
    </row>
    <row r="234" spans="1:3" ht="14.5">
      <c r="A234" s="2042" t="s">
        <v>5208</v>
      </c>
      <c r="B234" s="380" t="str">
        <f t="shared" si="3"/>
        <v>180-904</v>
      </c>
      <c r="C234" s="2736">
        <v>42876</v>
      </c>
    </row>
    <row r="235" spans="1:3" ht="14.5">
      <c r="A235" s="2042" t="s">
        <v>3166</v>
      </c>
      <c r="B235" s="380" t="str">
        <f t="shared" si="3"/>
        <v>181-901</v>
      </c>
      <c r="C235" s="2736">
        <v>698311</v>
      </c>
    </row>
    <row r="236" spans="1:3" ht="14.5">
      <c r="A236" s="2042" t="s">
        <v>5209</v>
      </c>
      <c r="B236" s="380" t="str">
        <f t="shared" si="3"/>
        <v>181-905</v>
      </c>
      <c r="C236" s="2736">
        <v>410721</v>
      </c>
    </row>
    <row r="237" spans="1:3" ht="14.5">
      <c r="A237" s="2042" t="s">
        <v>5216</v>
      </c>
      <c r="B237" s="380" t="str">
        <f t="shared" si="3"/>
        <v>183-901</v>
      </c>
      <c r="C237" s="2736">
        <v>151382</v>
      </c>
    </row>
    <row r="238" spans="1:3" ht="14.5">
      <c r="A238" s="2042" t="s">
        <v>3173</v>
      </c>
      <c r="B238" s="380" t="str">
        <f t="shared" si="3"/>
        <v>184-904</v>
      </c>
      <c r="C238" s="2736">
        <v>235009</v>
      </c>
    </row>
    <row r="239" spans="1:3" ht="14.5">
      <c r="A239" s="2042" t="s">
        <v>5218</v>
      </c>
      <c r="B239" s="380" t="str">
        <f t="shared" si="3"/>
        <v>184-907</v>
      </c>
      <c r="C239" s="2736">
        <v>1513057</v>
      </c>
    </row>
    <row r="240" spans="1:3" ht="14.5">
      <c r="A240" s="2042" t="s">
        <v>3174</v>
      </c>
      <c r="B240" s="380" t="str">
        <f t="shared" si="3"/>
        <v>184-908</v>
      </c>
      <c r="C240" s="2736">
        <v>304967</v>
      </c>
    </row>
    <row r="241" spans="1:3" ht="14.5">
      <c r="A241" s="2042" t="s">
        <v>3175</v>
      </c>
      <c r="B241" s="380" t="str">
        <f t="shared" si="3"/>
        <v>184-909</v>
      </c>
      <c r="C241" s="2736">
        <v>372836</v>
      </c>
    </row>
    <row r="242" spans="1:3" ht="14.5">
      <c r="A242" s="2042" t="s">
        <v>5221</v>
      </c>
      <c r="B242" s="380" t="str">
        <f t="shared" si="3"/>
        <v>186-901</v>
      </c>
      <c r="C242" s="2736">
        <v>48317</v>
      </c>
    </row>
    <row r="243" spans="1:3" ht="14.5">
      <c r="A243" s="2042" t="s">
        <v>5865</v>
      </c>
      <c r="B243" s="380" t="str">
        <f t="shared" si="3"/>
        <v>187-903</v>
      </c>
      <c r="C243" s="2736">
        <v>55606</v>
      </c>
    </row>
    <row r="244" spans="1:3" ht="14.5">
      <c r="A244" s="2042" t="s">
        <v>5227</v>
      </c>
      <c r="B244" s="380" t="str">
        <f t="shared" si="3"/>
        <v>187-910</v>
      </c>
      <c r="C244" s="2736">
        <v>245366</v>
      </c>
    </row>
    <row r="245" spans="1:3" ht="14.5">
      <c r="A245" s="2042" t="s">
        <v>3178</v>
      </c>
      <c r="B245" s="380" t="str">
        <f t="shared" si="3"/>
        <v>188-902</v>
      </c>
      <c r="C245" s="2736">
        <v>283207</v>
      </c>
    </row>
    <row r="246" spans="1:3" ht="14.5">
      <c r="A246" s="2042" t="s">
        <v>5231</v>
      </c>
      <c r="B246" s="380" t="str">
        <f t="shared" si="3"/>
        <v>191-901</v>
      </c>
      <c r="C246" s="2736">
        <v>2395808</v>
      </c>
    </row>
    <row r="247" spans="1:3" ht="14.5">
      <c r="A247" s="2042" t="s">
        <v>3181</v>
      </c>
      <c r="B247" s="380" t="str">
        <f t="shared" si="3"/>
        <v>194-903</v>
      </c>
      <c r="C247" s="2736">
        <v>160785</v>
      </c>
    </row>
    <row r="248" spans="1:3" ht="14.5">
      <c r="A248" s="2042" t="s">
        <v>5234</v>
      </c>
      <c r="B248" s="380" t="str">
        <f t="shared" si="3"/>
        <v>195-901</v>
      </c>
      <c r="C248" s="2736">
        <v>619417</v>
      </c>
    </row>
    <row r="249" spans="1:3" ht="14.5">
      <c r="A249" s="2042" t="s">
        <v>3183</v>
      </c>
      <c r="B249" s="380" t="str">
        <f t="shared" si="3"/>
        <v>195-902</v>
      </c>
      <c r="C249" s="2736">
        <v>35686</v>
      </c>
    </row>
    <row r="250" spans="1:3" ht="14.5">
      <c r="A250" s="2042" t="s">
        <v>5238</v>
      </c>
      <c r="B250" s="380" t="str">
        <f t="shared" si="3"/>
        <v>197-902</v>
      </c>
      <c r="C250" s="2736">
        <v>42853</v>
      </c>
    </row>
    <row r="251" spans="1:3" ht="14.5">
      <c r="A251" s="2042" t="s">
        <v>5239</v>
      </c>
      <c r="B251" s="380" t="str">
        <f t="shared" si="3"/>
        <v>198-901</v>
      </c>
      <c r="C251" s="2736">
        <v>108537</v>
      </c>
    </row>
    <row r="252" spans="1:3" ht="14.5">
      <c r="A252" s="2042" t="s">
        <v>5240</v>
      </c>
      <c r="B252" s="380" t="str">
        <f t="shared" si="3"/>
        <v>198-903</v>
      </c>
      <c r="C252" s="2736">
        <v>273044</v>
      </c>
    </row>
    <row r="253" spans="1:3" ht="14.5">
      <c r="A253" s="2042" t="s">
        <v>5242</v>
      </c>
      <c r="B253" s="380" t="str">
        <f t="shared" si="3"/>
        <v>199-901</v>
      </c>
      <c r="C253" s="2736">
        <v>3922847</v>
      </c>
    </row>
    <row r="254" spans="1:3" ht="14.5">
      <c r="A254" s="2042" t="s">
        <v>3184</v>
      </c>
      <c r="B254" s="380" t="str">
        <f t="shared" si="3"/>
        <v>199-902</v>
      </c>
      <c r="C254" s="2736">
        <v>1516386</v>
      </c>
    </row>
    <row r="255" spans="1:3" ht="14.5">
      <c r="A255" s="2042" t="s">
        <v>3186</v>
      </c>
      <c r="B255" s="380" t="str">
        <f t="shared" si="3"/>
        <v>200-906</v>
      </c>
      <c r="C255" s="2736">
        <v>28842</v>
      </c>
    </row>
    <row r="256" spans="1:3" ht="14.5">
      <c r="A256" s="2042" t="s">
        <v>5246</v>
      </c>
      <c r="B256" s="380" t="str">
        <f t="shared" si="3"/>
        <v>204-901</v>
      </c>
      <c r="C256" s="2736">
        <v>339692</v>
      </c>
    </row>
    <row r="257" spans="1:3" ht="14.5">
      <c r="A257" s="2042" t="s">
        <v>5875</v>
      </c>
      <c r="B257" s="380" t="str">
        <f t="shared" si="3"/>
        <v>206-902</v>
      </c>
      <c r="C257" s="2736">
        <v>27026</v>
      </c>
    </row>
    <row r="258" spans="1:3" ht="14.5">
      <c r="A258" s="2042" t="s">
        <v>5880</v>
      </c>
      <c r="B258" s="380" t="str">
        <f t="shared" si="3"/>
        <v>210-905</v>
      </c>
      <c r="C258" s="2736">
        <v>152742</v>
      </c>
    </row>
    <row r="259" spans="1:3" ht="14.5">
      <c r="A259" s="2042" t="s">
        <v>5258</v>
      </c>
      <c r="B259" s="380" t="str">
        <f t="shared" ref="B259:B318" si="4">CONCATENATE(LEFT(RIGHT(CONCATENATE("000",A259),6),3),"-",(RIGHT(RIGHT(CONCATENATE("000",A259),6),3)))</f>
        <v>212-910</v>
      </c>
      <c r="C259" s="2736">
        <v>240395</v>
      </c>
    </row>
    <row r="260" spans="1:3" ht="14.5">
      <c r="A260" s="2042" t="s">
        <v>5259</v>
      </c>
      <c r="B260" s="380" t="str">
        <f t="shared" si="4"/>
        <v>213-901</v>
      </c>
      <c r="C260" s="2736">
        <v>430857</v>
      </c>
    </row>
    <row r="261" spans="1:3" ht="14.5">
      <c r="A261" s="2042" t="s">
        <v>5262</v>
      </c>
      <c r="B261" s="380" t="str">
        <f t="shared" si="4"/>
        <v>216-901</v>
      </c>
      <c r="C261" s="2736">
        <v>77478</v>
      </c>
    </row>
    <row r="262" spans="1:3" ht="14.5">
      <c r="A262" s="2042" t="s">
        <v>3208</v>
      </c>
      <c r="B262" s="380" t="str">
        <f t="shared" si="4"/>
        <v>220-904</v>
      </c>
      <c r="C262" s="2736">
        <v>1299438</v>
      </c>
    </row>
    <row r="263" spans="1:3" ht="14.5">
      <c r="A263" s="2042" t="s">
        <v>3212</v>
      </c>
      <c r="B263" s="380" t="str">
        <f t="shared" si="4"/>
        <v>220-912</v>
      </c>
      <c r="C263" s="2736">
        <v>3534001</v>
      </c>
    </row>
    <row r="264" spans="1:3" ht="14.5">
      <c r="A264" s="2042" t="s">
        <v>3214</v>
      </c>
      <c r="B264" s="380" t="str">
        <f t="shared" si="4"/>
        <v>220-915</v>
      </c>
      <c r="C264" s="2736">
        <v>1540357</v>
      </c>
    </row>
    <row r="265" spans="1:3" ht="14.5">
      <c r="A265" s="2042" t="s">
        <v>5269</v>
      </c>
      <c r="B265" s="380" t="str">
        <f t="shared" si="4"/>
        <v>221-904</v>
      </c>
      <c r="C265" s="2736">
        <v>240892</v>
      </c>
    </row>
    <row r="266" spans="1:3" ht="14.5">
      <c r="A266" s="2042" t="s">
        <v>5271</v>
      </c>
      <c r="B266" s="380" t="str">
        <f t="shared" si="4"/>
        <v>221-911</v>
      </c>
      <c r="C266" s="2736">
        <v>317640</v>
      </c>
    </row>
    <row r="267" spans="1:3" ht="14.5">
      <c r="A267" s="2042" t="s">
        <v>5272</v>
      </c>
      <c r="B267" s="380" t="str">
        <f t="shared" si="4"/>
        <v>221-912</v>
      </c>
      <c r="C267" s="2736">
        <v>1099192</v>
      </c>
    </row>
    <row r="268" spans="1:3" ht="14.5">
      <c r="A268" s="2042" t="s">
        <v>5275</v>
      </c>
      <c r="B268" s="380" t="str">
        <f t="shared" si="4"/>
        <v>223-904</v>
      </c>
      <c r="C268" s="2736">
        <v>69340</v>
      </c>
    </row>
    <row r="269" spans="1:3" ht="14.5">
      <c r="A269" s="2042" t="s">
        <v>5887</v>
      </c>
      <c r="B269" s="380" t="str">
        <f t="shared" si="4"/>
        <v>225-907</v>
      </c>
      <c r="C269" s="2736">
        <v>149798</v>
      </c>
    </row>
    <row r="270" spans="1:3" ht="14.5">
      <c r="A270" s="2042" t="s">
        <v>5277</v>
      </c>
      <c r="B270" s="380" t="str">
        <f t="shared" si="4"/>
        <v>226-901</v>
      </c>
      <c r="C270" s="2736">
        <v>123578</v>
      </c>
    </row>
    <row r="271" spans="1:3" ht="14.5">
      <c r="A271" s="2042" t="s">
        <v>3222</v>
      </c>
      <c r="B271" s="380" t="str">
        <f t="shared" si="4"/>
        <v>226-906</v>
      </c>
      <c r="C271" s="2736">
        <v>292970</v>
      </c>
    </row>
    <row r="272" spans="1:3" ht="14.5">
      <c r="A272" s="2042" t="s">
        <v>3223</v>
      </c>
      <c r="B272" s="380" t="str">
        <f t="shared" si="4"/>
        <v>226-907</v>
      </c>
      <c r="C272" s="2736">
        <v>258218</v>
      </c>
    </row>
    <row r="273" spans="1:3" ht="14.5">
      <c r="A273" s="2042" t="s">
        <v>3224</v>
      </c>
      <c r="B273" s="380" t="str">
        <f t="shared" si="4"/>
        <v>226-908</v>
      </c>
      <c r="C273" s="2736">
        <v>56690</v>
      </c>
    </row>
    <row r="274" spans="1:3" ht="14.5">
      <c r="A274" s="2042" t="s">
        <v>3225</v>
      </c>
      <c r="B274" s="380" t="str">
        <f t="shared" si="4"/>
        <v>227-904</v>
      </c>
      <c r="C274" s="2736">
        <v>5953842</v>
      </c>
    </row>
    <row r="275" spans="1:3" ht="14.5">
      <c r="A275" s="2042" t="s">
        <v>5280</v>
      </c>
      <c r="B275" s="380" t="str">
        <f t="shared" si="4"/>
        <v>227-907</v>
      </c>
      <c r="C275" s="2736">
        <v>2096636</v>
      </c>
    </row>
    <row r="276" spans="1:3" ht="14.5">
      <c r="A276" s="2042" t="s">
        <v>5282</v>
      </c>
      <c r="B276" s="380" t="str">
        <f t="shared" si="4"/>
        <v>227-912</v>
      </c>
      <c r="C276" s="2736">
        <v>362569</v>
      </c>
    </row>
    <row r="277" spans="1:3" ht="14.5">
      <c r="A277" s="2042" t="s">
        <v>5283</v>
      </c>
      <c r="B277" s="380" t="str">
        <f t="shared" si="4"/>
        <v>227-913</v>
      </c>
      <c r="C277" s="2736">
        <v>2563175</v>
      </c>
    </row>
    <row r="278" spans="1:3" ht="14.5">
      <c r="A278" s="2042" t="s">
        <v>5889</v>
      </c>
      <c r="B278" s="380" t="str">
        <f t="shared" si="4"/>
        <v>228-904</v>
      </c>
      <c r="C278" s="2736">
        <v>34706</v>
      </c>
    </row>
    <row r="279" spans="1:3" ht="14.5">
      <c r="A279" s="2042" t="s">
        <v>5890</v>
      </c>
      <c r="B279" s="380" t="str">
        <f t="shared" si="4"/>
        <v>228-905</v>
      </c>
      <c r="C279" s="2736">
        <v>42053</v>
      </c>
    </row>
    <row r="280" spans="1:3" ht="14.5">
      <c r="A280" s="2042" t="s">
        <v>5287</v>
      </c>
      <c r="B280" s="380" t="str">
        <f t="shared" si="4"/>
        <v>230-902</v>
      </c>
      <c r="C280" s="2736">
        <v>567916</v>
      </c>
    </row>
    <row r="281" spans="1:3" ht="14.5">
      <c r="A281" s="2042" t="s">
        <v>3230</v>
      </c>
      <c r="B281" s="380" t="str">
        <f t="shared" si="4"/>
        <v>230-903</v>
      </c>
      <c r="C281" s="2736">
        <v>215042</v>
      </c>
    </row>
    <row r="282" spans="1:3" ht="14.5">
      <c r="A282" s="2042" t="s">
        <v>3232</v>
      </c>
      <c r="B282" s="380" t="str">
        <f t="shared" si="4"/>
        <v>230-906</v>
      </c>
      <c r="C282" s="2736">
        <v>270436</v>
      </c>
    </row>
    <row r="283" spans="1:3" ht="14.5">
      <c r="A283" s="2042" t="s">
        <v>5892</v>
      </c>
      <c r="B283" s="380" t="str">
        <f t="shared" si="4"/>
        <v>231-901</v>
      </c>
      <c r="C283" s="2736">
        <v>119806</v>
      </c>
    </row>
    <row r="284" spans="1:3" ht="14.5">
      <c r="A284" s="2042" t="s">
        <v>5289</v>
      </c>
      <c r="B284" s="380" t="str">
        <f t="shared" si="4"/>
        <v>231-902</v>
      </c>
      <c r="C284" s="2736">
        <v>68565</v>
      </c>
    </row>
    <row r="285" spans="1:3" ht="14.5">
      <c r="A285" s="2042" t="s">
        <v>3233</v>
      </c>
      <c r="B285" s="380" t="str">
        <f t="shared" si="4"/>
        <v>232-901</v>
      </c>
      <c r="C285" s="2736">
        <v>95888</v>
      </c>
    </row>
    <row r="286" spans="1:3" ht="14.5">
      <c r="A286" s="2042" t="s">
        <v>5893</v>
      </c>
      <c r="B286" s="380" t="str">
        <f t="shared" si="4"/>
        <v>232-904</v>
      </c>
      <c r="C286" s="2736">
        <v>48354</v>
      </c>
    </row>
    <row r="287" spans="1:3" ht="14.5">
      <c r="A287" s="2042" t="s">
        <v>5291</v>
      </c>
      <c r="B287" s="380" t="str">
        <f t="shared" si="4"/>
        <v>234-903</v>
      </c>
      <c r="C287" s="2736">
        <v>225211</v>
      </c>
    </row>
    <row r="288" spans="1:3" ht="14.5">
      <c r="A288" s="2042" t="s">
        <v>3238</v>
      </c>
      <c r="B288" s="380" t="str">
        <f t="shared" si="4"/>
        <v>234-904</v>
      </c>
      <c r="C288" s="2736">
        <v>238867</v>
      </c>
    </row>
    <row r="289" spans="1:3" ht="14.5">
      <c r="A289" s="2042" t="s">
        <v>5292</v>
      </c>
      <c r="B289" s="380" t="str">
        <f t="shared" si="4"/>
        <v>234-907</v>
      </c>
      <c r="C289" s="2736">
        <v>564820</v>
      </c>
    </row>
    <row r="290" spans="1:3" ht="14.5">
      <c r="A290" s="2042" t="s">
        <v>3241</v>
      </c>
      <c r="B290" s="380" t="str">
        <f t="shared" si="4"/>
        <v>234-909</v>
      </c>
      <c r="C290" s="2736">
        <v>93719</v>
      </c>
    </row>
    <row r="291" spans="1:3" ht="14.5">
      <c r="A291" s="2042" t="s">
        <v>5293</v>
      </c>
      <c r="B291" s="380" t="str">
        <f t="shared" si="4"/>
        <v>235-904</v>
      </c>
      <c r="C291" s="2736">
        <v>32084</v>
      </c>
    </row>
    <row r="292" spans="1:3" ht="14.5">
      <c r="A292" s="2042" t="s">
        <v>3245</v>
      </c>
      <c r="B292" s="380" t="str">
        <f t="shared" si="4"/>
        <v>236-902</v>
      </c>
      <c r="C292" s="2736">
        <v>2021547</v>
      </c>
    </row>
    <row r="293" spans="1:3" ht="14.5">
      <c r="A293" s="2042" t="s">
        <v>3247</v>
      </c>
      <c r="B293" s="380" t="str">
        <f t="shared" si="4"/>
        <v>237-904</v>
      </c>
      <c r="C293" s="2736">
        <v>1750052</v>
      </c>
    </row>
    <row r="294" spans="1:3" ht="14.5">
      <c r="A294" s="2042" t="s">
        <v>5294</v>
      </c>
      <c r="B294" s="380" t="str">
        <f t="shared" si="4"/>
        <v>238-902</v>
      </c>
      <c r="C294" s="2736">
        <v>537682</v>
      </c>
    </row>
    <row r="295" spans="1:3" ht="14.5">
      <c r="A295" s="2042" t="s">
        <v>5894</v>
      </c>
      <c r="B295" s="380" t="str">
        <f t="shared" si="4"/>
        <v>238-904</v>
      </c>
      <c r="C295" s="2736">
        <v>38244</v>
      </c>
    </row>
    <row r="296" spans="1:3" ht="14.5">
      <c r="A296" s="2042" t="s">
        <v>5301</v>
      </c>
      <c r="B296" s="380" t="str">
        <f t="shared" si="4"/>
        <v>241-906</v>
      </c>
      <c r="C296" s="2736">
        <v>115478</v>
      </c>
    </row>
    <row r="297" spans="1:3" ht="14.5">
      <c r="A297" s="2042" t="s">
        <v>5302</v>
      </c>
      <c r="B297" s="380" t="str">
        <f t="shared" si="4"/>
        <v>242-903</v>
      </c>
      <c r="C297" s="2736">
        <v>102331</v>
      </c>
    </row>
    <row r="298" spans="1:3" ht="14.5">
      <c r="A298" s="2042" t="s">
        <v>5305</v>
      </c>
      <c r="B298" s="380" t="str">
        <f t="shared" si="4"/>
        <v>243-903</v>
      </c>
      <c r="C298" s="2736">
        <v>434398</v>
      </c>
    </row>
    <row r="299" spans="1:3" ht="14.5">
      <c r="A299" s="2042" t="s">
        <v>3253</v>
      </c>
      <c r="B299" s="380" t="str">
        <f t="shared" si="4"/>
        <v>243-906</v>
      </c>
      <c r="C299" s="2736">
        <v>242206</v>
      </c>
    </row>
    <row r="300" spans="1:3" ht="14.5">
      <c r="A300" s="2042" t="s">
        <v>3254</v>
      </c>
      <c r="B300" s="380" t="str">
        <f t="shared" si="4"/>
        <v>244-905</v>
      </c>
      <c r="C300" s="2736">
        <v>53811</v>
      </c>
    </row>
    <row r="301" spans="1:3" ht="14.5">
      <c r="A301" s="2042" t="s">
        <v>3259</v>
      </c>
      <c r="B301" s="380" t="str">
        <f t="shared" si="4"/>
        <v>246-902</v>
      </c>
      <c r="C301" s="2736">
        <v>245308</v>
      </c>
    </row>
    <row r="302" spans="1:3" ht="14.5">
      <c r="A302" s="2042" t="s">
        <v>3261</v>
      </c>
      <c r="B302" s="380" t="str">
        <f t="shared" si="4"/>
        <v>246-905</v>
      </c>
      <c r="C302" s="2736">
        <v>103876</v>
      </c>
    </row>
    <row r="303" spans="1:3" ht="14.5">
      <c r="A303" s="2042" t="s">
        <v>3262</v>
      </c>
      <c r="B303" s="380" t="str">
        <f t="shared" si="4"/>
        <v>246-906</v>
      </c>
      <c r="C303" s="2736">
        <v>1861533</v>
      </c>
    </row>
    <row r="304" spans="1:3" ht="14.5">
      <c r="A304" s="2042" t="s">
        <v>5307</v>
      </c>
      <c r="B304" s="380" t="str">
        <f t="shared" si="4"/>
        <v>246-907</v>
      </c>
      <c r="C304" s="2736">
        <v>483717</v>
      </c>
    </row>
    <row r="305" spans="1:3" ht="14.5">
      <c r="A305" s="2042" t="s">
        <v>3263</v>
      </c>
      <c r="B305" s="380" t="str">
        <f t="shared" si="4"/>
        <v>246-908</v>
      </c>
      <c r="C305" s="2736">
        <v>1146910</v>
      </c>
    </row>
    <row r="306" spans="1:3" ht="14.5">
      <c r="A306" s="2042" t="s">
        <v>4857</v>
      </c>
      <c r="B306" s="380" t="str">
        <f t="shared" si="4"/>
        <v>246-909</v>
      </c>
      <c r="C306" s="2736">
        <v>11736818</v>
      </c>
    </row>
    <row r="307" spans="1:3" ht="14.5">
      <c r="A307" s="2042" t="s">
        <v>3265</v>
      </c>
      <c r="B307" s="380" t="str">
        <f t="shared" si="4"/>
        <v>246-912</v>
      </c>
      <c r="C307" s="2736">
        <v>169446</v>
      </c>
    </row>
    <row r="308" spans="1:3" ht="14.5">
      <c r="A308" s="2042" t="s">
        <v>3266</v>
      </c>
      <c r="B308" s="380" t="str">
        <f t="shared" si="4"/>
        <v>246-913</v>
      </c>
      <c r="C308" s="2736">
        <v>9668786</v>
      </c>
    </row>
    <row r="309" spans="1:3" ht="14.5">
      <c r="A309" s="2042" t="s">
        <v>3268</v>
      </c>
      <c r="B309" s="380" t="str">
        <f t="shared" si="4"/>
        <v>247-903</v>
      </c>
      <c r="C309" s="2736">
        <v>774482</v>
      </c>
    </row>
    <row r="310" spans="1:3" ht="14.5">
      <c r="A310" s="2042" t="s">
        <v>3270</v>
      </c>
      <c r="B310" s="380" t="str">
        <f t="shared" si="4"/>
        <v>247-906</v>
      </c>
      <c r="C310" s="2736">
        <v>181089</v>
      </c>
    </row>
    <row r="311" spans="1:3" ht="14.5">
      <c r="A311" s="2042" t="s">
        <v>5308</v>
      </c>
      <c r="B311" s="380" t="str">
        <f t="shared" si="4"/>
        <v>248-901</v>
      </c>
      <c r="C311" s="2736">
        <v>313588</v>
      </c>
    </row>
    <row r="312" spans="1:3" ht="14.5">
      <c r="A312" s="2042" t="s">
        <v>5309</v>
      </c>
      <c r="B312" s="380" t="str">
        <f t="shared" si="4"/>
        <v>248-902</v>
      </c>
      <c r="C312" s="2736">
        <v>98476</v>
      </c>
    </row>
    <row r="313" spans="1:3" ht="14.5">
      <c r="A313" s="2042" t="s">
        <v>5310</v>
      </c>
      <c r="B313" s="380" t="str">
        <f t="shared" si="4"/>
        <v>249-902</v>
      </c>
      <c r="C313" s="2736">
        <v>290840</v>
      </c>
    </row>
    <row r="314" spans="1:3" ht="14.5">
      <c r="A314" s="2042" t="s">
        <v>5313</v>
      </c>
      <c r="B314" s="380" t="str">
        <f t="shared" si="4"/>
        <v>249-905</v>
      </c>
      <c r="C314" s="2736">
        <v>798564</v>
      </c>
    </row>
    <row r="315" spans="1:3" ht="14.5">
      <c r="A315" s="2042" t="s">
        <v>3272</v>
      </c>
      <c r="B315" s="380" t="str">
        <f t="shared" si="4"/>
        <v>249-906</v>
      </c>
      <c r="C315" s="2736">
        <v>281308</v>
      </c>
    </row>
    <row r="316" spans="1:3" ht="14.5">
      <c r="A316" s="2042" t="s">
        <v>3273</v>
      </c>
      <c r="B316" s="380" t="str">
        <f t="shared" si="4"/>
        <v>249-908</v>
      </c>
      <c r="C316" s="2736">
        <v>70883</v>
      </c>
    </row>
    <row r="317" spans="1:3" ht="14.5">
      <c r="A317" s="2042" t="s">
        <v>5319</v>
      </c>
      <c r="B317" s="380" t="str">
        <f t="shared" si="4"/>
        <v>251-902</v>
      </c>
      <c r="C317" s="2736">
        <v>106328</v>
      </c>
    </row>
    <row r="318" spans="1:3" ht="14.5">
      <c r="A318" s="2042" t="s">
        <v>3277</v>
      </c>
      <c r="B318" s="380" t="str">
        <f t="shared" si="4"/>
        <v>254-902</v>
      </c>
      <c r="C318" s="2736">
        <v>109923</v>
      </c>
    </row>
    <row r="321" spans="3:3">
      <c r="C321" s="2736">
        <f>SUM(C2:C319)/2</f>
        <v>150787059</v>
      </c>
    </row>
  </sheetData>
  <sortState ref="A2:C317">
    <sortCondition ref="A2:A317"/>
  </sortState>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H1016"/>
  <sheetViews>
    <sheetView workbookViewId="0">
      <selection activeCell="B2" sqref="B2"/>
    </sheetView>
  </sheetViews>
  <sheetFormatPr defaultColWidth="8.7265625" defaultRowHeight="12.5"/>
  <cols>
    <col min="1" max="2" width="8.7265625" style="41"/>
    <col min="3" max="3" width="30.453125" style="2042" customWidth="1"/>
    <col min="4" max="4" width="12.26953125" style="2042" customWidth="1"/>
    <col min="5" max="5" width="22.453125" style="105" customWidth="1"/>
    <col min="6" max="6" width="25.6328125" style="105" customWidth="1"/>
    <col min="7" max="7" width="18" style="2042" customWidth="1"/>
    <col min="8" max="8" width="15.7265625" style="105" customWidth="1"/>
    <col min="9" max="16384" width="8.7265625" style="2042"/>
  </cols>
  <sheetData>
    <row r="1" spans="1:8" s="41" customFormat="1">
      <c r="A1" s="41" t="s">
        <v>9126</v>
      </c>
      <c r="C1" s="41" t="s">
        <v>9282</v>
      </c>
      <c r="D1" s="41" t="s">
        <v>9283</v>
      </c>
      <c r="E1" s="389" t="s">
        <v>7720</v>
      </c>
      <c r="F1" s="389" t="s">
        <v>11000</v>
      </c>
      <c r="G1" s="2967" t="s">
        <v>11002</v>
      </c>
      <c r="H1" s="389" t="s">
        <v>11003</v>
      </c>
    </row>
    <row r="2" spans="1:8" ht="14.5">
      <c r="A2" s="41">
        <v>1902</v>
      </c>
      <c r="B2" s="380" t="str">
        <f>CONCATENATE(LEFT(RIGHT(CONCATENATE("000",A2),6),3),"-",(RIGHT(RIGHT(CONCATENATE("000",A2),6),3)))</f>
        <v>001-902</v>
      </c>
      <c r="C2" s="2042" t="s">
        <v>265</v>
      </c>
      <c r="D2" s="2042" t="s">
        <v>9284</v>
      </c>
      <c r="E2" s="105">
        <v>0.89929999999999999</v>
      </c>
      <c r="F2" s="105">
        <v>0.89929999999999999</v>
      </c>
      <c r="G2" s="2042">
        <v>1.0376000000000001</v>
      </c>
      <c r="H2" s="105">
        <f>G2-F2</f>
        <v>0.13830000000000009</v>
      </c>
    </row>
    <row r="3" spans="1:8" ht="14.5">
      <c r="A3" s="41">
        <v>1903</v>
      </c>
      <c r="B3" s="380" t="str">
        <f t="shared" ref="B3:B66" si="0">CONCATENATE(LEFT(RIGHT(CONCATENATE("000",A3),6),3),"-",(RIGHT(RIGHT(CONCATENATE("000",A3),6),3)))</f>
        <v>001-903</v>
      </c>
      <c r="C3" s="2042" t="s">
        <v>266</v>
      </c>
      <c r="D3" s="2042" t="s">
        <v>9284</v>
      </c>
      <c r="E3" s="105">
        <v>0.8701000000000001</v>
      </c>
      <c r="F3" s="105">
        <v>0.8701000000000001</v>
      </c>
      <c r="G3" s="2042">
        <v>1.0084</v>
      </c>
      <c r="H3" s="105">
        <f t="shared" ref="H3:H66" si="1">G3-F3</f>
        <v>0.13829999999999987</v>
      </c>
    </row>
    <row r="4" spans="1:8" ht="14.5">
      <c r="A4" s="41">
        <v>1904</v>
      </c>
      <c r="B4" s="380" t="str">
        <f t="shared" si="0"/>
        <v>001-904</v>
      </c>
      <c r="C4" s="2042" t="s">
        <v>267</v>
      </c>
      <c r="D4" s="2042" t="s">
        <v>9284</v>
      </c>
      <c r="E4" s="105">
        <v>0.83540000000000003</v>
      </c>
      <c r="F4" s="105">
        <v>0.83540000000000003</v>
      </c>
      <c r="G4" s="2042">
        <v>0.97370000000000001</v>
      </c>
      <c r="H4" s="105">
        <f t="shared" si="1"/>
        <v>0.13829999999999998</v>
      </c>
    </row>
    <row r="5" spans="1:8" ht="14.5">
      <c r="A5" s="41">
        <v>1906</v>
      </c>
      <c r="B5" s="380" t="str">
        <f t="shared" si="0"/>
        <v>001-906</v>
      </c>
      <c r="C5" s="2042" t="s">
        <v>268</v>
      </c>
      <c r="D5" s="2042" t="s">
        <v>9284</v>
      </c>
      <c r="E5" s="105">
        <v>0.87220000000000009</v>
      </c>
      <c r="F5" s="105">
        <v>0.87220000000000009</v>
      </c>
      <c r="G5" s="2042">
        <v>1.0105</v>
      </c>
      <c r="H5" s="105">
        <f t="shared" si="1"/>
        <v>0.13829999999999987</v>
      </c>
    </row>
    <row r="6" spans="1:8" ht="14.5">
      <c r="A6" s="41">
        <v>1907</v>
      </c>
      <c r="B6" s="380" t="str">
        <f t="shared" si="0"/>
        <v>001-907</v>
      </c>
      <c r="C6" s="2042" t="s">
        <v>269</v>
      </c>
      <c r="D6" s="2042" t="s">
        <v>9284</v>
      </c>
      <c r="E6" s="105">
        <v>0.88850000000000007</v>
      </c>
      <c r="F6" s="105">
        <v>0.88850000000000007</v>
      </c>
      <c r="G6" s="2042">
        <v>1.0268000000000002</v>
      </c>
      <c r="H6" s="105">
        <f t="shared" si="1"/>
        <v>0.13830000000000009</v>
      </c>
    </row>
    <row r="7" spans="1:8" ht="14.5">
      <c r="A7" s="41">
        <v>1908</v>
      </c>
      <c r="B7" s="380" t="str">
        <f t="shared" si="0"/>
        <v>001-908</v>
      </c>
      <c r="C7" s="2042" t="s">
        <v>1117</v>
      </c>
      <c r="D7" s="2042" t="s">
        <v>9284</v>
      </c>
      <c r="E7" s="105">
        <v>0.87230000000000008</v>
      </c>
      <c r="F7" s="105">
        <v>0.87230000000000008</v>
      </c>
      <c r="G7" s="2042">
        <v>1.0105999999999999</v>
      </c>
      <c r="H7" s="105">
        <f t="shared" si="1"/>
        <v>0.13829999999999987</v>
      </c>
    </row>
    <row r="8" spans="1:8" ht="14.5">
      <c r="A8" s="41">
        <v>1909</v>
      </c>
      <c r="B8" s="380" t="str">
        <f t="shared" si="0"/>
        <v>001-909</v>
      </c>
      <c r="C8" s="2042" t="s">
        <v>1118</v>
      </c>
      <c r="D8" s="2042" t="s">
        <v>9284</v>
      </c>
      <c r="E8" s="105">
        <v>0.86340000000000006</v>
      </c>
      <c r="F8" s="105">
        <v>0.86340000000000006</v>
      </c>
      <c r="G8" s="2042">
        <v>1.0017</v>
      </c>
      <c r="H8" s="105">
        <f t="shared" si="1"/>
        <v>0.13829999999999998</v>
      </c>
    </row>
    <row r="9" spans="1:8" ht="14.5">
      <c r="A9" s="41">
        <v>2901</v>
      </c>
      <c r="B9" s="380" t="str">
        <f t="shared" si="0"/>
        <v>002-901</v>
      </c>
      <c r="C9" s="2042" t="s">
        <v>1119</v>
      </c>
      <c r="D9" s="2042" t="s">
        <v>9284</v>
      </c>
      <c r="E9" s="105">
        <v>0.91339999999999999</v>
      </c>
      <c r="F9" s="105">
        <v>0.91339999999999999</v>
      </c>
      <c r="G9" s="2042">
        <v>0.97340000000000004</v>
      </c>
      <c r="H9" s="105">
        <f t="shared" si="1"/>
        <v>6.0000000000000053E-2</v>
      </c>
    </row>
    <row r="10" spans="1:8" ht="14.5">
      <c r="A10" s="41">
        <v>3902</v>
      </c>
      <c r="B10" s="380" t="str">
        <f t="shared" si="0"/>
        <v>003-902</v>
      </c>
      <c r="C10" s="2042" t="s">
        <v>2249</v>
      </c>
      <c r="D10" s="2042" t="s">
        <v>9284</v>
      </c>
      <c r="E10" s="105">
        <v>0.82640000000000002</v>
      </c>
      <c r="F10" s="105">
        <v>0.82640000000000002</v>
      </c>
      <c r="G10" s="2042">
        <v>0.9647</v>
      </c>
      <c r="H10" s="105">
        <f t="shared" si="1"/>
        <v>0.13829999999999998</v>
      </c>
    </row>
    <row r="11" spans="1:8" ht="14.5">
      <c r="A11" s="41">
        <v>3903</v>
      </c>
      <c r="B11" s="380" t="str">
        <f t="shared" si="0"/>
        <v>003-903</v>
      </c>
      <c r="C11" s="2042" t="s">
        <v>1120</v>
      </c>
      <c r="D11" s="2042" t="s">
        <v>9284</v>
      </c>
      <c r="E11" s="105">
        <v>0.85300000000000009</v>
      </c>
      <c r="F11" s="105">
        <v>0.85300000000000009</v>
      </c>
      <c r="G11" s="2042">
        <v>0.99130000000000007</v>
      </c>
      <c r="H11" s="105">
        <f t="shared" si="1"/>
        <v>0.13829999999999998</v>
      </c>
    </row>
    <row r="12" spans="1:8" ht="14.5">
      <c r="A12" s="41">
        <v>3904</v>
      </c>
      <c r="B12" s="380" t="str">
        <f t="shared" si="0"/>
        <v>003-904</v>
      </c>
      <c r="C12" s="2042" t="s">
        <v>1192</v>
      </c>
      <c r="D12" s="2042" t="s">
        <v>9284</v>
      </c>
      <c r="E12" s="105">
        <v>0.9093</v>
      </c>
      <c r="F12" s="105">
        <v>0.9093</v>
      </c>
      <c r="G12" s="2042">
        <v>1.0476000000000001</v>
      </c>
      <c r="H12" s="105">
        <f t="shared" si="1"/>
        <v>0.13830000000000009</v>
      </c>
    </row>
    <row r="13" spans="1:8" ht="14.5">
      <c r="A13" s="41">
        <v>3905</v>
      </c>
      <c r="B13" s="380" t="str">
        <f t="shared" si="0"/>
        <v>003-905</v>
      </c>
      <c r="C13" s="2042" t="s">
        <v>1121</v>
      </c>
      <c r="D13" s="2042" t="s">
        <v>9284</v>
      </c>
      <c r="E13" s="105">
        <v>0.82890000000000008</v>
      </c>
      <c r="F13" s="105">
        <v>0.82890000000000008</v>
      </c>
      <c r="G13" s="2042">
        <v>0.96720000000000006</v>
      </c>
      <c r="H13" s="105">
        <f t="shared" si="1"/>
        <v>0.13829999999999998</v>
      </c>
    </row>
    <row r="14" spans="1:8" ht="14.5">
      <c r="A14" s="41">
        <v>3906</v>
      </c>
      <c r="B14" s="380" t="str">
        <f t="shared" si="0"/>
        <v>003-906</v>
      </c>
      <c r="C14" s="2042" t="s">
        <v>1122</v>
      </c>
      <c r="D14" s="2042" t="s">
        <v>9284</v>
      </c>
      <c r="E14" s="105">
        <v>0.82200000000000006</v>
      </c>
      <c r="F14" s="105">
        <v>0.82200000000000006</v>
      </c>
      <c r="G14" s="2042">
        <v>0.96030000000000004</v>
      </c>
      <c r="H14" s="105">
        <f t="shared" si="1"/>
        <v>0.13829999999999998</v>
      </c>
    </row>
    <row r="15" spans="1:8" ht="14.5">
      <c r="A15" s="727">
        <v>3907</v>
      </c>
      <c r="B15" s="1683" t="str">
        <f t="shared" si="0"/>
        <v>003-907</v>
      </c>
      <c r="C15" s="629" t="s">
        <v>1123</v>
      </c>
      <c r="D15" s="629" t="s">
        <v>9284</v>
      </c>
      <c r="E15" s="105">
        <v>0.82880000000000009</v>
      </c>
      <c r="F15" s="105">
        <v>0.83379999999999999</v>
      </c>
      <c r="G15" s="2042">
        <v>0.97210000000000008</v>
      </c>
      <c r="H15" s="105">
        <f t="shared" si="1"/>
        <v>0.13830000000000009</v>
      </c>
    </row>
    <row r="16" spans="1:8" ht="14.5">
      <c r="A16" s="41">
        <v>4901</v>
      </c>
      <c r="B16" s="380" t="str">
        <f t="shared" si="0"/>
        <v>004-901</v>
      </c>
      <c r="C16" s="2042" t="s">
        <v>1124</v>
      </c>
      <c r="D16" s="2042" t="s">
        <v>9284</v>
      </c>
      <c r="E16" s="105">
        <v>0.82200000000000006</v>
      </c>
      <c r="F16" s="105">
        <v>0.82200000000000006</v>
      </c>
      <c r="G16" s="2042">
        <v>0.88200000000000001</v>
      </c>
      <c r="H16" s="105">
        <f t="shared" si="1"/>
        <v>5.9999999999999942E-2</v>
      </c>
    </row>
    <row r="17" spans="1:8" ht="14.5">
      <c r="A17" s="41">
        <v>5901</v>
      </c>
      <c r="B17" s="380" t="str">
        <f t="shared" si="0"/>
        <v>005-901</v>
      </c>
      <c r="C17" s="2042" t="s">
        <v>1125</v>
      </c>
      <c r="D17" s="2042" t="s">
        <v>9284</v>
      </c>
      <c r="E17" s="105">
        <v>0.8821</v>
      </c>
      <c r="F17" s="105">
        <v>0.8821</v>
      </c>
      <c r="G17" s="2042">
        <v>0.93210000000000004</v>
      </c>
      <c r="H17" s="105">
        <f t="shared" si="1"/>
        <v>5.0000000000000044E-2</v>
      </c>
    </row>
    <row r="18" spans="1:8" ht="14.5">
      <c r="A18" s="41">
        <v>5902</v>
      </c>
      <c r="B18" s="380" t="str">
        <f t="shared" si="0"/>
        <v>005-902</v>
      </c>
      <c r="C18" s="2042" t="s">
        <v>1126</v>
      </c>
      <c r="D18" s="2042" t="s">
        <v>9284</v>
      </c>
      <c r="E18" s="105">
        <v>0.84700000000000009</v>
      </c>
      <c r="F18" s="105">
        <v>0.84700000000000009</v>
      </c>
      <c r="G18" s="2042">
        <v>0.98530000000000006</v>
      </c>
      <c r="H18" s="105">
        <f t="shared" si="1"/>
        <v>0.13829999999999998</v>
      </c>
    </row>
    <row r="19" spans="1:8" ht="14.5">
      <c r="A19" s="41">
        <v>5904</v>
      </c>
      <c r="B19" s="380" t="str">
        <f t="shared" si="0"/>
        <v>005-904</v>
      </c>
      <c r="C19" s="2042" t="s">
        <v>1061</v>
      </c>
      <c r="D19" s="2042" t="s">
        <v>9284</v>
      </c>
      <c r="E19" s="105">
        <v>0.91339999999999999</v>
      </c>
      <c r="F19" s="105">
        <v>0.91339999999999999</v>
      </c>
      <c r="G19" s="2042">
        <v>1.0517000000000001</v>
      </c>
      <c r="H19" s="105">
        <f t="shared" si="1"/>
        <v>0.13830000000000009</v>
      </c>
    </row>
    <row r="20" spans="1:8" ht="14.5">
      <c r="A20" s="41">
        <v>6902</v>
      </c>
      <c r="B20" s="380" t="str">
        <f t="shared" si="0"/>
        <v>006-902</v>
      </c>
      <c r="C20" s="2042" t="s">
        <v>1127</v>
      </c>
      <c r="D20" s="2042" t="s">
        <v>9284</v>
      </c>
      <c r="E20" s="105">
        <v>0.91339999999999999</v>
      </c>
      <c r="F20" s="105">
        <v>0.91339999999999999</v>
      </c>
      <c r="G20" s="2042">
        <v>0.96340000000000003</v>
      </c>
      <c r="H20" s="105">
        <f t="shared" si="1"/>
        <v>5.0000000000000044E-2</v>
      </c>
    </row>
    <row r="21" spans="1:8" ht="14.5">
      <c r="A21" s="727">
        <v>7901</v>
      </c>
      <c r="B21" s="1683" t="str">
        <f t="shared" si="0"/>
        <v>007-901</v>
      </c>
      <c r="C21" s="629" t="s">
        <v>620</v>
      </c>
      <c r="D21" s="629" t="s">
        <v>9284</v>
      </c>
      <c r="E21" s="105">
        <v>0.86480000000000001</v>
      </c>
      <c r="F21" s="105">
        <v>0.91339999999999999</v>
      </c>
      <c r="G21" s="2042">
        <v>1.0517000000000001</v>
      </c>
      <c r="H21" s="105">
        <f t="shared" si="1"/>
        <v>0.13830000000000009</v>
      </c>
    </row>
    <row r="22" spans="1:8" ht="14.5">
      <c r="A22" s="41">
        <v>7902</v>
      </c>
      <c r="B22" s="380" t="str">
        <f t="shared" si="0"/>
        <v>007-902</v>
      </c>
      <c r="C22" s="2042" t="s">
        <v>1128</v>
      </c>
      <c r="D22" s="2042" t="s">
        <v>9284</v>
      </c>
      <c r="E22" s="105">
        <v>0.91339999999999999</v>
      </c>
      <c r="F22" s="105">
        <v>0.91339999999999999</v>
      </c>
      <c r="G22" s="2042">
        <v>1.0517000000000001</v>
      </c>
      <c r="H22" s="105">
        <f t="shared" si="1"/>
        <v>0.13830000000000009</v>
      </c>
    </row>
    <row r="23" spans="1:8" ht="14.5">
      <c r="A23" s="41">
        <v>7904</v>
      </c>
      <c r="B23" s="380" t="str">
        <f t="shared" si="0"/>
        <v>007-904</v>
      </c>
      <c r="C23" s="2042" t="s">
        <v>1129</v>
      </c>
      <c r="D23" s="2042" t="s">
        <v>9284</v>
      </c>
      <c r="E23" s="105">
        <v>0.82590000000000008</v>
      </c>
      <c r="F23" s="105">
        <v>0.82590000000000008</v>
      </c>
      <c r="G23" s="2042">
        <v>0.96420000000000006</v>
      </c>
      <c r="H23" s="105">
        <f t="shared" si="1"/>
        <v>0.13829999999999998</v>
      </c>
    </row>
    <row r="24" spans="1:8" ht="14.5">
      <c r="A24" s="41">
        <v>7905</v>
      </c>
      <c r="B24" s="380" t="str">
        <f t="shared" si="0"/>
        <v>007-905</v>
      </c>
      <c r="C24" s="2042" t="s">
        <v>947</v>
      </c>
      <c r="D24" s="2042" t="s">
        <v>9284</v>
      </c>
      <c r="E24" s="105">
        <v>0.91339999999999999</v>
      </c>
      <c r="F24" s="105">
        <v>0.91339999999999999</v>
      </c>
      <c r="G24" s="2042">
        <v>1.0517000000000001</v>
      </c>
      <c r="H24" s="105">
        <f t="shared" si="1"/>
        <v>0.13830000000000009</v>
      </c>
    </row>
    <row r="25" spans="1:8" ht="14.5">
      <c r="A25" s="41">
        <v>7906</v>
      </c>
      <c r="B25" s="380" t="str">
        <f t="shared" si="0"/>
        <v>007-906</v>
      </c>
      <c r="C25" s="2042" t="s">
        <v>950</v>
      </c>
      <c r="D25" s="2042" t="s">
        <v>9284</v>
      </c>
      <c r="E25" s="105">
        <v>0.83800000000000008</v>
      </c>
      <c r="F25" s="105">
        <v>0.83800000000000008</v>
      </c>
      <c r="G25" s="2042">
        <v>0.97600000000000009</v>
      </c>
      <c r="H25" s="105">
        <f t="shared" si="1"/>
        <v>0.13800000000000001</v>
      </c>
    </row>
    <row r="26" spans="1:8" ht="14.5">
      <c r="A26" s="41">
        <v>8901</v>
      </c>
      <c r="B26" s="380" t="str">
        <f t="shared" si="0"/>
        <v>008-901</v>
      </c>
      <c r="C26" s="2042" t="s">
        <v>1130</v>
      </c>
      <c r="D26" s="2042" t="s">
        <v>9284</v>
      </c>
      <c r="E26" s="105">
        <v>0.88260000000000005</v>
      </c>
      <c r="F26" s="105">
        <v>0.88260000000000005</v>
      </c>
      <c r="G26" s="2042">
        <v>0.98850000000000005</v>
      </c>
      <c r="H26" s="105">
        <f t="shared" si="1"/>
        <v>0.10589999999999999</v>
      </c>
    </row>
    <row r="27" spans="1:8" ht="14.5">
      <c r="A27" s="41">
        <v>8902</v>
      </c>
      <c r="B27" s="380" t="str">
        <f t="shared" si="0"/>
        <v>008-902</v>
      </c>
      <c r="C27" s="2042" t="s">
        <v>1131</v>
      </c>
      <c r="D27" s="2042" t="s">
        <v>9284</v>
      </c>
      <c r="E27" s="105">
        <v>0.88870000000000005</v>
      </c>
      <c r="F27" s="105">
        <v>0.88870000000000005</v>
      </c>
      <c r="G27" s="2042">
        <v>0.93870000000000009</v>
      </c>
      <c r="H27" s="105">
        <f t="shared" si="1"/>
        <v>5.0000000000000044E-2</v>
      </c>
    </row>
    <row r="28" spans="1:8" ht="14.5">
      <c r="A28" s="41">
        <v>8903</v>
      </c>
      <c r="B28" s="380" t="str">
        <f t="shared" si="0"/>
        <v>008-903</v>
      </c>
      <c r="C28" s="2042" t="s">
        <v>1132</v>
      </c>
      <c r="D28" s="2042" t="s">
        <v>9284</v>
      </c>
      <c r="E28" s="105">
        <v>0.83850000000000002</v>
      </c>
      <c r="F28" s="105">
        <v>0.83850000000000002</v>
      </c>
      <c r="G28" s="2042">
        <v>0.88850000000000007</v>
      </c>
      <c r="H28" s="105">
        <f t="shared" si="1"/>
        <v>5.0000000000000044E-2</v>
      </c>
    </row>
    <row r="29" spans="1:8" ht="14.5">
      <c r="A29" s="41">
        <v>9901</v>
      </c>
      <c r="B29" s="380" t="str">
        <f t="shared" si="0"/>
        <v>009-901</v>
      </c>
      <c r="C29" s="2042" t="s">
        <v>1133</v>
      </c>
      <c r="D29" s="2042" t="s">
        <v>9284</v>
      </c>
      <c r="E29" s="105">
        <v>0.90540000000000009</v>
      </c>
      <c r="F29" s="105">
        <v>0.90540000000000009</v>
      </c>
      <c r="G29" s="2042">
        <v>1.0437000000000001</v>
      </c>
      <c r="H29" s="105">
        <f t="shared" si="1"/>
        <v>0.13829999999999998</v>
      </c>
    </row>
    <row r="30" spans="1:8" ht="14.5">
      <c r="A30" s="41">
        <v>10901</v>
      </c>
      <c r="B30" s="380" t="str">
        <f t="shared" si="0"/>
        <v>010-901</v>
      </c>
      <c r="C30" s="2042" t="s">
        <v>1134</v>
      </c>
      <c r="D30" s="2042" t="s">
        <v>9284</v>
      </c>
      <c r="E30" s="105">
        <v>0.82620000000000005</v>
      </c>
      <c r="F30" s="105">
        <v>0.82620000000000005</v>
      </c>
      <c r="G30" s="2042">
        <v>0.99620000000000009</v>
      </c>
      <c r="H30" s="105">
        <f t="shared" si="1"/>
        <v>0.17000000000000004</v>
      </c>
    </row>
    <row r="31" spans="1:8" ht="14.5">
      <c r="A31" s="41">
        <v>10902</v>
      </c>
      <c r="B31" s="380" t="str">
        <f t="shared" si="0"/>
        <v>010-902</v>
      </c>
      <c r="C31" s="2042" t="s">
        <v>2002</v>
      </c>
      <c r="D31" s="2042" t="s">
        <v>9284</v>
      </c>
      <c r="E31" s="105">
        <v>0.82200000000000006</v>
      </c>
      <c r="F31" s="105">
        <v>0.82200000000000006</v>
      </c>
      <c r="G31" s="2042">
        <v>0.872</v>
      </c>
      <c r="H31" s="105">
        <f t="shared" si="1"/>
        <v>4.9999999999999933E-2</v>
      </c>
    </row>
    <row r="32" spans="1:8" ht="14.5">
      <c r="A32" s="41">
        <v>11901</v>
      </c>
      <c r="B32" s="380" t="str">
        <f t="shared" si="0"/>
        <v>011-901</v>
      </c>
      <c r="C32" s="2042" t="s">
        <v>2004</v>
      </c>
      <c r="D32" s="2042" t="s">
        <v>9284</v>
      </c>
      <c r="E32" s="105">
        <v>0.82200000000000006</v>
      </c>
      <c r="F32" s="105">
        <v>0.82200000000000006</v>
      </c>
      <c r="G32" s="2042">
        <v>0.872</v>
      </c>
      <c r="H32" s="105">
        <f t="shared" si="1"/>
        <v>4.9999999999999933E-2</v>
      </c>
    </row>
    <row r="33" spans="1:8" ht="14.5">
      <c r="A33" s="41">
        <v>11902</v>
      </c>
      <c r="B33" s="380" t="str">
        <f t="shared" si="0"/>
        <v>011-902</v>
      </c>
      <c r="C33" s="2042" t="s">
        <v>843</v>
      </c>
      <c r="D33" s="2042" t="s">
        <v>9284</v>
      </c>
      <c r="E33" s="105">
        <v>0.82200000000000006</v>
      </c>
      <c r="F33" s="105">
        <v>0.82200000000000006</v>
      </c>
      <c r="G33" s="2042">
        <v>0.96030000000000004</v>
      </c>
      <c r="H33" s="105">
        <f t="shared" si="1"/>
        <v>0.13829999999999998</v>
      </c>
    </row>
    <row r="34" spans="1:8" ht="14.5">
      <c r="A34" s="41">
        <v>11904</v>
      </c>
      <c r="B34" s="380" t="str">
        <f t="shared" si="0"/>
        <v>011-904</v>
      </c>
      <c r="C34" s="2042" t="s">
        <v>1821</v>
      </c>
      <c r="D34" s="2042" t="s">
        <v>9284</v>
      </c>
      <c r="E34" s="105">
        <v>0.82200000000000006</v>
      </c>
      <c r="F34" s="105">
        <v>0.82200000000000006</v>
      </c>
      <c r="G34" s="2042">
        <v>0.96030000000000004</v>
      </c>
      <c r="H34" s="105">
        <f t="shared" si="1"/>
        <v>0.13829999999999998</v>
      </c>
    </row>
    <row r="35" spans="1:8" ht="14.5">
      <c r="A35" s="41">
        <v>11905</v>
      </c>
      <c r="B35" s="380" t="str">
        <f t="shared" si="0"/>
        <v>011-905</v>
      </c>
      <c r="C35" s="2042" t="s">
        <v>772</v>
      </c>
      <c r="D35" s="2042" t="s">
        <v>9284</v>
      </c>
      <c r="E35" s="105">
        <v>0.82200000000000006</v>
      </c>
      <c r="F35" s="105">
        <v>0.82200000000000006</v>
      </c>
      <c r="G35" s="2042">
        <v>0.872</v>
      </c>
      <c r="H35" s="105">
        <f t="shared" si="1"/>
        <v>4.9999999999999933E-2</v>
      </c>
    </row>
    <row r="36" spans="1:8" ht="14.5">
      <c r="A36" s="41">
        <v>12901</v>
      </c>
      <c r="B36" s="380" t="str">
        <f t="shared" si="0"/>
        <v>012-901</v>
      </c>
      <c r="C36" s="2042" t="s">
        <v>1135</v>
      </c>
      <c r="D36" s="2042" t="s">
        <v>9284</v>
      </c>
      <c r="E36" s="105">
        <v>0.82200000000000006</v>
      </c>
      <c r="F36" s="105">
        <v>0.82200000000000006</v>
      </c>
      <c r="G36" s="2042">
        <v>0.872</v>
      </c>
      <c r="H36" s="105">
        <f t="shared" si="1"/>
        <v>4.9999999999999933E-2</v>
      </c>
    </row>
    <row r="37" spans="1:8" ht="14.5">
      <c r="A37" s="41">
        <v>13901</v>
      </c>
      <c r="B37" s="380" t="str">
        <f t="shared" si="0"/>
        <v>013-901</v>
      </c>
      <c r="C37" s="2042" t="s">
        <v>2005</v>
      </c>
      <c r="D37" s="2042" t="s">
        <v>9284</v>
      </c>
      <c r="E37" s="105">
        <v>0.88450000000000006</v>
      </c>
      <c r="F37" s="105">
        <v>0.88450000000000006</v>
      </c>
      <c r="G37" s="2042">
        <v>1.0228000000000002</v>
      </c>
      <c r="H37" s="105">
        <f t="shared" si="1"/>
        <v>0.13830000000000009</v>
      </c>
    </row>
    <row r="38" spans="1:8" ht="14.5">
      <c r="A38" s="41">
        <v>13902</v>
      </c>
      <c r="B38" s="380" t="str">
        <f t="shared" si="0"/>
        <v>013-902</v>
      </c>
      <c r="C38" s="2042" t="s">
        <v>1136</v>
      </c>
      <c r="D38" s="2042" t="s">
        <v>9284</v>
      </c>
      <c r="E38" s="105">
        <v>0.91339999999999999</v>
      </c>
      <c r="F38" s="105">
        <v>0.91339999999999999</v>
      </c>
      <c r="G38" s="2042">
        <v>0.96340000000000003</v>
      </c>
      <c r="H38" s="105">
        <f t="shared" si="1"/>
        <v>5.0000000000000044E-2</v>
      </c>
    </row>
    <row r="39" spans="1:8" ht="14.5">
      <c r="A39" s="41">
        <v>13903</v>
      </c>
      <c r="B39" s="380" t="str">
        <f t="shared" si="0"/>
        <v>013-903</v>
      </c>
      <c r="C39" s="2042" t="s">
        <v>1137</v>
      </c>
      <c r="D39" s="2042" t="s">
        <v>9284</v>
      </c>
      <c r="E39" s="105">
        <v>0.91339999999999999</v>
      </c>
      <c r="F39" s="105">
        <v>0.91339999999999999</v>
      </c>
      <c r="G39" s="2042">
        <v>1.0016</v>
      </c>
      <c r="H39" s="105">
        <f t="shared" si="1"/>
        <v>8.8200000000000056E-2</v>
      </c>
    </row>
    <row r="40" spans="1:8" ht="14.5">
      <c r="A40" s="41">
        <v>13905</v>
      </c>
      <c r="B40" s="380" t="str">
        <f t="shared" si="0"/>
        <v>013-905</v>
      </c>
      <c r="C40" s="2042" t="s">
        <v>1725</v>
      </c>
      <c r="D40" s="2042" t="s">
        <v>9284</v>
      </c>
      <c r="E40" s="105">
        <v>0.82200000000000006</v>
      </c>
      <c r="F40" s="105">
        <v>0.82200000000000006</v>
      </c>
      <c r="G40" s="2042">
        <v>0.96030000000000004</v>
      </c>
      <c r="H40" s="105">
        <f t="shared" si="1"/>
        <v>0.13829999999999998</v>
      </c>
    </row>
    <row r="41" spans="1:8" ht="14.5">
      <c r="A41" s="727">
        <v>14901</v>
      </c>
      <c r="B41" s="1683" t="str">
        <f t="shared" si="0"/>
        <v>014-901</v>
      </c>
      <c r="C41" s="629" t="s">
        <v>1138</v>
      </c>
      <c r="D41" s="629" t="s">
        <v>9284</v>
      </c>
      <c r="E41" s="105">
        <v>0.82200000000000006</v>
      </c>
      <c r="F41" s="105">
        <v>0.82269999999999999</v>
      </c>
      <c r="G41" s="2042">
        <v>0.87270000000000003</v>
      </c>
      <c r="H41" s="105">
        <f t="shared" si="1"/>
        <v>5.0000000000000044E-2</v>
      </c>
    </row>
    <row r="42" spans="1:8" ht="14.5">
      <c r="A42" s="41">
        <v>14902</v>
      </c>
      <c r="B42" s="380" t="str">
        <f t="shared" si="0"/>
        <v>014-902</v>
      </c>
      <c r="C42" s="2042" t="s">
        <v>2003</v>
      </c>
      <c r="D42" s="2042" t="s">
        <v>9284</v>
      </c>
      <c r="E42" s="105">
        <v>0.82200000000000006</v>
      </c>
      <c r="F42" s="105">
        <v>0.82200000000000006</v>
      </c>
      <c r="G42" s="2042">
        <v>0.872</v>
      </c>
      <c r="H42" s="105">
        <f t="shared" si="1"/>
        <v>4.9999999999999933E-2</v>
      </c>
    </row>
    <row r="43" spans="1:8" ht="14.5">
      <c r="A43" s="41">
        <v>14903</v>
      </c>
      <c r="B43" s="380" t="str">
        <f t="shared" si="0"/>
        <v>014-903</v>
      </c>
      <c r="C43" s="2042" t="s">
        <v>2533</v>
      </c>
      <c r="D43" s="2042" t="s">
        <v>9284</v>
      </c>
      <c r="E43" s="105">
        <v>0.82200000000000006</v>
      </c>
      <c r="F43" s="105">
        <v>0.82200000000000006</v>
      </c>
      <c r="G43" s="2042">
        <v>0.96030000000000004</v>
      </c>
      <c r="H43" s="105">
        <f t="shared" si="1"/>
        <v>0.13829999999999998</v>
      </c>
    </row>
    <row r="44" spans="1:8" ht="14.5">
      <c r="A44" s="41">
        <v>14905</v>
      </c>
      <c r="B44" s="380" t="str">
        <f t="shared" si="0"/>
        <v>014-905</v>
      </c>
      <c r="C44" s="2042" t="s">
        <v>2244</v>
      </c>
      <c r="D44" s="2042" t="s">
        <v>9284</v>
      </c>
      <c r="E44" s="105">
        <v>0.82200000000000006</v>
      </c>
      <c r="F44" s="105">
        <v>0.82200000000000006</v>
      </c>
      <c r="G44" s="2042">
        <v>0.872</v>
      </c>
      <c r="H44" s="105">
        <f t="shared" si="1"/>
        <v>4.9999999999999933E-2</v>
      </c>
    </row>
    <row r="45" spans="1:8" ht="14.5">
      <c r="A45" s="41">
        <v>14906</v>
      </c>
      <c r="B45" s="380" t="str">
        <f t="shared" si="0"/>
        <v>014-906</v>
      </c>
      <c r="C45" s="2042" t="s">
        <v>2378</v>
      </c>
      <c r="D45" s="2042" t="s">
        <v>9284</v>
      </c>
      <c r="E45" s="105">
        <v>0.82200000000000006</v>
      </c>
      <c r="F45" s="105">
        <v>0.82200000000000006</v>
      </c>
      <c r="G45" s="2042">
        <v>0.872</v>
      </c>
      <c r="H45" s="105">
        <f t="shared" si="1"/>
        <v>4.9999999999999933E-2</v>
      </c>
    </row>
    <row r="46" spans="1:8" ht="14.5">
      <c r="A46" s="41">
        <v>14907</v>
      </c>
      <c r="B46" s="380" t="str">
        <f t="shared" si="0"/>
        <v>014-907</v>
      </c>
      <c r="C46" s="2042" t="s">
        <v>1317</v>
      </c>
      <c r="D46" s="2042" t="s">
        <v>9284</v>
      </c>
      <c r="E46" s="105">
        <v>0.84730000000000005</v>
      </c>
      <c r="F46" s="105">
        <v>0.84730000000000005</v>
      </c>
      <c r="G46" s="2042">
        <v>0.8973000000000001</v>
      </c>
      <c r="H46" s="105">
        <f t="shared" si="1"/>
        <v>5.0000000000000044E-2</v>
      </c>
    </row>
    <row r="47" spans="1:8" ht="14.5">
      <c r="A47" s="41">
        <v>14908</v>
      </c>
      <c r="B47" s="380" t="str">
        <f t="shared" si="0"/>
        <v>014-908</v>
      </c>
      <c r="C47" s="2042" t="s">
        <v>1912</v>
      </c>
      <c r="D47" s="2042" t="s">
        <v>9284</v>
      </c>
      <c r="E47" s="105">
        <v>0.82200000000000006</v>
      </c>
      <c r="F47" s="105">
        <v>0.82200000000000006</v>
      </c>
      <c r="G47" s="2042">
        <v>0.872</v>
      </c>
      <c r="H47" s="105">
        <f t="shared" si="1"/>
        <v>4.9999999999999933E-2</v>
      </c>
    </row>
    <row r="48" spans="1:8" ht="14.5">
      <c r="A48" s="41">
        <v>14909</v>
      </c>
      <c r="B48" s="380" t="str">
        <f t="shared" si="0"/>
        <v>014-909</v>
      </c>
      <c r="C48" s="2042" t="s">
        <v>566</v>
      </c>
      <c r="D48" s="2042" t="s">
        <v>9284</v>
      </c>
      <c r="E48" s="105">
        <v>0.82280000000000009</v>
      </c>
      <c r="F48" s="105">
        <v>0.82280000000000009</v>
      </c>
      <c r="G48" s="2042">
        <v>0.92870000000000008</v>
      </c>
      <c r="H48" s="105">
        <f t="shared" si="1"/>
        <v>0.10589999999999999</v>
      </c>
    </row>
    <row r="49" spans="1:8" ht="14.5">
      <c r="A49" s="41">
        <v>14910</v>
      </c>
      <c r="B49" s="380" t="str">
        <f t="shared" si="0"/>
        <v>014-910</v>
      </c>
      <c r="C49" s="2042" t="s">
        <v>2187</v>
      </c>
      <c r="D49" s="2042" t="s">
        <v>9284</v>
      </c>
      <c r="E49" s="105">
        <v>0.82200000000000006</v>
      </c>
      <c r="F49" s="105">
        <v>0.82200000000000006</v>
      </c>
      <c r="G49" s="2042">
        <v>0.86199999999999999</v>
      </c>
      <c r="H49" s="105">
        <f t="shared" si="1"/>
        <v>3.9999999999999925E-2</v>
      </c>
    </row>
    <row r="50" spans="1:8" ht="14.5">
      <c r="A50" s="41">
        <v>15901</v>
      </c>
      <c r="B50" s="380" t="str">
        <f t="shared" si="0"/>
        <v>015-901</v>
      </c>
      <c r="C50" s="2042" t="s">
        <v>2156</v>
      </c>
      <c r="D50" s="2042" t="s">
        <v>9284</v>
      </c>
      <c r="E50" s="105">
        <v>0.91339999999999999</v>
      </c>
      <c r="F50" s="105">
        <v>0.91339999999999999</v>
      </c>
      <c r="G50" s="2042">
        <v>0.99340000000000006</v>
      </c>
      <c r="H50" s="105">
        <f t="shared" si="1"/>
        <v>8.0000000000000071E-2</v>
      </c>
    </row>
    <row r="51" spans="1:8" ht="14.5">
      <c r="A51" s="41">
        <v>15904</v>
      </c>
      <c r="B51" s="380" t="str">
        <f t="shared" si="0"/>
        <v>015-904</v>
      </c>
      <c r="C51" s="2042" t="s">
        <v>683</v>
      </c>
      <c r="D51" s="2042" t="s">
        <v>9284</v>
      </c>
      <c r="E51" s="105">
        <v>0.83180000000000009</v>
      </c>
      <c r="F51" s="105">
        <v>0.83180000000000009</v>
      </c>
      <c r="G51" s="2042">
        <v>0.97010000000000007</v>
      </c>
      <c r="H51" s="105">
        <f t="shared" si="1"/>
        <v>0.13829999999999998</v>
      </c>
    </row>
    <row r="52" spans="1:8" ht="14.5">
      <c r="A52" s="41">
        <v>15905</v>
      </c>
      <c r="B52" s="380" t="str">
        <f t="shared" si="0"/>
        <v>015-905</v>
      </c>
      <c r="C52" s="2042" t="s">
        <v>841</v>
      </c>
      <c r="D52" s="2042" t="s">
        <v>9284</v>
      </c>
      <c r="E52" s="105">
        <v>0.83679999999999999</v>
      </c>
      <c r="F52" s="105">
        <v>0.83679999999999999</v>
      </c>
      <c r="G52" s="2042">
        <v>0.97510000000000008</v>
      </c>
      <c r="H52" s="105">
        <f t="shared" si="1"/>
        <v>0.13830000000000009</v>
      </c>
    </row>
    <row r="53" spans="1:8" ht="14.5">
      <c r="A53" s="41">
        <v>15907</v>
      </c>
      <c r="B53" s="380" t="str">
        <f t="shared" si="0"/>
        <v>015-907</v>
      </c>
      <c r="C53" s="2042" t="s">
        <v>1915</v>
      </c>
      <c r="D53" s="2042" t="s">
        <v>9284</v>
      </c>
      <c r="E53" s="105">
        <v>0.872</v>
      </c>
      <c r="F53" s="105">
        <v>0.872</v>
      </c>
      <c r="G53" s="2042">
        <v>1.0103</v>
      </c>
      <c r="H53" s="105">
        <f t="shared" si="1"/>
        <v>0.13829999999999998</v>
      </c>
    </row>
    <row r="54" spans="1:8" ht="14.5">
      <c r="A54" s="41">
        <v>15908</v>
      </c>
      <c r="B54" s="380" t="str">
        <f t="shared" si="0"/>
        <v>015-908</v>
      </c>
      <c r="C54" s="2042" t="s">
        <v>1825</v>
      </c>
      <c r="D54" s="2042" t="s">
        <v>9284</v>
      </c>
      <c r="E54" s="105">
        <v>0.8448</v>
      </c>
      <c r="F54" s="105">
        <v>0.8448</v>
      </c>
      <c r="G54" s="2042">
        <v>0.89480000000000004</v>
      </c>
      <c r="H54" s="105">
        <f t="shared" si="1"/>
        <v>5.0000000000000044E-2</v>
      </c>
    </row>
    <row r="55" spans="1:8" ht="14.5">
      <c r="A55" s="41">
        <v>15909</v>
      </c>
      <c r="B55" s="380" t="str">
        <f t="shared" si="0"/>
        <v>015-909</v>
      </c>
      <c r="C55" s="2042" t="s">
        <v>1824</v>
      </c>
      <c r="D55" s="2042" t="s">
        <v>9284</v>
      </c>
      <c r="E55" s="105">
        <v>0.82200000000000006</v>
      </c>
      <c r="F55" s="105">
        <v>0.82200000000000006</v>
      </c>
      <c r="G55" s="2042">
        <v>0.96030000000000004</v>
      </c>
      <c r="H55" s="105">
        <f t="shared" si="1"/>
        <v>0.13829999999999998</v>
      </c>
    </row>
    <row r="56" spans="1:8" ht="14.5">
      <c r="A56" s="41">
        <v>15910</v>
      </c>
      <c r="B56" s="380" t="str">
        <f t="shared" si="0"/>
        <v>015-910</v>
      </c>
      <c r="C56" s="2042" t="s">
        <v>2163</v>
      </c>
      <c r="D56" s="2042" t="s">
        <v>9284</v>
      </c>
      <c r="E56" s="105">
        <v>0.90250000000000008</v>
      </c>
      <c r="F56" s="105">
        <v>0.90250000000000008</v>
      </c>
      <c r="G56" s="2042">
        <v>0.95250000000000001</v>
      </c>
      <c r="H56" s="105">
        <f t="shared" si="1"/>
        <v>4.9999999999999933E-2</v>
      </c>
    </row>
    <row r="57" spans="1:8" ht="14.5">
      <c r="A57" s="41">
        <v>15911</v>
      </c>
      <c r="B57" s="380" t="str">
        <f t="shared" si="0"/>
        <v>015-911</v>
      </c>
      <c r="C57" s="2042" t="s">
        <v>1008</v>
      </c>
      <c r="D57" s="2042" t="s">
        <v>9284</v>
      </c>
      <c r="E57" s="105">
        <v>0.82200000000000006</v>
      </c>
      <c r="F57" s="105">
        <v>0.82200000000000006</v>
      </c>
      <c r="G57" s="2042">
        <v>0.872</v>
      </c>
      <c r="H57" s="105">
        <f t="shared" si="1"/>
        <v>4.9999999999999933E-2</v>
      </c>
    </row>
    <row r="58" spans="1:8" ht="14.5">
      <c r="A58" s="41">
        <v>15912</v>
      </c>
      <c r="B58" s="380" t="str">
        <f t="shared" si="0"/>
        <v>015-912</v>
      </c>
      <c r="C58" s="2042" t="s">
        <v>1827</v>
      </c>
      <c r="D58" s="2042" t="s">
        <v>9284</v>
      </c>
      <c r="E58" s="105">
        <v>0.83110000000000006</v>
      </c>
      <c r="F58" s="105">
        <v>0.83110000000000006</v>
      </c>
      <c r="G58" s="2042">
        <v>0.93590000000000007</v>
      </c>
      <c r="H58" s="105">
        <f t="shared" si="1"/>
        <v>0.1048</v>
      </c>
    </row>
    <row r="59" spans="1:8" ht="14.5">
      <c r="A59" s="41">
        <v>15915</v>
      </c>
      <c r="B59" s="380" t="str">
        <f t="shared" si="0"/>
        <v>015-915</v>
      </c>
      <c r="C59" s="2042" t="s">
        <v>2165</v>
      </c>
      <c r="D59" s="2042" t="s">
        <v>9284</v>
      </c>
      <c r="E59" s="105">
        <v>0.87580000000000002</v>
      </c>
      <c r="F59" s="105">
        <v>0.87580000000000002</v>
      </c>
      <c r="G59" s="2042">
        <v>0.92580000000000007</v>
      </c>
      <c r="H59" s="105">
        <f t="shared" si="1"/>
        <v>5.0000000000000044E-2</v>
      </c>
    </row>
    <row r="60" spans="1:8" ht="14.5">
      <c r="A60" s="41">
        <v>15916</v>
      </c>
      <c r="B60" s="380" t="str">
        <f t="shared" si="0"/>
        <v>015-916</v>
      </c>
      <c r="C60" s="2042" t="s">
        <v>386</v>
      </c>
      <c r="D60" s="2042" t="s">
        <v>9284</v>
      </c>
      <c r="E60" s="105">
        <v>0.82820000000000005</v>
      </c>
      <c r="F60" s="105">
        <v>0.82820000000000005</v>
      </c>
      <c r="G60" s="2042">
        <v>0.87820000000000009</v>
      </c>
      <c r="H60" s="105">
        <f t="shared" si="1"/>
        <v>5.0000000000000044E-2</v>
      </c>
    </row>
    <row r="61" spans="1:8" ht="14.5">
      <c r="A61" s="41">
        <v>15917</v>
      </c>
      <c r="B61" s="380" t="str">
        <f t="shared" si="0"/>
        <v>015-917</v>
      </c>
      <c r="C61" s="2042" t="s">
        <v>1826</v>
      </c>
      <c r="D61" s="2042" t="s">
        <v>9285</v>
      </c>
      <c r="E61" s="105">
        <v>0.91339999999999999</v>
      </c>
      <c r="F61" s="105">
        <v>0.91339999999999999</v>
      </c>
      <c r="G61" s="2042">
        <v>1.0329000000000002</v>
      </c>
      <c r="H61" s="105">
        <f t="shared" si="1"/>
        <v>0.11950000000000016</v>
      </c>
    </row>
    <row r="62" spans="1:8" ht="14.5">
      <c r="A62" s="41">
        <v>16901</v>
      </c>
      <c r="B62" s="380" t="str">
        <f t="shared" si="0"/>
        <v>016-901</v>
      </c>
      <c r="C62" s="2042" t="s">
        <v>2157</v>
      </c>
      <c r="D62" s="2042" t="s">
        <v>9284</v>
      </c>
      <c r="E62" s="105">
        <v>0.82200000000000006</v>
      </c>
      <c r="F62" s="105">
        <v>0.82200000000000006</v>
      </c>
      <c r="G62" s="2042">
        <v>0.872</v>
      </c>
      <c r="H62" s="105">
        <f t="shared" si="1"/>
        <v>4.9999999999999933E-2</v>
      </c>
    </row>
    <row r="63" spans="1:8" ht="14.5">
      <c r="A63" s="41">
        <v>16902</v>
      </c>
      <c r="B63" s="380" t="str">
        <f t="shared" si="0"/>
        <v>016-902</v>
      </c>
      <c r="C63" s="2042" t="s">
        <v>753</v>
      </c>
      <c r="D63" s="2042" t="s">
        <v>9284</v>
      </c>
      <c r="E63" s="105">
        <v>0.82200000000000006</v>
      </c>
      <c r="F63" s="105">
        <v>0.82200000000000006</v>
      </c>
      <c r="G63" s="2042">
        <v>0.88200000000000001</v>
      </c>
      <c r="H63" s="105">
        <f t="shared" si="1"/>
        <v>5.9999999999999942E-2</v>
      </c>
    </row>
    <row r="64" spans="1:8" ht="14.5">
      <c r="A64" s="41">
        <v>17901</v>
      </c>
      <c r="B64" s="380" t="str">
        <f t="shared" si="0"/>
        <v>017-901</v>
      </c>
      <c r="C64" s="2042" t="s">
        <v>2158</v>
      </c>
      <c r="D64" s="2042" t="s">
        <v>9284</v>
      </c>
      <c r="E64" s="105">
        <v>0.91339999999999999</v>
      </c>
      <c r="F64" s="105">
        <v>0.91339999999999999</v>
      </c>
      <c r="G64" s="2042">
        <v>0.96340000000000003</v>
      </c>
      <c r="H64" s="105">
        <f t="shared" si="1"/>
        <v>5.0000000000000044E-2</v>
      </c>
    </row>
    <row r="65" spans="1:8" ht="14.5">
      <c r="A65" s="41">
        <v>18901</v>
      </c>
      <c r="B65" s="380" t="str">
        <f t="shared" si="0"/>
        <v>018-901</v>
      </c>
      <c r="C65" s="2042" t="s">
        <v>1095</v>
      </c>
      <c r="D65" s="2042" t="s">
        <v>9284</v>
      </c>
      <c r="E65" s="105">
        <v>0.82200000000000006</v>
      </c>
      <c r="F65" s="105">
        <v>0.82200000000000006</v>
      </c>
      <c r="G65" s="2042">
        <v>0.872</v>
      </c>
      <c r="H65" s="105">
        <f t="shared" si="1"/>
        <v>4.9999999999999933E-2</v>
      </c>
    </row>
    <row r="66" spans="1:8" ht="14.5">
      <c r="A66" s="41">
        <v>18902</v>
      </c>
      <c r="B66" s="380" t="str">
        <f t="shared" si="0"/>
        <v>018-902</v>
      </c>
      <c r="C66" s="2042" t="s">
        <v>2535</v>
      </c>
      <c r="D66" s="2042" t="s">
        <v>9284</v>
      </c>
      <c r="E66" s="105">
        <v>0.82200000000000006</v>
      </c>
      <c r="F66" s="105">
        <v>0.82200000000000006</v>
      </c>
      <c r="G66" s="2042">
        <v>0.872</v>
      </c>
      <c r="H66" s="105">
        <f t="shared" si="1"/>
        <v>4.9999999999999933E-2</v>
      </c>
    </row>
    <row r="67" spans="1:8" ht="14.5">
      <c r="A67" s="41">
        <v>18903</v>
      </c>
      <c r="B67" s="380" t="str">
        <f t="shared" ref="B67:B130" si="2">CONCATENATE(LEFT(RIGHT(CONCATENATE("000",A67),6),3),"-",(RIGHT(RIGHT(CONCATENATE("000",A67),6),3)))</f>
        <v>018-903</v>
      </c>
      <c r="C67" s="2042" t="s">
        <v>2536</v>
      </c>
      <c r="D67" s="2042" t="s">
        <v>9284</v>
      </c>
      <c r="E67" s="105">
        <v>0.82200000000000006</v>
      </c>
      <c r="F67" s="105">
        <v>0.82200000000000006</v>
      </c>
      <c r="G67" s="2042">
        <v>0.872</v>
      </c>
      <c r="H67" s="105">
        <f t="shared" ref="H67:H130" si="3">G67-F67</f>
        <v>4.9999999999999933E-2</v>
      </c>
    </row>
    <row r="68" spans="1:8" ht="14.5">
      <c r="A68" s="41">
        <v>18904</v>
      </c>
      <c r="B68" s="380" t="str">
        <f t="shared" si="2"/>
        <v>018-904</v>
      </c>
      <c r="C68" s="2042" t="s">
        <v>2537</v>
      </c>
      <c r="D68" s="2042" t="s">
        <v>9284</v>
      </c>
      <c r="E68" s="105">
        <v>0.82200000000000006</v>
      </c>
      <c r="F68" s="105">
        <v>0.82200000000000006</v>
      </c>
      <c r="G68" s="2042">
        <v>0.872</v>
      </c>
      <c r="H68" s="105">
        <f t="shared" si="3"/>
        <v>4.9999999999999933E-2</v>
      </c>
    </row>
    <row r="69" spans="1:8" ht="14.5">
      <c r="A69" s="41">
        <v>18905</v>
      </c>
      <c r="B69" s="380" t="str">
        <f t="shared" si="2"/>
        <v>018-905</v>
      </c>
      <c r="C69" s="2042" t="s">
        <v>1911</v>
      </c>
      <c r="D69" s="2042" t="s">
        <v>9284</v>
      </c>
      <c r="E69" s="105">
        <v>0.82469999999999999</v>
      </c>
      <c r="F69" s="105">
        <v>0.82469999999999999</v>
      </c>
      <c r="G69" s="2042">
        <v>0.87470000000000003</v>
      </c>
      <c r="H69" s="105">
        <f t="shared" si="3"/>
        <v>5.0000000000000044E-2</v>
      </c>
    </row>
    <row r="70" spans="1:8" ht="14.5">
      <c r="A70" s="41">
        <v>18906</v>
      </c>
      <c r="B70" s="380" t="str">
        <f t="shared" si="2"/>
        <v>018-906</v>
      </c>
      <c r="C70" s="2042" t="s">
        <v>2538</v>
      </c>
      <c r="D70" s="2042" t="s">
        <v>9284</v>
      </c>
      <c r="E70" s="105">
        <v>0.82200000000000006</v>
      </c>
      <c r="F70" s="105">
        <v>0.82200000000000006</v>
      </c>
      <c r="G70" s="2042">
        <v>0.872</v>
      </c>
      <c r="H70" s="105">
        <f t="shared" si="3"/>
        <v>4.9999999999999933E-2</v>
      </c>
    </row>
    <row r="71" spans="1:8" ht="14.5">
      <c r="A71" s="41">
        <v>18907</v>
      </c>
      <c r="B71" s="380" t="str">
        <f t="shared" si="2"/>
        <v>018-907</v>
      </c>
      <c r="C71" s="2042" t="s">
        <v>2539</v>
      </c>
      <c r="D71" s="2042" t="s">
        <v>9284</v>
      </c>
      <c r="E71" s="105">
        <v>0.82200000000000006</v>
      </c>
      <c r="F71" s="105">
        <v>0.82200000000000006</v>
      </c>
      <c r="G71" s="2042">
        <v>0.872</v>
      </c>
      <c r="H71" s="105">
        <f t="shared" si="3"/>
        <v>4.9999999999999933E-2</v>
      </c>
    </row>
    <row r="72" spans="1:8" ht="14.5">
      <c r="A72" s="41">
        <v>18908</v>
      </c>
      <c r="B72" s="380" t="str">
        <f t="shared" si="2"/>
        <v>018-908</v>
      </c>
      <c r="C72" s="2042" t="s">
        <v>2540</v>
      </c>
      <c r="D72" s="2042" t="s">
        <v>9284</v>
      </c>
      <c r="E72" s="105">
        <v>0.82200000000000006</v>
      </c>
      <c r="F72" s="105">
        <v>0.82200000000000006</v>
      </c>
      <c r="G72" s="2042">
        <v>0.872</v>
      </c>
      <c r="H72" s="105">
        <f t="shared" si="3"/>
        <v>4.9999999999999933E-2</v>
      </c>
    </row>
    <row r="73" spans="1:8" ht="14.5">
      <c r="A73" s="41">
        <v>19901</v>
      </c>
      <c r="B73" s="380" t="str">
        <f t="shared" si="2"/>
        <v>019-901</v>
      </c>
      <c r="C73" s="2042" t="s">
        <v>2519</v>
      </c>
      <c r="D73" s="2042" t="s">
        <v>9284</v>
      </c>
      <c r="E73" s="105">
        <v>0.8891</v>
      </c>
      <c r="F73" s="105">
        <v>0.8891</v>
      </c>
      <c r="G73" s="2042">
        <v>1.0274000000000001</v>
      </c>
      <c r="H73" s="105">
        <f t="shared" si="3"/>
        <v>0.13830000000000009</v>
      </c>
    </row>
    <row r="74" spans="1:8" ht="14.5">
      <c r="A74" s="41">
        <v>19902</v>
      </c>
      <c r="B74" s="380" t="str">
        <f t="shared" si="2"/>
        <v>019-902</v>
      </c>
      <c r="C74" s="2042" t="s">
        <v>2246</v>
      </c>
      <c r="D74" s="2042" t="s">
        <v>9284</v>
      </c>
      <c r="E74" s="105">
        <v>0.87260000000000004</v>
      </c>
      <c r="F74" s="105">
        <v>0.87260000000000004</v>
      </c>
      <c r="G74" s="2042">
        <v>1.0109000000000001</v>
      </c>
      <c r="H74" s="105">
        <f t="shared" si="3"/>
        <v>0.13830000000000009</v>
      </c>
    </row>
    <row r="75" spans="1:8" ht="14.5">
      <c r="A75" s="41">
        <v>19903</v>
      </c>
      <c r="B75" s="380" t="str">
        <f t="shared" si="2"/>
        <v>019-903</v>
      </c>
      <c r="C75" s="2042" t="s">
        <v>1954</v>
      </c>
      <c r="D75" s="2042" t="s">
        <v>9284</v>
      </c>
      <c r="E75" s="105">
        <v>0.82200000000000006</v>
      </c>
      <c r="F75" s="105">
        <v>0.82200000000000006</v>
      </c>
      <c r="G75" s="2042">
        <v>0.96030000000000004</v>
      </c>
      <c r="H75" s="105">
        <f t="shared" si="3"/>
        <v>0.13829999999999998</v>
      </c>
    </row>
    <row r="76" spans="1:8" ht="14.5">
      <c r="A76" s="41">
        <v>19905</v>
      </c>
      <c r="B76" s="380" t="str">
        <f t="shared" si="2"/>
        <v>019-905</v>
      </c>
      <c r="C76" s="2042" t="s">
        <v>1313</v>
      </c>
      <c r="D76" s="2042" t="s">
        <v>9284</v>
      </c>
      <c r="E76" s="105">
        <v>0.90329999999999999</v>
      </c>
      <c r="F76" s="105">
        <v>0.90329999999999999</v>
      </c>
      <c r="G76" s="2042">
        <v>1.0416000000000001</v>
      </c>
      <c r="H76" s="105">
        <f t="shared" si="3"/>
        <v>0.13830000000000009</v>
      </c>
    </row>
    <row r="77" spans="1:8" ht="14.5">
      <c r="A77" s="41">
        <v>19906</v>
      </c>
      <c r="B77" s="380" t="str">
        <f t="shared" si="2"/>
        <v>019-906</v>
      </c>
      <c r="C77" s="2042" t="s">
        <v>1314</v>
      </c>
      <c r="D77" s="2042" t="s">
        <v>9284</v>
      </c>
      <c r="E77" s="105">
        <v>0.84510000000000007</v>
      </c>
      <c r="F77" s="105">
        <v>0.84510000000000007</v>
      </c>
      <c r="G77" s="2042">
        <v>0.98340000000000005</v>
      </c>
      <c r="H77" s="105">
        <f t="shared" si="3"/>
        <v>0.13829999999999998</v>
      </c>
    </row>
    <row r="78" spans="1:8" ht="14.5">
      <c r="A78" s="41">
        <v>19907</v>
      </c>
      <c r="B78" s="380" t="str">
        <f t="shared" si="2"/>
        <v>019-907</v>
      </c>
      <c r="C78" s="2042" t="s">
        <v>1315</v>
      </c>
      <c r="D78" s="2042" t="s">
        <v>9284</v>
      </c>
      <c r="E78" s="105">
        <v>0.91339999999999999</v>
      </c>
      <c r="F78" s="105">
        <v>0.91339999999999999</v>
      </c>
      <c r="G78" s="2042">
        <v>1.0517000000000001</v>
      </c>
      <c r="H78" s="105">
        <f t="shared" si="3"/>
        <v>0.13830000000000009</v>
      </c>
    </row>
    <row r="79" spans="1:8" ht="14.5">
      <c r="A79" s="41">
        <v>19908</v>
      </c>
      <c r="B79" s="380" t="str">
        <f t="shared" si="2"/>
        <v>019-908</v>
      </c>
      <c r="C79" s="2042" t="s">
        <v>2346</v>
      </c>
      <c r="D79" s="2042" t="s">
        <v>9284</v>
      </c>
      <c r="E79" s="105">
        <v>0.91170000000000007</v>
      </c>
      <c r="F79" s="105">
        <v>0.91170000000000007</v>
      </c>
      <c r="G79" s="2042">
        <v>1.05</v>
      </c>
      <c r="H79" s="105">
        <f t="shared" si="3"/>
        <v>0.13829999999999998</v>
      </c>
    </row>
    <row r="80" spans="1:8" ht="14.5">
      <c r="A80" s="41">
        <v>19909</v>
      </c>
      <c r="B80" s="380" t="str">
        <f t="shared" si="2"/>
        <v>019-909</v>
      </c>
      <c r="C80" s="2042" t="s">
        <v>252</v>
      </c>
      <c r="D80" s="2042" t="s">
        <v>9284</v>
      </c>
      <c r="E80" s="105">
        <v>0.82200000000000006</v>
      </c>
      <c r="F80" s="105">
        <v>0.82200000000000006</v>
      </c>
      <c r="G80" s="2042">
        <v>0.96030000000000004</v>
      </c>
      <c r="H80" s="105">
        <f t="shared" si="3"/>
        <v>0.13829999999999998</v>
      </c>
    </row>
    <row r="81" spans="1:8" ht="14.5">
      <c r="A81" s="41">
        <v>19910</v>
      </c>
      <c r="B81" s="380" t="str">
        <f t="shared" si="2"/>
        <v>019-910</v>
      </c>
      <c r="C81" s="2042" t="s">
        <v>274</v>
      </c>
      <c r="D81" s="2042" t="s">
        <v>9284</v>
      </c>
      <c r="E81" s="105">
        <v>0.82200000000000006</v>
      </c>
      <c r="F81" s="105">
        <v>0.82200000000000006</v>
      </c>
      <c r="G81" s="2042">
        <v>0.872</v>
      </c>
      <c r="H81" s="105">
        <f t="shared" si="3"/>
        <v>4.9999999999999933E-2</v>
      </c>
    </row>
    <row r="82" spans="1:8" ht="14.5">
      <c r="A82" s="41">
        <v>19911</v>
      </c>
      <c r="B82" s="380" t="str">
        <f t="shared" si="2"/>
        <v>019-911</v>
      </c>
      <c r="C82" s="2042" t="s">
        <v>2347</v>
      </c>
      <c r="D82" s="2042" t="s">
        <v>9284</v>
      </c>
      <c r="E82" s="105">
        <v>0.87020000000000008</v>
      </c>
      <c r="F82" s="105">
        <v>0.87020000000000008</v>
      </c>
      <c r="G82" s="2042">
        <v>0.92020000000000002</v>
      </c>
      <c r="H82" s="105">
        <f t="shared" si="3"/>
        <v>4.9999999999999933E-2</v>
      </c>
    </row>
    <row r="83" spans="1:8" ht="14.5">
      <c r="A83" s="41">
        <v>19912</v>
      </c>
      <c r="B83" s="380" t="str">
        <f t="shared" si="2"/>
        <v>019-912</v>
      </c>
      <c r="C83" s="2042" t="s">
        <v>2348</v>
      </c>
      <c r="D83" s="2042" t="s">
        <v>9284</v>
      </c>
      <c r="E83" s="105">
        <v>0.91010000000000002</v>
      </c>
      <c r="F83" s="105">
        <v>0.91010000000000002</v>
      </c>
      <c r="G83" s="2042">
        <v>0.99650000000000005</v>
      </c>
      <c r="H83" s="105">
        <f t="shared" si="3"/>
        <v>8.6400000000000032E-2</v>
      </c>
    </row>
    <row r="84" spans="1:8" ht="14.5">
      <c r="A84" s="41">
        <v>19913</v>
      </c>
      <c r="B84" s="380" t="str">
        <f t="shared" si="2"/>
        <v>019-913</v>
      </c>
      <c r="C84" s="2042" t="s">
        <v>2248</v>
      </c>
      <c r="D84" s="2042" t="s">
        <v>9284</v>
      </c>
      <c r="E84" s="105">
        <v>0.8570000000000001</v>
      </c>
      <c r="F84" s="105">
        <v>0.8570000000000001</v>
      </c>
      <c r="G84" s="2042">
        <v>0.90700000000000003</v>
      </c>
      <c r="H84" s="105">
        <f t="shared" si="3"/>
        <v>4.9999999999999933E-2</v>
      </c>
    </row>
    <row r="85" spans="1:8" ht="14.5">
      <c r="A85" s="41">
        <v>19914</v>
      </c>
      <c r="B85" s="380" t="str">
        <f t="shared" si="2"/>
        <v>019-914</v>
      </c>
      <c r="C85" s="2042" t="s">
        <v>2349</v>
      </c>
      <c r="D85" s="2042" t="s">
        <v>9284</v>
      </c>
      <c r="E85" s="105">
        <v>0.87040000000000006</v>
      </c>
      <c r="F85" s="105">
        <v>0.87040000000000006</v>
      </c>
      <c r="G85" s="2042">
        <v>0.9204</v>
      </c>
      <c r="H85" s="105">
        <f t="shared" si="3"/>
        <v>4.9999999999999933E-2</v>
      </c>
    </row>
    <row r="86" spans="1:8" ht="14.5">
      <c r="A86" s="41">
        <v>20901</v>
      </c>
      <c r="B86" s="380" t="str">
        <f t="shared" si="2"/>
        <v>020-901</v>
      </c>
      <c r="C86" s="2042" t="s">
        <v>996</v>
      </c>
      <c r="D86" s="2042" t="s">
        <v>9284</v>
      </c>
      <c r="E86" s="105">
        <v>0.83130000000000004</v>
      </c>
      <c r="F86" s="105">
        <v>0.83130000000000004</v>
      </c>
      <c r="G86" s="2042">
        <v>0.96960000000000002</v>
      </c>
      <c r="H86" s="105">
        <f t="shared" si="3"/>
        <v>0.13829999999999998</v>
      </c>
    </row>
    <row r="87" spans="1:8" ht="14.5">
      <c r="A87" s="41">
        <v>20902</v>
      </c>
      <c r="B87" s="380" t="str">
        <f t="shared" si="2"/>
        <v>020-902</v>
      </c>
      <c r="C87" s="2042" t="s">
        <v>2350</v>
      </c>
      <c r="D87" s="2042" t="s">
        <v>9284</v>
      </c>
      <c r="E87" s="105">
        <v>0.82200000000000006</v>
      </c>
      <c r="F87" s="105">
        <v>0.82200000000000006</v>
      </c>
      <c r="G87" s="2042">
        <v>0.872</v>
      </c>
      <c r="H87" s="105">
        <f t="shared" si="3"/>
        <v>4.9999999999999933E-2</v>
      </c>
    </row>
    <row r="88" spans="1:8" ht="14.5">
      <c r="A88" s="41">
        <v>20904</v>
      </c>
      <c r="B88" s="380" t="str">
        <f t="shared" si="2"/>
        <v>020-904</v>
      </c>
      <c r="C88" s="2042" t="s">
        <v>2515</v>
      </c>
      <c r="D88" s="2042" t="s">
        <v>9284</v>
      </c>
      <c r="E88" s="105">
        <v>0.82200000000000006</v>
      </c>
      <c r="F88" s="105">
        <v>0.82200000000000006</v>
      </c>
      <c r="G88" s="2042">
        <v>0.96030000000000004</v>
      </c>
      <c r="H88" s="105">
        <f t="shared" si="3"/>
        <v>0.13829999999999998</v>
      </c>
    </row>
    <row r="89" spans="1:8" ht="14.5">
      <c r="A89" s="41">
        <v>20905</v>
      </c>
      <c r="B89" s="380" t="str">
        <f t="shared" si="2"/>
        <v>020-905</v>
      </c>
      <c r="C89" s="2042" t="s">
        <v>2351</v>
      </c>
      <c r="D89" s="2042" t="s">
        <v>9284</v>
      </c>
      <c r="E89" s="105">
        <v>0.91339999999999999</v>
      </c>
      <c r="F89" s="105">
        <v>0.91339999999999999</v>
      </c>
      <c r="G89" s="2042">
        <v>0.96340000000000003</v>
      </c>
      <c r="H89" s="105">
        <f t="shared" si="3"/>
        <v>5.0000000000000044E-2</v>
      </c>
    </row>
    <row r="90" spans="1:8" ht="14.5">
      <c r="A90" s="41">
        <v>20906</v>
      </c>
      <c r="B90" s="380" t="str">
        <f t="shared" si="2"/>
        <v>020-906</v>
      </c>
      <c r="C90" s="2042" t="s">
        <v>2352</v>
      </c>
      <c r="D90" s="2042" t="s">
        <v>9284</v>
      </c>
      <c r="E90" s="105">
        <v>0.82469999999999999</v>
      </c>
      <c r="F90" s="105">
        <v>0.82469999999999999</v>
      </c>
      <c r="G90" s="2042">
        <v>0.88470000000000004</v>
      </c>
      <c r="H90" s="105">
        <f t="shared" si="3"/>
        <v>6.0000000000000053E-2</v>
      </c>
    </row>
    <row r="91" spans="1:8" ht="14.5">
      <c r="A91" s="41">
        <v>20907</v>
      </c>
      <c r="B91" s="380" t="str">
        <f t="shared" si="2"/>
        <v>020-907</v>
      </c>
      <c r="C91" s="2042" t="s">
        <v>1458</v>
      </c>
      <c r="D91" s="2042" t="s">
        <v>9284</v>
      </c>
      <c r="E91" s="105">
        <v>0.82200000000000006</v>
      </c>
      <c r="F91" s="105">
        <v>0.82200000000000006</v>
      </c>
      <c r="G91" s="2042">
        <v>0.872</v>
      </c>
      <c r="H91" s="105">
        <f t="shared" si="3"/>
        <v>4.9999999999999933E-2</v>
      </c>
    </row>
    <row r="92" spans="1:8" ht="14.5">
      <c r="A92" s="41">
        <v>20908</v>
      </c>
      <c r="B92" s="380" t="str">
        <f t="shared" si="2"/>
        <v>020-908</v>
      </c>
      <c r="C92" s="2042" t="s">
        <v>259</v>
      </c>
      <c r="D92" s="2042" t="s">
        <v>9284</v>
      </c>
      <c r="E92" s="105">
        <v>0.83960000000000001</v>
      </c>
      <c r="F92" s="105">
        <v>0.83960000000000001</v>
      </c>
      <c r="G92" s="2042">
        <v>0.91960000000000008</v>
      </c>
      <c r="H92" s="105">
        <f t="shared" si="3"/>
        <v>8.0000000000000071E-2</v>
      </c>
    </row>
    <row r="93" spans="1:8" ht="14.5">
      <c r="A93" s="41">
        <v>20910</v>
      </c>
      <c r="B93" s="380" t="str">
        <f t="shared" si="2"/>
        <v>020-910</v>
      </c>
      <c r="C93" s="2042" t="s">
        <v>2353</v>
      </c>
      <c r="D93" s="2042" t="s">
        <v>9284</v>
      </c>
      <c r="E93" s="105">
        <v>0.82200000000000006</v>
      </c>
      <c r="F93" s="105">
        <v>0.82200000000000006</v>
      </c>
      <c r="G93" s="2042">
        <v>0.96030000000000004</v>
      </c>
      <c r="H93" s="105">
        <f t="shared" si="3"/>
        <v>0.13829999999999998</v>
      </c>
    </row>
    <row r="94" spans="1:8" ht="14.5">
      <c r="A94" s="41">
        <v>21901</v>
      </c>
      <c r="B94" s="380" t="str">
        <f t="shared" si="2"/>
        <v>021-901</v>
      </c>
      <c r="C94" s="2042" t="s">
        <v>1099</v>
      </c>
      <c r="D94" s="2042" t="s">
        <v>9284</v>
      </c>
      <c r="E94" s="105">
        <v>0.9022</v>
      </c>
      <c r="F94" s="105">
        <v>0.9022</v>
      </c>
      <c r="G94" s="2042">
        <v>0.95220000000000005</v>
      </c>
      <c r="H94" s="105">
        <f t="shared" si="3"/>
        <v>5.0000000000000044E-2</v>
      </c>
    </row>
    <row r="95" spans="1:8" ht="14.5">
      <c r="A95" s="41">
        <v>21902</v>
      </c>
      <c r="B95" s="380" t="str">
        <f t="shared" si="2"/>
        <v>021-902</v>
      </c>
      <c r="C95" s="2042" t="s">
        <v>2491</v>
      </c>
      <c r="D95" s="2042" t="s">
        <v>9284</v>
      </c>
      <c r="E95" s="105">
        <v>0.89180000000000004</v>
      </c>
      <c r="F95" s="105">
        <v>0.89180000000000004</v>
      </c>
      <c r="G95" s="2042">
        <v>0.95180000000000009</v>
      </c>
      <c r="H95" s="105">
        <f t="shared" si="3"/>
        <v>6.0000000000000053E-2</v>
      </c>
    </row>
    <row r="96" spans="1:8" ht="14.5">
      <c r="A96" s="41">
        <v>22004</v>
      </c>
      <c r="B96" s="380" t="str">
        <f t="shared" si="2"/>
        <v>022-004</v>
      </c>
      <c r="C96" s="2042" t="s">
        <v>2354</v>
      </c>
      <c r="D96" s="2042" t="s">
        <v>9284</v>
      </c>
      <c r="E96" s="105">
        <v>0.85970000000000002</v>
      </c>
      <c r="F96" s="105">
        <v>0.85970000000000002</v>
      </c>
      <c r="G96" s="2042">
        <v>0.90380000000000005</v>
      </c>
      <c r="H96" s="105">
        <f t="shared" si="3"/>
        <v>4.4100000000000028E-2</v>
      </c>
    </row>
    <row r="97" spans="1:8" ht="14.5">
      <c r="A97" s="41">
        <v>22901</v>
      </c>
      <c r="B97" s="380" t="str">
        <f t="shared" si="2"/>
        <v>022-901</v>
      </c>
      <c r="C97" s="2042" t="s">
        <v>2355</v>
      </c>
      <c r="D97" s="2042" t="s">
        <v>9284</v>
      </c>
      <c r="E97" s="105">
        <v>0.86410000000000009</v>
      </c>
      <c r="F97" s="105">
        <v>0.86410000000000009</v>
      </c>
      <c r="G97" s="2042">
        <v>1.0024</v>
      </c>
      <c r="H97" s="105">
        <f t="shared" si="3"/>
        <v>0.13829999999999987</v>
      </c>
    </row>
    <row r="98" spans="1:8" ht="14.5">
      <c r="A98" s="41">
        <v>22902</v>
      </c>
      <c r="B98" s="380" t="str">
        <f t="shared" si="2"/>
        <v>022-902</v>
      </c>
      <c r="C98" s="2042" t="s">
        <v>1498</v>
      </c>
      <c r="D98" s="2042" t="s">
        <v>9284</v>
      </c>
      <c r="E98" s="105">
        <v>0.8407</v>
      </c>
      <c r="F98" s="105">
        <v>0.8407</v>
      </c>
      <c r="G98" s="629">
        <v>0.97899999999999998</v>
      </c>
      <c r="H98" s="105">
        <f t="shared" si="3"/>
        <v>0.13829999999999998</v>
      </c>
    </row>
    <row r="99" spans="1:8" ht="14.5">
      <c r="A99" s="41">
        <v>22903</v>
      </c>
      <c r="B99" s="380" t="str">
        <f t="shared" si="2"/>
        <v>022-903</v>
      </c>
      <c r="C99" s="2042" t="s">
        <v>1499</v>
      </c>
      <c r="D99" s="2042" t="s">
        <v>9284</v>
      </c>
      <c r="E99" s="105">
        <v>0.91339999999999999</v>
      </c>
      <c r="F99" s="105">
        <v>0.91339999999999999</v>
      </c>
      <c r="G99" s="2042">
        <v>0.96340000000000003</v>
      </c>
      <c r="H99" s="105">
        <f t="shared" si="3"/>
        <v>5.0000000000000044E-2</v>
      </c>
    </row>
    <row r="100" spans="1:8" ht="14.5">
      <c r="A100" s="41">
        <v>23902</v>
      </c>
      <c r="B100" s="380" t="str">
        <f t="shared" si="2"/>
        <v>023-902</v>
      </c>
      <c r="C100" s="2042" t="s">
        <v>1500</v>
      </c>
      <c r="D100" s="2042" t="s">
        <v>9284</v>
      </c>
      <c r="E100" s="105">
        <v>0.90150000000000008</v>
      </c>
      <c r="F100" s="105">
        <v>0.90150000000000008</v>
      </c>
      <c r="G100" s="2042">
        <v>0.95150000000000001</v>
      </c>
      <c r="H100" s="105">
        <f t="shared" si="3"/>
        <v>4.9999999999999933E-2</v>
      </c>
    </row>
    <row r="101" spans="1:8" ht="14.5">
      <c r="A101" s="41">
        <v>24901</v>
      </c>
      <c r="B101" s="380" t="str">
        <f t="shared" si="2"/>
        <v>024-901</v>
      </c>
      <c r="C101" s="2042" t="s">
        <v>1501</v>
      </c>
      <c r="D101" s="2042" t="s">
        <v>9284</v>
      </c>
      <c r="E101" s="105">
        <v>0.91339999999999999</v>
      </c>
      <c r="F101" s="105">
        <v>0.91339999999999999</v>
      </c>
      <c r="G101" s="2042">
        <v>1.0517000000000001</v>
      </c>
      <c r="H101" s="105">
        <f t="shared" si="3"/>
        <v>0.13830000000000009</v>
      </c>
    </row>
    <row r="102" spans="1:8" ht="14.5">
      <c r="A102" s="41">
        <v>25901</v>
      </c>
      <c r="B102" s="380" t="str">
        <f t="shared" si="2"/>
        <v>025-901</v>
      </c>
      <c r="C102" s="2042" t="s">
        <v>1502</v>
      </c>
      <c r="D102" s="2042" t="s">
        <v>9284</v>
      </c>
      <c r="E102" s="105">
        <v>0.82200000000000006</v>
      </c>
      <c r="F102" s="105">
        <v>0.82200000000000006</v>
      </c>
      <c r="G102" s="2042">
        <v>0.872</v>
      </c>
      <c r="H102" s="105">
        <f t="shared" si="3"/>
        <v>4.9999999999999933E-2</v>
      </c>
    </row>
    <row r="103" spans="1:8" ht="14.5">
      <c r="A103" s="41">
        <v>25902</v>
      </c>
      <c r="B103" s="380" t="str">
        <f t="shared" si="2"/>
        <v>025-902</v>
      </c>
      <c r="C103" s="2042" t="s">
        <v>1503</v>
      </c>
      <c r="D103" s="2042" t="s">
        <v>9284</v>
      </c>
      <c r="E103" s="105">
        <v>0.88690000000000002</v>
      </c>
      <c r="F103" s="105">
        <v>0.88690000000000002</v>
      </c>
      <c r="G103" s="2042">
        <v>0.93690000000000007</v>
      </c>
      <c r="H103" s="105">
        <f t="shared" si="3"/>
        <v>5.0000000000000044E-2</v>
      </c>
    </row>
    <row r="104" spans="1:8" ht="14.5">
      <c r="A104" s="41">
        <v>25904</v>
      </c>
      <c r="B104" s="380" t="str">
        <f t="shared" si="2"/>
        <v>025-904</v>
      </c>
      <c r="C104" s="2042" t="s">
        <v>1267</v>
      </c>
      <c r="D104" s="2042" t="s">
        <v>9284</v>
      </c>
      <c r="E104" s="105">
        <v>0.91339999999999999</v>
      </c>
      <c r="F104" s="105">
        <v>0.91339999999999999</v>
      </c>
      <c r="G104" s="2042">
        <v>0.96340000000000003</v>
      </c>
      <c r="H104" s="105">
        <f t="shared" si="3"/>
        <v>5.0000000000000044E-2</v>
      </c>
    </row>
    <row r="105" spans="1:8" ht="14.5">
      <c r="A105" s="41">
        <v>25905</v>
      </c>
      <c r="B105" s="380" t="str">
        <f t="shared" si="2"/>
        <v>025-905</v>
      </c>
      <c r="C105" s="2042" t="s">
        <v>1955</v>
      </c>
      <c r="D105" s="2042" t="s">
        <v>9284</v>
      </c>
      <c r="E105" s="105">
        <v>0.82200000000000006</v>
      </c>
      <c r="F105" s="105">
        <v>0.82200000000000006</v>
      </c>
      <c r="G105" s="2042">
        <v>0.872</v>
      </c>
      <c r="H105" s="105">
        <f t="shared" si="3"/>
        <v>4.9999999999999933E-2</v>
      </c>
    </row>
    <row r="106" spans="1:8" ht="14.5">
      <c r="A106" s="41">
        <v>25906</v>
      </c>
      <c r="B106" s="380" t="str">
        <f t="shared" si="2"/>
        <v>025-906</v>
      </c>
      <c r="C106" s="2042" t="s">
        <v>2528</v>
      </c>
      <c r="D106" s="2042" t="s">
        <v>9284</v>
      </c>
      <c r="E106" s="105">
        <v>0.82200000000000006</v>
      </c>
      <c r="F106" s="105">
        <v>0.82200000000000006</v>
      </c>
      <c r="G106" s="2042">
        <v>0.872</v>
      </c>
      <c r="H106" s="105">
        <f t="shared" si="3"/>
        <v>4.9999999999999933E-2</v>
      </c>
    </row>
    <row r="107" spans="1:8" ht="14.5">
      <c r="A107" s="41">
        <v>25908</v>
      </c>
      <c r="B107" s="380" t="str">
        <f t="shared" si="2"/>
        <v>025-908</v>
      </c>
      <c r="C107" s="2042" t="s">
        <v>2278</v>
      </c>
      <c r="D107" s="2042" t="s">
        <v>9284</v>
      </c>
      <c r="E107" s="105">
        <v>0.82200000000000006</v>
      </c>
      <c r="F107" s="105">
        <v>0.82200000000000006</v>
      </c>
      <c r="G107" s="2042">
        <v>0.96030000000000004</v>
      </c>
      <c r="H107" s="105">
        <f t="shared" si="3"/>
        <v>0.13829999999999998</v>
      </c>
    </row>
    <row r="108" spans="1:8" ht="14.5">
      <c r="A108" s="41">
        <v>25909</v>
      </c>
      <c r="B108" s="380" t="str">
        <f t="shared" si="2"/>
        <v>025-909</v>
      </c>
      <c r="C108" s="2042" t="s">
        <v>1007</v>
      </c>
      <c r="D108" s="2042" t="s">
        <v>9284</v>
      </c>
      <c r="E108" s="105">
        <v>0.82230000000000003</v>
      </c>
      <c r="F108" s="105">
        <v>0.82230000000000003</v>
      </c>
      <c r="G108" s="2042">
        <v>0.96060000000000001</v>
      </c>
      <c r="H108" s="105">
        <f t="shared" si="3"/>
        <v>0.13829999999999998</v>
      </c>
    </row>
    <row r="109" spans="1:8" ht="14.5">
      <c r="A109" s="727">
        <v>26901</v>
      </c>
      <c r="B109" s="1683" t="str">
        <f t="shared" si="2"/>
        <v>026-901</v>
      </c>
      <c r="C109" s="629" t="s">
        <v>1504</v>
      </c>
      <c r="D109" s="629" t="s">
        <v>9284</v>
      </c>
      <c r="E109" s="105">
        <v>0.82469999999999999</v>
      </c>
      <c r="F109" s="105">
        <v>0.82480000000000009</v>
      </c>
      <c r="G109" s="2042">
        <v>0.93500000000000005</v>
      </c>
      <c r="H109" s="105">
        <f t="shared" si="3"/>
        <v>0.11019999999999996</v>
      </c>
    </row>
    <row r="110" spans="1:8" ht="14.5">
      <c r="A110" s="41">
        <v>26902</v>
      </c>
      <c r="B110" s="380" t="str">
        <f t="shared" si="2"/>
        <v>026-902</v>
      </c>
      <c r="C110" s="2042" t="s">
        <v>1505</v>
      </c>
      <c r="D110" s="2042" t="s">
        <v>9284</v>
      </c>
      <c r="E110" s="105">
        <v>0.89760000000000006</v>
      </c>
      <c r="F110" s="105">
        <v>0.89760000000000006</v>
      </c>
      <c r="G110" s="2042">
        <v>0.89760000000000006</v>
      </c>
      <c r="H110" s="105">
        <f t="shared" si="3"/>
        <v>0</v>
      </c>
    </row>
    <row r="111" spans="1:8" ht="14.5">
      <c r="A111" s="727">
        <v>26903</v>
      </c>
      <c r="B111" s="1683" t="str">
        <f t="shared" si="2"/>
        <v>026-903</v>
      </c>
      <c r="C111" s="629" t="s">
        <v>1506</v>
      </c>
      <c r="D111" s="629" t="s">
        <v>9284</v>
      </c>
      <c r="E111" s="105">
        <v>0.91339999999999999</v>
      </c>
      <c r="F111" s="105">
        <v>0.91360000000000008</v>
      </c>
      <c r="G111" s="2042">
        <v>1.0474000000000001</v>
      </c>
      <c r="H111" s="105">
        <f t="shared" si="3"/>
        <v>0.13380000000000003</v>
      </c>
    </row>
    <row r="112" spans="1:8" ht="14.5">
      <c r="A112" s="41">
        <v>27903</v>
      </c>
      <c r="B112" s="380" t="str">
        <f t="shared" si="2"/>
        <v>027-903</v>
      </c>
      <c r="C112" s="2042" t="s">
        <v>124</v>
      </c>
      <c r="D112" s="2042" t="s">
        <v>9284</v>
      </c>
      <c r="E112" s="105">
        <v>0.82200000000000006</v>
      </c>
      <c r="F112" s="105">
        <v>0.82200000000000006</v>
      </c>
      <c r="G112" s="2042">
        <v>0.88200000000000001</v>
      </c>
      <c r="H112" s="105">
        <f t="shared" si="3"/>
        <v>5.9999999999999942E-2</v>
      </c>
    </row>
    <row r="113" spans="1:8" ht="14.5">
      <c r="A113" s="41">
        <v>27904</v>
      </c>
      <c r="B113" s="380" t="str">
        <f t="shared" si="2"/>
        <v>027-904</v>
      </c>
      <c r="C113" s="2042" t="s">
        <v>276</v>
      </c>
      <c r="D113" s="2042" t="s">
        <v>9284</v>
      </c>
      <c r="E113" s="105">
        <v>0.84620000000000006</v>
      </c>
      <c r="F113" s="105">
        <v>0.84620000000000006</v>
      </c>
      <c r="G113" s="2042">
        <v>0.89950000000000008</v>
      </c>
      <c r="H113" s="105">
        <f t="shared" si="3"/>
        <v>5.3300000000000014E-2</v>
      </c>
    </row>
    <row r="114" spans="1:8" ht="14.5">
      <c r="A114" s="41">
        <v>28902</v>
      </c>
      <c r="B114" s="380" t="str">
        <f t="shared" si="2"/>
        <v>028-902</v>
      </c>
      <c r="C114" s="2042" t="s">
        <v>2104</v>
      </c>
      <c r="D114" s="2042" t="s">
        <v>9284</v>
      </c>
      <c r="E114" s="105">
        <v>0.82200000000000006</v>
      </c>
      <c r="F114" s="105">
        <v>0.82200000000000006</v>
      </c>
      <c r="G114" s="2042">
        <v>0.872</v>
      </c>
      <c r="H114" s="105">
        <f t="shared" si="3"/>
        <v>4.9999999999999933E-2</v>
      </c>
    </row>
    <row r="115" spans="1:8" ht="14.5">
      <c r="A115" s="41">
        <v>28903</v>
      </c>
      <c r="B115" s="380" t="str">
        <f t="shared" si="2"/>
        <v>028-903</v>
      </c>
      <c r="C115" s="2042" t="s">
        <v>792</v>
      </c>
      <c r="D115" s="2042" t="s">
        <v>9284</v>
      </c>
      <c r="E115" s="105">
        <v>0.87880000000000003</v>
      </c>
      <c r="F115" s="105">
        <v>0.87880000000000003</v>
      </c>
      <c r="G115" s="2042">
        <v>0.92880000000000007</v>
      </c>
      <c r="H115" s="105">
        <f t="shared" si="3"/>
        <v>5.0000000000000044E-2</v>
      </c>
    </row>
    <row r="116" spans="1:8" ht="14.5">
      <c r="A116" s="41">
        <v>28906</v>
      </c>
      <c r="B116" s="380" t="str">
        <f t="shared" si="2"/>
        <v>028-906</v>
      </c>
      <c r="C116" s="2042" t="s">
        <v>1507</v>
      </c>
      <c r="D116" s="2042" t="s">
        <v>9284</v>
      </c>
      <c r="E116" s="105">
        <v>0.91339999999999999</v>
      </c>
      <c r="F116" s="105">
        <v>0.91339999999999999</v>
      </c>
      <c r="G116" s="2042">
        <v>0.96340000000000003</v>
      </c>
      <c r="H116" s="105">
        <f t="shared" si="3"/>
        <v>5.0000000000000044E-2</v>
      </c>
    </row>
    <row r="117" spans="1:8" ht="14.5">
      <c r="A117" s="41">
        <v>29901</v>
      </c>
      <c r="B117" s="380" t="str">
        <f t="shared" si="2"/>
        <v>029-901</v>
      </c>
      <c r="C117" s="2042" t="s">
        <v>971</v>
      </c>
      <c r="D117" s="2042" t="s">
        <v>9284</v>
      </c>
      <c r="E117" s="105">
        <v>0.90780000000000005</v>
      </c>
      <c r="F117" s="105">
        <v>0.90780000000000005</v>
      </c>
      <c r="G117" s="2042">
        <v>0.9578000000000001</v>
      </c>
      <c r="H117" s="105">
        <f t="shared" si="3"/>
        <v>5.0000000000000044E-2</v>
      </c>
    </row>
    <row r="118" spans="1:8" ht="14.5">
      <c r="A118" s="41">
        <v>30901</v>
      </c>
      <c r="B118" s="380" t="str">
        <f t="shared" si="2"/>
        <v>030-901</v>
      </c>
      <c r="C118" s="2042" t="s">
        <v>1509</v>
      </c>
      <c r="D118" s="2042" t="s">
        <v>9284</v>
      </c>
      <c r="E118" s="105">
        <v>0.84740000000000004</v>
      </c>
      <c r="F118" s="105">
        <v>0.84740000000000004</v>
      </c>
      <c r="G118" s="2042">
        <v>0.98570000000000002</v>
      </c>
      <c r="H118" s="105">
        <f t="shared" si="3"/>
        <v>0.13829999999999998</v>
      </c>
    </row>
    <row r="119" spans="1:8" ht="14.5">
      <c r="A119" s="41">
        <v>30902</v>
      </c>
      <c r="B119" s="380" t="str">
        <f t="shared" si="2"/>
        <v>030-902</v>
      </c>
      <c r="C119" s="2042" t="s">
        <v>29</v>
      </c>
      <c r="D119" s="2042" t="s">
        <v>9284</v>
      </c>
      <c r="E119" s="105">
        <v>0.91339999999999999</v>
      </c>
      <c r="F119" s="105">
        <v>0.91339999999999999</v>
      </c>
      <c r="G119" s="2042">
        <v>0.97340000000000004</v>
      </c>
      <c r="H119" s="105">
        <f t="shared" si="3"/>
        <v>6.0000000000000053E-2</v>
      </c>
    </row>
    <row r="120" spans="1:8" ht="14.5">
      <c r="A120" s="41">
        <v>30903</v>
      </c>
      <c r="B120" s="380" t="str">
        <f t="shared" si="2"/>
        <v>030-903</v>
      </c>
      <c r="C120" s="2042" t="s">
        <v>1510</v>
      </c>
      <c r="D120" s="2042" t="s">
        <v>9284</v>
      </c>
      <c r="E120" s="105">
        <v>0.83379999999999999</v>
      </c>
      <c r="F120" s="105">
        <v>0.83379999999999999</v>
      </c>
      <c r="G120" s="2042">
        <v>0.97210000000000008</v>
      </c>
      <c r="H120" s="105">
        <f t="shared" si="3"/>
        <v>0.13830000000000009</v>
      </c>
    </row>
    <row r="121" spans="1:8" ht="14.5">
      <c r="A121" s="727">
        <v>30906</v>
      </c>
      <c r="B121" s="1683" t="str">
        <f t="shared" si="2"/>
        <v>030-906</v>
      </c>
      <c r="C121" s="629" t="s">
        <v>1511</v>
      </c>
      <c r="D121" s="629" t="s">
        <v>9284</v>
      </c>
      <c r="E121" s="105">
        <v>0.85189999999999999</v>
      </c>
      <c r="F121" s="105">
        <v>0.85220000000000007</v>
      </c>
      <c r="G121" s="2042">
        <v>0.99020000000000008</v>
      </c>
      <c r="H121" s="105">
        <f t="shared" si="3"/>
        <v>0.13800000000000001</v>
      </c>
    </row>
    <row r="122" spans="1:8" ht="14.5">
      <c r="A122" s="41">
        <v>31901</v>
      </c>
      <c r="B122" s="380" t="str">
        <f t="shared" si="2"/>
        <v>031-901</v>
      </c>
      <c r="C122" s="2042" t="s">
        <v>2490</v>
      </c>
      <c r="D122" s="2042" t="s">
        <v>9284</v>
      </c>
      <c r="E122" s="105">
        <v>0.88680000000000003</v>
      </c>
      <c r="F122" s="105">
        <v>0.88680000000000003</v>
      </c>
      <c r="G122" s="2042">
        <v>1.0393000000000001</v>
      </c>
      <c r="H122" s="105">
        <f t="shared" si="3"/>
        <v>0.15250000000000008</v>
      </c>
    </row>
    <row r="123" spans="1:8" ht="14.5">
      <c r="A123" s="41">
        <v>31903</v>
      </c>
      <c r="B123" s="380" t="str">
        <f t="shared" si="2"/>
        <v>031-903</v>
      </c>
      <c r="C123" s="2042" t="s">
        <v>32</v>
      </c>
      <c r="D123" s="2042" t="s">
        <v>9284</v>
      </c>
      <c r="E123" s="105">
        <v>0.86990000000000001</v>
      </c>
      <c r="F123" s="105">
        <v>0.86990000000000001</v>
      </c>
      <c r="G123" s="2042">
        <v>1.0082</v>
      </c>
      <c r="H123" s="105">
        <f t="shared" si="3"/>
        <v>0.13829999999999998</v>
      </c>
    </row>
    <row r="124" spans="1:8" ht="14.5">
      <c r="A124" s="41">
        <v>31905</v>
      </c>
      <c r="B124" s="380" t="str">
        <f t="shared" si="2"/>
        <v>031-905</v>
      </c>
      <c r="C124" s="2042" t="s">
        <v>1775</v>
      </c>
      <c r="D124" s="2042" t="s">
        <v>9284</v>
      </c>
      <c r="E124" s="105">
        <v>0.82200000000000006</v>
      </c>
      <c r="F124" s="105">
        <v>0.82200000000000006</v>
      </c>
      <c r="G124" s="2042">
        <v>0.96030000000000004</v>
      </c>
      <c r="H124" s="105">
        <f t="shared" si="3"/>
        <v>0.13829999999999998</v>
      </c>
    </row>
    <row r="125" spans="1:8" ht="14.5">
      <c r="A125" s="41">
        <v>31906</v>
      </c>
      <c r="B125" s="380" t="str">
        <f t="shared" si="2"/>
        <v>031-906</v>
      </c>
      <c r="C125" s="2042" t="s">
        <v>34</v>
      </c>
      <c r="D125" s="2042" t="s">
        <v>9284</v>
      </c>
      <c r="E125" s="105">
        <v>0.8669</v>
      </c>
      <c r="F125" s="105">
        <v>0.8669</v>
      </c>
      <c r="G125" s="2042">
        <v>1.0052000000000001</v>
      </c>
      <c r="H125" s="105">
        <f t="shared" si="3"/>
        <v>0.13830000000000009</v>
      </c>
    </row>
    <row r="126" spans="1:8" ht="14.5">
      <c r="A126" s="41">
        <v>31909</v>
      </c>
      <c r="B126" s="380" t="str">
        <f t="shared" si="2"/>
        <v>031-909</v>
      </c>
      <c r="C126" s="2042" t="s">
        <v>1512</v>
      </c>
      <c r="D126" s="2042" t="s">
        <v>9284</v>
      </c>
      <c r="E126" s="105">
        <v>0.90129999999999999</v>
      </c>
      <c r="F126" s="105">
        <v>0.90129999999999999</v>
      </c>
      <c r="G126" s="2042">
        <v>0.96840000000000004</v>
      </c>
      <c r="H126" s="105">
        <f t="shared" si="3"/>
        <v>6.7100000000000048E-2</v>
      </c>
    </row>
    <row r="127" spans="1:8" ht="14.5">
      <c r="A127" s="41">
        <v>31911</v>
      </c>
      <c r="B127" s="380" t="str">
        <f t="shared" si="2"/>
        <v>031-911</v>
      </c>
      <c r="C127" s="2042" t="s">
        <v>2547</v>
      </c>
      <c r="D127" s="2042" t="s">
        <v>9284</v>
      </c>
      <c r="E127" s="105">
        <v>0.87850000000000006</v>
      </c>
      <c r="F127" s="105">
        <v>0.87850000000000006</v>
      </c>
      <c r="G127" s="2042">
        <v>1.0168000000000001</v>
      </c>
      <c r="H127" s="105">
        <f t="shared" si="3"/>
        <v>0.13830000000000009</v>
      </c>
    </row>
    <row r="128" spans="1:8" ht="14.5">
      <c r="A128" s="41">
        <v>31912</v>
      </c>
      <c r="B128" s="380" t="str">
        <f t="shared" si="2"/>
        <v>031-912</v>
      </c>
      <c r="C128" s="2042" t="s">
        <v>37</v>
      </c>
      <c r="D128" s="2042" t="s">
        <v>9284</v>
      </c>
      <c r="E128" s="105">
        <v>0.89500000000000002</v>
      </c>
      <c r="F128" s="105">
        <v>0.89500000000000002</v>
      </c>
      <c r="G128" s="2042">
        <v>1.0250000000000001</v>
      </c>
      <c r="H128" s="105">
        <f t="shared" si="3"/>
        <v>0.13000000000000012</v>
      </c>
    </row>
    <row r="129" spans="1:8" ht="14.5">
      <c r="A129" s="41">
        <v>31913</v>
      </c>
      <c r="B129" s="380" t="str">
        <f t="shared" si="2"/>
        <v>031-913</v>
      </c>
      <c r="C129" s="2042" t="s">
        <v>84</v>
      </c>
      <c r="D129" s="2042" t="s">
        <v>9284</v>
      </c>
      <c r="E129" s="105">
        <v>0.91339999999999999</v>
      </c>
      <c r="F129" s="105">
        <v>0.91339999999999999</v>
      </c>
      <c r="G129" s="2042">
        <v>1.0517000000000001</v>
      </c>
      <c r="H129" s="105">
        <f t="shared" si="3"/>
        <v>0.13830000000000009</v>
      </c>
    </row>
    <row r="130" spans="1:8" ht="14.5">
      <c r="A130" s="41">
        <v>31914</v>
      </c>
      <c r="B130" s="380" t="str">
        <f t="shared" si="2"/>
        <v>031-914</v>
      </c>
      <c r="C130" s="2042" t="s">
        <v>85</v>
      </c>
      <c r="D130" s="2042" t="s">
        <v>9284</v>
      </c>
      <c r="E130" s="105">
        <v>0.82200000000000006</v>
      </c>
      <c r="F130" s="105">
        <v>0.82200000000000006</v>
      </c>
      <c r="G130" s="2042">
        <v>0.99199999999999999</v>
      </c>
      <c r="H130" s="105">
        <f t="shared" si="3"/>
        <v>0.16999999999999993</v>
      </c>
    </row>
    <row r="131" spans="1:8" ht="14.5">
      <c r="A131" s="41">
        <v>32902</v>
      </c>
      <c r="B131" s="380" t="str">
        <f t="shared" ref="B131:B194" si="4">CONCATENATE(LEFT(RIGHT(CONCATENATE("000",A131),6),3),"-",(RIGHT(RIGHT(CONCATENATE("000",A131),6),3)))</f>
        <v>032-902</v>
      </c>
      <c r="C131" s="2042" t="s">
        <v>1513</v>
      </c>
      <c r="D131" s="2042" t="s">
        <v>9284</v>
      </c>
      <c r="E131" s="105">
        <v>0.83779999999999999</v>
      </c>
      <c r="F131" s="105">
        <v>0.83779999999999999</v>
      </c>
      <c r="G131" s="2042">
        <v>0.88780000000000003</v>
      </c>
      <c r="H131" s="105">
        <f t="shared" ref="H131:H194" si="5">G131-F131</f>
        <v>5.0000000000000044E-2</v>
      </c>
    </row>
    <row r="132" spans="1:8" ht="14.5">
      <c r="A132" s="41">
        <v>33901</v>
      </c>
      <c r="B132" s="380" t="str">
        <f t="shared" si="4"/>
        <v>033-901</v>
      </c>
      <c r="C132" s="2042" t="s">
        <v>1514</v>
      </c>
      <c r="D132" s="2042" t="s">
        <v>9284</v>
      </c>
      <c r="E132" s="105">
        <v>0.9042</v>
      </c>
      <c r="F132" s="105">
        <v>0.9042</v>
      </c>
      <c r="G132" s="2042">
        <v>0.96420000000000006</v>
      </c>
      <c r="H132" s="105">
        <f t="shared" si="5"/>
        <v>6.0000000000000053E-2</v>
      </c>
    </row>
    <row r="133" spans="1:8" ht="14.5">
      <c r="A133" s="41">
        <v>33902</v>
      </c>
      <c r="B133" s="380" t="str">
        <f t="shared" si="4"/>
        <v>033-902</v>
      </c>
      <c r="C133" s="2042" t="s">
        <v>2047</v>
      </c>
      <c r="D133" s="2042" t="s">
        <v>9284</v>
      </c>
      <c r="E133" s="105">
        <v>0.91339999999999999</v>
      </c>
      <c r="F133" s="105">
        <v>0.91339999999999999</v>
      </c>
      <c r="G133" s="2042">
        <v>0.96340000000000003</v>
      </c>
      <c r="H133" s="105">
        <f t="shared" si="5"/>
        <v>5.0000000000000044E-2</v>
      </c>
    </row>
    <row r="134" spans="1:8" ht="14.5">
      <c r="A134" s="41">
        <v>33904</v>
      </c>
      <c r="B134" s="380" t="str">
        <f t="shared" si="4"/>
        <v>033-904</v>
      </c>
      <c r="C134" s="2042" t="s">
        <v>2048</v>
      </c>
      <c r="D134" s="2042" t="s">
        <v>9284</v>
      </c>
      <c r="E134" s="105">
        <v>0.91060000000000008</v>
      </c>
      <c r="F134" s="105">
        <v>0.91060000000000008</v>
      </c>
      <c r="G134" s="2042">
        <v>0.96060000000000001</v>
      </c>
      <c r="H134" s="105">
        <f t="shared" si="5"/>
        <v>4.9999999999999933E-2</v>
      </c>
    </row>
    <row r="135" spans="1:8" ht="14.5">
      <c r="A135" s="41">
        <v>34901</v>
      </c>
      <c r="B135" s="380" t="str">
        <f t="shared" si="4"/>
        <v>034-901</v>
      </c>
      <c r="C135" s="2042" t="s">
        <v>2049</v>
      </c>
      <c r="D135" s="2042" t="s">
        <v>9284</v>
      </c>
      <c r="E135" s="105">
        <v>0.86960000000000004</v>
      </c>
      <c r="F135" s="105">
        <v>0.86960000000000004</v>
      </c>
      <c r="G135" s="2042">
        <v>1.0079</v>
      </c>
      <c r="H135" s="105">
        <f t="shared" si="5"/>
        <v>0.13829999999999998</v>
      </c>
    </row>
    <row r="136" spans="1:8" ht="14.5">
      <c r="A136" s="41">
        <v>34902</v>
      </c>
      <c r="B136" s="380" t="str">
        <f t="shared" si="4"/>
        <v>034-902</v>
      </c>
      <c r="C136" s="2042" t="s">
        <v>2050</v>
      </c>
      <c r="D136" s="2042" t="s">
        <v>9284</v>
      </c>
      <c r="E136" s="105">
        <v>0.82200000000000006</v>
      </c>
      <c r="F136" s="105">
        <v>0.82200000000000006</v>
      </c>
      <c r="G136" s="2042">
        <v>0.96030000000000004</v>
      </c>
      <c r="H136" s="105">
        <f t="shared" si="5"/>
        <v>0.13829999999999998</v>
      </c>
    </row>
    <row r="137" spans="1:8" ht="14.5">
      <c r="A137" s="41">
        <v>34903</v>
      </c>
      <c r="B137" s="380" t="str">
        <f t="shared" si="4"/>
        <v>034-903</v>
      </c>
      <c r="C137" s="2042" t="s">
        <v>2051</v>
      </c>
      <c r="D137" s="2042" t="s">
        <v>9284</v>
      </c>
      <c r="E137" s="105">
        <v>0.91339999999999999</v>
      </c>
      <c r="F137" s="105">
        <v>0.91339999999999999</v>
      </c>
      <c r="G137" s="2042">
        <v>1.0186999999999999</v>
      </c>
      <c r="H137" s="105">
        <f t="shared" si="5"/>
        <v>0.10529999999999995</v>
      </c>
    </row>
    <row r="138" spans="1:8" ht="14.5">
      <c r="A138" s="41">
        <v>34905</v>
      </c>
      <c r="B138" s="380" t="str">
        <f t="shared" si="4"/>
        <v>034-905</v>
      </c>
      <c r="C138" s="2042" t="s">
        <v>972</v>
      </c>
      <c r="D138" s="2042" t="s">
        <v>9284</v>
      </c>
      <c r="E138" s="105">
        <v>0.87230000000000008</v>
      </c>
      <c r="F138" s="105">
        <v>0.87230000000000008</v>
      </c>
      <c r="G138" s="2042">
        <v>1.0105999999999999</v>
      </c>
      <c r="H138" s="105">
        <f t="shared" si="5"/>
        <v>0.13829999999999987</v>
      </c>
    </row>
    <row r="139" spans="1:8" ht="14.5">
      <c r="A139" s="41">
        <v>34906</v>
      </c>
      <c r="B139" s="380" t="str">
        <f t="shared" si="4"/>
        <v>034-906</v>
      </c>
      <c r="C139" s="2042" t="s">
        <v>775</v>
      </c>
      <c r="D139" s="2042" t="s">
        <v>9284</v>
      </c>
      <c r="E139" s="105">
        <v>0.91339999999999999</v>
      </c>
      <c r="F139" s="105">
        <v>0.91339999999999999</v>
      </c>
      <c r="G139" s="2042">
        <v>0.96340000000000003</v>
      </c>
      <c r="H139" s="105">
        <f t="shared" si="5"/>
        <v>5.0000000000000044E-2</v>
      </c>
    </row>
    <row r="140" spans="1:8" ht="14.5">
      <c r="A140" s="41">
        <v>34907</v>
      </c>
      <c r="B140" s="380" t="str">
        <f t="shared" si="4"/>
        <v>034-907</v>
      </c>
      <c r="C140" s="2042" t="s">
        <v>1610</v>
      </c>
      <c r="D140" s="2042" t="s">
        <v>9284</v>
      </c>
      <c r="E140" s="105">
        <v>0.89240000000000008</v>
      </c>
      <c r="F140" s="105">
        <v>0.89240000000000008</v>
      </c>
      <c r="G140" s="2042">
        <v>1.0306999999999999</v>
      </c>
      <c r="H140" s="105">
        <f t="shared" si="5"/>
        <v>0.13829999999999987</v>
      </c>
    </row>
    <row r="141" spans="1:8" ht="14.5">
      <c r="A141" s="41">
        <v>34909</v>
      </c>
      <c r="B141" s="380" t="str">
        <f t="shared" si="4"/>
        <v>034-909</v>
      </c>
      <c r="C141" s="2042" t="s">
        <v>1612</v>
      </c>
      <c r="D141" s="2042" t="s">
        <v>9284</v>
      </c>
      <c r="E141" s="105">
        <v>0.82200000000000006</v>
      </c>
      <c r="F141" s="105">
        <v>0.82200000000000006</v>
      </c>
      <c r="G141" s="2042">
        <v>0.96030000000000004</v>
      </c>
      <c r="H141" s="105">
        <f t="shared" si="5"/>
        <v>0.13829999999999998</v>
      </c>
    </row>
    <row r="142" spans="1:8" ht="14.5">
      <c r="A142" s="41">
        <v>35901</v>
      </c>
      <c r="B142" s="380" t="str">
        <f t="shared" si="4"/>
        <v>035-901</v>
      </c>
      <c r="C142" s="2042" t="s">
        <v>1613</v>
      </c>
      <c r="D142" s="2042" t="s">
        <v>9284</v>
      </c>
      <c r="E142" s="105">
        <v>0.8468</v>
      </c>
      <c r="F142" s="105">
        <v>0.8468</v>
      </c>
      <c r="G142" s="2042">
        <v>0.89680000000000004</v>
      </c>
      <c r="H142" s="105">
        <f t="shared" si="5"/>
        <v>5.0000000000000044E-2</v>
      </c>
    </row>
    <row r="143" spans="1:8" ht="14.5">
      <c r="A143" s="41">
        <v>35902</v>
      </c>
      <c r="B143" s="380" t="str">
        <f t="shared" si="4"/>
        <v>035-902</v>
      </c>
      <c r="C143" s="2042" t="s">
        <v>1614</v>
      </c>
      <c r="D143" s="2042" t="s">
        <v>9284</v>
      </c>
      <c r="E143" s="105">
        <v>0.82200000000000006</v>
      </c>
      <c r="F143" s="105">
        <v>0.82200000000000006</v>
      </c>
      <c r="G143" s="2042">
        <v>0.96030000000000004</v>
      </c>
      <c r="H143" s="105">
        <f t="shared" si="5"/>
        <v>0.13829999999999998</v>
      </c>
    </row>
    <row r="144" spans="1:8" ht="14.5">
      <c r="A144" s="727">
        <v>35903</v>
      </c>
      <c r="B144" s="1683" t="str">
        <f t="shared" si="4"/>
        <v>035-903</v>
      </c>
      <c r="C144" s="629" t="s">
        <v>370</v>
      </c>
      <c r="D144" s="629" t="s">
        <v>9284</v>
      </c>
      <c r="E144" s="105">
        <v>0.84390000000000009</v>
      </c>
      <c r="F144" s="105">
        <v>0.84920000000000007</v>
      </c>
      <c r="G144" s="2042">
        <v>0.98220000000000007</v>
      </c>
      <c r="H144" s="105">
        <f t="shared" si="5"/>
        <v>0.13300000000000001</v>
      </c>
    </row>
    <row r="145" spans="1:8" ht="14.5">
      <c r="A145" s="41">
        <v>36901</v>
      </c>
      <c r="B145" s="380" t="str">
        <f t="shared" si="4"/>
        <v>036-901</v>
      </c>
      <c r="C145" s="2042" t="s">
        <v>999</v>
      </c>
      <c r="D145" s="2042" t="s">
        <v>9284</v>
      </c>
      <c r="E145" s="105">
        <v>0.91339999999999999</v>
      </c>
      <c r="F145" s="105">
        <v>0.91339999999999999</v>
      </c>
      <c r="G145" s="2042">
        <v>0.97340000000000004</v>
      </c>
      <c r="H145" s="105">
        <f t="shared" si="5"/>
        <v>6.0000000000000053E-2</v>
      </c>
    </row>
    <row r="146" spans="1:8" ht="14.5">
      <c r="A146" s="41">
        <v>36902</v>
      </c>
      <c r="B146" s="380" t="str">
        <f t="shared" si="4"/>
        <v>036-902</v>
      </c>
      <c r="C146" s="2042" t="s">
        <v>1615</v>
      </c>
      <c r="D146" s="2042" t="s">
        <v>9284</v>
      </c>
      <c r="E146" s="105">
        <v>0.82469999999999999</v>
      </c>
      <c r="F146" s="105">
        <v>0.82469999999999999</v>
      </c>
      <c r="G146" s="2042">
        <v>0.88470000000000004</v>
      </c>
      <c r="H146" s="105">
        <f t="shared" si="5"/>
        <v>6.0000000000000053E-2</v>
      </c>
    </row>
    <row r="147" spans="1:8" ht="14.5">
      <c r="A147" s="41">
        <v>36903</v>
      </c>
      <c r="B147" s="380" t="str">
        <f t="shared" si="4"/>
        <v>036-903</v>
      </c>
      <c r="C147" s="2042" t="s">
        <v>2236</v>
      </c>
      <c r="D147" s="2042" t="s">
        <v>9284</v>
      </c>
      <c r="E147" s="105">
        <v>0.83679999999999999</v>
      </c>
      <c r="F147" s="105">
        <v>0.83679999999999999</v>
      </c>
      <c r="G147" s="2042">
        <v>0.97510000000000008</v>
      </c>
      <c r="H147" s="105">
        <f t="shared" si="5"/>
        <v>0.13830000000000009</v>
      </c>
    </row>
    <row r="148" spans="1:8" ht="14.5">
      <c r="A148" s="41">
        <v>37901</v>
      </c>
      <c r="B148" s="380" t="str">
        <f t="shared" si="4"/>
        <v>037-901</v>
      </c>
      <c r="C148" s="2042" t="s">
        <v>1411</v>
      </c>
      <c r="D148" s="2042" t="s">
        <v>9284</v>
      </c>
      <c r="E148" s="105">
        <v>0.88460000000000005</v>
      </c>
      <c r="F148" s="105">
        <v>0.88460000000000005</v>
      </c>
      <c r="G148" s="2042">
        <v>1.0546</v>
      </c>
      <c r="H148" s="105">
        <f t="shared" si="5"/>
        <v>0.16999999999999993</v>
      </c>
    </row>
    <row r="149" spans="1:8" ht="14.5">
      <c r="A149" s="41">
        <v>37904</v>
      </c>
      <c r="B149" s="380" t="str">
        <f t="shared" si="4"/>
        <v>037-904</v>
      </c>
      <c r="C149" s="2042" t="s">
        <v>383</v>
      </c>
      <c r="D149" s="2042" t="s">
        <v>9284</v>
      </c>
      <c r="E149" s="105">
        <v>0.87340000000000007</v>
      </c>
      <c r="F149" s="105">
        <v>0.87340000000000007</v>
      </c>
      <c r="G149" s="2042">
        <v>0.9234</v>
      </c>
      <c r="H149" s="105">
        <f t="shared" si="5"/>
        <v>4.9999999999999933E-2</v>
      </c>
    </row>
    <row r="150" spans="1:8" ht="14.5">
      <c r="A150" s="41">
        <v>37907</v>
      </c>
      <c r="B150" s="380" t="str">
        <f t="shared" si="4"/>
        <v>037-907</v>
      </c>
      <c r="C150" s="2042" t="s">
        <v>577</v>
      </c>
      <c r="D150" s="2042" t="s">
        <v>9284</v>
      </c>
      <c r="E150" s="105">
        <v>0.85630000000000006</v>
      </c>
      <c r="F150" s="105">
        <v>0.85630000000000006</v>
      </c>
      <c r="G150" s="2042">
        <v>0.90629999999999999</v>
      </c>
      <c r="H150" s="105">
        <f t="shared" si="5"/>
        <v>4.9999999999999933E-2</v>
      </c>
    </row>
    <row r="151" spans="1:8" ht="14.5">
      <c r="A151" s="727">
        <v>37908</v>
      </c>
      <c r="B151" s="1683" t="str">
        <f t="shared" si="4"/>
        <v>037-908</v>
      </c>
      <c r="C151" s="629" t="s">
        <v>1073</v>
      </c>
      <c r="D151" s="629" t="s">
        <v>9284</v>
      </c>
      <c r="E151" s="105">
        <v>0.83640000000000003</v>
      </c>
      <c r="F151" s="105">
        <v>0.84470000000000001</v>
      </c>
      <c r="G151" s="2042">
        <v>0.97470000000000001</v>
      </c>
      <c r="H151" s="105">
        <f t="shared" si="5"/>
        <v>0.13</v>
      </c>
    </row>
    <row r="152" spans="1:8" ht="14.5">
      <c r="A152" s="41">
        <v>37909</v>
      </c>
      <c r="B152" s="380" t="str">
        <f t="shared" si="4"/>
        <v>037-909</v>
      </c>
      <c r="C152" s="2042" t="s">
        <v>23</v>
      </c>
      <c r="D152" s="2042" t="s">
        <v>9284</v>
      </c>
      <c r="E152" s="105">
        <v>0.85</v>
      </c>
      <c r="F152" s="105">
        <v>0.85</v>
      </c>
      <c r="G152" s="2042">
        <v>0.98830000000000007</v>
      </c>
      <c r="H152" s="105">
        <f t="shared" si="5"/>
        <v>0.13830000000000009</v>
      </c>
    </row>
    <row r="153" spans="1:8" ht="14.5">
      <c r="A153" s="41">
        <v>38901</v>
      </c>
      <c r="B153" s="380" t="str">
        <f t="shared" si="4"/>
        <v>038-901</v>
      </c>
      <c r="C153" s="2042" t="s">
        <v>2062</v>
      </c>
      <c r="D153" s="2042" t="s">
        <v>9284</v>
      </c>
      <c r="E153" s="105">
        <v>0.87320000000000009</v>
      </c>
      <c r="F153" s="105">
        <v>0.87320000000000009</v>
      </c>
      <c r="G153" s="2042">
        <v>0.92320000000000002</v>
      </c>
      <c r="H153" s="105">
        <f t="shared" si="5"/>
        <v>4.9999999999999933E-2</v>
      </c>
    </row>
    <row r="154" spans="1:8" ht="14.5">
      <c r="A154" s="41">
        <v>39902</v>
      </c>
      <c r="B154" s="380" t="str">
        <f t="shared" si="4"/>
        <v>039-902</v>
      </c>
      <c r="C154" s="2042" t="s">
        <v>1813</v>
      </c>
      <c r="D154" s="2042" t="s">
        <v>9284</v>
      </c>
      <c r="E154" s="105">
        <v>0.91339999999999999</v>
      </c>
      <c r="F154" s="105">
        <v>0.91339999999999999</v>
      </c>
      <c r="G154" s="2042">
        <v>0.96340000000000003</v>
      </c>
      <c r="H154" s="105">
        <f t="shared" si="5"/>
        <v>5.0000000000000044E-2</v>
      </c>
    </row>
    <row r="155" spans="1:8" ht="14.5">
      <c r="A155" s="41">
        <v>39903</v>
      </c>
      <c r="B155" s="380" t="str">
        <f t="shared" si="4"/>
        <v>039-903</v>
      </c>
      <c r="C155" s="2042" t="s">
        <v>3318</v>
      </c>
      <c r="D155" s="2042" t="s">
        <v>9284</v>
      </c>
      <c r="E155" s="105">
        <v>0.85820000000000007</v>
      </c>
      <c r="F155" s="105">
        <v>0.85820000000000007</v>
      </c>
      <c r="G155" s="2042">
        <v>0.99650000000000005</v>
      </c>
      <c r="H155" s="105">
        <f t="shared" si="5"/>
        <v>0.13829999999999998</v>
      </c>
    </row>
    <row r="156" spans="1:8" ht="14.5">
      <c r="A156" s="41">
        <v>39904</v>
      </c>
      <c r="B156" s="380" t="str">
        <f t="shared" si="4"/>
        <v>039-904</v>
      </c>
      <c r="C156" s="2042" t="s">
        <v>1814</v>
      </c>
      <c r="D156" s="2042" t="s">
        <v>9284</v>
      </c>
      <c r="E156" s="105">
        <v>0.88780000000000003</v>
      </c>
      <c r="F156" s="105">
        <v>0.88780000000000003</v>
      </c>
      <c r="G156" s="2042">
        <v>1.0261</v>
      </c>
      <c r="H156" s="105">
        <f t="shared" si="5"/>
        <v>0.13829999999999998</v>
      </c>
    </row>
    <row r="157" spans="1:8" ht="14.5">
      <c r="A157" s="727">
        <v>39905</v>
      </c>
      <c r="B157" s="1683" t="str">
        <f t="shared" si="4"/>
        <v>039-905</v>
      </c>
      <c r="C157" s="629" t="s">
        <v>1815</v>
      </c>
      <c r="D157" s="629" t="s">
        <v>9284</v>
      </c>
      <c r="E157" s="105">
        <v>0.91339999999999999</v>
      </c>
      <c r="F157" s="105">
        <v>0.91350000000000009</v>
      </c>
      <c r="G157" s="2042">
        <v>0.96350000000000002</v>
      </c>
      <c r="H157" s="105">
        <f t="shared" si="5"/>
        <v>4.9999999999999933E-2</v>
      </c>
    </row>
    <row r="158" spans="1:8" ht="14.5">
      <c r="A158" s="41">
        <v>40901</v>
      </c>
      <c r="B158" s="380" t="str">
        <f t="shared" si="4"/>
        <v>040-901</v>
      </c>
      <c r="C158" s="2042" t="s">
        <v>2035</v>
      </c>
      <c r="D158" s="2042" t="s">
        <v>9284</v>
      </c>
      <c r="E158" s="105">
        <v>0.91339999999999999</v>
      </c>
      <c r="F158" s="105">
        <v>0.91339999999999999</v>
      </c>
      <c r="G158" s="2042">
        <v>0.96340000000000003</v>
      </c>
      <c r="H158" s="105">
        <f t="shared" si="5"/>
        <v>5.0000000000000044E-2</v>
      </c>
    </row>
    <row r="159" spans="1:8" ht="14.5">
      <c r="A159" s="41">
        <v>40902</v>
      </c>
      <c r="B159" s="380" t="str">
        <f t="shared" si="4"/>
        <v>040-902</v>
      </c>
      <c r="C159" s="2042" t="s">
        <v>973</v>
      </c>
      <c r="D159" s="2042" t="s">
        <v>9284</v>
      </c>
      <c r="E159" s="105">
        <v>0.91339999999999999</v>
      </c>
      <c r="F159" s="105">
        <v>0.91339999999999999</v>
      </c>
      <c r="G159" s="2042">
        <v>0.96340000000000003</v>
      </c>
      <c r="H159" s="105">
        <f t="shared" si="5"/>
        <v>5.0000000000000044E-2</v>
      </c>
    </row>
    <row r="160" spans="1:8" ht="14.5">
      <c r="A160" s="41">
        <v>41901</v>
      </c>
      <c r="B160" s="380" t="str">
        <f t="shared" si="4"/>
        <v>041-901</v>
      </c>
      <c r="C160" s="2042" t="s">
        <v>2037</v>
      </c>
      <c r="D160" s="2042" t="s">
        <v>9284</v>
      </c>
      <c r="E160" s="105">
        <v>0.82200000000000006</v>
      </c>
      <c r="F160" s="105">
        <v>0.82200000000000006</v>
      </c>
      <c r="G160" s="2042">
        <v>0.90200000000000002</v>
      </c>
      <c r="H160" s="105">
        <f t="shared" si="5"/>
        <v>7.999999999999996E-2</v>
      </c>
    </row>
    <row r="161" spans="1:8" ht="14.5">
      <c r="A161" s="41">
        <v>41902</v>
      </c>
      <c r="B161" s="380" t="str">
        <f t="shared" si="4"/>
        <v>041-902</v>
      </c>
      <c r="C161" s="2042" t="s">
        <v>2038</v>
      </c>
      <c r="D161" s="2042" t="s">
        <v>9284</v>
      </c>
      <c r="E161" s="105">
        <v>0.82200000000000006</v>
      </c>
      <c r="F161" s="105">
        <v>0.82200000000000006</v>
      </c>
      <c r="G161" s="2042">
        <v>0.872</v>
      </c>
      <c r="H161" s="105">
        <f t="shared" si="5"/>
        <v>4.9999999999999933E-2</v>
      </c>
    </row>
    <row r="162" spans="1:8" ht="14.5">
      <c r="A162" s="41">
        <v>42901</v>
      </c>
      <c r="B162" s="380" t="str">
        <f t="shared" si="4"/>
        <v>042-901</v>
      </c>
      <c r="C162" s="2042" t="s">
        <v>1098</v>
      </c>
      <c r="D162" s="2042" t="s">
        <v>9284</v>
      </c>
      <c r="E162" s="105">
        <v>0.91080000000000005</v>
      </c>
      <c r="F162" s="105">
        <v>0.91080000000000005</v>
      </c>
      <c r="G162" s="2042">
        <v>1.0491000000000001</v>
      </c>
      <c r="H162" s="105">
        <f t="shared" si="5"/>
        <v>0.13830000000000009</v>
      </c>
    </row>
    <row r="163" spans="1:8" ht="14.5">
      <c r="A163" s="41">
        <v>42903</v>
      </c>
      <c r="B163" s="380" t="str">
        <f t="shared" si="4"/>
        <v>042-903</v>
      </c>
      <c r="C163" s="2042" t="s">
        <v>82</v>
      </c>
      <c r="D163" s="2042" t="s">
        <v>9284</v>
      </c>
      <c r="E163" s="105">
        <v>0.91100000000000003</v>
      </c>
      <c r="F163" s="105">
        <v>0.91100000000000003</v>
      </c>
      <c r="G163" s="2042">
        <v>0.96100000000000008</v>
      </c>
      <c r="H163" s="105">
        <f t="shared" si="5"/>
        <v>5.0000000000000044E-2</v>
      </c>
    </row>
    <row r="164" spans="1:8" ht="14.5">
      <c r="A164" s="41">
        <v>42905</v>
      </c>
      <c r="B164" s="380" t="str">
        <f t="shared" si="4"/>
        <v>042-905</v>
      </c>
      <c r="C164" s="2042" t="s">
        <v>974</v>
      </c>
      <c r="D164" s="2042" t="s">
        <v>9284</v>
      </c>
      <c r="E164" s="105">
        <v>0.91339999999999999</v>
      </c>
      <c r="F164" s="105">
        <v>0.91339999999999999</v>
      </c>
      <c r="G164" s="2042">
        <v>1.0517000000000001</v>
      </c>
      <c r="H164" s="105">
        <f t="shared" si="5"/>
        <v>0.13830000000000009</v>
      </c>
    </row>
    <row r="165" spans="1:8" ht="14.5">
      <c r="A165" s="41">
        <v>43901</v>
      </c>
      <c r="B165" s="380" t="str">
        <f t="shared" si="4"/>
        <v>043-901</v>
      </c>
      <c r="C165" s="2042" t="s">
        <v>1850</v>
      </c>
      <c r="D165" s="2042" t="s">
        <v>9284</v>
      </c>
      <c r="E165" s="105">
        <v>0.87790000000000001</v>
      </c>
      <c r="F165" s="105">
        <v>0.87790000000000001</v>
      </c>
      <c r="G165" s="2042">
        <v>0.99680000000000002</v>
      </c>
      <c r="H165" s="105">
        <f t="shared" si="5"/>
        <v>0.11890000000000001</v>
      </c>
    </row>
    <row r="166" spans="1:8" ht="14.5">
      <c r="A166" s="41">
        <v>43902</v>
      </c>
      <c r="B166" s="380" t="str">
        <f t="shared" si="4"/>
        <v>043-902</v>
      </c>
      <c r="C166" s="2042" t="s">
        <v>1000</v>
      </c>
      <c r="D166" s="2042" t="s">
        <v>9284</v>
      </c>
      <c r="E166" s="105">
        <v>0.82200000000000006</v>
      </c>
      <c r="F166" s="105">
        <v>0.82200000000000006</v>
      </c>
      <c r="G166" s="2042">
        <v>0.96030000000000004</v>
      </c>
      <c r="H166" s="105">
        <f t="shared" si="5"/>
        <v>0.13829999999999998</v>
      </c>
    </row>
    <row r="167" spans="1:8" ht="14.5">
      <c r="A167" s="41">
        <v>43903</v>
      </c>
      <c r="B167" s="380" t="str">
        <f t="shared" si="4"/>
        <v>043-903</v>
      </c>
      <c r="C167" s="2042" t="s">
        <v>617</v>
      </c>
      <c r="D167" s="2042" t="s">
        <v>9284</v>
      </c>
      <c r="E167" s="105">
        <v>0.82200000000000006</v>
      </c>
      <c r="F167" s="105">
        <v>0.82200000000000006</v>
      </c>
      <c r="G167" s="2042">
        <v>0.94090000000000007</v>
      </c>
      <c r="H167" s="105">
        <f t="shared" si="5"/>
        <v>0.11890000000000001</v>
      </c>
    </row>
    <row r="168" spans="1:8" ht="14.5">
      <c r="A168" s="41">
        <v>43904</v>
      </c>
      <c r="B168" s="380" t="str">
        <f t="shared" si="4"/>
        <v>043-904</v>
      </c>
      <c r="C168" s="2042" t="s">
        <v>99</v>
      </c>
      <c r="D168" s="2042" t="s">
        <v>9284</v>
      </c>
      <c r="E168" s="105">
        <v>0.82200000000000006</v>
      </c>
      <c r="F168" s="105">
        <v>0.82200000000000006</v>
      </c>
      <c r="G168" s="2042">
        <v>0.96030000000000004</v>
      </c>
      <c r="H168" s="105">
        <f t="shared" si="5"/>
        <v>0.13829999999999998</v>
      </c>
    </row>
    <row r="169" spans="1:8" ht="14.5">
      <c r="A169" s="41">
        <v>43905</v>
      </c>
      <c r="B169" s="380" t="str">
        <f t="shared" si="4"/>
        <v>043-905</v>
      </c>
      <c r="C169" s="2042" t="s">
        <v>1389</v>
      </c>
      <c r="D169" s="2042" t="s">
        <v>9284</v>
      </c>
      <c r="E169" s="105">
        <v>0.8589</v>
      </c>
      <c r="F169" s="105">
        <v>0.8589</v>
      </c>
      <c r="G169" s="2042">
        <v>0.99720000000000009</v>
      </c>
      <c r="H169" s="105">
        <f t="shared" si="5"/>
        <v>0.13830000000000009</v>
      </c>
    </row>
    <row r="170" spans="1:8" ht="14.5">
      <c r="A170" s="41">
        <v>43907</v>
      </c>
      <c r="B170" s="380" t="str">
        <f t="shared" si="4"/>
        <v>043-907</v>
      </c>
      <c r="C170" s="2042" t="s">
        <v>774</v>
      </c>
      <c r="D170" s="2042" t="s">
        <v>9284</v>
      </c>
      <c r="E170" s="105">
        <v>0.86840000000000006</v>
      </c>
      <c r="F170" s="105">
        <v>0.86840000000000006</v>
      </c>
      <c r="G170" s="2042">
        <v>1.0067000000000002</v>
      </c>
      <c r="H170" s="105">
        <f t="shared" si="5"/>
        <v>0.13830000000000009</v>
      </c>
    </row>
    <row r="171" spans="1:8" ht="14.5">
      <c r="A171" s="41">
        <v>43908</v>
      </c>
      <c r="B171" s="380" t="str">
        <f t="shared" si="4"/>
        <v>043-908</v>
      </c>
      <c r="C171" s="2042" t="s">
        <v>2076</v>
      </c>
      <c r="D171" s="2042" t="s">
        <v>9284</v>
      </c>
      <c r="E171" s="105">
        <v>0.82200000000000006</v>
      </c>
      <c r="F171" s="105">
        <v>0.82200000000000006</v>
      </c>
      <c r="G171" s="2042">
        <v>0.96030000000000004</v>
      </c>
      <c r="H171" s="105">
        <f t="shared" si="5"/>
        <v>0.13829999999999998</v>
      </c>
    </row>
    <row r="172" spans="1:8" ht="14.5">
      <c r="A172" s="41">
        <v>43910</v>
      </c>
      <c r="B172" s="380" t="str">
        <f t="shared" si="4"/>
        <v>043-910</v>
      </c>
      <c r="C172" s="2042" t="s">
        <v>2077</v>
      </c>
      <c r="D172" s="2042" t="s">
        <v>9284</v>
      </c>
      <c r="E172" s="105">
        <v>0.91339999999999999</v>
      </c>
      <c r="F172" s="105">
        <v>0.91339999999999999</v>
      </c>
      <c r="G172" s="2042">
        <v>1.0517000000000001</v>
      </c>
      <c r="H172" s="105">
        <f t="shared" si="5"/>
        <v>0.13830000000000009</v>
      </c>
    </row>
    <row r="173" spans="1:8" ht="14.5">
      <c r="A173" s="41">
        <v>43911</v>
      </c>
      <c r="B173" s="380" t="str">
        <f t="shared" si="4"/>
        <v>043-911</v>
      </c>
      <c r="C173" s="2042" t="s">
        <v>72</v>
      </c>
      <c r="D173" s="2042" t="s">
        <v>9284</v>
      </c>
      <c r="E173" s="105">
        <v>0.82200000000000006</v>
      </c>
      <c r="F173" s="105">
        <v>0.82200000000000006</v>
      </c>
      <c r="G173" s="2042">
        <v>0.96030000000000004</v>
      </c>
      <c r="H173" s="105">
        <f t="shared" si="5"/>
        <v>0.13829999999999998</v>
      </c>
    </row>
    <row r="174" spans="1:8" ht="14.5">
      <c r="A174" s="41">
        <v>43912</v>
      </c>
      <c r="B174" s="380" t="str">
        <f t="shared" si="4"/>
        <v>043-912</v>
      </c>
      <c r="C174" s="2042" t="s">
        <v>74</v>
      </c>
      <c r="D174" s="2042" t="s">
        <v>9284</v>
      </c>
      <c r="E174" s="105">
        <v>0.82200000000000006</v>
      </c>
      <c r="F174" s="105">
        <v>0.82200000000000006</v>
      </c>
      <c r="G174" s="2042">
        <v>0.96030000000000004</v>
      </c>
      <c r="H174" s="105">
        <f t="shared" si="5"/>
        <v>0.13829999999999998</v>
      </c>
    </row>
    <row r="175" spans="1:8" ht="14.5">
      <c r="A175" s="41">
        <v>43914</v>
      </c>
      <c r="B175" s="380" t="str">
        <f t="shared" si="4"/>
        <v>043-914</v>
      </c>
      <c r="C175" s="2042" t="s">
        <v>1065</v>
      </c>
      <c r="D175" s="2042" t="s">
        <v>9284</v>
      </c>
      <c r="E175" s="105">
        <v>0.85150000000000003</v>
      </c>
      <c r="F175" s="105">
        <v>0.85150000000000003</v>
      </c>
      <c r="G175" s="2042">
        <v>0.98980000000000001</v>
      </c>
      <c r="H175" s="105">
        <f t="shared" si="5"/>
        <v>0.13829999999999998</v>
      </c>
    </row>
    <row r="176" spans="1:8" ht="14.5">
      <c r="A176" s="41">
        <v>43917</v>
      </c>
      <c r="B176" s="380" t="str">
        <f t="shared" si="4"/>
        <v>043-917</v>
      </c>
      <c r="C176" s="2042" t="s">
        <v>1269</v>
      </c>
      <c r="D176" s="2042" t="s">
        <v>9284</v>
      </c>
      <c r="E176" s="105">
        <v>0.82200000000000006</v>
      </c>
      <c r="F176" s="105">
        <v>0.82200000000000006</v>
      </c>
      <c r="G176" s="2042">
        <v>0.96030000000000004</v>
      </c>
      <c r="H176" s="105">
        <f t="shared" si="5"/>
        <v>0.13829999999999998</v>
      </c>
    </row>
    <row r="177" spans="1:8" ht="14.5">
      <c r="A177" s="41">
        <v>43918</v>
      </c>
      <c r="B177" s="380" t="str">
        <f t="shared" si="4"/>
        <v>043-918</v>
      </c>
      <c r="C177" s="2042" t="s">
        <v>1461</v>
      </c>
      <c r="D177" s="2042" t="s">
        <v>9284</v>
      </c>
      <c r="E177" s="105">
        <v>0.82200000000000006</v>
      </c>
      <c r="F177" s="105">
        <v>0.82200000000000006</v>
      </c>
      <c r="G177" s="2042">
        <v>0.96030000000000004</v>
      </c>
      <c r="H177" s="105">
        <f t="shared" si="5"/>
        <v>0.13829999999999998</v>
      </c>
    </row>
    <row r="178" spans="1:8" ht="14.5">
      <c r="A178" s="41">
        <v>43919</v>
      </c>
      <c r="B178" s="380" t="str">
        <f t="shared" si="4"/>
        <v>043-919</v>
      </c>
      <c r="C178" s="2042" t="s">
        <v>2078</v>
      </c>
      <c r="D178" s="2042" t="s">
        <v>9284</v>
      </c>
      <c r="E178" s="105">
        <v>0.86670000000000003</v>
      </c>
      <c r="F178" s="105">
        <v>0.86670000000000003</v>
      </c>
      <c r="G178" s="2042">
        <v>1.0050000000000001</v>
      </c>
      <c r="H178" s="105">
        <f t="shared" si="5"/>
        <v>0.13830000000000009</v>
      </c>
    </row>
    <row r="179" spans="1:8" ht="14.5">
      <c r="A179" s="41">
        <v>44902</v>
      </c>
      <c r="B179" s="380" t="str">
        <f t="shared" si="4"/>
        <v>044-902</v>
      </c>
      <c r="C179" s="2042" t="s">
        <v>2079</v>
      </c>
      <c r="D179" s="2042" t="s">
        <v>9284</v>
      </c>
      <c r="E179" s="105">
        <v>0.89540000000000008</v>
      </c>
      <c r="F179" s="105">
        <v>0.89540000000000008</v>
      </c>
      <c r="G179" s="2042">
        <v>0.94540000000000002</v>
      </c>
      <c r="H179" s="105">
        <f t="shared" si="5"/>
        <v>4.9999999999999933E-2</v>
      </c>
    </row>
    <row r="180" spans="1:8" ht="14.5">
      <c r="A180" s="41">
        <v>45902</v>
      </c>
      <c r="B180" s="380" t="str">
        <f t="shared" si="4"/>
        <v>045-902</v>
      </c>
      <c r="C180" s="2042" t="s">
        <v>1459</v>
      </c>
      <c r="D180" s="2042" t="s">
        <v>9284</v>
      </c>
      <c r="E180" s="105">
        <v>0.82200000000000006</v>
      </c>
      <c r="F180" s="105">
        <v>0.82200000000000006</v>
      </c>
      <c r="G180" s="2042">
        <v>0.872</v>
      </c>
      <c r="H180" s="105">
        <f t="shared" si="5"/>
        <v>4.9999999999999933E-2</v>
      </c>
    </row>
    <row r="181" spans="1:8" ht="14.5">
      <c r="A181" s="41">
        <v>45903</v>
      </c>
      <c r="B181" s="380" t="str">
        <f t="shared" si="4"/>
        <v>045-903</v>
      </c>
      <c r="C181" s="2042" t="s">
        <v>975</v>
      </c>
      <c r="D181" s="2042" t="s">
        <v>9284</v>
      </c>
      <c r="E181" s="105">
        <v>0.82490000000000008</v>
      </c>
      <c r="F181" s="105">
        <v>0.82490000000000008</v>
      </c>
      <c r="G181" s="2042">
        <v>0.87490000000000001</v>
      </c>
      <c r="H181" s="105">
        <f t="shared" si="5"/>
        <v>4.9999999999999933E-2</v>
      </c>
    </row>
    <row r="182" spans="1:8" ht="14.5">
      <c r="A182" s="41">
        <v>45905</v>
      </c>
      <c r="B182" s="380" t="str">
        <f t="shared" si="4"/>
        <v>045-905</v>
      </c>
      <c r="C182" s="2042" t="s">
        <v>2082</v>
      </c>
      <c r="D182" s="2042" t="s">
        <v>9284</v>
      </c>
      <c r="E182" s="105">
        <v>0.90360000000000007</v>
      </c>
      <c r="F182" s="105">
        <v>0.90360000000000007</v>
      </c>
      <c r="G182" s="2042">
        <v>0.9536</v>
      </c>
      <c r="H182" s="105">
        <f t="shared" si="5"/>
        <v>4.9999999999999933E-2</v>
      </c>
    </row>
    <row r="183" spans="1:8" ht="14.5">
      <c r="A183" s="41">
        <v>46901</v>
      </c>
      <c r="B183" s="380" t="str">
        <f t="shared" si="4"/>
        <v>046-901</v>
      </c>
      <c r="C183" s="2042" t="s">
        <v>2083</v>
      </c>
      <c r="D183" s="2042" t="s">
        <v>9284</v>
      </c>
      <c r="E183" s="105">
        <v>0.82200000000000006</v>
      </c>
      <c r="F183" s="105">
        <v>0.82200000000000006</v>
      </c>
      <c r="G183" s="2042">
        <v>0.872</v>
      </c>
      <c r="H183" s="105">
        <f t="shared" si="5"/>
        <v>4.9999999999999933E-2</v>
      </c>
    </row>
    <row r="184" spans="1:8" ht="14.5">
      <c r="A184" s="41">
        <v>46902</v>
      </c>
      <c r="B184" s="380" t="str">
        <f t="shared" si="4"/>
        <v>046-902</v>
      </c>
      <c r="C184" s="2042" t="s">
        <v>2084</v>
      </c>
      <c r="D184" s="2042" t="s">
        <v>9284</v>
      </c>
      <c r="E184" s="105">
        <v>0.82200000000000006</v>
      </c>
      <c r="F184" s="105">
        <v>0.82200000000000006</v>
      </c>
      <c r="G184" s="2042">
        <v>0.94200000000000006</v>
      </c>
      <c r="H184" s="105">
        <f t="shared" si="5"/>
        <v>0.12</v>
      </c>
    </row>
    <row r="185" spans="1:8" ht="14.5">
      <c r="A185" s="41">
        <v>47901</v>
      </c>
      <c r="B185" s="380" t="str">
        <f t="shared" si="4"/>
        <v>047-901</v>
      </c>
      <c r="C185" s="2042" t="s">
        <v>2085</v>
      </c>
      <c r="D185" s="2042" t="s">
        <v>9284</v>
      </c>
      <c r="E185" s="105">
        <v>0.87770000000000004</v>
      </c>
      <c r="F185" s="105">
        <v>0.87770000000000004</v>
      </c>
      <c r="G185" s="2042">
        <v>1.016</v>
      </c>
      <c r="H185" s="105">
        <f t="shared" si="5"/>
        <v>0.13829999999999998</v>
      </c>
    </row>
    <row r="186" spans="1:8" ht="14.5">
      <c r="A186" s="41">
        <v>47902</v>
      </c>
      <c r="B186" s="380" t="str">
        <f t="shared" si="4"/>
        <v>047-902</v>
      </c>
      <c r="C186" s="2042" t="s">
        <v>2518</v>
      </c>
      <c r="D186" s="2042" t="s">
        <v>9284</v>
      </c>
      <c r="E186" s="105">
        <v>0.83830000000000005</v>
      </c>
      <c r="F186" s="105">
        <v>0.83830000000000005</v>
      </c>
      <c r="G186" s="2042">
        <v>0.9507000000000001</v>
      </c>
      <c r="H186" s="105">
        <f t="shared" si="5"/>
        <v>0.11240000000000006</v>
      </c>
    </row>
    <row r="187" spans="1:8" ht="14.5">
      <c r="A187" s="41">
        <v>47903</v>
      </c>
      <c r="B187" s="380" t="str">
        <f t="shared" si="4"/>
        <v>047-903</v>
      </c>
      <c r="C187" s="2042" t="s">
        <v>1637</v>
      </c>
      <c r="D187" s="2042" t="s">
        <v>9284</v>
      </c>
      <c r="E187" s="105">
        <v>0.82200000000000006</v>
      </c>
      <c r="F187" s="105">
        <v>0.82200000000000006</v>
      </c>
      <c r="G187" s="2042">
        <v>0.96030000000000004</v>
      </c>
      <c r="H187" s="105">
        <f t="shared" si="5"/>
        <v>0.13829999999999998</v>
      </c>
    </row>
    <row r="188" spans="1:8" ht="14.5">
      <c r="A188" s="41">
        <v>47905</v>
      </c>
      <c r="B188" s="380" t="str">
        <f t="shared" si="4"/>
        <v>047-905</v>
      </c>
      <c r="C188" s="2042" t="s">
        <v>2086</v>
      </c>
      <c r="D188" s="2042" t="s">
        <v>9284</v>
      </c>
      <c r="E188" s="105">
        <v>0.8276</v>
      </c>
      <c r="F188" s="105">
        <v>0.8276</v>
      </c>
      <c r="G188" s="2042">
        <v>0.87760000000000005</v>
      </c>
      <c r="H188" s="105">
        <f t="shared" si="5"/>
        <v>5.0000000000000044E-2</v>
      </c>
    </row>
    <row r="189" spans="1:8" ht="14.5">
      <c r="A189" s="41">
        <v>48901</v>
      </c>
      <c r="B189" s="380" t="str">
        <f t="shared" si="4"/>
        <v>048-901</v>
      </c>
      <c r="C189" s="2042" t="s">
        <v>976</v>
      </c>
      <c r="D189" s="2042" t="s">
        <v>9284</v>
      </c>
      <c r="E189" s="105">
        <v>0.82200000000000006</v>
      </c>
      <c r="F189" s="105">
        <v>0.82200000000000006</v>
      </c>
      <c r="G189" s="2042">
        <v>0.872</v>
      </c>
      <c r="H189" s="105">
        <f t="shared" si="5"/>
        <v>4.9999999999999933E-2</v>
      </c>
    </row>
    <row r="190" spans="1:8" ht="14.5">
      <c r="A190" s="41">
        <v>48903</v>
      </c>
      <c r="B190" s="380" t="str">
        <f t="shared" si="4"/>
        <v>048-903</v>
      </c>
      <c r="C190" s="2042" t="s">
        <v>2088</v>
      </c>
      <c r="D190" s="2042" t="s">
        <v>9284</v>
      </c>
      <c r="E190" s="105">
        <v>0.82200000000000006</v>
      </c>
      <c r="F190" s="105">
        <v>0.82200000000000006</v>
      </c>
      <c r="G190" s="2042">
        <v>0.95380000000000009</v>
      </c>
      <c r="H190" s="105">
        <f t="shared" si="5"/>
        <v>0.13180000000000003</v>
      </c>
    </row>
    <row r="191" spans="1:8" ht="14.5">
      <c r="A191" s="41">
        <v>49901</v>
      </c>
      <c r="B191" s="380" t="str">
        <f t="shared" si="4"/>
        <v>049-901</v>
      </c>
      <c r="C191" s="2042" t="s">
        <v>1391</v>
      </c>
      <c r="D191" s="2042" t="s">
        <v>9284</v>
      </c>
      <c r="E191" s="105">
        <v>0.84370000000000001</v>
      </c>
      <c r="F191" s="105">
        <v>0.84370000000000001</v>
      </c>
      <c r="G191" s="2042">
        <v>0.9820000000000001</v>
      </c>
      <c r="H191" s="105">
        <f t="shared" si="5"/>
        <v>0.13830000000000009</v>
      </c>
    </row>
    <row r="192" spans="1:8" ht="14.5">
      <c r="A192" s="41">
        <v>49902</v>
      </c>
      <c r="B192" s="380" t="str">
        <f t="shared" si="4"/>
        <v>049-902</v>
      </c>
      <c r="C192" s="2042" t="s">
        <v>2089</v>
      </c>
      <c r="D192" s="2042" t="s">
        <v>9284</v>
      </c>
      <c r="E192" s="105">
        <v>0.82200000000000006</v>
      </c>
      <c r="F192" s="105">
        <v>0.82200000000000006</v>
      </c>
      <c r="G192" s="2042">
        <v>0.872</v>
      </c>
      <c r="H192" s="105">
        <f t="shared" si="5"/>
        <v>4.9999999999999933E-2</v>
      </c>
    </row>
    <row r="193" spans="1:8" ht="14.5">
      <c r="A193" s="41">
        <v>49903</v>
      </c>
      <c r="B193" s="380" t="str">
        <f t="shared" si="4"/>
        <v>049-903</v>
      </c>
      <c r="C193" s="2042" t="s">
        <v>2231</v>
      </c>
      <c r="D193" s="2042" t="s">
        <v>9284</v>
      </c>
      <c r="E193" s="105">
        <v>0.85780000000000001</v>
      </c>
      <c r="F193" s="105">
        <v>0.85780000000000001</v>
      </c>
      <c r="G193" s="2042">
        <v>0.9628000000000001</v>
      </c>
      <c r="H193" s="105">
        <f t="shared" si="5"/>
        <v>0.10500000000000009</v>
      </c>
    </row>
    <row r="194" spans="1:8" ht="14.5">
      <c r="A194" s="41">
        <v>49905</v>
      </c>
      <c r="B194" s="380" t="str">
        <f t="shared" si="4"/>
        <v>049-905</v>
      </c>
      <c r="C194" s="2042" t="s">
        <v>2090</v>
      </c>
      <c r="D194" s="2042" t="s">
        <v>9284</v>
      </c>
      <c r="E194" s="105">
        <v>0.82200000000000006</v>
      </c>
      <c r="F194" s="105">
        <v>0.82200000000000006</v>
      </c>
      <c r="G194" s="2042">
        <v>0.872</v>
      </c>
      <c r="H194" s="105">
        <f t="shared" si="5"/>
        <v>4.9999999999999933E-2</v>
      </c>
    </row>
    <row r="195" spans="1:8" ht="14.5">
      <c r="A195" s="41">
        <v>49906</v>
      </c>
      <c r="B195" s="380" t="str">
        <f t="shared" ref="B195:B259" si="6">CONCATENATE(LEFT(RIGHT(CONCATENATE("000",A195),6),3),"-",(RIGHT(RIGHT(CONCATENATE("000",A195),6),3)))</f>
        <v>049-906</v>
      </c>
      <c r="C195" s="2042" t="s">
        <v>2091</v>
      </c>
      <c r="D195" s="2042" t="s">
        <v>9284</v>
      </c>
      <c r="E195" s="105">
        <v>0.82200000000000006</v>
      </c>
      <c r="F195" s="105">
        <v>0.82200000000000006</v>
      </c>
      <c r="G195" s="2042">
        <v>0.872</v>
      </c>
      <c r="H195" s="105">
        <f t="shared" ref="H195:H258" si="7">G195-F195</f>
        <v>4.9999999999999933E-2</v>
      </c>
    </row>
    <row r="196" spans="1:8" ht="14.5">
      <c r="A196" s="41">
        <v>49907</v>
      </c>
      <c r="B196" s="380" t="str">
        <f t="shared" si="6"/>
        <v>049-907</v>
      </c>
      <c r="C196" s="2042" t="s">
        <v>2092</v>
      </c>
      <c r="D196" s="2042" t="s">
        <v>9284</v>
      </c>
      <c r="E196" s="105">
        <v>0.8891</v>
      </c>
      <c r="F196" s="105">
        <v>0.8891</v>
      </c>
      <c r="G196" s="2042">
        <v>0.93910000000000005</v>
      </c>
      <c r="H196" s="105">
        <f t="shared" si="7"/>
        <v>5.0000000000000044E-2</v>
      </c>
    </row>
    <row r="197" spans="1:8" ht="14.5">
      <c r="A197" s="41">
        <v>49908</v>
      </c>
      <c r="B197" s="380" t="str">
        <f t="shared" si="6"/>
        <v>049-908</v>
      </c>
      <c r="C197" s="2042" t="s">
        <v>2093</v>
      </c>
      <c r="D197" s="2042" t="s">
        <v>9284</v>
      </c>
      <c r="E197" s="105">
        <v>0.91339999999999999</v>
      </c>
      <c r="F197" s="105">
        <v>0.91339999999999999</v>
      </c>
      <c r="G197" s="2042">
        <v>0.96340000000000003</v>
      </c>
      <c r="H197" s="105">
        <f t="shared" si="7"/>
        <v>5.0000000000000044E-2</v>
      </c>
    </row>
    <row r="198" spans="1:8" ht="14.5">
      <c r="A198" s="41">
        <v>49909</v>
      </c>
      <c r="B198" s="380" t="str">
        <f t="shared" si="6"/>
        <v>049-909</v>
      </c>
      <c r="C198" s="2042" t="s">
        <v>2094</v>
      </c>
      <c r="D198" s="2042" t="s">
        <v>9284</v>
      </c>
      <c r="E198" s="105">
        <v>0.84310000000000007</v>
      </c>
      <c r="F198" s="105">
        <v>0.84310000000000007</v>
      </c>
      <c r="G198" s="2042">
        <v>0.878</v>
      </c>
      <c r="H198" s="105">
        <f t="shared" si="7"/>
        <v>3.4899999999999931E-2</v>
      </c>
    </row>
    <row r="199" spans="1:8" ht="14.5">
      <c r="A199" s="41">
        <v>50901</v>
      </c>
      <c r="B199" s="380" t="str">
        <f t="shared" si="6"/>
        <v>050-901</v>
      </c>
      <c r="C199" s="2042" t="s">
        <v>2095</v>
      </c>
      <c r="D199" s="2042" t="s">
        <v>9284</v>
      </c>
      <c r="E199" s="105">
        <v>0.82200000000000006</v>
      </c>
      <c r="F199" s="105">
        <v>0.82200000000000006</v>
      </c>
      <c r="G199" s="2042">
        <v>0.872</v>
      </c>
      <c r="H199" s="105">
        <f t="shared" si="7"/>
        <v>4.9999999999999933E-2</v>
      </c>
    </row>
    <row r="200" spans="1:8" ht="14.5">
      <c r="A200" s="41">
        <v>50902</v>
      </c>
      <c r="B200" s="380" t="str">
        <f t="shared" si="6"/>
        <v>050-902</v>
      </c>
      <c r="C200" s="2042" t="s">
        <v>2096</v>
      </c>
      <c r="D200" s="2042" t="s">
        <v>9284</v>
      </c>
      <c r="E200" s="105">
        <v>0.82200000000000006</v>
      </c>
      <c r="F200" s="105">
        <v>0.82200000000000006</v>
      </c>
      <c r="G200" s="2042">
        <v>0.86199999999999999</v>
      </c>
      <c r="H200" s="105">
        <f t="shared" si="7"/>
        <v>3.9999999999999925E-2</v>
      </c>
    </row>
    <row r="201" spans="1:8" ht="14.5">
      <c r="A201" s="41">
        <v>50904</v>
      </c>
      <c r="B201" s="380" t="str">
        <f t="shared" si="6"/>
        <v>050-904</v>
      </c>
      <c r="C201" s="2042" t="s">
        <v>247</v>
      </c>
      <c r="D201" s="2042" t="s">
        <v>9284</v>
      </c>
      <c r="E201" s="105">
        <v>0.82200000000000006</v>
      </c>
      <c r="F201" s="105">
        <v>0.82200000000000006</v>
      </c>
      <c r="G201" s="2042">
        <v>0.96030000000000004</v>
      </c>
      <c r="H201" s="105">
        <f t="shared" si="7"/>
        <v>0.13829999999999998</v>
      </c>
    </row>
    <row r="202" spans="1:8" ht="14.5">
      <c r="A202" s="41">
        <v>50909</v>
      </c>
      <c r="B202" s="380" t="str">
        <f t="shared" si="6"/>
        <v>050-909</v>
      </c>
      <c r="C202" s="2042" t="s">
        <v>2097</v>
      </c>
      <c r="D202" s="2042" t="s">
        <v>9284</v>
      </c>
      <c r="E202" s="105">
        <v>0.82200000000000006</v>
      </c>
      <c r="F202" s="105">
        <v>0.82200000000000006</v>
      </c>
      <c r="G202" s="2042">
        <v>0.96030000000000004</v>
      </c>
      <c r="H202" s="105">
        <f t="shared" si="7"/>
        <v>0.13829999999999998</v>
      </c>
    </row>
    <row r="203" spans="1:8" ht="14.5">
      <c r="A203" s="41">
        <v>50910</v>
      </c>
      <c r="B203" s="380" t="str">
        <f t="shared" si="6"/>
        <v>050-910</v>
      </c>
      <c r="C203" s="2042" t="s">
        <v>2430</v>
      </c>
      <c r="D203" s="2042" t="s">
        <v>9284</v>
      </c>
      <c r="E203" s="105">
        <v>0.83130000000000004</v>
      </c>
      <c r="F203" s="105">
        <v>0.83130000000000004</v>
      </c>
      <c r="G203" s="2042">
        <v>0.96960000000000002</v>
      </c>
      <c r="H203" s="105">
        <f t="shared" si="7"/>
        <v>0.13829999999999998</v>
      </c>
    </row>
    <row r="204" spans="1:8" ht="14.5">
      <c r="A204" s="41">
        <v>51901</v>
      </c>
      <c r="B204" s="380" t="str">
        <f t="shared" si="6"/>
        <v>051-901</v>
      </c>
      <c r="C204" s="2042" t="s">
        <v>2098</v>
      </c>
      <c r="D204" s="2042" t="s">
        <v>9284</v>
      </c>
      <c r="E204" s="105">
        <v>0.91339999999999999</v>
      </c>
      <c r="F204" s="105">
        <v>0.91339999999999999</v>
      </c>
      <c r="G204" s="2042">
        <v>0.96340000000000003</v>
      </c>
      <c r="H204" s="105">
        <f t="shared" si="7"/>
        <v>5.0000000000000044E-2</v>
      </c>
    </row>
    <row r="205" spans="1:8" ht="14.5">
      <c r="A205" s="727">
        <v>52901</v>
      </c>
      <c r="B205" s="1683" t="str">
        <f t="shared" si="6"/>
        <v>052-901</v>
      </c>
      <c r="C205" s="629" t="s">
        <v>2099</v>
      </c>
      <c r="D205" s="629" t="s">
        <v>9284</v>
      </c>
      <c r="E205" s="105">
        <v>0.83610000000000007</v>
      </c>
      <c r="F205" s="105">
        <v>0.84610000000000007</v>
      </c>
      <c r="G205" s="2042">
        <v>0.89610000000000001</v>
      </c>
      <c r="H205" s="105">
        <f t="shared" si="7"/>
        <v>4.9999999999999933E-2</v>
      </c>
    </row>
    <row r="206" spans="1:8" ht="14.5">
      <c r="A206" s="41">
        <v>53001</v>
      </c>
      <c r="B206" s="380" t="str">
        <f t="shared" si="6"/>
        <v>053-001</v>
      </c>
      <c r="C206" s="2042" t="s">
        <v>3319</v>
      </c>
      <c r="D206" s="2042" t="s">
        <v>9284</v>
      </c>
      <c r="E206" s="105">
        <v>0.82200000000000006</v>
      </c>
      <c r="F206" s="105">
        <v>0.82200000000000006</v>
      </c>
      <c r="G206" s="2042">
        <v>0.88200000000000001</v>
      </c>
      <c r="H206" s="105">
        <f t="shared" si="7"/>
        <v>5.9999999999999942E-2</v>
      </c>
    </row>
    <row r="207" spans="1:8" ht="14.5">
      <c r="A207" s="41">
        <v>54901</v>
      </c>
      <c r="B207" s="380" t="str">
        <f t="shared" si="6"/>
        <v>054-901</v>
      </c>
      <c r="C207" s="2042" t="s">
        <v>978</v>
      </c>
      <c r="D207" s="2042" t="s">
        <v>9284</v>
      </c>
      <c r="E207" s="105">
        <v>0.91339999999999999</v>
      </c>
      <c r="F207" s="105">
        <v>0.91339999999999999</v>
      </c>
      <c r="G207" s="2042">
        <v>0.99340000000000006</v>
      </c>
      <c r="H207" s="105">
        <f t="shared" si="7"/>
        <v>8.0000000000000071E-2</v>
      </c>
    </row>
    <row r="208" spans="1:8" ht="14.5">
      <c r="A208" s="727">
        <v>54902</v>
      </c>
      <c r="B208" s="1683" t="str">
        <f t="shared" si="6"/>
        <v>054-902</v>
      </c>
      <c r="C208" s="629" t="s">
        <v>623</v>
      </c>
      <c r="D208" s="629" t="s">
        <v>9284</v>
      </c>
      <c r="E208" s="105">
        <v>0.91339999999999999</v>
      </c>
      <c r="F208" s="105">
        <v>0.91360000000000008</v>
      </c>
      <c r="G208" s="2042">
        <v>0.96360000000000001</v>
      </c>
      <c r="H208" s="105">
        <f t="shared" si="7"/>
        <v>4.9999999999999933E-2</v>
      </c>
    </row>
    <row r="209" spans="1:8" ht="14.5">
      <c r="A209" s="41">
        <v>54903</v>
      </c>
      <c r="B209" s="380" t="str">
        <f t="shared" si="6"/>
        <v>054-903</v>
      </c>
      <c r="C209" s="2042" t="s">
        <v>624</v>
      </c>
      <c r="D209" s="2042" t="s">
        <v>9284</v>
      </c>
      <c r="E209" s="105">
        <v>0.91339999999999999</v>
      </c>
      <c r="F209" s="105">
        <v>0.91339999999999999</v>
      </c>
      <c r="G209" s="2042">
        <v>0.96340000000000003</v>
      </c>
      <c r="H209" s="105">
        <f t="shared" si="7"/>
        <v>5.0000000000000044E-2</v>
      </c>
    </row>
    <row r="210" spans="1:8" ht="14.5">
      <c r="A210" s="727">
        <v>55901</v>
      </c>
      <c r="B210" s="1683" t="str">
        <f t="shared" si="6"/>
        <v>055-901</v>
      </c>
      <c r="C210" s="629" t="s">
        <v>113</v>
      </c>
      <c r="D210" s="629" t="s">
        <v>9284</v>
      </c>
      <c r="E210" s="105">
        <v>0.82250000000000001</v>
      </c>
      <c r="F210" s="105">
        <v>0.82469999999999999</v>
      </c>
      <c r="G210" s="2042">
        <v>0.87470000000000003</v>
      </c>
      <c r="H210" s="105">
        <f t="shared" si="7"/>
        <v>5.0000000000000044E-2</v>
      </c>
    </row>
    <row r="211" spans="1:8" ht="14.5">
      <c r="A211" s="41">
        <v>56901</v>
      </c>
      <c r="B211" s="380" t="str">
        <f t="shared" si="6"/>
        <v>056-901</v>
      </c>
      <c r="C211" s="2042" t="s">
        <v>114</v>
      </c>
      <c r="D211" s="2042" t="s">
        <v>9284</v>
      </c>
      <c r="E211" s="105">
        <v>0.88630000000000009</v>
      </c>
      <c r="F211" s="105">
        <v>0.88630000000000009</v>
      </c>
      <c r="G211" s="2042">
        <v>0.93630000000000002</v>
      </c>
      <c r="H211" s="105">
        <f t="shared" si="7"/>
        <v>4.9999999999999933E-2</v>
      </c>
    </row>
    <row r="212" spans="1:8" ht="14.5">
      <c r="A212" s="41">
        <v>56902</v>
      </c>
      <c r="B212" s="380" t="str">
        <f t="shared" si="6"/>
        <v>056-902</v>
      </c>
      <c r="C212" s="2042" t="s">
        <v>115</v>
      </c>
      <c r="D212" s="2042" t="s">
        <v>9284</v>
      </c>
      <c r="E212" s="105">
        <v>0.91339999999999999</v>
      </c>
      <c r="F212" s="105">
        <v>0.91339999999999999</v>
      </c>
      <c r="G212" s="2042">
        <v>1.0517000000000001</v>
      </c>
      <c r="H212" s="105">
        <f t="shared" si="7"/>
        <v>0.13830000000000009</v>
      </c>
    </row>
    <row r="213" spans="1:8" ht="14.5">
      <c r="A213" s="41">
        <v>57903</v>
      </c>
      <c r="B213" s="380" t="str">
        <f t="shared" si="6"/>
        <v>057-903</v>
      </c>
      <c r="C213" s="2042" t="s">
        <v>116</v>
      </c>
      <c r="D213" s="2042" t="s">
        <v>9284</v>
      </c>
      <c r="E213" s="105">
        <v>0.8629</v>
      </c>
      <c r="F213" s="105">
        <v>0.8629</v>
      </c>
      <c r="G213" s="2042">
        <v>1.0012000000000001</v>
      </c>
      <c r="H213" s="105">
        <f t="shared" si="7"/>
        <v>0.13830000000000009</v>
      </c>
    </row>
    <row r="214" spans="1:8" ht="14.5">
      <c r="A214" s="41">
        <v>57904</v>
      </c>
      <c r="B214" s="380" t="str">
        <f t="shared" si="6"/>
        <v>057-904</v>
      </c>
      <c r="C214" s="2042" t="s">
        <v>117</v>
      </c>
      <c r="D214" s="2042" t="s">
        <v>9284</v>
      </c>
      <c r="E214" s="105">
        <v>0.85240000000000005</v>
      </c>
      <c r="F214" s="105">
        <v>0.85240000000000005</v>
      </c>
      <c r="G214" s="2042">
        <v>0.90240000000000009</v>
      </c>
      <c r="H214" s="105">
        <f t="shared" si="7"/>
        <v>5.0000000000000044E-2</v>
      </c>
    </row>
    <row r="215" spans="1:8" ht="14.5">
      <c r="A215" s="41">
        <v>57905</v>
      </c>
      <c r="B215" s="380" t="str">
        <f t="shared" si="6"/>
        <v>057-905</v>
      </c>
      <c r="C215" s="2042" t="s">
        <v>118</v>
      </c>
      <c r="D215" s="2042" t="s">
        <v>9284</v>
      </c>
      <c r="E215" s="105">
        <v>0.8679</v>
      </c>
      <c r="F215" s="105">
        <v>0.8679</v>
      </c>
      <c r="G215" s="2042">
        <v>1.0062</v>
      </c>
      <c r="H215" s="105">
        <f t="shared" si="7"/>
        <v>0.13829999999999998</v>
      </c>
    </row>
    <row r="216" spans="1:8" ht="14.5">
      <c r="A216" s="41">
        <v>57906</v>
      </c>
      <c r="B216" s="380" t="str">
        <f t="shared" si="6"/>
        <v>057-906</v>
      </c>
      <c r="C216" s="2042" t="s">
        <v>119</v>
      </c>
      <c r="D216" s="2042" t="s">
        <v>9284</v>
      </c>
      <c r="E216" s="105">
        <v>0.82200000000000006</v>
      </c>
      <c r="F216" s="105">
        <v>0.82200000000000006</v>
      </c>
      <c r="G216" s="2042">
        <v>0.96030000000000004</v>
      </c>
      <c r="H216" s="105">
        <f t="shared" si="7"/>
        <v>0.13829999999999998</v>
      </c>
    </row>
    <row r="217" spans="1:8" ht="14.5">
      <c r="A217" s="41">
        <v>57907</v>
      </c>
      <c r="B217" s="380" t="str">
        <f t="shared" si="6"/>
        <v>057-907</v>
      </c>
      <c r="C217" s="2042" t="s">
        <v>120</v>
      </c>
      <c r="D217" s="2042" t="s">
        <v>9284</v>
      </c>
      <c r="E217" s="105">
        <v>0.84760000000000002</v>
      </c>
      <c r="F217" s="105">
        <v>0.84760000000000002</v>
      </c>
      <c r="G217" s="2042">
        <v>0.9759000000000001</v>
      </c>
      <c r="H217" s="105">
        <f t="shared" si="7"/>
        <v>0.12830000000000008</v>
      </c>
    </row>
    <row r="218" spans="1:8" ht="14.5">
      <c r="A218" s="41">
        <v>57909</v>
      </c>
      <c r="B218" s="380" t="str">
        <f t="shared" si="6"/>
        <v>057-909</v>
      </c>
      <c r="C218" s="2042" t="s">
        <v>1394</v>
      </c>
      <c r="D218" s="2042" t="s">
        <v>9284</v>
      </c>
      <c r="E218" s="105">
        <v>0.88840000000000008</v>
      </c>
      <c r="F218" s="105">
        <v>0.88840000000000008</v>
      </c>
      <c r="G218" s="2042">
        <v>0.93840000000000001</v>
      </c>
      <c r="H218" s="105">
        <f t="shared" si="7"/>
        <v>4.9999999999999933E-2</v>
      </c>
    </row>
    <row r="219" spans="1:8" ht="14.5">
      <c r="A219" s="41">
        <v>57910</v>
      </c>
      <c r="B219" s="380" t="str">
        <f t="shared" si="6"/>
        <v>057-910</v>
      </c>
      <c r="C219" s="2042" t="s">
        <v>816</v>
      </c>
      <c r="D219" s="2042" t="s">
        <v>9284</v>
      </c>
      <c r="E219" s="105">
        <v>0.82200000000000006</v>
      </c>
      <c r="F219" s="105">
        <v>0.82200000000000006</v>
      </c>
      <c r="G219" s="2042">
        <v>0.96030000000000004</v>
      </c>
      <c r="H219" s="105">
        <f t="shared" si="7"/>
        <v>0.13829999999999998</v>
      </c>
    </row>
    <row r="220" spans="1:8" ht="14.5">
      <c r="A220" s="727">
        <v>57911</v>
      </c>
      <c r="B220" s="1683" t="str">
        <f t="shared" si="6"/>
        <v>057-911</v>
      </c>
      <c r="C220" s="629" t="s">
        <v>121</v>
      </c>
      <c r="D220" s="629" t="s">
        <v>9284</v>
      </c>
      <c r="E220" s="105">
        <v>0.88100000000000001</v>
      </c>
      <c r="F220" s="105">
        <v>0.88100000000000001</v>
      </c>
      <c r="G220" s="2042">
        <v>0.96100000000000008</v>
      </c>
      <c r="H220" s="105">
        <f t="shared" si="7"/>
        <v>8.0000000000000071E-2</v>
      </c>
    </row>
    <row r="221" spans="1:8" ht="14.5">
      <c r="A221" s="41">
        <v>57912</v>
      </c>
      <c r="B221" s="380" t="str">
        <f t="shared" si="6"/>
        <v>057-912</v>
      </c>
      <c r="C221" s="2042" t="s">
        <v>1195</v>
      </c>
      <c r="D221" s="2042" t="s">
        <v>9284</v>
      </c>
      <c r="E221" s="105">
        <v>0.83800000000000008</v>
      </c>
      <c r="F221" s="105">
        <v>0.83800000000000008</v>
      </c>
      <c r="G221" s="2042">
        <v>0.93900000000000006</v>
      </c>
      <c r="H221" s="105">
        <f t="shared" si="7"/>
        <v>0.10099999999999998</v>
      </c>
    </row>
    <row r="222" spans="1:8" ht="14.5">
      <c r="A222" s="41">
        <v>57913</v>
      </c>
      <c r="B222" s="380" t="str">
        <f t="shared" si="6"/>
        <v>057-913</v>
      </c>
      <c r="C222" s="2042" t="s">
        <v>122</v>
      </c>
      <c r="D222" s="2042" t="s">
        <v>9284</v>
      </c>
      <c r="E222" s="105">
        <v>0.89690000000000003</v>
      </c>
      <c r="F222" s="105">
        <v>0.89690000000000003</v>
      </c>
      <c r="G222" s="2042">
        <v>1.0329000000000002</v>
      </c>
      <c r="H222" s="105">
        <f t="shared" si="7"/>
        <v>0.13600000000000012</v>
      </c>
    </row>
    <row r="223" spans="1:8" ht="14.5">
      <c r="A223" s="41">
        <v>57914</v>
      </c>
      <c r="B223" s="380" t="str">
        <f t="shared" si="6"/>
        <v>057-914</v>
      </c>
      <c r="C223" s="2042" t="s">
        <v>2112</v>
      </c>
      <c r="D223" s="2042" t="s">
        <v>9284</v>
      </c>
      <c r="E223" s="105">
        <v>0.82200000000000006</v>
      </c>
      <c r="F223" s="105">
        <v>0.82200000000000006</v>
      </c>
      <c r="G223" s="2042">
        <v>0.872</v>
      </c>
      <c r="H223" s="105">
        <f t="shared" si="7"/>
        <v>4.9999999999999933E-2</v>
      </c>
    </row>
    <row r="224" spans="1:8" ht="14.5">
      <c r="A224" s="41">
        <v>57916</v>
      </c>
      <c r="B224" s="380" t="str">
        <f t="shared" si="6"/>
        <v>057-916</v>
      </c>
      <c r="C224" s="2042" t="s">
        <v>2466</v>
      </c>
      <c r="D224" s="2042" t="s">
        <v>9284</v>
      </c>
      <c r="E224" s="105">
        <v>0.90260000000000007</v>
      </c>
      <c r="F224" s="105">
        <v>0.90260000000000007</v>
      </c>
      <c r="G224" s="2042">
        <v>1.0409000000000002</v>
      </c>
      <c r="H224" s="105">
        <f t="shared" si="7"/>
        <v>0.13830000000000009</v>
      </c>
    </row>
    <row r="225" spans="1:8" ht="14.5">
      <c r="A225" s="41">
        <v>57919</v>
      </c>
      <c r="B225" s="380" t="str">
        <f t="shared" si="6"/>
        <v>057-919</v>
      </c>
      <c r="C225" s="2042" t="s">
        <v>2467</v>
      </c>
      <c r="D225" s="2042" t="s">
        <v>9284</v>
      </c>
      <c r="E225" s="105">
        <v>0.82200000000000006</v>
      </c>
      <c r="F225" s="105">
        <v>0.82200000000000006</v>
      </c>
      <c r="G225" s="2042">
        <v>0.92790000000000006</v>
      </c>
      <c r="H225" s="105">
        <f t="shared" si="7"/>
        <v>0.10589999999999999</v>
      </c>
    </row>
    <row r="226" spans="1:8" ht="14.5">
      <c r="A226" s="41">
        <v>57922</v>
      </c>
      <c r="B226" s="380" t="str">
        <f t="shared" si="6"/>
        <v>057-922</v>
      </c>
      <c r="C226" s="2042" t="s">
        <v>2468</v>
      </c>
      <c r="D226" s="2042" t="s">
        <v>9284</v>
      </c>
      <c r="E226" s="105">
        <v>0.90890000000000004</v>
      </c>
      <c r="F226" s="105">
        <v>0.90890000000000004</v>
      </c>
      <c r="G226" s="2042">
        <v>1.0472000000000001</v>
      </c>
      <c r="H226" s="105">
        <f t="shared" si="7"/>
        <v>0.13830000000000009</v>
      </c>
    </row>
    <row r="227" spans="1:8" ht="14.5">
      <c r="A227" s="41">
        <v>58902</v>
      </c>
      <c r="B227" s="380" t="str">
        <f t="shared" si="6"/>
        <v>058-902</v>
      </c>
      <c r="C227" s="2042" t="s">
        <v>2516</v>
      </c>
      <c r="D227" s="2042" t="s">
        <v>9284</v>
      </c>
      <c r="E227" s="105">
        <v>0.91339999999999999</v>
      </c>
      <c r="F227" s="105">
        <v>0.91339999999999999</v>
      </c>
      <c r="G227" s="2042">
        <v>1.0517000000000001</v>
      </c>
      <c r="H227" s="105">
        <f t="shared" si="7"/>
        <v>0.13830000000000009</v>
      </c>
    </row>
    <row r="228" spans="1:8" ht="14.5">
      <c r="A228" s="41">
        <v>58905</v>
      </c>
      <c r="B228" s="380" t="str">
        <f t="shared" si="6"/>
        <v>058-905</v>
      </c>
      <c r="C228" s="2042" t="s">
        <v>2469</v>
      </c>
      <c r="D228" s="2042" t="s">
        <v>9284</v>
      </c>
      <c r="E228" s="105">
        <v>0.82469999999999999</v>
      </c>
      <c r="F228" s="105">
        <v>0.82469999999999999</v>
      </c>
      <c r="G228" s="2042">
        <v>0.96300000000000008</v>
      </c>
      <c r="H228" s="105">
        <f t="shared" si="7"/>
        <v>0.13830000000000009</v>
      </c>
    </row>
    <row r="229" spans="1:8" ht="14.5">
      <c r="A229" s="41">
        <v>58906</v>
      </c>
      <c r="B229" s="380" t="str">
        <f t="shared" si="6"/>
        <v>058-906</v>
      </c>
      <c r="C229" s="2042" t="s">
        <v>2470</v>
      </c>
      <c r="D229" s="2042" t="s">
        <v>9284</v>
      </c>
      <c r="E229" s="105">
        <v>0.91339999999999999</v>
      </c>
      <c r="F229" s="105">
        <v>0.91339999999999999</v>
      </c>
      <c r="G229" s="2042">
        <v>1.0517000000000001</v>
      </c>
      <c r="H229" s="105">
        <f t="shared" si="7"/>
        <v>0.13830000000000009</v>
      </c>
    </row>
    <row r="230" spans="1:8" ht="14.5">
      <c r="A230" s="41">
        <v>58909</v>
      </c>
      <c r="B230" s="380" t="str">
        <f t="shared" si="6"/>
        <v>058-909</v>
      </c>
      <c r="C230" s="2042" t="s">
        <v>2471</v>
      </c>
      <c r="D230" s="2042" t="s">
        <v>9284</v>
      </c>
      <c r="E230" s="105">
        <v>0.82200000000000006</v>
      </c>
      <c r="F230" s="105">
        <v>0.82200000000000006</v>
      </c>
      <c r="G230" s="2042">
        <v>0.872</v>
      </c>
      <c r="H230" s="105">
        <f t="shared" si="7"/>
        <v>4.9999999999999933E-2</v>
      </c>
    </row>
    <row r="231" spans="1:8" ht="14.5">
      <c r="A231" s="41">
        <v>59901</v>
      </c>
      <c r="B231" s="380" t="str">
        <f t="shared" si="6"/>
        <v>059-901</v>
      </c>
      <c r="C231" s="2042" t="s">
        <v>2239</v>
      </c>
      <c r="D231" s="2042" t="s">
        <v>9284</v>
      </c>
      <c r="E231" s="105">
        <v>0.87080000000000002</v>
      </c>
      <c r="F231" s="105">
        <v>0.87080000000000002</v>
      </c>
      <c r="G231" s="2042">
        <v>0.92080000000000006</v>
      </c>
      <c r="H231" s="105">
        <f t="shared" si="7"/>
        <v>5.0000000000000044E-2</v>
      </c>
    </row>
    <row r="232" spans="1:8" ht="14.5">
      <c r="A232" s="41">
        <v>59902</v>
      </c>
      <c r="B232" s="380" t="str">
        <f t="shared" si="6"/>
        <v>059-902</v>
      </c>
      <c r="C232" s="2042" t="s">
        <v>2472</v>
      </c>
      <c r="D232" s="2042" t="s">
        <v>9284</v>
      </c>
      <c r="E232" s="105">
        <v>0.90529999999999999</v>
      </c>
      <c r="F232" s="105">
        <v>0.90529999999999999</v>
      </c>
      <c r="G232" s="2042">
        <v>0.95530000000000004</v>
      </c>
      <c r="H232" s="105">
        <f t="shared" si="7"/>
        <v>5.0000000000000044E-2</v>
      </c>
    </row>
    <row r="233" spans="1:8" ht="14.5">
      <c r="A233" s="41">
        <v>60902</v>
      </c>
      <c r="B233" s="380" t="str">
        <f t="shared" si="6"/>
        <v>060-902</v>
      </c>
      <c r="C233" s="2042" t="s">
        <v>2473</v>
      </c>
      <c r="D233" s="2042" t="s">
        <v>9284</v>
      </c>
      <c r="E233" s="105">
        <v>0.82200000000000006</v>
      </c>
      <c r="F233" s="105">
        <v>0.82200000000000006</v>
      </c>
      <c r="G233" s="2042">
        <v>0.96030000000000004</v>
      </c>
      <c r="H233" s="105">
        <f t="shared" si="7"/>
        <v>0.13829999999999998</v>
      </c>
    </row>
    <row r="234" spans="1:8">
      <c r="B234" s="2042" t="s">
        <v>603</v>
      </c>
      <c r="C234" s="2042" t="s">
        <v>6227</v>
      </c>
      <c r="E234" s="105">
        <v>0.90350000000000008</v>
      </c>
      <c r="F234" s="105">
        <v>0.90350000000000008</v>
      </c>
      <c r="G234" s="2042">
        <v>1.0418000000000001</v>
      </c>
      <c r="H234" s="105">
        <f t="shared" si="7"/>
        <v>0.13829999999999998</v>
      </c>
    </row>
    <row r="235" spans="1:8" ht="14.5">
      <c r="A235" s="41">
        <v>61901</v>
      </c>
      <c r="B235" s="380" t="str">
        <f t="shared" si="6"/>
        <v>061-901</v>
      </c>
      <c r="C235" s="2042" t="s">
        <v>2474</v>
      </c>
      <c r="D235" s="2042" t="s">
        <v>9284</v>
      </c>
      <c r="E235" s="105">
        <v>0.82200000000000006</v>
      </c>
      <c r="F235" s="105">
        <v>0.82200000000000006</v>
      </c>
      <c r="G235" s="2042">
        <v>0.88200000000000001</v>
      </c>
      <c r="H235" s="105">
        <f t="shared" si="7"/>
        <v>5.9999999999999942E-2</v>
      </c>
    </row>
    <row r="236" spans="1:8" ht="14.5">
      <c r="A236" s="41">
        <v>61902</v>
      </c>
      <c r="B236" s="380" t="str">
        <f t="shared" si="6"/>
        <v>061-902</v>
      </c>
      <c r="C236" s="2042" t="s">
        <v>2327</v>
      </c>
      <c r="D236" s="2042" t="s">
        <v>9284</v>
      </c>
      <c r="E236" s="105">
        <v>0.87760000000000005</v>
      </c>
      <c r="F236" s="105">
        <v>0.87760000000000005</v>
      </c>
      <c r="G236" s="2042">
        <v>0.92760000000000009</v>
      </c>
      <c r="H236" s="105">
        <f t="shared" si="7"/>
        <v>5.0000000000000044E-2</v>
      </c>
    </row>
    <row r="237" spans="1:8" ht="14.5">
      <c r="A237" s="41">
        <v>61903</v>
      </c>
      <c r="B237" s="380" t="str">
        <f t="shared" si="6"/>
        <v>061-903</v>
      </c>
      <c r="C237" s="2042" t="s">
        <v>946</v>
      </c>
      <c r="D237" s="2042" t="s">
        <v>9284</v>
      </c>
      <c r="E237" s="105">
        <v>0.82200000000000006</v>
      </c>
      <c r="F237" s="105">
        <v>0.82200000000000006</v>
      </c>
      <c r="G237" s="2042">
        <v>0.96030000000000004</v>
      </c>
      <c r="H237" s="105">
        <f t="shared" si="7"/>
        <v>0.13829999999999998</v>
      </c>
    </row>
    <row r="238" spans="1:8" ht="14.5">
      <c r="A238" s="41">
        <v>61905</v>
      </c>
      <c r="B238" s="380" t="str">
        <f t="shared" si="6"/>
        <v>061-905</v>
      </c>
      <c r="C238" s="2042" t="s">
        <v>1598</v>
      </c>
      <c r="D238" s="2042" t="s">
        <v>9284</v>
      </c>
      <c r="E238" s="105">
        <v>0.82200000000000006</v>
      </c>
      <c r="F238" s="105">
        <v>0.82200000000000006</v>
      </c>
      <c r="G238" s="2042">
        <v>0.96030000000000004</v>
      </c>
      <c r="H238" s="105">
        <f t="shared" si="7"/>
        <v>0.13829999999999998</v>
      </c>
    </row>
    <row r="239" spans="1:8" ht="14.5">
      <c r="A239" s="41">
        <v>61906</v>
      </c>
      <c r="B239" s="380" t="str">
        <f t="shared" si="6"/>
        <v>061-906</v>
      </c>
      <c r="C239" s="2042" t="s">
        <v>948</v>
      </c>
      <c r="D239" s="2042" t="s">
        <v>9284</v>
      </c>
      <c r="E239" s="105">
        <v>0.86</v>
      </c>
      <c r="F239" s="105">
        <v>0.86</v>
      </c>
      <c r="G239" s="2042">
        <v>0.91</v>
      </c>
      <c r="H239" s="105">
        <f t="shared" si="7"/>
        <v>5.0000000000000044E-2</v>
      </c>
    </row>
    <row r="240" spans="1:8" ht="14.5">
      <c r="A240" s="41">
        <v>61907</v>
      </c>
      <c r="B240" s="380" t="str">
        <f t="shared" si="6"/>
        <v>061-907</v>
      </c>
      <c r="C240" s="2042" t="s">
        <v>1997</v>
      </c>
      <c r="D240" s="2042" t="s">
        <v>9284</v>
      </c>
      <c r="E240" s="105">
        <v>0.82200000000000006</v>
      </c>
      <c r="F240" s="105">
        <v>0.82200000000000006</v>
      </c>
      <c r="G240" s="2042">
        <v>0.96030000000000004</v>
      </c>
      <c r="H240" s="105">
        <f t="shared" si="7"/>
        <v>0.13829999999999998</v>
      </c>
    </row>
    <row r="241" spans="1:8" ht="14.5">
      <c r="A241" s="41">
        <v>61908</v>
      </c>
      <c r="B241" s="380" t="str">
        <f t="shared" si="6"/>
        <v>061-908</v>
      </c>
      <c r="C241" s="2042" t="s">
        <v>1947</v>
      </c>
      <c r="D241" s="2042" t="s">
        <v>9284</v>
      </c>
      <c r="E241" s="105">
        <v>0.82200000000000006</v>
      </c>
      <c r="F241" s="105">
        <v>0.82200000000000006</v>
      </c>
      <c r="G241" s="2042">
        <v>0.96030000000000004</v>
      </c>
      <c r="H241" s="105">
        <f t="shared" si="7"/>
        <v>0.13829999999999998</v>
      </c>
    </row>
    <row r="242" spans="1:8" ht="14.5">
      <c r="A242" s="41">
        <v>61910</v>
      </c>
      <c r="B242" s="380" t="str">
        <f t="shared" si="6"/>
        <v>061-910</v>
      </c>
      <c r="C242" s="2042" t="s">
        <v>2475</v>
      </c>
      <c r="D242" s="2042" t="s">
        <v>9284</v>
      </c>
      <c r="E242" s="105">
        <v>0.82200000000000006</v>
      </c>
      <c r="F242" s="105">
        <v>0.82200000000000006</v>
      </c>
      <c r="G242" s="2042">
        <v>0.91500000000000004</v>
      </c>
      <c r="H242" s="105">
        <f t="shared" si="7"/>
        <v>9.2999999999999972E-2</v>
      </c>
    </row>
    <row r="243" spans="1:8" ht="14.5">
      <c r="A243" s="41">
        <v>61911</v>
      </c>
      <c r="B243" s="380" t="str">
        <f t="shared" si="6"/>
        <v>061-911</v>
      </c>
      <c r="C243" s="2042" t="s">
        <v>1182</v>
      </c>
      <c r="D243" s="2042" t="s">
        <v>9284</v>
      </c>
      <c r="E243" s="105">
        <v>0.82200000000000006</v>
      </c>
      <c r="F243" s="105">
        <v>0.82200000000000006</v>
      </c>
      <c r="G243" s="2042">
        <v>0.872</v>
      </c>
      <c r="H243" s="105">
        <f t="shared" si="7"/>
        <v>4.9999999999999933E-2</v>
      </c>
    </row>
    <row r="244" spans="1:8" ht="14.5">
      <c r="A244" s="41">
        <v>61912</v>
      </c>
      <c r="B244" s="380" t="str">
        <f t="shared" si="6"/>
        <v>061-912</v>
      </c>
      <c r="C244" s="2042" t="s">
        <v>2176</v>
      </c>
      <c r="D244" s="2042" t="s">
        <v>9284</v>
      </c>
      <c r="E244" s="105">
        <v>0.86199999999999999</v>
      </c>
      <c r="F244" s="105">
        <v>0.86199999999999999</v>
      </c>
      <c r="G244" s="2042">
        <v>1.0003</v>
      </c>
      <c r="H244" s="105">
        <f t="shared" si="7"/>
        <v>0.13829999999999998</v>
      </c>
    </row>
    <row r="245" spans="1:8" ht="14.5">
      <c r="A245" s="41">
        <v>61914</v>
      </c>
      <c r="B245" s="380" t="str">
        <f t="shared" si="6"/>
        <v>061-914</v>
      </c>
      <c r="C245" s="2042" t="s">
        <v>1476</v>
      </c>
      <c r="D245" s="2042" t="s">
        <v>9284</v>
      </c>
      <c r="E245" s="105">
        <v>0.82200000000000006</v>
      </c>
      <c r="F245" s="105">
        <v>0.82200000000000006</v>
      </c>
      <c r="G245" s="2042">
        <v>0.96030000000000004</v>
      </c>
      <c r="H245" s="105">
        <f t="shared" si="7"/>
        <v>0.13829999999999998</v>
      </c>
    </row>
    <row r="246" spans="1:8" ht="14.5">
      <c r="A246" s="41">
        <v>62901</v>
      </c>
      <c r="B246" s="380" t="str">
        <f t="shared" si="6"/>
        <v>062-901</v>
      </c>
      <c r="C246" s="2042" t="s">
        <v>399</v>
      </c>
      <c r="D246" s="2042" t="s">
        <v>9284</v>
      </c>
      <c r="E246" s="105">
        <v>0.91339999999999999</v>
      </c>
      <c r="F246" s="105">
        <v>0.91339999999999999</v>
      </c>
      <c r="G246" s="2042">
        <v>0.96340000000000003</v>
      </c>
      <c r="H246" s="105">
        <f t="shared" si="7"/>
        <v>5.0000000000000044E-2</v>
      </c>
    </row>
    <row r="247" spans="1:8" ht="14.5">
      <c r="A247" s="41">
        <v>62902</v>
      </c>
      <c r="B247" s="380" t="str">
        <f t="shared" si="6"/>
        <v>062-902</v>
      </c>
      <c r="C247" s="2042" t="s">
        <v>2476</v>
      </c>
      <c r="D247" s="2042" t="s">
        <v>9284</v>
      </c>
      <c r="E247" s="105">
        <v>0.91339999999999999</v>
      </c>
      <c r="F247" s="105">
        <v>0.91339999999999999</v>
      </c>
      <c r="G247" s="2042">
        <v>1.0517000000000001</v>
      </c>
      <c r="H247" s="105">
        <f t="shared" si="7"/>
        <v>0.13830000000000009</v>
      </c>
    </row>
    <row r="248" spans="1:8" ht="14.5">
      <c r="A248" s="41">
        <v>62903</v>
      </c>
      <c r="B248" s="380" t="str">
        <f t="shared" si="6"/>
        <v>062-903</v>
      </c>
      <c r="C248" s="2042" t="s">
        <v>2073</v>
      </c>
      <c r="D248" s="2042" t="s">
        <v>9284</v>
      </c>
      <c r="E248" s="105">
        <v>0.91339999999999999</v>
      </c>
      <c r="F248" s="105">
        <v>0.91339999999999999</v>
      </c>
      <c r="G248" s="2042">
        <v>0.96340000000000003</v>
      </c>
      <c r="H248" s="105">
        <f t="shared" si="7"/>
        <v>5.0000000000000044E-2</v>
      </c>
    </row>
    <row r="249" spans="1:8" ht="14.5">
      <c r="A249" s="41">
        <v>62904</v>
      </c>
      <c r="B249" s="380" t="str">
        <f t="shared" si="6"/>
        <v>062-904</v>
      </c>
      <c r="C249" s="2042" t="s">
        <v>2477</v>
      </c>
      <c r="D249" s="2042" t="s">
        <v>9284</v>
      </c>
      <c r="E249" s="105">
        <v>0.91339999999999999</v>
      </c>
      <c r="F249" s="105">
        <v>0.91339999999999999</v>
      </c>
      <c r="G249" s="2042">
        <v>0.96340000000000003</v>
      </c>
      <c r="H249" s="105">
        <f t="shared" si="7"/>
        <v>5.0000000000000044E-2</v>
      </c>
    </row>
    <row r="250" spans="1:8" ht="14.5">
      <c r="A250" s="41">
        <v>62905</v>
      </c>
      <c r="B250" s="380" t="str">
        <f t="shared" si="6"/>
        <v>062-905</v>
      </c>
      <c r="C250" s="2042" t="s">
        <v>2478</v>
      </c>
      <c r="D250" s="2042" t="s">
        <v>9284</v>
      </c>
      <c r="E250" s="105">
        <v>0.91339999999999999</v>
      </c>
      <c r="F250" s="105">
        <v>0.91339999999999999</v>
      </c>
      <c r="G250" s="2042">
        <v>0.96340000000000003</v>
      </c>
      <c r="H250" s="105">
        <f t="shared" si="7"/>
        <v>5.0000000000000044E-2</v>
      </c>
    </row>
    <row r="251" spans="1:8" ht="14.5">
      <c r="A251" s="41">
        <v>62906</v>
      </c>
      <c r="B251" s="380" t="str">
        <f t="shared" si="6"/>
        <v>062-906</v>
      </c>
      <c r="C251" s="2042" t="s">
        <v>2479</v>
      </c>
      <c r="D251" s="2042" t="s">
        <v>9284</v>
      </c>
      <c r="E251" s="105">
        <v>0.82200000000000006</v>
      </c>
      <c r="F251" s="105">
        <v>0.82200000000000006</v>
      </c>
      <c r="G251" s="2042">
        <v>0.872</v>
      </c>
      <c r="H251" s="105">
        <f t="shared" si="7"/>
        <v>4.9999999999999933E-2</v>
      </c>
    </row>
    <row r="252" spans="1:8" ht="14.5">
      <c r="A252" s="41">
        <v>63903</v>
      </c>
      <c r="B252" s="380" t="str">
        <f t="shared" si="6"/>
        <v>063-903</v>
      </c>
      <c r="C252" s="2042" t="s">
        <v>2480</v>
      </c>
      <c r="D252" s="2042" t="s">
        <v>9284</v>
      </c>
      <c r="E252" s="105">
        <v>0.91339999999999999</v>
      </c>
      <c r="F252" s="105">
        <v>0.91339999999999999</v>
      </c>
      <c r="G252" s="2042">
        <v>0.96340000000000003</v>
      </c>
      <c r="H252" s="105">
        <f t="shared" si="7"/>
        <v>5.0000000000000044E-2</v>
      </c>
    </row>
    <row r="253" spans="1:8" ht="14.5">
      <c r="A253" s="41">
        <v>63906</v>
      </c>
      <c r="B253" s="380" t="str">
        <f t="shared" si="6"/>
        <v>063-906</v>
      </c>
      <c r="C253" s="2042" t="s">
        <v>2481</v>
      </c>
      <c r="D253" s="2042" t="s">
        <v>9284</v>
      </c>
      <c r="E253" s="105">
        <v>0.91339999999999999</v>
      </c>
      <c r="F253" s="105">
        <v>0.91339999999999999</v>
      </c>
      <c r="G253" s="2042">
        <v>1.0517000000000001</v>
      </c>
      <c r="H253" s="105">
        <f t="shared" si="7"/>
        <v>0.13830000000000009</v>
      </c>
    </row>
    <row r="254" spans="1:8" ht="14.5">
      <c r="A254" s="41">
        <v>64903</v>
      </c>
      <c r="B254" s="380" t="str">
        <f t="shared" si="6"/>
        <v>064-903</v>
      </c>
      <c r="C254" s="2042" t="s">
        <v>28</v>
      </c>
      <c r="D254" s="2042" t="s">
        <v>9284</v>
      </c>
      <c r="E254" s="105">
        <v>0.91339999999999999</v>
      </c>
      <c r="F254" s="105">
        <v>0.91339999999999999</v>
      </c>
      <c r="G254" s="2042">
        <v>0.97340000000000004</v>
      </c>
      <c r="H254" s="105">
        <f t="shared" si="7"/>
        <v>6.0000000000000053E-2</v>
      </c>
    </row>
    <row r="255" spans="1:8" ht="14.5">
      <c r="A255" s="41">
        <v>65901</v>
      </c>
      <c r="B255" s="380" t="str">
        <f t="shared" si="6"/>
        <v>065-901</v>
      </c>
      <c r="C255" s="2042" t="s">
        <v>1851</v>
      </c>
      <c r="D255" s="2042" t="s">
        <v>9284</v>
      </c>
      <c r="E255" s="105">
        <v>0.8518</v>
      </c>
      <c r="F255" s="105">
        <v>0.8518</v>
      </c>
      <c r="G255" s="2042">
        <v>0.99010000000000009</v>
      </c>
      <c r="H255" s="105">
        <f t="shared" si="7"/>
        <v>0.13830000000000009</v>
      </c>
    </row>
    <row r="256" spans="1:8" ht="14.5">
      <c r="A256" s="41">
        <v>65902</v>
      </c>
      <c r="B256" s="380" t="str">
        <f t="shared" si="6"/>
        <v>065-902</v>
      </c>
      <c r="C256" s="2042" t="s">
        <v>2237</v>
      </c>
      <c r="D256" s="2042" t="s">
        <v>9284</v>
      </c>
      <c r="E256" s="105">
        <v>0.82469999999999999</v>
      </c>
      <c r="F256" s="105">
        <v>0.82469999999999999</v>
      </c>
      <c r="G256" s="2042">
        <v>0.87470000000000003</v>
      </c>
      <c r="H256" s="105">
        <f t="shared" si="7"/>
        <v>5.0000000000000044E-2</v>
      </c>
    </row>
    <row r="257" spans="1:8" ht="14.5">
      <c r="A257" s="41">
        <v>66005</v>
      </c>
      <c r="B257" s="380" t="str">
        <f t="shared" si="6"/>
        <v>066-005</v>
      </c>
      <c r="C257" s="2042" t="s">
        <v>1852</v>
      </c>
      <c r="D257" s="2042" t="s">
        <v>9284</v>
      </c>
      <c r="E257" s="105">
        <v>0.91339999999999999</v>
      </c>
      <c r="F257" s="105">
        <v>0.91339999999999999</v>
      </c>
      <c r="G257" s="2042">
        <v>0.96340000000000003</v>
      </c>
      <c r="H257" s="105">
        <f t="shared" si="7"/>
        <v>5.0000000000000044E-2</v>
      </c>
    </row>
    <row r="258" spans="1:8" ht="14.5">
      <c r="A258" s="41">
        <v>66901</v>
      </c>
      <c r="B258" s="380" t="str">
        <f t="shared" si="6"/>
        <v>066-901</v>
      </c>
      <c r="C258" s="2042" t="s">
        <v>1853</v>
      </c>
      <c r="D258" s="2042" t="s">
        <v>9284</v>
      </c>
      <c r="E258" s="105">
        <v>0.91339999999999999</v>
      </c>
      <c r="F258" s="105">
        <v>0.91339999999999999</v>
      </c>
      <c r="G258" s="2042">
        <v>0.96340000000000003</v>
      </c>
      <c r="H258" s="105">
        <f t="shared" si="7"/>
        <v>5.0000000000000044E-2</v>
      </c>
    </row>
    <row r="259" spans="1:8" ht="14.5">
      <c r="A259" s="727">
        <v>66902</v>
      </c>
      <c r="B259" s="1683" t="str">
        <f t="shared" si="6"/>
        <v>066-902</v>
      </c>
      <c r="C259" s="629" t="s">
        <v>1917</v>
      </c>
      <c r="D259" s="629" t="s">
        <v>9284</v>
      </c>
      <c r="E259" s="105">
        <v>0.82200000000000006</v>
      </c>
      <c r="F259" s="105">
        <v>0.82469999999999999</v>
      </c>
      <c r="G259" s="2042">
        <v>0.87470000000000003</v>
      </c>
      <c r="H259" s="105">
        <f t="shared" ref="H259:H322" si="8">G259-F259</f>
        <v>5.0000000000000044E-2</v>
      </c>
    </row>
    <row r="260" spans="1:8" ht="14.5">
      <c r="A260" s="727">
        <v>66903</v>
      </c>
      <c r="B260" s="1683" t="str">
        <f t="shared" ref="B260:B324" si="9">CONCATENATE(LEFT(RIGHT(CONCATENATE("000",A260),6),3),"-",(RIGHT(RIGHT(CONCATENATE("000",A260),6),3)))</f>
        <v>066-903</v>
      </c>
      <c r="C260" s="629" t="s">
        <v>1854</v>
      </c>
      <c r="D260" s="629" t="s">
        <v>9284</v>
      </c>
      <c r="E260" s="105">
        <v>0.82469999999999999</v>
      </c>
      <c r="F260" s="105">
        <v>0.85640000000000005</v>
      </c>
      <c r="G260" s="2042">
        <v>0.99470000000000003</v>
      </c>
      <c r="H260" s="105">
        <f t="shared" si="8"/>
        <v>0.13829999999999998</v>
      </c>
    </row>
    <row r="261" spans="1:8" ht="14.5">
      <c r="A261" s="41">
        <v>67902</v>
      </c>
      <c r="B261" s="380" t="str">
        <f t="shared" si="9"/>
        <v>067-902</v>
      </c>
      <c r="C261" s="2042" t="s">
        <v>2032</v>
      </c>
      <c r="D261" s="2042" t="s">
        <v>9284</v>
      </c>
      <c r="E261" s="105">
        <v>0.91339999999999999</v>
      </c>
      <c r="F261" s="105">
        <v>0.91339999999999999</v>
      </c>
      <c r="G261" s="2042">
        <v>0.98670000000000002</v>
      </c>
      <c r="H261" s="105">
        <f t="shared" si="8"/>
        <v>7.3300000000000032E-2</v>
      </c>
    </row>
    <row r="262" spans="1:8" ht="14.5">
      <c r="A262" s="41">
        <v>67903</v>
      </c>
      <c r="B262" s="380" t="str">
        <f t="shared" si="9"/>
        <v>067-903</v>
      </c>
      <c r="C262" s="2042" t="s">
        <v>1855</v>
      </c>
      <c r="D262" s="2042" t="s">
        <v>9284</v>
      </c>
      <c r="E262" s="105">
        <v>0.89610000000000001</v>
      </c>
      <c r="F262" s="105">
        <v>0.89610000000000001</v>
      </c>
      <c r="G262" s="2042">
        <v>0.94610000000000005</v>
      </c>
      <c r="H262" s="105">
        <f t="shared" si="8"/>
        <v>5.0000000000000044E-2</v>
      </c>
    </row>
    <row r="263" spans="1:8" ht="14.5">
      <c r="A263" s="41">
        <v>67904</v>
      </c>
      <c r="B263" s="380" t="str">
        <f t="shared" si="9"/>
        <v>067-904</v>
      </c>
      <c r="C263" s="2042" t="s">
        <v>1856</v>
      </c>
      <c r="D263" s="2042" t="s">
        <v>9284</v>
      </c>
      <c r="E263" s="105">
        <v>0.82200000000000006</v>
      </c>
      <c r="F263" s="105">
        <v>0.82200000000000006</v>
      </c>
      <c r="G263" s="2042">
        <v>0.872</v>
      </c>
      <c r="H263" s="105">
        <f t="shared" si="8"/>
        <v>4.9999999999999933E-2</v>
      </c>
    </row>
    <row r="264" spans="1:8" ht="14.5">
      <c r="A264" s="41">
        <v>67907</v>
      </c>
      <c r="B264" s="380" t="str">
        <f t="shared" si="9"/>
        <v>067-907</v>
      </c>
      <c r="C264" s="2042" t="s">
        <v>1857</v>
      </c>
      <c r="D264" s="2042" t="s">
        <v>9284</v>
      </c>
      <c r="E264" s="105">
        <v>0.88919999999999999</v>
      </c>
      <c r="F264" s="105">
        <v>0.88919999999999999</v>
      </c>
      <c r="G264" s="2042">
        <v>0.93920000000000003</v>
      </c>
      <c r="H264" s="105">
        <f t="shared" si="8"/>
        <v>5.0000000000000044E-2</v>
      </c>
    </row>
    <row r="265" spans="1:8" ht="14.5">
      <c r="A265" s="727">
        <v>67908</v>
      </c>
      <c r="B265" s="1683" t="str">
        <f t="shared" si="9"/>
        <v>067-908</v>
      </c>
      <c r="C265" s="629" t="s">
        <v>1858</v>
      </c>
      <c r="D265" s="629" t="s">
        <v>9284</v>
      </c>
      <c r="E265" s="105">
        <v>0.88120000000000009</v>
      </c>
      <c r="F265" s="105">
        <v>0.90670000000000006</v>
      </c>
      <c r="G265" s="2042">
        <v>1.0450000000000002</v>
      </c>
      <c r="H265" s="105">
        <f t="shared" si="8"/>
        <v>0.13830000000000009</v>
      </c>
    </row>
    <row r="266" spans="1:8" ht="14.5">
      <c r="A266" s="41">
        <v>68901</v>
      </c>
      <c r="B266" s="380" t="str">
        <f t="shared" si="9"/>
        <v>068-901</v>
      </c>
      <c r="C266" s="2042" t="s">
        <v>1859</v>
      </c>
      <c r="D266" s="2042" t="s">
        <v>9284</v>
      </c>
      <c r="E266" s="105">
        <v>0.91339999999999999</v>
      </c>
      <c r="F266" s="105">
        <v>0.91339999999999999</v>
      </c>
      <c r="G266" s="2042">
        <v>1.0517000000000001</v>
      </c>
      <c r="H266" s="105">
        <f t="shared" si="8"/>
        <v>0.13830000000000009</v>
      </c>
    </row>
    <row r="267" spans="1:8" ht="14.5">
      <c r="A267" s="41">
        <v>69901</v>
      </c>
      <c r="B267" s="380" t="str">
        <f t="shared" si="9"/>
        <v>069-901</v>
      </c>
      <c r="C267" s="2042" t="s">
        <v>1860</v>
      </c>
      <c r="D267" s="2042" t="s">
        <v>9284</v>
      </c>
      <c r="E267" s="105">
        <v>0.8246</v>
      </c>
      <c r="F267" s="105">
        <v>0.8246</v>
      </c>
      <c r="G267" s="2042">
        <v>0.87460000000000004</v>
      </c>
      <c r="H267" s="105">
        <f t="shared" si="8"/>
        <v>5.0000000000000044E-2</v>
      </c>
    </row>
    <row r="268" spans="1:8" ht="14.5">
      <c r="A268" s="41">
        <v>69902</v>
      </c>
      <c r="B268" s="380" t="str">
        <f t="shared" si="9"/>
        <v>069-902</v>
      </c>
      <c r="C268" s="2042" t="s">
        <v>1861</v>
      </c>
      <c r="D268" s="2042" t="s">
        <v>9284</v>
      </c>
      <c r="E268" s="105">
        <v>0.85840000000000005</v>
      </c>
      <c r="F268" s="105">
        <v>0.85840000000000005</v>
      </c>
      <c r="G268" s="2042">
        <v>0.99670000000000003</v>
      </c>
      <c r="H268" s="105">
        <f t="shared" si="8"/>
        <v>0.13829999999999998</v>
      </c>
    </row>
    <row r="269" spans="1:8" ht="14.5">
      <c r="A269" s="41">
        <v>70901</v>
      </c>
      <c r="B269" s="380" t="str">
        <f t="shared" si="9"/>
        <v>070-901</v>
      </c>
      <c r="C269" s="2042" t="s">
        <v>1998</v>
      </c>
      <c r="D269" s="2042" t="s">
        <v>9284</v>
      </c>
      <c r="E269" s="105">
        <v>0.82200000000000006</v>
      </c>
      <c r="F269" s="105">
        <v>0.82200000000000006</v>
      </c>
      <c r="G269" s="2042">
        <v>0.96030000000000004</v>
      </c>
      <c r="H269" s="105">
        <f t="shared" si="8"/>
        <v>0.13829999999999998</v>
      </c>
    </row>
    <row r="270" spans="1:8" ht="14.5">
      <c r="A270" s="41">
        <v>70903</v>
      </c>
      <c r="B270" s="380" t="str">
        <f t="shared" si="9"/>
        <v>070-903</v>
      </c>
      <c r="C270" s="2042" t="s">
        <v>1862</v>
      </c>
      <c r="D270" s="2042" t="s">
        <v>9284</v>
      </c>
      <c r="E270" s="105">
        <v>0.85540000000000005</v>
      </c>
      <c r="F270" s="105">
        <v>0.85540000000000005</v>
      </c>
      <c r="G270" s="2042">
        <v>0.99370000000000003</v>
      </c>
      <c r="H270" s="105">
        <f t="shared" si="8"/>
        <v>0.13829999999999998</v>
      </c>
    </row>
    <row r="271" spans="1:8" ht="14.5">
      <c r="A271" s="41">
        <v>70905</v>
      </c>
      <c r="B271" s="380" t="str">
        <f t="shared" si="9"/>
        <v>070-905</v>
      </c>
      <c r="C271" s="2042" t="s">
        <v>1863</v>
      </c>
      <c r="D271" s="2042" t="s">
        <v>9284</v>
      </c>
      <c r="E271" s="105">
        <v>0.82200000000000006</v>
      </c>
      <c r="F271" s="105">
        <v>0.82200000000000006</v>
      </c>
      <c r="G271" s="2042">
        <v>0.95590000000000008</v>
      </c>
      <c r="H271" s="105">
        <f t="shared" si="8"/>
        <v>0.13390000000000002</v>
      </c>
    </row>
    <row r="272" spans="1:8" ht="14.5">
      <c r="A272" s="41">
        <v>70907</v>
      </c>
      <c r="B272" s="380" t="str">
        <f t="shared" si="9"/>
        <v>070-907</v>
      </c>
      <c r="C272" s="2042" t="s">
        <v>1196</v>
      </c>
      <c r="D272" s="2042" t="s">
        <v>9284</v>
      </c>
      <c r="E272" s="105">
        <v>0.82200000000000006</v>
      </c>
      <c r="F272" s="105">
        <v>0.82200000000000006</v>
      </c>
      <c r="G272" s="2042">
        <v>0.96030000000000004</v>
      </c>
      <c r="H272" s="105">
        <f t="shared" si="8"/>
        <v>0.13829999999999998</v>
      </c>
    </row>
    <row r="273" spans="1:8" ht="14.5">
      <c r="A273" s="41">
        <v>70908</v>
      </c>
      <c r="B273" s="380" t="str">
        <f t="shared" si="9"/>
        <v>070-908</v>
      </c>
      <c r="C273" s="2042" t="s">
        <v>1864</v>
      </c>
      <c r="D273" s="2042" t="s">
        <v>9284</v>
      </c>
      <c r="E273" s="105">
        <v>0.82200000000000006</v>
      </c>
      <c r="F273" s="105">
        <v>0.82200000000000006</v>
      </c>
      <c r="G273" s="2042">
        <v>0.872</v>
      </c>
      <c r="H273" s="105">
        <f t="shared" si="8"/>
        <v>4.9999999999999933E-2</v>
      </c>
    </row>
    <row r="274" spans="1:8" ht="14.5">
      <c r="A274" s="41">
        <v>70909</v>
      </c>
      <c r="B274" s="380" t="str">
        <f t="shared" si="9"/>
        <v>070-909</v>
      </c>
      <c r="C274" s="2042" t="s">
        <v>1865</v>
      </c>
      <c r="D274" s="2042" t="s">
        <v>9284</v>
      </c>
      <c r="E274" s="105">
        <v>0.82200000000000006</v>
      </c>
      <c r="F274" s="105">
        <v>0.82200000000000006</v>
      </c>
      <c r="G274" s="2042">
        <v>0.9577</v>
      </c>
      <c r="H274" s="105">
        <f t="shared" si="8"/>
        <v>0.13569999999999993</v>
      </c>
    </row>
    <row r="275" spans="1:8" ht="14.5">
      <c r="A275" s="41">
        <v>70910</v>
      </c>
      <c r="B275" s="380" t="str">
        <f t="shared" si="9"/>
        <v>070-910</v>
      </c>
      <c r="C275" s="2042" t="s">
        <v>1287</v>
      </c>
      <c r="D275" s="2042" t="s">
        <v>9284</v>
      </c>
      <c r="E275" s="105">
        <v>0.84030000000000005</v>
      </c>
      <c r="F275" s="105">
        <v>0.84030000000000005</v>
      </c>
      <c r="G275" s="2042">
        <v>0.97860000000000003</v>
      </c>
      <c r="H275" s="105">
        <f t="shared" si="8"/>
        <v>0.13829999999999998</v>
      </c>
    </row>
    <row r="276" spans="1:8" ht="14.5">
      <c r="A276" s="41">
        <v>70911</v>
      </c>
      <c r="B276" s="380" t="str">
        <f t="shared" si="9"/>
        <v>070-911</v>
      </c>
      <c r="C276" s="2042" t="s">
        <v>77</v>
      </c>
      <c r="D276" s="2042" t="s">
        <v>9284</v>
      </c>
      <c r="E276" s="105">
        <v>0.82200000000000006</v>
      </c>
      <c r="F276" s="105">
        <v>0.82200000000000006</v>
      </c>
      <c r="G276" s="2042">
        <v>0.96030000000000004</v>
      </c>
      <c r="H276" s="105">
        <f t="shared" si="8"/>
        <v>0.13829999999999998</v>
      </c>
    </row>
    <row r="277" spans="1:8" ht="14.5">
      <c r="A277" s="41">
        <v>70912</v>
      </c>
      <c r="B277" s="380" t="str">
        <f t="shared" si="9"/>
        <v>070-912</v>
      </c>
      <c r="C277" s="2042" t="s">
        <v>130</v>
      </c>
      <c r="D277" s="2042" t="s">
        <v>9284</v>
      </c>
      <c r="E277" s="105">
        <v>0.82200000000000006</v>
      </c>
      <c r="F277" s="105">
        <v>0.82200000000000006</v>
      </c>
      <c r="G277" s="2042">
        <v>0.96030000000000004</v>
      </c>
      <c r="H277" s="105">
        <f t="shared" si="8"/>
        <v>0.13829999999999998</v>
      </c>
    </row>
    <row r="278" spans="1:8" ht="14.5">
      <c r="A278" s="41">
        <v>70915</v>
      </c>
      <c r="B278" s="380" t="str">
        <f t="shared" si="9"/>
        <v>070-915</v>
      </c>
      <c r="C278" s="2042" t="s">
        <v>1879</v>
      </c>
      <c r="D278" s="2042" t="s">
        <v>9284</v>
      </c>
      <c r="E278" s="105">
        <v>0.82200000000000006</v>
      </c>
      <c r="F278" s="105">
        <v>0.82200000000000006</v>
      </c>
      <c r="G278" s="2042">
        <v>0.872</v>
      </c>
      <c r="H278" s="105">
        <f t="shared" si="8"/>
        <v>4.9999999999999933E-2</v>
      </c>
    </row>
    <row r="279" spans="1:8" ht="14.5">
      <c r="A279" s="41">
        <v>71901</v>
      </c>
      <c r="B279" s="380" t="str">
        <f t="shared" si="9"/>
        <v>071-901</v>
      </c>
      <c r="C279" s="2042" t="s">
        <v>1096</v>
      </c>
      <c r="D279" s="2042" t="s">
        <v>9284</v>
      </c>
      <c r="E279" s="105">
        <v>0.82200000000000006</v>
      </c>
      <c r="F279" s="105">
        <v>0.82200000000000006</v>
      </c>
      <c r="G279" s="2042">
        <v>0.96030000000000004</v>
      </c>
      <c r="H279" s="105">
        <f t="shared" si="8"/>
        <v>0.13829999999999998</v>
      </c>
    </row>
    <row r="280" spans="1:8" ht="14.5">
      <c r="A280" s="41">
        <v>71902</v>
      </c>
      <c r="B280" s="380" t="str">
        <f t="shared" si="9"/>
        <v>071-902</v>
      </c>
      <c r="C280" s="2042" t="s">
        <v>1866</v>
      </c>
      <c r="D280" s="2042" t="s">
        <v>9284</v>
      </c>
      <c r="E280" s="105">
        <v>0.91339999999999999</v>
      </c>
      <c r="F280" s="105">
        <v>0.91339999999999999</v>
      </c>
      <c r="G280" s="2042">
        <v>1.0517000000000001</v>
      </c>
      <c r="H280" s="105">
        <f t="shared" si="8"/>
        <v>0.13830000000000009</v>
      </c>
    </row>
    <row r="281" spans="1:8" ht="14.5">
      <c r="A281" s="41">
        <v>71903</v>
      </c>
      <c r="B281" s="380" t="str">
        <f t="shared" si="9"/>
        <v>071-903</v>
      </c>
      <c r="C281" s="2042" t="s">
        <v>845</v>
      </c>
      <c r="D281" s="2042" t="s">
        <v>9284</v>
      </c>
      <c r="E281" s="105">
        <v>0.89119999999999999</v>
      </c>
      <c r="F281" s="105">
        <v>0.89119999999999999</v>
      </c>
      <c r="G281" s="2042">
        <v>1.0295000000000001</v>
      </c>
      <c r="H281" s="105">
        <f t="shared" si="8"/>
        <v>0.13830000000000009</v>
      </c>
    </row>
    <row r="282" spans="1:8" ht="14.5">
      <c r="A282" s="41">
        <v>71904</v>
      </c>
      <c r="B282" s="380" t="str">
        <f t="shared" si="9"/>
        <v>071-904</v>
      </c>
      <c r="C282" s="2042" t="s">
        <v>1918</v>
      </c>
      <c r="D282" s="2042" t="s">
        <v>9284</v>
      </c>
      <c r="E282" s="105">
        <v>0.82200000000000006</v>
      </c>
      <c r="F282" s="105">
        <v>0.82200000000000006</v>
      </c>
      <c r="G282" s="2042">
        <v>0.92070000000000007</v>
      </c>
      <c r="H282" s="105">
        <f t="shared" si="8"/>
        <v>9.870000000000001E-2</v>
      </c>
    </row>
    <row r="283" spans="1:8" ht="14.5">
      <c r="A283" s="41">
        <v>71905</v>
      </c>
      <c r="B283" s="380" t="str">
        <f t="shared" si="9"/>
        <v>071-905</v>
      </c>
      <c r="C283" s="2042" t="s">
        <v>716</v>
      </c>
      <c r="D283" s="2042" t="s">
        <v>9284</v>
      </c>
      <c r="E283" s="105">
        <v>0.89370000000000005</v>
      </c>
      <c r="F283" s="105">
        <v>0.89370000000000005</v>
      </c>
      <c r="G283" s="2042">
        <v>1.032</v>
      </c>
      <c r="H283" s="105">
        <f t="shared" si="8"/>
        <v>0.13829999999999998</v>
      </c>
    </row>
    <row r="284" spans="1:8" ht="14.5">
      <c r="A284" s="41">
        <v>71906</v>
      </c>
      <c r="B284" s="380" t="str">
        <f t="shared" si="9"/>
        <v>071-906</v>
      </c>
      <c r="C284" s="2042" t="s">
        <v>123</v>
      </c>
      <c r="D284" s="2042" t="s">
        <v>9284</v>
      </c>
      <c r="E284" s="105">
        <v>0.85670000000000002</v>
      </c>
      <c r="F284" s="105">
        <v>0.85670000000000002</v>
      </c>
      <c r="G284" s="2042">
        <v>0.90670000000000006</v>
      </c>
      <c r="H284" s="105">
        <f t="shared" si="8"/>
        <v>5.0000000000000044E-2</v>
      </c>
    </row>
    <row r="285" spans="1:8" ht="14.5">
      <c r="A285" s="41">
        <v>71907</v>
      </c>
      <c r="B285" s="380" t="str">
        <f t="shared" si="9"/>
        <v>071-907</v>
      </c>
      <c r="C285" s="2042" t="s">
        <v>612</v>
      </c>
      <c r="D285" s="2042" t="s">
        <v>9284</v>
      </c>
      <c r="E285" s="105">
        <v>0.84410000000000007</v>
      </c>
      <c r="F285" s="105">
        <v>0.84410000000000007</v>
      </c>
      <c r="G285" s="2042">
        <v>0.98240000000000005</v>
      </c>
      <c r="H285" s="105">
        <f t="shared" si="8"/>
        <v>0.13829999999999998</v>
      </c>
    </row>
    <row r="286" spans="1:8" ht="14.5">
      <c r="A286" s="41">
        <v>71908</v>
      </c>
      <c r="B286" s="380" t="str">
        <f t="shared" si="9"/>
        <v>071-908</v>
      </c>
      <c r="C286" s="2042" t="s">
        <v>569</v>
      </c>
      <c r="D286" s="2042" t="s">
        <v>9284</v>
      </c>
      <c r="E286" s="105">
        <v>0.84500000000000008</v>
      </c>
      <c r="F286" s="105">
        <v>0.84500000000000008</v>
      </c>
      <c r="G286" s="2042">
        <v>0.93149999999999999</v>
      </c>
      <c r="H286" s="105">
        <f t="shared" si="8"/>
        <v>8.649999999999991E-2</v>
      </c>
    </row>
    <row r="287" spans="1:8" ht="14.5">
      <c r="A287" s="41">
        <v>71909</v>
      </c>
      <c r="B287" s="380" t="str">
        <f t="shared" si="9"/>
        <v>071-909</v>
      </c>
      <c r="C287" s="2042" t="s">
        <v>1823</v>
      </c>
      <c r="D287" s="2042" t="s">
        <v>9284</v>
      </c>
      <c r="E287" s="105">
        <v>0.82650000000000001</v>
      </c>
      <c r="F287" s="105">
        <v>0.82650000000000001</v>
      </c>
      <c r="G287" s="2042">
        <v>0.87650000000000006</v>
      </c>
      <c r="H287" s="105">
        <f t="shared" si="8"/>
        <v>5.0000000000000044E-2</v>
      </c>
    </row>
    <row r="288" spans="1:8" ht="14.5">
      <c r="A288" s="41">
        <v>72901</v>
      </c>
      <c r="B288" s="380" t="str">
        <f t="shared" si="9"/>
        <v>072-901</v>
      </c>
      <c r="C288" s="2042" t="s">
        <v>1867</v>
      </c>
      <c r="D288" s="2042" t="s">
        <v>9284</v>
      </c>
      <c r="E288" s="105">
        <v>0.82200000000000006</v>
      </c>
      <c r="F288" s="105">
        <v>0.82200000000000006</v>
      </c>
      <c r="G288" s="2042">
        <v>0.872</v>
      </c>
      <c r="H288" s="105">
        <f t="shared" si="8"/>
        <v>4.9999999999999933E-2</v>
      </c>
    </row>
    <row r="289" spans="1:8" ht="14.5">
      <c r="A289" s="41">
        <v>72902</v>
      </c>
      <c r="B289" s="380" t="str">
        <f t="shared" si="9"/>
        <v>072-902</v>
      </c>
      <c r="C289" s="2042" t="s">
        <v>1868</v>
      </c>
      <c r="D289" s="2042" t="s">
        <v>9284</v>
      </c>
      <c r="E289" s="105">
        <v>0.82200000000000006</v>
      </c>
      <c r="F289" s="105">
        <v>0.82200000000000006</v>
      </c>
      <c r="G289" s="2042">
        <v>0.96030000000000004</v>
      </c>
      <c r="H289" s="105">
        <f t="shared" si="8"/>
        <v>0.13829999999999998</v>
      </c>
    </row>
    <row r="290" spans="1:8" ht="14.5">
      <c r="A290" s="41">
        <v>72903</v>
      </c>
      <c r="B290" s="380" t="str">
        <f t="shared" si="9"/>
        <v>072-903</v>
      </c>
      <c r="C290" s="2042" t="s">
        <v>1980</v>
      </c>
      <c r="D290" s="2042" t="s">
        <v>9284</v>
      </c>
      <c r="E290" s="105">
        <v>0.84940000000000004</v>
      </c>
      <c r="F290" s="105">
        <v>0.84940000000000004</v>
      </c>
      <c r="G290" s="2042">
        <v>0.9094000000000001</v>
      </c>
      <c r="H290" s="105">
        <f t="shared" si="8"/>
        <v>6.0000000000000053E-2</v>
      </c>
    </row>
    <row r="291" spans="1:8" ht="14.5">
      <c r="A291" s="41">
        <v>72904</v>
      </c>
      <c r="B291" s="380" t="str">
        <f t="shared" si="9"/>
        <v>072-904</v>
      </c>
      <c r="C291" s="2042" t="s">
        <v>1869</v>
      </c>
      <c r="D291" s="2042" t="s">
        <v>9284</v>
      </c>
      <c r="E291" s="105">
        <v>0.82200000000000006</v>
      </c>
      <c r="F291" s="105">
        <v>0.82200000000000006</v>
      </c>
      <c r="G291" s="2042">
        <v>0.96030000000000004</v>
      </c>
      <c r="H291" s="105">
        <f t="shared" si="8"/>
        <v>0.13829999999999998</v>
      </c>
    </row>
    <row r="292" spans="1:8">
      <c r="B292" s="2042" t="s">
        <v>1728</v>
      </c>
      <c r="C292" s="2042" t="s">
        <v>6285</v>
      </c>
      <c r="E292" s="105">
        <v>0.91339999999999999</v>
      </c>
      <c r="F292" s="105">
        <v>0.91339999999999999</v>
      </c>
      <c r="G292" s="2042">
        <v>0.96340000000000003</v>
      </c>
      <c r="H292" s="105">
        <f t="shared" si="8"/>
        <v>5.0000000000000044E-2</v>
      </c>
    </row>
    <row r="293" spans="1:8" ht="14.5">
      <c r="A293" s="41">
        <v>72909</v>
      </c>
      <c r="B293" s="380" t="str">
        <f t="shared" si="9"/>
        <v>072-909</v>
      </c>
      <c r="C293" s="2042" t="s">
        <v>2329</v>
      </c>
      <c r="D293" s="2042" t="s">
        <v>9284</v>
      </c>
      <c r="E293" s="105">
        <v>0.82200000000000006</v>
      </c>
      <c r="F293" s="105">
        <v>0.82200000000000006</v>
      </c>
      <c r="G293" s="2042">
        <v>0.872</v>
      </c>
      <c r="H293" s="105">
        <f t="shared" si="8"/>
        <v>4.9999999999999933E-2</v>
      </c>
    </row>
    <row r="294" spans="1:8" ht="14.5">
      <c r="A294" s="41">
        <v>72910</v>
      </c>
      <c r="B294" s="380" t="str">
        <f t="shared" si="9"/>
        <v>072-910</v>
      </c>
      <c r="C294" s="2042" t="s">
        <v>1871</v>
      </c>
      <c r="D294" s="2042" t="s">
        <v>9284</v>
      </c>
      <c r="E294" s="105">
        <v>0.82200000000000006</v>
      </c>
      <c r="F294" s="105">
        <v>0.82200000000000006</v>
      </c>
      <c r="G294" s="2042">
        <v>0.872</v>
      </c>
      <c r="H294" s="105">
        <f t="shared" si="8"/>
        <v>4.9999999999999933E-2</v>
      </c>
    </row>
    <row r="295" spans="1:8" ht="14.5">
      <c r="A295" s="41">
        <v>73901</v>
      </c>
      <c r="B295" s="380" t="str">
        <f t="shared" si="9"/>
        <v>073-901</v>
      </c>
      <c r="C295" s="2042" t="s">
        <v>979</v>
      </c>
      <c r="D295" s="2042" t="s">
        <v>9284</v>
      </c>
      <c r="E295" s="105">
        <v>0.84140000000000004</v>
      </c>
      <c r="F295" s="105">
        <v>0.84140000000000004</v>
      </c>
      <c r="G295" s="2042">
        <v>0.89140000000000008</v>
      </c>
      <c r="H295" s="105">
        <f t="shared" si="8"/>
        <v>5.0000000000000044E-2</v>
      </c>
    </row>
    <row r="296" spans="1:8" ht="14.5">
      <c r="A296" s="41">
        <v>73903</v>
      </c>
      <c r="B296" s="380" t="str">
        <f t="shared" si="9"/>
        <v>073-903</v>
      </c>
      <c r="C296" s="2042" t="s">
        <v>1950</v>
      </c>
      <c r="D296" s="2042" t="s">
        <v>9284</v>
      </c>
      <c r="E296" s="105">
        <v>0.82580000000000009</v>
      </c>
      <c r="F296" s="105">
        <v>0.82580000000000009</v>
      </c>
      <c r="G296" s="2042">
        <v>0.95440000000000003</v>
      </c>
      <c r="H296" s="105">
        <f t="shared" si="8"/>
        <v>0.12859999999999994</v>
      </c>
    </row>
    <row r="297" spans="1:8" ht="14.5">
      <c r="A297" s="41">
        <v>73904</v>
      </c>
      <c r="B297" s="380" t="str">
        <f t="shared" si="9"/>
        <v>073-904</v>
      </c>
      <c r="C297" s="2042" t="s">
        <v>1256</v>
      </c>
      <c r="D297" s="2042" t="s">
        <v>9284</v>
      </c>
      <c r="E297" s="105">
        <v>0.86280000000000001</v>
      </c>
      <c r="F297" s="105">
        <v>0.86280000000000001</v>
      </c>
      <c r="G297" s="2042">
        <v>0.91280000000000006</v>
      </c>
      <c r="H297" s="105">
        <f t="shared" si="8"/>
        <v>5.0000000000000044E-2</v>
      </c>
    </row>
    <row r="298" spans="1:8" ht="14.5">
      <c r="A298" s="41">
        <v>73905</v>
      </c>
      <c r="B298" s="380" t="str">
        <f t="shared" si="9"/>
        <v>073-905</v>
      </c>
      <c r="C298" s="2042" t="s">
        <v>1873</v>
      </c>
      <c r="D298" s="2042" t="s">
        <v>9284</v>
      </c>
      <c r="E298" s="105">
        <v>0.82200000000000006</v>
      </c>
      <c r="F298" s="105">
        <v>0.82200000000000006</v>
      </c>
      <c r="G298" s="2042">
        <v>0.872</v>
      </c>
      <c r="H298" s="105">
        <f t="shared" si="8"/>
        <v>4.9999999999999933E-2</v>
      </c>
    </row>
    <row r="299" spans="1:8" ht="14.5">
      <c r="A299" s="41">
        <v>74903</v>
      </c>
      <c r="B299" s="380" t="str">
        <f t="shared" si="9"/>
        <v>074-903</v>
      </c>
      <c r="C299" s="2042" t="s">
        <v>1</v>
      </c>
      <c r="D299" s="2042" t="s">
        <v>9284</v>
      </c>
      <c r="E299" s="105">
        <v>0.82200000000000006</v>
      </c>
      <c r="F299" s="105">
        <v>0.82200000000000006</v>
      </c>
      <c r="G299" s="2042">
        <v>0.872</v>
      </c>
      <c r="H299" s="105">
        <f t="shared" si="8"/>
        <v>4.9999999999999933E-2</v>
      </c>
    </row>
    <row r="300" spans="1:8" ht="14.5">
      <c r="A300" s="41">
        <v>74904</v>
      </c>
      <c r="B300" s="380" t="str">
        <f t="shared" si="9"/>
        <v>074-904</v>
      </c>
      <c r="C300" s="2042" t="s">
        <v>2058</v>
      </c>
      <c r="D300" s="2042" t="s">
        <v>9284</v>
      </c>
      <c r="E300" s="105">
        <v>0.82200000000000006</v>
      </c>
      <c r="F300" s="105">
        <v>0.82200000000000006</v>
      </c>
      <c r="G300" s="2042">
        <v>0.872</v>
      </c>
      <c r="H300" s="105">
        <f t="shared" si="8"/>
        <v>4.9999999999999933E-2</v>
      </c>
    </row>
    <row r="301" spans="1:8" ht="14.5">
      <c r="A301" s="41">
        <v>74905</v>
      </c>
      <c r="B301" s="380" t="str">
        <f t="shared" si="9"/>
        <v>074-905</v>
      </c>
      <c r="C301" s="2042" t="s">
        <v>1009</v>
      </c>
      <c r="D301" s="2042" t="s">
        <v>9284</v>
      </c>
      <c r="E301" s="105">
        <v>0.82200000000000006</v>
      </c>
      <c r="F301" s="105">
        <v>0.82200000000000006</v>
      </c>
      <c r="G301" s="2042">
        <v>0.95200000000000007</v>
      </c>
      <c r="H301" s="105">
        <f t="shared" si="8"/>
        <v>0.13</v>
      </c>
    </row>
    <row r="302" spans="1:8" ht="14.5">
      <c r="A302" s="41">
        <v>74907</v>
      </c>
      <c r="B302" s="380" t="str">
        <f t="shared" si="9"/>
        <v>074-907</v>
      </c>
      <c r="C302" s="2042" t="s">
        <v>2</v>
      </c>
      <c r="D302" s="2042" t="s">
        <v>9284</v>
      </c>
      <c r="E302" s="105">
        <v>0.82200000000000006</v>
      </c>
      <c r="F302" s="105">
        <v>0.82200000000000006</v>
      </c>
      <c r="G302" s="2042">
        <v>0.872</v>
      </c>
      <c r="H302" s="105">
        <f t="shared" si="8"/>
        <v>4.9999999999999933E-2</v>
      </c>
    </row>
    <row r="303" spans="1:8" ht="14.5">
      <c r="A303" s="41">
        <v>74909</v>
      </c>
      <c r="B303" s="380" t="str">
        <f t="shared" si="9"/>
        <v>074-909</v>
      </c>
      <c r="C303" s="2042" t="s">
        <v>3</v>
      </c>
      <c r="D303" s="2042" t="s">
        <v>9284</v>
      </c>
      <c r="E303" s="105">
        <v>0.82200000000000006</v>
      </c>
      <c r="F303" s="105">
        <v>0.82200000000000006</v>
      </c>
      <c r="G303" s="2042">
        <v>0.96030000000000004</v>
      </c>
      <c r="H303" s="105">
        <f t="shared" si="8"/>
        <v>0.13829999999999998</v>
      </c>
    </row>
    <row r="304" spans="1:8" ht="14.5">
      <c r="A304" s="41">
        <v>74911</v>
      </c>
      <c r="B304" s="380" t="str">
        <f t="shared" si="9"/>
        <v>074-911</v>
      </c>
      <c r="C304" s="2042" t="s">
        <v>4</v>
      </c>
      <c r="D304" s="2042" t="s">
        <v>9284</v>
      </c>
      <c r="E304" s="105">
        <v>0.82200000000000006</v>
      </c>
      <c r="F304" s="105">
        <v>0.82200000000000006</v>
      </c>
      <c r="G304" s="2042">
        <v>0.96030000000000004</v>
      </c>
      <c r="H304" s="105">
        <f t="shared" si="8"/>
        <v>0.13829999999999998</v>
      </c>
    </row>
    <row r="305" spans="1:8" ht="14.5">
      <c r="A305" s="41">
        <v>74912</v>
      </c>
      <c r="B305" s="380" t="str">
        <f t="shared" si="9"/>
        <v>074-912</v>
      </c>
      <c r="C305" s="2042" t="s">
        <v>5</v>
      </c>
      <c r="D305" s="2042" t="s">
        <v>9284</v>
      </c>
      <c r="E305" s="105">
        <v>0.82200000000000006</v>
      </c>
      <c r="F305" s="105">
        <v>0.82200000000000006</v>
      </c>
      <c r="G305" s="2042">
        <v>0.96030000000000004</v>
      </c>
      <c r="H305" s="105">
        <f t="shared" si="8"/>
        <v>0.13829999999999998</v>
      </c>
    </row>
    <row r="306" spans="1:8" ht="14.5">
      <c r="A306" s="41">
        <v>74917</v>
      </c>
      <c r="B306" s="380" t="str">
        <f t="shared" si="9"/>
        <v>074-917</v>
      </c>
      <c r="C306" s="2042" t="s">
        <v>1913</v>
      </c>
      <c r="D306" s="2042" t="s">
        <v>9284</v>
      </c>
      <c r="E306" s="105">
        <v>0.82200000000000006</v>
      </c>
      <c r="F306" s="105">
        <v>0.82200000000000006</v>
      </c>
      <c r="G306" s="2042">
        <v>0.96030000000000004</v>
      </c>
      <c r="H306" s="105">
        <f t="shared" si="8"/>
        <v>0.13829999999999998</v>
      </c>
    </row>
    <row r="307" spans="1:8" ht="14.5">
      <c r="A307" s="41">
        <v>75901</v>
      </c>
      <c r="B307" s="380" t="str">
        <f t="shared" si="9"/>
        <v>075-901</v>
      </c>
      <c r="C307" s="2042" t="s">
        <v>434</v>
      </c>
      <c r="D307" s="2042" t="s">
        <v>9284</v>
      </c>
      <c r="E307" s="105">
        <v>0.91339999999999999</v>
      </c>
      <c r="F307" s="105">
        <v>0.91339999999999999</v>
      </c>
      <c r="G307" s="2042">
        <v>1.0517000000000001</v>
      </c>
      <c r="H307" s="105">
        <f t="shared" si="8"/>
        <v>0.13830000000000009</v>
      </c>
    </row>
    <row r="308" spans="1:8" ht="14.5">
      <c r="A308" s="41">
        <v>75902</v>
      </c>
      <c r="B308" s="380" t="str">
        <f t="shared" si="9"/>
        <v>075-902</v>
      </c>
      <c r="C308" s="2042" t="s">
        <v>435</v>
      </c>
      <c r="D308" s="2042" t="s">
        <v>9284</v>
      </c>
      <c r="E308" s="105">
        <v>0.91339999999999999</v>
      </c>
      <c r="F308" s="105">
        <v>0.91339999999999999</v>
      </c>
      <c r="G308" s="2042">
        <v>0.95340000000000003</v>
      </c>
      <c r="H308" s="105">
        <f t="shared" si="8"/>
        <v>4.0000000000000036E-2</v>
      </c>
    </row>
    <row r="309" spans="1:8" ht="14.5">
      <c r="A309" s="41">
        <v>75903</v>
      </c>
      <c r="B309" s="380" t="str">
        <f t="shared" si="9"/>
        <v>075-903</v>
      </c>
      <c r="C309" s="2042" t="s">
        <v>436</v>
      </c>
      <c r="D309" s="2042" t="s">
        <v>9284</v>
      </c>
      <c r="E309" s="105">
        <v>0.91339999999999999</v>
      </c>
      <c r="F309" s="105">
        <v>0.91339999999999999</v>
      </c>
      <c r="G309" s="2042">
        <v>0.95340000000000003</v>
      </c>
      <c r="H309" s="105">
        <f t="shared" si="8"/>
        <v>4.0000000000000036E-2</v>
      </c>
    </row>
    <row r="310" spans="1:8" ht="14.5">
      <c r="A310" s="41">
        <v>75906</v>
      </c>
      <c r="B310" s="380" t="str">
        <f t="shared" si="9"/>
        <v>075-906</v>
      </c>
      <c r="C310" s="2042" t="s">
        <v>437</v>
      </c>
      <c r="D310" s="2042" t="s">
        <v>9284</v>
      </c>
      <c r="E310" s="105">
        <v>0.86440000000000006</v>
      </c>
      <c r="F310" s="105">
        <v>0.86440000000000006</v>
      </c>
      <c r="G310" s="2042">
        <v>0.91439999999999999</v>
      </c>
      <c r="H310" s="105">
        <f t="shared" si="8"/>
        <v>4.9999999999999933E-2</v>
      </c>
    </row>
    <row r="311" spans="1:8" ht="14.5">
      <c r="A311" s="41">
        <v>75908</v>
      </c>
      <c r="B311" s="380" t="str">
        <f t="shared" si="9"/>
        <v>075-908</v>
      </c>
      <c r="C311" s="2042" t="s">
        <v>167</v>
      </c>
      <c r="D311" s="2042" t="s">
        <v>9284</v>
      </c>
      <c r="E311" s="105">
        <v>0.82200000000000006</v>
      </c>
      <c r="F311" s="105">
        <v>0.82200000000000006</v>
      </c>
      <c r="G311" s="2042">
        <v>0.88200000000000001</v>
      </c>
      <c r="H311" s="105">
        <f t="shared" si="8"/>
        <v>5.9999999999999942E-2</v>
      </c>
    </row>
    <row r="312" spans="1:8" ht="14.5">
      <c r="A312" s="727">
        <v>76903</v>
      </c>
      <c r="B312" s="1683" t="str">
        <f t="shared" si="9"/>
        <v>076-903</v>
      </c>
      <c r="C312" s="629" t="s">
        <v>980</v>
      </c>
      <c r="D312" s="629" t="s">
        <v>9284</v>
      </c>
      <c r="E312" s="105">
        <v>0.82200000000000006</v>
      </c>
      <c r="F312" s="105">
        <v>0.82469999999999999</v>
      </c>
      <c r="G312" s="2042">
        <v>0.96300000000000008</v>
      </c>
      <c r="H312" s="105">
        <f t="shared" si="8"/>
        <v>0.13830000000000009</v>
      </c>
    </row>
    <row r="313" spans="1:8" ht="14.5">
      <c r="A313" s="41">
        <v>76904</v>
      </c>
      <c r="B313" s="380" t="str">
        <f t="shared" si="9"/>
        <v>076-904</v>
      </c>
      <c r="C313" s="2042" t="s">
        <v>573</v>
      </c>
      <c r="D313" s="2042" t="s">
        <v>9284</v>
      </c>
      <c r="E313" s="105">
        <v>0.82200000000000006</v>
      </c>
      <c r="F313" s="105">
        <v>0.82200000000000006</v>
      </c>
      <c r="G313" s="2042">
        <v>0.96030000000000004</v>
      </c>
      <c r="H313" s="105">
        <f t="shared" si="8"/>
        <v>0.13829999999999998</v>
      </c>
    </row>
    <row r="314" spans="1:8" ht="14.5">
      <c r="A314" s="41">
        <v>77901</v>
      </c>
      <c r="B314" s="380" t="str">
        <f t="shared" si="9"/>
        <v>077-901</v>
      </c>
      <c r="C314" s="2042" t="s">
        <v>801</v>
      </c>
      <c r="D314" s="2042" t="s">
        <v>9284</v>
      </c>
      <c r="E314" s="105">
        <v>0.91339999999999999</v>
      </c>
      <c r="F314" s="105">
        <v>0.91339999999999999</v>
      </c>
      <c r="G314" s="2042">
        <v>1.0517000000000001</v>
      </c>
      <c r="H314" s="105">
        <f t="shared" si="8"/>
        <v>0.13830000000000009</v>
      </c>
    </row>
    <row r="315" spans="1:8" ht="14.5">
      <c r="A315" s="41">
        <v>77902</v>
      </c>
      <c r="B315" s="380" t="str">
        <f t="shared" si="9"/>
        <v>077-902</v>
      </c>
      <c r="C315" s="2042" t="s">
        <v>802</v>
      </c>
      <c r="D315" s="2042" t="s">
        <v>9284</v>
      </c>
      <c r="E315" s="105">
        <v>0.91339999999999999</v>
      </c>
      <c r="F315" s="105">
        <v>0.91339999999999999</v>
      </c>
      <c r="G315" s="2042">
        <v>1.0323</v>
      </c>
      <c r="H315" s="105">
        <f t="shared" si="8"/>
        <v>0.11890000000000001</v>
      </c>
    </row>
    <row r="316" spans="1:8" ht="14.5">
      <c r="A316" s="41">
        <v>78901</v>
      </c>
      <c r="B316" s="380" t="str">
        <f t="shared" si="9"/>
        <v>078-901</v>
      </c>
      <c r="C316" s="2042" t="s">
        <v>803</v>
      </c>
      <c r="D316" s="2042" t="s">
        <v>9284</v>
      </c>
      <c r="E316" s="105">
        <v>0.82200000000000006</v>
      </c>
      <c r="F316" s="105">
        <v>0.82200000000000006</v>
      </c>
      <c r="G316" s="2042">
        <v>0.96030000000000004</v>
      </c>
      <c r="H316" s="105">
        <f t="shared" si="8"/>
        <v>0.13829999999999998</v>
      </c>
    </row>
    <row r="317" spans="1:8" ht="14.5">
      <c r="A317" s="41">
        <v>79901</v>
      </c>
      <c r="B317" s="380" t="str">
        <f t="shared" si="9"/>
        <v>079-901</v>
      </c>
      <c r="C317" s="2042" t="s">
        <v>981</v>
      </c>
      <c r="D317" s="2042" t="s">
        <v>9284</v>
      </c>
      <c r="E317" s="105">
        <v>0.82200000000000006</v>
      </c>
      <c r="F317" s="105">
        <v>0.82200000000000006</v>
      </c>
      <c r="G317" s="2042">
        <v>0.872</v>
      </c>
      <c r="H317" s="105">
        <f t="shared" si="8"/>
        <v>4.9999999999999933E-2</v>
      </c>
    </row>
    <row r="318" spans="1:8" ht="14.5">
      <c r="A318" s="41">
        <v>79906</v>
      </c>
      <c r="B318" s="380" t="str">
        <f t="shared" si="9"/>
        <v>079-906</v>
      </c>
      <c r="C318" s="2042" t="s">
        <v>847</v>
      </c>
      <c r="D318" s="2042" t="s">
        <v>9284</v>
      </c>
      <c r="E318" s="105">
        <v>0.83710000000000007</v>
      </c>
      <c r="F318" s="105">
        <v>0.83710000000000007</v>
      </c>
      <c r="G318" s="2042">
        <v>1.0071000000000001</v>
      </c>
      <c r="H318" s="105">
        <f t="shared" si="8"/>
        <v>0.17000000000000004</v>
      </c>
    </row>
    <row r="319" spans="1:8" ht="14.5">
      <c r="A319" s="41">
        <v>79907</v>
      </c>
      <c r="B319" s="380" t="str">
        <f t="shared" si="9"/>
        <v>079-907</v>
      </c>
      <c r="C319" s="2042" t="s">
        <v>103</v>
      </c>
      <c r="D319" s="2042" t="s">
        <v>9284</v>
      </c>
      <c r="E319" s="105">
        <v>0.86010000000000009</v>
      </c>
      <c r="F319" s="105">
        <v>0.86010000000000009</v>
      </c>
      <c r="G319" s="2042">
        <v>0.92010000000000003</v>
      </c>
      <c r="H319" s="105">
        <f t="shared" si="8"/>
        <v>5.9999999999999942E-2</v>
      </c>
    </row>
    <row r="320" spans="1:8" ht="14.5">
      <c r="A320" s="41">
        <v>79910</v>
      </c>
      <c r="B320" s="380" t="str">
        <f t="shared" si="9"/>
        <v>079-910</v>
      </c>
      <c r="C320" s="2042" t="s">
        <v>982</v>
      </c>
      <c r="D320" s="2042" t="s">
        <v>9284</v>
      </c>
      <c r="E320" s="105">
        <v>0.8639</v>
      </c>
      <c r="F320" s="105">
        <v>0.8639</v>
      </c>
      <c r="G320" s="2042">
        <v>0.91390000000000005</v>
      </c>
      <c r="H320" s="105">
        <f t="shared" si="8"/>
        <v>5.0000000000000044E-2</v>
      </c>
    </row>
    <row r="321" spans="1:8" ht="14.5">
      <c r="A321" s="41">
        <v>80901</v>
      </c>
      <c r="B321" s="380" t="str">
        <f t="shared" si="9"/>
        <v>080-901</v>
      </c>
      <c r="C321" s="2042" t="s">
        <v>807</v>
      </c>
      <c r="D321" s="2042" t="s">
        <v>9284</v>
      </c>
      <c r="E321" s="105">
        <v>0.8468</v>
      </c>
      <c r="F321" s="105">
        <v>0.8468</v>
      </c>
      <c r="G321" s="2042">
        <v>0.89680000000000004</v>
      </c>
      <c r="H321" s="105">
        <f t="shared" si="8"/>
        <v>5.0000000000000044E-2</v>
      </c>
    </row>
    <row r="322" spans="1:8" ht="14.5">
      <c r="A322" s="41">
        <v>81902</v>
      </c>
      <c r="B322" s="380" t="str">
        <f t="shared" si="9"/>
        <v>081-902</v>
      </c>
      <c r="C322" s="2042" t="s">
        <v>808</v>
      </c>
      <c r="D322" s="2042" t="s">
        <v>9284</v>
      </c>
      <c r="E322" s="105">
        <v>0.90380000000000005</v>
      </c>
      <c r="F322" s="105">
        <v>0.90380000000000005</v>
      </c>
      <c r="G322" s="2042">
        <v>1.0205</v>
      </c>
      <c r="H322" s="105">
        <f t="shared" si="8"/>
        <v>0.11669999999999991</v>
      </c>
    </row>
    <row r="323" spans="1:8" ht="14.5">
      <c r="A323" s="41">
        <v>81904</v>
      </c>
      <c r="B323" s="380" t="str">
        <f t="shared" si="9"/>
        <v>081-904</v>
      </c>
      <c r="C323" s="2042" t="s">
        <v>809</v>
      </c>
      <c r="D323" s="2042" t="s">
        <v>9284</v>
      </c>
      <c r="E323" s="105">
        <v>0.90470000000000006</v>
      </c>
      <c r="F323" s="105">
        <v>0.90470000000000006</v>
      </c>
      <c r="G323" s="2042">
        <v>0.95469999999999999</v>
      </c>
      <c r="H323" s="105">
        <f t="shared" ref="H323:H386" si="10">G323-F323</f>
        <v>4.9999999999999933E-2</v>
      </c>
    </row>
    <row r="324" spans="1:8" ht="14.5">
      <c r="A324" s="41">
        <v>81905</v>
      </c>
      <c r="B324" s="380" t="str">
        <f t="shared" si="9"/>
        <v>081-905</v>
      </c>
      <c r="C324" s="2042" t="s">
        <v>810</v>
      </c>
      <c r="D324" s="2042" t="s">
        <v>9284</v>
      </c>
      <c r="E324" s="105">
        <v>0.83180000000000009</v>
      </c>
      <c r="F324" s="105">
        <v>0.83180000000000009</v>
      </c>
      <c r="G324" s="2042">
        <v>0.88180000000000003</v>
      </c>
      <c r="H324" s="105">
        <f t="shared" si="10"/>
        <v>4.9999999999999933E-2</v>
      </c>
    </row>
    <row r="325" spans="1:8" ht="14.5">
      <c r="A325" s="41">
        <v>81906</v>
      </c>
      <c r="B325" s="380" t="str">
        <f t="shared" ref="B325:B389" si="11">CONCATENATE(LEFT(RIGHT(CONCATENATE("000",A325),6),3),"-",(RIGHT(RIGHT(CONCATENATE("000",A325),6),3)))</f>
        <v>081-906</v>
      </c>
      <c r="C325" s="2042" t="s">
        <v>811</v>
      </c>
      <c r="D325" s="2042" t="s">
        <v>9284</v>
      </c>
      <c r="E325" s="105">
        <v>0.91339999999999999</v>
      </c>
      <c r="F325" s="105">
        <v>0.91339999999999999</v>
      </c>
      <c r="G325" s="2042">
        <v>1.0517000000000001</v>
      </c>
      <c r="H325" s="105">
        <f t="shared" si="10"/>
        <v>0.13830000000000009</v>
      </c>
    </row>
    <row r="326" spans="1:8" ht="14.5">
      <c r="A326" s="727">
        <v>82902</v>
      </c>
      <c r="B326" s="1683" t="str">
        <f t="shared" si="11"/>
        <v>082-902</v>
      </c>
      <c r="C326" s="629" t="s">
        <v>2057</v>
      </c>
      <c r="D326" s="629" t="s">
        <v>9286</v>
      </c>
      <c r="E326" s="105">
        <v>0.91339999999999999</v>
      </c>
      <c r="F326" s="105">
        <v>0.91639999999999999</v>
      </c>
      <c r="G326" s="2042">
        <v>1.0507</v>
      </c>
      <c r="H326" s="105">
        <f t="shared" si="10"/>
        <v>0.13429999999999997</v>
      </c>
    </row>
    <row r="327" spans="1:8" ht="14.5">
      <c r="A327" s="41">
        <v>82903</v>
      </c>
      <c r="B327" s="380" t="str">
        <f t="shared" si="11"/>
        <v>082-903</v>
      </c>
      <c r="C327" s="2042" t="s">
        <v>2448</v>
      </c>
      <c r="D327" s="2042" t="s">
        <v>9284</v>
      </c>
      <c r="E327" s="105">
        <v>0.88160000000000005</v>
      </c>
      <c r="F327" s="105">
        <v>0.88160000000000005</v>
      </c>
      <c r="G327" s="2042">
        <v>1.0199</v>
      </c>
      <c r="H327" s="105">
        <f t="shared" si="10"/>
        <v>0.13829999999999998</v>
      </c>
    </row>
    <row r="328" spans="1:8" ht="14.5">
      <c r="A328" s="41">
        <v>83901</v>
      </c>
      <c r="B328" s="380" t="str">
        <f t="shared" si="11"/>
        <v>083-901</v>
      </c>
      <c r="C328" s="2042" t="s">
        <v>812</v>
      </c>
      <c r="D328" s="2042" t="s">
        <v>9284</v>
      </c>
      <c r="E328" s="105">
        <v>0.91339999999999999</v>
      </c>
      <c r="F328" s="105">
        <v>0.91339999999999999</v>
      </c>
      <c r="G328" s="2042">
        <v>0.96340000000000003</v>
      </c>
      <c r="H328" s="105">
        <f t="shared" si="10"/>
        <v>5.0000000000000044E-2</v>
      </c>
    </row>
    <row r="329" spans="1:8" ht="14.5">
      <c r="A329" s="41">
        <v>83902</v>
      </c>
      <c r="B329" s="380" t="str">
        <f t="shared" si="11"/>
        <v>083-902</v>
      </c>
      <c r="C329" s="2042" t="s">
        <v>498</v>
      </c>
      <c r="D329" s="2042" t="s">
        <v>9284</v>
      </c>
      <c r="E329" s="105">
        <v>0.91339999999999999</v>
      </c>
      <c r="F329" s="105">
        <v>0.91339999999999999</v>
      </c>
      <c r="G329" s="2042">
        <v>1.0517000000000001</v>
      </c>
      <c r="H329" s="105">
        <f t="shared" si="10"/>
        <v>0.13830000000000009</v>
      </c>
    </row>
    <row r="330" spans="1:8" ht="14.5">
      <c r="A330" s="41">
        <v>83903</v>
      </c>
      <c r="B330" s="380" t="str">
        <f t="shared" si="11"/>
        <v>083-903</v>
      </c>
      <c r="C330" s="2042" t="s">
        <v>499</v>
      </c>
      <c r="D330" s="2042" t="s">
        <v>9284</v>
      </c>
      <c r="E330" s="105">
        <v>0.91339999999999999</v>
      </c>
      <c r="F330" s="105">
        <v>0.91339999999999999</v>
      </c>
      <c r="G330" s="2042">
        <v>0.96340000000000003</v>
      </c>
      <c r="H330" s="105">
        <f t="shared" si="10"/>
        <v>5.0000000000000044E-2</v>
      </c>
    </row>
    <row r="331" spans="1:8" ht="14.5">
      <c r="A331" s="41">
        <v>84901</v>
      </c>
      <c r="B331" s="380" t="str">
        <f t="shared" si="11"/>
        <v>084-901</v>
      </c>
      <c r="C331" s="2042" t="s">
        <v>345</v>
      </c>
      <c r="D331" s="2042" t="s">
        <v>9284</v>
      </c>
      <c r="E331" s="105">
        <v>0.82200000000000006</v>
      </c>
      <c r="F331" s="105">
        <v>0.82200000000000006</v>
      </c>
      <c r="G331" s="2042">
        <v>0.872</v>
      </c>
      <c r="H331" s="105">
        <f t="shared" si="10"/>
        <v>4.9999999999999933E-2</v>
      </c>
    </row>
    <row r="332" spans="1:8" ht="14.5">
      <c r="A332" s="41">
        <v>84902</v>
      </c>
      <c r="B332" s="380" t="str">
        <f t="shared" si="11"/>
        <v>084-902</v>
      </c>
      <c r="C332" s="2042" t="s">
        <v>346</v>
      </c>
      <c r="D332" s="2042" t="s">
        <v>9284</v>
      </c>
      <c r="E332" s="105">
        <v>0.82200000000000006</v>
      </c>
      <c r="F332" s="105">
        <v>0.82200000000000006</v>
      </c>
      <c r="G332" s="2042">
        <v>0.88200000000000001</v>
      </c>
      <c r="H332" s="105">
        <f t="shared" si="10"/>
        <v>5.9999999999999942E-2</v>
      </c>
    </row>
    <row r="333" spans="1:8" ht="14.5">
      <c r="A333" s="727">
        <v>84903</v>
      </c>
      <c r="B333" s="1683" t="str">
        <f t="shared" si="11"/>
        <v>084-903</v>
      </c>
      <c r="C333" s="629" t="s">
        <v>2242</v>
      </c>
      <c r="D333" s="629" t="s">
        <v>9284</v>
      </c>
      <c r="E333" s="105">
        <v>0.82200000000000006</v>
      </c>
      <c r="F333" s="105">
        <v>0.82430000000000003</v>
      </c>
      <c r="G333" s="2042">
        <v>0.9627</v>
      </c>
      <c r="H333" s="105">
        <f t="shared" si="10"/>
        <v>0.13839999999999997</v>
      </c>
    </row>
    <row r="334" spans="1:8" ht="14.5">
      <c r="A334" s="41">
        <v>84906</v>
      </c>
      <c r="B334" s="380" t="str">
        <f t="shared" si="11"/>
        <v>084-906</v>
      </c>
      <c r="C334" s="2042" t="s">
        <v>348</v>
      </c>
      <c r="D334" s="2042" t="s">
        <v>9284</v>
      </c>
      <c r="E334" s="105">
        <v>0.87509999999999999</v>
      </c>
      <c r="F334" s="105">
        <v>0.87509999999999999</v>
      </c>
      <c r="G334" s="2042">
        <v>1.0134000000000001</v>
      </c>
      <c r="H334" s="105">
        <f t="shared" si="10"/>
        <v>0.13830000000000009</v>
      </c>
    </row>
    <row r="335" spans="1:8" ht="14.5">
      <c r="A335" s="41">
        <v>84908</v>
      </c>
      <c r="B335" s="380" t="str">
        <f t="shared" si="11"/>
        <v>084-908</v>
      </c>
      <c r="C335" s="2042" t="s">
        <v>349</v>
      </c>
      <c r="D335" s="2042" t="s">
        <v>9284</v>
      </c>
      <c r="E335" s="105">
        <v>0.82200000000000006</v>
      </c>
      <c r="F335" s="105">
        <v>0.82200000000000006</v>
      </c>
      <c r="G335" s="2042">
        <v>0.872</v>
      </c>
      <c r="H335" s="105">
        <f t="shared" si="10"/>
        <v>4.9999999999999933E-2</v>
      </c>
    </row>
    <row r="336" spans="1:8" ht="14.5">
      <c r="A336" s="41">
        <v>84909</v>
      </c>
      <c r="B336" s="380" t="str">
        <f t="shared" si="11"/>
        <v>084-909</v>
      </c>
      <c r="C336" s="2042" t="s">
        <v>83</v>
      </c>
      <c r="D336" s="2042" t="s">
        <v>9284</v>
      </c>
      <c r="E336" s="105">
        <v>0.82200000000000006</v>
      </c>
      <c r="F336" s="105">
        <v>0.82200000000000006</v>
      </c>
      <c r="G336" s="2042">
        <v>0.872</v>
      </c>
      <c r="H336" s="105">
        <f t="shared" si="10"/>
        <v>4.9999999999999933E-2</v>
      </c>
    </row>
    <row r="337" spans="1:8" ht="14.5">
      <c r="A337" s="41">
        <v>84910</v>
      </c>
      <c r="B337" s="380" t="str">
        <f t="shared" si="11"/>
        <v>084-910</v>
      </c>
      <c r="C337" s="2042" t="s">
        <v>350</v>
      </c>
      <c r="D337" s="2042" t="s">
        <v>9284</v>
      </c>
      <c r="E337" s="105">
        <v>0.84970000000000001</v>
      </c>
      <c r="F337" s="105">
        <v>0.84970000000000001</v>
      </c>
      <c r="G337" s="2042">
        <v>0.88970000000000005</v>
      </c>
      <c r="H337" s="105">
        <f t="shared" si="10"/>
        <v>4.0000000000000036E-2</v>
      </c>
    </row>
    <row r="338" spans="1:8" ht="14.5">
      <c r="A338" s="41">
        <v>84911</v>
      </c>
      <c r="B338" s="380" t="str">
        <f t="shared" si="11"/>
        <v>084-911</v>
      </c>
      <c r="C338" s="2042" t="s">
        <v>1388</v>
      </c>
      <c r="D338" s="2042" t="s">
        <v>9284</v>
      </c>
      <c r="E338" s="105">
        <v>0.82200000000000006</v>
      </c>
      <c r="F338" s="105">
        <v>0.82200000000000006</v>
      </c>
      <c r="G338" s="2042">
        <v>0.93440000000000001</v>
      </c>
      <c r="H338" s="105">
        <f t="shared" si="10"/>
        <v>0.11239999999999994</v>
      </c>
    </row>
    <row r="339" spans="1:8" ht="14.5">
      <c r="A339" s="41">
        <v>85902</v>
      </c>
      <c r="B339" s="380" t="str">
        <f t="shared" si="11"/>
        <v>085-902</v>
      </c>
      <c r="C339" s="2042" t="s">
        <v>351</v>
      </c>
      <c r="D339" s="2042" t="s">
        <v>9284</v>
      </c>
      <c r="E339" s="105">
        <v>0.91339999999999999</v>
      </c>
      <c r="F339" s="105">
        <v>0.91339999999999999</v>
      </c>
      <c r="G339" s="2042">
        <v>0.96340000000000003</v>
      </c>
      <c r="H339" s="105">
        <f t="shared" si="10"/>
        <v>5.0000000000000044E-2</v>
      </c>
    </row>
    <row r="340" spans="1:8" ht="14.5">
      <c r="A340" s="41">
        <v>85903</v>
      </c>
      <c r="B340" s="380" t="str">
        <f t="shared" si="11"/>
        <v>085-903</v>
      </c>
      <c r="C340" s="2042" t="s">
        <v>352</v>
      </c>
      <c r="D340" s="2042" t="s">
        <v>9284</v>
      </c>
      <c r="E340" s="105">
        <v>0.82469999999999999</v>
      </c>
      <c r="F340" s="105">
        <v>0.82469999999999999</v>
      </c>
      <c r="G340" s="2042">
        <v>0.96300000000000008</v>
      </c>
      <c r="H340" s="105">
        <f t="shared" si="10"/>
        <v>0.13830000000000009</v>
      </c>
    </row>
    <row r="341" spans="1:8" ht="14.5">
      <c r="A341" s="41">
        <v>86024</v>
      </c>
      <c r="B341" s="380" t="str">
        <f t="shared" si="11"/>
        <v>086-024</v>
      </c>
      <c r="C341" s="2042" t="s">
        <v>983</v>
      </c>
      <c r="D341" s="2042" t="s">
        <v>9284</v>
      </c>
      <c r="E341" s="105">
        <v>0.82200000000000006</v>
      </c>
      <c r="F341" s="105">
        <v>0.82200000000000006</v>
      </c>
      <c r="G341" s="2042">
        <v>0.872</v>
      </c>
      <c r="H341" s="105">
        <f t="shared" si="10"/>
        <v>4.9999999999999933E-2</v>
      </c>
    </row>
    <row r="342" spans="1:8" ht="14.5">
      <c r="A342" s="41">
        <v>86901</v>
      </c>
      <c r="B342" s="380" t="str">
        <f t="shared" si="11"/>
        <v>086-901</v>
      </c>
      <c r="C342" s="2042" t="s">
        <v>354</v>
      </c>
      <c r="D342" s="2042" t="s">
        <v>9284</v>
      </c>
      <c r="E342" s="105">
        <v>0.82200000000000006</v>
      </c>
      <c r="F342" s="105">
        <v>0.82200000000000006</v>
      </c>
      <c r="G342" s="2042">
        <v>0.872</v>
      </c>
      <c r="H342" s="105">
        <f t="shared" si="10"/>
        <v>4.9999999999999933E-2</v>
      </c>
    </row>
    <row r="343" spans="1:8" ht="14.5">
      <c r="A343" s="41">
        <v>86902</v>
      </c>
      <c r="B343" s="380" t="str">
        <f t="shared" si="11"/>
        <v>086-902</v>
      </c>
      <c r="C343" s="2042" t="s">
        <v>1688</v>
      </c>
      <c r="D343" s="2042" t="s">
        <v>9284</v>
      </c>
      <c r="E343" s="105">
        <v>0.82200000000000006</v>
      </c>
      <c r="F343" s="105">
        <v>0.82200000000000006</v>
      </c>
      <c r="G343" s="2042">
        <v>0.872</v>
      </c>
      <c r="H343" s="105">
        <f t="shared" si="10"/>
        <v>4.9999999999999933E-2</v>
      </c>
    </row>
    <row r="344" spans="1:8" ht="14.5">
      <c r="A344" s="41">
        <v>87901</v>
      </c>
      <c r="B344" s="380" t="str">
        <f t="shared" si="11"/>
        <v>087-901</v>
      </c>
      <c r="C344" s="2042" t="s">
        <v>1689</v>
      </c>
      <c r="D344" s="2042" t="s">
        <v>9284</v>
      </c>
      <c r="E344" s="105">
        <v>0.91339999999999999</v>
      </c>
      <c r="F344" s="105">
        <v>0.91339999999999999</v>
      </c>
      <c r="G344" s="2042">
        <v>0.96340000000000003</v>
      </c>
      <c r="H344" s="105">
        <f t="shared" si="10"/>
        <v>5.0000000000000044E-2</v>
      </c>
    </row>
    <row r="345" spans="1:8" ht="14.5">
      <c r="A345" s="41">
        <v>88902</v>
      </c>
      <c r="B345" s="380" t="str">
        <f t="shared" si="11"/>
        <v>088-902</v>
      </c>
      <c r="C345" s="2042" t="s">
        <v>1690</v>
      </c>
      <c r="D345" s="2042" t="s">
        <v>9284</v>
      </c>
      <c r="E345" s="105">
        <v>0.88630000000000009</v>
      </c>
      <c r="F345" s="105">
        <v>0.88630000000000009</v>
      </c>
      <c r="G345" s="2042">
        <v>0.93630000000000002</v>
      </c>
      <c r="H345" s="105">
        <f t="shared" si="10"/>
        <v>4.9999999999999933E-2</v>
      </c>
    </row>
    <row r="346" spans="1:8" ht="14.5">
      <c r="A346" s="41">
        <v>89901</v>
      </c>
      <c r="B346" s="380" t="str">
        <f t="shared" si="11"/>
        <v>089-901</v>
      </c>
      <c r="C346" s="2042" t="s">
        <v>814</v>
      </c>
      <c r="D346" s="2042" t="s">
        <v>9284</v>
      </c>
      <c r="E346" s="105">
        <v>0.8953000000000001</v>
      </c>
      <c r="F346" s="105">
        <v>0.8953000000000001</v>
      </c>
      <c r="G346" s="2042">
        <v>1.0092000000000001</v>
      </c>
      <c r="H346" s="105">
        <f t="shared" si="10"/>
        <v>0.1139</v>
      </c>
    </row>
    <row r="347" spans="1:8" ht="14.5">
      <c r="A347" s="41">
        <v>89903</v>
      </c>
      <c r="B347" s="380" t="str">
        <f t="shared" si="11"/>
        <v>089-903</v>
      </c>
      <c r="C347" s="2042" t="s">
        <v>984</v>
      </c>
      <c r="D347" s="2042" t="s">
        <v>9284</v>
      </c>
      <c r="E347" s="105">
        <v>0.91339999999999999</v>
      </c>
      <c r="F347" s="105">
        <v>0.91339999999999999</v>
      </c>
      <c r="G347" s="2042">
        <v>0.97340000000000004</v>
      </c>
      <c r="H347" s="105">
        <f t="shared" si="10"/>
        <v>6.0000000000000053E-2</v>
      </c>
    </row>
    <row r="348" spans="1:8" ht="14.5">
      <c r="A348" s="41">
        <v>89905</v>
      </c>
      <c r="B348" s="380" t="str">
        <f t="shared" si="11"/>
        <v>089-905</v>
      </c>
      <c r="C348" s="2042" t="s">
        <v>1356</v>
      </c>
      <c r="D348" s="2042" t="s">
        <v>9284</v>
      </c>
      <c r="E348" s="105">
        <v>0.82200000000000006</v>
      </c>
      <c r="F348" s="105">
        <v>0.82200000000000006</v>
      </c>
      <c r="G348" s="2042">
        <v>0.872</v>
      </c>
      <c r="H348" s="105">
        <f t="shared" si="10"/>
        <v>4.9999999999999933E-2</v>
      </c>
    </row>
    <row r="349" spans="1:8" ht="14.5">
      <c r="A349" s="41">
        <v>90902</v>
      </c>
      <c r="B349" s="380" t="str">
        <f t="shared" si="11"/>
        <v>090-902</v>
      </c>
      <c r="C349" s="2042" t="s">
        <v>1357</v>
      </c>
      <c r="D349" s="2042" t="s">
        <v>9284</v>
      </c>
      <c r="E349" s="105">
        <v>0.91339999999999999</v>
      </c>
      <c r="F349" s="105">
        <v>0.91339999999999999</v>
      </c>
      <c r="G349" s="2042">
        <v>0.96340000000000003</v>
      </c>
      <c r="H349" s="105">
        <f t="shared" si="10"/>
        <v>5.0000000000000044E-2</v>
      </c>
    </row>
    <row r="350" spans="1:8" ht="14.5">
      <c r="A350" s="41">
        <v>90903</v>
      </c>
      <c r="B350" s="380" t="str">
        <f t="shared" si="11"/>
        <v>090-903</v>
      </c>
      <c r="C350" s="2042" t="s">
        <v>1358</v>
      </c>
      <c r="D350" s="2042" t="s">
        <v>9284</v>
      </c>
      <c r="E350" s="105">
        <v>0.87590000000000001</v>
      </c>
      <c r="F350" s="105">
        <v>0.87590000000000001</v>
      </c>
      <c r="G350" s="2042">
        <v>0.92590000000000006</v>
      </c>
      <c r="H350" s="105">
        <f t="shared" si="10"/>
        <v>5.0000000000000044E-2</v>
      </c>
    </row>
    <row r="351" spans="1:8" ht="14.5">
      <c r="A351" s="41">
        <v>90904</v>
      </c>
      <c r="B351" s="380" t="str">
        <f t="shared" si="11"/>
        <v>090-904</v>
      </c>
      <c r="C351" s="2042" t="s">
        <v>1288</v>
      </c>
      <c r="D351" s="2042" t="s">
        <v>9284</v>
      </c>
      <c r="E351" s="105">
        <v>0.91339999999999999</v>
      </c>
      <c r="F351" s="105">
        <v>0.91339999999999999</v>
      </c>
      <c r="G351" s="2042">
        <v>0.99340000000000006</v>
      </c>
      <c r="H351" s="105">
        <f t="shared" si="10"/>
        <v>8.0000000000000071E-2</v>
      </c>
    </row>
    <row r="352" spans="1:8" ht="14.5">
      <c r="A352" s="41">
        <v>90905</v>
      </c>
      <c r="B352" s="380" t="str">
        <f t="shared" si="11"/>
        <v>090-905</v>
      </c>
      <c r="C352" s="2042" t="s">
        <v>1359</v>
      </c>
      <c r="D352" s="2042" t="s">
        <v>9284</v>
      </c>
      <c r="E352" s="105">
        <v>0.91339999999999999</v>
      </c>
      <c r="F352" s="105">
        <v>0.91339999999999999</v>
      </c>
      <c r="G352" s="2042">
        <v>0.93640000000000001</v>
      </c>
      <c r="H352" s="105">
        <f t="shared" si="10"/>
        <v>2.300000000000002E-2</v>
      </c>
    </row>
    <row r="353" spans="1:8" ht="14.5">
      <c r="A353" s="41">
        <v>91901</v>
      </c>
      <c r="B353" s="380" t="str">
        <f t="shared" si="11"/>
        <v>091-901</v>
      </c>
      <c r="C353" s="2042" t="s">
        <v>1469</v>
      </c>
      <c r="D353" s="2042" t="s">
        <v>9284</v>
      </c>
      <c r="E353" s="105">
        <v>0.82780000000000009</v>
      </c>
      <c r="F353" s="105">
        <v>0.82780000000000009</v>
      </c>
      <c r="G353" s="2042">
        <v>0.96610000000000007</v>
      </c>
      <c r="H353" s="105">
        <f t="shared" si="10"/>
        <v>0.13829999999999998</v>
      </c>
    </row>
    <row r="354" spans="1:8" ht="14.5">
      <c r="A354" s="41">
        <v>91902</v>
      </c>
      <c r="B354" s="380" t="str">
        <f t="shared" si="11"/>
        <v>091-902</v>
      </c>
      <c r="C354" s="2042" t="s">
        <v>1360</v>
      </c>
      <c r="D354" s="2042" t="s">
        <v>9284</v>
      </c>
      <c r="E354" s="105">
        <v>0.82200000000000006</v>
      </c>
      <c r="F354" s="105">
        <v>0.82200000000000006</v>
      </c>
      <c r="G354" s="2042">
        <v>0.96030000000000004</v>
      </c>
      <c r="H354" s="105">
        <f t="shared" si="10"/>
        <v>0.13829999999999998</v>
      </c>
    </row>
    <row r="355" spans="1:8" ht="14.5">
      <c r="A355" s="41">
        <v>91903</v>
      </c>
      <c r="B355" s="380" t="str">
        <f t="shared" si="11"/>
        <v>091-903</v>
      </c>
      <c r="C355" s="2042" t="s">
        <v>1361</v>
      </c>
      <c r="D355" s="2042" t="s">
        <v>9284</v>
      </c>
      <c r="E355" s="105">
        <v>0.82200000000000006</v>
      </c>
      <c r="F355" s="105">
        <v>0.82200000000000006</v>
      </c>
      <c r="G355" s="2042">
        <v>0.96030000000000004</v>
      </c>
      <c r="H355" s="105">
        <f t="shared" si="10"/>
        <v>0.13829999999999998</v>
      </c>
    </row>
    <row r="356" spans="1:8" ht="14.5">
      <c r="A356" s="41">
        <v>91905</v>
      </c>
      <c r="B356" s="380" t="str">
        <f t="shared" si="11"/>
        <v>091-905</v>
      </c>
      <c r="C356" s="2042" t="s">
        <v>2247</v>
      </c>
      <c r="D356" s="2042" t="s">
        <v>9284</v>
      </c>
      <c r="E356" s="105">
        <v>0.83879999999999999</v>
      </c>
      <c r="F356" s="105">
        <v>0.83879999999999999</v>
      </c>
      <c r="G356" s="2042">
        <v>0.96600000000000008</v>
      </c>
      <c r="H356" s="105">
        <f t="shared" si="10"/>
        <v>0.12720000000000009</v>
      </c>
    </row>
    <row r="357" spans="1:8" ht="14.5">
      <c r="A357" s="41">
        <v>91906</v>
      </c>
      <c r="B357" s="380" t="str">
        <f t="shared" si="11"/>
        <v>091-906</v>
      </c>
      <c r="C357" s="2042" t="s">
        <v>1556</v>
      </c>
      <c r="D357" s="2042" t="s">
        <v>9284</v>
      </c>
      <c r="E357" s="105">
        <v>0.82200000000000006</v>
      </c>
      <c r="F357" s="105">
        <v>0.82200000000000006</v>
      </c>
      <c r="G357" s="2042">
        <v>0.96030000000000004</v>
      </c>
      <c r="H357" s="105">
        <f t="shared" si="10"/>
        <v>0.13829999999999998</v>
      </c>
    </row>
    <row r="358" spans="1:8" ht="14.5">
      <c r="A358" s="727">
        <v>91907</v>
      </c>
      <c r="B358" s="1683" t="str">
        <f t="shared" si="11"/>
        <v>091-907</v>
      </c>
      <c r="C358" s="629" t="s">
        <v>1557</v>
      </c>
      <c r="D358" s="629" t="s">
        <v>9284</v>
      </c>
      <c r="E358" s="105">
        <v>0.82220000000000004</v>
      </c>
      <c r="F358" s="105">
        <v>0.82750000000000001</v>
      </c>
      <c r="G358" s="2042">
        <v>0.9375</v>
      </c>
      <c r="H358" s="105">
        <f t="shared" si="10"/>
        <v>0.10999999999999999</v>
      </c>
    </row>
    <row r="359" spans="1:8" ht="14.5">
      <c r="A359" s="41">
        <v>91908</v>
      </c>
      <c r="B359" s="380" t="str">
        <f t="shared" si="11"/>
        <v>091-908</v>
      </c>
      <c r="C359" s="2042" t="s">
        <v>2232</v>
      </c>
      <c r="D359" s="2042" t="s">
        <v>9284</v>
      </c>
      <c r="E359" s="105">
        <v>0.82200000000000006</v>
      </c>
      <c r="F359" s="105">
        <v>0.82200000000000006</v>
      </c>
      <c r="G359" s="2042">
        <v>0.92790000000000006</v>
      </c>
      <c r="H359" s="105">
        <f t="shared" si="10"/>
        <v>0.10589999999999999</v>
      </c>
    </row>
    <row r="360" spans="1:8" ht="14.5">
      <c r="A360" s="41">
        <v>91909</v>
      </c>
      <c r="B360" s="380" t="str">
        <f t="shared" si="11"/>
        <v>091-909</v>
      </c>
      <c r="C360" s="2042" t="s">
        <v>1259</v>
      </c>
      <c r="D360" s="2042" t="s">
        <v>9284</v>
      </c>
      <c r="E360" s="105">
        <v>0.86210000000000009</v>
      </c>
      <c r="F360" s="105">
        <v>0.86210000000000009</v>
      </c>
      <c r="G360" s="2042">
        <v>1.0004</v>
      </c>
      <c r="H360" s="105">
        <f t="shared" si="10"/>
        <v>0.13829999999999987</v>
      </c>
    </row>
    <row r="361" spans="1:8" ht="14.5">
      <c r="A361" s="41">
        <v>91910</v>
      </c>
      <c r="B361" s="380" t="str">
        <f t="shared" si="11"/>
        <v>091-910</v>
      </c>
      <c r="C361" s="2042" t="s">
        <v>1558</v>
      </c>
      <c r="D361" s="2042" t="s">
        <v>9284</v>
      </c>
      <c r="E361" s="105">
        <v>0.82200000000000006</v>
      </c>
      <c r="F361" s="105">
        <v>0.82200000000000006</v>
      </c>
      <c r="G361" s="2042">
        <v>0.96030000000000004</v>
      </c>
      <c r="H361" s="105">
        <f t="shared" si="10"/>
        <v>0.13829999999999998</v>
      </c>
    </row>
    <row r="362" spans="1:8" ht="14.5">
      <c r="A362" s="41">
        <v>91913</v>
      </c>
      <c r="B362" s="380" t="str">
        <f t="shared" si="11"/>
        <v>091-913</v>
      </c>
      <c r="C362" s="2042" t="s">
        <v>1981</v>
      </c>
      <c r="D362" s="2042" t="s">
        <v>9284</v>
      </c>
      <c r="E362" s="105">
        <v>0.83740000000000003</v>
      </c>
      <c r="F362" s="105">
        <v>0.83740000000000003</v>
      </c>
      <c r="G362" s="2042">
        <v>0.88740000000000008</v>
      </c>
      <c r="H362" s="105">
        <f t="shared" si="10"/>
        <v>5.0000000000000044E-2</v>
      </c>
    </row>
    <row r="363" spans="1:8" ht="14.5">
      <c r="A363" s="41">
        <v>91914</v>
      </c>
      <c r="B363" s="380" t="str">
        <f t="shared" si="11"/>
        <v>091-914</v>
      </c>
      <c r="C363" s="2042" t="s">
        <v>985</v>
      </c>
      <c r="D363" s="2042" t="s">
        <v>9284</v>
      </c>
      <c r="E363" s="105">
        <v>0.88250000000000006</v>
      </c>
      <c r="F363" s="105">
        <v>0.88250000000000006</v>
      </c>
      <c r="G363" s="2042">
        <v>1.0208000000000002</v>
      </c>
      <c r="H363" s="105">
        <f t="shared" si="10"/>
        <v>0.13830000000000009</v>
      </c>
    </row>
    <row r="364" spans="1:8" ht="14.5">
      <c r="A364" s="41">
        <v>91917</v>
      </c>
      <c r="B364" s="380" t="str">
        <f t="shared" si="11"/>
        <v>091-917</v>
      </c>
      <c r="C364" s="2042" t="s">
        <v>1636</v>
      </c>
      <c r="D364" s="2042" t="s">
        <v>9284</v>
      </c>
      <c r="E364" s="105">
        <v>0.88030000000000008</v>
      </c>
      <c r="F364" s="105">
        <v>0.88030000000000008</v>
      </c>
      <c r="G364" s="2042">
        <v>1.0185999999999999</v>
      </c>
      <c r="H364" s="105">
        <f t="shared" si="10"/>
        <v>0.13829999999999987</v>
      </c>
    </row>
    <row r="365" spans="1:8">
      <c r="B365" s="2042" t="s">
        <v>1211</v>
      </c>
      <c r="C365" s="2042" t="s">
        <v>6358</v>
      </c>
      <c r="E365" s="105">
        <v>0.82469999999999999</v>
      </c>
      <c r="F365" s="105">
        <v>0.82469999999999999</v>
      </c>
      <c r="G365" s="2042">
        <v>0.96300000000000008</v>
      </c>
      <c r="H365" s="105">
        <f t="shared" si="10"/>
        <v>0.13830000000000009</v>
      </c>
    </row>
    <row r="366" spans="1:8" ht="14.5">
      <c r="A366" s="727">
        <v>92901</v>
      </c>
      <c r="B366" s="1683" t="str">
        <f t="shared" si="11"/>
        <v>092-901</v>
      </c>
      <c r="C366" s="629" t="s">
        <v>209</v>
      </c>
      <c r="D366" s="629" t="s">
        <v>9284</v>
      </c>
      <c r="E366" s="105">
        <v>0.91339999999999999</v>
      </c>
      <c r="F366" s="105">
        <v>0.94510000000000005</v>
      </c>
      <c r="G366" s="2042">
        <v>1.0834000000000001</v>
      </c>
      <c r="H366" s="105">
        <f t="shared" si="10"/>
        <v>0.13830000000000009</v>
      </c>
    </row>
    <row r="367" spans="1:8" ht="14.5">
      <c r="A367" s="41">
        <v>92902</v>
      </c>
      <c r="B367" s="380" t="str">
        <f t="shared" si="11"/>
        <v>092-902</v>
      </c>
      <c r="C367" s="2042" t="s">
        <v>210</v>
      </c>
      <c r="D367" s="2042" t="s">
        <v>9284</v>
      </c>
      <c r="E367" s="105">
        <v>0.91339999999999999</v>
      </c>
      <c r="F367" s="105">
        <v>0.91339999999999999</v>
      </c>
      <c r="G367" s="2042">
        <v>0.96340000000000003</v>
      </c>
      <c r="H367" s="105">
        <f t="shared" si="10"/>
        <v>5.0000000000000044E-2</v>
      </c>
    </row>
    <row r="368" spans="1:8" ht="14.5">
      <c r="A368" s="41">
        <v>92903</v>
      </c>
      <c r="B368" s="380" t="str">
        <f t="shared" si="11"/>
        <v>092-903</v>
      </c>
      <c r="C368" s="2042" t="s">
        <v>2007</v>
      </c>
      <c r="D368" s="2042" t="s">
        <v>9284</v>
      </c>
      <c r="E368" s="105">
        <v>0.89170000000000005</v>
      </c>
      <c r="F368" s="105">
        <v>0.89170000000000005</v>
      </c>
      <c r="G368" s="2042">
        <v>0.94170000000000009</v>
      </c>
      <c r="H368" s="105">
        <f t="shared" si="10"/>
        <v>5.0000000000000044E-2</v>
      </c>
    </row>
    <row r="369" spans="1:8" ht="14.5">
      <c r="A369" s="41">
        <v>92904</v>
      </c>
      <c r="B369" s="380" t="str">
        <f t="shared" si="11"/>
        <v>092-904</v>
      </c>
      <c r="C369" s="2042" t="s">
        <v>211</v>
      </c>
      <c r="D369" s="2042" t="s">
        <v>9284</v>
      </c>
      <c r="E369" s="105">
        <v>0.91339999999999999</v>
      </c>
      <c r="F369" s="105">
        <v>0.91339999999999999</v>
      </c>
      <c r="G369" s="2042">
        <v>1.0517000000000001</v>
      </c>
      <c r="H369" s="105">
        <f t="shared" si="10"/>
        <v>0.13830000000000009</v>
      </c>
    </row>
    <row r="370" spans="1:8" ht="14.5">
      <c r="A370" s="41">
        <v>92906</v>
      </c>
      <c r="B370" s="380" t="str">
        <f t="shared" si="11"/>
        <v>092-906</v>
      </c>
      <c r="C370" s="2042" t="s">
        <v>212</v>
      </c>
      <c r="D370" s="2042" t="s">
        <v>9284</v>
      </c>
      <c r="E370" s="105">
        <v>0.89540000000000008</v>
      </c>
      <c r="F370" s="105">
        <v>0.89540000000000008</v>
      </c>
      <c r="G370" s="2042">
        <v>0.94540000000000002</v>
      </c>
      <c r="H370" s="105">
        <f t="shared" si="10"/>
        <v>4.9999999999999933E-2</v>
      </c>
    </row>
    <row r="371" spans="1:8" ht="14.5">
      <c r="A371" s="41">
        <v>92907</v>
      </c>
      <c r="B371" s="380" t="str">
        <f t="shared" si="11"/>
        <v>092-907</v>
      </c>
      <c r="C371" s="2042" t="s">
        <v>1829</v>
      </c>
      <c r="D371" s="2042" t="s">
        <v>9284</v>
      </c>
      <c r="E371" s="105">
        <v>0.90980000000000005</v>
      </c>
      <c r="F371" s="105">
        <v>0.90980000000000005</v>
      </c>
      <c r="G371" s="2042">
        <v>1.0477000000000001</v>
      </c>
      <c r="H371" s="105">
        <f t="shared" si="10"/>
        <v>0.13790000000000002</v>
      </c>
    </row>
    <row r="372" spans="1:8" ht="14.5">
      <c r="A372" s="41">
        <v>92908</v>
      </c>
      <c r="B372" s="380" t="str">
        <f t="shared" si="11"/>
        <v>092-908</v>
      </c>
      <c r="C372" s="2042" t="s">
        <v>213</v>
      </c>
      <c r="D372" s="2042" t="s">
        <v>9284</v>
      </c>
      <c r="E372" s="105">
        <v>0.91339999999999999</v>
      </c>
      <c r="F372" s="105">
        <v>0.91339999999999999</v>
      </c>
      <c r="G372" s="2042">
        <v>1.0517000000000001</v>
      </c>
      <c r="H372" s="105">
        <f t="shared" si="10"/>
        <v>0.13830000000000009</v>
      </c>
    </row>
    <row r="373" spans="1:8" ht="14.5">
      <c r="A373" s="41">
        <v>93901</v>
      </c>
      <c r="B373" s="380" t="str">
        <f t="shared" si="11"/>
        <v>093-901</v>
      </c>
      <c r="C373" s="2042" t="s">
        <v>986</v>
      </c>
      <c r="D373" s="2042" t="s">
        <v>9284</v>
      </c>
      <c r="E373" s="105">
        <v>0.82750000000000001</v>
      </c>
      <c r="F373" s="105">
        <v>0.82750000000000001</v>
      </c>
      <c r="G373" s="2042">
        <v>0.87750000000000006</v>
      </c>
      <c r="H373" s="105">
        <f t="shared" si="10"/>
        <v>5.0000000000000044E-2</v>
      </c>
    </row>
    <row r="374" spans="1:8" ht="14.5">
      <c r="A374" s="41">
        <v>93903</v>
      </c>
      <c r="B374" s="380" t="str">
        <f t="shared" si="11"/>
        <v>093-903</v>
      </c>
      <c r="C374" s="2042" t="s">
        <v>215</v>
      </c>
      <c r="D374" s="2042" t="s">
        <v>9284</v>
      </c>
      <c r="E374" s="105">
        <v>0.82200000000000006</v>
      </c>
      <c r="F374" s="105">
        <v>0.82200000000000006</v>
      </c>
      <c r="G374" s="2042">
        <v>0.872</v>
      </c>
      <c r="H374" s="105">
        <f t="shared" si="10"/>
        <v>4.9999999999999933E-2</v>
      </c>
    </row>
    <row r="375" spans="1:8" ht="14.5">
      <c r="A375" s="41">
        <v>93904</v>
      </c>
      <c r="B375" s="380" t="str">
        <f t="shared" si="11"/>
        <v>093-904</v>
      </c>
      <c r="C375" s="2042" t="s">
        <v>216</v>
      </c>
      <c r="D375" s="2042" t="s">
        <v>9284</v>
      </c>
      <c r="E375" s="105">
        <v>0.87350000000000005</v>
      </c>
      <c r="F375" s="105">
        <v>0.87350000000000005</v>
      </c>
      <c r="G375" s="2042">
        <v>0.9235000000000001</v>
      </c>
      <c r="H375" s="105">
        <f t="shared" si="10"/>
        <v>5.0000000000000044E-2</v>
      </c>
    </row>
    <row r="376" spans="1:8" ht="14.5">
      <c r="A376" s="41">
        <v>93905</v>
      </c>
      <c r="B376" s="380" t="str">
        <f t="shared" si="11"/>
        <v>093-905</v>
      </c>
      <c r="C376" s="2042" t="s">
        <v>217</v>
      </c>
      <c r="D376" s="2042" t="s">
        <v>9284</v>
      </c>
      <c r="E376" s="105">
        <v>0.82200000000000006</v>
      </c>
      <c r="F376" s="105">
        <v>0.82200000000000006</v>
      </c>
      <c r="G376" s="2042">
        <v>0.88200000000000001</v>
      </c>
      <c r="H376" s="105">
        <f t="shared" si="10"/>
        <v>5.9999999999999942E-2</v>
      </c>
    </row>
    <row r="377" spans="1:8" ht="14.5">
      <c r="A377" s="41">
        <v>94901</v>
      </c>
      <c r="B377" s="380" t="str">
        <f t="shared" si="11"/>
        <v>094-901</v>
      </c>
      <c r="C377" s="2042" t="s">
        <v>1175</v>
      </c>
      <c r="D377" s="2042" t="s">
        <v>9284</v>
      </c>
      <c r="E377" s="105">
        <v>0.83960000000000001</v>
      </c>
      <c r="F377" s="105">
        <v>0.83960000000000001</v>
      </c>
      <c r="G377" s="2042">
        <v>0.89960000000000007</v>
      </c>
      <c r="H377" s="105">
        <f t="shared" si="10"/>
        <v>6.0000000000000053E-2</v>
      </c>
    </row>
    <row r="378" spans="1:8" ht="14.5">
      <c r="A378" s="41">
        <v>94902</v>
      </c>
      <c r="B378" s="380" t="str">
        <f t="shared" si="11"/>
        <v>094-902</v>
      </c>
      <c r="C378" s="2042" t="s">
        <v>1173</v>
      </c>
      <c r="D378" s="2042" t="s">
        <v>9284</v>
      </c>
      <c r="E378" s="105">
        <v>0.84950000000000003</v>
      </c>
      <c r="F378" s="105">
        <v>0.84950000000000003</v>
      </c>
      <c r="G378" s="2042">
        <v>0.89950000000000008</v>
      </c>
      <c r="H378" s="105">
        <f t="shared" si="10"/>
        <v>5.0000000000000044E-2</v>
      </c>
    </row>
    <row r="379" spans="1:8" ht="14.5">
      <c r="A379" s="41">
        <v>94903</v>
      </c>
      <c r="B379" s="380" t="str">
        <f t="shared" si="11"/>
        <v>094-903</v>
      </c>
      <c r="C379" s="2042" t="s">
        <v>218</v>
      </c>
      <c r="D379" s="2042" t="s">
        <v>9284</v>
      </c>
      <c r="E379" s="105">
        <v>0.83930000000000005</v>
      </c>
      <c r="F379" s="105">
        <v>0.83930000000000005</v>
      </c>
      <c r="G379" s="2042">
        <v>0.94520000000000004</v>
      </c>
      <c r="H379" s="105">
        <f t="shared" si="10"/>
        <v>0.10589999999999999</v>
      </c>
    </row>
    <row r="380" spans="1:8" ht="14.5">
      <c r="A380" s="41">
        <v>94904</v>
      </c>
      <c r="B380" s="380" t="str">
        <f t="shared" si="11"/>
        <v>094-904</v>
      </c>
      <c r="C380" s="2042" t="s">
        <v>278</v>
      </c>
      <c r="D380" s="2042" t="s">
        <v>9284</v>
      </c>
      <c r="E380" s="105">
        <v>0.82200000000000006</v>
      </c>
      <c r="F380" s="105">
        <v>0.82200000000000006</v>
      </c>
      <c r="G380" s="2042">
        <v>0.96030000000000004</v>
      </c>
      <c r="H380" s="105">
        <f t="shared" si="10"/>
        <v>0.13829999999999998</v>
      </c>
    </row>
    <row r="381" spans="1:8" ht="14.5">
      <c r="A381" s="41">
        <v>95901</v>
      </c>
      <c r="B381" s="380" t="str">
        <f t="shared" si="11"/>
        <v>095-901</v>
      </c>
      <c r="C381" s="2042" t="s">
        <v>219</v>
      </c>
      <c r="D381" s="2042" t="s">
        <v>9284</v>
      </c>
      <c r="E381" s="105">
        <v>0.91339999999999999</v>
      </c>
      <c r="F381" s="105">
        <v>0.91339999999999999</v>
      </c>
      <c r="G381" s="2042">
        <v>1.0517000000000001</v>
      </c>
      <c r="H381" s="105">
        <f t="shared" si="10"/>
        <v>0.13830000000000009</v>
      </c>
    </row>
    <row r="382" spans="1:8" ht="14.5">
      <c r="A382" s="41">
        <v>95902</v>
      </c>
      <c r="B382" s="380" t="str">
        <f t="shared" si="11"/>
        <v>095-902</v>
      </c>
      <c r="C382" s="2042" t="s">
        <v>220</v>
      </c>
      <c r="D382" s="2042" t="s">
        <v>9284</v>
      </c>
      <c r="E382" s="105">
        <v>0.82200000000000006</v>
      </c>
      <c r="F382" s="105">
        <v>0.82200000000000006</v>
      </c>
      <c r="G382" s="2042">
        <v>0.94940000000000002</v>
      </c>
      <c r="H382" s="105">
        <f t="shared" si="10"/>
        <v>0.12739999999999996</v>
      </c>
    </row>
    <row r="383" spans="1:8" ht="14.5">
      <c r="A383" s="41">
        <v>95903</v>
      </c>
      <c r="B383" s="380" t="str">
        <f t="shared" si="11"/>
        <v>095-903</v>
      </c>
      <c r="C383" s="2042" t="s">
        <v>221</v>
      </c>
      <c r="D383" s="2042" t="s">
        <v>9284</v>
      </c>
      <c r="E383" s="105">
        <v>0.89610000000000001</v>
      </c>
      <c r="F383" s="105">
        <v>0.89610000000000001</v>
      </c>
      <c r="G383" s="2042">
        <v>1.0344</v>
      </c>
      <c r="H383" s="105">
        <f t="shared" si="10"/>
        <v>0.13829999999999998</v>
      </c>
    </row>
    <row r="384" spans="1:8" ht="14.5">
      <c r="A384" s="41">
        <v>95904</v>
      </c>
      <c r="B384" s="380" t="str">
        <f t="shared" si="11"/>
        <v>095-904</v>
      </c>
      <c r="C384" s="2042" t="s">
        <v>222</v>
      </c>
      <c r="D384" s="2042" t="s">
        <v>9284</v>
      </c>
      <c r="E384" s="105">
        <v>0.91339999999999999</v>
      </c>
      <c r="F384" s="105">
        <v>0.91339999999999999</v>
      </c>
      <c r="G384" s="2042">
        <v>1.0517000000000001</v>
      </c>
      <c r="H384" s="105">
        <f t="shared" si="10"/>
        <v>0.13830000000000009</v>
      </c>
    </row>
    <row r="385" spans="1:8" ht="14.5">
      <c r="A385" s="41">
        <v>95905</v>
      </c>
      <c r="B385" s="380" t="str">
        <f t="shared" si="11"/>
        <v>095-905</v>
      </c>
      <c r="C385" s="2042" t="s">
        <v>223</v>
      </c>
      <c r="D385" s="2042" t="s">
        <v>9284</v>
      </c>
      <c r="E385" s="105">
        <v>0.91339999999999999</v>
      </c>
      <c r="F385" s="105">
        <v>0.91339999999999999</v>
      </c>
      <c r="G385" s="2042">
        <v>1.0517000000000001</v>
      </c>
      <c r="H385" s="105">
        <f t="shared" si="10"/>
        <v>0.13830000000000009</v>
      </c>
    </row>
    <row r="386" spans="1:8" ht="14.5">
      <c r="A386" s="41">
        <v>96904</v>
      </c>
      <c r="B386" s="380" t="str">
        <f t="shared" si="11"/>
        <v>096-904</v>
      </c>
      <c r="C386" s="2042" t="s">
        <v>224</v>
      </c>
      <c r="D386" s="2042" t="s">
        <v>9284</v>
      </c>
      <c r="E386" s="105">
        <v>0.82200000000000006</v>
      </c>
      <c r="F386" s="105">
        <v>0.82200000000000006</v>
      </c>
      <c r="G386" s="2042">
        <v>0.96030000000000004</v>
      </c>
      <c r="H386" s="105">
        <f t="shared" si="10"/>
        <v>0.13829999999999998</v>
      </c>
    </row>
    <row r="387" spans="1:8" ht="14.5">
      <c r="A387" s="41">
        <v>96905</v>
      </c>
      <c r="B387" s="380" t="str">
        <f t="shared" si="11"/>
        <v>096-905</v>
      </c>
      <c r="C387" s="2042" t="s">
        <v>225</v>
      </c>
      <c r="D387" s="2042" t="s">
        <v>9284</v>
      </c>
      <c r="E387" s="105">
        <v>0.91060000000000008</v>
      </c>
      <c r="F387" s="105">
        <v>0.91060000000000008</v>
      </c>
      <c r="G387" s="2042">
        <v>0.96060000000000001</v>
      </c>
      <c r="H387" s="105">
        <f t="shared" ref="H387:H450" si="12">G387-F387</f>
        <v>4.9999999999999933E-2</v>
      </c>
    </row>
    <row r="388" spans="1:8" ht="14.5">
      <c r="A388" s="41">
        <v>97902</v>
      </c>
      <c r="B388" s="380" t="str">
        <f t="shared" si="11"/>
        <v>097-902</v>
      </c>
      <c r="C388" s="2042" t="s">
        <v>987</v>
      </c>
      <c r="D388" s="2042" t="s">
        <v>9284</v>
      </c>
      <c r="E388" s="105">
        <v>0.82200000000000006</v>
      </c>
      <c r="F388" s="105">
        <v>0.82200000000000006</v>
      </c>
      <c r="G388" s="2042">
        <v>0.96030000000000004</v>
      </c>
      <c r="H388" s="105">
        <f t="shared" si="12"/>
        <v>0.13829999999999998</v>
      </c>
    </row>
    <row r="389" spans="1:8" ht="14.5">
      <c r="A389" s="41">
        <v>97903</v>
      </c>
      <c r="B389" s="380" t="str">
        <f t="shared" si="11"/>
        <v>097-903</v>
      </c>
      <c r="C389" s="2042" t="s">
        <v>2240</v>
      </c>
      <c r="D389" s="2042" t="s">
        <v>9284</v>
      </c>
      <c r="E389" s="105">
        <v>0.82200000000000006</v>
      </c>
      <c r="F389" s="105">
        <v>0.82200000000000006</v>
      </c>
      <c r="G389" s="2042">
        <v>0.96030000000000004</v>
      </c>
      <c r="H389" s="105">
        <f t="shared" si="12"/>
        <v>0.13829999999999998</v>
      </c>
    </row>
    <row r="390" spans="1:8" ht="14.5">
      <c r="A390" s="41">
        <v>98901</v>
      </c>
      <c r="B390" s="380" t="str">
        <f t="shared" ref="B390:B454" si="13">CONCATENATE(LEFT(RIGHT(CONCATENATE("000",A390),6),3),"-",(RIGHT(RIGHT(CONCATENATE("000",A390),6),3)))</f>
        <v>098-901</v>
      </c>
      <c r="C390" s="2042" t="s">
        <v>227</v>
      </c>
      <c r="D390" s="2042" t="s">
        <v>9284</v>
      </c>
      <c r="E390" s="105">
        <v>0.88120000000000009</v>
      </c>
      <c r="F390" s="105">
        <v>0.88120000000000009</v>
      </c>
      <c r="G390" s="2042">
        <v>0.94120000000000004</v>
      </c>
      <c r="H390" s="105">
        <f t="shared" si="12"/>
        <v>5.9999999999999942E-2</v>
      </c>
    </row>
    <row r="391" spans="1:8" ht="14.5">
      <c r="A391" s="41">
        <v>98903</v>
      </c>
      <c r="B391" s="380" t="str">
        <f t="shared" si="13"/>
        <v>098-903</v>
      </c>
      <c r="C391" s="2042" t="s">
        <v>988</v>
      </c>
      <c r="D391" s="2042" t="s">
        <v>9284</v>
      </c>
      <c r="E391" s="105">
        <v>0.90790000000000004</v>
      </c>
      <c r="F391" s="105">
        <v>0.90790000000000004</v>
      </c>
      <c r="G391" s="2042">
        <v>1.0779000000000001</v>
      </c>
      <c r="H391" s="105">
        <f t="shared" si="12"/>
        <v>0.17000000000000004</v>
      </c>
    </row>
    <row r="392" spans="1:8" ht="14.5">
      <c r="A392" s="41">
        <v>98904</v>
      </c>
      <c r="B392" s="380" t="str">
        <f t="shared" si="13"/>
        <v>098-904</v>
      </c>
      <c r="C392" s="2042" t="s">
        <v>2452</v>
      </c>
      <c r="D392" s="2042" t="s">
        <v>9284</v>
      </c>
      <c r="E392" s="105">
        <v>0.86940000000000006</v>
      </c>
      <c r="F392" s="105">
        <v>0.86940000000000006</v>
      </c>
      <c r="G392" s="2042">
        <v>1.0077</v>
      </c>
      <c r="H392" s="105">
        <f t="shared" si="12"/>
        <v>0.13829999999999998</v>
      </c>
    </row>
    <row r="393" spans="1:8" ht="14.5">
      <c r="A393" s="41">
        <v>99902</v>
      </c>
      <c r="B393" s="380" t="str">
        <f t="shared" si="13"/>
        <v>099-902</v>
      </c>
      <c r="C393" s="2042" t="s">
        <v>448</v>
      </c>
      <c r="D393" s="2042" t="s">
        <v>9284</v>
      </c>
      <c r="E393" s="105">
        <v>0.85420000000000007</v>
      </c>
      <c r="F393" s="105">
        <v>0.85420000000000007</v>
      </c>
      <c r="G393" s="2042">
        <v>0.9042</v>
      </c>
      <c r="H393" s="105">
        <f t="shared" si="12"/>
        <v>4.9999999999999933E-2</v>
      </c>
    </row>
    <row r="394" spans="1:8" ht="14.5">
      <c r="A394" s="41">
        <v>99903</v>
      </c>
      <c r="B394" s="380" t="str">
        <f t="shared" si="13"/>
        <v>099-903</v>
      </c>
      <c r="C394" s="2042" t="s">
        <v>449</v>
      </c>
      <c r="D394" s="2042" t="s">
        <v>9284</v>
      </c>
      <c r="E394" s="105">
        <v>0.84290000000000009</v>
      </c>
      <c r="F394" s="105">
        <v>0.84290000000000009</v>
      </c>
      <c r="G394" s="2042">
        <v>0.89290000000000003</v>
      </c>
      <c r="H394" s="105">
        <f t="shared" si="12"/>
        <v>4.9999999999999933E-2</v>
      </c>
    </row>
    <row r="395" spans="1:8" ht="14.5">
      <c r="A395" s="41">
        <v>100903</v>
      </c>
      <c r="B395" s="380" t="str">
        <f t="shared" si="13"/>
        <v>100-903</v>
      </c>
      <c r="C395" s="2042" t="s">
        <v>450</v>
      </c>
      <c r="D395" s="2042" t="s">
        <v>9284</v>
      </c>
      <c r="E395" s="105">
        <v>0.85460000000000003</v>
      </c>
      <c r="F395" s="105">
        <v>0.85460000000000003</v>
      </c>
      <c r="G395" s="2042">
        <v>0.98460000000000003</v>
      </c>
      <c r="H395" s="105">
        <f t="shared" si="12"/>
        <v>0.13</v>
      </c>
    </row>
    <row r="396" spans="1:8" ht="14.5">
      <c r="A396" s="41">
        <v>100904</v>
      </c>
      <c r="B396" s="380" t="str">
        <f t="shared" si="13"/>
        <v>100-904</v>
      </c>
      <c r="C396" s="2042" t="s">
        <v>1406</v>
      </c>
      <c r="D396" s="2042" t="s">
        <v>9284</v>
      </c>
      <c r="E396" s="105">
        <v>0.8498</v>
      </c>
      <c r="F396" s="105">
        <v>0.8498</v>
      </c>
      <c r="G396" s="2042">
        <v>0.98810000000000009</v>
      </c>
      <c r="H396" s="105">
        <f t="shared" si="12"/>
        <v>0.13830000000000009</v>
      </c>
    </row>
    <row r="397" spans="1:8" ht="14.5">
      <c r="A397" s="41">
        <v>100905</v>
      </c>
      <c r="B397" s="380" t="str">
        <f t="shared" si="13"/>
        <v>100-905</v>
      </c>
      <c r="C397" s="2042" t="s">
        <v>451</v>
      </c>
      <c r="D397" s="2042" t="s">
        <v>9284</v>
      </c>
      <c r="E397" s="105">
        <v>0.83160000000000001</v>
      </c>
      <c r="F397" s="105">
        <v>0.83160000000000001</v>
      </c>
      <c r="G397" s="2042">
        <v>0.88160000000000005</v>
      </c>
      <c r="H397" s="105">
        <f t="shared" si="12"/>
        <v>5.0000000000000044E-2</v>
      </c>
    </row>
    <row r="398" spans="1:8" ht="14.5">
      <c r="A398" s="41">
        <v>100907</v>
      </c>
      <c r="B398" s="380" t="str">
        <f t="shared" si="13"/>
        <v>100-907</v>
      </c>
      <c r="C398" s="2042" t="s">
        <v>793</v>
      </c>
      <c r="D398" s="2042" t="s">
        <v>9284</v>
      </c>
      <c r="E398" s="105">
        <v>0.82200000000000006</v>
      </c>
      <c r="F398" s="105">
        <v>0.82200000000000006</v>
      </c>
      <c r="G398" s="2042">
        <v>0.872</v>
      </c>
      <c r="H398" s="105">
        <f t="shared" si="12"/>
        <v>4.9999999999999933E-2</v>
      </c>
    </row>
    <row r="399" spans="1:8">
      <c r="B399" s="2042" t="s">
        <v>1108</v>
      </c>
      <c r="C399" s="2042" t="s">
        <v>6391</v>
      </c>
      <c r="E399" s="105">
        <v>0.91339999999999999</v>
      </c>
      <c r="F399" s="105">
        <v>0.91339999999999999</v>
      </c>
      <c r="G399" s="2042">
        <v>1.0517000000000001</v>
      </c>
      <c r="H399" s="105">
        <f t="shared" si="12"/>
        <v>0.13830000000000009</v>
      </c>
    </row>
    <row r="400" spans="1:8" ht="14.5">
      <c r="A400" s="41">
        <v>101902</v>
      </c>
      <c r="B400" s="380" t="str">
        <f t="shared" si="13"/>
        <v>101-902</v>
      </c>
      <c r="C400" s="2042" t="s">
        <v>658</v>
      </c>
      <c r="D400" s="2042" t="s">
        <v>9284</v>
      </c>
      <c r="E400" s="105">
        <v>0.8498</v>
      </c>
      <c r="F400" s="105">
        <v>0.8498</v>
      </c>
      <c r="G400" s="2042">
        <v>0.96440000000000003</v>
      </c>
      <c r="H400" s="105">
        <f t="shared" si="12"/>
        <v>0.11460000000000004</v>
      </c>
    </row>
    <row r="401" spans="1:8" ht="14.5">
      <c r="A401" s="41">
        <v>101903</v>
      </c>
      <c r="B401" s="380" t="str">
        <f t="shared" si="13"/>
        <v>101-903</v>
      </c>
      <c r="C401" s="2042" t="s">
        <v>1874</v>
      </c>
      <c r="D401" s="2042" t="s">
        <v>9284</v>
      </c>
      <c r="E401" s="105">
        <v>0.89070000000000005</v>
      </c>
      <c r="F401" s="105">
        <v>0.89070000000000005</v>
      </c>
      <c r="G401" s="2042">
        <v>0.99980000000000002</v>
      </c>
      <c r="H401" s="105">
        <f t="shared" si="12"/>
        <v>0.10909999999999997</v>
      </c>
    </row>
    <row r="402" spans="1:8" ht="14.5">
      <c r="A402" s="41">
        <v>101905</v>
      </c>
      <c r="B402" s="380" t="str">
        <f t="shared" si="13"/>
        <v>101-905</v>
      </c>
      <c r="C402" s="2042" t="s">
        <v>452</v>
      </c>
      <c r="D402" s="2042" t="s">
        <v>9284</v>
      </c>
      <c r="E402" s="105">
        <v>0.8952</v>
      </c>
      <c r="F402" s="105">
        <v>0.8952</v>
      </c>
      <c r="G402" s="2042">
        <v>0.94520000000000004</v>
      </c>
      <c r="H402" s="105">
        <f t="shared" si="12"/>
        <v>5.0000000000000044E-2</v>
      </c>
    </row>
    <row r="403" spans="1:8" ht="14.5">
      <c r="A403" s="41">
        <v>101906</v>
      </c>
      <c r="B403" s="380" t="str">
        <f t="shared" si="13"/>
        <v>101-906</v>
      </c>
      <c r="C403" s="2042" t="s">
        <v>396</v>
      </c>
      <c r="D403" s="2042" t="s">
        <v>9284</v>
      </c>
      <c r="E403" s="105">
        <v>0.82200000000000006</v>
      </c>
      <c r="F403" s="105">
        <v>0.82200000000000006</v>
      </c>
      <c r="G403" s="2042">
        <v>0.96030000000000004</v>
      </c>
      <c r="H403" s="105">
        <f t="shared" si="12"/>
        <v>0.13829999999999998</v>
      </c>
    </row>
    <row r="404" spans="1:8" ht="14.5">
      <c r="A404" s="41">
        <v>101907</v>
      </c>
      <c r="B404" s="380" t="str">
        <f t="shared" si="13"/>
        <v>101-907</v>
      </c>
      <c r="C404" s="2042" t="s">
        <v>453</v>
      </c>
      <c r="D404" s="2042" t="s">
        <v>9284</v>
      </c>
      <c r="E404" s="105">
        <v>0.87920000000000009</v>
      </c>
      <c r="F404" s="105">
        <v>0.87920000000000009</v>
      </c>
      <c r="G404" s="2042">
        <v>0.92920000000000003</v>
      </c>
      <c r="H404" s="105">
        <f t="shared" si="12"/>
        <v>4.9999999999999933E-2</v>
      </c>
    </row>
    <row r="405" spans="1:8" ht="14.5">
      <c r="A405" s="41">
        <v>101908</v>
      </c>
      <c r="B405" s="380" t="str">
        <f t="shared" si="13"/>
        <v>101-908</v>
      </c>
      <c r="C405" s="2042" t="s">
        <v>454</v>
      </c>
      <c r="D405" s="2042" t="s">
        <v>9284</v>
      </c>
      <c r="E405" s="105">
        <v>0.87460000000000004</v>
      </c>
      <c r="F405" s="105">
        <v>0.87460000000000004</v>
      </c>
      <c r="G405" s="2042">
        <v>1.0796000000000001</v>
      </c>
      <c r="H405" s="105">
        <f t="shared" si="12"/>
        <v>0.20500000000000007</v>
      </c>
    </row>
    <row r="406" spans="1:8" ht="14.5">
      <c r="A406" s="41">
        <v>101910</v>
      </c>
      <c r="B406" s="380" t="str">
        <f t="shared" si="13"/>
        <v>101-910</v>
      </c>
      <c r="C406" s="2042" t="s">
        <v>1392</v>
      </c>
      <c r="D406" s="2042" t="s">
        <v>9284</v>
      </c>
      <c r="E406" s="105">
        <v>0.91339999999999999</v>
      </c>
      <c r="F406" s="105">
        <v>0.91339999999999999</v>
      </c>
      <c r="G406" s="2042">
        <v>1.1251</v>
      </c>
      <c r="H406" s="105">
        <f t="shared" si="12"/>
        <v>0.2117</v>
      </c>
    </row>
    <row r="407" spans="1:8" ht="14.5">
      <c r="A407" s="41">
        <v>101911</v>
      </c>
      <c r="B407" s="380" t="str">
        <f t="shared" si="13"/>
        <v>101-911</v>
      </c>
      <c r="C407" s="2042" t="s">
        <v>455</v>
      </c>
      <c r="D407" s="2042" t="s">
        <v>9284</v>
      </c>
      <c r="E407" s="105">
        <v>0.90529999999999999</v>
      </c>
      <c r="F407" s="105">
        <v>0.90529999999999999</v>
      </c>
      <c r="G407" s="2042">
        <v>1.0436000000000001</v>
      </c>
      <c r="H407" s="105">
        <f t="shared" si="12"/>
        <v>0.13830000000000009</v>
      </c>
    </row>
    <row r="408" spans="1:8" ht="14.5">
      <c r="A408" s="41">
        <v>101912</v>
      </c>
      <c r="B408" s="380" t="str">
        <f t="shared" si="13"/>
        <v>101-912</v>
      </c>
      <c r="C408" s="2042" t="s">
        <v>456</v>
      </c>
      <c r="D408" s="2042" t="s">
        <v>9284</v>
      </c>
      <c r="E408" s="105">
        <v>0.87770000000000004</v>
      </c>
      <c r="F408" s="105">
        <v>0.87770000000000004</v>
      </c>
      <c r="G408" s="2042">
        <v>0.92770000000000008</v>
      </c>
      <c r="H408" s="105">
        <f t="shared" si="12"/>
        <v>5.0000000000000044E-2</v>
      </c>
    </row>
    <row r="409" spans="1:8" ht="14.5">
      <c r="A409" s="41">
        <v>101913</v>
      </c>
      <c r="B409" s="380" t="str">
        <f t="shared" si="13"/>
        <v>101-913</v>
      </c>
      <c r="C409" s="2042" t="s">
        <v>2252</v>
      </c>
      <c r="D409" s="2042" t="s">
        <v>9284</v>
      </c>
      <c r="E409" s="105">
        <v>0.85060000000000002</v>
      </c>
      <c r="F409" s="105">
        <v>0.85060000000000002</v>
      </c>
      <c r="G409" s="2042">
        <v>0.9889</v>
      </c>
      <c r="H409" s="105">
        <f t="shared" si="12"/>
        <v>0.13829999999999998</v>
      </c>
    </row>
    <row r="410" spans="1:8" ht="14.5">
      <c r="A410" s="41">
        <v>101914</v>
      </c>
      <c r="B410" s="380" t="str">
        <f t="shared" si="13"/>
        <v>101-914</v>
      </c>
      <c r="C410" s="2042" t="s">
        <v>388</v>
      </c>
      <c r="D410" s="2042" t="s">
        <v>9284</v>
      </c>
      <c r="E410" s="105">
        <v>0.85150000000000003</v>
      </c>
      <c r="F410" s="105">
        <v>0.85150000000000003</v>
      </c>
      <c r="G410" s="2042">
        <v>0.9617</v>
      </c>
      <c r="H410" s="105">
        <f t="shared" si="12"/>
        <v>0.11019999999999996</v>
      </c>
    </row>
    <row r="411" spans="1:8" ht="14.5">
      <c r="A411" s="41">
        <v>101915</v>
      </c>
      <c r="B411" s="380" t="str">
        <f t="shared" si="13"/>
        <v>101-915</v>
      </c>
      <c r="C411" s="2042" t="s">
        <v>2442</v>
      </c>
      <c r="D411" s="2042" t="s">
        <v>9284</v>
      </c>
      <c r="E411" s="105">
        <v>0.8701000000000001</v>
      </c>
      <c r="F411" s="105">
        <v>0.8701000000000001</v>
      </c>
      <c r="G411" s="2042">
        <v>0.92010000000000003</v>
      </c>
      <c r="H411" s="105">
        <f t="shared" si="12"/>
        <v>4.9999999999999933E-2</v>
      </c>
    </row>
    <row r="412" spans="1:8" ht="14.5">
      <c r="A412" s="41">
        <v>101916</v>
      </c>
      <c r="B412" s="380" t="str">
        <f t="shared" si="13"/>
        <v>101-916</v>
      </c>
      <c r="C412" s="2042" t="s">
        <v>457</v>
      </c>
      <c r="D412" s="2042" t="s">
        <v>9284</v>
      </c>
      <c r="E412" s="105">
        <v>0.84650000000000003</v>
      </c>
      <c r="F412" s="105">
        <v>0.84650000000000003</v>
      </c>
      <c r="G412" s="2042">
        <v>1.0165</v>
      </c>
      <c r="H412" s="105">
        <f t="shared" si="12"/>
        <v>0.16999999999999993</v>
      </c>
    </row>
    <row r="413" spans="1:8" ht="14.5">
      <c r="A413" s="41">
        <v>101917</v>
      </c>
      <c r="B413" s="380" t="str">
        <f t="shared" si="13"/>
        <v>101-917</v>
      </c>
      <c r="C413" s="2042" t="s">
        <v>258</v>
      </c>
      <c r="D413" s="2042" t="s">
        <v>9284</v>
      </c>
      <c r="E413" s="105">
        <v>0.91339999999999999</v>
      </c>
      <c r="F413" s="105">
        <v>0.91339999999999999</v>
      </c>
      <c r="G413" s="2042">
        <v>1.0712000000000002</v>
      </c>
      <c r="H413" s="105">
        <f t="shared" si="12"/>
        <v>0.15780000000000016</v>
      </c>
    </row>
    <row r="414" spans="1:8" ht="14.5">
      <c r="A414" s="41">
        <v>101919</v>
      </c>
      <c r="B414" s="380" t="str">
        <f t="shared" si="13"/>
        <v>101-919</v>
      </c>
      <c r="C414" s="2042" t="s">
        <v>458</v>
      </c>
      <c r="D414" s="2042" t="s">
        <v>9284</v>
      </c>
      <c r="E414" s="105">
        <v>0.8528</v>
      </c>
      <c r="F414" s="105">
        <v>0.8528</v>
      </c>
      <c r="G414" s="2042">
        <v>0.90280000000000005</v>
      </c>
      <c r="H414" s="105">
        <f t="shared" si="12"/>
        <v>5.0000000000000044E-2</v>
      </c>
    </row>
    <row r="415" spans="1:8" ht="14.5">
      <c r="A415" s="41">
        <v>101920</v>
      </c>
      <c r="B415" s="380" t="str">
        <f t="shared" si="13"/>
        <v>101-920</v>
      </c>
      <c r="C415" s="2042" t="s">
        <v>2067</v>
      </c>
      <c r="D415" s="2042" t="s">
        <v>9284</v>
      </c>
      <c r="E415" s="105">
        <v>0.91339999999999999</v>
      </c>
      <c r="F415" s="105">
        <v>0.91339999999999999</v>
      </c>
      <c r="G415" s="2042">
        <v>0.99980000000000002</v>
      </c>
      <c r="H415" s="105">
        <f t="shared" si="12"/>
        <v>8.6400000000000032E-2</v>
      </c>
    </row>
    <row r="416" spans="1:8" ht="14.5">
      <c r="A416" s="41">
        <v>101921</v>
      </c>
      <c r="B416" s="380" t="str">
        <f t="shared" si="13"/>
        <v>101-921</v>
      </c>
      <c r="C416" s="2042" t="s">
        <v>2068</v>
      </c>
      <c r="D416" s="2042" t="s">
        <v>9284</v>
      </c>
      <c r="E416" s="105">
        <v>0.84640000000000004</v>
      </c>
      <c r="F416" s="105">
        <v>0.84640000000000004</v>
      </c>
      <c r="G416" s="2042">
        <v>0.89500000000000002</v>
      </c>
      <c r="H416" s="105">
        <f t="shared" si="12"/>
        <v>4.8599999999999977E-2</v>
      </c>
    </row>
    <row r="417" spans="1:8" ht="14.5">
      <c r="A417" s="41">
        <v>101924</v>
      </c>
      <c r="B417" s="380" t="str">
        <f t="shared" si="13"/>
        <v>101-924</v>
      </c>
      <c r="C417" s="2042" t="s">
        <v>2069</v>
      </c>
      <c r="D417" s="2042" t="s">
        <v>9284</v>
      </c>
      <c r="E417" s="105">
        <v>0.85670000000000002</v>
      </c>
      <c r="F417" s="105">
        <v>0.85670000000000002</v>
      </c>
      <c r="G417" s="2042">
        <v>0.995</v>
      </c>
      <c r="H417" s="105">
        <f t="shared" si="12"/>
        <v>0.13829999999999998</v>
      </c>
    </row>
    <row r="418" spans="1:8" ht="14.5">
      <c r="A418" s="41">
        <v>101925</v>
      </c>
      <c r="B418" s="380" t="str">
        <f t="shared" si="13"/>
        <v>101-925</v>
      </c>
      <c r="C418" s="2042" t="s">
        <v>2250</v>
      </c>
      <c r="D418" s="2042" t="s">
        <v>9284</v>
      </c>
      <c r="E418" s="105">
        <v>0.82200000000000006</v>
      </c>
      <c r="F418" s="105">
        <v>0.82200000000000006</v>
      </c>
      <c r="G418" s="2042">
        <v>0.99199999999999999</v>
      </c>
      <c r="H418" s="105">
        <f t="shared" si="12"/>
        <v>0.16999999999999993</v>
      </c>
    </row>
    <row r="419" spans="1:8" ht="14.5">
      <c r="A419" s="41">
        <v>102901</v>
      </c>
      <c r="B419" s="380" t="str">
        <f t="shared" si="13"/>
        <v>102-901</v>
      </c>
      <c r="C419" s="2042" t="s">
        <v>2070</v>
      </c>
      <c r="D419" s="2042" t="s">
        <v>9284</v>
      </c>
      <c r="E419" s="105">
        <v>0.90710000000000002</v>
      </c>
      <c r="F419" s="105">
        <v>0.90710000000000002</v>
      </c>
      <c r="G419" s="2042">
        <v>0.95710000000000006</v>
      </c>
      <c r="H419" s="105">
        <f t="shared" si="12"/>
        <v>5.0000000000000044E-2</v>
      </c>
    </row>
    <row r="420" spans="1:8" ht="14.5">
      <c r="A420" s="41">
        <v>102902</v>
      </c>
      <c r="B420" s="380" t="str">
        <f t="shared" si="13"/>
        <v>102-902</v>
      </c>
      <c r="C420" s="2042" t="s">
        <v>2071</v>
      </c>
      <c r="D420" s="2042" t="s">
        <v>9284</v>
      </c>
      <c r="E420" s="105">
        <v>0.91339999999999999</v>
      </c>
      <c r="F420" s="105">
        <v>0.91339999999999999</v>
      </c>
      <c r="G420" s="2042">
        <v>0.96340000000000003</v>
      </c>
      <c r="H420" s="105">
        <f t="shared" si="12"/>
        <v>5.0000000000000044E-2</v>
      </c>
    </row>
    <row r="421" spans="1:8" ht="14.5">
      <c r="A421" s="41">
        <v>102903</v>
      </c>
      <c r="B421" s="380" t="str">
        <f t="shared" si="13"/>
        <v>102-903</v>
      </c>
      <c r="C421" s="2042" t="s">
        <v>2072</v>
      </c>
      <c r="D421" s="2042" t="s">
        <v>9284</v>
      </c>
      <c r="E421" s="105">
        <v>0.82200000000000006</v>
      </c>
      <c r="F421" s="105">
        <v>0.82200000000000006</v>
      </c>
      <c r="G421" s="2042">
        <v>0.872</v>
      </c>
      <c r="H421" s="105">
        <f t="shared" si="12"/>
        <v>4.9999999999999933E-2</v>
      </c>
    </row>
    <row r="422" spans="1:8" ht="14.5">
      <c r="A422" s="41">
        <v>102904</v>
      </c>
      <c r="B422" s="380" t="str">
        <f t="shared" si="13"/>
        <v>102-904</v>
      </c>
      <c r="C422" s="2042" t="s">
        <v>1961</v>
      </c>
      <c r="D422" s="2042" t="s">
        <v>9284</v>
      </c>
      <c r="E422" s="105">
        <v>0.91100000000000003</v>
      </c>
      <c r="F422" s="105">
        <v>0.91100000000000003</v>
      </c>
      <c r="G422" s="2042">
        <v>0.96100000000000008</v>
      </c>
      <c r="H422" s="105">
        <f t="shared" si="12"/>
        <v>5.0000000000000044E-2</v>
      </c>
    </row>
    <row r="423" spans="1:8" ht="14.5">
      <c r="A423" s="41">
        <v>102905</v>
      </c>
      <c r="B423" s="380" t="str">
        <f t="shared" si="13"/>
        <v>102-905</v>
      </c>
      <c r="C423" s="2042" t="s">
        <v>1962</v>
      </c>
      <c r="D423" s="2042" t="s">
        <v>9284</v>
      </c>
      <c r="E423" s="105">
        <v>0.86380000000000001</v>
      </c>
      <c r="F423" s="105">
        <v>0.86380000000000001</v>
      </c>
      <c r="G423" s="2042">
        <v>1.0021</v>
      </c>
      <c r="H423" s="105">
        <f t="shared" si="12"/>
        <v>0.13829999999999998</v>
      </c>
    </row>
    <row r="424" spans="1:8" ht="14.5">
      <c r="A424" s="41">
        <v>102906</v>
      </c>
      <c r="B424" s="380" t="str">
        <f t="shared" si="13"/>
        <v>102-906</v>
      </c>
      <c r="C424" s="2042" t="s">
        <v>147</v>
      </c>
      <c r="D424" s="2042" t="s">
        <v>9284</v>
      </c>
      <c r="E424" s="105">
        <v>0.82200000000000006</v>
      </c>
      <c r="F424" s="105">
        <v>0.82200000000000006</v>
      </c>
      <c r="G424" s="2042">
        <v>0.872</v>
      </c>
      <c r="H424" s="105">
        <f t="shared" si="12"/>
        <v>4.9999999999999933E-2</v>
      </c>
    </row>
    <row r="425" spans="1:8" ht="14.5">
      <c r="A425" s="41">
        <v>103901</v>
      </c>
      <c r="B425" s="380" t="str">
        <f t="shared" si="13"/>
        <v>103-901</v>
      </c>
      <c r="C425" s="2042" t="s">
        <v>148</v>
      </c>
      <c r="D425" s="2042" t="s">
        <v>9284</v>
      </c>
      <c r="E425" s="105">
        <v>0.86230000000000007</v>
      </c>
      <c r="F425" s="105">
        <v>0.86230000000000007</v>
      </c>
      <c r="G425" s="2042">
        <v>0.9123</v>
      </c>
      <c r="H425" s="105">
        <f t="shared" si="12"/>
        <v>4.9999999999999933E-2</v>
      </c>
    </row>
    <row r="426" spans="1:8" ht="14.5">
      <c r="A426" s="41">
        <v>103902</v>
      </c>
      <c r="B426" s="380" t="str">
        <f t="shared" si="13"/>
        <v>103-902</v>
      </c>
      <c r="C426" s="2042" t="s">
        <v>149</v>
      </c>
      <c r="D426" s="2042" t="s">
        <v>9284</v>
      </c>
      <c r="E426" s="105">
        <v>0.82200000000000006</v>
      </c>
      <c r="F426" s="105">
        <v>0.82200000000000006</v>
      </c>
      <c r="G426" s="2042">
        <v>0.872</v>
      </c>
      <c r="H426" s="105">
        <f t="shared" si="12"/>
        <v>4.9999999999999933E-2</v>
      </c>
    </row>
    <row r="427" spans="1:8" ht="14.5">
      <c r="A427" s="41">
        <v>104901</v>
      </c>
      <c r="B427" s="380" t="str">
        <f t="shared" si="13"/>
        <v>104-901</v>
      </c>
      <c r="C427" s="2042" t="s">
        <v>782</v>
      </c>
      <c r="D427" s="2042" t="s">
        <v>9284</v>
      </c>
      <c r="E427" s="105">
        <v>0.91339999999999999</v>
      </c>
      <c r="F427" s="105">
        <v>0.91339999999999999</v>
      </c>
      <c r="G427" s="2042">
        <v>0.96340000000000003</v>
      </c>
      <c r="H427" s="105">
        <f t="shared" si="12"/>
        <v>5.0000000000000044E-2</v>
      </c>
    </row>
    <row r="428" spans="1:8" ht="14.5">
      <c r="A428" s="41">
        <v>104903</v>
      </c>
      <c r="B428" s="380" t="str">
        <f t="shared" si="13"/>
        <v>104-903</v>
      </c>
      <c r="C428" s="2042" t="s">
        <v>150</v>
      </c>
      <c r="D428" s="2042" t="s">
        <v>9284</v>
      </c>
      <c r="E428" s="105">
        <v>0.82469999999999999</v>
      </c>
      <c r="F428" s="105">
        <v>0.82469999999999999</v>
      </c>
      <c r="G428" s="2042">
        <v>0.96300000000000008</v>
      </c>
      <c r="H428" s="105">
        <f t="shared" si="12"/>
        <v>0.13830000000000009</v>
      </c>
    </row>
    <row r="429" spans="1:8" ht="14.5">
      <c r="A429" s="41">
        <v>104907</v>
      </c>
      <c r="B429" s="380" t="str">
        <f t="shared" si="13"/>
        <v>104-907</v>
      </c>
      <c r="C429" s="2042" t="s">
        <v>151</v>
      </c>
      <c r="D429" s="2042" t="s">
        <v>9284</v>
      </c>
      <c r="E429" s="105">
        <v>0.82200000000000006</v>
      </c>
      <c r="F429" s="105">
        <v>0.82200000000000006</v>
      </c>
      <c r="G429" s="2042">
        <v>0.872</v>
      </c>
      <c r="H429" s="105">
        <f t="shared" si="12"/>
        <v>4.9999999999999933E-2</v>
      </c>
    </row>
    <row r="430" spans="1:8" ht="14.5">
      <c r="A430" s="41">
        <v>105902</v>
      </c>
      <c r="B430" s="380" t="str">
        <f t="shared" si="13"/>
        <v>105-902</v>
      </c>
      <c r="C430" s="2042" t="s">
        <v>989</v>
      </c>
      <c r="D430" s="2042" t="s">
        <v>9284</v>
      </c>
      <c r="E430" s="105">
        <v>0.84160000000000001</v>
      </c>
      <c r="F430" s="105">
        <v>0.84160000000000001</v>
      </c>
      <c r="G430" s="2042">
        <v>0.90160000000000007</v>
      </c>
      <c r="H430" s="105">
        <f t="shared" si="12"/>
        <v>6.0000000000000053E-2</v>
      </c>
    </row>
    <row r="431" spans="1:8" ht="14.5">
      <c r="A431" s="41">
        <v>105904</v>
      </c>
      <c r="B431" s="380" t="str">
        <f t="shared" si="13"/>
        <v>105-904</v>
      </c>
      <c r="C431" s="2042" t="s">
        <v>1005</v>
      </c>
      <c r="D431" s="2042" t="s">
        <v>9284</v>
      </c>
      <c r="E431" s="105">
        <v>0.82200000000000006</v>
      </c>
      <c r="F431" s="105">
        <v>0.82200000000000006</v>
      </c>
      <c r="G431" s="2042">
        <v>0.96030000000000004</v>
      </c>
      <c r="H431" s="105">
        <f t="shared" si="12"/>
        <v>0.13829999999999998</v>
      </c>
    </row>
    <row r="432" spans="1:8" ht="14.5">
      <c r="A432" s="41">
        <v>105905</v>
      </c>
      <c r="B432" s="380" t="str">
        <f t="shared" si="13"/>
        <v>105-905</v>
      </c>
      <c r="C432" s="2042" t="s">
        <v>153</v>
      </c>
      <c r="D432" s="2042" t="s">
        <v>9284</v>
      </c>
      <c r="E432" s="105">
        <v>0.82200000000000006</v>
      </c>
      <c r="F432" s="105">
        <v>0.82200000000000006</v>
      </c>
      <c r="G432" s="2042">
        <v>0.90850000000000009</v>
      </c>
      <c r="H432" s="105">
        <f t="shared" si="12"/>
        <v>8.6500000000000021E-2</v>
      </c>
    </row>
    <row r="433" spans="1:8" ht="14.5">
      <c r="A433" s="41">
        <v>105906</v>
      </c>
      <c r="B433" s="380" t="str">
        <f t="shared" si="13"/>
        <v>105-906</v>
      </c>
      <c r="C433" s="2042" t="s">
        <v>33</v>
      </c>
      <c r="D433" s="2042" t="s">
        <v>9284</v>
      </c>
      <c r="E433" s="105">
        <v>0.82200000000000006</v>
      </c>
      <c r="F433" s="105">
        <v>0.82200000000000006</v>
      </c>
      <c r="G433" s="2042">
        <v>0.872</v>
      </c>
      <c r="H433" s="105">
        <f t="shared" si="12"/>
        <v>4.9999999999999933E-2</v>
      </c>
    </row>
    <row r="434" spans="1:8" ht="14.5">
      <c r="A434" s="41">
        <v>106901</v>
      </c>
      <c r="B434" s="380" t="str">
        <f t="shared" si="13"/>
        <v>106-901</v>
      </c>
      <c r="C434" s="2042" t="s">
        <v>154</v>
      </c>
      <c r="D434" s="2042" t="s">
        <v>9284</v>
      </c>
      <c r="E434" s="105">
        <v>0.91339999999999999</v>
      </c>
      <c r="F434" s="105">
        <v>0.91339999999999999</v>
      </c>
      <c r="G434" s="2042">
        <v>0.96340000000000003</v>
      </c>
      <c r="H434" s="105">
        <f t="shared" si="12"/>
        <v>5.0000000000000044E-2</v>
      </c>
    </row>
    <row r="435" spans="1:8" ht="14.5">
      <c r="A435" s="41">
        <v>107901</v>
      </c>
      <c r="B435" s="380" t="str">
        <f t="shared" si="13"/>
        <v>107-901</v>
      </c>
      <c r="C435" s="2042" t="s">
        <v>1273</v>
      </c>
      <c r="D435" s="2042" t="s">
        <v>9284</v>
      </c>
      <c r="E435" s="105">
        <v>0.82200000000000006</v>
      </c>
      <c r="F435" s="105">
        <v>0.82200000000000006</v>
      </c>
      <c r="G435" s="2042">
        <v>0.872</v>
      </c>
      <c r="H435" s="105">
        <f t="shared" si="12"/>
        <v>4.9999999999999933E-2</v>
      </c>
    </row>
    <row r="436" spans="1:8" ht="14.5">
      <c r="A436" s="41">
        <v>107902</v>
      </c>
      <c r="B436" s="380" t="str">
        <f t="shared" si="13"/>
        <v>107-902</v>
      </c>
      <c r="C436" s="2042" t="s">
        <v>1274</v>
      </c>
      <c r="D436" s="2042" t="s">
        <v>9284</v>
      </c>
      <c r="E436" s="105">
        <v>0.82200000000000006</v>
      </c>
      <c r="F436" s="105">
        <v>0.82200000000000006</v>
      </c>
      <c r="G436" s="2042">
        <v>0.96030000000000004</v>
      </c>
      <c r="H436" s="105">
        <f t="shared" si="12"/>
        <v>0.13829999999999998</v>
      </c>
    </row>
    <row r="437" spans="1:8" ht="14.5">
      <c r="A437" s="727">
        <v>107904</v>
      </c>
      <c r="B437" s="1683" t="str">
        <f t="shared" si="13"/>
        <v>107-904</v>
      </c>
      <c r="C437" s="629" t="s">
        <v>1275</v>
      </c>
      <c r="D437" s="629" t="s">
        <v>9284</v>
      </c>
      <c r="E437" s="105">
        <v>0.91339999999999999</v>
      </c>
      <c r="F437" s="105">
        <v>0.91639999999999999</v>
      </c>
      <c r="G437" s="2042">
        <v>1.0547</v>
      </c>
      <c r="H437" s="105">
        <f t="shared" si="12"/>
        <v>0.13829999999999998</v>
      </c>
    </row>
    <row r="438" spans="1:8" ht="14.5">
      <c r="A438" s="41">
        <v>107905</v>
      </c>
      <c r="B438" s="380" t="str">
        <f t="shared" si="13"/>
        <v>107-905</v>
      </c>
      <c r="C438" s="2042" t="s">
        <v>1276</v>
      </c>
      <c r="D438" s="2042" t="s">
        <v>9284</v>
      </c>
      <c r="E438" s="105">
        <v>0.82200000000000006</v>
      </c>
      <c r="F438" s="105">
        <v>0.82200000000000006</v>
      </c>
      <c r="G438" s="2042">
        <v>0.872</v>
      </c>
      <c r="H438" s="105">
        <f t="shared" si="12"/>
        <v>4.9999999999999933E-2</v>
      </c>
    </row>
    <row r="439" spans="1:8" ht="14.5">
      <c r="A439" s="41">
        <v>107906</v>
      </c>
      <c r="B439" s="380" t="str">
        <f t="shared" si="13"/>
        <v>107-906</v>
      </c>
      <c r="C439" s="2042" t="s">
        <v>2455</v>
      </c>
      <c r="D439" s="2042" t="s">
        <v>9284</v>
      </c>
      <c r="E439" s="105">
        <v>0.82200000000000006</v>
      </c>
      <c r="F439" s="105">
        <v>0.82200000000000006</v>
      </c>
      <c r="G439" s="2042">
        <v>0.872</v>
      </c>
      <c r="H439" s="105">
        <f t="shared" si="12"/>
        <v>4.9999999999999933E-2</v>
      </c>
    </row>
    <row r="440" spans="1:8" ht="14.5">
      <c r="A440" s="41">
        <v>107907</v>
      </c>
      <c r="B440" s="380" t="str">
        <f t="shared" si="13"/>
        <v>107-907</v>
      </c>
      <c r="C440" s="2042" t="s">
        <v>570</v>
      </c>
      <c r="D440" s="2042" t="s">
        <v>9284</v>
      </c>
      <c r="E440" s="105">
        <v>0.82200000000000006</v>
      </c>
      <c r="F440" s="105">
        <v>0.82200000000000006</v>
      </c>
      <c r="G440" s="2042">
        <v>0.96030000000000004</v>
      </c>
      <c r="H440" s="105">
        <f t="shared" si="12"/>
        <v>0.13829999999999998</v>
      </c>
    </row>
    <row r="441" spans="1:8" ht="14.5">
      <c r="A441" s="41">
        <v>107908</v>
      </c>
      <c r="B441" s="380" t="str">
        <f t="shared" si="13"/>
        <v>107-908</v>
      </c>
      <c r="C441" s="2042" t="s">
        <v>1986</v>
      </c>
      <c r="D441" s="2042" t="s">
        <v>9284</v>
      </c>
      <c r="E441" s="105">
        <v>0.82200000000000006</v>
      </c>
      <c r="F441" s="105">
        <v>0.82200000000000006</v>
      </c>
      <c r="G441" s="2042">
        <v>0.872</v>
      </c>
      <c r="H441" s="105">
        <f t="shared" si="12"/>
        <v>4.9999999999999933E-2</v>
      </c>
    </row>
    <row r="442" spans="1:8" ht="14.5">
      <c r="A442" s="41">
        <v>107910</v>
      </c>
      <c r="B442" s="380" t="str">
        <f t="shared" si="13"/>
        <v>107-910</v>
      </c>
      <c r="C442" s="2042" t="s">
        <v>2456</v>
      </c>
      <c r="D442" s="2042" t="s">
        <v>9284</v>
      </c>
      <c r="E442" s="105">
        <v>0.83640000000000003</v>
      </c>
      <c r="F442" s="105">
        <v>0.83640000000000003</v>
      </c>
      <c r="G442" s="2042">
        <v>0.88640000000000008</v>
      </c>
      <c r="H442" s="105">
        <f t="shared" si="12"/>
        <v>5.0000000000000044E-2</v>
      </c>
    </row>
    <row r="443" spans="1:8" ht="14.5">
      <c r="A443" s="41">
        <v>108902</v>
      </c>
      <c r="B443" s="380" t="str">
        <f t="shared" si="13"/>
        <v>108-902</v>
      </c>
      <c r="C443" s="2042" t="s">
        <v>30</v>
      </c>
      <c r="D443" s="2042" t="s">
        <v>9284</v>
      </c>
      <c r="E443" s="105">
        <v>0.82200000000000006</v>
      </c>
      <c r="F443" s="105">
        <v>0.82200000000000006</v>
      </c>
      <c r="G443" s="2042">
        <v>0.99030000000000007</v>
      </c>
      <c r="H443" s="105">
        <f t="shared" si="12"/>
        <v>0.16830000000000001</v>
      </c>
    </row>
    <row r="444" spans="1:8" ht="14.5">
      <c r="A444" s="41">
        <v>108903</v>
      </c>
      <c r="B444" s="380" t="str">
        <f t="shared" si="13"/>
        <v>108-903</v>
      </c>
      <c r="C444" s="2042" t="s">
        <v>1010</v>
      </c>
      <c r="D444" s="2042" t="s">
        <v>9284</v>
      </c>
      <c r="E444" s="105">
        <v>0.82200000000000006</v>
      </c>
      <c r="F444" s="105">
        <v>0.82200000000000006</v>
      </c>
      <c r="G444" s="2042">
        <v>0.99199999999999999</v>
      </c>
      <c r="H444" s="105">
        <f t="shared" si="12"/>
        <v>0.16999999999999993</v>
      </c>
    </row>
    <row r="445" spans="1:8" ht="14.5">
      <c r="A445" s="41">
        <v>108904</v>
      </c>
      <c r="B445" s="380" t="str">
        <f t="shared" si="13"/>
        <v>108-904</v>
      </c>
      <c r="C445" s="2042" t="s">
        <v>31</v>
      </c>
      <c r="D445" s="2042" t="s">
        <v>9284</v>
      </c>
      <c r="E445" s="105">
        <v>0.84989999999999999</v>
      </c>
      <c r="F445" s="105">
        <v>0.84989999999999999</v>
      </c>
      <c r="G445" s="2042">
        <v>1.0199</v>
      </c>
      <c r="H445" s="105">
        <f t="shared" si="12"/>
        <v>0.17000000000000004</v>
      </c>
    </row>
    <row r="446" spans="1:8" ht="14.5">
      <c r="A446" s="41">
        <v>108905</v>
      </c>
      <c r="B446" s="380" t="str">
        <f t="shared" si="13"/>
        <v>108-905</v>
      </c>
      <c r="C446" s="2042" t="s">
        <v>2241</v>
      </c>
      <c r="D446" s="2042" t="s">
        <v>9284</v>
      </c>
      <c r="E446" s="105">
        <v>0.87260000000000004</v>
      </c>
      <c r="F446" s="105">
        <v>0.87260000000000004</v>
      </c>
      <c r="G446" s="2042">
        <v>1.0109000000000001</v>
      </c>
      <c r="H446" s="105">
        <f t="shared" si="12"/>
        <v>0.13830000000000009</v>
      </c>
    </row>
    <row r="447" spans="1:8" ht="14.5">
      <c r="A447" s="41">
        <v>108906</v>
      </c>
      <c r="B447" s="380" t="str">
        <f t="shared" si="13"/>
        <v>108-906</v>
      </c>
      <c r="C447" s="2042" t="s">
        <v>771</v>
      </c>
      <c r="D447" s="2042" t="s">
        <v>9284</v>
      </c>
      <c r="E447" s="105">
        <v>0.8911</v>
      </c>
      <c r="F447" s="105">
        <v>0.8911</v>
      </c>
      <c r="G447" s="2042">
        <v>1.0486</v>
      </c>
      <c r="H447" s="105">
        <f t="shared" si="12"/>
        <v>0.15749999999999997</v>
      </c>
    </row>
    <row r="448" spans="1:8" ht="14.5">
      <c r="A448" s="727">
        <v>108907</v>
      </c>
      <c r="B448" s="1683" t="str">
        <f t="shared" si="13"/>
        <v>108-907</v>
      </c>
      <c r="C448" s="629" t="s">
        <v>2111</v>
      </c>
      <c r="D448" s="629" t="s">
        <v>9284</v>
      </c>
      <c r="E448" s="105">
        <v>0.84200000000000008</v>
      </c>
      <c r="F448" s="105">
        <v>0.84200000000000008</v>
      </c>
      <c r="G448" s="2042">
        <v>1.012</v>
      </c>
      <c r="H448" s="105">
        <f t="shared" si="12"/>
        <v>0.16999999999999993</v>
      </c>
    </row>
    <row r="449" spans="1:8" ht="14.5">
      <c r="A449" s="41">
        <v>108908</v>
      </c>
      <c r="B449" s="380" t="str">
        <f t="shared" si="13"/>
        <v>108-908</v>
      </c>
      <c r="C449" s="2042" t="s">
        <v>36</v>
      </c>
      <c r="D449" s="2042" t="s">
        <v>9284</v>
      </c>
      <c r="E449" s="105">
        <v>0.83360000000000001</v>
      </c>
      <c r="F449" s="105">
        <v>0.83360000000000001</v>
      </c>
      <c r="G449" s="2042">
        <v>0.9719000000000001</v>
      </c>
      <c r="H449" s="105">
        <f t="shared" si="12"/>
        <v>0.13830000000000009</v>
      </c>
    </row>
    <row r="450" spans="1:8" ht="14.5">
      <c r="A450" s="41">
        <v>108909</v>
      </c>
      <c r="B450" s="380" t="str">
        <f t="shared" si="13"/>
        <v>108-909</v>
      </c>
      <c r="C450" s="2042" t="s">
        <v>945</v>
      </c>
      <c r="D450" s="2042" t="s">
        <v>9284</v>
      </c>
      <c r="E450" s="105">
        <v>0.8276</v>
      </c>
      <c r="F450" s="105">
        <v>0.8276</v>
      </c>
      <c r="G450" s="2042">
        <v>0.99760000000000004</v>
      </c>
      <c r="H450" s="105">
        <f t="shared" si="12"/>
        <v>0.17000000000000004</v>
      </c>
    </row>
    <row r="451" spans="1:8" ht="14.5">
      <c r="A451" s="41">
        <v>108910</v>
      </c>
      <c r="B451" s="380" t="str">
        <f t="shared" si="13"/>
        <v>108-910</v>
      </c>
      <c r="C451" s="2042" t="s">
        <v>73</v>
      </c>
      <c r="D451" s="2042" t="s">
        <v>9284</v>
      </c>
      <c r="E451" s="105">
        <v>0.82200000000000006</v>
      </c>
      <c r="F451" s="105">
        <v>0.82200000000000006</v>
      </c>
      <c r="G451" s="2042">
        <v>0.99199999999999999</v>
      </c>
      <c r="H451" s="105">
        <f t="shared" ref="H451:H514" si="14">G451-F451</f>
        <v>0.16999999999999993</v>
      </c>
    </row>
    <row r="452" spans="1:8" ht="14.5">
      <c r="A452" s="41">
        <v>108911</v>
      </c>
      <c r="B452" s="380" t="str">
        <f t="shared" si="13"/>
        <v>108-911</v>
      </c>
      <c r="C452" s="2042" t="s">
        <v>2458</v>
      </c>
      <c r="D452" s="2042" t="s">
        <v>9284</v>
      </c>
      <c r="E452" s="105">
        <v>0.86260000000000003</v>
      </c>
      <c r="F452" s="105">
        <v>0.86260000000000003</v>
      </c>
      <c r="G452" s="2042">
        <v>1.0009000000000001</v>
      </c>
      <c r="H452" s="105">
        <f t="shared" si="14"/>
        <v>0.13830000000000009</v>
      </c>
    </row>
    <row r="453" spans="1:8" ht="14.5">
      <c r="A453" s="41">
        <v>108912</v>
      </c>
      <c r="B453" s="380" t="str">
        <f t="shared" si="13"/>
        <v>108-912</v>
      </c>
      <c r="C453" s="2042" t="s">
        <v>1790</v>
      </c>
      <c r="D453" s="2042" t="s">
        <v>9284</v>
      </c>
      <c r="E453" s="105">
        <v>0.82200000000000006</v>
      </c>
      <c r="F453" s="105">
        <v>0.82200000000000006</v>
      </c>
      <c r="G453" s="2042">
        <v>0.99199999999999999</v>
      </c>
      <c r="H453" s="105">
        <f t="shared" si="14"/>
        <v>0.16999999999999993</v>
      </c>
    </row>
    <row r="454" spans="1:8" ht="14.5">
      <c r="A454" s="41">
        <v>108913</v>
      </c>
      <c r="B454" s="380" t="str">
        <f t="shared" si="13"/>
        <v>108-913</v>
      </c>
      <c r="C454" s="2042" t="s">
        <v>132</v>
      </c>
      <c r="D454" s="2042" t="s">
        <v>9284</v>
      </c>
      <c r="E454" s="105">
        <v>0.82200000000000006</v>
      </c>
      <c r="F454" s="105">
        <v>0.82200000000000006</v>
      </c>
      <c r="G454" s="2042">
        <v>0.94070000000000009</v>
      </c>
      <c r="H454" s="105">
        <f t="shared" si="14"/>
        <v>0.11870000000000003</v>
      </c>
    </row>
    <row r="455" spans="1:8" ht="14.5">
      <c r="A455" s="41">
        <v>108914</v>
      </c>
      <c r="B455" s="380" t="str">
        <f t="shared" ref="B455:B521" si="15">CONCATENATE(LEFT(RIGHT(CONCATENATE("000",A455),6),3),"-",(RIGHT(RIGHT(CONCATENATE("000",A455),6),3)))</f>
        <v>108-914</v>
      </c>
      <c r="C455" s="2042" t="s">
        <v>2175</v>
      </c>
      <c r="D455" s="2042" t="s">
        <v>9284</v>
      </c>
      <c r="E455" s="105">
        <v>0.84870000000000001</v>
      </c>
      <c r="F455" s="105">
        <v>0.84870000000000001</v>
      </c>
      <c r="G455" s="2042">
        <v>1.0186999999999999</v>
      </c>
      <c r="H455" s="105">
        <f t="shared" si="14"/>
        <v>0.16999999999999993</v>
      </c>
    </row>
    <row r="456" spans="1:8" ht="14.5">
      <c r="A456" s="727">
        <v>108915</v>
      </c>
      <c r="B456" s="1683" t="str">
        <f t="shared" si="15"/>
        <v>108-915</v>
      </c>
      <c r="C456" s="629" t="s">
        <v>2119</v>
      </c>
      <c r="D456" s="629" t="s">
        <v>9284</v>
      </c>
      <c r="E456" s="105">
        <v>0.82200000000000006</v>
      </c>
      <c r="F456" s="105">
        <v>0.91339999999999999</v>
      </c>
      <c r="G456" s="2042">
        <v>0.96340000000000003</v>
      </c>
      <c r="H456" s="105">
        <f t="shared" si="14"/>
        <v>5.0000000000000044E-2</v>
      </c>
    </row>
    <row r="457" spans="1:8" ht="14.5">
      <c r="A457" s="41">
        <v>108916</v>
      </c>
      <c r="B457" s="380" t="str">
        <f t="shared" si="15"/>
        <v>108-916</v>
      </c>
      <c r="C457" s="2042" t="s">
        <v>2231</v>
      </c>
      <c r="D457" s="2042" t="s">
        <v>9284</v>
      </c>
      <c r="E457" s="105">
        <v>0.82200000000000006</v>
      </c>
      <c r="F457" s="105">
        <v>0.82200000000000006</v>
      </c>
      <c r="G457" s="2042">
        <v>0.99199999999999999</v>
      </c>
      <c r="H457" s="105">
        <f t="shared" si="14"/>
        <v>0.16999999999999993</v>
      </c>
    </row>
    <row r="458" spans="1:8" ht="14.5">
      <c r="A458" s="41">
        <v>109901</v>
      </c>
      <c r="B458" s="380" t="str">
        <f t="shared" si="15"/>
        <v>109-901</v>
      </c>
      <c r="C458" s="2042" t="s">
        <v>2031</v>
      </c>
      <c r="D458" s="2042" t="s">
        <v>9284</v>
      </c>
      <c r="E458" s="105">
        <v>0.83169999999999999</v>
      </c>
      <c r="F458" s="105">
        <v>0.83169999999999999</v>
      </c>
      <c r="G458" s="2042">
        <v>0.93210000000000004</v>
      </c>
      <c r="H458" s="105">
        <f t="shared" si="14"/>
        <v>0.10040000000000004</v>
      </c>
    </row>
    <row r="459" spans="1:8" ht="14.5">
      <c r="A459" s="41">
        <v>109902</v>
      </c>
      <c r="B459" s="380" t="str">
        <f t="shared" si="15"/>
        <v>109-902</v>
      </c>
      <c r="C459" s="2042" t="s">
        <v>851</v>
      </c>
      <c r="D459" s="2042" t="s">
        <v>9284</v>
      </c>
      <c r="E459" s="105">
        <v>0.82200000000000006</v>
      </c>
      <c r="F459" s="105">
        <v>0.82200000000000006</v>
      </c>
      <c r="G459" s="2042">
        <v>0.96030000000000004</v>
      </c>
      <c r="H459" s="105">
        <f t="shared" si="14"/>
        <v>0.13829999999999998</v>
      </c>
    </row>
    <row r="460" spans="1:8" ht="14.5">
      <c r="A460" s="41">
        <v>109903</v>
      </c>
      <c r="B460" s="380" t="str">
        <f t="shared" si="15"/>
        <v>109-903</v>
      </c>
      <c r="C460" s="2042" t="s">
        <v>626</v>
      </c>
      <c r="D460" s="2042" t="s">
        <v>9284</v>
      </c>
      <c r="E460" s="105">
        <v>0.82200000000000006</v>
      </c>
      <c r="F460" s="105">
        <v>0.82200000000000006</v>
      </c>
      <c r="G460" s="2042">
        <v>0.96030000000000004</v>
      </c>
      <c r="H460" s="105">
        <f t="shared" si="14"/>
        <v>0.13829999999999998</v>
      </c>
    </row>
    <row r="461" spans="1:8" ht="14.5">
      <c r="A461" s="41">
        <v>109904</v>
      </c>
      <c r="B461" s="380" t="str">
        <f t="shared" si="15"/>
        <v>109-904</v>
      </c>
      <c r="C461" s="2042" t="s">
        <v>2243</v>
      </c>
      <c r="D461" s="2042" t="s">
        <v>9284</v>
      </c>
      <c r="E461" s="105">
        <v>0.90300000000000002</v>
      </c>
      <c r="F461" s="105">
        <v>0.90300000000000002</v>
      </c>
      <c r="G461" s="2042">
        <v>1.0283</v>
      </c>
      <c r="H461" s="105">
        <f t="shared" si="14"/>
        <v>0.12529999999999997</v>
      </c>
    </row>
    <row r="462" spans="1:8" ht="14.5">
      <c r="A462" s="41">
        <v>109905</v>
      </c>
      <c r="B462" s="380" t="str">
        <f t="shared" si="15"/>
        <v>109-905</v>
      </c>
      <c r="C462" s="2042" t="s">
        <v>2248</v>
      </c>
      <c r="D462" s="2042" t="s">
        <v>9284</v>
      </c>
      <c r="E462" s="105">
        <v>0.85100000000000009</v>
      </c>
      <c r="F462" s="105">
        <v>0.85100000000000009</v>
      </c>
      <c r="G462" s="2042">
        <v>0.98930000000000007</v>
      </c>
      <c r="H462" s="105">
        <f t="shared" si="14"/>
        <v>0.13829999999999998</v>
      </c>
    </row>
    <row r="463" spans="1:8" ht="14.5">
      <c r="A463" s="41">
        <v>109907</v>
      </c>
      <c r="B463" s="380" t="str">
        <f t="shared" si="15"/>
        <v>109-907</v>
      </c>
      <c r="C463" s="2042" t="s">
        <v>382</v>
      </c>
      <c r="D463" s="2042" t="s">
        <v>9284</v>
      </c>
      <c r="E463" s="105">
        <v>0.82200000000000006</v>
      </c>
      <c r="F463" s="105">
        <v>0.82200000000000006</v>
      </c>
      <c r="G463" s="2042">
        <v>0.96030000000000004</v>
      </c>
      <c r="H463" s="105">
        <f t="shared" si="14"/>
        <v>0.13829999999999998</v>
      </c>
    </row>
    <row r="464" spans="1:8" ht="14.5">
      <c r="A464" s="41">
        <v>109908</v>
      </c>
      <c r="B464" s="380" t="str">
        <f t="shared" si="15"/>
        <v>109-908</v>
      </c>
      <c r="C464" s="2042" t="s">
        <v>2033</v>
      </c>
      <c r="D464" s="2042" t="s">
        <v>9284</v>
      </c>
      <c r="E464" s="105">
        <v>0.87790000000000001</v>
      </c>
      <c r="F464" s="105">
        <v>0.87790000000000001</v>
      </c>
      <c r="G464" s="2042">
        <v>1.0162</v>
      </c>
      <c r="H464" s="105">
        <f t="shared" si="14"/>
        <v>0.13829999999999998</v>
      </c>
    </row>
    <row r="465" spans="1:8" ht="14.5">
      <c r="A465" s="41">
        <v>109910</v>
      </c>
      <c r="B465" s="380" t="str">
        <f t="shared" si="15"/>
        <v>109-910</v>
      </c>
      <c r="C465" s="2042" t="s">
        <v>2120</v>
      </c>
      <c r="D465" s="2042" t="s">
        <v>9284</v>
      </c>
      <c r="E465" s="105">
        <v>0.85100000000000009</v>
      </c>
      <c r="F465" s="105">
        <v>0.85100000000000009</v>
      </c>
      <c r="G465" s="2042">
        <v>0.98930000000000007</v>
      </c>
      <c r="H465" s="105">
        <f t="shared" si="14"/>
        <v>0.13829999999999998</v>
      </c>
    </row>
    <row r="466" spans="1:8" ht="14.5">
      <c r="A466" s="41">
        <v>109911</v>
      </c>
      <c r="B466" s="380" t="str">
        <f t="shared" si="15"/>
        <v>109-911</v>
      </c>
      <c r="C466" s="2042" t="s">
        <v>2459</v>
      </c>
      <c r="D466" s="2042" t="s">
        <v>9284</v>
      </c>
      <c r="E466" s="105">
        <v>0.85570000000000002</v>
      </c>
      <c r="F466" s="105">
        <v>0.85570000000000002</v>
      </c>
      <c r="G466" s="2042">
        <v>0.99399999999999999</v>
      </c>
      <c r="H466" s="105">
        <f t="shared" si="14"/>
        <v>0.13829999999999998</v>
      </c>
    </row>
    <row r="467" spans="1:8" ht="14.5">
      <c r="A467" s="41">
        <v>109912</v>
      </c>
      <c r="B467" s="380" t="str">
        <f t="shared" si="15"/>
        <v>109-912</v>
      </c>
      <c r="C467" s="2042" t="s">
        <v>2281</v>
      </c>
      <c r="D467" s="2042" t="s">
        <v>9284</v>
      </c>
      <c r="E467" s="105">
        <v>0.82200000000000006</v>
      </c>
      <c r="F467" s="105">
        <v>0.82200000000000006</v>
      </c>
      <c r="G467" s="2042">
        <v>0.96030000000000004</v>
      </c>
      <c r="H467" s="105">
        <f t="shared" si="14"/>
        <v>0.13829999999999998</v>
      </c>
    </row>
    <row r="468" spans="1:8" ht="14.5">
      <c r="A468" s="41">
        <v>109913</v>
      </c>
      <c r="B468" s="380" t="str">
        <f t="shared" si="15"/>
        <v>109-913</v>
      </c>
      <c r="C468" s="2042" t="s">
        <v>1270</v>
      </c>
      <c r="D468" s="2042" t="s">
        <v>9284</v>
      </c>
      <c r="E468" s="105">
        <v>0.875</v>
      </c>
      <c r="F468" s="105">
        <v>0.875</v>
      </c>
      <c r="G468" s="2042">
        <v>1.0133000000000001</v>
      </c>
      <c r="H468" s="105">
        <f t="shared" si="14"/>
        <v>0.13830000000000009</v>
      </c>
    </row>
    <row r="469" spans="1:8" ht="14.5">
      <c r="A469" s="41">
        <v>109914</v>
      </c>
      <c r="B469" s="380" t="str">
        <f t="shared" si="15"/>
        <v>109-914</v>
      </c>
      <c r="C469" s="2042" t="s">
        <v>2450</v>
      </c>
      <c r="D469" s="2042" t="s">
        <v>9284</v>
      </c>
      <c r="E469" s="105">
        <v>0.82200000000000006</v>
      </c>
      <c r="F469" s="105">
        <v>0.82200000000000006</v>
      </c>
      <c r="G469" s="2042">
        <v>0.96030000000000004</v>
      </c>
      <c r="H469" s="105">
        <f t="shared" si="14"/>
        <v>0.13829999999999998</v>
      </c>
    </row>
    <row r="470" spans="1:8" ht="14.5">
      <c r="A470" s="41">
        <v>110901</v>
      </c>
      <c r="B470" s="380" t="str">
        <f t="shared" si="15"/>
        <v>110-901</v>
      </c>
      <c r="C470" s="2042" t="s">
        <v>2460</v>
      </c>
      <c r="D470" s="2042" t="s">
        <v>9284</v>
      </c>
      <c r="E470" s="105">
        <v>0.91339999999999999</v>
      </c>
      <c r="F470" s="105">
        <v>0.91339999999999999</v>
      </c>
      <c r="G470" s="2042">
        <v>1.006</v>
      </c>
      <c r="H470" s="105">
        <f t="shared" si="14"/>
        <v>9.2600000000000016E-2</v>
      </c>
    </row>
    <row r="471" spans="1:8" ht="14.5">
      <c r="A471" s="41">
        <v>110902</v>
      </c>
      <c r="B471" s="380" t="str">
        <f t="shared" si="15"/>
        <v>110-902</v>
      </c>
      <c r="C471" s="2042" t="s">
        <v>2461</v>
      </c>
      <c r="D471" s="2042" t="s">
        <v>9284</v>
      </c>
      <c r="E471" s="105">
        <v>0.91339999999999999</v>
      </c>
      <c r="F471" s="105">
        <v>0.91339999999999999</v>
      </c>
      <c r="G471" s="2042">
        <v>0.97340000000000004</v>
      </c>
      <c r="H471" s="105">
        <f t="shared" si="14"/>
        <v>6.0000000000000053E-2</v>
      </c>
    </row>
    <row r="472" spans="1:8" ht="14.5">
      <c r="A472" s="41">
        <v>110905</v>
      </c>
      <c r="B472" s="380" t="str">
        <f t="shared" si="15"/>
        <v>110-905</v>
      </c>
      <c r="C472" s="2042" t="s">
        <v>2462</v>
      </c>
      <c r="D472" s="2042" t="s">
        <v>9284</v>
      </c>
      <c r="E472" s="105">
        <v>0.89690000000000003</v>
      </c>
      <c r="F472" s="105">
        <v>0.89690000000000003</v>
      </c>
      <c r="G472" s="2042">
        <v>1.0352000000000001</v>
      </c>
      <c r="H472" s="105">
        <f t="shared" si="14"/>
        <v>0.13830000000000009</v>
      </c>
    </row>
    <row r="473" spans="1:8" ht="14.5">
      <c r="A473" s="41">
        <v>110906</v>
      </c>
      <c r="B473" s="380" t="str">
        <f t="shared" si="15"/>
        <v>110-906</v>
      </c>
      <c r="C473" s="2042" t="s">
        <v>1822</v>
      </c>
      <c r="D473" s="2042" t="s">
        <v>9284</v>
      </c>
      <c r="E473" s="105">
        <v>0.91339999999999999</v>
      </c>
      <c r="F473" s="105">
        <v>0.91339999999999999</v>
      </c>
      <c r="G473" s="2042">
        <v>1.0430000000000001</v>
      </c>
      <c r="H473" s="105">
        <f t="shared" si="14"/>
        <v>0.12960000000000016</v>
      </c>
    </row>
    <row r="474" spans="1:8" ht="14.5">
      <c r="A474" s="41">
        <v>110907</v>
      </c>
      <c r="B474" s="380" t="str">
        <f t="shared" si="15"/>
        <v>110-907</v>
      </c>
      <c r="C474" s="2042" t="s">
        <v>2463</v>
      </c>
      <c r="D474" s="2042" t="s">
        <v>9284</v>
      </c>
      <c r="E474" s="105">
        <v>0.91339999999999999</v>
      </c>
      <c r="F474" s="105">
        <v>0.91339999999999999</v>
      </c>
      <c r="G474" s="2042">
        <v>0.96340000000000003</v>
      </c>
      <c r="H474" s="105">
        <f t="shared" si="14"/>
        <v>5.0000000000000044E-2</v>
      </c>
    </row>
    <row r="475" spans="1:8" ht="14.5">
      <c r="A475" s="41">
        <v>110908</v>
      </c>
      <c r="B475" s="380" t="str">
        <f t="shared" si="15"/>
        <v>110-908</v>
      </c>
      <c r="C475" s="2042" t="s">
        <v>2464</v>
      </c>
      <c r="D475" s="2042" t="s">
        <v>9284</v>
      </c>
      <c r="E475" s="105">
        <v>0.91339999999999999</v>
      </c>
      <c r="F475" s="105">
        <v>0.91339999999999999</v>
      </c>
      <c r="G475" s="2042">
        <v>1.0517000000000001</v>
      </c>
      <c r="H475" s="105">
        <f t="shared" si="14"/>
        <v>0.13830000000000009</v>
      </c>
    </row>
    <row r="476" spans="1:8" ht="14.5">
      <c r="A476" s="41">
        <v>111901</v>
      </c>
      <c r="B476" s="380" t="str">
        <f t="shared" si="15"/>
        <v>111-901</v>
      </c>
      <c r="C476" s="2042" t="s">
        <v>205</v>
      </c>
      <c r="D476" s="2042" t="s">
        <v>9284</v>
      </c>
      <c r="E476" s="105">
        <v>0.89380000000000004</v>
      </c>
      <c r="F476" s="105">
        <v>0.89380000000000004</v>
      </c>
      <c r="G476" s="2042">
        <v>0.94380000000000008</v>
      </c>
      <c r="H476" s="105">
        <f t="shared" si="14"/>
        <v>5.0000000000000044E-2</v>
      </c>
    </row>
    <row r="477" spans="1:8" ht="14.5">
      <c r="A477" s="41">
        <v>111902</v>
      </c>
      <c r="B477" s="380" t="str">
        <f t="shared" si="15"/>
        <v>111-902</v>
      </c>
      <c r="C477" s="2042" t="s">
        <v>1475</v>
      </c>
      <c r="D477" s="2042" t="s">
        <v>9284</v>
      </c>
      <c r="E477" s="105">
        <v>0.82469999999999999</v>
      </c>
      <c r="F477" s="105">
        <v>0.82469999999999999</v>
      </c>
      <c r="G477" s="2042">
        <v>0.96030000000000004</v>
      </c>
      <c r="H477" s="105">
        <f t="shared" si="14"/>
        <v>0.13560000000000005</v>
      </c>
    </row>
    <row r="478" spans="1:8" ht="14.5">
      <c r="A478" s="41">
        <v>111903</v>
      </c>
      <c r="B478" s="380" t="str">
        <f t="shared" si="15"/>
        <v>111-903</v>
      </c>
      <c r="C478" s="2042" t="s">
        <v>568</v>
      </c>
      <c r="D478" s="2042" t="s">
        <v>9284</v>
      </c>
      <c r="E478" s="105">
        <v>0.91339999999999999</v>
      </c>
      <c r="F478" s="105">
        <v>0.91339999999999999</v>
      </c>
      <c r="G478" s="2042">
        <v>0.96340000000000003</v>
      </c>
      <c r="H478" s="105">
        <f t="shared" si="14"/>
        <v>5.0000000000000044E-2</v>
      </c>
    </row>
    <row r="479" spans="1:8" ht="14.5">
      <c r="A479" s="41">
        <v>112901</v>
      </c>
      <c r="B479" s="380" t="str">
        <f t="shared" si="15"/>
        <v>112-901</v>
      </c>
      <c r="C479" s="2042" t="s">
        <v>206</v>
      </c>
      <c r="D479" s="2042" t="s">
        <v>9284</v>
      </c>
      <c r="E479" s="105">
        <v>0.82200000000000006</v>
      </c>
      <c r="F479" s="105">
        <v>0.82200000000000006</v>
      </c>
      <c r="G479" s="2042">
        <v>0.872</v>
      </c>
      <c r="H479" s="105">
        <f t="shared" si="14"/>
        <v>4.9999999999999933E-2</v>
      </c>
    </row>
    <row r="480" spans="1:8" ht="14.5">
      <c r="A480" s="41">
        <v>112905</v>
      </c>
      <c r="B480" s="380" t="str">
        <f t="shared" si="15"/>
        <v>112-905</v>
      </c>
      <c r="C480" s="2042" t="s">
        <v>400</v>
      </c>
      <c r="D480" s="2042" t="s">
        <v>9284</v>
      </c>
      <c r="E480" s="105">
        <v>0.82200000000000006</v>
      </c>
      <c r="F480" s="105">
        <v>0.82200000000000006</v>
      </c>
      <c r="G480" s="2042">
        <v>0.96030000000000004</v>
      </c>
      <c r="H480" s="105">
        <f t="shared" si="14"/>
        <v>0.13829999999999998</v>
      </c>
    </row>
    <row r="481" spans="1:8" ht="14.5">
      <c r="A481" s="41">
        <v>112906</v>
      </c>
      <c r="B481" s="380" t="str">
        <f t="shared" si="15"/>
        <v>112-906</v>
      </c>
      <c r="C481" s="2042" t="s">
        <v>207</v>
      </c>
      <c r="D481" s="2042" t="s">
        <v>9284</v>
      </c>
      <c r="E481" s="105">
        <v>0.86160000000000003</v>
      </c>
      <c r="F481" s="105">
        <v>0.86160000000000003</v>
      </c>
      <c r="G481" s="2042">
        <v>0.99990000000000001</v>
      </c>
      <c r="H481" s="105">
        <f t="shared" si="14"/>
        <v>0.13829999999999998</v>
      </c>
    </row>
    <row r="482" spans="1:8">
      <c r="B482" s="2042" t="s">
        <v>1836</v>
      </c>
      <c r="C482" s="2042" t="s">
        <v>6472</v>
      </c>
      <c r="E482" s="105">
        <v>0.90640000000000009</v>
      </c>
      <c r="F482" s="105">
        <v>0.90640000000000009</v>
      </c>
      <c r="G482" s="2042">
        <v>1.0447</v>
      </c>
      <c r="H482" s="105">
        <f t="shared" si="14"/>
        <v>0.13829999999999987</v>
      </c>
    </row>
    <row r="483" spans="1:8" ht="14.5">
      <c r="A483" s="41">
        <v>112908</v>
      </c>
      <c r="B483" s="380" t="str">
        <f t="shared" si="15"/>
        <v>112-908</v>
      </c>
      <c r="C483" s="2042" t="s">
        <v>595</v>
      </c>
      <c r="D483" s="2042" t="s">
        <v>9284</v>
      </c>
      <c r="E483" s="105">
        <v>0.84050000000000002</v>
      </c>
      <c r="F483" s="105">
        <v>0.84050000000000002</v>
      </c>
      <c r="G483" s="2042">
        <v>0.89050000000000007</v>
      </c>
      <c r="H483" s="105">
        <f t="shared" si="14"/>
        <v>5.0000000000000044E-2</v>
      </c>
    </row>
    <row r="484" spans="1:8" ht="14.5">
      <c r="A484" s="41">
        <v>112909</v>
      </c>
      <c r="B484" s="380" t="str">
        <f t="shared" si="15"/>
        <v>112-909</v>
      </c>
      <c r="C484" s="2042" t="s">
        <v>596</v>
      </c>
      <c r="D484" s="2042" t="s">
        <v>9284</v>
      </c>
      <c r="E484" s="105">
        <v>0.82880000000000009</v>
      </c>
      <c r="F484" s="105">
        <v>0.82880000000000009</v>
      </c>
      <c r="G484" s="2042">
        <v>0.87880000000000003</v>
      </c>
      <c r="H484" s="105">
        <f t="shared" si="14"/>
        <v>4.9999999999999933E-2</v>
      </c>
    </row>
    <row r="485" spans="1:8" ht="14.5">
      <c r="A485" s="41">
        <v>112910</v>
      </c>
      <c r="B485" s="380" t="str">
        <f t="shared" si="15"/>
        <v>112-910</v>
      </c>
      <c r="C485" s="2042" t="s">
        <v>1835</v>
      </c>
      <c r="D485" s="2042" t="s">
        <v>9284</v>
      </c>
      <c r="E485" s="105">
        <v>0.86610000000000009</v>
      </c>
      <c r="F485" s="105">
        <v>0.86610000000000009</v>
      </c>
      <c r="G485" s="2042">
        <v>1.0044</v>
      </c>
      <c r="H485" s="105">
        <f t="shared" si="14"/>
        <v>0.13829999999999987</v>
      </c>
    </row>
    <row r="486" spans="1:8" ht="14.5">
      <c r="A486" s="41">
        <v>113901</v>
      </c>
      <c r="B486" s="380" t="str">
        <f t="shared" si="15"/>
        <v>113-901</v>
      </c>
      <c r="C486" s="2042" t="s">
        <v>597</v>
      </c>
      <c r="D486" s="2042" t="s">
        <v>9284</v>
      </c>
      <c r="E486" s="105">
        <v>0.88870000000000005</v>
      </c>
      <c r="F486" s="105">
        <v>0.88870000000000005</v>
      </c>
      <c r="G486" s="2042">
        <v>0.93870000000000009</v>
      </c>
      <c r="H486" s="105">
        <f t="shared" si="14"/>
        <v>5.0000000000000044E-2</v>
      </c>
    </row>
    <row r="487" spans="1:8" ht="14.5">
      <c r="A487" s="41">
        <v>113902</v>
      </c>
      <c r="B487" s="380" t="str">
        <f t="shared" si="15"/>
        <v>113-902</v>
      </c>
      <c r="C487" s="2042" t="s">
        <v>2043</v>
      </c>
      <c r="D487" s="2042" t="s">
        <v>9284</v>
      </c>
      <c r="E487" s="105">
        <v>0.82200000000000006</v>
      </c>
      <c r="F487" s="105">
        <v>0.82200000000000006</v>
      </c>
      <c r="G487" s="2042">
        <v>0.872</v>
      </c>
      <c r="H487" s="105">
        <f t="shared" si="14"/>
        <v>4.9999999999999933E-2</v>
      </c>
    </row>
    <row r="488" spans="1:8" ht="14.5">
      <c r="A488" s="41">
        <v>113903</v>
      </c>
      <c r="B488" s="380" t="str">
        <f t="shared" si="15"/>
        <v>113-903</v>
      </c>
      <c r="C488" s="2042" t="s">
        <v>2380</v>
      </c>
      <c r="D488" s="2042" t="s">
        <v>9284</v>
      </c>
      <c r="E488" s="105">
        <v>0.91339999999999999</v>
      </c>
      <c r="F488" s="105">
        <v>0.91339999999999999</v>
      </c>
      <c r="G488" s="2042">
        <v>0.96340000000000003</v>
      </c>
      <c r="H488" s="105">
        <f t="shared" si="14"/>
        <v>5.0000000000000044E-2</v>
      </c>
    </row>
    <row r="489" spans="1:8" ht="14.5">
      <c r="A489" s="727">
        <v>113905</v>
      </c>
      <c r="B489" s="1683" t="str">
        <f t="shared" si="15"/>
        <v>113-905</v>
      </c>
      <c r="C489" s="629" t="s">
        <v>1479</v>
      </c>
      <c r="D489" s="629" t="s">
        <v>9284</v>
      </c>
      <c r="E489" s="105">
        <v>0.90370000000000006</v>
      </c>
      <c r="F489" s="105">
        <v>0.91339999999999999</v>
      </c>
      <c r="G489" s="2042">
        <v>0.96340000000000003</v>
      </c>
      <c r="H489" s="105">
        <f t="shared" si="14"/>
        <v>5.0000000000000044E-2</v>
      </c>
    </row>
    <row r="490" spans="1:8" ht="14.5">
      <c r="A490" s="41">
        <v>113906</v>
      </c>
      <c r="B490" s="380" t="str">
        <f t="shared" si="15"/>
        <v>113-906</v>
      </c>
      <c r="C490" s="2042" t="s">
        <v>1480</v>
      </c>
      <c r="D490" s="2042" t="s">
        <v>9284</v>
      </c>
      <c r="E490" s="105">
        <v>0.82200000000000006</v>
      </c>
      <c r="F490" s="105">
        <v>0.82200000000000006</v>
      </c>
      <c r="G490" s="2042">
        <v>0.872</v>
      </c>
      <c r="H490" s="105">
        <f t="shared" si="14"/>
        <v>4.9999999999999933E-2</v>
      </c>
    </row>
    <row r="491" spans="1:8" ht="14.5">
      <c r="A491" s="41">
        <v>114901</v>
      </c>
      <c r="B491" s="380" t="str">
        <f t="shared" si="15"/>
        <v>114-901</v>
      </c>
      <c r="C491" s="2042" t="s">
        <v>1481</v>
      </c>
      <c r="D491" s="2042" t="s">
        <v>9284</v>
      </c>
      <c r="E491" s="105">
        <v>0.84230000000000005</v>
      </c>
      <c r="F491" s="105">
        <v>0.84230000000000005</v>
      </c>
      <c r="G491" s="2042">
        <v>0.89230000000000009</v>
      </c>
      <c r="H491" s="105">
        <f t="shared" si="14"/>
        <v>5.0000000000000044E-2</v>
      </c>
    </row>
    <row r="492" spans="1:8" ht="14.5">
      <c r="A492" s="41">
        <v>114902</v>
      </c>
      <c r="B492" s="380" t="str">
        <f t="shared" si="15"/>
        <v>114-902</v>
      </c>
      <c r="C492" s="2042" t="s">
        <v>1482</v>
      </c>
      <c r="D492" s="2042" t="s">
        <v>9284</v>
      </c>
      <c r="E492" s="105">
        <v>0.82200000000000006</v>
      </c>
      <c r="F492" s="105">
        <v>0.82200000000000006</v>
      </c>
      <c r="G492" s="2042">
        <v>0.872</v>
      </c>
      <c r="H492" s="105">
        <f t="shared" si="14"/>
        <v>4.9999999999999933E-2</v>
      </c>
    </row>
    <row r="493" spans="1:8" ht="14.5">
      <c r="A493" s="41">
        <v>114904</v>
      </c>
      <c r="B493" s="380" t="str">
        <f t="shared" si="15"/>
        <v>114-904</v>
      </c>
      <c r="C493" s="2042" t="s">
        <v>1483</v>
      </c>
      <c r="D493" s="2042" t="s">
        <v>9284</v>
      </c>
      <c r="E493" s="105">
        <v>0.91339999999999999</v>
      </c>
      <c r="F493" s="105">
        <v>0.91339999999999999</v>
      </c>
      <c r="G493" s="2042">
        <v>0.96340000000000003</v>
      </c>
      <c r="H493" s="105">
        <f t="shared" si="14"/>
        <v>5.0000000000000044E-2</v>
      </c>
    </row>
    <row r="494" spans="1:8">
      <c r="B494" s="2042" t="s">
        <v>1255</v>
      </c>
      <c r="C494" s="2042" t="s">
        <v>6484</v>
      </c>
      <c r="E494" s="105">
        <v>0.91339999999999999</v>
      </c>
      <c r="F494" s="105">
        <v>0.91339999999999999</v>
      </c>
      <c r="G494" s="2042">
        <v>0.96340000000000003</v>
      </c>
      <c r="H494" s="105">
        <f t="shared" si="14"/>
        <v>5.0000000000000044E-2</v>
      </c>
    </row>
    <row r="495" spans="1:8" ht="14.5">
      <c r="A495" s="727">
        <v>115902</v>
      </c>
      <c r="B495" s="1683" t="str">
        <f t="shared" si="15"/>
        <v>115-902</v>
      </c>
      <c r="C495" s="629" t="s">
        <v>1485</v>
      </c>
      <c r="D495" s="629" t="s">
        <v>9287</v>
      </c>
      <c r="E495" s="105">
        <v>0.89970000000000006</v>
      </c>
      <c r="F495" s="105">
        <v>0.91639999999999999</v>
      </c>
      <c r="G495" s="2042">
        <v>0.97640000000000005</v>
      </c>
      <c r="H495" s="105">
        <f t="shared" si="14"/>
        <v>6.0000000000000053E-2</v>
      </c>
    </row>
    <row r="496" spans="1:8" ht="14.5">
      <c r="A496" s="41">
        <v>115903</v>
      </c>
      <c r="B496" s="380" t="str">
        <f t="shared" si="15"/>
        <v>115-903</v>
      </c>
      <c r="C496" s="2042" t="s">
        <v>1486</v>
      </c>
      <c r="D496" s="2042" t="s">
        <v>9284</v>
      </c>
      <c r="E496" s="105">
        <v>0.91339999999999999</v>
      </c>
      <c r="F496" s="105">
        <v>0.91339999999999999</v>
      </c>
      <c r="G496" s="2042">
        <v>0.96340000000000003</v>
      </c>
      <c r="H496" s="105">
        <f t="shared" si="14"/>
        <v>5.0000000000000044E-2</v>
      </c>
    </row>
    <row r="497" spans="1:8" ht="14.5">
      <c r="A497" s="41">
        <v>116901</v>
      </c>
      <c r="B497" s="380" t="str">
        <f t="shared" si="15"/>
        <v>116-901</v>
      </c>
      <c r="C497" s="2042" t="s">
        <v>610</v>
      </c>
      <c r="D497" s="2042" t="s">
        <v>9284</v>
      </c>
      <c r="E497" s="105">
        <v>0.82200000000000006</v>
      </c>
      <c r="F497" s="105">
        <v>0.82200000000000006</v>
      </c>
      <c r="G497" s="2042">
        <v>0.96030000000000004</v>
      </c>
      <c r="H497" s="105">
        <f t="shared" si="14"/>
        <v>0.13829999999999998</v>
      </c>
    </row>
    <row r="498" spans="1:8" ht="14.5">
      <c r="A498" s="41">
        <v>116902</v>
      </c>
      <c r="B498" s="380" t="str">
        <f t="shared" si="15"/>
        <v>116-902</v>
      </c>
      <c r="C498" s="2042" t="s">
        <v>1487</v>
      </c>
      <c r="D498" s="2042" t="s">
        <v>9284</v>
      </c>
      <c r="E498" s="105">
        <v>0.82200000000000006</v>
      </c>
      <c r="F498" s="105">
        <v>0.82200000000000006</v>
      </c>
      <c r="G498" s="2042">
        <v>0.96030000000000004</v>
      </c>
      <c r="H498" s="105">
        <f t="shared" si="14"/>
        <v>0.13829999999999998</v>
      </c>
    </row>
    <row r="499" spans="1:8" ht="14.5">
      <c r="A499" s="41">
        <v>116903</v>
      </c>
      <c r="B499" s="380" t="str">
        <f t="shared" si="15"/>
        <v>116-903</v>
      </c>
      <c r="C499" s="2042" t="s">
        <v>1460</v>
      </c>
      <c r="D499" s="2042" t="s">
        <v>9284</v>
      </c>
      <c r="E499" s="105">
        <v>0.82200000000000006</v>
      </c>
      <c r="F499" s="105">
        <v>0.82200000000000006</v>
      </c>
      <c r="G499" s="2042">
        <v>0.96030000000000004</v>
      </c>
      <c r="H499" s="105">
        <f t="shared" si="14"/>
        <v>0.13829999999999998</v>
      </c>
    </row>
    <row r="500" spans="1:8" ht="14.5">
      <c r="A500" s="41">
        <v>116905</v>
      </c>
      <c r="B500" s="380" t="str">
        <f t="shared" si="15"/>
        <v>116-905</v>
      </c>
      <c r="C500" s="2042" t="s">
        <v>1488</v>
      </c>
      <c r="D500" s="2042" t="s">
        <v>9284</v>
      </c>
      <c r="E500" s="105">
        <v>0.82200000000000006</v>
      </c>
      <c r="F500" s="105">
        <v>0.82200000000000006</v>
      </c>
      <c r="G500" s="2042">
        <v>0.88200000000000001</v>
      </c>
      <c r="H500" s="105">
        <f t="shared" si="14"/>
        <v>5.9999999999999942E-2</v>
      </c>
    </row>
    <row r="501" spans="1:8" ht="14.5">
      <c r="A501" s="41">
        <v>116906</v>
      </c>
      <c r="B501" s="380" t="str">
        <f t="shared" si="15"/>
        <v>116-906</v>
      </c>
      <c r="C501" s="2042" t="s">
        <v>2006</v>
      </c>
      <c r="D501" s="2042" t="s">
        <v>9284</v>
      </c>
      <c r="E501" s="105">
        <v>0.82200000000000006</v>
      </c>
      <c r="F501" s="105">
        <v>0.82200000000000006</v>
      </c>
      <c r="G501" s="2042">
        <v>0.872</v>
      </c>
      <c r="H501" s="105">
        <f t="shared" si="14"/>
        <v>4.9999999999999933E-2</v>
      </c>
    </row>
    <row r="502" spans="1:8" ht="14.5">
      <c r="A502" s="41">
        <v>116908</v>
      </c>
      <c r="B502" s="380" t="str">
        <f t="shared" si="15"/>
        <v>116-908</v>
      </c>
      <c r="C502" s="2042" t="s">
        <v>75</v>
      </c>
      <c r="D502" s="2042" t="s">
        <v>9284</v>
      </c>
      <c r="E502" s="105">
        <v>0.82200000000000006</v>
      </c>
      <c r="F502" s="105">
        <v>0.82200000000000006</v>
      </c>
      <c r="G502" s="2042">
        <v>0.96030000000000004</v>
      </c>
      <c r="H502" s="105">
        <f t="shared" si="14"/>
        <v>0.13829999999999998</v>
      </c>
    </row>
    <row r="503" spans="1:8" ht="14.5">
      <c r="A503" s="41">
        <v>116909</v>
      </c>
      <c r="B503" s="380" t="str">
        <f t="shared" si="15"/>
        <v>116-909</v>
      </c>
      <c r="C503" s="2042" t="s">
        <v>1064</v>
      </c>
      <c r="D503" s="2042" t="s">
        <v>9284</v>
      </c>
      <c r="E503" s="105">
        <v>0.82200000000000006</v>
      </c>
      <c r="F503" s="105">
        <v>0.82200000000000006</v>
      </c>
      <c r="G503" s="2042">
        <v>0.93180000000000007</v>
      </c>
      <c r="H503" s="105">
        <f t="shared" si="14"/>
        <v>0.10980000000000001</v>
      </c>
    </row>
    <row r="504" spans="1:8" ht="14.5">
      <c r="A504" s="41">
        <v>116910</v>
      </c>
      <c r="B504" s="380" t="str">
        <f t="shared" si="15"/>
        <v>116-910</v>
      </c>
      <c r="C504" s="2042" t="s">
        <v>1489</v>
      </c>
      <c r="D504" s="2042" t="s">
        <v>9284</v>
      </c>
      <c r="E504" s="105">
        <v>0.82200000000000006</v>
      </c>
      <c r="F504" s="105">
        <v>0.82200000000000006</v>
      </c>
      <c r="G504" s="2042">
        <v>0.872</v>
      </c>
      <c r="H504" s="105">
        <f t="shared" si="14"/>
        <v>4.9999999999999933E-2</v>
      </c>
    </row>
    <row r="505" spans="1:8" ht="14.5">
      <c r="A505" s="41">
        <v>116915</v>
      </c>
      <c r="B505" s="380" t="str">
        <f t="shared" si="15"/>
        <v>116-915</v>
      </c>
      <c r="C505" s="2042" t="s">
        <v>754</v>
      </c>
      <c r="D505" s="2042" t="s">
        <v>9284</v>
      </c>
      <c r="E505" s="105">
        <v>0.82200000000000006</v>
      </c>
      <c r="F505" s="105">
        <v>0.82200000000000006</v>
      </c>
      <c r="G505" s="2042">
        <v>0.872</v>
      </c>
      <c r="H505" s="105">
        <f t="shared" si="14"/>
        <v>4.9999999999999933E-2</v>
      </c>
    </row>
    <row r="506" spans="1:8" ht="14.5">
      <c r="A506" s="41">
        <v>116916</v>
      </c>
      <c r="B506" s="380" t="str">
        <f t="shared" si="15"/>
        <v>116-916</v>
      </c>
      <c r="C506" s="2042" t="s">
        <v>1271</v>
      </c>
      <c r="D506" s="2042" t="s">
        <v>9284</v>
      </c>
      <c r="E506" s="105">
        <v>0.82200000000000006</v>
      </c>
      <c r="F506" s="105">
        <v>0.82200000000000006</v>
      </c>
      <c r="G506" s="2042">
        <v>0.96030000000000004</v>
      </c>
      <c r="H506" s="105">
        <f t="shared" si="14"/>
        <v>0.13829999999999998</v>
      </c>
    </row>
    <row r="507" spans="1:8" ht="14.5">
      <c r="A507" s="41">
        <v>117901</v>
      </c>
      <c r="B507" s="380" t="str">
        <f t="shared" si="15"/>
        <v>117-901</v>
      </c>
      <c r="C507" s="2042" t="s">
        <v>1490</v>
      </c>
      <c r="D507" s="2042" t="s">
        <v>9284</v>
      </c>
      <c r="E507" s="105">
        <v>0.91339999999999999</v>
      </c>
      <c r="F507" s="105">
        <v>0.91339999999999999</v>
      </c>
      <c r="G507" s="2042">
        <v>0.93640000000000001</v>
      </c>
      <c r="H507" s="105">
        <f t="shared" si="14"/>
        <v>2.300000000000002E-2</v>
      </c>
    </row>
    <row r="508" spans="1:8" ht="14.5">
      <c r="A508" s="41">
        <v>117903</v>
      </c>
      <c r="B508" s="380" t="str">
        <f t="shared" si="15"/>
        <v>117-903</v>
      </c>
      <c r="C508" s="2042" t="s">
        <v>990</v>
      </c>
      <c r="D508" s="2042" t="s">
        <v>9284</v>
      </c>
      <c r="E508" s="105">
        <v>0.91339999999999999</v>
      </c>
      <c r="F508" s="105">
        <v>0.91339999999999999</v>
      </c>
      <c r="G508" s="2042">
        <v>1.0323</v>
      </c>
      <c r="H508" s="105">
        <f t="shared" si="14"/>
        <v>0.11890000000000001</v>
      </c>
    </row>
    <row r="509" spans="1:8" ht="14.5">
      <c r="A509" s="41">
        <v>117904</v>
      </c>
      <c r="B509" s="380" t="str">
        <f t="shared" si="15"/>
        <v>117-904</v>
      </c>
      <c r="C509" s="2042" t="s">
        <v>991</v>
      </c>
      <c r="D509" s="2042" t="s">
        <v>9284</v>
      </c>
      <c r="E509" s="105">
        <v>0.90350000000000008</v>
      </c>
      <c r="F509" s="105">
        <v>0.90350000000000008</v>
      </c>
      <c r="G509" s="2042">
        <v>1.0735000000000001</v>
      </c>
      <c r="H509" s="105">
        <f t="shared" si="14"/>
        <v>0.17000000000000004</v>
      </c>
    </row>
    <row r="510" spans="1:8" ht="14.5">
      <c r="A510" s="41">
        <v>117907</v>
      </c>
      <c r="B510" s="380" t="str">
        <f t="shared" si="15"/>
        <v>117-907</v>
      </c>
      <c r="C510" s="2042" t="s">
        <v>2384</v>
      </c>
      <c r="D510" s="2042" t="s">
        <v>9284</v>
      </c>
      <c r="E510" s="105">
        <v>0.91339999999999999</v>
      </c>
      <c r="F510" s="105">
        <v>0.91339999999999999</v>
      </c>
      <c r="G510" s="2042">
        <v>1.0193000000000001</v>
      </c>
      <c r="H510" s="105">
        <f t="shared" si="14"/>
        <v>0.10590000000000011</v>
      </c>
    </row>
    <row r="511" spans="1:8" ht="14.5">
      <c r="A511" s="41">
        <v>118902</v>
      </c>
      <c r="B511" s="380" t="str">
        <f t="shared" si="15"/>
        <v>118-902</v>
      </c>
      <c r="C511" s="2042" t="s">
        <v>992</v>
      </c>
      <c r="D511" s="2042" t="s">
        <v>9284</v>
      </c>
      <c r="E511" s="105">
        <v>0.91339999999999999</v>
      </c>
      <c r="F511" s="105">
        <v>0.91339999999999999</v>
      </c>
      <c r="G511" s="2042">
        <v>0.96340000000000003</v>
      </c>
      <c r="H511" s="105">
        <f t="shared" si="14"/>
        <v>5.0000000000000044E-2</v>
      </c>
    </row>
    <row r="512" spans="1:8" ht="14.5">
      <c r="A512" s="41">
        <v>119901</v>
      </c>
      <c r="B512" s="380" t="str">
        <f t="shared" si="15"/>
        <v>119-901</v>
      </c>
      <c r="C512" s="2042" t="s">
        <v>2323</v>
      </c>
      <c r="D512" s="2042" t="s">
        <v>9284</v>
      </c>
      <c r="E512" s="105">
        <v>0.91339999999999999</v>
      </c>
      <c r="F512" s="105">
        <v>0.91339999999999999</v>
      </c>
      <c r="G512" s="2042">
        <v>0.96340000000000003</v>
      </c>
      <c r="H512" s="105">
        <f t="shared" si="14"/>
        <v>5.0000000000000044E-2</v>
      </c>
    </row>
    <row r="513" spans="1:8" ht="14.5">
      <c r="A513" s="41">
        <v>119902</v>
      </c>
      <c r="B513" s="380" t="str">
        <f t="shared" si="15"/>
        <v>119-902</v>
      </c>
      <c r="C513" s="2042" t="s">
        <v>2324</v>
      </c>
      <c r="D513" s="2042" t="s">
        <v>9284</v>
      </c>
      <c r="E513" s="105">
        <v>0.91339999999999999</v>
      </c>
      <c r="F513" s="105">
        <v>0.91339999999999999</v>
      </c>
      <c r="G513" s="2042">
        <v>0.96340000000000003</v>
      </c>
      <c r="H513" s="105">
        <f t="shared" si="14"/>
        <v>5.0000000000000044E-2</v>
      </c>
    </row>
    <row r="514" spans="1:8" ht="14.5">
      <c r="A514" s="41">
        <v>119903</v>
      </c>
      <c r="B514" s="380" t="str">
        <f t="shared" si="15"/>
        <v>119-903</v>
      </c>
      <c r="C514" s="2042" t="s">
        <v>993</v>
      </c>
      <c r="D514" s="2042" t="s">
        <v>9284</v>
      </c>
      <c r="E514" s="105">
        <v>0.91339999999999999</v>
      </c>
      <c r="F514" s="105">
        <v>0.91339999999999999</v>
      </c>
      <c r="G514" s="2042">
        <v>0.96340000000000003</v>
      </c>
      <c r="H514" s="105">
        <f t="shared" si="14"/>
        <v>5.0000000000000044E-2</v>
      </c>
    </row>
    <row r="515" spans="1:8" ht="14.5">
      <c r="A515" s="41">
        <v>120901</v>
      </c>
      <c r="B515" s="380" t="str">
        <f t="shared" si="15"/>
        <v>120-901</v>
      </c>
      <c r="C515" s="2042" t="s">
        <v>583</v>
      </c>
      <c r="D515" s="2042" t="s">
        <v>9284</v>
      </c>
      <c r="E515" s="105">
        <v>0.82200000000000006</v>
      </c>
      <c r="F515" s="105">
        <v>0.82200000000000006</v>
      </c>
      <c r="G515" s="2042">
        <v>0.872</v>
      </c>
      <c r="H515" s="105">
        <f t="shared" ref="H515:H578" si="16">G515-F515</f>
        <v>4.9999999999999933E-2</v>
      </c>
    </row>
    <row r="516" spans="1:8" ht="14.5">
      <c r="A516" s="41">
        <v>120902</v>
      </c>
      <c r="B516" s="380" t="str">
        <f t="shared" si="15"/>
        <v>120-902</v>
      </c>
      <c r="C516" s="2042" t="s">
        <v>1393</v>
      </c>
      <c r="D516" s="2042" t="s">
        <v>9284</v>
      </c>
      <c r="E516" s="105">
        <v>0.85780000000000001</v>
      </c>
      <c r="F516" s="105">
        <v>0.85780000000000001</v>
      </c>
      <c r="G516" s="2042">
        <v>0.90780000000000005</v>
      </c>
      <c r="H516" s="105">
        <f t="shared" si="16"/>
        <v>5.0000000000000044E-2</v>
      </c>
    </row>
    <row r="517" spans="1:8" ht="14.5">
      <c r="A517" s="41">
        <v>120905</v>
      </c>
      <c r="B517" s="380" t="str">
        <f t="shared" si="15"/>
        <v>120-905</v>
      </c>
      <c r="C517" s="2042" t="s">
        <v>584</v>
      </c>
      <c r="D517" s="2042" t="s">
        <v>9284</v>
      </c>
      <c r="E517" s="105">
        <v>0.91339999999999999</v>
      </c>
      <c r="F517" s="105">
        <v>0.91339999999999999</v>
      </c>
      <c r="G517" s="2042">
        <v>0.99980000000000002</v>
      </c>
      <c r="H517" s="105">
        <f t="shared" si="16"/>
        <v>8.6400000000000032E-2</v>
      </c>
    </row>
    <row r="518" spans="1:8">
      <c r="B518" s="2042" t="s">
        <v>2501</v>
      </c>
      <c r="C518" s="2042" t="s">
        <v>6507</v>
      </c>
      <c r="E518" s="105">
        <v>0.91339999999999999</v>
      </c>
      <c r="F518" s="105">
        <v>0.90910000000000002</v>
      </c>
      <c r="G518" s="2042">
        <v>0.90910000000000002</v>
      </c>
      <c r="H518" s="105">
        <f t="shared" si="16"/>
        <v>0</v>
      </c>
    </row>
    <row r="519" spans="1:8" ht="14.5">
      <c r="A519" s="727">
        <v>121903</v>
      </c>
      <c r="B519" s="1683" t="str">
        <f t="shared" si="15"/>
        <v>121-903</v>
      </c>
      <c r="C519" s="629" t="s">
        <v>1362</v>
      </c>
      <c r="D519" s="629" t="s">
        <v>9284</v>
      </c>
      <c r="E519" s="105">
        <v>0.85450000000000004</v>
      </c>
      <c r="F519" s="105">
        <v>0.86850000000000005</v>
      </c>
      <c r="G519" s="2042">
        <v>1.0068000000000001</v>
      </c>
      <c r="H519" s="105">
        <f t="shared" si="16"/>
        <v>0.13830000000000009</v>
      </c>
    </row>
    <row r="520" spans="1:8" ht="14.5">
      <c r="A520" s="41">
        <v>121904</v>
      </c>
      <c r="B520" s="380" t="str">
        <f t="shared" si="15"/>
        <v>121-904</v>
      </c>
      <c r="C520" s="2042" t="s">
        <v>384</v>
      </c>
      <c r="D520" s="2042" t="s">
        <v>9284</v>
      </c>
      <c r="E520" s="105">
        <v>0.89840000000000009</v>
      </c>
      <c r="F520" s="105">
        <v>0.89840000000000009</v>
      </c>
      <c r="G520" s="2042">
        <v>1.0367</v>
      </c>
      <c r="H520" s="105">
        <f t="shared" si="16"/>
        <v>0.13829999999999987</v>
      </c>
    </row>
    <row r="521" spans="1:8" ht="14.5">
      <c r="A521" s="41">
        <v>121905</v>
      </c>
      <c r="B521" s="380" t="str">
        <f t="shared" si="15"/>
        <v>121-905</v>
      </c>
      <c r="C521" s="2042" t="s">
        <v>1904</v>
      </c>
      <c r="D521" s="2042" t="s">
        <v>9284</v>
      </c>
      <c r="E521" s="105">
        <v>0.87770000000000004</v>
      </c>
      <c r="F521" s="105">
        <v>0.87770000000000004</v>
      </c>
      <c r="G521" s="2042">
        <v>0.92770000000000008</v>
      </c>
      <c r="H521" s="105">
        <f t="shared" si="16"/>
        <v>5.0000000000000044E-2</v>
      </c>
    </row>
    <row r="522" spans="1:8" ht="14.5">
      <c r="A522" s="41">
        <v>121906</v>
      </c>
      <c r="B522" s="380" t="str">
        <f t="shared" ref="B522:B586" si="17">CONCATENATE(LEFT(RIGHT(CONCATENATE("000",A522),6),3),"-",(RIGHT(RIGHT(CONCATENATE("000",A522),6),3)))</f>
        <v>121-906</v>
      </c>
      <c r="C522" s="2042" t="s">
        <v>2360</v>
      </c>
      <c r="D522" s="2042" t="s">
        <v>9284</v>
      </c>
      <c r="E522" s="105">
        <v>0.91339999999999999</v>
      </c>
      <c r="F522" s="105">
        <v>0.91339999999999999</v>
      </c>
      <c r="G522" s="2042">
        <v>1.0517000000000001</v>
      </c>
      <c r="H522" s="105">
        <f t="shared" si="16"/>
        <v>0.13830000000000009</v>
      </c>
    </row>
    <row r="523" spans="1:8" ht="14.5">
      <c r="A523" s="727">
        <v>122901</v>
      </c>
      <c r="B523" s="1683" t="str">
        <f t="shared" si="17"/>
        <v>122-901</v>
      </c>
      <c r="C523" s="629" t="s">
        <v>2361</v>
      </c>
      <c r="D523" s="629" t="s">
        <v>9284</v>
      </c>
      <c r="E523" s="105">
        <v>0.91339999999999999</v>
      </c>
      <c r="F523" s="105">
        <v>0.91639999999999999</v>
      </c>
      <c r="G523" s="2042">
        <v>1.0350000000000001</v>
      </c>
      <c r="H523" s="105">
        <f t="shared" si="16"/>
        <v>0.11860000000000015</v>
      </c>
    </row>
    <row r="524" spans="1:8" ht="14.5">
      <c r="A524" s="41">
        <v>122902</v>
      </c>
      <c r="B524" s="380" t="str">
        <f t="shared" si="17"/>
        <v>122-902</v>
      </c>
      <c r="C524" s="2042" t="s">
        <v>2171</v>
      </c>
      <c r="D524" s="2042" t="s">
        <v>9284</v>
      </c>
      <c r="E524" s="105">
        <v>0.88550000000000006</v>
      </c>
      <c r="F524" s="105">
        <v>0.88550000000000006</v>
      </c>
      <c r="G524" s="2042">
        <v>0.9355</v>
      </c>
      <c r="H524" s="105">
        <f t="shared" si="16"/>
        <v>4.9999999999999933E-2</v>
      </c>
    </row>
    <row r="525" spans="1:8" ht="14.5">
      <c r="A525" s="41">
        <v>123905</v>
      </c>
      <c r="B525" s="380" t="str">
        <f t="shared" si="17"/>
        <v>123-905</v>
      </c>
      <c r="C525" s="2042" t="s">
        <v>371</v>
      </c>
      <c r="D525" s="2042" t="s">
        <v>9284</v>
      </c>
      <c r="E525" s="105">
        <v>0.82200000000000006</v>
      </c>
      <c r="F525" s="105">
        <v>0.82200000000000006</v>
      </c>
      <c r="G525" s="2042">
        <v>0.872</v>
      </c>
      <c r="H525" s="105">
        <f t="shared" si="16"/>
        <v>4.9999999999999933E-2</v>
      </c>
    </row>
    <row r="526" spans="1:8" ht="14.5">
      <c r="A526" s="41">
        <v>123907</v>
      </c>
      <c r="B526" s="380" t="str">
        <f t="shared" si="17"/>
        <v>123-907</v>
      </c>
      <c r="C526" s="2042" t="s">
        <v>2172</v>
      </c>
      <c r="D526" s="2042" t="s">
        <v>9284</v>
      </c>
      <c r="E526" s="105">
        <v>0.91339999999999999</v>
      </c>
      <c r="F526" s="105">
        <v>0.91339999999999999</v>
      </c>
      <c r="G526" s="2042">
        <v>1.0517000000000001</v>
      </c>
      <c r="H526" s="105">
        <f t="shared" si="16"/>
        <v>0.13830000000000009</v>
      </c>
    </row>
    <row r="527" spans="1:8" ht="14.5">
      <c r="A527" s="727">
        <v>123908</v>
      </c>
      <c r="B527" s="1683" t="str">
        <f t="shared" si="17"/>
        <v>123-908</v>
      </c>
      <c r="C527" s="629" t="s">
        <v>2543</v>
      </c>
      <c r="D527" s="629" t="s">
        <v>9284</v>
      </c>
      <c r="E527" s="105">
        <v>0.86580000000000001</v>
      </c>
      <c r="F527" s="105">
        <v>0.88260000000000005</v>
      </c>
      <c r="G527" s="2042">
        <v>1.0209000000000001</v>
      </c>
      <c r="H527" s="105">
        <f t="shared" si="16"/>
        <v>0.13830000000000009</v>
      </c>
    </row>
    <row r="528" spans="1:8" ht="14.5">
      <c r="A528" s="41">
        <v>123910</v>
      </c>
      <c r="B528" s="380" t="str">
        <f t="shared" si="17"/>
        <v>123-910</v>
      </c>
      <c r="C528" s="2042" t="s">
        <v>2544</v>
      </c>
      <c r="D528" s="2042" t="s">
        <v>9284</v>
      </c>
      <c r="E528" s="105">
        <v>0.8589</v>
      </c>
      <c r="F528" s="105">
        <v>0.8589</v>
      </c>
      <c r="G528" s="2042">
        <v>0.90890000000000004</v>
      </c>
      <c r="H528" s="105">
        <f t="shared" si="16"/>
        <v>5.0000000000000044E-2</v>
      </c>
    </row>
    <row r="529" spans="1:8" ht="14.5">
      <c r="A529" s="41">
        <v>123913</v>
      </c>
      <c r="B529" s="380" t="str">
        <f t="shared" si="17"/>
        <v>123-913</v>
      </c>
      <c r="C529" s="2042" t="s">
        <v>2545</v>
      </c>
      <c r="D529" s="2042" t="s">
        <v>9284</v>
      </c>
      <c r="E529" s="105">
        <v>0.89050000000000007</v>
      </c>
      <c r="F529" s="105">
        <v>0.89050000000000007</v>
      </c>
      <c r="G529" s="2042">
        <v>0.95050000000000001</v>
      </c>
      <c r="H529" s="105">
        <f t="shared" si="16"/>
        <v>5.9999999999999942E-2</v>
      </c>
    </row>
    <row r="530" spans="1:8" ht="14.5">
      <c r="A530" s="41">
        <v>123914</v>
      </c>
      <c r="B530" s="380" t="str">
        <f t="shared" si="17"/>
        <v>123-914</v>
      </c>
      <c r="C530" s="2042" t="s">
        <v>1638</v>
      </c>
      <c r="D530" s="2042" t="s">
        <v>9284</v>
      </c>
      <c r="E530" s="105">
        <v>0.82200000000000006</v>
      </c>
      <c r="F530" s="105">
        <v>0.82200000000000006</v>
      </c>
      <c r="G530" s="2042">
        <v>0.96030000000000004</v>
      </c>
      <c r="H530" s="105">
        <f t="shared" si="16"/>
        <v>0.13829999999999998</v>
      </c>
    </row>
    <row r="531" spans="1:8" ht="14.5">
      <c r="A531" s="41">
        <v>124901</v>
      </c>
      <c r="B531" s="380" t="str">
        <f t="shared" si="17"/>
        <v>124-901</v>
      </c>
      <c r="C531" s="2042" t="s">
        <v>1641</v>
      </c>
      <c r="D531" s="2042" t="s">
        <v>9284</v>
      </c>
      <c r="E531" s="105">
        <v>0.91339999999999999</v>
      </c>
      <c r="F531" s="105">
        <v>0.91339999999999999</v>
      </c>
      <c r="G531" s="2042">
        <v>0.96340000000000003</v>
      </c>
      <c r="H531" s="105">
        <f t="shared" si="16"/>
        <v>5.0000000000000044E-2</v>
      </c>
    </row>
    <row r="532" spans="1:8" ht="14.5">
      <c r="A532" s="41">
        <v>125901</v>
      </c>
      <c r="B532" s="380" t="str">
        <f t="shared" si="17"/>
        <v>125-901</v>
      </c>
      <c r="C532" s="2042" t="s">
        <v>660</v>
      </c>
      <c r="D532" s="2042" t="s">
        <v>9284</v>
      </c>
      <c r="E532" s="105">
        <v>0.89770000000000005</v>
      </c>
      <c r="F532" s="105">
        <v>0.89770000000000005</v>
      </c>
      <c r="G532" s="2042">
        <v>0.99070000000000003</v>
      </c>
      <c r="H532" s="105">
        <f t="shared" si="16"/>
        <v>9.2999999999999972E-2</v>
      </c>
    </row>
    <row r="533" spans="1:8" ht="14.5">
      <c r="A533" s="727">
        <v>125902</v>
      </c>
      <c r="B533" s="1683" t="str">
        <f t="shared" si="17"/>
        <v>125-902</v>
      </c>
      <c r="C533" s="629" t="s">
        <v>2534</v>
      </c>
      <c r="D533" s="629" t="s">
        <v>9284</v>
      </c>
      <c r="E533" s="105">
        <v>0.89240000000000008</v>
      </c>
      <c r="F533" s="105">
        <v>0.91339999999999999</v>
      </c>
      <c r="G533" s="2042">
        <v>1.0517000000000001</v>
      </c>
      <c r="H533" s="105">
        <f t="shared" si="16"/>
        <v>0.13830000000000009</v>
      </c>
    </row>
    <row r="534" spans="1:8" ht="14.5">
      <c r="A534" s="41">
        <v>125903</v>
      </c>
      <c r="B534" s="380" t="str">
        <f t="shared" si="17"/>
        <v>125-903</v>
      </c>
      <c r="C534" s="2042" t="s">
        <v>961</v>
      </c>
      <c r="D534" s="2042" t="s">
        <v>9284</v>
      </c>
      <c r="E534" s="105">
        <v>0.88719999999999999</v>
      </c>
      <c r="F534" s="105">
        <v>0.88719999999999999</v>
      </c>
      <c r="G534" s="2042">
        <v>0.94720000000000004</v>
      </c>
      <c r="H534" s="105">
        <f t="shared" si="16"/>
        <v>6.0000000000000053E-2</v>
      </c>
    </row>
    <row r="535" spans="1:8" ht="14.5">
      <c r="A535" s="41">
        <v>125905</v>
      </c>
      <c r="B535" s="380" t="str">
        <f t="shared" si="17"/>
        <v>125-905</v>
      </c>
      <c r="C535" s="2042" t="s">
        <v>1983</v>
      </c>
      <c r="D535" s="2042" t="s">
        <v>9284</v>
      </c>
      <c r="E535" s="105">
        <v>0.87350000000000005</v>
      </c>
      <c r="F535" s="105">
        <v>0.87350000000000005</v>
      </c>
      <c r="G535" s="2042">
        <v>1.0118</v>
      </c>
      <c r="H535" s="105">
        <f t="shared" si="16"/>
        <v>0.13829999999999998</v>
      </c>
    </row>
    <row r="536" spans="1:8" ht="14.5">
      <c r="A536" s="41">
        <v>125906</v>
      </c>
      <c r="B536" s="380" t="str">
        <f t="shared" si="17"/>
        <v>125-906</v>
      </c>
      <c r="C536" s="2042" t="s">
        <v>1642</v>
      </c>
      <c r="D536" s="2042" t="s">
        <v>9285</v>
      </c>
      <c r="E536" s="105">
        <v>0.91339999999999999</v>
      </c>
      <c r="F536" s="105">
        <v>0.91339999999999999</v>
      </c>
      <c r="G536" s="2042">
        <v>0.96340000000000003</v>
      </c>
      <c r="H536" s="105">
        <f t="shared" si="16"/>
        <v>5.0000000000000044E-2</v>
      </c>
    </row>
    <row r="537" spans="1:8" ht="14.5">
      <c r="A537" s="41">
        <v>126901</v>
      </c>
      <c r="B537" s="380" t="str">
        <f t="shared" si="17"/>
        <v>126-901</v>
      </c>
      <c r="C537" s="2042" t="s">
        <v>995</v>
      </c>
      <c r="D537" s="2042" t="s">
        <v>9284</v>
      </c>
      <c r="E537" s="105">
        <v>0.82200000000000006</v>
      </c>
      <c r="F537" s="105">
        <v>0.82200000000000006</v>
      </c>
      <c r="G537" s="2042">
        <v>0.872</v>
      </c>
      <c r="H537" s="105">
        <f t="shared" si="16"/>
        <v>4.9999999999999933E-2</v>
      </c>
    </row>
    <row r="538" spans="1:8" ht="14.5">
      <c r="A538" s="41">
        <v>126902</v>
      </c>
      <c r="B538" s="380" t="str">
        <f t="shared" si="17"/>
        <v>126-902</v>
      </c>
      <c r="C538" s="2042" t="s">
        <v>1364</v>
      </c>
      <c r="D538" s="2042" t="s">
        <v>9284</v>
      </c>
      <c r="E538" s="105">
        <v>0.85630000000000006</v>
      </c>
      <c r="F538" s="105">
        <v>0.85630000000000006</v>
      </c>
      <c r="G538" s="2042">
        <v>0.99460000000000004</v>
      </c>
      <c r="H538" s="105">
        <f t="shared" si="16"/>
        <v>0.13829999999999998</v>
      </c>
    </row>
    <row r="539" spans="1:8" ht="14.5">
      <c r="A539" s="41">
        <v>126903</v>
      </c>
      <c r="B539" s="380" t="str">
        <f t="shared" si="17"/>
        <v>126-903</v>
      </c>
      <c r="C539" s="2042" t="s">
        <v>1093</v>
      </c>
      <c r="D539" s="2042" t="s">
        <v>9284</v>
      </c>
      <c r="E539" s="105">
        <v>0.85589999999999999</v>
      </c>
      <c r="F539" s="105">
        <v>0.85589999999999999</v>
      </c>
      <c r="G539" s="2042">
        <v>0.99420000000000008</v>
      </c>
      <c r="H539" s="105">
        <f t="shared" si="16"/>
        <v>0.13830000000000009</v>
      </c>
    </row>
    <row r="540" spans="1:8" ht="14.5">
      <c r="A540" s="41">
        <v>126904</v>
      </c>
      <c r="B540" s="380" t="str">
        <f t="shared" si="17"/>
        <v>126-904</v>
      </c>
      <c r="C540" s="2042" t="s">
        <v>818</v>
      </c>
      <c r="D540" s="2042" t="s">
        <v>9284</v>
      </c>
      <c r="E540" s="105">
        <v>0.82200000000000006</v>
      </c>
      <c r="F540" s="105">
        <v>0.82200000000000006</v>
      </c>
      <c r="G540" s="2042">
        <v>0.872</v>
      </c>
      <c r="H540" s="105">
        <f t="shared" si="16"/>
        <v>4.9999999999999933E-2</v>
      </c>
    </row>
    <row r="541" spans="1:8" ht="14.5">
      <c r="A541" s="41">
        <v>126905</v>
      </c>
      <c r="B541" s="380" t="str">
        <f t="shared" si="17"/>
        <v>126-905</v>
      </c>
      <c r="C541" s="2042" t="s">
        <v>385</v>
      </c>
      <c r="D541" s="2042" t="s">
        <v>9284</v>
      </c>
      <c r="E541" s="105">
        <v>0.82200000000000006</v>
      </c>
      <c r="F541" s="105">
        <v>0.82200000000000006</v>
      </c>
      <c r="G541" s="2042">
        <v>0.96030000000000004</v>
      </c>
      <c r="H541" s="105">
        <f t="shared" si="16"/>
        <v>0.13829999999999998</v>
      </c>
    </row>
    <row r="542" spans="1:8" ht="14.5">
      <c r="A542" s="41">
        <v>126906</v>
      </c>
      <c r="B542" s="380" t="str">
        <f t="shared" si="17"/>
        <v>126-906</v>
      </c>
      <c r="C542" s="2042" t="s">
        <v>1921</v>
      </c>
      <c r="D542" s="2042" t="s">
        <v>9284</v>
      </c>
      <c r="E542" s="105">
        <v>0.87040000000000006</v>
      </c>
      <c r="F542" s="105">
        <v>0.87040000000000006</v>
      </c>
      <c r="G542" s="2042">
        <v>1.0087000000000002</v>
      </c>
      <c r="H542" s="105">
        <f t="shared" si="16"/>
        <v>0.13830000000000009</v>
      </c>
    </row>
    <row r="543" spans="1:8" ht="14.5">
      <c r="A543" s="41">
        <v>126907</v>
      </c>
      <c r="B543" s="380" t="str">
        <f t="shared" si="17"/>
        <v>126-907</v>
      </c>
      <c r="C543" s="2042" t="s">
        <v>2548</v>
      </c>
      <c r="D543" s="2042" t="s">
        <v>9284</v>
      </c>
      <c r="E543" s="105">
        <v>0.82890000000000008</v>
      </c>
      <c r="F543" s="105">
        <v>0.82890000000000008</v>
      </c>
      <c r="G543" s="2042">
        <v>0.96720000000000006</v>
      </c>
      <c r="H543" s="105">
        <f t="shared" si="16"/>
        <v>0.13829999999999998</v>
      </c>
    </row>
    <row r="544" spans="1:8" ht="14.5">
      <c r="A544" s="41">
        <v>126908</v>
      </c>
      <c r="B544" s="380" t="str">
        <f t="shared" si="17"/>
        <v>126-908</v>
      </c>
      <c r="C544" s="2042" t="s">
        <v>2499</v>
      </c>
      <c r="D544" s="2042" t="s">
        <v>9284</v>
      </c>
      <c r="E544" s="105">
        <v>0.82200000000000006</v>
      </c>
      <c r="F544" s="105">
        <v>0.82200000000000006</v>
      </c>
      <c r="G544" s="2042">
        <v>0.95350000000000001</v>
      </c>
      <c r="H544" s="105">
        <f t="shared" si="16"/>
        <v>0.13149999999999995</v>
      </c>
    </row>
    <row r="545" spans="1:8" ht="14.5">
      <c r="A545" s="41">
        <v>126911</v>
      </c>
      <c r="B545" s="380" t="str">
        <f t="shared" si="17"/>
        <v>126-911</v>
      </c>
      <c r="C545" s="2042" t="s">
        <v>2197</v>
      </c>
      <c r="D545" s="2042" t="s">
        <v>9284</v>
      </c>
      <c r="E545" s="105">
        <v>0.82200000000000006</v>
      </c>
      <c r="F545" s="105">
        <v>0.82200000000000006</v>
      </c>
      <c r="G545" s="2042">
        <v>0.99199999999999999</v>
      </c>
      <c r="H545" s="105">
        <f t="shared" si="16"/>
        <v>0.16999999999999993</v>
      </c>
    </row>
    <row r="546" spans="1:8" ht="14.5">
      <c r="A546" s="41">
        <v>127901</v>
      </c>
      <c r="B546" s="380" t="str">
        <f t="shared" si="17"/>
        <v>127-901</v>
      </c>
      <c r="C546" s="2042" t="s">
        <v>2279</v>
      </c>
      <c r="D546" s="2042" t="s">
        <v>9284</v>
      </c>
      <c r="E546" s="105">
        <v>0.82200000000000006</v>
      </c>
      <c r="F546" s="105">
        <v>0.82200000000000006</v>
      </c>
      <c r="G546" s="2042">
        <v>0.96030000000000004</v>
      </c>
      <c r="H546" s="105">
        <f t="shared" si="16"/>
        <v>0.13829999999999998</v>
      </c>
    </row>
    <row r="547" spans="1:8" ht="14.5">
      <c r="A547" s="41">
        <v>127903</v>
      </c>
      <c r="B547" s="380" t="str">
        <f t="shared" si="17"/>
        <v>127-903</v>
      </c>
      <c r="C547" s="2042" t="s">
        <v>1922</v>
      </c>
      <c r="D547" s="2042" t="s">
        <v>9284</v>
      </c>
      <c r="E547" s="105">
        <v>0.91339999999999999</v>
      </c>
      <c r="F547" s="105">
        <v>0.91339999999999999</v>
      </c>
      <c r="G547" s="2042">
        <v>1.0517000000000001</v>
      </c>
      <c r="H547" s="105">
        <f t="shared" si="16"/>
        <v>0.13830000000000009</v>
      </c>
    </row>
    <row r="548" spans="1:8" ht="14.5">
      <c r="A548" s="41">
        <v>127904</v>
      </c>
      <c r="B548" s="380" t="str">
        <f t="shared" si="17"/>
        <v>127-904</v>
      </c>
      <c r="C548" s="2042" t="s">
        <v>783</v>
      </c>
      <c r="D548" s="2042" t="s">
        <v>9284</v>
      </c>
      <c r="E548" s="105">
        <v>0.82200000000000006</v>
      </c>
      <c r="F548" s="105">
        <v>0.82200000000000006</v>
      </c>
      <c r="G548" s="2042">
        <v>0.96030000000000004</v>
      </c>
      <c r="H548" s="105">
        <f t="shared" si="16"/>
        <v>0.13829999999999998</v>
      </c>
    </row>
    <row r="549" spans="1:8" ht="14.5">
      <c r="A549" s="41">
        <v>127905</v>
      </c>
      <c r="B549" s="380" t="str">
        <f t="shared" si="17"/>
        <v>127-905</v>
      </c>
      <c r="C549" s="2042" t="s">
        <v>135</v>
      </c>
      <c r="D549" s="2042" t="s">
        <v>9284</v>
      </c>
      <c r="E549" s="105">
        <v>0.87590000000000001</v>
      </c>
      <c r="F549" s="105">
        <v>0.87590000000000001</v>
      </c>
      <c r="G549" s="2042">
        <v>1.0142</v>
      </c>
      <c r="H549" s="105">
        <f t="shared" si="16"/>
        <v>0.13829999999999998</v>
      </c>
    </row>
    <row r="550" spans="1:8" ht="14.5">
      <c r="A550" s="41">
        <v>127906</v>
      </c>
      <c r="B550" s="380" t="str">
        <f t="shared" si="17"/>
        <v>127-906</v>
      </c>
      <c r="C550" s="2042" t="s">
        <v>1832</v>
      </c>
      <c r="D550" s="2042" t="s">
        <v>9284</v>
      </c>
      <c r="E550" s="105">
        <v>0.85350000000000004</v>
      </c>
      <c r="F550" s="105">
        <v>0.85350000000000004</v>
      </c>
      <c r="G550" s="2042">
        <v>0.99180000000000001</v>
      </c>
      <c r="H550" s="105">
        <f t="shared" si="16"/>
        <v>0.13829999999999998</v>
      </c>
    </row>
    <row r="551" spans="1:8" ht="14.5">
      <c r="A551" s="41">
        <v>128901</v>
      </c>
      <c r="B551" s="380" t="str">
        <f t="shared" si="17"/>
        <v>128-901</v>
      </c>
      <c r="C551" s="2042" t="s">
        <v>387</v>
      </c>
      <c r="D551" s="2042" t="s">
        <v>9284</v>
      </c>
      <c r="E551" s="105">
        <v>0.91339999999999999</v>
      </c>
      <c r="F551" s="105">
        <v>0.91339999999999999</v>
      </c>
      <c r="G551" s="2042">
        <v>0.96340000000000003</v>
      </c>
      <c r="H551" s="105">
        <f t="shared" si="16"/>
        <v>5.0000000000000044E-2</v>
      </c>
    </row>
    <row r="552" spans="1:8" ht="14.5">
      <c r="A552" s="41">
        <v>128902</v>
      </c>
      <c r="B552" s="380" t="str">
        <f t="shared" si="17"/>
        <v>128-902</v>
      </c>
      <c r="C552" s="2042" t="s">
        <v>392</v>
      </c>
      <c r="D552" s="2042" t="s">
        <v>9284</v>
      </c>
      <c r="E552" s="105">
        <v>0.91339999999999999</v>
      </c>
      <c r="F552" s="105">
        <v>0.91339999999999999</v>
      </c>
      <c r="G552" s="2042">
        <v>0.96340000000000003</v>
      </c>
      <c r="H552" s="105">
        <f t="shared" si="16"/>
        <v>5.0000000000000044E-2</v>
      </c>
    </row>
    <row r="553" spans="1:8" ht="14.5">
      <c r="A553" s="41">
        <v>128903</v>
      </c>
      <c r="B553" s="380" t="str">
        <f t="shared" si="17"/>
        <v>128-903</v>
      </c>
      <c r="C553" s="2042" t="s">
        <v>1923</v>
      </c>
      <c r="D553" s="2042" t="s">
        <v>9284</v>
      </c>
      <c r="E553" s="105">
        <v>0.91339999999999999</v>
      </c>
      <c r="F553" s="105">
        <v>0.91339999999999999</v>
      </c>
      <c r="G553" s="2042">
        <v>0.96340000000000003</v>
      </c>
      <c r="H553" s="105">
        <f t="shared" si="16"/>
        <v>5.0000000000000044E-2</v>
      </c>
    </row>
    <row r="554" spans="1:8" ht="14.5">
      <c r="A554" s="41">
        <v>128904</v>
      </c>
      <c r="B554" s="380" t="str">
        <f t="shared" si="17"/>
        <v>128-904</v>
      </c>
      <c r="C554" s="2042" t="s">
        <v>846</v>
      </c>
      <c r="D554" s="2042" t="s">
        <v>9284</v>
      </c>
      <c r="E554" s="105">
        <v>0.91339999999999999</v>
      </c>
      <c r="F554" s="105">
        <v>0.91339999999999999</v>
      </c>
      <c r="G554" s="2042">
        <v>0.97340000000000004</v>
      </c>
      <c r="H554" s="105">
        <f t="shared" si="16"/>
        <v>6.0000000000000053E-2</v>
      </c>
    </row>
    <row r="555" spans="1:8" ht="14.5">
      <c r="A555" s="41">
        <v>129901</v>
      </c>
      <c r="B555" s="380" t="str">
        <f t="shared" si="17"/>
        <v>129-901</v>
      </c>
      <c r="C555" s="2042" t="s">
        <v>394</v>
      </c>
      <c r="D555" s="2042" t="s">
        <v>9284</v>
      </c>
      <c r="E555" s="105">
        <v>0.82200000000000006</v>
      </c>
      <c r="F555" s="105">
        <v>0.82200000000000006</v>
      </c>
      <c r="G555" s="2042">
        <v>0.872</v>
      </c>
      <c r="H555" s="105">
        <f t="shared" si="16"/>
        <v>4.9999999999999933E-2</v>
      </c>
    </row>
    <row r="556" spans="1:8" ht="14.5">
      <c r="A556" s="41">
        <v>129902</v>
      </c>
      <c r="B556" s="380" t="str">
        <f t="shared" si="17"/>
        <v>129-902</v>
      </c>
      <c r="C556" s="2042" t="s">
        <v>102</v>
      </c>
      <c r="D556" s="2042" t="s">
        <v>9284</v>
      </c>
      <c r="E556" s="105">
        <v>0.82200000000000006</v>
      </c>
      <c r="F556" s="105">
        <v>0.82200000000000006</v>
      </c>
      <c r="G556" s="2042">
        <v>0.872</v>
      </c>
      <c r="H556" s="105">
        <f t="shared" si="16"/>
        <v>4.9999999999999933E-2</v>
      </c>
    </row>
    <row r="557" spans="1:8" ht="14.5">
      <c r="A557" s="41">
        <v>129903</v>
      </c>
      <c r="B557" s="380" t="str">
        <f t="shared" si="17"/>
        <v>129-903</v>
      </c>
      <c r="C557" s="2042" t="s">
        <v>389</v>
      </c>
      <c r="D557" s="2042" t="s">
        <v>9284</v>
      </c>
      <c r="E557" s="105">
        <v>0.82200000000000006</v>
      </c>
      <c r="F557" s="105">
        <v>0.82200000000000006</v>
      </c>
      <c r="G557" s="2042">
        <v>0.96030000000000004</v>
      </c>
      <c r="H557" s="105">
        <f t="shared" si="16"/>
        <v>0.13829999999999998</v>
      </c>
    </row>
    <row r="558" spans="1:8" ht="14.5">
      <c r="A558" s="41">
        <v>129904</v>
      </c>
      <c r="B558" s="380" t="str">
        <f t="shared" si="17"/>
        <v>129-904</v>
      </c>
      <c r="C558" s="2042" t="s">
        <v>391</v>
      </c>
      <c r="D558" s="2042" t="s">
        <v>9284</v>
      </c>
      <c r="E558" s="105">
        <v>0.82200000000000006</v>
      </c>
      <c r="F558" s="105">
        <v>0.82200000000000006</v>
      </c>
      <c r="G558" s="2042">
        <v>0.96</v>
      </c>
      <c r="H558" s="105">
        <f t="shared" si="16"/>
        <v>0.1379999999999999</v>
      </c>
    </row>
    <row r="559" spans="1:8" ht="14.5">
      <c r="A559" s="41">
        <v>129905</v>
      </c>
      <c r="B559" s="380" t="str">
        <f t="shared" si="17"/>
        <v>129-905</v>
      </c>
      <c r="C559" s="2042" t="s">
        <v>1924</v>
      </c>
      <c r="D559" s="2042" t="s">
        <v>9284</v>
      </c>
      <c r="E559" s="105">
        <v>0.82200000000000006</v>
      </c>
      <c r="F559" s="105">
        <v>0.82200000000000006</v>
      </c>
      <c r="G559" s="2042">
        <v>0.872</v>
      </c>
      <c r="H559" s="105">
        <f t="shared" si="16"/>
        <v>4.9999999999999933E-2</v>
      </c>
    </row>
    <row r="560" spans="1:8" ht="14.5">
      <c r="A560" s="41">
        <v>129906</v>
      </c>
      <c r="B560" s="380" t="str">
        <f t="shared" si="17"/>
        <v>129-906</v>
      </c>
      <c r="C560" s="2042" t="s">
        <v>1925</v>
      </c>
      <c r="D560" s="2042" t="s">
        <v>9284</v>
      </c>
      <c r="E560" s="105">
        <v>0.82200000000000006</v>
      </c>
      <c r="F560" s="105">
        <v>0.82200000000000006</v>
      </c>
      <c r="G560" s="2042">
        <v>0.96030000000000004</v>
      </c>
      <c r="H560" s="105">
        <f t="shared" si="16"/>
        <v>0.13829999999999998</v>
      </c>
    </row>
    <row r="561" spans="1:8" ht="14.5">
      <c r="A561" s="41">
        <v>129910</v>
      </c>
      <c r="B561" s="380" t="str">
        <f t="shared" si="17"/>
        <v>129-910</v>
      </c>
      <c r="C561" s="2042" t="s">
        <v>1174</v>
      </c>
      <c r="D561" s="2042" t="s">
        <v>9284</v>
      </c>
      <c r="E561" s="105">
        <v>0.82200000000000006</v>
      </c>
      <c r="F561" s="105">
        <v>0.82200000000000006</v>
      </c>
      <c r="G561" s="2042">
        <v>0.96030000000000004</v>
      </c>
      <c r="H561" s="105">
        <f t="shared" si="16"/>
        <v>0.13829999999999998</v>
      </c>
    </row>
    <row r="562" spans="1:8" ht="14.5">
      <c r="A562" s="41">
        <v>130901</v>
      </c>
      <c r="B562" s="380" t="str">
        <f t="shared" si="17"/>
        <v>130-901</v>
      </c>
      <c r="C562" s="2042" t="s">
        <v>1926</v>
      </c>
      <c r="D562" s="2042" t="s">
        <v>9284</v>
      </c>
      <c r="E562" s="105">
        <v>0.8306</v>
      </c>
      <c r="F562" s="105">
        <v>0.8306</v>
      </c>
      <c r="G562" s="2042">
        <v>0.88060000000000005</v>
      </c>
      <c r="H562" s="105">
        <f t="shared" si="16"/>
        <v>5.0000000000000044E-2</v>
      </c>
    </row>
    <row r="563" spans="1:8" ht="14.5">
      <c r="A563" s="41">
        <v>130902</v>
      </c>
      <c r="B563" s="380" t="str">
        <f t="shared" si="17"/>
        <v>130-902</v>
      </c>
      <c r="C563" s="2042" t="s">
        <v>1927</v>
      </c>
      <c r="D563" s="2042" t="s">
        <v>9284</v>
      </c>
      <c r="E563" s="105">
        <v>0.85589999999999999</v>
      </c>
      <c r="F563" s="105">
        <v>0.85589999999999999</v>
      </c>
      <c r="G563" s="2042">
        <v>0.90590000000000004</v>
      </c>
      <c r="H563" s="105">
        <f t="shared" si="16"/>
        <v>5.0000000000000044E-2</v>
      </c>
    </row>
    <row r="564" spans="1:8" ht="14.5">
      <c r="A564" s="41">
        <v>131001</v>
      </c>
      <c r="B564" s="380" t="str">
        <f t="shared" si="17"/>
        <v>131-001</v>
      </c>
      <c r="C564" s="2042" t="s">
        <v>1928</v>
      </c>
      <c r="D564" s="2042" t="s">
        <v>9284</v>
      </c>
      <c r="E564" s="105">
        <v>0.82200000000000006</v>
      </c>
      <c r="F564" s="105">
        <v>0.82200000000000006</v>
      </c>
      <c r="G564" s="2042">
        <v>0.88200000000000001</v>
      </c>
      <c r="H564" s="105">
        <f t="shared" si="16"/>
        <v>5.9999999999999942E-2</v>
      </c>
    </row>
    <row r="565" spans="1:8" ht="14.5">
      <c r="A565" s="41">
        <v>132902</v>
      </c>
      <c r="B565" s="380" t="str">
        <f t="shared" si="17"/>
        <v>132-902</v>
      </c>
      <c r="C565" s="2042" t="s">
        <v>1929</v>
      </c>
      <c r="D565" s="2042" t="s">
        <v>9284</v>
      </c>
      <c r="E565" s="105">
        <v>0.91339999999999999</v>
      </c>
      <c r="F565" s="105">
        <v>0.91339999999999999</v>
      </c>
      <c r="G565" s="2042">
        <v>0.96340000000000003</v>
      </c>
      <c r="H565" s="105">
        <f t="shared" si="16"/>
        <v>5.0000000000000044E-2</v>
      </c>
    </row>
    <row r="566" spans="1:8" ht="14.5">
      <c r="A566" s="41">
        <v>133901</v>
      </c>
      <c r="B566" s="380" t="str">
        <f t="shared" si="17"/>
        <v>133-901</v>
      </c>
      <c r="C566" s="2042" t="s">
        <v>618</v>
      </c>
      <c r="D566" s="2042" t="s">
        <v>9284</v>
      </c>
      <c r="E566" s="105">
        <v>0.84030000000000005</v>
      </c>
      <c r="F566" s="105">
        <v>0.84030000000000005</v>
      </c>
      <c r="G566" s="2042">
        <v>0.89030000000000009</v>
      </c>
      <c r="H566" s="105">
        <f t="shared" si="16"/>
        <v>5.0000000000000044E-2</v>
      </c>
    </row>
    <row r="567" spans="1:8" ht="14.5">
      <c r="A567" s="41">
        <v>133902</v>
      </c>
      <c r="B567" s="380" t="str">
        <f t="shared" si="17"/>
        <v>133-902</v>
      </c>
      <c r="C567" s="2042" t="s">
        <v>1930</v>
      </c>
      <c r="D567" s="2042" t="s">
        <v>9284</v>
      </c>
      <c r="E567" s="105">
        <v>0.8357</v>
      </c>
      <c r="F567" s="105">
        <v>0.8357</v>
      </c>
      <c r="G567" s="2042">
        <v>0.88570000000000004</v>
      </c>
      <c r="H567" s="105">
        <f t="shared" si="16"/>
        <v>5.0000000000000044E-2</v>
      </c>
    </row>
    <row r="568" spans="1:8" ht="14.5">
      <c r="A568" s="41">
        <v>133903</v>
      </c>
      <c r="B568" s="380" t="str">
        <f t="shared" si="17"/>
        <v>133-903</v>
      </c>
      <c r="C568" s="2042" t="s">
        <v>1931</v>
      </c>
      <c r="D568" s="2042" t="s">
        <v>9284</v>
      </c>
      <c r="E568" s="105">
        <v>0.82200000000000006</v>
      </c>
      <c r="F568" s="105">
        <v>0.82200000000000006</v>
      </c>
      <c r="G568" s="2042">
        <v>0.872</v>
      </c>
      <c r="H568" s="105">
        <f t="shared" si="16"/>
        <v>4.9999999999999933E-2</v>
      </c>
    </row>
    <row r="569" spans="1:8" ht="14.5">
      <c r="A569" s="41">
        <v>133904</v>
      </c>
      <c r="B569" s="380" t="str">
        <f t="shared" si="17"/>
        <v>133-904</v>
      </c>
      <c r="C569" s="2042" t="s">
        <v>1932</v>
      </c>
      <c r="D569" s="2042" t="s">
        <v>9284</v>
      </c>
      <c r="E569" s="105">
        <v>0.82200000000000006</v>
      </c>
      <c r="F569" s="105">
        <v>0.82200000000000006</v>
      </c>
      <c r="G569" s="2042">
        <v>0.872</v>
      </c>
      <c r="H569" s="105">
        <f t="shared" si="16"/>
        <v>4.9999999999999933E-2</v>
      </c>
    </row>
    <row r="570" spans="1:8" ht="14.5">
      <c r="A570" s="41">
        <v>133905</v>
      </c>
      <c r="B570" s="380" t="str">
        <f t="shared" si="17"/>
        <v>133-905</v>
      </c>
      <c r="C570" s="2042" t="s">
        <v>1933</v>
      </c>
      <c r="D570" s="2042" t="s">
        <v>9284</v>
      </c>
      <c r="E570" s="105">
        <v>0.8236</v>
      </c>
      <c r="F570" s="105">
        <v>0.8236</v>
      </c>
      <c r="G570" s="2042">
        <v>0.8236</v>
      </c>
      <c r="H570" s="105">
        <f t="shared" si="16"/>
        <v>0</v>
      </c>
    </row>
    <row r="571" spans="1:8" ht="14.5">
      <c r="A571" s="41">
        <v>134901</v>
      </c>
      <c r="B571" s="380" t="str">
        <f t="shared" si="17"/>
        <v>134-901</v>
      </c>
      <c r="C571" s="2042" t="s">
        <v>1934</v>
      </c>
      <c r="D571" s="2042" t="s">
        <v>9284</v>
      </c>
      <c r="E571" s="105">
        <v>0.82200000000000006</v>
      </c>
      <c r="F571" s="105">
        <v>0.82200000000000006</v>
      </c>
      <c r="G571" s="2042">
        <v>0.872</v>
      </c>
      <c r="H571" s="105">
        <f t="shared" si="16"/>
        <v>4.9999999999999933E-2</v>
      </c>
    </row>
    <row r="572" spans="1:8" ht="14.5">
      <c r="A572" s="41">
        <v>135001</v>
      </c>
      <c r="B572" s="380" t="str">
        <f t="shared" si="17"/>
        <v>135-001</v>
      </c>
      <c r="C572" s="2042" t="s">
        <v>1935</v>
      </c>
      <c r="D572" s="2042" t="s">
        <v>9284</v>
      </c>
      <c r="E572" s="105">
        <v>0.91339999999999999</v>
      </c>
      <c r="F572" s="105">
        <v>0.91339999999999999</v>
      </c>
      <c r="G572" s="2042">
        <v>0.96340000000000003</v>
      </c>
      <c r="H572" s="105">
        <f t="shared" si="16"/>
        <v>5.0000000000000044E-2</v>
      </c>
    </row>
    <row r="573" spans="1:8" ht="14.5">
      <c r="A573" s="41">
        <v>136901</v>
      </c>
      <c r="B573" s="380" t="str">
        <f t="shared" si="17"/>
        <v>136-901</v>
      </c>
      <c r="C573" s="2042" t="s">
        <v>1936</v>
      </c>
      <c r="D573" s="2042" t="s">
        <v>9284</v>
      </c>
      <c r="E573" s="105">
        <v>0.82200000000000006</v>
      </c>
      <c r="F573" s="105">
        <v>0.82200000000000006</v>
      </c>
      <c r="G573" s="2042">
        <v>0.872</v>
      </c>
      <c r="H573" s="105">
        <f t="shared" si="16"/>
        <v>4.9999999999999933E-2</v>
      </c>
    </row>
    <row r="574" spans="1:8" ht="14.5">
      <c r="A574" s="41">
        <v>137901</v>
      </c>
      <c r="B574" s="380" t="str">
        <f t="shared" si="17"/>
        <v>137-901</v>
      </c>
      <c r="C574" s="2042" t="s">
        <v>1903</v>
      </c>
      <c r="D574" s="2042" t="s">
        <v>9284</v>
      </c>
      <c r="E574" s="105">
        <v>0.88819999999999999</v>
      </c>
      <c r="F574" s="105">
        <v>0.88819999999999999</v>
      </c>
      <c r="G574" s="2042">
        <v>1.0265</v>
      </c>
      <c r="H574" s="105">
        <f t="shared" si="16"/>
        <v>0.13829999999999998</v>
      </c>
    </row>
    <row r="575" spans="1:8" ht="14.5">
      <c r="A575" s="41">
        <v>137902</v>
      </c>
      <c r="B575" s="380" t="str">
        <f t="shared" si="17"/>
        <v>137-902</v>
      </c>
      <c r="C575" s="2042" t="s">
        <v>1937</v>
      </c>
      <c r="D575" s="2042" t="s">
        <v>9284</v>
      </c>
      <c r="E575" s="105">
        <v>0.83240000000000003</v>
      </c>
      <c r="F575" s="105">
        <v>0.83240000000000003</v>
      </c>
      <c r="G575" s="2042">
        <v>0.97070000000000001</v>
      </c>
      <c r="H575" s="105">
        <f t="shared" si="16"/>
        <v>0.13829999999999998</v>
      </c>
    </row>
    <row r="576" spans="1:8" ht="14.5">
      <c r="A576" s="727">
        <v>137903</v>
      </c>
      <c r="B576" s="1683" t="str">
        <f t="shared" si="17"/>
        <v>137-903</v>
      </c>
      <c r="C576" s="629" t="s">
        <v>1938</v>
      </c>
      <c r="D576" s="629" t="s">
        <v>9286</v>
      </c>
      <c r="E576" s="105">
        <v>0.91339999999999999</v>
      </c>
      <c r="F576" s="105">
        <v>0.94510000000000005</v>
      </c>
      <c r="G576" s="2042">
        <v>1.0834000000000001</v>
      </c>
      <c r="H576" s="105">
        <f t="shared" si="16"/>
        <v>0.13830000000000009</v>
      </c>
    </row>
    <row r="577" spans="1:8" ht="14.5">
      <c r="A577" s="41">
        <v>137904</v>
      </c>
      <c r="B577" s="380" t="str">
        <f t="shared" si="17"/>
        <v>137-904</v>
      </c>
      <c r="C577" s="2042" t="s">
        <v>1939</v>
      </c>
      <c r="D577" s="2042" t="s">
        <v>9284</v>
      </c>
      <c r="E577" s="105">
        <v>0.91339999999999999</v>
      </c>
      <c r="F577" s="105">
        <v>0.91339999999999999</v>
      </c>
      <c r="G577" s="2042">
        <v>0.96340000000000003</v>
      </c>
      <c r="H577" s="105">
        <f t="shared" si="16"/>
        <v>5.0000000000000044E-2</v>
      </c>
    </row>
    <row r="578" spans="1:8" ht="14.5">
      <c r="A578" s="727">
        <v>138902</v>
      </c>
      <c r="B578" s="1683" t="str">
        <f t="shared" si="17"/>
        <v>138-902</v>
      </c>
      <c r="C578" s="629" t="s">
        <v>1597</v>
      </c>
      <c r="D578" s="629" t="s">
        <v>9284</v>
      </c>
      <c r="E578" s="105">
        <v>0.91339999999999999</v>
      </c>
      <c r="F578" s="105">
        <v>0.91639999999999999</v>
      </c>
      <c r="G578" s="2042">
        <v>1.0547</v>
      </c>
      <c r="H578" s="105">
        <f t="shared" si="16"/>
        <v>0.13829999999999998</v>
      </c>
    </row>
    <row r="579" spans="1:8" ht="14.5">
      <c r="A579" s="41">
        <v>138903</v>
      </c>
      <c r="B579" s="380" t="str">
        <f t="shared" si="17"/>
        <v>138-903</v>
      </c>
      <c r="C579" s="2042" t="s">
        <v>1940</v>
      </c>
      <c r="D579" s="2042" t="s">
        <v>9284</v>
      </c>
      <c r="E579" s="105">
        <v>0.87520000000000009</v>
      </c>
      <c r="F579" s="105">
        <v>0.87520000000000009</v>
      </c>
      <c r="G579" s="2042">
        <v>1.0135000000000001</v>
      </c>
      <c r="H579" s="105">
        <f t="shared" ref="H579:H642" si="18">G579-F579</f>
        <v>0.13829999999999998</v>
      </c>
    </row>
    <row r="580" spans="1:8" ht="14.5">
      <c r="A580" s="41">
        <v>138904</v>
      </c>
      <c r="B580" s="380" t="str">
        <f t="shared" si="17"/>
        <v>138-904</v>
      </c>
      <c r="C580" s="2042" t="s">
        <v>1941</v>
      </c>
      <c r="D580" s="2042" t="s">
        <v>9284</v>
      </c>
      <c r="E580" s="105">
        <v>0.82200000000000006</v>
      </c>
      <c r="F580" s="105">
        <v>0.82200000000000006</v>
      </c>
      <c r="G580" s="2042">
        <v>0.96030000000000004</v>
      </c>
      <c r="H580" s="105">
        <f t="shared" si="18"/>
        <v>0.13829999999999998</v>
      </c>
    </row>
    <row r="581" spans="1:8" ht="14.5">
      <c r="A581" s="41">
        <v>139905</v>
      </c>
      <c r="B581" s="380" t="str">
        <f t="shared" si="17"/>
        <v>139-905</v>
      </c>
      <c r="C581" s="2042" t="s">
        <v>1942</v>
      </c>
      <c r="D581" s="2042" t="s">
        <v>9284</v>
      </c>
      <c r="E581" s="105">
        <v>0.91339999999999999</v>
      </c>
      <c r="F581" s="105">
        <v>0.91339999999999999</v>
      </c>
      <c r="G581" s="2042">
        <v>0.96340000000000003</v>
      </c>
      <c r="H581" s="105">
        <f t="shared" si="18"/>
        <v>5.0000000000000044E-2</v>
      </c>
    </row>
    <row r="582" spans="1:8" ht="14.5">
      <c r="A582" s="727">
        <v>139909</v>
      </c>
      <c r="B582" s="1683" t="str">
        <f t="shared" si="17"/>
        <v>139-909</v>
      </c>
      <c r="C582" s="629" t="s">
        <v>184</v>
      </c>
      <c r="D582" s="629" t="s">
        <v>9284</v>
      </c>
      <c r="E582" s="105">
        <v>0.82200000000000006</v>
      </c>
      <c r="F582" s="105">
        <v>0.85370000000000001</v>
      </c>
      <c r="G582" s="2042">
        <v>0.99199999999999999</v>
      </c>
      <c r="H582" s="105">
        <f t="shared" si="18"/>
        <v>0.13829999999999998</v>
      </c>
    </row>
    <row r="583" spans="1:8" ht="14.5">
      <c r="A583" s="41">
        <v>139911</v>
      </c>
      <c r="B583" s="380" t="str">
        <f t="shared" si="17"/>
        <v>139-911</v>
      </c>
      <c r="C583" s="2042" t="s">
        <v>2290</v>
      </c>
      <c r="D583" s="2042" t="s">
        <v>9284</v>
      </c>
      <c r="E583" s="105">
        <v>0.84600000000000009</v>
      </c>
      <c r="F583" s="105">
        <v>0.84600000000000009</v>
      </c>
      <c r="G583" s="2042">
        <v>0.89600000000000002</v>
      </c>
      <c r="H583" s="105">
        <f t="shared" si="18"/>
        <v>4.9999999999999933E-2</v>
      </c>
    </row>
    <row r="584" spans="1:8" ht="14.5">
      <c r="A584" s="41">
        <v>139912</v>
      </c>
      <c r="B584" s="380" t="str">
        <f t="shared" si="17"/>
        <v>139-912</v>
      </c>
      <c r="C584" s="2042" t="s">
        <v>1982</v>
      </c>
      <c r="D584" s="2042" t="s">
        <v>9284</v>
      </c>
      <c r="E584" s="105">
        <v>0.82200000000000006</v>
      </c>
      <c r="F584" s="105">
        <v>0.82200000000000006</v>
      </c>
      <c r="G584" s="2042">
        <v>0.872</v>
      </c>
      <c r="H584" s="105">
        <f t="shared" si="18"/>
        <v>4.9999999999999933E-2</v>
      </c>
    </row>
    <row r="585" spans="1:8">
      <c r="B585" s="2042" t="s">
        <v>1466</v>
      </c>
      <c r="C585" s="2042" t="s">
        <v>6573</v>
      </c>
      <c r="E585" s="105">
        <v>0.91339999999999999</v>
      </c>
      <c r="F585" s="105">
        <v>0.91339999999999999</v>
      </c>
      <c r="G585" s="2042">
        <v>1.0517000000000001</v>
      </c>
      <c r="H585" s="105">
        <f t="shared" si="18"/>
        <v>0.13830000000000009</v>
      </c>
    </row>
    <row r="586" spans="1:8" ht="14.5">
      <c r="A586" s="41">
        <v>140904</v>
      </c>
      <c r="B586" s="380" t="str">
        <f t="shared" si="17"/>
        <v>140-904</v>
      </c>
      <c r="C586" s="2042" t="s">
        <v>890</v>
      </c>
      <c r="D586" s="2042" t="s">
        <v>9284</v>
      </c>
      <c r="E586" s="105">
        <v>0.86890000000000001</v>
      </c>
      <c r="F586" s="105">
        <v>0.86890000000000001</v>
      </c>
      <c r="G586" s="2042">
        <v>0.91890000000000005</v>
      </c>
      <c r="H586" s="105">
        <f t="shared" si="18"/>
        <v>5.0000000000000044E-2</v>
      </c>
    </row>
    <row r="587" spans="1:8" ht="14.5">
      <c r="A587" s="41">
        <v>140905</v>
      </c>
      <c r="B587" s="380" t="str">
        <f t="shared" ref="B587:B651" si="19">CONCATENATE(LEFT(RIGHT(CONCATENATE("000",A587),6),3),"-",(RIGHT(RIGHT(CONCATENATE("000",A587),6),3)))</f>
        <v>140-905</v>
      </c>
      <c r="C587" s="2042" t="s">
        <v>780</v>
      </c>
      <c r="D587" s="2042" t="s">
        <v>9284</v>
      </c>
      <c r="E587" s="105">
        <v>0.85589999999999999</v>
      </c>
      <c r="F587" s="105">
        <v>0.85589999999999999</v>
      </c>
      <c r="G587" s="2042">
        <v>0.9618000000000001</v>
      </c>
      <c r="H587" s="105">
        <f t="shared" si="18"/>
        <v>0.10590000000000011</v>
      </c>
    </row>
    <row r="588" spans="1:8" ht="14.5">
      <c r="A588" s="41">
        <v>140907</v>
      </c>
      <c r="B588" s="380" t="str">
        <f t="shared" si="19"/>
        <v>140-907</v>
      </c>
      <c r="C588" s="2042" t="s">
        <v>892</v>
      </c>
      <c r="D588" s="2042" t="s">
        <v>9284</v>
      </c>
      <c r="E588" s="105">
        <v>0.87809999999999999</v>
      </c>
      <c r="F588" s="105">
        <v>0.87809999999999999</v>
      </c>
      <c r="G588" s="2042">
        <v>1.0164</v>
      </c>
      <c r="H588" s="105">
        <f t="shared" si="18"/>
        <v>0.13829999999999998</v>
      </c>
    </row>
    <row r="589" spans="1:8" ht="14.5">
      <c r="A589" s="41">
        <v>140908</v>
      </c>
      <c r="B589" s="380" t="str">
        <f t="shared" si="19"/>
        <v>140-908</v>
      </c>
      <c r="C589" s="2042" t="s">
        <v>893</v>
      </c>
      <c r="D589" s="2042" t="s">
        <v>9284</v>
      </c>
      <c r="E589" s="105">
        <v>0.90680000000000005</v>
      </c>
      <c r="F589" s="105">
        <v>0.90680000000000005</v>
      </c>
      <c r="G589" s="2042">
        <v>0.95680000000000009</v>
      </c>
      <c r="H589" s="105">
        <f t="shared" si="18"/>
        <v>5.0000000000000044E-2</v>
      </c>
    </row>
    <row r="590" spans="1:8" ht="14.5">
      <c r="A590" s="41">
        <v>141901</v>
      </c>
      <c r="B590" s="380" t="str">
        <f t="shared" si="19"/>
        <v>141-901</v>
      </c>
      <c r="C590" s="2042" t="s">
        <v>894</v>
      </c>
      <c r="D590" s="2042" t="s">
        <v>9284</v>
      </c>
      <c r="E590" s="105">
        <v>0.82200000000000006</v>
      </c>
      <c r="F590" s="105">
        <v>0.82200000000000006</v>
      </c>
      <c r="G590" s="2042">
        <v>0.96030000000000004</v>
      </c>
      <c r="H590" s="105">
        <f t="shared" si="18"/>
        <v>0.13829999999999998</v>
      </c>
    </row>
    <row r="591" spans="1:8" ht="14.5">
      <c r="A591" s="41">
        <v>141902</v>
      </c>
      <c r="B591" s="380" t="str">
        <f t="shared" si="19"/>
        <v>141-902</v>
      </c>
      <c r="C591" s="2042" t="s">
        <v>895</v>
      </c>
      <c r="D591" s="2042" t="s">
        <v>9284</v>
      </c>
      <c r="E591" s="105">
        <v>0.82200000000000006</v>
      </c>
      <c r="F591" s="105">
        <v>0.82200000000000006</v>
      </c>
      <c r="G591" s="2042">
        <v>0.872</v>
      </c>
      <c r="H591" s="105">
        <f t="shared" si="18"/>
        <v>4.9999999999999933E-2</v>
      </c>
    </row>
    <row r="592" spans="1:8" ht="14.5">
      <c r="A592" s="41">
        <v>142901</v>
      </c>
      <c r="B592" s="380" t="str">
        <f t="shared" si="19"/>
        <v>142-901</v>
      </c>
      <c r="C592" s="2042" t="s">
        <v>1040</v>
      </c>
      <c r="D592" s="2042" t="s">
        <v>9284</v>
      </c>
      <c r="E592" s="105">
        <v>0.91339999999999999</v>
      </c>
      <c r="F592" s="105">
        <v>0.91339999999999999</v>
      </c>
      <c r="G592" s="2042">
        <v>0.97340000000000004</v>
      </c>
      <c r="H592" s="105">
        <f t="shared" si="18"/>
        <v>6.0000000000000053E-2</v>
      </c>
    </row>
    <row r="593" spans="1:8" ht="14.5">
      <c r="A593" s="41">
        <v>143901</v>
      </c>
      <c r="B593" s="380" t="str">
        <f t="shared" si="19"/>
        <v>143-901</v>
      </c>
      <c r="C593" s="2042" t="s">
        <v>896</v>
      </c>
      <c r="D593" s="2042" t="s">
        <v>9284</v>
      </c>
      <c r="E593" s="105">
        <v>0.82200000000000006</v>
      </c>
      <c r="F593" s="105">
        <v>0.82200000000000006</v>
      </c>
      <c r="G593" s="2042">
        <v>0.872</v>
      </c>
      <c r="H593" s="105">
        <f t="shared" si="18"/>
        <v>4.9999999999999933E-2</v>
      </c>
    </row>
    <row r="594" spans="1:8" ht="14.5">
      <c r="A594" s="41">
        <v>143902</v>
      </c>
      <c r="B594" s="380" t="str">
        <f t="shared" si="19"/>
        <v>143-902</v>
      </c>
      <c r="C594" s="2042" t="s">
        <v>897</v>
      </c>
      <c r="D594" s="2042" t="s">
        <v>9284</v>
      </c>
      <c r="E594" s="105">
        <v>0.91339999999999999</v>
      </c>
      <c r="F594" s="105">
        <v>0.91339999999999999</v>
      </c>
      <c r="G594" s="2042">
        <v>0.96340000000000003</v>
      </c>
      <c r="H594" s="105">
        <f t="shared" si="18"/>
        <v>5.0000000000000044E-2</v>
      </c>
    </row>
    <row r="595" spans="1:8" ht="14.5">
      <c r="A595" s="41">
        <v>143903</v>
      </c>
      <c r="B595" s="380" t="str">
        <f t="shared" si="19"/>
        <v>143-903</v>
      </c>
      <c r="C595" s="2042" t="s">
        <v>898</v>
      </c>
      <c r="D595" s="2042" t="s">
        <v>9284</v>
      </c>
      <c r="E595" s="105">
        <v>0.91339999999999999</v>
      </c>
      <c r="F595" s="105">
        <v>0.91339999999999999</v>
      </c>
      <c r="G595" s="2042">
        <v>0.96340000000000003</v>
      </c>
      <c r="H595" s="105">
        <f t="shared" si="18"/>
        <v>5.0000000000000044E-2</v>
      </c>
    </row>
    <row r="596" spans="1:8" ht="14.5">
      <c r="A596" s="41">
        <v>143904</v>
      </c>
      <c r="B596" s="380" t="str">
        <f t="shared" si="19"/>
        <v>143-904</v>
      </c>
      <c r="C596" s="2042" t="s">
        <v>899</v>
      </c>
      <c r="D596" s="2042" t="s">
        <v>9284</v>
      </c>
      <c r="E596" s="105">
        <v>0.871</v>
      </c>
      <c r="F596" s="105">
        <v>0.871</v>
      </c>
      <c r="G596" s="2042">
        <v>0.92100000000000004</v>
      </c>
      <c r="H596" s="105">
        <f t="shared" si="18"/>
        <v>5.0000000000000044E-2</v>
      </c>
    </row>
    <row r="597" spans="1:8" ht="14.5">
      <c r="A597" s="727">
        <v>143905</v>
      </c>
      <c r="B597" s="1683" t="str">
        <f t="shared" si="19"/>
        <v>143-905</v>
      </c>
      <c r="C597" s="629" t="s">
        <v>900</v>
      </c>
      <c r="D597" s="629" t="s">
        <v>9284</v>
      </c>
      <c r="E597" s="105">
        <v>0.89870000000000005</v>
      </c>
      <c r="F597" s="105">
        <v>0.91339999999999999</v>
      </c>
      <c r="G597" s="2042">
        <v>0.96340000000000003</v>
      </c>
      <c r="H597" s="105">
        <f t="shared" si="18"/>
        <v>5.0000000000000044E-2</v>
      </c>
    </row>
    <row r="598" spans="1:8" ht="14.5">
      <c r="A598" s="41">
        <v>143906</v>
      </c>
      <c r="B598" s="380" t="str">
        <f t="shared" si="19"/>
        <v>143-906</v>
      </c>
      <c r="C598" s="2042" t="s">
        <v>901</v>
      </c>
      <c r="D598" s="2042" t="s">
        <v>9284</v>
      </c>
      <c r="E598" s="105">
        <v>0.90250000000000008</v>
      </c>
      <c r="F598" s="105">
        <v>0.90250000000000008</v>
      </c>
      <c r="G598" s="2042">
        <v>0.95250000000000001</v>
      </c>
      <c r="H598" s="105">
        <f t="shared" si="18"/>
        <v>4.9999999999999933E-2</v>
      </c>
    </row>
    <row r="599" spans="1:8" ht="14.5">
      <c r="A599" s="41">
        <v>144901</v>
      </c>
      <c r="B599" s="380" t="str">
        <f t="shared" si="19"/>
        <v>144-901</v>
      </c>
      <c r="C599" s="2042" t="s">
        <v>902</v>
      </c>
      <c r="D599" s="2042" t="s">
        <v>9284</v>
      </c>
      <c r="E599" s="105">
        <v>0.9074000000000001</v>
      </c>
      <c r="F599" s="105">
        <v>0.9074000000000001</v>
      </c>
      <c r="G599" s="2042">
        <v>1.0003</v>
      </c>
      <c r="H599" s="105">
        <f t="shared" si="18"/>
        <v>9.2899999999999872E-2</v>
      </c>
    </row>
    <row r="600" spans="1:8" ht="14.5">
      <c r="A600" s="41">
        <v>144902</v>
      </c>
      <c r="B600" s="380" t="str">
        <f t="shared" si="19"/>
        <v>144-902</v>
      </c>
      <c r="C600" s="2042" t="s">
        <v>903</v>
      </c>
      <c r="D600" s="2042" t="s">
        <v>9284</v>
      </c>
      <c r="E600" s="105">
        <v>0.82200000000000006</v>
      </c>
      <c r="F600" s="105">
        <v>0.82200000000000006</v>
      </c>
      <c r="G600" s="2042">
        <v>0.96030000000000004</v>
      </c>
      <c r="H600" s="105">
        <f t="shared" si="18"/>
        <v>0.13829999999999998</v>
      </c>
    </row>
    <row r="601" spans="1:8" ht="14.5">
      <c r="A601" s="41">
        <v>144903</v>
      </c>
      <c r="B601" s="380" t="str">
        <f t="shared" si="19"/>
        <v>144-903</v>
      </c>
      <c r="C601" s="2042" t="s">
        <v>904</v>
      </c>
      <c r="D601" s="2042" t="s">
        <v>9284</v>
      </c>
      <c r="E601" s="105">
        <v>0.91339999999999999</v>
      </c>
      <c r="F601" s="105">
        <v>0.91339999999999999</v>
      </c>
      <c r="G601" s="2042">
        <v>1.0517000000000001</v>
      </c>
      <c r="H601" s="105">
        <f t="shared" si="18"/>
        <v>0.13830000000000009</v>
      </c>
    </row>
    <row r="602" spans="1:8" ht="14.5">
      <c r="A602" s="41">
        <v>145901</v>
      </c>
      <c r="B602" s="380" t="str">
        <f t="shared" si="19"/>
        <v>145-901</v>
      </c>
      <c r="C602" s="2042" t="s">
        <v>905</v>
      </c>
      <c r="D602" s="2042" t="s">
        <v>9284</v>
      </c>
      <c r="E602" s="105">
        <v>0.86899999999999999</v>
      </c>
      <c r="F602" s="105">
        <v>0.86899999999999999</v>
      </c>
      <c r="G602" s="2042">
        <v>1.0073000000000001</v>
      </c>
      <c r="H602" s="105">
        <f t="shared" si="18"/>
        <v>0.13830000000000009</v>
      </c>
    </row>
    <row r="603" spans="1:8" ht="14.5">
      <c r="A603" s="41">
        <v>145902</v>
      </c>
      <c r="B603" s="380" t="str">
        <f t="shared" si="19"/>
        <v>145-902</v>
      </c>
      <c r="C603" s="2042" t="s">
        <v>1721</v>
      </c>
      <c r="D603" s="2042" t="s">
        <v>9284</v>
      </c>
      <c r="E603" s="105">
        <v>0.85670000000000002</v>
      </c>
      <c r="F603" s="105">
        <v>0.85670000000000002</v>
      </c>
      <c r="G603" s="2042">
        <v>0.90670000000000006</v>
      </c>
      <c r="H603" s="105">
        <f t="shared" si="18"/>
        <v>5.0000000000000044E-2</v>
      </c>
    </row>
    <row r="604" spans="1:8" ht="14.5">
      <c r="A604" s="41">
        <v>145906</v>
      </c>
      <c r="B604" s="380" t="str">
        <f t="shared" si="19"/>
        <v>145-906</v>
      </c>
      <c r="C604" s="2042" t="s">
        <v>1722</v>
      </c>
      <c r="D604" s="2042" t="s">
        <v>9284</v>
      </c>
      <c r="E604" s="105">
        <v>0.91339999999999999</v>
      </c>
      <c r="F604" s="105">
        <v>0.91339999999999999</v>
      </c>
      <c r="G604" s="2042">
        <v>0.96340000000000003</v>
      </c>
      <c r="H604" s="105">
        <f t="shared" si="18"/>
        <v>5.0000000000000044E-2</v>
      </c>
    </row>
    <row r="605" spans="1:8" ht="14.5">
      <c r="A605" s="41">
        <v>145907</v>
      </c>
      <c r="B605" s="380" t="str">
        <f t="shared" si="19"/>
        <v>145-907</v>
      </c>
      <c r="C605" s="2042" t="s">
        <v>1723</v>
      </c>
      <c r="D605" s="2042" t="s">
        <v>9284</v>
      </c>
      <c r="E605" s="105">
        <v>0.89970000000000006</v>
      </c>
      <c r="F605" s="105">
        <v>0.89970000000000006</v>
      </c>
      <c r="G605" s="2042">
        <v>0.9597</v>
      </c>
      <c r="H605" s="105">
        <f t="shared" si="18"/>
        <v>5.9999999999999942E-2</v>
      </c>
    </row>
    <row r="606" spans="1:8" ht="14.5">
      <c r="A606" s="41">
        <v>145911</v>
      </c>
      <c r="B606" s="380" t="str">
        <f t="shared" si="19"/>
        <v>145-911</v>
      </c>
      <c r="C606" s="2042" t="s">
        <v>1892</v>
      </c>
      <c r="D606" s="2042" t="s">
        <v>9284</v>
      </c>
      <c r="E606" s="105">
        <v>0.91339999999999999</v>
      </c>
      <c r="F606" s="105">
        <v>0.91339999999999999</v>
      </c>
      <c r="G606" s="2042">
        <v>0.96340000000000003</v>
      </c>
      <c r="H606" s="105">
        <f t="shared" si="18"/>
        <v>5.0000000000000044E-2</v>
      </c>
    </row>
    <row r="607" spans="1:8" ht="14.5">
      <c r="A607" s="41">
        <v>146901</v>
      </c>
      <c r="B607" s="380" t="str">
        <f t="shared" si="19"/>
        <v>146-901</v>
      </c>
      <c r="C607" s="2042" t="s">
        <v>1094</v>
      </c>
      <c r="D607" s="2042" t="s">
        <v>9284</v>
      </c>
      <c r="E607" s="105">
        <v>0.82200000000000006</v>
      </c>
      <c r="F607" s="105">
        <v>0.82200000000000006</v>
      </c>
      <c r="G607" s="2042">
        <v>0.872</v>
      </c>
      <c r="H607" s="105">
        <f t="shared" si="18"/>
        <v>4.9999999999999933E-2</v>
      </c>
    </row>
    <row r="608" spans="1:8" ht="14.5">
      <c r="A608" s="41">
        <v>146902</v>
      </c>
      <c r="B608" s="380" t="str">
        <f t="shared" si="19"/>
        <v>146-902</v>
      </c>
      <c r="C608" s="2042" t="s">
        <v>2517</v>
      </c>
      <c r="D608" s="2042" t="s">
        <v>9284</v>
      </c>
      <c r="E608" s="105">
        <v>0.82200000000000006</v>
      </c>
      <c r="F608" s="105">
        <v>0.82200000000000006</v>
      </c>
      <c r="G608" s="2042">
        <v>0.872</v>
      </c>
      <c r="H608" s="105">
        <f t="shared" si="18"/>
        <v>4.9999999999999933E-2</v>
      </c>
    </row>
    <row r="609" spans="1:8" ht="14.5">
      <c r="A609" s="41">
        <v>146903</v>
      </c>
      <c r="B609" s="380" t="str">
        <f t="shared" si="19"/>
        <v>146-903</v>
      </c>
      <c r="C609" s="2042" t="s">
        <v>1893</v>
      </c>
      <c r="D609" s="2042" t="s">
        <v>9284</v>
      </c>
      <c r="E609" s="105">
        <v>0.91339999999999999</v>
      </c>
      <c r="F609" s="105">
        <v>0.91339999999999999</v>
      </c>
      <c r="G609" s="2042">
        <v>0.96340000000000003</v>
      </c>
      <c r="H609" s="105">
        <f t="shared" si="18"/>
        <v>5.0000000000000044E-2</v>
      </c>
    </row>
    <row r="610" spans="1:8" ht="14.5">
      <c r="A610" s="727">
        <v>146904</v>
      </c>
      <c r="B610" s="1683" t="str">
        <f t="shared" si="19"/>
        <v>146-904</v>
      </c>
      <c r="C610" s="629" t="s">
        <v>1639</v>
      </c>
      <c r="D610" s="629" t="s">
        <v>9284</v>
      </c>
      <c r="E610" s="105">
        <v>0.8387</v>
      </c>
      <c r="F610" s="105">
        <v>0.86620000000000008</v>
      </c>
      <c r="G610" s="2042">
        <v>0.91620000000000001</v>
      </c>
      <c r="H610" s="105">
        <f t="shared" si="18"/>
        <v>4.9999999999999933E-2</v>
      </c>
    </row>
    <row r="611" spans="1:8" ht="14.5">
      <c r="A611" s="41">
        <v>146905</v>
      </c>
      <c r="B611" s="380" t="str">
        <f t="shared" si="19"/>
        <v>146-905</v>
      </c>
      <c r="C611" s="2042" t="s">
        <v>2251</v>
      </c>
      <c r="D611" s="2042" t="s">
        <v>9284</v>
      </c>
      <c r="E611" s="105">
        <v>0.87650000000000006</v>
      </c>
      <c r="F611" s="105">
        <v>0.87650000000000006</v>
      </c>
      <c r="G611" s="2042">
        <v>1.0148000000000001</v>
      </c>
      <c r="H611" s="105">
        <f t="shared" si="18"/>
        <v>0.13830000000000009</v>
      </c>
    </row>
    <row r="612" spans="1:8" ht="14.5">
      <c r="A612" s="41">
        <v>146906</v>
      </c>
      <c r="B612" s="380" t="str">
        <f t="shared" si="19"/>
        <v>146-906</v>
      </c>
      <c r="C612" s="2042" t="s">
        <v>508</v>
      </c>
      <c r="D612" s="2042" t="s">
        <v>9284</v>
      </c>
      <c r="E612" s="105">
        <v>0.91339999999999999</v>
      </c>
      <c r="F612" s="105">
        <v>0.91339999999999999</v>
      </c>
      <c r="G612" s="2042">
        <v>0.97340000000000004</v>
      </c>
      <c r="H612" s="105">
        <f t="shared" si="18"/>
        <v>6.0000000000000053E-2</v>
      </c>
    </row>
    <row r="613" spans="1:8" ht="14.5">
      <c r="A613" s="41">
        <v>146907</v>
      </c>
      <c r="B613" s="380" t="str">
        <f t="shared" si="19"/>
        <v>146-907</v>
      </c>
      <c r="C613" s="2042" t="s">
        <v>509</v>
      </c>
      <c r="D613" s="2042" t="s">
        <v>9284</v>
      </c>
      <c r="E613" s="105">
        <v>0.82200000000000006</v>
      </c>
      <c r="F613" s="105">
        <v>0.82200000000000006</v>
      </c>
      <c r="G613" s="2042">
        <v>0.872</v>
      </c>
      <c r="H613" s="105">
        <f t="shared" si="18"/>
        <v>4.9999999999999933E-2</v>
      </c>
    </row>
    <row r="614" spans="1:8" ht="14.5">
      <c r="A614" s="41">
        <v>147901</v>
      </c>
      <c r="B614" s="380" t="str">
        <f t="shared" si="19"/>
        <v>147-901</v>
      </c>
      <c r="C614" s="2042" t="s">
        <v>1464</v>
      </c>
      <c r="D614" s="2042" t="s">
        <v>9284</v>
      </c>
      <c r="E614" s="105">
        <v>0.82200000000000006</v>
      </c>
      <c r="F614" s="105">
        <v>0.82200000000000006</v>
      </c>
      <c r="G614" s="2042">
        <v>0.96030000000000004</v>
      </c>
      <c r="H614" s="105">
        <f t="shared" si="18"/>
        <v>0.13829999999999998</v>
      </c>
    </row>
    <row r="615" spans="1:8" ht="14.5">
      <c r="A615" s="41">
        <v>147902</v>
      </c>
      <c r="B615" s="380" t="str">
        <f t="shared" si="19"/>
        <v>147-902</v>
      </c>
      <c r="C615" s="2042" t="s">
        <v>510</v>
      </c>
      <c r="D615" s="2042" t="s">
        <v>9284</v>
      </c>
      <c r="E615" s="105">
        <v>0.90090000000000003</v>
      </c>
      <c r="F615" s="105">
        <v>0.90090000000000003</v>
      </c>
      <c r="G615" s="2042">
        <v>0.95090000000000008</v>
      </c>
      <c r="H615" s="105">
        <f t="shared" si="18"/>
        <v>5.0000000000000044E-2</v>
      </c>
    </row>
    <row r="616" spans="1:8" ht="14.5">
      <c r="A616" s="41">
        <v>147903</v>
      </c>
      <c r="B616" s="380" t="str">
        <f t="shared" si="19"/>
        <v>147-903</v>
      </c>
      <c r="C616" s="2042" t="s">
        <v>511</v>
      </c>
      <c r="D616" s="2042" t="s">
        <v>9284</v>
      </c>
      <c r="E616" s="105">
        <v>0.86470000000000002</v>
      </c>
      <c r="F616" s="105">
        <v>0.86470000000000002</v>
      </c>
      <c r="G616" s="2042">
        <v>0.99240000000000006</v>
      </c>
      <c r="H616" s="105">
        <f t="shared" si="18"/>
        <v>0.12770000000000004</v>
      </c>
    </row>
    <row r="617" spans="1:8" ht="14.5">
      <c r="A617" s="41">
        <v>148901</v>
      </c>
      <c r="B617" s="380" t="str">
        <f t="shared" si="19"/>
        <v>148-901</v>
      </c>
      <c r="C617" s="2042" t="s">
        <v>512</v>
      </c>
      <c r="D617" s="2042" t="s">
        <v>9284</v>
      </c>
      <c r="E617" s="105">
        <v>0.91339999999999999</v>
      </c>
      <c r="F617" s="105">
        <v>0.91339999999999999</v>
      </c>
      <c r="G617" s="2042">
        <v>1.0517000000000001</v>
      </c>
      <c r="H617" s="105">
        <f t="shared" si="18"/>
        <v>0.13830000000000009</v>
      </c>
    </row>
    <row r="618" spans="1:8" ht="14.5">
      <c r="A618" s="41">
        <v>148902</v>
      </c>
      <c r="B618" s="380" t="str">
        <f t="shared" si="19"/>
        <v>148-902</v>
      </c>
      <c r="C618" s="2042" t="s">
        <v>513</v>
      </c>
      <c r="D618" s="2042" t="s">
        <v>9284</v>
      </c>
      <c r="E618" s="105">
        <v>0.91339999999999999</v>
      </c>
      <c r="F618" s="105">
        <v>0.91339999999999999</v>
      </c>
      <c r="G618" s="2042">
        <v>0.96340000000000003</v>
      </c>
      <c r="H618" s="105">
        <f t="shared" si="18"/>
        <v>5.0000000000000044E-2</v>
      </c>
    </row>
    <row r="619" spans="1:8" ht="14.5">
      <c r="A619" s="41">
        <v>148905</v>
      </c>
      <c r="B619" s="380" t="str">
        <f t="shared" si="19"/>
        <v>148-905</v>
      </c>
      <c r="C619" s="2042" t="s">
        <v>515</v>
      </c>
      <c r="D619" s="2042" t="s">
        <v>9284</v>
      </c>
      <c r="E619" s="105">
        <v>0.91339999999999999</v>
      </c>
      <c r="F619" s="105">
        <v>0.91339999999999999</v>
      </c>
      <c r="G619" s="2042">
        <v>0.96340000000000003</v>
      </c>
      <c r="H619" s="105">
        <f t="shared" si="18"/>
        <v>5.0000000000000044E-2</v>
      </c>
    </row>
    <row r="620" spans="1:8" ht="14.5">
      <c r="A620" s="41">
        <v>149901</v>
      </c>
      <c r="B620" s="380" t="str">
        <f t="shared" si="19"/>
        <v>149-901</v>
      </c>
      <c r="C620" s="2042" t="s">
        <v>516</v>
      </c>
      <c r="D620" s="2042" t="s">
        <v>9284</v>
      </c>
      <c r="E620" s="105">
        <v>0.90910000000000002</v>
      </c>
      <c r="F620" s="105">
        <v>0.90910000000000002</v>
      </c>
      <c r="G620" s="2042">
        <v>0.95910000000000006</v>
      </c>
      <c r="H620" s="105">
        <f t="shared" si="18"/>
        <v>5.0000000000000044E-2</v>
      </c>
    </row>
    <row r="621" spans="1:8" ht="14.5">
      <c r="A621" s="41">
        <v>149902</v>
      </c>
      <c r="B621" s="380" t="str">
        <f t="shared" si="19"/>
        <v>149-902</v>
      </c>
      <c r="C621" s="2042" t="s">
        <v>517</v>
      </c>
      <c r="D621" s="2042" t="s">
        <v>9284</v>
      </c>
      <c r="E621" s="105">
        <v>0.89100000000000001</v>
      </c>
      <c r="F621" s="105">
        <v>0.89100000000000001</v>
      </c>
      <c r="G621" s="2042">
        <v>0.94100000000000006</v>
      </c>
      <c r="H621" s="105">
        <f t="shared" si="18"/>
        <v>5.0000000000000044E-2</v>
      </c>
    </row>
    <row r="622" spans="1:8" ht="14.5">
      <c r="A622" s="41">
        <v>150901</v>
      </c>
      <c r="B622" s="380" t="str">
        <f t="shared" si="19"/>
        <v>150-901</v>
      </c>
      <c r="C622" s="2042" t="s">
        <v>518</v>
      </c>
      <c r="D622" s="2042" t="s">
        <v>9284</v>
      </c>
      <c r="E622" s="105">
        <v>0.82200000000000006</v>
      </c>
      <c r="F622" s="105">
        <v>0.82200000000000006</v>
      </c>
      <c r="G622" s="2042">
        <v>0.872</v>
      </c>
      <c r="H622" s="105">
        <f t="shared" si="18"/>
        <v>4.9999999999999933E-2</v>
      </c>
    </row>
    <row r="623" spans="1:8" ht="14.5">
      <c r="A623" s="41">
        <v>152901</v>
      </c>
      <c r="B623" s="380" t="str">
        <f t="shared" si="19"/>
        <v>152-901</v>
      </c>
      <c r="C623" s="2042" t="s">
        <v>549</v>
      </c>
      <c r="D623" s="2042" t="s">
        <v>9284</v>
      </c>
      <c r="E623" s="105">
        <v>0.90050000000000008</v>
      </c>
      <c r="F623" s="105">
        <v>0.90050000000000008</v>
      </c>
      <c r="G623" s="2042">
        <v>0.96050000000000002</v>
      </c>
      <c r="H623" s="105">
        <f t="shared" si="18"/>
        <v>5.9999999999999942E-2</v>
      </c>
    </row>
    <row r="624" spans="1:8" ht="14.5">
      <c r="A624" s="41">
        <v>152902</v>
      </c>
      <c r="B624" s="380" t="str">
        <f t="shared" si="19"/>
        <v>152-902</v>
      </c>
      <c r="C624" s="2042" t="s">
        <v>519</v>
      </c>
      <c r="D624" s="2042" t="s">
        <v>9284</v>
      </c>
      <c r="E624" s="105">
        <v>0.85870000000000002</v>
      </c>
      <c r="F624" s="105">
        <v>0.85870000000000002</v>
      </c>
      <c r="G624" s="2042">
        <v>0.98870000000000002</v>
      </c>
      <c r="H624" s="105">
        <f t="shared" si="18"/>
        <v>0.13</v>
      </c>
    </row>
    <row r="625" spans="1:8" ht="14.5">
      <c r="A625" s="41">
        <v>152903</v>
      </c>
      <c r="B625" s="380" t="str">
        <f t="shared" si="19"/>
        <v>152-903</v>
      </c>
      <c r="C625" s="2042" t="s">
        <v>520</v>
      </c>
      <c r="D625" s="2042" t="s">
        <v>9284</v>
      </c>
      <c r="E625" s="105">
        <v>0.84140000000000004</v>
      </c>
      <c r="F625" s="105">
        <v>0.84140000000000004</v>
      </c>
      <c r="G625" s="2042">
        <v>0.97970000000000002</v>
      </c>
      <c r="H625" s="105">
        <f t="shared" si="18"/>
        <v>0.13829999999999998</v>
      </c>
    </row>
    <row r="626" spans="1:8" ht="14.5">
      <c r="A626" s="41">
        <v>152906</v>
      </c>
      <c r="B626" s="380" t="str">
        <f t="shared" si="19"/>
        <v>152-906</v>
      </c>
      <c r="C626" s="2042" t="s">
        <v>550</v>
      </c>
      <c r="D626" s="2042" t="s">
        <v>9284</v>
      </c>
      <c r="E626" s="105">
        <v>0.82200000000000006</v>
      </c>
      <c r="F626" s="105">
        <v>0.82200000000000006</v>
      </c>
      <c r="G626" s="2042">
        <v>0.872</v>
      </c>
      <c r="H626" s="105">
        <f t="shared" si="18"/>
        <v>4.9999999999999933E-2</v>
      </c>
    </row>
    <row r="627" spans="1:8" ht="14.5">
      <c r="A627" s="41">
        <v>152907</v>
      </c>
      <c r="B627" s="380" t="str">
        <f t="shared" si="19"/>
        <v>152-907</v>
      </c>
      <c r="C627" s="2042" t="s">
        <v>2179</v>
      </c>
      <c r="D627" s="2042" t="s">
        <v>9284</v>
      </c>
      <c r="E627" s="105">
        <v>0.83610000000000007</v>
      </c>
      <c r="F627" s="105">
        <v>0.83610000000000007</v>
      </c>
      <c r="G627" s="2042">
        <v>0.89590000000000003</v>
      </c>
      <c r="H627" s="105">
        <f t="shared" si="18"/>
        <v>5.9799999999999964E-2</v>
      </c>
    </row>
    <row r="628" spans="1:8" ht="14.5">
      <c r="A628" s="41">
        <v>152908</v>
      </c>
      <c r="B628" s="380" t="str">
        <f t="shared" si="19"/>
        <v>152-908</v>
      </c>
      <c r="C628" s="2042" t="s">
        <v>521</v>
      </c>
      <c r="D628" s="2042" t="s">
        <v>9284</v>
      </c>
      <c r="E628" s="105">
        <v>0.91339999999999999</v>
      </c>
      <c r="F628" s="105">
        <v>0.91339999999999999</v>
      </c>
      <c r="G628" s="2042">
        <v>1.0517000000000001</v>
      </c>
      <c r="H628" s="105">
        <f t="shared" si="18"/>
        <v>0.13830000000000009</v>
      </c>
    </row>
    <row r="629" spans="1:8" ht="14.5">
      <c r="A629" s="41">
        <v>152909</v>
      </c>
      <c r="B629" s="380" t="str">
        <f t="shared" si="19"/>
        <v>152-909</v>
      </c>
      <c r="C629" s="2042" t="s">
        <v>1176</v>
      </c>
      <c r="D629" s="2042" t="s">
        <v>9284</v>
      </c>
      <c r="E629" s="105">
        <v>0.83879999999999999</v>
      </c>
      <c r="F629" s="105">
        <v>0.83879999999999999</v>
      </c>
      <c r="G629" s="2042">
        <v>0.97710000000000008</v>
      </c>
      <c r="H629" s="105">
        <f t="shared" si="18"/>
        <v>0.13830000000000009</v>
      </c>
    </row>
    <row r="630" spans="1:8" ht="14.5">
      <c r="A630" s="41">
        <v>152910</v>
      </c>
      <c r="B630" s="380" t="str">
        <f t="shared" si="19"/>
        <v>152-910</v>
      </c>
      <c r="C630" s="2042" t="s">
        <v>522</v>
      </c>
      <c r="D630" s="2042" t="s">
        <v>9284</v>
      </c>
      <c r="E630" s="105">
        <v>0.91180000000000005</v>
      </c>
      <c r="F630" s="105">
        <v>0.91180000000000005</v>
      </c>
      <c r="G630" s="2042">
        <v>1.0602</v>
      </c>
      <c r="H630" s="105">
        <f t="shared" si="18"/>
        <v>0.14839999999999998</v>
      </c>
    </row>
    <row r="631" spans="1:8" ht="14.5">
      <c r="A631" s="41">
        <v>153903</v>
      </c>
      <c r="B631" s="380" t="str">
        <f t="shared" si="19"/>
        <v>153-903</v>
      </c>
      <c r="C631" s="2042" t="s">
        <v>523</v>
      </c>
      <c r="D631" s="2042" t="s">
        <v>9284</v>
      </c>
      <c r="E631" s="105">
        <v>0.91339999999999999</v>
      </c>
      <c r="F631" s="105">
        <v>0.91339999999999999</v>
      </c>
      <c r="G631" s="2042">
        <v>0.99840000000000007</v>
      </c>
      <c r="H631" s="105">
        <f t="shared" si="18"/>
        <v>8.5000000000000075E-2</v>
      </c>
    </row>
    <row r="632" spans="1:8" ht="14.5">
      <c r="A632" s="41">
        <v>153904</v>
      </c>
      <c r="B632" s="380" t="str">
        <f t="shared" si="19"/>
        <v>153-904</v>
      </c>
      <c r="C632" s="2042" t="s">
        <v>524</v>
      </c>
      <c r="D632" s="2042" t="s">
        <v>9284</v>
      </c>
      <c r="E632" s="105">
        <v>0.90429999999999999</v>
      </c>
      <c r="F632" s="105">
        <v>0.90429999999999999</v>
      </c>
      <c r="G632" s="2042">
        <v>1.0426</v>
      </c>
      <c r="H632" s="105">
        <f t="shared" si="18"/>
        <v>0.13829999999999998</v>
      </c>
    </row>
    <row r="633" spans="1:8" ht="14.5">
      <c r="A633" s="41">
        <v>153905</v>
      </c>
      <c r="B633" s="380" t="str">
        <f t="shared" si="19"/>
        <v>153-905</v>
      </c>
      <c r="C633" s="2042" t="s">
        <v>525</v>
      </c>
      <c r="D633" s="2042" t="s">
        <v>9284</v>
      </c>
      <c r="E633" s="105">
        <v>0.82200000000000006</v>
      </c>
      <c r="F633" s="105">
        <v>0.82200000000000006</v>
      </c>
      <c r="G633" s="2042">
        <v>0.96030000000000004</v>
      </c>
      <c r="H633" s="105">
        <f t="shared" si="18"/>
        <v>0.13829999999999998</v>
      </c>
    </row>
    <row r="634" spans="1:8">
      <c r="B634" s="2042" t="s">
        <v>1378</v>
      </c>
      <c r="C634" s="2042" t="s">
        <v>6622</v>
      </c>
      <c r="E634" s="105">
        <v>0.82469999999999999</v>
      </c>
      <c r="F634" s="105">
        <v>0.82469999999999999</v>
      </c>
      <c r="G634" s="2042">
        <v>0.96300000000000008</v>
      </c>
      <c r="H634" s="105">
        <f t="shared" si="18"/>
        <v>0.13830000000000009</v>
      </c>
    </row>
    <row r="635" spans="1:8" ht="14.5">
      <c r="A635" s="41">
        <v>154901</v>
      </c>
      <c r="B635" s="380" t="str">
        <f t="shared" si="19"/>
        <v>154-901</v>
      </c>
      <c r="C635" s="2042" t="s">
        <v>35</v>
      </c>
      <c r="D635" s="2042" t="s">
        <v>9284</v>
      </c>
      <c r="E635" s="105">
        <v>0.88150000000000006</v>
      </c>
      <c r="F635" s="105">
        <v>0.88150000000000006</v>
      </c>
      <c r="G635" s="2042">
        <v>1.0198</v>
      </c>
      <c r="H635" s="105">
        <f t="shared" si="18"/>
        <v>0.13829999999999998</v>
      </c>
    </row>
    <row r="636" spans="1:8" ht="14.5">
      <c r="A636" s="41">
        <v>154903</v>
      </c>
      <c r="B636" s="380" t="str">
        <f t="shared" si="19"/>
        <v>154-903</v>
      </c>
      <c r="C636" s="2042" t="s">
        <v>527</v>
      </c>
      <c r="D636" s="2042" t="s">
        <v>9284</v>
      </c>
      <c r="E636" s="105">
        <v>0.91339999999999999</v>
      </c>
      <c r="F636" s="105">
        <v>0.91339999999999999</v>
      </c>
      <c r="G636" s="2042">
        <v>1.0063</v>
      </c>
      <c r="H636" s="105">
        <f t="shared" si="18"/>
        <v>9.2899999999999983E-2</v>
      </c>
    </row>
    <row r="637" spans="1:8" ht="14.5">
      <c r="A637" s="41">
        <v>155901</v>
      </c>
      <c r="B637" s="380" t="str">
        <f t="shared" si="19"/>
        <v>155-901</v>
      </c>
      <c r="C637" s="2042" t="s">
        <v>528</v>
      </c>
      <c r="D637" s="2042" t="s">
        <v>9284</v>
      </c>
      <c r="E637" s="105">
        <v>0.91339999999999999</v>
      </c>
      <c r="F637" s="105">
        <v>0.91339999999999999</v>
      </c>
      <c r="G637" s="2042">
        <v>0.96340000000000003</v>
      </c>
      <c r="H637" s="105">
        <f t="shared" si="18"/>
        <v>5.0000000000000044E-2</v>
      </c>
    </row>
    <row r="638" spans="1:8" ht="14.5">
      <c r="A638" s="41">
        <v>156902</v>
      </c>
      <c r="B638" s="380" t="str">
        <f t="shared" si="19"/>
        <v>156-902</v>
      </c>
      <c r="C638" s="2042" t="s">
        <v>529</v>
      </c>
      <c r="D638" s="2042" t="s">
        <v>9284</v>
      </c>
      <c r="E638" s="105">
        <v>0.82469999999999999</v>
      </c>
      <c r="F638" s="105">
        <v>0.82469999999999999</v>
      </c>
      <c r="G638" s="2042">
        <v>0.87470000000000003</v>
      </c>
      <c r="H638" s="105">
        <f t="shared" si="18"/>
        <v>5.0000000000000044E-2</v>
      </c>
    </row>
    <row r="639" spans="1:8" ht="14.5">
      <c r="A639" s="41">
        <v>156905</v>
      </c>
      <c r="B639" s="380" t="str">
        <f t="shared" si="19"/>
        <v>156-905</v>
      </c>
      <c r="C639" s="2042" t="s">
        <v>530</v>
      </c>
      <c r="D639" s="2042" t="s">
        <v>9284</v>
      </c>
      <c r="E639" s="105">
        <v>0.82469999999999999</v>
      </c>
      <c r="F639" s="105">
        <v>0.82469999999999999</v>
      </c>
      <c r="G639" s="2042">
        <v>0.87470000000000003</v>
      </c>
      <c r="H639" s="105">
        <f t="shared" si="18"/>
        <v>5.0000000000000044E-2</v>
      </c>
    </row>
    <row r="640" spans="1:8" ht="14.5">
      <c r="A640" s="41">
        <v>157901</v>
      </c>
      <c r="B640" s="380" t="str">
        <f t="shared" si="19"/>
        <v>157-901</v>
      </c>
      <c r="C640" s="2042" t="s">
        <v>531</v>
      </c>
      <c r="D640" s="2042" t="s">
        <v>9284</v>
      </c>
      <c r="E640" s="105">
        <v>0.8427</v>
      </c>
      <c r="F640" s="105">
        <v>0.8427</v>
      </c>
      <c r="G640" s="2042">
        <v>0.95990000000000009</v>
      </c>
      <c r="H640" s="105">
        <f t="shared" si="18"/>
        <v>0.11720000000000008</v>
      </c>
    </row>
    <row r="641" spans="1:8" ht="14.5">
      <c r="A641" s="727">
        <v>158901</v>
      </c>
      <c r="B641" s="1683" t="str">
        <f t="shared" si="19"/>
        <v>158-901</v>
      </c>
      <c r="C641" s="629" t="s">
        <v>532</v>
      </c>
      <c r="D641" s="629" t="s">
        <v>9284</v>
      </c>
      <c r="E641" s="105">
        <v>0.86210000000000009</v>
      </c>
      <c r="F641" s="105">
        <v>0.89400000000000002</v>
      </c>
      <c r="G641" s="2042">
        <v>0.94400000000000006</v>
      </c>
      <c r="H641" s="105">
        <f t="shared" si="18"/>
        <v>5.0000000000000044E-2</v>
      </c>
    </row>
    <row r="642" spans="1:8" ht="14.5">
      <c r="A642" s="41">
        <v>158902</v>
      </c>
      <c r="B642" s="380" t="str">
        <f t="shared" si="19"/>
        <v>158-902</v>
      </c>
      <c r="C642" s="2042" t="s">
        <v>1648</v>
      </c>
      <c r="D642" s="2042" t="s">
        <v>9284</v>
      </c>
      <c r="E642" s="105">
        <v>0.82200000000000006</v>
      </c>
      <c r="F642" s="105">
        <v>0.82200000000000006</v>
      </c>
      <c r="G642" s="2042">
        <v>0.872</v>
      </c>
      <c r="H642" s="105">
        <f t="shared" si="18"/>
        <v>4.9999999999999933E-2</v>
      </c>
    </row>
    <row r="643" spans="1:8" ht="14.5">
      <c r="A643" s="41">
        <v>158904</v>
      </c>
      <c r="B643" s="380" t="str">
        <f t="shared" si="19"/>
        <v>158-904</v>
      </c>
      <c r="C643" s="2042" t="s">
        <v>1649</v>
      </c>
      <c r="D643" s="2042" t="s">
        <v>9284</v>
      </c>
      <c r="E643" s="105">
        <v>0.82200000000000006</v>
      </c>
      <c r="F643" s="105">
        <v>0.82200000000000006</v>
      </c>
      <c r="G643" s="2042">
        <v>0.872</v>
      </c>
      <c r="H643" s="105">
        <f t="shared" ref="H643:H706" si="20">G643-F643</f>
        <v>4.9999999999999933E-2</v>
      </c>
    </row>
    <row r="644" spans="1:8" ht="14.5">
      <c r="A644" s="41">
        <v>158905</v>
      </c>
      <c r="B644" s="380" t="str">
        <f t="shared" si="19"/>
        <v>158-905</v>
      </c>
      <c r="C644" s="2042" t="s">
        <v>1650</v>
      </c>
      <c r="D644" s="2042" t="s">
        <v>9284</v>
      </c>
      <c r="E644" s="105">
        <v>0.91339999999999999</v>
      </c>
      <c r="F644" s="105">
        <v>0.91339999999999999</v>
      </c>
      <c r="G644" s="2042">
        <v>0.96340000000000003</v>
      </c>
      <c r="H644" s="105">
        <f t="shared" si="20"/>
        <v>5.0000000000000044E-2</v>
      </c>
    </row>
    <row r="645" spans="1:8" ht="14.5">
      <c r="A645" s="41">
        <v>158906</v>
      </c>
      <c r="B645" s="380" t="str">
        <f t="shared" si="19"/>
        <v>158-906</v>
      </c>
      <c r="C645" s="2042" t="s">
        <v>1651</v>
      </c>
      <c r="D645" s="2042" t="s">
        <v>9284</v>
      </c>
      <c r="E645" s="105">
        <v>0.82200000000000006</v>
      </c>
      <c r="F645" s="105">
        <v>0.82200000000000006</v>
      </c>
      <c r="G645" s="2042">
        <v>0.872</v>
      </c>
      <c r="H645" s="105">
        <f t="shared" si="20"/>
        <v>4.9999999999999933E-2</v>
      </c>
    </row>
    <row r="646" spans="1:8" ht="14.5">
      <c r="A646" s="41">
        <v>159901</v>
      </c>
      <c r="B646" s="380" t="str">
        <f t="shared" si="19"/>
        <v>159-901</v>
      </c>
      <c r="C646" s="2042" t="s">
        <v>1006</v>
      </c>
      <c r="D646" s="2042" t="s">
        <v>9284</v>
      </c>
      <c r="E646" s="105">
        <v>0.91270000000000007</v>
      </c>
      <c r="F646" s="105">
        <v>0.91270000000000007</v>
      </c>
      <c r="G646" s="2042">
        <v>1.0511000000000001</v>
      </c>
      <c r="H646" s="105">
        <f t="shared" si="20"/>
        <v>0.13840000000000008</v>
      </c>
    </row>
    <row r="647" spans="1:8" ht="14.5">
      <c r="A647" s="41">
        <v>160901</v>
      </c>
      <c r="B647" s="380" t="str">
        <f t="shared" si="19"/>
        <v>160-901</v>
      </c>
      <c r="C647" s="2042" t="s">
        <v>1750</v>
      </c>
      <c r="D647" s="2042" t="s">
        <v>9284</v>
      </c>
      <c r="E647" s="105">
        <v>0.82200000000000006</v>
      </c>
      <c r="F647" s="105">
        <v>0.82200000000000006</v>
      </c>
      <c r="G647" s="2042">
        <v>0.872</v>
      </c>
      <c r="H647" s="105">
        <f t="shared" si="20"/>
        <v>4.9999999999999933E-2</v>
      </c>
    </row>
    <row r="648" spans="1:8" ht="14.5">
      <c r="A648" s="41">
        <v>160904</v>
      </c>
      <c r="B648" s="380" t="str">
        <f t="shared" si="19"/>
        <v>160-904</v>
      </c>
      <c r="C648" s="2042" t="s">
        <v>1652</v>
      </c>
      <c r="D648" s="2042" t="s">
        <v>9284</v>
      </c>
      <c r="E648" s="105">
        <v>0.82200000000000006</v>
      </c>
      <c r="F648" s="105">
        <v>0.82200000000000006</v>
      </c>
      <c r="G648" s="2042">
        <v>0.872</v>
      </c>
      <c r="H648" s="105">
        <f t="shared" si="20"/>
        <v>4.9999999999999933E-2</v>
      </c>
    </row>
    <row r="649" spans="1:8" ht="14.5">
      <c r="A649" s="41">
        <v>160905</v>
      </c>
      <c r="B649" s="380" t="str">
        <f t="shared" si="19"/>
        <v>160-905</v>
      </c>
      <c r="C649" s="2042" t="s">
        <v>2105</v>
      </c>
      <c r="D649" s="2042" t="s">
        <v>9284</v>
      </c>
      <c r="E649" s="105">
        <v>0.82200000000000006</v>
      </c>
      <c r="F649" s="105">
        <v>0.82200000000000006</v>
      </c>
      <c r="G649" s="2042">
        <v>0.92790000000000006</v>
      </c>
      <c r="H649" s="105">
        <f t="shared" si="20"/>
        <v>0.10589999999999999</v>
      </c>
    </row>
    <row r="650" spans="1:8" ht="14.5">
      <c r="A650" s="41">
        <v>161901</v>
      </c>
      <c r="B650" s="380" t="str">
        <f t="shared" si="19"/>
        <v>161-901</v>
      </c>
      <c r="C650" s="2042" t="s">
        <v>395</v>
      </c>
      <c r="D650" s="2042" t="s">
        <v>9284</v>
      </c>
      <c r="E650" s="105">
        <v>0.82200000000000006</v>
      </c>
      <c r="F650" s="105">
        <v>0.82200000000000006</v>
      </c>
      <c r="G650" s="2042">
        <v>0.96030000000000004</v>
      </c>
      <c r="H650" s="105">
        <f t="shared" si="20"/>
        <v>0.13829999999999998</v>
      </c>
    </row>
    <row r="651" spans="1:8" ht="14.5">
      <c r="A651" s="41">
        <v>161903</v>
      </c>
      <c r="B651" s="380" t="str">
        <f t="shared" si="19"/>
        <v>161-903</v>
      </c>
      <c r="C651" s="2042" t="s">
        <v>1815</v>
      </c>
      <c r="D651" s="2042" t="s">
        <v>9284</v>
      </c>
      <c r="E651" s="105">
        <v>0.84430000000000005</v>
      </c>
      <c r="F651" s="105">
        <v>0.84430000000000005</v>
      </c>
      <c r="G651" s="2042">
        <v>0.89430000000000009</v>
      </c>
      <c r="H651" s="105">
        <f t="shared" si="20"/>
        <v>5.0000000000000044E-2</v>
      </c>
    </row>
    <row r="652" spans="1:8" ht="14.5">
      <c r="A652" s="727">
        <v>161906</v>
      </c>
      <c r="B652" s="1683" t="str">
        <f t="shared" ref="B652:B715" si="21">CONCATENATE(LEFT(RIGHT(CONCATENATE("000",A652),6),3),"-",(RIGHT(RIGHT(CONCATENATE("000",A652),6),3)))</f>
        <v>161-906</v>
      </c>
      <c r="C652" s="629" t="s">
        <v>1792</v>
      </c>
      <c r="D652" s="629" t="s">
        <v>9284</v>
      </c>
      <c r="E652" s="105">
        <v>0.87080000000000002</v>
      </c>
      <c r="F652" s="105">
        <v>0.87780000000000002</v>
      </c>
      <c r="G652" s="2042">
        <v>1.0161</v>
      </c>
      <c r="H652" s="105">
        <f t="shared" si="20"/>
        <v>0.13829999999999998</v>
      </c>
    </row>
    <row r="653" spans="1:8" ht="14.5">
      <c r="A653" s="41">
        <v>161907</v>
      </c>
      <c r="B653" s="380" t="str">
        <f t="shared" si="21"/>
        <v>161-907</v>
      </c>
      <c r="C653" s="2042" t="s">
        <v>1183</v>
      </c>
      <c r="D653" s="2042" t="s">
        <v>9284</v>
      </c>
      <c r="E653" s="105">
        <v>0.82200000000000006</v>
      </c>
      <c r="F653" s="105">
        <v>0.82200000000000006</v>
      </c>
      <c r="G653" s="2042">
        <v>0.96030000000000004</v>
      </c>
      <c r="H653" s="105">
        <f t="shared" si="20"/>
        <v>0.13829999999999998</v>
      </c>
    </row>
    <row r="654" spans="1:8" ht="14.5">
      <c r="A654" s="41">
        <v>161908</v>
      </c>
      <c r="B654" s="380" t="str">
        <f t="shared" si="21"/>
        <v>161-908</v>
      </c>
      <c r="C654" s="2042" t="s">
        <v>1951</v>
      </c>
      <c r="D654" s="2042" t="s">
        <v>9284</v>
      </c>
      <c r="E654" s="105">
        <v>0.82200000000000006</v>
      </c>
      <c r="F654" s="105">
        <v>0.82200000000000006</v>
      </c>
      <c r="G654" s="2042">
        <v>0.872</v>
      </c>
      <c r="H654" s="105">
        <f t="shared" si="20"/>
        <v>4.9999999999999933E-2</v>
      </c>
    </row>
    <row r="655" spans="1:8" ht="14.5">
      <c r="A655" s="41">
        <v>161909</v>
      </c>
      <c r="B655" s="380" t="str">
        <f t="shared" si="21"/>
        <v>161-909</v>
      </c>
      <c r="C655" s="2042" t="s">
        <v>773</v>
      </c>
      <c r="D655" s="2042" t="s">
        <v>9284</v>
      </c>
      <c r="E655" s="105">
        <v>0.83590000000000009</v>
      </c>
      <c r="F655" s="105">
        <v>0.83590000000000009</v>
      </c>
      <c r="G655" s="2042">
        <v>0.88590000000000002</v>
      </c>
      <c r="H655" s="105">
        <f t="shared" si="20"/>
        <v>4.9999999999999933E-2</v>
      </c>
    </row>
    <row r="656" spans="1:8" ht="14.5">
      <c r="A656" s="41">
        <v>161910</v>
      </c>
      <c r="B656" s="380" t="str">
        <f t="shared" si="21"/>
        <v>161-910</v>
      </c>
      <c r="C656" s="2042" t="s">
        <v>1653</v>
      </c>
      <c r="D656" s="2042" t="s">
        <v>9284</v>
      </c>
      <c r="E656" s="105">
        <v>0.82200000000000006</v>
      </c>
      <c r="F656" s="105">
        <v>0.82200000000000006</v>
      </c>
      <c r="G656" s="2042">
        <v>0.96030000000000004</v>
      </c>
      <c r="H656" s="105">
        <f t="shared" si="20"/>
        <v>0.13829999999999998</v>
      </c>
    </row>
    <row r="657" spans="1:8" ht="14.5">
      <c r="A657" s="41">
        <v>161912</v>
      </c>
      <c r="B657" s="380" t="str">
        <f t="shared" si="21"/>
        <v>161-912</v>
      </c>
      <c r="C657" s="2042" t="s">
        <v>1643</v>
      </c>
      <c r="D657" s="2042" t="s">
        <v>9284</v>
      </c>
      <c r="E657" s="105">
        <v>0.87040000000000006</v>
      </c>
      <c r="F657" s="105">
        <v>0.87040000000000006</v>
      </c>
      <c r="G657" s="2042">
        <v>0.9204</v>
      </c>
      <c r="H657" s="105">
        <f t="shared" si="20"/>
        <v>4.9999999999999933E-2</v>
      </c>
    </row>
    <row r="658" spans="1:8" ht="14.5">
      <c r="A658" s="41">
        <v>161914</v>
      </c>
      <c r="B658" s="380" t="str">
        <f t="shared" si="21"/>
        <v>161-914</v>
      </c>
      <c r="C658" s="2042" t="s">
        <v>127</v>
      </c>
      <c r="D658" s="2042" t="s">
        <v>9284</v>
      </c>
      <c r="E658" s="105">
        <v>0.8861</v>
      </c>
      <c r="F658" s="105">
        <v>0.8861</v>
      </c>
      <c r="G658" s="2042">
        <v>1.0244</v>
      </c>
      <c r="H658" s="105">
        <f t="shared" si="20"/>
        <v>0.13829999999999998</v>
      </c>
    </row>
    <row r="659" spans="1:8" ht="14.5">
      <c r="A659" s="41">
        <v>161916</v>
      </c>
      <c r="B659" s="380" t="str">
        <f t="shared" si="21"/>
        <v>161-916</v>
      </c>
      <c r="C659" s="2042" t="s">
        <v>1345</v>
      </c>
      <c r="D659" s="2042" t="s">
        <v>9284</v>
      </c>
      <c r="E659" s="105">
        <v>0.84310000000000007</v>
      </c>
      <c r="F659" s="105">
        <v>0.84310000000000007</v>
      </c>
      <c r="G659" s="2042">
        <v>0.8931</v>
      </c>
      <c r="H659" s="105">
        <f t="shared" si="20"/>
        <v>4.9999999999999933E-2</v>
      </c>
    </row>
    <row r="660" spans="1:8" ht="14.5">
      <c r="A660" s="41">
        <v>161918</v>
      </c>
      <c r="B660" s="380" t="str">
        <f t="shared" si="21"/>
        <v>161-918</v>
      </c>
      <c r="C660" s="2042" t="s">
        <v>1654</v>
      </c>
      <c r="D660" s="2042" t="s">
        <v>9284</v>
      </c>
      <c r="E660" s="105">
        <v>0.82200000000000006</v>
      </c>
      <c r="F660" s="105">
        <v>0.82200000000000006</v>
      </c>
      <c r="G660" s="2042">
        <v>0.96030000000000004</v>
      </c>
      <c r="H660" s="105">
        <f t="shared" si="20"/>
        <v>0.13829999999999998</v>
      </c>
    </row>
    <row r="661" spans="1:8" ht="14.5">
      <c r="A661" s="41">
        <v>161919</v>
      </c>
      <c r="B661" s="380" t="str">
        <f t="shared" si="21"/>
        <v>161-919</v>
      </c>
      <c r="C661" s="2042" t="s">
        <v>1655</v>
      </c>
      <c r="D661" s="2042" t="s">
        <v>9284</v>
      </c>
      <c r="E661" s="105">
        <v>0.85520000000000007</v>
      </c>
      <c r="F661" s="105">
        <v>0.85520000000000007</v>
      </c>
      <c r="G661" s="2042">
        <v>0.99350000000000005</v>
      </c>
      <c r="H661" s="105">
        <f t="shared" si="20"/>
        <v>0.13829999999999998</v>
      </c>
    </row>
    <row r="662" spans="1:8" ht="14.5">
      <c r="A662" s="41">
        <v>161920</v>
      </c>
      <c r="B662" s="380" t="str">
        <f t="shared" si="21"/>
        <v>161-920</v>
      </c>
      <c r="C662" s="2042" t="s">
        <v>1090</v>
      </c>
      <c r="D662" s="2042" t="s">
        <v>9284</v>
      </c>
      <c r="E662" s="105">
        <v>0.82200000000000006</v>
      </c>
      <c r="F662" s="105">
        <v>0.82200000000000006</v>
      </c>
      <c r="G662" s="2042">
        <v>0.872</v>
      </c>
      <c r="H662" s="105">
        <f t="shared" si="20"/>
        <v>4.9999999999999933E-2</v>
      </c>
    </row>
    <row r="663" spans="1:8" ht="14.5">
      <c r="A663" s="41">
        <v>161921</v>
      </c>
      <c r="B663" s="380" t="str">
        <f t="shared" si="21"/>
        <v>161-921</v>
      </c>
      <c r="C663" s="2042" t="s">
        <v>1462</v>
      </c>
      <c r="D663" s="2042" t="s">
        <v>9284</v>
      </c>
      <c r="E663" s="105">
        <v>0.84760000000000002</v>
      </c>
      <c r="F663" s="105">
        <v>0.84760000000000002</v>
      </c>
      <c r="G663" s="2042">
        <v>0.9859</v>
      </c>
      <c r="H663" s="105">
        <f t="shared" si="20"/>
        <v>0.13829999999999998</v>
      </c>
    </row>
    <row r="664" spans="1:8" ht="14.5">
      <c r="A664" s="41">
        <v>161922</v>
      </c>
      <c r="B664" s="380" t="str">
        <f t="shared" si="21"/>
        <v>161-922</v>
      </c>
      <c r="C664" s="2042" t="s">
        <v>2551</v>
      </c>
      <c r="D664" s="2042" t="s">
        <v>9284</v>
      </c>
      <c r="E664" s="105">
        <v>0.82569999999999999</v>
      </c>
      <c r="F664" s="105">
        <v>0.82569999999999999</v>
      </c>
      <c r="G664" s="2042">
        <v>0.96400000000000008</v>
      </c>
      <c r="H664" s="105">
        <f t="shared" si="20"/>
        <v>0.13830000000000009</v>
      </c>
    </row>
    <row r="665" spans="1:8" ht="14.5">
      <c r="A665" s="41">
        <v>161923</v>
      </c>
      <c r="B665" s="380" t="str">
        <f t="shared" si="21"/>
        <v>161-923</v>
      </c>
      <c r="C665" s="2042" t="s">
        <v>1272</v>
      </c>
      <c r="D665" s="2042" t="s">
        <v>9284</v>
      </c>
      <c r="E665" s="105">
        <v>0.83779999999999999</v>
      </c>
      <c r="F665" s="105">
        <v>0.83779999999999999</v>
      </c>
      <c r="G665" s="2042">
        <v>0.97610000000000008</v>
      </c>
      <c r="H665" s="105">
        <f t="shared" si="20"/>
        <v>0.13830000000000009</v>
      </c>
    </row>
    <row r="666" spans="1:8" ht="14.5">
      <c r="A666" s="41">
        <v>161924</v>
      </c>
      <c r="B666" s="380" t="str">
        <f t="shared" si="21"/>
        <v>161-924</v>
      </c>
      <c r="C666" s="2042" t="s">
        <v>1656</v>
      </c>
      <c r="D666" s="2042" t="s">
        <v>9284</v>
      </c>
      <c r="E666" s="105">
        <v>0.82200000000000006</v>
      </c>
      <c r="F666" s="105">
        <v>0.82200000000000006</v>
      </c>
      <c r="G666" s="2042">
        <v>0.872</v>
      </c>
      <c r="H666" s="105">
        <f t="shared" si="20"/>
        <v>4.9999999999999933E-2</v>
      </c>
    </row>
    <row r="667" spans="1:8" ht="14.5">
      <c r="A667" s="41">
        <v>161925</v>
      </c>
      <c r="B667" s="380" t="str">
        <f t="shared" si="21"/>
        <v>161-925</v>
      </c>
      <c r="C667" s="2042" t="s">
        <v>1657</v>
      </c>
      <c r="D667" s="2042" t="s">
        <v>9284</v>
      </c>
      <c r="E667" s="105">
        <v>0.82200000000000006</v>
      </c>
      <c r="F667" s="105">
        <v>0.82200000000000006</v>
      </c>
      <c r="G667" s="2042">
        <v>0.872</v>
      </c>
      <c r="H667" s="105">
        <f t="shared" si="20"/>
        <v>4.9999999999999933E-2</v>
      </c>
    </row>
    <row r="668" spans="1:8" ht="14.5">
      <c r="A668" s="41">
        <v>162904</v>
      </c>
      <c r="B668" s="380" t="str">
        <f t="shared" si="21"/>
        <v>162-904</v>
      </c>
      <c r="C668" s="2042" t="s">
        <v>1658</v>
      </c>
      <c r="D668" s="2042" t="s">
        <v>9284</v>
      </c>
      <c r="E668" s="105">
        <v>0.90210000000000001</v>
      </c>
      <c r="F668" s="105">
        <v>0.90210000000000001</v>
      </c>
      <c r="G668" s="2042">
        <v>0.95210000000000006</v>
      </c>
      <c r="H668" s="105">
        <f t="shared" si="20"/>
        <v>5.0000000000000044E-2</v>
      </c>
    </row>
    <row r="669" spans="1:8" ht="14.5">
      <c r="A669" s="41">
        <v>163901</v>
      </c>
      <c r="B669" s="380" t="str">
        <f t="shared" si="21"/>
        <v>163-901</v>
      </c>
      <c r="C669" s="2042" t="s">
        <v>2522</v>
      </c>
      <c r="D669" s="2042" t="s">
        <v>9284</v>
      </c>
      <c r="E669" s="105">
        <v>0.82900000000000007</v>
      </c>
      <c r="F669" s="105">
        <v>0.82900000000000007</v>
      </c>
      <c r="G669" s="2042">
        <v>0.879</v>
      </c>
      <c r="H669" s="105">
        <f t="shared" si="20"/>
        <v>4.9999999999999933E-2</v>
      </c>
    </row>
    <row r="670" spans="1:8" ht="14.5">
      <c r="A670" s="41">
        <v>163902</v>
      </c>
      <c r="B670" s="380" t="str">
        <f t="shared" si="21"/>
        <v>163-902</v>
      </c>
      <c r="C670" s="2042" t="s">
        <v>2056</v>
      </c>
      <c r="D670" s="2042" t="s">
        <v>9284</v>
      </c>
      <c r="E670" s="105">
        <v>0.83900000000000008</v>
      </c>
      <c r="F670" s="105">
        <v>0.83900000000000008</v>
      </c>
      <c r="G670" s="2042">
        <v>0.88900000000000001</v>
      </c>
      <c r="H670" s="105">
        <f t="shared" si="20"/>
        <v>4.9999999999999933E-2</v>
      </c>
    </row>
    <row r="671" spans="1:8" ht="14.5">
      <c r="A671" s="41">
        <v>163903</v>
      </c>
      <c r="B671" s="380" t="str">
        <f t="shared" si="21"/>
        <v>163-903</v>
      </c>
      <c r="C671" s="2042" t="s">
        <v>2121</v>
      </c>
      <c r="D671" s="2042" t="s">
        <v>9284</v>
      </c>
      <c r="E671" s="105">
        <v>0.82200000000000006</v>
      </c>
      <c r="F671" s="105">
        <v>0.82200000000000006</v>
      </c>
      <c r="G671" s="2042">
        <v>0.96030000000000004</v>
      </c>
      <c r="H671" s="105">
        <f t="shared" si="20"/>
        <v>0.13829999999999998</v>
      </c>
    </row>
    <row r="672" spans="1:8" ht="14.5">
      <c r="A672" s="41">
        <v>163904</v>
      </c>
      <c r="B672" s="380" t="str">
        <f t="shared" si="21"/>
        <v>163-904</v>
      </c>
      <c r="C672" s="2042" t="s">
        <v>2245</v>
      </c>
      <c r="D672" s="2042" t="s">
        <v>9284</v>
      </c>
      <c r="E672" s="105">
        <v>0.82200000000000006</v>
      </c>
      <c r="F672" s="105">
        <v>0.82200000000000006</v>
      </c>
      <c r="G672" s="2042">
        <v>0.872</v>
      </c>
      <c r="H672" s="105">
        <f t="shared" si="20"/>
        <v>4.9999999999999933E-2</v>
      </c>
    </row>
    <row r="673" spans="1:8" ht="14.5">
      <c r="A673" s="41">
        <v>163908</v>
      </c>
      <c r="B673" s="380" t="str">
        <f t="shared" si="21"/>
        <v>163-908</v>
      </c>
      <c r="C673" s="2042" t="s">
        <v>777</v>
      </c>
      <c r="D673" s="2042" t="s">
        <v>9284</v>
      </c>
      <c r="E673" s="105">
        <v>0.82200000000000006</v>
      </c>
      <c r="F673" s="105">
        <v>0.82200000000000006</v>
      </c>
      <c r="G673" s="2042">
        <v>0.872</v>
      </c>
      <c r="H673" s="105">
        <f t="shared" si="20"/>
        <v>4.9999999999999933E-2</v>
      </c>
    </row>
    <row r="674" spans="1:8" ht="14.5">
      <c r="A674" s="41">
        <v>164901</v>
      </c>
      <c r="B674" s="380" t="str">
        <f t="shared" si="21"/>
        <v>164-901</v>
      </c>
      <c r="C674" s="2042" t="s">
        <v>1659</v>
      </c>
      <c r="D674" s="2042" t="s">
        <v>9284</v>
      </c>
      <c r="E674" s="105">
        <v>0.82200000000000006</v>
      </c>
      <c r="F674" s="105">
        <v>0.82200000000000006</v>
      </c>
      <c r="G674" s="2042">
        <v>0.872</v>
      </c>
      <c r="H674" s="105">
        <f t="shared" si="20"/>
        <v>4.9999999999999933E-2</v>
      </c>
    </row>
    <row r="675" spans="1:8" ht="14.5">
      <c r="A675" s="41">
        <v>165901</v>
      </c>
      <c r="B675" s="380" t="str">
        <f t="shared" si="21"/>
        <v>165-901</v>
      </c>
      <c r="C675" s="2042" t="s">
        <v>2113</v>
      </c>
      <c r="D675" s="2042" t="s">
        <v>9284</v>
      </c>
      <c r="E675" s="105">
        <v>0.91339999999999999</v>
      </c>
      <c r="F675" s="105">
        <v>0.91339999999999999</v>
      </c>
      <c r="G675" s="2042">
        <v>0.95340000000000003</v>
      </c>
      <c r="H675" s="105">
        <f t="shared" si="20"/>
        <v>4.0000000000000036E-2</v>
      </c>
    </row>
    <row r="676" spans="1:8" ht="14.5">
      <c r="A676" s="727">
        <v>165902</v>
      </c>
      <c r="B676" s="1683" t="str">
        <f t="shared" si="21"/>
        <v>165-902</v>
      </c>
      <c r="C676" s="629" t="s">
        <v>1660</v>
      </c>
      <c r="D676" s="629" t="s">
        <v>9284</v>
      </c>
      <c r="E676" s="105">
        <v>0.82200000000000006</v>
      </c>
      <c r="F676" s="105">
        <v>0.82590000000000008</v>
      </c>
      <c r="G676" s="2042">
        <v>0.96010000000000006</v>
      </c>
      <c r="H676" s="105">
        <f t="shared" si="20"/>
        <v>0.13419999999999999</v>
      </c>
    </row>
    <row r="677" spans="1:8" ht="14.5">
      <c r="A677" s="41">
        <v>166901</v>
      </c>
      <c r="B677" s="380" t="str">
        <f t="shared" si="21"/>
        <v>166-901</v>
      </c>
      <c r="C677" s="2042" t="s">
        <v>611</v>
      </c>
      <c r="D677" s="2042" t="s">
        <v>9284</v>
      </c>
      <c r="E677" s="105">
        <v>0.8427</v>
      </c>
      <c r="F677" s="105">
        <v>0.8427</v>
      </c>
      <c r="G677" s="2042">
        <v>0.89270000000000005</v>
      </c>
      <c r="H677" s="105">
        <f t="shared" si="20"/>
        <v>5.0000000000000044E-2</v>
      </c>
    </row>
    <row r="678" spans="1:8" ht="14.5">
      <c r="A678" s="41">
        <v>166902</v>
      </c>
      <c r="B678" s="380" t="str">
        <f t="shared" si="21"/>
        <v>166-902</v>
      </c>
      <c r="C678" s="2042" t="s">
        <v>1661</v>
      </c>
      <c r="D678" s="2042" t="s">
        <v>9284</v>
      </c>
      <c r="E678" s="105">
        <v>0.82469999999999999</v>
      </c>
      <c r="F678" s="105">
        <v>0.82469999999999999</v>
      </c>
      <c r="G678" s="2042">
        <v>0.87470000000000003</v>
      </c>
      <c r="H678" s="105">
        <f t="shared" si="20"/>
        <v>5.0000000000000044E-2</v>
      </c>
    </row>
    <row r="679" spans="1:8" ht="14.5">
      <c r="A679" s="41">
        <v>166903</v>
      </c>
      <c r="B679" s="380" t="str">
        <f t="shared" si="21"/>
        <v>166-903</v>
      </c>
      <c r="C679" s="2042" t="s">
        <v>1662</v>
      </c>
      <c r="D679" s="2042" t="s">
        <v>9284</v>
      </c>
      <c r="E679" s="105">
        <v>0.89060000000000006</v>
      </c>
      <c r="F679" s="105">
        <v>0.89060000000000006</v>
      </c>
      <c r="G679" s="2042">
        <v>1.0289000000000001</v>
      </c>
      <c r="H679" s="105">
        <f t="shared" si="20"/>
        <v>0.13830000000000009</v>
      </c>
    </row>
    <row r="680" spans="1:8" ht="14.5">
      <c r="A680" s="41">
        <v>166904</v>
      </c>
      <c r="B680" s="380" t="str">
        <f t="shared" si="21"/>
        <v>166-904</v>
      </c>
      <c r="C680" s="2042" t="s">
        <v>1663</v>
      </c>
      <c r="D680" s="2042" t="s">
        <v>9284</v>
      </c>
      <c r="E680" s="105">
        <v>0.82200000000000006</v>
      </c>
      <c r="F680" s="105">
        <v>0.82200000000000006</v>
      </c>
      <c r="G680" s="2042">
        <v>0.96030000000000004</v>
      </c>
      <c r="H680" s="105">
        <f t="shared" si="20"/>
        <v>0.13829999999999998</v>
      </c>
    </row>
    <row r="681" spans="1:8" ht="14.5">
      <c r="A681" s="41">
        <v>166905</v>
      </c>
      <c r="B681" s="380" t="str">
        <f t="shared" si="21"/>
        <v>166-905</v>
      </c>
      <c r="C681" s="2042" t="s">
        <v>1664</v>
      </c>
      <c r="D681" s="2042" t="s">
        <v>9284</v>
      </c>
      <c r="E681" s="105">
        <v>0.83169999999999999</v>
      </c>
      <c r="F681" s="105">
        <v>0.83169999999999999</v>
      </c>
      <c r="G681" s="2042">
        <v>0.97</v>
      </c>
      <c r="H681" s="105">
        <f t="shared" si="20"/>
        <v>0.13829999999999998</v>
      </c>
    </row>
    <row r="682" spans="1:8" ht="14.5">
      <c r="A682" s="41">
        <v>166907</v>
      </c>
      <c r="B682" s="380" t="str">
        <f t="shared" si="21"/>
        <v>166-907</v>
      </c>
      <c r="C682" s="2042" t="s">
        <v>2492</v>
      </c>
      <c r="D682" s="2042" t="s">
        <v>9284</v>
      </c>
      <c r="E682" s="105">
        <v>0.90510000000000002</v>
      </c>
      <c r="F682" s="105">
        <v>0.90510000000000002</v>
      </c>
      <c r="G682" s="2042">
        <v>0.95510000000000006</v>
      </c>
      <c r="H682" s="105">
        <f t="shared" si="20"/>
        <v>5.0000000000000044E-2</v>
      </c>
    </row>
    <row r="683" spans="1:8" ht="14.5">
      <c r="A683" s="41">
        <v>167901</v>
      </c>
      <c r="B683" s="380" t="str">
        <f t="shared" si="21"/>
        <v>167-901</v>
      </c>
      <c r="C683" s="2042" t="s">
        <v>813</v>
      </c>
      <c r="D683" s="2042" t="s">
        <v>9284</v>
      </c>
      <c r="E683" s="105">
        <v>0.8983000000000001</v>
      </c>
      <c r="F683" s="105">
        <v>0.8983000000000001</v>
      </c>
      <c r="G683" s="2042">
        <v>0.94830000000000003</v>
      </c>
      <c r="H683" s="105">
        <f t="shared" si="20"/>
        <v>4.9999999999999933E-2</v>
      </c>
    </row>
    <row r="684" spans="1:8" ht="14.5">
      <c r="A684" s="41">
        <v>167902</v>
      </c>
      <c r="B684" s="380" t="str">
        <f t="shared" si="21"/>
        <v>167-902</v>
      </c>
      <c r="C684" s="2042" t="s">
        <v>1665</v>
      </c>
      <c r="D684" s="2042" t="s">
        <v>9284</v>
      </c>
      <c r="E684" s="105">
        <v>0.90450000000000008</v>
      </c>
      <c r="F684" s="105">
        <v>0.90450000000000008</v>
      </c>
      <c r="G684" s="2042">
        <v>0.94359999999999999</v>
      </c>
      <c r="H684" s="105">
        <f t="shared" si="20"/>
        <v>3.9099999999999913E-2</v>
      </c>
    </row>
    <row r="685" spans="1:8" ht="14.5">
      <c r="A685" s="41">
        <v>167904</v>
      </c>
      <c r="B685" s="380" t="str">
        <f t="shared" si="21"/>
        <v>167-904</v>
      </c>
      <c r="C685" s="2042" t="s">
        <v>71</v>
      </c>
      <c r="D685" s="2042" t="s">
        <v>9284</v>
      </c>
      <c r="E685" s="105">
        <v>0.85350000000000004</v>
      </c>
      <c r="F685" s="105">
        <v>0.85350000000000004</v>
      </c>
      <c r="G685" s="2042">
        <v>0.872</v>
      </c>
      <c r="H685" s="105">
        <f t="shared" si="20"/>
        <v>1.8499999999999961E-2</v>
      </c>
    </row>
    <row r="686" spans="1:8" ht="14.5">
      <c r="A686" s="41">
        <v>168901</v>
      </c>
      <c r="B686" s="380" t="str">
        <f t="shared" si="21"/>
        <v>168-901</v>
      </c>
      <c r="C686" s="2042" t="s">
        <v>1667</v>
      </c>
      <c r="D686" s="2042" t="s">
        <v>9284</v>
      </c>
      <c r="E686" s="105">
        <v>0.91080000000000005</v>
      </c>
      <c r="F686" s="105">
        <v>0.91080000000000005</v>
      </c>
      <c r="G686" s="2042">
        <v>1.0491000000000001</v>
      </c>
      <c r="H686" s="105">
        <f t="shared" si="20"/>
        <v>0.13830000000000009</v>
      </c>
    </row>
    <row r="687" spans="1:8" ht="14.5">
      <c r="A687" s="41">
        <v>168902</v>
      </c>
      <c r="B687" s="380" t="str">
        <f t="shared" si="21"/>
        <v>168-902</v>
      </c>
      <c r="C687" s="2042" t="s">
        <v>1668</v>
      </c>
      <c r="D687" s="2042" t="s">
        <v>9284</v>
      </c>
      <c r="E687" s="105">
        <v>0.87770000000000004</v>
      </c>
      <c r="F687" s="105">
        <v>0.87770000000000004</v>
      </c>
      <c r="G687" s="2042">
        <v>0.92770000000000008</v>
      </c>
      <c r="H687" s="105">
        <f t="shared" si="20"/>
        <v>5.0000000000000044E-2</v>
      </c>
    </row>
    <row r="688" spans="1:8" ht="14.5">
      <c r="A688" s="41">
        <v>168903</v>
      </c>
      <c r="B688" s="380" t="str">
        <f t="shared" si="21"/>
        <v>168-903</v>
      </c>
      <c r="C688" s="2042" t="s">
        <v>1669</v>
      </c>
      <c r="D688" s="2042" t="s">
        <v>9284</v>
      </c>
      <c r="E688" s="105">
        <v>0.91339999999999999</v>
      </c>
      <c r="F688" s="105">
        <v>0.91339999999999999</v>
      </c>
      <c r="G688" s="2042">
        <v>0.96340000000000003</v>
      </c>
      <c r="H688" s="105">
        <f t="shared" si="20"/>
        <v>5.0000000000000044E-2</v>
      </c>
    </row>
    <row r="689" spans="1:8" ht="14.5">
      <c r="A689" s="41">
        <v>169901</v>
      </c>
      <c r="B689" s="380" t="str">
        <f t="shared" si="21"/>
        <v>169-901</v>
      </c>
      <c r="C689" s="2042" t="s">
        <v>1290</v>
      </c>
      <c r="D689" s="2042" t="s">
        <v>9284</v>
      </c>
      <c r="E689" s="105">
        <v>0.89390000000000003</v>
      </c>
      <c r="F689" s="105">
        <v>0.89390000000000003</v>
      </c>
      <c r="G689" s="2042">
        <v>0.94390000000000007</v>
      </c>
      <c r="H689" s="105">
        <f t="shared" si="20"/>
        <v>5.0000000000000044E-2</v>
      </c>
    </row>
    <row r="690" spans="1:8" ht="14.5">
      <c r="A690" s="41">
        <v>169902</v>
      </c>
      <c r="B690" s="380" t="str">
        <f t="shared" si="21"/>
        <v>169-902</v>
      </c>
      <c r="C690" s="2042" t="s">
        <v>1291</v>
      </c>
      <c r="D690" s="2042" t="s">
        <v>9284</v>
      </c>
      <c r="E690" s="105">
        <v>0.84220000000000006</v>
      </c>
      <c r="F690" s="105">
        <v>0.84220000000000006</v>
      </c>
      <c r="G690" s="2042">
        <v>0.89219999999999999</v>
      </c>
      <c r="H690" s="105">
        <f t="shared" si="20"/>
        <v>4.9999999999999933E-2</v>
      </c>
    </row>
    <row r="691" spans="1:8" ht="14.5">
      <c r="A691" s="41">
        <v>169906</v>
      </c>
      <c r="B691" s="380" t="str">
        <f t="shared" si="21"/>
        <v>169-906</v>
      </c>
      <c r="C691" s="2042" t="s">
        <v>1292</v>
      </c>
      <c r="D691" s="2042" t="s">
        <v>9284</v>
      </c>
      <c r="E691" s="105">
        <v>0.82200000000000006</v>
      </c>
      <c r="F691" s="105">
        <v>0.82200000000000006</v>
      </c>
      <c r="G691" s="2042">
        <v>0.872</v>
      </c>
      <c r="H691" s="105">
        <f t="shared" si="20"/>
        <v>4.9999999999999933E-2</v>
      </c>
    </row>
    <row r="692" spans="1:8" ht="14.5">
      <c r="A692" s="41">
        <v>169908</v>
      </c>
      <c r="B692" s="380" t="str">
        <f t="shared" si="21"/>
        <v>169-908</v>
      </c>
      <c r="C692" s="2042" t="s">
        <v>2122</v>
      </c>
      <c r="D692" s="2042" t="s">
        <v>9284</v>
      </c>
      <c r="E692" s="105">
        <v>0.89540000000000008</v>
      </c>
      <c r="F692" s="105">
        <v>0.89540000000000008</v>
      </c>
      <c r="G692" s="2042">
        <v>1.0337000000000001</v>
      </c>
      <c r="H692" s="105">
        <f t="shared" si="20"/>
        <v>0.13829999999999998</v>
      </c>
    </row>
    <row r="693" spans="1:8" ht="14.5">
      <c r="A693" s="41">
        <v>169909</v>
      </c>
      <c r="B693" s="380" t="str">
        <f t="shared" si="21"/>
        <v>169-909</v>
      </c>
      <c r="C693" s="2042" t="s">
        <v>2123</v>
      </c>
      <c r="D693" s="2042" t="s">
        <v>9284</v>
      </c>
      <c r="E693" s="105">
        <v>0.91339999999999999</v>
      </c>
      <c r="F693" s="105">
        <v>0.91339999999999999</v>
      </c>
      <c r="G693" s="2042">
        <v>0.96340000000000003</v>
      </c>
      <c r="H693" s="105">
        <f t="shared" si="20"/>
        <v>5.0000000000000044E-2</v>
      </c>
    </row>
    <row r="694" spans="1:8" ht="14.5">
      <c r="A694" s="41">
        <v>169910</v>
      </c>
      <c r="B694" s="380" t="str">
        <f t="shared" si="21"/>
        <v>169-910</v>
      </c>
      <c r="C694" s="2042" t="s">
        <v>2124</v>
      </c>
      <c r="D694" s="2042" t="s">
        <v>9284</v>
      </c>
      <c r="E694" s="105">
        <v>0.91339999999999999</v>
      </c>
      <c r="F694" s="105">
        <v>0.91339999999999999</v>
      </c>
      <c r="G694" s="2042">
        <v>0.96340000000000003</v>
      </c>
      <c r="H694" s="105">
        <f t="shared" si="20"/>
        <v>5.0000000000000044E-2</v>
      </c>
    </row>
    <row r="695" spans="1:8" ht="14.5">
      <c r="A695" s="41">
        <v>169911</v>
      </c>
      <c r="B695" s="380" t="str">
        <f t="shared" si="21"/>
        <v>169-911</v>
      </c>
      <c r="C695" s="2042" t="s">
        <v>2125</v>
      </c>
      <c r="D695" s="2042" t="s">
        <v>9284</v>
      </c>
      <c r="E695" s="105">
        <v>0.85640000000000005</v>
      </c>
      <c r="F695" s="105">
        <v>0.85640000000000005</v>
      </c>
      <c r="G695" s="2042">
        <v>0.99470000000000003</v>
      </c>
      <c r="H695" s="105">
        <f t="shared" si="20"/>
        <v>0.13829999999999998</v>
      </c>
    </row>
    <row r="696" spans="1:8" ht="14.5">
      <c r="A696" s="41">
        <v>170902</v>
      </c>
      <c r="B696" s="380" t="str">
        <f t="shared" si="21"/>
        <v>170-902</v>
      </c>
      <c r="C696" s="2042" t="s">
        <v>1463</v>
      </c>
      <c r="D696" s="2042" t="s">
        <v>9284</v>
      </c>
      <c r="E696" s="105">
        <v>0.86599999999999999</v>
      </c>
      <c r="F696" s="105">
        <v>0.86599999999999999</v>
      </c>
      <c r="G696" s="2042">
        <v>0.91600000000000004</v>
      </c>
      <c r="H696" s="105">
        <f t="shared" si="20"/>
        <v>5.0000000000000044E-2</v>
      </c>
    </row>
    <row r="697" spans="1:8" ht="14.5">
      <c r="A697" s="41">
        <v>170903</v>
      </c>
      <c r="B697" s="380" t="str">
        <f t="shared" si="21"/>
        <v>170-903</v>
      </c>
      <c r="C697" s="2042" t="s">
        <v>2126</v>
      </c>
      <c r="D697" s="2042" t="s">
        <v>9284</v>
      </c>
      <c r="E697" s="105">
        <v>0.8357</v>
      </c>
      <c r="F697" s="105">
        <v>0.8357</v>
      </c>
      <c r="G697" s="2042">
        <v>0.88570000000000004</v>
      </c>
      <c r="H697" s="105">
        <f t="shared" si="20"/>
        <v>5.0000000000000044E-2</v>
      </c>
    </row>
    <row r="698" spans="1:8" ht="14.5">
      <c r="A698" s="41">
        <v>170904</v>
      </c>
      <c r="B698" s="380" t="str">
        <f t="shared" si="21"/>
        <v>170-904</v>
      </c>
      <c r="C698" s="2042" t="s">
        <v>1060</v>
      </c>
      <c r="D698" s="2042" t="s">
        <v>9284</v>
      </c>
      <c r="E698" s="105">
        <v>0.82200000000000006</v>
      </c>
      <c r="F698" s="105">
        <v>0.82200000000000006</v>
      </c>
      <c r="G698" s="2042">
        <v>0.872</v>
      </c>
      <c r="H698" s="105">
        <f t="shared" si="20"/>
        <v>4.9999999999999933E-2</v>
      </c>
    </row>
    <row r="699" spans="1:8" ht="14.5">
      <c r="A699" s="41">
        <v>170906</v>
      </c>
      <c r="B699" s="380" t="str">
        <f t="shared" si="21"/>
        <v>170-906</v>
      </c>
      <c r="C699" s="2042" t="s">
        <v>273</v>
      </c>
      <c r="D699" s="2042" t="s">
        <v>9284</v>
      </c>
      <c r="E699" s="105">
        <v>0.82769999999999999</v>
      </c>
      <c r="F699" s="105">
        <v>0.82769999999999999</v>
      </c>
      <c r="G699" s="2042">
        <v>0.87770000000000004</v>
      </c>
      <c r="H699" s="105">
        <f t="shared" si="20"/>
        <v>5.0000000000000044E-2</v>
      </c>
    </row>
    <row r="700" spans="1:8" ht="14.5">
      <c r="A700" s="41">
        <v>170907</v>
      </c>
      <c r="B700" s="380" t="str">
        <f t="shared" si="21"/>
        <v>170-907</v>
      </c>
      <c r="C700" s="2042" t="s">
        <v>1828</v>
      </c>
      <c r="D700" s="2042" t="s">
        <v>9284</v>
      </c>
      <c r="E700" s="105">
        <v>0.82200000000000006</v>
      </c>
      <c r="F700" s="105">
        <v>0.82200000000000006</v>
      </c>
      <c r="G700" s="2042">
        <v>0.96030000000000004</v>
      </c>
      <c r="H700" s="105">
        <f t="shared" si="20"/>
        <v>0.13829999999999998</v>
      </c>
    </row>
    <row r="701" spans="1:8" ht="14.5">
      <c r="A701" s="41">
        <v>170908</v>
      </c>
      <c r="B701" s="380" t="str">
        <f t="shared" si="21"/>
        <v>170-908</v>
      </c>
      <c r="C701" s="2042" t="s">
        <v>1072</v>
      </c>
      <c r="D701" s="2042" t="s">
        <v>9284</v>
      </c>
      <c r="E701" s="105">
        <v>0.82200000000000006</v>
      </c>
      <c r="F701" s="105">
        <v>0.82200000000000006</v>
      </c>
      <c r="G701" s="2042">
        <v>0.96030000000000004</v>
      </c>
      <c r="H701" s="105">
        <f t="shared" si="20"/>
        <v>0.13829999999999998</v>
      </c>
    </row>
    <row r="702" spans="1:8" ht="14.5">
      <c r="A702" s="41">
        <v>171901</v>
      </c>
      <c r="B702" s="380" t="str">
        <f t="shared" si="21"/>
        <v>171-901</v>
      </c>
      <c r="C702" s="2042" t="s">
        <v>2127</v>
      </c>
      <c r="D702" s="2042" t="s">
        <v>9284</v>
      </c>
      <c r="E702" s="105">
        <v>0.90750000000000008</v>
      </c>
      <c r="F702" s="105">
        <v>0.90750000000000008</v>
      </c>
      <c r="G702" s="2042">
        <v>0.95750000000000002</v>
      </c>
      <c r="H702" s="105">
        <f t="shared" si="20"/>
        <v>4.9999999999999933E-2</v>
      </c>
    </row>
    <row r="703" spans="1:8" ht="14.5">
      <c r="A703" s="41">
        <v>171902</v>
      </c>
      <c r="B703" s="380" t="str">
        <f t="shared" si="21"/>
        <v>171-902</v>
      </c>
      <c r="C703" s="2042" t="s">
        <v>2128</v>
      </c>
      <c r="D703" s="2042" t="s">
        <v>9284</v>
      </c>
      <c r="E703" s="105">
        <v>0.88290000000000002</v>
      </c>
      <c r="F703" s="105">
        <v>0.88290000000000002</v>
      </c>
      <c r="G703" s="2042">
        <v>0.93</v>
      </c>
      <c r="H703" s="105">
        <f t="shared" si="20"/>
        <v>4.7100000000000031E-2</v>
      </c>
    </row>
    <row r="704" spans="1:8" ht="14.5">
      <c r="A704" s="41">
        <v>172902</v>
      </c>
      <c r="B704" s="380" t="str">
        <f t="shared" si="21"/>
        <v>172-902</v>
      </c>
      <c r="C704" s="2042" t="s">
        <v>2129</v>
      </c>
      <c r="D704" s="2042" t="s">
        <v>9284</v>
      </c>
      <c r="E704" s="105">
        <v>0.91339999999999999</v>
      </c>
      <c r="F704" s="105">
        <v>0.91339999999999999</v>
      </c>
      <c r="G704" s="2042">
        <v>0.96340000000000003</v>
      </c>
      <c r="H704" s="105">
        <f t="shared" si="20"/>
        <v>5.0000000000000044E-2</v>
      </c>
    </row>
    <row r="705" spans="1:8" ht="14.5">
      <c r="A705" s="41">
        <v>172905</v>
      </c>
      <c r="B705" s="380" t="str">
        <f t="shared" si="21"/>
        <v>172-905</v>
      </c>
      <c r="C705" s="2042" t="s">
        <v>2484</v>
      </c>
      <c r="D705" s="2042" t="s">
        <v>9284</v>
      </c>
      <c r="E705" s="105">
        <v>0.89800000000000002</v>
      </c>
      <c r="F705" s="105">
        <v>0.89800000000000002</v>
      </c>
      <c r="G705" s="2042">
        <v>0.94800000000000006</v>
      </c>
      <c r="H705" s="105">
        <f t="shared" si="20"/>
        <v>5.0000000000000044E-2</v>
      </c>
    </row>
    <row r="706" spans="1:8" ht="14.5">
      <c r="A706" s="41">
        <v>173901</v>
      </c>
      <c r="B706" s="380" t="str">
        <f t="shared" si="21"/>
        <v>173-901</v>
      </c>
      <c r="C706" s="2042" t="s">
        <v>2131</v>
      </c>
      <c r="D706" s="2042" t="s">
        <v>9284</v>
      </c>
      <c r="E706" s="105">
        <v>0.91339999999999999</v>
      </c>
      <c r="F706" s="105">
        <v>0.91339999999999999</v>
      </c>
      <c r="G706" s="2042">
        <v>1.0464</v>
      </c>
      <c r="H706" s="105">
        <f t="shared" si="20"/>
        <v>0.13300000000000001</v>
      </c>
    </row>
    <row r="707" spans="1:8" ht="14.5">
      <c r="A707" s="727">
        <v>174901</v>
      </c>
      <c r="B707" s="1683" t="str">
        <f t="shared" si="21"/>
        <v>174-901</v>
      </c>
      <c r="C707" s="629" t="s">
        <v>1091</v>
      </c>
      <c r="D707" s="629" t="s">
        <v>9284</v>
      </c>
      <c r="E707" s="105">
        <v>0.85940000000000005</v>
      </c>
      <c r="F707" s="105">
        <v>0.86630000000000007</v>
      </c>
      <c r="G707" s="2042">
        <v>0.95990000000000009</v>
      </c>
      <c r="H707" s="105">
        <f t="shared" ref="H707:H770" si="22">G707-F707</f>
        <v>9.3600000000000017E-2</v>
      </c>
    </row>
    <row r="708" spans="1:8" ht="14.5">
      <c r="A708" s="41">
        <v>174902</v>
      </c>
      <c r="B708" s="380" t="str">
        <f t="shared" si="21"/>
        <v>174-902</v>
      </c>
      <c r="C708" s="2042" t="s">
        <v>2132</v>
      </c>
      <c r="D708" s="2042" t="s">
        <v>9284</v>
      </c>
      <c r="E708" s="105">
        <v>0.91339999999999999</v>
      </c>
      <c r="F708" s="105">
        <v>0.91339999999999999</v>
      </c>
      <c r="G708" s="2042">
        <v>0.96340000000000003</v>
      </c>
      <c r="H708" s="105">
        <f t="shared" si="22"/>
        <v>5.0000000000000044E-2</v>
      </c>
    </row>
    <row r="709" spans="1:8" ht="14.5">
      <c r="A709" s="41">
        <v>174903</v>
      </c>
      <c r="B709" s="380" t="str">
        <f t="shared" si="21"/>
        <v>174-903</v>
      </c>
      <c r="C709" s="2042" t="s">
        <v>429</v>
      </c>
      <c r="D709" s="2042" t="s">
        <v>9284</v>
      </c>
      <c r="E709" s="105">
        <v>0.91339999999999999</v>
      </c>
      <c r="F709" s="105">
        <v>0.91339999999999999</v>
      </c>
      <c r="G709" s="2042">
        <v>1.04</v>
      </c>
      <c r="H709" s="105">
        <f t="shared" si="22"/>
        <v>0.12660000000000005</v>
      </c>
    </row>
    <row r="710" spans="1:8" ht="14.5">
      <c r="A710" s="41">
        <v>174904</v>
      </c>
      <c r="B710" s="380" t="str">
        <f t="shared" si="21"/>
        <v>174-904</v>
      </c>
      <c r="C710" s="2042" t="s">
        <v>2133</v>
      </c>
      <c r="D710" s="2042" t="s">
        <v>9284</v>
      </c>
      <c r="E710" s="105">
        <v>0.88300000000000001</v>
      </c>
      <c r="F710" s="105">
        <v>0.88300000000000001</v>
      </c>
      <c r="G710" s="2042">
        <v>1.0213000000000001</v>
      </c>
      <c r="H710" s="105">
        <f t="shared" si="22"/>
        <v>0.13830000000000009</v>
      </c>
    </row>
    <row r="711" spans="1:8" ht="14.5">
      <c r="A711" s="41">
        <v>174906</v>
      </c>
      <c r="B711" s="380" t="str">
        <f t="shared" si="21"/>
        <v>174-906</v>
      </c>
      <c r="C711" s="2042" t="s">
        <v>1063</v>
      </c>
      <c r="D711" s="2042" t="s">
        <v>9284</v>
      </c>
      <c r="E711" s="105">
        <v>0.83100000000000007</v>
      </c>
      <c r="F711" s="105">
        <v>0.83100000000000007</v>
      </c>
      <c r="G711" s="2042">
        <v>0.92980000000000007</v>
      </c>
      <c r="H711" s="105">
        <f t="shared" si="22"/>
        <v>9.8799999999999999E-2</v>
      </c>
    </row>
    <row r="712" spans="1:8" ht="14.5">
      <c r="A712" s="41">
        <v>174908</v>
      </c>
      <c r="B712" s="380" t="str">
        <f t="shared" si="21"/>
        <v>174-908</v>
      </c>
      <c r="C712" s="2042" t="s">
        <v>2134</v>
      </c>
      <c r="D712" s="2042" t="s">
        <v>9284</v>
      </c>
      <c r="E712" s="105">
        <v>0.87630000000000008</v>
      </c>
      <c r="F712" s="105">
        <v>0.87630000000000008</v>
      </c>
      <c r="G712" s="2042">
        <v>0.92630000000000001</v>
      </c>
      <c r="H712" s="105">
        <f t="shared" si="22"/>
        <v>4.9999999999999933E-2</v>
      </c>
    </row>
    <row r="713" spans="1:8" ht="14.5">
      <c r="A713" s="41">
        <v>174909</v>
      </c>
      <c r="B713" s="380" t="str">
        <f t="shared" si="21"/>
        <v>174-909</v>
      </c>
      <c r="C713" s="2042" t="s">
        <v>2135</v>
      </c>
      <c r="D713" s="2042" t="s">
        <v>9284</v>
      </c>
      <c r="E713" s="105">
        <v>0.82200000000000006</v>
      </c>
      <c r="F713" s="105">
        <v>0.82200000000000006</v>
      </c>
      <c r="G713" s="2042">
        <v>0.99199999999999999</v>
      </c>
      <c r="H713" s="105">
        <f t="shared" si="22"/>
        <v>0.16999999999999993</v>
      </c>
    </row>
    <row r="714" spans="1:8" ht="14.5">
      <c r="A714" s="41">
        <v>174910</v>
      </c>
      <c r="B714" s="380" t="str">
        <f t="shared" si="21"/>
        <v>174-910</v>
      </c>
      <c r="C714" s="2042" t="s">
        <v>844</v>
      </c>
      <c r="D714" s="2042" t="s">
        <v>9284</v>
      </c>
      <c r="E714" s="105">
        <v>0.91339999999999999</v>
      </c>
      <c r="F714" s="105">
        <v>0.91339999999999999</v>
      </c>
      <c r="G714" s="2042">
        <v>1.0517000000000001</v>
      </c>
      <c r="H714" s="105">
        <f t="shared" si="22"/>
        <v>0.13830000000000009</v>
      </c>
    </row>
    <row r="715" spans="1:8" ht="14.5">
      <c r="A715" s="41">
        <v>174911</v>
      </c>
      <c r="B715" s="380" t="str">
        <f t="shared" si="21"/>
        <v>174-911</v>
      </c>
      <c r="C715" s="2042" t="s">
        <v>2136</v>
      </c>
      <c r="D715" s="2042" t="s">
        <v>9284</v>
      </c>
      <c r="E715" s="105">
        <v>0.88030000000000008</v>
      </c>
      <c r="F715" s="105">
        <v>0.88030000000000008</v>
      </c>
      <c r="G715" s="2042">
        <v>0.93030000000000002</v>
      </c>
      <c r="H715" s="105">
        <f t="shared" si="22"/>
        <v>4.9999999999999933E-2</v>
      </c>
    </row>
    <row r="716" spans="1:8" ht="14.5">
      <c r="A716" s="41">
        <v>175902</v>
      </c>
      <c r="B716" s="380" t="str">
        <f t="shared" ref="B716:B780" si="23">CONCATENATE(LEFT(RIGHT(CONCATENATE("000",A716),6),3),"-",(RIGHT(RIGHT(CONCATENATE("000",A716),6),3)))</f>
        <v>175-902</v>
      </c>
      <c r="C716" s="2042" t="s">
        <v>290</v>
      </c>
      <c r="D716" s="2042" t="s">
        <v>9284</v>
      </c>
      <c r="E716" s="105">
        <v>0.82200000000000006</v>
      </c>
      <c r="F716" s="105">
        <v>0.82200000000000006</v>
      </c>
      <c r="G716" s="2042">
        <v>0.90200000000000002</v>
      </c>
      <c r="H716" s="105">
        <f t="shared" si="22"/>
        <v>7.999999999999996E-2</v>
      </c>
    </row>
    <row r="717" spans="1:8" ht="14.5">
      <c r="A717" s="41">
        <v>175903</v>
      </c>
      <c r="B717" s="380" t="str">
        <f t="shared" si="23"/>
        <v>175-903</v>
      </c>
      <c r="C717" s="2042" t="s">
        <v>1039</v>
      </c>
      <c r="D717" s="2042" t="s">
        <v>9284</v>
      </c>
      <c r="E717" s="105">
        <v>0.91339999999999999</v>
      </c>
      <c r="F717" s="105">
        <v>0.91339999999999999</v>
      </c>
      <c r="G717" s="2042">
        <v>0.96340000000000003</v>
      </c>
      <c r="H717" s="105">
        <f t="shared" si="22"/>
        <v>5.0000000000000044E-2</v>
      </c>
    </row>
    <row r="718" spans="1:8" ht="14.5">
      <c r="A718" s="41">
        <v>175904</v>
      </c>
      <c r="B718" s="380" t="str">
        <f t="shared" si="23"/>
        <v>175-904</v>
      </c>
      <c r="C718" s="2042" t="s">
        <v>2516</v>
      </c>
      <c r="D718" s="2042" t="s">
        <v>9284</v>
      </c>
      <c r="E718" s="105">
        <v>0.82769999999999999</v>
      </c>
      <c r="F718" s="105">
        <v>0.82769999999999999</v>
      </c>
      <c r="G718" s="2042">
        <v>0.88770000000000004</v>
      </c>
      <c r="H718" s="105">
        <f t="shared" si="22"/>
        <v>6.0000000000000053E-2</v>
      </c>
    </row>
    <row r="719" spans="1:8" ht="14.5">
      <c r="A719" s="41">
        <v>175905</v>
      </c>
      <c r="B719" s="380" t="str">
        <f t="shared" si="23"/>
        <v>175-905</v>
      </c>
      <c r="C719" s="2042" t="s">
        <v>291</v>
      </c>
      <c r="D719" s="2042" t="s">
        <v>9284</v>
      </c>
      <c r="E719" s="105">
        <v>0.82469999999999999</v>
      </c>
      <c r="F719" s="105">
        <v>0.82469999999999999</v>
      </c>
      <c r="G719" s="2042">
        <v>0.96300000000000008</v>
      </c>
      <c r="H719" s="105">
        <f t="shared" si="22"/>
        <v>0.13830000000000009</v>
      </c>
    </row>
    <row r="720" spans="1:8" ht="14.5">
      <c r="A720" s="41">
        <v>175907</v>
      </c>
      <c r="B720" s="380" t="str">
        <f t="shared" si="23"/>
        <v>175-907</v>
      </c>
      <c r="C720" s="2042" t="s">
        <v>2377</v>
      </c>
      <c r="D720" s="2042" t="s">
        <v>9284</v>
      </c>
      <c r="E720" s="105">
        <v>0.82200000000000006</v>
      </c>
      <c r="F720" s="105">
        <v>0.82200000000000006</v>
      </c>
      <c r="G720" s="2042">
        <v>0.872</v>
      </c>
      <c r="H720" s="105">
        <f t="shared" si="22"/>
        <v>4.9999999999999933E-2</v>
      </c>
    </row>
    <row r="721" spans="1:8" ht="14.5">
      <c r="A721" s="41">
        <v>175910</v>
      </c>
      <c r="B721" s="380" t="str">
        <f t="shared" si="23"/>
        <v>175-910</v>
      </c>
      <c r="C721" s="2042" t="s">
        <v>292</v>
      </c>
      <c r="D721" s="2042" t="s">
        <v>9284</v>
      </c>
      <c r="E721" s="105">
        <v>0.82969999999999999</v>
      </c>
      <c r="F721" s="105">
        <v>0.82969999999999999</v>
      </c>
      <c r="G721" s="2042">
        <v>0.872</v>
      </c>
      <c r="H721" s="105">
        <f t="shared" si="22"/>
        <v>4.2300000000000004E-2</v>
      </c>
    </row>
    <row r="722" spans="1:8" ht="14.5">
      <c r="A722" s="41">
        <v>175911</v>
      </c>
      <c r="B722" s="380" t="str">
        <f t="shared" si="23"/>
        <v>175-911</v>
      </c>
      <c r="C722" s="2042" t="s">
        <v>78</v>
      </c>
      <c r="D722" s="2042" t="s">
        <v>9284</v>
      </c>
      <c r="E722" s="105">
        <v>0.82200000000000006</v>
      </c>
      <c r="F722" s="105">
        <v>0.82200000000000006</v>
      </c>
      <c r="G722" s="2042">
        <v>0.96030000000000004</v>
      </c>
      <c r="H722" s="105">
        <f t="shared" si="22"/>
        <v>0.13829999999999998</v>
      </c>
    </row>
    <row r="723" spans="1:8" ht="14.5">
      <c r="A723" s="41">
        <v>176901</v>
      </c>
      <c r="B723" s="380" t="str">
        <f t="shared" si="23"/>
        <v>176-901</v>
      </c>
      <c r="C723" s="2042" t="s">
        <v>293</v>
      </c>
      <c r="D723" s="2042" t="s">
        <v>9284</v>
      </c>
      <c r="E723" s="105">
        <v>0.85540000000000005</v>
      </c>
      <c r="F723" s="105">
        <v>0.85540000000000005</v>
      </c>
      <c r="G723" s="2042">
        <v>0.99370000000000003</v>
      </c>
      <c r="H723" s="105">
        <f t="shared" si="22"/>
        <v>0.13829999999999998</v>
      </c>
    </row>
    <row r="724" spans="1:8" ht="14.5">
      <c r="A724" s="41">
        <v>176902</v>
      </c>
      <c r="B724" s="380" t="str">
        <f t="shared" si="23"/>
        <v>176-902</v>
      </c>
      <c r="C724" s="2042" t="s">
        <v>2162</v>
      </c>
      <c r="D724" s="2042" t="s">
        <v>9284</v>
      </c>
      <c r="E724" s="105">
        <v>0.88300000000000001</v>
      </c>
      <c r="F724" s="105">
        <v>0.88300000000000001</v>
      </c>
      <c r="G724" s="2042">
        <v>1.0210000000000001</v>
      </c>
      <c r="H724" s="105">
        <f t="shared" si="22"/>
        <v>0.13800000000000012</v>
      </c>
    </row>
    <row r="725" spans="1:8" ht="14.5">
      <c r="A725" s="41">
        <v>176903</v>
      </c>
      <c r="B725" s="380" t="str">
        <f t="shared" si="23"/>
        <v>176-903</v>
      </c>
      <c r="C725" s="2042" t="s">
        <v>2523</v>
      </c>
      <c r="D725" s="2042" t="s">
        <v>9284</v>
      </c>
      <c r="E725" s="105">
        <v>0.82469999999999999</v>
      </c>
      <c r="F725" s="105">
        <v>0.82469999999999999</v>
      </c>
      <c r="G725" s="2042">
        <v>0.87470000000000003</v>
      </c>
      <c r="H725" s="105">
        <f t="shared" si="22"/>
        <v>5.0000000000000044E-2</v>
      </c>
    </row>
    <row r="726" spans="1:8" ht="14.5">
      <c r="A726" s="41">
        <v>177901</v>
      </c>
      <c r="B726" s="380" t="str">
        <f t="shared" si="23"/>
        <v>177-901</v>
      </c>
      <c r="C726" s="2042" t="s">
        <v>3320</v>
      </c>
      <c r="D726" s="2042" t="s">
        <v>9284</v>
      </c>
      <c r="E726" s="105">
        <v>0.86080000000000001</v>
      </c>
      <c r="F726" s="105">
        <v>0.86080000000000001</v>
      </c>
      <c r="G726" s="2042">
        <v>0.9991000000000001</v>
      </c>
      <c r="H726" s="105">
        <f t="shared" si="22"/>
        <v>0.13830000000000009</v>
      </c>
    </row>
    <row r="727" spans="1:8" ht="14.5">
      <c r="A727" s="41">
        <v>177902</v>
      </c>
      <c r="B727" s="380" t="str">
        <f t="shared" si="23"/>
        <v>177-902</v>
      </c>
      <c r="C727" s="2042" t="s">
        <v>294</v>
      </c>
      <c r="D727" s="2042" t="s">
        <v>9284</v>
      </c>
      <c r="E727" s="105">
        <v>0.84930000000000005</v>
      </c>
      <c r="F727" s="105">
        <v>0.84930000000000005</v>
      </c>
      <c r="G727" s="2042">
        <v>0.93900000000000006</v>
      </c>
      <c r="H727" s="105">
        <f t="shared" si="22"/>
        <v>8.9700000000000002E-2</v>
      </c>
    </row>
    <row r="728" spans="1:8" ht="14.5">
      <c r="A728" s="41">
        <v>177903</v>
      </c>
      <c r="B728" s="380" t="str">
        <f t="shared" si="23"/>
        <v>177-903</v>
      </c>
      <c r="C728" s="2042" t="s">
        <v>2203</v>
      </c>
      <c r="D728" s="2042" t="s">
        <v>9284</v>
      </c>
      <c r="E728" s="105">
        <v>0.87790000000000001</v>
      </c>
      <c r="F728" s="105">
        <v>0.87790000000000001</v>
      </c>
      <c r="G728" s="2042">
        <v>0.92790000000000006</v>
      </c>
      <c r="H728" s="105">
        <f t="shared" si="22"/>
        <v>5.0000000000000044E-2</v>
      </c>
    </row>
    <row r="729" spans="1:8" ht="14.5">
      <c r="A729" s="41">
        <v>177905</v>
      </c>
      <c r="B729" s="380" t="str">
        <f t="shared" si="23"/>
        <v>177-905</v>
      </c>
      <c r="C729" s="2042" t="s">
        <v>296</v>
      </c>
      <c r="D729" s="2042" t="s">
        <v>9284</v>
      </c>
      <c r="E729" s="105">
        <v>0.82200000000000006</v>
      </c>
      <c r="F729" s="105">
        <v>0.82200000000000006</v>
      </c>
      <c r="G729" s="2042">
        <v>0.95380000000000009</v>
      </c>
      <c r="H729" s="105">
        <f t="shared" si="22"/>
        <v>0.13180000000000003</v>
      </c>
    </row>
    <row r="730" spans="1:8" ht="14.5">
      <c r="A730" s="41">
        <v>178901</v>
      </c>
      <c r="B730" s="380" t="str">
        <f t="shared" si="23"/>
        <v>178-901</v>
      </c>
      <c r="C730" s="2042" t="s">
        <v>297</v>
      </c>
      <c r="D730" s="2042" t="s">
        <v>9284</v>
      </c>
      <c r="E730" s="105">
        <v>0.8286</v>
      </c>
      <c r="F730" s="105">
        <v>0.8286</v>
      </c>
      <c r="G730" s="2042">
        <v>0.96690000000000009</v>
      </c>
      <c r="H730" s="105">
        <f t="shared" si="22"/>
        <v>0.13830000000000009</v>
      </c>
    </row>
    <row r="731" spans="1:8" ht="14.5">
      <c r="A731" s="41">
        <v>178902</v>
      </c>
      <c r="B731" s="380" t="str">
        <f t="shared" si="23"/>
        <v>178-902</v>
      </c>
      <c r="C731" s="2042" t="s">
        <v>2204</v>
      </c>
      <c r="D731" s="2042" t="s">
        <v>9284</v>
      </c>
      <c r="E731" s="105">
        <v>0.82469999999999999</v>
      </c>
      <c r="F731" s="105">
        <v>0.82469999999999999</v>
      </c>
      <c r="G731" s="2042">
        <v>0.87470000000000003</v>
      </c>
      <c r="H731" s="105">
        <f t="shared" si="22"/>
        <v>5.0000000000000044E-2</v>
      </c>
    </row>
    <row r="732" spans="1:8" ht="14.5">
      <c r="A732" s="41">
        <v>178903</v>
      </c>
      <c r="B732" s="380" t="str">
        <f t="shared" si="23"/>
        <v>178-903</v>
      </c>
      <c r="C732" s="2042" t="s">
        <v>299</v>
      </c>
      <c r="D732" s="2042" t="s">
        <v>9284</v>
      </c>
      <c r="E732" s="105">
        <v>0.85130000000000006</v>
      </c>
      <c r="F732" s="105">
        <v>0.85130000000000006</v>
      </c>
      <c r="G732" s="2042">
        <v>0.98960000000000004</v>
      </c>
      <c r="H732" s="105">
        <f t="shared" si="22"/>
        <v>0.13829999999999998</v>
      </c>
    </row>
    <row r="733" spans="1:8" ht="14.5">
      <c r="A733" s="41">
        <v>178904</v>
      </c>
      <c r="B733" s="380" t="str">
        <f t="shared" si="23"/>
        <v>178-904</v>
      </c>
      <c r="C733" s="2042" t="s">
        <v>1038</v>
      </c>
      <c r="D733" s="2042" t="s">
        <v>9284</v>
      </c>
      <c r="E733" s="105">
        <v>0.90050000000000008</v>
      </c>
      <c r="F733" s="105">
        <v>0.90050000000000008</v>
      </c>
      <c r="G733" s="2042">
        <v>0.96050000000000002</v>
      </c>
      <c r="H733" s="105">
        <f t="shared" si="22"/>
        <v>5.9999999999999942E-2</v>
      </c>
    </row>
    <row r="734" spans="1:8" ht="14.5">
      <c r="A734" s="41">
        <v>178905</v>
      </c>
      <c r="B734" s="380" t="str">
        <f t="shared" si="23"/>
        <v>178-905</v>
      </c>
      <c r="C734" s="2042" t="s">
        <v>300</v>
      </c>
      <c r="D734" s="2042" t="s">
        <v>9284</v>
      </c>
      <c r="E734" s="105">
        <v>0.86650000000000005</v>
      </c>
      <c r="F734" s="105">
        <v>0.86650000000000005</v>
      </c>
      <c r="G734" s="2042">
        <v>0.91650000000000009</v>
      </c>
      <c r="H734" s="105">
        <f t="shared" si="22"/>
        <v>5.0000000000000044E-2</v>
      </c>
    </row>
    <row r="735" spans="1:8" ht="14.5">
      <c r="A735" s="41">
        <v>178906</v>
      </c>
      <c r="B735" s="380" t="str">
        <f t="shared" si="23"/>
        <v>178-906</v>
      </c>
      <c r="C735" s="2042" t="s">
        <v>301</v>
      </c>
      <c r="D735" s="2042" t="s">
        <v>9284</v>
      </c>
      <c r="E735" s="105">
        <v>0.87550000000000006</v>
      </c>
      <c r="F735" s="105">
        <v>0.87550000000000006</v>
      </c>
      <c r="G735" s="2042">
        <v>0.92549999999999999</v>
      </c>
      <c r="H735" s="105">
        <f t="shared" si="22"/>
        <v>4.9999999999999933E-2</v>
      </c>
    </row>
    <row r="736" spans="1:8" ht="14.5">
      <c r="A736" s="41">
        <v>178908</v>
      </c>
      <c r="B736" s="380" t="str">
        <f t="shared" si="23"/>
        <v>178-908</v>
      </c>
      <c r="C736" s="2042" t="s">
        <v>302</v>
      </c>
      <c r="D736" s="2042" t="s">
        <v>9284</v>
      </c>
      <c r="E736" s="105">
        <v>0.82200000000000006</v>
      </c>
      <c r="F736" s="105">
        <v>0.82200000000000006</v>
      </c>
      <c r="G736" s="2042">
        <v>0.872</v>
      </c>
      <c r="H736" s="105">
        <f t="shared" si="22"/>
        <v>4.9999999999999933E-2</v>
      </c>
    </row>
    <row r="737" spans="1:8" ht="14.5">
      <c r="A737" s="41">
        <v>178909</v>
      </c>
      <c r="B737" s="380" t="str">
        <f t="shared" si="23"/>
        <v>178-909</v>
      </c>
      <c r="C737" s="2042" t="s">
        <v>2552</v>
      </c>
      <c r="D737" s="2042" t="s">
        <v>9284</v>
      </c>
      <c r="E737" s="105">
        <v>0.90529999999999999</v>
      </c>
      <c r="F737" s="105">
        <v>0.90529999999999999</v>
      </c>
      <c r="G737" s="2042">
        <v>1.0436000000000001</v>
      </c>
      <c r="H737" s="105">
        <f t="shared" si="22"/>
        <v>0.13830000000000009</v>
      </c>
    </row>
    <row r="738" spans="1:8" ht="14.5">
      <c r="A738" s="41">
        <v>178912</v>
      </c>
      <c r="B738" s="380" t="str">
        <f t="shared" si="23"/>
        <v>178-912</v>
      </c>
      <c r="C738" s="2042" t="s">
        <v>303</v>
      </c>
      <c r="D738" s="2042" t="s">
        <v>9284</v>
      </c>
      <c r="E738" s="105">
        <v>0.8921</v>
      </c>
      <c r="F738" s="105">
        <v>0.8921</v>
      </c>
      <c r="G738" s="2042">
        <v>1.0304</v>
      </c>
      <c r="H738" s="105">
        <f t="shared" si="22"/>
        <v>0.13829999999999998</v>
      </c>
    </row>
    <row r="739" spans="1:8" ht="14.5">
      <c r="A739" s="727">
        <v>178913</v>
      </c>
      <c r="B739" s="1683" t="str">
        <f t="shared" si="23"/>
        <v>178-913</v>
      </c>
      <c r="C739" s="629" t="s">
        <v>304</v>
      </c>
      <c r="D739" s="629" t="s">
        <v>9284</v>
      </c>
      <c r="E739" s="105">
        <v>0.84810000000000008</v>
      </c>
      <c r="F739" s="105">
        <v>0.8952</v>
      </c>
      <c r="G739" s="2042">
        <v>1.0335000000000001</v>
      </c>
      <c r="H739" s="105">
        <f t="shared" si="22"/>
        <v>0.13830000000000009</v>
      </c>
    </row>
    <row r="740" spans="1:8" ht="14.5">
      <c r="A740" s="41">
        <v>178914</v>
      </c>
      <c r="B740" s="380" t="str">
        <f t="shared" si="23"/>
        <v>178-914</v>
      </c>
      <c r="C740" s="2042" t="s">
        <v>305</v>
      </c>
      <c r="D740" s="2042" t="s">
        <v>9284</v>
      </c>
      <c r="E740" s="105">
        <v>0.85230000000000006</v>
      </c>
      <c r="F740" s="105">
        <v>0.85230000000000006</v>
      </c>
      <c r="G740" s="2042">
        <v>0.93230000000000002</v>
      </c>
      <c r="H740" s="105">
        <f t="shared" si="22"/>
        <v>7.999999999999996E-2</v>
      </c>
    </row>
    <row r="741" spans="1:8" ht="14.5">
      <c r="A741" s="727">
        <v>178915</v>
      </c>
      <c r="B741" s="1683" t="str">
        <f t="shared" si="23"/>
        <v>178-915</v>
      </c>
      <c r="C741" s="629" t="s">
        <v>306</v>
      </c>
      <c r="D741" s="629" t="s">
        <v>9284</v>
      </c>
      <c r="E741" s="105">
        <v>0.86040000000000005</v>
      </c>
      <c r="F741" s="105">
        <v>0.91339999999999999</v>
      </c>
      <c r="G741" s="2042">
        <v>0.96340000000000003</v>
      </c>
      <c r="H741" s="105">
        <f t="shared" si="22"/>
        <v>5.0000000000000044E-2</v>
      </c>
    </row>
    <row r="742" spans="1:8" ht="14.5">
      <c r="A742" s="41">
        <v>179901</v>
      </c>
      <c r="B742" s="380" t="str">
        <f t="shared" si="23"/>
        <v>179-901</v>
      </c>
      <c r="C742" s="2042" t="s">
        <v>942</v>
      </c>
      <c r="D742" s="2042" t="s">
        <v>9284</v>
      </c>
      <c r="E742" s="105">
        <v>0.91339999999999999</v>
      </c>
      <c r="F742" s="105">
        <v>0.91339999999999999</v>
      </c>
      <c r="G742" s="2042">
        <v>0.96340000000000003</v>
      </c>
      <c r="H742" s="105">
        <f t="shared" si="22"/>
        <v>5.0000000000000044E-2</v>
      </c>
    </row>
    <row r="743" spans="1:8" ht="14.5">
      <c r="A743" s="41">
        <v>180902</v>
      </c>
      <c r="B743" s="380" t="str">
        <f t="shared" si="23"/>
        <v>180-902</v>
      </c>
      <c r="C743" s="2042" t="s">
        <v>307</v>
      </c>
      <c r="D743" s="2042" t="s">
        <v>9284</v>
      </c>
      <c r="E743" s="105">
        <v>0.82469999999999999</v>
      </c>
      <c r="F743" s="105">
        <v>0.82469999999999999</v>
      </c>
      <c r="G743" s="2042">
        <v>0.87470000000000003</v>
      </c>
      <c r="H743" s="105">
        <f t="shared" si="22"/>
        <v>5.0000000000000044E-2</v>
      </c>
    </row>
    <row r="744" spans="1:8" ht="14.5">
      <c r="A744" s="41">
        <v>180903</v>
      </c>
      <c r="B744" s="380" t="str">
        <f t="shared" si="23"/>
        <v>180-903</v>
      </c>
      <c r="C744" s="2042" t="s">
        <v>308</v>
      </c>
      <c r="D744" s="2042" t="s">
        <v>9284</v>
      </c>
      <c r="E744" s="105">
        <v>0.88700000000000001</v>
      </c>
      <c r="F744" s="105">
        <v>0.88700000000000001</v>
      </c>
      <c r="G744" s="2042">
        <v>0.93700000000000006</v>
      </c>
      <c r="H744" s="105">
        <f t="shared" si="22"/>
        <v>5.0000000000000044E-2</v>
      </c>
    </row>
    <row r="745" spans="1:8" ht="14.5">
      <c r="A745" s="41">
        <v>180904</v>
      </c>
      <c r="B745" s="380" t="str">
        <f t="shared" si="23"/>
        <v>180-904</v>
      </c>
      <c r="C745" s="2042" t="s">
        <v>309</v>
      </c>
      <c r="D745" s="2042" t="s">
        <v>9284</v>
      </c>
      <c r="E745" s="105">
        <v>0.91339999999999999</v>
      </c>
      <c r="F745" s="105">
        <v>0.91339999999999999</v>
      </c>
      <c r="G745" s="2042">
        <v>0.96340000000000003</v>
      </c>
      <c r="H745" s="105">
        <f t="shared" si="22"/>
        <v>5.0000000000000044E-2</v>
      </c>
    </row>
    <row r="746" spans="1:8" ht="14.5">
      <c r="A746" s="41">
        <v>181901</v>
      </c>
      <c r="B746" s="380" t="str">
        <f t="shared" si="23"/>
        <v>181-901</v>
      </c>
      <c r="C746" s="2042" t="s">
        <v>1751</v>
      </c>
      <c r="D746" s="2042" t="s">
        <v>9284</v>
      </c>
      <c r="E746" s="105">
        <v>0.87190000000000001</v>
      </c>
      <c r="F746" s="105">
        <v>0.87190000000000001</v>
      </c>
      <c r="G746" s="2042">
        <v>0.92190000000000005</v>
      </c>
      <c r="H746" s="105">
        <f t="shared" si="22"/>
        <v>5.0000000000000044E-2</v>
      </c>
    </row>
    <row r="747" spans="1:8" ht="14.5">
      <c r="A747" s="41">
        <v>181905</v>
      </c>
      <c r="B747" s="380" t="str">
        <f t="shared" si="23"/>
        <v>181-905</v>
      </c>
      <c r="C747" s="2042" t="s">
        <v>310</v>
      </c>
      <c r="D747" s="2042" t="s">
        <v>9284</v>
      </c>
      <c r="E747" s="105">
        <v>0.85600000000000009</v>
      </c>
      <c r="F747" s="105">
        <v>0.85600000000000009</v>
      </c>
      <c r="G747" s="2042">
        <v>1.026</v>
      </c>
      <c r="H747" s="105">
        <f t="shared" si="22"/>
        <v>0.16999999999999993</v>
      </c>
    </row>
    <row r="748" spans="1:8" ht="14.5">
      <c r="A748" s="41">
        <v>181906</v>
      </c>
      <c r="B748" s="380" t="str">
        <f t="shared" si="23"/>
        <v>181-906</v>
      </c>
      <c r="C748" s="2042" t="s">
        <v>2205</v>
      </c>
      <c r="D748" s="2042" t="s">
        <v>9284</v>
      </c>
      <c r="E748" s="105">
        <v>0.91339999999999999</v>
      </c>
      <c r="F748" s="105">
        <v>0.91339999999999999</v>
      </c>
      <c r="G748" s="2042">
        <v>1.0356000000000001</v>
      </c>
      <c r="H748" s="105">
        <f t="shared" si="22"/>
        <v>0.12220000000000009</v>
      </c>
    </row>
    <row r="749" spans="1:8" ht="14.5">
      <c r="A749" s="41">
        <v>181907</v>
      </c>
      <c r="B749" s="380" t="str">
        <f t="shared" si="23"/>
        <v>181-907</v>
      </c>
      <c r="C749" s="2042" t="s">
        <v>126</v>
      </c>
      <c r="D749" s="2042" t="s">
        <v>9284</v>
      </c>
      <c r="E749" s="105">
        <v>0.89260000000000006</v>
      </c>
      <c r="F749" s="105">
        <v>0.89260000000000006</v>
      </c>
      <c r="G749" s="2042">
        <v>0.97760000000000002</v>
      </c>
      <c r="H749" s="105">
        <f t="shared" si="22"/>
        <v>8.4999999999999964E-2</v>
      </c>
    </row>
    <row r="750" spans="1:8" ht="14.5">
      <c r="A750" s="41">
        <v>181908</v>
      </c>
      <c r="B750" s="380" t="str">
        <f t="shared" si="23"/>
        <v>181-908</v>
      </c>
      <c r="C750" s="2042" t="s">
        <v>3321</v>
      </c>
      <c r="D750" s="2042" t="s">
        <v>9284</v>
      </c>
      <c r="E750" s="105">
        <v>0.87250000000000005</v>
      </c>
      <c r="F750" s="105">
        <v>0.87250000000000005</v>
      </c>
      <c r="G750" s="2042">
        <v>0.97250000000000003</v>
      </c>
      <c r="H750" s="105">
        <f t="shared" si="22"/>
        <v>9.9999999999999978E-2</v>
      </c>
    </row>
    <row r="751" spans="1:8" ht="14.5">
      <c r="A751" s="41">
        <v>182901</v>
      </c>
      <c r="B751" s="380" t="str">
        <f t="shared" si="23"/>
        <v>182-901</v>
      </c>
      <c r="C751" s="2042" t="s">
        <v>313</v>
      </c>
      <c r="D751" s="2042" t="s">
        <v>9284</v>
      </c>
      <c r="E751" s="105">
        <v>0.84110000000000007</v>
      </c>
      <c r="F751" s="105">
        <v>0.84110000000000007</v>
      </c>
      <c r="G751" s="2042">
        <v>0.8911</v>
      </c>
      <c r="H751" s="105">
        <f t="shared" si="22"/>
        <v>4.9999999999999933E-2</v>
      </c>
    </row>
    <row r="752" spans="1:8" ht="14.5">
      <c r="A752" s="41">
        <v>182902</v>
      </c>
      <c r="B752" s="380" t="str">
        <f t="shared" si="23"/>
        <v>182-902</v>
      </c>
      <c r="C752" s="2042" t="s">
        <v>314</v>
      </c>
      <c r="D752" s="2042" t="s">
        <v>9284</v>
      </c>
      <c r="E752" s="105">
        <v>0.86150000000000004</v>
      </c>
      <c r="F752" s="105">
        <v>0.86150000000000004</v>
      </c>
      <c r="G752" s="2042">
        <v>0.90529999999999999</v>
      </c>
      <c r="H752" s="105">
        <f t="shared" si="22"/>
        <v>4.379999999999995E-2</v>
      </c>
    </row>
    <row r="753" spans="1:8" ht="14.5">
      <c r="A753" s="41">
        <v>182903</v>
      </c>
      <c r="B753" s="380" t="str">
        <f t="shared" si="23"/>
        <v>182-903</v>
      </c>
      <c r="C753" s="2042" t="s">
        <v>2117</v>
      </c>
      <c r="D753" s="2042" t="s">
        <v>9284</v>
      </c>
      <c r="E753" s="105">
        <v>0.83050000000000002</v>
      </c>
      <c r="F753" s="105">
        <v>0.83050000000000002</v>
      </c>
      <c r="G753" s="2042">
        <v>0.96879999999999999</v>
      </c>
      <c r="H753" s="105">
        <f t="shared" si="22"/>
        <v>0.13829999999999998</v>
      </c>
    </row>
    <row r="754" spans="1:8" ht="14.5">
      <c r="A754" s="41">
        <v>182904</v>
      </c>
      <c r="B754" s="380" t="str">
        <f t="shared" si="23"/>
        <v>182-904</v>
      </c>
      <c r="C754" s="2042" t="s">
        <v>315</v>
      </c>
      <c r="D754" s="2042" t="s">
        <v>9284</v>
      </c>
      <c r="E754" s="105">
        <v>0.82200000000000006</v>
      </c>
      <c r="F754" s="105">
        <v>0.82200000000000006</v>
      </c>
      <c r="G754" s="2042">
        <v>0.96030000000000004</v>
      </c>
      <c r="H754" s="105">
        <f t="shared" si="22"/>
        <v>0.13829999999999998</v>
      </c>
    </row>
    <row r="755" spans="1:8">
      <c r="B755" s="2042" t="s">
        <v>1278</v>
      </c>
      <c r="C755" s="2042" t="s">
        <v>6739</v>
      </c>
      <c r="E755" s="105">
        <v>0.89929999999999999</v>
      </c>
      <c r="F755" s="105">
        <v>0.89929999999999999</v>
      </c>
      <c r="G755" s="2042">
        <v>1.0376000000000001</v>
      </c>
      <c r="H755" s="105">
        <f t="shared" si="22"/>
        <v>0.13830000000000009</v>
      </c>
    </row>
    <row r="756" spans="1:8" ht="14.5">
      <c r="A756" s="41">
        <v>182906</v>
      </c>
      <c r="B756" s="380" t="str">
        <f t="shared" si="23"/>
        <v>182-906</v>
      </c>
      <c r="C756" s="2042" t="s">
        <v>409</v>
      </c>
      <c r="D756" s="2042" t="s">
        <v>9284</v>
      </c>
      <c r="E756" s="105">
        <v>0.87</v>
      </c>
      <c r="F756" s="105">
        <v>0.87</v>
      </c>
      <c r="G756" s="2042">
        <v>0.93</v>
      </c>
      <c r="H756" s="105">
        <f t="shared" si="22"/>
        <v>6.0000000000000053E-2</v>
      </c>
    </row>
    <row r="757" spans="1:8" ht="14.5">
      <c r="A757" s="41">
        <v>183901</v>
      </c>
      <c r="B757" s="380" t="str">
        <f t="shared" si="23"/>
        <v>183-901</v>
      </c>
      <c r="C757" s="2042" t="s">
        <v>410</v>
      </c>
      <c r="D757" s="2042" t="s">
        <v>9284</v>
      </c>
      <c r="E757" s="105">
        <v>0.83300000000000007</v>
      </c>
      <c r="F757" s="105">
        <v>0.83300000000000007</v>
      </c>
      <c r="G757" s="2042">
        <v>0.88300000000000001</v>
      </c>
      <c r="H757" s="105">
        <f t="shared" si="22"/>
        <v>4.9999999999999933E-2</v>
      </c>
    </row>
    <row r="758" spans="1:8" ht="14.5">
      <c r="A758" s="727">
        <v>183902</v>
      </c>
      <c r="B758" s="1683" t="str">
        <f t="shared" si="23"/>
        <v>183-902</v>
      </c>
      <c r="C758" s="629" t="s">
        <v>411</v>
      </c>
      <c r="D758" s="629" t="s">
        <v>9284</v>
      </c>
      <c r="E758" s="105">
        <v>0.87560000000000004</v>
      </c>
      <c r="F758" s="105">
        <v>0.91610000000000003</v>
      </c>
      <c r="G758" s="2042">
        <v>0.96610000000000007</v>
      </c>
      <c r="H758" s="105">
        <f t="shared" si="22"/>
        <v>5.0000000000000044E-2</v>
      </c>
    </row>
    <row r="759" spans="1:8" ht="14.5">
      <c r="A759" s="41">
        <v>183904</v>
      </c>
      <c r="B759" s="380" t="str">
        <f t="shared" si="23"/>
        <v>183-904</v>
      </c>
      <c r="C759" s="2042" t="s">
        <v>430</v>
      </c>
      <c r="D759" s="2042" t="s">
        <v>9284</v>
      </c>
      <c r="E759" s="105">
        <v>0.91339999999999999</v>
      </c>
      <c r="F759" s="105">
        <v>0.91339999999999999</v>
      </c>
      <c r="G759" s="2042">
        <v>0.96340000000000003</v>
      </c>
      <c r="H759" s="105">
        <f t="shared" si="22"/>
        <v>5.0000000000000044E-2</v>
      </c>
    </row>
    <row r="760" spans="1:8" ht="14.5">
      <c r="A760" s="41">
        <v>184901</v>
      </c>
      <c r="B760" s="380" t="str">
        <f t="shared" si="23"/>
        <v>184-901</v>
      </c>
      <c r="C760" s="2042" t="s">
        <v>949</v>
      </c>
      <c r="D760" s="2042" t="s">
        <v>9284</v>
      </c>
      <c r="E760" s="105">
        <v>0.82200000000000006</v>
      </c>
      <c r="F760" s="105">
        <v>0.82200000000000006</v>
      </c>
      <c r="G760" s="2042">
        <v>0.96030000000000004</v>
      </c>
      <c r="H760" s="105">
        <f t="shared" si="22"/>
        <v>0.13829999999999998</v>
      </c>
    </row>
    <row r="761" spans="1:8" ht="14.5">
      <c r="A761" s="41">
        <v>184902</v>
      </c>
      <c r="B761" s="380" t="str">
        <f t="shared" si="23"/>
        <v>184-902</v>
      </c>
      <c r="C761" s="2042" t="s">
        <v>1830</v>
      </c>
      <c r="D761" s="2042" t="s">
        <v>9284</v>
      </c>
      <c r="E761" s="105">
        <v>0.82200000000000006</v>
      </c>
      <c r="F761" s="105">
        <v>0.82200000000000006</v>
      </c>
      <c r="G761" s="2042">
        <v>0.96030000000000004</v>
      </c>
      <c r="H761" s="105">
        <f t="shared" si="22"/>
        <v>0.13829999999999998</v>
      </c>
    </row>
    <row r="762" spans="1:8" ht="14.5">
      <c r="A762" s="41">
        <v>184903</v>
      </c>
      <c r="B762" s="380" t="str">
        <f t="shared" si="23"/>
        <v>184-903</v>
      </c>
      <c r="C762" s="2042" t="s">
        <v>131</v>
      </c>
      <c r="D762" s="2042" t="s">
        <v>9284</v>
      </c>
      <c r="E762" s="105">
        <v>0.82200000000000006</v>
      </c>
      <c r="F762" s="105">
        <v>0.82200000000000006</v>
      </c>
      <c r="G762" s="2042">
        <v>0.96030000000000004</v>
      </c>
      <c r="H762" s="105">
        <f t="shared" si="22"/>
        <v>0.13829999999999998</v>
      </c>
    </row>
    <row r="763" spans="1:8" ht="14.5">
      <c r="A763" s="41">
        <v>184904</v>
      </c>
      <c r="B763" s="380" t="str">
        <f t="shared" si="23"/>
        <v>184-904</v>
      </c>
      <c r="C763" s="2042" t="s">
        <v>2116</v>
      </c>
      <c r="D763" s="2042" t="s">
        <v>9284</v>
      </c>
      <c r="E763" s="105">
        <v>0.82200000000000006</v>
      </c>
      <c r="F763" s="105">
        <v>0.82200000000000006</v>
      </c>
      <c r="G763" s="2042">
        <v>0.96030000000000004</v>
      </c>
      <c r="H763" s="105">
        <f t="shared" si="22"/>
        <v>0.13829999999999998</v>
      </c>
    </row>
    <row r="764" spans="1:8" ht="14.5">
      <c r="A764" s="41">
        <v>184907</v>
      </c>
      <c r="B764" s="380" t="str">
        <f t="shared" si="23"/>
        <v>184-907</v>
      </c>
      <c r="C764" s="2042" t="s">
        <v>412</v>
      </c>
      <c r="D764" s="2042" t="s">
        <v>9284</v>
      </c>
      <c r="E764" s="105">
        <v>0.8296</v>
      </c>
      <c r="F764" s="105">
        <v>0.8296</v>
      </c>
      <c r="G764" s="2042">
        <v>0.96790000000000009</v>
      </c>
      <c r="H764" s="105">
        <f t="shared" si="22"/>
        <v>0.13830000000000009</v>
      </c>
    </row>
    <row r="765" spans="1:8" ht="14.5">
      <c r="A765" s="41">
        <v>184908</v>
      </c>
      <c r="B765" s="380" t="str">
        <f t="shared" si="23"/>
        <v>184-908</v>
      </c>
      <c r="C765" s="2042" t="s">
        <v>2449</v>
      </c>
      <c r="D765" s="2042" t="s">
        <v>9284</v>
      </c>
      <c r="E765" s="105">
        <v>0.82200000000000006</v>
      </c>
      <c r="F765" s="105">
        <v>0.82200000000000006</v>
      </c>
      <c r="G765" s="2042">
        <v>0.872</v>
      </c>
      <c r="H765" s="105">
        <f t="shared" si="22"/>
        <v>4.9999999999999933E-2</v>
      </c>
    </row>
    <row r="766" spans="1:8" ht="14.5">
      <c r="A766" s="41">
        <v>184909</v>
      </c>
      <c r="B766" s="380" t="str">
        <f t="shared" si="23"/>
        <v>184-909</v>
      </c>
      <c r="C766" s="2042" t="s">
        <v>1752</v>
      </c>
      <c r="D766" s="2042" t="s">
        <v>9284</v>
      </c>
      <c r="E766" s="105">
        <v>0.82200000000000006</v>
      </c>
      <c r="F766" s="105">
        <v>0.82200000000000006</v>
      </c>
      <c r="G766" s="2042">
        <v>0.96030000000000004</v>
      </c>
      <c r="H766" s="105">
        <f t="shared" si="22"/>
        <v>0.13829999999999998</v>
      </c>
    </row>
    <row r="767" spans="1:8" ht="14.5">
      <c r="A767" s="41">
        <v>184911</v>
      </c>
      <c r="B767" s="380" t="str">
        <f t="shared" si="23"/>
        <v>184-911</v>
      </c>
      <c r="C767" s="2042" t="s">
        <v>413</v>
      </c>
      <c r="D767" s="2042" t="s">
        <v>9284</v>
      </c>
      <c r="E767" s="105">
        <v>0.82200000000000006</v>
      </c>
      <c r="F767" s="105">
        <v>0.82200000000000006</v>
      </c>
      <c r="G767" s="2042">
        <v>0.872</v>
      </c>
      <c r="H767" s="105">
        <f t="shared" si="22"/>
        <v>4.9999999999999933E-2</v>
      </c>
    </row>
    <row r="768" spans="1:8" ht="14.5">
      <c r="A768" s="41">
        <v>185901</v>
      </c>
      <c r="B768" s="380" t="str">
        <f t="shared" si="23"/>
        <v>185-901</v>
      </c>
      <c r="C768" s="2042" t="s">
        <v>414</v>
      </c>
      <c r="D768" s="2042" t="s">
        <v>9284</v>
      </c>
      <c r="E768" s="105">
        <v>0.91339999999999999</v>
      </c>
      <c r="F768" s="105">
        <v>0.91339999999999999</v>
      </c>
      <c r="G768" s="2042">
        <v>0.96340000000000003</v>
      </c>
      <c r="H768" s="105">
        <f t="shared" si="22"/>
        <v>5.0000000000000044E-2</v>
      </c>
    </row>
    <row r="769" spans="1:8" ht="14.5">
      <c r="A769" s="41">
        <v>185902</v>
      </c>
      <c r="B769" s="380" t="str">
        <f t="shared" si="23"/>
        <v>185-902</v>
      </c>
      <c r="C769" s="2042" t="s">
        <v>415</v>
      </c>
      <c r="D769" s="2042" t="s">
        <v>9284</v>
      </c>
      <c r="E769" s="105">
        <v>0.88660000000000005</v>
      </c>
      <c r="F769" s="105">
        <v>0.88660000000000005</v>
      </c>
      <c r="G769" s="2042">
        <v>1.0249000000000001</v>
      </c>
      <c r="H769" s="105">
        <f t="shared" si="22"/>
        <v>0.13830000000000009</v>
      </c>
    </row>
    <row r="770" spans="1:8" ht="14.5">
      <c r="A770" s="41">
        <v>185903</v>
      </c>
      <c r="B770" s="380" t="str">
        <f t="shared" si="23"/>
        <v>185-903</v>
      </c>
      <c r="C770" s="2042" t="s">
        <v>416</v>
      </c>
      <c r="D770" s="2042" t="s">
        <v>9284</v>
      </c>
      <c r="E770" s="105">
        <v>0.86870000000000003</v>
      </c>
      <c r="F770" s="105">
        <v>0.86870000000000003</v>
      </c>
      <c r="G770" s="2042">
        <v>0.91870000000000007</v>
      </c>
      <c r="H770" s="105">
        <f t="shared" si="22"/>
        <v>5.0000000000000044E-2</v>
      </c>
    </row>
    <row r="771" spans="1:8" ht="14.5">
      <c r="A771" s="41">
        <v>185904</v>
      </c>
      <c r="B771" s="380" t="str">
        <f t="shared" si="23"/>
        <v>185-904</v>
      </c>
      <c r="C771" s="2042" t="s">
        <v>417</v>
      </c>
      <c r="D771" s="2042" t="s">
        <v>9284</v>
      </c>
      <c r="E771" s="105">
        <v>0.91339999999999999</v>
      </c>
      <c r="F771" s="105">
        <v>0.91339999999999999</v>
      </c>
      <c r="G771" s="2042">
        <v>1.0189000000000001</v>
      </c>
      <c r="H771" s="105">
        <f t="shared" ref="H771:H834" si="24">G771-F771</f>
        <v>0.10550000000000015</v>
      </c>
    </row>
    <row r="772" spans="1:8" ht="14.5">
      <c r="A772" s="41">
        <v>186901</v>
      </c>
      <c r="B772" s="380" t="str">
        <f t="shared" si="23"/>
        <v>186-901</v>
      </c>
      <c r="C772" s="2042" t="s">
        <v>418</v>
      </c>
      <c r="D772" s="2042" t="s">
        <v>9284</v>
      </c>
      <c r="E772" s="105">
        <v>0.8952</v>
      </c>
      <c r="F772" s="105">
        <v>0.8952</v>
      </c>
      <c r="G772" s="2042">
        <v>0.94520000000000004</v>
      </c>
      <c r="H772" s="105">
        <f t="shared" si="24"/>
        <v>5.0000000000000044E-2</v>
      </c>
    </row>
    <row r="773" spans="1:8" ht="14.5">
      <c r="A773" s="41">
        <v>186902</v>
      </c>
      <c r="B773" s="380" t="str">
        <f t="shared" si="23"/>
        <v>186-902</v>
      </c>
      <c r="C773" s="2042" t="s">
        <v>2206</v>
      </c>
      <c r="D773" s="2042" t="s">
        <v>9284</v>
      </c>
      <c r="E773" s="105">
        <v>0.82920000000000005</v>
      </c>
      <c r="F773" s="105">
        <v>0.82920000000000005</v>
      </c>
      <c r="G773" s="2042">
        <v>0.87920000000000009</v>
      </c>
      <c r="H773" s="105">
        <f t="shared" si="24"/>
        <v>5.0000000000000044E-2</v>
      </c>
    </row>
    <row r="774" spans="1:8" ht="14.5">
      <c r="A774" s="41">
        <v>186903</v>
      </c>
      <c r="B774" s="380" t="str">
        <f t="shared" si="23"/>
        <v>186-903</v>
      </c>
      <c r="C774" s="2042" t="s">
        <v>420</v>
      </c>
      <c r="D774" s="2042" t="s">
        <v>9284</v>
      </c>
      <c r="E774" s="105">
        <v>0.91339999999999999</v>
      </c>
      <c r="F774" s="105">
        <v>0.91339999999999999</v>
      </c>
      <c r="G774" s="2042">
        <v>0.97340000000000004</v>
      </c>
      <c r="H774" s="105">
        <f t="shared" si="24"/>
        <v>6.0000000000000053E-2</v>
      </c>
    </row>
    <row r="775" spans="1:8" ht="14.5">
      <c r="A775" s="41">
        <v>187901</v>
      </c>
      <c r="B775" s="380" t="str">
        <f t="shared" si="23"/>
        <v>187-901</v>
      </c>
      <c r="C775" s="2042" t="s">
        <v>421</v>
      </c>
      <c r="D775" s="2042" t="s">
        <v>9284</v>
      </c>
      <c r="E775" s="105">
        <v>0.91339999999999999</v>
      </c>
      <c r="F775" s="105">
        <v>0.91339999999999999</v>
      </c>
      <c r="G775" s="2042">
        <v>1.0517000000000001</v>
      </c>
      <c r="H775" s="105">
        <f t="shared" si="24"/>
        <v>0.13830000000000009</v>
      </c>
    </row>
    <row r="776" spans="1:8" ht="14.5">
      <c r="A776" s="41">
        <v>187903</v>
      </c>
      <c r="B776" s="380" t="str">
        <f t="shared" si="23"/>
        <v>187-903</v>
      </c>
      <c r="C776" s="2042" t="s">
        <v>422</v>
      </c>
      <c r="D776" s="2042" t="s">
        <v>9284</v>
      </c>
      <c r="E776" s="105">
        <v>0.82200000000000006</v>
      </c>
      <c r="F776" s="105">
        <v>0.82200000000000006</v>
      </c>
      <c r="G776" s="2042">
        <v>0.96030000000000004</v>
      </c>
      <c r="H776" s="105">
        <f t="shared" si="24"/>
        <v>0.13829999999999998</v>
      </c>
    </row>
    <row r="777" spans="1:8" ht="14.5">
      <c r="A777" s="41">
        <v>187904</v>
      </c>
      <c r="B777" s="380" t="str">
        <f t="shared" si="23"/>
        <v>187-904</v>
      </c>
      <c r="C777" s="2042" t="s">
        <v>423</v>
      </c>
      <c r="D777" s="2042" t="s">
        <v>9284</v>
      </c>
      <c r="E777" s="105">
        <v>0.88680000000000003</v>
      </c>
      <c r="F777" s="105">
        <v>0.88680000000000003</v>
      </c>
      <c r="G777" s="2042">
        <v>0.93680000000000008</v>
      </c>
      <c r="H777" s="105">
        <f t="shared" si="24"/>
        <v>5.0000000000000044E-2</v>
      </c>
    </row>
    <row r="778" spans="1:8" ht="14.5">
      <c r="A778" s="41">
        <v>187906</v>
      </c>
      <c r="B778" s="380" t="str">
        <f t="shared" si="23"/>
        <v>187-906</v>
      </c>
      <c r="C778" s="2042" t="s">
        <v>424</v>
      </c>
      <c r="D778" s="2042" t="s">
        <v>9284</v>
      </c>
      <c r="E778" s="105">
        <v>0.90040000000000009</v>
      </c>
      <c r="F778" s="105">
        <v>0.90040000000000009</v>
      </c>
      <c r="G778" s="2042">
        <v>0.95040000000000002</v>
      </c>
      <c r="H778" s="105">
        <f t="shared" si="24"/>
        <v>4.9999999999999933E-2</v>
      </c>
    </row>
    <row r="779" spans="1:8" ht="14.5">
      <c r="A779" s="41">
        <v>187907</v>
      </c>
      <c r="B779" s="380" t="str">
        <f t="shared" si="23"/>
        <v>187-907</v>
      </c>
      <c r="C779" s="2042" t="s">
        <v>2103</v>
      </c>
      <c r="D779" s="2042" t="s">
        <v>9284</v>
      </c>
      <c r="E779" s="105">
        <v>0.84360000000000002</v>
      </c>
      <c r="F779" s="105">
        <v>0.84360000000000002</v>
      </c>
      <c r="G779" s="2042">
        <v>0.9819</v>
      </c>
      <c r="H779" s="105">
        <f t="shared" si="24"/>
        <v>0.13829999999999998</v>
      </c>
    </row>
    <row r="780" spans="1:8" ht="14.5">
      <c r="A780" s="41">
        <v>187910</v>
      </c>
      <c r="B780" s="380" t="str">
        <f t="shared" si="23"/>
        <v>187-910</v>
      </c>
      <c r="C780" s="2042" t="s">
        <v>425</v>
      </c>
      <c r="D780" s="2042" t="s">
        <v>9284</v>
      </c>
      <c r="E780" s="105">
        <v>0.84860000000000002</v>
      </c>
      <c r="F780" s="105">
        <v>0.84860000000000002</v>
      </c>
      <c r="G780" s="2042">
        <v>0.90860000000000007</v>
      </c>
      <c r="H780" s="105">
        <f t="shared" si="24"/>
        <v>6.0000000000000053E-2</v>
      </c>
    </row>
    <row r="781" spans="1:8" ht="14.5">
      <c r="A781" s="41">
        <v>188901</v>
      </c>
      <c r="B781" s="380" t="str">
        <f t="shared" ref="B781:B844" si="25">CONCATENATE(LEFT(RIGHT(CONCATENATE("000",A781),6),3),"-",(RIGHT(RIGHT(CONCATENATE("000",A781),6),3)))</f>
        <v>188-901</v>
      </c>
      <c r="C781" s="2042" t="s">
        <v>998</v>
      </c>
      <c r="D781" s="2042" t="s">
        <v>9284</v>
      </c>
      <c r="E781" s="105">
        <v>0.91060000000000008</v>
      </c>
      <c r="F781" s="105">
        <v>0.91060000000000008</v>
      </c>
      <c r="G781" s="2042">
        <v>0.99060000000000004</v>
      </c>
      <c r="H781" s="105">
        <f t="shared" si="24"/>
        <v>7.999999999999996E-2</v>
      </c>
    </row>
    <row r="782" spans="1:8" ht="14.5">
      <c r="A782" s="41">
        <v>188902</v>
      </c>
      <c r="B782" s="380" t="str">
        <f t="shared" si="25"/>
        <v>188-902</v>
      </c>
      <c r="C782" s="2042" t="s">
        <v>2549</v>
      </c>
      <c r="D782" s="2042" t="s">
        <v>9284</v>
      </c>
      <c r="E782" s="105">
        <v>0.89330000000000009</v>
      </c>
      <c r="F782" s="105">
        <v>0.89330000000000009</v>
      </c>
      <c r="G782" s="2042">
        <v>0.97970000000000002</v>
      </c>
      <c r="H782" s="105">
        <f t="shared" si="24"/>
        <v>8.6399999999999921E-2</v>
      </c>
    </row>
    <row r="783" spans="1:8" ht="14.5">
      <c r="A783" s="41">
        <v>188903</v>
      </c>
      <c r="B783" s="380" t="str">
        <f t="shared" si="25"/>
        <v>188-903</v>
      </c>
      <c r="C783" s="2042" t="s">
        <v>121</v>
      </c>
      <c r="D783" s="2042" t="s">
        <v>9284</v>
      </c>
      <c r="E783" s="105">
        <v>0.90680000000000005</v>
      </c>
      <c r="F783" s="105">
        <v>0.90680000000000005</v>
      </c>
      <c r="G783" s="2042">
        <v>0.95680000000000009</v>
      </c>
      <c r="H783" s="105">
        <f t="shared" si="24"/>
        <v>5.0000000000000044E-2</v>
      </c>
    </row>
    <row r="784" spans="1:8" ht="14.5">
      <c r="A784" s="41">
        <v>188904</v>
      </c>
      <c r="B784" s="380" t="str">
        <f t="shared" si="25"/>
        <v>188-904</v>
      </c>
      <c r="C784" s="2042" t="s">
        <v>426</v>
      </c>
      <c r="D784" s="2042" t="s">
        <v>9284</v>
      </c>
      <c r="E784" s="105">
        <v>0.91339999999999999</v>
      </c>
      <c r="F784" s="105">
        <v>0.91339999999999999</v>
      </c>
      <c r="G784" s="2042">
        <v>0.96340000000000003</v>
      </c>
      <c r="H784" s="105">
        <f t="shared" si="24"/>
        <v>5.0000000000000044E-2</v>
      </c>
    </row>
    <row r="785" spans="1:8" ht="14.5">
      <c r="A785" s="41">
        <v>189901</v>
      </c>
      <c r="B785" s="380" t="str">
        <f t="shared" si="25"/>
        <v>189-901</v>
      </c>
      <c r="C785" s="2042" t="s">
        <v>277</v>
      </c>
      <c r="D785" s="2042" t="s">
        <v>9284</v>
      </c>
      <c r="E785" s="105">
        <v>0.82200000000000006</v>
      </c>
      <c r="F785" s="105">
        <v>0.82200000000000006</v>
      </c>
      <c r="G785" s="2042">
        <v>0.872</v>
      </c>
      <c r="H785" s="105">
        <f t="shared" si="24"/>
        <v>4.9999999999999933E-2</v>
      </c>
    </row>
    <row r="786" spans="1:8" ht="14.5">
      <c r="A786" s="41">
        <v>189902</v>
      </c>
      <c r="B786" s="380" t="str">
        <f t="shared" si="25"/>
        <v>189-902</v>
      </c>
      <c r="C786" s="2042" t="s">
        <v>1984</v>
      </c>
      <c r="D786" s="2042" t="s">
        <v>9284</v>
      </c>
      <c r="E786" s="105">
        <v>0.87340000000000007</v>
      </c>
      <c r="F786" s="105">
        <v>0.87340000000000007</v>
      </c>
      <c r="G786" s="2042">
        <v>1.0117</v>
      </c>
      <c r="H786" s="105">
        <f t="shared" si="24"/>
        <v>0.13829999999999998</v>
      </c>
    </row>
    <row r="787" spans="1:8" ht="14.5">
      <c r="A787" s="41">
        <v>190903</v>
      </c>
      <c r="B787" s="380" t="str">
        <f t="shared" si="25"/>
        <v>190-903</v>
      </c>
      <c r="C787" s="2042" t="s">
        <v>427</v>
      </c>
      <c r="D787" s="2042" t="s">
        <v>9284</v>
      </c>
      <c r="E787" s="105">
        <v>0.82200000000000006</v>
      </c>
      <c r="F787" s="105">
        <v>0.82200000000000006</v>
      </c>
      <c r="G787" s="2042">
        <v>0.872</v>
      </c>
      <c r="H787" s="105">
        <f t="shared" si="24"/>
        <v>4.9999999999999933E-2</v>
      </c>
    </row>
    <row r="788" spans="1:8" ht="14.5">
      <c r="A788" s="41">
        <v>191901</v>
      </c>
      <c r="B788" s="380" t="str">
        <f t="shared" si="25"/>
        <v>191-901</v>
      </c>
      <c r="C788" s="2042" t="s">
        <v>2207</v>
      </c>
      <c r="D788" s="2042" t="s">
        <v>9284</v>
      </c>
      <c r="E788" s="105">
        <v>0.87080000000000002</v>
      </c>
      <c r="F788" s="105">
        <v>0.87080000000000002</v>
      </c>
      <c r="G788" s="2042">
        <v>0.92080000000000006</v>
      </c>
      <c r="H788" s="105">
        <f t="shared" si="24"/>
        <v>5.0000000000000044E-2</v>
      </c>
    </row>
    <row r="789" spans="1:8" ht="14.5">
      <c r="A789" s="41">
        <v>192901</v>
      </c>
      <c r="B789" s="380" t="str">
        <f t="shared" si="25"/>
        <v>192-901</v>
      </c>
      <c r="C789" s="2042" t="s">
        <v>145</v>
      </c>
      <c r="D789" s="2042" t="s">
        <v>9284</v>
      </c>
      <c r="E789" s="105">
        <v>0.91339999999999999</v>
      </c>
      <c r="F789" s="105">
        <v>0.91339999999999999</v>
      </c>
      <c r="G789" s="2042">
        <v>1.0387</v>
      </c>
      <c r="H789" s="105">
        <f t="shared" si="24"/>
        <v>0.12529999999999997</v>
      </c>
    </row>
    <row r="790" spans="1:8" ht="14.5">
      <c r="A790" s="41">
        <v>193902</v>
      </c>
      <c r="B790" s="380" t="str">
        <f t="shared" si="25"/>
        <v>193-902</v>
      </c>
      <c r="C790" s="2042" t="s">
        <v>146</v>
      </c>
      <c r="D790" s="2042" t="s">
        <v>9284</v>
      </c>
      <c r="E790" s="105">
        <v>0.87980000000000003</v>
      </c>
      <c r="F790" s="105">
        <v>0.87980000000000003</v>
      </c>
      <c r="G790" s="2042">
        <v>0.92980000000000007</v>
      </c>
      <c r="H790" s="105">
        <f t="shared" si="24"/>
        <v>5.0000000000000044E-2</v>
      </c>
    </row>
    <row r="791" spans="1:8" ht="14.5">
      <c r="A791" s="41">
        <v>194902</v>
      </c>
      <c r="B791" s="380" t="str">
        <f t="shared" si="25"/>
        <v>194-902</v>
      </c>
      <c r="C791" s="2042" t="s">
        <v>1999</v>
      </c>
      <c r="D791" s="2042" t="s">
        <v>9284</v>
      </c>
      <c r="E791" s="105">
        <v>0.82200000000000006</v>
      </c>
      <c r="F791" s="105">
        <v>0.82200000000000006</v>
      </c>
      <c r="G791" s="2042">
        <v>0.96030000000000004</v>
      </c>
      <c r="H791" s="105">
        <f t="shared" si="24"/>
        <v>0.13829999999999998</v>
      </c>
    </row>
    <row r="792" spans="1:8" ht="14.5">
      <c r="A792" s="41">
        <v>194903</v>
      </c>
      <c r="B792" s="380" t="str">
        <f t="shared" si="25"/>
        <v>194-903</v>
      </c>
      <c r="C792" s="2042" t="s">
        <v>2550</v>
      </c>
      <c r="D792" s="2042" t="s">
        <v>9284</v>
      </c>
      <c r="E792" s="105">
        <v>0.91339999999999999</v>
      </c>
      <c r="F792" s="105">
        <v>0.91339999999999999</v>
      </c>
      <c r="G792" s="2042">
        <v>1.0517000000000001</v>
      </c>
      <c r="H792" s="105">
        <f t="shared" si="24"/>
        <v>0.13830000000000009</v>
      </c>
    </row>
    <row r="793" spans="1:8" ht="14.5">
      <c r="A793" s="41">
        <v>194904</v>
      </c>
      <c r="B793" s="380" t="str">
        <f t="shared" si="25"/>
        <v>194-904</v>
      </c>
      <c r="C793" s="2042" t="s">
        <v>1530</v>
      </c>
      <c r="D793" s="2042" t="s">
        <v>9284</v>
      </c>
      <c r="E793" s="105">
        <v>0.86810000000000009</v>
      </c>
      <c r="F793" s="105">
        <v>0.86810000000000009</v>
      </c>
      <c r="G793" s="2042">
        <v>1.0064</v>
      </c>
      <c r="H793" s="105">
        <f t="shared" si="24"/>
        <v>0.13829999999999987</v>
      </c>
    </row>
    <row r="794" spans="1:8" ht="14.5">
      <c r="A794" s="41">
        <v>194905</v>
      </c>
      <c r="B794" s="380" t="str">
        <f t="shared" si="25"/>
        <v>194-905</v>
      </c>
      <c r="C794" s="2042" t="s">
        <v>2521</v>
      </c>
      <c r="D794" s="2042" t="s">
        <v>9284</v>
      </c>
      <c r="E794" s="105">
        <v>0.82200000000000006</v>
      </c>
      <c r="F794" s="105">
        <v>0.82200000000000006</v>
      </c>
      <c r="G794" s="2042">
        <v>0.96030000000000004</v>
      </c>
      <c r="H794" s="105">
        <f t="shared" si="24"/>
        <v>0.13829999999999998</v>
      </c>
    </row>
    <row r="795" spans="1:8" ht="14.5">
      <c r="A795" s="41">
        <v>195901</v>
      </c>
      <c r="B795" s="380" t="str">
        <f t="shared" si="25"/>
        <v>195-901</v>
      </c>
      <c r="C795" s="2042" t="s">
        <v>1531</v>
      </c>
      <c r="D795" s="2042" t="s">
        <v>9284</v>
      </c>
      <c r="E795" s="105">
        <v>0.91339999999999999</v>
      </c>
      <c r="F795" s="105">
        <v>0.91339999999999999</v>
      </c>
      <c r="G795" s="2042">
        <v>0.96340000000000003</v>
      </c>
      <c r="H795" s="105">
        <f t="shared" si="24"/>
        <v>5.0000000000000044E-2</v>
      </c>
    </row>
    <row r="796" spans="1:8" ht="14.5">
      <c r="A796" s="727">
        <v>195902</v>
      </c>
      <c r="B796" s="1683" t="str">
        <f t="shared" si="25"/>
        <v>195-902</v>
      </c>
      <c r="C796" s="629" t="s">
        <v>2001</v>
      </c>
      <c r="D796" s="629" t="s">
        <v>9284</v>
      </c>
      <c r="E796" s="105">
        <v>0.89260000000000006</v>
      </c>
      <c r="F796" s="105">
        <v>0.98089999999999999</v>
      </c>
      <c r="G796" s="2042">
        <v>1.0309000000000001</v>
      </c>
      <c r="H796" s="105">
        <f t="shared" si="24"/>
        <v>5.0000000000000155E-2</v>
      </c>
    </row>
    <row r="797" spans="1:8" ht="14.5">
      <c r="A797" s="41">
        <v>196901</v>
      </c>
      <c r="B797" s="380" t="str">
        <f t="shared" si="25"/>
        <v>196-901</v>
      </c>
      <c r="C797" s="2042" t="s">
        <v>1532</v>
      </c>
      <c r="D797" s="2042" t="s">
        <v>9284</v>
      </c>
      <c r="E797" s="105">
        <v>0.91339999999999999</v>
      </c>
      <c r="F797" s="105">
        <v>0.91339999999999999</v>
      </c>
      <c r="G797" s="2042">
        <v>1.0517000000000001</v>
      </c>
      <c r="H797" s="105">
        <f t="shared" si="24"/>
        <v>0.13830000000000009</v>
      </c>
    </row>
    <row r="798" spans="1:8" ht="14.5">
      <c r="A798" s="41">
        <v>196902</v>
      </c>
      <c r="B798" s="380" t="str">
        <f t="shared" si="25"/>
        <v>196-902</v>
      </c>
      <c r="C798" s="2042" t="s">
        <v>1533</v>
      </c>
      <c r="D798" s="2042" t="s">
        <v>9284</v>
      </c>
      <c r="E798" s="105">
        <v>0.84200000000000008</v>
      </c>
      <c r="F798" s="105">
        <v>0.84200000000000008</v>
      </c>
      <c r="G798" s="2042">
        <v>0.98</v>
      </c>
      <c r="H798" s="105">
        <f t="shared" si="24"/>
        <v>0.1379999999999999</v>
      </c>
    </row>
    <row r="799" spans="1:8" ht="14.5">
      <c r="A799" s="41">
        <v>196903</v>
      </c>
      <c r="B799" s="380" t="str">
        <f t="shared" si="25"/>
        <v>196-903</v>
      </c>
      <c r="C799" s="2042" t="s">
        <v>1534</v>
      </c>
      <c r="D799" s="2042" t="s">
        <v>9284</v>
      </c>
      <c r="E799" s="105">
        <v>0.91339999999999999</v>
      </c>
      <c r="F799" s="105">
        <v>0.91339999999999999</v>
      </c>
      <c r="G799" s="2042">
        <v>0.96340000000000003</v>
      </c>
      <c r="H799" s="105">
        <f t="shared" si="24"/>
        <v>5.0000000000000044E-2</v>
      </c>
    </row>
    <row r="800" spans="1:8" ht="14.5">
      <c r="A800" s="41">
        <v>197902</v>
      </c>
      <c r="B800" s="380" t="str">
        <f t="shared" si="25"/>
        <v>197-902</v>
      </c>
      <c r="C800" s="2042" t="s">
        <v>1535</v>
      </c>
      <c r="D800" s="2042" t="s">
        <v>9284</v>
      </c>
      <c r="E800" s="105">
        <v>0.91339999999999999</v>
      </c>
      <c r="F800" s="105">
        <v>0.91339999999999999</v>
      </c>
      <c r="G800" s="2042">
        <v>0.97130000000000005</v>
      </c>
      <c r="H800" s="105">
        <f t="shared" si="24"/>
        <v>5.7900000000000063E-2</v>
      </c>
    </row>
    <row r="801" spans="1:8" ht="14.5">
      <c r="A801" s="41">
        <v>198901</v>
      </c>
      <c r="B801" s="380" t="str">
        <f t="shared" si="25"/>
        <v>198-901</v>
      </c>
      <c r="C801" s="2042" t="s">
        <v>1536</v>
      </c>
      <c r="D801" s="2042" t="s">
        <v>9284</v>
      </c>
      <c r="E801" s="105">
        <v>0.91339999999999999</v>
      </c>
      <c r="F801" s="105">
        <v>0.91339999999999999</v>
      </c>
      <c r="G801" s="2042">
        <v>0.96340000000000003</v>
      </c>
      <c r="H801" s="105">
        <f t="shared" si="24"/>
        <v>5.0000000000000044E-2</v>
      </c>
    </row>
    <row r="802" spans="1:8" ht="14.5">
      <c r="A802" s="41">
        <v>198902</v>
      </c>
      <c r="B802" s="380" t="str">
        <f t="shared" si="25"/>
        <v>198-902</v>
      </c>
      <c r="C802" s="2042" t="s">
        <v>1537</v>
      </c>
      <c r="D802" s="2042" t="s">
        <v>9284</v>
      </c>
      <c r="E802" s="105">
        <v>0.82200000000000006</v>
      </c>
      <c r="F802" s="105">
        <v>0.82200000000000006</v>
      </c>
      <c r="G802" s="2042">
        <v>0.95300000000000007</v>
      </c>
      <c r="H802" s="105">
        <f t="shared" si="24"/>
        <v>0.13100000000000001</v>
      </c>
    </row>
    <row r="803" spans="1:8" ht="14.5">
      <c r="A803" s="41">
        <v>198903</v>
      </c>
      <c r="B803" s="380" t="str">
        <f t="shared" si="25"/>
        <v>198-903</v>
      </c>
      <c r="C803" s="2042" t="s">
        <v>1538</v>
      </c>
      <c r="D803" s="2042" t="s">
        <v>9284</v>
      </c>
      <c r="E803" s="105">
        <v>0.91339999999999999</v>
      </c>
      <c r="F803" s="105">
        <v>0.91339999999999999</v>
      </c>
      <c r="G803" s="2042">
        <v>0.99</v>
      </c>
      <c r="H803" s="105">
        <f t="shared" si="24"/>
        <v>7.6600000000000001E-2</v>
      </c>
    </row>
    <row r="804" spans="1:8" ht="14.5">
      <c r="A804" s="41">
        <v>198905</v>
      </c>
      <c r="B804" s="380" t="str">
        <f t="shared" si="25"/>
        <v>198-905</v>
      </c>
      <c r="C804" s="2042" t="s">
        <v>1539</v>
      </c>
      <c r="D804" s="2042" t="s">
        <v>9284</v>
      </c>
      <c r="E804" s="105">
        <v>0.82469999999999999</v>
      </c>
      <c r="F804" s="105">
        <v>0.82469999999999999</v>
      </c>
      <c r="G804" s="2042">
        <v>0.87470000000000003</v>
      </c>
      <c r="H804" s="105">
        <f t="shared" si="24"/>
        <v>5.0000000000000044E-2</v>
      </c>
    </row>
    <row r="805" spans="1:8" ht="14.5">
      <c r="A805" s="41">
        <v>198906</v>
      </c>
      <c r="B805" s="380" t="str">
        <f t="shared" si="25"/>
        <v>198-906</v>
      </c>
      <c r="C805" s="2042" t="s">
        <v>923</v>
      </c>
      <c r="D805" s="2042" t="s">
        <v>9284</v>
      </c>
      <c r="E805" s="105">
        <v>0.89260000000000006</v>
      </c>
      <c r="F805" s="105">
        <v>0.89260000000000006</v>
      </c>
      <c r="G805" s="2042">
        <v>0.94259999999999999</v>
      </c>
      <c r="H805" s="105">
        <f t="shared" si="24"/>
        <v>4.9999999999999933E-2</v>
      </c>
    </row>
    <row r="806" spans="1:8" ht="14.5">
      <c r="A806" s="41">
        <v>199901</v>
      </c>
      <c r="B806" s="380" t="str">
        <f t="shared" si="25"/>
        <v>199-901</v>
      </c>
      <c r="C806" s="2042" t="s">
        <v>924</v>
      </c>
      <c r="D806" s="2042" t="s">
        <v>9284</v>
      </c>
      <c r="E806" s="105">
        <v>0.85360000000000003</v>
      </c>
      <c r="F806" s="105">
        <v>0.85360000000000003</v>
      </c>
      <c r="G806" s="2042">
        <v>0.90360000000000007</v>
      </c>
      <c r="H806" s="105">
        <f t="shared" si="24"/>
        <v>5.0000000000000044E-2</v>
      </c>
    </row>
    <row r="807" spans="1:8" ht="14.5">
      <c r="A807" s="41">
        <v>199902</v>
      </c>
      <c r="B807" s="380" t="str">
        <f t="shared" si="25"/>
        <v>199-902</v>
      </c>
      <c r="C807" s="2042" t="s">
        <v>576</v>
      </c>
      <c r="D807" s="2042" t="s">
        <v>9284</v>
      </c>
      <c r="E807" s="105">
        <v>0.82200000000000006</v>
      </c>
      <c r="F807" s="105">
        <v>0.82200000000000006</v>
      </c>
      <c r="G807" s="2042">
        <v>0.96030000000000004</v>
      </c>
      <c r="H807" s="105">
        <f t="shared" si="24"/>
        <v>0.13829999999999998</v>
      </c>
    </row>
    <row r="808" spans="1:8" ht="14.5">
      <c r="A808" s="41">
        <v>200901</v>
      </c>
      <c r="B808" s="380" t="str">
        <f t="shared" si="25"/>
        <v>200-901</v>
      </c>
      <c r="C808" s="2042" t="s">
        <v>1787</v>
      </c>
      <c r="D808" s="2042" t="s">
        <v>9284</v>
      </c>
      <c r="E808" s="105">
        <v>0.82200000000000006</v>
      </c>
      <c r="F808" s="105">
        <v>0.82200000000000006</v>
      </c>
      <c r="G808" s="2042">
        <v>0.96030000000000004</v>
      </c>
      <c r="H808" s="105">
        <f t="shared" si="24"/>
        <v>0.13829999999999998</v>
      </c>
    </row>
    <row r="809" spans="1:8" ht="14.5">
      <c r="A809" s="41">
        <v>200902</v>
      </c>
      <c r="B809" s="380" t="str">
        <f t="shared" si="25"/>
        <v>200-902</v>
      </c>
      <c r="C809" s="2042" t="s">
        <v>2114</v>
      </c>
      <c r="D809" s="2042" t="s">
        <v>9284</v>
      </c>
      <c r="E809" s="105">
        <v>0.85660000000000003</v>
      </c>
      <c r="F809" s="105">
        <v>0.85660000000000003</v>
      </c>
      <c r="G809" s="2042">
        <v>0.99490000000000001</v>
      </c>
      <c r="H809" s="105">
        <f t="shared" si="24"/>
        <v>0.13829999999999998</v>
      </c>
    </row>
    <row r="810" spans="1:8" ht="14.5">
      <c r="A810" s="41">
        <v>200904</v>
      </c>
      <c r="B810" s="380" t="str">
        <f t="shared" si="25"/>
        <v>200-904</v>
      </c>
      <c r="C810" s="2042" t="s">
        <v>1062</v>
      </c>
      <c r="D810" s="2042" t="s">
        <v>9284</v>
      </c>
      <c r="E810" s="105">
        <v>0.91339999999999999</v>
      </c>
      <c r="F810" s="105">
        <v>0.91339999999999999</v>
      </c>
      <c r="G810" s="2042">
        <v>0.96340000000000003</v>
      </c>
      <c r="H810" s="105">
        <f t="shared" si="24"/>
        <v>5.0000000000000044E-2</v>
      </c>
    </row>
    <row r="811" spans="1:8" ht="14.5">
      <c r="A811" s="41">
        <v>200906</v>
      </c>
      <c r="B811" s="380" t="str">
        <f t="shared" si="25"/>
        <v>200-906</v>
      </c>
      <c r="C811" s="2042" t="s">
        <v>248</v>
      </c>
      <c r="D811" s="2042" t="s">
        <v>9284</v>
      </c>
      <c r="E811" s="105">
        <v>0.84840000000000004</v>
      </c>
      <c r="F811" s="105">
        <v>0.84840000000000004</v>
      </c>
      <c r="G811" s="2042">
        <v>0.98670000000000002</v>
      </c>
      <c r="H811" s="105">
        <f t="shared" si="24"/>
        <v>0.13829999999999998</v>
      </c>
    </row>
    <row r="812" spans="1:8" ht="14.5">
      <c r="A812" s="41">
        <v>201902</v>
      </c>
      <c r="B812" s="380" t="str">
        <f t="shared" si="25"/>
        <v>201-902</v>
      </c>
      <c r="C812" s="2042" t="s">
        <v>1788</v>
      </c>
      <c r="D812" s="2042" t="s">
        <v>9284</v>
      </c>
      <c r="E812" s="105">
        <v>0.91339999999999999</v>
      </c>
      <c r="F812" s="105">
        <v>0.91339999999999999</v>
      </c>
      <c r="G812" s="2042">
        <v>0.96340000000000003</v>
      </c>
      <c r="H812" s="105">
        <f t="shared" si="24"/>
        <v>5.0000000000000044E-2</v>
      </c>
    </row>
    <row r="813" spans="1:8" ht="14.5">
      <c r="A813" s="41">
        <v>201903</v>
      </c>
      <c r="B813" s="380" t="str">
        <f t="shared" si="25"/>
        <v>201-903</v>
      </c>
      <c r="C813" s="2042" t="s">
        <v>1435</v>
      </c>
      <c r="D813" s="2042" t="s">
        <v>9284</v>
      </c>
      <c r="E813" s="105">
        <v>0.88180000000000003</v>
      </c>
      <c r="F813" s="105">
        <v>0.88180000000000003</v>
      </c>
      <c r="G813" s="2042">
        <v>1.0201</v>
      </c>
      <c r="H813" s="105">
        <f t="shared" si="24"/>
        <v>0.13829999999999998</v>
      </c>
    </row>
    <row r="814" spans="1:8" ht="14.5">
      <c r="A814" s="41">
        <v>201904</v>
      </c>
      <c r="B814" s="380" t="str">
        <f t="shared" si="25"/>
        <v>201-904</v>
      </c>
      <c r="C814" s="2042" t="s">
        <v>1436</v>
      </c>
      <c r="D814" s="2042" t="s">
        <v>9284</v>
      </c>
      <c r="E814" s="105">
        <v>0.91339999999999999</v>
      </c>
      <c r="F814" s="105">
        <v>0.91339999999999999</v>
      </c>
      <c r="G814" s="2042">
        <v>1.0517000000000001</v>
      </c>
      <c r="H814" s="105">
        <f t="shared" si="24"/>
        <v>0.13830000000000009</v>
      </c>
    </row>
    <row r="815" spans="1:8" ht="14.5">
      <c r="A815" s="41">
        <v>201907</v>
      </c>
      <c r="B815" s="380" t="str">
        <f t="shared" si="25"/>
        <v>201-907</v>
      </c>
      <c r="C815" s="2042" t="s">
        <v>2034</v>
      </c>
      <c r="D815" s="2042" t="s">
        <v>9284</v>
      </c>
      <c r="E815" s="105">
        <v>0.85840000000000005</v>
      </c>
      <c r="F815" s="105">
        <v>0.85840000000000005</v>
      </c>
      <c r="G815" s="2042">
        <v>0.99670000000000003</v>
      </c>
      <c r="H815" s="105">
        <f t="shared" si="24"/>
        <v>0.13829999999999998</v>
      </c>
    </row>
    <row r="816" spans="1:8" ht="14.5">
      <c r="A816" s="727">
        <v>201908</v>
      </c>
      <c r="B816" s="1683" t="str">
        <f t="shared" si="25"/>
        <v>201-908</v>
      </c>
      <c r="C816" s="629" t="s">
        <v>1286</v>
      </c>
      <c r="D816" s="629" t="s">
        <v>9284</v>
      </c>
      <c r="E816" s="105">
        <v>0.91050000000000009</v>
      </c>
      <c r="F816" s="105">
        <v>0.91339999999999999</v>
      </c>
      <c r="G816" s="2042">
        <v>1.0517000000000001</v>
      </c>
      <c r="H816" s="105">
        <f t="shared" si="24"/>
        <v>0.13830000000000009</v>
      </c>
    </row>
    <row r="817" spans="1:8" ht="14.5">
      <c r="A817" s="41">
        <v>201910</v>
      </c>
      <c r="B817" s="380" t="str">
        <f t="shared" si="25"/>
        <v>201-910</v>
      </c>
      <c r="C817" s="2042" t="s">
        <v>1437</v>
      </c>
      <c r="D817" s="2042" t="s">
        <v>9284</v>
      </c>
      <c r="E817" s="105">
        <v>0.91339999999999999</v>
      </c>
      <c r="F817" s="105">
        <v>0.91339999999999999</v>
      </c>
      <c r="G817" s="2042">
        <v>0.96340000000000003</v>
      </c>
      <c r="H817" s="105">
        <f t="shared" si="24"/>
        <v>5.0000000000000044E-2</v>
      </c>
    </row>
    <row r="818" spans="1:8" ht="14.5">
      <c r="A818" s="41">
        <v>201913</v>
      </c>
      <c r="B818" s="380" t="str">
        <f t="shared" si="25"/>
        <v>201-913</v>
      </c>
      <c r="C818" s="2042" t="s">
        <v>613</v>
      </c>
      <c r="D818" s="2042" t="s">
        <v>9284</v>
      </c>
      <c r="E818" s="105">
        <v>0.89810000000000001</v>
      </c>
      <c r="F818" s="105">
        <v>0.89810000000000001</v>
      </c>
      <c r="G818" s="2042">
        <v>1.034</v>
      </c>
      <c r="H818" s="105">
        <f t="shared" si="24"/>
        <v>0.13590000000000002</v>
      </c>
    </row>
    <row r="819" spans="1:8" ht="14.5">
      <c r="A819" s="41">
        <v>201914</v>
      </c>
      <c r="B819" s="380" t="str">
        <f t="shared" si="25"/>
        <v>201-914</v>
      </c>
      <c r="C819" s="2042" t="s">
        <v>3322</v>
      </c>
      <c r="D819" s="2042" t="s">
        <v>9284</v>
      </c>
      <c r="E819" s="105">
        <v>0.91339999999999999</v>
      </c>
      <c r="F819" s="105">
        <v>0.91339999999999999</v>
      </c>
      <c r="G819" s="2042">
        <v>0.96340000000000003</v>
      </c>
      <c r="H819" s="105">
        <f t="shared" si="24"/>
        <v>5.0000000000000044E-2</v>
      </c>
    </row>
    <row r="820" spans="1:8" ht="14.5">
      <c r="A820" s="41">
        <v>202903</v>
      </c>
      <c r="B820" s="380" t="str">
        <f t="shared" si="25"/>
        <v>202-903</v>
      </c>
      <c r="C820" s="2042" t="s">
        <v>1439</v>
      </c>
      <c r="D820" s="2042" t="s">
        <v>9284</v>
      </c>
      <c r="E820" s="105">
        <v>0.82710000000000006</v>
      </c>
      <c r="F820" s="105">
        <v>0.82710000000000006</v>
      </c>
      <c r="G820" s="2042">
        <v>0.87709999999999999</v>
      </c>
      <c r="H820" s="105">
        <f t="shared" si="24"/>
        <v>4.9999999999999933E-2</v>
      </c>
    </row>
    <row r="821" spans="1:8" ht="14.5">
      <c r="A821" s="41">
        <v>202905</v>
      </c>
      <c r="B821" s="380" t="str">
        <f t="shared" si="25"/>
        <v>202-905</v>
      </c>
      <c r="C821" s="2042" t="s">
        <v>1440</v>
      </c>
      <c r="D821" s="2042" t="s">
        <v>9284</v>
      </c>
      <c r="E821" s="105">
        <v>0.85850000000000004</v>
      </c>
      <c r="F821" s="105">
        <v>0.85850000000000004</v>
      </c>
      <c r="G821" s="2042">
        <v>0.90850000000000009</v>
      </c>
      <c r="H821" s="105">
        <f t="shared" si="24"/>
        <v>5.0000000000000044E-2</v>
      </c>
    </row>
    <row r="822" spans="1:8" ht="14.5">
      <c r="A822" s="41">
        <v>203901</v>
      </c>
      <c r="B822" s="380" t="str">
        <f t="shared" si="25"/>
        <v>203-901</v>
      </c>
      <c r="C822" s="2042" t="s">
        <v>1957</v>
      </c>
      <c r="D822" s="2042" t="s">
        <v>9284</v>
      </c>
      <c r="E822" s="105">
        <v>0.91</v>
      </c>
      <c r="F822" s="105">
        <v>0.91</v>
      </c>
      <c r="G822" s="2042">
        <v>0.97</v>
      </c>
      <c r="H822" s="105">
        <f t="shared" si="24"/>
        <v>5.9999999999999942E-2</v>
      </c>
    </row>
    <row r="823" spans="1:8" ht="14.5">
      <c r="A823" s="41">
        <v>203902</v>
      </c>
      <c r="B823" s="380" t="str">
        <f t="shared" si="25"/>
        <v>203-902</v>
      </c>
      <c r="C823" s="2042" t="s">
        <v>1958</v>
      </c>
      <c r="D823" s="2042" t="s">
        <v>9284</v>
      </c>
      <c r="E823" s="105">
        <v>0.91339999999999999</v>
      </c>
      <c r="F823" s="105">
        <v>0.91339999999999999</v>
      </c>
      <c r="G823" s="2042">
        <v>0.96</v>
      </c>
      <c r="H823" s="105">
        <f t="shared" si="24"/>
        <v>4.6599999999999975E-2</v>
      </c>
    </row>
    <row r="824" spans="1:8" ht="14.5">
      <c r="A824" s="41">
        <v>204901</v>
      </c>
      <c r="B824" s="380" t="str">
        <f t="shared" si="25"/>
        <v>204-901</v>
      </c>
      <c r="C824" s="2042" t="s">
        <v>2209</v>
      </c>
      <c r="D824" s="2042" t="s">
        <v>9284</v>
      </c>
      <c r="E824" s="105">
        <v>0.82200000000000006</v>
      </c>
      <c r="F824" s="105">
        <v>0.82200000000000006</v>
      </c>
      <c r="G824" s="2042">
        <v>0.871</v>
      </c>
      <c r="H824" s="105">
        <f t="shared" si="24"/>
        <v>4.8999999999999932E-2</v>
      </c>
    </row>
    <row r="825" spans="1:8" ht="14.5">
      <c r="A825" s="41">
        <v>204904</v>
      </c>
      <c r="B825" s="380" t="str">
        <f t="shared" si="25"/>
        <v>204-904</v>
      </c>
      <c r="C825" s="2042" t="s">
        <v>334</v>
      </c>
      <c r="D825" s="2042" t="s">
        <v>9284</v>
      </c>
      <c r="E825" s="105">
        <v>0.82200000000000006</v>
      </c>
      <c r="F825" s="105">
        <v>0.82200000000000006</v>
      </c>
      <c r="G825" s="2042">
        <v>0.96030000000000004</v>
      </c>
      <c r="H825" s="105">
        <f t="shared" si="24"/>
        <v>0.13829999999999998</v>
      </c>
    </row>
    <row r="826" spans="1:8" ht="14.5">
      <c r="A826" s="41">
        <v>205901</v>
      </c>
      <c r="B826" s="380" t="str">
        <f t="shared" si="25"/>
        <v>205-901</v>
      </c>
      <c r="C826" s="2042" t="s">
        <v>2282</v>
      </c>
      <c r="D826" s="2042" t="s">
        <v>9284</v>
      </c>
      <c r="E826" s="105">
        <v>0.82200000000000006</v>
      </c>
      <c r="F826" s="105">
        <v>0.82200000000000006</v>
      </c>
      <c r="G826" s="2042">
        <v>0.872</v>
      </c>
      <c r="H826" s="105">
        <f t="shared" si="24"/>
        <v>4.9999999999999933E-2</v>
      </c>
    </row>
    <row r="827" spans="1:8" ht="14.5">
      <c r="A827" s="41">
        <v>205902</v>
      </c>
      <c r="B827" s="380" t="str">
        <f t="shared" si="25"/>
        <v>205-902</v>
      </c>
      <c r="C827" s="2042" t="s">
        <v>335</v>
      </c>
      <c r="D827" s="2042" t="s">
        <v>9284</v>
      </c>
      <c r="E827" s="105">
        <v>0.82200000000000006</v>
      </c>
      <c r="F827" s="105">
        <v>0.82200000000000006</v>
      </c>
      <c r="G827" s="2042">
        <v>0.96030000000000004</v>
      </c>
      <c r="H827" s="105">
        <f t="shared" si="24"/>
        <v>0.13829999999999998</v>
      </c>
    </row>
    <row r="828" spans="1:8" ht="14.5">
      <c r="A828" s="41">
        <v>205903</v>
      </c>
      <c r="B828" s="380" t="str">
        <f t="shared" si="25"/>
        <v>205-903</v>
      </c>
      <c r="C828" s="2042" t="s">
        <v>336</v>
      </c>
      <c r="D828" s="2042" t="s">
        <v>9284</v>
      </c>
      <c r="E828" s="105">
        <v>0.82200000000000006</v>
      </c>
      <c r="F828" s="105">
        <v>0.82200000000000006</v>
      </c>
      <c r="G828" s="2042">
        <v>0.872</v>
      </c>
      <c r="H828" s="105">
        <f t="shared" si="24"/>
        <v>4.9999999999999933E-2</v>
      </c>
    </row>
    <row r="829" spans="1:8" ht="14.5">
      <c r="A829" s="41">
        <v>205904</v>
      </c>
      <c r="B829" s="380" t="str">
        <f t="shared" si="25"/>
        <v>205-904</v>
      </c>
      <c r="C829" s="2042" t="s">
        <v>1953</v>
      </c>
      <c r="D829" s="2042" t="s">
        <v>9284</v>
      </c>
      <c r="E829" s="105">
        <v>0.82200000000000006</v>
      </c>
      <c r="F829" s="105">
        <v>0.82200000000000006</v>
      </c>
      <c r="G829" s="2042">
        <v>0.96030000000000004</v>
      </c>
      <c r="H829" s="105">
        <f t="shared" si="24"/>
        <v>0.13829999999999998</v>
      </c>
    </row>
    <row r="830" spans="1:8" ht="14.5">
      <c r="A830" s="41">
        <v>205905</v>
      </c>
      <c r="B830" s="380" t="str">
        <f t="shared" si="25"/>
        <v>205-905</v>
      </c>
      <c r="C830" s="2042" t="s">
        <v>246</v>
      </c>
      <c r="D830" s="2042" t="s">
        <v>9284</v>
      </c>
      <c r="E830" s="105">
        <v>0.82200000000000006</v>
      </c>
      <c r="F830" s="105">
        <v>0.82200000000000006</v>
      </c>
      <c r="G830" s="2042">
        <v>0.96030000000000004</v>
      </c>
      <c r="H830" s="105">
        <f t="shared" si="24"/>
        <v>0.13829999999999998</v>
      </c>
    </row>
    <row r="831" spans="1:8" ht="14.5">
      <c r="A831" s="41">
        <v>205906</v>
      </c>
      <c r="B831" s="380" t="str">
        <f t="shared" si="25"/>
        <v>205-906</v>
      </c>
      <c r="C831" s="2042" t="s">
        <v>253</v>
      </c>
      <c r="D831" s="2042" t="s">
        <v>9284</v>
      </c>
      <c r="E831" s="105">
        <v>0.82200000000000006</v>
      </c>
      <c r="F831" s="105">
        <v>0.82200000000000006</v>
      </c>
      <c r="G831" s="2042">
        <v>0.96030000000000004</v>
      </c>
      <c r="H831" s="105">
        <f t="shared" si="24"/>
        <v>0.13829999999999998</v>
      </c>
    </row>
    <row r="832" spans="1:8" ht="14.5">
      <c r="A832" s="41">
        <v>205907</v>
      </c>
      <c r="B832" s="380" t="str">
        <f t="shared" si="25"/>
        <v>205-907</v>
      </c>
      <c r="C832" s="2042" t="s">
        <v>564</v>
      </c>
      <c r="D832" s="2042" t="s">
        <v>9284</v>
      </c>
      <c r="E832" s="105">
        <v>0.82200000000000006</v>
      </c>
      <c r="F832" s="105">
        <v>0.82200000000000006</v>
      </c>
      <c r="G832" s="2042">
        <v>0.96030000000000004</v>
      </c>
      <c r="H832" s="105">
        <f t="shared" si="24"/>
        <v>0.13829999999999998</v>
      </c>
    </row>
    <row r="833" spans="1:8" ht="14.5">
      <c r="A833" s="41">
        <v>206901</v>
      </c>
      <c r="B833" s="380" t="str">
        <f t="shared" si="25"/>
        <v>206-901</v>
      </c>
      <c r="C833" s="2042" t="s">
        <v>1319</v>
      </c>
      <c r="D833" s="2042" t="s">
        <v>9284</v>
      </c>
      <c r="E833" s="105">
        <v>0.82200000000000006</v>
      </c>
      <c r="F833" s="105">
        <v>0.82200000000000006</v>
      </c>
      <c r="G833" s="2042">
        <v>0.872</v>
      </c>
      <c r="H833" s="105">
        <f t="shared" si="24"/>
        <v>4.9999999999999933E-2</v>
      </c>
    </row>
    <row r="834" spans="1:8" ht="14.5">
      <c r="A834" s="41">
        <v>206902</v>
      </c>
      <c r="B834" s="380" t="str">
        <f t="shared" si="25"/>
        <v>206-902</v>
      </c>
      <c r="C834" s="2042" t="s">
        <v>337</v>
      </c>
      <c r="D834" s="2042" t="s">
        <v>9284</v>
      </c>
      <c r="E834" s="105">
        <v>0.82200000000000006</v>
      </c>
      <c r="F834" s="105">
        <v>0.82200000000000006</v>
      </c>
      <c r="G834" s="2042">
        <v>0.9325</v>
      </c>
      <c r="H834" s="105">
        <f t="shared" si="24"/>
        <v>0.11049999999999993</v>
      </c>
    </row>
    <row r="835" spans="1:8" ht="14.5">
      <c r="A835" s="41">
        <v>206903</v>
      </c>
      <c r="B835" s="380" t="str">
        <f t="shared" si="25"/>
        <v>206-903</v>
      </c>
      <c r="C835" s="2042" t="s">
        <v>338</v>
      </c>
      <c r="D835" s="2042" t="s">
        <v>9284</v>
      </c>
      <c r="E835" s="105">
        <v>0.82200000000000006</v>
      </c>
      <c r="F835" s="105">
        <v>0.82200000000000006</v>
      </c>
      <c r="G835" s="2042">
        <v>0.96030000000000004</v>
      </c>
      <c r="H835" s="105">
        <f t="shared" ref="H835:H898" si="26">G835-F835</f>
        <v>0.13829999999999998</v>
      </c>
    </row>
    <row r="836" spans="1:8" ht="14.5">
      <c r="A836" s="41">
        <v>207901</v>
      </c>
      <c r="B836" s="380" t="str">
        <f t="shared" si="25"/>
        <v>207-901</v>
      </c>
      <c r="C836" s="2042" t="s">
        <v>339</v>
      </c>
      <c r="D836" s="2042" t="s">
        <v>9284</v>
      </c>
      <c r="E836" s="105">
        <v>0.82200000000000006</v>
      </c>
      <c r="F836" s="105">
        <v>0.82200000000000006</v>
      </c>
      <c r="G836" s="2042">
        <v>0.96040000000000003</v>
      </c>
      <c r="H836" s="105">
        <f t="shared" si="26"/>
        <v>0.13839999999999997</v>
      </c>
    </row>
    <row r="837" spans="1:8" ht="14.5">
      <c r="A837" s="41">
        <v>208901</v>
      </c>
      <c r="B837" s="380" t="str">
        <f t="shared" si="25"/>
        <v>208-901</v>
      </c>
      <c r="C837" s="2042" t="s">
        <v>340</v>
      </c>
      <c r="D837" s="2042" t="s">
        <v>9284</v>
      </c>
      <c r="E837" s="105">
        <v>0.82200000000000006</v>
      </c>
      <c r="F837" s="105">
        <v>0.82200000000000006</v>
      </c>
      <c r="G837" s="2042">
        <v>0.872</v>
      </c>
      <c r="H837" s="105">
        <f t="shared" si="26"/>
        <v>4.9999999999999933E-2</v>
      </c>
    </row>
    <row r="838" spans="1:8" ht="14.5">
      <c r="A838" s="41">
        <v>208902</v>
      </c>
      <c r="B838" s="380" t="str">
        <f t="shared" si="25"/>
        <v>208-902</v>
      </c>
      <c r="C838" s="2042" t="s">
        <v>341</v>
      </c>
      <c r="D838" s="2042" t="s">
        <v>9284</v>
      </c>
      <c r="E838" s="105">
        <v>0.91339999999999999</v>
      </c>
      <c r="F838" s="105">
        <v>0.91339999999999999</v>
      </c>
      <c r="G838" s="2042">
        <v>0.96340000000000003</v>
      </c>
      <c r="H838" s="105">
        <f t="shared" si="26"/>
        <v>5.0000000000000044E-2</v>
      </c>
    </row>
    <row r="839" spans="1:8" ht="14.5">
      <c r="A839" s="41">
        <v>208903</v>
      </c>
      <c r="B839" s="380" t="str">
        <f t="shared" si="25"/>
        <v>208-903</v>
      </c>
      <c r="C839" s="2042" t="s">
        <v>342</v>
      </c>
      <c r="D839" s="2042" t="s">
        <v>9284</v>
      </c>
      <c r="E839" s="105">
        <v>0.91339999999999999</v>
      </c>
      <c r="F839" s="105">
        <v>0.91339999999999999</v>
      </c>
      <c r="G839" s="2042">
        <v>0.96340000000000003</v>
      </c>
      <c r="H839" s="105">
        <f t="shared" si="26"/>
        <v>5.0000000000000044E-2</v>
      </c>
    </row>
    <row r="840" spans="1:8" ht="14.5">
      <c r="A840" s="41">
        <v>209901</v>
      </c>
      <c r="B840" s="380" t="str">
        <f t="shared" si="25"/>
        <v>209-901</v>
      </c>
      <c r="C840" s="2042" t="s">
        <v>343</v>
      </c>
      <c r="D840" s="2042" t="s">
        <v>9284</v>
      </c>
      <c r="E840" s="105">
        <v>0.91339999999999999</v>
      </c>
      <c r="F840" s="105">
        <v>0.91339999999999999</v>
      </c>
      <c r="G840" s="2042">
        <v>0.96340000000000003</v>
      </c>
      <c r="H840" s="105">
        <f t="shared" si="26"/>
        <v>5.0000000000000044E-2</v>
      </c>
    </row>
    <row r="841" spans="1:8" ht="14.5">
      <c r="A841" s="41">
        <v>209902</v>
      </c>
      <c r="B841" s="380" t="str">
        <f t="shared" si="25"/>
        <v>209-902</v>
      </c>
      <c r="C841" s="2042" t="s">
        <v>344</v>
      </c>
      <c r="D841" s="2042" t="s">
        <v>9284</v>
      </c>
      <c r="E841" s="105">
        <v>0.84560000000000002</v>
      </c>
      <c r="F841" s="105">
        <v>0.84560000000000002</v>
      </c>
      <c r="G841" s="2042">
        <v>0.89560000000000006</v>
      </c>
      <c r="H841" s="105">
        <f t="shared" si="26"/>
        <v>5.0000000000000044E-2</v>
      </c>
    </row>
    <row r="842" spans="1:8" ht="14.5">
      <c r="A842" s="41">
        <v>210901</v>
      </c>
      <c r="B842" s="380" t="str">
        <f t="shared" si="25"/>
        <v>210-901</v>
      </c>
      <c r="C842" s="2042" t="s">
        <v>1679</v>
      </c>
      <c r="D842" s="2042" t="s">
        <v>9284</v>
      </c>
      <c r="E842" s="105">
        <v>0.90190000000000003</v>
      </c>
      <c r="F842" s="105">
        <v>0.90190000000000003</v>
      </c>
      <c r="G842" s="2042">
        <v>1.0402</v>
      </c>
      <c r="H842" s="105">
        <f t="shared" si="26"/>
        <v>0.13829999999999998</v>
      </c>
    </row>
    <row r="843" spans="1:8" ht="14.5">
      <c r="A843" s="41">
        <v>210902</v>
      </c>
      <c r="B843" s="380" t="str">
        <f t="shared" si="25"/>
        <v>210-902</v>
      </c>
      <c r="C843" s="2042" t="s">
        <v>1680</v>
      </c>
      <c r="D843" s="2042" t="s">
        <v>9284</v>
      </c>
      <c r="E843" s="105">
        <v>0.91339999999999999</v>
      </c>
      <c r="F843" s="105">
        <v>0.91339999999999999</v>
      </c>
      <c r="G843" s="2042">
        <v>1.0517000000000001</v>
      </c>
      <c r="H843" s="105">
        <f t="shared" si="26"/>
        <v>0.13830000000000009</v>
      </c>
    </row>
    <row r="844" spans="1:8" ht="14.5">
      <c r="A844" s="41">
        <v>210903</v>
      </c>
      <c r="B844" s="380" t="str">
        <f t="shared" si="25"/>
        <v>210-903</v>
      </c>
      <c r="C844" s="2042" t="s">
        <v>1177</v>
      </c>
      <c r="D844" s="2042" t="s">
        <v>9284</v>
      </c>
      <c r="E844" s="105">
        <v>0.91339999999999999</v>
      </c>
      <c r="F844" s="105">
        <v>0.91339999999999999</v>
      </c>
      <c r="G844" s="2042">
        <v>1.0128000000000001</v>
      </c>
      <c r="H844" s="105">
        <f t="shared" si="26"/>
        <v>9.9400000000000155E-2</v>
      </c>
    </row>
    <row r="845" spans="1:8" ht="14.5">
      <c r="A845" s="41">
        <v>210904</v>
      </c>
      <c r="B845" s="380" t="str">
        <f t="shared" ref="B845:B908" si="27">CONCATENATE(LEFT(RIGHT(CONCATENATE("000",A845),6),3),"-",(RIGHT(RIGHT(CONCATENATE("000",A845),6),3)))</f>
        <v>210-904</v>
      </c>
      <c r="C845" s="2042" t="s">
        <v>1681</v>
      </c>
      <c r="D845" s="2042" t="s">
        <v>9284</v>
      </c>
      <c r="E845" s="105">
        <v>0.91339999999999999</v>
      </c>
      <c r="F845" s="105">
        <v>0.91339999999999999</v>
      </c>
      <c r="G845" s="2042">
        <v>0.96340000000000003</v>
      </c>
      <c r="H845" s="105">
        <f t="shared" si="26"/>
        <v>5.0000000000000044E-2</v>
      </c>
    </row>
    <row r="846" spans="1:8" ht="14.5">
      <c r="A846" s="41">
        <v>210905</v>
      </c>
      <c r="B846" s="380" t="str">
        <f t="shared" si="27"/>
        <v>210-905</v>
      </c>
      <c r="C846" s="2042" t="s">
        <v>1682</v>
      </c>
      <c r="D846" s="2042" t="s">
        <v>9284</v>
      </c>
      <c r="E846" s="105">
        <v>0.89170000000000005</v>
      </c>
      <c r="F846" s="105">
        <v>0.89170000000000005</v>
      </c>
      <c r="G846" s="2042">
        <v>1.03</v>
      </c>
      <c r="H846" s="105">
        <f t="shared" si="26"/>
        <v>0.13829999999999998</v>
      </c>
    </row>
    <row r="847" spans="1:8" ht="14.5">
      <c r="A847" s="41">
        <v>210906</v>
      </c>
      <c r="B847" s="380" t="str">
        <f t="shared" si="27"/>
        <v>210-906</v>
      </c>
      <c r="C847" s="2042" t="s">
        <v>1683</v>
      </c>
      <c r="D847" s="2042" t="s">
        <v>9284</v>
      </c>
      <c r="E847" s="105">
        <v>0.91339999999999999</v>
      </c>
      <c r="F847" s="105">
        <v>0.91339999999999999</v>
      </c>
      <c r="G847" s="2042">
        <v>1.0517000000000001</v>
      </c>
      <c r="H847" s="105">
        <f t="shared" si="26"/>
        <v>0.13830000000000009</v>
      </c>
    </row>
    <row r="848" spans="1:8" ht="14.5">
      <c r="A848" s="41">
        <v>211901</v>
      </c>
      <c r="B848" s="380" t="str">
        <f t="shared" si="27"/>
        <v>211-901</v>
      </c>
      <c r="C848" s="2042" t="s">
        <v>1684</v>
      </c>
      <c r="D848" s="2042" t="s">
        <v>9284</v>
      </c>
      <c r="E848" s="105">
        <v>0.84250000000000003</v>
      </c>
      <c r="F848" s="105">
        <v>0.84250000000000003</v>
      </c>
      <c r="G848" s="2042">
        <v>0.89250000000000007</v>
      </c>
      <c r="H848" s="105">
        <f t="shared" si="26"/>
        <v>5.0000000000000044E-2</v>
      </c>
    </row>
    <row r="849" spans="1:8" ht="14.5">
      <c r="A849" s="41">
        <v>211902</v>
      </c>
      <c r="B849" s="380" t="str">
        <f t="shared" si="27"/>
        <v>211-902</v>
      </c>
      <c r="C849" s="2042" t="s">
        <v>1881</v>
      </c>
      <c r="D849" s="2042" t="s">
        <v>9284</v>
      </c>
      <c r="E849" s="105">
        <v>0.85520000000000007</v>
      </c>
      <c r="F849" s="105">
        <v>0.85520000000000007</v>
      </c>
      <c r="G849" s="2042">
        <v>0.99350000000000005</v>
      </c>
      <c r="H849" s="105">
        <f t="shared" si="26"/>
        <v>0.13829999999999998</v>
      </c>
    </row>
    <row r="850" spans="1:8" ht="14.5">
      <c r="A850" s="41">
        <v>212901</v>
      </c>
      <c r="B850" s="380" t="str">
        <f t="shared" si="27"/>
        <v>212-901</v>
      </c>
      <c r="C850" s="2042" t="s">
        <v>1996</v>
      </c>
      <c r="D850" s="2042" t="s">
        <v>9284</v>
      </c>
      <c r="E850" s="105">
        <v>0.87450000000000006</v>
      </c>
      <c r="F850" s="105">
        <v>0.87450000000000006</v>
      </c>
      <c r="G850" s="2042">
        <v>1.0128000000000001</v>
      </c>
      <c r="H850" s="105">
        <f t="shared" si="26"/>
        <v>0.13830000000000009</v>
      </c>
    </row>
    <row r="851" spans="1:8" ht="14.5">
      <c r="A851" s="41">
        <v>212902</v>
      </c>
      <c r="B851" s="380" t="str">
        <f t="shared" si="27"/>
        <v>212-902</v>
      </c>
      <c r="C851" s="2042" t="s">
        <v>1882</v>
      </c>
      <c r="D851" s="2042" t="s">
        <v>9284</v>
      </c>
      <c r="E851" s="105">
        <v>0.82200000000000006</v>
      </c>
      <c r="F851" s="105">
        <v>0.82200000000000006</v>
      </c>
      <c r="G851" s="2042">
        <v>0.95200000000000007</v>
      </c>
      <c r="H851" s="105">
        <f t="shared" si="26"/>
        <v>0.13</v>
      </c>
    </row>
    <row r="852" spans="1:8" ht="14.5">
      <c r="A852" s="41">
        <v>212903</v>
      </c>
      <c r="B852" s="380" t="str">
        <f t="shared" si="27"/>
        <v>212-903</v>
      </c>
      <c r="C852" s="2042" t="s">
        <v>1883</v>
      </c>
      <c r="D852" s="2042" t="s">
        <v>9284</v>
      </c>
      <c r="E852" s="105">
        <v>0.82200000000000006</v>
      </c>
      <c r="F852" s="105">
        <v>0.82200000000000006</v>
      </c>
      <c r="G852" s="2042">
        <v>0.90200000000000002</v>
      </c>
      <c r="H852" s="105">
        <f t="shared" si="26"/>
        <v>7.999999999999996E-2</v>
      </c>
    </row>
    <row r="853" spans="1:8" ht="14.5">
      <c r="A853" s="41">
        <v>212904</v>
      </c>
      <c r="B853" s="380" t="str">
        <f t="shared" si="27"/>
        <v>212-904</v>
      </c>
      <c r="C853" s="2042" t="s">
        <v>1884</v>
      </c>
      <c r="D853" s="2042" t="s">
        <v>9284</v>
      </c>
      <c r="E853" s="105">
        <v>0.91339999999999999</v>
      </c>
      <c r="F853" s="105">
        <v>0.91339999999999999</v>
      </c>
      <c r="G853" s="2042">
        <v>1.0517000000000001</v>
      </c>
      <c r="H853" s="105">
        <f t="shared" si="26"/>
        <v>0.13830000000000009</v>
      </c>
    </row>
    <row r="854" spans="1:8" ht="14.5">
      <c r="A854" s="41">
        <v>212905</v>
      </c>
      <c r="B854" s="380" t="str">
        <f t="shared" si="27"/>
        <v>212-905</v>
      </c>
      <c r="C854" s="2042" t="s">
        <v>1885</v>
      </c>
      <c r="D854" s="2042" t="s">
        <v>9284</v>
      </c>
      <c r="E854" s="105">
        <v>0.90410000000000001</v>
      </c>
      <c r="F854" s="105">
        <v>0.90410000000000001</v>
      </c>
      <c r="G854" s="2042">
        <v>0.95410000000000006</v>
      </c>
      <c r="H854" s="105">
        <f t="shared" si="26"/>
        <v>5.0000000000000044E-2</v>
      </c>
    </row>
    <row r="855" spans="1:8" ht="14.5">
      <c r="A855" s="41">
        <v>212906</v>
      </c>
      <c r="B855" s="380" t="str">
        <f t="shared" si="27"/>
        <v>212-906</v>
      </c>
      <c r="C855" s="2042" t="s">
        <v>1258</v>
      </c>
      <c r="D855" s="2042" t="s">
        <v>9284</v>
      </c>
      <c r="E855" s="105">
        <v>0.86560000000000004</v>
      </c>
      <c r="F855" s="105">
        <v>0.86560000000000004</v>
      </c>
      <c r="G855" s="2042">
        <v>0.92560000000000009</v>
      </c>
      <c r="H855" s="105">
        <f t="shared" si="26"/>
        <v>6.0000000000000053E-2</v>
      </c>
    </row>
    <row r="856" spans="1:8" ht="14.5">
      <c r="A856" s="41">
        <v>212909</v>
      </c>
      <c r="B856" s="380" t="str">
        <f t="shared" si="27"/>
        <v>212-909</v>
      </c>
      <c r="C856" s="2042" t="s">
        <v>619</v>
      </c>
      <c r="D856" s="2042" t="s">
        <v>9284</v>
      </c>
      <c r="E856" s="105">
        <v>0.8831</v>
      </c>
      <c r="F856" s="105">
        <v>0.8831</v>
      </c>
      <c r="G856" s="2042">
        <v>0.9890000000000001</v>
      </c>
      <c r="H856" s="105">
        <f t="shared" si="26"/>
        <v>0.10590000000000011</v>
      </c>
    </row>
    <row r="857" spans="1:8" ht="14.5">
      <c r="A857" s="41">
        <v>212910</v>
      </c>
      <c r="B857" s="380" t="str">
        <f t="shared" si="27"/>
        <v>212-910</v>
      </c>
      <c r="C857" s="2042" t="s">
        <v>1886</v>
      </c>
      <c r="D857" s="2042" t="s">
        <v>9284</v>
      </c>
      <c r="E857" s="105">
        <v>0.88270000000000004</v>
      </c>
      <c r="F857" s="105">
        <v>0.88270000000000004</v>
      </c>
      <c r="G857" s="2042">
        <v>0.93270000000000008</v>
      </c>
      <c r="H857" s="105">
        <f t="shared" si="26"/>
        <v>5.0000000000000044E-2</v>
      </c>
    </row>
    <row r="858" spans="1:8" ht="14.5">
      <c r="A858" s="41">
        <v>213901</v>
      </c>
      <c r="B858" s="380" t="str">
        <f t="shared" si="27"/>
        <v>213-901</v>
      </c>
      <c r="C858" s="2042" t="s">
        <v>1887</v>
      </c>
      <c r="D858" s="2042" t="s">
        <v>9284</v>
      </c>
      <c r="E858" s="105">
        <v>0.82469999999999999</v>
      </c>
      <c r="F858" s="105">
        <v>0.82469999999999999</v>
      </c>
      <c r="G858" s="2042">
        <v>0.87470000000000003</v>
      </c>
      <c r="H858" s="105">
        <f t="shared" si="26"/>
        <v>5.0000000000000044E-2</v>
      </c>
    </row>
    <row r="859" spans="1:8" ht="14.5">
      <c r="A859" s="41">
        <v>214901</v>
      </c>
      <c r="B859" s="380" t="str">
        <f t="shared" si="27"/>
        <v>214-901</v>
      </c>
      <c r="C859" s="2042" t="s">
        <v>2546</v>
      </c>
      <c r="D859" s="2042" t="s">
        <v>9284</v>
      </c>
      <c r="E859" s="105">
        <v>0.82990000000000008</v>
      </c>
      <c r="F859" s="105">
        <v>0.82990000000000008</v>
      </c>
      <c r="G859" s="2042">
        <v>0.91239999999999999</v>
      </c>
      <c r="H859" s="105">
        <f t="shared" si="26"/>
        <v>8.2499999999999907E-2</v>
      </c>
    </row>
    <row r="860" spans="1:8" ht="14.5">
      <c r="A860" s="41">
        <v>214902</v>
      </c>
      <c r="B860" s="380" t="str">
        <f t="shared" si="27"/>
        <v>214-902</v>
      </c>
      <c r="C860" s="2042" t="s">
        <v>1888</v>
      </c>
      <c r="D860" s="2042" t="s">
        <v>9284</v>
      </c>
      <c r="E860" s="105">
        <v>0.91339999999999999</v>
      </c>
      <c r="F860" s="105">
        <v>0.91339999999999999</v>
      </c>
      <c r="G860" s="2042">
        <v>1.0517000000000001</v>
      </c>
      <c r="H860" s="105">
        <f t="shared" si="26"/>
        <v>0.13830000000000009</v>
      </c>
    </row>
    <row r="861" spans="1:8" ht="14.5">
      <c r="A861" s="41">
        <v>214903</v>
      </c>
      <c r="B861" s="380" t="str">
        <f t="shared" si="27"/>
        <v>214-903</v>
      </c>
      <c r="C861" s="2042" t="s">
        <v>571</v>
      </c>
      <c r="D861" s="2042" t="s">
        <v>9284</v>
      </c>
      <c r="E861" s="105">
        <v>0.88850000000000007</v>
      </c>
      <c r="F861" s="105">
        <v>0.88850000000000007</v>
      </c>
      <c r="G861" s="2042">
        <v>1.0268000000000002</v>
      </c>
      <c r="H861" s="105">
        <f t="shared" si="26"/>
        <v>0.13830000000000009</v>
      </c>
    </row>
    <row r="862" spans="1:8" ht="14.5">
      <c r="A862" s="41">
        <v>215901</v>
      </c>
      <c r="B862" s="380" t="str">
        <f t="shared" si="27"/>
        <v>215-901</v>
      </c>
      <c r="C862" s="2042" t="s">
        <v>1889</v>
      </c>
      <c r="D862" s="2042" t="s">
        <v>9284</v>
      </c>
      <c r="E862" s="105">
        <v>0.85140000000000005</v>
      </c>
      <c r="F862" s="105">
        <v>0.85140000000000005</v>
      </c>
      <c r="G862" s="2042">
        <v>0.98970000000000002</v>
      </c>
      <c r="H862" s="105">
        <f t="shared" si="26"/>
        <v>0.13829999999999998</v>
      </c>
    </row>
    <row r="863" spans="1:8" ht="14.5">
      <c r="A863" s="41">
        <v>216901</v>
      </c>
      <c r="B863" s="380" t="str">
        <f t="shared" si="27"/>
        <v>216-901</v>
      </c>
      <c r="C863" s="2042" t="s">
        <v>2421</v>
      </c>
      <c r="D863" s="2042" t="s">
        <v>9284</v>
      </c>
      <c r="E863" s="105">
        <v>0.91339999999999999</v>
      </c>
      <c r="F863" s="105">
        <v>0.91339999999999999</v>
      </c>
      <c r="G863" s="2042">
        <v>0.96340000000000003</v>
      </c>
      <c r="H863" s="105">
        <f t="shared" si="26"/>
        <v>5.0000000000000044E-2</v>
      </c>
    </row>
    <row r="864" spans="1:8" ht="14.5">
      <c r="A864" s="41">
        <v>217901</v>
      </c>
      <c r="B864" s="380" t="str">
        <f t="shared" si="27"/>
        <v>217-901</v>
      </c>
      <c r="C864" s="2042" t="s">
        <v>2422</v>
      </c>
      <c r="D864" s="2042" t="s">
        <v>9284</v>
      </c>
      <c r="E864" s="105">
        <v>0.86650000000000005</v>
      </c>
      <c r="F864" s="105">
        <v>0.86650000000000005</v>
      </c>
      <c r="G864" s="2042">
        <v>0.91650000000000009</v>
      </c>
      <c r="H864" s="105">
        <f t="shared" si="26"/>
        <v>5.0000000000000044E-2</v>
      </c>
    </row>
    <row r="865" spans="1:8" ht="14.5">
      <c r="A865" s="41">
        <v>218901</v>
      </c>
      <c r="B865" s="380" t="str">
        <f t="shared" si="27"/>
        <v>218-901</v>
      </c>
      <c r="C865" s="2042" t="s">
        <v>2423</v>
      </c>
      <c r="D865" s="2042" t="s">
        <v>9284</v>
      </c>
      <c r="E865" s="105">
        <v>0.87709999999999999</v>
      </c>
      <c r="F865" s="105">
        <v>0.87709999999999999</v>
      </c>
      <c r="G865" s="2042">
        <v>0.93710000000000004</v>
      </c>
      <c r="H865" s="105">
        <f t="shared" si="26"/>
        <v>6.0000000000000053E-2</v>
      </c>
    </row>
    <row r="866" spans="1:8" ht="14.5">
      <c r="A866" s="41">
        <v>219901</v>
      </c>
      <c r="B866" s="380" t="str">
        <f t="shared" si="27"/>
        <v>219-901</v>
      </c>
      <c r="C866" s="2042" t="s">
        <v>2424</v>
      </c>
      <c r="D866" s="2042" t="s">
        <v>9284</v>
      </c>
      <c r="E866" s="105">
        <v>0.86810000000000009</v>
      </c>
      <c r="F866" s="105">
        <v>0.86810000000000009</v>
      </c>
      <c r="G866" s="2042">
        <v>0.91810000000000003</v>
      </c>
      <c r="H866" s="105">
        <f t="shared" si="26"/>
        <v>4.9999999999999933E-2</v>
      </c>
    </row>
    <row r="867" spans="1:8" ht="14.5">
      <c r="A867" s="41">
        <v>219903</v>
      </c>
      <c r="B867" s="380" t="str">
        <f t="shared" si="27"/>
        <v>219-903</v>
      </c>
      <c r="C867" s="2042" t="s">
        <v>2425</v>
      </c>
      <c r="D867" s="2042" t="s">
        <v>9284</v>
      </c>
      <c r="E867" s="105">
        <v>0.90720000000000001</v>
      </c>
      <c r="F867" s="105">
        <v>0.90720000000000001</v>
      </c>
      <c r="G867" s="2042">
        <v>1.0390000000000001</v>
      </c>
      <c r="H867" s="105">
        <f t="shared" si="26"/>
        <v>0.13180000000000014</v>
      </c>
    </row>
    <row r="868" spans="1:8" ht="14.5">
      <c r="A868" s="727">
        <v>219905</v>
      </c>
      <c r="B868" s="1683" t="str">
        <f t="shared" si="27"/>
        <v>219-905</v>
      </c>
      <c r="C868" s="629" t="s">
        <v>2426</v>
      </c>
      <c r="D868" s="629" t="s">
        <v>9284</v>
      </c>
      <c r="E868" s="105">
        <v>0.91339999999999999</v>
      </c>
      <c r="F868" s="105">
        <v>0.91639999999999999</v>
      </c>
      <c r="G868" s="2042">
        <v>1.0547</v>
      </c>
      <c r="H868" s="105">
        <f t="shared" si="26"/>
        <v>0.13829999999999998</v>
      </c>
    </row>
    <row r="869" spans="1:8" ht="14.5">
      <c r="A869" s="41">
        <v>220901</v>
      </c>
      <c r="B869" s="380" t="str">
        <f t="shared" si="27"/>
        <v>220-901</v>
      </c>
      <c r="C869" s="2042" t="s">
        <v>2283</v>
      </c>
      <c r="D869" s="2042" t="s">
        <v>9284</v>
      </c>
      <c r="E869" s="105">
        <v>0.8901</v>
      </c>
      <c r="F869" s="105">
        <v>0.8901</v>
      </c>
      <c r="G869" s="2042">
        <v>1.0601</v>
      </c>
      <c r="H869" s="105">
        <f t="shared" si="26"/>
        <v>0.17000000000000004</v>
      </c>
    </row>
    <row r="870" spans="1:8" ht="14.5">
      <c r="A870" s="41">
        <v>220902</v>
      </c>
      <c r="B870" s="380" t="str">
        <f t="shared" si="27"/>
        <v>220-902</v>
      </c>
      <c r="C870" s="2042" t="s">
        <v>752</v>
      </c>
      <c r="D870" s="2042" t="s">
        <v>9284</v>
      </c>
      <c r="E870" s="105">
        <v>0.87409999999999999</v>
      </c>
      <c r="F870" s="105">
        <v>0.87409999999999999</v>
      </c>
      <c r="G870" s="2042">
        <v>0.92410000000000003</v>
      </c>
      <c r="H870" s="105">
        <f t="shared" si="26"/>
        <v>5.0000000000000044E-2</v>
      </c>
    </row>
    <row r="871" spans="1:8" ht="14.5">
      <c r="A871" s="41">
        <v>220904</v>
      </c>
      <c r="B871" s="380" t="str">
        <f t="shared" si="27"/>
        <v>220-904</v>
      </c>
      <c r="C871" s="2042" t="s">
        <v>2427</v>
      </c>
      <c r="D871" s="2042" t="s">
        <v>9284</v>
      </c>
      <c r="E871" s="105">
        <v>0.85530000000000006</v>
      </c>
      <c r="F871" s="105">
        <v>0.85530000000000006</v>
      </c>
      <c r="G871" s="2042">
        <v>1.0027000000000001</v>
      </c>
      <c r="H871" s="105">
        <f t="shared" si="26"/>
        <v>0.14740000000000009</v>
      </c>
    </row>
    <row r="872" spans="1:8" ht="14.5">
      <c r="A872" s="41">
        <v>220905</v>
      </c>
      <c r="B872" s="380" t="str">
        <f t="shared" si="27"/>
        <v>220-905</v>
      </c>
      <c r="C872" s="2042" t="s">
        <v>1203</v>
      </c>
      <c r="D872" s="2042" t="s">
        <v>9284</v>
      </c>
      <c r="E872" s="105">
        <v>0.88120000000000009</v>
      </c>
      <c r="F872" s="105">
        <v>0.88120000000000009</v>
      </c>
      <c r="G872" s="2042">
        <v>1.0512000000000001</v>
      </c>
      <c r="H872" s="105">
        <f t="shared" si="26"/>
        <v>0.17000000000000004</v>
      </c>
    </row>
    <row r="873" spans="1:8" ht="14.5">
      <c r="A873" s="41">
        <v>220906</v>
      </c>
      <c r="B873" s="380" t="str">
        <f t="shared" si="27"/>
        <v>220-906</v>
      </c>
      <c r="C873" s="2042" t="s">
        <v>1204</v>
      </c>
      <c r="D873" s="2042" t="s">
        <v>9284</v>
      </c>
      <c r="E873" s="105">
        <v>0.91339999999999999</v>
      </c>
      <c r="F873" s="105">
        <v>0.91339999999999999</v>
      </c>
      <c r="G873" s="2042">
        <v>0.95340000000000003</v>
      </c>
      <c r="H873" s="105">
        <f t="shared" si="26"/>
        <v>4.0000000000000036E-2</v>
      </c>
    </row>
    <row r="874" spans="1:8" ht="14.5">
      <c r="A874" s="41">
        <v>220907</v>
      </c>
      <c r="B874" s="380" t="str">
        <f t="shared" si="27"/>
        <v>220-907</v>
      </c>
      <c r="C874" s="2042" t="s">
        <v>390</v>
      </c>
      <c r="D874" s="2042" t="s">
        <v>9284</v>
      </c>
      <c r="E874" s="105">
        <v>0.86570000000000003</v>
      </c>
      <c r="F874" s="105">
        <v>0.86570000000000003</v>
      </c>
      <c r="G874" s="2042">
        <v>1.004</v>
      </c>
      <c r="H874" s="105">
        <f t="shared" si="26"/>
        <v>0.13829999999999998</v>
      </c>
    </row>
    <row r="875" spans="1:8" ht="14.5">
      <c r="A875" s="41">
        <v>220908</v>
      </c>
      <c r="B875" s="380" t="str">
        <f t="shared" si="27"/>
        <v>220-908</v>
      </c>
      <c r="C875" s="2042" t="s">
        <v>275</v>
      </c>
      <c r="D875" s="2042" t="s">
        <v>9284</v>
      </c>
      <c r="E875" s="105">
        <v>0.88830000000000009</v>
      </c>
      <c r="F875" s="105">
        <v>0.88830000000000009</v>
      </c>
      <c r="G875" s="2042">
        <v>1.0583</v>
      </c>
      <c r="H875" s="105">
        <f t="shared" si="26"/>
        <v>0.16999999999999993</v>
      </c>
    </row>
    <row r="876" spans="1:8" ht="14.5">
      <c r="A876" s="41">
        <v>220910</v>
      </c>
      <c r="B876" s="380" t="str">
        <f t="shared" si="27"/>
        <v>220-910</v>
      </c>
      <c r="C876" s="2042" t="s">
        <v>2177</v>
      </c>
      <c r="D876" s="2042" t="s">
        <v>9284</v>
      </c>
      <c r="E876" s="105">
        <v>0.88080000000000003</v>
      </c>
      <c r="F876" s="105">
        <v>0.88080000000000003</v>
      </c>
      <c r="G876" s="2042">
        <v>1.0191000000000001</v>
      </c>
      <c r="H876" s="105">
        <f t="shared" si="26"/>
        <v>0.13830000000000009</v>
      </c>
    </row>
    <row r="877" spans="1:8" ht="14.5">
      <c r="A877" s="41">
        <v>220912</v>
      </c>
      <c r="B877" s="380" t="str">
        <f t="shared" si="27"/>
        <v>220-912</v>
      </c>
      <c r="C877" s="2042" t="s">
        <v>397</v>
      </c>
      <c r="D877" s="2042" t="s">
        <v>9284</v>
      </c>
      <c r="E877" s="105">
        <v>0.8458</v>
      </c>
      <c r="F877" s="105">
        <v>0.8458</v>
      </c>
      <c r="G877" s="2042">
        <v>0.98410000000000009</v>
      </c>
      <c r="H877" s="105">
        <f t="shared" si="26"/>
        <v>0.13830000000000009</v>
      </c>
    </row>
    <row r="878" spans="1:8" ht="14.5">
      <c r="A878" s="41">
        <v>220914</v>
      </c>
      <c r="B878" s="380" t="str">
        <f t="shared" si="27"/>
        <v>220-914</v>
      </c>
      <c r="C878" s="2042" t="s">
        <v>2376</v>
      </c>
      <c r="D878" s="2042" t="s">
        <v>9284</v>
      </c>
      <c r="E878" s="105">
        <v>0.87909999999999999</v>
      </c>
      <c r="F878" s="105">
        <v>0.87909999999999999</v>
      </c>
      <c r="G878" s="2042">
        <v>1.0174000000000001</v>
      </c>
      <c r="H878" s="105">
        <f t="shared" si="26"/>
        <v>0.13830000000000009</v>
      </c>
    </row>
    <row r="879" spans="1:8" ht="14.5">
      <c r="A879" s="41">
        <v>220915</v>
      </c>
      <c r="B879" s="380" t="str">
        <f t="shared" si="27"/>
        <v>220-915</v>
      </c>
      <c r="C879" s="2042" t="s">
        <v>2000</v>
      </c>
      <c r="D879" s="2042" t="s">
        <v>9284</v>
      </c>
      <c r="E879" s="105">
        <v>0.84020000000000006</v>
      </c>
      <c r="F879" s="105">
        <v>0.84020000000000006</v>
      </c>
      <c r="G879" s="2042">
        <v>0.97200000000000009</v>
      </c>
      <c r="H879" s="105">
        <f t="shared" si="26"/>
        <v>0.13180000000000003</v>
      </c>
    </row>
    <row r="880" spans="1:8" ht="14.5">
      <c r="A880" s="41">
        <v>220916</v>
      </c>
      <c r="B880" s="380" t="str">
        <f t="shared" si="27"/>
        <v>220-916</v>
      </c>
      <c r="C880" s="2042" t="s">
        <v>1193</v>
      </c>
      <c r="D880" s="2042" t="s">
        <v>9284</v>
      </c>
      <c r="E880" s="105">
        <v>0.87520000000000009</v>
      </c>
      <c r="F880" s="105">
        <v>0.87520000000000009</v>
      </c>
      <c r="G880" s="2042">
        <v>0.92520000000000002</v>
      </c>
      <c r="H880" s="105">
        <f t="shared" si="26"/>
        <v>4.9999999999999933E-2</v>
      </c>
    </row>
    <row r="881" spans="1:8" ht="14.5">
      <c r="A881" s="41">
        <v>220917</v>
      </c>
      <c r="B881" s="380" t="str">
        <f t="shared" si="27"/>
        <v>220-917</v>
      </c>
      <c r="C881" s="2042" t="s">
        <v>616</v>
      </c>
      <c r="D881" s="2042" t="s">
        <v>9284</v>
      </c>
      <c r="E881" s="105">
        <v>0.82200000000000006</v>
      </c>
      <c r="F881" s="105">
        <v>0.82200000000000006</v>
      </c>
      <c r="G881" s="2042">
        <v>0.95200000000000007</v>
      </c>
      <c r="H881" s="105">
        <f t="shared" si="26"/>
        <v>0.13</v>
      </c>
    </row>
    <row r="882" spans="1:8" ht="14.5">
      <c r="A882" s="41">
        <v>220918</v>
      </c>
      <c r="B882" s="380" t="str">
        <f t="shared" si="27"/>
        <v>220-918</v>
      </c>
      <c r="C882" s="2042" t="s">
        <v>1205</v>
      </c>
      <c r="D882" s="2042" t="s">
        <v>9284</v>
      </c>
      <c r="E882" s="105">
        <v>0.82750000000000001</v>
      </c>
      <c r="F882" s="105">
        <v>0.82750000000000001</v>
      </c>
      <c r="G882" s="2042">
        <v>0.95750000000000002</v>
      </c>
      <c r="H882" s="105">
        <f t="shared" si="26"/>
        <v>0.13</v>
      </c>
    </row>
    <row r="883" spans="1:8" ht="14.5">
      <c r="A883" s="41">
        <v>220919</v>
      </c>
      <c r="B883" s="380" t="str">
        <f t="shared" si="27"/>
        <v>220-919</v>
      </c>
      <c r="C883" s="2042" t="s">
        <v>615</v>
      </c>
      <c r="D883" s="2042" t="s">
        <v>9284</v>
      </c>
      <c r="E883" s="105">
        <v>0.88860000000000006</v>
      </c>
      <c r="F883" s="105">
        <v>0.88860000000000006</v>
      </c>
      <c r="G883" s="2042">
        <v>0.93859999999999999</v>
      </c>
      <c r="H883" s="105">
        <f t="shared" si="26"/>
        <v>4.9999999999999933E-2</v>
      </c>
    </row>
    <row r="884" spans="1:8" ht="14.5">
      <c r="A884" s="41">
        <v>220920</v>
      </c>
      <c r="B884" s="380" t="str">
        <f t="shared" si="27"/>
        <v>220-920</v>
      </c>
      <c r="C884" s="2042" t="s">
        <v>1257</v>
      </c>
      <c r="D884" s="2042" t="s">
        <v>9284</v>
      </c>
      <c r="E884" s="105">
        <v>0.85030000000000006</v>
      </c>
      <c r="F884" s="105">
        <v>0.85030000000000006</v>
      </c>
      <c r="G884" s="2042">
        <v>0.98030000000000006</v>
      </c>
      <c r="H884" s="105">
        <f t="shared" si="26"/>
        <v>0.13</v>
      </c>
    </row>
    <row r="885" spans="1:8" ht="14.5">
      <c r="A885" s="41">
        <v>221901</v>
      </c>
      <c r="B885" s="380" t="str">
        <f t="shared" si="27"/>
        <v>221-901</v>
      </c>
      <c r="C885" s="2042" t="s">
        <v>1206</v>
      </c>
      <c r="D885" s="2042" t="s">
        <v>9284</v>
      </c>
      <c r="E885" s="105">
        <v>0.87490000000000001</v>
      </c>
      <c r="F885" s="105">
        <v>0.87490000000000001</v>
      </c>
      <c r="G885" s="2042">
        <v>0.92490000000000006</v>
      </c>
      <c r="H885" s="105">
        <f t="shared" si="26"/>
        <v>5.0000000000000044E-2</v>
      </c>
    </row>
    <row r="886" spans="1:8" ht="14.5">
      <c r="A886" s="41">
        <v>221904</v>
      </c>
      <c r="B886" s="380" t="str">
        <f t="shared" si="27"/>
        <v>221-904</v>
      </c>
      <c r="C886" s="2042" t="s">
        <v>1207</v>
      </c>
      <c r="D886" s="2042" t="s">
        <v>9284</v>
      </c>
      <c r="E886" s="105">
        <v>0.90870000000000006</v>
      </c>
      <c r="F886" s="105">
        <v>0.90870000000000006</v>
      </c>
      <c r="G886" s="2042">
        <v>0.9587</v>
      </c>
      <c r="H886" s="105">
        <f t="shared" si="26"/>
        <v>4.9999999999999933E-2</v>
      </c>
    </row>
    <row r="887" spans="1:8" ht="14.5">
      <c r="A887" s="41">
        <v>221905</v>
      </c>
      <c r="B887" s="380" t="str">
        <f t="shared" si="27"/>
        <v>221-905</v>
      </c>
      <c r="C887" s="2042" t="s">
        <v>1208</v>
      </c>
      <c r="D887" s="2042" t="s">
        <v>9284</v>
      </c>
      <c r="E887" s="105">
        <v>0.91339999999999999</v>
      </c>
      <c r="F887" s="105">
        <v>0.91339999999999999</v>
      </c>
      <c r="G887" s="2042">
        <v>1.0517000000000001</v>
      </c>
      <c r="H887" s="105">
        <f t="shared" si="26"/>
        <v>0.13830000000000009</v>
      </c>
    </row>
    <row r="888" spans="1:8" ht="14.5">
      <c r="A888" s="41">
        <v>221911</v>
      </c>
      <c r="B888" s="380" t="str">
        <f t="shared" si="27"/>
        <v>221-911</v>
      </c>
      <c r="C888" s="2042" t="s">
        <v>2210</v>
      </c>
      <c r="D888" s="2042" t="s">
        <v>9284</v>
      </c>
      <c r="E888" s="105">
        <v>0.85360000000000003</v>
      </c>
      <c r="F888" s="105">
        <v>0.85360000000000003</v>
      </c>
      <c r="G888" s="2042">
        <v>0.90360000000000007</v>
      </c>
      <c r="H888" s="105">
        <f t="shared" si="26"/>
        <v>5.0000000000000044E-2</v>
      </c>
    </row>
    <row r="889" spans="1:8" ht="14.5">
      <c r="A889" s="41">
        <v>221912</v>
      </c>
      <c r="B889" s="380" t="str">
        <f t="shared" si="27"/>
        <v>221-912</v>
      </c>
      <c r="C889" s="2042" t="s">
        <v>1065</v>
      </c>
      <c r="D889" s="2042" t="s">
        <v>9284</v>
      </c>
      <c r="E889" s="105">
        <v>0.8831</v>
      </c>
      <c r="F889" s="105">
        <v>0.8831</v>
      </c>
      <c r="G889" s="2042">
        <v>0.93310000000000004</v>
      </c>
      <c r="H889" s="105">
        <f t="shared" si="26"/>
        <v>5.0000000000000044E-2</v>
      </c>
    </row>
    <row r="890" spans="1:8" ht="14.5">
      <c r="A890" s="41">
        <v>222901</v>
      </c>
      <c r="B890" s="380" t="str">
        <f t="shared" si="27"/>
        <v>222-901</v>
      </c>
      <c r="C890" s="2042" t="s">
        <v>1210</v>
      </c>
      <c r="D890" s="2042" t="s">
        <v>9284</v>
      </c>
      <c r="E890" s="105">
        <v>0.90700000000000003</v>
      </c>
      <c r="F890" s="105">
        <v>0.90700000000000003</v>
      </c>
      <c r="G890" s="2042">
        <v>0.95700000000000007</v>
      </c>
      <c r="H890" s="105">
        <f t="shared" si="26"/>
        <v>5.0000000000000044E-2</v>
      </c>
    </row>
    <row r="891" spans="1:8" ht="14.5">
      <c r="A891" s="41">
        <v>223901</v>
      </c>
      <c r="B891" s="380" t="str">
        <f t="shared" si="27"/>
        <v>223-901</v>
      </c>
      <c r="C891" s="2042" t="s">
        <v>288</v>
      </c>
      <c r="D891" s="2042" t="s">
        <v>9284</v>
      </c>
      <c r="E891" s="105">
        <v>0.91339999999999999</v>
      </c>
      <c r="F891" s="105">
        <v>0.91339999999999999</v>
      </c>
      <c r="G891" s="2042">
        <v>1.0517000000000001</v>
      </c>
      <c r="H891" s="105">
        <f t="shared" si="26"/>
        <v>0.13830000000000009</v>
      </c>
    </row>
    <row r="892" spans="1:8" ht="14.5">
      <c r="A892" s="41">
        <v>223902</v>
      </c>
      <c r="B892" s="380" t="str">
        <f t="shared" si="27"/>
        <v>223-902</v>
      </c>
      <c r="C892" s="2042" t="s">
        <v>776</v>
      </c>
      <c r="D892" s="2042" t="s">
        <v>9284</v>
      </c>
      <c r="E892" s="105">
        <v>0.91339999999999999</v>
      </c>
      <c r="F892" s="105">
        <v>0.91339999999999999</v>
      </c>
      <c r="G892" s="2042">
        <v>1.0387</v>
      </c>
      <c r="H892" s="105">
        <f t="shared" si="26"/>
        <v>0.12529999999999997</v>
      </c>
    </row>
    <row r="893" spans="1:8" ht="14.5">
      <c r="A893" s="41">
        <v>223904</v>
      </c>
      <c r="B893" s="380" t="str">
        <f t="shared" si="27"/>
        <v>223-904</v>
      </c>
      <c r="C893" s="2042" t="s">
        <v>2211</v>
      </c>
      <c r="D893" s="2042" t="s">
        <v>9284</v>
      </c>
      <c r="E893" s="105">
        <v>0.91339999999999999</v>
      </c>
      <c r="F893" s="105">
        <v>0.91339999999999999</v>
      </c>
      <c r="G893" s="2042">
        <v>0.99150000000000005</v>
      </c>
      <c r="H893" s="105">
        <f t="shared" si="26"/>
        <v>7.8100000000000058E-2</v>
      </c>
    </row>
    <row r="894" spans="1:8" ht="14.5">
      <c r="A894" s="41">
        <v>224901</v>
      </c>
      <c r="B894" s="380" t="str">
        <f t="shared" si="27"/>
        <v>224-901</v>
      </c>
      <c r="C894" s="2042" t="s">
        <v>599</v>
      </c>
      <c r="D894" s="2042" t="s">
        <v>9284</v>
      </c>
      <c r="E894" s="105">
        <v>0.85720000000000007</v>
      </c>
      <c r="F894" s="105">
        <v>0.85720000000000007</v>
      </c>
      <c r="G894" s="2042">
        <v>0.99550000000000005</v>
      </c>
      <c r="H894" s="105">
        <f t="shared" si="26"/>
        <v>0.13829999999999998</v>
      </c>
    </row>
    <row r="895" spans="1:8" ht="14.5">
      <c r="A895" s="41">
        <v>224902</v>
      </c>
      <c r="B895" s="380" t="str">
        <f t="shared" si="27"/>
        <v>224-902</v>
      </c>
      <c r="C895" s="2042" t="s">
        <v>600</v>
      </c>
      <c r="D895" s="2042" t="s">
        <v>9284</v>
      </c>
      <c r="E895" s="105">
        <v>0.91339999999999999</v>
      </c>
      <c r="F895" s="105">
        <v>0.91339999999999999</v>
      </c>
      <c r="G895" s="2042">
        <v>1.0517000000000001</v>
      </c>
      <c r="H895" s="105">
        <f t="shared" si="26"/>
        <v>0.13830000000000009</v>
      </c>
    </row>
    <row r="896" spans="1:8" ht="14.5">
      <c r="A896" s="41">
        <v>225902</v>
      </c>
      <c r="B896" s="380" t="str">
        <f t="shared" si="27"/>
        <v>225-902</v>
      </c>
      <c r="C896" s="2042" t="s">
        <v>601</v>
      </c>
      <c r="D896" s="2042" t="s">
        <v>9284</v>
      </c>
      <c r="E896" s="105">
        <v>0.89700000000000002</v>
      </c>
      <c r="F896" s="105">
        <v>0.89700000000000002</v>
      </c>
      <c r="G896" s="2042">
        <v>0.94700000000000006</v>
      </c>
      <c r="H896" s="105">
        <f t="shared" si="26"/>
        <v>5.0000000000000044E-2</v>
      </c>
    </row>
    <row r="897" spans="1:8" ht="14.5">
      <c r="A897" s="41">
        <v>225906</v>
      </c>
      <c r="B897" s="380" t="str">
        <f t="shared" si="27"/>
        <v>225-906</v>
      </c>
      <c r="C897" s="2042" t="s">
        <v>619</v>
      </c>
      <c r="D897" s="2042" t="s">
        <v>9284</v>
      </c>
      <c r="E897" s="105">
        <v>0.82250000000000001</v>
      </c>
      <c r="F897" s="105">
        <v>0.82250000000000001</v>
      </c>
      <c r="G897" s="2042">
        <v>0.9447000000000001</v>
      </c>
      <c r="H897" s="105">
        <f t="shared" si="26"/>
        <v>0.12220000000000009</v>
      </c>
    </row>
    <row r="898" spans="1:8" ht="14.5">
      <c r="A898" s="41">
        <v>225907</v>
      </c>
      <c r="B898" s="380" t="str">
        <f t="shared" si="27"/>
        <v>225-907</v>
      </c>
      <c r="C898" s="2042" t="s">
        <v>1572</v>
      </c>
      <c r="D898" s="2042" t="s">
        <v>9284</v>
      </c>
      <c r="E898" s="105">
        <v>0.83640000000000003</v>
      </c>
      <c r="F898" s="105">
        <v>0.83640000000000003</v>
      </c>
      <c r="G898" s="2042">
        <v>0.88640000000000008</v>
      </c>
      <c r="H898" s="105">
        <f t="shared" si="26"/>
        <v>5.0000000000000044E-2</v>
      </c>
    </row>
    <row r="899" spans="1:8" ht="14.5">
      <c r="A899" s="41">
        <v>226901</v>
      </c>
      <c r="B899" s="380" t="str">
        <f t="shared" si="27"/>
        <v>226-901</v>
      </c>
      <c r="C899" s="2042" t="s">
        <v>1799</v>
      </c>
      <c r="D899" s="2042" t="s">
        <v>9284</v>
      </c>
      <c r="E899" s="105">
        <v>0.82200000000000006</v>
      </c>
      <c r="F899" s="105">
        <v>0.82200000000000006</v>
      </c>
      <c r="G899" s="2042">
        <v>0.96030000000000004</v>
      </c>
      <c r="H899" s="105">
        <f t="shared" ref="H899:H962" si="28">G899-F899</f>
        <v>0.13829999999999998</v>
      </c>
    </row>
    <row r="900" spans="1:8" ht="14.5">
      <c r="A900" s="41">
        <v>226903</v>
      </c>
      <c r="B900" s="380" t="str">
        <f t="shared" si="27"/>
        <v>226-903</v>
      </c>
      <c r="C900" s="2042" t="s">
        <v>1914</v>
      </c>
      <c r="D900" s="2042" t="s">
        <v>9284</v>
      </c>
      <c r="E900" s="105">
        <v>0.9114000000000001</v>
      </c>
      <c r="F900" s="105">
        <v>0.9114000000000001</v>
      </c>
      <c r="G900" s="2042">
        <v>0.96140000000000003</v>
      </c>
      <c r="H900" s="105">
        <f t="shared" si="28"/>
        <v>4.9999999999999933E-2</v>
      </c>
    </row>
    <row r="901" spans="1:8" ht="14.5">
      <c r="A901" s="41">
        <v>226905</v>
      </c>
      <c r="B901" s="380" t="str">
        <f t="shared" si="27"/>
        <v>226-905</v>
      </c>
      <c r="C901" s="2042" t="s">
        <v>1800</v>
      </c>
      <c r="D901" s="2042" t="s">
        <v>9284</v>
      </c>
      <c r="E901" s="105">
        <v>0.82469999999999999</v>
      </c>
      <c r="F901" s="105">
        <v>0.82469999999999999</v>
      </c>
      <c r="G901" s="2042">
        <v>0.96300000000000008</v>
      </c>
      <c r="H901" s="105">
        <f t="shared" si="28"/>
        <v>0.13830000000000009</v>
      </c>
    </row>
    <row r="902" spans="1:8" ht="14.5">
      <c r="A902" s="727">
        <v>226906</v>
      </c>
      <c r="B902" s="1683" t="str">
        <f t="shared" si="27"/>
        <v>226-906</v>
      </c>
      <c r="C902" s="629" t="s">
        <v>128</v>
      </c>
      <c r="D902" s="629" t="s">
        <v>9284</v>
      </c>
      <c r="E902" s="105">
        <v>0.871</v>
      </c>
      <c r="F902" s="105">
        <v>0.87240000000000006</v>
      </c>
      <c r="G902" s="2042">
        <v>0.9224</v>
      </c>
      <c r="H902" s="105">
        <f t="shared" si="28"/>
        <v>4.9999999999999933E-2</v>
      </c>
    </row>
    <row r="903" spans="1:8" ht="14.5">
      <c r="A903" s="41">
        <v>226907</v>
      </c>
      <c r="B903" s="380" t="str">
        <f t="shared" si="27"/>
        <v>226-907</v>
      </c>
      <c r="C903" s="2042" t="s">
        <v>1635</v>
      </c>
      <c r="D903" s="2042" t="s">
        <v>9284</v>
      </c>
      <c r="E903" s="105">
        <v>0.84240000000000004</v>
      </c>
      <c r="F903" s="105">
        <v>0.84240000000000004</v>
      </c>
      <c r="G903" s="2042">
        <v>0.98070000000000002</v>
      </c>
      <c r="H903" s="105">
        <f t="shared" si="28"/>
        <v>0.13829999999999998</v>
      </c>
    </row>
    <row r="904" spans="1:8" ht="14.5">
      <c r="A904" s="41">
        <v>226908</v>
      </c>
      <c r="B904" s="380" t="str">
        <f t="shared" si="27"/>
        <v>226-908</v>
      </c>
      <c r="C904" s="2042" t="s">
        <v>2500</v>
      </c>
      <c r="D904" s="2042" t="s">
        <v>9284</v>
      </c>
      <c r="E904" s="105">
        <v>0.91280000000000006</v>
      </c>
      <c r="F904" s="105">
        <v>0.91280000000000006</v>
      </c>
      <c r="G904" s="2042">
        <v>1.0511000000000001</v>
      </c>
      <c r="H904" s="105">
        <f t="shared" si="28"/>
        <v>0.13830000000000009</v>
      </c>
    </row>
    <row r="905" spans="1:8" ht="14.5">
      <c r="A905" s="41">
        <v>227901</v>
      </c>
      <c r="B905" s="380" t="str">
        <f t="shared" si="27"/>
        <v>227-901</v>
      </c>
      <c r="C905" s="2042" t="s">
        <v>1801</v>
      </c>
      <c r="D905" s="2042" t="s">
        <v>9284</v>
      </c>
      <c r="E905" s="105">
        <v>0.86970000000000003</v>
      </c>
      <c r="F905" s="105">
        <v>0.86970000000000003</v>
      </c>
      <c r="G905" s="2042">
        <v>0.9487000000000001</v>
      </c>
      <c r="H905" s="105">
        <f t="shared" si="28"/>
        <v>7.900000000000007E-2</v>
      </c>
    </row>
    <row r="906" spans="1:8" ht="14.5">
      <c r="A906" s="41">
        <v>227904</v>
      </c>
      <c r="B906" s="380" t="str">
        <f t="shared" si="27"/>
        <v>227-904</v>
      </c>
      <c r="C906" s="2042" t="s">
        <v>944</v>
      </c>
      <c r="D906" s="2042" t="s">
        <v>9284</v>
      </c>
      <c r="E906" s="105">
        <v>0.86799999999999999</v>
      </c>
      <c r="F906" s="105">
        <v>0.86799999999999999</v>
      </c>
      <c r="G906" s="2042">
        <v>0.92800000000000005</v>
      </c>
      <c r="H906" s="105">
        <f t="shared" si="28"/>
        <v>6.0000000000000053E-2</v>
      </c>
    </row>
    <row r="907" spans="1:8" ht="14.5">
      <c r="A907" s="41">
        <v>227907</v>
      </c>
      <c r="B907" s="380" t="str">
        <f t="shared" si="27"/>
        <v>227-907</v>
      </c>
      <c r="C907" s="2042" t="s">
        <v>1802</v>
      </c>
      <c r="D907" s="2042" t="s">
        <v>9284</v>
      </c>
      <c r="E907" s="105">
        <v>0.82200000000000006</v>
      </c>
      <c r="F907" s="105">
        <v>0.82200000000000006</v>
      </c>
      <c r="G907" s="2042">
        <v>0.872</v>
      </c>
      <c r="H907" s="105">
        <f t="shared" si="28"/>
        <v>4.9999999999999933E-2</v>
      </c>
    </row>
    <row r="908" spans="1:8" ht="14.5">
      <c r="A908" s="41">
        <v>227909</v>
      </c>
      <c r="B908" s="380" t="str">
        <f t="shared" si="27"/>
        <v>227-909</v>
      </c>
      <c r="C908" s="2042" t="s">
        <v>1803</v>
      </c>
      <c r="D908" s="2042" t="s">
        <v>9284</v>
      </c>
      <c r="E908" s="105">
        <v>0.86080000000000001</v>
      </c>
      <c r="F908" s="105">
        <v>0.86080000000000001</v>
      </c>
      <c r="G908" s="2042">
        <v>0.94080000000000008</v>
      </c>
      <c r="H908" s="105">
        <f t="shared" si="28"/>
        <v>8.0000000000000071E-2</v>
      </c>
    </row>
    <row r="909" spans="1:8" ht="14.5">
      <c r="A909" s="41">
        <v>227910</v>
      </c>
      <c r="B909" s="380" t="str">
        <f t="shared" ref="B909:B973" si="29">CONCATENATE(LEFT(RIGHT(CONCATENATE("000",A909),6),3),"-",(RIGHT(RIGHT(CONCATENATE("000",A909),6),3)))</f>
        <v>227-910</v>
      </c>
      <c r="C909" s="2042" t="s">
        <v>2520</v>
      </c>
      <c r="D909" s="2042" t="s">
        <v>9284</v>
      </c>
      <c r="E909" s="105">
        <v>0.82200000000000006</v>
      </c>
      <c r="F909" s="105">
        <v>0.82200000000000006</v>
      </c>
      <c r="G909" s="2042">
        <v>0.872</v>
      </c>
      <c r="H909" s="105">
        <f t="shared" si="28"/>
        <v>4.9999999999999933E-2</v>
      </c>
    </row>
    <row r="910" spans="1:8" ht="14.5">
      <c r="A910" s="41">
        <v>227912</v>
      </c>
      <c r="B910" s="380" t="str">
        <f t="shared" si="29"/>
        <v>227-912</v>
      </c>
      <c r="C910" s="2042" t="s">
        <v>1804</v>
      </c>
      <c r="D910" s="2042" t="s">
        <v>9284</v>
      </c>
      <c r="E910" s="105">
        <v>0.82200000000000006</v>
      </c>
      <c r="F910" s="105">
        <v>0.82200000000000006</v>
      </c>
      <c r="G910" s="2042">
        <v>0.88200000000000001</v>
      </c>
      <c r="H910" s="105">
        <f t="shared" si="28"/>
        <v>5.9999999999999942E-2</v>
      </c>
    </row>
    <row r="911" spans="1:8" ht="14.5">
      <c r="A911" s="41">
        <v>227913</v>
      </c>
      <c r="B911" s="380" t="str">
        <f t="shared" si="29"/>
        <v>227-913</v>
      </c>
      <c r="C911" s="2042" t="s">
        <v>1805</v>
      </c>
      <c r="D911" s="2042" t="s">
        <v>9284</v>
      </c>
      <c r="E911" s="105">
        <v>0.8226</v>
      </c>
      <c r="F911" s="105">
        <v>0.8226</v>
      </c>
      <c r="G911" s="2042">
        <v>0.90260000000000007</v>
      </c>
      <c r="H911" s="105">
        <f t="shared" si="28"/>
        <v>8.0000000000000071E-2</v>
      </c>
    </row>
    <row r="912" spans="1:8" ht="14.5">
      <c r="A912" s="41">
        <v>228901</v>
      </c>
      <c r="B912" s="380" t="str">
        <f t="shared" si="29"/>
        <v>228-901</v>
      </c>
      <c r="C912" s="2042" t="s">
        <v>1806</v>
      </c>
      <c r="D912" s="2042" t="s">
        <v>9284</v>
      </c>
      <c r="E912" s="105">
        <v>0.85410000000000008</v>
      </c>
      <c r="F912" s="105">
        <v>0.85410000000000008</v>
      </c>
      <c r="G912" s="2042">
        <v>0.90410000000000001</v>
      </c>
      <c r="H912" s="105">
        <f t="shared" si="28"/>
        <v>4.9999999999999933E-2</v>
      </c>
    </row>
    <row r="913" spans="1:8" ht="14.5">
      <c r="A913" s="41">
        <v>228903</v>
      </c>
      <c r="B913" s="380" t="str">
        <f t="shared" si="29"/>
        <v>228-903</v>
      </c>
      <c r="C913" s="2042" t="s">
        <v>1807</v>
      </c>
      <c r="D913" s="2042" t="s">
        <v>9284</v>
      </c>
      <c r="E913" s="105">
        <v>0.90770000000000006</v>
      </c>
      <c r="F913" s="105">
        <v>0.90770000000000006</v>
      </c>
      <c r="G913" s="2042">
        <v>0.97500000000000009</v>
      </c>
      <c r="H913" s="105">
        <f t="shared" si="28"/>
        <v>6.7300000000000026E-2</v>
      </c>
    </row>
    <row r="914" spans="1:8" ht="14.5">
      <c r="A914" s="41">
        <v>228904</v>
      </c>
      <c r="B914" s="380" t="str">
        <f t="shared" si="29"/>
        <v>228-904</v>
      </c>
      <c r="C914" s="2042" t="s">
        <v>1721</v>
      </c>
      <c r="D914" s="2042" t="s">
        <v>9284</v>
      </c>
      <c r="E914" s="105">
        <v>0.84740000000000004</v>
      </c>
      <c r="F914" s="105">
        <v>0.84740000000000004</v>
      </c>
      <c r="G914" s="2042">
        <v>0.98570000000000002</v>
      </c>
      <c r="H914" s="105">
        <f t="shared" si="28"/>
        <v>0.13829999999999998</v>
      </c>
    </row>
    <row r="915" spans="1:8" ht="14.5">
      <c r="A915" s="41">
        <v>228905</v>
      </c>
      <c r="B915" s="380" t="str">
        <f t="shared" si="29"/>
        <v>228-905</v>
      </c>
      <c r="C915" s="2042" t="s">
        <v>1808</v>
      </c>
      <c r="D915" s="2042" t="s">
        <v>9284</v>
      </c>
      <c r="E915" s="105">
        <v>0.87590000000000001</v>
      </c>
      <c r="F915" s="105">
        <v>0.87590000000000001</v>
      </c>
      <c r="G915" s="2042">
        <v>0.92590000000000006</v>
      </c>
      <c r="H915" s="105">
        <f t="shared" si="28"/>
        <v>5.0000000000000044E-2</v>
      </c>
    </row>
    <row r="916" spans="1:8" ht="14.5">
      <c r="A916" s="41">
        <v>229901</v>
      </c>
      <c r="B916" s="380" t="str">
        <f t="shared" si="29"/>
        <v>229-901</v>
      </c>
      <c r="C916" s="2042" t="s">
        <v>1457</v>
      </c>
      <c r="D916" s="2042" t="s">
        <v>9284</v>
      </c>
      <c r="E916" s="105">
        <v>0.86760000000000004</v>
      </c>
      <c r="F916" s="105">
        <v>0.86760000000000004</v>
      </c>
      <c r="G916" s="2042">
        <v>0.93210000000000004</v>
      </c>
      <c r="H916" s="105">
        <f t="shared" si="28"/>
        <v>6.4500000000000002E-2</v>
      </c>
    </row>
    <row r="917" spans="1:8" ht="14.5">
      <c r="A917" s="41">
        <v>229903</v>
      </c>
      <c r="B917" s="380" t="str">
        <f t="shared" si="29"/>
        <v>229-903</v>
      </c>
      <c r="C917" s="2042" t="s">
        <v>1809</v>
      </c>
      <c r="D917" s="2042" t="s">
        <v>9284</v>
      </c>
      <c r="E917" s="105">
        <v>0.84100000000000008</v>
      </c>
      <c r="F917" s="105">
        <v>0.84100000000000008</v>
      </c>
      <c r="G917" s="2042">
        <v>0.89100000000000001</v>
      </c>
      <c r="H917" s="105">
        <f t="shared" si="28"/>
        <v>4.9999999999999933E-2</v>
      </c>
    </row>
    <row r="918" spans="1:8" ht="14.5">
      <c r="A918" s="41">
        <v>229904</v>
      </c>
      <c r="B918" s="380" t="str">
        <f t="shared" si="29"/>
        <v>229-904</v>
      </c>
      <c r="C918" s="2042" t="s">
        <v>1810</v>
      </c>
      <c r="D918" s="2042" t="s">
        <v>9284</v>
      </c>
      <c r="E918" s="105">
        <v>0.83930000000000005</v>
      </c>
      <c r="F918" s="105">
        <v>0.83930000000000005</v>
      </c>
      <c r="G918" s="2042">
        <v>0.97760000000000002</v>
      </c>
      <c r="H918" s="105">
        <f t="shared" si="28"/>
        <v>0.13829999999999998</v>
      </c>
    </row>
    <row r="919" spans="1:8" ht="14.5">
      <c r="A919" s="41">
        <v>229905</v>
      </c>
      <c r="B919" s="380" t="str">
        <f t="shared" si="29"/>
        <v>229-905</v>
      </c>
      <c r="C919" s="2042" t="s">
        <v>1831</v>
      </c>
      <c r="D919" s="2042" t="s">
        <v>9284</v>
      </c>
      <c r="E919" s="105">
        <v>0.87370000000000003</v>
      </c>
      <c r="F919" s="105">
        <v>0.87370000000000003</v>
      </c>
      <c r="G919" s="2042">
        <v>1.0037</v>
      </c>
      <c r="H919" s="105">
        <f t="shared" si="28"/>
        <v>0.13</v>
      </c>
    </row>
    <row r="920" spans="1:8" ht="14.5">
      <c r="A920" s="727">
        <v>229906</v>
      </c>
      <c r="B920" s="1683" t="str">
        <f t="shared" si="29"/>
        <v>229-906</v>
      </c>
      <c r="C920" s="629" t="s">
        <v>2061</v>
      </c>
      <c r="D920" s="629" t="s">
        <v>9284</v>
      </c>
      <c r="E920" s="105">
        <v>0.82200000000000006</v>
      </c>
      <c r="F920" s="105">
        <v>0.82220000000000004</v>
      </c>
      <c r="G920" s="2042">
        <v>0.96030000000000004</v>
      </c>
      <c r="H920" s="105">
        <f t="shared" si="28"/>
        <v>0.1381</v>
      </c>
    </row>
    <row r="921" spans="1:8" ht="14.5">
      <c r="A921" s="41">
        <v>230901</v>
      </c>
      <c r="B921" s="380" t="str">
        <f t="shared" si="29"/>
        <v>230-901</v>
      </c>
      <c r="C921" s="2042" t="s">
        <v>421</v>
      </c>
      <c r="D921" s="2042" t="s">
        <v>9284</v>
      </c>
      <c r="E921" s="105">
        <v>0.91339999999999999</v>
      </c>
      <c r="F921" s="105">
        <v>0.91339999999999999</v>
      </c>
      <c r="G921" s="2042">
        <v>0.96340000000000003</v>
      </c>
      <c r="H921" s="105">
        <f t="shared" si="28"/>
        <v>5.0000000000000044E-2</v>
      </c>
    </row>
    <row r="922" spans="1:8" ht="14.5">
      <c r="A922" s="41">
        <v>230902</v>
      </c>
      <c r="B922" s="380" t="str">
        <f t="shared" si="29"/>
        <v>230-902</v>
      </c>
      <c r="C922" s="2042" t="s">
        <v>1811</v>
      </c>
      <c r="D922" s="2042" t="s">
        <v>9284</v>
      </c>
      <c r="E922" s="105">
        <v>0.90360000000000007</v>
      </c>
      <c r="F922" s="105">
        <v>0.90360000000000007</v>
      </c>
      <c r="G922" s="2042">
        <v>1.0419</v>
      </c>
      <c r="H922" s="105">
        <f t="shared" si="28"/>
        <v>0.13829999999999998</v>
      </c>
    </row>
    <row r="923" spans="1:8" ht="14.5">
      <c r="A923" s="41">
        <v>230903</v>
      </c>
      <c r="B923" s="380" t="str">
        <f t="shared" si="29"/>
        <v>230-903</v>
      </c>
      <c r="C923" s="2042" t="s">
        <v>962</v>
      </c>
      <c r="D923" s="2042" t="s">
        <v>9284</v>
      </c>
      <c r="E923" s="105">
        <v>0.90950000000000009</v>
      </c>
      <c r="F923" s="105">
        <v>0.90950000000000009</v>
      </c>
      <c r="G923" s="2042">
        <v>1.0478000000000001</v>
      </c>
      <c r="H923" s="105">
        <f t="shared" si="28"/>
        <v>0.13829999999999998</v>
      </c>
    </row>
    <row r="924" spans="1:8" ht="14.5">
      <c r="A924" s="41">
        <v>230904</v>
      </c>
      <c r="B924" s="380" t="str">
        <f t="shared" si="29"/>
        <v>230-904</v>
      </c>
      <c r="C924" s="2042" t="s">
        <v>732</v>
      </c>
      <c r="D924" s="2042" t="s">
        <v>9284</v>
      </c>
      <c r="E924" s="105">
        <v>0.88670000000000004</v>
      </c>
      <c r="F924" s="105">
        <v>0.88670000000000004</v>
      </c>
      <c r="G924" s="2042">
        <v>1.0250000000000001</v>
      </c>
      <c r="H924" s="105">
        <f t="shared" si="28"/>
        <v>0.13830000000000009</v>
      </c>
    </row>
    <row r="925" spans="1:8" ht="14.5">
      <c r="A925" s="41">
        <v>230905</v>
      </c>
      <c r="B925" s="380" t="str">
        <f t="shared" si="29"/>
        <v>230-905</v>
      </c>
      <c r="C925" s="2042" t="s">
        <v>781</v>
      </c>
      <c r="D925" s="2042" t="s">
        <v>9284</v>
      </c>
      <c r="E925" s="105">
        <v>0.84900000000000009</v>
      </c>
      <c r="F925" s="105">
        <v>0.84900000000000009</v>
      </c>
      <c r="G925" s="2042">
        <v>0.98730000000000007</v>
      </c>
      <c r="H925" s="105">
        <f t="shared" si="28"/>
        <v>0.13829999999999998</v>
      </c>
    </row>
    <row r="926" spans="1:8" ht="14.5">
      <c r="A926" s="41">
        <v>230906</v>
      </c>
      <c r="B926" s="380" t="str">
        <f t="shared" si="29"/>
        <v>230-906</v>
      </c>
      <c r="C926" s="2042" t="s">
        <v>1446</v>
      </c>
      <c r="D926" s="2042" t="s">
        <v>9284</v>
      </c>
      <c r="E926" s="105">
        <v>0.89180000000000004</v>
      </c>
      <c r="F926" s="105">
        <v>0.89180000000000004</v>
      </c>
      <c r="G926" s="2042">
        <v>0.96130000000000004</v>
      </c>
      <c r="H926" s="105">
        <f t="shared" si="28"/>
        <v>6.9500000000000006E-2</v>
      </c>
    </row>
    <row r="927" spans="1:8" ht="14.5">
      <c r="A927" s="41">
        <v>230908</v>
      </c>
      <c r="B927" s="380" t="str">
        <f t="shared" si="29"/>
        <v>230-908</v>
      </c>
      <c r="C927" s="2042" t="s">
        <v>733</v>
      </c>
      <c r="D927" s="2042" t="s">
        <v>9284</v>
      </c>
      <c r="E927" s="105">
        <v>0.90129999999999999</v>
      </c>
      <c r="F927" s="105">
        <v>0.90129999999999999</v>
      </c>
      <c r="G927" s="2042">
        <v>1.0395000000000001</v>
      </c>
      <c r="H927" s="105">
        <f t="shared" si="28"/>
        <v>0.1382000000000001</v>
      </c>
    </row>
    <row r="928" spans="1:8" ht="14.5">
      <c r="A928" s="41">
        <v>231901</v>
      </c>
      <c r="B928" s="380" t="str">
        <f t="shared" si="29"/>
        <v>231-901</v>
      </c>
      <c r="C928" s="2042" t="s">
        <v>734</v>
      </c>
      <c r="D928" s="2042" t="s">
        <v>9284</v>
      </c>
      <c r="E928" s="105">
        <v>0.88030000000000008</v>
      </c>
      <c r="F928" s="105">
        <v>0.88030000000000008</v>
      </c>
      <c r="G928" s="2042">
        <v>0.93030000000000002</v>
      </c>
      <c r="H928" s="105">
        <f t="shared" si="28"/>
        <v>4.9999999999999933E-2</v>
      </c>
    </row>
    <row r="929" spans="1:8" ht="14.5">
      <c r="A929" s="41">
        <v>231902</v>
      </c>
      <c r="B929" s="380" t="str">
        <f t="shared" si="29"/>
        <v>231-902</v>
      </c>
      <c r="C929" s="2042" t="s">
        <v>735</v>
      </c>
      <c r="D929" s="2042" t="s">
        <v>9284</v>
      </c>
      <c r="E929" s="105">
        <v>0.82200000000000006</v>
      </c>
      <c r="F929" s="105">
        <v>0.82200000000000006</v>
      </c>
      <c r="G929" s="2042">
        <v>0.90200000000000002</v>
      </c>
      <c r="H929" s="105">
        <f t="shared" si="28"/>
        <v>7.999999999999996E-2</v>
      </c>
    </row>
    <row r="930" spans="1:8" ht="14.5">
      <c r="A930" s="41">
        <v>232901</v>
      </c>
      <c r="B930" s="380" t="str">
        <f t="shared" si="29"/>
        <v>232-901</v>
      </c>
      <c r="C930" s="2042" t="s">
        <v>2332</v>
      </c>
      <c r="D930" s="2042" t="s">
        <v>9284</v>
      </c>
      <c r="E930" s="105">
        <v>0.87809999999999999</v>
      </c>
      <c r="F930" s="105">
        <v>0.87809999999999999</v>
      </c>
      <c r="G930" s="2042">
        <v>1.0164</v>
      </c>
      <c r="H930" s="105">
        <f t="shared" si="28"/>
        <v>0.13829999999999998</v>
      </c>
    </row>
    <row r="931" spans="1:8" ht="14.5">
      <c r="A931" s="41">
        <v>232902</v>
      </c>
      <c r="B931" s="380" t="str">
        <f t="shared" si="29"/>
        <v>232-902</v>
      </c>
      <c r="C931" s="2042" t="s">
        <v>578</v>
      </c>
      <c r="D931" s="2042" t="s">
        <v>9284</v>
      </c>
      <c r="E931" s="105">
        <v>0.87340000000000007</v>
      </c>
      <c r="F931" s="105">
        <v>0.87340000000000007</v>
      </c>
      <c r="G931" s="2042">
        <v>0.9234</v>
      </c>
      <c r="H931" s="105">
        <f t="shared" si="28"/>
        <v>4.9999999999999933E-2</v>
      </c>
    </row>
    <row r="932" spans="1:8" ht="14.5">
      <c r="A932" s="41">
        <v>232903</v>
      </c>
      <c r="B932" s="380" t="str">
        <f t="shared" si="29"/>
        <v>232-903</v>
      </c>
      <c r="C932" s="2042" t="s">
        <v>279</v>
      </c>
      <c r="D932" s="2042" t="s">
        <v>9284</v>
      </c>
      <c r="E932" s="105">
        <v>0.87720000000000009</v>
      </c>
      <c r="F932" s="105">
        <v>0.87720000000000009</v>
      </c>
      <c r="G932" s="2042">
        <v>0.95860000000000001</v>
      </c>
      <c r="H932" s="105">
        <f t="shared" si="28"/>
        <v>8.1399999999999917E-2</v>
      </c>
    </row>
    <row r="933" spans="1:8" ht="14.5">
      <c r="A933" s="41">
        <v>232904</v>
      </c>
      <c r="B933" s="380" t="str">
        <f t="shared" si="29"/>
        <v>232-904</v>
      </c>
      <c r="C933" s="2042" t="s">
        <v>585</v>
      </c>
      <c r="D933" s="2042" t="s">
        <v>9284</v>
      </c>
      <c r="E933" s="105">
        <v>0.82200000000000006</v>
      </c>
      <c r="F933" s="105">
        <v>0.82200000000000006</v>
      </c>
      <c r="G933" s="2042">
        <v>0.872</v>
      </c>
      <c r="H933" s="105">
        <f t="shared" si="28"/>
        <v>4.9999999999999933E-2</v>
      </c>
    </row>
    <row r="934" spans="1:8" ht="14.5">
      <c r="A934" s="41">
        <v>233901</v>
      </c>
      <c r="B934" s="380" t="str">
        <f t="shared" si="29"/>
        <v>233-901</v>
      </c>
      <c r="C934" s="2042" t="s">
        <v>2027</v>
      </c>
      <c r="D934" s="2042" t="s">
        <v>9284</v>
      </c>
      <c r="E934" s="105">
        <v>0.84350000000000003</v>
      </c>
      <c r="F934" s="105">
        <v>0.84350000000000003</v>
      </c>
      <c r="G934" s="2042">
        <v>0.97520000000000007</v>
      </c>
      <c r="H934" s="105">
        <f t="shared" si="28"/>
        <v>0.13170000000000004</v>
      </c>
    </row>
    <row r="935" spans="1:8" ht="14.5">
      <c r="A935" s="41">
        <v>233903</v>
      </c>
      <c r="B935" s="380" t="str">
        <f t="shared" si="29"/>
        <v>233-903</v>
      </c>
      <c r="C935" s="2042" t="s">
        <v>586</v>
      </c>
      <c r="D935" s="2042" t="s">
        <v>9284</v>
      </c>
      <c r="E935" s="105">
        <v>0.82469999999999999</v>
      </c>
      <c r="F935" s="105">
        <v>0.82469999999999999</v>
      </c>
      <c r="G935" s="2042">
        <v>0.95710000000000006</v>
      </c>
      <c r="H935" s="105">
        <f t="shared" si="28"/>
        <v>0.13240000000000007</v>
      </c>
    </row>
    <row r="936" spans="1:8" ht="14.5">
      <c r="A936" s="41">
        <v>234902</v>
      </c>
      <c r="B936" s="380" t="str">
        <f t="shared" si="29"/>
        <v>234-902</v>
      </c>
      <c r="C936" s="2042" t="s">
        <v>1076</v>
      </c>
      <c r="D936" s="2042" t="s">
        <v>9284</v>
      </c>
      <c r="E936" s="105">
        <v>0.82200000000000006</v>
      </c>
      <c r="F936" s="105">
        <v>0.82200000000000006</v>
      </c>
      <c r="G936" s="2042">
        <v>0.872</v>
      </c>
      <c r="H936" s="105">
        <f t="shared" si="28"/>
        <v>4.9999999999999933E-2</v>
      </c>
    </row>
    <row r="937" spans="1:8" ht="14.5">
      <c r="A937" s="41">
        <v>234903</v>
      </c>
      <c r="B937" s="380" t="str">
        <f t="shared" si="29"/>
        <v>234-903</v>
      </c>
      <c r="C937" s="2042" t="s">
        <v>841</v>
      </c>
      <c r="D937" s="2042" t="s">
        <v>9284</v>
      </c>
      <c r="E937" s="105">
        <v>0.82200000000000006</v>
      </c>
      <c r="F937" s="105">
        <v>0.82200000000000006</v>
      </c>
      <c r="G937" s="2042">
        <v>0.96030000000000004</v>
      </c>
      <c r="H937" s="105">
        <f t="shared" si="28"/>
        <v>0.13829999999999998</v>
      </c>
    </row>
    <row r="938" spans="1:8" ht="14.5">
      <c r="A938" s="41">
        <v>234904</v>
      </c>
      <c r="B938" s="380" t="str">
        <f t="shared" si="29"/>
        <v>234-904</v>
      </c>
      <c r="C938" s="2042" t="s">
        <v>817</v>
      </c>
      <c r="D938" s="2042" t="s">
        <v>9284</v>
      </c>
      <c r="E938" s="105">
        <v>0.82200000000000006</v>
      </c>
      <c r="F938" s="105">
        <v>0.82200000000000006</v>
      </c>
      <c r="G938" s="2042">
        <v>0.96030000000000004</v>
      </c>
      <c r="H938" s="105">
        <f t="shared" si="28"/>
        <v>0.13829999999999998</v>
      </c>
    </row>
    <row r="939" spans="1:8" ht="14.5">
      <c r="A939" s="41">
        <v>234905</v>
      </c>
      <c r="B939" s="380" t="str">
        <f t="shared" si="29"/>
        <v>234-905</v>
      </c>
      <c r="C939" s="2042" t="s">
        <v>1952</v>
      </c>
      <c r="D939" s="2042" t="s">
        <v>9284</v>
      </c>
      <c r="E939" s="105">
        <v>0.82200000000000006</v>
      </c>
      <c r="F939" s="105">
        <v>0.82200000000000006</v>
      </c>
      <c r="G939" s="2042">
        <v>0.872</v>
      </c>
      <c r="H939" s="105">
        <f t="shared" si="28"/>
        <v>4.9999999999999933E-2</v>
      </c>
    </row>
    <row r="940" spans="1:8" ht="14.5">
      <c r="A940" s="41">
        <v>234906</v>
      </c>
      <c r="B940" s="380" t="str">
        <f t="shared" si="29"/>
        <v>234-906</v>
      </c>
      <c r="C940" s="2042" t="s">
        <v>1077</v>
      </c>
      <c r="D940" s="2042" t="s">
        <v>9284</v>
      </c>
      <c r="E940" s="105">
        <v>0.82200000000000006</v>
      </c>
      <c r="F940" s="105">
        <v>0.82200000000000006</v>
      </c>
      <c r="G940" s="2042">
        <v>0.96030000000000004</v>
      </c>
      <c r="H940" s="105">
        <f t="shared" si="28"/>
        <v>0.13829999999999998</v>
      </c>
    </row>
    <row r="941" spans="1:8" ht="14.5">
      <c r="A941" s="41">
        <v>234907</v>
      </c>
      <c r="B941" s="380" t="str">
        <f t="shared" si="29"/>
        <v>234-907</v>
      </c>
      <c r="C941" s="2042" t="s">
        <v>1968</v>
      </c>
      <c r="D941" s="2042" t="s">
        <v>9284</v>
      </c>
      <c r="E941" s="105">
        <v>0.82200000000000006</v>
      </c>
      <c r="F941" s="105">
        <v>0.82200000000000006</v>
      </c>
      <c r="G941" s="2042">
        <v>0.93900000000000006</v>
      </c>
      <c r="H941" s="105">
        <f t="shared" si="28"/>
        <v>0.11699999999999999</v>
      </c>
    </row>
    <row r="942" spans="1:8" ht="14.5">
      <c r="A942" s="41">
        <v>234909</v>
      </c>
      <c r="B942" s="380" t="str">
        <f t="shared" si="29"/>
        <v>234-909</v>
      </c>
      <c r="C942" s="2042" t="s">
        <v>1390</v>
      </c>
      <c r="D942" s="2042" t="s">
        <v>9284</v>
      </c>
      <c r="E942" s="105">
        <v>0.82200000000000006</v>
      </c>
      <c r="F942" s="105">
        <v>0.82200000000000006</v>
      </c>
      <c r="G942" s="2042">
        <v>0.96030000000000004</v>
      </c>
      <c r="H942" s="105">
        <f t="shared" si="28"/>
        <v>0.13829999999999998</v>
      </c>
    </row>
    <row r="943" spans="1:8" ht="14.5">
      <c r="A943" s="41">
        <v>235901</v>
      </c>
      <c r="B943" s="380" t="str">
        <f t="shared" si="29"/>
        <v>235-901</v>
      </c>
      <c r="C943" s="2042" t="s">
        <v>1268</v>
      </c>
      <c r="D943" s="2042" t="s">
        <v>9284</v>
      </c>
      <c r="E943" s="105">
        <v>0.90870000000000006</v>
      </c>
      <c r="F943" s="105">
        <v>0.90870000000000006</v>
      </c>
      <c r="G943" s="2042">
        <v>0.9587</v>
      </c>
      <c r="H943" s="105">
        <f t="shared" si="28"/>
        <v>4.9999999999999933E-2</v>
      </c>
    </row>
    <row r="944" spans="1:8" ht="14.5">
      <c r="A944" s="41">
        <v>235902</v>
      </c>
      <c r="B944" s="380" t="str">
        <f t="shared" si="29"/>
        <v>235-902</v>
      </c>
      <c r="C944" s="2042" t="s">
        <v>125</v>
      </c>
      <c r="D944" s="2042" t="s">
        <v>9284</v>
      </c>
      <c r="E944" s="105">
        <v>0.86470000000000002</v>
      </c>
      <c r="F944" s="105">
        <v>0.86470000000000002</v>
      </c>
      <c r="G944" s="2042">
        <v>0.9447000000000001</v>
      </c>
      <c r="H944" s="105">
        <f t="shared" si="28"/>
        <v>8.0000000000000071E-2</v>
      </c>
    </row>
    <row r="945" spans="1:8" ht="14.5">
      <c r="A945" s="41">
        <v>235904</v>
      </c>
      <c r="B945" s="380" t="str">
        <f t="shared" si="29"/>
        <v>235-904</v>
      </c>
      <c r="C945" s="2042" t="s">
        <v>1969</v>
      </c>
      <c r="D945" s="2042" t="s">
        <v>9284</v>
      </c>
      <c r="E945" s="105">
        <v>0.8983000000000001</v>
      </c>
      <c r="F945" s="105">
        <v>0.8983000000000001</v>
      </c>
      <c r="G945" s="2042">
        <v>0.94830000000000003</v>
      </c>
      <c r="H945" s="105">
        <f t="shared" si="28"/>
        <v>4.9999999999999933E-2</v>
      </c>
    </row>
    <row r="946" spans="1:8" ht="14.5">
      <c r="A946" s="41">
        <v>236901</v>
      </c>
      <c r="B946" s="380" t="str">
        <f t="shared" si="29"/>
        <v>236-901</v>
      </c>
      <c r="C946" s="2042" t="s">
        <v>1074</v>
      </c>
      <c r="D946" s="2042" t="s">
        <v>9284</v>
      </c>
      <c r="E946" s="105">
        <v>0.82200000000000006</v>
      </c>
      <c r="F946" s="105">
        <v>0.82200000000000006</v>
      </c>
      <c r="G946" s="2042">
        <v>0.96030000000000004</v>
      </c>
      <c r="H946" s="105">
        <f t="shared" si="28"/>
        <v>0.13829999999999998</v>
      </c>
    </row>
    <row r="947" spans="1:8" ht="14.5">
      <c r="A947" s="41">
        <v>236902</v>
      </c>
      <c r="B947" s="380" t="str">
        <f t="shared" si="29"/>
        <v>236-902</v>
      </c>
      <c r="C947" s="2042" t="s">
        <v>90</v>
      </c>
      <c r="D947" s="2042" t="s">
        <v>9284</v>
      </c>
      <c r="E947" s="105">
        <v>0.82200000000000006</v>
      </c>
      <c r="F947" s="105">
        <v>0.82200000000000006</v>
      </c>
      <c r="G947" s="2042">
        <v>0.91490000000000005</v>
      </c>
      <c r="H947" s="105">
        <f t="shared" si="28"/>
        <v>9.2899999999999983E-2</v>
      </c>
    </row>
    <row r="948" spans="1:8" ht="14.5">
      <c r="A948" s="41">
        <v>237902</v>
      </c>
      <c r="B948" s="380" t="str">
        <f t="shared" si="29"/>
        <v>237-902</v>
      </c>
      <c r="C948" s="2042" t="s">
        <v>2238</v>
      </c>
      <c r="D948" s="2042" t="s">
        <v>9284</v>
      </c>
      <c r="E948" s="105">
        <v>0.82200000000000006</v>
      </c>
      <c r="F948" s="105">
        <v>0.82200000000000006</v>
      </c>
      <c r="G948" s="2042">
        <v>0.96030000000000004</v>
      </c>
      <c r="H948" s="105">
        <f t="shared" si="28"/>
        <v>0.13829999999999998</v>
      </c>
    </row>
    <row r="949" spans="1:8" ht="14.5">
      <c r="A949" s="41">
        <v>237904</v>
      </c>
      <c r="B949" s="380" t="str">
        <f t="shared" si="29"/>
        <v>237-904</v>
      </c>
      <c r="C949" s="2042" t="s">
        <v>129</v>
      </c>
      <c r="D949" s="2042" t="s">
        <v>9284</v>
      </c>
      <c r="E949" s="105">
        <v>0.83090000000000008</v>
      </c>
      <c r="F949" s="105">
        <v>0.83090000000000008</v>
      </c>
      <c r="G949" s="2042">
        <v>0.88090000000000002</v>
      </c>
      <c r="H949" s="105">
        <f t="shared" si="28"/>
        <v>4.9999999999999933E-2</v>
      </c>
    </row>
    <row r="950" spans="1:8" ht="14.5">
      <c r="A950" s="41">
        <v>237905</v>
      </c>
      <c r="B950" s="380" t="str">
        <f t="shared" si="29"/>
        <v>237-905</v>
      </c>
      <c r="C950" s="2042" t="s">
        <v>91</v>
      </c>
      <c r="D950" s="2042" t="s">
        <v>9284</v>
      </c>
      <c r="E950" s="105">
        <v>0.82200000000000006</v>
      </c>
      <c r="F950" s="105">
        <v>0.82200000000000006</v>
      </c>
      <c r="G950" s="2042">
        <v>0.96030000000000004</v>
      </c>
      <c r="H950" s="105">
        <f t="shared" si="28"/>
        <v>0.13829999999999998</v>
      </c>
    </row>
    <row r="951" spans="1:8" ht="14.5">
      <c r="A951" s="41">
        <v>238902</v>
      </c>
      <c r="B951" s="380" t="str">
        <f t="shared" si="29"/>
        <v>238-902</v>
      </c>
      <c r="C951" s="2042" t="s">
        <v>840</v>
      </c>
      <c r="D951" s="2042" t="s">
        <v>9284</v>
      </c>
      <c r="E951" s="105">
        <v>0.88230000000000008</v>
      </c>
      <c r="F951" s="105">
        <v>0.88230000000000008</v>
      </c>
      <c r="G951" s="2042">
        <v>0.93230000000000002</v>
      </c>
      <c r="H951" s="105">
        <f t="shared" si="28"/>
        <v>4.9999999999999933E-2</v>
      </c>
    </row>
    <row r="952" spans="1:8" ht="14.5">
      <c r="A952" s="41">
        <v>238904</v>
      </c>
      <c r="B952" s="380" t="str">
        <f t="shared" si="29"/>
        <v>238-904</v>
      </c>
      <c r="C952" s="2042" t="s">
        <v>1145</v>
      </c>
      <c r="D952" s="2042" t="s">
        <v>9284</v>
      </c>
      <c r="E952" s="105">
        <v>0.91339999999999999</v>
      </c>
      <c r="F952" s="105">
        <v>0.91339999999999999</v>
      </c>
      <c r="G952" s="2042">
        <v>0.96340000000000003</v>
      </c>
      <c r="H952" s="105">
        <f t="shared" si="28"/>
        <v>5.0000000000000044E-2</v>
      </c>
    </row>
    <row r="953" spans="1:8" ht="14.5">
      <c r="A953" s="41">
        <v>239901</v>
      </c>
      <c r="B953" s="380" t="str">
        <f t="shared" si="29"/>
        <v>239-901</v>
      </c>
      <c r="C953" s="2042" t="s">
        <v>1146</v>
      </c>
      <c r="D953" s="2042" t="s">
        <v>9284</v>
      </c>
      <c r="E953" s="105">
        <v>0.85840000000000005</v>
      </c>
      <c r="F953" s="105">
        <v>0.85840000000000005</v>
      </c>
      <c r="G953" s="2042">
        <v>0.9084000000000001</v>
      </c>
      <c r="H953" s="105">
        <f t="shared" si="28"/>
        <v>5.0000000000000044E-2</v>
      </c>
    </row>
    <row r="954" spans="1:8" ht="14.5">
      <c r="A954" s="41">
        <v>239903</v>
      </c>
      <c r="B954" s="380" t="str">
        <f t="shared" si="29"/>
        <v>239-903</v>
      </c>
      <c r="C954" s="2042" t="s">
        <v>1147</v>
      </c>
      <c r="D954" s="2042" t="s">
        <v>9284</v>
      </c>
      <c r="E954" s="105">
        <v>0.85330000000000006</v>
      </c>
      <c r="F954" s="105">
        <v>0.85330000000000006</v>
      </c>
      <c r="G954" s="2042">
        <v>0.90329999999999999</v>
      </c>
      <c r="H954" s="105">
        <f t="shared" si="28"/>
        <v>4.9999999999999933E-2</v>
      </c>
    </row>
    <row r="955" spans="1:8" ht="14.5">
      <c r="A955" s="41">
        <v>240901</v>
      </c>
      <c r="B955" s="380" t="str">
        <f t="shared" si="29"/>
        <v>240-901</v>
      </c>
      <c r="C955" s="2042" t="s">
        <v>2219</v>
      </c>
      <c r="D955" s="2042" t="s">
        <v>9284</v>
      </c>
      <c r="E955" s="105">
        <v>0.85370000000000001</v>
      </c>
      <c r="F955" s="105">
        <v>0.85370000000000001</v>
      </c>
      <c r="G955" s="2042">
        <v>0.94270000000000009</v>
      </c>
      <c r="H955" s="105">
        <f t="shared" si="28"/>
        <v>8.9000000000000079E-2</v>
      </c>
    </row>
    <row r="956" spans="1:8" ht="14.5">
      <c r="A956" s="727">
        <v>240903</v>
      </c>
      <c r="B956" s="1683" t="str">
        <f t="shared" si="29"/>
        <v>240-903</v>
      </c>
      <c r="C956" s="629" t="s">
        <v>2229</v>
      </c>
      <c r="D956" s="629" t="s">
        <v>9284</v>
      </c>
      <c r="E956" s="105">
        <v>0.89480000000000004</v>
      </c>
      <c r="F956" s="105">
        <v>0.8953000000000001</v>
      </c>
      <c r="G956" s="2042">
        <v>0.94530000000000003</v>
      </c>
      <c r="H956" s="105">
        <f t="shared" si="28"/>
        <v>4.9999999999999933E-2</v>
      </c>
    </row>
    <row r="957" spans="1:8" ht="14.5">
      <c r="A957" s="41">
        <v>240904</v>
      </c>
      <c r="B957" s="380" t="str">
        <f t="shared" si="29"/>
        <v>240-904</v>
      </c>
      <c r="C957" s="2042" t="s">
        <v>2212</v>
      </c>
      <c r="D957" s="2042" t="s">
        <v>9284</v>
      </c>
      <c r="E957" s="105">
        <v>0.86970000000000003</v>
      </c>
      <c r="F957" s="105">
        <v>0.86970000000000003</v>
      </c>
      <c r="G957" s="2042">
        <v>0.91970000000000007</v>
      </c>
      <c r="H957" s="105">
        <f t="shared" si="28"/>
        <v>5.0000000000000044E-2</v>
      </c>
    </row>
    <row r="958" spans="1:8" ht="14.5">
      <c r="A958" s="41">
        <v>241901</v>
      </c>
      <c r="B958" s="380" t="str">
        <f t="shared" si="29"/>
        <v>241-901</v>
      </c>
      <c r="C958" s="2042" t="s">
        <v>1149</v>
      </c>
      <c r="D958" s="2042" t="s">
        <v>9284</v>
      </c>
      <c r="E958" s="105">
        <v>0.89600000000000002</v>
      </c>
      <c r="F958" s="105">
        <v>0.89600000000000002</v>
      </c>
      <c r="G958" s="2042">
        <v>0.94600000000000006</v>
      </c>
      <c r="H958" s="105">
        <f t="shared" si="28"/>
        <v>5.0000000000000044E-2</v>
      </c>
    </row>
    <row r="959" spans="1:8" ht="14.5">
      <c r="A959" s="41">
        <v>241902</v>
      </c>
      <c r="B959" s="380" t="str">
        <f t="shared" si="29"/>
        <v>241-902</v>
      </c>
      <c r="C959" s="2042" t="s">
        <v>1150</v>
      </c>
      <c r="D959" s="2042" t="s">
        <v>9284</v>
      </c>
      <c r="E959" s="105">
        <v>0.82720000000000005</v>
      </c>
      <c r="F959" s="105">
        <v>0.82720000000000005</v>
      </c>
      <c r="G959" s="2042">
        <v>0.96550000000000002</v>
      </c>
      <c r="H959" s="105">
        <f t="shared" si="28"/>
        <v>0.13829999999999998</v>
      </c>
    </row>
    <row r="960" spans="1:8" ht="14.5">
      <c r="A960" s="41">
        <v>241903</v>
      </c>
      <c r="B960" s="380" t="str">
        <f t="shared" si="29"/>
        <v>241-903</v>
      </c>
      <c r="C960" s="2042" t="s">
        <v>1151</v>
      </c>
      <c r="D960" s="2042" t="s">
        <v>9284</v>
      </c>
      <c r="E960" s="105">
        <v>0.86650000000000005</v>
      </c>
      <c r="F960" s="105">
        <v>0.86650000000000005</v>
      </c>
      <c r="G960" s="2042">
        <v>1.0048000000000001</v>
      </c>
      <c r="H960" s="105">
        <f t="shared" si="28"/>
        <v>0.13830000000000009</v>
      </c>
    </row>
    <row r="961" spans="1:8" ht="14.5">
      <c r="A961" s="41">
        <v>241904</v>
      </c>
      <c r="B961" s="380" t="str">
        <f t="shared" si="29"/>
        <v>241-904</v>
      </c>
      <c r="C961" s="2042" t="s">
        <v>1152</v>
      </c>
      <c r="D961" s="2042" t="s">
        <v>9284</v>
      </c>
      <c r="E961" s="105">
        <v>0.91339999999999999</v>
      </c>
      <c r="F961" s="105">
        <v>0.91339999999999999</v>
      </c>
      <c r="G961" s="2042">
        <v>0.96340000000000003</v>
      </c>
      <c r="H961" s="105">
        <f t="shared" si="28"/>
        <v>5.0000000000000044E-2</v>
      </c>
    </row>
    <row r="962" spans="1:8" ht="14.5">
      <c r="A962" s="41">
        <v>241906</v>
      </c>
      <c r="B962" s="380" t="str">
        <f t="shared" si="29"/>
        <v>241-906</v>
      </c>
      <c r="C962" s="2042" t="s">
        <v>1153</v>
      </c>
      <c r="D962" s="2042" t="s">
        <v>9284</v>
      </c>
      <c r="E962" s="105">
        <v>0.82200000000000006</v>
      </c>
      <c r="F962" s="105">
        <v>0.82200000000000006</v>
      </c>
      <c r="G962" s="2042">
        <v>0.96030000000000004</v>
      </c>
      <c r="H962" s="105">
        <f t="shared" si="28"/>
        <v>0.13829999999999998</v>
      </c>
    </row>
    <row r="963" spans="1:8" ht="14.5">
      <c r="A963" s="41">
        <v>242902</v>
      </c>
      <c r="B963" s="380" t="str">
        <f t="shared" si="29"/>
        <v>242-902</v>
      </c>
      <c r="C963" s="2042" t="s">
        <v>1154</v>
      </c>
      <c r="D963" s="2042" t="s">
        <v>9284</v>
      </c>
      <c r="E963" s="105">
        <v>0.91339999999999999</v>
      </c>
      <c r="F963" s="105">
        <v>0.91339999999999999</v>
      </c>
      <c r="G963" s="2042">
        <v>0.96340000000000003</v>
      </c>
      <c r="H963" s="105">
        <f t="shared" ref="H963:H1016" si="30">G963-F963</f>
        <v>5.0000000000000044E-2</v>
      </c>
    </row>
    <row r="964" spans="1:8" ht="14.5">
      <c r="A964" s="41">
        <v>242903</v>
      </c>
      <c r="B964" s="380" t="str">
        <f t="shared" si="29"/>
        <v>242-903</v>
      </c>
      <c r="C964" s="2042" t="s">
        <v>1155</v>
      </c>
      <c r="D964" s="2042" t="s">
        <v>9284</v>
      </c>
      <c r="E964" s="105">
        <v>0.91339999999999999</v>
      </c>
      <c r="F964" s="105">
        <v>0.91339999999999999</v>
      </c>
      <c r="G964" s="2042">
        <v>0.96340000000000003</v>
      </c>
      <c r="H964" s="105">
        <f t="shared" si="30"/>
        <v>5.0000000000000044E-2</v>
      </c>
    </row>
    <row r="965" spans="1:8">
      <c r="B965" s="2042" t="s">
        <v>1628</v>
      </c>
      <c r="C965" s="2042" t="s">
        <v>6941</v>
      </c>
      <c r="E965" s="105">
        <v>0.91339999999999999</v>
      </c>
      <c r="F965" s="105">
        <v>0.91339999999999999</v>
      </c>
      <c r="G965" s="2042">
        <v>0.96340000000000003</v>
      </c>
      <c r="H965" s="105">
        <f t="shared" si="30"/>
        <v>5.0000000000000044E-2</v>
      </c>
    </row>
    <row r="966" spans="1:8" ht="14.5">
      <c r="A966" s="41">
        <v>242906</v>
      </c>
      <c r="B966" s="380" t="str">
        <f t="shared" si="29"/>
        <v>242-906</v>
      </c>
      <c r="C966" s="2042" t="s">
        <v>1157</v>
      </c>
      <c r="D966" s="2042" t="s">
        <v>9284</v>
      </c>
      <c r="E966" s="105">
        <v>0.91339999999999999</v>
      </c>
      <c r="F966" s="105">
        <v>0.91339999999999999</v>
      </c>
      <c r="G966" s="2042">
        <v>0.96340000000000003</v>
      </c>
      <c r="H966" s="105">
        <f t="shared" si="30"/>
        <v>5.0000000000000044E-2</v>
      </c>
    </row>
    <row r="967" spans="1:8" ht="14.5">
      <c r="A967" s="41">
        <v>243901</v>
      </c>
      <c r="B967" s="380" t="str">
        <f t="shared" si="29"/>
        <v>243-901</v>
      </c>
      <c r="C967" s="2042" t="s">
        <v>1363</v>
      </c>
      <c r="D967" s="2042" t="s">
        <v>9284</v>
      </c>
      <c r="E967" s="105">
        <v>0.91339999999999999</v>
      </c>
      <c r="F967" s="105">
        <v>0.91339999999999999</v>
      </c>
      <c r="G967" s="2042">
        <v>1.0517000000000001</v>
      </c>
      <c r="H967" s="105">
        <f t="shared" si="30"/>
        <v>0.13830000000000009</v>
      </c>
    </row>
    <row r="968" spans="1:8" ht="14.5">
      <c r="A968" s="41">
        <v>243902</v>
      </c>
      <c r="B968" s="380" t="str">
        <f t="shared" si="29"/>
        <v>243-902</v>
      </c>
      <c r="C968" s="2042" t="s">
        <v>1515</v>
      </c>
      <c r="D968" s="2042" t="s">
        <v>9284</v>
      </c>
      <c r="E968" s="105">
        <v>0.91339999999999999</v>
      </c>
      <c r="F968" s="105">
        <v>0.91339999999999999</v>
      </c>
      <c r="G968" s="2042">
        <v>1.0517000000000001</v>
      </c>
      <c r="H968" s="105">
        <f t="shared" si="30"/>
        <v>0.13830000000000009</v>
      </c>
    </row>
    <row r="969" spans="1:8" ht="14.5">
      <c r="A969" s="41">
        <v>243903</v>
      </c>
      <c r="B969" s="380" t="str">
        <f t="shared" si="29"/>
        <v>243-903</v>
      </c>
      <c r="C969" s="2042" t="s">
        <v>2213</v>
      </c>
      <c r="D969" s="2042" t="s">
        <v>9284</v>
      </c>
      <c r="E969" s="105">
        <v>0.89580000000000004</v>
      </c>
      <c r="F969" s="105">
        <v>0.89580000000000004</v>
      </c>
      <c r="G969" s="2042">
        <v>1.0341</v>
      </c>
      <c r="H969" s="105">
        <f t="shared" si="30"/>
        <v>0.13829999999999998</v>
      </c>
    </row>
    <row r="970" spans="1:8" ht="14.5">
      <c r="A970" s="41">
        <v>243905</v>
      </c>
      <c r="B970" s="380" t="str">
        <f t="shared" si="29"/>
        <v>243-905</v>
      </c>
      <c r="C970" s="2042" t="s">
        <v>1517</v>
      </c>
      <c r="D970" s="2042" t="s">
        <v>9284</v>
      </c>
      <c r="E970" s="105">
        <v>0.8901</v>
      </c>
      <c r="F970" s="105">
        <v>0.8901</v>
      </c>
      <c r="G970" s="2042">
        <v>0.94010000000000005</v>
      </c>
      <c r="H970" s="105">
        <f t="shared" si="30"/>
        <v>5.0000000000000044E-2</v>
      </c>
    </row>
    <row r="971" spans="1:8" ht="14.5">
      <c r="A971" s="41">
        <v>243906</v>
      </c>
      <c r="B971" s="380" t="str">
        <f t="shared" si="29"/>
        <v>243-906</v>
      </c>
      <c r="C971" s="2042" t="s">
        <v>1092</v>
      </c>
      <c r="D971" s="2042" t="s">
        <v>9284</v>
      </c>
      <c r="E971" s="105">
        <v>0.90329999999999999</v>
      </c>
      <c r="F971" s="105">
        <v>0.90329999999999999</v>
      </c>
      <c r="G971" s="2042">
        <v>1.0377000000000001</v>
      </c>
      <c r="H971" s="105">
        <f t="shared" si="30"/>
        <v>0.13440000000000007</v>
      </c>
    </row>
    <row r="972" spans="1:8" ht="14.5">
      <c r="A972" s="41">
        <v>244901</v>
      </c>
      <c r="B972" s="380" t="str">
        <f t="shared" si="29"/>
        <v>244-901</v>
      </c>
      <c r="C972" s="2042" t="s">
        <v>1518</v>
      </c>
      <c r="D972" s="2042" t="s">
        <v>9284</v>
      </c>
      <c r="E972" s="105">
        <v>0.91339999999999999</v>
      </c>
      <c r="F972" s="105">
        <v>0.91339999999999999</v>
      </c>
      <c r="G972" s="2042">
        <v>1.0517000000000001</v>
      </c>
      <c r="H972" s="105">
        <f t="shared" si="30"/>
        <v>0.13830000000000009</v>
      </c>
    </row>
    <row r="973" spans="1:8" ht="14.5">
      <c r="A973" s="41">
        <v>244903</v>
      </c>
      <c r="B973" s="380" t="str">
        <f t="shared" si="29"/>
        <v>244-903</v>
      </c>
      <c r="C973" s="2042" t="s">
        <v>1519</v>
      </c>
      <c r="D973" s="2042" t="s">
        <v>9284</v>
      </c>
      <c r="E973" s="105">
        <v>0.91339999999999999</v>
      </c>
      <c r="F973" s="105">
        <v>0.91339999999999999</v>
      </c>
      <c r="G973" s="2042">
        <v>0.96340000000000003</v>
      </c>
      <c r="H973" s="105">
        <f t="shared" si="30"/>
        <v>5.0000000000000044E-2</v>
      </c>
    </row>
    <row r="974" spans="1:8" ht="14.5">
      <c r="A974" s="41">
        <v>244905</v>
      </c>
      <c r="B974" s="380" t="str">
        <f t="shared" ref="B974:B1016" si="31">CONCATENATE(LEFT(RIGHT(CONCATENATE("000",A974),6),3),"-",(RIGHT(RIGHT(CONCATENATE("000",A974),6),3)))</f>
        <v>244-905</v>
      </c>
      <c r="C974" s="2042" t="s">
        <v>2165</v>
      </c>
      <c r="D974" s="2042" t="s">
        <v>9284</v>
      </c>
      <c r="E974" s="105">
        <v>0.91339999999999999</v>
      </c>
      <c r="F974" s="105">
        <v>0.91339999999999999</v>
      </c>
      <c r="G974" s="2042">
        <v>1.0337000000000001</v>
      </c>
      <c r="H974" s="105">
        <f t="shared" si="30"/>
        <v>0.12030000000000007</v>
      </c>
    </row>
    <row r="975" spans="1:8" ht="14.5">
      <c r="A975" s="41">
        <v>245901</v>
      </c>
      <c r="B975" s="380" t="str">
        <f t="shared" si="31"/>
        <v>245-901</v>
      </c>
      <c r="C975" s="2042" t="s">
        <v>2220</v>
      </c>
      <c r="D975" s="2042" t="s">
        <v>9284</v>
      </c>
      <c r="E975" s="105">
        <v>0.89850000000000008</v>
      </c>
      <c r="F975" s="105">
        <v>0.89850000000000008</v>
      </c>
      <c r="G975" s="2042">
        <v>1.0445</v>
      </c>
      <c r="H975" s="105">
        <f t="shared" si="30"/>
        <v>0.14599999999999991</v>
      </c>
    </row>
    <row r="976" spans="1:8" ht="14.5">
      <c r="A976" s="41">
        <v>245902</v>
      </c>
      <c r="B976" s="380" t="str">
        <f t="shared" si="31"/>
        <v>245-902</v>
      </c>
      <c r="C976" s="2042" t="s">
        <v>794</v>
      </c>
      <c r="D976" s="2042" t="s">
        <v>9284</v>
      </c>
      <c r="E976" s="105">
        <v>0.82200000000000006</v>
      </c>
      <c r="F976" s="105">
        <v>0.82200000000000006</v>
      </c>
      <c r="G976" s="2042">
        <v>0.96030000000000004</v>
      </c>
      <c r="H976" s="105">
        <f t="shared" si="30"/>
        <v>0.13829999999999998</v>
      </c>
    </row>
    <row r="977" spans="1:8" ht="14.5">
      <c r="A977" s="41">
        <v>245903</v>
      </c>
      <c r="B977" s="380" t="str">
        <f t="shared" si="31"/>
        <v>245-903</v>
      </c>
      <c r="C977" s="2042" t="s">
        <v>76</v>
      </c>
      <c r="D977" s="2042" t="s">
        <v>9284</v>
      </c>
      <c r="E977" s="105">
        <v>0.91339999999999999</v>
      </c>
      <c r="F977" s="105">
        <v>0.91339999999999999</v>
      </c>
      <c r="G977" s="2042">
        <v>1.0517000000000001</v>
      </c>
      <c r="H977" s="105">
        <f t="shared" si="30"/>
        <v>0.13830000000000009</v>
      </c>
    </row>
    <row r="978" spans="1:8" ht="14.5">
      <c r="A978" s="41">
        <v>245904</v>
      </c>
      <c r="B978" s="380" t="str">
        <f t="shared" si="31"/>
        <v>245-904</v>
      </c>
      <c r="C978" s="2042" t="s">
        <v>501</v>
      </c>
      <c r="D978" s="2042" t="s">
        <v>9284</v>
      </c>
      <c r="E978" s="105">
        <v>0.85540000000000005</v>
      </c>
      <c r="F978" s="105">
        <v>0.85540000000000005</v>
      </c>
      <c r="G978" s="2042">
        <v>0.94040000000000001</v>
      </c>
      <c r="H978" s="105">
        <f t="shared" si="30"/>
        <v>8.4999999999999964E-2</v>
      </c>
    </row>
    <row r="979" spans="1:8" ht="14.5">
      <c r="A979" s="41">
        <v>246902</v>
      </c>
      <c r="B979" s="380" t="str">
        <f t="shared" si="31"/>
        <v>246-902</v>
      </c>
      <c r="C979" s="2042" t="s">
        <v>100</v>
      </c>
      <c r="D979" s="2042" t="s">
        <v>9284</v>
      </c>
      <c r="E979" s="105">
        <v>0.82200000000000006</v>
      </c>
      <c r="F979" s="105">
        <v>0.82200000000000006</v>
      </c>
      <c r="G979" s="2042">
        <v>0.96030000000000004</v>
      </c>
      <c r="H979" s="105">
        <f t="shared" si="30"/>
        <v>0.13829999999999998</v>
      </c>
    </row>
    <row r="980" spans="1:8" ht="14.5">
      <c r="A980" s="41">
        <v>246904</v>
      </c>
      <c r="B980" s="380" t="str">
        <f t="shared" si="31"/>
        <v>246-904</v>
      </c>
      <c r="C980" s="2042" t="s">
        <v>2196</v>
      </c>
      <c r="D980" s="2042" t="s">
        <v>9284</v>
      </c>
      <c r="E980" s="105">
        <v>0.82200000000000006</v>
      </c>
      <c r="F980" s="105">
        <v>0.82200000000000006</v>
      </c>
      <c r="G980" s="2042">
        <v>0.90200000000000002</v>
      </c>
      <c r="H980" s="105">
        <f t="shared" si="30"/>
        <v>7.999999999999996E-2</v>
      </c>
    </row>
    <row r="981" spans="1:8" ht="14.5">
      <c r="A981" s="41">
        <v>246905</v>
      </c>
      <c r="B981" s="380" t="str">
        <f t="shared" si="31"/>
        <v>246-905</v>
      </c>
      <c r="C981" s="2042" t="s">
        <v>963</v>
      </c>
      <c r="D981" s="2042" t="s">
        <v>9284</v>
      </c>
      <c r="E981" s="105">
        <v>0.82200000000000006</v>
      </c>
      <c r="F981" s="105">
        <v>0.82200000000000006</v>
      </c>
      <c r="G981" s="2042">
        <v>0.91820000000000002</v>
      </c>
      <c r="H981" s="105">
        <f t="shared" si="30"/>
        <v>9.6199999999999952E-2</v>
      </c>
    </row>
    <row r="982" spans="1:8" ht="14.5">
      <c r="A982" s="41">
        <v>246906</v>
      </c>
      <c r="B982" s="380" t="str">
        <f t="shared" si="31"/>
        <v>246-906</v>
      </c>
      <c r="C982" s="2042" t="s">
        <v>1194</v>
      </c>
      <c r="D982" s="2042" t="s">
        <v>9284</v>
      </c>
      <c r="E982" s="105">
        <v>0.82200000000000006</v>
      </c>
      <c r="F982" s="105">
        <v>0.82200000000000006</v>
      </c>
      <c r="G982" s="2042">
        <v>0.96030000000000004</v>
      </c>
      <c r="H982" s="105">
        <f t="shared" si="30"/>
        <v>0.13829999999999998</v>
      </c>
    </row>
    <row r="983" spans="1:8" ht="14.5">
      <c r="A983" s="41">
        <v>246907</v>
      </c>
      <c r="B983" s="380" t="str">
        <f t="shared" si="31"/>
        <v>246-907</v>
      </c>
      <c r="C983" s="2042" t="s">
        <v>1520</v>
      </c>
      <c r="D983" s="2042" t="s">
        <v>9284</v>
      </c>
      <c r="E983" s="105">
        <v>0.82200000000000006</v>
      </c>
      <c r="F983" s="105">
        <v>0.82200000000000006</v>
      </c>
      <c r="G983" s="2042">
        <v>0.872</v>
      </c>
      <c r="H983" s="105">
        <f t="shared" si="30"/>
        <v>4.9999999999999933E-2</v>
      </c>
    </row>
    <row r="984" spans="1:8" ht="14.5">
      <c r="A984" s="41">
        <v>246908</v>
      </c>
      <c r="B984" s="380" t="str">
        <f t="shared" si="31"/>
        <v>246-908</v>
      </c>
      <c r="C984" s="2042" t="s">
        <v>2328</v>
      </c>
      <c r="D984" s="2042" t="s">
        <v>9284</v>
      </c>
      <c r="E984" s="105">
        <v>0.82200000000000006</v>
      </c>
      <c r="F984" s="105">
        <v>0.82200000000000006</v>
      </c>
      <c r="G984" s="2042">
        <v>0.86199999999999999</v>
      </c>
      <c r="H984" s="105">
        <f t="shared" si="30"/>
        <v>3.9999999999999925E-2</v>
      </c>
    </row>
    <row r="985" spans="1:8" ht="14.5">
      <c r="A985" s="41">
        <v>246909</v>
      </c>
      <c r="B985" s="380" t="str">
        <f t="shared" si="31"/>
        <v>246-909</v>
      </c>
      <c r="C985" s="2042" t="s">
        <v>574</v>
      </c>
      <c r="D985" s="2042" t="s">
        <v>9284</v>
      </c>
      <c r="E985" s="105">
        <v>0.84360000000000002</v>
      </c>
      <c r="F985" s="105">
        <v>0.84360000000000002</v>
      </c>
      <c r="G985" s="2042">
        <v>0.89360000000000006</v>
      </c>
      <c r="H985" s="105">
        <f t="shared" si="30"/>
        <v>5.0000000000000044E-2</v>
      </c>
    </row>
    <row r="986" spans="1:8" ht="14.5">
      <c r="A986" s="41">
        <v>246911</v>
      </c>
      <c r="B986" s="380" t="str">
        <f t="shared" si="31"/>
        <v>246-911</v>
      </c>
      <c r="C986" s="2042" t="s">
        <v>565</v>
      </c>
      <c r="D986" s="2042" t="s">
        <v>9284</v>
      </c>
      <c r="E986" s="105">
        <v>0.82200000000000006</v>
      </c>
      <c r="F986" s="105">
        <v>0.82200000000000006</v>
      </c>
      <c r="G986" s="2042">
        <v>0.96030000000000004</v>
      </c>
      <c r="H986" s="105">
        <f t="shared" si="30"/>
        <v>0.13829999999999998</v>
      </c>
    </row>
    <row r="987" spans="1:8" ht="14.5">
      <c r="A987" s="41">
        <v>246912</v>
      </c>
      <c r="B987" s="380" t="str">
        <f t="shared" si="31"/>
        <v>246-912</v>
      </c>
      <c r="C987" s="2042" t="s">
        <v>567</v>
      </c>
      <c r="D987" s="2042" t="s">
        <v>9284</v>
      </c>
      <c r="E987" s="105">
        <v>0.82200000000000006</v>
      </c>
      <c r="F987" s="105">
        <v>0.82200000000000006</v>
      </c>
      <c r="G987" s="2042">
        <v>0.96030000000000004</v>
      </c>
      <c r="H987" s="105">
        <f t="shared" si="30"/>
        <v>0.13829999999999998</v>
      </c>
    </row>
    <row r="988" spans="1:8" ht="14.5">
      <c r="A988" s="41">
        <v>246913</v>
      </c>
      <c r="B988" s="380" t="str">
        <f t="shared" si="31"/>
        <v>246-913</v>
      </c>
      <c r="C988" s="2042" t="s">
        <v>2326</v>
      </c>
      <c r="D988" s="2042" t="s">
        <v>9284</v>
      </c>
      <c r="E988" s="105">
        <v>0.82200000000000006</v>
      </c>
      <c r="F988" s="105">
        <v>0.82200000000000006</v>
      </c>
      <c r="G988" s="2042">
        <v>0.872</v>
      </c>
      <c r="H988" s="105">
        <f t="shared" si="30"/>
        <v>4.9999999999999933E-2</v>
      </c>
    </row>
    <row r="989" spans="1:8" ht="14.5">
      <c r="A989" s="41">
        <v>246914</v>
      </c>
      <c r="B989" s="380" t="str">
        <f t="shared" si="31"/>
        <v>246-914</v>
      </c>
      <c r="C989" s="2042" t="s">
        <v>1521</v>
      </c>
      <c r="D989" s="2042" t="s">
        <v>9284</v>
      </c>
      <c r="E989" s="105">
        <v>0.82200000000000006</v>
      </c>
      <c r="F989" s="105">
        <v>0.82200000000000006</v>
      </c>
      <c r="G989" s="2042">
        <v>0.872</v>
      </c>
      <c r="H989" s="105">
        <f t="shared" si="30"/>
        <v>4.9999999999999933E-2</v>
      </c>
    </row>
    <row r="990" spans="1:8" ht="14.5">
      <c r="A990" s="41">
        <v>247901</v>
      </c>
      <c r="B990" s="380" t="str">
        <f t="shared" si="31"/>
        <v>247-901</v>
      </c>
      <c r="C990" s="2042" t="s">
        <v>101</v>
      </c>
      <c r="D990" s="2042" t="s">
        <v>9284</v>
      </c>
      <c r="E990" s="105">
        <v>0.82200000000000006</v>
      </c>
      <c r="F990" s="105">
        <v>0.82200000000000006</v>
      </c>
      <c r="G990" s="2042">
        <v>0.872</v>
      </c>
      <c r="H990" s="105">
        <f t="shared" si="30"/>
        <v>4.9999999999999933E-2</v>
      </c>
    </row>
    <row r="991" spans="1:8" ht="14.5">
      <c r="A991" s="41">
        <v>247903</v>
      </c>
      <c r="B991" s="380" t="str">
        <f t="shared" si="31"/>
        <v>247-903</v>
      </c>
      <c r="C991" s="2042" t="s">
        <v>1793</v>
      </c>
      <c r="D991" s="2042" t="s">
        <v>9284</v>
      </c>
      <c r="E991" s="105">
        <v>0.82200000000000006</v>
      </c>
      <c r="F991" s="105">
        <v>0.82200000000000006</v>
      </c>
      <c r="G991" s="2042">
        <v>0.872</v>
      </c>
      <c r="H991" s="105">
        <f t="shared" si="30"/>
        <v>4.9999999999999933E-2</v>
      </c>
    </row>
    <row r="992" spans="1:8" ht="14.5">
      <c r="A992" s="41">
        <v>247904</v>
      </c>
      <c r="B992" s="380" t="str">
        <f t="shared" si="31"/>
        <v>247-904</v>
      </c>
      <c r="C992" s="2042" t="s">
        <v>951</v>
      </c>
      <c r="D992" s="2042" t="s">
        <v>9284</v>
      </c>
      <c r="E992" s="105">
        <v>0.82200000000000006</v>
      </c>
      <c r="F992" s="105">
        <v>0.82200000000000006</v>
      </c>
      <c r="G992" s="2042">
        <v>0.872</v>
      </c>
      <c r="H992" s="105">
        <f t="shared" si="30"/>
        <v>4.9999999999999933E-2</v>
      </c>
    </row>
    <row r="993" spans="1:8" ht="14.5">
      <c r="A993" s="41">
        <v>247906</v>
      </c>
      <c r="B993" s="380" t="str">
        <f t="shared" si="31"/>
        <v>247-906</v>
      </c>
      <c r="C993" s="2042" t="s">
        <v>1834</v>
      </c>
      <c r="D993" s="2042" t="s">
        <v>9284</v>
      </c>
      <c r="E993" s="105">
        <v>0.82200000000000006</v>
      </c>
      <c r="F993" s="105">
        <v>0.82200000000000006</v>
      </c>
      <c r="G993" s="2042">
        <v>0.872</v>
      </c>
      <c r="H993" s="105">
        <f t="shared" si="30"/>
        <v>4.9999999999999933E-2</v>
      </c>
    </row>
    <row r="994" spans="1:8" ht="14.5">
      <c r="A994" s="41">
        <v>248901</v>
      </c>
      <c r="B994" s="380" t="str">
        <f t="shared" si="31"/>
        <v>248-901</v>
      </c>
      <c r="C994" s="2042" t="s">
        <v>1522</v>
      </c>
      <c r="D994" s="2042" t="s">
        <v>9284</v>
      </c>
      <c r="E994" s="105">
        <v>0.91339999999999999</v>
      </c>
      <c r="F994" s="105">
        <v>0.91339999999999999</v>
      </c>
      <c r="G994" s="2042">
        <v>1.0016</v>
      </c>
      <c r="H994" s="105">
        <f t="shared" si="30"/>
        <v>8.8200000000000056E-2</v>
      </c>
    </row>
    <row r="995" spans="1:8" ht="14.5">
      <c r="A995" s="41">
        <v>248902</v>
      </c>
      <c r="B995" s="380" t="str">
        <f t="shared" si="31"/>
        <v>248-902</v>
      </c>
      <c r="C995" s="2042" t="s">
        <v>1523</v>
      </c>
      <c r="D995" s="2042" t="s">
        <v>9284</v>
      </c>
      <c r="E995" s="105">
        <v>0.85950000000000004</v>
      </c>
      <c r="F995" s="105">
        <v>0.85950000000000004</v>
      </c>
      <c r="G995" s="2042">
        <v>0.9395</v>
      </c>
      <c r="H995" s="105">
        <f t="shared" si="30"/>
        <v>7.999999999999996E-2</v>
      </c>
    </row>
    <row r="996" spans="1:8" ht="14.5">
      <c r="A996" s="41">
        <v>249901</v>
      </c>
      <c r="B996" s="380" t="str">
        <f t="shared" si="31"/>
        <v>249-901</v>
      </c>
      <c r="C996" s="2042" t="s">
        <v>997</v>
      </c>
      <c r="D996" s="2042" t="s">
        <v>9284</v>
      </c>
      <c r="E996" s="105">
        <v>0.83779999999999999</v>
      </c>
      <c r="F996" s="105">
        <v>0.83779999999999999</v>
      </c>
      <c r="G996" s="2042">
        <v>0.97610000000000008</v>
      </c>
      <c r="H996" s="105">
        <f t="shared" si="30"/>
        <v>0.13830000000000009</v>
      </c>
    </row>
    <row r="997" spans="1:8" ht="14.5">
      <c r="A997" s="41">
        <v>249902</v>
      </c>
      <c r="B997" s="380" t="str">
        <f t="shared" si="31"/>
        <v>249-902</v>
      </c>
      <c r="C997" s="2042" t="s">
        <v>1524</v>
      </c>
      <c r="D997" s="2042" t="s">
        <v>9284</v>
      </c>
      <c r="E997" s="105">
        <v>0.82630000000000003</v>
      </c>
      <c r="F997" s="105">
        <v>0.82630000000000003</v>
      </c>
      <c r="G997" s="2042">
        <v>0.87630000000000008</v>
      </c>
      <c r="H997" s="105">
        <f t="shared" si="30"/>
        <v>5.0000000000000044E-2</v>
      </c>
    </row>
    <row r="998" spans="1:8" ht="14.5">
      <c r="A998" s="41">
        <v>249903</v>
      </c>
      <c r="B998" s="380" t="str">
        <f t="shared" si="31"/>
        <v>249-903</v>
      </c>
      <c r="C998" s="2042" t="s">
        <v>1525</v>
      </c>
      <c r="D998" s="2042" t="s">
        <v>9284</v>
      </c>
      <c r="E998" s="105">
        <v>0.87420000000000009</v>
      </c>
      <c r="F998" s="105">
        <v>0.87420000000000009</v>
      </c>
      <c r="G998" s="2042">
        <v>0.92420000000000002</v>
      </c>
      <c r="H998" s="105">
        <f t="shared" si="30"/>
        <v>4.9999999999999933E-2</v>
      </c>
    </row>
    <row r="999" spans="1:8" ht="14.5">
      <c r="A999" s="41">
        <v>249904</v>
      </c>
      <c r="B999" s="380" t="str">
        <f t="shared" si="31"/>
        <v>249-904</v>
      </c>
      <c r="C999" s="2042" t="s">
        <v>1526</v>
      </c>
      <c r="D999" s="2042" t="s">
        <v>9284</v>
      </c>
      <c r="E999" s="105">
        <v>0.85370000000000001</v>
      </c>
      <c r="F999" s="105">
        <v>0.85370000000000001</v>
      </c>
      <c r="G999" s="2042">
        <v>0.90370000000000006</v>
      </c>
      <c r="H999" s="105">
        <f t="shared" si="30"/>
        <v>5.0000000000000044E-2</v>
      </c>
    </row>
    <row r="1000" spans="1:8" ht="14.5">
      <c r="A1000" s="41">
        <v>249905</v>
      </c>
      <c r="B1000" s="380" t="str">
        <f t="shared" si="31"/>
        <v>249-905</v>
      </c>
      <c r="C1000" s="2042" t="s">
        <v>1527</v>
      </c>
      <c r="D1000" s="2042" t="s">
        <v>9284</v>
      </c>
      <c r="E1000" s="105">
        <v>0.86199999999999999</v>
      </c>
      <c r="F1000" s="105">
        <v>0.86199999999999999</v>
      </c>
      <c r="G1000" s="2042">
        <v>0.91200000000000003</v>
      </c>
      <c r="H1000" s="105">
        <f t="shared" si="30"/>
        <v>5.0000000000000044E-2</v>
      </c>
    </row>
    <row r="1001" spans="1:8" ht="14.5">
      <c r="A1001" s="41">
        <v>249906</v>
      </c>
      <c r="B1001" s="380" t="str">
        <f t="shared" si="31"/>
        <v>249-906</v>
      </c>
      <c r="C1001" s="2042" t="s">
        <v>1289</v>
      </c>
      <c r="D1001" s="2042" t="s">
        <v>9284</v>
      </c>
      <c r="E1001" s="105">
        <v>0.82200000000000006</v>
      </c>
      <c r="F1001" s="105">
        <v>0.82200000000000006</v>
      </c>
      <c r="G1001" s="2042">
        <v>0.872</v>
      </c>
      <c r="H1001" s="105">
        <f t="shared" si="30"/>
        <v>4.9999999999999933E-2</v>
      </c>
    </row>
    <row r="1002" spans="1:8" ht="14.5">
      <c r="A1002" s="41">
        <v>249908</v>
      </c>
      <c r="B1002" s="380" t="str">
        <f t="shared" si="31"/>
        <v>249-908</v>
      </c>
      <c r="C1002" s="2042" t="s">
        <v>1820</v>
      </c>
      <c r="D1002" s="2042" t="s">
        <v>9284</v>
      </c>
      <c r="E1002" s="105">
        <v>0.90340000000000009</v>
      </c>
      <c r="F1002" s="105">
        <v>0.90340000000000009</v>
      </c>
      <c r="G1002" s="2042">
        <v>0.96340000000000003</v>
      </c>
      <c r="H1002" s="105">
        <f t="shared" si="30"/>
        <v>5.9999999999999942E-2</v>
      </c>
    </row>
    <row r="1003" spans="1:8" ht="14.5">
      <c r="A1003" s="41">
        <v>250902</v>
      </c>
      <c r="B1003" s="380" t="str">
        <f t="shared" si="31"/>
        <v>250-902</v>
      </c>
      <c r="C1003" s="2042" t="s">
        <v>1528</v>
      </c>
      <c r="D1003" s="2042" t="s">
        <v>9284</v>
      </c>
      <c r="E1003" s="105">
        <v>0.91339999999999999</v>
      </c>
      <c r="F1003" s="105">
        <v>0.91339999999999999</v>
      </c>
      <c r="G1003" s="2042">
        <v>0.96340000000000003</v>
      </c>
      <c r="H1003" s="105">
        <f t="shared" si="30"/>
        <v>5.0000000000000044E-2</v>
      </c>
    </row>
    <row r="1004" spans="1:8" ht="14.5">
      <c r="A1004" s="41">
        <v>250903</v>
      </c>
      <c r="B1004" s="380" t="str">
        <f t="shared" si="31"/>
        <v>250-903</v>
      </c>
      <c r="C1004" s="2042" t="s">
        <v>1529</v>
      </c>
      <c r="D1004" s="2042" t="s">
        <v>9284</v>
      </c>
      <c r="E1004" s="105">
        <v>0.82480000000000009</v>
      </c>
      <c r="F1004" s="105">
        <v>0.82480000000000009</v>
      </c>
      <c r="G1004" s="2042">
        <v>0.96310000000000007</v>
      </c>
      <c r="H1004" s="105">
        <f t="shared" si="30"/>
        <v>0.13829999999999998</v>
      </c>
    </row>
    <row r="1005" spans="1:8" ht="14.5">
      <c r="A1005" s="41">
        <v>250904</v>
      </c>
      <c r="B1005" s="380" t="str">
        <f t="shared" si="31"/>
        <v>250-904</v>
      </c>
      <c r="C1005" s="2042" t="s">
        <v>22</v>
      </c>
      <c r="D1005" s="2042" t="s">
        <v>9284</v>
      </c>
      <c r="E1005" s="105">
        <v>0.8397</v>
      </c>
      <c r="F1005" s="105">
        <v>0.8397</v>
      </c>
      <c r="G1005" s="2042">
        <v>0.97800000000000009</v>
      </c>
      <c r="H1005" s="105">
        <f t="shared" si="30"/>
        <v>0.13830000000000009</v>
      </c>
    </row>
    <row r="1006" spans="1:8" ht="14.5">
      <c r="A1006" s="41">
        <v>250905</v>
      </c>
      <c r="B1006" s="380" t="str">
        <f t="shared" si="31"/>
        <v>250-905</v>
      </c>
      <c r="C1006" s="2042" t="s">
        <v>1294</v>
      </c>
      <c r="D1006" s="2042" t="s">
        <v>9284</v>
      </c>
      <c r="E1006" s="105">
        <v>0.82200000000000006</v>
      </c>
      <c r="F1006" s="105">
        <v>0.82200000000000006</v>
      </c>
      <c r="G1006" s="2042">
        <v>0.872</v>
      </c>
      <c r="H1006" s="105">
        <f t="shared" si="30"/>
        <v>4.9999999999999933E-2</v>
      </c>
    </row>
    <row r="1007" spans="1:8" ht="14.5">
      <c r="A1007" s="41">
        <v>250906</v>
      </c>
      <c r="B1007" s="380" t="str">
        <f t="shared" si="31"/>
        <v>250-906</v>
      </c>
      <c r="C1007" s="2042" t="s">
        <v>1295</v>
      </c>
      <c r="D1007" s="2042" t="s">
        <v>9284</v>
      </c>
      <c r="E1007" s="105">
        <v>0.82200000000000006</v>
      </c>
      <c r="F1007" s="105">
        <v>0.82200000000000006</v>
      </c>
      <c r="G1007" s="2042">
        <v>0.96030000000000004</v>
      </c>
      <c r="H1007" s="105">
        <f t="shared" si="30"/>
        <v>0.13829999999999998</v>
      </c>
    </row>
    <row r="1008" spans="1:8" ht="14.5">
      <c r="A1008" s="41">
        <v>250907</v>
      </c>
      <c r="B1008" s="380" t="str">
        <f t="shared" si="31"/>
        <v>250-907</v>
      </c>
      <c r="C1008" s="2042" t="s">
        <v>1296</v>
      </c>
      <c r="D1008" s="2042" t="s">
        <v>9284</v>
      </c>
      <c r="E1008" s="105">
        <v>0.84760000000000002</v>
      </c>
      <c r="F1008" s="105">
        <v>0.84760000000000002</v>
      </c>
      <c r="G1008" s="2042">
        <v>0.9859</v>
      </c>
      <c r="H1008" s="105">
        <f t="shared" si="30"/>
        <v>0.13829999999999998</v>
      </c>
    </row>
    <row r="1009" spans="1:8" ht="14.5">
      <c r="A1009" s="41">
        <v>251901</v>
      </c>
      <c r="B1009" s="380" t="str">
        <f t="shared" si="31"/>
        <v>251-901</v>
      </c>
      <c r="C1009" s="2042" t="s">
        <v>1297</v>
      </c>
      <c r="D1009" s="2042" t="s">
        <v>9284</v>
      </c>
      <c r="E1009" s="105">
        <v>0.91339999999999999</v>
      </c>
      <c r="F1009" s="105">
        <v>0.91339999999999999</v>
      </c>
      <c r="G1009" s="2042">
        <v>0.96340000000000003</v>
      </c>
      <c r="H1009" s="105">
        <f t="shared" si="30"/>
        <v>5.0000000000000044E-2</v>
      </c>
    </row>
    <row r="1010" spans="1:8" ht="14.5">
      <c r="A1010" s="41">
        <v>251902</v>
      </c>
      <c r="B1010" s="380" t="str">
        <f t="shared" si="31"/>
        <v>251-902</v>
      </c>
      <c r="C1010" s="2042" t="s">
        <v>1298</v>
      </c>
      <c r="D1010" s="2042" t="s">
        <v>9284</v>
      </c>
      <c r="E1010" s="105">
        <v>0.91339999999999999</v>
      </c>
      <c r="F1010" s="105">
        <v>0.91339999999999999</v>
      </c>
      <c r="G1010" s="2042">
        <v>0.96340000000000003</v>
      </c>
      <c r="H1010" s="105">
        <f t="shared" si="30"/>
        <v>5.0000000000000044E-2</v>
      </c>
    </row>
    <row r="1011" spans="1:8" ht="14.5">
      <c r="A1011" s="41">
        <v>252901</v>
      </c>
      <c r="B1011" s="380" t="str">
        <f t="shared" si="31"/>
        <v>252-901</v>
      </c>
      <c r="C1011" s="2042" t="s">
        <v>815</v>
      </c>
      <c r="D1011" s="2042" t="s">
        <v>9284</v>
      </c>
      <c r="E1011" s="105">
        <v>0.91339999999999999</v>
      </c>
      <c r="F1011" s="105">
        <v>0.91339999999999999</v>
      </c>
      <c r="G1011" s="2042">
        <v>0.96340000000000003</v>
      </c>
      <c r="H1011" s="105">
        <f t="shared" si="30"/>
        <v>5.0000000000000044E-2</v>
      </c>
    </row>
    <row r="1012" spans="1:8" ht="14.5">
      <c r="A1012" s="727">
        <v>252902</v>
      </c>
      <c r="B1012" s="1683" t="str">
        <f t="shared" si="31"/>
        <v>252-902</v>
      </c>
      <c r="C1012" s="629" t="s">
        <v>1299</v>
      </c>
      <c r="D1012" s="629" t="s">
        <v>9284</v>
      </c>
      <c r="E1012" s="105">
        <v>0.91339999999999999</v>
      </c>
      <c r="F1012" s="105">
        <v>0.91810000000000003</v>
      </c>
      <c r="G1012" s="2042">
        <v>1.0517000000000001</v>
      </c>
      <c r="H1012" s="105">
        <f t="shared" si="30"/>
        <v>0.13360000000000005</v>
      </c>
    </row>
    <row r="1013" spans="1:8" ht="14.5">
      <c r="A1013" s="41">
        <v>252903</v>
      </c>
      <c r="B1013" s="380" t="str">
        <f t="shared" si="31"/>
        <v>252-903</v>
      </c>
      <c r="C1013" s="2042" t="s">
        <v>779</v>
      </c>
      <c r="D1013" s="2042" t="s">
        <v>9284</v>
      </c>
      <c r="E1013" s="105">
        <v>0.91339999999999999</v>
      </c>
      <c r="F1013" s="105">
        <v>0.91339999999999999</v>
      </c>
      <c r="G1013" s="2042">
        <v>1.0517000000000001</v>
      </c>
      <c r="H1013" s="105">
        <f t="shared" si="30"/>
        <v>0.13830000000000009</v>
      </c>
    </row>
    <row r="1014" spans="1:8" ht="14.5">
      <c r="A1014" s="41">
        <v>253901</v>
      </c>
      <c r="B1014" s="380" t="str">
        <f t="shared" si="31"/>
        <v>253-901</v>
      </c>
      <c r="C1014" s="2042" t="s">
        <v>1300</v>
      </c>
      <c r="D1014" s="2042" t="s">
        <v>9284</v>
      </c>
      <c r="E1014" s="105">
        <v>0.82200000000000006</v>
      </c>
      <c r="F1014" s="105">
        <v>0.82200000000000006</v>
      </c>
      <c r="G1014" s="2042">
        <v>0.872</v>
      </c>
      <c r="H1014" s="105">
        <f t="shared" si="30"/>
        <v>4.9999999999999933E-2</v>
      </c>
    </row>
    <row r="1015" spans="1:8">
      <c r="B1015" s="2042" t="s">
        <v>2268</v>
      </c>
      <c r="C1015" s="2042" t="s">
        <v>6990</v>
      </c>
      <c r="E1015" s="105">
        <v>0.87290000000000001</v>
      </c>
      <c r="F1015" s="105">
        <v>0.87290000000000001</v>
      </c>
      <c r="G1015" s="2042">
        <v>0.92290000000000005</v>
      </c>
      <c r="H1015" s="105">
        <f t="shared" si="30"/>
        <v>5.0000000000000044E-2</v>
      </c>
    </row>
    <row r="1016" spans="1:8" ht="14.5">
      <c r="A1016" s="41">
        <v>254902</v>
      </c>
      <c r="B1016" s="380" t="str">
        <f t="shared" si="31"/>
        <v>254-902</v>
      </c>
      <c r="C1016" s="2042" t="s">
        <v>1791</v>
      </c>
      <c r="D1016" s="2042" t="s">
        <v>9284</v>
      </c>
      <c r="E1016" s="105">
        <v>0.82200000000000006</v>
      </c>
      <c r="F1016" s="105">
        <v>0.82200000000000006</v>
      </c>
      <c r="G1016" s="2042">
        <v>0.96030000000000004</v>
      </c>
      <c r="H1016" s="105">
        <f t="shared" si="30"/>
        <v>0.13829999999999998</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2:C1210"/>
  <sheetViews>
    <sheetView workbookViewId="0">
      <selection activeCell="B2" sqref="B2"/>
    </sheetView>
  </sheetViews>
  <sheetFormatPr defaultRowHeight="12.5"/>
  <cols>
    <col min="2" max="2" width="11.6328125" style="41" customWidth="1"/>
    <col min="3" max="3" width="20.6328125" customWidth="1"/>
  </cols>
  <sheetData>
    <row r="2" spans="1:3" ht="14.5">
      <c r="A2" s="2042">
        <v>1902</v>
      </c>
      <c r="B2" s="2113" t="str">
        <f>CONCATENATE(LEFT(RIGHT(CONCATENATE("000",A2),6),3),"-",(RIGHT(RIGHT(CONCATENATE("000",A2),6),3)))</f>
        <v>001-902</v>
      </c>
      <c r="C2" s="76">
        <v>524.16</v>
      </c>
    </row>
    <row r="3" spans="1:3" ht="14.5">
      <c r="A3" s="2795">
        <v>1903</v>
      </c>
      <c r="B3" s="2113" t="str">
        <f t="shared" ref="B3:B66" si="0">CONCATENATE(LEFT(RIGHT(CONCATENATE("000",A3),6),3),"-",(RIGHT(RIGHT(CONCATENATE("000",A3),6),3)))</f>
        <v>001-903</v>
      </c>
      <c r="C3" s="2796">
        <v>1143.0640000000001</v>
      </c>
    </row>
    <row r="4" spans="1:3" ht="14.5">
      <c r="A4" s="2042">
        <v>1904</v>
      </c>
      <c r="B4" s="2113" t="str">
        <f t="shared" si="0"/>
        <v>001-904</v>
      </c>
      <c r="C4" s="76">
        <v>702.62</v>
      </c>
    </row>
    <row r="5" spans="1:3" ht="14.5">
      <c r="A5" s="2042">
        <v>1906</v>
      </c>
      <c r="B5" s="2113" t="str">
        <f t="shared" si="0"/>
        <v>001-906</v>
      </c>
      <c r="C5" s="76">
        <v>311.10300000000001</v>
      </c>
    </row>
    <row r="6" spans="1:3" ht="14.5">
      <c r="A6" s="2042">
        <v>1907</v>
      </c>
      <c r="B6" s="2113" t="str">
        <f t="shared" si="0"/>
        <v>001-907</v>
      </c>
      <c r="C6" s="76">
        <v>3164.7890000000002</v>
      </c>
    </row>
    <row r="7" spans="1:3" ht="14.5">
      <c r="A7" s="2042">
        <v>1908</v>
      </c>
      <c r="B7" s="2113" t="str">
        <f t="shared" si="0"/>
        <v>001-908</v>
      </c>
      <c r="C7" s="76">
        <v>1357.7080000000001</v>
      </c>
    </row>
    <row r="8" spans="1:3" ht="14.5">
      <c r="A8" s="2042">
        <v>1909</v>
      </c>
      <c r="B8" s="2113" t="str">
        <f t="shared" si="0"/>
        <v>001-909</v>
      </c>
      <c r="C8" s="76">
        <v>336.70299999999997</v>
      </c>
    </row>
    <row r="9" spans="1:3" ht="14.5">
      <c r="A9" s="2042">
        <v>2901</v>
      </c>
      <c r="B9" s="2113" t="str">
        <f t="shared" si="0"/>
        <v>002-901</v>
      </c>
      <c r="C9" s="76">
        <v>4272.518</v>
      </c>
    </row>
    <row r="10" spans="1:3" ht="14.5">
      <c r="A10" s="2042">
        <v>3801</v>
      </c>
      <c r="B10" s="2113" t="str">
        <f t="shared" si="0"/>
        <v>003-801</v>
      </c>
      <c r="C10" s="76">
        <v>925.48299999999995</v>
      </c>
    </row>
    <row r="11" spans="1:3" ht="14.5">
      <c r="A11" s="2042">
        <v>3902</v>
      </c>
      <c r="B11" s="2113" t="str">
        <f t="shared" si="0"/>
        <v>003-902</v>
      </c>
      <c r="C11" s="76">
        <v>2786.6410000000001</v>
      </c>
    </row>
    <row r="12" spans="1:3" ht="14.5">
      <c r="A12" s="2042">
        <v>3903</v>
      </c>
      <c r="B12" s="2113" t="str">
        <f t="shared" si="0"/>
        <v>003-903</v>
      </c>
      <c r="C12" s="76">
        <v>7054.8159999999998</v>
      </c>
    </row>
    <row r="13" spans="1:3" ht="14.5">
      <c r="A13" s="2042">
        <v>3904</v>
      </c>
      <c r="B13" s="2113" t="str">
        <f t="shared" si="0"/>
        <v>003-904</v>
      </c>
      <c r="C13" s="76">
        <v>1465.298</v>
      </c>
    </row>
    <row r="14" spans="1:3" ht="14.5">
      <c r="A14" s="2042">
        <v>3905</v>
      </c>
      <c r="B14" s="2113" t="str">
        <f t="shared" si="0"/>
        <v>003-905</v>
      </c>
      <c r="C14" s="76">
        <v>1553.3009999999999</v>
      </c>
    </row>
    <row r="15" spans="1:3" ht="14.5">
      <c r="A15" s="2042">
        <v>3906</v>
      </c>
      <c r="B15" s="2113" t="str">
        <f t="shared" si="0"/>
        <v>003-906</v>
      </c>
      <c r="C15" s="76">
        <v>268.59899999999999</v>
      </c>
    </row>
    <row r="16" spans="1:3" ht="14.5">
      <c r="A16" s="2042">
        <v>3907</v>
      </c>
      <c r="B16" s="2113" t="str">
        <f t="shared" si="0"/>
        <v>003-907</v>
      </c>
      <c r="C16" s="76">
        <v>1345.06</v>
      </c>
    </row>
    <row r="17" spans="1:3" ht="14.5">
      <c r="A17" s="2042">
        <v>4901</v>
      </c>
      <c r="B17" s="2113" t="str">
        <f t="shared" si="0"/>
        <v>004-901</v>
      </c>
      <c r="C17" s="76">
        <v>2681.1590000000001</v>
      </c>
    </row>
    <row r="18" spans="1:3" ht="14.5">
      <c r="A18" s="2042">
        <v>5901</v>
      </c>
      <c r="B18" s="2113" t="str">
        <f t="shared" si="0"/>
        <v>005-901</v>
      </c>
      <c r="C18" s="76">
        <v>460.88600000000002</v>
      </c>
    </row>
    <row r="19" spans="1:3" ht="14.5">
      <c r="A19" s="2042">
        <v>5902</v>
      </c>
      <c r="B19" s="2113" t="str">
        <f t="shared" si="0"/>
        <v>005-902</v>
      </c>
      <c r="C19" s="76">
        <v>1026.3030000000001</v>
      </c>
    </row>
    <row r="20" spans="1:3" ht="14.5">
      <c r="A20" s="2042">
        <v>5904</v>
      </c>
      <c r="B20" s="2113" t="str">
        <f t="shared" si="0"/>
        <v>005-904</v>
      </c>
      <c r="C20" s="76">
        <v>398.28800000000001</v>
      </c>
    </row>
    <row r="21" spans="1:3" ht="14.5">
      <c r="A21" s="2042">
        <v>6902</v>
      </c>
      <c r="B21" s="2113" t="str">
        <f t="shared" si="0"/>
        <v>006-902</v>
      </c>
      <c r="C21" s="76">
        <v>287.065</v>
      </c>
    </row>
    <row r="22" spans="1:3" ht="14.5">
      <c r="A22" s="2042">
        <v>7901</v>
      </c>
      <c r="B22" s="2113" t="str">
        <f t="shared" si="0"/>
        <v>007-901</v>
      </c>
      <c r="C22" s="76">
        <v>418.53100000000001</v>
      </c>
    </row>
    <row r="23" spans="1:3" ht="14.5">
      <c r="A23" s="2042">
        <v>7902</v>
      </c>
      <c r="B23" s="2113" t="str">
        <f t="shared" si="0"/>
        <v>007-902</v>
      </c>
      <c r="C23" s="76">
        <v>1493.954</v>
      </c>
    </row>
    <row r="24" spans="1:3" ht="14.5">
      <c r="A24" s="2042">
        <v>7904</v>
      </c>
      <c r="B24" s="2113" t="str">
        <f t="shared" si="0"/>
        <v>007-904</v>
      </c>
      <c r="C24" s="76">
        <v>1667.86</v>
      </c>
    </row>
    <row r="25" spans="1:3" ht="14.5">
      <c r="A25" s="2042">
        <v>7905</v>
      </c>
      <c r="B25" s="2113" t="str">
        <f t="shared" si="0"/>
        <v>007-905</v>
      </c>
      <c r="C25" s="76">
        <v>3218.7919999999999</v>
      </c>
    </row>
    <row r="26" spans="1:3" ht="14.5">
      <c r="A26" s="2042">
        <v>7906</v>
      </c>
      <c r="B26" s="2113" t="str">
        <f t="shared" si="0"/>
        <v>007-906</v>
      </c>
      <c r="C26" s="76">
        <v>1453.5440000000001</v>
      </c>
    </row>
    <row r="27" spans="1:3" ht="14.5">
      <c r="A27" s="2042">
        <v>8901</v>
      </c>
      <c r="B27" s="2113" t="str">
        <f t="shared" si="0"/>
        <v>008-901</v>
      </c>
      <c r="C27" s="76">
        <v>2057.614</v>
      </c>
    </row>
    <row r="28" spans="1:3" ht="14.5">
      <c r="A28" s="2042">
        <v>8902</v>
      </c>
      <c r="B28" s="2113" t="str">
        <f t="shared" si="0"/>
        <v>008-902</v>
      </c>
      <c r="C28" s="76">
        <v>2582.3620000000001</v>
      </c>
    </row>
    <row r="29" spans="1:3" ht="14.5">
      <c r="A29" s="2042">
        <v>8903</v>
      </c>
      <c r="B29" s="2113" t="str">
        <f t="shared" si="0"/>
        <v>008-903</v>
      </c>
      <c r="C29" s="76">
        <v>824.18200000000002</v>
      </c>
    </row>
    <row r="30" spans="1:3" ht="14.5">
      <c r="A30" s="2042">
        <v>9901</v>
      </c>
      <c r="B30" s="2113" t="str">
        <f t="shared" si="0"/>
        <v>009-901</v>
      </c>
      <c r="C30" s="76">
        <v>1268.7190000000001</v>
      </c>
    </row>
    <row r="31" spans="1:3" ht="14.5">
      <c r="A31" s="2042">
        <v>10901</v>
      </c>
      <c r="B31" s="2113" t="str">
        <f t="shared" si="0"/>
        <v>010-901</v>
      </c>
      <c r="C31" s="76">
        <v>286.363</v>
      </c>
    </row>
    <row r="32" spans="1:3" ht="14.5">
      <c r="A32" s="2042">
        <v>10902</v>
      </c>
      <c r="B32" s="2113" t="str">
        <f t="shared" si="0"/>
        <v>010-902</v>
      </c>
      <c r="C32" s="76">
        <v>2057.8119999999999</v>
      </c>
    </row>
    <row r="33" spans="1:3" ht="14.5">
      <c r="A33" s="2042">
        <v>11901</v>
      </c>
      <c r="B33" s="2113" t="str">
        <f t="shared" si="0"/>
        <v>011-901</v>
      </c>
      <c r="C33" s="76">
        <v>10727.359</v>
      </c>
    </row>
    <row r="34" spans="1:3" ht="14.5">
      <c r="A34" s="2042">
        <v>11902</v>
      </c>
      <c r="B34" s="2113" t="str">
        <f t="shared" si="0"/>
        <v>011-902</v>
      </c>
      <c r="C34" s="76">
        <v>4265.1840000000002</v>
      </c>
    </row>
    <row r="35" spans="1:3" ht="14.5">
      <c r="A35" s="2042">
        <v>11904</v>
      </c>
      <c r="B35" s="2113" t="str">
        <f t="shared" si="0"/>
        <v>011-904</v>
      </c>
      <c r="C35" s="76">
        <v>1743.287</v>
      </c>
    </row>
    <row r="36" spans="1:3" ht="14.5">
      <c r="A36" s="2042">
        <v>11905</v>
      </c>
      <c r="B36" s="2113" t="str">
        <f t="shared" si="0"/>
        <v>011-905</v>
      </c>
      <c r="C36" s="76">
        <v>353.55500000000001</v>
      </c>
    </row>
    <row r="37" spans="1:3" ht="14.5">
      <c r="A37" s="2042">
        <v>12901</v>
      </c>
      <c r="B37" s="2113" t="str">
        <f t="shared" si="0"/>
        <v>012-901</v>
      </c>
      <c r="C37" s="76">
        <v>574.81700000000001</v>
      </c>
    </row>
    <row r="38" spans="1:3" ht="14.5">
      <c r="A38" s="2042">
        <v>13801</v>
      </c>
      <c r="B38" s="2113" t="str">
        <f t="shared" si="0"/>
        <v>013-801</v>
      </c>
      <c r="C38" s="76">
        <v>394.36500000000001</v>
      </c>
    </row>
    <row r="39" spans="1:3" ht="14.5">
      <c r="A39" s="2042">
        <v>13901</v>
      </c>
      <c r="B39" s="2113" t="str">
        <f t="shared" si="0"/>
        <v>013-901</v>
      </c>
      <c r="C39" s="76">
        <v>2839.5889999999999</v>
      </c>
    </row>
    <row r="40" spans="1:3" ht="14.5">
      <c r="A40" s="2042">
        <v>13902</v>
      </c>
      <c r="B40" s="2113" t="str">
        <f t="shared" si="0"/>
        <v>013-902</v>
      </c>
      <c r="C40" s="76">
        <v>300.959</v>
      </c>
    </row>
    <row r="41" spans="1:3" ht="14.5">
      <c r="A41" s="2042">
        <v>13903</v>
      </c>
      <c r="B41" s="2113" t="str">
        <f t="shared" si="0"/>
        <v>013-903</v>
      </c>
      <c r="C41" s="76">
        <v>348.541</v>
      </c>
    </row>
    <row r="42" spans="1:3" ht="14.5">
      <c r="A42" s="2042">
        <v>13905</v>
      </c>
      <c r="B42" s="2113" t="str">
        <f t="shared" si="0"/>
        <v>013-905</v>
      </c>
      <c r="C42" s="76">
        <v>778.899</v>
      </c>
    </row>
    <row r="43" spans="1:3" ht="14.5">
      <c r="A43" s="2042">
        <v>14801</v>
      </c>
      <c r="B43" s="2113" t="str">
        <f t="shared" si="0"/>
        <v>014-801</v>
      </c>
      <c r="C43" s="76">
        <v>1427.1679999999999</v>
      </c>
    </row>
    <row r="44" spans="1:3" ht="14.5">
      <c r="A44" s="2042">
        <v>14803</v>
      </c>
      <c r="B44" s="2113" t="str">
        <f t="shared" si="0"/>
        <v>014-803</v>
      </c>
      <c r="C44" s="76">
        <v>752.274</v>
      </c>
    </row>
    <row r="45" spans="1:3" ht="14.5">
      <c r="A45" s="2042">
        <v>14804</v>
      </c>
      <c r="B45" s="2113" t="str">
        <f t="shared" si="0"/>
        <v>014-804</v>
      </c>
      <c r="C45" s="76">
        <v>1834.5609999999999</v>
      </c>
    </row>
    <row r="46" spans="1:3" ht="14.5">
      <c r="A46" s="2042">
        <v>14901</v>
      </c>
      <c r="B46" s="2113" t="str">
        <f t="shared" si="0"/>
        <v>014-901</v>
      </c>
      <c r="C46" s="76">
        <v>1726.393</v>
      </c>
    </row>
    <row r="47" spans="1:3" ht="14.5">
      <c r="A47" s="2042">
        <v>14902</v>
      </c>
      <c r="B47" s="2113" t="str">
        <f t="shared" si="0"/>
        <v>014-902</v>
      </c>
      <c r="C47" s="76">
        <v>377.26299999999998</v>
      </c>
    </row>
    <row r="48" spans="1:3" ht="14.5">
      <c r="A48" s="2042">
        <v>14903</v>
      </c>
      <c r="B48" s="2113" t="str">
        <f t="shared" si="0"/>
        <v>014-903</v>
      </c>
      <c r="C48" s="76">
        <v>11823.252</v>
      </c>
    </row>
    <row r="49" spans="1:3" ht="14.5">
      <c r="A49" s="2042">
        <v>14905</v>
      </c>
      <c r="B49" s="2113" t="str">
        <f t="shared" si="0"/>
        <v>014-905</v>
      </c>
      <c r="C49" s="76">
        <v>623.65200000000004</v>
      </c>
    </row>
    <row r="50" spans="1:3" ht="14.5">
      <c r="A50" s="2042">
        <v>14906</v>
      </c>
      <c r="B50" s="2113" t="str">
        <f t="shared" si="0"/>
        <v>014-906</v>
      </c>
      <c r="C50" s="76">
        <v>41350.817000000003</v>
      </c>
    </row>
    <row r="51" spans="1:3" ht="14.5">
      <c r="A51" s="2042">
        <v>14907</v>
      </c>
      <c r="B51" s="2113" t="str">
        <f t="shared" si="0"/>
        <v>014-907</v>
      </c>
      <c r="C51" s="76">
        <v>830.15599999999995</v>
      </c>
    </row>
    <row r="52" spans="1:3" ht="14.5">
      <c r="A52" s="2042">
        <v>14908</v>
      </c>
      <c r="B52" s="2113" t="str">
        <f t="shared" si="0"/>
        <v>014-908</v>
      </c>
      <c r="C52" s="76">
        <v>2084.0010000000002</v>
      </c>
    </row>
    <row r="53" spans="1:3" ht="14.5">
      <c r="A53" s="2042">
        <v>14909</v>
      </c>
      <c r="B53" s="2113" t="str">
        <f t="shared" si="0"/>
        <v>014-909</v>
      </c>
      <c r="C53" s="76">
        <v>7919.7250000000004</v>
      </c>
    </row>
    <row r="54" spans="1:3" ht="14.5">
      <c r="A54" s="2042">
        <v>14910</v>
      </c>
      <c r="B54" s="2113" t="str">
        <f t="shared" si="0"/>
        <v>014-910</v>
      </c>
      <c r="C54" s="76">
        <v>1461.7349999999999</v>
      </c>
    </row>
    <row r="55" spans="1:3" ht="14.5">
      <c r="A55" s="2042">
        <v>15801</v>
      </c>
      <c r="B55" s="2113" t="str">
        <f t="shared" si="0"/>
        <v>015-801</v>
      </c>
      <c r="C55" s="76">
        <v>165.67500000000001</v>
      </c>
    </row>
    <row r="56" spans="1:3" ht="14.5">
      <c r="A56" s="2042">
        <v>15802</v>
      </c>
      <c r="B56" s="2113" t="str">
        <f t="shared" si="0"/>
        <v>015-802</v>
      </c>
      <c r="C56" s="76">
        <v>708.346</v>
      </c>
    </row>
    <row r="57" spans="1:3" ht="14.5">
      <c r="A57" s="2042">
        <v>15805</v>
      </c>
      <c r="B57" s="2113" t="str">
        <f t="shared" si="0"/>
        <v>015-805</v>
      </c>
      <c r="C57" s="76">
        <v>483.34100000000001</v>
      </c>
    </row>
    <row r="58" spans="1:3" ht="14.5">
      <c r="A58" s="2042">
        <v>15806</v>
      </c>
      <c r="B58" s="2113" t="str">
        <f t="shared" si="0"/>
        <v>015-806</v>
      </c>
      <c r="C58" s="76">
        <v>345.69600000000003</v>
      </c>
    </row>
    <row r="59" spans="1:3" ht="14.5">
      <c r="A59" s="2042">
        <v>15807</v>
      </c>
      <c r="B59" s="2113" t="str">
        <f t="shared" si="0"/>
        <v>015-807</v>
      </c>
      <c r="C59" s="76">
        <v>875.9</v>
      </c>
    </row>
    <row r="60" spans="1:3" ht="14.5">
      <c r="A60" s="2042">
        <v>15808</v>
      </c>
      <c r="B60" s="2113" t="str">
        <f t="shared" si="0"/>
        <v>015-808</v>
      </c>
      <c r="C60" s="76">
        <v>754.33399999999995</v>
      </c>
    </row>
    <row r="61" spans="1:3" ht="14.5">
      <c r="A61" s="2042">
        <v>15809</v>
      </c>
      <c r="B61" s="2113" t="str">
        <f t="shared" si="0"/>
        <v>015-809</v>
      </c>
      <c r="C61" s="76">
        <v>267.19600000000003</v>
      </c>
    </row>
    <row r="62" spans="1:3" ht="14.5">
      <c r="A62" s="2042">
        <v>15814</v>
      </c>
      <c r="B62" s="2113" t="str">
        <f t="shared" si="0"/>
        <v>015-814</v>
      </c>
      <c r="C62" s="76">
        <v>125.011</v>
      </c>
    </row>
    <row r="63" spans="1:3" ht="14.5">
      <c r="A63" s="2042">
        <v>15815</v>
      </c>
      <c r="B63" s="2113" t="str">
        <f t="shared" si="0"/>
        <v>015-815</v>
      </c>
      <c r="C63" s="76">
        <v>687.67899999999997</v>
      </c>
    </row>
    <row r="64" spans="1:3" ht="14.5">
      <c r="A64" s="2042">
        <v>15822</v>
      </c>
      <c r="B64" s="2113" t="str">
        <f t="shared" si="0"/>
        <v>015-822</v>
      </c>
      <c r="C64" s="76">
        <v>6362.57</v>
      </c>
    </row>
    <row r="65" spans="1:3" ht="14.5">
      <c r="A65" s="2042">
        <v>15825</v>
      </c>
      <c r="B65" s="2113" t="str">
        <f t="shared" si="0"/>
        <v>015-825</v>
      </c>
      <c r="C65" s="76">
        <v>304.01499999999999</v>
      </c>
    </row>
    <row r="66" spans="1:3" ht="14.5">
      <c r="A66" s="2042">
        <v>15827</v>
      </c>
      <c r="B66" s="2113" t="str">
        <f t="shared" si="0"/>
        <v>015-827</v>
      </c>
      <c r="C66" s="76">
        <v>2999.355</v>
      </c>
    </row>
    <row r="67" spans="1:3" ht="14.5">
      <c r="A67" s="2042">
        <v>15828</v>
      </c>
      <c r="B67" s="2113" t="str">
        <f t="shared" ref="B67:B130" si="1">CONCATENATE(LEFT(RIGHT(CONCATENATE("000",A67),6),3),"-",(RIGHT(RIGHT(CONCATENATE("000",A67),6),3)))</f>
        <v>015-828</v>
      </c>
      <c r="C67" s="76">
        <v>4215.8220000000001</v>
      </c>
    </row>
    <row r="68" spans="1:3" ht="14.5">
      <c r="A68" s="2042">
        <v>15830</v>
      </c>
      <c r="B68" s="2113" t="str">
        <f t="shared" si="1"/>
        <v>015-830</v>
      </c>
      <c r="C68" s="76">
        <v>3305.13</v>
      </c>
    </row>
    <row r="69" spans="1:3" ht="14.5">
      <c r="A69" s="2042">
        <v>15831</v>
      </c>
      <c r="B69" s="2113" t="str">
        <f t="shared" si="1"/>
        <v>015-831</v>
      </c>
      <c r="C69" s="76">
        <v>4409.1210000000001</v>
      </c>
    </row>
    <row r="70" spans="1:3" ht="14.5">
      <c r="A70" s="2042">
        <v>15833</v>
      </c>
      <c r="B70" s="2113" t="str">
        <f t="shared" si="1"/>
        <v>015-833</v>
      </c>
      <c r="C70" s="76">
        <v>98.168999999999997</v>
      </c>
    </row>
    <row r="71" spans="1:3" ht="14.5">
      <c r="A71" s="2042">
        <v>15834</v>
      </c>
      <c r="B71" s="2113" t="str">
        <f t="shared" si="1"/>
        <v>015-834</v>
      </c>
      <c r="C71" s="76">
        <v>2899.8159999999998</v>
      </c>
    </row>
    <row r="72" spans="1:3" ht="14.5">
      <c r="A72" s="2042">
        <v>15835</v>
      </c>
      <c r="B72" s="2113" t="str">
        <f t="shared" si="1"/>
        <v>015-835</v>
      </c>
      <c r="C72" s="76">
        <v>6428.8280000000004</v>
      </c>
    </row>
    <row r="73" spans="1:3" ht="14.5">
      <c r="A73" s="2042">
        <v>15836</v>
      </c>
      <c r="B73" s="2113" t="str">
        <f t="shared" si="1"/>
        <v>015-836</v>
      </c>
      <c r="C73" s="76">
        <v>466.20499999999998</v>
      </c>
    </row>
    <row r="74" spans="1:3" ht="14.5">
      <c r="A74" s="2042">
        <v>15838</v>
      </c>
      <c r="B74" s="2113" t="str">
        <f t="shared" si="1"/>
        <v>015-838</v>
      </c>
      <c r="C74" s="76">
        <v>1036.1089999999999</v>
      </c>
    </row>
    <row r="75" spans="1:3" ht="14.5">
      <c r="A75" s="2042">
        <v>15839</v>
      </c>
      <c r="B75" s="2113" t="str">
        <f t="shared" si="1"/>
        <v>015-839</v>
      </c>
      <c r="C75" s="76">
        <v>171.39500000000001</v>
      </c>
    </row>
    <row r="76" spans="1:3" ht="14.5">
      <c r="A76" s="2042">
        <v>15840</v>
      </c>
      <c r="B76" s="2113" t="str">
        <f t="shared" si="1"/>
        <v>015-840</v>
      </c>
      <c r="C76" s="76">
        <v>189.387</v>
      </c>
    </row>
    <row r="77" spans="1:3" ht="14.5">
      <c r="A77" s="2042">
        <v>15841</v>
      </c>
      <c r="B77" s="2113" t="str">
        <f t="shared" si="1"/>
        <v>015-841</v>
      </c>
      <c r="C77" s="76">
        <v>325.327</v>
      </c>
    </row>
    <row r="78" spans="1:3" ht="14.5">
      <c r="A78" s="2042">
        <v>15901</v>
      </c>
      <c r="B78" s="2113" t="str">
        <f t="shared" si="1"/>
        <v>015-901</v>
      </c>
      <c r="C78" s="76">
        <v>4755.567</v>
      </c>
    </row>
    <row r="79" spans="1:3" ht="14.5">
      <c r="A79" s="2042">
        <v>15904</v>
      </c>
      <c r="B79" s="2113" t="str">
        <f t="shared" si="1"/>
        <v>015-904</v>
      </c>
      <c r="C79" s="76">
        <v>11732.856</v>
      </c>
    </row>
    <row r="80" spans="1:3" ht="14.5">
      <c r="A80" s="2042">
        <v>15905</v>
      </c>
      <c r="B80" s="2113" t="str">
        <f t="shared" si="1"/>
        <v>015-905</v>
      </c>
      <c r="C80" s="76">
        <v>8400.6</v>
      </c>
    </row>
    <row r="81" spans="1:3" ht="14.5">
      <c r="A81" s="2042">
        <v>15906</v>
      </c>
      <c r="B81" s="2113" t="str">
        <f t="shared" si="1"/>
        <v>015-906</v>
      </c>
      <c r="C81" s="76">
        <v>1373.3810000000001</v>
      </c>
    </row>
    <row r="82" spans="1:3" ht="14.5">
      <c r="A82" s="2042">
        <v>15907</v>
      </c>
      <c r="B82" s="2113" t="str">
        <f t="shared" si="1"/>
        <v>015-907</v>
      </c>
      <c r="C82" s="76">
        <v>41554.540999999997</v>
      </c>
    </row>
    <row r="83" spans="1:3" ht="14.5">
      <c r="A83" s="2042">
        <v>15908</v>
      </c>
      <c r="B83" s="2113" t="str">
        <f t="shared" si="1"/>
        <v>015-908</v>
      </c>
      <c r="C83" s="76">
        <v>7311.0150000000003</v>
      </c>
    </row>
    <row r="84" spans="1:3" ht="14.5">
      <c r="A84" s="2042">
        <v>15909</v>
      </c>
      <c r="B84" s="2113" t="str">
        <f t="shared" si="1"/>
        <v>015-909</v>
      </c>
      <c r="C84" s="76">
        <v>3629.82</v>
      </c>
    </row>
    <row r="85" spans="1:3" ht="14.5">
      <c r="A85" s="2042">
        <v>15910</v>
      </c>
      <c r="B85" s="2113" t="str">
        <f t="shared" si="1"/>
        <v>015-910</v>
      </c>
      <c r="C85" s="76">
        <v>59086.082999999999</v>
      </c>
    </row>
    <row r="86" spans="1:3" ht="14.5">
      <c r="A86" s="2042">
        <v>15911</v>
      </c>
      <c r="B86" s="2113" t="str">
        <f t="shared" si="1"/>
        <v>015-911</v>
      </c>
      <c r="C86" s="76">
        <v>9223.8819999999996</v>
      </c>
    </row>
    <row r="87" spans="1:3" ht="14.5">
      <c r="A87" s="2042">
        <v>15912</v>
      </c>
      <c r="B87" s="2113" t="str">
        <f t="shared" si="1"/>
        <v>015-912</v>
      </c>
      <c r="C87" s="76">
        <v>12277.602000000001</v>
      </c>
    </row>
    <row r="88" spans="1:3" ht="14.5">
      <c r="A88" s="2042">
        <v>15913</v>
      </c>
      <c r="B88" s="2113" t="str">
        <f t="shared" si="1"/>
        <v>015-913</v>
      </c>
      <c r="C88" s="76">
        <v>1020.449</v>
      </c>
    </row>
    <row r="89" spans="1:3" ht="14.5">
      <c r="A89" s="2042">
        <v>15914</v>
      </c>
      <c r="B89" s="2113" t="str">
        <f t="shared" si="1"/>
        <v>015-914</v>
      </c>
      <c r="C89" s="76">
        <v>1411.8610000000001</v>
      </c>
    </row>
    <row r="90" spans="1:3" ht="14.5">
      <c r="A90" s="2042">
        <v>15915</v>
      </c>
      <c r="B90" s="2113" t="str">
        <f t="shared" si="1"/>
        <v>015-915</v>
      </c>
      <c r="C90" s="76">
        <v>99660.171000000002</v>
      </c>
    </row>
    <row r="91" spans="1:3" ht="14.5">
      <c r="A91" s="2042">
        <v>15916</v>
      </c>
      <c r="B91" s="2113" t="str">
        <f t="shared" si="1"/>
        <v>015-916</v>
      </c>
      <c r="C91" s="76">
        <v>21812.255000000001</v>
      </c>
    </row>
    <row r="92" spans="1:3" ht="14.5">
      <c r="A92" s="2042">
        <v>15917</v>
      </c>
      <c r="B92" s="2113" t="str">
        <f t="shared" si="1"/>
        <v>015-917</v>
      </c>
      <c r="C92" s="76">
        <v>5121.3829999999998</v>
      </c>
    </row>
    <row r="93" spans="1:3" ht="14.5">
      <c r="A93" s="2042">
        <v>16901</v>
      </c>
      <c r="B93" s="2113" t="str">
        <f t="shared" si="1"/>
        <v>016-901</v>
      </c>
      <c r="C93" s="76">
        <v>606.96299999999997</v>
      </c>
    </row>
    <row r="94" spans="1:3" ht="14.5">
      <c r="A94" s="2042">
        <v>16902</v>
      </c>
      <c r="B94" s="2113" t="str">
        <f t="shared" si="1"/>
        <v>016-902</v>
      </c>
      <c r="C94" s="76">
        <v>951.99400000000003</v>
      </c>
    </row>
    <row r="95" spans="1:3" ht="14.5">
      <c r="A95" s="2042">
        <v>17901</v>
      </c>
      <c r="B95" s="2113" t="str">
        <f t="shared" si="1"/>
        <v>017-901</v>
      </c>
      <c r="C95" s="76">
        <v>213.923</v>
      </c>
    </row>
    <row r="96" spans="1:3" ht="14.5">
      <c r="A96" s="2042">
        <v>18901</v>
      </c>
      <c r="B96" s="2113" t="str">
        <f t="shared" si="1"/>
        <v>018-901</v>
      </c>
      <c r="C96" s="76">
        <v>984.34500000000003</v>
      </c>
    </row>
    <row r="97" spans="1:3" ht="14.5">
      <c r="A97" s="2042">
        <v>18902</v>
      </c>
      <c r="B97" s="2113" t="str">
        <f t="shared" si="1"/>
        <v>018-902</v>
      </c>
      <c r="C97" s="76">
        <v>388.12400000000002</v>
      </c>
    </row>
    <row r="98" spans="1:3" ht="14.5">
      <c r="A98" s="2042">
        <v>18903</v>
      </c>
      <c r="B98" s="2113" t="str">
        <f t="shared" si="1"/>
        <v>018-903</v>
      </c>
      <c r="C98" s="76">
        <v>125.262</v>
      </c>
    </row>
    <row r="99" spans="1:3" ht="14.5">
      <c r="A99" s="2042">
        <v>18904</v>
      </c>
      <c r="B99" s="2113" t="str">
        <f t="shared" si="1"/>
        <v>018-904</v>
      </c>
      <c r="C99" s="76">
        <v>576.98400000000004</v>
      </c>
    </row>
    <row r="100" spans="1:3" ht="14.5">
      <c r="A100" s="2042">
        <v>18905</v>
      </c>
      <c r="B100" s="2113" t="str">
        <f t="shared" si="1"/>
        <v>018-905</v>
      </c>
      <c r="C100" s="76">
        <v>182.357</v>
      </c>
    </row>
    <row r="101" spans="1:3" ht="14.5">
      <c r="A101" s="2042">
        <v>18906</v>
      </c>
      <c r="B101" s="2113" t="str">
        <f t="shared" si="1"/>
        <v>018-906</v>
      </c>
      <c r="C101" s="76">
        <v>134.20099999999999</v>
      </c>
    </row>
    <row r="102" spans="1:3" ht="14.5">
      <c r="A102" s="2042">
        <v>18907</v>
      </c>
      <c r="B102" s="2113" t="str">
        <f t="shared" si="1"/>
        <v>018-907</v>
      </c>
      <c r="C102" s="76">
        <v>161.88900000000001</v>
      </c>
    </row>
    <row r="103" spans="1:3" ht="14.5">
      <c r="A103" s="2042">
        <v>18908</v>
      </c>
      <c r="B103" s="2113" t="str">
        <f t="shared" si="1"/>
        <v>018-908</v>
      </c>
      <c r="C103" s="76">
        <v>121.182</v>
      </c>
    </row>
    <row r="104" spans="1:3" ht="14.5">
      <c r="A104" s="2042">
        <v>19901</v>
      </c>
      <c r="B104" s="2113" t="str">
        <f t="shared" si="1"/>
        <v>019-901</v>
      </c>
      <c r="C104" s="76">
        <v>729.79200000000003</v>
      </c>
    </row>
    <row r="105" spans="1:3" ht="14.5">
      <c r="A105" s="2042">
        <v>19902</v>
      </c>
      <c r="B105" s="2113" t="str">
        <f t="shared" si="1"/>
        <v>019-902</v>
      </c>
      <c r="C105" s="76">
        <v>825.15700000000004</v>
      </c>
    </row>
    <row r="106" spans="1:3" ht="14.5">
      <c r="A106" s="2042">
        <v>19903</v>
      </c>
      <c r="B106" s="2113" t="str">
        <f t="shared" si="1"/>
        <v>019-903</v>
      </c>
      <c r="C106" s="76">
        <v>441.88</v>
      </c>
    </row>
    <row r="107" spans="1:3" ht="14.5">
      <c r="A107" s="2042">
        <v>19905</v>
      </c>
      <c r="B107" s="2113" t="str">
        <f t="shared" si="1"/>
        <v>019-905</v>
      </c>
      <c r="C107" s="76">
        <v>1071.548</v>
      </c>
    </row>
    <row r="108" spans="1:3" ht="14.5">
      <c r="A108" s="2042">
        <v>19906</v>
      </c>
      <c r="B108" s="2113" t="str">
        <f t="shared" si="1"/>
        <v>019-906</v>
      </c>
      <c r="C108" s="76">
        <v>1030.222</v>
      </c>
    </row>
    <row r="109" spans="1:3" ht="14.5">
      <c r="A109" s="2042">
        <v>19907</v>
      </c>
      <c r="B109" s="2113" t="str">
        <f t="shared" si="1"/>
        <v>019-907</v>
      </c>
      <c r="C109" s="76">
        <v>6711.4579999999996</v>
      </c>
    </row>
    <row r="110" spans="1:3" ht="14.5">
      <c r="A110" s="2042">
        <v>19908</v>
      </c>
      <c r="B110" s="2113" t="str">
        <f t="shared" si="1"/>
        <v>019-908</v>
      </c>
      <c r="C110" s="76">
        <v>2127.5619999999999</v>
      </c>
    </row>
    <row r="111" spans="1:3" ht="14.5">
      <c r="A111" s="2042">
        <v>19909</v>
      </c>
      <c r="B111" s="2113" t="str">
        <f t="shared" si="1"/>
        <v>019-909</v>
      </c>
      <c r="C111" s="76">
        <v>458.42599999999999</v>
      </c>
    </row>
    <row r="112" spans="1:3" ht="14.5">
      <c r="A112" s="2042">
        <v>19910</v>
      </c>
      <c r="B112" s="2113" t="str">
        <f t="shared" si="1"/>
        <v>019-910</v>
      </c>
      <c r="C112" s="76">
        <v>205.96299999999999</v>
      </c>
    </row>
    <row r="113" spans="1:3" ht="14.5">
      <c r="A113" s="2042">
        <v>19911</v>
      </c>
      <c r="B113" s="2113" t="str">
        <f t="shared" si="1"/>
        <v>019-911</v>
      </c>
      <c r="C113" s="76">
        <v>508.21600000000001</v>
      </c>
    </row>
    <row r="114" spans="1:3" ht="14.5">
      <c r="A114" s="2042">
        <v>19912</v>
      </c>
      <c r="B114" s="2113" t="str">
        <f t="shared" si="1"/>
        <v>019-912</v>
      </c>
      <c r="C114" s="76">
        <v>2115.6480000000001</v>
      </c>
    </row>
    <row r="115" spans="1:3" ht="14.5">
      <c r="A115" s="2042">
        <v>19913</v>
      </c>
      <c r="B115" s="2113" t="str">
        <f t="shared" si="1"/>
        <v>019-913</v>
      </c>
      <c r="C115" s="76">
        <v>103.1</v>
      </c>
    </row>
    <row r="116" spans="1:3" ht="14.5">
      <c r="A116" s="2042">
        <v>19914</v>
      </c>
      <c r="B116" s="2113" t="str">
        <f t="shared" si="1"/>
        <v>019-914</v>
      </c>
      <c r="C116" s="76">
        <v>124.354</v>
      </c>
    </row>
    <row r="117" spans="1:3" ht="14.5">
      <c r="A117" s="2042">
        <v>20901</v>
      </c>
      <c r="B117" s="2113" t="str">
        <f t="shared" si="1"/>
        <v>020-901</v>
      </c>
      <c r="C117" s="76">
        <v>26612.124</v>
      </c>
    </row>
    <row r="118" spans="1:3" ht="14.5">
      <c r="A118" s="2042">
        <v>20902</v>
      </c>
      <c r="B118" s="2113" t="str">
        <f t="shared" si="1"/>
        <v>020-902</v>
      </c>
      <c r="C118" s="76">
        <v>6439.2439999999997</v>
      </c>
    </row>
    <row r="119" spans="1:3" ht="14.5">
      <c r="A119" s="2042">
        <v>20904</v>
      </c>
      <c r="B119" s="2113" t="str">
        <f t="shared" si="1"/>
        <v>020-904</v>
      </c>
      <c r="C119" s="76">
        <v>769.68700000000001</v>
      </c>
    </row>
    <row r="120" spans="1:3" ht="14.5">
      <c r="A120" s="2042">
        <v>20905</v>
      </c>
      <c r="B120" s="2113" t="str">
        <f t="shared" si="1"/>
        <v>020-905</v>
      </c>
      <c r="C120" s="76">
        <v>10911.125</v>
      </c>
    </row>
    <row r="121" spans="1:3" ht="14.5">
      <c r="A121" s="2042">
        <v>20906</v>
      </c>
      <c r="B121" s="2113" t="str">
        <f t="shared" si="1"/>
        <v>020-906</v>
      </c>
      <c r="C121" s="76">
        <v>1846.38</v>
      </c>
    </row>
    <row r="122" spans="1:3" ht="14.5">
      <c r="A122" s="2042">
        <v>20907</v>
      </c>
      <c r="B122" s="2113" t="str">
        <f t="shared" si="1"/>
        <v>020-907</v>
      </c>
      <c r="C122" s="76">
        <v>2639.6460000000002</v>
      </c>
    </row>
    <row r="123" spans="1:3" ht="14.5">
      <c r="A123" s="2042">
        <v>20908</v>
      </c>
      <c r="B123" s="2113" t="str">
        <f t="shared" si="1"/>
        <v>020-908</v>
      </c>
      <c r="C123" s="76">
        <v>20790.911</v>
      </c>
    </row>
    <row r="124" spans="1:3" ht="14.5">
      <c r="A124" s="2042">
        <v>20910</v>
      </c>
      <c r="B124" s="2113" t="str">
        <f t="shared" si="1"/>
        <v>020-910</v>
      </c>
      <c r="C124" s="76">
        <v>102.80500000000001</v>
      </c>
    </row>
    <row r="125" spans="1:3" ht="14.5">
      <c r="A125" s="2042">
        <v>21803</v>
      </c>
      <c r="B125" s="2113" t="str">
        <f t="shared" si="1"/>
        <v>021-803</v>
      </c>
      <c r="C125" s="76">
        <v>293.84100000000001</v>
      </c>
    </row>
    <row r="126" spans="1:3" ht="14.5">
      <c r="A126" s="2042">
        <v>21805</v>
      </c>
      <c r="B126" s="2113" t="str">
        <f t="shared" si="1"/>
        <v>021-805</v>
      </c>
      <c r="C126" s="76">
        <v>797.43700000000001</v>
      </c>
    </row>
    <row r="127" spans="1:3" ht="14.5">
      <c r="A127" s="2042">
        <v>21901</v>
      </c>
      <c r="B127" s="2113" t="str">
        <f t="shared" si="1"/>
        <v>021-901</v>
      </c>
      <c r="C127" s="76">
        <v>13274.14</v>
      </c>
    </row>
    <row r="128" spans="1:3" ht="14.5">
      <c r="A128" s="2042">
        <v>21902</v>
      </c>
      <c r="B128" s="2113" t="str">
        <f t="shared" si="1"/>
        <v>021-902</v>
      </c>
      <c r="C128" s="76">
        <v>14863.08</v>
      </c>
    </row>
    <row r="129" spans="1:3" ht="14.5">
      <c r="A129" s="2042">
        <v>22004</v>
      </c>
      <c r="B129" s="2113" t="str">
        <f t="shared" si="1"/>
        <v>022-004</v>
      </c>
      <c r="C129" s="76">
        <v>108.709</v>
      </c>
    </row>
    <row r="130" spans="1:3" ht="14.5">
      <c r="A130" s="2042">
        <v>22901</v>
      </c>
      <c r="B130" s="2113" t="str">
        <f t="shared" si="1"/>
        <v>022-901</v>
      </c>
      <c r="C130" s="76">
        <v>949.17399999999998</v>
      </c>
    </row>
    <row r="131" spans="1:3" ht="14.5">
      <c r="A131" s="2042">
        <v>22902</v>
      </c>
      <c r="B131" s="2113" t="str">
        <f t="shared" ref="B131:B194" si="2">CONCATENATE(LEFT(RIGHT(CONCATENATE("000",A131),6),3),"-",(RIGHT(RIGHT(CONCATENATE("000",A131),6),3)))</f>
        <v>022-902</v>
      </c>
      <c r="C131" s="76">
        <v>56.311999999999998</v>
      </c>
    </row>
    <row r="132" spans="1:3" ht="14.5">
      <c r="A132" s="2042">
        <v>22903</v>
      </c>
      <c r="B132" s="2113" t="str">
        <f t="shared" si="2"/>
        <v>022-903</v>
      </c>
      <c r="C132" s="76">
        <v>5.4669999999999996</v>
      </c>
    </row>
    <row r="133" spans="1:3" ht="14.5">
      <c r="A133" s="2042">
        <v>23902</v>
      </c>
      <c r="B133" s="2113" t="str">
        <f t="shared" si="2"/>
        <v>023-902</v>
      </c>
      <c r="C133" s="76">
        <v>170.05600000000001</v>
      </c>
    </row>
    <row r="134" spans="1:3" ht="14.5">
      <c r="A134" s="2042">
        <v>24901</v>
      </c>
      <c r="B134" s="2113" t="str">
        <f t="shared" si="2"/>
        <v>024-901</v>
      </c>
      <c r="C134" s="76">
        <v>1286.739</v>
      </c>
    </row>
    <row r="135" spans="1:3" ht="14.5">
      <c r="A135" s="2042">
        <v>25901</v>
      </c>
      <c r="B135" s="2113" t="str">
        <f t="shared" si="2"/>
        <v>025-901</v>
      </c>
      <c r="C135" s="76">
        <v>774.95699999999999</v>
      </c>
    </row>
    <row r="136" spans="1:3" ht="14.5">
      <c r="A136" s="2042">
        <v>25902</v>
      </c>
      <c r="B136" s="2113" t="str">
        <f t="shared" si="2"/>
        <v>025-902</v>
      </c>
      <c r="C136" s="76">
        <v>3198.808</v>
      </c>
    </row>
    <row r="137" spans="1:3" ht="14.5">
      <c r="A137" s="2042">
        <v>25904</v>
      </c>
      <c r="B137" s="2113" t="str">
        <f t="shared" si="2"/>
        <v>025-904</v>
      </c>
      <c r="C137" s="76">
        <v>135.43299999999999</v>
      </c>
    </row>
    <row r="138" spans="1:3" ht="14.5">
      <c r="A138" s="2042">
        <v>25905</v>
      </c>
      <c r="B138" s="2113" t="str">
        <f t="shared" si="2"/>
        <v>025-905</v>
      </c>
      <c r="C138" s="76">
        <v>230.417</v>
      </c>
    </row>
    <row r="139" spans="1:3" ht="14.5">
      <c r="A139" s="2042">
        <v>25906</v>
      </c>
      <c r="B139" s="2113" t="str">
        <f t="shared" si="2"/>
        <v>025-906</v>
      </c>
      <c r="C139" s="76">
        <v>185.09100000000001</v>
      </c>
    </row>
    <row r="140" spans="1:3" ht="14.5">
      <c r="A140" s="2042">
        <v>25908</v>
      </c>
      <c r="B140" s="2113" t="str">
        <f t="shared" si="2"/>
        <v>025-908</v>
      </c>
      <c r="C140" s="76">
        <v>143.804</v>
      </c>
    </row>
    <row r="141" spans="1:3" ht="14.5">
      <c r="A141" s="2042">
        <v>25909</v>
      </c>
      <c r="B141" s="2113" t="str">
        <f t="shared" si="2"/>
        <v>025-909</v>
      </c>
      <c r="C141" s="76">
        <v>1131.193</v>
      </c>
    </row>
    <row r="142" spans="1:3" ht="14.5">
      <c r="A142" s="2042">
        <v>26901</v>
      </c>
      <c r="B142" s="2113" t="str">
        <f t="shared" si="2"/>
        <v>026-901</v>
      </c>
      <c r="C142" s="76">
        <v>1588.6659999999999</v>
      </c>
    </row>
    <row r="143" spans="1:3" ht="14.5">
      <c r="A143" s="2042">
        <v>26902</v>
      </c>
      <c r="B143" s="2113" t="str">
        <f t="shared" si="2"/>
        <v>026-902</v>
      </c>
      <c r="C143" s="76">
        <v>493.363</v>
      </c>
    </row>
    <row r="144" spans="1:3" ht="14.5">
      <c r="A144" s="2042">
        <v>26903</v>
      </c>
      <c r="B144" s="2113" t="str">
        <f t="shared" si="2"/>
        <v>026-903</v>
      </c>
      <c r="C144" s="76">
        <v>467.49</v>
      </c>
    </row>
    <row r="145" spans="1:3" ht="14.5">
      <c r="A145" s="2042">
        <v>27903</v>
      </c>
      <c r="B145" s="2113" t="str">
        <f t="shared" si="2"/>
        <v>027-903</v>
      </c>
      <c r="C145" s="76">
        <v>3026.7139999999999</v>
      </c>
    </row>
    <row r="146" spans="1:3" ht="14.5">
      <c r="A146" s="2042">
        <v>27904</v>
      </c>
      <c r="B146" s="2113" t="str">
        <f t="shared" si="2"/>
        <v>027-904</v>
      </c>
      <c r="C146" s="76">
        <v>4055.1950000000002</v>
      </c>
    </row>
    <row r="147" spans="1:3" ht="14.5">
      <c r="A147" s="2042">
        <v>28902</v>
      </c>
      <c r="B147" s="2113" t="str">
        <f t="shared" si="2"/>
        <v>028-902</v>
      </c>
      <c r="C147" s="76">
        <v>5779.18</v>
      </c>
    </row>
    <row r="148" spans="1:3" ht="14.5">
      <c r="A148" s="2042">
        <v>28903</v>
      </c>
      <c r="B148" s="2113" t="str">
        <f t="shared" si="2"/>
        <v>028-903</v>
      </c>
      <c r="C148" s="76">
        <v>1245.454</v>
      </c>
    </row>
    <row r="149" spans="1:3" ht="14.5">
      <c r="A149" s="2042">
        <v>28906</v>
      </c>
      <c r="B149" s="2113" t="str">
        <f t="shared" si="2"/>
        <v>028-906</v>
      </c>
      <c r="C149" s="76">
        <v>196.28100000000001</v>
      </c>
    </row>
    <row r="150" spans="1:3" ht="14.5">
      <c r="A150" s="2042">
        <v>29901</v>
      </c>
      <c r="B150" s="2113" t="str">
        <f t="shared" si="2"/>
        <v>029-901</v>
      </c>
      <c r="C150" s="76">
        <v>3450.8539999999998</v>
      </c>
    </row>
    <row r="151" spans="1:3" ht="14.5">
      <c r="A151" s="2042">
        <v>30901</v>
      </c>
      <c r="B151" s="2113" t="str">
        <f t="shared" si="2"/>
        <v>030-901</v>
      </c>
      <c r="C151" s="76">
        <v>336.89600000000002</v>
      </c>
    </row>
    <row r="152" spans="1:3" ht="14.5">
      <c r="A152" s="2042">
        <v>30902</v>
      </c>
      <c r="B152" s="2113" t="str">
        <f t="shared" si="2"/>
        <v>030-902</v>
      </c>
      <c r="C152" s="76">
        <v>1373.299</v>
      </c>
    </row>
    <row r="153" spans="1:3" ht="14.5">
      <c r="A153" s="2042">
        <v>30903</v>
      </c>
      <c r="B153" s="2113" t="str">
        <f t="shared" si="2"/>
        <v>030-903</v>
      </c>
      <c r="C153" s="76">
        <v>256.64999999999998</v>
      </c>
    </row>
    <row r="154" spans="1:3" ht="14.5">
      <c r="A154" s="2042">
        <v>30906</v>
      </c>
      <c r="B154" s="2113" t="str">
        <f t="shared" si="2"/>
        <v>030-906</v>
      </c>
      <c r="C154" s="76">
        <v>414.06200000000001</v>
      </c>
    </row>
    <row r="155" spans="1:3" ht="14.5">
      <c r="A155" s="2042">
        <v>31505</v>
      </c>
      <c r="B155" s="2113" t="str">
        <f t="shared" si="2"/>
        <v>031-505</v>
      </c>
      <c r="C155" s="76">
        <v>246.67099999999999</v>
      </c>
    </row>
    <row r="156" spans="1:3" ht="14.5">
      <c r="A156" s="2042">
        <v>31901</v>
      </c>
      <c r="B156" s="2113" t="str">
        <f t="shared" si="2"/>
        <v>031-901</v>
      </c>
      <c r="C156" s="76">
        <v>37691.362999999998</v>
      </c>
    </row>
    <row r="157" spans="1:3" ht="14.5">
      <c r="A157" s="2042">
        <v>31903</v>
      </c>
      <c r="B157" s="2113" t="str">
        <f t="shared" si="2"/>
        <v>031-903</v>
      </c>
      <c r="C157" s="76">
        <v>16938.881000000001</v>
      </c>
    </row>
    <row r="158" spans="1:3" ht="14.5">
      <c r="A158" s="2042">
        <v>31905</v>
      </c>
      <c r="B158" s="2113" t="str">
        <f t="shared" si="2"/>
        <v>031-905</v>
      </c>
      <c r="C158" s="76">
        <v>2867.3049999999998</v>
      </c>
    </row>
    <row r="159" spans="1:3" ht="14.5">
      <c r="A159" s="2042">
        <v>31906</v>
      </c>
      <c r="B159" s="2113" t="str">
        <f t="shared" si="2"/>
        <v>031-906</v>
      </c>
      <c r="C159" s="76">
        <v>9692.4230000000007</v>
      </c>
    </row>
    <row r="160" spans="1:3" ht="14.5">
      <c r="A160" s="2042">
        <v>31909</v>
      </c>
      <c r="B160" s="2113" t="str">
        <f t="shared" si="2"/>
        <v>031-909</v>
      </c>
      <c r="C160" s="76">
        <v>1895.451</v>
      </c>
    </row>
    <row r="161" spans="1:3" ht="14.5">
      <c r="A161" s="2042">
        <v>31911</v>
      </c>
      <c r="B161" s="2113" t="str">
        <f t="shared" si="2"/>
        <v>031-911</v>
      </c>
      <c r="C161" s="76">
        <v>1594.2539999999999</v>
      </c>
    </row>
    <row r="162" spans="1:3" ht="14.5">
      <c r="A162" s="2042">
        <v>31912</v>
      </c>
      <c r="B162" s="2113" t="str">
        <f t="shared" si="2"/>
        <v>031-912</v>
      </c>
      <c r="C162" s="76">
        <v>9090.1980000000003</v>
      </c>
    </row>
    <row r="163" spans="1:3" ht="14.5">
      <c r="A163" s="2042">
        <v>31913</v>
      </c>
      <c r="B163" s="2113" t="str">
        <f t="shared" si="2"/>
        <v>031-913</v>
      </c>
      <c r="C163" s="76">
        <v>576.66099999999994</v>
      </c>
    </row>
    <row r="164" spans="1:3" ht="14.5">
      <c r="A164" s="2042">
        <v>31914</v>
      </c>
      <c r="B164" s="2113" t="str">
        <f t="shared" si="2"/>
        <v>031-914</v>
      </c>
      <c r="C164" s="76">
        <v>865.55600000000004</v>
      </c>
    </row>
    <row r="165" spans="1:3" ht="14.5">
      <c r="A165" s="2042">
        <v>31916</v>
      </c>
      <c r="B165" s="2113" t="str">
        <f t="shared" si="2"/>
        <v>031-916</v>
      </c>
      <c r="C165" s="76">
        <v>3982.2890000000002</v>
      </c>
    </row>
    <row r="166" spans="1:3" ht="14.5">
      <c r="A166" s="2042">
        <v>32902</v>
      </c>
      <c r="B166" s="2113" t="str">
        <f t="shared" si="2"/>
        <v>032-902</v>
      </c>
      <c r="C166" s="76">
        <v>2328.444</v>
      </c>
    </row>
    <row r="167" spans="1:3" ht="14.5">
      <c r="A167" s="2042">
        <v>33901</v>
      </c>
      <c r="B167" s="2113" t="str">
        <f t="shared" si="2"/>
        <v>033-901</v>
      </c>
      <c r="C167" s="76">
        <v>130.08799999999999</v>
      </c>
    </row>
    <row r="168" spans="1:3" ht="14.5">
      <c r="A168" s="2042">
        <v>33902</v>
      </c>
      <c r="B168" s="2113" t="str">
        <f t="shared" si="2"/>
        <v>033-902</v>
      </c>
      <c r="C168" s="76">
        <v>600.58799999999997</v>
      </c>
    </row>
    <row r="169" spans="1:3" ht="14.5">
      <c r="A169" s="2042">
        <v>33904</v>
      </c>
      <c r="B169" s="2113" t="str">
        <f t="shared" si="2"/>
        <v>033-904</v>
      </c>
      <c r="C169" s="76">
        <v>338.565</v>
      </c>
    </row>
    <row r="170" spans="1:3" ht="14.5">
      <c r="A170" s="2042">
        <v>34901</v>
      </c>
      <c r="B170" s="2113" t="str">
        <f t="shared" si="2"/>
        <v>034-901</v>
      </c>
      <c r="C170" s="76">
        <v>1761.893</v>
      </c>
    </row>
    <row r="171" spans="1:3" ht="14.5">
      <c r="A171" s="2042">
        <v>34902</v>
      </c>
      <c r="B171" s="2113" t="str">
        <f t="shared" si="2"/>
        <v>034-902</v>
      </c>
      <c r="C171" s="76">
        <v>128.386</v>
      </c>
    </row>
    <row r="172" spans="1:3" ht="14.5">
      <c r="A172" s="2042">
        <v>34903</v>
      </c>
      <c r="B172" s="2113" t="str">
        <f t="shared" si="2"/>
        <v>034-903</v>
      </c>
      <c r="C172" s="76">
        <v>1110.192</v>
      </c>
    </row>
    <row r="173" spans="1:3" ht="14.5">
      <c r="A173" s="2042">
        <v>34905</v>
      </c>
      <c r="B173" s="2113" t="str">
        <f t="shared" si="2"/>
        <v>034-905</v>
      </c>
      <c r="C173" s="76">
        <v>573.822</v>
      </c>
    </row>
    <row r="174" spans="1:3" ht="14.5">
      <c r="A174" s="2042">
        <v>34906</v>
      </c>
      <c r="B174" s="2113" t="str">
        <f t="shared" si="2"/>
        <v>034-906</v>
      </c>
      <c r="C174" s="76">
        <v>366.52800000000002</v>
      </c>
    </row>
    <row r="175" spans="1:3" ht="14.5">
      <c r="A175" s="2042">
        <v>34907</v>
      </c>
      <c r="B175" s="2113" t="str">
        <f t="shared" si="2"/>
        <v>034-907</v>
      </c>
      <c r="C175" s="76">
        <v>928.59</v>
      </c>
    </row>
    <row r="176" spans="1:3" ht="14.5">
      <c r="A176" s="2042">
        <v>34909</v>
      </c>
      <c r="B176" s="2113" t="str">
        <f t="shared" si="2"/>
        <v>034-909</v>
      </c>
      <c r="C176" s="76">
        <v>250.649</v>
      </c>
    </row>
    <row r="177" spans="1:3" ht="14.5">
      <c r="A177" s="2042">
        <v>35901</v>
      </c>
      <c r="B177" s="2113" t="str">
        <f t="shared" si="2"/>
        <v>035-901</v>
      </c>
      <c r="C177" s="76">
        <v>1083.6320000000001</v>
      </c>
    </row>
    <row r="178" spans="1:3" ht="14.5">
      <c r="A178" s="2042">
        <v>35902</v>
      </c>
      <c r="B178" s="2113" t="str">
        <f t="shared" si="2"/>
        <v>035-902</v>
      </c>
      <c r="C178" s="76">
        <v>192.614</v>
      </c>
    </row>
    <row r="179" spans="1:3" ht="14.5">
      <c r="A179" s="2042">
        <v>35903</v>
      </c>
      <c r="B179" s="2113" t="str">
        <f t="shared" si="2"/>
        <v>035-903</v>
      </c>
      <c r="C179" s="76">
        <v>232.06800000000001</v>
      </c>
    </row>
    <row r="180" spans="1:3" ht="14.5">
      <c r="A180" s="2042">
        <v>36901</v>
      </c>
      <c r="B180" s="2113" t="str">
        <f t="shared" si="2"/>
        <v>036-901</v>
      </c>
      <c r="C180" s="76">
        <v>1254.58</v>
      </c>
    </row>
    <row r="181" spans="1:3" ht="14.5">
      <c r="A181" s="2042">
        <v>36902</v>
      </c>
      <c r="B181" s="2113" t="str">
        <f t="shared" si="2"/>
        <v>036-902</v>
      </c>
      <c r="C181" s="76">
        <v>6433.7749999999996</v>
      </c>
    </row>
    <row r="182" spans="1:3" ht="14.5">
      <c r="A182" s="2042">
        <v>36903</v>
      </c>
      <c r="B182" s="2113" t="str">
        <f t="shared" si="2"/>
        <v>036-903</v>
      </c>
      <c r="C182" s="76">
        <v>1444.598</v>
      </c>
    </row>
    <row r="183" spans="1:3" ht="14.5">
      <c r="A183" s="2042">
        <v>37901</v>
      </c>
      <c r="B183" s="2113" t="str">
        <f t="shared" si="2"/>
        <v>037-901</v>
      </c>
      <c r="C183" s="76">
        <v>560.875</v>
      </c>
    </row>
    <row r="184" spans="1:3" ht="14.5">
      <c r="A184" s="2042">
        <v>37904</v>
      </c>
      <c r="B184" s="2113" t="str">
        <f t="shared" si="2"/>
        <v>037-904</v>
      </c>
      <c r="C184" s="76">
        <v>4612.9430000000002</v>
      </c>
    </row>
    <row r="185" spans="1:3" ht="14.5">
      <c r="A185" s="2042">
        <v>37907</v>
      </c>
      <c r="B185" s="2113" t="str">
        <f t="shared" si="2"/>
        <v>037-907</v>
      </c>
      <c r="C185" s="76">
        <v>1853.9649999999999</v>
      </c>
    </row>
    <row r="186" spans="1:3" ht="14.5">
      <c r="A186" s="2042">
        <v>37908</v>
      </c>
      <c r="B186" s="2113" t="str">
        <f t="shared" si="2"/>
        <v>037-908</v>
      </c>
      <c r="C186" s="76">
        <v>502.19499999999999</v>
      </c>
    </row>
    <row r="187" spans="1:3" ht="14.5">
      <c r="A187" s="2042">
        <v>37909</v>
      </c>
      <c r="B187" s="2113" t="str">
        <f t="shared" si="2"/>
        <v>037-909</v>
      </c>
      <c r="C187" s="76">
        <v>237.06800000000001</v>
      </c>
    </row>
    <row r="188" spans="1:3" ht="14.5">
      <c r="A188" s="2042">
        <v>38901</v>
      </c>
      <c r="B188" s="2113" t="str">
        <f t="shared" si="2"/>
        <v>038-901</v>
      </c>
      <c r="C188" s="76">
        <v>1005.55</v>
      </c>
    </row>
    <row r="189" spans="1:3" ht="14.5">
      <c r="A189" s="2042">
        <v>39902</v>
      </c>
      <c r="B189" s="2113" t="str">
        <f t="shared" si="2"/>
        <v>039-902</v>
      </c>
      <c r="C189" s="76">
        <v>877.56</v>
      </c>
    </row>
    <row r="190" spans="1:3" ht="14.5">
      <c r="A190" s="2042">
        <v>39903</v>
      </c>
      <c r="B190" s="2113" t="str">
        <f t="shared" si="2"/>
        <v>039-903</v>
      </c>
      <c r="C190" s="76">
        <v>402.64</v>
      </c>
    </row>
    <row r="191" spans="1:3" ht="14.5">
      <c r="A191" s="2042">
        <v>39904</v>
      </c>
      <c r="B191" s="2113" t="str">
        <f t="shared" si="2"/>
        <v>039-904</v>
      </c>
      <c r="C191" s="76">
        <v>135.76499999999999</v>
      </c>
    </row>
    <row r="192" spans="1:3" ht="14.5">
      <c r="A192" s="2042">
        <v>39905</v>
      </c>
      <c r="B192" s="2113" t="str">
        <f t="shared" si="2"/>
        <v>039-905</v>
      </c>
      <c r="C192" s="76">
        <v>121.042</v>
      </c>
    </row>
    <row r="193" spans="1:3" ht="14.5">
      <c r="A193" s="2042">
        <v>40901</v>
      </c>
      <c r="B193" s="2113" t="str">
        <f t="shared" si="2"/>
        <v>040-901</v>
      </c>
      <c r="C193" s="76">
        <v>358.08</v>
      </c>
    </row>
    <row r="194" spans="1:3" ht="14.5">
      <c r="A194" s="2042">
        <v>40902</v>
      </c>
      <c r="B194" s="2113" t="str">
        <f t="shared" si="2"/>
        <v>040-902</v>
      </c>
      <c r="C194" s="76">
        <v>309.62400000000002</v>
      </c>
    </row>
    <row r="195" spans="1:3" ht="14.5">
      <c r="A195" s="2042">
        <v>41901</v>
      </c>
      <c r="B195" s="2113" t="str">
        <f t="shared" ref="B195:B258" si="3">CONCATENATE(LEFT(RIGHT(CONCATENATE("000",A195),6),3),"-",(RIGHT(RIGHT(CONCATENATE("000",A195),6),3)))</f>
        <v>041-901</v>
      </c>
      <c r="C195" s="76">
        <v>219.80600000000001</v>
      </c>
    </row>
    <row r="196" spans="1:3" ht="14.5">
      <c r="A196" s="2042">
        <v>41902</v>
      </c>
      <c r="B196" s="2113" t="str">
        <f t="shared" si="3"/>
        <v>041-902</v>
      </c>
      <c r="C196" s="76">
        <v>239.95599999999999</v>
      </c>
    </row>
    <row r="197" spans="1:3" ht="14.5">
      <c r="A197" s="2042">
        <v>42901</v>
      </c>
      <c r="B197" s="2113" t="str">
        <f t="shared" si="3"/>
        <v>042-901</v>
      </c>
      <c r="C197" s="76">
        <v>753.95399999999995</v>
      </c>
    </row>
    <row r="198" spans="1:3" ht="14.5">
      <c r="A198" s="2042">
        <v>42903</v>
      </c>
      <c r="B198" s="2113" t="str">
        <f t="shared" si="3"/>
        <v>042-903</v>
      </c>
      <c r="C198" s="76">
        <v>247.221</v>
      </c>
    </row>
    <row r="199" spans="1:3" ht="14.5">
      <c r="A199" s="2042">
        <v>42905</v>
      </c>
      <c r="B199" s="2113" t="str">
        <f t="shared" si="3"/>
        <v>042-905</v>
      </c>
      <c r="C199" s="76">
        <v>135.078</v>
      </c>
    </row>
    <row r="200" spans="1:3" ht="14.5">
      <c r="A200" s="2042">
        <v>43801</v>
      </c>
      <c r="B200" s="2113" t="str">
        <f t="shared" si="3"/>
        <v>043-801</v>
      </c>
      <c r="C200" s="76">
        <v>1387.7909999999999</v>
      </c>
    </row>
    <row r="201" spans="1:3" ht="14.5">
      <c r="A201" s="2042">
        <v>43802</v>
      </c>
      <c r="B201" s="2113" t="str">
        <f t="shared" si="3"/>
        <v>043-802</v>
      </c>
      <c r="C201" s="76">
        <v>258.72899999999998</v>
      </c>
    </row>
    <row r="202" spans="1:3" ht="14.5">
      <c r="A202" s="2042">
        <v>43901</v>
      </c>
      <c r="B202" s="2113" t="str">
        <f t="shared" si="3"/>
        <v>043-901</v>
      </c>
      <c r="C202" s="76">
        <v>21258.463</v>
      </c>
    </row>
    <row r="203" spans="1:3" ht="14.5">
      <c r="A203" s="2042">
        <v>43902</v>
      </c>
      <c r="B203" s="2113" t="str">
        <f t="shared" si="3"/>
        <v>043-902</v>
      </c>
      <c r="C203" s="76">
        <v>3810.5160000000001</v>
      </c>
    </row>
    <row r="204" spans="1:3" ht="14.5">
      <c r="A204" s="2042">
        <v>43903</v>
      </c>
      <c r="B204" s="2113" t="str">
        <f t="shared" si="3"/>
        <v>043-903</v>
      </c>
      <c r="C204" s="76">
        <v>2834.0160000000001</v>
      </c>
    </row>
    <row r="205" spans="1:3" ht="14.5">
      <c r="A205" s="2042">
        <v>43904</v>
      </c>
      <c r="B205" s="2113" t="str">
        <f t="shared" si="3"/>
        <v>043-904</v>
      </c>
      <c r="C205" s="76">
        <v>1776.6079999999999</v>
      </c>
    </row>
    <row r="206" spans="1:3" ht="14.5">
      <c r="A206" s="2042">
        <v>43905</v>
      </c>
      <c r="B206" s="2113" t="str">
        <f t="shared" si="3"/>
        <v>043-905</v>
      </c>
      <c r="C206" s="76">
        <v>62051.826000000001</v>
      </c>
    </row>
    <row r="207" spans="1:3" ht="14.5">
      <c r="A207" s="2042">
        <v>43907</v>
      </c>
      <c r="B207" s="2113" t="str">
        <f t="shared" si="3"/>
        <v>043-907</v>
      </c>
      <c r="C207" s="76">
        <v>22921.944</v>
      </c>
    </row>
    <row r="208" spans="1:3" ht="14.5">
      <c r="A208" s="2042">
        <v>43908</v>
      </c>
      <c r="B208" s="2113" t="str">
        <f t="shared" si="3"/>
        <v>043-908</v>
      </c>
      <c r="C208" s="76">
        <v>3951.7489999999998</v>
      </c>
    </row>
    <row r="209" spans="1:3" ht="14.5">
      <c r="A209" s="2042">
        <v>43910</v>
      </c>
      <c r="B209" s="2113" t="str">
        <f t="shared" si="3"/>
        <v>043-910</v>
      </c>
      <c r="C209" s="76">
        <v>48858.745999999999</v>
      </c>
    </row>
    <row r="210" spans="1:3" ht="14.5">
      <c r="A210" s="2042">
        <v>43911</v>
      </c>
      <c r="B210" s="2113" t="str">
        <f t="shared" si="3"/>
        <v>043-911</v>
      </c>
      <c r="C210" s="76">
        <v>5615.3879999999999</v>
      </c>
    </row>
    <row r="211" spans="1:3" ht="14.5">
      <c r="A211" s="2042">
        <v>43912</v>
      </c>
      <c r="B211" s="2113" t="str">
        <f t="shared" si="3"/>
        <v>043-912</v>
      </c>
      <c r="C211" s="76">
        <v>19124.25</v>
      </c>
    </row>
    <row r="212" spans="1:3" ht="14.5">
      <c r="A212" s="2042">
        <v>43914</v>
      </c>
      <c r="B212" s="2113" t="str">
        <f t="shared" si="3"/>
        <v>043-914</v>
      </c>
      <c r="C212" s="76">
        <v>17186.296999999999</v>
      </c>
    </row>
    <row r="213" spans="1:3" ht="14.5">
      <c r="A213" s="2042">
        <v>43917</v>
      </c>
      <c r="B213" s="2113" t="str">
        <f t="shared" si="3"/>
        <v>043-917</v>
      </c>
      <c r="C213" s="76">
        <v>908.46799999999996</v>
      </c>
    </row>
    <row r="214" spans="1:3" ht="14.5">
      <c r="A214" s="2042">
        <v>43918</v>
      </c>
      <c r="B214" s="2113" t="str">
        <f t="shared" si="3"/>
        <v>043-918</v>
      </c>
      <c r="C214" s="76">
        <v>2571.8220000000001</v>
      </c>
    </row>
    <row r="215" spans="1:3" ht="14.5">
      <c r="A215" s="2042">
        <v>43919</v>
      </c>
      <c r="B215" s="2113" t="str">
        <f t="shared" si="3"/>
        <v>043-919</v>
      </c>
      <c r="C215" s="76">
        <v>4256.6880000000001</v>
      </c>
    </row>
    <row r="216" spans="1:3" ht="14.5">
      <c r="A216" s="2042">
        <v>44902</v>
      </c>
      <c r="B216" s="2113" t="str">
        <f t="shared" si="3"/>
        <v>044-902</v>
      </c>
      <c r="C216" s="76">
        <v>530.346</v>
      </c>
    </row>
    <row r="217" spans="1:3" ht="14.5">
      <c r="A217" s="2042">
        <v>45902</v>
      </c>
      <c r="B217" s="2113" t="str">
        <f t="shared" si="3"/>
        <v>045-902</v>
      </c>
      <c r="C217" s="76">
        <v>1371.895</v>
      </c>
    </row>
    <row r="218" spans="1:3" ht="14.5">
      <c r="A218" s="2042">
        <v>45903</v>
      </c>
      <c r="B218" s="2113" t="str">
        <f t="shared" si="3"/>
        <v>045-903</v>
      </c>
      <c r="C218" s="76">
        <v>1226.8589999999999</v>
      </c>
    </row>
    <row r="219" spans="1:3" ht="14.5">
      <c r="A219" s="2042">
        <v>45905</v>
      </c>
      <c r="B219" s="2113" t="str">
        <f t="shared" si="3"/>
        <v>045-905</v>
      </c>
      <c r="C219" s="76">
        <v>614.90800000000002</v>
      </c>
    </row>
    <row r="220" spans="1:3" ht="14.5">
      <c r="A220" s="2042">
        <v>46802</v>
      </c>
      <c r="B220" s="2113" t="str">
        <f t="shared" si="3"/>
        <v>046-802</v>
      </c>
      <c r="C220" s="76">
        <v>396.68299999999999</v>
      </c>
    </row>
    <row r="221" spans="1:3" ht="14.5">
      <c r="A221" s="2042">
        <v>46901</v>
      </c>
      <c r="B221" s="2113" t="str">
        <f t="shared" si="3"/>
        <v>046-901</v>
      </c>
      <c r="C221" s="76">
        <v>9163.3610000000008</v>
      </c>
    </row>
    <row r="222" spans="1:3" ht="14.5">
      <c r="A222" s="2042">
        <v>46902</v>
      </c>
      <c r="B222" s="2113" t="str">
        <f t="shared" si="3"/>
        <v>046-902</v>
      </c>
      <c r="C222" s="76">
        <v>24824.588</v>
      </c>
    </row>
    <row r="223" spans="1:3" ht="14.5">
      <c r="A223" s="2042">
        <v>47901</v>
      </c>
      <c r="B223" s="2113" t="str">
        <f t="shared" si="3"/>
        <v>047-901</v>
      </c>
      <c r="C223" s="76">
        <v>1302.501</v>
      </c>
    </row>
    <row r="224" spans="1:3" ht="14.5">
      <c r="A224" s="2042">
        <v>47902</v>
      </c>
      <c r="B224" s="2113" t="str">
        <f t="shared" si="3"/>
        <v>047-902</v>
      </c>
      <c r="C224" s="76">
        <v>700.40899999999999</v>
      </c>
    </row>
    <row r="225" spans="1:3" ht="14.5">
      <c r="A225" s="2042">
        <v>47903</v>
      </c>
      <c r="B225" s="2113" t="str">
        <f t="shared" si="3"/>
        <v>047-903</v>
      </c>
      <c r="C225" s="76">
        <v>148.40700000000001</v>
      </c>
    </row>
    <row r="226" spans="1:3" ht="14.5">
      <c r="A226" s="2042">
        <v>47905</v>
      </c>
      <c r="B226" s="2113" t="str">
        <f t="shared" si="3"/>
        <v>047-905</v>
      </c>
      <c r="C226" s="76">
        <v>145.38999999999999</v>
      </c>
    </row>
    <row r="227" spans="1:3" ht="14.5">
      <c r="A227" s="2042">
        <v>48901</v>
      </c>
      <c r="B227" s="2113" t="str">
        <f t="shared" si="3"/>
        <v>048-901</v>
      </c>
      <c r="C227" s="76">
        <v>218.78399999999999</v>
      </c>
    </row>
    <row r="228" spans="1:3" ht="14.5">
      <c r="A228" s="2042">
        <v>48903</v>
      </c>
      <c r="B228" s="2113" t="str">
        <f t="shared" si="3"/>
        <v>048-903</v>
      </c>
      <c r="C228" s="76">
        <v>219.02</v>
      </c>
    </row>
    <row r="229" spans="1:3" ht="14.5">
      <c r="A229" s="2042">
        <v>49901</v>
      </c>
      <c r="B229" s="2113" t="str">
        <f t="shared" si="3"/>
        <v>049-901</v>
      </c>
      <c r="C229" s="76">
        <v>2761.366</v>
      </c>
    </row>
    <row r="230" spans="1:3" ht="14.5">
      <c r="A230" s="2042">
        <v>49902</v>
      </c>
      <c r="B230" s="2113" t="str">
        <f t="shared" si="3"/>
        <v>049-902</v>
      </c>
      <c r="C230" s="76">
        <v>496.02</v>
      </c>
    </row>
    <row r="231" spans="1:3" ht="14.5">
      <c r="A231" s="2042">
        <v>49903</v>
      </c>
      <c r="B231" s="2113" t="str">
        <f t="shared" si="3"/>
        <v>049-903</v>
      </c>
      <c r="C231" s="76">
        <v>846.65700000000004</v>
      </c>
    </row>
    <row r="232" spans="1:3" ht="14.5">
      <c r="A232" s="2042">
        <v>49905</v>
      </c>
      <c r="B232" s="2113" t="str">
        <f t="shared" si="3"/>
        <v>049-905</v>
      </c>
      <c r="C232" s="76">
        <v>1105.799</v>
      </c>
    </row>
    <row r="233" spans="1:3" ht="14.5">
      <c r="A233" s="2042">
        <v>49906</v>
      </c>
      <c r="B233" s="2113" t="str">
        <f t="shared" si="3"/>
        <v>049-906</v>
      </c>
      <c r="C233" s="76">
        <v>460.78800000000001</v>
      </c>
    </row>
    <row r="234" spans="1:3" ht="14.5">
      <c r="A234" s="2042">
        <v>49907</v>
      </c>
      <c r="B234" s="2113" t="str">
        <f t="shared" si="3"/>
        <v>049-907</v>
      </c>
      <c r="C234" s="76">
        <v>505.86</v>
      </c>
    </row>
    <row r="235" spans="1:3" ht="14.5">
      <c r="A235" s="2042">
        <v>49908</v>
      </c>
      <c r="B235" s="2113" t="str">
        <f t="shared" si="3"/>
        <v>049-908</v>
      </c>
      <c r="C235" s="76">
        <v>55.661000000000001</v>
      </c>
    </row>
    <row r="236" spans="1:3" ht="14.5">
      <c r="A236" s="2042">
        <v>49909</v>
      </c>
      <c r="B236" s="2113" t="str">
        <f t="shared" si="3"/>
        <v>049-909</v>
      </c>
      <c r="C236" s="76">
        <v>64.102000000000004</v>
      </c>
    </row>
    <row r="237" spans="1:3" ht="14.5">
      <c r="A237" s="2042">
        <v>50901</v>
      </c>
      <c r="B237" s="2113" t="str">
        <f t="shared" si="3"/>
        <v>050-901</v>
      </c>
      <c r="C237" s="76">
        <v>253.66800000000001</v>
      </c>
    </row>
    <row r="238" spans="1:3" ht="14.5">
      <c r="A238" s="2042">
        <v>50902</v>
      </c>
      <c r="B238" s="2113" t="str">
        <f t="shared" si="3"/>
        <v>050-902</v>
      </c>
      <c r="C238" s="76">
        <v>2621.13</v>
      </c>
    </row>
    <row r="239" spans="1:3" ht="14.5">
      <c r="A239" s="2042">
        <v>50904</v>
      </c>
      <c r="B239" s="2113" t="str">
        <f t="shared" si="3"/>
        <v>050-904</v>
      </c>
      <c r="C239" s="76">
        <v>171.983</v>
      </c>
    </row>
    <row r="240" spans="1:3" ht="14.5">
      <c r="A240" s="2042">
        <v>50909</v>
      </c>
      <c r="B240" s="2113" t="str">
        <f t="shared" si="3"/>
        <v>050-909</v>
      </c>
      <c r="C240" s="76">
        <v>321.197</v>
      </c>
    </row>
    <row r="241" spans="1:3" ht="14.5">
      <c r="A241" s="2042">
        <v>50910</v>
      </c>
      <c r="B241" s="2113" t="str">
        <f t="shared" si="3"/>
        <v>050-910</v>
      </c>
      <c r="C241" s="76">
        <v>7877.4110000000001</v>
      </c>
    </row>
    <row r="242" spans="1:3" ht="14.5">
      <c r="A242" s="2042">
        <v>51901</v>
      </c>
      <c r="B242" s="2113" t="str">
        <f t="shared" si="3"/>
        <v>051-901</v>
      </c>
      <c r="C242" s="76">
        <v>176.61099999999999</v>
      </c>
    </row>
    <row r="243" spans="1:3" ht="14.5">
      <c r="A243" s="2042">
        <v>52901</v>
      </c>
      <c r="B243" s="2113" t="str">
        <f t="shared" si="3"/>
        <v>052-901</v>
      </c>
      <c r="C243" s="76">
        <v>1070.547</v>
      </c>
    </row>
    <row r="244" spans="1:3" ht="14.5">
      <c r="A244" s="2042">
        <v>53001</v>
      </c>
      <c r="B244" s="2113" t="str">
        <f t="shared" si="3"/>
        <v>053-001</v>
      </c>
      <c r="C244" s="76">
        <v>704.923</v>
      </c>
    </row>
    <row r="245" spans="1:3" ht="14.5">
      <c r="A245" s="2042">
        <v>54901</v>
      </c>
      <c r="B245" s="2113" t="str">
        <f t="shared" si="3"/>
        <v>054-901</v>
      </c>
      <c r="C245" s="76">
        <v>295.10399999999998</v>
      </c>
    </row>
    <row r="246" spans="1:3" ht="14.5">
      <c r="A246" s="2042">
        <v>54902</v>
      </c>
      <c r="B246" s="2113" t="str">
        <f t="shared" si="3"/>
        <v>054-902</v>
      </c>
      <c r="C246" s="76">
        <v>214.98599999999999</v>
      </c>
    </row>
    <row r="247" spans="1:3" ht="14.5">
      <c r="A247" s="2042">
        <v>54903</v>
      </c>
      <c r="B247" s="2113" t="str">
        <f t="shared" si="3"/>
        <v>054-903</v>
      </c>
      <c r="C247" s="76">
        <v>427.02499999999998</v>
      </c>
    </row>
    <row r="248" spans="1:3" ht="14.5">
      <c r="A248" s="2042">
        <v>55901</v>
      </c>
      <c r="B248" s="2113" t="str">
        <f t="shared" si="3"/>
        <v>055-901</v>
      </c>
      <c r="C248" s="76">
        <v>339.96100000000001</v>
      </c>
    </row>
    <row r="249" spans="1:3" ht="14.5">
      <c r="A249" s="2042">
        <v>56901</v>
      </c>
      <c r="B249" s="2113" t="str">
        <f t="shared" si="3"/>
        <v>056-901</v>
      </c>
      <c r="C249" s="76">
        <v>1478.511</v>
      </c>
    </row>
    <row r="250" spans="1:3" ht="14.5">
      <c r="A250" s="2042">
        <v>56902</v>
      </c>
      <c r="B250" s="2113" t="str">
        <f t="shared" si="3"/>
        <v>056-902</v>
      </c>
      <c r="C250" s="76">
        <v>189.078</v>
      </c>
    </row>
    <row r="251" spans="1:3" ht="14.5">
      <c r="A251" s="2042">
        <v>57802</v>
      </c>
      <c r="B251" s="2113" t="str">
        <f t="shared" si="3"/>
        <v>057-802</v>
      </c>
      <c r="C251" s="76">
        <v>546.75599999999997</v>
      </c>
    </row>
    <row r="252" spans="1:3" ht="14.5">
      <c r="A252" s="2042">
        <v>57803</v>
      </c>
      <c r="B252" s="2113" t="str">
        <f t="shared" si="3"/>
        <v>057-803</v>
      </c>
      <c r="C252" s="76">
        <v>20254.147000000001</v>
      </c>
    </row>
    <row r="253" spans="1:3" ht="14.5">
      <c r="A253" s="2042">
        <v>57804</v>
      </c>
      <c r="B253" s="2113" t="str">
        <f t="shared" si="3"/>
        <v>057-804</v>
      </c>
      <c r="C253" s="76">
        <v>4504.8130000000001</v>
      </c>
    </row>
    <row r="254" spans="1:3" ht="14.5">
      <c r="A254" s="2042">
        <v>57805</v>
      </c>
      <c r="B254" s="2113" t="str">
        <f t="shared" si="3"/>
        <v>057-805</v>
      </c>
      <c r="C254" s="76">
        <v>202.24799999999999</v>
      </c>
    </row>
    <row r="255" spans="1:3" ht="14.5">
      <c r="A255" s="2042">
        <v>57806</v>
      </c>
      <c r="B255" s="2113" t="str">
        <f t="shared" si="3"/>
        <v>057-806</v>
      </c>
      <c r="C255" s="76">
        <v>1128.7619999999999</v>
      </c>
    </row>
    <row r="256" spans="1:3" ht="14.5">
      <c r="A256" s="2042">
        <v>57807</v>
      </c>
      <c r="B256" s="2113" t="str">
        <f t="shared" si="3"/>
        <v>057-807</v>
      </c>
      <c r="C256" s="76">
        <v>5245.9560000000001</v>
      </c>
    </row>
    <row r="257" spans="1:3" ht="14.5">
      <c r="A257" s="2042">
        <v>57808</v>
      </c>
      <c r="B257" s="2113" t="str">
        <f t="shared" si="3"/>
        <v>057-808</v>
      </c>
      <c r="C257" s="76">
        <v>2158.06</v>
      </c>
    </row>
    <row r="258" spans="1:3" ht="14.5">
      <c r="A258" s="2042">
        <v>57809</v>
      </c>
      <c r="B258" s="2113" t="str">
        <f t="shared" si="3"/>
        <v>057-809</v>
      </c>
      <c r="C258" s="76">
        <v>88.972999999999999</v>
      </c>
    </row>
    <row r="259" spans="1:3" ht="14.5">
      <c r="A259" s="2042">
        <v>57810</v>
      </c>
      <c r="B259" s="2113" t="str">
        <f t="shared" ref="B259:B322" si="4">CONCATENATE(LEFT(RIGHT(CONCATENATE("000",A259),6),3),"-",(RIGHT(RIGHT(CONCATENATE("000",A259),6),3)))</f>
        <v>057-810</v>
      </c>
      <c r="C259" s="76">
        <v>372.29199999999997</v>
      </c>
    </row>
    <row r="260" spans="1:3" ht="14.5">
      <c r="A260" s="2042">
        <v>57813</v>
      </c>
      <c r="B260" s="2113" t="str">
        <f t="shared" si="4"/>
        <v>057-813</v>
      </c>
      <c r="C260" s="76">
        <v>3602.8679999999999</v>
      </c>
    </row>
    <row r="261" spans="1:3" ht="14.5">
      <c r="A261" s="2042">
        <v>57814</v>
      </c>
      <c r="B261" s="2113" t="str">
        <f t="shared" si="4"/>
        <v>057-814</v>
      </c>
      <c r="C261" s="76">
        <v>409.94299999999998</v>
      </c>
    </row>
    <row r="262" spans="1:3" ht="14.5">
      <c r="A262" s="2042">
        <v>57816</v>
      </c>
      <c r="B262" s="2113" t="str">
        <f t="shared" si="4"/>
        <v>057-816</v>
      </c>
      <c r="C262" s="76">
        <v>1227.5219999999999</v>
      </c>
    </row>
    <row r="263" spans="1:3" ht="14.5">
      <c r="A263" s="2042">
        <v>57819</v>
      </c>
      <c r="B263" s="2113" t="str">
        <f t="shared" si="4"/>
        <v>057-819</v>
      </c>
      <c r="C263" s="76">
        <v>201.36500000000001</v>
      </c>
    </row>
    <row r="264" spans="1:3" ht="14.5">
      <c r="A264" s="2042">
        <v>57827</v>
      </c>
      <c r="B264" s="2113" t="str">
        <f t="shared" si="4"/>
        <v>057-827</v>
      </c>
      <c r="C264" s="76">
        <v>609.15200000000004</v>
      </c>
    </row>
    <row r="265" spans="1:3" ht="14.5">
      <c r="A265" s="2042">
        <v>57828</v>
      </c>
      <c r="B265" s="2113" t="str">
        <f t="shared" si="4"/>
        <v>057-828</v>
      </c>
      <c r="C265" s="76">
        <v>911.01099999999997</v>
      </c>
    </row>
    <row r="266" spans="1:3" ht="14.5">
      <c r="A266" s="2042">
        <v>57829</v>
      </c>
      <c r="B266" s="2113" t="str">
        <f t="shared" si="4"/>
        <v>057-829</v>
      </c>
      <c r="C266" s="76">
        <v>1312.1659999999999</v>
      </c>
    </row>
    <row r="267" spans="1:3" ht="14.5">
      <c r="A267" s="2042">
        <v>57830</v>
      </c>
      <c r="B267" s="2113" t="str">
        <f t="shared" si="4"/>
        <v>057-830</v>
      </c>
      <c r="C267" s="76">
        <v>1195.9469999999999</v>
      </c>
    </row>
    <row r="268" spans="1:3" ht="14.5">
      <c r="A268" s="2042">
        <v>57831</v>
      </c>
      <c r="B268" s="2113" t="str">
        <f t="shared" si="4"/>
        <v>057-831</v>
      </c>
      <c r="C268" s="76">
        <v>625.41700000000003</v>
      </c>
    </row>
    <row r="269" spans="1:3" ht="14.5">
      <c r="A269" s="2042">
        <v>57833</v>
      </c>
      <c r="B269" s="2113" t="str">
        <f t="shared" si="4"/>
        <v>057-833</v>
      </c>
      <c r="C269" s="76">
        <v>596.42899999999997</v>
      </c>
    </row>
    <row r="270" spans="1:3" ht="14.5">
      <c r="A270" s="2042">
        <v>57834</v>
      </c>
      <c r="B270" s="2113" t="str">
        <f t="shared" si="4"/>
        <v>057-834</v>
      </c>
      <c r="C270" s="76">
        <v>511.98899999999998</v>
      </c>
    </row>
    <row r="271" spans="1:3" ht="14.5">
      <c r="A271" s="2042">
        <v>57835</v>
      </c>
      <c r="B271" s="2113" t="str">
        <f t="shared" si="4"/>
        <v>057-835</v>
      </c>
      <c r="C271" s="76">
        <v>1403.085</v>
      </c>
    </row>
    <row r="272" spans="1:3" ht="14.5">
      <c r="A272" s="2042">
        <v>57836</v>
      </c>
      <c r="B272" s="2113" t="str">
        <f t="shared" si="4"/>
        <v>057-836</v>
      </c>
      <c r="C272" s="76">
        <v>310.70699999999999</v>
      </c>
    </row>
    <row r="273" spans="1:3" ht="14.5">
      <c r="A273" s="2042">
        <v>57839</v>
      </c>
      <c r="B273" s="2113" t="str">
        <f t="shared" si="4"/>
        <v>057-839</v>
      </c>
      <c r="C273" s="76">
        <v>940.35799999999995</v>
      </c>
    </row>
    <row r="274" spans="1:3" ht="14.5">
      <c r="A274" s="2042">
        <v>57840</v>
      </c>
      <c r="B274" s="2113" t="str">
        <f t="shared" si="4"/>
        <v>057-840</v>
      </c>
      <c r="C274" s="76">
        <v>468.82799999999997</v>
      </c>
    </row>
    <row r="275" spans="1:3" ht="14.5">
      <c r="A275" s="2042">
        <v>57841</v>
      </c>
      <c r="B275" s="2113" t="str">
        <f t="shared" si="4"/>
        <v>057-841</v>
      </c>
      <c r="C275" s="76">
        <v>1144.5830000000001</v>
      </c>
    </row>
    <row r="276" spans="1:3" ht="14.5">
      <c r="A276" s="2042">
        <v>57844</v>
      </c>
      <c r="B276" s="2113" t="str">
        <f t="shared" si="4"/>
        <v>057-844</v>
      </c>
      <c r="C276" s="76">
        <v>620.42200000000003</v>
      </c>
    </row>
    <row r="277" spans="1:3" ht="14.5">
      <c r="A277" s="2042">
        <v>57845</v>
      </c>
      <c r="B277" s="2113" t="str">
        <f t="shared" si="4"/>
        <v>057-845</v>
      </c>
      <c r="C277" s="76">
        <v>1432.433</v>
      </c>
    </row>
    <row r="278" spans="1:3" ht="14.5">
      <c r="A278" s="2042">
        <v>57846</v>
      </c>
      <c r="B278" s="2113" t="str">
        <f t="shared" si="4"/>
        <v>057-846</v>
      </c>
      <c r="C278" s="76">
        <v>1513.9949999999999</v>
      </c>
    </row>
    <row r="279" spans="1:3" ht="14.5">
      <c r="A279" s="2042">
        <v>57847</v>
      </c>
      <c r="B279" s="2113" t="str">
        <f t="shared" si="4"/>
        <v>057-847</v>
      </c>
      <c r="C279" s="76">
        <v>1257.4749999999999</v>
      </c>
    </row>
    <row r="280" spans="1:3" ht="14.5">
      <c r="A280" s="2042">
        <v>57848</v>
      </c>
      <c r="B280" s="2113" t="str">
        <f t="shared" si="4"/>
        <v>057-848</v>
      </c>
      <c r="C280" s="76">
        <v>20212.772000000001</v>
      </c>
    </row>
    <row r="281" spans="1:3" ht="14.5">
      <c r="A281" s="2042">
        <v>57850</v>
      </c>
      <c r="B281" s="2113" t="str">
        <f t="shared" si="4"/>
        <v>057-850</v>
      </c>
      <c r="C281" s="76">
        <v>1642.2850000000001</v>
      </c>
    </row>
    <row r="282" spans="1:3" ht="14.5">
      <c r="A282" s="2042">
        <v>57851</v>
      </c>
      <c r="B282" s="2113" t="str">
        <f t="shared" si="4"/>
        <v>057-851</v>
      </c>
      <c r="C282" s="76">
        <v>71.481999999999999</v>
      </c>
    </row>
    <row r="283" spans="1:3" ht="14.5">
      <c r="A283" s="2042">
        <v>57903</v>
      </c>
      <c r="B283" s="2113" t="str">
        <f t="shared" si="4"/>
        <v>057-903</v>
      </c>
      <c r="C283" s="76">
        <v>23688.513999999999</v>
      </c>
    </row>
    <row r="284" spans="1:3" ht="14.5">
      <c r="A284" s="2042">
        <v>57904</v>
      </c>
      <c r="B284" s="2113" t="str">
        <f t="shared" si="4"/>
        <v>057-904</v>
      </c>
      <c r="C284" s="76">
        <v>7007.0460000000003</v>
      </c>
    </row>
    <row r="285" spans="1:3" ht="14.5">
      <c r="A285" s="2042">
        <v>57905</v>
      </c>
      <c r="B285" s="2113" t="str">
        <f t="shared" si="4"/>
        <v>057-905</v>
      </c>
      <c r="C285" s="76">
        <v>136141.38800000001</v>
      </c>
    </row>
    <row r="286" spans="1:3" ht="14.5">
      <c r="A286" s="2042">
        <v>57906</v>
      </c>
      <c r="B286" s="2113" t="str">
        <f t="shared" si="4"/>
        <v>057-906</v>
      </c>
      <c r="C286" s="76">
        <v>7511.4530000000004</v>
      </c>
    </row>
    <row r="287" spans="1:3" ht="14.5">
      <c r="A287" s="2042">
        <v>57907</v>
      </c>
      <c r="B287" s="2113" t="str">
        <f t="shared" si="4"/>
        <v>057-907</v>
      </c>
      <c r="C287" s="76">
        <v>11165.558999999999</v>
      </c>
    </row>
    <row r="288" spans="1:3" ht="14.5">
      <c r="A288" s="2042">
        <v>57909</v>
      </c>
      <c r="B288" s="2113" t="str">
        <f t="shared" si="4"/>
        <v>057-909</v>
      </c>
      <c r="C288" s="76">
        <v>51458.7</v>
      </c>
    </row>
    <row r="289" spans="1:3" ht="14.5">
      <c r="A289" s="2042">
        <v>57910</v>
      </c>
      <c r="B289" s="2113" t="str">
        <f t="shared" si="4"/>
        <v>057-910</v>
      </c>
      <c r="C289" s="76">
        <v>26665.396000000001</v>
      </c>
    </row>
    <row r="290" spans="1:3" ht="14.5">
      <c r="A290" s="2042">
        <v>57911</v>
      </c>
      <c r="B290" s="2113" t="str">
        <f t="shared" si="4"/>
        <v>057-911</v>
      </c>
      <c r="C290" s="76">
        <v>6458.8609999999999</v>
      </c>
    </row>
    <row r="291" spans="1:3" ht="14.5">
      <c r="A291" s="2042">
        <v>57912</v>
      </c>
      <c r="B291" s="2113" t="str">
        <f t="shared" si="4"/>
        <v>057-912</v>
      </c>
      <c r="C291" s="76">
        <v>31120.974999999999</v>
      </c>
    </row>
    <row r="292" spans="1:3" ht="14.5">
      <c r="A292" s="2042">
        <v>57913</v>
      </c>
      <c r="B292" s="2113" t="str">
        <f t="shared" si="4"/>
        <v>057-913</v>
      </c>
      <c r="C292" s="76">
        <v>6828.4610000000002</v>
      </c>
    </row>
    <row r="293" spans="1:3" ht="14.5">
      <c r="A293" s="2042">
        <v>57914</v>
      </c>
      <c r="B293" s="2113" t="str">
        <f t="shared" si="4"/>
        <v>057-914</v>
      </c>
      <c r="C293" s="76">
        <v>36831.563999999998</v>
      </c>
    </row>
    <row r="294" spans="1:3" ht="14.5">
      <c r="A294" s="2042">
        <v>57916</v>
      </c>
      <c r="B294" s="2113" t="str">
        <f t="shared" si="4"/>
        <v>057-916</v>
      </c>
      <c r="C294" s="76">
        <v>36982.826999999997</v>
      </c>
    </row>
    <row r="295" spans="1:3" ht="14.5">
      <c r="A295" s="2042">
        <v>57919</v>
      </c>
      <c r="B295" s="2113" t="str">
        <f t="shared" si="4"/>
        <v>057-919</v>
      </c>
      <c r="C295" s="76">
        <v>2001.8409999999999</v>
      </c>
    </row>
    <row r="296" spans="1:3" ht="14.5">
      <c r="A296" s="2042">
        <v>57922</v>
      </c>
      <c r="B296" s="2113" t="str">
        <f t="shared" si="4"/>
        <v>057-922</v>
      </c>
      <c r="C296" s="76">
        <v>12961.73</v>
      </c>
    </row>
    <row r="297" spans="1:3" ht="14.5">
      <c r="A297" s="2042">
        <v>58902</v>
      </c>
      <c r="B297" s="2113" t="str">
        <f t="shared" si="4"/>
        <v>058-902</v>
      </c>
      <c r="C297" s="76">
        <v>134.13300000000001</v>
      </c>
    </row>
    <row r="298" spans="1:3" ht="14.5">
      <c r="A298" s="2042">
        <v>58905</v>
      </c>
      <c r="B298" s="2113" t="str">
        <f t="shared" si="4"/>
        <v>058-905</v>
      </c>
      <c r="C298" s="76">
        <v>242.80500000000001</v>
      </c>
    </row>
    <row r="299" spans="1:3" ht="14.5">
      <c r="A299" s="2042">
        <v>58906</v>
      </c>
      <c r="B299" s="2113" t="str">
        <f t="shared" si="4"/>
        <v>058-906</v>
      </c>
      <c r="C299" s="76">
        <v>1556.5820000000001</v>
      </c>
    </row>
    <row r="300" spans="1:3" ht="14.5">
      <c r="A300" s="2042">
        <v>58909</v>
      </c>
      <c r="B300" s="2113" t="str">
        <f t="shared" si="4"/>
        <v>058-909</v>
      </c>
      <c r="C300" s="76">
        <v>258.60500000000002</v>
      </c>
    </row>
    <row r="301" spans="1:3" ht="14.5">
      <c r="A301" s="2042">
        <v>59901</v>
      </c>
      <c r="B301" s="2113" t="str">
        <f t="shared" si="4"/>
        <v>059-901</v>
      </c>
      <c r="C301" s="76">
        <v>3633.8229999999999</v>
      </c>
    </row>
    <row r="302" spans="1:3" ht="14.5">
      <c r="A302" s="2042">
        <v>59902</v>
      </c>
      <c r="B302" s="2113" t="str">
        <f t="shared" si="4"/>
        <v>059-902</v>
      </c>
      <c r="C302" s="76">
        <v>140.15600000000001</v>
      </c>
    </row>
    <row r="303" spans="1:3" ht="14.5">
      <c r="A303" s="2042">
        <v>60902</v>
      </c>
      <c r="B303" s="2113" t="str">
        <f t="shared" si="4"/>
        <v>060-902</v>
      </c>
      <c r="C303" s="76">
        <v>752.71900000000005</v>
      </c>
    </row>
    <row r="304" spans="1:3" ht="14.5">
      <c r="A304" s="2042">
        <v>60914</v>
      </c>
      <c r="B304" s="2113" t="str">
        <f t="shared" si="4"/>
        <v>060-914</v>
      </c>
      <c r="C304" s="76">
        <v>143.114</v>
      </c>
    </row>
    <row r="305" spans="1:3" ht="14.5">
      <c r="A305" s="2042">
        <v>61501</v>
      </c>
      <c r="B305" s="2113" t="str">
        <f t="shared" si="4"/>
        <v>061-501</v>
      </c>
      <c r="C305" s="76">
        <v>358.80099999999999</v>
      </c>
    </row>
    <row r="306" spans="1:3" ht="14.5">
      <c r="A306" s="2042">
        <v>61802</v>
      </c>
      <c r="B306" s="2113" t="str">
        <f t="shared" si="4"/>
        <v>061-802</v>
      </c>
      <c r="C306" s="76">
        <v>547.85799999999995</v>
      </c>
    </row>
    <row r="307" spans="1:3" ht="14.5">
      <c r="A307" s="2042">
        <v>61804</v>
      </c>
      <c r="B307" s="2113" t="str">
        <f t="shared" si="4"/>
        <v>061-804</v>
      </c>
      <c r="C307" s="76">
        <v>1320.694</v>
      </c>
    </row>
    <row r="308" spans="1:3" ht="14.5">
      <c r="A308" s="2042">
        <v>61805</v>
      </c>
      <c r="B308" s="2113" t="str">
        <f t="shared" si="4"/>
        <v>061-805</v>
      </c>
      <c r="C308" s="76">
        <v>596.952</v>
      </c>
    </row>
    <row r="309" spans="1:3" ht="14.5">
      <c r="A309" s="2042">
        <v>61901</v>
      </c>
      <c r="B309" s="2113" t="str">
        <f t="shared" si="4"/>
        <v>061-901</v>
      </c>
      <c r="C309" s="76">
        <v>29779.978999999999</v>
      </c>
    </row>
    <row r="310" spans="1:3" ht="14.5">
      <c r="A310" s="2042">
        <v>61902</v>
      </c>
      <c r="B310" s="2113" t="str">
        <f t="shared" si="4"/>
        <v>061-902</v>
      </c>
      <c r="C310" s="76">
        <v>48732.188999999998</v>
      </c>
    </row>
    <row r="311" spans="1:3" ht="14.5">
      <c r="A311" s="2042">
        <v>61903</v>
      </c>
      <c r="B311" s="2113" t="str">
        <f t="shared" si="4"/>
        <v>061-903</v>
      </c>
      <c r="C311" s="76">
        <v>1252.367</v>
      </c>
    </row>
    <row r="312" spans="1:3" ht="14.5">
      <c r="A312" s="2042">
        <v>61905</v>
      </c>
      <c r="B312" s="2113" t="str">
        <f t="shared" si="4"/>
        <v>061-905</v>
      </c>
      <c r="C312" s="76">
        <v>1981.8330000000001</v>
      </c>
    </row>
    <row r="313" spans="1:3" ht="14.5">
      <c r="A313" s="2042">
        <v>61906</v>
      </c>
      <c r="B313" s="2113" t="str">
        <f t="shared" si="4"/>
        <v>061-906</v>
      </c>
      <c r="C313" s="76">
        <v>1558.2190000000001</v>
      </c>
    </row>
    <row r="314" spans="1:3" ht="14.5">
      <c r="A314" s="2042">
        <v>61907</v>
      </c>
      <c r="B314" s="2113" t="str">
        <f t="shared" si="4"/>
        <v>061-907</v>
      </c>
      <c r="C314" s="76">
        <v>2557.9850000000001</v>
      </c>
    </row>
    <row r="315" spans="1:3" ht="14.5">
      <c r="A315" s="2042">
        <v>61908</v>
      </c>
      <c r="B315" s="2113" t="str">
        <f t="shared" si="4"/>
        <v>061-908</v>
      </c>
      <c r="C315" s="76">
        <v>2416.2370000000001</v>
      </c>
    </row>
    <row r="316" spans="1:3" ht="14.5">
      <c r="A316" s="2042">
        <v>61910</v>
      </c>
      <c r="B316" s="2113" t="str">
        <f t="shared" si="4"/>
        <v>061-910</v>
      </c>
      <c r="C316" s="76">
        <v>3818.777</v>
      </c>
    </row>
    <row r="317" spans="1:3" ht="14.5">
      <c r="A317" s="2042">
        <v>61911</v>
      </c>
      <c r="B317" s="2113" t="str">
        <f t="shared" si="4"/>
        <v>061-911</v>
      </c>
      <c r="C317" s="76">
        <v>24790.404999999999</v>
      </c>
    </row>
    <row r="318" spans="1:3" ht="14.5">
      <c r="A318" s="2042">
        <v>61912</v>
      </c>
      <c r="B318" s="2113" t="str">
        <f t="shared" si="4"/>
        <v>061-912</v>
      </c>
      <c r="C318" s="76">
        <v>3770.1289999999999</v>
      </c>
    </row>
    <row r="319" spans="1:3" ht="14.5">
      <c r="A319" s="2042">
        <v>61914</v>
      </c>
      <c r="B319" s="2113" t="str">
        <f t="shared" si="4"/>
        <v>061-914</v>
      </c>
      <c r="C319" s="76">
        <v>7905.0460000000003</v>
      </c>
    </row>
    <row r="320" spans="1:3" ht="14.5">
      <c r="A320" s="2042">
        <v>62901</v>
      </c>
      <c r="B320" s="2113" t="str">
        <f t="shared" si="4"/>
        <v>062-901</v>
      </c>
      <c r="C320" s="76">
        <v>1780.7809999999999</v>
      </c>
    </row>
    <row r="321" spans="1:3" ht="14.5">
      <c r="A321" s="2042">
        <v>62902</v>
      </c>
      <c r="B321" s="2113" t="str">
        <f t="shared" si="4"/>
        <v>062-902</v>
      </c>
      <c r="C321" s="76">
        <v>142.37100000000001</v>
      </c>
    </row>
    <row r="322" spans="1:3" ht="14.5">
      <c r="A322" s="2042">
        <v>62903</v>
      </c>
      <c r="B322" s="2113" t="str">
        <f t="shared" si="4"/>
        <v>062-903</v>
      </c>
      <c r="C322" s="76">
        <v>1431.261</v>
      </c>
    </row>
    <row r="323" spans="1:3" ht="14.5">
      <c r="A323" s="2042">
        <v>62904</v>
      </c>
      <c r="B323" s="2113" t="str">
        <f t="shared" ref="B323:B386" si="5">CONCATENATE(LEFT(RIGHT(CONCATENATE("000",A323),6),3),"-",(RIGHT(RIGHT(CONCATENATE("000",A323),6),3)))</f>
        <v>062-904</v>
      </c>
      <c r="C323" s="76">
        <v>513.03300000000002</v>
      </c>
    </row>
    <row r="324" spans="1:3" ht="14.5">
      <c r="A324" s="2042">
        <v>62905</v>
      </c>
      <c r="B324" s="2113" t="str">
        <f t="shared" si="5"/>
        <v>062-905</v>
      </c>
      <c r="C324" s="76">
        <v>79.007000000000005</v>
      </c>
    </row>
    <row r="325" spans="1:3" ht="14.5">
      <c r="A325" s="2042">
        <v>62906</v>
      </c>
      <c r="B325" s="2113" t="str">
        <f t="shared" si="5"/>
        <v>062-906</v>
      </c>
      <c r="C325" s="76">
        <v>151.898</v>
      </c>
    </row>
    <row r="326" spans="1:3" ht="14.5">
      <c r="A326" s="2042">
        <v>63903</v>
      </c>
      <c r="B326" s="2113" t="str">
        <f t="shared" si="5"/>
        <v>063-903</v>
      </c>
      <c r="C326" s="76">
        <v>225.422</v>
      </c>
    </row>
    <row r="327" spans="1:3" ht="14.5">
      <c r="A327" s="2042">
        <v>63906</v>
      </c>
      <c r="B327" s="2113" t="str">
        <f t="shared" si="5"/>
        <v>063-906</v>
      </c>
      <c r="C327" s="76">
        <v>83.594999999999999</v>
      </c>
    </row>
    <row r="328" spans="1:3" ht="14.5">
      <c r="A328" s="2042">
        <v>64903</v>
      </c>
      <c r="B328" s="2113" t="str">
        <f t="shared" si="5"/>
        <v>064-903</v>
      </c>
      <c r="C328" s="76">
        <v>1885.3340000000001</v>
      </c>
    </row>
    <row r="329" spans="1:3" ht="14.5">
      <c r="A329" s="2042">
        <v>65901</v>
      </c>
      <c r="B329" s="2113" t="str">
        <f t="shared" si="5"/>
        <v>065-901</v>
      </c>
      <c r="C329" s="76">
        <v>391.70600000000002</v>
      </c>
    </row>
    <row r="330" spans="1:3" ht="14.5">
      <c r="A330" s="2042">
        <v>65902</v>
      </c>
      <c r="B330" s="2113" t="str">
        <f t="shared" si="5"/>
        <v>065-902</v>
      </c>
      <c r="C330" s="76">
        <v>112.066</v>
      </c>
    </row>
    <row r="331" spans="1:3" ht="14.5">
      <c r="A331" s="2042">
        <v>66005</v>
      </c>
      <c r="B331" s="2113" t="str">
        <f t="shared" si="5"/>
        <v>066-005</v>
      </c>
      <c r="C331" s="76">
        <v>36.587000000000003</v>
      </c>
    </row>
    <row r="332" spans="1:3" ht="14.5">
      <c r="A332" s="2042">
        <v>66901</v>
      </c>
      <c r="B332" s="2113" t="str">
        <f t="shared" si="5"/>
        <v>066-901</v>
      </c>
      <c r="C332" s="76">
        <v>255.67599999999999</v>
      </c>
    </row>
    <row r="333" spans="1:3" ht="14.5">
      <c r="A333" s="2042">
        <v>66902</v>
      </c>
      <c r="B333" s="2113" t="str">
        <f t="shared" si="5"/>
        <v>066-902</v>
      </c>
      <c r="C333" s="76">
        <v>1356.1030000000001</v>
      </c>
    </row>
    <row r="334" spans="1:3" ht="14.5">
      <c r="A334" s="2042">
        <v>66903</v>
      </c>
      <c r="B334" s="2113" t="str">
        <f t="shared" si="5"/>
        <v>066-903</v>
      </c>
      <c r="C334" s="76">
        <v>694.54300000000001</v>
      </c>
    </row>
    <row r="335" spans="1:3" ht="14.5">
      <c r="A335" s="2042">
        <v>67902</v>
      </c>
      <c r="B335" s="2113" t="str">
        <f t="shared" si="5"/>
        <v>067-902</v>
      </c>
      <c r="C335" s="76">
        <v>775.93200000000002</v>
      </c>
    </row>
    <row r="336" spans="1:3" ht="14.5">
      <c r="A336" s="2042">
        <v>67903</v>
      </c>
      <c r="B336" s="2113" t="str">
        <f t="shared" si="5"/>
        <v>067-903</v>
      </c>
      <c r="C336" s="76">
        <v>982.16800000000001</v>
      </c>
    </row>
    <row r="337" spans="1:3" ht="14.5">
      <c r="A337" s="2042">
        <v>67904</v>
      </c>
      <c r="B337" s="2113" t="str">
        <f t="shared" si="5"/>
        <v>067-904</v>
      </c>
      <c r="C337" s="76">
        <v>279.13200000000001</v>
      </c>
    </row>
    <row r="338" spans="1:3" ht="14.5">
      <c r="A338" s="2042">
        <v>67907</v>
      </c>
      <c r="B338" s="2113" t="str">
        <f t="shared" si="5"/>
        <v>067-907</v>
      </c>
      <c r="C338" s="76">
        <v>309.947</v>
      </c>
    </row>
    <row r="339" spans="1:3" ht="14.5">
      <c r="A339" s="2042">
        <v>67908</v>
      </c>
      <c r="B339" s="2113" t="str">
        <f t="shared" si="5"/>
        <v>067-908</v>
      </c>
      <c r="C339" s="76">
        <v>162.97900000000001</v>
      </c>
    </row>
    <row r="340" spans="1:3" ht="14.5">
      <c r="A340" s="2042">
        <v>68802</v>
      </c>
      <c r="B340" s="2113" t="str">
        <f t="shared" si="5"/>
        <v>068-802</v>
      </c>
      <c r="C340" s="76">
        <v>1289.606</v>
      </c>
    </row>
    <row r="341" spans="1:3" ht="14.5">
      <c r="A341" s="2042">
        <v>68803</v>
      </c>
      <c r="B341" s="2113" t="str">
        <f t="shared" si="5"/>
        <v>068-803</v>
      </c>
      <c r="C341" s="76">
        <v>790.62400000000002</v>
      </c>
    </row>
    <row r="342" spans="1:3" ht="14.5">
      <c r="A342" s="2042">
        <v>68901</v>
      </c>
      <c r="B342" s="2113" t="str">
        <f t="shared" si="5"/>
        <v>068-901</v>
      </c>
      <c r="C342" s="76">
        <v>31091.392</v>
      </c>
    </row>
    <row r="343" spans="1:3" ht="14.5">
      <c r="A343" s="2042">
        <v>69901</v>
      </c>
      <c r="B343" s="2113" t="str">
        <f t="shared" si="5"/>
        <v>069-901</v>
      </c>
      <c r="C343" s="76">
        <v>268.839</v>
      </c>
    </row>
    <row r="344" spans="1:3" ht="14.5">
      <c r="A344" s="2042">
        <v>69902</v>
      </c>
      <c r="B344" s="2113" t="str">
        <f t="shared" si="5"/>
        <v>069-902</v>
      </c>
      <c r="C344" s="76">
        <v>262.97500000000002</v>
      </c>
    </row>
    <row r="345" spans="1:3" ht="14.5">
      <c r="A345" s="2042">
        <v>70801</v>
      </c>
      <c r="B345" s="2113" t="str">
        <f t="shared" si="5"/>
        <v>070-801</v>
      </c>
      <c r="C345" s="76">
        <v>2415.4259999999999</v>
      </c>
    </row>
    <row r="346" spans="1:3" ht="14.5">
      <c r="A346" s="2042">
        <v>70901</v>
      </c>
      <c r="B346" s="2113" t="str">
        <f t="shared" si="5"/>
        <v>070-901</v>
      </c>
      <c r="C346" s="76">
        <v>315.11900000000003</v>
      </c>
    </row>
    <row r="347" spans="1:3" ht="14.5">
      <c r="A347" s="2042">
        <v>70903</v>
      </c>
      <c r="B347" s="2113" t="str">
        <f t="shared" si="5"/>
        <v>070-903</v>
      </c>
      <c r="C347" s="76">
        <v>5424.6580000000004</v>
      </c>
    </row>
    <row r="348" spans="1:3" ht="14.5">
      <c r="A348" s="2042">
        <v>70905</v>
      </c>
      <c r="B348" s="2113" t="str">
        <f t="shared" si="5"/>
        <v>070-905</v>
      </c>
      <c r="C348" s="76">
        <v>2411.4560000000001</v>
      </c>
    </row>
    <row r="349" spans="1:3" ht="14.5">
      <c r="A349" s="2042">
        <v>70907</v>
      </c>
      <c r="B349" s="2113" t="str">
        <f t="shared" si="5"/>
        <v>070-907</v>
      </c>
      <c r="C349" s="76">
        <v>615.553</v>
      </c>
    </row>
    <row r="350" spans="1:3" ht="14.5">
      <c r="A350" s="2042">
        <v>70908</v>
      </c>
      <c r="B350" s="2113" t="str">
        <f t="shared" si="5"/>
        <v>070-908</v>
      </c>
      <c r="C350" s="76">
        <v>9814.4470000000001</v>
      </c>
    </row>
    <row r="351" spans="1:3" ht="14.5">
      <c r="A351" s="2042">
        <v>70909</v>
      </c>
      <c r="B351" s="2113" t="str">
        <f t="shared" si="5"/>
        <v>070-909</v>
      </c>
      <c r="C351" s="76">
        <v>224.64</v>
      </c>
    </row>
    <row r="352" spans="1:3" ht="14.5">
      <c r="A352" s="2042">
        <v>70910</v>
      </c>
      <c r="B352" s="2113" t="str">
        <f t="shared" si="5"/>
        <v>070-910</v>
      </c>
      <c r="C352" s="76">
        <v>1162.5450000000001</v>
      </c>
    </row>
    <row r="353" spans="1:3" ht="14.5">
      <c r="A353" s="2042">
        <v>70911</v>
      </c>
      <c r="B353" s="2113" t="str">
        <f t="shared" si="5"/>
        <v>070-911</v>
      </c>
      <c r="C353" s="76">
        <v>5897.232</v>
      </c>
    </row>
    <row r="354" spans="1:3" ht="14.5">
      <c r="A354" s="2042">
        <v>70912</v>
      </c>
      <c r="B354" s="2113" t="str">
        <f t="shared" si="5"/>
        <v>070-912</v>
      </c>
      <c r="C354" s="76">
        <v>9443.2980000000007</v>
      </c>
    </row>
    <row r="355" spans="1:3" ht="14.5">
      <c r="A355" s="2042">
        <v>70915</v>
      </c>
      <c r="B355" s="2113" t="str">
        <f t="shared" si="5"/>
        <v>070-915</v>
      </c>
      <c r="C355" s="76">
        <v>1082.25</v>
      </c>
    </row>
    <row r="356" spans="1:3" ht="14.5">
      <c r="A356" s="2042">
        <v>71801</v>
      </c>
      <c r="B356" s="2113" t="str">
        <f t="shared" si="5"/>
        <v>071-801</v>
      </c>
      <c r="C356" s="76">
        <v>1130.2739999999999</v>
      </c>
    </row>
    <row r="357" spans="1:3" ht="14.5">
      <c r="A357" s="2042">
        <v>71803</v>
      </c>
      <c r="B357" s="2113" t="str">
        <f t="shared" si="5"/>
        <v>071-803</v>
      </c>
      <c r="C357" s="76">
        <v>176.232</v>
      </c>
    </row>
    <row r="358" spans="1:3" ht="14.5">
      <c r="A358" s="2042">
        <v>71804</v>
      </c>
      <c r="B358" s="2113" t="str">
        <f t="shared" si="5"/>
        <v>071-804</v>
      </c>
      <c r="C358" s="76">
        <v>251.126</v>
      </c>
    </row>
    <row r="359" spans="1:3" ht="14.5">
      <c r="A359" s="2042">
        <v>71806</v>
      </c>
      <c r="B359" s="2113" t="str">
        <f t="shared" si="5"/>
        <v>071-806</v>
      </c>
      <c r="C359" s="76">
        <v>3905.0909999999999</v>
      </c>
    </row>
    <row r="360" spans="1:3" ht="14.5">
      <c r="A360" s="2042">
        <v>71807</v>
      </c>
      <c r="B360" s="2113" t="str">
        <f t="shared" si="5"/>
        <v>071-807</v>
      </c>
      <c r="C360" s="76">
        <v>178.489</v>
      </c>
    </row>
    <row r="361" spans="1:3" ht="14.5">
      <c r="A361" s="2042">
        <v>71809</v>
      </c>
      <c r="B361" s="2113" t="str">
        <f t="shared" si="5"/>
        <v>071-809</v>
      </c>
      <c r="C361" s="76">
        <v>257.76499999999999</v>
      </c>
    </row>
    <row r="362" spans="1:3" ht="14.5">
      <c r="A362" s="2042">
        <v>71810</v>
      </c>
      <c r="B362" s="2113" t="str">
        <f t="shared" si="5"/>
        <v>071-810</v>
      </c>
      <c r="C362" s="76">
        <v>221.01499999999999</v>
      </c>
    </row>
    <row r="363" spans="1:3" ht="14.5">
      <c r="A363" s="2042">
        <v>71901</v>
      </c>
      <c r="B363" s="2113" t="str">
        <f t="shared" si="5"/>
        <v>071-901</v>
      </c>
      <c r="C363" s="76">
        <v>10302.030000000001</v>
      </c>
    </row>
    <row r="364" spans="1:3" ht="14.5">
      <c r="A364" s="2042">
        <v>71902</v>
      </c>
      <c r="B364" s="2113" t="str">
        <f t="shared" si="5"/>
        <v>071-902</v>
      </c>
      <c r="C364" s="76">
        <v>48649.764000000003</v>
      </c>
    </row>
    <row r="365" spans="1:3" ht="14.5">
      <c r="A365" s="2042">
        <v>71903</v>
      </c>
      <c r="B365" s="2113" t="str">
        <f t="shared" si="5"/>
        <v>071-903</v>
      </c>
      <c r="C365" s="76">
        <v>1943.2059999999999</v>
      </c>
    </row>
    <row r="366" spans="1:3" ht="14.5">
      <c r="A366" s="2042">
        <v>71904</v>
      </c>
      <c r="B366" s="2113" t="str">
        <f t="shared" si="5"/>
        <v>071-904</v>
      </c>
      <c r="C366" s="76">
        <v>2918.462</v>
      </c>
    </row>
    <row r="367" spans="1:3" ht="14.5">
      <c r="A367" s="2042">
        <v>71905</v>
      </c>
      <c r="B367" s="2113" t="str">
        <f t="shared" si="5"/>
        <v>071-905</v>
      </c>
      <c r="C367" s="76">
        <v>36968.779000000002</v>
      </c>
    </row>
    <row r="368" spans="1:3" ht="14.5">
      <c r="A368" s="2042">
        <v>71906</v>
      </c>
      <c r="B368" s="2113" t="str">
        <f t="shared" si="5"/>
        <v>071-906</v>
      </c>
      <c r="C368" s="76">
        <v>763.18399999999997</v>
      </c>
    </row>
    <row r="369" spans="1:3" ht="14.5">
      <c r="A369" s="2042">
        <v>71907</v>
      </c>
      <c r="B369" s="2113" t="str">
        <f t="shared" si="5"/>
        <v>071-907</v>
      </c>
      <c r="C369" s="76">
        <v>5794.9629999999997</v>
      </c>
    </row>
    <row r="370" spans="1:3" ht="14.5">
      <c r="A370" s="2042">
        <v>71908</v>
      </c>
      <c r="B370" s="2113" t="str">
        <f t="shared" si="5"/>
        <v>071-908</v>
      </c>
      <c r="C370" s="76">
        <v>902.03899999999999</v>
      </c>
    </row>
    <row r="371" spans="1:3" ht="14.5">
      <c r="A371" s="2042">
        <v>71909</v>
      </c>
      <c r="B371" s="2113" t="str">
        <f t="shared" si="5"/>
        <v>071-909</v>
      </c>
      <c r="C371" s="76">
        <v>44282.076999999997</v>
      </c>
    </row>
    <row r="372" spans="1:3" ht="14.5">
      <c r="A372" s="2042">
        <v>72801</v>
      </c>
      <c r="B372" s="2113" t="str">
        <f t="shared" si="5"/>
        <v>072-801</v>
      </c>
      <c r="C372" s="76">
        <v>5565.5540000000001</v>
      </c>
    </row>
    <row r="373" spans="1:3" ht="14.5">
      <c r="A373" s="2042">
        <v>72802</v>
      </c>
      <c r="B373" s="2113" t="str">
        <f t="shared" si="5"/>
        <v>072-802</v>
      </c>
      <c r="C373" s="76">
        <v>108.608</v>
      </c>
    </row>
    <row r="374" spans="1:3" ht="14.5">
      <c r="A374" s="2042">
        <v>72901</v>
      </c>
      <c r="B374" s="2113" t="str">
        <f t="shared" si="5"/>
        <v>072-901</v>
      </c>
      <c r="C374" s="76">
        <v>200.821</v>
      </c>
    </row>
    <row r="375" spans="1:3" ht="14.5">
      <c r="A375" s="2042">
        <v>72902</v>
      </c>
      <c r="B375" s="2113" t="str">
        <f t="shared" si="5"/>
        <v>072-902</v>
      </c>
      <c r="C375" s="76">
        <v>996.31700000000001</v>
      </c>
    </row>
    <row r="376" spans="1:3" ht="14.5">
      <c r="A376" s="2042">
        <v>72903</v>
      </c>
      <c r="B376" s="2113" t="str">
        <f t="shared" si="5"/>
        <v>072-903</v>
      </c>
      <c r="C376" s="76">
        <v>3720.67</v>
      </c>
    </row>
    <row r="377" spans="1:3" ht="14.5">
      <c r="A377" s="2042">
        <v>72904</v>
      </c>
      <c r="B377" s="2113" t="str">
        <f t="shared" si="5"/>
        <v>072-904</v>
      </c>
      <c r="C377" s="76">
        <v>216.93199999999999</v>
      </c>
    </row>
    <row r="378" spans="1:3" ht="14.5">
      <c r="A378" s="2042">
        <v>72908</v>
      </c>
      <c r="B378" s="2113" t="str">
        <f t="shared" si="5"/>
        <v>072-908</v>
      </c>
      <c r="C378" s="76">
        <v>254.96</v>
      </c>
    </row>
    <row r="379" spans="1:3" ht="14.5">
      <c r="A379" s="2042">
        <v>72909</v>
      </c>
      <c r="B379" s="2113" t="str">
        <f t="shared" si="5"/>
        <v>072-909</v>
      </c>
      <c r="C379" s="76">
        <v>260.17200000000003</v>
      </c>
    </row>
    <row r="380" spans="1:3" ht="14.5">
      <c r="A380" s="2042">
        <v>72910</v>
      </c>
      <c r="B380" s="2113" t="str">
        <f t="shared" si="5"/>
        <v>072-910</v>
      </c>
      <c r="C380" s="76">
        <v>112.345</v>
      </c>
    </row>
    <row r="381" spans="1:3" ht="14.5">
      <c r="A381" s="2042">
        <v>73901</v>
      </c>
      <c r="B381" s="2113" t="str">
        <f t="shared" si="5"/>
        <v>073-901</v>
      </c>
      <c r="C381" s="76">
        <v>504.947</v>
      </c>
    </row>
    <row r="382" spans="1:3" ht="14.5">
      <c r="A382" s="2042">
        <v>73903</v>
      </c>
      <c r="B382" s="2113" t="str">
        <f t="shared" si="5"/>
        <v>073-903</v>
      </c>
      <c r="C382" s="76">
        <v>869.803</v>
      </c>
    </row>
    <row r="383" spans="1:3" ht="14.5">
      <c r="A383" s="2042">
        <v>73904</v>
      </c>
      <c r="B383" s="2113" t="str">
        <f t="shared" si="5"/>
        <v>073-904</v>
      </c>
      <c r="C383" s="76">
        <v>155.24799999999999</v>
      </c>
    </row>
    <row r="384" spans="1:3" ht="14.5">
      <c r="A384" s="2042">
        <v>73905</v>
      </c>
      <c r="B384" s="2113" t="str">
        <f t="shared" si="5"/>
        <v>073-905</v>
      </c>
      <c r="C384" s="76">
        <v>623.48299999999995</v>
      </c>
    </row>
    <row r="385" spans="1:3" ht="14.5">
      <c r="A385" s="2042">
        <v>74903</v>
      </c>
      <c r="B385" s="2113" t="str">
        <f t="shared" si="5"/>
        <v>074-903</v>
      </c>
      <c r="C385" s="76">
        <v>1668.9090000000001</v>
      </c>
    </row>
    <row r="386" spans="1:3" ht="14.5">
      <c r="A386" s="2042">
        <v>74904</v>
      </c>
      <c r="B386" s="2113" t="str">
        <f t="shared" si="5"/>
        <v>074-904</v>
      </c>
      <c r="C386" s="76">
        <v>315.30700000000002</v>
      </c>
    </row>
    <row r="387" spans="1:3" ht="14.5">
      <c r="A387" s="2042">
        <v>74905</v>
      </c>
      <c r="B387" s="2113" t="str">
        <f t="shared" ref="B387:B450" si="6">CONCATENATE(LEFT(RIGHT(CONCATENATE("000",A387),6),3),"-",(RIGHT(RIGHT(CONCATENATE("000",A387),6),3)))</f>
        <v>074-905</v>
      </c>
      <c r="C387" s="76">
        <v>269.88299999999998</v>
      </c>
    </row>
    <row r="388" spans="1:3" ht="14.5">
      <c r="A388" s="2042">
        <v>74907</v>
      </c>
      <c r="B388" s="2113" t="str">
        <f t="shared" si="6"/>
        <v>074-907</v>
      </c>
      <c r="C388" s="76">
        <v>606.20100000000002</v>
      </c>
    </row>
    <row r="389" spans="1:3" ht="14.5">
      <c r="A389" s="2042">
        <v>74909</v>
      </c>
      <c r="B389" s="2113" t="str">
        <f t="shared" si="6"/>
        <v>074-909</v>
      </c>
      <c r="C389" s="76">
        <v>766.03099999999995</v>
      </c>
    </row>
    <row r="390" spans="1:3" ht="14.5">
      <c r="A390" s="2042">
        <v>74911</v>
      </c>
      <c r="B390" s="2113" t="str">
        <f t="shared" si="6"/>
        <v>074-911</v>
      </c>
      <c r="C390" s="76">
        <v>314.47300000000001</v>
      </c>
    </row>
    <row r="391" spans="1:3" ht="14.5">
      <c r="A391" s="2042">
        <v>74912</v>
      </c>
      <c r="B391" s="2113" t="str">
        <f t="shared" si="6"/>
        <v>074-912</v>
      </c>
      <c r="C391" s="76">
        <v>666.68200000000002</v>
      </c>
    </row>
    <row r="392" spans="1:3" ht="14.5">
      <c r="A392" s="2042">
        <v>74917</v>
      </c>
      <c r="B392" s="2113" t="str">
        <f t="shared" si="6"/>
        <v>074-917</v>
      </c>
      <c r="C392" s="76">
        <v>486.74799999999999</v>
      </c>
    </row>
    <row r="393" spans="1:3" ht="14.5">
      <c r="A393" s="2042">
        <v>75901</v>
      </c>
      <c r="B393" s="2113" t="str">
        <f t="shared" si="6"/>
        <v>075-901</v>
      </c>
      <c r="C393" s="76">
        <v>591.26</v>
      </c>
    </row>
    <row r="394" spans="1:3" ht="14.5">
      <c r="A394" s="2042">
        <v>75902</v>
      </c>
      <c r="B394" s="2113" t="str">
        <f t="shared" si="6"/>
        <v>075-902</v>
      </c>
      <c r="C394" s="76">
        <v>1817.1849999999999</v>
      </c>
    </row>
    <row r="395" spans="1:3" ht="14.5">
      <c r="A395" s="2042">
        <v>75903</v>
      </c>
      <c r="B395" s="2113" t="str">
        <f t="shared" si="6"/>
        <v>075-903</v>
      </c>
      <c r="C395" s="76">
        <v>651.08399999999995</v>
      </c>
    </row>
    <row r="396" spans="1:3" ht="14.5">
      <c r="A396" s="2042">
        <v>75906</v>
      </c>
      <c r="B396" s="2113" t="str">
        <f t="shared" si="6"/>
        <v>075-906</v>
      </c>
      <c r="C396" s="76">
        <v>249.48500000000001</v>
      </c>
    </row>
    <row r="397" spans="1:3" ht="14.5">
      <c r="A397" s="2042">
        <v>75908</v>
      </c>
      <c r="B397" s="2113" t="str">
        <f t="shared" si="6"/>
        <v>075-908</v>
      </c>
      <c r="C397" s="76">
        <v>249.863</v>
      </c>
    </row>
    <row r="398" spans="1:3" ht="14.5">
      <c r="A398" s="2042">
        <v>76903</v>
      </c>
      <c r="B398" s="2113" t="str">
        <f t="shared" si="6"/>
        <v>076-903</v>
      </c>
      <c r="C398" s="76">
        <v>287.74200000000002</v>
      </c>
    </row>
    <row r="399" spans="1:3" ht="14.5">
      <c r="A399" s="2042">
        <v>76904</v>
      </c>
      <c r="B399" s="2113" t="str">
        <f t="shared" si="6"/>
        <v>076-904</v>
      </c>
      <c r="C399" s="76">
        <v>235.256</v>
      </c>
    </row>
    <row r="400" spans="1:3" ht="14.5">
      <c r="A400" s="2042">
        <v>77901</v>
      </c>
      <c r="B400" s="2113" t="str">
        <f t="shared" si="6"/>
        <v>077-901</v>
      </c>
      <c r="C400" s="76">
        <v>629.27</v>
      </c>
    </row>
    <row r="401" spans="1:3" ht="14.5">
      <c r="A401" s="2042">
        <v>77902</v>
      </c>
      <c r="B401" s="2113" t="str">
        <f t="shared" si="6"/>
        <v>077-902</v>
      </c>
      <c r="C401" s="76">
        <v>416.96699999999998</v>
      </c>
    </row>
    <row r="402" spans="1:3" ht="14.5">
      <c r="A402" s="2042">
        <v>78901</v>
      </c>
      <c r="B402" s="2113" t="str">
        <f t="shared" si="6"/>
        <v>078-901</v>
      </c>
      <c r="C402" s="76">
        <v>226.18700000000001</v>
      </c>
    </row>
    <row r="403" spans="1:3" ht="14.5">
      <c r="A403" s="2042">
        <v>79901</v>
      </c>
      <c r="B403" s="2113" t="str">
        <f t="shared" si="6"/>
        <v>079-901</v>
      </c>
      <c r="C403" s="76">
        <v>34257.478999999999</v>
      </c>
    </row>
    <row r="404" spans="1:3" ht="14.5">
      <c r="A404" s="2042">
        <v>79906</v>
      </c>
      <c r="B404" s="2113" t="str">
        <f t="shared" si="6"/>
        <v>079-906</v>
      </c>
      <c r="C404" s="76">
        <v>3196.9789999999998</v>
      </c>
    </row>
    <row r="405" spans="1:3" ht="14.5">
      <c r="A405" s="2042">
        <v>79907</v>
      </c>
      <c r="B405" s="2113" t="str">
        <f t="shared" si="6"/>
        <v>079-907</v>
      </c>
      <c r="C405" s="76">
        <v>75314.042000000001</v>
      </c>
    </row>
    <row r="406" spans="1:3" ht="14.5">
      <c r="A406" s="2042">
        <v>79910</v>
      </c>
      <c r="B406" s="2113" t="str">
        <f t="shared" si="6"/>
        <v>079-910</v>
      </c>
      <c r="C406" s="76">
        <v>3224.1460000000002</v>
      </c>
    </row>
    <row r="407" spans="1:3" ht="14.5">
      <c r="A407" s="2042">
        <v>80901</v>
      </c>
      <c r="B407" s="2113" t="str">
        <f t="shared" si="6"/>
        <v>080-901</v>
      </c>
      <c r="C407" s="76">
        <v>1461.05</v>
      </c>
    </row>
    <row r="408" spans="1:3" ht="14.5">
      <c r="A408" s="2042">
        <v>81902</v>
      </c>
      <c r="B408" s="2113" t="str">
        <f t="shared" si="6"/>
        <v>081-902</v>
      </c>
      <c r="C408" s="76">
        <v>1655.2760000000001</v>
      </c>
    </row>
    <row r="409" spans="1:3" ht="14.5">
      <c r="A409" s="2042">
        <v>81904</v>
      </c>
      <c r="B409" s="2113" t="str">
        <f t="shared" si="6"/>
        <v>081-904</v>
      </c>
      <c r="C409" s="76">
        <v>1063.194</v>
      </c>
    </row>
    <row r="410" spans="1:3" ht="14.5">
      <c r="A410" s="2042">
        <v>81905</v>
      </c>
      <c r="B410" s="2113" t="str">
        <f t="shared" si="6"/>
        <v>081-905</v>
      </c>
      <c r="C410" s="76">
        <v>459.976</v>
      </c>
    </row>
    <row r="411" spans="1:3" ht="14.5">
      <c r="A411" s="2042">
        <v>81906</v>
      </c>
      <c r="B411" s="2113" t="str">
        <f t="shared" si="6"/>
        <v>081-906</v>
      </c>
      <c r="C411" s="76">
        <v>165.77500000000001</v>
      </c>
    </row>
    <row r="412" spans="1:3" ht="14.5">
      <c r="A412" s="2042">
        <v>82902</v>
      </c>
      <c r="B412" s="2113" t="str">
        <f t="shared" si="6"/>
        <v>082-902</v>
      </c>
      <c r="C412" s="76">
        <v>895.67700000000002</v>
      </c>
    </row>
    <row r="413" spans="1:3" ht="14.5">
      <c r="A413" s="2042">
        <v>82903</v>
      </c>
      <c r="B413" s="2113" t="str">
        <f t="shared" si="6"/>
        <v>082-903</v>
      </c>
      <c r="C413" s="76">
        <v>1963.1189999999999</v>
      </c>
    </row>
    <row r="414" spans="1:3" ht="14.5">
      <c r="A414" s="2042">
        <v>83901</v>
      </c>
      <c r="B414" s="2113" t="str">
        <f t="shared" si="6"/>
        <v>083-901</v>
      </c>
      <c r="C414" s="76">
        <v>506.53</v>
      </c>
    </row>
    <row r="415" spans="1:3" ht="14.5">
      <c r="A415" s="2042">
        <v>83902</v>
      </c>
      <c r="B415" s="2113" t="str">
        <f t="shared" si="6"/>
        <v>083-902</v>
      </c>
      <c r="C415" s="76">
        <v>144.11199999999999</v>
      </c>
    </row>
    <row r="416" spans="1:3" ht="14.5">
      <c r="A416" s="2042">
        <v>83903</v>
      </c>
      <c r="B416" s="2113" t="str">
        <f t="shared" si="6"/>
        <v>083-903</v>
      </c>
      <c r="C416" s="76">
        <v>2887.739</v>
      </c>
    </row>
    <row r="417" spans="1:3" ht="14.5">
      <c r="A417" s="2042">
        <v>84802</v>
      </c>
      <c r="B417" s="2113" t="str">
        <f t="shared" si="6"/>
        <v>084-802</v>
      </c>
      <c r="C417" s="76">
        <v>1207.569</v>
      </c>
    </row>
    <row r="418" spans="1:3" ht="14.5">
      <c r="A418" s="2042">
        <v>84804</v>
      </c>
      <c r="B418" s="2113" t="str">
        <f t="shared" si="6"/>
        <v>084-804</v>
      </c>
      <c r="C418" s="76">
        <v>226.16499999999999</v>
      </c>
    </row>
    <row r="419" spans="1:3" ht="14.5">
      <c r="A419" s="2042">
        <v>84901</v>
      </c>
      <c r="B419" s="2113" t="str">
        <f t="shared" si="6"/>
        <v>084-901</v>
      </c>
      <c r="C419" s="76">
        <v>11001.014999999999</v>
      </c>
    </row>
    <row r="420" spans="1:3" ht="14.5">
      <c r="A420" s="2042">
        <v>84902</v>
      </c>
      <c r="B420" s="2113" t="str">
        <f t="shared" si="6"/>
        <v>084-902</v>
      </c>
      <c r="C420" s="76">
        <v>6360.4120000000003</v>
      </c>
    </row>
    <row r="421" spans="1:3" ht="14.5">
      <c r="A421" s="2042">
        <v>84903</v>
      </c>
      <c r="B421" s="2113" t="str">
        <f t="shared" si="6"/>
        <v>084-903</v>
      </c>
      <c r="C421" s="76">
        <v>179.15899999999999</v>
      </c>
    </row>
    <row r="422" spans="1:3" ht="14.5">
      <c r="A422" s="2042">
        <v>84906</v>
      </c>
      <c r="B422" s="2113" t="str">
        <f t="shared" si="6"/>
        <v>084-906</v>
      </c>
      <c r="C422" s="76">
        <v>7193.05</v>
      </c>
    </row>
    <row r="423" spans="1:3" ht="14.5">
      <c r="A423" s="2042">
        <v>84908</v>
      </c>
      <c r="B423" s="2113" t="str">
        <f t="shared" si="6"/>
        <v>084-908</v>
      </c>
      <c r="C423" s="76">
        <v>1471.0509999999999</v>
      </c>
    </row>
    <row r="424" spans="1:3" ht="14.5">
      <c r="A424" s="2042">
        <v>84909</v>
      </c>
      <c r="B424" s="2113" t="str">
        <f t="shared" si="6"/>
        <v>084-909</v>
      </c>
      <c r="C424" s="76">
        <v>4528.8100000000004</v>
      </c>
    </row>
    <row r="425" spans="1:3" ht="14.5">
      <c r="A425" s="2042">
        <v>84910</v>
      </c>
      <c r="B425" s="2113" t="str">
        <f t="shared" si="6"/>
        <v>084-910</v>
      </c>
      <c r="C425" s="76">
        <v>39618.841</v>
      </c>
    </row>
    <row r="426" spans="1:3" ht="14.5">
      <c r="A426" s="2042">
        <v>84911</v>
      </c>
      <c r="B426" s="2113" t="str">
        <f t="shared" si="6"/>
        <v>084-911</v>
      </c>
      <c r="C426" s="76">
        <v>5993.6030000000001</v>
      </c>
    </row>
    <row r="427" spans="1:3" ht="14.5">
      <c r="A427" s="2042">
        <v>85902</v>
      </c>
      <c r="B427" s="2113" t="str">
        <f t="shared" si="6"/>
        <v>085-902</v>
      </c>
      <c r="C427" s="76">
        <v>723.1</v>
      </c>
    </row>
    <row r="428" spans="1:3" ht="14.5">
      <c r="A428" s="2042">
        <v>85903</v>
      </c>
      <c r="B428" s="2113" t="str">
        <f t="shared" si="6"/>
        <v>085-903</v>
      </c>
      <c r="C428" s="76">
        <v>134.173</v>
      </c>
    </row>
    <row r="429" spans="1:3" ht="14.5">
      <c r="A429" s="2042">
        <v>86024</v>
      </c>
      <c r="B429" s="2113" t="str">
        <f t="shared" si="6"/>
        <v>086-024</v>
      </c>
      <c r="C429" s="76">
        <v>28.908000000000001</v>
      </c>
    </row>
    <row r="430" spans="1:3" ht="14.5">
      <c r="A430" s="2042">
        <v>86901</v>
      </c>
      <c r="B430" s="2113" t="str">
        <f t="shared" si="6"/>
        <v>086-901</v>
      </c>
      <c r="C430" s="76">
        <v>2968.1819999999998</v>
      </c>
    </row>
    <row r="431" spans="1:3" ht="14.5">
      <c r="A431" s="2042">
        <v>86902</v>
      </c>
      <c r="B431" s="2113" t="str">
        <f t="shared" si="6"/>
        <v>086-902</v>
      </c>
      <c r="C431" s="76">
        <v>531.82600000000002</v>
      </c>
    </row>
    <row r="432" spans="1:3" ht="14.5">
      <c r="A432" s="2042">
        <v>87901</v>
      </c>
      <c r="B432" s="2113" t="str">
        <f t="shared" si="6"/>
        <v>087-901</v>
      </c>
      <c r="C432" s="76">
        <v>272.77499999999998</v>
      </c>
    </row>
    <row r="433" spans="1:3" ht="14.5">
      <c r="A433" s="2042">
        <v>88902</v>
      </c>
      <c r="B433" s="2113" t="str">
        <f t="shared" si="6"/>
        <v>088-902</v>
      </c>
      <c r="C433" s="76">
        <v>1194.7360000000001</v>
      </c>
    </row>
    <row r="434" spans="1:3" ht="14.5">
      <c r="A434" s="2042">
        <v>89901</v>
      </c>
      <c r="B434" s="2113" t="str">
        <f t="shared" si="6"/>
        <v>089-901</v>
      </c>
      <c r="C434" s="76">
        <v>2564.35</v>
      </c>
    </row>
    <row r="435" spans="1:3" ht="14.5">
      <c r="A435" s="2042">
        <v>89903</v>
      </c>
      <c r="B435" s="2113" t="str">
        <f t="shared" si="6"/>
        <v>089-903</v>
      </c>
      <c r="C435" s="76">
        <v>944.86</v>
      </c>
    </row>
    <row r="436" spans="1:3" ht="14.5">
      <c r="A436" s="2042">
        <v>89905</v>
      </c>
      <c r="B436" s="2113" t="str">
        <f t="shared" si="6"/>
        <v>089-905</v>
      </c>
      <c r="C436" s="76">
        <v>280.18200000000002</v>
      </c>
    </row>
    <row r="437" spans="1:3" ht="14.5">
      <c r="A437" s="2042">
        <v>90902</v>
      </c>
      <c r="B437" s="2113" t="str">
        <f t="shared" si="6"/>
        <v>090-902</v>
      </c>
      <c r="C437" s="76">
        <v>152.35400000000001</v>
      </c>
    </row>
    <row r="438" spans="1:3" ht="14.5">
      <c r="A438" s="2042">
        <v>90903</v>
      </c>
      <c r="B438" s="2113" t="str">
        <f t="shared" si="6"/>
        <v>090-903</v>
      </c>
      <c r="C438" s="76">
        <v>184.19300000000001</v>
      </c>
    </row>
    <row r="439" spans="1:3" ht="14.5">
      <c r="A439" s="2042">
        <v>90904</v>
      </c>
      <c r="B439" s="2113" t="str">
        <f t="shared" si="6"/>
        <v>090-904</v>
      </c>
      <c r="C439" s="76">
        <v>3151.2809999999999</v>
      </c>
    </row>
    <row r="440" spans="1:3" ht="14.5">
      <c r="A440" s="2042">
        <v>90905</v>
      </c>
      <c r="B440" s="2113" t="str">
        <f t="shared" si="6"/>
        <v>090-905</v>
      </c>
      <c r="C440" s="76">
        <v>44.39</v>
      </c>
    </row>
    <row r="441" spans="1:3" ht="14.5">
      <c r="A441" s="2042">
        <v>91901</v>
      </c>
      <c r="B441" s="2113" t="str">
        <f t="shared" si="6"/>
        <v>091-901</v>
      </c>
      <c r="C441" s="76">
        <v>852.64</v>
      </c>
    </row>
    <row r="442" spans="1:3" ht="14.5">
      <c r="A442" s="2042">
        <v>91902</v>
      </c>
      <c r="B442" s="2113" t="str">
        <f t="shared" si="6"/>
        <v>091-902</v>
      </c>
      <c r="C442" s="76">
        <v>492.69600000000003</v>
      </c>
    </row>
    <row r="443" spans="1:3" ht="14.5">
      <c r="A443" s="2042">
        <v>91903</v>
      </c>
      <c r="B443" s="2113" t="str">
        <f t="shared" si="6"/>
        <v>091-903</v>
      </c>
      <c r="C443" s="76">
        <v>4401.6589999999997</v>
      </c>
    </row>
    <row r="444" spans="1:3" ht="14.5">
      <c r="A444" s="2042">
        <v>91905</v>
      </c>
      <c r="B444" s="2113" t="str">
        <f t="shared" si="6"/>
        <v>091-905</v>
      </c>
      <c r="C444" s="76">
        <v>1215.6369999999999</v>
      </c>
    </row>
    <row r="445" spans="1:3" ht="14.5">
      <c r="A445" s="2042">
        <v>91906</v>
      </c>
      <c r="B445" s="2113" t="str">
        <f t="shared" si="6"/>
        <v>091-906</v>
      </c>
      <c r="C445" s="76">
        <v>7001.75</v>
      </c>
    </row>
    <row r="446" spans="1:3" ht="14.5">
      <c r="A446" s="2042">
        <v>91907</v>
      </c>
      <c r="B446" s="2113" t="str">
        <f t="shared" si="6"/>
        <v>091-907</v>
      </c>
      <c r="C446" s="76">
        <v>703.16</v>
      </c>
    </row>
    <row r="447" spans="1:3" ht="14.5">
      <c r="A447" s="2042">
        <v>91908</v>
      </c>
      <c r="B447" s="2113" t="str">
        <f t="shared" si="6"/>
        <v>091-908</v>
      </c>
      <c r="C447" s="76">
        <v>1788.674</v>
      </c>
    </row>
    <row r="448" spans="1:3" ht="14.5">
      <c r="A448" s="2042">
        <v>91909</v>
      </c>
      <c r="B448" s="2113" t="str">
        <f t="shared" si="6"/>
        <v>091-909</v>
      </c>
      <c r="C448" s="76">
        <v>1522.4559999999999</v>
      </c>
    </row>
    <row r="449" spans="1:3" ht="14.5">
      <c r="A449" s="2042">
        <v>91910</v>
      </c>
      <c r="B449" s="2113" t="str">
        <f t="shared" si="6"/>
        <v>091-910</v>
      </c>
      <c r="C449" s="76">
        <v>758.38300000000004</v>
      </c>
    </row>
    <row r="450" spans="1:3" ht="14.5">
      <c r="A450" s="2042">
        <v>91913</v>
      </c>
      <c r="B450" s="2113" t="str">
        <f t="shared" si="6"/>
        <v>091-913</v>
      </c>
      <c r="C450" s="76">
        <v>1368.3879999999999</v>
      </c>
    </row>
    <row r="451" spans="1:3" ht="14.5">
      <c r="A451" s="2042">
        <v>91914</v>
      </c>
      <c r="B451" s="2113" t="str">
        <f t="shared" ref="B451:B514" si="7">CONCATENATE(LEFT(RIGHT(CONCATENATE("000",A451),6),3),"-",(RIGHT(RIGHT(CONCATENATE("000",A451),6),3)))</f>
        <v>091-914</v>
      </c>
      <c r="C451" s="76">
        <v>912.97400000000005</v>
      </c>
    </row>
    <row r="452" spans="1:3" ht="14.5">
      <c r="A452" s="2042">
        <v>91917</v>
      </c>
      <c r="B452" s="2113" t="str">
        <f t="shared" si="7"/>
        <v>091-917</v>
      </c>
      <c r="C452" s="76">
        <v>953.60400000000004</v>
      </c>
    </row>
    <row r="453" spans="1:3" ht="14.5">
      <c r="A453" s="2042">
        <v>91918</v>
      </c>
      <c r="B453" s="2113" t="str">
        <f t="shared" si="7"/>
        <v>091-918</v>
      </c>
      <c r="C453" s="76">
        <v>608.42600000000004</v>
      </c>
    </row>
    <row r="454" spans="1:3" ht="14.5">
      <c r="A454" s="2042">
        <v>92801</v>
      </c>
      <c r="B454" s="2113" t="str">
        <f t="shared" si="7"/>
        <v>092-801</v>
      </c>
      <c r="C454" s="76">
        <v>131.12899999999999</v>
      </c>
    </row>
    <row r="455" spans="1:3" ht="14.5">
      <c r="A455" s="2042">
        <v>92901</v>
      </c>
      <c r="B455" s="2113" t="str">
        <f t="shared" si="7"/>
        <v>092-901</v>
      </c>
      <c r="C455" s="76">
        <v>1729.923</v>
      </c>
    </row>
    <row r="456" spans="1:3" ht="14.5">
      <c r="A456" s="2042">
        <v>92902</v>
      </c>
      <c r="B456" s="2113" t="str">
        <f t="shared" si="7"/>
        <v>092-902</v>
      </c>
      <c r="C456" s="76">
        <v>3753.0639999999999</v>
      </c>
    </row>
    <row r="457" spans="1:3" ht="14.5">
      <c r="A457" s="2042">
        <v>92903</v>
      </c>
      <c r="B457" s="2113" t="str">
        <f t="shared" si="7"/>
        <v>092-903</v>
      </c>
      <c r="C457" s="76">
        <v>7921.9359999999997</v>
      </c>
    </row>
    <row r="458" spans="1:3" ht="14.5">
      <c r="A458" s="2042">
        <v>92904</v>
      </c>
      <c r="B458" s="2113" t="str">
        <f t="shared" si="7"/>
        <v>092-904</v>
      </c>
      <c r="C458" s="76">
        <v>4225.7060000000001</v>
      </c>
    </row>
    <row r="459" spans="1:3" ht="14.5">
      <c r="A459" s="2042">
        <v>92906</v>
      </c>
      <c r="B459" s="2113" t="str">
        <f t="shared" si="7"/>
        <v>092-906</v>
      </c>
      <c r="C459" s="76">
        <v>1435.3620000000001</v>
      </c>
    </row>
    <row r="460" spans="1:3" ht="14.5">
      <c r="A460" s="2042">
        <v>92907</v>
      </c>
      <c r="B460" s="2113" t="str">
        <f t="shared" si="7"/>
        <v>092-907</v>
      </c>
      <c r="C460" s="76">
        <v>2026.55</v>
      </c>
    </row>
    <row r="461" spans="1:3" ht="14.5">
      <c r="A461" s="2042">
        <v>92908</v>
      </c>
      <c r="B461" s="2113" t="str">
        <f t="shared" si="7"/>
        <v>092-908</v>
      </c>
      <c r="C461" s="76">
        <v>1358.2439999999999</v>
      </c>
    </row>
    <row r="462" spans="1:3" ht="14.5">
      <c r="A462" s="2042">
        <v>93901</v>
      </c>
      <c r="B462" s="2113" t="str">
        <f t="shared" si="7"/>
        <v>093-901</v>
      </c>
      <c r="C462" s="76">
        <v>842.58199999999999</v>
      </c>
    </row>
    <row r="463" spans="1:3" ht="14.5">
      <c r="A463" s="2042">
        <v>93903</v>
      </c>
      <c r="B463" s="2113" t="str">
        <f t="shared" si="7"/>
        <v>093-903</v>
      </c>
      <c r="C463" s="76">
        <v>495.2</v>
      </c>
    </row>
    <row r="464" spans="1:3" ht="14.5">
      <c r="A464" s="2042">
        <v>93904</v>
      </c>
      <c r="B464" s="2113" t="str">
        <f t="shared" si="7"/>
        <v>093-904</v>
      </c>
      <c r="C464" s="76">
        <v>2587.556</v>
      </c>
    </row>
    <row r="465" spans="1:3" ht="14.5">
      <c r="A465" s="2042">
        <v>93905</v>
      </c>
      <c r="B465" s="2113" t="str">
        <f t="shared" si="7"/>
        <v>093-905</v>
      </c>
      <c r="C465" s="76">
        <v>168.548</v>
      </c>
    </row>
    <row r="466" spans="1:3" ht="14.5">
      <c r="A466" s="2042">
        <v>94901</v>
      </c>
      <c r="B466" s="2113" t="str">
        <f t="shared" si="7"/>
        <v>094-901</v>
      </c>
      <c r="C466" s="76">
        <v>6381.7830000000004</v>
      </c>
    </row>
    <row r="467" spans="1:3" ht="14.5">
      <c r="A467" s="2042">
        <v>94902</v>
      </c>
      <c r="B467" s="2113" t="str">
        <f t="shared" si="7"/>
        <v>094-902</v>
      </c>
      <c r="C467" s="76">
        <v>15208.514999999999</v>
      </c>
    </row>
    <row r="468" spans="1:3" ht="14.5">
      <c r="A468" s="2042">
        <v>94903</v>
      </c>
      <c r="B468" s="2113" t="str">
        <f t="shared" si="7"/>
        <v>094-903</v>
      </c>
      <c r="C468" s="76">
        <v>1837.816</v>
      </c>
    </row>
    <row r="469" spans="1:3" ht="14.5">
      <c r="A469" s="2042">
        <v>94904</v>
      </c>
      <c r="B469" s="2113" t="str">
        <f t="shared" si="7"/>
        <v>094-904</v>
      </c>
      <c r="C469" s="76">
        <v>1371.6220000000001</v>
      </c>
    </row>
    <row r="470" spans="1:3" ht="14.5">
      <c r="A470" s="2042">
        <v>95901</v>
      </c>
      <c r="B470" s="2113" t="str">
        <f t="shared" si="7"/>
        <v>095-901</v>
      </c>
      <c r="C470" s="76">
        <v>788.52099999999996</v>
      </c>
    </row>
    <row r="471" spans="1:3" ht="14.5">
      <c r="A471" s="2042">
        <v>95902</v>
      </c>
      <c r="B471" s="2113" t="str">
        <f t="shared" si="7"/>
        <v>095-902</v>
      </c>
      <c r="C471" s="76">
        <v>86.870999999999995</v>
      </c>
    </row>
    <row r="472" spans="1:3" ht="14.5">
      <c r="A472" s="2042">
        <v>95903</v>
      </c>
      <c r="B472" s="2113" t="str">
        <f t="shared" si="7"/>
        <v>095-903</v>
      </c>
      <c r="C472" s="76">
        <v>590.55799999999999</v>
      </c>
    </row>
    <row r="473" spans="1:3" ht="14.5">
      <c r="A473" s="2042">
        <v>95904</v>
      </c>
      <c r="B473" s="2113" t="str">
        <f t="shared" si="7"/>
        <v>095-904</v>
      </c>
      <c r="C473" s="76">
        <v>283.45999999999998</v>
      </c>
    </row>
    <row r="474" spans="1:3" ht="14.5">
      <c r="A474" s="2042">
        <v>95905</v>
      </c>
      <c r="B474" s="2113" t="str">
        <f t="shared" si="7"/>
        <v>095-905</v>
      </c>
      <c r="C474" s="76">
        <v>4592.9830000000002</v>
      </c>
    </row>
    <row r="475" spans="1:3" ht="14.5">
      <c r="A475" s="2042">
        <v>96904</v>
      </c>
      <c r="B475" s="2113" t="str">
        <f t="shared" si="7"/>
        <v>096-904</v>
      </c>
      <c r="C475" s="76">
        <v>389.94299999999998</v>
      </c>
    </row>
    <row r="476" spans="1:3" ht="14.5">
      <c r="A476" s="2042">
        <v>96905</v>
      </c>
      <c r="B476" s="2113" t="str">
        <f t="shared" si="7"/>
        <v>096-905</v>
      </c>
      <c r="C476" s="76">
        <v>181.65899999999999</v>
      </c>
    </row>
    <row r="477" spans="1:3" ht="14.5">
      <c r="A477" s="2042">
        <v>97902</v>
      </c>
      <c r="B477" s="2113" t="str">
        <f t="shared" si="7"/>
        <v>097-902</v>
      </c>
      <c r="C477" s="76">
        <v>744.49099999999999</v>
      </c>
    </row>
    <row r="478" spans="1:3" ht="14.5">
      <c r="A478" s="2042">
        <v>97903</v>
      </c>
      <c r="B478" s="2113" t="str">
        <f t="shared" si="7"/>
        <v>097-903</v>
      </c>
      <c r="C478" s="76">
        <v>529.74699999999996</v>
      </c>
    </row>
    <row r="479" spans="1:3" ht="14.5">
      <c r="A479" s="2042">
        <v>98901</v>
      </c>
      <c r="B479" s="2113" t="str">
        <f t="shared" si="7"/>
        <v>098-901</v>
      </c>
      <c r="C479" s="76">
        <v>425.04700000000003</v>
      </c>
    </row>
    <row r="480" spans="1:3" ht="14.5">
      <c r="A480" s="2042">
        <v>98903</v>
      </c>
      <c r="B480" s="2113" t="str">
        <f t="shared" si="7"/>
        <v>098-903</v>
      </c>
      <c r="C480" s="76">
        <v>104.785</v>
      </c>
    </row>
    <row r="481" spans="1:3" ht="14.5">
      <c r="A481" s="2042">
        <v>98904</v>
      </c>
      <c r="B481" s="2113" t="str">
        <f t="shared" si="7"/>
        <v>098-904</v>
      </c>
      <c r="C481" s="76">
        <v>743.70299999999997</v>
      </c>
    </row>
    <row r="482" spans="1:3" ht="14.5">
      <c r="A482" s="2042">
        <v>99902</v>
      </c>
      <c r="B482" s="2113" t="str">
        <f t="shared" si="7"/>
        <v>099-902</v>
      </c>
      <c r="C482" s="76">
        <v>187.22</v>
      </c>
    </row>
    <row r="483" spans="1:3" ht="14.5">
      <c r="A483" s="2042">
        <v>99903</v>
      </c>
      <c r="B483" s="2113" t="str">
        <f t="shared" si="7"/>
        <v>099-903</v>
      </c>
      <c r="C483" s="76">
        <v>496.36799999999999</v>
      </c>
    </row>
    <row r="484" spans="1:3" ht="14.5">
      <c r="A484" s="2042">
        <v>100903</v>
      </c>
      <c r="B484" s="2113" t="str">
        <f t="shared" si="7"/>
        <v>100-903</v>
      </c>
      <c r="C484" s="76">
        <v>1006.5890000000001</v>
      </c>
    </row>
    <row r="485" spans="1:3" ht="14.5">
      <c r="A485" s="2042">
        <v>100904</v>
      </c>
      <c r="B485" s="2113" t="str">
        <f t="shared" si="7"/>
        <v>100-904</v>
      </c>
      <c r="C485" s="76">
        <v>2692.6129999999998</v>
      </c>
    </row>
    <row r="486" spans="1:3" ht="14.5">
      <c r="A486" s="2042">
        <v>100905</v>
      </c>
      <c r="B486" s="2113" t="str">
        <f t="shared" si="7"/>
        <v>100-905</v>
      </c>
      <c r="C486" s="76">
        <v>2392.4180000000001</v>
      </c>
    </row>
    <row r="487" spans="1:3" ht="14.5">
      <c r="A487" s="2042">
        <v>100907</v>
      </c>
      <c r="B487" s="2113" t="str">
        <f t="shared" si="7"/>
        <v>100-907</v>
      </c>
      <c r="C487" s="76">
        <v>3871.288</v>
      </c>
    </row>
    <row r="488" spans="1:3" ht="14.5">
      <c r="A488" s="2042">
        <v>100908</v>
      </c>
      <c r="B488" s="2113" t="str">
        <f t="shared" si="7"/>
        <v>100-908</v>
      </c>
      <c r="C488" s="76">
        <v>546.99</v>
      </c>
    </row>
    <row r="489" spans="1:3" ht="14.5">
      <c r="A489" s="2042">
        <v>101802</v>
      </c>
      <c r="B489" s="2113" t="str">
        <f t="shared" si="7"/>
        <v>101-802</v>
      </c>
      <c r="C489" s="76">
        <v>967.52200000000005</v>
      </c>
    </row>
    <row r="490" spans="1:3" ht="14.5">
      <c r="A490" s="2042">
        <v>101803</v>
      </c>
      <c r="B490" s="2113" t="str">
        <f t="shared" si="7"/>
        <v>101-803</v>
      </c>
      <c r="C490" s="76">
        <v>1031.915</v>
      </c>
    </row>
    <row r="491" spans="1:3" ht="14.5">
      <c r="A491" s="2042">
        <v>101804</v>
      </c>
      <c r="B491" s="2113" t="str">
        <f t="shared" si="7"/>
        <v>101-804</v>
      </c>
      <c r="C491" s="76">
        <v>915.37300000000005</v>
      </c>
    </row>
    <row r="492" spans="1:3" ht="14.5">
      <c r="A492" s="2042">
        <v>101806</v>
      </c>
      <c r="B492" s="2113" t="str">
        <f t="shared" si="7"/>
        <v>101-806</v>
      </c>
      <c r="C492" s="76">
        <v>1253.94</v>
      </c>
    </row>
    <row r="493" spans="1:3" ht="14.5">
      <c r="A493" s="2042">
        <v>101810</v>
      </c>
      <c r="B493" s="2113" t="str">
        <f t="shared" si="7"/>
        <v>101-810</v>
      </c>
      <c r="C493" s="76">
        <v>764.10599999999999</v>
      </c>
    </row>
    <row r="494" spans="1:3" ht="14.5">
      <c r="A494" s="2042">
        <v>101811</v>
      </c>
      <c r="B494" s="2113" t="str">
        <f t="shared" si="7"/>
        <v>101-811</v>
      </c>
      <c r="C494" s="76">
        <v>191.04900000000001</v>
      </c>
    </row>
    <row r="495" spans="1:3" ht="14.5">
      <c r="A495" s="2042">
        <v>101814</v>
      </c>
      <c r="B495" s="2113" t="str">
        <f t="shared" si="7"/>
        <v>101-814</v>
      </c>
      <c r="C495" s="76">
        <v>1407.9690000000001</v>
      </c>
    </row>
    <row r="496" spans="1:3" ht="14.5">
      <c r="A496" s="2042">
        <v>101815</v>
      </c>
      <c r="B496" s="2113" t="str">
        <f t="shared" si="7"/>
        <v>101-815</v>
      </c>
      <c r="C496" s="76">
        <v>299.59199999999998</v>
      </c>
    </row>
    <row r="497" spans="1:3" ht="14.5">
      <c r="A497" s="2042">
        <v>101819</v>
      </c>
      <c r="B497" s="2113" t="str">
        <f t="shared" si="7"/>
        <v>101-819</v>
      </c>
      <c r="C497" s="76">
        <v>462.94299999999998</v>
      </c>
    </row>
    <row r="498" spans="1:3" ht="14.5">
      <c r="A498" s="2042">
        <v>101821</v>
      </c>
      <c r="B498" s="2113" t="str">
        <f t="shared" si="7"/>
        <v>101-821</v>
      </c>
      <c r="C498" s="76">
        <v>165.40899999999999</v>
      </c>
    </row>
    <row r="499" spans="1:3" ht="14.5">
      <c r="A499" s="2042">
        <v>101828</v>
      </c>
      <c r="B499" s="2113" t="str">
        <f t="shared" si="7"/>
        <v>101-828</v>
      </c>
      <c r="C499" s="76">
        <v>2084.212</v>
      </c>
    </row>
    <row r="500" spans="1:3" ht="14.5">
      <c r="A500" s="2042">
        <v>101837</v>
      </c>
      <c r="B500" s="2113" t="str">
        <f t="shared" si="7"/>
        <v>101-837</v>
      </c>
      <c r="C500" s="76">
        <v>308.35000000000002</v>
      </c>
    </row>
    <row r="501" spans="1:3" ht="14.5">
      <c r="A501" s="2042">
        <v>101838</v>
      </c>
      <c r="B501" s="2113" t="str">
        <f t="shared" si="7"/>
        <v>101-838</v>
      </c>
      <c r="C501" s="76">
        <v>1775.7470000000001</v>
      </c>
    </row>
    <row r="502" spans="1:3" ht="14.5">
      <c r="A502" s="2042">
        <v>101840</v>
      </c>
      <c r="B502" s="2113" t="str">
        <f t="shared" si="7"/>
        <v>101-840</v>
      </c>
      <c r="C502" s="76">
        <v>394.62799999999999</v>
      </c>
    </row>
    <row r="503" spans="1:3" ht="14.5">
      <c r="A503" s="2042">
        <v>101842</v>
      </c>
      <c r="B503" s="2113" t="str">
        <f t="shared" si="7"/>
        <v>101-842</v>
      </c>
      <c r="C503" s="76">
        <v>44.213999999999999</v>
      </c>
    </row>
    <row r="504" spans="1:3" ht="14.5">
      <c r="A504" s="2042">
        <v>101845</v>
      </c>
      <c r="B504" s="2113" t="str">
        <f t="shared" si="7"/>
        <v>101-845</v>
      </c>
      <c r="C504" s="76">
        <v>12655.837</v>
      </c>
    </row>
    <row r="505" spans="1:3" ht="14.5">
      <c r="A505" s="2042">
        <v>101846</v>
      </c>
      <c r="B505" s="2113" t="str">
        <f t="shared" si="7"/>
        <v>101-846</v>
      </c>
      <c r="C505" s="76">
        <v>3512.0749999999998</v>
      </c>
    </row>
    <row r="506" spans="1:3" ht="14.5">
      <c r="A506" s="2042">
        <v>101847</v>
      </c>
      <c r="B506" s="2113" t="str">
        <f t="shared" si="7"/>
        <v>101-847</v>
      </c>
      <c r="C506" s="76">
        <v>471.97199999999998</v>
      </c>
    </row>
    <row r="507" spans="1:3" ht="14.5">
      <c r="A507" s="2042">
        <v>101849</v>
      </c>
      <c r="B507" s="2113" t="str">
        <f t="shared" si="7"/>
        <v>101-849</v>
      </c>
      <c r="C507" s="76">
        <v>221.322</v>
      </c>
    </row>
    <row r="508" spans="1:3" ht="14.5">
      <c r="A508" s="2042">
        <v>101853</v>
      </c>
      <c r="B508" s="2113" t="str">
        <f t="shared" si="7"/>
        <v>101-853</v>
      </c>
      <c r="C508" s="76">
        <v>1242.8879999999999</v>
      </c>
    </row>
    <row r="509" spans="1:3" ht="14.5">
      <c r="A509" s="2042">
        <v>101855</v>
      </c>
      <c r="B509" s="2113" t="str">
        <f t="shared" si="7"/>
        <v>101-855</v>
      </c>
      <c r="C509" s="76">
        <v>234.191</v>
      </c>
    </row>
    <row r="510" spans="1:3" ht="14.5">
      <c r="A510" s="2042">
        <v>101856</v>
      </c>
      <c r="B510" s="2113" t="str">
        <f t="shared" si="7"/>
        <v>101-856</v>
      </c>
      <c r="C510" s="76">
        <v>636.40899999999999</v>
      </c>
    </row>
    <row r="511" spans="1:3" ht="14.5">
      <c r="A511" s="2042">
        <v>101858</v>
      </c>
      <c r="B511" s="2113" t="str">
        <f t="shared" si="7"/>
        <v>101-858</v>
      </c>
      <c r="C511" s="76">
        <v>5712.3630000000003</v>
      </c>
    </row>
    <row r="512" spans="1:3" ht="14.5">
      <c r="A512" s="2042">
        <v>101859</v>
      </c>
      <c r="B512" s="2113" t="str">
        <f t="shared" si="7"/>
        <v>101-859</v>
      </c>
      <c r="C512" s="76">
        <v>525.38199999999995</v>
      </c>
    </row>
    <row r="513" spans="1:3" ht="14.5">
      <c r="A513" s="2042">
        <v>101861</v>
      </c>
      <c r="B513" s="2113" t="str">
        <f t="shared" si="7"/>
        <v>101-861</v>
      </c>
      <c r="C513" s="76">
        <v>637.76199999999994</v>
      </c>
    </row>
    <row r="514" spans="1:3" ht="14.5">
      <c r="A514" s="2042">
        <v>101862</v>
      </c>
      <c r="B514" s="2113" t="str">
        <f t="shared" si="7"/>
        <v>101-862</v>
      </c>
      <c r="C514" s="76">
        <v>3832.049</v>
      </c>
    </row>
    <row r="515" spans="1:3" ht="14.5">
      <c r="A515" s="2042">
        <v>101864</v>
      </c>
      <c r="B515" s="2113" t="str">
        <f t="shared" ref="B515:B578" si="8">CONCATENATE(LEFT(RIGHT(CONCATENATE("000",A515),6),3),"-",(RIGHT(RIGHT(CONCATENATE("000",A515),6),3)))</f>
        <v>101-864</v>
      </c>
      <c r="C515" s="76">
        <v>173.465</v>
      </c>
    </row>
    <row r="516" spans="1:3" ht="14.5">
      <c r="A516" s="2042">
        <v>101868</v>
      </c>
      <c r="B516" s="2113" t="str">
        <f t="shared" si="8"/>
        <v>101-868</v>
      </c>
      <c r="C516" s="76">
        <v>478.55200000000002</v>
      </c>
    </row>
    <row r="517" spans="1:3" ht="14.5">
      <c r="A517" s="2042">
        <v>101870</v>
      </c>
      <c r="B517" s="2113" t="str">
        <f t="shared" si="8"/>
        <v>101-870</v>
      </c>
      <c r="C517" s="76">
        <v>1069.854</v>
      </c>
    </row>
    <row r="518" spans="1:3" ht="14.5">
      <c r="A518" s="2042">
        <v>101871</v>
      </c>
      <c r="B518" s="2113" t="str">
        <f t="shared" si="8"/>
        <v>101-871</v>
      </c>
      <c r="C518" s="76">
        <v>139.88900000000001</v>
      </c>
    </row>
    <row r="519" spans="1:3" ht="14.5">
      <c r="A519" s="2042">
        <v>101872</v>
      </c>
      <c r="B519" s="2113" t="str">
        <f t="shared" si="8"/>
        <v>101-872</v>
      </c>
      <c r="C519" s="76">
        <v>208.16900000000001</v>
      </c>
    </row>
    <row r="520" spans="1:3" ht="14.5">
      <c r="A520" s="2042">
        <v>101873</v>
      </c>
      <c r="B520" s="2113" t="str">
        <f t="shared" si="8"/>
        <v>101-873</v>
      </c>
      <c r="C520" s="76">
        <v>247.68799999999999</v>
      </c>
    </row>
    <row r="521" spans="1:3" ht="14.5">
      <c r="A521" s="2042">
        <v>101874</v>
      </c>
      <c r="B521" s="2113" t="str">
        <f t="shared" si="8"/>
        <v>101-874</v>
      </c>
      <c r="C521" s="76">
        <v>380.55200000000002</v>
      </c>
    </row>
    <row r="522" spans="1:3" ht="14.5">
      <c r="A522" s="2042">
        <v>101875</v>
      </c>
      <c r="B522" s="2113" t="str">
        <f t="shared" si="8"/>
        <v>101-875</v>
      </c>
      <c r="C522" s="76">
        <v>78.587000000000003</v>
      </c>
    </row>
    <row r="523" spans="1:3" ht="14.5">
      <c r="A523" s="2042">
        <v>101876</v>
      </c>
      <c r="B523" s="2113" t="str">
        <f t="shared" si="8"/>
        <v>101-876</v>
      </c>
      <c r="C523" s="76">
        <v>107.871</v>
      </c>
    </row>
    <row r="524" spans="1:3" ht="14.5">
      <c r="A524" s="2042">
        <v>101878</v>
      </c>
      <c r="B524" s="2113" t="str">
        <f t="shared" si="8"/>
        <v>101-878</v>
      </c>
      <c r="C524" s="76">
        <v>41.142000000000003</v>
      </c>
    </row>
    <row r="525" spans="1:3" ht="14.5">
      <c r="A525" s="2042">
        <v>101902</v>
      </c>
      <c r="B525" s="2113" t="str">
        <f t="shared" si="8"/>
        <v>101-902</v>
      </c>
      <c r="C525" s="76">
        <v>59964.194000000003</v>
      </c>
    </row>
    <row r="526" spans="1:3" ht="14.5">
      <c r="A526" s="2042">
        <v>101903</v>
      </c>
      <c r="B526" s="2113" t="str">
        <f t="shared" si="8"/>
        <v>101-903</v>
      </c>
      <c r="C526" s="76">
        <v>41446.790999999997</v>
      </c>
    </row>
    <row r="527" spans="1:3" ht="14.5">
      <c r="A527" s="2042">
        <v>101905</v>
      </c>
      <c r="B527" s="2113" t="str">
        <f t="shared" si="8"/>
        <v>101-905</v>
      </c>
      <c r="C527" s="76">
        <v>9107.2090000000007</v>
      </c>
    </row>
    <row r="528" spans="1:3" ht="14.5">
      <c r="A528" s="2042">
        <v>101906</v>
      </c>
      <c r="B528" s="2113" t="str">
        <f t="shared" si="8"/>
        <v>101-906</v>
      </c>
      <c r="C528" s="76">
        <v>6075.0389999999998</v>
      </c>
    </row>
    <row r="529" spans="1:3" ht="14.5">
      <c r="A529" s="2042">
        <v>101907</v>
      </c>
      <c r="B529" s="2113" t="str">
        <f t="shared" si="8"/>
        <v>101-907</v>
      </c>
      <c r="C529" s="76">
        <v>110219.232</v>
      </c>
    </row>
    <row r="530" spans="1:3" ht="14.5">
      <c r="A530" s="2042">
        <v>101908</v>
      </c>
      <c r="B530" s="2113" t="str">
        <f t="shared" si="8"/>
        <v>101-908</v>
      </c>
      <c r="C530" s="76">
        <v>11748.736000000001</v>
      </c>
    </row>
    <row r="531" spans="1:3" ht="14.5">
      <c r="A531" s="2042">
        <v>101910</v>
      </c>
      <c r="B531" s="2113" t="str">
        <f t="shared" si="8"/>
        <v>101-910</v>
      </c>
      <c r="C531" s="76">
        <v>20680.121999999999</v>
      </c>
    </row>
    <row r="532" spans="1:3" ht="14.5">
      <c r="A532" s="2042">
        <v>101911</v>
      </c>
      <c r="B532" s="2113" t="str">
        <f t="shared" si="8"/>
        <v>101-911</v>
      </c>
      <c r="C532" s="76">
        <v>22007.5</v>
      </c>
    </row>
    <row r="533" spans="1:3" ht="14.5">
      <c r="A533" s="2042">
        <v>101912</v>
      </c>
      <c r="B533" s="2113" t="str">
        <f t="shared" si="8"/>
        <v>101-912</v>
      </c>
      <c r="C533" s="76">
        <v>187467.06899999999</v>
      </c>
    </row>
    <row r="534" spans="1:3" ht="14.5">
      <c r="A534" s="2042">
        <v>101913</v>
      </c>
      <c r="B534" s="2113" t="str">
        <f t="shared" si="8"/>
        <v>101-913</v>
      </c>
      <c r="C534" s="76">
        <v>44084.097000000002</v>
      </c>
    </row>
    <row r="535" spans="1:3" ht="14.5">
      <c r="A535" s="2042">
        <v>101914</v>
      </c>
      <c r="B535" s="2113" t="str">
        <f t="shared" si="8"/>
        <v>101-914</v>
      </c>
      <c r="C535" s="76">
        <v>82059.554999999993</v>
      </c>
    </row>
    <row r="536" spans="1:3" ht="14.5">
      <c r="A536" s="2042">
        <v>101915</v>
      </c>
      <c r="B536" s="2113" t="str">
        <f t="shared" si="8"/>
        <v>101-915</v>
      </c>
      <c r="C536" s="76">
        <v>51293.423000000003</v>
      </c>
    </row>
    <row r="537" spans="1:3" ht="14.5">
      <c r="A537" s="2042">
        <v>101916</v>
      </c>
      <c r="B537" s="2113" t="str">
        <f t="shared" si="8"/>
        <v>101-916</v>
      </c>
      <c r="C537" s="76">
        <v>6451.1139999999996</v>
      </c>
    </row>
    <row r="538" spans="1:3" ht="14.5">
      <c r="A538" s="2042">
        <v>101917</v>
      </c>
      <c r="B538" s="2113" t="str">
        <f t="shared" si="8"/>
        <v>101-917</v>
      </c>
      <c r="C538" s="76">
        <v>46958.815000000002</v>
      </c>
    </row>
    <row r="539" spans="1:3" ht="14.5">
      <c r="A539" s="2042">
        <v>101919</v>
      </c>
      <c r="B539" s="2113" t="str">
        <f t="shared" si="8"/>
        <v>101-919</v>
      </c>
      <c r="C539" s="76">
        <v>31575.476999999999</v>
      </c>
    </row>
    <row r="540" spans="1:3" ht="14.5">
      <c r="A540" s="2042">
        <v>101920</v>
      </c>
      <c r="B540" s="2113" t="str">
        <f t="shared" si="8"/>
        <v>101-920</v>
      </c>
      <c r="C540" s="76">
        <v>32128.256000000001</v>
      </c>
    </row>
    <row r="541" spans="1:3" ht="14.5">
      <c r="A541" s="2042">
        <v>101921</v>
      </c>
      <c r="B541" s="2113" t="str">
        <f t="shared" si="8"/>
        <v>101-921</v>
      </c>
      <c r="C541" s="76">
        <v>18689.874</v>
      </c>
    </row>
    <row r="542" spans="1:3" ht="14.5">
      <c r="A542" s="2042">
        <v>101924</v>
      </c>
      <c r="B542" s="2113" t="str">
        <f t="shared" si="8"/>
        <v>101-924</v>
      </c>
      <c r="C542" s="76">
        <v>9659.0709999999999</v>
      </c>
    </row>
    <row r="543" spans="1:3" ht="14.5">
      <c r="A543" s="2042">
        <v>101925</v>
      </c>
      <c r="B543" s="2113" t="str">
        <f t="shared" si="8"/>
        <v>101-925</v>
      </c>
      <c r="C543" s="76">
        <v>3375.5259999999998</v>
      </c>
    </row>
    <row r="544" spans="1:3" ht="14.5">
      <c r="A544" s="2042">
        <v>102901</v>
      </c>
      <c r="B544" s="2113" t="str">
        <f t="shared" si="8"/>
        <v>102-901</v>
      </c>
      <c r="C544" s="76">
        <v>124.89</v>
      </c>
    </row>
    <row r="545" spans="1:3" ht="14.5">
      <c r="A545" s="2042">
        <v>102902</v>
      </c>
      <c r="B545" s="2113" t="str">
        <f t="shared" si="8"/>
        <v>102-902</v>
      </c>
      <c r="C545" s="76">
        <v>4769.2190000000001</v>
      </c>
    </row>
    <row r="546" spans="1:3" ht="14.5">
      <c r="A546" s="2042">
        <v>102903</v>
      </c>
      <c r="B546" s="2113" t="str">
        <f t="shared" si="8"/>
        <v>102-903</v>
      </c>
      <c r="C546" s="76">
        <v>752.12099999999998</v>
      </c>
    </row>
    <row r="547" spans="1:3" ht="14.5">
      <c r="A547" s="2042">
        <v>102904</v>
      </c>
      <c r="B547" s="2113" t="str">
        <f t="shared" si="8"/>
        <v>102-904</v>
      </c>
      <c r="C547" s="76">
        <v>14862.48</v>
      </c>
    </row>
    <row r="548" spans="1:3" ht="14.5">
      <c r="A548" s="2042">
        <v>102905</v>
      </c>
      <c r="B548" s="2113" t="str">
        <f t="shared" si="8"/>
        <v>102-905</v>
      </c>
      <c r="C548" s="76">
        <v>684.41</v>
      </c>
    </row>
    <row r="549" spans="1:3" ht="14.5">
      <c r="A549" s="2042">
        <v>102906</v>
      </c>
      <c r="B549" s="2113" t="str">
        <f t="shared" si="8"/>
        <v>102-906</v>
      </c>
      <c r="C549" s="76">
        <v>854.12</v>
      </c>
    </row>
    <row r="550" spans="1:3" ht="14.5">
      <c r="A550" s="2042">
        <v>103901</v>
      </c>
      <c r="B550" s="2113" t="str">
        <f t="shared" si="8"/>
        <v>103-901</v>
      </c>
      <c r="C550" s="76">
        <v>152.04499999999999</v>
      </c>
    </row>
    <row r="551" spans="1:3" ht="14.5">
      <c r="A551" s="2042">
        <v>103902</v>
      </c>
      <c r="B551" s="2113" t="str">
        <f t="shared" si="8"/>
        <v>103-902</v>
      </c>
      <c r="C551" s="76">
        <v>242.19</v>
      </c>
    </row>
    <row r="552" spans="1:3" ht="14.5">
      <c r="A552" s="2042">
        <v>104901</v>
      </c>
      <c r="B552" s="2113" t="str">
        <f t="shared" si="8"/>
        <v>104-901</v>
      </c>
      <c r="C552" s="76">
        <v>530.024</v>
      </c>
    </row>
    <row r="553" spans="1:3" ht="14.5">
      <c r="A553" s="2042">
        <v>104903</v>
      </c>
      <c r="B553" s="2113" t="str">
        <f t="shared" si="8"/>
        <v>104-903</v>
      </c>
      <c r="C553" s="76">
        <v>125.32299999999999</v>
      </c>
    </row>
    <row r="554" spans="1:3" ht="14.5">
      <c r="A554" s="2042">
        <v>104907</v>
      </c>
      <c r="B554" s="2113" t="str">
        <f t="shared" si="8"/>
        <v>104-907</v>
      </c>
      <c r="C554" s="76">
        <v>85.480999999999995</v>
      </c>
    </row>
    <row r="555" spans="1:3" ht="14.5">
      <c r="A555" s="2042">
        <v>105801</v>
      </c>
      <c r="B555" s="2113" t="str">
        <f t="shared" si="8"/>
        <v>105-801</v>
      </c>
      <c r="C555" s="76">
        <v>130.876</v>
      </c>
    </row>
    <row r="556" spans="1:3" ht="14.5">
      <c r="A556" s="2042">
        <v>105802</v>
      </c>
      <c r="B556" s="2113" t="str">
        <f t="shared" si="8"/>
        <v>105-802</v>
      </c>
      <c r="C556" s="76">
        <v>158.13</v>
      </c>
    </row>
    <row r="557" spans="1:3" ht="14.5">
      <c r="A557" s="2042">
        <v>105803</v>
      </c>
      <c r="B557" s="2113" t="str">
        <f t="shared" si="8"/>
        <v>105-803</v>
      </c>
      <c r="C557" s="76">
        <v>270.36599999999999</v>
      </c>
    </row>
    <row r="558" spans="1:3" ht="14.5">
      <c r="A558" s="2042">
        <v>105902</v>
      </c>
      <c r="B558" s="2113" t="str">
        <f t="shared" si="8"/>
        <v>105-902</v>
      </c>
      <c r="C558" s="76">
        <v>7495.3689999999997</v>
      </c>
    </row>
    <row r="559" spans="1:3" ht="14.5">
      <c r="A559" s="2042">
        <v>105904</v>
      </c>
      <c r="B559" s="2113" t="str">
        <f t="shared" si="8"/>
        <v>105-904</v>
      </c>
      <c r="C559" s="76">
        <v>6960.1530000000002</v>
      </c>
    </row>
    <row r="560" spans="1:3" ht="14.5">
      <c r="A560" s="2042">
        <v>105905</v>
      </c>
      <c r="B560" s="2113" t="str">
        <f t="shared" si="8"/>
        <v>105-905</v>
      </c>
      <c r="C560" s="76">
        <v>2387.9259999999999</v>
      </c>
    </row>
    <row r="561" spans="1:3" ht="14.5">
      <c r="A561" s="2042">
        <v>105906</v>
      </c>
      <c r="B561" s="2113" t="str">
        <f t="shared" si="8"/>
        <v>105-906</v>
      </c>
      <c r="C561" s="76">
        <v>19872.199000000001</v>
      </c>
    </row>
    <row r="562" spans="1:3" ht="14.5">
      <c r="A562" s="2042">
        <v>106901</v>
      </c>
      <c r="B562" s="2113" t="str">
        <f t="shared" si="8"/>
        <v>106-901</v>
      </c>
      <c r="C562" s="76">
        <v>806.30799999999999</v>
      </c>
    </row>
    <row r="563" spans="1:3" ht="14.5">
      <c r="A563" s="2042">
        <v>107901</v>
      </c>
      <c r="B563" s="2113" t="str">
        <f t="shared" si="8"/>
        <v>107-901</v>
      </c>
      <c r="C563" s="76">
        <v>2956.1779999999999</v>
      </c>
    </row>
    <row r="564" spans="1:3" ht="14.5">
      <c r="A564" s="2042">
        <v>107902</v>
      </c>
      <c r="B564" s="2113" t="str">
        <f t="shared" si="8"/>
        <v>107-902</v>
      </c>
      <c r="C564" s="76">
        <v>2510.6080000000002</v>
      </c>
    </row>
    <row r="565" spans="1:3" ht="14.5">
      <c r="A565" s="2042">
        <v>107904</v>
      </c>
      <c r="B565" s="2113" t="str">
        <f t="shared" si="8"/>
        <v>107-904</v>
      </c>
      <c r="C565" s="76">
        <v>492.44</v>
      </c>
    </row>
    <row r="566" spans="1:3" ht="14.5">
      <c r="A566" s="2042">
        <v>107905</v>
      </c>
      <c r="B566" s="2113" t="str">
        <f t="shared" si="8"/>
        <v>107-905</v>
      </c>
      <c r="C566" s="76">
        <v>1504.1849999999999</v>
      </c>
    </row>
    <row r="567" spans="1:3" ht="14.5">
      <c r="A567" s="2042">
        <v>107906</v>
      </c>
      <c r="B567" s="2113" t="str">
        <f t="shared" si="8"/>
        <v>107-906</v>
      </c>
      <c r="C567" s="76">
        <v>1366.0250000000001</v>
      </c>
    </row>
    <row r="568" spans="1:3" ht="14.5">
      <c r="A568" s="2042">
        <v>107907</v>
      </c>
      <c r="B568" s="2113" t="str">
        <f t="shared" si="8"/>
        <v>107-907</v>
      </c>
      <c r="C568" s="76">
        <v>153.94399999999999</v>
      </c>
    </row>
    <row r="569" spans="1:3" ht="14.5">
      <c r="A569" s="2042">
        <v>107908</v>
      </c>
      <c r="B569" s="2113" t="str">
        <f t="shared" si="8"/>
        <v>107-908</v>
      </c>
      <c r="C569" s="76">
        <v>153.58199999999999</v>
      </c>
    </row>
    <row r="570" spans="1:3" ht="14.5">
      <c r="A570" s="2042">
        <v>107910</v>
      </c>
      <c r="B570" s="2113" t="str">
        <f t="shared" si="8"/>
        <v>107-910</v>
      </c>
      <c r="C570" s="76">
        <v>441.63299999999998</v>
      </c>
    </row>
    <row r="571" spans="1:3" ht="14.5">
      <c r="A571" s="2042">
        <v>108802</v>
      </c>
      <c r="B571" s="2113" t="str">
        <f t="shared" si="8"/>
        <v>108-802</v>
      </c>
      <c r="C571" s="76">
        <v>1045.7149999999999</v>
      </c>
    </row>
    <row r="572" spans="1:3" ht="14.5">
      <c r="A572" s="2042">
        <v>108804</v>
      </c>
      <c r="B572" s="2113" t="str">
        <f t="shared" si="8"/>
        <v>108-804</v>
      </c>
      <c r="C572" s="76">
        <v>443.09399999999999</v>
      </c>
    </row>
    <row r="573" spans="1:3" ht="14.5">
      <c r="A573" s="2042">
        <v>108807</v>
      </c>
      <c r="B573" s="2113" t="str">
        <f t="shared" si="8"/>
        <v>108-807</v>
      </c>
      <c r="C573" s="76">
        <v>58245.595000000001</v>
      </c>
    </row>
    <row r="574" spans="1:3" ht="14.5">
      <c r="A574" s="2042">
        <v>108808</v>
      </c>
      <c r="B574" s="2113" t="str">
        <f t="shared" si="8"/>
        <v>108-808</v>
      </c>
      <c r="C574" s="76">
        <v>4631.6400000000003</v>
      </c>
    </row>
    <row r="575" spans="1:3" ht="14.5">
      <c r="A575" s="2042">
        <v>108809</v>
      </c>
      <c r="B575" s="2113" t="str">
        <f t="shared" si="8"/>
        <v>108-809</v>
      </c>
      <c r="C575" s="76">
        <v>308.32499999999999</v>
      </c>
    </row>
    <row r="576" spans="1:3" ht="14.5">
      <c r="A576" s="2042">
        <v>108902</v>
      </c>
      <c r="B576" s="2113" t="str">
        <f t="shared" si="8"/>
        <v>108-902</v>
      </c>
      <c r="C576" s="76">
        <v>13032.285</v>
      </c>
    </row>
    <row r="577" spans="1:3" ht="14.5">
      <c r="A577" s="2042">
        <v>108903</v>
      </c>
      <c r="B577" s="2113" t="str">
        <f t="shared" si="8"/>
        <v>108-903</v>
      </c>
      <c r="C577" s="76">
        <v>4370.3500000000004</v>
      </c>
    </row>
    <row r="578" spans="1:3" ht="14.5">
      <c r="A578" s="2042">
        <v>108904</v>
      </c>
      <c r="B578" s="2113" t="str">
        <f t="shared" si="8"/>
        <v>108-904</v>
      </c>
      <c r="C578" s="76">
        <v>31434.901999999998</v>
      </c>
    </row>
    <row r="579" spans="1:3" ht="14.5">
      <c r="A579" s="2042">
        <v>108905</v>
      </c>
      <c r="B579" s="2113" t="str">
        <f t="shared" ref="B579:B642" si="9">CONCATENATE(LEFT(RIGHT(CONCATENATE("000",A579),6),3),"-",(RIGHT(RIGHT(CONCATENATE("000",A579),6),3)))</f>
        <v>108-905</v>
      </c>
      <c r="C579" s="76">
        <v>2865.9360000000001</v>
      </c>
    </row>
    <row r="580" spans="1:3" ht="14.5">
      <c r="A580" s="2042">
        <v>108906</v>
      </c>
      <c r="B580" s="2113" t="str">
        <f t="shared" si="9"/>
        <v>108-906</v>
      </c>
      <c r="C580" s="76">
        <v>19922.955999999998</v>
      </c>
    </row>
    <row r="581" spans="1:3" ht="14.5">
      <c r="A581" s="2042">
        <v>108907</v>
      </c>
      <c r="B581" s="2113" t="str">
        <f t="shared" si="9"/>
        <v>108-907</v>
      </c>
      <c r="C581" s="76">
        <v>4292.3850000000002</v>
      </c>
    </row>
    <row r="582" spans="1:3" ht="14.5">
      <c r="A582" s="2042">
        <v>108908</v>
      </c>
      <c r="B582" s="2113" t="str">
        <f t="shared" si="9"/>
        <v>108-908</v>
      </c>
      <c r="C582" s="76">
        <v>13615.316000000001</v>
      </c>
    </row>
    <row r="583" spans="1:3" ht="14.5">
      <c r="A583" s="2042">
        <v>108909</v>
      </c>
      <c r="B583" s="2113" t="str">
        <f t="shared" si="9"/>
        <v>108-909</v>
      </c>
      <c r="C583" s="76">
        <v>30766.75</v>
      </c>
    </row>
    <row r="584" spans="1:3" ht="14.5">
      <c r="A584" s="2042">
        <v>108910</v>
      </c>
      <c r="B584" s="2113" t="str">
        <f t="shared" si="9"/>
        <v>108-910</v>
      </c>
      <c r="C584" s="76">
        <v>1500.7550000000001</v>
      </c>
    </row>
    <row r="585" spans="1:3" ht="14.5">
      <c r="A585" s="2042">
        <v>108911</v>
      </c>
      <c r="B585" s="2113" t="str">
        <f t="shared" si="9"/>
        <v>108-911</v>
      </c>
      <c r="C585" s="76">
        <v>9508.0589999999993</v>
      </c>
    </row>
    <row r="586" spans="1:3" ht="14.5">
      <c r="A586" s="2042">
        <v>108912</v>
      </c>
      <c r="B586" s="2113" t="str">
        <f t="shared" si="9"/>
        <v>108-912</v>
      </c>
      <c r="C586" s="76">
        <v>24393.171999999999</v>
      </c>
    </row>
    <row r="587" spans="1:3" ht="14.5">
      <c r="A587" s="2042">
        <v>108913</v>
      </c>
      <c r="B587" s="2113" t="str">
        <f t="shared" si="9"/>
        <v>108-913</v>
      </c>
      <c r="C587" s="76">
        <v>15616.689</v>
      </c>
    </row>
    <row r="588" spans="1:3" ht="14.5">
      <c r="A588" s="2042">
        <v>108914</v>
      </c>
      <c r="B588" s="2113" t="str">
        <f t="shared" si="9"/>
        <v>108-914</v>
      </c>
      <c r="C588" s="76">
        <v>577.08900000000006</v>
      </c>
    </row>
    <row r="589" spans="1:3" ht="14.5">
      <c r="A589" s="2042">
        <v>108915</v>
      </c>
      <c r="B589" s="2113" t="str">
        <f t="shared" si="9"/>
        <v>108-915</v>
      </c>
      <c r="C589" s="76">
        <v>823.65200000000004</v>
      </c>
    </row>
    <row r="590" spans="1:3" ht="14.5">
      <c r="A590" s="2042">
        <v>108916</v>
      </c>
      <c r="B590" s="2113" t="str">
        <f t="shared" si="9"/>
        <v>108-916</v>
      </c>
      <c r="C590" s="76">
        <v>3975.759</v>
      </c>
    </row>
    <row r="591" spans="1:3" ht="14.5">
      <c r="A591" s="2042">
        <v>109901</v>
      </c>
      <c r="B591" s="2113" t="str">
        <f t="shared" si="9"/>
        <v>109-901</v>
      </c>
      <c r="C591" s="76">
        <v>263.83300000000003</v>
      </c>
    </row>
    <row r="592" spans="1:3" ht="14.5">
      <c r="A592" s="2042">
        <v>109902</v>
      </c>
      <c r="B592" s="2113" t="str">
        <f t="shared" si="9"/>
        <v>109-902</v>
      </c>
      <c r="C592" s="76">
        <v>202.80699999999999</v>
      </c>
    </row>
    <row r="593" spans="1:3" ht="14.5">
      <c r="A593" s="2042">
        <v>109903</v>
      </c>
      <c r="B593" s="2113" t="str">
        <f t="shared" si="9"/>
        <v>109-903</v>
      </c>
      <c r="C593" s="76">
        <v>283.40899999999999</v>
      </c>
    </row>
    <row r="594" spans="1:3" ht="14.5">
      <c r="A594" s="2042">
        <v>109904</v>
      </c>
      <c r="B594" s="2113" t="str">
        <f t="shared" si="9"/>
        <v>109-904</v>
      </c>
      <c r="C594" s="76">
        <v>1740.742</v>
      </c>
    </row>
    <row r="595" spans="1:3" ht="14.5">
      <c r="A595" s="2042">
        <v>109905</v>
      </c>
      <c r="B595" s="2113" t="str">
        <f t="shared" si="9"/>
        <v>109-905</v>
      </c>
      <c r="C595" s="76">
        <v>375.99299999999999</v>
      </c>
    </row>
    <row r="596" spans="1:3" ht="14.5">
      <c r="A596" s="2042">
        <v>109907</v>
      </c>
      <c r="B596" s="2113" t="str">
        <f t="shared" si="9"/>
        <v>109-907</v>
      </c>
      <c r="C596" s="76">
        <v>581.89700000000005</v>
      </c>
    </row>
    <row r="597" spans="1:3" ht="14.5">
      <c r="A597" s="2042">
        <v>109908</v>
      </c>
      <c r="B597" s="2113" t="str">
        <f t="shared" si="9"/>
        <v>109-908</v>
      </c>
      <c r="C597" s="76">
        <v>148.63399999999999</v>
      </c>
    </row>
    <row r="598" spans="1:3" ht="14.5">
      <c r="A598" s="2042">
        <v>109910</v>
      </c>
      <c r="B598" s="2113" t="str">
        <f t="shared" si="9"/>
        <v>109-910</v>
      </c>
      <c r="C598" s="76">
        <v>180.142</v>
      </c>
    </row>
    <row r="599" spans="1:3" ht="14.5">
      <c r="A599" s="2042">
        <v>109911</v>
      </c>
      <c r="B599" s="2113" t="str">
        <f t="shared" si="9"/>
        <v>109-911</v>
      </c>
      <c r="C599" s="76">
        <v>1356.809</v>
      </c>
    </row>
    <row r="600" spans="1:3" ht="14.5">
      <c r="A600" s="2042">
        <v>109912</v>
      </c>
      <c r="B600" s="2113" t="str">
        <f t="shared" si="9"/>
        <v>109-912</v>
      </c>
      <c r="C600" s="76">
        <v>311.91199999999998</v>
      </c>
    </row>
    <row r="601" spans="1:3" ht="14.5">
      <c r="A601" s="2042">
        <v>109913</v>
      </c>
      <c r="B601" s="2113" t="str">
        <f t="shared" si="9"/>
        <v>109-913</v>
      </c>
      <c r="C601" s="76">
        <v>350.30900000000003</v>
      </c>
    </row>
    <row r="602" spans="1:3" ht="14.5">
      <c r="A602" s="2042">
        <v>109914</v>
      </c>
      <c r="B602" s="2113" t="str">
        <f t="shared" si="9"/>
        <v>109-914</v>
      </c>
      <c r="C602" s="76">
        <v>184.11799999999999</v>
      </c>
    </row>
    <row r="603" spans="1:3" ht="14.5">
      <c r="A603" s="2042">
        <v>110901</v>
      </c>
      <c r="B603" s="2113" t="str">
        <f t="shared" si="9"/>
        <v>110-901</v>
      </c>
      <c r="C603" s="76">
        <v>171.30799999999999</v>
      </c>
    </row>
    <row r="604" spans="1:3" ht="14.5">
      <c r="A604" s="2042">
        <v>110902</v>
      </c>
      <c r="B604" s="2113" t="str">
        <f t="shared" si="9"/>
        <v>110-902</v>
      </c>
      <c r="C604" s="76">
        <v>2593.7550000000001</v>
      </c>
    </row>
    <row r="605" spans="1:3" ht="14.5">
      <c r="A605" s="2042">
        <v>110905</v>
      </c>
      <c r="B605" s="2113" t="str">
        <f t="shared" si="9"/>
        <v>110-905</v>
      </c>
      <c r="C605" s="76">
        <v>472.66199999999998</v>
      </c>
    </row>
    <row r="606" spans="1:3" ht="14.5">
      <c r="A606" s="2042">
        <v>110906</v>
      </c>
      <c r="B606" s="2113" t="str">
        <f t="shared" si="9"/>
        <v>110-906</v>
      </c>
      <c r="C606" s="76">
        <v>419.07</v>
      </c>
    </row>
    <row r="607" spans="1:3" ht="14.5">
      <c r="A607" s="2042">
        <v>110907</v>
      </c>
      <c r="B607" s="2113" t="str">
        <f t="shared" si="9"/>
        <v>110-907</v>
      </c>
      <c r="C607" s="76">
        <v>545.57399999999996</v>
      </c>
    </row>
    <row r="608" spans="1:3" ht="14.5">
      <c r="A608" s="2042">
        <v>110908</v>
      </c>
      <c r="B608" s="2113" t="str">
        <f t="shared" si="9"/>
        <v>110-908</v>
      </c>
      <c r="C608" s="76">
        <v>166.62700000000001</v>
      </c>
    </row>
    <row r="609" spans="1:3" ht="14.5">
      <c r="A609" s="2042">
        <v>111801</v>
      </c>
      <c r="B609" s="2113" t="str">
        <f t="shared" si="9"/>
        <v>111-801</v>
      </c>
      <c r="C609" s="76">
        <v>76.313000000000002</v>
      </c>
    </row>
    <row r="610" spans="1:3" ht="14.5">
      <c r="A610" s="2042">
        <v>111901</v>
      </c>
      <c r="B610" s="2113" t="str">
        <f t="shared" si="9"/>
        <v>111-901</v>
      </c>
      <c r="C610" s="76">
        <v>7079.2809999999999</v>
      </c>
    </row>
    <row r="611" spans="1:3" ht="14.5">
      <c r="A611" s="2042">
        <v>111902</v>
      </c>
      <c r="B611" s="2113" t="str">
        <f t="shared" si="9"/>
        <v>111-902</v>
      </c>
      <c r="C611" s="76">
        <v>443.14400000000001</v>
      </c>
    </row>
    <row r="612" spans="1:3" ht="14.5">
      <c r="A612" s="2042">
        <v>111903</v>
      </c>
      <c r="B612" s="2113" t="str">
        <f t="shared" si="9"/>
        <v>111-903</v>
      </c>
      <c r="C612" s="76">
        <v>755.46900000000005</v>
      </c>
    </row>
    <row r="613" spans="1:3" ht="14.5">
      <c r="A613" s="2042">
        <v>112901</v>
      </c>
      <c r="B613" s="2113" t="str">
        <f t="shared" si="9"/>
        <v>112-901</v>
      </c>
      <c r="C613" s="76">
        <v>4087.739</v>
      </c>
    </row>
    <row r="614" spans="1:3" ht="14.5">
      <c r="A614" s="2042">
        <v>112905</v>
      </c>
      <c r="B614" s="2113" t="str">
        <f t="shared" si="9"/>
        <v>112-905</v>
      </c>
      <c r="C614" s="76">
        <v>379.3</v>
      </c>
    </row>
    <row r="615" spans="1:3" ht="14.5">
      <c r="A615" s="2042">
        <v>112906</v>
      </c>
      <c r="B615" s="2113" t="str">
        <f t="shared" si="9"/>
        <v>112-906</v>
      </c>
      <c r="C615" s="76">
        <v>524.08100000000002</v>
      </c>
    </row>
    <row r="616" spans="1:3" ht="14.5">
      <c r="A616" s="2042">
        <v>112907</v>
      </c>
      <c r="B616" s="2113" t="str">
        <f t="shared" si="9"/>
        <v>112-907</v>
      </c>
      <c r="C616" s="76">
        <v>315.23200000000003</v>
      </c>
    </row>
    <row r="617" spans="1:3" ht="14.5">
      <c r="A617" s="2042">
        <v>112908</v>
      </c>
      <c r="B617" s="2113" t="str">
        <f t="shared" si="9"/>
        <v>112-908</v>
      </c>
      <c r="C617" s="76">
        <v>689.14</v>
      </c>
    </row>
    <row r="618" spans="1:3" ht="14.5">
      <c r="A618" s="2042">
        <v>112909</v>
      </c>
      <c r="B618" s="2113" t="str">
        <f t="shared" si="9"/>
        <v>112-909</v>
      </c>
      <c r="C618" s="76">
        <v>303.00099999999998</v>
      </c>
    </row>
    <row r="619" spans="1:3" ht="14.5">
      <c r="A619" s="2042">
        <v>112910</v>
      </c>
      <c r="B619" s="2113" t="str">
        <f t="shared" si="9"/>
        <v>112-910</v>
      </c>
      <c r="C619" s="76">
        <v>202.95</v>
      </c>
    </row>
    <row r="620" spans="1:3" ht="14.5">
      <c r="A620" s="2042">
        <v>113901</v>
      </c>
      <c r="B620" s="2113" t="str">
        <f t="shared" si="9"/>
        <v>113-901</v>
      </c>
      <c r="C620" s="76">
        <v>1170.242</v>
      </c>
    </row>
    <row r="621" spans="1:3" ht="14.5">
      <c r="A621" s="2042">
        <v>113902</v>
      </c>
      <c r="B621" s="2113" t="str">
        <f t="shared" si="9"/>
        <v>113-902</v>
      </c>
      <c r="C621" s="76">
        <v>536.05899999999997</v>
      </c>
    </row>
    <row r="622" spans="1:3" ht="14.5">
      <c r="A622" s="2042">
        <v>113903</v>
      </c>
      <c r="B622" s="2113" t="str">
        <f t="shared" si="9"/>
        <v>113-903</v>
      </c>
      <c r="C622" s="76">
        <v>477.38400000000001</v>
      </c>
    </row>
    <row r="623" spans="1:3" ht="14.5">
      <c r="A623" s="2042">
        <v>113905</v>
      </c>
      <c r="B623" s="2113" t="str">
        <f t="shared" si="9"/>
        <v>113-905</v>
      </c>
      <c r="C623" s="76">
        <v>421.00400000000002</v>
      </c>
    </row>
    <row r="624" spans="1:3" ht="14.5">
      <c r="A624" s="2042">
        <v>113906</v>
      </c>
      <c r="B624" s="2113" t="str">
        <f t="shared" si="9"/>
        <v>113-906</v>
      </c>
      <c r="C624" s="76">
        <v>207.625</v>
      </c>
    </row>
    <row r="625" spans="1:3" ht="14.5">
      <c r="A625" s="2042">
        <v>114901</v>
      </c>
      <c r="B625" s="2113" t="str">
        <f t="shared" si="9"/>
        <v>114-901</v>
      </c>
      <c r="C625" s="76">
        <v>3628.4160000000002</v>
      </c>
    </row>
    <row r="626" spans="1:3" ht="14.5">
      <c r="A626" s="2042">
        <v>114902</v>
      </c>
      <c r="B626" s="2113" t="str">
        <f t="shared" si="9"/>
        <v>114-902</v>
      </c>
      <c r="C626" s="76">
        <v>1096.76</v>
      </c>
    </row>
    <row r="627" spans="1:3" ht="14.5">
      <c r="A627" s="2042">
        <v>114904</v>
      </c>
      <c r="B627" s="2113" t="str">
        <f t="shared" si="9"/>
        <v>114-904</v>
      </c>
      <c r="C627" s="76">
        <v>749.98199999999997</v>
      </c>
    </row>
    <row r="628" spans="1:3" ht="14.5">
      <c r="A628" s="2042">
        <v>115901</v>
      </c>
      <c r="B628" s="2113" t="str">
        <f t="shared" si="9"/>
        <v>115-901</v>
      </c>
      <c r="C628" s="76">
        <v>384.024</v>
      </c>
    </row>
    <row r="629" spans="1:3" ht="14.5">
      <c r="A629" s="2042">
        <v>115902</v>
      </c>
      <c r="B629" s="2113" t="str">
        <f t="shared" si="9"/>
        <v>115-902</v>
      </c>
      <c r="C629" s="76">
        <v>112.596</v>
      </c>
    </row>
    <row r="630" spans="1:3" ht="14.5">
      <c r="A630" s="2042">
        <v>115903</v>
      </c>
      <c r="B630" s="2113" t="str">
        <f t="shared" si="9"/>
        <v>115-903</v>
      </c>
      <c r="C630" s="76">
        <v>53.54</v>
      </c>
    </row>
    <row r="631" spans="1:3" ht="14.5">
      <c r="A631" s="2042">
        <v>116901</v>
      </c>
      <c r="B631" s="2113" t="str">
        <f t="shared" si="9"/>
        <v>116-901</v>
      </c>
      <c r="C631" s="76">
        <v>1899.798</v>
      </c>
    </row>
    <row r="632" spans="1:3" ht="14.5">
      <c r="A632" s="2042">
        <v>116902</v>
      </c>
      <c r="B632" s="2113" t="str">
        <f t="shared" si="9"/>
        <v>116-902</v>
      </c>
      <c r="C632" s="76">
        <v>477.67700000000002</v>
      </c>
    </row>
    <row r="633" spans="1:3" ht="14.5">
      <c r="A633" s="2042">
        <v>116903</v>
      </c>
      <c r="B633" s="2113" t="str">
        <f t="shared" si="9"/>
        <v>116-903</v>
      </c>
      <c r="C633" s="76">
        <v>1412.4169999999999</v>
      </c>
    </row>
    <row r="634" spans="1:3" ht="14.5">
      <c r="A634" s="2042">
        <v>116905</v>
      </c>
      <c r="B634" s="2113" t="str">
        <f t="shared" si="9"/>
        <v>116-905</v>
      </c>
      <c r="C634" s="76">
        <v>4830.3389999999999</v>
      </c>
    </row>
    <row r="635" spans="1:3" ht="14.5">
      <c r="A635" s="2042">
        <v>116906</v>
      </c>
      <c r="B635" s="2113" t="str">
        <f t="shared" si="9"/>
        <v>116-906</v>
      </c>
      <c r="C635" s="76">
        <v>915.67499999999995</v>
      </c>
    </row>
    <row r="636" spans="1:3" ht="14.5">
      <c r="A636" s="2042">
        <v>116908</v>
      </c>
      <c r="B636" s="2113" t="str">
        <f t="shared" si="9"/>
        <v>116-908</v>
      </c>
      <c r="C636" s="76">
        <v>2353.5410000000002</v>
      </c>
    </row>
    <row r="637" spans="1:3" ht="14.5">
      <c r="A637" s="2042">
        <v>116909</v>
      </c>
      <c r="B637" s="2113" t="str">
        <f t="shared" si="9"/>
        <v>116-909</v>
      </c>
      <c r="C637" s="76">
        <v>604.90599999999995</v>
      </c>
    </row>
    <row r="638" spans="1:3" ht="14.5">
      <c r="A638" s="2042">
        <v>116910</v>
      </c>
      <c r="B638" s="2113" t="str">
        <f t="shared" si="9"/>
        <v>116-910</v>
      </c>
      <c r="C638" s="76">
        <v>261.07499999999999</v>
      </c>
    </row>
    <row r="639" spans="1:3" ht="14.5">
      <c r="A639" s="2042">
        <v>116915</v>
      </c>
      <c r="B639" s="2113" t="str">
        <f t="shared" si="9"/>
        <v>116-915</v>
      </c>
      <c r="C639" s="76">
        <v>684.84100000000001</v>
      </c>
    </row>
    <row r="640" spans="1:3" ht="14.5">
      <c r="A640" s="2042">
        <v>116916</v>
      </c>
      <c r="B640" s="2113" t="str">
        <f t="shared" si="9"/>
        <v>116-916</v>
      </c>
      <c r="C640" s="76">
        <v>479.71</v>
      </c>
    </row>
    <row r="641" spans="1:3" ht="14.5">
      <c r="A641" s="2042">
        <v>117901</v>
      </c>
      <c r="B641" s="2113" t="str">
        <f t="shared" si="9"/>
        <v>117-901</v>
      </c>
      <c r="C641" s="76">
        <v>2317.3490000000002</v>
      </c>
    </row>
    <row r="642" spans="1:3" ht="14.5">
      <c r="A642" s="2042">
        <v>117903</v>
      </c>
      <c r="B642" s="2113" t="str">
        <f t="shared" si="9"/>
        <v>117-903</v>
      </c>
      <c r="C642" s="76">
        <v>614.11800000000005</v>
      </c>
    </row>
    <row r="643" spans="1:3" ht="14.5">
      <c r="A643" s="2042">
        <v>117904</v>
      </c>
      <c r="B643" s="2113" t="str">
        <f t="shared" ref="B643:B706" si="10">CONCATENATE(LEFT(RIGHT(CONCATENATE("000",A643),6),3),"-",(RIGHT(RIGHT(CONCATENATE("000",A643),6),3)))</f>
        <v>117-904</v>
      </c>
      <c r="C643" s="76">
        <v>654.745</v>
      </c>
    </row>
    <row r="644" spans="1:3" ht="14.5">
      <c r="A644" s="2042">
        <v>117907</v>
      </c>
      <c r="B644" s="2113" t="str">
        <f t="shared" si="10"/>
        <v>117-907</v>
      </c>
      <c r="C644" s="76">
        <v>99</v>
      </c>
    </row>
    <row r="645" spans="1:3" ht="14.5">
      <c r="A645" s="2042">
        <v>118902</v>
      </c>
      <c r="B645" s="2113" t="str">
        <f t="shared" si="10"/>
        <v>118-902</v>
      </c>
      <c r="C645" s="76">
        <v>287.55</v>
      </c>
    </row>
    <row r="646" spans="1:3" ht="14.5">
      <c r="A646" s="2042">
        <v>119901</v>
      </c>
      <c r="B646" s="2113" t="str">
        <f t="shared" si="10"/>
        <v>119-901</v>
      </c>
      <c r="C646" s="76">
        <v>235.001</v>
      </c>
    </row>
    <row r="647" spans="1:3" ht="14.5">
      <c r="A647" s="2042">
        <v>119902</v>
      </c>
      <c r="B647" s="2113" t="str">
        <f t="shared" si="10"/>
        <v>119-902</v>
      </c>
      <c r="C647" s="76">
        <v>990.96500000000003</v>
      </c>
    </row>
    <row r="648" spans="1:3" ht="14.5">
      <c r="A648" s="2042">
        <v>119903</v>
      </c>
      <c r="B648" s="2113" t="str">
        <f t="shared" si="10"/>
        <v>119-903</v>
      </c>
      <c r="C648" s="76">
        <v>300.24200000000002</v>
      </c>
    </row>
    <row r="649" spans="1:3" ht="14.5">
      <c r="A649" s="2042">
        <v>120901</v>
      </c>
      <c r="B649" s="2113" t="str">
        <f t="shared" si="10"/>
        <v>120-901</v>
      </c>
      <c r="C649" s="76">
        <v>1412.058</v>
      </c>
    </row>
    <row r="650" spans="1:3" ht="14.5">
      <c r="A650" s="2042">
        <v>120902</v>
      </c>
      <c r="B650" s="2113" t="str">
        <f t="shared" si="10"/>
        <v>120-902</v>
      </c>
      <c r="C650" s="76">
        <v>691.38499999999999</v>
      </c>
    </row>
    <row r="651" spans="1:3" ht="14.5">
      <c r="A651" s="2042">
        <v>120905</v>
      </c>
      <c r="B651" s="2113" t="str">
        <f t="shared" si="10"/>
        <v>120-905</v>
      </c>
      <c r="C651" s="76">
        <v>1132.229</v>
      </c>
    </row>
    <row r="652" spans="1:3" ht="14.5">
      <c r="A652" s="2042">
        <v>121902</v>
      </c>
      <c r="B652" s="2113" t="str">
        <f t="shared" si="10"/>
        <v>121-902</v>
      </c>
      <c r="C652" s="76">
        <v>355.274</v>
      </c>
    </row>
    <row r="653" spans="1:3" ht="14.5">
      <c r="A653" s="2042">
        <v>121903</v>
      </c>
      <c r="B653" s="2113" t="str">
        <f t="shared" si="10"/>
        <v>121-903</v>
      </c>
      <c r="C653" s="76">
        <v>1360.9</v>
      </c>
    </row>
    <row r="654" spans="1:3" ht="14.5">
      <c r="A654" s="2042">
        <v>121904</v>
      </c>
      <c r="B654" s="2113" t="str">
        <f t="shared" si="10"/>
        <v>121-904</v>
      </c>
      <c r="C654" s="76">
        <v>1985.0350000000001</v>
      </c>
    </row>
    <row r="655" spans="1:3" ht="14.5">
      <c r="A655" s="2042">
        <v>121905</v>
      </c>
      <c r="B655" s="2113" t="str">
        <f t="shared" si="10"/>
        <v>121-905</v>
      </c>
      <c r="C655" s="76">
        <v>1306.6010000000001</v>
      </c>
    </row>
    <row r="656" spans="1:3" ht="14.5">
      <c r="A656" s="2042">
        <v>121906</v>
      </c>
      <c r="B656" s="2113" t="str">
        <f t="shared" si="10"/>
        <v>121-906</v>
      </c>
      <c r="C656" s="76">
        <v>388.339</v>
      </c>
    </row>
    <row r="657" spans="1:3" ht="14.5">
      <c r="A657" s="2042">
        <v>122901</v>
      </c>
      <c r="B657" s="2113" t="str">
        <f t="shared" si="10"/>
        <v>122-901</v>
      </c>
      <c r="C657" s="76">
        <v>202.035</v>
      </c>
    </row>
    <row r="658" spans="1:3" ht="14.5">
      <c r="A658" s="2042">
        <v>122902</v>
      </c>
      <c r="B658" s="2113" t="str">
        <f t="shared" si="10"/>
        <v>122-902</v>
      </c>
      <c r="C658" s="76">
        <v>41.356999999999999</v>
      </c>
    </row>
    <row r="659" spans="1:3" ht="14.5">
      <c r="A659" s="2042">
        <v>123503</v>
      </c>
      <c r="B659" s="2113" t="str">
        <f t="shared" si="10"/>
        <v>123-503</v>
      </c>
      <c r="C659" s="76">
        <v>37.393000000000001</v>
      </c>
    </row>
    <row r="660" spans="1:3" ht="14.5">
      <c r="A660" s="2042">
        <v>123803</v>
      </c>
      <c r="B660" s="2113" t="str">
        <f t="shared" si="10"/>
        <v>123-803</v>
      </c>
      <c r="C660" s="76">
        <v>377.7</v>
      </c>
    </row>
    <row r="661" spans="1:3" ht="14.5">
      <c r="A661" s="2042">
        <v>123805</v>
      </c>
      <c r="B661" s="2113" t="str">
        <f t="shared" si="10"/>
        <v>123-805</v>
      </c>
      <c r="C661" s="76">
        <v>462.43</v>
      </c>
    </row>
    <row r="662" spans="1:3" ht="14.5">
      <c r="A662" s="2042">
        <v>123807</v>
      </c>
      <c r="B662" s="2113" t="str">
        <f t="shared" si="10"/>
        <v>123-807</v>
      </c>
      <c r="C662" s="76">
        <v>2064.0700000000002</v>
      </c>
    </row>
    <row r="663" spans="1:3" ht="14.5">
      <c r="A663" s="2042">
        <v>123905</v>
      </c>
      <c r="B663" s="2113" t="str">
        <f t="shared" si="10"/>
        <v>123-905</v>
      </c>
      <c r="C663" s="76">
        <v>4855.7160000000003</v>
      </c>
    </row>
    <row r="664" spans="1:3" ht="14.5">
      <c r="A664" s="2042">
        <v>123907</v>
      </c>
      <c r="B664" s="2113" t="str">
        <f t="shared" si="10"/>
        <v>123-907</v>
      </c>
      <c r="C664" s="76">
        <v>7166.2929999999997</v>
      </c>
    </row>
    <row r="665" spans="1:3" ht="14.5">
      <c r="A665" s="2042">
        <v>123908</v>
      </c>
      <c r="B665" s="2113" t="str">
        <f t="shared" si="10"/>
        <v>123-908</v>
      </c>
      <c r="C665" s="76">
        <v>4956.47</v>
      </c>
    </row>
    <row r="666" spans="1:3" ht="14.5">
      <c r="A666" s="2042">
        <v>123910</v>
      </c>
      <c r="B666" s="2113" t="str">
        <f t="shared" si="10"/>
        <v>123-910</v>
      </c>
      <c r="C666" s="76">
        <v>15603.831</v>
      </c>
    </row>
    <row r="667" spans="1:3" ht="14.5">
      <c r="A667" s="2042">
        <v>123913</v>
      </c>
      <c r="B667" s="2113" t="str">
        <f t="shared" si="10"/>
        <v>123-913</v>
      </c>
      <c r="C667" s="76">
        <v>347.00200000000001</v>
      </c>
    </row>
    <row r="668" spans="1:3" ht="14.5">
      <c r="A668" s="2042">
        <v>123914</v>
      </c>
      <c r="B668" s="2113" t="str">
        <f t="shared" si="10"/>
        <v>123-914</v>
      </c>
      <c r="C668" s="76">
        <v>1831.7860000000001</v>
      </c>
    </row>
    <row r="669" spans="1:3" ht="14.5">
      <c r="A669" s="2042">
        <v>124901</v>
      </c>
      <c r="B669" s="2113" t="str">
        <f t="shared" si="10"/>
        <v>124-901</v>
      </c>
      <c r="C669" s="76">
        <v>1051.452</v>
      </c>
    </row>
    <row r="670" spans="1:3" ht="14.5">
      <c r="A670" s="2042">
        <v>125901</v>
      </c>
      <c r="B670" s="2113" t="str">
        <f t="shared" si="10"/>
        <v>125-901</v>
      </c>
      <c r="C670" s="76">
        <v>4205.7749999999996</v>
      </c>
    </row>
    <row r="671" spans="1:3" ht="14.5">
      <c r="A671" s="2042">
        <v>125902</v>
      </c>
      <c r="B671" s="2113" t="str">
        <f t="shared" si="10"/>
        <v>125-902</v>
      </c>
      <c r="C671" s="76">
        <v>491.46300000000002</v>
      </c>
    </row>
    <row r="672" spans="1:3" ht="14.5">
      <c r="A672" s="2042">
        <v>125903</v>
      </c>
      <c r="B672" s="2113" t="str">
        <f t="shared" si="10"/>
        <v>125-903</v>
      </c>
      <c r="C672" s="76">
        <v>1663.356</v>
      </c>
    </row>
    <row r="673" spans="1:3" ht="14.5">
      <c r="A673" s="2042">
        <v>125905</v>
      </c>
      <c r="B673" s="2113" t="str">
        <f t="shared" si="10"/>
        <v>125-905</v>
      </c>
      <c r="C673" s="76">
        <v>611.70500000000004</v>
      </c>
    </row>
    <row r="674" spans="1:3" ht="14.5">
      <c r="A674" s="2042">
        <v>125906</v>
      </c>
      <c r="B674" s="2113" t="str">
        <f t="shared" si="10"/>
        <v>125-906</v>
      </c>
      <c r="C674" s="76">
        <v>119.36199999999999</v>
      </c>
    </row>
    <row r="675" spans="1:3" ht="14.5">
      <c r="A675" s="2042">
        <v>126901</v>
      </c>
      <c r="B675" s="2113" t="str">
        <f t="shared" si="10"/>
        <v>126-901</v>
      </c>
      <c r="C675" s="76">
        <v>3429.4140000000002</v>
      </c>
    </row>
    <row r="676" spans="1:3" ht="14.5">
      <c r="A676" s="2042">
        <v>126902</v>
      </c>
      <c r="B676" s="2113" t="str">
        <f t="shared" si="10"/>
        <v>126-902</v>
      </c>
      <c r="C676" s="76">
        <v>12480.574000000001</v>
      </c>
    </row>
    <row r="677" spans="1:3" ht="14.5">
      <c r="A677" s="2042">
        <v>126903</v>
      </c>
      <c r="B677" s="2113" t="str">
        <f t="shared" si="10"/>
        <v>126-903</v>
      </c>
      <c r="C677" s="76">
        <v>6479.5770000000002</v>
      </c>
    </row>
    <row r="678" spans="1:3" ht="14.5">
      <c r="A678" s="2042">
        <v>126904</v>
      </c>
      <c r="B678" s="2113" t="str">
        <f t="shared" si="10"/>
        <v>126-904</v>
      </c>
      <c r="C678" s="76">
        <v>1355.922</v>
      </c>
    </row>
    <row r="679" spans="1:3" ht="14.5">
      <c r="A679" s="2042">
        <v>126905</v>
      </c>
      <c r="B679" s="2113" t="str">
        <f t="shared" si="10"/>
        <v>126-905</v>
      </c>
      <c r="C679" s="76">
        <v>5332.21</v>
      </c>
    </row>
    <row r="680" spans="1:3" ht="14.5">
      <c r="A680" s="2042">
        <v>126906</v>
      </c>
      <c r="B680" s="2113" t="str">
        <f t="shared" si="10"/>
        <v>126-906</v>
      </c>
      <c r="C680" s="76">
        <v>1034.7819999999999</v>
      </c>
    </row>
    <row r="681" spans="1:3" ht="14.5">
      <c r="A681" s="2042">
        <v>126907</v>
      </c>
      <c r="B681" s="2113" t="str">
        <f t="shared" si="10"/>
        <v>126-907</v>
      </c>
      <c r="C681" s="76">
        <v>712.83100000000002</v>
      </c>
    </row>
    <row r="682" spans="1:3" ht="14.5">
      <c r="A682" s="2042">
        <v>126908</v>
      </c>
      <c r="B682" s="2113" t="str">
        <f t="shared" si="10"/>
        <v>126-908</v>
      </c>
      <c r="C682" s="76">
        <v>2080.732</v>
      </c>
    </row>
    <row r="683" spans="1:3" ht="14.5">
      <c r="A683" s="2042">
        <v>126911</v>
      </c>
      <c r="B683" s="2113" t="str">
        <f t="shared" si="10"/>
        <v>126-911</v>
      </c>
      <c r="C683" s="76">
        <v>2325.0410000000002</v>
      </c>
    </row>
    <row r="684" spans="1:3" ht="14.5">
      <c r="A684" s="2042">
        <v>127901</v>
      </c>
      <c r="B684" s="2113" t="str">
        <f t="shared" si="10"/>
        <v>127-901</v>
      </c>
      <c r="C684" s="76">
        <v>653.22199999999998</v>
      </c>
    </row>
    <row r="685" spans="1:3" ht="14.5">
      <c r="A685" s="2042">
        <v>127903</v>
      </c>
      <c r="B685" s="2113" t="str">
        <f t="shared" si="10"/>
        <v>127-903</v>
      </c>
      <c r="C685" s="76">
        <v>388.36200000000002</v>
      </c>
    </row>
    <row r="686" spans="1:3" ht="14.5">
      <c r="A686" s="2042">
        <v>127904</v>
      </c>
      <c r="B686" s="2113" t="str">
        <f t="shared" si="10"/>
        <v>127-904</v>
      </c>
      <c r="C686" s="76">
        <v>806.25</v>
      </c>
    </row>
    <row r="687" spans="1:3" ht="14.5">
      <c r="A687" s="2042">
        <v>127905</v>
      </c>
      <c r="B687" s="2113" t="str">
        <f t="shared" si="10"/>
        <v>127-905</v>
      </c>
      <c r="C687" s="76">
        <v>97.081000000000003</v>
      </c>
    </row>
    <row r="688" spans="1:3" ht="14.5">
      <c r="A688" s="2042">
        <v>127906</v>
      </c>
      <c r="B688" s="2113" t="str">
        <f t="shared" si="10"/>
        <v>127-906</v>
      </c>
      <c r="C688" s="76">
        <v>577.56299999999999</v>
      </c>
    </row>
    <row r="689" spans="1:3" ht="14.5">
      <c r="A689" s="2042">
        <v>128901</v>
      </c>
      <c r="B689" s="2113" t="str">
        <f t="shared" si="10"/>
        <v>128-901</v>
      </c>
      <c r="C689" s="76">
        <v>1372.117</v>
      </c>
    </row>
    <row r="690" spans="1:3" ht="14.5">
      <c r="A690" s="2042">
        <v>128902</v>
      </c>
      <c r="B690" s="2113" t="str">
        <f t="shared" si="10"/>
        <v>128-902</v>
      </c>
      <c r="C690" s="76">
        <v>662.55600000000004</v>
      </c>
    </row>
    <row r="691" spans="1:3" ht="14.5">
      <c r="A691" s="2042">
        <v>128903</v>
      </c>
      <c r="B691" s="2113" t="str">
        <f t="shared" si="10"/>
        <v>128-903</v>
      </c>
      <c r="C691" s="76">
        <v>197.74</v>
      </c>
    </row>
    <row r="692" spans="1:3" ht="14.5">
      <c r="A692" s="2042">
        <v>128904</v>
      </c>
      <c r="B692" s="2113" t="str">
        <f t="shared" si="10"/>
        <v>128-904</v>
      </c>
      <c r="C692" s="76">
        <v>390.28699999999998</v>
      </c>
    </row>
    <row r="693" spans="1:3" ht="14.5">
      <c r="A693" s="2042">
        <v>129901</v>
      </c>
      <c r="B693" s="2113" t="str">
        <f t="shared" si="10"/>
        <v>129-901</v>
      </c>
      <c r="C693" s="76">
        <v>4595.3069999999998</v>
      </c>
    </row>
    <row r="694" spans="1:3" ht="14.5">
      <c r="A694" s="2042">
        <v>129902</v>
      </c>
      <c r="B694" s="2113" t="str">
        <f t="shared" si="10"/>
        <v>129-902</v>
      </c>
      <c r="C694" s="76">
        <v>12179.674000000001</v>
      </c>
    </row>
    <row r="695" spans="1:3" ht="14.5">
      <c r="A695" s="2042">
        <v>129903</v>
      </c>
      <c r="B695" s="2113" t="str">
        <f t="shared" si="10"/>
        <v>129-903</v>
      </c>
      <c r="C695" s="76">
        <v>3806.098</v>
      </c>
    </row>
    <row r="696" spans="1:3" ht="14.5">
      <c r="A696" s="2042">
        <v>129904</v>
      </c>
      <c r="B696" s="2113" t="str">
        <f t="shared" si="10"/>
        <v>129-904</v>
      </c>
      <c r="C696" s="76">
        <v>1477.8989999999999</v>
      </c>
    </row>
    <row r="697" spans="1:3" ht="14.5">
      <c r="A697" s="2042">
        <v>129905</v>
      </c>
      <c r="B697" s="2113" t="str">
        <f t="shared" si="10"/>
        <v>129-905</v>
      </c>
      <c r="C697" s="76">
        <v>3482.8809999999999</v>
      </c>
    </row>
    <row r="698" spans="1:3" ht="14.5">
      <c r="A698" s="2042">
        <v>129906</v>
      </c>
      <c r="B698" s="2113" t="str">
        <f t="shared" si="10"/>
        <v>129-906</v>
      </c>
      <c r="C698" s="76">
        <v>4379.8990000000003</v>
      </c>
    </row>
    <row r="699" spans="1:3" ht="14.5">
      <c r="A699" s="2042">
        <v>129910</v>
      </c>
      <c r="B699" s="2113" t="str">
        <f t="shared" si="10"/>
        <v>129-910</v>
      </c>
      <c r="C699" s="76">
        <v>1091.443</v>
      </c>
    </row>
    <row r="700" spans="1:3" ht="14.5">
      <c r="A700" s="2042">
        <v>130801</v>
      </c>
      <c r="B700" s="2113" t="str">
        <f t="shared" si="10"/>
        <v>130-801</v>
      </c>
      <c r="C700" s="76">
        <v>77.876999999999995</v>
      </c>
    </row>
    <row r="701" spans="1:3" ht="14.5">
      <c r="A701" s="2042">
        <v>130901</v>
      </c>
      <c r="B701" s="2113" t="str">
        <f t="shared" si="10"/>
        <v>130-901</v>
      </c>
      <c r="C701" s="76">
        <v>9489.1640000000007</v>
      </c>
    </row>
    <row r="702" spans="1:3" ht="14.5">
      <c r="A702" s="2042">
        <v>130902</v>
      </c>
      <c r="B702" s="2113" t="str">
        <f t="shared" si="10"/>
        <v>130-902</v>
      </c>
      <c r="C702" s="76">
        <v>1013.327</v>
      </c>
    </row>
    <row r="703" spans="1:3" ht="14.5">
      <c r="A703" s="2042">
        <v>131001</v>
      </c>
      <c r="B703" s="2113" t="str">
        <f t="shared" si="10"/>
        <v>131-001</v>
      </c>
      <c r="C703" s="76">
        <v>75.495999999999995</v>
      </c>
    </row>
    <row r="704" spans="1:3" ht="14.5">
      <c r="A704" s="2042">
        <v>132902</v>
      </c>
      <c r="B704" s="2113" t="str">
        <f t="shared" si="10"/>
        <v>132-902</v>
      </c>
      <c r="C704" s="76">
        <v>171.548</v>
      </c>
    </row>
    <row r="705" spans="1:3" ht="14.5">
      <c r="A705" s="2042">
        <v>133901</v>
      </c>
      <c r="B705" s="2113" t="str">
        <f t="shared" si="10"/>
        <v>133-901</v>
      </c>
      <c r="C705" s="76">
        <v>563.62900000000002</v>
      </c>
    </row>
    <row r="706" spans="1:3" ht="14.5">
      <c r="A706" s="2042">
        <v>133902</v>
      </c>
      <c r="B706" s="2113" t="str">
        <f t="shared" si="10"/>
        <v>133-902</v>
      </c>
      <c r="C706" s="76">
        <v>182.077</v>
      </c>
    </row>
    <row r="707" spans="1:3" ht="14.5">
      <c r="A707" s="2042">
        <v>133903</v>
      </c>
      <c r="B707" s="2113" t="str">
        <f t="shared" ref="B707:B770" si="11">CONCATENATE(LEFT(RIGHT(CONCATENATE("000",A707),6),3),"-",(RIGHT(RIGHT(CONCATENATE("000",A707),6),3)))</f>
        <v>133-903</v>
      </c>
      <c r="C707" s="76">
        <v>4422.5529999999999</v>
      </c>
    </row>
    <row r="708" spans="1:3" ht="14.5">
      <c r="A708" s="2042">
        <v>133904</v>
      </c>
      <c r="B708" s="2113" t="str">
        <f t="shared" si="11"/>
        <v>133-904</v>
      </c>
      <c r="C708" s="76">
        <v>1069.69</v>
      </c>
    </row>
    <row r="709" spans="1:3" ht="14.5">
      <c r="A709" s="2042">
        <v>133905</v>
      </c>
      <c r="B709" s="2113" t="str">
        <f t="shared" si="11"/>
        <v>133-905</v>
      </c>
      <c r="C709" s="76">
        <v>19.634</v>
      </c>
    </row>
    <row r="710" spans="1:3" ht="14.5">
      <c r="A710" s="2042">
        <v>134901</v>
      </c>
      <c r="B710" s="2113" t="str">
        <f t="shared" si="11"/>
        <v>134-901</v>
      </c>
      <c r="C710" s="76">
        <v>530.59500000000003</v>
      </c>
    </row>
    <row r="711" spans="1:3" ht="14.5">
      <c r="A711" s="2042">
        <v>135001</v>
      </c>
      <c r="B711" s="2113" t="str">
        <f t="shared" si="11"/>
        <v>135-001</v>
      </c>
      <c r="C711" s="76">
        <v>112.319</v>
      </c>
    </row>
    <row r="712" spans="1:3" ht="14.5">
      <c r="A712" s="2042">
        <v>136901</v>
      </c>
      <c r="B712" s="2113" t="str">
        <f t="shared" si="11"/>
        <v>136-901</v>
      </c>
      <c r="C712" s="76">
        <v>521.71299999999997</v>
      </c>
    </row>
    <row r="713" spans="1:3" ht="14.5">
      <c r="A713" s="2042">
        <v>137901</v>
      </c>
      <c r="B713" s="2113" t="str">
        <f t="shared" si="11"/>
        <v>137-901</v>
      </c>
      <c r="C713" s="76">
        <v>2599.9369999999999</v>
      </c>
    </row>
    <row r="714" spans="1:3" ht="14.5">
      <c r="A714" s="2042">
        <v>137902</v>
      </c>
      <c r="B714" s="2113" t="str">
        <f t="shared" si="11"/>
        <v>137-902</v>
      </c>
      <c r="C714" s="76">
        <v>605.85500000000002</v>
      </c>
    </row>
    <row r="715" spans="1:3" ht="14.5">
      <c r="A715" s="2042">
        <v>137903</v>
      </c>
      <c r="B715" s="2113" t="str">
        <f t="shared" si="11"/>
        <v>137-903</v>
      </c>
      <c r="C715" s="76">
        <v>388.14800000000002</v>
      </c>
    </row>
    <row r="716" spans="1:3" ht="14.5">
      <c r="A716" s="2042">
        <v>137904</v>
      </c>
      <c r="B716" s="2113" t="str">
        <f t="shared" si="11"/>
        <v>137-904</v>
      </c>
      <c r="C716" s="76">
        <v>807.61599999999999</v>
      </c>
    </row>
    <row r="717" spans="1:3" ht="14.5">
      <c r="A717" s="2042">
        <v>138902</v>
      </c>
      <c r="B717" s="2113" t="str">
        <f t="shared" si="11"/>
        <v>138-902</v>
      </c>
      <c r="C717" s="76">
        <v>223.51900000000001</v>
      </c>
    </row>
    <row r="718" spans="1:3" ht="14.5">
      <c r="A718" s="2042">
        <v>138903</v>
      </c>
      <c r="B718" s="2113" t="str">
        <f t="shared" si="11"/>
        <v>138-903</v>
      </c>
      <c r="C718" s="76">
        <v>338.19499999999999</v>
      </c>
    </row>
    <row r="719" spans="1:3" ht="14.5">
      <c r="A719" s="2042">
        <v>138904</v>
      </c>
      <c r="B719" s="2113" t="str">
        <f t="shared" si="11"/>
        <v>138-904</v>
      </c>
      <c r="C719" s="76">
        <v>120.761</v>
      </c>
    </row>
    <row r="720" spans="1:3" ht="14.5">
      <c r="A720" s="2042">
        <v>139905</v>
      </c>
      <c r="B720" s="2113" t="str">
        <f t="shared" si="11"/>
        <v>139-905</v>
      </c>
      <c r="C720" s="76">
        <v>992.64800000000002</v>
      </c>
    </row>
    <row r="721" spans="1:3" ht="14.5">
      <c r="A721" s="2042">
        <v>139909</v>
      </c>
      <c r="B721" s="2113" t="str">
        <f t="shared" si="11"/>
        <v>139-909</v>
      </c>
      <c r="C721" s="76">
        <v>3658.7170000000001</v>
      </c>
    </row>
    <row r="722" spans="1:3" ht="14.5">
      <c r="A722" s="2042">
        <v>139911</v>
      </c>
      <c r="B722" s="2113" t="str">
        <f t="shared" si="11"/>
        <v>139-911</v>
      </c>
      <c r="C722" s="76">
        <v>2262.7190000000001</v>
      </c>
    </row>
    <row r="723" spans="1:3" ht="14.5">
      <c r="A723" s="2042">
        <v>139912</v>
      </c>
      <c r="B723" s="2113" t="str">
        <f t="shared" si="11"/>
        <v>139-912</v>
      </c>
      <c r="C723" s="76">
        <v>1050.6110000000001</v>
      </c>
    </row>
    <row r="724" spans="1:3" ht="14.5">
      <c r="A724" s="2042">
        <v>140901</v>
      </c>
      <c r="B724" s="2113" t="str">
        <f t="shared" si="11"/>
        <v>140-901</v>
      </c>
      <c r="C724" s="76">
        <v>121.958</v>
      </c>
    </row>
    <row r="725" spans="1:3" ht="14.5">
      <c r="A725" s="2042">
        <v>140904</v>
      </c>
      <c r="B725" s="2113" t="str">
        <f t="shared" si="11"/>
        <v>140-904</v>
      </c>
      <c r="C725" s="76">
        <v>1150.144</v>
      </c>
    </row>
    <row r="726" spans="1:3" ht="14.5">
      <c r="A726" s="2042">
        <v>140905</v>
      </c>
      <c r="B726" s="2113" t="str">
        <f t="shared" si="11"/>
        <v>140-905</v>
      </c>
      <c r="C726" s="76">
        <v>542.69399999999996</v>
      </c>
    </row>
    <row r="727" spans="1:3" ht="14.5">
      <c r="A727" s="2042">
        <v>140907</v>
      </c>
      <c r="B727" s="2113" t="str">
        <f t="shared" si="11"/>
        <v>140-907</v>
      </c>
      <c r="C727" s="76">
        <v>289.44200000000001</v>
      </c>
    </row>
    <row r="728" spans="1:3" ht="14.5">
      <c r="A728" s="2042">
        <v>140908</v>
      </c>
      <c r="B728" s="2113" t="str">
        <f t="shared" si="11"/>
        <v>140-908</v>
      </c>
      <c r="C728" s="76">
        <v>488.27499999999998</v>
      </c>
    </row>
    <row r="729" spans="1:3" ht="14.5">
      <c r="A729" s="2042">
        <v>141901</v>
      </c>
      <c r="B729" s="2113" t="str">
        <f t="shared" si="11"/>
        <v>141-901</v>
      </c>
      <c r="C729" s="76">
        <v>3239.7510000000002</v>
      </c>
    </row>
    <row r="730" spans="1:3" ht="14.5">
      <c r="A730" s="2042">
        <v>141902</v>
      </c>
      <c r="B730" s="2113" t="str">
        <f t="shared" si="11"/>
        <v>141-902</v>
      </c>
      <c r="C730" s="76">
        <v>372.95100000000002</v>
      </c>
    </row>
    <row r="731" spans="1:3" ht="14.5">
      <c r="A731" s="2042">
        <v>142901</v>
      </c>
      <c r="B731" s="2113" t="str">
        <f t="shared" si="11"/>
        <v>142-901</v>
      </c>
      <c r="C731" s="76">
        <v>1161.7270000000001</v>
      </c>
    </row>
    <row r="732" spans="1:3" ht="14.5">
      <c r="A732" s="2042">
        <v>143901</v>
      </c>
      <c r="B732" s="2113" t="str">
        <f t="shared" si="11"/>
        <v>143-901</v>
      </c>
      <c r="C732" s="76">
        <v>1057.5740000000001</v>
      </c>
    </row>
    <row r="733" spans="1:3" ht="14.5">
      <c r="A733" s="2042">
        <v>143902</v>
      </c>
      <c r="B733" s="2113" t="str">
        <f t="shared" si="11"/>
        <v>143-902</v>
      </c>
      <c r="C733" s="76">
        <v>261.06900000000002</v>
      </c>
    </row>
    <row r="734" spans="1:3" ht="14.5">
      <c r="A734" s="2042">
        <v>143903</v>
      </c>
      <c r="B734" s="2113" t="str">
        <f t="shared" si="11"/>
        <v>143-903</v>
      </c>
      <c r="C734" s="76">
        <v>668.08900000000006</v>
      </c>
    </row>
    <row r="735" spans="1:3" ht="14.5">
      <c r="A735" s="2042">
        <v>143904</v>
      </c>
      <c r="B735" s="2113" t="str">
        <f t="shared" si="11"/>
        <v>143-904</v>
      </c>
      <c r="C735" s="76">
        <v>104.979</v>
      </c>
    </row>
    <row r="736" spans="1:3" ht="14.5">
      <c r="A736" s="2042">
        <v>143905</v>
      </c>
      <c r="B736" s="2113" t="str">
        <f t="shared" si="11"/>
        <v>143-905</v>
      </c>
      <c r="C736" s="76">
        <v>127.621</v>
      </c>
    </row>
    <row r="737" spans="1:3" ht="14.5">
      <c r="A737" s="2042">
        <v>143906</v>
      </c>
      <c r="B737" s="2113" t="str">
        <f t="shared" si="11"/>
        <v>143-906</v>
      </c>
      <c r="C737" s="76">
        <v>75.418000000000006</v>
      </c>
    </row>
    <row r="738" spans="1:3" ht="14.5">
      <c r="A738" s="2042">
        <v>144901</v>
      </c>
      <c r="B738" s="2113" t="str">
        <f t="shared" si="11"/>
        <v>144-901</v>
      </c>
      <c r="C738" s="76">
        <v>1788.0160000000001</v>
      </c>
    </row>
    <row r="739" spans="1:3" ht="14.5">
      <c r="A739" s="2042">
        <v>144902</v>
      </c>
      <c r="B739" s="2113" t="str">
        <f t="shared" si="11"/>
        <v>144-902</v>
      </c>
      <c r="C739" s="76">
        <v>1012.319</v>
      </c>
    </row>
    <row r="740" spans="1:3" ht="14.5">
      <c r="A740" s="2042">
        <v>144903</v>
      </c>
      <c r="B740" s="2113" t="str">
        <f t="shared" si="11"/>
        <v>144-903</v>
      </c>
      <c r="C740" s="76">
        <v>148.54400000000001</v>
      </c>
    </row>
    <row r="741" spans="1:3" ht="14.5">
      <c r="A741" s="2042">
        <v>145901</v>
      </c>
      <c r="B741" s="2113" t="str">
        <f t="shared" si="11"/>
        <v>145-901</v>
      </c>
      <c r="C741" s="76">
        <v>874.71199999999999</v>
      </c>
    </row>
    <row r="742" spans="1:3" ht="14.5">
      <c r="A742" s="2042">
        <v>145902</v>
      </c>
      <c r="B742" s="2113" t="str">
        <f t="shared" si="11"/>
        <v>145-902</v>
      </c>
      <c r="C742" s="76">
        <v>627.851</v>
      </c>
    </row>
    <row r="743" spans="1:3" ht="14.5">
      <c r="A743" s="2042">
        <v>145906</v>
      </c>
      <c r="B743" s="2113" t="str">
        <f t="shared" si="11"/>
        <v>145-906</v>
      </c>
      <c r="C743" s="76">
        <v>545.70899999999995</v>
      </c>
    </row>
    <row r="744" spans="1:3" ht="14.5">
      <c r="A744" s="2042">
        <v>145907</v>
      </c>
      <c r="B744" s="2113" t="str">
        <f t="shared" si="11"/>
        <v>145-907</v>
      </c>
      <c r="C744" s="76">
        <v>175.863</v>
      </c>
    </row>
    <row r="745" spans="1:3" ht="14.5">
      <c r="A745" s="2042">
        <v>145911</v>
      </c>
      <c r="B745" s="2113" t="str">
        <f t="shared" si="11"/>
        <v>145-911</v>
      </c>
      <c r="C745" s="76">
        <v>676.56399999999996</v>
      </c>
    </row>
    <row r="746" spans="1:3" ht="14.5">
      <c r="A746" s="2042">
        <v>146901</v>
      </c>
      <c r="B746" s="2113" t="str">
        <f t="shared" si="11"/>
        <v>146-901</v>
      </c>
      <c r="C746" s="76">
        <v>8191.3860000000004</v>
      </c>
    </row>
    <row r="747" spans="1:3" ht="14.5">
      <c r="A747" s="2042">
        <v>146902</v>
      </c>
      <c r="B747" s="2113" t="str">
        <f t="shared" si="11"/>
        <v>146-902</v>
      </c>
      <c r="C747" s="76">
        <v>5166.5569999999998</v>
      </c>
    </row>
    <row r="748" spans="1:3" ht="14.5">
      <c r="A748" s="2042">
        <v>146903</v>
      </c>
      <c r="B748" s="2113" t="str">
        <f t="shared" si="11"/>
        <v>146-903</v>
      </c>
      <c r="C748" s="76">
        <v>193.49299999999999</v>
      </c>
    </row>
    <row r="749" spans="1:3" ht="14.5">
      <c r="A749" s="2042">
        <v>146904</v>
      </c>
      <c r="B749" s="2113" t="str">
        <f t="shared" si="11"/>
        <v>146-904</v>
      </c>
      <c r="C749" s="76">
        <v>1266.376</v>
      </c>
    </row>
    <row r="750" spans="1:3" ht="14.5">
      <c r="A750" s="2042">
        <v>146905</v>
      </c>
      <c r="B750" s="2113" t="str">
        <f t="shared" si="11"/>
        <v>146-905</v>
      </c>
      <c r="C750" s="76">
        <v>522.202</v>
      </c>
    </row>
    <row r="751" spans="1:3" ht="14.5">
      <c r="A751" s="2042">
        <v>146906</v>
      </c>
      <c r="B751" s="2113" t="str">
        <f t="shared" si="11"/>
        <v>146-906</v>
      </c>
      <c r="C751" s="76">
        <v>2122.806</v>
      </c>
    </row>
    <row r="752" spans="1:3" ht="14.5">
      <c r="A752" s="2042">
        <v>146907</v>
      </c>
      <c r="B752" s="2113" t="str">
        <f t="shared" si="11"/>
        <v>146-907</v>
      </c>
      <c r="C752" s="76">
        <v>1783.0419999999999</v>
      </c>
    </row>
    <row r="753" spans="1:3" ht="14.5">
      <c r="A753" s="2042">
        <v>147901</v>
      </c>
      <c r="B753" s="2113" t="str">
        <f t="shared" si="11"/>
        <v>147-901</v>
      </c>
      <c r="C753" s="76">
        <v>284.99700000000001</v>
      </c>
    </row>
    <row r="754" spans="1:3" ht="14.5">
      <c r="A754" s="2042">
        <v>147902</v>
      </c>
      <c r="B754" s="2113" t="str">
        <f t="shared" si="11"/>
        <v>147-902</v>
      </c>
      <c r="C754" s="76">
        <v>1416.646</v>
      </c>
    </row>
    <row r="755" spans="1:3" ht="14.5">
      <c r="A755" s="2042">
        <v>147903</v>
      </c>
      <c r="B755" s="2113" t="str">
        <f t="shared" si="11"/>
        <v>147-903</v>
      </c>
      <c r="C755" s="76">
        <v>1760.645</v>
      </c>
    </row>
    <row r="756" spans="1:3" ht="14.5">
      <c r="A756" s="2042">
        <v>148901</v>
      </c>
      <c r="B756" s="2113" t="str">
        <f t="shared" si="11"/>
        <v>148-901</v>
      </c>
      <c r="C756" s="76">
        <v>335.54899999999998</v>
      </c>
    </row>
    <row r="757" spans="1:3" ht="14.5">
      <c r="A757" s="2042">
        <v>148902</v>
      </c>
      <c r="B757" s="2113" t="str">
        <f t="shared" si="11"/>
        <v>148-902</v>
      </c>
      <c r="C757" s="76">
        <v>156.24799999999999</v>
      </c>
    </row>
    <row r="758" spans="1:3" ht="14.5">
      <c r="A758" s="2042">
        <v>148905</v>
      </c>
      <c r="B758" s="2113" t="str">
        <f t="shared" si="11"/>
        <v>148-905</v>
      </c>
      <c r="C758" s="76">
        <v>124.107</v>
      </c>
    </row>
    <row r="759" spans="1:3" ht="14.5">
      <c r="A759" s="2042">
        <v>149901</v>
      </c>
      <c r="B759" s="2113" t="str">
        <f t="shared" si="11"/>
        <v>149-901</v>
      </c>
      <c r="C759" s="76">
        <v>1090.0540000000001</v>
      </c>
    </row>
    <row r="760" spans="1:3" ht="14.5">
      <c r="A760" s="2042">
        <v>149902</v>
      </c>
      <c r="B760" s="2113" t="str">
        <f t="shared" si="11"/>
        <v>149-902</v>
      </c>
      <c r="C760" s="76">
        <v>629.14800000000002</v>
      </c>
    </row>
    <row r="761" spans="1:3" ht="14.5">
      <c r="A761" s="2042">
        <v>150901</v>
      </c>
      <c r="B761" s="2113" t="str">
        <f t="shared" si="11"/>
        <v>150-901</v>
      </c>
      <c r="C761" s="76">
        <v>1622.94</v>
      </c>
    </row>
    <row r="762" spans="1:3" ht="14.5">
      <c r="A762" s="2042">
        <v>152802</v>
      </c>
      <c r="B762" s="2113" t="str">
        <f t="shared" si="11"/>
        <v>152-802</v>
      </c>
      <c r="C762" s="76">
        <v>246.96299999999999</v>
      </c>
    </row>
    <row r="763" spans="1:3" ht="14.5">
      <c r="A763" s="2042">
        <v>152803</v>
      </c>
      <c r="B763" s="2113" t="str">
        <f t="shared" si="11"/>
        <v>152-803</v>
      </c>
      <c r="C763" s="76">
        <v>170.232</v>
      </c>
    </row>
    <row r="764" spans="1:3" ht="14.5">
      <c r="A764" s="2042">
        <v>152806</v>
      </c>
      <c r="B764" s="2113" t="str">
        <f t="shared" si="11"/>
        <v>152-806</v>
      </c>
      <c r="C764" s="76">
        <v>134.57599999999999</v>
      </c>
    </row>
    <row r="765" spans="1:3" ht="14.5">
      <c r="A765" s="2042">
        <v>152901</v>
      </c>
      <c r="B765" s="2113" t="str">
        <f t="shared" si="11"/>
        <v>152-901</v>
      </c>
      <c r="C765" s="76">
        <v>24570.510999999999</v>
      </c>
    </row>
    <row r="766" spans="1:3" ht="14.5">
      <c r="A766" s="2042">
        <v>152902</v>
      </c>
      <c r="B766" s="2113" t="str">
        <f t="shared" si="11"/>
        <v>152-902</v>
      </c>
      <c r="C766" s="76">
        <v>709.11800000000005</v>
      </c>
    </row>
    <row r="767" spans="1:3" ht="14.5">
      <c r="A767" s="2042">
        <v>152903</v>
      </c>
      <c r="B767" s="2113" t="str">
        <f t="shared" si="11"/>
        <v>152-903</v>
      </c>
      <c r="C767" s="76">
        <v>1209.1690000000001</v>
      </c>
    </row>
    <row r="768" spans="1:3" ht="14.5">
      <c r="A768" s="2042">
        <v>152906</v>
      </c>
      <c r="B768" s="2113" t="str">
        <f t="shared" si="11"/>
        <v>152-906</v>
      </c>
      <c r="C768" s="76">
        <v>6881.5389999999998</v>
      </c>
    </row>
    <row r="769" spans="1:3" ht="14.5">
      <c r="A769" s="2042">
        <v>152907</v>
      </c>
      <c r="B769" s="2113" t="str">
        <f t="shared" si="11"/>
        <v>152-907</v>
      </c>
      <c r="C769" s="76">
        <v>9906.1280000000006</v>
      </c>
    </row>
    <row r="770" spans="1:3" ht="14.5">
      <c r="A770" s="2042">
        <v>152908</v>
      </c>
      <c r="B770" s="2113" t="str">
        <f t="shared" si="11"/>
        <v>152-908</v>
      </c>
      <c r="C770" s="76">
        <v>963.65599999999995</v>
      </c>
    </row>
    <row r="771" spans="1:3" ht="14.5">
      <c r="A771" s="2042">
        <v>152909</v>
      </c>
      <c r="B771" s="2113" t="str">
        <f t="shared" ref="B771:B834" si="12">CONCATENATE(LEFT(RIGHT(CONCATENATE("000",A771),6),3),"-",(RIGHT(RIGHT(CONCATENATE("000",A771),6),3)))</f>
        <v>152-909</v>
      </c>
      <c r="C771" s="76">
        <v>1564.8689999999999</v>
      </c>
    </row>
    <row r="772" spans="1:3" ht="14.5">
      <c r="A772" s="2042">
        <v>152910</v>
      </c>
      <c r="B772" s="2113" t="str">
        <f t="shared" si="12"/>
        <v>152-910</v>
      </c>
      <c r="C772" s="76">
        <v>904.495</v>
      </c>
    </row>
    <row r="773" spans="1:3" ht="14.5">
      <c r="A773" s="2042">
        <v>153903</v>
      </c>
      <c r="B773" s="2113" t="str">
        <f t="shared" si="12"/>
        <v>153-903</v>
      </c>
      <c r="C773" s="76">
        <v>274.34500000000003</v>
      </c>
    </row>
    <row r="774" spans="1:3" ht="14.5">
      <c r="A774" s="2042">
        <v>153904</v>
      </c>
      <c r="B774" s="2113" t="str">
        <f t="shared" si="12"/>
        <v>153-904</v>
      </c>
      <c r="C774" s="76">
        <v>531.31399999999996</v>
      </c>
    </row>
    <row r="775" spans="1:3" ht="14.5">
      <c r="A775" s="2042">
        <v>153905</v>
      </c>
      <c r="B775" s="2113" t="str">
        <f t="shared" si="12"/>
        <v>153-905</v>
      </c>
      <c r="C775" s="76">
        <v>525.88699999999994</v>
      </c>
    </row>
    <row r="776" spans="1:3" ht="14.5">
      <c r="A776" s="2042">
        <v>153907</v>
      </c>
      <c r="B776" s="2113" t="str">
        <f t="shared" si="12"/>
        <v>153-907</v>
      </c>
      <c r="C776" s="76">
        <v>162.62799999999999</v>
      </c>
    </row>
    <row r="777" spans="1:3" ht="14.5">
      <c r="A777" s="2042">
        <v>154901</v>
      </c>
      <c r="B777" s="2113" t="str">
        <f t="shared" si="12"/>
        <v>154-901</v>
      </c>
      <c r="C777" s="76">
        <v>2241.4789999999998</v>
      </c>
    </row>
    <row r="778" spans="1:3" ht="14.5">
      <c r="A778" s="2042">
        <v>154903</v>
      </c>
      <c r="B778" s="2113" t="str">
        <f t="shared" si="12"/>
        <v>154-903</v>
      </c>
      <c r="C778" s="76">
        <v>280.13799999999998</v>
      </c>
    </row>
    <row r="779" spans="1:3" ht="14.5">
      <c r="A779" s="2042">
        <v>155901</v>
      </c>
      <c r="B779" s="2113" t="str">
        <f t="shared" si="12"/>
        <v>155-901</v>
      </c>
      <c r="C779" s="76">
        <v>1083.6890000000001</v>
      </c>
    </row>
    <row r="780" spans="1:3" ht="14.5">
      <c r="A780" s="2042">
        <v>156902</v>
      </c>
      <c r="B780" s="2113" t="str">
        <f t="shared" si="12"/>
        <v>156-902</v>
      </c>
      <c r="C780" s="76">
        <v>1075.021</v>
      </c>
    </row>
    <row r="781" spans="1:3" ht="14.5">
      <c r="A781" s="2042">
        <v>156905</v>
      </c>
      <c r="B781" s="2113" t="str">
        <f t="shared" si="12"/>
        <v>156-905</v>
      </c>
      <c r="C781" s="76">
        <v>233.221</v>
      </c>
    </row>
    <row r="782" spans="1:3" ht="14.5">
      <c r="A782" s="2042">
        <v>157901</v>
      </c>
      <c r="B782" s="2113" t="str">
        <f t="shared" si="12"/>
        <v>157-901</v>
      </c>
      <c r="C782" s="76">
        <v>725.10500000000002</v>
      </c>
    </row>
    <row r="783" spans="1:3" ht="14.5">
      <c r="A783" s="2042">
        <v>158901</v>
      </c>
      <c r="B783" s="2113" t="str">
        <f t="shared" si="12"/>
        <v>158-901</v>
      </c>
      <c r="C783" s="76">
        <v>3377.0970000000002</v>
      </c>
    </row>
    <row r="784" spans="1:3" ht="14.5">
      <c r="A784" s="2042">
        <v>158902</v>
      </c>
      <c r="B784" s="2113" t="str">
        <f t="shared" si="12"/>
        <v>158-902</v>
      </c>
      <c r="C784" s="76">
        <v>930.524</v>
      </c>
    </row>
    <row r="785" spans="1:3" ht="14.5">
      <c r="A785" s="2042">
        <v>158904</v>
      </c>
      <c r="B785" s="2113" t="str">
        <f t="shared" si="12"/>
        <v>158-904</v>
      </c>
      <c r="C785" s="76">
        <v>87.436000000000007</v>
      </c>
    </row>
    <row r="786" spans="1:3" ht="14.5">
      <c r="A786" s="2042">
        <v>158905</v>
      </c>
      <c r="B786" s="2113" t="str">
        <f t="shared" si="12"/>
        <v>158-905</v>
      </c>
      <c r="C786" s="76">
        <v>1276.4349999999999</v>
      </c>
    </row>
    <row r="787" spans="1:3" ht="14.5">
      <c r="A787" s="2042">
        <v>158906</v>
      </c>
      <c r="B787" s="2113" t="str">
        <f t="shared" si="12"/>
        <v>158-906</v>
      </c>
      <c r="C787" s="76">
        <v>1006.074</v>
      </c>
    </row>
    <row r="788" spans="1:3" ht="14.5">
      <c r="A788" s="2042">
        <v>159901</v>
      </c>
      <c r="B788" s="2113" t="str">
        <f t="shared" si="12"/>
        <v>159-901</v>
      </c>
      <c r="C788" s="76">
        <v>13239.457</v>
      </c>
    </row>
    <row r="789" spans="1:3" ht="14.5">
      <c r="A789" s="2042">
        <v>160901</v>
      </c>
      <c r="B789" s="2113" t="str">
        <f t="shared" si="12"/>
        <v>160-901</v>
      </c>
      <c r="C789" s="76">
        <v>925.22699999999998</v>
      </c>
    </row>
    <row r="790" spans="1:3" ht="14.5">
      <c r="A790" s="2042">
        <v>160904</v>
      </c>
      <c r="B790" s="2113" t="str">
        <f t="shared" si="12"/>
        <v>160-904</v>
      </c>
      <c r="C790" s="76">
        <v>207.27799999999999</v>
      </c>
    </row>
    <row r="791" spans="1:3" ht="14.5">
      <c r="A791" s="2042">
        <v>160905</v>
      </c>
      <c r="B791" s="2113" t="str">
        <f t="shared" si="12"/>
        <v>160-905</v>
      </c>
      <c r="C791" s="76">
        <v>93.7</v>
      </c>
    </row>
    <row r="792" spans="1:3" ht="14.5">
      <c r="A792" s="2042">
        <v>161801</v>
      </c>
      <c r="B792" s="2113" t="str">
        <f t="shared" si="12"/>
        <v>161-801</v>
      </c>
      <c r="C792" s="76">
        <v>221.435</v>
      </c>
    </row>
    <row r="793" spans="1:3" ht="14.5">
      <c r="A793" s="2042">
        <v>161802</v>
      </c>
      <c r="B793" s="2113" t="str">
        <f t="shared" si="12"/>
        <v>161-802</v>
      </c>
      <c r="C793" s="76">
        <v>756.71699999999998</v>
      </c>
    </row>
    <row r="794" spans="1:3" ht="14.5">
      <c r="A794" s="2042">
        <v>161807</v>
      </c>
      <c r="B794" s="2113" t="str">
        <f t="shared" si="12"/>
        <v>161-807</v>
      </c>
      <c r="C794" s="76">
        <v>9538.2240000000002</v>
      </c>
    </row>
    <row r="795" spans="1:3" ht="14.5">
      <c r="A795" s="2042">
        <v>161901</v>
      </c>
      <c r="B795" s="2113" t="str">
        <f t="shared" si="12"/>
        <v>161-901</v>
      </c>
      <c r="C795" s="76">
        <v>575.90300000000002</v>
      </c>
    </row>
    <row r="796" spans="1:3" ht="14.5">
      <c r="A796" s="2042">
        <v>161903</v>
      </c>
      <c r="B796" s="2113" t="str">
        <f t="shared" si="12"/>
        <v>161-903</v>
      </c>
      <c r="C796" s="76">
        <v>8020.009</v>
      </c>
    </row>
    <row r="797" spans="1:3" ht="14.5">
      <c r="A797" s="2042">
        <v>161906</v>
      </c>
      <c r="B797" s="2113" t="str">
        <f t="shared" si="12"/>
        <v>161-906</v>
      </c>
      <c r="C797" s="76">
        <v>2872.127</v>
      </c>
    </row>
    <row r="798" spans="1:3" ht="14.5">
      <c r="A798" s="2042">
        <v>161907</v>
      </c>
      <c r="B798" s="2113" t="str">
        <f t="shared" si="12"/>
        <v>161-907</v>
      </c>
      <c r="C798" s="76">
        <v>1661.18</v>
      </c>
    </row>
    <row r="799" spans="1:3" ht="14.5">
      <c r="A799" s="2042">
        <v>161908</v>
      </c>
      <c r="B799" s="2113" t="str">
        <f t="shared" si="12"/>
        <v>161-908</v>
      </c>
      <c r="C799" s="76">
        <v>481.19400000000002</v>
      </c>
    </row>
    <row r="800" spans="1:3" ht="14.5">
      <c r="A800" s="2042">
        <v>161909</v>
      </c>
      <c r="B800" s="2113" t="str">
        <f t="shared" si="12"/>
        <v>161-909</v>
      </c>
      <c r="C800" s="76">
        <v>1387.3430000000001</v>
      </c>
    </row>
    <row r="801" spans="1:3" ht="14.5">
      <c r="A801" s="2042">
        <v>161910</v>
      </c>
      <c r="B801" s="2113" t="str">
        <f t="shared" si="12"/>
        <v>161-910</v>
      </c>
      <c r="C801" s="76">
        <v>642.86699999999996</v>
      </c>
    </row>
    <row r="802" spans="1:3" ht="14.5">
      <c r="A802" s="2042">
        <v>161912</v>
      </c>
      <c r="B802" s="2113" t="str">
        <f t="shared" si="12"/>
        <v>161-912</v>
      </c>
      <c r="C802" s="76">
        <v>597.21600000000001</v>
      </c>
    </row>
    <row r="803" spans="1:3" ht="14.5">
      <c r="A803" s="2042">
        <v>161914</v>
      </c>
      <c r="B803" s="2113" t="str">
        <f t="shared" si="12"/>
        <v>161-914</v>
      </c>
      <c r="C803" s="76">
        <v>13537.681</v>
      </c>
    </row>
    <row r="804" spans="1:3" ht="14.5">
      <c r="A804" s="2042">
        <v>161916</v>
      </c>
      <c r="B804" s="2113" t="str">
        <f t="shared" si="12"/>
        <v>161-916</v>
      </c>
      <c r="C804" s="76">
        <v>1145.923</v>
      </c>
    </row>
    <row r="805" spans="1:3" ht="14.5">
      <c r="A805" s="2042">
        <v>161918</v>
      </c>
      <c r="B805" s="2113" t="str">
        <f t="shared" si="12"/>
        <v>161-918</v>
      </c>
      <c r="C805" s="76">
        <v>714.00099999999998</v>
      </c>
    </row>
    <row r="806" spans="1:3" ht="14.5">
      <c r="A806" s="2042">
        <v>161919</v>
      </c>
      <c r="B806" s="2113" t="str">
        <f t="shared" si="12"/>
        <v>161-919</v>
      </c>
      <c r="C806" s="76">
        <v>593.01300000000003</v>
      </c>
    </row>
    <row r="807" spans="1:3" ht="14.5">
      <c r="A807" s="2042">
        <v>161920</v>
      </c>
      <c r="B807" s="2113" t="str">
        <f t="shared" si="12"/>
        <v>161-920</v>
      </c>
      <c r="C807" s="76">
        <v>2877.7240000000002</v>
      </c>
    </row>
    <row r="808" spans="1:3" ht="14.5">
      <c r="A808" s="2042">
        <v>161921</v>
      </c>
      <c r="B808" s="2113" t="str">
        <f t="shared" si="12"/>
        <v>161-921</v>
      </c>
      <c r="C808" s="76">
        <v>2280.0929999999998</v>
      </c>
    </row>
    <row r="809" spans="1:3" ht="14.5">
      <c r="A809" s="2042">
        <v>161922</v>
      </c>
      <c r="B809" s="2113" t="str">
        <f t="shared" si="12"/>
        <v>161-922</v>
      </c>
      <c r="C809" s="76">
        <v>2350.192</v>
      </c>
    </row>
    <row r="810" spans="1:3" ht="14.5">
      <c r="A810" s="2042">
        <v>161923</v>
      </c>
      <c r="B810" s="2113" t="str">
        <f t="shared" si="12"/>
        <v>161-923</v>
      </c>
      <c r="C810" s="76">
        <v>691.99800000000005</v>
      </c>
    </row>
    <row r="811" spans="1:3" ht="14.5">
      <c r="A811" s="2042">
        <v>161924</v>
      </c>
      <c r="B811" s="2113" t="str">
        <f t="shared" si="12"/>
        <v>161-924</v>
      </c>
      <c r="C811" s="76">
        <v>147.16300000000001</v>
      </c>
    </row>
    <row r="812" spans="1:3" ht="14.5">
      <c r="A812" s="2042">
        <v>161925</v>
      </c>
      <c r="B812" s="2113" t="str">
        <f t="shared" si="12"/>
        <v>161-925</v>
      </c>
      <c r="C812" s="76">
        <v>232.31800000000001</v>
      </c>
    </row>
    <row r="813" spans="1:3" ht="14.5">
      <c r="A813" s="2042">
        <v>162904</v>
      </c>
      <c r="B813" s="2113" t="str">
        <f t="shared" si="12"/>
        <v>162-904</v>
      </c>
      <c r="C813" s="76">
        <v>273.57900000000001</v>
      </c>
    </row>
    <row r="814" spans="1:3" ht="14.5">
      <c r="A814" s="2042">
        <v>163901</v>
      </c>
      <c r="B814" s="2113" t="str">
        <f t="shared" si="12"/>
        <v>163-901</v>
      </c>
      <c r="C814" s="76">
        <v>1822.2180000000001</v>
      </c>
    </row>
    <row r="815" spans="1:3" ht="14.5">
      <c r="A815" s="2042">
        <v>163902</v>
      </c>
      <c r="B815" s="2113" t="str">
        <f t="shared" si="12"/>
        <v>163-902</v>
      </c>
      <c r="C815" s="76">
        <v>315.69900000000001</v>
      </c>
    </row>
    <row r="816" spans="1:3" ht="14.5">
      <c r="A816" s="2042">
        <v>163903</v>
      </c>
      <c r="B816" s="2113" t="str">
        <f t="shared" si="12"/>
        <v>163-903</v>
      </c>
      <c r="C816" s="76">
        <v>948.37400000000002</v>
      </c>
    </row>
    <row r="817" spans="1:3" ht="14.5">
      <c r="A817" s="2042">
        <v>163904</v>
      </c>
      <c r="B817" s="2113" t="str">
        <f t="shared" si="12"/>
        <v>163-904</v>
      </c>
      <c r="C817" s="76">
        <v>1722.298</v>
      </c>
    </row>
    <row r="818" spans="1:3" ht="14.5">
      <c r="A818" s="2042">
        <v>163908</v>
      </c>
      <c r="B818" s="2113" t="str">
        <f t="shared" si="12"/>
        <v>163-908</v>
      </c>
      <c r="C818" s="76">
        <v>5930.942</v>
      </c>
    </row>
    <row r="819" spans="1:3" ht="14.5">
      <c r="A819" s="2042">
        <v>164901</v>
      </c>
      <c r="B819" s="2113" t="str">
        <f t="shared" si="12"/>
        <v>164-901</v>
      </c>
      <c r="C819" s="76">
        <v>275.46100000000001</v>
      </c>
    </row>
    <row r="820" spans="1:3" ht="14.5">
      <c r="A820" s="2042">
        <v>165802</v>
      </c>
      <c r="B820" s="2113" t="str">
        <f t="shared" si="12"/>
        <v>165-802</v>
      </c>
      <c r="C820" s="76">
        <v>353.59699999999998</v>
      </c>
    </row>
    <row r="821" spans="1:3" ht="14.5">
      <c r="A821" s="2042">
        <v>165901</v>
      </c>
      <c r="B821" s="2113" t="str">
        <f t="shared" si="12"/>
        <v>165-901</v>
      </c>
      <c r="C821" s="76">
        <v>24471.870999999999</v>
      </c>
    </row>
    <row r="822" spans="1:3" ht="14.5">
      <c r="A822" s="2042">
        <v>165902</v>
      </c>
      <c r="B822" s="2113" t="str">
        <f t="shared" si="12"/>
        <v>165-902</v>
      </c>
      <c r="C822" s="76">
        <v>2860.9589999999998</v>
      </c>
    </row>
    <row r="823" spans="1:3" ht="14.5">
      <c r="A823" s="2042">
        <v>166901</v>
      </c>
      <c r="B823" s="2113" t="str">
        <f t="shared" si="12"/>
        <v>166-901</v>
      </c>
      <c r="C823" s="76">
        <v>1466.0440000000001</v>
      </c>
    </row>
    <row r="824" spans="1:3" ht="14.5">
      <c r="A824" s="2042">
        <v>166902</v>
      </c>
      <c r="B824" s="2113" t="str">
        <f t="shared" si="12"/>
        <v>166-902</v>
      </c>
      <c r="C824" s="76">
        <v>157.637</v>
      </c>
    </row>
    <row r="825" spans="1:3" ht="14.5">
      <c r="A825" s="2042">
        <v>166903</v>
      </c>
      <c r="B825" s="2113" t="str">
        <f t="shared" si="12"/>
        <v>166-903</v>
      </c>
      <c r="C825" s="76">
        <v>392.733</v>
      </c>
    </row>
    <row r="826" spans="1:3" ht="14.5">
      <c r="A826" s="2042">
        <v>166904</v>
      </c>
      <c r="B826" s="2113" t="str">
        <f t="shared" si="12"/>
        <v>166-904</v>
      </c>
      <c r="C826" s="76">
        <v>1366.71</v>
      </c>
    </row>
    <row r="827" spans="1:3" ht="14.5">
      <c r="A827" s="2042">
        <v>166905</v>
      </c>
      <c r="B827" s="2113" t="str">
        <f t="shared" si="12"/>
        <v>166-905</v>
      </c>
      <c r="C827" s="76">
        <v>541.16099999999994</v>
      </c>
    </row>
    <row r="828" spans="1:3" ht="14.5">
      <c r="A828" s="2042">
        <v>166907</v>
      </c>
      <c r="B828" s="2113" t="str">
        <f t="shared" si="12"/>
        <v>166-907</v>
      </c>
      <c r="C828" s="76">
        <v>128.89099999999999</v>
      </c>
    </row>
    <row r="829" spans="1:3" ht="14.5">
      <c r="A829" s="2042">
        <v>167901</v>
      </c>
      <c r="B829" s="2113" t="str">
        <f t="shared" si="12"/>
        <v>167-901</v>
      </c>
      <c r="C829" s="76">
        <v>505.07299999999998</v>
      </c>
    </row>
    <row r="830" spans="1:3" ht="14.5">
      <c r="A830" s="2042">
        <v>167902</v>
      </c>
      <c r="B830" s="2113" t="str">
        <f t="shared" si="12"/>
        <v>167-902</v>
      </c>
      <c r="C830" s="76">
        <v>220.345</v>
      </c>
    </row>
    <row r="831" spans="1:3" ht="14.5">
      <c r="A831" s="2042">
        <v>167904</v>
      </c>
      <c r="B831" s="2113" t="str">
        <f t="shared" si="12"/>
        <v>167-904</v>
      </c>
      <c r="C831" s="76">
        <v>97.831000000000003</v>
      </c>
    </row>
    <row r="832" spans="1:3" ht="14.5">
      <c r="A832" s="2042">
        <v>168901</v>
      </c>
      <c r="B832" s="2113" t="str">
        <f t="shared" si="12"/>
        <v>168-901</v>
      </c>
      <c r="C832" s="76">
        <v>857.73800000000006</v>
      </c>
    </row>
    <row r="833" spans="1:3" ht="14.5">
      <c r="A833" s="2042">
        <v>168902</v>
      </c>
      <c r="B833" s="2113" t="str">
        <f t="shared" si="12"/>
        <v>168-902</v>
      </c>
      <c r="C833" s="76">
        <v>144.84100000000001</v>
      </c>
    </row>
    <row r="834" spans="1:3" ht="14.5">
      <c r="A834" s="2042">
        <v>168903</v>
      </c>
      <c r="B834" s="2113" t="str">
        <f t="shared" si="12"/>
        <v>168-903</v>
      </c>
      <c r="C834" s="76">
        <v>214.87299999999999</v>
      </c>
    </row>
    <row r="835" spans="1:3" ht="14.5">
      <c r="A835" s="2042">
        <v>169901</v>
      </c>
      <c r="B835" s="2113" t="str">
        <f t="shared" ref="B835:B898" si="13">CONCATENATE(LEFT(RIGHT(CONCATENATE("000",A835),6),3),"-",(RIGHT(RIGHT(CONCATENATE("000",A835),6),3)))</f>
        <v>169-901</v>
      </c>
      <c r="C835" s="76">
        <v>1535.7260000000001</v>
      </c>
    </row>
    <row r="836" spans="1:3" ht="14.5">
      <c r="A836" s="2042">
        <v>169902</v>
      </c>
      <c r="B836" s="2113" t="str">
        <f t="shared" si="13"/>
        <v>169-902</v>
      </c>
      <c r="C836" s="76">
        <v>724.77</v>
      </c>
    </row>
    <row r="837" spans="1:3" ht="14.5">
      <c r="A837" s="2042">
        <v>169906</v>
      </c>
      <c r="B837" s="2113" t="str">
        <f t="shared" si="13"/>
        <v>169-906</v>
      </c>
      <c r="C837" s="76">
        <v>123.93899999999999</v>
      </c>
    </row>
    <row r="838" spans="1:3" ht="14.5">
      <c r="A838" s="2042">
        <v>169908</v>
      </c>
      <c r="B838" s="2113" t="str">
        <f t="shared" si="13"/>
        <v>169-908</v>
      </c>
      <c r="C838" s="76">
        <v>166.179</v>
      </c>
    </row>
    <row r="839" spans="1:3" ht="14.5">
      <c r="A839" s="2042">
        <v>169909</v>
      </c>
      <c r="B839" s="2113" t="str">
        <f t="shared" si="13"/>
        <v>169-909</v>
      </c>
      <c r="C839" s="76">
        <v>139.08099999999999</v>
      </c>
    </row>
    <row r="840" spans="1:3" ht="14.5">
      <c r="A840" s="2042">
        <v>169910</v>
      </c>
      <c r="B840" s="2113" t="str">
        <f t="shared" si="13"/>
        <v>169-910</v>
      </c>
      <c r="C840" s="76">
        <v>151.40700000000001</v>
      </c>
    </row>
    <row r="841" spans="1:3" ht="14.5">
      <c r="A841" s="2042">
        <v>169911</v>
      </c>
      <c r="B841" s="2113" t="str">
        <f t="shared" si="13"/>
        <v>169-911</v>
      </c>
      <c r="C841" s="76">
        <v>302.93799999999999</v>
      </c>
    </row>
    <row r="842" spans="1:3" ht="14.5">
      <c r="A842" s="2042">
        <v>170801</v>
      </c>
      <c r="B842" s="2113" t="str">
        <f t="shared" si="13"/>
        <v>170-801</v>
      </c>
      <c r="C842" s="76">
        <v>393.01799999999997</v>
      </c>
    </row>
    <row r="843" spans="1:3" ht="14.5">
      <c r="A843" s="2042">
        <v>170902</v>
      </c>
      <c r="B843" s="2113" t="str">
        <f t="shared" si="13"/>
        <v>170-902</v>
      </c>
      <c r="C843" s="76">
        <v>62851.190999999999</v>
      </c>
    </row>
    <row r="844" spans="1:3" ht="14.5">
      <c r="A844" s="2042">
        <v>170903</v>
      </c>
      <c r="B844" s="2113" t="str">
        <f t="shared" si="13"/>
        <v>170-903</v>
      </c>
      <c r="C844" s="76">
        <v>8567.6820000000007</v>
      </c>
    </row>
    <row r="845" spans="1:3" ht="14.5">
      <c r="A845" s="2042">
        <v>170904</v>
      </c>
      <c r="B845" s="2113" t="str">
        <f t="shared" si="13"/>
        <v>170-904</v>
      </c>
      <c r="C845" s="76">
        <v>7568.741</v>
      </c>
    </row>
    <row r="846" spans="1:3" ht="14.5">
      <c r="A846" s="2042">
        <v>170906</v>
      </c>
      <c r="B846" s="2113" t="str">
        <f t="shared" si="13"/>
        <v>170-906</v>
      </c>
      <c r="C846" s="76">
        <v>12509.918</v>
      </c>
    </row>
    <row r="847" spans="1:3" ht="14.5">
      <c r="A847" s="2042">
        <v>170907</v>
      </c>
      <c r="B847" s="2113" t="str">
        <f t="shared" si="13"/>
        <v>170-907</v>
      </c>
      <c r="C847" s="76">
        <v>3891.31</v>
      </c>
    </row>
    <row r="848" spans="1:3" ht="14.5">
      <c r="A848" s="2042">
        <v>170908</v>
      </c>
      <c r="B848" s="2113" t="str">
        <f t="shared" si="13"/>
        <v>170-908</v>
      </c>
      <c r="C848" s="76">
        <v>15532.404</v>
      </c>
    </row>
    <row r="849" spans="1:3" ht="14.5">
      <c r="A849" s="2042">
        <v>171901</v>
      </c>
      <c r="B849" s="2113" t="str">
        <f t="shared" si="13"/>
        <v>171-901</v>
      </c>
      <c r="C849" s="76">
        <v>3984.1680000000001</v>
      </c>
    </row>
    <row r="850" spans="1:3" ht="14.5">
      <c r="A850" s="2042">
        <v>171902</v>
      </c>
      <c r="B850" s="2113" t="str">
        <f t="shared" si="13"/>
        <v>171-902</v>
      </c>
      <c r="C850" s="76">
        <v>524.91800000000001</v>
      </c>
    </row>
    <row r="851" spans="1:3" ht="14.5">
      <c r="A851" s="2042">
        <v>172902</v>
      </c>
      <c r="B851" s="2113" t="str">
        <f t="shared" si="13"/>
        <v>172-902</v>
      </c>
      <c r="C851" s="76">
        <v>948.37900000000002</v>
      </c>
    </row>
    <row r="852" spans="1:3" ht="14.5">
      <c r="A852" s="2042">
        <v>172905</v>
      </c>
      <c r="B852" s="2113" t="str">
        <f t="shared" si="13"/>
        <v>172-905</v>
      </c>
      <c r="C852" s="76">
        <v>771.85799999999995</v>
      </c>
    </row>
    <row r="853" spans="1:3" ht="14.5">
      <c r="A853" s="2042">
        <v>173901</v>
      </c>
      <c r="B853" s="2113" t="str">
        <f t="shared" si="13"/>
        <v>173-901</v>
      </c>
      <c r="C853" s="76">
        <v>147.40799999999999</v>
      </c>
    </row>
    <row r="854" spans="1:3" ht="14.5">
      <c r="A854" s="2042">
        <v>174801</v>
      </c>
      <c r="B854" s="2113" t="str">
        <f t="shared" si="13"/>
        <v>174-801</v>
      </c>
      <c r="C854" s="76">
        <v>250.74199999999999</v>
      </c>
    </row>
    <row r="855" spans="1:3" ht="14.5">
      <c r="A855" s="2042">
        <v>174901</v>
      </c>
      <c r="B855" s="2113" t="str">
        <f t="shared" si="13"/>
        <v>174-901</v>
      </c>
      <c r="C855" s="76">
        <v>363.30900000000003</v>
      </c>
    </row>
    <row r="856" spans="1:3" ht="14.5">
      <c r="A856" s="2042">
        <v>174902</v>
      </c>
      <c r="B856" s="2113" t="str">
        <f t="shared" si="13"/>
        <v>174-902</v>
      </c>
      <c r="C856" s="76">
        <v>528.56500000000005</v>
      </c>
    </row>
    <row r="857" spans="1:3" ht="14.5">
      <c r="A857" s="2042">
        <v>174903</v>
      </c>
      <c r="B857" s="2113" t="str">
        <f t="shared" si="13"/>
        <v>174-903</v>
      </c>
      <c r="C857" s="76">
        <v>654.94299999999998</v>
      </c>
    </row>
    <row r="858" spans="1:3" ht="14.5">
      <c r="A858" s="2042">
        <v>174904</v>
      </c>
      <c r="B858" s="2113" t="str">
        <f t="shared" si="13"/>
        <v>174-904</v>
      </c>
      <c r="C858" s="76">
        <v>5647.5379999999996</v>
      </c>
    </row>
    <row r="859" spans="1:3" ht="14.5">
      <c r="A859" s="2042">
        <v>174906</v>
      </c>
      <c r="B859" s="2113" t="str">
        <f t="shared" si="13"/>
        <v>174-906</v>
      </c>
      <c r="C859" s="76">
        <v>758.65300000000002</v>
      </c>
    </row>
    <row r="860" spans="1:3" ht="14.5">
      <c r="A860" s="2042">
        <v>174908</v>
      </c>
      <c r="B860" s="2113" t="str">
        <f t="shared" si="13"/>
        <v>174-908</v>
      </c>
      <c r="C860" s="76">
        <v>1135.2750000000001</v>
      </c>
    </row>
    <row r="861" spans="1:3" ht="14.5">
      <c r="A861" s="2042">
        <v>174909</v>
      </c>
      <c r="B861" s="2113" t="str">
        <f t="shared" si="13"/>
        <v>174-909</v>
      </c>
      <c r="C861" s="76">
        <v>324.51900000000001</v>
      </c>
    </row>
    <row r="862" spans="1:3" ht="14.5">
      <c r="A862" s="2042">
        <v>174910</v>
      </c>
      <c r="B862" s="2113" t="str">
        <f t="shared" si="13"/>
        <v>174-910</v>
      </c>
      <c r="C862" s="76">
        <v>78.587000000000003</v>
      </c>
    </row>
    <row r="863" spans="1:3" ht="14.5">
      <c r="A863" s="2042">
        <v>174911</v>
      </c>
      <c r="B863" s="2113" t="str">
        <f t="shared" si="13"/>
        <v>174-911</v>
      </c>
      <c r="C863" s="76">
        <v>431.73899999999998</v>
      </c>
    </row>
    <row r="864" spans="1:3" ht="14.5">
      <c r="A864" s="2042">
        <v>175902</v>
      </c>
      <c r="B864" s="2113" t="str">
        <f t="shared" si="13"/>
        <v>175-902</v>
      </c>
      <c r="C864" s="76">
        <v>865.91800000000001</v>
      </c>
    </row>
    <row r="865" spans="1:3" ht="14.5">
      <c r="A865" s="2042">
        <v>175903</v>
      </c>
      <c r="B865" s="2113" t="str">
        <f t="shared" si="13"/>
        <v>175-903</v>
      </c>
      <c r="C865" s="76">
        <v>5654.01</v>
      </c>
    </row>
    <row r="866" spans="1:3" ht="14.5">
      <c r="A866" s="2042">
        <v>175904</v>
      </c>
      <c r="B866" s="2113" t="str">
        <f t="shared" si="13"/>
        <v>175-904</v>
      </c>
      <c r="C866" s="76">
        <v>530.28700000000003</v>
      </c>
    </row>
    <row r="867" spans="1:3" ht="14.5">
      <c r="A867" s="2042">
        <v>175905</v>
      </c>
      <c r="B867" s="2113" t="str">
        <f t="shared" si="13"/>
        <v>175-905</v>
      </c>
      <c r="C867" s="76">
        <v>411.27699999999999</v>
      </c>
    </row>
    <row r="868" spans="1:3" ht="14.5">
      <c r="A868" s="2042">
        <v>175907</v>
      </c>
      <c r="B868" s="2113" t="str">
        <f t="shared" si="13"/>
        <v>175-907</v>
      </c>
      <c r="C868" s="76">
        <v>504.15300000000002</v>
      </c>
    </row>
    <row r="869" spans="1:3" ht="14.5">
      <c r="A869" s="2042">
        <v>175910</v>
      </c>
      <c r="B869" s="2113" t="str">
        <f t="shared" si="13"/>
        <v>175-910</v>
      </c>
      <c r="C869" s="76">
        <v>748.48400000000004</v>
      </c>
    </row>
    <row r="870" spans="1:3" ht="14.5">
      <c r="A870" s="2042">
        <v>175911</v>
      </c>
      <c r="B870" s="2113" t="str">
        <f t="shared" si="13"/>
        <v>175-911</v>
      </c>
      <c r="C870" s="76">
        <v>893.72699999999998</v>
      </c>
    </row>
    <row r="871" spans="1:3" ht="14.5">
      <c r="A871" s="2042">
        <v>176901</v>
      </c>
      <c r="B871" s="2113" t="str">
        <f t="shared" si="13"/>
        <v>176-901</v>
      </c>
      <c r="C871" s="76">
        <v>228.27799999999999</v>
      </c>
    </row>
    <row r="872" spans="1:3" ht="14.5">
      <c r="A872" s="2042">
        <v>176902</v>
      </c>
      <c r="B872" s="2113" t="str">
        <f t="shared" si="13"/>
        <v>176-902</v>
      </c>
      <c r="C872" s="76">
        <v>963.71600000000001</v>
      </c>
    </row>
    <row r="873" spans="1:3" ht="14.5">
      <c r="A873" s="2042">
        <v>176903</v>
      </c>
      <c r="B873" s="2113" t="str">
        <f t="shared" si="13"/>
        <v>176-903</v>
      </c>
      <c r="C873" s="76">
        <v>475.01499999999999</v>
      </c>
    </row>
    <row r="874" spans="1:3" ht="14.5">
      <c r="A874" s="2042">
        <v>177901</v>
      </c>
      <c r="B874" s="2113" t="str">
        <f t="shared" si="13"/>
        <v>177-901</v>
      </c>
      <c r="C874" s="76">
        <v>1241.7439999999999</v>
      </c>
    </row>
    <row r="875" spans="1:3" ht="14.5">
      <c r="A875" s="2042">
        <v>177902</v>
      </c>
      <c r="B875" s="2113" t="str">
        <f t="shared" si="13"/>
        <v>177-902</v>
      </c>
      <c r="C875" s="76">
        <v>1874.8019999999999</v>
      </c>
    </row>
    <row r="876" spans="1:3" ht="14.5">
      <c r="A876" s="2042">
        <v>177903</v>
      </c>
      <c r="B876" s="2113" t="str">
        <f t="shared" si="13"/>
        <v>177-903</v>
      </c>
      <c r="C876" s="76">
        <v>152.446</v>
      </c>
    </row>
    <row r="877" spans="1:3" ht="14.5">
      <c r="A877" s="2042">
        <v>177905</v>
      </c>
      <c r="B877" s="2113" t="str">
        <f t="shared" si="13"/>
        <v>177-905</v>
      </c>
      <c r="C877" s="76">
        <v>218.63200000000001</v>
      </c>
    </row>
    <row r="878" spans="1:3" ht="14.5">
      <c r="A878" s="2042">
        <v>178801</v>
      </c>
      <c r="B878" s="2113" t="str">
        <f t="shared" si="13"/>
        <v>178-801</v>
      </c>
      <c r="C878" s="76">
        <v>197.006</v>
      </c>
    </row>
    <row r="879" spans="1:3" ht="14.5">
      <c r="A879" s="2042">
        <v>178807</v>
      </c>
      <c r="B879" s="2113" t="str">
        <f t="shared" si="13"/>
        <v>178-807</v>
      </c>
      <c r="C879" s="76">
        <v>125.55500000000001</v>
      </c>
    </row>
    <row r="880" spans="1:3" ht="14.5">
      <c r="A880" s="2042">
        <v>178808</v>
      </c>
      <c r="B880" s="2113" t="str">
        <f t="shared" si="13"/>
        <v>178-808</v>
      </c>
      <c r="C880" s="76">
        <v>480.54199999999997</v>
      </c>
    </row>
    <row r="881" spans="1:3" ht="14.5">
      <c r="A881" s="2042">
        <v>178901</v>
      </c>
      <c r="B881" s="2113" t="str">
        <f t="shared" si="13"/>
        <v>178-901</v>
      </c>
      <c r="C881" s="76">
        <v>382.78500000000003</v>
      </c>
    </row>
    <row r="882" spans="1:3" ht="14.5">
      <c r="A882" s="2042">
        <v>178902</v>
      </c>
      <c r="B882" s="2113" t="str">
        <f t="shared" si="13"/>
        <v>178-902</v>
      </c>
      <c r="C882" s="76">
        <v>1550.0989999999999</v>
      </c>
    </row>
    <row r="883" spans="1:3" ht="14.5">
      <c r="A883" s="2042">
        <v>178903</v>
      </c>
      <c r="B883" s="2113" t="str">
        <f t="shared" si="13"/>
        <v>178-903</v>
      </c>
      <c r="C883" s="76">
        <v>3852.8139999999999</v>
      </c>
    </row>
    <row r="884" spans="1:3" ht="14.5">
      <c r="A884" s="2042">
        <v>178904</v>
      </c>
      <c r="B884" s="2113" t="str">
        <f t="shared" si="13"/>
        <v>178-904</v>
      </c>
      <c r="C884" s="76">
        <v>32874.472000000002</v>
      </c>
    </row>
    <row r="885" spans="1:3" ht="14.5">
      <c r="A885" s="2042">
        <v>178905</v>
      </c>
      <c r="B885" s="2113" t="str">
        <f t="shared" si="13"/>
        <v>178-905</v>
      </c>
      <c r="C885" s="76">
        <v>271.84100000000001</v>
      </c>
    </row>
    <row r="886" spans="1:3" ht="14.5">
      <c r="A886" s="2042">
        <v>178906</v>
      </c>
      <c r="B886" s="2113" t="str">
        <f t="shared" si="13"/>
        <v>178-906</v>
      </c>
      <c r="C886" s="76">
        <v>1218.5450000000001</v>
      </c>
    </row>
    <row r="887" spans="1:3" ht="14.5">
      <c r="A887" s="2042">
        <v>178908</v>
      </c>
      <c r="B887" s="2113" t="str">
        <f t="shared" si="13"/>
        <v>178-908</v>
      </c>
      <c r="C887" s="76">
        <v>469.78</v>
      </c>
    </row>
    <row r="888" spans="1:3" ht="14.5">
      <c r="A888" s="2042">
        <v>178909</v>
      </c>
      <c r="B888" s="2113" t="str">
        <f t="shared" si="13"/>
        <v>178-909</v>
      </c>
      <c r="C888" s="76">
        <v>2329.078</v>
      </c>
    </row>
    <row r="889" spans="1:3" ht="14.5">
      <c r="A889" s="2042">
        <v>178912</v>
      </c>
      <c r="B889" s="2113" t="str">
        <f t="shared" si="13"/>
        <v>178-912</v>
      </c>
      <c r="C889" s="76">
        <v>3671.808</v>
      </c>
    </row>
    <row r="890" spans="1:3" ht="14.5">
      <c r="A890" s="2042">
        <v>178913</v>
      </c>
      <c r="B890" s="2113" t="str">
        <f t="shared" si="13"/>
        <v>178-913</v>
      </c>
      <c r="C890" s="76">
        <v>813.59699999999998</v>
      </c>
    </row>
    <row r="891" spans="1:3" ht="14.5">
      <c r="A891" s="2042">
        <v>178914</v>
      </c>
      <c r="B891" s="2113" t="str">
        <f t="shared" si="13"/>
        <v>178-914</v>
      </c>
      <c r="C891" s="76">
        <v>5367.6580000000004</v>
      </c>
    </row>
    <row r="892" spans="1:3" ht="14.5">
      <c r="A892" s="2042">
        <v>178915</v>
      </c>
      <c r="B892" s="2113" t="str">
        <f t="shared" si="13"/>
        <v>178-915</v>
      </c>
      <c r="C892" s="76">
        <v>1909.703</v>
      </c>
    </row>
    <row r="893" spans="1:3" ht="14.5">
      <c r="A893" s="2042">
        <v>179901</v>
      </c>
      <c r="B893" s="2113" t="str">
        <f t="shared" si="13"/>
        <v>179-901</v>
      </c>
      <c r="C893" s="76">
        <v>2038.681</v>
      </c>
    </row>
    <row r="894" spans="1:3" ht="14.5">
      <c r="A894" s="2042">
        <v>180901</v>
      </c>
      <c r="B894" s="2113" t="str">
        <f t="shared" si="13"/>
        <v>180-901</v>
      </c>
      <c r="C894" s="76">
        <v>302.83800000000002</v>
      </c>
    </row>
    <row r="895" spans="1:3" ht="14.5">
      <c r="A895" s="2042">
        <v>180902</v>
      </c>
      <c r="B895" s="2113" t="str">
        <f t="shared" si="13"/>
        <v>180-902</v>
      </c>
      <c r="C895" s="76">
        <v>363.25599999999997</v>
      </c>
    </row>
    <row r="896" spans="1:3" ht="14.5">
      <c r="A896" s="2042">
        <v>180903</v>
      </c>
      <c r="B896" s="2113" t="str">
        <f t="shared" si="13"/>
        <v>180-903</v>
      </c>
      <c r="C896" s="76">
        <v>125.35</v>
      </c>
    </row>
    <row r="897" spans="1:3" ht="14.5">
      <c r="A897" s="2042">
        <v>180904</v>
      </c>
      <c r="B897" s="2113" t="str">
        <f t="shared" si="13"/>
        <v>180-904</v>
      </c>
      <c r="C897" s="76">
        <v>201.76400000000001</v>
      </c>
    </row>
    <row r="898" spans="1:3" ht="14.5">
      <c r="A898" s="2042">
        <v>181901</v>
      </c>
      <c r="B898" s="2113" t="str">
        <f t="shared" si="13"/>
        <v>181-901</v>
      </c>
      <c r="C898" s="76">
        <v>2836.442</v>
      </c>
    </row>
    <row r="899" spans="1:3" ht="14.5">
      <c r="A899" s="2042">
        <v>181905</v>
      </c>
      <c r="B899" s="2113" t="str">
        <f t="shared" ref="B899:B962" si="14">CONCATENATE(LEFT(RIGHT(CONCATENATE("000",A899),6),3),"-",(RIGHT(RIGHT(CONCATENATE("000",A899),6),3)))</f>
        <v>181-905</v>
      </c>
      <c r="C899" s="76">
        <v>1700.5260000000001</v>
      </c>
    </row>
    <row r="900" spans="1:3" ht="14.5">
      <c r="A900" s="2042">
        <v>181906</v>
      </c>
      <c r="B900" s="2113" t="str">
        <f t="shared" si="14"/>
        <v>181-906</v>
      </c>
      <c r="C900" s="76">
        <v>2229.326</v>
      </c>
    </row>
    <row r="901" spans="1:3" ht="14.5">
      <c r="A901" s="2042">
        <v>181907</v>
      </c>
      <c r="B901" s="2113" t="str">
        <f t="shared" si="14"/>
        <v>181-907</v>
      </c>
      <c r="C901" s="76">
        <v>3918.2829999999999</v>
      </c>
    </row>
    <row r="902" spans="1:3" ht="14.5">
      <c r="A902" s="2042">
        <v>181908</v>
      </c>
      <c r="B902" s="2113" t="str">
        <f t="shared" si="14"/>
        <v>181-908</v>
      </c>
      <c r="C902" s="76">
        <v>2963.8530000000001</v>
      </c>
    </row>
    <row r="903" spans="1:3" ht="14.5">
      <c r="A903" s="2042">
        <v>182901</v>
      </c>
      <c r="B903" s="2113" t="str">
        <f t="shared" si="14"/>
        <v>182-901</v>
      </c>
      <c r="C903" s="76">
        <v>206.20699999999999</v>
      </c>
    </row>
    <row r="904" spans="1:3" ht="14.5">
      <c r="A904" s="2042">
        <v>182902</v>
      </c>
      <c r="B904" s="2113" t="str">
        <f t="shared" si="14"/>
        <v>182-902</v>
      </c>
      <c r="C904" s="76">
        <v>318.79599999999999</v>
      </c>
    </row>
    <row r="905" spans="1:3" ht="14.5">
      <c r="A905" s="2042">
        <v>182903</v>
      </c>
      <c r="B905" s="2113" t="str">
        <f t="shared" si="14"/>
        <v>182-903</v>
      </c>
      <c r="C905" s="76">
        <v>2841.7089999999998</v>
      </c>
    </row>
    <row r="906" spans="1:3" ht="14.5">
      <c r="A906" s="2042">
        <v>182904</v>
      </c>
      <c r="B906" s="2113" t="str">
        <f t="shared" si="14"/>
        <v>182-904</v>
      </c>
      <c r="C906" s="76">
        <v>440.92700000000002</v>
      </c>
    </row>
    <row r="907" spans="1:3" ht="14.5">
      <c r="A907" s="2042">
        <v>182905</v>
      </c>
      <c r="B907" s="2113" t="str">
        <f t="shared" si="14"/>
        <v>182-905</v>
      </c>
      <c r="C907" s="76">
        <v>140.48099999999999</v>
      </c>
    </row>
    <row r="908" spans="1:3" ht="14.5">
      <c r="A908" s="2042">
        <v>182906</v>
      </c>
      <c r="B908" s="2113" t="str">
        <f t="shared" si="14"/>
        <v>182-906</v>
      </c>
      <c r="C908" s="76">
        <v>78.405000000000001</v>
      </c>
    </row>
    <row r="909" spans="1:3" ht="14.5">
      <c r="A909" s="2042">
        <v>183801</v>
      </c>
      <c r="B909" s="2113" t="str">
        <f t="shared" si="14"/>
        <v>183-801</v>
      </c>
      <c r="C909" s="76">
        <v>182.94499999999999</v>
      </c>
    </row>
    <row r="910" spans="1:3" ht="14.5">
      <c r="A910" s="2042">
        <v>183901</v>
      </c>
      <c r="B910" s="2113" t="str">
        <f t="shared" si="14"/>
        <v>183-901</v>
      </c>
      <c r="C910" s="76">
        <v>617.54700000000003</v>
      </c>
    </row>
    <row r="911" spans="1:3" ht="14.5">
      <c r="A911" s="2042">
        <v>183902</v>
      </c>
      <c r="B911" s="2113" t="str">
        <f t="shared" si="14"/>
        <v>183-902</v>
      </c>
      <c r="C911" s="76">
        <v>2488.067</v>
      </c>
    </row>
    <row r="912" spans="1:3" ht="14.5">
      <c r="A912" s="2042">
        <v>183904</v>
      </c>
      <c r="B912" s="2113" t="str">
        <f t="shared" si="14"/>
        <v>183-904</v>
      </c>
      <c r="C912" s="76">
        <v>445.94600000000003</v>
      </c>
    </row>
    <row r="913" spans="1:3" ht="14.5">
      <c r="A913" s="2042">
        <v>184801</v>
      </c>
      <c r="B913" s="2113" t="str">
        <f t="shared" si="14"/>
        <v>184-801</v>
      </c>
      <c r="C913" s="76">
        <v>138.97499999999999</v>
      </c>
    </row>
    <row r="914" spans="1:3" ht="14.5">
      <c r="A914" s="2042">
        <v>184901</v>
      </c>
      <c r="B914" s="2113" t="str">
        <f t="shared" si="14"/>
        <v>184-901</v>
      </c>
      <c r="C914" s="76">
        <v>513.18399999999997</v>
      </c>
    </row>
    <row r="915" spans="1:3" ht="14.5">
      <c r="A915" s="2042">
        <v>184902</v>
      </c>
      <c r="B915" s="2113" t="str">
        <f t="shared" si="14"/>
        <v>184-902</v>
      </c>
      <c r="C915" s="76">
        <v>3399.172</v>
      </c>
    </row>
    <row r="916" spans="1:3" ht="14.5">
      <c r="A916" s="2042">
        <v>184903</v>
      </c>
      <c r="B916" s="2113" t="str">
        <f t="shared" si="14"/>
        <v>184-903</v>
      </c>
      <c r="C916" s="76">
        <v>7615.6509999999998</v>
      </c>
    </row>
    <row r="917" spans="1:3" ht="14.5">
      <c r="A917" s="2042">
        <v>184904</v>
      </c>
      <c r="B917" s="2113" t="str">
        <f t="shared" si="14"/>
        <v>184-904</v>
      </c>
      <c r="C917" s="76">
        <v>993.38199999999995</v>
      </c>
    </row>
    <row r="918" spans="1:3" ht="14.5">
      <c r="A918" s="2042">
        <v>184907</v>
      </c>
      <c r="B918" s="2113" t="str">
        <f t="shared" si="14"/>
        <v>184-907</v>
      </c>
      <c r="C918" s="76">
        <v>6510.2550000000001</v>
      </c>
    </row>
    <row r="919" spans="1:3" ht="14.5">
      <c r="A919" s="2042">
        <v>184908</v>
      </c>
      <c r="B919" s="2113" t="str">
        <f t="shared" si="14"/>
        <v>184-908</v>
      </c>
      <c r="C919" s="76">
        <v>1342.249</v>
      </c>
    </row>
    <row r="920" spans="1:3" ht="14.5">
      <c r="A920" s="2042">
        <v>184909</v>
      </c>
      <c r="B920" s="2113" t="str">
        <f t="shared" si="14"/>
        <v>184-909</v>
      </c>
      <c r="C920" s="76">
        <v>1676.894</v>
      </c>
    </row>
    <row r="921" spans="1:3" ht="14.5">
      <c r="A921" s="2042">
        <v>184911</v>
      </c>
      <c r="B921" s="2113" t="str">
        <f t="shared" si="14"/>
        <v>184-911</v>
      </c>
      <c r="C921" s="76">
        <v>199.86699999999999</v>
      </c>
    </row>
    <row r="922" spans="1:3" ht="14.5">
      <c r="A922" s="2042">
        <v>185901</v>
      </c>
      <c r="B922" s="2113" t="str">
        <f t="shared" si="14"/>
        <v>185-901</v>
      </c>
      <c r="C922" s="76">
        <v>425.29500000000002</v>
      </c>
    </row>
    <row r="923" spans="1:3" ht="14.5">
      <c r="A923" s="2042">
        <v>185902</v>
      </c>
      <c r="B923" s="2113" t="str">
        <f t="shared" si="14"/>
        <v>185-902</v>
      </c>
      <c r="C923" s="76">
        <v>536.26099999999997</v>
      </c>
    </row>
    <row r="924" spans="1:3" ht="14.5">
      <c r="A924" s="2042">
        <v>185903</v>
      </c>
      <c r="B924" s="2113" t="str">
        <f t="shared" si="14"/>
        <v>185-903</v>
      </c>
      <c r="C924" s="76">
        <v>1059.4390000000001</v>
      </c>
    </row>
    <row r="925" spans="1:3" ht="14.5">
      <c r="A925" s="2042">
        <v>185904</v>
      </c>
      <c r="B925" s="2113" t="str">
        <f t="shared" si="14"/>
        <v>185-904</v>
      </c>
      <c r="C925" s="76">
        <v>169.97399999999999</v>
      </c>
    </row>
    <row r="926" spans="1:3" ht="14.5">
      <c r="A926" s="2042">
        <v>186901</v>
      </c>
      <c r="B926" s="2113" t="str">
        <f t="shared" si="14"/>
        <v>186-901</v>
      </c>
      <c r="C926" s="76">
        <v>202.36</v>
      </c>
    </row>
    <row r="927" spans="1:3" ht="14.5">
      <c r="A927" s="2042">
        <v>186902</v>
      </c>
      <c r="B927" s="2113" t="str">
        <f t="shared" si="14"/>
        <v>186-902</v>
      </c>
      <c r="C927" s="76">
        <v>2227.7420000000002</v>
      </c>
    </row>
    <row r="928" spans="1:3" ht="14.5">
      <c r="A928" s="2042">
        <v>186903</v>
      </c>
      <c r="B928" s="2113" t="str">
        <f t="shared" si="14"/>
        <v>186-903</v>
      </c>
      <c r="C928" s="76">
        <v>316.88099999999997</v>
      </c>
    </row>
    <row r="929" spans="1:3" ht="14.5">
      <c r="A929" s="2042">
        <v>187901</v>
      </c>
      <c r="B929" s="2113" t="str">
        <f t="shared" si="14"/>
        <v>187-901</v>
      </c>
      <c r="C929" s="76">
        <v>457.81400000000002</v>
      </c>
    </row>
    <row r="930" spans="1:3" ht="14.5">
      <c r="A930" s="2042">
        <v>187903</v>
      </c>
      <c r="B930" s="2113" t="str">
        <f t="shared" si="14"/>
        <v>187-903</v>
      </c>
      <c r="C930" s="76">
        <v>248.768</v>
      </c>
    </row>
    <row r="931" spans="1:3" ht="14.5">
      <c r="A931" s="2042">
        <v>187904</v>
      </c>
      <c r="B931" s="2113" t="str">
        <f t="shared" si="14"/>
        <v>187-904</v>
      </c>
      <c r="C931" s="76">
        <v>740.96</v>
      </c>
    </row>
    <row r="932" spans="1:3" ht="14.5">
      <c r="A932" s="2042">
        <v>187906</v>
      </c>
      <c r="B932" s="2113" t="str">
        <f t="shared" si="14"/>
        <v>187-906</v>
      </c>
      <c r="C932" s="76">
        <v>194.767</v>
      </c>
    </row>
    <row r="933" spans="1:3" ht="14.5">
      <c r="A933" s="2042">
        <v>187907</v>
      </c>
      <c r="B933" s="2113" t="str">
        <f t="shared" si="14"/>
        <v>187-907</v>
      </c>
      <c r="C933" s="76">
        <v>3658.348</v>
      </c>
    </row>
    <row r="934" spans="1:3" ht="14.5">
      <c r="A934" s="2042">
        <v>187910</v>
      </c>
      <c r="B934" s="2113" t="str">
        <f t="shared" si="14"/>
        <v>187-910</v>
      </c>
      <c r="C934" s="76">
        <v>1088.644</v>
      </c>
    </row>
    <row r="935" spans="1:3" ht="14.5">
      <c r="A935" s="2042">
        <v>188901</v>
      </c>
      <c r="B935" s="2113" t="str">
        <f t="shared" si="14"/>
        <v>188-901</v>
      </c>
      <c r="C935" s="76">
        <v>28907.745999999999</v>
      </c>
    </row>
    <row r="936" spans="1:3" ht="14.5">
      <c r="A936" s="2042">
        <v>188902</v>
      </c>
      <c r="B936" s="2113" t="str">
        <f t="shared" si="14"/>
        <v>188-902</v>
      </c>
      <c r="C936" s="76">
        <v>1151.538</v>
      </c>
    </row>
    <row r="937" spans="1:3" ht="14.5">
      <c r="A937" s="2042">
        <v>188903</v>
      </c>
      <c r="B937" s="2113" t="str">
        <f t="shared" si="14"/>
        <v>188-903</v>
      </c>
      <c r="C937" s="76">
        <v>848.34900000000005</v>
      </c>
    </row>
    <row r="938" spans="1:3" ht="14.5">
      <c r="A938" s="2042">
        <v>188904</v>
      </c>
      <c r="B938" s="2113" t="str">
        <f t="shared" si="14"/>
        <v>188-904</v>
      </c>
      <c r="C938" s="76">
        <v>1378.1790000000001</v>
      </c>
    </row>
    <row r="939" spans="1:3" ht="14.5">
      <c r="A939" s="2042">
        <v>189901</v>
      </c>
      <c r="B939" s="2113" t="str">
        <f t="shared" si="14"/>
        <v>189-901</v>
      </c>
      <c r="C939" s="76">
        <v>291.83300000000003</v>
      </c>
    </row>
    <row r="940" spans="1:3" ht="14.5">
      <c r="A940" s="2042">
        <v>189902</v>
      </c>
      <c r="B940" s="2113" t="str">
        <f t="shared" si="14"/>
        <v>189-902</v>
      </c>
      <c r="C940" s="76">
        <v>1029.915</v>
      </c>
    </row>
    <row r="941" spans="1:3" ht="14.5">
      <c r="A941" s="2042">
        <v>190903</v>
      </c>
      <c r="B941" s="2113" t="str">
        <f t="shared" si="14"/>
        <v>190-903</v>
      </c>
      <c r="C941" s="76">
        <v>1619.518</v>
      </c>
    </row>
    <row r="942" spans="1:3" ht="14.5">
      <c r="A942" s="2042">
        <v>191901</v>
      </c>
      <c r="B942" s="2113" t="str">
        <f t="shared" si="14"/>
        <v>191-901</v>
      </c>
      <c r="C942" s="76">
        <v>9980.6319999999996</v>
      </c>
    </row>
    <row r="943" spans="1:3" ht="14.5">
      <c r="A943" s="2042">
        <v>192901</v>
      </c>
      <c r="B943" s="2113" t="str">
        <f t="shared" si="14"/>
        <v>192-901</v>
      </c>
      <c r="C943" s="76">
        <v>869.529</v>
      </c>
    </row>
    <row r="944" spans="1:3" ht="14.5">
      <c r="A944" s="2042">
        <v>193801</v>
      </c>
      <c r="B944" s="2113" t="str">
        <f t="shared" si="14"/>
        <v>193-801</v>
      </c>
      <c r="C944" s="76">
        <v>196.61500000000001</v>
      </c>
    </row>
    <row r="945" spans="1:3" ht="14.5">
      <c r="A945" s="2042">
        <v>193902</v>
      </c>
      <c r="B945" s="2113" t="str">
        <f t="shared" si="14"/>
        <v>193-902</v>
      </c>
      <c r="C945" s="76">
        <v>254.923</v>
      </c>
    </row>
    <row r="946" spans="1:3" ht="14.5">
      <c r="A946" s="2042">
        <v>194902</v>
      </c>
      <c r="B946" s="2113" t="str">
        <f t="shared" si="14"/>
        <v>194-902</v>
      </c>
      <c r="C946" s="76">
        <v>305.85599999999999</v>
      </c>
    </row>
    <row r="947" spans="1:3" ht="14.5">
      <c r="A947" s="2042">
        <v>194903</v>
      </c>
      <c r="B947" s="2113" t="str">
        <f t="shared" si="14"/>
        <v>194-903</v>
      </c>
      <c r="C947" s="76">
        <v>680.80200000000002</v>
      </c>
    </row>
    <row r="948" spans="1:3" ht="14.5">
      <c r="A948" s="2042">
        <v>194904</v>
      </c>
      <c r="B948" s="2113" t="str">
        <f t="shared" si="14"/>
        <v>194-904</v>
      </c>
      <c r="C948" s="76">
        <v>451.745</v>
      </c>
    </row>
    <row r="949" spans="1:3" ht="14.5">
      <c r="A949" s="2042">
        <v>194905</v>
      </c>
      <c r="B949" s="2113" t="str">
        <f t="shared" si="14"/>
        <v>194-905</v>
      </c>
      <c r="C949" s="76">
        <v>470.01900000000001</v>
      </c>
    </row>
    <row r="950" spans="1:3" ht="14.5">
      <c r="A950" s="2042">
        <v>195901</v>
      </c>
      <c r="B950" s="2113" t="str">
        <f t="shared" si="14"/>
        <v>195-901</v>
      </c>
      <c r="C950" s="76">
        <v>2729.51</v>
      </c>
    </row>
    <row r="951" spans="1:3" ht="14.5">
      <c r="A951" s="2042">
        <v>195902</v>
      </c>
      <c r="B951" s="2113" t="str">
        <f t="shared" si="14"/>
        <v>195-902</v>
      </c>
      <c r="C951" s="76">
        <v>140.744</v>
      </c>
    </row>
    <row r="952" spans="1:3" ht="14.5">
      <c r="A952" s="2042">
        <v>196901</v>
      </c>
      <c r="B952" s="2113" t="str">
        <f t="shared" si="14"/>
        <v>196-901</v>
      </c>
      <c r="C952" s="76">
        <v>117.13500000000001</v>
      </c>
    </row>
    <row r="953" spans="1:3" ht="14.5">
      <c r="A953" s="2042">
        <v>196902</v>
      </c>
      <c r="B953" s="2113" t="str">
        <f t="shared" si="14"/>
        <v>196-902</v>
      </c>
      <c r="C953" s="76">
        <v>417.99299999999999</v>
      </c>
    </row>
    <row r="954" spans="1:3" ht="14.5">
      <c r="A954" s="2042">
        <v>196903</v>
      </c>
      <c r="B954" s="2113" t="str">
        <f t="shared" si="14"/>
        <v>196-903</v>
      </c>
      <c r="C954" s="76">
        <v>628.40200000000004</v>
      </c>
    </row>
    <row r="955" spans="1:3" ht="14.5">
      <c r="A955" s="2042">
        <v>197902</v>
      </c>
      <c r="B955" s="2113" t="str">
        <f t="shared" si="14"/>
        <v>197-902</v>
      </c>
      <c r="C955" s="76">
        <v>182.303</v>
      </c>
    </row>
    <row r="956" spans="1:3" ht="14.5">
      <c r="A956" s="2042">
        <v>198901</v>
      </c>
      <c r="B956" s="2113" t="str">
        <f t="shared" si="14"/>
        <v>198-901</v>
      </c>
      <c r="C956" s="76">
        <v>450.25200000000001</v>
      </c>
    </row>
    <row r="957" spans="1:3" ht="14.5">
      <c r="A957" s="2042">
        <v>198902</v>
      </c>
      <c r="B957" s="2113" t="str">
        <f t="shared" si="14"/>
        <v>198-902</v>
      </c>
      <c r="C957" s="76">
        <v>137.578</v>
      </c>
    </row>
    <row r="958" spans="1:3" ht="14.5">
      <c r="A958" s="2042">
        <v>198903</v>
      </c>
      <c r="B958" s="2113" t="str">
        <f t="shared" si="14"/>
        <v>198-903</v>
      </c>
      <c r="C958" s="76">
        <v>1149.057</v>
      </c>
    </row>
    <row r="959" spans="1:3" ht="14.5">
      <c r="A959" s="2042">
        <v>198905</v>
      </c>
      <c r="B959" s="2113" t="str">
        <f t="shared" si="14"/>
        <v>198-905</v>
      </c>
      <c r="C959" s="76">
        <v>654.46699999999998</v>
      </c>
    </row>
    <row r="960" spans="1:3" ht="14.5">
      <c r="A960" s="2042">
        <v>198906</v>
      </c>
      <c r="B960" s="2113" t="str">
        <f t="shared" si="14"/>
        <v>198-906</v>
      </c>
      <c r="C960" s="76">
        <v>558.96799999999996</v>
      </c>
    </row>
    <row r="961" spans="1:3" ht="14.5">
      <c r="A961" s="2042">
        <v>199901</v>
      </c>
      <c r="B961" s="2113" t="str">
        <f t="shared" si="14"/>
        <v>199-901</v>
      </c>
      <c r="C961" s="76">
        <v>16355.531000000001</v>
      </c>
    </row>
    <row r="962" spans="1:3" ht="14.5">
      <c r="A962" s="2042">
        <v>199902</v>
      </c>
      <c r="B962" s="2113" t="str">
        <f t="shared" si="14"/>
        <v>199-902</v>
      </c>
      <c r="C962" s="76">
        <v>6679.7049999999999</v>
      </c>
    </row>
    <row r="963" spans="1:3" ht="14.5">
      <c r="A963" s="2042">
        <v>200901</v>
      </c>
      <c r="B963" s="2113" t="str">
        <f t="shared" ref="B963:B1026" si="15">CONCATENATE(LEFT(RIGHT(CONCATENATE("000",A963),6),3),"-",(RIGHT(RIGHT(CONCATENATE("000",A963),6),3)))</f>
        <v>200-901</v>
      </c>
      <c r="C963" s="76">
        <v>845.28800000000001</v>
      </c>
    </row>
    <row r="964" spans="1:3" ht="14.5">
      <c r="A964" s="2042">
        <v>200902</v>
      </c>
      <c r="B964" s="2113" t="str">
        <f t="shared" si="15"/>
        <v>200-902</v>
      </c>
      <c r="C964" s="76">
        <v>500.37200000000001</v>
      </c>
    </row>
    <row r="965" spans="1:3" ht="14.5">
      <c r="A965" s="2042">
        <v>200904</v>
      </c>
      <c r="B965" s="2113" t="str">
        <f t="shared" si="15"/>
        <v>200-904</v>
      </c>
      <c r="C965" s="76">
        <v>505.55500000000001</v>
      </c>
    </row>
    <row r="966" spans="1:3" ht="14.5">
      <c r="A966" s="2042">
        <v>200906</v>
      </c>
      <c r="B966" s="2113" t="str">
        <f t="shared" si="15"/>
        <v>200-906</v>
      </c>
      <c r="C966" s="76">
        <v>134.88900000000001</v>
      </c>
    </row>
    <row r="967" spans="1:3" ht="14.5">
      <c r="A967" s="2042">
        <v>201902</v>
      </c>
      <c r="B967" s="2113" t="str">
        <f t="shared" si="15"/>
        <v>201-902</v>
      </c>
      <c r="C967" s="76">
        <v>3135.2249999999999</v>
      </c>
    </row>
    <row r="968" spans="1:3" ht="14.5">
      <c r="A968" s="2042">
        <v>201903</v>
      </c>
      <c r="B968" s="2113" t="str">
        <f t="shared" si="15"/>
        <v>201-903</v>
      </c>
      <c r="C968" s="76">
        <v>151.429</v>
      </c>
    </row>
    <row r="969" spans="1:3" ht="14.5">
      <c r="A969" s="2042">
        <v>201904</v>
      </c>
      <c r="B969" s="2113" t="str">
        <f t="shared" si="15"/>
        <v>201-904</v>
      </c>
      <c r="C969" s="76">
        <v>217.50200000000001</v>
      </c>
    </row>
    <row r="970" spans="1:3" ht="14.5">
      <c r="A970" s="2042">
        <v>201907</v>
      </c>
      <c r="B970" s="2113" t="str">
        <f t="shared" si="15"/>
        <v>201-907</v>
      </c>
      <c r="C970" s="76">
        <v>383.55200000000002</v>
      </c>
    </row>
    <row r="971" spans="1:3" ht="14.5">
      <c r="A971" s="2042">
        <v>201908</v>
      </c>
      <c r="B971" s="2113" t="str">
        <f t="shared" si="15"/>
        <v>201-908</v>
      </c>
      <c r="C971" s="76">
        <v>455.84100000000001</v>
      </c>
    </row>
    <row r="972" spans="1:3" ht="14.5">
      <c r="A972" s="2042">
        <v>201910</v>
      </c>
      <c r="B972" s="2113" t="str">
        <f t="shared" si="15"/>
        <v>201-910</v>
      </c>
      <c r="C972" s="76">
        <v>1390.0809999999999</v>
      </c>
    </row>
    <row r="973" spans="1:3" ht="14.5">
      <c r="A973" s="2042">
        <v>201913</v>
      </c>
      <c r="B973" s="2113" t="str">
        <f t="shared" si="15"/>
        <v>201-913</v>
      </c>
      <c r="C973" s="76">
        <v>558.48299999999995</v>
      </c>
    </row>
    <row r="974" spans="1:3" ht="14.5">
      <c r="A974" s="2042">
        <v>201914</v>
      </c>
      <c r="B974" s="2113" t="str">
        <f t="shared" si="15"/>
        <v>201-914</v>
      </c>
      <c r="C974" s="76">
        <v>959.73599999999999</v>
      </c>
    </row>
    <row r="975" spans="1:3" ht="14.5">
      <c r="A975" s="2042">
        <v>202903</v>
      </c>
      <c r="B975" s="2113" t="str">
        <f t="shared" si="15"/>
        <v>202-903</v>
      </c>
      <c r="C975" s="76">
        <v>802.69200000000001</v>
      </c>
    </row>
    <row r="976" spans="1:3" ht="14.5">
      <c r="A976" s="2042">
        <v>202905</v>
      </c>
      <c r="B976" s="2113" t="str">
        <f t="shared" si="15"/>
        <v>202-905</v>
      </c>
      <c r="C976" s="76">
        <v>495.64299999999997</v>
      </c>
    </row>
    <row r="977" spans="1:3" ht="14.5">
      <c r="A977" s="2042">
        <v>203901</v>
      </c>
      <c r="B977" s="2113" t="str">
        <f t="shared" si="15"/>
        <v>203-901</v>
      </c>
      <c r="C977" s="76">
        <v>652.21799999999996</v>
      </c>
    </row>
    <row r="978" spans="1:3" ht="14.5">
      <c r="A978" s="2042">
        <v>203902</v>
      </c>
      <c r="B978" s="2113" t="str">
        <f t="shared" si="15"/>
        <v>203-902</v>
      </c>
      <c r="C978" s="76">
        <v>338.06799999999998</v>
      </c>
    </row>
    <row r="979" spans="1:3" ht="14.5">
      <c r="A979" s="2042">
        <v>204901</v>
      </c>
      <c r="B979" s="2113" t="str">
        <f t="shared" si="15"/>
        <v>204-901</v>
      </c>
      <c r="C979" s="76">
        <v>1394.0889999999999</v>
      </c>
    </row>
    <row r="980" spans="1:3" ht="14.5">
      <c r="A980" s="2042">
        <v>204904</v>
      </c>
      <c r="B980" s="2113" t="str">
        <f t="shared" si="15"/>
        <v>204-904</v>
      </c>
      <c r="C980" s="76">
        <v>1829.8219999999999</v>
      </c>
    </row>
    <row r="981" spans="1:3" ht="14.5">
      <c r="A981" s="2042">
        <v>205901</v>
      </c>
      <c r="B981" s="2113" t="str">
        <f t="shared" si="15"/>
        <v>205-901</v>
      </c>
      <c r="C981" s="76">
        <v>1482.7339999999999</v>
      </c>
    </row>
    <row r="982" spans="1:3" ht="14.5">
      <c r="A982" s="2042">
        <v>205902</v>
      </c>
      <c r="B982" s="2113" t="str">
        <f t="shared" si="15"/>
        <v>205-902</v>
      </c>
      <c r="C982" s="76">
        <v>4350.9889999999996</v>
      </c>
    </row>
    <row r="983" spans="1:3" ht="14.5">
      <c r="A983" s="2042">
        <v>205903</v>
      </c>
      <c r="B983" s="2113" t="str">
        <f t="shared" si="15"/>
        <v>205-903</v>
      </c>
      <c r="C983" s="76">
        <v>1975.393</v>
      </c>
    </row>
    <row r="984" spans="1:3" ht="14.5">
      <c r="A984" s="2042">
        <v>205904</v>
      </c>
      <c r="B984" s="2113" t="str">
        <f t="shared" si="15"/>
        <v>205-904</v>
      </c>
      <c r="C984" s="76">
        <v>1404.819</v>
      </c>
    </row>
    <row r="985" spans="1:3" ht="14.5">
      <c r="A985" s="2042">
        <v>205905</v>
      </c>
      <c r="B985" s="2113" t="str">
        <f t="shared" si="15"/>
        <v>205-905</v>
      </c>
      <c r="C985" s="76">
        <v>745.25699999999995</v>
      </c>
    </row>
    <row r="986" spans="1:3" ht="14.5">
      <c r="A986" s="2042">
        <v>205906</v>
      </c>
      <c r="B986" s="2113" t="str">
        <f t="shared" si="15"/>
        <v>205-906</v>
      </c>
      <c r="C986" s="76">
        <v>1939.18</v>
      </c>
    </row>
    <row r="987" spans="1:3" ht="14.5">
      <c r="A987" s="2042">
        <v>205907</v>
      </c>
      <c r="B987" s="2113" t="str">
        <f t="shared" si="15"/>
        <v>205-907</v>
      </c>
      <c r="C987" s="76">
        <v>837.85</v>
      </c>
    </row>
    <row r="988" spans="1:3" ht="14.5">
      <c r="A988" s="2042">
        <v>206901</v>
      </c>
      <c r="B988" s="2113" t="str">
        <f t="shared" si="15"/>
        <v>206-901</v>
      </c>
      <c r="C988" s="76">
        <v>711.846</v>
      </c>
    </row>
    <row r="989" spans="1:3" ht="14.5">
      <c r="A989" s="2042">
        <v>206902</v>
      </c>
      <c r="B989" s="2113" t="str">
        <f t="shared" si="15"/>
        <v>206-902</v>
      </c>
      <c r="C989" s="76">
        <v>105.76300000000001</v>
      </c>
    </row>
    <row r="990" spans="1:3" ht="14.5">
      <c r="A990" s="2042">
        <v>206903</v>
      </c>
      <c r="B990" s="2113" t="str">
        <f t="shared" si="15"/>
        <v>206-903</v>
      </c>
      <c r="C990" s="76">
        <v>123.282</v>
      </c>
    </row>
    <row r="991" spans="1:3" ht="14.5">
      <c r="A991" s="2042">
        <v>207901</v>
      </c>
      <c r="B991" s="2113" t="str">
        <f t="shared" si="15"/>
        <v>207-901</v>
      </c>
      <c r="C991" s="76">
        <v>468.05500000000001</v>
      </c>
    </row>
    <row r="992" spans="1:3" ht="14.5">
      <c r="A992" s="2042">
        <v>208901</v>
      </c>
      <c r="B992" s="2113" t="str">
        <f t="shared" si="15"/>
        <v>208-901</v>
      </c>
      <c r="C992" s="76">
        <v>231.41900000000001</v>
      </c>
    </row>
    <row r="993" spans="1:3" ht="14.5">
      <c r="A993" s="2042">
        <v>208902</v>
      </c>
      <c r="B993" s="2113" t="str">
        <f t="shared" si="15"/>
        <v>208-902</v>
      </c>
      <c r="C993" s="76">
        <v>2424.7289999999998</v>
      </c>
    </row>
    <row r="994" spans="1:3" ht="14.5">
      <c r="A994" s="2042">
        <v>208903</v>
      </c>
      <c r="B994" s="2113" t="str">
        <f t="shared" si="15"/>
        <v>208-903</v>
      </c>
      <c r="C994" s="76">
        <v>264.69</v>
      </c>
    </row>
    <row r="995" spans="1:3" ht="14.5">
      <c r="A995" s="2042">
        <v>209901</v>
      </c>
      <c r="B995" s="2113" t="str">
        <f t="shared" si="15"/>
        <v>209-901</v>
      </c>
      <c r="C995" s="76">
        <v>502.22199999999998</v>
      </c>
    </row>
    <row r="996" spans="1:3" ht="14.5">
      <c r="A996" s="2042">
        <v>209902</v>
      </c>
      <c r="B996" s="2113" t="str">
        <f t="shared" si="15"/>
        <v>209-902</v>
      </c>
      <c r="C996" s="76">
        <v>104.788</v>
      </c>
    </row>
    <row r="997" spans="1:3" ht="14.5">
      <c r="A997" s="2042">
        <v>210901</v>
      </c>
      <c r="B997" s="2113" t="str">
        <f t="shared" si="15"/>
        <v>210-901</v>
      </c>
      <c r="C997" s="76">
        <v>2430.192</v>
      </c>
    </row>
    <row r="998" spans="1:3" ht="14.5">
      <c r="A998" s="2042">
        <v>210902</v>
      </c>
      <c r="B998" s="2113" t="str">
        <f t="shared" si="15"/>
        <v>210-902</v>
      </c>
      <c r="C998" s="76">
        <v>598.71500000000003</v>
      </c>
    </row>
    <row r="999" spans="1:3" ht="14.5">
      <c r="A999" s="2042">
        <v>210903</v>
      </c>
      <c r="B999" s="2113" t="str">
        <f t="shared" si="15"/>
        <v>210-903</v>
      </c>
      <c r="C999" s="76">
        <v>697.601</v>
      </c>
    </row>
    <row r="1000" spans="1:3" ht="14.5">
      <c r="A1000" s="2042">
        <v>210904</v>
      </c>
      <c r="B1000" s="2113" t="str">
        <f t="shared" si="15"/>
        <v>210-904</v>
      </c>
      <c r="C1000" s="76">
        <v>460.74400000000003</v>
      </c>
    </row>
    <row r="1001" spans="1:3" ht="14.5">
      <c r="A1001" s="2042">
        <v>210905</v>
      </c>
      <c r="B1001" s="2113" t="str">
        <f t="shared" si="15"/>
        <v>210-905</v>
      </c>
      <c r="C1001" s="76">
        <v>692.83199999999999</v>
      </c>
    </row>
    <row r="1002" spans="1:3" ht="14.5">
      <c r="A1002" s="2042">
        <v>210906</v>
      </c>
      <c r="B1002" s="2113" t="str">
        <f t="shared" si="15"/>
        <v>210-906</v>
      </c>
      <c r="C1002" s="76">
        <v>66.588999999999999</v>
      </c>
    </row>
    <row r="1003" spans="1:3" ht="14.5">
      <c r="A1003" s="2042">
        <v>211901</v>
      </c>
      <c r="B1003" s="2113" t="str">
        <f t="shared" si="15"/>
        <v>211-901</v>
      </c>
      <c r="C1003" s="76">
        <v>83.340999999999994</v>
      </c>
    </row>
    <row r="1004" spans="1:3" ht="14.5">
      <c r="A1004" s="2042">
        <v>211902</v>
      </c>
      <c r="B1004" s="2113" t="str">
        <f t="shared" si="15"/>
        <v>211-902</v>
      </c>
      <c r="C1004" s="76">
        <v>526.577</v>
      </c>
    </row>
    <row r="1005" spans="1:3" ht="14.5">
      <c r="A1005" s="2042">
        <v>212801</v>
      </c>
      <c r="B1005" s="2113" t="str">
        <f t="shared" si="15"/>
        <v>212-801</v>
      </c>
      <c r="C1005" s="76">
        <v>2000.9829999999999</v>
      </c>
    </row>
    <row r="1006" spans="1:3" ht="14.5">
      <c r="A1006" s="2042">
        <v>212804</v>
      </c>
      <c r="B1006" s="2113" t="str">
        <f t="shared" si="15"/>
        <v>212-804</v>
      </c>
      <c r="C1006" s="76">
        <v>871.67700000000002</v>
      </c>
    </row>
    <row r="1007" spans="1:3" ht="14.5">
      <c r="A1007" s="2042">
        <v>212901</v>
      </c>
      <c r="B1007" s="2113" t="str">
        <f t="shared" si="15"/>
        <v>212-901</v>
      </c>
      <c r="C1007" s="76">
        <v>811.61800000000005</v>
      </c>
    </row>
    <row r="1008" spans="1:3" ht="14.5">
      <c r="A1008" s="2042">
        <v>212902</v>
      </c>
      <c r="B1008" s="2113" t="str">
        <f t="shared" si="15"/>
        <v>212-902</v>
      </c>
      <c r="C1008" s="76">
        <v>2545.306</v>
      </c>
    </row>
    <row r="1009" spans="1:3" ht="14.5">
      <c r="A1009" s="2042">
        <v>212903</v>
      </c>
      <c r="B1009" s="2113" t="str">
        <f t="shared" si="15"/>
        <v>212-903</v>
      </c>
      <c r="C1009" s="76">
        <v>3941.366</v>
      </c>
    </row>
    <row r="1010" spans="1:3" ht="14.5">
      <c r="A1010" s="2042">
        <v>212904</v>
      </c>
      <c r="B1010" s="2113" t="str">
        <f t="shared" si="15"/>
        <v>212-904</v>
      </c>
      <c r="C1010" s="76">
        <v>1031.8900000000001</v>
      </c>
    </row>
    <row r="1011" spans="1:3" ht="14.5">
      <c r="A1011" s="2042">
        <v>212905</v>
      </c>
      <c r="B1011" s="2113" t="str">
        <f t="shared" si="15"/>
        <v>212-905</v>
      </c>
      <c r="C1011" s="76">
        <v>16979.620999999999</v>
      </c>
    </row>
    <row r="1012" spans="1:3" ht="14.5">
      <c r="A1012" s="2042">
        <v>212906</v>
      </c>
      <c r="B1012" s="2113" t="str">
        <f t="shared" si="15"/>
        <v>212-906</v>
      </c>
      <c r="C1012" s="76">
        <v>4679.1480000000001</v>
      </c>
    </row>
    <row r="1013" spans="1:3" ht="14.5">
      <c r="A1013" s="2042">
        <v>212909</v>
      </c>
      <c r="B1013" s="2113" t="str">
        <f t="shared" si="15"/>
        <v>212-909</v>
      </c>
      <c r="C1013" s="76">
        <v>3237.4340000000002</v>
      </c>
    </row>
    <row r="1014" spans="1:3" ht="14.5">
      <c r="A1014" s="2042">
        <v>212910</v>
      </c>
      <c r="B1014" s="2113" t="str">
        <f t="shared" si="15"/>
        <v>212-910</v>
      </c>
      <c r="C1014" s="76">
        <v>981.85900000000004</v>
      </c>
    </row>
    <row r="1015" spans="1:3" ht="14.5">
      <c r="A1015" s="2042">
        <v>213801</v>
      </c>
      <c r="B1015" s="2113" t="str">
        <f t="shared" si="15"/>
        <v>213-801</v>
      </c>
      <c r="C1015" s="76">
        <v>204.68100000000001</v>
      </c>
    </row>
    <row r="1016" spans="1:3" ht="14.5">
      <c r="A1016" s="2042">
        <v>213901</v>
      </c>
      <c r="B1016" s="2113" t="str">
        <f t="shared" si="15"/>
        <v>213-901</v>
      </c>
      <c r="C1016" s="76">
        <v>1902.2059999999999</v>
      </c>
    </row>
    <row r="1017" spans="1:3" ht="14.5">
      <c r="A1017" s="2042">
        <v>214901</v>
      </c>
      <c r="B1017" s="2113" t="str">
        <f t="shared" si="15"/>
        <v>214-901</v>
      </c>
      <c r="C1017" s="76">
        <v>9366.6509999999998</v>
      </c>
    </row>
    <row r="1018" spans="1:3" ht="14.5">
      <c r="A1018" s="2042">
        <v>214902</v>
      </c>
      <c r="B1018" s="2113" t="str">
        <f t="shared" si="15"/>
        <v>214-902</v>
      </c>
      <c r="C1018" s="76">
        <v>189.61500000000001</v>
      </c>
    </row>
    <row r="1019" spans="1:3" ht="14.5">
      <c r="A1019" s="2042">
        <v>214903</v>
      </c>
      <c r="B1019" s="2113" t="str">
        <f t="shared" si="15"/>
        <v>214-903</v>
      </c>
      <c r="C1019" s="76">
        <v>5648.1779999999999</v>
      </c>
    </row>
    <row r="1020" spans="1:3" ht="14.5">
      <c r="A1020" s="2042">
        <v>215901</v>
      </c>
      <c r="B1020" s="2113" t="str">
        <f t="shared" si="15"/>
        <v>215-901</v>
      </c>
      <c r="C1020" s="76">
        <v>1290.348</v>
      </c>
    </row>
    <row r="1021" spans="1:3" ht="14.5">
      <c r="A1021" s="2042">
        <v>216901</v>
      </c>
      <c r="B1021" s="2113" t="str">
        <f t="shared" si="15"/>
        <v>216-901</v>
      </c>
      <c r="C1021" s="76">
        <v>312.07799999999997</v>
      </c>
    </row>
    <row r="1022" spans="1:3" ht="14.5">
      <c r="A1022" s="2042">
        <v>217901</v>
      </c>
      <c r="B1022" s="2113" t="str">
        <f t="shared" si="15"/>
        <v>217-901</v>
      </c>
      <c r="C1022" s="76">
        <v>199.63499999999999</v>
      </c>
    </row>
    <row r="1023" spans="1:3" ht="14.5">
      <c r="A1023" s="2042">
        <v>218901</v>
      </c>
      <c r="B1023" s="2113" t="str">
        <f t="shared" si="15"/>
        <v>218-901</v>
      </c>
      <c r="C1023" s="76">
        <v>719.06700000000001</v>
      </c>
    </row>
    <row r="1024" spans="1:3" ht="14.5">
      <c r="A1024" s="2042">
        <v>219901</v>
      </c>
      <c r="B1024" s="2113" t="str">
        <f t="shared" si="15"/>
        <v>219-901</v>
      </c>
      <c r="C1024" s="76">
        <v>252.464</v>
      </c>
    </row>
    <row r="1025" spans="1:3" ht="14.5">
      <c r="A1025" s="2042">
        <v>219903</v>
      </c>
      <c r="B1025" s="2113" t="str">
        <f t="shared" si="15"/>
        <v>219-903</v>
      </c>
      <c r="C1025" s="76">
        <v>841.96500000000003</v>
      </c>
    </row>
    <row r="1026" spans="1:3" ht="14.5">
      <c r="A1026" s="2042">
        <v>219905</v>
      </c>
      <c r="B1026" s="2113" t="str">
        <f t="shared" si="15"/>
        <v>219-905</v>
      </c>
      <c r="C1026" s="76">
        <v>282.79899999999998</v>
      </c>
    </row>
    <row r="1027" spans="1:3" ht="14.5">
      <c r="A1027" s="2042">
        <v>220801</v>
      </c>
      <c r="B1027" s="2113" t="str">
        <f t="shared" ref="B1027:B1090" si="16">CONCATENATE(LEFT(RIGHT(CONCATENATE("000",A1027),6),3),"-",(RIGHT(RIGHT(CONCATENATE("000",A1027),6),3)))</f>
        <v>220-801</v>
      </c>
      <c r="C1027" s="76">
        <v>378.73099999999999</v>
      </c>
    </row>
    <row r="1028" spans="1:3" ht="14.5">
      <c r="A1028" s="2042">
        <v>220802</v>
      </c>
      <c r="B1028" s="2113" t="str">
        <f t="shared" si="16"/>
        <v>220-802</v>
      </c>
      <c r="C1028" s="76">
        <v>1506.3409999999999</v>
      </c>
    </row>
    <row r="1029" spans="1:3" ht="14.5">
      <c r="A1029" s="2042">
        <v>220809</v>
      </c>
      <c r="B1029" s="2113" t="str">
        <f t="shared" si="16"/>
        <v>220-809</v>
      </c>
      <c r="C1029" s="76">
        <v>604.92600000000004</v>
      </c>
    </row>
    <row r="1030" spans="1:3" ht="14.5">
      <c r="A1030" s="2042">
        <v>220810</v>
      </c>
      <c r="B1030" s="2113" t="str">
        <f t="shared" si="16"/>
        <v>220-810</v>
      </c>
      <c r="C1030" s="76">
        <v>893.70299999999997</v>
      </c>
    </row>
    <row r="1031" spans="1:3" ht="14.5">
      <c r="A1031" s="2042">
        <v>220811</v>
      </c>
      <c r="B1031" s="2113" t="str">
        <f t="shared" si="16"/>
        <v>220-811</v>
      </c>
      <c r="C1031" s="76">
        <v>194.886</v>
      </c>
    </row>
    <row r="1032" spans="1:3" ht="14.5">
      <c r="A1032" s="2042">
        <v>220814</v>
      </c>
      <c r="B1032" s="2113" t="str">
        <f t="shared" si="16"/>
        <v>220-814</v>
      </c>
      <c r="C1032" s="76">
        <v>298.71600000000001</v>
      </c>
    </row>
    <row r="1033" spans="1:3" ht="14.5">
      <c r="A1033" s="2042">
        <v>220815</v>
      </c>
      <c r="B1033" s="2113" t="str">
        <f t="shared" si="16"/>
        <v>220-815</v>
      </c>
      <c r="C1033" s="76">
        <v>697</v>
      </c>
    </row>
    <row r="1034" spans="1:3" ht="14.5">
      <c r="A1034" s="2042">
        <v>220817</v>
      </c>
      <c r="B1034" s="2113" t="str">
        <f t="shared" si="16"/>
        <v>220-817</v>
      </c>
      <c r="C1034" s="76">
        <v>3219.7510000000002</v>
      </c>
    </row>
    <row r="1035" spans="1:3" ht="14.5">
      <c r="A1035" s="2042">
        <v>220819</v>
      </c>
      <c r="B1035" s="2113" t="str">
        <f t="shared" si="16"/>
        <v>220-819</v>
      </c>
      <c r="C1035" s="76">
        <v>1497.6189999999999</v>
      </c>
    </row>
    <row r="1036" spans="1:3" ht="14.5">
      <c r="A1036" s="2042">
        <v>220901</v>
      </c>
      <c r="B1036" s="2113" t="str">
        <f t="shared" si="16"/>
        <v>220-901</v>
      </c>
      <c r="C1036" s="76">
        <v>53428.934999999998</v>
      </c>
    </row>
    <row r="1037" spans="1:3" ht="14.5">
      <c r="A1037" s="2042">
        <v>220902</v>
      </c>
      <c r="B1037" s="2113" t="str">
        <f t="shared" si="16"/>
        <v>220-902</v>
      </c>
      <c r="C1037" s="76">
        <v>21913.066999999999</v>
      </c>
    </row>
    <row r="1038" spans="1:3" ht="14.5">
      <c r="A1038" s="2042">
        <v>220904</v>
      </c>
      <c r="B1038" s="2113" t="str">
        <f t="shared" si="16"/>
        <v>220-904</v>
      </c>
      <c r="C1038" s="76">
        <v>5567.8180000000002</v>
      </c>
    </row>
    <row r="1039" spans="1:3" ht="14.5">
      <c r="A1039" s="2042">
        <v>220905</v>
      </c>
      <c r="B1039" s="2113" t="str">
        <f t="shared" si="16"/>
        <v>220-905</v>
      </c>
      <c r="C1039" s="76">
        <v>73849.508000000002</v>
      </c>
    </row>
    <row r="1040" spans="1:3" ht="14.5">
      <c r="A1040" s="2042">
        <v>220906</v>
      </c>
      <c r="B1040" s="2113" t="str">
        <f t="shared" si="16"/>
        <v>220-906</v>
      </c>
      <c r="C1040" s="76">
        <v>13408.934999999999</v>
      </c>
    </row>
    <row r="1041" spans="1:3" ht="14.5">
      <c r="A1041" s="2042">
        <v>220907</v>
      </c>
      <c r="B1041" s="2113" t="str">
        <f t="shared" si="16"/>
        <v>220-907</v>
      </c>
      <c r="C1041" s="76">
        <v>33614.332999999999</v>
      </c>
    </row>
    <row r="1042" spans="1:3" ht="14.5">
      <c r="A1042" s="2042">
        <v>220908</v>
      </c>
      <c r="B1042" s="2113" t="str">
        <f t="shared" si="16"/>
        <v>220-908</v>
      </c>
      <c r="C1042" s="76">
        <v>34035.300000000003</v>
      </c>
    </row>
    <row r="1043" spans="1:3" ht="14.5">
      <c r="A1043" s="2042">
        <v>220910</v>
      </c>
      <c r="B1043" s="2113" t="str">
        <f t="shared" si="16"/>
        <v>220-910</v>
      </c>
      <c r="C1043" s="76">
        <v>3404.029</v>
      </c>
    </row>
    <row r="1044" spans="1:3" ht="14.5">
      <c r="A1044" s="2042">
        <v>220912</v>
      </c>
      <c r="B1044" s="2113" t="str">
        <f t="shared" si="16"/>
        <v>220-912</v>
      </c>
      <c r="C1044" s="76">
        <v>15040.412</v>
      </c>
    </row>
    <row r="1045" spans="1:3" ht="14.5">
      <c r="A1045" s="2042">
        <v>220914</v>
      </c>
      <c r="B1045" s="2113" t="str">
        <f t="shared" si="16"/>
        <v>220-914</v>
      </c>
      <c r="C1045" s="76">
        <v>2725.6610000000001</v>
      </c>
    </row>
    <row r="1046" spans="1:3" ht="14.5">
      <c r="A1046" s="2042">
        <v>220915</v>
      </c>
      <c r="B1046" s="2113" t="str">
        <f t="shared" si="16"/>
        <v>220-915</v>
      </c>
      <c r="C1046" s="76">
        <v>6543.3630000000003</v>
      </c>
    </row>
    <row r="1047" spans="1:3" ht="14.5">
      <c r="A1047" s="2042">
        <v>220916</v>
      </c>
      <c r="B1047" s="2113" t="str">
        <f t="shared" si="16"/>
        <v>220-916</v>
      </c>
      <c r="C1047" s="76">
        <v>22580.768</v>
      </c>
    </row>
    <row r="1048" spans="1:3" ht="14.5">
      <c r="A1048" s="2042">
        <v>220917</v>
      </c>
      <c r="B1048" s="2113" t="str">
        <f t="shared" si="16"/>
        <v>220-917</v>
      </c>
      <c r="C1048" s="76">
        <v>3307.241</v>
      </c>
    </row>
    <row r="1049" spans="1:3" ht="14.5">
      <c r="A1049" s="2042">
        <v>220918</v>
      </c>
      <c r="B1049" s="2113" t="str">
        <f t="shared" si="16"/>
        <v>220-918</v>
      </c>
      <c r="C1049" s="76">
        <v>20730.633999999998</v>
      </c>
    </row>
    <row r="1050" spans="1:3" ht="14.5">
      <c r="A1050" s="2042">
        <v>220919</v>
      </c>
      <c r="B1050" s="2113" t="str">
        <f t="shared" si="16"/>
        <v>220-919</v>
      </c>
      <c r="C1050" s="76">
        <v>8145.9880000000003</v>
      </c>
    </row>
    <row r="1051" spans="1:3" ht="14.5">
      <c r="A1051" s="2042">
        <v>220920</v>
      </c>
      <c r="B1051" s="2113" t="str">
        <f t="shared" si="16"/>
        <v>220-920</v>
      </c>
      <c r="C1051" s="76">
        <v>6549.2389999999996</v>
      </c>
    </row>
    <row r="1052" spans="1:3" ht="14.5">
      <c r="A1052" s="2042">
        <v>221801</v>
      </c>
      <c r="B1052" s="2113" t="str">
        <f t="shared" si="16"/>
        <v>221-801</v>
      </c>
      <c r="C1052" s="76">
        <v>15110.99</v>
      </c>
    </row>
    <row r="1053" spans="1:3" ht="14.5">
      <c r="A1053" s="2042">
        <v>221901</v>
      </c>
      <c r="B1053" s="2113" t="str">
        <f t="shared" si="16"/>
        <v>221-901</v>
      </c>
      <c r="C1053" s="76">
        <v>14949.973</v>
      </c>
    </row>
    <row r="1054" spans="1:3" ht="14.5">
      <c r="A1054" s="2042">
        <v>221904</v>
      </c>
      <c r="B1054" s="2113" t="str">
        <f t="shared" si="16"/>
        <v>221-904</v>
      </c>
      <c r="C1054" s="76">
        <v>995.23299999999995</v>
      </c>
    </row>
    <row r="1055" spans="1:3" ht="14.5">
      <c r="A1055" s="2042">
        <v>221905</v>
      </c>
      <c r="B1055" s="2113" t="str">
        <f t="shared" si="16"/>
        <v>221-905</v>
      </c>
      <c r="C1055" s="76">
        <v>120.85</v>
      </c>
    </row>
    <row r="1056" spans="1:3" ht="14.5">
      <c r="A1056" s="2042">
        <v>221911</v>
      </c>
      <c r="B1056" s="2113" t="str">
        <f t="shared" si="16"/>
        <v>221-911</v>
      </c>
      <c r="C1056" s="76">
        <v>1381.1389999999999</v>
      </c>
    </row>
    <row r="1057" spans="1:3" ht="14.5">
      <c r="A1057" s="2042">
        <v>221912</v>
      </c>
      <c r="B1057" s="2113" t="str">
        <f t="shared" si="16"/>
        <v>221-912</v>
      </c>
      <c r="C1057" s="76">
        <v>4642.2929999999997</v>
      </c>
    </row>
    <row r="1058" spans="1:3" ht="14.5">
      <c r="A1058" s="2042">
        <v>222901</v>
      </c>
      <c r="B1058" s="2113" t="str">
        <f t="shared" si="16"/>
        <v>222-901</v>
      </c>
      <c r="C1058" s="76">
        <v>111.056</v>
      </c>
    </row>
    <row r="1059" spans="1:3" ht="14.5">
      <c r="A1059" s="2042">
        <v>223901</v>
      </c>
      <c r="B1059" s="2113" t="str">
        <f t="shared" si="16"/>
        <v>223-901</v>
      </c>
      <c r="C1059" s="76">
        <v>1451.3610000000001</v>
      </c>
    </row>
    <row r="1060" spans="1:3" ht="14.5">
      <c r="A1060" s="2042">
        <v>223902</v>
      </c>
      <c r="B1060" s="2113" t="str">
        <f t="shared" si="16"/>
        <v>223-902</v>
      </c>
      <c r="C1060" s="76">
        <v>256.02999999999997</v>
      </c>
    </row>
    <row r="1061" spans="1:3" ht="14.5">
      <c r="A1061" s="2042">
        <v>223904</v>
      </c>
      <c r="B1061" s="2113" t="str">
        <f t="shared" si="16"/>
        <v>223-904</v>
      </c>
      <c r="C1061" s="76">
        <v>284.60199999999998</v>
      </c>
    </row>
    <row r="1062" spans="1:3" ht="14.5">
      <c r="A1062" s="2042">
        <v>224901</v>
      </c>
      <c r="B1062" s="2113" t="str">
        <f t="shared" si="16"/>
        <v>224-901</v>
      </c>
      <c r="C1062" s="76">
        <v>168.267</v>
      </c>
    </row>
    <row r="1063" spans="1:3" ht="14.5">
      <c r="A1063" s="2042">
        <v>224902</v>
      </c>
      <c r="B1063" s="2113" t="str">
        <f t="shared" si="16"/>
        <v>224-902</v>
      </c>
      <c r="C1063" s="76">
        <v>143.77799999999999</v>
      </c>
    </row>
    <row r="1064" spans="1:3" ht="14.5">
      <c r="A1064" s="2042">
        <v>225902</v>
      </c>
      <c r="B1064" s="2113" t="str">
        <f t="shared" si="16"/>
        <v>225-902</v>
      </c>
      <c r="C1064" s="76">
        <v>4779.4629999999997</v>
      </c>
    </row>
    <row r="1065" spans="1:3" ht="14.5">
      <c r="A1065" s="2042">
        <v>225906</v>
      </c>
      <c r="B1065" s="2113" t="str">
        <f t="shared" si="16"/>
        <v>225-906</v>
      </c>
      <c r="C1065" s="76">
        <v>994.173</v>
      </c>
    </row>
    <row r="1066" spans="1:3" ht="14.5">
      <c r="A1066" s="2042">
        <v>225907</v>
      </c>
      <c r="B1066" s="2113" t="str">
        <f t="shared" si="16"/>
        <v>225-907</v>
      </c>
      <c r="C1066" s="76">
        <v>658.25900000000001</v>
      </c>
    </row>
    <row r="1067" spans="1:3" ht="14.5">
      <c r="A1067" s="2042">
        <v>226801</v>
      </c>
      <c r="B1067" s="2113" t="str">
        <f t="shared" si="16"/>
        <v>226-801</v>
      </c>
      <c r="C1067" s="76">
        <v>2880.4110000000001</v>
      </c>
    </row>
    <row r="1068" spans="1:3" ht="14.5">
      <c r="A1068" s="2042">
        <v>226901</v>
      </c>
      <c r="B1068" s="2113" t="str">
        <f t="shared" si="16"/>
        <v>226-901</v>
      </c>
      <c r="C1068" s="76">
        <v>522.38800000000003</v>
      </c>
    </row>
    <row r="1069" spans="1:3" ht="14.5">
      <c r="A1069" s="2042">
        <v>226903</v>
      </c>
      <c r="B1069" s="2113" t="str">
        <f t="shared" si="16"/>
        <v>226-903</v>
      </c>
      <c r="C1069" s="76">
        <v>13453.495000000001</v>
      </c>
    </row>
    <row r="1070" spans="1:3" ht="14.5">
      <c r="A1070" s="2042">
        <v>226905</v>
      </c>
      <c r="B1070" s="2113" t="str">
        <f t="shared" si="16"/>
        <v>226-905</v>
      </c>
      <c r="C1070" s="76">
        <v>298.983</v>
      </c>
    </row>
    <row r="1071" spans="1:3" ht="14.5">
      <c r="A1071" s="2042">
        <v>226906</v>
      </c>
      <c r="B1071" s="2113" t="str">
        <f t="shared" si="16"/>
        <v>226-906</v>
      </c>
      <c r="C1071" s="76">
        <v>1254.384</v>
      </c>
    </row>
    <row r="1072" spans="1:3" ht="14.5">
      <c r="A1072" s="2042">
        <v>226907</v>
      </c>
      <c r="B1072" s="2113" t="str">
        <f t="shared" si="16"/>
        <v>226-907</v>
      </c>
      <c r="C1072" s="76">
        <v>1107.68</v>
      </c>
    </row>
    <row r="1073" spans="1:3" ht="14.5">
      <c r="A1073" s="2042">
        <v>226908</v>
      </c>
      <c r="B1073" s="2113" t="str">
        <f t="shared" si="16"/>
        <v>226-908</v>
      </c>
      <c r="C1073" s="76">
        <v>230.001</v>
      </c>
    </row>
    <row r="1074" spans="1:3" ht="14.5">
      <c r="A1074" s="2042">
        <v>227622</v>
      </c>
      <c r="B1074" s="2113" t="str">
        <f t="shared" si="16"/>
        <v>227-622</v>
      </c>
      <c r="C1074" s="76">
        <v>764</v>
      </c>
    </row>
    <row r="1075" spans="1:3" ht="14.5">
      <c r="A1075" s="2042">
        <v>227803</v>
      </c>
      <c r="B1075" s="2113" t="str">
        <f t="shared" si="16"/>
        <v>227-803</v>
      </c>
      <c r="C1075" s="76">
        <v>1764.402</v>
      </c>
    </row>
    <row r="1076" spans="1:3" ht="14.5">
      <c r="A1076" s="2042">
        <v>227804</v>
      </c>
      <c r="B1076" s="2113" t="str">
        <f t="shared" si="16"/>
        <v>227-804</v>
      </c>
      <c r="C1076" s="76">
        <v>1010.807</v>
      </c>
    </row>
    <row r="1077" spans="1:3" ht="14.5">
      <c r="A1077" s="2042">
        <v>227805</v>
      </c>
      <c r="B1077" s="2113" t="str">
        <f t="shared" si="16"/>
        <v>227-805</v>
      </c>
      <c r="C1077" s="76">
        <v>374.61700000000002</v>
      </c>
    </row>
    <row r="1078" spans="1:3" ht="14.5">
      <c r="A1078" s="2042">
        <v>227806</v>
      </c>
      <c r="B1078" s="2113" t="str">
        <f t="shared" si="16"/>
        <v>227-806</v>
      </c>
      <c r="C1078" s="76">
        <v>559.94500000000005</v>
      </c>
    </row>
    <row r="1079" spans="1:3" ht="14.5">
      <c r="A1079" s="2042">
        <v>227814</v>
      </c>
      <c r="B1079" s="2113" t="str">
        <f t="shared" si="16"/>
        <v>227-814</v>
      </c>
      <c r="C1079" s="76">
        <v>349.673</v>
      </c>
    </row>
    <row r="1080" spans="1:3" ht="14.5">
      <c r="A1080" s="2042">
        <v>227816</v>
      </c>
      <c r="B1080" s="2113" t="str">
        <f t="shared" si="16"/>
        <v>227-816</v>
      </c>
      <c r="C1080" s="76">
        <v>4199.0839999999998</v>
      </c>
    </row>
    <row r="1081" spans="1:3" ht="14.5">
      <c r="A1081" s="2042">
        <v>227817</v>
      </c>
      <c r="B1081" s="2113" t="str">
        <f t="shared" si="16"/>
        <v>227-817</v>
      </c>
      <c r="C1081" s="76">
        <v>457.11900000000003</v>
      </c>
    </row>
    <row r="1082" spans="1:3" ht="14.5">
      <c r="A1082" s="2042">
        <v>227819</v>
      </c>
      <c r="B1082" s="2113" t="str">
        <f t="shared" si="16"/>
        <v>227-819</v>
      </c>
      <c r="C1082" s="76">
        <v>261.66199999999998</v>
      </c>
    </row>
    <row r="1083" spans="1:3" ht="14.5">
      <c r="A1083" s="2042">
        <v>227820</v>
      </c>
      <c r="B1083" s="2113" t="str">
        <f t="shared" si="16"/>
        <v>227-820</v>
      </c>
      <c r="C1083" s="76">
        <v>28093.574000000001</v>
      </c>
    </row>
    <row r="1084" spans="1:3" ht="14.5">
      <c r="A1084" s="2042">
        <v>227821</v>
      </c>
      <c r="B1084" s="2113" t="str">
        <f t="shared" si="16"/>
        <v>227-821</v>
      </c>
      <c r="C1084" s="76">
        <v>406</v>
      </c>
    </row>
    <row r="1085" spans="1:3" ht="14.5">
      <c r="A1085" s="2042">
        <v>227824</v>
      </c>
      <c r="B1085" s="2113" t="str">
        <f t="shared" si="16"/>
        <v>227-824</v>
      </c>
      <c r="C1085" s="76">
        <v>1084.5809999999999</v>
      </c>
    </row>
    <row r="1086" spans="1:3" ht="14.5">
      <c r="A1086" s="2042">
        <v>227825</v>
      </c>
      <c r="B1086" s="2113" t="str">
        <f t="shared" si="16"/>
        <v>227-825</v>
      </c>
      <c r="C1086" s="76">
        <v>2037</v>
      </c>
    </row>
    <row r="1087" spans="1:3" ht="14.5">
      <c r="A1087" s="2042">
        <v>227826</v>
      </c>
      <c r="B1087" s="2113" t="str">
        <f t="shared" si="16"/>
        <v>227-826</v>
      </c>
      <c r="C1087" s="76">
        <v>396.846</v>
      </c>
    </row>
    <row r="1088" spans="1:3" ht="14.5">
      <c r="A1088" s="2042">
        <v>227827</v>
      </c>
      <c r="B1088" s="2113" t="str">
        <f t="shared" si="16"/>
        <v>227-827</v>
      </c>
      <c r="C1088" s="76">
        <v>546.07600000000002</v>
      </c>
    </row>
    <row r="1089" spans="1:3" ht="14.5">
      <c r="A1089" s="2042">
        <v>227829</v>
      </c>
      <c r="B1089" s="2113" t="str">
        <f t="shared" si="16"/>
        <v>227-829</v>
      </c>
      <c r="C1089" s="76">
        <v>1051.3430000000001</v>
      </c>
    </row>
    <row r="1090" spans="1:3" ht="14.5">
      <c r="A1090" s="2042">
        <v>227901</v>
      </c>
      <c r="B1090" s="2113" t="str">
        <f t="shared" si="16"/>
        <v>227-901</v>
      </c>
      <c r="C1090" s="76">
        <v>73088.63</v>
      </c>
    </row>
    <row r="1091" spans="1:3" ht="14.5">
      <c r="A1091" s="2042">
        <v>227904</v>
      </c>
      <c r="B1091" s="2113" t="str">
        <f t="shared" ref="B1091:B1154" si="17">CONCATENATE(LEFT(RIGHT(CONCATENATE("000",A1091),6),3),"-",(RIGHT(RIGHT(CONCATENATE("000",A1091),6),3)))</f>
        <v>227-904</v>
      </c>
      <c r="C1091" s="76">
        <v>25399.343000000001</v>
      </c>
    </row>
    <row r="1092" spans="1:3" ht="14.5">
      <c r="A1092" s="2042">
        <v>227905</v>
      </c>
      <c r="B1092" s="2113" t="str">
        <f t="shared" si="17"/>
        <v>227-905</v>
      </c>
      <c r="C1092" s="76">
        <v>125.6</v>
      </c>
    </row>
    <row r="1093" spans="1:3" ht="14.5">
      <c r="A1093" s="2042">
        <v>227906</v>
      </c>
      <c r="B1093" s="2113" t="str">
        <f t="shared" si="17"/>
        <v>227-906</v>
      </c>
      <c r="C1093" s="76">
        <v>496.69</v>
      </c>
    </row>
    <row r="1094" spans="1:3" ht="14.5">
      <c r="A1094" s="2042">
        <v>227907</v>
      </c>
      <c r="B1094" s="2113" t="str">
        <f t="shared" si="17"/>
        <v>227-907</v>
      </c>
      <c r="C1094" s="76">
        <v>8933.634</v>
      </c>
    </row>
    <row r="1095" spans="1:3" ht="14.5">
      <c r="A1095" s="2042">
        <v>227909</v>
      </c>
      <c r="B1095" s="2113" t="str">
        <f t="shared" si="17"/>
        <v>227-909</v>
      </c>
      <c r="C1095" s="76">
        <v>7873.3459999999995</v>
      </c>
    </row>
    <row r="1096" spans="1:3" ht="14.5">
      <c r="A1096" s="2042">
        <v>227910</v>
      </c>
      <c r="B1096" s="2113" t="str">
        <f t="shared" si="17"/>
        <v>227-910</v>
      </c>
      <c r="C1096" s="76">
        <v>9901.1820000000007</v>
      </c>
    </row>
    <row r="1097" spans="1:3" ht="14.5">
      <c r="A1097" s="2042">
        <v>227912</v>
      </c>
      <c r="B1097" s="2113" t="str">
        <f t="shared" si="17"/>
        <v>227-912</v>
      </c>
      <c r="C1097" s="76">
        <v>1550.585</v>
      </c>
    </row>
    <row r="1098" spans="1:3" ht="14.5">
      <c r="A1098" s="2042">
        <v>227913</v>
      </c>
      <c r="B1098" s="2113" t="str">
        <f t="shared" si="17"/>
        <v>227-913</v>
      </c>
      <c r="C1098" s="76">
        <v>10794.76</v>
      </c>
    </row>
    <row r="1099" spans="1:3" ht="14.5">
      <c r="A1099" s="2042">
        <v>228901</v>
      </c>
      <c r="B1099" s="2113" t="str">
        <f t="shared" si="17"/>
        <v>228-901</v>
      </c>
      <c r="C1099" s="76">
        <v>724.95299999999997</v>
      </c>
    </row>
    <row r="1100" spans="1:3" ht="14.5">
      <c r="A1100" s="2042">
        <v>228903</v>
      </c>
      <c r="B1100" s="2113" t="str">
        <f t="shared" si="17"/>
        <v>228-903</v>
      </c>
      <c r="C1100" s="76">
        <v>1092.423</v>
      </c>
    </row>
    <row r="1101" spans="1:3" ht="14.5">
      <c r="A1101" s="2042">
        <v>228904</v>
      </c>
      <c r="B1101" s="2113" t="str">
        <f t="shared" si="17"/>
        <v>228-904</v>
      </c>
      <c r="C1101" s="76">
        <v>163.63200000000001</v>
      </c>
    </row>
    <row r="1102" spans="1:3" ht="14.5">
      <c r="A1102" s="2042">
        <v>228905</v>
      </c>
      <c r="B1102" s="2113" t="str">
        <f t="shared" si="17"/>
        <v>228-905</v>
      </c>
      <c r="C1102" s="76">
        <v>184.952</v>
      </c>
    </row>
    <row r="1103" spans="1:3" ht="14.5">
      <c r="A1103" s="2042">
        <v>229901</v>
      </c>
      <c r="B1103" s="2113" t="str">
        <f t="shared" si="17"/>
        <v>229-901</v>
      </c>
      <c r="C1103" s="76">
        <v>463.02300000000002</v>
      </c>
    </row>
    <row r="1104" spans="1:3" ht="14.5">
      <c r="A1104" s="2042">
        <v>229903</v>
      </c>
      <c r="B1104" s="2113" t="str">
        <f t="shared" si="17"/>
        <v>229-903</v>
      </c>
      <c r="C1104" s="76">
        <v>1258.104</v>
      </c>
    </row>
    <row r="1105" spans="1:3" ht="14.5">
      <c r="A1105" s="2042">
        <v>229904</v>
      </c>
      <c r="B1105" s="2113" t="str">
        <f t="shared" si="17"/>
        <v>229-904</v>
      </c>
      <c r="C1105" s="76">
        <v>1163.1880000000001</v>
      </c>
    </row>
    <row r="1106" spans="1:3" ht="14.5">
      <c r="A1106" s="2042">
        <v>229905</v>
      </c>
      <c r="B1106" s="2113" t="str">
        <f t="shared" si="17"/>
        <v>229-905</v>
      </c>
      <c r="C1106" s="76">
        <v>381.91199999999998</v>
      </c>
    </row>
    <row r="1107" spans="1:3" ht="14.5">
      <c r="A1107" s="2042">
        <v>229906</v>
      </c>
      <c r="B1107" s="2113" t="str">
        <f t="shared" si="17"/>
        <v>229-906</v>
      </c>
      <c r="C1107" s="76">
        <v>193.46299999999999</v>
      </c>
    </row>
    <row r="1108" spans="1:3" ht="14.5">
      <c r="A1108" s="2042">
        <v>230901</v>
      </c>
      <c r="B1108" s="2113" t="str">
        <f t="shared" si="17"/>
        <v>230-901</v>
      </c>
      <c r="C1108" s="76">
        <v>591.42200000000003</v>
      </c>
    </row>
    <row r="1109" spans="1:3" ht="14.5">
      <c r="A1109" s="2042">
        <v>230902</v>
      </c>
      <c r="B1109" s="2113" t="str">
        <f t="shared" si="17"/>
        <v>230-902</v>
      </c>
      <c r="C1109" s="76">
        <v>2442.14</v>
      </c>
    </row>
    <row r="1110" spans="1:3" ht="14.5">
      <c r="A1110" s="2042">
        <v>230903</v>
      </c>
      <c r="B1110" s="2113" t="str">
        <f t="shared" si="17"/>
        <v>230-903</v>
      </c>
      <c r="C1110" s="76">
        <v>931.154</v>
      </c>
    </row>
    <row r="1111" spans="1:3" ht="14.5">
      <c r="A1111" s="2042">
        <v>230904</v>
      </c>
      <c r="B1111" s="2113" t="str">
        <f t="shared" si="17"/>
        <v>230-904</v>
      </c>
      <c r="C1111" s="76">
        <v>294.964</v>
      </c>
    </row>
    <row r="1112" spans="1:3" ht="14.5">
      <c r="A1112" s="2042">
        <v>230905</v>
      </c>
      <c r="B1112" s="2113" t="str">
        <f t="shared" si="17"/>
        <v>230-905</v>
      </c>
      <c r="C1112" s="76">
        <v>1011.3630000000001</v>
      </c>
    </row>
    <row r="1113" spans="1:3" ht="14.5">
      <c r="A1113" s="2042">
        <v>230906</v>
      </c>
      <c r="B1113" s="2113" t="str">
        <f t="shared" si="17"/>
        <v>230-906</v>
      </c>
      <c r="C1113" s="76">
        <v>1186.0920000000001</v>
      </c>
    </row>
    <row r="1114" spans="1:3" ht="14.5">
      <c r="A1114" s="2042">
        <v>230908</v>
      </c>
      <c r="B1114" s="2113" t="str">
        <f t="shared" si="17"/>
        <v>230-908</v>
      </c>
      <c r="C1114" s="76">
        <v>730.34100000000001</v>
      </c>
    </row>
    <row r="1115" spans="1:3" ht="14.5">
      <c r="A1115" s="2042">
        <v>231901</v>
      </c>
      <c r="B1115" s="2113" t="str">
        <f t="shared" si="17"/>
        <v>231-901</v>
      </c>
      <c r="C1115" s="76">
        <v>495.803</v>
      </c>
    </row>
    <row r="1116" spans="1:3" ht="14.5">
      <c r="A1116" s="2042">
        <v>231902</v>
      </c>
      <c r="B1116" s="2113" t="str">
        <f t="shared" si="17"/>
        <v>231-902</v>
      </c>
      <c r="C1116" s="76">
        <v>270.90300000000002</v>
      </c>
    </row>
    <row r="1117" spans="1:3" ht="14.5">
      <c r="A1117" s="2042">
        <v>232901</v>
      </c>
      <c r="B1117" s="2113" t="str">
        <f t="shared" si="17"/>
        <v>232-901</v>
      </c>
      <c r="C1117" s="76">
        <v>408.44499999999999</v>
      </c>
    </row>
    <row r="1118" spans="1:3" ht="14.5">
      <c r="A1118" s="2042">
        <v>232902</v>
      </c>
      <c r="B1118" s="2113" t="str">
        <f t="shared" si="17"/>
        <v>232-902</v>
      </c>
      <c r="C1118" s="76">
        <v>376.59</v>
      </c>
    </row>
    <row r="1119" spans="1:3" ht="14.5">
      <c r="A1119" s="2042">
        <v>232903</v>
      </c>
      <c r="B1119" s="2113" t="str">
        <f t="shared" si="17"/>
        <v>232-903</v>
      </c>
      <c r="C1119" s="76">
        <v>3743.962</v>
      </c>
    </row>
    <row r="1120" spans="1:3" ht="14.5">
      <c r="A1120" s="2042">
        <v>232904</v>
      </c>
      <c r="B1120" s="2113" t="str">
        <f t="shared" si="17"/>
        <v>232-904</v>
      </c>
      <c r="C1120" s="76">
        <v>194.03700000000001</v>
      </c>
    </row>
    <row r="1121" spans="1:3" ht="14.5">
      <c r="A1121" s="2042">
        <v>233901</v>
      </c>
      <c r="B1121" s="2113" t="str">
        <f t="shared" si="17"/>
        <v>233-901</v>
      </c>
      <c r="C1121" s="76">
        <v>9369.8829999999998</v>
      </c>
    </row>
    <row r="1122" spans="1:3" ht="14.5">
      <c r="A1122" s="2042">
        <v>233903</v>
      </c>
      <c r="B1122" s="2113" t="str">
        <f t="shared" si="17"/>
        <v>233-903</v>
      </c>
      <c r="C1122" s="76">
        <v>220.91300000000001</v>
      </c>
    </row>
    <row r="1123" spans="1:3" ht="14.5">
      <c r="A1123" s="2042">
        <v>234801</v>
      </c>
      <c r="B1123" s="2113" t="str">
        <f t="shared" si="17"/>
        <v>234-801</v>
      </c>
      <c r="C1123" s="76">
        <v>60.384999999999998</v>
      </c>
    </row>
    <row r="1124" spans="1:3" ht="14.5">
      <c r="A1124" s="2042">
        <v>234902</v>
      </c>
      <c r="B1124" s="2113" t="str">
        <f t="shared" si="17"/>
        <v>234-902</v>
      </c>
      <c r="C1124" s="76">
        <v>2091.0749999999998</v>
      </c>
    </row>
    <row r="1125" spans="1:3" ht="14.5">
      <c r="A1125" s="2042">
        <v>234903</v>
      </c>
      <c r="B1125" s="2113" t="str">
        <f t="shared" si="17"/>
        <v>234-903</v>
      </c>
      <c r="C1125" s="76">
        <v>912.35500000000002</v>
      </c>
    </row>
    <row r="1126" spans="1:3" ht="14.5">
      <c r="A1126" s="2042">
        <v>234904</v>
      </c>
      <c r="B1126" s="2113" t="str">
        <f t="shared" si="17"/>
        <v>234-904</v>
      </c>
      <c r="C1126" s="76">
        <v>1016.9930000000001</v>
      </c>
    </row>
    <row r="1127" spans="1:3" ht="14.5">
      <c r="A1127" s="2042">
        <v>234905</v>
      </c>
      <c r="B1127" s="2113" t="str">
        <f t="shared" si="17"/>
        <v>234-905</v>
      </c>
      <c r="C1127" s="76">
        <v>471.44499999999999</v>
      </c>
    </row>
    <row r="1128" spans="1:3" ht="14.5">
      <c r="A1128" s="2042">
        <v>234906</v>
      </c>
      <c r="B1128" s="2113" t="str">
        <f t="shared" si="17"/>
        <v>234-906</v>
      </c>
      <c r="C1128" s="76">
        <v>2213.2220000000002</v>
      </c>
    </row>
    <row r="1129" spans="1:3" ht="14.5">
      <c r="A1129" s="2042">
        <v>234907</v>
      </c>
      <c r="B1129" s="2113" t="str">
        <f t="shared" si="17"/>
        <v>234-907</v>
      </c>
      <c r="C1129" s="76">
        <v>2407.6129999999998</v>
      </c>
    </row>
    <row r="1130" spans="1:3" ht="14.5">
      <c r="A1130" s="2042">
        <v>234909</v>
      </c>
      <c r="B1130" s="2113" t="str">
        <f t="shared" si="17"/>
        <v>234-909</v>
      </c>
      <c r="C1130" s="76">
        <v>393.03899999999999</v>
      </c>
    </row>
    <row r="1131" spans="1:3" ht="14.5">
      <c r="A1131" s="2042">
        <v>235901</v>
      </c>
      <c r="B1131" s="2113" t="str">
        <f t="shared" si="17"/>
        <v>235-901</v>
      </c>
      <c r="C1131" s="76">
        <v>740.48800000000006</v>
      </c>
    </row>
    <row r="1132" spans="1:3" ht="14.5">
      <c r="A1132" s="2042">
        <v>235902</v>
      </c>
      <c r="B1132" s="2113" t="str">
        <f t="shared" si="17"/>
        <v>235-902</v>
      </c>
      <c r="C1132" s="76">
        <v>12394.325999999999</v>
      </c>
    </row>
    <row r="1133" spans="1:3" ht="14.5">
      <c r="A1133" s="2042">
        <v>235904</v>
      </c>
      <c r="B1133" s="2113" t="str">
        <f t="shared" si="17"/>
        <v>235-904</v>
      </c>
      <c r="C1133" s="76">
        <v>150.71899999999999</v>
      </c>
    </row>
    <row r="1134" spans="1:3" ht="14.5">
      <c r="A1134" s="2042">
        <v>236801</v>
      </c>
      <c r="B1134" s="2113" t="str">
        <f t="shared" si="17"/>
        <v>236-801</v>
      </c>
      <c r="C1134" s="76">
        <v>25.75</v>
      </c>
    </row>
    <row r="1135" spans="1:3" ht="14.5">
      <c r="A1135" s="2042">
        <v>236802</v>
      </c>
      <c r="B1135" s="2113" t="str">
        <f t="shared" si="17"/>
        <v>236-802</v>
      </c>
      <c r="C1135" s="76">
        <v>517.22199999999998</v>
      </c>
    </row>
    <row r="1136" spans="1:3" ht="14.5">
      <c r="A1136" s="2042">
        <v>236901</v>
      </c>
      <c r="B1136" s="2113" t="str">
        <f t="shared" si="17"/>
        <v>236-901</v>
      </c>
      <c r="C1136" s="76">
        <v>966.10199999999998</v>
      </c>
    </row>
    <row r="1137" spans="1:3" ht="14.5">
      <c r="A1137" s="2042">
        <v>236902</v>
      </c>
      <c r="B1137" s="2113" t="str">
        <f t="shared" si="17"/>
        <v>236-902</v>
      </c>
      <c r="C1137" s="76">
        <v>9857.9140000000007</v>
      </c>
    </row>
    <row r="1138" spans="1:3" ht="14.5">
      <c r="A1138" s="2042">
        <v>237902</v>
      </c>
      <c r="B1138" s="2113" t="str">
        <f t="shared" si="17"/>
        <v>237-902</v>
      </c>
      <c r="C1138" s="76">
        <v>1329.0250000000001</v>
      </c>
    </row>
    <row r="1139" spans="1:3" ht="14.5">
      <c r="A1139" s="2042">
        <v>237904</v>
      </c>
      <c r="B1139" s="2113" t="str">
        <f t="shared" si="17"/>
        <v>237-904</v>
      </c>
      <c r="C1139" s="76">
        <v>7307.5839999999998</v>
      </c>
    </row>
    <row r="1140" spans="1:3" ht="14.5">
      <c r="A1140" s="2042">
        <v>237905</v>
      </c>
      <c r="B1140" s="2113" t="str">
        <f t="shared" si="17"/>
        <v>237-905</v>
      </c>
      <c r="C1140" s="76">
        <v>2325.5250000000001</v>
      </c>
    </row>
    <row r="1141" spans="1:3" ht="14.5">
      <c r="A1141" s="2042">
        <v>238902</v>
      </c>
      <c r="B1141" s="2113" t="str">
        <f t="shared" si="17"/>
        <v>238-902</v>
      </c>
      <c r="C1141" s="76">
        <v>2213.4279999999999</v>
      </c>
    </row>
    <row r="1142" spans="1:3" ht="14.5">
      <c r="A1142" s="2042">
        <v>238904</v>
      </c>
      <c r="B1142" s="2113" t="str">
        <f t="shared" si="17"/>
        <v>238-904</v>
      </c>
      <c r="C1142" s="76">
        <v>157.94499999999999</v>
      </c>
    </row>
    <row r="1143" spans="1:3" ht="14.5">
      <c r="A1143" s="2042">
        <v>239901</v>
      </c>
      <c r="B1143" s="2113" t="str">
        <f t="shared" si="17"/>
        <v>239-901</v>
      </c>
      <c r="C1143" s="76">
        <v>4774.1899999999996</v>
      </c>
    </row>
    <row r="1144" spans="1:3" ht="14.5">
      <c r="A1144" s="2042">
        <v>239903</v>
      </c>
      <c r="B1144" s="2113" t="str">
        <f t="shared" si="17"/>
        <v>239-903</v>
      </c>
      <c r="C1144" s="76">
        <v>452.05700000000002</v>
      </c>
    </row>
    <row r="1145" spans="1:3" ht="14.5">
      <c r="A1145" s="2042">
        <v>240503</v>
      </c>
      <c r="B1145" s="2113" t="str">
        <f t="shared" si="17"/>
        <v>240-503</v>
      </c>
      <c r="C1145" s="76">
        <v>98.72</v>
      </c>
    </row>
    <row r="1146" spans="1:3" ht="14.5">
      <c r="A1146" s="2042">
        <v>240801</v>
      </c>
      <c r="B1146" s="2113" t="str">
        <f t="shared" si="17"/>
        <v>240-801</v>
      </c>
      <c r="C1146" s="76">
        <v>202.024</v>
      </c>
    </row>
    <row r="1147" spans="1:3" ht="14.5">
      <c r="A1147" s="2042">
        <v>240901</v>
      </c>
      <c r="B1147" s="2113" t="str">
        <f t="shared" si="17"/>
        <v>240-901</v>
      </c>
      <c r="C1147" s="76">
        <v>21334.085999999999</v>
      </c>
    </row>
    <row r="1148" spans="1:3" ht="14.5">
      <c r="A1148" s="2042">
        <v>240903</v>
      </c>
      <c r="B1148" s="2113" t="str">
        <f t="shared" si="17"/>
        <v>240-903</v>
      </c>
      <c r="C1148" s="76">
        <v>39912.726000000002</v>
      </c>
    </row>
    <row r="1149" spans="1:3" ht="14.5">
      <c r="A1149" s="2042">
        <v>240904</v>
      </c>
      <c r="B1149" s="2113" t="str">
        <f t="shared" si="17"/>
        <v>240-904</v>
      </c>
      <c r="C1149" s="76">
        <v>242.70099999999999</v>
      </c>
    </row>
    <row r="1150" spans="1:3" ht="14.5">
      <c r="A1150" s="2042">
        <v>241901</v>
      </c>
      <c r="B1150" s="2113" t="str">
        <f t="shared" si="17"/>
        <v>241-901</v>
      </c>
      <c r="C1150" s="76">
        <v>1105.011</v>
      </c>
    </row>
    <row r="1151" spans="1:3" ht="14.5">
      <c r="A1151" s="2042">
        <v>241902</v>
      </c>
      <c r="B1151" s="2113" t="str">
        <f t="shared" si="17"/>
        <v>241-902</v>
      </c>
      <c r="C1151" s="76">
        <v>885.846</v>
      </c>
    </row>
    <row r="1152" spans="1:3" ht="14.5">
      <c r="A1152" s="2042">
        <v>241903</v>
      </c>
      <c r="B1152" s="2113" t="str">
        <f t="shared" si="17"/>
        <v>241-903</v>
      </c>
      <c r="C1152" s="76">
        <v>3277.1289999999999</v>
      </c>
    </row>
    <row r="1153" spans="1:3" ht="14.5">
      <c r="A1153" s="2042">
        <v>241904</v>
      </c>
      <c r="B1153" s="2113" t="str">
        <f t="shared" si="17"/>
        <v>241-904</v>
      </c>
      <c r="C1153" s="76">
        <v>1723.4480000000001</v>
      </c>
    </row>
    <row r="1154" spans="1:3" ht="14.5">
      <c r="A1154" s="2042">
        <v>241906</v>
      </c>
      <c r="B1154" s="2113" t="str">
        <f t="shared" si="17"/>
        <v>241-906</v>
      </c>
      <c r="C1154" s="76">
        <v>498.21100000000001</v>
      </c>
    </row>
    <row r="1155" spans="1:3" ht="14.5">
      <c r="A1155" s="2042">
        <v>242902</v>
      </c>
      <c r="B1155" s="2113" t="str">
        <f t="shared" ref="B1155:B1210" si="18">CONCATENATE(LEFT(RIGHT(CONCATENATE("000",A1155),6),3),"-",(RIGHT(RIGHT(CONCATENATE("000",A1155),6),3)))</f>
        <v>242-902</v>
      </c>
      <c r="C1155" s="76">
        <v>363.39100000000002</v>
      </c>
    </row>
    <row r="1156" spans="1:3" ht="14.5">
      <c r="A1156" s="2042">
        <v>242903</v>
      </c>
      <c r="B1156" s="2113" t="str">
        <f t="shared" si="18"/>
        <v>242-903</v>
      </c>
      <c r="C1156" s="76">
        <v>423.72500000000002</v>
      </c>
    </row>
    <row r="1157" spans="1:3" ht="14.5">
      <c r="A1157" s="2042">
        <v>242905</v>
      </c>
      <c r="B1157" s="2113" t="str">
        <f t="shared" si="18"/>
        <v>242-905</v>
      </c>
      <c r="C1157" s="76">
        <v>109.462</v>
      </c>
    </row>
    <row r="1158" spans="1:3" ht="14.5">
      <c r="A1158" s="2042">
        <v>242906</v>
      </c>
      <c r="B1158" s="2113" t="str">
        <f t="shared" si="18"/>
        <v>242-906</v>
      </c>
      <c r="C1158" s="76">
        <v>130.63399999999999</v>
      </c>
    </row>
    <row r="1159" spans="1:3" ht="14.5">
      <c r="A1159" s="2042">
        <v>243901</v>
      </c>
      <c r="B1159" s="2113" t="str">
        <f t="shared" si="18"/>
        <v>243-901</v>
      </c>
      <c r="C1159" s="76">
        <v>3016.998</v>
      </c>
    </row>
    <row r="1160" spans="1:3" ht="14.5">
      <c r="A1160" s="2042">
        <v>243902</v>
      </c>
      <c r="B1160" s="2113" t="str">
        <f t="shared" si="18"/>
        <v>243-902</v>
      </c>
      <c r="C1160" s="76">
        <v>407.28500000000003</v>
      </c>
    </row>
    <row r="1161" spans="1:3" ht="14.5">
      <c r="A1161" s="2042">
        <v>243903</v>
      </c>
      <c r="B1161" s="2113" t="str">
        <f t="shared" si="18"/>
        <v>243-903</v>
      </c>
      <c r="C1161" s="76">
        <v>1840.52</v>
      </c>
    </row>
    <row r="1162" spans="1:3" ht="14.5">
      <c r="A1162" s="2042">
        <v>243905</v>
      </c>
      <c r="B1162" s="2113" t="str">
        <f t="shared" si="18"/>
        <v>243-905</v>
      </c>
      <c r="C1162" s="76">
        <v>12886.133</v>
      </c>
    </row>
    <row r="1163" spans="1:3" ht="14.5">
      <c r="A1163" s="2042">
        <v>243906</v>
      </c>
      <c r="B1163" s="2113" t="str">
        <f t="shared" si="18"/>
        <v>243-906</v>
      </c>
      <c r="C1163" s="76">
        <v>967.24</v>
      </c>
    </row>
    <row r="1164" spans="1:3" ht="14.5">
      <c r="A1164" s="2042">
        <v>244901</v>
      </c>
      <c r="B1164" s="2113" t="str">
        <f t="shared" si="18"/>
        <v>244-901</v>
      </c>
      <c r="C1164" s="76">
        <v>101.15300000000001</v>
      </c>
    </row>
    <row r="1165" spans="1:3" ht="14.5">
      <c r="A1165" s="2042">
        <v>244903</v>
      </c>
      <c r="B1165" s="2113" t="str">
        <f t="shared" si="18"/>
        <v>244-903</v>
      </c>
      <c r="C1165" s="76">
        <v>1831.162</v>
      </c>
    </row>
    <row r="1166" spans="1:3" ht="14.5">
      <c r="A1166" s="2042">
        <v>244905</v>
      </c>
      <c r="B1166" s="2113" t="str">
        <f t="shared" si="18"/>
        <v>244-905</v>
      </c>
      <c r="C1166" s="76">
        <v>229.916</v>
      </c>
    </row>
    <row r="1167" spans="1:3" ht="14.5">
      <c r="A1167" s="2042">
        <v>245901</v>
      </c>
      <c r="B1167" s="2113" t="str">
        <f t="shared" si="18"/>
        <v>245-901</v>
      </c>
      <c r="C1167" s="76">
        <v>283.34300000000002</v>
      </c>
    </row>
    <row r="1168" spans="1:3" ht="14.5">
      <c r="A1168" s="2042">
        <v>245902</v>
      </c>
      <c r="B1168" s="2113" t="str">
        <f t="shared" si="18"/>
        <v>245-902</v>
      </c>
      <c r="C1168" s="76">
        <v>1290.9659999999999</v>
      </c>
    </row>
    <row r="1169" spans="1:3" ht="14.5">
      <c r="A1169" s="2042">
        <v>245903</v>
      </c>
      <c r="B1169" s="2113" t="str">
        <f t="shared" si="18"/>
        <v>245-903</v>
      </c>
      <c r="C1169" s="76">
        <v>1945.579</v>
      </c>
    </row>
    <row r="1170" spans="1:3" ht="14.5">
      <c r="A1170" s="2042">
        <v>245904</v>
      </c>
      <c r="B1170" s="2113" t="str">
        <f t="shared" si="18"/>
        <v>245-904</v>
      </c>
      <c r="C1170" s="76">
        <v>222.05799999999999</v>
      </c>
    </row>
    <row r="1171" spans="1:3" ht="14.5">
      <c r="A1171" s="2042">
        <v>246801</v>
      </c>
      <c r="B1171" s="2113" t="str">
        <f t="shared" si="18"/>
        <v>246-801</v>
      </c>
      <c r="C1171" s="76">
        <v>1650.7170000000001</v>
      </c>
    </row>
    <row r="1172" spans="1:3" ht="14.5">
      <c r="A1172" s="2042">
        <v>246802</v>
      </c>
      <c r="B1172" s="2113" t="str">
        <f t="shared" si="18"/>
        <v>246-802</v>
      </c>
      <c r="C1172" s="76">
        <v>402.61599999999999</v>
      </c>
    </row>
    <row r="1173" spans="1:3" ht="14.5">
      <c r="A1173" s="2042">
        <v>246902</v>
      </c>
      <c r="B1173" s="2113" t="str">
        <f t="shared" si="18"/>
        <v>246-902</v>
      </c>
      <c r="C1173" s="76">
        <v>1010.455</v>
      </c>
    </row>
    <row r="1174" spans="1:3" ht="14.5">
      <c r="A1174" s="2042">
        <v>246904</v>
      </c>
      <c r="B1174" s="2113" t="str">
        <f t="shared" si="18"/>
        <v>246-904</v>
      </c>
      <c r="C1174" s="76">
        <v>11712.101000000001</v>
      </c>
    </row>
    <row r="1175" spans="1:3" ht="14.5">
      <c r="A1175" s="2042">
        <v>246905</v>
      </c>
      <c r="B1175" s="2113" t="str">
        <f t="shared" si="18"/>
        <v>246-905</v>
      </c>
      <c r="C1175" s="76">
        <v>432.06700000000001</v>
      </c>
    </row>
    <row r="1176" spans="1:3" ht="14.5">
      <c r="A1176" s="2042">
        <v>246906</v>
      </c>
      <c r="B1176" s="2113" t="str">
        <f t="shared" si="18"/>
        <v>246-906</v>
      </c>
      <c r="C1176" s="76">
        <v>7980.6970000000001</v>
      </c>
    </row>
    <row r="1177" spans="1:3" ht="14.5">
      <c r="A1177" s="2042">
        <v>246907</v>
      </c>
      <c r="B1177" s="2113" t="str">
        <f t="shared" si="18"/>
        <v>246-907</v>
      </c>
      <c r="C1177" s="76">
        <v>2230.3290000000002</v>
      </c>
    </row>
    <row r="1178" spans="1:3" ht="14.5">
      <c r="A1178" s="2042">
        <v>246908</v>
      </c>
      <c r="B1178" s="2113" t="str">
        <f t="shared" si="18"/>
        <v>246-908</v>
      </c>
      <c r="C1178" s="76">
        <v>5362.5379999999996</v>
      </c>
    </row>
    <row r="1179" spans="1:3" ht="14.5">
      <c r="A1179" s="2042">
        <v>246909</v>
      </c>
      <c r="B1179" s="2113" t="str">
        <f t="shared" si="18"/>
        <v>246-909</v>
      </c>
      <c r="C1179" s="76">
        <v>48967.178999999996</v>
      </c>
    </row>
    <row r="1180" spans="1:3" ht="14.5">
      <c r="A1180" s="2042">
        <v>246911</v>
      </c>
      <c r="B1180" s="2113" t="str">
        <f t="shared" si="18"/>
        <v>246-911</v>
      </c>
      <c r="C1180" s="76">
        <v>2807.7550000000001</v>
      </c>
    </row>
    <row r="1181" spans="1:3" ht="14.5">
      <c r="A1181" s="2042">
        <v>246912</v>
      </c>
      <c r="B1181" s="2113" t="str">
        <f t="shared" si="18"/>
        <v>246-912</v>
      </c>
      <c r="C1181" s="76">
        <v>714.91399999999999</v>
      </c>
    </row>
    <row r="1182" spans="1:3" ht="14.5">
      <c r="A1182" s="2042">
        <v>246913</v>
      </c>
      <c r="B1182" s="2113" t="str">
        <f t="shared" si="18"/>
        <v>246-913</v>
      </c>
      <c r="C1182" s="76">
        <v>40714.553999999996</v>
      </c>
    </row>
    <row r="1183" spans="1:3" ht="14.5">
      <c r="A1183" s="2042">
        <v>246914</v>
      </c>
      <c r="B1183" s="2113" t="str">
        <f t="shared" si="18"/>
        <v>246-914</v>
      </c>
      <c r="C1183" s="76">
        <v>174.636</v>
      </c>
    </row>
    <row r="1184" spans="1:3" ht="14.5">
      <c r="A1184" s="2042">
        <v>247901</v>
      </c>
      <c r="B1184" s="2113" t="str">
        <f t="shared" si="18"/>
        <v>247-901</v>
      </c>
      <c r="C1184" s="76">
        <v>3842.0219999999999</v>
      </c>
    </row>
    <row r="1185" spans="1:3" ht="14.5">
      <c r="A1185" s="2042">
        <v>247903</v>
      </c>
      <c r="B1185" s="2113" t="str">
        <f t="shared" si="18"/>
        <v>247-903</v>
      </c>
      <c r="C1185" s="76">
        <v>3180.703</v>
      </c>
    </row>
    <row r="1186" spans="1:3" ht="14.5">
      <c r="A1186" s="2042">
        <v>247904</v>
      </c>
      <c r="B1186" s="2113" t="str">
        <f t="shared" si="18"/>
        <v>247-904</v>
      </c>
      <c r="C1186" s="76">
        <v>842.20699999999999</v>
      </c>
    </row>
    <row r="1187" spans="1:3" ht="14.5">
      <c r="A1187" s="2042">
        <v>247906</v>
      </c>
      <c r="B1187" s="2113" t="str">
        <f t="shared" si="18"/>
        <v>247-906</v>
      </c>
      <c r="C1187" s="76">
        <v>750.23</v>
      </c>
    </row>
    <row r="1188" spans="1:3" ht="14.5">
      <c r="A1188" s="2042">
        <v>248901</v>
      </c>
      <c r="B1188" s="2113" t="str">
        <f t="shared" si="18"/>
        <v>248-901</v>
      </c>
      <c r="C1188" s="76">
        <v>1281.0239999999999</v>
      </c>
    </row>
    <row r="1189" spans="1:3" ht="14.5">
      <c r="A1189" s="2042">
        <v>248902</v>
      </c>
      <c r="B1189" s="2113" t="str">
        <f t="shared" si="18"/>
        <v>248-902</v>
      </c>
      <c r="C1189" s="76">
        <v>401.34800000000001</v>
      </c>
    </row>
    <row r="1190" spans="1:3" ht="14.5">
      <c r="A1190" s="2042">
        <v>249901</v>
      </c>
      <c r="B1190" s="2113" t="str">
        <f t="shared" si="18"/>
        <v>249-901</v>
      </c>
      <c r="C1190" s="76">
        <v>700.97500000000002</v>
      </c>
    </row>
    <row r="1191" spans="1:3" ht="14.5">
      <c r="A1191" s="2042">
        <v>249902</v>
      </c>
      <c r="B1191" s="2113" t="str">
        <f t="shared" si="18"/>
        <v>249-902</v>
      </c>
      <c r="C1191" s="76">
        <v>1157.17</v>
      </c>
    </row>
    <row r="1192" spans="1:3" ht="14.5">
      <c r="A1192" s="2042">
        <v>249903</v>
      </c>
      <c r="B1192" s="2113" t="str">
        <f t="shared" si="18"/>
        <v>249-903</v>
      </c>
      <c r="C1192" s="76">
        <v>1907.797</v>
      </c>
    </row>
    <row r="1193" spans="1:3" ht="14.5">
      <c r="A1193" s="2042">
        <v>249904</v>
      </c>
      <c r="B1193" s="2113" t="str">
        <f t="shared" si="18"/>
        <v>249-904</v>
      </c>
      <c r="C1193" s="76">
        <v>525.57399999999996</v>
      </c>
    </row>
    <row r="1194" spans="1:3" ht="14.5">
      <c r="A1194" s="2042">
        <v>249905</v>
      </c>
      <c r="B1194" s="2113" t="str">
        <f t="shared" si="18"/>
        <v>249-905</v>
      </c>
      <c r="C1194" s="76">
        <v>3323.058</v>
      </c>
    </row>
    <row r="1195" spans="1:3" ht="14.5">
      <c r="A1195" s="2042">
        <v>249906</v>
      </c>
      <c r="B1195" s="2113" t="str">
        <f t="shared" si="18"/>
        <v>249-906</v>
      </c>
      <c r="C1195" s="76">
        <v>1216.0989999999999</v>
      </c>
    </row>
    <row r="1196" spans="1:3" ht="14.5">
      <c r="A1196" s="2042">
        <v>249908</v>
      </c>
      <c r="B1196" s="2113" t="str">
        <f t="shared" si="18"/>
        <v>249-908</v>
      </c>
      <c r="C1196" s="76">
        <v>310.161</v>
      </c>
    </row>
    <row r="1197" spans="1:3" ht="14.5">
      <c r="A1197" s="2042">
        <v>250902</v>
      </c>
      <c r="B1197" s="2113" t="str">
        <f t="shared" si="18"/>
        <v>250-902</v>
      </c>
      <c r="C1197" s="76">
        <v>700.22699999999998</v>
      </c>
    </row>
    <row r="1198" spans="1:3" ht="14.5">
      <c r="A1198" s="2042">
        <v>250903</v>
      </c>
      <c r="B1198" s="2113" t="str">
        <f t="shared" si="18"/>
        <v>250-903</v>
      </c>
      <c r="C1198" s="76">
        <v>1536.2570000000001</v>
      </c>
    </row>
    <row r="1199" spans="1:3" ht="14.5">
      <c r="A1199" s="2042">
        <v>250904</v>
      </c>
      <c r="B1199" s="2113" t="str">
        <f t="shared" si="18"/>
        <v>250-904</v>
      </c>
      <c r="C1199" s="76">
        <v>1117.4770000000001</v>
      </c>
    </row>
    <row r="1200" spans="1:3" ht="14.5">
      <c r="A1200" s="2042">
        <v>250905</v>
      </c>
      <c r="B1200" s="2113" t="str">
        <f t="shared" si="18"/>
        <v>250-905</v>
      </c>
      <c r="C1200" s="76">
        <v>329.34800000000001</v>
      </c>
    </row>
    <row r="1201" spans="1:3" ht="14.5">
      <c r="A1201" s="2042">
        <v>250906</v>
      </c>
      <c r="B1201" s="2113" t="str">
        <f t="shared" si="18"/>
        <v>250-906</v>
      </c>
      <c r="C1201" s="76">
        <v>787.29300000000001</v>
      </c>
    </row>
    <row r="1202" spans="1:3" ht="14.5">
      <c r="A1202" s="2042">
        <v>250907</v>
      </c>
      <c r="B1202" s="2113" t="str">
        <f t="shared" si="18"/>
        <v>250-907</v>
      </c>
      <c r="C1202" s="76">
        <v>1374.7719999999999</v>
      </c>
    </row>
    <row r="1203" spans="1:3" ht="14.5">
      <c r="A1203" s="2042">
        <v>251901</v>
      </c>
      <c r="B1203" s="2113" t="str">
        <f t="shared" si="18"/>
        <v>251-901</v>
      </c>
      <c r="C1203" s="76">
        <v>1544.498</v>
      </c>
    </row>
    <row r="1204" spans="1:3" ht="14.5">
      <c r="A1204" s="2042">
        <v>251902</v>
      </c>
      <c r="B1204" s="2113" t="str">
        <f t="shared" si="18"/>
        <v>251-902</v>
      </c>
      <c r="C1204" s="76">
        <v>458.17500000000001</v>
      </c>
    </row>
    <row r="1205" spans="1:3" ht="14.5">
      <c r="A1205" s="2042">
        <v>252901</v>
      </c>
      <c r="B1205" s="2113" t="str">
        <f t="shared" si="18"/>
        <v>252-901</v>
      </c>
      <c r="C1205" s="76">
        <v>2254.4899999999998</v>
      </c>
    </row>
    <row r="1206" spans="1:3" ht="14.5">
      <c r="A1206" s="2042">
        <v>252902</v>
      </c>
      <c r="B1206" s="2113" t="str">
        <f t="shared" si="18"/>
        <v>252-902</v>
      </c>
      <c r="C1206" s="76">
        <v>189.59700000000001</v>
      </c>
    </row>
    <row r="1207" spans="1:3" ht="14.5">
      <c r="A1207" s="2042">
        <v>252903</v>
      </c>
      <c r="B1207" s="2113" t="str">
        <f t="shared" si="18"/>
        <v>252-903</v>
      </c>
      <c r="C1207" s="76">
        <v>625.04600000000005</v>
      </c>
    </row>
    <row r="1208" spans="1:3" ht="14.5">
      <c r="A1208" s="2042">
        <v>253901</v>
      </c>
      <c r="B1208" s="2113" t="str">
        <f t="shared" si="18"/>
        <v>253-901</v>
      </c>
      <c r="C1208" s="76">
        <v>3173.0659999999998</v>
      </c>
    </row>
    <row r="1209" spans="1:3" ht="14.5">
      <c r="A1209" s="2042">
        <v>254901</v>
      </c>
      <c r="B1209" s="2113" t="str">
        <f t="shared" si="18"/>
        <v>254-901</v>
      </c>
      <c r="C1209" s="76">
        <v>1725.6569999999999</v>
      </c>
    </row>
    <row r="1210" spans="1:3" ht="14.5">
      <c r="A1210" s="2042">
        <v>254902</v>
      </c>
      <c r="B1210" s="2113" t="str">
        <f t="shared" si="18"/>
        <v>254-902</v>
      </c>
      <c r="C1210" s="76">
        <v>477.40899999999999</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3"/>
  <dimension ref="A1:S260"/>
  <sheetViews>
    <sheetView topLeftCell="C149" workbookViewId="0">
      <selection activeCell="H158" sqref="H158"/>
    </sheetView>
  </sheetViews>
  <sheetFormatPr defaultRowHeight="12.5"/>
  <cols>
    <col min="1" max="1" width="3.54296875" customWidth="1"/>
    <col min="2" max="2" width="41.453125" customWidth="1"/>
    <col min="3" max="3" width="23.54296875" customWidth="1"/>
    <col min="4" max="4" width="33.81640625" customWidth="1"/>
    <col min="5" max="5" width="26.81640625" style="27" customWidth="1"/>
    <col min="6" max="6" width="29.81640625" style="41" customWidth="1"/>
    <col min="7" max="7" width="18.81640625" customWidth="1"/>
    <col min="8" max="8" width="19.54296875" customWidth="1"/>
    <col min="9" max="9" width="19.1796875" customWidth="1"/>
    <col min="10" max="10" width="18.453125" customWidth="1"/>
    <col min="11" max="11" width="15.26953125" customWidth="1"/>
    <col min="12" max="12" width="20.1796875" customWidth="1"/>
    <col min="13" max="13" width="11.54296875" customWidth="1"/>
    <col min="14" max="14" width="22" customWidth="1"/>
    <col min="15" max="15" width="11.54296875" bestFit="1" customWidth="1"/>
    <col min="16" max="16" width="22" customWidth="1"/>
    <col min="17" max="17" width="11.54296875" bestFit="1" customWidth="1"/>
    <col min="18" max="18" width="20" customWidth="1"/>
    <col min="19" max="19" width="11.54296875" bestFit="1" customWidth="1"/>
  </cols>
  <sheetData>
    <row r="1" spans="1:11" ht="13">
      <c r="A1" s="16" t="s">
        <v>64</v>
      </c>
      <c r="C1" s="183" t="e">
        <f>VLOOKUP(C2,'0506Data'!A1:C1027,2,FALSE)</f>
        <v>#N/A</v>
      </c>
      <c r="D1" s="11"/>
      <c r="G1" s="2042"/>
    </row>
    <row r="2" spans="1:11" ht="13">
      <c r="A2" s="16" t="s">
        <v>65</v>
      </c>
      <c r="C2" s="11">
        <f>'Data Entry - SOF'!B2</f>
        <v>0</v>
      </c>
      <c r="D2" s="56" t="s">
        <v>271</v>
      </c>
      <c r="G2" s="2042"/>
    </row>
    <row r="3" spans="1:11" ht="13">
      <c r="A3" s="16" t="s">
        <v>134</v>
      </c>
      <c r="C3" s="42">
        <f ca="1">NOW()</f>
        <v>44931.882496527774</v>
      </c>
      <c r="G3" s="2042"/>
    </row>
    <row r="4" spans="1:11" ht="13">
      <c r="D4" s="38" t="s">
        <v>86</v>
      </c>
    </row>
    <row r="5" spans="1:11">
      <c r="D5" s="38" t="s">
        <v>719</v>
      </c>
    </row>
    <row r="6" spans="1:11">
      <c r="A6" t="s">
        <v>2356</v>
      </c>
    </row>
    <row r="7" spans="1:11" ht="13">
      <c r="A7" t="s">
        <v>1230</v>
      </c>
    </row>
    <row r="8" spans="1:11" ht="13">
      <c r="A8" s="69" t="s">
        <v>1068</v>
      </c>
      <c r="B8" s="33"/>
      <c r="C8" s="70"/>
      <c r="D8" s="33"/>
      <c r="E8" s="492"/>
      <c r="F8" s="451"/>
      <c r="G8" s="34"/>
    </row>
    <row r="9" spans="1:11">
      <c r="A9" t="s">
        <v>2012</v>
      </c>
    </row>
    <row r="10" spans="1:11" ht="13" thickBot="1">
      <c r="A10" s="10" t="s">
        <v>1560</v>
      </c>
      <c r="B10" s="10"/>
      <c r="C10" s="10"/>
      <c r="D10" s="10"/>
      <c r="E10" s="493"/>
      <c r="F10" s="493"/>
      <c r="G10" s="10"/>
    </row>
    <row r="11" spans="1:11" ht="13.5" thickTop="1">
      <c r="A11" s="16" t="s">
        <v>66</v>
      </c>
      <c r="C11" s="16"/>
      <c r="D11" s="16"/>
      <c r="E11" s="48"/>
      <c r="F11" s="19"/>
      <c r="G11" s="16"/>
    </row>
    <row r="12" spans="1:11" ht="13">
      <c r="A12" s="17" t="s">
        <v>1001</v>
      </c>
      <c r="B12" s="9"/>
      <c r="C12" s="16" t="s">
        <v>361</v>
      </c>
    </row>
    <row r="13" spans="1:11">
      <c r="C13" s="12"/>
    </row>
    <row r="14" spans="1:11" ht="13">
      <c r="B14" s="32"/>
      <c r="C14" s="39" t="s">
        <v>1621</v>
      </c>
      <c r="D14" s="33"/>
      <c r="E14" s="492"/>
      <c r="F14" s="452"/>
    </row>
    <row r="15" spans="1:11" ht="13">
      <c r="F15" s="19"/>
    </row>
    <row r="16" spans="1:11">
      <c r="C16" s="1684" t="e">
        <f>VLOOKUP(C2,FGA_Line8!B2:C318,2,FALSE)</f>
        <v>#N/A</v>
      </c>
      <c r="F16"/>
      <c r="J16" s="2042"/>
      <c r="K16" s="2042"/>
    </row>
    <row r="17" spans="2:11">
      <c r="F17"/>
      <c r="J17" s="2042"/>
      <c r="K17" s="2042"/>
    </row>
    <row r="18" spans="2:11">
      <c r="D18" s="2042"/>
      <c r="E18" s="2042"/>
      <c r="F18"/>
      <c r="J18" s="2042"/>
      <c r="K18" s="2042"/>
    </row>
    <row r="19" spans="2:11">
      <c r="B19" s="2042"/>
      <c r="C19" s="2042"/>
      <c r="D19" s="2042"/>
      <c r="E19" s="2042"/>
      <c r="F19" s="41" t="s">
        <v>709</v>
      </c>
      <c r="J19" s="2042"/>
      <c r="K19" s="2042"/>
    </row>
    <row r="20" spans="2:11">
      <c r="B20" s="27" t="s">
        <v>8790</v>
      </c>
      <c r="C20" s="1684" t="e">
        <f>VLOOKUP(C2,OnlyDist_Flag!B2:C1231,2,FALSE)</f>
        <v>#N/A</v>
      </c>
    </row>
    <row r="21" spans="2:11">
      <c r="C21" s="2042"/>
      <c r="D21" s="2042"/>
      <c r="G21" s="41"/>
    </row>
    <row r="22" spans="2:11">
      <c r="B22" s="27"/>
      <c r="C22" s="2042"/>
      <c r="D22" s="2042"/>
      <c r="G22" s="41"/>
    </row>
    <row r="23" spans="2:11">
      <c r="C23" s="2042"/>
      <c r="D23" s="2042"/>
      <c r="G23" s="41"/>
    </row>
    <row r="24" spans="2:11">
      <c r="B24" s="2042"/>
      <c r="C24" s="2042"/>
      <c r="D24" s="2042"/>
      <c r="F24"/>
    </row>
    <row r="25" spans="2:11">
      <c r="B25" s="2042"/>
      <c r="C25" s="2042"/>
      <c r="G25" s="41"/>
    </row>
    <row r="26" spans="2:11">
      <c r="G26" s="41"/>
    </row>
    <row r="27" spans="2:11">
      <c r="B27" s="2042"/>
      <c r="C27" s="2042"/>
      <c r="D27" s="2042"/>
      <c r="E27" s="2042"/>
      <c r="G27" s="41"/>
    </row>
    <row r="28" spans="2:11">
      <c r="B28" s="2042"/>
      <c r="C28" s="2042"/>
      <c r="D28" s="2042"/>
      <c r="E28" s="2042"/>
      <c r="G28" s="41"/>
    </row>
    <row r="29" spans="2:11">
      <c r="B29" s="2042"/>
      <c r="C29" s="2042"/>
      <c r="D29" s="2042"/>
      <c r="E29" s="2042"/>
    </row>
    <row r="30" spans="2:11">
      <c r="B30" s="2042"/>
      <c r="C30" s="2042"/>
      <c r="D30" s="2042"/>
      <c r="E30" s="2042"/>
    </row>
    <row r="31" spans="2:11">
      <c r="B31" s="2042"/>
      <c r="C31" s="2042"/>
      <c r="D31" s="2042"/>
      <c r="E31" s="2042"/>
    </row>
    <row r="32" spans="2:11">
      <c r="B32" s="2042"/>
      <c r="C32" s="2042"/>
      <c r="D32" s="2042"/>
      <c r="E32" s="2042"/>
    </row>
    <row r="33" spans="2:19">
      <c r="B33" s="2042"/>
      <c r="C33" s="2042"/>
      <c r="D33" s="2042"/>
      <c r="E33" s="2042"/>
    </row>
    <row r="34" spans="2:19">
      <c r="B34" s="2042"/>
      <c r="C34" s="2042"/>
      <c r="D34" s="2042"/>
      <c r="E34" s="2042"/>
    </row>
    <row r="35" spans="2:19">
      <c r="B35" s="2042"/>
      <c r="C35" s="2042"/>
      <c r="D35" s="2042"/>
      <c r="E35" s="2042"/>
      <c r="F35"/>
    </row>
    <row r="36" spans="2:19">
      <c r="F36"/>
    </row>
    <row r="37" spans="2:19">
      <c r="B37" s="2042"/>
      <c r="C37" s="2042"/>
      <c r="F37"/>
    </row>
    <row r="41" spans="2:19">
      <c r="F41"/>
    </row>
    <row r="42" spans="2:19">
      <c r="F42"/>
    </row>
    <row r="43" spans="2:19">
      <c r="F43"/>
    </row>
    <row r="44" spans="2:19">
      <c r="F44"/>
    </row>
    <row r="45" spans="2:19">
      <c r="B45" s="2042"/>
      <c r="C45" s="2042"/>
      <c r="D45" s="2042"/>
      <c r="F45"/>
    </row>
    <row r="46" spans="2:19">
      <c r="B46" s="2042"/>
      <c r="C46" s="2042"/>
      <c r="D46" s="2042"/>
    </row>
    <row r="47" spans="2:19">
      <c r="B47" s="2042"/>
      <c r="C47" s="2042"/>
      <c r="D47" s="2042"/>
      <c r="G47" s="41"/>
      <c r="H47" s="2042"/>
      <c r="I47" s="2042"/>
      <c r="J47" s="41" t="s">
        <v>8775</v>
      </c>
      <c r="K47" s="2042"/>
      <c r="L47" s="2042"/>
      <c r="N47" s="41" t="s">
        <v>10344</v>
      </c>
      <c r="O47" s="2042"/>
      <c r="P47" s="2042"/>
      <c r="Q47" s="2042"/>
      <c r="R47" s="41" t="s">
        <v>10713</v>
      </c>
    </row>
    <row r="48" spans="2:19">
      <c r="B48" s="2042"/>
      <c r="C48" s="2042"/>
      <c r="D48" s="2042"/>
      <c r="G48" s="41"/>
      <c r="H48" s="2042"/>
      <c r="I48" s="2042"/>
      <c r="J48" s="663" t="e">
        <f>VLOOKUP($C$2,Final_2019_Values!$A$2:$I$1004,3,FALSE)</f>
        <v>#N/A</v>
      </c>
      <c r="K48" s="629" t="s">
        <v>3323</v>
      </c>
      <c r="L48" s="2042"/>
      <c r="M48" s="2042"/>
      <c r="N48" s="2634" t="e">
        <f>VLOOKUP($C$2,Final_2020_Values_All!$B$3:$I$1017,6,FALSE)</f>
        <v>#N/A</v>
      </c>
      <c r="O48" s="611" t="s">
        <v>3323</v>
      </c>
      <c r="P48" s="2042"/>
      <c r="Q48" s="2042"/>
      <c r="R48" s="663" t="e">
        <f>VLOOKUP($C$2,Final_2021_Values!$B$3:$M$1017,4,FALSE)</f>
        <v>#N/A</v>
      </c>
      <c r="S48" s="629" t="s">
        <v>3323</v>
      </c>
    </row>
    <row r="49" spans="2:19">
      <c r="B49" s="2042"/>
      <c r="C49" s="2042"/>
      <c r="D49" s="2042"/>
      <c r="G49" s="41"/>
      <c r="H49" s="2042"/>
      <c r="I49" s="2042"/>
      <c r="J49" s="663" t="e">
        <f>VLOOKUP($C$2,Final_2019_Values!$A$2:$I$1004,2,FALSE)</f>
        <v>#N/A</v>
      </c>
      <c r="K49" s="629" t="s">
        <v>5517</v>
      </c>
      <c r="L49" s="2042"/>
      <c r="M49" s="2042"/>
      <c r="N49" s="2634" t="e">
        <f>VLOOKUP($C$2,Final_2020_Values_All!$B$3:$I$1017,8,FALSE)</f>
        <v>#N/A</v>
      </c>
      <c r="O49" s="611" t="s">
        <v>7890</v>
      </c>
      <c r="P49" s="2042"/>
      <c r="Q49" s="2042"/>
      <c r="R49" s="663" t="e">
        <f>VLOOKUP($C$2,Final_2021_Values!$B$3:$M$1017,8,FALSE)</f>
        <v>#N/A</v>
      </c>
      <c r="S49" s="629" t="s">
        <v>7890</v>
      </c>
    </row>
    <row r="50" spans="2:19">
      <c r="B50" s="2042"/>
      <c r="C50" s="2042"/>
      <c r="D50" s="2042"/>
      <c r="G50" s="41"/>
      <c r="H50" s="2042"/>
      <c r="I50" s="2042"/>
      <c r="J50" s="663" t="e">
        <f>VLOOKUP($C$2,Final_2019_Values!$A$2:$I$1004,5,FALSE)</f>
        <v>#N/A</v>
      </c>
      <c r="K50" s="629" t="s">
        <v>5703</v>
      </c>
      <c r="L50" s="2042"/>
      <c r="M50" s="2042"/>
      <c r="N50" s="2634" t="e">
        <f>VLOOKUP($C$2,Final_2020_Values_All!$B$3:$I$1017,7,FALSE)</f>
        <v>#N/A</v>
      </c>
      <c r="O50" s="611" t="s">
        <v>7888</v>
      </c>
      <c r="P50" s="2042"/>
      <c r="Q50" s="2042"/>
      <c r="R50" s="663" t="e">
        <f>VLOOKUP($C$2,Final_2021_Values!$B$3:$M$1017,7,FALSE)</f>
        <v>#N/A</v>
      </c>
      <c r="S50" s="629" t="s">
        <v>7888</v>
      </c>
    </row>
    <row r="51" spans="2:19">
      <c r="B51" s="2042"/>
      <c r="C51" s="2042"/>
      <c r="D51" s="2042"/>
      <c r="G51" s="41"/>
      <c r="H51" s="2042"/>
      <c r="I51" s="2042"/>
      <c r="J51" s="663" t="e">
        <f>VLOOKUP($C$2,Final_2019_Values!$A$2:$I$1004,9,FALSE)</f>
        <v>#N/A</v>
      </c>
      <c r="K51" s="629" t="s">
        <v>5704</v>
      </c>
      <c r="N51" s="2634" t="e">
        <f>VLOOKUP($C$2,Final_2020_Values_All!$B$3:$I$1017,5,FALSE)</f>
        <v>#N/A</v>
      </c>
      <c r="O51" s="611" t="s">
        <v>10527</v>
      </c>
      <c r="P51" s="2042"/>
      <c r="Q51" s="2042"/>
      <c r="R51" s="663" t="e">
        <f>VLOOKUP($C$2,Final_2021_Values!$B$3:$M$1017,3,FALSE)</f>
        <v>#N/A</v>
      </c>
      <c r="S51" s="629" t="s">
        <v>10527</v>
      </c>
    </row>
    <row r="52" spans="2:19">
      <c r="B52" s="2042"/>
      <c r="C52" s="2042"/>
      <c r="D52" s="2042"/>
      <c r="G52" s="41"/>
      <c r="H52" s="2042"/>
      <c r="I52" s="2042"/>
      <c r="J52" s="663" t="e">
        <f>VLOOKUP($C$2,Final_2019_Values!$A$2:$I$1004,4,FALSE)</f>
        <v>#N/A</v>
      </c>
      <c r="K52" s="629" t="s">
        <v>5705</v>
      </c>
      <c r="N52" s="2634" t="e">
        <f>VLOOKUP($C$2,Final_2020_Values_All!$B$3:$I$1017,3,FALSE)</f>
        <v>#N/A</v>
      </c>
      <c r="O52" s="2628" t="s">
        <v>10528</v>
      </c>
      <c r="P52" s="2042"/>
      <c r="Q52" s="2042"/>
      <c r="R52" s="663" t="e">
        <f>VLOOKUP($C$2,Final_2021_Values!$B$3:$M$1017,11,FALSE)</f>
        <v>#N/A</v>
      </c>
      <c r="S52" s="2604" t="s">
        <v>10528</v>
      </c>
    </row>
    <row r="53" spans="2:19">
      <c r="B53" s="2042"/>
      <c r="C53" s="2042"/>
      <c r="D53" s="2042"/>
      <c r="G53" s="41"/>
      <c r="H53" s="2042"/>
      <c r="I53" s="2042"/>
      <c r="J53" s="663" t="e">
        <f>VLOOKUP($C$2,Final_2019_Values!$A$2:$I$1004,8,FALSE)</f>
        <v>#N/A</v>
      </c>
      <c r="K53" s="629" t="s">
        <v>5706</v>
      </c>
      <c r="N53" s="2634" t="e">
        <f>VLOOKUP($C$2,Final_2020_Values_All!$B$3:$I$1017,4,FALSE)</f>
        <v>#N/A</v>
      </c>
      <c r="O53" s="2628" t="s">
        <v>10529</v>
      </c>
      <c r="P53" s="2042"/>
      <c r="Q53" s="2042"/>
      <c r="R53" s="663" t="e">
        <f>VLOOKUP($C$2,Final_2021_Values!$B$3:$M$1017,12,FALSE)</f>
        <v>#N/A</v>
      </c>
      <c r="S53" s="2604" t="s">
        <v>10529</v>
      </c>
    </row>
    <row r="54" spans="2:19">
      <c r="B54" s="2042"/>
      <c r="C54" s="2042"/>
      <c r="D54" s="2042"/>
      <c r="E54"/>
      <c r="G54" s="41"/>
      <c r="H54" s="2042"/>
      <c r="I54" s="2042"/>
      <c r="J54" s="663" t="e">
        <f>VLOOKUP($C$2,Final_2019_Values!$A$2:$I$1004,6,FALSE)</f>
        <v>#N/A</v>
      </c>
      <c r="K54" s="629" t="s">
        <v>7888</v>
      </c>
      <c r="N54" s="2042"/>
      <c r="O54" s="2042"/>
    </row>
    <row r="55" spans="2:19">
      <c r="B55" s="2042"/>
      <c r="C55" s="2042"/>
      <c r="D55" s="2042"/>
      <c r="E55"/>
      <c r="G55" s="41"/>
      <c r="H55" s="2042"/>
      <c r="I55" s="2042"/>
      <c r="J55" s="663" t="e">
        <f>VLOOKUP($C$2,Final_2019_Values!$A$2:$I$1004,7,FALSE)</f>
        <v>#N/A</v>
      </c>
      <c r="K55" s="629" t="s">
        <v>7890</v>
      </c>
    </row>
    <row r="56" spans="2:19">
      <c r="D56" s="41"/>
      <c r="E56" s="41"/>
    </row>
    <row r="57" spans="2:19">
      <c r="B57" s="2042"/>
      <c r="C57" s="2042"/>
      <c r="D57" s="41"/>
      <c r="E57" s="41"/>
    </row>
    <row r="58" spans="2:19">
      <c r="B58" s="2042"/>
      <c r="C58" s="2042"/>
      <c r="D58" s="41"/>
      <c r="E58" s="41"/>
    </row>
    <row r="59" spans="2:19">
      <c r="B59" s="2042"/>
      <c r="C59" s="2042"/>
      <c r="D59" s="41"/>
      <c r="E59" s="41"/>
    </row>
    <row r="60" spans="2:19">
      <c r="B60" s="2042"/>
      <c r="C60" s="2042"/>
      <c r="D60" s="41"/>
      <c r="E60" s="41"/>
    </row>
    <row r="61" spans="2:19">
      <c r="D61" s="41"/>
      <c r="E61" s="41"/>
    </row>
    <row r="62" spans="2:19">
      <c r="D62" s="41"/>
      <c r="E62" s="41"/>
    </row>
    <row r="63" spans="2:19">
      <c r="D63" s="41"/>
      <c r="E63" s="41"/>
    </row>
    <row r="64" spans="2:19">
      <c r="B64" s="2042"/>
      <c r="C64" s="2042"/>
      <c r="D64" s="2042"/>
      <c r="E64" s="2042"/>
      <c r="F64" s="2042"/>
      <c r="G64" s="2042"/>
      <c r="H64" s="2042"/>
    </row>
    <row r="65" spans="2:8">
      <c r="B65" s="2042"/>
      <c r="C65" s="2042"/>
      <c r="D65" s="2042"/>
      <c r="E65" s="2042"/>
      <c r="F65" s="2042"/>
      <c r="G65" s="2042"/>
      <c r="H65" s="2042"/>
    </row>
    <row r="66" spans="2:8">
      <c r="D66" s="41"/>
      <c r="E66" s="41"/>
    </row>
    <row r="67" spans="2:8">
      <c r="D67" s="41"/>
      <c r="E67" s="41"/>
    </row>
    <row r="68" spans="2:8">
      <c r="D68" s="41"/>
      <c r="E68" s="41"/>
    </row>
    <row r="69" spans="2:8">
      <c r="D69" s="41"/>
      <c r="E69" s="41"/>
    </row>
    <row r="70" spans="2:8">
      <c r="D70" s="2042"/>
      <c r="E70" s="2042"/>
    </row>
    <row r="71" spans="2:8">
      <c r="D71" s="41"/>
      <c r="E71" s="41"/>
    </row>
    <row r="72" spans="2:8">
      <c r="D72" s="41"/>
      <c r="E72" s="2400" t="e">
        <f>VLOOKUP(C2,MCRs_2223_Final!B1:D1014,3,FALSE)</f>
        <v>#N/A</v>
      </c>
      <c r="F72" s="21" t="s">
        <v>12480</v>
      </c>
    </row>
    <row r="73" spans="2:8">
      <c r="D73" s="41"/>
      <c r="E73" s="41"/>
    </row>
    <row r="74" spans="2:8">
      <c r="B74" s="2042"/>
      <c r="C74" s="2042"/>
      <c r="D74" s="41"/>
      <c r="E74" s="41"/>
    </row>
    <row r="75" spans="2:8">
      <c r="B75" s="2042"/>
      <c r="C75" s="2042"/>
      <c r="D75" s="41"/>
      <c r="E75" s="41"/>
    </row>
    <row r="76" spans="2:8">
      <c r="B76" s="2042"/>
      <c r="C76" s="2042"/>
      <c r="D76" s="41"/>
      <c r="E76" s="41"/>
    </row>
    <row r="77" spans="2:8">
      <c r="D77" s="41"/>
      <c r="E77" s="41"/>
    </row>
    <row r="78" spans="2:8">
      <c r="D78" s="41"/>
      <c r="E78" s="2400" t="e">
        <f>VLOOKUP(C2,MCRs!B1:C1015,2,FALSE)</f>
        <v>#N/A</v>
      </c>
      <c r="F78" s="21" t="s">
        <v>8757</v>
      </c>
    </row>
    <row r="79" spans="2:8">
      <c r="D79" s="41"/>
      <c r="E79" s="2400" t="e">
        <f>VLOOKUP(C2,MCRs2122!B2:E1016,4,FALSE)</f>
        <v>#N/A</v>
      </c>
      <c r="F79" s="21" t="s">
        <v>9288</v>
      </c>
    </row>
    <row r="80" spans="2:8">
      <c r="E80" s="2400" t="e">
        <f>VLOOKUP(C2,MCRs2122!B2:F1016,5,FALSE)</f>
        <v>#N/A</v>
      </c>
      <c r="F80" s="21" t="s">
        <v>11001</v>
      </c>
    </row>
    <row r="81" spans="2:16">
      <c r="E81" s="2400" t="e">
        <f>VLOOKUP(C2,MCRs2122!B2:H1016,7,FALSE)</f>
        <v>#N/A</v>
      </c>
      <c r="F81" s="21" t="s">
        <v>11004</v>
      </c>
    </row>
    <row r="82" spans="2:16">
      <c r="B82" s="2042"/>
      <c r="C82" s="2042"/>
      <c r="L82" s="2042"/>
      <c r="M82" s="2042"/>
      <c r="N82" s="2042"/>
      <c r="O82" s="2042"/>
      <c r="P82" s="2042"/>
    </row>
    <row r="83" spans="2:16">
      <c r="B83" s="2042"/>
      <c r="C83" s="2042"/>
    </row>
    <row r="86" spans="2:16">
      <c r="E86"/>
      <c r="F86"/>
    </row>
    <row r="87" spans="2:16">
      <c r="E87"/>
      <c r="F87"/>
    </row>
    <row r="88" spans="2:16">
      <c r="B88" s="2042"/>
      <c r="C88" s="2042"/>
      <c r="E88"/>
      <c r="F88"/>
    </row>
    <row r="89" spans="2:16">
      <c r="B89" s="2042"/>
      <c r="C89" s="2042"/>
      <c r="E89"/>
      <c r="F89"/>
    </row>
    <row r="90" spans="2:16">
      <c r="B90" s="2042"/>
      <c r="C90" s="2042"/>
      <c r="E90"/>
      <c r="F90"/>
    </row>
    <row r="91" spans="2:16">
      <c r="B91" s="2042"/>
      <c r="C91" s="2042"/>
    </row>
    <row r="92" spans="2:16">
      <c r="B92" s="2042"/>
      <c r="C92" s="2042"/>
      <c r="D92" s="41"/>
    </row>
    <row r="93" spans="2:16">
      <c r="B93" s="2042"/>
      <c r="C93" s="2042"/>
      <c r="D93" s="41"/>
    </row>
    <row r="94" spans="2:16">
      <c r="B94" s="2042"/>
      <c r="C94" s="2042"/>
      <c r="D94" s="41"/>
    </row>
    <row r="95" spans="2:16">
      <c r="B95" s="2042"/>
      <c r="C95" s="2042"/>
    </row>
    <row r="96" spans="2:16">
      <c r="D96" s="41"/>
      <c r="E96" s="41"/>
    </row>
    <row r="97" spans="2:12">
      <c r="D97" s="41"/>
      <c r="E97" s="41"/>
    </row>
    <row r="98" spans="2:12">
      <c r="D98" s="41"/>
      <c r="E98" s="41"/>
      <c r="L98" s="2042"/>
    </row>
    <row r="99" spans="2:12">
      <c r="C99" s="41"/>
      <c r="D99" s="41"/>
      <c r="E99" s="41"/>
    </row>
    <row r="100" spans="2:12">
      <c r="B100" s="2042"/>
      <c r="C100" s="2042"/>
      <c r="D100" s="41"/>
      <c r="E100" s="41"/>
    </row>
    <row r="101" spans="2:12">
      <c r="B101" s="2042"/>
      <c r="C101" s="2042"/>
      <c r="D101" s="41"/>
      <c r="E101" s="41"/>
    </row>
    <row r="102" spans="2:12">
      <c r="B102" s="2042"/>
      <c r="C102" s="2042"/>
      <c r="D102" s="41"/>
      <c r="E102" s="41"/>
    </row>
    <row r="103" spans="2:12">
      <c r="D103" s="41"/>
      <c r="E103" s="41"/>
    </row>
    <row r="104" spans="2:12">
      <c r="D104" s="41"/>
      <c r="E104" s="41"/>
    </row>
    <row r="105" spans="2:12">
      <c r="D105" s="41"/>
      <c r="E105" s="41"/>
    </row>
    <row r="106" spans="2:12">
      <c r="D106" s="41"/>
      <c r="E106" s="41"/>
    </row>
    <row r="107" spans="2:12">
      <c r="D107" s="41"/>
      <c r="E107" s="41"/>
      <c r="F107" s="41" t="s">
        <v>5942</v>
      </c>
    </row>
    <row r="108" spans="2:12">
      <c r="B108" s="27" t="s">
        <v>888</v>
      </c>
      <c r="C108" s="949" t="e">
        <f>VLOOKUP(C2,Data0809!A3:G1030,6,FALSE)</f>
        <v>#N/A</v>
      </c>
      <c r="E108" s="27" t="s">
        <v>9422</v>
      </c>
      <c r="F108" s="949" t="e">
        <f>VLOOKUP(C2,'EDA2122'!B2:E1033,3,FALSE)</f>
        <v>#N/A</v>
      </c>
    </row>
    <row r="109" spans="2:12">
      <c r="B109" s="27" t="s">
        <v>1197</v>
      </c>
      <c r="C109" s="950" t="e">
        <f>VLOOKUP(C2,SqMiles!A1:B1031,2,FALSE)</f>
        <v>#N/A</v>
      </c>
      <c r="E109" s="27" t="s">
        <v>9423</v>
      </c>
      <c r="F109" s="949" t="e">
        <f>VLOOKUP(C2,'EDA2122'!B2:E1033,4,FALSE)</f>
        <v>#N/A</v>
      </c>
    </row>
    <row r="110" spans="2:12">
      <c r="B110" s="27" t="s">
        <v>1970</v>
      </c>
      <c r="C110" s="949" t="e">
        <f>VLOOKUP(C2,Data0809!A3:G1030,7,FALSE)</f>
        <v>#N/A</v>
      </c>
      <c r="D110" s="41"/>
      <c r="E110" s="41"/>
    </row>
    <row r="111" spans="2:12">
      <c r="B111" s="2042"/>
      <c r="C111" s="2042"/>
      <c r="D111" s="41"/>
      <c r="E111" s="41"/>
    </row>
    <row r="112" spans="2:12">
      <c r="B112" s="2042"/>
      <c r="C112" s="2042"/>
      <c r="D112" s="41"/>
      <c r="E112" s="41"/>
    </row>
    <row r="113" spans="2:11">
      <c r="B113" s="2042"/>
      <c r="C113" s="2042"/>
      <c r="D113" s="41"/>
      <c r="E113" s="41"/>
    </row>
    <row r="114" spans="2:11">
      <c r="D114" s="41"/>
      <c r="E114" s="41"/>
    </row>
    <row r="115" spans="2:11">
      <c r="B115" s="2042"/>
      <c r="C115" s="2042"/>
      <c r="D115" s="41"/>
      <c r="E115" s="41"/>
    </row>
    <row r="116" spans="2:11">
      <c r="B116" s="2042"/>
      <c r="C116" s="2042"/>
      <c r="D116" s="41"/>
      <c r="E116" s="41"/>
    </row>
    <row r="117" spans="2:11">
      <c r="B117" s="2042"/>
      <c r="C117" s="2042"/>
      <c r="D117" s="41"/>
      <c r="E117" s="41"/>
    </row>
    <row r="118" spans="2:11">
      <c r="B118" s="2042"/>
      <c r="C118" s="2042"/>
      <c r="D118" s="41"/>
      <c r="E118" s="41"/>
      <c r="J118" s="2042"/>
      <c r="K118" s="2042"/>
    </row>
    <row r="119" spans="2:11">
      <c r="B119" s="2042"/>
      <c r="C119" s="2042"/>
      <c r="J119" s="2042"/>
      <c r="K119" s="2042"/>
    </row>
    <row r="120" spans="2:11">
      <c r="B120" s="2042"/>
      <c r="C120" s="2042"/>
      <c r="E120" s="41"/>
    </row>
    <row r="121" spans="2:11">
      <c r="B121" s="2042"/>
      <c r="C121" s="2042"/>
      <c r="E121" s="41"/>
    </row>
    <row r="122" spans="2:11">
      <c r="B122" s="2042"/>
      <c r="C122" s="2042"/>
      <c r="E122" s="41"/>
    </row>
    <row r="123" spans="2:11">
      <c r="B123" s="2042"/>
      <c r="C123" s="2042"/>
      <c r="E123" s="41"/>
    </row>
    <row r="124" spans="2:11" hidden="1">
      <c r="B124" s="27" t="s">
        <v>7350</v>
      </c>
      <c r="C124" s="952" t="e">
        <f>VLOOKUP(C2,#REF!,3,FALSE)</f>
        <v>#REF!</v>
      </c>
      <c r="E124" s="41"/>
    </row>
    <row r="125" spans="2:11">
      <c r="E125" s="41"/>
    </row>
    <row r="126" spans="2:11">
      <c r="B126" s="722" t="s">
        <v>906</v>
      </c>
      <c r="C126" s="953" t="e">
        <f>VLOOKUP(C2,Data0809!A3:K1030,8,FALSE)</f>
        <v>#N/A</v>
      </c>
      <c r="E126" s="41"/>
    </row>
    <row r="127" spans="2:11">
      <c r="B127" s="722" t="s">
        <v>907</v>
      </c>
      <c r="C127" s="953" t="e">
        <f>VLOOKUP(C2,Data0809!A3:K1030,9,FALSE)</f>
        <v>#N/A</v>
      </c>
      <c r="E127" s="41"/>
    </row>
    <row r="128" spans="2:11">
      <c r="B128" s="722" t="s">
        <v>580</v>
      </c>
      <c r="C128" s="954" t="e">
        <f>VLOOKUP(C2,Data0809!A3:K1030,10,FALSE)</f>
        <v>#N/A</v>
      </c>
      <c r="D128" s="41"/>
      <c r="E128" s="41"/>
    </row>
    <row r="129" spans="2:7">
      <c r="B129" s="722" t="s">
        <v>581</v>
      </c>
      <c r="C129" s="953" t="e">
        <f>VLOOKUP(C2,Data0809!A3:K1030,11,FALSE)</f>
        <v>#N/A</v>
      </c>
      <c r="D129" s="41"/>
    </row>
    <row r="130" spans="2:7">
      <c r="D130" s="41"/>
      <c r="F130"/>
    </row>
    <row r="131" spans="2:7">
      <c r="D131" s="41"/>
      <c r="F131"/>
    </row>
    <row r="142" spans="2:7">
      <c r="B142" s="27" t="s">
        <v>8846</v>
      </c>
      <c r="C142" s="954" t="e">
        <f>VLOOKUP(C2,CompRates_OldLaw!B2:C1232,2,FALSE)</f>
        <v>#N/A</v>
      </c>
      <c r="D142" s="41"/>
      <c r="E142" s="41"/>
      <c r="G142" s="41"/>
    </row>
    <row r="143" spans="2:7">
      <c r="B143" s="27" t="s">
        <v>8864</v>
      </c>
      <c r="C143" s="954" t="e">
        <f>VLOOKUP(C2,CompRates_NewLaw!B2:C1231,2,FALSE)</f>
        <v>#N/A</v>
      </c>
      <c r="D143" s="41"/>
      <c r="E143" s="41"/>
      <c r="G143" s="41"/>
    </row>
    <row r="144" spans="2:7">
      <c r="D144" s="41"/>
      <c r="E144" s="41"/>
      <c r="G144" s="41"/>
    </row>
    <row r="145" spans="2:9">
      <c r="D145" s="41"/>
      <c r="E145" s="41"/>
      <c r="G145" s="41"/>
    </row>
    <row r="146" spans="2:9">
      <c r="D146" s="41"/>
      <c r="E146" s="41"/>
      <c r="G146" s="41"/>
    </row>
    <row r="147" spans="2:9">
      <c r="D147" s="41"/>
      <c r="E147" s="41"/>
      <c r="G147" s="41"/>
    </row>
    <row r="148" spans="2:9">
      <c r="D148" s="41"/>
      <c r="E148" s="41"/>
      <c r="G148" s="41"/>
    </row>
    <row r="149" spans="2:9">
      <c r="D149" s="41"/>
      <c r="E149" s="41"/>
      <c r="G149" s="41"/>
    </row>
    <row r="152" spans="2:9">
      <c r="D152" t="s">
        <v>10366</v>
      </c>
    </row>
    <row r="153" spans="2:9">
      <c r="B153" s="2042"/>
      <c r="C153" s="2042"/>
      <c r="D153" s="2425" t="e">
        <f>VLOOKUP(C2,FTG_Data1920!B2:D1231,2,FALSE)</f>
        <v>#N/A</v>
      </c>
      <c r="F153"/>
    </row>
    <row r="154" spans="2:9">
      <c r="D154" s="2425" t="e">
        <f>VLOOKUP(C2,FTG_Data1920!B2:D1231,3,FALSE)</f>
        <v>#N/A</v>
      </c>
      <c r="F154"/>
      <c r="G154" s="41" t="s">
        <v>5942</v>
      </c>
      <c r="H154" s="41" t="s">
        <v>5957</v>
      </c>
    </row>
    <row r="155" spans="2:9">
      <c r="B155" s="27" t="s">
        <v>8524</v>
      </c>
      <c r="C155" s="953" t="e">
        <f>VLOOKUP(C2,EWTG1819!B1:C1016,2,FALSE)</f>
        <v>#N/A</v>
      </c>
      <c r="F155" s="27" t="s">
        <v>9061</v>
      </c>
      <c r="G155" s="953" t="e">
        <f>VLOOKUP(C2,FGA2122_Data!B2:P1021,6,FALSE)</f>
        <v>#N/A</v>
      </c>
      <c r="H155" s="953" t="e">
        <f>VLOOKUP(C2,FGA2223_Data!B2:L1021,6,FALSE)</f>
        <v>#N/A</v>
      </c>
    </row>
    <row r="156" spans="2:9">
      <c r="F156" s="27" t="s">
        <v>9059</v>
      </c>
      <c r="G156" s="953" t="e">
        <f>VLOOKUP(C2,FGA2122_Data!B2:P1021,9,FALSE)</f>
        <v>#N/A</v>
      </c>
      <c r="H156" s="953" t="e">
        <f>VLOOKUP(C2,FGA2223_Data!B2:L1021,9,FALSE)</f>
        <v>#N/A</v>
      </c>
      <c r="I156" t="s">
        <v>9060</v>
      </c>
    </row>
    <row r="157" spans="2:9">
      <c r="F157" s="27" t="s">
        <v>9112</v>
      </c>
      <c r="G157" s="953" t="e">
        <f>VLOOKUP(C2,FGA2122_Data!B2:P1021,12,FALSE)</f>
        <v>#N/A</v>
      </c>
      <c r="H157" s="953" t="e">
        <f>VLOOKUP(C2,FGA2223_Data!B2:L1021,10,FALSE)</f>
        <v>#N/A</v>
      </c>
      <c r="I157" t="s">
        <v>10798</v>
      </c>
    </row>
    <row r="158" spans="2:9">
      <c r="F158" s="27" t="s">
        <v>9111</v>
      </c>
      <c r="G158" s="953" t="e">
        <f>VLOOKUP(C2,FGA2122_Data!B2:P1021,15,FALSE)</f>
        <v>#N/A</v>
      </c>
      <c r="H158" s="953" t="e">
        <f>VLOOKUP(C2,FGA2223_Data!B2:L1021,11,FALSE)</f>
        <v>#N/A</v>
      </c>
      <c r="I158" t="s">
        <v>10799</v>
      </c>
    </row>
    <row r="160" spans="2:9">
      <c r="B160" s="2042"/>
      <c r="C160" s="2042"/>
      <c r="F160" s="27" t="s">
        <v>9113</v>
      </c>
      <c r="G160" s="953" t="e">
        <f>VLOOKUP(C2,FGA2122_Data!B2:P1021,11,FALSE)</f>
        <v>#N/A</v>
      </c>
    </row>
    <row r="161" spans="2:8">
      <c r="B161" s="2042"/>
      <c r="C161" s="2042"/>
      <c r="D161" s="2042"/>
      <c r="E161" s="2042" t="s">
        <v>10899</v>
      </c>
      <c r="F161" s="27" t="s">
        <v>9114</v>
      </c>
      <c r="G161" s="953" t="e">
        <f>VLOOKUP(C2,FGA2122_Data!B2:P1021,14,FALSE)</f>
        <v>#N/A</v>
      </c>
    </row>
    <row r="162" spans="2:8">
      <c r="B162" s="2042"/>
      <c r="C162" s="2042"/>
      <c r="D162" s="2042"/>
      <c r="E162" s="2111" t="e">
        <f>VLOOKUP(C2,ASF_FinalADA_2122!B2:C1210,2,FALSE)</f>
        <v>#N/A</v>
      </c>
    </row>
    <row r="163" spans="2:8">
      <c r="B163" s="1897" t="s">
        <v>11171</v>
      </c>
      <c r="C163" s="2028" t="e">
        <f>VLOOKUP(C2,'M&amp;O1819'!B1:C1201,2,FALSE)</f>
        <v>#N/A</v>
      </c>
      <c r="F163"/>
    </row>
    <row r="164" spans="2:8">
      <c r="B164" s="27" t="s">
        <v>8587</v>
      </c>
      <c r="C164" s="2028" t="e">
        <f>VLOOKUP(C2,HarveyPennies!B1:D1228,3,FALSE)</f>
        <v>#N/A</v>
      </c>
      <c r="F164" s="27"/>
      <c r="G164" s="27"/>
      <c r="H164" s="27"/>
    </row>
    <row r="165" spans="2:8">
      <c r="F165" s="27"/>
      <c r="G165" s="27" t="e">
        <f>IF(G156=3,1,0)</f>
        <v>#N/A</v>
      </c>
      <c r="H165" s="27" t="e">
        <f>IF(H156=1,1,0)</f>
        <v>#N/A</v>
      </c>
    </row>
    <row r="166" spans="2:8">
      <c r="B166" s="2042"/>
      <c r="C166" s="2042"/>
      <c r="F166" s="27"/>
      <c r="G166" s="27" t="e">
        <f>IF(G156=2,2,0)</f>
        <v>#N/A</v>
      </c>
      <c r="H166" s="27" t="e">
        <f>IF(H156=2,2,0)</f>
        <v>#N/A</v>
      </c>
    </row>
    <row r="167" spans="2:8">
      <c r="B167" s="2042"/>
      <c r="C167" s="2042"/>
      <c r="D167" s="2042"/>
      <c r="F167" s="27"/>
      <c r="G167" s="27" t="e">
        <f>IF(G156=1,3,0)</f>
        <v>#N/A</v>
      </c>
      <c r="H167" s="27" t="e">
        <f>IF(H156=3,3,0)</f>
        <v>#N/A</v>
      </c>
    </row>
    <row r="168" spans="2:8">
      <c r="B168" s="2042"/>
      <c r="C168" s="2042"/>
      <c r="D168" s="2042"/>
    </row>
    <row r="169" spans="2:8">
      <c r="B169" s="2042"/>
      <c r="C169" s="2042"/>
      <c r="D169" s="2042"/>
      <c r="F169"/>
    </row>
    <row r="170" spans="2:8">
      <c r="B170" s="2042"/>
      <c r="C170" s="2042"/>
      <c r="D170" s="2042"/>
      <c r="F170"/>
    </row>
    <row r="171" spans="2:8">
      <c r="B171" s="2042"/>
      <c r="C171" s="2042"/>
      <c r="D171" s="2042"/>
      <c r="F171" s="2042"/>
    </row>
    <row r="172" spans="2:8">
      <c r="B172" s="2042"/>
      <c r="C172" s="2042"/>
      <c r="D172" s="2042"/>
      <c r="F172" s="2042"/>
    </row>
    <row r="173" spans="2:8">
      <c r="B173" s="2042"/>
      <c r="C173" s="2042"/>
      <c r="D173" s="2042"/>
      <c r="F173" s="2042"/>
    </row>
    <row r="174" spans="2:8">
      <c r="B174" s="2042"/>
      <c r="C174" s="2042"/>
      <c r="D174" s="2042"/>
      <c r="F174" s="2042"/>
    </row>
    <row r="175" spans="2:8">
      <c r="B175" s="2042"/>
      <c r="C175" s="2042"/>
      <c r="D175" s="2042"/>
    </row>
    <row r="176" spans="2:8">
      <c r="B176" s="2042"/>
      <c r="C176" s="2042"/>
      <c r="D176" s="2042"/>
    </row>
    <row r="177" spans="2:4">
      <c r="B177" s="2042"/>
      <c r="C177" s="2042"/>
      <c r="D177" s="2042"/>
    </row>
    <row r="178" spans="2:4">
      <c r="B178" s="2042"/>
      <c r="C178" s="2042"/>
      <c r="D178" s="2042"/>
    </row>
    <row r="179" spans="2:4">
      <c r="B179" s="2042"/>
      <c r="C179" s="2042"/>
      <c r="D179" s="2042"/>
    </row>
    <row r="180" spans="2:4">
      <c r="B180" s="2042"/>
      <c r="C180" s="2042"/>
      <c r="D180" s="2042"/>
    </row>
    <row r="181" spans="2:4">
      <c r="B181" s="2042"/>
      <c r="C181" s="2042"/>
      <c r="D181" s="2042"/>
    </row>
    <row r="182" spans="2:4">
      <c r="B182" s="2042"/>
      <c r="C182" s="2042"/>
      <c r="D182" s="2042"/>
    </row>
    <row r="183" spans="2:4">
      <c r="B183" s="2042"/>
      <c r="C183" s="2042"/>
      <c r="D183" s="2042"/>
    </row>
    <row r="184" spans="2:4">
      <c r="B184" s="2042"/>
      <c r="C184" s="2042"/>
      <c r="D184" s="2042"/>
    </row>
    <row r="185" spans="2:4">
      <c r="B185" s="2042"/>
      <c r="C185" s="2042"/>
      <c r="D185" s="2042"/>
    </row>
    <row r="186" spans="2:4">
      <c r="B186" s="2042"/>
      <c r="C186" s="2042"/>
      <c r="D186" s="2042"/>
    </row>
    <row r="187" spans="2:4">
      <c r="B187" s="2042"/>
      <c r="C187" s="2042"/>
      <c r="D187" s="2042"/>
    </row>
    <row r="188" spans="2:4">
      <c r="B188" s="2042"/>
      <c r="C188" s="2042"/>
      <c r="D188" s="2042"/>
    </row>
    <row r="189" spans="2:4">
      <c r="B189" s="2042"/>
      <c r="C189" s="2042"/>
      <c r="D189" s="2042"/>
    </row>
    <row r="190" spans="2:4">
      <c r="B190" s="1038"/>
    </row>
    <row r="191" spans="2:4">
      <c r="B191" s="2042"/>
      <c r="C191" s="2042"/>
    </row>
    <row r="192" spans="2:4" ht="13">
      <c r="B192" s="58" t="s">
        <v>11128</v>
      </c>
      <c r="C192" s="2042"/>
    </row>
    <row r="193" spans="2:6">
      <c r="B193" s="1038" t="s">
        <v>1895</v>
      </c>
      <c r="C193" s="951" t="e">
        <f>VLOOKUP($C$2,NF_2122_Data2!$B$3:$CY$1239,2,FALSE)</f>
        <v>#N/A</v>
      </c>
      <c r="D193" s="2042"/>
      <c r="E193" s="2042"/>
    </row>
    <row r="194" spans="2:6">
      <c r="B194" s="2045" t="s">
        <v>8659</v>
      </c>
      <c r="C194" s="951" t="e">
        <f>VLOOKUP($C$2,NF_2122_Data2!$B$3:$CY$1239,37,FALSE)</f>
        <v>#N/A</v>
      </c>
      <c r="D194" s="2042"/>
      <c r="E194" s="2042"/>
    </row>
    <row r="195" spans="2:6">
      <c r="B195" s="2045" t="s">
        <v>8660</v>
      </c>
      <c r="C195" s="951" t="e">
        <f>VLOOKUP($C$2,NF_2122_Data2!$B$3:$CY$1239,38,FALSE)</f>
        <v>#N/A</v>
      </c>
      <c r="D195" s="2042"/>
      <c r="E195" s="2042"/>
    </row>
    <row r="196" spans="2:6">
      <c r="B196" s="2045" t="s">
        <v>8661</v>
      </c>
      <c r="C196" s="951" t="e">
        <f>VLOOKUP($C$2,NF_2122_Data2!$B$3:$CY$1239,46,FALSE)</f>
        <v>#N/A</v>
      </c>
      <c r="D196" s="2042"/>
      <c r="E196" s="2042"/>
    </row>
    <row r="197" spans="2:6">
      <c r="B197" s="2045" t="s">
        <v>8662</v>
      </c>
      <c r="C197" s="951" t="e">
        <f>VLOOKUP($C$2,NF_2122_Data2!$B$3:$CY$1239,43,FALSE)</f>
        <v>#N/A</v>
      </c>
      <c r="D197" s="2042"/>
      <c r="E197" s="2042"/>
    </row>
    <row r="198" spans="2:6">
      <c r="B198" s="2045" t="s">
        <v>8663</v>
      </c>
      <c r="C198" s="951" t="e">
        <f>VLOOKUP($C$2,NF_2122_Data2!$B$3:$CY$1239,45,FALSE)</f>
        <v>#N/A</v>
      </c>
      <c r="D198" s="2042"/>
      <c r="E198" s="2042"/>
    </row>
    <row r="199" spans="2:6">
      <c r="B199" s="2045" t="s">
        <v>8664</v>
      </c>
      <c r="C199" s="951" t="e">
        <f>VLOOKUP($C$2,NF_2122_Data2!$B$3:$CY$1239,41,FALSE)</f>
        <v>#N/A</v>
      </c>
      <c r="D199" s="2042"/>
      <c r="E199" s="2042"/>
    </row>
    <row r="200" spans="2:6" s="2042" customFormat="1">
      <c r="B200" s="2045" t="s">
        <v>8665</v>
      </c>
      <c r="C200" s="951" t="e">
        <f>VLOOKUP($C$2,NF_2122_Data2!$B$3:$CY$1239,49,FALSE)</f>
        <v>#N/A</v>
      </c>
      <c r="F200" s="41"/>
    </row>
    <row r="201" spans="2:6" s="2042" customFormat="1">
      <c r="B201" s="2045" t="s">
        <v>8666</v>
      </c>
      <c r="C201" s="951" t="e">
        <f>VLOOKUP($C$2,NF_2122_Data2!$B$3:$CY$1239,47,FALSE)</f>
        <v>#N/A</v>
      </c>
      <c r="F201" s="41"/>
    </row>
    <row r="202" spans="2:6" s="2042" customFormat="1">
      <c r="B202" s="2045" t="s">
        <v>8667</v>
      </c>
      <c r="C202" s="951" t="e">
        <f>VLOOKUP($C$2,NF_2122_Data2!$B$3:$CY$1239,40,FALSE)</f>
        <v>#N/A</v>
      </c>
      <c r="F202" s="41"/>
    </row>
    <row r="203" spans="2:6">
      <c r="B203" s="2045" t="s">
        <v>8668</v>
      </c>
      <c r="C203" s="951" t="e">
        <f>VLOOKUP($C$2,NF_2122_Data2!$B$3:$CY$1239,42,FALSE)</f>
        <v>#N/A</v>
      </c>
      <c r="D203" s="2042"/>
      <c r="E203" s="2042"/>
    </row>
    <row r="204" spans="2:6">
      <c r="B204" s="2045" t="s">
        <v>504</v>
      </c>
      <c r="C204" s="951" t="e">
        <f>VLOOKUP($C$2,NF_2122_Data2!$B$3:$CY$1239,39,FALSE)</f>
        <v>#N/A</v>
      </c>
      <c r="D204" s="2042"/>
      <c r="E204" s="2042"/>
    </row>
    <row r="205" spans="2:6">
      <c r="B205" s="2045" t="s">
        <v>11129</v>
      </c>
      <c r="C205" s="951" t="e">
        <f>VLOOKUP($C$2,NF_2122_Data2!$B$3:$CY$1239,98,FALSE)</f>
        <v>#N/A</v>
      </c>
      <c r="D205" s="2042"/>
      <c r="E205" s="2042"/>
    </row>
    <row r="206" spans="2:6" s="2042" customFormat="1">
      <c r="B206" s="2045" t="s">
        <v>11130</v>
      </c>
      <c r="C206" s="951" t="e">
        <f>VLOOKUP($C$2,NF_2122_Data2!$B$3:$CY$1239,99,FALSE)</f>
        <v>#N/A</v>
      </c>
      <c r="F206" s="41"/>
    </row>
    <row r="207" spans="2:6" s="2042" customFormat="1">
      <c r="B207" s="2045" t="s">
        <v>11131</v>
      </c>
      <c r="C207" s="951" t="e">
        <f>VLOOKUP($C$2,NF_2122_Data2!$B$3:$CY$1239,100,FALSE)</f>
        <v>#N/A</v>
      </c>
      <c r="F207" s="41"/>
    </row>
    <row r="208" spans="2:6">
      <c r="B208" s="2045" t="s">
        <v>11447</v>
      </c>
      <c r="C208" s="951" t="e">
        <f>VLOOKUP($C$2,NF_2122_Data2!$B$3:$CY$1239,96,FALSE)</f>
        <v>#N/A</v>
      </c>
      <c r="D208" s="2042"/>
      <c r="E208" s="2042"/>
    </row>
    <row r="209" spans="2:6" s="2042" customFormat="1">
      <c r="B209" s="2045" t="s">
        <v>11448</v>
      </c>
      <c r="C209" s="951" t="e">
        <f>VLOOKUP($C$2,NF_2122_Data2!$B$3:$CY$1239,97,FALSE)</f>
        <v>#N/A</v>
      </c>
      <c r="F209" s="41"/>
    </row>
    <row r="210" spans="2:6">
      <c r="B210" s="2045" t="s">
        <v>506</v>
      </c>
      <c r="C210" s="951" t="e">
        <f>VLOOKUP($C$2,NF_2122_Data2!$B$3:$CY$1239,26,FALSE)</f>
        <v>#N/A</v>
      </c>
      <c r="D210" s="2042"/>
      <c r="E210" s="2042"/>
    </row>
    <row r="211" spans="2:6">
      <c r="B211" s="2045" t="s">
        <v>11132</v>
      </c>
      <c r="C211" s="951" t="e">
        <f>VLOOKUP($C$2,NF_2122_Data2!$B$3:$CY$1239,90,FALSE)</f>
        <v>#N/A</v>
      </c>
      <c r="D211" s="2042"/>
      <c r="E211" s="2042"/>
    </row>
    <row r="212" spans="2:6" ht="25">
      <c r="B212" s="2106" t="s">
        <v>11133</v>
      </c>
      <c r="C212" s="951" t="e">
        <f>VLOOKUP($C$2,NF_2122_Data2!$B$3:$CY$1239,80,FALSE)</f>
        <v>#N/A</v>
      </c>
      <c r="D212" s="2042"/>
      <c r="E212" s="2042"/>
    </row>
    <row r="213" spans="2:6" ht="25">
      <c r="B213" s="2106" t="s">
        <v>11134</v>
      </c>
      <c r="C213" s="951" t="e">
        <f>VLOOKUP($C$2,NF_2122_Data2!$B$3:$CY$1239,81,FALSE)</f>
        <v>#N/A</v>
      </c>
      <c r="D213" s="2042"/>
      <c r="E213" s="2042"/>
    </row>
    <row r="214" spans="2:6">
      <c r="B214" s="2045" t="s">
        <v>7629</v>
      </c>
      <c r="C214" s="951" t="e">
        <f>VLOOKUP($C$2,NF_2122_Data2!$B$3:$CY$1239,83,FALSE)</f>
        <v>#N/A</v>
      </c>
      <c r="D214" s="2042"/>
      <c r="E214" s="2042"/>
    </row>
    <row r="215" spans="2:6">
      <c r="B215" s="2045" t="s">
        <v>887</v>
      </c>
      <c r="C215" s="951" t="e">
        <f>VLOOKUP($C$2,NF_2122_Data2!$B$3:$CY$1239,25,FALSE)</f>
        <v>#N/A</v>
      </c>
      <c r="D215" s="2042"/>
      <c r="E215" s="2042"/>
    </row>
    <row r="216" spans="2:6">
      <c r="B216" s="2045" t="s">
        <v>8669</v>
      </c>
      <c r="C216" s="951" t="e">
        <f>VLOOKUP($C$2,NF_2122_Data2!$B$3:$CY$1239,21,FALSE)</f>
        <v>#N/A</v>
      </c>
      <c r="D216" s="2042"/>
      <c r="E216" s="2042"/>
    </row>
    <row r="217" spans="2:6">
      <c r="B217" s="2106" t="s">
        <v>11155</v>
      </c>
      <c r="C217" s="951" t="e">
        <f>VLOOKUP($C$2,NF_2122_Data2!$B$3:$CY$1239,79,FALSE)</f>
        <v>#N/A</v>
      </c>
      <c r="D217" s="2042"/>
      <c r="E217" s="2042"/>
    </row>
    <row r="218" spans="2:6">
      <c r="B218" s="2045" t="s">
        <v>7435</v>
      </c>
      <c r="C218" s="2114" t="e">
        <f>VLOOKUP($C$2,NF_2122_Data2!$B$3:$CY$1239,82,FALSE)</f>
        <v>#N/A</v>
      </c>
      <c r="D218" s="2042"/>
      <c r="E218" s="2042"/>
    </row>
    <row r="219" spans="2:6">
      <c r="B219" s="2045" t="s">
        <v>11135</v>
      </c>
      <c r="C219" s="2114" t="e">
        <f>VLOOKUP($C$2,NF_2122_Data2!$B$3:$CY$1239,55,FALSE)</f>
        <v>#N/A</v>
      </c>
      <c r="D219" s="2042"/>
      <c r="E219" s="2042"/>
    </row>
    <row r="220" spans="2:6">
      <c r="B220" s="2045" t="s">
        <v>11136</v>
      </c>
      <c r="C220" s="2114" t="e">
        <f>VLOOKUP($C$2,NF_2122_Data2!$B$3:$CY$1239,56,FALSE)</f>
        <v>#N/A</v>
      </c>
      <c r="D220" s="2042"/>
      <c r="E220" s="2042"/>
    </row>
    <row r="221" spans="2:6">
      <c r="B221" s="2045" t="s">
        <v>11137</v>
      </c>
      <c r="C221" s="2114" t="e">
        <f>VLOOKUP($C$2,NF_2122_Data2!$B$3:$CY$1239,59,FALSE)</f>
        <v>#N/A</v>
      </c>
      <c r="D221" s="2042"/>
      <c r="E221" s="2042"/>
    </row>
    <row r="222" spans="2:6">
      <c r="B222" s="2045" t="s">
        <v>11138</v>
      </c>
      <c r="C222" s="2114" t="e">
        <f>VLOOKUP($C$2,NF_2122_Data2!$B$3:$CY$1239,54,FALSE)</f>
        <v>#N/A</v>
      </c>
      <c r="D222" s="2042"/>
      <c r="E222" s="2042"/>
    </row>
    <row r="223" spans="2:6">
      <c r="B223" s="2045" t="s">
        <v>11139</v>
      </c>
      <c r="C223" s="2396" t="e">
        <f>VLOOKUP($C$2,NF_2122_Data2!$B$3:$CY$1239,31,FALSE)</f>
        <v>#N/A</v>
      </c>
      <c r="D223" s="2042"/>
      <c r="E223" s="2042"/>
    </row>
    <row r="224" spans="2:6">
      <c r="B224" s="2045" t="s">
        <v>11140</v>
      </c>
      <c r="C224" s="2114" t="e">
        <f>VLOOKUP($C$2,NF_2122_Data2!$B$3:$CY$1239,30,FALSE)</f>
        <v>#N/A</v>
      </c>
      <c r="D224" s="2042"/>
      <c r="E224" s="2042"/>
    </row>
    <row r="225" spans="2:5">
      <c r="B225" s="2045" t="s">
        <v>11141</v>
      </c>
      <c r="C225" s="2114" t="e">
        <f>VLOOKUP($C$2,NF_2122_Data2!$B$3:$CY$1239,29,FALSE)</f>
        <v>#N/A</v>
      </c>
      <c r="D225" s="2042"/>
      <c r="E225" s="2042"/>
    </row>
    <row r="226" spans="2:5">
      <c r="B226" s="2045" t="s">
        <v>8803</v>
      </c>
      <c r="C226" s="2114" t="e">
        <f>VLOOKUP($C$2,NF_2122_Data2!$B$3:$CY$1239,73,FALSE)</f>
        <v>#N/A</v>
      </c>
      <c r="D226" s="2042"/>
      <c r="E226" s="2042"/>
    </row>
    <row r="227" spans="2:5">
      <c r="B227" s="2045" t="s">
        <v>8804</v>
      </c>
      <c r="C227" s="2114" t="e">
        <f>VLOOKUP($C$2,NF_2122_Data2!$B$3:$CY$1239,74,FALSE)</f>
        <v>#N/A</v>
      </c>
      <c r="D227" s="2042"/>
      <c r="E227" s="2042"/>
    </row>
    <row r="228" spans="2:5">
      <c r="B228" s="2045" t="s">
        <v>8805</v>
      </c>
      <c r="C228" s="2114" t="e">
        <f>VLOOKUP($C$2,NF_2122_Data2!$B$3:$CY$1239,75,FALSE)</f>
        <v>#N/A</v>
      </c>
      <c r="D228" s="2042"/>
      <c r="E228" s="2042"/>
    </row>
    <row r="229" spans="2:5">
      <c r="B229" s="2045" t="s">
        <v>8806</v>
      </c>
      <c r="C229" s="2114" t="e">
        <f>VLOOKUP($C$2,NF_2122_Data2!$B$3:$CY$1239,76,FALSE)</f>
        <v>#N/A</v>
      </c>
      <c r="D229" s="2042"/>
      <c r="E229" s="2042"/>
    </row>
    <row r="230" spans="2:5">
      <c r="B230" s="2045" t="s">
        <v>8807</v>
      </c>
      <c r="C230" s="2114" t="e">
        <f>VLOOKUP($C$2,NF_2122_Data2!$B$3:$CY$1239,77,FALSE)</f>
        <v>#N/A</v>
      </c>
      <c r="D230" s="2042"/>
      <c r="E230" s="2042"/>
    </row>
    <row r="231" spans="2:5">
      <c r="B231" s="2045" t="s">
        <v>11142</v>
      </c>
      <c r="C231" s="2114" t="e">
        <f>VLOOKUP($C$2,NF_2122_Data2!$B$3:$CY$1239,86,FALSE)</f>
        <v>#N/A</v>
      </c>
      <c r="D231" s="2042"/>
      <c r="E231" s="2042"/>
    </row>
    <row r="232" spans="2:5">
      <c r="B232" s="2045" t="s">
        <v>11143</v>
      </c>
      <c r="C232" s="2114" t="e">
        <f>VLOOKUP($C$2,NF_2122_Data2!$B$3:$CY$1239,87,FALSE)</f>
        <v>#N/A</v>
      </c>
      <c r="D232" s="2042"/>
      <c r="E232" s="2042"/>
    </row>
    <row r="233" spans="2:5">
      <c r="B233" s="2045" t="s">
        <v>11144</v>
      </c>
      <c r="C233" s="2114" t="e">
        <f>VLOOKUP($C$2,NF_2122_Data2!$B$3:$CY$1239,88,FALSE)</f>
        <v>#N/A</v>
      </c>
      <c r="D233" s="2042"/>
      <c r="E233" s="2042"/>
    </row>
    <row r="234" spans="2:5">
      <c r="B234" s="2045" t="s">
        <v>11145</v>
      </c>
      <c r="C234" s="951" t="e">
        <f>VLOOKUP($C$2,NF_2122_Data2!$B$3:$CY$1239,89,FALSE)</f>
        <v>#N/A</v>
      </c>
      <c r="D234" s="2042"/>
      <c r="E234" s="2042"/>
    </row>
    <row r="235" spans="2:5">
      <c r="B235" s="2045" t="s">
        <v>8792</v>
      </c>
      <c r="C235" s="951" t="e">
        <f>VLOOKUP($C$2,NF_2122_Data2!$B$3:$CY$1239,84,FALSE)</f>
        <v>#N/A</v>
      </c>
      <c r="D235" s="2042"/>
      <c r="E235" s="2042"/>
    </row>
    <row r="236" spans="2:5">
      <c r="B236" s="2045" t="s">
        <v>11146</v>
      </c>
      <c r="C236" s="2114" t="e">
        <f>VLOOKUP($C$2,NF_2122_Data2!$B$3:$CY$1239,66,FALSE)</f>
        <v>#N/A</v>
      </c>
      <c r="D236" s="2042"/>
      <c r="E236" s="2042"/>
    </row>
    <row r="237" spans="2:5">
      <c r="B237" s="2045" t="s">
        <v>11147</v>
      </c>
      <c r="C237" s="2114" t="e">
        <f>VLOOKUP($C$2,NF_2122_Data2!$B$3:$CY$1239,65,FALSE)</f>
        <v>#N/A</v>
      </c>
      <c r="D237" s="2042"/>
      <c r="E237" s="2042"/>
    </row>
    <row r="238" spans="2:5">
      <c r="B238" s="2045" t="s">
        <v>11148</v>
      </c>
      <c r="C238" s="2114" t="e">
        <f>VLOOKUP($C$2,NF_2122_Data2!$B$3:$CY$1239,67,FALSE)</f>
        <v>#N/A</v>
      </c>
      <c r="D238" s="2042"/>
      <c r="E238" s="2042"/>
    </row>
    <row r="239" spans="2:5">
      <c r="B239" s="2045" t="s">
        <v>11151</v>
      </c>
      <c r="C239" s="2114" t="e">
        <f>VLOOKUP($C$2,NF_2122_Data2!$B$3:$CY$1239,68,FALSE)</f>
        <v>#N/A</v>
      </c>
      <c r="D239" s="2042"/>
      <c r="E239" s="2042"/>
    </row>
    <row r="240" spans="2:5">
      <c r="B240" s="2045" t="s">
        <v>2749</v>
      </c>
      <c r="C240" s="951" t="e">
        <f>VLOOKUP($C$2,NF_2122_Data2!$B$3:$CY$1239,9,FALSE)</f>
        <v>#N/A</v>
      </c>
      <c r="D240" s="2042"/>
      <c r="E240" s="2042"/>
    </row>
    <row r="241" spans="2:6" s="2042" customFormat="1">
      <c r="B241" s="2045" t="s">
        <v>11449</v>
      </c>
      <c r="C241" s="951" t="e">
        <f>VLOOKUP($C$2,NF_2122_Data2!$B$3:$CY$1239,10,FALSE)</f>
        <v>#N/A</v>
      </c>
      <c r="F241" s="41"/>
    </row>
    <row r="242" spans="2:6">
      <c r="B242" s="2045" t="s">
        <v>11152</v>
      </c>
      <c r="C242" s="951" t="e">
        <f>VLOOKUP($C$2,NF_2122_Data2!$B$3:$CY$1239,60,FALSE)</f>
        <v>#N/A</v>
      </c>
      <c r="D242" s="2042"/>
      <c r="E242" s="2042"/>
    </row>
    <row r="243" spans="2:6">
      <c r="B243" s="2045" t="s">
        <v>11153</v>
      </c>
      <c r="C243" s="951" t="e">
        <f>VLOOKUP($C$2,NF_2122_Data2!$B$3:$CY$1239,61,FALSE)</f>
        <v>#N/A</v>
      </c>
      <c r="D243" s="2042"/>
      <c r="E243" s="2042"/>
    </row>
    <row r="244" spans="2:6">
      <c r="B244" s="2045" t="s">
        <v>1026</v>
      </c>
      <c r="C244" s="951" t="e">
        <f>VLOOKUP($C$2,NF_2122_Data2!$B$3:$CY$1239,21,FALSE)</f>
        <v>#N/A</v>
      </c>
      <c r="D244" s="2042"/>
      <c r="E244" s="2042"/>
    </row>
    <row r="245" spans="2:6">
      <c r="B245" s="2045" t="s">
        <v>11156</v>
      </c>
      <c r="C245" s="2396" t="e">
        <f>VLOOKUP($C$2,NF_2122_Data2!$B$3:$CY$1239,37,FALSE)</f>
        <v>#N/A</v>
      </c>
      <c r="D245" s="2042"/>
      <c r="E245" s="2042"/>
    </row>
    <row r="246" spans="2:6">
      <c r="B246" s="2045" t="s">
        <v>11473</v>
      </c>
      <c r="C246" s="2114" t="e">
        <f>VLOOKUP($C$2,NF_2122_Data2!$B$3:$CY$1239,8,FALSE)</f>
        <v>#N/A</v>
      </c>
    </row>
    <row r="247" spans="2:6">
      <c r="B247" s="2045" t="s">
        <v>11450</v>
      </c>
      <c r="C247" s="2114" t="e">
        <f>VLOOKUP($C$2,NF_2122_Data2!$B$3:$CY$1239,36,FALSE)</f>
        <v>#N/A</v>
      </c>
    </row>
    <row r="248" spans="2:6">
      <c r="B248" s="2045" t="s">
        <v>11454</v>
      </c>
      <c r="C248" s="2114" t="e">
        <f>VLOOKUP($C$2,EDA_IFA_Data2021!$B$2:$F$1233,5,FALSE)</f>
        <v>#N/A</v>
      </c>
    </row>
    <row r="249" spans="2:6">
      <c r="B249" s="2045" t="s">
        <v>11455</v>
      </c>
      <c r="C249" s="2114" t="e">
        <f>VLOOKUP($C$2,EDA_IFA_Data2021!$B$2:$F$1233,3,FALSE)</f>
        <v>#N/A</v>
      </c>
    </row>
    <row r="250" spans="2:6">
      <c r="B250" s="2045" t="s">
        <v>11456</v>
      </c>
      <c r="C250" s="2114" t="e">
        <f>VLOOKUP($C$2,EDA_IFA_Data2021!$B$2:$F$1233,2,FALSE)</f>
        <v>#N/A</v>
      </c>
    </row>
    <row r="251" spans="2:6">
      <c r="B251" s="2045" t="s">
        <v>11457</v>
      </c>
      <c r="C251" s="2396" t="e">
        <f>VLOOKUP($C$2,EDA_IFA_Data2021!$B$2:$F$1233,4,FALSE)</f>
        <v>#N/A</v>
      </c>
    </row>
    <row r="252" spans="2:6">
      <c r="B252" s="2045" t="s">
        <v>11458</v>
      </c>
      <c r="C252" s="2114" t="e">
        <f>VLOOKUP($C$2,NF_2122_Data2!$B$3:$CZ$1239,103,FALSE)</f>
        <v>#N/A</v>
      </c>
    </row>
    <row r="253" spans="2:6">
      <c r="B253" s="2045" t="s">
        <v>11459</v>
      </c>
      <c r="C253" s="2114" t="e">
        <f>VLOOKUP($C$2,NF_2122_Data2!$B$3:$DB$1239,105,FALSE)</f>
        <v>#N/A</v>
      </c>
    </row>
    <row r="254" spans="2:6">
      <c r="B254" s="2045" t="s">
        <v>11461</v>
      </c>
      <c r="C254" s="2114" t="e">
        <f>VLOOKUP($C$2,NF_2122_Data2!$B$3:$DB$1239,104,FALSE)</f>
        <v>#N/A</v>
      </c>
    </row>
    <row r="255" spans="2:6">
      <c r="B255" s="2045" t="s">
        <v>11463</v>
      </c>
      <c r="C255" s="2114" t="e">
        <f>VLOOKUP($C$2,NF_2122_Data2!$B$3:$DB$1239,102,FALSE)</f>
        <v>#N/A</v>
      </c>
    </row>
    <row r="256" spans="2:6">
      <c r="B256" s="2045" t="s">
        <v>11464</v>
      </c>
      <c r="C256" s="3208"/>
    </row>
    <row r="257" spans="2:3">
      <c r="B257" s="2045" t="s">
        <v>8827</v>
      </c>
      <c r="C257" s="2114" t="e">
        <f>VLOOKUP($C$2,NF_2122_Data2!$B$3:$DC$1239,106,FALSE)</f>
        <v>#N/A</v>
      </c>
    </row>
    <row r="258" spans="2:3">
      <c r="B258" s="2045" t="s">
        <v>11474</v>
      </c>
      <c r="C258" s="2114" t="e">
        <f>VLOOKUP($C$2,ASAHE_Line3!$B$3:$C$1238,2,FALSE)</f>
        <v>#N/A</v>
      </c>
    </row>
    <row r="259" spans="2:3">
      <c r="B259" s="2045" t="s">
        <v>11475</v>
      </c>
      <c r="C259" s="2396" t="e">
        <f>VLOOKUP($C$2,FTG_GreaterOfs!$B$3:$D$1234,2,FALSE)</f>
        <v>#N/A</v>
      </c>
    </row>
    <row r="260" spans="2:3">
      <c r="B260" s="2045" t="s">
        <v>12593</v>
      </c>
      <c r="C260" s="2396" t="e">
        <f>VLOOKUP($C$2,FTG_GreaterOfs!$B$3:$D$1234,3,FALSE)</f>
        <v>#N/A</v>
      </c>
    </row>
  </sheetData>
  <sortState ref="D193:D244">
    <sortCondition ref="D193:D244"/>
  </sortState>
  <phoneticPr fontId="0" type="noConversion"/>
  <pageMargins left="0.75" right="0.75" top="1" bottom="1" header="0.5" footer="0.5"/>
  <pageSetup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K1239"/>
  <sheetViews>
    <sheetView topLeftCell="BB1" zoomScaleNormal="100" workbookViewId="0">
      <selection activeCell="BD324" sqref="BD324"/>
    </sheetView>
  </sheetViews>
  <sheetFormatPr defaultRowHeight="12.5"/>
  <cols>
    <col min="3" max="6" width="20.6328125" customWidth="1"/>
    <col min="7" max="7" width="24.54296875" style="2043" customWidth="1"/>
    <col min="8" max="8" width="20.6328125" customWidth="1"/>
    <col min="9" max="9" width="20.6328125" style="2043" customWidth="1"/>
    <col min="10" max="17" width="20.6328125" customWidth="1"/>
    <col min="18" max="18" width="20.6328125" style="2043" customWidth="1"/>
    <col min="19" max="28" width="20.6328125" customWidth="1"/>
    <col min="29" max="29" width="20.6328125" style="2043" customWidth="1"/>
    <col min="30" max="30" width="20.6328125" customWidth="1"/>
    <col min="31" max="31" width="20.6328125" style="2043" customWidth="1"/>
    <col min="32" max="102" width="20.6328125" customWidth="1"/>
    <col min="103" max="103" width="20.6328125" style="2043" customWidth="1"/>
    <col min="104" max="104" width="18.90625" style="2043" customWidth="1"/>
    <col min="105" max="105" width="13.1796875" customWidth="1"/>
    <col min="106" max="106" width="17.1796875" style="2043" customWidth="1"/>
    <col min="107" max="107" width="17.08984375" style="2043" customWidth="1"/>
    <col min="115" max="115" width="13.08984375" customWidth="1"/>
  </cols>
  <sheetData>
    <row r="1" spans="1:115" s="2102" customFormat="1">
      <c r="B1" s="41">
        <v>1</v>
      </c>
      <c r="C1" s="41">
        <f>B1+1</f>
        <v>2</v>
      </c>
      <c r="D1" s="41">
        <f t="shared" ref="D1:BO1" si="0">C1+1</f>
        <v>3</v>
      </c>
      <c r="E1" s="41">
        <f t="shared" si="0"/>
        <v>4</v>
      </c>
      <c r="F1" s="41">
        <f t="shared" si="0"/>
        <v>5</v>
      </c>
      <c r="G1" s="41">
        <f t="shared" si="0"/>
        <v>6</v>
      </c>
      <c r="H1" s="41">
        <f t="shared" si="0"/>
        <v>7</v>
      </c>
      <c r="I1" s="41">
        <f t="shared" si="0"/>
        <v>8</v>
      </c>
      <c r="J1" s="41">
        <f t="shared" si="0"/>
        <v>9</v>
      </c>
      <c r="K1" s="41">
        <f t="shared" si="0"/>
        <v>10</v>
      </c>
      <c r="L1" s="41">
        <f t="shared" si="0"/>
        <v>11</v>
      </c>
      <c r="M1" s="41">
        <f t="shared" si="0"/>
        <v>12</v>
      </c>
      <c r="N1" s="41">
        <f t="shared" si="0"/>
        <v>13</v>
      </c>
      <c r="O1" s="41">
        <f t="shared" si="0"/>
        <v>14</v>
      </c>
      <c r="P1" s="41">
        <f t="shared" si="0"/>
        <v>15</v>
      </c>
      <c r="Q1" s="41">
        <f t="shared" si="0"/>
        <v>16</v>
      </c>
      <c r="R1" s="41">
        <f t="shared" si="0"/>
        <v>17</v>
      </c>
      <c r="S1" s="41">
        <f t="shared" si="0"/>
        <v>18</v>
      </c>
      <c r="T1" s="41">
        <f t="shared" si="0"/>
        <v>19</v>
      </c>
      <c r="U1" s="41">
        <f t="shared" si="0"/>
        <v>20</v>
      </c>
      <c r="V1" s="41">
        <f t="shared" si="0"/>
        <v>21</v>
      </c>
      <c r="W1" s="41">
        <f t="shared" si="0"/>
        <v>22</v>
      </c>
      <c r="X1" s="41">
        <f t="shared" si="0"/>
        <v>23</v>
      </c>
      <c r="Y1" s="41">
        <f t="shared" si="0"/>
        <v>24</v>
      </c>
      <c r="Z1" s="41">
        <f t="shared" si="0"/>
        <v>25</v>
      </c>
      <c r="AA1" s="41">
        <f t="shared" si="0"/>
        <v>26</v>
      </c>
      <c r="AB1" s="41">
        <f t="shared" si="0"/>
        <v>27</v>
      </c>
      <c r="AC1" s="41">
        <f t="shared" si="0"/>
        <v>28</v>
      </c>
      <c r="AD1" s="41">
        <f t="shared" si="0"/>
        <v>29</v>
      </c>
      <c r="AE1" s="186">
        <f t="shared" si="0"/>
        <v>30</v>
      </c>
      <c r="AF1" s="41">
        <f t="shared" si="0"/>
        <v>31</v>
      </c>
      <c r="AG1" s="41">
        <f t="shared" si="0"/>
        <v>32</v>
      </c>
      <c r="AH1" s="41">
        <f t="shared" si="0"/>
        <v>33</v>
      </c>
      <c r="AI1" s="41">
        <f t="shared" si="0"/>
        <v>34</v>
      </c>
      <c r="AJ1" s="41">
        <f t="shared" si="0"/>
        <v>35</v>
      </c>
      <c r="AK1" s="41">
        <f t="shared" si="0"/>
        <v>36</v>
      </c>
      <c r="AL1" s="41">
        <f t="shared" si="0"/>
        <v>37</v>
      </c>
      <c r="AM1" s="41">
        <f t="shared" si="0"/>
        <v>38</v>
      </c>
      <c r="AN1" s="41">
        <f t="shared" si="0"/>
        <v>39</v>
      </c>
      <c r="AO1" s="41">
        <f t="shared" si="0"/>
        <v>40</v>
      </c>
      <c r="AP1" s="41">
        <f t="shared" si="0"/>
        <v>41</v>
      </c>
      <c r="AQ1" s="41">
        <f t="shared" si="0"/>
        <v>42</v>
      </c>
      <c r="AR1" s="41">
        <f t="shared" si="0"/>
        <v>43</v>
      </c>
      <c r="AS1" s="41">
        <f t="shared" si="0"/>
        <v>44</v>
      </c>
      <c r="AT1" s="41">
        <f t="shared" si="0"/>
        <v>45</v>
      </c>
      <c r="AU1" s="41">
        <f t="shared" si="0"/>
        <v>46</v>
      </c>
      <c r="AV1" s="41">
        <f t="shared" si="0"/>
        <v>47</v>
      </c>
      <c r="AW1" s="41">
        <f t="shared" si="0"/>
        <v>48</v>
      </c>
      <c r="AX1" s="41">
        <f t="shared" si="0"/>
        <v>49</v>
      </c>
      <c r="AY1" s="41">
        <f t="shared" si="0"/>
        <v>50</v>
      </c>
      <c r="AZ1" s="41">
        <f t="shared" si="0"/>
        <v>51</v>
      </c>
      <c r="BA1" s="41">
        <f t="shared" si="0"/>
        <v>52</v>
      </c>
      <c r="BB1" s="41">
        <f t="shared" si="0"/>
        <v>53</v>
      </c>
      <c r="BC1" s="41">
        <f t="shared" si="0"/>
        <v>54</v>
      </c>
      <c r="BD1" s="41">
        <f t="shared" si="0"/>
        <v>55</v>
      </c>
      <c r="BE1" s="41">
        <f t="shared" si="0"/>
        <v>56</v>
      </c>
      <c r="BF1" s="41">
        <f t="shared" si="0"/>
        <v>57</v>
      </c>
      <c r="BG1" s="41">
        <f t="shared" si="0"/>
        <v>58</v>
      </c>
      <c r="BH1" s="41">
        <f t="shared" si="0"/>
        <v>59</v>
      </c>
      <c r="BI1" s="41">
        <f t="shared" si="0"/>
        <v>60</v>
      </c>
      <c r="BJ1" s="41">
        <f t="shared" si="0"/>
        <v>61</v>
      </c>
      <c r="BK1" s="41">
        <f t="shared" si="0"/>
        <v>62</v>
      </c>
      <c r="BL1" s="41">
        <f t="shared" si="0"/>
        <v>63</v>
      </c>
      <c r="BM1" s="41">
        <f t="shared" si="0"/>
        <v>64</v>
      </c>
      <c r="BN1" s="41">
        <f t="shared" si="0"/>
        <v>65</v>
      </c>
      <c r="BO1" s="41">
        <f t="shared" si="0"/>
        <v>66</v>
      </c>
      <c r="BP1" s="41">
        <f t="shared" ref="BP1:DC1" si="1">BO1+1</f>
        <v>67</v>
      </c>
      <c r="BQ1" s="41">
        <f t="shared" si="1"/>
        <v>68</v>
      </c>
      <c r="BR1" s="41">
        <f t="shared" si="1"/>
        <v>69</v>
      </c>
      <c r="BS1" s="41">
        <f t="shared" si="1"/>
        <v>70</v>
      </c>
      <c r="BT1" s="41">
        <f t="shared" si="1"/>
        <v>71</v>
      </c>
      <c r="BU1" s="41">
        <f t="shared" si="1"/>
        <v>72</v>
      </c>
      <c r="BV1" s="41">
        <f t="shared" si="1"/>
        <v>73</v>
      </c>
      <c r="BW1" s="41">
        <f t="shared" si="1"/>
        <v>74</v>
      </c>
      <c r="BX1" s="41">
        <f t="shared" si="1"/>
        <v>75</v>
      </c>
      <c r="BY1" s="41">
        <f t="shared" si="1"/>
        <v>76</v>
      </c>
      <c r="BZ1" s="41">
        <f t="shared" si="1"/>
        <v>77</v>
      </c>
      <c r="CA1" s="41">
        <f t="shared" si="1"/>
        <v>78</v>
      </c>
      <c r="CB1" s="41">
        <f t="shared" si="1"/>
        <v>79</v>
      </c>
      <c r="CC1" s="41">
        <f t="shared" si="1"/>
        <v>80</v>
      </c>
      <c r="CD1" s="41">
        <f t="shared" si="1"/>
        <v>81</v>
      </c>
      <c r="CE1" s="41">
        <f t="shared" si="1"/>
        <v>82</v>
      </c>
      <c r="CF1" s="41">
        <f t="shared" si="1"/>
        <v>83</v>
      </c>
      <c r="CG1" s="41">
        <f t="shared" si="1"/>
        <v>84</v>
      </c>
      <c r="CH1" s="41">
        <f t="shared" si="1"/>
        <v>85</v>
      </c>
      <c r="CI1" s="41">
        <f t="shared" si="1"/>
        <v>86</v>
      </c>
      <c r="CJ1" s="41">
        <f t="shared" si="1"/>
        <v>87</v>
      </c>
      <c r="CK1" s="41">
        <f t="shared" si="1"/>
        <v>88</v>
      </c>
      <c r="CL1" s="41">
        <f t="shared" si="1"/>
        <v>89</v>
      </c>
      <c r="CM1" s="41">
        <f t="shared" si="1"/>
        <v>90</v>
      </c>
      <c r="CN1" s="41">
        <f t="shared" si="1"/>
        <v>91</v>
      </c>
      <c r="CO1" s="41">
        <f t="shared" si="1"/>
        <v>92</v>
      </c>
      <c r="CP1" s="41">
        <f t="shared" si="1"/>
        <v>93</v>
      </c>
      <c r="CQ1" s="41">
        <f t="shared" si="1"/>
        <v>94</v>
      </c>
      <c r="CR1" s="41">
        <f t="shared" si="1"/>
        <v>95</v>
      </c>
      <c r="CS1" s="41">
        <f t="shared" si="1"/>
        <v>96</v>
      </c>
      <c r="CT1" s="41">
        <f t="shared" si="1"/>
        <v>97</v>
      </c>
      <c r="CU1" s="41">
        <f t="shared" si="1"/>
        <v>98</v>
      </c>
      <c r="CV1" s="41">
        <f t="shared" si="1"/>
        <v>99</v>
      </c>
      <c r="CW1" s="41">
        <f t="shared" si="1"/>
        <v>100</v>
      </c>
      <c r="CX1" s="41">
        <f t="shared" si="1"/>
        <v>101</v>
      </c>
      <c r="CY1" s="186">
        <f t="shared" si="1"/>
        <v>102</v>
      </c>
      <c r="CZ1" s="41">
        <f t="shared" si="1"/>
        <v>103</v>
      </c>
      <c r="DA1" s="41">
        <f t="shared" si="1"/>
        <v>104</v>
      </c>
      <c r="DB1" s="186">
        <f t="shared" si="1"/>
        <v>105</v>
      </c>
      <c r="DC1" s="186">
        <f t="shared" si="1"/>
        <v>106</v>
      </c>
    </row>
    <row r="2" spans="1:115" s="2758" customFormat="1" ht="25">
      <c r="C2" s="2758" t="s">
        <v>10358</v>
      </c>
      <c r="D2" s="2758" t="s">
        <v>11179</v>
      </c>
      <c r="E2" s="2758" t="s">
        <v>8813</v>
      </c>
      <c r="F2" s="2758" t="s">
        <v>11180</v>
      </c>
      <c r="G2" s="2757" t="s">
        <v>11181</v>
      </c>
      <c r="H2" s="2758" t="s">
        <v>11182</v>
      </c>
      <c r="I2" s="2757" t="s">
        <v>11157</v>
      </c>
      <c r="J2" s="2758" t="s">
        <v>11119</v>
      </c>
      <c r="K2" s="2758" t="s">
        <v>11183</v>
      </c>
      <c r="L2" s="2758" t="s">
        <v>11184</v>
      </c>
      <c r="M2" s="2758" t="s">
        <v>11185</v>
      </c>
      <c r="N2" s="2758" t="s">
        <v>11186</v>
      </c>
      <c r="O2" s="2758" t="s">
        <v>11187</v>
      </c>
      <c r="P2" s="2758" t="s">
        <v>11188</v>
      </c>
      <c r="Q2" s="2758" t="s">
        <v>11189</v>
      </c>
      <c r="R2" s="2757" t="s">
        <v>11190</v>
      </c>
      <c r="S2" s="2758" t="s">
        <v>11191</v>
      </c>
      <c r="T2" s="2758" t="s">
        <v>11192</v>
      </c>
      <c r="U2" s="2758" t="s">
        <v>11193</v>
      </c>
      <c r="V2" s="2758" t="s">
        <v>8793</v>
      </c>
      <c r="W2" s="2758" t="s">
        <v>11194</v>
      </c>
      <c r="X2" s="2758" t="s">
        <v>11195</v>
      </c>
      <c r="Y2" s="2758" t="s">
        <v>11196</v>
      </c>
      <c r="Z2" s="2758" t="s">
        <v>8816</v>
      </c>
      <c r="AA2" s="2758" t="s">
        <v>8768</v>
      </c>
      <c r="AB2" s="2758" t="s">
        <v>11197</v>
      </c>
      <c r="AC2" s="2757" t="s">
        <v>11198</v>
      </c>
      <c r="AD2" s="2758" t="s">
        <v>11120</v>
      </c>
      <c r="AE2" s="2757" t="s">
        <v>11121</v>
      </c>
      <c r="AF2" s="2758" t="s">
        <v>9281</v>
      </c>
      <c r="AG2" s="2758" t="s">
        <v>11199</v>
      </c>
      <c r="AH2" s="2758" t="s">
        <v>11200</v>
      </c>
      <c r="AI2" s="2758" t="s">
        <v>11201</v>
      </c>
      <c r="AJ2" s="2758" t="s">
        <v>11202</v>
      </c>
      <c r="AK2" s="2758" t="s">
        <v>11203</v>
      </c>
      <c r="AL2" s="2758" t="s">
        <v>8758</v>
      </c>
      <c r="AM2" s="2758" t="s">
        <v>8759</v>
      </c>
      <c r="AN2" s="2758" t="s">
        <v>8770</v>
      </c>
      <c r="AO2" s="2758" t="s">
        <v>8766</v>
      </c>
      <c r="AP2" s="2758" t="s">
        <v>8764</v>
      </c>
      <c r="AQ2" s="2758" t="s">
        <v>8769</v>
      </c>
      <c r="AR2" s="2758" t="s">
        <v>8761</v>
      </c>
      <c r="AS2" s="2758" t="s">
        <v>8763</v>
      </c>
      <c r="AT2" s="2758" t="s">
        <v>8762</v>
      </c>
      <c r="AU2" s="2758" t="s">
        <v>8760</v>
      </c>
      <c r="AV2" s="2758" t="s">
        <v>8765</v>
      </c>
      <c r="AW2" s="2758" t="s">
        <v>11204</v>
      </c>
      <c r="AX2" s="2758" t="s">
        <v>8767</v>
      </c>
      <c r="AY2" s="2758" t="s">
        <v>11205</v>
      </c>
      <c r="AZ2" s="2758" t="s">
        <v>11206</v>
      </c>
      <c r="BA2" s="2758" t="s">
        <v>11207</v>
      </c>
      <c r="BB2" s="2758" t="s">
        <v>11208</v>
      </c>
      <c r="BC2" s="2758" t="s">
        <v>8795</v>
      </c>
      <c r="BD2" s="2758" t="s">
        <v>8794</v>
      </c>
      <c r="BE2" s="2758" t="s">
        <v>8796</v>
      </c>
      <c r="BF2" s="2758" t="s">
        <v>11209</v>
      </c>
      <c r="BG2" s="2758" t="s">
        <v>11210</v>
      </c>
      <c r="BH2" s="2758" t="s">
        <v>8797</v>
      </c>
      <c r="BI2" s="2758" t="s">
        <v>11211</v>
      </c>
      <c r="BJ2" s="2758" t="s">
        <v>11212</v>
      </c>
      <c r="BK2" s="2758" t="s">
        <v>11213</v>
      </c>
      <c r="BL2" s="2758" t="s">
        <v>11214</v>
      </c>
      <c r="BM2" s="2758" t="s">
        <v>11215</v>
      </c>
      <c r="BN2" s="2758" t="s">
        <v>8812</v>
      </c>
      <c r="BO2" s="2758" t="s">
        <v>8811</v>
      </c>
      <c r="BP2" s="2758" t="s">
        <v>11216</v>
      </c>
      <c r="BQ2" s="2758" t="s">
        <v>11150</v>
      </c>
      <c r="BR2" s="2758" t="s">
        <v>8863</v>
      </c>
      <c r="BS2" s="2758" t="s">
        <v>11217</v>
      </c>
      <c r="BT2" s="2758" t="s">
        <v>11218</v>
      </c>
      <c r="BU2" s="2758" t="s">
        <v>11219</v>
      </c>
      <c r="BV2" s="2758" t="s">
        <v>8798</v>
      </c>
      <c r="BW2" s="2758" t="s">
        <v>8799</v>
      </c>
      <c r="BX2" s="2758" t="s">
        <v>8800</v>
      </c>
      <c r="BY2" s="2758" t="s">
        <v>8801</v>
      </c>
      <c r="BZ2" s="2758" t="s">
        <v>8802</v>
      </c>
      <c r="CA2" s="2758" t="s">
        <v>11220</v>
      </c>
      <c r="CB2" s="2758" t="s">
        <v>8814</v>
      </c>
      <c r="CC2" s="2758" t="s">
        <v>8817</v>
      </c>
      <c r="CD2" s="2758" t="s">
        <v>8818</v>
      </c>
      <c r="CE2" s="2758" t="s">
        <v>8815</v>
      </c>
      <c r="CF2" s="2758" t="s">
        <v>8771</v>
      </c>
      <c r="CG2" s="2758" t="s">
        <v>8772</v>
      </c>
      <c r="CH2" s="2758" t="s">
        <v>8773</v>
      </c>
      <c r="CI2" s="2758" t="s">
        <v>8808</v>
      </c>
      <c r="CJ2" s="2758" t="s">
        <v>8809</v>
      </c>
      <c r="CK2" s="2758" t="s">
        <v>8810</v>
      </c>
      <c r="CL2" s="2758" t="s">
        <v>11221</v>
      </c>
      <c r="CM2" s="2758" t="s">
        <v>11222</v>
      </c>
      <c r="CN2" s="2758" t="s">
        <v>11122</v>
      </c>
      <c r="CO2" s="2758" t="s">
        <v>11123</v>
      </c>
      <c r="CP2" s="2758" t="s">
        <v>11124</v>
      </c>
      <c r="CQ2" s="2758" t="s">
        <v>11149</v>
      </c>
      <c r="CR2" s="2758" t="s">
        <v>11223</v>
      </c>
      <c r="CS2" s="2758" t="s">
        <v>11224</v>
      </c>
      <c r="CT2" s="2758" t="s">
        <v>11225</v>
      </c>
      <c r="CU2" s="2758" t="s">
        <v>11125</v>
      </c>
      <c r="CV2" s="2758" t="s">
        <v>11126</v>
      </c>
      <c r="CW2" s="2758" t="s">
        <v>11127</v>
      </c>
      <c r="CX2" s="2758" t="s">
        <v>11226</v>
      </c>
      <c r="CY2" s="2757" t="s">
        <v>11227</v>
      </c>
      <c r="CZ2" s="2757" t="s">
        <v>11460</v>
      </c>
      <c r="DA2" s="2758" t="s">
        <v>11462</v>
      </c>
      <c r="DB2" s="2757" t="s">
        <v>11459</v>
      </c>
      <c r="DC2" s="2757" t="s">
        <v>8827</v>
      </c>
    </row>
    <row r="3" spans="1:115">
      <c r="A3" t="s">
        <v>5748</v>
      </c>
      <c r="B3" t="s">
        <v>183</v>
      </c>
      <c r="C3">
        <v>543.274</v>
      </c>
      <c r="D3">
        <v>524.16</v>
      </c>
      <c r="E3">
        <v>5.9980000000000002</v>
      </c>
      <c r="F3">
        <v>0</v>
      </c>
      <c r="G3" s="2043">
        <v>306063840</v>
      </c>
      <c r="H3">
        <v>0</v>
      </c>
      <c r="I3" s="2043">
        <v>0</v>
      </c>
      <c r="J3">
        <v>27.164000000000001</v>
      </c>
      <c r="K3">
        <v>74</v>
      </c>
      <c r="L3">
        <v>0</v>
      </c>
      <c r="M3">
        <v>0</v>
      </c>
      <c r="N3">
        <v>0</v>
      </c>
      <c r="O3">
        <v>0</v>
      </c>
      <c r="P3">
        <v>0</v>
      </c>
      <c r="Q3">
        <v>0</v>
      </c>
      <c r="R3" s="2043">
        <v>2667437</v>
      </c>
      <c r="S3">
        <v>237290</v>
      </c>
      <c r="T3">
        <v>172925</v>
      </c>
      <c r="U3">
        <v>0.08</v>
      </c>
      <c r="V3">
        <v>0</v>
      </c>
      <c r="W3">
        <v>0</v>
      </c>
      <c r="X3">
        <v>0</v>
      </c>
      <c r="Y3">
        <v>0</v>
      </c>
      <c r="Z3">
        <v>0</v>
      </c>
      <c r="AA3">
        <v>0</v>
      </c>
      <c r="AB3">
        <v>515.33000000000004</v>
      </c>
      <c r="AC3" s="2043">
        <v>300931855</v>
      </c>
      <c r="AD3">
        <v>0</v>
      </c>
      <c r="AE3" s="2043">
        <v>3077652</v>
      </c>
      <c r="AF3">
        <v>1.0376000000000001</v>
      </c>
      <c r="AG3">
        <v>0</v>
      </c>
      <c r="AH3">
        <v>0</v>
      </c>
      <c r="AI3">
        <v>0</v>
      </c>
      <c r="AJ3">
        <v>55.413000000000004</v>
      </c>
      <c r="AK3">
        <v>3421</v>
      </c>
      <c r="AL3">
        <v>0</v>
      </c>
      <c r="AM3">
        <v>0</v>
      </c>
      <c r="AN3">
        <v>24.087</v>
      </c>
      <c r="AO3">
        <v>0</v>
      </c>
      <c r="AP3">
        <v>0</v>
      </c>
      <c r="AQ3">
        <v>0</v>
      </c>
      <c r="AR3">
        <v>21.251000000000001</v>
      </c>
      <c r="AS3">
        <v>0</v>
      </c>
      <c r="AT3">
        <v>2.7680000000000002</v>
      </c>
      <c r="AU3">
        <v>0.78300000000000003</v>
      </c>
      <c r="AV3">
        <v>0</v>
      </c>
      <c r="AW3">
        <v>24.802</v>
      </c>
      <c r="AX3">
        <v>0</v>
      </c>
      <c r="AY3">
        <v>75.972000000000008</v>
      </c>
      <c r="AZ3">
        <v>0</v>
      </c>
      <c r="BA3">
        <v>4266085</v>
      </c>
      <c r="BB3">
        <v>3077652</v>
      </c>
      <c r="BC3">
        <v>0</v>
      </c>
      <c r="BD3">
        <v>106080</v>
      </c>
      <c r="BE3">
        <v>7782</v>
      </c>
      <c r="BF3">
        <v>113862</v>
      </c>
      <c r="BG3">
        <v>106080</v>
      </c>
      <c r="BH3">
        <v>0</v>
      </c>
      <c r="BI3">
        <v>0</v>
      </c>
      <c r="BJ3">
        <v>0</v>
      </c>
      <c r="BK3">
        <v>0</v>
      </c>
      <c r="BL3">
        <v>306063840</v>
      </c>
      <c r="BM3">
        <v>0</v>
      </c>
      <c r="BN3">
        <v>1782</v>
      </c>
      <c r="BO3">
        <v>1434</v>
      </c>
      <c r="BP3">
        <v>0</v>
      </c>
      <c r="BQ3">
        <v>0</v>
      </c>
      <c r="BR3">
        <v>0.89929999999999999</v>
      </c>
      <c r="BS3">
        <v>0.89929999999999999</v>
      </c>
      <c r="BT3">
        <v>0</v>
      </c>
      <c r="BU3">
        <v>0</v>
      </c>
      <c r="BV3">
        <v>102</v>
      </c>
      <c r="BW3">
        <v>68</v>
      </c>
      <c r="BX3">
        <v>44</v>
      </c>
      <c r="BY3">
        <v>15</v>
      </c>
      <c r="BZ3">
        <v>5</v>
      </c>
      <c r="CA3">
        <v>234</v>
      </c>
      <c r="CB3">
        <v>0</v>
      </c>
      <c r="CC3">
        <v>0</v>
      </c>
      <c r="CD3">
        <v>0</v>
      </c>
      <c r="CE3">
        <v>47</v>
      </c>
      <c r="CF3">
        <v>78.923000000000002</v>
      </c>
      <c r="CG3">
        <v>0</v>
      </c>
      <c r="CH3">
        <v>0</v>
      </c>
      <c r="CI3">
        <v>2</v>
      </c>
      <c r="CJ3">
        <v>13</v>
      </c>
      <c r="CK3">
        <v>0</v>
      </c>
      <c r="CL3">
        <v>0</v>
      </c>
      <c r="CM3">
        <v>5.9980000000000002</v>
      </c>
      <c r="CN3">
        <v>0</v>
      </c>
      <c r="CO3">
        <v>0</v>
      </c>
      <c r="CP3">
        <v>0</v>
      </c>
      <c r="CQ3">
        <v>0</v>
      </c>
      <c r="CR3">
        <v>0</v>
      </c>
      <c r="CS3">
        <v>0</v>
      </c>
      <c r="CT3">
        <v>0</v>
      </c>
      <c r="CU3">
        <v>2.36</v>
      </c>
      <c r="CV3">
        <v>37.767000000000003</v>
      </c>
      <c r="CW3">
        <v>20.663</v>
      </c>
      <c r="CX3">
        <v>0</v>
      </c>
      <c r="CY3" s="2043">
        <v>0</v>
      </c>
      <c r="CZ3" s="2043">
        <v>0</v>
      </c>
      <c r="DA3" s="2043">
        <v>0</v>
      </c>
      <c r="DB3" s="2043">
        <v>0</v>
      </c>
      <c r="DC3" s="2043">
        <v>0</v>
      </c>
      <c r="DI3" t="s">
        <v>5748</v>
      </c>
      <c r="DJ3" t="s">
        <v>5748</v>
      </c>
      <c r="DK3">
        <f>DI3-DJ3:DJ4</f>
        <v>0</v>
      </c>
    </row>
    <row r="4" spans="1:115">
      <c r="A4" t="s">
        <v>2849</v>
      </c>
      <c r="B4" t="s">
        <v>1847</v>
      </c>
      <c r="C4">
        <v>1076.2940000000001</v>
      </c>
      <c r="D4">
        <v>1143.0640000000001</v>
      </c>
      <c r="E4">
        <v>12.307</v>
      </c>
      <c r="F4">
        <v>0</v>
      </c>
      <c r="G4" s="2043">
        <v>319794930</v>
      </c>
      <c r="H4">
        <v>0</v>
      </c>
      <c r="I4" s="2043">
        <v>942550</v>
      </c>
      <c r="J4">
        <v>53.815000000000005</v>
      </c>
      <c r="K4">
        <v>147</v>
      </c>
      <c r="L4">
        <v>48229</v>
      </c>
      <c r="M4">
        <v>271021</v>
      </c>
      <c r="N4">
        <v>48229</v>
      </c>
      <c r="O4">
        <v>319250</v>
      </c>
      <c r="P4">
        <v>0</v>
      </c>
      <c r="Q4">
        <v>0</v>
      </c>
      <c r="R4" s="2043">
        <v>2746059</v>
      </c>
      <c r="S4">
        <v>252482</v>
      </c>
      <c r="T4">
        <v>183996</v>
      </c>
      <c r="U4">
        <v>0.08</v>
      </c>
      <c r="V4">
        <v>0</v>
      </c>
      <c r="W4">
        <v>0</v>
      </c>
      <c r="X4">
        <v>0</v>
      </c>
      <c r="Y4">
        <v>-3730</v>
      </c>
      <c r="Z4">
        <v>0</v>
      </c>
      <c r="AA4">
        <v>0.224</v>
      </c>
      <c r="AB4">
        <v>1068.9940000000001</v>
      </c>
      <c r="AC4" s="2043">
        <v>297691753</v>
      </c>
      <c r="AD4">
        <v>738053</v>
      </c>
      <c r="AE4" s="2043">
        <v>3182537</v>
      </c>
      <c r="AF4">
        <v>1.0084</v>
      </c>
      <c r="AG4">
        <v>0</v>
      </c>
      <c r="AH4">
        <v>0</v>
      </c>
      <c r="AI4">
        <v>0</v>
      </c>
      <c r="AJ4">
        <v>125.38800000000001</v>
      </c>
      <c r="AK4">
        <v>4250</v>
      </c>
      <c r="AL4">
        <v>0</v>
      </c>
      <c r="AM4">
        <v>0</v>
      </c>
      <c r="AN4">
        <v>31.721</v>
      </c>
      <c r="AO4">
        <v>0</v>
      </c>
      <c r="AP4">
        <v>0</v>
      </c>
      <c r="AQ4">
        <v>0</v>
      </c>
      <c r="AR4">
        <v>27.065000000000001</v>
      </c>
      <c r="AS4">
        <v>0</v>
      </c>
      <c r="AT4">
        <v>5.5529999999999999</v>
      </c>
      <c r="AU4">
        <v>2.4850000000000003</v>
      </c>
      <c r="AV4">
        <v>0</v>
      </c>
      <c r="AW4">
        <v>35.103000000000002</v>
      </c>
      <c r="AX4">
        <v>0</v>
      </c>
      <c r="AY4">
        <v>110.27900000000001</v>
      </c>
      <c r="AZ4">
        <v>0</v>
      </c>
      <c r="BA4">
        <v>9636914</v>
      </c>
      <c r="BB4">
        <v>3920590</v>
      </c>
      <c r="BC4">
        <v>0</v>
      </c>
      <c r="BD4">
        <v>77822</v>
      </c>
      <c r="BE4">
        <v>13458</v>
      </c>
      <c r="BF4">
        <v>98870</v>
      </c>
      <c r="BG4">
        <v>77822</v>
      </c>
      <c r="BH4">
        <v>7590</v>
      </c>
      <c r="BI4">
        <v>-3730</v>
      </c>
      <c r="BJ4">
        <v>0</v>
      </c>
      <c r="BK4">
        <v>0</v>
      </c>
      <c r="BL4">
        <v>319794930</v>
      </c>
      <c r="BM4">
        <v>0</v>
      </c>
      <c r="BN4">
        <v>3564</v>
      </c>
      <c r="BO4">
        <v>1477</v>
      </c>
      <c r="BP4">
        <v>0</v>
      </c>
      <c r="BQ4">
        <v>0</v>
      </c>
      <c r="BR4">
        <v>0.8701000000000001</v>
      </c>
      <c r="BS4">
        <v>0.8701000000000001</v>
      </c>
      <c r="BT4">
        <v>0</v>
      </c>
      <c r="BU4">
        <v>0</v>
      </c>
      <c r="BV4">
        <v>103</v>
      </c>
      <c r="BW4">
        <v>230</v>
      </c>
      <c r="BX4">
        <v>104</v>
      </c>
      <c r="BY4">
        <v>11</v>
      </c>
      <c r="BZ4">
        <v>68</v>
      </c>
      <c r="CA4">
        <v>516</v>
      </c>
      <c r="CB4">
        <v>0</v>
      </c>
      <c r="CC4">
        <v>0</v>
      </c>
      <c r="CD4">
        <v>0</v>
      </c>
      <c r="CE4">
        <v>44</v>
      </c>
      <c r="CF4">
        <v>188.55700000000002</v>
      </c>
      <c r="CG4">
        <v>0</v>
      </c>
      <c r="CH4">
        <v>0</v>
      </c>
      <c r="CI4">
        <v>5</v>
      </c>
      <c r="CJ4">
        <v>8</v>
      </c>
      <c r="CK4">
        <v>0</v>
      </c>
      <c r="CL4">
        <v>0</v>
      </c>
      <c r="CM4">
        <v>12.307</v>
      </c>
      <c r="CN4">
        <v>0</v>
      </c>
      <c r="CO4">
        <v>0</v>
      </c>
      <c r="CP4">
        <v>0</v>
      </c>
      <c r="CQ4">
        <v>0</v>
      </c>
      <c r="CR4">
        <v>0</v>
      </c>
      <c r="CS4">
        <v>0</v>
      </c>
      <c r="CT4">
        <v>0</v>
      </c>
      <c r="CU4">
        <v>13.443000000000001</v>
      </c>
      <c r="CV4">
        <v>76.939000000000007</v>
      </c>
      <c r="CW4">
        <v>47.341000000000001</v>
      </c>
      <c r="CX4">
        <v>0</v>
      </c>
      <c r="CY4" s="2043">
        <v>0</v>
      </c>
      <c r="CZ4" s="2043">
        <v>0</v>
      </c>
      <c r="DA4" s="2043">
        <v>0</v>
      </c>
      <c r="DB4" s="2043">
        <v>0</v>
      </c>
      <c r="DC4" s="2043">
        <v>0</v>
      </c>
      <c r="DI4" t="s">
        <v>2849</v>
      </c>
      <c r="DJ4" t="s">
        <v>2849</v>
      </c>
      <c r="DK4" s="2042">
        <f t="shared" ref="DK4:DK67" si="2">DI4-DJ4:DJ5</f>
        <v>0</v>
      </c>
    </row>
    <row r="5" spans="1:115">
      <c r="A5" t="s">
        <v>4918</v>
      </c>
      <c r="B5" t="s">
        <v>14</v>
      </c>
      <c r="C5">
        <v>793.26100000000008</v>
      </c>
      <c r="D5">
        <v>702.62</v>
      </c>
      <c r="E5">
        <v>31.629000000000001</v>
      </c>
      <c r="F5">
        <v>0</v>
      </c>
      <c r="G5" s="2043">
        <v>339672479</v>
      </c>
      <c r="H5">
        <v>0</v>
      </c>
      <c r="I5" s="2043">
        <v>776776</v>
      </c>
      <c r="J5">
        <v>39.663000000000004</v>
      </c>
      <c r="K5">
        <v>108</v>
      </c>
      <c r="L5">
        <v>0</v>
      </c>
      <c r="M5">
        <v>195039</v>
      </c>
      <c r="N5">
        <v>0</v>
      </c>
      <c r="O5">
        <v>195039</v>
      </c>
      <c r="P5">
        <v>0</v>
      </c>
      <c r="Q5">
        <v>0</v>
      </c>
      <c r="R5" s="2043">
        <v>2471144</v>
      </c>
      <c r="S5">
        <v>236643</v>
      </c>
      <c r="T5">
        <v>172453</v>
      </c>
      <c r="U5">
        <v>0.08</v>
      </c>
      <c r="V5">
        <v>0</v>
      </c>
      <c r="W5">
        <v>0</v>
      </c>
      <c r="X5">
        <v>0</v>
      </c>
      <c r="Y5">
        <v>0</v>
      </c>
      <c r="Z5">
        <v>3.8660000000000001</v>
      </c>
      <c r="AA5">
        <v>0</v>
      </c>
      <c r="AB5">
        <v>688.15300000000002</v>
      </c>
      <c r="AC5" s="2043">
        <v>265303123</v>
      </c>
      <c r="AD5">
        <v>824464</v>
      </c>
      <c r="AE5" s="2043">
        <v>2880240</v>
      </c>
      <c r="AF5">
        <v>0.97370000000000001</v>
      </c>
      <c r="AG5">
        <v>0</v>
      </c>
      <c r="AH5">
        <v>0</v>
      </c>
      <c r="AI5">
        <v>0</v>
      </c>
      <c r="AJ5">
        <v>103.77500000000001</v>
      </c>
      <c r="AK5">
        <v>4252</v>
      </c>
      <c r="AL5">
        <v>0.316</v>
      </c>
      <c r="AM5">
        <v>0</v>
      </c>
      <c r="AN5">
        <v>41.051000000000002</v>
      </c>
      <c r="AO5">
        <v>0</v>
      </c>
      <c r="AP5">
        <v>0</v>
      </c>
      <c r="AQ5">
        <v>0</v>
      </c>
      <c r="AR5">
        <v>21.525000000000002</v>
      </c>
      <c r="AS5">
        <v>0</v>
      </c>
      <c r="AT5">
        <v>5.6120000000000001</v>
      </c>
      <c r="AU5">
        <v>1.252</v>
      </c>
      <c r="AV5">
        <v>0</v>
      </c>
      <c r="AW5">
        <v>28.875</v>
      </c>
      <c r="AX5">
        <v>0.17</v>
      </c>
      <c r="AY5">
        <v>89.64200000000001</v>
      </c>
      <c r="AZ5">
        <v>0</v>
      </c>
      <c r="BA5">
        <v>6828285</v>
      </c>
      <c r="BB5">
        <v>3704704</v>
      </c>
      <c r="BC5">
        <v>0</v>
      </c>
      <c r="BD5">
        <v>41769</v>
      </c>
      <c r="BE5">
        <v>6628</v>
      </c>
      <c r="BF5">
        <v>48397</v>
      </c>
      <c r="BG5">
        <v>41769</v>
      </c>
      <c r="BH5">
        <v>0</v>
      </c>
      <c r="BI5">
        <v>0</v>
      </c>
      <c r="BJ5">
        <v>0</v>
      </c>
      <c r="BK5">
        <v>0</v>
      </c>
      <c r="BL5">
        <v>339672479</v>
      </c>
      <c r="BM5">
        <v>0</v>
      </c>
      <c r="BN5">
        <v>2943</v>
      </c>
      <c r="BO5">
        <v>2215</v>
      </c>
      <c r="BP5">
        <v>0</v>
      </c>
      <c r="BQ5">
        <v>0</v>
      </c>
      <c r="BR5">
        <v>0.83540000000000003</v>
      </c>
      <c r="BS5">
        <v>0.83540000000000003</v>
      </c>
      <c r="BT5">
        <v>0</v>
      </c>
      <c r="BU5">
        <v>0</v>
      </c>
      <c r="BV5">
        <v>172</v>
      </c>
      <c r="BW5">
        <v>132</v>
      </c>
      <c r="BX5">
        <v>122</v>
      </c>
      <c r="BY5">
        <v>6</v>
      </c>
      <c r="BZ5">
        <v>6</v>
      </c>
      <c r="CA5">
        <v>438</v>
      </c>
      <c r="CB5">
        <v>0</v>
      </c>
      <c r="CC5">
        <v>0</v>
      </c>
      <c r="CD5">
        <v>0</v>
      </c>
      <c r="CE5">
        <v>36</v>
      </c>
      <c r="CF5">
        <v>146.28900000000002</v>
      </c>
      <c r="CG5">
        <v>0</v>
      </c>
      <c r="CH5">
        <v>0</v>
      </c>
      <c r="CI5">
        <v>1</v>
      </c>
      <c r="CJ5">
        <v>11</v>
      </c>
      <c r="CK5">
        <v>0</v>
      </c>
      <c r="CL5">
        <v>0</v>
      </c>
      <c r="CM5">
        <v>31.629000000000001</v>
      </c>
      <c r="CN5">
        <v>0</v>
      </c>
      <c r="CO5">
        <v>0</v>
      </c>
      <c r="CP5">
        <v>0</v>
      </c>
      <c r="CQ5">
        <v>0</v>
      </c>
      <c r="CR5">
        <v>0</v>
      </c>
      <c r="CS5">
        <v>0</v>
      </c>
      <c r="CT5">
        <v>0</v>
      </c>
      <c r="CU5">
        <v>18.98</v>
      </c>
      <c r="CV5">
        <v>53.414999999999999</v>
      </c>
      <c r="CW5">
        <v>21.928000000000001</v>
      </c>
      <c r="CX5">
        <v>0</v>
      </c>
      <c r="CY5" s="2043">
        <v>0</v>
      </c>
      <c r="CZ5" s="2043">
        <v>0</v>
      </c>
      <c r="DA5" s="2043">
        <v>0</v>
      </c>
      <c r="DB5" s="2043">
        <v>0</v>
      </c>
      <c r="DC5" s="2043">
        <v>0</v>
      </c>
      <c r="DI5" t="s">
        <v>4918</v>
      </c>
      <c r="DJ5" t="s">
        <v>4918</v>
      </c>
      <c r="DK5" s="2042">
        <f t="shared" si="2"/>
        <v>0</v>
      </c>
    </row>
    <row r="6" spans="1:115">
      <c r="A6" t="s">
        <v>4919</v>
      </c>
      <c r="B6" t="s">
        <v>15</v>
      </c>
      <c r="C6">
        <v>304.92099999999999</v>
      </c>
      <c r="D6">
        <v>311.10300000000001</v>
      </c>
      <c r="E6">
        <v>5.883</v>
      </c>
      <c r="F6">
        <v>0</v>
      </c>
      <c r="G6" s="2043">
        <v>138510923</v>
      </c>
      <c r="H6">
        <v>0</v>
      </c>
      <c r="I6" s="2043">
        <v>325212</v>
      </c>
      <c r="J6">
        <v>15.246</v>
      </c>
      <c r="K6">
        <v>42</v>
      </c>
      <c r="L6">
        <v>0</v>
      </c>
      <c r="M6">
        <v>0</v>
      </c>
      <c r="N6">
        <v>0</v>
      </c>
      <c r="O6">
        <v>0</v>
      </c>
      <c r="P6">
        <v>0</v>
      </c>
      <c r="Q6">
        <v>0</v>
      </c>
      <c r="R6" s="2043">
        <v>1000399</v>
      </c>
      <c r="S6">
        <v>91759</v>
      </c>
      <c r="T6">
        <v>66869</v>
      </c>
      <c r="U6">
        <v>0.08</v>
      </c>
      <c r="V6">
        <v>0</v>
      </c>
      <c r="W6">
        <v>0</v>
      </c>
      <c r="X6">
        <v>0</v>
      </c>
      <c r="Y6">
        <v>0</v>
      </c>
      <c r="Z6">
        <v>0</v>
      </c>
      <c r="AA6">
        <v>0.188</v>
      </c>
      <c r="AB6">
        <v>311.10300000000001</v>
      </c>
      <c r="AC6" s="2043">
        <v>114358340</v>
      </c>
      <c r="AD6">
        <v>339031</v>
      </c>
      <c r="AE6" s="2043">
        <v>1159027</v>
      </c>
      <c r="AF6">
        <v>1.0105</v>
      </c>
      <c r="AG6">
        <v>0</v>
      </c>
      <c r="AH6">
        <v>0</v>
      </c>
      <c r="AI6">
        <v>0</v>
      </c>
      <c r="AJ6">
        <v>43.688000000000002</v>
      </c>
      <c r="AK6">
        <v>1474</v>
      </c>
      <c r="AL6">
        <v>0</v>
      </c>
      <c r="AM6">
        <v>0</v>
      </c>
      <c r="AN6">
        <v>17.920000000000002</v>
      </c>
      <c r="AO6">
        <v>0</v>
      </c>
      <c r="AP6">
        <v>0</v>
      </c>
      <c r="AQ6">
        <v>0</v>
      </c>
      <c r="AR6">
        <v>6.2610000000000001</v>
      </c>
      <c r="AS6">
        <v>0</v>
      </c>
      <c r="AT6">
        <v>0.11</v>
      </c>
      <c r="AU6">
        <v>0.55000000000000004</v>
      </c>
      <c r="AV6">
        <v>0</v>
      </c>
      <c r="AW6">
        <v>6.9210000000000003</v>
      </c>
      <c r="AX6">
        <v>0</v>
      </c>
      <c r="AY6">
        <v>21.863</v>
      </c>
      <c r="AZ6">
        <v>0</v>
      </c>
      <c r="BA6">
        <v>2874496</v>
      </c>
      <c r="BB6">
        <v>1498058</v>
      </c>
      <c r="BC6">
        <v>0</v>
      </c>
      <c r="BD6">
        <v>32852</v>
      </c>
      <c r="BE6">
        <v>4855</v>
      </c>
      <c r="BF6">
        <v>37707</v>
      </c>
      <c r="BG6">
        <v>32852</v>
      </c>
      <c r="BH6">
        <v>0</v>
      </c>
      <c r="BI6">
        <v>0</v>
      </c>
      <c r="BJ6">
        <v>0</v>
      </c>
      <c r="BK6">
        <v>0</v>
      </c>
      <c r="BL6">
        <v>138510923</v>
      </c>
      <c r="BM6">
        <v>0</v>
      </c>
      <c r="BN6">
        <v>1152</v>
      </c>
      <c r="BO6">
        <v>524</v>
      </c>
      <c r="BP6">
        <v>11725</v>
      </c>
      <c r="BQ6">
        <v>0</v>
      </c>
      <c r="BR6">
        <v>0.87220000000000009</v>
      </c>
      <c r="BS6">
        <v>0.87220000000000009</v>
      </c>
      <c r="BT6">
        <v>0</v>
      </c>
      <c r="BU6">
        <v>0</v>
      </c>
      <c r="BV6">
        <v>91</v>
      </c>
      <c r="BW6">
        <v>42</v>
      </c>
      <c r="BX6">
        <v>21</v>
      </c>
      <c r="BY6">
        <v>21</v>
      </c>
      <c r="BZ6">
        <v>9</v>
      </c>
      <c r="CA6">
        <v>184</v>
      </c>
      <c r="CB6">
        <v>0</v>
      </c>
      <c r="CC6">
        <v>0</v>
      </c>
      <c r="CD6">
        <v>0</v>
      </c>
      <c r="CE6">
        <v>12</v>
      </c>
      <c r="CF6">
        <v>62.115000000000002</v>
      </c>
      <c r="CG6">
        <v>0</v>
      </c>
      <c r="CH6">
        <v>0</v>
      </c>
      <c r="CI6">
        <v>1</v>
      </c>
      <c r="CJ6">
        <v>4</v>
      </c>
      <c r="CK6">
        <v>0</v>
      </c>
      <c r="CL6">
        <v>0</v>
      </c>
      <c r="CM6">
        <v>5.883</v>
      </c>
      <c r="CN6">
        <v>0</v>
      </c>
      <c r="CO6">
        <v>11725</v>
      </c>
      <c r="CP6">
        <v>0</v>
      </c>
      <c r="CQ6">
        <v>0</v>
      </c>
      <c r="CR6">
        <v>0</v>
      </c>
      <c r="CS6">
        <v>0</v>
      </c>
      <c r="CT6">
        <v>0</v>
      </c>
      <c r="CU6">
        <v>2.0350000000000001</v>
      </c>
      <c r="CV6">
        <v>16.052</v>
      </c>
      <c r="CW6">
        <v>10.72</v>
      </c>
      <c r="CX6">
        <v>0</v>
      </c>
      <c r="CY6" s="2043">
        <v>0</v>
      </c>
      <c r="CZ6" s="2043">
        <v>0</v>
      </c>
      <c r="DA6" s="2043">
        <v>0</v>
      </c>
      <c r="DB6" s="2043">
        <v>0</v>
      </c>
      <c r="DC6" s="2043">
        <v>0</v>
      </c>
      <c r="DI6" t="s">
        <v>4919</v>
      </c>
      <c r="DJ6" t="s">
        <v>4919</v>
      </c>
      <c r="DK6" s="2042">
        <f t="shared" si="2"/>
        <v>0</v>
      </c>
    </row>
    <row r="7" spans="1:115">
      <c r="A7" t="s">
        <v>2850</v>
      </c>
      <c r="B7" t="s">
        <v>16</v>
      </c>
      <c r="C7">
        <v>3053.2830000000004</v>
      </c>
      <c r="D7">
        <v>3164.7890000000002</v>
      </c>
      <c r="E7">
        <v>499.09400000000005</v>
      </c>
      <c r="F7">
        <v>0</v>
      </c>
      <c r="G7" s="2043">
        <v>1206801857</v>
      </c>
      <c r="H7">
        <v>0</v>
      </c>
      <c r="I7" s="2043">
        <v>3828675</v>
      </c>
      <c r="J7">
        <v>85</v>
      </c>
      <c r="K7">
        <v>232</v>
      </c>
      <c r="L7">
        <v>0</v>
      </c>
      <c r="M7">
        <v>751572</v>
      </c>
      <c r="N7">
        <v>0</v>
      </c>
      <c r="O7">
        <v>751572</v>
      </c>
      <c r="P7">
        <v>0</v>
      </c>
      <c r="Q7">
        <v>0</v>
      </c>
      <c r="R7" s="2043">
        <v>10487554</v>
      </c>
      <c r="S7">
        <v>944293</v>
      </c>
      <c r="T7">
        <v>688153</v>
      </c>
      <c r="U7">
        <v>0.08</v>
      </c>
      <c r="V7">
        <v>0</v>
      </c>
      <c r="W7">
        <v>0</v>
      </c>
      <c r="X7">
        <v>0</v>
      </c>
      <c r="Y7">
        <v>0</v>
      </c>
      <c r="Z7">
        <v>0</v>
      </c>
      <c r="AA7">
        <v>0.182</v>
      </c>
      <c r="AB7">
        <v>3076.1290000000004</v>
      </c>
      <c r="AC7" s="2043">
        <v>1169294073</v>
      </c>
      <c r="AD7">
        <v>3790000</v>
      </c>
      <c r="AE7" s="2043">
        <v>12120000</v>
      </c>
      <c r="AF7">
        <v>1.0268000000000002</v>
      </c>
      <c r="AG7">
        <v>0</v>
      </c>
      <c r="AH7">
        <v>0</v>
      </c>
      <c r="AI7">
        <v>0</v>
      </c>
      <c r="AJ7">
        <v>689.53800000000001</v>
      </c>
      <c r="AK7">
        <v>11428</v>
      </c>
      <c r="AL7">
        <v>0.55800000000000005</v>
      </c>
      <c r="AM7">
        <v>0</v>
      </c>
      <c r="AN7">
        <v>129.88900000000001</v>
      </c>
      <c r="AO7">
        <v>0</v>
      </c>
      <c r="AP7">
        <v>0</v>
      </c>
      <c r="AQ7">
        <v>0</v>
      </c>
      <c r="AR7">
        <v>65.793000000000006</v>
      </c>
      <c r="AS7">
        <v>0</v>
      </c>
      <c r="AT7">
        <v>29.541</v>
      </c>
      <c r="AU7">
        <v>6.8780000000000001</v>
      </c>
      <c r="AV7">
        <v>0</v>
      </c>
      <c r="AW7">
        <v>104.08800000000001</v>
      </c>
      <c r="AX7">
        <v>1.3180000000000001</v>
      </c>
      <c r="AY7">
        <v>326.21300000000002</v>
      </c>
      <c r="AZ7">
        <v>0</v>
      </c>
      <c r="BA7">
        <v>21834518</v>
      </c>
      <c r="BB7">
        <v>15910000</v>
      </c>
      <c r="BC7">
        <v>0</v>
      </c>
      <c r="BD7">
        <v>278910</v>
      </c>
      <c r="BE7">
        <v>62537</v>
      </c>
      <c r="BF7">
        <v>363279</v>
      </c>
      <c r="BG7">
        <v>278910</v>
      </c>
      <c r="BH7">
        <v>21832</v>
      </c>
      <c r="BI7">
        <v>0</v>
      </c>
      <c r="BJ7">
        <v>0</v>
      </c>
      <c r="BK7">
        <v>0</v>
      </c>
      <c r="BL7">
        <v>1206801857</v>
      </c>
      <c r="BM7">
        <v>0</v>
      </c>
      <c r="BN7">
        <v>11880</v>
      </c>
      <c r="BO7">
        <v>9823</v>
      </c>
      <c r="BP7">
        <v>132439</v>
      </c>
      <c r="BQ7">
        <v>0</v>
      </c>
      <c r="BR7">
        <v>0.88850000000000007</v>
      </c>
      <c r="BS7">
        <v>0.88850000000000007</v>
      </c>
      <c r="BT7">
        <v>0</v>
      </c>
      <c r="BU7">
        <v>0</v>
      </c>
      <c r="BV7">
        <v>412</v>
      </c>
      <c r="BW7">
        <v>410</v>
      </c>
      <c r="BX7">
        <v>506</v>
      </c>
      <c r="BY7">
        <v>787</v>
      </c>
      <c r="BZ7">
        <v>605</v>
      </c>
      <c r="CA7">
        <v>2720</v>
      </c>
      <c r="CB7">
        <v>0</v>
      </c>
      <c r="CC7">
        <v>0</v>
      </c>
      <c r="CD7">
        <v>0</v>
      </c>
      <c r="CE7">
        <v>125</v>
      </c>
      <c r="CF7">
        <v>910.8420000000001</v>
      </c>
      <c r="CG7">
        <v>0</v>
      </c>
      <c r="CH7">
        <v>0</v>
      </c>
      <c r="CI7">
        <v>27</v>
      </c>
      <c r="CJ7">
        <v>18</v>
      </c>
      <c r="CK7">
        <v>0</v>
      </c>
      <c r="CL7">
        <v>0</v>
      </c>
      <c r="CM7">
        <v>499.09400000000005</v>
      </c>
      <c r="CN7">
        <v>0</v>
      </c>
      <c r="CO7">
        <v>57857</v>
      </c>
      <c r="CP7">
        <v>69582</v>
      </c>
      <c r="CQ7">
        <v>5000</v>
      </c>
      <c r="CR7">
        <v>0</v>
      </c>
      <c r="CS7">
        <v>0</v>
      </c>
      <c r="CT7">
        <v>0</v>
      </c>
      <c r="CU7">
        <v>21.391999999999999</v>
      </c>
      <c r="CV7">
        <v>270.91700000000003</v>
      </c>
      <c r="CW7">
        <v>97.539000000000001</v>
      </c>
      <c r="CX7">
        <v>0</v>
      </c>
      <c r="CY7" s="2043">
        <v>0</v>
      </c>
      <c r="CZ7" s="2043">
        <v>0</v>
      </c>
      <c r="DA7" s="2043">
        <v>0</v>
      </c>
      <c r="DB7" s="2043">
        <v>0</v>
      </c>
      <c r="DC7" s="2043">
        <v>0</v>
      </c>
      <c r="DI7" t="s">
        <v>2850</v>
      </c>
      <c r="DJ7" t="s">
        <v>2850</v>
      </c>
      <c r="DK7" s="2042">
        <f t="shared" si="2"/>
        <v>0</v>
      </c>
    </row>
    <row r="8" spans="1:115">
      <c r="A8" t="s">
        <v>5749</v>
      </c>
      <c r="B8" t="s">
        <v>1036</v>
      </c>
      <c r="C8">
        <v>1232.1790000000001</v>
      </c>
      <c r="D8">
        <v>1357.7080000000001</v>
      </c>
      <c r="E8">
        <v>82.838999999999999</v>
      </c>
      <c r="F8">
        <v>0</v>
      </c>
      <c r="G8" s="2043">
        <v>574954694</v>
      </c>
      <c r="H8">
        <v>0</v>
      </c>
      <c r="I8" s="2043">
        <v>0</v>
      </c>
      <c r="J8">
        <v>61.609000000000002</v>
      </c>
      <c r="K8">
        <v>168</v>
      </c>
      <c r="L8">
        <v>0</v>
      </c>
      <c r="M8">
        <v>0</v>
      </c>
      <c r="N8">
        <v>0</v>
      </c>
      <c r="O8">
        <v>0</v>
      </c>
      <c r="P8">
        <v>0</v>
      </c>
      <c r="Q8">
        <v>0</v>
      </c>
      <c r="R8" s="2043">
        <v>4846759</v>
      </c>
      <c r="S8">
        <v>444504</v>
      </c>
      <c r="T8">
        <v>323932</v>
      </c>
      <c r="U8">
        <v>0.08</v>
      </c>
      <c r="V8">
        <v>0</v>
      </c>
      <c r="W8">
        <v>0</v>
      </c>
      <c r="X8">
        <v>0</v>
      </c>
      <c r="Y8">
        <v>0</v>
      </c>
      <c r="Z8">
        <v>0</v>
      </c>
      <c r="AA8">
        <v>0.49300000000000005</v>
      </c>
      <c r="AB8">
        <v>1216.925</v>
      </c>
      <c r="AC8" s="2043">
        <v>515320465</v>
      </c>
      <c r="AD8">
        <v>0</v>
      </c>
      <c r="AE8" s="2043">
        <v>5615195</v>
      </c>
      <c r="AF8">
        <v>1.0105999999999999</v>
      </c>
      <c r="AG8">
        <v>0</v>
      </c>
      <c r="AH8">
        <v>0</v>
      </c>
      <c r="AI8">
        <v>0</v>
      </c>
      <c r="AJ8">
        <v>248.83800000000002</v>
      </c>
      <c r="AK8">
        <v>6110</v>
      </c>
      <c r="AL8">
        <v>0</v>
      </c>
      <c r="AM8">
        <v>0</v>
      </c>
      <c r="AN8">
        <v>104.38300000000001</v>
      </c>
      <c r="AO8">
        <v>0</v>
      </c>
      <c r="AP8">
        <v>0</v>
      </c>
      <c r="AQ8">
        <v>0</v>
      </c>
      <c r="AR8">
        <v>16.637</v>
      </c>
      <c r="AS8">
        <v>0</v>
      </c>
      <c r="AT8">
        <v>12.788</v>
      </c>
      <c r="AU8">
        <v>2.3480000000000003</v>
      </c>
      <c r="AV8">
        <v>0</v>
      </c>
      <c r="AW8">
        <v>31.773000000000003</v>
      </c>
      <c r="AX8">
        <v>0</v>
      </c>
      <c r="AY8">
        <v>100.015</v>
      </c>
      <c r="AZ8">
        <v>0</v>
      </c>
      <c r="BA8">
        <v>9724512</v>
      </c>
      <c r="BB8">
        <v>5615195</v>
      </c>
      <c r="BC8">
        <v>0</v>
      </c>
      <c r="BD8">
        <v>156576</v>
      </c>
      <c r="BE8">
        <v>78555</v>
      </c>
      <c r="BF8">
        <v>248916</v>
      </c>
      <c r="BG8">
        <v>156576</v>
      </c>
      <c r="BH8">
        <v>13785</v>
      </c>
      <c r="BI8">
        <v>0</v>
      </c>
      <c r="BJ8">
        <v>0</v>
      </c>
      <c r="BK8">
        <v>0</v>
      </c>
      <c r="BL8">
        <v>574954694</v>
      </c>
      <c r="BM8">
        <v>0</v>
      </c>
      <c r="BN8">
        <v>5292</v>
      </c>
      <c r="BO8">
        <v>3585</v>
      </c>
      <c r="BP8">
        <v>0</v>
      </c>
      <c r="BQ8">
        <v>0</v>
      </c>
      <c r="BR8">
        <v>0.87230000000000008</v>
      </c>
      <c r="BS8">
        <v>0.87230000000000008</v>
      </c>
      <c r="BT8">
        <v>0</v>
      </c>
      <c r="BU8">
        <v>0</v>
      </c>
      <c r="BV8">
        <v>198</v>
      </c>
      <c r="BW8">
        <v>28</v>
      </c>
      <c r="BX8">
        <v>258</v>
      </c>
      <c r="BY8">
        <v>349</v>
      </c>
      <c r="BZ8">
        <v>151</v>
      </c>
      <c r="CA8">
        <v>984</v>
      </c>
      <c r="CB8">
        <v>0</v>
      </c>
      <c r="CC8">
        <v>0</v>
      </c>
      <c r="CD8">
        <v>0</v>
      </c>
      <c r="CE8">
        <v>94</v>
      </c>
      <c r="CF8">
        <v>287.33800000000002</v>
      </c>
      <c r="CG8">
        <v>0</v>
      </c>
      <c r="CH8">
        <v>0</v>
      </c>
      <c r="CI8">
        <v>10</v>
      </c>
      <c r="CJ8">
        <v>7</v>
      </c>
      <c r="CK8">
        <v>0</v>
      </c>
      <c r="CL8">
        <v>0</v>
      </c>
      <c r="CM8">
        <v>82.838999999999999</v>
      </c>
      <c r="CN8">
        <v>0</v>
      </c>
      <c r="CO8">
        <v>0</v>
      </c>
      <c r="CP8">
        <v>0</v>
      </c>
      <c r="CQ8">
        <v>0</v>
      </c>
      <c r="CR8">
        <v>0</v>
      </c>
      <c r="CS8">
        <v>0</v>
      </c>
      <c r="CT8">
        <v>0</v>
      </c>
      <c r="CU8">
        <v>23.759</v>
      </c>
      <c r="CV8">
        <v>90.283000000000001</v>
      </c>
      <c r="CW8">
        <v>51.372</v>
      </c>
      <c r="CX8">
        <v>0</v>
      </c>
      <c r="CY8" s="2043">
        <v>0</v>
      </c>
      <c r="CZ8" s="2043">
        <v>0</v>
      </c>
      <c r="DA8" s="2043">
        <v>0</v>
      </c>
      <c r="DB8" s="2043">
        <v>0</v>
      </c>
      <c r="DC8" s="2043">
        <v>0</v>
      </c>
      <c r="DI8" t="s">
        <v>5749</v>
      </c>
      <c r="DJ8" t="s">
        <v>5749</v>
      </c>
      <c r="DK8" s="2042">
        <f t="shared" si="2"/>
        <v>0</v>
      </c>
    </row>
    <row r="9" spans="1:115">
      <c r="A9" t="s">
        <v>4920</v>
      </c>
      <c r="B9" t="s">
        <v>1037</v>
      </c>
      <c r="C9">
        <v>327.16500000000002</v>
      </c>
      <c r="D9">
        <v>336.70300000000003</v>
      </c>
      <c r="E9">
        <v>1.9470000000000001</v>
      </c>
      <c r="F9">
        <v>0</v>
      </c>
      <c r="G9" s="2043">
        <v>130966168</v>
      </c>
      <c r="H9">
        <v>0</v>
      </c>
      <c r="I9" s="2043">
        <v>202850</v>
      </c>
      <c r="J9">
        <v>12</v>
      </c>
      <c r="K9">
        <v>33</v>
      </c>
      <c r="L9">
        <v>6453</v>
      </c>
      <c r="M9">
        <v>93547</v>
      </c>
      <c r="N9">
        <v>6453</v>
      </c>
      <c r="O9">
        <v>100000</v>
      </c>
      <c r="P9">
        <v>0</v>
      </c>
      <c r="Q9">
        <v>0</v>
      </c>
      <c r="R9" s="2043">
        <v>1116205</v>
      </c>
      <c r="S9">
        <v>103424</v>
      </c>
      <c r="T9">
        <v>75371</v>
      </c>
      <c r="U9">
        <v>0.08</v>
      </c>
      <c r="V9">
        <v>0</v>
      </c>
      <c r="W9">
        <v>0</v>
      </c>
      <c r="X9">
        <v>0</v>
      </c>
      <c r="Y9">
        <v>0</v>
      </c>
      <c r="Z9">
        <v>7.6050000000000004</v>
      </c>
      <c r="AA9">
        <v>0</v>
      </c>
      <c r="AB9">
        <v>336.70300000000003</v>
      </c>
      <c r="AC9" s="2043">
        <v>124795852</v>
      </c>
      <c r="AD9">
        <v>165000</v>
      </c>
      <c r="AE9" s="2043">
        <v>1295000</v>
      </c>
      <c r="AF9">
        <v>1.0017</v>
      </c>
      <c r="AG9">
        <v>0</v>
      </c>
      <c r="AH9">
        <v>0</v>
      </c>
      <c r="AI9">
        <v>0</v>
      </c>
      <c r="AJ9">
        <v>39.9</v>
      </c>
      <c r="AK9">
        <v>2191</v>
      </c>
      <c r="AL9">
        <v>0</v>
      </c>
      <c r="AM9">
        <v>0</v>
      </c>
      <c r="AN9">
        <v>0</v>
      </c>
      <c r="AO9">
        <v>0</v>
      </c>
      <c r="AP9">
        <v>0</v>
      </c>
      <c r="AQ9">
        <v>0</v>
      </c>
      <c r="AR9">
        <v>17.573</v>
      </c>
      <c r="AS9">
        <v>0</v>
      </c>
      <c r="AT9">
        <v>2.323</v>
      </c>
      <c r="AU9">
        <v>0.66800000000000004</v>
      </c>
      <c r="AV9">
        <v>0</v>
      </c>
      <c r="AW9">
        <v>20.564</v>
      </c>
      <c r="AX9">
        <v>0</v>
      </c>
      <c r="AY9">
        <v>63.028000000000006</v>
      </c>
      <c r="AZ9">
        <v>0</v>
      </c>
      <c r="BA9">
        <v>3412331</v>
      </c>
      <c r="BB9">
        <v>1460000</v>
      </c>
      <c r="BC9">
        <v>0</v>
      </c>
      <c r="BD9">
        <v>56694</v>
      </c>
      <c r="BE9">
        <v>2115</v>
      </c>
      <c r="BF9">
        <v>58809</v>
      </c>
      <c r="BG9">
        <v>56694</v>
      </c>
      <c r="BH9">
        <v>0</v>
      </c>
      <c r="BI9">
        <v>0</v>
      </c>
      <c r="BJ9">
        <v>0</v>
      </c>
      <c r="BK9">
        <v>0</v>
      </c>
      <c r="BL9">
        <v>130966168</v>
      </c>
      <c r="BM9">
        <v>0</v>
      </c>
      <c r="BN9">
        <v>1422</v>
      </c>
      <c r="BO9">
        <v>1220</v>
      </c>
      <c r="BP9">
        <v>0</v>
      </c>
      <c r="BQ9">
        <v>0</v>
      </c>
      <c r="BR9">
        <v>0.86340000000000006</v>
      </c>
      <c r="BS9">
        <v>0.86340000000000006</v>
      </c>
      <c r="BT9">
        <v>0</v>
      </c>
      <c r="BU9">
        <v>0</v>
      </c>
      <c r="BV9">
        <v>25</v>
      </c>
      <c r="BW9">
        <v>125</v>
      </c>
      <c r="BX9">
        <v>13</v>
      </c>
      <c r="BY9">
        <v>3</v>
      </c>
      <c r="BZ9">
        <v>2</v>
      </c>
      <c r="CA9">
        <v>168</v>
      </c>
      <c r="CB9">
        <v>0</v>
      </c>
      <c r="CC9">
        <v>0</v>
      </c>
      <c r="CD9">
        <v>0</v>
      </c>
      <c r="CE9">
        <v>33</v>
      </c>
      <c r="CF9">
        <v>55.064</v>
      </c>
      <c r="CG9">
        <v>0</v>
      </c>
      <c r="CH9">
        <v>0</v>
      </c>
      <c r="CI9">
        <v>2</v>
      </c>
      <c r="CJ9">
        <v>4</v>
      </c>
      <c r="CK9">
        <v>0</v>
      </c>
      <c r="CL9">
        <v>0</v>
      </c>
      <c r="CM9">
        <v>1.9470000000000001</v>
      </c>
      <c r="CN9">
        <v>0</v>
      </c>
      <c r="CO9">
        <v>0</v>
      </c>
      <c r="CP9">
        <v>0</v>
      </c>
      <c r="CQ9">
        <v>0</v>
      </c>
      <c r="CR9">
        <v>0</v>
      </c>
      <c r="CS9">
        <v>0</v>
      </c>
      <c r="CT9">
        <v>0</v>
      </c>
      <c r="CU9">
        <v>1.897</v>
      </c>
      <c r="CV9">
        <v>25.478000000000002</v>
      </c>
      <c r="CW9">
        <v>15.566000000000001</v>
      </c>
      <c r="CX9">
        <v>0</v>
      </c>
      <c r="CY9" s="2043">
        <v>0</v>
      </c>
      <c r="CZ9" s="2043">
        <v>0</v>
      </c>
      <c r="DA9" s="2043">
        <v>0</v>
      </c>
      <c r="DB9" s="2043">
        <v>0</v>
      </c>
      <c r="DC9" s="2043">
        <v>0</v>
      </c>
      <c r="DI9" t="s">
        <v>4920</v>
      </c>
      <c r="DJ9" t="s">
        <v>4920</v>
      </c>
      <c r="DK9" s="2042">
        <f t="shared" si="2"/>
        <v>0</v>
      </c>
    </row>
    <row r="10" spans="1:115">
      <c r="A10" t="s">
        <v>4921</v>
      </c>
      <c r="B10" t="s">
        <v>1737</v>
      </c>
      <c r="C10">
        <v>3893.3620000000001</v>
      </c>
      <c r="D10">
        <v>4272.518</v>
      </c>
      <c r="E10">
        <v>205.261</v>
      </c>
      <c r="F10">
        <v>0</v>
      </c>
      <c r="G10" s="2043">
        <v>4849324046</v>
      </c>
      <c r="H10">
        <v>0</v>
      </c>
      <c r="I10" s="2043">
        <v>5498843</v>
      </c>
      <c r="J10">
        <v>194.66800000000001</v>
      </c>
      <c r="K10">
        <v>532</v>
      </c>
      <c r="L10">
        <v>0</v>
      </c>
      <c r="M10">
        <v>0</v>
      </c>
      <c r="N10">
        <v>0</v>
      </c>
      <c r="O10">
        <v>0</v>
      </c>
      <c r="P10">
        <v>0</v>
      </c>
      <c r="Q10">
        <v>0</v>
      </c>
      <c r="R10" s="2043">
        <v>42635294</v>
      </c>
      <c r="S10">
        <v>2800654</v>
      </c>
      <c r="T10">
        <v>0</v>
      </c>
      <c r="U10">
        <v>0.06</v>
      </c>
      <c r="V10">
        <v>0</v>
      </c>
      <c r="W10">
        <v>12070762</v>
      </c>
      <c r="X10">
        <v>0</v>
      </c>
      <c r="Y10">
        <v>943099</v>
      </c>
      <c r="Z10">
        <v>0</v>
      </c>
      <c r="AA10">
        <v>0.41400000000000003</v>
      </c>
      <c r="AB10">
        <v>4068.1260000000002</v>
      </c>
      <c r="AC10" s="2043">
        <v>4675586777</v>
      </c>
      <c r="AD10">
        <v>7004276</v>
      </c>
      <c r="AE10" s="2043">
        <v>45435948</v>
      </c>
      <c r="AF10">
        <v>0.97340000000000004</v>
      </c>
      <c r="AG10">
        <v>0</v>
      </c>
      <c r="AH10">
        <v>12070762</v>
      </c>
      <c r="AI10">
        <v>0</v>
      </c>
      <c r="AJ10">
        <v>492.77500000000003</v>
      </c>
      <c r="AK10">
        <v>10978</v>
      </c>
      <c r="AL10">
        <v>4.9000000000000002E-2</v>
      </c>
      <c r="AM10">
        <v>0</v>
      </c>
      <c r="AN10">
        <v>206.08200000000002</v>
      </c>
      <c r="AO10">
        <v>0</v>
      </c>
      <c r="AP10">
        <v>0</v>
      </c>
      <c r="AQ10">
        <v>0</v>
      </c>
      <c r="AR10">
        <v>43.274999999999999</v>
      </c>
      <c r="AS10">
        <v>0</v>
      </c>
      <c r="AT10">
        <v>20.097000000000001</v>
      </c>
      <c r="AU10">
        <v>6.319</v>
      </c>
      <c r="AV10">
        <v>0</v>
      </c>
      <c r="AW10">
        <v>73.588000000000008</v>
      </c>
      <c r="AX10">
        <v>3.8480000000000003</v>
      </c>
      <c r="AY10">
        <v>230.80600000000001</v>
      </c>
      <c r="AZ10">
        <v>0</v>
      </c>
      <c r="BA10">
        <v>3340174</v>
      </c>
      <c r="BB10">
        <v>52440224</v>
      </c>
      <c r="BC10">
        <v>0</v>
      </c>
      <c r="BD10">
        <v>68886</v>
      </c>
      <c r="BE10">
        <v>40908</v>
      </c>
      <c r="BF10">
        <v>109794</v>
      </c>
      <c r="BG10">
        <v>68886</v>
      </c>
      <c r="BH10">
        <v>0</v>
      </c>
      <c r="BI10">
        <v>-12855</v>
      </c>
      <c r="BJ10">
        <v>0</v>
      </c>
      <c r="BK10">
        <v>0</v>
      </c>
      <c r="BL10">
        <v>4849324046</v>
      </c>
      <c r="BM10">
        <v>0</v>
      </c>
      <c r="BN10">
        <v>13995</v>
      </c>
      <c r="BO10">
        <v>2204</v>
      </c>
      <c r="BP10">
        <v>0</v>
      </c>
      <c r="BQ10">
        <v>0</v>
      </c>
      <c r="BR10">
        <v>0.91339999999999999</v>
      </c>
      <c r="BS10">
        <v>0.91339999999999999</v>
      </c>
      <c r="BT10">
        <v>955954</v>
      </c>
      <c r="BU10">
        <v>0</v>
      </c>
      <c r="BV10">
        <v>404</v>
      </c>
      <c r="BW10">
        <v>1169</v>
      </c>
      <c r="BX10">
        <v>77</v>
      </c>
      <c r="BY10">
        <v>357</v>
      </c>
      <c r="BZ10">
        <v>41</v>
      </c>
      <c r="CA10">
        <v>2048</v>
      </c>
      <c r="CB10">
        <v>0</v>
      </c>
      <c r="CC10">
        <v>288.28800000000001</v>
      </c>
      <c r="CD10">
        <v>79.73</v>
      </c>
      <c r="CE10">
        <v>216</v>
      </c>
      <c r="CF10">
        <v>863.32900000000006</v>
      </c>
      <c r="CG10">
        <v>45.344000000000001</v>
      </c>
      <c r="CH10">
        <v>0</v>
      </c>
      <c r="CI10">
        <v>0</v>
      </c>
      <c r="CJ10">
        <v>11</v>
      </c>
      <c r="CK10">
        <v>0</v>
      </c>
      <c r="CL10">
        <v>45.344000000000001</v>
      </c>
      <c r="CM10">
        <v>205.261</v>
      </c>
      <c r="CN10">
        <v>0</v>
      </c>
      <c r="CO10">
        <v>0</v>
      </c>
      <c r="CP10">
        <v>0</v>
      </c>
      <c r="CQ10">
        <v>0</v>
      </c>
      <c r="CR10">
        <v>0</v>
      </c>
      <c r="CS10">
        <v>0</v>
      </c>
      <c r="CT10">
        <v>0</v>
      </c>
      <c r="CU10">
        <v>1.611</v>
      </c>
      <c r="CV10">
        <v>174.999</v>
      </c>
      <c r="CW10">
        <v>92.716000000000008</v>
      </c>
      <c r="CX10">
        <v>955954</v>
      </c>
      <c r="CY10" s="2043">
        <v>0</v>
      </c>
      <c r="CZ10" s="2043">
        <v>0</v>
      </c>
      <c r="DA10" s="2043">
        <v>0</v>
      </c>
      <c r="DB10" s="2043">
        <v>0</v>
      </c>
      <c r="DC10" s="2043">
        <v>400000</v>
      </c>
      <c r="DI10" t="s">
        <v>4921</v>
      </c>
      <c r="DJ10" t="s">
        <v>4921</v>
      </c>
      <c r="DK10" s="2042">
        <f t="shared" si="2"/>
        <v>0</v>
      </c>
    </row>
    <row r="11" spans="1:115">
      <c r="A11" t="s">
        <v>7918</v>
      </c>
      <c r="B11" t="s">
        <v>11228</v>
      </c>
      <c r="C11">
        <v>906.49700000000007</v>
      </c>
      <c r="D11">
        <v>925.48300000000006</v>
      </c>
      <c r="E11">
        <v>43.583000000000006</v>
      </c>
      <c r="F11">
        <v>0</v>
      </c>
      <c r="G11" s="2043">
        <v>0</v>
      </c>
      <c r="H11">
        <v>0</v>
      </c>
      <c r="I11" s="2043">
        <v>0</v>
      </c>
      <c r="J11">
        <v>45.325000000000003</v>
      </c>
      <c r="K11">
        <v>124</v>
      </c>
      <c r="L11">
        <v>0</v>
      </c>
      <c r="M11">
        <v>0</v>
      </c>
      <c r="N11">
        <v>0</v>
      </c>
      <c r="O11">
        <v>0</v>
      </c>
      <c r="P11">
        <v>0</v>
      </c>
      <c r="Q11">
        <v>0</v>
      </c>
      <c r="R11" s="2043">
        <v>0</v>
      </c>
      <c r="S11">
        <v>0</v>
      </c>
      <c r="T11">
        <v>0</v>
      </c>
      <c r="U11">
        <v>0</v>
      </c>
      <c r="V11">
        <v>0</v>
      </c>
      <c r="W11">
        <v>0</v>
      </c>
      <c r="X11">
        <v>0</v>
      </c>
      <c r="Y11">
        <v>160253</v>
      </c>
      <c r="Z11">
        <v>0</v>
      </c>
      <c r="AA11">
        <v>8.8000000000000009E-2</v>
      </c>
      <c r="AB11">
        <v>925.48300000000006</v>
      </c>
      <c r="AC11" s="2043">
        <v>0</v>
      </c>
      <c r="AD11">
        <v>0</v>
      </c>
      <c r="AE11" s="2043">
        <v>0</v>
      </c>
      <c r="AF11">
        <v>0</v>
      </c>
      <c r="AG11">
        <v>0</v>
      </c>
      <c r="AH11">
        <v>0</v>
      </c>
      <c r="AI11">
        <v>0</v>
      </c>
      <c r="AJ11">
        <v>141.92500000000001</v>
      </c>
      <c r="AK11">
        <v>2644</v>
      </c>
      <c r="AL11">
        <v>0</v>
      </c>
      <c r="AM11">
        <v>0</v>
      </c>
      <c r="AN11">
        <v>42.734999999999999</v>
      </c>
      <c r="AO11">
        <v>0</v>
      </c>
      <c r="AP11">
        <v>0</v>
      </c>
      <c r="AQ11">
        <v>0</v>
      </c>
      <c r="AR11">
        <v>20.952999999999999</v>
      </c>
      <c r="AS11">
        <v>0</v>
      </c>
      <c r="AT11">
        <v>0</v>
      </c>
      <c r="AU11">
        <v>0.95200000000000007</v>
      </c>
      <c r="AV11">
        <v>0</v>
      </c>
      <c r="AW11">
        <v>21.905000000000001</v>
      </c>
      <c r="AX11">
        <v>0</v>
      </c>
      <c r="AY11">
        <v>67.619</v>
      </c>
      <c r="AZ11">
        <v>0</v>
      </c>
      <c r="BA11">
        <v>9529140</v>
      </c>
      <c r="BB11">
        <v>0</v>
      </c>
      <c r="BC11">
        <v>0</v>
      </c>
      <c r="BD11">
        <v>7038</v>
      </c>
      <c r="BE11">
        <v>0</v>
      </c>
      <c r="BF11">
        <v>25212</v>
      </c>
      <c r="BG11">
        <v>7038</v>
      </c>
      <c r="BH11">
        <v>18174</v>
      </c>
      <c r="BI11">
        <v>0</v>
      </c>
      <c r="BJ11">
        <v>0</v>
      </c>
      <c r="BK11">
        <v>0</v>
      </c>
      <c r="BL11">
        <v>0</v>
      </c>
      <c r="BM11">
        <v>0</v>
      </c>
      <c r="BN11">
        <v>3303</v>
      </c>
      <c r="BO11">
        <v>546</v>
      </c>
      <c r="BP11">
        <v>0</v>
      </c>
      <c r="BQ11">
        <v>0</v>
      </c>
      <c r="BR11">
        <v>0</v>
      </c>
      <c r="BS11">
        <v>0</v>
      </c>
      <c r="BT11">
        <v>0</v>
      </c>
      <c r="BU11">
        <v>0</v>
      </c>
      <c r="BV11">
        <v>123</v>
      </c>
      <c r="BW11">
        <v>173</v>
      </c>
      <c r="BX11">
        <v>92</v>
      </c>
      <c r="BY11">
        <v>101</v>
      </c>
      <c r="BZ11">
        <v>86</v>
      </c>
      <c r="CA11">
        <v>575</v>
      </c>
      <c r="CB11">
        <v>0</v>
      </c>
      <c r="CC11">
        <v>0</v>
      </c>
      <c r="CD11">
        <v>0</v>
      </c>
      <c r="CE11">
        <v>49</v>
      </c>
      <c r="CF11">
        <v>191.029</v>
      </c>
      <c r="CG11">
        <v>0</v>
      </c>
      <c r="CH11">
        <v>0</v>
      </c>
      <c r="CI11">
        <v>3</v>
      </c>
      <c r="CJ11">
        <v>6</v>
      </c>
      <c r="CK11">
        <v>0</v>
      </c>
      <c r="CL11">
        <v>0</v>
      </c>
      <c r="CM11">
        <v>43.583000000000006</v>
      </c>
      <c r="CN11">
        <v>0</v>
      </c>
      <c r="CO11">
        <v>0</v>
      </c>
      <c r="CP11">
        <v>0</v>
      </c>
      <c r="CQ11">
        <v>0</v>
      </c>
      <c r="CR11">
        <v>0</v>
      </c>
      <c r="CS11">
        <v>0</v>
      </c>
      <c r="CT11">
        <v>0</v>
      </c>
      <c r="CU11">
        <v>7.4290000000000003</v>
      </c>
      <c r="CV11">
        <v>25.222000000000001</v>
      </c>
      <c r="CW11">
        <v>0.84600000000000009</v>
      </c>
      <c r="CX11">
        <v>0</v>
      </c>
      <c r="CY11" s="2043">
        <v>0</v>
      </c>
      <c r="CZ11" s="2043">
        <v>0</v>
      </c>
      <c r="DA11" s="2043">
        <v>0</v>
      </c>
      <c r="DB11" s="2043">
        <v>0</v>
      </c>
      <c r="DC11" s="2043">
        <v>0</v>
      </c>
      <c r="DI11" t="s">
        <v>7918</v>
      </c>
      <c r="DJ11" t="s">
        <v>7918</v>
      </c>
      <c r="DK11" s="2042">
        <f t="shared" si="2"/>
        <v>0</v>
      </c>
    </row>
    <row r="12" spans="1:115">
      <c r="A12" t="s">
        <v>2851</v>
      </c>
      <c r="B12" t="s">
        <v>635</v>
      </c>
      <c r="C12">
        <v>2625.1880000000001</v>
      </c>
      <c r="D12">
        <v>2786.6410000000001</v>
      </c>
      <c r="E12">
        <v>162.20100000000002</v>
      </c>
      <c r="F12">
        <v>0</v>
      </c>
      <c r="G12" s="2043">
        <v>657754911</v>
      </c>
      <c r="H12">
        <v>0</v>
      </c>
      <c r="I12" s="2043">
        <v>1476350</v>
      </c>
      <c r="J12">
        <v>131.25900000000001</v>
      </c>
      <c r="K12">
        <v>359</v>
      </c>
      <c r="L12">
        <v>291333</v>
      </c>
      <c r="M12">
        <v>734020</v>
      </c>
      <c r="N12">
        <v>291333</v>
      </c>
      <c r="O12">
        <v>1025353</v>
      </c>
      <c r="P12">
        <v>0</v>
      </c>
      <c r="Q12">
        <v>0</v>
      </c>
      <c r="R12" s="2043">
        <v>5316997</v>
      </c>
      <c r="S12">
        <v>514714</v>
      </c>
      <c r="T12">
        <v>375098</v>
      </c>
      <c r="U12">
        <v>0.08</v>
      </c>
      <c r="V12">
        <v>0</v>
      </c>
      <c r="W12">
        <v>0</v>
      </c>
      <c r="X12">
        <v>0</v>
      </c>
      <c r="Y12">
        <v>0</v>
      </c>
      <c r="Z12">
        <v>0</v>
      </c>
      <c r="AA12">
        <v>0.108</v>
      </c>
      <c r="AB12">
        <v>2635.1390000000001</v>
      </c>
      <c r="AC12" s="2043">
        <v>543750468</v>
      </c>
      <c r="AD12">
        <v>1103286</v>
      </c>
      <c r="AE12" s="2043">
        <v>6206809</v>
      </c>
      <c r="AF12">
        <v>0.9647</v>
      </c>
      <c r="AG12">
        <v>0</v>
      </c>
      <c r="AH12">
        <v>0</v>
      </c>
      <c r="AI12">
        <v>0</v>
      </c>
      <c r="AJ12">
        <v>343.6</v>
      </c>
      <c r="AK12">
        <v>9633</v>
      </c>
      <c r="AL12">
        <v>0.17600000000000002</v>
      </c>
      <c r="AM12">
        <v>0</v>
      </c>
      <c r="AN12">
        <v>85.849000000000004</v>
      </c>
      <c r="AO12">
        <v>0</v>
      </c>
      <c r="AP12">
        <v>0</v>
      </c>
      <c r="AQ12">
        <v>0</v>
      </c>
      <c r="AR12">
        <v>66.618000000000009</v>
      </c>
      <c r="AS12">
        <v>0</v>
      </c>
      <c r="AT12">
        <v>24.913</v>
      </c>
      <c r="AU12">
        <v>4.8710000000000004</v>
      </c>
      <c r="AV12">
        <v>0</v>
      </c>
      <c r="AW12">
        <v>96.578000000000003</v>
      </c>
      <c r="AX12">
        <v>0</v>
      </c>
      <c r="AY12">
        <v>299.82800000000003</v>
      </c>
      <c r="AZ12">
        <v>0</v>
      </c>
      <c r="BA12">
        <v>21096590</v>
      </c>
      <c r="BB12">
        <v>7310095</v>
      </c>
      <c r="BC12">
        <v>0</v>
      </c>
      <c r="BD12">
        <v>155952</v>
      </c>
      <c r="BE12">
        <v>26903</v>
      </c>
      <c r="BF12">
        <v>212581</v>
      </c>
      <c r="BG12">
        <v>155952</v>
      </c>
      <c r="BH12">
        <v>29726</v>
      </c>
      <c r="BI12">
        <v>0</v>
      </c>
      <c r="BJ12">
        <v>0</v>
      </c>
      <c r="BK12">
        <v>0</v>
      </c>
      <c r="BL12">
        <v>657754911</v>
      </c>
      <c r="BM12">
        <v>0</v>
      </c>
      <c r="BN12">
        <v>9441</v>
      </c>
      <c r="BO12">
        <v>6966</v>
      </c>
      <c r="BP12">
        <v>6550</v>
      </c>
      <c r="BQ12">
        <v>0</v>
      </c>
      <c r="BR12">
        <v>0.82640000000000002</v>
      </c>
      <c r="BS12">
        <v>0.82640000000000002</v>
      </c>
      <c r="BT12">
        <v>0</v>
      </c>
      <c r="BU12">
        <v>0</v>
      </c>
      <c r="BV12">
        <v>511</v>
      </c>
      <c r="BW12">
        <v>76</v>
      </c>
      <c r="BX12">
        <v>313</v>
      </c>
      <c r="BY12">
        <v>480</v>
      </c>
      <c r="BZ12">
        <v>23</v>
      </c>
      <c r="CA12">
        <v>1403</v>
      </c>
      <c r="CB12">
        <v>0</v>
      </c>
      <c r="CC12">
        <v>0</v>
      </c>
      <c r="CD12">
        <v>0</v>
      </c>
      <c r="CE12">
        <v>246</v>
      </c>
      <c r="CF12">
        <v>492.07100000000003</v>
      </c>
      <c r="CG12">
        <v>5.16</v>
      </c>
      <c r="CH12">
        <v>0</v>
      </c>
      <c r="CI12">
        <v>16</v>
      </c>
      <c r="CJ12">
        <v>30</v>
      </c>
      <c r="CK12">
        <v>0</v>
      </c>
      <c r="CL12">
        <v>5.16</v>
      </c>
      <c r="CM12">
        <v>162.20100000000002</v>
      </c>
      <c r="CN12">
        <v>0</v>
      </c>
      <c r="CO12">
        <v>0</v>
      </c>
      <c r="CP12">
        <v>6055</v>
      </c>
      <c r="CQ12">
        <v>495</v>
      </c>
      <c r="CR12">
        <v>0</v>
      </c>
      <c r="CS12">
        <v>0</v>
      </c>
      <c r="CT12">
        <v>0</v>
      </c>
      <c r="CU12">
        <v>15.847000000000001</v>
      </c>
      <c r="CV12">
        <v>125.90900000000001</v>
      </c>
      <c r="CW12">
        <v>77.352000000000004</v>
      </c>
      <c r="CX12">
        <v>0</v>
      </c>
      <c r="CY12" s="2043">
        <v>0</v>
      </c>
      <c r="CZ12" s="2043">
        <v>0</v>
      </c>
      <c r="DA12" s="2043">
        <v>0</v>
      </c>
      <c r="DB12" s="2043">
        <v>0</v>
      </c>
      <c r="DC12" s="2043">
        <v>0</v>
      </c>
      <c r="DI12" t="s">
        <v>2851</v>
      </c>
      <c r="DJ12" t="s">
        <v>2851</v>
      </c>
      <c r="DK12" s="2042">
        <f t="shared" si="2"/>
        <v>0</v>
      </c>
    </row>
    <row r="13" spans="1:115">
      <c r="A13" t="s">
        <v>4922</v>
      </c>
      <c r="B13" t="s">
        <v>1367</v>
      </c>
      <c r="C13">
        <v>6700.52</v>
      </c>
      <c r="D13">
        <v>7054.8160000000007</v>
      </c>
      <c r="E13">
        <v>1122.077</v>
      </c>
      <c r="F13">
        <v>0</v>
      </c>
      <c r="G13" s="2043">
        <v>2872461448</v>
      </c>
      <c r="H13">
        <v>0</v>
      </c>
      <c r="I13" s="2043">
        <v>7363536</v>
      </c>
      <c r="J13">
        <v>335.02600000000001</v>
      </c>
      <c r="K13">
        <v>916</v>
      </c>
      <c r="L13">
        <v>0</v>
      </c>
      <c r="M13">
        <v>0</v>
      </c>
      <c r="N13">
        <v>0</v>
      </c>
      <c r="O13">
        <v>0</v>
      </c>
      <c r="P13">
        <v>0</v>
      </c>
      <c r="Q13">
        <v>0</v>
      </c>
      <c r="R13" s="2043">
        <v>24811448</v>
      </c>
      <c r="S13">
        <v>2326982</v>
      </c>
      <c r="T13">
        <v>1695789</v>
      </c>
      <c r="U13">
        <v>0.08</v>
      </c>
      <c r="V13">
        <v>0</v>
      </c>
      <c r="W13">
        <v>0</v>
      </c>
      <c r="X13">
        <v>0</v>
      </c>
      <c r="Y13">
        <v>-4968</v>
      </c>
      <c r="Z13">
        <v>5.6720000000000006</v>
      </c>
      <c r="AA13">
        <v>1.5450000000000002</v>
      </c>
      <c r="AB13">
        <v>6622.3920000000007</v>
      </c>
      <c r="AC13" s="2043">
        <v>2463936953</v>
      </c>
      <c r="AD13">
        <v>7548048</v>
      </c>
      <c r="AE13" s="2043">
        <v>28834219</v>
      </c>
      <c r="AF13">
        <v>0.99130000000000007</v>
      </c>
      <c r="AG13">
        <v>0</v>
      </c>
      <c r="AH13">
        <v>0</v>
      </c>
      <c r="AI13">
        <v>0</v>
      </c>
      <c r="AJ13">
        <v>1578.4250000000002</v>
      </c>
      <c r="AK13">
        <v>25142</v>
      </c>
      <c r="AL13">
        <v>1.3780000000000001</v>
      </c>
      <c r="AM13">
        <v>0</v>
      </c>
      <c r="AN13">
        <v>123.393</v>
      </c>
      <c r="AO13">
        <v>0</v>
      </c>
      <c r="AP13">
        <v>0</v>
      </c>
      <c r="AQ13">
        <v>6.5010000000000003</v>
      </c>
      <c r="AR13">
        <v>184.39600000000002</v>
      </c>
      <c r="AS13">
        <v>0</v>
      </c>
      <c r="AT13">
        <v>104.56500000000001</v>
      </c>
      <c r="AU13">
        <v>11.051</v>
      </c>
      <c r="AV13">
        <v>0</v>
      </c>
      <c r="AW13">
        <v>313.63600000000002</v>
      </c>
      <c r="AX13">
        <v>5.7450000000000001</v>
      </c>
      <c r="AY13">
        <v>942.24200000000008</v>
      </c>
      <c r="AZ13">
        <v>0</v>
      </c>
      <c r="BA13">
        <v>42911140</v>
      </c>
      <c r="BB13">
        <v>36382267</v>
      </c>
      <c r="BC13">
        <v>0</v>
      </c>
      <c r="BD13">
        <v>395877</v>
      </c>
      <c r="BE13">
        <v>140440</v>
      </c>
      <c r="BF13">
        <v>541723</v>
      </c>
      <c r="BG13">
        <v>395877</v>
      </c>
      <c r="BH13">
        <v>5406</v>
      </c>
      <c r="BI13">
        <v>0</v>
      </c>
      <c r="BJ13">
        <v>-4968</v>
      </c>
      <c r="BK13">
        <v>0</v>
      </c>
      <c r="BL13">
        <v>2872461448</v>
      </c>
      <c r="BM13">
        <v>0</v>
      </c>
      <c r="BN13">
        <v>25299</v>
      </c>
      <c r="BO13">
        <v>16724</v>
      </c>
      <c r="BP13">
        <v>5389</v>
      </c>
      <c r="BQ13">
        <v>0</v>
      </c>
      <c r="BR13">
        <v>0.85300000000000009</v>
      </c>
      <c r="BS13">
        <v>0.85300000000000009</v>
      </c>
      <c r="BT13">
        <v>0</v>
      </c>
      <c r="BU13">
        <v>0</v>
      </c>
      <c r="BV13">
        <v>1198</v>
      </c>
      <c r="BW13">
        <v>1448</v>
      </c>
      <c r="BX13">
        <v>811</v>
      </c>
      <c r="BY13">
        <v>1128</v>
      </c>
      <c r="BZ13">
        <v>1695</v>
      </c>
      <c r="CA13">
        <v>6280</v>
      </c>
      <c r="CB13">
        <v>0</v>
      </c>
      <c r="CC13">
        <v>224.71900000000002</v>
      </c>
      <c r="CD13">
        <v>467.04</v>
      </c>
      <c r="CE13">
        <v>502</v>
      </c>
      <c r="CF13">
        <v>2167.4770000000003</v>
      </c>
      <c r="CG13">
        <v>33.622</v>
      </c>
      <c r="CH13">
        <v>4.6470000000000002</v>
      </c>
      <c r="CI13">
        <v>35</v>
      </c>
      <c r="CJ13">
        <v>75</v>
      </c>
      <c r="CK13">
        <v>1</v>
      </c>
      <c r="CL13">
        <v>38.268999999999998</v>
      </c>
      <c r="CM13">
        <v>1122.077</v>
      </c>
      <c r="CN13">
        <v>0</v>
      </c>
      <c r="CO13">
        <v>0</v>
      </c>
      <c r="CP13">
        <v>5389</v>
      </c>
      <c r="CQ13">
        <v>0</v>
      </c>
      <c r="CR13">
        <v>0</v>
      </c>
      <c r="CS13">
        <v>0</v>
      </c>
      <c r="CT13">
        <v>0</v>
      </c>
      <c r="CU13">
        <v>23.298000000000002</v>
      </c>
      <c r="CV13">
        <v>364.57400000000001</v>
      </c>
      <c r="CW13">
        <v>83.37700000000001</v>
      </c>
      <c r="CX13">
        <v>0</v>
      </c>
      <c r="CY13" s="2043">
        <v>0</v>
      </c>
      <c r="CZ13" s="2043">
        <v>0</v>
      </c>
      <c r="DA13" s="2043">
        <v>0</v>
      </c>
      <c r="DB13" s="2043">
        <v>0</v>
      </c>
      <c r="DC13" s="2043">
        <v>0</v>
      </c>
      <c r="DI13" t="s">
        <v>4922</v>
      </c>
      <c r="DJ13" t="s">
        <v>4922</v>
      </c>
      <c r="DK13" s="2042">
        <f t="shared" si="2"/>
        <v>0</v>
      </c>
    </row>
    <row r="14" spans="1:115">
      <c r="A14" t="s">
        <v>2852</v>
      </c>
      <c r="B14" t="s">
        <v>1053</v>
      </c>
      <c r="C14">
        <v>1509.2250000000001</v>
      </c>
      <c r="D14">
        <v>1465.298</v>
      </c>
      <c r="E14">
        <v>18.147000000000002</v>
      </c>
      <c r="F14">
        <v>0</v>
      </c>
      <c r="G14" s="2043">
        <v>432523612</v>
      </c>
      <c r="H14">
        <v>0</v>
      </c>
      <c r="I14" s="2043">
        <v>1298900</v>
      </c>
      <c r="J14">
        <v>65</v>
      </c>
      <c r="K14">
        <v>178</v>
      </c>
      <c r="L14">
        <v>121752</v>
      </c>
      <c r="M14">
        <v>550245</v>
      </c>
      <c r="N14">
        <v>121752</v>
      </c>
      <c r="O14">
        <v>671997</v>
      </c>
      <c r="P14">
        <v>0</v>
      </c>
      <c r="Q14">
        <v>0</v>
      </c>
      <c r="R14" s="2043">
        <v>3582699</v>
      </c>
      <c r="S14">
        <v>315205</v>
      </c>
      <c r="T14">
        <v>229706</v>
      </c>
      <c r="U14">
        <v>0.08</v>
      </c>
      <c r="V14">
        <v>0</v>
      </c>
      <c r="W14">
        <v>0</v>
      </c>
      <c r="X14">
        <v>0</v>
      </c>
      <c r="Y14">
        <v>0</v>
      </c>
      <c r="Z14">
        <v>0</v>
      </c>
      <c r="AA14">
        <v>0</v>
      </c>
      <c r="AB14">
        <v>1465.298</v>
      </c>
      <c r="AC14" s="2043">
        <v>299711276</v>
      </c>
      <c r="AD14">
        <v>958443</v>
      </c>
      <c r="AE14" s="2043">
        <v>4127610</v>
      </c>
      <c r="AF14">
        <v>1.0476000000000001</v>
      </c>
      <c r="AG14">
        <v>0</v>
      </c>
      <c r="AH14">
        <v>0</v>
      </c>
      <c r="AI14">
        <v>0</v>
      </c>
      <c r="AJ14">
        <v>236.01300000000001</v>
      </c>
      <c r="AK14">
        <v>7394</v>
      </c>
      <c r="AL14">
        <v>0</v>
      </c>
      <c r="AM14">
        <v>0</v>
      </c>
      <c r="AN14">
        <v>70.942000000000007</v>
      </c>
      <c r="AO14">
        <v>0</v>
      </c>
      <c r="AP14">
        <v>0</v>
      </c>
      <c r="AQ14">
        <v>0</v>
      </c>
      <c r="AR14">
        <v>47.246000000000002</v>
      </c>
      <c r="AS14">
        <v>0</v>
      </c>
      <c r="AT14">
        <v>20.059999999999999</v>
      </c>
      <c r="AU14">
        <v>1.4140000000000001</v>
      </c>
      <c r="AV14">
        <v>0</v>
      </c>
      <c r="AW14">
        <v>68.72</v>
      </c>
      <c r="AX14">
        <v>0</v>
      </c>
      <c r="AY14">
        <v>208.988</v>
      </c>
      <c r="AZ14">
        <v>0</v>
      </c>
      <c r="BA14">
        <v>12410472</v>
      </c>
      <c r="BB14">
        <v>5086053</v>
      </c>
      <c r="BC14">
        <v>0</v>
      </c>
      <c r="BD14">
        <v>103973</v>
      </c>
      <c r="BE14">
        <v>32548</v>
      </c>
      <c r="BF14">
        <v>136521</v>
      </c>
      <c r="BG14">
        <v>103973</v>
      </c>
      <c r="BH14">
        <v>0</v>
      </c>
      <c r="BI14">
        <v>0</v>
      </c>
      <c r="BJ14">
        <v>0</v>
      </c>
      <c r="BK14">
        <v>0</v>
      </c>
      <c r="BL14">
        <v>432523612</v>
      </c>
      <c r="BM14">
        <v>0</v>
      </c>
      <c r="BN14">
        <v>5256</v>
      </c>
      <c r="BO14">
        <v>3991</v>
      </c>
      <c r="BP14">
        <v>0</v>
      </c>
      <c r="BQ14">
        <v>0</v>
      </c>
      <c r="BR14">
        <v>0.9093</v>
      </c>
      <c r="BS14">
        <v>0.9093</v>
      </c>
      <c r="BT14">
        <v>0</v>
      </c>
      <c r="BU14">
        <v>0</v>
      </c>
      <c r="BV14">
        <v>4</v>
      </c>
      <c r="BW14">
        <v>352</v>
      </c>
      <c r="BX14">
        <v>228</v>
      </c>
      <c r="BY14">
        <v>359</v>
      </c>
      <c r="BZ14">
        <v>1</v>
      </c>
      <c r="CA14">
        <v>944</v>
      </c>
      <c r="CB14">
        <v>0</v>
      </c>
      <c r="CC14">
        <v>0</v>
      </c>
      <c r="CD14">
        <v>0</v>
      </c>
      <c r="CE14">
        <v>148</v>
      </c>
      <c r="CF14">
        <v>268.78100000000001</v>
      </c>
      <c r="CG14">
        <v>9.26</v>
      </c>
      <c r="CH14">
        <v>0</v>
      </c>
      <c r="CI14">
        <v>7</v>
      </c>
      <c r="CJ14">
        <v>17</v>
      </c>
      <c r="CK14">
        <v>0</v>
      </c>
      <c r="CL14">
        <v>9.26</v>
      </c>
      <c r="CM14">
        <v>18.147000000000002</v>
      </c>
      <c r="CN14">
        <v>0</v>
      </c>
      <c r="CO14">
        <v>0</v>
      </c>
      <c r="CP14">
        <v>0</v>
      </c>
      <c r="CQ14">
        <v>0</v>
      </c>
      <c r="CR14">
        <v>0</v>
      </c>
      <c r="CS14">
        <v>0</v>
      </c>
      <c r="CT14">
        <v>0</v>
      </c>
      <c r="CU14">
        <v>2.4890000000000003</v>
      </c>
      <c r="CV14">
        <v>91.801000000000002</v>
      </c>
      <c r="CW14">
        <v>55.183</v>
      </c>
      <c r="CX14">
        <v>0</v>
      </c>
      <c r="CY14" s="2043">
        <v>0</v>
      </c>
      <c r="CZ14" s="2043">
        <v>0</v>
      </c>
      <c r="DA14" s="2043">
        <v>0</v>
      </c>
      <c r="DB14" s="2043">
        <v>0</v>
      </c>
      <c r="DC14" s="2043">
        <v>0</v>
      </c>
      <c r="DI14" t="s">
        <v>2852</v>
      </c>
      <c r="DJ14" t="s">
        <v>2852</v>
      </c>
      <c r="DK14" s="2042">
        <f t="shared" si="2"/>
        <v>0</v>
      </c>
    </row>
    <row r="15" spans="1:115">
      <c r="A15" t="s">
        <v>2853</v>
      </c>
      <c r="B15" t="s">
        <v>320</v>
      </c>
      <c r="C15">
        <v>1563.9380000000001</v>
      </c>
      <c r="D15">
        <v>1553.3010000000002</v>
      </c>
      <c r="E15">
        <v>227.834</v>
      </c>
      <c r="F15">
        <v>0</v>
      </c>
      <c r="G15" s="2043">
        <v>357588154</v>
      </c>
      <c r="H15">
        <v>0</v>
      </c>
      <c r="I15" s="2043">
        <v>1216549</v>
      </c>
      <c r="J15">
        <v>71</v>
      </c>
      <c r="K15">
        <v>194</v>
      </c>
      <c r="L15">
        <v>146716</v>
      </c>
      <c r="M15">
        <v>276426</v>
      </c>
      <c r="N15">
        <v>146716</v>
      </c>
      <c r="O15">
        <v>423142</v>
      </c>
      <c r="P15">
        <v>0</v>
      </c>
      <c r="Q15">
        <v>0</v>
      </c>
      <c r="R15" s="2043">
        <v>2706420</v>
      </c>
      <c r="S15">
        <v>261206</v>
      </c>
      <c r="T15">
        <v>190354</v>
      </c>
      <c r="U15">
        <v>0.08</v>
      </c>
      <c r="V15">
        <v>0</v>
      </c>
      <c r="W15">
        <v>0</v>
      </c>
      <c r="X15">
        <v>0</v>
      </c>
      <c r="Y15">
        <v>1066108</v>
      </c>
      <c r="Z15">
        <v>3.907</v>
      </c>
      <c r="AA15">
        <v>0.501</v>
      </c>
      <c r="AB15">
        <v>1553.3010000000002</v>
      </c>
      <c r="AC15" s="2043">
        <v>317655379</v>
      </c>
      <c r="AD15">
        <v>799071</v>
      </c>
      <c r="AE15" s="2043">
        <v>3157980</v>
      </c>
      <c r="AF15">
        <v>0.96720000000000006</v>
      </c>
      <c r="AG15">
        <v>0</v>
      </c>
      <c r="AH15">
        <v>0</v>
      </c>
      <c r="AI15">
        <v>0</v>
      </c>
      <c r="AJ15">
        <v>306.53800000000001</v>
      </c>
      <c r="AK15">
        <v>6054</v>
      </c>
      <c r="AL15">
        <v>0</v>
      </c>
      <c r="AM15">
        <v>0</v>
      </c>
      <c r="AN15">
        <v>72.921999999999997</v>
      </c>
      <c r="AO15">
        <v>0</v>
      </c>
      <c r="AP15">
        <v>0</v>
      </c>
      <c r="AQ15">
        <v>0</v>
      </c>
      <c r="AR15">
        <v>34.433</v>
      </c>
      <c r="AS15">
        <v>0</v>
      </c>
      <c r="AT15">
        <v>13.755000000000001</v>
      </c>
      <c r="AU15">
        <v>2.0590000000000002</v>
      </c>
      <c r="AV15">
        <v>0</v>
      </c>
      <c r="AW15">
        <v>50.247</v>
      </c>
      <c r="AX15">
        <v>0</v>
      </c>
      <c r="AY15">
        <v>154.85900000000001</v>
      </c>
      <c r="AZ15">
        <v>0</v>
      </c>
      <c r="BA15">
        <v>15644966</v>
      </c>
      <c r="BB15">
        <v>3957051</v>
      </c>
      <c r="BC15">
        <v>0</v>
      </c>
      <c r="BD15">
        <v>83626</v>
      </c>
      <c r="BE15">
        <v>22291</v>
      </c>
      <c r="BF15">
        <v>127825</v>
      </c>
      <c r="BG15">
        <v>83626</v>
      </c>
      <c r="BH15">
        <v>21908</v>
      </c>
      <c r="BI15">
        <v>0</v>
      </c>
      <c r="BJ15">
        <v>0</v>
      </c>
      <c r="BK15">
        <v>0</v>
      </c>
      <c r="BL15">
        <v>357588154</v>
      </c>
      <c r="BM15">
        <v>0</v>
      </c>
      <c r="BN15">
        <v>5787</v>
      </c>
      <c r="BO15">
        <v>4879</v>
      </c>
      <c r="BP15">
        <v>0</v>
      </c>
      <c r="BQ15">
        <v>32000</v>
      </c>
      <c r="BR15">
        <v>0.82890000000000008</v>
      </c>
      <c r="BS15">
        <v>0.82890000000000008</v>
      </c>
      <c r="BT15">
        <v>0</v>
      </c>
      <c r="BU15">
        <v>0</v>
      </c>
      <c r="BV15">
        <v>53</v>
      </c>
      <c r="BW15">
        <v>431</v>
      </c>
      <c r="BX15">
        <v>491</v>
      </c>
      <c r="BY15">
        <v>6</v>
      </c>
      <c r="BZ15">
        <v>247</v>
      </c>
      <c r="CA15">
        <v>1228</v>
      </c>
      <c r="CB15">
        <v>0</v>
      </c>
      <c r="CC15">
        <v>7.9060000000000006</v>
      </c>
      <c r="CD15">
        <v>2.8980000000000001</v>
      </c>
      <c r="CE15">
        <v>111</v>
      </c>
      <c r="CF15">
        <v>398.38600000000002</v>
      </c>
      <c r="CG15">
        <v>5.1219999999999999</v>
      </c>
      <c r="CH15">
        <v>0</v>
      </c>
      <c r="CI15">
        <v>1</v>
      </c>
      <c r="CJ15">
        <v>7</v>
      </c>
      <c r="CK15">
        <v>0</v>
      </c>
      <c r="CL15">
        <v>5.1219999999999999</v>
      </c>
      <c r="CM15">
        <v>227.834</v>
      </c>
      <c r="CN15">
        <v>0</v>
      </c>
      <c r="CO15">
        <v>0</v>
      </c>
      <c r="CP15">
        <v>0</v>
      </c>
      <c r="CQ15">
        <v>0</v>
      </c>
      <c r="CR15">
        <v>0</v>
      </c>
      <c r="CS15">
        <v>0</v>
      </c>
      <c r="CT15">
        <v>0</v>
      </c>
      <c r="CU15">
        <v>16.373000000000001</v>
      </c>
      <c r="CV15">
        <v>125.47800000000001</v>
      </c>
      <c r="CW15">
        <v>71.475999999999999</v>
      </c>
      <c r="CX15">
        <v>0</v>
      </c>
      <c r="CY15" s="2043">
        <v>1066108</v>
      </c>
      <c r="CZ15" s="2043">
        <v>0</v>
      </c>
      <c r="DA15" s="2043">
        <v>0</v>
      </c>
      <c r="DB15" s="2043">
        <v>0</v>
      </c>
      <c r="DC15" s="2043">
        <v>0</v>
      </c>
      <c r="DI15" t="s">
        <v>2853</v>
      </c>
      <c r="DJ15" t="s">
        <v>2853</v>
      </c>
      <c r="DK15" s="2042">
        <f t="shared" si="2"/>
        <v>0</v>
      </c>
    </row>
    <row r="16" spans="1:115">
      <c r="A16" t="s">
        <v>4923</v>
      </c>
      <c r="B16" t="s">
        <v>321</v>
      </c>
      <c r="C16">
        <v>268.89800000000002</v>
      </c>
      <c r="D16">
        <v>268.59899999999999</v>
      </c>
      <c r="E16">
        <v>0</v>
      </c>
      <c r="F16">
        <v>0</v>
      </c>
      <c r="G16" s="2043">
        <v>146529192</v>
      </c>
      <c r="H16">
        <v>0</v>
      </c>
      <c r="I16" s="2043">
        <v>421113</v>
      </c>
      <c r="J16">
        <v>11</v>
      </c>
      <c r="K16">
        <v>30</v>
      </c>
      <c r="L16">
        <v>0</v>
      </c>
      <c r="M16">
        <v>0</v>
      </c>
      <c r="N16">
        <v>0</v>
      </c>
      <c r="O16">
        <v>0</v>
      </c>
      <c r="P16">
        <v>0</v>
      </c>
      <c r="Q16">
        <v>0</v>
      </c>
      <c r="R16" s="2043">
        <v>1108497</v>
      </c>
      <c r="S16">
        <v>107883</v>
      </c>
      <c r="T16">
        <v>78620</v>
      </c>
      <c r="U16">
        <v>0.08</v>
      </c>
      <c r="V16">
        <v>0</v>
      </c>
      <c r="W16">
        <v>0</v>
      </c>
      <c r="X16">
        <v>0</v>
      </c>
      <c r="Y16">
        <v>5279</v>
      </c>
      <c r="Z16">
        <v>0</v>
      </c>
      <c r="AA16">
        <v>7.3000000000000009E-2</v>
      </c>
      <c r="AB16">
        <v>268.59899999999999</v>
      </c>
      <c r="AC16" s="2043">
        <v>115929814</v>
      </c>
      <c r="AD16">
        <v>438000</v>
      </c>
      <c r="AE16" s="2043">
        <v>1295000</v>
      </c>
      <c r="AF16">
        <v>0.96030000000000004</v>
      </c>
      <c r="AG16">
        <v>0</v>
      </c>
      <c r="AH16">
        <v>0</v>
      </c>
      <c r="AI16">
        <v>0</v>
      </c>
      <c r="AJ16">
        <v>52.15</v>
      </c>
      <c r="AK16">
        <v>1855</v>
      </c>
      <c r="AL16">
        <v>0</v>
      </c>
      <c r="AM16">
        <v>0</v>
      </c>
      <c r="AN16">
        <v>12.857000000000001</v>
      </c>
      <c r="AO16">
        <v>0</v>
      </c>
      <c r="AP16">
        <v>0</v>
      </c>
      <c r="AQ16">
        <v>0</v>
      </c>
      <c r="AR16">
        <v>7.7930000000000001</v>
      </c>
      <c r="AS16">
        <v>0</v>
      </c>
      <c r="AT16">
        <v>3.8820000000000001</v>
      </c>
      <c r="AU16">
        <v>0.629</v>
      </c>
      <c r="AV16">
        <v>0</v>
      </c>
      <c r="AW16">
        <v>12.304</v>
      </c>
      <c r="AX16">
        <v>0</v>
      </c>
      <c r="AY16">
        <v>38.17</v>
      </c>
      <c r="AZ16">
        <v>0</v>
      </c>
      <c r="BA16">
        <v>2639254</v>
      </c>
      <c r="BB16">
        <v>1733000</v>
      </c>
      <c r="BC16">
        <v>0</v>
      </c>
      <c r="BD16">
        <v>53303</v>
      </c>
      <c r="BE16">
        <v>13446</v>
      </c>
      <c r="BF16">
        <v>66749</v>
      </c>
      <c r="BG16">
        <v>53303</v>
      </c>
      <c r="BH16">
        <v>0</v>
      </c>
      <c r="BI16">
        <v>0</v>
      </c>
      <c r="BJ16">
        <v>0</v>
      </c>
      <c r="BK16">
        <v>0</v>
      </c>
      <c r="BL16">
        <v>146529192</v>
      </c>
      <c r="BM16">
        <v>0</v>
      </c>
      <c r="BN16">
        <v>990</v>
      </c>
      <c r="BO16">
        <v>225</v>
      </c>
      <c r="BP16">
        <v>0</v>
      </c>
      <c r="BQ16">
        <v>0</v>
      </c>
      <c r="BR16">
        <v>0.82200000000000006</v>
      </c>
      <c r="BS16">
        <v>0.82200000000000006</v>
      </c>
      <c r="BT16">
        <v>0</v>
      </c>
      <c r="BU16">
        <v>0</v>
      </c>
      <c r="BV16">
        <v>0</v>
      </c>
      <c r="BW16">
        <v>52</v>
      </c>
      <c r="BX16">
        <v>50</v>
      </c>
      <c r="BY16">
        <v>104</v>
      </c>
      <c r="BZ16">
        <v>0</v>
      </c>
      <c r="CA16">
        <v>206</v>
      </c>
      <c r="CB16">
        <v>0</v>
      </c>
      <c r="CC16">
        <v>0</v>
      </c>
      <c r="CD16">
        <v>0</v>
      </c>
      <c r="CE16">
        <v>17</v>
      </c>
      <c r="CF16">
        <v>70.850000000000009</v>
      </c>
      <c r="CG16">
        <v>0</v>
      </c>
      <c r="CH16">
        <v>0</v>
      </c>
      <c r="CI16">
        <v>1</v>
      </c>
      <c r="CJ16">
        <v>0</v>
      </c>
      <c r="CK16">
        <v>0</v>
      </c>
      <c r="CL16">
        <v>0</v>
      </c>
      <c r="CM16">
        <v>0</v>
      </c>
      <c r="CN16">
        <v>0</v>
      </c>
      <c r="CO16">
        <v>0</v>
      </c>
      <c r="CP16">
        <v>0</v>
      </c>
      <c r="CQ16">
        <v>0</v>
      </c>
      <c r="CR16">
        <v>0</v>
      </c>
      <c r="CS16">
        <v>0</v>
      </c>
      <c r="CT16">
        <v>0</v>
      </c>
      <c r="CU16">
        <v>2.5960000000000001</v>
      </c>
      <c r="CV16">
        <v>17.661000000000001</v>
      </c>
      <c r="CW16">
        <v>2.887</v>
      </c>
      <c r="CX16">
        <v>0</v>
      </c>
      <c r="CY16" s="2043">
        <v>5279</v>
      </c>
      <c r="CZ16" s="2043">
        <v>0</v>
      </c>
      <c r="DA16" s="2043">
        <v>0</v>
      </c>
      <c r="DB16" s="2043">
        <v>0</v>
      </c>
      <c r="DC16" s="2043">
        <v>0</v>
      </c>
      <c r="DI16" t="s">
        <v>4923</v>
      </c>
      <c r="DJ16" t="s">
        <v>4923</v>
      </c>
      <c r="DK16" s="2042">
        <f t="shared" si="2"/>
        <v>0</v>
      </c>
    </row>
    <row r="17" spans="1:115">
      <c r="A17" t="s">
        <v>2854</v>
      </c>
      <c r="B17" t="s">
        <v>322</v>
      </c>
      <c r="C17">
        <v>1324.306</v>
      </c>
      <c r="D17">
        <v>1345.06</v>
      </c>
      <c r="E17">
        <v>64.313000000000002</v>
      </c>
      <c r="F17">
        <v>0</v>
      </c>
      <c r="G17" s="2043">
        <v>340021993</v>
      </c>
      <c r="H17">
        <v>0</v>
      </c>
      <c r="I17" s="2043">
        <v>726650</v>
      </c>
      <c r="J17">
        <v>66.215000000000003</v>
      </c>
      <c r="K17">
        <v>181</v>
      </c>
      <c r="L17">
        <v>104791</v>
      </c>
      <c r="M17">
        <v>288552</v>
      </c>
      <c r="N17">
        <v>104791</v>
      </c>
      <c r="O17">
        <v>393343</v>
      </c>
      <c r="P17">
        <v>0</v>
      </c>
      <c r="Q17">
        <v>0</v>
      </c>
      <c r="R17" s="2043">
        <v>2773901</v>
      </c>
      <c r="S17">
        <v>266145</v>
      </c>
      <c r="T17">
        <v>193954</v>
      </c>
      <c r="U17">
        <v>0.08</v>
      </c>
      <c r="V17">
        <v>0</v>
      </c>
      <c r="W17">
        <v>0</v>
      </c>
      <c r="X17">
        <v>0</v>
      </c>
      <c r="Y17">
        <v>0</v>
      </c>
      <c r="Z17">
        <v>0</v>
      </c>
      <c r="AA17">
        <v>0</v>
      </c>
      <c r="AB17">
        <v>1331.2860000000001</v>
      </c>
      <c r="AC17" s="2043">
        <v>288112398</v>
      </c>
      <c r="AD17">
        <v>480000</v>
      </c>
      <c r="AE17" s="2043">
        <v>3234000</v>
      </c>
      <c r="AF17">
        <v>0.97210000000000008</v>
      </c>
      <c r="AG17">
        <v>0</v>
      </c>
      <c r="AH17">
        <v>0</v>
      </c>
      <c r="AI17">
        <v>0</v>
      </c>
      <c r="AJ17">
        <v>197.32500000000002</v>
      </c>
      <c r="AK17">
        <v>7132</v>
      </c>
      <c r="AL17">
        <v>2.4E-2</v>
      </c>
      <c r="AM17">
        <v>0</v>
      </c>
      <c r="AN17">
        <v>31.732000000000003</v>
      </c>
      <c r="AO17">
        <v>0</v>
      </c>
      <c r="AP17">
        <v>0</v>
      </c>
      <c r="AQ17">
        <v>0</v>
      </c>
      <c r="AR17">
        <v>48.961000000000006</v>
      </c>
      <c r="AS17">
        <v>0</v>
      </c>
      <c r="AT17">
        <v>17.058</v>
      </c>
      <c r="AU17">
        <v>2.1800000000000002</v>
      </c>
      <c r="AV17">
        <v>6.8</v>
      </c>
      <c r="AW17">
        <v>75.02300000000001</v>
      </c>
      <c r="AX17">
        <v>0</v>
      </c>
      <c r="AY17">
        <v>209.077</v>
      </c>
      <c r="AZ17">
        <v>0</v>
      </c>
      <c r="BA17">
        <v>12302952</v>
      </c>
      <c r="BB17">
        <v>3714000</v>
      </c>
      <c r="BC17">
        <v>0</v>
      </c>
      <c r="BD17">
        <v>65093</v>
      </c>
      <c r="BE17">
        <v>24316</v>
      </c>
      <c r="BF17">
        <v>89409</v>
      </c>
      <c r="BG17">
        <v>65093</v>
      </c>
      <c r="BH17">
        <v>0</v>
      </c>
      <c r="BI17">
        <v>0</v>
      </c>
      <c r="BJ17">
        <v>0</v>
      </c>
      <c r="BK17">
        <v>0</v>
      </c>
      <c r="BL17">
        <v>340021993</v>
      </c>
      <c r="BM17">
        <v>0</v>
      </c>
      <c r="BN17">
        <v>4230</v>
      </c>
      <c r="BO17">
        <v>4162</v>
      </c>
      <c r="BP17">
        <v>0</v>
      </c>
      <c r="BQ17">
        <v>0</v>
      </c>
      <c r="BR17">
        <v>0.83379999999999999</v>
      </c>
      <c r="BS17">
        <v>0.83379999999999999</v>
      </c>
      <c r="BT17">
        <v>0</v>
      </c>
      <c r="BU17">
        <v>0</v>
      </c>
      <c r="BV17">
        <v>208</v>
      </c>
      <c r="BW17">
        <v>387</v>
      </c>
      <c r="BX17">
        <v>92</v>
      </c>
      <c r="BY17">
        <v>11</v>
      </c>
      <c r="BZ17">
        <v>119</v>
      </c>
      <c r="CA17">
        <v>817</v>
      </c>
      <c r="CB17">
        <v>0</v>
      </c>
      <c r="CC17">
        <v>0</v>
      </c>
      <c r="CD17">
        <v>0</v>
      </c>
      <c r="CE17">
        <v>68</v>
      </c>
      <c r="CF17">
        <v>300.58800000000002</v>
      </c>
      <c r="CG17">
        <v>4.0960000000000001</v>
      </c>
      <c r="CH17">
        <v>7.891</v>
      </c>
      <c r="CI17">
        <v>12</v>
      </c>
      <c r="CJ17">
        <v>16</v>
      </c>
      <c r="CK17">
        <v>0</v>
      </c>
      <c r="CL17">
        <v>11.987</v>
      </c>
      <c r="CM17">
        <v>64.313000000000002</v>
      </c>
      <c r="CN17">
        <v>0</v>
      </c>
      <c r="CO17">
        <v>0</v>
      </c>
      <c r="CP17">
        <v>0</v>
      </c>
      <c r="CQ17">
        <v>0</v>
      </c>
      <c r="CR17">
        <v>0</v>
      </c>
      <c r="CS17">
        <v>0</v>
      </c>
      <c r="CT17">
        <v>0</v>
      </c>
      <c r="CU17">
        <v>2.1950000000000003</v>
      </c>
      <c r="CV17">
        <v>74.061000000000007</v>
      </c>
      <c r="CW17">
        <v>48.389000000000003</v>
      </c>
      <c r="CX17">
        <v>0</v>
      </c>
      <c r="CY17" s="2043">
        <v>0</v>
      </c>
      <c r="CZ17" s="2043">
        <v>0</v>
      </c>
      <c r="DA17" s="2043">
        <v>0</v>
      </c>
      <c r="DB17" s="2043">
        <v>0</v>
      </c>
      <c r="DC17" s="2043">
        <v>0</v>
      </c>
      <c r="DI17" t="s">
        <v>2854</v>
      </c>
      <c r="DJ17" t="s">
        <v>2854</v>
      </c>
      <c r="DK17" s="2042">
        <f t="shared" si="2"/>
        <v>0</v>
      </c>
    </row>
    <row r="18" spans="1:115">
      <c r="A18" t="s">
        <v>4924</v>
      </c>
      <c r="B18" t="s">
        <v>2339</v>
      </c>
      <c r="C18">
        <v>2754.2490000000003</v>
      </c>
      <c r="D18">
        <v>2681.1590000000001</v>
      </c>
      <c r="E18">
        <v>135.60400000000001</v>
      </c>
      <c r="F18">
        <v>0</v>
      </c>
      <c r="G18" s="2043">
        <v>3714697816</v>
      </c>
      <c r="H18">
        <v>0</v>
      </c>
      <c r="I18" s="2043">
        <v>1532688</v>
      </c>
      <c r="J18">
        <v>137.71200000000002</v>
      </c>
      <c r="K18">
        <v>376</v>
      </c>
      <c r="L18">
        <v>0</v>
      </c>
      <c r="M18">
        <v>0</v>
      </c>
      <c r="N18">
        <v>0</v>
      </c>
      <c r="O18">
        <v>0</v>
      </c>
      <c r="P18">
        <v>0</v>
      </c>
      <c r="Q18">
        <v>0</v>
      </c>
      <c r="R18" s="2043">
        <v>30473303</v>
      </c>
      <c r="S18">
        <v>2224329</v>
      </c>
      <c r="T18">
        <v>0</v>
      </c>
      <c r="U18">
        <v>0.06</v>
      </c>
      <c r="V18">
        <v>0</v>
      </c>
      <c r="W18">
        <v>6991337</v>
      </c>
      <c r="X18">
        <v>0</v>
      </c>
      <c r="Y18">
        <v>3837134</v>
      </c>
      <c r="Z18">
        <v>0</v>
      </c>
      <c r="AA18">
        <v>0.41500000000000004</v>
      </c>
      <c r="AB18">
        <v>2681.1590000000001</v>
      </c>
      <c r="AC18" s="2043">
        <v>2666006344</v>
      </c>
      <c r="AD18">
        <v>1837996</v>
      </c>
      <c r="AE18" s="2043">
        <v>32697632</v>
      </c>
      <c r="AF18">
        <v>0.88200000000000001</v>
      </c>
      <c r="AG18">
        <v>0</v>
      </c>
      <c r="AH18">
        <v>6991337</v>
      </c>
      <c r="AI18">
        <v>0</v>
      </c>
      <c r="AJ18">
        <v>485.97500000000002</v>
      </c>
      <c r="AK18">
        <v>12304</v>
      </c>
      <c r="AL18">
        <v>0.30399999999999999</v>
      </c>
      <c r="AM18">
        <v>0</v>
      </c>
      <c r="AN18">
        <v>109.375</v>
      </c>
      <c r="AO18">
        <v>0</v>
      </c>
      <c r="AP18">
        <v>0</v>
      </c>
      <c r="AQ18">
        <v>0</v>
      </c>
      <c r="AR18">
        <v>82.785000000000011</v>
      </c>
      <c r="AS18">
        <v>0</v>
      </c>
      <c r="AT18">
        <v>39.658999999999999</v>
      </c>
      <c r="AU18">
        <v>3.4470000000000001</v>
      </c>
      <c r="AV18">
        <v>0</v>
      </c>
      <c r="AW18">
        <v>126.19500000000001</v>
      </c>
      <c r="AX18">
        <v>0</v>
      </c>
      <c r="AY18">
        <v>386.08700000000005</v>
      </c>
      <c r="AZ18">
        <v>0</v>
      </c>
      <c r="BA18">
        <v>5350899</v>
      </c>
      <c r="BB18">
        <v>34535628</v>
      </c>
      <c r="BC18">
        <v>0</v>
      </c>
      <c r="BD18">
        <v>179867</v>
      </c>
      <c r="BE18">
        <v>44012</v>
      </c>
      <c r="BF18">
        <v>223879</v>
      </c>
      <c r="BG18">
        <v>179867</v>
      </c>
      <c r="BH18">
        <v>0</v>
      </c>
      <c r="BI18">
        <v>0</v>
      </c>
      <c r="BJ18">
        <v>0</v>
      </c>
      <c r="BK18">
        <v>0</v>
      </c>
      <c r="BL18">
        <v>3714697816</v>
      </c>
      <c r="BM18">
        <v>0</v>
      </c>
      <c r="BN18">
        <v>11754</v>
      </c>
      <c r="BO18">
        <v>3092</v>
      </c>
      <c r="BP18">
        <v>0</v>
      </c>
      <c r="BQ18">
        <v>0</v>
      </c>
      <c r="BR18">
        <v>0.82200000000000006</v>
      </c>
      <c r="BS18">
        <v>0.82200000000000006</v>
      </c>
      <c r="BT18">
        <v>3837134</v>
      </c>
      <c r="BU18">
        <v>0</v>
      </c>
      <c r="BV18">
        <v>354</v>
      </c>
      <c r="BW18">
        <v>960</v>
      </c>
      <c r="BX18">
        <v>506</v>
      </c>
      <c r="BY18">
        <v>12</v>
      </c>
      <c r="BZ18">
        <v>177</v>
      </c>
      <c r="CA18">
        <v>2009</v>
      </c>
      <c r="CB18">
        <v>0</v>
      </c>
      <c r="CC18">
        <v>0</v>
      </c>
      <c r="CD18">
        <v>0</v>
      </c>
      <c r="CE18">
        <v>209</v>
      </c>
      <c r="CF18">
        <v>592.27700000000004</v>
      </c>
      <c r="CG18">
        <v>0</v>
      </c>
      <c r="CH18">
        <v>0</v>
      </c>
      <c r="CI18">
        <v>19</v>
      </c>
      <c r="CJ18">
        <v>15</v>
      </c>
      <c r="CK18">
        <v>0</v>
      </c>
      <c r="CL18">
        <v>0</v>
      </c>
      <c r="CM18">
        <v>135.60400000000001</v>
      </c>
      <c r="CN18">
        <v>0</v>
      </c>
      <c r="CO18">
        <v>0</v>
      </c>
      <c r="CP18">
        <v>0</v>
      </c>
      <c r="CQ18">
        <v>0</v>
      </c>
      <c r="CR18">
        <v>0</v>
      </c>
      <c r="CS18">
        <v>0</v>
      </c>
      <c r="CT18">
        <v>0</v>
      </c>
      <c r="CU18">
        <v>11.049000000000001</v>
      </c>
      <c r="CV18">
        <v>49.221000000000004</v>
      </c>
      <c r="CW18">
        <v>22.141000000000002</v>
      </c>
      <c r="CX18">
        <v>3837134</v>
      </c>
      <c r="CY18" s="2043">
        <v>0</v>
      </c>
      <c r="CZ18" s="2043">
        <v>0</v>
      </c>
      <c r="DA18" s="2043">
        <v>0</v>
      </c>
      <c r="DB18" s="2043">
        <v>0</v>
      </c>
      <c r="DC18" s="2043">
        <v>591549</v>
      </c>
      <c r="DI18" t="s">
        <v>4924</v>
      </c>
      <c r="DJ18" t="s">
        <v>4924</v>
      </c>
      <c r="DK18" s="2042">
        <f t="shared" si="2"/>
        <v>0</v>
      </c>
    </row>
    <row r="19" spans="1:115">
      <c r="A19" t="s">
        <v>4925</v>
      </c>
      <c r="B19" t="s">
        <v>2340</v>
      </c>
      <c r="C19">
        <v>451.07300000000004</v>
      </c>
      <c r="D19">
        <v>460.88600000000002</v>
      </c>
      <c r="E19">
        <v>9.7089999999999996</v>
      </c>
      <c r="F19">
        <v>223880</v>
      </c>
      <c r="G19" s="2043">
        <v>246184874</v>
      </c>
      <c r="H19">
        <v>0</v>
      </c>
      <c r="I19" s="2043">
        <v>1103262</v>
      </c>
      <c r="J19">
        <v>22.554000000000002</v>
      </c>
      <c r="K19">
        <v>62</v>
      </c>
      <c r="L19">
        <v>0</v>
      </c>
      <c r="M19">
        <v>0</v>
      </c>
      <c r="N19">
        <v>0</v>
      </c>
      <c r="O19">
        <v>0</v>
      </c>
      <c r="P19">
        <v>0</v>
      </c>
      <c r="Q19">
        <v>0</v>
      </c>
      <c r="R19" s="2043">
        <v>2035362</v>
      </c>
      <c r="S19">
        <v>115370</v>
      </c>
      <c r="T19">
        <v>0</v>
      </c>
      <c r="U19">
        <v>0.05</v>
      </c>
      <c r="V19">
        <v>0</v>
      </c>
      <c r="W19">
        <v>0</v>
      </c>
      <c r="X19">
        <v>0</v>
      </c>
      <c r="Y19">
        <v>223880</v>
      </c>
      <c r="Z19">
        <v>0</v>
      </c>
      <c r="AA19">
        <v>0.25900000000000001</v>
      </c>
      <c r="AB19">
        <v>459.661</v>
      </c>
      <c r="AC19" s="2043">
        <v>225962945</v>
      </c>
      <c r="AD19">
        <v>960150</v>
      </c>
      <c r="AE19" s="2043">
        <v>2150732</v>
      </c>
      <c r="AF19">
        <v>0.93210000000000004</v>
      </c>
      <c r="AG19">
        <v>0</v>
      </c>
      <c r="AH19">
        <v>0</v>
      </c>
      <c r="AI19">
        <v>0</v>
      </c>
      <c r="AJ19">
        <v>50</v>
      </c>
      <c r="AK19">
        <v>2057</v>
      </c>
      <c r="AL19">
        <v>0.156</v>
      </c>
      <c r="AM19">
        <v>0</v>
      </c>
      <c r="AN19">
        <v>24.198</v>
      </c>
      <c r="AO19">
        <v>0</v>
      </c>
      <c r="AP19">
        <v>0</v>
      </c>
      <c r="AQ19">
        <v>0</v>
      </c>
      <c r="AR19">
        <v>7.9010000000000007</v>
      </c>
      <c r="AS19">
        <v>0</v>
      </c>
      <c r="AT19">
        <v>1.0550000000000002</v>
      </c>
      <c r="AU19">
        <v>1.113</v>
      </c>
      <c r="AV19">
        <v>0</v>
      </c>
      <c r="AW19">
        <v>10.225</v>
      </c>
      <c r="AX19">
        <v>0</v>
      </c>
      <c r="AY19">
        <v>33.213000000000001</v>
      </c>
      <c r="AZ19">
        <v>0</v>
      </c>
      <c r="BA19">
        <v>3665983</v>
      </c>
      <c r="BB19">
        <v>3110882</v>
      </c>
      <c r="BC19">
        <v>0</v>
      </c>
      <c r="BD19">
        <v>67649</v>
      </c>
      <c r="BE19">
        <v>0</v>
      </c>
      <c r="BF19">
        <v>87479</v>
      </c>
      <c r="BG19">
        <v>67649</v>
      </c>
      <c r="BH19">
        <v>19830</v>
      </c>
      <c r="BI19">
        <v>0</v>
      </c>
      <c r="BJ19">
        <v>0</v>
      </c>
      <c r="BK19">
        <v>0</v>
      </c>
      <c r="BL19">
        <v>246184874</v>
      </c>
      <c r="BM19">
        <v>0</v>
      </c>
      <c r="BN19">
        <v>1701</v>
      </c>
      <c r="BO19">
        <v>1252</v>
      </c>
      <c r="BP19">
        <v>0</v>
      </c>
      <c r="BQ19">
        <v>0</v>
      </c>
      <c r="BR19">
        <v>0.8821</v>
      </c>
      <c r="BS19">
        <v>0.8821</v>
      </c>
      <c r="BT19">
        <v>0</v>
      </c>
      <c r="BU19">
        <v>0</v>
      </c>
      <c r="BV19">
        <v>73</v>
      </c>
      <c r="BW19">
        <v>58</v>
      </c>
      <c r="BX19">
        <v>5</v>
      </c>
      <c r="BY19">
        <v>56</v>
      </c>
      <c r="BZ19">
        <v>14</v>
      </c>
      <c r="CA19">
        <v>206</v>
      </c>
      <c r="CB19">
        <v>0</v>
      </c>
      <c r="CC19">
        <v>0</v>
      </c>
      <c r="CD19">
        <v>0</v>
      </c>
      <c r="CE19">
        <v>37</v>
      </c>
      <c r="CF19">
        <v>65.323999999999998</v>
      </c>
      <c r="CG19">
        <v>0</v>
      </c>
      <c r="CH19">
        <v>0</v>
      </c>
      <c r="CI19">
        <v>4</v>
      </c>
      <c r="CJ19">
        <v>10</v>
      </c>
      <c r="CK19">
        <v>0</v>
      </c>
      <c r="CL19">
        <v>0</v>
      </c>
      <c r="CM19">
        <v>9.7089999999999996</v>
      </c>
      <c r="CN19">
        <v>0</v>
      </c>
      <c r="CO19">
        <v>0</v>
      </c>
      <c r="CP19">
        <v>0</v>
      </c>
      <c r="CQ19">
        <v>0</v>
      </c>
      <c r="CR19">
        <v>0</v>
      </c>
      <c r="CS19">
        <v>0</v>
      </c>
      <c r="CT19">
        <v>0</v>
      </c>
      <c r="CU19">
        <v>6.4770000000000003</v>
      </c>
      <c r="CV19">
        <v>40.597999999999999</v>
      </c>
      <c r="CW19">
        <v>14.009</v>
      </c>
      <c r="CX19">
        <v>0</v>
      </c>
      <c r="CY19" s="2043">
        <v>0</v>
      </c>
      <c r="CZ19" s="2043">
        <v>0</v>
      </c>
      <c r="DA19" s="2043">
        <v>0</v>
      </c>
      <c r="DB19" s="2043">
        <v>223880</v>
      </c>
      <c r="DC19" s="2043">
        <v>0</v>
      </c>
      <c r="DI19" t="s">
        <v>4925</v>
      </c>
      <c r="DJ19" t="s">
        <v>4925</v>
      </c>
      <c r="DK19" s="2042">
        <f t="shared" si="2"/>
        <v>0</v>
      </c>
    </row>
    <row r="20" spans="1:115">
      <c r="A20" t="s">
        <v>4926</v>
      </c>
      <c r="B20" t="s">
        <v>2341</v>
      </c>
      <c r="C20">
        <v>1079.0119999999999</v>
      </c>
      <c r="D20">
        <v>1026.3030000000001</v>
      </c>
      <c r="E20">
        <v>4.1760000000000002</v>
      </c>
      <c r="F20">
        <v>0</v>
      </c>
      <c r="G20" s="2043">
        <v>423528941</v>
      </c>
      <c r="H20">
        <v>0</v>
      </c>
      <c r="I20" s="2043">
        <v>1255360</v>
      </c>
      <c r="J20">
        <v>53.951000000000001</v>
      </c>
      <c r="K20">
        <v>147</v>
      </c>
      <c r="L20">
        <v>0</v>
      </c>
      <c r="M20">
        <v>229248</v>
      </c>
      <c r="N20">
        <v>0</v>
      </c>
      <c r="O20">
        <v>229248</v>
      </c>
      <c r="P20">
        <v>0</v>
      </c>
      <c r="Q20">
        <v>0</v>
      </c>
      <c r="R20" s="2043">
        <v>3611520</v>
      </c>
      <c r="S20">
        <v>341112</v>
      </c>
      <c r="T20">
        <v>248585</v>
      </c>
      <c r="U20">
        <v>0.08</v>
      </c>
      <c r="V20">
        <v>0</v>
      </c>
      <c r="W20">
        <v>0</v>
      </c>
      <c r="X20">
        <v>0</v>
      </c>
      <c r="Y20">
        <v>0</v>
      </c>
      <c r="Z20">
        <v>0</v>
      </c>
      <c r="AA20">
        <v>7.9000000000000001E-2</v>
      </c>
      <c r="AB20">
        <v>1026.3030000000001</v>
      </c>
      <c r="AC20" s="2043">
        <v>315037778</v>
      </c>
      <c r="AD20">
        <v>1261250</v>
      </c>
      <c r="AE20" s="2043">
        <v>4201217</v>
      </c>
      <c r="AF20">
        <v>0.98530000000000006</v>
      </c>
      <c r="AG20">
        <v>0</v>
      </c>
      <c r="AH20">
        <v>0</v>
      </c>
      <c r="AI20">
        <v>0</v>
      </c>
      <c r="AJ20">
        <v>65.900000000000006</v>
      </c>
      <c r="AK20">
        <v>4256</v>
      </c>
      <c r="AL20">
        <v>0</v>
      </c>
      <c r="AM20">
        <v>0</v>
      </c>
      <c r="AN20">
        <v>48.044000000000004</v>
      </c>
      <c r="AO20">
        <v>0</v>
      </c>
      <c r="AP20">
        <v>0</v>
      </c>
      <c r="AQ20">
        <v>0</v>
      </c>
      <c r="AR20">
        <v>27.169</v>
      </c>
      <c r="AS20">
        <v>0</v>
      </c>
      <c r="AT20">
        <v>1.4570000000000001</v>
      </c>
      <c r="AU20">
        <v>1.296</v>
      </c>
      <c r="AV20">
        <v>0</v>
      </c>
      <c r="AW20">
        <v>30.718</v>
      </c>
      <c r="AX20">
        <v>0.79600000000000004</v>
      </c>
      <c r="AY20">
        <v>94.189000000000007</v>
      </c>
      <c r="AZ20">
        <v>0</v>
      </c>
      <c r="BA20">
        <v>7961908</v>
      </c>
      <c r="BB20">
        <v>5462467</v>
      </c>
      <c r="BC20">
        <v>0</v>
      </c>
      <c r="BD20">
        <v>73146</v>
      </c>
      <c r="BE20">
        <v>4067</v>
      </c>
      <c r="BF20">
        <v>77213</v>
      </c>
      <c r="BG20">
        <v>73146</v>
      </c>
      <c r="BH20">
        <v>0</v>
      </c>
      <c r="BI20">
        <v>0</v>
      </c>
      <c r="BJ20">
        <v>0</v>
      </c>
      <c r="BK20">
        <v>0</v>
      </c>
      <c r="BL20">
        <v>423528941</v>
      </c>
      <c r="BM20">
        <v>0</v>
      </c>
      <c r="BN20">
        <v>3951</v>
      </c>
      <c r="BO20">
        <v>1969</v>
      </c>
      <c r="BP20">
        <v>0</v>
      </c>
      <c r="BQ20">
        <v>0</v>
      </c>
      <c r="BR20">
        <v>0.84700000000000009</v>
      </c>
      <c r="BS20">
        <v>0.84700000000000009</v>
      </c>
      <c r="BT20">
        <v>0</v>
      </c>
      <c r="BU20">
        <v>0</v>
      </c>
      <c r="BV20">
        <v>112</v>
      </c>
      <c r="BW20">
        <v>73</v>
      </c>
      <c r="BX20">
        <v>86</v>
      </c>
      <c r="BY20">
        <v>5</v>
      </c>
      <c r="BZ20">
        <v>2</v>
      </c>
      <c r="CA20">
        <v>278</v>
      </c>
      <c r="CB20">
        <v>0</v>
      </c>
      <c r="CC20">
        <v>0</v>
      </c>
      <c r="CD20">
        <v>0</v>
      </c>
      <c r="CE20">
        <v>97</v>
      </c>
      <c r="CF20">
        <v>75.38</v>
      </c>
      <c r="CG20">
        <v>0</v>
      </c>
      <c r="CH20">
        <v>0</v>
      </c>
      <c r="CI20">
        <v>5</v>
      </c>
      <c r="CJ20">
        <v>16</v>
      </c>
      <c r="CK20">
        <v>1</v>
      </c>
      <c r="CL20">
        <v>0</v>
      </c>
      <c r="CM20">
        <v>4.1760000000000002</v>
      </c>
      <c r="CN20">
        <v>0</v>
      </c>
      <c r="CO20">
        <v>0</v>
      </c>
      <c r="CP20">
        <v>0</v>
      </c>
      <c r="CQ20">
        <v>0</v>
      </c>
      <c r="CR20">
        <v>0</v>
      </c>
      <c r="CS20">
        <v>25.217000000000002</v>
      </c>
      <c r="CT20">
        <v>0</v>
      </c>
      <c r="CU20">
        <v>0</v>
      </c>
      <c r="CV20">
        <v>57.228000000000002</v>
      </c>
      <c r="CW20">
        <v>35.222000000000001</v>
      </c>
      <c r="CX20">
        <v>0</v>
      </c>
      <c r="CY20" s="2043">
        <v>0</v>
      </c>
      <c r="CZ20" s="2043">
        <v>0</v>
      </c>
      <c r="DA20" s="2043">
        <v>0</v>
      </c>
      <c r="DB20" s="2043">
        <v>0</v>
      </c>
      <c r="DC20" s="2043">
        <v>0</v>
      </c>
      <c r="DI20" t="s">
        <v>4926</v>
      </c>
      <c r="DJ20" t="s">
        <v>4926</v>
      </c>
      <c r="DK20" s="2042">
        <f t="shared" si="2"/>
        <v>0</v>
      </c>
    </row>
    <row r="21" spans="1:115">
      <c r="A21" t="s">
        <v>4927</v>
      </c>
      <c r="B21" t="s">
        <v>2343</v>
      </c>
      <c r="C21">
        <v>294.33199999999999</v>
      </c>
      <c r="D21">
        <v>287.065</v>
      </c>
      <c r="E21">
        <v>3.0380000000000003</v>
      </c>
      <c r="F21">
        <v>0</v>
      </c>
      <c r="G21" s="2043">
        <v>214575170</v>
      </c>
      <c r="H21">
        <v>0</v>
      </c>
      <c r="I21" s="2043">
        <v>140900</v>
      </c>
      <c r="J21">
        <v>14.717000000000001</v>
      </c>
      <c r="K21">
        <v>40</v>
      </c>
      <c r="L21">
        <v>0</v>
      </c>
      <c r="M21">
        <v>0</v>
      </c>
      <c r="N21">
        <v>0</v>
      </c>
      <c r="O21">
        <v>0</v>
      </c>
      <c r="P21">
        <v>0</v>
      </c>
      <c r="Q21">
        <v>0</v>
      </c>
      <c r="R21" s="2043">
        <v>1993842</v>
      </c>
      <c r="S21">
        <v>109144</v>
      </c>
      <c r="T21">
        <v>0</v>
      </c>
      <c r="U21">
        <v>0.05</v>
      </c>
      <c r="V21">
        <v>0</v>
      </c>
      <c r="W21">
        <v>0</v>
      </c>
      <c r="X21">
        <v>0</v>
      </c>
      <c r="Y21">
        <v>0</v>
      </c>
      <c r="Z21">
        <v>0</v>
      </c>
      <c r="AA21">
        <v>0</v>
      </c>
      <c r="AB21">
        <v>277.976</v>
      </c>
      <c r="AC21" s="2043">
        <v>176743886</v>
      </c>
      <c r="AD21">
        <v>140689</v>
      </c>
      <c r="AE21" s="2043">
        <v>2102986</v>
      </c>
      <c r="AF21">
        <v>0.96340000000000003</v>
      </c>
      <c r="AG21">
        <v>0</v>
      </c>
      <c r="AH21">
        <v>0</v>
      </c>
      <c r="AI21">
        <v>0</v>
      </c>
      <c r="AJ21">
        <v>25.650000000000002</v>
      </c>
      <c r="AK21">
        <v>1405</v>
      </c>
      <c r="AL21">
        <v>0</v>
      </c>
      <c r="AM21">
        <v>0</v>
      </c>
      <c r="AN21">
        <v>14.895000000000001</v>
      </c>
      <c r="AO21">
        <v>0</v>
      </c>
      <c r="AP21">
        <v>0</v>
      </c>
      <c r="AQ21">
        <v>0</v>
      </c>
      <c r="AR21">
        <v>6.2060000000000004</v>
      </c>
      <c r="AS21">
        <v>0</v>
      </c>
      <c r="AT21">
        <v>0.29799999999999999</v>
      </c>
      <c r="AU21">
        <v>0.28000000000000003</v>
      </c>
      <c r="AV21">
        <v>0</v>
      </c>
      <c r="AW21">
        <v>6.7840000000000007</v>
      </c>
      <c r="AX21">
        <v>0</v>
      </c>
      <c r="AY21">
        <v>20.912000000000003</v>
      </c>
      <c r="AZ21">
        <v>0</v>
      </c>
      <c r="BA21">
        <v>1884055</v>
      </c>
      <c r="BB21">
        <v>2243675</v>
      </c>
      <c r="BC21">
        <v>0</v>
      </c>
      <c r="BD21">
        <v>10492</v>
      </c>
      <c r="BE21">
        <v>0</v>
      </c>
      <c r="BF21">
        <v>10492</v>
      </c>
      <c r="BG21">
        <v>10492</v>
      </c>
      <c r="BH21">
        <v>0</v>
      </c>
      <c r="BI21">
        <v>0</v>
      </c>
      <c r="BJ21">
        <v>0</v>
      </c>
      <c r="BK21">
        <v>0</v>
      </c>
      <c r="BL21">
        <v>214575170</v>
      </c>
      <c r="BM21">
        <v>0</v>
      </c>
      <c r="BN21">
        <v>1053</v>
      </c>
      <c r="BO21">
        <v>803</v>
      </c>
      <c r="BP21">
        <v>0</v>
      </c>
      <c r="BQ21">
        <v>0</v>
      </c>
      <c r="BR21">
        <v>0.91339999999999999</v>
      </c>
      <c r="BS21">
        <v>0.91339999999999999</v>
      </c>
      <c r="BT21">
        <v>0</v>
      </c>
      <c r="BU21">
        <v>0</v>
      </c>
      <c r="BV21">
        <v>58</v>
      </c>
      <c r="BW21">
        <v>52</v>
      </c>
      <c r="BX21">
        <v>1</v>
      </c>
      <c r="BY21">
        <v>0</v>
      </c>
      <c r="BZ21">
        <v>0</v>
      </c>
      <c r="CA21">
        <v>111</v>
      </c>
      <c r="CB21">
        <v>0</v>
      </c>
      <c r="CC21">
        <v>0</v>
      </c>
      <c r="CD21">
        <v>0</v>
      </c>
      <c r="CE21">
        <v>30</v>
      </c>
      <c r="CF21">
        <v>30.713000000000001</v>
      </c>
      <c r="CG21">
        <v>0</v>
      </c>
      <c r="CH21">
        <v>0</v>
      </c>
      <c r="CI21">
        <v>1</v>
      </c>
      <c r="CJ21">
        <v>8</v>
      </c>
      <c r="CK21">
        <v>0</v>
      </c>
      <c r="CL21">
        <v>0</v>
      </c>
      <c r="CM21">
        <v>3.0380000000000003</v>
      </c>
      <c r="CN21">
        <v>0</v>
      </c>
      <c r="CO21">
        <v>0</v>
      </c>
      <c r="CP21">
        <v>0</v>
      </c>
      <c r="CQ21">
        <v>0</v>
      </c>
      <c r="CR21">
        <v>0</v>
      </c>
      <c r="CS21">
        <v>0</v>
      </c>
      <c r="CT21">
        <v>0</v>
      </c>
      <c r="CU21">
        <v>0</v>
      </c>
      <c r="CV21">
        <v>15.878</v>
      </c>
      <c r="CW21">
        <v>14.915000000000001</v>
      </c>
      <c r="CX21">
        <v>0</v>
      </c>
      <c r="CY21" s="2043">
        <v>0</v>
      </c>
      <c r="CZ21" s="2043">
        <v>0</v>
      </c>
      <c r="DA21" s="2043">
        <v>0</v>
      </c>
      <c r="DB21" s="2043">
        <v>0</v>
      </c>
      <c r="DC21" s="2043">
        <v>0</v>
      </c>
      <c r="DI21" t="s">
        <v>2855</v>
      </c>
      <c r="DJ21" t="s">
        <v>4927</v>
      </c>
      <c r="DK21" s="2042">
        <f t="shared" si="2"/>
        <v>-998</v>
      </c>
    </row>
    <row r="22" spans="1:115">
      <c r="A22" t="s">
        <v>2855</v>
      </c>
      <c r="B22" t="s">
        <v>1838</v>
      </c>
      <c r="C22">
        <v>481.26800000000003</v>
      </c>
      <c r="D22">
        <v>398.28800000000001</v>
      </c>
      <c r="E22">
        <v>29.946000000000002</v>
      </c>
      <c r="F22">
        <v>0</v>
      </c>
      <c r="G22" s="2043">
        <v>92795530</v>
      </c>
      <c r="H22">
        <v>0</v>
      </c>
      <c r="I22" s="2043">
        <v>170300</v>
      </c>
      <c r="J22">
        <v>24.063000000000002</v>
      </c>
      <c r="K22">
        <v>66</v>
      </c>
      <c r="L22">
        <v>25387</v>
      </c>
      <c r="M22">
        <v>83461</v>
      </c>
      <c r="N22">
        <v>25387</v>
      </c>
      <c r="O22">
        <v>108848</v>
      </c>
      <c r="P22">
        <v>0</v>
      </c>
      <c r="Q22">
        <v>0</v>
      </c>
      <c r="R22" s="2043">
        <v>839342</v>
      </c>
      <c r="S22">
        <v>73514</v>
      </c>
      <c r="T22">
        <v>53573</v>
      </c>
      <c r="U22">
        <v>0.08</v>
      </c>
      <c r="V22">
        <v>0</v>
      </c>
      <c r="W22">
        <v>0</v>
      </c>
      <c r="X22">
        <v>0</v>
      </c>
      <c r="Y22">
        <v>0</v>
      </c>
      <c r="Z22">
        <v>0</v>
      </c>
      <c r="AA22">
        <v>0</v>
      </c>
      <c r="AB22">
        <v>398.28800000000001</v>
      </c>
      <c r="AC22" s="2043">
        <v>95104458</v>
      </c>
      <c r="AD22">
        <v>150928</v>
      </c>
      <c r="AE22" s="2043">
        <v>966429</v>
      </c>
      <c r="AF22">
        <v>1.0517000000000001</v>
      </c>
      <c r="AG22">
        <v>0</v>
      </c>
      <c r="AH22">
        <v>0</v>
      </c>
      <c r="AI22">
        <v>0</v>
      </c>
      <c r="AJ22">
        <v>37.513000000000005</v>
      </c>
      <c r="AK22">
        <v>1448</v>
      </c>
      <c r="AL22">
        <v>0</v>
      </c>
      <c r="AM22">
        <v>0</v>
      </c>
      <c r="AN22">
        <v>16.647000000000002</v>
      </c>
      <c r="AO22">
        <v>0</v>
      </c>
      <c r="AP22">
        <v>0</v>
      </c>
      <c r="AQ22">
        <v>0</v>
      </c>
      <c r="AR22">
        <v>5.8130000000000006</v>
      </c>
      <c r="AS22">
        <v>0</v>
      </c>
      <c r="AT22">
        <v>0.88100000000000001</v>
      </c>
      <c r="AU22">
        <v>0.82600000000000007</v>
      </c>
      <c r="AV22">
        <v>0</v>
      </c>
      <c r="AW22">
        <v>7.5200000000000005</v>
      </c>
      <c r="AX22">
        <v>0</v>
      </c>
      <c r="AY22">
        <v>24.212</v>
      </c>
      <c r="AZ22">
        <v>0</v>
      </c>
      <c r="BA22">
        <v>5250675</v>
      </c>
      <c r="BB22">
        <v>1117357</v>
      </c>
      <c r="BC22">
        <v>0</v>
      </c>
      <c r="BD22">
        <v>37740</v>
      </c>
      <c r="BE22">
        <v>2120</v>
      </c>
      <c r="BF22">
        <v>39860</v>
      </c>
      <c r="BG22">
        <v>37740</v>
      </c>
      <c r="BH22">
        <v>0</v>
      </c>
      <c r="BI22">
        <v>0</v>
      </c>
      <c r="BJ22">
        <v>0</v>
      </c>
      <c r="BK22">
        <v>0</v>
      </c>
      <c r="BL22">
        <v>92795530</v>
      </c>
      <c r="BM22">
        <v>0</v>
      </c>
      <c r="BN22">
        <v>1251</v>
      </c>
      <c r="BO22">
        <v>1263</v>
      </c>
      <c r="BP22">
        <v>0</v>
      </c>
      <c r="BQ22">
        <v>0</v>
      </c>
      <c r="BR22">
        <v>0.91339999999999999</v>
      </c>
      <c r="BS22">
        <v>0.91339999999999999</v>
      </c>
      <c r="BT22">
        <v>0</v>
      </c>
      <c r="BU22">
        <v>0</v>
      </c>
      <c r="BV22">
        <v>46</v>
      </c>
      <c r="BW22">
        <v>98</v>
      </c>
      <c r="BX22">
        <v>6</v>
      </c>
      <c r="BY22">
        <v>7</v>
      </c>
      <c r="BZ22">
        <v>2</v>
      </c>
      <c r="CA22">
        <v>159</v>
      </c>
      <c r="CB22">
        <v>0</v>
      </c>
      <c r="CC22">
        <v>0</v>
      </c>
      <c r="CD22">
        <v>0</v>
      </c>
      <c r="CE22">
        <v>37</v>
      </c>
      <c r="CF22">
        <v>58.395000000000003</v>
      </c>
      <c r="CG22">
        <v>0</v>
      </c>
      <c r="CH22">
        <v>0</v>
      </c>
      <c r="CI22">
        <v>2</v>
      </c>
      <c r="CJ22">
        <v>8</v>
      </c>
      <c r="CK22">
        <v>0</v>
      </c>
      <c r="CL22">
        <v>0</v>
      </c>
      <c r="CM22">
        <v>29.946000000000002</v>
      </c>
      <c r="CN22">
        <v>0</v>
      </c>
      <c r="CO22">
        <v>0</v>
      </c>
      <c r="CP22">
        <v>0</v>
      </c>
      <c r="CQ22">
        <v>0</v>
      </c>
      <c r="CR22">
        <v>0</v>
      </c>
      <c r="CS22">
        <v>0</v>
      </c>
      <c r="CT22">
        <v>0</v>
      </c>
      <c r="CU22">
        <v>7.3570000000000002</v>
      </c>
      <c r="CV22">
        <v>33.091999999999999</v>
      </c>
      <c r="CW22">
        <v>18.781000000000002</v>
      </c>
      <c r="CX22">
        <v>0</v>
      </c>
      <c r="CY22" s="2043">
        <v>0</v>
      </c>
      <c r="CZ22" s="2043">
        <v>0</v>
      </c>
      <c r="DA22" s="2043">
        <v>0</v>
      </c>
      <c r="DB22" s="2043">
        <v>0</v>
      </c>
      <c r="DC22" s="2043">
        <v>0</v>
      </c>
      <c r="DI22" t="s">
        <v>4927</v>
      </c>
      <c r="DJ22" t="s">
        <v>2855</v>
      </c>
      <c r="DK22" s="2042">
        <f t="shared" si="2"/>
        <v>998</v>
      </c>
    </row>
    <row r="23" spans="1:115">
      <c r="A23" t="s">
        <v>2856</v>
      </c>
      <c r="B23" t="s">
        <v>667</v>
      </c>
      <c r="C23">
        <v>370.15899999999999</v>
      </c>
      <c r="D23">
        <v>418.53100000000001</v>
      </c>
      <c r="E23">
        <v>23.420999999999999</v>
      </c>
      <c r="F23">
        <v>0</v>
      </c>
      <c r="G23" s="2043">
        <v>353282987</v>
      </c>
      <c r="H23">
        <v>0</v>
      </c>
      <c r="I23" s="2043">
        <v>763375</v>
      </c>
      <c r="J23">
        <v>18.507999999999999</v>
      </c>
      <c r="K23">
        <v>51</v>
      </c>
      <c r="L23">
        <v>0</v>
      </c>
      <c r="M23">
        <v>242781</v>
      </c>
      <c r="N23">
        <v>0</v>
      </c>
      <c r="O23">
        <v>242781</v>
      </c>
      <c r="P23">
        <v>0</v>
      </c>
      <c r="Q23">
        <v>0</v>
      </c>
      <c r="R23" s="2043">
        <v>3127285</v>
      </c>
      <c r="S23">
        <v>273903</v>
      </c>
      <c r="T23">
        <v>199607</v>
      </c>
      <c r="U23">
        <v>0.08</v>
      </c>
      <c r="V23">
        <v>0</v>
      </c>
      <c r="W23">
        <v>0</v>
      </c>
      <c r="X23">
        <v>0</v>
      </c>
      <c r="Y23">
        <v>0</v>
      </c>
      <c r="Z23">
        <v>0</v>
      </c>
      <c r="AA23">
        <v>0</v>
      </c>
      <c r="AB23">
        <v>388.92600000000004</v>
      </c>
      <c r="AC23" s="2043">
        <v>323351913</v>
      </c>
      <c r="AD23">
        <v>794912</v>
      </c>
      <c r="AE23" s="2043">
        <v>3600795</v>
      </c>
      <c r="AF23">
        <v>1.0517000000000001</v>
      </c>
      <c r="AG23">
        <v>0</v>
      </c>
      <c r="AH23">
        <v>0</v>
      </c>
      <c r="AI23">
        <v>0</v>
      </c>
      <c r="AJ23">
        <v>66.099999999999994</v>
      </c>
      <c r="AK23">
        <v>1910</v>
      </c>
      <c r="AL23">
        <v>0</v>
      </c>
      <c r="AM23">
        <v>0</v>
      </c>
      <c r="AN23">
        <v>27.505000000000003</v>
      </c>
      <c r="AO23">
        <v>0</v>
      </c>
      <c r="AP23">
        <v>2.056</v>
      </c>
      <c r="AQ23">
        <v>0</v>
      </c>
      <c r="AR23">
        <v>4.0129999999999999</v>
      </c>
      <c r="AS23">
        <v>0</v>
      </c>
      <c r="AT23">
        <v>0.48</v>
      </c>
      <c r="AU23">
        <v>1.0609999999999999</v>
      </c>
      <c r="AV23">
        <v>0</v>
      </c>
      <c r="AW23">
        <v>7.61</v>
      </c>
      <c r="AX23">
        <v>0</v>
      </c>
      <c r="AY23">
        <v>24.335000000000001</v>
      </c>
      <c r="AZ23">
        <v>0</v>
      </c>
      <c r="BA23">
        <v>1589703</v>
      </c>
      <c r="BB23">
        <v>4395707</v>
      </c>
      <c r="BC23">
        <v>0</v>
      </c>
      <c r="BD23">
        <v>32697</v>
      </c>
      <c r="BE23">
        <v>21300</v>
      </c>
      <c r="BF23">
        <v>54934</v>
      </c>
      <c r="BG23">
        <v>32697</v>
      </c>
      <c r="BH23">
        <v>937</v>
      </c>
      <c r="BI23">
        <v>0</v>
      </c>
      <c r="BJ23">
        <v>0</v>
      </c>
      <c r="BK23">
        <v>0</v>
      </c>
      <c r="BL23">
        <v>353282987</v>
      </c>
      <c r="BM23">
        <v>0</v>
      </c>
      <c r="BN23">
        <v>1341</v>
      </c>
      <c r="BO23">
        <v>877</v>
      </c>
      <c r="BP23">
        <v>0</v>
      </c>
      <c r="BQ23">
        <v>0</v>
      </c>
      <c r="BR23">
        <v>0.91339999999999999</v>
      </c>
      <c r="BS23">
        <v>0.91339999999999999</v>
      </c>
      <c r="BT23">
        <v>0</v>
      </c>
      <c r="BU23">
        <v>0</v>
      </c>
      <c r="BV23">
        <v>9</v>
      </c>
      <c r="BW23">
        <v>114</v>
      </c>
      <c r="BX23">
        <v>148</v>
      </c>
      <c r="BY23">
        <v>0</v>
      </c>
      <c r="BZ23">
        <v>0</v>
      </c>
      <c r="CA23">
        <v>271</v>
      </c>
      <c r="CB23">
        <v>0</v>
      </c>
      <c r="CC23">
        <v>0</v>
      </c>
      <c r="CD23">
        <v>0</v>
      </c>
      <c r="CE23">
        <v>19</v>
      </c>
      <c r="CF23">
        <v>71.192000000000007</v>
      </c>
      <c r="CG23">
        <v>0</v>
      </c>
      <c r="CH23">
        <v>0</v>
      </c>
      <c r="CI23">
        <v>0</v>
      </c>
      <c r="CJ23">
        <v>0</v>
      </c>
      <c r="CK23">
        <v>0</v>
      </c>
      <c r="CL23">
        <v>0</v>
      </c>
      <c r="CM23">
        <v>23.420999999999999</v>
      </c>
      <c r="CN23">
        <v>0</v>
      </c>
      <c r="CO23">
        <v>0</v>
      </c>
      <c r="CP23">
        <v>0</v>
      </c>
      <c r="CQ23">
        <v>0</v>
      </c>
      <c r="CR23">
        <v>0</v>
      </c>
      <c r="CS23">
        <v>0</v>
      </c>
      <c r="CT23">
        <v>0</v>
      </c>
      <c r="CU23">
        <v>0</v>
      </c>
      <c r="CV23">
        <v>16.477</v>
      </c>
      <c r="CW23">
        <v>13.013</v>
      </c>
      <c r="CX23">
        <v>0</v>
      </c>
      <c r="CY23" s="2043">
        <v>0</v>
      </c>
      <c r="CZ23" s="2043">
        <v>0</v>
      </c>
      <c r="DA23" s="2043">
        <v>0</v>
      </c>
      <c r="DB23" s="2043">
        <v>0</v>
      </c>
      <c r="DC23" s="2043">
        <v>0</v>
      </c>
      <c r="DI23" t="s">
        <v>2856</v>
      </c>
      <c r="DJ23" t="s">
        <v>2856</v>
      </c>
      <c r="DK23" s="2042">
        <f t="shared" si="2"/>
        <v>0</v>
      </c>
    </row>
    <row r="24" spans="1:115">
      <c r="A24" t="s">
        <v>5750</v>
      </c>
      <c r="B24" t="s">
        <v>2344</v>
      </c>
      <c r="C24">
        <v>1451.2660000000001</v>
      </c>
      <c r="D24">
        <v>1493.9540000000002</v>
      </c>
      <c r="E24">
        <v>42.21</v>
      </c>
      <c r="F24">
        <v>0</v>
      </c>
      <c r="G24" s="2043">
        <v>850737612</v>
      </c>
      <c r="H24">
        <v>0</v>
      </c>
      <c r="I24" s="2043">
        <v>2590397</v>
      </c>
      <c r="J24">
        <v>72.563000000000002</v>
      </c>
      <c r="K24">
        <v>198</v>
      </c>
      <c r="L24">
        <v>0</v>
      </c>
      <c r="M24">
        <v>0</v>
      </c>
      <c r="N24">
        <v>0</v>
      </c>
      <c r="O24">
        <v>0</v>
      </c>
      <c r="P24">
        <v>0</v>
      </c>
      <c r="Q24">
        <v>0</v>
      </c>
      <c r="R24" s="2043">
        <v>7650912</v>
      </c>
      <c r="S24">
        <v>670104</v>
      </c>
      <c r="T24">
        <v>488338</v>
      </c>
      <c r="U24">
        <v>0.08</v>
      </c>
      <c r="V24">
        <v>0</v>
      </c>
      <c r="W24">
        <v>0</v>
      </c>
      <c r="X24">
        <v>0</v>
      </c>
      <c r="Y24">
        <v>1299965</v>
      </c>
      <c r="Z24">
        <v>0.97800000000000009</v>
      </c>
      <c r="AA24">
        <v>8.5000000000000006E-2</v>
      </c>
      <c r="AB24">
        <v>1424.5310000000002</v>
      </c>
      <c r="AC24" s="2043">
        <v>909030305</v>
      </c>
      <c r="AD24">
        <v>2700633</v>
      </c>
      <c r="AE24" s="2043">
        <v>8809354</v>
      </c>
      <c r="AF24">
        <v>1.0517000000000001</v>
      </c>
      <c r="AG24">
        <v>0</v>
      </c>
      <c r="AH24">
        <v>0</v>
      </c>
      <c r="AI24">
        <v>0</v>
      </c>
      <c r="AJ24">
        <v>219.47500000000002</v>
      </c>
      <c r="AK24">
        <v>6958</v>
      </c>
      <c r="AL24">
        <v>0.36</v>
      </c>
      <c r="AM24">
        <v>0</v>
      </c>
      <c r="AN24">
        <v>47.507000000000005</v>
      </c>
      <c r="AO24">
        <v>0</v>
      </c>
      <c r="AP24">
        <v>3.7610000000000001</v>
      </c>
      <c r="AQ24">
        <v>1.4280000000000002</v>
      </c>
      <c r="AR24">
        <v>55.788000000000004</v>
      </c>
      <c r="AS24">
        <v>0</v>
      </c>
      <c r="AT24">
        <v>6.7629999999999999</v>
      </c>
      <c r="AU24">
        <v>2.8109999999999999</v>
      </c>
      <c r="AV24">
        <v>0</v>
      </c>
      <c r="AW24">
        <v>71.055000000000007</v>
      </c>
      <c r="AX24">
        <v>0.14400000000000002</v>
      </c>
      <c r="AY24">
        <v>213.994</v>
      </c>
      <c r="AZ24">
        <v>0</v>
      </c>
      <c r="BA24">
        <v>8075199</v>
      </c>
      <c r="BB24">
        <v>11509987</v>
      </c>
      <c r="BC24">
        <v>0</v>
      </c>
      <c r="BD24">
        <v>73324</v>
      </c>
      <c r="BE24">
        <v>27081</v>
      </c>
      <c r="BF24">
        <v>100405</v>
      </c>
      <c r="BG24">
        <v>73324</v>
      </c>
      <c r="BH24">
        <v>0</v>
      </c>
      <c r="BI24">
        <v>0</v>
      </c>
      <c r="BJ24">
        <v>0</v>
      </c>
      <c r="BK24">
        <v>0</v>
      </c>
      <c r="BL24">
        <v>850737612</v>
      </c>
      <c r="BM24">
        <v>0</v>
      </c>
      <c r="BN24">
        <v>5148</v>
      </c>
      <c r="BO24">
        <v>3189</v>
      </c>
      <c r="BP24">
        <v>0</v>
      </c>
      <c r="BQ24">
        <v>0</v>
      </c>
      <c r="BR24">
        <v>0.91339999999999999</v>
      </c>
      <c r="BS24">
        <v>0.91339999999999999</v>
      </c>
      <c r="BT24">
        <v>1299965</v>
      </c>
      <c r="BU24">
        <v>0</v>
      </c>
      <c r="BV24">
        <v>142</v>
      </c>
      <c r="BW24">
        <v>193</v>
      </c>
      <c r="BX24">
        <v>59</v>
      </c>
      <c r="BY24">
        <v>163</v>
      </c>
      <c r="BZ24">
        <v>306</v>
      </c>
      <c r="CA24">
        <v>863</v>
      </c>
      <c r="CB24">
        <v>0</v>
      </c>
      <c r="CC24">
        <v>0</v>
      </c>
      <c r="CD24">
        <v>0</v>
      </c>
      <c r="CE24">
        <v>124</v>
      </c>
      <c r="CF24">
        <v>278.14400000000001</v>
      </c>
      <c r="CG24">
        <v>6.6440000000000001</v>
      </c>
      <c r="CH24">
        <v>6.3690000000000007</v>
      </c>
      <c r="CI24">
        <v>1</v>
      </c>
      <c r="CJ24">
        <v>12</v>
      </c>
      <c r="CK24">
        <v>0</v>
      </c>
      <c r="CL24">
        <v>13.013</v>
      </c>
      <c r="CM24">
        <v>42.21</v>
      </c>
      <c r="CN24">
        <v>0</v>
      </c>
      <c r="CO24">
        <v>0</v>
      </c>
      <c r="CP24">
        <v>0</v>
      </c>
      <c r="CQ24">
        <v>0</v>
      </c>
      <c r="CR24">
        <v>0</v>
      </c>
      <c r="CS24">
        <v>0</v>
      </c>
      <c r="CT24">
        <v>0</v>
      </c>
      <c r="CU24">
        <v>0</v>
      </c>
      <c r="CV24">
        <v>60.196000000000005</v>
      </c>
      <c r="CW24">
        <v>20.133000000000003</v>
      </c>
      <c r="CX24">
        <v>1299965</v>
      </c>
      <c r="CY24" s="2043">
        <v>0</v>
      </c>
      <c r="CZ24" s="2043">
        <v>0</v>
      </c>
      <c r="DA24" s="2043">
        <v>0</v>
      </c>
      <c r="DB24" s="2043">
        <v>0</v>
      </c>
      <c r="DC24" s="2043">
        <v>0</v>
      </c>
      <c r="DI24" t="s">
        <v>5750</v>
      </c>
      <c r="DJ24" t="s">
        <v>5750</v>
      </c>
      <c r="DK24" s="2042">
        <f t="shared" si="2"/>
        <v>0</v>
      </c>
    </row>
    <row r="25" spans="1:115">
      <c r="A25" t="s">
        <v>2857</v>
      </c>
      <c r="B25" t="s">
        <v>1976</v>
      </c>
      <c r="C25">
        <v>1585.2540000000001</v>
      </c>
      <c r="D25">
        <v>1667.8600000000001</v>
      </c>
      <c r="E25">
        <v>222.91800000000001</v>
      </c>
      <c r="F25">
        <v>0</v>
      </c>
      <c r="G25" s="2043">
        <v>443789587</v>
      </c>
      <c r="H25">
        <v>0</v>
      </c>
      <c r="I25" s="2043">
        <v>1637979</v>
      </c>
      <c r="J25">
        <v>62</v>
      </c>
      <c r="K25">
        <v>169</v>
      </c>
      <c r="L25">
        <v>76969</v>
      </c>
      <c r="M25">
        <v>322250</v>
      </c>
      <c r="N25">
        <v>76969</v>
      </c>
      <c r="O25">
        <v>399219</v>
      </c>
      <c r="P25">
        <v>0</v>
      </c>
      <c r="Q25">
        <v>0</v>
      </c>
      <c r="R25" s="2043">
        <v>3610604</v>
      </c>
      <c r="S25">
        <v>349738</v>
      </c>
      <c r="T25">
        <v>254871</v>
      </c>
      <c r="U25">
        <v>0.08</v>
      </c>
      <c r="V25">
        <v>0</v>
      </c>
      <c r="W25">
        <v>0</v>
      </c>
      <c r="X25">
        <v>0</v>
      </c>
      <c r="Y25">
        <v>0</v>
      </c>
      <c r="Z25">
        <v>0</v>
      </c>
      <c r="AA25">
        <v>0.13700000000000001</v>
      </c>
      <c r="AB25">
        <v>1537.4660000000001</v>
      </c>
      <c r="AC25" s="2043">
        <v>337679723</v>
      </c>
      <c r="AD25">
        <v>1381243</v>
      </c>
      <c r="AE25" s="2043">
        <v>4215213</v>
      </c>
      <c r="AF25">
        <v>0.96420000000000006</v>
      </c>
      <c r="AG25">
        <v>0</v>
      </c>
      <c r="AH25">
        <v>0</v>
      </c>
      <c r="AI25">
        <v>0</v>
      </c>
      <c r="AJ25">
        <v>314.55</v>
      </c>
      <c r="AK25">
        <v>4632</v>
      </c>
      <c r="AL25">
        <v>0</v>
      </c>
      <c r="AM25">
        <v>0</v>
      </c>
      <c r="AN25">
        <v>59.109000000000002</v>
      </c>
      <c r="AO25">
        <v>0</v>
      </c>
      <c r="AP25">
        <v>0.127</v>
      </c>
      <c r="AQ25">
        <v>0</v>
      </c>
      <c r="AR25">
        <v>24.691000000000003</v>
      </c>
      <c r="AS25">
        <v>0</v>
      </c>
      <c r="AT25">
        <v>8.6639999999999997</v>
      </c>
      <c r="AU25">
        <v>3.8620000000000001</v>
      </c>
      <c r="AV25">
        <v>0</v>
      </c>
      <c r="AW25">
        <v>37.344000000000001</v>
      </c>
      <c r="AX25">
        <v>0</v>
      </c>
      <c r="AY25">
        <v>119.718</v>
      </c>
      <c r="AZ25">
        <v>0</v>
      </c>
      <c r="BA25">
        <v>13243647</v>
      </c>
      <c r="BB25">
        <v>5596456</v>
      </c>
      <c r="BC25">
        <v>0</v>
      </c>
      <c r="BD25">
        <v>55238</v>
      </c>
      <c r="BE25">
        <v>11275</v>
      </c>
      <c r="BF25">
        <v>88008</v>
      </c>
      <c r="BG25">
        <v>55238</v>
      </c>
      <c r="BH25">
        <v>21495</v>
      </c>
      <c r="BI25">
        <v>0</v>
      </c>
      <c r="BJ25">
        <v>0</v>
      </c>
      <c r="BK25">
        <v>0</v>
      </c>
      <c r="BL25">
        <v>443789587</v>
      </c>
      <c r="BM25">
        <v>0</v>
      </c>
      <c r="BN25">
        <v>5625</v>
      </c>
      <c r="BO25">
        <v>3296</v>
      </c>
      <c r="BP25">
        <v>0</v>
      </c>
      <c r="BQ25">
        <v>0</v>
      </c>
      <c r="BR25">
        <v>0.82590000000000008</v>
      </c>
      <c r="BS25">
        <v>0.82590000000000008</v>
      </c>
      <c r="BT25">
        <v>0</v>
      </c>
      <c r="BU25">
        <v>0</v>
      </c>
      <c r="BV25">
        <v>34</v>
      </c>
      <c r="BW25">
        <v>573</v>
      </c>
      <c r="BX25">
        <v>655</v>
      </c>
      <c r="BY25">
        <v>7</v>
      </c>
      <c r="BZ25">
        <v>19</v>
      </c>
      <c r="CA25">
        <v>1288</v>
      </c>
      <c r="CB25">
        <v>0</v>
      </c>
      <c r="CC25">
        <v>0</v>
      </c>
      <c r="CD25">
        <v>0</v>
      </c>
      <c r="CE25">
        <v>83</v>
      </c>
      <c r="CF25">
        <v>424.45699999999999</v>
      </c>
      <c r="CG25">
        <v>0</v>
      </c>
      <c r="CH25">
        <v>0</v>
      </c>
      <c r="CI25">
        <v>1</v>
      </c>
      <c r="CJ25">
        <v>6</v>
      </c>
      <c r="CK25">
        <v>1</v>
      </c>
      <c r="CL25">
        <v>0</v>
      </c>
      <c r="CM25">
        <v>222.91800000000001</v>
      </c>
      <c r="CN25">
        <v>0</v>
      </c>
      <c r="CO25">
        <v>0</v>
      </c>
      <c r="CP25">
        <v>0</v>
      </c>
      <c r="CQ25">
        <v>0</v>
      </c>
      <c r="CR25">
        <v>0</v>
      </c>
      <c r="CS25">
        <v>25.873000000000001</v>
      </c>
      <c r="CT25">
        <v>0</v>
      </c>
      <c r="CU25">
        <v>8.1270000000000007</v>
      </c>
      <c r="CV25">
        <v>112.03800000000001</v>
      </c>
      <c r="CW25">
        <v>17.721</v>
      </c>
      <c r="CX25">
        <v>0</v>
      </c>
      <c r="CY25" s="2043">
        <v>0</v>
      </c>
      <c r="CZ25" s="2043">
        <v>0</v>
      </c>
      <c r="DA25" s="2043">
        <v>0</v>
      </c>
      <c r="DB25" s="2043">
        <v>0</v>
      </c>
      <c r="DC25" s="2043">
        <v>0</v>
      </c>
      <c r="DI25" t="s">
        <v>2857</v>
      </c>
      <c r="DJ25" t="s">
        <v>2857</v>
      </c>
      <c r="DK25" s="2042">
        <f t="shared" si="2"/>
        <v>0</v>
      </c>
    </row>
    <row r="26" spans="1:115">
      <c r="A26" t="s">
        <v>2858</v>
      </c>
      <c r="B26" t="s">
        <v>199</v>
      </c>
      <c r="C26">
        <v>3062.0260000000003</v>
      </c>
      <c r="D26">
        <v>3218.7920000000004</v>
      </c>
      <c r="E26">
        <v>119.37</v>
      </c>
      <c r="F26">
        <v>0</v>
      </c>
      <c r="G26" s="2043">
        <v>1874297951</v>
      </c>
      <c r="H26">
        <v>0</v>
      </c>
      <c r="I26" s="2043">
        <v>4684150</v>
      </c>
      <c r="J26">
        <v>153.101</v>
      </c>
      <c r="K26">
        <v>419</v>
      </c>
      <c r="L26">
        <v>0</v>
      </c>
      <c r="M26">
        <v>618256</v>
      </c>
      <c r="N26">
        <v>0</v>
      </c>
      <c r="O26">
        <v>618256</v>
      </c>
      <c r="P26">
        <v>0</v>
      </c>
      <c r="Q26">
        <v>0</v>
      </c>
      <c r="R26" s="2043">
        <v>17100942</v>
      </c>
      <c r="S26">
        <v>1497783</v>
      </c>
      <c r="T26">
        <v>1091510</v>
      </c>
      <c r="U26">
        <v>0.08</v>
      </c>
      <c r="V26">
        <v>0</v>
      </c>
      <c r="W26">
        <v>0</v>
      </c>
      <c r="X26">
        <v>0</v>
      </c>
      <c r="Y26">
        <v>2465592</v>
      </c>
      <c r="Z26">
        <v>0</v>
      </c>
      <c r="AA26">
        <v>0.30199999999999999</v>
      </c>
      <c r="AB26">
        <v>3043.2420000000002</v>
      </c>
      <c r="AC26" s="2043">
        <v>1866660773</v>
      </c>
      <c r="AD26">
        <v>4145478</v>
      </c>
      <c r="AE26" s="2043">
        <v>19690235</v>
      </c>
      <c r="AF26">
        <v>1.0517000000000001</v>
      </c>
      <c r="AG26">
        <v>0</v>
      </c>
      <c r="AH26">
        <v>0</v>
      </c>
      <c r="AI26">
        <v>0</v>
      </c>
      <c r="AJ26">
        <v>531.67500000000007</v>
      </c>
      <c r="AK26">
        <v>11235</v>
      </c>
      <c r="AL26">
        <v>0.39300000000000002</v>
      </c>
      <c r="AM26">
        <v>0</v>
      </c>
      <c r="AN26">
        <v>75.225999999999999</v>
      </c>
      <c r="AO26">
        <v>1</v>
      </c>
      <c r="AP26">
        <v>2.3080000000000003</v>
      </c>
      <c r="AQ26">
        <v>0</v>
      </c>
      <c r="AR26">
        <v>81.31</v>
      </c>
      <c r="AS26">
        <v>0</v>
      </c>
      <c r="AT26">
        <v>30.855</v>
      </c>
      <c r="AU26">
        <v>7.2320000000000002</v>
      </c>
      <c r="AV26">
        <v>0</v>
      </c>
      <c r="AW26">
        <v>122.098</v>
      </c>
      <c r="AX26">
        <v>0</v>
      </c>
      <c r="AY26">
        <v>380.85200000000003</v>
      </c>
      <c r="AZ26">
        <v>0</v>
      </c>
      <c r="BA26">
        <v>14814600</v>
      </c>
      <c r="BB26">
        <v>23835713</v>
      </c>
      <c r="BC26">
        <v>0</v>
      </c>
      <c r="BD26">
        <v>231660</v>
      </c>
      <c r="BE26">
        <v>118675</v>
      </c>
      <c r="BF26">
        <v>350335</v>
      </c>
      <c r="BG26">
        <v>231660</v>
      </c>
      <c r="BH26">
        <v>0</v>
      </c>
      <c r="BI26">
        <v>0</v>
      </c>
      <c r="BJ26">
        <v>0</v>
      </c>
      <c r="BK26">
        <v>0</v>
      </c>
      <c r="BL26">
        <v>1874297951</v>
      </c>
      <c r="BM26">
        <v>0</v>
      </c>
      <c r="BN26">
        <v>11484</v>
      </c>
      <c r="BO26">
        <v>9170</v>
      </c>
      <c r="BP26">
        <v>0</v>
      </c>
      <c r="BQ26">
        <v>0</v>
      </c>
      <c r="BR26">
        <v>0.91339999999999999</v>
      </c>
      <c r="BS26">
        <v>0.91339999999999999</v>
      </c>
      <c r="BT26">
        <v>2465592</v>
      </c>
      <c r="BU26">
        <v>0</v>
      </c>
      <c r="BV26">
        <v>607</v>
      </c>
      <c r="BW26">
        <v>858</v>
      </c>
      <c r="BX26">
        <v>487</v>
      </c>
      <c r="BY26">
        <v>220</v>
      </c>
      <c r="BZ26">
        <v>43</v>
      </c>
      <c r="CA26">
        <v>2215</v>
      </c>
      <c r="CB26">
        <v>0</v>
      </c>
      <c r="CC26">
        <v>25.261000000000003</v>
      </c>
      <c r="CD26">
        <v>0</v>
      </c>
      <c r="CE26">
        <v>352</v>
      </c>
      <c r="CF26">
        <v>692.452</v>
      </c>
      <c r="CG26">
        <v>8.9240000000000013</v>
      </c>
      <c r="CH26">
        <v>0</v>
      </c>
      <c r="CI26">
        <v>2</v>
      </c>
      <c r="CJ26">
        <v>16</v>
      </c>
      <c r="CK26">
        <v>1</v>
      </c>
      <c r="CL26">
        <v>8.9240000000000013</v>
      </c>
      <c r="CM26">
        <v>119.37</v>
      </c>
      <c r="CN26">
        <v>0</v>
      </c>
      <c r="CO26">
        <v>0</v>
      </c>
      <c r="CP26">
        <v>0</v>
      </c>
      <c r="CQ26">
        <v>0</v>
      </c>
      <c r="CR26">
        <v>0</v>
      </c>
      <c r="CS26">
        <v>0</v>
      </c>
      <c r="CT26">
        <v>0</v>
      </c>
      <c r="CU26">
        <v>1.8390000000000002</v>
      </c>
      <c r="CV26">
        <v>174.762</v>
      </c>
      <c r="CW26">
        <v>71.337000000000003</v>
      </c>
      <c r="CX26">
        <v>2465592</v>
      </c>
      <c r="CY26" s="2043">
        <v>0</v>
      </c>
      <c r="CZ26" s="2043">
        <v>0</v>
      </c>
      <c r="DA26" s="2043">
        <v>0</v>
      </c>
      <c r="DB26" s="2043">
        <v>0</v>
      </c>
      <c r="DC26" s="2043">
        <v>0</v>
      </c>
      <c r="DI26" t="s">
        <v>2858</v>
      </c>
      <c r="DJ26" t="s">
        <v>2858</v>
      </c>
      <c r="DK26" s="2042">
        <f t="shared" si="2"/>
        <v>0</v>
      </c>
    </row>
    <row r="27" spans="1:115">
      <c r="A27" t="s">
        <v>2859</v>
      </c>
      <c r="B27" t="s">
        <v>2014</v>
      </c>
      <c r="C27">
        <v>1495.76</v>
      </c>
      <c r="D27">
        <v>1453.5440000000001</v>
      </c>
      <c r="E27">
        <v>62.762</v>
      </c>
      <c r="F27">
        <v>0</v>
      </c>
      <c r="G27" s="2043">
        <v>490465406</v>
      </c>
      <c r="H27">
        <v>0</v>
      </c>
      <c r="I27" s="2043">
        <v>1950832</v>
      </c>
      <c r="J27">
        <v>74.787999999999997</v>
      </c>
      <c r="K27">
        <v>204</v>
      </c>
      <c r="L27">
        <v>61670</v>
      </c>
      <c r="M27">
        <v>966486</v>
      </c>
      <c r="N27">
        <v>61670</v>
      </c>
      <c r="O27">
        <v>1028156</v>
      </c>
      <c r="P27">
        <v>0</v>
      </c>
      <c r="Q27">
        <v>0</v>
      </c>
      <c r="R27" s="2043">
        <v>4104070</v>
      </c>
      <c r="S27">
        <v>391797</v>
      </c>
      <c r="T27">
        <v>284052</v>
      </c>
      <c r="U27">
        <v>0.08</v>
      </c>
      <c r="V27">
        <v>0</v>
      </c>
      <c r="W27">
        <v>0</v>
      </c>
      <c r="X27">
        <v>0</v>
      </c>
      <c r="Y27">
        <v>145889</v>
      </c>
      <c r="Z27">
        <v>0</v>
      </c>
      <c r="AA27">
        <v>0.13200000000000001</v>
      </c>
      <c r="AB27">
        <v>1392.7440000000001</v>
      </c>
      <c r="AC27" s="2043">
        <v>339393498</v>
      </c>
      <c r="AD27">
        <v>2015942</v>
      </c>
      <c r="AE27" s="2043">
        <v>4779919</v>
      </c>
      <c r="AF27">
        <v>0.97600000000000009</v>
      </c>
      <c r="AG27">
        <v>0</v>
      </c>
      <c r="AH27">
        <v>0</v>
      </c>
      <c r="AI27">
        <v>0</v>
      </c>
      <c r="AJ27">
        <v>302.13800000000003</v>
      </c>
      <c r="AK27">
        <v>5661</v>
      </c>
      <c r="AL27">
        <v>0.21300000000000002</v>
      </c>
      <c r="AM27">
        <v>0</v>
      </c>
      <c r="AN27">
        <v>74.27</v>
      </c>
      <c r="AO27">
        <v>0</v>
      </c>
      <c r="AP27">
        <v>0</v>
      </c>
      <c r="AQ27">
        <v>0</v>
      </c>
      <c r="AR27">
        <v>23.330000000000002</v>
      </c>
      <c r="AS27">
        <v>0</v>
      </c>
      <c r="AT27">
        <v>19.535</v>
      </c>
      <c r="AU27">
        <v>2.5630000000000002</v>
      </c>
      <c r="AV27">
        <v>0</v>
      </c>
      <c r="AW27">
        <v>45.641000000000005</v>
      </c>
      <c r="AX27">
        <v>0</v>
      </c>
      <c r="AY27">
        <v>142.47499999999999</v>
      </c>
      <c r="AZ27">
        <v>0</v>
      </c>
      <c r="BA27">
        <v>11995130</v>
      </c>
      <c r="BB27">
        <v>6795861</v>
      </c>
      <c r="BC27">
        <v>0</v>
      </c>
      <c r="BD27">
        <v>99317</v>
      </c>
      <c r="BE27">
        <v>23209</v>
      </c>
      <c r="BF27">
        <v>122526</v>
      </c>
      <c r="BG27">
        <v>99317</v>
      </c>
      <c r="BH27">
        <v>0</v>
      </c>
      <c r="BI27">
        <v>0</v>
      </c>
      <c r="BJ27">
        <v>0</v>
      </c>
      <c r="BK27">
        <v>0</v>
      </c>
      <c r="BL27">
        <v>490465406</v>
      </c>
      <c r="BM27">
        <v>0</v>
      </c>
      <c r="BN27">
        <v>4716</v>
      </c>
      <c r="BO27">
        <v>3927</v>
      </c>
      <c r="BP27">
        <v>0</v>
      </c>
      <c r="BQ27">
        <v>0</v>
      </c>
      <c r="BR27">
        <v>0.83800000000000008</v>
      </c>
      <c r="BS27">
        <v>0.83800000000000008</v>
      </c>
      <c r="BT27">
        <v>145889</v>
      </c>
      <c r="BU27">
        <v>0</v>
      </c>
      <c r="BV27">
        <v>6</v>
      </c>
      <c r="BW27">
        <v>254</v>
      </c>
      <c r="BX27">
        <v>611</v>
      </c>
      <c r="BY27">
        <v>265</v>
      </c>
      <c r="BZ27">
        <v>66</v>
      </c>
      <c r="CA27">
        <v>1202</v>
      </c>
      <c r="CB27">
        <v>0</v>
      </c>
      <c r="CC27">
        <v>50.725999999999999</v>
      </c>
      <c r="CD27">
        <v>47.015000000000001</v>
      </c>
      <c r="CE27">
        <v>140</v>
      </c>
      <c r="CF27">
        <v>341.09300000000002</v>
      </c>
      <c r="CG27">
        <v>0</v>
      </c>
      <c r="CH27">
        <v>0</v>
      </c>
      <c r="CI27">
        <v>0</v>
      </c>
      <c r="CJ27">
        <v>0</v>
      </c>
      <c r="CK27">
        <v>0</v>
      </c>
      <c r="CL27">
        <v>0</v>
      </c>
      <c r="CM27">
        <v>62.762</v>
      </c>
      <c r="CN27">
        <v>0</v>
      </c>
      <c r="CO27">
        <v>0</v>
      </c>
      <c r="CP27">
        <v>0</v>
      </c>
      <c r="CQ27">
        <v>0</v>
      </c>
      <c r="CR27">
        <v>0</v>
      </c>
      <c r="CS27">
        <v>0</v>
      </c>
      <c r="CT27">
        <v>0</v>
      </c>
      <c r="CU27">
        <v>0</v>
      </c>
      <c r="CV27">
        <v>55.024000000000001</v>
      </c>
      <c r="CW27">
        <v>37.277999999999999</v>
      </c>
      <c r="CX27">
        <v>145889</v>
      </c>
      <c r="CY27" s="2043">
        <v>0</v>
      </c>
      <c r="CZ27" s="2043">
        <v>0</v>
      </c>
      <c r="DA27" s="2043">
        <v>0</v>
      </c>
      <c r="DB27" s="2043">
        <v>0</v>
      </c>
      <c r="DC27" s="2043">
        <v>0</v>
      </c>
      <c r="DI27" t="s">
        <v>2859</v>
      </c>
      <c r="DJ27" t="s">
        <v>2859</v>
      </c>
      <c r="DK27" s="2042">
        <f t="shared" si="2"/>
        <v>0</v>
      </c>
    </row>
    <row r="28" spans="1:115">
      <c r="A28" t="s">
        <v>4928</v>
      </c>
      <c r="B28" t="s">
        <v>2345</v>
      </c>
      <c r="C28">
        <v>2089.6510000000003</v>
      </c>
      <c r="D28">
        <v>2057.614</v>
      </c>
      <c r="E28">
        <v>195.79</v>
      </c>
      <c r="F28">
        <v>0</v>
      </c>
      <c r="G28" s="2043">
        <v>1554835464</v>
      </c>
      <c r="H28">
        <v>-24205</v>
      </c>
      <c r="I28" s="2043">
        <v>1364547</v>
      </c>
      <c r="J28">
        <v>104.483</v>
      </c>
      <c r="K28">
        <v>286</v>
      </c>
      <c r="L28">
        <v>0</v>
      </c>
      <c r="M28">
        <v>0</v>
      </c>
      <c r="N28">
        <v>0</v>
      </c>
      <c r="O28">
        <v>0</v>
      </c>
      <c r="P28">
        <v>0</v>
      </c>
      <c r="Q28">
        <v>0</v>
      </c>
      <c r="R28" s="2043">
        <v>13631212</v>
      </c>
      <c r="S28">
        <v>1235551</v>
      </c>
      <c r="T28">
        <v>400009</v>
      </c>
      <c r="U28">
        <v>0.08</v>
      </c>
      <c r="V28">
        <v>0</v>
      </c>
      <c r="W28">
        <v>0</v>
      </c>
      <c r="X28">
        <v>24205</v>
      </c>
      <c r="Y28">
        <v>-24205</v>
      </c>
      <c r="Z28">
        <v>41.544000000000004</v>
      </c>
      <c r="AA28">
        <v>0.36499999999999999</v>
      </c>
      <c r="AB28">
        <v>2057.614</v>
      </c>
      <c r="AC28" s="2043">
        <v>1374383852</v>
      </c>
      <c r="AD28">
        <v>2261881</v>
      </c>
      <c r="AE28" s="2043">
        <v>15266772</v>
      </c>
      <c r="AF28">
        <v>0.98850000000000005</v>
      </c>
      <c r="AG28">
        <v>0</v>
      </c>
      <c r="AH28">
        <v>24205</v>
      </c>
      <c r="AI28">
        <v>0</v>
      </c>
      <c r="AJ28">
        <v>233.238</v>
      </c>
      <c r="AK28">
        <v>7903</v>
      </c>
      <c r="AL28">
        <v>0</v>
      </c>
      <c r="AM28">
        <v>0</v>
      </c>
      <c r="AN28">
        <v>75.921999999999997</v>
      </c>
      <c r="AO28">
        <v>1.4000000000000001</v>
      </c>
      <c r="AP28">
        <v>0</v>
      </c>
      <c r="AQ28">
        <v>0.69600000000000006</v>
      </c>
      <c r="AR28">
        <v>46.435000000000002</v>
      </c>
      <c r="AS28">
        <v>0</v>
      </c>
      <c r="AT28">
        <v>21.948</v>
      </c>
      <c r="AU28">
        <v>5.0570000000000004</v>
      </c>
      <c r="AV28">
        <v>0</v>
      </c>
      <c r="AW28">
        <v>74.13600000000001</v>
      </c>
      <c r="AX28">
        <v>0</v>
      </c>
      <c r="AY28">
        <v>230.434</v>
      </c>
      <c r="AZ28">
        <v>0</v>
      </c>
      <c r="BA28">
        <v>5902527</v>
      </c>
      <c r="BB28">
        <v>17528653</v>
      </c>
      <c r="BC28">
        <v>0</v>
      </c>
      <c r="BD28">
        <v>187387</v>
      </c>
      <c r="BE28">
        <v>102748</v>
      </c>
      <c r="BF28">
        <v>306702</v>
      </c>
      <c r="BG28">
        <v>187387</v>
      </c>
      <c r="BH28">
        <v>16567</v>
      </c>
      <c r="BI28">
        <v>0</v>
      </c>
      <c r="BJ28">
        <v>0</v>
      </c>
      <c r="BK28">
        <v>0</v>
      </c>
      <c r="BL28">
        <v>1554835464</v>
      </c>
      <c r="BM28">
        <v>0</v>
      </c>
      <c r="BN28">
        <v>7596</v>
      </c>
      <c r="BO28">
        <v>5200</v>
      </c>
      <c r="BP28">
        <v>0</v>
      </c>
      <c r="BQ28">
        <v>0</v>
      </c>
      <c r="BR28">
        <v>0.88260000000000005</v>
      </c>
      <c r="BS28">
        <v>0.88260000000000005</v>
      </c>
      <c r="BT28">
        <v>0</v>
      </c>
      <c r="BU28">
        <v>0</v>
      </c>
      <c r="BV28">
        <v>389</v>
      </c>
      <c r="BW28">
        <v>426</v>
      </c>
      <c r="BX28">
        <v>165</v>
      </c>
      <c r="BY28">
        <v>1</v>
      </c>
      <c r="BZ28">
        <v>11</v>
      </c>
      <c r="CA28">
        <v>992</v>
      </c>
      <c r="CB28">
        <v>0</v>
      </c>
      <c r="CC28">
        <v>0</v>
      </c>
      <c r="CD28">
        <v>0</v>
      </c>
      <c r="CE28">
        <v>201</v>
      </c>
      <c r="CF28">
        <v>362.529</v>
      </c>
      <c r="CG28">
        <v>0</v>
      </c>
      <c r="CH28">
        <v>0</v>
      </c>
      <c r="CI28">
        <v>6</v>
      </c>
      <c r="CJ28">
        <v>21</v>
      </c>
      <c r="CK28">
        <v>0</v>
      </c>
      <c r="CL28">
        <v>0</v>
      </c>
      <c r="CM28">
        <v>195.79</v>
      </c>
      <c r="CN28">
        <v>0</v>
      </c>
      <c r="CO28">
        <v>0</v>
      </c>
      <c r="CP28">
        <v>0</v>
      </c>
      <c r="CQ28">
        <v>0</v>
      </c>
      <c r="CR28">
        <v>0</v>
      </c>
      <c r="CS28">
        <v>0</v>
      </c>
      <c r="CT28">
        <v>0</v>
      </c>
      <c r="CU28">
        <v>5.9190000000000005</v>
      </c>
      <c r="CV28">
        <v>141.035</v>
      </c>
      <c r="CW28">
        <v>96.022000000000006</v>
      </c>
      <c r="CX28">
        <v>0</v>
      </c>
      <c r="CY28" s="2043">
        <v>0</v>
      </c>
      <c r="CZ28" s="2043">
        <v>0</v>
      </c>
      <c r="DA28" s="2043">
        <v>0</v>
      </c>
      <c r="DB28" s="2043">
        <v>0</v>
      </c>
      <c r="DC28" s="2043">
        <v>384347</v>
      </c>
      <c r="DI28" t="s">
        <v>4928</v>
      </c>
      <c r="DJ28" t="s">
        <v>4928</v>
      </c>
      <c r="DK28" s="2042">
        <f t="shared" si="2"/>
        <v>0</v>
      </c>
    </row>
    <row r="29" spans="1:115">
      <c r="A29" t="s">
        <v>4929</v>
      </c>
      <c r="B29" t="s">
        <v>644</v>
      </c>
      <c r="C29">
        <v>2622.4280000000003</v>
      </c>
      <c r="D29">
        <v>2582.3620000000001</v>
      </c>
      <c r="E29">
        <v>303.60599999999999</v>
      </c>
      <c r="F29">
        <v>0</v>
      </c>
      <c r="G29" s="2043">
        <v>1634782589</v>
      </c>
      <c r="H29">
        <v>0</v>
      </c>
      <c r="I29" s="2043">
        <v>4106225</v>
      </c>
      <c r="J29">
        <v>131.12100000000001</v>
      </c>
      <c r="K29">
        <v>358</v>
      </c>
      <c r="L29">
        <v>0</v>
      </c>
      <c r="M29">
        <v>0</v>
      </c>
      <c r="N29">
        <v>0</v>
      </c>
      <c r="O29">
        <v>0</v>
      </c>
      <c r="P29">
        <v>0</v>
      </c>
      <c r="Q29">
        <v>0</v>
      </c>
      <c r="R29" s="2043">
        <v>14019851</v>
      </c>
      <c r="S29">
        <v>788784</v>
      </c>
      <c r="T29">
        <v>0</v>
      </c>
      <c r="U29">
        <v>0.05</v>
      </c>
      <c r="V29">
        <v>0</v>
      </c>
      <c r="W29">
        <v>0</v>
      </c>
      <c r="X29">
        <v>0</v>
      </c>
      <c r="Y29">
        <v>0</v>
      </c>
      <c r="Z29">
        <v>0</v>
      </c>
      <c r="AA29">
        <v>0.24100000000000002</v>
      </c>
      <c r="AB29">
        <v>2582.3620000000001</v>
      </c>
      <c r="AC29" s="2043">
        <v>1507186080</v>
      </c>
      <c r="AD29">
        <v>4372835</v>
      </c>
      <c r="AE29" s="2043">
        <v>14808635</v>
      </c>
      <c r="AF29">
        <v>0.93870000000000009</v>
      </c>
      <c r="AG29">
        <v>0</v>
      </c>
      <c r="AH29">
        <v>0</v>
      </c>
      <c r="AI29">
        <v>0</v>
      </c>
      <c r="AJ29">
        <v>400.53800000000001</v>
      </c>
      <c r="AK29">
        <v>10148</v>
      </c>
      <c r="AL29">
        <v>0.189</v>
      </c>
      <c r="AM29">
        <v>0</v>
      </c>
      <c r="AN29">
        <v>124.56400000000001</v>
      </c>
      <c r="AO29">
        <v>1.6</v>
      </c>
      <c r="AP29">
        <v>0</v>
      </c>
      <c r="AQ29">
        <v>0</v>
      </c>
      <c r="AR29">
        <v>50.667000000000002</v>
      </c>
      <c r="AS29">
        <v>0</v>
      </c>
      <c r="AT29">
        <v>26.908000000000001</v>
      </c>
      <c r="AU29">
        <v>7.2250000000000005</v>
      </c>
      <c r="AV29">
        <v>0</v>
      </c>
      <c r="AW29">
        <v>86.835999999999999</v>
      </c>
      <c r="AX29">
        <v>1.8470000000000002</v>
      </c>
      <c r="AY29">
        <v>274.04300000000001</v>
      </c>
      <c r="AZ29">
        <v>0</v>
      </c>
      <c r="BA29">
        <v>10170619</v>
      </c>
      <c r="BB29">
        <v>19181470</v>
      </c>
      <c r="BC29">
        <v>1632</v>
      </c>
      <c r="BD29">
        <v>144158</v>
      </c>
      <c r="BE29">
        <v>60067</v>
      </c>
      <c r="BF29">
        <v>205857</v>
      </c>
      <c r="BG29">
        <v>145790</v>
      </c>
      <c r="BH29">
        <v>0</v>
      </c>
      <c r="BI29">
        <v>0</v>
      </c>
      <c r="BJ29">
        <v>0</v>
      </c>
      <c r="BK29">
        <v>0</v>
      </c>
      <c r="BL29">
        <v>1634782589</v>
      </c>
      <c r="BM29">
        <v>0</v>
      </c>
      <c r="BN29">
        <v>9162</v>
      </c>
      <c r="BO29">
        <v>4184</v>
      </c>
      <c r="BP29">
        <v>0</v>
      </c>
      <c r="BQ29">
        <v>37500</v>
      </c>
      <c r="BR29">
        <v>0.88870000000000005</v>
      </c>
      <c r="BS29">
        <v>0.88870000000000005</v>
      </c>
      <c r="BT29">
        <v>0</v>
      </c>
      <c r="BU29">
        <v>0</v>
      </c>
      <c r="BV29">
        <v>413</v>
      </c>
      <c r="BW29">
        <v>1064</v>
      </c>
      <c r="BX29">
        <v>211</v>
      </c>
      <c r="BY29">
        <v>3</v>
      </c>
      <c r="BZ29">
        <v>5</v>
      </c>
      <c r="CA29">
        <v>1696</v>
      </c>
      <c r="CB29">
        <v>0</v>
      </c>
      <c r="CC29">
        <v>113.44600000000001</v>
      </c>
      <c r="CD29">
        <v>35.434000000000005</v>
      </c>
      <c r="CE29">
        <v>254</v>
      </c>
      <c r="CF29">
        <v>624.54399999999998</v>
      </c>
      <c r="CG29">
        <v>0</v>
      </c>
      <c r="CH29">
        <v>0</v>
      </c>
      <c r="CI29">
        <v>7</v>
      </c>
      <c r="CJ29">
        <v>35</v>
      </c>
      <c r="CK29">
        <v>0</v>
      </c>
      <c r="CL29">
        <v>0</v>
      </c>
      <c r="CM29">
        <v>303.60599999999999</v>
      </c>
      <c r="CN29">
        <v>0</v>
      </c>
      <c r="CO29">
        <v>0</v>
      </c>
      <c r="CP29">
        <v>0</v>
      </c>
      <c r="CQ29">
        <v>0</v>
      </c>
      <c r="CR29">
        <v>0</v>
      </c>
      <c r="CS29">
        <v>0</v>
      </c>
      <c r="CT29">
        <v>0</v>
      </c>
      <c r="CU29">
        <v>46.453000000000003</v>
      </c>
      <c r="CV29">
        <v>92.016000000000005</v>
      </c>
      <c r="CW29">
        <v>73.998000000000005</v>
      </c>
      <c r="CX29">
        <v>0</v>
      </c>
      <c r="CY29" s="2043">
        <v>0</v>
      </c>
      <c r="CZ29" s="2043">
        <v>0</v>
      </c>
      <c r="DA29" s="2043">
        <v>0</v>
      </c>
      <c r="DB29" s="2043">
        <v>0</v>
      </c>
      <c r="DC29" s="2043">
        <v>0</v>
      </c>
      <c r="DI29" t="s">
        <v>4929</v>
      </c>
      <c r="DJ29" t="s">
        <v>4929</v>
      </c>
      <c r="DK29" s="2042">
        <f t="shared" si="2"/>
        <v>0</v>
      </c>
    </row>
    <row r="30" spans="1:115">
      <c r="A30" t="s">
        <v>4930</v>
      </c>
      <c r="B30" t="s">
        <v>645</v>
      </c>
      <c r="C30">
        <v>736.32600000000002</v>
      </c>
      <c r="D30">
        <v>824.18200000000002</v>
      </c>
      <c r="E30">
        <v>105.51</v>
      </c>
      <c r="F30">
        <v>0</v>
      </c>
      <c r="G30" s="2043">
        <v>415858101</v>
      </c>
      <c r="H30">
        <v>0</v>
      </c>
      <c r="I30" s="2043">
        <v>1053754</v>
      </c>
      <c r="J30">
        <v>36.816000000000003</v>
      </c>
      <c r="K30">
        <v>101</v>
      </c>
      <c r="L30">
        <v>0</v>
      </c>
      <c r="M30">
        <v>0</v>
      </c>
      <c r="N30">
        <v>0</v>
      </c>
      <c r="O30">
        <v>0</v>
      </c>
      <c r="P30">
        <v>0</v>
      </c>
      <c r="Q30">
        <v>0</v>
      </c>
      <c r="R30" s="2043">
        <v>3444275</v>
      </c>
      <c r="S30">
        <v>205383</v>
      </c>
      <c r="T30">
        <v>0</v>
      </c>
      <c r="U30">
        <v>0.05</v>
      </c>
      <c r="V30">
        <v>0</v>
      </c>
      <c r="W30">
        <v>0</v>
      </c>
      <c r="X30">
        <v>0</v>
      </c>
      <c r="Y30">
        <v>-6265</v>
      </c>
      <c r="Z30">
        <v>0</v>
      </c>
      <c r="AA30">
        <v>0</v>
      </c>
      <c r="AB30">
        <v>766.80900000000008</v>
      </c>
      <c r="AC30" s="2043">
        <v>323487857</v>
      </c>
      <c r="AD30">
        <v>1192547</v>
      </c>
      <c r="AE30" s="2043">
        <v>3649658</v>
      </c>
      <c r="AF30">
        <v>0.88850000000000007</v>
      </c>
      <c r="AG30">
        <v>0</v>
      </c>
      <c r="AH30">
        <v>0</v>
      </c>
      <c r="AI30">
        <v>0</v>
      </c>
      <c r="AJ30">
        <v>111.96300000000001</v>
      </c>
      <c r="AK30">
        <v>3977</v>
      </c>
      <c r="AL30">
        <v>0</v>
      </c>
      <c r="AM30">
        <v>0</v>
      </c>
      <c r="AN30">
        <v>50.295000000000002</v>
      </c>
      <c r="AO30">
        <v>0.6</v>
      </c>
      <c r="AP30">
        <v>0</v>
      </c>
      <c r="AQ30">
        <v>0</v>
      </c>
      <c r="AR30">
        <v>15.428000000000001</v>
      </c>
      <c r="AS30">
        <v>0</v>
      </c>
      <c r="AT30">
        <v>4.2240000000000002</v>
      </c>
      <c r="AU30">
        <v>1.893</v>
      </c>
      <c r="AV30">
        <v>0</v>
      </c>
      <c r="AW30">
        <v>21.545000000000002</v>
      </c>
      <c r="AX30">
        <v>0</v>
      </c>
      <c r="AY30">
        <v>68.421000000000006</v>
      </c>
      <c r="AZ30">
        <v>0</v>
      </c>
      <c r="BA30">
        <v>5476661</v>
      </c>
      <c r="BB30">
        <v>4842205</v>
      </c>
      <c r="BC30">
        <v>0</v>
      </c>
      <c r="BD30">
        <v>100785</v>
      </c>
      <c r="BE30">
        <v>42107</v>
      </c>
      <c r="BF30">
        <v>142892</v>
      </c>
      <c r="BG30">
        <v>100785</v>
      </c>
      <c r="BH30">
        <v>0</v>
      </c>
      <c r="BI30">
        <v>0</v>
      </c>
      <c r="BJ30">
        <v>-6265</v>
      </c>
      <c r="BK30">
        <v>0</v>
      </c>
      <c r="BL30">
        <v>415858101</v>
      </c>
      <c r="BM30">
        <v>0</v>
      </c>
      <c r="BN30">
        <v>3447</v>
      </c>
      <c r="BO30">
        <v>1220</v>
      </c>
      <c r="BP30">
        <v>0</v>
      </c>
      <c r="BQ30">
        <v>0</v>
      </c>
      <c r="BR30">
        <v>0.83850000000000002</v>
      </c>
      <c r="BS30">
        <v>0.83850000000000002</v>
      </c>
      <c r="BT30">
        <v>0</v>
      </c>
      <c r="BU30">
        <v>0</v>
      </c>
      <c r="BV30">
        <v>9</v>
      </c>
      <c r="BW30">
        <v>77</v>
      </c>
      <c r="BX30">
        <v>254</v>
      </c>
      <c r="BY30">
        <v>102</v>
      </c>
      <c r="BZ30">
        <v>5</v>
      </c>
      <c r="CA30">
        <v>447</v>
      </c>
      <c r="CB30">
        <v>0</v>
      </c>
      <c r="CC30">
        <v>0</v>
      </c>
      <c r="CD30">
        <v>0</v>
      </c>
      <c r="CE30">
        <v>88</v>
      </c>
      <c r="CF30">
        <v>168.08</v>
      </c>
      <c r="CG30">
        <v>0</v>
      </c>
      <c r="CH30">
        <v>0</v>
      </c>
      <c r="CI30">
        <v>2</v>
      </c>
      <c r="CJ30">
        <v>5</v>
      </c>
      <c r="CK30">
        <v>0</v>
      </c>
      <c r="CL30">
        <v>0</v>
      </c>
      <c r="CM30">
        <v>105.51</v>
      </c>
      <c r="CN30">
        <v>0</v>
      </c>
      <c r="CO30">
        <v>0</v>
      </c>
      <c r="CP30">
        <v>0</v>
      </c>
      <c r="CQ30">
        <v>0</v>
      </c>
      <c r="CR30">
        <v>0</v>
      </c>
      <c r="CS30">
        <v>0</v>
      </c>
      <c r="CT30">
        <v>0</v>
      </c>
      <c r="CU30">
        <v>0.97600000000000009</v>
      </c>
      <c r="CV30">
        <v>41.58</v>
      </c>
      <c r="CW30">
        <v>21.318000000000001</v>
      </c>
      <c r="CX30">
        <v>0</v>
      </c>
      <c r="CY30" s="2043">
        <v>0</v>
      </c>
      <c r="CZ30" s="2043">
        <v>0</v>
      </c>
      <c r="DA30" s="2043">
        <v>0</v>
      </c>
      <c r="DB30" s="2043">
        <v>0</v>
      </c>
      <c r="DC30" s="2043">
        <v>0</v>
      </c>
      <c r="DI30" t="s">
        <v>4930</v>
      </c>
      <c r="DJ30" t="s">
        <v>4930</v>
      </c>
      <c r="DK30" s="2042">
        <f t="shared" si="2"/>
        <v>0</v>
      </c>
    </row>
    <row r="31" spans="1:115">
      <c r="A31" t="s">
        <v>2860</v>
      </c>
      <c r="B31" t="s">
        <v>646</v>
      </c>
      <c r="C31">
        <v>1222.6500000000001</v>
      </c>
      <c r="D31">
        <v>1268.7190000000001</v>
      </c>
      <c r="E31">
        <v>373.57900000000001</v>
      </c>
      <c r="F31">
        <v>0</v>
      </c>
      <c r="G31" s="2043">
        <v>328878474</v>
      </c>
      <c r="H31">
        <v>0</v>
      </c>
      <c r="I31" s="2043">
        <v>1340221</v>
      </c>
      <c r="J31">
        <v>43</v>
      </c>
      <c r="K31">
        <v>118</v>
      </c>
      <c r="L31">
        <v>61102</v>
      </c>
      <c r="M31">
        <v>202885</v>
      </c>
      <c r="N31">
        <v>61102</v>
      </c>
      <c r="O31">
        <v>263987</v>
      </c>
      <c r="P31">
        <v>0</v>
      </c>
      <c r="Q31">
        <v>0</v>
      </c>
      <c r="R31" s="2043">
        <v>2884329</v>
      </c>
      <c r="S31">
        <v>254856</v>
      </c>
      <c r="T31">
        <v>185726</v>
      </c>
      <c r="U31">
        <v>0.08</v>
      </c>
      <c r="V31">
        <v>0</v>
      </c>
      <c r="W31">
        <v>0</v>
      </c>
      <c r="X31">
        <v>0</v>
      </c>
      <c r="Y31">
        <v>0</v>
      </c>
      <c r="Z31">
        <v>0</v>
      </c>
      <c r="AA31">
        <v>0.17400000000000002</v>
      </c>
      <c r="AB31">
        <v>1204.2910000000002</v>
      </c>
      <c r="AC31" s="2043">
        <v>281550713</v>
      </c>
      <c r="AD31">
        <v>619195</v>
      </c>
      <c r="AE31" s="2043">
        <v>3324911</v>
      </c>
      <c r="AF31">
        <v>1.0437000000000001</v>
      </c>
      <c r="AG31">
        <v>0</v>
      </c>
      <c r="AH31">
        <v>0</v>
      </c>
      <c r="AI31">
        <v>0</v>
      </c>
      <c r="AJ31">
        <v>281.78800000000001</v>
      </c>
      <c r="AK31">
        <v>5556</v>
      </c>
      <c r="AL31">
        <v>0.308</v>
      </c>
      <c r="AM31">
        <v>0</v>
      </c>
      <c r="AN31">
        <v>55.622</v>
      </c>
      <c r="AO31">
        <v>0</v>
      </c>
      <c r="AP31">
        <v>0</v>
      </c>
      <c r="AQ31">
        <v>0</v>
      </c>
      <c r="AR31">
        <v>24.97</v>
      </c>
      <c r="AS31">
        <v>0</v>
      </c>
      <c r="AT31">
        <v>15.472000000000001</v>
      </c>
      <c r="AU31">
        <v>2.8690000000000002</v>
      </c>
      <c r="AV31">
        <v>0</v>
      </c>
      <c r="AW31">
        <v>43.619</v>
      </c>
      <c r="AX31">
        <v>0</v>
      </c>
      <c r="AY31">
        <v>137.21100000000001</v>
      </c>
      <c r="AZ31">
        <v>0</v>
      </c>
      <c r="BA31">
        <v>12317954</v>
      </c>
      <c r="BB31">
        <v>3944106</v>
      </c>
      <c r="BC31">
        <v>0</v>
      </c>
      <c r="BD31">
        <v>60578</v>
      </c>
      <c r="BE31">
        <v>5638</v>
      </c>
      <c r="BF31">
        <v>66216</v>
      </c>
      <c r="BG31">
        <v>60578</v>
      </c>
      <c r="BH31">
        <v>0</v>
      </c>
      <c r="BI31">
        <v>0</v>
      </c>
      <c r="BJ31">
        <v>0</v>
      </c>
      <c r="BK31">
        <v>0</v>
      </c>
      <c r="BL31">
        <v>328878474</v>
      </c>
      <c r="BM31">
        <v>0</v>
      </c>
      <c r="BN31">
        <v>4275</v>
      </c>
      <c r="BO31">
        <v>3424</v>
      </c>
      <c r="BP31">
        <v>0</v>
      </c>
      <c r="BQ31">
        <v>31500</v>
      </c>
      <c r="BR31">
        <v>0.90540000000000009</v>
      </c>
      <c r="BS31">
        <v>0.90540000000000009</v>
      </c>
      <c r="BT31">
        <v>0</v>
      </c>
      <c r="BU31">
        <v>0</v>
      </c>
      <c r="BV31">
        <v>287</v>
      </c>
      <c r="BW31">
        <v>503</v>
      </c>
      <c r="BX31">
        <v>349</v>
      </c>
      <c r="BY31">
        <v>40</v>
      </c>
      <c r="BZ31">
        <v>0</v>
      </c>
      <c r="CA31">
        <v>1179</v>
      </c>
      <c r="CB31">
        <v>0</v>
      </c>
      <c r="CC31">
        <v>0</v>
      </c>
      <c r="CD31">
        <v>0</v>
      </c>
      <c r="CE31">
        <v>26</v>
      </c>
      <c r="CF31">
        <v>483.19200000000001</v>
      </c>
      <c r="CG31">
        <v>0</v>
      </c>
      <c r="CH31">
        <v>0</v>
      </c>
      <c r="CI31">
        <v>8</v>
      </c>
      <c r="CJ31">
        <v>10</v>
      </c>
      <c r="CK31">
        <v>0</v>
      </c>
      <c r="CL31">
        <v>0</v>
      </c>
      <c r="CM31">
        <v>373.57900000000001</v>
      </c>
      <c r="CN31">
        <v>0</v>
      </c>
      <c r="CO31">
        <v>0</v>
      </c>
      <c r="CP31">
        <v>0</v>
      </c>
      <c r="CQ31">
        <v>0</v>
      </c>
      <c r="CR31">
        <v>0</v>
      </c>
      <c r="CS31">
        <v>0</v>
      </c>
      <c r="CT31">
        <v>0</v>
      </c>
      <c r="CU31">
        <v>13.44</v>
      </c>
      <c r="CV31">
        <v>69.903000000000006</v>
      </c>
      <c r="CW31">
        <v>44.248000000000005</v>
      </c>
      <c r="CX31">
        <v>0</v>
      </c>
      <c r="CY31" s="2043">
        <v>0</v>
      </c>
      <c r="CZ31" s="2043">
        <v>0</v>
      </c>
      <c r="DA31" s="2043">
        <v>0</v>
      </c>
      <c r="DB31" s="2043">
        <v>0</v>
      </c>
      <c r="DC31" s="2043">
        <v>0</v>
      </c>
      <c r="DI31" t="s">
        <v>2860</v>
      </c>
      <c r="DJ31" t="s">
        <v>2860</v>
      </c>
      <c r="DK31" s="2042">
        <f t="shared" si="2"/>
        <v>0</v>
      </c>
    </row>
    <row r="32" spans="1:115">
      <c r="A32" t="s">
        <v>5751</v>
      </c>
      <c r="B32" t="s">
        <v>174</v>
      </c>
      <c r="C32">
        <v>231.43900000000002</v>
      </c>
      <c r="D32">
        <v>286.363</v>
      </c>
      <c r="E32">
        <v>2.722</v>
      </c>
      <c r="F32">
        <v>0</v>
      </c>
      <c r="G32" s="2043">
        <v>291759125</v>
      </c>
      <c r="H32">
        <v>0</v>
      </c>
      <c r="I32" s="2043">
        <v>416450</v>
      </c>
      <c r="J32">
        <v>11.572000000000001</v>
      </c>
      <c r="K32">
        <v>32</v>
      </c>
      <c r="L32">
        <v>0</v>
      </c>
      <c r="M32">
        <v>0</v>
      </c>
      <c r="N32">
        <v>0</v>
      </c>
      <c r="O32">
        <v>0</v>
      </c>
      <c r="P32">
        <v>0</v>
      </c>
      <c r="Q32">
        <v>0</v>
      </c>
      <c r="R32" s="2043">
        <v>2352870</v>
      </c>
      <c r="S32">
        <v>227826</v>
      </c>
      <c r="T32">
        <v>256304</v>
      </c>
      <c r="U32">
        <v>0.08</v>
      </c>
      <c r="V32">
        <v>0</v>
      </c>
      <c r="W32">
        <v>0</v>
      </c>
      <c r="X32">
        <v>0</v>
      </c>
      <c r="Y32">
        <v>0</v>
      </c>
      <c r="Z32">
        <v>0</v>
      </c>
      <c r="AA32">
        <v>0</v>
      </c>
      <c r="AB32">
        <v>233.631</v>
      </c>
      <c r="AC32" s="2043">
        <v>261656960</v>
      </c>
      <c r="AD32">
        <v>551500</v>
      </c>
      <c r="AE32" s="2043">
        <v>2837000</v>
      </c>
      <c r="AF32">
        <v>0.99620000000000009</v>
      </c>
      <c r="AG32">
        <v>0</v>
      </c>
      <c r="AH32">
        <v>0</v>
      </c>
      <c r="AI32">
        <v>0</v>
      </c>
      <c r="AJ32">
        <v>38.738</v>
      </c>
      <c r="AK32">
        <v>1523</v>
      </c>
      <c r="AL32">
        <v>0</v>
      </c>
      <c r="AM32">
        <v>0</v>
      </c>
      <c r="AN32">
        <v>9.2480000000000011</v>
      </c>
      <c r="AO32">
        <v>0</v>
      </c>
      <c r="AP32">
        <v>0</v>
      </c>
      <c r="AQ32">
        <v>2.1419999999999999</v>
      </c>
      <c r="AR32">
        <v>6.5410000000000004</v>
      </c>
      <c r="AS32">
        <v>0</v>
      </c>
      <c r="AT32">
        <v>0.47700000000000004</v>
      </c>
      <c r="AU32">
        <v>0.55700000000000005</v>
      </c>
      <c r="AV32">
        <v>0</v>
      </c>
      <c r="AW32">
        <v>9.7170000000000005</v>
      </c>
      <c r="AX32">
        <v>0</v>
      </c>
      <c r="AY32">
        <v>23.839000000000002</v>
      </c>
      <c r="AZ32">
        <v>0</v>
      </c>
      <c r="BA32">
        <v>723361</v>
      </c>
      <c r="BB32">
        <v>3388500</v>
      </c>
      <c r="BC32">
        <v>0</v>
      </c>
      <c r="BD32">
        <v>58680</v>
      </c>
      <c r="BE32">
        <v>0</v>
      </c>
      <c r="BF32">
        <v>58680</v>
      </c>
      <c r="BG32">
        <v>58680</v>
      </c>
      <c r="BH32">
        <v>0</v>
      </c>
      <c r="BI32">
        <v>0</v>
      </c>
      <c r="BJ32">
        <v>0</v>
      </c>
      <c r="BK32">
        <v>0</v>
      </c>
      <c r="BL32">
        <v>291759125</v>
      </c>
      <c r="BM32">
        <v>0</v>
      </c>
      <c r="BN32">
        <v>765</v>
      </c>
      <c r="BO32">
        <v>524</v>
      </c>
      <c r="BP32">
        <v>0</v>
      </c>
      <c r="BQ32">
        <v>0</v>
      </c>
      <c r="BR32">
        <v>0.82620000000000005</v>
      </c>
      <c r="BS32">
        <v>0.82620000000000005</v>
      </c>
      <c r="BT32">
        <v>0</v>
      </c>
      <c r="BU32">
        <v>0</v>
      </c>
      <c r="BV32">
        <v>10</v>
      </c>
      <c r="BW32">
        <v>61</v>
      </c>
      <c r="BX32">
        <v>0</v>
      </c>
      <c r="BY32">
        <v>0</v>
      </c>
      <c r="BZ32">
        <v>80</v>
      </c>
      <c r="CA32">
        <v>151</v>
      </c>
      <c r="CB32">
        <v>0</v>
      </c>
      <c r="CC32">
        <v>0</v>
      </c>
      <c r="CD32">
        <v>0</v>
      </c>
      <c r="CE32">
        <v>17</v>
      </c>
      <c r="CF32">
        <v>38.816000000000003</v>
      </c>
      <c r="CG32">
        <v>0</v>
      </c>
      <c r="CH32">
        <v>11.933</v>
      </c>
      <c r="CI32">
        <v>1</v>
      </c>
      <c r="CJ32">
        <v>2</v>
      </c>
      <c r="CK32">
        <v>0</v>
      </c>
      <c r="CL32">
        <v>11.933</v>
      </c>
      <c r="CM32">
        <v>2.722</v>
      </c>
      <c r="CN32">
        <v>0</v>
      </c>
      <c r="CO32">
        <v>0</v>
      </c>
      <c r="CP32">
        <v>0</v>
      </c>
      <c r="CQ32">
        <v>0</v>
      </c>
      <c r="CR32">
        <v>0</v>
      </c>
      <c r="CS32">
        <v>0</v>
      </c>
      <c r="CT32">
        <v>0</v>
      </c>
      <c r="CU32">
        <v>1.9770000000000001</v>
      </c>
      <c r="CV32">
        <v>12.336</v>
      </c>
      <c r="CW32">
        <v>12.736000000000001</v>
      </c>
      <c r="CX32">
        <v>0</v>
      </c>
      <c r="CY32" s="2043">
        <v>0</v>
      </c>
      <c r="CZ32" s="2043">
        <v>0</v>
      </c>
      <c r="DA32" s="2043">
        <v>0</v>
      </c>
      <c r="DB32" s="2043">
        <v>0</v>
      </c>
      <c r="DC32" s="2043">
        <v>0</v>
      </c>
      <c r="DI32" t="s">
        <v>5751</v>
      </c>
      <c r="DJ32" t="s">
        <v>5751</v>
      </c>
      <c r="DK32" s="2042">
        <f t="shared" si="2"/>
        <v>0</v>
      </c>
    </row>
    <row r="33" spans="1:115">
      <c r="A33" t="s">
        <v>2861</v>
      </c>
      <c r="B33" t="s">
        <v>1839</v>
      </c>
      <c r="C33">
        <v>2128.3330000000001</v>
      </c>
      <c r="D33">
        <v>2057.8119999999999</v>
      </c>
      <c r="E33">
        <v>105.64700000000001</v>
      </c>
      <c r="F33">
        <v>0</v>
      </c>
      <c r="G33" s="2043">
        <v>2070325014</v>
      </c>
      <c r="H33">
        <v>0</v>
      </c>
      <c r="I33" s="2043">
        <v>1590100</v>
      </c>
      <c r="J33">
        <v>106.417</v>
      </c>
      <c r="K33">
        <v>291</v>
      </c>
      <c r="L33">
        <v>0</v>
      </c>
      <c r="M33">
        <v>691574</v>
      </c>
      <c r="N33">
        <v>0</v>
      </c>
      <c r="O33">
        <v>691574</v>
      </c>
      <c r="P33">
        <v>0</v>
      </c>
      <c r="Q33">
        <v>0</v>
      </c>
      <c r="R33" s="2043">
        <v>15305521</v>
      </c>
      <c r="S33">
        <v>930993</v>
      </c>
      <c r="T33">
        <v>0</v>
      </c>
      <c r="U33">
        <v>0.05</v>
      </c>
      <c r="V33">
        <v>0</v>
      </c>
      <c r="W33">
        <v>0</v>
      </c>
      <c r="X33">
        <v>0</v>
      </c>
      <c r="Y33">
        <v>1016422</v>
      </c>
      <c r="Z33">
        <v>0</v>
      </c>
      <c r="AA33">
        <v>2.4E-2</v>
      </c>
      <c r="AB33">
        <v>2057.8119999999999</v>
      </c>
      <c r="AC33" s="2043">
        <v>1662686125</v>
      </c>
      <c r="AD33">
        <v>2316342</v>
      </c>
      <c r="AE33" s="2043">
        <v>16236514</v>
      </c>
      <c r="AF33">
        <v>0.872</v>
      </c>
      <c r="AG33">
        <v>0</v>
      </c>
      <c r="AH33">
        <v>0</v>
      </c>
      <c r="AI33">
        <v>0</v>
      </c>
      <c r="AJ33">
        <v>258.375</v>
      </c>
      <c r="AK33">
        <v>9819</v>
      </c>
      <c r="AL33">
        <v>0</v>
      </c>
      <c r="AM33">
        <v>0</v>
      </c>
      <c r="AN33">
        <v>87.77600000000001</v>
      </c>
      <c r="AO33">
        <v>0</v>
      </c>
      <c r="AP33">
        <v>0</v>
      </c>
      <c r="AQ33">
        <v>0</v>
      </c>
      <c r="AR33">
        <v>62.577000000000005</v>
      </c>
      <c r="AS33">
        <v>0</v>
      </c>
      <c r="AT33">
        <v>28.463000000000001</v>
      </c>
      <c r="AU33">
        <v>5.633</v>
      </c>
      <c r="AV33">
        <v>0</v>
      </c>
      <c r="AW33">
        <v>96.673000000000002</v>
      </c>
      <c r="AX33">
        <v>0</v>
      </c>
      <c r="AY33">
        <v>301.28500000000003</v>
      </c>
      <c r="AZ33">
        <v>0</v>
      </c>
      <c r="BA33">
        <v>3761990</v>
      </c>
      <c r="BB33">
        <v>18552856</v>
      </c>
      <c r="BC33">
        <v>0</v>
      </c>
      <c r="BD33">
        <v>265802</v>
      </c>
      <c r="BE33">
        <v>95313</v>
      </c>
      <c r="BF33">
        <v>368210</v>
      </c>
      <c r="BG33">
        <v>265802</v>
      </c>
      <c r="BH33">
        <v>7095</v>
      </c>
      <c r="BI33">
        <v>0</v>
      </c>
      <c r="BJ33">
        <v>0</v>
      </c>
      <c r="BK33">
        <v>0</v>
      </c>
      <c r="BL33">
        <v>2070325014</v>
      </c>
      <c r="BM33">
        <v>0</v>
      </c>
      <c r="BN33">
        <v>7380</v>
      </c>
      <c r="BO33">
        <v>3146</v>
      </c>
      <c r="BP33">
        <v>266094</v>
      </c>
      <c r="BQ33">
        <v>45000</v>
      </c>
      <c r="BR33">
        <v>0.82200000000000006</v>
      </c>
      <c r="BS33">
        <v>0.82200000000000006</v>
      </c>
      <c r="BT33">
        <v>584090</v>
      </c>
      <c r="BU33">
        <v>0</v>
      </c>
      <c r="BV33">
        <v>619</v>
      </c>
      <c r="BW33">
        <v>321</v>
      </c>
      <c r="BX33">
        <v>1</v>
      </c>
      <c r="BY33">
        <v>155</v>
      </c>
      <c r="BZ33">
        <v>7</v>
      </c>
      <c r="CA33">
        <v>1103</v>
      </c>
      <c r="CB33">
        <v>0</v>
      </c>
      <c r="CC33">
        <v>0</v>
      </c>
      <c r="CD33">
        <v>0</v>
      </c>
      <c r="CE33">
        <v>163</v>
      </c>
      <c r="CF33">
        <v>358.30600000000004</v>
      </c>
      <c r="CG33">
        <v>0</v>
      </c>
      <c r="CH33">
        <v>0</v>
      </c>
      <c r="CI33">
        <v>8</v>
      </c>
      <c r="CJ33">
        <v>18</v>
      </c>
      <c r="CK33">
        <v>0</v>
      </c>
      <c r="CL33">
        <v>0</v>
      </c>
      <c r="CM33">
        <v>105.64700000000001</v>
      </c>
      <c r="CN33">
        <v>20748</v>
      </c>
      <c r="CO33">
        <v>203806</v>
      </c>
      <c r="CP33">
        <v>29040</v>
      </c>
      <c r="CQ33">
        <v>12500</v>
      </c>
      <c r="CR33">
        <v>0</v>
      </c>
      <c r="CS33">
        <v>0</v>
      </c>
      <c r="CT33">
        <v>0</v>
      </c>
      <c r="CU33">
        <v>3.2470000000000003</v>
      </c>
      <c r="CV33">
        <v>108.05500000000001</v>
      </c>
      <c r="CW33">
        <v>36.373000000000005</v>
      </c>
      <c r="CX33">
        <v>584090</v>
      </c>
      <c r="CY33" s="2043">
        <v>432332</v>
      </c>
      <c r="CZ33" s="2043">
        <v>0</v>
      </c>
      <c r="DA33" s="2043">
        <v>0</v>
      </c>
      <c r="DB33" s="2043">
        <v>0</v>
      </c>
      <c r="DC33" s="2043">
        <v>499158</v>
      </c>
      <c r="DI33" t="s">
        <v>2861</v>
      </c>
      <c r="DJ33" t="s">
        <v>2861</v>
      </c>
      <c r="DK33" s="2042">
        <f t="shared" si="2"/>
        <v>0</v>
      </c>
    </row>
    <row r="34" spans="1:115">
      <c r="A34" t="s">
        <v>2863</v>
      </c>
      <c r="B34" t="s">
        <v>728</v>
      </c>
      <c r="C34">
        <v>4558.5520000000006</v>
      </c>
      <c r="D34">
        <v>4265.1840000000002</v>
      </c>
      <c r="E34">
        <v>1195.6100000000001</v>
      </c>
      <c r="F34">
        <v>0</v>
      </c>
      <c r="G34" s="2043">
        <v>1954653551</v>
      </c>
      <c r="H34">
        <v>0</v>
      </c>
      <c r="I34" s="2043">
        <v>6005188</v>
      </c>
      <c r="J34">
        <v>227.928</v>
      </c>
      <c r="K34">
        <v>623</v>
      </c>
      <c r="L34">
        <v>0</v>
      </c>
      <c r="M34">
        <v>1542228</v>
      </c>
      <c r="N34">
        <v>0</v>
      </c>
      <c r="O34">
        <v>1542228</v>
      </c>
      <c r="P34">
        <v>0</v>
      </c>
      <c r="Q34">
        <v>0</v>
      </c>
      <c r="R34" s="2043">
        <v>15761764</v>
      </c>
      <c r="S34">
        <v>1533992</v>
      </c>
      <c r="T34">
        <v>1117896</v>
      </c>
      <c r="U34">
        <v>0.08</v>
      </c>
      <c r="V34">
        <v>0</v>
      </c>
      <c r="W34">
        <v>0</v>
      </c>
      <c r="X34">
        <v>0</v>
      </c>
      <c r="Y34">
        <v>0</v>
      </c>
      <c r="Z34">
        <v>0</v>
      </c>
      <c r="AA34">
        <v>0.22</v>
      </c>
      <c r="AB34">
        <v>4235.6400000000003</v>
      </c>
      <c r="AC34" s="2043">
        <v>1403034369</v>
      </c>
      <c r="AD34">
        <v>9151554</v>
      </c>
      <c r="AE34" s="2043">
        <v>18413652</v>
      </c>
      <c r="AF34">
        <v>0.96030000000000004</v>
      </c>
      <c r="AG34">
        <v>0</v>
      </c>
      <c r="AH34">
        <v>0</v>
      </c>
      <c r="AI34">
        <v>0</v>
      </c>
      <c r="AJ34">
        <v>828.66300000000001</v>
      </c>
      <c r="AK34">
        <v>14744</v>
      </c>
      <c r="AL34">
        <v>1.5000000000000001E-2</v>
      </c>
      <c r="AM34">
        <v>0</v>
      </c>
      <c r="AN34">
        <v>247.15600000000001</v>
      </c>
      <c r="AO34">
        <v>0</v>
      </c>
      <c r="AP34">
        <v>3.496</v>
      </c>
      <c r="AQ34">
        <v>0</v>
      </c>
      <c r="AR34">
        <v>57.682000000000002</v>
      </c>
      <c r="AS34">
        <v>0</v>
      </c>
      <c r="AT34">
        <v>37.725000000000001</v>
      </c>
      <c r="AU34">
        <v>11.281000000000001</v>
      </c>
      <c r="AV34">
        <v>0</v>
      </c>
      <c r="AW34">
        <v>110.19900000000001</v>
      </c>
      <c r="AX34">
        <v>0</v>
      </c>
      <c r="AY34">
        <v>352.14</v>
      </c>
      <c r="AZ34">
        <v>0</v>
      </c>
      <c r="BA34">
        <v>30699671</v>
      </c>
      <c r="BB34">
        <v>27565206</v>
      </c>
      <c r="BC34">
        <v>0</v>
      </c>
      <c r="BD34">
        <v>376345</v>
      </c>
      <c r="BE34">
        <v>113203</v>
      </c>
      <c r="BF34">
        <v>558528</v>
      </c>
      <c r="BG34">
        <v>376345</v>
      </c>
      <c r="BH34">
        <v>68980</v>
      </c>
      <c r="BI34">
        <v>0</v>
      </c>
      <c r="BJ34">
        <v>0</v>
      </c>
      <c r="BK34">
        <v>0</v>
      </c>
      <c r="BL34">
        <v>1954653551</v>
      </c>
      <c r="BM34">
        <v>0</v>
      </c>
      <c r="BN34">
        <v>16065</v>
      </c>
      <c r="BO34">
        <v>10764</v>
      </c>
      <c r="BP34">
        <v>0</v>
      </c>
      <c r="BQ34">
        <v>137500</v>
      </c>
      <c r="BR34">
        <v>0.82200000000000006</v>
      </c>
      <c r="BS34">
        <v>0.82200000000000006</v>
      </c>
      <c r="BT34">
        <v>0</v>
      </c>
      <c r="BU34">
        <v>0</v>
      </c>
      <c r="BV34">
        <v>2095</v>
      </c>
      <c r="BW34">
        <v>759</v>
      </c>
      <c r="BX34">
        <v>385</v>
      </c>
      <c r="BY34">
        <v>182</v>
      </c>
      <c r="BZ34">
        <v>120</v>
      </c>
      <c r="CA34">
        <v>3541</v>
      </c>
      <c r="CB34">
        <v>0</v>
      </c>
      <c r="CC34">
        <v>691.06100000000004</v>
      </c>
      <c r="CD34">
        <v>92.83</v>
      </c>
      <c r="CE34">
        <v>306</v>
      </c>
      <c r="CF34">
        <v>1673.586</v>
      </c>
      <c r="CG34">
        <v>28.427</v>
      </c>
      <c r="CH34">
        <v>0</v>
      </c>
      <c r="CI34">
        <v>45</v>
      </c>
      <c r="CJ34">
        <v>43</v>
      </c>
      <c r="CK34">
        <v>0</v>
      </c>
      <c r="CL34">
        <v>28.427</v>
      </c>
      <c r="CM34">
        <v>1195.6100000000001</v>
      </c>
      <c r="CN34">
        <v>0</v>
      </c>
      <c r="CO34">
        <v>0</v>
      </c>
      <c r="CP34">
        <v>0</v>
      </c>
      <c r="CQ34">
        <v>0</v>
      </c>
      <c r="CR34">
        <v>0</v>
      </c>
      <c r="CS34">
        <v>38.868000000000002</v>
      </c>
      <c r="CT34">
        <v>0</v>
      </c>
      <c r="CU34">
        <v>0.183</v>
      </c>
      <c r="CV34">
        <v>186.268</v>
      </c>
      <c r="CW34">
        <v>184.161</v>
      </c>
      <c r="CX34">
        <v>0</v>
      </c>
      <c r="CY34" s="2043">
        <v>0</v>
      </c>
      <c r="CZ34" s="2043">
        <v>0</v>
      </c>
      <c r="DA34" s="2043">
        <v>0</v>
      </c>
      <c r="DB34" s="2043">
        <v>0</v>
      </c>
      <c r="DC34" s="2043">
        <v>0</v>
      </c>
      <c r="DI34" t="s">
        <v>2862</v>
      </c>
      <c r="DJ34" t="s">
        <v>2863</v>
      </c>
      <c r="DK34" s="2042">
        <f t="shared" si="2"/>
        <v>-1</v>
      </c>
    </row>
    <row r="35" spans="1:115">
      <c r="A35" t="s">
        <v>2862</v>
      </c>
      <c r="B35" t="s">
        <v>1589</v>
      </c>
      <c r="C35">
        <v>10795.097</v>
      </c>
      <c r="D35">
        <v>10727.359</v>
      </c>
      <c r="E35">
        <v>3883.5810000000001</v>
      </c>
      <c r="F35">
        <v>0</v>
      </c>
      <c r="G35" s="2043">
        <v>5520798596</v>
      </c>
      <c r="H35">
        <v>0</v>
      </c>
      <c r="I35" s="2043">
        <v>11875217</v>
      </c>
      <c r="J35">
        <v>539.755</v>
      </c>
      <c r="K35">
        <v>1476</v>
      </c>
      <c r="L35">
        <v>0</v>
      </c>
      <c r="M35">
        <v>5470650</v>
      </c>
      <c r="N35">
        <v>0</v>
      </c>
      <c r="O35">
        <v>5470650</v>
      </c>
      <c r="P35">
        <v>0</v>
      </c>
      <c r="Q35">
        <v>0</v>
      </c>
      <c r="R35" s="2043">
        <v>44905497</v>
      </c>
      <c r="S35">
        <v>2731478</v>
      </c>
      <c r="T35">
        <v>0</v>
      </c>
      <c r="U35">
        <v>0.05</v>
      </c>
      <c r="V35">
        <v>0</v>
      </c>
      <c r="W35">
        <v>0</v>
      </c>
      <c r="X35">
        <v>0</v>
      </c>
      <c r="Y35">
        <v>-27196</v>
      </c>
      <c r="Z35">
        <v>4.6749999999999998</v>
      </c>
      <c r="AA35">
        <v>1.0820000000000001</v>
      </c>
      <c r="AB35">
        <v>10257.550000000001</v>
      </c>
      <c r="AC35" s="2043">
        <v>4115401077</v>
      </c>
      <c r="AD35">
        <v>21840628</v>
      </c>
      <c r="AE35" s="2043">
        <v>47636975</v>
      </c>
      <c r="AF35">
        <v>0.872</v>
      </c>
      <c r="AG35">
        <v>0</v>
      </c>
      <c r="AH35">
        <v>0</v>
      </c>
      <c r="AI35">
        <v>0</v>
      </c>
      <c r="AJ35">
        <v>2009.55</v>
      </c>
      <c r="AK35">
        <v>34582</v>
      </c>
      <c r="AL35">
        <v>0.747</v>
      </c>
      <c r="AM35">
        <v>0</v>
      </c>
      <c r="AN35">
        <v>411.584</v>
      </c>
      <c r="AO35">
        <v>1.3</v>
      </c>
      <c r="AP35">
        <v>0</v>
      </c>
      <c r="AQ35">
        <v>0</v>
      </c>
      <c r="AR35">
        <v>256.96300000000002</v>
      </c>
      <c r="AS35">
        <v>0</v>
      </c>
      <c r="AT35">
        <v>48.448</v>
      </c>
      <c r="AU35">
        <v>21.462</v>
      </c>
      <c r="AV35">
        <v>0</v>
      </c>
      <c r="AW35">
        <v>338.12600000000003</v>
      </c>
      <c r="AX35">
        <v>10.506</v>
      </c>
      <c r="AY35">
        <v>1051.442</v>
      </c>
      <c r="AZ35">
        <v>0</v>
      </c>
      <c r="BA35">
        <v>56510910</v>
      </c>
      <c r="BB35">
        <v>69477603</v>
      </c>
      <c r="BC35">
        <v>0</v>
      </c>
      <c r="BD35">
        <v>1560959</v>
      </c>
      <c r="BE35">
        <v>541684</v>
      </c>
      <c r="BF35">
        <v>2102643</v>
      </c>
      <c r="BG35">
        <v>1560959</v>
      </c>
      <c r="BH35">
        <v>0</v>
      </c>
      <c r="BI35">
        <v>0</v>
      </c>
      <c r="BJ35">
        <v>-27196</v>
      </c>
      <c r="BK35">
        <v>0</v>
      </c>
      <c r="BL35">
        <v>5520798596</v>
      </c>
      <c r="BM35">
        <v>0</v>
      </c>
      <c r="BN35">
        <v>40959</v>
      </c>
      <c r="BO35">
        <v>21026</v>
      </c>
      <c r="BP35">
        <v>0</v>
      </c>
      <c r="BQ35">
        <v>0</v>
      </c>
      <c r="BR35">
        <v>0.82200000000000006</v>
      </c>
      <c r="BS35">
        <v>0.82200000000000006</v>
      </c>
      <c r="BT35">
        <v>0</v>
      </c>
      <c r="BU35">
        <v>0</v>
      </c>
      <c r="BV35">
        <v>2130</v>
      </c>
      <c r="BW35">
        <v>3774</v>
      </c>
      <c r="BX35">
        <v>1954</v>
      </c>
      <c r="BY35">
        <v>0</v>
      </c>
      <c r="BZ35">
        <v>529</v>
      </c>
      <c r="CA35">
        <v>8387</v>
      </c>
      <c r="CB35">
        <v>0</v>
      </c>
      <c r="CC35">
        <v>40.731999999999999</v>
      </c>
      <c r="CD35">
        <v>0</v>
      </c>
      <c r="CE35">
        <v>1234</v>
      </c>
      <c r="CF35">
        <v>3511.9550000000004</v>
      </c>
      <c r="CG35">
        <v>47.506</v>
      </c>
      <c r="CH35">
        <v>0</v>
      </c>
      <c r="CI35">
        <v>25</v>
      </c>
      <c r="CJ35">
        <v>54</v>
      </c>
      <c r="CK35">
        <v>1</v>
      </c>
      <c r="CL35">
        <v>47.506</v>
      </c>
      <c r="CM35">
        <v>3883.5810000000001</v>
      </c>
      <c r="CN35">
        <v>0</v>
      </c>
      <c r="CO35">
        <v>0</v>
      </c>
      <c r="CP35">
        <v>0</v>
      </c>
      <c r="CQ35">
        <v>0</v>
      </c>
      <c r="CR35">
        <v>0</v>
      </c>
      <c r="CS35">
        <v>0</v>
      </c>
      <c r="CT35">
        <v>0</v>
      </c>
      <c r="CU35">
        <v>22.041</v>
      </c>
      <c r="CV35">
        <v>311.63400000000001</v>
      </c>
      <c r="CW35">
        <v>274.90199999999999</v>
      </c>
      <c r="CX35">
        <v>0</v>
      </c>
      <c r="CY35" s="2043">
        <v>0</v>
      </c>
      <c r="CZ35" s="2043">
        <v>0</v>
      </c>
      <c r="DA35" s="2043">
        <v>0</v>
      </c>
      <c r="DB35" s="2043">
        <v>0</v>
      </c>
      <c r="DC35" s="2043">
        <v>0</v>
      </c>
      <c r="DI35" t="s">
        <v>2863</v>
      </c>
      <c r="DJ35" t="s">
        <v>2862</v>
      </c>
      <c r="DK35" s="2042">
        <f t="shared" si="2"/>
        <v>1</v>
      </c>
    </row>
    <row r="36" spans="1:115">
      <c r="A36" t="s">
        <v>2864</v>
      </c>
      <c r="B36" t="s">
        <v>2233</v>
      </c>
      <c r="C36">
        <v>1658.1110000000001</v>
      </c>
      <c r="D36">
        <v>1743.287</v>
      </c>
      <c r="E36">
        <v>133.45400000000001</v>
      </c>
      <c r="F36">
        <v>0</v>
      </c>
      <c r="G36" s="2043">
        <v>1119973017</v>
      </c>
      <c r="H36">
        <v>0</v>
      </c>
      <c r="I36" s="2043">
        <v>2622600</v>
      </c>
      <c r="J36">
        <v>82.906000000000006</v>
      </c>
      <c r="K36">
        <v>227</v>
      </c>
      <c r="L36">
        <v>0</v>
      </c>
      <c r="M36">
        <v>449656</v>
      </c>
      <c r="N36">
        <v>0</v>
      </c>
      <c r="O36">
        <v>449656</v>
      </c>
      <c r="P36">
        <v>0</v>
      </c>
      <c r="Q36">
        <v>0</v>
      </c>
      <c r="R36" s="2043">
        <v>9028581</v>
      </c>
      <c r="S36">
        <v>878694</v>
      </c>
      <c r="T36">
        <v>640348</v>
      </c>
      <c r="U36">
        <v>0.08</v>
      </c>
      <c r="V36">
        <v>0</v>
      </c>
      <c r="W36">
        <v>0</v>
      </c>
      <c r="X36">
        <v>0</v>
      </c>
      <c r="Y36">
        <v>370082</v>
      </c>
      <c r="Z36">
        <v>0</v>
      </c>
      <c r="AA36">
        <v>0</v>
      </c>
      <c r="AB36">
        <v>1625.49</v>
      </c>
      <c r="AC36" s="2043">
        <v>872402421</v>
      </c>
      <c r="AD36">
        <v>2634205</v>
      </c>
      <c r="AE36" s="2043">
        <v>10547623</v>
      </c>
      <c r="AF36">
        <v>0.96030000000000004</v>
      </c>
      <c r="AG36">
        <v>0</v>
      </c>
      <c r="AH36">
        <v>0</v>
      </c>
      <c r="AI36">
        <v>0</v>
      </c>
      <c r="AJ36">
        <v>194.53800000000001</v>
      </c>
      <c r="AK36">
        <v>6685</v>
      </c>
      <c r="AL36">
        <v>4.7E-2</v>
      </c>
      <c r="AM36">
        <v>0</v>
      </c>
      <c r="AN36">
        <v>39.623000000000005</v>
      </c>
      <c r="AO36">
        <v>0</v>
      </c>
      <c r="AP36">
        <v>0.29500000000000004</v>
      </c>
      <c r="AQ36">
        <v>0</v>
      </c>
      <c r="AR36">
        <v>54.175000000000004</v>
      </c>
      <c r="AS36">
        <v>0</v>
      </c>
      <c r="AT36">
        <v>10.009</v>
      </c>
      <c r="AU36">
        <v>3.31</v>
      </c>
      <c r="AV36">
        <v>0</v>
      </c>
      <c r="AW36">
        <v>74.673000000000002</v>
      </c>
      <c r="AX36">
        <v>6.8370000000000006</v>
      </c>
      <c r="AY36">
        <v>225.85900000000001</v>
      </c>
      <c r="AZ36">
        <v>0</v>
      </c>
      <c r="BA36">
        <v>6662578</v>
      </c>
      <c r="BB36">
        <v>13181828</v>
      </c>
      <c r="BC36">
        <v>0</v>
      </c>
      <c r="BD36">
        <v>212963</v>
      </c>
      <c r="BE36">
        <v>69535</v>
      </c>
      <c r="BF36">
        <v>295271</v>
      </c>
      <c r="BG36">
        <v>212963</v>
      </c>
      <c r="BH36">
        <v>12773</v>
      </c>
      <c r="BI36">
        <v>0</v>
      </c>
      <c r="BJ36">
        <v>0</v>
      </c>
      <c r="BK36">
        <v>0</v>
      </c>
      <c r="BL36">
        <v>1119973017</v>
      </c>
      <c r="BM36">
        <v>0</v>
      </c>
      <c r="BN36">
        <v>6498</v>
      </c>
      <c r="BO36">
        <v>3927</v>
      </c>
      <c r="BP36">
        <v>0</v>
      </c>
      <c r="BQ36">
        <v>0</v>
      </c>
      <c r="BR36">
        <v>0.82200000000000006</v>
      </c>
      <c r="BS36">
        <v>0.82200000000000006</v>
      </c>
      <c r="BT36">
        <v>370082</v>
      </c>
      <c r="BU36">
        <v>0</v>
      </c>
      <c r="BV36">
        <v>220</v>
      </c>
      <c r="BW36">
        <v>297</v>
      </c>
      <c r="BX36">
        <v>265</v>
      </c>
      <c r="BY36">
        <v>0</v>
      </c>
      <c r="BZ36">
        <v>30</v>
      </c>
      <c r="CA36">
        <v>812</v>
      </c>
      <c r="CB36">
        <v>0</v>
      </c>
      <c r="CC36">
        <v>0</v>
      </c>
      <c r="CD36">
        <v>0</v>
      </c>
      <c r="CE36">
        <v>116</v>
      </c>
      <c r="CF36">
        <v>278.67099999999999</v>
      </c>
      <c r="CG36">
        <v>0</v>
      </c>
      <c r="CH36">
        <v>0</v>
      </c>
      <c r="CI36">
        <v>7</v>
      </c>
      <c r="CJ36">
        <v>8</v>
      </c>
      <c r="CK36">
        <v>0</v>
      </c>
      <c r="CL36">
        <v>0</v>
      </c>
      <c r="CM36">
        <v>133.45400000000001</v>
      </c>
      <c r="CN36">
        <v>0</v>
      </c>
      <c r="CO36">
        <v>0</v>
      </c>
      <c r="CP36">
        <v>0</v>
      </c>
      <c r="CQ36">
        <v>0</v>
      </c>
      <c r="CR36">
        <v>0</v>
      </c>
      <c r="CS36">
        <v>0</v>
      </c>
      <c r="CT36">
        <v>0</v>
      </c>
      <c r="CU36">
        <v>0</v>
      </c>
      <c r="CV36">
        <v>53.775000000000006</v>
      </c>
      <c r="CW36">
        <v>30.283000000000001</v>
      </c>
      <c r="CX36">
        <v>370082</v>
      </c>
      <c r="CY36" s="2043">
        <v>0</v>
      </c>
      <c r="CZ36" s="2043">
        <v>0</v>
      </c>
      <c r="DA36" s="2043">
        <v>0</v>
      </c>
      <c r="DB36" s="2043">
        <v>0</v>
      </c>
      <c r="DC36" s="2043">
        <v>0</v>
      </c>
      <c r="DI36" t="s">
        <v>2864</v>
      </c>
      <c r="DJ36" t="s">
        <v>2864</v>
      </c>
      <c r="DK36" s="2042">
        <f t="shared" si="2"/>
        <v>0</v>
      </c>
    </row>
    <row r="37" spans="1:115">
      <c r="A37" t="s">
        <v>2865</v>
      </c>
      <c r="B37" t="s">
        <v>2015</v>
      </c>
      <c r="C37">
        <v>303.81100000000004</v>
      </c>
      <c r="D37">
        <v>353.55500000000001</v>
      </c>
      <c r="E37">
        <v>68.682000000000002</v>
      </c>
      <c r="F37">
        <v>0</v>
      </c>
      <c r="G37" s="2043">
        <v>148436686</v>
      </c>
      <c r="H37">
        <v>0</v>
      </c>
      <c r="I37" s="2043">
        <v>81407</v>
      </c>
      <c r="J37">
        <v>15.191000000000001</v>
      </c>
      <c r="K37">
        <v>42</v>
      </c>
      <c r="L37">
        <v>0</v>
      </c>
      <c r="M37">
        <v>81407</v>
      </c>
      <c r="N37">
        <v>0</v>
      </c>
      <c r="O37">
        <v>81407</v>
      </c>
      <c r="P37">
        <v>0</v>
      </c>
      <c r="Q37">
        <v>0</v>
      </c>
      <c r="R37" s="2043">
        <v>1202368</v>
      </c>
      <c r="S37">
        <v>73137</v>
      </c>
      <c r="T37">
        <v>0</v>
      </c>
      <c r="U37">
        <v>0.05</v>
      </c>
      <c r="V37">
        <v>0</v>
      </c>
      <c r="W37">
        <v>0</v>
      </c>
      <c r="X37">
        <v>0</v>
      </c>
      <c r="Y37">
        <v>0</v>
      </c>
      <c r="Z37">
        <v>5.6440000000000001</v>
      </c>
      <c r="AA37">
        <v>0</v>
      </c>
      <c r="AB37">
        <v>323.10500000000002</v>
      </c>
      <c r="AC37" s="2043">
        <v>113858566</v>
      </c>
      <c r="AD37">
        <v>96501</v>
      </c>
      <c r="AE37" s="2043">
        <v>1275505</v>
      </c>
      <c r="AF37">
        <v>0.872</v>
      </c>
      <c r="AG37">
        <v>0</v>
      </c>
      <c r="AH37">
        <v>0</v>
      </c>
      <c r="AI37">
        <v>0</v>
      </c>
      <c r="AJ37">
        <v>43.25</v>
      </c>
      <c r="AK37">
        <v>1840</v>
      </c>
      <c r="AL37">
        <v>0</v>
      </c>
      <c r="AM37">
        <v>0</v>
      </c>
      <c r="AN37">
        <v>24.005000000000003</v>
      </c>
      <c r="AO37">
        <v>0</v>
      </c>
      <c r="AP37">
        <v>0</v>
      </c>
      <c r="AQ37">
        <v>0</v>
      </c>
      <c r="AR37">
        <v>6.8260000000000005</v>
      </c>
      <c r="AS37">
        <v>0</v>
      </c>
      <c r="AT37">
        <v>0.77200000000000002</v>
      </c>
      <c r="AU37">
        <v>0.55400000000000005</v>
      </c>
      <c r="AV37">
        <v>0</v>
      </c>
      <c r="AW37">
        <v>8.152000000000001</v>
      </c>
      <c r="AX37">
        <v>0</v>
      </c>
      <c r="AY37">
        <v>25.564</v>
      </c>
      <c r="AZ37">
        <v>0</v>
      </c>
      <c r="BA37">
        <v>2770838</v>
      </c>
      <c r="BB37">
        <v>1372006</v>
      </c>
      <c r="BC37">
        <v>0</v>
      </c>
      <c r="BD37">
        <v>15148</v>
      </c>
      <c r="BE37">
        <v>0</v>
      </c>
      <c r="BF37">
        <v>15148</v>
      </c>
      <c r="BG37">
        <v>15148</v>
      </c>
      <c r="BH37">
        <v>0</v>
      </c>
      <c r="BI37">
        <v>0</v>
      </c>
      <c r="BJ37">
        <v>0</v>
      </c>
      <c r="BK37">
        <v>0</v>
      </c>
      <c r="BL37">
        <v>148436686</v>
      </c>
      <c r="BM37">
        <v>0</v>
      </c>
      <c r="BN37">
        <v>819</v>
      </c>
      <c r="BO37">
        <v>364</v>
      </c>
      <c r="BP37">
        <v>0</v>
      </c>
      <c r="BQ37">
        <v>0</v>
      </c>
      <c r="BR37">
        <v>0.82200000000000006</v>
      </c>
      <c r="BS37">
        <v>0.82200000000000006</v>
      </c>
      <c r="BT37">
        <v>0</v>
      </c>
      <c r="BU37">
        <v>0</v>
      </c>
      <c r="BV37">
        <v>62</v>
      </c>
      <c r="BW37">
        <v>113</v>
      </c>
      <c r="BX37">
        <v>0</v>
      </c>
      <c r="BY37">
        <v>1</v>
      </c>
      <c r="BZ37">
        <v>8</v>
      </c>
      <c r="CA37">
        <v>184</v>
      </c>
      <c r="CB37">
        <v>0</v>
      </c>
      <c r="CC37">
        <v>0</v>
      </c>
      <c r="CD37">
        <v>0</v>
      </c>
      <c r="CE37">
        <v>32</v>
      </c>
      <c r="CF37">
        <v>87.397000000000006</v>
      </c>
      <c r="CG37">
        <v>0</v>
      </c>
      <c r="CH37">
        <v>0</v>
      </c>
      <c r="CI37">
        <v>1</v>
      </c>
      <c r="CJ37">
        <v>1</v>
      </c>
      <c r="CK37">
        <v>0</v>
      </c>
      <c r="CL37">
        <v>0</v>
      </c>
      <c r="CM37">
        <v>68.682000000000002</v>
      </c>
      <c r="CN37">
        <v>0</v>
      </c>
      <c r="CO37">
        <v>0</v>
      </c>
      <c r="CP37">
        <v>0</v>
      </c>
      <c r="CQ37">
        <v>0</v>
      </c>
      <c r="CR37">
        <v>0</v>
      </c>
      <c r="CS37">
        <v>0</v>
      </c>
      <c r="CT37">
        <v>0</v>
      </c>
      <c r="CU37">
        <v>0.82800000000000007</v>
      </c>
      <c r="CV37">
        <v>13.656000000000001</v>
      </c>
      <c r="CW37">
        <v>1.3720000000000001</v>
      </c>
      <c r="CX37">
        <v>0</v>
      </c>
      <c r="CY37" s="2043">
        <v>0</v>
      </c>
      <c r="CZ37" s="2043">
        <v>0</v>
      </c>
      <c r="DA37" s="2043">
        <v>0</v>
      </c>
      <c r="DB37" s="2043">
        <v>0</v>
      </c>
      <c r="DC37" s="2043">
        <v>0</v>
      </c>
      <c r="DI37" t="s">
        <v>2865</v>
      </c>
      <c r="DJ37" t="s">
        <v>2865</v>
      </c>
      <c r="DK37" s="2042">
        <f t="shared" si="2"/>
        <v>0</v>
      </c>
    </row>
    <row r="38" spans="1:115">
      <c r="A38" t="s">
        <v>7919</v>
      </c>
      <c r="B38" t="s">
        <v>11229</v>
      </c>
      <c r="C38">
        <v>377.76100000000002</v>
      </c>
      <c r="D38">
        <v>394.36500000000001</v>
      </c>
      <c r="E38">
        <v>4.7970000000000006</v>
      </c>
      <c r="F38">
        <v>0</v>
      </c>
      <c r="G38" s="2043">
        <v>0</v>
      </c>
      <c r="H38">
        <v>0</v>
      </c>
      <c r="I38" s="2043">
        <v>0</v>
      </c>
      <c r="J38">
        <v>18.888000000000002</v>
      </c>
      <c r="K38">
        <v>52</v>
      </c>
      <c r="L38">
        <v>0</v>
      </c>
      <c r="M38">
        <v>0</v>
      </c>
      <c r="N38">
        <v>0</v>
      </c>
      <c r="O38">
        <v>0</v>
      </c>
      <c r="P38">
        <v>0</v>
      </c>
      <c r="Q38">
        <v>0</v>
      </c>
      <c r="R38" s="2043">
        <v>0</v>
      </c>
      <c r="S38">
        <v>0</v>
      </c>
      <c r="T38">
        <v>0</v>
      </c>
      <c r="U38">
        <v>0</v>
      </c>
      <c r="V38">
        <v>0</v>
      </c>
      <c r="W38">
        <v>0</v>
      </c>
      <c r="X38">
        <v>0</v>
      </c>
      <c r="Y38">
        <v>66781</v>
      </c>
      <c r="Z38">
        <v>0</v>
      </c>
      <c r="AA38">
        <v>0</v>
      </c>
      <c r="AB38">
        <v>365.19600000000003</v>
      </c>
      <c r="AC38" s="2043">
        <v>0</v>
      </c>
      <c r="AD38">
        <v>0</v>
      </c>
      <c r="AE38" s="2043">
        <v>0</v>
      </c>
      <c r="AF38">
        <v>0</v>
      </c>
      <c r="AG38">
        <v>0</v>
      </c>
      <c r="AH38">
        <v>0</v>
      </c>
      <c r="AI38">
        <v>0</v>
      </c>
      <c r="AJ38">
        <v>82.988</v>
      </c>
      <c r="AK38">
        <v>808</v>
      </c>
      <c r="AL38">
        <v>0</v>
      </c>
      <c r="AM38">
        <v>0</v>
      </c>
      <c r="AN38">
        <v>3.7490000000000001</v>
      </c>
      <c r="AO38">
        <v>0</v>
      </c>
      <c r="AP38">
        <v>0</v>
      </c>
      <c r="AQ38">
        <v>0</v>
      </c>
      <c r="AR38">
        <v>7.7330000000000005</v>
      </c>
      <c r="AS38">
        <v>0</v>
      </c>
      <c r="AT38">
        <v>3.2000000000000001E-2</v>
      </c>
      <c r="AU38">
        <v>1.6160000000000001</v>
      </c>
      <c r="AV38">
        <v>0</v>
      </c>
      <c r="AW38">
        <v>9.3810000000000002</v>
      </c>
      <c r="AX38">
        <v>0</v>
      </c>
      <c r="AY38">
        <v>31.375</v>
      </c>
      <c r="AZ38">
        <v>0</v>
      </c>
      <c r="BA38">
        <v>4070133</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94</v>
      </c>
      <c r="BW38">
        <v>46</v>
      </c>
      <c r="BX38">
        <v>65</v>
      </c>
      <c r="BY38">
        <v>87</v>
      </c>
      <c r="BZ38">
        <v>43</v>
      </c>
      <c r="CA38">
        <v>335</v>
      </c>
      <c r="CB38">
        <v>0</v>
      </c>
      <c r="CC38">
        <v>0</v>
      </c>
      <c r="CD38">
        <v>0</v>
      </c>
      <c r="CE38">
        <v>13</v>
      </c>
      <c r="CF38">
        <v>218.393</v>
      </c>
      <c r="CG38">
        <v>0</v>
      </c>
      <c r="CH38">
        <v>0</v>
      </c>
      <c r="CI38">
        <v>0</v>
      </c>
      <c r="CJ38">
        <v>0</v>
      </c>
      <c r="CK38">
        <v>0</v>
      </c>
      <c r="CL38">
        <v>0</v>
      </c>
      <c r="CM38">
        <v>4.7970000000000006</v>
      </c>
      <c r="CN38">
        <v>0</v>
      </c>
      <c r="CO38">
        <v>0</v>
      </c>
      <c r="CP38">
        <v>0</v>
      </c>
      <c r="CQ38">
        <v>0</v>
      </c>
      <c r="CR38">
        <v>0</v>
      </c>
      <c r="CS38">
        <v>0</v>
      </c>
      <c r="CT38">
        <v>0</v>
      </c>
      <c r="CU38">
        <v>0</v>
      </c>
      <c r="CV38">
        <v>0</v>
      </c>
      <c r="CW38">
        <v>0</v>
      </c>
      <c r="CX38">
        <v>0</v>
      </c>
      <c r="CY38" s="2043">
        <v>0</v>
      </c>
      <c r="CZ38" s="2043">
        <v>0</v>
      </c>
      <c r="DA38" s="2043">
        <v>0</v>
      </c>
      <c r="DB38" s="2043">
        <v>0</v>
      </c>
      <c r="DC38" s="2043">
        <v>0</v>
      </c>
      <c r="DI38" t="s">
        <v>5752</v>
      </c>
      <c r="DJ38" t="s">
        <v>7919</v>
      </c>
      <c r="DK38" s="2042">
        <f t="shared" si="2"/>
        <v>-900</v>
      </c>
    </row>
    <row r="39" spans="1:115">
      <c r="A39" t="s">
        <v>5752</v>
      </c>
      <c r="B39" t="s">
        <v>428</v>
      </c>
      <c r="C39">
        <v>575.85</v>
      </c>
      <c r="D39">
        <v>574.81700000000001</v>
      </c>
      <c r="E39">
        <v>4.2030000000000003</v>
      </c>
      <c r="F39">
        <v>113068</v>
      </c>
      <c r="G39" s="2043">
        <v>347883089</v>
      </c>
      <c r="H39">
        <v>0</v>
      </c>
      <c r="I39" s="2043">
        <v>244550</v>
      </c>
      <c r="J39">
        <v>20</v>
      </c>
      <c r="K39">
        <v>55</v>
      </c>
      <c r="L39">
        <v>0</v>
      </c>
      <c r="M39">
        <v>0</v>
      </c>
      <c r="N39">
        <v>0</v>
      </c>
      <c r="O39">
        <v>0</v>
      </c>
      <c r="P39">
        <v>0</v>
      </c>
      <c r="Q39">
        <v>0</v>
      </c>
      <c r="R39" s="2043">
        <v>2607885</v>
      </c>
      <c r="S39">
        <v>158631</v>
      </c>
      <c r="T39">
        <v>0</v>
      </c>
      <c r="U39">
        <v>0.05</v>
      </c>
      <c r="V39">
        <v>0</v>
      </c>
      <c r="W39">
        <v>0</v>
      </c>
      <c r="X39">
        <v>0</v>
      </c>
      <c r="Y39">
        <v>113068</v>
      </c>
      <c r="Z39">
        <v>0</v>
      </c>
      <c r="AA39">
        <v>0</v>
      </c>
      <c r="AB39">
        <v>574.81700000000001</v>
      </c>
      <c r="AC39" s="2043">
        <v>209113530</v>
      </c>
      <c r="AD39">
        <v>332980</v>
      </c>
      <c r="AE39" s="2043">
        <v>2766516</v>
      </c>
      <c r="AF39">
        <v>0.872</v>
      </c>
      <c r="AG39">
        <v>0</v>
      </c>
      <c r="AH39">
        <v>0</v>
      </c>
      <c r="AI39">
        <v>0</v>
      </c>
      <c r="AJ39">
        <v>88.875</v>
      </c>
      <c r="AK39">
        <v>3232</v>
      </c>
      <c r="AL39">
        <v>0</v>
      </c>
      <c r="AM39">
        <v>0</v>
      </c>
      <c r="AN39">
        <v>27.343</v>
      </c>
      <c r="AO39">
        <v>0</v>
      </c>
      <c r="AP39">
        <v>0</v>
      </c>
      <c r="AQ39">
        <v>0</v>
      </c>
      <c r="AR39">
        <v>16.718</v>
      </c>
      <c r="AS39">
        <v>0</v>
      </c>
      <c r="AT39">
        <v>2.097</v>
      </c>
      <c r="AU39">
        <v>2.2190000000000003</v>
      </c>
      <c r="AV39">
        <v>0</v>
      </c>
      <c r="AW39">
        <v>21.034000000000002</v>
      </c>
      <c r="AX39">
        <v>0</v>
      </c>
      <c r="AY39">
        <v>67.540000000000006</v>
      </c>
      <c r="AZ39">
        <v>0</v>
      </c>
      <c r="BA39">
        <v>4360812</v>
      </c>
      <c r="BB39">
        <v>3099496</v>
      </c>
      <c r="BC39">
        <v>0</v>
      </c>
      <c r="BD39">
        <v>70829</v>
      </c>
      <c r="BE39">
        <v>0</v>
      </c>
      <c r="BF39">
        <v>70829</v>
      </c>
      <c r="BG39">
        <v>70829</v>
      </c>
      <c r="BH39">
        <v>0</v>
      </c>
      <c r="BI39">
        <v>0</v>
      </c>
      <c r="BJ39">
        <v>0</v>
      </c>
      <c r="BK39">
        <v>0</v>
      </c>
      <c r="BL39">
        <v>347883089</v>
      </c>
      <c r="BM39">
        <v>0</v>
      </c>
      <c r="BN39">
        <v>2061</v>
      </c>
      <c r="BO39">
        <v>1701</v>
      </c>
      <c r="BP39">
        <v>0</v>
      </c>
      <c r="BQ39">
        <v>0</v>
      </c>
      <c r="BR39">
        <v>0.82200000000000006</v>
      </c>
      <c r="BS39">
        <v>0.82200000000000006</v>
      </c>
      <c r="BT39">
        <v>0</v>
      </c>
      <c r="BU39">
        <v>0</v>
      </c>
      <c r="BV39">
        <v>100</v>
      </c>
      <c r="BW39">
        <v>182</v>
      </c>
      <c r="BX39">
        <v>86</v>
      </c>
      <c r="BY39">
        <v>0</v>
      </c>
      <c r="BZ39">
        <v>6</v>
      </c>
      <c r="CA39">
        <v>374</v>
      </c>
      <c r="CB39">
        <v>0</v>
      </c>
      <c r="CC39">
        <v>0</v>
      </c>
      <c r="CD39">
        <v>0</v>
      </c>
      <c r="CE39">
        <v>64</v>
      </c>
      <c r="CF39">
        <v>120.536</v>
      </c>
      <c r="CG39">
        <v>0</v>
      </c>
      <c r="CH39">
        <v>0</v>
      </c>
      <c r="CI39">
        <v>4</v>
      </c>
      <c r="CJ39">
        <v>9</v>
      </c>
      <c r="CK39">
        <v>0</v>
      </c>
      <c r="CL39">
        <v>0</v>
      </c>
      <c r="CM39">
        <v>4.2030000000000003</v>
      </c>
      <c r="CN39">
        <v>0</v>
      </c>
      <c r="CO39">
        <v>0</v>
      </c>
      <c r="CP39">
        <v>0</v>
      </c>
      <c r="CQ39">
        <v>0</v>
      </c>
      <c r="CR39">
        <v>0</v>
      </c>
      <c r="CS39">
        <v>0</v>
      </c>
      <c r="CT39">
        <v>0</v>
      </c>
      <c r="CU39">
        <v>4.3570000000000002</v>
      </c>
      <c r="CV39">
        <v>33.24</v>
      </c>
      <c r="CW39">
        <v>21.148</v>
      </c>
      <c r="CX39">
        <v>0</v>
      </c>
      <c r="CY39" s="2043">
        <v>0</v>
      </c>
      <c r="CZ39" s="2043">
        <v>0</v>
      </c>
      <c r="DA39" s="2043">
        <v>0</v>
      </c>
      <c r="DB39" s="2043">
        <v>113068</v>
      </c>
      <c r="DC39" s="2043">
        <v>0</v>
      </c>
      <c r="DI39" t="s">
        <v>7919</v>
      </c>
      <c r="DJ39" t="s">
        <v>5752</v>
      </c>
      <c r="DK39" s="2042">
        <f t="shared" si="2"/>
        <v>900</v>
      </c>
    </row>
    <row r="40" spans="1:115">
      <c r="A40" t="s">
        <v>2866</v>
      </c>
      <c r="B40" t="s">
        <v>2234</v>
      </c>
      <c r="C40">
        <v>2696.8220000000001</v>
      </c>
      <c r="D40">
        <v>2839.5889999999999</v>
      </c>
      <c r="E40">
        <v>41.144000000000005</v>
      </c>
      <c r="F40">
        <v>0</v>
      </c>
      <c r="G40" s="2043">
        <v>828829935</v>
      </c>
      <c r="H40">
        <v>0</v>
      </c>
      <c r="I40" s="2043">
        <v>1578050</v>
      </c>
      <c r="J40">
        <v>134.84100000000001</v>
      </c>
      <c r="K40">
        <v>369</v>
      </c>
      <c r="L40">
        <v>170573</v>
      </c>
      <c r="M40">
        <v>1228712</v>
      </c>
      <c r="N40">
        <v>170573</v>
      </c>
      <c r="O40">
        <v>1399285</v>
      </c>
      <c r="P40">
        <v>0</v>
      </c>
      <c r="Q40">
        <v>0</v>
      </c>
      <c r="R40" s="2043">
        <v>7073446</v>
      </c>
      <c r="S40">
        <v>639769</v>
      </c>
      <c r="T40">
        <v>466232</v>
      </c>
      <c r="U40">
        <v>0.08</v>
      </c>
      <c r="V40">
        <v>0</v>
      </c>
      <c r="W40">
        <v>0</v>
      </c>
      <c r="X40">
        <v>0</v>
      </c>
      <c r="Y40">
        <v>-7257</v>
      </c>
      <c r="Z40">
        <v>0</v>
      </c>
      <c r="AA40">
        <v>0.38500000000000001</v>
      </c>
      <c r="AB40">
        <v>2723.2280000000001</v>
      </c>
      <c r="AC40" s="2043">
        <v>824614145</v>
      </c>
      <c r="AD40">
        <v>1343050</v>
      </c>
      <c r="AE40" s="2043">
        <v>8179447</v>
      </c>
      <c r="AF40">
        <v>1.0228000000000002</v>
      </c>
      <c r="AG40">
        <v>0</v>
      </c>
      <c r="AH40">
        <v>0</v>
      </c>
      <c r="AI40">
        <v>0</v>
      </c>
      <c r="AJ40">
        <v>622.08800000000008</v>
      </c>
      <c r="AK40">
        <v>9284</v>
      </c>
      <c r="AL40">
        <v>0.75600000000000001</v>
      </c>
      <c r="AM40">
        <v>0</v>
      </c>
      <c r="AN40">
        <v>152.70600000000002</v>
      </c>
      <c r="AO40">
        <v>0</v>
      </c>
      <c r="AP40">
        <v>0</v>
      </c>
      <c r="AQ40">
        <v>0</v>
      </c>
      <c r="AR40">
        <v>22.513999999999999</v>
      </c>
      <c r="AS40">
        <v>0</v>
      </c>
      <c r="AT40">
        <v>32.850999999999999</v>
      </c>
      <c r="AU40">
        <v>7.6890000000000001</v>
      </c>
      <c r="AV40">
        <v>0</v>
      </c>
      <c r="AW40">
        <v>63.81</v>
      </c>
      <c r="AX40">
        <v>0</v>
      </c>
      <c r="AY40">
        <v>208.32</v>
      </c>
      <c r="AZ40">
        <v>0</v>
      </c>
      <c r="BA40">
        <v>21263335</v>
      </c>
      <c r="BB40">
        <v>9522497</v>
      </c>
      <c r="BC40">
        <v>0</v>
      </c>
      <c r="BD40">
        <v>117276</v>
      </c>
      <c r="BE40">
        <v>146220</v>
      </c>
      <c r="BF40">
        <v>264550</v>
      </c>
      <c r="BG40">
        <v>117276</v>
      </c>
      <c r="BH40">
        <v>1054</v>
      </c>
      <c r="BI40">
        <v>-7257</v>
      </c>
      <c r="BJ40">
        <v>0</v>
      </c>
      <c r="BK40">
        <v>0</v>
      </c>
      <c r="BL40">
        <v>828829935</v>
      </c>
      <c r="BM40">
        <v>0</v>
      </c>
      <c r="BN40">
        <v>12303</v>
      </c>
      <c r="BO40">
        <v>7982</v>
      </c>
      <c r="BP40">
        <v>0</v>
      </c>
      <c r="BQ40">
        <v>50000</v>
      </c>
      <c r="BR40">
        <v>0.88450000000000006</v>
      </c>
      <c r="BS40">
        <v>0.88450000000000006</v>
      </c>
      <c r="BT40">
        <v>0</v>
      </c>
      <c r="BU40">
        <v>0</v>
      </c>
      <c r="BV40">
        <v>841</v>
      </c>
      <c r="BW40">
        <v>283</v>
      </c>
      <c r="BX40">
        <v>371</v>
      </c>
      <c r="BY40">
        <v>608</v>
      </c>
      <c r="BZ40">
        <v>412</v>
      </c>
      <c r="CA40">
        <v>2515</v>
      </c>
      <c r="CB40">
        <v>0</v>
      </c>
      <c r="CC40">
        <v>0</v>
      </c>
      <c r="CD40">
        <v>0</v>
      </c>
      <c r="CE40">
        <v>6</v>
      </c>
      <c r="CF40">
        <v>655.85800000000006</v>
      </c>
      <c r="CG40">
        <v>0</v>
      </c>
      <c r="CH40">
        <v>0</v>
      </c>
      <c r="CI40">
        <v>0</v>
      </c>
      <c r="CJ40">
        <v>8</v>
      </c>
      <c r="CK40">
        <v>0</v>
      </c>
      <c r="CL40">
        <v>0</v>
      </c>
      <c r="CM40">
        <v>41.144000000000005</v>
      </c>
      <c r="CN40">
        <v>0</v>
      </c>
      <c r="CO40">
        <v>0</v>
      </c>
      <c r="CP40">
        <v>0</v>
      </c>
      <c r="CQ40">
        <v>0</v>
      </c>
      <c r="CR40">
        <v>0</v>
      </c>
      <c r="CS40">
        <v>0</v>
      </c>
      <c r="CT40">
        <v>0</v>
      </c>
      <c r="CU40">
        <v>0</v>
      </c>
      <c r="CV40">
        <v>251.79400000000001</v>
      </c>
      <c r="CW40">
        <v>87.643000000000001</v>
      </c>
      <c r="CX40">
        <v>0</v>
      </c>
      <c r="CY40" s="2043">
        <v>0</v>
      </c>
      <c r="CZ40" s="2043">
        <v>0</v>
      </c>
      <c r="DA40" s="2043">
        <v>0</v>
      </c>
      <c r="DB40" s="2043">
        <v>0</v>
      </c>
      <c r="DC40" s="2043">
        <v>0</v>
      </c>
      <c r="DI40" t="s">
        <v>2866</v>
      </c>
      <c r="DJ40" t="s">
        <v>2866</v>
      </c>
      <c r="DK40" s="2042">
        <f t="shared" si="2"/>
        <v>0</v>
      </c>
    </row>
    <row r="41" spans="1:115">
      <c r="A41" t="s">
        <v>4931</v>
      </c>
      <c r="B41" t="s">
        <v>2505</v>
      </c>
      <c r="C41">
        <v>303.06900000000002</v>
      </c>
      <c r="D41">
        <v>300.959</v>
      </c>
      <c r="E41">
        <v>3.4660000000000002</v>
      </c>
      <c r="F41">
        <v>0</v>
      </c>
      <c r="G41" s="2043">
        <v>317428519</v>
      </c>
      <c r="H41">
        <v>0</v>
      </c>
      <c r="I41" s="2043">
        <v>756790</v>
      </c>
      <c r="J41">
        <v>8</v>
      </c>
      <c r="K41">
        <v>22</v>
      </c>
      <c r="L41">
        <v>0</v>
      </c>
      <c r="M41">
        <v>0</v>
      </c>
      <c r="N41">
        <v>0</v>
      </c>
      <c r="O41">
        <v>0</v>
      </c>
      <c r="P41">
        <v>0</v>
      </c>
      <c r="Q41">
        <v>0</v>
      </c>
      <c r="R41" s="2043">
        <v>2869510</v>
      </c>
      <c r="S41">
        <v>157079</v>
      </c>
      <c r="T41">
        <v>0</v>
      </c>
      <c r="U41">
        <v>0.05</v>
      </c>
      <c r="V41">
        <v>0</v>
      </c>
      <c r="W41">
        <v>0</v>
      </c>
      <c r="X41">
        <v>0</v>
      </c>
      <c r="Y41">
        <v>0</v>
      </c>
      <c r="Z41">
        <v>0.93700000000000006</v>
      </c>
      <c r="AA41">
        <v>0</v>
      </c>
      <c r="AB41">
        <v>293.04300000000001</v>
      </c>
      <c r="AC41" s="2043">
        <v>384785978</v>
      </c>
      <c r="AD41">
        <v>752119</v>
      </c>
      <c r="AE41" s="2043">
        <v>3026589</v>
      </c>
      <c r="AF41">
        <v>0.96340000000000003</v>
      </c>
      <c r="AG41">
        <v>0</v>
      </c>
      <c r="AH41">
        <v>0</v>
      </c>
      <c r="AI41">
        <v>0</v>
      </c>
      <c r="AJ41">
        <v>107.05</v>
      </c>
      <c r="AK41">
        <v>494</v>
      </c>
      <c r="AL41">
        <v>0</v>
      </c>
      <c r="AM41">
        <v>0</v>
      </c>
      <c r="AN41">
        <v>0.30299999999999999</v>
      </c>
      <c r="AO41">
        <v>0</v>
      </c>
      <c r="AP41">
        <v>0</v>
      </c>
      <c r="AQ41">
        <v>0</v>
      </c>
      <c r="AR41">
        <v>3.1580000000000004</v>
      </c>
      <c r="AS41">
        <v>0</v>
      </c>
      <c r="AT41">
        <v>0.48300000000000004</v>
      </c>
      <c r="AU41">
        <v>0.61499999999999999</v>
      </c>
      <c r="AV41">
        <v>0</v>
      </c>
      <c r="AW41">
        <v>4.2560000000000002</v>
      </c>
      <c r="AX41">
        <v>0</v>
      </c>
      <c r="AY41">
        <v>13.998000000000001</v>
      </c>
      <c r="AZ41">
        <v>0</v>
      </c>
      <c r="BA41">
        <v>919965</v>
      </c>
      <c r="BB41">
        <v>3778708</v>
      </c>
      <c r="BC41">
        <v>0</v>
      </c>
      <c r="BD41">
        <v>39396</v>
      </c>
      <c r="BE41">
        <v>0</v>
      </c>
      <c r="BF41">
        <v>39396</v>
      </c>
      <c r="BG41">
        <v>39396</v>
      </c>
      <c r="BH41">
        <v>0</v>
      </c>
      <c r="BI41">
        <v>0</v>
      </c>
      <c r="BJ41">
        <v>0</v>
      </c>
      <c r="BK41">
        <v>0</v>
      </c>
      <c r="BL41">
        <v>317428519</v>
      </c>
      <c r="BM41">
        <v>0</v>
      </c>
      <c r="BN41">
        <v>0</v>
      </c>
      <c r="BO41">
        <v>0</v>
      </c>
      <c r="BP41">
        <v>0</v>
      </c>
      <c r="BQ41">
        <v>0</v>
      </c>
      <c r="BR41">
        <v>0.91339999999999999</v>
      </c>
      <c r="BS41">
        <v>0.91339999999999999</v>
      </c>
      <c r="BT41">
        <v>0</v>
      </c>
      <c r="BU41">
        <v>0</v>
      </c>
      <c r="BV41">
        <v>89</v>
      </c>
      <c r="BW41">
        <v>126</v>
      </c>
      <c r="BX41">
        <v>74</v>
      </c>
      <c r="BY41">
        <v>80</v>
      </c>
      <c r="BZ41">
        <v>64</v>
      </c>
      <c r="CA41">
        <v>433</v>
      </c>
      <c r="CB41">
        <v>0</v>
      </c>
      <c r="CC41">
        <v>0</v>
      </c>
      <c r="CD41">
        <v>0</v>
      </c>
      <c r="CE41">
        <v>9</v>
      </c>
      <c r="CF41">
        <v>61.749000000000002</v>
      </c>
      <c r="CG41">
        <v>0</v>
      </c>
      <c r="CH41">
        <v>0</v>
      </c>
      <c r="CI41">
        <v>0</v>
      </c>
      <c r="CJ41">
        <v>0</v>
      </c>
      <c r="CK41">
        <v>0</v>
      </c>
      <c r="CL41">
        <v>0</v>
      </c>
      <c r="CM41">
        <v>3.4660000000000002</v>
      </c>
      <c r="CN41">
        <v>0</v>
      </c>
      <c r="CO41">
        <v>0</v>
      </c>
      <c r="CP41">
        <v>0</v>
      </c>
      <c r="CQ41">
        <v>0</v>
      </c>
      <c r="CR41">
        <v>0</v>
      </c>
      <c r="CS41">
        <v>0</v>
      </c>
      <c r="CT41">
        <v>0</v>
      </c>
      <c r="CU41">
        <v>0</v>
      </c>
      <c r="CV41">
        <v>0</v>
      </c>
      <c r="CW41">
        <v>0</v>
      </c>
      <c r="CX41">
        <v>0</v>
      </c>
      <c r="CY41" s="2043">
        <v>0</v>
      </c>
      <c r="CZ41" s="2043">
        <v>0</v>
      </c>
      <c r="DA41" s="2043">
        <v>0</v>
      </c>
      <c r="DB41" s="2043">
        <v>0</v>
      </c>
      <c r="DC41" s="2043">
        <v>85665</v>
      </c>
      <c r="DI41" t="s">
        <v>4931</v>
      </c>
      <c r="DJ41" t="s">
        <v>4931</v>
      </c>
      <c r="DK41" s="2042">
        <f t="shared" si="2"/>
        <v>0</v>
      </c>
    </row>
    <row r="42" spans="1:115">
      <c r="A42" t="s">
        <v>4932</v>
      </c>
      <c r="B42" t="s">
        <v>2506</v>
      </c>
      <c r="C42">
        <v>340.36</v>
      </c>
      <c r="D42">
        <v>348.541</v>
      </c>
      <c r="E42">
        <v>2.0220000000000002</v>
      </c>
      <c r="F42">
        <v>0</v>
      </c>
      <c r="G42" s="2043">
        <v>552462976</v>
      </c>
      <c r="H42">
        <v>0</v>
      </c>
      <c r="I42" s="2043">
        <v>1773338</v>
      </c>
      <c r="J42">
        <v>17.018000000000001</v>
      </c>
      <c r="K42">
        <v>47</v>
      </c>
      <c r="L42">
        <v>0</v>
      </c>
      <c r="M42">
        <v>0</v>
      </c>
      <c r="N42">
        <v>0</v>
      </c>
      <c r="O42">
        <v>0</v>
      </c>
      <c r="P42">
        <v>0</v>
      </c>
      <c r="Q42">
        <v>0</v>
      </c>
      <c r="R42" s="2043">
        <v>4936767</v>
      </c>
      <c r="S42">
        <v>432386</v>
      </c>
      <c r="T42">
        <v>44320</v>
      </c>
      <c r="U42">
        <v>0.08</v>
      </c>
      <c r="V42">
        <v>0</v>
      </c>
      <c r="W42">
        <v>897183</v>
      </c>
      <c r="X42">
        <v>17792</v>
      </c>
      <c r="Y42">
        <v>0</v>
      </c>
      <c r="Z42">
        <v>0</v>
      </c>
      <c r="AA42">
        <v>0.10300000000000001</v>
      </c>
      <c r="AB42">
        <v>332.09200000000004</v>
      </c>
      <c r="AC42" s="2043">
        <v>573168395</v>
      </c>
      <c r="AD42">
        <v>1618651</v>
      </c>
      <c r="AE42" s="2043">
        <v>5413473</v>
      </c>
      <c r="AF42">
        <v>1.0016</v>
      </c>
      <c r="AG42">
        <v>0</v>
      </c>
      <c r="AH42">
        <v>914975</v>
      </c>
      <c r="AI42">
        <v>0</v>
      </c>
      <c r="AJ42">
        <v>60.625</v>
      </c>
      <c r="AK42">
        <v>1837</v>
      </c>
      <c r="AL42">
        <v>0</v>
      </c>
      <c r="AM42">
        <v>0</v>
      </c>
      <c r="AN42">
        <v>9.2900000000000009</v>
      </c>
      <c r="AO42">
        <v>0</v>
      </c>
      <c r="AP42">
        <v>0</v>
      </c>
      <c r="AQ42">
        <v>3.0660000000000003</v>
      </c>
      <c r="AR42">
        <v>7.2680000000000007</v>
      </c>
      <c r="AS42">
        <v>0</v>
      </c>
      <c r="AT42">
        <v>1.4420000000000002</v>
      </c>
      <c r="AU42">
        <v>0.84400000000000008</v>
      </c>
      <c r="AV42">
        <v>0</v>
      </c>
      <c r="AW42">
        <v>12.620000000000001</v>
      </c>
      <c r="AX42">
        <v>0</v>
      </c>
      <c r="AY42">
        <v>30.35</v>
      </c>
      <c r="AZ42">
        <v>0</v>
      </c>
      <c r="BA42">
        <v>265269</v>
      </c>
      <c r="BB42">
        <v>7032124</v>
      </c>
      <c r="BC42">
        <v>0</v>
      </c>
      <c r="BD42">
        <v>48909</v>
      </c>
      <c r="BE42">
        <v>12779</v>
      </c>
      <c r="BF42">
        <v>61688</v>
      </c>
      <c r="BG42">
        <v>48909</v>
      </c>
      <c r="BH42">
        <v>0</v>
      </c>
      <c r="BI42">
        <v>0</v>
      </c>
      <c r="BJ42">
        <v>0</v>
      </c>
      <c r="BK42">
        <v>0</v>
      </c>
      <c r="BL42">
        <v>552462976</v>
      </c>
      <c r="BM42">
        <v>0</v>
      </c>
      <c r="BN42">
        <v>1440</v>
      </c>
      <c r="BO42">
        <v>717</v>
      </c>
      <c r="BP42">
        <v>0</v>
      </c>
      <c r="BQ42">
        <v>0</v>
      </c>
      <c r="BR42">
        <v>0.91339999999999999</v>
      </c>
      <c r="BS42">
        <v>0.91339999999999999</v>
      </c>
      <c r="BT42">
        <v>0</v>
      </c>
      <c r="BU42">
        <v>0</v>
      </c>
      <c r="BV42">
        <v>12</v>
      </c>
      <c r="BW42">
        <v>114</v>
      </c>
      <c r="BX42">
        <v>115</v>
      </c>
      <c r="BY42">
        <v>8</v>
      </c>
      <c r="BZ42">
        <v>0</v>
      </c>
      <c r="CA42">
        <v>249</v>
      </c>
      <c r="CB42">
        <v>0</v>
      </c>
      <c r="CC42">
        <v>0</v>
      </c>
      <c r="CD42">
        <v>0</v>
      </c>
      <c r="CE42">
        <v>20</v>
      </c>
      <c r="CF42">
        <v>63.387</v>
      </c>
      <c r="CG42">
        <v>0</v>
      </c>
      <c r="CH42">
        <v>4.0040000000000004</v>
      </c>
      <c r="CI42">
        <v>0</v>
      </c>
      <c r="CJ42">
        <v>1</v>
      </c>
      <c r="CK42">
        <v>0</v>
      </c>
      <c r="CL42">
        <v>4.0040000000000004</v>
      </c>
      <c r="CM42">
        <v>2.0220000000000002</v>
      </c>
      <c r="CN42">
        <v>0</v>
      </c>
      <c r="CO42">
        <v>0</v>
      </c>
      <c r="CP42">
        <v>0</v>
      </c>
      <c r="CQ42">
        <v>0</v>
      </c>
      <c r="CR42">
        <v>0</v>
      </c>
      <c r="CS42">
        <v>0</v>
      </c>
      <c r="CT42">
        <v>0</v>
      </c>
      <c r="CU42">
        <v>0</v>
      </c>
      <c r="CV42">
        <v>17.103000000000002</v>
      </c>
      <c r="CW42">
        <v>15.32</v>
      </c>
      <c r="CX42">
        <v>0</v>
      </c>
      <c r="CY42" s="2043">
        <v>0</v>
      </c>
      <c r="CZ42" s="2043">
        <v>0</v>
      </c>
      <c r="DA42" s="2043">
        <v>0</v>
      </c>
      <c r="DB42" s="2043">
        <v>0</v>
      </c>
      <c r="DC42" s="2043">
        <v>165000</v>
      </c>
      <c r="DI42" t="s">
        <v>4932</v>
      </c>
      <c r="DJ42" t="s">
        <v>4932</v>
      </c>
      <c r="DK42" s="2042">
        <f t="shared" si="2"/>
        <v>0</v>
      </c>
    </row>
    <row r="43" spans="1:115">
      <c r="A43" t="s">
        <v>2867</v>
      </c>
      <c r="B43" t="s">
        <v>1079</v>
      </c>
      <c r="C43">
        <v>730.44799999999998</v>
      </c>
      <c r="D43">
        <v>778.899</v>
      </c>
      <c r="E43">
        <v>14.8</v>
      </c>
      <c r="F43">
        <v>0</v>
      </c>
      <c r="G43" s="2043">
        <v>232186388</v>
      </c>
      <c r="H43">
        <v>0</v>
      </c>
      <c r="I43" s="2043">
        <v>685095</v>
      </c>
      <c r="J43">
        <v>36.521999999999998</v>
      </c>
      <c r="K43">
        <v>100</v>
      </c>
      <c r="L43">
        <v>0</v>
      </c>
      <c r="M43">
        <v>538687</v>
      </c>
      <c r="N43">
        <v>0</v>
      </c>
      <c r="O43">
        <v>538687</v>
      </c>
      <c r="P43">
        <v>0</v>
      </c>
      <c r="Q43">
        <v>0</v>
      </c>
      <c r="R43" s="2043">
        <v>1842894</v>
      </c>
      <c r="S43">
        <v>179357</v>
      </c>
      <c r="T43">
        <v>130706</v>
      </c>
      <c r="U43">
        <v>0.08</v>
      </c>
      <c r="V43">
        <v>0</v>
      </c>
      <c r="W43">
        <v>0</v>
      </c>
      <c r="X43">
        <v>0</v>
      </c>
      <c r="Y43">
        <v>0</v>
      </c>
      <c r="Z43">
        <v>3.91</v>
      </c>
      <c r="AA43">
        <v>7.3000000000000009E-2</v>
      </c>
      <c r="AB43">
        <v>734.673</v>
      </c>
      <c r="AC43" s="2043">
        <v>162107513</v>
      </c>
      <c r="AD43">
        <v>1154300</v>
      </c>
      <c r="AE43" s="2043">
        <v>2152957</v>
      </c>
      <c r="AF43">
        <v>0.96030000000000004</v>
      </c>
      <c r="AG43">
        <v>0</v>
      </c>
      <c r="AH43">
        <v>0</v>
      </c>
      <c r="AI43">
        <v>0</v>
      </c>
      <c r="AJ43">
        <v>113.72500000000001</v>
      </c>
      <c r="AK43">
        <v>2312</v>
      </c>
      <c r="AL43">
        <v>2.2000000000000002E-2</v>
      </c>
      <c r="AM43">
        <v>0</v>
      </c>
      <c r="AN43">
        <v>7.6880000000000006</v>
      </c>
      <c r="AO43">
        <v>0</v>
      </c>
      <c r="AP43">
        <v>0</v>
      </c>
      <c r="AQ43">
        <v>0</v>
      </c>
      <c r="AR43">
        <v>13.36</v>
      </c>
      <c r="AS43">
        <v>0</v>
      </c>
      <c r="AT43">
        <v>5.2060000000000004</v>
      </c>
      <c r="AU43">
        <v>1.726</v>
      </c>
      <c r="AV43">
        <v>0</v>
      </c>
      <c r="AW43">
        <v>20.314</v>
      </c>
      <c r="AX43">
        <v>0</v>
      </c>
      <c r="AY43">
        <v>64.438000000000002</v>
      </c>
      <c r="AZ43">
        <v>0</v>
      </c>
      <c r="BA43">
        <v>7130228</v>
      </c>
      <c r="BB43">
        <v>3307257</v>
      </c>
      <c r="BC43">
        <v>0</v>
      </c>
      <c r="BD43">
        <v>66240</v>
      </c>
      <c r="BE43">
        <v>19608</v>
      </c>
      <c r="BF43">
        <v>85848</v>
      </c>
      <c r="BG43">
        <v>66240</v>
      </c>
      <c r="BH43">
        <v>0</v>
      </c>
      <c r="BI43">
        <v>0</v>
      </c>
      <c r="BJ43">
        <v>0</v>
      </c>
      <c r="BK43">
        <v>0</v>
      </c>
      <c r="BL43">
        <v>232186388</v>
      </c>
      <c r="BM43">
        <v>0</v>
      </c>
      <c r="BN43">
        <v>2835</v>
      </c>
      <c r="BO43">
        <v>2343</v>
      </c>
      <c r="BP43">
        <v>0</v>
      </c>
      <c r="BQ43">
        <v>0</v>
      </c>
      <c r="BR43">
        <v>0.82200000000000006</v>
      </c>
      <c r="BS43">
        <v>0.82200000000000006</v>
      </c>
      <c r="BT43">
        <v>0</v>
      </c>
      <c r="BU43">
        <v>0</v>
      </c>
      <c r="BV43">
        <v>47</v>
      </c>
      <c r="BW43">
        <v>339</v>
      </c>
      <c r="BX43">
        <v>24</v>
      </c>
      <c r="BY43">
        <v>33</v>
      </c>
      <c r="BZ43">
        <v>29</v>
      </c>
      <c r="CA43">
        <v>472</v>
      </c>
      <c r="CB43">
        <v>0</v>
      </c>
      <c r="CC43">
        <v>0</v>
      </c>
      <c r="CD43">
        <v>0</v>
      </c>
      <c r="CE43">
        <v>45</v>
      </c>
      <c r="CF43">
        <v>153.77700000000002</v>
      </c>
      <c r="CG43">
        <v>0</v>
      </c>
      <c r="CH43">
        <v>0</v>
      </c>
      <c r="CI43">
        <v>2</v>
      </c>
      <c r="CJ43">
        <v>14</v>
      </c>
      <c r="CK43">
        <v>0</v>
      </c>
      <c r="CL43">
        <v>0</v>
      </c>
      <c r="CM43">
        <v>14.8</v>
      </c>
      <c r="CN43">
        <v>0</v>
      </c>
      <c r="CO43">
        <v>0</v>
      </c>
      <c r="CP43">
        <v>0</v>
      </c>
      <c r="CQ43">
        <v>0</v>
      </c>
      <c r="CR43">
        <v>0</v>
      </c>
      <c r="CS43">
        <v>0</v>
      </c>
      <c r="CT43">
        <v>0</v>
      </c>
      <c r="CU43">
        <v>2.089</v>
      </c>
      <c r="CV43">
        <v>53.863</v>
      </c>
      <c r="CW43">
        <v>37.399000000000001</v>
      </c>
      <c r="CX43">
        <v>0</v>
      </c>
      <c r="CY43" s="2043">
        <v>0</v>
      </c>
      <c r="CZ43" s="2043">
        <v>0</v>
      </c>
      <c r="DA43" s="2043">
        <v>0</v>
      </c>
      <c r="DB43" s="2043">
        <v>0</v>
      </c>
      <c r="DC43" s="2043">
        <v>0</v>
      </c>
      <c r="DI43" t="s">
        <v>2867</v>
      </c>
      <c r="DJ43" t="s">
        <v>2867</v>
      </c>
      <c r="DK43" s="2042">
        <f t="shared" si="2"/>
        <v>0</v>
      </c>
    </row>
    <row r="44" spans="1:115">
      <c r="A44" t="s">
        <v>7920</v>
      </c>
      <c r="B44" t="s">
        <v>11230</v>
      </c>
      <c r="C44">
        <v>1258.501</v>
      </c>
      <c r="D44">
        <v>1427.1680000000001</v>
      </c>
      <c r="E44">
        <v>126.63000000000001</v>
      </c>
      <c r="F44">
        <v>0</v>
      </c>
      <c r="G44" s="2043">
        <v>0</v>
      </c>
      <c r="H44">
        <v>0</v>
      </c>
      <c r="I44" s="2043">
        <v>0</v>
      </c>
      <c r="J44">
        <v>0</v>
      </c>
      <c r="K44">
        <v>0</v>
      </c>
      <c r="L44">
        <v>0</v>
      </c>
      <c r="M44">
        <v>0</v>
      </c>
      <c r="N44">
        <v>0</v>
      </c>
      <c r="O44">
        <v>0</v>
      </c>
      <c r="P44">
        <v>0</v>
      </c>
      <c r="Q44">
        <v>0</v>
      </c>
      <c r="R44" s="2043">
        <v>0</v>
      </c>
      <c r="S44">
        <v>0</v>
      </c>
      <c r="T44">
        <v>0</v>
      </c>
      <c r="U44">
        <v>0</v>
      </c>
      <c r="V44">
        <v>0</v>
      </c>
      <c r="W44">
        <v>0</v>
      </c>
      <c r="X44">
        <v>0</v>
      </c>
      <c r="Y44">
        <v>222481</v>
      </c>
      <c r="Z44">
        <v>0</v>
      </c>
      <c r="AA44">
        <v>3.3290000000000002</v>
      </c>
      <c r="AB44">
        <v>1226.53</v>
      </c>
      <c r="AC44" s="2043">
        <v>0</v>
      </c>
      <c r="AD44">
        <v>0</v>
      </c>
      <c r="AE44" s="2043">
        <v>0</v>
      </c>
      <c r="AF44">
        <v>0</v>
      </c>
      <c r="AG44">
        <v>0</v>
      </c>
      <c r="AH44">
        <v>0</v>
      </c>
      <c r="AI44">
        <v>0</v>
      </c>
      <c r="AJ44">
        <v>388.05</v>
      </c>
      <c r="AK44">
        <v>4125</v>
      </c>
      <c r="AL44">
        <v>4.7E-2</v>
      </c>
      <c r="AM44">
        <v>0</v>
      </c>
      <c r="AN44">
        <v>122.447</v>
      </c>
      <c r="AO44">
        <v>0</v>
      </c>
      <c r="AP44">
        <v>0</v>
      </c>
      <c r="AQ44">
        <v>0</v>
      </c>
      <c r="AR44">
        <v>12.866000000000001</v>
      </c>
      <c r="AS44">
        <v>0</v>
      </c>
      <c r="AT44">
        <v>0.55900000000000005</v>
      </c>
      <c r="AU44">
        <v>0.16</v>
      </c>
      <c r="AV44">
        <v>0</v>
      </c>
      <c r="AW44">
        <v>13.632000000000001</v>
      </c>
      <c r="AX44">
        <v>0</v>
      </c>
      <c r="AY44">
        <v>41.31</v>
      </c>
      <c r="AZ44">
        <v>0</v>
      </c>
      <c r="BA44">
        <v>15075606</v>
      </c>
      <c r="BB44">
        <v>0</v>
      </c>
      <c r="BC44">
        <v>0</v>
      </c>
      <c r="BD44">
        <v>0</v>
      </c>
      <c r="BE44">
        <v>0</v>
      </c>
      <c r="BF44">
        <v>0</v>
      </c>
      <c r="BG44">
        <v>0</v>
      </c>
      <c r="BH44">
        <v>0</v>
      </c>
      <c r="BI44">
        <v>0</v>
      </c>
      <c r="BJ44">
        <v>0</v>
      </c>
      <c r="BK44">
        <v>0</v>
      </c>
      <c r="BL44">
        <v>0</v>
      </c>
      <c r="BM44">
        <v>0</v>
      </c>
      <c r="BN44">
        <v>24624</v>
      </c>
      <c r="BO44">
        <v>2450</v>
      </c>
      <c r="BP44">
        <v>0</v>
      </c>
      <c r="BQ44">
        <v>0</v>
      </c>
      <c r="BR44">
        <v>0</v>
      </c>
      <c r="BS44">
        <v>0</v>
      </c>
      <c r="BT44">
        <v>0</v>
      </c>
      <c r="BU44">
        <v>0</v>
      </c>
      <c r="BV44">
        <v>250</v>
      </c>
      <c r="BW44">
        <v>305</v>
      </c>
      <c r="BX44">
        <v>334</v>
      </c>
      <c r="BY44">
        <v>319</v>
      </c>
      <c r="BZ44">
        <v>335</v>
      </c>
      <c r="CA44">
        <v>1543</v>
      </c>
      <c r="CB44">
        <v>0</v>
      </c>
      <c r="CC44">
        <v>0</v>
      </c>
      <c r="CD44">
        <v>0</v>
      </c>
      <c r="CE44">
        <v>61</v>
      </c>
      <c r="CF44">
        <v>0</v>
      </c>
      <c r="CG44">
        <v>1258.501</v>
      </c>
      <c r="CH44">
        <v>0</v>
      </c>
      <c r="CI44">
        <v>0</v>
      </c>
      <c r="CJ44">
        <v>0</v>
      </c>
      <c r="CK44">
        <v>0</v>
      </c>
      <c r="CL44">
        <v>1258.501</v>
      </c>
      <c r="CM44">
        <v>126.63000000000001</v>
      </c>
      <c r="CN44">
        <v>0</v>
      </c>
      <c r="CO44">
        <v>0</v>
      </c>
      <c r="CP44">
        <v>0</v>
      </c>
      <c r="CQ44">
        <v>0</v>
      </c>
      <c r="CR44">
        <v>0</v>
      </c>
      <c r="CS44">
        <v>0</v>
      </c>
      <c r="CT44">
        <v>0</v>
      </c>
      <c r="CU44">
        <v>0</v>
      </c>
      <c r="CV44">
        <v>53.164999999999999</v>
      </c>
      <c r="CW44">
        <v>15.23</v>
      </c>
      <c r="CX44">
        <v>0</v>
      </c>
      <c r="CY44" s="2043">
        <v>0</v>
      </c>
      <c r="CZ44" s="2043">
        <v>0</v>
      </c>
      <c r="DA44" s="2043">
        <v>0</v>
      </c>
      <c r="DB44" s="2043">
        <v>0</v>
      </c>
      <c r="DC44" s="2043">
        <v>0</v>
      </c>
      <c r="DI44" t="s">
        <v>7920</v>
      </c>
      <c r="DJ44" t="s">
        <v>7920</v>
      </c>
      <c r="DK44" s="2042">
        <f t="shared" si="2"/>
        <v>0</v>
      </c>
    </row>
    <row r="45" spans="1:115">
      <c r="A45" t="s">
        <v>7921</v>
      </c>
      <c r="B45" t="s">
        <v>11231</v>
      </c>
      <c r="C45">
        <v>734.59100000000001</v>
      </c>
      <c r="D45">
        <v>752.274</v>
      </c>
      <c r="E45">
        <v>39.901000000000003</v>
      </c>
      <c r="F45">
        <v>0</v>
      </c>
      <c r="G45" s="2043">
        <v>0</v>
      </c>
      <c r="H45">
        <v>0</v>
      </c>
      <c r="I45" s="2043">
        <v>0</v>
      </c>
      <c r="J45">
        <v>36.730000000000004</v>
      </c>
      <c r="K45">
        <v>100</v>
      </c>
      <c r="L45">
        <v>0</v>
      </c>
      <c r="M45">
        <v>0</v>
      </c>
      <c r="N45">
        <v>0</v>
      </c>
      <c r="O45">
        <v>0</v>
      </c>
      <c r="P45">
        <v>0</v>
      </c>
      <c r="Q45">
        <v>0</v>
      </c>
      <c r="R45" s="2043">
        <v>0</v>
      </c>
      <c r="S45">
        <v>0</v>
      </c>
      <c r="T45">
        <v>0</v>
      </c>
      <c r="U45">
        <v>0</v>
      </c>
      <c r="V45">
        <v>0</v>
      </c>
      <c r="W45">
        <v>0</v>
      </c>
      <c r="X45">
        <v>0</v>
      </c>
      <c r="Y45">
        <v>129863</v>
      </c>
      <c r="Z45">
        <v>0</v>
      </c>
      <c r="AA45">
        <v>0</v>
      </c>
      <c r="AB45">
        <v>752.274</v>
      </c>
      <c r="AC45" s="2043">
        <v>0</v>
      </c>
      <c r="AD45">
        <v>0</v>
      </c>
      <c r="AE45" s="2043">
        <v>0</v>
      </c>
      <c r="AF45">
        <v>0</v>
      </c>
      <c r="AG45">
        <v>0</v>
      </c>
      <c r="AH45">
        <v>0</v>
      </c>
      <c r="AI45">
        <v>0</v>
      </c>
      <c r="AJ45">
        <v>117.613</v>
      </c>
      <c r="AK45">
        <v>2961</v>
      </c>
      <c r="AL45">
        <v>0</v>
      </c>
      <c r="AM45">
        <v>0</v>
      </c>
      <c r="AN45">
        <v>4.1520000000000001</v>
      </c>
      <c r="AO45">
        <v>0</v>
      </c>
      <c r="AP45">
        <v>0</v>
      </c>
      <c r="AQ45">
        <v>0</v>
      </c>
      <c r="AR45">
        <v>38.905999999999999</v>
      </c>
      <c r="AS45">
        <v>0</v>
      </c>
      <c r="AT45">
        <v>0</v>
      </c>
      <c r="AU45">
        <v>1.8490000000000002</v>
      </c>
      <c r="AV45">
        <v>0</v>
      </c>
      <c r="AW45">
        <v>40.755000000000003</v>
      </c>
      <c r="AX45">
        <v>0</v>
      </c>
      <c r="AY45">
        <v>125.96300000000001</v>
      </c>
      <c r="AZ45">
        <v>0</v>
      </c>
      <c r="BA45">
        <v>7903511</v>
      </c>
      <c r="BB45">
        <v>0</v>
      </c>
      <c r="BC45">
        <v>0</v>
      </c>
      <c r="BD45">
        <v>80141</v>
      </c>
      <c r="BE45">
        <v>0</v>
      </c>
      <c r="BF45">
        <v>80141</v>
      </c>
      <c r="BG45">
        <v>80141</v>
      </c>
      <c r="BH45">
        <v>0</v>
      </c>
      <c r="BI45">
        <v>0</v>
      </c>
      <c r="BJ45">
        <v>0</v>
      </c>
      <c r="BK45">
        <v>0</v>
      </c>
      <c r="BL45">
        <v>0</v>
      </c>
      <c r="BM45">
        <v>0</v>
      </c>
      <c r="BN45">
        <v>1674</v>
      </c>
      <c r="BO45">
        <v>1124</v>
      </c>
      <c r="BP45">
        <v>0</v>
      </c>
      <c r="BQ45">
        <v>0</v>
      </c>
      <c r="BR45">
        <v>0</v>
      </c>
      <c r="BS45">
        <v>0</v>
      </c>
      <c r="BT45">
        <v>0</v>
      </c>
      <c r="BU45">
        <v>0</v>
      </c>
      <c r="BV45">
        <v>158</v>
      </c>
      <c r="BW45">
        <v>95</v>
      </c>
      <c r="BX45">
        <v>98</v>
      </c>
      <c r="BY45">
        <v>60</v>
      </c>
      <c r="BZ45">
        <v>70</v>
      </c>
      <c r="CA45">
        <v>481</v>
      </c>
      <c r="CB45">
        <v>0</v>
      </c>
      <c r="CC45">
        <v>0</v>
      </c>
      <c r="CD45">
        <v>0</v>
      </c>
      <c r="CE45">
        <v>85</v>
      </c>
      <c r="CF45">
        <v>176.11199999999999</v>
      </c>
      <c r="CG45">
        <v>0</v>
      </c>
      <c r="CH45">
        <v>0</v>
      </c>
      <c r="CI45">
        <v>0</v>
      </c>
      <c r="CJ45">
        <v>0</v>
      </c>
      <c r="CK45">
        <v>0</v>
      </c>
      <c r="CL45">
        <v>0</v>
      </c>
      <c r="CM45">
        <v>39.901000000000003</v>
      </c>
      <c r="CN45">
        <v>0</v>
      </c>
      <c r="CO45">
        <v>0</v>
      </c>
      <c r="CP45">
        <v>0</v>
      </c>
      <c r="CQ45">
        <v>0</v>
      </c>
      <c r="CR45">
        <v>0</v>
      </c>
      <c r="CS45">
        <v>0</v>
      </c>
      <c r="CT45">
        <v>0</v>
      </c>
      <c r="CU45">
        <v>0</v>
      </c>
      <c r="CV45">
        <v>16.79</v>
      </c>
      <c r="CW45">
        <v>10.545</v>
      </c>
      <c r="CX45">
        <v>0</v>
      </c>
      <c r="CY45" s="2043">
        <v>0</v>
      </c>
      <c r="CZ45" s="2043">
        <v>0</v>
      </c>
      <c r="DA45" s="2043">
        <v>0</v>
      </c>
      <c r="DB45" s="2043">
        <v>0</v>
      </c>
      <c r="DC45" s="2043">
        <v>0</v>
      </c>
      <c r="DI45" t="s">
        <v>7921</v>
      </c>
      <c r="DJ45" t="s">
        <v>7921</v>
      </c>
      <c r="DK45" s="2042">
        <f t="shared" si="2"/>
        <v>0</v>
      </c>
    </row>
    <row r="46" spans="1:115">
      <c r="A46" t="s">
        <v>7922</v>
      </c>
      <c r="B46" t="s">
        <v>11232</v>
      </c>
      <c r="C46">
        <v>1807.5130000000001</v>
      </c>
      <c r="D46">
        <v>1834.5610000000001</v>
      </c>
      <c r="E46">
        <v>38.017000000000003</v>
      </c>
      <c r="F46">
        <v>0</v>
      </c>
      <c r="G46" s="2043">
        <v>0</v>
      </c>
      <c r="H46">
        <v>0</v>
      </c>
      <c r="I46" s="2043">
        <v>0</v>
      </c>
      <c r="J46">
        <v>0</v>
      </c>
      <c r="K46">
        <v>0</v>
      </c>
      <c r="L46">
        <v>0</v>
      </c>
      <c r="M46">
        <v>0</v>
      </c>
      <c r="N46">
        <v>0</v>
      </c>
      <c r="O46">
        <v>0</v>
      </c>
      <c r="P46">
        <v>0</v>
      </c>
      <c r="Q46">
        <v>0</v>
      </c>
      <c r="R46" s="2043">
        <v>0</v>
      </c>
      <c r="S46">
        <v>0</v>
      </c>
      <c r="T46">
        <v>0</v>
      </c>
      <c r="U46">
        <v>0</v>
      </c>
      <c r="V46">
        <v>0</v>
      </c>
      <c r="W46">
        <v>0</v>
      </c>
      <c r="X46">
        <v>0</v>
      </c>
      <c r="Y46">
        <v>319536</v>
      </c>
      <c r="Z46">
        <v>0</v>
      </c>
      <c r="AA46">
        <v>0</v>
      </c>
      <c r="AB46">
        <v>1794.7070000000001</v>
      </c>
      <c r="AC46" s="2043">
        <v>0</v>
      </c>
      <c r="AD46">
        <v>0</v>
      </c>
      <c r="AE46" s="2043">
        <v>0</v>
      </c>
      <c r="AF46">
        <v>0</v>
      </c>
      <c r="AG46">
        <v>0</v>
      </c>
      <c r="AH46">
        <v>0</v>
      </c>
      <c r="AI46">
        <v>0</v>
      </c>
      <c r="AJ46">
        <v>53.688000000000002</v>
      </c>
      <c r="AK46">
        <v>7803</v>
      </c>
      <c r="AL46">
        <v>3.2000000000000001E-2</v>
      </c>
      <c r="AM46">
        <v>0</v>
      </c>
      <c r="AN46">
        <v>39.731999999999999</v>
      </c>
      <c r="AO46">
        <v>0</v>
      </c>
      <c r="AP46">
        <v>0</v>
      </c>
      <c r="AQ46">
        <v>35.886000000000003</v>
      </c>
      <c r="AR46">
        <v>44.292000000000002</v>
      </c>
      <c r="AS46">
        <v>0</v>
      </c>
      <c r="AT46">
        <v>1.4850000000000001</v>
      </c>
      <c r="AU46">
        <v>3.5670000000000002</v>
      </c>
      <c r="AV46">
        <v>0</v>
      </c>
      <c r="AW46">
        <v>85.262</v>
      </c>
      <c r="AX46">
        <v>0</v>
      </c>
      <c r="AY46">
        <v>155.32599999999999</v>
      </c>
      <c r="AZ46">
        <v>0</v>
      </c>
      <c r="BA46">
        <v>17697474</v>
      </c>
      <c r="BB46">
        <v>0</v>
      </c>
      <c r="BC46">
        <v>0</v>
      </c>
      <c r="BD46">
        <v>0</v>
      </c>
      <c r="BE46">
        <v>0</v>
      </c>
      <c r="BF46">
        <v>0</v>
      </c>
      <c r="BG46">
        <v>0</v>
      </c>
      <c r="BH46">
        <v>0</v>
      </c>
      <c r="BI46">
        <v>0</v>
      </c>
      <c r="BJ46">
        <v>0</v>
      </c>
      <c r="BK46">
        <v>0</v>
      </c>
      <c r="BL46">
        <v>0</v>
      </c>
      <c r="BM46">
        <v>0</v>
      </c>
      <c r="BN46">
        <v>6399</v>
      </c>
      <c r="BO46">
        <v>332</v>
      </c>
      <c r="BP46">
        <v>0</v>
      </c>
      <c r="BQ46">
        <v>0</v>
      </c>
      <c r="BR46">
        <v>0</v>
      </c>
      <c r="BS46">
        <v>0</v>
      </c>
      <c r="BT46">
        <v>0</v>
      </c>
      <c r="BU46">
        <v>0</v>
      </c>
      <c r="BV46">
        <v>61</v>
      </c>
      <c r="BW46">
        <v>57</v>
      </c>
      <c r="BX46">
        <v>31</v>
      </c>
      <c r="BY46">
        <v>2</v>
      </c>
      <c r="BZ46">
        <v>66</v>
      </c>
      <c r="CA46">
        <v>217</v>
      </c>
      <c r="CB46">
        <v>0</v>
      </c>
      <c r="CC46">
        <v>0</v>
      </c>
      <c r="CD46">
        <v>0</v>
      </c>
      <c r="CE46">
        <v>221</v>
      </c>
      <c r="CF46">
        <v>87.963999999999999</v>
      </c>
      <c r="CG46">
        <v>61.480000000000004</v>
      </c>
      <c r="CH46">
        <v>58.356000000000002</v>
      </c>
      <c r="CI46">
        <v>1</v>
      </c>
      <c r="CJ46">
        <v>20</v>
      </c>
      <c r="CK46">
        <v>1</v>
      </c>
      <c r="CL46">
        <v>119.83600000000001</v>
      </c>
      <c r="CM46">
        <v>38.017000000000003</v>
      </c>
      <c r="CN46">
        <v>0</v>
      </c>
      <c r="CO46">
        <v>0</v>
      </c>
      <c r="CP46">
        <v>0</v>
      </c>
      <c r="CQ46">
        <v>0</v>
      </c>
      <c r="CR46">
        <v>0</v>
      </c>
      <c r="CS46">
        <v>0</v>
      </c>
      <c r="CT46">
        <v>0</v>
      </c>
      <c r="CU46">
        <v>4.7E-2</v>
      </c>
      <c r="CV46">
        <v>58.338000000000001</v>
      </c>
      <c r="CW46">
        <v>17.464000000000002</v>
      </c>
      <c r="CX46">
        <v>0</v>
      </c>
      <c r="CY46" s="2043">
        <v>0</v>
      </c>
      <c r="CZ46" s="2043">
        <v>0</v>
      </c>
      <c r="DA46" s="2043">
        <v>0</v>
      </c>
      <c r="DB46" s="2043">
        <v>0</v>
      </c>
      <c r="DC46" s="2043">
        <v>0</v>
      </c>
      <c r="DI46" t="s">
        <v>7922</v>
      </c>
      <c r="DJ46" t="s">
        <v>7922</v>
      </c>
      <c r="DK46" s="2042">
        <f t="shared" si="2"/>
        <v>0</v>
      </c>
    </row>
    <row r="47" spans="1:115">
      <c r="A47" t="s">
        <v>4933</v>
      </c>
      <c r="B47" t="s">
        <v>2016</v>
      </c>
      <c r="C47">
        <v>1633.79</v>
      </c>
      <c r="D47">
        <v>1726.393</v>
      </c>
      <c r="E47">
        <v>90.731000000000009</v>
      </c>
      <c r="F47">
        <v>0</v>
      </c>
      <c r="G47" s="2043">
        <v>631794068</v>
      </c>
      <c r="H47">
        <v>0</v>
      </c>
      <c r="I47" s="2043">
        <v>1045655</v>
      </c>
      <c r="J47">
        <v>81.69</v>
      </c>
      <c r="K47">
        <v>223</v>
      </c>
      <c r="L47">
        <v>0</v>
      </c>
      <c r="M47">
        <v>0</v>
      </c>
      <c r="N47">
        <v>0</v>
      </c>
      <c r="O47">
        <v>0</v>
      </c>
      <c r="P47">
        <v>0</v>
      </c>
      <c r="Q47">
        <v>0</v>
      </c>
      <c r="R47" s="2043">
        <v>5128483</v>
      </c>
      <c r="S47">
        <v>311686</v>
      </c>
      <c r="T47">
        <v>0</v>
      </c>
      <c r="U47">
        <v>0.05</v>
      </c>
      <c r="V47">
        <v>0</v>
      </c>
      <c r="W47">
        <v>0</v>
      </c>
      <c r="X47">
        <v>0</v>
      </c>
      <c r="Y47">
        <v>0</v>
      </c>
      <c r="Z47">
        <v>0</v>
      </c>
      <c r="AA47">
        <v>0</v>
      </c>
      <c r="AB47">
        <v>1675.5650000000001</v>
      </c>
      <c r="AC47" s="2043">
        <v>452820166</v>
      </c>
      <c r="AD47">
        <v>3071248</v>
      </c>
      <c r="AE47" s="2043">
        <v>5440169</v>
      </c>
      <c r="AF47">
        <v>0.87270000000000003</v>
      </c>
      <c r="AG47">
        <v>0</v>
      </c>
      <c r="AH47">
        <v>0</v>
      </c>
      <c r="AI47">
        <v>0</v>
      </c>
      <c r="AJ47">
        <v>148.33799999999999</v>
      </c>
      <c r="AK47">
        <v>5294</v>
      </c>
      <c r="AL47">
        <v>0</v>
      </c>
      <c r="AM47">
        <v>0</v>
      </c>
      <c r="AN47">
        <v>43.966999999999999</v>
      </c>
      <c r="AO47">
        <v>0</v>
      </c>
      <c r="AP47">
        <v>0</v>
      </c>
      <c r="AQ47">
        <v>0</v>
      </c>
      <c r="AR47">
        <v>42.455000000000005</v>
      </c>
      <c r="AS47">
        <v>0</v>
      </c>
      <c r="AT47">
        <v>6.4370000000000003</v>
      </c>
      <c r="AU47">
        <v>2.46</v>
      </c>
      <c r="AV47">
        <v>0</v>
      </c>
      <c r="AW47">
        <v>53.61</v>
      </c>
      <c r="AX47">
        <v>2.258</v>
      </c>
      <c r="AY47">
        <v>164.16900000000001</v>
      </c>
      <c r="AZ47">
        <v>0</v>
      </c>
      <c r="BA47">
        <v>9543745</v>
      </c>
      <c r="BB47">
        <v>8511417</v>
      </c>
      <c r="BC47">
        <v>0</v>
      </c>
      <c r="BD47">
        <v>91800</v>
      </c>
      <c r="BE47">
        <v>42595</v>
      </c>
      <c r="BF47">
        <v>134395</v>
      </c>
      <c r="BG47">
        <v>91800</v>
      </c>
      <c r="BH47">
        <v>0</v>
      </c>
      <c r="BI47">
        <v>0</v>
      </c>
      <c r="BJ47">
        <v>0</v>
      </c>
      <c r="BK47">
        <v>0</v>
      </c>
      <c r="BL47">
        <v>631794068</v>
      </c>
      <c r="BM47">
        <v>0</v>
      </c>
      <c r="BN47">
        <v>5589</v>
      </c>
      <c r="BO47">
        <v>1819</v>
      </c>
      <c r="BP47">
        <v>0</v>
      </c>
      <c r="BQ47">
        <v>0</v>
      </c>
      <c r="BR47">
        <v>0.82269999999999999</v>
      </c>
      <c r="BS47">
        <v>0.82269999999999999</v>
      </c>
      <c r="BT47">
        <v>0</v>
      </c>
      <c r="BU47">
        <v>0</v>
      </c>
      <c r="BV47">
        <v>456</v>
      </c>
      <c r="BW47">
        <v>4</v>
      </c>
      <c r="BX47">
        <v>142</v>
      </c>
      <c r="BY47">
        <v>5</v>
      </c>
      <c r="BZ47">
        <v>29</v>
      </c>
      <c r="CA47">
        <v>636</v>
      </c>
      <c r="CB47">
        <v>0</v>
      </c>
      <c r="CC47">
        <v>0</v>
      </c>
      <c r="CD47">
        <v>0</v>
      </c>
      <c r="CE47">
        <v>82</v>
      </c>
      <c r="CF47">
        <v>209.84200000000001</v>
      </c>
      <c r="CG47">
        <v>0</v>
      </c>
      <c r="CH47">
        <v>0</v>
      </c>
      <c r="CI47">
        <v>2</v>
      </c>
      <c r="CJ47">
        <v>26</v>
      </c>
      <c r="CK47">
        <v>0</v>
      </c>
      <c r="CL47">
        <v>0</v>
      </c>
      <c r="CM47">
        <v>90.731000000000009</v>
      </c>
      <c r="CN47">
        <v>0</v>
      </c>
      <c r="CO47">
        <v>0</v>
      </c>
      <c r="CP47">
        <v>0</v>
      </c>
      <c r="CQ47">
        <v>0</v>
      </c>
      <c r="CR47">
        <v>0</v>
      </c>
      <c r="CS47">
        <v>0</v>
      </c>
      <c r="CT47">
        <v>0</v>
      </c>
      <c r="CU47">
        <v>0.16</v>
      </c>
      <c r="CV47">
        <v>66.5</v>
      </c>
      <c r="CW47">
        <v>57.385000000000005</v>
      </c>
      <c r="CX47">
        <v>0</v>
      </c>
      <c r="CY47" s="2043">
        <v>0</v>
      </c>
      <c r="CZ47" s="2043">
        <v>0</v>
      </c>
      <c r="DA47" s="2043">
        <v>0</v>
      </c>
      <c r="DB47" s="2043">
        <v>0</v>
      </c>
      <c r="DC47" s="2043">
        <v>0</v>
      </c>
      <c r="DI47" t="s">
        <v>4933</v>
      </c>
      <c r="DJ47" t="s">
        <v>4933</v>
      </c>
      <c r="DK47" s="2042">
        <f t="shared" si="2"/>
        <v>0</v>
      </c>
    </row>
    <row r="48" spans="1:115">
      <c r="A48" t="s">
        <v>2868</v>
      </c>
      <c r="B48" t="s">
        <v>1588</v>
      </c>
      <c r="C48">
        <v>367.51600000000002</v>
      </c>
      <c r="D48">
        <v>377.26300000000003</v>
      </c>
      <c r="E48">
        <v>82.593000000000004</v>
      </c>
      <c r="F48">
        <v>0</v>
      </c>
      <c r="G48" s="2043">
        <v>157067266</v>
      </c>
      <c r="H48">
        <v>0</v>
      </c>
      <c r="I48" s="2043">
        <v>161268</v>
      </c>
      <c r="J48">
        <v>12</v>
      </c>
      <c r="K48">
        <v>33</v>
      </c>
      <c r="L48">
        <v>0</v>
      </c>
      <c r="M48">
        <v>107563</v>
      </c>
      <c r="N48">
        <v>0</v>
      </c>
      <c r="O48">
        <v>107563</v>
      </c>
      <c r="P48">
        <v>0</v>
      </c>
      <c r="Q48">
        <v>0</v>
      </c>
      <c r="R48" s="2043">
        <v>1211474</v>
      </c>
      <c r="S48">
        <v>73691</v>
      </c>
      <c r="T48">
        <v>0</v>
      </c>
      <c r="U48">
        <v>0.05</v>
      </c>
      <c r="V48">
        <v>0</v>
      </c>
      <c r="W48">
        <v>0</v>
      </c>
      <c r="X48">
        <v>0</v>
      </c>
      <c r="Y48">
        <v>0</v>
      </c>
      <c r="Z48">
        <v>0</v>
      </c>
      <c r="AA48">
        <v>0</v>
      </c>
      <c r="AB48">
        <v>357.30799999999999</v>
      </c>
      <c r="AC48" s="2043">
        <v>124880688</v>
      </c>
      <c r="AD48">
        <v>398453</v>
      </c>
      <c r="AE48" s="2043">
        <v>1285165</v>
      </c>
      <c r="AF48">
        <v>0.872</v>
      </c>
      <c r="AG48">
        <v>0</v>
      </c>
      <c r="AH48">
        <v>0</v>
      </c>
      <c r="AI48">
        <v>0</v>
      </c>
      <c r="AJ48">
        <v>84.850000000000009</v>
      </c>
      <c r="AK48">
        <v>1541</v>
      </c>
      <c r="AL48">
        <v>0.08</v>
      </c>
      <c r="AM48">
        <v>0</v>
      </c>
      <c r="AN48">
        <v>19.965</v>
      </c>
      <c r="AO48">
        <v>0</v>
      </c>
      <c r="AP48">
        <v>1.3680000000000001</v>
      </c>
      <c r="AQ48">
        <v>0</v>
      </c>
      <c r="AR48">
        <v>4.3360000000000003</v>
      </c>
      <c r="AS48">
        <v>0</v>
      </c>
      <c r="AT48">
        <v>1.097</v>
      </c>
      <c r="AU48">
        <v>0.33700000000000002</v>
      </c>
      <c r="AV48">
        <v>0</v>
      </c>
      <c r="AW48">
        <v>7.218</v>
      </c>
      <c r="AX48">
        <v>0</v>
      </c>
      <c r="AY48">
        <v>22.077999999999999</v>
      </c>
      <c r="AZ48">
        <v>0</v>
      </c>
      <c r="BA48">
        <v>3664346</v>
      </c>
      <c r="BB48">
        <v>1683618</v>
      </c>
      <c r="BC48">
        <v>0</v>
      </c>
      <c r="BD48">
        <v>22374</v>
      </c>
      <c r="BE48">
        <v>61625</v>
      </c>
      <c r="BF48">
        <v>83999</v>
      </c>
      <c r="BG48">
        <v>22374</v>
      </c>
      <c r="BH48">
        <v>0</v>
      </c>
      <c r="BI48">
        <v>0</v>
      </c>
      <c r="BJ48">
        <v>0</v>
      </c>
      <c r="BK48">
        <v>0</v>
      </c>
      <c r="BL48">
        <v>157067266</v>
      </c>
      <c r="BM48">
        <v>0</v>
      </c>
      <c r="BN48">
        <v>1143</v>
      </c>
      <c r="BO48">
        <v>910</v>
      </c>
      <c r="BP48">
        <v>0</v>
      </c>
      <c r="BQ48">
        <v>0</v>
      </c>
      <c r="BR48">
        <v>0.82200000000000006</v>
      </c>
      <c r="BS48">
        <v>0.82200000000000006</v>
      </c>
      <c r="BT48">
        <v>0</v>
      </c>
      <c r="BU48">
        <v>0</v>
      </c>
      <c r="BV48">
        <v>18</v>
      </c>
      <c r="BW48">
        <v>152</v>
      </c>
      <c r="BX48">
        <v>168</v>
      </c>
      <c r="BY48">
        <v>4</v>
      </c>
      <c r="BZ48">
        <v>6</v>
      </c>
      <c r="CA48">
        <v>348</v>
      </c>
      <c r="CB48">
        <v>0</v>
      </c>
      <c r="CC48">
        <v>0</v>
      </c>
      <c r="CD48">
        <v>0</v>
      </c>
      <c r="CE48">
        <v>17</v>
      </c>
      <c r="CF48">
        <v>134.54500000000002</v>
      </c>
      <c r="CG48">
        <v>0</v>
      </c>
      <c r="CH48">
        <v>0</v>
      </c>
      <c r="CI48">
        <v>5</v>
      </c>
      <c r="CJ48">
        <v>1</v>
      </c>
      <c r="CK48">
        <v>0</v>
      </c>
      <c r="CL48">
        <v>0</v>
      </c>
      <c r="CM48">
        <v>82.593000000000004</v>
      </c>
      <c r="CN48">
        <v>0</v>
      </c>
      <c r="CO48">
        <v>0</v>
      </c>
      <c r="CP48">
        <v>0</v>
      </c>
      <c r="CQ48">
        <v>0</v>
      </c>
      <c r="CR48">
        <v>0</v>
      </c>
      <c r="CS48">
        <v>0</v>
      </c>
      <c r="CT48">
        <v>0</v>
      </c>
      <c r="CU48">
        <v>0</v>
      </c>
      <c r="CV48">
        <v>26.016000000000002</v>
      </c>
      <c r="CW48">
        <v>11.639000000000001</v>
      </c>
      <c r="CX48">
        <v>0</v>
      </c>
      <c r="CY48" s="2043">
        <v>0</v>
      </c>
      <c r="CZ48" s="2043">
        <v>0</v>
      </c>
      <c r="DA48" s="2043">
        <v>0</v>
      </c>
      <c r="DB48" s="2043">
        <v>0</v>
      </c>
      <c r="DC48" s="2043">
        <v>0</v>
      </c>
      <c r="DI48" t="s">
        <v>2868</v>
      </c>
      <c r="DJ48" t="s">
        <v>2868</v>
      </c>
      <c r="DK48" s="2042">
        <f t="shared" si="2"/>
        <v>0</v>
      </c>
    </row>
    <row r="49" spans="1:115">
      <c r="A49" t="s">
        <v>2869</v>
      </c>
      <c r="B49" t="s">
        <v>1591</v>
      </c>
      <c r="C49">
        <v>12336.137000000001</v>
      </c>
      <c r="D49">
        <v>11823.252</v>
      </c>
      <c r="E49">
        <v>567.63400000000001</v>
      </c>
      <c r="F49">
        <v>0</v>
      </c>
      <c r="G49" s="2043">
        <v>4578658339</v>
      </c>
      <c r="H49">
        <v>0</v>
      </c>
      <c r="I49" s="2043">
        <v>15891055</v>
      </c>
      <c r="J49">
        <v>616.80700000000002</v>
      </c>
      <c r="K49">
        <v>1686</v>
      </c>
      <c r="L49">
        <v>0</v>
      </c>
      <c r="M49">
        <v>0</v>
      </c>
      <c r="N49">
        <v>0</v>
      </c>
      <c r="O49">
        <v>0</v>
      </c>
      <c r="P49">
        <v>0</v>
      </c>
      <c r="Q49">
        <v>0</v>
      </c>
      <c r="R49" s="2043">
        <v>36948357</v>
      </c>
      <c r="S49">
        <v>3595947</v>
      </c>
      <c r="T49">
        <v>2620547</v>
      </c>
      <c r="U49">
        <v>0.08</v>
      </c>
      <c r="V49">
        <v>581.34300000000007</v>
      </c>
      <c r="W49">
        <v>0</v>
      </c>
      <c r="X49">
        <v>0</v>
      </c>
      <c r="Y49">
        <v>-15722</v>
      </c>
      <c r="Z49">
        <v>0</v>
      </c>
      <c r="AA49">
        <v>0.64600000000000002</v>
      </c>
      <c r="AB49">
        <v>11823.252</v>
      </c>
      <c r="AC49" s="2043">
        <v>3278368765</v>
      </c>
      <c r="AD49">
        <v>17899912</v>
      </c>
      <c r="AE49" s="2043">
        <v>43164851</v>
      </c>
      <c r="AF49">
        <v>0.96030000000000004</v>
      </c>
      <c r="AG49">
        <v>189964</v>
      </c>
      <c r="AH49">
        <v>0</v>
      </c>
      <c r="AI49">
        <v>0</v>
      </c>
      <c r="AJ49">
        <v>1279.2630000000001</v>
      </c>
      <c r="AK49">
        <v>52243</v>
      </c>
      <c r="AL49">
        <v>0.80100000000000005</v>
      </c>
      <c r="AM49">
        <v>0</v>
      </c>
      <c r="AN49">
        <v>462.79500000000002</v>
      </c>
      <c r="AO49">
        <v>0</v>
      </c>
      <c r="AP49">
        <v>0</v>
      </c>
      <c r="AQ49">
        <v>1.544</v>
      </c>
      <c r="AR49">
        <v>369.30900000000003</v>
      </c>
      <c r="AS49">
        <v>0</v>
      </c>
      <c r="AT49">
        <v>148.589</v>
      </c>
      <c r="AU49">
        <v>33.517000000000003</v>
      </c>
      <c r="AV49">
        <v>0</v>
      </c>
      <c r="AW49">
        <v>572.51300000000003</v>
      </c>
      <c r="AX49">
        <v>18.753</v>
      </c>
      <c r="AY49">
        <v>1768.4160000000002</v>
      </c>
      <c r="AZ49">
        <v>0</v>
      </c>
      <c r="BA49">
        <v>78124376</v>
      </c>
      <c r="BB49">
        <v>61064763</v>
      </c>
      <c r="BC49">
        <v>0</v>
      </c>
      <c r="BD49">
        <v>622422</v>
      </c>
      <c r="BE49">
        <v>345422</v>
      </c>
      <c r="BF49">
        <v>1143671</v>
      </c>
      <c r="BG49">
        <v>622422</v>
      </c>
      <c r="BH49">
        <v>175827</v>
      </c>
      <c r="BI49">
        <v>-10516</v>
      </c>
      <c r="BJ49">
        <v>-5206</v>
      </c>
      <c r="BK49">
        <v>0</v>
      </c>
      <c r="BL49">
        <v>4578658339</v>
      </c>
      <c r="BM49">
        <v>0</v>
      </c>
      <c r="BN49">
        <v>45414</v>
      </c>
      <c r="BO49">
        <v>23647</v>
      </c>
      <c r="BP49">
        <v>0</v>
      </c>
      <c r="BQ49">
        <v>0</v>
      </c>
      <c r="BR49">
        <v>0.82200000000000006</v>
      </c>
      <c r="BS49">
        <v>0.82200000000000006</v>
      </c>
      <c r="BT49">
        <v>0</v>
      </c>
      <c r="BU49">
        <v>0</v>
      </c>
      <c r="BV49">
        <v>3033</v>
      </c>
      <c r="BW49">
        <v>673</v>
      </c>
      <c r="BX49">
        <v>430</v>
      </c>
      <c r="BY49">
        <v>282</v>
      </c>
      <c r="BZ49">
        <v>929</v>
      </c>
      <c r="CA49">
        <v>5347</v>
      </c>
      <c r="CB49">
        <v>0</v>
      </c>
      <c r="CC49">
        <v>173.54600000000002</v>
      </c>
      <c r="CD49">
        <v>28.483000000000001</v>
      </c>
      <c r="CE49">
        <v>965</v>
      </c>
      <c r="CF49">
        <v>1795.3480000000002</v>
      </c>
      <c r="CG49">
        <v>0</v>
      </c>
      <c r="CH49">
        <v>1.6850000000000001</v>
      </c>
      <c r="CI49">
        <v>1</v>
      </c>
      <c r="CJ49">
        <v>98</v>
      </c>
      <c r="CK49">
        <v>1</v>
      </c>
      <c r="CL49">
        <v>1.6850000000000001</v>
      </c>
      <c r="CM49">
        <v>567.63400000000001</v>
      </c>
      <c r="CN49">
        <v>0</v>
      </c>
      <c r="CO49">
        <v>0</v>
      </c>
      <c r="CP49">
        <v>0</v>
      </c>
      <c r="CQ49">
        <v>0</v>
      </c>
      <c r="CR49">
        <v>0</v>
      </c>
      <c r="CS49">
        <v>0</v>
      </c>
      <c r="CT49">
        <v>0</v>
      </c>
      <c r="CU49">
        <v>2.6619999999999999</v>
      </c>
      <c r="CV49">
        <v>456.67700000000002</v>
      </c>
      <c r="CW49">
        <v>315.65300000000002</v>
      </c>
      <c r="CX49">
        <v>0</v>
      </c>
      <c r="CY49" s="2043">
        <v>0</v>
      </c>
      <c r="CZ49" s="2043">
        <v>189964</v>
      </c>
      <c r="DA49" s="2043">
        <v>0</v>
      </c>
      <c r="DB49" s="2043">
        <v>0</v>
      </c>
      <c r="DC49" s="2043">
        <v>0</v>
      </c>
      <c r="DI49" t="s">
        <v>2869</v>
      </c>
      <c r="DJ49" t="s">
        <v>2869</v>
      </c>
      <c r="DK49" s="2042">
        <f t="shared" si="2"/>
        <v>0</v>
      </c>
    </row>
    <row r="50" spans="1:115">
      <c r="A50" t="s">
        <v>2870</v>
      </c>
      <c r="B50" t="s">
        <v>161</v>
      </c>
      <c r="C50">
        <v>610.73700000000008</v>
      </c>
      <c r="D50">
        <v>623.65200000000004</v>
      </c>
      <c r="E50">
        <v>12.742000000000001</v>
      </c>
      <c r="F50">
        <v>0</v>
      </c>
      <c r="G50" s="2043">
        <v>161705461</v>
      </c>
      <c r="H50">
        <v>0</v>
      </c>
      <c r="I50" s="2043">
        <v>710750</v>
      </c>
      <c r="J50">
        <v>30.537000000000003</v>
      </c>
      <c r="K50">
        <v>83</v>
      </c>
      <c r="L50">
        <v>67802</v>
      </c>
      <c r="M50">
        <v>210634</v>
      </c>
      <c r="N50">
        <v>67802</v>
      </c>
      <c r="O50">
        <v>278436</v>
      </c>
      <c r="P50">
        <v>0</v>
      </c>
      <c r="Q50">
        <v>0</v>
      </c>
      <c r="R50" s="2043">
        <v>1327281</v>
      </c>
      <c r="S50">
        <v>80735</v>
      </c>
      <c r="T50">
        <v>0</v>
      </c>
      <c r="U50">
        <v>0.05</v>
      </c>
      <c r="V50">
        <v>0</v>
      </c>
      <c r="W50">
        <v>0</v>
      </c>
      <c r="X50">
        <v>0</v>
      </c>
      <c r="Y50">
        <v>0</v>
      </c>
      <c r="Z50">
        <v>0</v>
      </c>
      <c r="AA50">
        <v>0</v>
      </c>
      <c r="AB50">
        <v>621.99900000000002</v>
      </c>
      <c r="AC50" s="2043">
        <v>128922641</v>
      </c>
      <c r="AD50">
        <v>517087</v>
      </c>
      <c r="AE50" s="2043">
        <v>1408016</v>
      </c>
      <c r="AF50">
        <v>0.872</v>
      </c>
      <c r="AG50">
        <v>0</v>
      </c>
      <c r="AH50">
        <v>0</v>
      </c>
      <c r="AI50">
        <v>0</v>
      </c>
      <c r="AJ50">
        <v>69.238</v>
      </c>
      <c r="AK50">
        <v>3053</v>
      </c>
      <c r="AL50">
        <v>0</v>
      </c>
      <c r="AM50">
        <v>0</v>
      </c>
      <c r="AN50">
        <v>10.31</v>
      </c>
      <c r="AO50">
        <v>0</v>
      </c>
      <c r="AP50">
        <v>3.008</v>
      </c>
      <c r="AQ50">
        <v>0</v>
      </c>
      <c r="AR50">
        <v>19.192</v>
      </c>
      <c r="AS50">
        <v>0</v>
      </c>
      <c r="AT50">
        <v>2.371</v>
      </c>
      <c r="AU50">
        <v>1.042</v>
      </c>
      <c r="AV50">
        <v>0</v>
      </c>
      <c r="AW50">
        <v>27.365000000000002</v>
      </c>
      <c r="AX50">
        <v>1.752</v>
      </c>
      <c r="AY50">
        <v>82.05</v>
      </c>
      <c r="AZ50">
        <v>0</v>
      </c>
      <c r="BA50">
        <v>6190184</v>
      </c>
      <c r="BB50">
        <v>1925103</v>
      </c>
      <c r="BC50">
        <v>0</v>
      </c>
      <c r="BD50">
        <v>28115</v>
      </c>
      <c r="BE50">
        <v>7057</v>
      </c>
      <c r="BF50">
        <v>43478</v>
      </c>
      <c r="BG50">
        <v>28115</v>
      </c>
      <c r="BH50">
        <v>8306</v>
      </c>
      <c r="BI50">
        <v>0</v>
      </c>
      <c r="BJ50">
        <v>0</v>
      </c>
      <c r="BK50">
        <v>0</v>
      </c>
      <c r="BL50">
        <v>161705461</v>
      </c>
      <c r="BM50">
        <v>0</v>
      </c>
      <c r="BN50">
        <v>2250</v>
      </c>
      <c r="BO50">
        <v>2194</v>
      </c>
      <c r="BP50">
        <v>0</v>
      </c>
      <c r="BQ50">
        <v>0</v>
      </c>
      <c r="BR50">
        <v>0.82200000000000006</v>
      </c>
      <c r="BS50">
        <v>0.82200000000000006</v>
      </c>
      <c r="BT50">
        <v>0</v>
      </c>
      <c r="BU50">
        <v>0</v>
      </c>
      <c r="BV50">
        <v>70</v>
      </c>
      <c r="BW50">
        <v>34</v>
      </c>
      <c r="BX50">
        <v>174</v>
      </c>
      <c r="BY50">
        <v>1</v>
      </c>
      <c r="BZ50">
        <v>6</v>
      </c>
      <c r="CA50">
        <v>285</v>
      </c>
      <c r="CB50">
        <v>0</v>
      </c>
      <c r="CC50">
        <v>0</v>
      </c>
      <c r="CD50">
        <v>0</v>
      </c>
      <c r="CE50">
        <v>71</v>
      </c>
      <c r="CF50">
        <v>72.141000000000005</v>
      </c>
      <c r="CG50">
        <v>0</v>
      </c>
      <c r="CH50">
        <v>0</v>
      </c>
      <c r="CI50">
        <v>3</v>
      </c>
      <c r="CJ50">
        <v>11</v>
      </c>
      <c r="CK50">
        <v>0</v>
      </c>
      <c r="CL50">
        <v>0</v>
      </c>
      <c r="CM50">
        <v>12.742000000000001</v>
      </c>
      <c r="CN50">
        <v>0</v>
      </c>
      <c r="CO50">
        <v>0</v>
      </c>
      <c r="CP50">
        <v>0</v>
      </c>
      <c r="CQ50">
        <v>0</v>
      </c>
      <c r="CR50">
        <v>0</v>
      </c>
      <c r="CS50">
        <v>0</v>
      </c>
      <c r="CT50">
        <v>0</v>
      </c>
      <c r="CU50">
        <v>0.747</v>
      </c>
      <c r="CV50">
        <v>48.025000000000006</v>
      </c>
      <c r="CW50">
        <v>23.952000000000002</v>
      </c>
      <c r="CX50">
        <v>0</v>
      </c>
      <c r="CY50" s="2043">
        <v>0</v>
      </c>
      <c r="CZ50" s="2043">
        <v>0</v>
      </c>
      <c r="DA50" s="2043">
        <v>0</v>
      </c>
      <c r="DB50" s="2043">
        <v>0</v>
      </c>
      <c r="DC50" s="2043">
        <v>0</v>
      </c>
      <c r="DI50" t="s">
        <v>2870</v>
      </c>
      <c r="DJ50" t="s">
        <v>2870</v>
      </c>
      <c r="DK50" s="2042">
        <f t="shared" si="2"/>
        <v>0</v>
      </c>
    </row>
    <row r="51" spans="1:115">
      <c r="A51" t="s">
        <v>2871</v>
      </c>
      <c r="B51" t="s">
        <v>51</v>
      </c>
      <c r="C51">
        <v>39241.862999999998</v>
      </c>
      <c r="D51">
        <v>41350.817000000003</v>
      </c>
      <c r="E51">
        <v>4070.0140000000001</v>
      </c>
      <c r="F51">
        <v>0</v>
      </c>
      <c r="G51" s="2043">
        <v>10140023676</v>
      </c>
      <c r="H51">
        <v>0</v>
      </c>
      <c r="I51" s="2043">
        <v>27137875</v>
      </c>
      <c r="J51">
        <v>1650</v>
      </c>
      <c r="K51">
        <v>4511</v>
      </c>
      <c r="L51">
        <v>1453815</v>
      </c>
      <c r="M51">
        <v>4101035</v>
      </c>
      <c r="N51">
        <v>1453815</v>
      </c>
      <c r="O51">
        <v>5554850</v>
      </c>
      <c r="P51">
        <v>0</v>
      </c>
      <c r="Q51">
        <v>0</v>
      </c>
      <c r="R51" s="2043">
        <v>79539102</v>
      </c>
      <c r="S51">
        <v>4838145</v>
      </c>
      <c r="T51">
        <v>0</v>
      </c>
      <c r="U51">
        <v>0.05</v>
      </c>
      <c r="V51">
        <v>3301.4030000000002</v>
      </c>
      <c r="W51">
        <v>0</v>
      </c>
      <c r="X51">
        <v>0</v>
      </c>
      <c r="Y51">
        <v>-11464</v>
      </c>
      <c r="Z51">
        <v>0</v>
      </c>
      <c r="AA51">
        <v>0.996</v>
      </c>
      <c r="AB51">
        <v>38795.671999999999</v>
      </c>
      <c r="AC51" s="2043">
        <v>8108322150</v>
      </c>
      <c r="AD51">
        <v>16432255</v>
      </c>
      <c r="AE51" s="2043">
        <v>84377247</v>
      </c>
      <c r="AF51">
        <v>0.872</v>
      </c>
      <c r="AG51">
        <v>0</v>
      </c>
      <c r="AH51">
        <v>0</v>
      </c>
      <c r="AI51">
        <v>0</v>
      </c>
      <c r="AJ51">
        <v>6726.7130000000006</v>
      </c>
      <c r="AK51">
        <v>152810</v>
      </c>
      <c r="AL51">
        <v>2.7090000000000001</v>
      </c>
      <c r="AM51">
        <v>0.57900000000000007</v>
      </c>
      <c r="AN51">
        <v>1940.4</v>
      </c>
      <c r="AO51">
        <v>0</v>
      </c>
      <c r="AP51">
        <v>1.3000000000000001E-2</v>
      </c>
      <c r="AQ51">
        <v>3.6000000000000004E-2</v>
      </c>
      <c r="AR51">
        <v>774.85200000000009</v>
      </c>
      <c r="AS51">
        <v>0</v>
      </c>
      <c r="AT51">
        <v>542.31500000000005</v>
      </c>
      <c r="AU51">
        <v>104.65900000000001</v>
      </c>
      <c r="AV51">
        <v>0</v>
      </c>
      <c r="AW51">
        <v>1436.297</v>
      </c>
      <c r="AX51">
        <v>11.134</v>
      </c>
      <c r="AY51">
        <v>4515.7210000000005</v>
      </c>
      <c r="AZ51">
        <v>0</v>
      </c>
      <c r="BA51">
        <v>285328894</v>
      </c>
      <c r="BB51">
        <v>100809502</v>
      </c>
      <c r="BC51">
        <v>0</v>
      </c>
      <c r="BD51">
        <v>1799609</v>
      </c>
      <c r="BE51">
        <v>1238623</v>
      </c>
      <c r="BF51">
        <v>3690670</v>
      </c>
      <c r="BG51">
        <v>1799609</v>
      </c>
      <c r="BH51">
        <v>652438</v>
      </c>
      <c r="BI51">
        <v>-814</v>
      </c>
      <c r="BJ51">
        <v>-10650</v>
      </c>
      <c r="BK51">
        <v>0</v>
      </c>
      <c r="BL51">
        <v>10140023676</v>
      </c>
      <c r="BM51">
        <v>0</v>
      </c>
      <c r="BN51">
        <v>128907</v>
      </c>
      <c r="BO51">
        <v>51981</v>
      </c>
      <c r="BP51">
        <v>5882</v>
      </c>
      <c r="BQ51">
        <v>0</v>
      </c>
      <c r="BR51">
        <v>0.82200000000000006</v>
      </c>
      <c r="BS51">
        <v>0.82200000000000006</v>
      </c>
      <c r="BT51">
        <v>0</v>
      </c>
      <c r="BU51">
        <v>0</v>
      </c>
      <c r="BV51">
        <v>4146</v>
      </c>
      <c r="BW51">
        <v>7069</v>
      </c>
      <c r="BX51">
        <v>7841</v>
      </c>
      <c r="BY51">
        <v>5228</v>
      </c>
      <c r="BZ51">
        <v>2845</v>
      </c>
      <c r="CA51">
        <v>27129</v>
      </c>
      <c r="CB51">
        <v>0</v>
      </c>
      <c r="CC51">
        <v>0</v>
      </c>
      <c r="CD51">
        <v>0</v>
      </c>
      <c r="CE51">
        <v>3530</v>
      </c>
      <c r="CF51">
        <v>10405.413</v>
      </c>
      <c r="CG51">
        <v>263.20600000000002</v>
      </c>
      <c r="CH51">
        <v>21.724</v>
      </c>
      <c r="CI51">
        <v>78</v>
      </c>
      <c r="CJ51">
        <v>175</v>
      </c>
      <c r="CK51">
        <v>4</v>
      </c>
      <c r="CL51">
        <v>284.93</v>
      </c>
      <c r="CM51">
        <v>4070.0140000000001</v>
      </c>
      <c r="CN51">
        <v>0</v>
      </c>
      <c r="CO51">
        <v>0</v>
      </c>
      <c r="CP51">
        <v>5882</v>
      </c>
      <c r="CQ51">
        <v>0</v>
      </c>
      <c r="CR51">
        <v>0</v>
      </c>
      <c r="CS51">
        <v>0</v>
      </c>
      <c r="CT51">
        <v>0</v>
      </c>
      <c r="CU51">
        <v>46.624000000000002</v>
      </c>
      <c r="CV51">
        <v>915.697</v>
      </c>
      <c r="CW51">
        <v>665.98400000000004</v>
      </c>
      <c r="CX51">
        <v>0</v>
      </c>
      <c r="CY51" s="2043">
        <v>0</v>
      </c>
      <c r="CZ51" s="2043">
        <v>0</v>
      </c>
      <c r="DA51" s="2043">
        <v>0</v>
      </c>
      <c r="DB51" s="2043">
        <v>0</v>
      </c>
      <c r="DC51" s="2043">
        <v>0</v>
      </c>
      <c r="DI51" t="s">
        <v>2871</v>
      </c>
      <c r="DJ51" t="s">
        <v>2871</v>
      </c>
      <c r="DK51" s="2042">
        <f t="shared" si="2"/>
        <v>0</v>
      </c>
    </row>
    <row r="52" spans="1:115">
      <c r="A52" t="s">
        <v>2872</v>
      </c>
      <c r="B52" t="s">
        <v>157</v>
      </c>
      <c r="C52">
        <v>835.43600000000004</v>
      </c>
      <c r="D52">
        <v>830.15600000000006</v>
      </c>
      <c r="E52">
        <v>55.370000000000005</v>
      </c>
      <c r="F52">
        <v>0</v>
      </c>
      <c r="G52" s="2043">
        <v>230834331</v>
      </c>
      <c r="H52">
        <v>0</v>
      </c>
      <c r="I52" s="2043">
        <v>1038300</v>
      </c>
      <c r="J52">
        <v>41.771999999999998</v>
      </c>
      <c r="K52">
        <v>114</v>
      </c>
      <c r="L52">
        <v>124347</v>
      </c>
      <c r="M52">
        <v>466207</v>
      </c>
      <c r="N52">
        <v>124347</v>
      </c>
      <c r="O52">
        <v>590554</v>
      </c>
      <c r="P52">
        <v>0</v>
      </c>
      <c r="Q52">
        <v>0</v>
      </c>
      <c r="R52" s="2043">
        <v>1961488</v>
      </c>
      <c r="S52">
        <v>115749</v>
      </c>
      <c r="T52">
        <v>0</v>
      </c>
      <c r="U52">
        <v>0.05</v>
      </c>
      <c r="V52">
        <v>0</v>
      </c>
      <c r="W52">
        <v>0</v>
      </c>
      <c r="X52">
        <v>0</v>
      </c>
      <c r="Y52">
        <v>0</v>
      </c>
      <c r="Z52">
        <v>0</v>
      </c>
      <c r="AA52">
        <v>0</v>
      </c>
      <c r="AB52">
        <v>830.15600000000006</v>
      </c>
      <c r="AC52" s="2043">
        <v>203736649</v>
      </c>
      <c r="AD52">
        <v>786333</v>
      </c>
      <c r="AE52" s="2043">
        <v>2077237</v>
      </c>
      <c r="AF52">
        <v>0.8973000000000001</v>
      </c>
      <c r="AG52">
        <v>0</v>
      </c>
      <c r="AH52">
        <v>0</v>
      </c>
      <c r="AI52">
        <v>0</v>
      </c>
      <c r="AJ52">
        <v>99.725000000000009</v>
      </c>
      <c r="AK52">
        <v>3182</v>
      </c>
      <c r="AL52">
        <v>0</v>
      </c>
      <c r="AM52">
        <v>0</v>
      </c>
      <c r="AN52">
        <v>31.547000000000001</v>
      </c>
      <c r="AO52">
        <v>0</v>
      </c>
      <c r="AP52">
        <v>4.8660000000000005</v>
      </c>
      <c r="AQ52">
        <v>0</v>
      </c>
      <c r="AR52">
        <v>15.945</v>
      </c>
      <c r="AS52">
        <v>0</v>
      </c>
      <c r="AT52">
        <v>6.0000000000000001E-3</v>
      </c>
      <c r="AU52">
        <v>0.97</v>
      </c>
      <c r="AV52">
        <v>0</v>
      </c>
      <c r="AW52">
        <v>22.920999999999999</v>
      </c>
      <c r="AX52">
        <v>1.1340000000000001</v>
      </c>
      <c r="AY52">
        <v>68.448999999999998</v>
      </c>
      <c r="AZ52">
        <v>0</v>
      </c>
      <c r="BA52">
        <v>7558184</v>
      </c>
      <c r="BB52">
        <v>2863570</v>
      </c>
      <c r="BC52">
        <v>0</v>
      </c>
      <c r="BD52">
        <v>88633</v>
      </c>
      <c r="BE52">
        <v>57977</v>
      </c>
      <c r="BF52">
        <v>146610</v>
      </c>
      <c r="BG52">
        <v>88633</v>
      </c>
      <c r="BH52">
        <v>0</v>
      </c>
      <c r="BI52">
        <v>0</v>
      </c>
      <c r="BJ52">
        <v>0</v>
      </c>
      <c r="BK52">
        <v>0</v>
      </c>
      <c r="BL52">
        <v>230834331</v>
      </c>
      <c r="BM52">
        <v>0</v>
      </c>
      <c r="BN52">
        <v>3330</v>
      </c>
      <c r="BO52">
        <v>1958</v>
      </c>
      <c r="BP52">
        <v>0</v>
      </c>
      <c r="BQ52">
        <v>0</v>
      </c>
      <c r="BR52">
        <v>0.84730000000000005</v>
      </c>
      <c r="BS52">
        <v>0.84730000000000005</v>
      </c>
      <c r="BT52">
        <v>0</v>
      </c>
      <c r="BU52">
        <v>0</v>
      </c>
      <c r="BV52">
        <v>104</v>
      </c>
      <c r="BW52">
        <v>277</v>
      </c>
      <c r="BX52">
        <v>16</v>
      </c>
      <c r="BY52">
        <v>5</v>
      </c>
      <c r="BZ52">
        <v>19</v>
      </c>
      <c r="CA52">
        <v>421</v>
      </c>
      <c r="CB52">
        <v>0</v>
      </c>
      <c r="CC52">
        <v>0</v>
      </c>
      <c r="CD52">
        <v>0</v>
      </c>
      <c r="CE52">
        <v>76</v>
      </c>
      <c r="CF52">
        <v>150.19300000000001</v>
      </c>
      <c r="CG52">
        <v>0</v>
      </c>
      <c r="CH52">
        <v>0</v>
      </c>
      <c r="CI52">
        <v>2</v>
      </c>
      <c r="CJ52">
        <v>8</v>
      </c>
      <c r="CK52">
        <v>0</v>
      </c>
      <c r="CL52">
        <v>0</v>
      </c>
      <c r="CM52">
        <v>55.370000000000005</v>
      </c>
      <c r="CN52">
        <v>0</v>
      </c>
      <c r="CO52">
        <v>0</v>
      </c>
      <c r="CP52">
        <v>0</v>
      </c>
      <c r="CQ52">
        <v>0</v>
      </c>
      <c r="CR52">
        <v>0</v>
      </c>
      <c r="CS52">
        <v>0</v>
      </c>
      <c r="CT52">
        <v>0</v>
      </c>
      <c r="CU52">
        <v>0</v>
      </c>
      <c r="CV52">
        <v>42.722999999999999</v>
      </c>
      <c r="CW52">
        <v>24.238</v>
      </c>
      <c r="CX52">
        <v>0</v>
      </c>
      <c r="CY52" s="2043">
        <v>0</v>
      </c>
      <c r="CZ52" s="2043">
        <v>0</v>
      </c>
      <c r="DA52" s="2043">
        <v>0</v>
      </c>
      <c r="DB52" s="2043">
        <v>0</v>
      </c>
      <c r="DC52" s="2043">
        <v>0</v>
      </c>
      <c r="DI52" t="s">
        <v>2872</v>
      </c>
      <c r="DJ52" t="s">
        <v>2872</v>
      </c>
      <c r="DK52" s="2042">
        <f t="shared" si="2"/>
        <v>0</v>
      </c>
    </row>
    <row r="53" spans="1:115">
      <c r="A53" t="s">
        <v>2873</v>
      </c>
      <c r="B53" t="s">
        <v>1236</v>
      </c>
      <c r="C53">
        <v>2099.0070000000001</v>
      </c>
      <c r="D53">
        <v>2084.0010000000002</v>
      </c>
      <c r="E53">
        <v>115.88200000000001</v>
      </c>
      <c r="F53">
        <v>0</v>
      </c>
      <c r="G53" s="2043">
        <v>1241858789</v>
      </c>
      <c r="H53">
        <v>0</v>
      </c>
      <c r="I53" s="2043">
        <v>3990850</v>
      </c>
      <c r="J53">
        <v>104.95</v>
      </c>
      <c r="K53">
        <v>287</v>
      </c>
      <c r="L53">
        <v>0</v>
      </c>
      <c r="M53">
        <v>211190</v>
      </c>
      <c r="N53">
        <v>0</v>
      </c>
      <c r="O53">
        <v>211190</v>
      </c>
      <c r="P53">
        <v>0</v>
      </c>
      <c r="Q53">
        <v>0</v>
      </c>
      <c r="R53" s="2043">
        <v>10088236</v>
      </c>
      <c r="S53">
        <v>613640</v>
      </c>
      <c r="T53">
        <v>0</v>
      </c>
      <c r="U53">
        <v>0.05</v>
      </c>
      <c r="V53">
        <v>74.573999999999998</v>
      </c>
      <c r="W53">
        <v>0</v>
      </c>
      <c r="X53">
        <v>0</v>
      </c>
      <c r="Y53">
        <v>0</v>
      </c>
      <c r="Z53">
        <v>0.98100000000000009</v>
      </c>
      <c r="AA53">
        <v>0</v>
      </c>
      <c r="AB53">
        <v>2029.835</v>
      </c>
      <c r="AC53" s="2043">
        <v>894363383</v>
      </c>
      <c r="AD53">
        <v>6128688</v>
      </c>
      <c r="AE53" s="2043">
        <v>10701876</v>
      </c>
      <c r="AF53">
        <v>0.872</v>
      </c>
      <c r="AG53">
        <v>0</v>
      </c>
      <c r="AH53">
        <v>0</v>
      </c>
      <c r="AI53">
        <v>0</v>
      </c>
      <c r="AJ53">
        <v>118.77500000000001</v>
      </c>
      <c r="AK53">
        <v>5490</v>
      </c>
      <c r="AL53">
        <v>6.7000000000000004E-2</v>
      </c>
      <c r="AM53">
        <v>0</v>
      </c>
      <c r="AN53">
        <v>44.279000000000003</v>
      </c>
      <c r="AO53">
        <v>0</v>
      </c>
      <c r="AP53">
        <v>0</v>
      </c>
      <c r="AQ53">
        <v>0</v>
      </c>
      <c r="AR53">
        <v>44.765000000000001</v>
      </c>
      <c r="AS53">
        <v>0</v>
      </c>
      <c r="AT53">
        <v>8.1150000000000002</v>
      </c>
      <c r="AU53">
        <v>3.0370000000000004</v>
      </c>
      <c r="AV53">
        <v>0</v>
      </c>
      <c r="AW53">
        <v>55.984000000000002</v>
      </c>
      <c r="AX53">
        <v>0</v>
      </c>
      <c r="AY53">
        <v>174.16</v>
      </c>
      <c r="AZ53">
        <v>0</v>
      </c>
      <c r="BA53">
        <v>7480168</v>
      </c>
      <c r="BB53">
        <v>16830564</v>
      </c>
      <c r="BC53">
        <v>0</v>
      </c>
      <c r="BD53">
        <v>104239</v>
      </c>
      <c r="BE53">
        <v>41167</v>
      </c>
      <c r="BF53">
        <v>150348</v>
      </c>
      <c r="BG53">
        <v>104239</v>
      </c>
      <c r="BH53">
        <v>4942</v>
      </c>
      <c r="BI53">
        <v>0</v>
      </c>
      <c r="BJ53">
        <v>0</v>
      </c>
      <c r="BK53">
        <v>0</v>
      </c>
      <c r="BL53">
        <v>1241858789</v>
      </c>
      <c r="BM53">
        <v>0</v>
      </c>
      <c r="BN53">
        <v>7452</v>
      </c>
      <c r="BO53">
        <v>2889</v>
      </c>
      <c r="BP53">
        <v>6205</v>
      </c>
      <c r="BQ53">
        <v>0</v>
      </c>
      <c r="BR53">
        <v>0.82200000000000006</v>
      </c>
      <c r="BS53">
        <v>0.82200000000000006</v>
      </c>
      <c r="BT53">
        <v>0</v>
      </c>
      <c r="BU53">
        <v>0</v>
      </c>
      <c r="BV53">
        <v>447</v>
      </c>
      <c r="BW53">
        <v>57</v>
      </c>
      <c r="BX53">
        <v>11</v>
      </c>
      <c r="BY53">
        <v>1</v>
      </c>
      <c r="BZ53">
        <v>6</v>
      </c>
      <c r="CA53">
        <v>522</v>
      </c>
      <c r="CB53">
        <v>0</v>
      </c>
      <c r="CC53">
        <v>0</v>
      </c>
      <c r="CD53">
        <v>0</v>
      </c>
      <c r="CE53">
        <v>138</v>
      </c>
      <c r="CF53">
        <v>187.73600000000002</v>
      </c>
      <c r="CG53">
        <v>0</v>
      </c>
      <c r="CH53">
        <v>4.6909999999999998</v>
      </c>
      <c r="CI53">
        <v>3</v>
      </c>
      <c r="CJ53">
        <v>26</v>
      </c>
      <c r="CK53">
        <v>0</v>
      </c>
      <c r="CL53">
        <v>4.6909999999999998</v>
      </c>
      <c r="CM53">
        <v>115.88200000000001</v>
      </c>
      <c r="CN53">
        <v>0</v>
      </c>
      <c r="CO53">
        <v>0</v>
      </c>
      <c r="CP53">
        <v>4955</v>
      </c>
      <c r="CQ53">
        <v>1250</v>
      </c>
      <c r="CR53">
        <v>0</v>
      </c>
      <c r="CS53">
        <v>0</v>
      </c>
      <c r="CT53">
        <v>0</v>
      </c>
      <c r="CU53">
        <v>0</v>
      </c>
      <c r="CV53">
        <v>90.043000000000006</v>
      </c>
      <c r="CW53">
        <v>31.312000000000001</v>
      </c>
      <c r="CX53">
        <v>0</v>
      </c>
      <c r="CY53" s="2043">
        <v>0</v>
      </c>
      <c r="CZ53" s="2043">
        <v>0</v>
      </c>
      <c r="DA53" s="2043">
        <v>0</v>
      </c>
      <c r="DB53" s="2043">
        <v>0</v>
      </c>
      <c r="DC53" s="2043">
        <v>0</v>
      </c>
      <c r="DI53" t="s">
        <v>2873</v>
      </c>
      <c r="DJ53" t="s">
        <v>2873</v>
      </c>
      <c r="DK53" s="2042">
        <f t="shared" si="2"/>
        <v>0</v>
      </c>
    </row>
    <row r="54" spans="1:115">
      <c r="A54" t="s">
        <v>2874</v>
      </c>
      <c r="B54" t="s">
        <v>1425</v>
      </c>
      <c r="C54">
        <v>7645.1630000000005</v>
      </c>
      <c r="D54">
        <v>7919.7250000000004</v>
      </c>
      <c r="E54">
        <v>1076.671</v>
      </c>
      <c r="F54">
        <v>0</v>
      </c>
      <c r="G54" s="2043">
        <v>4213480493</v>
      </c>
      <c r="H54">
        <v>0</v>
      </c>
      <c r="I54" s="2043">
        <v>12834675</v>
      </c>
      <c r="J54">
        <v>382.25800000000004</v>
      </c>
      <c r="K54">
        <v>1045</v>
      </c>
      <c r="L54">
        <v>0</v>
      </c>
      <c r="M54">
        <v>1498739</v>
      </c>
      <c r="N54">
        <v>0</v>
      </c>
      <c r="O54">
        <v>1498739</v>
      </c>
      <c r="P54">
        <v>0</v>
      </c>
      <c r="Q54">
        <v>0</v>
      </c>
      <c r="R54" s="2043">
        <v>34410864</v>
      </c>
      <c r="S54">
        <v>3345733</v>
      </c>
      <c r="T54">
        <v>1083181</v>
      </c>
      <c r="U54">
        <v>0.08</v>
      </c>
      <c r="V54">
        <v>0</v>
      </c>
      <c r="W54">
        <v>0</v>
      </c>
      <c r="X54">
        <v>0</v>
      </c>
      <c r="Y54">
        <v>3923880</v>
      </c>
      <c r="Z54">
        <v>0</v>
      </c>
      <c r="AA54">
        <v>0.59899999999999998</v>
      </c>
      <c r="AB54">
        <v>7714.0530000000008</v>
      </c>
      <c r="AC54" s="2043">
        <v>3320513009</v>
      </c>
      <c r="AD54">
        <v>14926970</v>
      </c>
      <c r="AE54" s="2043">
        <v>38839778</v>
      </c>
      <c r="AF54">
        <v>0.92870000000000008</v>
      </c>
      <c r="AG54">
        <v>6395647</v>
      </c>
      <c r="AH54">
        <v>0</v>
      </c>
      <c r="AI54">
        <v>0</v>
      </c>
      <c r="AJ54">
        <v>1664.7380000000001</v>
      </c>
      <c r="AK54">
        <v>35526</v>
      </c>
      <c r="AL54">
        <v>0.79800000000000004</v>
      </c>
      <c r="AM54">
        <v>9.0999999999999998E-2</v>
      </c>
      <c r="AN54">
        <v>56.241</v>
      </c>
      <c r="AO54">
        <v>0</v>
      </c>
      <c r="AP54">
        <v>0</v>
      </c>
      <c r="AQ54">
        <v>0.85899999999999999</v>
      </c>
      <c r="AR54">
        <v>343.3</v>
      </c>
      <c r="AS54">
        <v>0</v>
      </c>
      <c r="AT54">
        <v>118.33200000000001</v>
      </c>
      <c r="AU54">
        <v>17.170000000000002</v>
      </c>
      <c r="AV54">
        <v>0</v>
      </c>
      <c r="AW54">
        <v>491.642</v>
      </c>
      <c r="AX54">
        <v>11.092000000000001</v>
      </c>
      <c r="AY54">
        <v>1500.5210000000002</v>
      </c>
      <c r="AZ54">
        <v>3939633</v>
      </c>
      <c r="BA54">
        <v>43582949</v>
      </c>
      <c r="BB54">
        <v>53766748</v>
      </c>
      <c r="BC54">
        <v>0</v>
      </c>
      <c r="BD54">
        <v>247297</v>
      </c>
      <c r="BE54">
        <v>191542</v>
      </c>
      <c r="BF54">
        <v>492525</v>
      </c>
      <c r="BG54">
        <v>247297</v>
      </c>
      <c r="BH54">
        <v>53686</v>
      </c>
      <c r="BI54">
        <v>0</v>
      </c>
      <c r="BJ54">
        <v>-15753</v>
      </c>
      <c r="BK54">
        <v>0</v>
      </c>
      <c r="BL54">
        <v>4213480493</v>
      </c>
      <c r="BM54">
        <v>0</v>
      </c>
      <c r="BN54">
        <v>27666</v>
      </c>
      <c r="BO54">
        <v>18201</v>
      </c>
      <c r="BP54">
        <v>5706</v>
      </c>
      <c r="BQ54">
        <v>0</v>
      </c>
      <c r="BR54">
        <v>0.82280000000000009</v>
      </c>
      <c r="BS54">
        <v>0.82280000000000009</v>
      </c>
      <c r="BT54">
        <v>0</v>
      </c>
      <c r="BU54">
        <v>0</v>
      </c>
      <c r="BV54">
        <v>961</v>
      </c>
      <c r="BW54">
        <v>725</v>
      </c>
      <c r="BX54">
        <v>936</v>
      </c>
      <c r="BY54">
        <v>2062</v>
      </c>
      <c r="BZ54">
        <v>1822</v>
      </c>
      <c r="CA54">
        <v>6506</v>
      </c>
      <c r="CB54">
        <v>0</v>
      </c>
      <c r="CC54">
        <v>0</v>
      </c>
      <c r="CD54">
        <v>0</v>
      </c>
      <c r="CE54">
        <v>561</v>
      </c>
      <c r="CF54">
        <v>2266.9160000000002</v>
      </c>
      <c r="CG54">
        <v>49.999000000000002</v>
      </c>
      <c r="CH54">
        <v>1.004</v>
      </c>
      <c r="CI54">
        <v>0</v>
      </c>
      <c r="CJ54">
        <v>15</v>
      </c>
      <c r="CK54">
        <v>0</v>
      </c>
      <c r="CL54">
        <v>51.003</v>
      </c>
      <c r="CM54">
        <v>1076.671</v>
      </c>
      <c r="CN54">
        <v>0</v>
      </c>
      <c r="CO54">
        <v>0</v>
      </c>
      <c r="CP54">
        <v>5706</v>
      </c>
      <c r="CQ54">
        <v>0</v>
      </c>
      <c r="CR54">
        <v>0</v>
      </c>
      <c r="CS54">
        <v>0</v>
      </c>
      <c r="CT54">
        <v>0</v>
      </c>
      <c r="CU54">
        <v>3.9450000000000003</v>
      </c>
      <c r="CV54">
        <v>358.488</v>
      </c>
      <c r="CW54">
        <v>264.19900000000001</v>
      </c>
      <c r="CX54">
        <v>0</v>
      </c>
      <c r="CY54" s="2043">
        <v>0</v>
      </c>
      <c r="CZ54" s="2043">
        <v>6395647</v>
      </c>
      <c r="DA54" s="2043">
        <v>0</v>
      </c>
      <c r="DB54" s="2043">
        <v>0</v>
      </c>
      <c r="DC54" s="2043">
        <v>0</v>
      </c>
      <c r="DI54" t="s">
        <v>2874</v>
      </c>
      <c r="DJ54" t="s">
        <v>2874</v>
      </c>
      <c r="DK54" s="2042">
        <f t="shared" si="2"/>
        <v>0</v>
      </c>
    </row>
    <row r="55" spans="1:115">
      <c r="A55" t="s">
        <v>2875</v>
      </c>
      <c r="B55" t="s">
        <v>1430</v>
      </c>
      <c r="C55">
        <v>1524.124</v>
      </c>
      <c r="D55">
        <v>1461.7350000000001</v>
      </c>
      <c r="E55">
        <v>83.207999999999998</v>
      </c>
      <c r="F55">
        <v>0</v>
      </c>
      <c r="G55" s="2043">
        <v>500376768</v>
      </c>
      <c r="H55">
        <v>0</v>
      </c>
      <c r="I55" s="2043">
        <v>2036575</v>
      </c>
      <c r="J55">
        <v>76.206000000000003</v>
      </c>
      <c r="K55">
        <v>208</v>
      </c>
      <c r="L55">
        <v>17619</v>
      </c>
      <c r="M55">
        <v>266608</v>
      </c>
      <c r="N55">
        <v>17619</v>
      </c>
      <c r="O55">
        <v>284227</v>
      </c>
      <c r="P55">
        <v>0</v>
      </c>
      <c r="Q55">
        <v>0</v>
      </c>
      <c r="R55" s="2043">
        <v>3902720</v>
      </c>
      <c r="S55">
        <v>189913</v>
      </c>
      <c r="T55">
        <v>0</v>
      </c>
      <c r="U55">
        <v>0.04</v>
      </c>
      <c r="V55">
        <v>0</v>
      </c>
      <c r="W55">
        <v>0</v>
      </c>
      <c r="X55">
        <v>0</v>
      </c>
      <c r="Y55">
        <v>349244</v>
      </c>
      <c r="Z55">
        <v>0</v>
      </c>
      <c r="AA55">
        <v>0.14600000000000002</v>
      </c>
      <c r="AB55">
        <v>1461.7350000000001</v>
      </c>
      <c r="AC55" s="2043">
        <v>369469855</v>
      </c>
      <c r="AD55">
        <v>1893675</v>
      </c>
      <c r="AE55" s="2043">
        <v>4092633</v>
      </c>
      <c r="AF55">
        <v>0.86199999999999999</v>
      </c>
      <c r="AG55">
        <v>681778</v>
      </c>
      <c r="AH55">
        <v>0</v>
      </c>
      <c r="AI55">
        <v>0</v>
      </c>
      <c r="AJ55">
        <v>175.16300000000001</v>
      </c>
      <c r="AK55">
        <v>7321</v>
      </c>
      <c r="AL55">
        <v>0.151</v>
      </c>
      <c r="AM55">
        <v>0</v>
      </c>
      <c r="AN55">
        <v>62.476000000000006</v>
      </c>
      <c r="AO55">
        <v>0</v>
      </c>
      <c r="AP55">
        <v>0.68500000000000005</v>
      </c>
      <c r="AQ55">
        <v>0</v>
      </c>
      <c r="AR55">
        <v>54.18</v>
      </c>
      <c r="AS55">
        <v>0</v>
      </c>
      <c r="AT55">
        <v>13.951000000000001</v>
      </c>
      <c r="AU55">
        <v>3.516</v>
      </c>
      <c r="AV55">
        <v>0</v>
      </c>
      <c r="AW55">
        <v>72.483000000000004</v>
      </c>
      <c r="AX55">
        <v>0</v>
      </c>
      <c r="AY55">
        <v>224.578</v>
      </c>
      <c r="AZ55">
        <v>349244</v>
      </c>
      <c r="BA55">
        <v>10981981</v>
      </c>
      <c r="BB55">
        <v>5986308</v>
      </c>
      <c r="BC55">
        <v>0</v>
      </c>
      <c r="BD55">
        <v>89985</v>
      </c>
      <c r="BE55">
        <v>22844</v>
      </c>
      <c r="BF55">
        <v>192612</v>
      </c>
      <c r="BG55">
        <v>89985</v>
      </c>
      <c r="BH55">
        <v>79783</v>
      </c>
      <c r="BI55">
        <v>0</v>
      </c>
      <c r="BJ55">
        <v>0</v>
      </c>
      <c r="BK55">
        <v>0</v>
      </c>
      <c r="BL55">
        <v>500376768</v>
      </c>
      <c r="BM55">
        <v>0</v>
      </c>
      <c r="BN55">
        <v>5355</v>
      </c>
      <c r="BO55">
        <v>2204</v>
      </c>
      <c r="BP55">
        <v>0</v>
      </c>
      <c r="BQ55">
        <v>0</v>
      </c>
      <c r="BR55">
        <v>0.82200000000000006</v>
      </c>
      <c r="BS55">
        <v>0.82200000000000006</v>
      </c>
      <c r="BT55">
        <v>0</v>
      </c>
      <c r="BU55">
        <v>0</v>
      </c>
      <c r="BV55">
        <v>314</v>
      </c>
      <c r="BW55">
        <v>371</v>
      </c>
      <c r="BX55">
        <v>47</v>
      </c>
      <c r="BY55">
        <v>2</v>
      </c>
      <c r="BZ55">
        <v>15</v>
      </c>
      <c r="CA55">
        <v>749</v>
      </c>
      <c r="CB55">
        <v>0</v>
      </c>
      <c r="CC55">
        <v>0</v>
      </c>
      <c r="CD55">
        <v>0</v>
      </c>
      <c r="CE55">
        <v>138</v>
      </c>
      <c r="CF55">
        <v>263.19</v>
      </c>
      <c r="CG55">
        <v>0</v>
      </c>
      <c r="CH55">
        <v>0</v>
      </c>
      <c r="CI55">
        <v>11</v>
      </c>
      <c r="CJ55">
        <v>20</v>
      </c>
      <c r="CK55">
        <v>0</v>
      </c>
      <c r="CL55">
        <v>0</v>
      </c>
      <c r="CM55">
        <v>83.207999999999998</v>
      </c>
      <c r="CN55">
        <v>0</v>
      </c>
      <c r="CO55">
        <v>0</v>
      </c>
      <c r="CP55">
        <v>0</v>
      </c>
      <c r="CQ55">
        <v>0</v>
      </c>
      <c r="CR55">
        <v>0</v>
      </c>
      <c r="CS55">
        <v>0</v>
      </c>
      <c r="CT55">
        <v>0</v>
      </c>
      <c r="CU55">
        <v>0.58600000000000008</v>
      </c>
      <c r="CV55">
        <v>30.284000000000002</v>
      </c>
      <c r="CW55">
        <v>46.480000000000004</v>
      </c>
      <c r="CX55">
        <v>0</v>
      </c>
      <c r="CY55" s="2043">
        <v>0</v>
      </c>
      <c r="CZ55" s="2043">
        <v>681778</v>
      </c>
      <c r="DA55" s="2043">
        <v>0</v>
      </c>
      <c r="DB55" s="2043">
        <v>0</v>
      </c>
      <c r="DC55" s="2043">
        <v>0</v>
      </c>
      <c r="DI55" t="s">
        <v>2875</v>
      </c>
      <c r="DJ55" t="s">
        <v>2875</v>
      </c>
      <c r="DK55" s="2042">
        <f t="shared" si="2"/>
        <v>0</v>
      </c>
    </row>
    <row r="56" spans="1:115">
      <c r="A56" t="s">
        <v>7923</v>
      </c>
      <c r="B56" t="s">
        <v>11233</v>
      </c>
      <c r="C56">
        <v>111.07700000000001</v>
      </c>
      <c r="D56">
        <v>165.67500000000001</v>
      </c>
      <c r="E56">
        <v>0</v>
      </c>
      <c r="F56">
        <v>0</v>
      </c>
      <c r="G56" s="2043">
        <v>0</v>
      </c>
      <c r="H56">
        <v>0</v>
      </c>
      <c r="I56" s="2043">
        <v>0</v>
      </c>
      <c r="J56">
        <v>0</v>
      </c>
      <c r="K56">
        <v>0</v>
      </c>
      <c r="L56">
        <v>0</v>
      </c>
      <c r="M56">
        <v>0</v>
      </c>
      <c r="N56">
        <v>0</v>
      </c>
      <c r="O56">
        <v>0</v>
      </c>
      <c r="P56">
        <v>0</v>
      </c>
      <c r="Q56">
        <v>0</v>
      </c>
      <c r="R56" s="2043">
        <v>0</v>
      </c>
      <c r="S56">
        <v>0</v>
      </c>
      <c r="T56">
        <v>0</v>
      </c>
      <c r="U56">
        <v>0</v>
      </c>
      <c r="V56">
        <v>0</v>
      </c>
      <c r="W56">
        <v>0</v>
      </c>
      <c r="X56">
        <v>0</v>
      </c>
      <c r="Y56">
        <v>42550</v>
      </c>
      <c r="Z56">
        <v>0</v>
      </c>
      <c r="AA56">
        <v>0.23800000000000002</v>
      </c>
      <c r="AB56">
        <v>126.90700000000001</v>
      </c>
      <c r="AC56" s="2043">
        <v>0</v>
      </c>
      <c r="AD56">
        <v>0</v>
      </c>
      <c r="AE56" s="2043">
        <v>0</v>
      </c>
      <c r="AF56">
        <v>0</v>
      </c>
      <c r="AG56">
        <v>0</v>
      </c>
      <c r="AH56">
        <v>0</v>
      </c>
      <c r="AI56">
        <v>0</v>
      </c>
      <c r="AJ56">
        <v>29.325000000000003</v>
      </c>
      <c r="AK56">
        <v>251</v>
      </c>
      <c r="AL56">
        <v>0</v>
      </c>
      <c r="AM56">
        <v>0</v>
      </c>
      <c r="AN56">
        <v>6.4390000000000001</v>
      </c>
      <c r="AO56">
        <v>0</v>
      </c>
      <c r="AP56">
        <v>0</v>
      </c>
      <c r="AQ56">
        <v>0</v>
      </c>
      <c r="AR56">
        <v>1.232</v>
      </c>
      <c r="AS56">
        <v>0</v>
      </c>
      <c r="AT56">
        <v>0</v>
      </c>
      <c r="AU56">
        <v>0</v>
      </c>
      <c r="AV56">
        <v>0</v>
      </c>
      <c r="AW56">
        <v>1.232</v>
      </c>
      <c r="AX56">
        <v>0</v>
      </c>
      <c r="AY56">
        <v>3.6960000000000002</v>
      </c>
      <c r="AZ56">
        <v>0</v>
      </c>
      <c r="BA56">
        <v>1316482</v>
      </c>
      <c r="BB56">
        <v>0</v>
      </c>
      <c r="BC56">
        <v>0</v>
      </c>
      <c r="BD56">
        <v>0</v>
      </c>
      <c r="BE56">
        <v>0</v>
      </c>
      <c r="BF56">
        <v>0</v>
      </c>
      <c r="BG56">
        <v>0</v>
      </c>
      <c r="BH56">
        <v>0</v>
      </c>
      <c r="BI56">
        <v>0</v>
      </c>
      <c r="BJ56">
        <v>0</v>
      </c>
      <c r="BK56">
        <v>0</v>
      </c>
      <c r="BL56">
        <v>0</v>
      </c>
      <c r="BM56">
        <v>0</v>
      </c>
      <c r="BN56">
        <v>1476</v>
      </c>
      <c r="BO56">
        <v>1648</v>
      </c>
      <c r="BP56">
        <v>0</v>
      </c>
      <c r="BQ56">
        <v>0</v>
      </c>
      <c r="BR56">
        <v>0</v>
      </c>
      <c r="BS56">
        <v>0</v>
      </c>
      <c r="BT56">
        <v>22914</v>
      </c>
      <c r="BU56">
        <v>0</v>
      </c>
      <c r="BV56">
        <v>17</v>
      </c>
      <c r="BW56">
        <v>12</v>
      </c>
      <c r="BX56">
        <v>19</v>
      </c>
      <c r="BY56">
        <v>20</v>
      </c>
      <c r="BZ56">
        <v>46</v>
      </c>
      <c r="CA56">
        <v>114</v>
      </c>
      <c r="CB56">
        <v>0</v>
      </c>
      <c r="CC56">
        <v>0</v>
      </c>
      <c r="CD56">
        <v>0</v>
      </c>
      <c r="CE56">
        <v>6</v>
      </c>
      <c r="CF56">
        <v>0</v>
      </c>
      <c r="CG56">
        <v>111.07700000000001</v>
      </c>
      <c r="CH56">
        <v>0</v>
      </c>
      <c r="CI56">
        <v>0</v>
      </c>
      <c r="CJ56">
        <v>0</v>
      </c>
      <c r="CK56">
        <v>0</v>
      </c>
      <c r="CL56">
        <v>111.07700000000001</v>
      </c>
      <c r="CM56">
        <v>0</v>
      </c>
      <c r="CN56">
        <v>0</v>
      </c>
      <c r="CO56">
        <v>0</v>
      </c>
      <c r="CP56">
        <v>0</v>
      </c>
      <c r="CQ56">
        <v>0</v>
      </c>
      <c r="CR56">
        <v>0</v>
      </c>
      <c r="CS56">
        <v>0</v>
      </c>
      <c r="CT56">
        <v>0</v>
      </c>
      <c r="CU56">
        <v>1.913</v>
      </c>
      <c r="CV56">
        <v>11.3</v>
      </c>
      <c r="CW56">
        <v>7.2010000000000005</v>
      </c>
      <c r="CX56">
        <v>22914</v>
      </c>
      <c r="CY56" s="2043">
        <v>0</v>
      </c>
      <c r="CZ56" s="2043">
        <v>0</v>
      </c>
      <c r="DA56" s="2043">
        <v>0</v>
      </c>
      <c r="DB56" s="2043">
        <v>0</v>
      </c>
      <c r="DC56" s="2043">
        <v>0</v>
      </c>
      <c r="DI56" t="s">
        <v>7923</v>
      </c>
      <c r="DJ56" t="s">
        <v>7923</v>
      </c>
      <c r="DK56" s="2042">
        <f t="shared" si="2"/>
        <v>0</v>
      </c>
    </row>
    <row r="57" spans="1:115">
      <c r="A57" t="s">
        <v>7924</v>
      </c>
      <c r="B57" t="s">
        <v>11234</v>
      </c>
      <c r="C57">
        <v>621.32900000000006</v>
      </c>
      <c r="D57">
        <v>708.346</v>
      </c>
      <c r="E57">
        <v>72.747</v>
      </c>
      <c r="F57">
        <v>0</v>
      </c>
      <c r="G57" s="2043">
        <v>0</v>
      </c>
      <c r="H57">
        <v>0</v>
      </c>
      <c r="I57" s="2043">
        <v>0</v>
      </c>
      <c r="J57">
        <v>14</v>
      </c>
      <c r="K57">
        <v>38</v>
      </c>
      <c r="L57">
        <v>0</v>
      </c>
      <c r="M57">
        <v>0</v>
      </c>
      <c r="N57">
        <v>0</v>
      </c>
      <c r="O57">
        <v>0</v>
      </c>
      <c r="P57">
        <v>0</v>
      </c>
      <c r="Q57">
        <v>0</v>
      </c>
      <c r="R57" s="2043">
        <v>0</v>
      </c>
      <c r="S57">
        <v>0</v>
      </c>
      <c r="T57">
        <v>0</v>
      </c>
      <c r="U57">
        <v>0</v>
      </c>
      <c r="V57">
        <v>0</v>
      </c>
      <c r="W57">
        <v>0</v>
      </c>
      <c r="X57">
        <v>0</v>
      </c>
      <c r="Y57">
        <v>202167</v>
      </c>
      <c r="Z57">
        <v>0</v>
      </c>
      <c r="AA57">
        <v>0</v>
      </c>
      <c r="AB57">
        <v>708.346</v>
      </c>
      <c r="AC57" s="2043">
        <v>0</v>
      </c>
      <c r="AD57">
        <v>0</v>
      </c>
      <c r="AE57" s="2043">
        <v>0</v>
      </c>
      <c r="AF57">
        <v>0</v>
      </c>
      <c r="AG57">
        <v>0</v>
      </c>
      <c r="AH57">
        <v>0</v>
      </c>
      <c r="AI57">
        <v>0</v>
      </c>
      <c r="AJ57">
        <v>174.77500000000001</v>
      </c>
      <c r="AK57">
        <v>2665</v>
      </c>
      <c r="AL57">
        <v>0</v>
      </c>
      <c r="AM57">
        <v>0</v>
      </c>
      <c r="AN57">
        <v>39.564</v>
      </c>
      <c r="AO57">
        <v>0</v>
      </c>
      <c r="AP57">
        <v>0</v>
      </c>
      <c r="AQ57">
        <v>0</v>
      </c>
      <c r="AR57">
        <v>21.522000000000002</v>
      </c>
      <c r="AS57">
        <v>0</v>
      </c>
      <c r="AT57">
        <v>0</v>
      </c>
      <c r="AU57">
        <v>1.524</v>
      </c>
      <c r="AV57">
        <v>0</v>
      </c>
      <c r="AW57">
        <v>23.045999999999999</v>
      </c>
      <c r="AX57">
        <v>0</v>
      </c>
      <c r="AY57">
        <v>72.186000000000007</v>
      </c>
      <c r="AZ57">
        <v>0</v>
      </c>
      <c r="BA57">
        <v>7589956</v>
      </c>
      <c r="BB57">
        <v>0</v>
      </c>
      <c r="BC57">
        <v>0</v>
      </c>
      <c r="BD57">
        <v>47939</v>
      </c>
      <c r="BE57">
        <v>0</v>
      </c>
      <c r="BF57">
        <v>47939</v>
      </c>
      <c r="BG57">
        <v>47939</v>
      </c>
      <c r="BH57">
        <v>0</v>
      </c>
      <c r="BI57">
        <v>0</v>
      </c>
      <c r="BJ57">
        <v>0</v>
      </c>
      <c r="BK57">
        <v>0</v>
      </c>
      <c r="BL57">
        <v>0</v>
      </c>
      <c r="BM57">
        <v>0</v>
      </c>
      <c r="BN57">
        <v>1386</v>
      </c>
      <c r="BO57">
        <v>1091</v>
      </c>
      <c r="BP57">
        <v>0</v>
      </c>
      <c r="BQ57">
        <v>0</v>
      </c>
      <c r="BR57">
        <v>0</v>
      </c>
      <c r="BS57">
        <v>0</v>
      </c>
      <c r="BT57">
        <v>0</v>
      </c>
      <c r="BU57">
        <v>0</v>
      </c>
      <c r="BV57">
        <v>25</v>
      </c>
      <c r="BW57">
        <v>108</v>
      </c>
      <c r="BX57">
        <v>147</v>
      </c>
      <c r="BY57">
        <v>106</v>
      </c>
      <c r="BZ57">
        <v>287</v>
      </c>
      <c r="CA57">
        <v>673</v>
      </c>
      <c r="CB57">
        <v>0</v>
      </c>
      <c r="CC57">
        <v>40.207000000000001</v>
      </c>
      <c r="CD57">
        <v>8.5519999999999996</v>
      </c>
      <c r="CE57">
        <v>26</v>
      </c>
      <c r="CF57">
        <v>364.548</v>
      </c>
      <c r="CG57">
        <v>0</v>
      </c>
      <c r="CH57">
        <v>0</v>
      </c>
      <c r="CI57">
        <v>1</v>
      </c>
      <c r="CJ57">
        <v>0</v>
      </c>
      <c r="CK57">
        <v>0</v>
      </c>
      <c r="CL57">
        <v>0</v>
      </c>
      <c r="CM57">
        <v>72.747</v>
      </c>
      <c r="CN57">
        <v>0</v>
      </c>
      <c r="CO57">
        <v>0</v>
      </c>
      <c r="CP57">
        <v>0</v>
      </c>
      <c r="CQ57">
        <v>0</v>
      </c>
      <c r="CR57">
        <v>0</v>
      </c>
      <c r="CS57">
        <v>7.96</v>
      </c>
      <c r="CT57">
        <v>0</v>
      </c>
      <c r="CU57">
        <v>0</v>
      </c>
      <c r="CV57">
        <v>15.63</v>
      </c>
      <c r="CW57">
        <v>3.363</v>
      </c>
      <c r="CX57">
        <v>0</v>
      </c>
      <c r="CY57" s="2043">
        <v>202167</v>
      </c>
      <c r="CZ57" s="2043">
        <v>0</v>
      </c>
      <c r="DA57" s="2043">
        <v>0</v>
      </c>
      <c r="DB57" s="2043">
        <v>0</v>
      </c>
      <c r="DC57" s="2043">
        <v>0</v>
      </c>
      <c r="DI57" t="s">
        <v>7924</v>
      </c>
      <c r="DJ57" t="s">
        <v>7924</v>
      </c>
      <c r="DK57" s="2042">
        <f t="shared" si="2"/>
        <v>0</v>
      </c>
    </row>
    <row r="58" spans="1:115">
      <c r="A58" t="s">
        <v>7925</v>
      </c>
      <c r="B58" t="s">
        <v>11235</v>
      </c>
      <c r="C58">
        <v>142.90800000000002</v>
      </c>
      <c r="D58">
        <v>483.34100000000001</v>
      </c>
      <c r="E58">
        <v>9.6390000000000011</v>
      </c>
      <c r="F58">
        <v>0</v>
      </c>
      <c r="G58" s="2043">
        <v>0</v>
      </c>
      <c r="H58">
        <v>0</v>
      </c>
      <c r="I58" s="2043">
        <v>0</v>
      </c>
      <c r="J58">
        <v>0</v>
      </c>
      <c r="K58">
        <v>0</v>
      </c>
      <c r="L58">
        <v>0</v>
      </c>
      <c r="M58">
        <v>0</v>
      </c>
      <c r="N58">
        <v>0</v>
      </c>
      <c r="O58">
        <v>0</v>
      </c>
      <c r="P58">
        <v>0</v>
      </c>
      <c r="Q58">
        <v>0</v>
      </c>
      <c r="R58" s="2043">
        <v>0</v>
      </c>
      <c r="S58">
        <v>0</v>
      </c>
      <c r="T58">
        <v>0</v>
      </c>
      <c r="U58">
        <v>0</v>
      </c>
      <c r="V58">
        <v>0</v>
      </c>
      <c r="W58">
        <v>0</v>
      </c>
      <c r="X58">
        <v>0</v>
      </c>
      <c r="Y58">
        <v>25264</v>
      </c>
      <c r="Z58">
        <v>0</v>
      </c>
      <c r="AA58">
        <v>0</v>
      </c>
      <c r="AB58">
        <v>440.42900000000003</v>
      </c>
      <c r="AC58" s="2043">
        <v>0</v>
      </c>
      <c r="AD58">
        <v>0</v>
      </c>
      <c r="AE58" s="2043">
        <v>0</v>
      </c>
      <c r="AF58">
        <v>0</v>
      </c>
      <c r="AG58">
        <v>0</v>
      </c>
      <c r="AH58">
        <v>0</v>
      </c>
      <c r="AI58">
        <v>0</v>
      </c>
      <c r="AJ58">
        <v>28.438000000000002</v>
      </c>
      <c r="AK58">
        <v>119</v>
      </c>
      <c r="AL58">
        <v>0</v>
      </c>
      <c r="AM58">
        <v>0</v>
      </c>
      <c r="AN58">
        <v>4.4110000000000005</v>
      </c>
      <c r="AO58">
        <v>0</v>
      </c>
      <c r="AP58">
        <v>0</v>
      </c>
      <c r="AQ58">
        <v>0</v>
      </c>
      <c r="AR58">
        <v>0</v>
      </c>
      <c r="AS58">
        <v>0</v>
      </c>
      <c r="AT58">
        <v>0</v>
      </c>
      <c r="AU58">
        <v>3.9E-2</v>
      </c>
      <c r="AV58">
        <v>0</v>
      </c>
      <c r="AW58">
        <v>3.9E-2</v>
      </c>
      <c r="AX58">
        <v>0</v>
      </c>
      <c r="AY58">
        <v>0.19500000000000001</v>
      </c>
      <c r="AZ58">
        <v>0</v>
      </c>
      <c r="BA58">
        <v>1588414</v>
      </c>
      <c r="BB58">
        <v>0</v>
      </c>
      <c r="BC58">
        <v>0</v>
      </c>
      <c r="BD58">
        <v>950</v>
      </c>
      <c r="BE58">
        <v>0</v>
      </c>
      <c r="BF58">
        <v>950</v>
      </c>
      <c r="BG58">
        <v>950</v>
      </c>
      <c r="BH58">
        <v>0</v>
      </c>
      <c r="BI58">
        <v>0</v>
      </c>
      <c r="BJ58">
        <v>0</v>
      </c>
      <c r="BK58">
        <v>0</v>
      </c>
      <c r="BL58">
        <v>0</v>
      </c>
      <c r="BM58">
        <v>0</v>
      </c>
      <c r="BN58">
        <v>1773</v>
      </c>
      <c r="BO58">
        <v>0</v>
      </c>
      <c r="BP58">
        <v>0</v>
      </c>
      <c r="BQ58">
        <v>0</v>
      </c>
      <c r="BR58">
        <v>0</v>
      </c>
      <c r="BS58">
        <v>0</v>
      </c>
      <c r="BT58">
        <v>0</v>
      </c>
      <c r="BU58">
        <v>0</v>
      </c>
      <c r="BV58">
        <v>5</v>
      </c>
      <c r="BW58">
        <v>17</v>
      </c>
      <c r="BX58">
        <v>22</v>
      </c>
      <c r="BY58">
        <v>30</v>
      </c>
      <c r="BZ58">
        <v>36</v>
      </c>
      <c r="CA58">
        <v>110</v>
      </c>
      <c r="CB58">
        <v>0</v>
      </c>
      <c r="CC58">
        <v>0</v>
      </c>
      <c r="CD58">
        <v>0</v>
      </c>
      <c r="CE58">
        <v>7</v>
      </c>
      <c r="CF58">
        <v>0</v>
      </c>
      <c r="CG58">
        <v>0</v>
      </c>
      <c r="CH58">
        <v>0</v>
      </c>
      <c r="CI58">
        <v>21</v>
      </c>
      <c r="CJ58">
        <v>9</v>
      </c>
      <c r="CK58">
        <v>0</v>
      </c>
      <c r="CL58">
        <v>0</v>
      </c>
      <c r="CM58">
        <v>9.6390000000000011</v>
      </c>
      <c r="CN58">
        <v>0</v>
      </c>
      <c r="CO58">
        <v>0</v>
      </c>
      <c r="CP58">
        <v>0</v>
      </c>
      <c r="CQ58">
        <v>0</v>
      </c>
      <c r="CR58">
        <v>0</v>
      </c>
      <c r="CS58">
        <v>0</v>
      </c>
      <c r="CT58">
        <v>0</v>
      </c>
      <c r="CU58">
        <v>0</v>
      </c>
      <c r="CV58">
        <v>0</v>
      </c>
      <c r="CW58">
        <v>0</v>
      </c>
      <c r="CX58">
        <v>0</v>
      </c>
      <c r="CY58" s="2043">
        <v>0</v>
      </c>
      <c r="CZ58" s="2043">
        <v>0</v>
      </c>
      <c r="DA58" s="2043">
        <v>0</v>
      </c>
      <c r="DB58" s="2043">
        <v>0</v>
      </c>
      <c r="DC58" s="2043">
        <v>0</v>
      </c>
      <c r="DI58" t="s">
        <v>7925</v>
      </c>
      <c r="DJ58" t="s">
        <v>7925</v>
      </c>
      <c r="DK58" s="2042">
        <f t="shared" si="2"/>
        <v>0</v>
      </c>
    </row>
    <row r="59" spans="1:115">
      <c r="A59" t="s">
        <v>7926</v>
      </c>
      <c r="B59" t="s">
        <v>11236</v>
      </c>
      <c r="C59">
        <v>312.20300000000003</v>
      </c>
      <c r="D59">
        <v>345.69600000000003</v>
      </c>
      <c r="E59">
        <v>77.129000000000005</v>
      </c>
      <c r="F59">
        <v>0</v>
      </c>
      <c r="G59" s="2043">
        <v>0</v>
      </c>
      <c r="H59">
        <v>0</v>
      </c>
      <c r="I59" s="2043">
        <v>0</v>
      </c>
      <c r="J59">
        <v>0</v>
      </c>
      <c r="K59">
        <v>0</v>
      </c>
      <c r="L59">
        <v>0</v>
      </c>
      <c r="M59">
        <v>0</v>
      </c>
      <c r="N59">
        <v>0</v>
      </c>
      <c r="O59">
        <v>0</v>
      </c>
      <c r="P59">
        <v>0</v>
      </c>
      <c r="Q59">
        <v>0</v>
      </c>
      <c r="R59" s="2043">
        <v>0</v>
      </c>
      <c r="S59">
        <v>0</v>
      </c>
      <c r="T59">
        <v>0</v>
      </c>
      <c r="U59">
        <v>0</v>
      </c>
      <c r="V59">
        <v>0</v>
      </c>
      <c r="W59">
        <v>0</v>
      </c>
      <c r="X59">
        <v>0</v>
      </c>
      <c r="Y59">
        <v>106949</v>
      </c>
      <c r="Z59">
        <v>0</v>
      </c>
      <c r="AA59">
        <v>0</v>
      </c>
      <c r="AB59">
        <v>298.04300000000001</v>
      </c>
      <c r="AC59" s="2043">
        <v>0</v>
      </c>
      <c r="AD59">
        <v>0</v>
      </c>
      <c r="AE59" s="2043">
        <v>0</v>
      </c>
      <c r="AF59">
        <v>0</v>
      </c>
      <c r="AG59">
        <v>0</v>
      </c>
      <c r="AH59">
        <v>0</v>
      </c>
      <c r="AI59">
        <v>0</v>
      </c>
      <c r="AJ59">
        <v>82.363</v>
      </c>
      <c r="AK59">
        <v>827</v>
      </c>
      <c r="AL59">
        <v>0</v>
      </c>
      <c r="AM59">
        <v>0</v>
      </c>
      <c r="AN59">
        <v>7.44</v>
      </c>
      <c r="AO59">
        <v>0</v>
      </c>
      <c r="AP59">
        <v>0</v>
      </c>
      <c r="AQ59">
        <v>0</v>
      </c>
      <c r="AR59">
        <v>7.4830000000000005</v>
      </c>
      <c r="AS59">
        <v>0</v>
      </c>
      <c r="AT59">
        <v>0.88800000000000001</v>
      </c>
      <c r="AU59">
        <v>0.56600000000000006</v>
      </c>
      <c r="AV59">
        <v>0</v>
      </c>
      <c r="AW59">
        <v>8.9370000000000012</v>
      </c>
      <c r="AX59">
        <v>0</v>
      </c>
      <c r="AY59">
        <v>27.943000000000001</v>
      </c>
      <c r="AZ59">
        <v>0</v>
      </c>
      <c r="BA59">
        <v>3700224</v>
      </c>
      <c r="BB59">
        <v>0</v>
      </c>
      <c r="BC59">
        <v>0</v>
      </c>
      <c r="BD59">
        <v>51263</v>
      </c>
      <c r="BE59">
        <v>0</v>
      </c>
      <c r="BF59">
        <v>51263</v>
      </c>
      <c r="BG59">
        <v>51263</v>
      </c>
      <c r="BH59">
        <v>0</v>
      </c>
      <c r="BI59">
        <v>0</v>
      </c>
      <c r="BJ59">
        <v>0</v>
      </c>
      <c r="BK59">
        <v>0</v>
      </c>
      <c r="BL59">
        <v>0</v>
      </c>
      <c r="BM59">
        <v>0</v>
      </c>
      <c r="BN59">
        <v>1017</v>
      </c>
      <c r="BO59">
        <v>503</v>
      </c>
      <c r="BP59">
        <v>0</v>
      </c>
      <c r="BQ59">
        <v>0</v>
      </c>
      <c r="BR59">
        <v>0</v>
      </c>
      <c r="BS59">
        <v>0</v>
      </c>
      <c r="BT59">
        <v>51757</v>
      </c>
      <c r="BU59">
        <v>0</v>
      </c>
      <c r="BV59">
        <v>24</v>
      </c>
      <c r="BW59">
        <v>38</v>
      </c>
      <c r="BX59">
        <v>57</v>
      </c>
      <c r="BY59">
        <v>83</v>
      </c>
      <c r="BZ59">
        <v>116</v>
      </c>
      <c r="CA59">
        <v>318</v>
      </c>
      <c r="CB59">
        <v>0</v>
      </c>
      <c r="CC59">
        <v>0</v>
      </c>
      <c r="CD59">
        <v>0</v>
      </c>
      <c r="CE59">
        <v>19</v>
      </c>
      <c r="CF59">
        <v>128.46899999999999</v>
      </c>
      <c r="CG59">
        <v>0</v>
      </c>
      <c r="CH59">
        <v>0</v>
      </c>
      <c r="CI59">
        <v>2</v>
      </c>
      <c r="CJ59">
        <v>0</v>
      </c>
      <c r="CK59">
        <v>0</v>
      </c>
      <c r="CL59">
        <v>0</v>
      </c>
      <c r="CM59">
        <v>77.129000000000005</v>
      </c>
      <c r="CN59">
        <v>0</v>
      </c>
      <c r="CO59">
        <v>0</v>
      </c>
      <c r="CP59">
        <v>0</v>
      </c>
      <c r="CQ59">
        <v>0</v>
      </c>
      <c r="CR59">
        <v>0</v>
      </c>
      <c r="CS59">
        <v>0</v>
      </c>
      <c r="CT59">
        <v>0</v>
      </c>
      <c r="CU59">
        <v>0</v>
      </c>
      <c r="CV59">
        <v>12.46</v>
      </c>
      <c r="CW59">
        <v>11.807</v>
      </c>
      <c r="CX59">
        <v>51757</v>
      </c>
      <c r="CY59" s="2043">
        <v>0</v>
      </c>
      <c r="CZ59" s="2043">
        <v>0</v>
      </c>
      <c r="DA59" s="2043">
        <v>0</v>
      </c>
      <c r="DB59" s="2043">
        <v>0</v>
      </c>
      <c r="DC59" s="2043">
        <v>0</v>
      </c>
      <c r="DI59" t="s">
        <v>7926</v>
      </c>
      <c r="DJ59" t="s">
        <v>7926</v>
      </c>
      <c r="DK59" s="2042">
        <f t="shared" si="2"/>
        <v>0</v>
      </c>
    </row>
    <row r="60" spans="1:115">
      <c r="A60" t="s">
        <v>7927</v>
      </c>
      <c r="B60" t="s">
        <v>11237</v>
      </c>
      <c r="C60">
        <v>675.27499999999998</v>
      </c>
      <c r="D60">
        <v>875.9</v>
      </c>
      <c r="E60">
        <v>73.472999999999999</v>
      </c>
      <c r="F60">
        <v>0</v>
      </c>
      <c r="G60" s="2043">
        <v>0</v>
      </c>
      <c r="H60">
        <v>0</v>
      </c>
      <c r="I60" s="2043">
        <v>0</v>
      </c>
      <c r="J60">
        <v>33.764000000000003</v>
      </c>
      <c r="K60">
        <v>92</v>
      </c>
      <c r="L60">
        <v>0</v>
      </c>
      <c r="M60">
        <v>0</v>
      </c>
      <c r="N60">
        <v>0</v>
      </c>
      <c r="O60">
        <v>0</v>
      </c>
      <c r="P60">
        <v>0</v>
      </c>
      <c r="Q60">
        <v>0</v>
      </c>
      <c r="R60" s="2043">
        <v>0</v>
      </c>
      <c r="S60">
        <v>0</v>
      </c>
      <c r="T60">
        <v>0</v>
      </c>
      <c r="U60">
        <v>0</v>
      </c>
      <c r="V60">
        <v>0</v>
      </c>
      <c r="W60">
        <v>0</v>
      </c>
      <c r="X60">
        <v>0</v>
      </c>
      <c r="Y60">
        <v>119377</v>
      </c>
      <c r="Z60">
        <v>0</v>
      </c>
      <c r="AA60">
        <v>5.1000000000000004E-2</v>
      </c>
      <c r="AB60">
        <v>741.34199999999998</v>
      </c>
      <c r="AC60" s="2043">
        <v>0</v>
      </c>
      <c r="AD60">
        <v>0</v>
      </c>
      <c r="AE60" s="2043">
        <v>0</v>
      </c>
      <c r="AF60">
        <v>0</v>
      </c>
      <c r="AG60">
        <v>0</v>
      </c>
      <c r="AH60">
        <v>0</v>
      </c>
      <c r="AI60">
        <v>0</v>
      </c>
      <c r="AJ60">
        <v>165.93800000000002</v>
      </c>
      <c r="AK60">
        <v>2104</v>
      </c>
      <c r="AL60">
        <v>0</v>
      </c>
      <c r="AM60">
        <v>0</v>
      </c>
      <c r="AN60">
        <v>35.916000000000004</v>
      </c>
      <c r="AO60">
        <v>0</v>
      </c>
      <c r="AP60">
        <v>0</v>
      </c>
      <c r="AQ60">
        <v>0</v>
      </c>
      <c r="AR60">
        <v>13.65</v>
      </c>
      <c r="AS60">
        <v>0</v>
      </c>
      <c r="AT60">
        <v>1</v>
      </c>
      <c r="AU60">
        <v>1.5330000000000001</v>
      </c>
      <c r="AV60">
        <v>0</v>
      </c>
      <c r="AW60">
        <v>16.183</v>
      </c>
      <c r="AX60">
        <v>0</v>
      </c>
      <c r="AY60">
        <v>51.615000000000002</v>
      </c>
      <c r="AZ60">
        <v>0</v>
      </c>
      <c r="BA60">
        <v>7768061</v>
      </c>
      <c r="BB60">
        <v>0</v>
      </c>
      <c r="BC60">
        <v>0</v>
      </c>
      <c r="BD60">
        <v>30638</v>
      </c>
      <c r="BE60">
        <v>0</v>
      </c>
      <c r="BF60">
        <v>30638</v>
      </c>
      <c r="BG60">
        <v>30638</v>
      </c>
      <c r="BH60">
        <v>0</v>
      </c>
      <c r="BI60">
        <v>0</v>
      </c>
      <c r="BJ60">
        <v>0</v>
      </c>
      <c r="BK60">
        <v>0</v>
      </c>
      <c r="BL60">
        <v>0</v>
      </c>
      <c r="BM60">
        <v>0</v>
      </c>
      <c r="BN60">
        <v>2817</v>
      </c>
      <c r="BO60">
        <v>2065</v>
      </c>
      <c r="BP60">
        <v>0</v>
      </c>
      <c r="BQ60">
        <v>0</v>
      </c>
      <c r="BR60">
        <v>0</v>
      </c>
      <c r="BS60">
        <v>0</v>
      </c>
      <c r="BT60">
        <v>0</v>
      </c>
      <c r="BU60">
        <v>0</v>
      </c>
      <c r="BV60">
        <v>94</v>
      </c>
      <c r="BW60">
        <v>95</v>
      </c>
      <c r="BX60">
        <v>119</v>
      </c>
      <c r="BY60">
        <v>126</v>
      </c>
      <c r="BZ60">
        <v>216</v>
      </c>
      <c r="CA60">
        <v>650</v>
      </c>
      <c r="CB60">
        <v>0</v>
      </c>
      <c r="CC60">
        <v>0</v>
      </c>
      <c r="CD60">
        <v>0</v>
      </c>
      <c r="CE60">
        <v>39</v>
      </c>
      <c r="CF60">
        <v>205.56700000000001</v>
      </c>
      <c r="CG60">
        <v>193.59100000000001</v>
      </c>
      <c r="CH60">
        <v>0</v>
      </c>
      <c r="CI60">
        <v>0</v>
      </c>
      <c r="CJ60">
        <v>1</v>
      </c>
      <c r="CK60">
        <v>0</v>
      </c>
      <c r="CL60">
        <v>193.59100000000001</v>
      </c>
      <c r="CM60">
        <v>73.472999999999999</v>
      </c>
      <c r="CN60">
        <v>0</v>
      </c>
      <c r="CO60">
        <v>0</v>
      </c>
      <c r="CP60">
        <v>0</v>
      </c>
      <c r="CQ60">
        <v>0</v>
      </c>
      <c r="CR60">
        <v>0</v>
      </c>
      <c r="CS60">
        <v>0</v>
      </c>
      <c r="CT60">
        <v>0</v>
      </c>
      <c r="CU60">
        <v>2.7110000000000003</v>
      </c>
      <c r="CV60">
        <v>40.83</v>
      </c>
      <c r="CW60">
        <v>12.651</v>
      </c>
      <c r="CX60">
        <v>0</v>
      </c>
      <c r="CY60" s="2043">
        <v>0</v>
      </c>
      <c r="CZ60" s="2043">
        <v>0</v>
      </c>
      <c r="DA60" s="2043">
        <v>0</v>
      </c>
      <c r="DB60" s="2043">
        <v>0</v>
      </c>
      <c r="DC60" s="2043">
        <v>0</v>
      </c>
      <c r="DI60" t="s">
        <v>7927</v>
      </c>
      <c r="DJ60" t="s">
        <v>7927</v>
      </c>
      <c r="DK60" s="2042">
        <f t="shared" si="2"/>
        <v>0</v>
      </c>
    </row>
    <row r="61" spans="1:115">
      <c r="A61" t="s">
        <v>7928</v>
      </c>
      <c r="B61" t="s">
        <v>11238</v>
      </c>
      <c r="C61">
        <v>588.721</v>
      </c>
      <c r="D61">
        <v>754.33400000000006</v>
      </c>
      <c r="E61">
        <v>12.652000000000001</v>
      </c>
      <c r="F61">
        <v>0</v>
      </c>
      <c r="G61" s="2043">
        <v>0</v>
      </c>
      <c r="H61">
        <v>0</v>
      </c>
      <c r="I61" s="2043">
        <v>0</v>
      </c>
      <c r="J61">
        <v>0</v>
      </c>
      <c r="K61">
        <v>0</v>
      </c>
      <c r="L61">
        <v>0</v>
      </c>
      <c r="M61">
        <v>0</v>
      </c>
      <c r="N61">
        <v>0</v>
      </c>
      <c r="O61">
        <v>0</v>
      </c>
      <c r="P61">
        <v>0</v>
      </c>
      <c r="Q61">
        <v>0</v>
      </c>
      <c r="R61" s="2043">
        <v>0</v>
      </c>
      <c r="S61">
        <v>0</v>
      </c>
      <c r="T61">
        <v>0</v>
      </c>
      <c r="U61">
        <v>0</v>
      </c>
      <c r="V61">
        <v>0</v>
      </c>
      <c r="W61">
        <v>0</v>
      </c>
      <c r="X61">
        <v>0</v>
      </c>
      <c r="Y61">
        <v>367272</v>
      </c>
      <c r="Z61">
        <v>0</v>
      </c>
      <c r="AA61">
        <v>0</v>
      </c>
      <c r="AB61">
        <v>562.26400000000001</v>
      </c>
      <c r="AC61" s="2043">
        <v>0</v>
      </c>
      <c r="AD61">
        <v>0</v>
      </c>
      <c r="AE61" s="2043">
        <v>0</v>
      </c>
      <c r="AF61">
        <v>0</v>
      </c>
      <c r="AG61">
        <v>0</v>
      </c>
      <c r="AH61">
        <v>0</v>
      </c>
      <c r="AI61">
        <v>0</v>
      </c>
      <c r="AJ61">
        <v>94.600000000000009</v>
      </c>
      <c r="AK61">
        <v>3883</v>
      </c>
      <c r="AL61">
        <v>2.4E-2</v>
      </c>
      <c r="AM61">
        <v>0</v>
      </c>
      <c r="AN61">
        <v>28.625</v>
      </c>
      <c r="AO61">
        <v>0</v>
      </c>
      <c r="AP61">
        <v>0</v>
      </c>
      <c r="AQ61">
        <v>26.196000000000002</v>
      </c>
      <c r="AR61">
        <v>9.2740000000000009</v>
      </c>
      <c r="AS61">
        <v>0</v>
      </c>
      <c r="AT61">
        <v>0</v>
      </c>
      <c r="AU61">
        <v>1.1640000000000001</v>
      </c>
      <c r="AV61">
        <v>0</v>
      </c>
      <c r="AW61">
        <v>36.658000000000001</v>
      </c>
      <c r="AX61">
        <v>0</v>
      </c>
      <c r="AY61">
        <v>33.762</v>
      </c>
      <c r="AZ61">
        <v>0</v>
      </c>
      <c r="BA61">
        <v>6977510</v>
      </c>
      <c r="BB61">
        <v>0</v>
      </c>
      <c r="BC61">
        <v>0</v>
      </c>
      <c r="BD61">
        <v>0</v>
      </c>
      <c r="BE61">
        <v>0</v>
      </c>
      <c r="BF61">
        <v>0</v>
      </c>
      <c r="BG61">
        <v>0</v>
      </c>
      <c r="BH61">
        <v>0</v>
      </c>
      <c r="BI61">
        <v>0</v>
      </c>
      <c r="BJ61">
        <v>0</v>
      </c>
      <c r="BK61">
        <v>0</v>
      </c>
      <c r="BL61">
        <v>0</v>
      </c>
      <c r="BM61">
        <v>0</v>
      </c>
      <c r="BN61">
        <v>2790</v>
      </c>
      <c r="BO61">
        <v>43</v>
      </c>
      <c r="BP61">
        <v>0</v>
      </c>
      <c r="BQ61">
        <v>0</v>
      </c>
      <c r="BR61">
        <v>0</v>
      </c>
      <c r="BS61">
        <v>0</v>
      </c>
      <c r="BT61">
        <v>263197</v>
      </c>
      <c r="BU61">
        <v>0</v>
      </c>
      <c r="BV61">
        <v>119</v>
      </c>
      <c r="BW61">
        <v>59</v>
      </c>
      <c r="BX61">
        <v>95</v>
      </c>
      <c r="BY61">
        <v>15</v>
      </c>
      <c r="BZ61">
        <v>95</v>
      </c>
      <c r="CA61">
        <v>383</v>
      </c>
      <c r="CB61">
        <v>0</v>
      </c>
      <c r="CC61">
        <v>0</v>
      </c>
      <c r="CD61">
        <v>0</v>
      </c>
      <c r="CE61">
        <v>67</v>
      </c>
      <c r="CF61">
        <v>79.078000000000003</v>
      </c>
      <c r="CG61">
        <v>119.643</v>
      </c>
      <c r="CH61">
        <v>129.38400000000001</v>
      </c>
      <c r="CI61">
        <v>0</v>
      </c>
      <c r="CJ61">
        <v>0</v>
      </c>
      <c r="CK61">
        <v>0</v>
      </c>
      <c r="CL61">
        <v>249.02700000000002</v>
      </c>
      <c r="CM61">
        <v>12.652000000000001</v>
      </c>
      <c r="CN61">
        <v>0</v>
      </c>
      <c r="CO61">
        <v>0</v>
      </c>
      <c r="CP61">
        <v>0</v>
      </c>
      <c r="CQ61">
        <v>0</v>
      </c>
      <c r="CR61">
        <v>0</v>
      </c>
      <c r="CS61">
        <v>0</v>
      </c>
      <c r="CT61">
        <v>0</v>
      </c>
      <c r="CU61">
        <v>0</v>
      </c>
      <c r="CV61">
        <v>18.842000000000002</v>
      </c>
      <c r="CW61">
        <v>9.6070000000000011</v>
      </c>
      <c r="CX61">
        <v>263197</v>
      </c>
      <c r="CY61" s="2043">
        <v>0</v>
      </c>
      <c r="CZ61" s="2043">
        <v>0</v>
      </c>
      <c r="DA61" s="2043">
        <v>0</v>
      </c>
      <c r="DB61" s="2043">
        <v>0</v>
      </c>
      <c r="DC61" s="2043">
        <v>0</v>
      </c>
      <c r="DI61" t="s">
        <v>7928</v>
      </c>
      <c r="DJ61" t="s">
        <v>7928</v>
      </c>
      <c r="DK61" s="2042">
        <f t="shared" si="2"/>
        <v>0</v>
      </c>
    </row>
    <row r="62" spans="1:115">
      <c r="A62" t="s">
        <v>7929</v>
      </c>
      <c r="B62" t="s">
        <v>11239</v>
      </c>
      <c r="C62">
        <v>219.38</v>
      </c>
      <c r="D62">
        <v>267.19600000000003</v>
      </c>
      <c r="E62">
        <v>40.038000000000004</v>
      </c>
      <c r="F62">
        <v>0</v>
      </c>
      <c r="G62" s="2043">
        <v>0</v>
      </c>
      <c r="H62">
        <v>0</v>
      </c>
      <c r="I62" s="2043">
        <v>0</v>
      </c>
      <c r="J62">
        <v>0</v>
      </c>
      <c r="K62">
        <v>0</v>
      </c>
      <c r="L62">
        <v>0</v>
      </c>
      <c r="M62">
        <v>0</v>
      </c>
      <c r="N62">
        <v>0</v>
      </c>
      <c r="O62">
        <v>0</v>
      </c>
      <c r="P62">
        <v>0</v>
      </c>
      <c r="Q62">
        <v>0</v>
      </c>
      <c r="R62" s="2043">
        <v>0</v>
      </c>
      <c r="S62">
        <v>0</v>
      </c>
      <c r="T62">
        <v>0</v>
      </c>
      <c r="U62">
        <v>0</v>
      </c>
      <c r="V62">
        <v>0</v>
      </c>
      <c r="W62">
        <v>0</v>
      </c>
      <c r="X62">
        <v>0</v>
      </c>
      <c r="Y62">
        <v>38782</v>
      </c>
      <c r="Z62">
        <v>0</v>
      </c>
      <c r="AA62">
        <v>0</v>
      </c>
      <c r="AB62">
        <v>220.05800000000002</v>
      </c>
      <c r="AC62" s="2043">
        <v>0</v>
      </c>
      <c r="AD62">
        <v>0</v>
      </c>
      <c r="AE62" s="2043">
        <v>0</v>
      </c>
      <c r="AF62">
        <v>0</v>
      </c>
      <c r="AG62">
        <v>0</v>
      </c>
      <c r="AH62">
        <v>0</v>
      </c>
      <c r="AI62">
        <v>0</v>
      </c>
      <c r="AJ62">
        <v>66.875</v>
      </c>
      <c r="AK62">
        <v>498</v>
      </c>
      <c r="AL62">
        <v>0</v>
      </c>
      <c r="AM62">
        <v>0</v>
      </c>
      <c r="AN62">
        <v>9.8460000000000001</v>
      </c>
      <c r="AO62">
        <v>0</v>
      </c>
      <c r="AP62">
        <v>0</v>
      </c>
      <c r="AQ62">
        <v>0</v>
      </c>
      <c r="AR62">
        <v>2.4140000000000001</v>
      </c>
      <c r="AS62">
        <v>0</v>
      </c>
      <c r="AT62">
        <v>0.504</v>
      </c>
      <c r="AU62">
        <v>0.38</v>
      </c>
      <c r="AV62">
        <v>0</v>
      </c>
      <c r="AW62">
        <v>3.298</v>
      </c>
      <c r="AX62">
        <v>0</v>
      </c>
      <c r="AY62">
        <v>10.654</v>
      </c>
      <c r="AZ62">
        <v>0</v>
      </c>
      <c r="BA62">
        <v>2542169</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9</v>
      </c>
      <c r="BW62">
        <v>11</v>
      </c>
      <c r="BX62">
        <v>38</v>
      </c>
      <c r="BY62">
        <v>71</v>
      </c>
      <c r="BZ62">
        <v>124</v>
      </c>
      <c r="CA62">
        <v>253</v>
      </c>
      <c r="CB62">
        <v>0</v>
      </c>
      <c r="CC62">
        <v>0</v>
      </c>
      <c r="CD62">
        <v>0</v>
      </c>
      <c r="CE62">
        <v>13</v>
      </c>
      <c r="CF62">
        <v>124.94600000000001</v>
      </c>
      <c r="CG62">
        <v>0</v>
      </c>
      <c r="CH62">
        <v>0</v>
      </c>
      <c r="CI62">
        <v>0</v>
      </c>
      <c r="CJ62">
        <v>0</v>
      </c>
      <c r="CK62">
        <v>0</v>
      </c>
      <c r="CL62">
        <v>0</v>
      </c>
      <c r="CM62">
        <v>40.038000000000004</v>
      </c>
      <c r="CN62">
        <v>0</v>
      </c>
      <c r="CO62">
        <v>0</v>
      </c>
      <c r="CP62">
        <v>0</v>
      </c>
      <c r="CQ62">
        <v>0</v>
      </c>
      <c r="CR62">
        <v>0</v>
      </c>
      <c r="CS62">
        <v>0</v>
      </c>
      <c r="CT62">
        <v>0</v>
      </c>
      <c r="CU62">
        <v>0</v>
      </c>
      <c r="CV62">
        <v>0</v>
      </c>
      <c r="CW62">
        <v>0</v>
      </c>
      <c r="CX62">
        <v>0</v>
      </c>
      <c r="CY62" s="2043">
        <v>0</v>
      </c>
      <c r="CZ62" s="2043">
        <v>0</v>
      </c>
      <c r="DA62" s="2043">
        <v>0</v>
      </c>
      <c r="DB62" s="2043">
        <v>0</v>
      </c>
      <c r="DC62" s="2043">
        <v>0</v>
      </c>
      <c r="DI62" t="s">
        <v>7929</v>
      </c>
      <c r="DJ62" t="s">
        <v>7929</v>
      </c>
      <c r="DK62" s="2042">
        <f t="shared" si="2"/>
        <v>0</v>
      </c>
    </row>
    <row r="63" spans="1:115">
      <c r="A63" t="s">
        <v>7930</v>
      </c>
      <c r="B63" t="s">
        <v>11240</v>
      </c>
      <c r="C63">
        <v>62.57</v>
      </c>
      <c r="D63">
        <v>125.01100000000001</v>
      </c>
      <c r="E63">
        <v>1.96</v>
      </c>
      <c r="F63">
        <v>0</v>
      </c>
      <c r="G63" s="2043">
        <v>0</v>
      </c>
      <c r="H63">
        <v>0</v>
      </c>
      <c r="I63" s="2043">
        <v>0</v>
      </c>
      <c r="J63">
        <v>0</v>
      </c>
      <c r="K63">
        <v>0</v>
      </c>
      <c r="L63">
        <v>0</v>
      </c>
      <c r="M63">
        <v>0</v>
      </c>
      <c r="N63">
        <v>0</v>
      </c>
      <c r="O63">
        <v>0</v>
      </c>
      <c r="P63">
        <v>0</v>
      </c>
      <c r="Q63">
        <v>0</v>
      </c>
      <c r="R63" s="2043">
        <v>0</v>
      </c>
      <c r="S63">
        <v>0</v>
      </c>
      <c r="T63">
        <v>0</v>
      </c>
      <c r="U63">
        <v>0</v>
      </c>
      <c r="V63">
        <v>0</v>
      </c>
      <c r="W63">
        <v>0</v>
      </c>
      <c r="X63">
        <v>0</v>
      </c>
      <c r="Y63">
        <v>11061</v>
      </c>
      <c r="Z63">
        <v>0</v>
      </c>
      <c r="AA63">
        <v>6.4000000000000001E-2</v>
      </c>
      <c r="AB63">
        <v>100.471</v>
      </c>
      <c r="AC63" s="2043">
        <v>0</v>
      </c>
      <c r="AD63">
        <v>0</v>
      </c>
      <c r="AE63" s="2043">
        <v>0</v>
      </c>
      <c r="AF63">
        <v>0</v>
      </c>
      <c r="AG63">
        <v>0</v>
      </c>
      <c r="AH63">
        <v>0</v>
      </c>
      <c r="AI63">
        <v>0</v>
      </c>
      <c r="AJ63">
        <v>22.025000000000002</v>
      </c>
      <c r="AK63">
        <v>342</v>
      </c>
      <c r="AL63">
        <v>0</v>
      </c>
      <c r="AM63">
        <v>0</v>
      </c>
      <c r="AN63">
        <v>12.685</v>
      </c>
      <c r="AO63">
        <v>0</v>
      </c>
      <c r="AP63">
        <v>0</v>
      </c>
      <c r="AQ63">
        <v>0</v>
      </c>
      <c r="AR63">
        <v>0.114</v>
      </c>
      <c r="AS63">
        <v>0</v>
      </c>
      <c r="AT63">
        <v>0</v>
      </c>
      <c r="AU63">
        <v>3.3000000000000002E-2</v>
      </c>
      <c r="AV63">
        <v>0</v>
      </c>
      <c r="AW63">
        <v>0.14700000000000002</v>
      </c>
      <c r="AX63">
        <v>0</v>
      </c>
      <c r="AY63">
        <v>0.50700000000000001</v>
      </c>
      <c r="AZ63">
        <v>0</v>
      </c>
      <c r="BA63">
        <v>816168</v>
      </c>
      <c r="BB63">
        <v>0</v>
      </c>
      <c r="BC63">
        <v>0</v>
      </c>
      <c r="BD63">
        <v>5187</v>
      </c>
      <c r="BE63">
        <v>0</v>
      </c>
      <c r="BF63">
        <v>5187</v>
      </c>
      <c r="BG63">
        <v>5187</v>
      </c>
      <c r="BH63">
        <v>0</v>
      </c>
      <c r="BI63">
        <v>0</v>
      </c>
      <c r="BJ63">
        <v>0</v>
      </c>
      <c r="BK63">
        <v>0</v>
      </c>
      <c r="BL63">
        <v>0</v>
      </c>
      <c r="BM63">
        <v>0</v>
      </c>
      <c r="BN63">
        <v>1467</v>
      </c>
      <c r="BO63">
        <v>0</v>
      </c>
      <c r="BP63">
        <v>0</v>
      </c>
      <c r="BQ63">
        <v>0</v>
      </c>
      <c r="BR63">
        <v>0</v>
      </c>
      <c r="BS63">
        <v>0</v>
      </c>
      <c r="BT63">
        <v>0</v>
      </c>
      <c r="BU63">
        <v>0</v>
      </c>
      <c r="BV63">
        <v>3</v>
      </c>
      <c r="BW63">
        <v>9</v>
      </c>
      <c r="BX63">
        <v>13</v>
      </c>
      <c r="BY63">
        <v>21</v>
      </c>
      <c r="BZ63">
        <v>38</v>
      </c>
      <c r="CA63">
        <v>84</v>
      </c>
      <c r="CB63">
        <v>0</v>
      </c>
      <c r="CC63">
        <v>0</v>
      </c>
      <c r="CD63">
        <v>0</v>
      </c>
      <c r="CE63">
        <v>9</v>
      </c>
      <c r="CF63">
        <v>0</v>
      </c>
      <c r="CG63">
        <v>62.57</v>
      </c>
      <c r="CH63">
        <v>0</v>
      </c>
      <c r="CI63">
        <v>0</v>
      </c>
      <c r="CJ63">
        <v>1</v>
      </c>
      <c r="CK63">
        <v>1</v>
      </c>
      <c r="CL63">
        <v>62.57</v>
      </c>
      <c r="CM63">
        <v>1.96</v>
      </c>
      <c r="CN63">
        <v>0</v>
      </c>
      <c r="CO63">
        <v>0</v>
      </c>
      <c r="CP63">
        <v>0</v>
      </c>
      <c r="CQ63">
        <v>0</v>
      </c>
      <c r="CR63">
        <v>0</v>
      </c>
      <c r="CS63">
        <v>0</v>
      </c>
      <c r="CT63">
        <v>0</v>
      </c>
      <c r="CU63">
        <v>0.23800000000000002</v>
      </c>
      <c r="CV63">
        <v>5.1000000000000004E-2</v>
      </c>
      <c r="CW63">
        <v>0</v>
      </c>
      <c r="CX63">
        <v>0</v>
      </c>
      <c r="CY63" s="2043">
        <v>0</v>
      </c>
      <c r="CZ63" s="2043">
        <v>0</v>
      </c>
      <c r="DA63" s="2043">
        <v>0</v>
      </c>
      <c r="DB63" s="2043">
        <v>0</v>
      </c>
      <c r="DC63" s="2043">
        <v>0</v>
      </c>
      <c r="DI63" t="s">
        <v>7930</v>
      </c>
      <c r="DJ63" t="s">
        <v>7930</v>
      </c>
      <c r="DK63" s="2042">
        <f t="shared" si="2"/>
        <v>0</v>
      </c>
    </row>
    <row r="64" spans="1:115">
      <c r="A64" t="s">
        <v>7931</v>
      </c>
      <c r="B64" t="s">
        <v>11241</v>
      </c>
      <c r="C64">
        <v>542.24300000000005</v>
      </c>
      <c r="D64">
        <v>687.67900000000009</v>
      </c>
      <c r="E64">
        <v>269.00800000000004</v>
      </c>
      <c r="F64">
        <v>0</v>
      </c>
      <c r="G64" s="2043">
        <v>0</v>
      </c>
      <c r="H64">
        <v>0</v>
      </c>
      <c r="I64" s="2043">
        <v>0</v>
      </c>
      <c r="J64">
        <v>14</v>
      </c>
      <c r="K64">
        <v>38</v>
      </c>
      <c r="L64">
        <v>0</v>
      </c>
      <c r="M64">
        <v>0</v>
      </c>
      <c r="N64">
        <v>0</v>
      </c>
      <c r="O64">
        <v>0</v>
      </c>
      <c r="P64">
        <v>0</v>
      </c>
      <c r="Q64">
        <v>0</v>
      </c>
      <c r="R64" s="2043">
        <v>0</v>
      </c>
      <c r="S64">
        <v>0</v>
      </c>
      <c r="T64">
        <v>0</v>
      </c>
      <c r="U64">
        <v>0</v>
      </c>
      <c r="V64">
        <v>0</v>
      </c>
      <c r="W64">
        <v>0</v>
      </c>
      <c r="X64">
        <v>0</v>
      </c>
      <c r="Y64">
        <v>95859</v>
      </c>
      <c r="Z64">
        <v>0</v>
      </c>
      <c r="AA64">
        <v>0</v>
      </c>
      <c r="AB64">
        <v>631.42200000000003</v>
      </c>
      <c r="AC64" s="2043">
        <v>0</v>
      </c>
      <c r="AD64">
        <v>0</v>
      </c>
      <c r="AE64" s="2043">
        <v>0</v>
      </c>
      <c r="AF64">
        <v>0</v>
      </c>
      <c r="AG64">
        <v>0</v>
      </c>
      <c r="AH64">
        <v>0</v>
      </c>
      <c r="AI64">
        <v>0</v>
      </c>
      <c r="AJ64">
        <v>113.03800000000001</v>
      </c>
      <c r="AK64">
        <v>1414</v>
      </c>
      <c r="AL64">
        <v>0</v>
      </c>
      <c r="AM64">
        <v>0</v>
      </c>
      <c r="AN64">
        <v>24.302</v>
      </c>
      <c r="AO64">
        <v>0</v>
      </c>
      <c r="AP64">
        <v>0</v>
      </c>
      <c r="AQ64">
        <v>0</v>
      </c>
      <c r="AR64">
        <v>8.875</v>
      </c>
      <c r="AS64">
        <v>0</v>
      </c>
      <c r="AT64">
        <v>1.3240000000000001</v>
      </c>
      <c r="AU64">
        <v>0.77400000000000002</v>
      </c>
      <c r="AV64">
        <v>0</v>
      </c>
      <c r="AW64">
        <v>10.973000000000001</v>
      </c>
      <c r="AX64">
        <v>0</v>
      </c>
      <c r="AY64">
        <v>34.466999999999999</v>
      </c>
      <c r="AZ64">
        <v>0</v>
      </c>
      <c r="BA64">
        <v>6148145</v>
      </c>
      <c r="BB64">
        <v>0</v>
      </c>
      <c r="BC64">
        <v>0</v>
      </c>
      <c r="BD64">
        <v>0</v>
      </c>
      <c r="BE64">
        <v>0</v>
      </c>
      <c r="BF64">
        <v>540</v>
      </c>
      <c r="BG64">
        <v>0</v>
      </c>
      <c r="BH64">
        <v>540</v>
      </c>
      <c r="BI64">
        <v>0</v>
      </c>
      <c r="BJ64">
        <v>0</v>
      </c>
      <c r="BK64">
        <v>0</v>
      </c>
      <c r="BL64">
        <v>0</v>
      </c>
      <c r="BM64">
        <v>0</v>
      </c>
      <c r="BN64">
        <v>2160</v>
      </c>
      <c r="BO64">
        <v>1423</v>
      </c>
      <c r="BP64">
        <v>0</v>
      </c>
      <c r="BQ64">
        <v>0</v>
      </c>
      <c r="BR64">
        <v>0</v>
      </c>
      <c r="BS64">
        <v>0</v>
      </c>
      <c r="BT64">
        <v>0</v>
      </c>
      <c r="BU64">
        <v>0</v>
      </c>
      <c r="BV64">
        <v>102</v>
      </c>
      <c r="BW64">
        <v>93</v>
      </c>
      <c r="BX64">
        <v>111</v>
      </c>
      <c r="BY64">
        <v>102</v>
      </c>
      <c r="BZ64">
        <v>49</v>
      </c>
      <c r="CA64">
        <v>457</v>
      </c>
      <c r="CB64">
        <v>0</v>
      </c>
      <c r="CC64">
        <v>0</v>
      </c>
      <c r="CD64">
        <v>0</v>
      </c>
      <c r="CE64">
        <v>14</v>
      </c>
      <c r="CF64">
        <v>56.518000000000001</v>
      </c>
      <c r="CG64">
        <v>444.53000000000003</v>
      </c>
      <c r="CH64">
        <v>0</v>
      </c>
      <c r="CI64">
        <v>0</v>
      </c>
      <c r="CJ64">
        <v>0</v>
      </c>
      <c r="CK64">
        <v>0</v>
      </c>
      <c r="CL64">
        <v>444.53000000000003</v>
      </c>
      <c r="CM64">
        <v>269.00800000000004</v>
      </c>
      <c r="CN64">
        <v>0</v>
      </c>
      <c r="CO64">
        <v>0</v>
      </c>
      <c r="CP64">
        <v>0</v>
      </c>
      <c r="CQ64">
        <v>0</v>
      </c>
      <c r="CR64">
        <v>0</v>
      </c>
      <c r="CS64">
        <v>0</v>
      </c>
      <c r="CT64">
        <v>0</v>
      </c>
      <c r="CU64">
        <v>1.9240000000000002</v>
      </c>
      <c r="CV64">
        <v>49.706000000000003</v>
      </c>
      <c r="CW64">
        <v>3.8640000000000003</v>
      </c>
      <c r="CX64">
        <v>0</v>
      </c>
      <c r="CY64" s="2043">
        <v>0</v>
      </c>
      <c r="CZ64" s="2043">
        <v>0</v>
      </c>
      <c r="DA64" s="2043">
        <v>0</v>
      </c>
      <c r="DB64" s="2043">
        <v>0</v>
      </c>
      <c r="DC64" s="2043">
        <v>0</v>
      </c>
      <c r="DI64" t="s">
        <v>7931</v>
      </c>
      <c r="DJ64" t="s">
        <v>7931</v>
      </c>
      <c r="DK64" s="2042">
        <f t="shared" si="2"/>
        <v>0</v>
      </c>
    </row>
    <row r="65" spans="1:115">
      <c r="A65" t="s">
        <v>7932</v>
      </c>
      <c r="B65" t="s">
        <v>11242</v>
      </c>
      <c r="C65">
        <v>5260.2269999999999</v>
      </c>
      <c r="D65">
        <v>6362.57</v>
      </c>
      <c r="E65">
        <v>1279.663</v>
      </c>
      <c r="F65">
        <v>0</v>
      </c>
      <c r="G65" s="2043">
        <v>0</v>
      </c>
      <c r="H65">
        <v>0</v>
      </c>
      <c r="I65" s="2043">
        <v>0</v>
      </c>
      <c r="J65">
        <v>263.01100000000002</v>
      </c>
      <c r="K65">
        <v>719</v>
      </c>
      <c r="L65">
        <v>0</v>
      </c>
      <c r="M65">
        <v>0</v>
      </c>
      <c r="N65">
        <v>0</v>
      </c>
      <c r="O65">
        <v>0</v>
      </c>
      <c r="P65">
        <v>0</v>
      </c>
      <c r="Q65">
        <v>0</v>
      </c>
      <c r="R65" s="2043">
        <v>0</v>
      </c>
      <c r="S65">
        <v>0</v>
      </c>
      <c r="T65">
        <v>0</v>
      </c>
      <c r="U65">
        <v>0</v>
      </c>
      <c r="V65">
        <v>0</v>
      </c>
      <c r="W65">
        <v>0</v>
      </c>
      <c r="X65">
        <v>0</v>
      </c>
      <c r="Y65">
        <v>929915</v>
      </c>
      <c r="Z65">
        <v>0</v>
      </c>
      <c r="AA65">
        <v>9.9000000000000005E-2</v>
      </c>
      <c r="AB65">
        <v>5707.8980000000001</v>
      </c>
      <c r="AC65" s="2043">
        <v>0</v>
      </c>
      <c r="AD65">
        <v>0</v>
      </c>
      <c r="AE65" s="2043">
        <v>0</v>
      </c>
      <c r="AF65">
        <v>0</v>
      </c>
      <c r="AG65">
        <v>0</v>
      </c>
      <c r="AH65">
        <v>0</v>
      </c>
      <c r="AI65">
        <v>0</v>
      </c>
      <c r="AJ65">
        <v>1232.2</v>
      </c>
      <c r="AK65">
        <v>12162</v>
      </c>
      <c r="AL65">
        <v>0.46400000000000002</v>
      </c>
      <c r="AM65">
        <v>0</v>
      </c>
      <c r="AN65">
        <v>208.39500000000001</v>
      </c>
      <c r="AO65">
        <v>0</v>
      </c>
      <c r="AP65">
        <v>0</v>
      </c>
      <c r="AQ65">
        <v>0</v>
      </c>
      <c r="AR65">
        <v>67.618000000000009</v>
      </c>
      <c r="AS65">
        <v>0</v>
      </c>
      <c r="AT65">
        <v>15.352</v>
      </c>
      <c r="AU65">
        <v>9.2279999999999998</v>
      </c>
      <c r="AV65">
        <v>0</v>
      </c>
      <c r="AW65">
        <v>92.662000000000006</v>
      </c>
      <c r="AX65">
        <v>0</v>
      </c>
      <c r="AY65">
        <v>297.37</v>
      </c>
      <c r="AZ65">
        <v>0</v>
      </c>
      <c r="BA65">
        <v>58849927</v>
      </c>
      <c r="BB65">
        <v>0</v>
      </c>
      <c r="BC65">
        <v>0</v>
      </c>
      <c r="BD65">
        <v>71619</v>
      </c>
      <c r="BE65">
        <v>0</v>
      </c>
      <c r="BF65">
        <v>71619</v>
      </c>
      <c r="BG65">
        <v>71619</v>
      </c>
      <c r="BH65">
        <v>0</v>
      </c>
      <c r="BI65">
        <v>0</v>
      </c>
      <c r="BJ65">
        <v>0</v>
      </c>
      <c r="BK65">
        <v>0</v>
      </c>
      <c r="BL65">
        <v>0</v>
      </c>
      <c r="BM65">
        <v>0</v>
      </c>
      <c r="BN65">
        <v>9054</v>
      </c>
      <c r="BO65">
        <v>1477</v>
      </c>
      <c r="BP65">
        <v>0</v>
      </c>
      <c r="BQ65">
        <v>0</v>
      </c>
      <c r="BR65">
        <v>0</v>
      </c>
      <c r="BS65">
        <v>0</v>
      </c>
      <c r="BT65">
        <v>0</v>
      </c>
      <c r="BU65">
        <v>0</v>
      </c>
      <c r="BV65">
        <v>443</v>
      </c>
      <c r="BW65">
        <v>956</v>
      </c>
      <c r="BX65">
        <v>924</v>
      </c>
      <c r="BY65">
        <v>1086</v>
      </c>
      <c r="BZ65">
        <v>1416</v>
      </c>
      <c r="CA65">
        <v>4825</v>
      </c>
      <c r="CB65">
        <v>0</v>
      </c>
      <c r="CC65">
        <v>0</v>
      </c>
      <c r="CD65">
        <v>0</v>
      </c>
      <c r="CE65">
        <v>270</v>
      </c>
      <c r="CF65">
        <v>2094.64</v>
      </c>
      <c r="CG65">
        <v>0</v>
      </c>
      <c r="CH65">
        <v>0</v>
      </c>
      <c r="CI65">
        <v>1</v>
      </c>
      <c r="CJ65">
        <v>7</v>
      </c>
      <c r="CK65">
        <v>0</v>
      </c>
      <c r="CL65">
        <v>0</v>
      </c>
      <c r="CM65">
        <v>1279.663</v>
      </c>
      <c r="CN65">
        <v>0</v>
      </c>
      <c r="CO65">
        <v>0</v>
      </c>
      <c r="CP65">
        <v>0</v>
      </c>
      <c r="CQ65">
        <v>0</v>
      </c>
      <c r="CR65">
        <v>0</v>
      </c>
      <c r="CS65">
        <v>0</v>
      </c>
      <c r="CT65">
        <v>0</v>
      </c>
      <c r="CU65">
        <v>77.337000000000003</v>
      </c>
      <c r="CV65">
        <v>182.07900000000001</v>
      </c>
      <c r="CW65">
        <v>57.187000000000005</v>
      </c>
      <c r="CX65">
        <v>0</v>
      </c>
      <c r="CY65" s="2043">
        <v>0</v>
      </c>
      <c r="CZ65" s="2043">
        <v>0</v>
      </c>
      <c r="DA65" s="2043">
        <v>0</v>
      </c>
      <c r="DB65" s="2043">
        <v>0</v>
      </c>
      <c r="DC65" s="2043">
        <v>0</v>
      </c>
      <c r="DI65" t="s">
        <v>7932</v>
      </c>
      <c r="DJ65" t="s">
        <v>7932</v>
      </c>
      <c r="DK65" s="2042">
        <f t="shared" si="2"/>
        <v>0</v>
      </c>
    </row>
    <row r="66" spans="1:115">
      <c r="A66" t="s">
        <v>7933</v>
      </c>
      <c r="B66" t="s">
        <v>11243</v>
      </c>
      <c r="C66">
        <v>342.31400000000002</v>
      </c>
      <c r="D66">
        <v>304.01499999999999</v>
      </c>
      <c r="E66">
        <v>99.894000000000005</v>
      </c>
      <c r="F66">
        <v>0</v>
      </c>
      <c r="G66" s="2043">
        <v>0</v>
      </c>
      <c r="H66">
        <v>0</v>
      </c>
      <c r="I66" s="2043">
        <v>0</v>
      </c>
      <c r="J66">
        <v>14</v>
      </c>
      <c r="K66">
        <v>38</v>
      </c>
      <c r="L66">
        <v>0</v>
      </c>
      <c r="M66">
        <v>0</v>
      </c>
      <c r="N66">
        <v>0</v>
      </c>
      <c r="O66">
        <v>0</v>
      </c>
      <c r="P66">
        <v>0</v>
      </c>
      <c r="Q66">
        <v>0</v>
      </c>
      <c r="R66" s="2043">
        <v>0</v>
      </c>
      <c r="S66">
        <v>0</v>
      </c>
      <c r="T66">
        <v>0</v>
      </c>
      <c r="U66">
        <v>0</v>
      </c>
      <c r="V66">
        <v>0</v>
      </c>
      <c r="W66">
        <v>0</v>
      </c>
      <c r="X66">
        <v>0</v>
      </c>
      <c r="Y66">
        <v>60515</v>
      </c>
      <c r="Z66">
        <v>0</v>
      </c>
      <c r="AA66">
        <v>0</v>
      </c>
      <c r="AB66">
        <v>306.61400000000003</v>
      </c>
      <c r="AC66" s="2043">
        <v>0</v>
      </c>
      <c r="AD66">
        <v>0</v>
      </c>
      <c r="AE66" s="2043">
        <v>0</v>
      </c>
      <c r="AF66">
        <v>0</v>
      </c>
      <c r="AG66">
        <v>0</v>
      </c>
      <c r="AH66">
        <v>0</v>
      </c>
      <c r="AI66">
        <v>0</v>
      </c>
      <c r="AJ66">
        <v>95.3</v>
      </c>
      <c r="AK66">
        <v>1337</v>
      </c>
      <c r="AL66">
        <v>0</v>
      </c>
      <c r="AM66">
        <v>0</v>
      </c>
      <c r="AN66">
        <v>8.9190000000000005</v>
      </c>
      <c r="AO66">
        <v>0</v>
      </c>
      <c r="AP66">
        <v>0</v>
      </c>
      <c r="AQ66">
        <v>0</v>
      </c>
      <c r="AR66">
        <v>14.73</v>
      </c>
      <c r="AS66">
        <v>0</v>
      </c>
      <c r="AT66">
        <v>0.17300000000000001</v>
      </c>
      <c r="AU66">
        <v>0.81800000000000006</v>
      </c>
      <c r="AV66">
        <v>0</v>
      </c>
      <c r="AW66">
        <v>15.721</v>
      </c>
      <c r="AX66">
        <v>0</v>
      </c>
      <c r="AY66">
        <v>48.798999999999999</v>
      </c>
      <c r="AZ66">
        <v>0</v>
      </c>
      <c r="BA66">
        <v>4049364</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46</v>
      </c>
      <c r="BW66">
        <v>44</v>
      </c>
      <c r="BX66">
        <v>83</v>
      </c>
      <c r="BY66">
        <v>56</v>
      </c>
      <c r="BZ66">
        <v>142</v>
      </c>
      <c r="CA66">
        <v>371</v>
      </c>
      <c r="CB66">
        <v>0</v>
      </c>
      <c r="CC66">
        <v>0</v>
      </c>
      <c r="CD66">
        <v>0</v>
      </c>
      <c r="CE66">
        <v>28</v>
      </c>
      <c r="CF66">
        <v>155.52600000000001</v>
      </c>
      <c r="CG66">
        <v>0</v>
      </c>
      <c r="CH66">
        <v>0</v>
      </c>
      <c r="CI66">
        <v>0</v>
      </c>
      <c r="CJ66">
        <v>0</v>
      </c>
      <c r="CK66">
        <v>0</v>
      </c>
      <c r="CL66">
        <v>0</v>
      </c>
      <c r="CM66">
        <v>99.894000000000005</v>
      </c>
      <c r="CN66">
        <v>0</v>
      </c>
      <c r="CO66">
        <v>0</v>
      </c>
      <c r="CP66">
        <v>0</v>
      </c>
      <c r="CQ66">
        <v>0</v>
      </c>
      <c r="CR66">
        <v>0</v>
      </c>
      <c r="CS66">
        <v>0</v>
      </c>
      <c r="CT66">
        <v>0</v>
      </c>
      <c r="CU66">
        <v>5.3870000000000005</v>
      </c>
      <c r="CV66">
        <v>19.992000000000001</v>
      </c>
      <c r="CW66">
        <v>0</v>
      </c>
      <c r="CX66">
        <v>0</v>
      </c>
      <c r="CY66" s="2043">
        <v>0</v>
      </c>
      <c r="CZ66" s="2043">
        <v>0</v>
      </c>
      <c r="DA66" s="2043">
        <v>0</v>
      </c>
      <c r="DB66" s="2043">
        <v>0</v>
      </c>
      <c r="DC66" s="2043">
        <v>0</v>
      </c>
      <c r="DI66" t="s">
        <v>7933</v>
      </c>
      <c r="DJ66" t="s">
        <v>7933</v>
      </c>
      <c r="DK66" s="2042">
        <f t="shared" si="2"/>
        <v>0</v>
      </c>
    </row>
    <row r="67" spans="1:115">
      <c r="A67" t="s">
        <v>7934</v>
      </c>
      <c r="B67" t="s">
        <v>11244</v>
      </c>
      <c r="C67">
        <v>3541.8710000000001</v>
      </c>
      <c r="D67">
        <v>2999.355</v>
      </c>
      <c r="E67">
        <v>683.10300000000007</v>
      </c>
      <c r="F67">
        <v>0</v>
      </c>
      <c r="G67" s="2043">
        <v>0</v>
      </c>
      <c r="H67">
        <v>0</v>
      </c>
      <c r="I67" s="2043">
        <v>0</v>
      </c>
      <c r="J67">
        <v>177.09400000000002</v>
      </c>
      <c r="K67">
        <v>484</v>
      </c>
      <c r="L67">
        <v>0</v>
      </c>
      <c r="M67">
        <v>0</v>
      </c>
      <c r="N67">
        <v>0</v>
      </c>
      <c r="O67">
        <v>0</v>
      </c>
      <c r="P67">
        <v>0</v>
      </c>
      <c r="Q67">
        <v>0</v>
      </c>
      <c r="R67" s="2043">
        <v>0</v>
      </c>
      <c r="S67">
        <v>0</v>
      </c>
      <c r="T67">
        <v>0</v>
      </c>
      <c r="U67">
        <v>0</v>
      </c>
      <c r="V67">
        <v>484</v>
      </c>
      <c r="W67">
        <v>0</v>
      </c>
      <c r="X67">
        <v>0</v>
      </c>
      <c r="Y67">
        <v>1690804</v>
      </c>
      <c r="Z67">
        <v>0</v>
      </c>
      <c r="AA67">
        <v>0</v>
      </c>
      <c r="AB67">
        <v>2999.355</v>
      </c>
      <c r="AC67" s="2043">
        <v>0</v>
      </c>
      <c r="AD67">
        <v>0</v>
      </c>
      <c r="AE67" s="2043">
        <v>0</v>
      </c>
      <c r="AF67">
        <v>0</v>
      </c>
      <c r="AG67">
        <v>0</v>
      </c>
      <c r="AH67">
        <v>0</v>
      </c>
      <c r="AI67">
        <v>0</v>
      </c>
      <c r="AJ67">
        <v>591.76300000000003</v>
      </c>
      <c r="AK67">
        <v>8777</v>
      </c>
      <c r="AL67">
        <v>0</v>
      </c>
      <c r="AM67">
        <v>0</v>
      </c>
      <c r="AN67">
        <v>76.742000000000004</v>
      </c>
      <c r="AO67">
        <v>0</v>
      </c>
      <c r="AP67">
        <v>0</v>
      </c>
      <c r="AQ67">
        <v>0</v>
      </c>
      <c r="AR67">
        <v>83.27600000000001</v>
      </c>
      <c r="AS67">
        <v>0</v>
      </c>
      <c r="AT67">
        <v>6.3490000000000002</v>
      </c>
      <c r="AU67">
        <v>6.085</v>
      </c>
      <c r="AV67">
        <v>0</v>
      </c>
      <c r="AW67">
        <v>95.710000000000008</v>
      </c>
      <c r="AX67">
        <v>0</v>
      </c>
      <c r="AY67">
        <v>299.3</v>
      </c>
      <c r="AZ67">
        <v>0</v>
      </c>
      <c r="BA67">
        <v>38999095</v>
      </c>
      <c r="BB67">
        <v>0</v>
      </c>
      <c r="BC67">
        <v>0</v>
      </c>
      <c r="BD67">
        <v>0</v>
      </c>
      <c r="BE67">
        <v>0</v>
      </c>
      <c r="BF67">
        <v>0</v>
      </c>
      <c r="BG67">
        <v>0</v>
      </c>
      <c r="BH67">
        <v>0</v>
      </c>
      <c r="BI67">
        <v>0</v>
      </c>
      <c r="BJ67">
        <v>0</v>
      </c>
      <c r="BK67">
        <v>0</v>
      </c>
      <c r="BL67">
        <v>0</v>
      </c>
      <c r="BM67">
        <v>0</v>
      </c>
      <c r="BN67">
        <v>3636</v>
      </c>
      <c r="BO67">
        <v>2622</v>
      </c>
      <c r="BP67">
        <v>44193</v>
      </c>
      <c r="BQ67">
        <v>0</v>
      </c>
      <c r="BR67">
        <v>0</v>
      </c>
      <c r="BS67">
        <v>0</v>
      </c>
      <c r="BT67">
        <v>0</v>
      </c>
      <c r="BU67">
        <v>0</v>
      </c>
      <c r="BV67">
        <v>450</v>
      </c>
      <c r="BW67">
        <v>645</v>
      </c>
      <c r="BX67">
        <v>479</v>
      </c>
      <c r="BY67">
        <v>458</v>
      </c>
      <c r="BZ67">
        <v>354</v>
      </c>
      <c r="CA67">
        <v>2386</v>
      </c>
      <c r="CB67">
        <v>0</v>
      </c>
      <c r="CC67">
        <v>0</v>
      </c>
      <c r="CD67">
        <v>0</v>
      </c>
      <c r="CE67">
        <v>155</v>
      </c>
      <c r="CF67">
        <v>1224.9650000000001</v>
      </c>
      <c r="CG67">
        <v>0</v>
      </c>
      <c r="CH67">
        <v>0</v>
      </c>
      <c r="CI67">
        <v>15</v>
      </c>
      <c r="CJ67">
        <v>8</v>
      </c>
      <c r="CK67">
        <v>0</v>
      </c>
      <c r="CL67">
        <v>0</v>
      </c>
      <c r="CM67">
        <v>683.10300000000007</v>
      </c>
      <c r="CN67">
        <v>12841</v>
      </c>
      <c r="CO67">
        <v>27239</v>
      </c>
      <c r="CP67">
        <v>4113</v>
      </c>
      <c r="CQ67">
        <v>0</v>
      </c>
      <c r="CR67">
        <v>0</v>
      </c>
      <c r="CS67">
        <v>0</v>
      </c>
      <c r="CT67">
        <v>0</v>
      </c>
      <c r="CU67">
        <v>85.74</v>
      </c>
      <c r="CV67">
        <v>49.182000000000002</v>
      </c>
      <c r="CW67">
        <v>26.913</v>
      </c>
      <c r="CX67">
        <v>0</v>
      </c>
      <c r="CY67" s="2043">
        <v>1064664</v>
      </c>
      <c r="CZ67" s="2043">
        <v>0</v>
      </c>
      <c r="DA67" s="2043">
        <v>0</v>
      </c>
      <c r="DB67" s="2043">
        <v>0</v>
      </c>
      <c r="DC67" s="2043">
        <v>0</v>
      </c>
      <c r="DI67" t="s">
        <v>7934</v>
      </c>
      <c r="DJ67" t="s">
        <v>7934</v>
      </c>
      <c r="DK67" s="2042">
        <f t="shared" si="2"/>
        <v>0</v>
      </c>
    </row>
    <row r="68" spans="1:115">
      <c r="A68" t="s">
        <v>7935</v>
      </c>
      <c r="B68" t="s">
        <v>11245</v>
      </c>
      <c r="C68">
        <v>4117.91</v>
      </c>
      <c r="D68">
        <v>4215.8220000000001</v>
      </c>
      <c r="E68">
        <v>1574.91</v>
      </c>
      <c r="F68">
        <v>0</v>
      </c>
      <c r="G68" s="2043">
        <v>0</v>
      </c>
      <c r="H68">
        <v>0</v>
      </c>
      <c r="I68" s="2043">
        <v>0</v>
      </c>
      <c r="J68">
        <v>205.89600000000002</v>
      </c>
      <c r="K68">
        <v>563</v>
      </c>
      <c r="L68">
        <v>0</v>
      </c>
      <c r="M68">
        <v>0</v>
      </c>
      <c r="N68">
        <v>0</v>
      </c>
      <c r="O68">
        <v>0</v>
      </c>
      <c r="P68">
        <v>0</v>
      </c>
      <c r="Q68">
        <v>0</v>
      </c>
      <c r="R68" s="2043">
        <v>0</v>
      </c>
      <c r="S68">
        <v>0</v>
      </c>
      <c r="T68">
        <v>0</v>
      </c>
      <c r="U68">
        <v>0</v>
      </c>
      <c r="V68">
        <v>0</v>
      </c>
      <c r="W68">
        <v>0</v>
      </c>
      <c r="X68">
        <v>0</v>
      </c>
      <c r="Y68">
        <v>727973</v>
      </c>
      <c r="Z68">
        <v>0</v>
      </c>
      <c r="AA68">
        <v>0</v>
      </c>
      <c r="AB68">
        <v>4215.8220000000001</v>
      </c>
      <c r="AC68" s="2043">
        <v>0</v>
      </c>
      <c r="AD68">
        <v>0</v>
      </c>
      <c r="AE68" s="2043">
        <v>0</v>
      </c>
      <c r="AF68">
        <v>0</v>
      </c>
      <c r="AG68">
        <v>0</v>
      </c>
      <c r="AH68">
        <v>0</v>
      </c>
      <c r="AI68">
        <v>0</v>
      </c>
      <c r="AJ68">
        <v>978.22500000000002</v>
      </c>
      <c r="AK68">
        <v>11274</v>
      </c>
      <c r="AL68">
        <v>0.03</v>
      </c>
      <c r="AM68">
        <v>0</v>
      </c>
      <c r="AN68">
        <v>70.27</v>
      </c>
      <c r="AO68">
        <v>0</v>
      </c>
      <c r="AP68">
        <v>0</v>
      </c>
      <c r="AQ68">
        <v>0</v>
      </c>
      <c r="AR68">
        <v>101.45100000000001</v>
      </c>
      <c r="AS68">
        <v>0</v>
      </c>
      <c r="AT68">
        <v>25.047000000000001</v>
      </c>
      <c r="AU68">
        <v>7.3120000000000003</v>
      </c>
      <c r="AV68">
        <v>0</v>
      </c>
      <c r="AW68">
        <v>134.18800000000002</v>
      </c>
      <c r="AX68">
        <v>0.34800000000000003</v>
      </c>
      <c r="AY68">
        <v>417.00400000000002</v>
      </c>
      <c r="AZ68">
        <v>0</v>
      </c>
      <c r="BA68">
        <v>47695239</v>
      </c>
      <c r="BB68">
        <v>0</v>
      </c>
      <c r="BC68">
        <v>0</v>
      </c>
      <c r="BD68">
        <v>0</v>
      </c>
      <c r="BE68">
        <v>0</v>
      </c>
      <c r="BF68">
        <v>0</v>
      </c>
      <c r="BG68">
        <v>0</v>
      </c>
      <c r="BH68">
        <v>0</v>
      </c>
      <c r="BI68">
        <v>0</v>
      </c>
      <c r="BJ68">
        <v>0</v>
      </c>
      <c r="BK68">
        <v>0</v>
      </c>
      <c r="BL68">
        <v>0</v>
      </c>
      <c r="BM68">
        <v>0</v>
      </c>
      <c r="BN68">
        <v>15228</v>
      </c>
      <c r="BO68">
        <v>12059</v>
      </c>
      <c r="BP68">
        <v>675222</v>
      </c>
      <c r="BQ68">
        <v>0</v>
      </c>
      <c r="BR68">
        <v>0</v>
      </c>
      <c r="BS68">
        <v>0</v>
      </c>
      <c r="BT68">
        <v>0</v>
      </c>
      <c r="BU68">
        <v>0</v>
      </c>
      <c r="BV68">
        <v>395</v>
      </c>
      <c r="BW68">
        <v>845</v>
      </c>
      <c r="BX68">
        <v>715</v>
      </c>
      <c r="BY68">
        <v>721</v>
      </c>
      <c r="BZ68">
        <v>1166</v>
      </c>
      <c r="CA68">
        <v>3842</v>
      </c>
      <c r="CB68">
        <v>0</v>
      </c>
      <c r="CC68">
        <v>0</v>
      </c>
      <c r="CD68">
        <v>0.115</v>
      </c>
      <c r="CE68">
        <v>156</v>
      </c>
      <c r="CF68">
        <v>1251.3040000000001</v>
      </c>
      <c r="CG68">
        <v>0</v>
      </c>
      <c r="CH68">
        <v>0</v>
      </c>
      <c r="CI68">
        <v>53</v>
      </c>
      <c r="CJ68">
        <v>16</v>
      </c>
      <c r="CK68">
        <v>1</v>
      </c>
      <c r="CL68">
        <v>0</v>
      </c>
      <c r="CM68">
        <v>1574.91</v>
      </c>
      <c r="CN68">
        <v>109988</v>
      </c>
      <c r="CO68">
        <v>391271</v>
      </c>
      <c r="CP68">
        <v>173963</v>
      </c>
      <c r="CQ68">
        <v>0</v>
      </c>
      <c r="CR68">
        <v>0</v>
      </c>
      <c r="CS68">
        <v>0</v>
      </c>
      <c r="CT68">
        <v>0</v>
      </c>
      <c r="CU68">
        <v>9.32</v>
      </c>
      <c r="CV68">
        <v>118.10300000000001</v>
      </c>
      <c r="CW68">
        <v>163.81400000000002</v>
      </c>
      <c r="CX68">
        <v>0</v>
      </c>
      <c r="CY68" s="2043">
        <v>0</v>
      </c>
      <c r="CZ68" s="2043">
        <v>0</v>
      </c>
      <c r="DA68" s="2043">
        <v>0</v>
      </c>
      <c r="DB68" s="2043">
        <v>0</v>
      </c>
      <c r="DC68" s="2043">
        <v>0</v>
      </c>
      <c r="DI68" t="s">
        <v>7935</v>
      </c>
      <c r="DJ68" t="s">
        <v>7935</v>
      </c>
      <c r="DK68" s="2042">
        <f t="shared" ref="DK68:DK131" si="3">DI68-DJ68:DJ69</f>
        <v>0</v>
      </c>
    </row>
    <row r="69" spans="1:115">
      <c r="A69" t="s">
        <v>7936</v>
      </c>
      <c r="B69" t="s">
        <v>11246</v>
      </c>
      <c r="C69">
        <v>2893.5530000000003</v>
      </c>
      <c r="D69">
        <v>3305.13</v>
      </c>
      <c r="E69">
        <v>181.899</v>
      </c>
      <c r="F69">
        <v>0</v>
      </c>
      <c r="G69" s="2043">
        <v>0</v>
      </c>
      <c r="H69">
        <v>0</v>
      </c>
      <c r="I69" s="2043">
        <v>0</v>
      </c>
      <c r="J69">
        <v>144.678</v>
      </c>
      <c r="K69">
        <v>396</v>
      </c>
      <c r="L69">
        <v>0</v>
      </c>
      <c r="M69">
        <v>0</v>
      </c>
      <c r="N69">
        <v>0</v>
      </c>
      <c r="O69">
        <v>0</v>
      </c>
      <c r="P69">
        <v>0</v>
      </c>
      <c r="Q69">
        <v>0</v>
      </c>
      <c r="R69" s="2043">
        <v>0</v>
      </c>
      <c r="S69">
        <v>0</v>
      </c>
      <c r="T69">
        <v>0</v>
      </c>
      <c r="U69">
        <v>0</v>
      </c>
      <c r="V69">
        <v>0</v>
      </c>
      <c r="W69">
        <v>0</v>
      </c>
      <c r="X69">
        <v>0</v>
      </c>
      <c r="Y69">
        <v>511529</v>
      </c>
      <c r="Z69">
        <v>0</v>
      </c>
      <c r="AA69">
        <v>0</v>
      </c>
      <c r="AB69">
        <v>2847.9860000000003</v>
      </c>
      <c r="AC69" s="2043">
        <v>0</v>
      </c>
      <c r="AD69">
        <v>0</v>
      </c>
      <c r="AE69" s="2043">
        <v>0</v>
      </c>
      <c r="AF69">
        <v>0</v>
      </c>
      <c r="AG69">
        <v>0</v>
      </c>
      <c r="AH69">
        <v>0</v>
      </c>
      <c r="AI69">
        <v>0</v>
      </c>
      <c r="AJ69">
        <v>503.32500000000005</v>
      </c>
      <c r="AK69">
        <v>12254</v>
      </c>
      <c r="AL69">
        <v>0.51700000000000002</v>
      </c>
      <c r="AM69">
        <v>0</v>
      </c>
      <c r="AN69">
        <v>154.881</v>
      </c>
      <c r="AO69">
        <v>0</v>
      </c>
      <c r="AP69">
        <v>0</v>
      </c>
      <c r="AQ69">
        <v>0</v>
      </c>
      <c r="AR69">
        <v>80.738</v>
      </c>
      <c r="AS69">
        <v>0</v>
      </c>
      <c r="AT69">
        <v>26.016000000000002</v>
      </c>
      <c r="AU69">
        <v>8.0229999999999997</v>
      </c>
      <c r="AV69">
        <v>0</v>
      </c>
      <c r="AW69">
        <v>115.29400000000001</v>
      </c>
      <c r="AX69">
        <v>0</v>
      </c>
      <c r="AY69">
        <v>362.96199999999999</v>
      </c>
      <c r="AZ69">
        <v>0</v>
      </c>
      <c r="BA69">
        <v>31649015</v>
      </c>
      <c r="BB69">
        <v>0</v>
      </c>
      <c r="BC69">
        <v>0</v>
      </c>
      <c r="BD69">
        <v>0</v>
      </c>
      <c r="BE69">
        <v>0</v>
      </c>
      <c r="BF69">
        <v>0</v>
      </c>
      <c r="BG69">
        <v>0</v>
      </c>
      <c r="BH69">
        <v>0</v>
      </c>
      <c r="BI69">
        <v>0</v>
      </c>
      <c r="BJ69">
        <v>0</v>
      </c>
      <c r="BK69">
        <v>0</v>
      </c>
      <c r="BL69">
        <v>0</v>
      </c>
      <c r="BM69">
        <v>0</v>
      </c>
      <c r="BN69">
        <v>7884</v>
      </c>
      <c r="BO69">
        <v>3456</v>
      </c>
      <c r="BP69">
        <v>0</v>
      </c>
      <c r="BQ69">
        <v>0</v>
      </c>
      <c r="BR69">
        <v>0</v>
      </c>
      <c r="BS69">
        <v>0</v>
      </c>
      <c r="BT69">
        <v>0</v>
      </c>
      <c r="BU69">
        <v>0</v>
      </c>
      <c r="BV69">
        <v>229</v>
      </c>
      <c r="BW69">
        <v>457</v>
      </c>
      <c r="BX69">
        <v>455</v>
      </c>
      <c r="BY69">
        <v>449</v>
      </c>
      <c r="BZ69">
        <v>406</v>
      </c>
      <c r="CA69">
        <v>1996</v>
      </c>
      <c r="CB69">
        <v>0</v>
      </c>
      <c r="CC69">
        <v>11.229000000000001</v>
      </c>
      <c r="CD69">
        <v>34.389000000000003</v>
      </c>
      <c r="CE69">
        <v>89</v>
      </c>
      <c r="CF69">
        <v>696.971</v>
      </c>
      <c r="CG69">
        <v>0</v>
      </c>
      <c r="CH69">
        <v>0</v>
      </c>
      <c r="CI69">
        <v>0</v>
      </c>
      <c r="CJ69">
        <v>0</v>
      </c>
      <c r="CK69">
        <v>0</v>
      </c>
      <c r="CL69">
        <v>0</v>
      </c>
      <c r="CM69">
        <v>181.899</v>
      </c>
      <c r="CN69">
        <v>0</v>
      </c>
      <c r="CO69">
        <v>0</v>
      </c>
      <c r="CP69">
        <v>0</v>
      </c>
      <c r="CQ69">
        <v>0</v>
      </c>
      <c r="CR69">
        <v>0</v>
      </c>
      <c r="CS69">
        <v>0</v>
      </c>
      <c r="CT69">
        <v>0</v>
      </c>
      <c r="CU69">
        <v>0</v>
      </c>
      <c r="CV69">
        <v>137.41800000000001</v>
      </c>
      <c r="CW69">
        <v>33.805</v>
      </c>
      <c r="CX69">
        <v>0</v>
      </c>
      <c r="CY69" s="2043">
        <v>0</v>
      </c>
      <c r="CZ69" s="2043">
        <v>0</v>
      </c>
      <c r="DA69" s="2043">
        <v>0</v>
      </c>
      <c r="DB69" s="2043">
        <v>0</v>
      </c>
      <c r="DC69" s="2043">
        <v>0</v>
      </c>
      <c r="DI69" t="s">
        <v>7936</v>
      </c>
      <c r="DJ69" t="s">
        <v>7936</v>
      </c>
      <c r="DK69" s="2042">
        <f t="shared" si="3"/>
        <v>0</v>
      </c>
    </row>
    <row r="70" spans="1:115">
      <c r="A70" t="s">
        <v>7937</v>
      </c>
      <c r="B70" t="s">
        <v>11247</v>
      </c>
      <c r="C70">
        <v>4778.6810000000005</v>
      </c>
      <c r="D70">
        <v>4409.1210000000001</v>
      </c>
      <c r="E70">
        <v>738.87700000000007</v>
      </c>
      <c r="F70">
        <v>0</v>
      </c>
      <c r="G70" s="2043">
        <v>0</v>
      </c>
      <c r="H70">
        <v>0</v>
      </c>
      <c r="I70" s="2043">
        <v>0</v>
      </c>
      <c r="J70">
        <v>238.934</v>
      </c>
      <c r="K70">
        <v>653</v>
      </c>
      <c r="L70">
        <v>0</v>
      </c>
      <c r="M70">
        <v>0</v>
      </c>
      <c r="N70">
        <v>0</v>
      </c>
      <c r="O70">
        <v>0</v>
      </c>
      <c r="P70">
        <v>0</v>
      </c>
      <c r="Q70">
        <v>0</v>
      </c>
      <c r="R70" s="2043">
        <v>0</v>
      </c>
      <c r="S70">
        <v>0</v>
      </c>
      <c r="T70">
        <v>0</v>
      </c>
      <c r="U70">
        <v>0</v>
      </c>
      <c r="V70">
        <v>222.19300000000001</v>
      </c>
      <c r="W70">
        <v>0</v>
      </c>
      <c r="X70">
        <v>0</v>
      </c>
      <c r="Y70">
        <v>1138180</v>
      </c>
      <c r="Z70">
        <v>0</v>
      </c>
      <c r="AA70">
        <v>0</v>
      </c>
      <c r="AB70">
        <v>4409.1210000000001</v>
      </c>
      <c r="AC70" s="2043">
        <v>0</v>
      </c>
      <c r="AD70">
        <v>0</v>
      </c>
      <c r="AE70" s="2043">
        <v>0</v>
      </c>
      <c r="AF70">
        <v>0</v>
      </c>
      <c r="AG70">
        <v>0</v>
      </c>
      <c r="AH70">
        <v>0</v>
      </c>
      <c r="AI70">
        <v>0</v>
      </c>
      <c r="AJ70">
        <v>837.32500000000005</v>
      </c>
      <c r="AK70">
        <v>11180</v>
      </c>
      <c r="AL70">
        <v>0.114</v>
      </c>
      <c r="AM70">
        <v>0</v>
      </c>
      <c r="AN70">
        <v>57.486000000000004</v>
      </c>
      <c r="AO70">
        <v>0</v>
      </c>
      <c r="AP70">
        <v>0</v>
      </c>
      <c r="AQ70">
        <v>0</v>
      </c>
      <c r="AR70">
        <v>111.723</v>
      </c>
      <c r="AS70">
        <v>0</v>
      </c>
      <c r="AT70">
        <v>15.266</v>
      </c>
      <c r="AU70">
        <v>9.2010000000000005</v>
      </c>
      <c r="AV70">
        <v>0</v>
      </c>
      <c r="AW70">
        <v>136.304</v>
      </c>
      <c r="AX70">
        <v>0</v>
      </c>
      <c r="AY70">
        <v>427.54200000000003</v>
      </c>
      <c r="AZ70">
        <v>0</v>
      </c>
      <c r="BA70">
        <v>50984479</v>
      </c>
      <c r="BB70">
        <v>0</v>
      </c>
      <c r="BC70">
        <v>0</v>
      </c>
      <c r="BD70">
        <v>0</v>
      </c>
      <c r="BE70">
        <v>0</v>
      </c>
      <c r="BF70">
        <v>0</v>
      </c>
      <c r="BG70">
        <v>0</v>
      </c>
      <c r="BH70">
        <v>0</v>
      </c>
      <c r="BI70">
        <v>0</v>
      </c>
      <c r="BJ70">
        <v>0</v>
      </c>
      <c r="BK70">
        <v>0</v>
      </c>
      <c r="BL70">
        <v>0</v>
      </c>
      <c r="BM70">
        <v>0</v>
      </c>
      <c r="BN70">
        <v>2988</v>
      </c>
      <c r="BO70">
        <v>1947</v>
      </c>
      <c r="BP70">
        <v>109915</v>
      </c>
      <c r="BQ70">
        <v>0</v>
      </c>
      <c r="BR70">
        <v>0</v>
      </c>
      <c r="BS70">
        <v>0</v>
      </c>
      <c r="BT70">
        <v>0</v>
      </c>
      <c r="BU70">
        <v>0</v>
      </c>
      <c r="BV70">
        <v>1112</v>
      </c>
      <c r="BW70">
        <v>646</v>
      </c>
      <c r="BX70">
        <v>639</v>
      </c>
      <c r="BY70">
        <v>546</v>
      </c>
      <c r="BZ70">
        <v>475</v>
      </c>
      <c r="CA70">
        <v>3418</v>
      </c>
      <c r="CB70">
        <v>0</v>
      </c>
      <c r="CC70">
        <v>0</v>
      </c>
      <c r="CD70">
        <v>0</v>
      </c>
      <c r="CE70">
        <v>249</v>
      </c>
      <c r="CF70">
        <v>1804.3960000000002</v>
      </c>
      <c r="CG70">
        <v>0</v>
      </c>
      <c r="CH70">
        <v>0</v>
      </c>
      <c r="CI70">
        <v>3</v>
      </c>
      <c r="CJ70">
        <v>3</v>
      </c>
      <c r="CK70">
        <v>0</v>
      </c>
      <c r="CL70">
        <v>0</v>
      </c>
      <c r="CM70">
        <v>738.87700000000007</v>
      </c>
      <c r="CN70">
        <v>15867</v>
      </c>
      <c r="CO70">
        <v>70562</v>
      </c>
      <c r="CP70">
        <v>23486</v>
      </c>
      <c r="CQ70">
        <v>0</v>
      </c>
      <c r="CR70">
        <v>0</v>
      </c>
      <c r="CS70">
        <v>0</v>
      </c>
      <c r="CT70">
        <v>0</v>
      </c>
      <c r="CU70">
        <v>103.57000000000001</v>
      </c>
      <c r="CV70">
        <v>59.86</v>
      </c>
      <c r="CW70">
        <v>25.11</v>
      </c>
      <c r="CX70">
        <v>0</v>
      </c>
      <c r="CY70" s="2043">
        <v>293394</v>
      </c>
      <c r="CZ70" s="2043">
        <v>0</v>
      </c>
      <c r="DA70" s="2043">
        <v>0</v>
      </c>
      <c r="DB70" s="2043">
        <v>0</v>
      </c>
      <c r="DC70" s="2043">
        <v>0</v>
      </c>
      <c r="DI70" t="s">
        <v>7937</v>
      </c>
      <c r="DJ70" t="s">
        <v>7937</v>
      </c>
      <c r="DK70" s="2042">
        <f t="shared" si="3"/>
        <v>0</v>
      </c>
    </row>
    <row r="71" spans="1:115">
      <c r="A71" t="s">
        <v>7939</v>
      </c>
      <c r="B71" t="s">
        <v>11248</v>
      </c>
      <c r="C71">
        <v>3251.06</v>
      </c>
      <c r="D71">
        <v>2899.8160000000003</v>
      </c>
      <c r="E71">
        <v>415.22800000000001</v>
      </c>
      <c r="F71">
        <v>0</v>
      </c>
      <c r="G71" s="2043">
        <v>0</v>
      </c>
      <c r="H71">
        <v>0</v>
      </c>
      <c r="I71" s="2043">
        <v>0</v>
      </c>
      <c r="J71">
        <v>0</v>
      </c>
      <c r="K71">
        <v>0</v>
      </c>
      <c r="L71">
        <v>0</v>
      </c>
      <c r="M71">
        <v>0</v>
      </c>
      <c r="N71">
        <v>0</v>
      </c>
      <c r="O71">
        <v>0</v>
      </c>
      <c r="P71">
        <v>0</v>
      </c>
      <c r="Q71">
        <v>0</v>
      </c>
      <c r="R71" s="2043">
        <v>0</v>
      </c>
      <c r="S71">
        <v>0</v>
      </c>
      <c r="T71">
        <v>0</v>
      </c>
      <c r="U71">
        <v>0</v>
      </c>
      <c r="V71">
        <v>44.241</v>
      </c>
      <c r="W71">
        <v>0</v>
      </c>
      <c r="X71">
        <v>0</v>
      </c>
      <c r="Y71">
        <v>574730</v>
      </c>
      <c r="Z71">
        <v>0</v>
      </c>
      <c r="AA71">
        <v>0</v>
      </c>
      <c r="AB71">
        <v>2899.8160000000003</v>
      </c>
      <c r="AC71" s="2043">
        <v>0</v>
      </c>
      <c r="AD71">
        <v>0</v>
      </c>
      <c r="AE71" s="2043">
        <v>0</v>
      </c>
      <c r="AF71">
        <v>0</v>
      </c>
      <c r="AG71">
        <v>0</v>
      </c>
      <c r="AH71">
        <v>0</v>
      </c>
      <c r="AI71">
        <v>0</v>
      </c>
      <c r="AJ71">
        <v>66.975000000000009</v>
      </c>
      <c r="AK71">
        <v>2167</v>
      </c>
      <c r="AL71">
        <v>0</v>
      </c>
      <c r="AM71">
        <v>0</v>
      </c>
      <c r="AN71">
        <v>8.5090000000000003</v>
      </c>
      <c r="AO71">
        <v>0</v>
      </c>
      <c r="AP71">
        <v>0</v>
      </c>
      <c r="AQ71">
        <v>0</v>
      </c>
      <c r="AR71">
        <v>22.814</v>
      </c>
      <c r="AS71">
        <v>0</v>
      </c>
      <c r="AT71">
        <v>1.506</v>
      </c>
      <c r="AU71">
        <v>2.5880000000000001</v>
      </c>
      <c r="AV71">
        <v>0</v>
      </c>
      <c r="AW71">
        <v>26.908000000000001</v>
      </c>
      <c r="AX71">
        <v>0</v>
      </c>
      <c r="AY71">
        <v>85.9</v>
      </c>
      <c r="AZ71">
        <v>0</v>
      </c>
      <c r="BA71">
        <v>28769015</v>
      </c>
      <c r="BB71">
        <v>0</v>
      </c>
      <c r="BC71">
        <v>0</v>
      </c>
      <c r="BD71">
        <v>0</v>
      </c>
      <c r="BE71">
        <v>0</v>
      </c>
      <c r="BF71">
        <v>0</v>
      </c>
      <c r="BG71">
        <v>0</v>
      </c>
      <c r="BH71">
        <v>0</v>
      </c>
      <c r="BI71">
        <v>0</v>
      </c>
      <c r="BJ71">
        <v>0</v>
      </c>
      <c r="BK71">
        <v>0</v>
      </c>
      <c r="BL71">
        <v>0</v>
      </c>
      <c r="BM71">
        <v>0</v>
      </c>
      <c r="BN71">
        <v>4446</v>
      </c>
      <c r="BO71">
        <v>0</v>
      </c>
      <c r="BP71">
        <v>0</v>
      </c>
      <c r="BQ71">
        <v>0</v>
      </c>
      <c r="BR71">
        <v>0</v>
      </c>
      <c r="BS71">
        <v>0</v>
      </c>
      <c r="BT71">
        <v>0</v>
      </c>
      <c r="BU71">
        <v>0</v>
      </c>
      <c r="BV71">
        <v>93</v>
      </c>
      <c r="BW71">
        <v>72</v>
      </c>
      <c r="BX71">
        <v>54</v>
      </c>
      <c r="BY71">
        <v>40</v>
      </c>
      <c r="BZ71">
        <v>18</v>
      </c>
      <c r="CA71">
        <v>277</v>
      </c>
      <c r="CB71">
        <v>0</v>
      </c>
      <c r="CC71">
        <v>0</v>
      </c>
      <c r="CD71">
        <v>0</v>
      </c>
      <c r="CE71">
        <v>41</v>
      </c>
      <c r="CF71">
        <v>370.02199999999999</v>
      </c>
      <c r="CG71">
        <v>0</v>
      </c>
      <c r="CH71">
        <v>0</v>
      </c>
      <c r="CI71">
        <v>3</v>
      </c>
      <c r="CJ71">
        <v>28</v>
      </c>
      <c r="CK71">
        <v>0</v>
      </c>
      <c r="CL71">
        <v>0</v>
      </c>
      <c r="CM71">
        <v>415.22800000000001</v>
      </c>
      <c r="CN71">
        <v>0</v>
      </c>
      <c r="CO71">
        <v>0</v>
      </c>
      <c r="CP71">
        <v>0</v>
      </c>
      <c r="CQ71">
        <v>0</v>
      </c>
      <c r="CR71">
        <v>0</v>
      </c>
      <c r="CS71">
        <v>0</v>
      </c>
      <c r="CT71">
        <v>0</v>
      </c>
      <c r="CU71">
        <v>0</v>
      </c>
      <c r="CV71">
        <v>0</v>
      </c>
      <c r="CW71">
        <v>0</v>
      </c>
      <c r="CX71">
        <v>0</v>
      </c>
      <c r="CY71" s="2043">
        <v>0</v>
      </c>
      <c r="CZ71" s="2043">
        <v>0</v>
      </c>
      <c r="DA71" s="2043">
        <v>0</v>
      </c>
      <c r="DB71" s="2043">
        <v>0</v>
      </c>
      <c r="DC71" s="2043">
        <v>0</v>
      </c>
      <c r="DI71" t="s">
        <v>7938</v>
      </c>
      <c r="DJ71" t="s">
        <v>7939</v>
      </c>
      <c r="DK71" s="2042">
        <f t="shared" si="3"/>
        <v>-1</v>
      </c>
    </row>
    <row r="72" spans="1:115">
      <c r="A72" t="s">
        <v>7938</v>
      </c>
      <c r="B72" t="s">
        <v>11249</v>
      </c>
      <c r="C72">
        <v>75.382000000000005</v>
      </c>
      <c r="D72">
        <v>98.169000000000011</v>
      </c>
      <c r="E72">
        <v>0</v>
      </c>
      <c r="F72">
        <v>0</v>
      </c>
      <c r="G72" s="2043">
        <v>0</v>
      </c>
      <c r="H72">
        <v>0</v>
      </c>
      <c r="I72" s="2043">
        <v>0</v>
      </c>
      <c r="J72">
        <v>0</v>
      </c>
      <c r="K72">
        <v>0</v>
      </c>
      <c r="L72">
        <v>0</v>
      </c>
      <c r="M72">
        <v>0</v>
      </c>
      <c r="N72">
        <v>0</v>
      </c>
      <c r="O72">
        <v>0</v>
      </c>
      <c r="P72">
        <v>0</v>
      </c>
      <c r="Q72">
        <v>0</v>
      </c>
      <c r="R72" s="2043">
        <v>0</v>
      </c>
      <c r="S72">
        <v>0</v>
      </c>
      <c r="T72">
        <v>0</v>
      </c>
      <c r="U72">
        <v>0</v>
      </c>
      <c r="V72">
        <v>0</v>
      </c>
      <c r="W72">
        <v>0</v>
      </c>
      <c r="X72">
        <v>0</v>
      </c>
      <c r="Y72">
        <v>78144</v>
      </c>
      <c r="Z72">
        <v>0</v>
      </c>
      <c r="AA72">
        <v>0</v>
      </c>
      <c r="AB72">
        <v>86.968000000000004</v>
      </c>
      <c r="AC72" s="2043">
        <v>0</v>
      </c>
      <c r="AD72">
        <v>0</v>
      </c>
      <c r="AE72" s="2043">
        <v>0</v>
      </c>
      <c r="AF72">
        <v>0</v>
      </c>
      <c r="AG72">
        <v>0</v>
      </c>
      <c r="AH72">
        <v>0</v>
      </c>
      <c r="AI72">
        <v>0</v>
      </c>
      <c r="AJ72">
        <v>11.05</v>
      </c>
      <c r="AK72">
        <v>82</v>
      </c>
      <c r="AL72">
        <v>0</v>
      </c>
      <c r="AM72">
        <v>0</v>
      </c>
      <c r="AN72">
        <v>0.70500000000000007</v>
      </c>
      <c r="AO72">
        <v>0</v>
      </c>
      <c r="AP72">
        <v>0</v>
      </c>
      <c r="AQ72">
        <v>0</v>
      </c>
      <c r="AR72">
        <v>0.93900000000000006</v>
      </c>
      <c r="AS72">
        <v>0</v>
      </c>
      <c r="AT72">
        <v>0</v>
      </c>
      <c r="AU72">
        <v>0</v>
      </c>
      <c r="AV72">
        <v>0</v>
      </c>
      <c r="AW72">
        <v>0.93900000000000006</v>
      </c>
      <c r="AX72">
        <v>0</v>
      </c>
      <c r="AY72">
        <v>2.8170000000000002</v>
      </c>
      <c r="AZ72">
        <v>0</v>
      </c>
      <c r="BA72">
        <v>798359</v>
      </c>
      <c r="BB72">
        <v>0</v>
      </c>
      <c r="BC72">
        <v>0</v>
      </c>
      <c r="BD72">
        <v>3420</v>
      </c>
      <c r="BE72">
        <v>0</v>
      </c>
      <c r="BF72">
        <v>3420</v>
      </c>
      <c r="BG72">
        <v>3420</v>
      </c>
      <c r="BH72">
        <v>0</v>
      </c>
      <c r="BI72">
        <v>0</v>
      </c>
      <c r="BJ72">
        <v>0</v>
      </c>
      <c r="BK72">
        <v>0</v>
      </c>
      <c r="BL72">
        <v>0</v>
      </c>
      <c r="BM72">
        <v>0</v>
      </c>
      <c r="BN72">
        <v>1368</v>
      </c>
      <c r="BO72">
        <v>0</v>
      </c>
      <c r="BP72">
        <v>0</v>
      </c>
      <c r="BQ72">
        <v>0</v>
      </c>
      <c r="BR72">
        <v>0</v>
      </c>
      <c r="BS72">
        <v>0</v>
      </c>
      <c r="BT72">
        <v>64818</v>
      </c>
      <c r="BU72">
        <v>0</v>
      </c>
      <c r="BV72">
        <v>3</v>
      </c>
      <c r="BW72">
        <v>5</v>
      </c>
      <c r="BX72">
        <v>8</v>
      </c>
      <c r="BY72">
        <v>19</v>
      </c>
      <c r="BZ72">
        <v>8</v>
      </c>
      <c r="CA72">
        <v>43</v>
      </c>
      <c r="CB72">
        <v>0</v>
      </c>
      <c r="CC72">
        <v>0</v>
      </c>
      <c r="CD72">
        <v>0</v>
      </c>
      <c r="CE72">
        <v>0</v>
      </c>
      <c r="CF72">
        <v>0</v>
      </c>
      <c r="CG72">
        <v>0</v>
      </c>
      <c r="CH72">
        <v>0</v>
      </c>
      <c r="CI72">
        <v>1</v>
      </c>
      <c r="CJ72">
        <v>0</v>
      </c>
      <c r="CK72">
        <v>0</v>
      </c>
      <c r="CL72">
        <v>0</v>
      </c>
      <c r="CM72">
        <v>0</v>
      </c>
      <c r="CN72">
        <v>0</v>
      </c>
      <c r="CO72">
        <v>0</v>
      </c>
      <c r="CP72">
        <v>0</v>
      </c>
      <c r="CQ72">
        <v>0</v>
      </c>
      <c r="CR72">
        <v>0</v>
      </c>
      <c r="CS72">
        <v>0</v>
      </c>
      <c r="CT72">
        <v>0</v>
      </c>
      <c r="CU72">
        <v>0</v>
      </c>
      <c r="CV72">
        <v>0</v>
      </c>
      <c r="CW72">
        <v>0</v>
      </c>
      <c r="CX72">
        <v>64818</v>
      </c>
      <c r="CY72" s="2043">
        <v>0</v>
      </c>
      <c r="CZ72" s="2043">
        <v>0</v>
      </c>
      <c r="DA72" s="2043">
        <v>0</v>
      </c>
      <c r="DB72" s="2043">
        <v>0</v>
      </c>
      <c r="DC72" s="2043">
        <v>0</v>
      </c>
      <c r="DI72" t="s">
        <v>7939</v>
      </c>
      <c r="DJ72" t="s">
        <v>7938</v>
      </c>
      <c r="DK72" s="2042">
        <f t="shared" si="3"/>
        <v>1</v>
      </c>
    </row>
    <row r="73" spans="1:115">
      <c r="A73" t="s">
        <v>7940</v>
      </c>
      <c r="B73" t="s">
        <v>11250</v>
      </c>
      <c r="C73">
        <v>7800.0950000000003</v>
      </c>
      <c r="D73">
        <v>6428.8280000000004</v>
      </c>
      <c r="E73">
        <v>615.73500000000001</v>
      </c>
      <c r="F73">
        <v>0</v>
      </c>
      <c r="G73" s="2043">
        <v>0</v>
      </c>
      <c r="H73">
        <v>0</v>
      </c>
      <c r="I73" s="2043">
        <v>0</v>
      </c>
      <c r="J73">
        <v>0</v>
      </c>
      <c r="K73">
        <v>0</v>
      </c>
      <c r="L73">
        <v>0</v>
      </c>
      <c r="M73">
        <v>0</v>
      </c>
      <c r="N73">
        <v>0</v>
      </c>
      <c r="O73">
        <v>0</v>
      </c>
      <c r="P73">
        <v>0</v>
      </c>
      <c r="Q73">
        <v>0</v>
      </c>
      <c r="R73" s="2043">
        <v>0</v>
      </c>
      <c r="S73">
        <v>0</v>
      </c>
      <c r="T73">
        <v>0</v>
      </c>
      <c r="U73">
        <v>0</v>
      </c>
      <c r="V73">
        <v>1034.097</v>
      </c>
      <c r="W73">
        <v>0</v>
      </c>
      <c r="X73">
        <v>0</v>
      </c>
      <c r="Y73">
        <v>1378918</v>
      </c>
      <c r="Z73">
        <v>0</v>
      </c>
      <c r="AA73">
        <v>0</v>
      </c>
      <c r="AB73">
        <v>6428.8280000000004</v>
      </c>
      <c r="AC73" s="2043">
        <v>0</v>
      </c>
      <c r="AD73">
        <v>0</v>
      </c>
      <c r="AE73" s="2043">
        <v>0</v>
      </c>
      <c r="AF73">
        <v>0</v>
      </c>
      <c r="AG73">
        <v>0</v>
      </c>
      <c r="AH73">
        <v>0</v>
      </c>
      <c r="AI73">
        <v>0</v>
      </c>
      <c r="AJ73">
        <v>436.45</v>
      </c>
      <c r="AK73">
        <v>14494</v>
      </c>
      <c r="AL73">
        <v>0</v>
      </c>
      <c r="AM73">
        <v>0</v>
      </c>
      <c r="AN73">
        <v>48.706000000000003</v>
      </c>
      <c r="AO73">
        <v>0</v>
      </c>
      <c r="AP73">
        <v>0</v>
      </c>
      <c r="AQ73">
        <v>0</v>
      </c>
      <c r="AR73">
        <v>146.732</v>
      </c>
      <c r="AS73">
        <v>0</v>
      </c>
      <c r="AT73">
        <v>24.193000000000001</v>
      </c>
      <c r="AU73">
        <v>13.868</v>
      </c>
      <c r="AV73">
        <v>0</v>
      </c>
      <c r="AW73">
        <v>185.60300000000001</v>
      </c>
      <c r="AX73">
        <v>0.81</v>
      </c>
      <c r="AY73">
        <v>583.97800000000007</v>
      </c>
      <c r="AZ73">
        <v>0</v>
      </c>
      <c r="BA73">
        <v>73403759</v>
      </c>
      <c r="BB73">
        <v>0</v>
      </c>
      <c r="BC73">
        <v>0</v>
      </c>
      <c r="BD73">
        <v>0</v>
      </c>
      <c r="BE73">
        <v>0</v>
      </c>
      <c r="BF73">
        <v>0</v>
      </c>
      <c r="BG73">
        <v>0</v>
      </c>
      <c r="BH73">
        <v>0</v>
      </c>
      <c r="BI73">
        <v>0</v>
      </c>
      <c r="BJ73">
        <v>0</v>
      </c>
      <c r="BK73">
        <v>0</v>
      </c>
      <c r="BL73">
        <v>0</v>
      </c>
      <c r="BM73">
        <v>0</v>
      </c>
      <c r="BN73">
        <v>8595</v>
      </c>
      <c r="BO73">
        <v>0</v>
      </c>
      <c r="BP73">
        <v>6566</v>
      </c>
      <c r="BQ73">
        <v>0</v>
      </c>
      <c r="BR73">
        <v>0</v>
      </c>
      <c r="BS73">
        <v>0</v>
      </c>
      <c r="BT73">
        <v>0</v>
      </c>
      <c r="BU73">
        <v>0</v>
      </c>
      <c r="BV73">
        <v>649</v>
      </c>
      <c r="BW73">
        <v>503</v>
      </c>
      <c r="BX73">
        <v>296</v>
      </c>
      <c r="BY73">
        <v>229</v>
      </c>
      <c r="BZ73">
        <v>134</v>
      </c>
      <c r="CA73">
        <v>1811</v>
      </c>
      <c r="CB73">
        <v>0</v>
      </c>
      <c r="CC73">
        <v>0</v>
      </c>
      <c r="CD73">
        <v>0</v>
      </c>
      <c r="CE73">
        <v>264</v>
      </c>
      <c r="CF73">
        <v>1131.424</v>
      </c>
      <c r="CG73">
        <v>0</v>
      </c>
      <c r="CH73">
        <v>0</v>
      </c>
      <c r="CI73">
        <v>5</v>
      </c>
      <c r="CJ73">
        <v>14</v>
      </c>
      <c r="CK73">
        <v>1</v>
      </c>
      <c r="CL73">
        <v>0</v>
      </c>
      <c r="CM73">
        <v>615.73500000000001</v>
      </c>
      <c r="CN73">
        <v>0</v>
      </c>
      <c r="CO73">
        <v>6566</v>
      </c>
      <c r="CP73">
        <v>0</v>
      </c>
      <c r="CQ73">
        <v>0</v>
      </c>
      <c r="CR73">
        <v>0</v>
      </c>
      <c r="CS73">
        <v>0</v>
      </c>
      <c r="CT73">
        <v>0</v>
      </c>
      <c r="CU73">
        <v>0</v>
      </c>
      <c r="CV73">
        <v>0</v>
      </c>
      <c r="CW73">
        <v>0</v>
      </c>
      <c r="CX73">
        <v>0</v>
      </c>
      <c r="CY73" s="2043">
        <v>0</v>
      </c>
      <c r="CZ73" s="2043">
        <v>0</v>
      </c>
      <c r="DA73" s="2043">
        <v>0</v>
      </c>
      <c r="DB73" s="2043">
        <v>0</v>
      </c>
      <c r="DC73" s="2043">
        <v>0</v>
      </c>
      <c r="DI73" t="s">
        <v>7940</v>
      </c>
      <c r="DJ73" t="s">
        <v>7940</v>
      </c>
      <c r="DK73" s="2042">
        <f t="shared" si="3"/>
        <v>0</v>
      </c>
    </row>
    <row r="74" spans="1:115">
      <c r="A74" t="s">
        <v>7941</v>
      </c>
      <c r="B74" t="s">
        <v>11251</v>
      </c>
      <c r="C74">
        <v>455.74600000000004</v>
      </c>
      <c r="D74">
        <v>466.20500000000004</v>
      </c>
      <c r="E74">
        <v>31.759</v>
      </c>
      <c r="F74">
        <v>0</v>
      </c>
      <c r="G74" s="2043">
        <v>0</v>
      </c>
      <c r="H74">
        <v>0</v>
      </c>
      <c r="I74" s="2043">
        <v>0</v>
      </c>
      <c r="J74">
        <v>0</v>
      </c>
      <c r="K74">
        <v>0</v>
      </c>
      <c r="L74">
        <v>0</v>
      </c>
      <c r="M74">
        <v>0</v>
      </c>
      <c r="N74">
        <v>0</v>
      </c>
      <c r="O74">
        <v>0</v>
      </c>
      <c r="P74">
        <v>0</v>
      </c>
      <c r="Q74">
        <v>0</v>
      </c>
      <c r="R74" s="2043">
        <v>0</v>
      </c>
      <c r="S74">
        <v>0</v>
      </c>
      <c r="T74">
        <v>0</v>
      </c>
      <c r="U74">
        <v>0</v>
      </c>
      <c r="V74">
        <v>0</v>
      </c>
      <c r="W74">
        <v>0</v>
      </c>
      <c r="X74">
        <v>0</v>
      </c>
      <c r="Y74">
        <v>80568</v>
      </c>
      <c r="Z74">
        <v>0</v>
      </c>
      <c r="AA74">
        <v>0</v>
      </c>
      <c r="AB74">
        <v>468.15800000000002</v>
      </c>
      <c r="AC74" s="2043">
        <v>0</v>
      </c>
      <c r="AD74">
        <v>0</v>
      </c>
      <c r="AE74" s="2043">
        <v>0</v>
      </c>
      <c r="AF74">
        <v>0</v>
      </c>
      <c r="AG74">
        <v>0</v>
      </c>
      <c r="AH74">
        <v>0</v>
      </c>
      <c r="AI74">
        <v>0</v>
      </c>
      <c r="AJ74">
        <v>20.75</v>
      </c>
      <c r="AK74">
        <v>975</v>
      </c>
      <c r="AL74">
        <v>0</v>
      </c>
      <c r="AM74">
        <v>0</v>
      </c>
      <c r="AN74">
        <v>5.6110000000000007</v>
      </c>
      <c r="AO74">
        <v>0</v>
      </c>
      <c r="AP74">
        <v>0</v>
      </c>
      <c r="AQ74">
        <v>0</v>
      </c>
      <c r="AR74">
        <v>9.75</v>
      </c>
      <c r="AS74">
        <v>0</v>
      </c>
      <c r="AT74">
        <v>1.3380000000000001</v>
      </c>
      <c r="AU74">
        <v>0.66900000000000004</v>
      </c>
      <c r="AV74">
        <v>0</v>
      </c>
      <c r="AW74">
        <v>11.757000000000001</v>
      </c>
      <c r="AX74">
        <v>0</v>
      </c>
      <c r="AY74">
        <v>36.609000000000002</v>
      </c>
      <c r="AZ74">
        <v>0</v>
      </c>
      <c r="BA74">
        <v>4217364</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35</v>
      </c>
      <c r="BW74">
        <v>22</v>
      </c>
      <c r="BX74">
        <v>19</v>
      </c>
      <c r="BY74">
        <v>10</v>
      </c>
      <c r="BZ74">
        <v>1</v>
      </c>
      <c r="CA74">
        <v>87</v>
      </c>
      <c r="CB74">
        <v>0</v>
      </c>
      <c r="CC74">
        <v>0</v>
      </c>
      <c r="CD74">
        <v>0</v>
      </c>
      <c r="CE74">
        <v>10</v>
      </c>
      <c r="CF74">
        <v>56.571000000000005</v>
      </c>
      <c r="CG74">
        <v>0</v>
      </c>
      <c r="CH74">
        <v>0</v>
      </c>
      <c r="CI74">
        <v>0</v>
      </c>
      <c r="CJ74">
        <v>0</v>
      </c>
      <c r="CK74">
        <v>0</v>
      </c>
      <c r="CL74">
        <v>0</v>
      </c>
      <c r="CM74">
        <v>31.759</v>
      </c>
      <c r="CN74">
        <v>0</v>
      </c>
      <c r="CO74">
        <v>0</v>
      </c>
      <c r="CP74">
        <v>0</v>
      </c>
      <c r="CQ74">
        <v>0</v>
      </c>
      <c r="CR74">
        <v>0</v>
      </c>
      <c r="CS74">
        <v>0</v>
      </c>
      <c r="CT74">
        <v>0</v>
      </c>
      <c r="CU74">
        <v>0</v>
      </c>
      <c r="CV74">
        <v>0</v>
      </c>
      <c r="CW74">
        <v>0</v>
      </c>
      <c r="CX74">
        <v>0</v>
      </c>
      <c r="CY74" s="2043">
        <v>0</v>
      </c>
      <c r="CZ74" s="2043">
        <v>0</v>
      </c>
      <c r="DA74" s="2043">
        <v>0</v>
      </c>
      <c r="DB74" s="2043">
        <v>0</v>
      </c>
      <c r="DC74" s="2043">
        <v>0</v>
      </c>
      <c r="DI74" t="s">
        <v>7941</v>
      </c>
      <c r="DJ74" t="s">
        <v>7941</v>
      </c>
      <c r="DK74" s="2042">
        <f t="shared" si="3"/>
        <v>0</v>
      </c>
    </row>
    <row r="75" spans="1:115">
      <c r="A75" t="s">
        <v>7942</v>
      </c>
      <c r="B75" t="s">
        <v>11252</v>
      </c>
      <c r="C75">
        <v>1668.82</v>
      </c>
      <c r="D75">
        <v>1036.1090000000002</v>
      </c>
      <c r="E75">
        <v>262.86099999999999</v>
      </c>
      <c r="F75">
        <v>0</v>
      </c>
      <c r="G75" s="2043">
        <v>0</v>
      </c>
      <c r="H75">
        <v>0</v>
      </c>
      <c r="I75" s="2043">
        <v>0</v>
      </c>
      <c r="J75">
        <v>0</v>
      </c>
      <c r="K75">
        <v>0</v>
      </c>
      <c r="L75">
        <v>0</v>
      </c>
      <c r="M75">
        <v>0</v>
      </c>
      <c r="N75">
        <v>0</v>
      </c>
      <c r="O75">
        <v>0</v>
      </c>
      <c r="P75">
        <v>0</v>
      </c>
      <c r="Q75">
        <v>0</v>
      </c>
      <c r="R75" s="2043">
        <v>0</v>
      </c>
      <c r="S75">
        <v>0</v>
      </c>
      <c r="T75">
        <v>0</v>
      </c>
      <c r="U75">
        <v>0</v>
      </c>
      <c r="V75">
        <v>601.48200000000008</v>
      </c>
      <c r="W75">
        <v>0</v>
      </c>
      <c r="X75">
        <v>0</v>
      </c>
      <c r="Y75">
        <v>1277716</v>
      </c>
      <c r="Z75">
        <v>0</v>
      </c>
      <c r="AA75">
        <v>0</v>
      </c>
      <c r="AB75">
        <v>1036.1090000000002</v>
      </c>
      <c r="AC75" s="2043">
        <v>0</v>
      </c>
      <c r="AD75">
        <v>0</v>
      </c>
      <c r="AE75" s="2043">
        <v>0</v>
      </c>
      <c r="AF75">
        <v>0</v>
      </c>
      <c r="AG75">
        <v>0</v>
      </c>
      <c r="AH75">
        <v>0</v>
      </c>
      <c r="AI75">
        <v>0</v>
      </c>
      <c r="AJ75">
        <v>414.25</v>
      </c>
      <c r="AK75">
        <v>4939</v>
      </c>
      <c r="AL75">
        <v>0.43</v>
      </c>
      <c r="AM75">
        <v>0</v>
      </c>
      <c r="AN75">
        <v>103.56100000000001</v>
      </c>
      <c r="AO75">
        <v>0</v>
      </c>
      <c r="AP75">
        <v>0</v>
      </c>
      <c r="AQ75">
        <v>0</v>
      </c>
      <c r="AR75">
        <v>8.5460000000000012</v>
      </c>
      <c r="AS75">
        <v>0</v>
      </c>
      <c r="AT75">
        <v>17.917999999999999</v>
      </c>
      <c r="AU75">
        <v>3.4870000000000001</v>
      </c>
      <c r="AV75">
        <v>0</v>
      </c>
      <c r="AW75">
        <v>30.381</v>
      </c>
      <c r="AX75">
        <v>0</v>
      </c>
      <c r="AY75">
        <v>98.977000000000004</v>
      </c>
      <c r="AZ75">
        <v>0</v>
      </c>
      <c r="BA75">
        <v>20578847</v>
      </c>
      <c r="BB75">
        <v>0</v>
      </c>
      <c r="BC75">
        <v>0</v>
      </c>
      <c r="BD75">
        <v>218453</v>
      </c>
      <c r="BE75">
        <v>94848</v>
      </c>
      <c r="BF75">
        <v>313301</v>
      </c>
      <c r="BG75">
        <v>218453</v>
      </c>
      <c r="BH75">
        <v>0</v>
      </c>
      <c r="BI75">
        <v>0</v>
      </c>
      <c r="BJ75">
        <v>0</v>
      </c>
      <c r="BK75">
        <v>0</v>
      </c>
      <c r="BL75">
        <v>0</v>
      </c>
      <c r="BM75">
        <v>0</v>
      </c>
      <c r="BN75">
        <v>0</v>
      </c>
      <c r="BO75">
        <v>86</v>
      </c>
      <c r="BP75">
        <v>0</v>
      </c>
      <c r="BQ75">
        <v>0</v>
      </c>
      <c r="BR75">
        <v>0</v>
      </c>
      <c r="BS75">
        <v>0</v>
      </c>
      <c r="BT75">
        <v>0</v>
      </c>
      <c r="BU75">
        <v>0</v>
      </c>
      <c r="BV75">
        <v>117</v>
      </c>
      <c r="BW75">
        <v>237</v>
      </c>
      <c r="BX75">
        <v>227</v>
      </c>
      <c r="BY75">
        <v>405</v>
      </c>
      <c r="BZ75">
        <v>613</v>
      </c>
      <c r="CA75">
        <v>1599</v>
      </c>
      <c r="CB75">
        <v>0</v>
      </c>
      <c r="CC75">
        <v>0</v>
      </c>
      <c r="CD75">
        <v>0</v>
      </c>
      <c r="CE75">
        <v>48</v>
      </c>
      <c r="CF75">
        <v>674.34900000000005</v>
      </c>
      <c r="CG75">
        <v>0</v>
      </c>
      <c r="CH75">
        <v>0</v>
      </c>
      <c r="CI75">
        <v>0</v>
      </c>
      <c r="CJ75">
        <v>0</v>
      </c>
      <c r="CK75">
        <v>0</v>
      </c>
      <c r="CL75">
        <v>0</v>
      </c>
      <c r="CM75">
        <v>262.86099999999999</v>
      </c>
      <c r="CN75">
        <v>0</v>
      </c>
      <c r="CO75">
        <v>0</v>
      </c>
      <c r="CP75">
        <v>0</v>
      </c>
      <c r="CQ75">
        <v>0</v>
      </c>
      <c r="CR75">
        <v>0</v>
      </c>
      <c r="CS75">
        <v>0</v>
      </c>
      <c r="CT75">
        <v>0</v>
      </c>
      <c r="CU75">
        <v>18.787000000000003</v>
      </c>
      <c r="CV75">
        <v>7.3980000000000006</v>
      </c>
      <c r="CW75">
        <v>0.13100000000000001</v>
      </c>
      <c r="CX75">
        <v>0</v>
      </c>
      <c r="CY75" s="2043">
        <v>982698</v>
      </c>
      <c r="CZ75" s="2043">
        <v>0</v>
      </c>
      <c r="DA75" s="2043">
        <v>0</v>
      </c>
      <c r="DB75" s="2043">
        <v>0</v>
      </c>
      <c r="DC75" s="2043">
        <v>0</v>
      </c>
      <c r="DI75" t="s">
        <v>7942</v>
      </c>
      <c r="DJ75" t="s">
        <v>7942</v>
      </c>
      <c r="DK75" s="2042">
        <f t="shared" si="3"/>
        <v>0</v>
      </c>
    </row>
    <row r="76" spans="1:115">
      <c r="A76" t="s">
        <v>8777</v>
      </c>
      <c r="B76" t="s">
        <v>11253</v>
      </c>
      <c r="C76">
        <v>432.39300000000003</v>
      </c>
      <c r="D76">
        <v>325.327</v>
      </c>
      <c r="E76">
        <v>7.6220000000000008</v>
      </c>
      <c r="F76">
        <v>0</v>
      </c>
      <c r="G76" s="2043">
        <v>0</v>
      </c>
      <c r="H76">
        <v>0</v>
      </c>
      <c r="I76" s="2043">
        <v>0</v>
      </c>
      <c r="J76">
        <v>0</v>
      </c>
      <c r="K76">
        <v>0</v>
      </c>
      <c r="L76">
        <v>0</v>
      </c>
      <c r="M76">
        <v>0</v>
      </c>
      <c r="N76">
        <v>0</v>
      </c>
      <c r="O76">
        <v>0</v>
      </c>
      <c r="P76">
        <v>0</v>
      </c>
      <c r="Q76">
        <v>0</v>
      </c>
      <c r="R76" s="2043">
        <v>0</v>
      </c>
      <c r="S76">
        <v>0</v>
      </c>
      <c r="T76">
        <v>0</v>
      </c>
      <c r="U76">
        <v>0</v>
      </c>
      <c r="V76">
        <v>280.47200000000004</v>
      </c>
      <c r="W76">
        <v>0</v>
      </c>
      <c r="X76">
        <v>0</v>
      </c>
      <c r="Y76">
        <v>245325</v>
      </c>
      <c r="Z76">
        <v>0</v>
      </c>
      <c r="AA76">
        <v>0</v>
      </c>
      <c r="AB76">
        <v>325.327</v>
      </c>
      <c r="AC76" s="2043">
        <v>0</v>
      </c>
      <c r="AD76">
        <v>0</v>
      </c>
      <c r="AE76" s="2043">
        <v>0</v>
      </c>
      <c r="AF76">
        <v>0</v>
      </c>
      <c r="AG76">
        <v>0</v>
      </c>
      <c r="AH76">
        <v>0</v>
      </c>
      <c r="AI76">
        <v>0</v>
      </c>
      <c r="AJ76">
        <v>66.787999999999997</v>
      </c>
      <c r="AK76">
        <v>1669</v>
      </c>
      <c r="AL76">
        <v>6.5000000000000002E-2</v>
      </c>
      <c r="AM76">
        <v>0</v>
      </c>
      <c r="AN76">
        <v>16.093</v>
      </c>
      <c r="AO76">
        <v>0</v>
      </c>
      <c r="AP76">
        <v>0</v>
      </c>
      <c r="AQ76">
        <v>0</v>
      </c>
      <c r="AR76">
        <v>14.9</v>
      </c>
      <c r="AS76">
        <v>0</v>
      </c>
      <c r="AT76">
        <v>0.216</v>
      </c>
      <c r="AU76">
        <v>1.9000000000000001</v>
      </c>
      <c r="AV76">
        <v>0</v>
      </c>
      <c r="AW76">
        <v>17.081</v>
      </c>
      <c r="AX76">
        <v>0</v>
      </c>
      <c r="AY76">
        <v>55.173000000000002</v>
      </c>
      <c r="AZ76">
        <v>0</v>
      </c>
      <c r="BA76">
        <v>5067537</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45</v>
      </c>
      <c r="BW76">
        <v>58</v>
      </c>
      <c r="BX76">
        <v>71</v>
      </c>
      <c r="BY76">
        <v>57</v>
      </c>
      <c r="BZ76">
        <v>37</v>
      </c>
      <c r="CA76">
        <v>268</v>
      </c>
      <c r="CB76">
        <v>0</v>
      </c>
      <c r="CC76">
        <v>0</v>
      </c>
      <c r="CD76">
        <v>0</v>
      </c>
      <c r="CE76">
        <v>12</v>
      </c>
      <c r="CF76">
        <v>296.27</v>
      </c>
      <c r="CG76">
        <v>0</v>
      </c>
      <c r="CH76">
        <v>0</v>
      </c>
      <c r="CI76">
        <v>0</v>
      </c>
      <c r="CJ76">
        <v>0</v>
      </c>
      <c r="CK76">
        <v>0</v>
      </c>
      <c r="CL76">
        <v>0</v>
      </c>
      <c r="CM76">
        <v>7.6220000000000008</v>
      </c>
      <c r="CN76">
        <v>0</v>
      </c>
      <c r="CO76">
        <v>0</v>
      </c>
      <c r="CP76">
        <v>0</v>
      </c>
      <c r="CQ76">
        <v>0</v>
      </c>
      <c r="CR76">
        <v>0</v>
      </c>
      <c r="CS76">
        <v>0</v>
      </c>
      <c r="CT76">
        <v>0</v>
      </c>
      <c r="CU76">
        <v>0</v>
      </c>
      <c r="CV76">
        <v>0</v>
      </c>
      <c r="CW76">
        <v>0</v>
      </c>
      <c r="CX76">
        <v>0</v>
      </c>
      <c r="CY76" s="2043">
        <v>245325</v>
      </c>
      <c r="CZ76" s="2043">
        <v>0</v>
      </c>
      <c r="DA76" s="2043">
        <v>0</v>
      </c>
      <c r="DB76" s="2043">
        <v>0</v>
      </c>
      <c r="DC76" s="2043">
        <v>0</v>
      </c>
      <c r="DI76" t="s">
        <v>7943</v>
      </c>
      <c r="DJ76" t="s">
        <v>8777</v>
      </c>
      <c r="DK76" s="2042">
        <f t="shared" si="3"/>
        <v>-2</v>
      </c>
    </row>
    <row r="77" spans="1:115">
      <c r="A77" t="s">
        <v>7943</v>
      </c>
      <c r="B77" t="s">
        <v>11254</v>
      </c>
      <c r="C77">
        <v>236.08800000000002</v>
      </c>
      <c r="D77">
        <v>171.39500000000001</v>
      </c>
      <c r="E77">
        <v>16.757999999999999</v>
      </c>
      <c r="F77">
        <v>0</v>
      </c>
      <c r="G77" s="2043">
        <v>0</v>
      </c>
      <c r="H77">
        <v>0</v>
      </c>
      <c r="I77" s="2043">
        <v>0</v>
      </c>
      <c r="J77">
        <v>0</v>
      </c>
      <c r="K77">
        <v>0</v>
      </c>
      <c r="L77">
        <v>0</v>
      </c>
      <c r="M77">
        <v>0</v>
      </c>
      <c r="N77">
        <v>0</v>
      </c>
      <c r="O77">
        <v>0</v>
      </c>
      <c r="P77">
        <v>0</v>
      </c>
      <c r="Q77">
        <v>0</v>
      </c>
      <c r="R77" s="2043">
        <v>0</v>
      </c>
      <c r="S77">
        <v>0</v>
      </c>
      <c r="T77">
        <v>0</v>
      </c>
      <c r="U77">
        <v>0</v>
      </c>
      <c r="V77">
        <v>108.25</v>
      </c>
      <c r="W77">
        <v>0</v>
      </c>
      <c r="X77">
        <v>0</v>
      </c>
      <c r="Y77">
        <v>86075</v>
      </c>
      <c r="Z77">
        <v>0</v>
      </c>
      <c r="AA77">
        <v>0</v>
      </c>
      <c r="AB77">
        <v>171.39500000000001</v>
      </c>
      <c r="AC77" s="2043">
        <v>0</v>
      </c>
      <c r="AD77">
        <v>0</v>
      </c>
      <c r="AE77" s="2043">
        <v>0</v>
      </c>
      <c r="AF77">
        <v>0</v>
      </c>
      <c r="AG77">
        <v>0</v>
      </c>
      <c r="AH77">
        <v>0</v>
      </c>
      <c r="AI77">
        <v>0</v>
      </c>
      <c r="AJ77">
        <v>55.488</v>
      </c>
      <c r="AK77">
        <v>729</v>
      </c>
      <c r="AL77">
        <v>0</v>
      </c>
      <c r="AM77">
        <v>0</v>
      </c>
      <c r="AN77">
        <v>11.843</v>
      </c>
      <c r="AO77">
        <v>0</v>
      </c>
      <c r="AP77">
        <v>0</v>
      </c>
      <c r="AQ77">
        <v>0</v>
      </c>
      <c r="AR77">
        <v>3.87</v>
      </c>
      <c r="AS77">
        <v>0</v>
      </c>
      <c r="AT77">
        <v>1.099</v>
      </c>
      <c r="AU77">
        <v>0.73299999999999998</v>
      </c>
      <c r="AV77">
        <v>0</v>
      </c>
      <c r="AW77">
        <v>5.702</v>
      </c>
      <c r="AX77">
        <v>0</v>
      </c>
      <c r="AY77">
        <v>18.571999999999999</v>
      </c>
      <c r="AZ77">
        <v>0</v>
      </c>
      <c r="BA77">
        <v>3057418</v>
      </c>
      <c r="BB77">
        <v>0</v>
      </c>
      <c r="BC77">
        <v>0</v>
      </c>
      <c r="BD77">
        <v>29156</v>
      </c>
      <c r="BE77">
        <v>0</v>
      </c>
      <c r="BF77">
        <v>29156</v>
      </c>
      <c r="BG77">
        <v>29156</v>
      </c>
      <c r="BH77">
        <v>0</v>
      </c>
      <c r="BI77">
        <v>0</v>
      </c>
      <c r="BJ77">
        <v>0</v>
      </c>
      <c r="BK77">
        <v>0</v>
      </c>
      <c r="BL77">
        <v>0</v>
      </c>
      <c r="BM77">
        <v>0</v>
      </c>
      <c r="BN77">
        <v>0</v>
      </c>
      <c r="BO77">
        <v>0</v>
      </c>
      <c r="BP77">
        <v>177536</v>
      </c>
      <c r="BQ77">
        <v>0</v>
      </c>
      <c r="BR77">
        <v>0</v>
      </c>
      <c r="BS77">
        <v>0</v>
      </c>
      <c r="BT77">
        <v>0</v>
      </c>
      <c r="BU77">
        <v>0</v>
      </c>
      <c r="BV77">
        <v>15</v>
      </c>
      <c r="BW77">
        <v>26</v>
      </c>
      <c r="BX77">
        <v>23</v>
      </c>
      <c r="BY77">
        <v>41</v>
      </c>
      <c r="BZ77">
        <v>107</v>
      </c>
      <c r="CA77">
        <v>212</v>
      </c>
      <c r="CB77">
        <v>0</v>
      </c>
      <c r="CC77">
        <v>0</v>
      </c>
      <c r="CD77">
        <v>0</v>
      </c>
      <c r="CE77">
        <v>17</v>
      </c>
      <c r="CF77">
        <v>199.75200000000001</v>
      </c>
      <c r="CG77">
        <v>0</v>
      </c>
      <c r="CH77">
        <v>0</v>
      </c>
      <c r="CI77">
        <v>0</v>
      </c>
      <c r="CJ77">
        <v>0</v>
      </c>
      <c r="CK77">
        <v>0</v>
      </c>
      <c r="CL77">
        <v>0</v>
      </c>
      <c r="CM77">
        <v>16.757999999999999</v>
      </c>
      <c r="CN77">
        <v>120160</v>
      </c>
      <c r="CO77">
        <v>52876</v>
      </c>
      <c r="CP77">
        <v>0</v>
      </c>
      <c r="CQ77">
        <v>4500</v>
      </c>
      <c r="CR77">
        <v>0</v>
      </c>
      <c r="CS77">
        <v>0</v>
      </c>
      <c r="CT77">
        <v>0</v>
      </c>
      <c r="CU77">
        <v>0</v>
      </c>
      <c r="CV77">
        <v>0</v>
      </c>
      <c r="CW77">
        <v>0</v>
      </c>
      <c r="CX77">
        <v>0</v>
      </c>
      <c r="CY77" s="2043">
        <v>86075</v>
      </c>
      <c r="CZ77" s="2043">
        <v>0</v>
      </c>
      <c r="DA77" s="2043">
        <v>0</v>
      </c>
      <c r="DB77" s="2043">
        <v>0</v>
      </c>
      <c r="DC77" s="2043">
        <v>0</v>
      </c>
      <c r="DI77" t="s">
        <v>8776</v>
      </c>
      <c r="DJ77" t="s">
        <v>7943</v>
      </c>
      <c r="DK77" s="2042">
        <f t="shared" si="3"/>
        <v>1</v>
      </c>
    </row>
    <row r="78" spans="1:115">
      <c r="A78" t="s">
        <v>8776</v>
      </c>
      <c r="B78" t="s">
        <v>11255</v>
      </c>
      <c r="C78">
        <v>176.23500000000001</v>
      </c>
      <c r="D78">
        <v>189.387</v>
      </c>
      <c r="E78">
        <v>0</v>
      </c>
      <c r="F78">
        <v>0</v>
      </c>
      <c r="G78" s="2043">
        <v>0</v>
      </c>
      <c r="H78">
        <v>0</v>
      </c>
      <c r="I78" s="2043">
        <v>0</v>
      </c>
      <c r="J78">
        <v>0</v>
      </c>
      <c r="K78">
        <v>0</v>
      </c>
      <c r="L78">
        <v>0</v>
      </c>
      <c r="M78">
        <v>0</v>
      </c>
      <c r="N78">
        <v>0</v>
      </c>
      <c r="O78">
        <v>0</v>
      </c>
      <c r="P78">
        <v>0</v>
      </c>
      <c r="Q78">
        <v>0</v>
      </c>
      <c r="R78" s="2043">
        <v>0</v>
      </c>
      <c r="S78">
        <v>0</v>
      </c>
      <c r="T78">
        <v>0</v>
      </c>
      <c r="U78">
        <v>0</v>
      </c>
      <c r="V78">
        <v>71.406000000000006</v>
      </c>
      <c r="W78">
        <v>0</v>
      </c>
      <c r="X78">
        <v>0</v>
      </c>
      <c r="Y78">
        <v>228438</v>
      </c>
      <c r="Z78">
        <v>0</v>
      </c>
      <c r="AA78">
        <v>0</v>
      </c>
      <c r="AB78">
        <v>189.387</v>
      </c>
      <c r="AC78" s="2043">
        <v>0</v>
      </c>
      <c r="AD78">
        <v>0</v>
      </c>
      <c r="AE78" s="2043">
        <v>0</v>
      </c>
      <c r="AF78">
        <v>0</v>
      </c>
      <c r="AG78">
        <v>0</v>
      </c>
      <c r="AH78">
        <v>0</v>
      </c>
      <c r="AI78">
        <v>0</v>
      </c>
      <c r="AJ78">
        <v>29.363000000000003</v>
      </c>
      <c r="AK78">
        <v>701</v>
      </c>
      <c r="AL78">
        <v>0</v>
      </c>
      <c r="AM78">
        <v>0</v>
      </c>
      <c r="AN78">
        <v>14.998000000000001</v>
      </c>
      <c r="AO78">
        <v>0</v>
      </c>
      <c r="AP78">
        <v>0</v>
      </c>
      <c r="AQ78">
        <v>0</v>
      </c>
      <c r="AR78">
        <v>4.2510000000000003</v>
      </c>
      <c r="AS78">
        <v>0</v>
      </c>
      <c r="AT78">
        <v>0</v>
      </c>
      <c r="AU78">
        <v>0.189</v>
      </c>
      <c r="AV78">
        <v>0</v>
      </c>
      <c r="AW78">
        <v>4.4400000000000004</v>
      </c>
      <c r="AX78">
        <v>0</v>
      </c>
      <c r="AY78">
        <v>13.698</v>
      </c>
      <c r="AZ78">
        <v>0</v>
      </c>
      <c r="BA78">
        <v>2135129</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10</v>
      </c>
      <c r="BW78">
        <v>19</v>
      </c>
      <c r="BX78">
        <v>28</v>
      </c>
      <c r="BY78">
        <v>28</v>
      </c>
      <c r="BZ78">
        <v>30</v>
      </c>
      <c r="CA78">
        <v>115</v>
      </c>
      <c r="CB78">
        <v>0</v>
      </c>
      <c r="CC78">
        <v>0</v>
      </c>
      <c r="CD78">
        <v>0</v>
      </c>
      <c r="CE78">
        <v>10</v>
      </c>
      <c r="CF78">
        <v>0</v>
      </c>
      <c r="CG78">
        <v>0</v>
      </c>
      <c r="CH78">
        <v>0</v>
      </c>
      <c r="CI78">
        <v>0</v>
      </c>
      <c r="CJ78">
        <v>0</v>
      </c>
      <c r="CK78">
        <v>0</v>
      </c>
      <c r="CL78">
        <v>0</v>
      </c>
      <c r="CM78">
        <v>0</v>
      </c>
      <c r="CN78">
        <v>0</v>
      </c>
      <c r="CO78">
        <v>0</v>
      </c>
      <c r="CP78">
        <v>0</v>
      </c>
      <c r="CQ78">
        <v>0</v>
      </c>
      <c r="CR78">
        <v>0</v>
      </c>
      <c r="CS78">
        <v>0</v>
      </c>
      <c r="CT78">
        <v>0</v>
      </c>
      <c r="CU78">
        <v>0</v>
      </c>
      <c r="CV78">
        <v>8.0210000000000008</v>
      </c>
      <c r="CW78">
        <v>0</v>
      </c>
      <c r="CX78">
        <v>0</v>
      </c>
      <c r="CY78" s="2043">
        <v>228438</v>
      </c>
      <c r="CZ78" s="2043">
        <v>0</v>
      </c>
      <c r="DA78" s="2043">
        <v>0</v>
      </c>
      <c r="DB78" s="2043">
        <v>0</v>
      </c>
      <c r="DC78" s="2043">
        <v>0</v>
      </c>
      <c r="DI78" t="s">
        <v>8777</v>
      </c>
      <c r="DJ78" t="s">
        <v>8776</v>
      </c>
      <c r="DK78" s="2042">
        <f t="shared" si="3"/>
        <v>1</v>
      </c>
    </row>
    <row r="79" spans="1:115">
      <c r="A79" t="s">
        <v>10383</v>
      </c>
      <c r="B79" t="s">
        <v>11256</v>
      </c>
      <c r="C79">
        <v>97.928000000000011</v>
      </c>
      <c r="D79">
        <v>0</v>
      </c>
      <c r="E79">
        <v>8.984</v>
      </c>
      <c r="F79">
        <v>0</v>
      </c>
      <c r="G79" s="2043">
        <v>0</v>
      </c>
      <c r="H79">
        <v>0</v>
      </c>
      <c r="I79" s="2043">
        <v>0</v>
      </c>
      <c r="J79">
        <v>2</v>
      </c>
      <c r="K79">
        <v>5</v>
      </c>
      <c r="L79">
        <v>0</v>
      </c>
      <c r="M79">
        <v>0</v>
      </c>
      <c r="N79">
        <v>0</v>
      </c>
      <c r="O79">
        <v>0</v>
      </c>
      <c r="P79">
        <v>0</v>
      </c>
      <c r="Q79">
        <v>0</v>
      </c>
      <c r="R79" s="2043">
        <v>0</v>
      </c>
      <c r="S79">
        <v>0</v>
      </c>
      <c r="T79">
        <v>0</v>
      </c>
      <c r="U79">
        <v>0</v>
      </c>
      <c r="V79">
        <v>288</v>
      </c>
      <c r="W79">
        <v>0</v>
      </c>
      <c r="X79">
        <v>0</v>
      </c>
      <c r="Y79">
        <v>0</v>
      </c>
      <c r="Z79">
        <v>0</v>
      </c>
      <c r="AA79">
        <v>0</v>
      </c>
      <c r="AB79">
        <v>0</v>
      </c>
      <c r="AC79" s="2043">
        <v>0</v>
      </c>
      <c r="AD79">
        <v>0</v>
      </c>
      <c r="AE79" s="2043">
        <v>0</v>
      </c>
      <c r="AF79">
        <v>0</v>
      </c>
      <c r="AG79">
        <v>0</v>
      </c>
      <c r="AH79">
        <v>0</v>
      </c>
      <c r="AI79">
        <v>0</v>
      </c>
      <c r="AJ79">
        <v>28.163</v>
      </c>
      <c r="AK79">
        <v>193</v>
      </c>
      <c r="AL79">
        <v>0</v>
      </c>
      <c r="AM79">
        <v>0</v>
      </c>
      <c r="AN79">
        <v>1.7890000000000001</v>
      </c>
      <c r="AO79">
        <v>0</v>
      </c>
      <c r="AP79">
        <v>0</v>
      </c>
      <c r="AQ79">
        <v>0</v>
      </c>
      <c r="AR79">
        <v>1.421</v>
      </c>
      <c r="AS79">
        <v>0</v>
      </c>
      <c r="AT79">
        <v>0</v>
      </c>
      <c r="AU79">
        <v>0.438</v>
      </c>
      <c r="AV79">
        <v>0</v>
      </c>
      <c r="AW79">
        <v>1.859</v>
      </c>
      <c r="AX79">
        <v>0</v>
      </c>
      <c r="AY79">
        <v>6.4530000000000003</v>
      </c>
      <c r="AZ79">
        <v>0</v>
      </c>
      <c r="BA79">
        <v>1363368</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12</v>
      </c>
      <c r="BW79">
        <v>3</v>
      </c>
      <c r="BX79">
        <v>16</v>
      </c>
      <c r="BY79">
        <v>34</v>
      </c>
      <c r="BZ79">
        <v>43</v>
      </c>
      <c r="CA79">
        <v>108</v>
      </c>
      <c r="CB79">
        <v>0</v>
      </c>
      <c r="CC79">
        <v>0</v>
      </c>
      <c r="CD79">
        <v>0</v>
      </c>
      <c r="CE79">
        <v>1</v>
      </c>
      <c r="CF79">
        <v>102.91900000000001</v>
      </c>
      <c r="CG79">
        <v>0</v>
      </c>
      <c r="CH79">
        <v>0</v>
      </c>
      <c r="CI79">
        <v>0</v>
      </c>
      <c r="CJ79">
        <v>0</v>
      </c>
      <c r="CK79">
        <v>0</v>
      </c>
      <c r="CL79">
        <v>0</v>
      </c>
      <c r="CM79">
        <v>8.984</v>
      </c>
      <c r="CN79">
        <v>0</v>
      </c>
      <c r="CO79">
        <v>0</v>
      </c>
      <c r="CP79">
        <v>0</v>
      </c>
      <c r="CQ79">
        <v>0</v>
      </c>
      <c r="CR79">
        <v>0</v>
      </c>
      <c r="CS79">
        <v>0</v>
      </c>
      <c r="CT79">
        <v>0</v>
      </c>
      <c r="CU79">
        <v>0</v>
      </c>
      <c r="CV79">
        <v>0</v>
      </c>
      <c r="CW79">
        <v>0</v>
      </c>
      <c r="CX79">
        <v>0</v>
      </c>
      <c r="CY79" s="2043">
        <v>0</v>
      </c>
      <c r="CZ79" s="2043">
        <v>0</v>
      </c>
      <c r="DA79" s="2043">
        <v>0</v>
      </c>
      <c r="DB79" s="2043">
        <v>0</v>
      </c>
      <c r="DC79" s="2043">
        <v>0</v>
      </c>
      <c r="DI79" t="s">
        <v>10383</v>
      </c>
      <c r="DJ79" t="s">
        <v>10383</v>
      </c>
      <c r="DK79" s="2042">
        <f t="shared" si="3"/>
        <v>0</v>
      </c>
    </row>
    <row r="80" spans="1:115">
      <c r="A80" t="s">
        <v>10384</v>
      </c>
      <c r="B80" t="s">
        <v>11257</v>
      </c>
      <c r="C80">
        <v>24.292000000000002</v>
      </c>
      <c r="D80">
        <v>0</v>
      </c>
      <c r="E80">
        <v>0</v>
      </c>
      <c r="F80">
        <v>0</v>
      </c>
      <c r="G80" s="2043">
        <v>0</v>
      </c>
      <c r="H80">
        <v>0</v>
      </c>
      <c r="I80" s="2043">
        <v>0</v>
      </c>
      <c r="J80">
        <v>0</v>
      </c>
      <c r="K80">
        <v>0</v>
      </c>
      <c r="L80">
        <v>0</v>
      </c>
      <c r="M80">
        <v>0</v>
      </c>
      <c r="N80">
        <v>0</v>
      </c>
      <c r="O80">
        <v>0</v>
      </c>
      <c r="P80">
        <v>0</v>
      </c>
      <c r="Q80">
        <v>0</v>
      </c>
      <c r="R80" s="2043">
        <v>0</v>
      </c>
      <c r="S80">
        <v>0</v>
      </c>
      <c r="T80">
        <v>0</v>
      </c>
      <c r="U80">
        <v>0</v>
      </c>
      <c r="V80">
        <v>216</v>
      </c>
      <c r="W80">
        <v>0</v>
      </c>
      <c r="X80">
        <v>0</v>
      </c>
      <c r="Y80">
        <v>0</v>
      </c>
      <c r="Z80">
        <v>0</v>
      </c>
      <c r="AA80">
        <v>0</v>
      </c>
      <c r="AB80">
        <v>0</v>
      </c>
      <c r="AC80" s="2043">
        <v>0</v>
      </c>
      <c r="AD80">
        <v>0</v>
      </c>
      <c r="AE80" s="2043">
        <v>0</v>
      </c>
      <c r="AF80">
        <v>0</v>
      </c>
      <c r="AG80">
        <v>0</v>
      </c>
      <c r="AH80">
        <v>0</v>
      </c>
      <c r="AI80">
        <v>0</v>
      </c>
      <c r="AJ80">
        <v>6.4130000000000003</v>
      </c>
      <c r="AK80">
        <v>38</v>
      </c>
      <c r="AL80">
        <v>0</v>
      </c>
      <c r="AM80">
        <v>0</v>
      </c>
      <c r="AN80">
        <v>3.4000000000000002E-2</v>
      </c>
      <c r="AO80">
        <v>0</v>
      </c>
      <c r="AP80">
        <v>0</v>
      </c>
      <c r="AQ80">
        <v>0</v>
      </c>
      <c r="AR80">
        <v>0.30499999999999999</v>
      </c>
      <c r="AS80">
        <v>0</v>
      </c>
      <c r="AT80">
        <v>0</v>
      </c>
      <c r="AU80">
        <v>0.14400000000000002</v>
      </c>
      <c r="AV80">
        <v>0</v>
      </c>
      <c r="AW80">
        <v>0.44900000000000001</v>
      </c>
      <c r="AX80">
        <v>0</v>
      </c>
      <c r="AY80">
        <v>1.635</v>
      </c>
      <c r="AZ80">
        <v>0</v>
      </c>
      <c r="BA80">
        <v>447291</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1</v>
      </c>
      <c r="BW80">
        <v>5</v>
      </c>
      <c r="BX80">
        <v>6</v>
      </c>
      <c r="BY80">
        <v>6</v>
      </c>
      <c r="BZ80">
        <v>7</v>
      </c>
      <c r="CA80">
        <v>25</v>
      </c>
      <c r="CB80">
        <v>0</v>
      </c>
      <c r="CC80">
        <v>0</v>
      </c>
      <c r="CD80">
        <v>0</v>
      </c>
      <c r="CE80">
        <v>0</v>
      </c>
      <c r="CF80">
        <v>17.809000000000001</v>
      </c>
      <c r="CG80">
        <v>0</v>
      </c>
      <c r="CH80">
        <v>0</v>
      </c>
      <c r="CI80">
        <v>0</v>
      </c>
      <c r="CJ80">
        <v>0</v>
      </c>
      <c r="CK80">
        <v>0</v>
      </c>
      <c r="CL80">
        <v>0</v>
      </c>
      <c r="CM80">
        <v>0</v>
      </c>
      <c r="CN80">
        <v>0</v>
      </c>
      <c r="CO80">
        <v>0</v>
      </c>
      <c r="CP80">
        <v>0</v>
      </c>
      <c r="CQ80">
        <v>0</v>
      </c>
      <c r="CR80">
        <v>0</v>
      </c>
      <c r="CS80">
        <v>0</v>
      </c>
      <c r="CT80">
        <v>0</v>
      </c>
      <c r="CU80">
        <v>0</v>
      </c>
      <c r="CV80">
        <v>0</v>
      </c>
      <c r="CW80">
        <v>0</v>
      </c>
      <c r="CX80">
        <v>0</v>
      </c>
      <c r="CY80" s="2043">
        <v>0</v>
      </c>
      <c r="CZ80" s="2043">
        <v>0</v>
      </c>
      <c r="DA80" s="2043">
        <v>0</v>
      </c>
      <c r="DB80" s="2043">
        <v>0</v>
      </c>
      <c r="DC80" s="2043">
        <v>0</v>
      </c>
      <c r="DI80" t="s">
        <v>10384</v>
      </c>
      <c r="DJ80" t="s">
        <v>10384</v>
      </c>
      <c r="DK80" s="2042">
        <f t="shared" si="3"/>
        <v>0</v>
      </c>
    </row>
    <row r="81" spans="1:115">
      <c r="A81" t="s">
        <v>4934</v>
      </c>
      <c r="B81" t="s">
        <v>401</v>
      </c>
      <c r="C81">
        <v>4485.0810000000001</v>
      </c>
      <c r="D81">
        <v>4755.567</v>
      </c>
      <c r="E81">
        <v>159.44900000000001</v>
      </c>
      <c r="F81">
        <v>0</v>
      </c>
      <c r="G81" s="2043">
        <v>7319513828</v>
      </c>
      <c r="H81">
        <v>0</v>
      </c>
      <c r="I81" s="2043">
        <v>15962038</v>
      </c>
      <c r="J81">
        <v>224.25400000000002</v>
      </c>
      <c r="K81">
        <v>613</v>
      </c>
      <c r="L81">
        <v>0</v>
      </c>
      <c r="M81">
        <v>0</v>
      </c>
      <c r="N81">
        <v>0</v>
      </c>
      <c r="O81">
        <v>0</v>
      </c>
      <c r="P81">
        <v>0</v>
      </c>
      <c r="Q81">
        <v>0</v>
      </c>
      <c r="R81" s="2043">
        <v>66343330</v>
      </c>
      <c r="S81">
        <v>5810670</v>
      </c>
      <c r="T81">
        <v>0</v>
      </c>
      <c r="U81">
        <v>0.08</v>
      </c>
      <c r="V81">
        <v>0</v>
      </c>
      <c r="W81">
        <v>34507395</v>
      </c>
      <c r="X81">
        <v>0</v>
      </c>
      <c r="Y81">
        <v>0</v>
      </c>
      <c r="Z81">
        <v>0</v>
      </c>
      <c r="AA81">
        <v>0</v>
      </c>
      <c r="AB81">
        <v>4608.6469999999999</v>
      </c>
      <c r="AC81" s="2043">
        <v>7335440350</v>
      </c>
      <c r="AD81">
        <v>14650000</v>
      </c>
      <c r="AE81" s="2043">
        <v>72154000</v>
      </c>
      <c r="AF81">
        <v>0.99340000000000006</v>
      </c>
      <c r="AG81">
        <v>0</v>
      </c>
      <c r="AH81">
        <v>34507395</v>
      </c>
      <c r="AI81">
        <v>0</v>
      </c>
      <c r="AJ81">
        <v>228.16300000000001</v>
      </c>
      <c r="AK81">
        <v>12138</v>
      </c>
      <c r="AL81">
        <v>0.30099999999999999</v>
      </c>
      <c r="AM81">
        <v>0</v>
      </c>
      <c r="AN81">
        <v>186.09800000000001</v>
      </c>
      <c r="AO81">
        <v>1</v>
      </c>
      <c r="AP81">
        <v>7.2750000000000004</v>
      </c>
      <c r="AQ81">
        <v>0.90900000000000003</v>
      </c>
      <c r="AR81">
        <v>54.595000000000006</v>
      </c>
      <c r="AS81">
        <v>0</v>
      </c>
      <c r="AT81">
        <v>19.993000000000002</v>
      </c>
      <c r="AU81">
        <v>11.914</v>
      </c>
      <c r="AV81">
        <v>0</v>
      </c>
      <c r="AW81">
        <v>95.803000000000011</v>
      </c>
      <c r="AX81">
        <v>0.81600000000000006</v>
      </c>
      <c r="AY81">
        <v>306.358</v>
      </c>
      <c r="AZ81">
        <v>0</v>
      </c>
      <c r="BA81">
        <v>2505106</v>
      </c>
      <c r="BB81">
        <v>86804000</v>
      </c>
      <c r="BC81">
        <v>0</v>
      </c>
      <c r="BD81">
        <v>85987</v>
      </c>
      <c r="BE81">
        <v>53532</v>
      </c>
      <c r="BF81">
        <v>178433</v>
      </c>
      <c r="BG81">
        <v>85987</v>
      </c>
      <c r="BH81">
        <v>38914</v>
      </c>
      <c r="BI81">
        <v>0</v>
      </c>
      <c r="BJ81">
        <v>0</v>
      </c>
      <c r="BK81">
        <v>0</v>
      </c>
      <c r="BL81">
        <v>7319513828</v>
      </c>
      <c r="BM81">
        <v>0</v>
      </c>
      <c r="BN81">
        <v>19818</v>
      </c>
      <c r="BO81">
        <v>1423</v>
      </c>
      <c r="BP81">
        <v>5388</v>
      </c>
      <c r="BQ81">
        <v>0</v>
      </c>
      <c r="BR81">
        <v>0.91339999999999999</v>
      </c>
      <c r="BS81">
        <v>0.91339999999999999</v>
      </c>
      <c r="BT81">
        <v>0</v>
      </c>
      <c r="BU81">
        <v>0</v>
      </c>
      <c r="BV81">
        <v>213</v>
      </c>
      <c r="BW81">
        <v>245</v>
      </c>
      <c r="BX81">
        <v>104</v>
      </c>
      <c r="BY81">
        <v>346</v>
      </c>
      <c r="BZ81">
        <v>19</v>
      </c>
      <c r="CA81">
        <v>927</v>
      </c>
      <c r="CB81">
        <v>0</v>
      </c>
      <c r="CC81">
        <v>133.71</v>
      </c>
      <c r="CD81">
        <v>118.60900000000001</v>
      </c>
      <c r="CE81">
        <v>212</v>
      </c>
      <c r="CF81">
        <v>377.64300000000003</v>
      </c>
      <c r="CG81">
        <v>0</v>
      </c>
      <c r="CH81">
        <v>0</v>
      </c>
      <c r="CI81">
        <v>15</v>
      </c>
      <c r="CJ81">
        <v>127</v>
      </c>
      <c r="CK81">
        <v>2</v>
      </c>
      <c r="CL81">
        <v>0</v>
      </c>
      <c r="CM81">
        <v>159.44900000000001</v>
      </c>
      <c r="CN81">
        <v>0</v>
      </c>
      <c r="CO81">
        <v>0</v>
      </c>
      <c r="CP81">
        <v>3488</v>
      </c>
      <c r="CQ81">
        <v>1900</v>
      </c>
      <c r="CR81">
        <v>0</v>
      </c>
      <c r="CS81">
        <v>0</v>
      </c>
      <c r="CT81">
        <v>0</v>
      </c>
      <c r="CU81">
        <v>3.597</v>
      </c>
      <c r="CV81">
        <v>87.444000000000003</v>
      </c>
      <c r="CW81">
        <v>79.474000000000004</v>
      </c>
      <c r="CX81">
        <v>0</v>
      </c>
      <c r="CY81" s="2043">
        <v>0</v>
      </c>
      <c r="CZ81" s="2043">
        <v>0</v>
      </c>
      <c r="DA81" s="2043">
        <v>0</v>
      </c>
      <c r="DB81" s="2043">
        <v>0</v>
      </c>
      <c r="DC81" s="2043">
        <v>394553</v>
      </c>
      <c r="DI81" t="s">
        <v>4934</v>
      </c>
      <c r="DJ81" t="s">
        <v>4934</v>
      </c>
      <c r="DK81" s="2042">
        <f t="shared" si="3"/>
        <v>0</v>
      </c>
    </row>
    <row r="82" spans="1:115">
      <c r="A82" t="s">
        <v>2876</v>
      </c>
      <c r="B82" t="s">
        <v>1755</v>
      </c>
      <c r="C82">
        <v>10603.681</v>
      </c>
      <c r="D82">
        <v>11732.856</v>
      </c>
      <c r="E82">
        <v>780.553</v>
      </c>
      <c r="F82">
        <v>0</v>
      </c>
      <c r="G82" s="2043">
        <v>2176174341</v>
      </c>
      <c r="H82">
        <v>0</v>
      </c>
      <c r="I82" s="2043">
        <v>16420340</v>
      </c>
      <c r="J82">
        <v>530.18399999999997</v>
      </c>
      <c r="K82">
        <v>1449</v>
      </c>
      <c r="L82">
        <v>2141618</v>
      </c>
      <c r="M82">
        <v>7547397</v>
      </c>
      <c r="N82">
        <v>2141618</v>
      </c>
      <c r="O82">
        <v>9689015</v>
      </c>
      <c r="P82">
        <v>0</v>
      </c>
      <c r="Q82">
        <v>0</v>
      </c>
      <c r="R82" s="2043">
        <v>17872404</v>
      </c>
      <c r="S82">
        <v>1718914</v>
      </c>
      <c r="T82">
        <v>1252658</v>
      </c>
      <c r="U82">
        <v>0.08</v>
      </c>
      <c r="V82">
        <v>0</v>
      </c>
      <c r="W82">
        <v>0</v>
      </c>
      <c r="X82">
        <v>0</v>
      </c>
      <c r="Y82">
        <v>0</v>
      </c>
      <c r="Z82">
        <v>1.8250000000000002</v>
      </c>
      <c r="AA82">
        <v>1.9810000000000001</v>
      </c>
      <c r="AB82">
        <v>10195.537</v>
      </c>
      <c r="AC82" s="2043">
        <v>1849016944</v>
      </c>
      <c r="AD82">
        <v>9209047</v>
      </c>
      <c r="AE82" s="2043">
        <v>20843976</v>
      </c>
      <c r="AF82">
        <v>0.97010000000000007</v>
      </c>
      <c r="AG82">
        <v>0</v>
      </c>
      <c r="AH82">
        <v>0</v>
      </c>
      <c r="AI82">
        <v>0</v>
      </c>
      <c r="AJ82">
        <v>2783.4250000000002</v>
      </c>
      <c r="AK82">
        <v>36379</v>
      </c>
      <c r="AL82">
        <v>1.1360000000000001</v>
      </c>
      <c r="AM82">
        <v>0</v>
      </c>
      <c r="AN82">
        <v>513.15300000000002</v>
      </c>
      <c r="AO82">
        <v>1</v>
      </c>
      <c r="AP82">
        <v>17.385000000000002</v>
      </c>
      <c r="AQ82">
        <v>26.212</v>
      </c>
      <c r="AR82">
        <v>153.24</v>
      </c>
      <c r="AS82">
        <v>0</v>
      </c>
      <c r="AT82">
        <v>93.73</v>
      </c>
      <c r="AU82">
        <v>23.226000000000003</v>
      </c>
      <c r="AV82">
        <v>0</v>
      </c>
      <c r="AW82">
        <v>314.92900000000003</v>
      </c>
      <c r="AX82">
        <v>0</v>
      </c>
      <c r="AY82">
        <v>909.66</v>
      </c>
      <c r="AZ82">
        <v>0</v>
      </c>
      <c r="BA82">
        <v>98421863</v>
      </c>
      <c r="BB82">
        <v>30053023</v>
      </c>
      <c r="BC82">
        <v>0</v>
      </c>
      <c r="BD82">
        <v>87061</v>
      </c>
      <c r="BE82">
        <v>123064</v>
      </c>
      <c r="BF82">
        <v>421850</v>
      </c>
      <c r="BG82">
        <v>87061</v>
      </c>
      <c r="BH82">
        <v>211725</v>
      </c>
      <c r="BI82">
        <v>0</v>
      </c>
      <c r="BJ82">
        <v>0</v>
      </c>
      <c r="BK82">
        <v>0</v>
      </c>
      <c r="BL82">
        <v>2176174341</v>
      </c>
      <c r="BM82">
        <v>0</v>
      </c>
      <c r="BN82">
        <v>46467</v>
      </c>
      <c r="BO82">
        <v>31886</v>
      </c>
      <c r="BP82">
        <v>29004</v>
      </c>
      <c r="BQ82">
        <v>0</v>
      </c>
      <c r="BR82">
        <v>0.83180000000000009</v>
      </c>
      <c r="BS82">
        <v>0.83180000000000009</v>
      </c>
      <c r="BT82">
        <v>0</v>
      </c>
      <c r="BU82">
        <v>0</v>
      </c>
      <c r="BV82">
        <v>712</v>
      </c>
      <c r="BW82">
        <v>724</v>
      </c>
      <c r="BX82">
        <v>1380</v>
      </c>
      <c r="BY82">
        <v>4154</v>
      </c>
      <c r="BZ82">
        <v>3694</v>
      </c>
      <c r="CA82">
        <v>10664</v>
      </c>
      <c r="CB82">
        <v>0</v>
      </c>
      <c r="CC82">
        <v>1046.7240000000002</v>
      </c>
      <c r="CD82">
        <v>357.35</v>
      </c>
      <c r="CE82">
        <v>215</v>
      </c>
      <c r="CF82">
        <v>3316.5250000000001</v>
      </c>
      <c r="CG82">
        <v>108.52900000000001</v>
      </c>
      <c r="CH82">
        <v>29.57</v>
      </c>
      <c r="CI82">
        <v>94</v>
      </c>
      <c r="CJ82">
        <v>36</v>
      </c>
      <c r="CK82">
        <v>2</v>
      </c>
      <c r="CL82">
        <v>138.09900000000002</v>
      </c>
      <c r="CM82">
        <v>780.553</v>
      </c>
      <c r="CN82">
        <v>0</v>
      </c>
      <c r="CO82">
        <v>29004</v>
      </c>
      <c r="CP82">
        <v>0</v>
      </c>
      <c r="CQ82">
        <v>0</v>
      </c>
      <c r="CR82">
        <v>0</v>
      </c>
      <c r="CS82">
        <v>0</v>
      </c>
      <c r="CT82">
        <v>0</v>
      </c>
      <c r="CU82">
        <v>83.527000000000001</v>
      </c>
      <c r="CV82">
        <v>500.58700000000005</v>
      </c>
      <c r="CW82">
        <v>286.161</v>
      </c>
      <c r="CX82">
        <v>0</v>
      </c>
      <c r="CY82" s="2043">
        <v>0</v>
      </c>
      <c r="CZ82" s="2043">
        <v>0</v>
      </c>
      <c r="DA82" s="2043">
        <v>0</v>
      </c>
      <c r="DB82" s="2043">
        <v>0</v>
      </c>
      <c r="DC82" s="2043">
        <v>0</v>
      </c>
      <c r="DI82" t="s">
        <v>2876</v>
      </c>
      <c r="DJ82" t="s">
        <v>2876</v>
      </c>
      <c r="DK82" s="2042">
        <f t="shared" si="3"/>
        <v>0</v>
      </c>
    </row>
    <row r="83" spans="1:115">
      <c r="A83" t="s">
        <v>2877</v>
      </c>
      <c r="B83" t="s">
        <v>726</v>
      </c>
      <c r="C83">
        <v>7125.0940000000001</v>
      </c>
      <c r="D83">
        <v>8400.6</v>
      </c>
      <c r="E83">
        <v>1135.232</v>
      </c>
      <c r="F83">
        <v>0</v>
      </c>
      <c r="G83" s="2043">
        <v>1898614931</v>
      </c>
      <c r="H83">
        <v>0</v>
      </c>
      <c r="I83" s="2043">
        <v>5621873</v>
      </c>
      <c r="J83">
        <v>204</v>
      </c>
      <c r="K83">
        <v>558</v>
      </c>
      <c r="L83">
        <v>1082243</v>
      </c>
      <c r="M83">
        <v>5580114</v>
      </c>
      <c r="N83">
        <v>1082243</v>
      </c>
      <c r="O83">
        <v>6662357</v>
      </c>
      <c r="P83">
        <v>0</v>
      </c>
      <c r="Q83">
        <v>0</v>
      </c>
      <c r="R83" s="2043">
        <v>15605536</v>
      </c>
      <c r="S83">
        <v>1491925</v>
      </c>
      <c r="T83">
        <v>1087241</v>
      </c>
      <c r="U83">
        <v>0.08</v>
      </c>
      <c r="V83">
        <v>0</v>
      </c>
      <c r="W83">
        <v>0</v>
      </c>
      <c r="X83">
        <v>0</v>
      </c>
      <c r="Y83">
        <v>1760332</v>
      </c>
      <c r="Z83">
        <v>0</v>
      </c>
      <c r="AA83">
        <v>2.5409999999999999</v>
      </c>
      <c r="AB83">
        <v>8090.808</v>
      </c>
      <c r="AC83" s="2043">
        <v>1500608126</v>
      </c>
      <c r="AD83">
        <v>3749090</v>
      </c>
      <c r="AE83" s="2043">
        <v>18184702</v>
      </c>
      <c r="AF83">
        <v>0.97510000000000008</v>
      </c>
      <c r="AG83">
        <v>0</v>
      </c>
      <c r="AH83">
        <v>0</v>
      </c>
      <c r="AI83">
        <v>0</v>
      </c>
      <c r="AJ83">
        <v>1989.8630000000001</v>
      </c>
      <c r="AK83">
        <v>23306</v>
      </c>
      <c r="AL83">
        <v>2.0049999999999999</v>
      </c>
      <c r="AM83">
        <v>0</v>
      </c>
      <c r="AN83">
        <v>299.16700000000003</v>
      </c>
      <c r="AO83">
        <v>2</v>
      </c>
      <c r="AP83">
        <v>12.469000000000001</v>
      </c>
      <c r="AQ83">
        <v>0</v>
      </c>
      <c r="AR83">
        <v>117.7</v>
      </c>
      <c r="AS83">
        <v>0</v>
      </c>
      <c r="AT83">
        <v>65.478000000000009</v>
      </c>
      <c r="AU83">
        <v>17.679000000000002</v>
      </c>
      <c r="AV83">
        <v>0</v>
      </c>
      <c r="AW83">
        <v>215.33100000000002</v>
      </c>
      <c r="AX83">
        <v>0</v>
      </c>
      <c r="AY83">
        <v>681.62</v>
      </c>
      <c r="AZ83">
        <v>0</v>
      </c>
      <c r="BA83">
        <v>61431239</v>
      </c>
      <c r="BB83">
        <v>21933792</v>
      </c>
      <c r="BC83">
        <v>0</v>
      </c>
      <c r="BD83">
        <v>30271</v>
      </c>
      <c r="BE83">
        <v>62440</v>
      </c>
      <c r="BF83">
        <v>152681</v>
      </c>
      <c r="BG83">
        <v>30271</v>
      </c>
      <c r="BH83">
        <v>59970</v>
      </c>
      <c r="BI83">
        <v>0</v>
      </c>
      <c r="BJ83">
        <v>-1240</v>
      </c>
      <c r="BK83">
        <v>0</v>
      </c>
      <c r="BL83">
        <v>1898614931</v>
      </c>
      <c r="BM83">
        <v>1761572</v>
      </c>
      <c r="BN83">
        <v>29313</v>
      </c>
      <c r="BO83">
        <v>15098</v>
      </c>
      <c r="BP83">
        <v>0</v>
      </c>
      <c r="BQ83">
        <v>0</v>
      </c>
      <c r="BR83">
        <v>0.83679999999999999</v>
      </c>
      <c r="BS83">
        <v>0.83679999999999999</v>
      </c>
      <c r="BT83">
        <v>0</v>
      </c>
      <c r="BU83">
        <v>0</v>
      </c>
      <c r="BV83">
        <v>188</v>
      </c>
      <c r="BW83">
        <v>51</v>
      </c>
      <c r="BX83">
        <v>360</v>
      </c>
      <c r="BY83">
        <v>3108</v>
      </c>
      <c r="BZ83">
        <v>3744</v>
      </c>
      <c r="CA83">
        <v>7451</v>
      </c>
      <c r="CB83">
        <v>0</v>
      </c>
      <c r="CC83">
        <v>432.15900000000005</v>
      </c>
      <c r="CD83">
        <v>6.62</v>
      </c>
      <c r="CE83">
        <v>509</v>
      </c>
      <c r="CF83">
        <v>2307.1330000000003</v>
      </c>
      <c r="CG83">
        <v>0</v>
      </c>
      <c r="CH83">
        <v>0</v>
      </c>
      <c r="CI83">
        <v>29</v>
      </c>
      <c r="CJ83">
        <v>0</v>
      </c>
      <c r="CK83">
        <v>0</v>
      </c>
      <c r="CL83">
        <v>0</v>
      </c>
      <c r="CM83">
        <v>1135.232</v>
      </c>
      <c r="CN83">
        <v>0</v>
      </c>
      <c r="CO83">
        <v>0</v>
      </c>
      <c r="CP83">
        <v>0</v>
      </c>
      <c r="CQ83">
        <v>0</v>
      </c>
      <c r="CR83">
        <v>0</v>
      </c>
      <c r="CS83">
        <v>0</v>
      </c>
      <c r="CT83">
        <v>0</v>
      </c>
      <c r="CU83">
        <v>44.231999999999999</v>
      </c>
      <c r="CV83">
        <v>341.26300000000003</v>
      </c>
      <c r="CW83">
        <v>221.62300000000002</v>
      </c>
      <c r="CX83">
        <v>0</v>
      </c>
      <c r="CY83" s="2043">
        <v>0</v>
      </c>
      <c r="CZ83" s="2043">
        <v>0</v>
      </c>
      <c r="DA83" s="2043">
        <v>0</v>
      </c>
      <c r="DB83" s="2043">
        <v>0</v>
      </c>
      <c r="DC83" s="2043">
        <v>0</v>
      </c>
      <c r="DI83" t="s">
        <v>2877</v>
      </c>
      <c r="DJ83" t="s">
        <v>2877</v>
      </c>
      <c r="DK83" s="2042">
        <f t="shared" si="3"/>
        <v>0</v>
      </c>
    </row>
    <row r="84" spans="1:115">
      <c r="A84" t="s">
        <v>7351</v>
      </c>
      <c r="B84" t="s">
        <v>2224</v>
      </c>
      <c r="C84">
        <v>1409.6580000000001</v>
      </c>
      <c r="D84">
        <v>1373.3810000000001</v>
      </c>
      <c r="E84">
        <v>6.8760000000000003</v>
      </c>
      <c r="F84">
        <v>0</v>
      </c>
      <c r="G84" s="2043">
        <v>0</v>
      </c>
      <c r="H84">
        <v>0</v>
      </c>
      <c r="I84" s="2043">
        <v>0</v>
      </c>
      <c r="J84">
        <v>70.483000000000004</v>
      </c>
      <c r="K84">
        <v>193</v>
      </c>
      <c r="L84">
        <v>0</v>
      </c>
      <c r="M84">
        <v>0</v>
      </c>
      <c r="N84">
        <v>0</v>
      </c>
      <c r="O84">
        <v>0</v>
      </c>
      <c r="P84">
        <v>0</v>
      </c>
      <c r="Q84">
        <v>0</v>
      </c>
      <c r="R84" s="2043">
        <v>0</v>
      </c>
      <c r="S84">
        <v>0</v>
      </c>
      <c r="T84">
        <v>0</v>
      </c>
      <c r="U84">
        <v>0</v>
      </c>
      <c r="V84">
        <v>607.74300000000005</v>
      </c>
      <c r="W84">
        <v>0</v>
      </c>
      <c r="X84">
        <v>0</v>
      </c>
      <c r="Y84">
        <v>0</v>
      </c>
      <c r="Z84">
        <v>2.9210000000000003</v>
      </c>
      <c r="AA84">
        <v>0</v>
      </c>
      <c r="AB84">
        <v>1373.3810000000001</v>
      </c>
      <c r="AC84" s="2043">
        <v>0</v>
      </c>
      <c r="AD84">
        <v>0</v>
      </c>
      <c r="AE84" s="2043">
        <v>0</v>
      </c>
      <c r="AF84">
        <v>0</v>
      </c>
      <c r="AG84">
        <v>0</v>
      </c>
      <c r="AH84">
        <v>0</v>
      </c>
      <c r="AI84">
        <v>0</v>
      </c>
      <c r="AJ84">
        <v>12.675000000000001</v>
      </c>
      <c r="AK84">
        <v>4131</v>
      </c>
      <c r="AL84">
        <v>0.108</v>
      </c>
      <c r="AM84">
        <v>0</v>
      </c>
      <c r="AN84">
        <v>62.749000000000002</v>
      </c>
      <c r="AO84">
        <v>0</v>
      </c>
      <c r="AP84">
        <v>3.069</v>
      </c>
      <c r="AQ84">
        <v>0</v>
      </c>
      <c r="AR84">
        <v>22.076000000000001</v>
      </c>
      <c r="AS84">
        <v>0</v>
      </c>
      <c r="AT84">
        <v>0</v>
      </c>
      <c r="AU84">
        <v>3.3380000000000001</v>
      </c>
      <c r="AV84">
        <v>0</v>
      </c>
      <c r="AW84">
        <v>28.591000000000001</v>
      </c>
      <c r="AX84">
        <v>0</v>
      </c>
      <c r="AY84">
        <v>91.744</v>
      </c>
      <c r="AZ84">
        <v>0</v>
      </c>
      <c r="BA84">
        <v>12217470</v>
      </c>
      <c r="BB84">
        <v>0</v>
      </c>
      <c r="BC84">
        <v>0</v>
      </c>
      <c r="BD84">
        <v>15503</v>
      </c>
      <c r="BE84">
        <v>31332</v>
      </c>
      <c r="BF84">
        <v>46835</v>
      </c>
      <c r="BG84">
        <v>15503</v>
      </c>
      <c r="BH84">
        <v>0</v>
      </c>
      <c r="BI84">
        <v>0</v>
      </c>
      <c r="BJ84">
        <v>0</v>
      </c>
      <c r="BK84">
        <v>0</v>
      </c>
      <c r="BL84">
        <v>0</v>
      </c>
      <c r="BM84">
        <v>0</v>
      </c>
      <c r="BN84">
        <v>5472</v>
      </c>
      <c r="BO84">
        <v>1958</v>
      </c>
      <c r="BP84">
        <v>0</v>
      </c>
      <c r="BQ84">
        <v>0</v>
      </c>
      <c r="BR84">
        <v>0</v>
      </c>
      <c r="BS84">
        <v>0</v>
      </c>
      <c r="BT84">
        <v>0</v>
      </c>
      <c r="BU84">
        <v>0</v>
      </c>
      <c r="BV84">
        <v>30</v>
      </c>
      <c r="BW84">
        <v>8</v>
      </c>
      <c r="BX84">
        <v>14</v>
      </c>
      <c r="BY84">
        <v>2</v>
      </c>
      <c r="BZ84">
        <v>0</v>
      </c>
      <c r="CA84">
        <v>54</v>
      </c>
      <c r="CB84">
        <v>0</v>
      </c>
      <c r="CC84">
        <v>0</v>
      </c>
      <c r="CD84">
        <v>0</v>
      </c>
      <c r="CE84">
        <v>70</v>
      </c>
      <c r="CF84">
        <v>18.747</v>
      </c>
      <c r="CG84">
        <v>0</v>
      </c>
      <c r="CH84">
        <v>0</v>
      </c>
      <c r="CI84">
        <v>1</v>
      </c>
      <c r="CJ84">
        <v>31</v>
      </c>
      <c r="CK84">
        <v>0</v>
      </c>
      <c r="CL84">
        <v>0</v>
      </c>
      <c r="CM84">
        <v>6.8760000000000003</v>
      </c>
      <c r="CN84">
        <v>0</v>
      </c>
      <c r="CO84">
        <v>0</v>
      </c>
      <c r="CP84">
        <v>0</v>
      </c>
      <c r="CQ84">
        <v>0</v>
      </c>
      <c r="CR84">
        <v>0</v>
      </c>
      <c r="CS84">
        <v>0</v>
      </c>
      <c r="CT84">
        <v>0</v>
      </c>
      <c r="CU84">
        <v>1.7000000000000001E-2</v>
      </c>
      <c r="CV84">
        <v>43.480000000000004</v>
      </c>
      <c r="CW84">
        <v>19.990000000000002</v>
      </c>
      <c r="CX84">
        <v>0</v>
      </c>
      <c r="CY84" s="2043">
        <v>0</v>
      </c>
      <c r="CZ84" s="2043">
        <v>0</v>
      </c>
      <c r="DA84" s="2043">
        <v>0</v>
      </c>
      <c r="DB84" s="2043">
        <v>0</v>
      </c>
      <c r="DC84" s="2043">
        <v>0</v>
      </c>
      <c r="DI84" t="s">
        <v>7351</v>
      </c>
      <c r="DJ84" t="s">
        <v>7351</v>
      </c>
      <c r="DK84" s="2042">
        <f t="shared" si="3"/>
        <v>0</v>
      </c>
    </row>
    <row r="85" spans="1:115">
      <c r="A85" t="s">
        <v>2878</v>
      </c>
      <c r="B85" t="s">
        <v>1238</v>
      </c>
      <c r="C85">
        <v>38072.055999999997</v>
      </c>
      <c r="D85">
        <v>41554.540999999997</v>
      </c>
      <c r="E85">
        <v>3212.297</v>
      </c>
      <c r="F85">
        <v>0</v>
      </c>
      <c r="G85" s="2043">
        <v>22123488272</v>
      </c>
      <c r="H85">
        <v>0</v>
      </c>
      <c r="I85" s="2043">
        <v>83594013</v>
      </c>
      <c r="J85">
        <v>1903.6030000000001</v>
      </c>
      <c r="K85">
        <v>5204</v>
      </c>
      <c r="L85">
        <v>0</v>
      </c>
      <c r="M85">
        <v>41851317</v>
      </c>
      <c r="N85">
        <v>0</v>
      </c>
      <c r="O85">
        <v>41851317</v>
      </c>
      <c r="P85">
        <v>0</v>
      </c>
      <c r="Q85">
        <v>0</v>
      </c>
      <c r="R85" s="2043">
        <v>191133472</v>
      </c>
      <c r="S85">
        <v>17535181</v>
      </c>
      <c r="T85">
        <v>12778763</v>
      </c>
      <c r="U85">
        <v>0.08</v>
      </c>
      <c r="V85">
        <v>0</v>
      </c>
      <c r="W85">
        <v>0</v>
      </c>
      <c r="X85">
        <v>0</v>
      </c>
      <c r="Y85">
        <v>12279214</v>
      </c>
      <c r="Z85">
        <v>0</v>
      </c>
      <c r="AA85">
        <v>5.2750000000000004</v>
      </c>
      <c r="AB85">
        <v>39178.885000000002</v>
      </c>
      <c r="AC85" s="2043">
        <v>19758753274</v>
      </c>
      <c r="AD85">
        <v>105150985</v>
      </c>
      <c r="AE85" s="2043">
        <v>221447416</v>
      </c>
      <c r="AF85">
        <v>1.0103</v>
      </c>
      <c r="AG85">
        <v>0</v>
      </c>
      <c r="AH85">
        <v>0</v>
      </c>
      <c r="AI85">
        <v>0</v>
      </c>
      <c r="AJ85">
        <v>10376.6</v>
      </c>
      <c r="AK85">
        <v>143911</v>
      </c>
      <c r="AL85">
        <v>5.867</v>
      </c>
      <c r="AM85">
        <v>5.4470000000000001</v>
      </c>
      <c r="AN85">
        <v>1661.2830000000001</v>
      </c>
      <c r="AO85">
        <v>0</v>
      </c>
      <c r="AP85">
        <v>6.05</v>
      </c>
      <c r="AQ85">
        <v>26.764000000000003</v>
      </c>
      <c r="AR85">
        <v>889.048</v>
      </c>
      <c r="AS85">
        <v>0</v>
      </c>
      <c r="AT85">
        <v>370.86799999999999</v>
      </c>
      <c r="AU85">
        <v>99.018000000000001</v>
      </c>
      <c r="AV85">
        <v>0</v>
      </c>
      <c r="AW85">
        <v>1403.0620000000001</v>
      </c>
      <c r="AX85">
        <v>0</v>
      </c>
      <c r="AY85">
        <v>4336.8490000000002</v>
      </c>
      <c r="AZ85">
        <v>0</v>
      </c>
      <c r="BA85">
        <v>211239239</v>
      </c>
      <c r="BB85">
        <v>326598401</v>
      </c>
      <c r="BC85">
        <v>0</v>
      </c>
      <c r="BD85">
        <v>1062741</v>
      </c>
      <c r="BE85">
        <v>887251</v>
      </c>
      <c r="BF85">
        <v>2052700</v>
      </c>
      <c r="BG85">
        <v>1062741</v>
      </c>
      <c r="BH85">
        <v>102708</v>
      </c>
      <c r="BI85">
        <v>0</v>
      </c>
      <c r="BJ85">
        <v>-24660</v>
      </c>
      <c r="BK85">
        <v>0</v>
      </c>
      <c r="BL85">
        <v>22123488272</v>
      </c>
      <c r="BM85">
        <v>12303874</v>
      </c>
      <c r="BN85">
        <v>153711</v>
      </c>
      <c r="BO85">
        <v>51264</v>
      </c>
      <c r="BP85">
        <v>3042541</v>
      </c>
      <c r="BQ85">
        <v>0</v>
      </c>
      <c r="BR85">
        <v>0.872</v>
      </c>
      <c r="BS85">
        <v>0.872</v>
      </c>
      <c r="BT85">
        <v>0</v>
      </c>
      <c r="BU85">
        <v>0</v>
      </c>
      <c r="BV85">
        <v>1701</v>
      </c>
      <c r="BW85">
        <v>2622</v>
      </c>
      <c r="BX85">
        <v>4457</v>
      </c>
      <c r="BY85">
        <v>11350</v>
      </c>
      <c r="BZ85">
        <v>19191</v>
      </c>
      <c r="CA85">
        <v>39321</v>
      </c>
      <c r="CB85">
        <v>0</v>
      </c>
      <c r="CC85">
        <v>4813.0690000000004</v>
      </c>
      <c r="CD85">
        <v>1306.1120000000001</v>
      </c>
      <c r="CE85">
        <v>1957</v>
      </c>
      <c r="CF85">
        <v>13045.155999999999</v>
      </c>
      <c r="CG85">
        <v>376.89400000000001</v>
      </c>
      <c r="CH85">
        <v>36.615000000000002</v>
      </c>
      <c r="CI85">
        <v>303</v>
      </c>
      <c r="CJ85">
        <v>79</v>
      </c>
      <c r="CK85">
        <v>6</v>
      </c>
      <c r="CL85">
        <v>413.50900000000001</v>
      </c>
      <c r="CM85">
        <v>3212.297</v>
      </c>
      <c r="CN85">
        <v>1229155</v>
      </c>
      <c r="CO85">
        <v>1269341</v>
      </c>
      <c r="CP85">
        <v>512045</v>
      </c>
      <c r="CQ85">
        <v>32000</v>
      </c>
      <c r="CR85">
        <v>0</v>
      </c>
      <c r="CS85">
        <v>395.58500000000004</v>
      </c>
      <c r="CT85">
        <v>0</v>
      </c>
      <c r="CU85">
        <v>23.34</v>
      </c>
      <c r="CV85">
        <v>1458.8010000000002</v>
      </c>
      <c r="CW85">
        <v>1174.069</v>
      </c>
      <c r="CX85">
        <v>0</v>
      </c>
      <c r="CY85" s="2043">
        <v>0</v>
      </c>
      <c r="CZ85" s="2043">
        <v>0</v>
      </c>
      <c r="DA85" s="2043">
        <v>0</v>
      </c>
      <c r="DB85" s="2043">
        <v>0</v>
      </c>
      <c r="DC85" s="2043">
        <v>0</v>
      </c>
      <c r="DI85" t="s">
        <v>2878</v>
      </c>
      <c r="DJ85" t="s">
        <v>2878</v>
      </c>
      <c r="DK85" s="2042">
        <f t="shared" si="3"/>
        <v>0</v>
      </c>
    </row>
    <row r="86" spans="1:115">
      <c r="A86" t="s">
        <v>2879</v>
      </c>
      <c r="B86" t="s">
        <v>1417</v>
      </c>
      <c r="C86">
        <v>6786.09</v>
      </c>
      <c r="D86">
        <v>7311.0150000000003</v>
      </c>
      <c r="E86">
        <v>1108.104</v>
      </c>
      <c r="F86">
        <v>0</v>
      </c>
      <c r="G86" s="2043">
        <v>2123026626</v>
      </c>
      <c r="H86">
        <v>0</v>
      </c>
      <c r="I86" s="2043">
        <v>12295823</v>
      </c>
      <c r="J86">
        <v>339.30500000000001</v>
      </c>
      <c r="K86">
        <v>928</v>
      </c>
      <c r="L86">
        <v>639668</v>
      </c>
      <c r="M86">
        <v>5386964</v>
      </c>
      <c r="N86">
        <v>639668</v>
      </c>
      <c r="O86">
        <v>6026632</v>
      </c>
      <c r="P86">
        <v>0</v>
      </c>
      <c r="Q86">
        <v>0</v>
      </c>
      <c r="R86" s="2043">
        <v>16845979</v>
      </c>
      <c r="S86">
        <v>997040</v>
      </c>
      <c r="T86">
        <v>0</v>
      </c>
      <c r="U86">
        <v>0.05</v>
      </c>
      <c r="V86">
        <v>0</v>
      </c>
      <c r="W86">
        <v>0</v>
      </c>
      <c r="X86">
        <v>0</v>
      </c>
      <c r="Y86">
        <v>-3997</v>
      </c>
      <c r="Z86">
        <v>0</v>
      </c>
      <c r="AA86">
        <v>1.5290000000000001</v>
      </c>
      <c r="AB86">
        <v>7350.9960000000001</v>
      </c>
      <c r="AC86" s="2043">
        <v>1861397934</v>
      </c>
      <c r="AD86">
        <v>9753518</v>
      </c>
      <c r="AE86" s="2043">
        <v>17843019</v>
      </c>
      <c r="AF86">
        <v>0.89480000000000004</v>
      </c>
      <c r="AG86">
        <v>0</v>
      </c>
      <c r="AH86">
        <v>0</v>
      </c>
      <c r="AI86">
        <v>0</v>
      </c>
      <c r="AJ86">
        <v>1847.788</v>
      </c>
      <c r="AK86">
        <v>20645</v>
      </c>
      <c r="AL86">
        <v>0.83200000000000007</v>
      </c>
      <c r="AM86">
        <v>0</v>
      </c>
      <c r="AN86">
        <v>360.26800000000003</v>
      </c>
      <c r="AO86">
        <v>0</v>
      </c>
      <c r="AP86">
        <v>1.8440000000000001</v>
      </c>
      <c r="AQ86">
        <v>0</v>
      </c>
      <c r="AR86">
        <v>60.173999999999999</v>
      </c>
      <c r="AS86">
        <v>0</v>
      </c>
      <c r="AT86">
        <v>73.266000000000005</v>
      </c>
      <c r="AU86">
        <v>17.564</v>
      </c>
      <c r="AV86">
        <v>0</v>
      </c>
      <c r="AW86">
        <v>153.68</v>
      </c>
      <c r="AX86">
        <v>0</v>
      </c>
      <c r="AY86">
        <v>497.279</v>
      </c>
      <c r="AZ86">
        <v>0</v>
      </c>
      <c r="BA86">
        <v>50122448</v>
      </c>
      <c r="BB86">
        <v>27596537</v>
      </c>
      <c r="BC86">
        <v>0</v>
      </c>
      <c r="BD86">
        <v>194253</v>
      </c>
      <c r="BE86">
        <v>111175</v>
      </c>
      <c r="BF86">
        <v>613633</v>
      </c>
      <c r="BG86">
        <v>194253</v>
      </c>
      <c r="BH86">
        <v>308205</v>
      </c>
      <c r="BI86">
        <v>0</v>
      </c>
      <c r="BJ86">
        <v>-3997</v>
      </c>
      <c r="BK86">
        <v>0</v>
      </c>
      <c r="BL86">
        <v>2123026626</v>
      </c>
      <c r="BM86">
        <v>0</v>
      </c>
      <c r="BN86">
        <v>29718</v>
      </c>
      <c r="BO86">
        <v>18918</v>
      </c>
      <c r="BP86">
        <v>0</v>
      </c>
      <c r="BQ86">
        <v>0</v>
      </c>
      <c r="BR86">
        <v>0.8448</v>
      </c>
      <c r="BS86">
        <v>0.8448</v>
      </c>
      <c r="BT86">
        <v>0</v>
      </c>
      <c r="BU86">
        <v>0</v>
      </c>
      <c r="BV86">
        <v>442</v>
      </c>
      <c r="BW86">
        <v>576</v>
      </c>
      <c r="BX86">
        <v>1794</v>
      </c>
      <c r="BY86">
        <v>2349</v>
      </c>
      <c r="BZ86">
        <v>1987</v>
      </c>
      <c r="CA86">
        <v>7148</v>
      </c>
      <c r="CB86">
        <v>0</v>
      </c>
      <c r="CC86">
        <v>217.22200000000001</v>
      </c>
      <c r="CD86">
        <v>66.076999999999998</v>
      </c>
      <c r="CE86">
        <v>356</v>
      </c>
      <c r="CF86">
        <v>2180.27</v>
      </c>
      <c r="CG86">
        <v>0</v>
      </c>
      <c r="CH86">
        <v>0</v>
      </c>
      <c r="CI86">
        <v>27</v>
      </c>
      <c r="CJ86">
        <v>14</v>
      </c>
      <c r="CK86">
        <v>0</v>
      </c>
      <c r="CL86">
        <v>0</v>
      </c>
      <c r="CM86">
        <v>1108.104</v>
      </c>
      <c r="CN86">
        <v>0</v>
      </c>
      <c r="CO86">
        <v>0</v>
      </c>
      <c r="CP86">
        <v>0</v>
      </c>
      <c r="CQ86">
        <v>0</v>
      </c>
      <c r="CR86">
        <v>0</v>
      </c>
      <c r="CS86">
        <v>9.4429999999999996</v>
      </c>
      <c r="CT86">
        <v>0</v>
      </c>
      <c r="CU86">
        <v>90.427000000000007</v>
      </c>
      <c r="CV86">
        <v>310.49600000000004</v>
      </c>
      <c r="CW86">
        <v>154.33700000000002</v>
      </c>
      <c r="CX86">
        <v>0</v>
      </c>
      <c r="CY86" s="2043">
        <v>0</v>
      </c>
      <c r="CZ86" s="2043">
        <v>0</v>
      </c>
      <c r="DA86" s="2043">
        <v>0</v>
      </c>
      <c r="DB86" s="2043">
        <v>0</v>
      </c>
      <c r="DC86" s="2043">
        <v>0</v>
      </c>
      <c r="DI86" t="s">
        <v>2879</v>
      </c>
      <c r="DJ86" t="s">
        <v>2879</v>
      </c>
      <c r="DK86" s="2042">
        <f t="shared" si="3"/>
        <v>0</v>
      </c>
    </row>
    <row r="87" spans="1:115">
      <c r="A87" t="s">
        <v>2880</v>
      </c>
      <c r="B87" t="s">
        <v>1082</v>
      </c>
      <c r="C87">
        <v>3596.5250000000001</v>
      </c>
      <c r="D87">
        <v>3629.82</v>
      </c>
      <c r="E87">
        <v>727.91500000000008</v>
      </c>
      <c r="F87">
        <v>0</v>
      </c>
      <c r="G87" s="2043">
        <v>706969386</v>
      </c>
      <c r="H87">
        <v>0</v>
      </c>
      <c r="I87" s="2043">
        <v>3724462</v>
      </c>
      <c r="J87">
        <v>179.82600000000002</v>
      </c>
      <c r="K87">
        <v>492</v>
      </c>
      <c r="L87">
        <v>842512</v>
      </c>
      <c r="M87">
        <v>1079408</v>
      </c>
      <c r="N87">
        <v>842512</v>
      </c>
      <c r="O87">
        <v>1921920</v>
      </c>
      <c r="P87">
        <v>0</v>
      </c>
      <c r="Q87">
        <v>0</v>
      </c>
      <c r="R87" s="2043">
        <v>5803561</v>
      </c>
      <c r="S87">
        <v>564823</v>
      </c>
      <c r="T87">
        <v>411616</v>
      </c>
      <c r="U87">
        <v>0.08</v>
      </c>
      <c r="V87">
        <v>0</v>
      </c>
      <c r="W87">
        <v>0</v>
      </c>
      <c r="X87">
        <v>0</v>
      </c>
      <c r="Y87">
        <v>0</v>
      </c>
      <c r="Z87">
        <v>0</v>
      </c>
      <c r="AA87">
        <v>0.29100000000000004</v>
      </c>
      <c r="AB87">
        <v>3629.82</v>
      </c>
      <c r="AC87" s="2043">
        <v>536752743</v>
      </c>
      <c r="AD87">
        <v>2100000</v>
      </c>
      <c r="AE87" s="2043">
        <v>6780000</v>
      </c>
      <c r="AF87">
        <v>0.96030000000000004</v>
      </c>
      <c r="AG87">
        <v>0</v>
      </c>
      <c r="AH87">
        <v>0</v>
      </c>
      <c r="AI87">
        <v>0</v>
      </c>
      <c r="AJ87">
        <v>833</v>
      </c>
      <c r="AK87">
        <v>11141</v>
      </c>
      <c r="AL87">
        <v>0.64200000000000002</v>
      </c>
      <c r="AM87">
        <v>0</v>
      </c>
      <c r="AN87">
        <v>231.56300000000002</v>
      </c>
      <c r="AO87">
        <v>0</v>
      </c>
      <c r="AP87">
        <v>0</v>
      </c>
      <c r="AQ87">
        <v>0</v>
      </c>
      <c r="AR87">
        <v>21.45</v>
      </c>
      <c r="AS87">
        <v>0</v>
      </c>
      <c r="AT87">
        <v>36.020000000000003</v>
      </c>
      <c r="AU87">
        <v>5.45</v>
      </c>
      <c r="AV87">
        <v>0</v>
      </c>
      <c r="AW87">
        <v>63.562000000000005</v>
      </c>
      <c r="AX87">
        <v>0</v>
      </c>
      <c r="AY87">
        <v>202.87</v>
      </c>
      <c r="AZ87">
        <v>0</v>
      </c>
      <c r="BA87">
        <v>35905874</v>
      </c>
      <c r="BB87">
        <v>8880000</v>
      </c>
      <c r="BC87">
        <v>0</v>
      </c>
      <c r="BD87">
        <v>555343</v>
      </c>
      <c r="BE87">
        <v>93768</v>
      </c>
      <c r="BF87">
        <v>728796</v>
      </c>
      <c r="BG87">
        <v>555343</v>
      </c>
      <c r="BH87">
        <v>79685</v>
      </c>
      <c r="BI87">
        <v>0</v>
      </c>
      <c r="BJ87">
        <v>0</v>
      </c>
      <c r="BK87">
        <v>0</v>
      </c>
      <c r="BL87">
        <v>706969386</v>
      </c>
      <c r="BM87">
        <v>0</v>
      </c>
      <c r="BN87">
        <v>16326</v>
      </c>
      <c r="BO87">
        <v>6313</v>
      </c>
      <c r="BP87">
        <v>627610</v>
      </c>
      <c r="BQ87">
        <v>0</v>
      </c>
      <c r="BR87">
        <v>0.82200000000000006</v>
      </c>
      <c r="BS87">
        <v>0.82200000000000006</v>
      </c>
      <c r="BT87">
        <v>0</v>
      </c>
      <c r="BU87">
        <v>0</v>
      </c>
      <c r="BV87">
        <v>4</v>
      </c>
      <c r="BW87">
        <v>418</v>
      </c>
      <c r="BX87">
        <v>2899</v>
      </c>
      <c r="BY87">
        <v>14</v>
      </c>
      <c r="BZ87">
        <v>16</v>
      </c>
      <c r="CA87">
        <v>3351</v>
      </c>
      <c r="CB87">
        <v>0</v>
      </c>
      <c r="CC87">
        <v>0</v>
      </c>
      <c r="CD87">
        <v>0</v>
      </c>
      <c r="CE87">
        <v>235</v>
      </c>
      <c r="CF87">
        <v>1130.47</v>
      </c>
      <c r="CG87">
        <v>0</v>
      </c>
      <c r="CH87">
        <v>0</v>
      </c>
      <c r="CI87">
        <v>26</v>
      </c>
      <c r="CJ87">
        <v>9</v>
      </c>
      <c r="CK87">
        <v>0</v>
      </c>
      <c r="CL87">
        <v>0</v>
      </c>
      <c r="CM87">
        <v>727.91500000000008</v>
      </c>
      <c r="CN87">
        <v>261797</v>
      </c>
      <c r="CO87">
        <v>278915</v>
      </c>
      <c r="CP87">
        <v>80898</v>
      </c>
      <c r="CQ87">
        <v>6000</v>
      </c>
      <c r="CR87">
        <v>0</v>
      </c>
      <c r="CS87">
        <v>0</v>
      </c>
      <c r="CT87">
        <v>0</v>
      </c>
      <c r="CU87">
        <v>0</v>
      </c>
      <c r="CV87">
        <v>314.09100000000001</v>
      </c>
      <c r="CW87">
        <v>160.06300000000002</v>
      </c>
      <c r="CX87">
        <v>0</v>
      </c>
      <c r="CY87" s="2043">
        <v>0</v>
      </c>
      <c r="CZ87" s="2043">
        <v>0</v>
      </c>
      <c r="DA87" s="2043">
        <v>0</v>
      </c>
      <c r="DB87" s="2043">
        <v>0</v>
      </c>
      <c r="DC87" s="2043">
        <v>0</v>
      </c>
      <c r="DI87" t="s">
        <v>2880</v>
      </c>
      <c r="DJ87" t="s">
        <v>2880</v>
      </c>
      <c r="DK87" s="2042">
        <f t="shared" si="3"/>
        <v>0</v>
      </c>
    </row>
    <row r="88" spans="1:115">
      <c r="A88" t="s">
        <v>2881</v>
      </c>
      <c r="B88" t="s">
        <v>1322</v>
      </c>
      <c r="C88">
        <v>55292.205999999998</v>
      </c>
      <c r="D88">
        <v>59086.082999999999</v>
      </c>
      <c r="E88">
        <v>4612.1140000000005</v>
      </c>
      <c r="F88">
        <v>0</v>
      </c>
      <c r="G88" s="2043">
        <v>44964021917</v>
      </c>
      <c r="H88">
        <v>0</v>
      </c>
      <c r="I88" s="2043">
        <v>109936647</v>
      </c>
      <c r="J88">
        <v>2764.61</v>
      </c>
      <c r="K88">
        <v>7558</v>
      </c>
      <c r="L88">
        <v>0</v>
      </c>
      <c r="M88">
        <v>0</v>
      </c>
      <c r="N88">
        <v>0</v>
      </c>
      <c r="O88">
        <v>0</v>
      </c>
      <c r="P88">
        <v>0</v>
      </c>
      <c r="Q88">
        <v>0</v>
      </c>
      <c r="R88" s="2043">
        <v>403769419</v>
      </c>
      <c r="S88">
        <v>22369497</v>
      </c>
      <c r="T88">
        <v>0</v>
      </c>
      <c r="U88">
        <v>0.05</v>
      </c>
      <c r="V88">
        <v>0</v>
      </c>
      <c r="W88">
        <v>0</v>
      </c>
      <c r="X88">
        <v>0</v>
      </c>
      <c r="Y88">
        <v>-37279</v>
      </c>
      <c r="Z88">
        <v>0</v>
      </c>
      <c r="AA88">
        <v>2.4390000000000001</v>
      </c>
      <c r="AB88">
        <v>57947.728000000003</v>
      </c>
      <c r="AC88" s="2043">
        <v>42357082834</v>
      </c>
      <c r="AD88">
        <v>134231893</v>
      </c>
      <c r="AE88" s="2043">
        <v>426138916</v>
      </c>
      <c r="AF88">
        <v>0.95250000000000001</v>
      </c>
      <c r="AG88">
        <v>0</v>
      </c>
      <c r="AH88">
        <v>0</v>
      </c>
      <c r="AI88">
        <v>0</v>
      </c>
      <c r="AJ88">
        <v>8660.1750000000011</v>
      </c>
      <c r="AK88">
        <v>194401</v>
      </c>
      <c r="AL88">
        <v>4.5460000000000003</v>
      </c>
      <c r="AM88">
        <v>0</v>
      </c>
      <c r="AN88">
        <v>2788.998</v>
      </c>
      <c r="AO88">
        <v>0</v>
      </c>
      <c r="AP88">
        <v>7.4999999999999997E-2</v>
      </c>
      <c r="AQ88">
        <v>15.370000000000001</v>
      </c>
      <c r="AR88">
        <v>1050.126</v>
      </c>
      <c r="AS88">
        <v>0</v>
      </c>
      <c r="AT88">
        <v>487.97</v>
      </c>
      <c r="AU88">
        <v>135.49200000000002</v>
      </c>
      <c r="AV88">
        <v>0</v>
      </c>
      <c r="AW88">
        <v>1693.6990000000001</v>
      </c>
      <c r="AX88">
        <v>0.12</v>
      </c>
      <c r="AY88">
        <v>5314.9570000000003</v>
      </c>
      <c r="AZ88">
        <v>0</v>
      </c>
      <c r="BA88">
        <v>81979903</v>
      </c>
      <c r="BB88">
        <v>560370809</v>
      </c>
      <c r="BC88">
        <v>0</v>
      </c>
      <c r="BD88">
        <v>2240972</v>
      </c>
      <c r="BE88">
        <v>1104879</v>
      </c>
      <c r="BF88">
        <v>5054365</v>
      </c>
      <c r="BG88">
        <v>2240972</v>
      </c>
      <c r="BH88">
        <v>1708514</v>
      </c>
      <c r="BI88">
        <v>-9703</v>
      </c>
      <c r="BJ88">
        <v>-27576</v>
      </c>
      <c r="BK88">
        <v>0</v>
      </c>
      <c r="BL88">
        <v>44964021917</v>
      </c>
      <c r="BM88">
        <v>0</v>
      </c>
      <c r="BN88">
        <v>231471</v>
      </c>
      <c r="BO88">
        <v>69218</v>
      </c>
      <c r="BP88">
        <v>6094</v>
      </c>
      <c r="BQ88">
        <v>0</v>
      </c>
      <c r="BR88">
        <v>0.90250000000000008</v>
      </c>
      <c r="BS88">
        <v>0.90250000000000008</v>
      </c>
      <c r="BT88">
        <v>0</v>
      </c>
      <c r="BU88">
        <v>0</v>
      </c>
      <c r="BV88">
        <v>11036</v>
      </c>
      <c r="BW88">
        <v>7255</v>
      </c>
      <c r="BX88">
        <v>7006</v>
      </c>
      <c r="BY88">
        <v>4899</v>
      </c>
      <c r="BZ88">
        <v>5151</v>
      </c>
      <c r="CA88">
        <v>35347</v>
      </c>
      <c r="CB88">
        <v>0</v>
      </c>
      <c r="CC88">
        <v>4112.8810000000003</v>
      </c>
      <c r="CD88">
        <v>1645.924</v>
      </c>
      <c r="CE88">
        <v>2776</v>
      </c>
      <c r="CF88">
        <v>12226.518</v>
      </c>
      <c r="CG88">
        <v>68.742000000000004</v>
      </c>
      <c r="CH88">
        <v>18.954000000000001</v>
      </c>
      <c r="CI88">
        <v>225</v>
      </c>
      <c r="CJ88">
        <v>979</v>
      </c>
      <c r="CK88">
        <v>14</v>
      </c>
      <c r="CL88">
        <v>87.695999999999998</v>
      </c>
      <c r="CM88">
        <v>4612.1140000000005</v>
      </c>
      <c r="CN88">
        <v>0</v>
      </c>
      <c r="CO88">
        <v>0</v>
      </c>
      <c r="CP88">
        <v>6094</v>
      </c>
      <c r="CQ88">
        <v>0</v>
      </c>
      <c r="CR88">
        <v>0</v>
      </c>
      <c r="CS88">
        <v>0</v>
      </c>
      <c r="CT88">
        <v>0</v>
      </c>
      <c r="CU88">
        <v>31.652000000000001</v>
      </c>
      <c r="CV88">
        <v>2073.826</v>
      </c>
      <c r="CW88">
        <v>1361.16</v>
      </c>
      <c r="CX88">
        <v>0</v>
      </c>
      <c r="CY88" s="2043">
        <v>0</v>
      </c>
      <c r="CZ88" s="2043">
        <v>0</v>
      </c>
      <c r="DA88" s="2043">
        <v>0</v>
      </c>
      <c r="DB88" s="2043">
        <v>0</v>
      </c>
      <c r="DC88" s="2043">
        <v>2566210</v>
      </c>
      <c r="DI88" t="s">
        <v>2881</v>
      </c>
      <c r="DJ88" t="s">
        <v>2881</v>
      </c>
      <c r="DK88" s="2042">
        <f t="shared" si="3"/>
        <v>0</v>
      </c>
    </row>
    <row r="89" spans="1:115">
      <c r="A89" t="s">
        <v>2882</v>
      </c>
      <c r="B89" t="s">
        <v>723</v>
      </c>
      <c r="C89">
        <v>8974.4410000000007</v>
      </c>
      <c r="D89">
        <v>9223.8819999999996</v>
      </c>
      <c r="E89">
        <v>707.01400000000001</v>
      </c>
      <c r="F89">
        <v>0</v>
      </c>
      <c r="G89" s="2043">
        <v>5116326332</v>
      </c>
      <c r="H89">
        <v>0</v>
      </c>
      <c r="I89" s="2043">
        <v>9487843</v>
      </c>
      <c r="J89">
        <v>448.72200000000004</v>
      </c>
      <c r="K89">
        <v>1227</v>
      </c>
      <c r="L89">
        <v>0</v>
      </c>
      <c r="M89">
        <v>5963816</v>
      </c>
      <c r="N89">
        <v>0</v>
      </c>
      <c r="O89">
        <v>5963816</v>
      </c>
      <c r="P89">
        <v>0</v>
      </c>
      <c r="Q89">
        <v>0</v>
      </c>
      <c r="R89" s="2043">
        <v>41717198</v>
      </c>
      <c r="S89">
        <v>2537542</v>
      </c>
      <c r="T89">
        <v>0</v>
      </c>
      <c r="U89">
        <v>0.05</v>
      </c>
      <c r="V89">
        <v>0</v>
      </c>
      <c r="W89">
        <v>0</v>
      </c>
      <c r="X89">
        <v>0</v>
      </c>
      <c r="Y89">
        <v>160993</v>
      </c>
      <c r="Z89">
        <v>0</v>
      </c>
      <c r="AA89">
        <v>0.14700000000000002</v>
      </c>
      <c r="AB89">
        <v>8508.8770000000004</v>
      </c>
      <c r="AC89" s="2043">
        <v>4093238812</v>
      </c>
      <c r="AD89">
        <v>11032452</v>
      </c>
      <c r="AE89" s="2043">
        <v>44254740</v>
      </c>
      <c r="AF89">
        <v>0.872</v>
      </c>
      <c r="AG89">
        <v>0</v>
      </c>
      <c r="AH89">
        <v>0</v>
      </c>
      <c r="AI89">
        <v>0</v>
      </c>
      <c r="AJ89">
        <v>1584.45</v>
      </c>
      <c r="AK89">
        <v>29471</v>
      </c>
      <c r="AL89">
        <v>1.355</v>
      </c>
      <c r="AM89">
        <v>0</v>
      </c>
      <c r="AN89">
        <v>716.33900000000006</v>
      </c>
      <c r="AO89">
        <v>0</v>
      </c>
      <c r="AP89">
        <v>0</v>
      </c>
      <c r="AQ89">
        <v>8.5380000000000003</v>
      </c>
      <c r="AR89">
        <v>43.764000000000003</v>
      </c>
      <c r="AS89">
        <v>0</v>
      </c>
      <c r="AT89">
        <v>70.176000000000002</v>
      </c>
      <c r="AU89">
        <v>18.948</v>
      </c>
      <c r="AV89">
        <v>0</v>
      </c>
      <c r="AW89">
        <v>142.78100000000001</v>
      </c>
      <c r="AX89">
        <v>0</v>
      </c>
      <c r="AY89">
        <v>443.33500000000004</v>
      </c>
      <c r="AZ89">
        <v>0</v>
      </c>
      <c r="BA89">
        <v>40050784</v>
      </c>
      <c r="BB89">
        <v>55287192</v>
      </c>
      <c r="BC89">
        <v>0</v>
      </c>
      <c r="BD89">
        <v>885560</v>
      </c>
      <c r="BE89">
        <v>260229</v>
      </c>
      <c r="BF89">
        <v>1311415</v>
      </c>
      <c r="BG89">
        <v>885560</v>
      </c>
      <c r="BH89">
        <v>165626</v>
      </c>
      <c r="BI89">
        <v>0</v>
      </c>
      <c r="BJ89">
        <v>0</v>
      </c>
      <c r="BK89">
        <v>0</v>
      </c>
      <c r="BL89">
        <v>5116326332</v>
      </c>
      <c r="BM89">
        <v>160993</v>
      </c>
      <c r="BN89">
        <v>38043</v>
      </c>
      <c r="BO89">
        <v>14081</v>
      </c>
      <c r="BP89">
        <v>0</v>
      </c>
      <c r="BQ89">
        <v>110000</v>
      </c>
      <c r="BR89">
        <v>0.82200000000000006</v>
      </c>
      <c r="BS89">
        <v>0.82200000000000006</v>
      </c>
      <c r="BT89">
        <v>0</v>
      </c>
      <c r="BU89">
        <v>0</v>
      </c>
      <c r="BV89">
        <v>857</v>
      </c>
      <c r="BW89">
        <v>4182</v>
      </c>
      <c r="BX89">
        <v>1068</v>
      </c>
      <c r="BY89">
        <v>290</v>
      </c>
      <c r="BZ89">
        <v>201</v>
      </c>
      <c r="CA89">
        <v>6598</v>
      </c>
      <c r="CB89">
        <v>0</v>
      </c>
      <c r="CC89">
        <v>406.23900000000003</v>
      </c>
      <c r="CD89">
        <v>238.03900000000002</v>
      </c>
      <c r="CE89">
        <v>676</v>
      </c>
      <c r="CF89">
        <v>2162.9790000000003</v>
      </c>
      <c r="CG89">
        <v>28.485000000000003</v>
      </c>
      <c r="CH89">
        <v>10.118</v>
      </c>
      <c r="CI89">
        <v>22</v>
      </c>
      <c r="CJ89">
        <v>18</v>
      </c>
      <c r="CK89">
        <v>0</v>
      </c>
      <c r="CL89">
        <v>38.603000000000002</v>
      </c>
      <c r="CM89">
        <v>707.01400000000001</v>
      </c>
      <c r="CN89">
        <v>0</v>
      </c>
      <c r="CO89">
        <v>0</v>
      </c>
      <c r="CP89">
        <v>0</v>
      </c>
      <c r="CQ89">
        <v>0</v>
      </c>
      <c r="CR89">
        <v>0</v>
      </c>
      <c r="CS89">
        <v>0</v>
      </c>
      <c r="CT89">
        <v>0</v>
      </c>
      <c r="CU89">
        <v>4.6920000000000002</v>
      </c>
      <c r="CV89">
        <v>378.483</v>
      </c>
      <c r="CW89">
        <v>312.21700000000004</v>
      </c>
      <c r="CX89">
        <v>0</v>
      </c>
      <c r="CY89" s="2043">
        <v>0</v>
      </c>
      <c r="CZ89" s="2043">
        <v>0</v>
      </c>
      <c r="DA89" s="2043">
        <v>0</v>
      </c>
      <c r="DB89" s="2043">
        <v>0</v>
      </c>
      <c r="DC89" s="2043">
        <v>0</v>
      </c>
      <c r="DI89" t="s">
        <v>2882</v>
      </c>
      <c r="DJ89" t="s">
        <v>2882</v>
      </c>
      <c r="DK89" s="2042">
        <f t="shared" si="3"/>
        <v>0</v>
      </c>
    </row>
    <row r="90" spans="1:115">
      <c r="A90" t="s">
        <v>2883</v>
      </c>
      <c r="B90" t="s">
        <v>668</v>
      </c>
      <c r="C90">
        <v>11805.483</v>
      </c>
      <c r="D90">
        <v>12277.602000000001</v>
      </c>
      <c r="E90">
        <v>1149.452</v>
      </c>
      <c r="F90">
        <v>0</v>
      </c>
      <c r="G90" s="2043">
        <v>4495907126</v>
      </c>
      <c r="H90">
        <v>0</v>
      </c>
      <c r="I90" s="2043">
        <v>19690706</v>
      </c>
      <c r="J90">
        <v>590.274</v>
      </c>
      <c r="K90">
        <v>1614</v>
      </c>
      <c r="L90">
        <v>0</v>
      </c>
      <c r="M90">
        <v>8641674</v>
      </c>
      <c r="N90">
        <v>0</v>
      </c>
      <c r="O90">
        <v>8641674</v>
      </c>
      <c r="P90">
        <v>0</v>
      </c>
      <c r="Q90">
        <v>0</v>
      </c>
      <c r="R90" s="2043">
        <v>37649029</v>
      </c>
      <c r="S90">
        <v>3624019</v>
      </c>
      <c r="T90">
        <v>1123446</v>
      </c>
      <c r="U90">
        <v>0.08</v>
      </c>
      <c r="V90">
        <v>0</v>
      </c>
      <c r="W90">
        <v>0</v>
      </c>
      <c r="X90">
        <v>0</v>
      </c>
      <c r="Y90">
        <v>-15258</v>
      </c>
      <c r="Z90">
        <v>0</v>
      </c>
      <c r="AA90">
        <v>0.80800000000000005</v>
      </c>
      <c r="AB90">
        <v>12277.602000000001</v>
      </c>
      <c r="AC90" s="2043">
        <v>4057896053</v>
      </c>
      <c r="AD90">
        <v>19794155</v>
      </c>
      <c r="AE90" s="2043">
        <v>42396494</v>
      </c>
      <c r="AF90">
        <v>0.93590000000000007</v>
      </c>
      <c r="AG90">
        <v>0</v>
      </c>
      <c r="AH90">
        <v>0</v>
      </c>
      <c r="AI90">
        <v>0</v>
      </c>
      <c r="AJ90">
        <v>2743.0250000000001</v>
      </c>
      <c r="AK90">
        <v>53297</v>
      </c>
      <c r="AL90">
        <v>1.9650000000000001</v>
      </c>
      <c r="AM90">
        <v>0</v>
      </c>
      <c r="AN90">
        <v>1118.307</v>
      </c>
      <c r="AO90">
        <v>0</v>
      </c>
      <c r="AP90">
        <v>3.3149999999999999</v>
      </c>
      <c r="AQ90">
        <v>15.224</v>
      </c>
      <c r="AR90">
        <v>123.79900000000001</v>
      </c>
      <c r="AS90">
        <v>0</v>
      </c>
      <c r="AT90">
        <v>143.80700000000002</v>
      </c>
      <c r="AU90">
        <v>36.957999999999998</v>
      </c>
      <c r="AV90">
        <v>0</v>
      </c>
      <c r="AW90">
        <v>325.06800000000004</v>
      </c>
      <c r="AX90">
        <v>0</v>
      </c>
      <c r="AY90">
        <v>1006.384</v>
      </c>
      <c r="AZ90">
        <v>0</v>
      </c>
      <c r="BA90">
        <v>84640948</v>
      </c>
      <c r="BB90">
        <v>62190649</v>
      </c>
      <c r="BC90">
        <v>0</v>
      </c>
      <c r="BD90">
        <v>763344</v>
      </c>
      <c r="BE90">
        <v>338291</v>
      </c>
      <c r="BF90">
        <v>1131040</v>
      </c>
      <c r="BG90">
        <v>763344</v>
      </c>
      <c r="BH90">
        <v>29405</v>
      </c>
      <c r="BI90">
        <v>0</v>
      </c>
      <c r="BJ90">
        <v>-15258</v>
      </c>
      <c r="BK90">
        <v>0</v>
      </c>
      <c r="BL90">
        <v>4495907126</v>
      </c>
      <c r="BM90">
        <v>0</v>
      </c>
      <c r="BN90">
        <v>51984</v>
      </c>
      <c r="BO90">
        <v>27542</v>
      </c>
      <c r="BP90">
        <v>0</v>
      </c>
      <c r="BQ90">
        <v>0</v>
      </c>
      <c r="BR90">
        <v>0.83110000000000006</v>
      </c>
      <c r="BS90">
        <v>0.83110000000000006</v>
      </c>
      <c r="BT90">
        <v>0</v>
      </c>
      <c r="BU90">
        <v>0</v>
      </c>
      <c r="BV90">
        <v>549</v>
      </c>
      <c r="BW90">
        <v>2196</v>
      </c>
      <c r="BX90">
        <v>3814</v>
      </c>
      <c r="BY90">
        <v>2494</v>
      </c>
      <c r="BZ90">
        <v>1781</v>
      </c>
      <c r="CA90">
        <v>10834</v>
      </c>
      <c r="CB90">
        <v>0</v>
      </c>
      <c r="CC90">
        <v>989.43700000000001</v>
      </c>
      <c r="CD90">
        <v>0</v>
      </c>
      <c r="CE90">
        <v>868</v>
      </c>
      <c r="CF90">
        <v>3352.11</v>
      </c>
      <c r="CG90">
        <v>0</v>
      </c>
      <c r="CH90">
        <v>17.103999999999999</v>
      </c>
      <c r="CI90">
        <v>58</v>
      </c>
      <c r="CJ90">
        <v>28</v>
      </c>
      <c r="CK90">
        <v>1</v>
      </c>
      <c r="CL90">
        <v>17.103999999999999</v>
      </c>
      <c r="CM90">
        <v>1149.452</v>
      </c>
      <c r="CN90">
        <v>0</v>
      </c>
      <c r="CO90">
        <v>0</v>
      </c>
      <c r="CP90">
        <v>0</v>
      </c>
      <c r="CQ90">
        <v>0</v>
      </c>
      <c r="CR90">
        <v>0</v>
      </c>
      <c r="CS90">
        <v>0</v>
      </c>
      <c r="CT90">
        <v>0</v>
      </c>
      <c r="CU90">
        <v>0.14800000000000002</v>
      </c>
      <c r="CV90">
        <v>408.31600000000003</v>
      </c>
      <c r="CW90">
        <v>374.42700000000002</v>
      </c>
      <c r="CX90">
        <v>0</v>
      </c>
      <c r="CY90" s="2043">
        <v>0</v>
      </c>
      <c r="CZ90" s="2043">
        <v>0</v>
      </c>
      <c r="DA90" s="2043">
        <v>0</v>
      </c>
      <c r="DB90" s="2043">
        <v>0</v>
      </c>
      <c r="DC90" s="2043">
        <v>0</v>
      </c>
      <c r="DI90" t="s">
        <v>2883</v>
      </c>
      <c r="DJ90" t="s">
        <v>2883</v>
      </c>
      <c r="DK90" s="2042">
        <f t="shared" si="3"/>
        <v>0</v>
      </c>
    </row>
    <row r="91" spans="1:115">
      <c r="A91" t="s">
        <v>7352</v>
      </c>
      <c r="B91" t="s">
        <v>2225</v>
      </c>
      <c r="C91">
        <v>825.476</v>
      </c>
      <c r="D91">
        <v>1020.4490000000001</v>
      </c>
      <c r="E91">
        <v>13.914000000000001</v>
      </c>
      <c r="F91">
        <v>0</v>
      </c>
      <c r="G91" s="2043">
        <v>0</v>
      </c>
      <c r="H91">
        <v>0</v>
      </c>
      <c r="I91" s="2043">
        <v>0</v>
      </c>
      <c r="J91">
        <v>41.274000000000001</v>
      </c>
      <c r="K91">
        <v>113</v>
      </c>
      <c r="L91">
        <v>0</v>
      </c>
      <c r="M91">
        <v>0</v>
      </c>
      <c r="N91">
        <v>0</v>
      </c>
      <c r="O91">
        <v>0</v>
      </c>
      <c r="P91">
        <v>0</v>
      </c>
      <c r="Q91">
        <v>0</v>
      </c>
      <c r="R91" s="2043">
        <v>0</v>
      </c>
      <c r="S91">
        <v>0</v>
      </c>
      <c r="T91">
        <v>0</v>
      </c>
      <c r="U91">
        <v>0</v>
      </c>
      <c r="V91">
        <v>0</v>
      </c>
      <c r="W91">
        <v>0</v>
      </c>
      <c r="X91">
        <v>0</v>
      </c>
      <c r="Y91">
        <v>0</v>
      </c>
      <c r="Z91">
        <v>0</v>
      </c>
      <c r="AA91">
        <v>0</v>
      </c>
      <c r="AB91">
        <v>970.43700000000001</v>
      </c>
      <c r="AC91" s="2043">
        <v>0</v>
      </c>
      <c r="AD91">
        <v>0</v>
      </c>
      <c r="AE91" s="2043">
        <v>0</v>
      </c>
      <c r="AF91">
        <v>0</v>
      </c>
      <c r="AG91">
        <v>0</v>
      </c>
      <c r="AH91">
        <v>0</v>
      </c>
      <c r="AI91">
        <v>0</v>
      </c>
      <c r="AJ91">
        <v>29.363000000000003</v>
      </c>
      <c r="AK91">
        <v>3351</v>
      </c>
      <c r="AL91">
        <v>0</v>
      </c>
      <c r="AM91">
        <v>0</v>
      </c>
      <c r="AN91">
        <v>34.234999999999999</v>
      </c>
      <c r="AO91">
        <v>0.84400000000000008</v>
      </c>
      <c r="AP91">
        <v>4.3</v>
      </c>
      <c r="AQ91">
        <v>0</v>
      </c>
      <c r="AR91">
        <v>12.709000000000001</v>
      </c>
      <c r="AS91">
        <v>0</v>
      </c>
      <c r="AT91">
        <v>2.633</v>
      </c>
      <c r="AU91">
        <v>2.415</v>
      </c>
      <c r="AV91">
        <v>0</v>
      </c>
      <c r="AW91">
        <v>22.057000000000002</v>
      </c>
      <c r="AX91">
        <v>0</v>
      </c>
      <c r="AY91">
        <v>69.710999999999999</v>
      </c>
      <c r="AZ91">
        <v>0</v>
      </c>
      <c r="BA91">
        <v>8553940</v>
      </c>
      <c r="BB91">
        <v>0</v>
      </c>
      <c r="BC91">
        <v>0</v>
      </c>
      <c r="BD91">
        <v>11232</v>
      </c>
      <c r="BE91">
        <v>33064</v>
      </c>
      <c r="BF91">
        <v>44296</v>
      </c>
      <c r="BG91">
        <v>11232</v>
      </c>
      <c r="BH91">
        <v>0</v>
      </c>
      <c r="BI91">
        <v>0</v>
      </c>
      <c r="BJ91">
        <v>0</v>
      </c>
      <c r="BK91">
        <v>0</v>
      </c>
      <c r="BL91">
        <v>0</v>
      </c>
      <c r="BM91">
        <v>0</v>
      </c>
      <c r="BN91">
        <v>2160</v>
      </c>
      <c r="BO91">
        <v>203</v>
      </c>
      <c r="BP91">
        <v>0</v>
      </c>
      <c r="BQ91">
        <v>0</v>
      </c>
      <c r="BR91">
        <v>0</v>
      </c>
      <c r="BS91">
        <v>0</v>
      </c>
      <c r="BT91">
        <v>0</v>
      </c>
      <c r="BU91">
        <v>0</v>
      </c>
      <c r="BV91">
        <v>3</v>
      </c>
      <c r="BW91">
        <v>115</v>
      </c>
      <c r="BX91">
        <v>0</v>
      </c>
      <c r="BY91">
        <v>0</v>
      </c>
      <c r="BZ91">
        <v>5</v>
      </c>
      <c r="CA91">
        <v>123</v>
      </c>
      <c r="CB91">
        <v>0</v>
      </c>
      <c r="CC91">
        <v>0</v>
      </c>
      <c r="CD91">
        <v>0</v>
      </c>
      <c r="CE91">
        <v>24</v>
      </c>
      <c r="CF91">
        <v>62.626000000000005</v>
      </c>
      <c r="CG91">
        <v>0</v>
      </c>
      <c r="CH91">
        <v>0</v>
      </c>
      <c r="CI91">
        <v>2</v>
      </c>
      <c r="CJ91">
        <v>12</v>
      </c>
      <c r="CK91">
        <v>1</v>
      </c>
      <c r="CL91">
        <v>0</v>
      </c>
      <c r="CM91">
        <v>13.914000000000001</v>
      </c>
      <c r="CN91">
        <v>0</v>
      </c>
      <c r="CO91">
        <v>0</v>
      </c>
      <c r="CP91">
        <v>0</v>
      </c>
      <c r="CQ91">
        <v>0</v>
      </c>
      <c r="CR91">
        <v>0</v>
      </c>
      <c r="CS91">
        <v>0</v>
      </c>
      <c r="CT91">
        <v>0</v>
      </c>
      <c r="CU91">
        <v>0</v>
      </c>
      <c r="CV91">
        <v>41.724000000000004</v>
      </c>
      <c r="CW91">
        <v>9.1310000000000002</v>
      </c>
      <c r="CX91">
        <v>0</v>
      </c>
      <c r="CY91" s="2043">
        <v>0</v>
      </c>
      <c r="CZ91" s="2043">
        <v>0</v>
      </c>
      <c r="DA91" s="2043">
        <v>0</v>
      </c>
      <c r="DB91" s="2043">
        <v>0</v>
      </c>
      <c r="DC91" s="2043">
        <v>0</v>
      </c>
      <c r="DI91" t="s">
        <v>7352</v>
      </c>
      <c r="DJ91" t="s">
        <v>7352</v>
      </c>
      <c r="DK91" s="2042">
        <f t="shared" si="3"/>
        <v>0</v>
      </c>
    </row>
    <row r="92" spans="1:115">
      <c r="A92" t="s">
        <v>7353</v>
      </c>
      <c r="B92" t="s">
        <v>2226</v>
      </c>
      <c r="C92">
        <v>1521.287</v>
      </c>
      <c r="D92">
        <v>1411.8610000000001</v>
      </c>
      <c r="E92">
        <v>20.987000000000002</v>
      </c>
      <c r="F92">
        <v>0</v>
      </c>
      <c r="G92" s="2043">
        <v>0</v>
      </c>
      <c r="H92">
        <v>0</v>
      </c>
      <c r="I92" s="2043">
        <v>0</v>
      </c>
      <c r="J92">
        <v>76.064000000000007</v>
      </c>
      <c r="K92">
        <v>208</v>
      </c>
      <c r="L92">
        <v>0</v>
      </c>
      <c r="M92">
        <v>0</v>
      </c>
      <c r="N92">
        <v>0</v>
      </c>
      <c r="O92">
        <v>0</v>
      </c>
      <c r="P92">
        <v>0</v>
      </c>
      <c r="Q92">
        <v>0</v>
      </c>
      <c r="R92" s="2043">
        <v>0</v>
      </c>
      <c r="S92">
        <v>0</v>
      </c>
      <c r="T92">
        <v>0</v>
      </c>
      <c r="U92">
        <v>0</v>
      </c>
      <c r="V92">
        <v>0</v>
      </c>
      <c r="W92">
        <v>0</v>
      </c>
      <c r="X92">
        <v>0</v>
      </c>
      <c r="Y92">
        <v>0</v>
      </c>
      <c r="Z92">
        <v>1.9780000000000002</v>
      </c>
      <c r="AA92">
        <v>0</v>
      </c>
      <c r="AB92">
        <v>1411.8610000000001</v>
      </c>
      <c r="AC92" s="2043">
        <v>0</v>
      </c>
      <c r="AD92">
        <v>0</v>
      </c>
      <c r="AE92" s="2043">
        <v>0</v>
      </c>
      <c r="AF92">
        <v>0</v>
      </c>
      <c r="AG92">
        <v>0</v>
      </c>
      <c r="AH92">
        <v>0</v>
      </c>
      <c r="AI92">
        <v>0</v>
      </c>
      <c r="AJ92">
        <v>99.975000000000009</v>
      </c>
      <c r="AK92">
        <v>6321</v>
      </c>
      <c r="AL92">
        <v>0.16800000000000001</v>
      </c>
      <c r="AM92">
        <v>0</v>
      </c>
      <c r="AN92">
        <v>81.197000000000003</v>
      </c>
      <c r="AO92">
        <v>0</v>
      </c>
      <c r="AP92">
        <v>3.2970000000000002</v>
      </c>
      <c r="AQ92">
        <v>0</v>
      </c>
      <c r="AR92">
        <v>30.490000000000002</v>
      </c>
      <c r="AS92">
        <v>0</v>
      </c>
      <c r="AT92">
        <v>14.656000000000001</v>
      </c>
      <c r="AU92">
        <v>3.5190000000000001</v>
      </c>
      <c r="AV92">
        <v>0</v>
      </c>
      <c r="AW92">
        <v>52.13</v>
      </c>
      <c r="AX92">
        <v>0</v>
      </c>
      <c r="AY92">
        <v>162.77500000000001</v>
      </c>
      <c r="AZ92">
        <v>0</v>
      </c>
      <c r="BA92">
        <v>13364951</v>
      </c>
      <c r="BB92">
        <v>0</v>
      </c>
      <c r="BC92">
        <v>0</v>
      </c>
      <c r="BD92">
        <v>21788</v>
      </c>
      <c r="BE92">
        <v>21763</v>
      </c>
      <c r="BF92">
        <v>69130</v>
      </c>
      <c r="BG92">
        <v>21788</v>
      </c>
      <c r="BH92">
        <v>25579</v>
      </c>
      <c r="BI92">
        <v>0</v>
      </c>
      <c r="BJ92">
        <v>0</v>
      </c>
      <c r="BK92">
        <v>0</v>
      </c>
      <c r="BL92">
        <v>0</v>
      </c>
      <c r="BM92">
        <v>0</v>
      </c>
      <c r="BN92">
        <v>4122</v>
      </c>
      <c r="BO92">
        <v>877</v>
      </c>
      <c r="BP92">
        <v>0</v>
      </c>
      <c r="BQ92">
        <v>0</v>
      </c>
      <c r="BR92">
        <v>0</v>
      </c>
      <c r="BS92">
        <v>0</v>
      </c>
      <c r="BT92">
        <v>0</v>
      </c>
      <c r="BU92">
        <v>0</v>
      </c>
      <c r="BV92">
        <v>23</v>
      </c>
      <c r="BW92">
        <v>357</v>
      </c>
      <c r="BX92">
        <v>24</v>
      </c>
      <c r="BY92">
        <v>9</v>
      </c>
      <c r="BZ92">
        <v>6</v>
      </c>
      <c r="CA92">
        <v>419</v>
      </c>
      <c r="CB92">
        <v>0</v>
      </c>
      <c r="CC92">
        <v>0</v>
      </c>
      <c r="CD92">
        <v>0</v>
      </c>
      <c r="CE92">
        <v>100</v>
      </c>
      <c r="CF92">
        <v>157.15300000000002</v>
      </c>
      <c r="CG92">
        <v>0</v>
      </c>
      <c r="CH92">
        <v>0</v>
      </c>
      <c r="CI92">
        <v>0</v>
      </c>
      <c r="CJ92">
        <v>15</v>
      </c>
      <c r="CK92">
        <v>2</v>
      </c>
      <c r="CL92">
        <v>0</v>
      </c>
      <c r="CM92">
        <v>20.987000000000002</v>
      </c>
      <c r="CN92">
        <v>0</v>
      </c>
      <c r="CO92">
        <v>0</v>
      </c>
      <c r="CP92">
        <v>0</v>
      </c>
      <c r="CQ92">
        <v>0</v>
      </c>
      <c r="CR92">
        <v>0</v>
      </c>
      <c r="CS92">
        <v>0</v>
      </c>
      <c r="CT92">
        <v>0</v>
      </c>
      <c r="CU92">
        <v>0.499</v>
      </c>
      <c r="CV92">
        <v>45.292999999999999</v>
      </c>
      <c r="CW92">
        <v>9.3810000000000002</v>
      </c>
      <c r="CX92">
        <v>0</v>
      </c>
      <c r="CY92" s="2043">
        <v>0</v>
      </c>
      <c r="CZ92" s="2043">
        <v>0</v>
      </c>
      <c r="DA92" s="2043">
        <v>0</v>
      </c>
      <c r="DB92" s="2043">
        <v>0</v>
      </c>
      <c r="DC92" s="2043">
        <v>0</v>
      </c>
      <c r="DI92" t="s">
        <v>7353</v>
      </c>
      <c r="DJ92" t="s">
        <v>7353</v>
      </c>
      <c r="DK92" s="2042">
        <f t="shared" si="3"/>
        <v>0</v>
      </c>
    </row>
    <row r="93" spans="1:115">
      <c r="A93" t="s">
        <v>2884</v>
      </c>
      <c r="B93" t="s">
        <v>1324</v>
      </c>
      <c r="C93">
        <v>94636.49</v>
      </c>
      <c r="D93">
        <v>99660.171000000002</v>
      </c>
      <c r="E93">
        <v>6574.134</v>
      </c>
      <c r="F93">
        <v>0</v>
      </c>
      <c r="G93" s="2043">
        <v>65122604892</v>
      </c>
      <c r="H93">
        <v>0</v>
      </c>
      <c r="I93" s="2043">
        <v>150207239</v>
      </c>
      <c r="J93">
        <v>4731.8249999999998</v>
      </c>
      <c r="K93">
        <v>12936</v>
      </c>
      <c r="L93">
        <v>0</v>
      </c>
      <c r="M93">
        <v>1498658</v>
      </c>
      <c r="N93">
        <v>0</v>
      </c>
      <c r="O93">
        <v>1498658</v>
      </c>
      <c r="P93">
        <v>0</v>
      </c>
      <c r="Q93">
        <v>0</v>
      </c>
      <c r="R93" s="2043">
        <v>563789058</v>
      </c>
      <c r="S93">
        <v>32187089</v>
      </c>
      <c r="T93">
        <v>0</v>
      </c>
      <c r="U93">
        <v>0.05</v>
      </c>
      <c r="V93">
        <v>1404.2540000000001</v>
      </c>
      <c r="W93">
        <v>0</v>
      </c>
      <c r="X93">
        <v>0</v>
      </c>
      <c r="Y93">
        <v>-28795</v>
      </c>
      <c r="Z93">
        <v>0</v>
      </c>
      <c r="AA93">
        <v>4.2880000000000003</v>
      </c>
      <c r="AB93">
        <v>96670.577000000005</v>
      </c>
      <c r="AC93" s="2043">
        <v>57869464017</v>
      </c>
      <c r="AD93">
        <v>215975370</v>
      </c>
      <c r="AE93" s="2043">
        <v>595976147</v>
      </c>
      <c r="AF93">
        <v>0.92580000000000007</v>
      </c>
      <c r="AG93">
        <v>0</v>
      </c>
      <c r="AH93">
        <v>0</v>
      </c>
      <c r="AI93">
        <v>0</v>
      </c>
      <c r="AJ93">
        <v>12004.800000000001</v>
      </c>
      <c r="AK93">
        <v>337482</v>
      </c>
      <c r="AL93">
        <v>16.544</v>
      </c>
      <c r="AM93">
        <v>0.252</v>
      </c>
      <c r="AN93">
        <v>5799.8410000000003</v>
      </c>
      <c r="AO93">
        <v>1</v>
      </c>
      <c r="AP93">
        <v>146.4</v>
      </c>
      <c r="AQ93">
        <v>9.2759999999999998</v>
      </c>
      <c r="AR93">
        <v>1308.2160000000001</v>
      </c>
      <c r="AS93">
        <v>0</v>
      </c>
      <c r="AT93">
        <v>839.79200000000003</v>
      </c>
      <c r="AU93">
        <v>250.27500000000001</v>
      </c>
      <c r="AV93">
        <v>0</v>
      </c>
      <c r="AW93">
        <v>2578.9010000000003</v>
      </c>
      <c r="AX93">
        <v>8.1460000000000008</v>
      </c>
      <c r="AY93">
        <v>8192.8909999999996</v>
      </c>
      <c r="AZ93">
        <v>0</v>
      </c>
      <c r="BA93">
        <v>239664549</v>
      </c>
      <c r="BB93">
        <v>811951517</v>
      </c>
      <c r="BC93">
        <v>0</v>
      </c>
      <c r="BD93">
        <v>4001996</v>
      </c>
      <c r="BE93">
        <v>2544041</v>
      </c>
      <c r="BF93">
        <v>6773260</v>
      </c>
      <c r="BG93">
        <v>4001996</v>
      </c>
      <c r="BH93">
        <v>227223</v>
      </c>
      <c r="BI93">
        <v>-8464</v>
      </c>
      <c r="BJ93">
        <v>-20331</v>
      </c>
      <c r="BK93">
        <v>0</v>
      </c>
      <c r="BL93">
        <v>65122604892</v>
      </c>
      <c r="BM93">
        <v>0</v>
      </c>
      <c r="BN93">
        <v>373113</v>
      </c>
      <c r="BO93">
        <v>134381</v>
      </c>
      <c r="BP93">
        <v>34736</v>
      </c>
      <c r="BQ93">
        <v>0</v>
      </c>
      <c r="BR93">
        <v>0.87580000000000002</v>
      </c>
      <c r="BS93">
        <v>0.87580000000000002</v>
      </c>
      <c r="BT93">
        <v>0</v>
      </c>
      <c r="BU93">
        <v>0</v>
      </c>
      <c r="BV93">
        <v>21719</v>
      </c>
      <c r="BW93">
        <v>8586</v>
      </c>
      <c r="BX93">
        <v>7428</v>
      </c>
      <c r="BY93">
        <v>5394</v>
      </c>
      <c r="BZ93">
        <v>6567</v>
      </c>
      <c r="CA93">
        <v>49694</v>
      </c>
      <c r="CB93">
        <v>0</v>
      </c>
      <c r="CC93">
        <v>1684.953</v>
      </c>
      <c r="CD93">
        <v>1025.066</v>
      </c>
      <c r="CE93">
        <v>4346</v>
      </c>
      <c r="CF93">
        <v>16659.807000000001</v>
      </c>
      <c r="CG93">
        <v>212.75900000000001</v>
      </c>
      <c r="CH93">
        <v>30.373000000000001</v>
      </c>
      <c r="CI93">
        <v>313</v>
      </c>
      <c r="CJ93">
        <v>943</v>
      </c>
      <c r="CK93">
        <v>26</v>
      </c>
      <c r="CL93">
        <v>243.13200000000001</v>
      </c>
      <c r="CM93">
        <v>6574.134</v>
      </c>
      <c r="CN93">
        <v>0</v>
      </c>
      <c r="CO93">
        <v>11476</v>
      </c>
      <c r="CP93">
        <v>20865</v>
      </c>
      <c r="CQ93">
        <v>2395</v>
      </c>
      <c r="CR93">
        <v>0</v>
      </c>
      <c r="CS93">
        <v>0</v>
      </c>
      <c r="CT93">
        <v>0</v>
      </c>
      <c r="CU93">
        <v>9.8369999999999997</v>
      </c>
      <c r="CV93">
        <v>3192.2550000000001</v>
      </c>
      <c r="CW93">
        <v>2035.5230000000001</v>
      </c>
      <c r="CX93">
        <v>0</v>
      </c>
      <c r="CY93" s="2043">
        <v>0</v>
      </c>
      <c r="CZ93" s="2043">
        <v>0</v>
      </c>
      <c r="DA93" s="2043">
        <v>0</v>
      </c>
      <c r="DB93" s="2043">
        <v>0</v>
      </c>
      <c r="DC93" s="2043">
        <v>0</v>
      </c>
      <c r="DI93" t="s">
        <v>2884</v>
      </c>
      <c r="DJ93" t="s">
        <v>2884</v>
      </c>
      <c r="DK93" s="2042">
        <f t="shared" si="3"/>
        <v>0</v>
      </c>
    </row>
    <row r="94" spans="1:115">
      <c r="A94" t="s">
        <v>2885</v>
      </c>
      <c r="B94" t="s">
        <v>44</v>
      </c>
      <c r="C94">
        <v>21691.511999999999</v>
      </c>
      <c r="D94">
        <v>21812.255000000001</v>
      </c>
      <c r="E94">
        <v>1382.0740000000001</v>
      </c>
      <c r="F94">
        <v>0</v>
      </c>
      <c r="G94" s="2043">
        <v>12078519854</v>
      </c>
      <c r="H94">
        <v>0</v>
      </c>
      <c r="I94" s="2043">
        <v>39497395</v>
      </c>
      <c r="J94">
        <v>1084.576</v>
      </c>
      <c r="K94">
        <v>2965</v>
      </c>
      <c r="L94">
        <v>0</v>
      </c>
      <c r="M94">
        <v>14172402</v>
      </c>
      <c r="N94">
        <v>0</v>
      </c>
      <c r="O94">
        <v>14172402</v>
      </c>
      <c r="P94">
        <v>0</v>
      </c>
      <c r="Q94">
        <v>0</v>
      </c>
      <c r="R94" s="2043">
        <v>99021863</v>
      </c>
      <c r="S94">
        <v>5978137</v>
      </c>
      <c r="T94">
        <v>0</v>
      </c>
      <c r="U94">
        <v>0.05</v>
      </c>
      <c r="V94">
        <v>0</v>
      </c>
      <c r="W94">
        <v>0</v>
      </c>
      <c r="X94">
        <v>0</v>
      </c>
      <c r="Y94">
        <v>-13123</v>
      </c>
      <c r="Z94">
        <v>0</v>
      </c>
      <c r="AA94">
        <v>1.722</v>
      </c>
      <c r="AB94">
        <v>21812.255000000001</v>
      </c>
      <c r="AC94" s="2043">
        <v>10202687468</v>
      </c>
      <c r="AD94">
        <v>46750000</v>
      </c>
      <c r="AE94" s="2043">
        <v>105000000</v>
      </c>
      <c r="AF94">
        <v>0.87820000000000009</v>
      </c>
      <c r="AG94">
        <v>0</v>
      </c>
      <c r="AH94">
        <v>0</v>
      </c>
      <c r="AI94">
        <v>0</v>
      </c>
      <c r="AJ94">
        <v>4079.4880000000003</v>
      </c>
      <c r="AK94">
        <v>89780</v>
      </c>
      <c r="AL94">
        <v>3.403</v>
      </c>
      <c r="AM94">
        <v>6.3E-2</v>
      </c>
      <c r="AN94">
        <v>1578.039</v>
      </c>
      <c r="AO94">
        <v>1</v>
      </c>
      <c r="AP94">
        <v>32.907000000000004</v>
      </c>
      <c r="AQ94">
        <v>9.8310000000000013</v>
      </c>
      <c r="AR94">
        <v>327.42500000000001</v>
      </c>
      <c r="AS94">
        <v>0</v>
      </c>
      <c r="AT94">
        <v>250.501</v>
      </c>
      <c r="AU94">
        <v>53.305</v>
      </c>
      <c r="AV94">
        <v>0</v>
      </c>
      <c r="AW94">
        <v>678.34400000000005</v>
      </c>
      <c r="AX94">
        <v>0.90900000000000003</v>
      </c>
      <c r="AY94">
        <v>2108.4470000000001</v>
      </c>
      <c r="AZ94">
        <v>0</v>
      </c>
      <c r="BA94">
        <v>101776356</v>
      </c>
      <c r="BB94">
        <v>151750000</v>
      </c>
      <c r="BC94">
        <v>0</v>
      </c>
      <c r="BD94">
        <v>1212465</v>
      </c>
      <c r="BE94">
        <v>814743</v>
      </c>
      <c r="BF94">
        <v>2027208</v>
      </c>
      <c r="BG94">
        <v>1212465</v>
      </c>
      <c r="BH94">
        <v>0</v>
      </c>
      <c r="BI94">
        <v>-2795</v>
      </c>
      <c r="BJ94">
        <v>-10328</v>
      </c>
      <c r="BK94">
        <v>0</v>
      </c>
      <c r="BL94">
        <v>12078519854</v>
      </c>
      <c r="BM94">
        <v>0</v>
      </c>
      <c r="BN94">
        <v>83160</v>
      </c>
      <c r="BO94">
        <v>41323</v>
      </c>
      <c r="BP94">
        <v>0</v>
      </c>
      <c r="BQ94">
        <v>0</v>
      </c>
      <c r="BR94">
        <v>0.82820000000000005</v>
      </c>
      <c r="BS94">
        <v>0.82820000000000005</v>
      </c>
      <c r="BT94">
        <v>0</v>
      </c>
      <c r="BU94">
        <v>0</v>
      </c>
      <c r="BV94">
        <v>2691</v>
      </c>
      <c r="BW94">
        <v>7644</v>
      </c>
      <c r="BX94">
        <v>3188</v>
      </c>
      <c r="BY94">
        <v>2333</v>
      </c>
      <c r="BZ94">
        <v>906</v>
      </c>
      <c r="CA94">
        <v>16762</v>
      </c>
      <c r="CB94">
        <v>0</v>
      </c>
      <c r="CC94">
        <v>843.70600000000002</v>
      </c>
      <c r="CD94">
        <v>141.64500000000001</v>
      </c>
      <c r="CE94">
        <v>1895</v>
      </c>
      <c r="CF94">
        <v>5417.07</v>
      </c>
      <c r="CG94">
        <v>38.692</v>
      </c>
      <c r="CH94">
        <v>13.903</v>
      </c>
      <c r="CI94">
        <v>89</v>
      </c>
      <c r="CJ94">
        <v>57</v>
      </c>
      <c r="CK94">
        <v>3</v>
      </c>
      <c r="CL94">
        <v>52.595000000000006</v>
      </c>
      <c r="CM94">
        <v>1382.0740000000001</v>
      </c>
      <c r="CN94">
        <v>0</v>
      </c>
      <c r="CO94">
        <v>0</v>
      </c>
      <c r="CP94">
        <v>0</v>
      </c>
      <c r="CQ94">
        <v>0</v>
      </c>
      <c r="CR94">
        <v>0</v>
      </c>
      <c r="CS94">
        <v>0</v>
      </c>
      <c r="CT94">
        <v>0</v>
      </c>
      <c r="CU94">
        <v>57.422000000000004</v>
      </c>
      <c r="CV94">
        <v>1029.9950000000001</v>
      </c>
      <c r="CW94">
        <v>504.67900000000003</v>
      </c>
      <c r="CX94">
        <v>0</v>
      </c>
      <c r="CY94" s="2043">
        <v>0</v>
      </c>
      <c r="CZ94" s="2043">
        <v>0</v>
      </c>
      <c r="DA94" s="2043">
        <v>0</v>
      </c>
      <c r="DB94" s="2043">
        <v>0</v>
      </c>
      <c r="DC94" s="2043">
        <v>0</v>
      </c>
      <c r="DI94" t="s">
        <v>2885</v>
      </c>
      <c r="DJ94" t="s">
        <v>2885</v>
      </c>
      <c r="DK94" s="2042">
        <f t="shared" si="3"/>
        <v>0</v>
      </c>
    </row>
    <row r="95" spans="1:115">
      <c r="A95" t="s">
        <v>2886</v>
      </c>
      <c r="B95" t="s">
        <v>1418</v>
      </c>
      <c r="C95">
        <v>4885.4920000000002</v>
      </c>
      <c r="D95">
        <v>5121.3829999999998</v>
      </c>
      <c r="E95">
        <v>492.60200000000003</v>
      </c>
      <c r="F95">
        <v>0</v>
      </c>
      <c r="G95" s="2043">
        <v>1395857490</v>
      </c>
      <c r="H95">
        <v>0</v>
      </c>
      <c r="I95" s="2043">
        <v>6556899</v>
      </c>
      <c r="J95">
        <v>244.27500000000001</v>
      </c>
      <c r="K95">
        <v>668</v>
      </c>
      <c r="L95">
        <v>342574</v>
      </c>
      <c r="M95">
        <v>2917003</v>
      </c>
      <c r="N95">
        <v>342574</v>
      </c>
      <c r="O95">
        <v>3259577</v>
      </c>
      <c r="P95">
        <v>0</v>
      </c>
      <c r="Q95">
        <v>0</v>
      </c>
      <c r="R95" s="2043">
        <v>12780346</v>
      </c>
      <c r="S95">
        <v>1119365</v>
      </c>
      <c r="T95">
        <v>552686</v>
      </c>
      <c r="U95">
        <v>0.08</v>
      </c>
      <c r="V95">
        <v>0</v>
      </c>
      <c r="W95">
        <v>0</v>
      </c>
      <c r="X95">
        <v>0</v>
      </c>
      <c r="Y95">
        <v>344038</v>
      </c>
      <c r="Z95">
        <v>0</v>
      </c>
      <c r="AA95">
        <v>0.192</v>
      </c>
      <c r="AB95">
        <v>5121.3829999999998</v>
      </c>
      <c r="AC95" s="2043">
        <v>1364605036</v>
      </c>
      <c r="AD95">
        <v>5823238</v>
      </c>
      <c r="AE95" s="2043">
        <v>14452397</v>
      </c>
      <c r="AF95">
        <v>1.0329000000000002</v>
      </c>
      <c r="AG95">
        <v>2490308</v>
      </c>
      <c r="AH95">
        <v>0</v>
      </c>
      <c r="AI95">
        <v>0</v>
      </c>
      <c r="AJ95">
        <v>1183.2250000000001</v>
      </c>
      <c r="AK95">
        <v>20467</v>
      </c>
      <c r="AL95">
        <v>1.629</v>
      </c>
      <c r="AM95">
        <v>0</v>
      </c>
      <c r="AN95">
        <v>361.76900000000001</v>
      </c>
      <c r="AO95">
        <v>0</v>
      </c>
      <c r="AP95">
        <v>4.9119999999999999</v>
      </c>
      <c r="AQ95">
        <v>15.473000000000001</v>
      </c>
      <c r="AR95">
        <v>55.804000000000002</v>
      </c>
      <c r="AS95">
        <v>0</v>
      </c>
      <c r="AT95">
        <v>53.224000000000004</v>
      </c>
      <c r="AU95">
        <v>12.773000000000001</v>
      </c>
      <c r="AV95">
        <v>0</v>
      </c>
      <c r="AW95">
        <v>143.815</v>
      </c>
      <c r="AX95">
        <v>0</v>
      </c>
      <c r="AY95">
        <v>412.35599999999999</v>
      </c>
      <c r="AZ95">
        <v>0</v>
      </c>
      <c r="BA95">
        <v>40716755</v>
      </c>
      <c r="BB95">
        <v>20275635</v>
      </c>
      <c r="BC95">
        <v>0</v>
      </c>
      <c r="BD95">
        <v>538684</v>
      </c>
      <c r="BE95">
        <v>181839</v>
      </c>
      <c r="BF95">
        <v>743150</v>
      </c>
      <c r="BG95">
        <v>538684</v>
      </c>
      <c r="BH95">
        <v>22627</v>
      </c>
      <c r="BI95">
        <v>0</v>
      </c>
      <c r="BJ95">
        <v>-1918</v>
      </c>
      <c r="BK95">
        <v>0</v>
      </c>
      <c r="BL95">
        <v>1395857490</v>
      </c>
      <c r="BM95">
        <v>0</v>
      </c>
      <c r="BN95">
        <v>18720</v>
      </c>
      <c r="BO95">
        <v>8303</v>
      </c>
      <c r="BP95">
        <v>0</v>
      </c>
      <c r="BQ95">
        <v>0</v>
      </c>
      <c r="BR95">
        <v>0.91339999999999999</v>
      </c>
      <c r="BS95">
        <v>0.91339999999999999</v>
      </c>
      <c r="BT95">
        <v>0</v>
      </c>
      <c r="BU95">
        <v>0</v>
      </c>
      <c r="BV95">
        <v>418</v>
      </c>
      <c r="BW95">
        <v>1455</v>
      </c>
      <c r="BX95">
        <v>968</v>
      </c>
      <c r="BY95">
        <v>1649</v>
      </c>
      <c r="BZ95">
        <v>250</v>
      </c>
      <c r="CA95">
        <v>4740</v>
      </c>
      <c r="CB95">
        <v>0</v>
      </c>
      <c r="CC95">
        <v>443.57800000000003</v>
      </c>
      <c r="CD95">
        <v>86.89200000000001</v>
      </c>
      <c r="CE95">
        <v>450</v>
      </c>
      <c r="CF95">
        <v>1423.6680000000001</v>
      </c>
      <c r="CG95">
        <v>0</v>
      </c>
      <c r="CH95">
        <v>19.786000000000001</v>
      </c>
      <c r="CI95">
        <v>35</v>
      </c>
      <c r="CJ95">
        <v>7</v>
      </c>
      <c r="CK95">
        <v>0</v>
      </c>
      <c r="CL95">
        <v>19.786000000000001</v>
      </c>
      <c r="CM95">
        <v>492.60200000000003</v>
      </c>
      <c r="CN95">
        <v>0</v>
      </c>
      <c r="CO95">
        <v>0</v>
      </c>
      <c r="CP95">
        <v>0</v>
      </c>
      <c r="CQ95">
        <v>0</v>
      </c>
      <c r="CR95">
        <v>0</v>
      </c>
      <c r="CS95">
        <v>0</v>
      </c>
      <c r="CT95">
        <v>0</v>
      </c>
      <c r="CU95">
        <v>0</v>
      </c>
      <c r="CV95">
        <v>227.98500000000001</v>
      </c>
      <c r="CW95">
        <v>118.77300000000001</v>
      </c>
      <c r="CX95">
        <v>0</v>
      </c>
      <c r="CY95" s="2043">
        <v>345956</v>
      </c>
      <c r="CZ95" s="2043">
        <v>2490308</v>
      </c>
      <c r="DA95" s="2043">
        <v>0</v>
      </c>
      <c r="DB95" s="2043">
        <v>0</v>
      </c>
      <c r="DC95" s="2043">
        <v>0</v>
      </c>
      <c r="DI95" t="s">
        <v>2886</v>
      </c>
      <c r="DJ95" t="s">
        <v>2886</v>
      </c>
      <c r="DK95" s="2042">
        <f t="shared" si="3"/>
        <v>0</v>
      </c>
    </row>
    <row r="96" spans="1:115">
      <c r="A96" t="s">
        <v>8502</v>
      </c>
      <c r="B96" t="s">
        <v>11258</v>
      </c>
      <c r="C96">
        <v>0</v>
      </c>
      <c r="D96">
        <v>0</v>
      </c>
      <c r="E96">
        <v>0</v>
      </c>
      <c r="F96">
        <v>0</v>
      </c>
      <c r="G96" s="2043">
        <v>0</v>
      </c>
      <c r="H96">
        <v>0</v>
      </c>
      <c r="I96" s="2043">
        <v>0</v>
      </c>
      <c r="J96">
        <v>0</v>
      </c>
      <c r="K96">
        <v>0</v>
      </c>
      <c r="L96">
        <v>0</v>
      </c>
      <c r="M96">
        <v>0</v>
      </c>
      <c r="N96">
        <v>0</v>
      </c>
      <c r="O96">
        <v>0</v>
      </c>
      <c r="P96">
        <v>0</v>
      </c>
      <c r="Q96">
        <v>0</v>
      </c>
      <c r="R96" s="2043">
        <v>0</v>
      </c>
      <c r="S96">
        <v>0</v>
      </c>
      <c r="T96">
        <v>0</v>
      </c>
      <c r="U96">
        <v>0</v>
      </c>
      <c r="V96">
        <v>0</v>
      </c>
      <c r="W96">
        <v>0</v>
      </c>
      <c r="X96">
        <v>0</v>
      </c>
      <c r="Y96">
        <v>422050</v>
      </c>
      <c r="Z96">
        <v>0</v>
      </c>
      <c r="AA96">
        <v>0</v>
      </c>
      <c r="AB96">
        <v>0</v>
      </c>
      <c r="AC96" s="2043">
        <v>0</v>
      </c>
      <c r="AD96">
        <v>0</v>
      </c>
      <c r="AE96" s="2043">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422050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s="2043">
        <v>0</v>
      </c>
      <c r="CZ96" s="2043">
        <v>0</v>
      </c>
      <c r="DA96" s="2043">
        <v>0</v>
      </c>
      <c r="DB96" s="2043">
        <v>0</v>
      </c>
      <c r="DC96" s="2043">
        <v>0</v>
      </c>
      <c r="DI96" t="s">
        <v>8502</v>
      </c>
      <c r="DJ96" t="s">
        <v>8502</v>
      </c>
      <c r="DK96" s="2042">
        <f t="shared" si="3"/>
        <v>0</v>
      </c>
    </row>
    <row r="97" spans="1:115">
      <c r="A97" t="s">
        <v>4935</v>
      </c>
      <c r="B97" t="s">
        <v>1139</v>
      </c>
      <c r="C97">
        <v>654.81799999999998</v>
      </c>
      <c r="D97">
        <v>606.96300000000008</v>
      </c>
      <c r="E97">
        <v>52.876000000000005</v>
      </c>
      <c r="F97">
        <v>0</v>
      </c>
      <c r="G97" s="2043">
        <v>1111793757</v>
      </c>
      <c r="H97">
        <v>0</v>
      </c>
      <c r="I97" s="2043">
        <v>2097175</v>
      </c>
      <c r="J97">
        <v>32.741</v>
      </c>
      <c r="K97">
        <v>90</v>
      </c>
      <c r="L97">
        <v>0</v>
      </c>
      <c r="M97">
        <v>0</v>
      </c>
      <c r="N97">
        <v>0</v>
      </c>
      <c r="O97">
        <v>0</v>
      </c>
      <c r="P97">
        <v>0</v>
      </c>
      <c r="Q97">
        <v>0</v>
      </c>
      <c r="R97" s="2043">
        <v>9291100</v>
      </c>
      <c r="S97">
        <v>565152</v>
      </c>
      <c r="T97">
        <v>0</v>
      </c>
      <c r="U97">
        <v>0.05</v>
      </c>
      <c r="V97">
        <v>0</v>
      </c>
      <c r="W97">
        <v>2209570</v>
      </c>
      <c r="X97">
        <v>0</v>
      </c>
      <c r="Y97">
        <v>0</v>
      </c>
      <c r="Z97">
        <v>0</v>
      </c>
      <c r="AA97">
        <v>0</v>
      </c>
      <c r="AB97">
        <v>584.78700000000003</v>
      </c>
      <c r="AC97" s="2043">
        <v>891870249</v>
      </c>
      <c r="AD97">
        <v>2186040</v>
      </c>
      <c r="AE97" s="2043">
        <v>9856252</v>
      </c>
      <c r="AF97">
        <v>0.872</v>
      </c>
      <c r="AG97">
        <v>0</v>
      </c>
      <c r="AH97">
        <v>2209570</v>
      </c>
      <c r="AI97">
        <v>0</v>
      </c>
      <c r="AJ97">
        <v>52.85</v>
      </c>
      <c r="AK97">
        <v>3228</v>
      </c>
      <c r="AL97">
        <v>0</v>
      </c>
      <c r="AM97">
        <v>0</v>
      </c>
      <c r="AN97">
        <v>27.365000000000002</v>
      </c>
      <c r="AO97">
        <v>0</v>
      </c>
      <c r="AP97">
        <v>0</v>
      </c>
      <c r="AQ97">
        <v>0</v>
      </c>
      <c r="AR97">
        <v>17.475999999999999</v>
      </c>
      <c r="AS97">
        <v>0</v>
      </c>
      <c r="AT97">
        <v>2.8930000000000002</v>
      </c>
      <c r="AU97">
        <v>1.7030000000000001</v>
      </c>
      <c r="AV97">
        <v>0</v>
      </c>
      <c r="AW97">
        <v>22.072000000000003</v>
      </c>
      <c r="AX97">
        <v>0</v>
      </c>
      <c r="AY97">
        <v>69.622</v>
      </c>
      <c r="AZ97">
        <v>0</v>
      </c>
      <c r="BA97">
        <v>327951</v>
      </c>
      <c r="BB97">
        <v>12042292</v>
      </c>
      <c r="BC97">
        <v>0</v>
      </c>
      <c r="BD97">
        <v>101880</v>
      </c>
      <c r="BE97">
        <v>10109</v>
      </c>
      <c r="BF97">
        <v>111989</v>
      </c>
      <c r="BG97">
        <v>101880</v>
      </c>
      <c r="BH97">
        <v>0</v>
      </c>
      <c r="BI97">
        <v>0</v>
      </c>
      <c r="BJ97">
        <v>0</v>
      </c>
      <c r="BK97">
        <v>0</v>
      </c>
      <c r="BL97">
        <v>1111793757</v>
      </c>
      <c r="BM97">
        <v>0</v>
      </c>
      <c r="BN97">
        <v>2556</v>
      </c>
      <c r="BO97">
        <v>1723</v>
      </c>
      <c r="BP97">
        <v>0</v>
      </c>
      <c r="BQ97">
        <v>0</v>
      </c>
      <c r="BR97">
        <v>0.82200000000000006</v>
      </c>
      <c r="BS97">
        <v>0.82200000000000006</v>
      </c>
      <c r="BT97">
        <v>0</v>
      </c>
      <c r="BU97">
        <v>0</v>
      </c>
      <c r="BV97">
        <v>72</v>
      </c>
      <c r="BW97">
        <v>0</v>
      </c>
      <c r="BX97">
        <v>140</v>
      </c>
      <c r="BY97">
        <v>0</v>
      </c>
      <c r="BZ97">
        <v>6</v>
      </c>
      <c r="CA97">
        <v>218</v>
      </c>
      <c r="CB97">
        <v>0</v>
      </c>
      <c r="CC97">
        <v>0</v>
      </c>
      <c r="CD97">
        <v>0</v>
      </c>
      <c r="CE97">
        <v>71</v>
      </c>
      <c r="CF97">
        <v>78.192999999999998</v>
      </c>
      <c r="CG97">
        <v>0</v>
      </c>
      <c r="CH97">
        <v>0</v>
      </c>
      <c r="CI97">
        <v>0</v>
      </c>
      <c r="CJ97">
        <v>13</v>
      </c>
      <c r="CK97">
        <v>0</v>
      </c>
      <c r="CL97">
        <v>0</v>
      </c>
      <c r="CM97">
        <v>52.876000000000005</v>
      </c>
      <c r="CN97">
        <v>0</v>
      </c>
      <c r="CO97">
        <v>0</v>
      </c>
      <c r="CP97">
        <v>0</v>
      </c>
      <c r="CQ97">
        <v>0</v>
      </c>
      <c r="CR97">
        <v>0</v>
      </c>
      <c r="CS97">
        <v>0</v>
      </c>
      <c r="CT97">
        <v>0</v>
      </c>
      <c r="CU97">
        <v>0</v>
      </c>
      <c r="CV97">
        <v>33.377000000000002</v>
      </c>
      <c r="CW97">
        <v>24.546000000000003</v>
      </c>
      <c r="CX97">
        <v>0</v>
      </c>
      <c r="CY97" s="2043">
        <v>0</v>
      </c>
      <c r="CZ97" s="2043">
        <v>0</v>
      </c>
      <c r="DA97" s="2043">
        <v>0</v>
      </c>
      <c r="DB97" s="2043">
        <v>0</v>
      </c>
      <c r="DC97" s="2043">
        <v>267250</v>
      </c>
      <c r="DI97" t="s">
        <v>4935</v>
      </c>
      <c r="DJ97" t="s">
        <v>4935</v>
      </c>
      <c r="DK97" s="2042">
        <f t="shared" si="3"/>
        <v>0</v>
      </c>
    </row>
    <row r="98" spans="1:115">
      <c r="A98" t="s">
        <v>2887</v>
      </c>
      <c r="B98" t="s">
        <v>827</v>
      </c>
      <c r="C98">
        <v>990.25900000000001</v>
      </c>
      <c r="D98">
        <v>951.99400000000003</v>
      </c>
      <c r="E98">
        <v>80.918000000000006</v>
      </c>
      <c r="F98">
        <v>0</v>
      </c>
      <c r="G98" s="2043">
        <v>1319575904</v>
      </c>
      <c r="H98">
        <v>0</v>
      </c>
      <c r="I98" s="2043">
        <v>1102644</v>
      </c>
      <c r="J98">
        <v>49.513000000000005</v>
      </c>
      <c r="K98">
        <v>135</v>
      </c>
      <c r="L98">
        <v>0</v>
      </c>
      <c r="M98">
        <v>0</v>
      </c>
      <c r="N98">
        <v>0</v>
      </c>
      <c r="O98">
        <v>0</v>
      </c>
      <c r="P98">
        <v>0</v>
      </c>
      <c r="Q98">
        <v>0</v>
      </c>
      <c r="R98" s="2043">
        <v>10808113</v>
      </c>
      <c r="S98">
        <v>788913</v>
      </c>
      <c r="T98">
        <v>0</v>
      </c>
      <c r="U98">
        <v>0.06</v>
      </c>
      <c r="V98">
        <v>0</v>
      </c>
      <c r="W98">
        <v>657346</v>
      </c>
      <c r="X98">
        <v>0</v>
      </c>
      <c r="Y98">
        <v>73246</v>
      </c>
      <c r="Z98">
        <v>0</v>
      </c>
      <c r="AA98">
        <v>0</v>
      </c>
      <c r="AB98">
        <v>964.9910000000001</v>
      </c>
      <c r="AC98" s="2043">
        <v>973910922</v>
      </c>
      <c r="AD98">
        <v>1456418</v>
      </c>
      <c r="AE98" s="2043">
        <v>11597026</v>
      </c>
      <c r="AF98">
        <v>0.88200000000000001</v>
      </c>
      <c r="AG98">
        <v>0</v>
      </c>
      <c r="AH98">
        <v>657346</v>
      </c>
      <c r="AI98">
        <v>0</v>
      </c>
      <c r="AJ98">
        <v>103.688</v>
      </c>
      <c r="AK98">
        <v>5345</v>
      </c>
      <c r="AL98">
        <v>0.13500000000000001</v>
      </c>
      <c r="AM98">
        <v>0</v>
      </c>
      <c r="AN98">
        <v>85.287000000000006</v>
      </c>
      <c r="AO98">
        <v>0</v>
      </c>
      <c r="AP98">
        <v>0</v>
      </c>
      <c r="AQ98">
        <v>0</v>
      </c>
      <c r="AR98">
        <v>19.385999999999999</v>
      </c>
      <c r="AS98">
        <v>0</v>
      </c>
      <c r="AT98">
        <v>4.1230000000000002</v>
      </c>
      <c r="AU98">
        <v>2.4740000000000002</v>
      </c>
      <c r="AV98">
        <v>0</v>
      </c>
      <c r="AW98">
        <v>26.118000000000002</v>
      </c>
      <c r="AX98">
        <v>0</v>
      </c>
      <c r="AY98">
        <v>83.572000000000003</v>
      </c>
      <c r="AZ98">
        <v>0</v>
      </c>
      <c r="BA98">
        <v>779125</v>
      </c>
      <c r="BB98">
        <v>13053444</v>
      </c>
      <c r="BC98">
        <v>0</v>
      </c>
      <c r="BD98">
        <v>110250</v>
      </c>
      <c r="BE98">
        <v>72608</v>
      </c>
      <c r="BF98">
        <v>182858</v>
      </c>
      <c r="BG98">
        <v>110250</v>
      </c>
      <c r="BH98">
        <v>0</v>
      </c>
      <c r="BI98">
        <v>0</v>
      </c>
      <c r="BJ98">
        <v>0</v>
      </c>
      <c r="BK98">
        <v>0</v>
      </c>
      <c r="BL98">
        <v>1319575904</v>
      </c>
      <c r="BM98">
        <v>0</v>
      </c>
      <c r="BN98">
        <v>4212</v>
      </c>
      <c r="BO98">
        <v>3413</v>
      </c>
      <c r="BP98">
        <v>0</v>
      </c>
      <c r="BQ98">
        <v>0</v>
      </c>
      <c r="BR98">
        <v>0.82200000000000006</v>
      </c>
      <c r="BS98">
        <v>0.82200000000000006</v>
      </c>
      <c r="BT98">
        <v>73246</v>
      </c>
      <c r="BU98">
        <v>0</v>
      </c>
      <c r="BV98">
        <v>292</v>
      </c>
      <c r="BW98">
        <v>5</v>
      </c>
      <c r="BX98">
        <v>145</v>
      </c>
      <c r="BY98">
        <v>0</v>
      </c>
      <c r="BZ98">
        <v>2</v>
      </c>
      <c r="CA98">
        <v>444</v>
      </c>
      <c r="CB98">
        <v>0</v>
      </c>
      <c r="CC98">
        <v>0</v>
      </c>
      <c r="CD98">
        <v>0</v>
      </c>
      <c r="CE98">
        <v>93</v>
      </c>
      <c r="CF98">
        <v>166.32500000000002</v>
      </c>
      <c r="CG98">
        <v>0</v>
      </c>
      <c r="CH98">
        <v>0</v>
      </c>
      <c r="CI98">
        <v>5</v>
      </c>
      <c r="CJ98">
        <v>13</v>
      </c>
      <c r="CK98">
        <v>0</v>
      </c>
      <c r="CL98">
        <v>0</v>
      </c>
      <c r="CM98">
        <v>80.918000000000006</v>
      </c>
      <c r="CN98">
        <v>0</v>
      </c>
      <c r="CO98">
        <v>0</v>
      </c>
      <c r="CP98">
        <v>0</v>
      </c>
      <c r="CQ98">
        <v>0</v>
      </c>
      <c r="CR98">
        <v>0</v>
      </c>
      <c r="CS98">
        <v>0</v>
      </c>
      <c r="CT98">
        <v>0</v>
      </c>
      <c r="CU98">
        <v>0.32300000000000001</v>
      </c>
      <c r="CV98">
        <v>66.244</v>
      </c>
      <c r="CW98">
        <v>45.798000000000002</v>
      </c>
      <c r="CX98">
        <v>73246</v>
      </c>
      <c r="CY98" s="2043">
        <v>0</v>
      </c>
      <c r="CZ98" s="2043">
        <v>0</v>
      </c>
      <c r="DA98" s="2043">
        <v>0</v>
      </c>
      <c r="DB98" s="2043">
        <v>0</v>
      </c>
      <c r="DC98" s="2043">
        <v>292786</v>
      </c>
      <c r="DI98" t="s">
        <v>2887</v>
      </c>
      <c r="DJ98" t="s">
        <v>2887</v>
      </c>
      <c r="DK98" s="2042">
        <f t="shared" si="3"/>
        <v>0</v>
      </c>
    </row>
    <row r="99" spans="1:115">
      <c r="A99" t="s">
        <v>4936</v>
      </c>
      <c r="B99" t="s">
        <v>1140</v>
      </c>
      <c r="C99">
        <v>225.39200000000002</v>
      </c>
      <c r="D99">
        <v>213.923</v>
      </c>
      <c r="E99">
        <v>2.0950000000000002</v>
      </c>
      <c r="F99">
        <v>255508</v>
      </c>
      <c r="G99" s="2043">
        <v>763465988</v>
      </c>
      <c r="H99">
        <v>0</v>
      </c>
      <c r="I99" s="2043">
        <v>1147875</v>
      </c>
      <c r="J99">
        <v>11.27</v>
      </c>
      <c r="K99">
        <v>31</v>
      </c>
      <c r="L99">
        <v>0</v>
      </c>
      <c r="M99">
        <v>0</v>
      </c>
      <c r="N99">
        <v>0</v>
      </c>
      <c r="O99">
        <v>0</v>
      </c>
      <c r="P99">
        <v>0</v>
      </c>
      <c r="Q99">
        <v>0</v>
      </c>
      <c r="R99" s="2043">
        <v>6759862</v>
      </c>
      <c r="S99">
        <v>370038</v>
      </c>
      <c r="T99">
        <v>0</v>
      </c>
      <c r="U99">
        <v>0.05</v>
      </c>
      <c r="V99">
        <v>0</v>
      </c>
      <c r="W99">
        <v>3899644</v>
      </c>
      <c r="X99">
        <v>0</v>
      </c>
      <c r="Y99">
        <v>1769923</v>
      </c>
      <c r="Z99">
        <v>5.8380000000000001</v>
      </c>
      <c r="AA99">
        <v>0</v>
      </c>
      <c r="AB99">
        <v>213.923</v>
      </c>
      <c r="AC99" s="2043">
        <v>557486702</v>
      </c>
      <c r="AD99">
        <v>3174230</v>
      </c>
      <c r="AE99" s="2043">
        <v>7129900</v>
      </c>
      <c r="AF99">
        <v>0.96340000000000003</v>
      </c>
      <c r="AG99">
        <v>0</v>
      </c>
      <c r="AH99">
        <v>3899644</v>
      </c>
      <c r="AI99">
        <v>0</v>
      </c>
      <c r="AJ99">
        <v>23.975000000000001</v>
      </c>
      <c r="AK99">
        <v>698</v>
      </c>
      <c r="AL99">
        <v>0</v>
      </c>
      <c r="AM99">
        <v>0</v>
      </c>
      <c r="AN99">
        <v>4.649</v>
      </c>
      <c r="AO99">
        <v>0</v>
      </c>
      <c r="AP99">
        <v>0</v>
      </c>
      <c r="AQ99">
        <v>0</v>
      </c>
      <c r="AR99">
        <v>3.8190000000000004</v>
      </c>
      <c r="AS99">
        <v>0</v>
      </c>
      <c r="AT99">
        <v>0</v>
      </c>
      <c r="AU99">
        <v>0.34800000000000003</v>
      </c>
      <c r="AV99">
        <v>0</v>
      </c>
      <c r="AW99">
        <v>4.1669999999999998</v>
      </c>
      <c r="AX99">
        <v>0</v>
      </c>
      <c r="AY99">
        <v>13.197000000000001</v>
      </c>
      <c r="AZ99">
        <v>0</v>
      </c>
      <c r="BA99">
        <v>1879700</v>
      </c>
      <c r="BB99">
        <v>10304130</v>
      </c>
      <c r="BC99">
        <v>0</v>
      </c>
      <c r="BD99">
        <v>102955</v>
      </c>
      <c r="BE99">
        <v>0</v>
      </c>
      <c r="BF99">
        <v>102955</v>
      </c>
      <c r="BG99">
        <v>102955</v>
      </c>
      <c r="BH99">
        <v>0</v>
      </c>
      <c r="BI99">
        <v>0</v>
      </c>
      <c r="BJ99">
        <v>0</v>
      </c>
      <c r="BK99">
        <v>0</v>
      </c>
      <c r="BL99">
        <v>763465988</v>
      </c>
      <c r="BM99">
        <v>0</v>
      </c>
      <c r="BN99">
        <v>639</v>
      </c>
      <c r="BO99">
        <v>803</v>
      </c>
      <c r="BP99">
        <v>0</v>
      </c>
      <c r="BQ99">
        <v>0</v>
      </c>
      <c r="BR99">
        <v>0.91339999999999999</v>
      </c>
      <c r="BS99">
        <v>0.91339999999999999</v>
      </c>
      <c r="BT99">
        <v>0</v>
      </c>
      <c r="BU99">
        <v>1514415</v>
      </c>
      <c r="BV99">
        <v>64</v>
      </c>
      <c r="BW99">
        <v>24</v>
      </c>
      <c r="BX99">
        <v>6</v>
      </c>
      <c r="BY99">
        <v>8</v>
      </c>
      <c r="BZ99">
        <v>1</v>
      </c>
      <c r="CA99">
        <v>103</v>
      </c>
      <c r="CB99">
        <v>0</v>
      </c>
      <c r="CC99">
        <v>0</v>
      </c>
      <c r="CD99">
        <v>0</v>
      </c>
      <c r="CE99">
        <v>8</v>
      </c>
      <c r="CF99">
        <v>40.369999999999997</v>
      </c>
      <c r="CG99">
        <v>0</v>
      </c>
      <c r="CH99">
        <v>0</v>
      </c>
      <c r="CI99">
        <v>2</v>
      </c>
      <c r="CJ99">
        <v>2</v>
      </c>
      <c r="CK99">
        <v>0</v>
      </c>
      <c r="CL99">
        <v>0</v>
      </c>
      <c r="CM99">
        <v>2.0950000000000002</v>
      </c>
      <c r="CN99">
        <v>0</v>
      </c>
      <c r="CO99">
        <v>0</v>
      </c>
      <c r="CP99">
        <v>0</v>
      </c>
      <c r="CQ99">
        <v>0</v>
      </c>
      <c r="CR99">
        <v>0</v>
      </c>
      <c r="CS99">
        <v>0</v>
      </c>
      <c r="CT99">
        <v>0</v>
      </c>
      <c r="CU99">
        <v>2.552</v>
      </c>
      <c r="CV99">
        <v>17.445</v>
      </c>
      <c r="CW99">
        <v>8.6129999999999995</v>
      </c>
      <c r="CX99">
        <v>0</v>
      </c>
      <c r="CY99" s="2043">
        <v>0</v>
      </c>
      <c r="CZ99" s="2043">
        <v>0</v>
      </c>
      <c r="DA99" s="2043">
        <v>0</v>
      </c>
      <c r="DB99" s="2043">
        <v>255508</v>
      </c>
      <c r="DC99" s="2043">
        <v>199719</v>
      </c>
      <c r="DI99" t="s">
        <v>4936</v>
      </c>
      <c r="DJ99" t="s">
        <v>4936</v>
      </c>
      <c r="DK99" s="2042">
        <f t="shared" si="3"/>
        <v>0</v>
      </c>
    </row>
    <row r="100" spans="1:115">
      <c r="A100" t="s">
        <v>2888</v>
      </c>
      <c r="B100" t="s">
        <v>540</v>
      </c>
      <c r="C100">
        <v>961.601</v>
      </c>
      <c r="D100">
        <v>984.34500000000003</v>
      </c>
      <c r="E100">
        <v>76.40100000000001</v>
      </c>
      <c r="F100">
        <v>0</v>
      </c>
      <c r="G100" s="2043">
        <v>750601361</v>
      </c>
      <c r="H100">
        <v>0</v>
      </c>
      <c r="I100" s="2043">
        <v>1587256</v>
      </c>
      <c r="J100">
        <v>46</v>
      </c>
      <c r="K100">
        <v>126</v>
      </c>
      <c r="L100">
        <v>0</v>
      </c>
      <c r="M100">
        <v>0</v>
      </c>
      <c r="N100">
        <v>0</v>
      </c>
      <c r="O100">
        <v>0</v>
      </c>
      <c r="P100">
        <v>0</v>
      </c>
      <c r="Q100">
        <v>0</v>
      </c>
      <c r="R100" s="2043">
        <v>6065096</v>
      </c>
      <c r="S100">
        <v>368923</v>
      </c>
      <c r="T100">
        <v>0</v>
      </c>
      <c r="U100">
        <v>0.05</v>
      </c>
      <c r="V100">
        <v>0</v>
      </c>
      <c r="W100">
        <v>0</v>
      </c>
      <c r="X100">
        <v>0</v>
      </c>
      <c r="Y100">
        <v>0</v>
      </c>
      <c r="Z100">
        <v>0</v>
      </c>
      <c r="AA100">
        <v>0</v>
      </c>
      <c r="AB100">
        <v>960.40899999999999</v>
      </c>
      <c r="AC100" s="2043">
        <v>597404306</v>
      </c>
      <c r="AD100">
        <v>1806589</v>
      </c>
      <c r="AE100" s="2043">
        <v>6434019</v>
      </c>
      <c r="AF100">
        <v>0.872</v>
      </c>
      <c r="AG100">
        <v>0</v>
      </c>
      <c r="AH100">
        <v>0</v>
      </c>
      <c r="AI100">
        <v>0</v>
      </c>
      <c r="AJ100">
        <v>155.47499999999999</v>
      </c>
      <c r="AK100">
        <v>6516</v>
      </c>
      <c r="AL100">
        <v>0.31900000000000001</v>
      </c>
      <c r="AM100">
        <v>0</v>
      </c>
      <c r="AN100">
        <v>51.701000000000001</v>
      </c>
      <c r="AO100">
        <v>0</v>
      </c>
      <c r="AP100">
        <v>0</v>
      </c>
      <c r="AQ100">
        <v>0</v>
      </c>
      <c r="AR100">
        <v>31.593</v>
      </c>
      <c r="AS100">
        <v>0</v>
      </c>
      <c r="AT100">
        <v>16.427</v>
      </c>
      <c r="AU100">
        <v>2.9980000000000002</v>
      </c>
      <c r="AV100">
        <v>0</v>
      </c>
      <c r="AW100">
        <v>51.337000000000003</v>
      </c>
      <c r="AX100">
        <v>0</v>
      </c>
      <c r="AY100">
        <v>160.64500000000001</v>
      </c>
      <c r="AZ100">
        <v>0</v>
      </c>
      <c r="BA100">
        <v>4930022</v>
      </c>
      <c r="BB100">
        <v>8240608</v>
      </c>
      <c r="BC100">
        <v>0</v>
      </c>
      <c r="BD100">
        <v>83067</v>
      </c>
      <c r="BE100">
        <v>15806</v>
      </c>
      <c r="BF100">
        <v>98873</v>
      </c>
      <c r="BG100">
        <v>83067</v>
      </c>
      <c r="BH100">
        <v>0</v>
      </c>
      <c r="BI100">
        <v>0</v>
      </c>
      <c r="BJ100">
        <v>0</v>
      </c>
      <c r="BK100">
        <v>0</v>
      </c>
      <c r="BL100">
        <v>750601361</v>
      </c>
      <c r="BM100">
        <v>0</v>
      </c>
      <c r="BN100">
        <v>3168</v>
      </c>
      <c r="BO100">
        <v>2097</v>
      </c>
      <c r="BP100">
        <v>0</v>
      </c>
      <c r="BQ100">
        <v>0</v>
      </c>
      <c r="BR100">
        <v>0.82200000000000006</v>
      </c>
      <c r="BS100">
        <v>0.82200000000000006</v>
      </c>
      <c r="BT100">
        <v>0</v>
      </c>
      <c r="BU100">
        <v>0</v>
      </c>
      <c r="BV100">
        <v>120</v>
      </c>
      <c r="BW100">
        <v>100</v>
      </c>
      <c r="BX100">
        <v>375</v>
      </c>
      <c r="BY100">
        <v>2</v>
      </c>
      <c r="BZ100">
        <v>38</v>
      </c>
      <c r="CA100">
        <v>635</v>
      </c>
      <c r="CB100">
        <v>0</v>
      </c>
      <c r="CC100">
        <v>0</v>
      </c>
      <c r="CD100">
        <v>0</v>
      </c>
      <c r="CE100">
        <v>72</v>
      </c>
      <c r="CF100">
        <v>185.011</v>
      </c>
      <c r="CG100">
        <v>0</v>
      </c>
      <c r="CH100">
        <v>0</v>
      </c>
      <c r="CI100">
        <v>1</v>
      </c>
      <c r="CJ100">
        <v>10</v>
      </c>
      <c r="CK100">
        <v>0</v>
      </c>
      <c r="CL100">
        <v>0</v>
      </c>
      <c r="CM100">
        <v>76.40100000000001</v>
      </c>
      <c r="CN100">
        <v>0</v>
      </c>
      <c r="CO100">
        <v>0</v>
      </c>
      <c r="CP100">
        <v>0</v>
      </c>
      <c r="CQ100">
        <v>0</v>
      </c>
      <c r="CR100">
        <v>0</v>
      </c>
      <c r="CS100">
        <v>0</v>
      </c>
      <c r="CT100">
        <v>0</v>
      </c>
      <c r="CU100">
        <v>0</v>
      </c>
      <c r="CV100">
        <v>54.054000000000002</v>
      </c>
      <c r="CW100">
        <v>24.087</v>
      </c>
      <c r="CX100">
        <v>0</v>
      </c>
      <c r="CY100" s="2043">
        <v>0</v>
      </c>
      <c r="CZ100" s="2043">
        <v>0</v>
      </c>
      <c r="DA100" s="2043">
        <v>0</v>
      </c>
      <c r="DB100" s="2043">
        <v>0</v>
      </c>
      <c r="DC100" s="2043">
        <v>0</v>
      </c>
      <c r="DI100" t="s">
        <v>2888</v>
      </c>
      <c r="DJ100" t="s">
        <v>2888</v>
      </c>
      <c r="DK100" s="2042">
        <f t="shared" si="3"/>
        <v>0</v>
      </c>
    </row>
    <row r="101" spans="1:115">
      <c r="A101" t="s">
        <v>2889</v>
      </c>
      <c r="B101" t="s">
        <v>1141</v>
      </c>
      <c r="C101">
        <v>365.93299999999999</v>
      </c>
      <c r="D101">
        <v>388.12400000000002</v>
      </c>
      <c r="E101">
        <v>14.012</v>
      </c>
      <c r="F101">
        <v>0</v>
      </c>
      <c r="G101" s="2043">
        <v>279594739</v>
      </c>
      <c r="H101">
        <v>0</v>
      </c>
      <c r="I101" s="2043">
        <v>474012</v>
      </c>
      <c r="J101">
        <v>18.297000000000001</v>
      </c>
      <c r="K101">
        <v>50</v>
      </c>
      <c r="L101">
        <v>0</v>
      </c>
      <c r="M101">
        <v>125707</v>
      </c>
      <c r="N101">
        <v>0</v>
      </c>
      <c r="O101">
        <v>125707</v>
      </c>
      <c r="P101">
        <v>0</v>
      </c>
      <c r="Q101">
        <v>0</v>
      </c>
      <c r="R101" s="2043">
        <v>2234064</v>
      </c>
      <c r="S101">
        <v>135892</v>
      </c>
      <c r="T101">
        <v>0</v>
      </c>
      <c r="U101">
        <v>0.05</v>
      </c>
      <c r="V101">
        <v>0</v>
      </c>
      <c r="W101">
        <v>0</v>
      </c>
      <c r="X101">
        <v>0</v>
      </c>
      <c r="Y101">
        <v>0</v>
      </c>
      <c r="Z101">
        <v>0</v>
      </c>
      <c r="AA101">
        <v>0</v>
      </c>
      <c r="AB101">
        <v>388.12400000000002</v>
      </c>
      <c r="AC101" s="2043">
        <v>191500203</v>
      </c>
      <c r="AD101">
        <v>479484</v>
      </c>
      <c r="AE101" s="2043">
        <v>2369956</v>
      </c>
      <c r="AF101">
        <v>0.872</v>
      </c>
      <c r="AG101">
        <v>0</v>
      </c>
      <c r="AH101">
        <v>0</v>
      </c>
      <c r="AI101">
        <v>0</v>
      </c>
      <c r="AJ101">
        <v>62.825000000000003</v>
      </c>
      <c r="AK101">
        <v>2510</v>
      </c>
      <c r="AL101">
        <v>0</v>
      </c>
      <c r="AM101">
        <v>0</v>
      </c>
      <c r="AN101">
        <v>9.9340000000000011</v>
      </c>
      <c r="AO101">
        <v>0</v>
      </c>
      <c r="AP101">
        <v>0</v>
      </c>
      <c r="AQ101">
        <v>0</v>
      </c>
      <c r="AR101">
        <v>15.104000000000001</v>
      </c>
      <c r="AS101">
        <v>0</v>
      </c>
      <c r="AT101">
        <v>3.7130000000000001</v>
      </c>
      <c r="AU101">
        <v>1.0820000000000001</v>
      </c>
      <c r="AV101">
        <v>0</v>
      </c>
      <c r="AW101">
        <v>19.899000000000001</v>
      </c>
      <c r="AX101">
        <v>0</v>
      </c>
      <c r="AY101">
        <v>61.861000000000004</v>
      </c>
      <c r="AZ101">
        <v>0</v>
      </c>
      <c r="BA101">
        <v>2470012</v>
      </c>
      <c r="BB101">
        <v>2849440</v>
      </c>
      <c r="BC101">
        <v>0</v>
      </c>
      <c r="BD101">
        <v>37254</v>
      </c>
      <c r="BE101">
        <v>3030</v>
      </c>
      <c r="BF101">
        <v>40284</v>
      </c>
      <c r="BG101">
        <v>37254</v>
      </c>
      <c r="BH101">
        <v>0</v>
      </c>
      <c r="BI101">
        <v>0</v>
      </c>
      <c r="BJ101">
        <v>0</v>
      </c>
      <c r="BK101">
        <v>0</v>
      </c>
      <c r="BL101">
        <v>279594739</v>
      </c>
      <c r="BM101">
        <v>0</v>
      </c>
      <c r="BN101">
        <v>1611</v>
      </c>
      <c r="BO101">
        <v>1038</v>
      </c>
      <c r="BP101">
        <v>0</v>
      </c>
      <c r="BQ101">
        <v>0</v>
      </c>
      <c r="BR101">
        <v>0.82200000000000006</v>
      </c>
      <c r="BS101">
        <v>0.82200000000000006</v>
      </c>
      <c r="BT101">
        <v>0</v>
      </c>
      <c r="BU101">
        <v>0</v>
      </c>
      <c r="BV101">
        <v>31</v>
      </c>
      <c r="BW101">
        <v>27</v>
      </c>
      <c r="BX101">
        <v>7</v>
      </c>
      <c r="BY101">
        <v>167</v>
      </c>
      <c r="BZ101">
        <v>14</v>
      </c>
      <c r="CA101">
        <v>246</v>
      </c>
      <c r="CB101">
        <v>0</v>
      </c>
      <c r="CC101">
        <v>0</v>
      </c>
      <c r="CD101">
        <v>0</v>
      </c>
      <c r="CE101">
        <v>41</v>
      </c>
      <c r="CF101">
        <v>73.820000000000007</v>
      </c>
      <c r="CG101">
        <v>0</v>
      </c>
      <c r="CH101">
        <v>0</v>
      </c>
      <c r="CI101">
        <v>1</v>
      </c>
      <c r="CJ101">
        <v>4</v>
      </c>
      <c r="CK101">
        <v>0</v>
      </c>
      <c r="CL101">
        <v>0</v>
      </c>
      <c r="CM101">
        <v>14.012</v>
      </c>
      <c r="CN101">
        <v>0</v>
      </c>
      <c r="CO101">
        <v>0</v>
      </c>
      <c r="CP101">
        <v>0</v>
      </c>
      <c r="CQ101">
        <v>0</v>
      </c>
      <c r="CR101">
        <v>0</v>
      </c>
      <c r="CS101">
        <v>0</v>
      </c>
      <c r="CT101">
        <v>0</v>
      </c>
      <c r="CU101">
        <v>0</v>
      </c>
      <c r="CV101">
        <v>10.625</v>
      </c>
      <c r="CW101">
        <v>16.837</v>
      </c>
      <c r="CX101">
        <v>0</v>
      </c>
      <c r="CY101" s="2043">
        <v>0</v>
      </c>
      <c r="CZ101" s="2043">
        <v>0</v>
      </c>
      <c r="DA101" s="2043">
        <v>0</v>
      </c>
      <c r="DB101" s="2043">
        <v>0</v>
      </c>
      <c r="DC101" s="2043">
        <v>0</v>
      </c>
      <c r="DI101" t="s">
        <v>2889</v>
      </c>
      <c r="DJ101" t="s">
        <v>2889</v>
      </c>
      <c r="DK101" s="2042">
        <f t="shared" si="3"/>
        <v>0</v>
      </c>
    </row>
    <row r="102" spans="1:115">
      <c r="A102" t="s">
        <v>5753</v>
      </c>
      <c r="B102" t="s">
        <v>1048</v>
      </c>
      <c r="C102">
        <v>129.596</v>
      </c>
      <c r="D102">
        <v>125.262</v>
      </c>
      <c r="E102">
        <v>16.991</v>
      </c>
      <c r="F102">
        <v>0</v>
      </c>
      <c r="G102" s="2043">
        <v>96732086</v>
      </c>
      <c r="H102">
        <v>0</v>
      </c>
      <c r="I102" s="2043">
        <v>0</v>
      </c>
      <c r="J102">
        <v>3</v>
      </c>
      <c r="K102">
        <v>8</v>
      </c>
      <c r="L102">
        <v>0</v>
      </c>
      <c r="M102">
        <v>0</v>
      </c>
      <c r="N102">
        <v>0</v>
      </c>
      <c r="O102">
        <v>0</v>
      </c>
      <c r="P102">
        <v>0</v>
      </c>
      <c r="Q102">
        <v>0</v>
      </c>
      <c r="R102" s="2043">
        <v>786777</v>
      </c>
      <c r="S102">
        <v>47858</v>
      </c>
      <c r="T102">
        <v>0</v>
      </c>
      <c r="U102">
        <v>0.05</v>
      </c>
      <c r="V102">
        <v>0</v>
      </c>
      <c r="W102">
        <v>0</v>
      </c>
      <c r="X102">
        <v>0</v>
      </c>
      <c r="Y102">
        <v>0</v>
      </c>
      <c r="Z102">
        <v>0</v>
      </c>
      <c r="AA102">
        <v>0.124</v>
      </c>
      <c r="AB102">
        <v>125.262</v>
      </c>
      <c r="AC102" s="2043">
        <v>66435514</v>
      </c>
      <c r="AD102">
        <v>0</v>
      </c>
      <c r="AE102" s="2043">
        <v>834635</v>
      </c>
      <c r="AF102">
        <v>0.872</v>
      </c>
      <c r="AG102">
        <v>0</v>
      </c>
      <c r="AH102">
        <v>0</v>
      </c>
      <c r="AI102">
        <v>0</v>
      </c>
      <c r="AJ102">
        <v>23.875</v>
      </c>
      <c r="AK102">
        <v>944</v>
      </c>
      <c r="AL102">
        <v>0</v>
      </c>
      <c r="AM102">
        <v>0</v>
      </c>
      <c r="AN102">
        <v>0.88300000000000001</v>
      </c>
      <c r="AO102">
        <v>0</v>
      </c>
      <c r="AP102">
        <v>0.58600000000000008</v>
      </c>
      <c r="AQ102">
        <v>0</v>
      </c>
      <c r="AR102">
        <v>7.0010000000000003</v>
      </c>
      <c r="AS102">
        <v>0</v>
      </c>
      <c r="AT102">
        <v>0.14100000000000001</v>
      </c>
      <c r="AU102">
        <v>0.44400000000000001</v>
      </c>
      <c r="AV102">
        <v>0</v>
      </c>
      <c r="AW102">
        <v>8.1720000000000006</v>
      </c>
      <c r="AX102">
        <v>0</v>
      </c>
      <c r="AY102">
        <v>25.228000000000002</v>
      </c>
      <c r="AZ102">
        <v>0</v>
      </c>
      <c r="BA102">
        <v>1140482</v>
      </c>
      <c r="BB102">
        <v>834635</v>
      </c>
      <c r="BC102">
        <v>0</v>
      </c>
      <c r="BD102">
        <v>12656</v>
      </c>
      <c r="BE102">
        <v>6691</v>
      </c>
      <c r="BF102">
        <v>19347</v>
      </c>
      <c r="BG102">
        <v>12656</v>
      </c>
      <c r="BH102">
        <v>0</v>
      </c>
      <c r="BI102">
        <v>0</v>
      </c>
      <c r="BJ102">
        <v>0</v>
      </c>
      <c r="BK102">
        <v>0</v>
      </c>
      <c r="BL102">
        <v>96732086</v>
      </c>
      <c r="BM102">
        <v>0</v>
      </c>
      <c r="BN102">
        <v>459</v>
      </c>
      <c r="BO102">
        <v>342</v>
      </c>
      <c r="BP102">
        <v>0</v>
      </c>
      <c r="BQ102">
        <v>0</v>
      </c>
      <c r="BR102">
        <v>0.82200000000000006</v>
      </c>
      <c r="BS102">
        <v>0.82200000000000006</v>
      </c>
      <c r="BT102">
        <v>0</v>
      </c>
      <c r="BU102">
        <v>0</v>
      </c>
      <c r="BV102">
        <v>7</v>
      </c>
      <c r="BW102">
        <v>16</v>
      </c>
      <c r="BX102">
        <v>74</v>
      </c>
      <c r="BY102">
        <v>0</v>
      </c>
      <c r="BZ102">
        <v>0</v>
      </c>
      <c r="CA102">
        <v>97</v>
      </c>
      <c r="CB102">
        <v>0</v>
      </c>
      <c r="CC102">
        <v>0</v>
      </c>
      <c r="CD102">
        <v>0</v>
      </c>
      <c r="CE102">
        <v>18</v>
      </c>
      <c r="CF102">
        <v>37.315000000000005</v>
      </c>
      <c r="CG102">
        <v>0</v>
      </c>
      <c r="CH102">
        <v>0</v>
      </c>
      <c r="CI102">
        <v>1</v>
      </c>
      <c r="CJ102">
        <v>0</v>
      </c>
      <c r="CK102">
        <v>0</v>
      </c>
      <c r="CL102">
        <v>0</v>
      </c>
      <c r="CM102">
        <v>16.991</v>
      </c>
      <c r="CN102">
        <v>0</v>
      </c>
      <c r="CO102">
        <v>0</v>
      </c>
      <c r="CP102">
        <v>0</v>
      </c>
      <c r="CQ102">
        <v>0</v>
      </c>
      <c r="CR102">
        <v>0</v>
      </c>
      <c r="CS102">
        <v>0</v>
      </c>
      <c r="CT102">
        <v>0</v>
      </c>
      <c r="CU102">
        <v>0</v>
      </c>
      <c r="CV102">
        <v>4.9089999999999998</v>
      </c>
      <c r="CW102">
        <v>1.5</v>
      </c>
      <c r="CX102">
        <v>0</v>
      </c>
      <c r="CY102" s="2043">
        <v>0</v>
      </c>
      <c r="CZ102" s="2043">
        <v>0</v>
      </c>
      <c r="DA102" s="2043">
        <v>0</v>
      </c>
      <c r="DB102" s="2043">
        <v>0</v>
      </c>
      <c r="DC102" s="2043">
        <v>0</v>
      </c>
      <c r="DI102" t="s">
        <v>5753</v>
      </c>
      <c r="DJ102" t="s">
        <v>5753</v>
      </c>
      <c r="DK102" s="2042">
        <f t="shared" si="3"/>
        <v>0</v>
      </c>
    </row>
    <row r="103" spans="1:115">
      <c r="A103" t="s">
        <v>2890</v>
      </c>
      <c r="B103" t="s">
        <v>1049</v>
      </c>
      <c r="C103">
        <v>590.59900000000005</v>
      </c>
      <c r="D103">
        <v>576.98400000000004</v>
      </c>
      <c r="E103">
        <v>40.654000000000003</v>
      </c>
      <c r="F103">
        <v>0</v>
      </c>
      <c r="G103" s="2043">
        <v>307642521</v>
      </c>
      <c r="H103">
        <v>0</v>
      </c>
      <c r="I103" s="2043">
        <v>887737</v>
      </c>
      <c r="J103">
        <v>28</v>
      </c>
      <c r="K103">
        <v>77</v>
      </c>
      <c r="L103">
        <v>0</v>
      </c>
      <c r="M103">
        <v>161705</v>
      </c>
      <c r="N103">
        <v>0</v>
      </c>
      <c r="O103">
        <v>161705</v>
      </c>
      <c r="P103">
        <v>0</v>
      </c>
      <c r="Q103">
        <v>0</v>
      </c>
      <c r="R103" s="2043">
        <v>2502331</v>
      </c>
      <c r="S103">
        <v>152210</v>
      </c>
      <c r="T103">
        <v>0</v>
      </c>
      <c r="U103">
        <v>0.05</v>
      </c>
      <c r="V103">
        <v>0</v>
      </c>
      <c r="W103">
        <v>0</v>
      </c>
      <c r="X103">
        <v>0</v>
      </c>
      <c r="Y103">
        <v>0</v>
      </c>
      <c r="Z103">
        <v>0</v>
      </c>
      <c r="AA103">
        <v>0</v>
      </c>
      <c r="AB103">
        <v>565.12599999999998</v>
      </c>
      <c r="AC103" s="2043">
        <v>239880552</v>
      </c>
      <c r="AD103">
        <v>906940</v>
      </c>
      <c r="AE103" s="2043">
        <v>2654541</v>
      </c>
      <c r="AF103">
        <v>0.872</v>
      </c>
      <c r="AG103">
        <v>0</v>
      </c>
      <c r="AH103">
        <v>0</v>
      </c>
      <c r="AI103">
        <v>0</v>
      </c>
      <c r="AJ103">
        <v>73.537999999999997</v>
      </c>
      <c r="AK103">
        <v>3235</v>
      </c>
      <c r="AL103">
        <v>0</v>
      </c>
      <c r="AM103">
        <v>0</v>
      </c>
      <c r="AN103">
        <v>23.073</v>
      </c>
      <c r="AO103">
        <v>0</v>
      </c>
      <c r="AP103">
        <v>3.109</v>
      </c>
      <c r="AQ103">
        <v>0</v>
      </c>
      <c r="AR103">
        <v>16.934000000000001</v>
      </c>
      <c r="AS103">
        <v>0</v>
      </c>
      <c r="AT103">
        <v>0.438</v>
      </c>
      <c r="AU103">
        <v>1.522</v>
      </c>
      <c r="AV103">
        <v>0</v>
      </c>
      <c r="AW103">
        <v>24.263000000000002</v>
      </c>
      <c r="AX103">
        <v>2.2600000000000002</v>
      </c>
      <c r="AY103">
        <v>73.317999999999998</v>
      </c>
      <c r="AZ103">
        <v>0</v>
      </c>
      <c r="BA103">
        <v>4592172</v>
      </c>
      <c r="BB103">
        <v>3561481</v>
      </c>
      <c r="BC103">
        <v>0</v>
      </c>
      <c r="BD103">
        <v>49224</v>
      </c>
      <c r="BE103">
        <v>37632</v>
      </c>
      <c r="BF103">
        <v>86856</v>
      </c>
      <c r="BG103">
        <v>49224</v>
      </c>
      <c r="BH103">
        <v>0</v>
      </c>
      <c r="BI103">
        <v>0</v>
      </c>
      <c r="BJ103">
        <v>0</v>
      </c>
      <c r="BK103">
        <v>0</v>
      </c>
      <c r="BL103">
        <v>307642521</v>
      </c>
      <c r="BM103">
        <v>0</v>
      </c>
      <c r="BN103">
        <v>2007</v>
      </c>
      <c r="BO103">
        <v>1263</v>
      </c>
      <c r="BP103">
        <v>0</v>
      </c>
      <c r="BQ103">
        <v>0</v>
      </c>
      <c r="BR103">
        <v>0.82200000000000006</v>
      </c>
      <c r="BS103">
        <v>0.82200000000000006</v>
      </c>
      <c r="BT103">
        <v>0</v>
      </c>
      <c r="BU103">
        <v>0</v>
      </c>
      <c r="BV103">
        <v>178</v>
      </c>
      <c r="BW103">
        <v>3</v>
      </c>
      <c r="BX103">
        <v>129</v>
      </c>
      <c r="BY103">
        <v>2</v>
      </c>
      <c r="BZ103">
        <v>0</v>
      </c>
      <c r="CA103">
        <v>312</v>
      </c>
      <c r="CB103">
        <v>0</v>
      </c>
      <c r="CC103">
        <v>0</v>
      </c>
      <c r="CD103">
        <v>0</v>
      </c>
      <c r="CE103">
        <v>45</v>
      </c>
      <c r="CF103">
        <v>120.36200000000001</v>
      </c>
      <c r="CG103">
        <v>0</v>
      </c>
      <c r="CH103">
        <v>0</v>
      </c>
      <c r="CI103">
        <v>0</v>
      </c>
      <c r="CJ103">
        <v>1</v>
      </c>
      <c r="CK103">
        <v>0</v>
      </c>
      <c r="CL103">
        <v>0</v>
      </c>
      <c r="CM103">
        <v>40.654000000000003</v>
      </c>
      <c r="CN103">
        <v>0</v>
      </c>
      <c r="CO103">
        <v>0</v>
      </c>
      <c r="CP103">
        <v>0</v>
      </c>
      <c r="CQ103">
        <v>0</v>
      </c>
      <c r="CR103">
        <v>0</v>
      </c>
      <c r="CS103">
        <v>0</v>
      </c>
      <c r="CT103">
        <v>0</v>
      </c>
      <c r="CU103">
        <v>0</v>
      </c>
      <c r="CV103">
        <v>22.227</v>
      </c>
      <c r="CW103">
        <v>20.038</v>
      </c>
      <c r="CX103">
        <v>0</v>
      </c>
      <c r="CY103" s="2043">
        <v>0</v>
      </c>
      <c r="CZ103" s="2043">
        <v>0</v>
      </c>
      <c r="DA103" s="2043">
        <v>0</v>
      </c>
      <c r="DB103" s="2043">
        <v>0</v>
      </c>
      <c r="DC103" s="2043">
        <v>0</v>
      </c>
      <c r="DI103" t="s">
        <v>2890</v>
      </c>
      <c r="DJ103" t="s">
        <v>2890</v>
      </c>
      <c r="DK103" s="2042">
        <f t="shared" si="3"/>
        <v>0</v>
      </c>
    </row>
    <row r="104" spans="1:115">
      <c r="A104" t="s">
        <v>3522</v>
      </c>
      <c r="B104" t="s">
        <v>1794</v>
      </c>
      <c r="C104">
        <v>155.75900000000001</v>
      </c>
      <c r="D104">
        <v>182.357</v>
      </c>
      <c r="E104">
        <v>46.466000000000001</v>
      </c>
      <c r="F104">
        <v>0</v>
      </c>
      <c r="G104" s="2043">
        <v>139072926</v>
      </c>
      <c r="H104">
        <v>0</v>
      </c>
      <c r="I104" s="2043">
        <v>0</v>
      </c>
      <c r="J104">
        <v>1</v>
      </c>
      <c r="K104">
        <v>3</v>
      </c>
      <c r="L104">
        <v>0</v>
      </c>
      <c r="M104">
        <v>0</v>
      </c>
      <c r="N104">
        <v>0</v>
      </c>
      <c r="O104">
        <v>0</v>
      </c>
      <c r="P104">
        <v>0</v>
      </c>
      <c r="Q104">
        <v>0</v>
      </c>
      <c r="R104" s="2043">
        <v>1125898</v>
      </c>
      <c r="S104">
        <v>68261</v>
      </c>
      <c r="T104">
        <v>0</v>
      </c>
      <c r="U104">
        <v>0.05</v>
      </c>
      <c r="V104">
        <v>0</v>
      </c>
      <c r="W104">
        <v>0</v>
      </c>
      <c r="X104">
        <v>0</v>
      </c>
      <c r="Y104">
        <v>0</v>
      </c>
      <c r="Z104">
        <v>0</v>
      </c>
      <c r="AA104">
        <v>0</v>
      </c>
      <c r="AB104">
        <v>116.86</v>
      </c>
      <c r="AC104" s="2043">
        <v>110634416</v>
      </c>
      <c r="AD104">
        <v>0</v>
      </c>
      <c r="AE104" s="2043">
        <v>1194159</v>
      </c>
      <c r="AF104">
        <v>0.87470000000000003</v>
      </c>
      <c r="AG104">
        <v>0</v>
      </c>
      <c r="AH104">
        <v>0</v>
      </c>
      <c r="AI104">
        <v>0</v>
      </c>
      <c r="AJ104">
        <v>39.825000000000003</v>
      </c>
      <c r="AK104">
        <v>1279</v>
      </c>
      <c r="AL104">
        <v>0</v>
      </c>
      <c r="AM104">
        <v>0</v>
      </c>
      <c r="AN104">
        <v>3.8860000000000001</v>
      </c>
      <c r="AO104">
        <v>0</v>
      </c>
      <c r="AP104">
        <v>1.224</v>
      </c>
      <c r="AQ104">
        <v>0</v>
      </c>
      <c r="AR104">
        <v>8.548</v>
      </c>
      <c r="AS104">
        <v>0</v>
      </c>
      <c r="AT104">
        <v>0.19900000000000001</v>
      </c>
      <c r="AU104">
        <v>0.313</v>
      </c>
      <c r="AV104">
        <v>0</v>
      </c>
      <c r="AW104">
        <v>10.284000000000001</v>
      </c>
      <c r="AX104">
        <v>0</v>
      </c>
      <c r="AY104">
        <v>31.111000000000001</v>
      </c>
      <c r="AZ104">
        <v>0</v>
      </c>
      <c r="BA104">
        <v>1107189</v>
      </c>
      <c r="BB104">
        <v>1194159</v>
      </c>
      <c r="BC104">
        <v>0</v>
      </c>
      <c r="BD104">
        <v>0</v>
      </c>
      <c r="BE104">
        <v>0</v>
      </c>
      <c r="BF104">
        <v>0</v>
      </c>
      <c r="BG104">
        <v>0</v>
      </c>
      <c r="BH104">
        <v>0</v>
      </c>
      <c r="BI104">
        <v>0</v>
      </c>
      <c r="BJ104">
        <v>0</v>
      </c>
      <c r="BK104">
        <v>0</v>
      </c>
      <c r="BL104">
        <v>139072926</v>
      </c>
      <c r="BM104">
        <v>0</v>
      </c>
      <c r="BN104">
        <v>495</v>
      </c>
      <c r="BO104">
        <v>449</v>
      </c>
      <c r="BP104">
        <v>0</v>
      </c>
      <c r="BQ104">
        <v>0</v>
      </c>
      <c r="BR104">
        <v>0.82469999999999999</v>
      </c>
      <c r="BS104">
        <v>0.82469999999999999</v>
      </c>
      <c r="BT104">
        <v>0</v>
      </c>
      <c r="BU104">
        <v>0</v>
      </c>
      <c r="BV104">
        <v>28</v>
      </c>
      <c r="BW104">
        <v>2</v>
      </c>
      <c r="BX104">
        <v>3</v>
      </c>
      <c r="BY104">
        <v>122</v>
      </c>
      <c r="BZ104">
        <v>1</v>
      </c>
      <c r="CA104">
        <v>156</v>
      </c>
      <c r="CB104">
        <v>0</v>
      </c>
      <c r="CC104">
        <v>0</v>
      </c>
      <c r="CD104">
        <v>0</v>
      </c>
      <c r="CE104">
        <v>11</v>
      </c>
      <c r="CF104">
        <v>58.023000000000003</v>
      </c>
      <c r="CG104">
        <v>0</v>
      </c>
      <c r="CH104">
        <v>0</v>
      </c>
      <c r="CI104">
        <v>2</v>
      </c>
      <c r="CJ104">
        <v>1</v>
      </c>
      <c r="CK104">
        <v>0</v>
      </c>
      <c r="CL104">
        <v>0</v>
      </c>
      <c r="CM104">
        <v>46.466000000000001</v>
      </c>
      <c r="CN104">
        <v>0</v>
      </c>
      <c r="CO104">
        <v>0</v>
      </c>
      <c r="CP104">
        <v>0</v>
      </c>
      <c r="CQ104">
        <v>0</v>
      </c>
      <c r="CR104">
        <v>0</v>
      </c>
      <c r="CS104">
        <v>0</v>
      </c>
      <c r="CT104">
        <v>0</v>
      </c>
      <c r="CU104">
        <v>0.77400000000000002</v>
      </c>
      <c r="CV104">
        <v>7.0590000000000002</v>
      </c>
      <c r="CW104">
        <v>6.8210000000000006</v>
      </c>
      <c r="CX104">
        <v>0</v>
      </c>
      <c r="CY104" s="2043">
        <v>0</v>
      </c>
      <c r="CZ104" s="2043">
        <v>0</v>
      </c>
      <c r="DA104" s="2043">
        <v>0</v>
      </c>
      <c r="DB104" s="2043">
        <v>0</v>
      </c>
      <c r="DC104" s="2043">
        <v>0</v>
      </c>
      <c r="DI104" t="s">
        <v>3522</v>
      </c>
      <c r="DJ104" t="s">
        <v>3522</v>
      </c>
      <c r="DK104" s="2042">
        <f t="shared" si="3"/>
        <v>0</v>
      </c>
    </row>
    <row r="105" spans="1:115">
      <c r="A105" t="s">
        <v>4938</v>
      </c>
      <c r="B105" t="s">
        <v>1554</v>
      </c>
      <c r="C105">
        <v>167.489</v>
      </c>
      <c r="D105">
        <v>161.88900000000001</v>
      </c>
      <c r="E105">
        <v>0.48200000000000004</v>
      </c>
      <c r="F105">
        <v>0</v>
      </c>
      <c r="G105" s="2043">
        <v>216886260</v>
      </c>
      <c r="H105">
        <v>0</v>
      </c>
      <c r="I105" s="2043">
        <v>0</v>
      </c>
      <c r="J105">
        <v>8.3740000000000006</v>
      </c>
      <c r="K105">
        <v>23</v>
      </c>
      <c r="L105">
        <v>0</v>
      </c>
      <c r="M105">
        <v>0</v>
      </c>
      <c r="N105">
        <v>0</v>
      </c>
      <c r="O105">
        <v>0</v>
      </c>
      <c r="P105">
        <v>0</v>
      </c>
      <c r="Q105">
        <v>0</v>
      </c>
      <c r="R105" s="2043">
        <v>1756627</v>
      </c>
      <c r="S105">
        <v>106851</v>
      </c>
      <c r="T105">
        <v>0</v>
      </c>
      <c r="U105">
        <v>0.05</v>
      </c>
      <c r="V105">
        <v>0</v>
      </c>
      <c r="W105">
        <v>0</v>
      </c>
      <c r="X105">
        <v>0</v>
      </c>
      <c r="Y105">
        <v>1132</v>
      </c>
      <c r="Z105">
        <v>0.99299999999999999</v>
      </c>
      <c r="AA105">
        <v>0</v>
      </c>
      <c r="AB105">
        <v>161.88900000000001</v>
      </c>
      <c r="AC105" s="2043">
        <v>169889574</v>
      </c>
      <c r="AD105">
        <v>0</v>
      </c>
      <c r="AE105" s="2043">
        <v>1863478</v>
      </c>
      <c r="AF105">
        <v>0.872</v>
      </c>
      <c r="AG105">
        <v>0</v>
      </c>
      <c r="AH105">
        <v>0</v>
      </c>
      <c r="AI105">
        <v>0</v>
      </c>
      <c r="AJ105">
        <v>27.7</v>
      </c>
      <c r="AK105">
        <v>1480</v>
      </c>
      <c r="AL105">
        <v>0</v>
      </c>
      <c r="AM105">
        <v>0</v>
      </c>
      <c r="AN105">
        <v>6.8840000000000003</v>
      </c>
      <c r="AO105">
        <v>0</v>
      </c>
      <c r="AP105">
        <v>1.0030000000000001</v>
      </c>
      <c r="AQ105">
        <v>0</v>
      </c>
      <c r="AR105">
        <v>8.6810000000000009</v>
      </c>
      <c r="AS105">
        <v>0</v>
      </c>
      <c r="AT105">
        <v>0.97800000000000009</v>
      </c>
      <c r="AU105">
        <v>0.33100000000000002</v>
      </c>
      <c r="AV105">
        <v>0</v>
      </c>
      <c r="AW105">
        <v>10.993</v>
      </c>
      <c r="AX105">
        <v>0</v>
      </c>
      <c r="AY105">
        <v>33.340000000000003</v>
      </c>
      <c r="AZ105">
        <v>0</v>
      </c>
      <c r="BA105">
        <v>526021</v>
      </c>
      <c r="BB105">
        <v>1863478</v>
      </c>
      <c r="BC105">
        <v>0</v>
      </c>
      <c r="BD105">
        <v>29744</v>
      </c>
      <c r="BE105">
        <v>6947</v>
      </c>
      <c r="BF105">
        <v>36691</v>
      </c>
      <c r="BG105">
        <v>29744</v>
      </c>
      <c r="BH105">
        <v>0</v>
      </c>
      <c r="BI105">
        <v>0</v>
      </c>
      <c r="BJ105">
        <v>0</v>
      </c>
      <c r="BK105">
        <v>0</v>
      </c>
      <c r="BL105">
        <v>216886260</v>
      </c>
      <c r="BM105">
        <v>0</v>
      </c>
      <c r="BN105">
        <v>594</v>
      </c>
      <c r="BO105">
        <v>460</v>
      </c>
      <c r="BP105">
        <v>0</v>
      </c>
      <c r="BQ105">
        <v>0</v>
      </c>
      <c r="BR105">
        <v>0.82200000000000006</v>
      </c>
      <c r="BS105">
        <v>0.82200000000000006</v>
      </c>
      <c r="BT105">
        <v>0</v>
      </c>
      <c r="BU105">
        <v>0</v>
      </c>
      <c r="BV105">
        <v>11</v>
      </c>
      <c r="BW105">
        <v>42</v>
      </c>
      <c r="BX105">
        <v>61</v>
      </c>
      <c r="BY105">
        <v>0</v>
      </c>
      <c r="BZ105">
        <v>0</v>
      </c>
      <c r="CA105">
        <v>114</v>
      </c>
      <c r="CB105">
        <v>0</v>
      </c>
      <c r="CC105">
        <v>0</v>
      </c>
      <c r="CD105">
        <v>0</v>
      </c>
      <c r="CE105">
        <v>29</v>
      </c>
      <c r="CF105">
        <v>30.687000000000001</v>
      </c>
      <c r="CG105">
        <v>0</v>
      </c>
      <c r="CH105">
        <v>0</v>
      </c>
      <c r="CI105">
        <v>1</v>
      </c>
      <c r="CJ105">
        <v>2</v>
      </c>
      <c r="CK105">
        <v>0</v>
      </c>
      <c r="CL105">
        <v>0</v>
      </c>
      <c r="CM105">
        <v>0.48200000000000004</v>
      </c>
      <c r="CN105">
        <v>0</v>
      </c>
      <c r="CO105">
        <v>0</v>
      </c>
      <c r="CP105">
        <v>0</v>
      </c>
      <c r="CQ105">
        <v>0</v>
      </c>
      <c r="CR105">
        <v>0</v>
      </c>
      <c r="CS105">
        <v>0</v>
      </c>
      <c r="CT105">
        <v>0</v>
      </c>
      <c r="CU105">
        <v>0</v>
      </c>
      <c r="CV105">
        <v>14.661000000000001</v>
      </c>
      <c r="CW105">
        <v>2.2290000000000001</v>
      </c>
      <c r="CX105">
        <v>0</v>
      </c>
      <c r="CY105" s="2043">
        <v>1132</v>
      </c>
      <c r="CZ105" s="2043">
        <v>0</v>
      </c>
      <c r="DA105" s="2043">
        <v>0</v>
      </c>
      <c r="DB105" s="2043">
        <v>0</v>
      </c>
      <c r="DC105" s="2043">
        <v>35826</v>
      </c>
      <c r="DI105" t="s">
        <v>4937</v>
      </c>
      <c r="DJ105" t="s">
        <v>4938</v>
      </c>
      <c r="DK105" s="2042">
        <f t="shared" si="3"/>
        <v>-1</v>
      </c>
    </row>
    <row r="106" spans="1:115">
      <c r="A106" t="s">
        <v>4937</v>
      </c>
      <c r="B106" t="s">
        <v>1553</v>
      </c>
      <c r="C106">
        <v>123.379</v>
      </c>
      <c r="D106">
        <v>134.20099999999999</v>
      </c>
      <c r="E106">
        <v>0</v>
      </c>
      <c r="F106">
        <v>0</v>
      </c>
      <c r="G106" s="2043">
        <v>179702314</v>
      </c>
      <c r="H106">
        <v>0</v>
      </c>
      <c r="I106" s="2043">
        <v>269625</v>
      </c>
      <c r="J106">
        <v>6.1690000000000005</v>
      </c>
      <c r="K106">
        <v>17</v>
      </c>
      <c r="L106">
        <v>0</v>
      </c>
      <c r="M106">
        <v>0</v>
      </c>
      <c r="N106">
        <v>0</v>
      </c>
      <c r="O106">
        <v>0</v>
      </c>
      <c r="P106">
        <v>0</v>
      </c>
      <c r="Q106">
        <v>0</v>
      </c>
      <c r="R106" s="2043">
        <v>1448838</v>
      </c>
      <c r="S106">
        <v>88129</v>
      </c>
      <c r="T106">
        <v>0</v>
      </c>
      <c r="U106">
        <v>0.05</v>
      </c>
      <c r="V106">
        <v>0</v>
      </c>
      <c r="W106">
        <v>0</v>
      </c>
      <c r="X106">
        <v>0</v>
      </c>
      <c r="Y106">
        <v>0</v>
      </c>
      <c r="Z106">
        <v>0</v>
      </c>
      <c r="AA106">
        <v>0</v>
      </c>
      <c r="AB106">
        <v>134.20099999999999</v>
      </c>
      <c r="AC106" s="2043">
        <v>140073048</v>
      </c>
      <c r="AD106">
        <v>291645</v>
      </c>
      <c r="AE106" s="2043">
        <v>1536967</v>
      </c>
      <c r="AF106">
        <v>0.872</v>
      </c>
      <c r="AG106">
        <v>0</v>
      </c>
      <c r="AH106">
        <v>0</v>
      </c>
      <c r="AI106">
        <v>0</v>
      </c>
      <c r="AJ106">
        <v>18.363</v>
      </c>
      <c r="AK106">
        <v>979</v>
      </c>
      <c r="AL106">
        <v>0</v>
      </c>
      <c r="AM106">
        <v>0</v>
      </c>
      <c r="AN106">
        <v>2.6910000000000003</v>
      </c>
      <c r="AO106">
        <v>0</v>
      </c>
      <c r="AP106">
        <v>1.4990000000000001</v>
      </c>
      <c r="AQ106">
        <v>0</v>
      </c>
      <c r="AR106">
        <v>5.4510000000000005</v>
      </c>
      <c r="AS106">
        <v>0</v>
      </c>
      <c r="AT106">
        <v>0.48100000000000004</v>
      </c>
      <c r="AU106">
        <v>0.45800000000000002</v>
      </c>
      <c r="AV106">
        <v>0</v>
      </c>
      <c r="AW106">
        <v>7.8890000000000002</v>
      </c>
      <c r="AX106">
        <v>0</v>
      </c>
      <c r="AY106">
        <v>24.133000000000003</v>
      </c>
      <c r="AZ106">
        <v>0</v>
      </c>
      <c r="BA106">
        <v>542009</v>
      </c>
      <c r="BB106">
        <v>1828612</v>
      </c>
      <c r="BC106">
        <v>0</v>
      </c>
      <c r="BD106">
        <v>31265</v>
      </c>
      <c r="BE106">
        <v>12182</v>
      </c>
      <c r="BF106">
        <v>43447</v>
      </c>
      <c r="BG106">
        <v>31265</v>
      </c>
      <c r="BH106">
        <v>0</v>
      </c>
      <c r="BI106">
        <v>0</v>
      </c>
      <c r="BJ106">
        <v>0</v>
      </c>
      <c r="BK106">
        <v>0</v>
      </c>
      <c r="BL106">
        <v>179702314</v>
      </c>
      <c r="BM106">
        <v>0</v>
      </c>
      <c r="BN106">
        <v>486</v>
      </c>
      <c r="BO106">
        <v>396</v>
      </c>
      <c r="BP106">
        <v>0</v>
      </c>
      <c r="BQ106">
        <v>0</v>
      </c>
      <c r="BR106">
        <v>0.82200000000000006</v>
      </c>
      <c r="BS106">
        <v>0.82200000000000006</v>
      </c>
      <c r="BT106">
        <v>0</v>
      </c>
      <c r="BU106">
        <v>0</v>
      </c>
      <c r="BV106">
        <v>56</v>
      </c>
      <c r="BW106">
        <v>5</v>
      </c>
      <c r="BX106">
        <v>2</v>
      </c>
      <c r="BY106">
        <v>4</v>
      </c>
      <c r="BZ106">
        <v>11</v>
      </c>
      <c r="CA106">
        <v>78</v>
      </c>
      <c r="CB106">
        <v>0</v>
      </c>
      <c r="CC106">
        <v>0</v>
      </c>
      <c r="CD106">
        <v>0</v>
      </c>
      <c r="CE106">
        <v>12</v>
      </c>
      <c r="CF106">
        <v>26.862000000000002</v>
      </c>
      <c r="CG106">
        <v>0</v>
      </c>
      <c r="CH106">
        <v>0</v>
      </c>
      <c r="CI106">
        <v>1</v>
      </c>
      <c r="CJ106">
        <v>1</v>
      </c>
      <c r="CK106">
        <v>0</v>
      </c>
      <c r="CL106">
        <v>0</v>
      </c>
      <c r="CM106">
        <v>0</v>
      </c>
      <c r="CN106">
        <v>0</v>
      </c>
      <c r="CO106">
        <v>0</v>
      </c>
      <c r="CP106">
        <v>0</v>
      </c>
      <c r="CQ106">
        <v>0</v>
      </c>
      <c r="CR106">
        <v>0</v>
      </c>
      <c r="CS106">
        <v>0</v>
      </c>
      <c r="CT106">
        <v>0</v>
      </c>
      <c r="CU106">
        <v>0</v>
      </c>
      <c r="CV106">
        <v>12.967000000000001</v>
      </c>
      <c r="CW106">
        <v>4.4910000000000005</v>
      </c>
      <c r="CX106">
        <v>0</v>
      </c>
      <c r="CY106" s="2043">
        <v>0</v>
      </c>
      <c r="CZ106" s="2043">
        <v>0</v>
      </c>
      <c r="DA106" s="2043">
        <v>0</v>
      </c>
      <c r="DB106" s="2043">
        <v>0</v>
      </c>
      <c r="DC106" s="2043">
        <v>41554</v>
      </c>
      <c r="DI106" t="s">
        <v>4938</v>
      </c>
      <c r="DJ106" t="s">
        <v>4937</v>
      </c>
      <c r="DK106" s="2042">
        <f t="shared" si="3"/>
        <v>1</v>
      </c>
    </row>
    <row r="107" spans="1:115">
      <c r="A107" t="s">
        <v>5754</v>
      </c>
      <c r="B107" t="s">
        <v>1555</v>
      </c>
      <c r="C107">
        <v>126.289</v>
      </c>
      <c r="D107">
        <v>121.182</v>
      </c>
      <c r="E107">
        <v>7.8100000000000005</v>
      </c>
      <c r="F107">
        <v>0</v>
      </c>
      <c r="G107" s="2043">
        <v>144262512</v>
      </c>
      <c r="H107">
        <v>0</v>
      </c>
      <c r="I107" s="2043">
        <v>0</v>
      </c>
      <c r="J107">
        <v>1</v>
      </c>
      <c r="K107">
        <v>3</v>
      </c>
      <c r="L107">
        <v>0</v>
      </c>
      <c r="M107">
        <v>0</v>
      </c>
      <c r="N107">
        <v>0</v>
      </c>
      <c r="O107">
        <v>0</v>
      </c>
      <c r="P107">
        <v>0</v>
      </c>
      <c r="Q107">
        <v>0</v>
      </c>
      <c r="R107" s="2043">
        <v>1099999</v>
      </c>
      <c r="S107">
        <v>66910</v>
      </c>
      <c r="T107">
        <v>0</v>
      </c>
      <c r="U107">
        <v>0.05</v>
      </c>
      <c r="V107">
        <v>0</v>
      </c>
      <c r="W107">
        <v>0</v>
      </c>
      <c r="X107">
        <v>0</v>
      </c>
      <c r="Y107">
        <v>0</v>
      </c>
      <c r="Z107">
        <v>0</v>
      </c>
      <c r="AA107">
        <v>0</v>
      </c>
      <c r="AB107">
        <v>121.182</v>
      </c>
      <c r="AC107" s="2043">
        <v>88826432</v>
      </c>
      <c r="AD107">
        <v>0</v>
      </c>
      <c r="AE107" s="2043">
        <v>1166909</v>
      </c>
      <c r="AF107">
        <v>0.872</v>
      </c>
      <c r="AG107">
        <v>0</v>
      </c>
      <c r="AH107">
        <v>0</v>
      </c>
      <c r="AI107">
        <v>0</v>
      </c>
      <c r="AJ107">
        <v>21.963000000000001</v>
      </c>
      <c r="AK107">
        <v>868</v>
      </c>
      <c r="AL107">
        <v>0</v>
      </c>
      <c r="AM107">
        <v>0</v>
      </c>
      <c r="AN107">
        <v>9.293000000000001</v>
      </c>
      <c r="AO107">
        <v>0</v>
      </c>
      <c r="AP107">
        <v>1.8460000000000001</v>
      </c>
      <c r="AQ107">
        <v>0</v>
      </c>
      <c r="AR107">
        <v>2.27</v>
      </c>
      <c r="AS107">
        <v>0</v>
      </c>
      <c r="AT107">
        <v>0</v>
      </c>
      <c r="AU107">
        <v>0.32900000000000001</v>
      </c>
      <c r="AV107">
        <v>0</v>
      </c>
      <c r="AW107">
        <v>4.4450000000000003</v>
      </c>
      <c r="AX107">
        <v>0</v>
      </c>
      <c r="AY107">
        <v>13.439</v>
      </c>
      <c r="AZ107">
        <v>0</v>
      </c>
      <c r="BA107">
        <v>801073</v>
      </c>
      <c r="BB107">
        <v>1166909</v>
      </c>
      <c r="BC107">
        <v>0</v>
      </c>
      <c r="BD107">
        <v>41568</v>
      </c>
      <c r="BE107">
        <v>5951</v>
      </c>
      <c r="BF107">
        <v>47519</v>
      </c>
      <c r="BG107">
        <v>41568</v>
      </c>
      <c r="BH107">
        <v>0</v>
      </c>
      <c r="BI107">
        <v>0</v>
      </c>
      <c r="BJ107">
        <v>0</v>
      </c>
      <c r="BK107">
        <v>0</v>
      </c>
      <c r="BL107">
        <v>144262512</v>
      </c>
      <c r="BM107">
        <v>0</v>
      </c>
      <c r="BN107">
        <v>558</v>
      </c>
      <c r="BO107">
        <v>342</v>
      </c>
      <c r="BP107">
        <v>0</v>
      </c>
      <c r="BQ107">
        <v>0</v>
      </c>
      <c r="BR107">
        <v>0.82200000000000006</v>
      </c>
      <c r="BS107">
        <v>0.82200000000000006</v>
      </c>
      <c r="BT107">
        <v>0</v>
      </c>
      <c r="BU107">
        <v>0</v>
      </c>
      <c r="BV107">
        <v>76</v>
      </c>
      <c r="BW107">
        <v>6</v>
      </c>
      <c r="BX107">
        <v>4</v>
      </c>
      <c r="BY107">
        <v>3</v>
      </c>
      <c r="BZ107">
        <v>6</v>
      </c>
      <c r="CA107">
        <v>95</v>
      </c>
      <c r="CB107">
        <v>0</v>
      </c>
      <c r="CC107">
        <v>0</v>
      </c>
      <c r="CD107">
        <v>0</v>
      </c>
      <c r="CE107">
        <v>10</v>
      </c>
      <c r="CF107">
        <v>22.781000000000002</v>
      </c>
      <c r="CG107">
        <v>0</v>
      </c>
      <c r="CH107">
        <v>0</v>
      </c>
      <c r="CI107">
        <v>1</v>
      </c>
      <c r="CJ107">
        <v>1</v>
      </c>
      <c r="CK107">
        <v>0</v>
      </c>
      <c r="CL107">
        <v>0</v>
      </c>
      <c r="CM107">
        <v>7.8100000000000005</v>
      </c>
      <c r="CN107">
        <v>0</v>
      </c>
      <c r="CO107">
        <v>0</v>
      </c>
      <c r="CP107">
        <v>0</v>
      </c>
      <c r="CQ107">
        <v>0</v>
      </c>
      <c r="CR107">
        <v>0</v>
      </c>
      <c r="CS107">
        <v>0</v>
      </c>
      <c r="CT107">
        <v>0</v>
      </c>
      <c r="CU107">
        <v>0</v>
      </c>
      <c r="CV107">
        <v>8.2270000000000003</v>
      </c>
      <c r="CW107">
        <v>6.0520000000000005</v>
      </c>
      <c r="CX107">
        <v>0</v>
      </c>
      <c r="CY107" s="2043">
        <v>0</v>
      </c>
      <c r="CZ107" s="2043">
        <v>0</v>
      </c>
      <c r="DA107" s="2043">
        <v>0</v>
      </c>
      <c r="DB107" s="2043">
        <v>0</v>
      </c>
      <c r="DC107" s="2043">
        <v>0</v>
      </c>
      <c r="DI107" t="s">
        <v>5754</v>
      </c>
      <c r="DJ107" t="s">
        <v>5754</v>
      </c>
      <c r="DK107" s="2042">
        <f t="shared" si="3"/>
        <v>0</v>
      </c>
    </row>
    <row r="108" spans="1:115">
      <c r="A108" t="s">
        <v>8503</v>
      </c>
      <c r="B108" t="s">
        <v>11259</v>
      </c>
      <c r="C108">
        <v>0</v>
      </c>
      <c r="D108">
        <v>0</v>
      </c>
      <c r="E108">
        <v>0</v>
      </c>
      <c r="F108">
        <v>0</v>
      </c>
      <c r="G108" s="2043">
        <v>0</v>
      </c>
      <c r="H108">
        <v>0</v>
      </c>
      <c r="I108" s="2043">
        <v>0</v>
      </c>
      <c r="J108">
        <v>0</v>
      </c>
      <c r="K108">
        <v>0</v>
      </c>
      <c r="L108">
        <v>0</v>
      </c>
      <c r="M108">
        <v>0</v>
      </c>
      <c r="N108">
        <v>0</v>
      </c>
      <c r="O108">
        <v>0</v>
      </c>
      <c r="P108">
        <v>0</v>
      </c>
      <c r="Q108">
        <v>0</v>
      </c>
      <c r="R108" s="2043">
        <v>0</v>
      </c>
      <c r="S108">
        <v>0</v>
      </c>
      <c r="T108">
        <v>0</v>
      </c>
      <c r="U108">
        <v>0</v>
      </c>
      <c r="V108">
        <v>0</v>
      </c>
      <c r="W108">
        <v>0</v>
      </c>
      <c r="X108">
        <v>0</v>
      </c>
      <c r="Y108">
        <v>17850</v>
      </c>
      <c r="Z108">
        <v>0</v>
      </c>
      <c r="AA108">
        <v>0</v>
      </c>
      <c r="AB108">
        <v>0</v>
      </c>
      <c r="AC108" s="2043">
        <v>0</v>
      </c>
      <c r="AD108">
        <v>0</v>
      </c>
      <c r="AE108" s="2043">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1184466</v>
      </c>
      <c r="BB108">
        <v>0</v>
      </c>
      <c r="BC108">
        <v>0</v>
      </c>
      <c r="BD108">
        <v>1067236</v>
      </c>
      <c r="BE108">
        <v>0</v>
      </c>
      <c r="BF108">
        <v>1166616</v>
      </c>
      <c r="BG108">
        <v>1067236</v>
      </c>
      <c r="BH108">
        <v>99380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s="2043">
        <v>0</v>
      </c>
      <c r="CZ108" s="2043">
        <v>0</v>
      </c>
      <c r="DA108" s="2043">
        <v>0</v>
      </c>
      <c r="DB108" s="2043">
        <v>0</v>
      </c>
      <c r="DC108" s="2043">
        <v>0</v>
      </c>
      <c r="DI108" t="s">
        <v>8503</v>
      </c>
      <c r="DJ108" t="s">
        <v>8503</v>
      </c>
      <c r="DK108" s="2042">
        <f t="shared" si="3"/>
        <v>0</v>
      </c>
    </row>
    <row r="109" spans="1:115">
      <c r="A109" t="s">
        <v>3524</v>
      </c>
      <c r="B109" t="s">
        <v>838</v>
      </c>
      <c r="C109">
        <v>699.35300000000007</v>
      </c>
      <c r="D109">
        <v>729.79200000000003</v>
      </c>
      <c r="E109">
        <v>32.834000000000003</v>
      </c>
      <c r="F109">
        <v>0</v>
      </c>
      <c r="G109" s="2043">
        <v>223168295</v>
      </c>
      <c r="H109">
        <v>0</v>
      </c>
      <c r="I109" s="2043">
        <v>0</v>
      </c>
      <c r="J109">
        <v>34.968000000000004</v>
      </c>
      <c r="K109">
        <v>96</v>
      </c>
      <c r="L109">
        <v>0</v>
      </c>
      <c r="M109">
        <v>0</v>
      </c>
      <c r="N109">
        <v>0</v>
      </c>
      <c r="O109">
        <v>0</v>
      </c>
      <c r="P109">
        <v>0</v>
      </c>
      <c r="Q109">
        <v>0</v>
      </c>
      <c r="R109" s="2043">
        <v>1977412</v>
      </c>
      <c r="S109">
        <v>177925</v>
      </c>
      <c r="T109">
        <v>129663</v>
      </c>
      <c r="U109">
        <v>0.08</v>
      </c>
      <c r="V109">
        <v>0</v>
      </c>
      <c r="W109">
        <v>0</v>
      </c>
      <c r="X109">
        <v>0</v>
      </c>
      <c r="Y109">
        <v>0</v>
      </c>
      <c r="Z109">
        <v>0</v>
      </c>
      <c r="AA109">
        <v>0.25900000000000001</v>
      </c>
      <c r="AB109">
        <v>697.07800000000009</v>
      </c>
      <c r="AC109" s="2043">
        <v>204349462</v>
      </c>
      <c r="AD109">
        <v>0</v>
      </c>
      <c r="AE109" s="2043">
        <v>2285000</v>
      </c>
      <c r="AF109">
        <v>1.0274000000000001</v>
      </c>
      <c r="AG109">
        <v>0</v>
      </c>
      <c r="AH109">
        <v>0</v>
      </c>
      <c r="AI109">
        <v>0</v>
      </c>
      <c r="AJ109">
        <v>131.65</v>
      </c>
      <c r="AK109">
        <v>2968</v>
      </c>
      <c r="AL109">
        <v>0</v>
      </c>
      <c r="AM109">
        <v>0</v>
      </c>
      <c r="AN109">
        <v>16.762</v>
      </c>
      <c r="AO109">
        <v>0</v>
      </c>
      <c r="AP109">
        <v>4.7620000000000005</v>
      </c>
      <c r="AQ109">
        <v>0</v>
      </c>
      <c r="AR109">
        <v>17.519000000000002</v>
      </c>
      <c r="AS109">
        <v>0</v>
      </c>
      <c r="AT109">
        <v>0.20200000000000001</v>
      </c>
      <c r="AU109">
        <v>1.5310000000000001</v>
      </c>
      <c r="AV109">
        <v>0</v>
      </c>
      <c r="AW109">
        <v>24.014000000000003</v>
      </c>
      <c r="AX109">
        <v>0</v>
      </c>
      <c r="AY109">
        <v>73.674999999999997</v>
      </c>
      <c r="AZ109">
        <v>0</v>
      </c>
      <c r="BA109">
        <v>7080512</v>
      </c>
      <c r="BB109">
        <v>2285000</v>
      </c>
      <c r="BC109">
        <v>0</v>
      </c>
      <c r="BD109">
        <v>0</v>
      </c>
      <c r="BE109">
        <v>0</v>
      </c>
      <c r="BF109">
        <v>0</v>
      </c>
      <c r="BG109">
        <v>0</v>
      </c>
      <c r="BH109">
        <v>0</v>
      </c>
      <c r="BI109">
        <v>0</v>
      </c>
      <c r="BJ109">
        <v>0</v>
      </c>
      <c r="BK109">
        <v>0</v>
      </c>
      <c r="BL109">
        <v>223168295</v>
      </c>
      <c r="BM109">
        <v>0</v>
      </c>
      <c r="BN109">
        <v>2844</v>
      </c>
      <c r="BO109">
        <v>2664</v>
      </c>
      <c r="BP109">
        <v>0</v>
      </c>
      <c r="BQ109">
        <v>0</v>
      </c>
      <c r="BR109">
        <v>0.8891</v>
      </c>
      <c r="BS109">
        <v>0.8891</v>
      </c>
      <c r="BT109">
        <v>0</v>
      </c>
      <c r="BU109">
        <v>0</v>
      </c>
      <c r="BV109">
        <v>172</v>
      </c>
      <c r="BW109">
        <v>63</v>
      </c>
      <c r="BX109">
        <v>65</v>
      </c>
      <c r="BY109">
        <v>187</v>
      </c>
      <c r="BZ109">
        <v>46</v>
      </c>
      <c r="CA109">
        <v>533</v>
      </c>
      <c r="CB109">
        <v>0</v>
      </c>
      <c r="CC109">
        <v>0</v>
      </c>
      <c r="CD109">
        <v>0</v>
      </c>
      <c r="CE109">
        <v>86</v>
      </c>
      <c r="CF109">
        <v>127.51600000000001</v>
      </c>
      <c r="CG109">
        <v>0</v>
      </c>
      <c r="CH109">
        <v>0</v>
      </c>
      <c r="CI109">
        <v>0</v>
      </c>
      <c r="CJ109">
        <v>0</v>
      </c>
      <c r="CK109">
        <v>0</v>
      </c>
      <c r="CL109">
        <v>0</v>
      </c>
      <c r="CM109">
        <v>32.834000000000003</v>
      </c>
      <c r="CN109">
        <v>0</v>
      </c>
      <c r="CO109">
        <v>0</v>
      </c>
      <c r="CP109">
        <v>0</v>
      </c>
      <c r="CQ109">
        <v>0</v>
      </c>
      <c r="CR109">
        <v>0</v>
      </c>
      <c r="CS109">
        <v>0</v>
      </c>
      <c r="CT109">
        <v>0</v>
      </c>
      <c r="CU109">
        <v>4.9550000000000001</v>
      </c>
      <c r="CV109">
        <v>42.364000000000004</v>
      </c>
      <c r="CW109">
        <v>52.325000000000003</v>
      </c>
      <c r="CX109">
        <v>0</v>
      </c>
      <c r="CY109" s="2043">
        <v>0</v>
      </c>
      <c r="CZ109" s="2043">
        <v>0</v>
      </c>
      <c r="DA109" s="2043">
        <v>0</v>
      </c>
      <c r="DB109" s="2043">
        <v>0</v>
      </c>
      <c r="DC109" s="2043">
        <v>0</v>
      </c>
      <c r="DI109" t="s">
        <v>3524</v>
      </c>
      <c r="DJ109" t="s">
        <v>3524</v>
      </c>
      <c r="DK109" s="2042">
        <f t="shared" si="3"/>
        <v>0</v>
      </c>
    </row>
    <row r="110" spans="1:115">
      <c r="A110" t="s">
        <v>2892</v>
      </c>
      <c r="B110" t="s">
        <v>2017</v>
      </c>
      <c r="C110">
        <v>445.5</v>
      </c>
      <c r="D110">
        <v>441.88</v>
      </c>
      <c r="E110">
        <v>1.9260000000000002</v>
      </c>
      <c r="F110">
        <v>0</v>
      </c>
      <c r="G110" s="2043">
        <v>76272638</v>
      </c>
      <c r="H110">
        <v>0</v>
      </c>
      <c r="I110" s="2043">
        <v>61725</v>
      </c>
      <c r="J110">
        <v>22.275000000000002</v>
      </c>
      <c r="K110">
        <v>61</v>
      </c>
      <c r="L110">
        <v>31532</v>
      </c>
      <c r="M110">
        <v>30193</v>
      </c>
      <c r="N110">
        <v>31532</v>
      </c>
      <c r="O110">
        <v>61725</v>
      </c>
      <c r="P110">
        <v>0</v>
      </c>
      <c r="Q110">
        <v>0</v>
      </c>
      <c r="R110" s="2043">
        <v>608993</v>
      </c>
      <c r="S110">
        <v>59269</v>
      </c>
      <c r="T110">
        <v>43193</v>
      </c>
      <c r="U110">
        <v>0.08</v>
      </c>
      <c r="V110">
        <v>0</v>
      </c>
      <c r="W110">
        <v>0</v>
      </c>
      <c r="X110">
        <v>0</v>
      </c>
      <c r="Y110">
        <v>0</v>
      </c>
      <c r="Z110">
        <v>1.9650000000000001</v>
      </c>
      <c r="AA110">
        <v>0</v>
      </c>
      <c r="AB110">
        <v>432.00100000000003</v>
      </c>
      <c r="AC110" s="2043">
        <v>64470501</v>
      </c>
      <c r="AD110">
        <v>30083</v>
      </c>
      <c r="AE110" s="2043">
        <v>711455</v>
      </c>
      <c r="AF110">
        <v>0.96030000000000004</v>
      </c>
      <c r="AG110">
        <v>0</v>
      </c>
      <c r="AH110">
        <v>0</v>
      </c>
      <c r="AI110">
        <v>0</v>
      </c>
      <c r="AJ110">
        <v>65.475000000000009</v>
      </c>
      <c r="AK110">
        <v>2392</v>
      </c>
      <c r="AL110">
        <v>0</v>
      </c>
      <c r="AM110">
        <v>0</v>
      </c>
      <c r="AN110">
        <v>14.792000000000002</v>
      </c>
      <c r="AO110">
        <v>0</v>
      </c>
      <c r="AP110">
        <v>7.875</v>
      </c>
      <c r="AQ110">
        <v>0</v>
      </c>
      <c r="AR110">
        <v>8.423</v>
      </c>
      <c r="AS110">
        <v>0</v>
      </c>
      <c r="AT110">
        <v>0.45900000000000002</v>
      </c>
      <c r="AU110">
        <v>1.1840000000000002</v>
      </c>
      <c r="AV110">
        <v>0</v>
      </c>
      <c r="AW110">
        <v>17.941000000000003</v>
      </c>
      <c r="AX110">
        <v>0</v>
      </c>
      <c r="AY110">
        <v>53.829000000000001</v>
      </c>
      <c r="AZ110">
        <v>0</v>
      </c>
      <c r="BA110">
        <v>5485925</v>
      </c>
      <c r="BB110">
        <v>741538</v>
      </c>
      <c r="BC110">
        <v>0</v>
      </c>
      <c r="BD110">
        <v>0</v>
      </c>
      <c r="BE110">
        <v>22321</v>
      </c>
      <c r="BF110">
        <v>22321</v>
      </c>
      <c r="BG110">
        <v>0</v>
      </c>
      <c r="BH110">
        <v>0</v>
      </c>
      <c r="BI110">
        <v>0</v>
      </c>
      <c r="BJ110">
        <v>0</v>
      </c>
      <c r="BK110">
        <v>0</v>
      </c>
      <c r="BL110">
        <v>76272638</v>
      </c>
      <c r="BM110">
        <v>0</v>
      </c>
      <c r="BN110">
        <v>1449</v>
      </c>
      <c r="BO110">
        <v>1412</v>
      </c>
      <c r="BP110">
        <v>0</v>
      </c>
      <c r="BQ110">
        <v>0</v>
      </c>
      <c r="BR110">
        <v>0.82200000000000006</v>
      </c>
      <c r="BS110">
        <v>0.82200000000000006</v>
      </c>
      <c r="BT110">
        <v>0</v>
      </c>
      <c r="BU110">
        <v>0</v>
      </c>
      <c r="BV110">
        <v>13</v>
      </c>
      <c r="BW110">
        <v>118</v>
      </c>
      <c r="BX110">
        <v>137</v>
      </c>
      <c r="BY110">
        <v>0</v>
      </c>
      <c r="BZ110">
        <v>1</v>
      </c>
      <c r="CA110">
        <v>269</v>
      </c>
      <c r="CB110">
        <v>0</v>
      </c>
      <c r="CC110">
        <v>0</v>
      </c>
      <c r="CD110">
        <v>0</v>
      </c>
      <c r="CE110">
        <v>50</v>
      </c>
      <c r="CF110">
        <v>86.89800000000001</v>
      </c>
      <c r="CG110">
        <v>0</v>
      </c>
      <c r="CH110">
        <v>0</v>
      </c>
      <c r="CI110">
        <v>2</v>
      </c>
      <c r="CJ110">
        <v>2</v>
      </c>
      <c r="CK110">
        <v>0</v>
      </c>
      <c r="CL110">
        <v>0</v>
      </c>
      <c r="CM110">
        <v>1.9260000000000002</v>
      </c>
      <c r="CN110">
        <v>0</v>
      </c>
      <c r="CO110">
        <v>0</v>
      </c>
      <c r="CP110">
        <v>0</v>
      </c>
      <c r="CQ110">
        <v>0</v>
      </c>
      <c r="CR110">
        <v>0</v>
      </c>
      <c r="CS110">
        <v>0</v>
      </c>
      <c r="CT110">
        <v>0</v>
      </c>
      <c r="CU110">
        <v>4.1440000000000001</v>
      </c>
      <c r="CV110">
        <v>28.955000000000002</v>
      </c>
      <c r="CW110">
        <v>21.472000000000001</v>
      </c>
      <c r="CX110">
        <v>0</v>
      </c>
      <c r="CY110" s="2043">
        <v>0</v>
      </c>
      <c r="CZ110" s="2043">
        <v>0</v>
      </c>
      <c r="DA110" s="2043">
        <v>0</v>
      </c>
      <c r="DB110" s="2043">
        <v>0</v>
      </c>
      <c r="DC110" s="2043">
        <v>0</v>
      </c>
      <c r="DI110" t="s">
        <v>2891</v>
      </c>
      <c r="DJ110" t="s">
        <v>2892</v>
      </c>
      <c r="DK110" s="2042">
        <f t="shared" si="3"/>
        <v>-1</v>
      </c>
    </row>
    <row r="111" spans="1:115">
      <c r="A111" t="s">
        <v>2891</v>
      </c>
      <c r="B111" t="s">
        <v>669</v>
      </c>
      <c r="C111">
        <v>821.31299999999999</v>
      </c>
      <c r="D111">
        <v>825.15700000000004</v>
      </c>
      <c r="E111">
        <v>23.972000000000001</v>
      </c>
      <c r="F111">
        <v>0</v>
      </c>
      <c r="G111" s="2043">
        <v>178005687</v>
      </c>
      <c r="H111">
        <v>0</v>
      </c>
      <c r="I111" s="2043">
        <v>651512</v>
      </c>
      <c r="J111">
        <v>41.066000000000003</v>
      </c>
      <c r="K111">
        <v>112</v>
      </c>
      <c r="L111">
        <v>248070</v>
      </c>
      <c r="M111">
        <v>403442</v>
      </c>
      <c r="N111">
        <v>248070</v>
      </c>
      <c r="O111">
        <v>651512</v>
      </c>
      <c r="P111">
        <v>0</v>
      </c>
      <c r="Q111">
        <v>0</v>
      </c>
      <c r="R111" s="2043">
        <v>1530268</v>
      </c>
      <c r="S111">
        <v>140295</v>
      </c>
      <c r="T111">
        <v>102240</v>
      </c>
      <c r="U111">
        <v>0.08</v>
      </c>
      <c r="V111">
        <v>0</v>
      </c>
      <c r="W111">
        <v>0</v>
      </c>
      <c r="X111">
        <v>0</v>
      </c>
      <c r="Y111">
        <v>0</v>
      </c>
      <c r="Z111">
        <v>0</v>
      </c>
      <c r="AA111">
        <v>0</v>
      </c>
      <c r="AB111">
        <v>776.39700000000005</v>
      </c>
      <c r="AC111" s="2043">
        <v>173849851</v>
      </c>
      <c r="AD111">
        <v>402985</v>
      </c>
      <c r="AE111" s="2043">
        <v>1772803</v>
      </c>
      <c r="AF111">
        <v>1.0109000000000001</v>
      </c>
      <c r="AG111">
        <v>0</v>
      </c>
      <c r="AH111">
        <v>0</v>
      </c>
      <c r="AI111">
        <v>0</v>
      </c>
      <c r="AJ111">
        <v>123.22500000000001</v>
      </c>
      <c r="AK111">
        <v>3698</v>
      </c>
      <c r="AL111">
        <v>0</v>
      </c>
      <c r="AM111">
        <v>0</v>
      </c>
      <c r="AN111">
        <v>17.62</v>
      </c>
      <c r="AO111">
        <v>0</v>
      </c>
      <c r="AP111">
        <v>8.213000000000001</v>
      </c>
      <c r="AQ111">
        <v>0</v>
      </c>
      <c r="AR111">
        <v>22.411000000000001</v>
      </c>
      <c r="AS111">
        <v>0</v>
      </c>
      <c r="AT111">
        <v>1.1340000000000001</v>
      </c>
      <c r="AU111">
        <v>1.387</v>
      </c>
      <c r="AV111">
        <v>0</v>
      </c>
      <c r="AW111">
        <v>33.145000000000003</v>
      </c>
      <c r="AX111">
        <v>0</v>
      </c>
      <c r="AY111">
        <v>99.745000000000005</v>
      </c>
      <c r="AZ111">
        <v>0</v>
      </c>
      <c r="BA111">
        <v>8803854</v>
      </c>
      <c r="BB111">
        <v>2175788</v>
      </c>
      <c r="BC111">
        <v>0</v>
      </c>
      <c r="BD111">
        <v>0</v>
      </c>
      <c r="BE111">
        <v>0</v>
      </c>
      <c r="BF111">
        <v>0</v>
      </c>
      <c r="BG111">
        <v>0</v>
      </c>
      <c r="BH111">
        <v>0</v>
      </c>
      <c r="BI111">
        <v>0</v>
      </c>
      <c r="BJ111">
        <v>0</v>
      </c>
      <c r="BK111">
        <v>0</v>
      </c>
      <c r="BL111">
        <v>178005687</v>
      </c>
      <c r="BM111">
        <v>0</v>
      </c>
      <c r="BN111">
        <v>3483</v>
      </c>
      <c r="BO111">
        <v>2290</v>
      </c>
      <c r="BP111">
        <v>0</v>
      </c>
      <c r="BQ111">
        <v>0</v>
      </c>
      <c r="BR111">
        <v>0.87260000000000004</v>
      </c>
      <c r="BS111">
        <v>0.87260000000000004</v>
      </c>
      <c r="BT111">
        <v>0</v>
      </c>
      <c r="BU111">
        <v>0</v>
      </c>
      <c r="BV111">
        <v>14</v>
      </c>
      <c r="BW111">
        <v>178</v>
      </c>
      <c r="BX111">
        <v>194</v>
      </c>
      <c r="BY111">
        <v>98</v>
      </c>
      <c r="BZ111">
        <v>13</v>
      </c>
      <c r="CA111">
        <v>497</v>
      </c>
      <c r="CB111">
        <v>0</v>
      </c>
      <c r="CC111">
        <v>0</v>
      </c>
      <c r="CD111">
        <v>0</v>
      </c>
      <c r="CE111">
        <v>120</v>
      </c>
      <c r="CF111">
        <v>121.23400000000001</v>
      </c>
      <c r="CG111">
        <v>0</v>
      </c>
      <c r="CH111">
        <v>0</v>
      </c>
      <c r="CI111">
        <v>0</v>
      </c>
      <c r="CJ111">
        <v>1</v>
      </c>
      <c r="CK111">
        <v>0</v>
      </c>
      <c r="CL111">
        <v>0</v>
      </c>
      <c r="CM111">
        <v>23.972000000000001</v>
      </c>
      <c r="CN111">
        <v>0</v>
      </c>
      <c r="CO111">
        <v>0</v>
      </c>
      <c r="CP111">
        <v>0</v>
      </c>
      <c r="CQ111">
        <v>0</v>
      </c>
      <c r="CR111">
        <v>0</v>
      </c>
      <c r="CS111">
        <v>0</v>
      </c>
      <c r="CT111">
        <v>0</v>
      </c>
      <c r="CU111">
        <v>2.8690000000000002</v>
      </c>
      <c r="CV111">
        <v>49.413000000000004</v>
      </c>
      <c r="CW111">
        <v>37.612000000000002</v>
      </c>
      <c r="CX111">
        <v>0</v>
      </c>
      <c r="CY111" s="2043">
        <v>0</v>
      </c>
      <c r="CZ111" s="2043">
        <v>0</v>
      </c>
      <c r="DA111" s="2043">
        <v>0</v>
      </c>
      <c r="DB111" s="2043">
        <v>0</v>
      </c>
      <c r="DC111" s="2043">
        <v>0</v>
      </c>
      <c r="DI111" t="s">
        <v>2892</v>
      </c>
      <c r="DJ111" t="s">
        <v>2891</v>
      </c>
      <c r="DK111" s="2042">
        <f t="shared" si="3"/>
        <v>1</v>
      </c>
    </row>
    <row r="112" spans="1:115">
      <c r="A112" t="s">
        <v>2893</v>
      </c>
      <c r="B112" t="s">
        <v>2493</v>
      </c>
      <c r="C112">
        <v>1067.394</v>
      </c>
      <c r="D112">
        <v>1071.548</v>
      </c>
      <c r="E112">
        <v>34.368000000000002</v>
      </c>
      <c r="F112">
        <v>0</v>
      </c>
      <c r="G112" s="2043">
        <v>415970267</v>
      </c>
      <c r="H112">
        <v>0</v>
      </c>
      <c r="I112" s="2043">
        <v>972830</v>
      </c>
      <c r="J112">
        <v>53.370000000000005</v>
      </c>
      <c r="K112">
        <v>146</v>
      </c>
      <c r="L112">
        <v>0</v>
      </c>
      <c r="M112">
        <v>323346</v>
      </c>
      <c r="N112">
        <v>0</v>
      </c>
      <c r="O112">
        <v>323346</v>
      </c>
      <c r="P112">
        <v>0</v>
      </c>
      <c r="Q112">
        <v>0</v>
      </c>
      <c r="R112" s="2043">
        <v>3718331</v>
      </c>
      <c r="S112">
        <v>329311</v>
      </c>
      <c r="T112">
        <v>239985</v>
      </c>
      <c r="U112">
        <v>0.08</v>
      </c>
      <c r="V112">
        <v>0</v>
      </c>
      <c r="W112">
        <v>0</v>
      </c>
      <c r="X112">
        <v>0</v>
      </c>
      <c r="Y112">
        <v>0</v>
      </c>
      <c r="Z112">
        <v>0</v>
      </c>
      <c r="AA112">
        <v>7.2000000000000008E-2</v>
      </c>
      <c r="AB112">
        <v>1063.0620000000001</v>
      </c>
      <c r="AC112" s="2043">
        <v>409572618</v>
      </c>
      <c r="AD112">
        <v>1059163</v>
      </c>
      <c r="AE112" s="2043">
        <v>4287627</v>
      </c>
      <c r="AF112">
        <v>1.0416000000000001</v>
      </c>
      <c r="AG112">
        <v>0</v>
      </c>
      <c r="AH112">
        <v>0</v>
      </c>
      <c r="AI112">
        <v>0</v>
      </c>
      <c r="AJ112">
        <v>232.47500000000002</v>
      </c>
      <c r="AK112">
        <v>6950</v>
      </c>
      <c r="AL112">
        <v>7.8E-2</v>
      </c>
      <c r="AM112">
        <v>0</v>
      </c>
      <c r="AN112">
        <v>36.777999999999999</v>
      </c>
      <c r="AO112">
        <v>0</v>
      </c>
      <c r="AP112">
        <v>0</v>
      </c>
      <c r="AQ112">
        <v>0</v>
      </c>
      <c r="AR112">
        <v>34.804000000000002</v>
      </c>
      <c r="AS112">
        <v>0</v>
      </c>
      <c r="AT112">
        <v>26.871000000000002</v>
      </c>
      <c r="AU112">
        <v>2.4450000000000003</v>
      </c>
      <c r="AV112">
        <v>0</v>
      </c>
      <c r="AW112">
        <v>64.426000000000002</v>
      </c>
      <c r="AX112">
        <v>0.22800000000000001</v>
      </c>
      <c r="AY112">
        <v>198.16400000000002</v>
      </c>
      <c r="AZ112">
        <v>0</v>
      </c>
      <c r="BA112">
        <v>9611669</v>
      </c>
      <c r="BB112">
        <v>5346790</v>
      </c>
      <c r="BC112">
        <v>0</v>
      </c>
      <c r="BD112">
        <v>0</v>
      </c>
      <c r="BE112">
        <v>135152</v>
      </c>
      <c r="BF112">
        <v>135152</v>
      </c>
      <c r="BG112">
        <v>0</v>
      </c>
      <c r="BH112">
        <v>0</v>
      </c>
      <c r="BI112">
        <v>0</v>
      </c>
      <c r="BJ112">
        <v>0</v>
      </c>
      <c r="BK112">
        <v>0</v>
      </c>
      <c r="BL112">
        <v>415970267</v>
      </c>
      <c r="BM112">
        <v>0</v>
      </c>
      <c r="BN112">
        <v>3276</v>
      </c>
      <c r="BO112">
        <v>2664</v>
      </c>
      <c r="BP112">
        <v>0</v>
      </c>
      <c r="BQ112">
        <v>0</v>
      </c>
      <c r="BR112">
        <v>0.90329999999999999</v>
      </c>
      <c r="BS112">
        <v>0.90329999999999999</v>
      </c>
      <c r="BT112">
        <v>0</v>
      </c>
      <c r="BU112">
        <v>0</v>
      </c>
      <c r="BV112">
        <v>110</v>
      </c>
      <c r="BW112">
        <v>579</v>
      </c>
      <c r="BX112">
        <v>8</v>
      </c>
      <c r="BY112">
        <v>175</v>
      </c>
      <c r="BZ112">
        <v>81</v>
      </c>
      <c r="CA112">
        <v>953</v>
      </c>
      <c r="CB112">
        <v>0</v>
      </c>
      <c r="CC112">
        <v>0</v>
      </c>
      <c r="CD112">
        <v>0</v>
      </c>
      <c r="CE112">
        <v>120</v>
      </c>
      <c r="CF112">
        <v>268.392</v>
      </c>
      <c r="CG112">
        <v>0</v>
      </c>
      <c r="CH112">
        <v>0</v>
      </c>
      <c r="CI112">
        <v>0</v>
      </c>
      <c r="CJ112">
        <v>0</v>
      </c>
      <c r="CK112">
        <v>0</v>
      </c>
      <c r="CL112">
        <v>0</v>
      </c>
      <c r="CM112">
        <v>34.368000000000002</v>
      </c>
      <c r="CN112">
        <v>0</v>
      </c>
      <c r="CO112">
        <v>0</v>
      </c>
      <c r="CP112">
        <v>0</v>
      </c>
      <c r="CQ112">
        <v>0</v>
      </c>
      <c r="CR112">
        <v>0</v>
      </c>
      <c r="CS112">
        <v>0</v>
      </c>
      <c r="CT112">
        <v>0</v>
      </c>
      <c r="CU112">
        <v>3.0640000000000001</v>
      </c>
      <c r="CV112">
        <v>67.743000000000009</v>
      </c>
      <c r="CW112">
        <v>23.051000000000002</v>
      </c>
      <c r="CX112">
        <v>0</v>
      </c>
      <c r="CY112" s="2043">
        <v>0</v>
      </c>
      <c r="CZ112" s="2043">
        <v>0</v>
      </c>
      <c r="DA112" s="2043">
        <v>0</v>
      </c>
      <c r="DB112" s="2043">
        <v>0</v>
      </c>
      <c r="DC112" s="2043">
        <v>0</v>
      </c>
      <c r="DI112" t="s">
        <v>2893</v>
      </c>
      <c r="DJ112" t="s">
        <v>2893</v>
      </c>
      <c r="DK112" s="2042">
        <f t="shared" si="3"/>
        <v>0</v>
      </c>
    </row>
    <row r="113" spans="1:115">
      <c r="A113" t="s">
        <v>4939</v>
      </c>
      <c r="B113" t="s">
        <v>1034</v>
      </c>
      <c r="C113">
        <v>1026.5450000000001</v>
      </c>
      <c r="D113">
        <v>1030.222</v>
      </c>
      <c r="E113">
        <v>5.8650000000000002</v>
      </c>
      <c r="F113">
        <v>0</v>
      </c>
      <c r="G113" s="2043">
        <v>301529090</v>
      </c>
      <c r="H113">
        <v>0</v>
      </c>
      <c r="I113" s="2043">
        <v>662175</v>
      </c>
      <c r="J113">
        <v>51.327000000000005</v>
      </c>
      <c r="K113">
        <v>140</v>
      </c>
      <c r="L113">
        <v>0</v>
      </c>
      <c r="M113">
        <v>0</v>
      </c>
      <c r="N113">
        <v>0</v>
      </c>
      <c r="O113">
        <v>0</v>
      </c>
      <c r="P113">
        <v>0</v>
      </c>
      <c r="Q113">
        <v>0</v>
      </c>
      <c r="R113" s="2043">
        <v>2540311</v>
      </c>
      <c r="S113">
        <v>240474</v>
      </c>
      <c r="T113">
        <v>175246</v>
      </c>
      <c r="U113">
        <v>0.08</v>
      </c>
      <c r="V113">
        <v>0</v>
      </c>
      <c r="W113">
        <v>0</v>
      </c>
      <c r="X113">
        <v>0</v>
      </c>
      <c r="Y113">
        <v>0</v>
      </c>
      <c r="Z113">
        <v>18.217000000000002</v>
      </c>
      <c r="AA113">
        <v>0</v>
      </c>
      <c r="AB113">
        <v>1028.473</v>
      </c>
      <c r="AC113" s="2043">
        <v>259867183</v>
      </c>
      <c r="AD113">
        <v>533833</v>
      </c>
      <c r="AE113" s="2043">
        <v>2956031</v>
      </c>
      <c r="AF113">
        <v>0.98340000000000005</v>
      </c>
      <c r="AG113">
        <v>0</v>
      </c>
      <c r="AH113">
        <v>0</v>
      </c>
      <c r="AI113">
        <v>0</v>
      </c>
      <c r="AJ113">
        <v>130.94999999999999</v>
      </c>
      <c r="AK113">
        <v>3652</v>
      </c>
      <c r="AL113">
        <v>5.5E-2</v>
      </c>
      <c r="AM113">
        <v>0</v>
      </c>
      <c r="AN113">
        <v>31.973000000000003</v>
      </c>
      <c r="AO113">
        <v>0</v>
      </c>
      <c r="AP113">
        <v>5.8520000000000003</v>
      </c>
      <c r="AQ113">
        <v>0</v>
      </c>
      <c r="AR113">
        <v>18.146000000000001</v>
      </c>
      <c r="AS113">
        <v>0</v>
      </c>
      <c r="AT113">
        <v>2.3410000000000002</v>
      </c>
      <c r="AU113">
        <v>2.2909999999999999</v>
      </c>
      <c r="AV113">
        <v>0</v>
      </c>
      <c r="AW113">
        <v>28.685000000000002</v>
      </c>
      <c r="AX113">
        <v>0</v>
      </c>
      <c r="AY113">
        <v>88.991</v>
      </c>
      <c r="AZ113">
        <v>0</v>
      </c>
      <c r="BA113">
        <v>9242315</v>
      </c>
      <c r="BB113">
        <v>3489864</v>
      </c>
      <c r="BC113">
        <v>0</v>
      </c>
      <c r="BD113">
        <v>0</v>
      </c>
      <c r="BE113">
        <v>15150</v>
      </c>
      <c r="BF113">
        <v>15150</v>
      </c>
      <c r="BG113">
        <v>0</v>
      </c>
      <c r="BH113">
        <v>0</v>
      </c>
      <c r="BI113">
        <v>0</v>
      </c>
      <c r="BJ113">
        <v>0</v>
      </c>
      <c r="BK113">
        <v>0</v>
      </c>
      <c r="BL113">
        <v>301529090</v>
      </c>
      <c r="BM113">
        <v>0</v>
      </c>
      <c r="BN113">
        <v>4086</v>
      </c>
      <c r="BO113">
        <v>2964</v>
      </c>
      <c r="BP113">
        <v>0</v>
      </c>
      <c r="BQ113">
        <v>0</v>
      </c>
      <c r="BR113">
        <v>0.84510000000000007</v>
      </c>
      <c r="BS113">
        <v>0.84510000000000007</v>
      </c>
      <c r="BT113">
        <v>0</v>
      </c>
      <c r="BU113">
        <v>0</v>
      </c>
      <c r="BV113">
        <v>345</v>
      </c>
      <c r="BW113">
        <v>114</v>
      </c>
      <c r="BX113">
        <v>80</v>
      </c>
      <c r="BY113">
        <v>6</v>
      </c>
      <c r="BZ113">
        <v>17</v>
      </c>
      <c r="CA113">
        <v>562</v>
      </c>
      <c r="CB113">
        <v>0</v>
      </c>
      <c r="CC113">
        <v>0</v>
      </c>
      <c r="CD113">
        <v>0</v>
      </c>
      <c r="CE113">
        <v>151</v>
      </c>
      <c r="CF113">
        <v>144.762</v>
      </c>
      <c r="CG113">
        <v>0</v>
      </c>
      <c r="CH113">
        <v>0</v>
      </c>
      <c r="CI113">
        <v>1</v>
      </c>
      <c r="CJ113">
        <v>10</v>
      </c>
      <c r="CK113">
        <v>0</v>
      </c>
      <c r="CL113">
        <v>0</v>
      </c>
      <c r="CM113">
        <v>5.8650000000000002</v>
      </c>
      <c r="CN113">
        <v>0</v>
      </c>
      <c r="CO113">
        <v>0</v>
      </c>
      <c r="CP113">
        <v>0</v>
      </c>
      <c r="CQ113">
        <v>0</v>
      </c>
      <c r="CR113">
        <v>0</v>
      </c>
      <c r="CS113">
        <v>0</v>
      </c>
      <c r="CT113">
        <v>0</v>
      </c>
      <c r="CU113">
        <v>0</v>
      </c>
      <c r="CV113">
        <v>67.451000000000008</v>
      </c>
      <c r="CW113">
        <v>36.356999999999999</v>
      </c>
      <c r="CX113">
        <v>0</v>
      </c>
      <c r="CY113" s="2043">
        <v>0</v>
      </c>
      <c r="CZ113" s="2043">
        <v>0</v>
      </c>
      <c r="DA113" s="2043">
        <v>0</v>
      </c>
      <c r="DB113" s="2043">
        <v>0</v>
      </c>
      <c r="DC113" s="2043">
        <v>0</v>
      </c>
      <c r="DI113" t="s">
        <v>4939</v>
      </c>
      <c r="DJ113" t="s">
        <v>4939</v>
      </c>
      <c r="DK113" s="2042">
        <f t="shared" si="3"/>
        <v>0</v>
      </c>
    </row>
    <row r="114" spans="1:115">
      <c r="A114" t="s">
        <v>4940</v>
      </c>
      <c r="B114" t="s">
        <v>1035</v>
      </c>
      <c r="C114">
        <v>6348.3310000000001</v>
      </c>
      <c r="D114">
        <v>6711.4580000000005</v>
      </c>
      <c r="E114">
        <v>478.32800000000003</v>
      </c>
      <c r="F114">
        <v>0</v>
      </c>
      <c r="G114" s="2043">
        <v>2203831926</v>
      </c>
      <c r="H114">
        <v>0</v>
      </c>
      <c r="I114" s="2043">
        <v>5279200</v>
      </c>
      <c r="J114">
        <v>317.41700000000003</v>
      </c>
      <c r="K114">
        <v>868</v>
      </c>
      <c r="L114">
        <v>11690</v>
      </c>
      <c r="M114">
        <v>1424472</v>
      </c>
      <c r="N114">
        <v>11690</v>
      </c>
      <c r="O114">
        <v>1436162</v>
      </c>
      <c r="P114">
        <v>0</v>
      </c>
      <c r="Q114">
        <v>0</v>
      </c>
      <c r="R114" s="2043">
        <v>20214006</v>
      </c>
      <c r="S114">
        <v>1770441</v>
      </c>
      <c r="T114">
        <v>1290208</v>
      </c>
      <c r="U114">
        <v>0.08</v>
      </c>
      <c r="V114">
        <v>0</v>
      </c>
      <c r="W114">
        <v>0</v>
      </c>
      <c r="X114">
        <v>0</v>
      </c>
      <c r="Y114">
        <v>0</v>
      </c>
      <c r="Z114">
        <v>114.762</v>
      </c>
      <c r="AA114">
        <v>0.66800000000000004</v>
      </c>
      <c r="AB114">
        <v>6388.223</v>
      </c>
      <c r="AC114" s="2043">
        <v>2126856680</v>
      </c>
      <c r="AD114">
        <v>5629978</v>
      </c>
      <c r="AE114" s="2043">
        <v>23274655</v>
      </c>
      <c r="AF114">
        <v>1.0517000000000001</v>
      </c>
      <c r="AG114">
        <v>0</v>
      </c>
      <c r="AH114">
        <v>0</v>
      </c>
      <c r="AI114">
        <v>0</v>
      </c>
      <c r="AJ114">
        <v>1381.425</v>
      </c>
      <c r="AK114">
        <v>21958</v>
      </c>
      <c r="AL114">
        <v>0.89400000000000002</v>
      </c>
      <c r="AM114">
        <v>0</v>
      </c>
      <c r="AN114">
        <v>204.458</v>
      </c>
      <c r="AO114">
        <v>0</v>
      </c>
      <c r="AP114">
        <v>0</v>
      </c>
      <c r="AQ114">
        <v>0</v>
      </c>
      <c r="AR114">
        <v>151.286</v>
      </c>
      <c r="AS114">
        <v>0</v>
      </c>
      <c r="AT114">
        <v>74.603000000000009</v>
      </c>
      <c r="AU114">
        <v>10.462</v>
      </c>
      <c r="AV114">
        <v>0</v>
      </c>
      <c r="AW114">
        <v>237.245</v>
      </c>
      <c r="AX114">
        <v>0</v>
      </c>
      <c r="AY114">
        <v>734.447</v>
      </c>
      <c r="AZ114">
        <v>0</v>
      </c>
      <c r="BA114">
        <v>43092547</v>
      </c>
      <c r="BB114">
        <v>28904633</v>
      </c>
      <c r="BC114">
        <v>0</v>
      </c>
      <c r="BD114">
        <v>0</v>
      </c>
      <c r="BE114">
        <v>47075</v>
      </c>
      <c r="BF114">
        <v>47075</v>
      </c>
      <c r="BG114">
        <v>0</v>
      </c>
      <c r="BH114">
        <v>0</v>
      </c>
      <c r="BI114">
        <v>0</v>
      </c>
      <c r="BJ114">
        <v>0</v>
      </c>
      <c r="BK114">
        <v>0</v>
      </c>
      <c r="BL114">
        <v>2203831926</v>
      </c>
      <c r="BM114">
        <v>0</v>
      </c>
      <c r="BN114">
        <v>29358</v>
      </c>
      <c r="BO114">
        <v>17345</v>
      </c>
      <c r="BP114">
        <v>12426</v>
      </c>
      <c r="BQ114">
        <v>0</v>
      </c>
      <c r="BR114">
        <v>0.91339999999999999</v>
      </c>
      <c r="BS114">
        <v>0.91339999999999999</v>
      </c>
      <c r="BT114">
        <v>0</v>
      </c>
      <c r="BU114">
        <v>0</v>
      </c>
      <c r="BV114">
        <v>1295</v>
      </c>
      <c r="BW114">
        <v>533</v>
      </c>
      <c r="BX114">
        <v>736</v>
      </c>
      <c r="BY114">
        <v>805</v>
      </c>
      <c r="BZ114">
        <v>2066</v>
      </c>
      <c r="CA114">
        <v>5435</v>
      </c>
      <c r="CB114">
        <v>0</v>
      </c>
      <c r="CC114">
        <v>105.452</v>
      </c>
      <c r="CD114">
        <v>0</v>
      </c>
      <c r="CE114">
        <v>490</v>
      </c>
      <c r="CF114">
        <v>1858.248</v>
      </c>
      <c r="CG114">
        <v>50.823</v>
      </c>
      <c r="CH114">
        <v>0</v>
      </c>
      <c r="CI114">
        <v>1</v>
      </c>
      <c r="CJ114">
        <v>39</v>
      </c>
      <c r="CK114">
        <v>0</v>
      </c>
      <c r="CL114">
        <v>50.823</v>
      </c>
      <c r="CM114">
        <v>478.32800000000003</v>
      </c>
      <c r="CN114">
        <v>0</v>
      </c>
      <c r="CO114">
        <v>0</v>
      </c>
      <c r="CP114">
        <v>11176</v>
      </c>
      <c r="CQ114">
        <v>1250</v>
      </c>
      <c r="CR114">
        <v>0</v>
      </c>
      <c r="CS114">
        <v>0</v>
      </c>
      <c r="CT114">
        <v>0</v>
      </c>
      <c r="CU114">
        <v>11.254000000000001</v>
      </c>
      <c r="CV114">
        <v>321.41500000000002</v>
      </c>
      <c r="CW114">
        <v>220.589</v>
      </c>
      <c r="CX114">
        <v>0</v>
      </c>
      <c r="CY114" s="2043">
        <v>0</v>
      </c>
      <c r="CZ114" s="2043">
        <v>0</v>
      </c>
      <c r="DA114" s="2043">
        <v>0</v>
      </c>
      <c r="DB114" s="2043">
        <v>0</v>
      </c>
      <c r="DC114" s="2043">
        <v>0</v>
      </c>
      <c r="DI114" t="s">
        <v>4940</v>
      </c>
      <c r="DJ114" t="s">
        <v>4940</v>
      </c>
      <c r="DK114" s="2042">
        <f t="shared" si="3"/>
        <v>0</v>
      </c>
    </row>
    <row r="115" spans="1:115">
      <c r="A115" t="s">
        <v>4941</v>
      </c>
      <c r="B115" t="s">
        <v>1057</v>
      </c>
      <c r="C115">
        <v>1857.9650000000001</v>
      </c>
      <c r="D115">
        <v>2127.5619999999999</v>
      </c>
      <c r="E115">
        <v>49.76</v>
      </c>
      <c r="F115">
        <v>0</v>
      </c>
      <c r="G115" s="2043">
        <v>597656974</v>
      </c>
      <c r="H115">
        <v>0</v>
      </c>
      <c r="I115" s="2043">
        <v>1360572</v>
      </c>
      <c r="J115">
        <v>77</v>
      </c>
      <c r="K115">
        <v>211</v>
      </c>
      <c r="L115">
        <v>47806</v>
      </c>
      <c r="M115">
        <v>542896</v>
      </c>
      <c r="N115">
        <v>47806</v>
      </c>
      <c r="O115">
        <v>590702</v>
      </c>
      <c r="P115">
        <v>0</v>
      </c>
      <c r="Q115">
        <v>0</v>
      </c>
      <c r="R115" s="2043">
        <v>5478201</v>
      </c>
      <c r="S115">
        <v>480702</v>
      </c>
      <c r="T115">
        <v>350312</v>
      </c>
      <c r="U115">
        <v>0.08</v>
      </c>
      <c r="V115">
        <v>0</v>
      </c>
      <c r="W115">
        <v>0</v>
      </c>
      <c r="X115">
        <v>0</v>
      </c>
      <c r="Y115">
        <v>0</v>
      </c>
      <c r="Z115">
        <v>0</v>
      </c>
      <c r="AA115">
        <v>0.376</v>
      </c>
      <c r="AB115">
        <v>2032.5060000000001</v>
      </c>
      <c r="AC115" s="2043">
        <v>576875106</v>
      </c>
      <c r="AD115">
        <v>1198741</v>
      </c>
      <c r="AE115" s="2043">
        <v>6309215</v>
      </c>
      <c r="AF115">
        <v>1.05</v>
      </c>
      <c r="AG115">
        <v>0</v>
      </c>
      <c r="AH115">
        <v>0</v>
      </c>
      <c r="AI115">
        <v>0</v>
      </c>
      <c r="AJ115">
        <v>461.77500000000003</v>
      </c>
      <c r="AK115">
        <v>8478</v>
      </c>
      <c r="AL115">
        <v>0.308</v>
      </c>
      <c r="AM115">
        <v>0</v>
      </c>
      <c r="AN115">
        <v>3.141</v>
      </c>
      <c r="AO115">
        <v>0</v>
      </c>
      <c r="AP115">
        <v>0.27700000000000002</v>
      </c>
      <c r="AQ115">
        <v>0</v>
      </c>
      <c r="AR115">
        <v>78.844999999999999</v>
      </c>
      <c r="AS115">
        <v>0</v>
      </c>
      <c r="AT115">
        <v>26.865000000000002</v>
      </c>
      <c r="AU115">
        <v>4.3680000000000003</v>
      </c>
      <c r="AV115">
        <v>0</v>
      </c>
      <c r="AW115">
        <v>110.66800000000001</v>
      </c>
      <c r="AX115">
        <v>5.0000000000000001E-3</v>
      </c>
      <c r="AY115">
        <v>341.26900000000001</v>
      </c>
      <c r="AZ115">
        <v>0</v>
      </c>
      <c r="BA115">
        <v>14877572</v>
      </c>
      <c r="BB115">
        <v>7507956</v>
      </c>
      <c r="BC115">
        <v>0</v>
      </c>
      <c r="BD115">
        <v>0</v>
      </c>
      <c r="BE115">
        <v>26510</v>
      </c>
      <c r="BF115">
        <v>26510</v>
      </c>
      <c r="BG115">
        <v>0</v>
      </c>
      <c r="BH115">
        <v>0</v>
      </c>
      <c r="BI115">
        <v>0</v>
      </c>
      <c r="BJ115">
        <v>0</v>
      </c>
      <c r="BK115">
        <v>0</v>
      </c>
      <c r="BL115">
        <v>597656974</v>
      </c>
      <c r="BM115">
        <v>0</v>
      </c>
      <c r="BN115">
        <v>6696</v>
      </c>
      <c r="BO115">
        <v>3349</v>
      </c>
      <c r="BP115">
        <v>137040</v>
      </c>
      <c r="BQ115">
        <v>0</v>
      </c>
      <c r="BR115">
        <v>0.91170000000000007</v>
      </c>
      <c r="BS115">
        <v>0.91170000000000007</v>
      </c>
      <c r="BT115">
        <v>0</v>
      </c>
      <c r="BU115">
        <v>0</v>
      </c>
      <c r="BV115">
        <v>207</v>
      </c>
      <c r="BW115">
        <v>80</v>
      </c>
      <c r="BX115">
        <v>531</v>
      </c>
      <c r="BY115">
        <v>154</v>
      </c>
      <c r="BZ115">
        <v>811</v>
      </c>
      <c r="CA115">
        <v>1783</v>
      </c>
      <c r="CB115">
        <v>0</v>
      </c>
      <c r="CC115">
        <v>0</v>
      </c>
      <c r="CD115">
        <v>0</v>
      </c>
      <c r="CE115">
        <v>99</v>
      </c>
      <c r="CF115">
        <v>520.95900000000006</v>
      </c>
      <c r="CG115">
        <v>0</v>
      </c>
      <c r="CH115">
        <v>0</v>
      </c>
      <c r="CI115">
        <v>0</v>
      </c>
      <c r="CJ115">
        <v>0</v>
      </c>
      <c r="CK115">
        <v>0</v>
      </c>
      <c r="CL115">
        <v>0</v>
      </c>
      <c r="CM115">
        <v>49.76</v>
      </c>
      <c r="CN115">
        <v>29521</v>
      </c>
      <c r="CO115">
        <v>46883</v>
      </c>
      <c r="CP115">
        <v>55136</v>
      </c>
      <c r="CQ115">
        <v>5500</v>
      </c>
      <c r="CR115">
        <v>0</v>
      </c>
      <c r="CS115">
        <v>0</v>
      </c>
      <c r="CT115">
        <v>0</v>
      </c>
      <c r="CU115">
        <v>2.8570000000000002</v>
      </c>
      <c r="CV115">
        <v>112.38600000000001</v>
      </c>
      <c r="CW115">
        <v>49.045000000000002</v>
      </c>
      <c r="CX115">
        <v>0</v>
      </c>
      <c r="CY115" s="2043">
        <v>0</v>
      </c>
      <c r="CZ115" s="2043">
        <v>0</v>
      </c>
      <c r="DA115" s="2043">
        <v>0</v>
      </c>
      <c r="DB115" s="2043">
        <v>0</v>
      </c>
      <c r="DC115" s="2043">
        <v>0</v>
      </c>
      <c r="DI115" t="s">
        <v>4941</v>
      </c>
      <c r="DJ115" t="s">
        <v>4941</v>
      </c>
      <c r="DK115" s="2042">
        <f t="shared" si="3"/>
        <v>0</v>
      </c>
    </row>
    <row r="116" spans="1:115">
      <c r="A116" t="s">
        <v>2894</v>
      </c>
      <c r="B116" t="s">
        <v>2018</v>
      </c>
      <c r="C116">
        <v>441.08700000000005</v>
      </c>
      <c r="D116">
        <v>458.42600000000004</v>
      </c>
      <c r="E116">
        <v>3.903</v>
      </c>
      <c r="F116">
        <v>0</v>
      </c>
      <c r="G116" s="2043">
        <v>143558637</v>
      </c>
      <c r="H116">
        <v>0</v>
      </c>
      <c r="I116" s="2043">
        <v>120575</v>
      </c>
      <c r="J116">
        <v>22.054000000000002</v>
      </c>
      <c r="K116">
        <v>60</v>
      </c>
      <c r="L116">
        <v>6730</v>
      </c>
      <c r="M116">
        <v>112123</v>
      </c>
      <c r="N116">
        <v>6730</v>
      </c>
      <c r="O116">
        <v>118853</v>
      </c>
      <c r="P116">
        <v>0</v>
      </c>
      <c r="Q116">
        <v>0</v>
      </c>
      <c r="R116" s="2043">
        <v>1164534</v>
      </c>
      <c r="S116">
        <v>113337</v>
      </c>
      <c r="T116">
        <v>82594</v>
      </c>
      <c r="U116">
        <v>0.08</v>
      </c>
      <c r="V116">
        <v>0</v>
      </c>
      <c r="W116">
        <v>0</v>
      </c>
      <c r="X116">
        <v>0</v>
      </c>
      <c r="Y116">
        <v>0</v>
      </c>
      <c r="Z116">
        <v>0</v>
      </c>
      <c r="AA116">
        <v>0</v>
      </c>
      <c r="AB116">
        <v>444.51600000000002</v>
      </c>
      <c r="AC116" s="2043">
        <v>119084549</v>
      </c>
      <c r="AD116">
        <v>8377</v>
      </c>
      <c r="AE116" s="2043">
        <v>1360465</v>
      </c>
      <c r="AF116">
        <v>0.96030000000000004</v>
      </c>
      <c r="AG116">
        <v>0</v>
      </c>
      <c r="AH116">
        <v>0</v>
      </c>
      <c r="AI116">
        <v>0</v>
      </c>
      <c r="AJ116">
        <v>50.688000000000002</v>
      </c>
      <c r="AK116">
        <v>1629</v>
      </c>
      <c r="AL116">
        <v>0.161</v>
      </c>
      <c r="AM116">
        <v>0</v>
      </c>
      <c r="AN116">
        <v>20.477</v>
      </c>
      <c r="AO116">
        <v>0</v>
      </c>
      <c r="AP116">
        <v>1.647</v>
      </c>
      <c r="AQ116">
        <v>0</v>
      </c>
      <c r="AR116">
        <v>5.7110000000000003</v>
      </c>
      <c r="AS116">
        <v>0</v>
      </c>
      <c r="AT116">
        <v>0</v>
      </c>
      <c r="AU116">
        <v>0.5</v>
      </c>
      <c r="AV116">
        <v>0</v>
      </c>
      <c r="AW116">
        <v>8.0190000000000001</v>
      </c>
      <c r="AX116">
        <v>0</v>
      </c>
      <c r="AY116">
        <v>24.885000000000002</v>
      </c>
      <c r="AZ116">
        <v>0</v>
      </c>
      <c r="BA116">
        <v>4473006</v>
      </c>
      <c r="BB116">
        <v>1368842</v>
      </c>
      <c r="BC116">
        <v>0</v>
      </c>
      <c r="BD116">
        <v>0</v>
      </c>
      <c r="BE116">
        <v>0</v>
      </c>
      <c r="BF116">
        <v>0</v>
      </c>
      <c r="BG116">
        <v>0</v>
      </c>
      <c r="BH116">
        <v>0</v>
      </c>
      <c r="BI116">
        <v>0</v>
      </c>
      <c r="BJ116">
        <v>0</v>
      </c>
      <c r="BK116">
        <v>0</v>
      </c>
      <c r="BL116">
        <v>143558637</v>
      </c>
      <c r="BM116">
        <v>0</v>
      </c>
      <c r="BN116">
        <v>1584</v>
      </c>
      <c r="BO116">
        <v>1723</v>
      </c>
      <c r="BP116">
        <v>0</v>
      </c>
      <c r="BQ116">
        <v>0</v>
      </c>
      <c r="BR116">
        <v>0.82200000000000006</v>
      </c>
      <c r="BS116">
        <v>0.82200000000000006</v>
      </c>
      <c r="BT116">
        <v>0</v>
      </c>
      <c r="BU116">
        <v>0</v>
      </c>
      <c r="BV116">
        <v>169</v>
      </c>
      <c r="BW116">
        <v>31</v>
      </c>
      <c r="BX116">
        <v>6</v>
      </c>
      <c r="BY116">
        <v>4</v>
      </c>
      <c r="BZ116">
        <v>10</v>
      </c>
      <c r="CA116">
        <v>220</v>
      </c>
      <c r="CB116">
        <v>0</v>
      </c>
      <c r="CC116">
        <v>0</v>
      </c>
      <c r="CD116">
        <v>0</v>
      </c>
      <c r="CE116">
        <v>39</v>
      </c>
      <c r="CF116">
        <v>51.236000000000004</v>
      </c>
      <c r="CG116">
        <v>0</v>
      </c>
      <c r="CH116">
        <v>0</v>
      </c>
      <c r="CI116">
        <v>0</v>
      </c>
      <c r="CJ116">
        <v>1</v>
      </c>
      <c r="CK116">
        <v>0</v>
      </c>
      <c r="CL116">
        <v>0</v>
      </c>
      <c r="CM116">
        <v>3.903</v>
      </c>
      <c r="CN116">
        <v>0</v>
      </c>
      <c r="CO116">
        <v>0</v>
      </c>
      <c r="CP116">
        <v>0</v>
      </c>
      <c r="CQ116">
        <v>0</v>
      </c>
      <c r="CR116">
        <v>0</v>
      </c>
      <c r="CS116">
        <v>0</v>
      </c>
      <c r="CT116">
        <v>0</v>
      </c>
      <c r="CU116">
        <v>0</v>
      </c>
      <c r="CV116">
        <v>24.817</v>
      </c>
      <c r="CW116">
        <v>22.213000000000001</v>
      </c>
      <c r="CX116">
        <v>0</v>
      </c>
      <c r="CY116" s="2043">
        <v>0</v>
      </c>
      <c r="CZ116" s="2043">
        <v>0</v>
      </c>
      <c r="DA116" s="2043">
        <v>0</v>
      </c>
      <c r="DB116" s="2043">
        <v>0</v>
      </c>
      <c r="DC116" s="2043">
        <v>0</v>
      </c>
      <c r="DI116" t="s">
        <v>2894</v>
      </c>
      <c r="DJ116" t="s">
        <v>2894</v>
      </c>
      <c r="DK116" s="2042">
        <f t="shared" si="3"/>
        <v>0</v>
      </c>
    </row>
    <row r="117" spans="1:115">
      <c r="A117" t="s">
        <v>2895</v>
      </c>
      <c r="B117" t="s">
        <v>931</v>
      </c>
      <c r="C117">
        <v>166.84800000000001</v>
      </c>
      <c r="D117">
        <v>205.96300000000002</v>
      </c>
      <c r="E117">
        <v>0</v>
      </c>
      <c r="F117">
        <v>0</v>
      </c>
      <c r="G117" s="2043">
        <v>28232819</v>
      </c>
      <c r="H117">
        <v>0</v>
      </c>
      <c r="I117" s="2043">
        <v>73325</v>
      </c>
      <c r="J117">
        <v>8.3420000000000005</v>
      </c>
      <c r="K117">
        <v>23</v>
      </c>
      <c r="L117">
        <v>58538</v>
      </c>
      <c r="M117">
        <v>14787</v>
      </c>
      <c r="N117">
        <v>58538</v>
      </c>
      <c r="O117">
        <v>73325</v>
      </c>
      <c r="P117">
        <v>0</v>
      </c>
      <c r="Q117">
        <v>0</v>
      </c>
      <c r="R117" s="2043">
        <v>205387</v>
      </c>
      <c r="S117">
        <v>12493</v>
      </c>
      <c r="T117">
        <v>0</v>
      </c>
      <c r="U117">
        <v>0.05</v>
      </c>
      <c r="V117">
        <v>0</v>
      </c>
      <c r="W117">
        <v>0</v>
      </c>
      <c r="X117">
        <v>0</v>
      </c>
      <c r="Y117">
        <v>0</v>
      </c>
      <c r="Z117">
        <v>0</v>
      </c>
      <c r="AA117">
        <v>0</v>
      </c>
      <c r="AB117">
        <v>196.29</v>
      </c>
      <c r="AC117" s="2043">
        <v>22285882</v>
      </c>
      <c r="AD117">
        <v>13147</v>
      </c>
      <c r="AE117" s="2043">
        <v>217880</v>
      </c>
      <c r="AF117">
        <v>0.872</v>
      </c>
      <c r="AG117">
        <v>0</v>
      </c>
      <c r="AH117">
        <v>0</v>
      </c>
      <c r="AI117">
        <v>0</v>
      </c>
      <c r="AJ117">
        <v>24.900000000000002</v>
      </c>
      <c r="AK117">
        <v>664</v>
      </c>
      <c r="AL117">
        <v>0</v>
      </c>
      <c r="AM117">
        <v>0</v>
      </c>
      <c r="AN117">
        <v>2.0780000000000003</v>
      </c>
      <c r="AO117">
        <v>0</v>
      </c>
      <c r="AP117">
        <v>0</v>
      </c>
      <c r="AQ117">
        <v>0</v>
      </c>
      <c r="AR117">
        <v>4.8100000000000005</v>
      </c>
      <c r="AS117">
        <v>0</v>
      </c>
      <c r="AT117">
        <v>0</v>
      </c>
      <c r="AU117">
        <v>0.35600000000000004</v>
      </c>
      <c r="AV117">
        <v>0</v>
      </c>
      <c r="AW117">
        <v>5.1660000000000004</v>
      </c>
      <c r="AX117">
        <v>0</v>
      </c>
      <c r="AY117">
        <v>16.21</v>
      </c>
      <c r="AZ117">
        <v>0</v>
      </c>
      <c r="BA117">
        <v>1983182</v>
      </c>
      <c r="BB117">
        <v>231027</v>
      </c>
      <c r="BC117">
        <v>0</v>
      </c>
      <c r="BD117">
        <v>0</v>
      </c>
      <c r="BE117">
        <v>0</v>
      </c>
      <c r="BF117">
        <v>0</v>
      </c>
      <c r="BG117">
        <v>0</v>
      </c>
      <c r="BH117">
        <v>0</v>
      </c>
      <c r="BI117">
        <v>0</v>
      </c>
      <c r="BJ117">
        <v>0</v>
      </c>
      <c r="BK117">
        <v>75065</v>
      </c>
      <c r="BL117">
        <v>28232819</v>
      </c>
      <c r="BM117">
        <v>0</v>
      </c>
      <c r="BN117">
        <v>0</v>
      </c>
      <c r="BO117">
        <v>0</v>
      </c>
      <c r="BP117">
        <v>0</v>
      </c>
      <c r="BQ117">
        <v>0</v>
      </c>
      <c r="BR117">
        <v>0.82200000000000006</v>
      </c>
      <c r="BS117">
        <v>0.82200000000000006</v>
      </c>
      <c r="BT117">
        <v>0</v>
      </c>
      <c r="BU117">
        <v>0</v>
      </c>
      <c r="BV117">
        <v>49</v>
      </c>
      <c r="BW117">
        <v>35</v>
      </c>
      <c r="BX117">
        <v>3</v>
      </c>
      <c r="BY117">
        <v>11</v>
      </c>
      <c r="BZ117">
        <v>7</v>
      </c>
      <c r="CA117">
        <v>105</v>
      </c>
      <c r="CB117">
        <v>0</v>
      </c>
      <c r="CC117">
        <v>0</v>
      </c>
      <c r="CD117">
        <v>0</v>
      </c>
      <c r="CE117">
        <v>14</v>
      </c>
      <c r="CF117">
        <v>44.771000000000001</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s="2043">
        <v>0</v>
      </c>
      <c r="CZ117" s="2043">
        <v>0</v>
      </c>
      <c r="DA117" s="2043">
        <v>75065</v>
      </c>
      <c r="DB117" s="2043">
        <v>0</v>
      </c>
      <c r="DC117" s="2043">
        <v>0</v>
      </c>
      <c r="DI117" t="s">
        <v>2895</v>
      </c>
      <c r="DJ117" t="s">
        <v>2895</v>
      </c>
      <c r="DK117" s="2042">
        <f t="shared" si="3"/>
        <v>0</v>
      </c>
    </row>
    <row r="118" spans="1:115">
      <c r="A118" t="s">
        <v>4942</v>
      </c>
      <c r="B118" t="s">
        <v>796</v>
      </c>
      <c r="C118">
        <v>489.70700000000005</v>
      </c>
      <c r="D118">
        <v>508.21600000000001</v>
      </c>
      <c r="E118">
        <v>1.909</v>
      </c>
      <c r="F118">
        <v>0</v>
      </c>
      <c r="G118" s="2043">
        <v>264466569</v>
      </c>
      <c r="H118">
        <v>0</v>
      </c>
      <c r="I118" s="2043">
        <v>331162</v>
      </c>
      <c r="J118">
        <v>24.484999999999999</v>
      </c>
      <c r="K118">
        <v>67</v>
      </c>
      <c r="L118">
        <v>0</v>
      </c>
      <c r="M118">
        <v>0</v>
      </c>
      <c r="N118">
        <v>0</v>
      </c>
      <c r="O118">
        <v>0</v>
      </c>
      <c r="P118">
        <v>0</v>
      </c>
      <c r="Q118">
        <v>0</v>
      </c>
      <c r="R118" s="2043">
        <v>2282552</v>
      </c>
      <c r="S118">
        <v>131151</v>
      </c>
      <c r="T118">
        <v>0</v>
      </c>
      <c r="U118">
        <v>0.05</v>
      </c>
      <c r="V118">
        <v>0</v>
      </c>
      <c r="W118">
        <v>0</v>
      </c>
      <c r="X118">
        <v>0</v>
      </c>
      <c r="Y118">
        <v>0</v>
      </c>
      <c r="Z118">
        <v>0</v>
      </c>
      <c r="AA118">
        <v>0</v>
      </c>
      <c r="AB118">
        <v>485.55200000000002</v>
      </c>
      <c r="AC118" s="2043">
        <v>235249879</v>
      </c>
      <c r="AD118">
        <v>446075</v>
      </c>
      <c r="AE118" s="2043">
        <v>2413703</v>
      </c>
      <c r="AF118">
        <v>0.92020000000000002</v>
      </c>
      <c r="AG118">
        <v>0</v>
      </c>
      <c r="AH118">
        <v>0</v>
      </c>
      <c r="AI118">
        <v>0</v>
      </c>
      <c r="AJ118">
        <v>14.438000000000001</v>
      </c>
      <c r="AK118">
        <v>963</v>
      </c>
      <c r="AL118">
        <v>0</v>
      </c>
      <c r="AM118">
        <v>0</v>
      </c>
      <c r="AN118">
        <v>3.2330000000000001</v>
      </c>
      <c r="AO118">
        <v>1</v>
      </c>
      <c r="AP118">
        <v>0.68900000000000006</v>
      </c>
      <c r="AQ118">
        <v>0</v>
      </c>
      <c r="AR118">
        <v>5.843</v>
      </c>
      <c r="AS118">
        <v>0</v>
      </c>
      <c r="AT118">
        <v>0.38800000000000001</v>
      </c>
      <c r="AU118">
        <v>0.67900000000000005</v>
      </c>
      <c r="AV118">
        <v>0</v>
      </c>
      <c r="AW118">
        <v>7.5990000000000002</v>
      </c>
      <c r="AX118">
        <v>0</v>
      </c>
      <c r="AY118">
        <v>23.948</v>
      </c>
      <c r="AZ118">
        <v>0</v>
      </c>
      <c r="BA118">
        <v>2934046</v>
      </c>
      <c r="BB118">
        <v>2859778</v>
      </c>
      <c r="BC118">
        <v>0</v>
      </c>
      <c r="BD118">
        <v>0</v>
      </c>
      <c r="BE118">
        <v>0</v>
      </c>
      <c r="BF118">
        <v>0</v>
      </c>
      <c r="BG118">
        <v>0</v>
      </c>
      <c r="BH118">
        <v>0</v>
      </c>
      <c r="BI118">
        <v>0</v>
      </c>
      <c r="BJ118">
        <v>0</v>
      </c>
      <c r="BK118">
        <v>254979</v>
      </c>
      <c r="BL118">
        <v>264466569</v>
      </c>
      <c r="BM118">
        <v>0</v>
      </c>
      <c r="BN118">
        <v>0</v>
      </c>
      <c r="BO118">
        <v>0</v>
      </c>
      <c r="BP118">
        <v>0</v>
      </c>
      <c r="BQ118">
        <v>0</v>
      </c>
      <c r="BR118">
        <v>0.87020000000000008</v>
      </c>
      <c r="BS118">
        <v>0.87020000000000008</v>
      </c>
      <c r="BT118">
        <v>0</v>
      </c>
      <c r="BU118">
        <v>0</v>
      </c>
      <c r="BV118">
        <v>43</v>
      </c>
      <c r="BW118">
        <v>8</v>
      </c>
      <c r="BX118">
        <v>6</v>
      </c>
      <c r="BY118">
        <v>1</v>
      </c>
      <c r="BZ118">
        <v>4</v>
      </c>
      <c r="CA118">
        <v>62</v>
      </c>
      <c r="CB118">
        <v>0</v>
      </c>
      <c r="CC118">
        <v>0</v>
      </c>
      <c r="CD118">
        <v>0</v>
      </c>
      <c r="CE118">
        <v>68</v>
      </c>
      <c r="CF118">
        <v>25.337</v>
      </c>
      <c r="CG118">
        <v>0</v>
      </c>
      <c r="CH118">
        <v>0</v>
      </c>
      <c r="CI118">
        <v>0</v>
      </c>
      <c r="CJ118">
        <v>0</v>
      </c>
      <c r="CK118">
        <v>0</v>
      </c>
      <c r="CL118">
        <v>0</v>
      </c>
      <c r="CM118">
        <v>1.909</v>
      </c>
      <c r="CN118">
        <v>0</v>
      </c>
      <c r="CO118">
        <v>0</v>
      </c>
      <c r="CP118">
        <v>0</v>
      </c>
      <c r="CQ118">
        <v>0</v>
      </c>
      <c r="CR118">
        <v>0</v>
      </c>
      <c r="CS118">
        <v>0</v>
      </c>
      <c r="CT118">
        <v>0</v>
      </c>
      <c r="CU118">
        <v>0</v>
      </c>
      <c r="CV118">
        <v>0</v>
      </c>
      <c r="CW118">
        <v>1.07</v>
      </c>
      <c r="CX118">
        <v>0</v>
      </c>
      <c r="CY118" s="2043">
        <v>0</v>
      </c>
      <c r="CZ118" s="2043">
        <v>0</v>
      </c>
      <c r="DA118" s="2043">
        <v>254979</v>
      </c>
      <c r="DB118" s="2043">
        <v>0</v>
      </c>
      <c r="DC118" s="2043">
        <v>0</v>
      </c>
      <c r="DI118" t="s">
        <v>4942</v>
      </c>
      <c r="DJ118" t="s">
        <v>4942</v>
      </c>
      <c r="DK118" s="2042">
        <f t="shared" si="3"/>
        <v>0</v>
      </c>
    </row>
    <row r="119" spans="1:115">
      <c r="A119" t="s">
        <v>5755</v>
      </c>
      <c r="B119" t="s">
        <v>1059</v>
      </c>
      <c r="C119">
        <v>59.124000000000002</v>
      </c>
      <c r="D119">
        <v>103.10000000000001</v>
      </c>
      <c r="E119">
        <v>10.279</v>
      </c>
      <c r="F119">
        <v>0</v>
      </c>
      <c r="G119" s="2043">
        <v>25483684</v>
      </c>
      <c r="H119">
        <v>0</v>
      </c>
      <c r="I119" s="2043">
        <v>0</v>
      </c>
      <c r="J119">
        <v>2</v>
      </c>
      <c r="K119">
        <v>5</v>
      </c>
      <c r="L119">
        <v>0</v>
      </c>
      <c r="M119">
        <v>0</v>
      </c>
      <c r="N119">
        <v>0</v>
      </c>
      <c r="O119">
        <v>0</v>
      </c>
      <c r="P119">
        <v>0</v>
      </c>
      <c r="Q119">
        <v>0</v>
      </c>
      <c r="R119" s="2043">
        <v>213892</v>
      </c>
      <c r="S119">
        <v>12479</v>
      </c>
      <c r="T119">
        <v>0</v>
      </c>
      <c r="U119">
        <v>0.05</v>
      </c>
      <c r="V119">
        <v>0</v>
      </c>
      <c r="W119">
        <v>0</v>
      </c>
      <c r="X119">
        <v>0</v>
      </c>
      <c r="Y119">
        <v>0</v>
      </c>
      <c r="Z119">
        <v>0</v>
      </c>
      <c r="AA119">
        <v>0</v>
      </c>
      <c r="AB119">
        <v>90.945000000000007</v>
      </c>
      <c r="AC119" s="2043">
        <v>21705787</v>
      </c>
      <c r="AD119">
        <v>0</v>
      </c>
      <c r="AE119" s="2043">
        <v>226371</v>
      </c>
      <c r="AF119">
        <v>0.90700000000000003</v>
      </c>
      <c r="AG119">
        <v>0</v>
      </c>
      <c r="AH119">
        <v>0</v>
      </c>
      <c r="AI119">
        <v>0</v>
      </c>
      <c r="AJ119">
        <v>10</v>
      </c>
      <c r="AK119">
        <v>293</v>
      </c>
      <c r="AL119">
        <v>0</v>
      </c>
      <c r="AM119">
        <v>0</v>
      </c>
      <c r="AN119">
        <v>4.21</v>
      </c>
      <c r="AO119">
        <v>0</v>
      </c>
      <c r="AP119">
        <v>0.68500000000000005</v>
      </c>
      <c r="AQ119">
        <v>0</v>
      </c>
      <c r="AR119">
        <v>0</v>
      </c>
      <c r="AS119">
        <v>0</v>
      </c>
      <c r="AT119">
        <v>0</v>
      </c>
      <c r="AU119">
        <v>0.26900000000000002</v>
      </c>
      <c r="AV119">
        <v>0</v>
      </c>
      <c r="AW119">
        <v>0.95400000000000007</v>
      </c>
      <c r="AX119">
        <v>0</v>
      </c>
      <c r="AY119">
        <v>3.1950000000000003</v>
      </c>
      <c r="AZ119">
        <v>0</v>
      </c>
      <c r="BA119">
        <v>785956</v>
      </c>
      <c r="BB119">
        <v>226371</v>
      </c>
      <c r="BC119">
        <v>0</v>
      </c>
      <c r="BD119">
        <v>0</v>
      </c>
      <c r="BE119">
        <v>0</v>
      </c>
      <c r="BF119">
        <v>0</v>
      </c>
      <c r="BG119">
        <v>0</v>
      </c>
      <c r="BH119">
        <v>0</v>
      </c>
      <c r="BI119">
        <v>0</v>
      </c>
      <c r="BJ119">
        <v>0</v>
      </c>
      <c r="BK119">
        <v>33784</v>
      </c>
      <c r="BL119">
        <v>25483684</v>
      </c>
      <c r="BM119">
        <v>0</v>
      </c>
      <c r="BN119">
        <v>0</v>
      </c>
      <c r="BO119">
        <v>0</v>
      </c>
      <c r="BP119">
        <v>0</v>
      </c>
      <c r="BQ119">
        <v>0</v>
      </c>
      <c r="BR119">
        <v>0.8570000000000001</v>
      </c>
      <c r="BS119">
        <v>0.8570000000000001</v>
      </c>
      <c r="BT119">
        <v>0</v>
      </c>
      <c r="BU119">
        <v>0</v>
      </c>
      <c r="BV119">
        <v>31</v>
      </c>
      <c r="BW119">
        <v>5</v>
      </c>
      <c r="BX119">
        <v>1</v>
      </c>
      <c r="BY119">
        <v>5</v>
      </c>
      <c r="BZ119">
        <v>1</v>
      </c>
      <c r="CA119">
        <v>43</v>
      </c>
      <c r="CB119">
        <v>0</v>
      </c>
      <c r="CC119">
        <v>0</v>
      </c>
      <c r="CD119">
        <v>0</v>
      </c>
      <c r="CE119">
        <v>0</v>
      </c>
      <c r="CF119">
        <v>20.645</v>
      </c>
      <c r="CG119">
        <v>0</v>
      </c>
      <c r="CH119">
        <v>0</v>
      </c>
      <c r="CI119">
        <v>0</v>
      </c>
      <c r="CJ119">
        <v>0</v>
      </c>
      <c r="CK119">
        <v>0</v>
      </c>
      <c r="CL119">
        <v>0</v>
      </c>
      <c r="CM119">
        <v>10.279</v>
      </c>
      <c r="CN119">
        <v>0</v>
      </c>
      <c r="CO119">
        <v>0</v>
      </c>
      <c r="CP119">
        <v>0</v>
      </c>
      <c r="CQ119">
        <v>0</v>
      </c>
      <c r="CR119">
        <v>0</v>
      </c>
      <c r="CS119">
        <v>0</v>
      </c>
      <c r="CT119">
        <v>0</v>
      </c>
      <c r="CU119">
        <v>0</v>
      </c>
      <c r="CV119">
        <v>0</v>
      </c>
      <c r="CW119">
        <v>0</v>
      </c>
      <c r="CX119">
        <v>0</v>
      </c>
      <c r="CY119" s="2043">
        <v>0</v>
      </c>
      <c r="CZ119" s="2043">
        <v>0</v>
      </c>
      <c r="DA119" s="2043">
        <v>33784</v>
      </c>
      <c r="DB119" s="2043">
        <v>0</v>
      </c>
      <c r="DC119" s="2043">
        <v>0</v>
      </c>
      <c r="DI119" t="s">
        <v>4943</v>
      </c>
      <c r="DJ119" t="s">
        <v>5755</v>
      </c>
      <c r="DK119" s="2042">
        <f t="shared" si="3"/>
        <v>-1</v>
      </c>
    </row>
    <row r="120" spans="1:115">
      <c r="A120" t="s">
        <v>4943</v>
      </c>
      <c r="B120" t="s">
        <v>1058</v>
      </c>
      <c r="C120">
        <v>2179.7159999999999</v>
      </c>
      <c r="D120">
        <v>2115.6480000000001</v>
      </c>
      <c r="E120">
        <v>72.338999999999999</v>
      </c>
      <c r="F120">
        <v>0</v>
      </c>
      <c r="G120" s="2043">
        <v>1018549269</v>
      </c>
      <c r="H120">
        <v>0</v>
      </c>
      <c r="I120" s="2043">
        <v>3483623</v>
      </c>
      <c r="J120">
        <v>108.986</v>
      </c>
      <c r="K120">
        <v>298</v>
      </c>
      <c r="L120">
        <v>0</v>
      </c>
      <c r="M120">
        <v>0</v>
      </c>
      <c r="N120">
        <v>0</v>
      </c>
      <c r="O120">
        <v>0</v>
      </c>
      <c r="P120">
        <v>0</v>
      </c>
      <c r="Q120">
        <v>0</v>
      </c>
      <c r="R120" s="2043">
        <v>9197528</v>
      </c>
      <c r="S120">
        <v>808485</v>
      </c>
      <c r="T120">
        <v>64679</v>
      </c>
      <c r="U120">
        <v>0.08</v>
      </c>
      <c r="V120">
        <v>0</v>
      </c>
      <c r="W120">
        <v>0</v>
      </c>
      <c r="X120">
        <v>0</v>
      </c>
      <c r="Y120">
        <v>0</v>
      </c>
      <c r="Z120">
        <v>16.233000000000001</v>
      </c>
      <c r="AA120">
        <v>2.3E-2</v>
      </c>
      <c r="AB120">
        <v>2088.3609999999999</v>
      </c>
      <c r="AC120" s="2043">
        <v>973003940</v>
      </c>
      <c r="AD120">
        <v>3688660</v>
      </c>
      <c r="AE120" s="2043">
        <v>10070692</v>
      </c>
      <c r="AF120">
        <v>0.99650000000000005</v>
      </c>
      <c r="AG120">
        <v>0</v>
      </c>
      <c r="AH120">
        <v>0</v>
      </c>
      <c r="AI120">
        <v>0</v>
      </c>
      <c r="AJ120">
        <v>179.25</v>
      </c>
      <c r="AK120">
        <v>6234</v>
      </c>
      <c r="AL120">
        <v>0.154</v>
      </c>
      <c r="AM120">
        <v>0</v>
      </c>
      <c r="AN120">
        <v>71.805999999999997</v>
      </c>
      <c r="AO120">
        <v>0</v>
      </c>
      <c r="AP120">
        <v>0</v>
      </c>
      <c r="AQ120">
        <v>0</v>
      </c>
      <c r="AR120">
        <v>32.963000000000001</v>
      </c>
      <c r="AS120">
        <v>0</v>
      </c>
      <c r="AT120">
        <v>18.888999999999999</v>
      </c>
      <c r="AU120">
        <v>3.286</v>
      </c>
      <c r="AV120">
        <v>0</v>
      </c>
      <c r="AW120">
        <v>55.292000000000002</v>
      </c>
      <c r="AX120">
        <v>0</v>
      </c>
      <c r="AY120">
        <v>172.756</v>
      </c>
      <c r="AZ120">
        <v>0</v>
      </c>
      <c r="BA120">
        <v>10257036</v>
      </c>
      <c r="BB120">
        <v>13759352</v>
      </c>
      <c r="BC120">
        <v>0</v>
      </c>
      <c r="BD120">
        <v>0</v>
      </c>
      <c r="BE120">
        <v>7893</v>
      </c>
      <c r="BF120">
        <v>7893</v>
      </c>
      <c r="BG120">
        <v>0</v>
      </c>
      <c r="BH120">
        <v>0</v>
      </c>
      <c r="BI120">
        <v>0</v>
      </c>
      <c r="BJ120">
        <v>0</v>
      </c>
      <c r="BK120">
        <v>0</v>
      </c>
      <c r="BL120">
        <v>1018549269</v>
      </c>
      <c r="BM120">
        <v>0</v>
      </c>
      <c r="BN120">
        <v>9342</v>
      </c>
      <c r="BO120">
        <v>5393</v>
      </c>
      <c r="BP120">
        <v>0</v>
      </c>
      <c r="BQ120">
        <v>0</v>
      </c>
      <c r="BR120">
        <v>0.91010000000000002</v>
      </c>
      <c r="BS120">
        <v>0.91010000000000002</v>
      </c>
      <c r="BT120">
        <v>0</v>
      </c>
      <c r="BU120">
        <v>0</v>
      </c>
      <c r="BV120">
        <v>407</v>
      </c>
      <c r="BW120">
        <v>107</v>
      </c>
      <c r="BX120">
        <v>114</v>
      </c>
      <c r="BY120">
        <v>93</v>
      </c>
      <c r="BZ120">
        <v>34</v>
      </c>
      <c r="CA120">
        <v>755</v>
      </c>
      <c r="CB120">
        <v>0</v>
      </c>
      <c r="CC120">
        <v>0</v>
      </c>
      <c r="CD120">
        <v>0</v>
      </c>
      <c r="CE120">
        <v>169</v>
      </c>
      <c r="CF120">
        <v>266.87400000000002</v>
      </c>
      <c r="CG120">
        <v>0</v>
      </c>
      <c r="CH120">
        <v>0</v>
      </c>
      <c r="CI120">
        <v>4</v>
      </c>
      <c r="CJ120">
        <v>31</v>
      </c>
      <c r="CK120">
        <v>0</v>
      </c>
      <c r="CL120">
        <v>0</v>
      </c>
      <c r="CM120">
        <v>72.338999999999999</v>
      </c>
      <c r="CN120">
        <v>0</v>
      </c>
      <c r="CO120">
        <v>0</v>
      </c>
      <c r="CP120">
        <v>0</v>
      </c>
      <c r="CQ120">
        <v>0</v>
      </c>
      <c r="CR120">
        <v>0</v>
      </c>
      <c r="CS120">
        <v>0</v>
      </c>
      <c r="CT120">
        <v>0</v>
      </c>
      <c r="CU120">
        <v>17.584</v>
      </c>
      <c r="CV120">
        <v>160.88300000000001</v>
      </c>
      <c r="CW120">
        <v>72.344000000000008</v>
      </c>
      <c r="CX120">
        <v>0</v>
      </c>
      <c r="CY120" s="2043">
        <v>0</v>
      </c>
      <c r="CZ120" s="2043">
        <v>0</v>
      </c>
      <c r="DA120" s="2043">
        <v>0</v>
      </c>
      <c r="DB120" s="2043">
        <v>0</v>
      </c>
      <c r="DC120" s="2043">
        <v>0</v>
      </c>
      <c r="DI120" t="s">
        <v>5755</v>
      </c>
      <c r="DJ120" t="s">
        <v>4943</v>
      </c>
      <c r="DK120" s="2042">
        <f t="shared" si="3"/>
        <v>1</v>
      </c>
    </row>
    <row r="121" spans="1:115">
      <c r="A121" t="s">
        <v>5756</v>
      </c>
      <c r="B121" t="s">
        <v>797</v>
      </c>
      <c r="C121">
        <v>88.497</v>
      </c>
      <c r="D121">
        <v>124.354</v>
      </c>
      <c r="E121">
        <v>0</v>
      </c>
      <c r="F121">
        <v>0</v>
      </c>
      <c r="G121" s="2043">
        <v>48843400</v>
      </c>
      <c r="H121">
        <v>0</v>
      </c>
      <c r="I121" s="2043">
        <v>0</v>
      </c>
      <c r="J121">
        <v>4</v>
      </c>
      <c r="K121">
        <v>11</v>
      </c>
      <c r="L121">
        <v>0</v>
      </c>
      <c r="M121">
        <v>0</v>
      </c>
      <c r="N121">
        <v>0</v>
      </c>
      <c r="O121">
        <v>0</v>
      </c>
      <c r="P121">
        <v>0</v>
      </c>
      <c r="Q121">
        <v>0</v>
      </c>
      <c r="R121" s="2043">
        <v>426207</v>
      </c>
      <c r="S121">
        <v>24483</v>
      </c>
      <c r="T121">
        <v>0</v>
      </c>
      <c r="U121">
        <v>0.05</v>
      </c>
      <c r="V121">
        <v>0</v>
      </c>
      <c r="W121">
        <v>0</v>
      </c>
      <c r="X121">
        <v>0</v>
      </c>
      <c r="Y121">
        <v>0</v>
      </c>
      <c r="Z121">
        <v>4.6680000000000001</v>
      </c>
      <c r="AA121">
        <v>0</v>
      </c>
      <c r="AB121">
        <v>113.143</v>
      </c>
      <c r="AC121" s="2043">
        <v>44337558</v>
      </c>
      <c r="AD121">
        <v>0</v>
      </c>
      <c r="AE121" s="2043">
        <v>450690</v>
      </c>
      <c r="AF121">
        <v>0.9204</v>
      </c>
      <c r="AG121">
        <v>0</v>
      </c>
      <c r="AH121">
        <v>0</v>
      </c>
      <c r="AI121">
        <v>0</v>
      </c>
      <c r="AJ121">
        <v>24.35</v>
      </c>
      <c r="AK121">
        <v>350</v>
      </c>
      <c r="AL121">
        <v>0</v>
      </c>
      <c r="AM121">
        <v>0</v>
      </c>
      <c r="AN121">
        <v>0.65100000000000002</v>
      </c>
      <c r="AO121">
        <v>0</v>
      </c>
      <c r="AP121">
        <v>0</v>
      </c>
      <c r="AQ121">
        <v>0</v>
      </c>
      <c r="AR121">
        <v>2.6160000000000001</v>
      </c>
      <c r="AS121">
        <v>0</v>
      </c>
      <c r="AT121">
        <v>0</v>
      </c>
      <c r="AU121">
        <v>0.20700000000000002</v>
      </c>
      <c r="AV121">
        <v>0</v>
      </c>
      <c r="AW121">
        <v>2.823</v>
      </c>
      <c r="AX121">
        <v>0</v>
      </c>
      <c r="AY121">
        <v>8.8830000000000009</v>
      </c>
      <c r="AZ121">
        <v>0</v>
      </c>
      <c r="BA121">
        <v>869649</v>
      </c>
      <c r="BB121">
        <v>450690</v>
      </c>
      <c r="BC121">
        <v>0</v>
      </c>
      <c r="BD121">
        <v>0</v>
      </c>
      <c r="BE121">
        <v>0</v>
      </c>
      <c r="BF121">
        <v>0</v>
      </c>
      <c r="BG121">
        <v>0</v>
      </c>
      <c r="BH121">
        <v>0</v>
      </c>
      <c r="BI121">
        <v>0</v>
      </c>
      <c r="BJ121">
        <v>0</v>
      </c>
      <c r="BK121">
        <v>95704</v>
      </c>
      <c r="BL121">
        <v>48843400</v>
      </c>
      <c r="BM121">
        <v>0</v>
      </c>
      <c r="BN121">
        <v>0</v>
      </c>
      <c r="BO121">
        <v>0</v>
      </c>
      <c r="BP121">
        <v>0</v>
      </c>
      <c r="BQ121">
        <v>0</v>
      </c>
      <c r="BR121">
        <v>0.87040000000000006</v>
      </c>
      <c r="BS121">
        <v>0.87040000000000006</v>
      </c>
      <c r="BT121">
        <v>0</v>
      </c>
      <c r="BU121">
        <v>0</v>
      </c>
      <c r="BV121">
        <v>11</v>
      </c>
      <c r="BW121">
        <v>62</v>
      </c>
      <c r="BX121">
        <v>18</v>
      </c>
      <c r="BY121">
        <v>8</v>
      </c>
      <c r="BZ121">
        <v>2</v>
      </c>
      <c r="CA121">
        <v>101</v>
      </c>
      <c r="CB121">
        <v>0</v>
      </c>
      <c r="CC121">
        <v>0</v>
      </c>
      <c r="CD121">
        <v>0</v>
      </c>
      <c r="CE121">
        <v>8</v>
      </c>
      <c r="CF121">
        <v>37.376000000000005</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s="2043">
        <v>0</v>
      </c>
      <c r="CZ121" s="2043">
        <v>0</v>
      </c>
      <c r="DA121" s="2043">
        <v>95704</v>
      </c>
      <c r="DB121" s="2043">
        <v>0</v>
      </c>
      <c r="DC121" s="2043">
        <v>0</v>
      </c>
      <c r="DI121" t="s">
        <v>5756</v>
      </c>
      <c r="DJ121" t="s">
        <v>5756</v>
      </c>
      <c r="DK121" s="2042">
        <f t="shared" si="3"/>
        <v>0</v>
      </c>
    </row>
    <row r="122" spans="1:115">
      <c r="A122" t="s">
        <v>2896</v>
      </c>
      <c r="B122" t="s">
        <v>168</v>
      </c>
      <c r="C122">
        <v>26328.141</v>
      </c>
      <c r="D122">
        <v>26612.124</v>
      </c>
      <c r="E122">
        <v>3203.2540000000004</v>
      </c>
      <c r="F122">
        <v>0</v>
      </c>
      <c r="G122" s="2043">
        <v>9099354884</v>
      </c>
      <c r="H122">
        <v>0</v>
      </c>
      <c r="I122" s="2043">
        <v>55893328</v>
      </c>
      <c r="J122">
        <v>1316.4070000000002</v>
      </c>
      <c r="K122">
        <v>3599</v>
      </c>
      <c r="L122">
        <v>79274</v>
      </c>
      <c r="M122">
        <v>6443277</v>
      </c>
      <c r="N122">
        <v>79274</v>
      </c>
      <c r="O122">
        <v>6522551</v>
      </c>
      <c r="P122">
        <v>0</v>
      </c>
      <c r="Q122">
        <v>0</v>
      </c>
      <c r="R122" s="2043">
        <v>75696096</v>
      </c>
      <c r="S122">
        <v>7284600</v>
      </c>
      <c r="T122">
        <v>5308652</v>
      </c>
      <c r="U122">
        <v>0.08</v>
      </c>
      <c r="V122">
        <v>1139</v>
      </c>
      <c r="W122">
        <v>0</v>
      </c>
      <c r="X122">
        <v>0</v>
      </c>
      <c r="Y122">
        <v>10238768</v>
      </c>
      <c r="Z122">
        <v>5.7940000000000005</v>
      </c>
      <c r="AA122">
        <v>0.94600000000000006</v>
      </c>
      <c r="AB122">
        <v>25904.072</v>
      </c>
      <c r="AC122" s="2043">
        <v>7244926954</v>
      </c>
      <c r="AD122">
        <v>47576046</v>
      </c>
      <c r="AE122" s="2043">
        <v>88289348</v>
      </c>
      <c r="AF122">
        <v>0.96960000000000002</v>
      </c>
      <c r="AG122">
        <v>19701319</v>
      </c>
      <c r="AH122">
        <v>0</v>
      </c>
      <c r="AI122">
        <v>0</v>
      </c>
      <c r="AJ122">
        <v>3341.1750000000002</v>
      </c>
      <c r="AK122">
        <v>88411</v>
      </c>
      <c r="AL122">
        <v>2.6020000000000003</v>
      </c>
      <c r="AM122">
        <v>0</v>
      </c>
      <c r="AN122">
        <v>1089.922</v>
      </c>
      <c r="AO122">
        <v>8.1999999999999993</v>
      </c>
      <c r="AP122">
        <v>0</v>
      </c>
      <c r="AQ122">
        <v>7.5050000000000008</v>
      </c>
      <c r="AR122">
        <v>482.392</v>
      </c>
      <c r="AS122">
        <v>0</v>
      </c>
      <c r="AT122">
        <v>271.86599999999999</v>
      </c>
      <c r="AU122">
        <v>61.833000000000006</v>
      </c>
      <c r="AV122">
        <v>0</v>
      </c>
      <c r="AW122">
        <v>835.52100000000007</v>
      </c>
      <c r="AX122">
        <v>9.3230000000000004</v>
      </c>
      <c r="AY122">
        <v>2606.3920000000003</v>
      </c>
      <c r="AZ122">
        <v>10256863</v>
      </c>
      <c r="BA122">
        <v>196713594</v>
      </c>
      <c r="BB122">
        <v>135865394</v>
      </c>
      <c r="BC122">
        <v>0</v>
      </c>
      <c r="BD122">
        <v>1506546</v>
      </c>
      <c r="BE122">
        <v>903883</v>
      </c>
      <c r="BF122">
        <v>3069738</v>
      </c>
      <c r="BG122">
        <v>1506546</v>
      </c>
      <c r="BH122">
        <v>659309</v>
      </c>
      <c r="BI122">
        <v>-6032</v>
      </c>
      <c r="BJ122">
        <v>-12063</v>
      </c>
      <c r="BK122">
        <v>0</v>
      </c>
      <c r="BL122">
        <v>9099354884</v>
      </c>
      <c r="BM122">
        <v>0</v>
      </c>
      <c r="BN122">
        <v>90405</v>
      </c>
      <c r="BO122">
        <v>24450</v>
      </c>
      <c r="BP122">
        <v>17144</v>
      </c>
      <c r="BQ122">
        <v>0</v>
      </c>
      <c r="BR122">
        <v>0.83130000000000004</v>
      </c>
      <c r="BS122">
        <v>0.83130000000000004</v>
      </c>
      <c r="BT122">
        <v>0</v>
      </c>
      <c r="BU122">
        <v>0</v>
      </c>
      <c r="BV122">
        <v>9188</v>
      </c>
      <c r="BW122">
        <v>1938</v>
      </c>
      <c r="BX122">
        <v>1840</v>
      </c>
      <c r="BY122">
        <v>818</v>
      </c>
      <c r="BZ122">
        <v>505</v>
      </c>
      <c r="CA122">
        <v>14289</v>
      </c>
      <c r="CB122">
        <v>0</v>
      </c>
      <c r="CC122">
        <v>1296.894</v>
      </c>
      <c r="CD122">
        <v>101.726</v>
      </c>
      <c r="CE122">
        <v>1459</v>
      </c>
      <c r="CF122">
        <v>5425.9380000000001</v>
      </c>
      <c r="CG122">
        <v>95.100000000000009</v>
      </c>
      <c r="CH122">
        <v>9.7670000000000012</v>
      </c>
      <c r="CI122">
        <v>44</v>
      </c>
      <c r="CJ122">
        <v>113</v>
      </c>
      <c r="CK122">
        <v>2</v>
      </c>
      <c r="CL122">
        <v>104.867</v>
      </c>
      <c r="CM122">
        <v>3203.2540000000004</v>
      </c>
      <c r="CN122">
        <v>12590</v>
      </c>
      <c r="CO122">
        <v>0</v>
      </c>
      <c r="CP122">
        <v>3304</v>
      </c>
      <c r="CQ122">
        <v>1250</v>
      </c>
      <c r="CR122">
        <v>0</v>
      </c>
      <c r="CS122">
        <v>0</v>
      </c>
      <c r="CT122">
        <v>0</v>
      </c>
      <c r="CU122">
        <v>125.65300000000001</v>
      </c>
      <c r="CV122">
        <v>914.19600000000003</v>
      </c>
      <c r="CW122">
        <v>832.27600000000007</v>
      </c>
      <c r="CX122">
        <v>0</v>
      </c>
      <c r="CY122" s="2043">
        <v>0</v>
      </c>
      <c r="CZ122" s="2043">
        <v>19701319</v>
      </c>
      <c r="DA122" s="2043">
        <v>0</v>
      </c>
      <c r="DB122" s="2043">
        <v>0</v>
      </c>
      <c r="DC122" s="2043">
        <v>0</v>
      </c>
      <c r="DI122" t="s">
        <v>2896</v>
      </c>
      <c r="DJ122" t="s">
        <v>2896</v>
      </c>
      <c r="DK122" s="2042">
        <f t="shared" si="3"/>
        <v>0</v>
      </c>
    </row>
    <row r="123" spans="1:115">
      <c r="A123" t="s">
        <v>4944</v>
      </c>
      <c r="B123" t="s">
        <v>871</v>
      </c>
      <c r="C123">
        <v>6290.4340000000002</v>
      </c>
      <c r="D123">
        <v>6439.2440000000006</v>
      </c>
      <c r="E123">
        <v>547.77100000000007</v>
      </c>
      <c r="F123">
        <v>0</v>
      </c>
      <c r="G123" s="2043">
        <v>4102456848</v>
      </c>
      <c r="H123">
        <v>0</v>
      </c>
      <c r="I123" s="2043">
        <v>14126625</v>
      </c>
      <c r="J123">
        <v>314.52199999999999</v>
      </c>
      <c r="K123">
        <v>860</v>
      </c>
      <c r="L123">
        <v>0</v>
      </c>
      <c r="M123">
        <v>0</v>
      </c>
      <c r="N123">
        <v>0</v>
      </c>
      <c r="O123">
        <v>0</v>
      </c>
      <c r="P123">
        <v>0</v>
      </c>
      <c r="Q123">
        <v>0</v>
      </c>
      <c r="R123" s="2043">
        <v>33558964</v>
      </c>
      <c r="S123">
        <v>2041299</v>
      </c>
      <c r="T123">
        <v>0</v>
      </c>
      <c r="U123">
        <v>0.05</v>
      </c>
      <c r="V123">
        <v>0</v>
      </c>
      <c r="W123">
        <v>0</v>
      </c>
      <c r="X123">
        <v>0</v>
      </c>
      <c r="Y123">
        <v>0</v>
      </c>
      <c r="Z123">
        <v>0</v>
      </c>
      <c r="AA123">
        <v>0.59</v>
      </c>
      <c r="AB123">
        <v>6435.6640000000007</v>
      </c>
      <c r="AC123" s="2043">
        <v>2949497763</v>
      </c>
      <c r="AD123">
        <v>16105686</v>
      </c>
      <c r="AE123" s="2043">
        <v>35600263</v>
      </c>
      <c r="AF123">
        <v>0.872</v>
      </c>
      <c r="AG123">
        <v>0</v>
      </c>
      <c r="AH123">
        <v>0</v>
      </c>
      <c r="AI123">
        <v>0</v>
      </c>
      <c r="AJ123">
        <v>1252.538</v>
      </c>
      <c r="AK123">
        <v>21416</v>
      </c>
      <c r="AL123">
        <v>0.6</v>
      </c>
      <c r="AM123">
        <v>0</v>
      </c>
      <c r="AN123">
        <v>492.07400000000001</v>
      </c>
      <c r="AO123">
        <v>1.9000000000000001</v>
      </c>
      <c r="AP123">
        <v>5.8840000000000003</v>
      </c>
      <c r="AQ123">
        <v>11.729000000000001</v>
      </c>
      <c r="AR123">
        <v>38.271999999999998</v>
      </c>
      <c r="AS123">
        <v>0</v>
      </c>
      <c r="AT123">
        <v>38.164000000000001</v>
      </c>
      <c r="AU123">
        <v>16.281000000000002</v>
      </c>
      <c r="AV123">
        <v>0</v>
      </c>
      <c r="AW123">
        <v>110.93</v>
      </c>
      <c r="AX123">
        <v>0</v>
      </c>
      <c r="AY123">
        <v>329.6</v>
      </c>
      <c r="AZ123">
        <v>0</v>
      </c>
      <c r="BA123">
        <v>24994560</v>
      </c>
      <c r="BB123">
        <v>51705949</v>
      </c>
      <c r="BC123">
        <v>0</v>
      </c>
      <c r="BD123">
        <v>430340</v>
      </c>
      <c r="BE123">
        <v>158422</v>
      </c>
      <c r="BF123">
        <v>679707</v>
      </c>
      <c r="BG123">
        <v>430340</v>
      </c>
      <c r="BH123">
        <v>90945</v>
      </c>
      <c r="BI123">
        <v>0</v>
      </c>
      <c r="BJ123">
        <v>0</v>
      </c>
      <c r="BK123">
        <v>0</v>
      </c>
      <c r="BL123">
        <v>4102456848</v>
      </c>
      <c r="BM123">
        <v>0</v>
      </c>
      <c r="BN123">
        <v>23292</v>
      </c>
      <c r="BO123">
        <v>13931</v>
      </c>
      <c r="BP123">
        <v>0</v>
      </c>
      <c r="BQ123">
        <v>0</v>
      </c>
      <c r="BR123">
        <v>0.82200000000000006</v>
      </c>
      <c r="BS123">
        <v>0.82200000000000006</v>
      </c>
      <c r="BT123">
        <v>0</v>
      </c>
      <c r="BU123">
        <v>0</v>
      </c>
      <c r="BV123">
        <v>731</v>
      </c>
      <c r="BW123">
        <v>1893</v>
      </c>
      <c r="BX123">
        <v>1094</v>
      </c>
      <c r="BY123">
        <v>612</v>
      </c>
      <c r="BZ123">
        <v>743</v>
      </c>
      <c r="CA123">
        <v>5073</v>
      </c>
      <c r="CB123">
        <v>0</v>
      </c>
      <c r="CC123">
        <v>377.02</v>
      </c>
      <c r="CD123">
        <v>249.071</v>
      </c>
      <c r="CE123">
        <v>504</v>
      </c>
      <c r="CF123">
        <v>1710.68</v>
      </c>
      <c r="CG123">
        <v>26.826000000000001</v>
      </c>
      <c r="CH123">
        <v>11.925000000000001</v>
      </c>
      <c r="CI123">
        <v>0</v>
      </c>
      <c r="CJ123">
        <v>43</v>
      </c>
      <c r="CK123">
        <v>1</v>
      </c>
      <c r="CL123">
        <v>38.751000000000005</v>
      </c>
      <c r="CM123">
        <v>547.77100000000007</v>
      </c>
      <c r="CN123">
        <v>0</v>
      </c>
      <c r="CO123">
        <v>0</v>
      </c>
      <c r="CP123">
        <v>0</v>
      </c>
      <c r="CQ123">
        <v>0</v>
      </c>
      <c r="CR123">
        <v>0</v>
      </c>
      <c r="CS123">
        <v>0</v>
      </c>
      <c r="CT123">
        <v>0</v>
      </c>
      <c r="CU123">
        <v>2.3720000000000003</v>
      </c>
      <c r="CV123">
        <v>487.53800000000001</v>
      </c>
      <c r="CW123">
        <v>198.77800000000002</v>
      </c>
      <c r="CX123">
        <v>0</v>
      </c>
      <c r="CY123" s="2043">
        <v>0</v>
      </c>
      <c r="CZ123" s="2043">
        <v>0</v>
      </c>
      <c r="DA123" s="2043">
        <v>0</v>
      </c>
      <c r="DB123" s="2043">
        <v>0</v>
      </c>
      <c r="DC123" s="2043">
        <v>0</v>
      </c>
      <c r="DI123" t="s">
        <v>4944</v>
      </c>
      <c r="DJ123" t="s">
        <v>4944</v>
      </c>
      <c r="DK123" s="2042">
        <f t="shared" si="3"/>
        <v>0</v>
      </c>
    </row>
    <row r="124" spans="1:115">
      <c r="A124" t="s">
        <v>2897</v>
      </c>
      <c r="B124" t="s">
        <v>670</v>
      </c>
      <c r="C124">
        <v>715.52500000000009</v>
      </c>
      <c r="D124">
        <v>769.68700000000001</v>
      </c>
      <c r="E124">
        <v>34.926000000000002</v>
      </c>
      <c r="F124">
        <v>0</v>
      </c>
      <c r="G124" s="2043">
        <v>366613080</v>
      </c>
      <c r="H124">
        <v>0</v>
      </c>
      <c r="I124" s="2043">
        <v>1177270</v>
      </c>
      <c r="J124">
        <v>35.776000000000003</v>
      </c>
      <c r="K124">
        <v>98</v>
      </c>
      <c r="L124">
        <v>0</v>
      </c>
      <c r="M124">
        <v>187870</v>
      </c>
      <c r="N124">
        <v>0</v>
      </c>
      <c r="O124">
        <v>187870</v>
      </c>
      <c r="P124">
        <v>0</v>
      </c>
      <c r="Q124">
        <v>0</v>
      </c>
      <c r="R124" s="2043">
        <v>2956564</v>
      </c>
      <c r="S124">
        <v>287743</v>
      </c>
      <c r="T124">
        <v>209693</v>
      </c>
      <c r="U124">
        <v>0.08</v>
      </c>
      <c r="V124">
        <v>0</v>
      </c>
      <c r="W124">
        <v>0</v>
      </c>
      <c r="X124">
        <v>0</v>
      </c>
      <c r="Y124">
        <v>0</v>
      </c>
      <c r="Z124">
        <v>0</v>
      </c>
      <c r="AA124">
        <v>0</v>
      </c>
      <c r="AB124">
        <v>745.447</v>
      </c>
      <c r="AC124" s="2043">
        <v>269717346</v>
      </c>
      <c r="AD124">
        <v>1189000</v>
      </c>
      <c r="AE124" s="2043">
        <v>3454000</v>
      </c>
      <c r="AF124">
        <v>0.96030000000000004</v>
      </c>
      <c r="AG124">
        <v>0</v>
      </c>
      <c r="AH124">
        <v>0</v>
      </c>
      <c r="AI124">
        <v>0</v>
      </c>
      <c r="AJ124">
        <v>64.025000000000006</v>
      </c>
      <c r="AK124">
        <v>3507</v>
      </c>
      <c r="AL124">
        <v>0</v>
      </c>
      <c r="AM124">
        <v>0</v>
      </c>
      <c r="AN124">
        <v>35.338999999999999</v>
      </c>
      <c r="AO124">
        <v>0.8</v>
      </c>
      <c r="AP124">
        <v>0</v>
      </c>
      <c r="AQ124">
        <v>0</v>
      </c>
      <c r="AR124">
        <v>17.061</v>
      </c>
      <c r="AS124">
        <v>0</v>
      </c>
      <c r="AT124">
        <v>3.4040000000000004</v>
      </c>
      <c r="AU124">
        <v>1.655</v>
      </c>
      <c r="AV124">
        <v>0</v>
      </c>
      <c r="AW124">
        <v>22.12</v>
      </c>
      <c r="AX124">
        <v>0</v>
      </c>
      <c r="AY124">
        <v>69.67</v>
      </c>
      <c r="AZ124">
        <v>0</v>
      </c>
      <c r="BA124">
        <v>5475050</v>
      </c>
      <c r="BB124">
        <v>4643000</v>
      </c>
      <c r="BC124">
        <v>0</v>
      </c>
      <c r="BD124">
        <v>21008</v>
      </c>
      <c r="BE124">
        <v>16222</v>
      </c>
      <c r="BF124">
        <v>38031</v>
      </c>
      <c r="BG124">
        <v>21008</v>
      </c>
      <c r="BH124">
        <v>801</v>
      </c>
      <c r="BI124">
        <v>0</v>
      </c>
      <c r="BJ124">
        <v>0</v>
      </c>
      <c r="BK124">
        <v>0</v>
      </c>
      <c r="BL124">
        <v>366613080</v>
      </c>
      <c r="BM124">
        <v>0</v>
      </c>
      <c r="BN124">
        <v>3033</v>
      </c>
      <c r="BO124">
        <v>2097</v>
      </c>
      <c r="BP124">
        <v>0</v>
      </c>
      <c r="BQ124">
        <v>0</v>
      </c>
      <c r="BR124">
        <v>0.82200000000000006</v>
      </c>
      <c r="BS124">
        <v>0.82200000000000006</v>
      </c>
      <c r="BT124">
        <v>0</v>
      </c>
      <c r="BU124">
        <v>0</v>
      </c>
      <c r="BV124">
        <v>169</v>
      </c>
      <c r="BW124">
        <v>104</v>
      </c>
      <c r="BX124">
        <v>3</v>
      </c>
      <c r="BY124">
        <v>0</v>
      </c>
      <c r="BZ124">
        <v>2</v>
      </c>
      <c r="CA124">
        <v>278</v>
      </c>
      <c r="CB124">
        <v>0</v>
      </c>
      <c r="CC124">
        <v>0</v>
      </c>
      <c r="CD124">
        <v>0</v>
      </c>
      <c r="CE124">
        <v>52</v>
      </c>
      <c r="CF124">
        <v>106.45700000000001</v>
      </c>
      <c r="CG124">
        <v>0</v>
      </c>
      <c r="CH124">
        <v>0</v>
      </c>
      <c r="CI124">
        <v>1</v>
      </c>
      <c r="CJ124">
        <v>9</v>
      </c>
      <c r="CK124">
        <v>1</v>
      </c>
      <c r="CL124">
        <v>0</v>
      </c>
      <c r="CM124">
        <v>34.926000000000002</v>
      </c>
      <c r="CN124">
        <v>0</v>
      </c>
      <c r="CO124">
        <v>0</v>
      </c>
      <c r="CP124">
        <v>0</v>
      </c>
      <c r="CQ124">
        <v>0</v>
      </c>
      <c r="CR124">
        <v>0</v>
      </c>
      <c r="CS124">
        <v>0</v>
      </c>
      <c r="CT124">
        <v>0</v>
      </c>
      <c r="CU124">
        <v>0</v>
      </c>
      <c r="CV124">
        <v>34.517000000000003</v>
      </c>
      <c r="CW124">
        <v>25.765000000000001</v>
      </c>
      <c r="CX124">
        <v>0</v>
      </c>
      <c r="CY124" s="2043">
        <v>0</v>
      </c>
      <c r="CZ124" s="2043">
        <v>0</v>
      </c>
      <c r="DA124" s="2043">
        <v>0</v>
      </c>
      <c r="DB124" s="2043">
        <v>0</v>
      </c>
      <c r="DC124" s="2043">
        <v>0</v>
      </c>
      <c r="DI124" t="s">
        <v>2897</v>
      </c>
      <c r="DJ124" t="s">
        <v>2897</v>
      </c>
      <c r="DK124" s="2042">
        <f t="shared" si="3"/>
        <v>0</v>
      </c>
    </row>
    <row r="125" spans="1:115">
      <c r="A125" t="s">
        <v>4945</v>
      </c>
      <c r="B125" t="s">
        <v>1087</v>
      </c>
      <c r="C125">
        <v>10440.928</v>
      </c>
      <c r="D125">
        <v>10911.125</v>
      </c>
      <c r="E125">
        <v>1298.0940000000001</v>
      </c>
      <c r="F125">
        <v>7263187</v>
      </c>
      <c r="G125" s="2043">
        <v>9665550091</v>
      </c>
      <c r="H125">
        <v>0</v>
      </c>
      <c r="I125" s="2043">
        <v>41042188</v>
      </c>
      <c r="J125">
        <v>522.04600000000005</v>
      </c>
      <c r="K125">
        <v>1427</v>
      </c>
      <c r="L125">
        <v>0</v>
      </c>
      <c r="M125">
        <v>0</v>
      </c>
      <c r="N125">
        <v>0</v>
      </c>
      <c r="O125">
        <v>0</v>
      </c>
      <c r="P125">
        <v>0</v>
      </c>
      <c r="Q125">
        <v>0</v>
      </c>
      <c r="R125" s="2043">
        <v>85378479</v>
      </c>
      <c r="S125">
        <v>4673663</v>
      </c>
      <c r="T125">
        <v>0</v>
      </c>
      <c r="U125">
        <v>0.05</v>
      </c>
      <c r="V125">
        <v>32.92</v>
      </c>
      <c r="W125">
        <v>544120</v>
      </c>
      <c r="X125">
        <v>0</v>
      </c>
      <c r="Y125">
        <v>7251393</v>
      </c>
      <c r="Z125">
        <v>0</v>
      </c>
      <c r="AA125">
        <v>1.167</v>
      </c>
      <c r="AB125">
        <v>10810.148999999999</v>
      </c>
      <c r="AC125" s="2043">
        <v>14151513959</v>
      </c>
      <c r="AD125">
        <v>37646491</v>
      </c>
      <c r="AE125" s="2043">
        <v>90052142</v>
      </c>
      <c r="AF125">
        <v>0.96340000000000003</v>
      </c>
      <c r="AG125">
        <v>0</v>
      </c>
      <c r="AH125">
        <v>544120</v>
      </c>
      <c r="AI125">
        <v>0</v>
      </c>
      <c r="AJ125">
        <v>1991.8500000000001</v>
      </c>
      <c r="AK125">
        <v>36948</v>
      </c>
      <c r="AL125">
        <v>0.63400000000000001</v>
      </c>
      <c r="AM125">
        <v>0</v>
      </c>
      <c r="AN125">
        <v>519.55399999999997</v>
      </c>
      <c r="AO125">
        <v>1</v>
      </c>
      <c r="AP125">
        <v>0</v>
      </c>
      <c r="AQ125">
        <v>0</v>
      </c>
      <c r="AR125">
        <v>184.47800000000001</v>
      </c>
      <c r="AS125">
        <v>0</v>
      </c>
      <c r="AT125">
        <v>100.447</v>
      </c>
      <c r="AU125">
        <v>27.306000000000001</v>
      </c>
      <c r="AV125">
        <v>0</v>
      </c>
      <c r="AW125">
        <v>329.28200000000004</v>
      </c>
      <c r="AX125">
        <v>16.417000000000002</v>
      </c>
      <c r="AY125">
        <v>1032.2340000000002</v>
      </c>
      <c r="AZ125">
        <v>0</v>
      </c>
      <c r="BA125">
        <v>15184883</v>
      </c>
      <c r="BB125">
        <v>127698633</v>
      </c>
      <c r="BC125">
        <v>0</v>
      </c>
      <c r="BD125">
        <v>242576</v>
      </c>
      <c r="BE125">
        <v>214374</v>
      </c>
      <c r="BF125">
        <v>456950</v>
      </c>
      <c r="BG125">
        <v>242576</v>
      </c>
      <c r="BH125">
        <v>0</v>
      </c>
      <c r="BI125">
        <v>0</v>
      </c>
      <c r="BJ125">
        <v>-11794</v>
      </c>
      <c r="BK125">
        <v>0</v>
      </c>
      <c r="BL125">
        <v>9665550091</v>
      </c>
      <c r="BM125">
        <v>0</v>
      </c>
      <c r="BN125">
        <v>40626</v>
      </c>
      <c r="BO125">
        <v>15697</v>
      </c>
      <c r="BP125">
        <v>11762</v>
      </c>
      <c r="BQ125">
        <v>0</v>
      </c>
      <c r="BR125">
        <v>0.91339999999999999</v>
      </c>
      <c r="BS125">
        <v>0.91339999999999999</v>
      </c>
      <c r="BT125">
        <v>0</v>
      </c>
      <c r="BU125">
        <v>0</v>
      </c>
      <c r="BV125">
        <v>3141</v>
      </c>
      <c r="BW125">
        <v>1326</v>
      </c>
      <c r="BX125">
        <v>1776</v>
      </c>
      <c r="BY125">
        <v>628</v>
      </c>
      <c r="BZ125">
        <v>1314</v>
      </c>
      <c r="CA125">
        <v>8185</v>
      </c>
      <c r="CB125">
        <v>0</v>
      </c>
      <c r="CC125">
        <v>0</v>
      </c>
      <c r="CD125">
        <v>0</v>
      </c>
      <c r="CE125">
        <v>634</v>
      </c>
      <c r="CF125">
        <v>2830.41</v>
      </c>
      <c r="CG125">
        <v>58.964000000000006</v>
      </c>
      <c r="CH125">
        <v>0</v>
      </c>
      <c r="CI125">
        <v>10</v>
      </c>
      <c r="CJ125">
        <v>68</v>
      </c>
      <c r="CK125">
        <v>2</v>
      </c>
      <c r="CL125">
        <v>58.964000000000006</v>
      </c>
      <c r="CM125">
        <v>1298.0940000000001</v>
      </c>
      <c r="CN125">
        <v>0</v>
      </c>
      <c r="CO125">
        <v>0</v>
      </c>
      <c r="CP125">
        <v>9862</v>
      </c>
      <c r="CQ125">
        <v>1900</v>
      </c>
      <c r="CR125">
        <v>0</v>
      </c>
      <c r="CS125">
        <v>0</v>
      </c>
      <c r="CT125">
        <v>0</v>
      </c>
      <c r="CU125">
        <v>59.906000000000006</v>
      </c>
      <c r="CV125">
        <v>536.06900000000007</v>
      </c>
      <c r="CW125">
        <v>264.85000000000002</v>
      </c>
      <c r="CX125">
        <v>0</v>
      </c>
      <c r="CY125" s="2043">
        <v>0</v>
      </c>
      <c r="CZ125" s="2043">
        <v>0</v>
      </c>
      <c r="DA125" s="2043">
        <v>0</v>
      </c>
      <c r="DB125" s="2043">
        <v>7263187</v>
      </c>
      <c r="DC125" s="2043">
        <v>1306546</v>
      </c>
      <c r="DI125" t="s">
        <v>4945</v>
      </c>
      <c r="DJ125" t="s">
        <v>4945</v>
      </c>
      <c r="DK125" s="2042">
        <f t="shared" si="3"/>
        <v>0</v>
      </c>
    </row>
    <row r="126" spans="1:115">
      <c r="A126" t="s">
        <v>4946</v>
      </c>
      <c r="B126" t="s">
        <v>1088</v>
      </c>
      <c r="C126">
        <v>1748.8420000000001</v>
      </c>
      <c r="D126">
        <v>1846.38</v>
      </c>
      <c r="E126">
        <v>50.657000000000004</v>
      </c>
      <c r="F126">
        <v>1546831</v>
      </c>
      <c r="G126" s="2043">
        <v>2124480707</v>
      </c>
      <c r="H126">
        <v>0</v>
      </c>
      <c r="I126" s="2043">
        <v>5722669</v>
      </c>
      <c r="J126">
        <v>87</v>
      </c>
      <c r="K126">
        <v>238</v>
      </c>
      <c r="L126">
        <v>0</v>
      </c>
      <c r="M126">
        <v>0</v>
      </c>
      <c r="N126">
        <v>0</v>
      </c>
      <c r="O126">
        <v>0</v>
      </c>
      <c r="P126">
        <v>0</v>
      </c>
      <c r="Q126">
        <v>0</v>
      </c>
      <c r="R126" s="2043">
        <v>16291820</v>
      </c>
      <c r="S126">
        <v>1185291</v>
      </c>
      <c r="T126">
        <v>0</v>
      </c>
      <c r="U126">
        <v>0.06</v>
      </c>
      <c r="V126">
        <v>0</v>
      </c>
      <c r="W126">
        <v>2035194</v>
      </c>
      <c r="X126">
        <v>0</v>
      </c>
      <c r="Y126">
        <v>1912748</v>
      </c>
      <c r="Z126">
        <v>0</v>
      </c>
      <c r="AA126">
        <v>0.161</v>
      </c>
      <c r="AB126">
        <v>1771.3670000000002</v>
      </c>
      <c r="AC126" s="2043">
        <v>1883032274</v>
      </c>
      <c r="AD126">
        <v>5516635</v>
      </c>
      <c r="AE126" s="2043">
        <v>17477111</v>
      </c>
      <c r="AF126">
        <v>0.88470000000000004</v>
      </c>
      <c r="AG126">
        <v>0</v>
      </c>
      <c r="AH126">
        <v>2035194</v>
      </c>
      <c r="AI126">
        <v>0</v>
      </c>
      <c r="AJ126">
        <v>212.05</v>
      </c>
      <c r="AK126">
        <v>4653</v>
      </c>
      <c r="AL126">
        <v>0</v>
      </c>
      <c r="AM126">
        <v>0</v>
      </c>
      <c r="AN126">
        <v>86.707000000000008</v>
      </c>
      <c r="AO126">
        <v>0</v>
      </c>
      <c r="AP126">
        <v>0</v>
      </c>
      <c r="AQ126">
        <v>0</v>
      </c>
      <c r="AR126">
        <v>13.189</v>
      </c>
      <c r="AS126">
        <v>0</v>
      </c>
      <c r="AT126">
        <v>13.787000000000001</v>
      </c>
      <c r="AU126">
        <v>1.7080000000000002</v>
      </c>
      <c r="AV126">
        <v>0</v>
      </c>
      <c r="AW126">
        <v>28.684000000000001</v>
      </c>
      <c r="AX126">
        <v>0</v>
      </c>
      <c r="AY126">
        <v>89.468000000000004</v>
      </c>
      <c r="AZ126">
        <v>0</v>
      </c>
      <c r="BA126">
        <v>3015667</v>
      </c>
      <c r="BB126">
        <v>22993746</v>
      </c>
      <c r="BC126">
        <v>0</v>
      </c>
      <c r="BD126">
        <v>108927</v>
      </c>
      <c r="BE126">
        <v>22716</v>
      </c>
      <c r="BF126">
        <v>228013</v>
      </c>
      <c r="BG126">
        <v>108927</v>
      </c>
      <c r="BH126">
        <v>96370</v>
      </c>
      <c r="BI126">
        <v>0</v>
      </c>
      <c r="BJ126">
        <v>0</v>
      </c>
      <c r="BK126">
        <v>0</v>
      </c>
      <c r="BL126">
        <v>2124480707</v>
      </c>
      <c r="BM126">
        <v>0</v>
      </c>
      <c r="BN126">
        <v>6543</v>
      </c>
      <c r="BO126">
        <v>5093</v>
      </c>
      <c r="BP126">
        <v>0</v>
      </c>
      <c r="BQ126">
        <v>0</v>
      </c>
      <c r="BR126">
        <v>0.82469999999999999</v>
      </c>
      <c r="BS126">
        <v>0.82469999999999999</v>
      </c>
      <c r="BT126">
        <v>0</v>
      </c>
      <c r="BU126">
        <v>0</v>
      </c>
      <c r="BV126">
        <v>310</v>
      </c>
      <c r="BW126">
        <v>280</v>
      </c>
      <c r="BX126">
        <v>180</v>
      </c>
      <c r="BY126">
        <v>110</v>
      </c>
      <c r="BZ126">
        <v>7</v>
      </c>
      <c r="CA126">
        <v>887</v>
      </c>
      <c r="CB126">
        <v>0</v>
      </c>
      <c r="CC126">
        <v>0</v>
      </c>
      <c r="CD126">
        <v>0</v>
      </c>
      <c r="CE126">
        <v>121</v>
      </c>
      <c r="CF126">
        <v>302.56200000000001</v>
      </c>
      <c r="CG126">
        <v>0</v>
      </c>
      <c r="CH126">
        <v>0</v>
      </c>
      <c r="CI126">
        <v>7</v>
      </c>
      <c r="CJ126">
        <v>27</v>
      </c>
      <c r="CK126">
        <v>0</v>
      </c>
      <c r="CL126">
        <v>0</v>
      </c>
      <c r="CM126">
        <v>50.657000000000004</v>
      </c>
      <c r="CN126">
        <v>0</v>
      </c>
      <c r="CO126">
        <v>0</v>
      </c>
      <c r="CP126">
        <v>0</v>
      </c>
      <c r="CQ126">
        <v>0</v>
      </c>
      <c r="CR126">
        <v>0</v>
      </c>
      <c r="CS126">
        <v>0</v>
      </c>
      <c r="CT126">
        <v>0</v>
      </c>
      <c r="CU126">
        <v>0</v>
      </c>
      <c r="CV126">
        <v>95.539000000000001</v>
      </c>
      <c r="CW126">
        <v>66.959000000000003</v>
      </c>
      <c r="CX126">
        <v>0</v>
      </c>
      <c r="CY126" s="2043">
        <v>365917</v>
      </c>
      <c r="CZ126" s="2043">
        <v>0</v>
      </c>
      <c r="DA126" s="2043">
        <v>0</v>
      </c>
      <c r="DB126" s="2043">
        <v>1546831</v>
      </c>
      <c r="DC126" s="2043">
        <v>263449</v>
      </c>
      <c r="DI126" t="s">
        <v>4946</v>
      </c>
      <c r="DJ126" t="s">
        <v>4946</v>
      </c>
      <c r="DK126" s="2042">
        <f t="shared" si="3"/>
        <v>0</v>
      </c>
    </row>
    <row r="127" spans="1:115">
      <c r="A127" t="s">
        <v>2898</v>
      </c>
      <c r="B127" t="s">
        <v>1350</v>
      </c>
      <c r="C127">
        <v>2667.7420000000002</v>
      </c>
      <c r="D127">
        <v>2639.6460000000002</v>
      </c>
      <c r="E127">
        <v>197.642</v>
      </c>
      <c r="F127">
        <v>0</v>
      </c>
      <c r="G127" s="2043">
        <v>1776453181</v>
      </c>
      <c r="H127">
        <v>0</v>
      </c>
      <c r="I127" s="2043">
        <v>2946408</v>
      </c>
      <c r="J127">
        <v>133.387</v>
      </c>
      <c r="K127">
        <v>365</v>
      </c>
      <c r="L127">
        <v>0</v>
      </c>
      <c r="M127">
        <v>347892</v>
      </c>
      <c r="N127">
        <v>0</v>
      </c>
      <c r="O127">
        <v>347892</v>
      </c>
      <c r="P127">
        <v>0</v>
      </c>
      <c r="Q127">
        <v>0</v>
      </c>
      <c r="R127" s="2043">
        <v>14052339</v>
      </c>
      <c r="S127">
        <v>854765</v>
      </c>
      <c r="T127">
        <v>0</v>
      </c>
      <c r="U127">
        <v>0.05</v>
      </c>
      <c r="V127">
        <v>0</v>
      </c>
      <c r="W127">
        <v>0</v>
      </c>
      <c r="X127">
        <v>0</v>
      </c>
      <c r="Y127">
        <v>0</v>
      </c>
      <c r="Z127">
        <v>5.4380000000000006</v>
      </c>
      <c r="AA127">
        <v>0.27300000000000002</v>
      </c>
      <c r="AB127">
        <v>2639.6460000000002</v>
      </c>
      <c r="AC127" s="2043">
        <v>1392273353</v>
      </c>
      <c r="AD127">
        <v>3421370</v>
      </c>
      <c r="AE127" s="2043">
        <v>14907104</v>
      </c>
      <c r="AF127">
        <v>0.872</v>
      </c>
      <c r="AG127">
        <v>0</v>
      </c>
      <c r="AH127">
        <v>0</v>
      </c>
      <c r="AI127">
        <v>0</v>
      </c>
      <c r="AJ127">
        <v>433.27500000000003</v>
      </c>
      <c r="AK127">
        <v>11305</v>
      </c>
      <c r="AL127">
        <v>0.38100000000000001</v>
      </c>
      <c r="AM127">
        <v>0</v>
      </c>
      <c r="AN127">
        <v>234.76300000000001</v>
      </c>
      <c r="AO127">
        <v>0</v>
      </c>
      <c r="AP127">
        <v>0.249</v>
      </c>
      <c r="AQ127">
        <v>0</v>
      </c>
      <c r="AR127">
        <v>31.963000000000001</v>
      </c>
      <c r="AS127">
        <v>0</v>
      </c>
      <c r="AT127">
        <v>21.959</v>
      </c>
      <c r="AU127">
        <v>6.7080000000000002</v>
      </c>
      <c r="AV127">
        <v>0</v>
      </c>
      <c r="AW127">
        <v>61.26</v>
      </c>
      <c r="AX127">
        <v>0</v>
      </c>
      <c r="AY127">
        <v>197.88300000000001</v>
      </c>
      <c r="AZ127">
        <v>0</v>
      </c>
      <c r="BA127">
        <v>11349589</v>
      </c>
      <c r="BB127">
        <v>18328474</v>
      </c>
      <c r="BC127">
        <v>0</v>
      </c>
      <c r="BD127">
        <v>316368</v>
      </c>
      <c r="BE127">
        <v>142250</v>
      </c>
      <c r="BF127">
        <v>476543</v>
      </c>
      <c r="BG127">
        <v>316368</v>
      </c>
      <c r="BH127">
        <v>17925</v>
      </c>
      <c r="BI127">
        <v>0</v>
      </c>
      <c r="BJ127">
        <v>0</v>
      </c>
      <c r="BK127">
        <v>0</v>
      </c>
      <c r="BL127">
        <v>1776453181</v>
      </c>
      <c r="BM127">
        <v>0</v>
      </c>
      <c r="BN127">
        <v>10962</v>
      </c>
      <c r="BO127">
        <v>7255</v>
      </c>
      <c r="BP127">
        <v>0</v>
      </c>
      <c r="BQ127">
        <v>0</v>
      </c>
      <c r="BR127">
        <v>0.82200000000000006</v>
      </c>
      <c r="BS127">
        <v>0.82200000000000006</v>
      </c>
      <c r="BT127">
        <v>0</v>
      </c>
      <c r="BU127">
        <v>0</v>
      </c>
      <c r="BV127">
        <v>571</v>
      </c>
      <c r="BW127">
        <v>953</v>
      </c>
      <c r="BX127">
        <v>73</v>
      </c>
      <c r="BY127">
        <v>1</v>
      </c>
      <c r="BZ127">
        <v>218</v>
      </c>
      <c r="CA127">
        <v>1816</v>
      </c>
      <c r="CB127">
        <v>0</v>
      </c>
      <c r="CC127">
        <v>0</v>
      </c>
      <c r="CD127">
        <v>0</v>
      </c>
      <c r="CE127">
        <v>221</v>
      </c>
      <c r="CF127">
        <v>572.93000000000006</v>
      </c>
      <c r="CG127">
        <v>0</v>
      </c>
      <c r="CH127">
        <v>0</v>
      </c>
      <c r="CI127">
        <v>16</v>
      </c>
      <c r="CJ127">
        <v>43</v>
      </c>
      <c r="CK127">
        <v>0</v>
      </c>
      <c r="CL127">
        <v>0</v>
      </c>
      <c r="CM127">
        <v>197.642</v>
      </c>
      <c r="CN127">
        <v>0</v>
      </c>
      <c r="CO127">
        <v>0</v>
      </c>
      <c r="CP127">
        <v>0</v>
      </c>
      <c r="CQ127">
        <v>0</v>
      </c>
      <c r="CR127">
        <v>0</v>
      </c>
      <c r="CS127">
        <v>0</v>
      </c>
      <c r="CT127">
        <v>0</v>
      </c>
      <c r="CU127">
        <v>7.7560000000000002</v>
      </c>
      <c r="CV127">
        <v>214.68800000000002</v>
      </c>
      <c r="CW127">
        <v>61.306000000000004</v>
      </c>
      <c r="CX127">
        <v>0</v>
      </c>
      <c r="CY127" s="2043">
        <v>0</v>
      </c>
      <c r="CZ127" s="2043">
        <v>0</v>
      </c>
      <c r="DA127" s="2043">
        <v>0</v>
      </c>
      <c r="DB127" s="2043">
        <v>0</v>
      </c>
      <c r="DC127" s="2043">
        <v>0</v>
      </c>
      <c r="DI127" t="s">
        <v>2898</v>
      </c>
      <c r="DJ127" t="s">
        <v>2898</v>
      </c>
      <c r="DK127" s="2042">
        <f t="shared" si="3"/>
        <v>0</v>
      </c>
    </row>
    <row r="128" spans="1:115">
      <c r="A128" t="s">
        <v>2899</v>
      </c>
      <c r="B128" t="s">
        <v>193</v>
      </c>
      <c r="C128">
        <v>19827.823</v>
      </c>
      <c r="D128">
        <v>20790.911</v>
      </c>
      <c r="E128">
        <v>1018.2130000000001</v>
      </c>
      <c r="F128">
        <v>0</v>
      </c>
      <c r="G128" s="2043">
        <v>9036411007</v>
      </c>
      <c r="H128">
        <v>0</v>
      </c>
      <c r="I128" s="2043">
        <v>33329562</v>
      </c>
      <c r="J128">
        <v>991.39100000000008</v>
      </c>
      <c r="K128">
        <v>2710</v>
      </c>
      <c r="L128">
        <v>0</v>
      </c>
      <c r="M128">
        <v>927286</v>
      </c>
      <c r="N128">
        <v>0</v>
      </c>
      <c r="O128">
        <v>927286</v>
      </c>
      <c r="P128">
        <v>0</v>
      </c>
      <c r="Q128">
        <v>0</v>
      </c>
      <c r="R128" s="2043">
        <v>75194201</v>
      </c>
      <c r="S128">
        <v>7164764</v>
      </c>
      <c r="T128">
        <v>0</v>
      </c>
      <c r="U128">
        <v>0.08</v>
      </c>
      <c r="V128">
        <v>0</v>
      </c>
      <c r="W128">
        <v>0</v>
      </c>
      <c r="X128">
        <v>0</v>
      </c>
      <c r="Y128">
        <v>-5828</v>
      </c>
      <c r="Z128">
        <v>0</v>
      </c>
      <c r="AA128">
        <v>0.501</v>
      </c>
      <c r="AB128">
        <v>20272.281999999999</v>
      </c>
      <c r="AC128" s="2043">
        <v>8109199215</v>
      </c>
      <c r="AD128">
        <v>35445019</v>
      </c>
      <c r="AE128" s="2043">
        <v>82358965</v>
      </c>
      <c r="AF128">
        <v>0.91960000000000008</v>
      </c>
      <c r="AG128">
        <v>0</v>
      </c>
      <c r="AH128">
        <v>0</v>
      </c>
      <c r="AI128">
        <v>0</v>
      </c>
      <c r="AJ128">
        <v>1580.8880000000001</v>
      </c>
      <c r="AK128">
        <v>56428</v>
      </c>
      <c r="AL128">
        <v>1.409</v>
      </c>
      <c r="AM128">
        <v>0</v>
      </c>
      <c r="AN128">
        <v>698.95600000000002</v>
      </c>
      <c r="AO128">
        <v>10.1</v>
      </c>
      <c r="AP128">
        <v>0.73599999999999999</v>
      </c>
      <c r="AQ128">
        <v>9.2040000000000006</v>
      </c>
      <c r="AR128">
        <v>330.02700000000004</v>
      </c>
      <c r="AS128">
        <v>0</v>
      </c>
      <c r="AT128">
        <v>143.453</v>
      </c>
      <c r="AU128">
        <v>33.356000000000002</v>
      </c>
      <c r="AV128">
        <v>0</v>
      </c>
      <c r="AW128">
        <v>534.50700000000006</v>
      </c>
      <c r="AX128">
        <v>16.321999999999999</v>
      </c>
      <c r="AY128">
        <v>1633.7930000000001</v>
      </c>
      <c r="AZ128">
        <v>0</v>
      </c>
      <c r="BA128">
        <v>90904999</v>
      </c>
      <c r="BB128">
        <v>117803984</v>
      </c>
      <c r="BC128">
        <v>0</v>
      </c>
      <c r="BD128">
        <v>1171664</v>
      </c>
      <c r="BE128">
        <v>334209</v>
      </c>
      <c r="BF128">
        <v>1553016</v>
      </c>
      <c r="BG128">
        <v>1171664</v>
      </c>
      <c r="BH128">
        <v>47143</v>
      </c>
      <c r="BI128">
        <v>0</v>
      </c>
      <c r="BJ128">
        <v>-5828</v>
      </c>
      <c r="BK128">
        <v>0</v>
      </c>
      <c r="BL128">
        <v>9036411007</v>
      </c>
      <c r="BM128">
        <v>0</v>
      </c>
      <c r="BN128">
        <v>77814</v>
      </c>
      <c r="BO128">
        <v>35043</v>
      </c>
      <c r="BP128">
        <v>3309</v>
      </c>
      <c r="BQ128">
        <v>0</v>
      </c>
      <c r="BR128">
        <v>0.83960000000000001</v>
      </c>
      <c r="BS128">
        <v>0.83960000000000001</v>
      </c>
      <c r="BT128">
        <v>0</v>
      </c>
      <c r="BU128">
        <v>0</v>
      </c>
      <c r="BV128">
        <v>5369</v>
      </c>
      <c r="BW128">
        <v>820</v>
      </c>
      <c r="BX128">
        <v>579</v>
      </c>
      <c r="BY128">
        <v>15</v>
      </c>
      <c r="BZ128">
        <v>107</v>
      </c>
      <c r="CA128">
        <v>6890</v>
      </c>
      <c r="CB128">
        <v>0</v>
      </c>
      <c r="CC128">
        <v>957.19600000000003</v>
      </c>
      <c r="CD128">
        <v>572.38800000000003</v>
      </c>
      <c r="CE128">
        <v>1203</v>
      </c>
      <c r="CF128">
        <v>2674.002</v>
      </c>
      <c r="CG128">
        <v>0</v>
      </c>
      <c r="CH128">
        <v>12.332000000000001</v>
      </c>
      <c r="CI128">
        <v>50</v>
      </c>
      <c r="CJ128">
        <v>399</v>
      </c>
      <c r="CK128">
        <v>7</v>
      </c>
      <c r="CL128">
        <v>12.332000000000001</v>
      </c>
      <c r="CM128">
        <v>1018.2130000000001</v>
      </c>
      <c r="CN128">
        <v>0</v>
      </c>
      <c r="CO128">
        <v>0</v>
      </c>
      <c r="CP128">
        <v>3309</v>
      </c>
      <c r="CQ128">
        <v>0</v>
      </c>
      <c r="CR128">
        <v>0</v>
      </c>
      <c r="CS128">
        <v>0</v>
      </c>
      <c r="CT128">
        <v>0</v>
      </c>
      <c r="CU128">
        <v>9.2309999999999999</v>
      </c>
      <c r="CV128">
        <v>621.78700000000003</v>
      </c>
      <c r="CW128">
        <v>398.71000000000004</v>
      </c>
      <c r="CX128">
        <v>0</v>
      </c>
      <c r="CY128" s="2043">
        <v>0</v>
      </c>
      <c r="CZ128" s="2043">
        <v>0</v>
      </c>
      <c r="DA128" s="2043">
        <v>0</v>
      </c>
      <c r="DB128" s="2043">
        <v>0</v>
      </c>
      <c r="DC128" s="2043">
        <v>0</v>
      </c>
      <c r="DI128" t="s">
        <v>2899</v>
      </c>
      <c r="DJ128" t="s">
        <v>2899</v>
      </c>
      <c r="DK128" s="2042">
        <f t="shared" si="3"/>
        <v>0</v>
      </c>
    </row>
    <row r="129" spans="1:115">
      <c r="A129" t="s">
        <v>2900</v>
      </c>
      <c r="B129" t="s">
        <v>1089</v>
      </c>
      <c r="C129">
        <v>102.116</v>
      </c>
      <c r="D129">
        <v>102.80500000000001</v>
      </c>
      <c r="E129">
        <v>0.97200000000000009</v>
      </c>
      <c r="F129">
        <v>0</v>
      </c>
      <c r="G129" s="2043">
        <v>115945336</v>
      </c>
      <c r="H129">
        <v>0</v>
      </c>
      <c r="I129" s="2043">
        <v>0</v>
      </c>
      <c r="J129">
        <v>3</v>
      </c>
      <c r="K129">
        <v>8</v>
      </c>
      <c r="L129">
        <v>0</v>
      </c>
      <c r="M129">
        <v>0</v>
      </c>
      <c r="N129">
        <v>0</v>
      </c>
      <c r="O129">
        <v>0</v>
      </c>
      <c r="P129">
        <v>100000</v>
      </c>
      <c r="Q129">
        <v>0</v>
      </c>
      <c r="R129" s="2043">
        <v>864666</v>
      </c>
      <c r="S129">
        <v>84152</v>
      </c>
      <c r="T129">
        <v>61326</v>
      </c>
      <c r="U129">
        <v>0.08</v>
      </c>
      <c r="V129">
        <v>0</v>
      </c>
      <c r="W129">
        <v>0</v>
      </c>
      <c r="X129">
        <v>0</v>
      </c>
      <c r="Y129">
        <v>208077</v>
      </c>
      <c r="Z129">
        <v>0</v>
      </c>
      <c r="AA129">
        <v>0</v>
      </c>
      <c r="AB129">
        <v>102.80500000000001</v>
      </c>
      <c r="AC129" s="2043">
        <v>65242887</v>
      </c>
      <c r="AD129">
        <v>0</v>
      </c>
      <c r="AE129" s="2043">
        <v>1010144</v>
      </c>
      <c r="AF129">
        <v>0.96030000000000004</v>
      </c>
      <c r="AG129">
        <v>0</v>
      </c>
      <c r="AH129">
        <v>0</v>
      </c>
      <c r="AI129">
        <v>0</v>
      </c>
      <c r="AJ129">
        <v>23.150000000000002</v>
      </c>
      <c r="AK129">
        <v>1085</v>
      </c>
      <c r="AL129">
        <v>0</v>
      </c>
      <c r="AM129">
        <v>0</v>
      </c>
      <c r="AN129">
        <v>16.95</v>
      </c>
      <c r="AO129">
        <v>0</v>
      </c>
      <c r="AP129">
        <v>0</v>
      </c>
      <c r="AQ129">
        <v>0</v>
      </c>
      <c r="AR129">
        <v>1.5770000000000002</v>
      </c>
      <c r="AS129">
        <v>0</v>
      </c>
      <c r="AT129">
        <v>1.343</v>
      </c>
      <c r="AU129">
        <v>0.33600000000000002</v>
      </c>
      <c r="AV129">
        <v>0</v>
      </c>
      <c r="AW129">
        <v>3.2560000000000002</v>
      </c>
      <c r="AX129">
        <v>0</v>
      </c>
      <c r="AY129">
        <v>10.44</v>
      </c>
      <c r="AZ129">
        <v>0</v>
      </c>
      <c r="BA129">
        <v>821436</v>
      </c>
      <c r="BB129">
        <v>1010144</v>
      </c>
      <c r="BC129">
        <v>0</v>
      </c>
      <c r="BD129">
        <v>12111</v>
      </c>
      <c r="BE129">
        <v>0</v>
      </c>
      <c r="BF129">
        <v>12111</v>
      </c>
      <c r="BG129">
        <v>12111</v>
      </c>
      <c r="BH129">
        <v>0</v>
      </c>
      <c r="BI129">
        <v>0</v>
      </c>
      <c r="BJ129">
        <v>0</v>
      </c>
      <c r="BK129">
        <v>35264</v>
      </c>
      <c r="BL129">
        <v>115945336</v>
      </c>
      <c r="BM129">
        <v>0</v>
      </c>
      <c r="BN129">
        <v>0</v>
      </c>
      <c r="BO129">
        <v>0</v>
      </c>
      <c r="BP129">
        <v>0</v>
      </c>
      <c r="BQ129">
        <v>0</v>
      </c>
      <c r="BR129">
        <v>0.82200000000000006</v>
      </c>
      <c r="BS129">
        <v>0.82200000000000006</v>
      </c>
      <c r="BT129">
        <v>0</v>
      </c>
      <c r="BU129">
        <v>0</v>
      </c>
      <c r="BV129">
        <v>98</v>
      </c>
      <c r="BW129">
        <v>0</v>
      </c>
      <c r="BX129">
        <v>0</v>
      </c>
      <c r="BY129">
        <v>0</v>
      </c>
      <c r="BZ129">
        <v>4</v>
      </c>
      <c r="CA129">
        <v>102</v>
      </c>
      <c r="CB129">
        <v>0</v>
      </c>
      <c r="CC129">
        <v>0</v>
      </c>
      <c r="CD129">
        <v>0</v>
      </c>
      <c r="CE129">
        <v>3</v>
      </c>
      <c r="CF129">
        <v>32.893999999999998</v>
      </c>
      <c r="CG129">
        <v>0</v>
      </c>
      <c r="CH129">
        <v>0</v>
      </c>
      <c r="CI129">
        <v>0</v>
      </c>
      <c r="CJ129">
        <v>0</v>
      </c>
      <c r="CK129">
        <v>0</v>
      </c>
      <c r="CL129">
        <v>0</v>
      </c>
      <c r="CM129">
        <v>0.97200000000000009</v>
      </c>
      <c r="CN129">
        <v>0</v>
      </c>
      <c r="CO129">
        <v>0</v>
      </c>
      <c r="CP129">
        <v>0</v>
      </c>
      <c r="CQ129">
        <v>0</v>
      </c>
      <c r="CR129">
        <v>0</v>
      </c>
      <c r="CS129">
        <v>0</v>
      </c>
      <c r="CT129">
        <v>0</v>
      </c>
      <c r="CU129">
        <v>0</v>
      </c>
      <c r="CV129">
        <v>0</v>
      </c>
      <c r="CW129">
        <v>0</v>
      </c>
      <c r="CX129">
        <v>0</v>
      </c>
      <c r="CY129" s="2043">
        <v>208077</v>
      </c>
      <c r="CZ129" s="2043">
        <v>0</v>
      </c>
      <c r="DA129" s="2043">
        <v>35264</v>
      </c>
      <c r="DB129" s="2043">
        <v>0</v>
      </c>
      <c r="DC129" s="2043">
        <v>0</v>
      </c>
      <c r="DI129" t="s">
        <v>2900</v>
      </c>
      <c r="DJ129" t="s">
        <v>2900</v>
      </c>
      <c r="DK129" s="2042">
        <f t="shared" si="3"/>
        <v>0</v>
      </c>
    </row>
    <row r="130" spans="1:115">
      <c r="A130" t="s">
        <v>7944</v>
      </c>
      <c r="B130" t="s">
        <v>11260</v>
      </c>
      <c r="C130">
        <v>272.73099999999999</v>
      </c>
      <c r="D130">
        <v>293.84100000000001</v>
      </c>
      <c r="E130">
        <v>102.468</v>
      </c>
      <c r="F130">
        <v>0</v>
      </c>
      <c r="G130" s="2043">
        <v>0</v>
      </c>
      <c r="H130">
        <v>0</v>
      </c>
      <c r="I130" s="2043">
        <v>0</v>
      </c>
      <c r="J130">
        <v>0</v>
      </c>
      <c r="K130">
        <v>0</v>
      </c>
      <c r="L130">
        <v>0</v>
      </c>
      <c r="M130">
        <v>0</v>
      </c>
      <c r="N130">
        <v>0</v>
      </c>
      <c r="O130">
        <v>0</v>
      </c>
      <c r="P130">
        <v>0</v>
      </c>
      <c r="Q130">
        <v>0</v>
      </c>
      <c r="R130" s="2043">
        <v>0</v>
      </c>
      <c r="S130">
        <v>0</v>
      </c>
      <c r="T130">
        <v>0</v>
      </c>
      <c r="U130">
        <v>0</v>
      </c>
      <c r="V130">
        <v>0</v>
      </c>
      <c r="W130">
        <v>0</v>
      </c>
      <c r="X130">
        <v>0</v>
      </c>
      <c r="Y130">
        <v>48214</v>
      </c>
      <c r="Z130">
        <v>0</v>
      </c>
      <c r="AA130">
        <v>0</v>
      </c>
      <c r="AB130">
        <v>278.49400000000003</v>
      </c>
      <c r="AC130" s="2043">
        <v>0</v>
      </c>
      <c r="AD130">
        <v>0</v>
      </c>
      <c r="AE130" s="2043">
        <v>0</v>
      </c>
      <c r="AF130">
        <v>0</v>
      </c>
      <c r="AG130">
        <v>0</v>
      </c>
      <c r="AH130">
        <v>0</v>
      </c>
      <c r="AI130">
        <v>0</v>
      </c>
      <c r="AJ130">
        <v>86.025000000000006</v>
      </c>
      <c r="AK130">
        <v>633</v>
      </c>
      <c r="AL130">
        <v>0</v>
      </c>
      <c r="AM130">
        <v>0</v>
      </c>
      <c r="AN130">
        <v>0</v>
      </c>
      <c r="AO130">
        <v>0</v>
      </c>
      <c r="AP130">
        <v>0</v>
      </c>
      <c r="AQ130">
        <v>0</v>
      </c>
      <c r="AR130">
        <v>7.9410000000000007</v>
      </c>
      <c r="AS130">
        <v>0</v>
      </c>
      <c r="AT130">
        <v>0</v>
      </c>
      <c r="AU130">
        <v>0.82800000000000007</v>
      </c>
      <c r="AV130">
        <v>0</v>
      </c>
      <c r="AW130">
        <v>8.7690000000000001</v>
      </c>
      <c r="AX130">
        <v>0</v>
      </c>
      <c r="AY130">
        <v>27.963000000000001</v>
      </c>
      <c r="AZ130">
        <v>0</v>
      </c>
      <c r="BA130">
        <v>3207733</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21</v>
      </c>
      <c r="BW130">
        <v>26</v>
      </c>
      <c r="BX130">
        <v>34</v>
      </c>
      <c r="BY130">
        <v>126</v>
      </c>
      <c r="BZ130">
        <v>122</v>
      </c>
      <c r="CA130">
        <v>329</v>
      </c>
      <c r="CB130">
        <v>0</v>
      </c>
      <c r="CC130">
        <v>0</v>
      </c>
      <c r="CD130">
        <v>0</v>
      </c>
      <c r="CE130">
        <v>3</v>
      </c>
      <c r="CF130">
        <v>203.959</v>
      </c>
      <c r="CG130">
        <v>0</v>
      </c>
      <c r="CH130">
        <v>0</v>
      </c>
      <c r="CI130">
        <v>0</v>
      </c>
      <c r="CJ130">
        <v>0</v>
      </c>
      <c r="CK130">
        <v>0</v>
      </c>
      <c r="CL130">
        <v>0</v>
      </c>
      <c r="CM130">
        <v>102.468</v>
      </c>
      <c r="CN130">
        <v>0</v>
      </c>
      <c r="CO130">
        <v>0</v>
      </c>
      <c r="CP130">
        <v>0</v>
      </c>
      <c r="CQ130">
        <v>0</v>
      </c>
      <c r="CR130">
        <v>0</v>
      </c>
      <c r="CS130">
        <v>0</v>
      </c>
      <c r="CT130">
        <v>0</v>
      </c>
      <c r="CU130">
        <v>0</v>
      </c>
      <c r="CV130">
        <v>0</v>
      </c>
      <c r="CW130">
        <v>0</v>
      </c>
      <c r="CX130">
        <v>0</v>
      </c>
      <c r="CY130" s="2043">
        <v>0</v>
      </c>
      <c r="CZ130" s="2043">
        <v>0</v>
      </c>
      <c r="DA130" s="2043">
        <v>0</v>
      </c>
      <c r="DB130" s="2043">
        <v>0</v>
      </c>
      <c r="DC130" s="2043">
        <v>0</v>
      </c>
      <c r="DI130" t="s">
        <v>7944</v>
      </c>
      <c r="DJ130" t="s">
        <v>7944</v>
      </c>
      <c r="DK130" s="2042">
        <f t="shared" si="3"/>
        <v>0</v>
      </c>
    </row>
    <row r="131" spans="1:115">
      <c r="A131" t="s">
        <v>7945</v>
      </c>
      <c r="B131" t="s">
        <v>11261</v>
      </c>
      <c r="C131">
        <v>558.64600000000007</v>
      </c>
      <c r="D131">
        <v>797.43700000000001</v>
      </c>
      <c r="E131">
        <v>62.484000000000002</v>
      </c>
      <c r="F131">
        <v>0</v>
      </c>
      <c r="G131" s="2043">
        <v>0</v>
      </c>
      <c r="H131">
        <v>0</v>
      </c>
      <c r="I131" s="2043">
        <v>0</v>
      </c>
      <c r="J131">
        <v>5</v>
      </c>
      <c r="K131">
        <v>14</v>
      </c>
      <c r="L131">
        <v>0</v>
      </c>
      <c r="M131">
        <v>0</v>
      </c>
      <c r="N131">
        <v>0</v>
      </c>
      <c r="O131">
        <v>0</v>
      </c>
      <c r="P131">
        <v>0</v>
      </c>
      <c r="Q131">
        <v>0</v>
      </c>
      <c r="R131" s="2043">
        <v>0</v>
      </c>
      <c r="S131">
        <v>0</v>
      </c>
      <c r="T131">
        <v>0</v>
      </c>
      <c r="U131">
        <v>0</v>
      </c>
      <c r="V131">
        <v>0</v>
      </c>
      <c r="W131">
        <v>0</v>
      </c>
      <c r="X131">
        <v>0</v>
      </c>
      <c r="Y131">
        <v>98759</v>
      </c>
      <c r="Z131">
        <v>0</v>
      </c>
      <c r="AA131">
        <v>0</v>
      </c>
      <c r="AB131">
        <v>681.06400000000008</v>
      </c>
      <c r="AC131" s="2043">
        <v>0</v>
      </c>
      <c r="AD131">
        <v>0</v>
      </c>
      <c r="AE131" s="2043">
        <v>0</v>
      </c>
      <c r="AF131">
        <v>0</v>
      </c>
      <c r="AG131">
        <v>0</v>
      </c>
      <c r="AH131">
        <v>0</v>
      </c>
      <c r="AI131">
        <v>0</v>
      </c>
      <c r="AJ131">
        <v>120.38800000000001</v>
      </c>
      <c r="AK131">
        <v>1681</v>
      </c>
      <c r="AL131">
        <v>0</v>
      </c>
      <c r="AM131">
        <v>0</v>
      </c>
      <c r="AN131">
        <v>11.323</v>
      </c>
      <c r="AO131">
        <v>0</v>
      </c>
      <c r="AP131">
        <v>0</v>
      </c>
      <c r="AQ131">
        <v>0</v>
      </c>
      <c r="AR131">
        <v>17.768000000000001</v>
      </c>
      <c r="AS131">
        <v>0</v>
      </c>
      <c r="AT131">
        <v>0.82800000000000007</v>
      </c>
      <c r="AU131">
        <v>1.081</v>
      </c>
      <c r="AV131">
        <v>0</v>
      </c>
      <c r="AW131">
        <v>19.677</v>
      </c>
      <c r="AX131">
        <v>0</v>
      </c>
      <c r="AY131">
        <v>61.193000000000005</v>
      </c>
      <c r="AZ131">
        <v>0</v>
      </c>
      <c r="BA131">
        <v>6129283</v>
      </c>
      <c r="BB131">
        <v>0</v>
      </c>
      <c r="BC131">
        <v>0</v>
      </c>
      <c r="BD131">
        <v>18026</v>
      </c>
      <c r="BE131">
        <v>0</v>
      </c>
      <c r="BF131">
        <v>18026</v>
      </c>
      <c r="BG131">
        <v>18026</v>
      </c>
      <c r="BH131">
        <v>0</v>
      </c>
      <c r="BI131">
        <v>0</v>
      </c>
      <c r="BJ131">
        <v>0</v>
      </c>
      <c r="BK131">
        <v>0</v>
      </c>
      <c r="BL131">
        <v>0</v>
      </c>
      <c r="BM131">
        <v>0</v>
      </c>
      <c r="BN131">
        <v>0</v>
      </c>
      <c r="BO131">
        <v>0</v>
      </c>
      <c r="BP131">
        <v>0</v>
      </c>
      <c r="BQ131">
        <v>0</v>
      </c>
      <c r="BR131">
        <v>0</v>
      </c>
      <c r="BS131">
        <v>0</v>
      </c>
      <c r="BT131">
        <v>0</v>
      </c>
      <c r="BU131">
        <v>0</v>
      </c>
      <c r="BV131">
        <v>53</v>
      </c>
      <c r="BW131">
        <v>45</v>
      </c>
      <c r="BX131">
        <v>97</v>
      </c>
      <c r="BY131">
        <v>80</v>
      </c>
      <c r="BZ131">
        <v>191</v>
      </c>
      <c r="CA131">
        <v>466</v>
      </c>
      <c r="CB131">
        <v>0</v>
      </c>
      <c r="CC131">
        <v>0</v>
      </c>
      <c r="CD131">
        <v>0</v>
      </c>
      <c r="CE131">
        <v>8</v>
      </c>
      <c r="CF131">
        <v>305.97399999999999</v>
      </c>
      <c r="CG131">
        <v>0</v>
      </c>
      <c r="CH131">
        <v>0</v>
      </c>
      <c r="CI131">
        <v>0</v>
      </c>
      <c r="CJ131">
        <v>0</v>
      </c>
      <c r="CK131">
        <v>0</v>
      </c>
      <c r="CL131">
        <v>0</v>
      </c>
      <c r="CM131">
        <v>62.484000000000002</v>
      </c>
      <c r="CN131">
        <v>0</v>
      </c>
      <c r="CO131">
        <v>0</v>
      </c>
      <c r="CP131">
        <v>0</v>
      </c>
      <c r="CQ131">
        <v>0</v>
      </c>
      <c r="CR131">
        <v>0</v>
      </c>
      <c r="CS131">
        <v>0</v>
      </c>
      <c r="CT131">
        <v>0</v>
      </c>
      <c r="CU131">
        <v>0</v>
      </c>
      <c r="CV131">
        <v>0</v>
      </c>
      <c r="CW131">
        <v>0</v>
      </c>
      <c r="CX131">
        <v>0</v>
      </c>
      <c r="CY131" s="2043">
        <v>0</v>
      </c>
      <c r="CZ131" s="2043">
        <v>0</v>
      </c>
      <c r="DA131" s="2043">
        <v>0</v>
      </c>
      <c r="DB131" s="2043">
        <v>0</v>
      </c>
      <c r="DC131" s="2043">
        <v>0</v>
      </c>
      <c r="DI131" t="s">
        <v>7945</v>
      </c>
      <c r="DJ131" t="s">
        <v>7945</v>
      </c>
      <c r="DK131" s="2042">
        <f t="shared" si="3"/>
        <v>0</v>
      </c>
    </row>
    <row r="132" spans="1:115">
      <c r="A132" t="s">
        <v>2901</v>
      </c>
      <c r="B132" t="s">
        <v>543</v>
      </c>
      <c r="C132">
        <v>13279.300999999999</v>
      </c>
      <c r="D132">
        <v>13274.14</v>
      </c>
      <c r="E132">
        <v>703.06400000000008</v>
      </c>
      <c r="F132">
        <v>0</v>
      </c>
      <c r="G132" s="2043">
        <v>11326004720</v>
      </c>
      <c r="H132">
        <v>0</v>
      </c>
      <c r="I132" s="2043">
        <v>26065437</v>
      </c>
      <c r="J132">
        <v>663.96500000000003</v>
      </c>
      <c r="K132">
        <v>1815</v>
      </c>
      <c r="L132">
        <v>0</v>
      </c>
      <c r="M132">
        <v>0</v>
      </c>
      <c r="N132">
        <v>0</v>
      </c>
      <c r="O132">
        <v>0</v>
      </c>
      <c r="P132">
        <v>0</v>
      </c>
      <c r="Q132">
        <v>0</v>
      </c>
      <c r="R132" s="2043">
        <v>101523556</v>
      </c>
      <c r="S132">
        <v>5626444</v>
      </c>
      <c r="T132">
        <v>0</v>
      </c>
      <c r="U132">
        <v>0.05</v>
      </c>
      <c r="V132">
        <v>0</v>
      </c>
      <c r="W132">
        <v>1095636</v>
      </c>
      <c r="X132">
        <v>0</v>
      </c>
      <c r="Y132">
        <v>-8491</v>
      </c>
      <c r="Z132">
        <v>0</v>
      </c>
      <c r="AA132">
        <v>0.68100000000000005</v>
      </c>
      <c r="AB132">
        <v>12973.948</v>
      </c>
      <c r="AC132" s="2043">
        <v>10717056455</v>
      </c>
      <c r="AD132">
        <v>29610000</v>
      </c>
      <c r="AE132" s="2043">
        <v>107150000</v>
      </c>
      <c r="AF132">
        <v>0.95220000000000005</v>
      </c>
      <c r="AG132">
        <v>0</v>
      </c>
      <c r="AH132">
        <v>1095636</v>
      </c>
      <c r="AI132">
        <v>0</v>
      </c>
      <c r="AJ132">
        <v>1324.0630000000001</v>
      </c>
      <c r="AK132">
        <v>46966</v>
      </c>
      <c r="AL132">
        <v>0.83800000000000008</v>
      </c>
      <c r="AM132">
        <v>0</v>
      </c>
      <c r="AN132">
        <v>377.96800000000002</v>
      </c>
      <c r="AO132">
        <v>0</v>
      </c>
      <c r="AP132">
        <v>0</v>
      </c>
      <c r="AQ132">
        <v>0</v>
      </c>
      <c r="AR132">
        <v>328.58699999999999</v>
      </c>
      <c r="AS132">
        <v>0</v>
      </c>
      <c r="AT132">
        <v>127.986</v>
      </c>
      <c r="AU132">
        <v>44.321000000000005</v>
      </c>
      <c r="AV132">
        <v>0</v>
      </c>
      <c r="AW132">
        <v>520.69600000000003</v>
      </c>
      <c r="AX132">
        <v>18.964000000000002</v>
      </c>
      <c r="AY132">
        <v>1639.1310000000001</v>
      </c>
      <c r="AZ132">
        <v>0</v>
      </c>
      <c r="BA132">
        <v>9813922</v>
      </c>
      <c r="BB132">
        <v>136760000</v>
      </c>
      <c r="BC132">
        <v>0</v>
      </c>
      <c r="BD132">
        <v>510380</v>
      </c>
      <c r="BE132">
        <v>320324</v>
      </c>
      <c r="BF132">
        <v>884540</v>
      </c>
      <c r="BG132">
        <v>510380</v>
      </c>
      <c r="BH132">
        <v>53836</v>
      </c>
      <c r="BI132">
        <v>0</v>
      </c>
      <c r="BJ132">
        <v>-8491</v>
      </c>
      <c r="BK132">
        <v>0</v>
      </c>
      <c r="BL132">
        <v>11326004720</v>
      </c>
      <c r="BM132">
        <v>0</v>
      </c>
      <c r="BN132">
        <v>46530</v>
      </c>
      <c r="BO132">
        <v>18297</v>
      </c>
      <c r="BP132">
        <v>4509</v>
      </c>
      <c r="BQ132">
        <v>0</v>
      </c>
      <c r="BR132">
        <v>0.9022</v>
      </c>
      <c r="BS132">
        <v>0.9022</v>
      </c>
      <c r="BT132">
        <v>0</v>
      </c>
      <c r="BU132">
        <v>0</v>
      </c>
      <c r="BV132">
        <v>1233</v>
      </c>
      <c r="BW132">
        <v>752</v>
      </c>
      <c r="BX132">
        <v>1139</v>
      </c>
      <c r="BY132">
        <v>1781</v>
      </c>
      <c r="BZ132">
        <v>421</v>
      </c>
      <c r="CA132">
        <v>5326</v>
      </c>
      <c r="CB132">
        <v>0</v>
      </c>
      <c r="CC132">
        <v>487.55200000000002</v>
      </c>
      <c r="CD132">
        <v>259.322</v>
      </c>
      <c r="CE132">
        <v>1089</v>
      </c>
      <c r="CF132">
        <v>2127.5950000000003</v>
      </c>
      <c r="CG132">
        <v>0</v>
      </c>
      <c r="CH132">
        <v>0</v>
      </c>
      <c r="CI132">
        <v>28</v>
      </c>
      <c r="CJ132">
        <v>289</v>
      </c>
      <c r="CK132">
        <v>2</v>
      </c>
      <c r="CL132">
        <v>0</v>
      </c>
      <c r="CM132">
        <v>703.06400000000008</v>
      </c>
      <c r="CN132">
        <v>0</v>
      </c>
      <c r="CO132">
        <v>0</v>
      </c>
      <c r="CP132">
        <v>4014</v>
      </c>
      <c r="CQ132">
        <v>495</v>
      </c>
      <c r="CR132">
        <v>0</v>
      </c>
      <c r="CS132">
        <v>0</v>
      </c>
      <c r="CT132">
        <v>0</v>
      </c>
      <c r="CU132">
        <v>134.196</v>
      </c>
      <c r="CV132">
        <v>642.74800000000005</v>
      </c>
      <c r="CW132">
        <v>292.93200000000002</v>
      </c>
      <c r="CX132">
        <v>0</v>
      </c>
      <c r="CY132" s="2043">
        <v>0</v>
      </c>
      <c r="CZ132" s="2043">
        <v>0</v>
      </c>
      <c r="DA132" s="2043">
        <v>0</v>
      </c>
      <c r="DB132" s="2043">
        <v>0</v>
      </c>
      <c r="DC132" s="2043">
        <v>1266320</v>
      </c>
      <c r="DI132" t="s">
        <v>2901</v>
      </c>
      <c r="DJ132" t="s">
        <v>2901</v>
      </c>
      <c r="DK132" s="2042">
        <f t="shared" ref="DK132:DK195" si="4">DI132-DJ132:DJ133</f>
        <v>0</v>
      </c>
    </row>
    <row r="133" spans="1:115">
      <c r="A133" t="s">
        <v>2902</v>
      </c>
      <c r="B133" t="s">
        <v>835</v>
      </c>
      <c r="C133">
        <v>14558.131000000001</v>
      </c>
      <c r="D133">
        <v>14863.08</v>
      </c>
      <c r="E133">
        <v>3905.2380000000003</v>
      </c>
      <c r="F133">
        <v>188974</v>
      </c>
      <c r="G133" s="2043">
        <v>9488612115</v>
      </c>
      <c r="H133">
        <v>0</v>
      </c>
      <c r="I133" s="2043">
        <v>18978720</v>
      </c>
      <c r="J133">
        <v>727.90700000000004</v>
      </c>
      <c r="K133">
        <v>1990</v>
      </c>
      <c r="L133">
        <v>0</v>
      </c>
      <c r="M133">
        <v>2150873</v>
      </c>
      <c r="N133">
        <v>0</v>
      </c>
      <c r="O133">
        <v>2150873</v>
      </c>
      <c r="P133">
        <v>0</v>
      </c>
      <c r="Q133">
        <v>0</v>
      </c>
      <c r="R133" s="2043">
        <v>83933015</v>
      </c>
      <c r="S133">
        <v>5646985</v>
      </c>
      <c r="T133">
        <v>0</v>
      </c>
      <c r="U133">
        <v>0.06</v>
      </c>
      <c r="V133">
        <v>0</v>
      </c>
      <c r="W133">
        <v>0</v>
      </c>
      <c r="X133">
        <v>0</v>
      </c>
      <c r="Y133">
        <v>148397</v>
      </c>
      <c r="Z133">
        <v>0</v>
      </c>
      <c r="AA133">
        <v>3.3010000000000002</v>
      </c>
      <c r="AB133">
        <v>14620.276</v>
      </c>
      <c r="AC133" s="2043">
        <v>8333748390</v>
      </c>
      <c r="AD133">
        <v>26350000</v>
      </c>
      <c r="AE133" s="2043">
        <v>89580000</v>
      </c>
      <c r="AF133">
        <v>0.95180000000000009</v>
      </c>
      <c r="AG133">
        <v>0</v>
      </c>
      <c r="AH133">
        <v>0</v>
      </c>
      <c r="AI133">
        <v>0</v>
      </c>
      <c r="AJ133">
        <v>3243.4880000000003</v>
      </c>
      <c r="AK133">
        <v>60597</v>
      </c>
      <c r="AL133">
        <v>0.996</v>
      </c>
      <c r="AM133">
        <v>4.4620000000000006</v>
      </c>
      <c r="AN133">
        <v>571.73199999999997</v>
      </c>
      <c r="AO133">
        <v>1</v>
      </c>
      <c r="AP133">
        <v>0</v>
      </c>
      <c r="AQ133">
        <v>15.067</v>
      </c>
      <c r="AR133">
        <v>350.57</v>
      </c>
      <c r="AS133">
        <v>0</v>
      </c>
      <c r="AT133">
        <v>228.33500000000001</v>
      </c>
      <c r="AU133">
        <v>38.822000000000003</v>
      </c>
      <c r="AV133">
        <v>0</v>
      </c>
      <c r="AW133">
        <v>641.29600000000005</v>
      </c>
      <c r="AX133">
        <v>3.044</v>
      </c>
      <c r="AY133">
        <v>1956.192</v>
      </c>
      <c r="AZ133">
        <v>0</v>
      </c>
      <c r="BA133">
        <v>55810997</v>
      </c>
      <c r="BB133">
        <v>115930000</v>
      </c>
      <c r="BC133">
        <v>0</v>
      </c>
      <c r="BD133">
        <v>1103130</v>
      </c>
      <c r="BE133">
        <v>332251</v>
      </c>
      <c r="BF133">
        <v>1533742</v>
      </c>
      <c r="BG133">
        <v>1103130</v>
      </c>
      <c r="BH133">
        <v>98361</v>
      </c>
      <c r="BI133">
        <v>-24757</v>
      </c>
      <c r="BJ133">
        <v>-15820</v>
      </c>
      <c r="BK133">
        <v>0</v>
      </c>
      <c r="BL133">
        <v>9488612115</v>
      </c>
      <c r="BM133">
        <v>0</v>
      </c>
      <c r="BN133">
        <v>54531</v>
      </c>
      <c r="BO133">
        <v>28334</v>
      </c>
      <c r="BP133">
        <v>12205</v>
      </c>
      <c r="BQ133">
        <v>0</v>
      </c>
      <c r="BR133">
        <v>0.89180000000000004</v>
      </c>
      <c r="BS133">
        <v>0.89180000000000004</v>
      </c>
      <c r="BT133">
        <v>0</v>
      </c>
      <c r="BU133">
        <v>0</v>
      </c>
      <c r="BV133">
        <v>2069</v>
      </c>
      <c r="BW133">
        <v>926</v>
      </c>
      <c r="BX133">
        <v>2706</v>
      </c>
      <c r="BY133">
        <v>2971</v>
      </c>
      <c r="BZ133">
        <v>4006</v>
      </c>
      <c r="CA133">
        <v>12678</v>
      </c>
      <c r="CB133">
        <v>0</v>
      </c>
      <c r="CC133">
        <v>288.36700000000002</v>
      </c>
      <c r="CD133">
        <v>297.28800000000001</v>
      </c>
      <c r="CE133">
        <v>834</v>
      </c>
      <c r="CF133">
        <v>4937.848</v>
      </c>
      <c r="CG133">
        <v>127.94800000000001</v>
      </c>
      <c r="CH133">
        <v>54.791000000000004</v>
      </c>
      <c r="CI133">
        <v>35</v>
      </c>
      <c r="CJ133">
        <v>78</v>
      </c>
      <c r="CK133">
        <v>3</v>
      </c>
      <c r="CL133">
        <v>182.739</v>
      </c>
      <c r="CM133">
        <v>3905.2380000000003</v>
      </c>
      <c r="CN133">
        <v>0</v>
      </c>
      <c r="CO133">
        <v>0</v>
      </c>
      <c r="CP133">
        <v>12205</v>
      </c>
      <c r="CQ133">
        <v>0</v>
      </c>
      <c r="CR133">
        <v>0</v>
      </c>
      <c r="CS133">
        <v>0</v>
      </c>
      <c r="CT133">
        <v>0</v>
      </c>
      <c r="CU133">
        <v>37.246000000000002</v>
      </c>
      <c r="CV133">
        <v>699.70500000000004</v>
      </c>
      <c r="CW133">
        <v>330.42700000000002</v>
      </c>
      <c r="CX133">
        <v>0</v>
      </c>
      <c r="CY133" s="2043">
        <v>0</v>
      </c>
      <c r="CZ133" s="2043">
        <v>0</v>
      </c>
      <c r="DA133" s="2043">
        <v>0</v>
      </c>
      <c r="DB133" s="2043">
        <v>188974</v>
      </c>
      <c r="DC133" s="2043">
        <v>0</v>
      </c>
      <c r="DI133" t="s">
        <v>2902</v>
      </c>
      <c r="DJ133" t="s">
        <v>2902</v>
      </c>
      <c r="DK133" s="2042">
        <f t="shared" si="4"/>
        <v>0</v>
      </c>
    </row>
    <row r="134" spans="1:115">
      <c r="A134" t="s">
        <v>5757</v>
      </c>
      <c r="B134" t="s">
        <v>2408</v>
      </c>
      <c r="C134">
        <v>100.86</v>
      </c>
      <c r="D134">
        <v>108.709</v>
      </c>
      <c r="E134">
        <v>46.920999999999999</v>
      </c>
      <c r="F134">
        <v>0</v>
      </c>
      <c r="G134" s="2043">
        <v>107571020</v>
      </c>
      <c r="H134">
        <v>0</v>
      </c>
      <c r="I134" s="2043">
        <v>0</v>
      </c>
      <c r="J134">
        <v>5.0430000000000001</v>
      </c>
      <c r="K134">
        <v>14</v>
      </c>
      <c r="L134">
        <v>0</v>
      </c>
      <c r="M134">
        <v>0</v>
      </c>
      <c r="N134">
        <v>0</v>
      </c>
      <c r="O134">
        <v>0</v>
      </c>
      <c r="P134">
        <v>0</v>
      </c>
      <c r="Q134">
        <v>0</v>
      </c>
      <c r="R134" s="2043">
        <v>889498</v>
      </c>
      <c r="S134">
        <v>45629</v>
      </c>
      <c r="T134">
        <v>0</v>
      </c>
      <c r="U134">
        <v>0.04</v>
      </c>
      <c r="V134">
        <v>0</v>
      </c>
      <c r="W134">
        <v>0</v>
      </c>
      <c r="X134">
        <v>0</v>
      </c>
      <c r="Y134">
        <v>0</v>
      </c>
      <c r="Z134">
        <v>0</v>
      </c>
      <c r="AA134">
        <v>0</v>
      </c>
      <c r="AB134">
        <v>108.709</v>
      </c>
      <c r="AC134" s="2043">
        <v>99166205</v>
      </c>
      <c r="AD134">
        <v>0</v>
      </c>
      <c r="AE134" s="2043">
        <v>935127</v>
      </c>
      <c r="AF134">
        <v>0.90380000000000005</v>
      </c>
      <c r="AG134">
        <v>0</v>
      </c>
      <c r="AH134">
        <v>0</v>
      </c>
      <c r="AI134">
        <v>0</v>
      </c>
      <c r="AJ134">
        <v>21.138000000000002</v>
      </c>
      <c r="AK134">
        <v>513</v>
      </c>
      <c r="AL134">
        <v>0</v>
      </c>
      <c r="AM134">
        <v>0</v>
      </c>
      <c r="AN134">
        <v>5.7480000000000002</v>
      </c>
      <c r="AO134">
        <v>0</v>
      </c>
      <c r="AP134">
        <v>0</v>
      </c>
      <c r="AQ134">
        <v>0</v>
      </c>
      <c r="AR134">
        <v>2.1870000000000003</v>
      </c>
      <c r="AS134">
        <v>0</v>
      </c>
      <c r="AT134">
        <v>0</v>
      </c>
      <c r="AU134">
        <v>0.216</v>
      </c>
      <c r="AV134">
        <v>0</v>
      </c>
      <c r="AW134">
        <v>2.403</v>
      </c>
      <c r="AX134">
        <v>0</v>
      </c>
      <c r="AY134">
        <v>7.641</v>
      </c>
      <c r="AZ134">
        <v>0</v>
      </c>
      <c r="BA134">
        <v>899579</v>
      </c>
      <c r="BB134">
        <v>935127</v>
      </c>
      <c r="BC134">
        <v>68442</v>
      </c>
      <c r="BD134">
        <v>0</v>
      </c>
      <c r="BE134">
        <v>0</v>
      </c>
      <c r="BF134">
        <v>68442</v>
      </c>
      <c r="BG134">
        <v>68442</v>
      </c>
      <c r="BH134">
        <v>0</v>
      </c>
      <c r="BI134">
        <v>0</v>
      </c>
      <c r="BJ134">
        <v>0</v>
      </c>
      <c r="BK134">
        <v>0</v>
      </c>
      <c r="BL134">
        <v>107571020</v>
      </c>
      <c r="BM134">
        <v>0</v>
      </c>
      <c r="BN134">
        <v>486</v>
      </c>
      <c r="BO134">
        <v>86</v>
      </c>
      <c r="BP134">
        <v>0</v>
      </c>
      <c r="BQ134">
        <v>0</v>
      </c>
      <c r="BR134">
        <v>0.85970000000000002</v>
      </c>
      <c r="BS134">
        <v>0.85970000000000002</v>
      </c>
      <c r="BT134">
        <v>0</v>
      </c>
      <c r="BU134">
        <v>0</v>
      </c>
      <c r="BV134">
        <v>0</v>
      </c>
      <c r="BW134">
        <v>89</v>
      </c>
      <c r="BX134">
        <v>0</v>
      </c>
      <c r="BY134">
        <v>0</v>
      </c>
      <c r="BZ134">
        <v>0</v>
      </c>
      <c r="CA134">
        <v>89</v>
      </c>
      <c r="CB134">
        <v>0</v>
      </c>
      <c r="CC134">
        <v>0</v>
      </c>
      <c r="CD134">
        <v>0</v>
      </c>
      <c r="CE134">
        <v>3</v>
      </c>
      <c r="CF134">
        <v>34.728000000000002</v>
      </c>
      <c r="CG134">
        <v>0</v>
      </c>
      <c r="CH134">
        <v>0</v>
      </c>
      <c r="CI134">
        <v>1</v>
      </c>
      <c r="CJ134">
        <v>2</v>
      </c>
      <c r="CK134">
        <v>0</v>
      </c>
      <c r="CL134">
        <v>0</v>
      </c>
      <c r="CM134">
        <v>46.920999999999999</v>
      </c>
      <c r="CN134">
        <v>0</v>
      </c>
      <c r="CO134">
        <v>0</v>
      </c>
      <c r="CP134">
        <v>0</v>
      </c>
      <c r="CQ134">
        <v>0</v>
      </c>
      <c r="CR134">
        <v>0</v>
      </c>
      <c r="CS134">
        <v>0</v>
      </c>
      <c r="CT134">
        <v>0</v>
      </c>
      <c r="CU134">
        <v>0.76600000000000001</v>
      </c>
      <c r="CV134">
        <v>2.1800000000000002</v>
      </c>
      <c r="CW134">
        <v>3.056</v>
      </c>
      <c r="CX134">
        <v>0</v>
      </c>
      <c r="CY134" s="2043">
        <v>0</v>
      </c>
      <c r="CZ134" s="2043">
        <v>0</v>
      </c>
      <c r="DA134" s="2043">
        <v>0</v>
      </c>
      <c r="DB134" s="2043">
        <v>0</v>
      </c>
      <c r="DC134" s="2043">
        <v>0</v>
      </c>
      <c r="DI134" t="s">
        <v>5757</v>
      </c>
      <c r="DJ134" t="s">
        <v>5757</v>
      </c>
      <c r="DK134" s="2042">
        <f t="shared" si="4"/>
        <v>0</v>
      </c>
    </row>
    <row r="135" spans="1:115">
      <c r="A135" t="s">
        <v>4947</v>
      </c>
      <c r="B135" t="s">
        <v>378</v>
      </c>
      <c r="C135">
        <v>862.18299999999999</v>
      </c>
      <c r="D135">
        <v>949.17400000000009</v>
      </c>
      <c r="E135">
        <v>55.413000000000004</v>
      </c>
      <c r="F135">
        <v>0</v>
      </c>
      <c r="G135" s="2043">
        <v>767982295</v>
      </c>
      <c r="H135">
        <v>0</v>
      </c>
      <c r="I135" s="2043">
        <v>1211450</v>
      </c>
      <c r="J135">
        <v>38</v>
      </c>
      <c r="K135">
        <v>104</v>
      </c>
      <c r="L135">
        <v>0</v>
      </c>
      <c r="M135">
        <v>0</v>
      </c>
      <c r="N135">
        <v>0</v>
      </c>
      <c r="O135">
        <v>0</v>
      </c>
      <c r="P135">
        <v>0</v>
      </c>
      <c r="Q135">
        <v>0</v>
      </c>
      <c r="R135" s="2043">
        <v>5455729</v>
      </c>
      <c r="S135">
        <v>505102</v>
      </c>
      <c r="T135">
        <v>368092</v>
      </c>
      <c r="U135">
        <v>0.08</v>
      </c>
      <c r="V135">
        <v>0</v>
      </c>
      <c r="W135">
        <v>0</v>
      </c>
      <c r="X135">
        <v>0</v>
      </c>
      <c r="Y135">
        <v>697672</v>
      </c>
      <c r="Z135">
        <v>0</v>
      </c>
      <c r="AA135">
        <v>0</v>
      </c>
      <c r="AB135">
        <v>885.48099999999999</v>
      </c>
      <c r="AC135" s="2043">
        <v>611333692</v>
      </c>
      <c r="AD135">
        <v>1402258</v>
      </c>
      <c r="AE135" s="2043">
        <v>6328923</v>
      </c>
      <c r="AF135">
        <v>1.0024</v>
      </c>
      <c r="AG135">
        <v>0</v>
      </c>
      <c r="AH135">
        <v>0</v>
      </c>
      <c r="AI135">
        <v>0</v>
      </c>
      <c r="AJ135">
        <v>136.51300000000001</v>
      </c>
      <c r="AK135">
        <v>4039</v>
      </c>
      <c r="AL135">
        <v>0</v>
      </c>
      <c r="AM135">
        <v>0</v>
      </c>
      <c r="AN135">
        <v>52.134</v>
      </c>
      <c r="AO135">
        <v>1</v>
      </c>
      <c r="AP135">
        <v>0</v>
      </c>
      <c r="AQ135">
        <v>0</v>
      </c>
      <c r="AR135">
        <v>13.964</v>
      </c>
      <c r="AS135">
        <v>0</v>
      </c>
      <c r="AT135">
        <v>8.2249999999999996</v>
      </c>
      <c r="AU135">
        <v>1.3210000000000002</v>
      </c>
      <c r="AV135">
        <v>0</v>
      </c>
      <c r="AW135">
        <v>23.51</v>
      </c>
      <c r="AX135">
        <v>0</v>
      </c>
      <c r="AY135">
        <v>73.171999999999997</v>
      </c>
      <c r="AZ135">
        <v>0</v>
      </c>
      <c r="BA135">
        <v>3708607</v>
      </c>
      <c r="BB135">
        <v>7731181</v>
      </c>
      <c r="BC135">
        <v>0</v>
      </c>
      <c r="BD135">
        <v>30394</v>
      </c>
      <c r="BE135">
        <v>25747</v>
      </c>
      <c r="BF135">
        <v>56141</v>
      </c>
      <c r="BG135">
        <v>30394</v>
      </c>
      <c r="BH135">
        <v>0</v>
      </c>
      <c r="BI135">
        <v>0</v>
      </c>
      <c r="BJ135">
        <v>0</v>
      </c>
      <c r="BK135">
        <v>0</v>
      </c>
      <c r="BL135">
        <v>767982295</v>
      </c>
      <c r="BM135">
        <v>0</v>
      </c>
      <c r="BN135">
        <v>3240</v>
      </c>
      <c r="BO135">
        <v>803</v>
      </c>
      <c r="BP135">
        <v>0</v>
      </c>
      <c r="BQ135">
        <v>0</v>
      </c>
      <c r="BR135">
        <v>0.86410000000000009</v>
      </c>
      <c r="BS135">
        <v>0.86410000000000009</v>
      </c>
      <c r="BT135">
        <v>697672</v>
      </c>
      <c r="BU135">
        <v>0</v>
      </c>
      <c r="BV135">
        <v>25</v>
      </c>
      <c r="BW135">
        <v>243</v>
      </c>
      <c r="BX135">
        <v>219</v>
      </c>
      <c r="BY135">
        <v>66</v>
      </c>
      <c r="BZ135">
        <v>4</v>
      </c>
      <c r="CA135">
        <v>557</v>
      </c>
      <c r="CB135">
        <v>0</v>
      </c>
      <c r="CC135">
        <v>0</v>
      </c>
      <c r="CD135">
        <v>0</v>
      </c>
      <c r="CE135">
        <v>28</v>
      </c>
      <c r="CF135">
        <v>139.536</v>
      </c>
      <c r="CG135">
        <v>0</v>
      </c>
      <c r="CH135">
        <v>0</v>
      </c>
      <c r="CI135">
        <v>7</v>
      </c>
      <c r="CJ135">
        <v>9</v>
      </c>
      <c r="CK135">
        <v>0</v>
      </c>
      <c r="CL135">
        <v>0</v>
      </c>
      <c r="CM135">
        <v>55.413000000000004</v>
      </c>
      <c r="CN135">
        <v>0</v>
      </c>
      <c r="CO135">
        <v>0</v>
      </c>
      <c r="CP135">
        <v>0</v>
      </c>
      <c r="CQ135">
        <v>0</v>
      </c>
      <c r="CR135">
        <v>0</v>
      </c>
      <c r="CS135">
        <v>0</v>
      </c>
      <c r="CT135">
        <v>0</v>
      </c>
      <c r="CU135">
        <v>0</v>
      </c>
      <c r="CV135">
        <v>25.265000000000001</v>
      </c>
      <c r="CW135">
        <v>20.635999999999999</v>
      </c>
      <c r="CX135">
        <v>697672</v>
      </c>
      <c r="CY135" s="2043">
        <v>0</v>
      </c>
      <c r="CZ135" s="2043">
        <v>0</v>
      </c>
      <c r="DA135" s="2043">
        <v>0</v>
      </c>
      <c r="DB135" s="2043">
        <v>0</v>
      </c>
      <c r="DC135" s="2043">
        <v>0</v>
      </c>
      <c r="DI135" t="s">
        <v>4947</v>
      </c>
      <c r="DJ135" t="s">
        <v>4947</v>
      </c>
      <c r="DK135" s="2042">
        <f t="shared" si="4"/>
        <v>0</v>
      </c>
    </row>
    <row r="136" spans="1:115">
      <c r="A136" t="s">
        <v>5759</v>
      </c>
      <c r="B136" t="s">
        <v>380</v>
      </c>
      <c r="C136">
        <v>7.4820000000000002</v>
      </c>
      <c r="D136">
        <v>5.4670000000000005</v>
      </c>
      <c r="E136">
        <v>0</v>
      </c>
      <c r="F136">
        <v>0</v>
      </c>
      <c r="G136" s="2043">
        <v>9316943</v>
      </c>
      <c r="H136">
        <v>0</v>
      </c>
      <c r="I136" s="2043">
        <v>0</v>
      </c>
      <c r="J136">
        <v>0.374</v>
      </c>
      <c r="K136">
        <v>1</v>
      </c>
      <c r="L136">
        <v>0</v>
      </c>
      <c r="M136">
        <v>0</v>
      </c>
      <c r="N136">
        <v>0</v>
      </c>
      <c r="O136">
        <v>0</v>
      </c>
      <c r="P136">
        <v>0</v>
      </c>
      <c r="Q136">
        <v>0</v>
      </c>
      <c r="R136" s="2043">
        <v>87856</v>
      </c>
      <c r="S136">
        <v>4809</v>
      </c>
      <c r="T136">
        <v>0</v>
      </c>
      <c r="U136">
        <v>0.05</v>
      </c>
      <c r="V136">
        <v>0</v>
      </c>
      <c r="W136">
        <v>0</v>
      </c>
      <c r="X136">
        <v>0</v>
      </c>
      <c r="Y136">
        <v>251139</v>
      </c>
      <c r="Z136">
        <v>0</v>
      </c>
      <c r="AA136">
        <v>0</v>
      </c>
      <c r="AB136">
        <v>5.4670000000000005</v>
      </c>
      <c r="AC136" s="2043">
        <v>9503890</v>
      </c>
      <c r="AD136">
        <v>0</v>
      </c>
      <c r="AE136" s="2043">
        <v>92665</v>
      </c>
      <c r="AF136">
        <v>0.96340000000000003</v>
      </c>
      <c r="AG136">
        <v>0</v>
      </c>
      <c r="AH136">
        <v>0</v>
      </c>
      <c r="AI136">
        <v>0</v>
      </c>
      <c r="AJ136">
        <v>0</v>
      </c>
      <c r="AK136">
        <v>102</v>
      </c>
      <c r="AL136">
        <v>0</v>
      </c>
      <c r="AM136">
        <v>0</v>
      </c>
      <c r="AN136">
        <v>1.0150000000000001</v>
      </c>
      <c r="AO136">
        <v>0</v>
      </c>
      <c r="AP136">
        <v>0</v>
      </c>
      <c r="AQ136">
        <v>0</v>
      </c>
      <c r="AR136">
        <v>0.47100000000000003</v>
      </c>
      <c r="AS136">
        <v>0</v>
      </c>
      <c r="AT136">
        <v>0</v>
      </c>
      <c r="AU136">
        <v>4.1000000000000002E-2</v>
      </c>
      <c r="AV136">
        <v>0</v>
      </c>
      <c r="AW136">
        <v>0.51200000000000001</v>
      </c>
      <c r="AX136">
        <v>0</v>
      </c>
      <c r="AY136">
        <v>1.6180000000000001</v>
      </c>
      <c r="AZ136">
        <v>0</v>
      </c>
      <c r="BA136">
        <v>1006205</v>
      </c>
      <c r="BB136">
        <v>92665</v>
      </c>
      <c r="BC136">
        <v>1632</v>
      </c>
      <c r="BD136">
        <v>8026</v>
      </c>
      <c r="BE136">
        <v>0</v>
      </c>
      <c r="BF136">
        <v>9658</v>
      </c>
      <c r="BG136">
        <v>9658</v>
      </c>
      <c r="BH136">
        <v>0</v>
      </c>
      <c r="BI136">
        <v>0</v>
      </c>
      <c r="BJ136">
        <v>0</v>
      </c>
      <c r="BK136">
        <v>0</v>
      </c>
      <c r="BL136">
        <v>9316943</v>
      </c>
      <c r="BM136">
        <v>0</v>
      </c>
      <c r="BN136">
        <v>0</v>
      </c>
      <c r="BO136">
        <v>0</v>
      </c>
      <c r="BP136">
        <v>0</v>
      </c>
      <c r="BQ136">
        <v>0</v>
      </c>
      <c r="BR136">
        <v>0.91339999999999999</v>
      </c>
      <c r="BS136">
        <v>0.91339999999999999</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s="2043">
        <v>251139</v>
      </c>
      <c r="CZ136" s="2043">
        <v>0</v>
      </c>
      <c r="DA136" s="2043">
        <v>0</v>
      </c>
      <c r="DB136" s="2043">
        <v>0</v>
      </c>
      <c r="DC136" s="2043">
        <v>0</v>
      </c>
      <c r="DI136" t="s">
        <v>5758</v>
      </c>
      <c r="DJ136" t="s">
        <v>5759</v>
      </c>
      <c r="DK136" s="2042">
        <f t="shared" si="4"/>
        <v>-1</v>
      </c>
    </row>
    <row r="137" spans="1:115">
      <c r="A137" t="s">
        <v>5758</v>
      </c>
      <c r="B137" t="s">
        <v>379</v>
      </c>
      <c r="C137">
        <v>49.103000000000002</v>
      </c>
      <c r="D137">
        <v>56.312000000000005</v>
      </c>
      <c r="E137">
        <v>0</v>
      </c>
      <c r="F137">
        <v>0</v>
      </c>
      <c r="G137" s="2043">
        <v>110300927</v>
      </c>
      <c r="H137">
        <v>0</v>
      </c>
      <c r="I137" s="2043">
        <v>0</v>
      </c>
      <c r="J137">
        <v>2.4550000000000001</v>
      </c>
      <c r="K137">
        <v>7</v>
      </c>
      <c r="L137">
        <v>0</v>
      </c>
      <c r="M137">
        <v>0</v>
      </c>
      <c r="N137">
        <v>0</v>
      </c>
      <c r="O137">
        <v>0</v>
      </c>
      <c r="P137">
        <v>0</v>
      </c>
      <c r="Q137">
        <v>0</v>
      </c>
      <c r="R137" s="2043">
        <v>920802</v>
      </c>
      <c r="S137">
        <v>87622</v>
      </c>
      <c r="T137">
        <v>63855</v>
      </c>
      <c r="U137">
        <v>0.08</v>
      </c>
      <c r="V137">
        <v>0</v>
      </c>
      <c r="W137">
        <v>0</v>
      </c>
      <c r="X137">
        <v>0</v>
      </c>
      <c r="Y137">
        <v>0</v>
      </c>
      <c r="Z137">
        <v>0</v>
      </c>
      <c r="AA137">
        <v>0</v>
      </c>
      <c r="AB137">
        <v>56.312000000000005</v>
      </c>
      <c r="AC137" s="2043">
        <v>97576407</v>
      </c>
      <c r="AD137">
        <v>0</v>
      </c>
      <c r="AE137" s="2043">
        <v>1072279</v>
      </c>
      <c r="AF137">
        <v>0.97900000000000009</v>
      </c>
      <c r="AG137">
        <v>0</v>
      </c>
      <c r="AH137">
        <v>0</v>
      </c>
      <c r="AI137">
        <v>0</v>
      </c>
      <c r="AJ137">
        <v>9.5</v>
      </c>
      <c r="AK137">
        <v>65</v>
      </c>
      <c r="AL137">
        <v>0</v>
      </c>
      <c r="AM137">
        <v>0</v>
      </c>
      <c r="AN137">
        <v>0</v>
      </c>
      <c r="AO137">
        <v>0</v>
      </c>
      <c r="AP137">
        <v>0</v>
      </c>
      <c r="AQ137">
        <v>0</v>
      </c>
      <c r="AR137">
        <v>0.44500000000000001</v>
      </c>
      <c r="AS137">
        <v>0</v>
      </c>
      <c r="AT137">
        <v>0</v>
      </c>
      <c r="AU137">
        <v>9.6000000000000002E-2</v>
      </c>
      <c r="AV137">
        <v>0</v>
      </c>
      <c r="AW137">
        <v>0.54100000000000004</v>
      </c>
      <c r="AX137">
        <v>0</v>
      </c>
      <c r="AY137">
        <v>1.8150000000000002</v>
      </c>
      <c r="AZ137">
        <v>0</v>
      </c>
      <c r="BA137">
        <v>560473</v>
      </c>
      <c r="BB137">
        <v>1072279</v>
      </c>
      <c r="BC137">
        <v>0</v>
      </c>
      <c r="BD137">
        <v>0</v>
      </c>
      <c r="BE137">
        <v>0</v>
      </c>
      <c r="BF137">
        <v>0</v>
      </c>
      <c r="BG137">
        <v>0</v>
      </c>
      <c r="BH137">
        <v>0</v>
      </c>
      <c r="BI137">
        <v>0</v>
      </c>
      <c r="BJ137">
        <v>0</v>
      </c>
      <c r="BK137">
        <v>0</v>
      </c>
      <c r="BL137">
        <v>110300927</v>
      </c>
      <c r="BM137">
        <v>0</v>
      </c>
      <c r="BN137">
        <v>450</v>
      </c>
      <c r="BO137">
        <v>0</v>
      </c>
      <c r="BP137">
        <v>0</v>
      </c>
      <c r="BQ137">
        <v>0</v>
      </c>
      <c r="BR137">
        <v>0.8407</v>
      </c>
      <c r="BS137">
        <v>0.8407</v>
      </c>
      <c r="BT137">
        <v>0</v>
      </c>
      <c r="BU137">
        <v>0</v>
      </c>
      <c r="BV137">
        <v>0</v>
      </c>
      <c r="BW137">
        <v>40</v>
      </c>
      <c r="BX137">
        <v>0</v>
      </c>
      <c r="BY137">
        <v>0</v>
      </c>
      <c r="BZ137">
        <v>0</v>
      </c>
      <c r="CA137">
        <v>40</v>
      </c>
      <c r="CB137">
        <v>0</v>
      </c>
      <c r="CC137">
        <v>0</v>
      </c>
      <c r="CD137">
        <v>0</v>
      </c>
      <c r="CE137">
        <v>3</v>
      </c>
      <c r="CF137">
        <v>12.637</v>
      </c>
      <c r="CG137">
        <v>0</v>
      </c>
      <c r="CH137">
        <v>0</v>
      </c>
      <c r="CI137">
        <v>0</v>
      </c>
      <c r="CJ137">
        <v>2</v>
      </c>
      <c r="CK137">
        <v>0</v>
      </c>
      <c r="CL137">
        <v>0</v>
      </c>
      <c r="CM137">
        <v>0</v>
      </c>
      <c r="CN137">
        <v>0</v>
      </c>
      <c r="CO137">
        <v>0</v>
      </c>
      <c r="CP137">
        <v>0</v>
      </c>
      <c r="CQ137">
        <v>0</v>
      </c>
      <c r="CR137">
        <v>0</v>
      </c>
      <c r="CS137">
        <v>0</v>
      </c>
      <c r="CT137">
        <v>0</v>
      </c>
      <c r="CU137">
        <v>0</v>
      </c>
      <c r="CV137">
        <v>1.6620000000000001</v>
      </c>
      <c r="CW137">
        <v>0.751</v>
      </c>
      <c r="CX137">
        <v>0</v>
      </c>
      <c r="CY137" s="2043">
        <v>0</v>
      </c>
      <c r="CZ137" s="2043">
        <v>0</v>
      </c>
      <c r="DA137" s="2043">
        <v>0</v>
      </c>
      <c r="DB137" s="2043">
        <v>0</v>
      </c>
      <c r="DC137" s="2043">
        <v>0</v>
      </c>
      <c r="DI137" t="s">
        <v>5759</v>
      </c>
      <c r="DJ137" t="s">
        <v>5758</v>
      </c>
      <c r="DK137" s="2042">
        <f t="shared" si="4"/>
        <v>1</v>
      </c>
    </row>
    <row r="138" spans="1:115">
      <c r="A138" t="s">
        <v>5760</v>
      </c>
      <c r="B138" t="s">
        <v>381</v>
      </c>
      <c r="C138">
        <v>176.00300000000001</v>
      </c>
      <c r="D138">
        <v>170.05600000000001</v>
      </c>
      <c r="E138">
        <v>9.9909999999999997</v>
      </c>
      <c r="F138">
        <v>143004</v>
      </c>
      <c r="G138" s="2043">
        <v>163295553</v>
      </c>
      <c r="H138">
        <v>0</v>
      </c>
      <c r="I138" s="2043">
        <v>747100</v>
      </c>
      <c r="J138">
        <v>8.8000000000000007</v>
      </c>
      <c r="K138">
        <v>24</v>
      </c>
      <c r="L138">
        <v>0</v>
      </c>
      <c r="M138">
        <v>0</v>
      </c>
      <c r="N138">
        <v>0</v>
      </c>
      <c r="O138">
        <v>0</v>
      </c>
      <c r="P138">
        <v>0</v>
      </c>
      <c r="Q138">
        <v>0</v>
      </c>
      <c r="R138" s="2043">
        <v>1387608</v>
      </c>
      <c r="S138">
        <v>76961</v>
      </c>
      <c r="T138">
        <v>0</v>
      </c>
      <c r="U138">
        <v>0.05</v>
      </c>
      <c r="V138">
        <v>0</v>
      </c>
      <c r="W138">
        <v>0</v>
      </c>
      <c r="X138">
        <v>0</v>
      </c>
      <c r="Y138">
        <v>143004</v>
      </c>
      <c r="Z138">
        <v>0</v>
      </c>
      <c r="AA138">
        <v>0</v>
      </c>
      <c r="AB138">
        <v>170.05600000000001</v>
      </c>
      <c r="AC138" s="2043">
        <v>146233936</v>
      </c>
      <c r="AD138">
        <v>691795</v>
      </c>
      <c r="AE138" s="2043">
        <v>1464569</v>
      </c>
      <c r="AF138">
        <v>0.95150000000000001</v>
      </c>
      <c r="AG138">
        <v>0</v>
      </c>
      <c r="AH138">
        <v>0</v>
      </c>
      <c r="AI138">
        <v>0</v>
      </c>
      <c r="AJ138">
        <v>20.400000000000002</v>
      </c>
      <c r="AK138">
        <v>863</v>
      </c>
      <c r="AL138">
        <v>0</v>
      </c>
      <c r="AM138">
        <v>0</v>
      </c>
      <c r="AN138">
        <v>0.23</v>
      </c>
      <c r="AO138">
        <v>0</v>
      </c>
      <c r="AP138">
        <v>0</v>
      </c>
      <c r="AQ138">
        <v>0</v>
      </c>
      <c r="AR138">
        <v>6.9820000000000002</v>
      </c>
      <c r="AS138">
        <v>0</v>
      </c>
      <c r="AT138">
        <v>0</v>
      </c>
      <c r="AU138">
        <v>0.29100000000000004</v>
      </c>
      <c r="AV138">
        <v>0</v>
      </c>
      <c r="AW138">
        <v>7.2730000000000006</v>
      </c>
      <c r="AX138">
        <v>0</v>
      </c>
      <c r="AY138">
        <v>22.401</v>
      </c>
      <c r="AZ138">
        <v>0</v>
      </c>
      <c r="BA138">
        <v>1016848</v>
      </c>
      <c r="BB138">
        <v>2156364</v>
      </c>
      <c r="BC138">
        <v>0</v>
      </c>
      <c r="BD138">
        <v>33180</v>
      </c>
      <c r="BE138">
        <v>0</v>
      </c>
      <c r="BF138">
        <v>33180</v>
      </c>
      <c r="BG138">
        <v>33180</v>
      </c>
      <c r="BH138">
        <v>0</v>
      </c>
      <c r="BI138">
        <v>0</v>
      </c>
      <c r="BJ138">
        <v>0</v>
      </c>
      <c r="BK138">
        <v>0</v>
      </c>
      <c r="BL138">
        <v>163295553</v>
      </c>
      <c r="BM138">
        <v>0</v>
      </c>
      <c r="BN138">
        <v>486</v>
      </c>
      <c r="BO138">
        <v>471</v>
      </c>
      <c r="BP138">
        <v>0</v>
      </c>
      <c r="BQ138">
        <v>0</v>
      </c>
      <c r="BR138">
        <v>0.90150000000000008</v>
      </c>
      <c r="BS138">
        <v>0.90150000000000008</v>
      </c>
      <c r="BT138">
        <v>0</v>
      </c>
      <c r="BU138">
        <v>0</v>
      </c>
      <c r="BV138">
        <v>2</v>
      </c>
      <c r="BW138">
        <v>84</v>
      </c>
      <c r="BX138">
        <v>0</v>
      </c>
      <c r="BY138">
        <v>0</v>
      </c>
      <c r="BZ138">
        <v>0</v>
      </c>
      <c r="CA138">
        <v>86</v>
      </c>
      <c r="CB138">
        <v>0</v>
      </c>
      <c r="CC138">
        <v>0</v>
      </c>
      <c r="CD138">
        <v>0</v>
      </c>
      <c r="CE138">
        <v>13</v>
      </c>
      <c r="CF138">
        <v>22.298999999999999</v>
      </c>
      <c r="CG138">
        <v>0</v>
      </c>
      <c r="CH138">
        <v>0</v>
      </c>
      <c r="CI138">
        <v>1</v>
      </c>
      <c r="CJ138">
        <v>4</v>
      </c>
      <c r="CK138">
        <v>0</v>
      </c>
      <c r="CL138">
        <v>0</v>
      </c>
      <c r="CM138">
        <v>9.9909999999999997</v>
      </c>
      <c r="CN138">
        <v>0</v>
      </c>
      <c r="CO138">
        <v>0</v>
      </c>
      <c r="CP138">
        <v>0</v>
      </c>
      <c r="CQ138">
        <v>0</v>
      </c>
      <c r="CR138">
        <v>0</v>
      </c>
      <c r="CS138">
        <v>0</v>
      </c>
      <c r="CT138">
        <v>0</v>
      </c>
      <c r="CU138">
        <v>0</v>
      </c>
      <c r="CV138">
        <v>12.462</v>
      </c>
      <c r="CW138">
        <v>5.7280000000000006</v>
      </c>
      <c r="CX138">
        <v>0</v>
      </c>
      <c r="CY138" s="2043">
        <v>0</v>
      </c>
      <c r="CZ138" s="2043">
        <v>0</v>
      </c>
      <c r="DA138" s="2043">
        <v>0</v>
      </c>
      <c r="DB138" s="2043">
        <v>143004</v>
      </c>
      <c r="DC138" s="2043">
        <v>0</v>
      </c>
      <c r="DI138" t="s">
        <v>5760</v>
      </c>
      <c r="DJ138" t="s">
        <v>5760</v>
      </c>
      <c r="DK138" s="2042">
        <f t="shared" si="4"/>
        <v>0</v>
      </c>
    </row>
    <row r="139" spans="1:115">
      <c r="A139" t="s">
        <v>4948</v>
      </c>
      <c r="B139" t="s">
        <v>628</v>
      </c>
      <c r="C139">
        <v>1201.2540000000001</v>
      </c>
      <c r="D139">
        <v>1286.739</v>
      </c>
      <c r="E139">
        <v>25.338000000000001</v>
      </c>
      <c r="F139">
        <v>0</v>
      </c>
      <c r="G139" s="2043">
        <v>497300699</v>
      </c>
      <c r="H139">
        <v>0</v>
      </c>
      <c r="I139" s="2043">
        <v>2280114</v>
      </c>
      <c r="J139">
        <v>40</v>
      </c>
      <c r="K139">
        <v>109</v>
      </c>
      <c r="L139">
        <v>0</v>
      </c>
      <c r="M139">
        <v>0</v>
      </c>
      <c r="N139">
        <v>0</v>
      </c>
      <c r="O139">
        <v>0</v>
      </c>
      <c r="P139">
        <v>0</v>
      </c>
      <c r="Q139">
        <v>0</v>
      </c>
      <c r="R139" s="2043">
        <v>4324824</v>
      </c>
      <c r="S139">
        <v>378789</v>
      </c>
      <c r="T139">
        <v>276043</v>
      </c>
      <c r="U139">
        <v>0.08</v>
      </c>
      <c r="V139">
        <v>0</v>
      </c>
      <c r="W139">
        <v>0</v>
      </c>
      <c r="X139">
        <v>0</v>
      </c>
      <c r="Y139">
        <v>0</v>
      </c>
      <c r="Z139">
        <v>0</v>
      </c>
      <c r="AA139">
        <v>0</v>
      </c>
      <c r="AB139">
        <v>1286.739</v>
      </c>
      <c r="AC139" s="2043">
        <v>580499810</v>
      </c>
      <c r="AD139">
        <v>2151094</v>
      </c>
      <c r="AE139" s="2043">
        <v>4979656</v>
      </c>
      <c r="AF139">
        <v>1.0517000000000001</v>
      </c>
      <c r="AG139">
        <v>0</v>
      </c>
      <c r="AH139">
        <v>0</v>
      </c>
      <c r="AI139">
        <v>0</v>
      </c>
      <c r="AJ139">
        <v>316.22500000000002</v>
      </c>
      <c r="AK139">
        <v>5349</v>
      </c>
      <c r="AL139">
        <v>0</v>
      </c>
      <c r="AM139">
        <v>0</v>
      </c>
      <c r="AN139">
        <v>25.821000000000002</v>
      </c>
      <c r="AO139">
        <v>0</v>
      </c>
      <c r="AP139">
        <v>0</v>
      </c>
      <c r="AQ139">
        <v>0</v>
      </c>
      <c r="AR139">
        <v>39.178000000000004</v>
      </c>
      <c r="AS139">
        <v>0</v>
      </c>
      <c r="AT139">
        <v>8.8140000000000001</v>
      </c>
      <c r="AU139">
        <v>4.3849999999999998</v>
      </c>
      <c r="AV139">
        <v>0</v>
      </c>
      <c r="AW139">
        <v>52.377000000000002</v>
      </c>
      <c r="AX139">
        <v>0</v>
      </c>
      <c r="AY139">
        <v>165.90100000000001</v>
      </c>
      <c r="AZ139">
        <v>0</v>
      </c>
      <c r="BA139">
        <v>9504605</v>
      </c>
      <c r="BB139">
        <v>7130750</v>
      </c>
      <c r="BC139">
        <v>0</v>
      </c>
      <c r="BD139">
        <v>52702</v>
      </c>
      <c r="BE139">
        <v>10194</v>
      </c>
      <c r="BF139">
        <v>111880</v>
      </c>
      <c r="BG139">
        <v>52702</v>
      </c>
      <c r="BH139">
        <v>48984</v>
      </c>
      <c r="BI139">
        <v>0</v>
      </c>
      <c r="BJ139">
        <v>0</v>
      </c>
      <c r="BK139">
        <v>0</v>
      </c>
      <c r="BL139">
        <v>497300699</v>
      </c>
      <c r="BM139">
        <v>0</v>
      </c>
      <c r="BN139">
        <v>4212</v>
      </c>
      <c r="BO139">
        <v>3681</v>
      </c>
      <c r="BP139">
        <v>0</v>
      </c>
      <c r="BQ139">
        <v>0</v>
      </c>
      <c r="BR139">
        <v>0.91339999999999999</v>
      </c>
      <c r="BS139">
        <v>0.91339999999999999</v>
      </c>
      <c r="BT139">
        <v>0</v>
      </c>
      <c r="BU139">
        <v>0</v>
      </c>
      <c r="BV139">
        <v>274</v>
      </c>
      <c r="BW139">
        <v>30</v>
      </c>
      <c r="BX139">
        <v>10</v>
      </c>
      <c r="BY139">
        <v>754</v>
      </c>
      <c r="BZ139">
        <v>171</v>
      </c>
      <c r="CA139">
        <v>1239</v>
      </c>
      <c r="CB139">
        <v>0</v>
      </c>
      <c r="CC139">
        <v>0</v>
      </c>
      <c r="CD139">
        <v>0</v>
      </c>
      <c r="CE139">
        <v>32</v>
      </c>
      <c r="CF139">
        <v>314.96500000000003</v>
      </c>
      <c r="CG139">
        <v>0</v>
      </c>
      <c r="CH139">
        <v>0</v>
      </c>
      <c r="CI139">
        <v>17</v>
      </c>
      <c r="CJ139">
        <v>6</v>
      </c>
      <c r="CK139">
        <v>0</v>
      </c>
      <c r="CL139">
        <v>0</v>
      </c>
      <c r="CM139">
        <v>25.338000000000001</v>
      </c>
      <c r="CN139">
        <v>0</v>
      </c>
      <c r="CO139">
        <v>0</v>
      </c>
      <c r="CP139">
        <v>0</v>
      </c>
      <c r="CQ139">
        <v>0</v>
      </c>
      <c r="CR139">
        <v>0</v>
      </c>
      <c r="CS139">
        <v>42.743000000000002</v>
      </c>
      <c r="CT139">
        <v>0</v>
      </c>
      <c r="CU139">
        <v>0</v>
      </c>
      <c r="CV139">
        <v>58.118000000000002</v>
      </c>
      <c r="CW139">
        <v>9.6180000000000003</v>
      </c>
      <c r="CX139">
        <v>0</v>
      </c>
      <c r="CY139" s="2043">
        <v>0</v>
      </c>
      <c r="CZ139" s="2043">
        <v>0</v>
      </c>
      <c r="DA139" s="2043">
        <v>0</v>
      </c>
      <c r="DB139" s="2043">
        <v>0</v>
      </c>
      <c r="DC139" s="2043">
        <v>0</v>
      </c>
      <c r="DI139" t="s">
        <v>4948</v>
      </c>
      <c r="DJ139" t="s">
        <v>4948</v>
      </c>
      <c r="DK139" s="2042">
        <f t="shared" si="4"/>
        <v>0</v>
      </c>
    </row>
    <row r="140" spans="1:115">
      <c r="A140" t="s">
        <v>4949</v>
      </c>
      <c r="B140" t="s">
        <v>629</v>
      </c>
      <c r="C140">
        <v>792.18900000000008</v>
      </c>
      <c r="D140">
        <v>774.95699999999999</v>
      </c>
      <c r="E140">
        <v>11.686</v>
      </c>
      <c r="F140">
        <v>0</v>
      </c>
      <c r="G140" s="2043">
        <v>478805132</v>
      </c>
      <c r="H140">
        <v>0</v>
      </c>
      <c r="I140" s="2043">
        <v>553238</v>
      </c>
      <c r="J140">
        <v>39.609000000000002</v>
      </c>
      <c r="K140">
        <v>108</v>
      </c>
      <c r="L140">
        <v>0</v>
      </c>
      <c r="M140">
        <v>0</v>
      </c>
      <c r="N140">
        <v>0</v>
      </c>
      <c r="O140">
        <v>0</v>
      </c>
      <c r="P140">
        <v>0</v>
      </c>
      <c r="Q140">
        <v>0</v>
      </c>
      <c r="R140" s="2043">
        <v>3841629</v>
      </c>
      <c r="S140">
        <v>233676</v>
      </c>
      <c r="T140">
        <v>0</v>
      </c>
      <c r="U140">
        <v>0.05</v>
      </c>
      <c r="V140">
        <v>0</v>
      </c>
      <c r="W140">
        <v>0</v>
      </c>
      <c r="X140">
        <v>0</v>
      </c>
      <c r="Y140">
        <v>-4759</v>
      </c>
      <c r="Z140">
        <v>0</v>
      </c>
      <c r="AA140">
        <v>0</v>
      </c>
      <c r="AB140">
        <v>774.95699999999999</v>
      </c>
      <c r="AC140" s="2043">
        <v>373464697</v>
      </c>
      <c r="AD140">
        <v>534975</v>
      </c>
      <c r="AE140" s="2043">
        <v>4075305</v>
      </c>
      <c r="AF140">
        <v>0.872</v>
      </c>
      <c r="AG140">
        <v>0</v>
      </c>
      <c r="AH140">
        <v>0</v>
      </c>
      <c r="AI140">
        <v>0</v>
      </c>
      <c r="AJ140">
        <v>136.03800000000001</v>
      </c>
      <c r="AK140">
        <v>2976</v>
      </c>
      <c r="AL140">
        <v>0</v>
      </c>
      <c r="AM140">
        <v>0</v>
      </c>
      <c r="AN140">
        <v>19.231000000000002</v>
      </c>
      <c r="AO140">
        <v>0</v>
      </c>
      <c r="AP140">
        <v>5.7220000000000004</v>
      </c>
      <c r="AQ140">
        <v>1.1820000000000002</v>
      </c>
      <c r="AR140">
        <v>13.845000000000001</v>
      </c>
      <c r="AS140">
        <v>0</v>
      </c>
      <c r="AT140">
        <v>1.9760000000000002</v>
      </c>
      <c r="AU140">
        <v>1.282</v>
      </c>
      <c r="AV140">
        <v>0</v>
      </c>
      <c r="AW140">
        <v>24.007000000000001</v>
      </c>
      <c r="AX140">
        <v>0</v>
      </c>
      <c r="AY140">
        <v>69.322000000000003</v>
      </c>
      <c r="AZ140">
        <v>0</v>
      </c>
      <c r="BA140">
        <v>5216333</v>
      </c>
      <c r="BB140">
        <v>4610280</v>
      </c>
      <c r="BC140">
        <v>0</v>
      </c>
      <c r="BD140">
        <v>70737</v>
      </c>
      <c r="BE140">
        <v>21702</v>
      </c>
      <c r="BF140">
        <v>92439</v>
      </c>
      <c r="BG140">
        <v>70737</v>
      </c>
      <c r="BH140">
        <v>0</v>
      </c>
      <c r="BI140">
        <v>-4759</v>
      </c>
      <c r="BJ140">
        <v>0</v>
      </c>
      <c r="BK140">
        <v>0</v>
      </c>
      <c r="BL140">
        <v>478805132</v>
      </c>
      <c r="BM140">
        <v>0</v>
      </c>
      <c r="BN140">
        <v>2691</v>
      </c>
      <c r="BO140">
        <v>2803</v>
      </c>
      <c r="BP140">
        <v>0</v>
      </c>
      <c r="BQ140">
        <v>0</v>
      </c>
      <c r="BR140">
        <v>0.82200000000000006</v>
      </c>
      <c r="BS140">
        <v>0.82200000000000006</v>
      </c>
      <c r="BT140">
        <v>0</v>
      </c>
      <c r="BU140">
        <v>0</v>
      </c>
      <c r="BV140">
        <v>99</v>
      </c>
      <c r="BW140">
        <v>232</v>
      </c>
      <c r="BX140">
        <v>227</v>
      </c>
      <c r="BY140">
        <v>1</v>
      </c>
      <c r="BZ140">
        <v>6</v>
      </c>
      <c r="CA140">
        <v>565</v>
      </c>
      <c r="CB140">
        <v>0</v>
      </c>
      <c r="CC140">
        <v>0</v>
      </c>
      <c r="CD140">
        <v>0</v>
      </c>
      <c r="CE140">
        <v>87</v>
      </c>
      <c r="CF140">
        <v>173.47900000000001</v>
      </c>
      <c r="CG140">
        <v>0</v>
      </c>
      <c r="CH140">
        <v>1.2430000000000001</v>
      </c>
      <c r="CI140">
        <v>2</v>
      </c>
      <c r="CJ140">
        <v>11</v>
      </c>
      <c r="CK140">
        <v>0</v>
      </c>
      <c r="CL140">
        <v>1.2430000000000001</v>
      </c>
      <c r="CM140">
        <v>11.686</v>
      </c>
      <c r="CN140">
        <v>0</v>
      </c>
      <c r="CO140">
        <v>0</v>
      </c>
      <c r="CP140">
        <v>0</v>
      </c>
      <c r="CQ140">
        <v>0</v>
      </c>
      <c r="CR140">
        <v>0</v>
      </c>
      <c r="CS140">
        <v>0</v>
      </c>
      <c r="CT140">
        <v>0</v>
      </c>
      <c r="CU140">
        <v>0</v>
      </c>
      <c r="CV140">
        <v>47.756</v>
      </c>
      <c r="CW140">
        <v>36.702000000000005</v>
      </c>
      <c r="CX140">
        <v>0</v>
      </c>
      <c r="CY140" s="2043">
        <v>0</v>
      </c>
      <c r="CZ140" s="2043">
        <v>0</v>
      </c>
      <c r="DA140" s="2043">
        <v>0</v>
      </c>
      <c r="DB140" s="2043">
        <v>0</v>
      </c>
      <c r="DC140" s="2043">
        <v>0</v>
      </c>
      <c r="DI140" t="s">
        <v>4949</v>
      </c>
      <c r="DJ140" t="s">
        <v>4949</v>
      </c>
      <c r="DK140" s="2042">
        <f t="shared" si="4"/>
        <v>0</v>
      </c>
    </row>
    <row r="141" spans="1:115">
      <c r="A141" t="s">
        <v>4950</v>
      </c>
      <c r="B141" t="s">
        <v>630</v>
      </c>
      <c r="C141">
        <v>3145.94</v>
      </c>
      <c r="D141">
        <v>3198.808</v>
      </c>
      <c r="E141">
        <v>103.75200000000001</v>
      </c>
      <c r="F141">
        <v>0</v>
      </c>
      <c r="G141" s="2043">
        <v>1666861518</v>
      </c>
      <c r="H141">
        <v>0</v>
      </c>
      <c r="I141" s="2043">
        <v>2306475</v>
      </c>
      <c r="J141">
        <v>157.297</v>
      </c>
      <c r="K141">
        <v>430</v>
      </c>
      <c r="L141">
        <v>0</v>
      </c>
      <c r="M141">
        <v>0</v>
      </c>
      <c r="N141">
        <v>0</v>
      </c>
      <c r="O141">
        <v>0</v>
      </c>
      <c r="P141">
        <v>0</v>
      </c>
      <c r="Q141">
        <v>0</v>
      </c>
      <c r="R141" s="2043">
        <v>14718949</v>
      </c>
      <c r="S141">
        <v>829798</v>
      </c>
      <c r="T141">
        <v>0</v>
      </c>
      <c r="U141">
        <v>0.05</v>
      </c>
      <c r="V141">
        <v>0</v>
      </c>
      <c r="W141">
        <v>0</v>
      </c>
      <c r="X141">
        <v>0</v>
      </c>
      <c r="Y141">
        <v>0</v>
      </c>
      <c r="Z141">
        <v>0</v>
      </c>
      <c r="AA141">
        <v>0.14400000000000002</v>
      </c>
      <c r="AB141">
        <v>3154.6410000000001</v>
      </c>
      <c r="AC141" s="2043">
        <v>1531752738</v>
      </c>
      <c r="AD141">
        <v>2298187</v>
      </c>
      <c r="AE141" s="2043">
        <v>15548747</v>
      </c>
      <c r="AF141">
        <v>0.93690000000000007</v>
      </c>
      <c r="AG141">
        <v>0</v>
      </c>
      <c r="AH141">
        <v>0</v>
      </c>
      <c r="AI141">
        <v>0</v>
      </c>
      <c r="AJ141">
        <v>551.66300000000001</v>
      </c>
      <c r="AK141">
        <v>13581</v>
      </c>
      <c r="AL141">
        <v>0.21</v>
      </c>
      <c r="AM141">
        <v>0</v>
      </c>
      <c r="AN141">
        <v>107.92800000000001</v>
      </c>
      <c r="AO141">
        <v>0</v>
      </c>
      <c r="AP141">
        <v>8.6000000000000007E-2</v>
      </c>
      <c r="AQ141">
        <v>20.316000000000003</v>
      </c>
      <c r="AR141">
        <v>77.108000000000004</v>
      </c>
      <c r="AS141">
        <v>0</v>
      </c>
      <c r="AT141">
        <v>29.443000000000001</v>
      </c>
      <c r="AU141">
        <v>6.5129999999999999</v>
      </c>
      <c r="AV141">
        <v>0</v>
      </c>
      <c r="AW141">
        <v>137.50900000000001</v>
      </c>
      <c r="AX141">
        <v>3.8330000000000002</v>
      </c>
      <c r="AY141">
        <v>362.31600000000003</v>
      </c>
      <c r="AZ141">
        <v>0</v>
      </c>
      <c r="BA141">
        <v>14791090</v>
      </c>
      <c r="BB141">
        <v>17846934</v>
      </c>
      <c r="BC141">
        <v>0</v>
      </c>
      <c r="BD141">
        <v>66924</v>
      </c>
      <c r="BE141">
        <v>6682</v>
      </c>
      <c r="BF141">
        <v>73606</v>
      </c>
      <c r="BG141">
        <v>66924</v>
      </c>
      <c r="BH141">
        <v>0</v>
      </c>
      <c r="BI141">
        <v>0</v>
      </c>
      <c r="BJ141">
        <v>0</v>
      </c>
      <c r="BK141">
        <v>0</v>
      </c>
      <c r="BL141">
        <v>1666861518</v>
      </c>
      <c r="BM141">
        <v>0</v>
      </c>
      <c r="BN141">
        <v>11916</v>
      </c>
      <c r="BO141">
        <v>7961</v>
      </c>
      <c r="BP141">
        <v>0</v>
      </c>
      <c r="BQ141">
        <v>0</v>
      </c>
      <c r="BR141">
        <v>0.88690000000000002</v>
      </c>
      <c r="BS141">
        <v>0.88690000000000002</v>
      </c>
      <c r="BT141">
        <v>0</v>
      </c>
      <c r="BU141">
        <v>0</v>
      </c>
      <c r="BV141">
        <v>388</v>
      </c>
      <c r="BW141">
        <v>445</v>
      </c>
      <c r="BX141">
        <v>762</v>
      </c>
      <c r="BY141">
        <v>186</v>
      </c>
      <c r="BZ141">
        <v>434</v>
      </c>
      <c r="CA141">
        <v>2215</v>
      </c>
      <c r="CB141">
        <v>0</v>
      </c>
      <c r="CC141">
        <v>0</v>
      </c>
      <c r="CD141">
        <v>0</v>
      </c>
      <c r="CE141">
        <v>260</v>
      </c>
      <c r="CF141">
        <v>680.54899999999998</v>
      </c>
      <c r="CG141">
        <v>8.2590000000000003</v>
      </c>
      <c r="CH141">
        <v>16.984999999999999</v>
      </c>
      <c r="CI141">
        <v>4</v>
      </c>
      <c r="CJ141">
        <v>7</v>
      </c>
      <c r="CK141">
        <v>0</v>
      </c>
      <c r="CL141">
        <v>25.244</v>
      </c>
      <c r="CM141">
        <v>103.75200000000001</v>
      </c>
      <c r="CN141">
        <v>0</v>
      </c>
      <c r="CO141">
        <v>0</v>
      </c>
      <c r="CP141">
        <v>0</v>
      </c>
      <c r="CQ141">
        <v>0</v>
      </c>
      <c r="CR141">
        <v>0</v>
      </c>
      <c r="CS141">
        <v>0</v>
      </c>
      <c r="CT141">
        <v>0</v>
      </c>
      <c r="CU141">
        <v>18.692</v>
      </c>
      <c r="CV141">
        <v>143.96299999999999</v>
      </c>
      <c r="CW141">
        <v>99.978000000000009</v>
      </c>
      <c r="CX141">
        <v>0</v>
      </c>
      <c r="CY141" s="2043">
        <v>0</v>
      </c>
      <c r="CZ141" s="2043">
        <v>0</v>
      </c>
      <c r="DA141" s="2043">
        <v>0</v>
      </c>
      <c r="DB141" s="2043">
        <v>0</v>
      </c>
      <c r="DC141" s="2043">
        <v>0</v>
      </c>
      <c r="DI141" t="s">
        <v>4950</v>
      </c>
      <c r="DJ141" t="s">
        <v>4950</v>
      </c>
      <c r="DK141" s="2042">
        <f t="shared" si="4"/>
        <v>0</v>
      </c>
    </row>
    <row r="142" spans="1:115">
      <c r="A142" t="s">
        <v>2903</v>
      </c>
      <c r="B142" t="s">
        <v>829</v>
      </c>
      <c r="C142">
        <v>135.47</v>
      </c>
      <c r="D142">
        <v>135.43299999999999</v>
      </c>
      <c r="E142">
        <v>2.8720000000000003</v>
      </c>
      <c r="F142">
        <v>0</v>
      </c>
      <c r="G142" s="2043">
        <v>86008597</v>
      </c>
      <c r="H142">
        <v>0</v>
      </c>
      <c r="I142" s="2043">
        <v>71574</v>
      </c>
      <c r="J142">
        <v>2</v>
      </c>
      <c r="K142">
        <v>5</v>
      </c>
      <c r="L142">
        <v>0</v>
      </c>
      <c r="M142">
        <v>71574</v>
      </c>
      <c r="N142">
        <v>0</v>
      </c>
      <c r="O142">
        <v>71574</v>
      </c>
      <c r="P142">
        <v>0</v>
      </c>
      <c r="Q142">
        <v>0</v>
      </c>
      <c r="R142" s="2043">
        <v>758170</v>
      </c>
      <c r="S142">
        <v>41503</v>
      </c>
      <c r="T142">
        <v>0</v>
      </c>
      <c r="U142">
        <v>0.05</v>
      </c>
      <c r="V142">
        <v>0</v>
      </c>
      <c r="W142">
        <v>0</v>
      </c>
      <c r="X142">
        <v>0</v>
      </c>
      <c r="Y142">
        <v>0</v>
      </c>
      <c r="Z142">
        <v>0</v>
      </c>
      <c r="AA142">
        <v>0</v>
      </c>
      <c r="AB142">
        <v>135.43299999999999</v>
      </c>
      <c r="AC142" s="2043">
        <v>62136005</v>
      </c>
      <c r="AD142">
        <v>68574</v>
      </c>
      <c r="AE142" s="2043">
        <v>799673</v>
      </c>
      <c r="AF142">
        <v>0.96340000000000003</v>
      </c>
      <c r="AG142">
        <v>0</v>
      </c>
      <c r="AH142">
        <v>0</v>
      </c>
      <c r="AI142">
        <v>0</v>
      </c>
      <c r="AJ142">
        <v>21.038</v>
      </c>
      <c r="AK142">
        <v>941</v>
      </c>
      <c r="AL142">
        <v>0</v>
      </c>
      <c r="AM142">
        <v>0</v>
      </c>
      <c r="AN142">
        <v>2.395</v>
      </c>
      <c r="AO142">
        <v>0</v>
      </c>
      <c r="AP142">
        <v>2.9130000000000003</v>
      </c>
      <c r="AQ142">
        <v>0.90400000000000003</v>
      </c>
      <c r="AR142">
        <v>3.5350000000000001</v>
      </c>
      <c r="AS142">
        <v>0</v>
      </c>
      <c r="AT142">
        <v>0</v>
      </c>
      <c r="AU142">
        <v>0.26500000000000001</v>
      </c>
      <c r="AV142">
        <v>0</v>
      </c>
      <c r="AW142">
        <v>7.617</v>
      </c>
      <c r="AX142">
        <v>0</v>
      </c>
      <c r="AY142">
        <v>19.795000000000002</v>
      </c>
      <c r="AZ142">
        <v>0</v>
      </c>
      <c r="BA142">
        <v>1355804</v>
      </c>
      <c r="BB142">
        <v>868247</v>
      </c>
      <c r="BC142">
        <v>0</v>
      </c>
      <c r="BD142">
        <v>19469</v>
      </c>
      <c r="BE142">
        <v>9834</v>
      </c>
      <c r="BF142">
        <v>29303</v>
      </c>
      <c r="BG142">
        <v>19469</v>
      </c>
      <c r="BH142">
        <v>0</v>
      </c>
      <c r="BI142">
        <v>0</v>
      </c>
      <c r="BJ142">
        <v>0</v>
      </c>
      <c r="BK142">
        <v>0</v>
      </c>
      <c r="BL142">
        <v>86008597</v>
      </c>
      <c r="BM142">
        <v>0</v>
      </c>
      <c r="BN142">
        <v>693</v>
      </c>
      <c r="BO142">
        <v>589</v>
      </c>
      <c r="BP142">
        <v>0</v>
      </c>
      <c r="BQ142">
        <v>0</v>
      </c>
      <c r="BR142">
        <v>0.91339999999999999</v>
      </c>
      <c r="BS142">
        <v>0.91339999999999999</v>
      </c>
      <c r="BT142">
        <v>0</v>
      </c>
      <c r="BU142">
        <v>0</v>
      </c>
      <c r="BV142">
        <v>10</v>
      </c>
      <c r="BW142">
        <v>63</v>
      </c>
      <c r="BX142">
        <v>12</v>
      </c>
      <c r="BY142">
        <v>0</v>
      </c>
      <c r="BZ142">
        <v>3</v>
      </c>
      <c r="CA142">
        <v>88</v>
      </c>
      <c r="CB142">
        <v>0</v>
      </c>
      <c r="CC142">
        <v>0</v>
      </c>
      <c r="CD142">
        <v>0</v>
      </c>
      <c r="CE142">
        <v>1</v>
      </c>
      <c r="CF142">
        <v>21.566000000000003</v>
      </c>
      <c r="CG142">
        <v>0</v>
      </c>
      <c r="CH142">
        <v>2.8109999999999999</v>
      </c>
      <c r="CI142">
        <v>3</v>
      </c>
      <c r="CJ142">
        <v>1</v>
      </c>
      <c r="CK142">
        <v>0</v>
      </c>
      <c r="CL142">
        <v>2.8109999999999999</v>
      </c>
      <c r="CM142">
        <v>2.8720000000000003</v>
      </c>
      <c r="CN142">
        <v>0</v>
      </c>
      <c r="CO142">
        <v>0</v>
      </c>
      <c r="CP142">
        <v>0</v>
      </c>
      <c r="CQ142">
        <v>0</v>
      </c>
      <c r="CR142">
        <v>0</v>
      </c>
      <c r="CS142">
        <v>0</v>
      </c>
      <c r="CT142">
        <v>0</v>
      </c>
      <c r="CU142">
        <v>1.4350000000000001</v>
      </c>
      <c r="CV142">
        <v>11.145000000000001</v>
      </c>
      <c r="CW142">
        <v>10.33</v>
      </c>
      <c r="CX142">
        <v>0</v>
      </c>
      <c r="CY142" s="2043">
        <v>0</v>
      </c>
      <c r="CZ142" s="2043">
        <v>0</v>
      </c>
      <c r="DA142" s="2043">
        <v>0</v>
      </c>
      <c r="DB142" s="2043">
        <v>0</v>
      </c>
      <c r="DC142" s="2043">
        <v>0</v>
      </c>
      <c r="DI142" t="s">
        <v>2903</v>
      </c>
      <c r="DJ142" t="s">
        <v>2903</v>
      </c>
      <c r="DK142" s="2042">
        <f t="shared" si="4"/>
        <v>0</v>
      </c>
    </row>
    <row r="143" spans="1:115">
      <c r="A143" t="s">
        <v>2904</v>
      </c>
      <c r="B143" t="s">
        <v>2387</v>
      </c>
      <c r="C143">
        <v>217.12</v>
      </c>
      <c r="D143">
        <v>230.417</v>
      </c>
      <c r="E143">
        <v>11.224</v>
      </c>
      <c r="F143">
        <v>0</v>
      </c>
      <c r="G143" s="2043">
        <v>242890888</v>
      </c>
      <c r="H143">
        <v>0</v>
      </c>
      <c r="I143" s="2043">
        <v>394550</v>
      </c>
      <c r="J143">
        <v>10.856</v>
      </c>
      <c r="K143">
        <v>30</v>
      </c>
      <c r="L143">
        <v>0</v>
      </c>
      <c r="M143">
        <v>92069</v>
      </c>
      <c r="N143">
        <v>0</v>
      </c>
      <c r="O143">
        <v>92069</v>
      </c>
      <c r="P143">
        <v>0</v>
      </c>
      <c r="Q143">
        <v>0</v>
      </c>
      <c r="R143" s="2043">
        <v>1960329</v>
      </c>
      <c r="S143">
        <v>119241</v>
      </c>
      <c r="T143">
        <v>0</v>
      </c>
      <c r="U143">
        <v>0.05</v>
      </c>
      <c r="V143">
        <v>0</v>
      </c>
      <c r="W143">
        <v>0</v>
      </c>
      <c r="X143">
        <v>0</v>
      </c>
      <c r="Y143">
        <v>0</v>
      </c>
      <c r="Z143">
        <v>0</v>
      </c>
      <c r="AA143">
        <v>0.28200000000000003</v>
      </c>
      <c r="AB143">
        <v>230.417</v>
      </c>
      <c r="AC143" s="2043">
        <v>172218998</v>
      </c>
      <c r="AD143">
        <v>371612</v>
      </c>
      <c r="AE143" s="2043">
        <v>2079570</v>
      </c>
      <c r="AF143">
        <v>0.872</v>
      </c>
      <c r="AG143">
        <v>0</v>
      </c>
      <c r="AH143">
        <v>0</v>
      </c>
      <c r="AI143">
        <v>0</v>
      </c>
      <c r="AJ143">
        <v>27.325000000000003</v>
      </c>
      <c r="AK143">
        <v>1191</v>
      </c>
      <c r="AL143">
        <v>0</v>
      </c>
      <c r="AM143">
        <v>0</v>
      </c>
      <c r="AN143">
        <v>7.6870000000000003</v>
      </c>
      <c r="AO143">
        <v>0</v>
      </c>
      <c r="AP143">
        <v>0</v>
      </c>
      <c r="AQ143">
        <v>0</v>
      </c>
      <c r="AR143">
        <v>5.4640000000000004</v>
      </c>
      <c r="AS143">
        <v>0</v>
      </c>
      <c r="AT143">
        <v>2.1219999999999999</v>
      </c>
      <c r="AU143">
        <v>0.378</v>
      </c>
      <c r="AV143">
        <v>0</v>
      </c>
      <c r="AW143">
        <v>7.9640000000000004</v>
      </c>
      <c r="AX143">
        <v>0</v>
      </c>
      <c r="AY143">
        <v>24.648</v>
      </c>
      <c r="AZ143">
        <v>0</v>
      </c>
      <c r="BA143">
        <v>850658</v>
      </c>
      <c r="BB143">
        <v>2451182</v>
      </c>
      <c r="BC143">
        <v>0</v>
      </c>
      <c r="BD143">
        <v>41395</v>
      </c>
      <c r="BE143">
        <v>0</v>
      </c>
      <c r="BF143">
        <v>41395</v>
      </c>
      <c r="BG143">
        <v>41395</v>
      </c>
      <c r="BH143">
        <v>0</v>
      </c>
      <c r="BI143">
        <v>0</v>
      </c>
      <c r="BJ143">
        <v>0</v>
      </c>
      <c r="BK143">
        <v>0</v>
      </c>
      <c r="BL143">
        <v>242890888</v>
      </c>
      <c r="BM143">
        <v>0</v>
      </c>
      <c r="BN143">
        <v>1044</v>
      </c>
      <c r="BO143">
        <v>663</v>
      </c>
      <c r="BP143">
        <v>0</v>
      </c>
      <c r="BQ143">
        <v>0</v>
      </c>
      <c r="BR143">
        <v>0.82200000000000006</v>
      </c>
      <c r="BS143">
        <v>0.82200000000000006</v>
      </c>
      <c r="BT143">
        <v>0</v>
      </c>
      <c r="BU143">
        <v>0</v>
      </c>
      <c r="BV143">
        <v>31</v>
      </c>
      <c r="BW143">
        <v>64</v>
      </c>
      <c r="BX143">
        <v>14</v>
      </c>
      <c r="BY143">
        <v>0</v>
      </c>
      <c r="BZ143">
        <v>6</v>
      </c>
      <c r="CA143">
        <v>115</v>
      </c>
      <c r="CB143">
        <v>0</v>
      </c>
      <c r="CC143">
        <v>0</v>
      </c>
      <c r="CD143">
        <v>0</v>
      </c>
      <c r="CE143">
        <v>10</v>
      </c>
      <c r="CF143">
        <v>31.156000000000002</v>
      </c>
      <c r="CG143">
        <v>0</v>
      </c>
      <c r="CH143">
        <v>0</v>
      </c>
      <c r="CI143">
        <v>3</v>
      </c>
      <c r="CJ143">
        <v>4</v>
      </c>
      <c r="CK143">
        <v>0</v>
      </c>
      <c r="CL143">
        <v>0</v>
      </c>
      <c r="CM143">
        <v>11.224</v>
      </c>
      <c r="CN143">
        <v>0</v>
      </c>
      <c r="CO143">
        <v>0</v>
      </c>
      <c r="CP143">
        <v>0</v>
      </c>
      <c r="CQ143">
        <v>0</v>
      </c>
      <c r="CR143">
        <v>0</v>
      </c>
      <c r="CS143">
        <v>0</v>
      </c>
      <c r="CT143">
        <v>0</v>
      </c>
      <c r="CU143">
        <v>0</v>
      </c>
      <c r="CV143">
        <v>18.597000000000001</v>
      </c>
      <c r="CW143">
        <v>14.916</v>
      </c>
      <c r="CX143">
        <v>0</v>
      </c>
      <c r="CY143" s="2043">
        <v>0</v>
      </c>
      <c r="CZ143" s="2043">
        <v>0</v>
      </c>
      <c r="DA143" s="2043">
        <v>0</v>
      </c>
      <c r="DB143" s="2043">
        <v>0</v>
      </c>
      <c r="DC143" s="2043">
        <v>0</v>
      </c>
      <c r="DI143" t="s">
        <v>2904</v>
      </c>
      <c r="DJ143" t="s">
        <v>2904</v>
      </c>
      <c r="DK143" s="2042">
        <f t="shared" si="4"/>
        <v>0</v>
      </c>
    </row>
    <row r="144" spans="1:115">
      <c r="A144" t="s">
        <v>2905</v>
      </c>
      <c r="B144" t="s">
        <v>1116</v>
      </c>
      <c r="C144">
        <v>187.52800000000002</v>
      </c>
      <c r="D144">
        <v>185.09100000000001</v>
      </c>
      <c r="E144">
        <v>1.792</v>
      </c>
      <c r="F144">
        <v>0</v>
      </c>
      <c r="G144" s="2043">
        <v>72604892</v>
      </c>
      <c r="H144">
        <v>0</v>
      </c>
      <c r="I144" s="2043">
        <v>272750</v>
      </c>
      <c r="J144">
        <v>9.3760000000000012</v>
      </c>
      <c r="K144">
        <v>26</v>
      </c>
      <c r="L144">
        <v>93433</v>
      </c>
      <c r="M144">
        <v>100657</v>
      </c>
      <c r="N144">
        <v>93433</v>
      </c>
      <c r="O144">
        <v>194090</v>
      </c>
      <c r="P144">
        <v>0</v>
      </c>
      <c r="Q144">
        <v>0</v>
      </c>
      <c r="R144" s="2043">
        <v>574964</v>
      </c>
      <c r="S144">
        <v>34974</v>
      </c>
      <c r="T144">
        <v>0</v>
      </c>
      <c r="U144">
        <v>0.05</v>
      </c>
      <c r="V144">
        <v>0</v>
      </c>
      <c r="W144">
        <v>0</v>
      </c>
      <c r="X144">
        <v>0</v>
      </c>
      <c r="Y144">
        <v>0</v>
      </c>
      <c r="Z144">
        <v>0.90200000000000002</v>
      </c>
      <c r="AA144">
        <v>0</v>
      </c>
      <c r="AB144">
        <v>184.15700000000001</v>
      </c>
      <c r="AC144" s="2043">
        <v>56240427</v>
      </c>
      <c r="AD144">
        <v>157200</v>
      </c>
      <c r="AE144" s="2043">
        <v>609938</v>
      </c>
      <c r="AF144">
        <v>0.872</v>
      </c>
      <c r="AG144">
        <v>0</v>
      </c>
      <c r="AH144">
        <v>0</v>
      </c>
      <c r="AI144">
        <v>0</v>
      </c>
      <c r="AJ144">
        <v>28.125</v>
      </c>
      <c r="AK144">
        <v>938</v>
      </c>
      <c r="AL144">
        <v>0</v>
      </c>
      <c r="AM144">
        <v>0</v>
      </c>
      <c r="AN144">
        <v>5.1820000000000004</v>
      </c>
      <c r="AO144">
        <v>0</v>
      </c>
      <c r="AP144">
        <v>2.9260000000000002</v>
      </c>
      <c r="AQ144">
        <v>0</v>
      </c>
      <c r="AR144">
        <v>3.4470000000000001</v>
      </c>
      <c r="AS144">
        <v>0</v>
      </c>
      <c r="AT144">
        <v>0</v>
      </c>
      <c r="AU144">
        <v>0.41200000000000003</v>
      </c>
      <c r="AV144">
        <v>0</v>
      </c>
      <c r="AW144">
        <v>6.7850000000000001</v>
      </c>
      <c r="AX144">
        <v>0</v>
      </c>
      <c r="AY144">
        <v>20.301000000000002</v>
      </c>
      <c r="AZ144">
        <v>0</v>
      </c>
      <c r="BA144">
        <v>1991570</v>
      </c>
      <c r="BB144">
        <v>767138</v>
      </c>
      <c r="BC144">
        <v>0</v>
      </c>
      <c r="BD144">
        <v>11105</v>
      </c>
      <c r="BE144">
        <v>9599</v>
      </c>
      <c r="BF144">
        <v>20704</v>
      </c>
      <c r="BG144">
        <v>11105</v>
      </c>
      <c r="BH144">
        <v>0</v>
      </c>
      <c r="BI144">
        <v>0</v>
      </c>
      <c r="BJ144">
        <v>0</v>
      </c>
      <c r="BK144">
        <v>0</v>
      </c>
      <c r="BL144">
        <v>72604892</v>
      </c>
      <c r="BM144">
        <v>0</v>
      </c>
      <c r="BN144">
        <v>666</v>
      </c>
      <c r="BO144">
        <v>642</v>
      </c>
      <c r="BP144">
        <v>0</v>
      </c>
      <c r="BQ144">
        <v>0</v>
      </c>
      <c r="BR144">
        <v>0.82200000000000006</v>
      </c>
      <c r="BS144">
        <v>0.82200000000000006</v>
      </c>
      <c r="BT144">
        <v>0</v>
      </c>
      <c r="BU144">
        <v>0</v>
      </c>
      <c r="BV144">
        <v>57</v>
      </c>
      <c r="BW144">
        <v>47</v>
      </c>
      <c r="BX144">
        <v>10</v>
      </c>
      <c r="BY144">
        <v>1</v>
      </c>
      <c r="BZ144">
        <v>5</v>
      </c>
      <c r="CA144">
        <v>120</v>
      </c>
      <c r="CB144">
        <v>0</v>
      </c>
      <c r="CC144">
        <v>0</v>
      </c>
      <c r="CD144">
        <v>0</v>
      </c>
      <c r="CE144">
        <v>22</v>
      </c>
      <c r="CF144">
        <v>35.194000000000003</v>
      </c>
      <c r="CG144">
        <v>0</v>
      </c>
      <c r="CH144">
        <v>0</v>
      </c>
      <c r="CI144">
        <v>4</v>
      </c>
      <c r="CJ144">
        <v>3</v>
      </c>
      <c r="CK144">
        <v>0</v>
      </c>
      <c r="CL144">
        <v>0</v>
      </c>
      <c r="CM144">
        <v>1.792</v>
      </c>
      <c r="CN144">
        <v>0</v>
      </c>
      <c r="CO144">
        <v>0</v>
      </c>
      <c r="CP144">
        <v>0</v>
      </c>
      <c r="CQ144">
        <v>0</v>
      </c>
      <c r="CR144">
        <v>0</v>
      </c>
      <c r="CS144">
        <v>0</v>
      </c>
      <c r="CT144">
        <v>0</v>
      </c>
      <c r="CU144">
        <v>0</v>
      </c>
      <c r="CV144">
        <v>16.63</v>
      </c>
      <c r="CW144">
        <v>5.6960000000000006</v>
      </c>
      <c r="CX144">
        <v>0</v>
      </c>
      <c r="CY144" s="2043">
        <v>0</v>
      </c>
      <c r="CZ144" s="2043">
        <v>0</v>
      </c>
      <c r="DA144" s="2043">
        <v>0</v>
      </c>
      <c r="DB144" s="2043">
        <v>0</v>
      </c>
      <c r="DC144" s="2043">
        <v>0</v>
      </c>
      <c r="DI144" t="s">
        <v>2905</v>
      </c>
      <c r="DJ144" t="s">
        <v>2905</v>
      </c>
      <c r="DK144" s="2042">
        <f t="shared" si="4"/>
        <v>0</v>
      </c>
    </row>
    <row r="145" spans="1:115">
      <c r="A145" t="s">
        <v>4951</v>
      </c>
      <c r="B145" t="s">
        <v>631</v>
      </c>
      <c r="C145">
        <v>1676.6020000000001</v>
      </c>
      <c r="D145">
        <v>1588.6660000000002</v>
      </c>
      <c r="E145">
        <v>203.75</v>
      </c>
      <c r="F145">
        <v>0</v>
      </c>
      <c r="G145" s="2043">
        <v>1461062380</v>
      </c>
      <c r="H145">
        <v>-79447</v>
      </c>
      <c r="I145" s="2043">
        <v>3008475</v>
      </c>
      <c r="J145">
        <v>83.83</v>
      </c>
      <c r="K145">
        <v>229</v>
      </c>
      <c r="L145">
        <v>0</v>
      </c>
      <c r="M145">
        <v>0</v>
      </c>
      <c r="N145">
        <v>0</v>
      </c>
      <c r="O145">
        <v>0</v>
      </c>
      <c r="P145">
        <v>0</v>
      </c>
      <c r="Q145">
        <v>0</v>
      </c>
      <c r="R145" s="2043">
        <v>11744787</v>
      </c>
      <c r="S145">
        <v>1139165</v>
      </c>
      <c r="T145">
        <v>430034</v>
      </c>
      <c r="U145">
        <v>0.08</v>
      </c>
      <c r="V145">
        <v>0</v>
      </c>
      <c r="W145">
        <v>0</v>
      </c>
      <c r="X145">
        <v>79447</v>
      </c>
      <c r="Y145">
        <v>3703209</v>
      </c>
      <c r="Z145">
        <v>8.423</v>
      </c>
      <c r="AA145">
        <v>4.2000000000000003E-2</v>
      </c>
      <c r="AB145">
        <v>1563.636</v>
      </c>
      <c r="AC145" s="2043">
        <v>986030543</v>
      </c>
      <c r="AD145">
        <v>3648174</v>
      </c>
      <c r="AE145" s="2043">
        <v>13313986</v>
      </c>
      <c r="AF145">
        <v>0.93500000000000005</v>
      </c>
      <c r="AG145">
        <v>0</v>
      </c>
      <c r="AH145">
        <v>79447</v>
      </c>
      <c r="AI145">
        <v>0</v>
      </c>
      <c r="AJ145">
        <v>252.85</v>
      </c>
      <c r="AK145">
        <v>4722</v>
      </c>
      <c r="AL145">
        <v>0.16</v>
      </c>
      <c r="AM145">
        <v>0</v>
      </c>
      <c r="AN145">
        <v>46.419000000000004</v>
      </c>
      <c r="AO145">
        <v>0</v>
      </c>
      <c r="AP145">
        <v>0</v>
      </c>
      <c r="AQ145">
        <v>0</v>
      </c>
      <c r="AR145">
        <v>26.713000000000001</v>
      </c>
      <c r="AS145">
        <v>0</v>
      </c>
      <c r="AT145">
        <v>14.245000000000001</v>
      </c>
      <c r="AU145">
        <v>2.8680000000000003</v>
      </c>
      <c r="AV145">
        <v>0</v>
      </c>
      <c r="AW145">
        <v>43.986000000000004</v>
      </c>
      <c r="AX145">
        <v>0</v>
      </c>
      <c r="AY145">
        <v>138.01400000000001</v>
      </c>
      <c r="AZ145">
        <v>0</v>
      </c>
      <c r="BA145">
        <v>7353030</v>
      </c>
      <c r="BB145">
        <v>16962160</v>
      </c>
      <c r="BC145">
        <v>0</v>
      </c>
      <c r="BD145">
        <v>118609</v>
      </c>
      <c r="BE145">
        <v>55209</v>
      </c>
      <c r="BF145">
        <v>196787</v>
      </c>
      <c r="BG145">
        <v>118609</v>
      </c>
      <c r="BH145">
        <v>22969</v>
      </c>
      <c r="BI145">
        <v>0</v>
      </c>
      <c r="BJ145">
        <v>0</v>
      </c>
      <c r="BK145">
        <v>0</v>
      </c>
      <c r="BL145">
        <v>1461062380</v>
      </c>
      <c r="BM145">
        <v>0</v>
      </c>
      <c r="BN145">
        <v>6354</v>
      </c>
      <c r="BO145">
        <v>3841</v>
      </c>
      <c r="BP145">
        <v>0</v>
      </c>
      <c r="BQ145">
        <v>0</v>
      </c>
      <c r="BR145">
        <v>0.82480000000000009</v>
      </c>
      <c r="BS145">
        <v>0.82480000000000009</v>
      </c>
      <c r="BT145">
        <v>2835402</v>
      </c>
      <c r="BU145">
        <v>0</v>
      </c>
      <c r="BV145">
        <v>503</v>
      </c>
      <c r="BW145">
        <v>160</v>
      </c>
      <c r="BX145">
        <v>388</v>
      </c>
      <c r="BY145">
        <v>0</v>
      </c>
      <c r="BZ145">
        <v>17</v>
      </c>
      <c r="CA145">
        <v>1068</v>
      </c>
      <c r="CB145">
        <v>0</v>
      </c>
      <c r="CC145">
        <v>0</v>
      </c>
      <c r="CD145">
        <v>0</v>
      </c>
      <c r="CE145">
        <v>168</v>
      </c>
      <c r="CF145">
        <v>343.29599999999999</v>
      </c>
      <c r="CG145">
        <v>0</v>
      </c>
      <c r="CH145">
        <v>0</v>
      </c>
      <c r="CI145">
        <v>0</v>
      </c>
      <c r="CJ145">
        <v>10</v>
      </c>
      <c r="CK145">
        <v>0</v>
      </c>
      <c r="CL145">
        <v>0</v>
      </c>
      <c r="CM145">
        <v>203.75</v>
      </c>
      <c r="CN145">
        <v>0</v>
      </c>
      <c r="CO145">
        <v>0</v>
      </c>
      <c r="CP145">
        <v>0</v>
      </c>
      <c r="CQ145">
        <v>0</v>
      </c>
      <c r="CR145">
        <v>0</v>
      </c>
      <c r="CS145">
        <v>0</v>
      </c>
      <c r="CT145">
        <v>0</v>
      </c>
      <c r="CU145">
        <v>11.475000000000001</v>
      </c>
      <c r="CV145">
        <v>139.79500000000002</v>
      </c>
      <c r="CW145">
        <v>61.752000000000002</v>
      </c>
      <c r="CX145">
        <v>2835402</v>
      </c>
      <c r="CY145" s="2043">
        <v>947254</v>
      </c>
      <c r="CZ145" s="2043">
        <v>0</v>
      </c>
      <c r="DA145" s="2043">
        <v>0</v>
      </c>
      <c r="DB145" s="2043">
        <v>0</v>
      </c>
      <c r="DC145" s="2043">
        <v>0</v>
      </c>
      <c r="DI145" t="s">
        <v>2906</v>
      </c>
      <c r="DJ145" t="s">
        <v>4951</v>
      </c>
      <c r="DK145" s="2042">
        <f t="shared" si="4"/>
        <v>-993</v>
      </c>
    </row>
    <row r="146" spans="1:115">
      <c r="A146" t="s">
        <v>2906</v>
      </c>
      <c r="B146" t="s">
        <v>671</v>
      </c>
      <c r="C146">
        <v>175.33800000000002</v>
      </c>
      <c r="D146">
        <v>143.804</v>
      </c>
      <c r="E146">
        <v>1.8190000000000002</v>
      </c>
      <c r="F146">
        <v>0</v>
      </c>
      <c r="G146" s="2043">
        <v>144700868</v>
      </c>
      <c r="H146">
        <v>0</v>
      </c>
      <c r="I146" s="2043">
        <v>91292</v>
      </c>
      <c r="J146">
        <v>3</v>
      </c>
      <c r="K146">
        <v>8</v>
      </c>
      <c r="L146">
        <v>0</v>
      </c>
      <c r="M146">
        <v>91293</v>
      </c>
      <c r="N146">
        <v>0</v>
      </c>
      <c r="O146">
        <v>91293</v>
      </c>
      <c r="P146">
        <v>0</v>
      </c>
      <c r="Q146">
        <v>0</v>
      </c>
      <c r="R146" s="2043">
        <v>1222649</v>
      </c>
      <c r="S146">
        <v>118993</v>
      </c>
      <c r="T146">
        <v>86715</v>
      </c>
      <c r="U146">
        <v>0.08</v>
      </c>
      <c r="V146">
        <v>0</v>
      </c>
      <c r="W146">
        <v>0</v>
      </c>
      <c r="X146">
        <v>0</v>
      </c>
      <c r="Y146">
        <v>0</v>
      </c>
      <c r="Z146">
        <v>0</v>
      </c>
      <c r="AA146">
        <v>0</v>
      </c>
      <c r="AB146">
        <v>143.804</v>
      </c>
      <c r="AC146" s="2043">
        <v>115801715</v>
      </c>
      <c r="AD146">
        <v>100752</v>
      </c>
      <c r="AE146" s="2043">
        <v>1428357</v>
      </c>
      <c r="AF146">
        <v>0.96030000000000004</v>
      </c>
      <c r="AG146">
        <v>0</v>
      </c>
      <c r="AH146">
        <v>0</v>
      </c>
      <c r="AI146">
        <v>0</v>
      </c>
      <c r="AJ146">
        <v>33.188000000000002</v>
      </c>
      <c r="AK146">
        <v>4573</v>
      </c>
      <c r="AL146">
        <v>0</v>
      </c>
      <c r="AM146">
        <v>0</v>
      </c>
      <c r="AN146">
        <v>6.9480000000000004</v>
      </c>
      <c r="AO146">
        <v>0</v>
      </c>
      <c r="AP146">
        <v>0</v>
      </c>
      <c r="AQ146">
        <v>28.359000000000002</v>
      </c>
      <c r="AR146">
        <v>1.1440000000000001</v>
      </c>
      <c r="AS146">
        <v>0</v>
      </c>
      <c r="AT146">
        <v>0.19</v>
      </c>
      <c r="AU146">
        <v>0.34400000000000003</v>
      </c>
      <c r="AV146">
        <v>0</v>
      </c>
      <c r="AW146">
        <v>30.037000000000003</v>
      </c>
      <c r="AX146">
        <v>0</v>
      </c>
      <c r="AY146">
        <v>5.7220000000000004</v>
      </c>
      <c r="AZ146">
        <v>0</v>
      </c>
      <c r="BA146">
        <v>2158417</v>
      </c>
      <c r="BB146">
        <v>1529109</v>
      </c>
      <c r="BC146">
        <v>0</v>
      </c>
      <c r="BD146">
        <v>39981</v>
      </c>
      <c r="BE146">
        <v>0</v>
      </c>
      <c r="BF146">
        <v>40209</v>
      </c>
      <c r="BG146">
        <v>39981</v>
      </c>
      <c r="BH146">
        <v>228</v>
      </c>
      <c r="BI146">
        <v>0</v>
      </c>
      <c r="BJ146">
        <v>0</v>
      </c>
      <c r="BK146">
        <v>0</v>
      </c>
      <c r="BL146">
        <v>144700868</v>
      </c>
      <c r="BM146">
        <v>0</v>
      </c>
      <c r="BN146">
        <v>450</v>
      </c>
      <c r="BO146">
        <v>310</v>
      </c>
      <c r="BP146">
        <v>0</v>
      </c>
      <c r="BQ146">
        <v>0</v>
      </c>
      <c r="BR146">
        <v>0.82200000000000006</v>
      </c>
      <c r="BS146">
        <v>0.82200000000000006</v>
      </c>
      <c r="BT146">
        <v>0</v>
      </c>
      <c r="BU146">
        <v>0</v>
      </c>
      <c r="BV146">
        <v>38</v>
      </c>
      <c r="BW146">
        <v>16</v>
      </c>
      <c r="BX146">
        <v>24</v>
      </c>
      <c r="BY146">
        <v>1</v>
      </c>
      <c r="BZ146">
        <v>53</v>
      </c>
      <c r="CA146">
        <v>132</v>
      </c>
      <c r="CB146">
        <v>0</v>
      </c>
      <c r="CC146">
        <v>0</v>
      </c>
      <c r="CD146">
        <v>0</v>
      </c>
      <c r="CE146">
        <v>5</v>
      </c>
      <c r="CF146">
        <v>22.539000000000001</v>
      </c>
      <c r="CG146">
        <v>12.965</v>
      </c>
      <c r="CH146">
        <v>45.977000000000004</v>
      </c>
      <c r="CI146">
        <v>1</v>
      </c>
      <c r="CJ146">
        <v>2</v>
      </c>
      <c r="CK146">
        <v>1</v>
      </c>
      <c r="CL146">
        <v>58.942</v>
      </c>
      <c r="CM146">
        <v>1.8190000000000002</v>
      </c>
      <c r="CN146">
        <v>0</v>
      </c>
      <c r="CO146">
        <v>0</v>
      </c>
      <c r="CP146">
        <v>0</v>
      </c>
      <c r="CQ146">
        <v>0</v>
      </c>
      <c r="CR146">
        <v>0</v>
      </c>
      <c r="CS146">
        <v>0</v>
      </c>
      <c r="CT146">
        <v>0</v>
      </c>
      <c r="CU146">
        <v>0.68300000000000005</v>
      </c>
      <c r="CV146">
        <v>6.9890000000000008</v>
      </c>
      <c r="CW146">
        <v>7.4650000000000007</v>
      </c>
      <c r="CX146">
        <v>0</v>
      </c>
      <c r="CY146" s="2043">
        <v>0</v>
      </c>
      <c r="CZ146" s="2043">
        <v>0</v>
      </c>
      <c r="DA146" s="2043">
        <v>0</v>
      </c>
      <c r="DB146" s="2043">
        <v>0</v>
      </c>
      <c r="DC146" s="2043">
        <v>0</v>
      </c>
      <c r="DI146" t="s">
        <v>2907</v>
      </c>
      <c r="DJ146" t="s">
        <v>2906</v>
      </c>
      <c r="DK146" s="2042">
        <f t="shared" si="4"/>
        <v>1</v>
      </c>
    </row>
    <row r="147" spans="1:115">
      <c r="A147" t="s">
        <v>2907</v>
      </c>
      <c r="B147" t="s">
        <v>724</v>
      </c>
      <c r="C147">
        <v>1076.6610000000001</v>
      </c>
      <c r="D147">
        <v>1131.193</v>
      </c>
      <c r="E147">
        <v>18.420000000000002</v>
      </c>
      <c r="F147">
        <v>0</v>
      </c>
      <c r="G147" s="2043">
        <v>439657375</v>
      </c>
      <c r="H147">
        <v>0</v>
      </c>
      <c r="I147" s="2043">
        <v>1415950</v>
      </c>
      <c r="J147">
        <v>53.833000000000006</v>
      </c>
      <c r="K147">
        <v>147</v>
      </c>
      <c r="L147">
        <v>0</v>
      </c>
      <c r="M147">
        <v>460229</v>
      </c>
      <c r="N147">
        <v>0</v>
      </c>
      <c r="O147">
        <v>460229</v>
      </c>
      <c r="P147">
        <v>0</v>
      </c>
      <c r="Q147">
        <v>0</v>
      </c>
      <c r="R147" s="2043">
        <v>3206280</v>
      </c>
      <c r="S147">
        <v>311933</v>
      </c>
      <c r="T147">
        <v>227321</v>
      </c>
      <c r="U147">
        <v>0.08</v>
      </c>
      <c r="V147">
        <v>0</v>
      </c>
      <c r="W147">
        <v>0</v>
      </c>
      <c r="X147">
        <v>0</v>
      </c>
      <c r="Y147">
        <v>0</v>
      </c>
      <c r="Z147">
        <v>0</v>
      </c>
      <c r="AA147">
        <v>0</v>
      </c>
      <c r="AB147">
        <v>1080.0990000000002</v>
      </c>
      <c r="AC147" s="2043">
        <v>321650387</v>
      </c>
      <c r="AD147">
        <v>1417208</v>
      </c>
      <c r="AE147" s="2043">
        <v>3745534</v>
      </c>
      <c r="AF147">
        <v>0.96060000000000001</v>
      </c>
      <c r="AG147">
        <v>0</v>
      </c>
      <c r="AH147">
        <v>0</v>
      </c>
      <c r="AI147">
        <v>0</v>
      </c>
      <c r="AJ147">
        <v>112.42500000000001</v>
      </c>
      <c r="AK147">
        <v>3190</v>
      </c>
      <c r="AL147">
        <v>0</v>
      </c>
      <c r="AM147">
        <v>0</v>
      </c>
      <c r="AN147">
        <v>28.922000000000001</v>
      </c>
      <c r="AO147">
        <v>0</v>
      </c>
      <c r="AP147">
        <v>0</v>
      </c>
      <c r="AQ147">
        <v>2.2330000000000001</v>
      </c>
      <c r="AR147">
        <v>17.022000000000002</v>
      </c>
      <c r="AS147">
        <v>0</v>
      </c>
      <c r="AT147">
        <v>3.7390000000000003</v>
      </c>
      <c r="AU147">
        <v>1.415</v>
      </c>
      <c r="AV147">
        <v>0</v>
      </c>
      <c r="AW147">
        <v>24.409000000000002</v>
      </c>
      <c r="AX147">
        <v>0</v>
      </c>
      <c r="AY147">
        <v>69.358000000000004</v>
      </c>
      <c r="AZ147">
        <v>0</v>
      </c>
      <c r="BA147">
        <v>7869779</v>
      </c>
      <c r="BB147">
        <v>5162742</v>
      </c>
      <c r="BC147">
        <v>0</v>
      </c>
      <c r="BD147">
        <v>31062</v>
      </c>
      <c r="BE147">
        <v>0</v>
      </c>
      <c r="BF147">
        <v>31062</v>
      </c>
      <c r="BG147">
        <v>31062</v>
      </c>
      <c r="BH147">
        <v>0</v>
      </c>
      <c r="BI147">
        <v>0</v>
      </c>
      <c r="BJ147">
        <v>0</v>
      </c>
      <c r="BK147">
        <v>0</v>
      </c>
      <c r="BL147">
        <v>439657375</v>
      </c>
      <c r="BM147">
        <v>0</v>
      </c>
      <c r="BN147">
        <v>4473</v>
      </c>
      <c r="BO147">
        <v>706</v>
      </c>
      <c r="BP147">
        <v>0</v>
      </c>
      <c r="BQ147">
        <v>0</v>
      </c>
      <c r="BR147">
        <v>0.82230000000000003</v>
      </c>
      <c r="BS147">
        <v>0.82230000000000003</v>
      </c>
      <c r="BT147">
        <v>0</v>
      </c>
      <c r="BU147">
        <v>0</v>
      </c>
      <c r="BV147">
        <v>42</v>
      </c>
      <c r="BW147">
        <v>360</v>
      </c>
      <c r="BX147">
        <v>26</v>
      </c>
      <c r="BY147">
        <v>2</v>
      </c>
      <c r="BZ147">
        <v>38</v>
      </c>
      <c r="CA147">
        <v>468</v>
      </c>
      <c r="CB147">
        <v>0</v>
      </c>
      <c r="CC147">
        <v>0</v>
      </c>
      <c r="CD147">
        <v>0</v>
      </c>
      <c r="CE147">
        <v>133</v>
      </c>
      <c r="CF147">
        <v>171.71600000000001</v>
      </c>
      <c r="CG147">
        <v>0</v>
      </c>
      <c r="CH147">
        <v>2.194</v>
      </c>
      <c r="CI147">
        <v>5</v>
      </c>
      <c r="CJ147">
        <v>20</v>
      </c>
      <c r="CK147">
        <v>1</v>
      </c>
      <c r="CL147">
        <v>2.194</v>
      </c>
      <c r="CM147">
        <v>18.420000000000002</v>
      </c>
      <c r="CN147">
        <v>0</v>
      </c>
      <c r="CO147">
        <v>0</v>
      </c>
      <c r="CP147">
        <v>0</v>
      </c>
      <c r="CQ147">
        <v>0</v>
      </c>
      <c r="CR147">
        <v>0</v>
      </c>
      <c r="CS147">
        <v>0</v>
      </c>
      <c r="CT147">
        <v>0</v>
      </c>
      <c r="CU147">
        <v>1.7310000000000001</v>
      </c>
      <c r="CV147">
        <v>74.387</v>
      </c>
      <c r="CW147">
        <v>32.931000000000004</v>
      </c>
      <c r="CX147">
        <v>0</v>
      </c>
      <c r="CY147" s="2043">
        <v>0</v>
      </c>
      <c r="CZ147" s="2043">
        <v>0</v>
      </c>
      <c r="DA147" s="2043">
        <v>0</v>
      </c>
      <c r="DB147" s="2043">
        <v>0</v>
      </c>
      <c r="DC147" s="2043">
        <v>357558</v>
      </c>
      <c r="DI147" t="s">
        <v>4951</v>
      </c>
      <c r="DJ147" t="s">
        <v>2907</v>
      </c>
      <c r="DK147" s="2042">
        <f t="shared" si="4"/>
        <v>992</v>
      </c>
    </row>
    <row r="148" spans="1:115">
      <c r="A148" t="s">
        <v>4952</v>
      </c>
      <c r="B148" t="s">
        <v>632</v>
      </c>
      <c r="C148">
        <v>489.666</v>
      </c>
      <c r="D148">
        <v>493.363</v>
      </c>
      <c r="E148">
        <v>46.196000000000005</v>
      </c>
      <c r="F148">
        <v>0</v>
      </c>
      <c r="G148" s="2043">
        <v>380330960</v>
      </c>
      <c r="H148">
        <v>0</v>
      </c>
      <c r="I148" s="2043">
        <v>904952</v>
      </c>
      <c r="J148">
        <v>14</v>
      </c>
      <c r="K148">
        <v>38</v>
      </c>
      <c r="L148">
        <v>0</v>
      </c>
      <c r="M148">
        <v>0</v>
      </c>
      <c r="N148">
        <v>0</v>
      </c>
      <c r="O148">
        <v>0</v>
      </c>
      <c r="P148">
        <v>0</v>
      </c>
      <c r="Q148">
        <v>0</v>
      </c>
      <c r="R148" s="2043">
        <v>3296745</v>
      </c>
      <c r="S148">
        <v>0</v>
      </c>
      <c r="T148">
        <v>0</v>
      </c>
      <c r="U148">
        <v>0</v>
      </c>
      <c r="V148">
        <v>0</v>
      </c>
      <c r="W148">
        <v>0</v>
      </c>
      <c r="X148">
        <v>0</v>
      </c>
      <c r="Y148">
        <v>305421</v>
      </c>
      <c r="Z148">
        <v>0</v>
      </c>
      <c r="AA148">
        <v>0</v>
      </c>
      <c r="AB148">
        <v>485.63500000000005</v>
      </c>
      <c r="AC148" s="2043">
        <v>329228639</v>
      </c>
      <c r="AD148">
        <v>995309</v>
      </c>
      <c r="AE148" s="2043">
        <v>3296745</v>
      </c>
      <c r="AF148">
        <v>0.89760000000000006</v>
      </c>
      <c r="AG148">
        <v>0</v>
      </c>
      <c r="AH148">
        <v>0</v>
      </c>
      <c r="AI148">
        <v>0</v>
      </c>
      <c r="AJ148">
        <v>97.363</v>
      </c>
      <c r="AK148">
        <v>2027</v>
      </c>
      <c r="AL148">
        <v>0</v>
      </c>
      <c r="AM148">
        <v>0</v>
      </c>
      <c r="AN148">
        <v>21.113</v>
      </c>
      <c r="AO148">
        <v>0</v>
      </c>
      <c r="AP148">
        <v>0</v>
      </c>
      <c r="AQ148">
        <v>0</v>
      </c>
      <c r="AR148">
        <v>4.74</v>
      </c>
      <c r="AS148">
        <v>0</v>
      </c>
      <c r="AT148">
        <v>5.9610000000000003</v>
      </c>
      <c r="AU148">
        <v>0.93300000000000005</v>
      </c>
      <c r="AV148">
        <v>0</v>
      </c>
      <c r="AW148">
        <v>11.634</v>
      </c>
      <c r="AX148">
        <v>0</v>
      </c>
      <c r="AY148">
        <v>36.768000000000001</v>
      </c>
      <c r="AZ148">
        <v>0</v>
      </c>
      <c r="BA148">
        <v>2737714</v>
      </c>
      <c r="BB148">
        <v>4292054</v>
      </c>
      <c r="BC148">
        <v>0</v>
      </c>
      <c r="BD148">
        <v>45458</v>
      </c>
      <c r="BE148">
        <v>17861</v>
      </c>
      <c r="BF148">
        <v>63319</v>
      </c>
      <c r="BG148">
        <v>45458</v>
      </c>
      <c r="BH148">
        <v>0</v>
      </c>
      <c r="BI148">
        <v>0</v>
      </c>
      <c r="BJ148">
        <v>0</v>
      </c>
      <c r="BK148">
        <v>0</v>
      </c>
      <c r="BL148">
        <v>380330960</v>
      </c>
      <c r="BM148">
        <v>0</v>
      </c>
      <c r="BN148">
        <v>1935</v>
      </c>
      <c r="BO148">
        <v>1145</v>
      </c>
      <c r="BP148">
        <v>0</v>
      </c>
      <c r="BQ148">
        <v>0</v>
      </c>
      <c r="BR148">
        <v>0.89760000000000006</v>
      </c>
      <c r="BS148">
        <v>0.89760000000000006</v>
      </c>
      <c r="BT148">
        <v>0</v>
      </c>
      <c r="BU148">
        <v>0</v>
      </c>
      <c r="BV148">
        <v>1</v>
      </c>
      <c r="BW148">
        <v>234</v>
      </c>
      <c r="BX148">
        <v>1</v>
      </c>
      <c r="BY148">
        <v>149</v>
      </c>
      <c r="BZ148">
        <v>8</v>
      </c>
      <c r="CA148">
        <v>393</v>
      </c>
      <c r="CB148">
        <v>0</v>
      </c>
      <c r="CC148">
        <v>0</v>
      </c>
      <c r="CD148">
        <v>0</v>
      </c>
      <c r="CE148">
        <v>17</v>
      </c>
      <c r="CF148">
        <v>133.65600000000001</v>
      </c>
      <c r="CG148">
        <v>0</v>
      </c>
      <c r="CH148">
        <v>0</v>
      </c>
      <c r="CI148">
        <v>0</v>
      </c>
      <c r="CJ148">
        <v>1</v>
      </c>
      <c r="CK148">
        <v>0</v>
      </c>
      <c r="CL148">
        <v>0</v>
      </c>
      <c r="CM148">
        <v>46.196000000000005</v>
      </c>
      <c r="CN148">
        <v>0</v>
      </c>
      <c r="CO148">
        <v>0</v>
      </c>
      <c r="CP148">
        <v>0</v>
      </c>
      <c r="CQ148">
        <v>0</v>
      </c>
      <c r="CR148">
        <v>0</v>
      </c>
      <c r="CS148">
        <v>0</v>
      </c>
      <c r="CT148">
        <v>0</v>
      </c>
      <c r="CU148">
        <v>0</v>
      </c>
      <c r="CV148">
        <v>27.747</v>
      </c>
      <c r="CW148">
        <v>16.317</v>
      </c>
      <c r="CX148">
        <v>0</v>
      </c>
      <c r="CY148" s="2043">
        <v>305421</v>
      </c>
      <c r="CZ148" s="2043">
        <v>0</v>
      </c>
      <c r="DA148" s="2043">
        <v>0</v>
      </c>
      <c r="DB148" s="2043">
        <v>0</v>
      </c>
      <c r="DC148" s="2043">
        <v>0</v>
      </c>
      <c r="DI148" t="s">
        <v>4952</v>
      </c>
      <c r="DJ148" t="s">
        <v>4952</v>
      </c>
      <c r="DK148" s="2042">
        <f t="shared" si="4"/>
        <v>0</v>
      </c>
    </row>
    <row r="149" spans="1:115">
      <c r="A149" t="s">
        <v>2908</v>
      </c>
      <c r="B149" t="s">
        <v>633</v>
      </c>
      <c r="C149">
        <v>491.41700000000003</v>
      </c>
      <c r="D149">
        <v>467.49</v>
      </c>
      <c r="E149">
        <v>73.51700000000001</v>
      </c>
      <c r="F149">
        <v>0</v>
      </c>
      <c r="G149" s="2043">
        <v>306089146</v>
      </c>
      <c r="H149">
        <v>0</v>
      </c>
      <c r="I149" s="2043">
        <v>935675</v>
      </c>
      <c r="J149">
        <v>24.571000000000002</v>
      </c>
      <c r="K149">
        <v>67</v>
      </c>
      <c r="L149">
        <v>0</v>
      </c>
      <c r="M149">
        <v>110365</v>
      </c>
      <c r="N149">
        <v>0</v>
      </c>
      <c r="O149">
        <v>110365</v>
      </c>
      <c r="P149">
        <v>0</v>
      </c>
      <c r="Q149">
        <v>0</v>
      </c>
      <c r="R149" s="2043">
        <v>2651473</v>
      </c>
      <c r="S149">
        <v>232178</v>
      </c>
      <c r="T149">
        <v>156140</v>
      </c>
      <c r="U149">
        <v>0.08</v>
      </c>
      <c r="V149">
        <v>0</v>
      </c>
      <c r="W149">
        <v>0</v>
      </c>
      <c r="X149">
        <v>0</v>
      </c>
      <c r="Y149">
        <v>7575</v>
      </c>
      <c r="Z149">
        <v>0</v>
      </c>
      <c r="AA149">
        <v>0</v>
      </c>
      <c r="AB149">
        <v>467.49</v>
      </c>
      <c r="AC149" s="2043">
        <v>261873790</v>
      </c>
      <c r="AD149">
        <v>911364</v>
      </c>
      <c r="AE149" s="2043">
        <v>3039791</v>
      </c>
      <c r="AF149">
        <v>1.0474000000000001</v>
      </c>
      <c r="AG149">
        <v>0</v>
      </c>
      <c r="AH149">
        <v>0</v>
      </c>
      <c r="AI149">
        <v>0</v>
      </c>
      <c r="AJ149">
        <v>90.05</v>
      </c>
      <c r="AK149">
        <v>2057</v>
      </c>
      <c r="AL149">
        <v>0</v>
      </c>
      <c r="AM149">
        <v>0</v>
      </c>
      <c r="AN149">
        <v>27.718</v>
      </c>
      <c r="AO149">
        <v>0</v>
      </c>
      <c r="AP149">
        <v>0</v>
      </c>
      <c r="AQ149">
        <v>0</v>
      </c>
      <c r="AR149">
        <v>6.03</v>
      </c>
      <c r="AS149">
        <v>0</v>
      </c>
      <c r="AT149">
        <v>2.3940000000000001</v>
      </c>
      <c r="AU149">
        <v>0.95500000000000007</v>
      </c>
      <c r="AV149">
        <v>0</v>
      </c>
      <c r="AW149">
        <v>9.3790000000000013</v>
      </c>
      <c r="AX149">
        <v>0</v>
      </c>
      <c r="AY149">
        <v>30.047000000000001</v>
      </c>
      <c r="AZ149">
        <v>0</v>
      </c>
      <c r="BA149">
        <v>3712836</v>
      </c>
      <c r="BB149">
        <v>3951155</v>
      </c>
      <c r="BC149">
        <v>0</v>
      </c>
      <c r="BD149">
        <v>50912</v>
      </c>
      <c r="BE149">
        <v>10221</v>
      </c>
      <c r="BF149">
        <v>89073</v>
      </c>
      <c r="BG149">
        <v>50912</v>
      </c>
      <c r="BH149">
        <v>27940</v>
      </c>
      <c r="BI149">
        <v>-8672</v>
      </c>
      <c r="BJ149">
        <v>-1283</v>
      </c>
      <c r="BK149">
        <v>0</v>
      </c>
      <c r="BL149">
        <v>306089146</v>
      </c>
      <c r="BM149">
        <v>0</v>
      </c>
      <c r="BN149">
        <v>1602</v>
      </c>
      <c r="BO149">
        <v>1102</v>
      </c>
      <c r="BP149">
        <v>0</v>
      </c>
      <c r="BQ149">
        <v>0</v>
      </c>
      <c r="BR149">
        <v>0.91360000000000008</v>
      </c>
      <c r="BS149">
        <v>0.91360000000000008</v>
      </c>
      <c r="BT149">
        <v>0</v>
      </c>
      <c r="BU149">
        <v>0</v>
      </c>
      <c r="BV149">
        <v>1</v>
      </c>
      <c r="BW149">
        <v>375</v>
      </c>
      <c r="BX149">
        <v>2</v>
      </c>
      <c r="BY149">
        <v>1</v>
      </c>
      <c r="BZ149">
        <v>0</v>
      </c>
      <c r="CA149">
        <v>379</v>
      </c>
      <c r="CB149">
        <v>0</v>
      </c>
      <c r="CC149">
        <v>0</v>
      </c>
      <c r="CD149">
        <v>0</v>
      </c>
      <c r="CE149">
        <v>50</v>
      </c>
      <c r="CF149">
        <v>121.069</v>
      </c>
      <c r="CG149">
        <v>0</v>
      </c>
      <c r="CH149">
        <v>0</v>
      </c>
      <c r="CI149">
        <v>0</v>
      </c>
      <c r="CJ149">
        <v>5</v>
      </c>
      <c r="CK149">
        <v>0</v>
      </c>
      <c r="CL149">
        <v>0</v>
      </c>
      <c r="CM149">
        <v>73.51700000000001</v>
      </c>
      <c r="CN149">
        <v>0</v>
      </c>
      <c r="CO149">
        <v>0</v>
      </c>
      <c r="CP149">
        <v>0</v>
      </c>
      <c r="CQ149">
        <v>0</v>
      </c>
      <c r="CR149">
        <v>0</v>
      </c>
      <c r="CS149">
        <v>0</v>
      </c>
      <c r="CT149">
        <v>0</v>
      </c>
      <c r="CU149">
        <v>0</v>
      </c>
      <c r="CV149">
        <v>29.527000000000001</v>
      </c>
      <c r="CW149">
        <v>20.321000000000002</v>
      </c>
      <c r="CX149">
        <v>0</v>
      </c>
      <c r="CY149" s="2043">
        <v>17530</v>
      </c>
      <c r="CZ149" s="2043">
        <v>0</v>
      </c>
      <c r="DA149" s="2043">
        <v>0</v>
      </c>
      <c r="DB149" s="2043">
        <v>0</v>
      </c>
      <c r="DC149" s="2043">
        <v>0</v>
      </c>
      <c r="DI149" t="s">
        <v>2908</v>
      </c>
      <c r="DJ149" t="s">
        <v>2908</v>
      </c>
      <c r="DK149" s="2042">
        <f t="shared" si="4"/>
        <v>0</v>
      </c>
    </row>
    <row r="150" spans="1:115">
      <c r="A150" t="s">
        <v>2909</v>
      </c>
      <c r="B150" t="s">
        <v>1778</v>
      </c>
      <c r="C150">
        <v>2993.7150000000001</v>
      </c>
      <c r="D150">
        <v>3026.7139999999999</v>
      </c>
      <c r="E150">
        <v>278.55200000000002</v>
      </c>
      <c r="F150">
        <v>0</v>
      </c>
      <c r="G150" s="2043">
        <v>3819103947</v>
      </c>
      <c r="H150">
        <v>0</v>
      </c>
      <c r="I150" s="2043">
        <v>3855950</v>
      </c>
      <c r="J150">
        <v>141</v>
      </c>
      <c r="K150">
        <v>385</v>
      </c>
      <c r="L150">
        <v>0</v>
      </c>
      <c r="M150">
        <v>490307</v>
      </c>
      <c r="N150">
        <v>0</v>
      </c>
      <c r="O150">
        <v>490307</v>
      </c>
      <c r="P150">
        <v>0</v>
      </c>
      <c r="Q150">
        <v>0</v>
      </c>
      <c r="R150" s="2043">
        <v>30921997</v>
      </c>
      <c r="S150">
        <v>2257080</v>
      </c>
      <c r="T150">
        <v>0</v>
      </c>
      <c r="U150">
        <v>0.06</v>
      </c>
      <c r="V150">
        <v>0</v>
      </c>
      <c r="W150">
        <v>5142216</v>
      </c>
      <c r="X150">
        <v>0</v>
      </c>
      <c r="Y150">
        <v>1067211</v>
      </c>
      <c r="Z150">
        <v>0</v>
      </c>
      <c r="AA150">
        <v>5.8000000000000003E-2</v>
      </c>
      <c r="AB150">
        <v>2798.0640000000003</v>
      </c>
      <c r="AC150" s="2043">
        <v>2670977014</v>
      </c>
      <c r="AD150">
        <v>7350987</v>
      </c>
      <c r="AE150" s="2043">
        <v>33179077</v>
      </c>
      <c r="AF150">
        <v>0.88200000000000001</v>
      </c>
      <c r="AG150">
        <v>0</v>
      </c>
      <c r="AH150">
        <v>5142216</v>
      </c>
      <c r="AI150">
        <v>0</v>
      </c>
      <c r="AJ150">
        <v>404.76300000000003</v>
      </c>
      <c r="AK150">
        <v>13603</v>
      </c>
      <c r="AL150">
        <v>0.29799999999999999</v>
      </c>
      <c r="AM150">
        <v>0</v>
      </c>
      <c r="AN150">
        <v>151.38</v>
      </c>
      <c r="AO150">
        <v>1</v>
      </c>
      <c r="AP150">
        <v>0</v>
      </c>
      <c r="AQ150">
        <v>0</v>
      </c>
      <c r="AR150">
        <v>93.231000000000009</v>
      </c>
      <c r="AS150">
        <v>0</v>
      </c>
      <c r="AT150">
        <v>23.407</v>
      </c>
      <c r="AU150">
        <v>6.726</v>
      </c>
      <c r="AV150">
        <v>0</v>
      </c>
      <c r="AW150">
        <v>126.36200000000001</v>
      </c>
      <c r="AX150">
        <v>2.7</v>
      </c>
      <c r="AY150">
        <v>391.24400000000003</v>
      </c>
      <c r="AZ150">
        <v>0</v>
      </c>
      <c r="BA150">
        <v>2914619</v>
      </c>
      <c r="BB150">
        <v>40530064</v>
      </c>
      <c r="BC150">
        <v>0</v>
      </c>
      <c r="BD150">
        <v>402220</v>
      </c>
      <c r="BE150">
        <v>192964</v>
      </c>
      <c r="BF150">
        <v>595184</v>
      </c>
      <c r="BG150">
        <v>402220</v>
      </c>
      <c r="BH150">
        <v>0</v>
      </c>
      <c r="BI150">
        <v>-14616</v>
      </c>
      <c r="BJ150">
        <v>-14616</v>
      </c>
      <c r="BK150">
        <v>0</v>
      </c>
      <c r="BL150">
        <v>3819103947</v>
      </c>
      <c r="BM150">
        <v>0</v>
      </c>
      <c r="BN150">
        <v>11520</v>
      </c>
      <c r="BO150">
        <v>8774</v>
      </c>
      <c r="BP150">
        <v>0</v>
      </c>
      <c r="BQ150">
        <v>0</v>
      </c>
      <c r="BR150">
        <v>0.82200000000000006</v>
      </c>
      <c r="BS150">
        <v>0.82200000000000006</v>
      </c>
      <c r="BT150">
        <v>1096443</v>
      </c>
      <c r="BU150">
        <v>0</v>
      </c>
      <c r="BV150">
        <v>676</v>
      </c>
      <c r="BW150">
        <v>861</v>
      </c>
      <c r="BX150">
        <v>161</v>
      </c>
      <c r="BY150">
        <v>4</v>
      </c>
      <c r="BZ150">
        <v>25</v>
      </c>
      <c r="CA150">
        <v>1727</v>
      </c>
      <c r="CB150">
        <v>0</v>
      </c>
      <c r="CC150">
        <v>0</v>
      </c>
      <c r="CD150">
        <v>0</v>
      </c>
      <c r="CE150">
        <v>367</v>
      </c>
      <c r="CF150">
        <v>588.64499999999998</v>
      </c>
      <c r="CG150">
        <v>26.806000000000001</v>
      </c>
      <c r="CH150">
        <v>0</v>
      </c>
      <c r="CI150">
        <v>11</v>
      </c>
      <c r="CJ150">
        <v>18</v>
      </c>
      <c r="CK150">
        <v>1</v>
      </c>
      <c r="CL150">
        <v>26.806000000000001</v>
      </c>
      <c r="CM150">
        <v>278.55200000000002</v>
      </c>
      <c r="CN150">
        <v>0</v>
      </c>
      <c r="CO150">
        <v>0</v>
      </c>
      <c r="CP150">
        <v>0</v>
      </c>
      <c r="CQ150">
        <v>0</v>
      </c>
      <c r="CR150">
        <v>0</v>
      </c>
      <c r="CS150">
        <v>0</v>
      </c>
      <c r="CT150">
        <v>0</v>
      </c>
      <c r="CU150">
        <v>3.6420000000000003</v>
      </c>
      <c r="CV150">
        <v>123.87100000000001</v>
      </c>
      <c r="CW150">
        <v>107.599</v>
      </c>
      <c r="CX150">
        <v>1096443</v>
      </c>
      <c r="CY150" s="2043">
        <v>0</v>
      </c>
      <c r="CZ150" s="2043">
        <v>0</v>
      </c>
      <c r="DA150" s="2043">
        <v>0</v>
      </c>
      <c r="DB150" s="2043">
        <v>0</v>
      </c>
      <c r="DC150" s="2043">
        <v>602225</v>
      </c>
      <c r="DI150" t="s">
        <v>2909</v>
      </c>
      <c r="DJ150" t="s">
        <v>2909</v>
      </c>
      <c r="DK150" s="2042">
        <f t="shared" si="4"/>
        <v>0</v>
      </c>
    </row>
    <row r="151" spans="1:115">
      <c r="A151" t="s">
        <v>3582</v>
      </c>
      <c r="B151" t="s">
        <v>331</v>
      </c>
      <c r="C151">
        <v>3705.654</v>
      </c>
      <c r="D151">
        <v>4055.1950000000002</v>
      </c>
      <c r="E151">
        <v>556.71300000000008</v>
      </c>
      <c r="F151">
        <v>0</v>
      </c>
      <c r="G151" s="2043">
        <v>5031258040</v>
      </c>
      <c r="H151">
        <v>0</v>
      </c>
      <c r="I151" s="2043">
        <v>9250325</v>
      </c>
      <c r="J151">
        <v>185.28300000000002</v>
      </c>
      <c r="K151">
        <v>507</v>
      </c>
      <c r="L151">
        <v>0</v>
      </c>
      <c r="M151">
        <v>0</v>
      </c>
      <c r="N151">
        <v>0</v>
      </c>
      <c r="O151">
        <v>0</v>
      </c>
      <c r="P151">
        <v>0</v>
      </c>
      <c r="Q151">
        <v>0</v>
      </c>
      <c r="R151" s="2043">
        <v>42457114</v>
      </c>
      <c r="S151">
        <v>2674266</v>
      </c>
      <c r="T151">
        <v>0</v>
      </c>
      <c r="U151">
        <v>0.05</v>
      </c>
      <c r="V151">
        <v>0</v>
      </c>
      <c r="W151">
        <v>10137769</v>
      </c>
      <c r="X151">
        <v>0</v>
      </c>
      <c r="Y151">
        <v>0</v>
      </c>
      <c r="Z151">
        <v>0</v>
      </c>
      <c r="AA151">
        <v>0.159</v>
      </c>
      <c r="AB151">
        <v>3869.1930000000002</v>
      </c>
      <c r="AC151" s="2043">
        <v>4158605775</v>
      </c>
      <c r="AD151">
        <v>10776903</v>
      </c>
      <c r="AE151" s="2043">
        <v>45131380</v>
      </c>
      <c r="AF151">
        <v>0.89950000000000008</v>
      </c>
      <c r="AG151">
        <v>0</v>
      </c>
      <c r="AH151">
        <v>10137769</v>
      </c>
      <c r="AI151">
        <v>0</v>
      </c>
      <c r="AJ151">
        <v>659.71300000000008</v>
      </c>
      <c r="AK151">
        <v>16001</v>
      </c>
      <c r="AL151">
        <v>0.316</v>
      </c>
      <c r="AM151">
        <v>0</v>
      </c>
      <c r="AN151">
        <v>177.61100000000002</v>
      </c>
      <c r="AO151">
        <v>0</v>
      </c>
      <c r="AP151">
        <v>0</v>
      </c>
      <c r="AQ151">
        <v>0</v>
      </c>
      <c r="AR151">
        <v>102.828</v>
      </c>
      <c r="AS151">
        <v>0</v>
      </c>
      <c r="AT151">
        <v>25.682000000000002</v>
      </c>
      <c r="AU151">
        <v>9.1310000000000002</v>
      </c>
      <c r="AV151">
        <v>0</v>
      </c>
      <c r="AW151">
        <v>154.96200000000002</v>
      </c>
      <c r="AX151">
        <v>17.005000000000003</v>
      </c>
      <c r="AY151">
        <v>471.87700000000001</v>
      </c>
      <c r="AZ151">
        <v>0</v>
      </c>
      <c r="BA151">
        <v>2350179</v>
      </c>
      <c r="BB151">
        <v>55908283</v>
      </c>
      <c r="BC151">
        <v>0</v>
      </c>
      <c r="BD151">
        <v>325118</v>
      </c>
      <c r="BE151">
        <v>132056</v>
      </c>
      <c r="BF151">
        <v>457174</v>
      </c>
      <c r="BG151">
        <v>325118</v>
      </c>
      <c r="BH151">
        <v>0</v>
      </c>
      <c r="BI151">
        <v>0</v>
      </c>
      <c r="BJ151">
        <v>0</v>
      </c>
      <c r="BK151">
        <v>0</v>
      </c>
      <c r="BL151">
        <v>5031258040</v>
      </c>
      <c r="BM151">
        <v>0</v>
      </c>
      <c r="BN151">
        <v>14337</v>
      </c>
      <c r="BO151">
        <v>7554</v>
      </c>
      <c r="BP151">
        <v>0</v>
      </c>
      <c r="BQ151">
        <v>0</v>
      </c>
      <c r="BR151">
        <v>0.84620000000000006</v>
      </c>
      <c r="BS151">
        <v>0.84620000000000006</v>
      </c>
      <c r="BT151">
        <v>0</v>
      </c>
      <c r="BU151">
        <v>0</v>
      </c>
      <c r="BV151">
        <v>627</v>
      </c>
      <c r="BW151">
        <v>890</v>
      </c>
      <c r="BX151">
        <v>596</v>
      </c>
      <c r="BY151">
        <v>209</v>
      </c>
      <c r="BZ151">
        <v>376</v>
      </c>
      <c r="CA151">
        <v>2698</v>
      </c>
      <c r="CB151">
        <v>0</v>
      </c>
      <c r="CC151">
        <v>272.14800000000002</v>
      </c>
      <c r="CD151">
        <v>0</v>
      </c>
      <c r="CE151">
        <v>262</v>
      </c>
      <c r="CF151">
        <v>1062.8150000000001</v>
      </c>
      <c r="CG151">
        <v>27.843</v>
      </c>
      <c r="CH151">
        <v>0</v>
      </c>
      <c r="CI151">
        <v>10</v>
      </c>
      <c r="CJ151">
        <v>28</v>
      </c>
      <c r="CK151">
        <v>1</v>
      </c>
      <c r="CL151">
        <v>27.843</v>
      </c>
      <c r="CM151">
        <v>556.71300000000008</v>
      </c>
      <c r="CN151">
        <v>0</v>
      </c>
      <c r="CO151">
        <v>0</v>
      </c>
      <c r="CP151">
        <v>0</v>
      </c>
      <c r="CQ151">
        <v>0</v>
      </c>
      <c r="CR151">
        <v>0</v>
      </c>
      <c r="CS151">
        <v>0</v>
      </c>
      <c r="CT151">
        <v>0</v>
      </c>
      <c r="CU151">
        <v>15.968</v>
      </c>
      <c r="CV151">
        <v>184.50300000000001</v>
      </c>
      <c r="CW151">
        <v>151.577</v>
      </c>
      <c r="CX151">
        <v>0</v>
      </c>
      <c r="CY151" s="2043">
        <v>0</v>
      </c>
      <c r="CZ151" s="2043">
        <v>0</v>
      </c>
      <c r="DA151" s="2043">
        <v>0</v>
      </c>
      <c r="DB151" s="2043">
        <v>0</v>
      </c>
      <c r="DC151" s="2043">
        <v>801500</v>
      </c>
      <c r="DI151" t="s">
        <v>3582</v>
      </c>
      <c r="DJ151" t="s">
        <v>3582</v>
      </c>
      <c r="DK151" s="2042">
        <f t="shared" si="4"/>
        <v>0</v>
      </c>
    </row>
    <row r="152" spans="1:115">
      <c r="A152" t="s">
        <v>2910</v>
      </c>
      <c r="B152" t="s">
        <v>431</v>
      </c>
      <c r="C152">
        <v>5558.3760000000002</v>
      </c>
      <c r="D152">
        <v>5779.18</v>
      </c>
      <c r="E152">
        <v>1498.5840000000001</v>
      </c>
      <c r="F152">
        <v>0</v>
      </c>
      <c r="G152" s="2043">
        <v>2127212973</v>
      </c>
      <c r="H152">
        <v>0</v>
      </c>
      <c r="I152" s="2043">
        <v>4490295</v>
      </c>
      <c r="J152">
        <v>277.91900000000004</v>
      </c>
      <c r="K152">
        <v>760</v>
      </c>
      <c r="L152">
        <v>0</v>
      </c>
      <c r="M152">
        <v>1866521</v>
      </c>
      <c r="N152">
        <v>0</v>
      </c>
      <c r="O152">
        <v>1866521</v>
      </c>
      <c r="P152">
        <v>0</v>
      </c>
      <c r="Q152">
        <v>0</v>
      </c>
      <c r="R152" s="2043">
        <v>17501709</v>
      </c>
      <c r="S152">
        <v>1064581</v>
      </c>
      <c r="T152">
        <v>0</v>
      </c>
      <c r="U152">
        <v>0.05</v>
      </c>
      <c r="V152">
        <v>0</v>
      </c>
      <c r="W152">
        <v>0</v>
      </c>
      <c r="X152">
        <v>0</v>
      </c>
      <c r="Y152">
        <v>-18025</v>
      </c>
      <c r="Z152">
        <v>0</v>
      </c>
      <c r="AA152">
        <v>0.47100000000000003</v>
      </c>
      <c r="AB152">
        <v>5366.18</v>
      </c>
      <c r="AC152" s="2043">
        <v>1444776240</v>
      </c>
      <c r="AD152">
        <v>5476241</v>
      </c>
      <c r="AE152" s="2043">
        <v>18566290</v>
      </c>
      <c r="AF152">
        <v>0.872</v>
      </c>
      <c r="AG152">
        <v>0</v>
      </c>
      <c r="AH152">
        <v>0</v>
      </c>
      <c r="AI152">
        <v>0</v>
      </c>
      <c r="AJ152">
        <v>1172.6500000000001</v>
      </c>
      <c r="AK152">
        <v>17676</v>
      </c>
      <c r="AL152">
        <v>0.20900000000000002</v>
      </c>
      <c r="AM152">
        <v>0</v>
      </c>
      <c r="AN152">
        <v>197.85400000000001</v>
      </c>
      <c r="AO152">
        <v>1</v>
      </c>
      <c r="AP152">
        <v>0.51300000000000001</v>
      </c>
      <c r="AQ152">
        <v>0</v>
      </c>
      <c r="AR152">
        <v>124.351</v>
      </c>
      <c r="AS152">
        <v>0</v>
      </c>
      <c r="AT152">
        <v>36.759</v>
      </c>
      <c r="AU152">
        <v>12.742000000000001</v>
      </c>
      <c r="AV152">
        <v>0</v>
      </c>
      <c r="AW152">
        <v>174.57400000000001</v>
      </c>
      <c r="AX152">
        <v>0</v>
      </c>
      <c r="AY152">
        <v>549.47</v>
      </c>
      <c r="AZ152">
        <v>0</v>
      </c>
      <c r="BA152">
        <v>36056822</v>
      </c>
      <c r="BB152">
        <v>24042531</v>
      </c>
      <c r="BC152">
        <v>0</v>
      </c>
      <c r="BD152">
        <v>611078</v>
      </c>
      <c r="BE152">
        <v>278744</v>
      </c>
      <c r="BF152">
        <v>889822</v>
      </c>
      <c r="BG152">
        <v>611078</v>
      </c>
      <c r="BH152">
        <v>0</v>
      </c>
      <c r="BI152">
        <v>0</v>
      </c>
      <c r="BJ152">
        <v>-18025</v>
      </c>
      <c r="BK152">
        <v>0</v>
      </c>
      <c r="BL152">
        <v>2127212973</v>
      </c>
      <c r="BM152">
        <v>0</v>
      </c>
      <c r="BN152">
        <v>21645</v>
      </c>
      <c r="BO152">
        <v>11182</v>
      </c>
      <c r="BP152">
        <v>0</v>
      </c>
      <c r="BQ152">
        <v>0</v>
      </c>
      <c r="BR152">
        <v>0.82200000000000006</v>
      </c>
      <c r="BS152">
        <v>0.82200000000000006</v>
      </c>
      <c r="BT152">
        <v>0</v>
      </c>
      <c r="BU152">
        <v>0</v>
      </c>
      <c r="BV152">
        <v>25</v>
      </c>
      <c r="BW152">
        <v>1479</v>
      </c>
      <c r="BX152">
        <v>2727</v>
      </c>
      <c r="BY152">
        <v>433</v>
      </c>
      <c r="BZ152">
        <v>74</v>
      </c>
      <c r="CA152">
        <v>4738</v>
      </c>
      <c r="CB152">
        <v>0</v>
      </c>
      <c r="CC152">
        <v>298.56100000000004</v>
      </c>
      <c r="CD152">
        <v>0</v>
      </c>
      <c r="CE152">
        <v>277</v>
      </c>
      <c r="CF152">
        <v>1861.5</v>
      </c>
      <c r="CG152">
        <v>36.033000000000001</v>
      </c>
      <c r="CH152">
        <v>0</v>
      </c>
      <c r="CI152">
        <v>2</v>
      </c>
      <c r="CJ152">
        <v>1</v>
      </c>
      <c r="CK152">
        <v>0</v>
      </c>
      <c r="CL152">
        <v>36.033000000000001</v>
      </c>
      <c r="CM152">
        <v>1498.5840000000001</v>
      </c>
      <c r="CN152">
        <v>0</v>
      </c>
      <c r="CO152">
        <v>0</v>
      </c>
      <c r="CP152">
        <v>0</v>
      </c>
      <c r="CQ152">
        <v>0</v>
      </c>
      <c r="CR152">
        <v>0</v>
      </c>
      <c r="CS152">
        <v>0</v>
      </c>
      <c r="CT152">
        <v>0</v>
      </c>
      <c r="CU152">
        <v>0</v>
      </c>
      <c r="CV152">
        <v>303.57</v>
      </c>
      <c r="CW152">
        <v>170.34399999999999</v>
      </c>
      <c r="CX152">
        <v>0</v>
      </c>
      <c r="CY152" s="2043">
        <v>0</v>
      </c>
      <c r="CZ152" s="2043">
        <v>0</v>
      </c>
      <c r="DA152" s="2043">
        <v>0</v>
      </c>
      <c r="DB152" s="2043">
        <v>0</v>
      </c>
      <c r="DC152" s="2043">
        <v>0</v>
      </c>
      <c r="DI152" t="s">
        <v>2910</v>
      </c>
      <c r="DJ152" t="s">
        <v>2910</v>
      </c>
      <c r="DK152" s="2042">
        <f t="shared" si="4"/>
        <v>0</v>
      </c>
    </row>
    <row r="153" spans="1:115">
      <c r="A153" t="s">
        <v>2911</v>
      </c>
      <c r="B153" t="s">
        <v>1084</v>
      </c>
      <c r="C153">
        <v>1290.69</v>
      </c>
      <c r="D153">
        <v>1245.454</v>
      </c>
      <c r="E153">
        <v>182.26500000000001</v>
      </c>
      <c r="F153">
        <v>0</v>
      </c>
      <c r="G153" s="2043">
        <v>584268928</v>
      </c>
      <c r="H153">
        <v>0</v>
      </c>
      <c r="I153" s="2043">
        <v>1799325</v>
      </c>
      <c r="J153">
        <v>64.534999999999997</v>
      </c>
      <c r="K153">
        <v>176</v>
      </c>
      <c r="L153">
        <v>0</v>
      </c>
      <c r="M153">
        <v>334000</v>
      </c>
      <c r="N153">
        <v>0</v>
      </c>
      <c r="O153">
        <v>334000</v>
      </c>
      <c r="P153">
        <v>0</v>
      </c>
      <c r="Q153">
        <v>0</v>
      </c>
      <c r="R153" s="2043">
        <v>5135116</v>
      </c>
      <c r="S153">
        <v>292166</v>
      </c>
      <c r="T153">
        <v>0</v>
      </c>
      <c r="U153">
        <v>0.05</v>
      </c>
      <c r="V153">
        <v>0</v>
      </c>
      <c r="W153">
        <v>0</v>
      </c>
      <c r="X153">
        <v>0</v>
      </c>
      <c r="Y153">
        <v>30707</v>
      </c>
      <c r="Z153">
        <v>0</v>
      </c>
      <c r="AA153">
        <v>0</v>
      </c>
      <c r="AB153">
        <v>1245.454</v>
      </c>
      <c r="AC153" s="2043">
        <v>497715716</v>
      </c>
      <c r="AD153">
        <v>1863391</v>
      </c>
      <c r="AE153" s="2043">
        <v>5427282</v>
      </c>
      <c r="AF153">
        <v>0.92880000000000007</v>
      </c>
      <c r="AG153">
        <v>0</v>
      </c>
      <c r="AH153">
        <v>0</v>
      </c>
      <c r="AI153">
        <v>0</v>
      </c>
      <c r="AJ153">
        <v>241.25</v>
      </c>
      <c r="AK153">
        <v>4785</v>
      </c>
      <c r="AL153">
        <v>0.108</v>
      </c>
      <c r="AM153">
        <v>0</v>
      </c>
      <c r="AN153">
        <v>91.003</v>
      </c>
      <c r="AO153">
        <v>1</v>
      </c>
      <c r="AP153">
        <v>0</v>
      </c>
      <c r="AQ153">
        <v>0</v>
      </c>
      <c r="AR153">
        <v>15.316000000000001</v>
      </c>
      <c r="AS153">
        <v>0</v>
      </c>
      <c r="AT153">
        <v>2.99</v>
      </c>
      <c r="AU153">
        <v>3.6680000000000001</v>
      </c>
      <c r="AV153">
        <v>0</v>
      </c>
      <c r="AW153">
        <v>22.082000000000001</v>
      </c>
      <c r="AX153">
        <v>0</v>
      </c>
      <c r="AY153">
        <v>73.798000000000002</v>
      </c>
      <c r="AZ153">
        <v>0</v>
      </c>
      <c r="BA153">
        <v>8301974</v>
      </c>
      <c r="BB153">
        <v>7290673</v>
      </c>
      <c r="BC153">
        <v>0</v>
      </c>
      <c r="BD153">
        <v>60946</v>
      </c>
      <c r="BE153">
        <v>0</v>
      </c>
      <c r="BF153">
        <v>60946</v>
      </c>
      <c r="BG153">
        <v>60946</v>
      </c>
      <c r="BH153">
        <v>0</v>
      </c>
      <c r="BI153">
        <v>0</v>
      </c>
      <c r="BJ153">
        <v>0</v>
      </c>
      <c r="BK153">
        <v>0</v>
      </c>
      <c r="BL153">
        <v>584268928</v>
      </c>
      <c r="BM153">
        <v>0</v>
      </c>
      <c r="BN153">
        <v>4410</v>
      </c>
      <c r="BO153">
        <v>2600</v>
      </c>
      <c r="BP153">
        <v>0</v>
      </c>
      <c r="BQ153">
        <v>0</v>
      </c>
      <c r="BR153">
        <v>0.87880000000000003</v>
      </c>
      <c r="BS153">
        <v>0.87880000000000003</v>
      </c>
      <c r="BT153">
        <v>0</v>
      </c>
      <c r="BU153">
        <v>0</v>
      </c>
      <c r="BV153">
        <v>829</v>
      </c>
      <c r="BW153">
        <v>42</v>
      </c>
      <c r="BX153">
        <v>113</v>
      </c>
      <c r="BY153">
        <v>0</v>
      </c>
      <c r="BZ153">
        <v>60</v>
      </c>
      <c r="CA153">
        <v>1044</v>
      </c>
      <c r="CB153">
        <v>0</v>
      </c>
      <c r="CC153">
        <v>0</v>
      </c>
      <c r="CD153">
        <v>0</v>
      </c>
      <c r="CE153">
        <v>55</v>
      </c>
      <c r="CF153">
        <v>329.21199999999999</v>
      </c>
      <c r="CG153">
        <v>0</v>
      </c>
      <c r="CH153">
        <v>0</v>
      </c>
      <c r="CI153">
        <v>0</v>
      </c>
      <c r="CJ153">
        <v>4</v>
      </c>
      <c r="CK153">
        <v>0</v>
      </c>
      <c r="CL153">
        <v>0</v>
      </c>
      <c r="CM153">
        <v>182.26500000000001</v>
      </c>
      <c r="CN153">
        <v>0</v>
      </c>
      <c r="CO153">
        <v>0</v>
      </c>
      <c r="CP153">
        <v>0</v>
      </c>
      <c r="CQ153">
        <v>0</v>
      </c>
      <c r="CR153">
        <v>0</v>
      </c>
      <c r="CS153">
        <v>0</v>
      </c>
      <c r="CT153">
        <v>0</v>
      </c>
      <c r="CU153">
        <v>0</v>
      </c>
      <c r="CV153">
        <v>57.053000000000004</v>
      </c>
      <c r="CW153">
        <v>43.633000000000003</v>
      </c>
      <c r="CX153">
        <v>0</v>
      </c>
      <c r="CY153" s="2043">
        <v>30707</v>
      </c>
      <c r="CZ153" s="2043">
        <v>0</v>
      </c>
      <c r="DA153" s="2043">
        <v>0</v>
      </c>
      <c r="DB153" s="2043">
        <v>0</v>
      </c>
      <c r="DC153" s="2043">
        <v>0</v>
      </c>
      <c r="DI153" t="s">
        <v>2911</v>
      </c>
      <c r="DJ153" t="s">
        <v>2911</v>
      </c>
      <c r="DK153" s="2042">
        <f t="shared" si="4"/>
        <v>0</v>
      </c>
    </row>
    <row r="154" spans="1:115">
      <c r="A154" t="s">
        <v>5761</v>
      </c>
      <c r="B154" t="s">
        <v>2181</v>
      </c>
      <c r="C154">
        <v>209.74900000000002</v>
      </c>
      <c r="D154">
        <v>196.28100000000001</v>
      </c>
      <c r="E154">
        <v>28.62</v>
      </c>
      <c r="F154">
        <v>0</v>
      </c>
      <c r="G154" s="2043">
        <v>146966868</v>
      </c>
      <c r="H154">
        <v>0</v>
      </c>
      <c r="I154" s="2043">
        <v>0</v>
      </c>
      <c r="J154">
        <v>10</v>
      </c>
      <c r="K154">
        <v>27</v>
      </c>
      <c r="L154">
        <v>0</v>
      </c>
      <c r="M154">
        <v>0</v>
      </c>
      <c r="N154">
        <v>0</v>
      </c>
      <c r="O154">
        <v>0</v>
      </c>
      <c r="P154">
        <v>0</v>
      </c>
      <c r="Q154">
        <v>0</v>
      </c>
      <c r="R154" s="2043">
        <v>1316621</v>
      </c>
      <c r="S154">
        <v>72073</v>
      </c>
      <c r="T154">
        <v>0</v>
      </c>
      <c r="U154">
        <v>0.05</v>
      </c>
      <c r="V154">
        <v>0</v>
      </c>
      <c r="W154">
        <v>0</v>
      </c>
      <c r="X154">
        <v>0</v>
      </c>
      <c r="Y154">
        <v>0</v>
      </c>
      <c r="Z154">
        <v>0</v>
      </c>
      <c r="AA154">
        <v>0</v>
      </c>
      <c r="AB154">
        <v>196.28100000000001</v>
      </c>
      <c r="AC154" s="2043">
        <v>160148618</v>
      </c>
      <c r="AD154">
        <v>392980</v>
      </c>
      <c r="AE154" s="2043">
        <v>1388694</v>
      </c>
      <c r="AF154">
        <v>0.96340000000000003</v>
      </c>
      <c r="AG154">
        <v>0</v>
      </c>
      <c r="AH154">
        <v>0</v>
      </c>
      <c r="AI154">
        <v>0</v>
      </c>
      <c r="AJ154">
        <v>44.013000000000005</v>
      </c>
      <c r="AK154">
        <v>1159</v>
      </c>
      <c r="AL154">
        <v>0</v>
      </c>
      <c r="AM154">
        <v>0</v>
      </c>
      <c r="AN154">
        <v>4.4190000000000005</v>
      </c>
      <c r="AO154">
        <v>0</v>
      </c>
      <c r="AP154">
        <v>0</v>
      </c>
      <c r="AQ154">
        <v>0</v>
      </c>
      <c r="AR154">
        <v>7.71</v>
      </c>
      <c r="AS154">
        <v>0</v>
      </c>
      <c r="AT154">
        <v>1.032</v>
      </c>
      <c r="AU154">
        <v>0.27600000000000002</v>
      </c>
      <c r="AV154">
        <v>0</v>
      </c>
      <c r="AW154">
        <v>9.0180000000000007</v>
      </c>
      <c r="AX154">
        <v>0</v>
      </c>
      <c r="AY154">
        <v>27.606000000000002</v>
      </c>
      <c r="AZ154">
        <v>0</v>
      </c>
      <c r="BA154">
        <v>1463632</v>
      </c>
      <c r="BB154">
        <v>1781674</v>
      </c>
      <c r="BC154">
        <v>0</v>
      </c>
      <c r="BD154">
        <v>11033</v>
      </c>
      <c r="BE154">
        <v>0</v>
      </c>
      <c r="BF154">
        <v>11033</v>
      </c>
      <c r="BG154">
        <v>11033</v>
      </c>
      <c r="BH154">
        <v>0</v>
      </c>
      <c r="BI154">
        <v>0</v>
      </c>
      <c r="BJ154">
        <v>0</v>
      </c>
      <c r="BK154">
        <v>0</v>
      </c>
      <c r="BL154">
        <v>146966868</v>
      </c>
      <c r="BM154">
        <v>0</v>
      </c>
      <c r="BN154">
        <v>918</v>
      </c>
      <c r="BO154">
        <v>321</v>
      </c>
      <c r="BP154">
        <v>0</v>
      </c>
      <c r="BQ154">
        <v>0</v>
      </c>
      <c r="BR154">
        <v>0.91339999999999999</v>
      </c>
      <c r="BS154">
        <v>0.91339999999999999</v>
      </c>
      <c r="BT154">
        <v>0</v>
      </c>
      <c r="BU154">
        <v>0</v>
      </c>
      <c r="BV154">
        <v>76</v>
      </c>
      <c r="BW154">
        <v>9</v>
      </c>
      <c r="BX154">
        <v>98</v>
      </c>
      <c r="BY154">
        <v>0</v>
      </c>
      <c r="BZ154">
        <v>1</v>
      </c>
      <c r="CA154">
        <v>184</v>
      </c>
      <c r="CB154">
        <v>0</v>
      </c>
      <c r="CC154">
        <v>0</v>
      </c>
      <c r="CD154">
        <v>0</v>
      </c>
      <c r="CE154">
        <v>6</v>
      </c>
      <c r="CF154">
        <v>57.278000000000006</v>
      </c>
      <c r="CG154">
        <v>0</v>
      </c>
      <c r="CH154">
        <v>0</v>
      </c>
      <c r="CI154">
        <v>2</v>
      </c>
      <c r="CJ154">
        <v>1</v>
      </c>
      <c r="CK154">
        <v>0</v>
      </c>
      <c r="CL154">
        <v>0</v>
      </c>
      <c r="CM154">
        <v>28.62</v>
      </c>
      <c r="CN154">
        <v>0</v>
      </c>
      <c r="CO154">
        <v>0</v>
      </c>
      <c r="CP154">
        <v>0</v>
      </c>
      <c r="CQ154">
        <v>0</v>
      </c>
      <c r="CR154">
        <v>0</v>
      </c>
      <c r="CS154">
        <v>0</v>
      </c>
      <c r="CT154">
        <v>0</v>
      </c>
      <c r="CU154">
        <v>0</v>
      </c>
      <c r="CV154">
        <v>7.6390000000000002</v>
      </c>
      <c r="CW154">
        <v>6.1020000000000003</v>
      </c>
      <c r="CX154">
        <v>0</v>
      </c>
      <c r="CY154" s="2043">
        <v>0</v>
      </c>
      <c r="CZ154" s="2043">
        <v>0</v>
      </c>
      <c r="DA154" s="2043">
        <v>0</v>
      </c>
      <c r="DB154" s="2043">
        <v>0</v>
      </c>
      <c r="DC154" s="2043">
        <v>0</v>
      </c>
      <c r="DI154" t="s">
        <v>5761</v>
      </c>
      <c r="DJ154" t="s">
        <v>5761</v>
      </c>
      <c r="DK154" s="2042">
        <f t="shared" si="4"/>
        <v>0</v>
      </c>
    </row>
    <row r="155" spans="1:115">
      <c r="A155" t="s">
        <v>4953</v>
      </c>
      <c r="B155" t="s">
        <v>1283</v>
      </c>
      <c r="C155">
        <v>3262.2719999999999</v>
      </c>
      <c r="D155">
        <v>3450.8540000000003</v>
      </c>
      <c r="E155">
        <v>444.84300000000002</v>
      </c>
      <c r="F155">
        <v>100439</v>
      </c>
      <c r="G155" s="2043">
        <v>3849270967</v>
      </c>
      <c r="H155">
        <v>0</v>
      </c>
      <c r="I155" s="2043">
        <v>7991875</v>
      </c>
      <c r="J155">
        <v>163.114</v>
      </c>
      <c r="K155">
        <v>446</v>
      </c>
      <c r="L155">
        <v>0</v>
      </c>
      <c r="M155">
        <v>0</v>
      </c>
      <c r="N155">
        <v>0</v>
      </c>
      <c r="O155">
        <v>0</v>
      </c>
      <c r="P155">
        <v>0</v>
      </c>
      <c r="Q155">
        <v>0</v>
      </c>
      <c r="R155" s="2043">
        <v>33595396</v>
      </c>
      <c r="S155">
        <v>1850374</v>
      </c>
      <c r="T155">
        <v>0</v>
      </c>
      <c r="U155">
        <v>0.05</v>
      </c>
      <c r="V155">
        <v>0</v>
      </c>
      <c r="W155">
        <v>6345810</v>
      </c>
      <c r="X155">
        <v>0</v>
      </c>
      <c r="Y155">
        <v>1021808</v>
      </c>
      <c r="Z155">
        <v>2.9260000000000002</v>
      </c>
      <c r="AA155">
        <v>1.1000000000000001E-2</v>
      </c>
      <c r="AB155">
        <v>3250.6060000000002</v>
      </c>
      <c r="AC155" s="2043">
        <v>3648018411</v>
      </c>
      <c r="AD155">
        <v>7133124</v>
      </c>
      <c r="AE155" s="2043">
        <v>35445770</v>
      </c>
      <c r="AF155">
        <v>0.9578000000000001</v>
      </c>
      <c r="AG155">
        <v>0</v>
      </c>
      <c r="AH155">
        <v>6345810</v>
      </c>
      <c r="AI155">
        <v>0</v>
      </c>
      <c r="AJ155">
        <v>561.27499999999998</v>
      </c>
      <c r="AK155">
        <v>10143</v>
      </c>
      <c r="AL155">
        <v>0.51500000000000001</v>
      </c>
      <c r="AM155">
        <v>0</v>
      </c>
      <c r="AN155">
        <v>89.442000000000007</v>
      </c>
      <c r="AO155">
        <v>0</v>
      </c>
      <c r="AP155">
        <v>0</v>
      </c>
      <c r="AQ155">
        <v>0</v>
      </c>
      <c r="AR155">
        <v>69.265000000000001</v>
      </c>
      <c r="AS155">
        <v>0</v>
      </c>
      <c r="AT155">
        <v>26.845000000000002</v>
      </c>
      <c r="AU155">
        <v>5.5470000000000006</v>
      </c>
      <c r="AV155">
        <v>0</v>
      </c>
      <c r="AW155">
        <v>103.851</v>
      </c>
      <c r="AX155">
        <v>1.679</v>
      </c>
      <c r="AY155">
        <v>322.50200000000001</v>
      </c>
      <c r="AZ155">
        <v>0</v>
      </c>
      <c r="BA155">
        <v>3172760</v>
      </c>
      <c r="BB155">
        <v>42578894</v>
      </c>
      <c r="BC155">
        <v>0</v>
      </c>
      <c r="BD155">
        <v>286032</v>
      </c>
      <c r="BE155">
        <v>100932</v>
      </c>
      <c r="BF155">
        <v>478960</v>
      </c>
      <c r="BG155">
        <v>286032</v>
      </c>
      <c r="BH155">
        <v>91996</v>
      </c>
      <c r="BI155">
        <v>0</v>
      </c>
      <c r="BJ155">
        <v>0</v>
      </c>
      <c r="BK155">
        <v>0</v>
      </c>
      <c r="BL155">
        <v>3849270967</v>
      </c>
      <c r="BM155">
        <v>0</v>
      </c>
      <c r="BN155">
        <v>11160</v>
      </c>
      <c r="BO155">
        <v>9395</v>
      </c>
      <c r="BP155">
        <v>6481</v>
      </c>
      <c r="BQ155">
        <v>0</v>
      </c>
      <c r="BR155">
        <v>0.90780000000000005</v>
      </c>
      <c r="BS155">
        <v>0.90780000000000005</v>
      </c>
      <c r="BT155">
        <v>921369</v>
      </c>
      <c r="BU155">
        <v>0</v>
      </c>
      <c r="BV155">
        <v>478</v>
      </c>
      <c r="BW155">
        <v>545</v>
      </c>
      <c r="BX155">
        <v>791</v>
      </c>
      <c r="BY155">
        <v>195</v>
      </c>
      <c r="BZ155">
        <v>274</v>
      </c>
      <c r="CA155">
        <v>2283</v>
      </c>
      <c r="CB155">
        <v>0</v>
      </c>
      <c r="CC155">
        <v>0.182</v>
      </c>
      <c r="CD155">
        <v>0</v>
      </c>
      <c r="CE155">
        <v>122</v>
      </c>
      <c r="CF155">
        <v>873.45400000000006</v>
      </c>
      <c r="CG155">
        <v>21.708000000000002</v>
      </c>
      <c r="CH155">
        <v>0</v>
      </c>
      <c r="CI155">
        <v>9</v>
      </c>
      <c r="CJ155">
        <v>0</v>
      </c>
      <c r="CK155">
        <v>0</v>
      </c>
      <c r="CL155">
        <v>21.708000000000002</v>
      </c>
      <c r="CM155">
        <v>444.84300000000002</v>
      </c>
      <c r="CN155">
        <v>0</v>
      </c>
      <c r="CO155">
        <v>0</v>
      </c>
      <c r="CP155">
        <v>6481</v>
      </c>
      <c r="CQ155">
        <v>0</v>
      </c>
      <c r="CR155">
        <v>0</v>
      </c>
      <c r="CS155">
        <v>0</v>
      </c>
      <c r="CT155">
        <v>0</v>
      </c>
      <c r="CU155">
        <v>22.958000000000002</v>
      </c>
      <c r="CV155">
        <v>140.304</v>
      </c>
      <c r="CW155">
        <v>113.223</v>
      </c>
      <c r="CX155">
        <v>921369</v>
      </c>
      <c r="CY155" s="2043">
        <v>0</v>
      </c>
      <c r="CZ155" s="2043">
        <v>0</v>
      </c>
      <c r="DA155" s="2043">
        <v>0</v>
      </c>
      <c r="DB155" s="2043">
        <v>100439</v>
      </c>
      <c r="DC155" s="2043">
        <v>863760</v>
      </c>
      <c r="DI155" t="s">
        <v>4953</v>
      </c>
      <c r="DJ155" t="s">
        <v>4953</v>
      </c>
      <c r="DK155" s="2042">
        <f t="shared" si="4"/>
        <v>0</v>
      </c>
    </row>
    <row r="156" spans="1:115">
      <c r="A156" t="s">
        <v>5762</v>
      </c>
      <c r="B156" t="s">
        <v>2216</v>
      </c>
      <c r="C156">
        <v>343.16</v>
      </c>
      <c r="D156">
        <v>336.89600000000002</v>
      </c>
      <c r="E156">
        <v>8.2690000000000001</v>
      </c>
      <c r="F156">
        <v>0</v>
      </c>
      <c r="G156" s="2043">
        <v>192055575</v>
      </c>
      <c r="H156">
        <v>0</v>
      </c>
      <c r="I156" s="2043">
        <v>0</v>
      </c>
      <c r="J156">
        <v>17.158000000000001</v>
      </c>
      <c r="K156">
        <v>47</v>
      </c>
      <c r="L156">
        <v>0</v>
      </c>
      <c r="M156">
        <v>0</v>
      </c>
      <c r="N156">
        <v>0</v>
      </c>
      <c r="O156">
        <v>0</v>
      </c>
      <c r="P156">
        <v>0</v>
      </c>
      <c r="Q156">
        <v>0</v>
      </c>
      <c r="R156" s="2043">
        <v>1603329</v>
      </c>
      <c r="S156">
        <v>151365</v>
      </c>
      <c r="T156">
        <v>110306</v>
      </c>
      <c r="U156">
        <v>0.08</v>
      </c>
      <c r="V156">
        <v>0</v>
      </c>
      <c r="W156">
        <v>0</v>
      </c>
      <c r="X156">
        <v>0</v>
      </c>
      <c r="Y156">
        <v>-5579</v>
      </c>
      <c r="Z156">
        <v>0</v>
      </c>
      <c r="AA156">
        <v>0</v>
      </c>
      <c r="AB156">
        <v>336.89600000000002</v>
      </c>
      <c r="AC156" s="2043">
        <v>156170120</v>
      </c>
      <c r="AD156">
        <v>0</v>
      </c>
      <c r="AE156" s="2043">
        <v>1865000</v>
      </c>
      <c r="AF156">
        <v>0.98570000000000002</v>
      </c>
      <c r="AG156">
        <v>0</v>
      </c>
      <c r="AH156">
        <v>0</v>
      </c>
      <c r="AI156">
        <v>0</v>
      </c>
      <c r="AJ156">
        <v>61.638000000000005</v>
      </c>
      <c r="AK156">
        <v>1524</v>
      </c>
      <c r="AL156">
        <v>0</v>
      </c>
      <c r="AM156">
        <v>0</v>
      </c>
      <c r="AN156">
        <v>21.536000000000001</v>
      </c>
      <c r="AO156">
        <v>0</v>
      </c>
      <c r="AP156">
        <v>0</v>
      </c>
      <c r="AQ156">
        <v>0</v>
      </c>
      <c r="AR156">
        <v>4.1029999999999998</v>
      </c>
      <c r="AS156">
        <v>0</v>
      </c>
      <c r="AT156">
        <v>1.012</v>
      </c>
      <c r="AU156">
        <v>0.82700000000000007</v>
      </c>
      <c r="AV156">
        <v>0</v>
      </c>
      <c r="AW156">
        <v>5.9420000000000002</v>
      </c>
      <c r="AX156">
        <v>0</v>
      </c>
      <c r="AY156">
        <v>19.48</v>
      </c>
      <c r="AZ156">
        <v>0</v>
      </c>
      <c r="BA156">
        <v>3043207</v>
      </c>
      <c r="BB156">
        <v>1865000</v>
      </c>
      <c r="BC156">
        <v>0</v>
      </c>
      <c r="BD156">
        <v>46908</v>
      </c>
      <c r="BE156">
        <v>0</v>
      </c>
      <c r="BF156">
        <v>46908</v>
      </c>
      <c r="BG156">
        <v>46908</v>
      </c>
      <c r="BH156">
        <v>0</v>
      </c>
      <c r="BI156">
        <v>-5579</v>
      </c>
      <c r="BJ156">
        <v>0</v>
      </c>
      <c r="BK156">
        <v>0</v>
      </c>
      <c r="BL156">
        <v>192055575</v>
      </c>
      <c r="BM156">
        <v>0</v>
      </c>
      <c r="BN156">
        <v>1152</v>
      </c>
      <c r="BO156">
        <v>867</v>
      </c>
      <c r="BP156">
        <v>0</v>
      </c>
      <c r="BQ156">
        <v>0</v>
      </c>
      <c r="BR156">
        <v>0.84740000000000004</v>
      </c>
      <c r="BS156">
        <v>0.84740000000000004</v>
      </c>
      <c r="BT156">
        <v>0</v>
      </c>
      <c r="BU156">
        <v>0</v>
      </c>
      <c r="BV156">
        <v>108</v>
      </c>
      <c r="BW156">
        <v>29</v>
      </c>
      <c r="BX156">
        <v>102</v>
      </c>
      <c r="BY156">
        <v>0</v>
      </c>
      <c r="BZ156">
        <v>18</v>
      </c>
      <c r="CA156">
        <v>257</v>
      </c>
      <c r="CB156">
        <v>0</v>
      </c>
      <c r="CC156">
        <v>0</v>
      </c>
      <c r="CD156">
        <v>0</v>
      </c>
      <c r="CE156">
        <v>32</v>
      </c>
      <c r="CF156">
        <v>80.871000000000009</v>
      </c>
      <c r="CG156">
        <v>0</v>
      </c>
      <c r="CH156">
        <v>0</v>
      </c>
      <c r="CI156">
        <v>0</v>
      </c>
      <c r="CJ156">
        <v>4</v>
      </c>
      <c r="CK156">
        <v>0</v>
      </c>
      <c r="CL156">
        <v>0</v>
      </c>
      <c r="CM156">
        <v>8.2690000000000001</v>
      </c>
      <c r="CN156">
        <v>0</v>
      </c>
      <c r="CO156">
        <v>0</v>
      </c>
      <c r="CP156">
        <v>0</v>
      </c>
      <c r="CQ156">
        <v>0</v>
      </c>
      <c r="CR156">
        <v>0</v>
      </c>
      <c r="CS156">
        <v>0</v>
      </c>
      <c r="CT156">
        <v>0</v>
      </c>
      <c r="CU156">
        <v>0</v>
      </c>
      <c r="CV156">
        <v>26.102</v>
      </c>
      <c r="CW156">
        <v>12.385</v>
      </c>
      <c r="CX156">
        <v>0</v>
      </c>
      <c r="CY156" s="2043">
        <v>0</v>
      </c>
      <c r="CZ156" s="2043">
        <v>0</v>
      </c>
      <c r="DA156" s="2043">
        <v>0</v>
      </c>
      <c r="DB156" s="2043">
        <v>0</v>
      </c>
      <c r="DC156" s="2043">
        <v>0</v>
      </c>
      <c r="DI156" t="s">
        <v>5762</v>
      </c>
      <c r="DJ156" t="s">
        <v>5762</v>
      </c>
      <c r="DK156" s="2042">
        <f t="shared" si="4"/>
        <v>0</v>
      </c>
    </row>
    <row r="157" spans="1:115">
      <c r="A157" t="s">
        <v>2912</v>
      </c>
      <c r="B157" t="s">
        <v>672</v>
      </c>
      <c r="C157">
        <v>1331.6970000000001</v>
      </c>
      <c r="D157">
        <v>1373.299</v>
      </c>
      <c r="E157">
        <v>9.0760000000000005</v>
      </c>
      <c r="F157">
        <v>0</v>
      </c>
      <c r="G157" s="2043">
        <v>531446196</v>
      </c>
      <c r="H157">
        <v>0</v>
      </c>
      <c r="I157" s="2043">
        <v>1574963</v>
      </c>
      <c r="J157">
        <v>66.585000000000008</v>
      </c>
      <c r="K157">
        <v>182</v>
      </c>
      <c r="L157">
        <v>0</v>
      </c>
      <c r="M157">
        <v>667993</v>
      </c>
      <c r="N157">
        <v>0</v>
      </c>
      <c r="O157">
        <v>667993</v>
      </c>
      <c r="P157">
        <v>0</v>
      </c>
      <c r="Q157">
        <v>0</v>
      </c>
      <c r="R157" s="2043">
        <v>4762102</v>
      </c>
      <c r="S157">
        <v>312816</v>
      </c>
      <c r="T157">
        <v>0</v>
      </c>
      <c r="U157">
        <v>0.06</v>
      </c>
      <c r="V157">
        <v>0</v>
      </c>
      <c r="W157">
        <v>0</v>
      </c>
      <c r="X157">
        <v>0</v>
      </c>
      <c r="Y157">
        <v>0</v>
      </c>
      <c r="Z157">
        <v>3.25</v>
      </c>
      <c r="AA157">
        <v>3.9E-2</v>
      </c>
      <c r="AB157">
        <v>1257.6990000000001</v>
      </c>
      <c r="AC157" s="2043">
        <v>548048331</v>
      </c>
      <c r="AD157">
        <v>1783269</v>
      </c>
      <c r="AE157" s="2043">
        <v>5074918</v>
      </c>
      <c r="AF157">
        <v>0.97340000000000004</v>
      </c>
      <c r="AG157">
        <v>0</v>
      </c>
      <c r="AH157">
        <v>0</v>
      </c>
      <c r="AI157">
        <v>0</v>
      </c>
      <c r="AJ157">
        <v>150.17500000000001</v>
      </c>
      <c r="AK157">
        <v>6158</v>
      </c>
      <c r="AL157">
        <v>0</v>
      </c>
      <c r="AM157">
        <v>0</v>
      </c>
      <c r="AN157">
        <v>40.767000000000003</v>
      </c>
      <c r="AO157">
        <v>0</v>
      </c>
      <c r="AP157">
        <v>0</v>
      </c>
      <c r="AQ157">
        <v>0</v>
      </c>
      <c r="AR157">
        <v>36.307000000000002</v>
      </c>
      <c r="AS157">
        <v>0</v>
      </c>
      <c r="AT157">
        <v>20.281000000000002</v>
      </c>
      <c r="AU157">
        <v>2.681</v>
      </c>
      <c r="AV157">
        <v>0</v>
      </c>
      <c r="AW157">
        <v>59.269000000000005</v>
      </c>
      <c r="AX157">
        <v>0</v>
      </c>
      <c r="AY157">
        <v>183.16900000000001</v>
      </c>
      <c r="AZ157">
        <v>0</v>
      </c>
      <c r="BA157">
        <v>8588594</v>
      </c>
      <c r="BB157">
        <v>6858187</v>
      </c>
      <c r="BC157">
        <v>0</v>
      </c>
      <c r="BD157">
        <v>71132</v>
      </c>
      <c r="BE157">
        <v>19318</v>
      </c>
      <c r="BF157">
        <v>90450</v>
      </c>
      <c r="BG157">
        <v>71132</v>
      </c>
      <c r="BH157">
        <v>0</v>
      </c>
      <c r="BI157">
        <v>0</v>
      </c>
      <c r="BJ157">
        <v>0</v>
      </c>
      <c r="BK157">
        <v>0</v>
      </c>
      <c r="BL157">
        <v>531446196</v>
      </c>
      <c r="BM157">
        <v>0</v>
      </c>
      <c r="BN157">
        <v>4635</v>
      </c>
      <c r="BO157">
        <v>2472</v>
      </c>
      <c r="BP157">
        <v>0</v>
      </c>
      <c r="BQ157">
        <v>0</v>
      </c>
      <c r="BR157">
        <v>0.91339999999999999</v>
      </c>
      <c r="BS157">
        <v>0.91339999999999999</v>
      </c>
      <c r="BT157">
        <v>0</v>
      </c>
      <c r="BU157">
        <v>0</v>
      </c>
      <c r="BV157">
        <v>105</v>
      </c>
      <c r="BW157">
        <v>374</v>
      </c>
      <c r="BX157">
        <v>129</v>
      </c>
      <c r="BY157">
        <v>2</v>
      </c>
      <c r="BZ157">
        <v>18</v>
      </c>
      <c r="CA157">
        <v>628</v>
      </c>
      <c r="CB157">
        <v>0</v>
      </c>
      <c r="CC157">
        <v>0</v>
      </c>
      <c r="CD157">
        <v>0</v>
      </c>
      <c r="CE157">
        <v>66</v>
      </c>
      <c r="CF157">
        <v>202.43900000000002</v>
      </c>
      <c r="CG157">
        <v>0</v>
      </c>
      <c r="CH157">
        <v>0</v>
      </c>
      <c r="CI157">
        <v>1</v>
      </c>
      <c r="CJ157">
        <v>11</v>
      </c>
      <c r="CK157">
        <v>1</v>
      </c>
      <c r="CL157">
        <v>0</v>
      </c>
      <c r="CM157">
        <v>9.0760000000000005</v>
      </c>
      <c r="CN157">
        <v>0</v>
      </c>
      <c r="CO157">
        <v>0</v>
      </c>
      <c r="CP157">
        <v>0</v>
      </c>
      <c r="CQ157">
        <v>0</v>
      </c>
      <c r="CR157">
        <v>0</v>
      </c>
      <c r="CS157">
        <v>0</v>
      </c>
      <c r="CT157">
        <v>0</v>
      </c>
      <c r="CU157">
        <v>0</v>
      </c>
      <c r="CV157">
        <v>78.387</v>
      </c>
      <c r="CW157">
        <v>48.893000000000001</v>
      </c>
      <c r="CX157">
        <v>0</v>
      </c>
      <c r="CY157" s="2043">
        <v>0</v>
      </c>
      <c r="CZ157" s="2043">
        <v>0</v>
      </c>
      <c r="DA157" s="2043">
        <v>0</v>
      </c>
      <c r="DB157" s="2043">
        <v>0</v>
      </c>
      <c r="DC157" s="2043">
        <v>0</v>
      </c>
      <c r="DI157" t="s">
        <v>2912</v>
      </c>
      <c r="DJ157" t="s">
        <v>2912</v>
      </c>
      <c r="DK157" s="2042">
        <f t="shared" si="4"/>
        <v>0</v>
      </c>
    </row>
    <row r="158" spans="1:115">
      <c r="A158" t="s">
        <v>2913</v>
      </c>
      <c r="B158" t="s">
        <v>139</v>
      </c>
      <c r="C158">
        <v>274.17500000000001</v>
      </c>
      <c r="D158">
        <v>256.64999999999998</v>
      </c>
      <c r="E158">
        <v>1.089</v>
      </c>
      <c r="F158">
        <v>0</v>
      </c>
      <c r="G158" s="2043">
        <v>282805522</v>
      </c>
      <c r="H158">
        <v>-3090</v>
      </c>
      <c r="I158" s="2043">
        <v>392590</v>
      </c>
      <c r="J158">
        <v>13.709000000000001</v>
      </c>
      <c r="K158">
        <v>37</v>
      </c>
      <c r="L158">
        <v>0</v>
      </c>
      <c r="M158">
        <v>94523</v>
      </c>
      <c r="N158">
        <v>0</v>
      </c>
      <c r="O158">
        <v>94523</v>
      </c>
      <c r="P158">
        <v>0</v>
      </c>
      <c r="Q158">
        <v>0</v>
      </c>
      <c r="R158" s="2043">
        <v>2281073</v>
      </c>
      <c r="S158">
        <v>218860</v>
      </c>
      <c r="T158">
        <v>159495</v>
      </c>
      <c r="U158">
        <v>0.08</v>
      </c>
      <c r="V158">
        <v>0</v>
      </c>
      <c r="W158">
        <v>0</v>
      </c>
      <c r="X158">
        <v>3090</v>
      </c>
      <c r="Y158">
        <v>37521</v>
      </c>
      <c r="Z158">
        <v>0</v>
      </c>
      <c r="AA158">
        <v>0.251</v>
      </c>
      <c r="AB158">
        <v>256.64999999999998</v>
      </c>
      <c r="AC158" s="2043">
        <v>234760910</v>
      </c>
      <c r="AD158">
        <v>622563</v>
      </c>
      <c r="AE158" s="2043">
        <v>2659428</v>
      </c>
      <c r="AF158">
        <v>0.97210000000000008</v>
      </c>
      <c r="AG158">
        <v>0</v>
      </c>
      <c r="AH158">
        <v>3090</v>
      </c>
      <c r="AI158">
        <v>0</v>
      </c>
      <c r="AJ158">
        <v>38.5</v>
      </c>
      <c r="AK158">
        <v>2006</v>
      </c>
      <c r="AL158">
        <v>0</v>
      </c>
      <c r="AM158">
        <v>0</v>
      </c>
      <c r="AN158">
        <v>20.481000000000002</v>
      </c>
      <c r="AO158">
        <v>0</v>
      </c>
      <c r="AP158">
        <v>0</v>
      </c>
      <c r="AQ158">
        <v>0</v>
      </c>
      <c r="AR158">
        <v>4.806</v>
      </c>
      <c r="AS158">
        <v>0</v>
      </c>
      <c r="AT158">
        <v>4.8770000000000007</v>
      </c>
      <c r="AU158">
        <v>0.92500000000000004</v>
      </c>
      <c r="AV158">
        <v>0</v>
      </c>
      <c r="AW158">
        <v>10.608000000000001</v>
      </c>
      <c r="AX158">
        <v>0</v>
      </c>
      <c r="AY158">
        <v>33.673999999999999</v>
      </c>
      <c r="AZ158">
        <v>0</v>
      </c>
      <c r="BA158">
        <v>1404891</v>
      </c>
      <c r="BB158">
        <v>3281991</v>
      </c>
      <c r="BC158">
        <v>0</v>
      </c>
      <c r="BD158">
        <v>38631</v>
      </c>
      <c r="BE158">
        <v>4708</v>
      </c>
      <c r="BF158">
        <v>43339</v>
      </c>
      <c r="BG158">
        <v>38631</v>
      </c>
      <c r="BH158">
        <v>0</v>
      </c>
      <c r="BI158">
        <v>0</v>
      </c>
      <c r="BJ158">
        <v>0</v>
      </c>
      <c r="BK158">
        <v>0</v>
      </c>
      <c r="BL158">
        <v>282805522</v>
      </c>
      <c r="BM158">
        <v>0</v>
      </c>
      <c r="BN158">
        <v>864</v>
      </c>
      <c r="BO158">
        <v>824</v>
      </c>
      <c r="BP158">
        <v>0</v>
      </c>
      <c r="BQ158">
        <v>0</v>
      </c>
      <c r="BR158">
        <v>0.83379999999999999</v>
      </c>
      <c r="BS158">
        <v>0.83379999999999999</v>
      </c>
      <c r="BT158">
        <v>0</v>
      </c>
      <c r="BU158">
        <v>0</v>
      </c>
      <c r="BV158">
        <v>2</v>
      </c>
      <c r="BW158">
        <v>140</v>
      </c>
      <c r="BX158">
        <v>6</v>
      </c>
      <c r="BY158">
        <v>0</v>
      </c>
      <c r="BZ158">
        <v>12</v>
      </c>
      <c r="CA158">
        <v>160</v>
      </c>
      <c r="CB158">
        <v>0</v>
      </c>
      <c r="CC158">
        <v>0</v>
      </c>
      <c r="CD158">
        <v>0</v>
      </c>
      <c r="CE158">
        <v>19</v>
      </c>
      <c r="CF158">
        <v>66.165999999999997</v>
      </c>
      <c r="CG158">
        <v>0</v>
      </c>
      <c r="CH158">
        <v>0</v>
      </c>
      <c r="CI158">
        <v>0</v>
      </c>
      <c r="CJ158">
        <v>1</v>
      </c>
      <c r="CK158">
        <v>0</v>
      </c>
      <c r="CL158">
        <v>0</v>
      </c>
      <c r="CM158">
        <v>1.089</v>
      </c>
      <c r="CN158">
        <v>0</v>
      </c>
      <c r="CO158">
        <v>0</v>
      </c>
      <c r="CP158">
        <v>0</v>
      </c>
      <c r="CQ158">
        <v>0</v>
      </c>
      <c r="CR158">
        <v>0</v>
      </c>
      <c r="CS158">
        <v>0</v>
      </c>
      <c r="CT158">
        <v>0</v>
      </c>
      <c r="CU158">
        <v>2.0660000000000003</v>
      </c>
      <c r="CV158">
        <v>23.164000000000001</v>
      </c>
      <c r="CW158">
        <v>7.9390000000000001</v>
      </c>
      <c r="CX158">
        <v>0</v>
      </c>
      <c r="CY158" s="2043">
        <v>40611</v>
      </c>
      <c r="CZ158" s="2043">
        <v>0</v>
      </c>
      <c r="DA158" s="2043">
        <v>0</v>
      </c>
      <c r="DB158" s="2043">
        <v>0</v>
      </c>
      <c r="DC158" s="2043">
        <v>106223</v>
      </c>
      <c r="DI158" t="s">
        <v>2913</v>
      </c>
      <c r="DJ158" t="s">
        <v>2913</v>
      </c>
      <c r="DK158" s="2042">
        <f t="shared" si="4"/>
        <v>0</v>
      </c>
    </row>
    <row r="159" spans="1:115">
      <c r="A159" t="s">
        <v>4954</v>
      </c>
      <c r="B159" t="s">
        <v>1726</v>
      </c>
      <c r="C159">
        <v>424.21300000000002</v>
      </c>
      <c r="D159">
        <v>414.06200000000001</v>
      </c>
      <c r="E159">
        <v>2.1890000000000001</v>
      </c>
      <c r="F159">
        <v>0</v>
      </c>
      <c r="G159" s="2043">
        <v>310934165</v>
      </c>
      <c r="H159">
        <v>0</v>
      </c>
      <c r="I159" s="2043">
        <v>482811</v>
      </c>
      <c r="J159">
        <v>21.211000000000002</v>
      </c>
      <c r="K159">
        <v>58</v>
      </c>
      <c r="L159">
        <v>0</v>
      </c>
      <c r="M159">
        <v>0</v>
      </c>
      <c r="N159">
        <v>0</v>
      </c>
      <c r="O159">
        <v>0</v>
      </c>
      <c r="P159">
        <v>0</v>
      </c>
      <c r="Q159">
        <v>0</v>
      </c>
      <c r="R159" s="2043">
        <v>2645518</v>
      </c>
      <c r="S159">
        <v>248347</v>
      </c>
      <c r="T159">
        <v>180052</v>
      </c>
      <c r="U159">
        <v>0.08</v>
      </c>
      <c r="V159">
        <v>0</v>
      </c>
      <c r="W159">
        <v>0</v>
      </c>
      <c r="X159">
        <v>0</v>
      </c>
      <c r="Y159">
        <v>0</v>
      </c>
      <c r="Z159">
        <v>0</v>
      </c>
      <c r="AA159">
        <v>0</v>
      </c>
      <c r="AB159">
        <v>414.06200000000001</v>
      </c>
      <c r="AC159" s="2043">
        <v>276785995</v>
      </c>
      <c r="AD159">
        <v>498785</v>
      </c>
      <c r="AE159" s="2043">
        <v>3073917</v>
      </c>
      <c r="AF159">
        <v>0.99020000000000008</v>
      </c>
      <c r="AG159">
        <v>0</v>
      </c>
      <c r="AH159">
        <v>0</v>
      </c>
      <c r="AI159">
        <v>0</v>
      </c>
      <c r="AJ159">
        <v>45.713000000000001</v>
      </c>
      <c r="AK159">
        <v>2762</v>
      </c>
      <c r="AL159">
        <v>0</v>
      </c>
      <c r="AM159">
        <v>0</v>
      </c>
      <c r="AN159">
        <v>19.22</v>
      </c>
      <c r="AO159">
        <v>0</v>
      </c>
      <c r="AP159">
        <v>0</v>
      </c>
      <c r="AQ159">
        <v>0</v>
      </c>
      <c r="AR159">
        <v>13.535</v>
      </c>
      <c r="AS159">
        <v>0</v>
      </c>
      <c r="AT159">
        <v>4.101</v>
      </c>
      <c r="AU159">
        <v>1.3580000000000001</v>
      </c>
      <c r="AV159">
        <v>0</v>
      </c>
      <c r="AW159">
        <v>18.994</v>
      </c>
      <c r="AX159">
        <v>0</v>
      </c>
      <c r="AY159">
        <v>59.698</v>
      </c>
      <c r="AZ159">
        <v>0</v>
      </c>
      <c r="BA159">
        <v>2837636</v>
      </c>
      <c r="BB159">
        <v>3572702</v>
      </c>
      <c r="BC159">
        <v>0</v>
      </c>
      <c r="BD159">
        <v>36055</v>
      </c>
      <c r="BE159">
        <v>25220</v>
      </c>
      <c r="BF159">
        <v>67988</v>
      </c>
      <c r="BG159">
        <v>36055</v>
      </c>
      <c r="BH159">
        <v>6713</v>
      </c>
      <c r="BI159">
        <v>0</v>
      </c>
      <c r="BJ159">
        <v>0</v>
      </c>
      <c r="BK159">
        <v>0</v>
      </c>
      <c r="BL159">
        <v>310934165</v>
      </c>
      <c r="BM159">
        <v>0</v>
      </c>
      <c r="BN159">
        <v>1206</v>
      </c>
      <c r="BO159">
        <v>770</v>
      </c>
      <c r="BP159">
        <v>0</v>
      </c>
      <c r="BQ159">
        <v>0</v>
      </c>
      <c r="BR159">
        <v>0.85220000000000007</v>
      </c>
      <c r="BS159">
        <v>0.85220000000000007</v>
      </c>
      <c r="BT159">
        <v>0</v>
      </c>
      <c r="BU159">
        <v>0</v>
      </c>
      <c r="BV159">
        <v>73</v>
      </c>
      <c r="BW159">
        <v>102</v>
      </c>
      <c r="BX159">
        <v>16</v>
      </c>
      <c r="BY159">
        <v>3</v>
      </c>
      <c r="BZ159">
        <v>1</v>
      </c>
      <c r="CA159">
        <v>195</v>
      </c>
      <c r="CB159">
        <v>0</v>
      </c>
      <c r="CC159">
        <v>0</v>
      </c>
      <c r="CD159">
        <v>0</v>
      </c>
      <c r="CE159">
        <v>24</v>
      </c>
      <c r="CF159">
        <v>73.466999999999999</v>
      </c>
      <c r="CG159">
        <v>0</v>
      </c>
      <c r="CH159">
        <v>0</v>
      </c>
      <c r="CI159">
        <v>1</v>
      </c>
      <c r="CJ159">
        <v>3</v>
      </c>
      <c r="CK159">
        <v>0</v>
      </c>
      <c r="CL159">
        <v>0</v>
      </c>
      <c r="CM159">
        <v>2.1890000000000001</v>
      </c>
      <c r="CN159">
        <v>0</v>
      </c>
      <c r="CO159">
        <v>0</v>
      </c>
      <c r="CP159">
        <v>0</v>
      </c>
      <c r="CQ159">
        <v>0</v>
      </c>
      <c r="CR159">
        <v>0</v>
      </c>
      <c r="CS159">
        <v>0</v>
      </c>
      <c r="CT159">
        <v>0</v>
      </c>
      <c r="CU159">
        <v>0</v>
      </c>
      <c r="CV159">
        <v>20.998000000000001</v>
      </c>
      <c r="CW159">
        <v>11.471</v>
      </c>
      <c r="CX159">
        <v>0</v>
      </c>
      <c r="CY159" s="2043">
        <v>0</v>
      </c>
      <c r="CZ159" s="2043">
        <v>0</v>
      </c>
      <c r="DA159" s="2043">
        <v>0</v>
      </c>
      <c r="DB159" s="2043">
        <v>0</v>
      </c>
      <c r="DC159" s="2043">
        <v>0</v>
      </c>
      <c r="DI159" t="s">
        <v>4954</v>
      </c>
      <c r="DJ159" t="s">
        <v>4954</v>
      </c>
      <c r="DK159" s="2042">
        <f t="shared" si="4"/>
        <v>0</v>
      </c>
    </row>
    <row r="160" spans="1:115">
      <c r="A160" t="s">
        <v>7946</v>
      </c>
      <c r="B160" t="s">
        <v>11262</v>
      </c>
      <c r="C160">
        <v>224.066</v>
      </c>
      <c r="D160">
        <v>246.67100000000002</v>
      </c>
      <c r="E160">
        <v>0</v>
      </c>
      <c r="F160">
        <v>0</v>
      </c>
      <c r="G160" s="2043">
        <v>0</v>
      </c>
      <c r="H160">
        <v>0</v>
      </c>
      <c r="I160" s="2043">
        <v>0</v>
      </c>
      <c r="J160">
        <v>0</v>
      </c>
      <c r="K160">
        <v>0</v>
      </c>
      <c r="L160">
        <v>0</v>
      </c>
      <c r="M160">
        <v>0</v>
      </c>
      <c r="N160">
        <v>0</v>
      </c>
      <c r="O160">
        <v>0</v>
      </c>
      <c r="P160">
        <v>0</v>
      </c>
      <c r="Q160">
        <v>0</v>
      </c>
      <c r="R160" s="2043">
        <v>0</v>
      </c>
      <c r="S160">
        <v>0</v>
      </c>
      <c r="T160">
        <v>0</v>
      </c>
      <c r="U160">
        <v>0</v>
      </c>
      <c r="V160">
        <v>0</v>
      </c>
      <c r="W160">
        <v>0</v>
      </c>
      <c r="X160">
        <v>0</v>
      </c>
      <c r="Y160">
        <v>0</v>
      </c>
      <c r="Z160">
        <v>0</v>
      </c>
      <c r="AA160">
        <v>0</v>
      </c>
      <c r="AB160">
        <v>246.67100000000002</v>
      </c>
      <c r="AC160" s="2043">
        <v>0</v>
      </c>
      <c r="AD160">
        <v>0</v>
      </c>
      <c r="AE160" s="2043">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2142009</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s="2043">
        <v>0</v>
      </c>
      <c r="CZ160" s="2043">
        <v>0</v>
      </c>
      <c r="DA160" s="2043">
        <v>0</v>
      </c>
      <c r="DB160" s="2043">
        <v>0</v>
      </c>
      <c r="DC160" s="2043">
        <v>0</v>
      </c>
      <c r="DI160" t="s">
        <v>7946</v>
      </c>
      <c r="DJ160" t="s">
        <v>7946</v>
      </c>
      <c r="DK160" s="2042">
        <f t="shared" si="4"/>
        <v>0</v>
      </c>
    </row>
    <row r="161" spans="1:115">
      <c r="A161" t="s">
        <v>2914</v>
      </c>
      <c r="B161" t="s">
        <v>834</v>
      </c>
      <c r="C161">
        <v>34657.730000000003</v>
      </c>
      <c r="D161">
        <v>37691.362999999998</v>
      </c>
      <c r="E161">
        <v>12580.353999999999</v>
      </c>
      <c r="F161">
        <v>0</v>
      </c>
      <c r="G161" s="2043">
        <v>6761390429</v>
      </c>
      <c r="H161">
        <v>0</v>
      </c>
      <c r="I161" s="2043">
        <v>15350875</v>
      </c>
      <c r="J161">
        <v>1732.8870000000002</v>
      </c>
      <c r="K161">
        <v>4737</v>
      </c>
      <c r="L161">
        <v>6596688</v>
      </c>
      <c r="M161">
        <v>8427629</v>
      </c>
      <c r="N161">
        <v>5385618</v>
      </c>
      <c r="O161">
        <v>13813247</v>
      </c>
      <c r="P161">
        <v>1529901</v>
      </c>
      <c r="Q161">
        <v>1211070</v>
      </c>
      <c r="R161" s="2043">
        <v>57519900</v>
      </c>
      <c r="S161">
        <v>5188985</v>
      </c>
      <c r="T161">
        <v>4702518</v>
      </c>
      <c r="U161">
        <v>0.08</v>
      </c>
      <c r="V161">
        <v>0</v>
      </c>
      <c r="W161">
        <v>0</v>
      </c>
      <c r="X161">
        <v>0</v>
      </c>
      <c r="Y161">
        <v>0</v>
      </c>
      <c r="Z161">
        <v>0</v>
      </c>
      <c r="AA161">
        <v>5.9860000000000007</v>
      </c>
      <c r="AB161">
        <v>37694.652000000002</v>
      </c>
      <c r="AC161" s="2043">
        <v>6086501569</v>
      </c>
      <c r="AD161">
        <v>8992095</v>
      </c>
      <c r="AE161" s="2043">
        <v>67411403</v>
      </c>
      <c r="AF161">
        <v>1.0393000000000001</v>
      </c>
      <c r="AG161">
        <v>0</v>
      </c>
      <c r="AH161">
        <v>0</v>
      </c>
      <c r="AI161">
        <v>0</v>
      </c>
      <c r="AJ161">
        <v>8879.0750000000007</v>
      </c>
      <c r="AK161">
        <v>151186</v>
      </c>
      <c r="AL161">
        <v>13.339</v>
      </c>
      <c r="AM161">
        <v>0</v>
      </c>
      <c r="AN161">
        <v>1233.595</v>
      </c>
      <c r="AO161">
        <v>0</v>
      </c>
      <c r="AP161">
        <v>0</v>
      </c>
      <c r="AQ161">
        <v>0</v>
      </c>
      <c r="AR161">
        <v>1208.184</v>
      </c>
      <c r="AS161">
        <v>0</v>
      </c>
      <c r="AT161">
        <v>428.37200000000001</v>
      </c>
      <c r="AU161">
        <v>56.126000000000005</v>
      </c>
      <c r="AV161">
        <v>0</v>
      </c>
      <c r="AW161">
        <v>1706.0210000000002</v>
      </c>
      <c r="AX161">
        <v>0</v>
      </c>
      <c r="AY161">
        <v>5256.9930000000004</v>
      </c>
      <c r="AZ161">
        <v>0</v>
      </c>
      <c r="BA161">
        <v>328961188</v>
      </c>
      <c r="BB161">
        <v>76403498</v>
      </c>
      <c r="BC161">
        <v>0</v>
      </c>
      <c r="BD161">
        <v>796356</v>
      </c>
      <c r="BE161">
        <v>1061841</v>
      </c>
      <c r="BF161">
        <v>3047419</v>
      </c>
      <c r="BG161">
        <v>796356</v>
      </c>
      <c r="BH161">
        <v>1189222</v>
      </c>
      <c r="BI161">
        <v>0</v>
      </c>
      <c r="BJ161">
        <v>0</v>
      </c>
      <c r="BK161">
        <v>0</v>
      </c>
      <c r="BL161">
        <v>6761390429</v>
      </c>
      <c r="BM161">
        <v>0</v>
      </c>
      <c r="BN161">
        <v>150984</v>
      </c>
      <c r="BO161">
        <v>117272</v>
      </c>
      <c r="BP161">
        <v>716870</v>
      </c>
      <c r="BQ161">
        <v>0</v>
      </c>
      <c r="BR161">
        <v>0.88680000000000003</v>
      </c>
      <c r="BS161">
        <v>0.88680000000000003</v>
      </c>
      <c r="BT161">
        <v>0</v>
      </c>
      <c r="BU161">
        <v>0</v>
      </c>
      <c r="BV161">
        <v>1147</v>
      </c>
      <c r="BW161">
        <v>5621</v>
      </c>
      <c r="BX161">
        <v>6777</v>
      </c>
      <c r="BY161">
        <v>10105</v>
      </c>
      <c r="BZ161">
        <v>10688</v>
      </c>
      <c r="CA161">
        <v>34338</v>
      </c>
      <c r="CB161">
        <v>0</v>
      </c>
      <c r="CC161">
        <v>5.7700000000000005</v>
      </c>
      <c r="CD161">
        <v>0</v>
      </c>
      <c r="CE161">
        <v>3013</v>
      </c>
      <c r="CF161">
        <v>12370.683000000001</v>
      </c>
      <c r="CG161">
        <v>0</v>
      </c>
      <c r="CH161">
        <v>0</v>
      </c>
      <c r="CI161">
        <v>919</v>
      </c>
      <c r="CJ161">
        <v>87</v>
      </c>
      <c r="CK161">
        <v>17</v>
      </c>
      <c r="CL161">
        <v>0</v>
      </c>
      <c r="CM161">
        <v>12580.353999999999</v>
      </c>
      <c r="CN161">
        <v>318383</v>
      </c>
      <c r="CO161">
        <v>367893</v>
      </c>
      <c r="CP161">
        <v>30594</v>
      </c>
      <c r="CQ161">
        <v>0</v>
      </c>
      <c r="CR161">
        <v>0</v>
      </c>
      <c r="CS161">
        <v>125.92800000000001</v>
      </c>
      <c r="CT161">
        <v>0</v>
      </c>
      <c r="CU161">
        <v>76.213999999999999</v>
      </c>
      <c r="CV161">
        <v>1538.6410000000001</v>
      </c>
      <c r="CW161">
        <v>1378.9380000000001</v>
      </c>
      <c r="CX161">
        <v>0</v>
      </c>
      <c r="CY161" s="2043">
        <v>0</v>
      </c>
      <c r="CZ161" s="2043">
        <v>0</v>
      </c>
      <c r="DA161" s="2043">
        <v>0</v>
      </c>
      <c r="DB161" s="2043">
        <v>0</v>
      </c>
      <c r="DC161" s="2043">
        <v>0</v>
      </c>
      <c r="DI161" t="s">
        <v>2914</v>
      </c>
      <c r="DJ161" t="s">
        <v>2914</v>
      </c>
      <c r="DK161" s="2042">
        <f t="shared" si="4"/>
        <v>0</v>
      </c>
    </row>
    <row r="162" spans="1:115">
      <c r="A162" t="s">
        <v>2915</v>
      </c>
      <c r="B162" t="s">
        <v>1756</v>
      </c>
      <c r="C162">
        <v>15464.298999999999</v>
      </c>
      <c r="D162">
        <v>16938.881000000001</v>
      </c>
      <c r="E162">
        <v>1904.4450000000002</v>
      </c>
      <c r="F162">
        <v>0</v>
      </c>
      <c r="G162" s="2043">
        <v>4283760648</v>
      </c>
      <c r="H162">
        <v>0</v>
      </c>
      <c r="I162" s="2043">
        <v>9241300</v>
      </c>
      <c r="J162">
        <v>773.21500000000003</v>
      </c>
      <c r="K162">
        <v>2114</v>
      </c>
      <c r="L162">
        <v>1399870</v>
      </c>
      <c r="M162">
        <v>5673230</v>
      </c>
      <c r="N162">
        <v>1319541</v>
      </c>
      <c r="O162">
        <v>6992771</v>
      </c>
      <c r="P162">
        <v>304867</v>
      </c>
      <c r="Q162">
        <v>80329</v>
      </c>
      <c r="R162" s="2043">
        <v>36571182</v>
      </c>
      <c r="S162">
        <v>3363254</v>
      </c>
      <c r="T162">
        <v>2450971</v>
      </c>
      <c r="U162">
        <v>0.08</v>
      </c>
      <c r="V162">
        <v>496.33500000000004</v>
      </c>
      <c r="W162">
        <v>0</v>
      </c>
      <c r="X162">
        <v>0</v>
      </c>
      <c r="Y162">
        <v>-6004</v>
      </c>
      <c r="Z162">
        <v>0</v>
      </c>
      <c r="AA162">
        <v>1.071</v>
      </c>
      <c r="AB162">
        <v>16537.606</v>
      </c>
      <c r="AC162" s="2043">
        <v>3796485847</v>
      </c>
      <c r="AD162">
        <v>6255496</v>
      </c>
      <c r="AE162" s="2043">
        <v>42385407</v>
      </c>
      <c r="AF162">
        <v>1.0082</v>
      </c>
      <c r="AG162">
        <v>0</v>
      </c>
      <c r="AH162">
        <v>0</v>
      </c>
      <c r="AI162">
        <v>0</v>
      </c>
      <c r="AJ162">
        <v>3368.0630000000001</v>
      </c>
      <c r="AK162">
        <v>53211</v>
      </c>
      <c r="AL162">
        <v>3.9710000000000001</v>
      </c>
      <c r="AM162">
        <v>0</v>
      </c>
      <c r="AN162">
        <v>470.90200000000004</v>
      </c>
      <c r="AO162">
        <v>0</v>
      </c>
      <c r="AP162">
        <v>0</v>
      </c>
      <c r="AQ162">
        <v>11.142000000000001</v>
      </c>
      <c r="AR162">
        <v>349.01900000000001</v>
      </c>
      <c r="AS162">
        <v>0</v>
      </c>
      <c r="AT162">
        <v>187.256</v>
      </c>
      <c r="AU162">
        <v>26.951000000000001</v>
      </c>
      <c r="AV162">
        <v>0</v>
      </c>
      <c r="AW162">
        <v>578.33900000000006</v>
      </c>
      <c r="AX162">
        <v>0</v>
      </c>
      <c r="AY162">
        <v>1763.4350000000002</v>
      </c>
      <c r="AZ162">
        <v>0</v>
      </c>
      <c r="BA162">
        <v>120027448</v>
      </c>
      <c r="BB162">
        <v>48640903</v>
      </c>
      <c r="BC162">
        <v>0</v>
      </c>
      <c r="BD162">
        <v>0</v>
      </c>
      <c r="BE162">
        <v>96079</v>
      </c>
      <c r="BF162">
        <v>96079</v>
      </c>
      <c r="BG162">
        <v>0</v>
      </c>
      <c r="BH162">
        <v>0</v>
      </c>
      <c r="BI162">
        <v>-3002</v>
      </c>
      <c r="BJ162">
        <v>-3002</v>
      </c>
      <c r="BK162">
        <v>0</v>
      </c>
      <c r="BL162">
        <v>4283760648</v>
      </c>
      <c r="BM162">
        <v>0</v>
      </c>
      <c r="BN162">
        <v>63189</v>
      </c>
      <c r="BO162">
        <v>47101</v>
      </c>
      <c r="BP162">
        <v>11376</v>
      </c>
      <c r="BQ162">
        <v>0</v>
      </c>
      <c r="BR162">
        <v>0.86990000000000001</v>
      </c>
      <c r="BS162">
        <v>0.86990000000000001</v>
      </c>
      <c r="BT162">
        <v>0</v>
      </c>
      <c r="BU162">
        <v>0</v>
      </c>
      <c r="BV162">
        <v>419</v>
      </c>
      <c r="BW162">
        <v>2114</v>
      </c>
      <c r="BX162">
        <v>3841</v>
      </c>
      <c r="BY162">
        <v>2989</v>
      </c>
      <c r="BZ162">
        <v>3734</v>
      </c>
      <c r="CA162">
        <v>13097</v>
      </c>
      <c r="CB162">
        <v>0</v>
      </c>
      <c r="CC162">
        <v>391.11700000000002</v>
      </c>
      <c r="CD162">
        <v>488.36900000000003</v>
      </c>
      <c r="CE162">
        <v>994</v>
      </c>
      <c r="CF162">
        <v>3903.0680000000002</v>
      </c>
      <c r="CG162">
        <v>10.273</v>
      </c>
      <c r="CH162">
        <v>16.14</v>
      </c>
      <c r="CI162">
        <v>184</v>
      </c>
      <c r="CJ162">
        <v>139</v>
      </c>
      <c r="CK162">
        <v>4</v>
      </c>
      <c r="CL162">
        <v>26.413</v>
      </c>
      <c r="CM162">
        <v>1904.4450000000002</v>
      </c>
      <c r="CN162">
        <v>0</v>
      </c>
      <c r="CO162">
        <v>11376</v>
      </c>
      <c r="CP162">
        <v>0</v>
      </c>
      <c r="CQ162">
        <v>0</v>
      </c>
      <c r="CR162">
        <v>0</v>
      </c>
      <c r="CS162">
        <v>0</v>
      </c>
      <c r="CT162">
        <v>0</v>
      </c>
      <c r="CU162">
        <v>3.9440000000000004</v>
      </c>
      <c r="CV162">
        <v>824.48</v>
      </c>
      <c r="CW162">
        <v>729.697</v>
      </c>
      <c r="CX162">
        <v>0</v>
      </c>
      <c r="CY162" s="2043">
        <v>0</v>
      </c>
      <c r="CZ162" s="2043">
        <v>0</v>
      </c>
      <c r="DA162" s="2043">
        <v>0</v>
      </c>
      <c r="DB162" s="2043">
        <v>0</v>
      </c>
      <c r="DC162" s="2043">
        <v>0</v>
      </c>
      <c r="DI162" t="s">
        <v>2915</v>
      </c>
      <c r="DJ162" t="s">
        <v>2915</v>
      </c>
      <c r="DK162" s="2042">
        <f t="shared" si="4"/>
        <v>0</v>
      </c>
    </row>
    <row r="163" spans="1:115">
      <c r="A163" t="s">
        <v>2917</v>
      </c>
      <c r="B163" t="s">
        <v>2159</v>
      </c>
      <c r="C163">
        <v>9386.6</v>
      </c>
      <c r="D163">
        <v>9692.4230000000007</v>
      </c>
      <c r="E163">
        <v>1897.44</v>
      </c>
      <c r="F163">
        <v>0</v>
      </c>
      <c r="G163" s="2043">
        <v>2397963681</v>
      </c>
      <c r="H163">
        <v>0</v>
      </c>
      <c r="I163" s="2043">
        <v>3817239</v>
      </c>
      <c r="J163">
        <v>469.33</v>
      </c>
      <c r="K163">
        <v>1283</v>
      </c>
      <c r="L163">
        <v>136973</v>
      </c>
      <c r="M163">
        <v>740666</v>
      </c>
      <c r="N163">
        <v>136973</v>
      </c>
      <c r="O163">
        <v>877639</v>
      </c>
      <c r="P163">
        <v>0</v>
      </c>
      <c r="Q163">
        <v>0</v>
      </c>
      <c r="R163" s="2043">
        <v>20648285</v>
      </c>
      <c r="S163">
        <v>1905483</v>
      </c>
      <c r="T163">
        <v>1388620</v>
      </c>
      <c r="U163">
        <v>0.08</v>
      </c>
      <c r="V163">
        <v>0</v>
      </c>
      <c r="W163">
        <v>0</v>
      </c>
      <c r="X163">
        <v>0</v>
      </c>
      <c r="Y163">
        <v>0</v>
      </c>
      <c r="Z163">
        <v>0</v>
      </c>
      <c r="AA163">
        <v>0.10400000000000001</v>
      </c>
      <c r="AB163">
        <v>9692.4230000000007</v>
      </c>
      <c r="AC163" s="2043">
        <v>2050685103</v>
      </c>
      <c r="AD163">
        <v>3443653</v>
      </c>
      <c r="AE163" s="2043">
        <v>23942388</v>
      </c>
      <c r="AF163">
        <v>1.0052000000000001</v>
      </c>
      <c r="AG163">
        <v>0</v>
      </c>
      <c r="AH163">
        <v>0</v>
      </c>
      <c r="AI163">
        <v>0</v>
      </c>
      <c r="AJ163">
        <v>2013.3</v>
      </c>
      <c r="AK163">
        <v>38190</v>
      </c>
      <c r="AL163">
        <v>3.7410000000000001</v>
      </c>
      <c r="AM163">
        <v>0</v>
      </c>
      <c r="AN163">
        <v>24.255000000000003</v>
      </c>
      <c r="AO163">
        <v>0</v>
      </c>
      <c r="AP163">
        <v>0</v>
      </c>
      <c r="AQ163">
        <v>1.0290000000000001</v>
      </c>
      <c r="AR163">
        <v>371.35300000000001</v>
      </c>
      <c r="AS163">
        <v>0</v>
      </c>
      <c r="AT163">
        <v>128.17699999999999</v>
      </c>
      <c r="AU163">
        <v>27.398</v>
      </c>
      <c r="AV163">
        <v>0</v>
      </c>
      <c r="AW163">
        <v>531.69799999999998</v>
      </c>
      <c r="AX163">
        <v>0</v>
      </c>
      <c r="AY163">
        <v>1654.2850000000001</v>
      </c>
      <c r="AZ163">
        <v>0</v>
      </c>
      <c r="BA163">
        <v>77475479</v>
      </c>
      <c r="BB163">
        <v>27386041</v>
      </c>
      <c r="BC163">
        <v>0</v>
      </c>
      <c r="BD163">
        <v>1019083</v>
      </c>
      <c r="BE163">
        <v>224466</v>
      </c>
      <c r="BF163">
        <v>1360338</v>
      </c>
      <c r="BG163">
        <v>1019083</v>
      </c>
      <c r="BH163">
        <v>116789</v>
      </c>
      <c r="BI163">
        <v>0</v>
      </c>
      <c r="BJ163">
        <v>0</v>
      </c>
      <c r="BK163">
        <v>0</v>
      </c>
      <c r="BL163">
        <v>2397963681</v>
      </c>
      <c r="BM163">
        <v>0</v>
      </c>
      <c r="BN163">
        <v>36855</v>
      </c>
      <c r="BO163">
        <v>26204</v>
      </c>
      <c r="BP163">
        <v>0</v>
      </c>
      <c r="BQ163">
        <v>0</v>
      </c>
      <c r="BR163">
        <v>0.8669</v>
      </c>
      <c r="BS163">
        <v>0.8669</v>
      </c>
      <c r="BT163">
        <v>0</v>
      </c>
      <c r="BU163">
        <v>0</v>
      </c>
      <c r="BV163">
        <v>748</v>
      </c>
      <c r="BW163">
        <v>3452</v>
      </c>
      <c r="BX163">
        <v>2916</v>
      </c>
      <c r="BY163">
        <v>1058</v>
      </c>
      <c r="BZ163">
        <v>67</v>
      </c>
      <c r="CA163">
        <v>8241</v>
      </c>
      <c r="CB163">
        <v>0</v>
      </c>
      <c r="CC163">
        <v>0</v>
      </c>
      <c r="CD163">
        <v>0</v>
      </c>
      <c r="CE163">
        <v>852</v>
      </c>
      <c r="CF163">
        <v>2678.5910000000003</v>
      </c>
      <c r="CG163">
        <v>3.302</v>
      </c>
      <c r="CH163">
        <v>3.302</v>
      </c>
      <c r="CI163">
        <v>192</v>
      </c>
      <c r="CJ163">
        <v>78</v>
      </c>
      <c r="CK163">
        <v>3</v>
      </c>
      <c r="CL163">
        <v>6.6040000000000001</v>
      </c>
      <c r="CM163">
        <v>1897.44</v>
      </c>
      <c r="CN163">
        <v>0</v>
      </c>
      <c r="CO163">
        <v>0</v>
      </c>
      <c r="CP163">
        <v>0</v>
      </c>
      <c r="CQ163">
        <v>0</v>
      </c>
      <c r="CR163">
        <v>0</v>
      </c>
      <c r="CS163">
        <v>0</v>
      </c>
      <c r="CT163">
        <v>0</v>
      </c>
      <c r="CU163">
        <v>117.848</v>
      </c>
      <c r="CV163">
        <v>616.30100000000004</v>
      </c>
      <c r="CW163">
        <v>442.03700000000003</v>
      </c>
      <c r="CX163">
        <v>0</v>
      </c>
      <c r="CY163" s="2043">
        <v>0</v>
      </c>
      <c r="CZ163" s="2043">
        <v>0</v>
      </c>
      <c r="DA163" s="2043">
        <v>0</v>
      </c>
      <c r="DB163" s="2043">
        <v>0</v>
      </c>
      <c r="DC163" s="2043">
        <v>0</v>
      </c>
      <c r="DI163" t="s">
        <v>2916</v>
      </c>
      <c r="DJ163" t="s">
        <v>2917</v>
      </c>
      <c r="DK163" s="2042">
        <f t="shared" si="4"/>
        <v>-1</v>
      </c>
    </row>
    <row r="164" spans="1:115">
      <c r="A164" t="s">
        <v>2916</v>
      </c>
      <c r="B164" t="s">
        <v>55</v>
      </c>
      <c r="C164">
        <v>2651.3290000000002</v>
      </c>
      <c r="D164">
        <v>2867.3050000000003</v>
      </c>
      <c r="E164">
        <v>377.89400000000001</v>
      </c>
      <c r="F164">
        <v>0</v>
      </c>
      <c r="G164" s="2043">
        <v>536902237</v>
      </c>
      <c r="H164">
        <v>0</v>
      </c>
      <c r="I164" s="2043">
        <v>1981758</v>
      </c>
      <c r="J164">
        <v>132.566</v>
      </c>
      <c r="K164">
        <v>362</v>
      </c>
      <c r="L164">
        <v>715342</v>
      </c>
      <c r="M164">
        <v>1008980</v>
      </c>
      <c r="N164">
        <v>715342</v>
      </c>
      <c r="O164">
        <v>1724322</v>
      </c>
      <c r="P164">
        <v>0</v>
      </c>
      <c r="Q164">
        <v>0</v>
      </c>
      <c r="R164" s="2043">
        <v>4174913</v>
      </c>
      <c r="S164">
        <v>406318</v>
      </c>
      <c r="T164">
        <v>296104</v>
      </c>
      <c r="U164">
        <v>0.08</v>
      </c>
      <c r="V164">
        <v>0</v>
      </c>
      <c r="W164">
        <v>0</v>
      </c>
      <c r="X164">
        <v>0</v>
      </c>
      <c r="Y164">
        <v>0</v>
      </c>
      <c r="Z164">
        <v>0.88700000000000001</v>
      </c>
      <c r="AA164">
        <v>0</v>
      </c>
      <c r="AB164">
        <v>2867.3050000000003</v>
      </c>
      <c r="AC164" s="2043">
        <v>440382181</v>
      </c>
      <c r="AD164">
        <v>982115</v>
      </c>
      <c r="AE164" s="2043">
        <v>4877335</v>
      </c>
      <c r="AF164">
        <v>0.96030000000000004</v>
      </c>
      <c r="AG164">
        <v>0</v>
      </c>
      <c r="AH164">
        <v>0</v>
      </c>
      <c r="AI164">
        <v>0</v>
      </c>
      <c r="AJ164">
        <v>621.32500000000005</v>
      </c>
      <c r="AK164">
        <v>10496</v>
      </c>
      <c r="AL164">
        <v>0.64300000000000002</v>
      </c>
      <c r="AM164">
        <v>0</v>
      </c>
      <c r="AN164">
        <v>144.148</v>
      </c>
      <c r="AO164">
        <v>0</v>
      </c>
      <c r="AP164">
        <v>0</v>
      </c>
      <c r="AQ164">
        <v>0</v>
      </c>
      <c r="AR164">
        <v>47.133000000000003</v>
      </c>
      <c r="AS164">
        <v>0</v>
      </c>
      <c r="AT164">
        <v>27.376000000000001</v>
      </c>
      <c r="AU164">
        <v>6.5369999999999999</v>
      </c>
      <c r="AV164">
        <v>0</v>
      </c>
      <c r="AW164">
        <v>85.192999999999998</v>
      </c>
      <c r="AX164">
        <v>3.504</v>
      </c>
      <c r="AY164">
        <v>267.48599999999999</v>
      </c>
      <c r="AZ164">
        <v>0</v>
      </c>
      <c r="BA164">
        <v>25357098</v>
      </c>
      <c r="BB164">
        <v>5859450</v>
      </c>
      <c r="BC164">
        <v>0</v>
      </c>
      <c r="BD164">
        <v>94622</v>
      </c>
      <c r="BE164">
        <v>27356</v>
      </c>
      <c r="BF164">
        <v>313074</v>
      </c>
      <c r="BG164">
        <v>94622</v>
      </c>
      <c r="BH164">
        <v>191096</v>
      </c>
      <c r="BI164">
        <v>0</v>
      </c>
      <c r="BJ164">
        <v>0</v>
      </c>
      <c r="BK164">
        <v>0</v>
      </c>
      <c r="BL164">
        <v>536902237</v>
      </c>
      <c r="BM164">
        <v>0</v>
      </c>
      <c r="BN164">
        <v>11826</v>
      </c>
      <c r="BO164">
        <v>9416</v>
      </c>
      <c r="BP164">
        <v>0</v>
      </c>
      <c r="BQ164">
        <v>0</v>
      </c>
      <c r="BR164">
        <v>0.82200000000000006</v>
      </c>
      <c r="BS164">
        <v>0.82200000000000006</v>
      </c>
      <c r="BT164">
        <v>0</v>
      </c>
      <c r="BU164">
        <v>0</v>
      </c>
      <c r="BV164">
        <v>321</v>
      </c>
      <c r="BW164">
        <v>621</v>
      </c>
      <c r="BX164">
        <v>482</v>
      </c>
      <c r="BY164">
        <v>1007</v>
      </c>
      <c r="BZ164">
        <v>61</v>
      </c>
      <c r="CA164">
        <v>2492</v>
      </c>
      <c r="CB164">
        <v>0</v>
      </c>
      <c r="CC164">
        <v>0</v>
      </c>
      <c r="CD164">
        <v>0</v>
      </c>
      <c r="CE164">
        <v>94</v>
      </c>
      <c r="CF164">
        <v>731.48700000000008</v>
      </c>
      <c r="CG164">
        <v>24.196000000000002</v>
      </c>
      <c r="CH164">
        <v>0</v>
      </c>
      <c r="CI164">
        <v>13</v>
      </c>
      <c r="CJ164">
        <v>4</v>
      </c>
      <c r="CK164">
        <v>1</v>
      </c>
      <c r="CL164">
        <v>24.196000000000002</v>
      </c>
      <c r="CM164">
        <v>377.89400000000001</v>
      </c>
      <c r="CN164">
        <v>0</v>
      </c>
      <c r="CO164">
        <v>0</v>
      </c>
      <c r="CP164">
        <v>0</v>
      </c>
      <c r="CQ164">
        <v>0</v>
      </c>
      <c r="CR164">
        <v>0</v>
      </c>
      <c r="CS164">
        <v>0</v>
      </c>
      <c r="CT164">
        <v>0</v>
      </c>
      <c r="CU164">
        <v>0</v>
      </c>
      <c r="CV164">
        <v>263.81800000000004</v>
      </c>
      <c r="CW164">
        <v>88.25200000000001</v>
      </c>
      <c r="CX164">
        <v>0</v>
      </c>
      <c r="CY164" s="2043">
        <v>0</v>
      </c>
      <c r="CZ164" s="2043">
        <v>0</v>
      </c>
      <c r="DA164" s="2043">
        <v>0</v>
      </c>
      <c r="DB164" s="2043">
        <v>0</v>
      </c>
      <c r="DC164" s="2043">
        <v>0</v>
      </c>
      <c r="DI164" t="s">
        <v>2917</v>
      </c>
      <c r="DJ164" t="s">
        <v>2916</v>
      </c>
      <c r="DK164" s="2042">
        <f t="shared" si="4"/>
        <v>1</v>
      </c>
    </row>
    <row r="165" spans="1:115">
      <c r="A165" t="s">
        <v>4955</v>
      </c>
      <c r="B165" t="s">
        <v>1585</v>
      </c>
      <c r="C165">
        <v>1789.7830000000001</v>
      </c>
      <c r="D165">
        <v>1895.451</v>
      </c>
      <c r="E165">
        <v>674.77700000000004</v>
      </c>
      <c r="F165">
        <v>0</v>
      </c>
      <c r="G165" s="2043">
        <v>4182127557</v>
      </c>
      <c r="H165">
        <v>0</v>
      </c>
      <c r="I165" s="2043">
        <v>1663750</v>
      </c>
      <c r="J165">
        <v>89.489000000000004</v>
      </c>
      <c r="K165">
        <v>245</v>
      </c>
      <c r="L165">
        <v>0</v>
      </c>
      <c r="M165">
        <v>0</v>
      </c>
      <c r="N165">
        <v>0</v>
      </c>
      <c r="O165">
        <v>0</v>
      </c>
      <c r="P165">
        <v>0</v>
      </c>
      <c r="Q165">
        <v>0</v>
      </c>
      <c r="R165" s="2043">
        <v>37422059</v>
      </c>
      <c r="S165">
        <v>2785998</v>
      </c>
      <c r="T165">
        <v>0</v>
      </c>
      <c r="U165">
        <v>7.0000000000000007E-2</v>
      </c>
      <c r="V165">
        <v>0</v>
      </c>
      <c r="W165">
        <v>20739746</v>
      </c>
      <c r="X165">
        <v>0</v>
      </c>
      <c r="Y165">
        <v>0</v>
      </c>
      <c r="Z165">
        <v>0</v>
      </c>
      <c r="AA165">
        <v>0</v>
      </c>
      <c r="AB165">
        <v>1895.451</v>
      </c>
      <c r="AC165" s="2043">
        <v>3859977632</v>
      </c>
      <c r="AD165">
        <v>1696134</v>
      </c>
      <c r="AE165" s="2043">
        <v>40208057</v>
      </c>
      <c r="AF165">
        <v>0.96840000000000004</v>
      </c>
      <c r="AG165">
        <v>0</v>
      </c>
      <c r="AH165">
        <v>20739746</v>
      </c>
      <c r="AI165">
        <v>0</v>
      </c>
      <c r="AJ165">
        <v>437.43800000000005</v>
      </c>
      <c r="AK165">
        <v>5513</v>
      </c>
      <c r="AL165">
        <v>0.127</v>
      </c>
      <c r="AM165">
        <v>0</v>
      </c>
      <c r="AN165">
        <v>66.942000000000007</v>
      </c>
      <c r="AO165">
        <v>0</v>
      </c>
      <c r="AP165">
        <v>0</v>
      </c>
      <c r="AQ165">
        <v>0</v>
      </c>
      <c r="AR165">
        <v>24.399000000000001</v>
      </c>
      <c r="AS165">
        <v>0</v>
      </c>
      <c r="AT165">
        <v>13.064</v>
      </c>
      <c r="AU165">
        <v>4.056</v>
      </c>
      <c r="AV165">
        <v>0</v>
      </c>
      <c r="AW165">
        <v>47.661999999999999</v>
      </c>
      <c r="AX165">
        <v>6.016</v>
      </c>
      <c r="AY165">
        <v>147.14100000000002</v>
      </c>
      <c r="AZ165">
        <v>0</v>
      </c>
      <c r="BA165">
        <v>977321</v>
      </c>
      <c r="BB165">
        <v>41904191</v>
      </c>
      <c r="BC165">
        <v>0</v>
      </c>
      <c r="BD165">
        <v>75510</v>
      </c>
      <c r="BE165">
        <v>26331</v>
      </c>
      <c r="BF165">
        <v>101841</v>
      </c>
      <c r="BG165">
        <v>75510</v>
      </c>
      <c r="BH165">
        <v>0</v>
      </c>
      <c r="BI165">
        <v>0</v>
      </c>
      <c r="BJ165">
        <v>0</v>
      </c>
      <c r="BK165">
        <v>0</v>
      </c>
      <c r="BL165">
        <v>4182127557</v>
      </c>
      <c r="BM165">
        <v>0</v>
      </c>
      <c r="BN165">
        <v>7479</v>
      </c>
      <c r="BO165">
        <v>6110</v>
      </c>
      <c r="BP165">
        <v>0</v>
      </c>
      <c r="BQ165">
        <v>24000</v>
      </c>
      <c r="BR165">
        <v>0.90129999999999999</v>
      </c>
      <c r="BS165">
        <v>0.90129999999999999</v>
      </c>
      <c r="BT165">
        <v>0</v>
      </c>
      <c r="BU165">
        <v>0</v>
      </c>
      <c r="BV165">
        <v>370</v>
      </c>
      <c r="BW165">
        <v>375</v>
      </c>
      <c r="BX165">
        <v>398</v>
      </c>
      <c r="BY165">
        <v>16</v>
      </c>
      <c r="BZ165">
        <v>587</v>
      </c>
      <c r="CA165">
        <v>1746</v>
      </c>
      <c r="CB165">
        <v>0</v>
      </c>
      <c r="CC165">
        <v>0</v>
      </c>
      <c r="CD165">
        <v>0</v>
      </c>
      <c r="CE165">
        <v>43</v>
      </c>
      <c r="CF165">
        <v>630.33100000000002</v>
      </c>
      <c r="CG165">
        <v>0</v>
      </c>
      <c r="CH165">
        <v>0</v>
      </c>
      <c r="CI165">
        <v>15</v>
      </c>
      <c r="CJ165">
        <v>7</v>
      </c>
      <c r="CK165">
        <v>0</v>
      </c>
      <c r="CL165">
        <v>0</v>
      </c>
      <c r="CM165">
        <v>674.77700000000004</v>
      </c>
      <c r="CN165">
        <v>0</v>
      </c>
      <c r="CO165">
        <v>0</v>
      </c>
      <c r="CP165">
        <v>0</v>
      </c>
      <c r="CQ165">
        <v>0</v>
      </c>
      <c r="CR165">
        <v>0</v>
      </c>
      <c r="CS165">
        <v>0</v>
      </c>
      <c r="CT165">
        <v>0</v>
      </c>
      <c r="CU165">
        <v>22.645</v>
      </c>
      <c r="CV165">
        <v>114.06400000000001</v>
      </c>
      <c r="CW165">
        <v>56.606999999999999</v>
      </c>
      <c r="CX165">
        <v>0</v>
      </c>
      <c r="CY165" s="2043">
        <v>0</v>
      </c>
      <c r="CZ165" s="2043">
        <v>0</v>
      </c>
      <c r="DA165" s="2043">
        <v>0</v>
      </c>
      <c r="DB165" s="2043">
        <v>0</v>
      </c>
      <c r="DC165" s="2043">
        <v>530275</v>
      </c>
      <c r="DI165" t="s">
        <v>4955</v>
      </c>
      <c r="DJ165" t="s">
        <v>4955</v>
      </c>
      <c r="DK165" s="2042">
        <f t="shared" si="4"/>
        <v>0</v>
      </c>
    </row>
    <row r="166" spans="1:115">
      <c r="A166" t="s">
        <v>2918</v>
      </c>
      <c r="B166" t="s">
        <v>673</v>
      </c>
      <c r="C166">
        <v>1467.462</v>
      </c>
      <c r="D166">
        <v>1594.2540000000001</v>
      </c>
      <c r="E166">
        <v>160.803</v>
      </c>
      <c r="F166">
        <v>95946</v>
      </c>
      <c r="G166" s="2043">
        <v>360774194</v>
      </c>
      <c r="H166">
        <v>0</v>
      </c>
      <c r="I166" s="2043">
        <v>2377495</v>
      </c>
      <c r="J166">
        <v>73.373000000000005</v>
      </c>
      <c r="K166">
        <v>201</v>
      </c>
      <c r="L166">
        <v>365887</v>
      </c>
      <c r="M166">
        <v>1228045</v>
      </c>
      <c r="N166">
        <v>365887</v>
      </c>
      <c r="O166">
        <v>1593932</v>
      </c>
      <c r="P166">
        <v>0</v>
      </c>
      <c r="Q166">
        <v>0</v>
      </c>
      <c r="R166" s="2043">
        <v>3039183</v>
      </c>
      <c r="S166">
        <v>276761</v>
      </c>
      <c r="T166">
        <v>201690</v>
      </c>
      <c r="U166">
        <v>0.08</v>
      </c>
      <c r="V166">
        <v>0</v>
      </c>
      <c r="W166">
        <v>0</v>
      </c>
      <c r="X166">
        <v>0</v>
      </c>
      <c r="Y166">
        <v>95946</v>
      </c>
      <c r="Z166">
        <v>0</v>
      </c>
      <c r="AA166">
        <v>0</v>
      </c>
      <c r="AB166">
        <v>1594.2540000000001</v>
      </c>
      <c r="AC166" s="2043">
        <v>315713602</v>
      </c>
      <c r="AD166">
        <v>1477700</v>
      </c>
      <c r="AE166" s="2043">
        <v>3517634</v>
      </c>
      <c r="AF166">
        <v>1.0168000000000001</v>
      </c>
      <c r="AG166">
        <v>0</v>
      </c>
      <c r="AH166">
        <v>0</v>
      </c>
      <c r="AI166">
        <v>0</v>
      </c>
      <c r="AJ166">
        <v>316.46300000000002</v>
      </c>
      <c r="AK166">
        <v>7295</v>
      </c>
      <c r="AL166">
        <v>0.39600000000000002</v>
      </c>
      <c r="AM166">
        <v>0</v>
      </c>
      <c r="AN166">
        <v>30.081000000000003</v>
      </c>
      <c r="AO166">
        <v>0</v>
      </c>
      <c r="AP166">
        <v>0</v>
      </c>
      <c r="AQ166">
        <v>0</v>
      </c>
      <c r="AR166">
        <v>58.03</v>
      </c>
      <c r="AS166">
        <v>0</v>
      </c>
      <c r="AT166">
        <v>16.127000000000002</v>
      </c>
      <c r="AU166">
        <v>3.585</v>
      </c>
      <c r="AV166">
        <v>0</v>
      </c>
      <c r="AW166">
        <v>78.138000000000005</v>
      </c>
      <c r="AX166">
        <v>0</v>
      </c>
      <c r="AY166">
        <v>242.376</v>
      </c>
      <c r="AZ166">
        <v>0</v>
      </c>
      <c r="BA166">
        <v>14641319</v>
      </c>
      <c r="BB166">
        <v>4995334</v>
      </c>
      <c r="BC166">
        <v>0</v>
      </c>
      <c r="BD166">
        <v>147284</v>
      </c>
      <c r="BE166">
        <v>23090</v>
      </c>
      <c r="BF166">
        <v>218541</v>
      </c>
      <c r="BG166">
        <v>147284</v>
      </c>
      <c r="BH166">
        <v>48167</v>
      </c>
      <c r="BI166">
        <v>0</v>
      </c>
      <c r="BJ166">
        <v>0</v>
      </c>
      <c r="BK166">
        <v>0</v>
      </c>
      <c r="BL166">
        <v>360774194</v>
      </c>
      <c r="BM166">
        <v>0</v>
      </c>
      <c r="BN166">
        <v>6057</v>
      </c>
      <c r="BO166">
        <v>4783</v>
      </c>
      <c r="BP166">
        <v>0</v>
      </c>
      <c r="BQ166">
        <v>0</v>
      </c>
      <c r="BR166">
        <v>0.87850000000000006</v>
      </c>
      <c r="BS166">
        <v>0.87850000000000006</v>
      </c>
      <c r="BT166">
        <v>0</v>
      </c>
      <c r="BU166">
        <v>0</v>
      </c>
      <c r="BV166">
        <v>1367</v>
      </c>
      <c r="BW166">
        <v>6</v>
      </c>
      <c r="BX166">
        <v>7</v>
      </c>
      <c r="BY166">
        <v>5</v>
      </c>
      <c r="BZ166">
        <v>16</v>
      </c>
      <c r="CA166">
        <v>1401</v>
      </c>
      <c r="CB166">
        <v>0</v>
      </c>
      <c r="CC166">
        <v>0</v>
      </c>
      <c r="CD166">
        <v>0</v>
      </c>
      <c r="CE166">
        <v>70</v>
      </c>
      <c r="CF166">
        <v>439.565</v>
      </c>
      <c r="CG166">
        <v>0</v>
      </c>
      <c r="CH166">
        <v>0</v>
      </c>
      <c r="CI166">
        <v>19</v>
      </c>
      <c r="CJ166">
        <v>7</v>
      </c>
      <c r="CK166">
        <v>0</v>
      </c>
      <c r="CL166">
        <v>0</v>
      </c>
      <c r="CM166">
        <v>160.803</v>
      </c>
      <c r="CN166">
        <v>0</v>
      </c>
      <c r="CO166">
        <v>0</v>
      </c>
      <c r="CP166">
        <v>0</v>
      </c>
      <c r="CQ166">
        <v>0</v>
      </c>
      <c r="CR166">
        <v>0</v>
      </c>
      <c r="CS166">
        <v>137.202</v>
      </c>
      <c r="CT166">
        <v>0</v>
      </c>
      <c r="CU166">
        <v>19.782</v>
      </c>
      <c r="CV166">
        <v>127.30800000000001</v>
      </c>
      <c r="CW166">
        <v>49.620000000000005</v>
      </c>
      <c r="CX166">
        <v>0</v>
      </c>
      <c r="CY166" s="2043">
        <v>0</v>
      </c>
      <c r="CZ166" s="2043">
        <v>0</v>
      </c>
      <c r="DA166" s="2043">
        <v>0</v>
      </c>
      <c r="DB166" s="2043">
        <v>95946</v>
      </c>
      <c r="DC166" s="2043">
        <v>0</v>
      </c>
      <c r="DI166" t="s">
        <v>2918</v>
      </c>
      <c r="DJ166" t="s">
        <v>2918</v>
      </c>
      <c r="DK166" s="2042">
        <f t="shared" si="4"/>
        <v>0</v>
      </c>
    </row>
    <row r="167" spans="1:115">
      <c r="A167" t="s">
        <v>2920</v>
      </c>
      <c r="B167" t="s">
        <v>674</v>
      </c>
      <c r="C167">
        <v>496.62200000000001</v>
      </c>
      <c r="D167">
        <v>576.66100000000006</v>
      </c>
      <c r="E167">
        <v>151.785</v>
      </c>
      <c r="F167">
        <v>0</v>
      </c>
      <c r="G167" s="2043">
        <v>73637515</v>
      </c>
      <c r="H167">
        <v>0</v>
      </c>
      <c r="I167" s="2043">
        <v>732162</v>
      </c>
      <c r="J167">
        <v>24.831</v>
      </c>
      <c r="K167">
        <v>68</v>
      </c>
      <c r="L167">
        <v>188430</v>
      </c>
      <c r="M167">
        <v>219963</v>
      </c>
      <c r="N167">
        <v>188430</v>
      </c>
      <c r="O167">
        <v>408393</v>
      </c>
      <c r="P167">
        <v>0</v>
      </c>
      <c r="Q167">
        <v>0</v>
      </c>
      <c r="R167" s="2043">
        <v>662420</v>
      </c>
      <c r="S167">
        <v>58018</v>
      </c>
      <c r="T167">
        <v>42280</v>
      </c>
      <c r="U167">
        <v>0.08</v>
      </c>
      <c r="V167">
        <v>0</v>
      </c>
      <c r="W167">
        <v>0</v>
      </c>
      <c r="X167">
        <v>0</v>
      </c>
      <c r="Y167">
        <v>0</v>
      </c>
      <c r="Z167">
        <v>0</v>
      </c>
      <c r="AA167">
        <v>0.218</v>
      </c>
      <c r="AB167">
        <v>562.88300000000004</v>
      </c>
      <c r="AC167" s="2043">
        <v>60207686</v>
      </c>
      <c r="AD167">
        <v>334021</v>
      </c>
      <c r="AE167" s="2043">
        <v>762718</v>
      </c>
      <c r="AF167">
        <v>1.0517000000000001</v>
      </c>
      <c r="AG167">
        <v>0</v>
      </c>
      <c r="AH167">
        <v>0</v>
      </c>
      <c r="AI167">
        <v>0</v>
      </c>
      <c r="AJ167">
        <v>141.38800000000001</v>
      </c>
      <c r="AK167">
        <v>1651</v>
      </c>
      <c r="AL167">
        <v>0</v>
      </c>
      <c r="AM167">
        <v>0</v>
      </c>
      <c r="AN167">
        <v>26.364000000000001</v>
      </c>
      <c r="AO167">
        <v>0</v>
      </c>
      <c r="AP167">
        <v>0</v>
      </c>
      <c r="AQ167">
        <v>0</v>
      </c>
      <c r="AR167">
        <v>2.39</v>
      </c>
      <c r="AS167">
        <v>0</v>
      </c>
      <c r="AT167">
        <v>2.9420000000000002</v>
      </c>
      <c r="AU167">
        <v>0.69200000000000006</v>
      </c>
      <c r="AV167">
        <v>0</v>
      </c>
      <c r="AW167">
        <v>6.024</v>
      </c>
      <c r="AX167">
        <v>0</v>
      </c>
      <c r="AY167">
        <v>19.456</v>
      </c>
      <c r="AZ167">
        <v>0</v>
      </c>
      <c r="BA167">
        <v>6899344</v>
      </c>
      <c r="BB167">
        <v>1096739</v>
      </c>
      <c r="BC167">
        <v>0</v>
      </c>
      <c r="BD167">
        <v>0</v>
      </c>
      <c r="BE167">
        <v>4530</v>
      </c>
      <c r="BF167">
        <v>54080</v>
      </c>
      <c r="BG167">
        <v>0</v>
      </c>
      <c r="BH167">
        <v>49550</v>
      </c>
      <c r="BI167">
        <v>0</v>
      </c>
      <c r="BJ167">
        <v>0</v>
      </c>
      <c r="BK167">
        <v>0</v>
      </c>
      <c r="BL167">
        <v>73637515</v>
      </c>
      <c r="BM167">
        <v>0</v>
      </c>
      <c r="BN167">
        <v>2304</v>
      </c>
      <c r="BO167">
        <v>1434</v>
      </c>
      <c r="BP167">
        <v>0</v>
      </c>
      <c r="BQ167">
        <v>0</v>
      </c>
      <c r="BR167">
        <v>0.91339999999999999</v>
      </c>
      <c r="BS167">
        <v>0.91339999999999999</v>
      </c>
      <c r="BT167">
        <v>0</v>
      </c>
      <c r="BU167">
        <v>0</v>
      </c>
      <c r="BV167">
        <v>9</v>
      </c>
      <c r="BW167">
        <v>9</v>
      </c>
      <c r="BX167">
        <v>7</v>
      </c>
      <c r="BY167">
        <v>514</v>
      </c>
      <c r="BZ167">
        <v>2</v>
      </c>
      <c r="CA167">
        <v>541</v>
      </c>
      <c r="CB167">
        <v>0</v>
      </c>
      <c r="CC167">
        <v>0</v>
      </c>
      <c r="CD167">
        <v>0</v>
      </c>
      <c r="CE167">
        <v>10</v>
      </c>
      <c r="CF167">
        <v>173.904</v>
      </c>
      <c r="CG167">
        <v>7.9530000000000003</v>
      </c>
      <c r="CH167">
        <v>0</v>
      </c>
      <c r="CI167">
        <v>8</v>
      </c>
      <c r="CJ167">
        <v>0</v>
      </c>
      <c r="CK167">
        <v>0</v>
      </c>
      <c r="CL167">
        <v>7.9530000000000003</v>
      </c>
      <c r="CM167">
        <v>151.785</v>
      </c>
      <c r="CN167">
        <v>0</v>
      </c>
      <c r="CO167">
        <v>0</v>
      </c>
      <c r="CP167">
        <v>0</v>
      </c>
      <c r="CQ167">
        <v>0</v>
      </c>
      <c r="CR167">
        <v>0</v>
      </c>
      <c r="CS167">
        <v>0</v>
      </c>
      <c r="CT167">
        <v>0</v>
      </c>
      <c r="CU167">
        <v>0</v>
      </c>
      <c r="CV167">
        <v>30.422000000000001</v>
      </c>
      <c r="CW167">
        <v>20.851000000000003</v>
      </c>
      <c r="CX167">
        <v>0</v>
      </c>
      <c r="CY167" s="2043">
        <v>0</v>
      </c>
      <c r="CZ167" s="2043">
        <v>0</v>
      </c>
      <c r="DA167" s="2043">
        <v>0</v>
      </c>
      <c r="DB167" s="2043">
        <v>0</v>
      </c>
      <c r="DC167" s="2043">
        <v>0</v>
      </c>
      <c r="DI167" t="s">
        <v>2919</v>
      </c>
      <c r="DJ167" t="s">
        <v>2920</v>
      </c>
      <c r="DK167" s="2042">
        <f t="shared" si="4"/>
        <v>-1</v>
      </c>
    </row>
    <row r="168" spans="1:115">
      <c r="A168" t="s">
        <v>2919</v>
      </c>
      <c r="B168" t="s">
        <v>1239</v>
      </c>
      <c r="C168">
        <v>8254.4050000000007</v>
      </c>
      <c r="D168">
        <v>9090.1980000000003</v>
      </c>
      <c r="E168">
        <v>1707.0230000000001</v>
      </c>
      <c r="F168">
        <v>0</v>
      </c>
      <c r="G168" s="2043">
        <v>1256576130</v>
      </c>
      <c r="H168">
        <v>0</v>
      </c>
      <c r="I168" s="2043">
        <v>7641409</v>
      </c>
      <c r="J168">
        <v>408</v>
      </c>
      <c r="K168">
        <v>1115</v>
      </c>
      <c r="L168">
        <v>2099663</v>
      </c>
      <c r="M168">
        <v>3528547</v>
      </c>
      <c r="N168">
        <v>2099663</v>
      </c>
      <c r="O168">
        <v>5628210</v>
      </c>
      <c r="P168">
        <v>0</v>
      </c>
      <c r="Q168">
        <v>0</v>
      </c>
      <c r="R168" s="2043">
        <v>11278948</v>
      </c>
      <c r="S168">
        <v>1008174</v>
      </c>
      <c r="T168">
        <v>630109</v>
      </c>
      <c r="U168">
        <v>0.08</v>
      </c>
      <c r="V168">
        <v>0</v>
      </c>
      <c r="W168">
        <v>0</v>
      </c>
      <c r="X168">
        <v>0</v>
      </c>
      <c r="Y168">
        <v>0</v>
      </c>
      <c r="Z168">
        <v>0</v>
      </c>
      <c r="AA168">
        <v>1.8000000000000002E-2</v>
      </c>
      <c r="AB168">
        <v>8984.5</v>
      </c>
      <c r="AC168" s="2043">
        <v>1138807421</v>
      </c>
      <c r="AD168">
        <v>3484539</v>
      </c>
      <c r="AE168" s="2043">
        <v>12917231</v>
      </c>
      <c r="AF168">
        <v>1.0250000000000001</v>
      </c>
      <c r="AG168">
        <v>0</v>
      </c>
      <c r="AH168">
        <v>0</v>
      </c>
      <c r="AI168">
        <v>0</v>
      </c>
      <c r="AJ168">
        <v>2078.663</v>
      </c>
      <c r="AK168">
        <v>27121</v>
      </c>
      <c r="AL168">
        <v>3.0409999999999999</v>
      </c>
      <c r="AM168">
        <v>0.315</v>
      </c>
      <c r="AN168">
        <v>252.83800000000002</v>
      </c>
      <c r="AO168">
        <v>0</v>
      </c>
      <c r="AP168">
        <v>0</v>
      </c>
      <c r="AQ168">
        <v>11.817</v>
      </c>
      <c r="AR168">
        <v>176.506</v>
      </c>
      <c r="AS168">
        <v>0</v>
      </c>
      <c r="AT168">
        <v>63.248000000000005</v>
      </c>
      <c r="AU168">
        <v>19.311</v>
      </c>
      <c r="AV168">
        <v>0</v>
      </c>
      <c r="AW168">
        <v>286.20600000000002</v>
      </c>
      <c r="AX168">
        <v>11.968</v>
      </c>
      <c r="AY168">
        <v>859.49300000000005</v>
      </c>
      <c r="AZ168">
        <v>0</v>
      </c>
      <c r="BA168">
        <v>79473426</v>
      </c>
      <c r="BB168">
        <v>16401770</v>
      </c>
      <c r="BC168">
        <v>0</v>
      </c>
      <c r="BD168">
        <v>411120</v>
      </c>
      <c r="BE168">
        <v>146429</v>
      </c>
      <c r="BF168">
        <v>645097</v>
      </c>
      <c r="BG168">
        <v>411120</v>
      </c>
      <c r="BH168">
        <v>87548</v>
      </c>
      <c r="BI168">
        <v>0</v>
      </c>
      <c r="BJ168">
        <v>0</v>
      </c>
      <c r="BK168">
        <v>0</v>
      </c>
      <c r="BL168">
        <v>1256576130</v>
      </c>
      <c r="BM168">
        <v>0</v>
      </c>
      <c r="BN168">
        <v>35559</v>
      </c>
      <c r="BO168">
        <v>25348</v>
      </c>
      <c r="BP168">
        <v>0</v>
      </c>
      <c r="BQ168">
        <v>0</v>
      </c>
      <c r="BR168">
        <v>0.89500000000000002</v>
      </c>
      <c r="BS168">
        <v>0.89500000000000002</v>
      </c>
      <c r="BT168">
        <v>0</v>
      </c>
      <c r="BU168">
        <v>0</v>
      </c>
      <c r="BV168">
        <v>849</v>
      </c>
      <c r="BW168">
        <v>934</v>
      </c>
      <c r="BX168">
        <v>2151</v>
      </c>
      <c r="BY168">
        <v>2353</v>
      </c>
      <c r="BZ168">
        <v>1856</v>
      </c>
      <c r="CA168">
        <v>8143</v>
      </c>
      <c r="CB168">
        <v>0</v>
      </c>
      <c r="CC168">
        <v>183.67500000000001</v>
      </c>
      <c r="CD168">
        <v>136.70699999999999</v>
      </c>
      <c r="CE168">
        <v>366</v>
      </c>
      <c r="CF168">
        <v>2705.0590000000002</v>
      </c>
      <c r="CG168">
        <v>103.214</v>
      </c>
      <c r="CH168">
        <v>15.860000000000001</v>
      </c>
      <c r="CI168">
        <v>143</v>
      </c>
      <c r="CJ168">
        <v>41</v>
      </c>
      <c r="CK168">
        <v>4</v>
      </c>
      <c r="CL168">
        <v>119.07400000000001</v>
      </c>
      <c r="CM168">
        <v>1707.0230000000001</v>
      </c>
      <c r="CN168">
        <v>0</v>
      </c>
      <c r="CO168">
        <v>0</v>
      </c>
      <c r="CP168">
        <v>0</v>
      </c>
      <c r="CQ168">
        <v>0</v>
      </c>
      <c r="CR168">
        <v>0</v>
      </c>
      <c r="CS168">
        <v>0</v>
      </c>
      <c r="CT168">
        <v>0</v>
      </c>
      <c r="CU168">
        <v>24.186</v>
      </c>
      <c r="CV168">
        <v>743.76</v>
      </c>
      <c r="CW168">
        <v>260.298</v>
      </c>
      <c r="CX168">
        <v>0</v>
      </c>
      <c r="CY168" s="2043">
        <v>0</v>
      </c>
      <c r="CZ168" s="2043">
        <v>0</v>
      </c>
      <c r="DA168" s="2043">
        <v>0</v>
      </c>
      <c r="DB168" s="2043">
        <v>0</v>
      </c>
      <c r="DC168" s="2043">
        <v>0</v>
      </c>
      <c r="DI168" t="s">
        <v>2920</v>
      </c>
      <c r="DJ168" t="s">
        <v>2919</v>
      </c>
      <c r="DK168" s="2042">
        <f t="shared" si="4"/>
        <v>1</v>
      </c>
    </row>
    <row r="169" spans="1:115">
      <c r="A169" t="s">
        <v>2921</v>
      </c>
      <c r="B169" t="s">
        <v>464</v>
      </c>
      <c r="C169">
        <v>788.64700000000005</v>
      </c>
      <c r="D169">
        <v>865.55600000000004</v>
      </c>
      <c r="E169">
        <v>157.40300000000002</v>
      </c>
      <c r="F169">
        <v>0</v>
      </c>
      <c r="G169" s="2043">
        <v>128635901</v>
      </c>
      <c r="H169">
        <v>0</v>
      </c>
      <c r="I169" s="2043">
        <v>1045200</v>
      </c>
      <c r="J169">
        <v>37</v>
      </c>
      <c r="K169">
        <v>101</v>
      </c>
      <c r="L169">
        <v>473385</v>
      </c>
      <c r="M169">
        <v>487095</v>
      </c>
      <c r="N169">
        <v>473385</v>
      </c>
      <c r="O169">
        <v>960480</v>
      </c>
      <c r="P169">
        <v>0</v>
      </c>
      <c r="Q169">
        <v>0</v>
      </c>
      <c r="R169" s="2043">
        <v>1041252</v>
      </c>
      <c r="S169">
        <v>101338</v>
      </c>
      <c r="T169">
        <v>114006</v>
      </c>
      <c r="U169">
        <v>0.08</v>
      </c>
      <c r="V169">
        <v>0</v>
      </c>
      <c r="W169">
        <v>0</v>
      </c>
      <c r="X169">
        <v>0</v>
      </c>
      <c r="Y169">
        <v>0</v>
      </c>
      <c r="Z169">
        <v>0</v>
      </c>
      <c r="AA169">
        <v>0</v>
      </c>
      <c r="AB169">
        <v>865.55600000000004</v>
      </c>
      <c r="AC169" s="2043">
        <v>96389181</v>
      </c>
      <c r="AD169">
        <v>329399</v>
      </c>
      <c r="AE169" s="2043">
        <v>1256596</v>
      </c>
      <c r="AF169">
        <v>0.99199999999999999</v>
      </c>
      <c r="AG169">
        <v>0</v>
      </c>
      <c r="AH169">
        <v>0</v>
      </c>
      <c r="AI169">
        <v>0</v>
      </c>
      <c r="AJ169">
        <v>198.46300000000002</v>
      </c>
      <c r="AK169">
        <v>5047</v>
      </c>
      <c r="AL169">
        <v>0.8570000000000001</v>
      </c>
      <c r="AM169">
        <v>0</v>
      </c>
      <c r="AN169">
        <v>47.402000000000001</v>
      </c>
      <c r="AO169">
        <v>0</v>
      </c>
      <c r="AP169">
        <v>0</v>
      </c>
      <c r="AQ169">
        <v>0</v>
      </c>
      <c r="AR169">
        <v>19.399000000000001</v>
      </c>
      <c r="AS169">
        <v>0</v>
      </c>
      <c r="AT169">
        <v>12.573</v>
      </c>
      <c r="AU169">
        <v>1.6850000000000001</v>
      </c>
      <c r="AV169">
        <v>0</v>
      </c>
      <c r="AW169">
        <v>34.514000000000003</v>
      </c>
      <c r="AX169">
        <v>0</v>
      </c>
      <c r="AY169">
        <v>108.626</v>
      </c>
      <c r="AZ169">
        <v>0</v>
      </c>
      <c r="BA169">
        <v>10616048</v>
      </c>
      <c r="BB169">
        <v>1585995</v>
      </c>
      <c r="BC169">
        <v>0</v>
      </c>
      <c r="BD169">
        <v>30292</v>
      </c>
      <c r="BE169">
        <v>8684</v>
      </c>
      <c r="BF169">
        <v>38976</v>
      </c>
      <c r="BG169">
        <v>30292</v>
      </c>
      <c r="BH169">
        <v>0</v>
      </c>
      <c r="BI169">
        <v>0</v>
      </c>
      <c r="BJ169">
        <v>0</v>
      </c>
      <c r="BK169">
        <v>0</v>
      </c>
      <c r="BL169">
        <v>128635901</v>
      </c>
      <c r="BM169">
        <v>0</v>
      </c>
      <c r="BN169">
        <v>3132</v>
      </c>
      <c r="BO169">
        <v>2761</v>
      </c>
      <c r="BP169">
        <v>0</v>
      </c>
      <c r="BQ169">
        <v>0</v>
      </c>
      <c r="BR169">
        <v>0.82200000000000006</v>
      </c>
      <c r="BS169">
        <v>0.82200000000000006</v>
      </c>
      <c r="BT169">
        <v>0</v>
      </c>
      <c r="BU169">
        <v>0</v>
      </c>
      <c r="BV169">
        <v>21</v>
      </c>
      <c r="BW169">
        <v>5</v>
      </c>
      <c r="BX169">
        <v>55</v>
      </c>
      <c r="BY169">
        <v>678</v>
      </c>
      <c r="BZ169">
        <v>3</v>
      </c>
      <c r="CA169">
        <v>762</v>
      </c>
      <c r="CB169">
        <v>0</v>
      </c>
      <c r="CC169">
        <v>0</v>
      </c>
      <c r="CD169">
        <v>0</v>
      </c>
      <c r="CE169">
        <v>23</v>
      </c>
      <c r="CF169">
        <v>205.661</v>
      </c>
      <c r="CG169">
        <v>0</v>
      </c>
      <c r="CH169">
        <v>0</v>
      </c>
      <c r="CI169">
        <v>18</v>
      </c>
      <c r="CJ169">
        <v>4</v>
      </c>
      <c r="CK169">
        <v>0</v>
      </c>
      <c r="CL169">
        <v>0</v>
      </c>
      <c r="CM169">
        <v>157.40300000000002</v>
      </c>
      <c r="CN169">
        <v>0</v>
      </c>
      <c r="CO169">
        <v>0</v>
      </c>
      <c r="CP169">
        <v>0</v>
      </c>
      <c r="CQ169">
        <v>0</v>
      </c>
      <c r="CR169">
        <v>0</v>
      </c>
      <c r="CS169">
        <v>0</v>
      </c>
      <c r="CT169">
        <v>0</v>
      </c>
      <c r="CU169">
        <v>0</v>
      </c>
      <c r="CV169">
        <v>44.956000000000003</v>
      </c>
      <c r="CW169">
        <v>23.792000000000002</v>
      </c>
      <c r="CX169">
        <v>0</v>
      </c>
      <c r="CY169" s="2043">
        <v>0</v>
      </c>
      <c r="CZ169" s="2043">
        <v>0</v>
      </c>
      <c r="DA169" s="2043">
        <v>0</v>
      </c>
      <c r="DB169" s="2043">
        <v>0</v>
      </c>
      <c r="DC169" s="2043">
        <v>0</v>
      </c>
      <c r="DI169" t="s">
        <v>2921</v>
      </c>
      <c r="DJ169" t="s">
        <v>2921</v>
      </c>
      <c r="DK169" s="2042">
        <f t="shared" si="4"/>
        <v>0</v>
      </c>
    </row>
    <row r="170" spans="1:115">
      <c r="A170" t="s">
        <v>7354</v>
      </c>
      <c r="B170" t="s">
        <v>11263</v>
      </c>
      <c r="C170">
        <v>4020.0830000000001</v>
      </c>
      <c r="D170">
        <v>3982.2890000000002</v>
      </c>
      <c r="E170">
        <v>430.63500000000005</v>
      </c>
      <c r="F170">
        <v>0</v>
      </c>
      <c r="G170" s="2043">
        <v>0</v>
      </c>
      <c r="H170">
        <v>0</v>
      </c>
      <c r="I170" s="2043">
        <v>0</v>
      </c>
      <c r="J170">
        <v>201.00400000000002</v>
      </c>
      <c r="K170">
        <v>550</v>
      </c>
      <c r="L170">
        <v>0</v>
      </c>
      <c r="M170">
        <v>0</v>
      </c>
      <c r="N170">
        <v>0</v>
      </c>
      <c r="O170">
        <v>0</v>
      </c>
      <c r="P170">
        <v>0</v>
      </c>
      <c r="Q170">
        <v>0</v>
      </c>
      <c r="R170" s="2043">
        <v>0</v>
      </c>
      <c r="S170">
        <v>0</v>
      </c>
      <c r="T170">
        <v>0</v>
      </c>
      <c r="U170">
        <v>0</v>
      </c>
      <c r="V170">
        <v>0</v>
      </c>
      <c r="W170">
        <v>0</v>
      </c>
      <c r="X170">
        <v>0</v>
      </c>
      <c r="Y170">
        <v>0</v>
      </c>
      <c r="Z170">
        <v>0</v>
      </c>
      <c r="AA170">
        <v>0</v>
      </c>
      <c r="AB170">
        <v>3943.9960000000001</v>
      </c>
      <c r="AC170" s="2043">
        <v>0</v>
      </c>
      <c r="AD170">
        <v>0</v>
      </c>
      <c r="AE170" s="2043">
        <v>30921700</v>
      </c>
      <c r="AF170">
        <v>4.2700000000000002E-2</v>
      </c>
      <c r="AG170">
        <v>0</v>
      </c>
      <c r="AH170">
        <v>0</v>
      </c>
      <c r="AI170">
        <v>0</v>
      </c>
      <c r="AJ170">
        <v>551.96300000000008</v>
      </c>
      <c r="AK170">
        <v>4434</v>
      </c>
      <c r="AL170">
        <v>0.38900000000000001</v>
      </c>
      <c r="AM170">
        <v>0</v>
      </c>
      <c r="AN170">
        <v>86.16</v>
      </c>
      <c r="AO170">
        <v>0</v>
      </c>
      <c r="AP170">
        <v>0</v>
      </c>
      <c r="AQ170">
        <v>0</v>
      </c>
      <c r="AR170">
        <v>24.330000000000002</v>
      </c>
      <c r="AS170">
        <v>0</v>
      </c>
      <c r="AT170">
        <v>0.79</v>
      </c>
      <c r="AU170">
        <v>1.9690000000000001</v>
      </c>
      <c r="AV170">
        <v>0</v>
      </c>
      <c r="AW170">
        <v>27.478000000000002</v>
      </c>
      <c r="AX170">
        <v>0</v>
      </c>
      <c r="AY170">
        <v>87.15</v>
      </c>
      <c r="AZ170">
        <v>0</v>
      </c>
      <c r="BA170">
        <v>42232018</v>
      </c>
      <c r="BB170">
        <v>0</v>
      </c>
      <c r="BC170">
        <v>0</v>
      </c>
      <c r="BD170">
        <v>1395670</v>
      </c>
      <c r="BE170">
        <v>30970</v>
      </c>
      <c r="BF170">
        <v>2505057</v>
      </c>
      <c r="BG170">
        <v>1395670</v>
      </c>
      <c r="BH170">
        <v>1078417</v>
      </c>
      <c r="BI170">
        <v>0</v>
      </c>
      <c r="BJ170">
        <v>0</v>
      </c>
      <c r="BK170">
        <v>0</v>
      </c>
      <c r="BL170">
        <v>0</v>
      </c>
      <c r="BM170">
        <v>0</v>
      </c>
      <c r="BN170">
        <v>34956</v>
      </c>
      <c r="BO170">
        <v>31619</v>
      </c>
      <c r="BP170">
        <v>20115</v>
      </c>
      <c r="BQ170">
        <v>0</v>
      </c>
      <c r="BR170">
        <v>4.2700000000000002E-2</v>
      </c>
      <c r="BS170">
        <v>0.91339999999999999</v>
      </c>
      <c r="BT170">
        <v>0</v>
      </c>
      <c r="BU170">
        <v>0</v>
      </c>
      <c r="BV170">
        <v>269</v>
      </c>
      <c r="BW170">
        <v>562</v>
      </c>
      <c r="BX170">
        <v>562</v>
      </c>
      <c r="BY170">
        <v>489</v>
      </c>
      <c r="BZ170">
        <v>324</v>
      </c>
      <c r="CA170">
        <v>2206</v>
      </c>
      <c r="CB170">
        <v>0</v>
      </c>
      <c r="CC170">
        <v>0</v>
      </c>
      <c r="CD170">
        <v>0</v>
      </c>
      <c r="CE170">
        <v>122</v>
      </c>
      <c r="CF170">
        <v>0</v>
      </c>
      <c r="CG170">
        <v>0</v>
      </c>
      <c r="CH170">
        <v>0</v>
      </c>
      <c r="CI170">
        <v>195</v>
      </c>
      <c r="CJ170">
        <v>113</v>
      </c>
      <c r="CK170">
        <v>3</v>
      </c>
      <c r="CL170">
        <v>0</v>
      </c>
      <c r="CM170">
        <v>430.63500000000005</v>
      </c>
      <c r="CN170">
        <v>0</v>
      </c>
      <c r="CO170">
        <v>0</v>
      </c>
      <c r="CP170">
        <v>20115</v>
      </c>
      <c r="CQ170">
        <v>0</v>
      </c>
      <c r="CR170">
        <v>0</v>
      </c>
      <c r="CS170">
        <v>0</v>
      </c>
      <c r="CT170">
        <v>0</v>
      </c>
      <c r="CU170">
        <v>38.196000000000005</v>
      </c>
      <c r="CV170">
        <v>520.96</v>
      </c>
      <c r="CW170">
        <v>484.47700000000003</v>
      </c>
      <c r="CX170">
        <v>0</v>
      </c>
      <c r="CY170" s="2043">
        <v>0</v>
      </c>
      <c r="CZ170" s="2043">
        <v>0</v>
      </c>
      <c r="DA170" s="2043">
        <v>0</v>
      </c>
      <c r="DB170" s="2043">
        <v>0</v>
      </c>
      <c r="DC170" s="2043">
        <v>0</v>
      </c>
      <c r="DI170" t="s">
        <v>7354</v>
      </c>
      <c r="DJ170" t="s">
        <v>7354</v>
      </c>
      <c r="DK170" s="2042">
        <f t="shared" si="4"/>
        <v>0</v>
      </c>
    </row>
    <row r="171" spans="1:115">
      <c r="A171" t="s">
        <v>4957</v>
      </c>
      <c r="B171" t="s">
        <v>885</v>
      </c>
      <c r="C171">
        <v>133.26600000000002</v>
      </c>
      <c r="D171">
        <v>130.08799999999999</v>
      </c>
      <c r="E171">
        <v>1.93</v>
      </c>
      <c r="F171">
        <v>334465</v>
      </c>
      <c r="G171" s="2043">
        <v>117252990</v>
      </c>
      <c r="H171">
        <v>0</v>
      </c>
      <c r="I171" s="2043">
        <v>1179400</v>
      </c>
      <c r="J171">
        <v>3</v>
      </c>
      <c r="K171">
        <v>8</v>
      </c>
      <c r="L171">
        <v>0</v>
      </c>
      <c r="M171">
        <v>0</v>
      </c>
      <c r="N171">
        <v>0</v>
      </c>
      <c r="O171">
        <v>0</v>
      </c>
      <c r="P171">
        <v>0</v>
      </c>
      <c r="Q171">
        <v>0</v>
      </c>
      <c r="R171" s="2043">
        <v>924851</v>
      </c>
      <c r="S171">
        <v>61370</v>
      </c>
      <c r="T171">
        <v>0</v>
      </c>
      <c r="U171">
        <v>0.06</v>
      </c>
      <c r="V171">
        <v>0</v>
      </c>
      <c r="W171">
        <v>0</v>
      </c>
      <c r="X171">
        <v>0</v>
      </c>
      <c r="Y171">
        <v>334465</v>
      </c>
      <c r="Z171">
        <v>0</v>
      </c>
      <c r="AA171">
        <v>0</v>
      </c>
      <c r="AB171">
        <v>130.08799999999999</v>
      </c>
      <c r="AC171" s="2043">
        <v>126501429</v>
      </c>
      <c r="AD171">
        <v>1024073</v>
      </c>
      <c r="AE171" s="2043">
        <v>986221</v>
      </c>
      <c r="AF171">
        <v>0.96420000000000006</v>
      </c>
      <c r="AG171">
        <v>0</v>
      </c>
      <c r="AH171">
        <v>0</v>
      </c>
      <c r="AI171">
        <v>0</v>
      </c>
      <c r="AJ171">
        <v>8.5500000000000007</v>
      </c>
      <c r="AK171">
        <v>1357</v>
      </c>
      <c r="AL171">
        <v>0</v>
      </c>
      <c r="AM171">
        <v>0</v>
      </c>
      <c r="AN171">
        <v>8.7270000000000003</v>
      </c>
      <c r="AO171">
        <v>0</v>
      </c>
      <c r="AP171">
        <v>0</v>
      </c>
      <c r="AQ171">
        <v>0</v>
      </c>
      <c r="AR171">
        <v>7.8230000000000004</v>
      </c>
      <c r="AS171">
        <v>0</v>
      </c>
      <c r="AT171">
        <v>1.0410000000000001</v>
      </c>
      <c r="AU171">
        <v>0.219</v>
      </c>
      <c r="AV171">
        <v>0</v>
      </c>
      <c r="AW171">
        <v>9.0830000000000002</v>
      </c>
      <c r="AX171">
        <v>0</v>
      </c>
      <c r="AY171">
        <v>27.687000000000001</v>
      </c>
      <c r="AZ171">
        <v>0</v>
      </c>
      <c r="BA171">
        <v>1465283</v>
      </c>
      <c r="BB171">
        <v>2010294</v>
      </c>
      <c r="BC171">
        <v>0</v>
      </c>
      <c r="BD171">
        <v>17808</v>
      </c>
      <c r="BE171">
        <v>0</v>
      </c>
      <c r="BF171">
        <v>17808</v>
      </c>
      <c r="BG171">
        <v>17808</v>
      </c>
      <c r="BH171">
        <v>0</v>
      </c>
      <c r="BI171">
        <v>0</v>
      </c>
      <c r="BJ171">
        <v>0</v>
      </c>
      <c r="BK171">
        <v>0</v>
      </c>
      <c r="BL171">
        <v>117252990</v>
      </c>
      <c r="BM171">
        <v>0</v>
      </c>
      <c r="BN171">
        <v>522</v>
      </c>
      <c r="BO171">
        <v>460</v>
      </c>
      <c r="BP171">
        <v>0</v>
      </c>
      <c r="BQ171">
        <v>0</v>
      </c>
      <c r="BR171">
        <v>0.9042</v>
      </c>
      <c r="BS171">
        <v>0.9042</v>
      </c>
      <c r="BT171">
        <v>0</v>
      </c>
      <c r="BU171">
        <v>0</v>
      </c>
      <c r="BV171">
        <v>0</v>
      </c>
      <c r="BW171">
        <v>36</v>
      </c>
      <c r="BX171">
        <v>0</v>
      </c>
      <c r="BY171">
        <v>0</v>
      </c>
      <c r="BZ171">
        <v>0</v>
      </c>
      <c r="CA171">
        <v>36</v>
      </c>
      <c r="CB171">
        <v>0</v>
      </c>
      <c r="CC171">
        <v>0</v>
      </c>
      <c r="CD171">
        <v>0</v>
      </c>
      <c r="CE171">
        <v>14</v>
      </c>
      <c r="CF171">
        <v>11.028</v>
      </c>
      <c r="CG171">
        <v>0</v>
      </c>
      <c r="CH171">
        <v>0</v>
      </c>
      <c r="CI171">
        <v>1</v>
      </c>
      <c r="CJ171">
        <v>3</v>
      </c>
      <c r="CK171">
        <v>0</v>
      </c>
      <c r="CL171">
        <v>0</v>
      </c>
      <c r="CM171">
        <v>1.93</v>
      </c>
      <c r="CN171">
        <v>0</v>
      </c>
      <c r="CO171">
        <v>0</v>
      </c>
      <c r="CP171">
        <v>0</v>
      </c>
      <c r="CQ171">
        <v>0</v>
      </c>
      <c r="CR171">
        <v>0</v>
      </c>
      <c r="CS171">
        <v>0</v>
      </c>
      <c r="CT171">
        <v>0</v>
      </c>
      <c r="CU171">
        <v>0</v>
      </c>
      <c r="CV171">
        <v>12.231</v>
      </c>
      <c r="CW171">
        <v>12.02</v>
      </c>
      <c r="CX171">
        <v>0</v>
      </c>
      <c r="CY171" s="2043">
        <v>0</v>
      </c>
      <c r="CZ171" s="2043">
        <v>0</v>
      </c>
      <c r="DA171" s="2043">
        <v>0</v>
      </c>
      <c r="DB171" s="2043">
        <v>334465</v>
      </c>
      <c r="DC171" s="2043">
        <v>0</v>
      </c>
      <c r="DI171" t="s">
        <v>4956</v>
      </c>
      <c r="DJ171" t="s">
        <v>4957</v>
      </c>
      <c r="DK171" s="2042">
        <f t="shared" si="4"/>
        <v>-999</v>
      </c>
    </row>
    <row r="172" spans="1:115">
      <c r="A172" t="s">
        <v>4956</v>
      </c>
      <c r="B172" t="s">
        <v>884</v>
      </c>
      <c r="C172">
        <v>2196.0770000000002</v>
      </c>
      <c r="D172">
        <v>2328.444</v>
      </c>
      <c r="E172">
        <v>409.41400000000004</v>
      </c>
      <c r="F172">
        <v>0</v>
      </c>
      <c r="G172" s="2043">
        <v>980631820</v>
      </c>
      <c r="H172">
        <v>0</v>
      </c>
      <c r="I172" s="2043">
        <v>1568225</v>
      </c>
      <c r="J172">
        <v>101</v>
      </c>
      <c r="K172">
        <v>276</v>
      </c>
      <c r="L172">
        <v>0</v>
      </c>
      <c r="M172">
        <v>294575</v>
      </c>
      <c r="N172">
        <v>0</v>
      </c>
      <c r="O172">
        <v>294575</v>
      </c>
      <c r="P172">
        <v>0</v>
      </c>
      <c r="Q172">
        <v>0</v>
      </c>
      <c r="R172" s="2043">
        <v>8113940</v>
      </c>
      <c r="S172">
        <v>484241</v>
      </c>
      <c r="T172">
        <v>0</v>
      </c>
      <c r="U172">
        <v>0.05</v>
      </c>
      <c r="V172">
        <v>0</v>
      </c>
      <c r="W172">
        <v>0</v>
      </c>
      <c r="X172">
        <v>0</v>
      </c>
      <c r="Y172">
        <v>0</v>
      </c>
      <c r="Z172">
        <v>0</v>
      </c>
      <c r="AA172">
        <v>0</v>
      </c>
      <c r="AB172">
        <v>2178.13</v>
      </c>
      <c r="AC172" s="2043">
        <v>850001192</v>
      </c>
      <c r="AD172">
        <v>1931401</v>
      </c>
      <c r="AE172" s="2043">
        <v>8598181</v>
      </c>
      <c r="AF172">
        <v>0.88780000000000003</v>
      </c>
      <c r="AG172">
        <v>0</v>
      </c>
      <c r="AH172">
        <v>0</v>
      </c>
      <c r="AI172">
        <v>0</v>
      </c>
      <c r="AJ172">
        <v>452.16300000000001</v>
      </c>
      <c r="AK172">
        <v>7519</v>
      </c>
      <c r="AL172">
        <v>0</v>
      </c>
      <c r="AM172">
        <v>0</v>
      </c>
      <c r="AN172">
        <v>48.717000000000006</v>
      </c>
      <c r="AO172">
        <v>0</v>
      </c>
      <c r="AP172">
        <v>0</v>
      </c>
      <c r="AQ172">
        <v>0</v>
      </c>
      <c r="AR172">
        <v>50.035000000000004</v>
      </c>
      <c r="AS172">
        <v>0</v>
      </c>
      <c r="AT172">
        <v>24.214000000000002</v>
      </c>
      <c r="AU172">
        <v>5.899</v>
      </c>
      <c r="AV172">
        <v>0</v>
      </c>
      <c r="AW172">
        <v>80.14800000000001</v>
      </c>
      <c r="AX172">
        <v>0</v>
      </c>
      <c r="AY172">
        <v>252.24200000000002</v>
      </c>
      <c r="AZ172">
        <v>0</v>
      </c>
      <c r="BA172">
        <v>13354122</v>
      </c>
      <c r="BB172">
        <v>10529582</v>
      </c>
      <c r="BC172">
        <v>0</v>
      </c>
      <c r="BD172">
        <v>180256</v>
      </c>
      <c r="BE172">
        <v>49369</v>
      </c>
      <c r="BF172">
        <v>229625</v>
      </c>
      <c r="BG172">
        <v>180256</v>
      </c>
      <c r="BH172">
        <v>0</v>
      </c>
      <c r="BI172">
        <v>0</v>
      </c>
      <c r="BJ172">
        <v>0</v>
      </c>
      <c r="BK172">
        <v>0</v>
      </c>
      <c r="BL172">
        <v>980631820</v>
      </c>
      <c r="BM172">
        <v>0</v>
      </c>
      <c r="BN172">
        <v>8208</v>
      </c>
      <c r="BO172">
        <v>6249</v>
      </c>
      <c r="BP172">
        <v>0</v>
      </c>
      <c r="BQ172">
        <v>0</v>
      </c>
      <c r="BR172">
        <v>0.83779999999999999</v>
      </c>
      <c r="BS172">
        <v>0.83779999999999999</v>
      </c>
      <c r="BT172">
        <v>0</v>
      </c>
      <c r="BU172">
        <v>0</v>
      </c>
      <c r="BV172">
        <v>339</v>
      </c>
      <c r="BW172">
        <v>528</v>
      </c>
      <c r="BX172">
        <v>510</v>
      </c>
      <c r="BY172">
        <v>457</v>
      </c>
      <c r="BZ172">
        <v>11</v>
      </c>
      <c r="CA172">
        <v>1845</v>
      </c>
      <c r="CB172">
        <v>0</v>
      </c>
      <c r="CC172">
        <v>0</v>
      </c>
      <c r="CD172">
        <v>0</v>
      </c>
      <c r="CE172">
        <v>103</v>
      </c>
      <c r="CF172">
        <v>728.54</v>
      </c>
      <c r="CG172">
        <v>0</v>
      </c>
      <c r="CH172">
        <v>0</v>
      </c>
      <c r="CI172">
        <v>11</v>
      </c>
      <c r="CJ172">
        <v>5</v>
      </c>
      <c r="CK172">
        <v>0</v>
      </c>
      <c r="CL172">
        <v>0</v>
      </c>
      <c r="CM172">
        <v>409.41400000000004</v>
      </c>
      <c r="CN172">
        <v>0</v>
      </c>
      <c r="CO172">
        <v>0</v>
      </c>
      <c r="CP172">
        <v>0</v>
      </c>
      <c r="CQ172">
        <v>0</v>
      </c>
      <c r="CR172">
        <v>0</v>
      </c>
      <c r="CS172">
        <v>0</v>
      </c>
      <c r="CT172">
        <v>0</v>
      </c>
      <c r="CU172">
        <v>1.276</v>
      </c>
      <c r="CV172">
        <v>133.51600000000002</v>
      </c>
      <c r="CW172">
        <v>58.115000000000002</v>
      </c>
      <c r="CX172">
        <v>0</v>
      </c>
      <c r="CY172" s="2043">
        <v>0</v>
      </c>
      <c r="CZ172" s="2043">
        <v>0</v>
      </c>
      <c r="DA172" s="2043">
        <v>0</v>
      </c>
      <c r="DB172" s="2043">
        <v>0</v>
      </c>
      <c r="DC172" s="2043">
        <v>0</v>
      </c>
      <c r="DI172" t="s">
        <v>4957</v>
      </c>
      <c r="DJ172" t="s">
        <v>4956</v>
      </c>
      <c r="DK172" s="2042">
        <f t="shared" si="4"/>
        <v>999</v>
      </c>
    </row>
    <row r="173" spans="1:115">
      <c r="A173" t="s">
        <v>4958</v>
      </c>
      <c r="B173" t="s">
        <v>731</v>
      </c>
      <c r="C173">
        <v>606.56500000000005</v>
      </c>
      <c r="D173">
        <v>600.58800000000008</v>
      </c>
      <c r="E173">
        <v>11.377000000000001</v>
      </c>
      <c r="F173">
        <v>427550</v>
      </c>
      <c r="G173" s="2043">
        <v>554544089</v>
      </c>
      <c r="H173">
        <v>0</v>
      </c>
      <c r="I173" s="2043">
        <v>0</v>
      </c>
      <c r="J173">
        <v>30.328000000000003</v>
      </c>
      <c r="K173">
        <v>83</v>
      </c>
      <c r="L173">
        <v>0</v>
      </c>
      <c r="M173">
        <v>0</v>
      </c>
      <c r="N173">
        <v>0</v>
      </c>
      <c r="O173">
        <v>0</v>
      </c>
      <c r="P173">
        <v>0</v>
      </c>
      <c r="Q173">
        <v>0</v>
      </c>
      <c r="R173" s="2043">
        <v>4689914</v>
      </c>
      <c r="S173">
        <v>256728</v>
      </c>
      <c r="T173">
        <v>0</v>
      </c>
      <c r="U173">
        <v>0.05</v>
      </c>
      <c r="V173">
        <v>0</v>
      </c>
      <c r="W173">
        <v>0</v>
      </c>
      <c r="X173">
        <v>0</v>
      </c>
      <c r="Y173">
        <v>445782</v>
      </c>
      <c r="Z173">
        <v>0</v>
      </c>
      <c r="AA173">
        <v>0</v>
      </c>
      <c r="AB173">
        <v>600.58800000000008</v>
      </c>
      <c r="AC173" s="2043">
        <v>456662828</v>
      </c>
      <c r="AD173">
        <v>0</v>
      </c>
      <c r="AE173" s="2043">
        <v>4946642</v>
      </c>
      <c r="AF173">
        <v>0.96340000000000003</v>
      </c>
      <c r="AG173">
        <v>0</v>
      </c>
      <c r="AH173">
        <v>0</v>
      </c>
      <c r="AI173">
        <v>0</v>
      </c>
      <c r="AJ173">
        <v>46.163000000000004</v>
      </c>
      <c r="AK173">
        <v>2847</v>
      </c>
      <c r="AL173">
        <v>0</v>
      </c>
      <c r="AM173">
        <v>0</v>
      </c>
      <c r="AN173">
        <v>23.319000000000003</v>
      </c>
      <c r="AO173">
        <v>0</v>
      </c>
      <c r="AP173">
        <v>0</v>
      </c>
      <c r="AQ173">
        <v>0</v>
      </c>
      <c r="AR173">
        <v>15.091000000000001</v>
      </c>
      <c r="AS173">
        <v>0</v>
      </c>
      <c r="AT173">
        <v>3.5130000000000003</v>
      </c>
      <c r="AU173">
        <v>1.083</v>
      </c>
      <c r="AV173">
        <v>0</v>
      </c>
      <c r="AW173">
        <v>19.687000000000001</v>
      </c>
      <c r="AX173">
        <v>0</v>
      </c>
      <c r="AY173">
        <v>61.227000000000004</v>
      </c>
      <c r="AZ173">
        <v>0</v>
      </c>
      <c r="BA173">
        <v>2242355</v>
      </c>
      <c r="BB173">
        <v>4946642</v>
      </c>
      <c r="BC173">
        <v>0</v>
      </c>
      <c r="BD173">
        <v>96664</v>
      </c>
      <c r="BE173">
        <v>350</v>
      </c>
      <c r="BF173">
        <v>97014</v>
      </c>
      <c r="BG173">
        <v>96664</v>
      </c>
      <c r="BH173">
        <v>0</v>
      </c>
      <c r="BI173">
        <v>0</v>
      </c>
      <c r="BJ173">
        <v>0</v>
      </c>
      <c r="BK173">
        <v>0</v>
      </c>
      <c r="BL173">
        <v>554544089</v>
      </c>
      <c r="BM173">
        <v>0</v>
      </c>
      <c r="BN173">
        <v>2187</v>
      </c>
      <c r="BO173">
        <v>2172</v>
      </c>
      <c r="BP173">
        <v>0</v>
      </c>
      <c r="BQ173">
        <v>0</v>
      </c>
      <c r="BR173">
        <v>0.91339999999999999</v>
      </c>
      <c r="BS173">
        <v>0.91339999999999999</v>
      </c>
      <c r="BT173">
        <v>18232</v>
      </c>
      <c r="BU173">
        <v>0</v>
      </c>
      <c r="BV173">
        <v>186</v>
      </c>
      <c r="BW173">
        <v>1</v>
      </c>
      <c r="BX173">
        <v>2</v>
      </c>
      <c r="BY173">
        <v>0</v>
      </c>
      <c r="BZ173">
        <v>13</v>
      </c>
      <c r="CA173">
        <v>202</v>
      </c>
      <c r="CB173">
        <v>0</v>
      </c>
      <c r="CC173">
        <v>0</v>
      </c>
      <c r="CD173">
        <v>0</v>
      </c>
      <c r="CE173">
        <v>93</v>
      </c>
      <c r="CF173">
        <v>71.468000000000004</v>
      </c>
      <c r="CG173">
        <v>0</v>
      </c>
      <c r="CH173">
        <v>0</v>
      </c>
      <c r="CI173">
        <v>0</v>
      </c>
      <c r="CJ173">
        <v>4</v>
      </c>
      <c r="CK173">
        <v>1</v>
      </c>
      <c r="CL173">
        <v>0</v>
      </c>
      <c r="CM173">
        <v>11.377000000000001</v>
      </c>
      <c r="CN173">
        <v>0</v>
      </c>
      <c r="CO173">
        <v>0</v>
      </c>
      <c r="CP173">
        <v>0</v>
      </c>
      <c r="CQ173">
        <v>0</v>
      </c>
      <c r="CR173">
        <v>0</v>
      </c>
      <c r="CS173">
        <v>0</v>
      </c>
      <c r="CT173">
        <v>0</v>
      </c>
      <c r="CU173">
        <v>0</v>
      </c>
      <c r="CV173">
        <v>36.446000000000005</v>
      </c>
      <c r="CW173">
        <v>20.307000000000002</v>
      </c>
      <c r="CX173">
        <v>18232</v>
      </c>
      <c r="CY173" s="2043">
        <v>0</v>
      </c>
      <c r="CZ173" s="2043">
        <v>0</v>
      </c>
      <c r="DA173" s="2043">
        <v>0</v>
      </c>
      <c r="DB173" s="2043">
        <v>427550</v>
      </c>
      <c r="DC173" s="2043">
        <v>161582</v>
      </c>
      <c r="DI173" t="s">
        <v>4958</v>
      </c>
      <c r="DJ173" t="s">
        <v>4958</v>
      </c>
      <c r="DK173" s="2042">
        <f t="shared" si="4"/>
        <v>0</v>
      </c>
    </row>
    <row r="174" spans="1:115">
      <c r="A174" t="s">
        <v>4959</v>
      </c>
      <c r="B174" t="s">
        <v>1706</v>
      </c>
      <c r="C174">
        <v>311.46300000000002</v>
      </c>
      <c r="D174">
        <v>338.565</v>
      </c>
      <c r="E174">
        <v>8.7550000000000008</v>
      </c>
      <c r="F174">
        <v>209624</v>
      </c>
      <c r="G174" s="2043">
        <v>230738344</v>
      </c>
      <c r="H174">
        <v>0</v>
      </c>
      <c r="I174" s="2043">
        <v>936142</v>
      </c>
      <c r="J174">
        <v>15.573</v>
      </c>
      <c r="K174">
        <v>43</v>
      </c>
      <c r="L174">
        <v>0</v>
      </c>
      <c r="M174">
        <v>0</v>
      </c>
      <c r="N174">
        <v>0</v>
      </c>
      <c r="O174">
        <v>0</v>
      </c>
      <c r="P174">
        <v>0</v>
      </c>
      <c r="Q174">
        <v>0</v>
      </c>
      <c r="R174" s="2043">
        <v>1991450</v>
      </c>
      <c r="S174">
        <v>109348</v>
      </c>
      <c r="T174">
        <v>0</v>
      </c>
      <c r="U174">
        <v>0.05</v>
      </c>
      <c r="V174">
        <v>0</v>
      </c>
      <c r="W174">
        <v>0</v>
      </c>
      <c r="X174">
        <v>0</v>
      </c>
      <c r="Y174">
        <v>209624</v>
      </c>
      <c r="Z174">
        <v>0</v>
      </c>
      <c r="AA174">
        <v>0</v>
      </c>
      <c r="AB174">
        <v>338.565</v>
      </c>
      <c r="AC174" s="2043">
        <v>263963375</v>
      </c>
      <c r="AD174">
        <v>912201</v>
      </c>
      <c r="AE174" s="2043">
        <v>2100798</v>
      </c>
      <c r="AF174">
        <v>0.96060000000000001</v>
      </c>
      <c r="AG174">
        <v>0</v>
      </c>
      <c r="AH174">
        <v>0</v>
      </c>
      <c r="AI174">
        <v>0</v>
      </c>
      <c r="AJ174">
        <v>38.988</v>
      </c>
      <c r="AK174">
        <v>1679</v>
      </c>
      <c r="AL174">
        <v>0</v>
      </c>
      <c r="AM174">
        <v>0</v>
      </c>
      <c r="AN174">
        <v>13.737</v>
      </c>
      <c r="AO174">
        <v>0</v>
      </c>
      <c r="AP174">
        <v>0</v>
      </c>
      <c r="AQ174">
        <v>0</v>
      </c>
      <c r="AR174">
        <v>9.4720000000000013</v>
      </c>
      <c r="AS174">
        <v>0</v>
      </c>
      <c r="AT174">
        <v>0.71700000000000008</v>
      </c>
      <c r="AU174">
        <v>0.39300000000000002</v>
      </c>
      <c r="AV174">
        <v>0</v>
      </c>
      <c r="AW174">
        <v>10.582000000000001</v>
      </c>
      <c r="AX174">
        <v>0</v>
      </c>
      <c r="AY174">
        <v>32.532000000000004</v>
      </c>
      <c r="AZ174">
        <v>0</v>
      </c>
      <c r="BA174">
        <v>2048435</v>
      </c>
      <c r="BB174">
        <v>3012999</v>
      </c>
      <c r="BC174">
        <v>0</v>
      </c>
      <c r="BD174">
        <v>28950</v>
      </c>
      <c r="BE174">
        <v>0</v>
      </c>
      <c r="BF174">
        <v>28950</v>
      </c>
      <c r="BG174">
        <v>28950</v>
      </c>
      <c r="BH174">
        <v>0</v>
      </c>
      <c r="BI174">
        <v>0</v>
      </c>
      <c r="BJ174">
        <v>0</v>
      </c>
      <c r="BK174">
        <v>0</v>
      </c>
      <c r="BL174">
        <v>230738344</v>
      </c>
      <c r="BM174">
        <v>0</v>
      </c>
      <c r="BN174">
        <v>1251</v>
      </c>
      <c r="BO174">
        <v>1059</v>
      </c>
      <c r="BP174">
        <v>0</v>
      </c>
      <c r="BQ174">
        <v>0</v>
      </c>
      <c r="BR174">
        <v>0.91060000000000008</v>
      </c>
      <c r="BS174">
        <v>0.91060000000000008</v>
      </c>
      <c r="BT174">
        <v>0</v>
      </c>
      <c r="BU174">
        <v>0</v>
      </c>
      <c r="BV174">
        <v>89</v>
      </c>
      <c r="BW174">
        <v>47</v>
      </c>
      <c r="BX174">
        <v>5</v>
      </c>
      <c r="BY174">
        <v>4</v>
      </c>
      <c r="BZ174">
        <v>20</v>
      </c>
      <c r="CA174">
        <v>165</v>
      </c>
      <c r="CB174">
        <v>0</v>
      </c>
      <c r="CC174">
        <v>0</v>
      </c>
      <c r="CD174">
        <v>0</v>
      </c>
      <c r="CE174">
        <v>28</v>
      </c>
      <c r="CF174">
        <v>45.029000000000003</v>
      </c>
      <c r="CG174">
        <v>0</v>
      </c>
      <c r="CH174">
        <v>0</v>
      </c>
      <c r="CI174">
        <v>2</v>
      </c>
      <c r="CJ174">
        <v>2</v>
      </c>
      <c r="CK174">
        <v>0</v>
      </c>
      <c r="CL174">
        <v>0</v>
      </c>
      <c r="CM174">
        <v>8.7550000000000008</v>
      </c>
      <c r="CN174">
        <v>0</v>
      </c>
      <c r="CO174">
        <v>0</v>
      </c>
      <c r="CP174">
        <v>0</v>
      </c>
      <c r="CQ174">
        <v>0</v>
      </c>
      <c r="CR174">
        <v>0</v>
      </c>
      <c r="CS174">
        <v>0</v>
      </c>
      <c r="CT174">
        <v>0</v>
      </c>
      <c r="CU174">
        <v>0</v>
      </c>
      <c r="CV174">
        <v>21.015000000000001</v>
      </c>
      <c r="CW174">
        <v>13.736000000000001</v>
      </c>
      <c r="CX174">
        <v>0</v>
      </c>
      <c r="CY174" s="2043">
        <v>0</v>
      </c>
      <c r="CZ174" s="2043">
        <v>0</v>
      </c>
      <c r="DA174" s="2043">
        <v>0</v>
      </c>
      <c r="DB174" s="2043">
        <v>209624</v>
      </c>
      <c r="DC174" s="2043">
        <v>0</v>
      </c>
      <c r="DI174" t="s">
        <v>4959</v>
      </c>
      <c r="DJ174" t="s">
        <v>4959</v>
      </c>
      <c r="DK174" s="2042">
        <f t="shared" si="4"/>
        <v>0</v>
      </c>
    </row>
    <row r="175" spans="1:115">
      <c r="A175" t="s">
        <v>4960</v>
      </c>
      <c r="B175" t="s">
        <v>1629</v>
      </c>
      <c r="C175">
        <v>1730.2830000000001</v>
      </c>
      <c r="D175">
        <v>1761.893</v>
      </c>
      <c r="E175">
        <v>35.356000000000002</v>
      </c>
      <c r="F175">
        <v>0</v>
      </c>
      <c r="G175" s="2043">
        <v>590406575</v>
      </c>
      <c r="H175">
        <v>0</v>
      </c>
      <c r="I175" s="2043">
        <v>892123</v>
      </c>
      <c r="J175">
        <v>86.51400000000001</v>
      </c>
      <c r="K175">
        <v>237</v>
      </c>
      <c r="L175">
        <v>0</v>
      </c>
      <c r="M175">
        <v>0</v>
      </c>
      <c r="N175">
        <v>0</v>
      </c>
      <c r="O175">
        <v>0</v>
      </c>
      <c r="P175">
        <v>0</v>
      </c>
      <c r="Q175">
        <v>0</v>
      </c>
      <c r="R175" s="2043">
        <v>5056088</v>
      </c>
      <c r="S175">
        <v>465141</v>
      </c>
      <c r="T175">
        <v>338972</v>
      </c>
      <c r="U175">
        <v>0.08</v>
      </c>
      <c r="V175">
        <v>0</v>
      </c>
      <c r="W175">
        <v>0</v>
      </c>
      <c r="X175">
        <v>0</v>
      </c>
      <c r="Y175">
        <v>0</v>
      </c>
      <c r="Z175">
        <v>0</v>
      </c>
      <c r="AA175">
        <v>0</v>
      </c>
      <c r="AB175">
        <v>1702.3150000000001</v>
      </c>
      <c r="AC175" s="2043">
        <v>554622222</v>
      </c>
      <c r="AD175">
        <v>579349</v>
      </c>
      <c r="AE175" s="2043">
        <v>5860201</v>
      </c>
      <c r="AF175">
        <v>1.0079</v>
      </c>
      <c r="AG175">
        <v>0</v>
      </c>
      <c r="AH175">
        <v>0</v>
      </c>
      <c r="AI175">
        <v>0</v>
      </c>
      <c r="AJ175">
        <v>314.28800000000001</v>
      </c>
      <c r="AK175">
        <v>5715</v>
      </c>
      <c r="AL175">
        <v>0.32100000000000001</v>
      </c>
      <c r="AM175">
        <v>0</v>
      </c>
      <c r="AN175">
        <v>64.221000000000004</v>
      </c>
      <c r="AO175">
        <v>0</v>
      </c>
      <c r="AP175">
        <v>0</v>
      </c>
      <c r="AQ175">
        <v>0</v>
      </c>
      <c r="AR175">
        <v>22.489000000000001</v>
      </c>
      <c r="AS175">
        <v>0</v>
      </c>
      <c r="AT175">
        <v>20.487000000000002</v>
      </c>
      <c r="AU175">
        <v>5.4430000000000005</v>
      </c>
      <c r="AV175">
        <v>0</v>
      </c>
      <c r="AW175">
        <v>48.74</v>
      </c>
      <c r="AX175">
        <v>0</v>
      </c>
      <c r="AY175">
        <v>157.74800000000002</v>
      </c>
      <c r="AZ175">
        <v>0</v>
      </c>
      <c r="BA175">
        <v>12959461</v>
      </c>
      <c r="BB175">
        <v>6439550</v>
      </c>
      <c r="BC175">
        <v>0</v>
      </c>
      <c r="BD175">
        <v>202255</v>
      </c>
      <c r="BE175">
        <v>23963</v>
      </c>
      <c r="BF175">
        <v>226218</v>
      </c>
      <c r="BG175">
        <v>202255</v>
      </c>
      <c r="BH175">
        <v>0</v>
      </c>
      <c r="BI175">
        <v>0</v>
      </c>
      <c r="BJ175">
        <v>0</v>
      </c>
      <c r="BK175">
        <v>0</v>
      </c>
      <c r="BL175">
        <v>590406575</v>
      </c>
      <c r="BM175">
        <v>0</v>
      </c>
      <c r="BN175">
        <v>5130</v>
      </c>
      <c r="BO175">
        <v>4558</v>
      </c>
      <c r="BP175">
        <v>0</v>
      </c>
      <c r="BQ175">
        <v>0</v>
      </c>
      <c r="BR175">
        <v>0.86960000000000004</v>
      </c>
      <c r="BS175">
        <v>0.86960000000000004</v>
      </c>
      <c r="BT175">
        <v>0</v>
      </c>
      <c r="BU175">
        <v>0</v>
      </c>
      <c r="BV175">
        <v>360</v>
      </c>
      <c r="BW175">
        <v>292</v>
      </c>
      <c r="BX175">
        <v>479</v>
      </c>
      <c r="BY175">
        <v>7</v>
      </c>
      <c r="BZ175">
        <v>154</v>
      </c>
      <c r="CA175">
        <v>1292</v>
      </c>
      <c r="CB175">
        <v>0</v>
      </c>
      <c r="CC175">
        <v>0</v>
      </c>
      <c r="CD175">
        <v>0</v>
      </c>
      <c r="CE175">
        <v>173</v>
      </c>
      <c r="CF175">
        <v>433.29700000000003</v>
      </c>
      <c r="CG175">
        <v>0</v>
      </c>
      <c r="CH175">
        <v>0</v>
      </c>
      <c r="CI175">
        <v>2</v>
      </c>
      <c r="CJ175">
        <v>1</v>
      </c>
      <c r="CK175">
        <v>0</v>
      </c>
      <c r="CL175">
        <v>0</v>
      </c>
      <c r="CM175">
        <v>35.356000000000002</v>
      </c>
      <c r="CN175">
        <v>0</v>
      </c>
      <c r="CO175">
        <v>0</v>
      </c>
      <c r="CP175">
        <v>0</v>
      </c>
      <c r="CQ175">
        <v>0</v>
      </c>
      <c r="CR175">
        <v>0</v>
      </c>
      <c r="CS175">
        <v>0</v>
      </c>
      <c r="CT175">
        <v>0</v>
      </c>
      <c r="CU175">
        <v>12.118</v>
      </c>
      <c r="CV175">
        <v>165.25</v>
      </c>
      <c r="CW175">
        <v>89.90100000000001</v>
      </c>
      <c r="CX175">
        <v>0</v>
      </c>
      <c r="CY175" s="2043">
        <v>0</v>
      </c>
      <c r="CZ175" s="2043">
        <v>0</v>
      </c>
      <c r="DA175" s="2043">
        <v>0</v>
      </c>
      <c r="DB175" s="2043">
        <v>0</v>
      </c>
      <c r="DC175" s="2043">
        <v>0</v>
      </c>
      <c r="DI175" t="s">
        <v>4960</v>
      </c>
      <c r="DJ175" t="s">
        <v>4960</v>
      </c>
      <c r="DK175" s="2042">
        <f t="shared" si="4"/>
        <v>0</v>
      </c>
    </row>
    <row r="176" spans="1:115">
      <c r="A176" t="s">
        <v>5763</v>
      </c>
      <c r="B176" t="s">
        <v>1630</v>
      </c>
      <c r="C176">
        <v>125.96300000000001</v>
      </c>
      <c r="D176">
        <v>128.386</v>
      </c>
      <c r="E176">
        <v>1.881</v>
      </c>
      <c r="F176">
        <v>0</v>
      </c>
      <c r="G176" s="2043">
        <v>89130883</v>
      </c>
      <c r="H176">
        <v>0</v>
      </c>
      <c r="I176" s="2043">
        <v>0</v>
      </c>
      <c r="J176">
        <v>2</v>
      </c>
      <c r="K176">
        <v>5</v>
      </c>
      <c r="L176">
        <v>0</v>
      </c>
      <c r="M176">
        <v>0</v>
      </c>
      <c r="N176">
        <v>0</v>
      </c>
      <c r="O176">
        <v>0</v>
      </c>
      <c r="P176">
        <v>0</v>
      </c>
      <c r="Q176">
        <v>0</v>
      </c>
      <c r="R176" s="2043">
        <v>703871</v>
      </c>
      <c r="S176">
        <v>68503</v>
      </c>
      <c r="T176">
        <v>49922</v>
      </c>
      <c r="U176">
        <v>0.08</v>
      </c>
      <c r="V176">
        <v>0</v>
      </c>
      <c r="W176">
        <v>0</v>
      </c>
      <c r="X176">
        <v>0</v>
      </c>
      <c r="Y176">
        <v>131631</v>
      </c>
      <c r="Z176">
        <v>0</v>
      </c>
      <c r="AA176">
        <v>0</v>
      </c>
      <c r="AB176">
        <v>128.386</v>
      </c>
      <c r="AC176" s="2043">
        <v>67241170</v>
      </c>
      <c r="AD176">
        <v>0</v>
      </c>
      <c r="AE176" s="2043">
        <v>822296</v>
      </c>
      <c r="AF176">
        <v>0.96030000000000004</v>
      </c>
      <c r="AG176">
        <v>0</v>
      </c>
      <c r="AH176">
        <v>0</v>
      </c>
      <c r="AI176">
        <v>0</v>
      </c>
      <c r="AJ176">
        <v>26.125</v>
      </c>
      <c r="AK176">
        <v>404</v>
      </c>
      <c r="AL176">
        <v>3.6000000000000004E-2</v>
      </c>
      <c r="AM176">
        <v>0</v>
      </c>
      <c r="AN176">
        <v>7.4350000000000005</v>
      </c>
      <c r="AO176">
        <v>0</v>
      </c>
      <c r="AP176">
        <v>0</v>
      </c>
      <c r="AQ176">
        <v>0</v>
      </c>
      <c r="AR176">
        <v>0.47300000000000003</v>
      </c>
      <c r="AS176">
        <v>0</v>
      </c>
      <c r="AT176">
        <v>0</v>
      </c>
      <c r="AU176">
        <v>0.217</v>
      </c>
      <c r="AV176">
        <v>0</v>
      </c>
      <c r="AW176">
        <v>0.72600000000000009</v>
      </c>
      <c r="AX176">
        <v>0</v>
      </c>
      <c r="AY176">
        <v>2.6840000000000002</v>
      </c>
      <c r="AZ176">
        <v>0</v>
      </c>
      <c r="BA176">
        <v>1359680</v>
      </c>
      <c r="BB176">
        <v>822296</v>
      </c>
      <c r="BC176">
        <v>0</v>
      </c>
      <c r="BD176">
        <v>13182</v>
      </c>
      <c r="BE176">
        <v>0</v>
      </c>
      <c r="BF176">
        <v>13182</v>
      </c>
      <c r="BG176">
        <v>13182</v>
      </c>
      <c r="BH176">
        <v>0</v>
      </c>
      <c r="BI176">
        <v>0</v>
      </c>
      <c r="BJ176">
        <v>0</v>
      </c>
      <c r="BK176">
        <v>0</v>
      </c>
      <c r="BL176">
        <v>89130883</v>
      </c>
      <c r="BM176">
        <v>0</v>
      </c>
      <c r="BN176">
        <v>540</v>
      </c>
      <c r="BO176">
        <v>300</v>
      </c>
      <c r="BP176">
        <v>0</v>
      </c>
      <c r="BQ176">
        <v>0</v>
      </c>
      <c r="BR176">
        <v>0.82200000000000006</v>
      </c>
      <c r="BS176">
        <v>0.82200000000000006</v>
      </c>
      <c r="BT176">
        <v>0</v>
      </c>
      <c r="BU176">
        <v>0</v>
      </c>
      <c r="BV176">
        <v>1</v>
      </c>
      <c r="BW176">
        <v>84</v>
      </c>
      <c r="BX176">
        <v>14</v>
      </c>
      <c r="BY176">
        <v>2</v>
      </c>
      <c r="BZ176">
        <v>7</v>
      </c>
      <c r="CA176">
        <v>108</v>
      </c>
      <c r="CB176">
        <v>0</v>
      </c>
      <c r="CC176">
        <v>0</v>
      </c>
      <c r="CD176">
        <v>0</v>
      </c>
      <c r="CE176">
        <v>4</v>
      </c>
      <c r="CF176">
        <v>26.982000000000003</v>
      </c>
      <c r="CG176">
        <v>0</v>
      </c>
      <c r="CH176">
        <v>0</v>
      </c>
      <c r="CI176">
        <v>1</v>
      </c>
      <c r="CJ176">
        <v>0</v>
      </c>
      <c r="CK176">
        <v>0</v>
      </c>
      <c r="CL176">
        <v>0</v>
      </c>
      <c r="CM176">
        <v>1.881</v>
      </c>
      <c r="CN176">
        <v>0</v>
      </c>
      <c r="CO176">
        <v>0</v>
      </c>
      <c r="CP176">
        <v>0</v>
      </c>
      <c r="CQ176">
        <v>0</v>
      </c>
      <c r="CR176">
        <v>0</v>
      </c>
      <c r="CS176">
        <v>0</v>
      </c>
      <c r="CT176">
        <v>0</v>
      </c>
      <c r="CU176">
        <v>0</v>
      </c>
      <c r="CV176">
        <v>14.608000000000001</v>
      </c>
      <c r="CW176">
        <v>0.47100000000000003</v>
      </c>
      <c r="CX176">
        <v>0</v>
      </c>
      <c r="CY176" s="2043">
        <v>131631</v>
      </c>
      <c r="CZ176" s="2043">
        <v>0</v>
      </c>
      <c r="DA176" s="2043">
        <v>0</v>
      </c>
      <c r="DB176" s="2043">
        <v>0</v>
      </c>
      <c r="DC176" s="2043">
        <v>0</v>
      </c>
      <c r="DI176" t="s">
        <v>5763</v>
      </c>
      <c r="DJ176" t="s">
        <v>5763</v>
      </c>
      <c r="DK176" s="2042">
        <f t="shared" si="4"/>
        <v>0</v>
      </c>
    </row>
    <row r="177" spans="1:115">
      <c r="A177" t="s">
        <v>4961</v>
      </c>
      <c r="B177" t="s">
        <v>700</v>
      </c>
      <c r="C177">
        <v>1044.7740000000001</v>
      </c>
      <c r="D177">
        <v>1110.192</v>
      </c>
      <c r="E177">
        <v>49.396000000000001</v>
      </c>
      <c r="F177">
        <v>0</v>
      </c>
      <c r="G177" s="2043">
        <v>255515293</v>
      </c>
      <c r="H177">
        <v>0</v>
      </c>
      <c r="I177" s="2043">
        <v>204725</v>
      </c>
      <c r="J177">
        <v>52.239000000000004</v>
      </c>
      <c r="K177">
        <v>143</v>
      </c>
      <c r="L177">
        <v>0</v>
      </c>
      <c r="M177">
        <v>0</v>
      </c>
      <c r="N177">
        <v>0</v>
      </c>
      <c r="O177">
        <v>0</v>
      </c>
      <c r="P177">
        <v>0</v>
      </c>
      <c r="Q177">
        <v>0</v>
      </c>
      <c r="R177" s="2043">
        <v>2280690</v>
      </c>
      <c r="S177">
        <v>199754</v>
      </c>
      <c r="T177">
        <v>63172</v>
      </c>
      <c r="U177">
        <v>0.08</v>
      </c>
      <c r="V177">
        <v>0</v>
      </c>
      <c r="W177">
        <v>0</v>
      </c>
      <c r="X177">
        <v>0</v>
      </c>
      <c r="Y177">
        <v>0</v>
      </c>
      <c r="Z177">
        <v>0</v>
      </c>
      <c r="AA177">
        <v>0</v>
      </c>
      <c r="AB177">
        <v>1079.1790000000001</v>
      </c>
      <c r="AC177" s="2043">
        <v>266931137</v>
      </c>
      <c r="AD177">
        <v>19</v>
      </c>
      <c r="AE177" s="2043">
        <v>2543616</v>
      </c>
      <c r="AF177">
        <v>1.0186999999999999</v>
      </c>
      <c r="AG177">
        <v>0</v>
      </c>
      <c r="AH177">
        <v>0</v>
      </c>
      <c r="AI177">
        <v>0</v>
      </c>
      <c r="AJ177">
        <v>156.63800000000001</v>
      </c>
      <c r="AK177">
        <v>4765</v>
      </c>
      <c r="AL177">
        <v>0.156</v>
      </c>
      <c r="AM177">
        <v>0</v>
      </c>
      <c r="AN177">
        <v>23.19</v>
      </c>
      <c r="AO177">
        <v>0</v>
      </c>
      <c r="AP177">
        <v>0</v>
      </c>
      <c r="AQ177">
        <v>0</v>
      </c>
      <c r="AR177">
        <v>31.224</v>
      </c>
      <c r="AS177">
        <v>0</v>
      </c>
      <c r="AT177">
        <v>11.116</v>
      </c>
      <c r="AU177">
        <v>1.6040000000000001</v>
      </c>
      <c r="AV177">
        <v>0</v>
      </c>
      <c r="AW177">
        <v>44.518000000000001</v>
      </c>
      <c r="AX177">
        <v>0.41800000000000004</v>
      </c>
      <c r="AY177">
        <v>136.78100000000001</v>
      </c>
      <c r="AZ177">
        <v>0</v>
      </c>
      <c r="BA177">
        <v>9895745</v>
      </c>
      <c r="BB177">
        <v>2543635</v>
      </c>
      <c r="BC177">
        <v>0</v>
      </c>
      <c r="BD177">
        <v>63311</v>
      </c>
      <c r="BE177">
        <v>8294</v>
      </c>
      <c r="BF177">
        <v>71605</v>
      </c>
      <c r="BG177">
        <v>63311</v>
      </c>
      <c r="BH177">
        <v>0</v>
      </c>
      <c r="BI177">
        <v>0</v>
      </c>
      <c r="BJ177">
        <v>0</v>
      </c>
      <c r="BK177">
        <v>0</v>
      </c>
      <c r="BL177">
        <v>255515293</v>
      </c>
      <c r="BM177">
        <v>0</v>
      </c>
      <c r="BN177">
        <v>3816</v>
      </c>
      <c r="BO177">
        <v>3178</v>
      </c>
      <c r="BP177">
        <v>0</v>
      </c>
      <c r="BQ177">
        <v>0</v>
      </c>
      <c r="BR177">
        <v>0.91339999999999999</v>
      </c>
      <c r="BS177">
        <v>0.91339999999999999</v>
      </c>
      <c r="BT177">
        <v>0</v>
      </c>
      <c r="BU177">
        <v>0</v>
      </c>
      <c r="BV177">
        <v>50</v>
      </c>
      <c r="BW177">
        <v>205</v>
      </c>
      <c r="BX177">
        <v>163</v>
      </c>
      <c r="BY177">
        <v>56</v>
      </c>
      <c r="BZ177">
        <v>150</v>
      </c>
      <c r="CA177">
        <v>624</v>
      </c>
      <c r="CB177">
        <v>0</v>
      </c>
      <c r="CC177">
        <v>0</v>
      </c>
      <c r="CD177">
        <v>0</v>
      </c>
      <c r="CE177">
        <v>214</v>
      </c>
      <c r="CF177">
        <v>193.70400000000001</v>
      </c>
      <c r="CG177">
        <v>0</v>
      </c>
      <c r="CH177">
        <v>0</v>
      </c>
      <c r="CI177">
        <v>1</v>
      </c>
      <c r="CJ177">
        <v>5</v>
      </c>
      <c r="CK177">
        <v>0</v>
      </c>
      <c r="CL177">
        <v>0</v>
      </c>
      <c r="CM177">
        <v>49.396000000000001</v>
      </c>
      <c r="CN177">
        <v>0</v>
      </c>
      <c r="CO177">
        <v>0</v>
      </c>
      <c r="CP177">
        <v>0</v>
      </c>
      <c r="CQ177">
        <v>0</v>
      </c>
      <c r="CR177">
        <v>0</v>
      </c>
      <c r="CS177">
        <v>0</v>
      </c>
      <c r="CT177">
        <v>0</v>
      </c>
      <c r="CU177">
        <v>1.6300000000000001</v>
      </c>
      <c r="CV177">
        <v>76.326000000000008</v>
      </c>
      <c r="CW177">
        <v>40.353000000000002</v>
      </c>
      <c r="CX177">
        <v>0</v>
      </c>
      <c r="CY177" s="2043">
        <v>0</v>
      </c>
      <c r="CZ177" s="2043">
        <v>0</v>
      </c>
      <c r="DA177" s="2043">
        <v>0</v>
      </c>
      <c r="DB177" s="2043">
        <v>0</v>
      </c>
      <c r="DC177" s="2043">
        <v>0</v>
      </c>
      <c r="DI177" t="s">
        <v>4961</v>
      </c>
      <c r="DJ177" t="s">
        <v>4961</v>
      </c>
      <c r="DK177" s="2042">
        <f t="shared" si="4"/>
        <v>0</v>
      </c>
    </row>
    <row r="178" spans="1:115">
      <c r="A178" t="s">
        <v>5764</v>
      </c>
      <c r="B178" t="s">
        <v>701</v>
      </c>
      <c r="C178">
        <v>573.23099999999999</v>
      </c>
      <c r="D178">
        <v>573.822</v>
      </c>
      <c r="E178">
        <v>32.762999999999998</v>
      </c>
      <c r="F178">
        <v>0</v>
      </c>
      <c r="G178" s="2043">
        <v>285768441</v>
      </c>
      <c r="H178">
        <v>0</v>
      </c>
      <c r="I178" s="2043">
        <v>0</v>
      </c>
      <c r="J178">
        <v>28.662000000000003</v>
      </c>
      <c r="K178">
        <v>78</v>
      </c>
      <c r="L178">
        <v>0</v>
      </c>
      <c r="M178">
        <v>0</v>
      </c>
      <c r="N178">
        <v>0</v>
      </c>
      <c r="O178">
        <v>0</v>
      </c>
      <c r="P178">
        <v>0</v>
      </c>
      <c r="Q178">
        <v>0</v>
      </c>
      <c r="R178" s="2043">
        <v>2434039</v>
      </c>
      <c r="S178">
        <v>223230</v>
      </c>
      <c r="T178">
        <v>162678</v>
      </c>
      <c r="U178">
        <v>0.08</v>
      </c>
      <c r="V178">
        <v>0</v>
      </c>
      <c r="W178">
        <v>0</v>
      </c>
      <c r="X178">
        <v>0</v>
      </c>
      <c r="Y178">
        <v>0</v>
      </c>
      <c r="Z178">
        <v>0</v>
      </c>
      <c r="AA178">
        <v>0</v>
      </c>
      <c r="AB178">
        <v>573.822</v>
      </c>
      <c r="AC178" s="2043">
        <v>256607716</v>
      </c>
      <c r="AD178">
        <v>0</v>
      </c>
      <c r="AE178" s="2043">
        <v>2819947</v>
      </c>
      <c r="AF178">
        <v>1.0105999999999999</v>
      </c>
      <c r="AG178">
        <v>0</v>
      </c>
      <c r="AH178">
        <v>0</v>
      </c>
      <c r="AI178">
        <v>0</v>
      </c>
      <c r="AJ178">
        <v>104.625</v>
      </c>
      <c r="AK178">
        <v>3393</v>
      </c>
      <c r="AL178">
        <v>0</v>
      </c>
      <c r="AM178">
        <v>0</v>
      </c>
      <c r="AN178">
        <v>19.885999999999999</v>
      </c>
      <c r="AO178">
        <v>0</v>
      </c>
      <c r="AP178">
        <v>0.19700000000000001</v>
      </c>
      <c r="AQ178">
        <v>0</v>
      </c>
      <c r="AR178">
        <v>17.478000000000002</v>
      </c>
      <c r="AS178">
        <v>0</v>
      </c>
      <c r="AT178">
        <v>6.38</v>
      </c>
      <c r="AU178">
        <v>1.7490000000000001</v>
      </c>
      <c r="AV178">
        <v>0</v>
      </c>
      <c r="AW178">
        <v>25.804000000000002</v>
      </c>
      <c r="AX178">
        <v>0</v>
      </c>
      <c r="AY178">
        <v>80.850999999999999</v>
      </c>
      <c r="AZ178">
        <v>0</v>
      </c>
      <c r="BA178">
        <v>5214211</v>
      </c>
      <c r="BB178">
        <v>2819947</v>
      </c>
      <c r="BC178">
        <v>0</v>
      </c>
      <c r="BD178">
        <v>137870</v>
      </c>
      <c r="BE178">
        <v>7315</v>
      </c>
      <c r="BF178">
        <v>145185</v>
      </c>
      <c r="BG178">
        <v>137870</v>
      </c>
      <c r="BH178">
        <v>0</v>
      </c>
      <c r="BI178">
        <v>0</v>
      </c>
      <c r="BJ178">
        <v>0</v>
      </c>
      <c r="BK178">
        <v>0</v>
      </c>
      <c r="BL178">
        <v>285768441</v>
      </c>
      <c r="BM178">
        <v>0</v>
      </c>
      <c r="BN178">
        <v>2088</v>
      </c>
      <c r="BO178">
        <v>2108</v>
      </c>
      <c r="BP178">
        <v>0</v>
      </c>
      <c r="BQ178">
        <v>0</v>
      </c>
      <c r="BR178">
        <v>0.87230000000000008</v>
      </c>
      <c r="BS178">
        <v>0.87230000000000008</v>
      </c>
      <c r="BT178">
        <v>0</v>
      </c>
      <c r="BU178">
        <v>0</v>
      </c>
      <c r="BV178">
        <v>81</v>
      </c>
      <c r="BW178">
        <v>246</v>
      </c>
      <c r="BX178">
        <v>30</v>
      </c>
      <c r="BY178">
        <v>78</v>
      </c>
      <c r="BZ178">
        <v>0</v>
      </c>
      <c r="CA178">
        <v>435</v>
      </c>
      <c r="CB178">
        <v>0</v>
      </c>
      <c r="CC178">
        <v>0</v>
      </c>
      <c r="CD178">
        <v>0</v>
      </c>
      <c r="CE178">
        <v>60</v>
      </c>
      <c r="CF178">
        <v>147.66300000000001</v>
      </c>
      <c r="CG178">
        <v>0</v>
      </c>
      <c r="CH178">
        <v>0</v>
      </c>
      <c r="CI178">
        <v>0</v>
      </c>
      <c r="CJ178">
        <v>0</v>
      </c>
      <c r="CK178">
        <v>1</v>
      </c>
      <c r="CL178">
        <v>0</v>
      </c>
      <c r="CM178">
        <v>32.762999999999998</v>
      </c>
      <c r="CN178">
        <v>0</v>
      </c>
      <c r="CO178">
        <v>0</v>
      </c>
      <c r="CP178">
        <v>0</v>
      </c>
      <c r="CQ178">
        <v>0</v>
      </c>
      <c r="CR178">
        <v>0</v>
      </c>
      <c r="CS178">
        <v>0</v>
      </c>
      <c r="CT178">
        <v>0</v>
      </c>
      <c r="CU178">
        <v>0</v>
      </c>
      <c r="CV178">
        <v>38.029000000000003</v>
      </c>
      <c r="CW178">
        <v>20.95</v>
      </c>
      <c r="CX178">
        <v>0</v>
      </c>
      <c r="CY178" s="2043">
        <v>0</v>
      </c>
      <c r="CZ178" s="2043">
        <v>0</v>
      </c>
      <c r="DA178" s="2043">
        <v>0</v>
      </c>
      <c r="DB178" s="2043">
        <v>0</v>
      </c>
      <c r="DC178" s="2043">
        <v>0</v>
      </c>
      <c r="DI178" t="s">
        <v>5764</v>
      </c>
      <c r="DJ178" t="s">
        <v>5764</v>
      </c>
      <c r="DK178" s="2042">
        <f t="shared" si="4"/>
        <v>0</v>
      </c>
    </row>
    <row r="179" spans="1:115">
      <c r="A179" t="s">
        <v>3647</v>
      </c>
      <c r="B179" t="s">
        <v>1771</v>
      </c>
      <c r="C179">
        <v>373.30500000000001</v>
      </c>
      <c r="D179">
        <v>366.52800000000002</v>
      </c>
      <c r="E179">
        <v>0</v>
      </c>
      <c r="F179">
        <v>0</v>
      </c>
      <c r="G179" s="2043">
        <v>35981138</v>
      </c>
      <c r="H179">
        <v>0</v>
      </c>
      <c r="I179" s="2043">
        <v>0</v>
      </c>
      <c r="J179">
        <v>18.664999999999999</v>
      </c>
      <c r="K179">
        <v>51</v>
      </c>
      <c r="L179">
        <v>0</v>
      </c>
      <c r="M179">
        <v>0</v>
      </c>
      <c r="N179">
        <v>0</v>
      </c>
      <c r="O179">
        <v>0</v>
      </c>
      <c r="P179">
        <v>0</v>
      </c>
      <c r="Q179">
        <v>0</v>
      </c>
      <c r="R179" s="2043">
        <v>323541</v>
      </c>
      <c r="S179">
        <v>17711</v>
      </c>
      <c r="T179">
        <v>0</v>
      </c>
      <c r="U179">
        <v>0.05</v>
      </c>
      <c r="V179">
        <v>0</v>
      </c>
      <c r="W179">
        <v>0</v>
      </c>
      <c r="X179">
        <v>0</v>
      </c>
      <c r="Y179">
        <v>-949</v>
      </c>
      <c r="Z179">
        <v>0</v>
      </c>
      <c r="AA179">
        <v>0</v>
      </c>
      <c r="AB179">
        <v>366.392</v>
      </c>
      <c r="AC179" s="2043">
        <v>38270474</v>
      </c>
      <c r="AD179">
        <v>0</v>
      </c>
      <c r="AE179" s="2043">
        <v>341252</v>
      </c>
      <c r="AF179">
        <v>0.96340000000000003</v>
      </c>
      <c r="AG179">
        <v>0</v>
      </c>
      <c r="AH179">
        <v>0</v>
      </c>
      <c r="AI179">
        <v>0</v>
      </c>
      <c r="AJ179">
        <v>53.463000000000001</v>
      </c>
      <c r="AK179">
        <v>1693</v>
      </c>
      <c r="AL179">
        <v>0.17100000000000001</v>
      </c>
      <c r="AM179">
        <v>0</v>
      </c>
      <c r="AN179">
        <v>12.452</v>
      </c>
      <c r="AO179">
        <v>0</v>
      </c>
      <c r="AP179">
        <v>0.64300000000000002</v>
      </c>
      <c r="AQ179">
        <v>0</v>
      </c>
      <c r="AR179">
        <v>8.25</v>
      </c>
      <c r="AS179">
        <v>0</v>
      </c>
      <c r="AT179">
        <v>0.73599999999999999</v>
      </c>
      <c r="AU179">
        <v>1.1500000000000001</v>
      </c>
      <c r="AV179">
        <v>0</v>
      </c>
      <c r="AW179">
        <v>10.950000000000001</v>
      </c>
      <c r="AX179">
        <v>0</v>
      </c>
      <c r="AY179">
        <v>35.298999999999999</v>
      </c>
      <c r="AZ179">
        <v>0</v>
      </c>
      <c r="BA179">
        <v>4379620</v>
      </c>
      <c r="BB179">
        <v>341252</v>
      </c>
      <c r="BC179">
        <v>0</v>
      </c>
      <c r="BD179">
        <v>20280</v>
      </c>
      <c r="BE179">
        <v>1080</v>
      </c>
      <c r="BF179">
        <v>21360</v>
      </c>
      <c r="BG179">
        <v>20280</v>
      </c>
      <c r="BH179">
        <v>0</v>
      </c>
      <c r="BI179">
        <v>-949</v>
      </c>
      <c r="BJ179">
        <v>0</v>
      </c>
      <c r="BK179">
        <v>0</v>
      </c>
      <c r="BL179">
        <v>35981138</v>
      </c>
      <c r="BM179">
        <v>0</v>
      </c>
      <c r="BN179">
        <v>1620</v>
      </c>
      <c r="BO179">
        <v>1091</v>
      </c>
      <c r="BP179">
        <v>0</v>
      </c>
      <c r="BQ179">
        <v>0</v>
      </c>
      <c r="BR179">
        <v>0.91339999999999999</v>
      </c>
      <c r="BS179">
        <v>0.91339999999999999</v>
      </c>
      <c r="BT179">
        <v>0</v>
      </c>
      <c r="BU179">
        <v>0</v>
      </c>
      <c r="BV179">
        <v>42</v>
      </c>
      <c r="BW179">
        <v>25</v>
      </c>
      <c r="BX179">
        <v>149</v>
      </c>
      <c r="BY179">
        <v>0</v>
      </c>
      <c r="BZ179">
        <v>3</v>
      </c>
      <c r="CA179">
        <v>219</v>
      </c>
      <c r="CB179">
        <v>0</v>
      </c>
      <c r="CC179">
        <v>0</v>
      </c>
      <c r="CD179">
        <v>0</v>
      </c>
      <c r="CE179">
        <v>51</v>
      </c>
      <c r="CF179">
        <v>65.698999999999998</v>
      </c>
      <c r="CG179">
        <v>0</v>
      </c>
      <c r="CH179">
        <v>0</v>
      </c>
      <c r="CI179">
        <v>1</v>
      </c>
      <c r="CJ179">
        <v>2</v>
      </c>
      <c r="CK179">
        <v>0</v>
      </c>
      <c r="CL179">
        <v>0</v>
      </c>
      <c r="CM179">
        <v>0</v>
      </c>
      <c r="CN179">
        <v>0</v>
      </c>
      <c r="CO179">
        <v>0</v>
      </c>
      <c r="CP179">
        <v>0</v>
      </c>
      <c r="CQ179">
        <v>0</v>
      </c>
      <c r="CR179">
        <v>0</v>
      </c>
      <c r="CS179">
        <v>0</v>
      </c>
      <c r="CT179">
        <v>0</v>
      </c>
      <c r="CU179">
        <v>1.9740000000000002</v>
      </c>
      <c r="CV179">
        <v>18.329000000000001</v>
      </c>
      <c r="CW179">
        <v>9.2100000000000009</v>
      </c>
      <c r="CX179">
        <v>0</v>
      </c>
      <c r="CY179" s="2043">
        <v>0</v>
      </c>
      <c r="CZ179" s="2043">
        <v>0</v>
      </c>
      <c r="DA179" s="2043">
        <v>0</v>
      </c>
      <c r="DB179" s="2043">
        <v>0</v>
      </c>
      <c r="DC179" s="2043">
        <v>0</v>
      </c>
      <c r="DI179" t="s">
        <v>3647</v>
      </c>
      <c r="DJ179" t="s">
        <v>3647</v>
      </c>
      <c r="DK179" s="2042">
        <f t="shared" si="4"/>
        <v>0</v>
      </c>
    </row>
    <row r="180" spans="1:115">
      <c r="A180" t="s">
        <v>4963</v>
      </c>
      <c r="B180" t="s">
        <v>1845</v>
      </c>
      <c r="C180">
        <v>217.49700000000001</v>
      </c>
      <c r="D180">
        <v>250.649</v>
      </c>
      <c r="E180">
        <v>2.6180000000000003</v>
      </c>
      <c r="F180">
        <v>0</v>
      </c>
      <c r="G180" s="2043">
        <v>55573748</v>
      </c>
      <c r="H180">
        <v>0</v>
      </c>
      <c r="I180" s="2043">
        <v>91256</v>
      </c>
      <c r="J180">
        <v>2</v>
      </c>
      <c r="K180">
        <v>5</v>
      </c>
      <c r="L180">
        <v>0</v>
      </c>
      <c r="M180">
        <v>0</v>
      </c>
      <c r="N180">
        <v>0</v>
      </c>
      <c r="O180">
        <v>0</v>
      </c>
      <c r="P180">
        <v>0</v>
      </c>
      <c r="Q180">
        <v>0</v>
      </c>
      <c r="R180" s="2043">
        <v>450171</v>
      </c>
      <c r="S180">
        <v>43812</v>
      </c>
      <c r="T180">
        <v>31928</v>
      </c>
      <c r="U180">
        <v>0.08</v>
      </c>
      <c r="V180">
        <v>0</v>
      </c>
      <c r="W180">
        <v>0</v>
      </c>
      <c r="X180">
        <v>0</v>
      </c>
      <c r="Y180">
        <v>0</v>
      </c>
      <c r="Z180">
        <v>0</v>
      </c>
      <c r="AA180">
        <v>0</v>
      </c>
      <c r="AB180">
        <v>225.852</v>
      </c>
      <c r="AC180" s="2043">
        <v>47169598</v>
      </c>
      <c r="AD180">
        <v>59813</v>
      </c>
      <c r="AE180" s="2043">
        <v>525911</v>
      </c>
      <c r="AF180">
        <v>0.96030000000000004</v>
      </c>
      <c r="AG180">
        <v>0</v>
      </c>
      <c r="AH180">
        <v>0</v>
      </c>
      <c r="AI180">
        <v>0</v>
      </c>
      <c r="AJ180">
        <v>46.988</v>
      </c>
      <c r="AK180">
        <v>682</v>
      </c>
      <c r="AL180">
        <v>0</v>
      </c>
      <c r="AM180">
        <v>0</v>
      </c>
      <c r="AN180">
        <v>7.6210000000000004</v>
      </c>
      <c r="AO180">
        <v>0</v>
      </c>
      <c r="AP180">
        <v>0</v>
      </c>
      <c r="AQ180">
        <v>0</v>
      </c>
      <c r="AR180">
        <v>2.0489999999999999</v>
      </c>
      <c r="AS180">
        <v>0</v>
      </c>
      <c r="AT180">
        <v>6.3E-2</v>
      </c>
      <c r="AU180">
        <v>0.84200000000000008</v>
      </c>
      <c r="AV180">
        <v>0</v>
      </c>
      <c r="AW180">
        <v>2.9540000000000002</v>
      </c>
      <c r="AX180">
        <v>0</v>
      </c>
      <c r="AY180">
        <v>10.546000000000001</v>
      </c>
      <c r="AZ180">
        <v>0</v>
      </c>
      <c r="BA180">
        <v>2599497</v>
      </c>
      <c r="BB180">
        <v>585724</v>
      </c>
      <c r="BC180">
        <v>0</v>
      </c>
      <c r="BD180">
        <v>14608</v>
      </c>
      <c r="BE180">
        <v>0</v>
      </c>
      <c r="BF180">
        <v>14608</v>
      </c>
      <c r="BG180">
        <v>14608</v>
      </c>
      <c r="BH180">
        <v>0</v>
      </c>
      <c r="BI180">
        <v>0</v>
      </c>
      <c r="BJ180">
        <v>0</v>
      </c>
      <c r="BK180">
        <v>0</v>
      </c>
      <c r="BL180">
        <v>55573748</v>
      </c>
      <c r="BM180">
        <v>0</v>
      </c>
      <c r="BN180">
        <v>630</v>
      </c>
      <c r="BO180">
        <v>792</v>
      </c>
      <c r="BP180">
        <v>0</v>
      </c>
      <c r="BQ180">
        <v>0</v>
      </c>
      <c r="BR180">
        <v>0.82200000000000006</v>
      </c>
      <c r="BS180">
        <v>0.82200000000000006</v>
      </c>
      <c r="BT180">
        <v>0</v>
      </c>
      <c r="BU180">
        <v>0</v>
      </c>
      <c r="BV180">
        <v>10</v>
      </c>
      <c r="BW180">
        <v>45</v>
      </c>
      <c r="BX180">
        <v>134</v>
      </c>
      <c r="BY180">
        <v>0</v>
      </c>
      <c r="BZ180">
        <v>2</v>
      </c>
      <c r="CA180">
        <v>191</v>
      </c>
      <c r="CB180">
        <v>0</v>
      </c>
      <c r="CC180">
        <v>0</v>
      </c>
      <c r="CD180">
        <v>0</v>
      </c>
      <c r="CE180">
        <v>30</v>
      </c>
      <c r="CF180">
        <v>46.67</v>
      </c>
      <c r="CG180">
        <v>0</v>
      </c>
      <c r="CH180">
        <v>0</v>
      </c>
      <c r="CI180">
        <v>0</v>
      </c>
      <c r="CJ180">
        <v>1</v>
      </c>
      <c r="CK180">
        <v>0</v>
      </c>
      <c r="CL180">
        <v>0</v>
      </c>
      <c r="CM180">
        <v>2.6180000000000003</v>
      </c>
      <c r="CN180">
        <v>0</v>
      </c>
      <c r="CO180">
        <v>0</v>
      </c>
      <c r="CP180">
        <v>0</v>
      </c>
      <c r="CQ180">
        <v>0</v>
      </c>
      <c r="CR180">
        <v>0</v>
      </c>
      <c r="CS180">
        <v>0</v>
      </c>
      <c r="CT180">
        <v>0</v>
      </c>
      <c r="CU180">
        <v>0</v>
      </c>
      <c r="CV180">
        <v>8.7170000000000005</v>
      </c>
      <c r="CW180">
        <v>3.8010000000000002</v>
      </c>
      <c r="CX180">
        <v>0</v>
      </c>
      <c r="CY180" s="2043">
        <v>0</v>
      </c>
      <c r="CZ180" s="2043">
        <v>0</v>
      </c>
      <c r="DA180" s="2043">
        <v>0</v>
      </c>
      <c r="DB180" s="2043">
        <v>0</v>
      </c>
      <c r="DC180" s="2043">
        <v>0</v>
      </c>
      <c r="DI180" t="s">
        <v>4962</v>
      </c>
      <c r="DJ180" t="s">
        <v>4963</v>
      </c>
      <c r="DK180" s="2042">
        <f t="shared" si="4"/>
        <v>-2</v>
      </c>
    </row>
    <row r="181" spans="1:115">
      <c r="A181" t="s">
        <v>4962</v>
      </c>
      <c r="B181" t="s">
        <v>702</v>
      </c>
      <c r="C181">
        <v>847.27700000000004</v>
      </c>
      <c r="D181">
        <v>928.59</v>
      </c>
      <c r="E181">
        <v>3.5960000000000001</v>
      </c>
      <c r="F181">
        <v>0</v>
      </c>
      <c r="G181" s="2043">
        <v>560712629</v>
      </c>
      <c r="H181">
        <v>0</v>
      </c>
      <c r="I181" s="2043">
        <v>287400</v>
      </c>
      <c r="J181">
        <v>42.364000000000004</v>
      </c>
      <c r="K181">
        <v>116</v>
      </c>
      <c r="L181">
        <v>0</v>
      </c>
      <c r="M181">
        <v>0</v>
      </c>
      <c r="N181">
        <v>0</v>
      </c>
      <c r="O181">
        <v>0</v>
      </c>
      <c r="P181">
        <v>0</v>
      </c>
      <c r="Q181">
        <v>0</v>
      </c>
      <c r="R181" s="2043">
        <v>4820108</v>
      </c>
      <c r="S181">
        <v>432103</v>
      </c>
      <c r="T181">
        <v>314895</v>
      </c>
      <c r="U181">
        <v>0.08</v>
      </c>
      <c r="V181">
        <v>0</v>
      </c>
      <c r="W181">
        <v>0</v>
      </c>
      <c r="X181">
        <v>0</v>
      </c>
      <c r="Y181">
        <v>0</v>
      </c>
      <c r="Z181">
        <v>0</v>
      </c>
      <c r="AA181">
        <v>0</v>
      </c>
      <c r="AB181">
        <v>883.48700000000008</v>
      </c>
      <c r="AC181" s="2043">
        <v>523792139</v>
      </c>
      <c r="AD181">
        <v>289858</v>
      </c>
      <c r="AE181" s="2043">
        <v>5567106</v>
      </c>
      <c r="AF181">
        <v>1.0306999999999999</v>
      </c>
      <c r="AG181">
        <v>0</v>
      </c>
      <c r="AH181">
        <v>0</v>
      </c>
      <c r="AI181">
        <v>0</v>
      </c>
      <c r="AJ181">
        <v>144.97499999999999</v>
      </c>
      <c r="AK181">
        <v>4851</v>
      </c>
      <c r="AL181">
        <v>0</v>
      </c>
      <c r="AM181">
        <v>0</v>
      </c>
      <c r="AN181">
        <v>48.481999999999999</v>
      </c>
      <c r="AO181">
        <v>0</v>
      </c>
      <c r="AP181">
        <v>0</v>
      </c>
      <c r="AQ181">
        <v>0.68300000000000005</v>
      </c>
      <c r="AR181">
        <v>24.541</v>
      </c>
      <c r="AS181">
        <v>0</v>
      </c>
      <c r="AT181">
        <v>4.367</v>
      </c>
      <c r="AU181">
        <v>2.5220000000000002</v>
      </c>
      <c r="AV181">
        <v>0</v>
      </c>
      <c r="AW181">
        <v>32.113</v>
      </c>
      <c r="AX181">
        <v>0</v>
      </c>
      <c r="AY181">
        <v>99.334000000000003</v>
      </c>
      <c r="AZ181">
        <v>0</v>
      </c>
      <c r="BA181">
        <v>5597940</v>
      </c>
      <c r="BB181">
        <v>5856964</v>
      </c>
      <c r="BC181">
        <v>0</v>
      </c>
      <c r="BD181">
        <v>93738</v>
      </c>
      <c r="BE181">
        <v>13586</v>
      </c>
      <c r="BF181">
        <v>129624</v>
      </c>
      <c r="BG181">
        <v>93738</v>
      </c>
      <c r="BH181">
        <v>22300</v>
      </c>
      <c r="BI181">
        <v>0</v>
      </c>
      <c r="BJ181">
        <v>0</v>
      </c>
      <c r="BK181">
        <v>0</v>
      </c>
      <c r="BL181">
        <v>560712629</v>
      </c>
      <c r="BM181">
        <v>0</v>
      </c>
      <c r="BN181">
        <v>3312</v>
      </c>
      <c r="BO181">
        <v>3264</v>
      </c>
      <c r="BP181">
        <v>0</v>
      </c>
      <c r="BQ181">
        <v>0</v>
      </c>
      <c r="BR181">
        <v>0.89240000000000008</v>
      </c>
      <c r="BS181">
        <v>0.89240000000000008</v>
      </c>
      <c r="BT181">
        <v>0</v>
      </c>
      <c r="BU181">
        <v>0</v>
      </c>
      <c r="BV181">
        <v>105</v>
      </c>
      <c r="BW181">
        <v>236</v>
      </c>
      <c r="BX181">
        <v>149</v>
      </c>
      <c r="BY181">
        <v>0</v>
      </c>
      <c r="BZ181">
        <v>102</v>
      </c>
      <c r="CA181">
        <v>592</v>
      </c>
      <c r="CB181">
        <v>0</v>
      </c>
      <c r="CC181">
        <v>0</v>
      </c>
      <c r="CD181">
        <v>0</v>
      </c>
      <c r="CE181">
        <v>107</v>
      </c>
      <c r="CF181">
        <v>162.99</v>
      </c>
      <c r="CG181">
        <v>0</v>
      </c>
      <c r="CH181">
        <v>0.83000000000000007</v>
      </c>
      <c r="CI181">
        <v>0</v>
      </c>
      <c r="CJ181">
        <v>4</v>
      </c>
      <c r="CK181">
        <v>0</v>
      </c>
      <c r="CL181">
        <v>0.83000000000000007</v>
      </c>
      <c r="CM181">
        <v>3.5960000000000001</v>
      </c>
      <c r="CN181">
        <v>0</v>
      </c>
      <c r="CO181">
        <v>0</v>
      </c>
      <c r="CP181">
        <v>0</v>
      </c>
      <c r="CQ181">
        <v>0</v>
      </c>
      <c r="CR181">
        <v>0</v>
      </c>
      <c r="CS181">
        <v>0</v>
      </c>
      <c r="CT181">
        <v>0</v>
      </c>
      <c r="CU181">
        <v>1.5880000000000001</v>
      </c>
      <c r="CV181">
        <v>76.635000000000005</v>
      </c>
      <c r="CW181">
        <v>30.152000000000001</v>
      </c>
      <c r="CX181">
        <v>0</v>
      </c>
      <c r="CY181" s="2043">
        <v>0</v>
      </c>
      <c r="CZ181" s="2043">
        <v>0</v>
      </c>
      <c r="DA181" s="2043">
        <v>0</v>
      </c>
      <c r="DB181" s="2043">
        <v>0</v>
      </c>
      <c r="DC181" s="2043">
        <v>0</v>
      </c>
      <c r="DI181" t="s">
        <v>4963</v>
      </c>
      <c r="DJ181" t="s">
        <v>4962</v>
      </c>
      <c r="DK181" s="2042">
        <f t="shared" si="4"/>
        <v>2</v>
      </c>
    </row>
    <row r="182" spans="1:115">
      <c r="A182" t="s">
        <v>4964</v>
      </c>
      <c r="B182" t="s">
        <v>1846</v>
      </c>
      <c r="C182">
        <v>1022.205</v>
      </c>
      <c r="D182">
        <v>1083.6320000000001</v>
      </c>
      <c r="E182">
        <v>228.53700000000001</v>
      </c>
      <c r="F182">
        <v>205979</v>
      </c>
      <c r="G182" s="2043">
        <v>326608498</v>
      </c>
      <c r="H182">
        <v>0</v>
      </c>
      <c r="I182" s="2043">
        <v>2473547</v>
      </c>
      <c r="J182">
        <v>51.11</v>
      </c>
      <c r="K182">
        <v>140</v>
      </c>
      <c r="L182">
        <v>0</v>
      </c>
      <c r="M182">
        <v>0</v>
      </c>
      <c r="N182">
        <v>0</v>
      </c>
      <c r="O182">
        <v>0</v>
      </c>
      <c r="P182">
        <v>0</v>
      </c>
      <c r="Q182">
        <v>0</v>
      </c>
      <c r="R182" s="2043">
        <v>2752946</v>
      </c>
      <c r="S182">
        <v>162550</v>
      </c>
      <c r="T182">
        <v>0</v>
      </c>
      <c r="U182">
        <v>0.05</v>
      </c>
      <c r="V182">
        <v>0</v>
      </c>
      <c r="W182">
        <v>0</v>
      </c>
      <c r="X182">
        <v>0</v>
      </c>
      <c r="Y182">
        <v>205979</v>
      </c>
      <c r="Z182">
        <v>0</v>
      </c>
      <c r="AA182">
        <v>0</v>
      </c>
      <c r="AB182">
        <v>1056.652</v>
      </c>
      <c r="AC182" s="2043">
        <v>293299887</v>
      </c>
      <c r="AD182">
        <v>2726821</v>
      </c>
      <c r="AE182" s="2043">
        <v>2915496</v>
      </c>
      <c r="AF182">
        <v>0.89680000000000004</v>
      </c>
      <c r="AG182">
        <v>0</v>
      </c>
      <c r="AH182">
        <v>0</v>
      </c>
      <c r="AI182">
        <v>0</v>
      </c>
      <c r="AJ182">
        <v>254.96300000000002</v>
      </c>
      <c r="AK182">
        <v>3427</v>
      </c>
      <c r="AL182">
        <v>0</v>
      </c>
      <c r="AM182">
        <v>0</v>
      </c>
      <c r="AN182">
        <v>13.119</v>
      </c>
      <c r="AO182">
        <v>0</v>
      </c>
      <c r="AP182">
        <v>0</v>
      </c>
      <c r="AQ182">
        <v>0</v>
      </c>
      <c r="AR182">
        <v>22.86</v>
      </c>
      <c r="AS182">
        <v>0</v>
      </c>
      <c r="AT182">
        <v>9.1280000000000001</v>
      </c>
      <c r="AU182">
        <v>1.3260000000000001</v>
      </c>
      <c r="AV182">
        <v>0</v>
      </c>
      <c r="AW182">
        <v>33.314</v>
      </c>
      <c r="AX182">
        <v>0</v>
      </c>
      <c r="AY182">
        <v>102.59400000000001</v>
      </c>
      <c r="AZ182">
        <v>0</v>
      </c>
      <c r="BA182">
        <v>9325678</v>
      </c>
      <c r="BB182">
        <v>5642317</v>
      </c>
      <c r="BC182">
        <v>0</v>
      </c>
      <c r="BD182">
        <v>55728</v>
      </c>
      <c r="BE182">
        <v>3762</v>
      </c>
      <c r="BF182">
        <v>59490</v>
      </c>
      <c r="BG182">
        <v>55728</v>
      </c>
      <c r="BH182">
        <v>0</v>
      </c>
      <c r="BI182">
        <v>0</v>
      </c>
      <c r="BJ182">
        <v>0</v>
      </c>
      <c r="BK182">
        <v>0</v>
      </c>
      <c r="BL182">
        <v>326608498</v>
      </c>
      <c r="BM182">
        <v>0</v>
      </c>
      <c r="BN182">
        <v>3798</v>
      </c>
      <c r="BO182">
        <v>3692</v>
      </c>
      <c r="BP182">
        <v>0</v>
      </c>
      <c r="BQ182">
        <v>0</v>
      </c>
      <c r="BR182">
        <v>0.8468</v>
      </c>
      <c r="BS182">
        <v>0.8468</v>
      </c>
      <c r="BT182">
        <v>0</v>
      </c>
      <c r="BU182">
        <v>0</v>
      </c>
      <c r="BV182">
        <v>21</v>
      </c>
      <c r="BW182">
        <v>260</v>
      </c>
      <c r="BX182">
        <v>6</v>
      </c>
      <c r="BY182">
        <v>397</v>
      </c>
      <c r="BZ182">
        <v>301</v>
      </c>
      <c r="CA182">
        <v>985</v>
      </c>
      <c r="CB182">
        <v>0</v>
      </c>
      <c r="CC182">
        <v>0</v>
      </c>
      <c r="CD182">
        <v>0</v>
      </c>
      <c r="CE182">
        <v>37</v>
      </c>
      <c r="CF182">
        <v>328.84500000000003</v>
      </c>
      <c r="CG182">
        <v>0</v>
      </c>
      <c r="CH182">
        <v>0</v>
      </c>
      <c r="CI182">
        <v>11</v>
      </c>
      <c r="CJ182">
        <v>5</v>
      </c>
      <c r="CK182">
        <v>0</v>
      </c>
      <c r="CL182">
        <v>0</v>
      </c>
      <c r="CM182">
        <v>228.53700000000001</v>
      </c>
      <c r="CN182">
        <v>0</v>
      </c>
      <c r="CO182">
        <v>0</v>
      </c>
      <c r="CP182">
        <v>0</v>
      </c>
      <c r="CQ182">
        <v>0</v>
      </c>
      <c r="CR182">
        <v>0</v>
      </c>
      <c r="CS182">
        <v>0</v>
      </c>
      <c r="CT182">
        <v>0</v>
      </c>
      <c r="CU182">
        <v>0</v>
      </c>
      <c r="CV182">
        <v>62.836000000000006</v>
      </c>
      <c r="CW182">
        <v>40.151000000000003</v>
      </c>
      <c r="CX182">
        <v>0</v>
      </c>
      <c r="CY182" s="2043">
        <v>0</v>
      </c>
      <c r="CZ182" s="2043">
        <v>0</v>
      </c>
      <c r="DA182" s="2043">
        <v>0</v>
      </c>
      <c r="DB182" s="2043">
        <v>205979</v>
      </c>
      <c r="DC182" s="2043">
        <v>0</v>
      </c>
      <c r="DI182" t="s">
        <v>4964</v>
      </c>
      <c r="DJ182" t="s">
        <v>4964</v>
      </c>
      <c r="DK182" s="2042">
        <f t="shared" si="4"/>
        <v>0</v>
      </c>
    </row>
    <row r="183" spans="1:115">
      <c r="A183" t="s">
        <v>5765</v>
      </c>
      <c r="B183" t="s">
        <v>2292</v>
      </c>
      <c r="C183">
        <v>186.20400000000001</v>
      </c>
      <c r="D183">
        <v>192.614</v>
      </c>
      <c r="E183">
        <v>46.212000000000003</v>
      </c>
      <c r="F183">
        <v>0</v>
      </c>
      <c r="G183" s="2043">
        <v>87209628</v>
      </c>
      <c r="H183">
        <v>0</v>
      </c>
      <c r="I183" s="2043">
        <v>157737</v>
      </c>
      <c r="J183">
        <v>6</v>
      </c>
      <c r="K183">
        <v>16</v>
      </c>
      <c r="L183">
        <v>0</v>
      </c>
      <c r="M183">
        <v>0</v>
      </c>
      <c r="N183">
        <v>0</v>
      </c>
      <c r="O183">
        <v>0</v>
      </c>
      <c r="P183">
        <v>0</v>
      </c>
      <c r="Q183">
        <v>0</v>
      </c>
      <c r="R183" s="2043">
        <v>729027</v>
      </c>
      <c r="S183">
        <v>70951</v>
      </c>
      <c r="T183">
        <v>51706</v>
      </c>
      <c r="U183">
        <v>0.08</v>
      </c>
      <c r="V183">
        <v>0</v>
      </c>
      <c r="W183">
        <v>0</v>
      </c>
      <c r="X183">
        <v>0</v>
      </c>
      <c r="Y183">
        <v>0</v>
      </c>
      <c r="Z183">
        <v>0</v>
      </c>
      <c r="AA183">
        <v>0</v>
      </c>
      <c r="AB183">
        <v>194.38200000000001</v>
      </c>
      <c r="AC183" s="2043">
        <v>80355119</v>
      </c>
      <c r="AD183">
        <v>224490</v>
      </c>
      <c r="AE183" s="2043">
        <v>851684</v>
      </c>
      <c r="AF183">
        <v>0.96030000000000004</v>
      </c>
      <c r="AG183">
        <v>0</v>
      </c>
      <c r="AH183">
        <v>0</v>
      </c>
      <c r="AI183">
        <v>0</v>
      </c>
      <c r="AJ183">
        <v>47.063000000000002</v>
      </c>
      <c r="AK183">
        <v>888</v>
      </c>
      <c r="AL183">
        <v>0</v>
      </c>
      <c r="AM183">
        <v>0</v>
      </c>
      <c r="AN183">
        <v>2.6350000000000002</v>
      </c>
      <c r="AO183">
        <v>0</v>
      </c>
      <c r="AP183">
        <v>0</v>
      </c>
      <c r="AQ183">
        <v>0</v>
      </c>
      <c r="AR183">
        <v>4.7270000000000003</v>
      </c>
      <c r="AS183">
        <v>0</v>
      </c>
      <c r="AT183">
        <v>1.633</v>
      </c>
      <c r="AU183">
        <v>0.57100000000000006</v>
      </c>
      <c r="AV183">
        <v>0</v>
      </c>
      <c r="AW183">
        <v>6.931</v>
      </c>
      <c r="AX183">
        <v>0</v>
      </c>
      <c r="AY183">
        <v>21.935000000000002</v>
      </c>
      <c r="AZ183">
        <v>0</v>
      </c>
      <c r="BA183">
        <v>1969191</v>
      </c>
      <c r="BB183">
        <v>1076174</v>
      </c>
      <c r="BC183">
        <v>0</v>
      </c>
      <c r="BD183">
        <v>13640</v>
      </c>
      <c r="BE183">
        <v>0</v>
      </c>
      <c r="BF183">
        <v>13640</v>
      </c>
      <c r="BG183">
        <v>13640</v>
      </c>
      <c r="BH183">
        <v>0</v>
      </c>
      <c r="BI183">
        <v>0</v>
      </c>
      <c r="BJ183">
        <v>0</v>
      </c>
      <c r="BK183">
        <v>0</v>
      </c>
      <c r="BL183">
        <v>87209628</v>
      </c>
      <c r="BM183">
        <v>0</v>
      </c>
      <c r="BN183">
        <v>630</v>
      </c>
      <c r="BO183">
        <v>203</v>
      </c>
      <c r="BP183">
        <v>0</v>
      </c>
      <c r="BQ183">
        <v>0</v>
      </c>
      <c r="BR183">
        <v>0.82200000000000006</v>
      </c>
      <c r="BS183">
        <v>0.82200000000000006</v>
      </c>
      <c r="BT183">
        <v>0</v>
      </c>
      <c r="BU183">
        <v>0</v>
      </c>
      <c r="BV183">
        <v>0</v>
      </c>
      <c r="BW183">
        <v>29</v>
      </c>
      <c r="BX183">
        <v>0</v>
      </c>
      <c r="BY183">
        <v>108</v>
      </c>
      <c r="BZ183">
        <v>43</v>
      </c>
      <c r="CA183">
        <v>180</v>
      </c>
      <c r="CB183">
        <v>0</v>
      </c>
      <c r="CC183">
        <v>0</v>
      </c>
      <c r="CD183">
        <v>0</v>
      </c>
      <c r="CE183">
        <v>10</v>
      </c>
      <c r="CF183">
        <v>80.029000000000011</v>
      </c>
      <c r="CG183">
        <v>0</v>
      </c>
      <c r="CH183">
        <v>0</v>
      </c>
      <c r="CI183">
        <v>2</v>
      </c>
      <c r="CJ183">
        <v>0</v>
      </c>
      <c r="CK183">
        <v>0</v>
      </c>
      <c r="CL183">
        <v>0</v>
      </c>
      <c r="CM183">
        <v>46.212000000000003</v>
      </c>
      <c r="CN183">
        <v>0</v>
      </c>
      <c r="CO183">
        <v>0</v>
      </c>
      <c r="CP183">
        <v>0</v>
      </c>
      <c r="CQ183">
        <v>0</v>
      </c>
      <c r="CR183">
        <v>0</v>
      </c>
      <c r="CS183">
        <v>0</v>
      </c>
      <c r="CT183">
        <v>0</v>
      </c>
      <c r="CU183">
        <v>0</v>
      </c>
      <c r="CV183">
        <v>3.7190000000000003</v>
      </c>
      <c r="CW183">
        <v>4.5000000000000005E-2</v>
      </c>
      <c r="CX183">
        <v>0</v>
      </c>
      <c r="CY183" s="2043">
        <v>0</v>
      </c>
      <c r="CZ183" s="2043">
        <v>0</v>
      </c>
      <c r="DA183" s="2043">
        <v>0</v>
      </c>
      <c r="DB183" s="2043">
        <v>0</v>
      </c>
      <c r="DC183" s="2043">
        <v>0</v>
      </c>
      <c r="DI183" t="s">
        <v>5765</v>
      </c>
      <c r="DJ183" t="s">
        <v>5765</v>
      </c>
      <c r="DK183" s="2042">
        <f t="shared" si="4"/>
        <v>0</v>
      </c>
    </row>
    <row r="184" spans="1:115">
      <c r="A184" t="s">
        <v>2922</v>
      </c>
      <c r="B184" t="s">
        <v>2398</v>
      </c>
      <c r="C184">
        <v>229.922</v>
      </c>
      <c r="D184">
        <v>232.06800000000001</v>
      </c>
      <c r="E184">
        <v>0.90800000000000003</v>
      </c>
      <c r="F184">
        <v>0</v>
      </c>
      <c r="G184" s="2043">
        <v>82492869</v>
      </c>
      <c r="H184">
        <v>0</v>
      </c>
      <c r="I184" s="2043">
        <v>61690</v>
      </c>
      <c r="J184">
        <v>11.496</v>
      </c>
      <c r="K184">
        <v>31</v>
      </c>
      <c r="L184">
        <v>0</v>
      </c>
      <c r="M184">
        <v>0</v>
      </c>
      <c r="N184">
        <v>0</v>
      </c>
      <c r="O184">
        <v>0</v>
      </c>
      <c r="P184">
        <v>0</v>
      </c>
      <c r="Q184">
        <v>0</v>
      </c>
      <c r="R184" s="2043">
        <v>736696</v>
      </c>
      <c r="S184">
        <v>69401</v>
      </c>
      <c r="T184">
        <v>45979</v>
      </c>
      <c r="U184">
        <v>0.08</v>
      </c>
      <c r="V184">
        <v>0</v>
      </c>
      <c r="W184">
        <v>0</v>
      </c>
      <c r="X184">
        <v>0</v>
      </c>
      <c r="Y184">
        <v>0</v>
      </c>
      <c r="Z184">
        <v>0</v>
      </c>
      <c r="AA184">
        <v>0</v>
      </c>
      <c r="AB184">
        <v>232.06800000000001</v>
      </c>
      <c r="AC184" s="2043">
        <v>59375330</v>
      </c>
      <c r="AD184">
        <v>114621</v>
      </c>
      <c r="AE184" s="2043">
        <v>852076</v>
      </c>
      <c r="AF184">
        <v>0.98220000000000007</v>
      </c>
      <c r="AG184">
        <v>0</v>
      </c>
      <c r="AH184">
        <v>0</v>
      </c>
      <c r="AI184">
        <v>0</v>
      </c>
      <c r="AJ184">
        <v>11.513</v>
      </c>
      <c r="AK184">
        <v>515</v>
      </c>
      <c r="AL184">
        <v>0</v>
      </c>
      <c r="AM184">
        <v>0</v>
      </c>
      <c r="AN184">
        <v>6.8950000000000005</v>
      </c>
      <c r="AO184">
        <v>0</v>
      </c>
      <c r="AP184">
        <v>0</v>
      </c>
      <c r="AQ184">
        <v>0</v>
      </c>
      <c r="AR184">
        <v>0.93800000000000006</v>
      </c>
      <c r="AS184">
        <v>0</v>
      </c>
      <c r="AT184">
        <v>0.44</v>
      </c>
      <c r="AU184">
        <v>0.50600000000000001</v>
      </c>
      <c r="AV184">
        <v>0</v>
      </c>
      <c r="AW184">
        <v>1.8840000000000001</v>
      </c>
      <c r="AX184">
        <v>0</v>
      </c>
      <c r="AY184">
        <v>6.6640000000000006</v>
      </c>
      <c r="AZ184">
        <v>0</v>
      </c>
      <c r="BA184">
        <v>2240101</v>
      </c>
      <c r="BB184">
        <v>966697</v>
      </c>
      <c r="BC184">
        <v>0</v>
      </c>
      <c r="BD184">
        <v>11492</v>
      </c>
      <c r="BE184">
        <v>0</v>
      </c>
      <c r="BF184">
        <v>11492</v>
      </c>
      <c r="BG184">
        <v>11492</v>
      </c>
      <c r="BH184">
        <v>0</v>
      </c>
      <c r="BI184">
        <v>0</v>
      </c>
      <c r="BJ184">
        <v>0</v>
      </c>
      <c r="BK184">
        <v>0</v>
      </c>
      <c r="BL184">
        <v>82492869</v>
      </c>
      <c r="BM184">
        <v>0</v>
      </c>
      <c r="BN184">
        <v>801</v>
      </c>
      <c r="BO184">
        <v>535</v>
      </c>
      <c r="BP184">
        <v>0</v>
      </c>
      <c r="BQ184">
        <v>0</v>
      </c>
      <c r="BR184">
        <v>0.84920000000000007</v>
      </c>
      <c r="BS184">
        <v>0.84920000000000007</v>
      </c>
      <c r="BT184">
        <v>0</v>
      </c>
      <c r="BU184">
        <v>0</v>
      </c>
      <c r="BV184">
        <v>1</v>
      </c>
      <c r="BW184">
        <v>42</v>
      </c>
      <c r="BX184">
        <v>0</v>
      </c>
      <c r="BY184">
        <v>5</v>
      </c>
      <c r="BZ184">
        <v>0</v>
      </c>
      <c r="CA184">
        <v>48</v>
      </c>
      <c r="CB184">
        <v>0</v>
      </c>
      <c r="CC184">
        <v>0</v>
      </c>
      <c r="CD184">
        <v>0</v>
      </c>
      <c r="CE184">
        <v>20</v>
      </c>
      <c r="CF184">
        <v>12.015000000000001</v>
      </c>
      <c r="CG184">
        <v>0</v>
      </c>
      <c r="CH184">
        <v>0</v>
      </c>
      <c r="CI184">
        <v>2</v>
      </c>
      <c r="CJ184">
        <v>8</v>
      </c>
      <c r="CK184">
        <v>0</v>
      </c>
      <c r="CL184">
        <v>0</v>
      </c>
      <c r="CM184">
        <v>0.90800000000000003</v>
      </c>
      <c r="CN184">
        <v>0</v>
      </c>
      <c r="CO184">
        <v>0</v>
      </c>
      <c r="CP184">
        <v>0</v>
      </c>
      <c r="CQ184">
        <v>0</v>
      </c>
      <c r="CR184">
        <v>0</v>
      </c>
      <c r="CS184">
        <v>0</v>
      </c>
      <c r="CT184">
        <v>0</v>
      </c>
      <c r="CU184">
        <v>0</v>
      </c>
      <c r="CV184">
        <v>13.818000000000001</v>
      </c>
      <c r="CW184">
        <v>13.352</v>
      </c>
      <c r="CX184">
        <v>0</v>
      </c>
      <c r="CY184" s="2043">
        <v>0</v>
      </c>
      <c r="CZ184" s="2043">
        <v>0</v>
      </c>
      <c r="DA184" s="2043">
        <v>0</v>
      </c>
      <c r="DB184" s="2043">
        <v>0</v>
      </c>
      <c r="DC184" s="2043">
        <v>0</v>
      </c>
      <c r="DI184" t="s">
        <v>2922</v>
      </c>
      <c r="DJ184" t="s">
        <v>2922</v>
      </c>
      <c r="DK184" s="2042">
        <f t="shared" si="4"/>
        <v>0</v>
      </c>
    </row>
    <row r="185" spans="1:115">
      <c r="A185" t="s">
        <v>2923</v>
      </c>
      <c r="B185" t="s">
        <v>1548</v>
      </c>
      <c r="C185">
        <v>1322.4010000000001</v>
      </c>
      <c r="D185">
        <v>1254.58</v>
      </c>
      <c r="E185">
        <v>102.19800000000001</v>
      </c>
      <c r="F185">
        <v>0</v>
      </c>
      <c r="G185" s="2043">
        <v>667580574</v>
      </c>
      <c r="H185">
        <v>0</v>
      </c>
      <c r="I185" s="2043">
        <v>1362478</v>
      </c>
      <c r="J185">
        <v>66.12</v>
      </c>
      <c r="K185">
        <v>181</v>
      </c>
      <c r="L185">
        <v>0</v>
      </c>
      <c r="M185">
        <v>321500</v>
      </c>
      <c r="N185">
        <v>0</v>
      </c>
      <c r="O185">
        <v>321500</v>
      </c>
      <c r="P185">
        <v>0</v>
      </c>
      <c r="Q185">
        <v>0</v>
      </c>
      <c r="R185" s="2043">
        <v>5483746</v>
      </c>
      <c r="S185">
        <v>360220</v>
      </c>
      <c r="T185">
        <v>0</v>
      </c>
      <c r="U185">
        <v>0.06</v>
      </c>
      <c r="V185">
        <v>0</v>
      </c>
      <c r="W185">
        <v>0</v>
      </c>
      <c r="X185">
        <v>0</v>
      </c>
      <c r="Y185">
        <v>301027</v>
      </c>
      <c r="Z185">
        <v>0</v>
      </c>
      <c r="AA185">
        <v>0.22800000000000001</v>
      </c>
      <c r="AB185">
        <v>1254.58</v>
      </c>
      <c r="AC185" s="2043">
        <v>581031703</v>
      </c>
      <c r="AD185">
        <v>2345210</v>
      </c>
      <c r="AE185" s="2043">
        <v>5843966</v>
      </c>
      <c r="AF185">
        <v>0.97340000000000004</v>
      </c>
      <c r="AG185">
        <v>0</v>
      </c>
      <c r="AH185">
        <v>0</v>
      </c>
      <c r="AI185">
        <v>0</v>
      </c>
      <c r="AJ185">
        <v>191.07500000000002</v>
      </c>
      <c r="AK185">
        <v>4785</v>
      </c>
      <c r="AL185">
        <v>0</v>
      </c>
      <c r="AM185">
        <v>0</v>
      </c>
      <c r="AN185">
        <v>33.983000000000004</v>
      </c>
      <c r="AO185">
        <v>0</v>
      </c>
      <c r="AP185">
        <v>0</v>
      </c>
      <c r="AQ185">
        <v>0</v>
      </c>
      <c r="AR185">
        <v>28.796000000000003</v>
      </c>
      <c r="AS185">
        <v>0</v>
      </c>
      <c r="AT185">
        <v>11.31</v>
      </c>
      <c r="AU185">
        <v>3.395</v>
      </c>
      <c r="AV185">
        <v>0</v>
      </c>
      <c r="AW185">
        <v>44.102000000000004</v>
      </c>
      <c r="AX185">
        <v>0.60099999999999998</v>
      </c>
      <c r="AY185">
        <v>138.67500000000001</v>
      </c>
      <c r="AZ185">
        <v>0</v>
      </c>
      <c r="BA185">
        <v>7754361</v>
      </c>
      <c r="BB185">
        <v>8189176</v>
      </c>
      <c r="BC185">
        <v>0</v>
      </c>
      <c r="BD185">
        <v>108240</v>
      </c>
      <c r="BE185">
        <v>28978</v>
      </c>
      <c r="BF185">
        <v>179741</v>
      </c>
      <c r="BG185">
        <v>108240</v>
      </c>
      <c r="BH185">
        <v>42523</v>
      </c>
      <c r="BI185">
        <v>0</v>
      </c>
      <c r="BJ185">
        <v>0</v>
      </c>
      <c r="BK185">
        <v>0</v>
      </c>
      <c r="BL185">
        <v>667580574</v>
      </c>
      <c r="BM185">
        <v>0</v>
      </c>
      <c r="BN185">
        <v>4266</v>
      </c>
      <c r="BO185">
        <v>3264</v>
      </c>
      <c r="BP185">
        <v>0</v>
      </c>
      <c r="BQ185">
        <v>0</v>
      </c>
      <c r="BR185">
        <v>0.91339999999999999</v>
      </c>
      <c r="BS185">
        <v>0.91339999999999999</v>
      </c>
      <c r="BT185">
        <v>301027</v>
      </c>
      <c r="BU185">
        <v>0</v>
      </c>
      <c r="BV185">
        <v>105</v>
      </c>
      <c r="BW185">
        <v>330</v>
      </c>
      <c r="BX185">
        <v>331</v>
      </c>
      <c r="BY185">
        <v>0</v>
      </c>
      <c r="BZ185">
        <v>23</v>
      </c>
      <c r="CA185">
        <v>789</v>
      </c>
      <c r="CB185">
        <v>0</v>
      </c>
      <c r="CC185">
        <v>0</v>
      </c>
      <c r="CD185">
        <v>0</v>
      </c>
      <c r="CE185">
        <v>98</v>
      </c>
      <c r="CF185">
        <v>276.41000000000003</v>
      </c>
      <c r="CG185">
        <v>0</v>
      </c>
      <c r="CH185">
        <v>0</v>
      </c>
      <c r="CI185">
        <v>6</v>
      </c>
      <c r="CJ185">
        <v>11</v>
      </c>
      <c r="CK185">
        <v>0</v>
      </c>
      <c r="CL185">
        <v>0</v>
      </c>
      <c r="CM185">
        <v>102.19800000000001</v>
      </c>
      <c r="CN185">
        <v>0</v>
      </c>
      <c r="CO185">
        <v>0</v>
      </c>
      <c r="CP185">
        <v>0</v>
      </c>
      <c r="CQ185">
        <v>0</v>
      </c>
      <c r="CR185">
        <v>0</v>
      </c>
      <c r="CS185">
        <v>0</v>
      </c>
      <c r="CT185">
        <v>0</v>
      </c>
      <c r="CU185">
        <v>2.0070000000000001</v>
      </c>
      <c r="CV185">
        <v>96.341999999999999</v>
      </c>
      <c r="CW185">
        <v>51.349000000000004</v>
      </c>
      <c r="CX185">
        <v>301027</v>
      </c>
      <c r="CY185" s="2043">
        <v>0</v>
      </c>
      <c r="CZ185" s="2043">
        <v>0</v>
      </c>
      <c r="DA185" s="2043">
        <v>0</v>
      </c>
      <c r="DB185" s="2043">
        <v>0</v>
      </c>
      <c r="DC185" s="2043">
        <v>0</v>
      </c>
      <c r="DI185" t="s">
        <v>2923</v>
      </c>
      <c r="DJ185" t="s">
        <v>2923</v>
      </c>
      <c r="DK185" s="2042">
        <f t="shared" si="4"/>
        <v>0</v>
      </c>
    </row>
    <row r="186" spans="1:115">
      <c r="A186" t="s">
        <v>4965</v>
      </c>
      <c r="B186" t="s">
        <v>2293</v>
      </c>
      <c r="C186">
        <v>6409.4650000000001</v>
      </c>
      <c r="D186">
        <v>6433.7750000000005</v>
      </c>
      <c r="E186">
        <v>258.61</v>
      </c>
      <c r="F186">
        <v>3208310</v>
      </c>
      <c r="G186" s="2043">
        <v>6913536947</v>
      </c>
      <c r="H186">
        <v>0</v>
      </c>
      <c r="I186" s="2043">
        <v>35728144</v>
      </c>
      <c r="J186">
        <v>320.47300000000001</v>
      </c>
      <c r="K186">
        <v>876</v>
      </c>
      <c r="L186">
        <v>0</v>
      </c>
      <c r="M186">
        <v>0</v>
      </c>
      <c r="N186">
        <v>0</v>
      </c>
      <c r="O186">
        <v>0</v>
      </c>
      <c r="P186">
        <v>0</v>
      </c>
      <c r="Q186">
        <v>0</v>
      </c>
      <c r="R186" s="2043">
        <v>53894359</v>
      </c>
      <c r="S186">
        <v>3921016</v>
      </c>
      <c r="T186">
        <v>0</v>
      </c>
      <c r="U186">
        <v>0.06</v>
      </c>
      <c r="V186">
        <v>0</v>
      </c>
      <c r="W186">
        <v>7285639</v>
      </c>
      <c r="X186">
        <v>0</v>
      </c>
      <c r="Y186">
        <v>12651381</v>
      </c>
      <c r="Z186">
        <v>0</v>
      </c>
      <c r="AA186">
        <v>0.182</v>
      </c>
      <c r="AB186">
        <v>6350.2420000000002</v>
      </c>
      <c r="AC186" s="2043">
        <v>5242343543</v>
      </c>
      <c r="AD186">
        <v>37581933</v>
      </c>
      <c r="AE186" s="2043">
        <v>57815375</v>
      </c>
      <c r="AF186">
        <v>0.88470000000000004</v>
      </c>
      <c r="AG186">
        <v>0</v>
      </c>
      <c r="AH186">
        <v>7285639</v>
      </c>
      <c r="AI186">
        <v>0</v>
      </c>
      <c r="AJ186">
        <v>408.363</v>
      </c>
      <c r="AK186">
        <v>17769</v>
      </c>
      <c r="AL186">
        <v>0.75</v>
      </c>
      <c r="AM186">
        <v>0</v>
      </c>
      <c r="AN186">
        <v>260.625</v>
      </c>
      <c r="AO186">
        <v>2.3000000000000003</v>
      </c>
      <c r="AP186">
        <v>2.319</v>
      </c>
      <c r="AQ186">
        <v>0</v>
      </c>
      <c r="AR186">
        <v>81.350000000000009</v>
      </c>
      <c r="AS186">
        <v>0</v>
      </c>
      <c r="AT186">
        <v>51.585000000000001</v>
      </c>
      <c r="AU186">
        <v>12.34</v>
      </c>
      <c r="AV186">
        <v>0</v>
      </c>
      <c r="AW186">
        <v>152.88900000000001</v>
      </c>
      <c r="AX186">
        <v>4.5449999999999999</v>
      </c>
      <c r="AY186">
        <v>480.97</v>
      </c>
      <c r="AZ186">
        <v>0</v>
      </c>
      <c r="BA186">
        <v>16555855</v>
      </c>
      <c r="BB186">
        <v>95397308</v>
      </c>
      <c r="BC186">
        <v>0</v>
      </c>
      <c r="BD186">
        <v>435095</v>
      </c>
      <c r="BE186">
        <v>227354</v>
      </c>
      <c r="BF186">
        <v>662449</v>
      </c>
      <c r="BG186">
        <v>435095</v>
      </c>
      <c r="BH186">
        <v>0</v>
      </c>
      <c r="BI186">
        <v>0</v>
      </c>
      <c r="BJ186">
        <v>-15099</v>
      </c>
      <c r="BK186">
        <v>0</v>
      </c>
      <c r="BL186">
        <v>6913536947</v>
      </c>
      <c r="BM186">
        <v>0</v>
      </c>
      <c r="BN186">
        <v>21753</v>
      </c>
      <c r="BO186">
        <v>8282</v>
      </c>
      <c r="BP186">
        <v>49793</v>
      </c>
      <c r="BQ186">
        <v>0</v>
      </c>
      <c r="BR186">
        <v>0.82469999999999999</v>
      </c>
      <c r="BS186">
        <v>0.82469999999999999</v>
      </c>
      <c r="BT186">
        <v>7907191</v>
      </c>
      <c r="BU186">
        <v>1550979</v>
      </c>
      <c r="BV186">
        <v>1467</v>
      </c>
      <c r="BW186">
        <v>306</v>
      </c>
      <c r="BX186">
        <v>5</v>
      </c>
      <c r="BY186">
        <v>3</v>
      </c>
      <c r="BZ186">
        <v>13</v>
      </c>
      <c r="CA186">
        <v>1794</v>
      </c>
      <c r="CB186">
        <v>0</v>
      </c>
      <c r="CC186">
        <v>0</v>
      </c>
      <c r="CD186">
        <v>0</v>
      </c>
      <c r="CE186">
        <v>423</v>
      </c>
      <c r="CF186">
        <v>703.05200000000002</v>
      </c>
      <c r="CG186">
        <v>0</v>
      </c>
      <c r="CH186">
        <v>0</v>
      </c>
      <c r="CI186">
        <v>3</v>
      </c>
      <c r="CJ186">
        <v>106</v>
      </c>
      <c r="CK186">
        <v>0</v>
      </c>
      <c r="CL186">
        <v>0</v>
      </c>
      <c r="CM186">
        <v>258.61</v>
      </c>
      <c r="CN186">
        <v>0</v>
      </c>
      <c r="CO186">
        <v>0</v>
      </c>
      <c r="CP186">
        <v>45313</v>
      </c>
      <c r="CQ186">
        <v>4480</v>
      </c>
      <c r="CR186">
        <v>0</v>
      </c>
      <c r="CS186">
        <v>0</v>
      </c>
      <c r="CT186">
        <v>0</v>
      </c>
      <c r="CU186">
        <v>2.4010000000000002</v>
      </c>
      <c r="CV186">
        <v>215.304</v>
      </c>
      <c r="CW186">
        <v>110.72500000000001</v>
      </c>
      <c r="CX186">
        <v>7907191</v>
      </c>
      <c r="CY186" s="2043">
        <v>0</v>
      </c>
      <c r="CZ186" s="2043">
        <v>0</v>
      </c>
      <c r="DA186" s="2043">
        <v>0</v>
      </c>
      <c r="DB186" s="2043">
        <v>3208310</v>
      </c>
      <c r="DC186" s="2043">
        <v>796997</v>
      </c>
      <c r="DI186" t="s">
        <v>4965</v>
      </c>
      <c r="DJ186" t="s">
        <v>4965</v>
      </c>
      <c r="DK186" s="2042">
        <f t="shared" si="4"/>
        <v>0</v>
      </c>
    </row>
    <row r="187" spans="1:115">
      <c r="A187" t="s">
        <v>2924</v>
      </c>
      <c r="B187" t="s">
        <v>270</v>
      </c>
      <c r="C187">
        <v>1416.5540000000001</v>
      </c>
      <c r="D187">
        <v>1444.598</v>
      </c>
      <c r="E187">
        <v>381.654</v>
      </c>
      <c r="F187">
        <v>0</v>
      </c>
      <c r="G187" s="2043">
        <v>365223394</v>
      </c>
      <c r="H187">
        <v>0</v>
      </c>
      <c r="I187" s="2043">
        <v>1191238</v>
      </c>
      <c r="J187">
        <v>70.828000000000003</v>
      </c>
      <c r="K187">
        <v>194</v>
      </c>
      <c r="L187">
        <v>168003</v>
      </c>
      <c r="M187">
        <v>469919</v>
      </c>
      <c r="N187">
        <v>168003</v>
      </c>
      <c r="O187">
        <v>637922</v>
      </c>
      <c r="P187">
        <v>0</v>
      </c>
      <c r="Q187">
        <v>0</v>
      </c>
      <c r="R187" s="2043">
        <v>2823171</v>
      </c>
      <c r="S187">
        <v>269902</v>
      </c>
      <c r="T187">
        <v>196690</v>
      </c>
      <c r="U187">
        <v>0.08</v>
      </c>
      <c r="V187">
        <v>0</v>
      </c>
      <c r="W187">
        <v>0</v>
      </c>
      <c r="X187">
        <v>0</v>
      </c>
      <c r="Y187">
        <v>0</v>
      </c>
      <c r="Z187">
        <v>0</v>
      </c>
      <c r="AA187">
        <v>0</v>
      </c>
      <c r="AB187">
        <v>1370.374</v>
      </c>
      <c r="AC187" s="2043">
        <v>352866592</v>
      </c>
      <c r="AD187">
        <v>841389</v>
      </c>
      <c r="AE187" s="2043">
        <v>3289763</v>
      </c>
      <c r="AF187">
        <v>0.97510000000000008</v>
      </c>
      <c r="AG187">
        <v>0</v>
      </c>
      <c r="AH187">
        <v>0</v>
      </c>
      <c r="AI187">
        <v>0</v>
      </c>
      <c r="AJ187">
        <v>241.613</v>
      </c>
      <c r="AK187">
        <v>5396</v>
      </c>
      <c r="AL187">
        <v>6.0000000000000001E-3</v>
      </c>
      <c r="AM187">
        <v>0</v>
      </c>
      <c r="AN187">
        <v>27.452000000000002</v>
      </c>
      <c r="AO187">
        <v>0</v>
      </c>
      <c r="AP187">
        <v>0</v>
      </c>
      <c r="AQ187">
        <v>0</v>
      </c>
      <c r="AR187">
        <v>39.489000000000004</v>
      </c>
      <c r="AS187">
        <v>0</v>
      </c>
      <c r="AT187">
        <v>17.289000000000001</v>
      </c>
      <c r="AU187">
        <v>2.3050000000000002</v>
      </c>
      <c r="AV187">
        <v>0</v>
      </c>
      <c r="AW187">
        <v>59.089000000000006</v>
      </c>
      <c r="AX187">
        <v>0</v>
      </c>
      <c r="AY187">
        <v>181.88900000000001</v>
      </c>
      <c r="AZ187">
        <v>0</v>
      </c>
      <c r="BA187">
        <v>11966189</v>
      </c>
      <c r="BB187">
        <v>4131152</v>
      </c>
      <c r="BC187">
        <v>0</v>
      </c>
      <c r="BD187">
        <v>41798</v>
      </c>
      <c r="BE187">
        <v>9696</v>
      </c>
      <c r="BF187">
        <v>51494</v>
      </c>
      <c r="BG187">
        <v>41798</v>
      </c>
      <c r="BH187">
        <v>0</v>
      </c>
      <c r="BI187">
        <v>0</v>
      </c>
      <c r="BJ187">
        <v>0</v>
      </c>
      <c r="BK187">
        <v>0</v>
      </c>
      <c r="BL187">
        <v>365223394</v>
      </c>
      <c r="BM187">
        <v>0</v>
      </c>
      <c r="BN187">
        <v>5409</v>
      </c>
      <c r="BO187">
        <v>4237</v>
      </c>
      <c r="BP187">
        <v>0</v>
      </c>
      <c r="BQ187">
        <v>0</v>
      </c>
      <c r="BR187">
        <v>0.83679999999999999</v>
      </c>
      <c r="BS187">
        <v>0.83679999999999999</v>
      </c>
      <c r="BT187">
        <v>0</v>
      </c>
      <c r="BU187">
        <v>0</v>
      </c>
      <c r="BV187">
        <v>165</v>
      </c>
      <c r="BW187">
        <v>258</v>
      </c>
      <c r="BX187">
        <v>552</v>
      </c>
      <c r="BY187">
        <v>1</v>
      </c>
      <c r="BZ187">
        <v>18</v>
      </c>
      <c r="CA187">
        <v>994</v>
      </c>
      <c r="CB187">
        <v>0</v>
      </c>
      <c r="CC187">
        <v>0</v>
      </c>
      <c r="CD187">
        <v>0</v>
      </c>
      <c r="CE187">
        <v>87</v>
      </c>
      <c r="CF187">
        <v>367.89600000000002</v>
      </c>
      <c r="CG187">
        <v>0</v>
      </c>
      <c r="CH187">
        <v>0</v>
      </c>
      <c r="CI187">
        <v>1</v>
      </c>
      <c r="CJ187">
        <v>8</v>
      </c>
      <c r="CK187">
        <v>0</v>
      </c>
      <c r="CL187">
        <v>0</v>
      </c>
      <c r="CM187">
        <v>381.654</v>
      </c>
      <c r="CN187">
        <v>0</v>
      </c>
      <c r="CO187">
        <v>0</v>
      </c>
      <c r="CP187">
        <v>0</v>
      </c>
      <c r="CQ187">
        <v>0</v>
      </c>
      <c r="CR187">
        <v>0</v>
      </c>
      <c r="CS187">
        <v>0</v>
      </c>
      <c r="CT187">
        <v>0</v>
      </c>
      <c r="CU187">
        <v>0</v>
      </c>
      <c r="CV187">
        <v>32.068000000000005</v>
      </c>
      <c r="CW187">
        <v>15.784000000000001</v>
      </c>
      <c r="CX187">
        <v>0</v>
      </c>
      <c r="CY187" s="2043">
        <v>0</v>
      </c>
      <c r="CZ187" s="2043">
        <v>0</v>
      </c>
      <c r="DA187" s="2043">
        <v>0</v>
      </c>
      <c r="DB187" s="2043">
        <v>0</v>
      </c>
      <c r="DC187" s="2043">
        <v>0</v>
      </c>
      <c r="DI187" t="s">
        <v>2924</v>
      </c>
      <c r="DJ187" t="s">
        <v>2924</v>
      </c>
      <c r="DK187" s="2042">
        <f t="shared" si="4"/>
        <v>0</v>
      </c>
    </row>
    <row r="188" spans="1:115">
      <c r="A188" t="s">
        <v>4966</v>
      </c>
      <c r="B188" t="s">
        <v>1383</v>
      </c>
      <c r="C188">
        <v>512.41399999999999</v>
      </c>
      <c r="D188">
        <v>560.875</v>
      </c>
      <c r="E188">
        <v>101.68300000000001</v>
      </c>
      <c r="F188">
        <v>0</v>
      </c>
      <c r="G188" s="2043">
        <v>162224076</v>
      </c>
      <c r="H188">
        <v>0</v>
      </c>
      <c r="I188" s="2043">
        <v>933519</v>
      </c>
      <c r="J188">
        <v>25.621000000000002</v>
      </c>
      <c r="K188">
        <v>70</v>
      </c>
      <c r="L188">
        <v>0</v>
      </c>
      <c r="M188">
        <v>0</v>
      </c>
      <c r="N188">
        <v>0</v>
      </c>
      <c r="O188">
        <v>0</v>
      </c>
      <c r="P188">
        <v>0</v>
      </c>
      <c r="Q188">
        <v>0</v>
      </c>
      <c r="R188" s="2043">
        <v>1435346</v>
      </c>
      <c r="S188">
        <v>129807</v>
      </c>
      <c r="T188">
        <v>146034</v>
      </c>
      <c r="U188">
        <v>0.08</v>
      </c>
      <c r="V188">
        <v>0</v>
      </c>
      <c r="W188">
        <v>0</v>
      </c>
      <c r="X188">
        <v>0</v>
      </c>
      <c r="Y188">
        <v>0</v>
      </c>
      <c r="Z188">
        <v>0</v>
      </c>
      <c r="AA188">
        <v>0</v>
      </c>
      <c r="AB188">
        <v>560.875</v>
      </c>
      <c r="AC188" s="2043">
        <v>151105118</v>
      </c>
      <c r="AD188">
        <v>769018</v>
      </c>
      <c r="AE188" s="2043">
        <v>1711187</v>
      </c>
      <c r="AF188">
        <v>1.0546</v>
      </c>
      <c r="AG188">
        <v>0</v>
      </c>
      <c r="AH188">
        <v>0</v>
      </c>
      <c r="AI188">
        <v>0</v>
      </c>
      <c r="AJ188">
        <v>104.5</v>
      </c>
      <c r="AK188">
        <v>3605</v>
      </c>
      <c r="AL188">
        <v>0</v>
      </c>
      <c r="AM188">
        <v>0</v>
      </c>
      <c r="AN188">
        <v>42.011000000000003</v>
      </c>
      <c r="AO188">
        <v>0</v>
      </c>
      <c r="AP188">
        <v>0.61199999999999999</v>
      </c>
      <c r="AQ188">
        <v>0</v>
      </c>
      <c r="AR188">
        <v>14.487</v>
      </c>
      <c r="AS188">
        <v>0</v>
      </c>
      <c r="AT188">
        <v>3.6560000000000001</v>
      </c>
      <c r="AU188">
        <v>0.81800000000000006</v>
      </c>
      <c r="AV188">
        <v>0</v>
      </c>
      <c r="AW188">
        <v>19.573</v>
      </c>
      <c r="AX188">
        <v>0</v>
      </c>
      <c r="AY188">
        <v>60.170999999999999</v>
      </c>
      <c r="AZ188">
        <v>0</v>
      </c>
      <c r="BA188">
        <v>6237805</v>
      </c>
      <c r="BB188">
        <v>2480205</v>
      </c>
      <c r="BC188">
        <v>0</v>
      </c>
      <c r="BD188">
        <v>38532</v>
      </c>
      <c r="BE188">
        <v>1825</v>
      </c>
      <c r="BF188">
        <v>40357</v>
      </c>
      <c r="BG188">
        <v>38532</v>
      </c>
      <c r="BH188">
        <v>0</v>
      </c>
      <c r="BI188">
        <v>0</v>
      </c>
      <c r="BJ188">
        <v>0</v>
      </c>
      <c r="BK188">
        <v>0</v>
      </c>
      <c r="BL188">
        <v>162224076</v>
      </c>
      <c r="BM188">
        <v>0</v>
      </c>
      <c r="BN188">
        <v>2340</v>
      </c>
      <c r="BO188">
        <v>1391</v>
      </c>
      <c r="BP188">
        <v>0</v>
      </c>
      <c r="BQ188">
        <v>0</v>
      </c>
      <c r="BR188">
        <v>0.88460000000000005</v>
      </c>
      <c r="BS188">
        <v>0.88460000000000005</v>
      </c>
      <c r="BT188">
        <v>0</v>
      </c>
      <c r="BU188">
        <v>0</v>
      </c>
      <c r="BV188">
        <v>2</v>
      </c>
      <c r="BW188">
        <v>148</v>
      </c>
      <c r="BX188">
        <v>94</v>
      </c>
      <c r="BY188">
        <v>152</v>
      </c>
      <c r="BZ188">
        <v>20</v>
      </c>
      <c r="CA188">
        <v>416</v>
      </c>
      <c r="CB188">
        <v>0</v>
      </c>
      <c r="CC188">
        <v>0</v>
      </c>
      <c r="CD188">
        <v>0</v>
      </c>
      <c r="CE188">
        <v>34</v>
      </c>
      <c r="CF188">
        <v>142.774</v>
      </c>
      <c r="CG188">
        <v>0</v>
      </c>
      <c r="CH188">
        <v>0</v>
      </c>
      <c r="CI188">
        <v>0</v>
      </c>
      <c r="CJ188">
        <v>4</v>
      </c>
      <c r="CK188">
        <v>0</v>
      </c>
      <c r="CL188">
        <v>0</v>
      </c>
      <c r="CM188">
        <v>101.68300000000001</v>
      </c>
      <c r="CN188">
        <v>0</v>
      </c>
      <c r="CO188">
        <v>0</v>
      </c>
      <c r="CP188">
        <v>0</v>
      </c>
      <c r="CQ188">
        <v>0</v>
      </c>
      <c r="CR188">
        <v>0</v>
      </c>
      <c r="CS188">
        <v>0</v>
      </c>
      <c r="CT188">
        <v>0</v>
      </c>
      <c r="CU188">
        <v>10.120000000000001</v>
      </c>
      <c r="CV188">
        <v>32.865000000000002</v>
      </c>
      <c r="CW188">
        <v>18.333000000000002</v>
      </c>
      <c r="CX188">
        <v>0</v>
      </c>
      <c r="CY188" s="2043">
        <v>0</v>
      </c>
      <c r="CZ188" s="2043">
        <v>0</v>
      </c>
      <c r="DA188" s="2043">
        <v>0</v>
      </c>
      <c r="DB188" s="2043">
        <v>0</v>
      </c>
      <c r="DC188" s="2043">
        <v>0</v>
      </c>
      <c r="DI188" t="s">
        <v>4966</v>
      </c>
      <c r="DJ188" t="s">
        <v>4966</v>
      </c>
      <c r="DK188" s="2042">
        <f t="shared" si="4"/>
        <v>0</v>
      </c>
    </row>
    <row r="189" spans="1:115">
      <c r="A189" t="s">
        <v>2925</v>
      </c>
      <c r="B189" t="s">
        <v>41</v>
      </c>
      <c r="C189">
        <v>4376.2070000000003</v>
      </c>
      <c r="D189">
        <v>4612.9430000000002</v>
      </c>
      <c r="E189">
        <v>605.58100000000002</v>
      </c>
      <c r="F189">
        <v>0</v>
      </c>
      <c r="G189" s="2043">
        <v>1449261576</v>
      </c>
      <c r="H189">
        <v>0</v>
      </c>
      <c r="I189" s="2043">
        <v>6333710</v>
      </c>
      <c r="J189">
        <v>218.81</v>
      </c>
      <c r="K189">
        <v>598</v>
      </c>
      <c r="L189">
        <v>61642</v>
      </c>
      <c r="M189">
        <v>1084124</v>
      </c>
      <c r="N189">
        <v>61642</v>
      </c>
      <c r="O189">
        <v>1145766</v>
      </c>
      <c r="P189">
        <v>0</v>
      </c>
      <c r="Q189">
        <v>0</v>
      </c>
      <c r="R189" s="2043">
        <v>12648053</v>
      </c>
      <c r="S189">
        <v>724070</v>
      </c>
      <c r="T189">
        <v>0</v>
      </c>
      <c r="U189">
        <v>0.05</v>
      </c>
      <c r="V189">
        <v>0</v>
      </c>
      <c r="W189">
        <v>0</v>
      </c>
      <c r="X189">
        <v>0</v>
      </c>
      <c r="Y189">
        <v>0</v>
      </c>
      <c r="Z189">
        <v>0</v>
      </c>
      <c r="AA189">
        <v>0.151</v>
      </c>
      <c r="AB189">
        <v>4389.2269999999999</v>
      </c>
      <c r="AC189" s="2043">
        <v>1168037003</v>
      </c>
      <c r="AD189">
        <v>5717523</v>
      </c>
      <c r="AE189" s="2043">
        <v>13372123</v>
      </c>
      <c r="AF189">
        <v>0.9234</v>
      </c>
      <c r="AG189">
        <v>0</v>
      </c>
      <c r="AH189">
        <v>0</v>
      </c>
      <c r="AI189">
        <v>0</v>
      </c>
      <c r="AJ189">
        <v>980.57500000000005</v>
      </c>
      <c r="AK189">
        <v>17380</v>
      </c>
      <c r="AL189">
        <v>0.78600000000000003</v>
      </c>
      <c r="AM189">
        <v>0</v>
      </c>
      <c r="AN189">
        <v>95.528000000000006</v>
      </c>
      <c r="AO189">
        <v>0</v>
      </c>
      <c r="AP189">
        <v>0</v>
      </c>
      <c r="AQ189">
        <v>0</v>
      </c>
      <c r="AR189">
        <v>136.327</v>
      </c>
      <c r="AS189">
        <v>0</v>
      </c>
      <c r="AT189">
        <v>55.786000000000001</v>
      </c>
      <c r="AU189">
        <v>9.3670000000000009</v>
      </c>
      <c r="AV189">
        <v>0</v>
      </c>
      <c r="AW189">
        <v>206.136</v>
      </c>
      <c r="AX189">
        <v>3.87</v>
      </c>
      <c r="AY189">
        <v>636.005</v>
      </c>
      <c r="AZ189">
        <v>0</v>
      </c>
      <c r="BA189">
        <v>31771503</v>
      </c>
      <c r="BB189">
        <v>19089646</v>
      </c>
      <c r="BC189">
        <v>0</v>
      </c>
      <c r="BD189">
        <v>359894</v>
      </c>
      <c r="BE189">
        <v>110885</v>
      </c>
      <c r="BF189">
        <v>478962</v>
      </c>
      <c r="BG189">
        <v>359894</v>
      </c>
      <c r="BH189">
        <v>8183</v>
      </c>
      <c r="BI189">
        <v>0</v>
      </c>
      <c r="BJ189">
        <v>0</v>
      </c>
      <c r="BK189">
        <v>0</v>
      </c>
      <c r="BL189">
        <v>1449261576</v>
      </c>
      <c r="BM189">
        <v>0</v>
      </c>
      <c r="BN189">
        <v>13401</v>
      </c>
      <c r="BO189">
        <v>8207</v>
      </c>
      <c r="BP189">
        <v>0</v>
      </c>
      <c r="BQ189">
        <v>0</v>
      </c>
      <c r="BR189">
        <v>0.87340000000000007</v>
      </c>
      <c r="BS189">
        <v>0.87340000000000007</v>
      </c>
      <c r="BT189">
        <v>0</v>
      </c>
      <c r="BU189">
        <v>0</v>
      </c>
      <c r="BV189">
        <v>564</v>
      </c>
      <c r="BW189">
        <v>755</v>
      </c>
      <c r="BX189">
        <v>1251</v>
      </c>
      <c r="BY189">
        <v>705</v>
      </c>
      <c r="BZ189">
        <v>642</v>
      </c>
      <c r="CA189">
        <v>3917</v>
      </c>
      <c r="CB189">
        <v>0</v>
      </c>
      <c r="CC189">
        <v>813.76400000000001</v>
      </c>
      <c r="CD189">
        <v>175.30200000000002</v>
      </c>
      <c r="CE189">
        <v>299</v>
      </c>
      <c r="CF189">
        <v>1710.07</v>
      </c>
      <c r="CG189">
        <v>0</v>
      </c>
      <c r="CH189">
        <v>0</v>
      </c>
      <c r="CI189">
        <v>0</v>
      </c>
      <c r="CJ189">
        <v>12</v>
      </c>
      <c r="CK189">
        <v>0</v>
      </c>
      <c r="CL189">
        <v>0</v>
      </c>
      <c r="CM189">
        <v>605.58100000000002</v>
      </c>
      <c r="CN189">
        <v>0</v>
      </c>
      <c r="CO189">
        <v>0</v>
      </c>
      <c r="CP189">
        <v>0</v>
      </c>
      <c r="CQ189">
        <v>0</v>
      </c>
      <c r="CR189">
        <v>0</v>
      </c>
      <c r="CS189">
        <v>0</v>
      </c>
      <c r="CT189">
        <v>0</v>
      </c>
      <c r="CU189">
        <v>1.6080000000000001</v>
      </c>
      <c r="CV189">
        <v>209.97800000000001</v>
      </c>
      <c r="CW189">
        <v>112.17800000000001</v>
      </c>
      <c r="CX189">
        <v>0</v>
      </c>
      <c r="CY189" s="2043">
        <v>0</v>
      </c>
      <c r="CZ189" s="2043">
        <v>0</v>
      </c>
      <c r="DA189" s="2043">
        <v>0</v>
      </c>
      <c r="DB189" s="2043">
        <v>0</v>
      </c>
      <c r="DC189" s="2043">
        <v>0</v>
      </c>
      <c r="DI189" t="s">
        <v>2925</v>
      </c>
      <c r="DJ189" t="s">
        <v>2925</v>
      </c>
      <c r="DK189" s="2042">
        <f t="shared" si="4"/>
        <v>0</v>
      </c>
    </row>
    <row r="190" spans="1:115">
      <c r="A190" t="s">
        <v>2926</v>
      </c>
      <c r="B190" t="s">
        <v>1235</v>
      </c>
      <c r="C190">
        <v>1878.9390000000001</v>
      </c>
      <c r="D190">
        <v>1853.9650000000001</v>
      </c>
      <c r="E190">
        <v>142.55799999999999</v>
      </c>
      <c r="F190">
        <v>0</v>
      </c>
      <c r="G190" s="2043">
        <v>487148144</v>
      </c>
      <c r="H190">
        <v>0</v>
      </c>
      <c r="I190" s="2043">
        <v>702775</v>
      </c>
      <c r="J190">
        <v>93.947000000000003</v>
      </c>
      <c r="K190">
        <v>257</v>
      </c>
      <c r="L190">
        <v>0</v>
      </c>
      <c r="M190">
        <v>0</v>
      </c>
      <c r="N190">
        <v>0</v>
      </c>
      <c r="O190">
        <v>0</v>
      </c>
      <c r="P190">
        <v>0</v>
      </c>
      <c r="Q190">
        <v>0</v>
      </c>
      <c r="R190" s="2043">
        <v>4162905</v>
      </c>
      <c r="S190">
        <v>243075</v>
      </c>
      <c r="T190">
        <v>0</v>
      </c>
      <c r="U190">
        <v>0.05</v>
      </c>
      <c r="V190">
        <v>0</v>
      </c>
      <c r="W190">
        <v>0</v>
      </c>
      <c r="X190">
        <v>0</v>
      </c>
      <c r="Y190">
        <v>0</v>
      </c>
      <c r="Z190">
        <v>0</v>
      </c>
      <c r="AA190">
        <v>0.47500000000000003</v>
      </c>
      <c r="AB190">
        <v>1834.1010000000001</v>
      </c>
      <c r="AC190" s="2043">
        <v>420619108</v>
      </c>
      <c r="AD190">
        <v>545878</v>
      </c>
      <c r="AE190" s="2043">
        <v>4405980</v>
      </c>
      <c r="AF190">
        <v>0.90629999999999999</v>
      </c>
      <c r="AG190">
        <v>0</v>
      </c>
      <c r="AH190">
        <v>0</v>
      </c>
      <c r="AI190">
        <v>0</v>
      </c>
      <c r="AJ190">
        <v>345.38800000000003</v>
      </c>
      <c r="AK190">
        <v>6888</v>
      </c>
      <c r="AL190">
        <v>0.27800000000000002</v>
      </c>
      <c r="AM190">
        <v>0</v>
      </c>
      <c r="AN190">
        <v>52.795000000000002</v>
      </c>
      <c r="AO190">
        <v>0</v>
      </c>
      <c r="AP190">
        <v>0</v>
      </c>
      <c r="AQ190">
        <v>0</v>
      </c>
      <c r="AR190">
        <v>43.085000000000001</v>
      </c>
      <c r="AS190">
        <v>0</v>
      </c>
      <c r="AT190">
        <v>23.029</v>
      </c>
      <c r="AU190">
        <v>4.0090000000000003</v>
      </c>
      <c r="AV190">
        <v>0</v>
      </c>
      <c r="AW190">
        <v>70.40100000000001</v>
      </c>
      <c r="AX190">
        <v>0</v>
      </c>
      <c r="AY190">
        <v>219.77700000000002</v>
      </c>
      <c r="AZ190">
        <v>0</v>
      </c>
      <c r="BA190">
        <v>14464319</v>
      </c>
      <c r="BB190">
        <v>4951858</v>
      </c>
      <c r="BC190">
        <v>0</v>
      </c>
      <c r="BD190">
        <v>152667</v>
      </c>
      <c r="BE190">
        <v>20489</v>
      </c>
      <c r="BF190">
        <v>272152</v>
      </c>
      <c r="BG190">
        <v>152667</v>
      </c>
      <c r="BH190">
        <v>98996</v>
      </c>
      <c r="BI190">
        <v>0</v>
      </c>
      <c r="BJ190">
        <v>0</v>
      </c>
      <c r="BK190">
        <v>0</v>
      </c>
      <c r="BL190">
        <v>487148144</v>
      </c>
      <c r="BM190">
        <v>0</v>
      </c>
      <c r="BN190">
        <v>7173</v>
      </c>
      <c r="BO190">
        <v>3103</v>
      </c>
      <c r="BP190">
        <v>0</v>
      </c>
      <c r="BQ190">
        <v>0</v>
      </c>
      <c r="BR190">
        <v>0.85630000000000006</v>
      </c>
      <c r="BS190">
        <v>0.85630000000000006</v>
      </c>
      <c r="BT190">
        <v>0</v>
      </c>
      <c r="BU190">
        <v>0</v>
      </c>
      <c r="BV190">
        <v>44</v>
      </c>
      <c r="BW190">
        <v>678</v>
      </c>
      <c r="BX190">
        <v>685</v>
      </c>
      <c r="BY190">
        <v>7</v>
      </c>
      <c r="BZ190">
        <v>5</v>
      </c>
      <c r="CA190">
        <v>1419</v>
      </c>
      <c r="CB190">
        <v>0</v>
      </c>
      <c r="CC190">
        <v>0</v>
      </c>
      <c r="CD190">
        <v>0</v>
      </c>
      <c r="CE190">
        <v>145</v>
      </c>
      <c r="CF190">
        <v>454.68600000000004</v>
      </c>
      <c r="CG190">
        <v>0</v>
      </c>
      <c r="CH190">
        <v>0</v>
      </c>
      <c r="CI190">
        <v>8</v>
      </c>
      <c r="CJ190">
        <v>17</v>
      </c>
      <c r="CK190">
        <v>1</v>
      </c>
      <c r="CL190">
        <v>0</v>
      </c>
      <c r="CM190">
        <v>142.55799999999999</v>
      </c>
      <c r="CN190">
        <v>0</v>
      </c>
      <c r="CO190">
        <v>0</v>
      </c>
      <c r="CP190">
        <v>0</v>
      </c>
      <c r="CQ190">
        <v>0</v>
      </c>
      <c r="CR190">
        <v>0</v>
      </c>
      <c r="CS190">
        <v>0</v>
      </c>
      <c r="CT190">
        <v>0</v>
      </c>
      <c r="CU190">
        <v>28.207000000000001</v>
      </c>
      <c r="CV190">
        <v>67.628</v>
      </c>
      <c r="CW190">
        <v>81.14500000000001</v>
      </c>
      <c r="CX190">
        <v>0</v>
      </c>
      <c r="CY190" s="2043">
        <v>0</v>
      </c>
      <c r="CZ190" s="2043">
        <v>0</v>
      </c>
      <c r="DA190" s="2043">
        <v>0</v>
      </c>
      <c r="DB190" s="2043">
        <v>0</v>
      </c>
      <c r="DC190" s="2043">
        <v>0</v>
      </c>
      <c r="DI190" t="s">
        <v>2926</v>
      </c>
      <c r="DJ190" t="s">
        <v>2926</v>
      </c>
      <c r="DK190" s="2042">
        <f t="shared" si="4"/>
        <v>0</v>
      </c>
    </row>
    <row r="191" spans="1:115">
      <c r="A191" t="s">
        <v>3657</v>
      </c>
      <c r="B191" t="s">
        <v>2401</v>
      </c>
      <c r="C191">
        <v>498.892</v>
      </c>
      <c r="D191">
        <v>502.19500000000005</v>
      </c>
      <c r="E191">
        <v>205.91800000000001</v>
      </c>
      <c r="F191">
        <v>0</v>
      </c>
      <c r="G191" s="2043">
        <v>82191938</v>
      </c>
      <c r="H191">
        <v>0</v>
      </c>
      <c r="I191" s="2043">
        <v>494542</v>
      </c>
      <c r="J191">
        <v>15</v>
      </c>
      <c r="K191">
        <v>41</v>
      </c>
      <c r="L191">
        <v>34830</v>
      </c>
      <c r="M191">
        <v>91502</v>
      </c>
      <c r="N191">
        <v>34830</v>
      </c>
      <c r="O191">
        <v>126332</v>
      </c>
      <c r="P191">
        <v>0</v>
      </c>
      <c r="Q191">
        <v>0</v>
      </c>
      <c r="R191" s="2043">
        <v>696621</v>
      </c>
      <c r="S191">
        <v>65976</v>
      </c>
      <c r="T191">
        <v>41234</v>
      </c>
      <c r="U191">
        <v>0.08</v>
      </c>
      <c r="V191">
        <v>0</v>
      </c>
      <c r="W191">
        <v>0</v>
      </c>
      <c r="X191">
        <v>0</v>
      </c>
      <c r="Y191">
        <v>0</v>
      </c>
      <c r="Z191">
        <v>0</v>
      </c>
      <c r="AA191">
        <v>0</v>
      </c>
      <c r="AB191">
        <v>501.459</v>
      </c>
      <c r="AC191" s="2043">
        <v>71329297</v>
      </c>
      <c r="AD191">
        <v>234056</v>
      </c>
      <c r="AE191" s="2043">
        <v>803831</v>
      </c>
      <c r="AF191">
        <v>0.97470000000000001</v>
      </c>
      <c r="AG191">
        <v>0</v>
      </c>
      <c r="AH191">
        <v>0</v>
      </c>
      <c r="AI191">
        <v>0</v>
      </c>
      <c r="AJ191">
        <v>115.688</v>
      </c>
      <c r="AK191">
        <v>1744</v>
      </c>
      <c r="AL191">
        <v>0</v>
      </c>
      <c r="AM191">
        <v>0</v>
      </c>
      <c r="AN191">
        <v>4.3780000000000001</v>
      </c>
      <c r="AO191">
        <v>0</v>
      </c>
      <c r="AP191">
        <v>0</v>
      </c>
      <c r="AQ191">
        <v>0</v>
      </c>
      <c r="AR191">
        <v>12.526</v>
      </c>
      <c r="AS191">
        <v>0</v>
      </c>
      <c r="AT191">
        <v>1.7650000000000001</v>
      </c>
      <c r="AU191">
        <v>0.88700000000000001</v>
      </c>
      <c r="AV191">
        <v>0</v>
      </c>
      <c r="AW191">
        <v>15.178000000000001</v>
      </c>
      <c r="AX191">
        <v>0</v>
      </c>
      <c r="AY191">
        <v>47.308</v>
      </c>
      <c r="AZ191">
        <v>0</v>
      </c>
      <c r="BA191">
        <v>6576866</v>
      </c>
      <c r="BB191">
        <v>1037887</v>
      </c>
      <c r="BC191">
        <v>0</v>
      </c>
      <c r="BD191">
        <v>24282</v>
      </c>
      <c r="BE191">
        <v>0</v>
      </c>
      <c r="BF191">
        <v>24282</v>
      </c>
      <c r="BG191">
        <v>24282</v>
      </c>
      <c r="BH191">
        <v>0</v>
      </c>
      <c r="BI191">
        <v>0</v>
      </c>
      <c r="BJ191">
        <v>0</v>
      </c>
      <c r="BK191">
        <v>0</v>
      </c>
      <c r="BL191">
        <v>82191938</v>
      </c>
      <c r="BM191">
        <v>0</v>
      </c>
      <c r="BN191">
        <v>1872</v>
      </c>
      <c r="BO191">
        <v>1166</v>
      </c>
      <c r="BP191">
        <v>0</v>
      </c>
      <c r="BQ191">
        <v>0</v>
      </c>
      <c r="BR191">
        <v>0.84470000000000001</v>
      </c>
      <c r="BS191">
        <v>0.84470000000000001</v>
      </c>
      <c r="BT191">
        <v>0</v>
      </c>
      <c r="BU191">
        <v>0</v>
      </c>
      <c r="BV191">
        <v>3</v>
      </c>
      <c r="BW191">
        <v>87</v>
      </c>
      <c r="BX191">
        <v>372</v>
      </c>
      <c r="BY191">
        <v>2</v>
      </c>
      <c r="BZ191">
        <v>3</v>
      </c>
      <c r="CA191">
        <v>467</v>
      </c>
      <c r="CB191">
        <v>0</v>
      </c>
      <c r="CC191">
        <v>0</v>
      </c>
      <c r="CD191">
        <v>0</v>
      </c>
      <c r="CE191">
        <v>62</v>
      </c>
      <c r="CF191">
        <v>208.489</v>
      </c>
      <c r="CG191">
        <v>0</v>
      </c>
      <c r="CH191">
        <v>0</v>
      </c>
      <c r="CI191">
        <v>6</v>
      </c>
      <c r="CJ191">
        <v>1</v>
      </c>
      <c r="CK191">
        <v>0</v>
      </c>
      <c r="CL191">
        <v>0</v>
      </c>
      <c r="CM191">
        <v>205.91800000000001</v>
      </c>
      <c r="CN191">
        <v>0</v>
      </c>
      <c r="CO191">
        <v>0</v>
      </c>
      <c r="CP191">
        <v>0</v>
      </c>
      <c r="CQ191">
        <v>0</v>
      </c>
      <c r="CR191">
        <v>0</v>
      </c>
      <c r="CS191">
        <v>0</v>
      </c>
      <c r="CT191">
        <v>0</v>
      </c>
      <c r="CU191">
        <v>12.040000000000001</v>
      </c>
      <c r="CV191">
        <v>33.29</v>
      </c>
      <c r="CW191">
        <v>16.928000000000001</v>
      </c>
      <c r="CX191">
        <v>0</v>
      </c>
      <c r="CY191" s="2043">
        <v>0</v>
      </c>
      <c r="CZ191" s="2043">
        <v>0</v>
      </c>
      <c r="DA191" s="2043">
        <v>0</v>
      </c>
      <c r="DB191" s="2043">
        <v>0</v>
      </c>
      <c r="DC191" s="2043">
        <v>0</v>
      </c>
      <c r="DI191" t="s">
        <v>3657</v>
      </c>
      <c r="DJ191" t="s">
        <v>3657</v>
      </c>
      <c r="DK191" s="2042">
        <f t="shared" si="4"/>
        <v>0</v>
      </c>
    </row>
    <row r="192" spans="1:115">
      <c r="A192" t="s">
        <v>4967</v>
      </c>
      <c r="B192" t="s">
        <v>1384</v>
      </c>
      <c r="C192">
        <v>238.03200000000001</v>
      </c>
      <c r="D192">
        <v>237.06800000000001</v>
      </c>
      <c r="E192">
        <v>10.266</v>
      </c>
      <c r="F192">
        <v>0</v>
      </c>
      <c r="G192" s="2043">
        <v>105130049</v>
      </c>
      <c r="H192">
        <v>0</v>
      </c>
      <c r="I192" s="2043">
        <v>205150</v>
      </c>
      <c r="J192">
        <v>11.902000000000001</v>
      </c>
      <c r="K192">
        <v>33</v>
      </c>
      <c r="L192">
        <v>0</v>
      </c>
      <c r="M192">
        <v>0</v>
      </c>
      <c r="N192">
        <v>0</v>
      </c>
      <c r="O192">
        <v>0</v>
      </c>
      <c r="P192">
        <v>0</v>
      </c>
      <c r="Q192">
        <v>0</v>
      </c>
      <c r="R192" s="2043">
        <v>873978</v>
      </c>
      <c r="S192">
        <v>82257</v>
      </c>
      <c r="T192">
        <v>59944</v>
      </c>
      <c r="U192">
        <v>0.08</v>
      </c>
      <c r="V192">
        <v>0</v>
      </c>
      <c r="W192">
        <v>0</v>
      </c>
      <c r="X192">
        <v>0</v>
      </c>
      <c r="Y192">
        <v>0</v>
      </c>
      <c r="Z192">
        <v>0</v>
      </c>
      <c r="AA192">
        <v>0</v>
      </c>
      <c r="AB192">
        <v>236.90200000000002</v>
      </c>
      <c r="AC192" s="2043">
        <v>93016751</v>
      </c>
      <c r="AD192">
        <v>186032</v>
      </c>
      <c r="AE192" s="2043">
        <v>1016179</v>
      </c>
      <c r="AF192">
        <v>0.98830000000000007</v>
      </c>
      <c r="AG192">
        <v>0</v>
      </c>
      <c r="AH192">
        <v>0</v>
      </c>
      <c r="AI192">
        <v>0</v>
      </c>
      <c r="AJ192">
        <v>42.825000000000003</v>
      </c>
      <c r="AK192">
        <v>1850</v>
      </c>
      <c r="AL192">
        <v>0</v>
      </c>
      <c r="AM192">
        <v>0</v>
      </c>
      <c r="AN192">
        <v>19.771000000000001</v>
      </c>
      <c r="AO192">
        <v>0</v>
      </c>
      <c r="AP192">
        <v>0</v>
      </c>
      <c r="AQ192">
        <v>0</v>
      </c>
      <c r="AR192">
        <v>5.4080000000000004</v>
      </c>
      <c r="AS192">
        <v>0</v>
      </c>
      <c r="AT192">
        <v>3.3770000000000002</v>
      </c>
      <c r="AU192">
        <v>0.67</v>
      </c>
      <c r="AV192">
        <v>0</v>
      </c>
      <c r="AW192">
        <v>9.4550000000000001</v>
      </c>
      <c r="AX192">
        <v>0</v>
      </c>
      <c r="AY192">
        <v>29.705000000000002</v>
      </c>
      <c r="AZ192">
        <v>0</v>
      </c>
      <c r="BA192">
        <v>2671729</v>
      </c>
      <c r="BB192">
        <v>1202211</v>
      </c>
      <c r="BC192">
        <v>0</v>
      </c>
      <c r="BD192">
        <v>17677</v>
      </c>
      <c r="BE192">
        <v>43</v>
      </c>
      <c r="BF192">
        <v>17720</v>
      </c>
      <c r="BG192">
        <v>17677</v>
      </c>
      <c r="BH192">
        <v>0</v>
      </c>
      <c r="BI192">
        <v>0</v>
      </c>
      <c r="BJ192">
        <v>0</v>
      </c>
      <c r="BK192">
        <v>0</v>
      </c>
      <c r="BL192">
        <v>105130049</v>
      </c>
      <c r="BM192">
        <v>0</v>
      </c>
      <c r="BN192">
        <v>1134</v>
      </c>
      <c r="BO192">
        <v>770</v>
      </c>
      <c r="BP192">
        <v>0</v>
      </c>
      <c r="BQ192">
        <v>0</v>
      </c>
      <c r="BR192">
        <v>0.85</v>
      </c>
      <c r="BS192">
        <v>0.85</v>
      </c>
      <c r="BT192">
        <v>0</v>
      </c>
      <c r="BU192">
        <v>0</v>
      </c>
      <c r="BV192">
        <v>8</v>
      </c>
      <c r="BW192">
        <v>16</v>
      </c>
      <c r="BX192">
        <v>136</v>
      </c>
      <c r="BY192">
        <v>6</v>
      </c>
      <c r="BZ192">
        <v>6</v>
      </c>
      <c r="CA192">
        <v>172</v>
      </c>
      <c r="CB192">
        <v>0</v>
      </c>
      <c r="CC192">
        <v>0</v>
      </c>
      <c r="CD192">
        <v>0</v>
      </c>
      <c r="CE192">
        <v>24</v>
      </c>
      <c r="CF192">
        <v>51.447000000000003</v>
      </c>
      <c r="CG192">
        <v>0</v>
      </c>
      <c r="CH192">
        <v>0</v>
      </c>
      <c r="CI192">
        <v>4</v>
      </c>
      <c r="CJ192">
        <v>4</v>
      </c>
      <c r="CK192">
        <v>0</v>
      </c>
      <c r="CL192">
        <v>0</v>
      </c>
      <c r="CM192">
        <v>10.266</v>
      </c>
      <c r="CN192">
        <v>0</v>
      </c>
      <c r="CO192">
        <v>0</v>
      </c>
      <c r="CP192">
        <v>0</v>
      </c>
      <c r="CQ192">
        <v>0</v>
      </c>
      <c r="CR192">
        <v>0</v>
      </c>
      <c r="CS192">
        <v>0</v>
      </c>
      <c r="CT192">
        <v>0</v>
      </c>
      <c r="CU192">
        <v>0</v>
      </c>
      <c r="CV192">
        <v>11.135</v>
      </c>
      <c r="CW192">
        <v>10.774000000000001</v>
      </c>
      <c r="CX192">
        <v>0</v>
      </c>
      <c r="CY192" s="2043">
        <v>0</v>
      </c>
      <c r="CZ192" s="2043">
        <v>0</v>
      </c>
      <c r="DA192" s="2043">
        <v>0</v>
      </c>
      <c r="DB192" s="2043">
        <v>0</v>
      </c>
      <c r="DC192" s="2043">
        <v>0</v>
      </c>
      <c r="DI192" t="s">
        <v>4967</v>
      </c>
      <c r="DJ192" t="s">
        <v>4967</v>
      </c>
      <c r="DK192" s="2042">
        <f t="shared" si="4"/>
        <v>0</v>
      </c>
    </row>
    <row r="193" spans="1:115">
      <c r="A193" t="s">
        <v>2927</v>
      </c>
      <c r="B193" t="s">
        <v>69</v>
      </c>
      <c r="C193">
        <v>935.18600000000004</v>
      </c>
      <c r="D193">
        <v>1005.5500000000001</v>
      </c>
      <c r="E193">
        <v>34.693000000000005</v>
      </c>
      <c r="F193">
        <v>0</v>
      </c>
      <c r="G193" s="2043">
        <v>473850229</v>
      </c>
      <c r="H193">
        <v>0</v>
      </c>
      <c r="I193" s="2043">
        <v>0</v>
      </c>
      <c r="J193">
        <v>46.759</v>
      </c>
      <c r="K193">
        <v>128</v>
      </c>
      <c r="L193">
        <v>0</v>
      </c>
      <c r="M193">
        <v>0</v>
      </c>
      <c r="N193">
        <v>0</v>
      </c>
      <c r="O193">
        <v>0</v>
      </c>
      <c r="P193">
        <v>0</v>
      </c>
      <c r="Q193">
        <v>0</v>
      </c>
      <c r="R193" s="2043">
        <v>4123240</v>
      </c>
      <c r="S193">
        <v>236099</v>
      </c>
      <c r="T193">
        <v>0</v>
      </c>
      <c r="U193">
        <v>0.05</v>
      </c>
      <c r="V193">
        <v>0</v>
      </c>
      <c r="W193">
        <v>0</v>
      </c>
      <c r="X193">
        <v>0</v>
      </c>
      <c r="Y193">
        <v>0</v>
      </c>
      <c r="Z193">
        <v>0</v>
      </c>
      <c r="AA193">
        <v>0</v>
      </c>
      <c r="AB193">
        <v>925.78399999999999</v>
      </c>
      <c r="AC193" s="2043">
        <v>443782145</v>
      </c>
      <c r="AD193">
        <v>621</v>
      </c>
      <c r="AE193" s="2043">
        <v>4359339</v>
      </c>
      <c r="AF193">
        <v>0.92320000000000002</v>
      </c>
      <c r="AG193">
        <v>0</v>
      </c>
      <c r="AH193">
        <v>0</v>
      </c>
      <c r="AI193">
        <v>0</v>
      </c>
      <c r="AJ193">
        <v>137.93800000000002</v>
      </c>
      <c r="AK193">
        <v>4921</v>
      </c>
      <c r="AL193">
        <v>0</v>
      </c>
      <c r="AM193">
        <v>0</v>
      </c>
      <c r="AN193">
        <v>11.133000000000001</v>
      </c>
      <c r="AO193">
        <v>0</v>
      </c>
      <c r="AP193">
        <v>0</v>
      </c>
      <c r="AQ193">
        <v>0</v>
      </c>
      <c r="AR193">
        <v>43.07</v>
      </c>
      <c r="AS193">
        <v>0</v>
      </c>
      <c r="AT193">
        <v>5.0730000000000004</v>
      </c>
      <c r="AU193">
        <v>1.7130000000000001</v>
      </c>
      <c r="AV193">
        <v>0</v>
      </c>
      <c r="AW193">
        <v>49.856000000000002</v>
      </c>
      <c r="AX193">
        <v>0</v>
      </c>
      <c r="AY193">
        <v>152.994</v>
      </c>
      <c r="AZ193">
        <v>0</v>
      </c>
      <c r="BA193">
        <v>6152292</v>
      </c>
      <c r="BB193">
        <v>4359960</v>
      </c>
      <c r="BC193">
        <v>0</v>
      </c>
      <c r="BD193">
        <v>52717</v>
      </c>
      <c r="BE193">
        <v>3962</v>
      </c>
      <c r="BF193">
        <v>56679</v>
      </c>
      <c r="BG193">
        <v>52717</v>
      </c>
      <c r="BH193">
        <v>0</v>
      </c>
      <c r="BI193">
        <v>0</v>
      </c>
      <c r="BJ193">
        <v>0</v>
      </c>
      <c r="BK193">
        <v>0</v>
      </c>
      <c r="BL193">
        <v>473850229</v>
      </c>
      <c r="BM193">
        <v>0</v>
      </c>
      <c r="BN193">
        <v>3366</v>
      </c>
      <c r="BO193">
        <v>2108</v>
      </c>
      <c r="BP193">
        <v>0</v>
      </c>
      <c r="BQ193">
        <v>0</v>
      </c>
      <c r="BR193">
        <v>0.87320000000000009</v>
      </c>
      <c r="BS193">
        <v>0.87320000000000009</v>
      </c>
      <c r="BT193">
        <v>0</v>
      </c>
      <c r="BU193">
        <v>0</v>
      </c>
      <c r="BV193">
        <v>28</v>
      </c>
      <c r="BW193">
        <v>152</v>
      </c>
      <c r="BX193">
        <v>182</v>
      </c>
      <c r="BY193">
        <v>1</v>
      </c>
      <c r="BZ193">
        <v>181</v>
      </c>
      <c r="CA193">
        <v>544</v>
      </c>
      <c r="CB193">
        <v>0</v>
      </c>
      <c r="CC193">
        <v>0</v>
      </c>
      <c r="CD193">
        <v>0</v>
      </c>
      <c r="CE193">
        <v>43</v>
      </c>
      <c r="CF193">
        <v>166.34800000000001</v>
      </c>
      <c r="CG193">
        <v>0</v>
      </c>
      <c r="CH193">
        <v>0</v>
      </c>
      <c r="CI193">
        <v>2</v>
      </c>
      <c r="CJ193">
        <v>0</v>
      </c>
      <c r="CK193">
        <v>0</v>
      </c>
      <c r="CL193">
        <v>0</v>
      </c>
      <c r="CM193">
        <v>34.693000000000005</v>
      </c>
      <c r="CN193">
        <v>0</v>
      </c>
      <c r="CO193">
        <v>0</v>
      </c>
      <c r="CP193">
        <v>0</v>
      </c>
      <c r="CQ193">
        <v>0</v>
      </c>
      <c r="CR193">
        <v>0</v>
      </c>
      <c r="CS193">
        <v>0</v>
      </c>
      <c r="CT193">
        <v>0</v>
      </c>
      <c r="CU193">
        <v>0.47900000000000004</v>
      </c>
      <c r="CV193">
        <v>40.166000000000004</v>
      </c>
      <c r="CW193">
        <v>21.12</v>
      </c>
      <c r="CX193">
        <v>0</v>
      </c>
      <c r="CY193" s="2043">
        <v>0</v>
      </c>
      <c r="CZ193" s="2043">
        <v>0</v>
      </c>
      <c r="DA193" s="2043">
        <v>0</v>
      </c>
      <c r="DB193" s="2043">
        <v>0</v>
      </c>
      <c r="DC193" s="2043">
        <v>0</v>
      </c>
      <c r="DI193" t="s">
        <v>2927</v>
      </c>
      <c r="DJ193" t="s">
        <v>2927</v>
      </c>
      <c r="DK193" s="2042">
        <f t="shared" si="4"/>
        <v>0</v>
      </c>
    </row>
    <row r="194" spans="1:115">
      <c r="A194" t="s">
        <v>4968</v>
      </c>
      <c r="B194" t="s">
        <v>2045</v>
      </c>
      <c r="C194">
        <v>886.09900000000005</v>
      </c>
      <c r="D194">
        <v>877.56000000000006</v>
      </c>
      <c r="E194">
        <v>3.9940000000000002</v>
      </c>
      <c r="F194">
        <v>0</v>
      </c>
      <c r="G194" s="2043">
        <v>404465647</v>
      </c>
      <c r="H194">
        <v>0</v>
      </c>
      <c r="I194" s="2043">
        <v>824750</v>
      </c>
      <c r="J194">
        <v>44.305</v>
      </c>
      <c r="K194">
        <v>121</v>
      </c>
      <c r="L194">
        <v>0</v>
      </c>
      <c r="M194">
        <v>0</v>
      </c>
      <c r="N194">
        <v>0</v>
      </c>
      <c r="O194">
        <v>0</v>
      </c>
      <c r="P194">
        <v>0</v>
      </c>
      <c r="Q194">
        <v>0</v>
      </c>
      <c r="R194" s="2043">
        <v>3596832</v>
      </c>
      <c r="S194">
        <v>196893</v>
      </c>
      <c r="T194">
        <v>0</v>
      </c>
      <c r="U194">
        <v>0.05</v>
      </c>
      <c r="V194">
        <v>0</v>
      </c>
      <c r="W194">
        <v>0</v>
      </c>
      <c r="X194">
        <v>0</v>
      </c>
      <c r="Y194">
        <v>0</v>
      </c>
      <c r="Z194">
        <v>0</v>
      </c>
      <c r="AA194">
        <v>0.21200000000000002</v>
      </c>
      <c r="AB194">
        <v>836.971</v>
      </c>
      <c r="AC194" s="2043">
        <v>365348498</v>
      </c>
      <c r="AD194">
        <v>1112929</v>
      </c>
      <c r="AE194" s="2043">
        <v>3793725</v>
      </c>
      <c r="AF194">
        <v>0.96340000000000003</v>
      </c>
      <c r="AG194">
        <v>0</v>
      </c>
      <c r="AH194">
        <v>0</v>
      </c>
      <c r="AI194">
        <v>0</v>
      </c>
      <c r="AJ194">
        <v>68.650000000000006</v>
      </c>
      <c r="AK194">
        <v>5387</v>
      </c>
      <c r="AL194">
        <v>1.8000000000000002E-2</v>
      </c>
      <c r="AM194">
        <v>0</v>
      </c>
      <c r="AN194">
        <v>58.071000000000005</v>
      </c>
      <c r="AO194">
        <v>0</v>
      </c>
      <c r="AP194">
        <v>0</v>
      </c>
      <c r="AQ194">
        <v>0</v>
      </c>
      <c r="AR194">
        <v>21.749000000000002</v>
      </c>
      <c r="AS194">
        <v>0</v>
      </c>
      <c r="AT194">
        <v>11.222000000000001</v>
      </c>
      <c r="AU194">
        <v>2.2770000000000001</v>
      </c>
      <c r="AV194">
        <v>0</v>
      </c>
      <c r="AW194">
        <v>35.265999999999998</v>
      </c>
      <c r="AX194">
        <v>0</v>
      </c>
      <c r="AY194">
        <v>110.38800000000001</v>
      </c>
      <c r="AZ194">
        <v>0</v>
      </c>
      <c r="BA194">
        <v>6408544</v>
      </c>
      <c r="BB194">
        <v>4906654</v>
      </c>
      <c r="BC194">
        <v>553</v>
      </c>
      <c r="BD194">
        <v>103233</v>
      </c>
      <c r="BE194">
        <v>9223</v>
      </c>
      <c r="BF194">
        <v>113009</v>
      </c>
      <c r="BG194">
        <v>103786</v>
      </c>
      <c r="BH194">
        <v>0</v>
      </c>
      <c r="BI194">
        <v>0</v>
      </c>
      <c r="BJ194">
        <v>0</v>
      </c>
      <c r="BK194">
        <v>0</v>
      </c>
      <c r="BL194">
        <v>404465647</v>
      </c>
      <c r="BM194">
        <v>0</v>
      </c>
      <c r="BN194">
        <v>2997</v>
      </c>
      <c r="BO194">
        <v>2943</v>
      </c>
      <c r="BP194">
        <v>0</v>
      </c>
      <c r="BQ194">
        <v>0</v>
      </c>
      <c r="BR194">
        <v>0.91339999999999999</v>
      </c>
      <c r="BS194">
        <v>0.91339999999999999</v>
      </c>
      <c r="BT194">
        <v>0</v>
      </c>
      <c r="BU194">
        <v>0</v>
      </c>
      <c r="BV194">
        <v>130</v>
      </c>
      <c r="BW194">
        <v>74</v>
      </c>
      <c r="BX194">
        <v>72</v>
      </c>
      <c r="BY194">
        <v>2</v>
      </c>
      <c r="BZ194">
        <v>12</v>
      </c>
      <c r="CA194">
        <v>290</v>
      </c>
      <c r="CB194">
        <v>0</v>
      </c>
      <c r="CC194">
        <v>0</v>
      </c>
      <c r="CD194">
        <v>0</v>
      </c>
      <c r="CE194">
        <v>96</v>
      </c>
      <c r="CF194">
        <v>100.95700000000001</v>
      </c>
      <c r="CG194">
        <v>0</v>
      </c>
      <c r="CH194">
        <v>0</v>
      </c>
      <c r="CI194">
        <v>2</v>
      </c>
      <c r="CJ194">
        <v>11</v>
      </c>
      <c r="CK194">
        <v>0</v>
      </c>
      <c r="CL194">
        <v>0</v>
      </c>
      <c r="CM194">
        <v>3.9940000000000002</v>
      </c>
      <c r="CN194">
        <v>0</v>
      </c>
      <c r="CO194">
        <v>0</v>
      </c>
      <c r="CP194">
        <v>0</v>
      </c>
      <c r="CQ194">
        <v>0</v>
      </c>
      <c r="CR194">
        <v>0</v>
      </c>
      <c r="CS194">
        <v>0</v>
      </c>
      <c r="CT194">
        <v>0</v>
      </c>
      <c r="CU194">
        <v>0</v>
      </c>
      <c r="CV194">
        <v>70.710000000000008</v>
      </c>
      <c r="CW194">
        <v>36.472999999999999</v>
      </c>
      <c r="CX194">
        <v>0</v>
      </c>
      <c r="CY194" s="2043">
        <v>0</v>
      </c>
      <c r="CZ194" s="2043">
        <v>0</v>
      </c>
      <c r="DA194" s="2043">
        <v>0</v>
      </c>
      <c r="DB194" s="2043">
        <v>0</v>
      </c>
      <c r="DC194" s="2043">
        <v>0</v>
      </c>
      <c r="DI194" t="s">
        <v>4968</v>
      </c>
      <c r="DJ194" t="s">
        <v>4968</v>
      </c>
      <c r="DK194" s="2042">
        <f t="shared" si="4"/>
        <v>0</v>
      </c>
    </row>
    <row r="195" spans="1:115">
      <c r="A195" t="s">
        <v>2928</v>
      </c>
      <c r="B195" t="s">
        <v>675</v>
      </c>
      <c r="C195">
        <v>427.06800000000004</v>
      </c>
      <c r="D195">
        <v>402.64</v>
      </c>
      <c r="E195">
        <v>2.8980000000000001</v>
      </c>
      <c r="F195">
        <v>0</v>
      </c>
      <c r="G195" s="2043">
        <v>162983218</v>
      </c>
      <c r="H195">
        <v>0</v>
      </c>
      <c r="I195" s="2043">
        <v>293975</v>
      </c>
      <c r="J195">
        <v>21</v>
      </c>
      <c r="K195">
        <v>57</v>
      </c>
      <c r="L195">
        <v>0</v>
      </c>
      <c r="M195">
        <v>199903</v>
      </c>
      <c r="N195">
        <v>0</v>
      </c>
      <c r="O195">
        <v>199903</v>
      </c>
      <c r="P195">
        <v>0</v>
      </c>
      <c r="Q195">
        <v>0</v>
      </c>
      <c r="R195" s="2043">
        <v>1374356</v>
      </c>
      <c r="S195">
        <v>128115</v>
      </c>
      <c r="T195">
        <v>93364</v>
      </c>
      <c r="U195">
        <v>0.08</v>
      </c>
      <c r="V195">
        <v>0</v>
      </c>
      <c r="W195">
        <v>0</v>
      </c>
      <c r="X195">
        <v>0</v>
      </c>
      <c r="Y195">
        <v>0</v>
      </c>
      <c r="Z195">
        <v>0</v>
      </c>
      <c r="AA195">
        <v>0</v>
      </c>
      <c r="AB195">
        <v>402.64</v>
      </c>
      <c r="AC195" s="2043">
        <v>143665685</v>
      </c>
      <c r="AD195">
        <v>360842</v>
      </c>
      <c r="AE195" s="2043">
        <v>1595835</v>
      </c>
      <c r="AF195">
        <v>0.99650000000000005</v>
      </c>
      <c r="AG195">
        <v>0</v>
      </c>
      <c r="AH195">
        <v>0</v>
      </c>
      <c r="AI195">
        <v>0</v>
      </c>
      <c r="AJ195">
        <v>51.738</v>
      </c>
      <c r="AK195">
        <v>2122</v>
      </c>
      <c r="AL195">
        <v>0</v>
      </c>
      <c r="AM195">
        <v>0</v>
      </c>
      <c r="AN195">
        <v>30.76</v>
      </c>
      <c r="AO195">
        <v>0</v>
      </c>
      <c r="AP195">
        <v>0</v>
      </c>
      <c r="AQ195">
        <v>0</v>
      </c>
      <c r="AR195">
        <v>5.4260000000000002</v>
      </c>
      <c r="AS195">
        <v>0</v>
      </c>
      <c r="AT195">
        <v>1.5070000000000001</v>
      </c>
      <c r="AU195">
        <v>1.264</v>
      </c>
      <c r="AV195">
        <v>0</v>
      </c>
      <c r="AW195">
        <v>8.197000000000001</v>
      </c>
      <c r="AX195">
        <v>0</v>
      </c>
      <c r="AY195">
        <v>27.119</v>
      </c>
      <c r="AZ195">
        <v>0</v>
      </c>
      <c r="BA195">
        <v>4380590</v>
      </c>
      <c r="BB195">
        <v>1956677</v>
      </c>
      <c r="BC195">
        <v>0</v>
      </c>
      <c r="BD195">
        <v>48416</v>
      </c>
      <c r="BE195">
        <v>0</v>
      </c>
      <c r="BF195">
        <v>53429</v>
      </c>
      <c r="BG195">
        <v>48416</v>
      </c>
      <c r="BH195">
        <v>5013</v>
      </c>
      <c r="BI195">
        <v>0</v>
      </c>
      <c r="BJ195">
        <v>0</v>
      </c>
      <c r="BK195">
        <v>0</v>
      </c>
      <c r="BL195">
        <v>162983218</v>
      </c>
      <c r="BM195">
        <v>0</v>
      </c>
      <c r="BN195">
        <v>1539</v>
      </c>
      <c r="BO195">
        <v>1391</v>
      </c>
      <c r="BP195">
        <v>0</v>
      </c>
      <c r="BQ195">
        <v>0</v>
      </c>
      <c r="BR195">
        <v>0.85820000000000007</v>
      </c>
      <c r="BS195">
        <v>0.85820000000000007</v>
      </c>
      <c r="BT195">
        <v>0</v>
      </c>
      <c r="BU195">
        <v>0</v>
      </c>
      <c r="BV195">
        <v>98</v>
      </c>
      <c r="BW195">
        <v>5</v>
      </c>
      <c r="BX195">
        <v>60</v>
      </c>
      <c r="BY195">
        <v>20</v>
      </c>
      <c r="BZ195">
        <v>30</v>
      </c>
      <c r="CA195">
        <v>213</v>
      </c>
      <c r="CB195">
        <v>0</v>
      </c>
      <c r="CC195">
        <v>0</v>
      </c>
      <c r="CD195">
        <v>0</v>
      </c>
      <c r="CE195">
        <v>50</v>
      </c>
      <c r="CF195">
        <v>79.63600000000001</v>
      </c>
      <c r="CG195">
        <v>0</v>
      </c>
      <c r="CH195">
        <v>0</v>
      </c>
      <c r="CI195">
        <v>0</v>
      </c>
      <c r="CJ195">
        <v>2</v>
      </c>
      <c r="CK195">
        <v>0</v>
      </c>
      <c r="CL195">
        <v>0</v>
      </c>
      <c r="CM195">
        <v>2.8980000000000001</v>
      </c>
      <c r="CN195">
        <v>0</v>
      </c>
      <c r="CO195">
        <v>0</v>
      </c>
      <c r="CP195">
        <v>0</v>
      </c>
      <c r="CQ195">
        <v>0</v>
      </c>
      <c r="CR195">
        <v>0</v>
      </c>
      <c r="CS195">
        <v>0</v>
      </c>
      <c r="CT195">
        <v>0</v>
      </c>
      <c r="CU195">
        <v>7.3780000000000001</v>
      </c>
      <c r="CV195">
        <v>39.303000000000004</v>
      </c>
      <c r="CW195">
        <v>21.032</v>
      </c>
      <c r="CX195">
        <v>0</v>
      </c>
      <c r="CY195" s="2043">
        <v>0</v>
      </c>
      <c r="CZ195" s="2043">
        <v>0</v>
      </c>
      <c r="DA195" s="2043">
        <v>0</v>
      </c>
      <c r="DB195" s="2043">
        <v>0</v>
      </c>
      <c r="DC195" s="2043">
        <v>0</v>
      </c>
      <c r="DI195" t="s">
        <v>2928</v>
      </c>
      <c r="DJ195" t="s">
        <v>2928</v>
      </c>
      <c r="DK195" s="2042">
        <f t="shared" si="4"/>
        <v>0</v>
      </c>
    </row>
    <row r="196" spans="1:115">
      <c r="A196" t="s">
        <v>5766</v>
      </c>
      <c r="B196" t="s">
        <v>2046</v>
      </c>
      <c r="C196">
        <v>138.83799999999999</v>
      </c>
      <c r="D196">
        <v>135.76500000000001</v>
      </c>
      <c r="E196">
        <v>1.9850000000000001</v>
      </c>
      <c r="F196">
        <v>0</v>
      </c>
      <c r="G196" s="2043">
        <v>148813236</v>
      </c>
      <c r="H196">
        <v>0</v>
      </c>
      <c r="I196" s="2043">
        <v>281140</v>
      </c>
      <c r="J196">
        <v>2</v>
      </c>
      <c r="K196">
        <v>5</v>
      </c>
      <c r="L196">
        <v>0</v>
      </c>
      <c r="M196">
        <v>0</v>
      </c>
      <c r="N196">
        <v>0</v>
      </c>
      <c r="O196">
        <v>0</v>
      </c>
      <c r="P196">
        <v>0</v>
      </c>
      <c r="Q196">
        <v>0</v>
      </c>
      <c r="R196" s="2043">
        <v>1306713</v>
      </c>
      <c r="S196">
        <v>117748</v>
      </c>
      <c r="T196">
        <v>85810</v>
      </c>
      <c r="U196">
        <v>0.08</v>
      </c>
      <c r="V196">
        <v>0</v>
      </c>
      <c r="W196">
        <v>0</v>
      </c>
      <c r="X196">
        <v>0</v>
      </c>
      <c r="Y196">
        <v>0</v>
      </c>
      <c r="Z196">
        <v>0</v>
      </c>
      <c r="AA196">
        <v>0</v>
      </c>
      <c r="AB196">
        <v>135.76500000000001</v>
      </c>
      <c r="AC196" s="2043">
        <v>140273192</v>
      </c>
      <c r="AD196">
        <v>373850</v>
      </c>
      <c r="AE196" s="2043">
        <v>1510271</v>
      </c>
      <c r="AF196">
        <v>1.0261</v>
      </c>
      <c r="AG196">
        <v>0</v>
      </c>
      <c r="AH196">
        <v>0</v>
      </c>
      <c r="AI196">
        <v>0</v>
      </c>
      <c r="AJ196">
        <v>19.188000000000002</v>
      </c>
      <c r="AK196">
        <v>933</v>
      </c>
      <c r="AL196">
        <v>0</v>
      </c>
      <c r="AM196">
        <v>0</v>
      </c>
      <c r="AN196">
        <v>9.4050000000000011</v>
      </c>
      <c r="AO196">
        <v>0</v>
      </c>
      <c r="AP196">
        <v>0</v>
      </c>
      <c r="AQ196">
        <v>0</v>
      </c>
      <c r="AR196">
        <v>4.3580000000000005</v>
      </c>
      <c r="AS196">
        <v>0</v>
      </c>
      <c r="AT196">
        <v>0.23400000000000001</v>
      </c>
      <c r="AU196">
        <v>0.26900000000000002</v>
      </c>
      <c r="AV196">
        <v>0</v>
      </c>
      <c r="AW196">
        <v>4.8610000000000007</v>
      </c>
      <c r="AX196">
        <v>0</v>
      </c>
      <c r="AY196">
        <v>15.121</v>
      </c>
      <c r="AZ196">
        <v>0</v>
      </c>
      <c r="BA196">
        <v>675628</v>
      </c>
      <c r="BB196">
        <v>1884121</v>
      </c>
      <c r="BC196">
        <v>0</v>
      </c>
      <c r="BD196">
        <v>12625</v>
      </c>
      <c r="BE196">
        <v>0</v>
      </c>
      <c r="BF196">
        <v>12625</v>
      </c>
      <c r="BG196">
        <v>12625</v>
      </c>
      <c r="BH196">
        <v>0</v>
      </c>
      <c r="BI196">
        <v>0</v>
      </c>
      <c r="BJ196">
        <v>0</v>
      </c>
      <c r="BK196">
        <v>0</v>
      </c>
      <c r="BL196">
        <v>148813236</v>
      </c>
      <c r="BM196">
        <v>0</v>
      </c>
      <c r="BN196">
        <v>450</v>
      </c>
      <c r="BO196">
        <v>214</v>
      </c>
      <c r="BP196">
        <v>0</v>
      </c>
      <c r="BQ196">
        <v>0</v>
      </c>
      <c r="BR196">
        <v>0.88780000000000003</v>
      </c>
      <c r="BS196">
        <v>0.88780000000000003</v>
      </c>
      <c r="BT196">
        <v>0</v>
      </c>
      <c r="BU196">
        <v>0</v>
      </c>
      <c r="BV196">
        <v>48</v>
      </c>
      <c r="BW196">
        <v>23</v>
      </c>
      <c r="BX196">
        <v>2</v>
      </c>
      <c r="BY196">
        <v>4</v>
      </c>
      <c r="BZ196">
        <v>5</v>
      </c>
      <c r="CA196">
        <v>82</v>
      </c>
      <c r="CB196">
        <v>0</v>
      </c>
      <c r="CC196">
        <v>0</v>
      </c>
      <c r="CD196">
        <v>0</v>
      </c>
      <c r="CE196">
        <v>26</v>
      </c>
      <c r="CF196">
        <v>26.585000000000001</v>
      </c>
      <c r="CG196">
        <v>0</v>
      </c>
      <c r="CH196">
        <v>0</v>
      </c>
      <c r="CI196">
        <v>1</v>
      </c>
      <c r="CJ196">
        <v>0</v>
      </c>
      <c r="CK196">
        <v>0</v>
      </c>
      <c r="CL196">
        <v>0</v>
      </c>
      <c r="CM196">
        <v>1.9850000000000001</v>
      </c>
      <c r="CN196">
        <v>0</v>
      </c>
      <c r="CO196">
        <v>0</v>
      </c>
      <c r="CP196">
        <v>0</v>
      </c>
      <c r="CQ196">
        <v>0</v>
      </c>
      <c r="CR196">
        <v>0</v>
      </c>
      <c r="CS196">
        <v>0</v>
      </c>
      <c r="CT196">
        <v>0</v>
      </c>
      <c r="CU196">
        <v>1.762</v>
      </c>
      <c r="CV196">
        <v>5.681</v>
      </c>
      <c r="CW196">
        <v>6.3479999999999999</v>
      </c>
      <c r="CX196">
        <v>0</v>
      </c>
      <c r="CY196" s="2043">
        <v>0</v>
      </c>
      <c r="CZ196" s="2043">
        <v>0</v>
      </c>
      <c r="DA196" s="2043">
        <v>0</v>
      </c>
      <c r="DB196" s="2043">
        <v>0</v>
      </c>
      <c r="DC196" s="2043">
        <v>59464</v>
      </c>
      <c r="DI196" t="s">
        <v>5766</v>
      </c>
      <c r="DJ196" t="s">
        <v>5766</v>
      </c>
      <c r="DK196" s="2042">
        <f t="shared" ref="DK196:DK259" si="5">DI196-DJ196:DJ197</f>
        <v>0</v>
      </c>
    </row>
    <row r="197" spans="1:115">
      <c r="A197" t="s">
        <v>5767</v>
      </c>
      <c r="B197" t="s">
        <v>1576</v>
      </c>
      <c r="C197">
        <v>122.69200000000001</v>
      </c>
      <c r="D197">
        <v>121.042</v>
      </c>
      <c r="E197">
        <v>3.8840000000000003</v>
      </c>
      <c r="F197">
        <v>0</v>
      </c>
      <c r="G197" s="2043">
        <v>87868507</v>
      </c>
      <c r="H197">
        <v>0</v>
      </c>
      <c r="I197" s="2043">
        <v>554000</v>
      </c>
      <c r="J197">
        <v>6.1350000000000007</v>
      </c>
      <c r="K197">
        <v>17</v>
      </c>
      <c r="L197">
        <v>0</v>
      </c>
      <c r="M197">
        <v>0</v>
      </c>
      <c r="N197">
        <v>0</v>
      </c>
      <c r="O197">
        <v>0</v>
      </c>
      <c r="P197">
        <v>0</v>
      </c>
      <c r="Q197">
        <v>0</v>
      </c>
      <c r="R197" s="2043">
        <v>784084</v>
      </c>
      <c r="S197">
        <v>42916</v>
      </c>
      <c r="T197">
        <v>0</v>
      </c>
      <c r="U197">
        <v>0.05</v>
      </c>
      <c r="V197">
        <v>0</v>
      </c>
      <c r="W197">
        <v>0</v>
      </c>
      <c r="X197">
        <v>0</v>
      </c>
      <c r="Y197">
        <v>0</v>
      </c>
      <c r="Z197">
        <v>0</v>
      </c>
      <c r="AA197">
        <v>0</v>
      </c>
      <c r="AB197">
        <v>121.042</v>
      </c>
      <c r="AC197" s="2043">
        <v>83035304</v>
      </c>
      <c r="AD197">
        <v>536000</v>
      </c>
      <c r="AE197" s="2043">
        <v>827000</v>
      </c>
      <c r="AF197">
        <v>0.96350000000000002</v>
      </c>
      <c r="AG197">
        <v>0</v>
      </c>
      <c r="AH197">
        <v>0</v>
      </c>
      <c r="AI197">
        <v>0</v>
      </c>
      <c r="AJ197">
        <v>19.588000000000001</v>
      </c>
      <c r="AK197">
        <v>1200</v>
      </c>
      <c r="AL197">
        <v>0</v>
      </c>
      <c r="AM197">
        <v>0</v>
      </c>
      <c r="AN197">
        <v>3.206</v>
      </c>
      <c r="AO197">
        <v>0</v>
      </c>
      <c r="AP197">
        <v>0</v>
      </c>
      <c r="AQ197">
        <v>0</v>
      </c>
      <c r="AR197">
        <v>9.0380000000000003</v>
      </c>
      <c r="AS197">
        <v>0</v>
      </c>
      <c r="AT197">
        <v>0.13500000000000001</v>
      </c>
      <c r="AU197">
        <v>0.43099999999999999</v>
      </c>
      <c r="AV197">
        <v>0</v>
      </c>
      <c r="AW197">
        <v>9.604000000000001</v>
      </c>
      <c r="AX197">
        <v>0</v>
      </c>
      <c r="AY197">
        <v>29.674000000000003</v>
      </c>
      <c r="AZ197">
        <v>0</v>
      </c>
      <c r="BA197">
        <v>1312111</v>
      </c>
      <c r="BB197">
        <v>1363000</v>
      </c>
      <c r="BC197">
        <v>0</v>
      </c>
      <c r="BD197">
        <v>38163</v>
      </c>
      <c r="BE197">
        <v>0</v>
      </c>
      <c r="BF197">
        <v>38163</v>
      </c>
      <c r="BG197">
        <v>38163</v>
      </c>
      <c r="BH197">
        <v>0</v>
      </c>
      <c r="BI197">
        <v>0</v>
      </c>
      <c r="BJ197">
        <v>0</v>
      </c>
      <c r="BK197">
        <v>0</v>
      </c>
      <c r="BL197">
        <v>87868507</v>
      </c>
      <c r="BM197">
        <v>0</v>
      </c>
      <c r="BN197">
        <v>684</v>
      </c>
      <c r="BO197">
        <v>417</v>
      </c>
      <c r="BP197">
        <v>0</v>
      </c>
      <c r="BQ197">
        <v>0</v>
      </c>
      <c r="BR197">
        <v>0.91350000000000009</v>
      </c>
      <c r="BS197">
        <v>0.91350000000000009</v>
      </c>
      <c r="BT197">
        <v>0</v>
      </c>
      <c r="BU197">
        <v>0</v>
      </c>
      <c r="BV197">
        <v>59</v>
      </c>
      <c r="BW197">
        <v>5</v>
      </c>
      <c r="BX197">
        <v>4</v>
      </c>
      <c r="BY197">
        <v>0</v>
      </c>
      <c r="BZ197">
        <v>15</v>
      </c>
      <c r="CA197">
        <v>83</v>
      </c>
      <c r="CB197">
        <v>0</v>
      </c>
      <c r="CC197">
        <v>0</v>
      </c>
      <c r="CD197">
        <v>0</v>
      </c>
      <c r="CE197">
        <v>14</v>
      </c>
      <c r="CF197">
        <v>23.002000000000002</v>
      </c>
      <c r="CG197">
        <v>0</v>
      </c>
      <c r="CH197">
        <v>0</v>
      </c>
      <c r="CI197">
        <v>1</v>
      </c>
      <c r="CJ197">
        <v>1</v>
      </c>
      <c r="CK197">
        <v>0</v>
      </c>
      <c r="CL197">
        <v>0</v>
      </c>
      <c r="CM197">
        <v>3.8840000000000003</v>
      </c>
      <c r="CN197">
        <v>0</v>
      </c>
      <c r="CO197">
        <v>0</v>
      </c>
      <c r="CP197">
        <v>0</v>
      </c>
      <c r="CQ197">
        <v>0</v>
      </c>
      <c r="CR197">
        <v>0</v>
      </c>
      <c r="CS197">
        <v>0</v>
      </c>
      <c r="CT197">
        <v>0</v>
      </c>
      <c r="CU197">
        <v>0</v>
      </c>
      <c r="CV197">
        <v>9.9109999999999996</v>
      </c>
      <c r="CW197">
        <v>6.0049999999999999</v>
      </c>
      <c r="CX197">
        <v>0</v>
      </c>
      <c r="CY197" s="2043">
        <v>0</v>
      </c>
      <c r="CZ197" s="2043">
        <v>0</v>
      </c>
      <c r="DA197" s="2043">
        <v>0</v>
      </c>
      <c r="DB197" s="2043">
        <v>0</v>
      </c>
      <c r="DC197" s="2043">
        <v>0</v>
      </c>
      <c r="DI197" t="s">
        <v>5767</v>
      </c>
      <c r="DJ197" t="s">
        <v>5767</v>
      </c>
      <c r="DK197" s="2042">
        <f t="shared" si="5"/>
        <v>0</v>
      </c>
    </row>
    <row r="198" spans="1:115">
      <c r="A198" t="s">
        <v>4969</v>
      </c>
      <c r="B198" t="s">
        <v>750</v>
      </c>
      <c r="C198">
        <v>287.226</v>
      </c>
      <c r="D198">
        <v>309.62400000000002</v>
      </c>
      <c r="E198">
        <v>30.219000000000001</v>
      </c>
      <c r="F198">
        <v>0</v>
      </c>
      <c r="G198" s="2043">
        <v>363819023</v>
      </c>
      <c r="H198">
        <v>0</v>
      </c>
      <c r="I198" s="2043">
        <v>1235879</v>
      </c>
      <c r="J198">
        <v>14</v>
      </c>
      <c r="K198">
        <v>38</v>
      </c>
      <c r="L198">
        <v>0</v>
      </c>
      <c r="M198">
        <v>0</v>
      </c>
      <c r="N198">
        <v>0</v>
      </c>
      <c r="O198">
        <v>0</v>
      </c>
      <c r="P198">
        <v>0</v>
      </c>
      <c r="Q198">
        <v>0</v>
      </c>
      <c r="R198" s="2043">
        <v>3151717</v>
      </c>
      <c r="S198">
        <v>172527</v>
      </c>
      <c r="T198">
        <v>0</v>
      </c>
      <c r="U198">
        <v>0.05</v>
      </c>
      <c r="V198">
        <v>0</v>
      </c>
      <c r="W198">
        <v>0</v>
      </c>
      <c r="X198">
        <v>0</v>
      </c>
      <c r="Y198">
        <v>287721</v>
      </c>
      <c r="Z198">
        <v>0</v>
      </c>
      <c r="AA198">
        <v>0</v>
      </c>
      <c r="AB198">
        <v>309.62400000000002</v>
      </c>
      <c r="AC198" s="2043">
        <v>409021998</v>
      </c>
      <c r="AD198">
        <v>1447000</v>
      </c>
      <c r="AE198" s="2043">
        <v>3324244</v>
      </c>
      <c r="AF198">
        <v>0.96340000000000003</v>
      </c>
      <c r="AG198">
        <v>0</v>
      </c>
      <c r="AH198">
        <v>0</v>
      </c>
      <c r="AI198">
        <v>0</v>
      </c>
      <c r="AJ198">
        <v>43.438000000000002</v>
      </c>
      <c r="AK198">
        <v>1184</v>
      </c>
      <c r="AL198">
        <v>0</v>
      </c>
      <c r="AM198">
        <v>0</v>
      </c>
      <c r="AN198">
        <v>15.803000000000001</v>
      </c>
      <c r="AO198">
        <v>0</v>
      </c>
      <c r="AP198">
        <v>0</v>
      </c>
      <c r="AQ198">
        <v>0</v>
      </c>
      <c r="AR198">
        <v>4.117</v>
      </c>
      <c r="AS198">
        <v>0</v>
      </c>
      <c r="AT198">
        <v>0</v>
      </c>
      <c r="AU198">
        <v>0.69900000000000007</v>
      </c>
      <c r="AV198">
        <v>0</v>
      </c>
      <c r="AW198">
        <v>4.8159999999999998</v>
      </c>
      <c r="AX198">
        <v>0</v>
      </c>
      <c r="AY198">
        <v>15.846</v>
      </c>
      <c r="AZ198">
        <v>0</v>
      </c>
      <c r="BA198">
        <v>554911</v>
      </c>
      <c r="BB198">
        <v>4771244</v>
      </c>
      <c r="BC198">
        <v>0</v>
      </c>
      <c r="BD198">
        <v>50568</v>
      </c>
      <c r="BE198">
        <v>0</v>
      </c>
      <c r="BF198">
        <v>50568</v>
      </c>
      <c r="BG198">
        <v>50568</v>
      </c>
      <c r="BH198">
        <v>0</v>
      </c>
      <c r="BI198">
        <v>0</v>
      </c>
      <c r="BJ198">
        <v>0</v>
      </c>
      <c r="BK198">
        <v>0</v>
      </c>
      <c r="BL198">
        <v>363819023</v>
      </c>
      <c r="BM198">
        <v>0</v>
      </c>
      <c r="BN198">
        <v>918</v>
      </c>
      <c r="BO198">
        <v>952</v>
      </c>
      <c r="BP198">
        <v>0</v>
      </c>
      <c r="BQ198">
        <v>0</v>
      </c>
      <c r="BR198">
        <v>0.91339999999999999</v>
      </c>
      <c r="BS198">
        <v>0.91339999999999999</v>
      </c>
      <c r="BT198">
        <v>0</v>
      </c>
      <c r="BU198">
        <v>238725</v>
      </c>
      <c r="BV198">
        <v>14</v>
      </c>
      <c r="BW198">
        <v>114</v>
      </c>
      <c r="BX198">
        <v>26</v>
      </c>
      <c r="BY198">
        <v>13</v>
      </c>
      <c r="BZ198">
        <v>12</v>
      </c>
      <c r="CA198">
        <v>179</v>
      </c>
      <c r="CB198">
        <v>0</v>
      </c>
      <c r="CC198">
        <v>0</v>
      </c>
      <c r="CD198">
        <v>0</v>
      </c>
      <c r="CE198">
        <v>26</v>
      </c>
      <c r="CF198">
        <v>56.734999999999999</v>
      </c>
      <c r="CG198">
        <v>0</v>
      </c>
      <c r="CH198">
        <v>0</v>
      </c>
      <c r="CI198">
        <v>1</v>
      </c>
      <c r="CJ198">
        <v>3</v>
      </c>
      <c r="CK198">
        <v>0</v>
      </c>
      <c r="CL198">
        <v>0</v>
      </c>
      <c r="CM198">
        <v>30.219000000000001</v>
      </c>
      <c r="CN198">
        <v>0</v>
      </c>
      <c r="CO198">
        <v>0</v>
      </c>
      <c r="CP198">
        <v>0</v>
      </c>
      <c r="CQ198">
        <v>0</v>
      </c>
      <c r="CR198">
        <v>0</v>
      </c>
      <c r="CS198">
        <v>0</v>
      </c>
      <c r="CT198">
        <v>0</v>
      </c>
      <c r="CU198">
        <v>0</v>
      </c>
      <c r="CV198">
        <v>11.827</v>
      </c>
      <c r="CW198">
        <v>13.581000000000001</v>
      </c>
      <c r="CX198">
        <v>0</v>
      </c>
      <c r="CY198" s="2043">
        <v>48996</v>
      </c>
      <c r="CZ198" s="2043">
        <v>0</v>
      </c>
      <c r="DA198" s="2043">
        <v>0</v>
      </c>
      <c r="DB198" s="2043">
        <v>0</v>
      </c>
      <c r="DC198" s="2043">
        <v>0</v>
      </c>
      <c r="DI198" t="s">
        <v>5768</v>
      </c>
      <c r="DJ198" t="s">
        <v>4969</v>
      </c>
      <c r="DK198" s="2042">
        <f t="shared" si="5"/>
        <v>-1</v>
      </c>
    </row>
    <row r="199" spans="1:115">
      <c r="A199" t="s">
        <v>5768</v>
      </c>
      <c r="B199" t="s">
        <v>1577</v>
      </c>
      <c r="C199">
        <v>319.8</v>
      </c>
      <c r="D199">
        <v>358.08</v>
      </c>
      <c r="E199">
        <v>71.813000000000002</v>
      </c>
      <c r="F199">
        <v>0</v>
      </c>
      <c r="G199" s="2043">
        <v>53562252</v>
      </c>
      <c r="H199">
        <v>0</v>
      </c>
      <c r="I199" s="2043">
        <v>0</v>
      </c>
      <c r="J199">
        <v>15.99</v>
      </c>
      <c r="K199">
        <v>44</v>
      </c>
      <c r="L199">
        <v>0</v>
      </c>
      <c r="M199">
        <v>0</v>
      </c>
      <c r="N199">
        <v>0</v>
      </c>
      <c r="O199">
        <v>0</v>
      </c>
      <c r="P199">
        <v>0</v>
      </c>
      <c r="Q199">
        <v>0</v>
      </c>
      <c r="R199" s="2043">
        <v>468545</v>
      </c>
      <c r="S199">
        <v>25648</v>
      </c>
      <c r="T199">
        <v>0</v>
      </c>
      <c r="U199">
        <v>0.05</v>
      </c>
      <c r="V199">
        <v>0</v>
      </c>
      <c r="W199">
        <v>0</v>
      </c>
      <c r="X199">
        <v>0</v>
      </c>
      <c r="Y199">
        <v>-373</v>
      </c>
      <c r="Z199">
        <v>0</v>
      </c>
      <c r="AA199">
        <v>0.48</v>
      </c>
      <c r="AB199">
        <v>336.34800000000001</v>
      </c>
      <c r="AC199" s="2043">
        <v>55547420</v>
      </c>
      <c r="AD199">
        <v>0</v>
      </c>
      <c r="AE199" s="2043">
        <v>494193</v>
      </c>
      <c r="AF199">
        <v>0.96340000000000003</v>
      </c>
      <c r="AG199">
        <v>0</v>
      </c>
      <c r="AH199">
        <v>0</v>
      </c>
      <c r="AI199">
        <v>0</v>
      </c>
      <c r="AJ199">
        <v>74.688000000000002</v>
      </c>
      <c r="AK199">
        <v>1470</v>
      </c>
      <c r="AL199">
        <v>0</v>
      </c>
      <c r="AM199">
        <v>0</v>
      </c>
      <c r="AN199">
        <v>13.858000000000001</v>
      </c>
      <c r="AO199">
        <v>0</v>
      </c>
      <c r="AP199">
        <v>0</v>
      </c>
      <c r="AQ199">
        <v>0</v>
      </c>
      <c r="AR199">
        <v>7.6530000000000005</v>
      </c>
      <c r="AS199">
        <v>0</v>
      </c>
      <c r="AT199">
        <v>6.4000000000000001E-2</v>
      </c>
      <c r="AU199">
        <v>0.67200000000000004</v>
      </c>
      <c r="AV199">
        <v>0</v>
      </c>
      <c r="AW199">
        <v>8.3890000000000011</v>
      </c>
      <c r="AX199">
        <v>0</v>
      </c>
      <c r="AY199">
        <v>26.511000000000003</v>
      </c>
      <c r="AZ199">
        <v>0</v>
      </c>
      <c r="BA199">
        <v>3858973</v>
      </c>
      <c r="BB199">
        <v>494193</v>
      </c>
      <c r="BC199">
        <v>0</v>
      </c>
      <c r="BD199">
        <v>20862</v>
      </c>
      <c r="BE199">
        <v>0</v>
      </c>
      <c r="BF199">
        <v>20862</v>
      </c>
      <c r="BG199">
        <v>20862</v>
      </c>
      <c r="BH199">
        <v>0</v>
      </c>
      <c r="BI199">
        <v>0</v>
      </c>
      <c r="BJ199">
        <v>-373</v>
      </c>
      <c r="BK199">
        <v>0</v>
      </c>
      <c r="BL199">
        <v>53562252</v>
      </c>
      <c r="BM199">
        <v>0</v>
      </c>
      <c r="BN199">
        <v>1170</v>
      </c>
      <c r="BO199">
        <v>1209</v>
      </c>
      <c r="BP199">
        <v>0</v>
      </c>
      <c r="BQ199">
        <v>0</v>
      </c>
      <c r="BR199">
        <v>0.91339999999999999</v>
      </c>
      <c r="BS199">
        <v>0.91339999999999999</v>
      </c>
      <c r="BT199">
        <v>0</v>
      </c>
      <c r="BU199">
        <v>0</v>
      </c>
      <c r="BV199">
        <v>1</v>
      </c>
      <c r="BW199">
        <v>10</v>
      </c>
      <c r="BX199">
        <v>172</v>
      </c>
      <c r="BY199">
        <v>5</v>
      </c>
      <c r="BZ199">
        <v>101</v>
      </c>
      <c r="CA199">
        <v>289</v>
      </c>
      <c r="CB199">
        <v>0</v>
      </c>
      <c r="CC199">
        <v>0</v>
      </c>
      <c r="CD199">
        <v>0</v>
      </c>
      <c r="CE199">
        <v>14</v>
      </c>
      <c r="CF199">
        <v>92.192999999999998</v>
      </c>
      <c r="CG199">
        <v>0</v>
      </c>
      <c r="CH199">
        <v>0</v>
      </c>
      <c r="CI199">
        <v>1</v>
      </c>
      <c r="CJ199">
        <v>1</v>
      </c>
      <c r="CK199">
        <v>0</v>
      </c>
      <c r="CL199">
        <v>0</v>
      </c>
      <c r="CM199">
        <v>71.813000000000002</v>
      </c>
      <c r="CN199">
        <v>0</v>
      </c>
      <c r="CO199">
        <v>0</v>
      </c>
      <c r="CP199">
        <v>0</v>
      </c>
      <c r="CQ199">
        <v>0</v>
      </c>
      <c r="CR199">
        <v>0</v>
      </c>
      <c r="CS199">
        <v>0</v>
      </c>
      <c r="CT199">
        <v>0</v>
      </c>
      <c r="CU199">
        <v>0.32300000000000001</v>
      </c>
      <c r="CV199">
        <v>18.47</v>
      </c>
      <c r="CW199">
        <v>14.958</v>
      </c>
      <c r="CX199">
        <v>0</v>
      </c>
      <c r="CY199" s="2043">
        <v>0</v>
      </c>
      <c r="CZ199" s="2043">
        <v>0</v>
      </c>
      <c r="DA199" s="2043">
        <v>0</v>
      </c>
      <c r="DB199" s="2043">
        <v>0</v>
      </c>
      <c r="DC199" s="2043">
        <v>134218</v>
      </c>
      <c r="DI199" t="s">
        <v>4969</v>
      </c>
      <c r="DJ199" t="s">
        <v>5768</v>
      </c>
      <c r="DK199" s="2042">
        <f t="shared" si="5"/>
        <v>1</v>
      </c>
    </row>
    <row r="200" spans="1:115">
      <c r="A200" t="s">
        <v>5769</v>
      </c>
      <c r="B200" t="s">
        <v>751</v>
      </c>
      <c r="C200">
        <v>215.77500000000001</v>
      </c>
      <c r="D200">
        <v>219.80600000000001</v>
      </c>
      <c r="E200">
        <v>2.0140000000000002</v>
      </c>
      <c r="F200">
        <v>0</v>
      </c>
      <c r="G200" s="2043">
        <v>169603212</v>
      </c>
      <c r="H200">
        <v>0</v>
      </c>
      <c r="I200" s="2043">
        <v>0</v>
      </c>
      <c r="J200">
        <v>10.789</v>
      </c>
      <c r="K200">
        <v>29</v>
      </c>
      <c r="L200">
        <v>0</v>
      </c>
      <c r="M200">
        <v>0</v>
      </c>
      <c r="N200">
        <v>0</v>
      </c>
      <c r="O200">
        <v>0</v>
      </c>
      <c r="P200">
        <v>0</v>
      </c>
      <c r="Q200">
        <v>0</v>
      </c>
      <c r="R200" s="2043">
        <v>1439867</v>
      </c>
      <c r="S200">
        <v>140133</v>
      </c>
      <c r="T200">
        <v>0</v>
      </c>
      <c r="U200">
        <v>0.08</v>
      </c>
      <c r="V200">
        <v>0</v>
      </c>
      <c r="W200">
        <v>0</v>
      </c>
      <c r="X200">
        <v>0</v>
      </c>
      <c r="Y200">
        <v>0</v>
      </c>
      <c r="Z200">
        <v>0</v>
      </c>
      <c r="AA200">
        <v>0.10500000000000001</v>
      </c>
      <c r="AB200">
        <v>219.80600000000001</v>
      </c>
      <c r="AC200" s="2043">
        <v>135573563</v>
      </c>
      <c r="AD200">
        <v>0</v>
      </c>
      <c r="AE200" s="2043">
        <v>1580000</v>
      </c>
      <c r="AF200">
        <v>0.90200000000000002</v>
      </c>
      <c r="AG200">
        <v>0</v>
      </c>
      <c r="AH200">
        <v>0</v>
      </c>
      <c r="AI200">
        <v>0</v>
      </c>
      <c r="AJ200">
        <v>29.45</v>
      </c>
      <c r="AK200">
        <v>1287</v>
      </c>
      <c r="AL200">
        <v>0</v>
      </c>
      <c r="AM200">
        <v>0</v>
      </c>
      <c r="AN200">
        <v>4.68</v>
      </c>
      <c r="AO200">
        <v>0</v>
      </c>
      <c r="AP200">
        <v>0</v>
      </c>
      <c r="AQ200">
        <v>0</v>
      </c>
      <c r="AR200">
        <v>7.9250000000000007</v>
      </c>
      <c r="AS200">
        <v>0</v>
      </c>
      <c r="AT200">
        <v>1.302</v>
      </c>
      <c r="AU200">
        <v>0.624</v>
      </c>
      <c r="AV200">
        <v>0</v>
      </c>
      <c r="AW200">
        <v>9.8510000000000009</v>
      </c>
      <c r="AX200">
        <v>0</v>
      </c>
      <c r="AY200">
        <v>30.801000000000002</v>
      </c>
      <c r="AZ200">
        <v>0</v>
      </c>
      <c r="BA200">
        <v>1535189</v>
      </c>
      <c r="BB200">
        <v>1580000</v>
      </c>
      <c r="BC200">
        <v>0</v>
      </c>
      <c r="BD200">
        <v>28896</v>
      </c>
      <c r="BE200">
        <v>0</v>
      </c>
      <c r="BF200">
        <v>28896</v>
      </c>
      <c r="BG200">
        <v>28896</v>
      </c>
      <c r="BH200">
        <v>0</v>
      </c>
      <c r="BI200">
        <v>0</v>
      </c>
      <c r="BJ200">
        <v>0</v>
      </c>
      <c r="BK200">
        <v>0</v>
      </c>
      <c r="BL200">
        <v>169603212</v>
      </c>
      <c r="BM200">
        <v>0</v>
      </c>
      <c r="BN200">
        <v>783</v>
      </c>
      <c r="BO200">
        <v>546</v>
      </c>
      <c r="BP200">
        <v>0</v>
      </c>
      <c r="BQ200">
        <v>0</v>
      </c>
      <c r="BR200">
        <v>0.82200000000000006</v>
      </c>
      <c r="BS200">
        <v>0.82200000000000006</v>
      </c>
      <c r="BT200">
        <v>0</v>
      </c>
      <c r="BU200">
        <v>0</v>
      </c>
      <c r="BV200">
        <v>1</v>
      </c>
      <c r="BW200">
        <v>30</v>
      </c>
      <c r="BX200">
        <v>84</v>
      </c>
      <c r="BY200">
        <v>0</v>
      </c>
      <c r="BZ200">
        <v>4</v>
      </c>
      <c r="CA200">
        <v>119</v>
      </c>
      <c r="CB200">
        <v>0</v>
      </c>
      <c r="CC200">
        <v>0</v>
      </c>
      <c r="CD200">
        <v>0</v>
      </c>
      <c r="CE200">
        <v>31</v>
      </c>
      <c r="CF200">
        <v>41.917999999999999</v>
      </c>
      <c r="CG200">
        <v>0</v>
      </c>
      <c r="CH200">
        <v>0</v>
      </c>
      <c r="CI200">
        <v>0</v>
      </c>
      <c r="CJ200">
        <v>4</v>
      </c>
      <c r="CK200">
        <v>0</v>
      </c>
      <c r="CL200">
        <v>0</v>
      </c>
      <c r="CM200">
        <v>2.0140000000000002</v>
      </c>
      <c r="CN200">
        <v>0</v>
      </c>
      <c r="CO200">
        <v>0</v>
      </c>
      <c r="CP200">
        <v>0</v>
      </c>
      <c r="CQ200">
        <v>0</v>
      </c>
      <c r="CR200">
        <v>0</v>
      </c>
      <c r="CS200">
        <v>0</v>
      </c>
      <c r="CT200">
        <v>0</v>
      </c>
      <c r="CU200">
        <v>3.3540000000000001</v>
      </c>
      <c r="CV200">
        <v>17.276</v>
      </c>
      <c r="CW200">
        <v>10.184000000000001</v>
      </c>
      <c r="CX200">
        <v>0</v>
      </c>
      <c r="CY200" s="2043">
        <v>0</v>
      </c>
      <c r="CZ200" s="2043">
        <v>0</v>
      </c>
      <c r="DA200" s="2043">
        <v>0</v>
      </c>
      <c r="DB200" s="2043">
        <v>0</v>
      </c>
      <c r="DC200" s="2043">
        <v>0</v>
      </c>
      <c r="DI200" t="s">
        <v>5769</v>
      </c>
      <c r="DJ200" t="s">
        <v>5769</v>
      </c>
      <c r="DK200" s="2042">
        <f t="shared" si="5"/>
        <v>0</v>
      </c>
    </row>
    <row r="201" spans="1:115">
      <c r="A201" t="s">
        <v>4970</v>
      </c>
      <c r="B201" t="s">
        <v>769</v>
      </c>
      <c r="C201">
        <v>248.11200000000002</v>
      </c>
      <c r="D201">
        <v>239.95600000000002</v>
      </c>
      <c r="E201">
        <v>2.11</v>
      </c>
      <c r="F201">
        <v>0</v>
      </c>
      <c r="G201" s="2043">
        <v>269119466</v>
      </c>
      <c r="H201">
        <v>0</v>
      </c>
      <c r="I201" s="2043">
        <v>837881</v>
      </c>
      <c r="J201">
        <v>7</v>
      </c>
      <c r="K201">
        <v>19</v>
      </c>
      <c r="L201">
        <v>0</v>
      </c>
      <c r="M201">
        <v>0</v>
      </c>
      <c r="N201">
        <v>0</v>
      </c>
      <c r="O201">
        <v>0</v>
      </c>
      <c r="P201">
        <v>0</v>
      </c>
      <c r="Q201">
        <v>0</v>
      </c>
      <c r="R201" s="2043">
        <v>2630517</v>
      </c>
      <c r="S201">
        <v>160007</v>
      </c>
      <c r="T201">
        <v>0</v>
      </c>
      <c r="U201">
        <v>0.05</v>
      </c>
      <c r="V201">
        <v>0</v>
      </c>
      <c r="W201">
        <v>0</v>
      </c>
      <c r="X201">
        <v>0</v>
      </c>
      <c r="Y201">
        <v>0</v>
      </c>
      <c r="Z201">
        <v>0</v>
      </c>
      <c r="AA201">
        <v>0.12200000000000001</v>
      </c>
      <c r="AB201">
        <v>228.92600000000002</v>
      </c>
      <c r="AC201" s="2043">
        <v>270838554</v>
      </c>
      <c r="AD201">
        <v>1947477</v>
      </c>
      <c r="AE201" s="2043">
        <v>2790524</v>
      </c>
      <c r="AF201">
        <v>0.872</v>
      </c>
      <c r="AG201">
        <v>0</v>
      </c>
      <c r="AH201">
        <v>0</v>
      </c>
      <c r="AI201">
        <v>0</v>
      </c>
      <c r="AJ201">
        <v>38.863</v>
      </c>
      <c r="AK201">
        <v>1477</v>
      </c>
      <c r="AL201">
        <v>1.3000000000000001E-2</v>
      </c>
      <c r="AM201">
        <v>0</v>
      </c>
      <c r="AN201">
        <v>15.156000000000001</v>
      </c>
      <c r="AO201">
        <v>0</v>
      </c>
      <c r="AP201">
        <v>1.232</v>
      </c>
      <c r="AQ201">
        <v>0</v>
      </c>
      <c r="AR201">
        <v>6.6690000000000005</v>
      </c>
      <c r="AS201">
        <v>0</v>
      </c>
      <c r="AT201">
        <v>0</v>
      </c>
      <c r="AU201">
        <v>0.217</v>
      </c>
      <c r="AV201">
        <v>0</v>
      </c>
      <c r="AW201">
        <v>8.1310000000000002</v>
      </c>
      <c r="AX201">
        <v>0</v>
      </c>
      <c r="AY201">
        <v>24.483000000000001</v>
      </c>
      <c r="AZ201">
        <v>0</v>
      </c>
      <c r="BA201">
        <v>1105293</v>
      </c>
      <c r="BB201">
        <v>4738001</v>
      </c>
      <c r="BC201">
        <v>0</v>
      </c>
      <c r="BD201">
        <v>36188</v>
      </c>
      <c r="BE201">
        <v>26130</v>
      </c>
      <c r="BF201">
        <v>62318</v>
      </c>
      <c r="BG201">
        <v>36188</v>
      </c>
      <c r="BH201">
        <v>0</v>
      </c>
      <c r="BI201">
        <v>0</v>
      </c>
      <c r="BJ201">
        <v>0</v>
      </c>
      <c r="BK201">
        <v>0</v>
      </c>
      <c r="BL201">
        <v>269119466</v>
      </c>
      <c r="BM201">
        <v>0</v>
      </c>
      <c r="BN201">
        <v>738</v>
      </c>
      <c r="BO201">
        <v>685</v>
      </c>
      <c r="BP201">
        <v>0</v>
      </c>
      <c r="BQ201">
        <v>0</v>
      </c>
      <c r="BR201">
        <v>0.82200000000000006</v>
      </c>
      <c r="BS201">
        <v>0.82200000000000006</v>
      </c>
      <c r="BT201">
        <v>0</v>
      </c>
      <c r="BU201">
        <v>0</v>
      </c>
      <c r="BV201">
        <v>0</v>
      </c>
      <c r="BW201">
        <v>159</v>
      </c>
      <c r="BX201">
        <v>0</v>
      </c>
      <c r="BY201">
        <v>0</v>
      </c>
      <c r="BZ201">
        <v>4</v>
      </c>
      <c r="CA201">
        <v>163</v>
      </c>
      <c r="CB201">
        <v>0</v>
      </c>
      <c r="CC201">
        <v>0</v>
      </c>
      <c r="CD201">
        <v>0</v>
      </c>
      <c r="CE201">
        <v>14</v>
      </c>
      <c r="CF201">
        <v>38.367000000000004</v>
      </c>
      <c r="CG201">
        <v>0.68100000000000005</v>
      </c>
      <c r="CH201">
        <v>0</v>
      </c>
      <c r="CI201">
        <v>5</v>
      </c>
      <c r="CJ201">
        <v>2</v>
      </c>
      <c r="CK201">
        <v>0</v>
      </c>
      <c r="CL201">
        <v>0.68100000000000005</v>
      </c>
      <c r="CM201">
        <v>2.11</v>
      </c>
      <c r="CN201">
        <v>0</v>
      </c>
      <c r="CO201">
        <v>0</v>
      </c>
      <c r="CP201">
        <v>0</v>
      </c>
      <c r="CQ201">
        <v>0</v>
      </c>
      <c r="CR201">
        <v>0</v>
      </c>
      <c r="CS201">
        <v>0</v>
      </c>
      <c r="CT201">
        <v>0</v>
      </c>
      <c r="CU201">
        <v>2.6220000000000003</v>
      </c>
      <c r="CV201">
        <v>15.645000000000001</v>
      </c>
      <c r="CW201">
        <v>12.145000000000001</v>
      </c>
      <c r="CX201">
        <v>0</v>
      </c>
      <c r="CY201" s="2043">
        <v>0</v>
      </c>
      <c r="CZ201" s="2043">
        <v>0</v>
      </c>
      <c r="DA201" s="2043">
        <v>0</v>
      </c>
      <c r="DB201" s="2043">
        <v>0</v>
      </c>
      <c r="DC201" s="2043">
        <v>101411</v>
      </c>
      <c r="DI201" t="s">
        <v>4970</v>
      </c>
      <c r="DJ201" t="s">
        <v>4970</v>
      </c>
      <c r="DK201" s="2042">
        <f t="shared" si="5"/>
        <v>0</v>
      </c>
    </row>
    <row r="202" spans="1:115">
      <c r="A202" t="s">
        <v>3664</v>
      </c>
      <c r="B202" t="s">
        <v>542</v>
      </c>
      <c r="C202">
        <v>725.48200000000008</v>
      </c>
      <c r="D202">
        <v>753.95400000000006</v>
      </c>
      <c r="E202">
        <v>13.83</v>
      </c>
      <c r="F202">
        <v>0</v>
      </c>
      <c r="G202" s="2043">
        <v>217488186</v>
      </c>
      <c r="H202">
        <v>0</v>
      </c>
      <c r="I202" s="2043">
        <v>0</v>
      </c>
      <c r="J202">
        <v>21</v>
      </c>
      <c r="K202">
        <v>57</v>
      </c>
      <c r="L202">
        <v>0</v>
      </c>
      <c r="M202">
        <v>0</v>
      </c>
      <c r="N202">
        <v>0</v>
      </c>
      <c r="O202">
        <v>0</v>
      </c>
      <c r="P202">
        <v>0</v>
      </c>
      <c r="Q202">
        <v>0</v>
      </c>
      <c r="R202" s="2043">
        <v>1935676</v>
      </c>
      <c r="S202">
        <v>170020</v>
      </c>
      <c r="T202">
        <v>123902</v>
      </c>
      <c r="U202">
        <v>0.08</v>
      </c>
      <c r="V202">
        <v>0</v>
      </c>
      <c r="W202">
        <v>0</v>
      </c>
      <c r="X202">
        <v>0</v>
      </c>
      <c r="Y202">
        <v>0</v>
      </c>
      <c r="Z202">
        <v>0</v>
      </c>
      <c r="AA202">
        <v>0</v>
      </c>
      <c r="AB202">
        <v>753.95400000000006</v>
      </c>
      <c r="AC202" s="2043">
        <v>207788563</v>
      </c>
      <c r="AD202">
        <v>0</v>
      </c>
      <c r="AE202" s="2043">
        <v>2229598</v>
      </c>
      <c r="AF202">
        <v>1.0491000000000001</v>
      </c>
      <c r="AG202">
        <v>0</v>
      </c>
      <c r="AH202">
        <v>0</v>
      </c>
      <c r="AI202">
        <v>0</v>
      </c>
      <c r="AJ202">
        <v>111.83800000000001</v>
      </c>
      <c r="AK202">
        <v>4461</v>
      </c>
      <c r="AL202">
        <v>0</v>
      </c>
      <c r="AM202">
        <v>0</v>
      </c>
      <c r="AN202">
        <v>29.147000000000002</v>
      </c>
      <c r="AO202">
        <v>1</v>
      </c>
      <c r="AP202">
        <v>0</v>
      </c>
      <c r="AQ202">
        <v>0</v>
      </c>
      <c r="AR202">
        <v>25.693000000000001</v>
      </c>
      <c r="AS202">
        <v>0</v>
      </c>
      <c r="AT202">
        <v>6.4050000000000002</v>
      </c>
      <c r="AU202">
        <v>2.1150000000000002</v>
      </c>
      <c r="AV202">
        <v>0</v>
      </c>
      <c r="AW202">
        <v>34.213000000000001</v>
      </c>
      <c r="AX202">
        <v>0</v>
      </c>
      <c r="AY202">
        <v>106.869</v>
      </c>
      <c r="AZ202">
        <v>0</v>
      </c>
      <c r="BA202">
        <v>7365857</v>
      </c>
      <c r="BB202">
        <v>2229598</v>
      </c>
      <c r="BC202">
        <v>0</v>
      </c>
      <c r="BD202">
        <v>50289</v>
      </c>
      <c r="BE202">
        <v>5040</v>
      </c>
      <c r="BF202">
        <v>55329</v>
      </c>
      <c r="BG202">
        <v>50289</v>
      </c>
      <c r="BH202">
        <v>0</v>
      </c>
      <c r="BI202">
        <v>0</v>
      </c>
      <c r="BJ202">
        <v>0</v>
      </c>
      <c r="BK202">
        <v>0</v>
      </c>
      <c r="BL202">
        <v>217488186</v>
      </c>
      <c r="BM202">
        <v>0</v>
      </c>
      <c r="BN202">
        <v>2430</v>
      </c>
      <c r="BO202">
        <v>1220</v>
      </c>
      <c r="BP202">
        <v>0</v>
      </c>
      <c r="BQ202">
        <v>0</v>
      </c>
      <c r="BR202">
        <v>0.91080000000000005</v>
      </c>
      <c r="BS202">
        <v>0.91080000000000005</v>
      </c>
      <c r="BT202">
        <v>0</v>
      </c>
      <c r="BU202">
        <v>0</v>
      </c>
      <c r="BV202">
        <v>111</v>
      </c>
      <c r="BW202">
        <v>355</v>
      </c>
      <c r="BX202">
        <v>8</v>
      </c>
      <c r="BY202">
        <v>0</v>
      </c>
      <c r="BZ202">
        <v>2</v>
      </c>
      <c r="CA202">
        <v>476</v>
      </c>
      <c r="CB202">
        <v>0</v>
      </c>
      <c r="CC202">
        <v>0</v>
      </c>
      <c r="CD202">
        <v>0</v>
      </c>
      <c r="CE202">
        <v>121</v>
      </c>
      <c r="CF202">
        <v>137.02000000000001</v>
      </c>
      <c r="CG202">
        <v>0</v>
      </c>
      <c r="CH202">
        <v>0</v>
      </c>
      <c r="CI202">
        <v>3</v>
      </c>
      <c r="CJ202">
        <v>7</v>
      </c>
      <c r="CK202">
        <v>0</v>
      </c>
      <c r="CL202">
        <v>0</v>
      </c>
      <c r="CM202">
        <v>13.83</v>
      </c>
      <c r="CN202">
        <v>0</v>
      </c>
      <c r="CO202">
        <v>0</v>
      </c>
      <c r="CP202">
        <v>0</v>
      </c>
      <c r="CQ202">
        <v>0</v>
      </c>
      <c r="CR202">
        <v>0</v>
      </c>
      <c r="CS202">
        <v>0</v>
      </c>
      <c r="CT202">
        <v>0</v>
      </c>
      <c r="CU202">
        <v>5.3580000000000005</v>
      </c>
      <c r="CV202">
        <v>30.227</v>
      </c>
      <c r="CW202">
        <v>21.486000000000001</v>
      </c>
      <c r="CX202">
        <v>0</v>
      </c>
      <c r="CY202" s="2043">
        <v>0</v>
      </c>
      <c r="CZ202" s="2043">
        <v>0</v>
      </c>
      <c r="DA202" s="2043">
        <v>0</v>
      </c>
      <c r="DB202" s="2043">
        <v>0</v>
      </c>
      <c r="DC202" s="2043">
        <v>0</v>
      </c>
      <c r="DI202" t="s">
        <v>3664</v>
      </c>
      <c r="DJ202" t="s">
        <v>3664</v>
      </c>
      <c r="DK202" s="2042">
        <f t="shared" si="5"/>
        <v>0</v>
      </c>
    </row>
    <row r="203" spans="1:115">
      <c r="A203" t="s">
        <v>2929</v>
      </c>
      <c r="B203" t="s">
        <v>2235</v>
      </c>
      <c r="C203">
        <v>239.417</v>
      </c>
      <c r="D203">
        <v>247.221</v>
      </c>
      <c r="E203">
        <v>1.0070000000000001</v>
      </c>
      <c r="F203">
        <v>0</v>
      </c>
      <c r="G203" s="2043">
        <v>110739987</v>
      </c>
      <c r="H203">
        <v>0</v>
      </c>
      <c r="I203" s="2043">
        <v>93875</v>
      </c>
      <c r="J203">
        <v>11.971</v>
      </c>
      <c r="K203">
        <v>33</v>
      </c>
      <c r="L203">
        <v>19620</v>
      </c>
      <c r="M203">
        <v>74255</v>
      </c>
      <c r="N203">
        <v>19620</v>
      </c>
      <c r="O203">
        <v>93875</v>
      </c>
      <c r="P203">
        <v>0</v>
      </c>
      <c r="Q203">
        <v>0</v>
      </c>
      <c r="R203" s="2043">
        <v>936371</v>
      </c>
      <c r="S203">
        <v>51393</v>
      </c>
      <c r="T203">
        <v>0</v>
      </c>
      <c r="U203">
        <v>0.05</v>
      </c>
      <c r="V203">
        <v>0</v>
      </c>
      <c r="W203">
        <v>0</v>
      </c>
      <c r="X203">
        <v>0</v>
      </c>
      <c r="Y203">
        <v>30831</v>
      </c>
      <c r="Z203">
        <v>0</v>
      </c>
      <c r="AA203">
        <v>0.04</v>
      </c>
      <c r="AB203">
        <v>247.221</v>
      </c>
      <c r="AC203" s="2043">
        <v>123817245</v>
      </c>
      <c r="AD203">
        <v>80049</v>
      </c>
      <c r="AE203" s="2043">
        <v>987764</v>
      </c>
      <c r="AF203">
        <v>0.96100000000000008</v>
      </c>
      <c r="AG203">
        <v>0</v>
      </c>
      <c r="AH203">
        <v>0</v>
      </c>
      <c r="AI203">
        <v>0</v>
      </c>
      <c r="AJ203">
        <v>60.663000000000004</v>
      </c>
      <c r="AK203">
        <v>776</v>
      </c>
      <c r="AL203">
        <v>0</v>
      </c>
      <c r="AM203">
        <v>0</v>
      </c>
      <c r="AN203">
        <v>4.7670000000000003</v>
      </c>
      <c r="AO203">
        <v>0</v>
      </c>
      <c r="AP203">
        <v>0.68400000000000005</v>
      </c>
      <c r="AQ203">
        <v>0</v>
      </c>
      <c r="AR203">
        <v>4.6230000000000002</v>
      </c>
      <c r="AS203">
        <v>0</v>
      </c>
      <c r="AT203">
        <v>0</v>
      </c>
      <c r="AU203">
        <v>0.17600000000000002</v>
      </c>
      <c r="AV203">
        <v>0</v>
      </c>
      <c r="AW203">
        <v>5.4830000000000005</v>
      </c>
      <c r="AX203">
        <v>0</v>
      </c>
      <c r="AY203">
        <v>16.596</v>
      </c>
      <c r="AZ203">
        <v>0</v>
      </c>
      <c r="BA203">
        <v>2235497</v>
      </c>
      <c r="BB203">
        <v>1067813</v>
      </c>
      <c r="BC203">
        <v>0</v>
      </c>
      <c r="BD203">
        <v>63923</v>
      </c>
      <c r="BE203">
        <v>13288</v>
      </c>
      <c r="BF203">
        <v>77211</v>
      </c>
      <c r="BG203">
        <v>63923</v>
      </c>
      <c r="BH203">
        <v>0</v>
      </c>
      <c r="BI203">
        <v>0</v>
      </c>
      <c r="BJ203">
        <v>0</v>
      </c>
      <c r="BK203">
        <v>0</v>
      </c>
      <c r="BL203">
        <v>110739987</v>
      </c>
      <c r="BM203">
        <v>0</v>
      </c>
      <c r="BN203">
        <v>1107</v>
      </c>
      <c r="BO203">
        <v>300</v>
      </c>
      <c r="BP203">
        <v>0</v>
      </c>
      <c r="BQ203">
        <v>0</v>
      </c>
      <c r="BR203">
        <v>0.91100000000000003</v>
      </c>
      <c r="BS203">
        <v>0.91100000000000003</v>
      </c>
      <c r="BT203">
        <v>0</v>
      </c>
      <c r="BU203">
        <v>0</v>
      </c>
      <c r="BV203">
        <v>104</v>
      </c>
      <c r="BW203">
        <v>14</v>
      </c>
      <c r="BX203">
        <v>116</v>
      </c>
      <c r="BY203">
        <v>1</v>
      </c>
      <c r="BZ203">
        <v>17</v>
      </c>
      <c r="CA203">
        <v>252</v>
      </c>
      <c r="CB203">
        <v>0</v>
      </c>
      <c r="CC203">
        <v>0</v>
      </c>
      <c r="CD203">
        <v>0</v>
      </c>
      <c r="CE203">
        <v>33</v>
      </c>
      <c r="CF203">
        <v>58.713000000000001</v>
      </c>
      <c r="CG203">
        <v>0</v>
      </c>
      <c r="CH203">
        <v>0</v>
      </c>
      <c r="CI203">
        <v>3</v>
      </c>
      <c r="CJ203">
        <v>0</v>
      </c>
      <c r="CK203">
        <v>0</v>
      </c>
      <c r="CL203">
        <v>0</v>
      </c>
      <c r="CM203">
        <v>1.0070000000000001</v>
      </c>
      <c r="CN203">
        <v>0</v>
      </c>
      <c r="CO203">
        <v>0</v>
      </c>
      <c r="CP203">
        <v>0</v>
      </c>
      <c r="CQ203">
        <v>0</v>
      </c>
      <c r="CR203">
        <v>0</v>
      </c>
      <c r="CS203">
        <v>0</v>
      </c>
      <c r="CT203">
        <v>0</v>
      </c>
      <c r="CU203">
        <v>0</v>
      </c>
      <c r="CV203">
        <v>6.2760000000000007</v>
      </c>
      <c r="CW203">
        <v>6.8900000000000006</v>
      </c>
      <c r="CX203">
        <v>0</v>
      </c>
      <c r="CY203" s="2043">
        <v>30831</v>
      </c>
      <c r="CZ203" s="2043">
        <v>0</v>
      </c>
      <c r="DA203" s="2043">
        <v>0</v>
      </c>
      <c r="DB203" s="2043">
        <v>0</v>
      </c>
      <c r="DC203" s="2043">
        <v>0</v>
      </c>
      <c r="DI203" t="s">
        <v>2929</v>
      </c>
      <c r="DJ203" t="s">
        <v>2929</v>
      </c>
      <c r="DK203" s="2042">
        <f t="shared" si="5"/>
        <v>0</v>
      </c>
    </row>
    <row r="204" spans="1:115">
      <c r="A204" t="s">
        <v>4971</v>
      </c>
      <c r="B204" t="s">
        <v>770</v>
      </c>
      <c r="C204">
        <v>142.19499999999999</v>
      </c>
      <c r="D204">
        <v>135.078</v>
      </c>
      <c r="E204">
        <v>0.436</v>
      </c>
      <c r="F204">
        <v>0</v>
      </c>
      <c r="G204" s="2043">
        <v>133754285</v>
      </c>
      <c r="H204">
        <v>0</v>
      </c>
      <c r="I204" s="2043">
        <v>72600</v>
      </c>
      <c r="J204">
        <v>7.11</v>
      </c>
      <c r="K204">
        <v>19</v>
      </c>
      <c r="L204">
        <v>2397</v>
      </c>
      <c r="M204">
        <v>51327</v>
      </c>
      <c r="N204">
        <v>2397</v>
      </c>
      <c r="O204">
        <v>53724</v>
      </c>
      <c r="P204">
        <v>0</v>
      </c>
      <c r="Q204">
        <v>0</v>
      </c>
      <c r="R204" s="2043">
        <v>1177684</v>
      </c>
      <c r="S204">
        <v>103147</v>
      </c>
      <c r="T204">
        <v>75169</v>
      </c>
      <c r="U204">
        <v>0.08</v>
      </c>
      <c r="V204">
        <v>0</v>
      </c>
      <c r="W204">
        <v>0</v>
      </c>
      <c r="X204">
        <v>0</v>
      </c>
      <c r="Y204">
        <v>0</v>
      </c>
      <c r="Z204">
        <v>0</v>
      </c>
      <c r="AA204">
        <v>0</v>
      </c>
      <c r="AB204">
        <v>135.078</v>
      </c>
      <c r="AC204" s="2043">
        <v>160164214</v>
      </c>
      <c r="AD204">
        <v>71000</v>
      </c>
      <c r="AE204" s="2043">
        <v>1356000</v>
      </c>
      <c r="AF204">
        <v>1.0517000000000001</v>
      </c>
      <c r="AG204">
        <v>0</v>
      </c>
      <c r="AH204">
        <v>0</v>
      </c>
      <c r="AI204">
        <v>0</v>
      </c>
      <c r="AJ204">
        <v>28.813000000000002</v>
      </c>
      <c r="AK204">
        <v>1515</v>
      </c>
      <c r="AL204">
        <v>0</v>
      </c>
      <c r="AM204">
        <v>0</v>
      </c>
      <c r="AN204">
        <v>8.9109999999999996</v>
      </c>
      <c r="AO204">
        <v>0</v>
      </c>
      <c r="AP204">
        <v>2.66</v>
      </c>
      <c r="AQ204">
        <v>0</v>
      </c>
      <c r="AR204">
        <v>6.6180000000000003</v>
      </c>
      <c r="AS204">
        <v>0</v>
      </c>
      <c r="AT204">
        <v>0</v>
      </c>
      <c r="AU204">
        <v>0.97100000000000009</v>
      </c>
      <c r="AV204">
        <v>0</v>
      </c>
      <c r="AW204">
        <v>10.249000000000001</v>
      </c>
      <c r="AX204">
        <v>0</v>
      </c>
      <c r="AY204">
        <v>31.891000000000002</v>
      </c>
      <c r="AZ204">
        <v>0</v>
      </c>
      <c r="BA204">
        <v>1171493</v>
      </c>
      <c r="BB204">
        <v>1427000</v>
      </c>
      <c r="BC204">
        <v>0</v>
      </c>
      <c r="BD204">
        <v>70992</v>
      </c>
      <c r="BE204">
        <v>605</v>
      </c>
      <c r="BF204">
        <v>71597</v>
      </c>
      <c r="BG204">
        <v>70992</v>
      </c>
      <c r="BH204">
        <v>0</v>
      </c>
      <c r="BI204">
        <v>0</v>
      </c>
      <c r="BJ204">
        <v>0</v>
      </c>
      <c r="BK204">
        <v>0</v>
      </c>
      <c r="BL204">
        <v>133754285</v>
      </c>
      <c r="BM204">
        <v>0</v>
      </c>
      <c r="BN204">
        <v>639</v>
      </c>
      <c r="BO204">
        <v>246</v>
      </c>
      <c r="BP204">
        <v>0</v>
      </c>
      <c r="BQ204">
        <v>0</v>
      </c>
      <c r="BR204">
        <v>0.91339999999999999</v>
      </c>
      <c r="BS204">
        <v>0.91339999999999999</v>
      </c>
      <c r="BT204">
        <v>0</v>
      </c>
      <c r="BU204">
        <v>0</v>
      </c>
      <c r="BV204">
        <v>21</v>
      </c>
      <c r="BW204">
        <v>95</v>
      </c>
      <c r="BX204">
        <v>4</v>
      </c>
      <c r="BY204">
        <v>2</v>
      </c>
      <c r="BZ204">
        <v>0</v>
      </c>
      <c r="CA204">
        <v>122</v>
      </c>
      <c r="CB204">
        <v>0</v>
      </c>
      <c r="CC204">
        <v>0</v>
      </c>
      <c r="CD204">
        <v>0</v>
      </c>
      <c r="CE204">
        <v>20</v>
      </c>
      <c r="CF204">
        <v>39.17</v>
      </c>
      <c r="CG204">
        <v>0</v>
      </c>
      <c r="CH204">
        <v>0</v>
      </c>
      <c r="CI204">
        <v>4</v>
      </c>
      <c r="CJ204">
        <v>1</v>
      </c>
      <c r="CK204">
        <v>0</v>
      </c>
      <c r="CL204">
        <v>0</v>
      </c>
      <c r="CM204">
        <v>0.436</v>
      </c>
      <c r="CN204">
        <v>0</v>
      </c>
      <c r="CO204">
        <v>0</v>
      </c>
      <c r="CP204">
        <v>0</v>
      </c>
      <c r="CQ204">
        <v>0</v>
      </c>
      <c r="CR204">
        <v>0</v>
      </c>
      <c r="CS204">
        <v>0</v>
      </c>
      <c r="CT204">
        <v>0</v>
      </c>
      <c r="CU204">
        <v>0</v>
      </c>
      <c r="CV204">
        <v>8.5140000000000011</v>
      </c>
      <c r="CW204">
        <v>7.36</v>
      </c>
      <c r="CX204">
        <v>0</v>
      </c>
      <c r="CY204" s="2043">
        <v>0</v>
      </c>
      <c r="CZ204" s="2043">
        <v>0</v>
      </c>
      <c r="DA204" s="2043">
        <v>0</v>
      </c>
      <c r="DB204" s="2043">
        <v>0</v>
      </c>
      <c r="DC204" s="2043">
        <v>0</v>
      </c>
      <c r="DI204" t="s">
        <v>4971</v>
      </c>
      <c r="DJ204" t="s">
        <v>4971</v>
      </c>
      <c r="DK204" s="2042">
        <f t="shared" si="5"/>
        <v>0</v>
      </c>
    </row>
    <row r="205" spans="1:115">
      <c r="A205" t="s">
        <v>7948</v>
      </c>
      <c r="B205" t="s">
        <v>11264</v>
      </c>
      <c r="C205">
        <v>1323.3810000000001</v>
      </c>
      <c r="D205">
        <v>1387.7910000000002</v>
      </c>
      <c r="E205">
        <v>127.96300000000001</v>
      </c>
      <c r="F205">
        <v>0</v>
      </c>
      <c r="G205" s="2043">
        <v>0</v>
      </c>
      <c r="H205">
        <v>0</v>
      </c>
      <c r="I205" s="2043">
        <v>0</v>
      </c>
      <c r="J205">
        <v>0</v>
      </c>
      <c r="K205">
        <v>0</v>
      </c>
      <c r="L205">
        <v>0</v>
      </c>
      <c r="M205">
        <v>0</v>
      </c>
      <c r="N205">
        <v>0</v>
      </c>
      <c r="O205">
        <v>0</v>
      </c>
      <c r="P205">
        <v>0</v>
      </c>
      <c r="Q205">
        <v>0</v>
      </c>
      <c r="R205" s="2043">
        <v>0</v>
      </c>
      <c r="S205">
        <v>0</v>
      </c>
      <c r="T205">
        <v>0</v>
      </c>
      <c r="U205">
        <v>0</v>
      </c>
      <c r="V205">
        <v>0</v>
      </c>
      <c r="W205">
        <v>0</v>
      </c>
      <c r="X205">
        <v>0</v>
      </c>
      <c r="Y205">
        <v>233950</v>
      </c>
      <c r="Z205">
        <v>0</v>
      </c>
      <c r="AA205">
        <v>0</v>
      </c>
      <c r="AB205">
        <v>1387.7910000000002</v>
      </c>
      <c r="AC205" s="2043">
        <v>0</v>
      </c>
      <c r="AD205">
        <v>0</v>
      </c>
      <c r="AE205" s="2043">
        <v>0</v>
      </c>
      <c r="AF205">
        <v>0</v>
      </c>
      <c r="AG205">
        <v>0</v>
      </c>
      <c r="AH205">
        <v>0</v>
      </c>
      <c r="AI205">
        <v>0</v>
      </c>
      <c r="AJ205">
        <v>28.8</v>
      </c>
      <c r="AK205">
        <v>1684</v>
      </c>
      <c r="AL205">
        <v>0</v>
      </c>
      <c r="AM205">
        <v>0</v>
      </c>
      <c r="AN205">
        <v>18.873000000000001</v>
      </c>
      <c r="AO205">
        <v>0</v>
      </c>
      <c r="AP205">
        <v>0</v>
      </c>
      <c r="AQ205">
        <v>0</v>
      </c>
      <c r="AR205">
        <v>13.075000000000001</v>
      </c>
      <c r="AS205">
        <v>0</v>
      </c>
      <c r="AT205">
        <v>1.603</v>
      </c>
      <c r="AU205">
        <v>1.722</v>
      </c>
      <c r="AV205">
        <v>0</v>
      </c>
      <c r="AW205">
        <v>16.399999999999999</v>
      </c>
      <c r="AX205">
        <v>0</v>
      </c>
      <c r="AY205">
        <v>52.644000000000005</v>
      </c>
      <c r="AZ205">
        <v>0</v>
      </c>
      <c r="BA205">
        <v>11905767</v>
      </c>
      <c r="BB205">
        <v>0</v>
      </c>
      <c r="BC205">
        <v>0</v>
      </c>
      <c r="BD205">
        <v>0</v>
      </c>
      <c r="BE205">
        <v>0</v>
      </c>
      <c r="BF205">
        <v>0</v>
      </c>
      <c r="BG205">
        <v>0</v>
      </c>
      <c r="BH205">
        <v>0</v>
      </c>
      <c r="BI205">
        <v>0</v>
      </c>
      <c r="BJ205">
        <v>0</v>
      </c>
      <c r="BK205">
        <v>0</v>
      </c>
      <c r="BL205">
        <v>0</v>
      </c>
      <c r="BM205">
        <v>0</v>
      </c>
      <c r="BN205">
        <v>3186</v>
      </c>
      <c r="BO205">
        <v>0</v>
      </c>
      <c r="BP205">
        <v>0</v>
      </c>
      <c r="BQ205">
        <v>0</v>
      </c>
      <c r="BR205">
        <v>0</v>
      </c>
      <c r="BS205">
        <v>0</v>
      </c>
      <c r="BT205">
        <v>0</v>
      </c>
      <c r="BU205">
        <v>0</v>
      </c>
      <c r="BV205">
        <v>86</v>
      </c>
      <c r="BW205">
        <v>31</v>
      </c>
      <c r="BX205">
        <v>4</v>
      </c>
      <c r="BY205">
        <v>1</v>
      </c>
      <c r="BZ205">
        <v>3</v>
      </c>
      <c r="CA205">
        <v>125</v>
      </c>
      <c r="CB205">
        <v>0</v>
      </c>
      <c r="CC205">
        <v>0</v>
      </c>
      <c r="CD205">
        <v>0</v>
      </c>
      <c r="CE205">
        <v>56</v>
      </c>
      <c r="CF205">
        <v>124.83</v>
      </c>
      <c r="CG205">
        <v>0</v>
      </c>
      <c r="CH205">
        <v>0</v>
      </c>
      <c r="CI205">
        <v>1</v>
      </c>
      <c r="CJ205">
        <v>17</v>
      </c>
      <c r="CK205">
        <v>0</v>
      </c>
      <c r="CL205">
        <v>0</v>
      </c>
      <c r="CM205">
        <v>127.96300000000001</v>
      </c>
      <c r="CN205">
        <v>0</v>
      </c>
      <c r="CO205">
        <v>0</v>
      </c>
      <c r="CP205">
        <v>0</v>
      </c>
      <c r="CQ205">
        <v>0</v>
      </c>
      <c r="CR205">
        <v>0</v>
      </c>
      <c r="CS205">
        <v>0</v>
      </c>
      <c r="CT205">
        <v>0</v>
      </c>
      <c r="CU205">
        <v>0</v>
      </c>
      <c r="CV205">
        <v>0</v>
      </c>
      <c r="CW205">
        <v>0</v>
      </c>
      <c r="CX205">
        <v>0</v>
      </c>
      <c r="CY205" s="2043">
        <v>0</v>
      </c>
      <c r="CZ205" s="2043">
        <v>0</v>
      </c>
      <c r="DA205" s="2043">
        <v>0</v>
      </c>
      <c r="DB205" s="2043">
        <v>0</v>
      </c>
      <c r="DC205" s="2043">
        <v>0</v>
      </c>
      <c r="DI205" t="s">
        <v>7948</v>
      </c>
      <c r="DJ205" t="s">
        <v>7948</v>
      </c>
      <c r="DK205" s="2042">
        <f t="shared" si="5"/>
        <v>0</v>
      </c>
    </row>
    <row r="206" spans="1:115">
      <c r="A206" t="s">
        <v>7949</v>
      </c>
      <c r="B206" t="s">
        <v>11265</v>
      </c>
      <c r="C206">
        <v>149.786</v>
      </c>
      <c r="D206">
        <v>258.72899999999998</v>
      </c>
      <c r="E206">
        <v>24.907</v>
      </c>
      <c r="F206">
        <v>0</v>
      </c>
      <c r="G206" s="2043">
        <v>0</v>
      </c>
      <c r="H206">
        <v>0</v>
      </c>
      <c r="I206" s="2043">
        <v>0</v>
      </c>
      <c r="J206">
        <v>0</v>
      </c>
      <c r="K206">
        <v>0</v>
      </c>
      <c r="L206">
        <v>0</v>
      </c>
      <c r="M206">
        <v>0</v>
      </c>
      <c r="N206">
        <v>0</v>
      </c>
      <c r="O206">
        <v>0</v>
      </c>
      <c r="P206">
        <v>0</v>
      </c>
      <c r="Q206">
        <v>0</v>
      </c>
      <c r="R206" s="2043">
        <v>0</v>
      </c>
      <c r="S206">
        <v>0</v>
      </c>
      <c r="T206">
        <v>0</v>
      </c>
      <c r="U206">
        <v>0</v>
      </c>
      <c r="V206">
        <v>0</v>
      </c>
      <c r="W206">
        <v>0</v>
      </c>
      <c r="X206">
        <v>0</v>
      </c>
      <c r="Y206">
        <v>26480</v>
      </c>
      <c r="Z206">
        <v>0</v>
      </c>
      <c r="AA206">
        <v>0</v>
      </c>
      <c r="AB206">
        <v>258.72899999999998</v>
      </c>
      <c r="AC206" s="2043">
        <v>0</v>
      </c>
      <c r="AD206">
        <v>0</v>
      </c>
      <c r="AE206" s="2043">
        <v>0</v>
      </c>
      <c r="AF206">
        <v>0</v>
      </c>
      <c r="AG206">
        <v>0</v>
      </c>
      <c r="AH206">
        <v>0</v>
      </c>
      <c r="AI206">
        <v>0</v>
      </c>
      <c r="AJ206">
        <v>0.67500000000000004</v>
      </c>
      <c r="AK206">
        <v>131</v>
      </c>
      <c r="AL206">
        <v>0</v>
      </c>
      <c r="AM206">
        <v>0</v>
      </c>
      <c r="AN206">
        <v>0.92200000000000004</v>
      </c>
      <c r="AO206">
        <v>0</v>
      </c>
      <c r="AP206">
        <v>0</v>
      </c>
      <c r="AQ206">
        <v>0</v>
      </c>
      <c r="AR206">
        <v>1.0680000000000001</v>
      </c>
      <c r="AS206">
        <v>0</v>
      </c>
      <c r="AT206">
        <v>0</v>
      </c>
      <c r="AU206">
        <v>0.307</v>
      </c>
      <c r="AV206">
        <v>0</v>
      </c>
      <c r="AW206">
        <v>1.375</v>
      </c>
      <c r="AX206">
        <v>0</v>
      </c>
      <c r="AY206">
        <v>4.7389999999999999</v>
      </c>
      <c r="AZ206">
        <v>0</v>
      </c>
      <c r="BA206">
        <v>1318087</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3</v>
      </c>
      <c r="BW206">
        <v>0</v>
      </c>
      <c r="BX206">
        <v>0</v>
      </c>
      <c r="BY206">
        <v>0</v>
      </c>
      <c r="BZ206">
        <v>0</v>
      </c>
      <c r="CA206">
        <v>3</v>
      </c>
      <c r="CB206">
        <v>0</v>
      </c>
      <c r="CC206">
        <v>0</v>
      </c>
      <c r="CD206">
        <v>0</v>
      </c>
      <c r="CE206">
        <v>4</v>
      </c>
      <c r="CF206">
        <v>20.538</v>
      </c>
      <c r="CG206">
        <v>0</v>
      </c>
      <c r="CH206">
        <v>0</v>
      </c>
      <c r="CI206">
        <v>0</v>
      </c>
      <c r="CJ206">
        <v>0</v>
      </c>
      <c r="CK206">
        <v>0</v>
      </c>
      <c r="CL206">
        <v>0</v>
      </c>
      <c r="CM206">
        <v>24.907</v>
      </c>
      <c r="CN206">
        <v>0</v>
      </c>
      <c r="CO206">
        <v>0</v>
      </c>
      <c r="CP206">
        <v>0</v>
      </c>
      <c r="CQ206">
        <v>0</v>
      </c>
      <c r="CR206">
        <v>0</v>
      </c>
      <c r="CS206">
        <v>0</v>
      </c>
      <c r="CT206">
        <v>0</v>
      </c>
      <c r="CU206">
        <v>0</v>
      </c>
      <c r="CV206">
        <v>0</v>
      </c>
      <c r="CW206">
        <v>0</v>
      </c>
      <c r="CX206">
        <v>0</v>
      </c>
      <c r="CY206" s="2043">
        <v>0</v>
      </c>
      <c r="CZ206" s="2043">
        <v>0</v>
      </c>
      <c r="DA206" s="2043">
        <v>0</v>
      </c>
      <c r="DB206" s="2043">
        <v>0</v>
      </c>
      <c r="DC206" s="2043">
        <v>0</v>
      </c>
      <c r="DI206" t="s">
        <v>7949</v>
      </c>
      <c r="DJ206" t="s">
        <v>7949</v>
      </c>
      <c r="DK206" s="2042">
        <f t="shared" si="5"/>
        <v>0</v>
      </c>
    </row>
    <row r="207" spans="1:115">
      <c r="A207" t="s">
        <v>2932</v>
      </c>
      <c r="B207" t="s">
        <v>2362</v>
      </c>
      <c r="C207">
        <v>3207.306</v>
      </c>
      <c r="D207">
        <v>2834.0160000000001</v>
      </c>
      <c r="E207">
        <v>144.32599999999999</v>
      </c>
      <c r="F207">
        <v>0</v>
      </c>
      <c r="G207" s="2043">
        <v>2147024384</v>
      </c>
      <c r="H207">
        <v>0</v>
      </c>
      <c r="I207" s="2043">
        <v>10118400</v>
      </c>
      <c r="J207">
        <v>160.36500000000001</v>
      </c>
      <c r="K207">
        <v>438</v>
      </c>
      <c r="L207">
        <v>0</v>
      </c>
      <c r="M207">
        <v>273005</v>
      </c>
      <c r="N207">
        <v>0</v>
      </c>
      <c r="O207">
        <v>273005</v>
      </c>
      <c r="P207">
        <v>0</v>
      </c>
      <c r="Q207">
        <v>0</v>
      </c>
      <c r="R207" s="2043">
        <v>17605948</v>
      </c>
      <c r="S207">
        <v>1713474</v>
      </c>
      <c r="T207">
        <v>833177</v>
      </c>
      <c r="U207">
        <v>0.08</v>
      </c>
      <c r="V207">
        <v>0</v>
      </c>
      <c r="W207">
        <v>0</v>
      </c>
      <c r="X207">
        <v>0</v>
      </c>
      <c r="Y207">
        <v>1327477</v>
      </c>
      <c r="Z207">
        <v>0</v>
      </c>
      <c r="AA207">
        <v>0.21100000000000002</v>
      </c>
      <c r="AB207">
        <v>2834.0160000000001</v>
      </c>
      <c r="AC207" s="2043">
        <v>1432314133</v>
      </c>
      <c r="AD207">
        <v>10675188</v>
      </c>
      <c r="AE207" s="2043">
        <v>20152599</v>
      </c>
      <c r="AF207">
        <v>0.94090000000000007</v>
      </c>
      <c r="AG207">
        <v>0</v>
      </c>
      <c r="AH207">
        <v>0</v>
      </c>
      <c r="AI207">
        <v>0</v>
      </c>
      <c r="AJ207">
        <v>113.075</v>
      </c>
      <c r="AK207">
        <v>9894</v>
      </c>
      <c r="AL207">
        <v>0.03</v>
      </c>
      <c r="AM207">
        <v>0</v>
      </c>
      <c r="AN207">
        <v>126.363</v>
      </c>
      <c r="AO207">
        <v>0</v>
      </c>
      <c r="AP207">
        <v>0.315</v>
      </c>
      <c r="AQ207">
        <v>0</v>
      </c>
      <c r="AR207">
        <v>68.784999999999997</v>
      </c>
      <c r="AS207">
        <v>0</v>
      </c>
      <c r="AT207">
        <v>9.9109999999999996</v>
      </c>
      <c r="AU207">
        <v>5.6960000000000006</v>
      </c>
      <c r="AV207">
        <v>0</v>
      </c>
      <c r="AW207">
        <v>86.179000000000002</v>
      </c>
      <c r="AX207">
        <v>1.4420000000000002</v>
      </c>
      <c r="AY207">
        <v>268.88499999999999</v>
      </c>
      <c r="AZ207">
        <v>0</v>
      </c>
      <c r="BA207">
        <v>11105341</v>
      </c>
      <c r="BB207">
        <v>30827787</v>
      </c>
      <c r="BC207">
        <v>0</v>
      </c>
      <c r="BD207">
        <v>175109</v>
      </c>
      <c r="BE207">
        <v>60389</v>
      </c>
      <c r="BF207">
        <v>235498</v>
      </c>
      <c r="BG207">
        <v>175109</v>
      </c>
      <c r="BH207">
        <v>0</v>
      </c>
      <c r="BI207">
        <v>0</v>
      </c>
      <c r="BJ207">
        <v>0</v>
      </c>
      <c r="BK207">
        <v>0</v>
      </c>
      <c r="BL207">
        <v>2147024384</v>
      </c>
      <c r="BM207">
        <v>0</v>
      </c>
      <c r="BN207">
        <v>9891</v>
      </c>
      <c r="BO207">
        <v>6238</v>
      </c>
      <c r="BP207">
        <v>0</v>
      </c>
      <c r="BQ207">
        <v>0</v>
      </c>
      <c r="BR207">
        <v>0.82200000000000006</v>
      </c>
      <c r="BS207">
        <v>0.82200000000000006</v>
      </c>
      <c r="BT207">
        <v>1327477</v>
      </c>
      <c r="BU207">
        <v>0</v>
      </c>
      <c r="BV207">
        <v>385</v>
      </c>
      <c r="BW207">
        <v>0</v>
      </c>
      <c r="BX207">
        <v>97</v>
      </c>
      <c r="BY207">
        <v>0</v>
      </c>
      <c r="BZ207">
        <v>8</v>
      </c>
      <c r="CA207">
        <v>490</v>
      </c>
      <c r="CB207">
        <v>0</v>
      </c>
      <c r="CC207">
        <v>106.509</v>
      </c>
      <c r="CD207">
        <v>0</v>
      </c>
      <c r="CE207">
        <v>237</v>
      </c>
      <c r="CF207">
        <v>264.09800000000001</v>
      </c>
      <c r="CG207">
        <v>0</v>
      </c>
      <c r="CH207">
        <v>0</v>
      </c>
      <c r="CI207">
        <v>7</v>
      </c>
      <c r="CJ207">
        <v>63</v>
      </c>
      <c r="CK207">
        <v>0</v>
      </c>
      <c r="CL207">
        <v>0</v>
      </c>
      <c r="CM207">
        <v>144.32599999999999</v>
      </c>
      <c r="CN207">
        <v>0</v>
      </c>
      <c r="CO207">
        <v>0</v>
      </c>
      <c r="CP207">
        <v>0</v>
      </c>
      <c r="CQ207">
        <v>0</v>
      </c>
      <c r="CR207">
        <v>0</v>
      </c>
      <c r="CS207">
        <v>0</v>
      </c>
      <c r="CT207">
        <v>0</v>
      </c>
      <c r="CU207">
        <v>8.3689999999999998</v>
      </c>
      <c r="CV207">
        <v>199.30500000000001</v>
      </c>
      <c r="CW207">
        <v>99.748000000000005</v>
      </c>
      <c r="CX207">
        <v>1327477</v>
      </c>
      <c r="CY207" s="2043">
        <v>0</v>
      </c>
      <c r="CZ207" s="2043">
        <v>0</v>
      </c>
      <c r="DA207" s="2043">
        <v>0</v>
      </c>
      <c r="DB207" s="2043">
        <v>0</v>
      </c>
      <c r="DC207" s="2043">
        <v>1618343</v>
      </c>
      <c r="DI207" t="s">
        <v>2930</v>
      </c>
      <c r="DJ207" t="s">
        <v>2932</v>
      </c>
      <c r="DK207" s="2042">
        <f t="shared" si="5"/>
        <v>-2</v>
      </c>
    </row>
    <row r="208" spans="1:115">
      <c r="A208" t="s">
        <v>2930</v>
      </c>
      <c r="B208" t="s">
        <v>547</v>
      </c>
      <c r="C208">
        <v>20586.659</v>
      </c>
      <c r="D208">
        <v>21258.463</v>
      </c>
      <c r="E208">
        <v>1661.799</v>
      </c>
      <c r="F208">
        <v>0</v>
      </c>
      <c r="G208" s="2043">
        <v>16580485630</v>
      </c>
      <c r="H208">
        <v>0</v>
      </c>
      <c r="I208" s="2043">
        <v>56940153</v>
      </c>
      <c r="J208">
        <v>1029.3330000000001</v>
      </c>
      <c r="K208">
        <v>2814</v>
      </c>
      <c r="L208">
        <v>0</v>
      </c>
      <c r="M208">
        <v>0</v>
      </c>
      <c r="N208">
        <v>0</v>
      </c>
      <c r="O208">
        <v>0</v>
      </c>
      <c r="P208">
        <v>0</v>
      </c>
      <c r="Q208">
        <v>0</v>
      </c>
      <c r="R208" s="2043">
        <v>144457445</v>
      </c>
      <c r="S208">
        <v>13163909</v>
      </c>
      <c r="T208">
        <v>6400951</v>
      </c>
      <c r="U208">
        <v>0.08</v>
      </c>
      <c r="V208">
        <v>0</v>
      </c>
      <c r="W208">
        <v>0</v>
      </c>
      <c r="X208">
        <v>1519919</v>
      </c>
      <c r="Y208">
        <v>771564</v>
      </c>
      <c r="Z208">
        <v>0</v>
      </c>
      <c r="AA208">
        <v>0</v>
      </c>
      <c r="AB208">
        <v>20826.873</v>
      </c>
      <c r="AC208" s="2043">
        <v>14573420608</v>
      </c>
      <c r="AD208">
        <v>67463600</v>
      </c>
      <c r="AE208" s="2043">
        <v>164022305</v>
      </c>
      <c r="AF208">
        <v>0.99680000000000002</v>
      </c>
      <c r="AG208">
        <v>0</v>
      </c>
      <c r="AH208">
        <v>1519919</v>
      </c>
      <c r="AI208">
        <v>0</v>
      </c>
      <c r="AJ208">
        <v>844.32500000000005</v>
      </c>
      <c r="AK208">
        <v>76173</v>
      </c>
      <c r="AL208">
        <v>0.57999999999999996</v>
      </c>
      <c r="AM208">
        <v>0</v>
      </c>
      <c r="AN208">
        <v>714.98800000000006</v>
      </c>
      <c r="AO208">
        <v>0</v>
      </c>
      <c r="AP208">
        <v>0</v>
      </c>
      <c r="AQ208">
        <v>0</v>
      </c>
      <c r="AR208">
        <v>538.81400000000008</v>
      </c>
      <c r="AS208">
        <v>0</v>
      </c>
      <c r="AT208">
        <v>195.304</v>
      </c>
      <c r="AU208">
        <v>63.563000000000002</v>
      </c>
      <c r="AV208">
        <v>0</v>
      </c>
      <c r="AW208">
        <v>806.13300000000004</v>
      </c>
      <c r="AX208">
        <v>7.8720000000000008</v>
      </c>
      <c r="AY208">
        <v>2541.1750000000002</v>
      </c>
      <c r="AZ208">
        <v>0</v>
      </c>
      <c r="BA208">
        <v>21053384</v>
      </c>
      <c r="BB208">
        <v>231485905</v>
      </c>
      <c r="BC208">
        <v>0</v>
      </c>
      <c r="BD208">
        <v>404880</v>
      </c>
      <c r="BE208">
        <v>236651</v>
      </c>
      <c r="BF208">
        <v>904068</v>
      </c>
      <c r="BG208">
        <v>404880</v>
      </c>
      <c r="BH208">
        <v>262537</v>
      </c>
      <c r="BI208">
        <v>-10969</v>
      </c>
      <c r="BJ208">
        <v>0</v>
      </c>
      <c r="BK208">
        <v>0</v>
      </c>
      <c r="BL208">
        <v>16580485630</v>
      </c>
      <c r="BM208">
        <v>0</v>
      </c>
      <c r="BN208">
        <v>81954</v>
      </c>
      <c r="BO208">
        <v>29329</v>
      </c>
      <c r="BP208">
        <v>8060</v>
      </c>
      <c r="BQ208">
        <v>0</v>
      </c>
      <c r="BR208">
        <v>0.87790000000000001</v>
      </c>
      <c r="BS208">
        <v>0.87790000000000001</v>
      </c>
      <c r="BT208">
        <v>782533</v>
      </c>
      <c r="BU208">
        <v>0</v>
      </c>
      <c r="BV208">
        <v>2004</v>
      </c>
      <c r="BW208">
        <v>585</v>
      </c>
      <c r="BX208">
        <v>824</v>
      </c>
      <c r="BY208">
        <v>147</v>
      </c>
      <c r="BZ208">
        <v>36</v>
      </c>
      <c r="CA208">
        <v>3596</v>
      </c>
      <c r="CB208">
        <v>0</v>
      </c>
      <c r="CC208">
        <v>216.21800000000002</v>
      </c>
      <c r="CD208">
        <v>0</v>
      </c>
      <c r="CE208">
        <v>2178</v>
      </c>
      <c r="CF208">
        <v>2011.7850000000001</v>
      </c>
      <c r="CG208">
        <v>0</v>
      </c>
      <c r="CH208">
        <v>0</v>
      </c>
      <c r="CI208">
        <v>63</v>
      </c>
      <c r="CJ208">
        <v>540</v>
      </c>
      <c r="CK208">
        <v>11</v>
      </c>
      <c r="CL208">
        <v>0</v>
      </c>
      <c r="CM208">
        <v>1661.799</v>
      </c>
      <c r="CN208">
        <v>0</v>
      </c>
      <c r="CO208">
        <v>0</v>
      </c>
      <c r="CP208">
        <v>6810</v>
      </c>
      <c r="CQ208">
        <v>1250</v>
      </c>
      <c r="CR208">
        <v>0</v>
      </c>
      <c r="CS208">
        <v>0</v>
      </c>
      <c r="CT208">
        <v>0</v>
      </c>
      <c r="CU208">
        <v>5.54</v>
      </c>
      <c r="CV208">
        <v>828.89100000000008</v>
      </c>
      <c r="CW208">
        <v>501.03800000000001</v>
      </c>
      <c r="CX208">
        <v>782533</v>
      </c>
      <c r="CY208" s="2043">
        <v>0</v>
      </c>
      <c r="CZ208" s="2043">
        <v>0</v>
      </c>
      <c r="DA208" s="2043">
        <v>0</v>
      </c>
      <c r="DB208" s="2043">
        <v>0</v>
      </c>
      <c r="DC208" s="2043">
        <v>0</v>
      </c>
      <c r="DI208" t="s">
        <v>2931</v>
      </c>
      <c r="DJ208" t="s">
        <v>2930</v>
      </c>
      <c r="DK208" s="2042">
        <f t="shared" si="5"/>
        <v>1</v>
      </c>
    </row>
    <row r="209" spans="1:115">
      <c r="A209" t="s">
        <v>2931</v>
      </c>
      <c r="B209" t="s">
        <v>1549</v>
      </c>
      <c r="C209">
        <v>4187.058</v>
      </c>
      <c r="D209">
        <v>3810.5160000000001</v>
      </c>
      <c r="E209">
        <v>431.791</v>
      </c>
      <c r="F209">
        <v>0</v>
      </c>
      <c r="G209" s="2043">
        <v>2000530516</v>
      </c>
      <c r="H209">
        <v>0</v>
      </c>
      <c r="I209" s="2043">
        <v>9567381</v>
      </c>
      <c r="J209">
        <v>209.35300000000001</v>
      </c>
      <c r="K209">
        <v>572</v>
      </c>
      <c r="L209">
        <v>0</v>
      </c>
      <c r="M209">
        <v>2123061</v>
      </c>
      <c r="N209">
        <v>0</v>
      </c>
      <c r="O209">
        <v>2123061</v>
      </c>
      <c r="P209">
        <v>0</v>
      </c>
      <c r="Q209">
        <v>0</v>
      </c>
      <c r="R209" s="2043">
        <v>16414089</v>
      </c>
      <c r="S209">
        <v>1597478</v>
      </c>
      <c r="T209">
        <v>1164163</v>
      </c>
      <c r="U209">
        <v>0.08</v>
      </c>
      <c r="V209">
        <v>0</v>
      </c>
      <c r="W209">
        <v>0</v>
      </c>
      <c r="X209">
        <v>0</v>
      </c>
      <c r="Y209">
        <v>0</v>
      </c>
      <c r="Z209">
        <v>0</v>
      </c>
      <c r="AA209">
        <v>0.09</v>
      </c>
      <c r="AB209">
        <v>3736.5890000000004</v>
      </c>
      <c r="AC209" s="2043">
        <v>1364430179</v>
      </c>
      <c r="AD209">
        <v>9976744</v>
      </c>
      <c r="AE209" s="2043">
        <v>19175730</v>
      </c>
      <c r="AF209">
        <v>0.96030000000000004</v>
      </c>
      <c r="AG209">
        <v>0</v>
      </c>
      <c r="AH209">
        <v>0</v>
      </c>
      <c r="AI209">
        <v>0</v>
      </c>
      <c r="AJ209">
        <v>508.26300000000003</v>
      </c>
      <c r="AK209">
        <v>15996</v>
      </c>
      <c r="AL209">
        <v>1.772</v>
      </c>
      <c r="AM209">
        <v>0</v>
      </c>
      <c r="AN209">
        <v>59.346000000000004</v>
      </c>
      <c r="AO209">
        <v>0</v>
      </c>
      <c r="AP209">
        <v>0</v>
      </c>
      <c r="AQ209">
        <v>3.4090000000000003</v>
      </c>
      <c r="AR209">
        <v>137.88400000000001</v>
      </c>
      <c r="AS209">
        <v>0</v>
      </c>
      <c r="AT209">
        <v>35.177</v>
      </c>
      <c r="AU209">
        <v>14.276</v>
      </c>
      <c r="AV209">
        <v>0</v>
      </c>
      <c r="AW209">
        <v>192.518</v>
      </c>
      <c r="AX209">
        <v>0</v>
      </c>
      <c r="AY209">
        <v>599.423</v>
      </c>
      <c r="AZ209">
        <v>0</v>
      </c>
      <c r="BA209">
        <v>23545002</v>
      </c>
      <c r="BB209">
        <v>29152474</v>
      </c>
      <c r="BC209">
        <v>0</v>
      </c>
      <c r="BD209">
        <v>207756</v>
      </c>
      <c r="BE209">
        <v>77331</v>
      </c>
      <c r="BF209">
        <v>285087</v>
      </c>
      <c r="BG209">
        <v>207756</v>
      </c>
      <c r="BH209">
        <v>0</v>
      </c>
      <c r="BI209">
        <v>0</v>
      </c>
      <c r="BJ209">
        <v>0</v>
      </c>
      <c r="BK209">
        <v>0</v>
      </c>
      <c r="BL209">
        <v>2000530516</v>
      </c>
      <c r="BM209">
        <v>0</v>
      </c>
      <c r="BN209">
        <v>12636</v>
      </c>
      <c r="BO209">
        <v>9748</v>
      </c>
      <c r="BP209">
        <v>0</v>
      </c>
      <c r="BQ209">
        <v>0</v>
      </c>
      <c r="BR209">
        <v>0.82200000000000006</v>
      </c>
      <c r="BS209">
        <v>0.82200000000000006</v>
      </c>
      <c r="BT209">
        <v>0</v>
      </c>
      <c r="BU209">
        <v>0</v>
      </c>
      <c r="BV209">
        <v>2053</v>
      </c>
      <c r="BW209">
        <v>9</v>
      </c>
      <c r="BX209">
        <v>146</v>
      </c>
      <c r="BY209">
        <v>0</v>
      </c>
      <c r="BZ209">
        <v>28</v>
      </c>
      <c r="CA209">
        <v>2236</v>
      </c>
      <c r="CB209">
        <v>0</v>
      </c>
      <c r="CC209">
        <v>109.44900000000001</v>
      </c>
      <c r="CD209">
        <v>0</v>
      </c>
      <c r="CE209">
        <v>537</v>
      </c>
      <c r="CF209">
        <v>893.58500000000004</v>
      </c>
      <c r="CG209">
        <v>0</v>
      </c>
      <c r="CH209">
        <v>5.8780000000000001</v>
      </c>
      <c r="CI209">
        <v>10</v>
      </c>
      <c r="CJ209">
        <v>26</v>
      </c>
      <c r="CK209">
        <v>1</v>
      </c>
      <c r="CL209">
        <v>5.8780000000000001</v>
      </c>
      <c r="CM209">
        <v>431.791</v>
      </c>
      <c r="CN209">
        <v>0</v>
      </c>
      <c r="CO209">
        <v>0</v>
      </c>
      <c r="CP209">
        <v>0</v>
      </c>
      <c r="CQ209">
        <v>0</v>
      </c>
      <c r="CR209">
        <v>0</v>
      </c>
      <c r="CS209">
        <v>0</v>
      </c>
      <c r="CT209">
        <v>0</v>
      </c>
      <c r="CU209">
        <v>92.203000000000003</v>
      </c>
      <c r="CV209">
        <v>232.429</v>
      </c>
      <c r="CW209">
        <v>137.99</v>
      </c>
      <c r="CX209">
        <v>0</v>
      </c>
      <c r="CY209" s="2043">
        <v>0</v>
      </c>
      <c r="CZ209" s="2043">
        <v>0</v>
      </c>
      <c r="DA209" s="2043">
        <v>0</v>
      </c>
      <c r="DB209" s="2043">
        <v>0</v>
      </c>
      <c r="DC209" s="2043">
        <v>0</v>
      </c>
      <c r="DI209" t="s">
        <v>2932</v>
      </c>
      <c r="DJ209" t="s">
        <v>2931</v>
      </c>
      <c r="DK209" s="2042">
        <f t="shared" si="5"/>
        <v>1</v>
      </c>
    </row>
    <row r="210" spans="1:115">
      <c r="A210" t="s">
        <v>2933</v>
      </c>
      <c r="B210" t="s">
        <v>1593</v>
      </c>
      <c r="C210">
        <v>1893.7380000000001</v>
      </c>
      <c r="D210">
        <v>1776.6080000000002</v>
      </c>
      <c r="E210">
        <v>260.697</v>
      </c>
      <c r="F210">
        <v>0</v>
      </c>
      <c r="G210" s="2043">
        <v>865543882</v>
      </c>
      <c r="H210">
        <v>0</v>
      </c>
      <c r="I210" s="2043">
        <v>895568</v>
      </c>
      <c r="J210">
        <v>94.686999999999998</v>
      </c>
      <c r="K210">
        <v>259</v>
      </c>
      <c r="L210">
        <v>0</v>
      </c>
      <c r="M210">
        <v>172081</v>
      </c>
      <c r="N210">
        <v>0</v>
      </c>
      <c r="O210">
        <v>172081</v>
      </c>
      <c r="P210">
        <v>0</v>
      </c>
      <c r="Q210">
        <v>0</v>
      </c>
      <c r="R210" s="2043">
        <v>7086097</v>
      </c>
      <c r="S210">
        <v>689644</v>
      </c>
      <c r="T210">
        <v>502579</v>
      </c>
      <c r="U210">
        <v>0.08</v>
      </c>
      <c r="V210">
        <v>0</v>
      </c>
      <c r="W210">
        <v>0</v>
      </c>
      <c r="X210">
        <v>0</v>
      </c>
      <c r="Y210">
        <v>0</v>
      </c>
      <c r="Z210">
        <v>0.98100000000000009</v>
      </c>
      <c r="AA210">
        <v>7.9000000000000001E-2</v>
      </c>
      <c r="AB210">
        <v>1776.6080000000002</v>
      </c>
      <c r="AC210" s="2043">
        <v>627612872</v>
      </c>
      <c r="AD210">
        <v>3353584</v>
      </c>
      <c r="AE210" s="2043">
        <v>8278320</v>
      </c>
      <c r="AF210">
        <v>0.96030000000000004</v>
      </c>
      <c r="AG210">
        <v>0</v>
      </c>
      <c r="AH210">
        <v>0</v>
      </c>
      <c r="AI210">
        <v>0</v>
      </c>
      <c r="AJ210">
        <v>254.15</v>
      </c>
      <c r="AK210">
        <v>7406</v>
      </c>
      <c r="AL210">
        <v>0.19900000000000001</v>
      </c>
      <c r="AM210">
        <v>0</v>
      </c>
      <c r="AN210">
        <v>68.296000000000006</v>
      </c>
      <c r="AO210">
        <v>1.3</v>
      </c>
      <c r="AP210">
        <v>0</v>
      </c>
      <c r="AQ210">
        <v>0</v>
      </c>
      <c r="AR210">
        <v>41.082000000000001</v>
      </c>
      <c r="AS210">
        <v>0</v>
      </c>
      <c r="AT210">
        <v>22.059000000000001</v>
      </c>
      <c r="AU210">
        <v>5.2060000000000004</v>
      </c>
      <c r="AV210">
        <v>0</v>
      </c>
      <c r="AW210">
        <v>70.305999999999997</v>
      </c>
      <c r="AX210">
        <v>1.76</v>
      </c>
      <c r="AY210">
        <v>220.49600000000001</v>
      </c>
      <c r="AZ210">
        <v>0</v>
      </c>
      <c r="BA210">
        <v>11948479</v>
      </c>
      <c r="BB210">
        <v>11631904</v>
      </c>
      <c r="BC210">
        <v>0</v>
      </c>
      <c r="BD210">
        <v>121922</v>
      </c>
      <c r="BE210">
        <v>28519</v>
      </c>
      <c r="BF210">
        <v>154086</v>
      </c>
      <c r="BG210">
        <v>121922</v>
      </c>
      <c r="BH210">
        <v>3645</v>
      </c>
      <c r="BI210">
        <v>0</v>
      </c>
      <c r="BJ210">
        <v>0</v>
      </c>
      <c r="BK210">
        <v>0</v>
      </c>
      <c r="BL210">
        <v>865543882</v>
      </c>
      <c r="BM210">
        <v>0</v>
      </c>
      <c r="BN210">
        <v>6462</v>
      </c>
      <c r="BO210">
        <v>3371</v>
      </c>
      <c r="BP210">
        <v>0</v>
      </c>
      <c r="BQ210">
        <v>0</v>
      </c>
      <c r="BR210">
        <v>0.82200000000000006</v>
      </c>
      <c r="BS210">
        <v>0.82200000000000006</v>
      </c>
      <c r="BT210">
        <v>0</v>
      </c>
      <c r="BU210">
        <v>0</v>
      </c>
      <c r="BV210">
        <v>622</v>
      </c>
      <c r="BW210">
        <v>227</v>
      </c>
      <c r="BX210">
        <v>0</v>
      </c>
      <c r="BY210">
        <v>215</v>
      </c>
      <c r="BZ210">
        <v>14</v>
      </c>
      <c r="CA210">
        <v>1078</v>
      </c>
      <c r="CB210">
        <v>0</v>
      </c>
      <c r="CC210">
        <v>0</v>
      </c>
      <c r="CD210">
        <v>0</v>
      </c>
      <c r="CE210">
        <v>194</v>
      </c>
      <c r="CF210">
        <v>396.18200000000002</v>
      </c>
      <c r="CG210">
        <v>0</v>
      </c>
      <c r="CH210">
        <v>0</v>
      </c>
      <c r="CI210">
        <v>3</v>
      </c>
      <c r="CJ210">
        <v>11</v>
      </c>
      <c r="CK210">
        <v>0</v>
      </c>
      <c r="CL210">
        <v>0</v>
      </c>
      <c r="CM210">
        <v>260.697</v>
      </c>
      <c r="CN210">
        <v>0</v>
      </c>
      <c r="CO210">
        <v>0</v>
      </c>
      <c r="CP210">
        <v>0</v>
      </c>
      <c r="CQ210">
        <v>0</v>
      </c>
      <c r="CR210">
        <v>0</v>
      </c>
      <c r="CS210">
        <v>0</v>
      </c>
      <c r="CT210">
        <v>0</v>
      </c>
      <c r="CU210">
        <v>8.9240000000000013</v>
      </c>
      <c r="CV210">
        <v>171.16800000000001</v>
      </c>
      <c r="CW210">
        <v>68.585000000000008</v>
      </c>
      <c r="CX210">
        <v>0</v>
      </c>
      <c r="CY210" s="2043">
        <v>0</v>
      </c>
      <c r="CZ210" s="2043">
        <v>0</v>
      </c>
      <c r="DA210" s="2043">
        <v>0</v>
      </c>
      <c r="DB210" s="2043">
        <v>0</v>
      </c>
      <c r="DC210" s="2043">
        <v>0</v>
      </c>
      <c r="DI210" t="s">
        <v>2933</v>
      </c>
      <c r="DJ210" t="s">
        <v>2933</v>
      </c>
      <c r="DK210" s="2042">
        <f t="shared" si="5"/>
        <v>0</v>
      </c>
    </row>
    <row r="211" spans="1:115">
      <c r="A211" t="s">
        <v>2936</v>
      </c>
      <c r="B211" t="s">
        <v>608</v>
      </c>
      <c r="C211">
        <v>4634.7150000000001</v>
      </c>
      <c r="D211">
        <v>3951.7490000000003</v>
      </c>
      <c r="E211">
        <v>325.339</v>
      </c>
      <c r="F211">
        <v>0</v>
      </c>
      <c r="G211" s="2043">
        <v>2139100882</v>
      </c>
      <c r="H211">
        <v>0</v>
      </c>
      <c r="I211" s="2043">
        <v>11299801</v>
      </c>
      <c r="J211">
        <v>231.73600000000002</v>
      </c>
      <c r="K211">
        <v>634</v>
      </c>
      <c r="L211">
        <v>0</v>
      </c>
      <c r="M211">
        <v>933003</v>
      </c>
      <c r="N211">
        <v>0</v>
      </c>
      <c r="O211">
        <v>933003</v>
      </c>
      <c r="P211">
        <v>0</v>
      </c>
      <c r="Q211">
        <v>0</v>
      </c>
      <c r="R211" s="2043">
        <v>17689647</v>
      </c>
      <c r="S211">
        <v>1721620</v>
      </c>
      <c r="T211">
        <v>1254631</v>
      </c>
      <c r="U211">
        <v>0.08</v>
      </c>
      <c r="V211">
        <v>555.36</v>
      </c>
      <c r="W211">
        <v>0</v>
      </c>
      <c r="X211">
        <v>0</v>
      </c>
      <c r="Y211">
        <v>0</v>
      </c>
      <c r="Z211">
        <v>0.876</v>
      </c>
      <c r="AA211">
        <v>0</v>
      </c>
      <c r="AB211">
        <v>3951.7490000000003</v>
      </c>
      <c r="AC211" s="2043">
        <v>1277808251</v>
      </c>
      <c r="AD211">
        <v>10739202</v>
      </c>
      <c r="AE211" s="2043">
        <v>20665898</v>
      </c>
      <c r="AF211">
        <v>0.96030000000000004</v>
      </c>
      <c r="AG211">
        <v>0</v>
      </c>
      <c r="AH211">
        <v>0</v>
      </c>
      <c r="AI211">
        <v>0</v>
      </c>
      <c r="AJ211">
        <v>163.5</v>
      </c>
      <c r="AK211">
        <v>17431</v>
      </c>
      <c r="AL211">
        <v>0.39600000000000002</v>
      </c>
      <c r="AM211">
        <v>0</v>
      </c>
      <c r="AN211">
        <v>139.898</v>
      </c>
      <c r="AO211">
        <v>1</v>
      </c>
      <c r="AP211">
        <v>0.93600000000000005</v>
      </c>
      <c r="AQ211">
        <v>0</v>
      </c>
      <c r="AR211">
        <v>133.96200000000002</v>
      </c>
      <c r="AS211">
        <v>0</v>
      </c>
      <c r="AT211">
        <v>41.697000000000003</v>
      </c>
      <c r="AU211">
        <v>11.463000000000001</v>
      </c>
      <c r="AV211">
        <v>0</v>
      </c>
      <c r="AW211">
        <v>188.45400000000001</v>
      </c>
      <c r="AX211">
        <v>0</v>
      </c>
      <c r="AY211">
        <v>588.79899999999998</v>
      </c>
      <c r="AZ211">
        <v>0</v>
      </c>
      <c r="BA211">
        <v>25274073</v>
      </c>
      <c r="BB211">
        <v>31405100</v>
      </c>
      <c r="BC211">
        <v>0</v>
      </c>
      <c r="BD211">
        <v>171613</v>
      </c>
      <c r="BE211">
        <v>99978</v>
      </c>
      <c r="BF211">
        <v>271591</v>
      </c>
      <c r="BG211">
        <v>171613</v>
      </c>
      <c r="BH211">
        <v>0</v>
      </c>
      <c r="BI211">
        <v>0</v>
      </c>
      <c r="BJ211">
        <v>0</v>
      </c>
      <c r="BK211">
        <v>0</v>
      </c>
      <c r="BL211">
        <v>2139100882</v>
      </c>
      <c r="BM211">
        <v>0</v>
      </c>
      <c r="BN211">
        <v>12069</v>
      </c>
      <c r="BO211">
        <v>7597</v>
      </c>
      <c r="BP211">
        <v>0</v>
      </c>
      <c r="BQ211">
        <v>0</v>
      </c>
      <c r="BR211">
        <v>0.82200000000000006</v>
      </c>
      <c r="BS211">
        <v>0.82200000000000006</v>
      </c>
      <c r="BT211">
        <v>0</v>
      </c>
      <c r="BU211">
        <v>0</v>
      </c>
      <c r="BV211">
        <v>581</v>
      </c>
      <c r="BW211">
        <v>114</v>
      </c>
      <c r="BX211">
        <v>1</v>
      </c>
      <c r="BY211">
        <v>4</v>
      </c>
      <c r="BZ211">
        <v>16</v>
      </c>
      <c r="CA211">
        <v>716</v>
      </c>
      <c r="CB211">
        <v>0</v>
      </c>
      <c r="CC211">
        <v>0</v>
      </c>
      <c r="CD211">
        <v>0</v>
      </c>
      <c r="CE211">
        <v>420</v>
      </c>
      <c r="CF211">
        <v>382.24799999999999</v>
      </c>
      <c r="CG211">
        <v>0</v>
      </c>
      <c r="CH211">
        <v>0</v>
      </c>
      <c r="CI211">
        <v>2</v>
      </c>
      <c r="CJ211">
        <v>29</v>
      </c>
      <c r="CK211">
        <v>0</v>
      </c>
      <c r="CL211">
        <v>0</v>
      </c>
      <c r="CM211">
        <v>325.339</v>
      </c>
      <c r="CN211">
        <v>0</v>
      </c>
      <c r="CO211">
        <v>0</v>
      </c>
      <c r="CP211">
        <v>0</v>
      </c>
      <c r="CQ211">
        <v>0</v>
      </c>
      <c r="CR211">
        <v>0</v>
      </c>
      <c r="CS211">
        <v>0</v>
      </c>
      <c r="CT211">
        <v>0</v>
      </c>
      <c r="CU211">
        <v>0</v>
      </c>
      <c r="CV211">
        <v>322.613</v>
      </c>
      <c r="CW211">
        <v>99.687000000000012</v>
      </c>
      <c r="CX211">
        <v>0</v>
      </c>
      <c r="CY211" s="2043">
        <v>0</v>
      </c>
      <c r="CZ211" s="2043">
        <v>0</v>
      </c>
      <c r="DA211" s="2043">
        <v>0</v>
      </c>
      <c r="DB211" s="2043">
        <v>0</v>
      </c>
      <c r="DC211" s="2043">
        <v>4045325</v>
      </c>
      <c r="DI211" t="s">
        <v>2934</v>
      </c>
      <c r="DJ211" t="s">
        <v>2936</v>
      </c>
      <c r="DK211" s="2042">
        <f t="shared" si="5"/>
        <v>-3</v>
      </c>
    </row>
    <row r="212" spans="1:115">
      <c r="A212" t="s">
        <v>2934</v>
      </c>
      <c r="B212" t="s">
        <v>1340</v>
      </c>
      <c r="C212">
        <v>61194.896999999997</v>
      </c>
      <c r="D212">
        <v>62051.826000000001</v>
      </c>
      <c r="E212">
        <v>4545.4110000000001</v>
      </c>
      <c r="F212">
        <v>0</v>
      </c>
      <c r="G212" s="2043">
        <v>47031010416</v>
      </c>
      <c r="H212">
        <v>0</v>
      </c>
      <c r="I212" s="2043">
        <v>149793367</v>
      </c>
      <c r="J212">
        <v>3059.7450000000003</v>
      </c>
      <c r="K212">
        <v>8365</v>
      </c>
      <c r="L212">
        <v>0</v>
      </c>
      <c r="M212">
        <v>714880</v>
      </c>
      <c r="N212">
        <v>0</v>
      </c>
      <c r="O212">
        <v>714880</v>
      </c>
      <c r="P212">
        <v>0</v>
      </c>
      <c r="Q212">
        <v>0</v>
      </c>
      <c r="R212" s="2043">
        <v>396820461</v>
      </c>
      <c r="S212">
        <v>36960807</v>
      </c>
      <c r="T212">
        <v>26935188</v>
      </c>
      <c r="U212">
        <v>0.08</v>
      </c>
      <c r="V212">
        <v>807.86500000000001</v>
      </c>
      <c r="W212">
        <v>0</v>
      </c>
      <c r="X212">
        <v>5323852</v>
      </c>
      <c r="Y212">
        <v>5947387</v>
      </c>
      <c r="Z212">
        <v>0</v>
      </c>
      <c r="AA212">
        <v>0.39900000000000002</v>
      </c>
      <c r="AB212">
        <v>61742.078999999998</v>
      </c>
      <c r="AC212" s="2043">
        <v>40365469014</v>
      </c>
      <c r="AD212">
        <v>131279599</v>
      </c>
      <c r="AE212" s="2043">
        <v>460716456</v>
      </c>
      <c r="AF212">
        <v>0.99720000000000009</v>
      </c>
      <c r="AG212">
        <v>24085997</v>
      </c>
      <c r="AH212">
        <v>5323852</v>
      </c>
      <c r="AI212">
        <v>0</v>
      </c>
      <c r="AJ212">
        <v>1948.3</v>
      </c>
      <c r="AK212">
        <v>168693</v>
      </c>
      <c r="AL212">
        <v>2.3240000000000003</v>
      </c>
      <c r="AM212">
        <v>0</v>
      </c>
      <c r="AN212">
        <v>1749.825</v>
      </c>
      <c r="AO212">
        <v>2</v>
      </c>
      <c r="AP212">
        <v>15.251000000000001</v>
      </c>
      <c r="AQ212">
        <v>0.20500000000000002</v>
      </c>
      <c r="AR212">
        <v>1062.3620000000001</v>
      </c>
      <c r="AS212">
        <v>0</v>
      </c>
      <c r="AT212">
        <v>440.85900000000004</v>
      </c>
      <c r="AU212">
        <v>153.03200000000001</v>
      </c>
      <c r="AV212">
        <v>0</v>
      </c>
      <c r="AW212">
        <v>1719.46</v>
      </c>
      <c r="AX212">
        <v>45.427</v>
      </c>
      <c r="AY212">
        <v>5432.1030000000001</v>
      </c>
      <c r="AZ212">
        <v>5966996</v>
      </c>
      <c r="BA212">
        <v>99710233</v>
      </c>
      <c r="BB212">
        <v>591996055</v>
      </c>
      <c r="BC212">
        <v>0</v>
      </c>
      <c r="BD212">
        <v>719358</v>
      </c>
      <c r="BE212">
        <v>1229651</v>
      </c>
      <c r="BF212">
        <v>2718337</v>
      </c>
      <c r="BG212">
        <v>719358</v>
      </c>
      <c r="BH212">
        <v>769328</v>
      </c>
      <c r="BI212">
        <v>-19609</v>
      </c>
      <c r="BJ212">
        <v>0</v>
      </c>
      <c r="BK212">
        <v>0</v>
      </c>
      <c r="BL212">
        <v>47031010416</v>
      </c>
      <c r="BM212">
        <v>0</v>
      </c>
      <c r="BN212">
        <v>234153</v>
      </c>
      <c r="BO212">
        <v>79619</v>
      </c>
      <c r="BP212">
        <v>23105</v>
      </c>
      <c r="BQ212">
        <v>0</v>
      </c>
      <c r="BR212">
        <v>0.8589</v>
      </c>
      <c r="BS212">
        <v>0.8589</v>
      </c>
      <c r="BT212">
        <v>0</v>
      </c>
      <c r="BU212">
        <v>0</v>
      </c>
      <c r="BV212">
        <v>5687</v>
      </c>
      <c r="BW212">
        <v>1905</v>
      </c>
      <c r="BX212">
        <v>175</v>
      </c>
      <c r="BY212">
        <v>607</v>
      </c>
      <c r="BZ212">
        <v>48</v>
      </c>
      <c r="CA212">
        <v>8422</v>
      </c>
      <c r="CB212">
        <v>0</v>
      </c>
      <c r="CC212">
        <v>469.09000000000003</v>
      </c>
      <c r="CD212">
        <v>0</v>
      </c>
      <c r="CE212">
        <v>3076</v>
      </c>
      <c r="CF212">
        <v>4656.277</v>
      </c>
      <c r="CG212">
        <v>0</v>
      </c>
      <c r="CH212">
        <v>0</v>
      </c>
      <c r="CI212">
        <v>78</v>
      </c>
      <c r="CJ212">
        <v>1261</v>
      </c>
      <c r="CK212">
        <v>17</v>
      </c>
      <c r="CL212">
        <v>0</v>
      </c>
      <c r="CM212">
        <v>4545.4110000000001</v>
      </c>
      <c r="CN212">
        <v>0</v>
      </c>
      <c r="CO212">
        <v>0</v>
      </c>
      <c r="CP212">
        <v>18810</v>
      </c>
      <c r="CQ212">
        <v>4295</v>
      </c>
      <c r="CR212">
        <v>0</v>
      </c>
      <c r="CS212">
        <v>0</v>
      </c>
      <c r="CT212">
        <v>806.06600000000003</v>
      </c>
      <c r="CU212">
        <v>12.285</v>
      </c>
      <c r="CV212">
        <v>2155.0170000000003</v>
      </c>
      <c r="CW212">
        <v>731.77300000000002</v>
      </c>
      <c r="CX212">
        <v>0</v>
      </c>
      <c r="CY212" s="2043">
        <v>0</v>
      </c>
      <c r="CZ212" s="2043">
        <v>24085997</v>
      </c>
      <c r="DA212" s="2043">
        <v>0</v>
      </c>
      <c r="DB212" s="2043">
        <v>0</v>
      </c>
      <c r="DC212" s="2043">
        <v>1794062</v>
      </c>
      <c r="DI212" t="s">
        <v>2935</v>
      </c>
      <c r="DJ212" t="s">
        <v>2934</v>
      </c>
      <c r="DK212" s="2042">
        <f t="shared" si="5"/>
        <v>2</v>
      </c>
    </row>
    <row r="213" spans="1:115">
      <c r="A213" t="s">
        <v>2935</v>
      </c>
      <c r="B213" t="s">
        <v>2389</v>
      </c>
      <c r="C213">
        <v>22058.921000000002</v>
      </c>
      <c r="D213">
        <v>22921.944</v>
      </c>
      <c r="E213">
        <v>1684.5990000000002</v>
      </c>
      <c r="F213">
        <v>0</v>
      </c>
      <c r="G213" s="2043">
        <v>18754343726</v>
      </c>
      <c r="H213">
        <v>-3390354</v>
      </c>
      <c r="I213" s="2043">
        <v>39188001</v>
      </c>
      <c r="J213">
        <v>1102.9460000000001</v>
      </c>
      <c r="K213">
        <v>3015</v>
      </c>
      <c r="L213">
        <v>0</v>
      </c>
      <c r="M213">
        <v>0</v>
      </c>
      <c r="N213">
        <v>0</v>
      </c>
      <c r="O213">
        <v>0</v>
      </c>
      <c r="P213">
        <v>0</v>
      </c>
      <c r="Q213">
        <v>0</v>
      </c>
      <c r="R213" s="2043">
        <v>163063570</v>
      </c>
      <c r="S213">
        <v>15021978</v>
      </c>
      <c r="T213">
        <v>10947266</v>
      </c>
      <c r="U213">
        <v>0.08</v>
      </c>
      <c r="V213">
        <v>0</v>
      </c>
      <c r="W213">
        <v>493222</v>
      </c>
      <c r="X213">
        <v>2897132</v>
      </c>
      <c r="Y213">
        <v>-3189853</v>
      </c>
      <c r="Z213">
        <v>0</v>
      </c>
      <c r="AA213">
        <v>1.274</v>
      </c>
      <c r="AB213">
        <v>22129.013999999999</v>
      </c>
      <c r="AC213" s="2043">
        <v>16105578732</v>
      </c>
      <c r="AD213">
        <v>69517347</v>
      </c>
      <c r="AE213" s="2043">
        <v>189032814</v>
      </c>
      <c r="AF213">
        <v>1.0067000000000002</v>
      </c>
      <c r="AG213">
        <v>0</v>
      </c>
      <c r="AH213">
        <v>3390354</v>
      </c>
      <c r="AI213">
        <v>0</v>
      </c>
      <c r="AJ213">
        <v>1768.9380000000001</v>
      </c>
      <c r="AK213">
        <v>79865</v>
      </c>
      <c r="AL213">
        <v>2.0740000000000003</v>
      </c>
      <c r="AM213">
        <v>4.2560000000000002</v>
      </c>
      <c r="AN213">
        <v>600.57799999999997</v>
      </c>
      <c r="AO213">
        <v>4.3</v>
      </c>
      <c r="AP213">
        <v>0</v>
      </c>
      <c r="AQ213">
        <v>20.190000000000001</v>
      </c>
      <c r="AR213">
        <v>586.34100000000001</v>
      </c>
      <c r="AS213">
        <v>0</v>
      </c>
      <c r="AT213">
        <v>218.00300000000001</v>
      </c>
      <c r="AU213">
        <v>62.307000000000002</v>
      </c>
      <c r="AV213">
        <v>0</v>
      </c>
      <c r="AW213">
        <v>893.17100000000005</v>
      </c>
      <c r="AX213">
        <v>0</v>
      </c>
      <c r="AY213">
        <v>2747.7049999999999</v>
      </c>
      <c r="AZ213">
        <v>0</v>
      </c>
      <c r="BA213">
        <v>16162752</v>
      </c>
      <c r="BB213">
        <v>258550161</v>
      </c>
      <c r="BC213">
        <v>10204</v>
      </c>
      <c r="BD213">
        <v>1050045</v>
      </c>
      <c r="BE213">
        <v>503600</v>
      </c>
      <c r="BF213">
        <v>1563849</v>
      </c>
      <c r="BG213">
        <v>1060249</v>
      </c>
      <c r="BH213">
        <v>0</v>
      </c>
      <c r="BI213">
        <v>0</v>
      </c>
      <c r="BJ213">
        <v>-11583</v>
      </c>
      <c r="BK213">
        <v>0</v>
      </c>
      <c r="BL213">
        <v>18754343726</v>
      </c>
      <c r="BM213">
        <v>0</v>
      </c>
      <c r="BN213">
        <v>91449</v>
      </c>
      <c r="BO213">
        <v>11599</v>
      </c>
      <c r="BP213">
        <v>3890</v>
      </c>
      <c r="BQ213">
        <v>0</v>
      </c>
      <c r="BR213">
        <v>0.86840000000000006</v>
      </c>
      <c r="BS213">
        <v>0.86840000000000006</v>
      </c>
      <c r="BT213">
        <v>212085</v>
      </c>
      <c r="BU213">
        <v>0</v>
      </c>
      <c r="BV213">
        <v>3466</v>
      </c>
      <c r="BW213">
        <v>831</v>
      </c>
      <c r="BX213">
        <v>610</v>
      </c>
      <c r="BY213">
        <v>914</v>
      </c>
      <c r="BZ213">
        <v>1452</v>
      </c>
      <c r="CA213">
        <v>7273</v>
      </c>
      <c r="CB213">
        <v>0</v>
      </c>
      <c r="CC213">
        <v>1068.5330000000001</v>
      </c>
      <c r="CD213">
        <v>109.161</v>
      </c>
      <c r="CE213">
        <v>2409</v>
      </c>
      <c r="CF213">
        <v>3198.127</v>
      </c>
      <c r="CG213">
        <v>82.484999999999999</v>
      </c>
      <c r="CH213">
        <v>80.499000000000009</v>
      </c>
      <c r="CI213">
        <v>54</v>
      </c>
      <c r="CJ213">
        <v>471</v>
      </c>
      <c r="CK213">
        <v>7</v>
      </c>
      <c r="CL213">
        <v>162.98400000000001</v>
      </c>
      <c r="CM213">
        <v>1684.5990000000002</v>
      </c>
      <c r="CN213">
        <v>0</v>
      </c>
      <c r="CO213">
        <v>0</v>
      </c>
      <c r="CP213">
        <v>3890</v>
      </c>
      <c r="CQ213">
        <v>0</v>
      </c>
      <c r="CR213">
        <v>0</v>
      </c>
      <c r="CS213">
        <v>0</v>
      </c>
      <c r="CT213">
        <v>0</v>
      </c>
      <c r="CU213">
        <v>0</v>
      </c>
      <c r="CV213">
        <v>517.86099999999999</v>
      </c>
      <c r="CW213">
        <v>209.029</v>
      </c>
      <c r="CX213">
        <v>212085</v>
      </c>
      <c r="CY213" s="2043">
        <v>0</v>
      </c>
      <c r="CZ213" s="2043">
        <v>0</v>
      </c>
      <c r="DA213" s="2043">
        <v>0</v>
      </c>
      <c r="DB213" s="2043">
        <v>0</v>
      </c>
      <c r="DC213" s="2043">
        <v>0</v>
      </c>
      <c r="DI213" t="s">
        <v>2936</v>
      </c>
      <c r="DJ213" t="s">
        <v>2935</v>
      </c>
      <c r="DK213" s="2042">
        <f t="shared" si="5"/>
        <v>1</v>
      </c>
    </row>
    <row r="214" spans="1:115">
      <c r="A214" t="s">
        <v>4972</v>
      </c>
      <c r="B214" t="s">
        <v>609</v>
      </c>
      <c r="C214">
        <v>46148.027000000002</v>
      </c>
      <c r="D214">
        <v>48858.745999999999</v>
      </c>
      <c r="E214">
        <v>7783.8710000000001</v>
      </c>
      <c r="F214">
        <v>0</v>
      </c>
      <c r="G214" s="2043">
        <v>59614331570</v>
      </c>
      <c r="H214">
        <v>0</v>
      </c>
      <c r="I214" s="2043">
        <v>124641641</v>
      </c>
      <c r="J214">
        <v>2307.4010000000003</v>
      </c>
      <c r="K214">
        <v>6308</v>
      </c>
      <c r="L214">
        <v>0</v>
      </c>
      <c r="M214">
        <v>0</v>
      </c>
      <c r="N214">
        <v>0</v>
      </c>
      <c r="O214">
        <v>0</v>
      </c>
      <c r="P214">
        <v>0</v>
      </c>
      <c r="Q214">
        <v>0</v>
      </c>
      <c r="R214" s="2043">
        <v>539472034</v>
      </c>
      <c r="S214">
        <v>47249576</v>
      </c>
      <c r="T214">
        <v>34433129</v>
      </c>
      <c r="U214">
        <v>0.08</v>
      </c>
      <c r="V214">
        <v>0</v>
      </c>
      <c r="W214">
        <v>193558560</v>
      </c>
      <c r="X214">
        <v>17485540</v>
      </c>
      <c r="Y214">
        <v>-24084</v>
      </c>
      <c r="Z214">
        <v>0</v>
      </c>
      <c r="AA214">
        <v>0.65200000000000002</v>
      </c>
      <c r="AB214">
        <v>48199.048999999999</v>
      </c>
      <c r="AC214" s="2043">
        <v>56534219080</v>
      </c>
      <c r="AD214">
        <v>158655887</v>
      </c>
      <c r="AE214" s="2043">
        <v>621154739</v>
      </c>
      <c r="AF214">
        <v>1.0517000000000001</v>
      </c>
      <c r="AG214">
        <v>0</v>
      </c>
      <c r="AH214">
        <v>211044099</v>
      </c>
      <c r="AI214">
        <v>0</v>
      </c>
      <c r="AJ214">
        <v>4096.6630000000005</v>
      </c>
      <c r="AK214">
        <v>160174</v>
      </c>
      <c r="AL214">
        <v>1.881</v>
      </c>
      <c r="AM214">
        <v>0</v>
      </c>
      <c r="AN214">
        <v>1382.7240000000002</v>
      </c>
      <c r="AO214">
        <v>4</v>
      </c>
      <c r="AP214">
        <v>75.106000000000009</v>
      </c>
      <c r="AQ214">
        <v>0.25800000000000001</v>
      </c>
      <c r="AR214">
        <v>967.798</v>
      </c>
      <c r="AS214">
        <v>0</v>
      </c>
      <c r="AT214">
        <v>550.36300000000006</v>
      </c>
      <c r="AU214">
        <v>138.297</v>
      </c>
      <c r="AV214">
        <v>0</v>
      </c>
      <c r="AW214">
        <v>1740.807</v>
      </c>
      <c r="AX214">
        <v>7.1040000000000001</v>
      </c>
      <c r="AY214">
        <v>5474.4980000000005</v>
      </c>
      <c r="AZ214">
        <v>0</v>
      </c>
      <c r="BA214">
        <v>25635842</v>
      </c>
      <c r="BB214">
        <v>779810626</v>
      </c>
      <c r="BC214">
        <v>0</v>
      </c>
      <c r="BD214">
        <v>1495493</v>
      </c>
      <c r="BE214">
        <v>0</v>
      </c>
      <c r="BF214">
        <v>1890453</v>
      </c>
      <c r="BG214">
        <v>1495493</v>
      </c>
      <c r="BH214">
        <v>394960</v>
      </c>
      <c r="BI214">
        <v>-8028</v>
      </c>
      <c r="BJ214">
        <v>-16056</v>
      </c>
      <c r="BK214">
        <v>0</v>
      </c>
      <c r="BL214">
        <v>59614331570</v>
      </c>
      <c r="BM214">
        <v>0</v>
      </c>
      <c r="BN214">
        <v>181449</v>
      </c>
      <c r="BO214">
        <v>89944</v>
      </c>
      <c r="BP214">
        <v>27989</v>
      </c>
      <c r="BQ214">
        <v>0</v>
      </c>
      <c r="BR214">
        <v>0.91339999999999999</v>
      </c>
      <c r="BS214">
        <v>0.91339999999999999</v>
      </c>
      <c r="BT214">
        <v>0</v>
      </c>
      <c r="BU214">
        <v>0</v>
      </c>
      <c r="BV214">
        <v>6935</v>
      </c>
      <c r="BW214">
        <v>3342</v>
      </c>
      <c r="BX214">
        <v>2901</v>
      </c>
      <c r="BY214">
        <v>2743</v>
      </c>
      <c r="BZ214">
        <v>1081</v>
      </c>
      <c r="CA214">
        <v>17002</v>
      </c>
      <c r="CB214">
        <v>0</v>
      </c>
      <c r="CC214">
        <v>1333.693</v>
      </c>
      <c r="CD214">
        <v>0</v>
      </c>
      <c r="CE214">
        <v>2360</v>
      </c>
      <c r="CF214">
        <v>8521.1679999999997</v>
      </c>
      <c r="CG214">
        <v>0</v>
      </c>
      <c r="CH214">
        <v>1.609</v>
      </c>
      <c r="CI214">
        <v>149</v>
      </c>
      <c r="CJ214">
        <v>1433</v>
      </c>
      <c r="CK214">
        <v>23</v>
      </c>
      <c r="CL214">
        <v>1.609</v>
      </c>
      <c r="CM214">
        <v>7783.8710000000001</v>
      </c>
      <c r="CN214">
        <v>0</v>
      </c>
      <c r="CO214">
        <v>0</v>
      </c>
      <c r="CP214">
        <v>27989</v>
      </c>
      <c r="CQ214">
        <v>0</v>
      </c>
      <c r="CR214">
        <v>0</v>
      </c>
      <c r="CS214">
        <v>0</v>
      </c>
      <c r="CT214">
        <v>0</v>
      </c>
      <c r="CU214">
        <v>69.417000000000002</v>
      </c>
      <c r="CV214">
        <v>1491.3520000000001</v>
      </c>
      <c r="CW214">
        <v>956.97200000000009</v>
      </c>
      <c r="CX214">
        <v>0</v>
      </c>
      <c r="CY214" s="2043">
        <v>0</v>
      </c>
      <c r="CZ214" s="2043">
        <v>0</v>
      </c>
      <c r="DA214" s="2043">
        <v>0</v>
      </c>
      <c r="DB214" s="2043">
        <v>0</v>
      </c>
      <c r="DC214" s="2043">
        <v>5390339</v>
      </c>
      <c r="DI214" t="s">
        <v>4972</v>
      </c>
      <c r="DJ214" t="s">
        <v>4972</v>
      </c>
      <c r="DK214" s="2042">
        <f t="shared" si="5"/>
        <v>0</v>
      </c>
    </row>
    <row r="215" spans="1:115">
      <c r="A215" t="s">
        <v>2938</v>
      </c>
      <c r="B215" t="s">
        <v>1492</v>
      </c>
      <c r="C215">
        <v>20874.777999999998</v>
      </c>
      <c r="D215">
        <v>19124.25</v>
      </c>
      <c r="E215">
        <v>1173.8230000000001</v>
      </c>
      <c r="F215">
        <v>0</v>
      </c>
      <c r="G215" s="2043">
        <v>12898890544</v>
      </c>
      <c r="H215">
        <v>0</v>
      </c>
      <c r="I215" s="2043">
        <v>56653726</v>
      </c>
      <c r="J215">
        <v>1043.739</v>
      </c>
      <c r="K215">
        <v>2853</v>
      </c>
      <c r="L215">
        <v>0</v>
      </c>
      <c r="M215">
        <v>210750</v>
      </c>
      <c r="N215">
        <v>0</v>
      </c>
      <c r="O215">
        <v>210750</v>
      </c>
      <c r="P215">
        <v>0</v>
      </c>
      <c r="Q215">
        <v>0</v>
      </c>
      <c r="R215" s="2043">
        <v>105957901</v>
      </c>
      <c r="S215">
        <v>10312204</v>
      </c>
      <c r="T215">
        <v>7515019</v>
      </c>
      <c r="U215">
        <v>0.08</v>
      </c>
      <c r="V215">
        <v>2087.7200000000003</v>
      </c>
      <c r="W215">
        <v>0</v>
      </c>
      <c r="X215">
        <v>0</v>
      </c>
      <c r="Y215">
        <v>-9692</v>
      </c>
      <c r="Z215">
        <v>0</v>
      </c>
      <c r="AA215">
        <v>0</v>
      </c>
      <c r="AB215">
        <v>19100.048000000003</v>
      </c>
      <c r="AC215" s="2043">
        <v>8712301914</v>
      </c>
      <c r="AD215">
        <v>64354849</v>
      </c>
      <c r="AE215" s="2043">
        <v>123785124</v>
      </c>
      <c r="AF215">
        <v>0.96030000000000004</v>
      </c>
      <c r="AG215">
        <v>0</v>
      </c>
      <c r="AH215">
        <v>0</v>
      </c>
      <c r="AI215">
        <v>0</v>
      </c>
      <c r="AJ215">
        <v>408.16300000000001</v>
      </c>
      <c r="AK215">
        <v>58297</v>
      </c>
      <c r="AL215">
        <v>0.41100000000000003</v>
      </c>
      <c r="AM215">
        <v>0</v>
      </c>
      <c r="AN215">
        <v>551.35900000000004</v>
      </c>
      <c r="AO215">
        <v>0</v>
      </c>
      <c r="AP215">
        <v>0</v>
      </c>
      <c r="AQ215">
        <v>6.0000000000000001E-3</v>
      </c>
      <c r="AR215">
        <v>415.60500000000002</v>
      </c>
      <c r="AS215">
        <v>0</v>
      </c>
      <c r="AT215">
        <v>124.459</v>
      </c>
      <c r="AU215">
        <v>57.597000000000001</v>
      </c>
      <c r="AV215">
        <v>0</v>
      </c>
      <c r="AW215">
        <v>611.03399999999999</v>
      </c>
      <c r="AX215">
        <v>12.956000000000001</v>
      </c>
      <c r="AY215">
        <v>1940.0310000000002</v>
      </c>
      <c r="AZ215">
        <v>0</v>
      </c>
      <c r="BA215">
        <v>89111299</v>
      </c>
      <c r="BB215">
        <v>188139973</v>
      </c>
      <c r="BC215">
        <v>0</v>
      </c>
      <c r="BD215">
        <v>537510</v>
      </c>
      <c r="BE215">
        <v>521696</v>
      </c>
      <c r="BF215">
        <v>1128689</v>
      </c>
      <c r="BG215">
        <v>537510</v>
      </c>
      <c r="BH215">
        <v>69483</v>
      </c>
      <c r="BI215">
        <v>-9692</v>
      </c>
      <c r="BJ215">
        <v>0</v>
      </c>
      <c r="BK215">
        <v>0</v>
      </c>
      <c r="BL215">
        <v>12898890544</v>
      </c>
      <c r="BM215">
        <v>0</v>
      </c>
      <c r="BN215">
        <v>57177</v>
      </c>
      <c r="BO215">
        <v>19249</v>
      </c>
      <c r="BP215">
        <v>12303</v>
      </c>
      <c r="BQ215">
        <v>0</v>
      </c>
      <c r="BR215">
        <v>0.82200000000000006</v>
      </c>
      <c r="BS215">
        <v>0.82200000000000006</v>
      </c>
      <c r="BT215">
        <v>0</v>
      </c>
      <c r="BU215">
        <v>0</v>
      </c>
      <c r="BV215">
        <v>1799</v>
      </c>
      <c r="BW215">
        <v>5</v>
      </c>
      <c r="BX215">
        <v>0</v>
      </c>
      <c r="BY215">
        <v>0</v>
      </c>
      <c r="BZ215">
        <v>8</v>
      </c>
      <c r="CA215">
        <v>1812</v>
      </c>
      <c r="CB215">
        <v>0</v>
      </c>
      <c r="CC215">
        <v>131.27800000000002</v>
      </c>
      <c r="CD215">
        <v>131.596</v>
      </c>
      <c r="CE215">
        <v>1750</v>
      </c>
      <c r="CF215">
        <v>1198.652</v>
      </c>
      <c r="CG215">
        <v>0</v>
      </c>
      <c r="CH215">
        <v>0</v>
      </c>
      <c r="CI215">
        <v>16</v>
      </c>
      <c r="CJ215">
        <v>223</v>
      </c>
      <c r="CK215">
        <v>2</v>
      </c>
      <c r="CL215">
        <v>0</v>
      </c>
      <c r="CM215">
        <v>1173.8230000000001</v>
      </c>
      <c r="CN215">
        <v>0</v>
      </c>
      <c r="CO215">
        <v>0</v>
      </c>
      <c r="CP215">
        <v>12303</v>
      </c>
      <c r="CQ215">
        <v>0</v>
      </c>
      <c r="CR215">
        <v>0</v>
      </c>
      <c r="CS215">
        <v>0</v>
      </c>
      <c r="CT215">
        <v>0</v>
      </c>
      <c r="CU215">
        <v>137.72300000000001</v>
      </c>
      <c r="CV215">
        <v>791.32</v>
      </c>
      <c r="CW215">
        <v>589.72500000000002</v>
      </c>
      <c r="CX215">
        <v>0</v>
      </c>
      <c r="CY215" s="2043">
        <v>0</v>
      </c>
      <c r="CZ215" s="2043">
        <v>0</v>
      </c>
      <c r="DA215" s="2043">
        <v>0</v>
      </c>
      <c r="DB215" s="2043">
        <v>0</v>
      </c>
      <c r="DC215" s="2043">
        <v>0</v>
      </c>
      <c r="DI215" t="s">
        <v>2937</v>
      </c>
      <c r="DJ215" t="s">
        <v>2938</v>
      </c>
      <c r="DK215" s="2042">
        <f t="shared" si="5"/>
        <v>-1</v>
      </c>
    </row>
    <row r="216" spans="1:115">
      <c r="A216" t="s">
        <v>2937</v>
      </c>
      <c r="B216" t="s">
        <v>204</v>
      </c>
      <c r="C216">
        <v>6372.24</v>
      </c>
      <c r="D216">
        <v>5615.3879999999999</v>
      </c>
      <c r="E216">
        <v>1148.723</v>
      </c>
      <c r="F216">
        <v>0</v>
      </c>
      <c r="G216" s="2043">
        <v>2186363723</v>
      </c>
      <c r="H216">
        <v>0</v>
      </c>
      <c r="I216" s="2043">
        <v>10816997</v>
      </c>
      <c r="J216">
        <v>318.61200000000002</v>
      </c>
      <c r="K216">
        <v>871</v>
      </c>
      <c r="L216">
        <v>20800</v>
      </c>
      <c r="M216">
        <v>1878442</v>
      </c>
      <c r="N216">
        <v>20800</v>
      </c>
      <c r="O216">
        <v>1899242</v>
      </c>
      <c r="P216">
        <v>0</v>
      </c>
      <c r="Q216">
        <v>0</v>
      </c>
      <c r="R216" s="2043">
        <v>18019594</v>
      </c>
      <c r="S216">
        <v>1753732</v>
      </c>
      <c r="T216">
        <v>1278032</v>
      </c>
      <c r="U216">
        <v>0.08</v>
      </c>
      <c r="V216">
        <v>0</v>
      </c>
      <c r="W216">
        <v>0</v>
      </c>
      <c r="X216">
        <v>0</v>
      </c>
      <c r="Y216">
        <v>-5725</v>
      </c>
      <c r="Z216">
        <v>0</v>
      </c>
      <c r="AA216">
        <v>0.34800000000000003</v>
      </c>
      <c r="AB216">
        <v>5526.4120000000003</v>
      </c>
      <c r="AC216" s="2043">
        <v>1270355613</v>
      </c>
      <c r="AD216">
        <v>10926682</v>
      </c>
      <c r="AE216" s="2043">
        <v>21051358</v>
      </c>
      <c r="AF216">
        <v>0.96030000000000004</v>
      </c>
      <c r="AG216">
        <v>0</v>
      </c>
      <c r="AH216">
        <v>0</v>
      </c>
      <c r="AI216">
        <v>0</v>
      </c>
      <c r="AJ216">
        <v>816.63800000000003</v>
      </c>
      <c r="AK216">
        <v>23789</v>
      </c>
      <c r="AL216">
        <v>1.091</v>
      </c>
      <c r="AM216">
        <v>0</v>
      </c>
      <c r="AN216">
        <v>272.43</v>
      </c>
      <c r="AO216">
        <v>0</v>
      </c>
      <c r="AP216">
        <v>0.35700000000000004</v>
      </c>
      <c r="AQ216">
        <v>0</v>
      </c>
      <c r="AR216">
        <v>157.983</v>
      </c>
      <c r="AS216">
        <v>0</v>
      </c>
      <c r="AT216">
        <v>58.709000000000003</v>
      </c>
      <c r="AU216">
        <v>16.124000000000002</v>
      </c>
      <c r="AV216">
        <v>0</v>
      </c>
      <c r="AW216">
        <v>234.26400000000001</v>
      </c>
      <c r="AX216">
        <v>0</v>
      </c>
      <c r="AY216">
        <v>737.11500000000001</v>
      </c>
      <c r="AZ216">
        <v>0</v>
      </c>
      <c r="BA216">
        <v>45074853</v>
      </c>
      <c r="BB216">
        <v>31978040</v>
      </c>
      <c r="BC216">
        <v>0</v>
      </c>
      <c r="BD216">
        <v>279353</v>
      </c>
      <c r="BE216">
        <v>76034</v>
      </c>
      <c r="BF216">
        <v>355387</v>
      </c>
      <c r="BG216">
        <v>279353</v>
      </c>
      <c r="BH216">
        <v>0</v>
      </c>
      <c r="BI216">
        <v>0</v>
      </c>
      <c r="BJ216">
        <v>-5725</v>
      </c>
      <c r="BK216">
        <v>0</v>
      </c>
      <c r="BL216">
        <v>2186363723</v>
      </c>
      <c r="BM216">
        <v>0</v>
      </c>
      <c r="BN216">
        <v>17730</v>
      </c>
      <c r="BO216">
        <v>7212</v>
      </c>
      <c r="BP216">
        <v>0</v>
      </c>
      <c r="BQ216">
        <v>0</v>
      </c>
      <c r="BR216">
        <v>0.82200000000000006</v>
      </c>
      <c r="BS216">
        <v>0.82200000000000006</v>
      </c>
      <c r="BT216">
        <v>0</v>
      </c>
      <c r="BU216">
        <v>0</v>
      </c>
      <c r="BV216">
        <v>1092</v>
      </c>
      <c r="BW216">
        <v>1692</v>
      </c>
      <c r="BX216">
        <v>245</v>
      </c>
      <c r="BY216">
        <v>371</v>
      </c>
      <c r="BZ216">
        <v>38</v>
      </c>
      <c r="CA216">
        <v>3438</v>
      </c>
      <c r="CB216">
        <v>0</v>
      </c>
      <c r="CC216">
        <v>0.30399999999999999</v>
      </c>
      <c r="CD216">
        <v>0</v>
      </c>
      <c r="CE216">
        <v>443</v>
      </c>
      <c r="CF216">
        <v>1486.0930000000001</v>
      </c>
      <c r="CG216">
        <v>0</v>
      </c>
      <c r="CH216">
        <v>0</v>
      </c>
      <c r="CI216">
        <v>0</v>
      </c>
      <c r="CJ216">
        <v>5</v>
      </c>
      <c r="CK216">
        <v>0</v>
      </c>
      <c r="CL216">
        <v>0</v>
      </c>
      <c r="CM216">
        <v>1148.723</v>
      </c>
      <c r="CN216">
        <v>0</v>
      </c>
      <c r="CO216">
        <v>0</v>
      </c>
      <c r="CP216">
        <v>0</v>
      </c>
      <c r="CQ216">
        <v>0</v>
      </c>
      <c r="CR216">
        <v>0</v>
      </c>
      <c r="CS216">
        <v>0</v>
      </c>
      <c r="CT216">
        <v>0</v>
      </c>
      <c r="CU216">
        <v>3.0540000000000003</v>
      </c>
      <c r="CV216">
        <v>155.988</v>
      </c>
      <c r="CW216">
        <v>112.304</v>
      </c>
      <c r="CX216">
        <v>0</v>
      </c>
      <c r="CY216" s="2043">
        <v>0</v>
      </c>
      <c r="CZ216" s="2043">
        <v>0</v>
      </c>
      <c r="DA216" s="2043">
        <v>0</v>
      </c>
      <c r="DB216" s="2043">
        <v>0</v>
      </c>
      <c r="DC216" s="2043">
        <v>0</v>
      </c>
      <c r="DI216" t="s">
        <v>2938</v>
      </c>
      <c r="DJ216" t="s">
        <v>2937</v>
      </c>
      <c r="DK216" s="2042">
        <f t="shared" si="5"/>
        <v>1</v>
      </c>
    </row>
    <row r="217" spans="1:115">
      <c r="A217" t="s">
        <v>2939</v>
      </c>
      <c r="B217" t="s">
        <v>1113</v>
      </c>
      <c r="C217">
        <v>17294.199000000001</v>
      </c>
      <c r="D217">
        <v>17186.296999999999</v>
      </c>
      <c r="E217">
        <v>1706.2440000000001</v>
      </c>
      <c r="F217">
        <v>0</v>
      </c>
      <c r="G217" s="2043">
        <v>8002662506</v>
      </c>
      <c r="H217">
        <v>0</v>
      </c>
      <c r="I217" s="2043">
        <v>28313542</v>
      </c>
      <c r="J217">
        <v>864.71</v>
      </c>
      <c r="K217">
        <v>2364</v>
      </c>
      <c r="L217">
        <v>0</v>
      </c>
      <c r="M217">
        <v>2428219</v>
      </c>
      <c r="N217">
        <v>0</v>
      </c>
      <c r="O217">
        <v>2428219</v>
      </c>
      <c r="P217">
        <v>0</v>
      </c>
      <c r="Q217">
        <v>0</v>
      </c>
      <c r="R217" s="2043">
        <v>67811678</v>
      </c>
      <c r="S217">
        <v>6371033</v>
      </c>
      <c r="T217">
        <v>4642889</v>
      </c>
      <c r="U217">
        <v>0.08</v>
      </c>
      <c r="V217">
        <v>0</v>
      </c>
      <c r="W217">
        <v>0</v>
      </c>
      <c r="X217">
        <v>0</v>
      </c>
      <c r="Y217">
        <v>-13658</v>
      </c>
      <c r="Z217">
        <v>0</v>
      </c>
      <c r="AA217">
        <v>0</v>
      </c>
      <c r="AB217">
        <v>16879.311999999998</v>
      </c>
      <c r="AC217" s="2043">
        <v>6671429654</v>
      </c>
      <c r="AD217">
        <v>37414327</v>
      </c>
      <c r="AE217" s="2043">
        <v>78825600</v>
      </c>
      <c r="AF217">
        <v>0.98980000000000001</v>
      </c>
      <c r="AG217">
        <v>0</v>
      </c>
      <c r="AH217">
        <v>0</v>
      </c>
      <c r="AI217">
        <v>0</v>
      </c>
      <c r="AJ217">
        <v>1179.5630000000001</v>
      </c>
      <c r="AK217">
        <v>56389</v>
      </c>
      <c r="AL217">
        <v>1.3070000000000002</v>
      </c>
      <c r="AM217">
        <v>0</v>
      </c>
      <c r="AN217">
        <v>622.19299999999998</v>
      </c>
      <c r="AO217">
        <v>4.7</v>
      </c>
      <c r="AP217">
        <v>0.69900000000000007</v>
      </c>
      <c r="AQ217">
        <v>5.0000000000000001E-3</v>
      </c>
      <c r="AR217">
        <v>333.37100000000004</v>
      </c>
      <c r="AS217">
        <v>0</v>
      </c>
      <c r="AT217">
        <v>157.59100000000001</v>
      </c>
      <c r="AU217">
        <v>52.687000000000005</v>
      </c>
      <c r="AV217">
        <v>0</v>
      </c>
      <c r="AW217">
        <v>555.03700000000003</v>
      </c>
      <c r="AX217">
        <v>9.3770000000000007</v>
      </c>
      <c r="AY217">
        <v>1766.31</v>
      </c>
      <c r="AZ217">
        <v>0</v>
      </c>
      <c r="BA217">
        <v>84303909</v>
      </c>
      <c r="BB217">
        <v>116239927</v>
      </c>
      <c r="BC217">
        <v>0</v>
      </c>
      <c r="BD217">
        <v>728230</v>
      </c>
      <c r="BE217">
        <v>214248</v>
      </c>
      <c r="BF217">
        <v>1070431</v>
      </c>
      <c r="BG217">
        <v>728230</v>
      </c>
      <c r="BH217">
        <v>127953</v>
      </c>
      <c r="BI217">
        <v>-6829</v>
      </c>
      <c r="BJ217">
        <v>-6829</v>
      </c>
      <c r="BK217">
        <v>0</v>
      </c>
      <c r="BL217">
        <v>8002662506</v>
      </c>
      <c r="BM217">
        <v>0</v>
      </c>
      <c r="BN217">
        <v>61893</v>
      </c>
      <c r="BO217">
        <v>38916</v>
      </c>
      <c r="BP217">
        <v>6300</v>
      </c>
      <c r="BQ217">
        <v>0</v>
      </c>
      <c r="BR217">
        <v>0.85150000000000003</v>
      </c>
      <c r="BS217">
        <v>0.85150000000000003</v>
      </c>
      <c r="BT217">
        <v>0</v>
      </c>
      <c r="BU217">
        <v>0</v>
      </c>
      <c r="BV217">
        <v>3848</v>
      </c>
      <c r="BW217">
        <v>185</v>
      </c>
      <c r="BX217">
        <v>1009</v>
      </c>
      <c r="BY217">
        <v>2</v>
      </c>
      <c r="BZ217">
        <v>62</v>
      </c>
      <c r="CA217">
        <v>5106</v>
      </c>
      <c r="CB217">
        <v>0</v>
      </c>
      <c r="CC217">
        <v>432.62400000000002</v>
      </c>
      <c r="CD217">
        <v>320.16399999999999</v>
      </c>
      <c r="CE217">
        <v>1216</v>
      </c>
      <c r="CF217">
        <v>2487.2640000000001</v>
      </c>
      <c r="CG217">
        <v>105.12700000000001</v>
      </c>
      <c r="CH217">
        <v>0</v>
      </c>
      <c r="CI217">
        <v>56</v>
      </c>
      <c r="CJ217">
        <v>242</v>
      </c>
      <c r="CK217">
        <v>3</v>
      </c>
      <c r="CL217">
        <v>105.12700000000001</v>
      </c>
      <c r="CM217">
        <v>1706.2440000000001</v>
      </c>
      <c r="CN217">
        <v>0</v>
      </c>
      <c r="CO217">
        <v>6300</v>
      </c>
      <c r="CP217">
        <v>0</v>
      </c>
      <c r="CQ217">
        <v>0</v>
      </c>
      <c r="CR217">
        <v>0</v>
      </c>
      <c r="CS217">
        <v>0</v>
      </c>
      <c r="CT217">
        <v>0</v>
      </c>
      <c r="CU217">
        <v>0.316</v>
      </c>
      <c r="CV217">
        <v>523.93200000000002</v>
      </c>
      <c r="CW217">
        <v>425.66500000000002</v>
      </c>
      <c r="CX217">
        <v>0</v>
      </c>
      <c r="CY217" s="2043">
        <v>0</v>
      </c>
      <c r="CZ217" s="2043">
        <v>0</v>
      </c>
      <c r="DA217" s="2043">
        <v>0</v>
      </c>
      <c r="DB217" s="2043">
        <v>0</v>
      </c>
      <c r="DC217" s="2043">
        <v>0</v>
      </c>
      <c r="DI217" t="s">
        <v>2939</v>
      </c>
      <c r="DJ217" t="s">
        <v>2939</v>
      </c>
      <c r="DK217" s="2042">
        <f t="shared" si="5"/>
        <v>0</v>
      </c>
    </row>
    <row r="218" spans="1:115">
      <c r="A218" t="s">
        <v>2940</v>
      </c>
      <c r="B218" t="s">
        <v>831</v>
      </c>
      <c r="C218">
        <v>894.41</v>
      </c>
      <c r="D218">
        <v>908.46800000000007</v>
      </c>
      <c r="E218">
        <v>72.39200000000001</v>
      </c>
      <c r="F218">
        <v>0</v>
      </c>
      <c r="G218" s="2043">
        <v>377864536</v>
      </c>
      <c r="H218">
        <v>0</v>
      </c>
      <c r="I218" s="2043">
        <v>2029736</v>
      </c>
      <c r="J218">
        <v>44.721000000000004</v>
      </c>
      <c r="K218">
        <v>122</v>
      </c>
      <c r="L218">
        <v>0</v>
      </c>
      <c r="M218">
        <v>523477</v>
      </c>
      <c r="N218">
        <v>0</v>
      </c>
      <c r="O218">
        <v>523477</v>
      </c>
      <c r="P218">
        <v>0</v>
      </c>
      <c r="Q218">
        <v>0</v>
      </c>
      <c r="R218" s="2043">
        <v>3030339</v>
      </c>
      <c r="S218">
        <v>294924</v>
      </c>
      <c r="T218">
        <v>214925</v>
      </c>
      <c r="U218">
        <v>0.08</v>
      </c>
      <c r="V218">
        <v>426</v>
      </c>
      <c r="W218">
        <v>0</v>
      </c>
      <c r="X218">
        <v>0</v>
      </c>
      <c r="Y218">
        <v>0</v>
      </c>
      <c r="Z218">
        <v>0.77600000000000002</v>
      </c>
      <c r="AA218">
        <v>0</v>
      </c>
      <c r="AB218">
        <v>868.41399999999999</v>
      </c>
      <c r="AC218" s="2043">
        <v>259165653</v>
      </c>
      <c r="AD218">
        <v>1842910</v>
      </c>
      <c r="AE218" s="2043">
        <v>3540188</v>
      </c>
      <c r="AF218">
        <v>0.96030000000000004</v>
      </c>
      <c r="AG218">
        <v>0</v>
      </c>
      <c r="AH218">
        <v>0</v>
      </c>
      <c r="AI218">
        <v>0</v>
      </c>
      <c r="AJ218">
        <v>93.875</v>
      </c>
      <c r="AK218">
        <v>5090</v>
      </c>
      <c r="AL218">
        <v>0</v>
      </c>
      <c r="AM218">
        <v>0</v>
      </c>
      <c r="AN218">
        <v>6.2350000000000003</v>
      </c>
      <c r="AO218">
        <v>0</v>
      </c>
      <c r="AP218">
        <v>3.6860000000000004</v>
      </c>
      <c r="AQ218">
        <v>0</v>
      </c>
      <c r="AR218">
        <v>45.971000000000004</v>
      </c>
      <c r="AS218">
        <v>0</v>
      </c>
      <c r="AT218">
        <v>2.56</v>
      </c>
      <c r="AU218">
        <v>1.008</v>
      </c>
      <c r="AV218">
        <v>0</v>
      </c>
      <c r="AW218">
        <v>53.225000000000001</v>
      </c>
      <c r="AX218">
        <v>0</v>
      </c>
      <c r="AY218">
        <v>160.58500000000001</v>
      </c>
      <c r="AZ218">
        <v>0</v>
      </c>
      <c r="BA218">
        <v>8032838</v>
      </c>
      <c r="BB218">
        <v>5383098</v>
      </c>
      <c r="BC218">
        <v>0</v>
      </c>
      <c r="BD218">
        <v>51173</v>
      </c>
      <c r="BE218">
        <v>33215</v>
      </c>
      <c r="BF218">
        <v>133918</v>
      </c>
      <c r="BG218">
        <v>51173</v>
      </c>
      <c r="BH218">
        <v>49530</v>
      </c>
      <c r="BI218">
        <v>0</v>
      </c>
      <c r="BJ218">
        <v>0</v>
      </c>
      <c r="BK218">
        <v>0</v>
      </c>
      <c r="BL218">
        <v>377864536</v>
      </c>
      <c r="BM218">
        <v>0</v>
      </c>
      <c r="BN218">
        <v>3402</v>
      </c>
      <c r="BO218">
        <v>353</v>
      </c>
      <c r="BP218">
        <v>0</v>
      </c>
      <c r="BQ218">
        <v>0</v>
      </c>
      <c r="BR218">
        <v>0.82200000000000006</v>
      </c>
      <c r="BS218">
        <v>0.82200000000000006</v>
      </c>
      <c r="BT218">
        <v>0</v>
      </c>
      <c r="BU218">
        <v>0</v>
      </c>
      <c r="BV218">
        <v>92</v>
      </c>
      <c r="BW218">
        <v>286</v>
      </c>
      <c r="BX218">
        <v>21</v>
      </c>
      <c r="BY218">
        <v>0</v>
      </c>
      <c r="BZ218">
        <v>0</v>
      </c>
      <c r="CA218">
        <v>399</v>
      </c>
      <c r="CB218">
        <v>0</v>
      </c>
      <c r="CC218">
        <v>0</v>
      </c>
      <c r="CD218">
        <v>0</v>
      </c>
      <c r="CE218">
        <v>142</v>
      </c>
      <c r="CF218">
        <v>137.52600000000001</v>
      </c>
      <c r="CG218">
        <v>0</v>
      </c>
      <c r="CH218">
        <v>0</v>
      </c>
      <c r="CI218">
        <v>5</v>
      </c>
      <c r="CJ218">
        <v>6</v>
      </c>
      <c r="CK218">
        <v>0</v>
      </c>
      <c r="CL218">
        <v>0</v>
      </c>
      <c r="CM218">
        <v>72.39200000000001</v>
      </c>
      <c r="CN218">
        <v>0</v>
      </c>
      <c r="CO218">
        <v>0</v>
      </c>
      <c r="CP218">
        <v>0</v>
      </c>
      <c r="CQ218">
        <v>0</v>
      </c>
      <c r="CR218">
        <v>0</v>
      </c>
      <c r="CS218">
        <v>0</v>
      </c>
      <c r="CT218">
        <v>0</v>
      </c>
      <c r="CU218">
        <v>9.625</v>
      </c>
      <c r="CV218">
        <v>35.920999999999999</v>
      </c>
      <c r="CW218">
        <v>44.492000000000004</v>
      </c>
      <c r="CX218">
        <v>0</v>
      </c>
      <c r="CY218" s="2043">
        <v>0</v>
      </c>
      <c r="CZ218" s="2043">
        <v>0</v>
      </c>
      <c r="DA218" s="2043">
        <v>0</v>
      </c>
      <c r="DB218" s="2043">
        <v>0</v>
      </c>
      <c r="DC218" s="2043">
        <v>0</v>
      </c>
      <c r="DI218" t="s">
        <v>2940</v>
      </c>
      <c r="DJ218" t="s">
        <v>2940</v>
      </c>
      <c r="DK218" s="2042">
        <f t="shared" si="5"/>
        <v>0</v>
      </c>
    </row>
    <row r="219" spans="1:115">
      <c r="A219" t="s">
        <v>4973</v>
      </c>
      <c r="B219" t="s">
        <v>239</v>
      </c>
      <c r="C219">
        <v>4172.9710000000005</v>
      </c>
      <c r="D219">
        <v>4256.6880000000001</v>
      </c>
      <c r="E219">
        <v>44.443000000000005</v>
      </c>
      <c r="F219">
        <v>0</v>
      </c>
      <c r="G219" s="2043">
        <v>3099539061</v>
      </c>
      <c r="H219">
        <v>0</v>
      </c>
      <c r="I219" s="2043">
        <v>9893920</v>
      </c>
      <c r="J219">
        <v>208.649</v>
      </c>
      <c r="K219">
        <v>570</v>
      </c>
      <c r="L219">
        <v>0</v>
      </c>
      <c r="M219">
        <v>0</v>
      </c>
      <c r="N219">
        <v>0</v>
      </c>
      <c r="O219">
        <v>0</v>
      </c>
      <c r="P219">
        <v>0</v>
      </c>
      <c r="Q219">
        <v>0</v>
      </c>
      <c r="R219" s="2043">
        <v>26777027</v>
      </c>
      <c r="S219">
        <v>2471630</v>
      </c>
      <c r="T219">
        <v>1801201</v>
      </c>
      <c r="U219">
        <v>0.08</v>
      </c>
      <c r="V219">
        <v>0</v>
      </c>
      <c r="W219">
        <v>0</v>
      </c>
      <c r="X219">
        <v>349645</v>
      </c>
      <c r="Y219">
        <v>0</v>
      </c>
      <c r="Z219">
        <v>0</v>
      </c>
      <c r="AA219">
        <v>0</v>
      </c>
      <c r="AB219">
        <v>4256.6880000000001</v>
      </c>
      <c r="AC219" s="2043">
        <v>2750376060</v>
      </c>
      <c r="AD219">
        <v>15437747</v>
      </c>
      <c r="AE219" s="2043">
        <v>31049858</v>
      </c>
      <c r="AF219">
        <v>1.0050000000000001</v>
      </c>
      <c r="AG219">
        <v>0</v>
      </c>
      <c r="AH219">
        <v>349645</v>
      </c>
      <c r="AI219">
        <v>0</v>
      </c>
      <c r="AJ219">
        <v>41.988</v>
      </c>
      <c r="AK219">
        <v>9660</v>
      </c>
      <c r="AL219">
        <v>0.10400000000000001</v>
      </c>
      <c r="AM219">
        <v>0</v>
      </c>
      <c r="AN219">
        <v>116.474</v>
      </c>
      <c r="AO219">
        <v>0</v>
      </c>
      <c r="AP219">
        <v>0</v>
      </c>
      <c r="AQ219">
        <v>0</v>
      </c>
      <c r="AR219">
        <v>72.51100000000001</v>
      </c>
      <c r="AS219">
        <v>0</v>
      </c>
      <c r="AT219">
        <v>5.5070000000000006</v>
      </c>
      <c r="AU219">
        <v>8.8140000000000001</v>
      </c>
      <c r="AV219">
        <v>0</v>
      </c>
      <c r="AW219">
        <v>86.936000000000007</v>
      </c>
      <c r="AX219">
        <v>0</v>
      </c>
      <c r="AY219">
        <v>278.64400000000001</v>
      </c>
      <c r="AZ219">
        <v>0</v>
      </c>
      <c r="BA219">
        <v>6128519</v>
      </c>
      <c r="BB219">
        <v>46487605</v>
      </c>
      <c r="BC219">
        <v>0</v>
      </c>
      <c r="BD219">
        <v>149454</v>
      </c>
      <c r="BE219">
        <v>35982</v>
      </c>
      <c r="BF219">
        <v>185436</v>
      </c>
      <c r="BG219">
        <v>149454</v>
      </c>
      <c r="BH219">
        <v>0</v>
      </c>
      <c r="BI219">
        <v>0</v>
      </c>
      <c r="BJ219">
        <v>0</v>
      </c>
      <c r="BK219">
        <v>0</v>
      </c>
      <c r="BL219">
        <v>3099539061</v>
      </c>
      <c r="BM219">
        <v>0</v>
      </c>
      <c r="BN219">
        <v>18837</v>
      </c>
      <c r="BO219">
        <v>6998</v>
      </c>
      <c r="BP219">
        <v>0</v>
      </c>
      <c r="BQ219">
        <v>0</v>
      </c>
      <c r="BR219">
        <v>0.86670000000000003</v>
      </c>
      <c r="BS219">
        <v>0.86670000000000003</v>
      </c>
      <c r="BT219">
        <v>0</v>
      </c>
      <c r="BU219">
        <v>0</v>
      </c>
      <c r="BV219">
        <v>171</v>
      </c>
      <c r="BW219">
        <v>7</v>
      </c>
      <c r="BX219">
        <v>3</v>
      </c>
      <c r="BY219">
        <v>0</v>
      </c>
      <c r="BZ219">
        <v>4</v>
      </c>
      <c r="CA219">
        <v>185</v>
      </c>
      <c r="CB219">
        <v>0</v>
      </c>
      <c r="CC219">
        <v>0</v>
      </c>
      <c r="CD219">
        <v>0</v>
      </c>
      <c r="CE219">
        <v>297</v>
      </c>
      <c r="CF219">
        <v>54.972000000000001</v>
      </c>
      <c r="CG219">
        <v>0</v>
      </c>
      <c r="CH219">
        <v>0</v>
      </c>
      <c r="CI219">
        <v>3</v>
      </c>
      <c r="CJ219">
        <v>217</v>
      </c>
      <c r="CK219">
        <v>4</v>
      </c>
      <c r="CL219">
        <v>0</v>
      </c>
      <c r="CM219">
        <v>44.443000000000005</v>
      </c>
      <c r="CN219">
        <v>0</v>
      </c>
      <c r="CO219">
        <v>0</v>
      </c>
      <c r="CP219">
        <v>0</v>
      </c>
      <c r="CQ219">
        <v>0</v>
      </c>
      <c r="CR219">
        <v>0</v>
      </c>
      <c r="CS219">
        <v>0</v>
      </c>
      <c r="CT219">
        <v>0</v>
      </c>
      <c r="CU219">
        <v>33.934000000000005</v>
      </c>
      <c r="CV219">
        <v>264.58</v>
      </c>
      <c r="CW219">
        <v>135.059</v>
      </c>
      <c r="CX219">
        <v>0</v>
      </c>
      <c r="CY219" s="2043">
        <v>0</v>
      </c>
      <c r="CZ219" s="2043">
        <v>0</v>
      </c>
      <c r="DA219" s="2043">
        <v>0</v>
      </c>
      <c r="DB219" s="2043">
        <v>0</v>
      </c>
      <c r="DC219" s="2043">
        <v>0</v>
      </c>
      <c r="DI219" t="s">
        <v>2941</v>
      </c>
      <c r="DJ219" t="s">
        <v>4973</v>
      </c>
      <c r="DK219" s="2042">
        <f t="shared" si="5"/>
        <v>-1</v>
      </c>
    </row>
    <row r="220" spans="1:115">
      <c r="A220" t="s">
        <v>2941</v>
      </c>
      <c r="B220" t="s">
        <v>1353</v>
      </c>
      <c r="C220">
        <v>3111.1710000000003</v>
      </c>
      <c r="D220">
        <v>2571.8220000000001</v>
      </c>
      <c r="E220">
        <v>390.18200000000002</v>
      </c>
      <c r="F220">
        <v>0</v>
      </c>
      <c r="G220" s="2043">
        <v>1504540003</v>
      </c>
      <c r="H220">
        <v>0</v>
      </c>
      <c r="I220" s="2043">
        <v>6903625</v>
      </c>
      <c r="J220">
        <v>155.559</v>
      </c>
      <c r="K220">
        <v>425</v>
      </c>
      <c r="L220">
        <v>0</v>
      </c>
      <c r="M220">
        <v>605320</v>
      </c>
      <c r="N220">
        <v>0</v>
      </c>
      <c r="O220">
        <v>605320</v>
      </c>
      <c r="P220">
        <v>0</v>
      </c>
      <c r="Q220">
        <v>0</v>
      </c>
      <c r="R220" s="2043">
        <v>12454776</v>
      </c>
      <c r="S220">
        <v>1212144</v>
      </c>
      <c r="T220">
        <v>883349</v>
      </c>
      <c r="U220">
        <v>0.08</v>
      </c>
      <c r="V220">
        <v>0</v>
      </c>
      <c r="W220">
        <v>0</v>
      </c>
      <c r="X220">
        <v>0</v>
      </c>
      <c r="Y220">
        <v>0</v>
      </c>
      <c r="Z220">
        <v>0</v>
      </c>
      <c r="AA220">
        <v>0</v>
      </c>
      <c r="AB220">
        <v>2571.8220000000001</v>
      </c>
      <c r="AC220" s="2043">
        <v>965309036</v>
      </c>
      <c r="AD220">
        <v>7532014</v>
      </c>
      <c r="AE220" s="2043">
        <v>14550269</v>
      </c>
      <c r="AF220">
        <v>0.96030000000000004</v>
      </c>
      <c r="AG220">
        <v>0</v>
      </c>
      <c r="AH220">
        <v>0</v>
      </c>
      <c r="AI220">
        <v>0</v>
      </c>
      <c r="AJ220">
        <v>376.488</v>
      </c>
      <c r="AK220">
        <v>10734</v>
      </c>
      <c r="AL220">
        <v>0.51800000000000002</v>
      </c>
      <c r="AM220">
        <v>0</v>
      </c>
      <c r="AN220">
        <v>120.24900000000001</v>
      </c>
      <c r="AO220">
        <v>0</v>
      </c>
      <c r="AP220">
        <v>0</v>
      </c>
      <c r="AQ220">
        <v>0</v>
      </c>
      <c r="AR220">
        <v>71.524000000000001</v>
      </c>
      <c r="AS220">
        <v>0</v>
      </c>
      <c r="AT220">
        <v>17.400000000000002</v>
      </c>
      <c r="AU220">
        <v>7.6830000000000007</v>
      </c>
      <c r="AV220">
        <v>0</v>
      </c>
      <c r="AW220">
        <v>98.423000000000002</v>
      </c>
      <c r="AX220">
        <v>1.298</v>
      </c>
      <c r="AY220">
        <v>310.762</v>
      </c>
      <c r="AZ220">
        <v>0</v>
      </c>
      <c r="BA220">
        <v>17819292</v>
      </c>
      <c r="BB220">
        <v>22082283</v>
      </c>
      <c r="BC220">
        <v>0</v>
      </c>
      <c r="BD220">
        <v>214291</v>
      </c>
      <c r="BE220">
        <v>87711</v>
      </c>
      <c r="BF220">
        <v>418043</v>
      </c>
      <c r="BG220">
        <v>214291</v>
      </c>
      <c r="BH220">
        <v>116041</v>
      </c>
      <c r="BI220">
        <v>0</v>
      </c>
      <c r="BJ220">
        <v>0</v>
      </c>
      <c r="BK220">
        <v>0</v>
      </c>
      <c r="BL220">
        <v>1504540003</v>
      </c>
      <c r="BM220">
        <v>0</v>
      </c>
      <c r="BN220">
        <v>8460</v>
      </c>
      <c r="BO220">
        <v>5596</v>
      </c>
      <c r="BP220">
        <v>10732</v>
      </c>
      <c r="BQ220">
        <v>0</v>
      </c>
      <c r="BR220">
        <v>0.82200000000000006</v>
      </c>
      <c r="BS220">
        <v>0.82200000000000006</v>
      </c>
      <c r="BT220">
        <v>0</v>
      </c>
      <c r="BU220">
        <v>0</v>
      </c>
      <c r="BV220">
        <v>1607</v>
      </c>
      <c r="BW220">
        <v>5</v>
      </c>
      <c r="BX220">
        <v>0</v>
      </c>
      <c r="BY220">
        <v>2</v>
      </c>
      <c r="BZ220">
        <v>48</v>
      </c>
      <c r="CA220">
        <v>1662</v>
      </c>
      <c r="CB220">
        <v>0</v>
      </c>
      <c r="CC220">
        <v>277.036</v>
      </c>
      <c r="CD220">
        <v>0</v>
      </c>
      <c r="CE220">
        <v>163</v>
      </c>
      <c r="CF220">
        <v>692.32800000000009</v>
      </c>
      <c r="CG220">
        <v>0</v>
      </c>
      <c r="CH220">
        <v>0</v>
      </c>
      <c r="CI220">
        <v>4</v>
      </c>
      <c r="CJ220">
        <v>7</v>
      </c>
      <c r="CK220">
        <v>0</v>
      </c>
      <c r="CL220">
        <v>0</v>
      </c>
      <c r="CM220">
        <v>390.18200000000002</v>
      </c>
      <c r="CN220">
        <v>0</v>
      </c>
      <c r="CO220">
        <v>0</v>
      </c>
      <c r="CP220">
        <v>10732</v>
      </c>
      <c r="CQ220">
        <v>0</v>
      </c>
      <c r="CR220">
        <v>0</v>
      </c>
      <c r="CS220">
        <v>48.155000000000001</v>
      </c>
      <c r="CT220">
        <v>0</v>
      </c>
      <c r="CU220">
        <v>35.088000000000001</v>
      </c>
      <c r="CV220">
        <v>89.822000000000003</v>
      </c>
      <c r="CW220">
        <v>106.16500000000001</v>
      </c>
      <c r="CX220">
        <v>0</v>
      </c>
      <c r="CY220" s="2043">
        <v>0</v>
      </c>
      <c r="CZ220" s="2043">
        <v>0</v>
      </c>
      <c r="DA220" s="2043">
        <v>0</v>
      </c>
      <c r="DB220" s="2043">
        <v>0</v>
      </c>
      <c r="DC220" s="2043">
        <v>324199</v>
      </c>
      <c r="DI220" t="s">
        <v>4973</v>
      </c>
      <c r="DJ220" t="s">
        <v>2941</v>
      </c>
      <c r="DK220" s="2042">
        <f t="shared" si="5"/>
        <v>1</v>
      </c>
    </row>
    <row r="221" spans="1:115">
      <c r="A221" t="s">
        <v>5770</v>
      </c>
      <c r="B221" t="s">
        <v>240</v>
      </c>
      <c r="C221">
        <v>494.44100000000003</v>
      </c>
      <c r="D221">
        <v>530.346</v>
      </c>
      <c r="E221">
        <v>38.344999999999999</v>
      </c>
      <c r="F221">
        <v>0</v>
      </c>
      <c r="G221" s="2043">
        <v>209005189</v>
      </c>
      <c r="H221">
        <v>0</v>
      </c>
      <c r="I221" s="2043">
        <v>0</v>
      </c>
      <c r="J221">
        <v>14</v>
      </c>
      <c r="K221">
        <v>38</v>
      </c>
      <c r="L221">
        <v>0</v>
      </c>
      <c r="M221">
        <v>0</v>
      </c>
      <c r="N221">
        <v>0</v>
      </c>
      <c r="O221">
        <v>0</v>
      </c>
      <c r="P221">
        <v>0</v>
      </c>
      <c r="Q221">
        <v>0</v>
      </c>
      <c r="R221" s="2043">
        <v>1759662</v>
      </c>
      <c r="S221">
        <v>98261</v>
      </c>
      <c r="T221">
        <v>0</v>
      </c>
      <c r="U221">
        <v>0.05</v>
      </c>
      <c r="V221">
        <v>0</v>
      </c>
      <c r="W221">
        <v>0</v>
      </c>
      <c r="X221">
        <v>0</v>
      </c>
      <c r="Y221">
        <v>0</v>
      </c>
      <c r="Z221">
        <v>0</v>
      </c>
      <c r="AA221">
        <v>2.5000000000000001E-2</v>
      </c>
      <c r="AB221">
        <v>476.61900000000003</v>
      </c>
      <c r="AC221" s="2043">
        <v>188779528</v>
      </c>
      <c r="AD221">
        <v>0</v>
      </c>
      <c r="AE221" s="2043">
        <v>1857923</v>
      </c>
      <c r="AF221">
        <v>0.94540000000000002</v>
      </c>
      <c r="AG221">
        <v>0</v>
      </c>
      <c r="AH221">
        <v>0</v>
      </c>
      <c r="AI221">
        <v>0</v>
      </c>
      <c r="AJ221">
        <v>77.45</v>
      </c>
      <c r="AK221">
        <v>2719</v>
      </c>
      <c r="AL221">
        <v>0</v>
      </c>
      <c r="AM221">
        <v>0</v>
      </c>
      <c r="AN221">
        <v>0.45</v>
      </c>
      <c r="AO221">
        <v>0</v>
      </c>
      <c r="AP221">
        <v>0</v>
      </c>
      <c r="AQ221">
        <v>0</v>
      </c>
      <c r="AR221">
        <v>21.039000000000001</v>
      </c>
      <c r="AS221">
        <v>0</v>
      </c>
      <c r="AT221">
        <v>4.8790000000000004</v>
      </c>
      <c r="AU221">
        <v>0.754</v>
      </c>
      <c r="AV221">
        <v>0</v>
      </c>
      <c r="AW221">
        <v>26.672000000000001</v>
      </c>
      <c r="AX221">
        <v>0</v>
      </c>
      <c r="AY221">
        <v>81.524000000000001</v>
      </c>
      <c r="AZ221">
        <v>0</v>
      </c>
      <c r="BA221">
        <v>4152203</v>
      </c>
      <c r="BB221">
        <v>1857923</v>
      </c>
      <c r="BC221">
        <v>0</v>
      </c>
      <c r="BD221">
        <v>35836</v>
      </c>
      <c r="BE221">
        <v>0</v>
      </c>
      <c r="BF221">
        <v>35836</v>
      </c>
      <c r="BG221">
        <v>35836</v>
      </c>
      <c r="BH221">
        <v>0</v>
      </c>
      <c r="BI221">
        <v>0</v>
      </c>
      <c r="BJ221">
        <v>0</v>
      </c>
      <c r="BK221">
        <v>0</v>
      </c>
      <c r="BL221">
        <v>209005189</v>
      </c>
      <c r="BM221">
        <v>0</v>
      </c>
      <c r="BN221">
        <v>1440</v>
      </c>
      <c r="BO221">
        <v>803</v>
      </c>
      <c r="BP221">
        <v>0</v>
      </c>
      <c r="BQ221">
        <v>0</v>
      </c>
      <c r="BR221">
        <v>0.89540000000000008</v>
      </c>
      <c r="BS221">
        <v>0.89540000000000008</v>
      </c>
      <c r="BT221">
        <v>0</v>
      </c>
      <c r="BU221">
        <v>0</v>
      </c>
      <c r="BV221">
        <v>29</v>
      </c>
      <c r="BW221">
        <v>31</v>
      </c>
      <c r="BX221">
        <v>102</v>
      </c>
      <c r="BY221">
        <v>145</v>
      </c>
      <c r="BZ221">
        <v>0</v>
      </c>
      <c r="CA221">
        <v>307</v>
      </c>
      <c r="CB221">
        <v>0</v>
      </c>
      <c r="CC221">
        <v>0</v>
      </c>
      <c r="CD221">
        <v>0</v>
      </c>
      <c r="CE221">
        <v>13</v>
      </c>
      <c r="CF221">
        <v>75.239999999999995</v>
      </c>
      <c r="CG221">
        <v>0</v>
      </c>
      <c r="CH221">
        <v>0</v>
      </c>
      <c r="CI221">
        <v>7</v>
      </c>
      <c r="CJ221">
        <v>6</v>
      </c>
      <c r="CK221">
        <v>0</v>
      </c>
      <c r="CL221">
        <v>0</v>
      </c>
      <c r="CM221">
        <v>38.344999999999999</v>
      </c>
      <c r="CN221">
        <v>0</v>
      </c>
      <c r="CO221">
        <v>0</v>
      </c>
      <c r="CP221">
        <v>0</v>
      </c>
      <c r="CQ221">
        <v>0</v>
      </c>
      <c r="CR221">
        <v>0</v>
      </c>
      <c r="CS221">
        <v>0</v>
      </c>
      <c r="CT221">
        <v>0</v>
      </c>
      <c r="CU221">
        <v>0</v>
      </c>
      <c r="CV221">
        <v>16.661000000000001</v>
      </c>
      <c r="CW221">
        <v>10.017000000000001</v>
      </c>
      <c r="CX221">
        <v>0</v>
      </c>
      <c r="CY221" s="2043">
        <v>0</v>
      </c>
      <c r="CZ221" s="2043">
        <v>0</v>
      </c>
      <c r="DA221" s="2043">
        <v>0</v>
      </c>
      <c r="DB221" s="2043">
        <v>0</v>
      </c>
      <c r="DC221" s="2043">
        <v>0</v>
      </c>
      <c r="DI221" t="s">
        <v>5770</v>
      </c>
      <c r="DJ221" t="s">
        <v>5770</v>
      </c>
      <c r="DK221" s="2042">
        <f t="shared" si="5"/>
        <v>0</v>
      </c>
    </row>
    <row r="222" spans="1:115">
      <c r="A222" t="s">
        <v>2942</v>
      </c>
      <c r="B222" t="s">
        <v>1351</v>
      </c>
      <c r="C222">
        <v>1421.232</v>
      </c>
      <c r="D222">
        <v>1371.895</v>
      </c>
      <c r="E222">
        <v>210.80700000000002</v>
      </c>
      <c r="F222">
        <v>0</v>
      </c>
      <c r="G222" s="2043">
        <v>1477067734</v>
      </c>
      <c r="H222">
        <v>0</v>
      </c>
      <c r="I222" s="2043">
        <v>1243964</v>
      </c>
      <c r="J222">
        <v>52</v>
      </c>
      <c r="K222">
        <v>142</v>
      </c>
      <c r="L222">
        <v>0</v>
      </c>
      <c r="M222">
        <v>0</v>
      </c>
      <c r="N222">
        <v>0</v>
      </c>
      <c r="O222">
        <v>0</v>
      </c>
      <c r="P222">
        <v>0</v>
      </c>
      <c r="Q222">
        <v>0</v>
      </c>
      <c r="R222" s="2043">
        <v>12017531</v>
      </c>
      <c r="S222">
        <v>730993</v>
      </c>
      <c r="T222">
        <v>0</v>
      </c>
      <c r="U222">
        <v>0.05</v>
      </c>
      <c r="V222">
        <v>0</v>
      </c>
      <c r="W222">
        <v>0</v>
      </c>
      <c r="X222">
        <v>0</v>
      </c>
      <c r="Y222">
        <v>381122</v>
      </c>
      <c r="Z222">
        <v>0</v>
      </c>
      <c r="AA222">
        <v>0.188</v>
      </c>
      <c r="AB222">
        <v>1368.0520000000001</v>
      </c>
      <c r="AC222" s="2043">
        <v>1178555805</v>
      </c>
      <c r="AD222">
        <v>2411451</v>
      </c>
      <c r="AE222" s="2043">
        <v>12748524</v>
      </c>
      <c r="AF222">
        <v>0.872</v>
      </c>
      <c r="AG222">
        <v>0</v>
      </c>
      <c r="AH222">
        <v>0</v>
      </c>
      <c r="AI222">
        <v>0</v>
      </c>
      <c r="AJ222">
        <v>202.88800000000001</v>
      </c>
      <c r="AK222">
        <v>6031</v>
      </c>
      <c r="AL222">
        <v>0</v>
      </c>
      <c r="AM222">
        <v>0</v>
      </c>
      <c r="AN222">
        <v>113.206</v>
      </c>
      <c r="AO222">
        <v>2</v>
      </c>
      <c r="AP222">
        <v>0</v>
      </c>
      <c r="AQ222">
        <v>0</v>
      </c>
      <c r="AR222">
        <v>15.932</v>
      </c>
      <c r="AS222">
        <v>0</v>
      </c>
      <c r="AT222">
        <v>12.695</v>
      </c>
      <c r="AU222">
        <v>2.149</v>
      </c>
      <c r="AV222">
        <v>0</v>
      </c>
      <c r="AW222">
        <v>30.776</v>
      </c>
      <c r="AX222">
        <v>0</v>
      </c>
      <c r="AY222">
        <v>96.626000000000005</v>
      </c>
      <c r="AZ222">
        <v>0</v>
      </c>
      <c r="BA222">
        <v>2520190</v>
      </c>
      <c r="BB222">
        <v>15159975</v>
      </c>
      <c r="BC222">
        <v>0</v>
      </c>
      <c r="BD222">
        <v>125087</v>
      </c>
      <c r="BE222">
        <v>41642</v>
      </c>
      <c r="BF222">
        <v>166729</v>
      </c>
      <c r="BG222">
        <v>125087</v>
      </c>
      <c r="BH222">
        <v>0</v>
      </c>
      <c r="BI222">
        <v>0</v>
      </c>
      <c r="BJ222">
        <v>0</v>
      </c>
      <c r="BK222">
        <v>0</v>
      </c>
      <c r="BL222">
        <v>1477067734</v>
      </c>
      <c r="BM222">
        <v>0</v>
      </c>
      <c r="BN222">
        <v>5139</v>
      </c>
      <c r="BO222">
        <v>4537</v>
      </c>
      <c r="BP222">
        <v>6880</v>
      </c>
      <c r="BQ222">
        <v>0</v>
      </c>
      <c r="BR222">
        <v>0.82200000000000006</v>
      </c>
      <c r="BS222">
        <v>0.82200000000000006</v>
      </c>
      <c r="BT222">
        <v>381122</v>
      </c>
      <c r="BU222">
        <v>0</v>
      </c>
      <c r="BV222">
        <v>372</v>
      </c>
      <c r="BW222">
        <v>246</v>
      </c>
      <c r="BX222">
        <v>219</v>
      </c>
      <c r="BY222">
        <v>3</v>
      </c>
      <c r="BZ222">
        <v>19</v>
      </c>
      <c r="CA222">
        <v>859</v>
      </c>
      <c r="CB222">
        <v>0</v>
      </c>
      <c r="CC222">
        <v>0</v>
      </c>
      <c r="CD222">
        <v>0</v>
      </c>
      <c r="CE222">
        <v>66</v>
      </c>
      <c r="CF222">
        <v>340.43400000000003</v>
      </c>
      <c r="CG222">
        <v>7.9020000000000001</v>
      </c>
      <c r="CH222">
        <v>0</v>
      </c>
      <c r="CI222">
        <v>3</v>
      </c>
      <c r="CJ222">
        <v>23</v>
      </c>
      <c r="CK222">
        <v>0</v>
      </c>
      <c r="CL222">
        <v>7.9020000000000001</v>
      </c>
      <c r="CM222">
        <v>210.80700000000002</v>
      </c>
      <c r="CN222">
        <v>0</v>
      </c>
      <c r="CO222">
        <v>0</v>
      </c>
      <c r="CP222">
        <v>5630</v>
      </c>
      <c r="CQ222">
        <v>1250</v>
      </c>
      <c r="CR222">
        <v>0</v>
      </c>
      <c r="CS222">
        <v>0</v>
      </c>
      <c r="CT222">
        <v>0</v>
      </c>
      <c r="CU222">
        <v>15.995000000000001</v>
      </c>
      <c r="CV222">
        <v>106.586</v>
      </c>
      <c r="CW222">
        <v>59.532000000000004</v>
      </c>
      <c r="CX222">
        <v>381122</v>
      </c>
      <c r="CY222" s="2043">
        <v>0</v>
      </c>
      <c r="CZ222" s="2043">
        <v>0</v>
      </c>
      <c r="DA222" s="2043">
        <v>0</v>
      </c>
      <c r="DB222" s="2043">
        <v>0</v>
      </c>
      <c r="DC222" s="2043">
        <v>290879</v>
      </c>
      <c r="DI222" t="s">
        <v>2942</v>
      </c>
      <c r="DJ222" t="s">
        <v>2942</v>
      </c>
      <c r="DK222" s="2042">
        <f t="shared" si="5"/>
        <v>0</v>
      </c>
    </row>
    <row r="223" spans="1:115">
      <c r="A223" t="s">
        <v>4974</v>
      </c>
      <c r="B223" t="s">
        <v>552</v>
      </c>
      <c r="C223">
        <v>1165.915</v>
      </c>
      <c r="D223">
        <v>1226.8590000000002</v>
      </c>
      <c r="E223">
        <v>105.15</v>
      </c>
      <c r="F223">
        <v>0</v>
      </c>
      <c r="G223" s="2043">
        <v>973461350</v>
      </c>
      <c r="H223">
        <v>0</v>
      </c>
      <c r="I223" s="2043">
        <v>1777440</v>
      </c>
      <c r="J223">
        <v>58.295999999999999</v>
      </c>
      <c r="K223">
        <v>159</v>
      </c>
      <c r="L223">
        <v>0</v>
      </c>
      <c r="M223">
        <v>0</v>
      </c>
      <c r="N223">
        <v>0</v>
      </c>
      <c r="O223">
        <v>0</v>
      </c>
      <c r="P223">
        <v>0</v>
      </c>
      <c r="Q223">
        <v>0</v>
      </c>
      <c r="R223" s="2043">
        <v>8021272</v>
      </c>
      <c r="S223">
        <v>486197</v>
      </c>
      <c r="T223">
        <v>0</v>
      </c>
      <c r="U223">
        <v>0.05</v>
      </c>
      <c r="V223">
        <v>0</v>
      </c>
      <c r="W223">
        <v>0</v>
      </c>
      <c r="X223">
        <v>0</v>
      </c>
      <c r="Y223">
        <v>0</v>
      </c>
      <c r="Z223">
        <v>0</v>
      </c>
      <c r="AA223">
        <v>0</v>
      </c>
      <c r="AB223">
        <v>1181.9280000000001</v>
      </c>
      <c r="AC223" s="2043">
        <v>864110903</v>
      </c>
      <c r="AD223">
        <v>1898770</v>
      </c>
      <c r="AE223" s="2043">
        <v>8507469</v>
      </c>
      <c r="AF223">
        <v>0.87490000000000001</v>
      </c>
      <c r="AG223">
        <v>0</v>
      </c>
      <c r="AH223">
        <v>0</v>
      </c>
      <c r="AI223">
        <v>0</v>
      </c>
      <c r="AJ223">
        <v>238.63800000000001</v>
      </c>
      <c r="AK223">
        <v>4870</v>
      </c>
      <c r="AL223">
        <v>5.7000000000000002E-2</v>
      </c>
      <c r="AM223">
        <v>0</v>
      </c>
      <c r="AN223">
        <v>45.138000000000005</v>
      </c>
      <c r="AO223">
        <v>0</v>
      </c>
      <c r="AP223">
        <v>0.31</v>
      </c>
      <c r="AQ223">
        <v>7.7930000000000001</v>
      </c>
      <c r="AR223">
        <v>16.024000000000001</v>
      </c>
      <c r="AS223">
        <v>0</v>
      </c>
      <c r="AT223">
        <v>11.84</v>
      </c>
      <c r="AU223">
        <v>1.6960000000000002</v>
      </c>
      <c r="AV223">
        <v>0</v>
      </c>
      <c r="AW223">
        <v>37.72</v>
      </c>
      <c r="AX223">
        <v>0</v>
      </c>
      <c r="AY223">
        <v>93.194000000000003</v>
      </c>
      <c r="AZ223">
        <v>0</v>
      </c>
      <c r="BA223">
        <v>4644682</v>
      </c>
      <c r="BB223">
        <v>10406239</v>
      </c>
      <c r="BC223">
        <v>0</v>
      </c>
      <c r="BD223">
        <v>131670</v>
      </c>
      <c r="BE223">
        <v>42476</v>
      </c>
      <c r="BF223">
        <v>174146</v>
      </c>
      <c r="BG223">
        <v>131670</v>
      </c>
      <c r="BH223">
        <v>0</v>
      </c>
      <c r="BI223">
        <v>0</v>
      </c>
      <c r="BJ223">
        <v>0</v>
      </c>
      <c r="BK223">
        <v>0</v>
      </c>
      <c r="BL223">
        <v>973461350</v>
      </c>
      <c r="BM223">
        <v>0</v>
      </c>
      <c r="BN223">
        <v>4149</v>
      </c>
      <c r="BO223">
        <v>2418</v>
      </c>
      <c r="BP223">
        <v>0</v>
      </c>
      <c r="BQ223">
        <v>0</v>
      </c>
      <c r="BR223">
        <v>0.82490000000000008</v>
      </c>
      <c r="BS223">
        <v>0.82490000000000008</v>
      </c>
      <c r="BT223">
        <v>0</v>
      </c>
      <c r="BU223">
        <v>0</v>
      </c>
      <c r="BV223">
        <v>46</v>
      </c>
      <c r="BW223">
        <v>435</v>
      </c>
      <c r="BX223">
        <v>86</v>
      </c>
      <c r="BY223">
        <v>346</v>
      </c>
      <c r="BZ223">
        <v>46</v>
      </c>
      <c r="CA223">
        <v>959</v>
      </c>
      <c r="CB223">
        <v>40</v>
      </c>
      <c r="CC223">
        <v>0</v>
      </c>
      <c r="CD223">
        <v>0</v>
      </c>
      <c r="CE223">
        <v>78</v>
      </c>
      <c r="CF223">
        <v>336.20500000000004</v>
      </c>
      <c r="CG223">
        <v>63.615000000000002</v>
      </c>
      <c r="CH223">
        <v>63.615000000000002</v>
      </c>
      <c r="CI223">
        <v>2</v>
      </c>
      <c r="CJ223">
        <v>2</v>
      </c>
      <c r="CK223">
        <v>0</v>
      </c>
      <c r="CL223">
        <v>127.23</v>
      </c>
      <c r="CM223">
        <v>105.15</v>
      </c>
      <c r="CN223">
        <v>0</v>
      </c>
      <c r="CO223">
        <v>0</v>
      </c>
      <c r="CP223">
        <v>0</v>
      </c>
      <c r="CQ223">
        <v>0</v>
      </c>
      <c r="CR223">
        <v>0</v>
      </c>
      <c r="CS223">
        <v>0</v>
      </c>
      <c r="CT223">
        <v>0</v>
      </c>
      <c r="CU223">
        <v>0</v>
      </c>
      <c r="CV223">
        <v>48.266000000000005</v>
      </c>
      <c r="CW223">
        <v>29.938000000000002</v>
      </c>
      <c r="CX223">
        <v>0</v>
      </c>
      <c r="CY223" s="2043">
        <v>0</v>
      </c>
      <c r="CZ223" s="2043">
        <v>0</v>
      </c>
      <c r="DA223" s="2043">
        <v>0</v>
      </c>
      <c r="DB223" s="2043">
        <v>0</v>
      </c>
      <c r="DC223" s="2043">
        <v>0</v>
      </c>
      <c r="DI223" t="s">
        <v>4974</v>
      </c>
      <c r="DJ223" t="s">
        <v>4974</v>
      </c>
      <c r="DK223" s="2042">
        <f t="shared" si="5"/>
        <v>0</v>
      </c>
    </row>
    <row r="224" spans="1:115">
      <c r="A224" t="s">
        <v>4975</v>
      </c>
      <c r="B224" t="s">
        <v>25</v>
      </c>
      <c r="C224">
        <v>618.99300000000005</v>
      </c>
      <c r="D224">
        <v>614.90800000000002</v>
      </c>
      <c r="E224">
        <v>108.953</v>
      </c>
      <c r="F224">
        <v>0</v>
      </c>
      <c r="G224" s="2043">
        <v>443715368</v>
      </c>
      <c r="H224">
        <v>0</v>
      </c>
      <c r="I224" s="2043">
        <v>1080159</v>
      </c>
      <c r="J224">
        <v>30.95</v>
      </c>
      <c r="K224">
        <v>85</v>
      </c>
      <c r="L224">
        <v>0</v>
      </c>
      <c r="M224">
        <v>0</v>
      </c>
      <c r="N224">
        <v>0</v>
      </c>
      <c r="O224">
        <v>0</v>
      </c>
      <c r="P224">
        <v>0</v>
      </c>
      <c r="Q224">
        <v>0</v>
      </c>
      <c r="R224" s="2043">
        <v>3969814</v>
      </c>
      <c r="S224">
        <v>219667</v>
      </c>
      <c r="T224">
        <v>0</v>
      </c>
      <c r="U224">
        <v>0.05</v>
      </c>
      <c r="V224">
        <v>0</v>
      </c>
      <c r="W224">
        <v>0</v>
      </c>
      <c r="X224">
        <v>0</v>
      </c>
      <c r="Y224">
        <v>0</v>
      </c>
      <c r="Z224">
        <v>0</v>
      </c>
      <c r="AA224">
        <v>0</v>
      </c>
      <c r="AB224">
        <v>614.90800000000002</v>
      </c>
      <c r="AC224" s="2043">
        <v>410446892</v>
      </c>
      <c r="AD224">
        <v>923191</v>
      </c>
      <c r="AE224" s="2043">
        <v>4189481</v>
      </c>
      <c r="AF224">
        <v>0.9536</v>
      </c>
      <c r="AG224">
        <v>0</v>
      </c>
      <c r="AH224">
        <v>0</v>
      </c>
      <c r="AI224">
        <v>0</v>
      </c>
      <c r="AJ224">
        <v>90.45</v>
      </c>
      <c r="AK224">
        <v>2831</v>
      </c>
      <c r="AL224">
        <v>0</v>
      </c>
      <c r="AM224">
        <v>0</v>
      </c>
      <c r="AN224">
        <v>25.151</v>
      </c>
      <c r="AO224">
        <v>0</v>
      </c>
      <c r="AP224">
        <v>0</v>
      </c>
      <c r="AQ224">
        <v>0</v>
      </c>
      <c r="AR224">
        <v>14.731</v>
      </c>
      <c r="AS224">
        <v>0</v>
      </c>
      <c r="AT224">
        <v>2.6340000000000003</v>
      </c>
      <c r="AU224">
        <v>1.3210000000000002</v>
      </c>
      <c r="AV224">
        <v>0</v>
      </c>
      <c r="AW224">
        <v>18.686</v>
      </c>
      <c r="AX224">
        <v>0</v>
      </c>
      <c r="AY224">
        <v>58.7</v>
      </c>
      <c r="AZ224">
        <v>0</v>
      </c>
      <c r="BA224">
        <v>3586885</v>
      </c>
      <c r="BB224">
        <v>5112672</v>
      </c>
      <c r="BC224">
        <v>0</v>
      </c>
      <c r="BD224">
        <v>50547</v>
      </c>
      <c r="BE224">
        <v>789</v>
      </c>
      <c r="BF224">
        <v>51336</v>
      </c>
      <c r="BG224">
        <v>50547</v>
      </c>
      <c r="BH224">
        <v>0</v>
      </c>
      <c r="BI224">
        <v>0</v>
      </c>
      <c r="BJ224">
        <v>0</v>
      </c>
      <c r="BK224">
        <v>0</v>
      </c>
      <c r="BL224">
        <v>443715368</v>
      </c>
      <c r="BM224">
        <v>0</v>
      </c>
      <c r="BN224">
        <v>1935</v>
      </c>
      <c r="BO224">
        <v>2033</v>
      </c>
      <c r="BP224">
        <v>0</v>
      </c>
      <c r="BQ224">
        <v>0</v>
      </c>
      <c r="BR224">
        <v>0.90360000000000007</v>
      </c>
      <c r="BS224">
        <v>0.90360000000000007</v>
      </c>
      <c r="BT224">
        <v>0</v>
      </c>
      <c r="BU224">
        <v>0</v>
      </c>
      <c r="BV224">
        <v>49</v>
      </c>
      <c r="BW224">
        <v>314</v>
      </c>
      <c r="BX224">
        <v>4</v>
      </c>
      <c r="BY224">
        <v>0</v>
      </c>
      <c r="BZ224">
        <v>14</v>
      </c>
      <c r="CA224">
        <v>381</v>
      </c>
      <c r="CB224">
        <v>0</v>
      </c>
      <c r="CC224">
        <v>0</v>
      </c>
      <c r="CD224">
        <v>0</v>
      </c>
      <c r="CE224">
        <v>30</v>
      </c>
      <c r="CF224">
        <v>136.40800000000002</v>
      </c>
      <c r="CG224">
        <v>0</v>
      </c>
      <c r="CH224">
        <v>0</v>
      </c>
      <c r="CI224">
        <v>13</v>
      </c>
      <c r="CJ224">
        <v>23</v>
      </c>
      <c r="CK224">
        <v>1</v>
      </c>
      <c r="CL224">
        <v>0</v>
      </c>
      <c r="CM224">
        <v>108.953</v>
      </c>
      <c r="CN224">
        <v>0</v>
      </c>
      <c r="CO224">
        <v>0</v>
      </c>
      <c r="CP224">
        <v>0</v>
      </c>
      <c r="CQ224">
        <v>0</v>
      </c>
      <c r="CR224">
        <v>0</v>
      </c>
      <c r="CS224">
        <v>0</v>
      </c>
      <c r="CT224">
        <v>0</v>
      </c>
      <c r="CU224">
        <v>0</v>
      </c>
      <c r="CV224">
        <v>38.602000000000004</v>
      </c>
      <c r="CW224">
        <v>28.054000000000002</v>
      </c>
      <c r="CX224">
        <v>0</v>
      </c>
      <c r="CY224" s="2043">
        <v>0</v>
      </c>
      <c r="CZ224" s="2043">
        <v>0</v>
      </c>
      <c r="DA224" s="2043">
        <v>0</v>
      </c>
      <c r="DB224" s="2043">
        <v>0</v>
      </c>
      <c r="DC224" s="2043">
        <v>0</v>
      </c>
      <c r="DI224" t="s">
        <v>4975</v>
      </c>
      <c r="DJ224" t="s">
        <v>4975</v>
      </c>
      <c r="DK224" s="2042">
        <f t="shared" si="5"/>
        <v>0</v>
      </c>
    </row>
    <row r="225" spans="1:115">
      <c r="A225" t="s">
        <v>7950</v>
      </c>
      <c r="B225" t="s">
        <v>11266</v>
      </c>
      <c r="C225">
        <v>319.58</v>
      </c>
      <c r="D225">
        <v>396.68299999999999</v>
      </c>
      <c r="E225">
        <v>18.213000000000001</v>
      </c>
      <c r="F225">
        <v>0</v>
      </c>
      <c r="G225" s="2043">
        <v>0</v>
      </c>
      <c r="H225">
        <v>0</v>
      </c>
      <c r="I225" s="2043">
        <v>0</v>
      </c>
      <c r="J225">
        <v>0</v>
      </c>
      <c r="K225">
        <v>0</v>
      </c>
      <c r="L225">
        <v>0</v>
      </c>
      <c r="M225">
        <v>0</v>
      </c>
      <c r="N225">
        <v>0</v>
      </c>
      <c r="O225">
        <v>0</v>
      </c>
      <c r="P225">
        <v>0</v>
      </c>
      <c r="Q225">
        <v>0</v>
      </c>
      <c r="R225" s="2043">
        <v>0</v>
      </c>
      <c r="S225">
        <v>0</v>
      </c>
      <c r="T225">
        <v>0</v>
      </c>
      <c r="U225">
        <v>0</v>
      </c>
      <c r="V225">
        <v>0</v>
      </c>
      <c r="W225">
        <v>0</v>
      </c>
      <c r="X225">
        <v>0</v>
      </c>
      <c r="Y225">
        <v>56496</v>
      </c>
      <c r="Z225">
        <v>0</v>
      </c>
      <c r="AA225">
        <v>0</v>
      </c>
      <c r="AB225">
        <v>396.68299999999999</v>
      </c>
      <c r="AC225" s="2043">
        <v>0</v>
      </c>
      <c r="AD225">
        <v>0</v>
      </c>
      <c r="AE225" s="2043">
        <v>0</v>
      </c>
      <c r="AF225">
        <v>0</v>
      </c>
      <c r="AG225">
        <v>0</v>
      </c>
      <c r="AH225">
        <v>0</v>
      </c>
      <c r="AI225">
        <v>0</v>
      </c>
      <c r="AJ225">
        <v>95.425000000000011</v>
      </c>
      <c r="AK225">
        <v>10418</v>
      </c>
      <c r="AL225">
        <v>0</v>
      </c>
      <c r="AM225">
        <v>0</v>
      </c>
      <c r="AN225">
        <v>0.28100000000000003</v>
      </c>
      <c r="AO225">
        <v>0</v>
      </c>
      <c r="AP225">
        <v>0</v>
      </c>
      <c r="AQ225">
        <v>114.423</v>
      </c>
      <c r="AR225">
        <v>0</v>
      </c>
      <c r="AS225">
        <v>0</v>
      </c>
      <c r="AT225">
        <v>0</v>
      </c>
      <c r="AU225">
        <v>0.40200000000000002</v>
      </c>
      <c r="AV225">
        <v>0</v>
      </c>
      <c r="AW225">
        <v>114.825</v>
      </c>
      <c r="AX225">
        <v>0</v>
      </c>
      <c r="AY225">
        <v>2.0100000000000002</v>
      </c>
      <c r="AZ225">
        <v>0</v>
      </c>
      <c r="BA225">
        <v>5787320</v>
      </c>
      <c r="BB225">
        <v>0</v>
      </c>
      <c r="BC225">
        <v>0</v>
      </c>
      <c r="BD225">
        <v>0</v>
      </c>
      <c r="BE225">
        <v>0</v>
      </c>
      <c r="BF225">
        <v>0</v>
      </c>
      <c r="BG225">
        <v>0</v>
      </c>
      <c r="BH225">
        <v>0</v>
      </c>
      <c r="BI225">
        <v>0</v>
      </c>
      <c r="BJ225">
        <v>0</v>
      </c>
      <c r="BK225">
        <v>0</v>
      </c>
      <c r="BL225">
        <v>0</v>
      </c>
      <c r="BM225">
        <v>0</v>
      </c>
      <c r="BN225">
        <v>3816</v>
      </c>
      <c r="BO225">
        <v>171</v>
      </c>
      <c r="BP225">
        <v>0</v>
      </c>
      <c r="BQ225">
        <v>0</v>
      </c>
      <c r="BR225">
        <v>0</v>
      </c>
      <c r="BS225">
        <v>0</v>
      </c>
      <c r="BT225">
        <v>0</v>
      </c>
      <c r="BU225">
        <v>0</v>
      </c>
      <c r="BV225">
        <v>0</v>
      </c>
      <c r="BW225">
        <v>0</v>
      </c>
      <c r="BX225">
        <v>0</v>
      </c>
      <c r="BY225">
        <v>0</v>
      </c>
      <c r="BZ225">
        <v>347</v>
      </c>
      <c r="CA225">
        <v>347</v>
      </c>
      <c r="CB225">
        <v>0</v>
      </c>
      <c r="CC225">
        <v>0</v>
      </c>
      <c r="CD225">
        <v>0</v>
      </c>
      <c r="CE225">
        <v>25</v>
      </c>
      <c r="CF225">
        <v>0</v>
      </c>
      <c r="CG225">
        <v>273.82</v>
      </c>
      <c r="CH225">
        <v>319.30700000000002</v>
      </c>
      <c r="CI225">
        <v>0</v>
      </c>
      <c r="CJ225">
        <v>0</v>
      </c>
      <c r="CK225">
        <v>0</v>
      </c>
      <c r="CL225">
        <v>593.12700000000007</v>
      </c>
      <c r="CM225">
        <v>18.213000000000001</v>
      </c>
      <c r="CN225">
        <v>0</v>
      </c>
      <c r="CO225">
        <v>0</v>
      </c>
      <c r="CP225">
        <v>0</v>
      </c>
      <c r="CQ225">
        <v>0</v>
      </c>
      <c r="CR225">
        <v>0</v>
      </c>
      <c r="CS225">
        <v>0</v>
      </c>
      <c r="CT225">
        <v>0</v>
      </c>
      <c r="CU225">
        <v>4.9180000000000001</v>
      </c>
      <c r="CV225">
        <v>2.4690000000000003</v>
      </c>
      <c r="CW225">
        <v>4.0380000000000003</v>
      </c>
      <c r="CX225">
        <v>0</v>
      </c>
      <c r="CY225" s="2043">
        <v>0</v>
      </c>
      <c r="CZ225" s="2043">
        <v>0</v>
      </c>
      <c r="DA225" s="2043">
        <v>0</v>
      </c>
      <c r="DB225" s="2043">
        <v>0</v>
      </c>
      <c r="DC225" s="2043">
        <v>0</v>
      </c>
      <c r="DI225" t="s">
        <v>7950</v>
      </c>
      <c r="DJ225" t="s">
        <v>7950</v>
      </c>
      <c r="DK225" s="2042">
        <f t="shared" si="5"/>
        <v>0</v>
      </c>
    </row>
    <row r="226" spans="1:115">
      <c r="A226" t="s">
        <v>2943</v>
      </c>
      <c r="B226" t="s">
        <v>26</v>
      </c>
      <c r="C226">
        <v>8947.3010000000013</v>
      </c>
      <c r="D226">
        <v>9163.3610000000008</v>
      </c>
      <c r="E226">
        <v>440.25400000000002</v>
      </c>
      <c r="F226">
        <v>0</v>
      </c>
      <c r="G226" s="2043">
        <v>7454487667</v>
      </c>
      <c r="H226">
        <v>0</v>
      </c>
      <c r="I226" s="2043">
        <v>22336787</v>
      </c>
      <c r="J226">
        <v>447.36500000000001</v>
      </c>
      <c r="K226">
        <v>1223</v>
      </c>
      <c r="L226">
        <v>0</v>
      </c>
      <c r="M226">
        <v>1200408</v>
      </c>
      <c r="N226">
        <v>0</v>
      </c>
      <c r="O226">
        <v>1200408</v>
      </c>
      <c r="P226">
        <v>0</v>
      </c>
      <c r="Q226">
        <v>0</v>
      </c>
      <c r="R226" s="2043">
        <v>56893069</v>
      </c>
      <c r="S226">
        <v>3460649</v>
      </c>
      <c r="T226">
        <v>0</v>
      </c>
      <c r="U226">
        <v>0.05</v>
      </c>
      <c r="V226">
        <v>1408.173</v>
      </c>
      <c r="W226">
        <v>0</v>
      </c>
      <c r="X226">
        <v>0</v>
      </c>
      <c r="Y226">
        <v>2759490</v>
      </c>
      <c r="Z226">
        <v>0</v>
      </c>
      <c r="AA226">
        <v>0.311</v>
      </c>
      <c r="AB226">
        <v>8932.6859999999997</v>
      </c>
      <c r="AC226" s="2043">
        <v>5414430348</v>
      </c>
      <c r="AD226">
        <v>22527621</v>
      </c>
      <c r="AE226" s="2043">
        <v>60353718</v>
      </c>
      <c r="AF226">
        <v>0.872</v>
      </c>
      <c r="AG226">
        <v>0</v>
      </c>
      <c r="AH226">
        <v>0</v>
      </c>
      <c r="AI226">
        <v>0</v>
      </c>
      <c r="AJ226">
        <v>840.85</v>
      </c>
      <c r="AK226">
        <v>27630</v>
      </c>
      <c r="AL226">
        <v>0.56400000000000006</v>
      </c>
      <c r="AM226">
        <v>0</v>
      </c>
      <c r="AN226">
        <v>273.346</v>
      </c>
      <c r="AO226">
        <v>1</v>
      </c>
      <c r="AP226">
        <v>8.9909999999999997</v>
      </c>
      <c r="AQ226">
        <v>1.9320000000000002</v>
      </c>
      <c r="AR226">
        <v>200.83200000000002</v>
      </c>
      <c r="AS226">
        <v>0</v>
      </c>
      <c r="AT226">
        <v>59.788000000000004</v>
      </c>
      <c r="AU226">
        <v>17.45</v>
      </c>
      <c r="AV226">
        <v>0</v>
      </c>
      <c r="AW226">
        <v>289.55700000000002</v>
      </c>
      <c r="AX226">
        <v>0</v>
      </c>
      <c r="AY226">
        <v>896.20600000000002</v>
      </c>
      <c r="AZ226">
        <v>0</v>
      </c>
      <c r="BA226">
        <v>15790241</v>
      </c>
      <c r="BB226">
        <v>82881339</v>
      </c>
      <c r="BC226">
        <v>0</v>
      </c>
      <c r="BD226">
        <v>478132</v>
      </c>
      <c r="BE226">
        <v>109152</v>
      </c>
      <c r="BF226">
        <v>630036</v>
      </c>
      <c r="BG226">
        <v>478132</v>
      </c>
      <c r="BH226">
        <v>42752</v>
      </c>
      <c r="BI226">
        <v>0</v>
      </c>
      <c r="BJ226">
        <v>-18507</v>
      </c>
      <c r="BK226">
        <v>0</v>
      </c>
      <c r="BL226">
        <v>7454487667</v>
      </c>
      <c r="BM226">
        <v>0</v>
      </c>
      <c r="BN226">
        <v>29952</v>
      </c>
      <c r="BO226">
        <v>19592</v>
      </c>
      <c r="BP226">
        <v>0</v>
      </c>
      <c r="BQ226">
        <v>0</v>
      </c>
      <c r="BR226">
        <v>0.82200000000000006</v>
      </c>
      <c r="BS226">
        <v>0.82200000000000006</v>
      </c>
      <c r="BT226">
        <v>2777997</v>
      </c>
      <c r="BU226">
        <v>0</v>
      </c>
      <c r="BV226">
        <v>1681</v>
      </c>
      <c r="BW226">
        <v>619</v>
      </c>
      <c r="BX226">
        <v>562</v>
      </c>
      <c r="BY226">
        <v>445</v>
      </c>
      <c r="BZ226">
        <v>212</v>
      </c>
      <c r="CA226">
        <v>3519</v>
      </c>
      <c r="CB226">
        <v>0</v>
      </c>
      <c r="CC226">
        <v>327.98599999999999</v>
      </c>
      <c r="CD226">
        <v>202.28</v>
      </c>
      <c r="CE226">
        <v>587</v>
      </c>
      <c r="CF226">
        <v>1404.06</v>
      </c>
      <c r="CG226">
        <v>59.736000000000004</v>
      </c>
      <c r="CH226">
        <v>2.9420000000000002</v>
      </c>
      <c r="CI226">
        <v>3</v>
      </c>
      <c r="CJ226">
        <v>84</v>
      </c>
      <c r="CK226">
        <v>2</v>
      </c>
      <c r="CL226">
        <v>62.678000000000004</v>
      </c>
      <c r="CM226">
        <v>440.25400000000002</v>
      </c>
      <c r="CN226">
        <v>0</v>
      </c>
      <c r="CO226">
        <v>0</v>
      </c>
      <c r="CP226">
        <v>0</v>
      </c>
      <c r="CQ226">
        <v>0</v>
      </c>
      <c r="CR226">
        <v>0</v>
      </c>
      <c r="CS226">
        <v>0</v>
      </c>
      <c r="CT226">
        <v>0</v>
      </c>
      <c r="CU226">
        <v>0.28900000000000003</v>
      </c>
      <c r="CV226">
        <v>276.339</v>
      </c>
      <c r="CW226">
        <v>187.78200000000001</v>
      </c>
      <c r="CX226">
        <v>2777997</v>
      </c>
      <c r="CY226" s="2043">
        <v>0</v>
      </c>
      <c r="CZ226" s="2043">
        <v>0</v>
      </c>
      <c r="DA226" s="2043">
        <v>0</v>
      </c>
      <c r="DB226" s="2043">
        <v>0</v>
      </c>
      <c r="DC226" s="2043">
        <v>927480</v>
      </c>
      <c r="DI226" t="s">
        <v>2943</v>
      </c>
      <c r="DJ226" t="s">
        <v>2943</v>
      </c>
      <c r="DK226" s="2042">
        <f t="shared" si="5"/>
        <v>0</v>
      </c>
    </row>
    <row r="227" spans="1:115">
      <c r="A227" t="s">
        <v>4976</v>
      </c>
      <c r="B227" t="s">
        <v>1191</v>
      </c>
      <c r="C227">
        <v>25709.332000000002</v>
      </c>
      <c r="D227">
        <v>24824.588</v>
      </c>
      <c r="E227">
        <v>895.01600000000008</v>
      </c>
      <c r="F227">
        <v>0</v>
      </c>
      <c r="G227" s="2043">
        <v>24780914401</v>
      </c>
      <c r="H227">
        <v>0</v>
      </c>
      <c r="I227" s="2043">
        <v>54256213</v>
      </c>
      <c r="J227">
        <v>1285.4670000000001</v>
      </c>
      <c r="K227">
        <v>3514</v>
      </c>
      <c r="L227">
        <v>0</v>
      </c>
      <c r="M227">
        <v>0</v>
      </c>
      <c r="N227">
        <v>0</v>
      </c>
      <c r="O227">
        <v>0</v>
      </c>
      <c r="P227">
        <v>0</v>
      </c>
      <c r="Q227">
        <v>0</v>
      </c>
      <c r="R227" s="2043">
        <v>173178331</v>
      </c>
      <c r="S227">
        <v>16854339</v>
      </c>
      <c r="T227">
        <v>8427169</v>
      </c>
      <c r="U227">
        <v>0.08</v>
      </c>
      <c r="V227">
        <v>994.86200000000008</v>
      </c>
      <c r="W227">
        <v>0</v>
      </c>
      <c r="X227">
        <v>2765816</v>
      </c>
      <c r="Y227">
        <v>-22571</v>
      </c>
      <c r="Z227">
        <v>0</v>
      </c>
      <c r="AA227">
        <v>1.139</v>
      </c>
      <c r="AB227">
        <v>24551.859</v>
      </c>
      <c r="AC227" s="2043">
        <v>18382350568</v>
      </c>
      <c r="AD227">
        <v>73941719</v>
      </c>
      <c r="AE227" s="2043">
        <v>198459839</v>
      </c>
      <c r="AF227">
        <v>0.94200000000000006</v>
      </c>
      <c r="AG227">
        <v>0</v>
      </c>
      <c r="AH227">
        <v>2765816</v>
      </c>
      <c r="AI227">
        <v>0</v>
      </c>
      <c r="AJ227">
        <v>1894.0630000000001</v>
      </c>
      <c r="AK227">
        <v>91810</v>
      </c>
      <c r="AL227">
        <v>4.2050000000000001</v>
      </c>
      <c r="AM227">
        <v>0.33300000000000002</v>
      </c>
      <c r="AN227">
        <v>1397.05</v>
      </c>
      <c r="AO227">
        <v>2.7</v>
      </c>
      <c r="AP227">
        <v>24.167000000000002</v>
      </c>
      <c r="AQ227">
        <v>0.44800000000000001</v>
      </c>
      <c r="AR227">
        <v>539.57600000000002</v>
      </c>
      <c r="AS227">
        <v>0</v>
      </c>
      <c r="AT227">
        <v>153.00200000000001</v>
      </c>
      <c r="AU227">
        <v>55.176000000000002</v>
      </c>
      <c r="AV227">
        <v>0</v>
      </c>
      <c r="AW227">
        <v>776.90700000000004</v>
      </c>
      <c r="AX227">
        <v>0</v>
      </c>
      <c r="AY227">
        <v>2440.8890000000001</v>
      </c>
      <c r="AZ227">
        <v>0</v>
      </c>
      <c r="BA227">
        <v>18926478</v>
      </c>
      <c r="BB227">
        <v>272401558</v>
      </c>
      <c r="BC227">
        <v>0</v>
      </c>
      <c r="BD227">
        <v>1494222</v>
      </c>
      <c r="BE227">
        <v>648207</v>
      </c>
      <c r="BF227">
        <v>2142429</v>
      </c>
      <c r="BG227">
        <v>1494222</v>
      </c>
      <c r="BH227">
        <v>0</v>
      </c>
      <c r="BI227">
        <v>0</v>
      </c>
      <c r="BJ227">
        <v>-22571</v>
      </c>
      <c r="BK227">
        <v>0</v>
      </c>
      <c r="BL227">
        <v>24780914401</v>
      </c>
      <c r="BM227">
        <v>0</v>
      </c>
      <c r="BN227">
        <v>90324</v>
      </c>
      <c r="BO227">
        <v>42479</v>
      </c>
      <c r="BP227">
        <v>1900</v>
      </c>
      <c r="BQ227">
        <v>0</v>
      </c>
      <c r="BR227">
        <v>0.82200000000000006</v>
      </c>
      <c r="BS227">
        <v>0.82200000000000006</v>
      </c>
      <c r="BT227">
        <v>0</v>
      </c>
      <c r="BU227">
        <v>0</v>
      </c>
      <c r="BV227">
        <v>5150</v>
      </c>
      <c r="BW227">
        <v>1074</v>
      </c>
      <c r="BX227">
        <v>1401</v>
      </c>
      <c r="BY227">
        <v>293</v>
      </c>
      <c r="BZ227">
        <v>193</v>
      </c>
      <c r="CA227">
        <v>8111</v>
      </c>
      <c r="CB227">
        <v>0</v>
      </c>
      <c r="CC227">
        <v>414.39300000000003</v>
      </c>
      <c r="CD227">
        <v>85.89200000000001</v>
      </c>
      <c r="CE227">
        <v>1668</v>
      </c>
      <c r="CF227">
        <v>2951.5480000000002</v>
      </c>
      <c r="CG227">
        <v>32.526000000000003</v>
      </c>
      <c r="CH227">
        <v>1.9120000000000001</v>
      </c>
      <c r="CI227">
        <v>28</v>
      </c>
      <c r="CJ227">
        <v>355</v>
      </c>
      <c r="CK227">
        <v>5</v>
      </c>
      <c r="CL227">
        <v>34.438000000000002</v>
      </c>
      <c r="CM227">
        <v>895.01600000000008</v>
      </c>
      <c r="CN227">
        <v>0</v>
      </c>
      <c r="CO227">
        <v>0</v>
      </c>
      <c r="CP227">
        <v>0</v>
      </c>
      <c r="CQ227">
        <v>1900</v>
      </c>
      <c r="CR227">
        <v>0</v>
      </c>
      <c r="CS227">
        <v>0</v>
      </c>
      <c r="CT227">
        <v>3912.9580000000001</v>
      </c>
      <c r="CU227">
        <v>13.271000000000001</v>
      </c>
      <c r="CV227">
        <v>1007.69</v>
      </c>
      <c r="CW227">
        <v>546.06200000000001</v>
      </c>
      <c r="CX227">
        <v>0</v>
      </c>
      <c r="CY227" s="2043">
        <v>0</v>
      </c>
      <c r="CZ227" s="2043">
        <v>0</v>
      </c>
      <c r="DA227" s="2043">
        <v>0</v>
      </c>
      <c r="DB227" s="2043">
        <v>0</v>
      </c>
      <c r="DC227" s="2043">
        <v>2536757</v>
      </c>
      <c r="DI227" t="s">
        <v>4976</v>
      </c>
      <c r="DJ227" t="s">
        <v>4976</v>
      </c>
      <c r="DK227" s="2042">
        <f t="shared" si="5"/>
        <v>0</v>
      </c>
    </row>
    <row r="228" spans="1:115">
      <c r="A228" t="s">
        <v>2944</v>
      </c>
      <c r="B228" t="s">
        <v>2190</v>
      </c>
      <c r="C228">
        <v>1171.759</v>
      </c>
      <c r="D228">
        <v>1302.501</v>
      </c>
      <c r="E228">
        <v>192.84</v>
      </c>
      <c r="F228">
        <v>0</v>
      </c>
      <c r="G228" s="2043">
        <v>502465597</v>
      </c>
      <c r="H228">
        <v>0</v>
      </c>
      <c r="I228" s="2043">
        <v>736414</v>
      </c>
      <c r="J228">
        <v>58.588000000000001</v>
      </c>
      <c r="K228">
        <v>160</v>
      </c>
      <c r="L228">
        <v>0</v>
      </c>
      <c r="M228">
        <v>312761</v>
      </c>
      <c r="N228">
        <v>0</v>
      </c>
      <c r="O228">
        <v>312761</v>
      </c>
      <c r="P228">
        <v>0</v>
      </c>
      <c r="Q228">
        <v>0</v>
      </c>
      <c r="R228" s="2043">
        <v>4317662</v>
      </c>
      <c r="S228">
        <v>393543</v>
      </c>
      <c r="T228">
        <v>286795</v>
      </c>
      <c r="U228">
        <v>0.08</v>
      </c>
      <c r="V228">
        <v>0</v>
      </c>
      <c r="W228">
        <v>0</v>
      </c>
      <c r="X228">
        <v>0</v>
      </c>
      <c r="Y228">
        <v>0</v>
      </c>
      <c r="Z228">
        <v>26.823</v>
      </c>
      <c r="AA228">
        <v>0</v>
      </c>
      <c r="AB228">
        <v>1179.4940000000001</v>
      </c>
      <c r="AC228" s="2043">
        <v>409025221</v>
      </c>
      <c r="AD228">
        <v>843000</v>
      </c>
      <c r="AE228" s="2043">
        <v>4998000</v>
      </c>
      <c r="AF228">
        <v>1.016</v>
      </c>
      <c r="AG228">
        <v>0</v>
      </c>
      <c r="AH228">
        <v>0</v>
      </c>
      <c r="AI228">
        <v>0</v>
      </c>
      <c r="AJ228">
        <v>184.5</v>
      </c>
      <c r="AK228">
        <v>4892</v>
      </c>
      <c r="AL228">
        <v>0</v>
      </c>
      <c r="AM228">
        <v>0</v>
      </c>
      <c r="AN228">
        <v>19.38</v>
      </c>
      <c r="AO228">
        <v>0</v>
      </c>
      <c r="AP228">
        <v>0</v>
      </c>
      <c r="AQ228">
        <v>0</v>
      </c>
      <c r="AR228">
        <v>27.138000000000002</v>
      </c>
      <c r="AS228">
        <v>0</v>
      </c>
      <c r="AT228">
        <v>17.765000000000001</v>
      </c>
      <c r="AU228">
        <v>3.2350000000000003</v>
      </c>
      <c r="AV228">
        <v>0</v>
      </c>
      <c r="AW228">
        <v>48.138000000000005</v>
      </c>
      <c r="AX228">
        <v>0</v>
      </c>
      <c r="AY228">
        <v>150.88400000000001</v>
      </c>
      <c r="AZ228">
        <v>0</v>
      </c>
      <c r="BA228">
        <v>8927922</v>
      </c>
      <c r="BB228">
        <v>5841000</v>
      </c>
      <c r="BC228">
        <v>0</v>
      </c>
      <c r="BD228">
        <v>67565</v>
      </c>
      <c r="BE228">
        <v>14681</v>
      </c>
      <c r="BF228">
        <v>82246</v>
      </c>
      <c r="BG228">
        <v>67565</v>
      </c>
      <c r="BH228">
        <v>0</v>
      </c>
      <c r="BI228">
        <v>0</v>
      </c>
      <c r="BJ228">
        <v>0</v>
      </c>
      <c r="BK228">
        <v>0</v>
      </c>
      <c r="BL228">
        <v>502465597</v>
      </c>
      <c r="BM228">
        <v>0</v>
      </c>
      <c r="BN228">
        <v>3879</v>
      </c>
      <c r="BO228">
        <v>3563</v>
      </c>
      <c r="BP228">
        <v>0</v>
      </c>
      <c r="BQ228">
        <v>0</v>
      </c>
      <c r="BR228">
        <v>0.87770000000000004</v>
      </c>
      <c r="BS228">
        <v>0.87770000000000004</v>
      </c>
      <c r="BT228">
        <v>0</v>
      </c>
      <c r="BU228">
        <v>0</v>
      </c>
      <c r="BV228">
        <v>123</v>
      </c>
      <c r="BW228">
        <v>314</v>
      </c>
      <c r="BX228">
        <v>307</v>
      </c>
      <c r="BY228">
        <v>0</v>
      </c>
      <c r="BZ228">
        <v>20</v>
      </c>
      <c r="CA228">
        <v>764</v>
      </c>
      <c r="CB228">
        <v>0</v>
      </c>
      <c r="CC228">
        <v>0</v>
      </c>
      <c r="CD228">
        <v>0</v>
      </c>
      <c r="CE228">
        <v>80</v>
      </c>
      <c r="CF228">
        <v>275.87</v>
      </c>
      <c r="CG228">
        <v>0</v>
      </c>
      <c r="CH228">
        <v>0</v>
      </c>
      <c r="CI228">
        <v>5</v>
      </c>
      <c r="CJ228">
        <v>4</v>
      </c>
      <c r="CK228">
        <v>0</v>
      </c>
      <c r="CL228">
        <v>0</v>
      </c>
      <c r="CM228">
        <v>192.84</v>
      </c>
      <c r="CN228">
        <v>0</v>
      </c>
      <c r="CO228">
        <v>0</v>
      </c>
      <c r="CP228">
        <v>0</v>
      </c>
      <c r="CQ228">
        <v>0</v>
      </c>
      <c r="CR228">
        <v>0</v>
      </c>
      <c r="CS228">
        <v>0</v>
      </c>
      <c r="CT228">
        <v>0</v>
      </c>
      <c r="CU228">
        <v>9.3960000000000008</v>
      </c>
      <c r="CV228">
        <v>91.381</v>
      </c>
      <c r="CW228">
        <v>41.29</v>
      </c>
      <c r="CX228">
        <v>0</v>
      </c>
      <c r="CY228" s="2043">
        <v>0</v>
      </c>
      <c r="CZ228" s="2043">
        <v>0</v>
      </c>
      <c r="DA228" s="2043">
        <v>0</v>
      </c>
      <c r="DB228" s="2043">
        <v>0</v>
      </c>
      <c r="DC228" s="2043">
        <v>0</v>
      </c>
      <c r="DI228" t="s">
        <v>2944</v>
      </c>
      <c r="DJ228" t="s">
        <v>2944</v>
      </c>
      <c r="DK228" s="2042">
        <f t="shared" si="5"/>
        <v>0</v>
      </c>
    </row>
    <row r="229" spans="1:115">
      <c r="A229" t="s">
        <v>2945</v>
      </c>
      <c r="B229" t="s">
        <v>2271</v>
      </c>
      <c r="C229">
        <v>690.42399999999998</v>
      </c>
      <c r="D229">
        <v>700.40899999999999</v>
      </c>
      <c r="E229">
        <v>42.899000000000001</v>
      </c>
      <c r="F229">
        <v>0</v>
      </c>
      <c r="G229" s="2043">
        <v>248167353</v>
      </c>
      <c r="H229">
        <v>0</v>
      </c>
      <c r="I229" s="2043">
        <v>423598</v>
      </c>
      <c r="J229">
        <v>34.521000000000001</v>
      </c>
      <c r="K229">
        <v>94</v>
      </c>
      <c r="L229">
        <v>0</v>
      </c>
      <c r="M229">
        <v>193679</v>
      </c>
      <c r="N229">
        <v>0</v>
      </c>
      <c r="O229">
        <v>193679</v>
      </c>
      <c r="P229">
        <v>0</v>
      </c>
      <c r="Q229">
        <v>0</v>
      </c>
      <c r="R229" s="2043">
        <v>2105141</v>
      </c>
      <c r="S229">
        <v>200896</v>
      </c>
      <c r="T229">
        <v>81363</v>
      </c>
      <c r="U229">
        <v>0.08</v>
      </c>
      <c r="V229">
        <v>0</v>
      </c>
      <c r="W229">
        <v>0</v>
      </c>
      <c r="X229">
        <v>0</v>
      </c>
      <c r="Y229">
        <v>0</v>
      </c>
      <c r="Z229">
        <v>0</v>
      </c>
      <c r="AA229">
        <v>0</v>
      </c>
      <c r="AB229">
        <v>700.40899999999999</v>
      </c>
      <c r="AC229" s="2043">
        <v>222646115</v>
      </c>
      <c r="AD229">
        <v>422300</v>
      </c>
      <c r="AE229" s="2043">
        <v>2387400</v>
      </c>
      <c r="AF229">
        <v>0.9507000000000001</v>
      </c>
      <c r="AG229">
        <v>0</v>
      </c>
      <c r="AH229">
        <v>0</v>
      </c>
      <c r="AI229">
        <v>0</v>
      </c>
      <c r="AJ229">
        <v>98.388000000000005</v>
      </c>
      <c r="AK229">
        <v>2695</v>
      </c>
      <c r="AL229">
        <v>0</v>
      </c>
      <c r="AM229">
        <v>0</v>
      </c>
      <c r="AN229">
        <v>26.674000000000003</v>
      </c>
      <c r="AO229">
        <v>0</v>
      </c>
      <c r="AP229">
        <v>0</v>
      </c>
      <c r="AQ229">
        <v>0</v>
      </c>
      <c r="AR229">
        <v>12.371</v>
      </c>
      <c r="AS229">
        <v>0</v>
      </c>
      <c r="AT229">
        <v>3.0180000000000002</v>
      </c>
      <c r="AU229">
        <v>1.5</v>
      </c>
      <c r="AV229">
        <v>0</v>
      </c>
      <c r="AW229">
        <v>16.888999999999999</v>
      </c>
      <c r="AX229">
        <v>0</v>
      </c>
      <c r="AY229">
        <v>53.667000000000002</v>
      </c>
      <c r="AZ229">
        <v>0</v>
      </c>
      <c r="BA229">
        <v>6658299</v>
      </c>
      <c r="BB229">
        <v>2809700</v>
      </c>
      <c r="BC229">
        <v>0</v>
      </c>
      <c r="BD229">
        <v>58872</v>
      </c>
      <c r="BE229">
        <v>0</v>
      </c>
      <c r="BF229">
        <v>58872</v>
      </c>
      <c r="BG229">
        <v>58872</v>
      </c>
      <c r="BH229">
        <v>0</v>
      </c>
      <c r="BI229">
        <v>0</v>
      </c>
      <c r="BJ229">
        <v>0</v>
      </c>
      <c r="BK229">
        <v>0</v>
      </c>
      <c r="BL229">
        <v>248167353</v>
      </c>
      <c r="BM229">
        <v>0</v>
      </c>
      <c r="BN229">
        <v>2574</v>
      </c>
      <c r="BO229">
        <v>2087</v>
      </c>
      <c r="BP229">
        <v>0</v>
      </c>
      <c r="BQ229">
        <v>0</v>
      </c>
      <c r="BR229">
        <v>0.83830000000000005</v>
      </c>
      <c r="BS229">
        <v>0.83830000000000005</v>
      </c>
      <c r="BT229">
        <v>0</v>
      </c>
      <c r="BU229">
        <v>0</v>
      </c>
      <c r="BV229">
        <v>124</v>
      </c>
      <c r="BW229">
        <v>53</v>
      </c>
      <c r="BX229">
        <v>87</v>
      </c>
      <c r="BY229">
        <v>122</v>
      </c>
      <c r="BZ229">
        <v>15</v>
      </c>
      <c r="CA229">
        <v>401</v>
      </c>
      <c r="CB229">
        <v>0</v>
      </c>
      <c r="CC229">
        <v>0</v>
      </c>
      <c r="CD229">
        <v>0</v>
      </c>
      <c r="CE229">
        <v>53</v>
      </c>
      <c r="CF229">
        <v>134.49200000000002</v>
      </c>
      <c r="CG229">
        <v>0</v>
      </c>
      <c r="CH229">
        <v>0</v>
      </c>
      <c r="CI229">
        <v>1</v>
      </c>
      <c r="CJ229">
        <v>8</v>
      </c>
      <c r="CK229">
        <v>0</v>
      </c>
      <c r="CL229">
        <v>0</v>
      </c>
      <c r="CM229">
        <v>42.899000000000001</v>
      </c>
      <c r="CN229">
        <v>0</v>
      </c>
      <c r="CO229">
        <v>0</v>
      </c>
      <c r="CP229">
        <v>0</v>
      </c>
      <c r="CQ229">
        <v>0</v>
      </c>
      <c r="CR229">
        <v>0</v>
      </c>
      <c r="CS229">
        <v>0</v>
      </c>
      <c r="CT229">
        <v>0</v>
      </c>
      <c r="CU229">
        <v>4.9000000000000004</v>
      </c>
      <c r="CV229">
        <v>57.175000000000004</v>
      </c>
      <c r="CW229">
        <v>38.626000000000005</v>
      </c>
      <c r="CX229">
        <v>0</v>
      </c>
      <c r="CY229" s="2043">
        <v>0</v>
      </c>
      <c r="CZ229" s="2043">
        <v>0</v>
      </c>
      <c r="DA229" s="2043">
        <v>0</v>
      </c>
      <c r="DB229" s="2043">
        <v>0</v>
      </c>
      <c r="DC229" s="2043">
        <v>0</v>
      </c>
      <c r="DI229" t="s">
        <v>2945</v>
      </c>
      <c r="DJ229" t="s">
        <v>2945</v>
      </c>
      <c r="DK229" s="2042">
        <f t="shared" si="5"/>
        <v>0</v>
      </c>
    </row>
    <row r="230" spans="1:115">
      <c r="A230" t="s">
        <v>2946</v>
      </c>
      <c r="B230" t="s">
        <v>2217</v>
      </c>
      <c r="C230">
        <v>131.84800000000001</v>
      </c>
      <c r="D230">
        <v>148.40700000000001</v>
      </c>
      <c r="E230">
        <v>45.266000000000005</v>
      </c>
      <c r="F230">
        <v>0</v>
      </c>
      <c r="G230" s="2043">
        <v>99095571</v>
      </c>
      <c r="H230">
        <v>0</v>
      </c>
      <c r="I230" s="2043">
        <v>82438</v>
      </c>
      <c r="J230">
        <v>3</v>
      </c>
      <c r="K230">
        <v>8</v>
      </c>
      <c r="L230">
        <v>24086</v>
      </c>
      <c r="M230">
        <v>58352</v>
      </c>
      <c r="N230">
        <v>24086</v>
      </c>
      <c r="O230">
        <v>82438</v>
      </c>
      <c r="P230">
        <v>0</v>
      </c>
      <c r="Q230">
        <v>0</v>
      </c>
      <c r="R230" s="2043">
        <v>808682</v>
      </c>
      <c r="S230">
        <v>78704</v>
      </c>
      <c r="T230">
        <v>57355</v>
      </c>
      <c r="U230">
        <v>0.08</v>
      </c>
      <c r="V230">
        <v>0</v>
      </c>
      <c r="W230">
        <v>0</v>
      </c>
      <c r="X230">
        <v>0</v>
      </c>
      <c r="Y230">
        <v>0</v>
      </c>
      <c r="Z230">
        <v>0</v>
      </c>
      <c r="AA230">
        <v>0</v>
      </c>
      <c r="AB230">
        <v>1</v>
      </c>
      <c r="AC230" s="2043">
        <v>74897719</v>
      </c>
      <c r="AD230">
        <v>72572</v>
      </c>
      <c r="AE230" s="2043">
        <v>944741</v>
      </c>
      <c r="AF230">
        <v>0.96030000000000004</v>
      </c>
      <c r="AG230">
        <v>0</v>
      </c>
      <c r="AH230">
        <v>0</v>
      </c>
      <c r="AI230">
        <v>0</v>
      </c>
      <c r="AJ230">
        <v>25.038</v>
      </c>
      <c r="AK230">
        <v>707</v>
      </c>
      <c r="AL230">
        <v>0</v>
      </c>
      <c r="AM230">
        <v>0</v>
      </c>
      <c r="AN230">
        <v>9.370000000000001</v>
      </c>
      <c r="AO230">
        <v>0</v>
      </c>
      <c r="AP230">
        <v>0</v>
      </c>
      <c r="AQ230">
        <v>0</v>
      </c>
      <c r="AR230">
        <v>1.726</v>
      </c>
      <c r="AS230">
        <v>0</v>
      </c>
      <c r="AT230">
        <v>0.83500000000000008</v>
      </c>
      <c r="AU230">
        <v>0.24200000000000002</v>
      </c>
      <c r="AV230">
        <v>0</v>
      </c>
      <c r="AW230">
        <v>2.8029999999999999</v>
      </c>
      <c r="AX230">
        <v>0</v>
      </c>
      <c r="AY230">
        <v>8.8930000000000007</v>
      </c>
      <c r="AZ230">
        <v>0</v>
      </c>
      <c r="BA230">
        <v>1229337</v>
      </c>
      <c r="BB230">
        <v>1017313</v>
      </c>
      <c r="BC230">
        <v>0</v>
      </c>
      <c r="BD230">
        <v>20047</v>
      </c>
      <c r="BE230">
        <v>3720</v>
      </c>
      <c r="BF230">
        <v>23767</v>
      </c>
      <c r="BG230">
        <v>20047</v>
      </c>
      <c r="BH230">
        <v>0</v>
      </c>
      <c r="BI230">
        <v>0</v>
      </c>
      <c r="BJ230">
        <v>0</v>
      </c>
      <c r="BK230">
        <v>0</v>
      </c>
      <c r="BL230">
        <v>99095571</v>
      </c>
      <c r="BM230">
        <v>0</v>
      </c>
      <c r="BN230">
        <v>522</v>
      </c>
      <c r="BO230">
        <v>482</v>
      </c>
      <c r="BP230">
        <v>0</v>
      </c>
      <c r="BQ230">
        <v>0</v>
      </c>
      <c r="BR230">
        <v>0.82200000000000006</v>
      </c>
      <c r="BS230">
        <v>0.82200000000000006</v>
      </c>
      <c r="BT230">
        <v>0</v>
      </c>
      <c r="BU230">
        <v>0</v>
      </c>
      <c r="BV230">
        <v>6</v>
      </c>
      <c r="BW230">
        <v>93</v>
      </c>
      <c r="BX230">
        <v>2</v>
      </c>
      <c r="BY230">
        <v>0</v>
      </c>
      <c r="BZ230">
        <v>4</v>
      </c>
      <c r="CA230">
        <v>105</v>
      </c>
      <c r="CB230">
        <v>0</v>
      </c>
      <c r="CC230">
        <v>0</v>
      </c>
      <c r="CD230">
        <v>0</v>
      </c>
      <c r="CE230">
        <v>11</v>
      </c>
      <c r="CF230">
        <v>37.761000000000003</v>
      </c>
      <c r="CG230">
        <v>0</v>
      </c>
      <c r="CH230">
        <v>0</v>
      </c>
      <c r="CI230">
        <v>1</v>
      </c>
      <c r="CJ230">
        <v>1</v>
      </c>
      <c r="CK230">
        <v>0</v>
      </c>
      <c r="CL230">
        <v>0</v>
      </c>
      <c r="CM230">
        <v>45.266000000000005</v>
      </c>
      <c r="CN230">
        <v>0</v>
      </c>
      <c r="CO230">
        <v>0</v>
      </c>
      <c r="CP230">
        <v>0</v>
      </c>
      <c r="CQ230">
        <v>0</v>
      </c>
      <c r="CR230">
        <v>0</v>
      </c>
      <c r="CS230">
        <v>0</v>
      </c>
      <c r="CT230">
        <v>0</v>
      </c>
      <c r="CU230">
        <v>0</v>
      </c>
      <c r="CV230">
        <v>6.9030000000000005</v>
      </c>
      <c r="CW230">
        <v>3.0350000000000001</v>
      </c>
      <c r="CX230">
        <v>0</v>
      </c>
      <c r="CY230" s="2043">
        <v>0</v>
      </c>
      <c r="CZ230" s="2043">
        <v>0</v>
      </c>
      <c r="DA230" s="2043">
        <v>0</v>
      </c>
      <c r="DB230" s="2043">
        <v>0</v>
      </c>
      <c r="DC230" s="2043">
        <v>0</v>
      </c>
      <c r="DI230" t="s">
        <v>2946</v>
      </c>
      <c r="DJ230" t="s">
        <v>2946</v>
      </c>
      <c r="DK230" s="2042">
        <f t="shared" si="5"/>
        <v>0</v>
      </c>
    </row>
    <row r="231" spans="1:115">
      <c r="A231" t="s">
        <v>2947</v>
      </c>
      <c r="B231" t="s">
        <v>2191</v>
      </c>
      <c r="C231">
        <v>121.54</v>
      </c>
      <c r="D231">
        <v>145.39000000000001</v>
      </c>
      <c r="E231">
        <v>0</v>
      </c>
      <c r="F231">
        <v>0</v>
      </c>
      <c r="G231" s="2043">
        <v>42746810</v>
      </c>
      <c r="H231">
        <v>0</v>
      </c>
      <c r="I231" s="2043">
        <v>93900</v>
      </c>
      <c r="J231">
        <v>6.077</v>
      </c>
      <c r="K231">
        <v>17</v>
      </c>
      <c r="L231">
        <v>65230</v>
      </c>
      <c r="M231">
        <v>28670</v>
      </c>
      <c r="N231">
        <v>65230</v>
      </c>
      <c r="O231">
        <v>93900</v>
      </c>
      <c r="P231">
        <v>0</v>
      </c>
      <c r="Q231">
        <v>0</v>
      </c>
      <c r="R231" s="2043">
        <v>350187</v>
      </c>
      <c r="S231">
        <v>21157</v>
      </c>
      <c r="T231">
        <v>0</v>
      </c>
      <c r="U231">
        <v>0.05</v>
      </c>
      <c r="V231">
        <v>0</v>
      </c>
      <c r="W231">
        <v>0</v>
      </c>
      <c r="X231">
        <v>0</v>
      </c>
      <c r="Y231">
        <v>0</v>
      </c>
      <c r="Z231">
        <v>0</v>
      </c>
      <c r="AA231">
        <v>0</v>
      </c>
      <c r="AB231">
        <v>1</v>
      </c>
      <c r="AC231" s="2043">
        <v>35122684</v>
      </c>
      <c r="AD231">
        <v>34020</v>
      </c>
      <c r="AE231" s="2043">
        <v>371344</v>
      </c>
      <c r="AF231">
        <v>0.87760000000000005</v>
      </c>
      <c r="AG231">
        <v>0</v>
      </c>
      <c r="AH231">
        <v>0</v>
      </c>
      <c r="AI231">
        <v>0</v>
      </c>
      <c r="AJ231">
        <v>19.95</v>
      </c>
      <c r="AK231">
        <v>589</v>
      </c>
      <c r="AL231">
        <v>0</v>
      </c>
      <c r="AM231">
        <v>0</v>
      </c>
      <c r="AN231">
        <v>4.6000000000000005</v>
      </c>
      <c r="AO231">
        <v>0</v>
      </c>
      <c r="AP231">
        <v>0</v>
      </c>
      <c r="AQ231">
        <v>0</v>
      </c>
      <c r="AR231">
        <v>2.9540000000000002</v>
      </c>
      <c r="AS231">
        <v>0</v>
      </c>
      <c r="AT231">
        <v>0.218</v>
      </c>
      <c r="AU231">
        <v>0.316</v>
      </c>
      <c r="AV231">
        <v>0</v>
      </c>
      <c r="AW231">
        <v>3.488</v>
      </c>
      <c r="AX231">
        <v>0</v>
      </c>
      <c r="AY231">
        <v>11.096</v>
      </c>
      <c r="AZ231">
        <v>0</v>
      </c>
      <c r="BA231">
        <v>1548831</v>
      </c>
      <c r="BB231">
        <v>405364</v>
      </c>
      <c r="BC231">
        <v>0</v>
      </c>
      <c r="BD231">
        <v>15996</v>
      </c>
      <c r="BE231">
        <v>0</v>
      </c>
      <c r="BF231">
        <v>15996</v>
      </c>
      <c r="BG231">
        <v>15996</v>
      </c>
      <c r="BH231">
        <v>0</v>
      </c>
      <c r="BI231">
        <v>0</v>
      </c>
      <c r="BJ231">
        <v>0</v>
      </c>
      <c r="BK231">
        <v>0</v>
      </c>
      <c r="BL231">
        <v>42746810</v>
      </c>
      <c r="BM231">
        <v>0</v>
      </c>
      <c r="BN231">
        <v>477</v>
      </c>
      <c r="BO231">
        <v>417</v>
      </c>
      <c r="BP231">
        <v>0</v>
      </c>
      <c r="BQ231">
        <v>0</v>
      </c>
      <c r="BR231">
        <v>0.8276</v>
      </c>
      <c r="BS231">
        <v>0.8276</v>
      </c>
      <c r="BT231">
        <v>0</v>
      </c>
      <c r="BU231">
        <v>0</v>
      </c>
      <c r="BV231">
        <v>3</v>
      </c>
      <c r="BW231">
        <v>50</v>
      </c>
      <c r="BX231">
        <v>12</v>
      </c>
      <c r="BY231">
        <v>0</v>
      </c>
      <c r="BZ231">
        <v>16</v>
      </c>
      <c r="CA231">
        <v>81</v>
      </c>
      <c r="CB231">
        <v>0</v>
      </c>
      <c r="CC231">
        <v>0</v>
      </c>
      <c r="CD231">
        <v>0</v>
      </c>
      <c r="CE231">
        <v>3</v>
      </c>
      <c r="CF231">
        <v>25.976000000000003</v>
      </c>
      <c r="CG231">
        <v>0</v>
      </c>
      <c r="CH231">
        <v>0</v>
      </c>
      <c r="CI231">
        <v>3</v>
      </c>
      <c r="CJ231">
        <v>0</v>
      </c>
      <c r="CK231">
        <v>0</v>
      </c>
      <c r="CL231">
        <v>0</v>
      </c>
      <c r="CM231">
        <v>0</v>
      </c>
      <c r="CN231">
        <v>0</v>
      </c>
      <c r="CO231">
        <v>0</v>
      </c>
      <c r="CP231">
        <v>0</v>
      </c>
      <c r="CQ231">
        <v>0</v>
      </c>
      <c r="CR231">
        <v>0</v>
      </c>
      <c r="CS231">
        <v>0</v>
      </c>
      <c r="CT231">
        <v>0</v>
      </c>
      <c r="CU231">
        <v>0</v>
      </c>
      <c r="CV231">
        <v>3.9340000000000002</v>
      </c>
      <c r="CW231">
        <v>4.6120000000000001</v>
      </c>
      <c r="CX231">
        <v>0</v>
      </c>
      <c r="CY231" s="2043">
        <v>0</v>
      </c>
      <c r="CZ231" s="2043">
        <v>0</v>
      </c>
      <c r="DA231" s="2043">
        <v>0</v>
      </c>
      <c r="DB231" s="2043">
        <v>0</v>
      </c>
      <c r="DC231" s="2043">
        <v>0</v>
      </c>
      <c r="DI231" t="s">
        <v>2947</v>
      </c>
      <c r="DJ231" t="s">
        <v>2947</v>
      </c>
      <c r="DK231" s="2042">
        <f t="shared" si="5"/>
        <v>0</v>
      </c>
    </row>
    <row r="232" spans="1:115">
      <c r="A232" t="s">
        <v>2948</v>
      </c>
      <c r="B232" t="s">
        <v>1342</v>
      </c>
      <c r="C232">
        <v>2836.701</v>
      </c>
      <c r="D232">
        <v>2761.366</v>
      </c>
      <c r="E232">
        <v>594.13099999999997</v>
      </c>
      <c r="F232">
        <v>0</v>
      </c>
      <c r="G232" s="2043">
        <v>1471422488</v>
      </c>
      <c r="H232">
        <v>0</v>
      </c>
      <c r="I232" s="2043">
        <v>2283163</v>
      </c>
      <c r="J232">
        <v>141.83500000000001</v>
      </c>
      <c r="K232">
        <v>388</v>
      </c>
      <c r="L232">
        <v>0</v>
      </c>
      <c r="M232">
        <v>178771</v>
      </c>
      <c r="N232">
        <v>0</v>
      </c>
      <c r="O232">
        <v>178771</v>
      </c>
      <c r="P232">
        <v>0</v>
      </c>
      <c r="Q232">
        <v>0</v>
      </c>
      <c r="R232" s="2043">
        <v>12394788</v>
      </c>
      <c r="S232">
        <v>1175279</v>
      </c>
      <c r="T232">
        <v>856485</v>
      </c>
      <c r="U232">
        <v>0.08</v>
      </c>
      <c r="V232">
        <v>0</v>
      </c>
      <c r="W232">
        <v>0</v>
      </c>
      <c r="X232">
        <v>0</v>
      </c>
      <c r="Y232">
        <v>253087</v>
      </c>
      <c r="Z232">
        <v>0</v>
      </c>
      <c r="AA232">
        <v>0.52600000000000002</v>
      </c>
      <c r="AB232">
        <v>2753.9320000000002</v>
      </c>
      <c r="AC232" s="2043">
        <v>1196172496</v>
      </c>
      <c r="AD232">
        <v>2285163</v>
      </c>
      <c r="AE232" s="2043">
        <v>14426552</v>
      </c>
      <c r="AF232">
        <v>0.9820000000000001</v>
      </c>
      <c r="AG232">
        <v>0</v>
      </c>
      <c r="AH232">
        <v>0</v>
      </c>
      <c r="AI232">
        <v>0</v>
      </c>
      <c r="AJ232">
        <v>503.375</v>
      </c>
      <c r="AK232">
        <v>9681</v>
      </c>
      <c r="AL232">
        <v>2.9000000000000001E-2</v>
      </c>
      <c r="AM232">
        <v>0</v>
      </c>
      <c r="AN232">
        <v>10.076000000000001</v>
      </c>
      <c r="AO232">
        <v>0</v>
      </c>
      <c r="AP232">
        <v>0</v>
      </c>
      <c r="AQ232">
        <v>0</v>
      </c>
      <c r="AR232">
        <v>85.774000000000001</v>
      </c>
      <c r="AS232">
        <v>0</v>
      </c>
      <c r="AT232">
        <v>26.342000000000002</v>
      </c>
      <c r="AU232">
        <v>6.1770000000000005</v>
      </c>
      <c r="AV232">
        <v>0</v>
      </c>
      <c r="AW232">
        <v>128.61199999999999</v>
      </c>
      <c r="AX232">
        <v>10.290000000000001</v>
      </c>
      <c r="AY232">
        <v>391.04500000000002</v>
      </c>
      <c r="AZ232">
        <v>0</v>
      </c>
      <c r="BA232">
        <v>15781192</v>
      </c>
      <c r="BB232">
        <v>16711715</v>
      </c>
      <c r="BC232">
        <v>0</v>
      </c>
      <c r="BD232">
        <v>158303</v>
      </c>
      <c r="BE232">
        <v>33688</v>
      </c>
      <c r="BF232">
        <v>213618</v>
      </c>
      <c r="BG232">
        <v>158303</v>
      </c>
      <c r="BH232">
        <v>21627</v>
      </c>
      <c r="BI232">
        <v>0</v>
      </c>
      <c r="BJ232">
        <v>0</v>
      </c>
      <c r="BK232">
        <v>0</v>
      </c>
      <c r="BL232">
        <v>1471422488</v>
      </c>
      <c r="BM232">
        <v>0</v>
      </c>
      <c r="BN232">
        <v>10242</v>
      </c>
      <c r="BO232">
        <v>7083</v>
      </c>
      <c r="BP232">
        <v>0</v>
      </c>
      <c r="BQ232">
        <v>0</v>
      </c>
      <c r="BR232">
        <v>0.84370000000000001</v>
      </c>
      <c r="BS232">
        <v>0.84370000000000001</v>
      </c>
      <c r="BT232">
        <v>0</v>
      </c>
      <c r="BU232">
        <v>0</v>
      </c>
      <c r="BV232">
        <v>170</v>
      </c>
      <c r="BW232">
        <v>54</v>
      </c>
      <c r="BX232">
        <v>611</v>
      </c>
      <c r="BY232">
        <v>896</v>
      </c>
      <c r="BZ232">
        <v>234</v>
      </c>
      <c r="CA232">
        <v>1965</v>
      </c>
      <c r="CB232">
        <v>0</v>
      </c>
      <c r="CC232">
        <v>179.42700000000002</v>
      </c>
      <c r="CD232">
        <v>0</v>
      </c>
      <c r="CE232">
        <v>98</v>
      </c>
      <c r="CF232">
        <v>923.72800000000007</v>
      </c>
      <c r="CG232">
        <v>0</v>
      </c>
      <c r="CH232">
        <v>0</v>
      </c>
      <c r="CI232">
        <v>5</v>
      </c>
      <c r="CJ232">
        <v>0</v>
      </c>
      <c r="CK232">
        <v>0</v>
      </c>
      <c r="CL232">
        <v>0</v>
      </c>
      <c r="CM232">
        <v>594.13099999999997</v>
      </c>
      <c r="CN232">
        <v>0</v>
      </c>
      <c r="CO232">
        <v>0</v>
      </c>
      <c r="CP232">
        <v>0</v>
      </c>
      <c r="CQ232">
        <v>0</v>
      </c>
      <c r="CR232">
        <v>0</v>
      </c>
      <c r="CS232">
        <v>0</v>
      </c>
      <c r="CT232">
        <v>0</v>
      </c>
      <c r="CU232">
        <v>0</v>
      </c>
      <c r="CV232">
        <v>120.41800000000001</v>
      </c>
      <c r="CW232">
        <v>52.849000000000004</v>
      </c>
      <c r="CX232">
        <v>0</v>
      </c>
      <c r="CY232" s="2043">
        <v>253087</v>
      </c>
      <c r="CZ232" s="2043">
        <v>0</v>
      </c>
      <c r="DA232" s="2043">
        <v>0</v>
      </c>
      <c r="DB232" s="2043">
        <v>0</v>
      </c>
      <c r="DC232" s="2043">
        <v>0</v>
      </c>
      <c r="DI232" t="s">
        <v>5771</v>
      </c>
      <c r="DJ232" t="s">
        <v>2948</v>
      </c>
      <c r="DK232" s="2042">
        <f t="shared" si="5"/>
        <v>-1000</v>
      </c>
    </row>
    <row r="233" spans="1:115">
      <c r="A233" t="s">
        <v>5771</v>
      </c>
      <c r="B233" t="s">
        <v>2192</v>
      </c>
      <c r="C233">
        <v>213.14400000000001</v>
      </c>
      <c r="D233">
        <v>218.78400000000002</v>
      </c>
      <c r="E233">
        <v>11.386000000000001</v>
      </c>
      <c r="F233">
        <v>0</v>
      </c>
      <c r="G233" s="2043">
        <v>235883501</v>
      </c>
      <c r="H233">
        <v>0</v>
      </c>
      <c r="I233" s="2043">
        <v>1051425</v>
      </c>
      <c r="J233">
        <v>2</v>
      </c>
      <c r="K233">
        <v>5</v>
      </c>
      <c r="L233">
        <v>0</v>
      </c>
      <c r="M233">
        <v>0</v>
      </c>
      <c r="N233">
        <v>0</v>
      </c>
      <c r="O233">
        <v>0</v>
      </c>
      <c r="P233">
        <v>0</v>
      </c>
      <c r="Q233">
        <v>0</v>
      </c>
      <c r="R233" s="2043">
        <v>1914112</v>
      </c>
      <c r="S233">
        <v>116430</v>
      </c>
      <c r="T233">
        <v>0</v>
      </c>
      <c r="U233">
        <v>0.05</v>
      </c>
      <c r="V233">
        <v>49.771000000000001</v>
      </c>
      <c r="W233">
        <v>0</v>
      </c>
      <c r="X233">
        <v>0</v>
      </c>
      <c r="Y233">
        <v>294975</v>
      </c>
      <c r="Z233">
        <v>0</v>
      </c>
      <c r="AA233">
        <v>6.2E-2</v>
      </c>
      <c r="AB233">
        <v>218.78400000000002</v>
      </c>
      <c r="AC233" s="2043">
        <v>141593347</v>
      </c>
      <c r="AD233">
        <v>2644556</v>
      </c>
      <c r="AE233" s="2043">
        <v>2030542</v>
      </c>
      <c r="AF233">
        <v>0.872</v>
      </c>
      <c r="AG233">
        <v>0</v>
      </c>
      <c r="AH233">
        <v>0</v>
      </c>
      <c r="AI233">
        <v>0</v>
      </c>
      <c r="AJ233">
        <v>34.375</v>
      </c>
      <c r="AK233">
        <v>2168</v>
      </c>
      <c r="AL233">
        <v>0</v>
      </c>
      <c r="AM233">
        <v>0</v>
      </c>
      <c r="AN233">
        <v>22.536000000000001</v>
      </c>
      <c r="AO233">
        <v>0</v>
      </c>
      <c r="AP233">
        <v>3.9780000000000002</v>
      </c>
      <c r="AQ233">
        <v>0</v>
      </c>
      <c r="AR233">
        <v>7.1150000000000002</v>
      </c>
      <c r="AS233">
        <v>0</v>
      </c>
      <c r="AT233">
        <v>0</v>
      </c>
      <c r="AU233">
        <v>0.59799999999999998</v>
      </c>
      <c r="AV233">
        <v>0</v>
      </c>
      <c r="AW233">
        <v>11.691000000000001</v>
      </c>
      <c r="AX233">
        <v>0</v>
      </c>
      <c r="AY233">
        <v>35.076000000000001</v>
      </c>
      <c r="AZ233">
        <v>0</v>
      </c>
      <c r="BA233">
        <v>1430401</v>
      </c>
      <c r="BB233">
        <v>4675098</v>
      </c>
      <c r="BC233">
        <v>0</v>
      </c>
      <c r="BD233">
        <v>25950</v>
      </c>
      <c r="BE233">
        <v>15263</v>
      </c>
      <c r="BF233">
        <v>41213</v>
      </c>
      <c r="BG233">
        <v>25950</v>
      </c>
      <c r="BH233">
        <v>0</v>
      </c>
      <c r="BI233">
        <v>0</v>
      </c>
      <c r="BJ233">
        <v>0</v>
      </c>
      <c r="BK233">
        <v>0</v>
      </c>
      <c r="BL233">
        <v>235883501</v>
      </c>
      <c r="BM233">
        <v>0</v>
      </c>
      <c r="BN233">
        <v>792</v>
      </c>
      <c r="BO233">
        <v>728</v>
      </c>
      <c r="BP233">
        <v>0</v>
      </c>
      <c r="BQ233">
        <v>0</v>
      </c>
      <c r="BR233">
        <v>0.82200000000000006</v>
      </c>
      <c r="BS233">
        <v>0.82200000000000006</v>
      </c>
      <c r="BT233">
        <v>0</v>
      </c>
      <c r="BU233">
        <v>0</v>
      </c>
      <c r="BV233">
        <v>7</v>
      </c>
      <c r="BW233">
        <v>18</v>
      </c>
      <c r="BX233">
        <v>113</v>
      </c>
      <c r="BY233">
        <v>0</v>
      </c>
      <c r="BZ233">
        <v>1</v>
      </c>
      <c r="CA233">
        <v>139</v>
      </c>
      <c r="CB233">
        <v>0</v>
      </c>
      <c r="CC233">
        <v>0</v>
      </c>
      <c r="CD233">
        <v>0</v>
      </c>
      <c r="CE233">
        <v>6</v>
      </c>
      <c r="CF233">
        <v>39.582000000000001</v>
      </c>
      <c r="CG233">
        <v>2.1840000000000002</v>
      </c>
      <c r="CH233">
        <v>0</v>
      </c>
      <c r="CI233">
        <v>1</v>
      </c>
      <c r="CJ233">
        <v>1</v>
      </c>
      <c r="CK233">
        <v>0</v>
      </c>
      <c r="CL233">
        <v>2.1840000000000002</v>
      </c>
      <c r="CM233">
        <v>11.386000000000001</v>
      </c>
      <c r="CN233">
        <v>0</v>
      </c>
      <c r="CO233">
        <v>0</v>
      </c>
      <c r="CP233">
        <v>0</v>
      </c>
      <c r="CQ233">
        <v>0</v>
      </c>
      <c r="CR233">
        <v>0</v>
      </c>
      <c r="CS233">
        <v>0</v>
      </c>
      <c r="CT233">
        <v>0</v>
      </c>
      <c r="CU233">
        <v>1.6640000000000001</v>
      </c>
      <c r="CV233">
        <v>13.213000000000001</v>
      </c>
      <c r="CW233">
        <v>10.194000000000001</v>
      </c>
      <c r="CX233">
        <v>0</v>
      </c>
      <c r="CY233" s="2043">
        <v>294975</v>
      </c>
      <c r="CZ233" s="2043">
        <v>0</v>
      </c>
      <c r="DA233" s="2043">
        <v>0</v>
      </c>
      <c r="DB233" s="2043">
        <v>0</v>
      </c>
      <c r="DC233" s="2043">
        <v>0</v>
      </c>
      <c r="DI233" t="s">
        <v>4977</v>
      </c>
      <c r="DJ233" t="s">
        <v>5771</v>
      </c>
      <c r="DK233" s="2042">
        <f t="shared" si="5"/>
        <v>2</v>
      </c>
    </row>
    <row r="234" spans="1:115">
      <c r="A234" t="s">
        <v>4977</v>
      </c>
      <c r="B234" t="s">
        <v>283</v>
      </c>
      <c r="C234">
        <v>201.58100000000002</v>
      </c>
      <c r="D234">
        <v>219.02</v>
      </c>
      <c r="E234">
        <v>7.9240000000000004</v>
      </c>
      <c r="F234">
        <v>0</v>
      </c>
      <c r="G234" s="2043">
        <v>235006900</v>
      </c>
      <c r="H234">
        <v>0</v>
      </c>
      <c r="I234" s="2043">
        <v>162200</v>
      </c>
      <c r="J234">
        <v>10.079000000000001</v>
      </c>
      <c r="K234">
        <v>28</v>
      </c>
      <c r="L234">
        <v>0</v>
      </c>
      <c r="M234">
        <v>0</v>
      </c>
      <c r="N234">
        <v>0</v>
      </c>
      <c r="O234">
        <v>0</v>
      </c>
      <c r="P234">
        <v>0</v>
      </c>
      <c r="Q234">
        <v>0</v>
      </c>
      <c r="R234" s="2043">
        <v>1948747</v>
      </c>
      <c r="S234">
        <v>189659</v>
      </c>
      <c r="T234">
        <v>122804</v>
      </c>
      <c r="U234">
        <v>0.08</v>
      </c>
      <c r="V234">
        <v>0</v>
      </c>
      <c r="W234">
        <v>0</v>
      </c>
      <c r="X234">
        <v>0</v>
      </c>
      <c r="Y234">
        <v>22682</v>
      </c>
      <c r="Z234">
        <v>10.395000000000001</v>
      </c>
      <c r="AA234">
        <v>0.26500000000000001</v>
      </c>
      <c r="AB234">
        <v>219.02</v>
      </c>
      <c r="AC234" s="2043">
        <v>92471009</v>
      </c>
      <c r="AD234">
        <v>638450</v>
      </c>
      <c r="AE234" s="2043">
        <v>2261210</v>
      </c>
      <c r="AF234">
        <v>0.95380000000000009</v>
      </c>
      <c r="AG234">
        <v>0</v>
      </c>
      <c r="AH234">
        <v>0</v>
      </c>
      <c r="AI234">
        <v>0</v>
      </c>
      <c r="AJ234">
        <v>36.963000000000001</v>
      </c>
      <c r="AK234">
        <v>1818</v>
      </c>
      <c r="AL234">
        <v>0</v>
      </c>
      <c r="AM234">
        <v>0</v>
      </c>
      <c r="AN234">
        <v>14.872</v>
      </c>
      <c r="AO234">
        <v>0</v>
      </c>
      <c r="AP234">
        <v>5.907</v>
      </c>
      <c r="AQ234">
        <v>0</v>
      </c>
      <c r="AR234">
        <v>4.798</v>
      </c>
      <c r="AS234">
        <v>0</v>
      </c>
      <c r="AT234">
        <v>0.10100000000000001</v>
      </c>
      <c r="AU234">
        <v>0.66200000000000003</v>
      </c>
      <c r="AV234">
        <v>0</v>
      </c>
      <c r="AW234">
        <v>11.468</v>
      </c>
      <c r="AX234">
        <v>0</v>
      </c>
      <c r="AY234">
        <v>33.956000000000003</v>
      </c>
      <c r="AZ234">
        <v>0</v>
      </c>
      <c r="BA234">
        <v>1171436</v>
      </c>
      <c r="BB234">
        <v>2899660</v>
      </c>
      <c r="BC234">
        <v>0</v>
      </c>
      <c r="BD234">
        <v>43420</v>
      </c>
      <c r="BE234">
        <v>18484</v>
      </c>
      <c r="BF234">
        <v>222961</v>
      </c>
      <c r="BG234">
        <v>43420</v>
      </c>
      <c r="BH234">
        <v>161057</v>
      </c>
      <c r="BI234">
        <v>0</v>
      </c>
      <c r="BJ234">
        <v>0</v>
      </c>
      <c r="BK234">
        <v>0</v>
      </c>
      <c r="BL234">
        <v>235006900</v>
      </c>
      <c r="BM234">
        <v>0</v>
      </c>
      <c r="BN234">
        <v>846</v>
      </c>
      <c r="BO234">
        <v>535</v>
      </c>
      <c r="BP234">
        <v>0</v>
      </c>
      <c r="BQ234">
        <v>0</v>
      </c>
      <c r="BR234">
        <v>0.82200000000000006</v>
      </c>
      <c r="BS234">
        <v>0.82200000000000006</v>
      </c>
      <c r="BT234">
        <v>0</v>
      </c>
      <c r="BU234">
        <v>0</v>
      </c>
      <c r="BV234">
        <v>85</v>
      </c>
      <c r="BW234">
        <v>25</v>
      </c>
      <c r="BX234">
        <v>10</v>
      </c>
      <c r="BY234">
        <v>18</v>
      </c>
      <c r="BZ234">
        <v>17</v>
      </c>
      <c r="CA234">
        <v>155</v>
      </c>
      <c r="CB234">
        <v>0</v>
      </c>
      <c r="CC234">
        <v>0</v>
      </c>
      <c r="CD234">
        <v>0</v>
      </c>
      <c r="CE234">
        <v>24</v>
      </c>
      <c r="CF234">
        <v>35.975999999999999</v>
      </c>
      <c r="CG234">
        <v>0</v>
      </c>
      <c r="CH234">
        <v>0</v>
      </c>
      <c r="CI234">
        <v>0</v>
      </c>
      <c r="CJ234">
        <v>0</v>
      </c>
      <c r="CK234">
        <v>0</v>
      </c>
      <c r="CL234">
        <v>0</v>
      </c>
      <c r="CM234">
        <v>7.9240000000000004</v>
      </c>
      <c r="CN234">
        <v>0</v>
      </c>
      <c r="CO234">
        <v>0</v>
      </c>
      <c r="CP234">
        <v>0</v>
      </c>
      <c r="CQ234">
        <v>0</v>
      </c>
      <c r="CR234">
        <v>0</v>
      </c>
      <c r="CS234">
        <v>0</v>
      </c>
      <c r="CT234">
        <v>0</v>
      </c>
      <c r="CU234">
        <v>2.3839999999999999</v>
      </c>
      <c r="CV234">
        <v>15.104000000000001</v>
      </c>
      <c r="CW234">
        <v>4.0819999999999999</v>
      </c>
      <c r="CX234">
        <v>0</v>
      </c>
      <c r="CY234" s="2043">
        <v>22682</v>
      </c>
      <c r="CZ234" s="2043">
        <v>0</v>
      </c>
      <c r="DA234" s="2043">
        <v>0</v>
      </c>
      <c r="DB234" s="2043">
        <v>0</v>
      </c>
      <c r="DC234" s="2043">
        <v>0</v>
      </c>
      <c r="DI234" t="s">
        <v>2948</v>
      </c>
      <c r="DJ234" t="s">
        <v>4977</v>
      </c>
      <c r="DK234" s="2042">
        <f t="shared" si="5"/>
        <v>998</v>
      </c>
    </row>
    <row r="235" spans="1:115">
      <c r="A235" t="s">
        <v>4978</v>
      </c>
      <c r="B235" t="s">
        <v>284</v>
      </c>
      <c r="C235">
        <v>484.54600000000005</v>
      </c>
      <c r="D235">
        <v>496.02000000000004</v>
      </c>
      <c r="E235">
        <v>4.3870000000000005</v>
      </c>
      <c r="F235">
        <v>0</v>
      </c>
      <c r="G235" s="2043">
        <v>458866569</v>
      </c>
      <c r="H235">
        <v>0</v>
      </c>
      <c r="I235" s="2043">
        <v>1523094</v>
      </c>
      <c r="J235">
        <v>16</v>
      </c>
      <c r="K235">
        <v>44</v>
      </c>
      <c r="L235">
        <v>0</v>
      </c>
      <c r="M235">
        <v>0</v>
      </c>
      <c r="N235">
        <v>0</v>
      </c>
      <c r="O235">
        <v>0</v>
      </c>
      <c r="P235">
        <v>0</v>
      </c>
      <c r="Q235">
        <v>0</v>
      </c>
      <c r="R235" s="2043">
        <v>3747440</v>
      </c>
      <c r="S235">
        <v>227946</v>
      </c>
      <c r="T235">
        <v>0</v>
      </c>
      <c r="U235">
        <v>0.05</v>
      </c>
      <c r="V235">
        <v>0</v>
      </c>
      <c r="W235">
        <v>0</v>
      </c>
      <c r="X235">
        <v>0</v>
      </c>
      <c r="Y235">
        <v>0</v>
      </c>
      <c r="Z235">
        <v>0</v>
      </c>
      <c r="AA235">
        <v>0</v>
      </c>
      <c r="AB235">
        <v>480.76500000000004</v>
      </c>
      <c r="AC235" s="2043">
        <v>384975298</v>
      </c>
      <c r="AD235">
        <v>1630192</v>
      </c>
      <c r="AE235" s="2043">
        <v>3975386</v>
      </c>
      <c r="AF235">
        <v>0.872</v>
      </c>
      <c r="AG235">
        <v>0</v>
      </c>
      <c r="AH235">
        <v>0</v>
      </c>
      <c r="AI235">
        <v>0</v>
      </c>
      <c r="AJ235">
        <v>19.900000000000002</v>
      </c>
      <c r="AK235">
        <v>2227</v>
      </c>
      <c r="AL235">
        <v>0</v>
      </c>
      <c r="AM235">
        <v>0</v>
      </c>
      <c r="AN235">
        <v>8.2859999999999996</v>
      </c>
      <c r="AO235">
        <v>0</v>
      </c>
      <c r="AP235">
        <v>1.2690000000000001</v>
      </c>
      <c r="AQ235">
        <v>0</v>
      </c>
      <c r="AR235">
        <v>15.569000000000001</v>
      </c>
      <c r="AS235">
        <v>0</v>
      </c>
      <c r="AT235">
        <v>0.91300000000000003</v>
      </c>
      <c r="AU235">
        <v>0.873</v>
      </c>
      <c r="AV235">
        <v>0</v>
      </c>
      <c r="AW235">
        <v>18.624000000000002</v>
      </c>
      <c r="AX235">
        <v>0</v>
      </c>
      <c r="AY235">
        <v>57.237000000000002</v>
      </c>
      <c r="AZ235">
        <v>0</v>
      </c>
      <c r="BA235">
        <v>1669777</v>
      </c>
      <c r="BB235">
        <v>5605578</v>
      </c>
      <c r="BC235">
        <v>0</v>
      </c>
      <c r="BD235">
        <v>22658</v>
      </c>
      <c r="BE235">
        <v>10642</v>
      </c>
      <c r="BF235">
        <v>34500</v>
      </c>
      <c r="BG235">
        <v>22658</v>
      </c>
      <c r="BH235">
        <v>1200</v>
      </c>
      <c r="BI235">
        <v>0</v>
      </c>
      <c r="BJ235">
        <v>0</v>
      </c>
      <c r="BK235">
        <v>0</v>
      </c>
      <c r="BL235">
        <v>458866569</v>
      </c>
      <c r="BM235">
        <v>0</v>
      </c>
      <c r="BN235">
        <v>1692</v>
      </c>
      <c r="BO235">
        <v>1445</v>
      </c>
      <c r="BP235">
        <v>0</v>
      </c>
      <c r="BQ235">
        <v>0</v>
      </c>
      <c r="BR235">
        <v>0.82200000000000006</v>
      </c>
      <c r="BS235">
        <v>0.82200000000000006</v>
      </c>
      <c r="BT235">
        <v>0</v>
      </c>
      <c r="BU235">
        <v>0</v>
      </c>
      <c r="BV235">
        <v>84</v>
      </c>
      <c r="BW235">
        <v>2</v>
      </c>
      <c r="BX235">
        <v>0</v>
      </c>
      <c r="BY235">
        <v>2</v>
      </c>
      <c r="BZ235">
        <v>0</v>
      </c>
      <c r="CA235">
        <v>88</v>
      </c>
      <c r="CB235">
        <v>0</v>
      </c>
      <c r="CC235">
        <v>0</v>
      </c>
      <c r="CD235">
        <v>0</v>
      </c>
      <c r="CE235">
        <v>21</v>
      </c>
      <c r="CF235">
        <v>37.035000000000004</v>
      </c>
      <c r="CG235">
        <v>0</v>
      </c>
      <c r="CH235">
        <v>0</v>
      </c>
      <c r="CI235">
        <v>2</v>
      </c>
      <c r="CJ235">
        <v>12</v>
      </c>
      <c r="CK235">
        <v>1</v>
      </c>
      <c r="CL235">
        <v>0</v>
      </c>
      <c r="CM235">
        <v>4.3870000000000005</v>
      </c>
      <c r="CN235">
        <v>0</v>
      </c>
      <c r="CO235">
        <v>0</v>
      </c>
      <c r="CP235">
        <v>0</v>
      </c>
      <c r="CQ235">
        <v>0</v>
      </c>
      <c r="CR235">
        <v>0</v>
      </c>
      <c r="CS235">
        <v>0</v>
      </c>
      <c r="CT235">
        <v>0</v>
      </c>
      <c r="CU235">
        <v>2.2450000000000001</v>
      </c>
      <c r="CV235">
        <v>27.48</v>
      </c>
      <c r="CW235">
        <v>18.059000000000001</v>
      </c>
      <c r="CX235">
        <v>0</v>
      </c>
      <c r="CY235" s="2043">
        <v>0</v>
      </c>
      <c r="CZ235" s="2043">
        <v>0</v>
      </c>
      <c r="DA235" s="2043">
        <v>0</v>
      </c>
      <c r="DB235" s="2043">
        <v>0</v>
      </c>
      <c r="DC235" s="2043">
        <v>0</v>
      </c>
      <c r="DI235" t="s">
        <v>4978</v>
      </c>
      <c r="DJ235" t="s">
        <v>4978</v>
      </c>
      <c r="DK235" s="2042">
        <f t="shared" si="5"/>
        <v>0</v>
      </c>
    </row>
    <row r="236" spans="1:115">
      <c r="A236" t="s">
        <v>2949</v>
      </c>
      <c r="B236" t="s">
        <v>2363</v>
      </c>
      <c r="C236">
        <v>854.59500000000003</v>
      </c>
      <c r="D236">
        <v>846.65700000000004</v>
      </c>
      <c r="E236">
        <v>89.9</v>
      </c>
      <c r="F236">
        <v>0</v>
      </c>
      <c r="G236" s="2043">
        <v>367700638</v>
      </c>
      <c r="H236">
        <v>0</v>
      </c>
      <c r="I236" s="2043">
        <v>818073</v>
      </c>
      <c r="J236">
        <v>42.730000000000004</v>
      </c>
      <c r="K236">
        <v>117</v>
      </c>
      <c r="L236">
        <v>0</v>
      </c>
      <c r="M236">
        <v>40169</v>
      </c>
      <c r="N236">
        <v>0</v>
      </c>
      <c r="O236">
        <v>40169</v>
      </c>
      <c r="P236">
        <v>0</v>
      </c>
      <c r="Q236">
        <v>0</v>
      </c>
      <c r="R236" s="2043">
        <v>3156289</v>
      </c>
      <c r="S236">
        <v>294361</v>
      </c>
      <c r="T236">
        <v>91988</v>
      </c>
      <c r="U236">
        <v>0.08</v>
      </c>
      <c r="V236">
        <v>0</v>
      </c>
      <c r="W236">
        <v>0</v>
      </c>
      <c r="X236">
        <v>0</v>
      </c>
      <c r="Y236">
        <v>0</v>
      </c>
      <c r="Z236">
        <v>0</v>
      </c>
      <c r="AA236">
        <v>0</v>
      </c>
      <c r="AB236">
        <v>832.87900000000002</v>
      </c>
      <c r="AC236" s="2043">
        <v>301693380</v>
      </c>
      <c r="AD236">
        <v>820631</v>
      </c>
      <c r="AE236" s="2043">
        <v>3542638</v>
      </c>
      <c r="AF236">
        <v>0.9628000000000001</v>
      </c>
      <c r="AG236">
        <v>0</v>
      </c>
      <c r="AH236">
        <v>0</v>
      </c>
      <c r="AI236">
        <v>0</v>
      </c>
      <c r="AJ236">
        <v>113.438</v>
      </c>
      <c r="AK236">
        <v>4709</v>
      </c>
      <c r="AL236">
        <v>0</v>
      </c>
      <c r="AM236">
        <v>0</v>
      </c>
      <c r="AN236">
        <v>19.63</v>
      </c>
      <c r="AO236">
        <v>1.4000000000000001</v>
      </c>
      <c r="AP236">
        <v>8.0969999999999995</v>
      </c>
      <c r="AQ236">
        <v>0.82500000000000007</v>
      </c>
      <c r="AR236">
        <v>31.307000000000002</v>
      </c>
      <c r="AS236">
        <v>0</v>
      </c>
      <c r="AT236">
        <v>0</v>
      </c>
      <c r="AU236">
        <v>2.351</v>
      </c>
      <c r="AV236">
        <v>0</v>
      </c>
      <c r="AW236">
        <v>42.58</v>
      </c>
      <c r="AX236">
        <v>0</v>
      </c>
      <c r="AY236">
        <v>127.53800000000001</v>
      </c>
      <c r="AZ236">
        <v>0</v>
      </c>
      <c r="BA236">
        <v>7250274</v>
      </c>
      <c r="BB236">
        <v>4363269</v>
      </c>
      <c r="BC236">
        <v>0</v>
      </c>
      <c r="BD236">
        <v>57865</v>
      </c>
      <c r="BE236">
        <v>216072</v>
      </c>
      <c r="BF236">
        <v>284345</v>
      </c>
      <c r="BG236">
        <v>57865</v>
      </c>
      <c r="BH236">
        <v>10408</v>
      </c>
      <c r="BI236">
        <v>0</v>
      </c>
      <c r="BJ236">
        <v>0</v>
      </c>
      <c r="BK236">
        <v>0</v>
      </c>
      <c r="BL236">
        <v>367700638</v>
      </c>
      <c r="BM236">
        <v>0</v>
      </c>
      <c r="BN236">
        <v>3177</v>
      </c>
      <c r="BO236">
        <v>1648</v>
      </c>
      <c r="BP236">
        <v>0</v>
      </c>
      <c r="BQ236">
        <v>0</v>
      </c>
      <c r="BR236">
        <v>0.85780000000000001</v>
      </c>
      <c r="BS236">
        <v>0.85780000000000001</v>
      </c>
      <c r="BT236">
        <v>0</v>
      </c>
      <c r="BU236">
        <v>0</v>
      </c>
      <c r="BV236">
        <v>360</v>
      </c>
      <c r="BW236">
        <v>93</v>
      </c>
      <c r="BX236">
        <v>21</v>
      </c>
      <c r="BY236">
        <v>10</v>
      </c>
      <c r="BZ236">
        <v>9</v>
      </c>
      <c r="CA236">
        <v>493</v>
      </c>
      <c r="CB236">
        <v>0</v>
      </c>
      <c r="CC236">
        <v>40.953000000000003</v>
      </c>
      <c r="CD236">
        <v>50.862000000000002</v>
      </c>
      <c r="CE236">
        <v>44</v>
      </c>
      <c r="CF236">
        <v>169.464</v>
      </c>
      <c r="CG236">
        <v>0</v>
      </c>
      <c r="CH236">
        <v>0</v>
      </c>
      <c r="CI236">
        <v>4</v>
      </c>
      <c r="CJ236">
        <v>2</v>
      </c>
      <c r="CK236">
        <v>0</v>
      </c>
      <c r="CL236">
        <v>0</v>
      </c>
      <c r="CM236">
        <v>89.9</v>
      </c>
      <c r="CN236">
        <v>0</v>
      </c>
      <c r="CO236">
        <v>0</v>
      </c>
      <c r="CP236">
        <v>0</v>
      </c>
      <c r="CQ236">
        <v>0</v>
      </c>
      <c r="CR236">
        <v>0</v>
      </c>
      <c r="CS236">
        <v>0</v>
      </c>
      <c r="CT236">
        <v>0</v>
      </c>
      <c r="CU236">
        <v>0</v>
      </c>
      <c r="CV236">
        <v>36.427</v>
      </c>
      <c r="CW236">
        <v>12.283000000000001</v>
      </c>
      <c r="CX236">
        <v>0</v>
      </c>
      <c r="CY236" s="2043">
        <v>0</v>
      </c>
      <c r="CZ236" s="2043">
        <v>0</v>
      </c>
      <c r="DA236" s="2043">
        <v>0</v>
      </c>
      <c r="DB236" s="2043">
        <v>0</v>
      </c>
      <c r="DC236" s="2043">
        <v>0</v>
      </c>
      <c r="DI236" t="s">
        <v>2949</v>
      </c>
      <c r="DJ236" t="s">
        <v>2949</v>
      </c>
      <c r="DK236" s="2042">
        <f t="shared" si="5"/>
        <v>0</v>
      </c>
    </row>
    <row r="237" spans="1:115">
      <c r="A237" t="s">
        <v>4979</v>
      </c>
      <c r="B237" t="s">
        <v>285</v>
      </c>
      <c r="C237">
        <v>1071.5930000000001</v>
      </c>
      <c r="D237">
        <v>1105.799</v>
      </c>
      <c r="E237">
        <v>30.772000000000002</v>
      </c>
      <c r="F237">
        <v>0</v>
      </c>
      <c r="G237" s="2043">
        <v>962762137</v>
      </c>
      <c r="H237">
        <v>0</v>
      </c>
      <c r="I237" s="2043">
        <v>1208339</v>
      </c>
      <c r="J237">
        <v>53.58</v>
      </c>
      <c r="K237">
        <v>146</v>
      </c>
      <c r="L237">
        <v>0</v>
      </c>
      <c r="M237">
        <v>0</v>
      </c>
      <c r="N237">
        <v>0</v>
      </c>
      <c r="O237">
        <v>0</v>
      </c>
      <c r="P237">
        <v>0</v>
      </c>
      <c r="Q237">
        <v>0</v>
      </c>
      <c r="R237" s="2043">
        <v>7893411</v>
      </c>
      <c r="S237">
        <v>480135</v>
      </c>
      <c r="T237">
        <v>0</v>
      </c>
      <c r="U237">
        <v>0.05</v>
      </c>
      <c r="V237">
        <v>0</v>
      </c>
      <c r="W237">
        <v>0</v>
      </c>
      <c r="X237">
        <v>0</v>
      </c>
      <c r="Y237">
        <v>0</v>
      </c>
      <c r="Z237">
        <v>0</v>
      </c>
      <c r="AA237">
        <v>0</v>
      </c>
      <c r="AB237">
        <v>1098.9000000000001</v>
      </c>
      <c r="AC237" s="2043">
        <v>736873209</v>
      </c>
      <c r="AD237">
        <v>1308554</v>
      </c>
      <c r="AE237" s="2043">
        <v>8373546</v>
      </c>
      <c r="AF237">
        <v>0.872</v>
      </c>
      <c r="AG237">
        <v>0</v>
      </c>
      <c r="AH237">
        <v>0</v>
      </c>
      <c r="AI237">
        <v>0</v>
      </c>
      <c r="AJ237">
        <v>94.575000000000003</v>
      </c>
      <c r="AK237">
        <v>6227</v>
      </c>
      <c r="AL237">
        <v>0</v>
      </c>
      <c r="AM237">
        <v>0</v>
      </c>
      <c r="AN237">
        <v>35.536999999999999</v>
      </c>
      <c r="AO237">
        <v>0</v>
      </c>
      <c r="AP237">
        <v>6.383</v>
      </c>
      <c r="AQ237">
        <v>0</v>
      </c>
      <c r="AR237">
        <v>45.646000000000001</v>
      </c>
      <c r="AS237">
        <v>0</v>
      </c>
      <c r="AT237">
        <v>2.3740000000000001</v>
      </c>
      <c r="AU237">
        <v>2.8280000000000003</v>
      </c>
      <c r="AV237">
        <v>0</v>
      </c>
      <c r="AW237">
        <v>57.231000000000002</v>
      </c>
      <c r="AX237">
        <v>0</v>
      </c>
      <c r="AY237">
        <v>175.434</v>
      </c>
      <c r="AZ237">
        <v>0</v>
      </c>
      <c r="BA237">
        <v>3299983</v>
      </c>
      <c r="BB237">
        <v>9682100</v>
      </c>
      <c r="BC237">
        <v>0</v>
      </c>
      <c r="BD237">
        <v>125580</v>
      </c>
      <c r="BE237">
        <v>0</v>
      </c>
      <c r="BF237">
        <v>125580</v>
      </c>
      <c r="BG237">
        <v>125580</v>
      </c>
      <c r="BH237">
        <v>0</v>
      </c>
      <c r="BI237">
        <v>0</v>
      </c>
      <c r="BJ237">
        <v>0</v>
      </c>
      <c r="BK237">
        <v>0</v>
      </c>
      <c r="BL237">
        <v>962762137</v>
      </c>
      <c r="BM237">
        <v>0</v>
      </c>
      <c r="BN237">
        <v>3501</v>
      </c>
      <c r="BO237">
        <v>984</v>
      </c>
      <c r="BP237">
        <v>0</v>
      </c>
      <c r="BQ237">
        <v>0</v>
      </c>
      <c r="BR237">
        <v>0.82200000000000006</v>
      </c>
      <c r="BS237">
        <v>0.82200000000000006</v>
      </c>
      <c r="BT237">
        <v>0</v>
      </c>
      <c r="BU237">
        <v>0</v>
      </c>
      <c r="BV237">
        <v>223</v>
      </c>
      <c r="BW237">
        <v>76</v>
      </c>
      <c r="BX237">
        <v>81</v>
      </c>
      <c r="BY237">
        <v>18</v>
      </c>
      <c r="BZ237">
        <v>5</v>
      </c>
      <c r="CA237">
        <v>403</v>
      </c>
      <c r="CB237">
        <v>0</v>
      </c>
      <c r="CC237">
        <v>0</v>
      </c>
      <c r="CD237">
        <v>0</v>
      </c>
      <c r="CE237">
        <v>113</v>
      </c>
      <c r="CF237">
        <v>159.97400000000002</v>
      </c>
      <c r="CG237">
        <v>0</v>
      </c>
      <c r="CH237">
        <v>0</v>
      </c>
      <c r="CI237">
        <v>0</v>
      </c>
      <c r="CJ237">
        <v>5</v>
      </c>
      <c r="CK237">
        <v>1</v>
      </c>
      <c r="CL237">
        <v>0</v>
      </c>
      <c r="CM237">
        <v>30.772000000000002</v>
      </c>
      <c r="CN237">
        <v>0</v>
      </c>
      <c r="CO237">
        <v>0</v>
      </c>
      <c r="CP237">
        <v>0</v>
      </c>
      <c r="CQ237">
        <v>0</v>
      </c>
      <c r="CR237">
        <v>0</v>
      </c>
      <c r="CS237">
        <v>0</v>
      </c>
      <c r="CT237">
        <v>0</v>
      </c>
      <c r="CU237">
        <v>7.3560000000000008</v>
      </c>
      <c r="CV237">
        <v>57</v>
      </c>
      <c r="CW237">
        <v>27.89</v>
      </c>
      <c r="CX237">
        <v>0</v>
      </c>
      <c r="CY237" s="2043">
        <v>0</v>
      </c>
      <c r="CZ237" s="2043">
        <v>0</v>
      </c>
      <c r="DA237" s="2043">
        <v>0</v>
      </c>
      <c r="DB237" s="2043">
        <v>0</v>
      </c>
      <c r="DC237" s="2043">
        <v>182610</v>
      </c>
      <c r="DI237" t="s">
        <v>4979</v>
      </c>
      <c r="DJ237" t="s">
        <v>4979</v>
      </c>
      <c r="DK237" s="2042">
        <f t="shared" si="5"/>
        <v>0</v>
      </c>
    </row>
    <row r="238" spans="1:115">
      <c r="A238" t="s">
        <v>2950</v>
      </c>
      <c r="B238" t="s">
        <v>286</v>
      </c>
      <c r="C238">
        <v>479.22700000000003</v>
      </c>
      <c r="D238">
        <v>460.78800000000001</v>
      </c>
      <c r="E238">
        <v>8.7539999999999996</v>
      </c>
      <c r="F238">
        <v>0</v>
      </c>
      <c r="G238" s="2043">
        <v>269069210</v>
      </c>
      <c r="H238">
        <v>0</v>
      </c>
      <c r="I238" s="2043">
        <v>338200</v>
      </c>
      <c r="J238">
        <v>23.961000000000002</v>
      </c>
      <c r="K238">
        <v>66</v>
      </c>
      <c r="L238">
        <v>0</v>
      </c>
      <c r="M238">
        <v>43739</v>
      </c>
      <c r="N238">
        <v>0</v>
      </c>
      <c r="O238">
        <v>43739</v>
      </c>
      <c r="P238">
        <v>0</v>
      </c>
      <c r="Q238">
        <v>0</v>
      </c>
      <c r="R238" s="2043">
        <v>2248275</v>
      </c>
      <c r="S238">
        <v>136756</v>
      </c>
      <c r="T238">
        <v>0</v>
      </c>
      <c r="U238">
        <v>0.05</v>
      </c>
      <c r="V238">
        <v>0</v>
      </c>
      <c r="W238">
        <v>0</v>
      </c>
      <c r="X238">
        <v>0</v>
      </c>
      <c r="Y238">
        <v>0</v>
      </c>
      <c r="Z238">
        <v>0.93</v>
      </c>
      <c r="AA238">
        <v>0</v>
      </c>
      <c r="AB238">
        <v>460.78800000000001</v>
      </c>
      <c r="AC238" s="2043">
        <v>180287545</v>
      </c>
      <c r="AD238">
        <v>469068</v>
      </c>
      <c r="AE238" s="2043">
        <v>2385031</v>
      </c>
      <c r="AF238">
        <v>0.872</v>
      </c>
      <c r="AG238">
        <v>0</v>
      </c>
      <c r="AH238">
        <v>0</v>
      </c>
      <c r="AI238">
        <v>0</v>
      </c>
      <c r="AJ238">
        <v>38.375</v>
      </c>
      <c r="AK238">
        <v>2652</v>
      </c>
      <c r="AL238">
        <v>0</v>
      </c>
      <c r="AM238">
        <v>0</v>
      </c>
      <c r="AN238">
        <v>21.79</v>
      </c>
      <c r="AO238">
        <v>0</v>
      </c>
      <c r="AP238">
        <v>1.863</v>
      </c>
      <c r="AQ238">
        <v>0</v>
      </c>
      <c r="AR238">
        <v>12.808</v>
      </c>
      <c r="AS238">
        <v>0</v>
      </c>
      <c r="AT238">
        <v>1.409</v>
      </c>
      <c r="AU238">
        <v>1.2710000000000001</v>
      </c>
      <c r="AV238">
        <v>0</v>
      </c>
      <c r="AW238">
        <v>17.350999999999999</v>
      </c>
      <c r="AX238">
        <v>0</v>
      </c>
      <c r="AY238">
        <v>54.036000000000001</v>
      </c>
      <c r="AZ238">
        <v>0</v>
      </c>
      <c r="BA238">
        <v>3628938</v>
      </c>
      <c r="BB238">
        <v>2854099</v>
      </c>
      <c r="BC238">
        <v>0</v>
      </c>
      <c r="BD238">
        <v>53236</v>
      </c>
      <c r="BE238">
        <v>0</v>
      </c>
      <c r="BF238">
        <v>53236</v>
      </c>
      <c r="BG238">
        <v>53236</v>
      </c>
      <c r="BH238">
        <v>0</v>
      </c>
      <c r="BI238">
        <v>0</v>
      </c>
      <c r="BJ238">
        <v>0</v>
      </c>
      <c r="BK238">
        <v>0</v>
      </c>
      <c r="BL238">
        <v>269069210</v>
      </c>
      <c r="BM238">
        <v>0</v>
      </c>
      <c r="BN238">
        <v>1557</v>
      </c>
      <c r="BO238">
        <v>1006</v>
      </c>
      <c r="BP238">
        <v>0</v>
      </c>
      <c r="BQ238">
        <v>0</v>
      </c>
      <c r="BR238">
        <v>0.82200000000000006</v>
      </c>
      <c r="BS238">
        <v>0.82200000000000006</v>
      </c>
      <c r="BT238">
        <v>0</v>
      </c>
      <c r="BU238">
        <v>0</v>
      </c>
      <c r="BV238">
        <v>125</v>
      </c>
      <c r="BW238">
        <v>5</v>
      </c>
      <c r="BX238">
        <v>17</v>
      </c>
      <c r="BY238">
        <v>11</v>
      </c>
      <c r="BZ238">
        <v>7</v>
      </c>
      <c r="CA238">
        <v>165</v>
      </c>
      <c r="CB238">
        <v>0</v>
      </c>
      <c r="CC238">
        <v>0</v>
      </c>
      <c r="CD238">
        <v>0</v>
      </c>
      <c r="CE238">
        <v>29</v>
      </c>
      <c r="CF238">
        <v>50.605000000000004</v>
      </c>
      <c r="CG238">
        <v>0</v>
      </c>
      <c r="CH238">
        <v>0</v>
      </c>
      <c r="CI238">
        <v>1</v>
      </c>
      <c r="CJ238">
        <v>2</v>
      </c>
      <c r="CK238">
        <v>0</v>
      </c>
      <c r="CL238">
        <v>0</v>
      </c>
      <c r="CM238">
        <v>8.7539999999999996</v>
      </c>
      <c r="CN238">
        <v>0</v>
      </c>
      <c r="CO238">
        <v>0</v>
      </c>
      <c r="CP238">
        <v>0</v>
      </c>
      <c r="CQ238">
        <v>0</v>
      </c>
      <c r="CR238">
        <v>0</v>
      </c>
      <c r="CS238">
        <v>0</v>
      </c>
      <c r="CT238">
        <v>0</v>
      </c>
      <c r="CU238">
        <v>6.5580000000000007</v>
      </c>
      <c r="CV238">
        <v>33.19</v>
      </c>
      <c r="CW238">
        <v>23.814</v>
      </c>
      <c r="CX238">
        <v>0</v>
      </c>
      <c r="CY238" s="2043">
        <v>0</v>
      </c>
      <c r="CZ238" s="2043">
        <v>0</v>
      </c>
      <c r="DA238" s="2043">
        <v>0</v>
      </c>
      <c r="DB238" s="2043">
        <v>0</v>
      </c>
      <c r="DC238" s="2043">
        <v>0</v>
      </c>
      <c r="DI238" t="s">
        <v>2950</v>
      </c>
      <c r="DJ238" t="s">
        <v>2950</v>
      </c>
      <c r="DK238" s="2042">
        <f t="shared" si="5"/>
        <v>0</v>
      </c>
    </row>
    <row r="239" spans="1:115">
      <c r="A239" t="s">
        <v>4980</v>
      </c>
      <c r="B239" t="s">
        <v>287</v>
      </c>
      <c r="C239">
        <v>466.23500000000001</v>
      </c>
      <c r="D239">
        <v>505.86</v>
      </c>
      <c r="E239">
        <v>0.997</v>
      </c>
      <c r="F239">
        <v>0</v>
      </c>
      <c r="G239" s="2043">
        <v>367666170</v>
      </c>
      <c r="H239">
        <v>0</v>
      </c>
      <c r="I239" s="2043">
        <v>0</v>
      </c>
      <c r="J239">
        <v>23.312000000000001</v>
      </c>
      <c r="K239">
        <v>64</v>
      </c>
      <c r="L239">
        <v>0</v>
      </c>
      <c r="M239">
        <v>0</v>
      </c>
      <c r="N239">
        <v>0</v>
      </c>
      <c r="O239">
        <v>0</v>
      </c>
      <c r="P239">
        <v>0</v>
      </c>
      <c r="Q239">
        <v>0</v>
      </c>
      <c r="R239" s="2043">
        <v>3324049</v>
      </c>
      <c r="S239">
        <v>186933</v>
      </c>
      <c r="T239">
        <v>0</v>
      </c>
      <c r="U239">
        <v>0.05</v>
      </c>
      <c r="V239">
        <v>0</v>
      </c>
      <c r="W239">
        <v>0</v>
      </c>
      <c r="X239">
        <v>0</v>
      </c>
      <c r="Y239">
        <v>0</v>
      </c>
      <c r="Z239">
        <v>0</v>
      </c>
      <c r="AA239">
        <v>0</v>
      </c>
      <c r="AB239">
        <v>490.47200000000004</v>
      </c>
      <c r="AC239" s="2043">
        <v>524920499</v>
      </c>
      <c r="AD239">
        <v>0</v>
      </c>
      <c r="AE239" s="2043">
        <v>3510982</v>
      </c>
      <c r="AF239">
        <v>0.93910000000000005</v>
      </c>
      <c r="AG239">
        <v>0</v>
      </c>
      <c r="AH239">
        <v>0</v>
      </c>
      <c r="AI239">
        <v>0</v>
      </c>
      <c r="AJ239">
        <v>16.425000000000001</v>
      </c>
      <c r="AK239">
        <v>2178</v>
      </c>
      <c r="AL239">
        <v>0</v>
      </c>
      <c r="AM239">
        <v>0</v>
      </c>
      <c r="AN239">
        <v>18.292000000000002</v>
      </c>
      <c r="AO239">
        <v>0</v>
      </c>
      <c r="AP239">
        <v>0.70100000000000007</v>
      </c>
      <c r="AQ239">
        <v>0</v>
      </c>
      <c r="AR239">
        <v>10.991</v>
      </c>
      <c r="AS239">
        <v>0</v>
      </c>
      <c r="AT239">
        <v>0</v>
      </c>
      <c r="AU239">
        <v>1.8380000000000001</v>
      </c>
      <c r="AV239">
        <v>0</v>
      </c>
      <c r="AW239">
        <v>13.530000000000001</v>
      </c>
      <c r="AX239">
        <v>0</v>
      </c>
      <c r="AY239">
        <v>44.056000000000004</v>
      </c>
      <c r="AZ239">
        <v>0</v>
      </c>
      <c r="BA239">
        <v>2066637</v>
      </c>
      <c r="BB239">
        <v>3510982</v>
      </c>
      <c r="BC239">
        <v>0</v>
      </c>
      <c r="BD239">
        <v>18581</v>
      </c>
      <c r="BE239">
        <v>0</v>
      </c>
      <c r="BF239">
        <v>18581</v>
      </c>
      <c r="BG239">
        <v>18581</v>
      </c>
      <c r="BH239">
        <v>0</v>
      </c>
      <c r="BI239">
        <v>0</v>
      </c>
      <c r="BJ239">
        <v>0</v>
      </c>
      <c r="BK239">
        <v>0</v>
      </c>
      <c r="BL239">
        <v>367666170</v>
      </c>
      <c r="BM239">
        <v>0</v>
      </c>
      <c r="BN239">
        <v>1809</v>
      </c>
      <c r="BO239">
        <v>1787</v>
      </c>
      <c r="BP239">
        <v>0</v>
      </c>
      <c r="BQ239">
        <v>0</v>
      </c>
      <c r="BR239">
        <v>0.8891</v>
      </c>
      <c r="BS239">
        <v>0.8891</v>
      </c>
      <c r="BT239">
        <v>0</v>
      </c>
      <c r="BU239">
        <v>0</v>
      </c>
      <c r="BV239">
        <v>55</v>
      </c>
      <c r="BW239">
        <v>0</v>
      </c>
      <c r="BX239">
        <v>13</v>
      </c>
      <c r="BY239">
        <v>2</v>
      </c>
      <c r="BZ239">
        <v>1</v>
      </c>
      <c r="CA239">
        <v>71</v>
      </c>
      <c r="CB239">
        <v>0</v>
      </c>
      <c r="CC239">
        <v>0</v>
      </c>
      <c r="CD239">
        <v>0</v>
      </c>
      <c r="CE239">
        <v>35</v>
      </c>
      <c r="CF239">
        <v>21.708000000000002</v>
      </c>
      <c r="CG239">
        <v>0</v>
      </c>
      <c r="CH239">
        <v>0</v>
      </c>
      <c r="CI239">
        <v>1</v>
      </c>
      <c r="CJ239">
        <v>11</v>
      </c>
      <c r="CK239">
        <v>0</v>
      </c>
      <c r="CL239">
        <v>0</v>
      </c>
      <c r="CM239">
        <v>0.997</v>
      </c>
      <c r="CN239">
        <v>0</v>
      </c>
      <c r="CO239">
        <v>0</v>
      </c>
      <c r="CP239">
        <v>0</v>
      </c>
      <c r="CQ239">
        <v>0</v>
      </c>
      <c r="CR239">
        <v>0</v>
      </c>
      <c r="CS239">
        <v>0</v>
      </c>
      <c r="CT239">
        <v>0</v>
      </c>
      <c r="CU239">
        <v>0.33200000000000002</v>
      </c>
      <c r="CV239">
        <v>27.408000000000001</v>
      </c>
      <c r="CW239">
        <v>19.234999999999999</v>
      </c>
      <c r="CX239">
        <v>0</v>
      </c>
      <c r="CY239" s="2043">
        <v>0</v>
      </c>
      <c r="CZ239" s="2043">
        <v>0</v>
      </c>
      <c r="DA239" s="2043">
        <v>0</v>
      </c>
      <c r="DB239" s="2043">
        <v>0</v>
      </c>
      <c r="DC239" s="2043">
        <v>0</v>
      </c>
      <c r="DI239" t="s">
        <v>4980</v>
      </c>
      <c r="DJ239" t="s">
        <v>4980</v>
      </c>
      <c r="DK239" s="2042">
        <f t="shared" si="5"/>
        <v>0</v>
      </c>
    </row>
    <row r="240" spans="1:115">
      <c r="A240" t="s">
        <v>5772</v>
      </c>
      <c r="B240" t="s">
        <v>1646</v>
      </c>
      <c r="C240">
        <v>49.965000000000003</v>
      </c>
      <c r="D240">
        <v>55.661000000000001</v>
      </c>
      <c r="E240">
        <v>3.88</v>
      </c>
      <c r="F240">
        <v>0</v>
      </c>
      <c r="G240" s="2043">
        <v>12291559</v>
      </c>
      <c r="H240">
        <v>0</v>
      </c>
      <c r="I240" s="2043">
        <v>0</v>
      </c>
      <c r="J240">
        <v>0</v>
      </c>
      <c r="K240">
        <v>0</v>
      </c>
      <c r="L240">
        <v>0</v>
      </c>
      <c r="M240">
        <v>0</v>
      </c>
      <c r="N240">
        <v>0</v>
      </c>
      <c r="O240">
        <v>0</v>
      </c>
      <c r="P240">
        <v>0</v>
      </c>
      <c r="Q240">
        <v>0</v>
      </c>
      <c r="R240" s="2043">
        <v>109431</v>
      </c>
      <c r="S240">
        <v>5990</v>
      </c>
      <c r="T240">
        <v>0</v>
      </c>
      <c r="U240">
        <v>0.05</v>
      </c>
      <c r="V240">
        <v>0</v>
      </c>
      <c r="W240">
        <v>0</v>
      </c>
      <c r="X240">
        <v>0</v>
      </c>
      <c r="Y240">
        <v>0</v>
      </c>
      <c r="Z240">
        <v>0</v>
      </c>
      <c r="AA240">
        <v>0</v>
      </c>
      <c r="AB240">
        <v>55.661000000000001</v>
      </c>
      <c r="AC240" s="2043">
        <v>14038393</v>
      </c>
      <c r="AD240">
        <v>0</v>
      </c>
      <c r="AE240" s="2043">
        <v>115421</v>
      </c>
      <c r="AF240">
        <v>0.96340000000000003</v>
      </c>
      <c r="AG240">
        <v>0</v>
      </c>
      <c r="AH240">
        <v>0</v>
      </c>
      <c r="AI240">
        <v>0</v>
      </c>
      <c r="AJ240">
        <v>12.363000000000001</v>
      </c>
      <c r="AK240">
        <v>72</v>
      </c>
      <c r="AL240">
        <v>0</v>
      </c>
      <c r="AM240">
        <v>0</v>
      </c>
      <c r="AN240">
        <v>0.99099999999999999</v>
      </c>
      <c r="AO240">
        <v>0</v>
      </c>
      <c r="AP240">
        <v>0</v>
      </c>
      <c r="AQ240">
        <v>0</v>
      </c>
      <c r="AR240">
        <v>0.10300000000000001</v>
      </c>
      <c r="AS240">
        <v>0</v>
      </c>
      <c r="AT240">
        <v>0</v>
      </c>
      <c r="AU240">
        <v>0.10400000000000001</v>
      </c>
      <c r="AV240">
        <v>0</v>
      </c>
      <c r="AW240">
        <v>0.20700000000000002</v>
      </c>
      <c r="AX240">
        <v>0</v>
      </c>
      <c r="AY240">
        <v>0.82900000000000007</v>
      </c>
      <c r="AZ240">
        <v>0</v>
      </c>
      <c r="BA240">
        <v>828402</v>
      </c>
      <c r="BB240">
        <v>115421</v>
      </c>
      <c r="BC240">
        <v>0</v>
      </c>
      <c r="BD240">
        <v>17305</v>
      </c>
      <c r="BE240">
        <v>0</v>
      </c>
      <c r="BF240">
        <v>17305</v>
      </c>
      <c r="BG240">
        <v>17305</v>
      </c>
      <c r="BH240">
        <v>0</v>
      </c>
      <c r="BI240">
        <v>0</v>
      </c>
      <c r="BJ240">
        <v>0</v>
      </c>
      <c r="BK240">
        <v>0</v>
      </c>
      <c r="BL240">
        <v>12291559</v>
      </c>
      <c r="BM240">
        <v>0</v>
      </c>
      <c r="BN240">
        <v>0</v>
      </c>
      <c r="BO240">
        <v>0</v>
      </c>
      <c r="BP240">
        <v>0</v>
      </c>
      <c r="BQ240">
        <v>0</v>
      </c>
      <c r="BR240">
        <v>0.91339999999999999</v>
      </c>
      <c r="BS240">
        <v>0.91339999999999999</v>
      </c>
      <c r="BT240">
        <v>0</v>
      </c>
      <c r="BU240">
        <v>0</v>
      </c>
      <c r="BV240">
        <v>2</v>
      </c>
      <c r="BW240">
        <v>16</v>
      </c>
      <c r="BX240">
        <v>23</v>
      </c>
      <c r="BY240">
        <v>9</v>
      </c>
      <c r="BZ240">
        <v>0</v>
      </c>
      <c r="CA240">
        <v>50</v>
      </c>
      <c r="CB240">
        <v>0</v>
      </c>
      <c r="CC240">
        <v>0</v>
      </c>
      <c r="CD240">
        <v>0</v>
      </c>
      <c r="CE240">
        <v>4</v>
      </c>
      <c r="CF240">
        <v>21.542000000000002</v>
      </c>
      <c r="CG240">
        <v>0</v>
      </c>
      <c r="CH240">
        <v>0</v>
      </c>
      <c r="CI240">
        <v>0</v>
      </c>
      <c r="CJ240">
        <v>0</v>
      </c>
      <c r="CK240">
        <v>0</v>
      </c>
      <c r="CL240">
        <v>0</v>
      </c>
      <c r="CM240">
        <v>3.88</v>
      </c>
      <c r="CN240">
        <v>0</v>
      </c>
      <c r="CO240">
        <v>0</v>
      </c>
      <c r="CP240">
        <v>0</v>
      </c>
      <c r="CQ240">
        <v>0</v>
      </c>
      <c r="CR240">
        <v>0</v>
      </c>
      <c r="CS240">
        <v>0</v>
      </c>
      <c r="CT240">
        <v>0</v>
      </c>
      <c r="CU240">
        <v>0</v>
      </c>
      <c r="CV240">
        <v>0</v>
      </c>
      <c r="CW240">
        <v>0</v>
      </c>
      <c r="CX240">
        <v>0</v>
      </c>
      <c r="CY240" s="2043">
        <v>0</v>
      </c>
      <c r="CZ240" s="2043">
        <v>0</v>
      </c>
      <c r="DA240" s="2043">
        <v>0</v>
      </c>
      <c r="DB240" s="2043">
        <v>0</v>
      </c>
      <c r="DC240" s="2043">
        <v>0</v>
      </c>
      <c r="DI240" t="s">
        <v>5772</v>
      </c>
      <c r="DJ240" t="s">
        <v>5772</v>
      </c>
      <c r="DK240" s="2042">
        <f t="shared" si="5"/>
        <v>0</v>
      </c>
    </row>
    <row r="241" spans="1:115">
      <c r="A241" t="s">
        <v>5773</v>
      </c>
      <c r="B241" t="s">
        <v>1647</v>
      </c>
      <c r="C241">
        <v>55.911000000000001</v>
      </c>
      <c r="D241">
        <v>64.102000000000004</v>
      </c>
      <c r="E241">
        <v>0</v>
      </c>
      <c r="F241">
        <v>0</v>
      </c>
      <c r="G241" s="2043">
        <v>196771836</v>
      </c>
      <c r="H241">
        <v>0</v>
      </c>
      <c r="I241" s="2043">
        <v>0</v>
      </c>
      <c r="J241">
        <v>2.7960000000000003</v>
      </c>
      <c r="K241">
        <v>8</v>
      </c>
      <c r="L241">
        <v>0</v>
      </c>
      <c r="M241">
        <v>0</v>
      </c>
      <c r="N241">
        <v>0</v>
      </c>
      <c r="O241">
        <v>0</v>
      </c>
      <c r="P241">
        <v>0</v>
      </c>
      <c r="Q241">
        <v>0</v>
      </c>
      <c r="R241" s="2043">
        <v>1646098</v>
      </c>
      <c r="S241">
        <v>68140</v>
      </c>
      <c r="T241">
        <v>0</v>
      </c>
      <c r="U241">
        <v>0.03</v>
      </c>
      <c r="V241">
        <v>0</v>
      </c>
      <c r="W241">
        <v>719720</v>
      </c>
      <c r="X241">
        <v>0</v>
      </c>
      <c r="Y241">
        <v>248301</v>
      </c>
      <c r="Z241">
        <v>0</v>
      </c>
      <c r="AA241">
        <v>0</v>
      </c>
      <c r="AB241">
        <v>64.102000000000004</v>
      </c>
      <c r="AC241" s="2043">
        <v>145698139</v>
      </c>
      <c r="AD241">
        <v>0</v>
      </c>
      <c r="AE241" s="2043">
        <v>1714238</v>
      </c>
      <c r="AF241">
        <v>0.878</v>
      </c>
      <c r="AG241">
        <v>0</v>
      </c>
      <c r="AH241">
        <v>719720</v>
      </c>
      <c r="AI241">
        <v>0</v>
      </c>
      <c r="AJ241">
        <v>11.913</v>
      </c>
      <c r="AK241">
        <v>297</v>
      </c>
      <c r="AL241">
        <v>0</v>
      </c>
      <c r="AM241">
        <v>0</v>
      </c>
      <c r="AN241">
        <v>1.2490000000000001</v>
      </c>
      <c r="AO241">
        <v>0</v>
      </c>
      <c r="AP241">
        <v>0</v>
      </c>
      <c r="AQ241">
        <v>0</v>
      </c>
      <c r="AR241">
        <v>1.9340000000000002</v>
      </c>
      <c r="AS241">
        <v>0</v>
      </c>
      <c r="AT241">
        <v>0</v>
      </c>
      <c r="AU241">
        <v>0.17900000000000002</v>
      </c>
      <c r="AV241">
        <v>0</v>
      </c>
      <c r="AW241">
        <v>2.113</v>
      </c>
      <c r="AX241">
        <v>0</v>
      </c>
      <c r="AY241">
        <v>6.6970000000000001</v>
      </c>
      <c r="AZ241">
        <v>0</v>
      </c>
      <c r="BA241">
        <v>281050</v>
      </c>
      <c r="BB241">
        <v>1714238</v>
      </c>
      <c r="BC241">
        <v>0</v>
      </c>
      <c r="BD241">
        <v>29370</v>
      </c>
      <c r="BE241">
        <v>0</v>
      </c>
      <c r="BF241">
        <v>29370</v>
      </c>
      <c r="BG241">
        <v>29370</v>
      </c>
      <c r="BH241">
        <v>0</v>
      </c>
      <c r="BI241">
        <v>0</v>
      </c>
      <c r="BJ241">
        <v>0</v>
      </c>
      <c r="BK241">
        <v>0</v>
      </c>
      <c r="BL241">
        <v>196771836</v>
      </c>
      <c r="BM241">
        <v>0</v>
      </c>
      <c r="BN241">
        <v>0</v>
      </c>
      <c r="BO241">
        <v>0</v>
      </c>
      <c r="BP241">
        <v>0</v>
      </c>
      <c r="BQ241">
        <v>0</v>
      </c>
      <c r="BR241">
        <v>0.84310000000000007</v>
      </c>
      <c r="BS241">
        <v>0.84310000000000007</v>
      </c>
      <c r="BT241">
        <v>0</v>
      </c>
      <c r="BU241">
        <v>0</v>
      </c>
      <c r="BV241">
        <v>8</v>
      </c>
      <c r="BW241">
        <v>0</v>
      </c>
      <c r="BX241">
        <v>17</v>
      </c>
      <c r="BY241">
        <v>15</v>
      </c>
      <c r="BZ241">
        <v>7</v>
      </c>
      <c r="CA241">
        <v>47</v>
      </c>
      <c r="CB241">
        <v>0</v>
      </c>
      <c r="CC241">
        <v>0</v>
      </c>
      <c r="CD241">
        <v>0</v>
      </c>
      <c r="CE241">
        <v>3</v>
      </c>
      <c r="CF241">
        <v>17.816000000000003</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s="2043">
        <v>248301</v>
      </c>
      <c r="CZ241" s="2043">
        <v>0</v>
      </c>
      <c r="DA241" s="2043">
        <v>0</v>
      </c>
      <c r="DB241" s="2043">
        <v>0</v>
      </c>
      <c r="DC241" s="2043">
        <v>40916</v>
      </c>
      <c r="DI241" t="s">
        <v>5773</v>
      </c>
      <c r="DJ241" t="s">
        <v>5773</v>
      </c>
      <c r="DK241" s="2042">
        <f t="shared" si="5"/>
        <v>0</v>
      </c>
    </row>
    <row r="242" spans="1:115">
      <c r="A242" t="s">
        <v>5774</v>
      </c>
      <c r="B242" t="s">
        <v>1240</v>
      </c>
      <c r="C242">
        <v>187.10900000000001</v>
      </c>
      <c r="D242">
        <v>253.66800000000001</v>
      </c>
      <c r="E242">
        <v>25.605</v>
      </c>
      <c r="F242">
        <v>0</v>
      </c>
      <c r="G242" s="2043">
        <v>141145351</v>
      </c>
      <c r="H242">
        <v>0</v>
      </c>
      <c r="I242" s="2043">
        <v>0</v>
      </c>
      <c r="J242">
        <v>9.3550000000000004</v>
      </c>
      <c r="K242">
        <v>26</v>
      </c>
      <c r="L242">
        <v>0</v>
      </c>
      <c r="M242">
        <v>0</v>
      </c>
      <c r="N242">
        <v>0</v>
      </c>
      <c r="O242">
        <v>0</v>
      </c>
      <c r="P242">
        <v>0</v>
      </c>
      <c r="Q242">
        <v>0</v>
      </c>
      <c r="R242" s="2043">
        <v>1164460</v>
      </c>
      <c r="S242">
        <v>70831</v>
      </c>
      <c r="T242">
        <v>0</v>
      </c>
      <c r="U242">
        <v>0.05</v>
      </c>
      <c r="V242">
        <v>0</v>
      </c>
      <c r="W242">
        <v>0</v>
      </c>
      <c r="X242">
        <v>0</v>
      </c>
      <c r="Y242">
        <v>0</v>
      </c>
      <c r="Z242">
        <v>0</v>
      </c>
      <c r="AA242">
        <v>0.114</v>
      </c>
      <c r="AB242">
        <v>253.28800000000001</v>
      </c>
      <c r="AC242" s="2043">
        <v>104808388</v>
      </c>
      <c r="AD242">
        <v>0</v>
      </c>
      <c r="AE242" s="2043">
        <v>1235291</v>
      </c>
      <c r="AF242">
        <v>0.872</v>
      </c>
      <c r="AG242">
        <v>0</v>
      </c>
      <c r="AH242">
        <v>0</v>
      </c>
      <c r="AI242">
        <v>0</v>
      </c>
      <c r="AJ242">
        <v>30.8</v>
      </c>
      <c r="AK242">
        <v>899</v>
      </c>
      <c r="AL242">
        <v>0.13800000000000001</v>
      </c>
      <c r="AM242">
        <v>0</v>
      </c>
      <c r="AN242">
        <v>15.284000000000001</v>
      </c>
      <c r="AO242">
        <v>0</v>
      </c>
      <c r="AP242">
        <v>0</v>
      </c>
      <c r="AQ242">
        <v>0</v>
      </c>
      <c r="AR242">
        <v>0.89</v>
      </c>
      <c r="AS242">
        <v>0</v>
      </c>
      <c r="AT242">
        <v>0.82300000000000006</v>
      </c>
      <c r="AU242">
        <v>0.36399999999999999</v>
      </c>
      <c r="AV242">
        <v>0</v>
      </c>
      <c r="AW242">
        <v>2.2150000000000003</v>
      </c>
      <c r="AX242">
        <v>0</v>
      </c>
      <c r="AY242">
        <v>7.649</v>
      </c>
      <c r="AZ242">
        <v>0</v>
      </c>
      <c r="BA242">
        <v>1371899</v>
      </c>
      <c r="BB242">
        <v>1235291</v>
      </c>
      <c r="BC242">
        <v>0</v>
      </c>
      <c r="BD242">
        <v>46989</v>
      </c>
      <c r="BE242">
        <v>0</v>
      </c>
      <c r="BF242">
        <v>46989</v>
      </c>
      <c r="BG242">
        <v>46989</v>
      </c>
      <c r="BH242">
        <v>0</v>
      </c>
      <c r="BI242">
        <v>0</v>
      </c>
      <c r="BJ242">
        <v>0</v>
      </c>
      <c r="BK242">
        <v>0</v>
      </c>
      <c r="BL242">
        <v>141145351</v>
      </c>
      <c r="BM242">
        <v>0</v>
      </c>
      <c r="BN242">
        <v>774</v>
      </c>
      <c r="BO242">
        <v>514</v>
      </c>
      <c r="BP242">
        <v>0</v>
      </c>
      <c r="BQ242">
        <v>0</v>
      </c>
      <c r="BR242">
        <v>0.82200000000000006</v>
      </c>
      <c r="BS242">
        <v>0.82200000000000006</v>
      </c>
      <c r="BT242">
        <v>0</v>
      </c>
      <c r="BU242">
        <v>0</v>
      </c>
      <c r="BV242">
        <v>131</v>
      </c>
      <c r="BW242">
        <v>0</v>
      </c>
      <c r="BX242">
        <v>0</v>
      </c>
      <c r="BY242">
        <v>4</v>
      </c>
      <c r="BZ242">
        <v>1</v>
      </c>
      <c r="CA242">
        <v>136</v>
      </c>
      <c r="CB242">
        <v>0</v>
      </c>
      <c r="CC242">
        <v>0</v>
      </c>
      <c r="CD242">
        <v>0</v>
      </c>
      <c r="CE242">
        <v>40</v>
      </c>
      <c r="CF242">
        <v>51.681000000000004</v>
      </c>
      <c r="CG242">
        <v>0</v>
      </c>
      <c r="CH242">
        <v>0</v>
      </c>
      <c r="CI242">
        <v>0</v>
      </c>
      <c r="CJ242">
        <v>0</v>
      </c>
      <c r="CK242">
        <v>0</v>
      </c>
      <c r="CL242">
        <v>0</v>
      </c>
      <c r="CM242">
        <v>25.605</v>
      </c>
      <c r="CN242">
        <v>0</v>
      </c>
      <c r="CO242">
        <v>0</v>
      </c>
      <c r="CP242">
        <v>0</v>
      </c>
      <c r="CQ242">
        <v>0</v>
      </c>
      <c r="CR242">
        <v>0</v>
      </c>
      <c r="CS242">
        <v>0</v>
      </c>
      <c r="CT242">
        <v>0</v>
      </c>
      <c r="CU242">
        <v>0</v>
      </c>
      <c r="CV242">
        <v>9.1270000000000007</v>
      </c>
      <c r="CW242">
        <v>7.7960000000000003</v>
      </c>
      <c r="CX242">
        <v>0</v>
      </c>
      <c r="CY242" s="2043">
        <v>0</v>
      </c>
      <c r="CZ242" s="2043">
        <v>0</v>
      </c>
      <c r="DA242" s="2043">
        <v>0</v>
      </c>
      <c r="DB242" s="2043">
        <v>0</v>
      </c>
      <c r="DC242" s="2043">
        <v>0</v>
      </c>
      <c r="DI242" t="s">
        <v>5774</v>
      </c>
      <c r="DJ242" t="s">
        <v>5774</v>
      </c>
      <c r="DK242" s="2042">
        <f t="shared" si="5"/>
        <v>0</v>
      </c>
    </row>
    <row r="243" spans="1:115">
      <c r="A243" t="s">
        <v>4981</v>
      </c>
      <c r="B243" t="s">
        <v>1042</v>
      </c>
      <c r="C243">
        <v>2469.0240000000003</v>
      </c>
      <c r="D243">
        <v>2621.13</v>
      </c>
      <c r="E243">
        <v>116.03100000000001</v>
      </c>
      <c r="F243">
        <v>0</v>
      </c>
      <c r="G243" s="2043">
        <v>989173682</v>
      </c>
      <c r="H243">
        <v>0</v>
      </c>
      <c r="I243" s="2043">
        <v>1992806</v>
      </c>
      <c r="J243">
        <v>123.45100000000001</v>
      </c>
      <c r="K243">
        <v>337</v>
      </c>
      <c r="L243">
        <v>0</v>
      </c>
      <c r="M243">
        <v>635894</v>
      </c>
      <c r="N243">
        <v>0</v>
      </c>
      <c r="O243">
        <v>635894</v>
      </c>
      <c r="P243">
        <v>0</v>
      </c>
      <c r="Q243">
        <v>0</v>
      </c>
      <c r="R243" s="2043">
        <v>8038125</v>
      </c>
      <c r="S243">
        <v>391150</v>
      </c>
      <c r="T243">
        <v>0</v>
      </c>
      <c r="U243">
        <v>0.04</v>
      </c>
      <c r="V243">
        <v>0</v>
      </c>
      <c r="W243">
        <v>0</v>
      </c>
      <c r="X243">
        <v>0</v>
      </c>
      <c r="Y243">
        <v>0</v>
      </c>
      <c r="Z243">
        <v>0</v>
      </c>
      <c r="AA243">
        <v>0.32500000000000001</v>
      </c>
      <c r="AB243">
        <v>2557.1860000000001</v>
      </c>
      <c r="AC243" s="2043">
        <v>823079003</v>
      </c>
      <c r="AD243">
        <v>2002125</v>
      </c>
      <c r="AE243" s="2043">
        <v>8429275</v>
      </c>
      <c r="AF243">
        <v>0.86199999999999999</v>
      </c>
      <c r="AG243">
        <v>0</v>
      </c>
      <c r="AH243">
        <v>0</v>
      </c>
      <c r="AI243">
        <v>0</v>
      </c>
      <c r="AJ243">
        <v>387.1</v>
      </c>
      <c r="AK243">
        <v>9926</v>
      </c>
      <c r="AL243">
        <v>0.10400000000000001</v>
      </c>
      <c r="AM243">
        <v>0</v>
      </c>
      <c r="AN243">
        <v>87.899000000000001</v>
      </c>
      <c r="AO243">
        <v>0</v>
      </c>
      <c r="AP243">
        <v>0</v>
      </c>
      <c r="AQ243">
        <v>0</v>
      </c>
      <c r="AR243">
        <v>62.507000000000005</v>
      </c>
      <c r="AS243">
        <v>0</v>
      </c>
      <c r="AT243">
        <v>27.79</v>
      </c>
      <c r="AU243">
        <v>7.2640000000000002</v>
      </c>
      <c r="AV243">
        <v>0</v>
      </c>
      <c r="AW243">
        <v>97.875</v>
      </c>
      <c r="AX243">
        <v>0.21</v>
      </c>
      <c r="AY243">
        <v>308.214</v>
      </c>
      <c r="AZ243">
        <v>0</v>
      </c>
      <c r="BA243">
        <v>15199492</v>
      </c>
      <c r="BB243">
        <v>10431400</v>
      </c>
      <c r="BC243">
        <v>0</v>
      </c>
      <c r="BD243">
        <v>204107</v>
      </c>
      <c r="BE243">
        <v>76324</v>
      </c>
      <c r="BF243">
        <v>280431</v>
      </c>
      <c r="BG243">
        <v>204107</v>
      </c>
      <c r="BH243">
        <v>0</v>
      </c>
      <c r="BI243">
        <v>0</v>
      </c>
      <c r="BJ243">
        <v>0</v>
      </c>
      <c r="BK243">
        <v>0</v>
      </c>
      <c r="BL243">
        <v>989173682</v>
      </c>
      <c r="BM243">
        <v>0</v>
      </c>
      <c r="BN243">
        <v>10161</v>
      </c>
      <c r="BO243">
        <v>7126</v>
      </c>
      <c r="BP243">
        <v>0</v>
      </c>
      <c r="BQ243">
        <v>0</v>
      </c>
      <c r="BR243">
        <v>0.82200000000000006</v>
      </c>
      <c r="BS243">
        <v>0.82200000000000006</v>
      </c>
      <c r="BT243">
        <v>0</v>
      </c>
      <c r="BU243">
        <v>0</v>
      </c>
      <c r="BV243">
        <v>157</v>
      </c>
      <c r="BW243">
        <v>547</v>
      </c>
      <c r="BX243">
        <v>538</v>
      </c>
      <c r="BY243">
        <v>315</v>
      </c>
      <c r="BZ243">
        <v>17</v>
      </c>
      <c r="CA243">
        <v>1574</v>
      </c>
      <c r="CB243">
        <v>0</v>
      </c>
      <c r="CC243">
        <v>0</v>
      </c>
      <c r="CD243">
        <v>0</v>
      </c>
      <c r="CE243">
        <v>346</v>
      </c>
      <c r="CF243">
        <v>504.38400000000001</v>
      </c>
      <c r="CG243">
        <v>0</v>
      </c>
      <c r="CH243">
        <v>0</v>
      </c>
      <c r="CI243">
        <v>8</v>
      </c>
      <c r="CJ243">
        <v>30</v>
      </c>
      <c r="CK243">
        <v>0</v>
      </c>
      <c r="CL243">
        <v>0</v>
      </c>
      <c r="CM243">
        <v>116.03100000000001</v>
      </c>
      <c r="CN243">
        <v>0</v>
      </c>
      <c r="CO243">
        <v>0</v>
      </c>
      <c r="CP243">
        <v>0</v>
      </c>
      <c r="CQ243">
        <v>0</v>
      </c>
      <c r="CR243">
        <v>0</v>
      </c>
      <c r="CS243">
        <v>0</v>
      </c>
      <c r="CT243">
        <v>0</v>
      </c>
      <c r="CU243">
        <v>1.329</v>
      </c>
      <c r="CV243">
        <v>126.911</v>
      </c>
      <c r="CW243">
        <v>74.631</v>
      </c>
      <c r="CX243">
        <v>0</v>
      </c>
      <c r="CY243" s="2043">
        <v>0</v>
      </c>
      <c r="CZ243" s="2043">
        <v>0</v>
      </c>
      <c r="DA243" s="2043">
        <v>0</v>
      </c>
      <c r="DB243" s="2043">
        <v>0</v>
      </c>
      <c r="DC243" s="2043">
        <v>0</v>
      </c>
      <c r="DI243" t="s">
        <v>4981</v>
      </c>
      <c r="DJ243" t="s">
        <v>4981</v>
      </c>
      <c r="DK243" s="2042">
        <f t="shared" si="5"/>
        <v>0</v>
      </c>
    </row>
    <row r="244" spans="1:115">
      <c r="A244" t="s">
        <v>2951</v>
      </c>
      <c r="B244" t="s">
        <v>2029</v>
      </c>
      <c r="C244">
        <v>181.184</v>
      </c>
      <c r="D244">
        <v>171.983</v>
      </c>
      <c r="E244">
        <v>8.83</v>
      </c>
      <c r="F244">
        <v>0</v>
      </c>
      <c r="G244" s="2043">
        <v>116428153</v>
      </c>
      <c r="H244">
        <v>0</v>
      </c>
      <c r="I244" s="2043">
        <v>0</v>
      </c>
      <c r="J244">
        <v>4</v>
      </c>
      <c r="K244">
        <v>11</v>
      </c>
      <c r="L244">
        <v>0</v>
      </c>
      <c r="M244">
        <v>0</v>
      </c>
      <c r="N244">
        <v>0</v>
      </c>
      <c r="O244">
        <v>0</v>
      </c>
      <c r="P244">
        <v>0</v>
      </c>
      <c r="Q244">
        <v>0</v>
      </c>
      <c r="R244" s="2043">
        <v>965785</v>
      </c>
      <c r="S244">
        <v>93994</v>
      </c>
      <c r="T244">
        <v>68497</v>
      </c>
      <c r="U244">
        <v>0.08</v>
      </c>
      <c r="V244">
        <v>0</v>
      </c>
      <c r="W244">
        <v>0</v>
      </c>
      <c r="X244">
        <v>0</v>
      </c>
      <c r="Y244">
        <v>0</v>
      </c>
      <c r="Z244">
        <v>0</v>
      </c>
      <c r="AA244">
        <v>0</v>
      </c>
      <c r="AB244">
        <v>171.983</v>
      </c>
      <c r="AC244" s="2043">
        <v>70241211</v>
      </c>
      <c r="AD244">
        <v>0</v>
      </c>
      <c r="AE244" s="2043">
        <v>1128276</v>
      </c>
      <c r="AF244">
        <v>0.96030000000000004</v>
      </c>
      <c r="AG244">
        <v>0</v>
      </c>
      <c r="AH244">
        <v>0</v>
      </c>
      <c r="AI244">
        <v>0</v>
      </c>
      <c r="AJ244">
        <v>27.213000000000001</v>
      </c>
      <c r="AK244">
        <v>772</v>
      </c>
      <c r="AL244">
        <v>0</v>
      </c>
      <c r="AM244">
        <v>0</v>
      </c>
      <c r="AN244">
        <v>5.6110000000000007</v>
      </c>
      <c r="AO244">
        <v>0</v>
      </c>
      <c r="AP244">
        <v>0.17300000000000001</v>
      </c>
      <c r="AQ244">
        <v>0</v>
      </c>
      <c r="AR244">
        <v>4.5730000000000004</v>
      </c>
      <c r="AS244">
        <v>0</v>
      </c>
      <c r="AT244">
        <v>0</v>
      </c>
      <c r="AU244">
        <v>0.19900000000000001</v>
      </c>
      <c r="AV244">
        <v>0</v>
      </c>
      <c r="AW244">
        <v>4.9450000000000003</v>
      </c>
      <c r="AX244">
        <v>0</v>
      </c>
      <c r="AY244">
        <v>15.181000000000001</v>
      </c>
      <c r="AZ244">
        <v>0</v>
      </c>
      <c r="BA244">
        <v>1465450</v>
      </c>
      <c r="BB244">
        <v>1128276</v>
      </c>
      <c r="BC244">
        <v>0</v>
      </c>
      <c r="BD244">
        <v>18328</v>
      </c>
      <c r="BE244">
        <v>994</v>
      </c>
      <c r="BF244">
        <v>19322</v>
      </c>
      <c r="BG244">
        <v>18328</v>
      </c>
      <c r="BH244">
        <v>0</v>
      </c>
      <c r="BI244">
        <v>0</v>
      </c>
      <c r="BJ244">
        <v>0</v>
      </c>
      <c r="BK244">
        <v>0</v>
      </c>
      <c r="BL244">
        <v>116428153</v>
      </c>
      <c r="BM244">
        <v>0</v>
      </c>
      <c r="BN244">
        <v>576</v>
      </c>
      <c r="BO244">
        <v>278</v>
      </c>
      <c r="BP244">
        <v>0</v>
      </c>
      <c r="BQ244">
        <v>0</v>
      </c>
      <c r="BR244">
        <v>0.82200000000000006</v>
      </c>
      <c r="BS244">
        <v>0.82200000000000006</v>
      </c>
      <c r="BT244">
        <v>0</v>
      </c>
      <c r="BU244">
        <v>0</v>
      </c>
      <c r="BV244">
        <v>4</v>
      </c>
      <c r="BW244">
        <v>93</v>
      </c>
      <c r="BX244">
        <v>7</v>
      </c>
      <c r="BY244">
        <v>0</v>
      </c>
      <c r="BZ244">
        <v>9</v>
      </c>
      <c r="CA244">
        <v>113</v>
      </c>
      <c r="CB244">
        <v>0</v>
      </c>
      <c r="CC244">
        <v>0</v>
      </c>
      <c r="CD244">
        <v>0</v>
      </c>
      <c r="CE244">
        <v>12</v>
      </c>
      <c r="CF244">
        <v>30.71</v>
      </c>
      <c r="CG244">
        <v>0</v>
      </c>
      <c r="CH244">
        <v>0</v>
      </c>
      <c r="CI244">
        <v>0</v>
      </c>
      <c r="CJ244">
        <v>1</v>
      </c>
      <c r="CK244">
        <v>0</v>
      </c>
      <c r="CL244">
        <v>0</v>
      </c>
      <c r="CM244">
        <v>8.83</v>
      </c>
      <c r="CN244">
        <v>0</v>
      </c>
      <c r="CO244">
        <v>0</v>
      </c>
      <c r="CP244">
        <v>0</v>
      </c>
      <c r="CQ244">
        <v>0</v>
      </c>
      <c r="CR244">
        <v>0</v>
      </c>
      <c r="CS244">
        <v>0</v>
      </c>
      <c r="CT244">
        <v>0</v>
      </c>
      <c r="CU244">
        <v>0</v>
      </c>
      <c r="CV244">
        <v>8.4480000000000004</v>
      </c>
      <c r="CW244">
        <v>4.9580000000000002</v>
      </c>
      <c r="CX244">
        <v>0</v>
      </c>
      <c r="CY244" s="2043">
        <v>0</v>
      </c>
      <c r="CZ244" s="2043">
        <v>0</v>
      </c>
      <c r="DA244" s="2043">
        <v>0</v>
      </c>
      <c r="DB244" s="2043">
        <v>0</v>
      </c>
      <c r="DC244" s="2043">
        <v>0</v>
      </c>
      <c r="DI244" t="s">
        <v>2951</v>
      </c>
      <c r="DJ244" t="s">
        <v>2951</v>
      </c>
      <c r="DK244" s="2042">
        <f t="shared" si="5"/>
        <v>0</v>
      </c>
    </row>
    <row r="245" spans="1:115">
      <c r="A245" t="s">
        <v>4982</v>
      </c>
      <c r="B245" t="s">
        <v>1043</v>
      </c>
      <c r="C245">
        <v>310.74600000000004</v>
      </c>
      <c r="D245">
        <v>321.197</v>
      </c>
      <c r="E245">
        <v>0</v>
      </c>
      <c r="F245">
        <v>0</v>
      </c>
      <c r="G245" s="2043">
        <v>122281959</v>
      </c>
      <c r="H245">
        <v>0</v>
      </c>
      <c r="I245" s="2043">
        <v>50000</v>
      </c>
      <c r="J245">
        <v>2</v>
      </c>
      <c r="K245">
        <v>5</v>
      </c>
      <c r="L245">
        <v>0</v>
      </c>
      <c r="M245">
        <v>0</v>
      </c>
      <c r="N245">
        <v>0</v>
      </c>
      <c r="O245">
        <v>0</v>
      </c>
      <c r="P245">
        <v>0</v>
      </c>
      <c r="Q245">
        <v>0</v>
      </c>
      <c r="R245" s="2043">
        <v>992916</v>
      </c>
      <c r="S245">
        <v>96634</v>
      </c>
      <c r="T245">
        <v>70422</v>
      </c>
      <c r="U245">
        <v>0.08</v>
      </c>
      <c r="V245">
        <v>0</v>
      </c>
      <c r="W245">
        <v>0</v>
      </c>
      <c r="X245">
        <v>0</v>
      </c>
      <c r="Y245">
        <v>-4029</v>
      </c>
      <c r="Z245">
        <v>0</v>
      </c>
      <c r="AA245">
        <v>0</v>
      </c>
      <c r="AB245">
        <v>301.54700000000003</v>
      </c>
      <c r="AC245" s="2043">
        <v>84750483</v>
      </c>
      <c r="AD245">
        <v>118304</v>
      </c>
      <c r="AE245" s="2043">
        <v>1159972</v>
      </c>
      <c r="AF245">
        <v>0.96030000000000004</v>
      </c>
      <c r="AG245">
        <v>0</v>
      </c>
      <c r="AH245">
        <v>0</v>
      </c>
      <c r="AI245">
        <v>0</v>
      </c>
      <c r="AJ245">
        <v>35.274999999999999</v>
      </c>
      <c r="AK245">
        <v>1323</v>
      </c>
      <c r="AL245">
        <v>0.29400000000000004</v>
      </c>
      <c r="AM245">
        <v>0</v>
      </c>
      <c r="AN245">
        <v>2.7250000000000001</v>
      </c>
      <c r="AO245">
        <v>0</v>
      </c>
      <c r="AP245">
        <v>0</v>
      </c>
      <c r="AQ245">
        <v>0</v>
      </c>
      <c r="AR245">
        <v>7.2860000000000005</v>
      </c>
      <c r="AS245">
        <v>0</v>
      </c>
      <c r="AT245">
        <v>2.3290000000000002</v>
      </c>
      <c r="AU245">
        <v>0.94600000000000006</v>
      </c>
      <c r="AV245">
        <v>0</v>
      </c>
      <c r="AW245">
        <v>10.855</v>
      </c>
      <c r="AX245">
        <v>0</v>
      </c>
      <c r="AY245">
        <v>35.045000000000002</v>
      </c>
      <c r="AZ245">
        <v>0</v>
      </c>
      <c r="BA245">
        <v>3024932</v>
      </c>
      <c r="BB245">
        <v>1278276</v>
      </c>
      <c r="BC245">
        <v>0</v>
      </c>
      <c r="BD245">
        <v>32980</v>
      </c>
      <c r="BE245">
        <v>4039</v>
      </c>
      <c r="BF245">
        <v>37019</v>
      </c>
      <c r="BG245">
        <v>32980</v>
      </c>
      <c r="BH245">
        <v>0</v>
      </c>
      <c r="BI245">
        <v>-4029</v>
      </c>
      <c r="BJ245">
        <v>0</v>
      </c>
      <c r="BK245">
        <v>0</v>
      </c>
      <c r="BL245">
        <v>122281959</v>
      </c>
      <c r="BM245">
        <v>0</v>
      </c>
      <c r="BN245">
        <v>1008</v>
      </c>
      <c r="BO245">
        <v>161</v>
      </c>
      <c r="BP245">
        <v>0</v>
      </c>
      <c r="BQ245">
        <v>0</v>
      </c>
      <c r="BR245">
        <v>0.82200000000000006</v>
      </c>
      <c r="BS245">
        <v>0.82200000000000006</v>
      </c>
      <c r="BT245">
        <v>0</v>
      </c>
      <c r="BU245">
        <v>0</v>
      </c>
      <c r="BV245">
        <v>106</v>
      </c>
      <c r="BW245">
        <v>16</v>
      </c>
      <c r="BX245">
        <v>21</v>
      </c>
      <c r="BY245">
        <v>8</v>
      </c>
      <c r="BZ245">
        <v>1</v>
      </c>
      <c r="CA245">
        <v>152</v>
      </c>
      <c r="CB245">
        <v>0</v>
      </c>
      <c r="CC245">
        <v>0</v>
      </c>
      <c r="CD245">
        <v>0</v>
      </c>
      <c r="CE245">
        <v>34</v>
      </c>
      <c r="CF245">
        <v>40.553000000000004</v>
      </c>
      <c r="CG245">
        <v>0</v>
      </c>
      <c r="CH245">
        <v>0</v>
      </c>
      <c r="CI245">
        <v>0</v>
      </c>
      <c r="CJ245">
        <v>0</v>
      </c>
      <c r="CK245">
        <v>0</v>
      </c>
      <c r="CL245">
        <v>0</v>
      </c>
      <c r="CM245">
        <v>0</v>
      </c>
      <c r="CN245">
        <v>0</v>
      </c>
      <c r="CO245">
        <v>0</v>
      </c>
      <c r="CP245">
        <v>0</v>
      </c>
      <c r="CQ245">
        <v>0</v>
      </c>
      <c r="CR245">
        <v>0</v>
      </c>
      <c r="CS245">
        <v>0</v>
      </c>
      <c r="CT245">
        <v>0</v>
      </c>
      <c r="CU245">
        <v>2.4820000000000002</v>
      </c>
      <c r="CV245">
        <v>11.624000000000001</v>
      </c>
      <c r="CW245">
        <v>9.9500000000000011</v>
      </c>
      <c r="CX245">
        <v>0</v>
      </c>
      <c r="CY245" s="2043">
        <v>0</v>
      </c>
      <c r="CZ245" s="2043">
        <v>0</v>
      </c>
      <c r="DA245" s="2043">
        <v>0</v>
      </c>
      <c r="DB245" s="2043">
        <v>0</v>
      </c>
      <c r="DC245" s="2043">
        <v>0</v>
      </c>
      <c r="DI245" t="s">
        <v>4982</v>
      </c>
      <c r="DJ245" t="s">
        <v>4982</v>
      </c>
      <c r="DK245" s="2042">
        <f t="shared" si="5"/>
        <v>0</v>
      </c>
    </row>
    <row r="246" spans="1:115">
      <c r="A246" t="s">
        <v>4983</v>
      </c>
      <c r="B246" t="s">
        <v>640</v>
      </c>
      <c r="C246">
        <v>1041.96</v>
      </c>
      <c r="D246">
        <v>1070.547</v>
      </c>
      <c r="E246">
        <v>221.40900000000002</v>
      </c>
      <c r="F246">
        <v>0</v>
      </c>
      <c r="G246" s="2043">
        <v>1339611780</v>
      </c>
      <c r="H246">
        <v>0</v>
      </c>
      <c r="I246" s="2043">
        <v>1215500</v>
      </c>
      <c r="J246">
        <v>52.097999999999999</v>
      </c>
      <c r="K246">
        <v>142</v>
      </c>
      <c r="L246">
        <v>0</v>
      </c>
      <c r="M246">
        <v>0</v>
      </c>
      <c r="N246">
        <v>0</v>
      </c>
      <c r="O246">
        <v>0</v>
      </c>
      <c r="P246">
        <v>0</v>
      </c>
      <c r="Q246">
        <v>0</v>
      </c>
      <c r="R246" s="2043">
        <v>11341762</v>
      </c>
      <c r="S246">
        <v>670238</v>
      </c>
      <c r="T246">
        <v>0</v>
      </c>
      <c r="U246">
        <v>0.05</v>
      </c>
      <c r="V246">
        <v>0</v>
      </c>
      <c r="W246">
        <v>1923365</v>
      </c>
      <c r="X246">
        <v>0</v>
      </c>
      <c r="Y246">
        <v>1592166</v>
      </c>
      <c r="Z246">
        <v>0</v>
      </c>
      <c r="AA246">
        <v>0</v>
      </c>
      <c r="AB246">
        <v>1030.27</v>
      </c>
      <c r="AC246" s="2043">
        <v>981522934</v>
      </c>
      <c r="AD246">
        <v>1200000</v>
      </c>
      <c r="AE246" s="2043">
        <v>12012000</v>
      </c>
      <c r="AF246">
        <v>0.89610000000000001</v>
      </c>
      <c r="AG246">
        <v>0</v>
      </c>
      <c r="AH246">
        <v>1923365</v>
      </c>
      <c r="AI246">
        <v>0</v>
      </c>
      <c r="AJ246">
        <v>114.25</v>
      </c>
      <c r="AK246">
        <v>2559</v>
      </c>
      <c r="AL246">
        <v>9.5000000000000001E-2</v>
      </c>
      <c r="AM246">
        <v>0</v>
      </c>
      <c r="AN246">
        <v>17.431000000000001</v>
      </c>
      <c r="AO246">
        <v>0</v>
      </c>
      <c r="AP246">
        <v>0</v>
      </c>
      <c r="AQ246">
        <v>0</v>
      </c>
      <c r="AR246">
        <v>18.101000000000003</v>
      </c>
      <c r="AS246">
        <v>0</v>
      </c>
      <c r="AT246">
        <v>1.466</v>
      </c>
      <c r="AU246">
        <v>2.149</v>
      </c>
      <c r="AV246">
        <v>0</v>
      </c>
      <c r="AW246">
        <v>21.811</v>
      </c>
      <c r="AX246">
        <v>0</v>
      </c>
      <c r="AY246">
        <v>69.921000000000006</v>
      </c>
      <c r="AZ246">
        <v>0</v>
      </c>
      <c r="BA246">
        <v>2260655</v>
      </c>
      <c r="BB246">
        <v>13212000</v>
      </c>
      <c r="BC246">
        <v>0</v>
      </c>
      <c r="BD246">
        <v>36504</v>
      </c>
      <c r="BE246">
        <v>0</v>
      </c>
      <c r="BF246">
        <v>36504</v>
      </c>
      <c r="BG246">
        <v>36504</v>
      </c>
      <c r="BH246">
        <v>0</v>
      </c>
      <c r="BI246">
        <v>0</v>
      </c>
      <c r="BJ246">
        <v>0</v>
      </c>
      <c r="BK246">
        <v>0</v>
      </c>
      <c r="BL246">
        <v>1339611780</v>
      </c>
      <c r="BM246">
        <v>0</v>
      </c>
      <c r="BN246">
        <v>3699</v>
      </c>
      <c r="BO246">
        <v>342</v>
      </c>
      <c r="BP246">
        <v>0</v>
      </c>
      <c r="BQ246">
        <v>0</v>
      </c>
      <c r="BR246">
        <v>0.84610000000000007</v>
      </c>
      <c r="BS246">
        <v>0.84610000000000007</v>
      </c>
      <c r="BT246">
        <v>1499939</v>
      </c>
      <c r="BU246">
        <v>92228</v>
      </c>
      <c r="BV246">
        <v>185</v>
      </c>
      <c r="BW246">
        <v>171</v>
      </c>
      <c r="BX246">
        <v>127</v>
      </c>
      <c r="BY246">
        <v>1</v>
      </c>
      <c r="BZ246">
        <v>0</v>
      </c>
      <c r="CA246">
        <v>484</v>
      </c>
      <c r="CB246">
        <v>0</v>
      </c>
      <c r="CC246">
        <v>0</v>
      </c>
      <c r="CD246">
        <v>0</v>
      </c>
      <c r="CE246">
        <v>57</v>
      </c>
      <c r="CF246">
        <v>269.83199999999999</v>
      </c>
      <c r="CG246">
        <v>0</v>
      </c>
      <c r="CH246">
        <v>0</v>
      </c>
      <c r="CI246">
        <v>2</v>
      </c>
      <c r="CJ246">
        <v>1</v>
      </c>
      <c r="CK246">
        <v>0</v>
      </c>
      <c r="CL246">
        <v>0</v>
      </c>
      <c r="CM246">
        <v>221.40900000000002</v>
      </c>
      <c r="CN246">
        <v>0</v>
      </c>
      <c r="CO246">
        <v>0</v>
      </c>
      <c r="CP246">
        <v>0</v>
      </c>
      <c r="CQ246">
        <v>0</v>
      </c>
      <c r="CR246">
        <v>0</v>
      </c>
      <c r="CS246">
        <v>0</v>
      </c>
      <c r="CT246">
        <v>0</v>
      </c>
      <c r="CU246">
        <v>1.4470000000000001</v>
      </c>
      <c r="CV246">
        <v>49.149000000000001</v>
      </c>
      <c r="CW246">
        <v>10.1</v>
      </c>
      <c r="CX246">
        <v>1499939</v>
      </c>
      <c r="CY246" s="2043">
        <v>0</v>
      </c>
      <c r="CZ246" s="2043">
        <v>0</v>
      </c>
      <c r="DA246" s="2043">
        <v>0</v>
      </c>
      <c r="DB246" s="2043">
        <v>0</v>
      </c>
      <c r="DC246" s="2043">
        <v>0</v>
      </c>
      <c r="DI246" t="s">
        <v>2952</v>
      </c>
      <c r="DJ246" t="s">
        <v>4983</v>
      </c>
      <c r="DK246" s="2042">
        <f t="shared" si="5"/>
        <v>-1991</v>
      </c>
    </row>
    <row r="247" spans="1:115">
      <c r="A247" t="s">
        <v>2952</v>
      </c>
      <c r="B247" t="s">
        <v>2260</v>
      </c>
      <c r="C247">
        <v>7377.4880000000003</v>
      </c>
      <c r="D247">
        <v>7877.4110000000001</v>
      </c>
      <c r="E247">
        <v>349.64400000000001</v>
      </c>
      <c r="F247">
        <v>0</v>
      </c>
      <c r="G247" s="2043">
        <v>1689249960</v>
      </c>
      <c r="H247">
        <v>0</v>
      </c>
      <c r="I247" s="2043">
        <v>1856850</v>
      </c>
      <c r="J247">
        <v>368.87400000000002</v>
      </c>
      <c r="K247">
        <v>1008</v>
      </c>
      <c r="L247">
        <v>0</v>
      </c>
      <c r="M247">
        <v>0</v>
      </c>
      <c r="N247">
        <v>0</v>
      </c>
      <c r="O247">
        <v>0</v>
      </c>
      <c r="P247">
        <v>0</v>
      </c>
      <c r="Q247">
        <v>0</v>
      </c>
      <c r="R247" s="2043">
        <v>13722209</v>
      </c>
      <c r="S247">
        <v>1320554</v>
      </c>
      <c r="T247">
        <v>962354</v>
      </c>
      <c r="U247">
        <v>0.08</v>
      </c>
      <c r="V247">
        <v>0</v>
      </c>
      <c r="W247">
        <v>0</v>
      </c>
      <c r="X247">
        <v>0</v>
      </c>
      <c r="Y247">
        <v>-4510</v>
      </c>
      <c r="Z247">
        <v>0</v>
      </c>
      <c r="AA247">
        <v>0.23500000000000001</v>
      </c>
      <c r="AB247">
        <v>7619.3</v>
      </c>
      <c r="AC247" s="2043">
        <v>1467587085</v>
      </c>
      <c r="AD247">
        <v>1176389</v>
      </c>
      <c r="AE247" s="2043">
        <v>16005117</v>
      </c>
      <c r="AF247">
        <v>0.96960000000000002</v>
      </c>
      <c r="AG247">
        <v>0</v>
      </c>
      <c r="AH247">
        <v>0</v>
      </c>
      <c r="AI247">
        <v>0</v>
      </c>
      <c r="AJ247">
        <v>1241.7380000000001</v>
      </c>
      <c r="AK247">
        <v>30135</v>
      </c>
      <c r="AL247">
        <v>0.51</v>
      </c>
      <c r="AM247">
        <v>0</v>
      </c>
      <c r="AN247">
        <v>254.33200000000002</v>
      </c>
      <c r="AO247">
        <v>0</v>
      </c>
      <c r="AP247">
        <v>0</v>
      </c>
      <c r="AQ247">
        <v>0</v>
      </c>
      <c r="AR247">
        <v>224.33</v>
      </c>
      <c r="AS247">
        <v>0</v>
      </c>
      <c r="AT247">
        <v>81.635000000000005</v>
      </c>
      <c r="AU247">
        <v>20.471</v>
      </c>
      <c r="AV247">
        <v>0</v>
      </c>
      <c r="AW247">
        <v>333.60700000000003</v>
      </c>
      <c r="AX247">
        <v>6.6610000000000005</v>
      </c>
      <c r="AY247">
        <v>1038.1200000000001</v>
      </c>
      <c r="AZ247">
        <v>0</v>
      </c>
      <c r="BA247">
        <v>58753966</v>
      </c>
      <c r="BB247">
        <v>17181506</v>
      </c>
      <c r="BC247">
        <v>0</v>
      </c>
      <c r="BD247">
        <v>365446</v>
      </c>
      <c r="BE247">
        <v>146459</v>
      </c>
      <c r="BF247">
        <v>532771</v>
      </c>
      <c r="BG247">
        <v>365446</v>
      </c>
      <c r="BH247">
        <v>20866</v>
      </c>
      <c r="BI247">
        <v>-2255</v>
      </c>
      <c r="BJ247">
        <v>-2255</v>
      </c>
      <c r="BK247">
        <v>0</v>
      </c>
      <c r="BL247">
        <v>1689249960</v>
      </c>
      <c r="BM247">
        <v>0</v>
      </c>
      <c r="BN247">
        <v>26181</v>
      </c>
      <c r="BO247">
        <v>11492</v>
      </c>
      <c r="BP247">
        <v>0</v>
      </c>
      <c r="BQ247">
        <v>0</v>
      </c>
      <c r="BR247">
        <v>0.83130000000000004</v>
      </c>
      <c r="BS247">
        <v>0.83130000000000004</v>
      </c>
      <c r="BT247">
        <v>0</v>
      </c>
      <c r="BU247">
        <v>0</v>
      </c>
      <c r="BV247">
        <v>1220</v>
      </c>
      <c r="BW247">
        <v>1753</v>
      </c>
      <c r="BX247">
        <v>1114</v>
      </c>
      <c r="BY247">
        <v>670</v>
      </c>
      <c r="BZ247">
        <v>351</v>
      </c>
      <c r="CA247">
        <v>5108</v>
      </c>
      <c r="CB247">
        <v>0</v>
      </c>
      <c r="CC247">
        <v>53.49</v>
      </c>
      <c r="CD247">
        <v>23.246000000000002</v>
      </c>
      <c r="CE247">
        <v>837</v>
      </c>
      <c r="CF247">
        <v>1661.691</v>
      </c>
      <c r="CG247">
        <v>78.917000000000002</v>
      </c>
      <c r="CH247">
        <v>0</v>
      </c>
      <c r="CI247">
        <v>11</v>
      </c>
      <c r="CJ247">
        <v>28</v>
      </c>
      <c r="CK247">
        <v>1</v>
      </c>
      <c r="CL247">
        <v>78.917000000000002</v>
      </c>
      <c r="CM247">
        <v>349.64400000000001</v>
      </c>
      <c r="CN247">
        <v>0</v>
      </c>
      <c r="CO247">
        <v>0</v>
      </c>
      <c r="CP247">
        <v>0</v>
      </c>
      <c r="CQ247">
        <v>0</v>
      </c>
      <c r="CR247">
        <v>0</v>
      </c>
      <c r="CS247">
        <v>0</v>
      </c>
      <c r="CT247">
        <v>0</v>
      </c>
      <c r="CU247">
        <v>2.9780000000000002</v>
      </c>
      <c r="CV247">
        <v>584.673</v>
      </c>
      <c r="CW247">
        <v>213.37800000000001</v>
      </c>
      <c r="CX247">
        <v>0</v>
      </c>
      <c r="CY247" s="2043">
        <v>0</v>
      </c>
      <c r="CZ247" s="2043">
        <v>0</v>
      </c>
      <c r="DA247" s="2043">
        <v>0</v>
      </c>
      <c r="DB247" s="2043">
        <v>0</v>
      </c>
      <c r="DC247" s="2043">
        <v>0</v>
      </c>
      <c r="DI247" t="s">
        <v>5775</v>
      </c>
      <c r="DJ247" t="s">
        <v>2952</v>
      </c>
      <c r="DK247" s="2042">
        <f t="shared" si="5"/>
        <v>991</v>
      </c>
    </row>
    <row r="248" spans="1:115">
      <c r="A248" t="s">
        <v>5775</v>
      </c>
      <c r="B248" t="s">
        <v>1044</v>
      </c>
      <c r="C248">
        <v>148.21</v>
      </c>
      <c r="D248">
        <v>176.61100000000002</v>
      </c>
      <c r="E248">
        <v>0</v>
      </c>
      <c r="F248">
        <v>0</v>
      </c>
      <c r="G248" s="2043">
        <v>138473956</v>
      </c>
      <c r="H248">
        <v>0</v>
      </c>
      <c r="I248" s="2043">
        <v>0</v>
      </c>
      <c r="J248">
        <v>7.4110000000000005</v>
      </c>
      <c r="K248">
        <v>20</v>
      </c>
      <c r="L248">
        <v>0</v>
      </c>
      <c r="M248">
        <v>0</v>
      </c>
      <c r="N248">
        <v>0</v>
      </c>
      <c r="O248">
        <v>0</v>
      </c>
      <c r="P248">
        <v>0</v>
      </c>
      <c r="Q248">
        <v>0</v>
      </c>
      <c r="R248" s="2043">
        <v>1269490</v>
      </c>
      <c r="S248">
        <v>69493</v>
      </c>
      <c r="T248">
        <v>0</v>
      </c>
      <c r="U248">
        <v>0.05</v>
      </c>
      <c r="V248">
        <v>0</v>
      </c>
      <c r="W248">
        <v>0</v>
      </c>
      <c r="X248">
        <v>0</v>
      </c>
      <c r="Y248">
        <v>0</v>
      </c>
      <c r="Z248">
        <v>0</v>
      </c>
      <c r="AA248">
        <v>0</v>
      </c>
      <c r="AB248">
        <v>173.73099999999999</v>
      </c>
      <c r="AC248" s="2043">
        <v>163422293</v>
      </c>
      <c r="AD248">
        <v>0</v>
      </c>
      <c r="AE248" s="2043">
        <v>1338983</v>
      </c>
      <c r="AF248">
        <v>0.96340000000000003</v>
      </c>
      <c r="AG248">
        <v>0</v>
      </c>
      <c r="AH248">
        <v>0</v>
      </c>
      <c r="AI248">
        <v>0</v>
      </c>
      <c r="AJ248">
        <v>28.763000000000002</v>
      </c>
      <c r="AK248">
        <v>1308</v>
      </c>
      <c r="AL248">
        <v>0</v>
      </c>
      <c r="AM248">
        <v>0</v>
      </c>
      <c r="AN248">
        <v>14.001000000000001</v>
      </c>
      <c r="AO248">
        <v>0</v>
      </c>
      <c r="AP248">
        <v>0</v>
      </c>
      <c r="AQ248">
        <v>0</v>
      </c>
      <c r="AR248">
        <v>3.996</v>
      </c>
      <c r="AS248">
        <v>0</v>
      </c>
      <c r="AT248">
        <v>1.294</v>
      </c>
      <c r="AU248">
        <v>0.439</v>
      </c>
      <c r="AV248">
        <v>0</v>
      </c>
      <c r="AW248">
        <v>5.7290000000000001</v>
      </c>
      <c r="AX248">
        <v>0</v>
      </c>
      <c r="AY248">
        <v>18.065000000000001</v>
      </c>
      <c r="AZ248">
        <v>0</v>
      </c>
      <c r="BA248">
        <v>1187685</v>
      </c>
      <c r="BB248">
        <v>1338983</v>
      </c>
      <c r="BC248">
        <v>0</v>
      </c>
      <c r="BD248">
        <v>15048</v>
      </c>
      <c r="BE248">
        <v>0</v>
      </c>
      <c r="BF248">
        <v>15048</v>
      </c>
      <c r="BG248">
        <v>15048</v>
      </c>
      <c r="BH248">
        <v>0</v>
      </c>
      <c r="BI248">
        <v>0</v>
      </c>
      <c r="BJ248">
        <v>0</v>
      </c>
      <c r="BK248">
        <v>0</v>
      </c>
      <c r="BL248">
        <v>138473956</v>
      </c>
      <c r="BM248">
        <v>0</v>
      </c>
      <c r="BN248">
        <v>711</v>
      </c>
      <c r="BO248">
        <v>749</v>
      </c>
      <c r="BP248">
        <v>0</v>
      </c>
      <c r="BQ248">
        <v>0</v>
      </c>
      <c r="BR248">
        <v>0.91339999999999999</v>
      </c>
      <c r="BS248">
        <v>0.91339999999999999</v>
      </c>
      <c r="BT248">
        <v>0</v>
      </c>
      <c r="BU248">
        <v>0</v>
      </c>
      <c r="BV248">
        <v>50</v>
      </c>
      <c r="BW248">
        <v>0</v>
      </c>
      <c r="BX248">
        <v>1</v>
      </c>
      <c r="BY248">
        <v>49</v>
      </c>
      <c r="BZ248">
        <v>16</v>
      </c>
      <c r="CA248">
        <v>116</v>
      </c>
      <c r="CB248">
        <v>0</v>
      </c>
      <c r="CC248">
        <v>0</v>
      </c>
      <c r="CD248">
        <v>0</v>
      </c>
      <c r="CE248">
        <v>18</v>
      </c>
      <c r="CF248">
        <v>31.435000000000002</v>
      </c>
      <c r="CG248">
        <v>0</v>
      </c>
      <c r="CH248">
        <v>0</v>
      </c>
      <c r="CI248">
        <v>2</v>
      </c>
      <c r="CJ248">
        <v>3</v>
      </c>
      <c r="CK248">
        <v>0</v>
      </c>
      <c r="CL248">
        <v>0</v>
      </c>
      <c r="CM248">
        <v>0</v>
      </c>
      <c r="CN248">
        <v>0</v>
      </c>
      <c r="CO248">
        <v>0</v>
      </c>
      <c r="CP248">
        <v>0</v>
      </c>
      <c r="CQ248">
        <v>0</v>
      </c>
      <c r="CR248">
        <v>0</v>
      </c>
      <c r="CS248">
        <v>0</v>
      </c>
      <c r="CT248">
        <v>0</v>
      </c>
      <c r="CU248">
        <v>0</v>
      </c>
      <c r="CV248">
        <v>19.926000000000002</v>
      </c>
      <c r="CW248">
        <v>7.4190000000000005</v>
      </c>
      <c r="CX248">
        <v>0</v>
      </c>
      <c r="CY248" s="2043">
        <v>0</v>
      </c>
      <c r="CZ248" s="2043">
        <v>0</v>
      </c>
      <c r="DA248" s="2043">
        <v>0</v>
      </c>
      <c r="DB248" s="2043">
        <v>0</v>
      </c>
      <c r="DC248" s="2043">
        <v>173240</v>
      </c>
      <c r="DI248" t="s">
        <v>4983</v>
      </c>
      <c r="DJ248" t="s">
        <v>5775</v>
      </c>
      <c r="DK248" s="2042">
        <f t="shared" si="5"/>
        <v>1000</v>
      </c>
    </row>
    <row r="249" spans="1:115">
      <c r="A249" t="s">
        <v>5776</v>
      </c>
      <c r="B249" t="s">
        <v>641</v>
      </c>
      <c r="C249">
        <v>680.48</v>
      </c>
      <c r="D249">
        <v>704.923</v>
      </c>
      <c r="E249">
        <v>107.14800000000001</v>
      </c>
      <c r="F249">
        <v>0</v>
      </c>
      <c r="G249" s="2043">
        <v>1877103555</v>
      </c>
      <c r="H249">
        <v>0</v>
      </c>
      <c r="I249" s="2043">
        <v>3278925</v>
      </c>
      <c r="J249">
        <v>34.024000000000001</v>
      </c>
      <c r="K249">
        <v>93</v>
      </c>
      <c r="L249">
        <v>0</v>
      </c>
      <c r="M249">
        <v>0</v>
      </c>
      <c r="N249">
        <v>0</v>
      </c>
      <c r="O249">
        <v>0</v>
      </c>
      <c r="P249">
        <v>0</v>
      </c>
      <c r="Q249">
        <v>0</v>
      </c>
      <c r="R249" s="2043">
        <v>15215323</v>
      </c>
      <c r="S249">
        <v>1110607</v>
      </c>
      <c r="T249">
        <v>0</v>
      </c>
      <c r="U249">
        <v>0.06</v>
      </c>
      <c r="V249">
        <v>0</v>
      </c>
      <c r="W249">
        <v>7709764</v>
      </c>
      <c r="X249">
        <v>0</v>
      </c>
      <c r="Y249">
        <v>0</v>
      </c>
      <c r="Z249">
        <v>0</v>
      </c>
      <c r="AA249">
        <v>0.17800000000000002</v>
      </c>
      <c r="AB249">
        <v>703.68799999999999</v>
      </c>
      <c r="AC249" s="2043">
        <v>1346232202</v>
      </c>
      <c r="AD249">
        <v>7232681</v>
      </c>
      <c r="AE249" s="2043">
        <v>16325930</v>
      </c>
      <c r="AF249">
        <v>0.88200000000000001</v>
      </c>
      <c r="AG249">
        <v>0</v>
      </c>
      <c r="AH249">
        <v>7709764</v>
      </c>
      <c r="AI249">
        <v>0</v>
      </c>
      <c r="AJ249">
        <v>115.25</v>
      </c>
      <c r="AK249">
        <v>2288</v>
      </c>
      <c r="AL249">
        <v>0.21</v>
      </c>
      <c r="AM249">
        <v>0</v>
      </c>
      <c r="AN249">
        <v>13.716000000000001</v>
      </c>
      <c r="AO249">
        <v>0</v>
      </c>
      <c r="AP249">
        <v>0</v>
      </c>
      <c r="AQ249">
        <v>0</v>
      </c>
      <c r="AR249">
        <v>11.244</v>
      </c>
      <c r="AS249">
        <v>0</v>
      </c>
      <c r="AT249">
        <v>5.08</v>
      </c>
      <c r="AU249">
        <v>1.1540000000000001</v>
      </c>
      <c r="AV249">
        <v>0</v>
      </c>
      <c r="AW249">
        <v>17.688000000000002</v>
      </c>
      <c r="AX249">
        <v>0</v>
      </c>
      <c r="AY249">
        <v>55.792000000000002</v>
      </c>
      <c r="AZ249">
        <v>0</v>
      </c>
      <c r="BA249">
        <v>360138</v>
      </c>
      <c r="BB249">
        <v>23558611</v>
      </c>
      <c r="BC249">
        <v>0</v>
      </c>
      <c r="BD249">
        <v>109560</v>
      </c>
      <c r="BE249">
        <v>0</v>
      </c>
      <c r="BF249">
        <v>109560</v>
      </c>
      <c r="BG249">
        <v>109560</v>
      </c>
      <c r="BH249">
        <v>0</v>
      </c>
      <c r="BI249">
        <v>0</v>
      </c>
      <c r="BJ249">
        <v>0</v>
      </c>
      <c r="BK249">
        <v>0</v>
      </c>
      <c r="BL249">
        <v>1877103555</v>
      </c>
      <c r="BM249">
        <v>0</v>
      </c>
      <c r="BN249">
        <v>2439</v>
      </c>
      <c r="BO249">
        <v>1263</v>
      </c>
      <c r="BP249">
        <v>0</v>
      </c>
      <c r="BQ249">
        <v>0</v>
      </c>
      <c r="BR249">
        <v>0.82200000000000006</v>
      </c>
      <c r="BS249">
        <v>0.82200000000000006</v>
      </c>
      <c r="BT249">
        <v>0</v>
      </c>
      <c r="BU249">
        <v>0</v>
      </c>
      <c r="BV249">
        <v>75</v>
      </c>
      <c r="BW249">
        <v>300</v>
      </c>
      <c r="BX249">
        <v>70</v>
      </c>
      <c r="BY249">
        <v>0</v>
      </c>
      <c r="BZ249">
        <v>35</v>
      </c>
      <c r="CA249">
        <v>480</v>
      </c>
      <c r="CB249">
        <v>0</v>
      </c>
      <c r="CC249">
        <v>0</v>
      </c>
      <c r="CD249">
        <v>0</v>
      </c>
      <c r="CE249">
        <v>53</v>
      </c>
      <c r="CF249">
        <v>165.60900000000001</v>
      </c>
      <c r="CG249">
        <v>0</v>
      </c>
      <c r="CH249">
        <v>0</v>
      </c>
      <c r="CI249">
        <v>0</v>
      </c>
      <c r="CJ249">
        <v>2</v>
      </c>
      <c r="CK249">
        <v>0</v>
      </c>
      <c r="CL249">
        <v>0</v>
      </c>
      <c r="CM249">
        <v>107.14800000000001</v>
      </c>
      <c r="CN249">
        <v>0</v>
      </c>
      <c r="CO249">
        <v>0</v>
      </c>
      <c r="CP249">
        <v>0</v>
      </c>
      <c r="CQ249">
        <v>0</v>
      </c>
      <c r="CR249">
        <v>0</v>
      </c>
      <c r="CS249">
        <v>0</v>
      </c>
      <c r="CT249">
        <v>0</v>
      </c>
      <c r="CU249">
        <v>4.5040000000000004</v>
      </c>
      <c r="CV249">
        <v>55.705000000000005</v>
      </c>
      <c r="CW249">
        <v>32.167000000000002</v>
      </c>
      <c r="CX249">
        <v>0</v>
      </c>
      <c r="CY249" s="2043">
        <v>0</v>
      </c>
      <c r="CZ249" s="2043">
        <v>0</v>
      </c>
      <c r="DA249" s="2043">
        <v>0</v>
      </c>
      <c r="DB249" s="2043">
        <v>0</v>
      </c>
      <c r="DC249" s="2043">
        <v>325000</v>
      </c>
      <c r="DI249" t="s">
        <v>5776</v>
      </c>
      <c r="DJ249" t="s">
        <v>5776</v>
      </c>
      <c r="DK249" s="2042">
        <f t="shared" si="5"/>
        <v>0</v>
      </c>
    </row>
    <row r="250" spans="1:115">
      <c r="A250" t="s">
        <v>5777</v>
      </c>
      <c r="B250" t="s">
        <v>642</v>
      </c>
      <c r="C250">
        <v>304.66000000000003</v>
      </c>
      <c r="D250">
        <v>295.10400000000004</v>
      </c>
      <c r="E250">
        <v>4.2170000000000005</v>
      </c>
      <c r="F250">
        <v>0</v>
      </c>
      <c r="G250" s="2043">
        <v>113032928</v>
      </c>
      <c r="H250">
        <v>0</v>
      </c>
      <c r="I250" s="2043">
        <v>636712</v>
      </c>
      <c r="J250">
        <v>11</v>
      </c>
      <c r="K250">
        <v>30</v>
      </c>
      <c r="L250">
        <v>0</v>
      </c>
      <c r="M250">
        <v>0</v>
      </c>
      <c r="N250">
        <v>0</v>
      </c>
      <c r="O250">
        <v>0</v>
      </c>
      <c r="P250">
        <v>0</v>
      </c>
      <c r="Q250">
        <v>0</v>
      </c>
      <c r="R250" s="2043">
        <v>1041270</v>
      </c>
      <c r="S250">
        <v>91200</v>
      </c>
      <c r="T250">
        <v>0</v>
      </c>
      <c r="U250">
        <v>0.08</v>
      </c>
      <c r="V250">
        <v>0</v>
      </c>
      <c r="W250">
        <v>0</v>
      </c>
      <c r="X250">
        <v>0</v>
      </c>
      <c r="Y250">
        <v>0</v>
      </c>
      <c r="Z250">
        <v>3.75</v>
      </c>
      <c r="AA250">
        <v>0.111</v>
      </c>
      <c r="AB250">
        <v>297.57600000000002</v>
      </c>
      <c r="AC250" s="2043">
        <v>106594106</v>
      </c>
      <c r="AD250">
        <v>661606</v>
      </c>
      <c r="AE250" s="2043">
        <v>1132470</v>
      </c>
      <c r="AF250">
        <v>0.99340000000000006</v>
      </c>
      <c r="AG250">
        <v>0</v>
      </c>
      <c r="AH250">
        <v>0</v>
      </c>
      <c r="AI250">
        <v>0</v>
      </c>
      <c r="AJ250">
        <v>64.400000000000006</v>
      </c>
      <c r="AK250">
        <v>1862</v>
      </c>
      <c r="AL250">
        <v>0</v>
      </c>
      <c r="AM250">
        <v>0</v>
      </c>
      <c r="AN250">
        <v>21.749000000000002</v>
      </c>
      <c r="AO250">
        <v>0</v>
      </c>
      <c r="AP250">
        <v>4.9169999999999998</v>
      </c>
      <c r="AQ250">
        <v>0</v>
      </c>
      <c r="AR250">
        <v>4.2270000000000003</v>
      </c>
      <c r="AS250">
        <v>0</v>
      </c>
      <c r="AT250">
        <v>0</v>
      </c>
      <c r="AU250">
        <v>0.57400000000000007</v>
      </c>
      <c r="AV250">
        <v>0</v>
      </c>
      <c r="AW250">
        <v>9.718</v>
      </c>
      <c r="AX250">
        <v>0</v>
      </c>
      <c r="AY250">
        <v>28.827000000000002</v>
      </c>
      <c r="AZ250">
        <v>0</v>
      </c>
      <c r="BA250">
        <v>3230160</v>
      </c>
      <c r="BB250">
        <v>1794076</v>
      </c>
      <c r="BC250">
        <v>0</v>
      </c>
      <c r="BD250">
        <v>23048</v>
      </c>
      <c r="BE250">
        <v>31968</v>
      </c>
      <c r="BF250">
        <v>55016</v>
      </c>
      <c r="BG250">
        <v>23048</v>
      </c>
      <c r="BH250">
        <v>0</v>
      </c>
      <c r="BI250">
        <v>0</v>
      </c>
      <c r="BJ250">
        <v>0</v>
      </c>
      <c r="BK250">
        <v>0</v>
      </c>
      <c r="BL250">
        <v>113032928</v>
      </c>
      <c r="BM250">
        <v>0</v>
      </c>
      <c r="BN250">
        <v>1071</v>
      </c>
      <c r="BO250">
        <v>428</v>
      </c>
      <c r="BP250">
        <v>0</v>
      </c>
      <c r="BQ250">
        <v>0</v>
      </c>
      <c r="BR250">
        <v>0.91339999999999999</v>
      </c>
      <c r="BS250">
        <v>0.91339999999999999</v>
      </c>
      <c r="BT250">
        <v>0</v>
      </c>
      <c r="BU250">
        <v>0</v>
      </c>
      <c r="BV250">
        <v>20</v>
      </c>
      <c r="BW250">
        <v>1</v>
      </c>
      <c r="BX250">
        <v>170</v>
      </c>
      <c r="BY250">
        <v>57</v>
      </c>
      <c r="BZ250">
        <v>8</v>
      </c>
      <c r="CA250">
        <v>256</v>
      </c>
      <c r="CB250">
        <v>0</v>
      </c>
      <c r="CC250">
        <v>0</v>
      </c>
      <c r="CD250">
        <v>0</v>
      </c>
      <c r="CE250">
        <v>21</v>
      </c>
      <c r="CF250">
        <v>81.921999999999997</v>
      </c>
      <c r="CG250">
        <v>0</v>
      </c>
      <c r="CH250">
        <v>0</v>
      </c>
      <c r="CI250">
        <v>2</v>
      </c>
      <c r="CJ250">
        <v>1</v>
      </c>
      <c r="CK250">
        <v>0</v>
      </c>
      <c r="CL250">
        <v>0</v>
      </c>
      <c r="CM250">
        <v>4.2170000000000005</v>
      </c>
      <c r="CN250">
        <v>0</v>
      </c>
      <c r="CO250">
        <v>0</v>
      </c>
      <c r="CP250">
        <v>0</v>
      </c>
      <c r="CQ250">
        <v>0</v>
      </c>
      <c r="CR250">
        <v>0</v>
      </c>
      <c r="CS250">
        <v>0</v>
      </c>
      <c r="CT250">
        <v>0</v>
      </c>
      <c r="CU250">
        <v>1.294</v>
      </c>
      <c r="CV250">
        <v>6.9530000000000003</v>
      </c>
      <c r="CW250">
        <v>4.46</v>
      </c>
      <c r="CX250">
        <v>0</v>
      </c>
      <c r="CY250" s="2043">
        <v>0</v>
      </c>
      <c r="CZ250" s="2043">
        <v>0</v>
      </c>
      <c r="DA250" s="2043">
        <v>0</v>
      </c>
      <c r="DB250" s="2043">
        <v>0</v>
      </c>
      <c r="DC250" s="2043">
        <v>0</v>
      </c>
      <c r="DI250" t="s">
        <v>5777</v>
      </c>
      <c r="DJ250" t="s">
        <v>5777</v>
      </c>
      <c r="DK250" s="2042">
        <f t="shared" si="5"/>
        <v>0</v>
      </c>
    </row>
    <row r="251" spans="1:115">
      <c r="A251" t="s">
        <v>5778</v>
      </c>
      <c r="B251" t="s">
        <v>643</v>
      </c>
      <c r="C251">
        <v>217.66300000000001</v>
      </c>
      <c r="D251">
        <v>214.98600000000002</v>
      </c>
      <c r="E251">
        <v>17.215</v>
      </c>
      <c r="F251">
        <v>0</v>
      </c>
      <c r="G251" s="2043">
        <v>157308879</v>
      </c>
      <c r="H251">
        <v>0</v>
      </c>
      <c r="I251" s="2043">
        <v>0</v>
      </c>
      <c r="J251">
        <v>4</v>
      </c>
      <c r="K251">
        <v>11</v>
      </c>
      <c r="L251">
        <v>0</v>
      </c>
      <c r="M251">
        <v>0</v>
      </c>
      <c r="N251">
        <v>0</v>
      </c>
      <c r="O251">
        <v>0</v>
      </c>
      <c r="P251">
        <v>0</v>
      </c>
      <c r="Q251">
        <v>0</v>
      </c>
      <c r="R251" s="2043">
        <v>1400850</v>
      </c>
      <c r="S251">
        <v>76667</v>
      </c>
      <c r="T251">
        <v>0</v>
      </c>
      <c r="U251">
        <v>0.05</v>
      </c>
      <c r="V251">
        <v>0</v>
      </c>
      <c r="W251">
        <v>0</v>
      </c>
      <c r="X251">
        <v>0</v>
      </c>
      <c r="Y251">
        <v>0</v>
      </c>
      <c r="Z251">
        <v>1.9430000000000001</v>
      </c>
      <c r="AA251">
        <v>0</v>
      </c>
      <c r="AB251">
        <v>194.9</v>
      </c>
      <c r="AC251" s="2043">
        <v>173228111</v>
      </c>
      <c r="AD251">
        <v>0</v>
      </c>
      <c r="AE251" s="2043">
        <v>1477517</v>
      </c>
      <c r="AF251">
        <v>0.96360000000000001</v>
      </c>
      <c r="AG251">
        <v>0</v>
      </c>
      <c r="AH251">
        <v>0</v>
      </c>
      <c r="AI251">
        <v>0</v>
      </c>
      <c r="AJ251">
        <v>48.425000000000004</v>
      </c>
      <c r="AK251">
        <v>986</v>
      </c>
      <c r="AL251">
        <v>0</v>
      </c>
      <c r="AM251">
        <v>0</v>
      </c>
      <c r="AN251">
        <v>13.604000000000001</v>
      </c>
      <c r="AO251">
        <v>0</v>
      </c>
      <c r="AP251">
        <v>0</v>
      </c>
      <c r="AQ251">
        <v>0</v>
      </c>
      <c r="AR251">
        <v>0.91800000000000004</v>
      </c>
      <c r="AS251">
        <v>0</v>
      </c>
      <c r="AT251">
        <v>2.4079999999999999</v>
      </c>
      <c r="AU251">
        <v>0.43</v>
      </c>
      <c r="AV251">
        <v>0</v>
      </c>
      <c r="AW251">
        <v>3.7560000000000002</v>
      </c>
      <c r="AX251">
        <v>0</v>
      </c>
      <c r="AY251">
        <v>12.128</v>
      </c>
      <c r="AZ251">
        <v>0</v>
      </c>
      <c r="BA251">
        <v>1520055</v>
      </c>
      <c r="BB251">
        <v>1477517</v>
      </c>
      <c r="BC251">
        <v>0</v>
      </c>
      <c r="BD251">
        <v>20434</v>
      </c>
      <c r="BE251">
        <v>0</v>
      </c>
      <c r="BF251">
        <v>20434</v>
      </c>
      <c r="BG251">
        <v>20434</v>
      </c>
      <c r="BH251">
        <v>0</v>
      </c>
      <c r="BI251">
        <v>0</v>
      </c>
      <c r="BJ251">
        <v>0</v>
      </c>
      <c r="BK251">
        <v>0</v>
      </c>
      <c r="BL251">
        <v>157308879</v>
      </c>
      <c r="BM251">
        <v>0</v>
      </c>
      <c r="BN251">
        <v>828</v>
      </c>
      <c r="BO251">
        <v>813</v>
      </c>
      <c r="BP251">
        <v>0</v>
      </c>
      <c r="BQ251">
        <v>0</v>
      </c>
      <c r="BR251">
        <v>0.91360000000000008</v>
      </c>
      <c r="BS251">
        <v>0.91360000000000008</v>
      </c>
      <c r="BT251">
        <v>0</v>
      </c>
      <c r="BU251">
        <v>0</v>
      </c>
      <c r="BV251">
        <v>3</v>
      </c>
      <c r="BW251">
        <v>2</v>
      </c>
      <c r="BX251">
        <v>188</v>
      </c>
      <c r="BY251">
        <v>0</v>
      </c>
      <c r="BZ251">
        <v>1</v>
      </c>
      <c r="CA251">
        <v>194</v>
      </c>
      <c r="CB251">
        <v>0</v>
      </c>
      <c r="CC251">
        <v>0</v>
      </c>
      <c r="CD251">
        <v>0</v>
      </c>
      <c r="CE251">
        <v>20</v>
      </c>
      <c r="CF251">
        <v>54.054000000000002</v>
      </c>
      <c r="CG251">
        <v>0</v>
      </c>
      <c r="CH251">
        <v>0</v>
      </c>
      <c r="CI251">
        <v>1</v>
      </c>
      <c r="CJ251">
        <v>0</v>
      </c>
      <c r="CK251">
        <v>0</v>
      </c>
      <c r="CL251">
        <v>0</v>
      </c>
      <c r="CM251">
        <v>17.215</v>
      </c>
      <c r="CN251">
        <v>0</v>
      </c>
      <c r="CO251">
        <v>0</v>
      </c>
      <c r="CP251">
        <v>0</v>
      </c>
      <c r="CQ251">
        <v>0</v>
      </c>
      <c r="CR251">
        <v>0</v>
      </c>
      <c r="CS251">
        <v>0</v>
      </c>
      <c r="CT251">
        <v>0</v>
      </c>
      <c r="CU251">
        <v>0</v>
      </c>
      <c r="CV251">
        <v>23.286000000000001</v>
      </c>
      <c r="CW251">
        <v>7.6720000000000006</v>
      </c>
      <c r="CX251">
        <v>0</v>
      </c>
      <c r="CY251" s="2043">
        <v>0</v>
      </c>
      <c r="CZ251" s="2043">
        <v>0</v>
      </c>
      <c r="DA251" s="2043">
        <v>0</v>
      </c>
      <c r="DB251" s="2043">
        <v>0</v>
      </c>
      <c r="DC251" s="2043">
        <v>0</v>
      </c>
      <c r="DI251" t="s">
        <v>5778</v>
      </c>
      <c r="DJ251" t="s">
        <v>5778</v>
      </c>
      <c r="DK251" s="2042">
        <f t="shared" si="5"/>
        <v>0</v>
      </c>
    </row>
    <row r="252" spans="1:115">
      <c r="A252" t="s">
        <v>5779</v>
      </c>
      <c r="B252" t="s">
        <v>372</v>
      </c>
      <c r="C252">
        <v>425.58800000000002</v>
      </c>
      <c r="D252">
        <v>427.02500000000003</v>
      </c>
      <c r="E252">
        <v>12.547000000000001</v>
      </c>
      <c r="F252">
        <v>0</v>
      </c>
      <c r="G252" s="2043">
        <v>124232949</v>
      </c>
      <c r="H252">
        <v>0</v>
      </c>
      <c r="I252" s="2043">
        <v>0</v>
      </c>
      <c r="J252">
        <v>9</v>
      </c>
      <c r="K252">
        <v>25</v>
      </c>
      <c r="L252">
        <v>0</v>
      </c>
      <c r="M252">
        <v>0</v>
      </c>
      <c r="N252">
        <v>0</v>
      </c>
      <c r="O252">
        <v>0</v>
      </c>
      <c r="P252">
        <v>0</v>
      </c>
      <c r="Q252">
        <v>0</v>
      </c>
      <c r="R252" s="2043">
        <v>1158543</v>
      </c>
      <c r="S252">
        <v>63419</v>
      </c>
      <c r="T252">
        <v>0</v>
      </c>
      <c r="U252">
        <v>0.05</v>
      </c>
      <c r="V252">
        <v>0</v>
      </c>
      <c r="W252">
        <v>0</v>
      </c>
      <c r="X252">
        <v>0</v>
      </c>
      <c r="Y252">
        <v>0</v>
      </c>
      <c r="Z252">
        <v>0</v>
      </c>
      <c r="AA252">
        <v>9.4E-2</v>
      </c>
      <c r="AB252">
        <v>413.63400000000001</v>
      </c>
      <c r="AC252" s="2043">
        <v>134583753</v>
      </c>
      <c r="AD252">
        <v>0</v>
      </c>
      <c r="AE252" s="2043">
        <v>1221962</v>
      </c>
      <c r="AF252">
        <v>0.96340000000000003</v>
      </c>
      <c r="AG252">
        <v>0</v>
      </c>
      <c r="AH252">
        <v>0</v>
      </c>
      <c r="AI252">
        <v>0</v>
      </c>
      <c r="AJ252">
        <v>102.125</v>
      </c>
      <c r="AK252">
        <v>2028</v>
      </c>
      <c r="AL252">
        <v>0</v>
      </c>
      <c r="AM252">
        <v>0</v>
      </c>
      <c r="AN252">
        <v>19.161000000000001</v>
      </c>
      <c r="AO252">
        <v>0</v>
      </c>
      <c r="AP252">
        <v>4.8600000000000003</v>
      </c>
      <c r="AQ252">
        <v>0</v>
      </c>
      <c r="AR252">
        <v>4.3500000000000005</v>
      </c>
      <c r="AS252">
        <v>0</v>
      </c>
      <c r="AT252">
        <v>2.5110000000000001</v>
      </c>
      <c r="AU252">
        <v>0.87</v>
      </c>
      <c r="AV252">
        <v>0</v>
      </c>
      <c r="AW252">
        <v>12.591000000000001</v>
      </c>
      <c r="AX252">
        <v>0</v>
      </c>
      <c r="AY252">
        <v>38.055</v>
      </c>
      <c r="AZ252">
        <v>0</v>
      </c>
      <c r="BA252">
        <v>4459677</v>
      </c>
      <c r="BB252">
        <v>1221962</v>
      </c>
      <c r="BC252">
        <v>0</v>
      </c>
      <c r="BD252">
        <v>16512</v>
      </c>
      <c r="BE252">
        <v>7245</v>
      </c>
      <c r="BF252">
        <v>23757</v>
      </c>
      <c r="BG252">
        <v>16512</v>
      </c>
      <c r="BH252">
        <v>0</v>
      </c>
      <c r="BI252">
        <v>0</v>
      </c>
      <c r="BJ252">
        <v>0</v>
      </c>
      <c r="BK252">
        <v>0</v>
      </c>
      <c r="BL252">
        <v>124232949</v>
      </c>
      <c r="BM252">
        <v>0</v>
      </c>
      <c r="BN252">
        <v>1314</v>
      </c>
      <c r="BO252">
        <v>1263</v>
      </c>
      <c r="BP252">
        <v>0</v>
      </c>
      <c r="BQ252">
        <v>0</v>
      </c>
      <c r="BR252">
        <v>0.91339999999999999</v>
      </c>
      <c r="BS252">
        <v>0.91339999999999999</v>
      </c>
      <c r="BT252">
        <v>0</v>
      </c>
      <c r="BU252">
        <v>0</v>
      </c>
      <c r="BV252">
        <v>5</v>
      </c>
      <c r="BW252">
        <v>0</v>
      </c>
      <c r="BX252">
        <v>278</v>
      </c>
      <c r="BY252">
        <v>120</v>
      </c>
      <c r="BZ252">
        <v>0</v>
      </c>
      <c r="CA252">
        <v>403</v>
      </c>
      <c r="CB252">
        <v>0</v>
      </c>
      <c r="CC252">
        <v>0</v>
      </c>
      <c r="CD252">
        <v>0</v>
      </c>
      <c r="CE252">
        <v>58</v>
      </c>
      <c r="CF252">
        <v>91.62</v>
      </c>
      <c r="CG252">
        <v>2.8620000000000001</v>
      </c>
      <c r="CH252">
        <v>0</v>
      </c>
      <c r="CI252">
        <v>1</v>
      </c>
      <c r="CJ252">
        <v>3</v>
      </c>
      <c r="CK252">
        <v>0</v>
      </c>
      <c r="CL252">
        <v>2.8620000000000001</v>
      </c>
      <c r="CM252">
        <v>12.547000000000001</v>
      </c>
      <c r="CN252">
        <v>0</v>
      </c>
      <c r="CO252">
        <v>0</v>
      </c>
      <c r="CP252">
        <v>0</v>
      </c>
      <c r="CQ252">
        <v>0</v>
      </c>
      <c r="CR252">
        <v>0</v>
      </c>
      <c r="CS252">
        <v>0</v>
      </c>
      <c r="CT252">
        <v>0</v>
      </c>
      <c r="CU252">
        <v>0</v>
      </c>
      <c r="CV252">
        <v>29.463000000000001</v>
      </c>
      <c r="CW252">
        <v>8.6210000000000004</v>
      </c>
      <c r="CX252">
        <v>0</v>
      </c>
      <c r="CY252" s="2043">
        <v>0</v>
      </c>
      <c r="CZ252" s="2043">
        <v>0</v>
      </c>
      <c r="DA252" s="2043">
        <v>0</v>
      </c>
      <c r="DB252" s="2043">
        <v>0</v>
      </c>
      <c r="DC252" s="2043">
        <v>0</v>
      </c>
      <c r="DI252" t="s">
        <v>5779</v>
      </c>
      <c r="DJ252" t="s">
        <v>5779</v>
      </c>
      <c r="DK252" s="2042">
        <f t="shared" si="5"/>
        <v>0</v>
      </c>
    </row>
    <row r="253" spans="1:115">
      <c r="A253" t="s">
        <v>4984</v>
      </c>
      <c r="B253" t="s">
        <v>2418</v>
      </c>
      <c r="C253">
        <v>311.09700000000004</v>
      </c>
      <c r="D253">
        <v>339.96100000000001</v>
      </c>
      <c r="E253">
        <v>17.367000000000001</v>
      </c>
      <c r="F253">
        <v>0</v>
      </c>
      <c r="G253" s="2043">
        <v>3183321330</v>
      </c>
      <c r="H253">
        <v>0</v>
      </c>
      <c r="I253" s="2043">
        <v>2304925</v>
      </c>
      <c r="J253">
        <v>15.555000000000001</v>
      </c>
      <c r="K253">
        <v>43</v>
      </c>
      <c r="L253">
        <v>0</v>
      </c>
      <c r="M253">
        <v>0</v>
      </c>
      <c r="N253">
        <v>0</v>
      </c>
      <c r="O253">
        <v>0</v>
      </c>
      <c r="P253">
        <v>0</v>
      </c>
      <c r="Q253">
        <v>0</v>
      </c>
      <c r="R253" s="2043">
        <v>27868205</v>
      </c>
      <c r="S253">
        <v>1689597</v>
      </c>
      <c r="T253">
        <v>0</v>
      </c>
      <c r="U253">
        <v>0.05</v>
      </c>
      <c r="V253">
        <v>0</v>
      </c>
      <c r="W253">
        <v>22126904</v>
      </c>
      <c r="X253">
        <v>0</v>
      </c>
      <c r="Y253">
        <v>1604693</v>
      </c>
      <c r="Z253">
        <v>0</v>
      </c>
      <c r="AA253">
        <v>0</v>
      </c>
      <c r="AB253">
        <v>327.358</v>
      </c>
      <c r="AC253" s="2043">
        <v>2066268984</v>
      </c>
      <c r="AD253">
        <v>12010535</v>
      </c>
      <c r="AE253" s="2043">
        <v>29557802</v>
      </c>
      <c r="AF253">
        <v>0.87470000000000003</v>
      </c>
      <c r="AG253">
        <v>0</v>
      </c>
      <c r="AH253">
        <v>22126904</v>
      </c>
      <c r="AI253">
        <v>0</v>
      </c>
      <c r="AJ253">
        <v>76.588000000000008</v>
      </c>
      <c r="AK253">
        <v>1456</v>
      </c>
      <c r="AL253">
        <v>0.108</v>
      </c>
      <c r="AM253">
        <v>0</v>
      </c>
      <c r="AN253">
        <v>10.674000000000001</v>
      </c>
      <c r="AO253">
        <v>0</v>
      </c>
      <c r="AP253">
        <v>0</v>
      </c>
      <c r="AQ253">
        <v>0</v>
      </c>
      <c r="AR253">
        <v>5.4720000000000004</v>
      </c>
      <c r="AS253">
        <v>0</v>
      </c>
      <c r="AT253">
        <v>2.1270000000000002</v>
      </c>
      <c r="AU253">
        <v>0.84</v>
      </c>
      <c r="AV253">
        <v>0</v>
      </c>
      <c r="AW253">
        <v>8.5470000000000006</v>
      </c>
      <c r="AX253">
        <v>0</v>
      </c>
      <c r="AY253">
        <v>27.537000000000003</v>
      </c>
      <c r="AZ253">
        <v>0</v>
      </c>
      <c r="BA253">
        <v>1778376</v>
      </c>
      <c r="BB253">
        <v>41568337</v>
      </c>
      <c r="BC253">
        <v>0</v>
      </c>
      <c r="BD253">
        <v>0</v>
      </c>
      <c r="BE253">
        <v>1331</v>
      </c>
      <c r="BF253">
        <v>1331</v>
      </c>
      <c r="BG253">
        <v>0</v>
      </c>
      <c r="BH253">
        <v>0</v>
      </c>
      <c r="BI253">
        <v>0</v>
      </c>
      <c r="BJ253">
        <v>0</v>
      </c>
      <c r="BK253">
        <v>0</v>
      </c>
      <c r="BL253">
        <v>3183321330</v>
      </c>
      <c r="BM253">
        <v>0</v>
      </c>
      <c r="BN253">
        <v>1008</v>
      </c>
      <c r="BO253">
        <v>952</v>
      </c>
      <c r="BP253">
        <v>0</v>
      </c>
      <c r="BQ253">
        <v>0</v>
      </c>
      <c r="BR253">
        <v>0.82469999999999999</v>
      </c>
      <c r="BS253">
        <v>0.82469999999999999</v>
      </c>
      <c r="BT253">
        <v>0</v>
      </c>
      <c r="BU253">
        <v>0</v>
      </c>
      <c r="BV253">
        <v>0</v>
      </c>
      <c r="BW253">
        <v>113</v>
      </c>
      <c r="BX253">
        <v>0</v>
      </c>
      <c r="BY253">
        <v>2</v>
      </c>
      <c r="BZ253">
        <v>179</v>
      </c>
      <c r="CA253">
        <v>294</v>
      </c>
      <c r="CB253">
        <v>0</v>
      </c>
      <c r="CC253">
        <v>0</v>
      </c>
      <c r="CD253">
        <v>0</v>
      </c>
      <c r="CE253">
        <v>3</v>
      </c>
      <c r="CF253">
        <v>87.31</v>
      </c>
      <c r="CG253">
        <v>0</v>
      </c>
      <c r="CH253">
        <v>0</v>
      </c>
      <c r="CI253">
        <v>4</v>
      </c>
      <c r="CJ253">
        <v>2</v>
      </c>
      <c r="CK253">
        <v>0</v>
      </c>
      <c r="CL253">
        <v>0</v>
      </c>
      <c r="CM253">
        <v>17.367000000000001</v>
      </c>
      <c r="CN253">
        <v>0</v>
      </c>
      <c r="CO253">
        <v>0</v>
      </c>
      <c r="CP253">
        <v>0</v>
      </c>
      <c r="CQ253">
        <v>0</v>
      </c>
      <c r="CR253">
        <v>0</v>
      </c>
      <c r="CS253">
        <v>78.405000000000001</v>
      </c>
      <c r="CT253">
        <v>0</v>
      </c>
      <c r="CU253">
        <v>0</v>
      </c>
      <c r="CV253">
        <v>8.9820000000000011</v>
      </c>
      <c r="CW253">
        <v>1.5370000000000001</v>
      </c>
      <c r="CX253">
        <v>0</v>
      </c>
      <c r="CY253" s="2043">
        <v>1604693</v>
      </c>
      <c r="CZ253" s="2043">
        <v>0</v>
      </c>
      <c r="DA253" s="2043">
        <v>0</v>
      </c>
      <c r="DB253" s="2043">
        <v>0</v>
      </c>
      <c r="DC253" s="2043">
        <v>372547</v>
      </c>
      <c r="DI253" t="s">
        <v>4984</v>
      </c>
      <c r="DJ253" t="s">
        <v>4984</v>
      </c>
      <c r="DK253" s="2042">
        <f t="shared" si="5"/>
        <v>0</v>
      </c>
    </row>
    <row r="254" spans="1:115">
      <c r="A254" t="s">
        <v>4985</v>
      </c>
      <c r="B254" t="s">
        <v>2419</v>
      </c>
      <c r="C254">
        <v>1563.5210000000002</v>
      </c>
      <c r="D254">
        <v>1478.511</v>
      </c>
      <c r="E254">
        <v>447.565</v>
      </c>
      <c r="F254">
        <v>0</v>
      </c>
      <c r="G254" s="2043">
        <v>1340596559</v>
      </c>
      <c r="H254">
        <v>0</v>
      </c>
      <c r="I254" s="2043">
        <v>955997</v>
      </c>
      <c r="J254">
        <v>76</v>
      </c>
      <c r="K254">
        <v>208</v>
      </c>
      <c r="L254">
        <v>0</v>
      </c>
      <c r="M254">
        <v>0</v>
      </c>
      <c r="N254">
        <v>0</v>
      </c>
      <c r="O254">
        <v>0</v>
      </c>
      <c r="P254">
        <v>0</v>
      </c>
      <c r="Q254">
        <v>0</v>
      </c>
      <c r="R254" s="2043">
        <v>11867041</v>
      </c>
      <c r="S254">
        <v>669471</v>
      </c>
      <c r="T254">
        <v>0</v>
      </c>
      <c r="U254">
        <v>0.05</v>
      </c>
      <c r="V254">
        <v>0</v>
      </c>
      <c r="W254">
        <v>0</v>
      </c>
      <c r="X254">
        <v>0</v>
      </c>
      <c r="Y254">
        <v>0</v>
      </c>
      <c r="Z254">
        <v>0</v>
      </c>
      <c r="AA254">
        <v>0</v>
      </c>
      <c r="AB254">
        <v>1487.336</v>
      </c>
      <c r="AC254" s="2043">
        <v>1230546163</v>
      </c>
      <c r="AD254">
        <v>1009582</v>
      </c>
      <c r="AE254" s="2043">
        <v>12536512</v>
      </c>
      <c r="AF254">
        <v>0.93630000000000002</v>
      </c>
      <c r="AG254">
        <v>0</v>
      </c>
      <c r="AH254">
        <v>0</v>
      </c>
      <c r="AI254">
        <v>0</v>
      </c>
      <c r="AJ254">
        <v>281.83800000000002</v>
      </c>
      <c r="AK254">
        <v>4252</v>
      </c>
      <c r="AL254">
        <v>0</v>
      </c>
      <c r="AM254">
        <v>0</v>
      </c>
      <c r="AN254">
        <v>44.062000000000005</v>
      </c>
      <c r="AO254">
        <v>0</v>
      </c>
      <c r="AP254">
        <v>0</v>
      </c>
      <c r="AQ254">
        <v>0</v>
      </c>
      <c r="AR254">
        <v>27.719000000000001</v>
      </c>
      <c r="AS254">
        <v>0</v>
      </c>
      <c r="AT254">
        <v>9.8000000000000007</v>
      </c>
      <c r="AU254">
        <v>1.7870000000000001</v>
      </c>
      <c r="AV254">
        <v>0</v>
      </c>
      <c r="AW254">
        <v>39.306000000000004</v>
      </c>
      <c r="AX254">
        <v>0</v>
      </c>
      <c r="AY254">
        <v>121.492</v>
      </c>
      <c r="AZ254">
        <v>0</v>
      </c>
      <c r="BA254">
        <v>2939093</v>
      </c>
      <c r="BB254">
        <v>13546094</v>
      </c>
      <c r="BC254">
        <v>0</v>
      </c>
      <c r="BD254">
        <v>66350</v>
      </c>
      <c r="BE254">
        <v>947</v>
      </c>
      <c r="BF254">
        <v>72080</v>
      </c>
      <c r="BG254">
        <v>66350</v>
      </c>
      <c r="BH254">
        <v>4783</v>
      </c>
      <c r="BI254">
        <v>0</v>
      </c>
      <c r="BJ254">
        <v>0</v>
      </c>
      <c r="BK254">
        <v>0</v>
      </c>
      <c r="BL254">
        <v>1340596559</v>
      </c>
      <c r="BM254">
        <v>0</v>
      </c>
      <c r="BN254">
        <v>5265</v>
      </c>
      <c r="BO254">
        <v>4772</v>
      </c>
      <c r="BP254">
        <v>0</v>
      </c>
      <c r="BQ254">
        <v>0</v>
      </c>
      <c r="BR254">
        <v>0.88630000000000009</v>
      </c>
      <c r="BS254">
        <v>0.88630000000000009</v>
      </c>
      <c r="BT254">
        <v>0</v>
      </c>
      <c r="BU254">
        <v>0</v>
      </c>
      <c r="BV254">
        <v>111</v>
      </c>
      <c r="BW254">
        <v>297</v>
      </c>
      <c r="BX254">
        <v>720</v>
      </c>
      <c r="BY254">
        <v>0</v>
      </c>
      <c r="BZ254">
        <v>23</v>
      </c>
      <c r="CA254">
        <v>1151</v>
      </c>
      <c r="CB254">
        <v>0</v>
      </c>
      <c r="CC254">
        <v>0</v>
      </c>
      <c r="CD254">
        <v>0</v>
      </c>
      <c r="CE254">
        <v>71</v>
      </c>
      <c r="CF254">
        <v>604.79</v>
      </c>
      <c r="CG254">
        <v>0</v>
      </c>
      <c r="CH254">
        <v>0</v>
      </c>
      <c r="CI254">
        <v>2</v>
      </c>
      <c r="CJ254">
        <v>8</v>
      </c>
      <c r="CK254">
        <v>0</v>
      </c>
      <c r="CL254">
        <v>0</v>
      </c>
      <c r="CM254">
        <v>447.565</v>
      </c>
      <c r="CN254">
        <v>0</v>
      </c>
      <c r="CO254">
        <v>0</v>
      </c>
      <c r="CP254">
        <v>0</v>
      </c>
      <c r="CQ254">
        <v>0</v>
      </c>
      <c r="CR254">
        <v>0</v>
      </c>
      <c r="CS254">
        <v>0</v>
      </c>
      <c r="CT254">
        <v>0</v>
      </c>
      <c r="CU254">
        <v>0</v>
      </c>
      <c r="CV254">
        <v>91.625</v>
      </c>
      <c r="CW254">
        <v>58.331000000000003</v>
      </c>
      <c r="CX254">
        <v>0</v>
      </c>
      <c r="CY254" s="2043">
        <v>0</v>
      </c>
      <c r="CZ254" s="2043">
        <v>0</v>
      </c>
      <c r="DA254" s="2043">
        <v>0</v>
      </c>
      <c r="DB254" s="2043">
        <v>0</v>
      </c>
      <c r="DC254" s="2043">
        <v>0</v>
      </c>
      <c r="DI254" t="s">
        <v>4985</v>
      </c>
      <c r="DJ254" t="s">
        <v>4985</v>
      </c>
      <c r="DK254" s="2042">
        <f t="shared" si="5"/>
        <v>0</v>
      </c>
    </row>
    <row r="255" spans="1:115">
      <c r="A255" t="s">
        <v>5780</v>
      </c>
      <c r="B255" t="s">
        <v>2420</v>
      </c>
      <c r="C255">
        <v>194.77600000000001</v>
      </c>
      <c r="D255">
        <v>189.078</v>
      </c>
      <c r="E255">
        <v>37.611000000000004</v>
      </c>
      <c r="F255">
        <v>0</v>
      </c>
      <c r="G255" s="2043">
        <v>205711569</v>
      </c>
      <c r="H255">
        <v>-6213</v>
      </c>
      <c r="I255" s="2043">
        <v>135275</v>
      </c>
      <c r="J255">
        <v>9.7390000000000008</v>
      </c>
      <c r="K255">
        <v>27</v>
      </c>
      <c r="L255">
        <v>0</v>
      </c>
      <c r="M255">
        <v>0</v>
      </c>
      <c r="N255">
        <v>0</v>
      </c>
      <c r="O255">
        <v>0</v>
      </c>
      <c r="P255">
        <v>0</v>
      </c>
      <c r="Q255">
        <v>0</v>
      </c>
      <c r="R255" s="2043">
        <v>1864895</v>
      </c>
      <c r="S255">
        <v>163337</v>
      </c>
      <c r="T255">
        <v>119031</v>
      </c>
      <c r="U255">
        <v>0.08</v>
      </c>
      <c r="V255">
        <v>0</v>
      </c>
      <c r="W255">
        <v>0</v>
      </c>
      <c r="X255">
        <v>6213</v>
      </c>
      <c r="Y255">
        <v>-6213</v>
      </c>
      <c r="Z255">
        <v>0</v>
      </c>
      <c r="AA255">
        <v>0</v>
      </c>
      <c r="AB255">
        <v>183.518</v>
      </c>
      <c r="AC255" s="2043">
        <v>187915277</v>
      </c>
      <c r="AD255">
        <v>136453</v>
      </c>
      <c r="AE255" s="2043">
        <v>2147263</v>
      </c>
      <c r="AF255">
        <v>1.0517000000000001</v>
      </c>
      <c r="AG255">
        <v>0</v>
      </c>
      <c r="AH255">
        <v>6213</v>
      </c>
      <c r="AI255">
        <v>0</v>
      </c>
      <c r="AJ255">
        <v>29.45</v>
      </c>
      <c r="AK255">
        <v>982</v>
      </c>
      <c r="AL255">
        <v>0</v>
      </c>
      <c r="AM255">
        <v>0</v>
      </c>
      <c r="AN255">
        <v>10.979000000000001</v>
      </c>
      <c r="AO255">
        <v>0</v>
      </c>
      <c r="AP255">
        <v>0</v>
      </c>
      <c r="AQ255">
        <v>0</v>
      </c>
      <c r="AR255">
        <v>4.0590000000000002</v>
      </c>
      <c r="AS255">
        <v>0</v>
      </c>
      <c r="AT255">
        <v>0.53700000000000003</v>
      </c>
      <c r="AU255">
        <v>0.23500000000000001</v>
      </c>
      <c r="AV255">
        <v>0</v>
      </c>
      <c r="AW255">
        <v>4.8310000000000004</v>
      </c>
      <c r="AX255">
        <v>0</v>
      </c>
      <c r="AY255">
        <v>14.963000000000001</v>
      </c>
      <c r="AZ255">
        <v>0</v>
      </c>
      <c r="BA255">
        <v>769050</v>
      </c>
      <c r="BB255">
        <v>2283716</v>
      </c>
      <c r="BC255">
        <v>0</v>
      </c>
      <c r="BD255">
        <v>74861</v>
      </c>
      <c r="BE255">
        <v>0</v>
      </c>
      <c r="BF255">
        <v>74861</v>
      </c>
      <c r="BG255">
        <v>74861</v>
      </c>
      <c r="BH255">
        <v>0</v>
      </c>
      <c r="BI255">
        <v>0</v>
      </c>
      <c r="BJ255">
        <v>0</v>
      </c>
      <c r="BK255">
        <v>0</v>
      </c>
      <c r="BL255">
        <v>205711569</v>
      </c>
      <c r="BM255">
        <v>0</v>
      </c>
      <c r="BN255">
        <v>594</v>
      </c>
      <c r="BO255">
        <v>417</v>
      </c>
      <c r="BP255">
        <v>0</v>
      </c>
      <c r="BQ255">
        <v>0</v>
      </c>
      <c r="BR255">
        <v>0.91339999999999999</v>
      </c>
      <c r="BS255">
        <v>0.91339999999999999</v>
      </c>
      <c r="BT255">
        <v>0</v>
      </c>
      <c r="BU255">
        <v>0</v>
      </c>
      <c r="BV255">
        <v>11</v>
      </c>
      <c r="BW255">
        <v>102</v>
      </c>
      <c r="BX255">
        <v>0</v>
      </c>
      <c r="BY255">
        <v>0</v>
      </c>
      <c r="BZ255">
        <v>10</v>
      </c>
      <c r="CA255">
        <v>123</v>
      </c>
      <c r="CB255">
        <v>0</v>
      </c>
      <c r="CC255">
        <v>0</v>
      </c>
      <c r="CD255">
        <v>0</v>
      </c>
      <c r="CE255">
        <v>20</v>
      </c>
      <c r="CF255">
        <v>49.653000000000006</v>
      </c>
      <c r="CG255">
        <v>0</v>
      </c>
      <c r="CH255">
        <v>0</v>
      </c>
      <c r="CI255">
        <v>1</v>
      </c>
      <c r="CJ255">
        <v>1</v>
      </c>
      <c r="CK255">
        <v>0</v>
      </c>
      <c r="CL255">
        <v>0</v>
      </c>
      <c r="CM255">
        <v>37.611000000000004</v>
      </c>
      <c r="CN255">
        <v>0</v>
      </c>
      <c r="CO255">
        <v>0</v>
      </c>
      <c r="CP255">
        <v>0</v>
      </c>
      <c r="CQ255">
        <v>0</v>
      </c>
      <c r="CR255">
        <v>0</v>
      </c>
      <c r="CS255">
        <v>0</v>
      </c>
      <c r="CT255">
        <v>0</v>
      </c>
      <c r="CU255">
        <v>0</v>
      </c>
      <c r="CV255">
        <v>16.524000000000001</v>
      </c>
      <c r="CW255">
        <v>4.4270000000000005</v>
      </c>
      <c r="CX255">
        <v>0</v>
      </c>
      <c r="CY255" s="2043">
        <v>0</v>
      </c>
      <c r="CZ255" s="2043">
        <v>0</v>
      </c>
      <c r="DA255" s="2043">
        <v>0</v>
      </c>
      <c r="DB255" s="2043">
        <v>0</v>
      </c>
      <c r="DC255" s="2043">
        <v>58067</v>
      </c>
      <c r="DI255" t="s">
        <v>5780</v>
      </c>
      <c r="DJ255" t="s">
        <v>5780</v>
      </c>
      <c r="DK255" s="2042">
        <f t="shared" si="5"/>
        <v>0</v>
      </c>
    </row>
    <row r="256" spans="1:115">
      <c r="A256" t="s">
        <v>7951</v>
      </c>
      <c r="B256" t="s">
        <v>11267</v>
      </c>
      <c r="C256">
        <v>454.077</v>
      </c>
      <c r="D256">
        <v>546.75599999999997</v>
      </c>
      <c r="E256">
        <v>117.206</v>
      </c>
      <c r="F256">
        <v>0</v>
      </c>
      <c r="G256" s="2043">
        <v>0</v>
      </c>
      <c r="H256">
        <v>0</v>
      </c>
      <c r="I256" s="2043">
        <v>0</v>
      </c>
      <c r="J256">
        <v>0</v>
      </c>
      <c r="K256">
        <v>0</v>
      </c>
      <c r="L256">
        <v>0</v>
      </c>
      <c r="M256">
        <v>0</v>
      </c>
      <c r="N256">
        <v>0</v>
      </c>
      <c r="O256">
        <v>0</v>
      </c>
      <c r="P256">
        <v>0</v>
      </c>
      <c r="Q256">
        <v>0</v>
      </c>
      <c r="R256" s="2043">
        <v>0</v>
      </c>
      <c r="S256">
        <v>0</v>
      </c>
      <c r="T256">
        <v>0</v>
      </c>
      <c r="U256">
        <v>0</v>
      </c>
      <c r="V256">
        <v>0</v>
      </c>
      <c r="W256">
        <v>0</v>
      </c>
      <c r="X256">
        <v>0</v>
      </c>
      <c r="Y256">
        <v>80273</v>
      </c>
      <c r="Z256">
        <v>0</v>
      </c>
      <c r="AA256">
        <v>0</v>
      </c>
      <c r="AB256">
        <v>469.75700000000001</v>
      </c>
      <c r="AC256" s="2043">
        <v>0</v>
      </c>
      <c r="AD256">
        <v>0</v>
      </c>
      <c r="AE256" s="2043">
        <v>0</v>
      </c>
      <c r="AF256">
        <v>0</v>
      </c>
      <c r="AG256">
        <v>0</v>
      </c>
      <c r="AH256">
        <v>0</v>
      </c>
      <c r="AI256">
        <v>0</v>
      </c>
      <c r="AJ256">
        <v>111.58800000000001</v>
      </c>
      <c r="AK256">
        <v>1793</v>
      </c>
      <c r="AL256">
        <v>0</v>
      </c>
      <c r="AM256">
        <v>0</v>
      </c>
      <c r="AN256">
        <v>10.93</v>
      </c>
      <c r="AO256">
        <v>0</v>
      </c>
      <c r="AP256">
        <v>0</v>
      </c>
      <c r="AQ256">
        <v>0</v>
      </c>
      <c r="AR256">
        <v>20.709</v>
      </c>
      <c r="AS256">
        <v>0</v>
      </c>
      <c r="AT256">
        <v>0</v>
      </c>
      <c r="AU256">
        <v>0.89600000000000002</v>
      </c>
      <c r="AV256">
        <v>0</v>
      </c>
      <c r="AW256">
        <v>21.605</v>
      </c>
      <c r="AX256">
        <v>0</v>
      </c>
      <c r="AY256">
        <v>66.606999999999999</v>
      </c>
      <c r="AZ256">
        <v>0</v>
      </c>
      <c r="BA256">
        <v>5263475</v>
      </c>
      <c r="BB256">
        <v>0</v>
      </c>
      <c r="BC256">
        <v>0</v>
      </c>
      <c r="BD256">
        <v>150480</v>
      </c>
      <c r="BE256">
        <v>0</v>
      </c>
      <c r="BF256">
        <v>150480</v>
      </c>
      <c r="BG256">
        <v>150480</v>
      </c>
      <c r="BH256">
        <v>0</v>
      </c>
      <c r="BI256">
        <v>0</v>
      </c>
      <c r="BJ256">
        <v>0</v>
      </c>
      <c r="BK256">
        <v>0</v>
      </c>
      <c r="BL256">
        <v>0</v>
      </c>
      <c r="BM256">
        <v>0</v>
      </c>
      <c r="BN256">
        <v>1584</v>
      </c>
      <c r="BO256">
        <v>0</v>
      </c>
      <c r="BP256">
        <v>0</v>
      </c>
      <c r="BQ256">
        <v>0</v>
      </c>
      <c r="BR256">
        <v>0</v>
      </c>
      <c r="BS256">
        <v>0</v>
      </c>
      <c r="BT256">
        <v>0</v>
      </c>
      <c r="BU256">
        <v>0</v>
      </c>
      <c r="BV256">
        <v>32</v>
      </c>
      <c r="BW256">
        <v>48</v>
      </c>
      <c r="BX256">
        <v>69</v>
      </c>
      <c r="BY256">
        <v>57</v>
      </c>
      <c r="BZ256">
        <v>221</v>
      </c>
      <c r="CA256">
        <v>427</v>
      </c>
      <c r="CB256">
        <v>0</v>
      </c>
      <c r="CC256">
        <v>0</v>
      </c>
      <c r="CD256">
        <v>0</v>
      </c>
      <c r="CE256">
        <v>20</v>
      </c>
      <c r="CF256">
        <v>107.643</v>
      </c>
      <c r="CG256">
        <v>0</v>
      </c>
      <c r="CH256">
        <v>0</v>
      </c>
      <c r="CI256">
        <v>1</v>
      </c>
      <c r="CJ256">
        <v>1</v>
      </c>
      <c r="CK256">
        <v>0</v>
      </c>
      <c r="CL256">
        <v>0</v>
      </c>
      <c r="CM256">
        <v>117.206</v>
      </c>
      <c r="CN256">
        <v>0</v>
      </c>
      <c r="CO256">
        <v>0</v>
      </c>
      <c r="CP256">
        <v>0</v>
      </c>
      <c r="CQ256">
        <v>0</v>
      </c>
      <c r="CR256">
        <v>0</v>
      </c>
      <c r="CS256">
        <v>0</v>
      </c>
      <c r="CT256">
        <v>0</v>
      </c>
      <c r="CU256">
        <v>0</v>
      </c>
      <c r="CV256">
        <v>0</v>
      </c>
      <c r="CW256">
        <v>0</v>
      </c>
      <c r="CX256">
        <v>0</v>
      </c>
      <c r="CY256" s="2043">
        <v>0</v>
      </c>
      <c r="CZ256" s="2043">
        <v>0</v>
      </c>
      <c r="DA256" s="2043">
        <v>0</v>
      </c>
      <c r="DB256" s="2043">
        <v>0</v>
      </c>
      <c r="DC256" s="2043">
        <v>0</v>
      </c>
      <c r="DI256" t="s">
        <v>7951</v>
      </c>
      <c r="DJ256" t="s">
        <v>7951</v>
      </c>
      <c r="DK256" s="2042">
        <f t="shared" si="5"/>
        <v>0</v>
      </c>
    </row>
    <row r="257" spans="1:115">
      <c r="A257" t="s">
        <v>7952</v>
      </c>
      <c r="B257" t="s">
        <v>11268</v>
      </c>
      <c r="C257">
        <v>20451.37</v>
      </c>
      <c r="D257">
        <v>20254.147000000001</v>
      </c>
      <c r="E257">
        <v>6512.1810000000005</v>
      </c>
      <c r="F257">
        <v>0</v>
      </c>
      <c r="G257" s="2043">
        <v>0</v>
      </c>
      <c r="H257">
        <v>0</v>
      </c>
      <c r="I257" s="2043">
        <v>0</v>
      </c>
      <c r="J257">
        <v>0</v>
      </c>
      <c r="K257">
        <v>0</v>
      </c>
      <c r="L257">
        <v>0</v>
      </c>
      <c r="M257">
        <v>0</v>
      </c>
      <c r="N257">
        <v>0</v>
      </c>
      <c r="O257">
        <v>0</v>
      </c>
      <c r="P257">
        <v>0</v>
      </c>
      <c r="Q257">
        <v>0</v>
      </c>
      <c r="R257" s="2043">
        <v>0</v>
      </c>
      <c r="S257">
        <v>0</v>
      </c>
      <c r="T257">
        <v>0</v>
      </c>
      <c r="U257">
        <v>0</v>
      </c>
      <c r="V257">
        <v>512.02800000000002</v>
      </c>
      <c r="W257">
        <v>0</v>
      </c>
      <c r="X257">
        <v>0</v>
      </c>
      <c r="Y257">
        <v>3615439</v>
      </c>
      <c r="Z257">
        <v>0</v>
      </c>
      <c r="AA257">
        <v>0</v>
      </c>
      <c r="AB257">
        <v>19754.439999999999</v>
      </c>
      <c r="AC257" s="2043">
        <v>0</v>
      </c>
      <c r="AD257">
        <v>0</v>
      </c>
      <c r="AE257" s="2043">
        <v>0</v>
      </c>
      <c r="AF257">
        <v>0</v>
      </c>
      <c r="AG257">
        <v>0</v>
      </c>
      <c r="AH257">
        <v>0</v>
      </c>
      <c r="AI257">
        <v>0</v>
      </c>
      <c r="AJ257">
        <v>4169.5749999999998</v>
      </c>
      <c r="AK257">
        <v>49127</v>
      </c>
      <c r="AL257">
        <v>0.77</v>
      </c>
      <c r="AM257">
        <v>0</v>
      </c>
      <c r="AN257">
        <v>280.63400000000001</v>
      </c>
      <c r="AO257">
        <v>0</v>
      </c>
      <c r="AP257">
        <v>0</v>
      </c>
      <c r="AQ257">
        <v>0</v>
      </c>
      <c r="AR257">
        <v>430.15000000000003</v>
      </c>
      <c r="AS257">
        <v>0</v>
      </c>
      <c r="AT257">
        <v>123.62400000000001</v>
      </c>
      <c r="AU257">
        <v>36.263000000000005</v>
      </c>
      <c r="AV257">
        <v>0</v>
      </c>
      <c r="AW257">
        <v>590.80700000000002</v>
      </c>
      <c r="AX257">
        <v>0</v>
      </c>
      <c r="AY257">
        <v>1846.4870000000001</v>
      </c>
      <c r="AZ257">
        <v>0</v>
      </c>
      <c r="BA257">
        <v>225424397</v>
      </c>
      <c r="BB257">
        <v>0</v>
      </c>
      <c r="BC257">
        <v>0</v>
      </c>
      <c r="BD257">
        <v>0</v>
      </c>
      <c r="BE257">
        <v>0</v>
      </c>
      <c r="BF257">
        <v>0</v>
      </c>
      <c r="BG257">
        <v>0</v>
      </c>
      <c r="BH257">
        <v>0</v>
      </c>
      <c r="BI257">
        <v>0</v>
      </c>
      <c r="BJ257">
        <v>0</v>
      </c>
      <c r="BK257">
        <v>0</v>
      </c>
      <c r="BL257">
        <v>0</v>
      </c>
      <c r="BM257">
        <v>0</v>
      </c>
      <c r="BN257">
        <v>54873</v>
      </c>
      <c r="BO257">
        <v>46288</v>
      </c>
      <c r="BP257">
        <v>1301552</v>
      </c>
      <c r="BQ257">
        <v>0</v>
      </c>
      <c r="BR257">
        <v>0</v>
      </c>
      <c r="BS257">
        <v>0</v>
      </c>
      <c r="BT257">
        <v>0</v>
      </c>
      <c r="BU257">
        <v>0</v>
      </c>
      <c r="BV257">
        <v>1582</v>
      </c>
      <c r="BW257">
        <v>2073</v>
      </c>
      <c r="BX257">
        <v>2715</v>
      </c>
      <c r="BY257">
        <v>4219</v>
      </c>
      <c r="BZ257">
        <v>5582</v>
      </c>
      <c r="CA257">
        <v>16171</v>
      </c>
      <c r="CB257">
        <v>0</v>
      </c>
      <c r="CC257">
        <v>0</v>
      </c>
      <c r="CD257">
        <v>0</v>
      </c>
      <c r="CE257">
        <v>486</v>
      </c>
      <c r="CF257">
        <v>7033.1640000000007</v>
      </c>
      <c r="CG257">
        <v>0</v>
      </c>
      <c r="CH257">
        <v>0</v>
      </c>
      <c r="CI257">
        <v>93</v>
      </c>
      <c r="CJ257">
        <v>55</v>
      </c>
      <c r="CK257">
        <v>4</v>
      </c>
      <c r="CL257">
        <v>0</v>
      </c>
      <c r="CM257">
        <v>6512.1810000000005</v>
      </c>
      <c r="CN257">
        <v>322474</v>
      </c>
      <c r="CO257">
        <v>577041</v>
      </c>
      <c r="CP257">
        <v>390362</v>
      </c>
      <c r="CQ257">
        <v>11675</v>
      </c>
      <c r="CR257">
        <v>0</v>
      </c>
      <c r="CS257">
        <v>0</v>
      </c>
      <c r="CT257">
        <v>0</v>
      </c>
      <c r="CU257">
        <v>108.714</v>
      </c>
      <c r="CV257">
        <v>754.45800000000008</v>
      </c>
      <c r="CW257">
        <v>378.12299999999999</v>
      </c>
      <c r="CX257">
        <v>0</v>
      </c>
      <c r="CY257" s="2043">
        <v>0</v>
      </c>
      <c r="CZ257" s="2043">
        <v>0</v>
      </c>
      <c r="DA257" s="2043">
        <v>0</v>
      </c>
      <c r="DB257" s="2043">
        <v>0</v>
      </c>
      <c r="DC257" s="2043">
        <v>0</v>
      </c>
      <c r="DI257" t="s">
        <v>7952</v>
      </c>
      <c r="DJ257" t="s">
        <v>7952</v>
      </c>
      <c r="DK257" s="2042">
        <f t="shared" si="5"/>
        <v>0</v>
      </c>
    </row>
    <row r="258" spans="1:115">
      <c r="A258" t="s">
        <v>7953</v>
      </c>
      <c r="B258" t="s">
        <v>11269</v>
      </c>
      <c r="C258">
        <v>3884.076</v>
      </c>
      <c r="D258">
        <v>4504.8130000000001</v>
      </c>
      <c r="E258">
        <v>1152.104</v>
      </c>
      <c r="F258">
        <v>0</v>
      </c>
      <c r="G258" s="2043">
        <v>0</v>
      </c>
      <c r="H258">
        <v>0</v>
      </c>
      <c r="I258" s="2043">
        <v>0</v>
      </c>
      <c r="J258">
        <v>0</v>
      </c>
      <c r="K258">
        <v>0</v>
      </c>
      <c r="L258">
        <v>0</v>
      </c>
      <c r="M258">
        <v>0</v>
      </c>
      <c r="N258">
        <v>0</v>
      </c>
      <c r="O258">
        <v>0</v>
      </c>
      <c r="P258">
        <v>0</v>
      </c>
      <c r="Q258">
        <v>0</v>
      </c>
      <c r="R258" s="2043">
        <v>0</v>
      </c>
      <c r="S258">
        <v>0</v>
      </c>
      <c r="T258">
        <v>0</v>
      </c>
      <c r="U258">
        <v>0</v>
      </c>
      <c r="V258">
        <v>0</v>
      </c>
      <c r="W258">
        <v>0</v>
      </c>
      <c r="X258">
        <v>0</v>
      </c>
      <c r="Y258">
        <v>686636</v>
      </c>
      <c r="Z258">
        <v>0</v>
      </c>
      <c r="AA258">
        <v>0</v>
      </c>
      <c r="AB258">
        <v>3823.6860000000001</v>
      </c>
      <c r="AC258" s="2043">
        <v>0</v>
      </c>
      <c r="AD258">
        <v>0</v>
      </c>
      <c r="AE258" s="2043">
        <v>0</v>
      </c>
      <c r="AF258">
        <v>0</v>
      </c>
      <c r="AG258">
        <v>0</v>
      </c>
      <c r="AH258">
        <v>0</v>
      </c>
      <c r="AI258">
        <v>0</v>
      </c>
      <c r="AJ258">
        <v>1192.663</v>
      </c>
      <c r="AK258">
        <v>11646</v>
      </c>
      <c r="AL258">
        <v>0.27600000000000002</v>
      </c>
      <c r="AM258">
        <v>0</v>
      </c>
      <c r="AN258">
        <v>176.078</v>
      </c>
      <c r="AO258">
        <v>0</v>
      </c>
      <c r="AP258">
        <v>0</v>
      </c>
      <c r="AQ258">
        <v>0</v>
      </c>
      <c r="AR258">
        <v>102.19500000000001</v>
      </c>
      <c r="AS258">
        <v>0</v>
      </c>
      <c r="AT258">
        <v>0</v>
      </c>
      <c r="AU258">
        <v>0.75700000000000001</v>
      </c>
      <c r="AV258">
        <v>0</v>
      </c>
      <c r="AW258">
        <v>103.22800000000001</v>
      </c>
      <c r="AX258">
        <v>0</v>
      </c>
      <c r="AY258">
        <v>311.75</v>
      </c>
      <c r="AZ258">
        <v>0</v>
      </c>
      <c r="BA258">
        <v>46188374</v>
      </c>
      <c r="BB258">
        <v>0</v>
      </c>
      <c r="BC258">
        <v>0</v>
      </c>
      <c r="BD258">
        <v>220804</v>
      </c>
      <c r="BE258">
        <v>0</v>
      </c>
      <c r="BF258">
        <v>220804</v>
      </c>
      <c r="BG258">
        <v>220804</v>
      </c>
      <c r="BH258">
        <v>0</v>
      </c>
      <c r="BI258">
        <v>0</v>
      </c>
      <c r="BJ258">
        <v>0</v>
      </c>
      <c r="BK258">
        <v>0</v>
      </c>
      <c r="BL258">
        <v>0</v>
      </c>
      <c r="BM258">
        <v>0</v>
      </c>
      <c r="BN258">
        <v>55359</v>
      </c>
      <c r="BO258">
        <v>0</v>
      </c>
      <c r="BP258">
        <v>0</v>
      </c>
      <c r="BQ258">
        <v>0</v>
      </c>
      <c r="BR258">
        <v>0</v>
      </c>
      <c r="BS258">
        <v>0</v>
      </c>
      <c r="BT258">
        <v>0</v>
      </c>
      <c r="BU258">
        <v>0</v>
      </c>
      <c r="BV258">
        <v>393</v>
      </c>
      <c r="BW258">
        <v>513</v>
      </c>
      <c r="BX258">
        <v>707</v>
      </c>
      <c r="BY258">
        <v>1218</v>
      </c>
      <c r="BZ258">
        <v>1767</v>
      </c>
      <c r="CA258">
        <v>4598</v>
      </c>
      <c r="CB258">
        <v>0</v>
      </c>
      <c r="CC258">
        <v>0</v>
      </c>
      <c r="CD258">
        <v>0</v>
      </c>
      <c r="CE258">
        <v>232</v>
      </c>
      <c r="CF258">
        <v>0</v>
      </c>
      <c r="CG258">
        <v>3884.076</v>
      </c>
      <c r="CH258">
        <v>0</v>
      </c>
      <c r="CI258">
        <v>0</v>
      </c>
      <c r="CJ258">
        <v>0</v>
      </c>
      <c r="CK258">
        <v>0</v>
      </c>
      <c r="CL258">
        <v>3884.076</v>
      </c>
      <c r="CM258">
        <v>1152.104</v>
      </c>
      <c r="CN258">
        <v>0</v>
      </c>
      <c r="CO258">
        <v>0</v>
      </c>
      <c r="CP258">
        <v>0</v>
      </c>
      <c r="CQ258">
        <v>0</v>
      </c>
      <c r="CR258">
        <v>0</v>
      </c>
      <c r="CS258">
        <v>0</v>
      </c>
      <c r="CT258">
        <v>0</v>
      </c>
      <c r="CU258">
        <v>15.939</v>
      </c>
      <c r="CV258">
        <v>129.50700000000001</v>
      </c>
      <c r="CW258">
        <v>50.136000000000003</v>
      </c>
      <c r="CX258">
        <v>0</v>
      </c>
      <c r="CY258" s="2043">
        <v>0</v>
      </c>
      <c r="CZ258" s="2043">
        <v>0</v>
      </c>
      <c r="DA258" s="2043">
        <v>0</v>
      </c>
      <c r="DB258" s="2043">
        <v>0</v>
      </c>
      <c r="DC258" s="2043">
        <v>0</v>
      </c>
      <c r="DI258" t="s">
        <v>7953</v>
      </c>
      <c r="DJ258" t="s">
        <v>7953</v>
      </c>
      <c r="DK258" s="2042">
        <f t="shared" si="5"/>
        <v>0</v>
      </c>
    </row>
    <row r="259" spans="1:115">
      <c r="A259" t="s">
        <v>7954</v>
      </c>
      <c r="B259" t="s">
        <v>11270</v>
      </c>
      <c r="C259">
        <v>175.43800000000002</v>
      </c>
      <c r="D259">
        <v>202.24800000000002</v>
      </c>
      <c r="E259">
        <v>74.219000000000008</v>
      </c>
      <c r="F259">
        <v>0</v>
      </c>
      <c r="G259" s="2043">
        <v>0</v>
      </c>
      <c r="H259">
        <v>0</v>
      </c>
      <c r="I259" s="2043">
        <v>0</v>
      </c>
      <c r="J259">
        <v>0</v>
      </c>
      <c r="K259">
        <v>0</v>
      </c>
      <c r="L259">
        <v>0</v>
      </c>
      <c r="M259">
        <v>0</v>
      </c>
      <c r="N259">
        <v>0</v>
      </c>
      <c r="O259">
        <v>0</v>
      </c>
      <c r="P259">
        <v>0</v>
      </c>
      <c r="Q259">
        <v>0</v>
      </c>
      <c r="R259" s="2043">
        <v>0</v>
      </c>
      <c r="S259">
        <v>0</v>
      </c>
      <c r="T259">
        <v>0</v>
      </c>
      <c r="U259">
        <v>0</v>
      </c>
      <c r="V259">
        <v>0</v>
      </c>
      <c r="W259">
        <v>0</v>
      </c>
      <c r="X259">
        <v>0</v>
      </c>
      <c r="Y259">
        <v>0</v>
      </c>
      <c r="Z259">
        <v>0</v>
      </c>
      <c r="AA259">
        <v>0</v>
      </c>
      <c r="AB259">
        <v>179.47</v>
      </c>
      <c r="AC259" s="2043">
        <v>0</v>
      </c>
      <c r="AD259">
        <v>0</v>
      </c>
      <c r="AE259" s="2043">
        <v>0</v>
      </c>
      <c r="AF259">
        <v>0</v>
      </c>
      <c r="AG259">
        <v>0</v>
      </c>
      <c r="AH259">
        <v>0</v>
      </c>
      <c r="AI259">
        <v>0</v>
      </c>
      <c r="AJ259">
        <v>44.988</v>
      </c>
      <c r="AK259">
        <v>409</v>
      </c>
      <c r="AL259">
        <v>0</v>
      </c>
      <c r="AM259">
        <v>0</v>
      </c>
      <c r="AN259">
        <v>0</v>
      </c>
      <c r="AO259">
        <v>0</v>
      </c>
      <c r="AP259">
        <v>0</v>
      </c>
      <c r="AQ259">
        <v>0</v>
      </c>
      <c r="AR259">
        <v>4.9720000000000004</v>
      </c>
      <c r="AS259">
        <v>0</v>
      </c>
      <c r="AT259">
        <v>0</v>
      </c>
      <c r="AU259">
        <v>0.629</v>
      </c>
      <c r="AV259">
        <v>0</v>
      </c>
      <c r="AW259">
        <v>5.601</v>
      </c>
      <c r="AX259">
        <v>0</v>
      </c>
      <c r="AY259">
        <v>18.061</v>
      </c>
      <c r="AZ259">
        <v>0</v>
      </c>
      <c r="BA259">
        <v>1982986</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16</v>
      </c>
      <c r="BW259">
        <v>26</v>
      </c>
      <c r="BX259">
        <v>24</v>
      </c>
      <c r="BY259">
        <v>61</v>
      </c>
      <c r="BZ259">
        <v>48</v>
      </c>
      <c r="CA259">
        <v>175</v>
      </c>
      <c r="CB259">
        <v>0</v>
      </c>
      <c r="CC259">
        <v>0</v>
      </c>
      <c r="CD259">
        <v>0</v>
      </c>
      <c r="CE259">
        <v>4</v>
      </c>
      <c r="CF259">
        <v>151.721</v>
      </c>
      <c r="CG259">
        <v>0</v>
      </c>
      <c r="CH259">
        <v>0</v>
      </c>
      <c r="CI259">
        <v>0</v>
      </c>
      <c r="CJ259">
        <v>0</v>
      </c>
      <c r="CK259">
        <v>0</v>
      </c>
      <c r="CL259">
        <v>0</v>
      </c>
      <c r="CM259">
        <v>74.219000000000008</v>
      </c>
      <c r="CN259">
        <v>0</v>
      </c>
      <c r="CO259">
        <v>0</v>
      </c>
      <c r="CP259">
        <v>0</v>
      </c>
      <c r="CQ259">
        <v>0</v>
      </c>
      <c r="CR259">
        <v>0</v>
      </c>
      <c r="CS259">
        <v>0</v>
      </c>
      <c r="CT259">
        <v>0</v>
      </c>
      <c r="CU259">
        <v>0</v>
      </c>
      <c r="CV259">
        <v>0</v>
      </c>
      <c r="CW259">
        <v>0</v>
      </c>
      <c r="CX259">
        <v>0</v>
      </c>
      <c r="CY259" s="2043">
        <v>0</v>
      </c>
      <c r="CZ259" s="2043">
        <v>0</v>
      </c>
      <c r="DA259" s="2043">
        <v>0</v>
      </c>
      <c r="DB259" s="2043">
        <v>0</v>
      </c>
      <c r="DC259" s="2043">
        <v>0</v>
      </c>
      <c r="DI259" t="s">
        <v>7954</v>
      </c>
      <c r="DJ259" t="s">
        <v>7954</v>
      </c>
      <c r="DK259" s="2042">
        <f t="shared" si="5"/>
        <v>0</v>
      </c>
    </row>
    <row r="260" spans="1:115">
      <c r="A260" t="s">
        <v>7957</v>
      </c>
      <c r="B260" t="s">
        <v>11271</v>
      </c>
      <c r="C260">
        <v>1775.472</v>
      </c>
      <c r="D260">
        <v>2158.06</v>
      </c>
      <c r="E260">
        <v>773.40500000000009</v>
      </c>
      <c r="F260">
        <v>0</v>
      </c>
      <c r="G260" s="2043">
        <v>0</v>
      </c>
      <c r="H260">
        <v>0</v>
      </c>
      <c r="I260" s="2043">
        <v>0</v>
      </c>
      <c r="J260">
        <v>88.774000000000001</v>
      </c>
      <c r="K260">
        <v>243</v>
      </c>
      <c r="L260">
        <v>0</v>
      </c>
      <c r="M260">
        <v>0</v>
      </c>
      <c r="N260">
        <v>0</v>
      </c>
      <c r="O260">
        <v>0</v>
      </c>
      <c r="P260">
        <v>0</v>
      </c>
      <c r="Q260">
        <v>0</v>
      </c>
      <c r="R260" s="2043">
        <v>0</v>
      </c>
      <c r="S260">
        <v>0</v>
      </c>
      <c r="T260">
        <v>0</v>
      </c>
      <c r="U260">
        <v>0</v>
      </c>
      <c r="V260">
        <v>0</v>
      </c>
      <c r="W260">
        <v>0</v>
      </c>
      <c r="X260">
        <v>0</v>
      </c>
      <c r="Y260">
        <v>313872</v>
      </c>
      <c r="Z260">
        <v>0</v>
      </c>
      <c r="AA260">
        <v>0</v>
      </c>
      <c r="AB260">
        <v>2158.06</v>
      </c>
      <c r="AC260" s="2043">
        <v>0</v>
      </c>
      <c r="AD260">
        <v>0</v>
      </c>
      <c r="AE260" s="2043">
        <v>0</v>
      </c>
      <c r="AF260">
        <v>0</v>
      </c>
      <c r="AG260">
        <v>0</v>
      </c>
      <c r="AH260">
        <v>0</v>
      </c>
      <c r="AI260">
        <v>0</v>
      </c>
      <c r="AJ260">
        <v>159.95000000000002</v>
      </c>
      <c r="AK260">
        <v>1741</v>
      </c>
      <c r="AL260">
        <v>0</v>
      </c>
      <c r="AM260">
        <v>0</v>
      </c>
      <c r="AN260">
        <v>11.793000000000001</v>
      </c>
      <c r="AO260">
        <v>0</v>
      </c>
      <c r="AP260">
        <v>0</v>
      </c>
      <c r="AQ260">
        <v>0</v>
      </c>
      <c r="AR260">
        <v>16.587</v>
      </c>
      <c r="AS260">
        <v>0</v>
      </c>
      <c r="AT260">
        <v>1.373</v>
      </c>
      <c r="AU260">
        <v>1.8880000000000001</v>
      </c>
      <c r="AV260">
        <v>0</v>
      </c>
      <c r="AW260">
        <v>19.848000000000003</v>
      </c>
      <c r="AX260">
        <v>0</v>
      </c>
      <c r="AY260">
        <v>63.32</v>
      </c>
      <c r="AZ260">
        <v>0</v>
      </c>
      <c r="BA260">
        <v>17411200</v>
      </c>
      <c r="BB260">
        <v>0</v>
      </c>
      <c r="BC260">
        <v>0</v>
      </c>
      <c r="BD260">
        <v>52200</v>
      </c>
      <c r="BE260">
        <v>0</v>
      </c>
      <c r="BF260">
        <v>52200</v>
      </c>
      <c r="BG260">
        <v>52200</v>
      </c>
      <c r="BH260">
        <v>0</v>
      </c>
      <c r="BI260">
        <v>0</v>
      </c>
      <c r="BJ260">
        <v>0</v>
      </c>
      <c r="BK260">
        <v>0</v>
      </c>
      <c r="BL260">
        <v>0</v>
      </c>
      <c r="BM260">
        <v>0</v>
      </c>
      <c r="BN260">
        <v>2178</v>
      </c>
      <c r="BO260">
        <v>685</v>
      </c>
      <c r="BP260">
        <v>0</v>
      </c>
      <c r="BQ260">
        <v>0</v>
      </c>
      <c r="BR260">
        <v>0</v>
      </c>
      <c r="BS260">
        <v>0</v>
      </c>
      <c r="BT260">
        <v>0</v>
      </c>
      <c r="BU260">
        <v>0</v>
      </c>
      <c r="BV260">
        <v>64</v>
      </c>
      <c r="BW260">
        <v>99</v>
      </c>
      <c r="BX260">
        <v>136</v>
      </c>
      <c r="BY260">
        <v>151</v>
      </c>
      <c r="BZ260">
        <v>176</v>
      </c>
      <c r="CA260">
        <v>626</v>
      </c>
      <c r="CB260">
        <v>0</v>
      </c>
      <c r="CC260">
        <v>0</v>
      </c>
      <c r="CD260">
        <v>0</v>
      </c>
      <c r="CE260">
        <v>19</v>
      </c>
      <c r="CF260">
        <v>638.47500000000002</v>
      </c>
      <c r="CG260">
        <v>0</v>
      </c>
      <c r="CH260">
        <v>0</v>
      </c>
      <c r="CI260">
        <v>1</v>
      </c>
      <c r="CJ260">
        <v>0</v>
      </c>
      <c r="CK260">
        <v>0</v>
      </c>
      <c r="CL260">
        <v>0</v>
      </c>
      <c r="CM260">
        <v>773.40500000000009</v>
      </c>
      <c r="CN260">
        <v>0</v>
      </c>
      <c r="CO260">
        <v>0</v>
      </c>
      <c r="CP260">
        <v>0</v>
      </c>
      <c r="CQ260">
        <v>0</v>
      </c>
      <c r="CR260">
        <v>0</v>
      </c>
      <c r="CS260">
        <v>0</v>
      </c>
      <c r="CT260">
        <v>0</v>
      </c>
      <c r="CU260">
        <v>0</v>
      </c>
      <c r="CV260">
        <v>8.9619999999999997</v>
      </c>
      <c r="CW260">
        <v>0</v>
      </c>
      <c r="CX260">
        <v>0</v>
      </c>
      <c r="CY260" s="2043">
        <v>0</v>
      </c>
      <c r="CZ260" s="2043">
        <v>0</v>
      </c>
      <c r="DA260" s="2043">
        <v>0</v>
      </c>
      <c r="DB260" s="2043">
        <v>0</v>
      </c>
      <c r="DC260" s="2043">
        <v>0</v>
      </c>
      <c r="DI260" t="s">
        <v>7955</v>
      </c>
      <c r="DJ260" t="s">
        <v>7957</v>
      </c>
      <c r="DK260" s="2042">
        <f t="shared" ref="DK260:DK323" si="6">DI260-DJ260:DJ261</f>
        <v>-2</v>
      </c>
    </row>
    <row r="261" spans="1:115">
      <c r="A261" t="s">
        <v>7955</v>
      </c>
      <c r="B261" t="s">
        <v>11272</v>
      </c>
      <c r="C261">
        <v>1002.58</v>
      </c>
      <c r="D261">
        <v>1128.7619999999999</v>
      </c>
      <c r="E261">
        <v>222.86500000000001</v>
      </c>
      <c r="F261">
        <v>0</v>
      </c>
      <c r="G261" s="2043">
        <v>0</v>
      </c>
      <c r="H261">
        <v>0</v>
      </c>
      <c r="I261" s="2043">
        <v>0</v>
      </c>
      <c r="J261">
        <v>30</v>
      </c>
      <c r="K261">
        <v>82</v>
      </c>
      <c r="L261">
        <v>0</v>
      </c>
      <c r="M261">
        <v>0</v>
      </c>
      <c r="N261">
        <v>0</v>
      </c>
      <c r="O261">
        <v>0</v>
      </c>
      <c r="P261">
        <v>0</v>
      </c>
      <c r="Q261">
        <v>0</v>
      </c>
      <c r="R261" s="2043">
        <v>0</v>
      </c>
      <c r="S261">
        <v>0</v>
      </c>
      <c r="T261">
        <v>0</v>
      </c>
      <c r="U261">
        <v>0</v>
      </c>
      <c r="V261">
        <v>0</v>
      </c>
      <c r="W261">
        <v>0</v>
      </c>
      <c r="X261">
        <v>0</v>
      </c>
      <c r="Y261">
        <v>177238</v>
      </c>
      <c r="Z261">
        <v>0</v>
      </c>
      <c r="AA261">
        <v>0</v>
      </c>
      <c r="AB261">
        <v>1096.539</v>
      </c>
      <c r="AC261" s="2043">
        <v>0</v>
      </c>
      <c r="AD261">
        <v>0</v>
      </c>
      <c r="AE261" s="2043">
        <v>0</v>
      </c>
      <c r="AF261">
        <v>0</v>
      </c>
      <c r="AG261">
        <v>0</v>
      </c>
      <c r="AH261">
        <v>0</v>
      </c>
      <c r="AI261">
        <v>0</v>
      </c>
      <c r="AJ261">
        <v>247.51300000000001</v>
      </c>
      <c r="AK261">
        <v>2501</v>
      </c>
      <c r="AL261">
        <v>0</v>
      </c>
      <c r="AM261">
        <v>0</v>
      </c>
      <c r="AN261">
        <v>12.162000000000001</v>
      </c>
      <c r="AO261">
        <v>0</v>
      </c>
      <c r="AP261">
        <v>0</v>
      </c>
      <c r="AQ261">
        <v>0</v>
      </c>
      <c r="AR261">
        <v>28.900000000000002</v>
      </c>
      <c r="AS261">
        <v>0</v>
      </c>
      <c r="AT261">
        <v>0.38200000000000001</v>
      </c>
      <c r="AU261">
        <v>1.718</v>
      </c>
      <c r="AV261">
        <v>0</v>
      </c>
      <c r="AW261">
        <v>31</v>
      </c>
      <c r="AX261">
        <v>0</v>
      </c>
      <c r="AY261">
        <v>96.436000000000007</v>
      </c>
      <c r="AZ261">
        <v>0</v>
      </c>
      <c r="BA261">
        <v>11169612</v>
      </c>
      <c r="BB261">
        <v>0</v>
      </c>
      <c r="BC261">
        <v>0</v>
      </c>
      <c r="BD261">
        <v>0</v>
      </c>
      <c r="BE261">
        <v>0</v>
      </c>
      <c r="BF261">
        <v>0</v>
      </c>
      <c r="BG261">
        <v>0</v>
      </c>
      <c r="BH261">
        <v>0</v>
      </c>
      <c r="BI261">
        <v>0</v>
      </c>
      <c r="BJ261">
        <v>0</v>
      </c>
      <c r="BK261">
        <v>0</v>
      </c>
      <c r="BL261">
        <v>0</v>
      </c>
      <c r="BM261">
        <v>0</v>
      </c>
      <c r="BN261">
        <v>2070</v>
      </c>
      <c r="BO261">
        <v>1980</v>
      </c>
      <c r="BP261">
        <v>1000</v>
      </c>
      <c r="BQ261">
        <v>0</v>
      </c>
      <c r="BR261">
        <v>0</v>
      </c>
      <c r="BS261">
        <v>0</v>
      </c>
      <c r="BT261">
        <v>0</v>
      </c>
      <c r="BU261">
        <v>0</v>
      </c>
      <c r="BV261">
        <v>101</v>
      </c>
      <c r="BW261">
        <v>140</v>
      </c>
      <c r="BX261">
        <v>143</v>
      </c>
      <c r="BY261">
        <v>319</v>
      </c>
      <c r="BZ261">
        <v>262</v>
      </c>
      <c r="CA261">
        <v>965</v>
      </c>
      <c r="CB261">
        <v>0</v>
      </c>
      <c r="CC261">
        <v>0</v>
      </c>
      <c r="CD261">
        <v>0</v>
      </c>
      <c r="CE261">
        <v>17</v>
      </c>
      <c r="CF261">
        <v>366.63300000000004</v>
      </c>
      <c r="CG261">
        <v>0</v>
      </c>
      <c r="CH261">
        <v>0</v>
      </c>
      <c r="CI261">
        <v>0</v>
      </c>
      <c r="CJ261">
        <v>0</v>
      </c>
      <c r="CK261">
        <v>0</v>
      </c>
      <c r="CL261">
        <v>0</v>
      </c>
      <c r="CM261">
        <v>222.86500000000001</v>
      </c>
      <c r="CN261">
        <v>0</v>
      </c>
      <c r="CO261">
        <v>0</v>
      </c>
      <c r="CP261">
        <v>0</v>
      </c>
      <c r="CQ261">
        <v>1000</v>
      </c>
      <c r="CR261">
        <v>0</v>
      </c>
      <c r="CS261">
        <v>0</v>
      </c>
      <c r="CT261">
        <v>0</v>
      </c>
      <c r="CU261">
        <v>0</v>
      </c>
      <c r="CV261">
        <v>42.585999999999999</v>
      </c>
      <c r="CW261">
        <v>10.795</v>
      </c>
      <c r="CX261">
        <v>0</v>
      </c>
      <c r="CY261" s="2043">
        <v>0</v>
      </c>
      <c r="CZ261" s="2043">
        <v>0</v>
      </c>
      <c r="DA261" s="2043">
        <v>0</v>
      </c>
      <c r="DB261" s="2043">
        <v>0</v>
      </c>
      <c r="DC261" s="2043">
        <v>0</v>
      </c>
      <c r="DI261" t="s">
        <v>7956</v>
      </c>
      <c r="DJ261" t="s">
        <v>7955</v>
      </c>
      <c r="DK261" s="2042">
        <f t="shared" si="6"/>
        <v>1</v>
      </c>
    </row>
    <row r="262" spans="1:115">
      <c r="A262" t="s">
        <v>7956</v>
      </c>
      <c r="B262" t="s">
        <v>11273</v>
      </c>
      <c r="C262">
        <v>5258.1130000000003</v>
      </c>
      <c r="D262">
        <v>5245.9560000000001</v>
      </c>
      <c r="E262">
        <v>502.38600000000002</v>
      </c>
      <c r="F262">
        <v>0</v>
      </c>
      <c r="G262" s="2043">
        <v>0</v>
      </c>
      <c r="H262">
        <v>0</v>
      </c>
      <c r="I262" s="2043">
        <v>0</v>
      </c>
      <c r="J262">
        <v>262.90600000000001</v>
      </c>
      <c r="K262">
        <v>719</v>
      </c>
      <c r="L262">
        <v>0</v>
      </c>
      <c r="M262">
        <v>0</v>
      </c>
      <c r="N262">
        <v>0</v>
      </c>
      <c r="O262">
        <v>0</v>
      </c>
      <c r="P262">
        <v>0</v>
      </c>
      <c r="Q262">
        <v>0</v>
      </c>
      <c r="R262" s="2043">
        <v>0</v>
      </c>
      <c r="S262">
        <v>0</v>
      </c>
      <c r="T262">
        <v>0</v>
      </c>
      <c r="U262">
        <v>0</v>
      </c>
      <c r="V262">
        <v>0</v>
      </c>
      <c r="W262">
        <v>0</v>
      </c>
      <c r="X262">
        <v>0</v>
      </c>
      <c r="Y262">
        <v>929541</v>
      </c>
      <c r="Z262">
        <v>0</v>
      </c>
      <c r="AA262">
        <v>0</v>
      </c>
      <c r="AB262">
        <v>5245.9560000000001</v>
      </c>
      <c r="AC262" s="2043">
        <v>0</v>
      </c>
      <c r="AD262">
        <v>0</v>
      </c>
      <c r="AE262" s="2043">
        <v>0</v>
      </c>
      <c r="AF262">
        <v>0</v>
      </c>
      <c r="AG262">
        <v>0</v>
      </c>
      <c r="AH262">
        <v>0</v>
      </c>
      <c r="AI262">
        <v>0</v>
      </c>
      <c r="AJ262">
        <v>908.92500000000007</v>
      </c>
      <c r="AK262">
        <v>18780</v>
      </c>
      <c r="AL262">
        <v>3.0000000000000001E-3</v>
      </c>
      <c r="AM262">
        <v>0</v>
      </c>
      <c r="AN262">
        <v>192.202</v>
      </c>
      <c r="AO262">
        <v>0</v>
      </c>
      <c r="AP262">
        <v>0</v>
      </c>
      <c r="AQ262">
        <v>0</v>
      </c>
      <c r="AR262">
        <v>145.10599999999999</v>
      </c>
      <c r="AS262">
        <v>0</v>
      </c>
      <c r="AT262">
        <v>39.481000000000002</v>
      </c>
      <c r="AU262">
        <v>10.881</v>
      </c>
      <c r="AV262">
        <v>0</v>
      </c>
      <c r="AW262">
        <v>195.471</v>
      </c>
      <c r="AX262">
        <v>0</v>
      </c>
      <c r="AY262">
        <v>608.18100000000004</v>
      </c>
      <c r="AZ262">
        <v>0</v>
      </c>
      <c r="BA262">
        <v>57193515</v>
      </c>
      <c r="BB262">
        <v>0</v>
      </c>
      <c r="BC262">
        <v>0</v>
      </c>
      <c r="BD262">
        <v>41824</v>
      </c>
      <c r="BE262">
        <v>0</v>
      </c>
      <c r="BF262">
        <v>42669</v>
      </c>
      <c r="BG262">
        <v>41824</v>
      </c>
      <c r="BH262">
        <v>845</v>
      </c>
      <c r="BI262">
        <v>0</v>
      </c>
      <c r="BJ262">
        <v>0</v>
      </c>
      <c r="BK262">
        <v>0</v>
      </c>
      <c r="BL262">
        <v>0</v>
      </c>
      <c r="BM262">
        <v>0</v>
      </c>
      <c r="BN262">
        <v>16821</v>
      </c>
      <c r="BO262">
        <v>11396</v>
      </c>
      <c r="BP262">
        <v>7992</v>
      </c>
      <c r="BQ262">
        <v>0</v>
      </c>
      <c r="BR262">
        <v>0</v>
      </c>
      <c r="BS262">
        <v>0</v>
      </c>
      <c r="BT262">
        <v>0</v>
      </c>
      <c r="BU262">
        <v>0</v>
      </c>
      <c r="BV262">
        <v>695</v>
      </c>
      <c r="BW262">
        <v>835</v>
      </c>
      <c r="BX262">
        <v>562</v>
      </c>
      <c r="BY262">
        <v>715</v>
      </c>
      <c r="BZ262">
        <v>822</v>
      </c>
      <c r="CA262">
        <v>3629</v>
      </c>
      <c r="CB262">
        <v>0</v>
      </c>
      <c r="CC262">
        <v>0</v>
      </c>
      <c r="CD262">
        <v>0</v>
      </c>
      <c r="CE262">
        <v>309</v>
      </c>
      <c r="CF262">
        <v>1312.596</v>
      </c>
      <c r="CG262">
        <v>0</v>
      </c>
      <c r="CH262">
        <v>0</v>
      </c>
      <c r="CI262">
        <v>14</v>
      </c>
      <c r="CJ262">
        <v>25</v>
      </c>
      <c r="CK262">
        <v>1</v>
      </c>
      <c r="CL262">
        <v>0</v>
      </c>
      <c r="CM262">
        <v>502.38600000000002</v>
      </c>
      <c r="CN262">
        <v>0</v>
      </c>
      <c r="CO262">
        <v>0</v>
      </c>
      <c r="CP262">
        <v>6742</v>
      </c>
      <c r="CQ262">
        <v>1250</v>
      </c>
      <c r="CR262">
        <v>0</v>
      </c>
      <c r="CS262">
        <v>0</v>
      </c>
      <c r="CT262">
        <v>0</v>
      </c>
      <c r="CU262">
        <v>44.024999999999999</v>
      </c>
      <c r="CV262">
        <v>269.327</v>
      </c>
      <c r="CW262">
        <v>101.55500000000001</v>
      </c>
      <c r="CX262">
        <v>0</v>
      </c>
      <c r="CY262" s="2043">
        <v>0</v>
      </c>
      <c r="CZ262" s="2043">
        <v>0</v>
      </c>
      <c r="DA262" s="2043">
        <v>0</v>
      </c>
      <c r="DB262" s="2043">
        <v>0</v>
      </c>
      <c r="DC262" s="2043">
        <v>0</v>
      </c>
      <c r="DI262" t="s">
        <v>7957</v>
      </c>
      <c r="DJ262" t="s">
        <v>7956</v>
      </c>
      <c r="DK262" s="2042">
        <f t="shared" si="6"/>
        <v>1</v>
      </c>
    </row>
    <row r="263" spans="1:115">
      <c r="A263" t="s">
        <v>7958</v>
      </c>
      <c r="B263" t="s">
        <v>11274</v>
      </c>
      <c r="C263">
        <v>94.094000000000008</v>
      </c>
      <c r="D263">
        <v>88.972999999999999</v>
      </c>
      <c r="E263">
        <v>8.4700000000000006</v>
      </c>
      <c r="F263">
        <v>0</v>
      </c>
      <c r="G263" s="2043">
        <v>0</v>
      </c>
      <c r="H263">
        <v>0</v>
      </c>
      <c r="I263" s="2043">
        <v>0</v>
      </c>
      <c r="J263">
        <v>0</v>
      </c>
      <c r="K263">
        <v>0</v>
      </c>
      <c r="L263">
        <v>0</v>
      </c>
      <c r="M263">
        <v>0</v>
      </c>
      <c r="N263">
        <v>0</v>
      </c>
      <c r="O263">
        <v>0</v>
      </c>
      <c r="P263">
        <v>0</v>
      </c>
      <c r="Q263">
        <v>0</v>
      </c>
      <c r="R263" s="2043">
        <v>0</v>
      </c>
      <c r="S263">
        <v>0</v>
      </c>
      <c r="T263">
        <v>0</v>
      </c>
      <c r="U263">
        <v>0</v>
      </c>
      <c r="V263">
        <v>0</v>
      </c>
      <c r="W263">
        <v>0</v>
      </c>
      <c r="X263">
        <v>0</v>
      </c>
      <c r="Y263">
        <v>53509</v>
      </c>
      <c r="Z263">
        <v>0</v>
      </c>
      <c r="AA263">
        <v>0</v>
      </c>
      <c r="AB263">
        <v>88.972999999999999</v>
      </c>
      <c r="AC263" s="2043">
        <v>0</v>
      </c>
      <c r="AD263">
        <v>0</v>
      </c>
      <c r="AE263" s="2043">
        <v>0</v>
      </c>
      <c r="AF263">
        <v>0</v>
      </c>
      <c r="AG263">
        <v>0</v>
      </c>
      <c r="AH263">
        <v>0</v>
      </c>
      <c r="AI263">
        <v>0</v>
      </c>
      <c r="AJ263">
        <v>31.95</v>
      </c>
      <c r="AK263">
        <v>4</v>
      </c>
      <c r="AL263">
        <v>0</v>
      </c>
      <c r="AM263">
        <v>0</v>
      </c>
      <c r="AN263">
        <v>0</v>
      </c>
      <c r="AO263">
        <v>0</v>
      </c>
      <c r="AP263">
        <v>0</v>
      </c>
      <c r="AQ263">
        <v>0</v>
      </c>
      <c r="AR263">
        <v>0</v>
      </c>
      <c r="AS263">
        <v>0</v>
      </c>
      <c r="AT263">
        <v>0</v>
      </c>
      <c r="AU263">
        <v>3.2000000000000001E-2</v>
      </c>
      <c r="AV263">
        <v>0</v>
      </c>
      <c r="AW263">
        <v>3.2000000000000001E-2</v>
      </c>
      <c r="AX263">
        <v>0</v>
      </c>
      <c r="AY263">
        <v>0.16</v>
      </c>
      <c r="AZ263">
        <v>0</v>
      </c>
      <c r="BA263">
        <v>1096219</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8</v>
      </c>
      <c r="BW263">
        <v>7</v>
      </c>
      <c r="BX263">
        <v>18</v>
      </c>
      <c r="BY263">
        <v>39</v>
      </c>
      <c r="BZ263">
        <v>50</v>
      </c>
      <c r="CA263">
        <v>122</v>
      </c>
      <c r="CB263">
        <v>0</v>
      </c>
      <c r="CC263">
        <v>0</v>
      </c>
      <c r="CD263">
        <v>0</v>
      </c>
      <c r="CE263">
        <v>0</v>
      </c>
      <c r="CF263">
        <v>66.454000000000008</v>
      </c>
      <c r="CG263">
        <v>0</v>
      </c>
      <c r="CH263">
        <v>0</v>
      </c>
      <c r="CI263">
        <v>0</v>
      </c>
      <c r="CJ263">
        <v>0</v>
      </c>
      <c r="CK263">
        <v>0</v>
      </c>
      <c r="CL263">
        <v>0</v>
      </c>
      <c r="CM263">
        <v>8.4700000000000006</v>
      </c>
      <c r="CN263">
        <v>0</v>
      </c>
      <c r="CO263">
        <v>0</v>
      </c>
      <c r="CP263">
        <v>0</v>
      </c>
      <c r="CQ263">
        <v>0</v>
      </c>
      <c r="CR263">
        <v>0</v>
      </c>
      <c r="CS263">
        <v>0</v>
      </c>
      <c r="CT263">
        <v>0</v>
      </c>
      <c r="CU263">
        <v>0</v>
      </c>
      <c r="CV263">
        <v>0</v>
      </c>
      <c r="CW263">
        <v>0</v>
      </c>
      <c r="CX263">
        <v>0</v>
      </c>
      <c r="CY263" s="2043">
        <v>36875</v>
      </c>
      <c r="CZ263" s="2043">
        <v>0</v>
      </c>
      <c r="DA263" s="2043">
        <v>0</v>
      </c>
      <c r="DB263" s="2043">
        <v>0</v>
      </c>
      <c r="DC263" s="2043">
        <v>0</v>
      </c>
      <c r="DI263" t="s">
        <v>7958</v>
      </c>
      <c r="DJ263" t="s">
        <v>7958</v>
      </c>
      <c r="DK263" s="2042">
        <f t="shared" si="6"/>
        <v>0</v>
      </c>
    </row>
    <row r="264" spans="1:115">
      <c r="A264" t="s">
        <v>7959</v>
      </c>
      <c r="B264" t="s">
        <v>11275</v>
      </c>
      <c r="C264">
        <v>192.25200000000001</v>
      </c>
      <c r="D264">
        <v>372.29200000000003</v>
      </c>
      <c r="E264">
        <v>15.347000000000001</v>
      </c>
      <c r="F264">
        <v>0</v>
      </c>
      <c r="G264" s="2043">
        <v>0</v>
      </c>
      <c r="H264">
        <v>0</v>
      </c>
      <c r="I264" s="2043">
        <v>0</v>
      </c>
      <c r="J264">
        <v>0</v>
      </c>
      <c r="K264">
        <v>0</v>
      </c>
      <c r="L264">
        <v>0</v>
      </c>
      <c r="M264">
        <v>0</v>
      </c>
      <c r="N264">
        <v>0</v>
      </c>
      <c r="O264">
        <v>0</v>
      </c>
      <c r="P264">
        <v>0</v>
      </c>
      <c r="Q264">
        <v>0</v>
      </c>
      <c r="R264" s="2043">
        <v>0</v>
      </c>
      <c r="S264">
        <v>0</v>
      </c>
      <c r="T264">
        <v>0</v>
      </c>
      <c r="U264">
        <v>0</v>
      </c>
      <c r="V264">
        <v>0</v>
      </c>
      <c r="W264">
        <v>0</v>
      </c>
      <c r="X264">
        <v>0</v>
      </c>
      <c r="Y264">
        <v>33987</v>
      </c>
      <c r="Z264">
        <v>0</v>
      </c>
      <c r="AA264">
        <v>0</v>
      </c>
      <c r="AB264">
        <v>293.99299999999999</v>
      </c>
      <c r="AC264" s="2043">
        <v>0</v>
      </c>
      <c r="AD264">
        <v>0</v>
      </c>
      <c r="AE264" s="2043">
        <v>0</v>
      </c>
      <c r="AF264">
        <v>0</v>
      </c>
      <c r="AG264">
        <v>0</v>
      </c>
      <c r="AH264">
        <v>0</v>
      </c>
      <c r="AI264">
        <v>0</v>
      </c>
      <c r="AJ264">
        <v>63.65</v>
      </c>
      <c r="AK264">
        <v>124</v>
      </c>
      <c r="AL264">
        <v>0</v>
      </c>
      <c r="AM264">
        <v>0</v>
      </c>
      <c r="AN264">
        <v>1.514</v>
      </c>
      <c r="AO264">
        <v>0</v>
      </c>
      <c r="AP264">
        <v>0</v>
      </c>
      <c r="AQ264">
        <v>0</v>
      </c>
      <c r="AR264">
        <v>0.434</v>
      </c>
      <c r="AS264">
        <v>0</v>
      </c>
      <c r="AT264">
        <v>0.44</v>
      </c>
      <c r="AU264">
        <v>0.223</v>
      </c>
      <c r="AV264">
        <v>0</v>
      </c>
      <c r="AW264">
        <v>1.097</v>
      </c>
      <c r="AX264">
        <v>0</v>
      </c>
      <c r="AY264">
        <v>3.7370000000000001</v>
      </c>
      <c r="AZ264">
        <v>0</v>
      </c>
      <c r="BA264">
        <v>2139613</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23</v>
      </c>
      <c r="BW264">
        <v>16</v>
      </c>
      <c r="BX264">
        <v>27</v>
      </c>
      <c r="BY264">
        <v>60</v>
      </c>
      <c r="BZ264">
        <v>117</v>
      </c>
      <c r="CA264">
        <v>243</v>
      </c>
      <c r="CB264">
        <v>0</v>
      </c>
      <c r="CC264">
        <v>0</v>
      </c>
      <c r="CD264">
        <v>0</v>
      </c>
      <c r="CE264">
        <v>4</v>
      </c>
      <c r="CF264">
        <v>74.98</v>
      </c>
      <c r="CG264">
        <v>0</v>
      </c>
      <c r="CH264">
        <v>0</v>
      </c>
      <c r="CI264">
        <v>0</v>
      </c>
      <c r="CJ264">
        <v>0</v>
      </c>
      <c r="CK264">
        <v>0</v>
      </c>
      <c r="CL264">
        <v>0</v>
      </c>
      <c r="CM264">
        <v>15.347000000000001</v>
      </c>
      <c r="CN264">
        <v>0</v>
      </c>
      <c r="CO264">
        <v>0</v>
      </c>
      <c r="CP264">
        <v>0</v>
      </c>
      <c r="CQ264">
        <v>0</v>
      </c>
      <c r="CR264">
        <v>0</v>
      </c>
      <c r="CS264">
        <v>0</v>
      </c>
      <c r="CT264">
        <v>0</v>
      </c>
      <c r="CU264">
        <v>0</v>
      </c>
      <c r="CV264">
        <v>0</v>
      </c>
      <c r="CW264">
        <v>0</v>
      </c>
      <c r="CX264">
        <v>0</v>
      </c>
      <c r="CY264" s="2043">
        <v>0</v>
      </c>
      <c r="CZ264" s="2043">
        <v>0</v>
      </c>
      <c r="DA264" s="2043">
        <v>0</v>
      </c>
      <c r="DB264" s="2043">
        <v>0</v>
      </c>
      <c r="DC264" s="2043">
        <v>0</v>
      </c>
      <c r="DI264" t="s">
        <v>7959</v>
      </c>
      <c r="DJ264" t="s">
        <v>7959</v>
      </c>
      <c r="DK264" s="2042">
        <f t="shared" si="6"/>
        <v>0</v>
      </c>
    </row>
    <row r="265" spans="1:115">
      <c r="A265" t="s">
        <v>7960</v>
      </c>
      <c r="B265" t="s">
        <v>11276</v>
      </c>
      <c r="C265">
        <v>3683.7730000000001</v>
      </c>
      <c r="D265">
        <v>3602.8680000000004</v>
      </c>
      <c r="E265">
        <v>2087.2290000000003</v>
      </c>
      <c r="F265">
        <v>0</v>
      </c>
      <c r="G265" s="2043">
        <v>0</v>
      </c>
      <c r="H265">
        <v>0</v>
      </c>
      <c r="I265" s="2043">
        <v>0</v>
      </c>
      <c r="J265">
        <v>0</v>
      </c>
      <c r="K265">
        <v>0</v>
      </c>
      <c r="L265">
        <v>0</v>
      </c>
      <c r="M265">
        <v>0</v>
      </c>
      <c r="N265">
        <v>0</v>
      </c>
      <c r="O265">
        <v>0</v>
      </c>
      <c r="P265">
        <v>0</v>
      </c>
      <c r="Q265">
        <v>0</v>
      </c>
      <c r="R265" s="2043">
        <v>0</v>
      </c>
      <c r="S265">
        <v>0</v>
      </c>
      <c r="T265">
        <v>0</v>
      </c>
      <c r="U265">
        <v>0</v>
      </c>
      <c r="V265">
        <v>139.65</v>
      </c>
      <c r="W265">
        <v>0</v>
      </c>
      <c r="X265">
        <v>0</v>
      </c>
      <c r="Y265">
        <v>651226</v>
      </c>
      <c r="Z265">
        <v>0</v>
      </c>
      <c r="AA265">
        <v>0</v>
      </c>
      <c r="AB265">
        <v>3625.81</v>
      </c>
      <c r="AC265" s="2043">
        <v>0</v>
      </c>
      <c r="AD265">
        <v>0</v>
      </c>
      <c r="AE265" s="2043">
        <v>0</v>
      </c>
      <c r="AF265">
        <v>0</v>
      </c>
      <c r="AG265">
        <v>0</v>
      </c>
      <c r="AH265">
        <v>0</v>
      </c>
      <c r="AI265">
        <v>0</v>
      </c>
      <c r="AJ265">
        <v>1004.4250000000001</v>
      </c>
      <c r="AK265">
        <v>10753</v>
      </c>
      <c r="AL265">
        <v>0.12</v>
      </c>
      <c r="AM265">
        <v>0</v>
      </c>
      <c r="AN265">
        <v>77.97</v>
      </c>
      <c r="AO265">
        <v>0</v>
      </c>
      <c r="AP265">
        <v>0</v>
      </c>
      <c r="AQ265">
        <v>0</v>
      </c>
      <c r="AR265">
        <v>79.741</v>
      </c>
      <c r="AS265">
        <v>0</v>
      </c>
      <c r="AT265">
        <v>30.691000000000003</v>
      </c>
      <c r="AU265">
        <v>10.65</v>
      </c>
      <c r="AV265">
        <v>0</v>
      </c>
      <c r="AW265">
        <v>121.20200000000001</v>
      </c>
      <c r="AX265">
        <v>0</v>
      </c>
      <c r="AY265">
        <v>385.14600000000002</v>
      </c>
      <c r="AZ265">
        <v>0</v>
      </c>
      <c r="BA265">
        <v>43300324</v>
      </c>
      <c r="BB265">
        <v>0</v>
      </c>
      <c r="BC265">
        <v>0</v>
      </c>
      <c r="BD265">
        <v>0</v>
      </c>
      <c r="BE265">
        <v>0</v>
      </c>
      <c r="BF265">
        <v>0</v>
      </c>
      <c r="BG265">
        <v>0</v>
      </c>
      <c r="BH265">
        <v>0</v>
      </c>
      <c r="BI265">
        <v>0</v>
      </c>
      <c r="BJ265">
        <v>0</v>
      </c>
      <c r="BK265">
        <v>0</v>
      </c>
      <c r="BL265">
        <v>0</v>
      </c>
      <c r="BM265">
        <v>0</v>
      </c>
      <c r="BN265">
        <v>0</v>
      </c>
      <c r="BO265">
        <v>0</v>
      </c>
      <c r="BP265">
        <v>32381</v>
      </c>
      <c r="BQ265">
        <v>0</v>
      </c>
      <c r="BR265">
        <v>0</v>
      </c>
      <c r="BS265">
        <v>0</v>
      </c>
      <c r="BT265">
        <v>0</v>
      </c>
      <c r="BU265">
        <v>0</v>
      </c>
      <c r="BV265">
        <v>241</v>
      </c>
      <c r="BW265">
        <v>252</v>
      </c>
      <c r="BX265">
        <v>566</v>
      </c>
      <c r="BY265">
        <v>1120</v>
      </c>
      <c r="BZ265">
        <v>1654</v>
      </c>
      <c r="CA265">
        <v>3833</v>
      </c>
      <c r="CB265">
        <v>0</v>
      </c>
      <c r="CC265">
        <v>0</v>
      </c>
      <c r="CD265">
        <v>0</v>
      </c>
      <c r="CE265">
        <v>171</v>
      </c>
      <c r="CF265">
        <v>2298.0230000000001</v>
      </c>
      <c r="CG265">
        <v>0</v>
      </c>
      <c r="CH265">
        <v>0</v>
      </c>
      <c r="CI265">
        <v>0</v>
      </c>
      <c r="CJ265">
        <v>0</v>
      </c>
      <c r="CK265">
        <v>0</v>
      </c>
      <c r="CL265">
        <v>0</v>
      </c>
      <c r="CM265">
        <v>2087.2290000000003</v>
      </c>
      <c r="CN265">
        <v>25610</v>
      </c>
      <c r="CO265">
        <v>0</v>
      </c>
      <c r="CP265">
        <v>6771</v>
      </c>
      <c r="CQ265">
        <v>0</v>
      </c>
      <c r="CR265">
        <v>0</v>
      </c>
      <c r="CS265">
        <v>0</v>
      </c>
      <c r="CT265">
        <v>0</v>
      </c>
      <c r="CU265">
        <v>0</v>
      </c>
      <c r="CV265">
        <v>0</v>
      </c>
      <c r="CW265">
        <v>0</v>
      </c>
      <c r="CX265">
        <v>0</v>
      </c>
      <c r="CY265" s="2043">
        <v>0</v>
      </c>
      <c r="CZ265" s="2043">
        <v>0</v>
      </c>
      <c r="DA265" s="2043">
        <v>0</v>
      </c>
      <c r="DB265" s="2043">
        <v>0</v>
      </c>
      <c r="DC265" s="2043">
        <v>0</v>
      </c>
      <c r="DI265" t="s">
        <v>7960</v>
      </c>
      <c r="DJ265" t="s">
        <v>7960</v>
      </c>
      <c r="DK265" s="2042">
        <f t="shared" si="6"/>
        <v>0</v>
      </c>
    </row>
    <row r="266" spans="1:115">
      <c r="A266" t="s">
        <v>7961</v>
      </c>
      <c r="B266" t="s">
        <v>11277</v>
      </c>
      <c r="C266">
        <v>311.64699999999999</v>
      </c>
      <c r="D266">
        <v>409.94300000000004</v>
      </c>
      <c r="E266">
        <v>52.631</v>
      </c>
      <c r="F266">
        <v>0</v>
      </c>
      <c r="G266" s="2043">
        <v>0</v>
      </c>
      <c r="H266">
        <v>0</v>
      </c>
      <c r="I266" s="2043">
        <v>0</v>
      </c>
      <c r="J266">
        <v>0</v>
      </c>
      <c r="K266">
        <v>0</v>
      </c>
      <c r="L266">
        <v>0</v>
      </c>
      <c r="M266">
        <v>0</v>
      </c>
      <c r="N266">
        <v>0</v>
      </c>
      <c r="O266">
        <v>0</v>
      </c>
      <c r="P266">
        <v>0</v>
      </c>
      <c r="Q266">
        <v>0</v>
      </c>
      <c r="R266" s="2043">
        <v>0</v>
      </c>
      <c r="S266">
        <v>0</v>
      </c>
      <c r="T266">
        <v>0</v>
      </c>
      <c r="U266">
        <v>0</v>
      </c>
      <c r="V266">
        <v>0</v>
      </c>
      <c r="W266">
        <v>0</v>
      </c>
      <c r="X266">
        <v>0</v>
      </c>
      <c r="Y266">
        <v>55094</v>
      </c>
      <c r="Z266">
        <v>0</v>
      </c>
      <c r="AA266">
        <v>0</v>
      </c>
      <c r="AB266">
        <v>247.26600000000002</v>
      </c>
      <c r="AC266" s="2043">
        <v>0</v>
      </c>
      <c r="AD266">
        <v>0</v>
      </c>
      <c r="AE266" s="2043">
        <v>0</v>
      </c>
      <c r="AF266">
        <v>0</v>
      </c>
      <c r="AG266">
        <v>0</v>
      </c>
      <c r="AH266">
        <v>0</v>
      </c>
      <c r="AI266">
        <v>0</v>
      </c>
      <c r="AJ266">
        <v>81.55</v>
      </c>
      <c r="AK266">
        <v>6636</v>
      </c>
      <c r="AL266">
        <v>0</v>
      </c>
      <c r="AM266">
        <v>0</v>
      </c>
      <c r="AN266">
        <v>0.749</v>
      </c>
      <c r="AO266">
        <v>0</v>
      </c>
      <c r="AP266">
        <v>0</v>
      </c>
      <c r="AQ266">
        <v>72.725000000000009</v>
      </c>
      <c r="AR266">
        <v>0.10200000000000001</v>
      </c>
      <c r="AS266">
        <v>0</v>
      </c>
      <c r="AT266">
        <v>2.2000000000000002E-2</v>
      </c>
      <c r="AU266">
        <v>0.17600000000000002</v>
      </c>
      <c r="AV266">
        <v>0</v>
      </c>
      <c r="AW266">
        <v>73.025000000000006</v>
      </c>
      <c r="AX266">
        <v>0</v>
      </c>
      <c r="AY266">
        <v>1.252</v>
      </c>
      <c r="AZ266">
        <v>0</v>
      </c>
      <c r="BA266">
        <v>4846273</v>
      </c>
      <c r="BB266">
        <v>0</v>
      </c>
      <c r="BC266">
        <v>0</v>
      </c>
      <c r="BD266">
        <v>630</v>
      </c>
      <c r="BE266">
        <v>0</v>
      </c>
      <c r="BF266">
        <v>630</v>
      </c>
      <c r="BG266">
        <v>630</v>
      </c>
      <c r="BH266">
        <v>0</v>
      </c>
      <c r="BI266">
        <v>0</v>
      </c>
      <c r="BJ266">
        <v>0</v>
      </c>
      <c r="BK266">
        <v>0</v>
      </c>
      <c r="BL266">
        <v>0</v>
      </c>
      <c r="BM266">
        <v>0</v>
      </c>
      <c r="BN266">
        <v>2961</v>
      </c>
      <c r="BO266">
        <v>0</v>
      </c>
      <c r="BP266">
        <v>0</v>
      </c>
      <c r="BQ266">
        <v>0</v>
      </c>
      <c r="BR266">
        <v>0</v>
      </c>
      <c r="BS266">
        <v>0</v>
      </c>
      <c r="BT266">
        <v>0</v>
      </c>
      <c r="BU266">
        <v>0</v>
      </c>
      <c r="BV266">
        <v>0</v>
      </c>
      <c r="BW266">
        <v>0</v>
      </c>
      <c r="BX266">
        <v>2</v>
      </c>
      <c r="BY266">
        <v>6</v>
      </c>
      <c r="BZ266">
        <v>289</v>
      </c>
      <c r="CA266">
        <v>297</v>
      </c>
      <c r="CB266">
        <v>0</v>
      </c>
      <c r="CC266">
        <v>0</v>
      </c>
      <c r="CD266">
        <v>0</v>
      </c>
      <c r="CE266">
        <v>124</v>
      </c>
      <c r="CF266">
        <v>0</v>
      </c>
      <c r="CG266">
        <v>311.64699999999999</v>
      </c>
      <c r="CH266">
        <v>82.988</v>
      </c>
      <c r="CI266">
        <v>0</v>
      </c>
      <c r="CJ266">
        <v>0</v>
      </c>
      <c r="CK266">
        <v>0</v>
      </c>
      <c r="CL266">
        <v>394.63499999999999</v>
      </c>
      <c r="CM266">
        <v>52.631</v>
      </c>
      <c r="CN266">
        <v>0</v>
      </c>
      <c r="CO266">
        <v>0</v>
      </c>
      <c r="CP266">
        <v>0</v>
      </c>
      <c r="CQ266">
        <v>0</v>
      </c>
      <c r="CR266">
        <v>0</v>
      </c>
      <c r="CS266">
        <v>0</v>
      </c>
      <c r="CT266">
        <v>0</v>
      </c>
      <c r="CU266">
        <v>0</v>
      </c>
      <c r="CV266">
        <v>8.8179999999999996</v>
      </c>
      <c r="CW266">
        <v>0</v>
      </c>
      <c r="CX266">
        <v>0</v>
      </c>
      <c r="CY266" s="2043">
        <v>0</v>
      </c>
      <c r="CZ266" s="2043">
        <v>0</v>
      </c>
      <c r="DA266" s="2043">
        <v>0</v>
      </c>
      <c r="DB266" s="2043">
        <v>0</v>
      </c>
      <c r="DC266" s="2043">
        <v>0</v>
      </c>
      <c r="DI266" t="s">
        <v>7961</v>
      </c>
      <c r="DJ266" t="s">
        <v>7961</v>
      </c>
      <c r="DK266" s="2042">
        <f t="shared" si="6"/>
        <v>0</v>
      </c>
    </row>
    <row r="267" spans="1:115">
      <c r="A267" t="s">
        <v>7962</v>
      </c>
      <c r="B267" t="s">
        <v>11278</v>
      </c>
      <c r="C267">
        <v>880.77600000000007</v>
      </c>
      <c r="D267">
        <v>1227.5220000000002</v>
      </c>
      <c r="E267">
        <v>8.0330000000000013</v>
      </c>
      <c r="F267">
        <v>0</v>
      </c>
      <c r="G267" s="2043">
        <v>0</v>
      </c>
      <c r="H267">
        <v>0</v>
      </c>
      <c r="I267" s="2043">
        <v>0</v>
      </c>
      <c r="J267">
        <v>0</v>
      </c>
      <c r="K267">
        <v>0</v>
      </c>
      <c r="L267">
        <v>0</v>
      </c>
      <c r="M267">
        <v>0</v>
      </c>
      <c r="N267">
        <v>0</v>
      </c>
      <c r="O267">
        <v>0</v>
      </c>
      <c r="P267">
        <v>0</v>
      </c>
      <c r="Q267">
        <v>0</v>
      </c>
      <c r="R267" s="2043">
        <v>0</v>
      </c>
      <c r="S267">
        <v>0</v>
      </c>
      <c r="T267">
        <v>0</v>
      </c>
      <c r="U267">
        <v>0</v>
      </c>
      <c r="V267">
        <v>0</v>
      </c>
      <c r="W267">
        <v>0</v>
      </c>
      <c r="X267">
        <v>0</v>
      </c>
      <c r="Y267">
        <v>155706</v>
      </c>
      <c r="Z267">
        <v>0</v>
      </c>
      <c r="AA267">
        <v>0</v>
      </c>
      <c r="AB267">
        <v>1026.444</v>
      </c>
      <c r="AC267" s="2043">
        <v>0</v>
      </c>
      <c r="AD267">
        <v>0</v>
      </c>
      <c r="AE267" s="2043">
        <v>0</v>
      </c>
      <c r="AF267">
        <v>0</v>
      </c>
      <c r="AG267">
        <v>0</v>
      </c>
      <c r="AH267">
        <v>0</v>
      </c>
      <c r="AI267">
        <v>0</v>
      </c>
      <c r="AJ267">
        <v>238.9</v>
      </c>
      <c r="AK267">
        <v>1121</v>
      </c>
      <c r="AL267">
        <v>0</v>
      </c>
      <c r="AM267">
        <v>0</v>
      </c>
      <c r="AN267">
        <v>6.4530000000000003</v>
      </c>
      <c r="AO267">
        <v>0</v>
      </c>
      <c r="AP267">
        <v>0</v>
      </c>
      <c r="AQ267">
        <v>0</v>
      </c>
      <c r="AR267">
        <v>10.959000000000001</v>
      </c>
      <c r="AS267">
        <v>0</v>
      </c>
      <c r="AT267">
        <v>0.94000000000000006</v>
      </c>
      <c r="AU267">
        <v>1.2790000000000001</v>
      </c>
      <c r="AV267">
        <v>0</v>
      </c>
      <c r="AW267">
        <v>13.178000000000001</v>
      </c>
      <c r="AX267">
        <v>0</v>
      </c>
      <c r="AY267">
        <v>42.091999999999999</v>
      </c>
      <c r="AZ267">
        <v>0</v>
      </c>
      <c r="BA267">
        <v>9542192</v>
      </c>
      <c r="BB267">
        <v>0</v>
      </c>
      <c r="BC267">
        <v>0</v>
      </c>
      <c r="BD267">
        <v>2160</v>
      </c>
      <c r="BE267">
        <v>0</v>
      </c>
      <c r="BF267">
        <v>2160</v>
      </c>
      <c r="BG267">
        <v>2160</v>
      </c>
      <c r="BH267">
        <v>0</v>
      </c>
      <c r="BI267">
        <v>0</v>
      </c>
      <c r="BJ267">
        <v>0</v>
      </c>
      <c r="BK267">
        <v>0</v>
      </c>
      <c r="BL267">
        <v>0</v>
      </c>
      <c r="BM267">
        <v>0</v>
      </c>
      <c r="BN267">
        <v>0</v>
      </c>
      <c r="BO267">
        <v>0</v>
      </c>
      <c r="BP267">
        <v>0</v>
      </c>
      <c r="BQ267">
        <v>0</v>
      </c>
      <c r="BR267">
        <v>0</v>
      </c>
      <c r="BS267">
        <v>0</v>
      </c>
      <c r="BT267">
        <v>0</v>
      </c>
      <c r="BU267">
        <v>0</v>
      </c>
      <c r="BV267">
        <v>73</v>
      </c>
      <c r="BW267">
        <v>132</v>
      </c>
      <c r="BX267">
        <v>79</v>
      </c>
      <c r="BY267">
        <v>194</v>
      </c>
      <c r="BZ267">
        <v>438</v>
      </c>
      <c r="CA267">
        <v>916</v>
      </c>
      <c r="CB267">
        <v>0</v>
      </c>
      <c r="CC267">
        <v>0</v>
      </c>
      <c r="CD267">
        <v>0</v>
      </c>
      <c r="CE267">
        <v>59</v>
      </c>
      <c r="CF267">
        <v>365.94499999999999</v>
      </c>
      <c r="CG267">
        <v>0</v>
      </c>
      <c r="CH267">
        <v>0</v>
      </c>
      <c r="CI267">
        <v>0</v>
      </c>
      <c r="CJ267">
        <v>0</v>
      </c>
      <c r="CK267">
        <v>0</v>
      </c>
      <c r="CL267">
        <v>0</v>
      </c>
      <c r="CM267">
        <v>8.0330000000000013</v>
      </c>
      <c r="CN267">
        <v>0</v>
      </c>
      <c r="CO267">
        <v>0</v>
      </c>
      <c r="CP267">
        <v>0</v>
      </c>
      <c r="CQ267">
        <v>0</v>
      </c>
      <c r="CR267">
        <v>0</v>
      </c>
      <c r="CS267">
        <v>0</v>
      </c>
      <c r="CT267">
        <v>0</v>
      </c>
      <c r="CU267">
        <v>0</v>
      </c>
      <c r="CV267">
        <v>0</v>
      </c>
      <c r="CW267">
        <v>0</v>
      </c>
      <c r="CX267">
        <v>0</v>
      </c>
      <c r="CY267" s="2043">
        <v>0</v>
      </c>
      <c r="CZ267" s="2043">
        <v>0</v>
      </c>
      <c r="DA267" s="2043">
        <v>0</v>
      </c>
      <c r="DB267" s="2043">
        <v>0</v>
      </c>
      <c r="DC267" s="2043">
        <v>0</v>
      </c>
      <c r="DI267" t="s">
        <v>7962</v>
      </c>
      <c r="DJ267" t="s">
        <v>7962</v>
      </c>
      <c r="DK267" s="2042">
        <f t="shared" si="6"/>
        <v>0</v>
      </c>
    </row>
    <row r="268" spans="1:115">
      <c r="A268" t="s">
        <v>7963</v>
      </c>
      <c r="B268" t="s">
        <v>11279</v>
      </c>
      <c r="C268">
        <v>179.928</v>
      </c>
      <c r="D268">
        <v>201.36500000000001</v>
      </c>
      <c r="E268">
        <v>91.98</v>
      </c>
      <c r="F268">
        <v>0</v>
      </c>
      <c r="G268" s="2043">
        <v>0</v>
      </c>
      <c r="H268">
        <v>0</v>
      </c>
      <c r="I268" s="2043">
        <v>0</v>
      </c>
      <c r="J268">
        <v>0</v>
      </c>
      <c r="K268">
        <v>0</v>
      </c>
      <c r="L268">
        <v>0</v>
      </c>
      <c r="M268">
        <v>0</v>
      </c>
      <c r="N268">
        <v>0</v>
      </c>
      <c r="O268">
        <v>0</v>
      </c>
      <c r="P268">
        <v>0</v>
      </c>
      <c r="Q268">
        <v>0</v>
      </c>
      <c r="R268" s="2043">
        <v>0</v>
      </c>
      <c r="S268">
        <v>0</v>
      </c>
      <c r="T268">
        <v>0</v>
      </c>
      <c r="U268">
        <v>0</v>
      </c>
      <c r="V268">
        <v>0</v>
      </c>
      <c r="W268">
        <v>0</v>
      </c>
      <c r="X268">
        <v>0</v>
      </c>
      <c r="Y268">
        <v>31808</v>
      </c>
      <c r="Z268">
        <v>0</v>
      </c>
      <c r="AA268">
        <v>0</v>
      </c>
      <c r="AB268">
        <v>183.494</v>
      </c>
      <c r="AC268" s="2043">
        <v>0</v>
      </c>
      <c r="AD268">
        <v>0</v>
      </c>
      <c r="AE268" s="2043">
        <v>0</v>
      </c>
      <c r="AF268">
        <v>0</v>
      </c>
      <c r="AG268">
        <v>0</v>
      </c>
      <c r="AH268">
        <v>0</v>
      </c>
      <c r="AI268">
        <v>0</v>
      </c>
      <c r="AJ268">
        <v>42.063000000000002</v>
      </c>
      <c r="AK268">
        <v>285</v>
      </c>
      <c r="AL268">
        <v>0</v>
      </c>
      <c r="AM268">
        <v>0</v>
      </c>
      <c r="AN268">
        <v>1.8470000000000002</v>
      </c>
      <c r="AO268">
        <v>0</v>
      </c>
      <c r="AP268">
        <v>0</v>
      </c>
      <c r="AQ268">
        <v>0</v>
      </c>
      <c r="AR268">
        <v>3.13</v>
      </c>
      <c r="AS268">
        <v>0</v>
      </c>
      <c r="AT268">
        <v>0</v>
      </c>
      <c r="AU268">
        <v>0.216</v>
      </c>
      <c r="AV268">
        <v>0</v>
      </c>
      <c r="AW268">
        <v>3.3460000000000001</v>
      </c>
      <c r="AX268">
        <v>0</v>
      </c>
      <c r="AY268">
        <v>10.47</v>
      </c>
      <c r="AZ268">
        <v>0</v>
      </c>
      <c r="BA268">
        <v>2035318</v>
      </c>
      <c r="BB268">
        <v>0</v>
      </c>
      <c r="BC268">
        <v>0</v>
      </c>
      <c r="BD268">
        <v>27475</v>
      </c>
      <c r="BE268">
        <v>0</v>
      </c>
      <c r="BF268">
        <v>27475</v>
      </c>
      <c r="BG268">
        <v>27475</v>
      </c>
      <c r="BH268">
        <v>0</v>
      </c>
      <c r="BI268">
        <v>0</v>
      </c>
      <c r="BJ268">
        <v>0</v>
      </c>
      <c r="BK268">
        <v>0</v>
      </c>
      <c r="BL268">
        <v>0</v>
      </c>
      <c r="BM268">
        <v>0</v>
      </c>
      <c r="BN268">
        <v>450</v>
      </c>
      <c r="BO268">
        <v>54</v>
      </c>
      <c r="BP268">
        <v>0</v>
      </c>
      <c r="BQ268">
        <v>0</v>
      </c>
      <c r="BR268">
        <v>0</v>
      </c>
      <c r="BS268">
        <v>0</v>
      </c>
      <c r="BT268">
        <v>0</v>
      </c>
      <c r="BU268">
        <v>0</v>
      </c>
      <c r="BV268">
        <v>14</v>
      </c>
      <c r="BW268">
        <v>21</v>
      </c>
      <c r="BX268">
        <v>25</v>
      </c>
      <c r="BY268">
        <v>30</v>
      </c>
      <c r="BZ268">
        <v>72</v>
      </c>
      <c r="CA268">
        <v>162</v>
      </c>
      <c r="CB268">
        <v>0</v>
      </c>
      <c r="CC268">
        <v>0</v>
      </c>
      <c r="CD268">
        <v>0</v>
      </c>
      <c r="CE268">
        <v>1</v>
      </c>
      <c r="CF268">
        <v>86.548000000000002</v>
      </c>
      <c r="CG268">
        <v>0</v>
      </c>
      <c r="CH268">
        <v>0</v>
      </c>
      <c r="CI268">
        <v>1</v>
      </c>
      <c r="CJ268">
        <v>0</v>
      </c>
      <c r="CK268">
        <v>0</v>
      </c>
      <c r="CL268">
        <v>0</v>
      </c>
      <c r="CM268">
        <v>91.98</v>
      </c>
      <c r="CN268">
        <v>0</v>
      </c>
      <c r="CO268">
        <v>0</v>
      </c>
      <c r="CP268">
        <v>0</v>
      </c>
      <c r="CQ268">
        <v>0</v>
      </c>
      <c r="CR268">
        <v>0</v>
      </c>
      <c r="CS268">
        <v>0</v>
      </c>
      <c r="CT268">
        <v>0</v>
      </c>
      <c r="CU268">
        <v>0.97900000000000009</v>
      </c>
      <c r="CV268">
        <v>6.7330000000000005</v>
      </c>
      <c r="CW268">
        <v>2.2200000000000002</v>
      </c>
      <c r="CX268">
        <v>0</v>
      </c>
      <c r="CY268" s="2043">
        <v>0</v>
      </c>
      <c r="CZ268" s="2043">
        <v>0</v>
      </c>
      <c r="DA268" s="2043">
        <v>0</v>
      </c>
      <c r="DB268" s="2043">
        <v>0</v>
      </c>
      <c r="DC268" s="2043">
        <v>0</v>
      </c>
      <c r="DI268" t="s">
        <v>7963</v>
      </c>
      <c r="DJ268" t="s">
        <v>7963</v>
      </c>
      <c r="DK268" s="2042">
        <f t="shared" si="6"/>
        <v>0</v>
      </c>
    </row>
    <row r="269" spans="1:115">
      <c r="A269" t="s">
        <v>7964</v>
      </c>
      <c r="B269" t="s">
        <v>11280</v>
      </c>
      <c r="C269">
        <v>470.58300000000003</v>
      </c>
      <c r="D269">
        <v>609.15200000000004</v>
      </c>
      <c r="E269">
        <v>136.73400000000001</v>
      </c>
      <c r="F269">
        <v>0</v>
      </c>
      <c r="G269" s="2043">
        <v>0</v>
      </c>
      <c r="H269">
        <v>0</v>
      </c>
      <c r="I269" s="2043">
        <v>0</v>
      </c>
      <c r="J269">
        <v>0</v>
      </c>
      <c r="K269">
        <v>0</v>
      </c>
      <c r="L269">
        <v>0</v>
      </c>
      <c r="M269">
        <v>0</v>
      </c>
      <c r="N269">
        <v>0</v>
      </c>
      <c r="O269">
        <v>0</v>
      </c>
      <c r="P269">
        <v>0</v>
      </c>
      <c r="Q269">
        <v>0</v>
      </c>
      <c r="R269" s="2043">
        <v>0</v>
      </c>
      <c r="S269">
        <v>0</v>
      </c>
      <c r="T269">
        <v>0</v>
      </c>
      <c r="U269">
        <v>0</v>
      </c>
      <c r="V269">
        <v>0</v>
      </c>
      <c r="W269">
        <v>0</v>
      </c>
      <c r="X269">
        <v>0</v>
      </c>
      <c r="Y269">
        <v>83191</v>
      </c>
      <c r="Z269">
        <v>0</v>
      </c>
      <c r="AA269">
        <v>0</v>
      </c>
      <c r="AB269">
        <v>535.28</v>
      </c>
      <c r="AC269" s="2043">
        <v>0</v>
      </c>
      <c r="AD269">
        <v>0</v>
      </c>
      <c r="AE269" s="2043">
        <v>0</v>
      </c>
      <c r="AF269">
        <v>0</v>
      </c>
      <c r="AG269">
        <v>0</v>
      </c>
      <c r="AH269">
        <v>0</v>
      </c>
      <c r="AI269">
        <v>0</v>
      </c>
      <c r="AJ269">
        <v>129.375</v>
      </c>
      <c r="AK269">
        <v>565</v>
      </c>
      <c r="AL269">
        <v>0</v>
      </c>
      <c r="AM269">
        <v>0</v>
      </c>
      <c r="AN269">
        <v>18.702000000000002</v>
      </c>
      <c r="AO269">
        <v>0</v>
      </c>
      <c r="AP269">
        <v>0</v>
      </c>
      <c r="AQ269">
        <v>0</v>
      </c>
      <c r="AR269">
        <v>0.55300000000000005</v>
      </c>
      <c r="AS269">
        <v>0</v>
      </c>
      <c r="AT269">
        <v>0</v>
      </c>
      <c r="AU269">
        <v>0.35400000000000004</v>
      </c>
      <c r="AV269">
        <v>0</v>
      </c>
      <c r="AW269">
        <v>0.90700000000000003</v>
      </c>
      <c r="AX269">
        <v>0</v>
      </c>
      <c r="AY269">
        <v>3.4290000000000003</v>
      </c>
      <c r="AZ269">
        <v>0</v>
      </c>
      <c r="BA269">
        <v>5239627</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37</v>
      </c>
      <c r="BW269">
        <v>49</v>
      </c>
      <c r="BX269">
        <v>115</v>
      </c>
      <c r="BY269">
        <v>125</v>
      </c>
      <c r="BZ269">
        <v>174</v>
      </c>
      <c r="CA269">
        <v>500</v>
      </c>
      <c r="CB269">
        <v>0</v>
      </c>
      <c r="CC269">
        <v>0</v>
      </c>
      <c r="CD269">
        <v>0</v>
      </c>
      <c r="CE269">
        <v>1</v>
      </c>
      <c r="CF269">
        <v>225.01600000000002</v>
      </c>
      <c r="CG269">
        <v>0</v>
      </c>
      <c r="CH269">
        <v>0</v>
      </c>
      <c r="CI269">
        <v>0</v>
      </c>
      <c r="CJ269">
        <v>0</v>
      </c>
      <c r="CK269">
        <v>0</v>
      </c>
      <c r="CL269">
        <v>0</v>
      </c>
      <c r="CM269">
        <v>136.73400000000001</v>
      </c>
      <c r="CN269">
        <v>0</v>
      </c>
      <c r="CO269">
        <v>0</v>
      </c>
      <c r="CP269">
        <v>0</v>
      </c>
      <c r="CQ269">
        <v>0</v>
      </c>
      <c r="CR269">
        <v>0</v>
      </c>
      <c r="CS269">
        <v>0</v>
      </c>
      <c r="CT269">
        <v>0</v>
      </c>
      <c r="CU269">
        <v>0</v>
      </c>
      <c r="CV269">
        <v>0</v>
      </c>
      <c r="CW269">
        <v>0</v>
      </c>
      <c r="CX269">
        <v>0</v>
      </c>
      <c r="CY269" s="2043">
        <v>0</v>
      </c>
      <c r="CZ269" s="2043">
        <v>0</v>
      </c>
      <c r="DA269" s="2043">
        <v>0</v>
      </c>
      <c r="DB269" s="2043">
        <v>0</v>
      </c>
      <c r="DC269" s="2043">
        <v>0</v>
      </c>
      <c r="DI269" t="s">
        <v>7964</v>
      </c>
      <c r="DJ269" t="s">
        <v>7964</v>
      </c>
      <c r="DK269" s="2042">
        <f t="shared" si="6"/>
        <v>0</v>
      </c>
    </row>
    <row r="270" spans="1:115">
      <c r="A270" t="s">
        <v>7965</v>
      </c>
      <c r="B270" t="s">
        <v>11281</v>
      </c>
      <c r="C270">
        <v>759.13900000000001</v>
      </c>
      <c r="D270">
        <v>911.01100000000008</v>
      </c>
      <c r="E270">
        <v>108.76700000000001</v>
      </c>
      <c r="F270">
        <v>0</v>
      </c>
      <c r="G270" s="2043">
        <v>0</v>
      </c>
      <c r="H270">
        <v>0</v>
      </c>
      <c r="I270" s="2043">
        <v>0</v>
      </c>
      <c r="J270">
        <v>0</v>
      </c>
      <c r="K270">
        <v>0</v>
      </c>
      <c r="L270">
        <v>0</v>
      </c>
      <c r="M270">
        <v>0</v>
      </c>
      <c r="N270">
        <v>0</v>
      </c>
      <c r="O270">
        <v>0</v>
      </c>
      <c r="P270">
        <v>0</v>
      </c>
      <c r="Q270">
        <v>0</v>
      </c>
      <c r="R270" s="2043">
        <v>0</v>
      </c>
      <c r="S270">
        <v>0</v>
      </c>
      <c r="T270">
        <v>0</v>
      </c>
      <c r="U270">
        <v>0</v>
      </c>
      <c r="V270">
        <v>0</v>
      </c>
      <c r="W270">
        <v>0</v>
      </c>
      <c r="X270">
        <v>0</v>
      </c>
      <c r="Y270">
        <v>134202</v>
      </c>
      <c r="Z270">
        <v>0</v>
      </c>
      <c r="AA270">
        <v>0</v>
      </c>
      <c r="AB270">
        <v>911.01100000000008</v>
      </c>
      <c r="AC270" s="2043">
        <v>0</v>
      </c>
      <c r="AD270">
        <v>0</v>
      </c>
      <c r="AE270" s="2043">
        <v>0</v>
      </c>
      <c r="AF270">
        <v>0</v>
      </c>
      <c r="AG270">
        <v>0</v>
      </c>
      <c r="AH270">
        <v>0</v>
      </c>
      <c r="AI270">
        <v>0</v>
      </c>
      <c r="AJ270">
        <v>158.53800000000001</v>
      </c>
      <c r="AK270">
        <v>2684</v>
      </c>
      <c r="AL270">
        <v>0</v>
      </c>
      <c r="AM270">
        <v>0</v>
      </c>
      <c r="AN270">
        <v>51.585000000000001</v>
      </c>
      <c r="AO270">
        <v>0</v>
      </c>
      <c r="AP270">
        <v>0</v>
      </c>
      <c r="AQ270">
        <v>0</v>
      </c>
      <c r="AR270">
        <v>19.349</v>
      </c>
      <c r="AS270">
        <v>0</v>
      </c>
      <c r="AT270">
        <v>0.10400000000000001</v>
      </c>
      <c r="AU270">
        <v>0.16400000000000001</v>
      </c>
      <c r="AV270">
        <v>0</v>
      </c>
      <c r="AW270">
        <v>19.617000000000001</v>
      </c>
      <c r="AX270">
        <v>0</v>
      </c>
      <c r="AY270">
        <v>59.179000000000002</v>
      </c>
      <c r="AZ270">
        <v>0</v>
      </c>
      <c r="BA270">
        <v>8752404</v>
      </c>
      <c r="BB270">
        <v>0</v>
      </c>
      <c r="BC270">
        <v>0</v>
      </c>
      <c r="BD270">
        <v>18457</v>
      </c>
      <c r="BE270">
        <v>0</v>
      </c>
      <c r="BF270">
        <v>18457</v>
      </c>
      <c r="BG270">
        <v>18457</v>
      </c>
      <c r="BH270">
        <v>0</v>
      </c>
      <c r="BI270">
        <v>0</v>
      </c>
      <c r="BJ270">
        <v>0</v>
      </c>
      <c r="BK270">
        <v>0</v>
      </c>
      <c r="BL270">
        <v>0</v>
      </c>
      <c r="BM270">
        <v>0</v>
      </c>
      <c r="BN270">
        <v>12177</v>
      </c>
      <c r="BO270">
        <v>13236</v>
      </c>
      <c r="BP270">
        <v>78616</v>
      </c>
      <c r="BQ270">
        <v>0</v>
      </c>
      <c r="BR270">
        <v>0</v>
      </c>
      <c r="BS270">
        <v>0</v>
      </c>
      <c r="BT270">
        <v>0</v>
      </c>
      <c r="BU270">
        <v>0</v>
      </c>
      <c r="BV270">
        <v>123</v>
      </c>
      <c r="BW270">
        <v>117</v>
      </c>
      <c r="BX270">
        <v>95</v>
      </c>
      <c r="BY270">
        <v>144</v>
      </c>
      <c r="BZ270">
        <v>151</v>
      </c>
      <c r="CA270">
        <v>630</v>
      </c>
      <c r="CB270">
        <v>0</v>
      </c>
      <c r="CC270">
        <v>0</v>
      </c>
      <c r="CD270">
        <v>0</v>
      </c>
      <c r="CE270">
        <v>142</v>
      </c>
      <c r="CF270">
        <v>0</v>
      </c>
      <c r="CG270">
        <v>759.13900000000001</v>
      </c>
      <c r="CH270">
        <v>0</v>
      </c>
      <c r="CI270">
        <v>0</v>
      </c>
      <c r="CJ270">
        <v>0</v>
      </c>
      <c r="CK270">
        <v>0</v>
      </c>
      <c r="CL270">
        <v>759.13900000000001</v>
      </c>
      <c r="CM270">
        <v>108.76700000000001</v>
      </c>
      <c r="CN270">
        <v>0</v>
      </c>
      <c r="CO270">
        <v>28657</v>
      </c>
      <c r="CP270">
        <v>43959</v>
      </c>
      <c r="CQ270">
        <v>6000</v>
      </c>
      <c r="CR270">
        <v>0</v>
      </c>
      <c r="CS270">
        <v>0</v>
      </c>
      <c r="CT270">
        <v>0</v>
      </c>
      <c r="CU270">
        <v>16.484000000000002</v>
      </c>
      <c r="CV270">
        <v>47.198</v>
      </c>
      <c r="CW270">
        <v>6.38</v>
      </c>
      <c r="CX270">
        <v>0</v>
      </c>
      <c r="CY270" s="2043">
        <v>0</v>
      </c>
      <c r="CZ270" s="2043">
        <v>0</v>
      </c>
      <c r="DA270" s="2043">
        <v>0</v>
      </c>
      <c r="DB270" s="2043">
        <v>0</v>
      </c>
      <c r="DC270" s="2043">
        <v>0</v>
      </c>
      <c r="DI270" t="s">
        <v>7965</v>
      </c>
      <c r="DJ270" t="s">
        <v>7965</v>
      </c>
      <c r="DK270" s="2042">
        <f t="shared" si="6"/>
        <v>0</v>
      </c>
    </row>
    <row r="271" spans="1:115">
      <c r="A271" t="s">
        <v>7968</v>
      </c>
      <c r="B271" t="s">
        <v>11282</v>
      </c>
      <c r="C271">
        <v>524.18900000000008</v>
      </c>
      <c r="D271">
        <v>625.41700000000003</v>
      </c>
      <c r="E271">
        <v>0</v>
      </c>
      <c r="F271">
        <v>0</v>
      </c>
      <c r="G271" s="2043">
        <v>0</v>
      </c>
      <c r="H271">
        <v>0</v>
      </c>
      <c r="I271" s="2043">
        <v>0</v>
      </c>
      <c r="J271">
        <v>4</v>
      </c>
      <c r="K271">
        <v>11</v>
      </c>
      <c r="L271">
        <v>0</v>
      </c>
      <c r="M271">
        <v>0</v>
      </c>
      <c r="N271">
        <v>0</v>
      </c>
      <c r="O271">
        <v>0</v>
      </c>
      <c r="P271">
        <v>0</v>
      </c>
      <c r="Q271">
        <v>0</v>
      </c>
      <c r="R271" s="2043">
        <v>0</v>
      </c>
      <c r="S271">
        <v>0</v>
      </c>
      <c r="T271">
        <v>0</v>
      </c>
      <c r="U271">
        <v>0</v>
      </c>
      <c r="V271">
        <v>0</v>
      </c>
      <c r="W271">
        <v>0</v>
      </c>
      <c r="X271">
        <v>0</v>
      </c>
      <c r="Y271">
        <v>305418</v>
      </c>
      <c r="Z271">
        <v>0</v>
      </c>
      <c r="AA271">
        <v>0</v>
      </c>
      <c r="AB271">
        <v>625.41700000000003</v>
      </c>
      <c r="AC271" s="2043">
        <v>0</v>
      </c>
      <c r="AD271">
        <v>0</v>
      </c>
      <c r="AE271" s="2043">
        <v>0</v>
      </c>
      <c r="AF271">
        <v>0</v>
      </c>
      <c r="AG271">
        <v>0</v>
      </c>
      <c r="AH271">
        <v>0</v>
      </c>
      <c r="AI271">
        <v>0</v>
      </c>
      <c r="AJ271">
        <v>128.83799999999999</v>
      </c>
      <c r="AK271">
        <v>759</v>
      </c>
      <c r="AL271">
        <v>0</v>
      </c>
      <c r="AM271">
        <v>0</v>
      </c>
      <c r="AN271">
        <v>27.419</v>
      </c>
      <c r="AO271">
        <v>0</v>
      </c>
      <c r="AP271">
        <v>0</v>
      </c>
      <c r="AQ271">
        <v>0</v>
      </c>
      <c r="AR271">
        <v>0</v>
      </c>
      <c r="AS271">
        <v>0</v>
      </c>
      <c r="AT271">
        <v>0</v>
      </c>
      <c r="AU271">
        <v>0.39900000000000002</v>
      </c>
      <c r="AV271">
        <v>0</v>
      </c>
      <c r="AW271">
        <v>0.39900000000000002</v>
      </c>
      <c r="AX271">
        <v>0</v>
      </c>
      <c r="AY271">
        <v>1.9950000000000001</v>
      </c>
      <c r="AZ271">
        <v>0</v>
      </c>
      <c r="BA271">
        <v>5956305</v>
      </c>
      <c r="BB271">
        <v>0</v>
      </c>
      <c r="BC271">
        <v>0</v>
      </c>
      <c r="BD271">
        <v>42696</v>
      </c>
      <c r="BE271">
        <v>0</v>
      </c>
      <c r="BF271">
        <v>42696</v>
      </c>
      <c r="BG271">
        <v>42696</v>
      </c>
      <c r="BH271">
        <v>0</v>
      </c>
      <c r="BI271">
        <v>0</v>
      </c>
      <c r="BJ271">
        <v>0</v>
      </c>
      <c r="BK271">
        <v>0</v>
      </c>
      <c r="BL271">
        <v>0</v>
      </c>
      <c r="BM271">
        <v>0</v>
      </c>
      <c r="BN271">
        <v>1278</v>
      </c>
      <c r="BO271">
        <v>1124</v>
      </c>
      <c r="BP271">
        <v>0</v>
      </c>
      <c r="BQ271">
        <v>0</v>
      </c>
      <c r="BR271">
        <v>0</v>
      </c>
      <c r="BS271">
        <v>0</v>
      </c>
      <c r="BT271">
        <v>0</v>
      </c>
      <c r="BU271">
        <v>0</v>
      </c>
      <c r="BV271">
        <v>35</v>
      </c>
      <c r="BW271">
        <v>35</v>
      </c>
      <c r="BX271">
        <v>17</v>
      </c>
      <c r="BY271">
        <v>128</v>
      </c>
      <c r="BZ271">
        <v>272</v>
      </c>
      <c r="CA271">
        <v>487</v>
      </c>
      <c r="CB271">
        <v>0</v>
      </c>
      <c r="CC271">
        <v>0</v>
      </c>
      <c r="CD271">
        <v>0</v>
      </c>
      <c r="CE271">
        <v>5</v>
      </c>
      <c r="CF271">
        <v>153.977</v>
      </c>
      <c r="CG271">
        <v>0</v>
      </c>
      <c r="CH271">
        <v>0</v>
      </c>
      <c r="CI271">
        <v>1</v>
      </c>
      <c r="CJ271">
        <v>0</v>
      </c>
      <c r="CK271">
        <v>0</v>
      </c>
      <c r="CL271">
        <v>0</v>
      </c>
      <c r="CM271">
        <v>0</v>
      </c>
      <c r="CN271">
        <v>0</v>
      </c>
      <c r="CO271">
        <v>0</v>
      </c>
      <c r="CP271">
        <v>0</v>
      </c>
      <c r="CQ271">
        <v>0</v>
      </c>
      <c r="CR271">
        <v>0</v>
      </c>
      <c r="CS271">
        <v>0</v>
      </c>
      <c r="CT271">
        <v>0</v>
      </c>
      <c r="CU271">
        <v>0</v>
      </c>
      <c r="CV271">
        <v>18.484999999999999</v>
      </c>
      <c r="CW271">
        <v>11.19</v>
      </c>
      <c r="CX271">
        <v>0</v>
      </c>
      <c r="CY271" s="2043">
        <v>212751</v>
      </c>
      <c r="CZ271" s="2043">
        <v>0</v>
      </c>
      <c r="DA271" s="2043">
        <v>0</v>
      </c>
      <c r="DB271" s="2043">
        <v>0</v>
      </c>
      <c r="DC271" s="2043">
        <v>0</v>
      </c>
      <c r="DI271" t="s">
        <v>7966</v>
      </c>
      <c r="DJ271" t="s">
        <v>7968</v>
      </c>
      <c r="DK271" s="2042">
        <f t="shared" si="6"/>
        <v>-2</v>
      </c>
    </row>
    <row r="272" spans="1:115">
      <c r="A272" t="s">
        <v>7966</v>
      </c>
      <c r="B272" t="s">
        <v>11283</v>
      </c>
      <c r="C272">
        <v>1388.241</v>
      </c>
      <c r="D272">
        <v>1312.1660000000002</v>
      </c>
      <c r="E272">
        <v>698.48400000000004</v>
      </c>
      <c r="F272">
        <v>0</v>
      </c>
      <c r="G272" s="2043">
        <v>0</v>
      </c>
      <c r="H272">
        <v>0</v>
      </c>
      <c r="I272" s="2043">
        <v>0</v>
      </c>
      <c r="J272">
        <v>69.412000000000006</v>
      </c>
      <c r="K272">
        <v>190</v>
      </c>
      <c r="L272">
        <v>0</v>
      </c>
      <c r="M272">
        <v>0</v>
      </c>
      <c r="N272">
        <v>0</v>
      </c>
      <c r="O272">
        <v>0</v>
      </c>
      <c r="P272">
        <v>0</v>
      </c>
      <c r="Q272">
        <v>0</v>
      </c>
      <c r="R272" s="2043">
        <v>0</v>
      </c>
      <c r="S272">
        <v>0</v>
      </c>
      <c r="T272">
        <v>0</v>
      </c>
      <c r="U272">
        <v>0</v>
      </c>
      <c r="V272">
        <v>0</v>
      </c>
      <c r="W272">
        <v>0</v>
      </c>
      <c r="X272">
        <v>0</v>
      </c>
      <c r="Y272">
        <v>245416</v>
      </c>
      <c r="Z272">
        <v>0</v>
      </c>
      <c r="AA272">
        <v>0</v>
      </c>
      <c r="AB272">
        <v>1285.8410000000001</v>
      </c>
      <c r="AC272" s="2043">
        <v>0</v>
      </c>
      <c r="AD272">
        <v>0</v>
      </c>
      <c r="AE272" s="2043">
        <v>0</v>
      </c>
      <c r="AF272">
        <v>0</v>
      </c>
      <c r="AG272">
        <v>0</v>
      </c>
      <c r="AH272">
        <v>0</v>
      </c>
      <c r="AI272">
        <v>0</v>
      </c>
      <c r="AJ272">
        <v>373.08800000000002</v>
      </c>
      <c r="AK272">
        <v>3945</v>
      </c>
      <c r="AL272">
        <v>0.114</v>
      </c>
      <c r="AM272">
        <v>0</v>
      </c>
      <c r="AN272">
        <v>54.261000000000003</v>
      </c>
      <c r="AO272">
        <v>0</v>
      </c>
      <c r="AP272">
        <v>0</v>
      </c>
      <c r="AQ272">
        <v>0</v>
      </c>
      <c r="AR272">
        <v>22.348000000000003</v>
      </c>
      <c r="AS272">
        <v>0</v>
      </c>
      <c r="AT272">
        <v>9.4730000000000008</v>
      </c>
      <c r="AU272">
        <v>3.1550000000000002</v>
      </c>
      <c r="AV272">
        <v>0</v>
      </c>
      <c r="AW272">
        <v>35.090000000000003</v>
      </c>
      <c r="AX272">
        <v>0</v>
      </c>
      <c r="AY272">
        <v>111.80800000000001</v>
      </c>
      <c r="AZ272">
        <v>0</v>
      </c>
      <c r="BA272">
        <v>16335202</v>
      </c>
      <c r="BB272">
        <v>0</v>
      </c>
      <c r="BC272">
        <v>0</v>
      </c>
      <c r="BD272">
        <v>0</v>
      </c>
      <c r="BE272">
        <v>0</v>
      </c>
      <c r="BF272">
        <v>0</v>
      </c>
      <c r="BG272">
        <v>0</v>
      </c>
      <c r="BH272">
        <v>0</v>
      </c>
      <c r="BI272">
        <v>0</v>
      </c>
      <c r="BJ272">
        <v>0</v>
      </c>
      <c r="BK272">
        <v>0</v>
      </c>
      <c r="BL272">
        <v>0</v>
      </c>
      <c r="BM272">
        <v>0</v>
      </c>
      <c r="BN272">
        <v>4842</v>
      </c>
      <c r="BO272">
        <v>3863</v>
      </c>
      <c r="BP272">
        <v>0</v>
      </c>
      <c r="BQ272">
        <v>0</v>
      </c>
      <c r="BR272">
        <v>0</v>
      </c>
      <c r="BS272">
        <v>0</v>
      </c>
      <c r="BT272">
        <v>0</v>
      </c>
      <c r="BU272">
        <v>0</v>
      </c>
      <c r="BV272">
        <v>26</v>
      </c>
      <c r="BW272">
        <v>63</v>
      </c>
      <c r="BX272">
        <v>438</v>
      </c>
      <c r="BY272">
        <v>620</v>
      </c>
      <c r="BZ272">
        <v>291</v>
      </c>
      <c r="CA272">
        <v>1438</v>
      </c>
      <c r="CB272">
        <v>0</v>
      </c>
      <c r="CC272">
        <v>0</v>
      </c>
      <c r="CD272">
        <v>0</v>
      </c>
      <c r="CE272">
        <v>59</v>
      </c>
      <c r="CF272">
        <v>503.19500000000005</v>
      </c>
      <c r="CG272">
        <v>0</v>
      </c>
      <c r="CH272">
        <v>0</v>
      </c>
      <c r="CI272">
        <v>10</v>
      </c>
      <c r="CJ272">
        <v>0</v>
      </c>
      <c r="CK272">
        <v>0</v>
      </c>
      <c r="CL272">
        <v>0</v>
      </c>
      <c r="CM272">
        <v>698.48400000000004</v>
      </c>
      <c r="CN272">
        <v>0</v>
      </c>
      <c r="CO272">
        <v>0</v>
      </c>
      <c r="CP272">
        <v>0</v>
      </c>
      <c r="CQ272">
        <v>0</v>
      </c>
      <c r="CR272">
        <v>0</v>
      </c>
      <c r="CS272">
        <v>0</v>
      </c>
      <c r="CT272">
        <v>0</v>
      </c>
      <c r="CU272">
        <v>0</v>
      </c>
      <c r="CV272">
        <v>81.510000000000005</v>
      </c>
      <c r="CW272">
        <v>23.797000000000001</v>
      </c>
      <c r="CX272">
        <v>0</v>
      </c>
      <c r="CY272" s="2043">
        <v>0</v>
      </c>
      <c r="CZ272" s="2043">
        <v>0</v>
      </c>
      <c r="DA272" s="2043">
        <v>0</v>
      </c>
      <c r="DB272" s="2043">
        <v>0</v>
      </c>
      <c r="DC272" s="2043">
        <v>0</v>
      </c>
      <c r="DI272" t="s">
        <v>7967</v>
      </c>
      <c r="DJ272" t="s">
        <v>7966</v>
      </c>
      <c r="DK272" s="2042">
        <f t="shared" si="6"/>
        <v>1</v>
      </c>
    </row>
    <row r="273" spans="1:115">
      <c r="A273" t="s">
        <v>7967</v>
      </c>
      <c r="B273" t="s">
        <v>11284</v>
      </c>
      <c r="C273">
        <v>1162.7670000000001</v>
      </c>
      <c r="D273">
        <v>1195.9470000000001</v>
      </c>
      <c r="E273">
        <v>590.48</v>
      </c>
      <c r="F273">
        <v>0</v>
      </c>
      <c r="G273" s="2043">
        <v>0</v>
      </c>
      <c r="H273">
        <v>0</v>
      </c>
      <c r="I273" s="2043">
        <v>0</v>
      </c>
      <c r="J273">
        <v>58.138000000000005</v>
      </c>
      <c r="K273">
        <v>159</v>
      </c>
      <c r="L273">
        <v>0</v>
      </c>
      <c r="M273">
        <v>0</v>
      </c>
      <c r="N273">
        <v>0</v>
      </c>
      <c r="O273">
        <v>0</v>
      </c>
      <c r="P273">
        <v>0</v>
      </c>
      <c r="Q273">
        <v>0</v>
      </c>
      <c r="R273" s="2043">
        <v>0</v>
      </c>
      <c r="S273">
        <v>0</v>
      </c>
      <c r="T273">
        <v>0</v>
      </c>
      <c r="U273">
        <v>0</v>
      </c>
      <c r="V273">
        <v>0</v>
      </c>
      <c r="W273">
        <v>0</v>
      </c>
      <c r="X273">
        <v>0</v>
      </c>
      <c r="Y273">
        <v>205557</v>
      </c>
      <c r="Z273">
        <v>0</v>
      </c>
      <c r="AA273">
        <v>0</v>
      </c>
      <c r="AB273">
        <v>1124.2809999999999</v>
      </c>
      <c r="AC273" s="2043">
        <v>0</v>
      </c>
      <c r="AD273">
        <v>0</v>
      </c>
      <c r="AE273" s="2043">
        <v>0</v>
      </c>
      <c r="AF273">
        <v>0</v>
      </c>
      <c r="AG273">
        <v>0</v>
      </c>
      <c r="AH273">
        <v>0</v>
      </c>
      <c r="AI273">
        <v>0</v>
      </c>
      <c r="AJ273">
        <v>315.75</v>
      </c>
      <c r="AK273">
        <v>3236</v>
      </c>
      <c r="AL273">
        <v>0</v>
      </c>
      <c r="AM273">
        <v>0</v>
      </c>
      <c r="AN273">
        <v>56.758000000000003</v>
      </c>
      <c r="AO273">
        <v>0</v>
      </c>
      <c r="AP273">
        <v>0</v>
      </c>
      <c r="AQ273">
        <v>0</v>
      </c>
      <c r="AR273">
        <v>16.744</v>
      </c>
      <c r="AS273">
        <v>0</v>
      </c>
      <c r="AT273">
        <v>4.8470000000000004</v>
      </c>
      <c r="AU273">
        <v>2.5670000000000002</v>
      </c>
      <c r="AV273">
        <v>0</v>
      </c>
      <c r="AW273">
        <v>24.158000000000001</v>
      </c>
      <c r="AX273">
        <v>0</v>
      </c>
      <c r="AY273">
        <v>77.608000000000004</v>
      </c>
      <c r="AZ273">
        <v>0</v>
      </c>
      <c r="BA273">
        <v>13740849</v>
      </c>
      <c r="BB273">
        <v>0</v>
      </c>
      <c r="BC273">
        <v>0</v>
      </c>
      <c r="BD273">
        <v>0</v>
      </c>
      <c r="BE273">
        <v>0</v>
      </c>
      <c r="BF273">
        <v>0</v>
      </c>
      <c r="BG273">
        <v>0</v>
      </c>
      <c r="BH273">
        <v>0</v>
      </c>
      <c r="BI273">
        <v>0</v>
      </c>
      <c r="BJ273">
        <v>0</v>
      </c>
      <c r="BK273">
        <v>0</v>
      </c>
      <c r="BL273">
        <v>0</v>
      </c>
      <c r="BM273">
        <v>0</v>
      </c>
      <c r="BN273">
        <v>4455</v>
      </c>
      <c r="BO273">
        <v>3124</v>
      </c>
      <c r="BP273">
        <v>0</v>
      </c>
      <c r="BQ273">
        <v>0</v>
      </c>
      <c r="BR273">
        <v>0</v>
      </c>
      <c r="BS273">
        <v>0</v>
      </c>
      <c r="BT273">
        <v>0</v>
      </c>
      <c r="BU273">
        <v>0</v>
      </c>
      <c r="BV273">
        <v>22</v>
      </c>
      <c r="BW273">
        <v>51</v>
      </c>
      <c r="BX273">
        <v>383</v>
      </c>
      <c r="BY273">
        <v>463</v>
      </c>
      <c r="BZ273">
        <v>296</v>
      </c>
      <c r="CA273">
        <v>1215</v>
      </c>
      <c r="CB273">
        <v>0</v>
      </c>
      <c r="CC273">
        <v>0</v>
      </c>
      <c r="CD273">
        <v>0</v>
      </c>
      <c r="CE273">
        <v>66</v>
      </c>
      <c r="CF273">
        <v>506.12</v>
      </c>
      <c r="CG273">
        <v>0</v>
      </c>
      <c r="CH273">
        <v>0</v>
      </c>
      <c r="CI273">
        <v>4</v>
      </c>
      <c r="CJ273">
        <v>0</v>
      </c>
      <c r="CK273">
        <v>0</v>
      </c>
      <c r="CL273">
        <v>0</v>
      </c>
      <c r="CM273">
        <v>590.48</v>
      </c>
      <c r="CN273">
        <v>0</v>
      </c>
      <c r="CO273">
        <v>0</v>
      </c>
      <c r="CP273">
        <v>0</v>
      </c>
      <c r="CQ273">
        <v>0</v>
      </c>
      <c r="CR273">
        <v>0</v>
      </c>
      <c r="CS273">
        <v>0</v>
      </c>
      <c r="CT273">
        <v>0</v>
      </c>
      <c r="CU273">
        <v>0</v>
      </c>
      <c r="CV273">
        <v>51.197000000000003</v>
      </c>
      <c r="CW273">
        <v>20.949000000000002</v>
      </c>
      <c r="CX273">
        <v>0</v>
      </c>
      <c r="CY273" s="2043">
        <v>0</v>
      </c>
      <c r="CZ273" s="2043">
        <v>0</v>
      </c>
      <c r="DA273" s="2043">
        <v>0</v>
      </c>
      <c r="DB273" s="2043">
        <v>0</v>
      </c>
      <c r="DC273" s="2043">
        <v>0</v>
      </c>
      <c r="DI273" t="s">
        <v>7968</v>
      </c>
      <c r="DJ273" t="s">
        <v>7967</v>
      </c>
      <c r="DK273" s="2042">
        <f t="shared" si="6"/>
        <v>1</v>
      </c>
    </row>
    <row r="274" spans="1:115">
      <c r="A274" t="s">
        <v>7969</v>
      </c>
      <c r="B274" t="s">
        <v>11285</v>
      </c>
      <c r="C274">
        <v>414.18</v>
      </c>
      <c r="D274">
        <v>596.42899999999997</v>
      </c>
      <c r="E274">
        <v>32.767000000000003</v>
      </c>
      <c r="F274">
        <v>0</v>
      </c>
      <c r="G274" s="2043">
        <v>0</v>
      </c>
      <c r="H274">
        <v>0</v>
      </c>
      <c r="I274" s="2043">
        <v>0</v>
      </c>
      <c r="J274">
        <v>7</v>
      </c>
      <c r="K274">
        <v>19</v>
      </c>
      <c r="L274">
        <v>0</v>
      </c>
      <c r="M274">
        <v>0</v>
      </c>
      <c r="N274">
        <v>0</v>
      </c>
      <c r="O274">
        <v>0</v>
      </c>
      <c r="P274">
        <v>0</v>
      </c>
      <c r="Q274">
        <v>0</v>
      </c>
      <c r="R274" s="2043">
        <v>0</v>
      </c>
      <c r="S274">
        <v>0</v>
      </c>
      <c r="T274">
        <v>0</v>
      </c>
      <c r="U274">
        <v>0</v>
      </c>
      <c r="V274">
        <v>0</v>
      </c>
      <c r="W274">
        <v>0</v>
      </c>
      <c r="X274">
        <v>0</v>
      </c>
      <c r="Y274">
        <v>73220</v>
      </c>
      <c r="Z274">
        <v>0</v>
      </c>
      <c r="AA274">
        <v>0</v>
      </c>
      <c r="AB274">
        <v>555.18600000000004</v>
      </c>
      <c r="AC274" s="2043">
        <v>0</v>
      </c>
      <c r="AD274">
        <v>0</v>
      </c>
      <c r="AE274" s="2043">
        <v>0</v>
      </c>
      <c r="AF274">
        <v>0</v>
      </c>
      <c r="AG274">
        <v>0</v>
      </c>
      <c r="AH274">
        <v>0</v>
      </c>
      <c r="AI274">
        <v>0</v>
      </c>
      <c r="AJ274">
        <v>63.813000000000002</v>
      </c>
      <c r="AK274">
        <v>1096</v>
      </c>
      <c r="AL274">
        <v>0</v>
      </c>
      <c r="AM274">
        <v>0</v>
      </c>
      <c r="AN274">
        <v>5.5150000000000006</v>
      </c>
      <c r="AO274">
        <v>0</v>
      </c>
      <c r="AP274">
        <v>0</v>
      </c>
      <c r="AQ274">
        <v>0</v>
      </c>
      <c r="AR274">
        <v>12.369</v>
      </c>
      <c r="AS274">
        <v>0</v>
      </c>
      <c r="AT274">
        <v>0.14800000000000002</v>
      </c>
      <c r="AU274">
        <v>0.90400000000000003</v>
      </c>
      <c r="AV274">
        <v>0</v>
      </c>
      <c r="AW274">
        <v>13.421000000000001</v>
      </c>
      <c r="AX274">
        <v>0</v>
      </c>
      <c r="AY274">
        <v>42.071000000000005</v>
      </c>
      <c r="AZ274">
        <v>0</v>
      </c>
      <c r="BA274">
        <v>4277131</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112</v>
      </c>
      <c r="BW274">
        <v>59</v>
      </c>
      <c r="BX274">
        <v>28</v>
      </c>
      <c r="BY274">
        <v>44</v>
      </c>
      <c r="BZ274">
        <v>22</v>
      </c>
      <c r="CA274">
        <v>265</v>
      </c>
      <c r="CB274">
        <v>0</v>
      </c>
      <c r="CC274">
        <v>0</v>
      </c>
      <c r="CD274">
        <v>0</v>
      </c>
      <c r="CE274">
        <v>29</v>
      </c>
      <c r="CF274">
        <v>155.00700000000001</v>
      </c>
      <c r="CG274">
        <v>0</v>
      </c>
      <c r="CH274">
        <v>0</v>
      </c>
      <c r="CI274">
        <v>0</v>
      </c>
      <c r="CJ274">
        <v>0</v>
      </c>
      <c r="CK274">
        <v>0</v>
      </c>
      <c r="CL274">
        <v>0</v>
      </c>
      <c r="CM274">
        <v>32.767000000000003</v>
      </c>
      <c r="CN274">
        <v>0</v>
      </c>
      <c r="CO274">
        <v>0</v>
      </c>
      <c r="CP274">
        <v>0</v>
      </c>
      <c r="CQ274">
        <v>0</v>
      </c>
      <c r="CR274">
        <v>0</v>
      </c>
      <c r="CS274">
        <v>0</v>
      </c>
      <c r="CT274">
        <v>0</v>
      </c>
      <c r="CU274">
        <v>0</v>
      </c>
      <c r="CV274">
        <v>0</v>
      </c>
      <c r="CW274">
        <v>0</v>
      </c>
      <c r="CX274">
        <v>0</v>
      </c>
      <c r="CY274" s="2043">
        <v>0</v>
      </c>
      <c r="CZ274" s="2043">
        <v>0</v>
      </c>
      <c r="DA274" s="2043">
        <v>0</v>
      </c>
      <c r="DB274" s="2043">
        <v>0</v>
      </c>
      <c r="DC274" s="2043">
        <v>0</v>
      </c>
      <c r="DI274" t="s">
        <v>7969</v>
      </c>
      <c r="DJ274" t="s">
        <v>7969</v>
      </c>
      <c r="DK274" s="2042">
        <f t="shared" si="6"/>
        <v>0</v>
      </c>
    </row>
    <row r="275" spans="1:115">
      <c r="A275" t="s">
        <v>7970</v>
      </c>
      <c r="B275" t="s">
        <v>11286</v>
      </c>
      <c r="C275">
        <v>408.803</v>
      </c>
      <c r="D275">
        <v>511.98900000000003</v>
      </c>
      <c r="E275">
        <v>39.324000000000005</v>
      </c>
      <c r="F275">
        <v>0</v>
      </c>
      <c r="G275" s="2043">
        <v>0</v>
      </c>
      <c r="H275">
        <v>0</v>
      </c>
      <c r="I275" s="2043">
        <v>0</v>
      </c>
      <c r="J275">
        <v>0</v>
      </c>
      <c r="K275">
        <v>0</v>
      </c>
      <c r="L275">
        <v>0</v>
      </c>
      <c r="M275">
        <v>0</v>
      </c>
      <c r="N275">
        <v>0</v>
      </c>
      <c r="O275">
        <v>0</v>
      </c>
      <c r="P275">
        <v>0</v>
      </c>
      <c r="Q275">
        <v>0</v>
      </c>
      <c r="R275" s="2043">
        <v>0</v>
      </c>
      <c r="S275">
        <v>0</v>
      </c>
      <c r="T275">
        <v>0</v>
      </c>
      <c r="U275">
        <v>0</v>
      </c>
      <c r="V275">
        <v>0</v>
      </c>
      <c r="W275">
        <v>0</v>
      </c>
      <c r="X275">
        <v>0</v>
      </c>
      <c r="Y275">
        <v>72269</v>
      </c>
      <c r="Z275">
        <v>0</v>
      </c>
      <c r="AA275">
        <v>1.5530000000000002</v>
      </c>
      <c r="AB275">
        <v>519.58600000000001</v>
      </c>
      <c r="AC275" s="2043">
        <v>0</v>
      </c>
      <c r="AD275">
        <v>0</v>
      </c>
      <c r="AE275" s="2043">
        <v>0</v>
      </c>
      <c r="AF275">
        <v>0</v>
      </c>
      <c r="AG275">
        <v>0</v>
      </c>
      <c r="AH275">
        <v>0</v>
      </c>
      <c r="AI275">
        <v>0</v>
      </c>
      <c r="AJ275">
        <v>114.875</v>
      </c>
      <c r="AK275">
        <v>1141</v>
      </c>
      <c r="AL275">
        <v>0</v>
      </c>
      <c r="AM275">
        <v>0</v>
      </c>
      <c r="AN275">
        <v>26.454000000000001</v>
      </c>
      <c r="AO275">
        <v>0</v>
      </c>
      <c r="AP275">
        <v>0</v>
      </c>
      <c r="AQ275">
        <v>0</v>
      </c>
      <c r="AR275">
        <v>6.532</v>
      </c>
      <c r="AS275">
        <v>0</v>
      </c>
      <c r="AT275">
        <v>0</v>
      </c>
      <c r="AU275">
        <v>7.6999999999999999E-2</v>
      </c>
      <c r="AV275">
        <v>0</v>
      </c>
      <c r="AW275">
        <v>6.609</v>
      </c>
      <c r="AX275">
        <v>0</v>
      </c>
      <c r="AY275">
        <v>19.981000000000002</v>
      </c>
      <c r="AZ275">
        <v>0</v>
      </c>
      <c r="BA275">
        <v>4944829</v>
      </c>
      <c r="BB275">
        <v>0</v>
      </c>
      <c r="BC275">
        <v>0</v>
      </c>
      <c r="BD275">
        <v>30338</v>
      </c>
      <c r="BE275">
        <v>0</v>
      </c>
      <c r="BF275">
        <v>30338</v>
      </c>
      <c r="BG275">
        <v>30338</v>
      </c>
      <c r="BH275">
        <v>0</v>
      </c>
      <c r="BI275">
        <v>0</v>
      </c>
      <c r="BJ275">
        <v>0</v>
      </c>
      <c r="BK275">
        <v>0</v>
      </c>
      <c r="BL275">
        <v>0</v>
      </c>
      <c r="BM275">
        <v>0</v>
      </c>
      <c r="BN275">
        <v>8226</v>
      </c>
      <c r="BO275">
        <v>3606</v>
      </c>
      <c r="BP275">
        <v>84299</v>
      </c>
      <c r="BQ275">
        <v>0</v>
      </c>
      <c r="BR275">
        <v>0</v>
      </c>
      <c r="BS275">
        <v>0</v>
      </c>
      <c r="BT275">
        <v>0</v>
      </c>
      <c r="BU275">
        <v>0</v>
      </c>
      <c r="BV275">
        <v>64</v>
      </c>
      <c r="BW275">
        <v>66</v>
      </c>
      <c r="BX275">
        <v>66</v>
      </c>
      <c r="BY275">
        <v>102</v>
      </c>
      <c r="BZ275">
        <v>151</v>
      </c>
      <c r="CA275">
        <v>449</v>
      </c>
      <c r="CB275">
        <v>0</v>
      </c>
      <c r="CC275">
        <v>0</v>
      </c>
      <c r="CD275">
        <v>0</v>
      </c>
      <c r="CE275">
        <v>28</v>
      </c>
      <c r="CF275">
        <v>0</v>
      </c>
      <c r="CG275">
        <v>408.803</v>
      </c>
      <c r="CH275">
        <v>0</v>
      </c>
      <c r="CI275">
        <v>0</v>
      </c>
      <c r="CJ275">
        <v>0</v>
      </c>
      <c r="CK275">
        <v>0</v>
      </c>
      <c r="CL275">
        <v>408.803</v>
      </c>
      <c r="CM275">
        <v>39.324000000000005</v>
      </c>
      <c r="CN275">
        <v>43419</v>
      </c>
      <c r="CO275">
        <v>30832</v>
      </c>
      <c r="CP275">
        <v>10048</v>
      </c>
      <c r="CQ275">
        <v>0</v>
      </c>
      <c r="CR275">
        <v>0</v>
      </c>
      <c r="CS275">
        <v>0</v>
      </c>
      <c r="CT275">
        <v>0</v>
      </c>
      <c r="CU275">
        <v>4.9480000000000004</v>
      </c>
      <c r="CV275">
        <v>41.399000000000001</v>
      </c>
      <c r="CW275">
        <v>5.9359999999999999</v>
      </c>
      <c r="CX275">
        <v>0</v>
      </c>
      <c r="CY275" s="2043">
        <v>0</v>
      </c>
      <c r="CZ275" s="2043">
        <v>0</v>
      </c>
      <c r="DA275" s="2043">
        <v>0</v>
      </c>
      <c r="DB275" s="2043">
        <v>0</v>
      </c>
      <c r="DC275" s="2043">
        <v>0</v>
      </c>
      <c r="DI275" t="s">
        <v>7970</v>
      </c>
      <c r="DJ275" t="s">
        <v>7970</v>
      </c>
      <c r="DK275" s="2042">
        <f t="shared" si="6"/>
        <v>0</v>
      </c>
    </row>
    <row r="276" spans="1:115">
      <c r="A276" t="s">
        <v>7973</v>
      </c>
      <c r="B276" t="s">
        <v>11287</v>
      </c>
      <c r="C276">
        <v>877.26</v>
      </c>
      <c r="D276">
        <v>940.35800000000006</v>
      </c>
      <c r="E276">
        <v>595.471</v>
      </c>
      <c r="F276">
        <v>0</v>
      </c>
      <c r="G276" s="2043">
        <v>0</v>
      </c>
      <c r="H276">
        <v>0</v>
      </c>
      <c r="I276" s="2043">
        <v>0</v>
      </c>
      <c r="J276">
        <v>32</v>
      </c>
      <c r="K276">
        <v>87</v>
      </c>
      <c r="L276">
        <v>0</v>
      </c>
      <c r="M276">
        <v>0</v>
      </c>
      <c r="N276">
        <v>0</v>
      </c>
      <c r="O276">
        <v>0</v>
      </c>
      <c r="P276">
        <v>0</v>
      </c>
      <c r="Q276">
        <v>0</v>
      </c>
      <c r="R276" s="2043">
        <v>0</v>
      </c>
      <c r="S276">
        <v>0</v>
      </c>
      <c r="T276">
        <v>0</v>
      </c>
      <c r="U276">
        <v>0</v>
      </c>
      <c r="V276">
        <v>0</v>
      </c>
      <c r="W276">
        <v>0</v>
      </c>
      <c r="X276">
        <v>0</v>
      </c>
      <c r="Y276">
        <v>155084</v>
      </c>
      <c r="Z276">
        <v>0</v>
      </c>
      <c r="AA276">
        <v>0</v>
      </c>
      <c r="AB276">
        <v>880.76300000000003</v>
      </c>
      <c r="AC276" s="2043">
        <v>0</v>
      </c>
      <c r="AD276">
        <v>0</v>
      </c>
      <c r="AE276" s="2043">
        <v>0</v>
      </c>
      <c r="AF276">
        <v>0</v>
      </c>
      <c r="AG276">
        <v>0</v>
      </c>
      <c r="AH276">
        <v>0</v>
      </c>
      <c r="AI276">
        <v>0</v>
      </c>
      <c r="AJ276">
        <v>228.32500000000002</v>
      </c>
      <c r="AK276">
        <v>2451</v>
      </c>
      <c r="AL276">
        <v>0</v>
      </c>
      <c r="AM276">
        <v>0</v>
      </c>
      <c r="AN276">
        <v>69.597999999999999</v>
      </c>
      <c r="AO276">
        <v>0</v>
      </c>
      <c r="AP276">
        <v>0</v>
      </c>
      <c r="AQ276">
        <v>0</v>
      </c>
      <c r="AR276">
        <v>4.2640000000000002</v>
      </c>
      <c r="AS276">
        <v>0</v>
      </c>
      <c r="AT276">
        <v>0</v>
      </c>
      <c r="AU276">
        <v>3.0790000000000002</v>
      </c>
      <c r="AV276">
        <v>0</v>
      </c>
      <c r="AW276">
        <v>7.343</v>
      </c>
      <c r="AX276">
        <v>0</v>
      </c>
      <c r="AY276">
        <v>28.187000000000001</v>
      </c>
      <c r="AZ276">
        <v>0</v>
      </c>
      <c r="BA276">
        <v>10470799</v>
      </c>
      <c r="BB276">
        <v>0</v>
      </c>
      <c r="BC276">
        <v>0</v>
      </c>
      <c r="BD276">
        <v>0</v>
      </c>
      <c r="BE276">
        <v>0</v>
      </c>
      <c r="BF276">
        <v>0</v>
      </c>
      <c r="BG276">
        <v>0</v>
      </c>
      <c r="BH276">
        <v>0</v>
      </c>
      <c r="BI276">
        <v>0</v>
      </c>
      <c r="BJ276">
        <v>0</v>
      </c>
      <c r="BK276">
        <v>0</v>
      </c>
      <c r="BL276">
        <v>0</v>
      </c>
      <c r="BM276">
        <v>0</v>
      </c>
      <c r="BN276">
        <v>0</v>
      </c>
      <c r="BO276">
        <v>0</v>
      </c>
      <c r="BP276">
        <v>54156</v>
      </c>
      <c r="BQ276">
        <v>0</v>
      </c>
      <c r="BR276">
        <v>0</v>
      </c>
      <c r="BS276">
        <v>0</v>
      </c>
      <c r="BT276">
        <v>0</v>
      </c>
      <c r="BU276">
        <v>0</v>
      </c>
      <c r="BV276">
        <v>52</v>
      </c>
      <c r="BW276">
        <v>77</v>
      </c>
      <c r="BX276">
        <v>152</v>
      </c>
      <c r="BY276">
        <v>329</v>
      </c>
      <c r="BZ276">
        <v>269</v>
      </c>
      <c r="CA276">
        <v>879</v>
      </c>
      <c r="CB276">
        <v>0</v>
      </c>
      <c r="CC276">
        <v>0</v>
      </c>
      <c r="CD276">
        <v>0</v>
      </c>
      <c r="CE276">
        <v>20</v>
      </c>
      <c r="CF276">
        <v>546.28399999999999</v>
      </c>
      <c r="CG276">
        <v>0</v>
      </c>
      <c r="CH276">
        <v>0</v>
      </c>
      <c r="CI276">
        <v>0</v>
      </c>
      <c r="CJ276">
        <v>0</v>
      </c>
      <c r="CK276">
        <v>0</v>
      </c>
      <c r="CL276">
        <v>0</v>
      </c>
      <c r="CM276">
        <v>595.471</v>
      </c>
      <c r="CN276">
        <v>0</v>
      </c>
      <c r="CO276">
        <v>27078</v>
      </c>
      <c r="CP276">
        <v>27078</v>
      </c>
      <c r="CQ276">
        <v>0</v>
      </c>
      <c r="CR276">
        <v>0</v>
      </c>
      <c r="CS276">
        <v>0</v>
      </c>
      <c r="CT276">
        <v>0</v>
      </c>
      <c r="CU276">
        <v>0</v>
      </c>
      <c r="CV276">
        <v>0</v>
      </c>
      <c r="CW276">
        <v>0</v>
      </c>
      <c r="CX276">
        <v>0</v>
      </c>
      <c r="CY276" s="2043">
        <v>0</v>
      </c>
      <c r="CZ276" s="2043">
        <v>0</v>
      </c>
      <c r="DA276" s="2043">
        <v>0</v>
      </c>
      <c r="DB276" s="2043">
        <v>0</v>
      </c>
      <c r="DC276" s="2043">
        <v>0</v>
      </c>
      <c r="DI276" t="s">
        <v>7971</v>
      </c>
      <c r="DJ276" t="s">
        <v>7973</v>
      </c>
      <c r="DK276" s="2042">
        <f t="shared" si="6"/>
        <v>-4</v>
      </c>
    </row>
    <row r="277" spans="1:115">
      <c r="A277" t="s">
        <v>7971</v>
      </c>
      <c r="B277" t="s">
        <v>11288</v>
      </c>
      <c r="C277">
        <v>1363.53</v>
      </c>
      <c r="D277">
        <v>1403.085</v>
      </c>
      <c r="E277">
        <v>640.178</v>
      </c>
      <c r="F277">
        <v>0</v>
      </c>
      <c r="G277" s="2043">
        <v>0</v>
      </c>
      <c r="H277">
        <v>0</v>
      </c>
      <c r="I277" s="2043">
        <v>0</v>
      </c>
      <c r="J277">
        <v>23</v>
      </c>
      <c r="K277">
        <v>63</v>
      </c>
      <c r="L277">
        <v>0</v>
      </c>
      <c r="M277">
        <v>0</v>
      </c>
      <c r="N277">
        <v>0</v>
      </c>
      <c r="O277">
        <v>0</v>
      </c>
      <c r="P277">
        <v>0</v>
      </c>
      <c r="Q277">
        <v>0</v>
      </c>
      <c r="R277" s="2043">
        <v>0</v>
      </c>
      <c r="S277">
        <v>0</v>
      </c>
      <c r="T277">
        <v>0</v>
      </c>
      <c r="U277">
        <v>0</v>
      </c>
      <c r="V277">
        <v>0</v>
      </c>
      <c r="W277">
        <v>0</v>
      </c>
      <c r="X277">
        <v>0</v>
      </c>
      <c r="Y277">
        <v>241048</v>
      </c>
      <c r="Z277">
        <v>0</v>
      </c>
      <c r="AA277">
        <v>0</v>
      </c>
      <c r="AB277">
        <v>1358.7080000000001</v>
      </c>
      <c r="AC277" s="2043">
        <v>0</v>
      </c>
      <c r="AD277">
        <v>0</v>
      </c>
      <c r="AE277" s="2043">
        <v>0</v>
      </c>
      <c r="AF277">
        <v>0</v>
      </c>
      <c r="AG277">
        <v>0</v>
      </c>
      <c r="AH277">
        <v>0</v>
      </c>
      <c r="AI277">
        <v>0</v>
      </c>
      <c r="AJ277">
        <v>401.47500000000002</v>
      </c>
      <c r="AK277">
        <v>3281</v>
      </c>
      <c r="AL277">
        <v>0</v>
      </c>
      <c r="AM277">
        <v>0</v>
      </c>
      <c r="AN277">
        <v>15.611000000000001</v>
      </c>
      <c r="AO277">
        <v>0</v>
      </c>
      <c r="AP277">
        <v>0</v>
      </c>
      <c r="AQ277">
        <v>0</v>
      </c>
      <c r="AR277">
        <v>35.36</v>
      </c>
      <c r="AS277">
        <v>0</v>
      </c>
      <c r="AT277">
        <v>4.1829999999999998</v>
      </c>
      <c r="AU277">
        <v>1.659</v>
      </c>
      <c r="AV277">
        <v>0</v>
      </c>
      <c r="AW277">
        <v>41.202000000000005</v>
      </c>
      <c r="AX277">
        <v>0</v>
      </c>
      <c r="AY277">
        <v>126.92400000000001</v>
      </c>
      <c r="AZ277">
        <v>0</v>
      </c>
      <c r="BA277">
        <v>15972236</v>
      </c>
      <c r="BB277">
        <v>0</v>
      </c>
      <c r="BC277">
        <v>0</v>
      </c>
      <c r="BD277">
        <v>0</v>
      </c>
      <c r="BE277">
        <v>0</v>
      </c>
      <c r="BF277">
        <v>0</v>
      </c>
      <c r="BG277">
        <v>0</v>
      </c>
      <c r="BH277">
        <v>0</v>
      </c>
      <c r="BI277">
        <v>0</v>
      </c>
      <c r="BJ277">
        <v>0</v>
      </c>
      <c r="BK277">
        <v>0</v>
      </c>
      <c r="BL277">
        <v>0</v>
      </c>
      <c r="BM277">
        <v>0</v>
      </c>
      <c r="BN277">
        <v>1458</v>
      </c>
      <c r="BO277">
        <v>0</v>
      </c>
      <c r="BP277">
        <v>0</v>
      </c>
      <c r="BQ277">
        <v>0</v>
      </c>
      <c r="BR277">
        <v>0</v>
      </c>
      <c r="BS277">
        <v>0</v>
      </c>
      <c r="BT277">
        <v>0</v>
      </c>
      <c r="BU277">
        <v>0</v>
      </c>
      <c r="BV277">
        <v>146</v>
      </c>
      <c r="BW277">
        <v>196</v>
      </c>
      <c r="BX277">
        <v>232</v>
      </c>
      <c r="BY277">
        <v>500</v>
      </c>
      <c r="BZ277">
        <v>483</v>
      </c>
      <c r="CA277">
        <v>1557</v>
      </c>
      <c r="CB277">
        <v>0</v>
      </c>
      <c r="CC277">
        <v>0</v>
      </c>
      <c r="CD277">
        <v>0</v>
      </c>
      <c r="CE277">
        <v>1</v>
      </c>
      <c r="CF277">
        <v>895.87</v>
      </c>
      <c r="CG277">
        <v>0</v>
      </c>
      <c r="CH277">
        <v>0</v>
      </c>
      <c r="CI277">
        <v>0</v>
      </c>
      <c r="CJ277">
        <v>0</v>
      </c>
      <c r="CK277">
        <v>0</v>
      </c>
      <c r="CL277">
        <v>0</v>
      </c>
      <c r="CM277">
        <v>640.178</v>
      </c>
      <c r="CN277">
        <v>0</v>
      </c>
      <c r="CO277">
        <v>0</v>
      </c>
      <c r="CP277">
        <v>0</v>
      </c>
      <c r="CQ277">
        <v>0</v>
      </c>
      <c r="CR277">
        <v>0</v>
      </c>
      <c r="CS277">
        <v>0</v>
      </c>
      <c r="CT277">
        <v>0</v>
      </c>
      <c r="CU277">
        <v>0.25600000000000001</v>
      </c>
      <c r="CV277">
        <v>25.251000000000001</v>
      </c>
      <c r="CW277">
        <v>3.399</v>
      </c>
      <c r="CX277">
        <v>0</v>
      </c>
      <c r="CY277" s="2043">
        <v>0</v>
      </c>
      <c r="CZ277" s="2043">
        <v>0</v>
      </c>
      <c r="DA277" s="2043">
        <v>0</v>
      </c>
      <c r="DB277" s="2043">
        <v>0</v>
      </c>
      <c r="DC277" s="2043">
        <v>0</v>
      </c>
      <c r="DI277" t="s">
        <v>7972</v>
      </c>
      <c r="DJ277" t="s">
        <v>7971</v>
      </c>
      <c r="DK277" s="2042">
        <f t="shared" si="6"/>
        <v>1</v>
      </c>
    </row>
    <row r="278" spans="1:115">
      <c r="A278" t="s">
        <v>7972</v>
      </c>
      <c r="B278" t="s">
        <v>11289</v>
      </c>
      <c r="C278">
        <v>298.34700000000004</v>
      </c>
      <c r="D278">
        <v>310.70699999999999</v>
      </c>
      <c r="E278">
        <v>0</v>
      </c>
      <c r="F278">
        <v>0</v>
      </c>
      <c r="G278" s="2043">
        <v>0</v>
      </c>
      <c r="H278">
        <v>0</v>
      </c>
      <c r="I278" s="2043">
        <v>0</v>
      </c>
      <c r="J278">
        <v>14.917000000000002</v>
      </c>
      <c r="K278">
        <v>41</v>
      </c>
      <c r="L278">
        <v>0</v>
      </c>
      <c r="M278">
        <v>0</v>
      </c>
      <c r="N278">
        <v>0</v>
      </c>
      <c r="O278">
        <v>0</v>
      </c>
      <c r="P278">
        <v>0</v>
      </c>
      <c r="Q278">
        <v>0</v>
      </c>
      <c r="R278" s="2043">
        <v>0</v>
      </c>
      <c r="S278">
        <v>0</v>
      </c>
      <c r="T278">
        <v>0</v>
      </c>
      <c r="U278">
        <v>0</v>
      </c>
      <c r="V278">
        <v>0</v>
      </c>
      <c r="W278">
        <v>0</v>
      </c>
      <c r="X278">
        <v>0</v>
      </c>
      <c r="Y278">
        <v>52742</v>
      </c>
      <c r="Z278">
        <v>0</v>
      </c>
      <c r="AA278">
        <v>0</v>
      </c>
      <c r="AB278">
        <v>310.70699999999999</v>
      </c>
      <c r="AC278" s="2043">
        <v>0</v>
      </c>
      <c r="AD278">
        <v>0</v>
      </c>
      <c r="AE278" s="2043">
        <v>0</v>
      </c>
      <c r="AF278">
        <v>0</v>
      </c>
      <c r="AG278">
        <v>0</v>
      </c>
      <c r="AH278">
        <v>0</v>
      </c>
      <c r="AI278">
        <v>0</v>
      </c>
      <c r="AJ278">
        <v>75.988</v>
      </c>
      <c r="AK278">
        <v>1008</v>
      </c>
      <c r="AL278">
        <v>0</v>
      </c>
      <c r="AM278">
        <v>0</v>
      </c>
      <c r="AN278">
        <v>14.187000000000001</v>
      </c>
      <c r="AO278">
        <v>0</v>
      </c>
      <c r="AP278">
        <v>0</v>
      </c>
      <c r="AQ278">
        <v>0</v>
      </c>
      <c r="AR278">
        <v>8.2650000000000006</v>
      </c>
      <c r="AS278">
        <v>0</v>
      </c>
      <c r="AT278">
        <v>0.876</v>
      </c>
      <c r="AU278">
        <v>0.154</v>
      </c>
      <c r="AV278">
        <v>0</v>
      </c>
      <c r="AW278">
        <v>9.2949999999999999</v>
      </c>
      <c r="AX278">
        <v>0</v>
      </c>
      <c r="AY278">
        <v>28.193000000000001</v>
      </c>
      <c r="AZ278">
        <v>0</v>
      </c>
      <c r="BA278">
        <v>3360758</v>
      </c>
      <c r="BB278">
        <v>0</v>
      </c>
      <c r="BC278">
        <v>0</v>
      </c>
      <c r="BD278">
        <v>0</v>
      </c>
      <c r="BE278">
        <v>0</v>
      </c>
      <c r="BF278">
        <v>0</v>
      </c>
      <c r="BG278">
        <v>0</v>
      </c>
      <c r="BH278">
        <v>0</v>
      </c>
      <c r="BI278">
        <v>0</v>
      </c>
      <c r="BJ278">
        <v>0</v>
      </c>
      <c r="BK278">
        <v>0</v>
      </c>
      <c r="BL278">
        <v>0</v>
      </c>
      <c r="BM278">
        <v>0</v>
      </c>
      <c r="BN278">
        <v>0</v>
      </c>
      <c r="BO278">
        <v>0</v>
      </c>
      <c r="BP278">
        <v>13333</v>
      </c>
      <c r="BQ278">
        <v>0</v>
      </c>
      <c r="BR278">
        <v>0</v>
      </c>
      <c r="BS278">
        <v>0</v>
      </c>
      <c r="BT278">
        <v>0</v>
      </c>
      <c r="BU278">
        <v>0</v>
      </c>
      <c r="BV278">
        <v>42</v>
      </c>
      <c r="BW278">
        <v>30</v>
      </c>
      <c r="BX278">
        <v>33</v>
      </c>
      <c r="BY278">
        <v>43</v>
      </c>
      <c r="BZ278">
        <v>145</v>
      </c>
      <c r="CA278">
        <v>293</v>
      </c>
      <c r="CB278">
        <v>0</v>
      </c>
      <c r="CC278">
        <v>0</v>
      </c>
      <c r="CD278">
        <v>0</v>
      </c>
      <c r="CE278">
        <v>5</v>
      </c>
      <c r="CF278">
        <v>126.268</v>
      </c>
      <c r="CG278">
        <v>0</v>
      </c>
      <c r="CH278">
        <v>0</v>
      </c>
      <c r="CI278">
        <v>0</v>
      </c>
      <c r="CJ278">
        <v>0</v>
      </c>
      <c r="CK278">
        <v>0</v>
      </c>
      <c r="CL278">
        <v>0</v>
      </c>
      <c r="CM278">
        <v>0</v>
      </c>
      <c r="CN278">
        <v>0</v>
      </c>
      <c r="CO278">
        <v>13333</v>
      </c>
      <c r="CP278">
        <v>0</v>
      </c>
      <c r="CQ278">
        <v>0</v>
      </c>
      <c r="CR278">
        <v>0</v>
      </c>
      <c r="CS278">
        <v>0</v>
      </c>
      <c r="CT278">
        <v>0</v>
      </c>
      <c r="CU278">
        <v>0</v>
      </c>
      <c r="CV278">
        <v>0</v>
      </c>
      <c r="CW278">
        <v>0</v>
      </c>
      <c r="CX278">
        <v>0</v>
      </c>
      <c r="CY278" s="2043">
        <v>0</v>
      </c>
      <c r="CZ278" s="2043">
        <v>0</v>
      </c>
      <c r="DA278" s="2043">
        <v>0</v>
      </c>
      <c r="DB278" s="2043">
        <v>0</v>
      </c>
      <c r="DC278" s="2043">
        <v>0</v>
      </c>
      <c r="DI278" t="s">
        <v>7973</v>
      </c>
      <c r="DJ278" t="s">
        <v>7972</v>
      </c>
      <c r="DK278" s="2042">
        <f t="shared" si="6"/>
        <v>3</v>
      </c>
    </row>
    <row r="279" spans="1:115">
      <c r="A279" t="s">
        <v>7974</v>
      </c>
      <c r="B279" t="s">
        <v>11290</v>
      </c>
      <c r="C279">
        <v>323.63600000000002</v>
      </c>
      <c r="D279">
        <v>468.82800000000003</v>
      </c>
      <c r="E279">
        <v>21.536000000000001</v>
      </c>
      <c r="F279">
        <v>0</v>
      </c>
      <c r="G279" s="2043">
        <v>0</v>
      </c>
      <c r="H279">
        <v>0</v>
      </c>
      <c r="I279" s="2043">
        <v>0</v>
      </c>
      <c r="J279">
        <v>0</v>
      </c>
      <c r="K279">
        <v>0</v>
      </c>
      <c r="L279">
        <v>0</v>
      </c>
      <c r="M279">
        <v>0</v>
      </c>
      <c r="N279">
        <v>0</v>
      </c>
      <c r="O279">
        <v>0</v>
      </c>
      <c r="P279">
        <v>0</v>
      </c>
      <c r="Q279">
        <v>0</v>
      </c>
      <c r="R279" s="2043">
        <v>0</v>
      </c>
      <c r="S279">
        <v>0</v>
      </c>
      <c r="T279">
        <v>0</v>
      </c>
      <c r="U279">
        <v>0</v>
      </c>
      <c r="V279">
        <v>0</v>
      </c>
      <c r="W279">
        <v>0</v>
      </c>
      <c r="X279">
        <v>0</v>
      </c>
      <c r="Y279">
        <v>57213</v>
      </c>
      <c r="Z279">
        <v>0</v>
      </c>
      <c r="AA279">
        <v>0</v>
      </c>
      <c r="AB279">
        <v>468.82800000000003</v>
      </c>
      <c r="AC279" s="2043">
        <v>0</v>
      </c>
      <c r="AD279">
        <v>0</v>
      </c>
      <c r="AE279" s="2043">
        <v>0</v>
      </c>
      <c r="AF279">
        <v>0</v>
      </c>
      <c r="AG279">
        <v>0</v>
      </c>
      <c r="AH279">
        <v>0</v>
      </c>
      <c r="AI279">
        <v>0</v>
      </c>
      <c r="AJ279">
        <v>2.488</v>
      </c>
      <c r="AK279">
        <v>0</v>
      </c>
      <c r="AL279">
        <v>0</v>
      </c>
      <c r="AM279">
        <v>0</v>
      </c>
      <c r="AN279">
        <v>0</v>
      </c>
      <c r="AO279">
        <v>0</v>
      </c>
      <c r="AP279">
        <v>0</v>
      </c>
      <c r="AQ279">
        <v>0</v>
      </c>
      <c r="AR279">
        <v>0</v>
      </c>
      <c r="AS279">
        <v>0</v>
      </c>
      <c r="AT279">
        <v>0</v>
      </c>
      <c r="AU279">
        <v>0</v>
      </c>
      <c r="AV279">
        <v>0</v>
      </c>
      <c r="AW279">
        <v>0</v>
      </c>
      <c r="AX279">
        <v>0</v>
      </c>
      <c r="AY279">
        <v>0</v>
      </c>
      <c r="AZ279">
        <v>0</v>
      </c>
      <c r="BA279">
        <v>3539723</v>
      </c>
      <c r="BB279">
        <v>0</v>
      </c>
      <c r="BC279">
        <v>0</v>
      </c>
      <c r="BD279">
        <v>0</v>
      </c>
      <c r="BE279">
        <v>0</v>
      </c>
      <c r="BF279">
        <v>0</v>
      </c>
      <c r="BG279">
        <v>0</v>
      </c>
      <c r="BH279">
        <v>0</v>
      </c>
      <c r="BI279">
        <v>0</v>
      </c>
      <c r="BJ279">
        <v>0</v>
      </c>
      <c r="BK279">
        <v>0</v>
      </c>
      <c r="BL279">
        <v>0</v>
      </c>
      <c r="BM279">
        <v>0</v>
      </c>
      <c r="BN279">
        <v>0</v>
      </c>
      <c r="BO279">
        <v>3114</v>
      </c>
      <c r="BP279">
        <v>0</v>
      </c>
      <c r="BQ279">
        <v>0</v>
      </c>
      <c r="BR279">
        <v>0</v>
      </c>
      <c r="BS279">
        <v>0</v>
      </c>
      <c r="BT279">
        <v>0</v>
      </c>
      <c r="BU279">
        <v>0</v>
      </c>
      <c r="BV279">
        <v>3</v>
      </c>
      <c r="BW279">
        <v>2</v>
      </c>
      <c r="BX279">
        <v>0</v>
      </c>
      <c r="BY279">
        <v>3</v>
      </c>
      <c r="BZ279">
        <v>2</v>
      </c>
      <c r="CA279">
        <v>10</v>
      </c>
      <c r="CB279">
        <v>0</v>
      </c>
      <c r="CC279">
        <v>0</v>
      </c>
      <c r="CD279">
        <v>0</v>
      </c>
      <c r="CE279">
        <v>4</v>
      </c>
      <c r="CF279">
        <v>0</v>
      </c>
      <c r="CG279">
        <v>0</v>
      </c>
      <c r="CH279">
        <v>0</v>
      </c>
      <c r="CI279">
        <v>21</v>
      </c>
      <c r="CJ279">
        <v>112</v>
      </c>
      <c r="CK279">
        <v>0</v>
      </c>
      <c r="CL279">
        <v>0</v>
      </c>
      <c r="CM279">
        <v>21.536000000000001</v>
      </c>
      <c r="CN279">
        <v>0</v>
      </c>
      <c r="CO279">
        <v>0</v>
      </c>
      <c r="CP279">
        <v>0</v>
      </c>
      <c r="CQ279">
        <v>0</v>
      </c>
      <c r="CR279">
        <v>0</v>
      </c>
      <c r="CS279">
        <v>0</v>
      </c>
      <c r="CT279">
        <v>0</v>
      </c>
      <c r="CU279">
        <v>7.4940000000000007</v>
      </c>
      <c r="CV279">
        <v>10.575000000000001</v>
      </c>
      <c r="CW279">
        <v>71.496000000000009</v>
      </c>
      <c r="CX279">
        <v>0</v>
      </c>
      <c r="CY279" s="2043">
        <v>0</v>
      </c>
      <c r="CZ279" s="2043">
        <v>0</v>
      </c>
      <c r="DA279" s="2043">
        <v>0</v>
      </c>
      <c r="DB279" s="2043">
        <v>0</v>
      </c>
      <c r="DC279" s="2043">
        <v>0</v>
      </c>
      <c r="DI279" t="s">
        <v>7974</v>
      </c>
      <c r="DJ279" t="s">
        <v>7974</v>
      </c>
      <c r="DK279" s="2042">
        <f t="shared" si="6"/>
        <v>0</v>
      </c>
    </row>
    <row r="280" spans="1:115">
      <c r="A280" t="s">
        <v>7975</v>
      </c>
      <c r="B280" t="s">
        <v>11291</v>
      </c>
      <c r="C280">
        <v>1070.472</v>
      </c>
      <c r="D280">
        <v>1144.5830000000001</v>
      </c>
      <c r="E280">
        <v>593.71800000000007</v>
      </c>
      <c r="F280">
        <v>0</v>
      </c>
      <c r="G280" s="2043">
        <v>0</v>
      </c>
      <c r="H280">
        <v>0</v>
      </c>
      <c r="I280" s="2043">
        <v>0</v>
      </c>
      <c r="J280">
        <v>0</v>
      </c>
      <c r="K280">
        <v>0</v>
      </c>
      <c r="L280">
        <v>0</v>
      </c>
      <c r="M280">
        <v>0</v>
      </c>
      <c r="N280">
        <v>0</v>
      </c>
      <c r="O280">
        <v>0</v>
      </c>
      <c r="P280">
        <v>0</v>
      </c>
      <c r="Q280">
        <v>0</v>
      </c>
      <c r="R280" s="2043">
        <v>0</v>
      </c>
      <c r="S280">
        <v>0</v>
      </c>
      <c r="T280">
        <v>0</v>
      </c>
      <c r="U280">
        <v>0</v>
      </c>
      <c r="V280">
        <v>99.67</v>
      </c>
      <c r="W280">
        <v>0</v>
      </c>
      <c r="X280">
        <v>0</v>
      </c>
      <c r="Y280">
        <v>189240</v>
      </c>
      <c r="Z280">
        <v>0</v>
      </c>
      <c r="AA280">
        <v>0</v>
      </c>
      <c r="AB280">
        <v>1049.2240000000002</v>
      </c>
      <c r="AC280" s="2043">
        <v>0</v>
      </c>
      <c r="AD280">
        <v>0</v>
      </c>
      <c r="AE280" s="2043">
        <v>0</v>
      </c>
      <c r="AF280">
        <v>0</v>
      </c>
      <c r="AG280">
        <v>0</v>
      </c>
      <c r="AH280">
        <v>0</v>
      </c>
      <c r="AI280">
        <v>0</v>
      </c>
      <c r="AJ280">
        <v>299</v>
      </c>
      <c r="AK280">
        <v>2941</v>
      </c>
      <c r="AL280">
        <v>0</v>
      </c>
      <c r="AM280">
        <v>0</v>
      </c>
      <c r="AN280">
        <v>61.333000000000006</v>
      </c>
      <c r="AO280">
        <v>0</v>
      </c>
      <c r="AP280">
        <v>0</v>
      </c>
      <c r="AQ280">
        <v>0</v>
      </c>
      <c r="AR280">
        <v>15.162000000000001</v>
      </c>
      <c r="AS280">
        <v>0</v>
      </c>
      <c r="AT280">
        <v>0</v>
      </c>
      <c r="AU280">
        <v>2.7690000000000001</v>
      </c>
      <c r="AV280">
        <v>0</v>
      </c>
      <c r="AW280">
        <v>17.931000000000001</v>
      </c>
      <c r="AX280">
        <v>0</v>
      </c>
      <c r="AY280">
        <v>59.331000000000003</v>
      </c>
      <c r="AZ280">
        <v>0</v>
      </c>
      <c r="BA280">
        <v>12850124</v>
      </c>
      <c r="BB280">
        <v>0</v>
      </c>
      <c r="BC280">
        <v>0</v>
      </c>
      <c r="BD280">
        <v>0</v>
      </c>
      <c r="BE280">
        <v>0</v>
      </c>
      <c r="BF280">
        <v>0</v>
      </c>
      <c r="BG280">
        <v>0</v>
      </c>
      <c r="BH280">
        <v>0</v>
      </c>
      <c r="BI280">
        <v>0</v>
      </c>
      <c r="BJ280">
        <v>0</v>
      </c>
      <c r="BK280">
        <v>0</v>
      </c>
      <c r="BL280">
        <v>0</v>
      </c>
      <c r="BM280">
        <v>0</v>
      </c>
      <c r="BN280">
        <v>0</v>
      </c>
      <c r="BO280">
        <v>0</v>
      </c>
      <c r="BP280">
        <v>21617</v>
      </c>
      <c r="BQ280">
        <v>0</v>
      </c>
      <c r="BR280">
        <v>0</v>
      </c>
      <c r="BS280">
        <v>0</v>
      </c>
      <c r="BT280">
        <v>0</v>
      </c>
      <c r="BU280">
        <v>0</v>
      </c>
      <c r="BV280">
        <v>61</v>
      </c>
      <c r="BW280">
        <v>131</v>
      </c>
      <c r="BX280">
        <v>202</v>
      </c>
      <c r="BY280">
        <v>361</v>
      </c>
      <c r="BZ280">
        <v>396</v>
      </c>
      <c r="CA280">
        <v>1151</v>
      </c>
      <c r="CB280">
        <v>0</v>
      </c>
      <c r="CC280">
        <v>0.68800000000000006</v>
      </c>
      <c r="CD280">
        <v>0</v>
      </c>
      <c r="CE280">
        <v>64</v>
      </c>
      <c r="CF280">
        <v>764.79399999999998</v>
      </c>
      <c r="CG280">
        <v>0</v>
      </c>
      <c r="CH280">
        <v>2.5000000000000001E-2</v>
      </c>
      <c r="CI280">
        <v>0</v>
      </c>
      <c r="CJ280">
        <v>0</v>
      </c>
      <c r="CK280">
        <v>0</v>
      </c>
      <c r="CL280">
        <v>2.5000000000000001E-2</v>
      </c>
      <c r="CM280">
        <v>593.71800000000007</v>
      </c>
      <c r="CN280">
        <v>0</v>
      </c>
      <c r="CO280">
        <v>13764</v>
      </c>
      <c r="CP280">
        <v>6853</v>
      </c>
      <c r="CQ280">
        <v>1000</v>
      </c>
      <c r="CR280">
        <v>0</v>
      </c>
      <c r="CS280">
        <v>0</v>
      </c>
      <c r="CT280">
        <v>0</v>
      </c>
      <c r="CU280">
        <v>0</v>
      </c>
      <c r="CV280">
        <v>0</v>
      </c>
      <c r="CW280">
        <v>0</v>
      </c>
      <c r="CX280">
        <v>0</v>
      </c>
      <c r="CY280" s="2043">
        <v>0</v>
      </c>
      <c r="CZ280" s="2043">
        <v>0</v>
      </c>
      <c r="DA280" s="2043">
        <v>0</v>
      </c>
      <c r="DB280" s="2043">
        <v>0</v>
      </c>
      <c r="DC280" s="2043">
        <v>0</v>
      </c>
      <c r="DI280" t="s">
        <v>7975</v>
      </c>
      <c r="DJ280" t="s">
        <v>7975</v>
      </c>
      <c r="DK280" s="2042">
        <f t="shared" si="6"/>
        <v>0</v>
      </c>
    </row>
    <row r="281" spans="1:115">
      <c r="A281" t="s">
        <v>7976</v>
      </c>
      <c r="B281" t="s">
        <v>11292</v>
      </c>
      <c r="C281">
        <v>485.71000000000004</v>
      </c>
      <c r="D281">
        <v>620.42200000000003</v>
      </c>
      <c r="E281">
        <v>212.93</v>
      </c>
      <c r="F281">
        <v>0</v>
      </c>
      <c r="G281" s="2043">
        <v>0</v>
      </c>
      <c r="H281">
        <v>0</v>
      </c>
      <c r="I281" s="2043">
        <v>0</v>
      </c>
      <c r="J281">
        <v>2</v>
      </c>
      <c r="K281">
        <v>5</v>
      </c>
      <c r="L281">
        <v>0</v>
      </c>
      <c r="M281">
        <v>0</v>
      </c>
      <c r="N281">
        <v>0</v>
      </c>
      <c r="O281">
        <v>0</v>
      </c>
      <c r="P281">
        <v>0</v>
      </c>
      <c r="Q281">
        <v>0</v>
      </c>
      <c r="R281" s="2043">
        <v>0</v>
      </c>
      <c r="S281">
        <v>0</v>
      </c>
      <c r="T281">
        <v>0</v>
      </c>
      <c r="U281">
        <v>0</v>
      </c>
      <c r="V281">
        <v>0</v>
      </c>
      <c r="W281">
        <v>0</v>
      </c>
      <c r="X281">
        <v>0</v>
      </c>
      <c r="Y281">
        <v>85865</v>
      </c>
      <c r="Z281">
        <v>0</v>
      </c>
      <c r="AA281">
        <v>0</v>
      </c>
      <c r="AB281">
        <v>598.26</v>
      </c>
      <c r="AC281" s="2043">
        <v>0</v>
      </c>
      <c r="AD281">
        <v>0</v>
      </c>
      <c r="AE281" s="2043">
        <v>0</v>
      </c>
      <c r="AF281">
        <v>0</v>
      </c>
      <c r="AG281">
        <v>0</v>
      </c>
      <c r="AH281">
        <v>0</v>
      </c>
      <c r="AI281">
        <v>0</v>
      </c>
      <c r="AJ281">
        <v>82.538000000000011</v>
      </c>
      <c r="AK281">
        <v>1174</v>
      </c>
      <c r="AL281">
        <v>0</v>
      </c>
      <c r="AM281">
        <v>0</v>
      </c>
      <c r="AN281">
        <v>1.0030000000000001</v>
      </c>
      <c r="AO281">
        <v>0</v>
      </c>
      <c r="AP281">
        <v>0</v>
      </c>
      <c r="AQ281">
        <v>0</v>
      </c>
      <c r="AR281">
        <v>10.103</v>
      </c>
      <c r="AS281">
        <v>0</v>
      </c>
      <c r="AT281">
        <v>5.6690000000000005</v>
      </c>
      <c r="AU281">
        <v>0.67200000000000004</v>
      </c>
      <c r="AV281">
        <v>0</v>
      </c>
      <c r="AW281">
        <v>16.443999999999999</v>
      </c>
      <c r="AX281">
        <v>0</v>
      </c>
      <c r="AY281">
        <v>50.676000000000002</v>
      </c>
      <c r="AZ281">
        <v>0</v>
      </c>
      <c r="BA281">
        <v>5232004</v>
      </c>
      <c r="BB281">
        <v>0</v>
      </c>
      <c r="BC281">
        <v>0</v>
      </c>
      <c r="BD281">
        <v>50925</v>
      </c>
      <c r="BE281">
        <v>0</v>
      </c>
      <c r="BF281">
        <v>50925</v>
      </c>
      <c r="BG281">
        <v>50925</v>
      </c>
      <c r="BH281">
        <v>0</v>
      </c>
      <c r="BI281">
        <v>0</v>
      </c>
      <c r="BJ281">
        <v>0</v>
      </c>
      <c r="BK281">
        <v>0</v>
      </c>
      <c r="BL281">
        <v>0</v>
      </c>
      <c r="BM281">
        <v>0</v>
      </c>
      <c r="BN281">
        <v>1116</v>
      </c>
      <c r="BO281">
        <v>0</v>
      </c>
      <c r="BP281">
        <v>0</v>
      </c>
      <c r="BQ281">
        <v>0</v>
      </c>
      <c r="BR281">
        <v>0</v>
      </c>
      <c r="BS281">
        <v>0</v>
      </c>
      <c r="BT281">
        <v>0</v>
      </c>
      <c r="BU281">
        <v>0</v>
      </c>
      <c r="BV281">
        <v>50</v>
      </c>
      <c r="BW281">
        <v>88</v>
      </c>
      <c r="BX281">
        <v>53</v>
      </c>
      <c r="BY281">
        <v>109</v>
      </c>
      <c r="BZ281">
        <v>31</v>
      </c>
      <c r="CA281">
        <v>331</v>
      </c>
      <c r="CB281">
        <v>0</v>
      </c>
      <c r="CC281">
        <v>0</v>
      </c>
      <c r="CD281">
        <v>0</v>
      </c>
      <c r="CE281">
        <v>9</v>
      </c>
      <c r="CF281">
        <v>183.41500000000002</v>
      </c>
      <c r="CG281">
        <v>0</v>
      </c>
      <c r="CH281">
        <v>0</v>
      </c>
      <c r="CI281">
        <v>6</v>
      </c>
      <c r="CJ281">
        <v>3</v>
      </c>
      <c r="CK281">
        <v>1</v>
      </c>
      <c r="CL281">
        <v>0</v>
      </c>
      <c r="CM281">
        <v>212.93</v>
      </c>
      <c r="CN281">
        <v>0</v>
      </c>
      <c r="CO281">
        <v>0</v>
      </c>
      <c r="CP281">
        <v>0</v>
      </c>
      <c r="CQ281">
        <v>0</v>
      </c>
      <c r="CR281">
        <v>0</v>
      </c>
      <c r="CS281">
        <v>0</v>
      </c>
      <c r="CT281">
        <v>0</v>
      </c>
      <c r="CU281">
        <v>0</v>
      </c>
      <c r="CV281">
        <v>0.88500000000000001</v>
      </c>
      <c r="CW281">
        <v>0.253</v>
      </c>
      <c r="CX281">
        <v>0</v>
      </c>
      <c r="CY281" s="2043">
        <v>0</v>
      </c>
      <c r="CZ281" s="2043">
        <v>0</v>
      </c>
      <c r="DA281" s="2043">
        <v>0</v>
      </c>
      <c r="DB281" s="2043">
        <v>0</v>
      </c>
      <c r="DC281" s="2043">
        <v>0</v>
      </c>
      <c r="DI281" t="s">
        <v>7976</v>
      </c>
      <c r="DJ281" t="s">
        <v>7976</v>
      </c>
      <c r="DK281" s="2042">
        <f t="shared" si="6"/>
        <v>0</v>
      </c>
    </row>
    <row r="282" spans="1:115">
      <c r="A282" t="s">
        <v>7979</v>
      </c>
      <c r="B282" t="s">
        <v>11293</v>
      </c>
      <c r="C282">
        <v>1138.614</v>
      </c>
      <c r="D282">
        <v>1257.4750000000001</v>
      </c>
      <c r="E282">
        <v>30.642000000000003</v>
      </c>
      <c r="F282">
        <v>0</v>
      </c>
      <c r="G282" s="2043">
        <v>0</v>
      </c>
      <c r="H282">
        <v>0</v>
      </c>
      <c r="I282" s="2043">
        <v>0</v>
      </c>
      <c r="J282">
        <v>0</v>
      </c>
      <c r="K282">
        <v>0</v>
      </c>
      <c r="L282">
        <v>0</v>
      </c>
      <c r="M282">
        <v>0</v>
      </c>
      <c r="N282">
        <v>0</v>
      </c>
      <c r="O282">
        <v>0</v>
      </c>
      <c r="P282">
        <v>0</v>
      </c>
      <c r="Q282">
        <v>0</v>
      </c>
      <c r="R282" s="2043">
        <v>0</v>
      </c>
      <c r="S282">
        <v>0</v>
      </c>
      <c r="T282">
        <v>0</v>
      </c>
      <c r="U282">
        <v>0</v>
      </c>
      <c r="V282">
        <v>0</v>
      </c>
      <c r="W282">
        <v>0</v>
      </c>
      <c r="X282">
        <v>0</v>
      </c>
      <c r="Y282">
        <v>201287</v>
      </c>
      <c r="Z282">
        <v>0</v>
      </c>
      <c r="AA282">
        <v>0</v>
      </c>
      <c r="AB282">
        <v>1209.566</v>
      </c>
      <c r="AC282" s="2043">
        <v>0</v>
      </c>
      <c r="AD282">
        <v>0</v>
      </c>
      <c r="AE282" s="2043">
        <v>0</v>
      </c>
      <c r="AF282">
        <v>0</v>
      </c>
      <c r="AG282">
        <v>0</v>
      </c>
      <c r="AH282">
        <v>0</v>
      </c>
      <c r="AI282">
        <v>0</v>
      </c>
      <c r="AJ282">
        <v>139.45000000000002</v>
      </c>
      <c r="AK282">
        <v>2332</v>
      </c>
      <c r="AL282">
        <v>0</v>
      </c>
      <c r="AM282">
        <v>0</v>
      </c>
      <c r="AN282">
        <v>35.204999999999998</v>
      </c>
      <c r="AO282">
        <v>0</v>
      </c>
      <c r="AP282">
        <v>0</v>
      </c>
      <c r="AQ282">
        <v>0</v>
      </c>
      <c r="AR282">
        <v>15.305000000000001</v>
      </c>
      <c r="AS282">
        <v>0</v>
      </c>
      <c r="AT282">
        <v>2.335</v>
      </c>
      <c r="AU282">
        <v>1.917</v>
      </c>
      <c r="AV282">
        <v>0</v>
      </c>
      <c r="AW282">
        <v>19.557000000000002</v>
      </c>
      <c r="AX282">
        <v>0</v>
      </c>
      <c r="AY282">
        <v>62.505000000000003</v>
      </c>
      <c r="AZ282">
        <v>0</v>
      </c>
      <c r="BA282">
        <v>11804396</v>
      </c>
      <c r="BB282">
        <v>0</v>
      </c>
      <c r="BC282">
        <v>0</v>
      </c>
      <c r="BD282">
        <v>0</v>
      </c>
      <c r="BE282">
        <v>0</v>
      </c>
      <c r="BF282">
        <v>0</v>
      </c>
      <c r="BG282">
        <v>0</v>
      </c>
      <c r="BH282">
        <v>0</v>
      </c>
      <c r="BI282">
        <v>0</v>
      </c>
      <c r="BJ282">
        <v>0</v>
      </c>
      <c r="BK282">
        <v>0</v>
      </c>
      <c r="BL282">
        <v>0</v>
      </c>
      <c r="BM282">
        <v>0</v>
      </c>
      <c r="BN282">
        <v>3429</v>
      </c>
      <c r="BO282">
        <v>2675</v>
      </c>
      <c r="BP282">
        <v>0</v>
      </c>
      <c r="BQ282">
        <v>0</v>
      </c>
      <c r="BR282">
        <v>0</v>
      </c>
      <c r="BS282">
        <v>0</v>
      </c>
      <c r="BT282">
        <v>0</v>
      </c>
      <c r="BU282">
        <v>0</v>
      </c>
      <c r="BV282">
        <v>178</v>
      </c>
      <c r="BW282">
        <v>144</v>
      </c>
      <c r="BX282">
        <v>79</v>
      </c>
      <c r="BY282">
        <v>126</v>
      </c>
      <c r="BZ282">
        <v>45</v>
      </c>
      <c r="CA282">
        <v>572</v>
      </c>
      <c r="CB282">
        <v>0</v>
      </c>
      <c r="CC282">
        <v>0</v>
      </c>
      <c r="CD282">
        <v>0</v>
      </c>
      <c r="CE282">
        <v>56</v>
      </c>
      <c r="CF282">
        <v>209.79900000000001</v>
      </c>
      <c r="CG282">
        <v>0</v>
      </c>
      <c r="CH282">
        <v>0</v>
      </c>
      <c r="CI282">
        <v>0</v>
      </c>
      <c r="CJ282">
        <v>11</v>
      </c>
      <c r="CK282">
        <v>0</v>
      </c>
      <c r="CL282">
        <v>0</v>
      </c>
      <c r="CM282">
        <v>30.642000000000003</v>
      </c>
      <c r="CN282">
        <v>0</v>
      </c>
      <c r="CO282">
        <v>0</v>
      </c>
      <c r="CP282">
        <v>0</v>
      </c>
      <c r="CQ282">
        <v>0</v>
      </c>
      <c r="CR282">
        <v>0</v>
      </c>
      <c r="CS282">
        <v>0</v>
      </c>
      <c r="CT282">
        <v>0</v>
      </c>
      <c r="CU282">
        <v>0</v>
      </c>
      <c r="CV282">
        <v>52.670999999999999</v>
      </c>
      <c r="CW282">
        <v>108.05200000000001</v>
      </c>
      <c r="CX282">
        <v>0</v>
      </c>
      <c r="CY282" s="2043">
        <v>0</v>
      </c>
      <c r="CZ282" s="2043">
        <v>0</v>
      </c>
      <c r="DA282" s="2043">
        <v>0</v>
      </c>
      <c r="DB282" s="2043">
        <v>0</v>
      </c>
      <c r="DC282" s="2043">
        <v>0</v>
      </c>
      <c r="DI282" t="s">
        <v>7977</v>
      </c>
      <c r="DJ282" t="s">
        <v>7979</v>
      </c>
      <c r="DK282" s="2042">
        <f t="shared" si="6"/>
        <v>-2</v>
      </c>
    </row>
    <row r="283" spans="1:115">
      <c r="A283" t="s">
        <v>7977</v>
      </c>
      <c r="B283" t="s">
        <v>11294</v>
      </c>
      <c r="C283">
        <v>1293.136</v>
      </c>
      <c r="D283">
        <v>1432.433</v>
      </c>
      <c r="E283">
        <v>112.47800000000001</v>
      </c>
      <c r="F283">
        <v>0</v>
      </c>
      <c r="G283" s="2043">
        <v>0</v>
      </c>
      <c r="H283">
        <v>0</v>
      </c>
      <c r="I283" s="2043">
        <v>0</v>
      </c>
      <c r="J283">
        <v>0</v>
      </c>
      <c r="K283">
        <v>0</v>
      </c>
      <c r="L283">
        <v>0</v>
      </c>
      <c r="M283">
        <v>0</v>
      </c>
      <c r="N283">
        <v>0</v>
      </c>
      <c r="O283">
        <v>0</v>
      </c>
      <c r="P283">
        <v>0</v>
      </c>
      <c r="Q283">
        <v>0</v>
      </c>
      <c r="R283" s="2043">
        <v>0</v>
      </c>
      <c r="S283">
        <v>0</v>
      </c>
      <c r="T283">
        <v>0</v>
      </c>
      <c r="U283">
        <v>0</v>
      </c>
      <c r="V283">
        <v>0</v>
      </c>
      <c r="W283">
        <v>0</v>
      </c>
      <c r="X283">
        <v>0</v>
      </c>
      <c r="Y283">
        <v>228603</v>
      </c>
      <c r="Z283">
        <v>0</v>
      </c>
      <c r="AA283">
        <v>0</v>
      </c>
      <c r="AB283">
        <v>1378.546</v>
      </c>
      <c r="AC283" s="2043">
        <v>0</v>
      </c>
      <c r="AD283">
        <v>0</v>
      </c>
      <c r="AE283" s="2043">
        <v>0</v>
      </c>
      <c r="AF283">
        <v>0</v>
      </c>
      <c r="AG283">
        <v>0</v>
      </c>
      <c r="AH283">
        <v>0</v>
      </c>
      <c r="AI283">
        <v>0</v>
      </c>
      <c r="AJ283">
        <v>146.15</v>
      </c>
      <c r="AK283">
        <v>1819</v>
      </c>
      <c r="AL283">
        <v>0</v>
      </c>
      <c r="AM283">
        <v>0</v>
      </c>
      <c r="AN283">
        <v>5.6790000000000003</v>
      </c>
      <c r="AO283">
        <v>0</v>
      </c>
      <c r="AP283">
        <v>0</v>
      </c>
      <c r="AQ283">
        <v>0</v>
      </c>
      <c r="AR283">
        <v>20.872</v>
      </c>
      <c r="AS283">
        <v>0</v>
      </c>
      <c r="AT283">
        <v>0</v>
      </c>
      <c r="AU283">
        <v>2.2360000000000002</v>
      </c>
      <c r="AV283">
        <v>0</v>
      </c>
      <c r="AW283">
        <v>23.108000000000001</v>
      </c>
      <c r="AX283">
        <v>0</v>
      </c>
      <c r="AY283">
        <v>73.796000000000006</v>
      </c>
      <c r="AZ283">
        <v>0</v>
      </c>
      <c r="BA283">
        <v>12579411</v>
      </c>
      <c r="BB283">
        <v>0</v>
      </c>
      <c r="BC283">
        <v>0</v>
      </c>
      <c r="BD283">
        <v>0</v>
      </c>
      <c r="BE283">
        <v>0</v>
      </c>
      <c r="BF283">
        <v>0</v>
      </c>
      <c r="BG283">
        <v>0</v>
      </c>
      <c r="BH283">
        <v>0</v>
      </c>
      <c r="BI283">
        <v>0</v>
      </c>
      <c r="BJ283">
        <v>0</v>
      </c>
      <c r="BK283">
        <v>0</v>
      </c>
      <c r="BL283">
        <v>0</v>
      </c>
      <c r="BM283">
        <v>0</v>
      </c>
      <c r="BN283">
        <v>3762</v>
      </c>
      <c r="BO283">
        <v>139</v>
      </c>
      <c r="BP283">
        <v>0</v>
      </c>
      <c r="BQ283">
        <v>0</v>
      </c>
      <c r="BR283">
        <v>0</v>
      </c>
      <c r="BS283">
        <v>0</v>
      </c>
      <c r="BT283">
        <v>0</v>
      </c>
      <c r="BU283">
        <v>0</v>
      </c>
      <c r="BV283">
        <v>123</v>
      </c>
      <c r="BW283">
        <v>118</v>
      </c>
      <c r="BX283">
        <v>118</v>
      </c>
      <c r="BY283">
        <v>140</v>
      </c>
      <c r="BZ283">
        <v>88</v>
      </c>
      <c r="CA283">
        <v>587</v>
      </c>
      <c r="CB283">
        <v>0</v>
      </c>
      <c r="CC283">
        <v>0</v>
      </c>
      <c r="CD283">
        <v>0</v>
      </c>
      <c r="CE283">
        <v>73</v>
      </c>
      <c r="CF283">
        <v>261.02500000000003</v>
      </c>
      <c r="CG283">
        <v>0</v>
      </c>
      <c r="CH283">
        <v>0</v>
      </c>
      <c r="CI283">
        <v>0</v>
      </c>
      <c r="CJ283">
        <v>6</v>
      </c>
      <c r="CK283">
        <v>0</v>
      </c>
      <c r="CL283">
        <v>0</v>
      </c>
      <c r="CM283">
        <v>112.47800000000001</v>
      </c>
      <c r="CN283">
        <v>0</v>
      </c>
      <c r="CO283">
        <v>0</v>
      </c>
      <c r="CP283">
        <v>0</v>
      </c>
      <c r="CQ283">
        <v>0</v>
      </c>
      <c r="CR283">
        <v>0</v>
      </c>
      <c r="CS283">
        <v>0</v>
      </c>
      <c r="CT283">
        <v>0</v>
      </c>
      <c r="CU283">
        <v>0</v>
      </c>
      <c r="CV283">
        <v>15.585000000000001</v>
      </c>
      <c r="CW283">
        <v>10.009</v>
      </c>
      <c r="CX283">
        <v>0</v>
      </c>
      <c r="CY283" s="2043">
        <v>0</v>
      </c>
      <c r="CZ283" s="2043">
        <v>0</v>
      </c>
      <c r="DA283" s="2043">
        <v>0</v>
      </c>
      <c r="DB283" s="2043">
        <v>0</v>
      </c>
      <c r="DC283" s="2043">
        <v>0</v>
      </c>
      <c r="DI283" t="s">
        <v>7978</v>
      </c>
      <c r="DJ283" t="s">
        <v>7977</v>
      </c>
      <c r="DK283" s="2042">
        <f t="shared" si="6"/>
        <v>1</v>
      </c>
    </row>
    <row r="284" spans="1:115">
      <c r="A284" t="s">
        <v>7978</v>
      </c>
      <c r="B284" t="s">
        <v>11295</v>
      </c>
      <c r="C284">
        <v>1376.0650000000001</v>
      </c>
      <c r="D284">
        <v>1513.9950000000001</v>
      </c>
      <c r="E284">
        <v>471.18600000000004</v>
      </c>
      <c r="F284">
        <v>0</v>
      </c>
      <c r="G284" s="2043">
        <v>0</v>
      </c>
      <c r="H284">
        <v>0</v>
      </c>
      <c r="I284" s="2043">
        <v>0</v>
      </c>
      <c r="J284">
        <v>68.802999999999997</v>
      </c>
      <c r="K284">
        <v>188</v>
      </c>
      <c r="L284">
        <v>0</v>
      </c>
      <c r="M284">
        <v>0</v>
      </c>
      <c r="N284">
        <v>0</v>
      </c>
      <c r="O284">
        <v>0</v>
      </c>
      <c r="P284">
        <v>0</v>
      </c>
      <c r="Q284">
        <v>0</v>
      </c>
      <c r="R284" s="2043">
        <v>0</v>
      </c>
      <c r="S284">
        <v>0</v>
      </c>
      <c r="T284">
        <v>0</v>
      </c>
      <c r="U284">
        <v>0</v>
      </c>
      <c r="V284">
        <v>0</v>
      </c>
      <c r="W284">
        <v>0</v>
      </c>
      <c r="X284">
        <v>0</v>
      </c>
      <c r="Y284">
        <v>243264</v>
      </c>
      <c r="Z284">
        <v>0</v>
      </c>
      <c r="AA284">
        <v>0</v>
      </c>
      <c r="AB284">
        <v>1463.008</v>
      </c>
      <c r="AC284" s="2043">
        <v>0</v>
      </c>
      <c r="AD284">
        <v>0</v>
      </c>
      <c r="AE284" s="2043">
        <v>0</v>
      </c>
      <c r="AF284">
        <v>0</v>
      </c>
      <c r="AG284">
        <v>0</v>
      </c>
      <c r="AH284">
        <v>0</v>
      </c>
      <c r="AI284">
        <v>0</v>
      </c>
      <c r="AJ284">
        <v>300.75</v>
      </c>
      <c r="AK284">
        <v>2724</v>
      </c>
      <c r="AL284">
        <v>0</v>
      </c>
      <c r="AM284">
        <v>0</v>
      </c>
      <c r="AN284">
        <v>48.119</v>
      </c>
      <c r="AO284">
        <v>0</v>
      </c>
      <c r="AP284">
        <v>0</v>
      </c>
      <c r="AQ284">
        <v>0</v>
      </c>
      <c r="AR284">
        <v>18.650000000000002</v>
      </c>
      <c r="AS284">
        <v>0</v>
      </c>
      <c r="AT284">
        <v>0.46800000000000003</v>
      </c>
      <c r="AU284">
        <v>1.518</v>
      </c>
      <c r="AV284">
        <v>0</v>
      </c>
      <c r="AW284">
        <v>20.635999999999999</v>
      </c>
      <c r="AX284">
        <v>0</v>
      </c>
      <c r="AY284">
        <v>64.944000000000003</v>
      </c>
      <c r="AZ284">
        <v>0</v>
      </c>
      <c r="BA284">
        <v>15379285</v>
      </c>
      <c r="BB284">
        <v>0</v>
      </c>
      <c r="BC284">
        <v>0</v>
      </c>
      <c r="BD284">
        <v>0</v>
      </c>
      <c r="BE284">
        <v>0</v>
      </c>
      <c r="BF284">
        <v>0</v>
      </c>
      <c r="BG284">
        <v>0</v>
      </c>
      <c r="BH284">
        <v>0</v>
      </c>
      <c r="BI284">
        <v>0</v>
      </c>
      <c r="BJ284">
        <v>0</v>
      </c>
      <c r="BK284">
        <v>0</v>
      </c>
      <c r="BL284">
        <v>0</v>
      </c>
      <c r="BM284">
        <v>0</v>
      </c>
      <c r="BN284">
        <v>4482</v>
      </c>
      <c r="BO284">
        <v>3617</v>
      </c>
      <c r="BP284">
        <v>12826</v>
      </c>
      <c r="BQ284">
        <v>0</v>
      </c>
      <c r="BR284">
        <v>0</v>
      </c>
      <c r="BS284">
        <v>0</v>
      </c>
      <c r="BT284">
        <v>0</v>
      </c>
      <c r="BU284">
        <v>0</v>
      </c>
      <c r="BV284">
        <v>124</v>
      </c>
      <c r="BW284">
        <v>120</v>
      </c>
      <c r="BX284">
        <v>235</v>
      </c>
      <c r="BY284">
        <v>354</v>
      </c>
      <c r="BZ284">
        <v>337</v>
      </c>
      <c r="CA284">
        <v>1170</v>
      </c>
      <c r="CB284">
        <v>0</v>
      </c>
      <c r="CC284">
        <v>84.444000000000003</v>
      </c>
      <c r="CD284">
        <v>0</v>
      </c>
      <c r="CE284">
        <v>43</v>
      </c>
      <c r="CF284">
        <v>469.923</v>
      </c>
      <c r="CG284">
        <v>0</v>
      </c>
      <c r="CH284">
        <v>0</v>
      </c>
      <c r="CI284">
        <v>0</v>
      </c>
      <c r="CJ284">
        <v>3</v>
      </c>
      <c r="CK284">
        <v>1</v>
      </c>
      <c r="CL284">
        <v>0</v>
      </c>
      <c r="CM284">
        <v>471.18600000000004</v>
      </c>
      <c r="CN284">
        <v>0</v>
      </c>
      <c r="CO284">
        <v>0</v>
      </c>
      <c r="CP284">
        <v>11326</v>
      </c>
      <c r="CQ284">
        <v>1500</v>
      </c>
      <c r="CR284">
        <v>0</v>
      </c>
      <c r="CS284">
        <v>0</v>
      </c>
      <c r="CT284">
        <v>656.30400000000009</v>
      </c>
      <c r="CU284">
        <v>0</v>
      </c>
      <c r="CV284">
        <v>39.834000000000003</v>
      </c>
      <c r="CW284">
        <v>48.038000000000004</v>
      </c>
      <c r="CX284">
        <v>0</v>
      </c>
      <c r="CY284" s="2043">
        <v>0</v>
      </c>
      <c r="CZ284" s="2043">
        <v>0</v>
      </c>
      <c r="DA284" s="2043">
        <v>0</v>
      </c>
      <c r="DB284" s="2043">
        <v>0</v>
      </c>
      <c r="DC284" s="2043">
        <v>0</v>
      </c>
      <c r="DI284" t="s">
        <v>7979</v>
      </c>
      <c r="DJ284" t="s">
        <v>7978</v>
      </c>
      <c r="DK284" s="2042">
        <f t="shared" si="6"/>
        <v>1</v>
      </c>
    </row>
    <row r="285" spans="1:115">
      <c r="A285" t="s">
        <v>7980</v>
      </c>
      <c r="B285" t="s">
        <v>11296</v>
      </c>
      <c r="C285">
        <v>19361.546000000002</v>
      </c>
      <c r="D285">
        <v>20212.772000000001</v>
      </c>
      <c r="E285">
        <v>6153.0660000000007</v>
      </c>
      <c r="F285">
        <v>0</v>
      </c>
      <c r="G285" s="2043">
        <v>0</v>
      </c>
      <c r="H285">
        <v>0</v>
      </c>
      <c r="I285" s="2043">
        <v>0</v>
      </c>
      <c r="J285">
        <v>968.077</v>
      </c>
      <c r="K285">
        <v>2647</v>
      </c>
      <c r="L285">
        <v>0</v>
      </c>
      <c r="M285">
        <v>0</v>
      </c>
      <c r="N285">
        <v>0</v>
      </c>
      <c r="O285">
        <v>0</v>
      </c>
      <c r="P285">
        <v>0</v>
      </c>
      <c r="Q285">
        <v>0</v>
      </c>
      <c r="R285" s="2043">
        <v>0</v>
      </c>
      <c r="S285">
        <v>0</v>
      </c>
      <c r="T285">
        <v>0</v>
      </c>
      <c r="U285">
        <v>0</v>
      </c>
      <c r="V285">
        <v>537.90899999999999</v>
      </c>
      <c r="W285">
        <v>0</v>
      </c>
      <c r="X285">
        <v>0</v>
      </c>
      <c r="Y285">
        <v>3422778</v>
      </c>
      <c r="Z285">
        <v>0</v>
      </c>
      <c r="AA285">
        <v>0.753</v>
      </c>
      <c r="AB285">
        <v>19932.914000000001</v>
      </c>
      <c r="AC285" s="2043">
        <v>0</v>
      </c>
      <c r="AD285">
        <v>0</v>
      </c>
      <c r="AE285" s="2043">
        <v>0</v>
      </c>
      <c r="AF285">
        <v>0</v>
      </c>
      <c r="AG285">
        <v>0</v>
      </c>
      <c r="AH285">
        <v>0</v>
      </c>
      <c r="AI285">
        <v>0</v>
      </c>
      <c r="AJ285">
        <v>3142.2630000000004</v>
      </c>
      <c r="AK285">
        <v>30207</v>
      </c>
      <c r="AL285">
        <v>0.112</v>
      </c>
      <c r="AM285">
        <v>0</v>
      </c>
      <c r="AN285">
        <v>273.11500000000001</v>
      </c>
      <c r="AO285">
        <v>0</v>
      </c>
      <c r="AP285">
        <v>0</v>
      </c>
      <c r="AQ285">
        <v>0</v>
      </c>
      <c r="AR285">
        <v>247.26600000000002</v>
      </c>
      <c r="AS285">
        <v>0</v>
      </c>
      <c r="AT285">
        <v>46.937000000000005</v>
      </c>
      <c r="AU285">
        <v>27.307000000000002</v>
      </c>
      <c r="AV285">
        <v>0</v>
      </c>
      <c r="AW285">
        <v>321.62200000000001</v>
      </c>
      <c r="AX285">
        <v>0</v>
      </c>
      <c r="AY285">
        <v>1019.7040000000001</v>
      </c>
      <c r="AZ285">
        <v>0</v>
      </c>
      <c r="BA285">
        <v>202401955</v>
      </c>
      <c r="BB285">
        <v>0</v>
      </c>
      <c r="BC285">
        <v>0</v>
      </c>
      <c r="BD285">
        <v>7464</v>
      </c>
      <c r="BE285">
        <v>0</v>
      </c>
      <c r="BF285">
        <v>7464</v>
      </c>
      <c r="BG285">
        <v>7464</v>
      </c>
      <c r="BH285">
        <v>0</v>
      </c>
      <c r="BI285">
        <v>0</v>
      </c>
      <c r="BJ285">
        <v>0</v>
      </c>
      <c r="BK285">
        <v>0</v>
      </c>
      <c r="BL285">
        <v>0</v>
      </c>
      <c r="BM285">
        <v>0</v>
      </c>
      <c r="BN285">
        <v>38880</v>
      </c>
      <c r="BO285">
        <v>18575</v>
      </c>
      <c r="BP285">
        <v>207845</v>
      </c>
      <c r="BQ285">
        <v>0</v>
      </c>
      <c r="BR285">
        <v>0</v>
      </c>
      <c r="BS285">
        <v>0</v>
      </c>
      <c r="BT285">
        <v>0</v>
      </c>
      <c r="BU285">
        <v>0</v>
      </c>
      <c r="BV285">
        <v>2635</v>
      </c>
      <c r="BW285">
        <v>2827</v>
      </c>
      <c r="BX285">
        <v>2597</v>
      </c>
      <c r="BY285">
        <v>2308</v>
      </c>
      <c r="BZ285">
        <v>2265</v>
      </c>
      <c r="CA285">
        <v>12632</v>
      </c>
      <c r="CB285">
        <v>0</v>
      </c>
      <c r="CC285">
        <v>200.76600000000002</v>
      </c>
      <c r="CD285">
        <v>432.04300000000001</v>
      </c>
      <c r="CE285">
        <v>619</v>
      </c>
      <c r="CF285">
        <v>6425.6950000000006</v>
      </c>
      <c r="CG285">
        <v>0</v>
      </c>
      <c r="CH285">
        <v>0</v>
      </c>
      <c r="CI285">
        <v>11</v>
      </c>
      <c r="CJ285">
        <v>0</v>
      </c>
      <c r="CK285">
        <v>0</v>
      </c>
      <c r="CL285">
        <v>0</v>
      </c>
      <c r="CM285">
        <v>6153.0660000000007</v>
      </c>
      <c r="CN285">
        <v>136584</v>
      </c>
      <c r="CO285">
        <v>54120</v>
      </c>
      <c r="CP285">
        <v>17141</v>
      </c>
      <c r="CQ285">
        <v>0</v>
      </c>
      <c r="CR285">
        <v>0</v>
      </c>
      <c r="CS285">
        <v>0</v>
      </c>
      <c r="CT285">
        <v>0</v>
      </c>
      <c r="CU285">
        <v>38.102000000000004</v>
      </c>
      <c r="CV285">
        <v>336.41300000000001</v>
      </c>
      <c r="CW285">
        <v>223.54900000000001</v>
      </c>
      <c r="CX285">
        <v>0</v>
      </c>
      <c r="CY285" s="2043">
        <v>0</v>
      </c>
      <c r="CZ285" s="2043">
        <v>0</v>
      </c>
      <c r="DA285" s="2043">
        <v>0</v>
      </c>
      <c r="DB285" s="2043">
        <v>0</v>
      </c>
      <c r="DC285" s="2043">
        <v>0</v>
      </c>
      <c r="DI285" t="s">
        <v>7980</v>
      </c>
      <c r="DJ285" t="s">
        <v>7980</v>
      </c>
      <c r="DK285" s="2042">
        <f t="shared" si="6"/>
        <v>0</v>
      </c>
    </row>
    <row r="286" spans="1:115">
      <c r="A286" t="s">
        <v>7982</v>
      </c>
      <c r="B286" t="s">
        <v>11297</v>
      </c>
      <c r="C286">
        <v>2098.5930000000003</v>
      </c>
      <c r="D286">
        <v>1642.2850000000001</v>
      </c>
      <c r="E286">
        <v>380.66300000000001</v>
      </c>
      <c r="F286">
        <v>0</v>
      </c>
      <c r="G286" s="2043">
        <v>0</v>
      </c>
      <c r="H286">
        <v>0</v>
      </c>
      <c r="I286" s="2043">
        <v>0</v>
      </c>
      <c r="J286">
        <v>104.93</v>
      </c>
      <c r="K286">
        <v>287</v>
      </c>
      <c r="L286">
        <v>0</v>
      </c>
      <c r="M286">
        <v>0</v>
      </c>
      <c r="N286">
        <v>0</v>
      </c>
      <c r="O286">
        <v>0</v>
      </c>
      <c r="P286">
        <v>0</v>
      </c>
      <c r="Q286">
        <v>0</v>
      </c>
      <c r="R286" s="2043">
        <v>0</v>
      </c>
      <c r="S286">
        <v>0</v>
      </c>
      <c r="T286">
        <v>0</v>
      </c>
      <c r="U286">
        <v>0</v>
      </c>
      <c r="V286">
        <v>0</v>
      </c>
      <c r="W286">
        <v>0</v>
      </c>
      <c r="X286">
        <v>0</v>
      </c>
      <c r="Y286">
        <v>370994</v>
      </c>
      <c r="Z286">
        <v>0</v>
      </c>
      <c r="AA286">
        <v>0</v>
      </c>
      <c r="AB286">
        <v>1642.2850000000001</v>
      </c>
      <c r="AC286" s="2043">
        <v>0</v>
      </c>
      <c r="AD286">
        <v>0</v>
      </c>
      <c r="AE286" s="2043">
        <v>0</v>
      </c>
      <c r="AF286">
        <v>0</v>
      </c>
      <c r="AG286">
        <v>0</v>
      </c>
      <c r="AH286">
        <v>0</v>
      </c>
      <c r="AI286">
        <v>0</v>
      </c>
      <c r="AJ286">
        <v>305.81299999999999</v>
      </c>
      <c r="AK286">
        <v>3613</v>
      </c>
      <c r="AL286">
        <v>0</v>
      </c>
      <c r="AM286">
        <v>0</v>
      </c>
      <c r="AN286">
        <v>100.837</v>
      </c>
      <c r="AO286">
        <v>0</v>
      </c>
      <c r="AP286">
        <v>0</v>
      </c>
      <c r="AQ286">
        <v>0</v>
      </c>
      <c r="AR286">
        <v>8.1340000000000003</v>
      </c>
      <c r="AS286">
        <v>0</v>
      </c>
      <c r="AT286">
        <v>0.70300000000000007</v>
      </c>
      <c r="AU286">
        <v>3.41</v>
      </c>
      <c r="AV286">
        <v>0</v>
      </c>
      <c r="AW286">
        <v>12.247</v>
      </c>
      <c r="AX286">
        <v>0</v>
      </c>
      <c r="AY286">
        <v>43.561</v>
      </c>
      <c r="AZ286">
        <v>0</v>
      </c>
      <c r="BA286">
        <v>21564097</v>
      </c>
      <c r="BB286">
        <v>0</v>
      </c>
      <c r="BC286">
        <v>0</v>
      </c>
      <c r="BD286">
        <v>0</v>
      </c>
      <c r="BE286">
        <v>0</v>
      </c>
      <c r="BF286">
        <v>0</v>
      </c>
      <c r="BG286">
        <v>0</v>
      </c>
      <c r="BH286">
        <v>0</v>
      </c>
      <c r="BI286">
        <v>0</v>
      </c>
      <c r="BJ286">
        <v>0</v>
      </c>
      <c r="BK286">
        <v>0</v>
      </c>
      <c r="BL286">
        <v>0</v>
      </c>
      <c r="BM286">
        <v>0</v>
      </c>
      <c r="BN286">
        <v>4311</v>
      </c>
      <c r="BO286">
        <v>11</v>
      </c>
      <c r="BP286">
        <v>0</v>
      </c>
      <c r="BQ286">
        <v>0</v>
      </c>
      <c r="BR286">
        <v>0</v>
      </c>
      <c r="BS286">
        <v>0</v>
      </c>
      <c r="BT286">
        <v>0</v>
      </c>
      <c r="BU286">
        <v>0</v>
      </c>
      <c r="BV286">
        <v>529</v>
      </c>
      <c r="BW286">
        <v>197</v>
      </c>
      <c r="BX286">
        <v>138</v>
      </c>
      <c r="BY286">
        <v>206</v>
      </c>
      <c r="BZ286">
        <v>187</v>
      </c>
      <c r="CA286">
        <v>1257</v>
      </c>
      <c r="CB286">
        <v>0</v>
      </c>
      <c r="CC286">
        <v>0</v>
      </c>
      <c r="CD286">
        <v>0</v>
      </c>
      <c r="CE286">
        <v>121</v>
      </c>
      <c r="CF286">
        <v>342.346</v>
      </c>
      <c r="CG286">
        <v>0</v>
      </c>
      <c r="CH286">
        <v>0</v>
      </c>
      <c r="CI286">
        <v>0</v>
      </c>
      <c r="CJ286">
        <v>0</v>
      </c>
      <c r="CK286">
        <v>0</v>
      </c>
      <c r="CL286">
        <v>0</v>
      </c>
      <c r="CM286">
        <v>380.66300000000001</v>
      </c>
      <c r="CN286">
        <v>0</v>
      </c>
      <c r="CO286">
        <v>0</v>
      </c>
      <c r="CP286">
        <v>0</v>
      </c>
      <c r="CQ286">
        <v>0</v>
      </c>
      <c r="CR286">
        <v>0</v>
      </c>
      <c r="CS286">
        <v>367.64699999999999</v>
      </c>
      <c r="CT286">
        <v>0</v>
      </c>
      <c r="CU286">
        <v>22.077000000000002</v>
      </c>
      <c r="CV286">
        <v>60</v>
      </c>
      <c r="CW286">
        <v>29.526</v>
      </c>
      <c r="CX286">
        <v>0</v>
      </c>
      <c r="CY286" s="2043">
        <v>0</v>
      </c>
      <c r="CZ286" s="2043">
        <v>0</v>
      </c>
      <c r="DA286" s="2043">
        <v>0</v>
      </c>
      <c r="DB286" s="2043">
        <v>0</v>
      </c>
      <c r="DC286" s="2043">
        <v>0</v>
      </c>
      <c r="DI286" t="s">
        <v>7982</v>
      </c>
      <c r="DJ286" t="s">
        <v>7982</v>
      </c>
      <c r="DK286" s="2042">
        <f t="shared" si="6"/>
        <v>0</v>
      </c>
    </row>
    <row r="287" spans="1:115">
      <c r="A287" t="s">
        <v>4987</v>
      </c>
      <c r="B287" t="s">
        <v>366</v>
      </c>
      <c r="C287">
        <v>6514.7920000000004</v>
      </c>
      <c r="D287">
        <v>7007.0460000000003</v>
      </c>
      <c r="E287">
        <v>352.23900000000003</v>
      </c>
      <c r="F287">
        <v>0</v>
      </c>
      <c r="G287" s="2043">
        <v>4375686766</v>
      </c>
      <c r="H287">
        <v>0</v>
      </c>
      <c r="I287" s="2043">
        <v>10855944</v>
      </c>
      <c r="J287">
        <v>325.74</v>
      </c>
      <c r="K287">
        <v>891</v>
      </c>
      <c r="L287">
        <v>0</v>
      </c>
      <c r="M287">
        <v>0</v>
      </c>
      <c r="N287">
        <v>0</v>
      </c>
      <c r="O287">
        <v>0</v>
      </c>
      <c r="P287">
        <v>0</v>
      </c>
      <c r="Q287">
        <v>0</v>
      </c>
      <c r="R287" s="2043">
        <v>36896050</v>
      </c>
      <c r="S287">
        <v>2164245</v>
      </c>
      <c r="T287">
        <v>0</v>
      </c>
      <c r="U287">
        <v>0.05</v>
      </c>
      <c r="V287">
        <v>0</v>
      </c>
      <c r="W287">
        <v>0</v>
      </c>
      <c r="X287">
        <v>0</v>
      </c>
      <c r="Y287">
        <v>-6106</v>
      </c>
      <c r="Z287">
        <v>3.7360000000000002</v>
      </c>
      <c r="AA287">
        <v>0</v>
      </c>
      <c r="AB287">
        <v>6898.05</v>
      </c>
      <c r="AC287" s="2043">
        <v>3700227347</v>
      </c>
      <c r="AD287">
        <v>14537715</v>
      </c>
      <c r="AE287" s="2043">
        <v>39060295</v>
      </c>
      <c r="AF287">
        <v>0.90240000000000009</v>
      </c>
      <c r="AG287">
        <v>0</v>
      </c>
      <c r="AH287">
        <v>0</v>
      </c>
      <c r="AI287">
        <v>0</v>
      </c>
      <c r="AJ287">
        <v>1117.713</v>
      </c>
      <c r="AK287">
        <v>15383</v>
      </c>
      <c r="AL287">
        <v>0.34100000000000003</v>
      </c>
      <c r="AM287">
        <v>0</v>
      </c>
      <c r="AN287">
        <v>135.19200000000001</v>
      </c>
      <c r="AO287">
        <v>0</v>
      </c>
      <c r="AP287">
        <v>0</v>
      </c>
      <c r="AQ287">
        <v>0</v>
      </c>
      <c r="AR287">
        <v>97.309000000000012</v>
      </c>
      <c r="AS287">
        <v>0</v>
      </c>
      <c r="AT287">
        <v>54.14</v>
      </c>
      <c r="AU287">
        <v>9.3420000000000005</v>
      </c>
      <c r="AV287">
        <v>0</v>
      </c>
      <c r="AW287">
        <v>170.262</v>
      </c>
      <c r="AX287">
        <v>9.1300000000000008</v>
      </c>
      <c r="AY287">
        <v>523.76100000000008</v>
      </c>
      <c r="AZ287">
        <v>0</v>
      </c>
      <c r="BA287">
        <v>18878326</v>
      </c>
      <c r="BB287">
        <v>53598010</v>
      </c>
      <c r="BC287">
        <v>0</v>
      </c>
      <c r="BD287">
        <v>249648</v>
      </c>
      <c r="BE287">
        <v>126378</v>
      </c>
      <c r="BF287">
        <v>376026</v>
      </c>
      <c r="BG287">
        <v>249648</v>
      </c>
      <c r="BH287">
        <v>0</v>
      </c>
      <c r="BI287">
        <v>0</v>
      </c>
      <c r="BJ287">
        <v>-6106</v>
      </c>
      <c r="BK287">
        <v>0</v>
      </c>
      <c r="BL287">
        <v>4375686766</v>
      </c>
      <c r="BM287">
        <v>0</v>
      </c>
      <c r="BN287">
        <v>30573</v>
      </c>
      <c r="BO287">
        <v>11460</v>
      </c>
      <c r="BP287">
        <v>0</v>
      </c>
      <c r="BQ287">
        <v>0</v>
      </c>
      <c r="BR287">
        <v>0.85240000000000005</v>
      </c>
      <c r="BS287">
        <v>0.85240000000000005</v>
      </c>
      <c r="BT287">
        <v>0</v>
      </c>
      <c r="BU287">
        <v>0</v>
      </c>
      <c r="BV287">
        <v>1208</v>
      </c>
      <c r="BW287">
        <v>1960</v>
      </c>
      <c r="BX287">
        <v>988</v>
      </c>
      <c r="BY287">
        <v>459</v>
      </c>
      <c r="BZ287">
        <v>47</v>
      </c>
      <c r="CA287">
        <v>4662</v>
      </c>
      <c r="CB287">
        <v>0</v>
      </c>
      <c r="CC287">
        <v>153.29600000000002</v>
      </c>
      <c r="CD287">
        <v>40.739000000000004</v>
      </c>
      <c r="CE287">
        <v>661</v>
      </c>
      <c r="CF287">
        <v>1186.989</v>
      </c>
      <c r="CG287">
        <v>0</v>
      </c>
      <c r="CH287">
        <v>0</v>
      </c>
      <c r="CI287">
        <v>44</v>
      </c>
      <c r="CJ287">
        <v>46</v>
      </c>
      <c r="CK287">
        <v>1</v>
      </c>
      <c r="CL287">
        <v>0</v>
      </c>
      <c r="CM287">
        <v>352.23900000000003</v>
      </c>
      <c r="CN287">
        <v>0</v>
      </c>
      <c r="CO287">
        <v>0</v>
      </c>
      <c r="CP287">
        <v>0</v>
      </c>
      <c r="CQ287">
        <v>0</v>
      </c>
      <c r="CR287">
        <v>0</v>
      </c>
      <c r="CS287">
        <v>0</v>
      </c>
      <c r="CT287">
        <v>0</v>
      </c>
      <c r="CU287">
        <v>90.788000000000011</v>
      </c>
      <c r="CV287">
        <v>407.745</v>
      </c>
      <c r="CW287">
        <v>156.25</v>
      </c>
      <c r="CX287">
        <v>0</v>
      </c>
      <c r="CY287" s="2043">
        <v>0</v>
      </c>
      <c r="CZ287" s="2043">
        <v>0</v>
      </c>
      <c r="DA287" s="2043">
        <v>0</v>
      </c>
      <c r="DB287" s="2043">
        <v>0</v>
      </c>
      <c r="DC287" s="2043">
        <v>0</v>
      </c>
      <c r="DI287" t="s">
        <v>7983</v>
      </c>
      <c r="DJ287" t="s">
        <v>4987</v>
      </c>
      <c r="DK287" s="2042">
        <f t="shared" si="6"/>
        <v>-53</v>
      </c>
    </row>
    <row r="288" spans="1:115">
      <c r="A288" t="s">
        <v>7983</v>
      </c>
      <c r="B288" t="s">
        <v>11298</v>
      </c>
      <c r="C288">
        <v>70.149000000000001</v>
      </c>
      <c r="D288">
        <v>71.481999999999999</v>
      </c>
      <c r="E288">
        <v>19.555</v>
      </c>
      <c r="F288">
        <v>0</v>
      </c>
      <c r="G288" s="2043">
        <v>0</v>
      </c>
      <c r="H288">
        <v>0</v>
      </c>
      <c r="I288" s="2043">
        <v>0</v>
      </c>
      <c r="J288">
        <v>0</v>
      </c>
      <c r="K288">
        <v>0</v>
      </c>
      <c r="L288">
        <v>0</v>
      </c>
      <c r="M288">
        <v>0</v>
      </c>
      <c r="N288">
        <v>0</v>
      </c>
      <c r="O288">
        <v>0</v>
      </c>
      <c r="P288">
        <v>0</v>
      </c>
      <c r="Q288">
        <v>0</v>
      </c>
      <c r="R288" s="2043">
        <v>0</v>
      </c>
      <c r="S288">
        <v>0</v>
      </c>
      <c r="T288">
        <v>0</v>
      </c>
      <c r="U288">
        <v>0</v>
      </c>
      <c r="V288">
        <v>0</v>
      </c>
      <c r="W288">
        <v>0</v>
      </c>
      <c r="X288">
        <v>0</v>
      </c>
      <c r="Y288">
        <v>0</v>
      </c>
      <c r="Z288">
        <v>0</v>
      </c>
      <c r="AA288">
        <v>0</v>
      </c>
      <c r="AB288">
        <v>78.749000000000009</v>
      </c>
      <c r="AC288" s="2043">
        <v>0</v>
      </c>
      <c r="AD288">
        <v>0</v>
      </c>
      <c r="AE288" s="2043">
        <v>0</v>
      </c>
      <c r="AF288">
        <v>0</v>
      </c>
      <c r="AG288">
        <v>0</v>
      </c>
      <c r="AH288">
        <v>0</v>
      </c>
      <c r="AI288">
        <v>0</v>
      </c>
      <c r="AJ288">
        <v>14.825000000000001</v>
      </c>
      <c r="AK288">
        <v>450</v>
      </c>
      <c r="AL288">
        <v>0</v>
      </c>
      <c r="AM288">
        <v>0</v>
      </c>
      <c r="AN288">
        <v>0</v>
      </c>
      <c r="AO288">
        <v>0</v>
      </c>
      <c r="AP288">
        <v>0</v>
      </c>
      <c r="AQ288">
        <v>0</v>
      </c>
      <c r="AR288">
        <v>5.931</v>
      </c>
      <c r="AS288">
        <v>0</v>
      </c>
      <c r="AT288">
        <v>0</v>
      </c>
      <c r="AU288">
        <v>0.41800000000000004</v>
      </c>
      <c r="AV288">
        <v>0</v>
      </c>
      <c r="AW288">
        <v>6.3490000000000002</v>
      </c>
      <c r="AX288">
        <v>0</v>
      </c>
      <c r="AY288">
        <v>19.883000000000003</v>
      </c>
      <c r="AZ288">
        <v>0</v>
      </c>
      <c r="BA288">
        <v>792979</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8</v>
      </c>
      <c r="BW288">
        <v>14</v>
      </c>
      <c r="BX288">
        <v>11</v>
      </c>
      <c r="BY288">
        <v>16</v>
      </c>
      <c r="BZ288">
        <v>10</v>
      </c>
      <c r="CA288">
        <v>59</v>
      </c>
      <c r="CB288">
        <v>0</v>
      </c>
      <c r="CC288">
        <v>0</v>
      </c>
      <c r="CD288">
        <v>0</v>
      </c>
      <c r="CE288">
        <v>0</v>
      </c>
      <c r="CF288">
        <v>26.381</v>
      </c>
      <c r="CG288">
        <v>0</v>
      </c>
      <c r="CH288">
        <v>0</v>
      </c>
      <c r="CI288">
        <v>0</v>
      </c>
      <c r="CJ288">
        <v>0</v>
      </c>
      <c r="CK288">
        <v>0</v>
      </c>
      <c r="CL288">
        <v>0</v>
      </c>
      <c r="CM288">
        <v>19.555</v>
      </c>
      <c r="CN288">
        <v>0</v>
      </c>
      <c r="CO288">
        <v>0</v>
      </c>
      <c r="CP288">
        <v>0</v>
      </c>
      <c r="CQ288">
        <v>0</v>
      </c>
      <c r="CR288">
        <v>0</v>
      </c>
      <c r="CS288">
        <v>0</v>
      </c>
      <c r="CT288">
        <v>0</v>
      </c>
      <c r="CU288">
        <v>0</v>
      </c>
      <c r="CV288">
        <v>0</v>
      </c>
      <c r="CW288">
        <v>0</v>
      </c>
      <c r="CX288">
        <v>0</v>
      </c>
      <c r="CY288" s="2043">
        <v>0</v>
      </c>
      <c r="CZ288" s="2043">
        <v>0</v>
      </c>
      <c r="DA288" s="2043">
        <v>0</v>
      </c>
      <c r="DB288" s="2043">
        <v>0</v>
      </c>
      <c r="DC288" s="2043">
        <v>1128863</v>
      </c>
      <c r="DI288" t="s">
        <v>4986</v>
      </c>
      <c r="DJ288" t="s">
        <v>7983</v>
      </c>
      <c r="DK288" s="2042">
        <f t="shared" si="6"/>
        <v>52</v>
      </c>
    </row>
    <row r="289" spans="1:115">
      <c r="A289" t="s">
        <v>4986</v>
      </c>
      <c r="B289" t="s">
        <v>1550</v>
      </c>
      <c r="C289">
        <v>22714.606</v>
      </c>
      <c r="D289">
        <v>23688.513999999999</v>
      </c>
      <c r="E289">
        <v>5632.4310000000005</v>
      </c>
      <c r="F289">
        <v>0</v>
      </c>
      <c r="G289" s="2043">
        <v>25731520006</v>
      </c>
      <c r="H289">
        <v>0</v>
      </c>
      <c r="I289" s="2043">
        <v>50207649</v>
      </c>
      <c r="J289">
        <v>1135.73</v>
      </c>
      <c r="K289">
        <v>3105</v>
      </c>
      <c r="L289">
        <v>0</v>
      </c>
      <c r="M289">
        <v>0</v>
      </c>
      <c r="N289">
        <v>0</v>
      </c>
      <c r="O289">
        <v>0</v>
      </c>
      <c r="P289">
        <v>0</v>
      </c>
      <c r="Q289">
        <v>0</v>
      </c>
      <c r="R289" s="2043">
        <v>217833983</v>
      </c>
      <c r="S289">
        <v>20195525</v>
      </c>
      <c r="T289">
        <v>14717489</v>
      </c>
      <c r="U289">
        <v>0.08</v>
      </c>
      <c r="V289">
        <v>0</v>
      </c>
      <c r="W289">
        <v>30117390</v>
      </c>
      <c r="X289">
        <v>5639811</v>
      </c>
      <c r="Y289">
        <v>16626326</v>
      </c>
      <c r="Z289">
        <v>15.037000000000001</v>
      </c>
      <c r="AA289">
        <v>1.8310000000000002</v>
      </c>
      <c r="AB289">
        <v>23073.483</v>
      </c>
      <c r="AC289" s="2043">
        <v>20271868866</v>
      </c>
      <c r="AD289">
        <v>50495581</v>
      </c>
      <c r="AE289" s="2043">
        <v>252746997</v>
      </c>
      <c r="AF289">
        <v>1.0012000000000001</v>
      </c>
      <c r="AG289">
        <v>0</v>
      </c>
      <c r="AH289">
        <v>35757200</v>
      </c>
      <c r="AI289">
        <v>0</v>
      </c>
      <c r="AJ289">
        <v>3953.35</v>
      </c>
      <c r="AK289">
        <v>96209</v>
      </c>
      <c r="AL289">
        <v>1.2430000000000001</v>
      </c>
      <c r="AM289">
        <v>0</v>
      </c>
      <c r="AN289">
        <v>355.27700000000004</v>
      </c>
      <c r="AO289">
        <v>0</v>
      </c>
      <c r="AP289">
        <v>0.115</v>
      </c>
      <c r="AQ289">
        <v>8.7000000000000008E-2</v>
      </c>
      <c r="AR289">
        <v>775.71100000000001</v>
      </c>
      <c r="AS289">
        <v>0</v>
      </c>
      <c r="AT289">
        <v>328.32100000000003</v>
      </c>
      <c r="AU289">
        <v>82.462000000000003</v>
      </c>
      <c r="AV289">
        <v>0</v>
      </c>
      <c r="AW289">
        <v>1235.0050000000001</v>
      </c>
      <c r="AX289">
        <v>47.066000000000003</v>
      </c>
      <c r="AY289">
        <v>3839.183</v>
      </c>
      <c r="AZ289">
        <v>0</v>
      </c>
      <c r="BA289">
        <v>33620655</v>
      </c>
      <c r="BB289">
        <v>303242578</v>
      </c>
      <c r="BC289">
        <v>0</v>
      </c>
      <c r="BD289">
        <v>522675</v>
      </c>
      <c r="BE289">
        <v>627621</v>
      </c>
      <c r="BF289">
        <v>1231240</v>
      </c>
      <c r="BG289">
        <v>522675</v>
      </c>
      <c r="BH289">
        <v>80944</v>
      </c>
      <c r="BI289">
        <v>0</v>
      </c>
      <c r="BJ289">
        <v>-13124</v>
      </c>
      <c r="BK289">
        <v>0</v>
      </c>
      <c r="BL289">
        <v>25731520006</v>
      </c>
      <c r="BM289">
        <v>0</v>
      </c>
      <c r="BN289">
        <v>82296</v>
      </c>
      <c r="BO289">
        <v>40746</v>
      </c>
      <c r="BP289">
        <v>53674</v>
      </c>
      <c r="BQ289">
        <v>0</v>
      </c>
      <c r="BR289">
        <v>0.8629</v>
      </c>
      <c r="BS289">
        <v>0.8629</v>
      </c>
      <c r="BT289">
        <v>16639450</v>
      </c>
      <c r="BU289">
        <v>0</v>
      </c>
      <c r="BV289">
        <v>2482</v>
      </c>
      <c r="BW289">
        <v>4178</v>
      </c>
      <c r="BX289">
        <v>2649</v>
      </c>
      <c r="BY289">
        <v>3902</v>
      </c>
      <c r="BZ289">
        <v>2604</v>
      </c>
      <c r="CA289">
        <v>15815</v>
      </c>
      <c r="CB289">
        <v>0</v>
      </c>
      <c r="CC289">
        <v>2116.7719999999999</v>
      </c>
      <c r="CD289">
        <v>283.375</v>
      </c>
      <c r="CE289">
        <v>1051</v>
      </c>
      <c r="CF289">
        <v>7361.5880000000006</v>
      </c>
      <c r="CG289">
        <v>24.595000000000002</v>
      </c>
      <c r="CH289">
        <v>1.0250000000000001</v>
      </c>
      <c r="CI289">
        <v>166</v>
      </c>
      <c r="CJ289">
        <v>144</v>
      </c>
      <c r="CK289">
        <v>5</v>
      </c>
      <c r="CL289">
        <v>25.62</v>
      </c>
      <c r="CM289">
        <v>5632.4310000000005</v>
      </c>
      <c r="CN289">
        <v>0</v>
      </c>
      <c r="CO289">
        <v>29704</v>
      </c>
      <c r="CP289">
        <v>23970</v>
      </c>
      <c r="CQ289">
        <v>0</v>
      </c>
      <c r="CR289">
        <v>0</v>
      </c>
      <c r="CS289">
        <v>0</v>
      </c>
      <c r="CT289">
        <v>308.06100000000004</v>
      </c>
      <c r="CU289">
        <v>22.165000000000003</v>
      </c>
      <c r="CV289">
        <v>981.71</v>
      </c>
      <c r="CW289">
        <v>370.94400000000002</v>
      </c>
      <c r="CX289">
        <v>16639450</v>
      </c>
      <c r="CY289" s="2043">
        <v>0</v>
      </c>
      <c r="CZ289" s="2043">
        <v>0</v>
      </c>
      <c r="DA289" s="2043">
        <v>0</v>
      </c>
      <c r="DB289" s="2043">
        <v>0</v>
      </c>
      <c r="DC289" s="2043">
        <v>0</v>
      </c>
      <c r="DI289" t="s">
        <v>4987</v>
      </c>
      <c r="DJ289" t="s">
        <v>4986</v>
      </c>
      <c r="DK289" s="2042">
        <f t="shared" si="6"/>
        <v>1</v>
      </c>
    </row>
    <row r="290" spans="1:115">
      <c r="A290" t="s">
        <v>4988</v>
      </c>
      <c r="B290" t="s">
        <v>367</v>
      </c>
      <c r="C290">
        <v>127591.424</v>
      </c>
      <c r="D290">
        <v>136141.38800000001</v>
      </c>
      <c r="E290">
        <v>27298.817999999999</v>
      </c>
      <c r="F290">
        <v>0</v>
      </c>
      <c r="G290" s="2043">
        <v>144768655890</v>
      </c>
      <c r="H290">
        <v>0</v>
      </c>
      <c r="I290" s="2043">
        <v>237679009</v>
      </c>
      <c r="J290">
        <v>6379.5709999999999</v>
      </c>
      <c r="K290">
        <v>17441</v>
      </c>
      <c r="L290">
        <v>0</v>
      </c>
      <c r="M290">
        <v>0</v>
      </c>
      <c r="N290">
        <v>0</v>
      </c>
      <c r="O290">
        <v>0</v>
      </c>
      <c r="P290">
        <v>0</v>
      </c>
      <c r="Q290">
        <v>0</v>
      </c>
      <c r="R290" s="2043">
        <v>1212464153</v>
      </c>
      <c r="S290">
        <v>111760724</v>
      </c>
      <c r="T290">
        <v>81445627</v>
      </c>
      <c r="U290">
        <v>0.08</v>
      </c>
      <c r="V290">
        <v>1405.0230000000001</v>
      </c>
      <c r="W290">
        <v>70016768</v>
      </c>
      <c r="X290">
        <v>27587271</v>
      </c>
      <c r="Y290">
        <v>-95920</v>
      </c>
      <c r="Z290">
        <v>9.0940000000000012</v>
      </c>
      <c r="AA290">
        <v>10.769</v>
      </c>
      <c r="AB290">
        <v>128776.5</v>
      </c>
      <c r="AC290" s="2043">
        <v>126133760420</v>
      </c>
      <c r="AD290">
        <v>337887670</v>
      </c>
      <c r="AE290" s="2043">
        <v>1405670504</v>
      </c>
      <c r="AF290">
        <v>1.0062</v>
      </c>
      <c r="AG290">
        <v>0</v>
      </c>
      <c r="AH290">
        <v>97604039</v>
      </c>
      <c r="AI290">
        <v>0</v>
      </c>
      <c r="AJ290">
        <v>31931.100000000002</v>
      </c>
      <c r="AK290">
        <v>388408</v>
      </c>
      <c r="AL290">
        <v>11.938000000000001</v>
      </c>
      <c r="AM290">
        <v>6.569</v>
      </c>
      <c r="AN290">
        <v>4921.0480000000007</v>
      </c>
      <c r="AO290">
        <v>4</v>
      </c>
      <c r="AP290">
        <v>0.01</v>
      </c>
      <c r="AQ290">
        <v>1.9440000000000002</v>
      </c>
      <c r="AR290">
        <v>1874.7470000000001</v>
      </c>
      <c r="AS290">
        <v>0</v>
      </c>
      <c r="AT290">
        <v>1474.7050000000002</v>
      </c>
      <c r="AU290">
        <v>231.88900000000001</v>
      </c>
      <c r="AV290">
        <v>0</v>
      </c>
      <c r="AW290">
        <v>3684.0240000000003</v>
      </c>
      <c r="AX290">
        <v>82.222000000000008</v>
      </c>
      <c r="AY290">
        <v>11476.335999999999</v>
      </c>
      <c r="AZ290">
        <v>0</v>
      </c>
      <c r="BA290">
        <v>107208920</v>
      </c>
      <c r="BB290">
        <v>1743558174</v>
      </c>
      <c r="BC290">
        <v>0</v>
      </c>
      <c r="BD290">
        <v>5930287</v>
      </c>
      <c r="BE290">
        <v>5605136</v>
      </c>
      <c r="BF290">
        <v>13122624</v>
      </c>
      <c r="BG290">
        <v>5930287</v>
      </c>
      <c r="BH290">
        <v>1587201</v>
      </c>
      <c r="BI290">
        <v>-26678</v>
      </c>
      <c r="BJ290">
        <v>-69242</v>
      </c>
      <c r="BK290">
        <v>0</v>
      </c>
      <c r="BL290">
        <v>144768655890</v>
      </c>
      <c r="BM290">
        <v>0</v>
      </c>
      <c r="BN290">
        <v>490041</v>
      </c>
      <c r="BO290">
        <v>110959</v>
      </c>
      <c r="BP290">
        <v>27188069</v>
      </c>
      <c r="BQ290">
        <v>0</v>
      </c>
      <c r="BR290">
        <v>0.8679</v>
      </c>
      <c r="BS290">
        <v>0.8679</v>
      </c>
      <c r="BT290">
        <v>0</v>
      </c>
      <c r="BU290">
        <v>0</v>
      </c>
      <c r="BV290">
        <v>7428</v>
      </c>
      <c r="BW290">
        <v>9092</v>
      </c>
      <c r="BX290">
        <v>18987</v>
      </c>
      <c r="BY290">
        <v>37498</v>
      </c>
      <c r="BZ290">
        <v>49129</v>
      </c>
      <c r="CA290">
        <v>122134</v>
      </c>
      <c r="CB290">
        <v>22</v>
      </c>
      <c r="CC290">
        <v>28444.616000000002</v>
      </c>
      <c r="CD290">
        <v>2349.4290000000001</v>
      </c>
      <c r="CE290">
        <v>8340</v>
      </c>
      <c r="CF290">
        <v>51326.856</v>
      </c>
      <c r="CG290">
        <v>5.8109999999999999</v>
      </c>
      <c r="CH290">
        <v>9.5299999999999994</v>
      </c>
      <c r="CI290">
        <v>884</v>
      </c>
      <c r="CJ290">
        <v>144</v>
      </c>
      <c r="CK290">
        <v>17</v>
      </c>
      <c r="CL290">
        <v>15.341000000000001</v>
      </c>
      <c r="CM290">
        <v>27298.817999999999</v>
      </c>
      <c r="CN290">
        <v>5653436</v>
      </c>
      <c r="CO290">
        <v>7846791</v>
      </c>
      <c r="CP290">
        <v>13397342</v>
      </c>
      <c r="CQ290">
        <v>290500</v>
      </c>
      <c r="CR290">
        <v>0</v>
      </c>
      <c r="CS290">
        <v>5208.1140000000005</v>
      </c>
      <c r="CT290">
        <v>348.57300000000004</v>
      </c>
      <c r="CU290">
        <v>386.137</v>
      </c>
      <c r="CV290">
        <v>4068.384</v>
      </c>
      <c r="CW290">
        <v>2466.0150000000003</v>
      </c>
      <c r="CX290">
        <v>0</v>
      </c>
      <c r="CY290" s="2043">
        <v>0</v>
      </c>
      <c r="CZ290" s="2043">
        <v>0</v>
      </c>
      <c r="DA290" s="2043">
        <v>0</v>
      </c>
      <c r="DB290" s="2043">
        <v>0</v>
      </c>
      <c r="DC290" s="2043">
        <v>5427261</v>
      </c>
      <c r="DI290" t="s">
        <v>4988</v>
      </c>
      <c r="DJ290" t="s">
        <v>4988</v>
      </c>
      <c r="DK290" s="2042">
        <f t="shared" si="6"/>
        <v>0</v>
      </c>
    </row>
    <row r="291" spans="1:115">
      <c r="A291" t="s">
        <v>2954</v>
      </c>
      <c r="B291" t="s">
        <v>2435</v>
      </c>
      <c r="C291">
        <v>48982.184999999998</v>
      </c>
      <c r="D291">
        <v>51458.700000000004</v>
      </c>
      <c r="E291">
        <v>11248.535</v>
      </c>
      <c r="F291">
        <v>0</v>
      </c>
      <c r="G291" s="2043">
        <v>23856604969</v>
      </c>
      <c r="H291">
        <v>0</v>
      </c>
      <c r="I291" s="2043">
        <v>62622023</v>
      </c>
      <c r="J291">
        <v>2449.1089999999999</v>
      </c>
      <c r="K291">
        <v>6696</v>
      </c>
      <c r="L291">
        <v>0</v>
      </c>
      <c r="M291">
        <v>11689945</v>
      </c>
      <c r="N291">
        <v>0</v>
      </c>
      <c r="O291">
        <v>11689945</v>
      </c>
      <c r="P291">
        <v>0</v>
      </c>
      <c r="Q291">
        <v>0</v>
      </c>
      <c r="R291" s="2043">
        <v>210307857</v>
      </c>
      <c r="S291">
        <v>11836327</v>
      </c>
      <c r="T291">
        <v>0</v>
      </c>
      <c r="U291">
        <v>0.05</v>
      </c>
      <c r="V291">
        <v>0</v>
      </c>
      <c r="W291">
        <v>0</v>
      </c>
      <c r="X291">
        <v>0</v>
      </c>
      <c r="Y291">
        <v>-11640</v>
      </c>
      <c r="Z291">
        <v>0</v>
      </c>
      <c r="AA291">
        <v>4.5380000000000003</v>
      </c>
      <c r="AB291">
        <v>51370.648000000001</v>
      </c>
      <c r="AC291" s="2043">
        <v>20036526691</v>
      </c>
      <c r="AD291">
        <v>75187221</v>
      </c>
      <c r="AE291" s="2043">
        <v>222144184</v>
      </c>
      <c r="AF291">
        <v>0.93840000000000001</v>
      </c>
      <c r="AG291">
        <v>0</v>
      </c>
      <c r="AH291">
        <v>0</v>
      </c>
      <c r="AI291">
        <v>0</v>
      </c>
      <c r="AJ291">
        <v>9436.1</v>
      </c>
      <c r="AK291">
        <v>139534</v>
      </c>
      <c r="AL291">
        <v>3.5110000000000001</v>
      </c>
      <c r="AM291">
        <v>0</v>
      </c>
      <c r="AN291">
        <v>1508.9940000000001</v>
      </c>
      <c r="AO291">
        <v>0</v>
      </c>
      <c r="AP291">
        <v>0</v>
      </c>
      <c r="AQ291">
        <v>6.641</v>
      </c>
      <c r="AR291">
        <v>796.83400000000006</v>
      </c>
      <c r="AS291">
        <v>0</v>
      </c>
      <c r="AT291">
        <v>437.14500000000004</v>
      </c>
      <c r="AU291">
        <v>123.54</v>
      </c>
      <c r="AV291">
        <v>0</v>
      </c>
      <c r="AW291">
        <v>1394.626</v>
      </c>
      <c r="AX291">
        <v>26.955000000000002</v>
      </c>
      <c r="AY291">
        <v>4399.1890000000003</v>
      </c>
      <c r="AZ291">
        <v>0</v>
      </c>
      <c r="BA291">
        <v>245051432</v>
      </c>
      <c r="BB291">
        <v>297331405</v>
      </c>
      <c r="BC291">
        <v>0</v>
      </c>
      <c r="BD291">
        <v>3749113</v>
      </c>
      <c r="BE291">
        <v>1115878</v>
      </c>
      <c r="BF291">
        <v>5171309</v>
      </c>
      <c r="BG291">
        <v>3749113</v>
      </c>
      <c r="BH291">
        <v>306318</v>
      </c>
      <c r="BI291">
        <v>-5820</v>
      </c>
      <c r="BJ291">
        <v>-5820</v>
      </c>
      <c r="BK291">
        <v>0</v>
      </c>
      <c r="BL291">
        <v>23856604969</v>
      </c>
      <c r="BM291">
        <v>0</v>
      </c>
      <c r="BN291">
        <v>205227</v>
      </c>
      <c r="BO291">
        <v>41848</v>
      </c>
      <c r="BP291">
        <v>24610</v>
      </c>
      <c r="BQ291">
        <v>0</v>
      </c>
      <c r="BR291">
        <v>0.88840000000000008</v>
      </c>
      <c r="BS291">
        <v>0.88840000000000008</v>
      </c>
      <c r="BT291">
        <v>0</v>
      </c>
      <c r="BU291">
        <v>0</v>
      </c>
      <c r="BV291">
        <v>15446</v>
      </c>
      <c r="BW291">
        <v>7403</v>
      </c>
      <c r="BX291">
        <v>7143</v>
      </c>
      <c r="BY291">
        <v>6373</v>
      </c>
      <c r="BZ291">
        <v>2705</v>
      </c>
      <c r="CA291">
        <v>39070</v>
      </c>
      <c r="CB291">
        <v>0</v>
      </c>
      <c r="CC291">
        <v>5800.0540000000001</v>
      </c>
      <c r="CD291">
        <v>5.7149999999999999</v>
      </c>
      <c r="CE291">
        <v>3996</v>
      </c>
      <c r="CF291">
        <v>15209.06</v>
      </c>
      <c r="CG291">
        <v>0</v>
      </c>
      <c r="CH291">
        <v>8.5960000000000001</v>
      </c>
      <c r="CI291">
        <v>334</v>
      </c>
      <c r="CJ291">
        <v>439</v>
      </c>
      <c r="CK291">
        <v>7</v>
      </c>
      <c r="CL291">
        <v>8.5960000000000001</v>
      </c>
      <c r="CM291">
        <v>11248.535</v>
      </c>
      <c r="CN291">
        <v>0</v>
      </c>
      <c r="CO291">
        <v>11366</v>
      </c>
      <c r="CP291">
        <v>13244</v>
      </c>
      <c r="CQ291">
        <v>0</v>
      </c>
      <c r="CR291">
        <v>0</v>
      </c>
      <c r="CS291">
        <v>1073.367</v>
      </c>
      <c r="CT291">
        <v>0</v>
      </c>
      <c r="CU291">
        <v>19.904</v>
      </c>
      <c r="CV291">
        <v>3322.558</v>
      </c>
      <c r="CW291">
        <v>1626.3500000000001</v>
      </c>
      <c r="CX291">
        <v>0</v>
      </c>
      <c r="CY291" s="2043">
        <v>0</v>
      </c>
      <c r="CZ291" s="2043">
        <v>0</v>
      </c>
      <c r="DA291" s="2043">
        <v>0</v>
      </c>
      <c r="DB291" s="2043">
        <v>0</v>
      </c>
      <c r="DC291" s="2043">
        <v>0</v>
      </c>
      <c r="DI291" t="s">
        <v>2953</v>
      </c>
      <c r="DJ291" t="s">
        <v>2954</v>
      </c>
      <c r="DK291" s="2042">
        <f t="shared" si="6"/>
        <v>-3</v>
      </c>
    </row>
    <row r="292" spans="1:115">
      <c r="A292" t="s">
        <v>2953</v>
      </c>
      <c r="B292" t="s">
        <v>368</v>
      </c>
      <c r="C292">
        <v>6676.75</v>
      </c>
      <c r="D292">
        <v>7511.4530000000004</v>
      </c>
      <c r="E292">
        <v>342.173</v>
      </c>
      <c r="F292">
        <v>0</v>
      </c>
      <c r="G292" s="2043">
        <v>3938982052</v>
      </c>
      <c r="H292">
        <v>0</v>
      </c>
      <c r="I292" s="2043">
        <v>14956831</v>
      </c>
      <c r="J292">
        <v>333.83800000000002</v>
      </c>
      <c r="K292">
        <v>913</v>
      </c>
      <c r="L292">
        <v>0</v>
      </c>
      <c r="M292">
        <v>3052613</v>
      </c>
      <c r="N292">
        <v>0</v>
      </c>
      <c r="O292">
        <v>3052613</v>
      </c>
      <c r="P292">
        <v>0</v>
      </c>
      <c r="Q292">
        <v>0</v>
      </c>
      <c r="R292" s="2043">
        <v>31940355</v>
      </c>
      <c r="S292">
        <v>3108550</v>
      </c>
      <c r="T292">
        <v>2265356</v>
      </c>
      <c r="U292">
        <v>0.08</v>
      </c>
      <c r="V292">
        <v>0</v>
      </c>
      <c r="W292">
        <v>0</v>
      </c>
      <c r="X292">
        <v>0</v>
      </c>
      <c r="Y292">
        <v>228473</v>
      </c>
      <c r="Z292">
        <v>2.8810000000000002</v>
      </c>
      <c r="AA292">
        <v>0.252</v>
      </c>
      <c r="AB292">
        <v>7455.4010000000007</v>
      </c>
      <c r="AC292" s="2043">
        <v>3219186441</v>
      </c>
      <c r="AD292">
        <v>16642323</v>
      </c>
      <c r="AE292" s="2043">
        <v>37314261</v>
      </c>
      <c r="AF292">
        <v>0.96030000000000004</v>
      </c>
      <c r="AG292">
        <v>0</v>
      </c>
      <c r="AH292">
        <v>0</v>
      </c>
      <c r="AI292">
        <v>0</v>
      </c>
      <c r="AJ292">
        <v>1264.7250000000001</v>
      </c>
      <c r="AK292">
        <v>19503</v>
      </c>
      <c r="AL292">
        <v>2.472</v>
      </c>
      <c r="AM292">
        <v>0</v>
      </c>
      <c r="AN292">
        <v>245.11500000000001</v>
      </c>
      <c r="AO292">
        <v>0</v>
      </c>
      <c r="AP292">
        <v>0</v>
      </c>
      <c r="AQ292">
        <v>3.4210000000000003</v>
      </c>
      <c r="AR292">
        <v>80.733000000000004</v>
      </c>
      <c r="AS292">
        <v>0</v>
      </c>
      <c r="AT292">
        <v>75.667000000000002</v>
      </c>
      <c r="AU292">
        <v>16.382999999999999</v>
      </c>
      <c r="AV292">
        <v>0</v>
      </c>
      <c r="AW292">
        <v>179.58500000000001</v>
      </c>
      <c r="AX292">
        <v>0.90900000000000003</v>
      </c>
      <c r="AY292">
        <v>565.56600000000003</v>
      </c>
      <c r="AZ292">
        <v>0</v>
      </c>
      <c r="BA292">
        <v>29734666</v>
      </c>
      <c r="BB292">
        <v>53956584</v>
      </c>
      <c r="BC292">
        <v>0</v>
      </c>
      <c r="BD292">
        <v>407009</v>
      </c>
      <c r="BE292">
        <v>82615</v>
      </c>
      <c r="BF292">
        <v>546081</v>
      </c>
      <c r="BG292">
        <v>407009</v>
      </c>
      <c r="BH292">
        <v>56457</v>
      </c>
      <c r="BI292">
        <v>-7379</v>
      </c>
      <c r="BJ292">
        <v>-29553</v>
      </c>
      <c r="BK292">
        <v>0</v>
      </c>
      <c r="BL292">
        <v>3938982052</v>
      </c>
      <c r="BM292">
        <v>0</v>
      </c>
      <c r="BN292">
        <v>33093</v>
      </c>
      <c r="BO292">
        <v>15676</v>
      </c>
      <c r="BP292">
        <v>4395</v>
      </c>
      <c r="BQ292">
        <v>0</v>
      </c>
      <c r="BR292">
        <v>0.82200000000000006</v>
      </c>
      <c r="BS292">
        <v>0.82200000000000006</v>
      </c>
      <c r="BT292">
        <v>265405</v>
      </c>
      <c r="BU292">
        <v>0</v>
      </c>
      <c r="BV292">
        <v>1723</v>
      </c>
      <c r="BW292">
        <v>2143</v>
      </c>
      <c r="BX292">
        <v>817</v>
      </c>
      <c r="BY292">
        <v>335</v>
      </c>
      <c r="BZ292">
        <v>276</v>
      </c>
      <c r="CA292">
        <v>5294</v>
      </c>
      <c r="CB292">
        <v>4</v>
      </c>
      <c r="CC292">
        <v>236.99900000000002</v>
      </c>
      <c r="CD292">
        <v>0</v>
      </c>
      <c r="CE292">
        <v>169</v>
      </c>
      <c r="CF292">
        <v>1338.7080000000001</v>
      </c>
      <c r="CG292">
        <v>0</v>
      </c>
      <c r="CH292">
        <v>3.718</v>
      </c>
      <c r="CI292">
        <v>48</v>
      </c>
      <c r="CJ292">
        <v>31</v>
      </c>
      <c r="CK292">
        <v>0</v>
      </c>
      <c r="CL292">
        <v>3.718</v>
      </c>
      <c r="CM292">
        <v>342.173</v>
      </c>
      <c r="CN292">
        <v>0</v>
      </c>
      <c r="CO292">
        <v>0</v>
      </c>
      <c r="CP292">
        <v>4395</v>
      </c>
      <c r="CQ292">
        <v>0</v>
      </c>
      <c r="CR292">
        <v>0</v>
      </c>
      <c r="CS292">
        <v>0</v>
      </c>
      <c r="CT292">
        <v>0</v>
      </c>
      <c r="CU292">
        <v>46.874000000000002</v>
      </c>
      <c r="CV292">
        <v>386.31400000000002</v>
      </c>
      <c r="CW292">
        <v>275.43900000000002</v>
      </c>
      <c r="CX292">
        <v>265405</v>
      </c>
      <c r="CY292" s="2043">
        <v>0</v>
      </c>
      <c r="CZ292" s="2043">
        <v>0</v>
      </c>
      <c r="DA292" s="2043">
        <v>0</v>
      </c>
      <c r="DB292" s="2043">
        <v>0</v>
      </c>
      <c r="DC292" s="2043">
        <v>0</v>
      </c>
      <c r="DI292" t="s">
        <v>4989</v>
      </c>
      <c r="DJ292" t="s">
        <v>2953</v>
      </c>
      <c r="DK292" s="2042">
        <f t="shared" si="6"/>
        <v>1</v>
      </c>
    </row>
    <row r="293" spans="1:115">
      <c r="A293" t="s">
        <v>4989</v>
      </c>
      <c r="B293" t="s">
        <v>369</v>
      </c>
      <c r="C293">
        <v>10662.267</v>
      </c>
      <c r="D293">
        <v>11165.558999999999</v>
      </c>
      <c r="E293">
        <v>1238.4190000000001</v>
      </c>
      <c r="F293">
        <v>0</v>
      </c>
      <c r="G293" s="2043">
        <v>5581000620</v>
      </c>
      <c r="H293">
        <v>0</v>
      </c>
      <c r="I293" s="2043">
        <v>18470257</v>
      </c>
      <c r="J293">
        <v>533.11300000000006</v>
      </c>
      <c r="K293">
        <v>1457</v>
      </c>
      <c r="L293">
        <v>0</v>
      </c>
      <c r="M293">
        <v>0</v>
      </c>
      <c r="N293">
        <v>0</v>
      </c>
      <c r="O293">
        <v>0</v>
      </c>
      <c r="P293">
        <v>0</v>
      </c>
      <c r="Q293">
        <v>0</v>
      </c>
      <c r="R293" s="2043">
        <v>46884967</v>
      </c>
      <c r="S293">
        <v>4425197</v>
      </c>
      <c r="T293">
        <v>2671713</v>
      </c>
      <c r="U293">
        <v>0.08</v>
      </c>
      <c r="V293">
        <v>0</v>
      </c>
      <c r="W293">
        <v>0</v>
      </c>
      <c r="X293">
        <v>0</v>
      </c>
      <c r="Y293">
        <v>-6546</v>
      </c>
      <c r="Z293">
        <v>0</v>
      </c>
      <c r="AA293">
        <v>1.3</v>
      </c>
      <c r="AB293">
        <v>11043.476000000001</v>
      </c>
      <c r="AC293" s="2043">
        <v>4846080878</v>
      </c>
      <c r="AD293">
        <v>18819662</v>
      </c>
      <c r="AE293" s="2043">
        <v>53981877</v>
      </c>
      <c r="AF293">
        <v>0.9759000000000001</v>
      </c>
      <c r="AG293">
        <v>0</v>
      </c>
      <c r="AH293">
        <v>0</v>
      </c>
      <c r="AI293">
        <v>0</v>
      </c>
      <c r="AJ293">
        <v>2328.1880000000001</v>
      </c>
      <c r="AK293">
        <v>30594</v>
      </c>
      <c r="AL293">
        <v>1.214</v>
      </c>
      <c r="AM293">
        <v>0</v>
      </c>
      <c r="AN293">
        <v>297.19400000000002</v>
      </c>
      <c r="AO293">
        <v>0</v>
      </c>
      <c r="AP293">
        <v>0</v>
      </c>
      <c r="AQ293">
        <v>3.2430000000000003</v>
      </c>
      <c r="AR293">
        <v>187.81100000000001</v>
      </c>
      <c r="AS293">
        <v>0</v>
      </c>
      <c r="AT293">
        <v>105.17500000000001</v>
      </c>
      <c r="AU293">
        <v>20.303000000000001</v>
      </c>
      <c r="AV293">
        <v>0</v>
      </c>
      <c r="AW293">
        <v>321.923</v>
      </c>
      <c r="AX293">
        <v>4.1770000000000005</v>
      </c>
      <c r="AY293">
        <v>996.15</v>
      </c>
      <c r="AZ293">
        <v>0</v>
      </c>
      <c r="BA293">
        <v>55775387</v>
      </c>
      <c r="BB293">
        <v>72801539</v>
      </c>
      <c r="BC293">
        <v>9414</v>
      </c>
      <c r="BD293">
        <v>424367</v>
      </c>
      <c r="BE293">
        <v>182265</v>
      </c>
      <c r="BF293">
        <v>689903</v>
      </c>
      <c r="BG293">
        <v>433781</v>
      </c>
      <c r="BH293">
        <v>73857</v>
      </c>
      <c r="BI293">
        <v>-6546</v>
      </c>
      <c r="BJ293">
        <v>0</v>
      </c>
      <c r="BK293">
        <v>0</v>
      </c>
      <c r="BL293">
        <v>5581000620</v>
      </c>
      <c r="BM293">
        <v>0</v>
      </c>
      <c r="BN293">
        <v>53001</v>
      </c>
      <c r="BO293">
        <v>40286</v>
      </c>
      <c r="BP293">
        <v>10983</v>
      </c>
      <c r="BQ293">
        <v>0</v>
      </c>
      <c r="BR293">
        <v>0.84760000000000002</v>
      </c>
      <c r="BS293">
        <v>0.84760000000000002</v>
      </c>
      <c r="BT293">
        <v>0</v>
      </c>
      <c r="BU293">
        <v>0</v>
      </c>
      <c r="BV293">
        <v>1873</v>
      </c>
      <c r="BW293">
        <v>1892</v>
      </c>
      <c r="BX293">
        <v>920</v>
      </c>
      <c r="BY293">
        <v>3249</v>
      </c>
      <c r="BZ293">
        <v>1362</v>
      </c>
      <c r="CA293">
        <v>9296</v>
      </c>
      <c r="CB293">
        <v>0</v>
      </c>
      <c r="CC293">
        <v>951.42100000000005</v>
      </c>
      <c r="CD293">
        <v>0</v>
      </c>
      <c r="CE293">
        <v>383</v>
      </c>
      <c r="CF293">
        <v>2714.7930000000001</v>
      </c>
      <c r="CG293">
        <v>38.891000000000005</v>
      </c>
      <c r="CH293">
        <v>2.927</v>
      </c>
      <c r="CI293">
        <v>12</v>
      </c>
      <c r="CJ293">
        <v>0</v>
      </c>
      <c r="CK293">
        <v>1</v>
      </c>
      <c r="CL293">
        <v>41.818000000000005</v>
      </c>
      <c r="CM293">
        <v>1238.4190000000001</v>
      </c>
      <c r="CN293">
        <v>0</v>
      </c>
      <c r="CO293">
        <v>10983</v>
      </c>
      <c r="CP293">
        <v>0</v>
      </c>
      <c r="CQ293">
        <v>0</v>
      </c>
      <c r="CR293">
        <v>0</v>
      </c>
      <c r="CS293">
        <v>388.476</v>
      </c>
      <c r="CT293">
        <v>0</v>
      </c>
      <c r="CU293">
        <v>39.603999999999999</v>
      </c>
      <c r="CV293">
        <v>853.58100000000002</v>
      </c>
      <c r="CW293">
        <v>588.31299999999999</v>
      </c>
      <c r="CX293">
        <v>0</v>
      </c>
      <c r="CY293" s="2043">
        <v>0</v>
      </c>
      <c r="CZ293" s="2043">
        <v>0</v>
      </c>
      <c r="DA293" s="2043">
        <v>0</v>
      </c>
      <c r="DB293" s="2043">
        <v>0</v>
      </c>
      <c r="DC293" s="2043">
        <v>0</v>
      </c>
      <c r="DI293" t="s">
        <v>2954</v>
      </c>
      <c r="DJ293" t="s">
        <v>4989</v>
      </c>
      <c r="DK293" s="2042">
        <f t="shared" si="6"/>
        <v>2</v>
      </c>
    </row>
    <row r="294" spans="1:115">
      <c r="A294" t="s">
        <v>2955</v>
      </c>
      <c r="B294" t="s">
        <v>625</v>
      </c>
      <c r="C294">
        <v>24798.162</v>
      </c>
      <c r="D294">
        <v>26665.396000000001</v>
      </c>
      <c r="E294">
        <v>5375.7970000000005</v>
      </c>
      <c r="F294">
        <v>0</v>
      </c>
      <c r="G294" s="2043">
        <v>10044958517</v>
      </c>
      <c r="H294">
        <v>0</v>
      </c>
      <c r="I294" s="2043">
        <v>40749324</v>
      </c>
      <c r="J294">
        <v>1239.9080000000001</v>
      </c>
      <c r="K294">
        <v>3390</v>
      </c>
      <c r="L294">
        <v>0</v>
      </c>
      <c r="M294">
        <v>14701162</v>
      </c>
      <c r="N294">
        <v>0</v>
      </c>
      <c r="O294">
        <v>14701162</v>
      </c>
      <c r="P294">
        <v>0</v>
      </c>
      <c r="Q294">
        <v>0</v>
      </c>
      <c r="R294" s="2043">
        <v>81770556</v>
      </c>
      <c r="S294">
        <v>7958205</v>
      </c>
      <c r="T294">
        <v>5799542</v>
      </c>
      <c r="U294">
        <v>0.08</v>
      </c>
      <c r="V294">
        <v>0</v>
      </c>
      <c r="W294">
        <v>0</v>
      </c>
      <c r="X294">
        <v>0</v>
      </c>
      <c r="Y294">
        <v>-5311</v>
      </c>
      <c r="Z294">
        <v>0</v>
      </c>
      <c r="AA294">
        <v>2.355</v>
      </c>
      <c r="AB294">
        <v>25937.717000000001</v>
      </c>
      <c r="AC294" s="2043">
        <v>7192701425</v>
      </c>
      <c r="AD294">
        <v>41360127</v>
      </c>
      <c r="AE294" s="2043">
        <v>95528303</v>
      </c>
      <c r="AF294">
        <v>0.96030000000000004</v>
      </c>
      <c r="AG294">
        <v>0</v>
      </c>
      <c r="AH294">
        <v>0</v>
      </c>
      <c r="AI294">
        <v>0</v>
      </c>
      <c r="AJ294">
        <v>5069.875</v>
      </c>
      <c r="AK294">
        <v>67185</v>
      </c>
      <c r="AL294">
        <v>1.514</v>
      </c>
      <c r="AM294">
        <v>0</v>
      </c>
      <c r="AN294">
        <v>951.14400000000001</v>
      </c>
      <c r="AO294">
        <v>0</v>
      </c>
      <c r="AP294">
        <v>0</v>
      </c>
      <c r="AQ294">
        <v>0</v>
      </c>
      <c r="AR294">
        <v>289.947</v>
      </c>
      <c r="AS294">
        <v>0</v>
      </c>
      <c r="AT294">
        <v>229.369</v>
      </c>
      <c r="AU294">
        <v>48.394000000000005</v>
      </c>
      <c r="AV294">
        <v>0</v>
      </c>
      <c r="AW294">
        <v>597.59800000000007</v>
      </c>
      <c r="AX294">
        <v>28.374000000000002</v>
      </c>
      <c r="AY294">
        <v>1872.748</v>
      </c>
      <c r="AZ294">
        <v>0</v>
      </c>
      <c r="BA294">
        <v>161261867</v>
      </c>
      <c r="BB294">
        <v>136888430</v>
      </c>
      <c r="BC294">
        <v>0</v>
      </c>
      <c r="BD294">
        <v>1028217</v>
      </c>
      <c r="BE294">
        <v>455790</v>
      </c>
      <c r="BF294">
        <v>1890757</v>
      </c>
      <c r="BG294">
        <v>1028217</v>
      </c>
      <c r="BH294">
        <v>406750</v>
      </c>
      <c r="BI294">
        <v>0</v>
      </c>
      <c r="BJ294">
        <v>-5311</v>
      </c>
      <c r="BK294">
        <v>0</v>
      </c>
      <c r="BL294">
        <v>10044958517</v>
      </c>
      <c r="BM294">
        <v>0</v>
      </c>
      <c r="BN294">
        <v>105111</v>
      </c>
      <c r="BO294">
        <v>36541</v>
      </c>
      <c r="BP294">
        <v>26935</v>
      </c>
      <c r="BQ294">
        <v>0</v>
      </c>
      <c r="BR294">
        <v>0.82200000000000006</v>
      </c>
      <c r="BS294">
        <v>0.82200000000000006</v>
      </c>
      <c r="BT294">
        <v>0</v>
      </c>
      <c r="BU294">
        <v>0</v>
      </c>
      <c r="BV294">
        <v>3602</v>
      </c>
      <c r="BW294">
        <v>4262</v>
      </c>
      <c r="BX294">
        <v>4408</v>
      </c>
      <c r="BY294">
        <v>3680</v>
      </c>
      <c r="BZ294">
        <v>4288</v>
      </c>
      <c r="CA294">
        <v>20240</v>
      </c>
      <c r="CB294">
        <v>0</v>
      </c>
      <c r="CC294">
        <v>3026.5480000000002</v>
      </c>
      <c r="CD294">
        <v>343.88200000000001</v>
      </c>
      <c r="CE294">
        <v>1244</v>
      </c>
      <c r="CF294">
        <v>7564.3330000000005</v>
      </c>
      <c r="CG294">
        <v>184.65100000000001</v>
      </c>
      <c r="CH294">
        <v>0.93600000000000005</v>
      </c>
      <c r="CI294">
        <v>158</v>
      </c>
      <c r="CJ294">
        <v>71</v>
      </c>
      <c r="CK294">
        <v>1</v>
      </c>
      <c r="CL294">
        <v>185.58700000000002</v>
      </c>
      <c r="CM294">
        <v>5375.7970000000005</v>
      </c>
      <c r="CN294">
        <v>0</v>
      </c>
      <c r="CO294">
        <v>14368</v>
      </c>
      <c r="CP294">
        <v>12567</v>
      </c>
      <c r="CQ294">
        <v>0</v>
      </c>
      <c r="CR294">
        <v>0</v>
      </c>
      <c r="CS294">
        <v>17.150000000000002</v>
      </c>
      <c r="CT294">
        <v>0</v>
      </c>
      <c r="CU294">
        <v>90.422000000000011</v>
      </c>
      <c r="CV294">
        <v>1589.798</v>
      </c>
      <c r="CW294">
        <v>866.11900000000003</v>
      </c>
      <c r="CX294">
        <v>0</v>
      </c>
      <c r="CY294" s="2043">
        <v>0</v>
      </c>
      <c r="CZ294" s="2043">
        <v>0</v>
      </c>
      <c r="DA294" s="2043">
        <v>0</v>
      </c>
      <c r="DB294" s="2043">
        <v>0</v>
      </c>
      <c r="DC294" s="2043">
        <v>0</v>
      </c>
      <c r="DI294" t="s">
        <v>2955</v>
      </c>
      <c r="DJ294" t="s">
        <v>2955</v>
      </c>
      <c r="DK294" s="2042">
        <f t="shared" si="6"/>
        <v>0</v>
      </c>
    </row>
    <row r="295" spans="1:115">
      <c r="A295" t="s">
        <v>2956</v>
      </c>
      <c r="B295" t="s">
        <v>39</v>
      </c>
      <c r="C295">
        <v>29049.374</v>
      </c>
      <c r="D295">
        <v>31120.974999999999</v>
      </c>
      <c r="E295">
        <v>9927.8270000000011</v>
      </c>
      <c r="F295">
        <v>0</v>
      </c>
      <c r="G295" s="2043">
        <v>16414509269</v>
      </c>
      <c r="H295">
        <v>0</v>
      </c>
      <c r="I295" s="2043">
        <v>45277025</v>
      </c>
      <c r="J295">
        <v>1452.4690000000001</v>
      </c>
      <c r="K295">
        <v>3971</v>
      </c>
      <c r="L295">
        <v>0</v>
      </c>
      <c r="M295">
        <v>14152487</v>
      </c>
      <c r="N295">
        <v>0</v>
      </c>
      <c r="O295">
        <v>14152487</v>
      </c>
      <c r="P295">
        <v>0</v>
      </c>
      <c r="Q295">
        <v>0</v>
      </c>
      <c r="R295" s="2043">
        <v>134798541</v>
      </c>
      <c r="S295">
        <v>12868596</v>
      </c>
      <c r="T295">
        <v>3378006</v>
      </c>
      <c r="U295">
        <v>0.08</v>
      </c>
      <c r="V295">
        <v>0</v>
      </c>
      <c r="W295">
        <v>0</v>
      </c>
      <c r="X295">
        <v>0</v>
      </c>
      <c r="Y295">
        <v>0</v>
      </c>
      <c r="Z295">
        <v>0.44500000000000001</v>
      </c>
      <c r="AA295">
        <v>5.6690000000000005</v>
      </c>
      <c r="AB295">
        <v>30249.473000000002</v>
      </c>
      <c r="AC295" s="2043">
        <v>12689714671</v>
      </c>
      <c r="AD295">
        <v>43222389</v>
      </c>
      <c r="AE295" s="2043">
        <v>151045143</v>
      </c>
      <c r="AF295">
        <v>0.93900000000000006</v>
      </c>
      <c r="AG295">
        <v>0</v>
      </c>
      <c r="AH295">
        <v>0</v>
      </c>
      <c r="AI295">
        <v>0</v>
      </c>
      <c r="AJ295">
        <v>7175.4000000000005</v>
      </c>
      <c r="AK295">
        <v>70134</v>
      </c>
      <c r="AL295">
        <v>2.5220000000000002</v>
      </c>
      <c r="AM295">
        <v>0</v>
      </c>
      <c r="AN295">
        <v>562.13</v>
      </c>
      <c r="AO295">
        <v>0</v>
      </c>
      <c r="AP295">
        <v>0</v>
      </c>
      <c r="AQ295">
        <v>0</v>
      </c>
      <c r="AR295">
        <v>484.00400000000002</v>
      </c>
      <c r="AS295">
        <v>0</v>
      </c>
      <c r="AT295">
        <v>206.571</v>
      </c>
      <c r="AU295">
        <v>52.125</v>
      </c>
      <c r="AV295">
        <v>0</v>
      </c>
      <c r="AW295">
        <v>791.029</v>
      </c>
      <c r="AX295">
        <v>45.807000000000002</v>
      </c>
      <c r="AY295">
        <v>2450.3160000000003</v>
      </c>
      <c r="AZ295">
        <v>0</v>
      </c>
      <c r="BA295">
        <v>148637512</v>
      </c>
      <c r="BB295">
        <v>194267532</v>
      </c>
      <c r="BC295">
        <v>0</v>
      </c>
      <c r="BD295">
        <v>438413</v>
      </c>
      <c r="BE295">
        <v>396466</v>
      </c>
      <c r="BF295">
        <v>1026497</v>
      </c>
      <c r="BG295">
        <v>438413</v>
      </c>
      <c r="BH295">
        <v>191618</v>
      </c>
      <c r="BI295">
        <v>0</v>
      </c>
      <c r="BJ295">
        <v>0</v>
      </c>
      <c r="BK295">
        <v>0</v>
      </c>
      <c r="BL295">
        <v>16414509269</v>
      </c>
      <c r="BM295">
        <v>0</v>
      </c>
      <c r="BN295">
        <v>114939</v>
      </c>
      <c r="BO295">
        <v>86542</v>
      </c>
      <c r="BP295">
        <v>87263</v>
      </c>
      <c r="BQ295">
        <v>0</v>
      </c>
      <c r="BR295">
        <v>0.83800000000000008</v>
      </c>
      <c r="BS295">
        <v>0.83800000000000008</v>
      </c>
      <c r="BT295">
        <v>0</v>
      </c>
      <c r="BU295">
        <v>0</v>
      </c>
      <c r="BV295">
        <v>1916</v>
      </c>
      <c r="BW295">
        <v>3298</v>
      </c>
      <c r="BX295">
        <v>6977</v>
      </c>
      <c r="BY295">
        <v>7838</v>
      </c>
      <c r="BZ295">
        <v>7852</v>
      </c>
      <c r="CA295">
        <v>27881</v>
      </c>
      <c r="CB295">
        <v>0</v>
      </c>
      <c r="CC295">
        <v>3993.6010000000001</v>
      </c>
      <c r="CD295">
        <v>535.71699999999998</v>
      </c>
      <c r="CE295">
        <v>2235</v>
      </c>
      <c r="CF295">
        <v>12135.614</v>
      </c>
      <c r="CG295">
        <v>166.93</v>
      </c>
      <c r="CH295">
        <v>0</v>
      </c>
      <c r="CI295">
        <v>123</v>
      </c>
      <c r="CJ295">
        <v>84</v>
      </c>
      <c r="CK295">
        <v>1</v>
      </c>
      <c r="CL295">
        <v>166.93</v>
      </c>
      <c r="CM295">
        <v>9927.8270000000011</v>
      </c>
      <c r="CN295">
        <v>0</v>
      </c>
      <c r="CO295">
        <v>25382</v>
      </c>
      <c r="CP295">
        <v>61881</v>
      </c>
      <c r="CQ295">
        <v>0</v>
      </c>
      <c r="CR295">
        <v>0</v>
      </c>
      <c r="CS295">
        <v>0</v>
      </c>
      <c r="CT295">
        <v>0</v>
      </c>
      <c r="CU295">
        <v>66.739000000000004</v>
      </c>
      <c r="CV295">
        <v>1117.376</v>
      </c>
      <c r="CW295">
        <v>1115.2750000000001</v>
      </c>
      <c r="CX295">
        <v>0</v>
      </c>
      <c r="CY295" s="2043">
        <v>0</v>
      </c>
      <c r="CZ295" s="2043">
        <v>0</v>
      </c>
      <c r="DA295" s="2043">
        <v>0</v>
      </c>
      <c r="DB295" s="2043">
        <v>0</v>
      </c>
      <c r="DC295" s="2043">
        <v>606196</v>
      </c>
      <c r="DI295" t="s">
        <v>4990</v>
      </c>
      <c r="DJ295" t="s">
        <v>2956</v>
      </c>
      <c r="DK295" s="2042">
        <f t="shared" si="6"/>
        <v>-1</v>
      </c>
    </row>
    <row r="296" spans="1:115">
      <c r="A296" t="s">
        <v>4990</v>
      </c>
      <c r="B296" t="s">
        <v>500</v>
      </c>
      <c r="C296">
        <v>6370.8230000000003</v>
      </c>
      <c r="D296">
        <v>6458.8609999999999</v>
      </c>
      <c r="E296">
        <v>56.957000000000001</v>
      </c>
      <c r="F296">
        <v>0</v>
      </c>
      <c r="G296" s="2043">
        <v>18276156816</v>
      </c>
      <c r="H296">
        <v>0</v>
      </c>
      <c r="I296" s="2043">
        <v>28651475</v>
      </c>
      <c r="J296">
        <v>318.541</v>
      </c>
      <c r="K296">
        <v>871</v>
      </c>
      <c r="L296">
        <v>0</v>
      </c>
      <c r="M296">
        <v>0</v>
      </c>
      <c r="N296">
        <v>0</v>
      </c>
      <c r="O296">
        <v>0</v>
      </c>
      <c r="P296">
        <v>0</v>
      </c>
      <c r="Q296">
        <v>0</v>
      </c>
      <c r="R296" s="2043">
        <v>143242716</v>
      </c>
      <c r="S296">
        <v>13007284</v>
      </c>
      <c r="T296">
        <v>0</v>
      </c>
      <c r="U296">
        <v>0.08</v>
      </c>
      <c r="V296">
        <v>19.02</v>
      </c>
      <c r="W296">
        <v>101068065</v>
      </c>
      <c r="X296">
        <v>0</v>
      </c>
      <c r="Y296">
        <v>235472</v>
      </c>
      <c r="Z296">
        <v>0</v>
      </c>
      <c r="AA296">
        <v>0</v>
      </c>
      <c r="AB296">
        <v>6458.8609999999999</v>
      </c>
      <c r="AC296" s="2043">
        <v>17934825279</v>
      </c>
      <c r="AD296">
        <v>27650000</v>
      </c>
      <c r="AE296" s="2043">
        <v>156250000</v>
      </c>
      <c r="AF296">
        <v>0.96100000000000008</v>
      </c>
      <c r="AG296">
        <v>0</v>
      </c>
      <c r="AH296">
        <v>101068065</v>
      </c>
      <c r="AI296">
        <v>0</v>
      </c>
      <c r="AJ296">
        <v>2.9250000000000003</v>
      </c>
      <c r="AK296">
        <v>17338</v>
      </c>
      <c r="AL296">
        <v>0.9840000000000001</v>
      </c>
      <c r="AM296">
        <v>0</v>
      </c>
      <c r="AN296">
        <v>133.38200000000001</v>
      </c>
      <c r="AO296">
        <v>0</v>
      </c>
      <c r="AP296">
        <v>2.2000000000000002E-2</v>
      </c>
      <c r="AQ296">
        <v>0</v>
      </c>
      <c r="AR296">
        <v>141.143</v>
      </c>
      <c r="AS296">
        <v>0</v>
      </c>
      <c r="AT296">
        <v>23.144000000000002</v>
      </c>
      <c r="AU296">
        <v>17.832000000000001</v>
      </c>
      <c r="AV296">
        <v>0</v>
      </c>
      <c r="AW296">
        <v>194.077</v>
      </c>
      <c r="AX296">
        <v>10.952</v>
      </c>
      <c r="AY296">
        <v>612.19000000000005</v>
      </c>
      <c r="AZ296">
        <v>0</v>
      </c>
      <c r="BA296">
        <v>3566631</v>
      </c>
      <c r="BB296">
        <v>183900000</v>
      </c>
      <c r="BC296">
        <v>0</v>
      </c>
      <c r="BD296">
        <v>0</v>
      </c>
      <c r="BE296">
        <v>37233</v>
      </c>
      <c r="BF296">
        <v>42483</v>
      </c>
      <c r="BG296">
        <v>0</v>
      </c>
      <c r="BH296">
        <v>5250</v>
      </c>
      <c r="BI296">
        <v>0</v>
      </c>
      <c r="BJ296">
        <v>0</v>
      </c>
      <c r="BK296">
        <v>0</v>
      </c>
      <c r="BL296">
        <v>18276156816</v>
      </c>
      <c r="BM296">
        <v>0</v>
      </c>
      <c r="BN296">
        <v>25335</v>
      </c>
      <c r="BO296">
        <v>193</v>
      </c>
      <c r="BP296">
        <v>28905</v>
      </c>
      <c r="BQ296">
        <v>0</v>
      </c>
      <c r="BR296">
        <v>0.88100000000000001</v>
      </c>
      <c r="BS296">
        <v>0.88100000000000001</v>
      </c>
      <c r="BT296">
        <v>0</v>
      </c>
      <c r="BU296">
        <v>235472</v>
      </c>
      <c r="BV296">
        <v>13</v>
      </c>
      <c r="BW296">
        <v>0</v>
      </c>
      <c r="BX296">
        <v>0</v>
      </c>
      <c r="BY296">
        <v>0</v>
      </c>
      <c r="BZ296">
        <v>0</v>
      </c>
      <c r="CA296">
        <v>13</v>
      </c>
      <c r="CB296">
        <v>0</v>
      </c>
      <c r="CC296">
        <v>0</v>
      </c>
      <c r="CD296">
        <v>0</v>
      </c>
      <c r="CE296">
        <v>569</v>
      </c>
      <c r="CF296">
        <v>16.725000000000001</v>
      </c>
      <c r="CG296">
        <v>0</v>
      </c>
      <c r="CH296">
        <v>0</v>
      </c>
      <c r="CI296">
        <v>0</v>
      </c>
      <c r="CJ296">
        <v>307</v>
      </c>
      <c r="CK296">
        <v>10</v>
      </c>
      <c r="CL296">
        <v>0</v>
      </c>
      <c r="CM296">
        <v>56.957000000000001</v>
      </c>
      <c r="CN296">
        <v>12000</v>
      </c>
      <c r="CO296">
        <v>6000</v>
      </c>
      <c r="CP296">
        <v>9005</v>
      </c>
      <c r="CQ296">
        <v>1900</v>
      </c>
      <c r="CR296">
        <v>0</v>
      </c>
      <c r="CS296">
        <v>0</v>
      </c>
      <c r="CT296">
        <v>0</v>
      </c>
      <c r="CU296">
        <v>1.4630000000000001</v>
      </c>
      <c r="CV296">
        <v>242.85600000000002</v>
      </c>
      <c r="CW296">
        <v>85.631</v>
      </c>
      <c r="CX296">
        <v>0</v>
      </c>
      <c r="CY296" s="2043">
        <v>0</v>
      </c>
      <c r="CZ296" s="2043">
        <v>0</v>
      </c>
      <c r="DA296" s="2043">
        <v>0</v>
      </c>
      <c r="DB296" s="2043">
        <v>0</v>
      </c>
      <c r="DC296" s="2043">
        <v>0</v>
      </c>
      <c r="DI296" t="s">
        <v>2956</v>
      </c>
      <c r="DJ296" t="s">
        <v>4990</v>
      </c>
      <c r="DK296" s="2042">
        <f t="shared" si="6"/>
        <v>1</v>
      </c>
    </row>
    <row r="297" spans="1:115">
      <c r="A297" t="s">
        <v>4991</v>
      </c>
      <c r="B297" t="s">
        <v>1693</v>
      </c>
      <c r="C297">
        <v>6401.134</v>
      </c>
      <c r="D297">
        <v>6828.4610000000002</v>
      </c>
      <c r="E297">
        <v>379.52199999999999</v>
      </c>
      <c r="F297">
        <v>0</v>
      </c>
      <c r="G297" s="2043">
        <v>3560685814</v>
      </c>
      <c r="H297">
        <v>0</v>
      </c>
      <c r="I297" s="2043">
        <v>13787082</v>
      </c>
      <c r="J297">
        <v>320.05700000000002</v>
      </c>
      <c r="K297">
        <v>875</v>
      </c>
      <c r="L297">
        <v>0</v>
      </c>
      <c r="M297">
        <v>1673781</v>
      </c>
      <c r="N297">
        <v>0</v>
      </c>
      <c r="O297">
        <v>1673781</v>
      </c>
      <c r="P297">
        <v>0</v>
      </c>
      <c r="Q297">
        <v>0</v>
      </c>
      <c r="R297" s="2043">
        <v>31954613</v>
      </c>
      <c r="S297">
        <v>2850228</v>
      </c>
      <c r="T297">
        <v>1995159</v>
      </c>
      <c r="U297">
        <v>0.08</v>
      </c>
      <c r="V297">
        <v>0</v>
      </c>
      <c r="W297">
        <v>0</v>
      </c>
      <c r="X297">
        <v>0</v>
      </c>
      <c r="Y297">
        <v>0</v>
      </c>
      <c r="Z297">
        <v>0</v>
      </c>
      <c r="AA297">
        <v>0.14500000000000002</v>
      </c>
      <c r="AB297">
        <v>6685.8360000000002</v>
      </c>
      <c r="AC297" s="2043">
        <v>2735029275</v>
      </c>
      <c r="AD297">
        <v>15600000</v>
      </c>
      <c r="AE297" s="2043">
        <v>36800000</v>
      </c>
      <c r="AF297">
        <v>1.0329000000000002</v>
      </c>
      <c r="AG297">
        <v>0</v>
      </c>
      <c r="AH297">
        <v>0</v>
      </c>
      <c r="AI297">
        <v>0</v>
      </c>
      <c r="AJ297">
        <v>1477.2</v>
      </c>
      <c r="AK297">
        <v>17520</v>
      </c>
      <c r="AL297">
        <v>0.41400000000000003</v>
      </c>
      <c r="AM297">
        <v>0</v>
      </c>
      <c r="AN297">
        <v>76.587000000000003</v>
      </c>
      <c r="AO297">
        <v>0</v>
      </c>
      <c r="AP297">
        <v>0.151</v>
      </c>
      <c r="AQ297">
        <v>0</v>
      </c>
      <c r="AR297">
        <v>139.364</v>
      </c>
      <c r="AS297">
        <v>0</v>
      </c>
      <c r="AT297">
        <v>70.606000000000009</v>
      </c>
      <c r="AU297">
        <v>10.318</v>
      </c>
      <c r="AV297">
        <v>0</v>
      </c>
      <c r="AW297">
        <v>221.51700000000002</v>
      </c>
      <c r="AX297">
        <v>0.66400000000000003</v>
      </c>
      <c r="AY297">
        <v>685.505</v>
      </c>
      <c r="AZ297">
        <v>0</v>
      </c>
      <c r="BA297">
        <v>28949829</v>
      </c>
      <c r="BB297">
        <v>52400000</v>
      </c>
      <c r="BC297">
        <v>0</v>
      </c>
      <c r="BD297">
        <v>283107</v>
      </c>
      <c r="BE297">
        <v>95165</v>
      </c>
      <c r="BF297">
        <v>401856</v>
      </c>
      <c r="BG297">
        <v>283107</v>
      </c>
      <c r="BH297">
        <v>23584</v>
      </c>
      <c r="BI297">
        <v>0</v>
      </c>
      <c r="BJ297">
        <v>0</v>
      </c>
      <c r="BK297">
        <v>0</v>
      </c>
      <c r="BL297">
        <v>3560685814</v>
      </c>
      <c r="BM297">
        <v>0</v>
      </c>
      <c r="BN297">
        <v>24264</v>
      </c>
      <c r="BO297">
        <v>16906</v>
      </c>
      <c r="BP297">
        <v>0</v>
      </c>
      <c r="BQ297">
        <v>0</v>
      </c>
      <c r="BR297">
        <v>0.89690000000000003</v>
      </c>
      <c r="BS297">
        <v>0.89690000000000003</v>
      </c>
      <c r="BT297">
        <v>0</v>
      </c>
      <c r="BU297">
        <v>0</v>
      </c>
      <c r="BV297">
        <v>328</v>
      </c>
      <c r="BW297">
        <v>1848</v>
      </c>
      <c r="BX297">
        <v>1814</v>
      </c>
      <c r="BY297">
        <v>1184</v>
      </c>
      <c r="BZ297">
        <v>728</v>
      </c>
      <c r="CA297">
        <v>5902</v>
      </c>
      <c r="CB297">
        <v>0</v>
      </c>
      <c r="CC297">
        <v>259.46300000000002</v>
      </c>
      <c r="CD297">
        <v>0</v>
      </c>
      <c r="CE297">
        <v>153</v>
      </c>
      <c r="CF297">
        <v>1730.5170000000001</v>
      </c>
      <c r="CG297">
        <v>0</v>
      </c>
      <c r="CH297">
        <v>0</v>
      </c>
      <c r="CI297">
        <v>82</v>
      </c>
      <c r="CJ297">
        <v>18</v>
      </c>
      <c r="CK297">
        <v>1</v>
      </c>
      <c r="CL297">
        <v>0</v>
      </c>
      <c r="CM297">
        <v>379.52199999999999</v>
      </c>
      <c r="CN297">
        <v>0</v>
      </c>
      <c r="CO297">
        <v>0</v>
      </c>
      <c r="CP297">
        <v>0</v>
      </c>
      <c r="CQ297">
        <v>0</v>
      </c>
      <c r="CR297">
        <v>0</v>
      </c>
      <c r="CS297">
        <v>0</v>
      </c>
      <c r="CT297">
        <v>0</v>
      </c>
      <c r="CU297">
        <v>8.5000000000000006E-2</v>
      </c>
      <c r="CV297">
        <v>350.39500000000004</v>
      </c>
      <c r="CW297">
        <v>229.38800000000001</v>
      </c>
      <c r="CX297">
        <v>0</v>
      </c>
      <c r="CY297" s="2043">
        <v>0</v>
      </c>
      <c r="CZ297" s="2043">
        <v>0</v>
      </c>
      <c r="DA297" s="2043">
        <v>0</v>
      </c>
      <c r="DB297" s="2043">
        <v>0</v>
      </c>
      <c r="DC297" s="2043">
        <v>0</v>
      </c>
      <c r="DI297" t="s">
        <v>4991</v>
      </c>
      <c r="DJ297" t="s">
        <v>4991</v>
      </c>
      <c r="DK297" s="2042">
        <f t="shared" si="6"/>
        <v>0</v>
      </c>
    </row>
    <row r="298" spans="1:115">
      <c r="A298" t="s">
        <v>2957</v>
      </c>
      <c r="B298" t="s">
        <v>2392</v>
      </c>
      <c r="C298">
        <v>35374.874000000003</v>
      </c>
      <c r="D298">
        <v>36831.563999999998</v>
      </c>
      <c r="E298">
        <v>6026.951</v>
      </c>
      <c r="F298">
        <v>0</v>
      </c>
      <c r="G298" s="2043">
        <v>10948872749</v>
      </c>
      <c r="H298">
        <v>0</v>
      </c>
      <c r="I298" s="2043">
        <v>55669941</v>
      </c>
      <c r="J298">
        <v>1768.7440000000001</v>
      </c>
      <c r="K298">
        <v>4836</v>
      </c>
      <c r="L298">
        <v>1061101</v>
      </c>
      <c r="M298">
        <v>12603251</v>
      </c>
      <c r="N298">
        <v>1061101</v>
      </c>
      <c r="O298">
        <v>13664352</v>
      </c>
      <c r="P298">
        <v>0</v>
      </c>
      <c r="Q298">
        <v>0</v>
      </c>
      <c r="R298" s="2043">
        <v>89694151</v>
      </c>
      <c r="S298">
        <v>5455849</v>
      </c>
      <c r="T298">
        <v>0</v>
      </c>
      <c r="U298">
        <v>0.05</v>
      </c>
      <c r="V298">
        <v>1001.832</v>
      </c>
      <c r="W298">
        <v>0</v>
      </c>
      <c r="X298">
        <v>0</v>
      </c>
      <c r="Y298">
        <v>-3640</v>
      </c>
      <c r="Z298">
        <v>0</v>
      </c>
      <c r="AA298">
        <v>2.3420000000000001</v>
      </c>
      <c r="AB298">
        <v>36188.406999999999</v>
      </c>
      <c r="AC298" s="2043">
        <v>8576942630</v>
      </c>
      <c r="AD298">
        <v>47457100</v>
      </c>
      <c r="AE298" s="2043">
        <v>95150000</v>
      </c>
      <c r="AF298">
        <v>0.872</v>
      </c>
      <c r="AG298">
        <v>0</v>
      </c>
      <c r="AH298">
        <v>0</v>
      </c>
      <c r="AI298">
        <v>0</v>
      </c>
      <c r="AJ298">
        <v>7627.8</v>
      </c>
      <c r="AK298">
        <v>122735</v>
      </c>
      <c r="AL298">
        <v>4.7770000000000001</v>
      </c>
      <c r="AM298">
        <v>0</v>
      </c>
      <c r="AN298">
        <v>1798.3910000000001</v>
      </c>
      <c r="AO298">
        <v>1</v>
      </c>
      <c r="AP298">
        <v>0</v>
      </c>
      <c r="AQ298">
        <v>0.15</v>
      </c>
      <c r="AR298">
        <v>586.97800000000007</v>
      </c>
      <c r="AS298">
        <v>0</v>
      </c>
      <c r="AT298">
        <v>396.63499999999999</v>
      </c>
      <c r="AU298">
        <v>74.412999999999997</v>
      </c>
      <c r="AV298">
        <v>0</v>
      </c>
      <c r="AW298">
        <v>1063.876</v>
      </c>
      <c r="AX298">
        <v>0.92300000000000004</v>
      </c>
      <c r="AY298">
        <v>3348.9120000000003</v>
      </c>
      <c r="AZ298">
        <v>0</v>
      </c>
      <c r="BA298">
        <v>260255161</v>
      </c>
      <c r="BB298">
        <v>142607100</v>
      </c>
      <c r="BC298">
        <v>0</v>
      </c>
      <c r="BD298">
        <v>442938</v>
      </c>
      <c r="BE298">
        <v>557364</v>
      </c>
      <c r="BF298">
        <v>1176914</v>
      </c>
      <c r="BG298">
        <v>442938</v>
      </c>
      <c r="BH298">
        <v>176612</v>
      </c>
      <c r="BI298">
        <v>0</v>
      </c>
      <c r="BJ298">
        <v>-3640</v>
      </c>
      <c r="BK298">
        <v>0</v>
      </c>
      <c r="BL298">
        <v>10948872749</v>
      </c>
      <c r="BM298">
        <v>0</v>
      </c>
      <c r="BN298">
        <v>142461</v>
      </c>
      <c r="BO298">
        <v>18886</v>
      </c>
      <c r="BP298">
        <v>55497</v>
      </c>
      <c r="BQ298">
        <v>0</v>
      </c>
      <c r="BR298">
        <v>0.82200000000000006</v>
      </c>
      <c r="BS298">
        <v>0.82200000000000006</v>
      </c>
      <c r="BT298">
        <v>0</v>
      </c>
      <c r="BU298">
        <v>0</v>
      </c>
      <c r="BV298">
        <v>6030</v>
      </c>
      <c r="BW298">
        <v>6044</v>
      </c>
      <c r="BX298">
        <v>6343</v>
      </c>
      <c r="BY298">
        <v>6498</v>
      </c>
      <c r="BZ298">
        <v>5615</v>
      </c>
      <c r="CA298">
        <v>30530</v>
      </c>
      <c r="CB298">
        <v>0</v>
      </c>
      <c r="CC298">
        <v>4523.51</v>
      </c>
      <c r="CD298">
        <v>0</v>
      </c>
      <c r="CE298">
        <v>4048</v>
      </c>
      <c r="CF298">
        <v>11504.252</v>
      </c>
      <c r="CG298">
        <v>0</v>
      </c>
      <c r="CH298">
        <v>6.8050000000000006</v>
      </c>
      <c r="CI298">
        <v>162</v>
      </c>
      <c r="CJ298">
        <v>71</v>
      </c>
      <c r="CK298">
        <v>1</v>
      </c>
      <c r="CL298">
        <v>6.8050000000000006</v>
      </c>
      <c r="CM298">
        <v>6026.951</v>
      </c>
      <c r="CN298">
        <v>0</v>
      </c>
      <c r="CO298">
        <v>23148</v>
      </c>
      <c r="CP298">
        <v>32349</v>
      </c>
      <c r="CQ298">
        <v>0</v>
      </c>
      <c r="CR298">
        <v>0</v>
      </c>
      <c r="CS298">
        <v>0</v>
      </c>
      <c r="CT298">
        <v>0</v>
      </c>
      <c r="CU298">
        <v>124.352</v>
      </c>
      <c r="CV298">
        <v>2359.6980000000003</v>
      </c>
      <c r="CW298">
        <v>829.49900000000002</v>
      </c>
      <c r="CX298">
        <v>0</v>
      </c>
      <c r="CY298" s="2043">
        <v>0</v>
      </c>
      <c r="CZ298" s="2043">
        <v>0</v>
      </c>
      <c r="DA298" s="2043">
        <v>0</v>
      </c>
      <c r="DB298" s="2043">
        <v>0</v>
      </c>
      <c r="DC298" s="2043">
        <v>0</v>
      </c>
      <c r="DI298" t="s">
        <v>2957</v>
      </c>
      <c r="DJ298" t="s">
        <v>2957</v>
      </c>
      <c r="DK298" s="2042">
        <f t="shared" si="6"/>
        <v>0</v>
      </c>
    </row>
    <row r="299" spans="1:115">
      <c r="A299" t="s">
        <v>4994</v>
      </c>
      <c r="B299" t="s">
        <v>235</v>
      </c>
      <c r="C299">
        <v>12442.748</v>
      </c>
      <c r="D299">
        <v>12961.73</v>
      </c>
      <c r="E299">
        <v>1649.3610000000001</v>
      </c>
      <c r="F299">
        <v>0</v>
      </c>
      <c r="G299" s="2043">
        <v>14222110335</v>
      </c>
      <c r="H299">
        <v>0</v>
      </c>
      <c r="I299" s="2043">
        <v>34966449</v>
      </c>
      <c r="J299">
        <v>622.13700000000006</v>
      </c>
      <c r="K299">
        <v>1701</v>
      </c>
      <c r="L299">
        <v>0</v>
      </c>
      <c r="M299">
        <v>0</v>
      </c>
      <c r="N299">
        <v>0</v>
      </c>
      <c r="O299">
        <v>0</v>
      </c>
      <c r="P299">
        <v>0</v>
      </c>
      <c r="Q299">
        <v>0</v>
      </c>
      <c r="R299" s="2043">
        <v>128381340</v>
      </c>
      <c r="S299">
        <v>11299931</v>
      </c>
      <c r="T299">
        <v>8234824</v>
      </c>
      <c r="U299">
        <v>0.08</v>
      </c>
      <c r="V299">
        <v>0</v>
      </c>
      <c r="W299">
        <v>41436445</v>
      </c>
      <c r="X299">
        <v>3947062</v>
      </c>
      <c r="Y299">
        <v>191919</v>
      </c>
      <c r="Z299">
        <v>0</v>
      </c>
      <c r="AA299">
        <v>0</v>
      </c>
      <c r="AB299">
        <v>12865.396000000001</v>
      </c>
      <c r="AC299" s="2043">
        <v>12726769063</v>
      </c>
      <c r="AD299">
        <v>34577578</v>
      </c>
      <c r="AE299" s="2043">
        <v>147916095</v>
      </c>
      <c r="AF299">
        <v>1.0472000000000001</v>
      </c>
      <c r="AG299">
        <v>0</v>
      </c>
      <c r="AH299">
        <v>45383507</v>
      </c>
      <c r="AI299">
        <v>0</v>
      </c>
      <c r="AJ299">
        <v>269.39999999999998</v>
      </c>
      <c r="AK299">
        <v>31079</v>
      </c>
      <c r="AL299">
        <v>0.80400000000000005</v>
      </c>
      <c r="AM299">
        <v>0</v>
      </c>
      <c r="AN299">
        <v>372.88800000000003</v>
      </c>
      <c r="AO299">
        <v>0</v>
      </c>
      <c r="AP299">
        <v>0</v>
      </c>
      <c r="AQ299">
        <v>0</v>
      </c>
      <c r="AR299">
        <v>181.29600000000002</v>
      </c>
      <c r="AS299">
        <v>0</v>
      </c>
      <c r="AT299">
        <v>89.248000000000005</v>
      </c>
      <c r="AU299">
        <v>25.566000000000003</v>
      </c>
      <c r="AV299">
        <v>0</v>
      </c>
      <c r="AW299">
        <v>296.91399999999999</v>
      </c>
      <c r="AX299">
        <v>0</v>
      </c>
      <c r="AY299">
        <v>943.48200000000008</v>
      </c>
      <c r="AZ299">
        <v>0</v>
      </c>
      <c r="BA299">
        <v>7486848</v>
      </c>
      <c r="BB299">
        <v>182493673</v>
      </c>
      <c r="BC299">
        <v>2043</v>
      </c>
      <c r="BD299">
        <v>565300</v>
      </c>
      <c r="BE299">
        <v>231247</v>
      </c>
      <c r="BF299">
        <v>798590</v>
      </c>
      <c r="BG299">
        <v>567343</v>
      </c>
      <c r="BH299">
        <v>0</v>
      </c>
      <c r="BI299">
        <v>0</v>
      </c>
      <c r="BJ299">
        <v>-14053</v>
      </c>
      <c r="BK299">
        <v>0</v>
      </c>
      <c r="BL299">
        <v>14222110335</v>
      </c>
      <c r="BM299">
        <v>0</v>
      </c>
      <c r="BN299">
        <v>47808</v>
      </c>
      <c r="BO299">
        <v>16435</v>
      </c>
      <c r="BP299">
        <v>3124</v>
      </c>
      <c r="BQ299">
        <v>0</v>
      </c>
      <c r="BR299">
        <v>0.90890000000000004</v>
      </c>
      <c r="BS299">
        <v>0.90890000000000004</v>
      </c>
      <c r="BT299">
        <v>205972</v>
      </c>
      <c r="BU299">
        <v>0</v>
      </c>
      <c r="BV299">
        <v>790</v>
      </c>
      <c r="BW299">
        <v>169</v>
      </c>
      <c r="BX299">
        <v>114</v>
      </c>
      <c r="BY299">
        <v>73</v>
      </c>
      <c r="BZ299">
        <v>14</v>
      </c>
      <c r="CA299">
        <v>1160</v>
      </c>
      <c r="CB299">
        <v>0</v>
      </c>
      <c r="CC299">
        <v>160.18600000000001</v>
      </c>
      <c r="CD299">
        <v>157.27200000000002</v>
      </c>
      <c r="CE299">
        <v>786</v>
      </c>
      <c r="CF299">
        <v>1219.0040000000001</v>
      </c>
      <c r="CG299">
        <v>0</v>
      </c>
      <c r="CH299">
        <v>0</v>
      </c>
      <c r="CI299">
        <v>27</v>
      </c>
      <c r="CJ299">
        <v>453</v>
      </c>
      <c r="CK299">
        <v>6</v>
      </c>
      <c r="CL299">
        <v>0</v>
      </c>
      <c r="CM299">
        <v>1649.3610000000001</v>
      </c>
      <c r="CN299">
        <v>0</v>
      </c>
      <c r="CO299">
        <v>0</v>
      </c>
      <c r="CP299">
        <v>3124</v>
      </c>
      <c r="CQ299">
        <v>0</v>
      </c>
      <c r="CR299">
        <v>0</v>
      </c>
      <c r="CS299">
        <v>0</v>
      </c>
      <c r="CT299">
        <v>364.63200000000001</v>
      </c>
      <c r="CU299">
        <v>1.0550000000000002</v>
      </c>
      <c r="CV299">
        <v>461.875</v>
      </c>
      <c r="CW299">
        <v>355.00400000000002</v>
      </c>
      <c r="CX299">
        <v>205972</v>
      </c>
      <c r="CY299" s="2043">
        <v>0</v>
      </c>
      <c r="CZ299" s="2043">
        <v>0</v>
      </c>
      <c r="DA299" s="2043">
        <v>0</v>
      </c>
      <c r="DB299" s="2043">
        <v>0</v>
      </c>
      <c r="DC299" s="2043">
        <v>1170562</v>
      </c>
      <c r="DI299" t="s">
        <v>4992</v>
      </c>
      <c r="DJ299" t="s">
        <v>4994</v>
      </c>
      <c r="DK299" s="2042">
        <f t="shared" si="6"/>
        <v>-6</v>
      </c>
    </row>
    <row r="300" spans="1:115">
      <c r="A300" t="s">
        <v>4992</v>
      </c>
      <c r="B300" t="s">
        <v>1694</v>
      </c>
      <c r="C300">
        <v>34389.783000000003</v>
      </c>
      <c r="D300">
        <v>36982.826999999997</v>
      </c>
      <c r="E300">
        <v>7823.0910000000003</v>
      </c>
      <c r="F300">
        <v>0</v>
      </c>
      <c r="G300" s="2043">
        <v>27680903103</v>
      </c>
      <c r="H300">
        <v>0</v>
      </c>
      <c r="I300" s="2043">
        <v>55407809</v>
      </c>
      <c r="J300">
        <v>1719.489</v>
      </c>
      <c r="K300">
        <v>4701</v>
      </c>
      <c r="L300">
        <v>0</v>
      </c>
      <c r="M300">
        <v>0</v>
      </c>
      <c r="N300">
        <v>0</v>
      </c>
      <c r="O300">
        <v>0</v>
      </c>
      <c r="P300">
        <v>0</v>
      </c>
      <c r="Q300">
        <v>0</v>
      </c>
      <c r="R300" s="2043">
        <v>238773565</v>
      </c>
      <c r="S300">
        <v>21163179</v>
      </c>
      <c r="T300">
        <v>15422666</v>
      </c>
      <c r="U300">
        <v>0.08</v>
      </c>
      <c r="V300">
        <v>0</v>
      </c>
      <c r="W300">
        <v>0</v>
      </c>
      <c r="X300">
        <v>2278130</v>
      </c>
      <c r="Y300">
        <v>-10317</v>
      </c>
      <c r="Z300">
        <v>0</v>
      </c>
      <c r="AA300">
        <v>3.4820000000000002</v>
      </c>
      <c r="AB300">
        <v>36014.048999999999</v>
      </c>
      <c r="AC300" s="2043">
        <v>24779656575</v>
      </c>
      <c r="AD300">
        <v>92557808</v>
      </c>
      <c r="AE300" s="2043">
        <v>275359410</v>
      </c>
      <c r="AF300">
        <v>1.0409000000000002</v>
      </c>
      <c r="AG300">
        <v>0</v>
      </c>
      <c r="AH300">
        <v>2278130</v>
      </c>
      <c r="AI300">
        <v>0</v>
      </c>
      <c r="AJ300">
        <v>5345.4000000000005</v>
      </c>
      <c r="AK300">
        <v>130994</v>
      </c>
      <c r="AL300">
        <v>1.625</v>
      </c>
      <c r="AM300">
        <v>0</v>
      </c>
      <c r="AN300">
        <v>1522.7270000000001</v>
      </c>
      <c r="AO300">
        <v>1.8</v>
      </c>
      <c r="AP300">
        <v>12.842000000000001</v>
      </c>
      <c r="AQ300">
        <v>2.0920000000000001</v>
      </c>
      <c r="AR300">
        <v>788.12800000000004</v>
      </c>
      <c r="AS300">
        <v>0</v>
      </c>
      <c r="AT300">
        <v>340.38400000000001</v>
      </c>
      <c r="AU300">
        <v>104.938</v>
      </c>
      <c r="AV300">
        <v>0</v>
      </c>
      <c r="AW300">
        <v>1279.7630000000001</v>
      </c>
      <c r="AX300">
        <v>29.754000000000001</v>
      </c>
      <c r="AY300">
        <v>4021.4590000000003</v>
      </c>
      <c r="AZ300">
        <v>0</v>
      </c>
      <c r="BA300">
        <v>62003807</v>
      </c>
      <c r="BB300">
        <v>367917218</v>
      </c>
      <c r="BC300">
        <v>0</v>
      </c>
      <c r="BD300">
        <v>746718</v>
      </c>
      <c r="BE300">
        <v>689820</v>
      </c>
      <c r="BF300">
        <v>1801588</v>
      </c>
      <c r="BG300">
        <v>746718</v>
      </c>
      <c r="BH300">
        <v>365050</v>
      </c>
      <c r="BI300">
        <v>-10317</v>
      </c>
      <c r="BJ300">
        <v>0</v>
      </c>
      <c r="BK300">
        <v>0</v>
      </c>
      <c r="BL300">
        <v>27680903103</v>
      </c>
      <c r="BM300">
        <v>0</v>
      </c>
      <c r="BN300">
        <v>119916</v>
      </c>
      <c r="BO300">
        <v>39504</v>
      </c>
      <c r="BP300">
        <v>154494</v>
      </c>
      <c r="BQ300">
        <v>0</v>
      </c>
      <c r="BR300">
        <v>0.90260000000000007</v>
      </c>
      <c r="BS300">
        <v>0.90260000000000007</v>
      </c>
      <c r="BT300">
        <v>0</v>
      </c>
      <c r="BU300">
        <v>0</v>
      </c>
      <c r="BV300">
        <v>3652</v>
      </c>
      <c r="BW300">
        <v>4136</v>
      </c>
      <c r="BX300">
        <v>1934</v>
      </c>
      <c r="BY300">
        <v>3660</v>
      </c>
      <c r="BZ300">
        <v>7626</v>
      </c>
      <c r="CA300">
        <v>21008</v>
      </c>
      <c r="CB300">
        <v>0</v>
      </c>
      <c r="CC300">
        <v>1748.1590000000001</v>
      </c>
      <c r="CD300">
        <v>0</v>
      </c>
      <c r="CE300">
        <v>4044</v>
      </c>
      <c r="CF300">
        <v>9714.7810000000009</v>
      </c>
      <c r="CG300">
        <v>0</v>
      </c>
      <c r="CH300">
        <v>2.6220000000000003</v>
      </c>
      <c r="CI300">
        <v>155</v>
      </c>
      <c r="CJ300">
        <v>370</v>
      </c>
      <c r="CK300">
        <v>8</v>
      </c>
      <c r="CL300">
        <v>2.6220000000000003</v>
      </c>
      <c r="CM300">
        <v>7823.0910000000003</v>
      </c>
      <c r="CN300">
        <v>21254</v>
      </c>
      <c r="CO300">
        <v>74234</v>
      </c>
      <c r="CP300">
        <v>55506</v>
      </c>
      <c r="CQ300">
        <v>3500</v>
      </c>
      <c r="CR300">
        <v>0</v>
      </c>
      <c r="CS300">
        <v>1013.3760000000001</v>
      </c>
      <c r="CT300">
        <v>0</v>
      </c>
      <c r="CU300">
        <v>119.89</v>
      </c>
      <c r="CV300">
        <v>1178.828</v>
      </c>
      <c r="CW300">
        <v>658.59100000000001</v>
      </c>
      <c r="CX300">
        <v>0</v>
      </c>
      <c r="CY300" s="2043">
        <v>0</v>
      </c>
      <c r="CZ300" s="2043">
        <v>0</v>
      </c>
      <c r="DA300" s="2043">
        <v>0</v>
      </c>
      <c r="DB300" s="2043">
        <v>0</v>
      </c>
      <c r="DC300" s="2043">
        <v>62120</v>
      </c>
      <c r="DI300" t="s">
        <v>4993</v>
      </c>
      <c r="DJ300" t="s">
        <v>4992</v>
      </c>
      <c r="DK300" s="2042">
        <f t="shared" si="6"/>
        <v>3</v>
      </c>
    </row>
    <row r="301" spans="1:115">
      <c r="A301" t="s">
        <v>4993</v>
      </c>
      <c r="B301" t="s">
        <v>2541</v>
      </c>
      <c r="C301">
        <v>2004.2350000000001</v>
      </c>
      <c r="D301">
        <v>2001.8410000000001</v>
      </c>
      <c r="E301">
        <v>129.321</v>
      </c>
      <c r="F301">
        <v>0</v>
      </c>
      <c r="G301" s="2043">
        <v>1517492949</v>
      </c>
      <c r="H301">
        <v>0</v>
      </c>
      <c r="I301" s="2043">
        <v>5921455</v>
      </c>
      <c r="J301">
        <v>100.212</v>
      </c>
      <c r="K301">
        <v>274</v>
      </c>
      <c r="L301">
        <v>0</v>
      </c>
      <c r="M301">
        <v>0</v>
      </c>
      <c r="N301">
        <v>0</v>
      </c>
      <c r="O301">
        <v>0</v>
      </c>
      <c r="P301">
        <v>0</v>
      </c>
      <c r="Q301">
        <v>0</v>
      </c>
      <c r="R301" s="2043">
        <v>12313611</v>
      </c>
      <c r="S301">
        <v>1198405</v>
      </c>
      <c r="T301">
        <v>387984</v>
      </c>
      <c r="U301">
        <v>0.08</v>
      </c>
      <c r="V301">
        <v>0</v>
      </c>
      <c r="W301">
        <v>0</v>
      </c>
      <c r="X301">
        <v>46884</v>
      </c>
      <c r="Y301">
        <v>0</v>
      </c>
      <c r="Z301">
        <v>0</v>
      </c>
      <c r="AA301">
        <v>0</v>
      </c>
      <c r="AB301">
        <v>1986.3630000000001</v>
      </c>
      <c r="AC301" s="2043">
        <v>1263342834</v>
      </c>
      <c r="AD301">
        <v>6199694</v>
      </c>
      <c r="AE301" s="2043">
        <v>13900000</v>
      </c>
      <c r="AF301">
        <v>0.92790000000000006</v>
      </c>
      <c r="AG301">
        <v>0</v>
      </c>
      <c r="AH301">
        <v>46884</v>
      </c>
      <c r="AI301">
        <v>0</v>
      </c>
      <c r="AJ301">
        <v>79.825000000000003</v>
      </c>
      <c r="AK301">
        <v>8530</v>
      </c>
      <c r="AL301">
        <v>0.12200000000000001</v>
      </c>
      <c r="AM301">
        <v>0</v>
      </c>
      <c r="AN301">
        <v>7.6920000000000002</v>
      </c>
      <c r="AO301">
        <v>0</v>
      </c>
      <c r="AP301">
        <v>2.7800000000000002</v>
      </c>
      <c r="AQ301">
        <v>0</v>
      </c>
      <c r="AR301">
        <v>89.419000000000011</v>
      </c>
      <c r="AS301">
        <v>0</v>
      </c>
      <c r="AT301">
        <v>11.877000000000001</v>
      </c>
      <c r="AU301">
        <v>5.407</v>
      </c>
      <c r="AV301">
        <v>0</v>
      </c>
      <c r="AW301">
        <v>109.605</v>
      </c>
      <c r="AX301">
        <v>0</v>
      </c>
      <c r="AY301">
        <v>339.03900000000004</v>
      </c>
      <c r="AZ301">
        <v>0</v>
      </c>
      <c r="BA301">
        <v>5241811</v>
      </c>
      <c r="BB301">
        <v>20099694</v>
      </c>
      <c r="BC301">
        <v>0</v>
      </c>
      <c r="BD301">
        <v>76608</v>
      </c>
      <c r="BE301">
        <v>9696</v>
      </c>
      <c r="BF301">
        <v>86304</v>
      </c>
      <c r="BG301">
        <v>76608</v>
      </c>
      <c r="BH301">
        <v>0</v>
      </c>
      <c r="BI301">
        <v>0</v>
      </c>
      <c r="BJ301">
        <v>0</v>
      </c>
      <c r="BK301">
        <v>0</v>
      </c>
      <c r="BL301">
        <v>1517492949</v>
      </c>
      <c r="BM301">
        <v>0</v>
      </c>
      <c r="BN301">
        <v>6813</v>
      </c>
      <c r="BO301">
        <v>5125</v>
      </c>
      <c r="BP301">
        <v>4924</v>
      </c>
      <c r="BQ301">
        <v>0</v>
      </c>
      <c r="BR301">
        <v>0.82200000000000006</v>
      </c>
      <c r="BS301">
        <v>0.82200000000000006</v>
      </c>
      <c r="BT301">
        <v>0</v>
      </c>
      <c r="BU301">
        <v>0</v>
      </c>
      <c r="BV301">
        <v>139</v>
      </c>
      <c r="BW301">
        <v>176</v>
      </c>
      <c r="BX301">
        <v>1</v>
      </c>
      <c r="BY301">
        <v>8</v>
      </c>
      <c r="BZ301">
        <v>16</v>
      </c>
      <c r="CA301">
        <v>340</v>
      </c>
      <c r="CB301">
        <v>0</v>
      </c>
      <c r="CC301">
        <v>0</v>
      </c>
      <c r="CD301">
        <v>0</v>
      </c>
      <c r="CE301">
        <v>104</v>
      </c>
      <c r="CF301">
        <v>169.38200000000001</v>
      </c>
      <c r="CG301">
        <v>0</v>
      </c>
      <c r="CH301">
        <v>0</v>
      </c>
      <c r="CI301">
        <v>4</v>
      </c>
      <c r="CJ301">
        <v>74</v>
      </c>
      <c r="CK301">
        <v>0</v>
      </c>
      <c r="CL301">
        <v>0</v>
      </c>
      <c r="CM301">
        <v>129.321</v>
      </c>
      <c r="CN301">
        <v>0</v>
      </c>
      <c r="CO301">
        <v>0</v>
      </c>
      <c r="CP301">
        <v>4924</v>
      </c>
      <c r="CQ301">
        <v>0</v>
      </c>
      <c r="CR301">
        <v>0</v>
      </c>
      <c r="CS301">
        <v>0</v>
      </c>
      <c r="CT301">
        <v>0</v>
      </c>
      <c r="CU301">
        <v>18.647000000000002</v>
      </c>
      <c r="CV301">
        <v>100.211</v>
      </c>
      <c r="CW301">
        <v>79.593000000000004</v>
      </c>
      <c r="CX301">
        <v>0</v>
      </c>
      <c r="CY301" s="2043">
        <v>0</v>
      </c>
      <c r="CZ301" s="2043">
        <v>0</v>
      </c>
      <c r="DA301" s="2043">
        <v>0</v>
      </c>
      <c r="DB301" s="2043">
        <v>0</v>
      </c>
      <c r="DC301" s="2043">
        <v>562968</v>
      </c>
      <c r="DI301" t="s">
        <v>4994</v>
      </c>
      <c r="DJ301" t="s">
        <v>4993</v>
      </c>
      <c r="DK301" s="2042">
        <f t="shared" si="6"/>
        <v>3</v>
      </c>
    </row>
    <row r="302" spans="1:115">
      <c r="A302" t="s">
        <v>8504</v>
      </c>
      <c r="B302" t="s">
        <v>11299</v>
      </c>
      <c r="C302">
        <v>0</v>
      </c>
      <c r="D302">
        <v>0</v>
      </c>
      <c r="E302">
        <v>0</v>
      </c>
      <c r="F302">
        <v>0</v>
      </c>
      <c r="G302" s="2043">
        <v>0</v>
      </c>
      <c r="H302">
        <v>0</v>
      </c>
      <c r="I302" s="2043">
        <v>0</v>
      </c>
      <c r="J302">
        <v>0</v>
      </c>
      <c r="K302">
        <v>0</v>
      </c>
      <c r="L302">
        <v>0</v>
      </c>
      <c r="M302">
        <v>0</v>
      </c>
      <c r="N302">
        <v>0</v>
      </c>
      <c r="O302">
        <v>0</v>
      </c>
      <c r="P302">
        <v>0</v>
      </c>
      <c r="Q302">
        <v>0</v>
      </c>
      <c r="R302" s="2043">
        <v>0</v>
      </c>
      <c r="S302">
        <v>0</v>
      </c>
      <c r="T302">
        <v>0</v>
      </c>
      <c r="U302">
        <v>0</v>
      </c>
      <c r="V302">
        <v>0</v>
      </c>
      <c r="W302">
        <v>0</v>
      </c>
      <c r="X302">
        <v>0</v>
      </c>
      <c r="Y302">
        <v>495029</v>
      </c>
      <c r="Z302">
        <v>0</v>
      </c>
      <c r="AA302">
        <v>0</v>
      </c>
      <c r="AB302">
        <v>0</v>
      </c>
      <c r="AC302" s="2043">
        <v>0</v>
      </c>
      <c r="AD302">
        <v>0</v>
      </c>
      <c r="AE302" s="2043">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495029</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s="2043">
        <v>0</v>
      </c>
      <c r="CZ302" s="2043">
        <v>0</v>
      </c>
      <c r="DA302" s="2043">
        <v>0</v>
      </c>
      <c r="DB302" s="2043">
        <v>0</v>
      </c>
      <c r="DC302" s="2043">
        <v>0</v>
      </c>
      <c r="DI302" t="s">
        <v>8504</v>
      </c>
      <c r="DJ302" t="s">
        <v>8504</v>
      </c>
      <c r="DK302" s="2042">
        <f t="shared" si="6"/>
        <v>0</v>
      </c>
    </row>
    <row r="303" spans="1:115">
      <c r="A303" t="s">
        <v>5781</v>
      </c>
      <c r="B303" t="s">
        <v>236</v>
      </c>
      <c r="C303">
        <v>137.89400000000001</v>
      </c>
      <c r="D303">
        <v>134.13300000000001</v>
      </c>
      <c r="E303">
        <v>21.09</v>
      </c>
      <c r="F303">
        <v>0</v>
      </c>
      <c r="G303" s="2043">
        <v>62916780</v>
      </c>
      <c r="H303">
        <v>0</v>
      </c>
      <c r="I303" s="2043">
        <v>0</v>
      </c>
      <c r="J303">
        <v>6.8950000000000005</v>
      </c>
      <c r="K303">
        <v>19</v>
      </c>
      <c r="L303">
        <v>0</v>
      </c>
      <c r="M303">
        <v>0</v>
      </c>
      <c r="N303">
        <v>0</v>
      </c>
      <c r="O303">
        <v>0</v>
      </c>
      <c r="P303">
        <v>0</v>
      </c>
      <c r="Q303">
        <v>0</v>
      </c>
      <c r="R303" s="2043">
        <v>561752</v>
      </c>
      <c r="S303">
        <v>49201</v>
      </c>
      <c r="T303">
        <v>35855</v>
      </c>
      <c r="U303">
        <v>0.08</v>
      </c>
      <c r="V303">
        <v>0</v>
      </c>
      <c r="W303">
        <v>0</v>
      </c>
      <c r="X303">
        <v>0</v>
      </c>
      <c r="Y303">
        <v>92886</v>
      </c>
      <c r="Z303">
        <v>0</v>
      </c>
      <c r="AA303">
        <v>0</v>
      </c>
      <c r="AB303">
        <v>134.13300000000001</v>
      </c>
      <c r="AC303" s="2043">
        <v>110025648</v>
      </c>
      <c r="AD303">
        <v>0</v>
      </c>
      <c r="AE303" s="2043">
        <v>646808</v>
      </c>
      <c r="AF303">
        <v>1.0517000000000001</v>
      </c>
      <c r="AG303">
        <v>0</v>
      </c>
      <c r="AH303">
        <v>0</v>
      </c>
      <c r="AI303">
        <v>0</v>
      </c>
      <c r="AJ303">
        <v>26.05</v>
      </c>
      <c r="AK303">
        <v>379</v>
      </c>
      <c r="AL303">
        <v>0</v>
      </c>
      <c r="AM303">
        <v>0</v>
      </c>
      <c r="AN303">
        <v>3.504</v>
      </c>
      <c r="AO303">
        <v>0</v>
      </c>
      <c r="AP303">
        <v>0</v>
      </c>
      <c r="AQ303">
        <v>0</v>
      </c>
      <c r="AR303">
        <v>1.919</v>
      </c>
      <c r="AS303">
        <v>0</v>
      </c>
      <c r="AT303">
        <v>0</v>
      </c>
      <c r="AU303">
        <v>0.152</v>
      </c>
      <c r="AV303">
        <v>0</v>
      </c>
      <c r="AW303">
        <v>2.0710000000000002</v>
      </c>
      <c r="AX303">
        <v>0</v>
      </c>
      <c r="AY303">
        <v>6.5170000000000003</v>
      </c>
      <c r="AZ303">
        <v>0</v>
      </c>
      <c r="BA303">
        <v>1502565</v>
      </c>
      <c r="BB303">
        <v>646808</v>
      </c>
      <c r="BC303">
        <v>0</v>
      </c>
      <c r="BD303">
        <v>14850</v>
      </c>
      <c r="BE303">
        <v>0</v>
      </c>
      <c r="BF303">
        <v>14850</v>
      </c>
      <c r="BG303">
        <v>14850</v>
      </c>
      <c r="BH303">
        <v>0</v>
      </c>
      <c r="BI303">
        <v>0</v>
      </c>
      <c r="BJ303">
        <v>0</v>
      </c>
      <c r="BK303">
        <v>0</v>
      </c>
      <c r="BL303">
        <v>62916780</v>
      </c>
      <c r="BM303">
        <v>0</v>
      </c>
      <c r="BN303">
        <v>450</v>
      </c>
      <c r="BO303">
        <v>139</v>
      </c>
      <c r="BP303">
        <v>0</v>
      </c>
      <c r="BQ303">
        <v>0</v>
      </c>
      <c r="BR303">
        <v>0.91339999999999999</v>
      </c>
      <c r="BS303">
        <v>0.91339999999999999</v>
      </c>
      <c r="BT303">
        <v>0</v>
      </c>
      <c r="BU303">
        <v>7861</v>
      </c>
      <c r="BV303">
        <v>60</v>
      </c>
      <c r="BW303">
        <v>0</v>
      </c>
      <c r="BX303">
        <v>3</v>
      </c>
      <c r="BY303">
        <v>24</v>
      </c>
      <c r="BZ303">
        <v>20</v>
      </c>
      <c r="CA303">
        <v>107</v>
      </c>
      <c r="CB303">
        <v>0</v>
      </c>
      <c r="CC303">
        <v>0</v>
      </c>
      <c r="CD303">
        <v>0</v>
      </c>
      <c r="CE303">
        <v>9</v>
      </c>
      <c r="CF303">
        <v>40.054000000000002</v>
      </c>
      <c r="CG303">
        <v>0</v>
      </c>
      <c r="CH303">
        <v>0</v>
      </c>
      <c r="CI303">
        <v>1</v>
      </c>
      <c r="CJ303">
        <v>1</v>
      </c>
      <c r="CK303">
        <v>0</v>
      </c>
      <c r="CL303">
        <v>0</v>
      </c>
      <c r="CM303">
        <v>21.09</v>
      </c>
      <c r="CN303">
        <v>0</v>
      </c>
      <c r="CO303">
        <v>0</v>
      </c>
      <c r="CP303">
        <v>0</v>
      </c>
      <c r="CQ303">
        <v>0</v>
      </c>
      <c r="CR303">
        <v>0</v>
      </c>
      <c r="CS303">
        <v>0</v>
      </c>
      <c r="CT303">
        <v>0</v>
      </c>
      <c r="CU303">
        <v>0</v>
      </c>
      <c r="CV303">
        <v>8.6630000000000003</v>
      </c>
      <c r="CW303">
        <v>3.8620000000000001</v>
      </c>
      <c r="CX303">
        <v>0</v>
      </c>
      <c r="CY303" s="2043">
        <v>85025</v>
      </c>
      <c r="CZ303" s="2043">
        <v>0</v>
      </c>
      <c r="DA303" s="2043">
        <v>0</v>
      </c>
      <c r="DB303" s="2043">
        <v>0</v>
      </c>
      <c r="DC303" s="2043">
        <v>0</v>
      </c>
      <c r="DI303" t="s">
        <v>5781</v>
      </c>
      <c r="DJ303" t="s">
        <v>5781</v>
      </c>
      <c r="DK303" s="2042">
        <f t="shared" si="6"/>
        <v>0</v>
      </c>
    </row>
    <row r="304" spans="1:115">
      <c r="A304" t="s">
        <v>5782</v>
      </c>
      <c r="B304" t="s">
        <v>238</v>
      </c>
      <c r="C304">
        <v>1428.5940000000001</v>
      </c>
      <c r="D304">
        <v>1556.5820000000001</v>
      </c>
      <c r="E304">
        <v>70.72</v>
      </c>
      <c r="F304">
        <v>195325</v>
      </c>
      <c r="G304" s="2043">
        <v>513543598</v>
      </c>
      <c r="H304">
        <v>0</v>
      </c>
      <c r="I304" s="2043">
        <v>1949125</v>
      </c>
      <c r="J304">
        <v>71.430000000000007</v>
      </c>
      <c r="K304">
        <v>195</v>
      </c>
      <c r="L304">
        <v>0</v>
      </c>
      <c r="M304">
        <v>0</v>
      </c>
      <c r="N304">
        <v>0</v>
      </c>
      <c r="O304">
        <v>0</v>
      </c>
      <c r="P304">
        <v>0</v>
      </c>
      <c r="Q304">
        <v>0</v>
      </c>
      <c r="R304" s="2043">
        <v>4033872</v>
      </c>
      <c r="S304">
        <v>353306</v>
      </c>
      <c r="T304">
        <v>257472</v>
      </c>
      <c r="U304">
        <v>0.08</v>
      </c>
      <c r="V304">
        <v>0</v>
      </c>
      <c r="W304">
        <v>0</v>
      </c>
      <c r="X304">
        <v>0</v>
      </c>
      <c r="Y304">
        <v>1228648</v>
      </c>
      <c r="Z304">
        <v>0</v>
      </c>
      <c r="AA304">
        <v>0.56500000000000006</v>
      </c>
      <c r="AB304">
        <v>1540.019</v>
      </c>
      <c r="AC304" s="2043">
        <v>466437294</v>
      </c>
      <c r="AD304">
        <v>1974842</v>
      </c>
      <c r="AE304" s="2043">
        <v>4644650</v>
      </c>
      <c r="AF304">
        <v>1.0517000000000001</v>
      </c>
      <c r="AG304">
        <v>0</v>
      </c>
      <c r="AH304">
        <v>0</v>
      </c>
      <c r="AI304">
        <v>0</v>
      </c>
      <c r="AJ304">
        <v>343.15000000000003</v>
      </c>
      <c r="AK304">
        <v>5582</v>
      </c>
      <c r="AL304">
        <v>0</v>
      </c>
      <c r="AM304">
        <v>0</v>
      </c>
      <c r="AN304">
        <v>82.984999999999999</v>
      </c>
      <c r="AO304">
        <v>0</v>
      </c>
      <c r="AP304">
        <v>0</v>
      </c>
      <c r="AQ304">
        <v>0</v>
      </c>
      <c r="AR304">
        <v>22.666</v>
      </c>
      <c r="AS304">
        <v>0</v>
      </c>
      <c r="AT304">
        <v>12.129000000000001</v>
      </c>
      <c r="AU304">
        <v>3.3690000000000002</v>
      </c>
      <c r="AV304">
        <v>0</v>
      </c>
      <c r="AW304">
        <v>38.164000000000001</v>
      </c>
      <c r="AX304">
        <v>0</v>
      </c>
      <c r="AY304">
        <v>121.23</v>
      </c>
      <c r="AZ304">
        <v>0</v>
      </c>
      <c r="BA304">
        <v>12287019</v>
      </c>
      <c r="BB304">
        <v>6619492</v>
      </c>
      <c r="BC304">
        <v>0</v>
      </c>
      <c r="BD304">
        <v>48160</v>
      </c>
      <c r="BE304">
        <v>8173</v>
      </c>
      <c r="BF304">
        <v>56333</v>
      </c>
      <c r="BG304">
        <v>48160</v>
      </c>
      <c r="BH304">
        <v>0</v>
      </c>
      <c r="BI304">
        <v>0</v>
      </c>
      <c r="BJ304">
        <v>0</v>
      </c>
      <c r="BK304">
        <v>0</v>
      </c>
      <c r="BL304">
        <v>513543598</v>
      </c>
      <c r="BM304">
        <v>0</v>
      </c>
      <c r="BN304">
        <v>5787</v>
      </c>
      <c r="BO304">
        <v>4869</v>
      </c>
      <c r="BP304">
        <v>0</v>
      </c>
      <c r="BQ304">
        <v>40000</v>
      </c>
      <c r="BR304">
        <v>0.91339999999999999</v>
      </c>
      <c r="BS304">
        <v>0.91339999999999999</v>
      </c>
      <c r="BT304">
        <v>1033323</v>
      </c>
      <c r="BU304">
        <v>0</v>
      </c>
      <c r="BV304">
        <v>199</v>
      </c>
      <c r="BW304">
        <v>186</v>
      </c>
      <c r="BX304">
        <v>155</v>
      </c>
      <c r="BY304">
        <v>452</v>
      </c>
      <c r="BZ304">
        <v>352</v>
      </c>
      <c r="CA304">
        <v>1344</v>
      </c>
      <c r="CB304">
        <v>0</v>
      </c>
      <c r="CC304">
        <v>0</v>
      </c>
      <c r="CD304">
        <v>0</v>
      </c>
      <c r="CE304">
        <v>166</v>
      </c>
      <c r="CF304">
        <v>360.96</v>
      </c>
      <c r="CG304">
        <v>0</v>
      </c>
      <c r="CH304">
        <v>0</v>
      </c>
      <c r="CI304">
        <v>0</v>
      </c>
      <c r="CJ304">
        <v>0</v>
      </c>
      <c r="CK304">
        <v>0</v>
      </c>
      <c r="CL304">
        <v>0</v>
      </c>
      <c r="CM304">
        <v>70.72</v>
      </c>
      <c r="CN304">
        <v>0</v>
      </c>
      <c r="CO304">
        <v>0</v>
      </c>
      <c r="CP304">
        <v>0</v>
      </c>
      <c r="CQ304">
        <v>0</v>
      </c>
      <c r="CR304">
        <v>0</v>
      </c>
      <c r="CS304">
        <v>0</v>
      </c>
      <c r="CT304">
        <v>0</v>
      </c>
      <c r="CU304">
        <v>0</v>
      </c>
      <c r="CV304">
        <v>80.100999999999999</v>
      </c>
      <c r="CW304">
        <v>53.951000000000001</v>
      </c>
      <c r="CX304">
        <v>1033323</v>
      </c>
      <c r="CY304" s="2043">
        <v>0</v>
      </c>
      <c r="CZ304" s="2043">
        <v>0</v>
      </c>
      <c r="DA304" s="2043">
        <v>0</v>
      </c>
      <c r="DB304" s="2043">
        <v>195325</v>
      </c>
      <c r="DC304" s="2043">
        <v>82000</v>
      </c>
      <c r="DI304" t="s">
        <v>4995</v>
      </c>
      <c r="DJ304" t="s">
        <v>5782</v>
      </c>
      <c r="DK304" s="2042">
        <f t="shared" si="6"/>
        <v>-1</v>
      </c>
    </row>
    <row r="305" spans="1:115">
      <c r="A305" t="s">
        <v>4995</v>
      </c>
      <c r="B305" t="s">
        <v>237</v>
      </c>
      <c r="C305">
        <v>234.84900000000002</v>
      </c>
      <c r="D305">
        <v>242.80500000000001</v>
      </c>
      <c r="E305">
        <v>14.857000000000001</v>
      </c>
      <c r="F305">
        <v>0</v>
      </c>
      <c r="G305" s="2043">
        <v>1669347706</v>
      </c>
      <c r="H305">
        <v>0</v>
      </c>
      <c r="I305" s="2043">
        <v>984550</v>
      </c>
      <c r="J305">
        <v>9</v>
      </c>
      <c r="K305">
        <v>25</v>
      </c>
      <c r="L305">
        <v>0</v>
      </c>
      <c r="M305">
        <v>0</v>
      </c>
      <c r="N305">
        <v>0</v>
      </c>
      <c r="O305">
        <v>0</v>
      </c>
      <c r="P305">
        <v>0</v>
      </c>
      <c r="Q305">
        <v>0</v>
      </c>
      <c r="R305" s="2043">
        <v>13428052</v>
      </c>
      <c r="S305">
        <v>1302588</v>
      </c>
      <c r="T305">
        <v>949261</v>
      </c>
      <c r="U305">
        <v>0.08</v>
      </c>
      <c r="V305">
        <v>0</v>
      </c>
      <c r="W305">
        <v>10871859</v>
      </c>
      <c r="X305">
        <v>832057</v>
      </c>
      <c r="Y305">
        <v>40424</v>
      </c>
      <c r="Z305">
        <v>0</v>
      </c>
      <c r="AA305">
        <v>0</v>
      </c>
      <c r="AB305">
        <v>241.393</v>
      </c>
      <c r="AC305" s="2043">
        <v>1037665350</v>
      </c>
      <c r="AD305">
        <v>859195</v>
      </c>
      <c r="AE305" s="2043">
        <v>15679901</v>
      </c>
      <c r="AF305">
        <v>0.96300000000000008</v>
      </c>
      <c r="AG305">
        <v>0</v>
      </c>
      <c r="AH305">
        <v>11703916</v>
      </c>
      <c r="AI305">
        <v>0</v>
      </c>
      <c r="AJ305">
        <v>13.863000000000001</v>
      </c>
      <c r="AK305">
        <v>738</v>
      </c>
      <c r="AL305">
        <v>0</v>
      </c>
      <c r="AM305">
        <v>0</v>
      </c>
      <c r="AN305">
        <v>5.7120000000000006</v>
      </c>
      <c r="AO305">
        <v>0</v>
      </c>
      <c r="AP305">
        <v>0</v>
      </c>
      <c r="AQ305">
        <v>0</v>
      </c>
      <c r="AR305">
        <v>4.4480000000000004</v>
      </c>
      <c r="AS305">
        <v>0</v>
      </c>
      <c r="AT305">
        <v>0</v>
      </c>
      <c r="AU305">
        <v>0.21200000000000002</v>
      </c>
      <c r="AV305">
        <v>0</v>
      </c>
      <c r="AW305">
        <v>4.66</v>
      </c>
      <c r="AX305">
        <v>0</v>
      </c>
      <c r="AY305">
        <v>14.404</v>
      </c>
      <c r="AZ305">
        <v>0</v>
      </c>
      <c r="BA305">
        <v>165133</v>
      </c>
      <c r="BB305">
        <v>16539096</v>
      </c>
      <c r="BC305">
        <v>0</v>
      </c>
      <c r="BD305">
        <v>30336</v>
      </c>
      <c r="BE305">
        <v>0</v>
      </c>
      <c r="BF305">
        <v>30336</v>
      </c>
      <c r="BG305">
        <v>30336</v>
      </c>
      <c r="BH305">
        <v>0</v>
      </c>
      <c r="BI305">
        <v>0</v>
      </c>
      <c r="BJ305">
        <v>0</v>
      </c>
      <c r="BK305">
        <v>0</v>
      </c>
      <c r="BL305">
        <v>1669347706</v>
      </c>
      <c r="BM305">
        <v>0</v>
      </c>
      <c r="BN305">
        <v>603</v>
      </c>
      <c r="BO305">
        <v>621</v>
      </c>
      <c r="BP305">
        <v>0</v>
      </c>
      <c r="BQ305">
        <v>0</v>
      </c>
      <c r="BR305">
        <v>0.82469999999999999</v>
      </c>
      <c r="BS305">
        <v>0.82469999999999999</v>
      </c>
      <c r="BT305">
        <v>0</v>
      </c>
      <c r="BU305">
        <v>40424</v>
      </c>
      <c r="BV305">
        <v>27</v>
      </c>
      <c r="BW305">
        <v>15</v>
      </c>
      <c r="BX305">
        <v>3</v>
      </c>
      <c r="BY305">
        <v>8</v>
      </c>
      <c r="BZ305">
        <v>5</v>
      </c>
      <c r="CA305">
        <v>58</v>
      </c>
      <c r="CB305">
        <v>0</v>
      </c>
      <c r="CC305">
        <v>0</v>
      </c>
      <c r="CD305">
        <v>0</v>
      </c>
      <c r="CE305">
        <v>10</v>
      </c>
      <c r="CF305">
        <v>24.431000000000001</v>
      </c>
      <c r="CG305">
        <v>0</v>
      </c>
      <c r="CH305">
        <v>0</v>
      </c>
      <c r="CI305">
        <v>1</v>
      </c>
      <c r="CJ305">
        <v>5</v>
      </c>
      <c r="CK305">
        <v>0</v>
      </c>
      <c r="CL305">
        <v>0</v>
      </c>
      <c r="CM305">
        <v>14.857000000000001</v>
      </c>
      <c r="CN305">
        <v>0</v>
      </c>
      <c r="CO305">
        <v>0</v>
      </c>
      <c r="CP305">
        <v>0</v>
      </c>
      <c r="CQ305">
        <v>0</v>
      </c>
      <c r="CR305">
        <v>0</v>
      </c>
      <c r="CS305">
        <v>0</v>
      </c>
      <c r="CT305">
        <v>0</v>
      </c>
      <c r="CU305">
        <v>0</v>
      </c>
      <c r="CV305">
        <v>8.3890000000000011</v>
      </c>
      <c r="CW305">
        <v>4.5990000000000002</v>
      </c>
      <c r="CX305">
        <v>0</v>
      </c>
      <c r="CY305" s="2043">
        <v>0</v>
      </c>
      <c r="CZ305" s="2043">
        <v>0</v>
      </c>
      <c r="DA305" s="2043">
        <v>0</v>
      </c>
      <c r="DB305" s="2043">
        <v>0</v>
      </c>
      <c r="DC305" s="2043">
        <v>0</v>
      </c>
      <c r="DI305" t="s">
        <v>5782</v>
      </c>
      <c r="DJ305" t="s">
        <v>4995</v>
      </c>
      <c r="DK305" s="2042">
        <f t="shared" si="6"/>
        <v>1</v>
      </c>
    </row>
    <row r="306" spans="1:115">
      <c r="A306" t="s">
        <v>4996</v>
      </c>
      <c r="B306" t="s">
        <v>355</v>
      </c>
      <c r="C306">
        <v>231.71700000000001</v>
      </c>
      <c r="D306">
        <v>258.60500000000002</v>
      </c>
      <c r="E306">
        <v>27.5</v>
      </c>
      <c r="F306">
        <v>0</v>
      </c>
      <c r="G306" s="2043">
        <v>1694707218</v>
      </c>
      <c r="H306">
        <v>0</v>
      </c>
      <c r="I306" s="2043">
        <v>0</v>
      </c>
      <c r="J306">
        <v>11.586</v>
      </c>
      <c r="K306">
        <v>32</v>
      </c>
      <c r="L306">
        <v>0</v>
      </c>
      <c r="M306">
        <v>0</v>
      </c>
      <c r="N306">
        <v>0</v>
      </c>
      <c r="O306">
        <v>0</v>
      </c>
      <c r="P306">
        <v>0</v>
      </c>
      <c r="Q306">
        <v>0</v>
      </c>
      <c r="R306" s="2043">
        <v>15152108</v>
      </c>
      <c r="S306">
        <v>921661</v>
      </c>
      <c r="T306">
        <v>0</v>
      </c>
      <c r="U306">
        <v>0.05</v>
      </c>
      <c r="V306">
        <v>0</v>
      </c>
      <c r="W306">
        <v>11039533</v>
      </c>
      <c r="X306">
        <v>0</v>
      </c>
      <c r="Y306">
        <v>2443049</v>
      </c>
      <c r="Z306">
        <v>5.7920000000000007</v>
      </c>
      <c r="AA306">
        <v>0</v>
      </c>
      <c r="AB306">
        <v>253.54600000000002</v>
      </c>
      <c r="AC306" s="2043">
        <v>1037807875</v>
      </c>
      <c r="AD306">
        <v>19293</v>
      </c>
      <c r="AE306" s="2043">
        <v>16073769</v>
      </c>
      <c r="AF306">
        <v>0.872</v>
      </c>
      <c r="AG306">
        <v>0</v>
      </c>
      <c r="AH306">
        <v>11039533</v>
      </c>
      <c r="AI306">
        <v>0</v>
      </c>
      <c r="AJ306">
        <v>36.863</v>
      </c>
      <c r="AK306">
        <v>1059</v>
      </c>
      <c r="AL306">
        <v>0</v>
      </c>
      <c r="AM306">
        <v>0</v>
      </c>
      <c r="AN306">
        <v>10.678000000000001</v>
      </c>
      <c r="AO306">
        <v>0</v>
      </c>
      <c r="AP306">
        <v>0</v>
      </c>
      <c r="AQ306">
        <v>0</v>
      </c>
      <c r="AR306">
        <v>3.875</v>
      </c>
      <c r="AS306">
        <v>0</v>
      </c>
      <c r="AT306">
        <v>1.4020000000000001</v>
      </c>
      <c r="AU306">
        <v>0.38</v>
      </c>
      <c r="AV306">
        <v>0</v>
      </c>
      <c r="AW306">
        <v>5.657</v>
      </c>
      <c r="AX306">
        <v>0</v>
      </c>
      <c r="AY306">
        <v>17.731000000000002</v>
      </c>
      <c r="AZ306">
        <v>0</v>
      </c>
      <c r="BA306">
        <v>2575168</v>
      </c>
      <c r="BB306">
        <v>16093062</v>
      </c>
      <c r="BC306">
        <v>0</v>
      </c>
      <c r="BD306">
        <v>39508</v>
      </c>
      <c r="BE306">
        <v>0</v>
      </c>
      <c r="BF306">
        <v>39508</v>
      </c>
      <c r="BG306">
        <v>39508</v>
      </c>
      <c r="BH306">
        <v>0</v>
      </c>
      <c r="BI306">
        <v>0</v>
      </c>
      <c r="BJ306">
        <v>0</v>
      </c>
      <c r="BK306">
        <v>0</v>
      </c>
      <c r="BL306">
        <v>1694707218</v>
      </c>
      <c r="BM306">
        <v>0</v>
      </c>
      <c r="BN306">
        <v>603</v>
      </c>
      <c r="BO306">
        <v>578</v>
      </c>
      <c r="BP306">
        <v>0</v>
      </c>
      <c r="BQ306">
        <v>0</v>
      </c>
      <c r="BR306">
        <v>0.82200000000000006</v>
      </c>
      <c r="BS306">
        <v>0.82200000000000006</v>
      </c>
      <c r="BT306">
        <v>0</v>
      </c>
      <c r="BU306">
        <v>0</v>
      </c>
      <c r="BV306">
        <v>56</v>
      </c>
      <c r="BW306">
        <v>68</v>
      </c>
      <c r="BX306">
        <v>10</v>
      </c>
      <c r="BY306">
        <v>13</v>
      </c>
      <c r="BZ306">
        <v>8</v>
      </c>
      <c r="CA306">
        <v>155</v>
      </c>
      <c r="CB306">
        <v>0</v>
      </c>
      <c r="CC306">
        <v>0</v>
      </c>
      <c r="CD306">
        <v>0</v>
      </c>
      <c r="CE306">
        <v>19</v>
      </c>
      <c r="CF306">
        <v>58.784000000000006</v>
      </c>
      <c r="CG306">
        <v>0</v>
      </c>
      <c r="CH306">
        <v>0</v>
      </c>
      <c r="CI306">
        <v>1</v>
      </c>
      <c r="CJ306">
        <v>4</v>
      </c>
      <c r="CK306">
        <v>0</v>
      </c>
      <c r="CL306">
        <v>0</v>
      </c>
      <c r="CM306">
        <v>27.5</v>
      </c>
      <c r="CN306">
        <v>0</v>
      </c>
      <c r="CO306">
        <v>0</v>
      </c>
      <c r="CP306">
        <v>0</v>
      </c>
      <c r="CQ306">
        <v>0</v>
      </c>
      <c r="CR306">
        <v>0</v>
      </c>
      <c r="CS306">
        <v>0</v>
      </c>
      <c r="CT306">
        <v>0</v>
      </c>
      <c r="CU306">
        <v>0.56900000000000006</v>
      </c>
      <c r="CV306">
        <v>12.030000000000001</v>
      </c>
      <c r="CW306">
        <v>9.2880000000000003</v>
      </c>
      <c r="CX306">
        <v>0</v>
      </c>
      <c r="CY306" s="2043">
        <v>2443049</v>
      </c>
      <c r="CZ306" s="2043">
        <v>0</v>
      </c>
      <c r="DA306" s="2043">
        <v>0</v>
      </c>
      <c r="DB306" s="2043">
        <v>0</v>
      </c>
      <c r="DC306" s="2043">
        <v>165000</v>
      </c>
      <c r="DI306" t="s">
        <v>4996</v>
      </c>
      <c r="DJ306" t="s">
        <v>4996</v>
      </c>
      <c r="DK306" s="2042">
        <f t="shared" si="6"/>
        <v>0</v>
      </c>
    </row>
    <row r="307" spans="1:115">
      <c r="A307" t="s">
        <v>3768</v>
      </c>
      <c r="B307" t="s">
        <v>1760</v>
      </c>
      <c r="C307">
        <v>3577.5480000000002</v>
      </c>
      <c r="D307">
        <v>3633.8230000000003</v>
      </c>
      <c r="E307">
        <v>829.45400000000006</v>
      </c>
      <c r="F307">
        <v>237428</v>
      </c>
      <c r="G307" s="2043">
        <v>1704838686</v>
      </c>
      <c r="H307">
        <v>0</v>
      </c>
      <c r="I307" s="2043">
        <v>1913175</v>
      </c>
      <c r="J307">
        <v>116</v>
      </c>
      <c r="K307">
        <v>317</v>
      </c>
      <c r="L307">
        <v>0</v>
      </c>
      <c r="M307">
        <v>0</v>
      </c>
      <c r="N307">
        <v>0</v>
      </c>
      <c r="O307">
        <v>0</v>
      </c>
      <c r="P307">
        <v>950520</v>
      </c>
      <c r="Q307">
        <v>0</v>
      </c>
      <c r="R307" s="2043">
        <v>13597888</v>
      </c>
      <c r="S307">
        <v>780770</v>
      </c>
      <c r="T307">
        <v>0</v>
      </c>
      <c r="U307">
        <v>0.05</v>
      </c>
      <c r="V307">
        <v>0</v>
      </c>
      <c r="W307">
        <v>0</v>
      </c>
      <c r="X307">
        <v>0</v>
      </c>
      <c r="Y307">
        <v>237428</v>
      </c>
      <c r="Z307">
        <v>0</v>
      </c>
      <c r="AA307">
        <v>0.59100000000000008</v>
      </c>
      <c r="AB307">
        <v>3501.5710000000004</v>
      </c>
      <c r="AC307" s="2043">
        <v>1371563789</v>
      </c>
      <c r="AD307">
        <v>2073765</v>
      </c>
      <c r="AE307" s="2043">
        <v>14378658</v>
      </c>
      <c r="AF307">
        <v>0.92080000000000006</v>
      </c>
      <c r="AG307">
        <v>0</v>
      </c>
      <c r="AH307">
        <v>0</v>
      </c>
      <c r="AI307">
        <v>0</v>
      </c>
      <c r="AJ307">
        <v>779.05000000000007</v>
      </c>
      <c r="AK307">
        <v>11876</v>
      </c>
      <c r="AL307">
        <v>0.19500000000000001</v>
      </c>
      <c r="AM307">
        <v>0</v>
      </c>
      <c r="AN307">
        <v>11.315000000000001</v>
      </c>
      <c r="AO307">
        <v>0</v>
      </c>
      <c r="AP307">
        <v>0</v>
      </c>
      <c r="AQ307">
        <v>0</v>
      </c>
      <c r="AR307">
        <v>126.19300000000001</v>
      </c>
      <c r="AS307">
        <v>0</v>
      </c>
      <c r="AT307">
        <v>20.169</v>
      </c>
      <c r="AU307">
        <v>6.8710000000000004</v>
      </c>
      <c r="AV307">
        <v>0</v>
      </c>
      <c r="AW307">
        <v>158.94</v>
      </c>
      <c r="AX307">
        <v>5.5120000000000005</v>
      </c>
      <c r="AY307">
        <v>487.09400000000005</v>
      </c>
      <c r="AZ307">
        <v>0</v>
      </c>
      <c r="BA307">
        <v>19607125</v>
      </c>
      <c r="BB307">
        <v>16452423</v>
      </c>
      <c r="BC307">
        <v>0</v>
      </c>
      <c r="BD307">
        <v>153180</v>
      </c>
      <c r="BE307">
        <v>68954</v>
      </c>
      <c r="BF307">
        <v>222134</v>
      </c>
      <c r="BG307">
        <v>153180</v>
      </c>
      <c r="BH307">
        <v>0</v>
      </c>
      <c r="BI307">
        <v>0</v>
      </c>
      <c r="BJ307">
        <v>0</v>
      </c>
      <c r="BK307">
        <v>0</v>
      </c>
      <c r="BL307">
        <v>1704838686</v>
      </c>
      <c r="BM307">
        <v>0</v>
      </c>
      <c r="BN307">
        <v>13194</v>
      </c>
      <c r="BO307">
        <v>7009</v>
      </c>
      <c r="BP307">
        <v>0</v>
      </c>
      <c r="BQ307">
        <v>0</v>
      </c>
      <c r="BR307">
        <v>0.87080000000000002</v>
      </c>
      <c r="BS307">
        <v>0.87080000000000002</v>
      </c>
      <c r="BT307">
        <v>0</v>
      </c>
      <c r="BU307">
        <v>0</v>
      </c>
      <c r="BV307">
        <v>400</v>
      </c>
      <c r="BW307">
        <v>361</v>
      </c>
      <c r="BX307">
        <v>1006</v>
      </c>
      <c r="BY307">
        <v>895</v>
      </c>
      <c r="BZ307">
        <v>425</v>
      </c>
      <c r="CA307">
        <v>3087</v>
      </c>
      <c r="CB307">
        <v>0</v>
      </c>
      <c r="CC307">
        <v>0</v>
      </c>
      <c r="CD307">
        <v>0</v>
      </c>
      <c r="CE307">
        <v>187</v>
      </c>
      <c r="CF307">
        <v>1169.4190000000001</v>
      </c>
      <c r="CG307">
        <v>0</v>
      </c>
      <c r="CH307">
        <v>0</v>
      </c>
      <c r="CI307">
        <v>0</v>
      </c>
      <c r="CJ307">
        <v>0</v>
      </c>
      <c r="CK307">
        <v>1</v>
      </c>
      <c r="CL307">
        <v>0</v>
      </c>
      <c r="CM307">
        <v>829.45400000000006</v>
      </c>
      <c r="CN307">
        <v>0</v>
      </c>
      <c r="CO307">
        <v>0</v>
      </c>
      <c r="CP307">
        <v>0</v>
      </c>
      <c r="CQ307">
        <v>0</v>
      </c>
      <c r="CR307">
        <v>0</v>
      </c>
      <c r="CS307">
        <v>0</v>
      </c>
      <c r="CT307">
        <v>0</v>
      </c>
      <c r="CU307">
        <v>16.46</v>
      </c>
      <c r="CV307">
        <v>176.916</v>
      </c>
      <c r="CW307">
        <v>168.029</v>
      </c>
      <c r="CX307">
        <v>0</v>
      </c>
      <c r="CY307" s="2043">
        <v>0</v>
      </c>
      <c r="CZ307" s="2043">
        <v>0</v>
      </c>
      <c r="DA307" s="2043">
        <v>0</v>
      </c>
      <c r="DB307" s="2043">
        <v>237428</v>
      </c>
      <c r="DC307" s="2043">
        <v>0</v>
      </c>
      <c r="DI307" t="s">
        <v>3768</v>
      </c>
      <c r="DJ307" t="s">
        <v>3768</v>
      </c>
      <c r="DK307" s="2042">
        <f t="shared" si="6"/>
        <v>0</v>
      </c>
    </row>
    <row r="308" spans="1:115">
      <c r="A308" t="s">
        <v>5783</v>
      </c>
      <c r="B308" t="s">
        <v>1012</v>
      </c>
      <c r="C308">
        <v>130.119</v>
      </c>
      <c r="D308">
        <v>140.15600000000001</v>
      </c>
      <c r="E308">
        <v>13.073</v>
      </c>
      <c r="F308">
        <v>0</v>
      </c>
      <c r="G308" s="2043">
        <v>70835141</v>
      </c>
      <c r="H308">
        <v>0</v>
      </c>
      <c r="I308" s="2043">
        <v>108735</v>
      </c>
      <c r="J308">
        <v>1</v>
      </c>
      <c r="K308">
        <v>3</v>
      </c>
      <c r="L308">
        <v>0</v>
      </c>
      <c r="M308">
        <v>0</v>
      </c>
      <c r="N308">
        <v>0</v>
      </c>
      <c r="O308">
        <v>0</v>
      </c>
      <c r="P308">
        <v>0</v>
      </c>
      <c r="Q308">
        <v>0</v>
      </c>
      <c r="R308" s="2043">
        <v>620100</v>
      </c>
      <c r="S308">
        <v>34248</v>
      </c>
      <c r="T308">
        <v>0</v>
      </c>
      <c r="U308">
        <v>0.05</v>
      </c>
      <c r="V308">
        <v>0</v>
      </c>
      <c r="W308">
        <v>0</v>
      </c>
      <c r="X308">
        <v>0</v>
      </c>
      <c r="Y308">
        <v>0</v>
      </c>
      <c r="Z308">
        <v>0</v>
      </c>
      <c r="AA308">
        <v>0</v>
      </c>
      <c r="AB308">
        <v>131.392</v>
      </c>
      <c r="AC308" s="2043">
        <v>67743806</v>
      </c>
      <c r="AD308">
        <v>105994</v>
      </c>
      <c r="AE308" s="2043">
        <v>654348</v>
      </c>
      <c r="AF308">
        <v>0.95530000000000004</v>
      </c>
      <c r="AG308">
        <v>0</v>
      </c>
      <c r="AH308">
        <v>0</v>
      </c>
      <c r="AI308">
        <v>0</v>
      </c>
      <c r="AJ308">
        <v>21.2</v>
      </c>
      <c r="AK308">
        <v>752</v>
      </c>
      <c r="AL308">
        <v>0</v>
      </c>
      <c r="AM308">
        <v>0</v>
      </c>
      <c r="AN308">
        <v>0.29300000000000004</v>
      </c>
      <c r="AO308">
        <v>0</v>
      </c>
      <c r="AP308">
        <v>0</v>
      </c>
      <c r="AQ308">
        <v>0</v>
      </c>
      <c r="AR308">
        <v>5.5510000000000002</v>
      </c>
      <c r="AS308">
        <v>0</v>
      </c>
      <c r="AT308">
        <v>0</v>
      </c>
      <c r="AU308">
        <v>0.77700000000000002</v>
      </c>
      <c r="AV308">
        <v>0</v>
      </c>
      <c r="AW308">
        <v>6.3280000000000003</v>
      </c>
      <c r="AX308">
        <v>0</v>
      </c>
      <c r="AY308">
        <v>20.538</v>
      </c>
      <c r="AZ308">
        <v>0</v>
      </c>
      <c r="BA308">
        <v>1252661</v>
      </c>
      <c r="BB308">
        <v>760342</v>
      </c>
      <c r="BC308">
        <v>0</v>
      </c>
      <c r="BD308">
        <v>195840</v>
      </c>
      <c r="BE308">
        <v>8450</v>
      </c>
      <c r="BF308">
        <v>204290</v>
      </c>
      <c r="BG308">
        <v>195840</v>
      </c>
      <c r="BH308">
        <v>0</v>
      </c>
      <c r="BI308">
        <v>0</v>
      </c>
      <c r="BJ308">
        <v>0</v>
      </c>
      <c r="BK308">
        <v>0</v>
      </c>
      <c r="BL308">
        <v>70835141</v>
      </c>
      <c r="BM308">
        <v>0</v>
      </c>
      <c r="BN308">
        <v>0</v>
      </c>
      <c r="BO308">
        <v>0</v>
      </c>
      <c r="BP308">
        <v>0</v>
      </c>
      <c r="BQ308">
        <v>0</v>
      </c>
      <c r="BR308">
        <v>0.90529999999999999</v>
      </c>
      <c r="BS308">
        <v>0.90529999999999999</v>
      </c>
      <c r="BT308">
        <v>0</v>
      </c>
      <c r="BU308">
        <v>0</v>
      </c>
      <c r="BV308">
        <v>12</v>
      </c>
      <c r="BW308">
        <v>3</v>
      </c>
      <c r="BX308">
        <v>26</v>
      </c>
      <c r="BY308">
        <v>21</v>
      </c>
      <c r="BZ308">
        <v>21</v>
      </c>
      <c r="CA308">
        <v>83</v>
      </c>
      <c r="CB308">
        <v>0</v>
      </c>
      <c r="CC308">
        <v>0</v>
      </c>
      <c r="CD308">
        <v>0</v>
      </c>
      <c r="CE308">
        <v>7</v>
      </c>
      <c r="CF308">
        <v>49.506</v>
      </c>
      <c r="CG308">
        <v>0</v>
      </c>
      <c r="CH308">
        <v>0</v>
      </c>
      <c r="CI308">
        <v>0</v>
      </c>
      <c r="CJ308">
        <v>0</v>
      </c>
      <c r="CK308">
        <v>0</v>
      </c>
      <c r="CL308">
        <v>0</v>
      </c>
      <c r="CM308">
        <v>13.073</v>
      </c>
      <c r="CN308">
        <v>0</v>
      </c>
      <c r="CO308">
        <v>0</v>
      </c>
      <c r="CP308">
        <v>0</v>
      </c>
      <c r="CQ308">
        <v>0</v>
      </c>
      <c r="CR308">
        <v>0</v>
      </c>
      <c r="CS308">
        <v>0</v>
      </c>
      <c r="CT308">
        <v>0</v>
      </c>
      <c r="CU308">
        <v>0</v>
      </c>
      <c r="CV308">
        <v>0</v>
      </c>
      <c r="CW308">
        <v>0</v>
      </c>
      <c r="CX308">
        <v>0</v>
      </c>
      <c r="CY308" s="2043">
        <v>0</v>
      </c>
      <c r="CZ308" s="2043">
        <v>0</v>
      </c>
      <c r="DA308" s="2043">
        <v>0</v>
      </c>
      <c r="DB308" s="2043">
        <v>0</v>
      </c>
      <c r="DC308" s="2043">
        <v>0</v>
      </c>
      <c r="DI308" t="s">
        <v>5783</v>
      </c>
      <c r="DJ308" t="s">
        <v>5783</v>
      </c>
      <c r="DK308" s="2042">
        <f t="shared" si="6"/>
        <v>0</v>
      </c>
    </row>
    <row r="309" spans="1:115">
      <c r="A309" t="s">
        <v>2958</v>
      </c>
      <c r="B309" t="s">
        <v>1013</v>
      </c>
      <c r="C309">
        <v>756.43500000000006</v>
      </c>
      <c r="D309">
        <v>752.71900000000005</v>
      </c>
      <c r="E309">
        <v>18.462</v>
      </c>
      <c r="F309">
        <v>0</v>
      </c>
      <c r="G309" s="2043">
        <v>282406949</v>
      </c>
      <c r="H309">
        <v>0</v>
      </c>
      <c r="I309" s="2043">
        <v>756597</v>
      </c>
      <c r="J309">
        <v>37.822000000000003</v>
      </c>
      <c r="K309">
        <v>103</v>
      </c>
      <c r="L309">
        <v>0</v>
      </c>
      <c r="M309">
        <v>201802</v>
      </c>
      <c r="N309">
        <v>0</v>
      </c>
      <c r="O309">
        <v>201802</v>
      </c>
      <c r="P309">
        <v>0</v>
      </c>
      <c r="Q309">
        <v>0</v>
      </c>
      <c r="R309" s="2043">
        <v>2244374</v>
      </c>
      <c r="S309">
        <v>218431</v>
      </c>
      <c r="T309">
        <v>159181</v>
      </c>
      <c r="U309">
        <v>0.08</v>
      </c>
      <c r="V309">
        <v>0</v>
      </c>
      <c r="W309">
        <v>0</v>
      </c>
      <c r="X309">
        <v>0</v>
      </c>
      <c r="Y309">
        <v>0</v>
      </c>
      <c r="Z309">
        <v>0</v>
      </c>
      <c r="AA309">
        <v>0</v>
      </c>
      <c r="AB309">
        <v>753.822</v>
      </c>
      <c r="AC309" s="2043">
        <v>216167564</v>
      </c>
      <c r="AD309">
        <v>546145</v>
      </c>
      <c r="AE309" s="2043">
        <v>2621986</v>
      </c>
      <c r="AF309">
        <v>0.96030000000000004</v>
      </c>
      <c r="AG309">
        <v>0</v>
      </c>
      <c r="AH309">
        <v>0</v>
      </c>
      <c r="AI309">
        <v>0</v>
      </c>
      <c r="AJ309">
        <v>137.88800000000001</v>
      </c>
      <c r="AK309">
        <v>3417</v>
      </c>
      <c r="AL309">
        <v>0.222</v>
      </c>
      <c r="AM309">
        <v>0</v>
      </c>
      <c r="AN309">
        <v>17.369</v>
      </c>
      <c r="AO309">
        <v>0</v>
      </c>
      <c r="AP309">
        <v>0</v>
      </c>
      <c r="AQ309">
        <v>0</v>
      </c>
      <c r="AR309">
        <v>19.762</v>
      </c>
      <c r="AS309">
        <v>0</v>
      </c>
      <c r="AT309">
        <v>6.2620000000000005</v>
      </c>
      <c r="AU309">
        <v>1.8470000000000002</v>
      </c>
      <c r="AV309">
        <v>0</v>
      </c>
      <c r="AW309">
        <v>28.093</v>
      </c>
      <c r="AX309">
        <v>0</v>
      </c>
      <c r="AY309">
        <v>88.417000000000002</v>
      </c>
      <c r="AZ309">
        <v>0</v>
      </c>
      <c r="BA309">
        <v>7471669</v>
      </c>
      <c r="BB309">
        <v>3168131</v>
      </c>
      <c r="BC309">
        <v>0</v>
      </c>
      <c r="BD309">
        <v>90500</v>
      </c>
      <c r="BE309">
        <v>8382</v>
      </c>
      <c r="BF309">
        <v>99301</v>
      </c>
      <c r="BG309">
        <v>90500</v>
      </c>
      <c r="BH309">
        <v>419</v>
      </c>
      <c r="BI309">
        <v>0</v>
      </c>
      <c r="BJ309">
        <v>0</v>
      </c>
      <c r="BK309">
        <v>0</v>
      </c>
      <c r="BL309">
        <v>282406949</v>
      </c>
      <c r="BM309">
        <v>0</v>
      </c>
      <c r="BN309">
        <v>2547</v>
      </c>
      <c r="BO309">
        <v>1252</v>
      </c>
      <c r="BP309">
        <v>0</v>
      </c>
      <c r="BQ309">
        <v>0</v>
      </c>
      <c r="BR309">
        <v>0.82200000000000006</v>
      </c>
      <c r="BS309">
        <v>0.82200000000000006</v>
      </c>
      <c r="BT309">
        <v>0</v>
      </c>
      <c r="BU309">
        <v>0</v>
      </c>
      <c r="BV309">
        <v>188</v>
      </c>
      <c r="BW309">
        <v>12</v>
      </c>
      <c r="BX309">
        <v>146</v>
      </c>
      <c r="BY309">
        <v>209</v>
      </c>
      <c r="BZ309">
        <v>5</v>
      </c>
      <c r="CA309">
        <v>560</v>
      </c>
      <c r="CB309">
        <v>0</v>
      </c>
      <c r="CC309">
        <v>0</v>
      </c>
      <c r="CD309">
        <v>0</v>
      </c>
      <c r="CE309">
        <v>88</v>
      </c>
      <c r="CF309">
        <v>190.63</v>
      </c>
      <c r="CG309">
        <v>0</v>
      </c>
      <c r="CH309">
        <v>0</v>
      </c>
      <c r="CI309">
        <v>3</v>
      </c>
      <c r="CJ309">
        <v>6</v>
      </c>
      <c r="CK309">
        <v>0</v>
      </c>
      <c r="CL309">
        <v>0</v>
      </c>
      <c r="CM309">
        <v>18.462</v>
      </c>
      <c r="CN309">
        <v>0</v>
      </c>
      <c r="CO309">
        <v>0</v>
      </c>
      <c r="CP309">
        <v>0</v>
      </c>
      <c r="CQ309">
        <v>0</v>
      </c>
      <c r="CR309">
        <v>0</v>
      </c>
      <c r="CS309">
        <v>0</v>
      </c>
      <c r="CT309">
        <v>0</v>
      </c>
      <c r="CU309">
        <v>1.0030000000000001</v>
      </c>
      <c r="CV309">
        <v>69.558999999999997</v>
      </c>
      <c r="CW309">
        <v>37.99</v>
      </c>
      <c r="CX309">
        <v>0</v>
      </c>
      <c r="CY309" s="2043">
        <v>0</v>
      </c>
      <c r="CZ309" s="2043">
        <v>0</v>
      </c>
      <c r="DA309" s="2043">
        <v>0</v>
      </c>
      <c r="DB309" s="2043">
        <v>0</v>
      </c>
      <c r="DC309" s="2043">
        <v>0</v>
      </c>
      <c r="DI309" t="s">
        <v>2958</v>
      </c>
      <c r="DJ309" t="s">
        <v>2958</v>
      </c>
      <c r="DK309" s="2042">
        <f t="shared" si="6"/>
        <v>0</v>
      </c>
    </row>
    <row r="310" spans="1:115">
      <c r="A310" t="s">
        <v>2959</v>
      </c>
      <c r="B310" t="s">
        <v>603</v>
      </c>
      <c r="C310">
        <v>131.125</v>
      </c>
      <c r="D310">
        <v>143.114</v>
      </c>
      <c r="E310">
        <v>10.388</v>
      </c>
      <c r="F310">
        <v>0</v>
      </c>
      <c r="G310" s="2043">
        <v>85434571</v>
      </c>
      <c r="H310">
        <v>0</v>
      </c>
      <c r="I310" s="2043">
        <v>103200</v>
      </c>
      <c r="J310">
        <v>6</v>
      </c>
      <c r="K310">
        <v>16</v>
      </c>
      <c r="L310">
        <v>38975</v>
      </c>
      <c r="M310">
        <v>61025</v>
      </c>
      <c r="N310">
        <v>38975</v>
      </c>
      <c r="O310">
        <v>100000</v>
      </c>
      <c r="P310">
        <v>0</v>
      </c>
      <c r="Q310">
        <v>0</v>
      </c>
      <c r="R310" s="2043">
        <v>758775</v>
      </c>
      <c r="S310">
        <v>67185</v>
      </c>
      <c r="T310">
        <v>48962</v>
      </c>
      <c r="U310">
        <v>0.08</v>
      </c>
      <c r="V310">
        <v>0</v>
      </c>
      <c r="W310">
        <v>0</v>
      </c>
      <c r="X310">
        <v>0</v>
      </c>
      <c r="Y310">
        <v>0</v>
      </c>
      <c r="Z310">
        <v>0</v>
      </c>
      <c r="AA310">
        <v>0</v>
      </c>
      <c r="AB310">
        <v>143.114</v>
      </c>
      <c r="AC310" s="2043">
        <v>64697836</v>
      </c>
      <c r="AD310">
        <v>70614</v>
      </c>
      <c r="AE310" s="2043">
        <v>874922</v>
      </c>
      <c r="AF310">
        <v>1.0418000000000001</v>
      </c>
      <c r="AG310">
        <v>0</v>
      </c>
      <c r="AH310">
        <v>0</v>
      </c>
      <c r="AI310">
        <v>0</v>
      </c>
      <c r="AJ310">
        <v>32.387999999999998</v>
      </c>
      <c r="AK310">
        <v>1591</v>
      </c>
      <c r="AL310">
        <v>0</v>
      </c>
      <c r="AM310">
        <v>0</v>
      </c>
      <c r="AN310">
        <v>1.0330000000000001</v>
      </c>
      <c r="AO310">
        <v>0</v>
      </c>
      <c r="AP310">
        <v>2.556</v>
      </c>
      <c r="AQ310">
        <v>0</v>
      </c>
      <c r="AR310">
        <v>10.728</v>
      </c>
      <c r="AS310">
        <v>0</v>
      </c>
      <c r="AT310">
        <v>0.92400000000000004</v>
      </c>
      <c r="AU310">
        <v>0.23800000000000002</v>
      </c>
      <c r="AV310">
        <v>0</v>
      </c>
      <c r="AW310">
        <v>14.446000000000002</v>
      </c>
      <c r="AX310">
        <v>0</v>
      </c>
      <c r="AY310">
        <v>43.047000000000004</v>
      </c>
      <c r="AZ310">
        <v>0</v>
      </c>
      <c r="BA310">
        <v>1723566</v>
      </c>
      <c r="BB310">
        <v>945536</v>
      </c>
      <c r="BC310">
        <v>0</v>
      </c>
      <c r="BD310">
        <v>24252</v>
      </c>
      <c r="BE310">
        <v>27864</v>
      </c>
      <c r="BF310">
        <v>52116</v>
      </c>
      <c r="BG310">
        <v>24252</v>
      </c>
      <c r="BH310">
        <v>0</v>
      </c>
      <c r="BI310">
        <v>0</v>
      </c>
      <c r="BJ310">
        <v>0</v>
      </c>
      <c r="BK310">
        <v>0</v>
      </c>
      <c r="BL310">
        <v>85434571</v>
      </c>
      <c r="BM310">
        <v>0</v>
      </c>
      <c r="BN310">
        <v>666</v>
      </c>
      <c r="BO310">
        <v>235</v>
      </c>
      <c r="BP310">
        <v>0</v>
      </c>
      <c r="BQ310">
        <v>0</v>
      </c>
      <c r="BR310">
        <v>0.90350000000000008</v>
      </c>
      <c r="BS310">
        <v>0.90350000000000008</v>
      </c>
      <c r="BT310">
        <v>0</v>
      </c>
      <c r="BU310">
        <v>0</v>
      </c>
      <c r="BV310">
        <v>29</v>
      </c>
      <c r="BW310">
        <v>3</v>
      </c>
      <c r="BX310">
        <v>93</v>
      </c>
      <c r="BY310">
        <v>2</v>
      </c>
      <c r="BZ310">
        <v>5</v>
      </c>
      <c r="CA310">
        <v>132</v>
      </c>
      <c r="CB310">
        <v>0</v>
      </c>
      <c r="CC310">
        <v>0</v>
      </c>
      <c r="CD310">
        <v>0</v>
      </c>
      <c r="CE310">
        <v>20</v>
      </c>
      <c r="CF310">
        <v>40.085999999999999</v>
      </c>
      <c r="CG310">
        <v>0</v>
      </c>
      <c r="CH310">
        <v>0</v>
      </c>
      <c r="CI310">
        <v>1</v>
      </c>
      <c r="CJ310">
        <v>0</v>
      </c>
      <c r="CK310">
        <v>0</v>
      </c>
      <c r="CL310">
        <v>0</v>
      </c>
      <c r="CM310">
        <v>10.388</v>
      </c>
      <c r="CN310">
        <v>0</v>
      </c>
      <c r="CO310">
        <v>0</v>
      </c>
      <c r="CP310">
        <v>0</v>
      </c>
      <c r="CQ310">
        <v>0</v>
      </c>
      <c r="CR310">
        <v>0</v>
      </c>
      <c r="CS310">
        <v>0</v>
      </c>
      <c r="CT310">
        <v>0</v>
      </c>
      <c r="CU310">
        <v>1.9650000000000001</v>
      </c>
      <c r="CV310">
        <v>8.5039999999999996</v>
      </c>
      <c r="CW310">
        <v>4.7380000000000004</v>
      </c>
      <c r="CX310">
        <v>0</v>
      </c>
      <c r="CY310" s="2043">
        <v>0</v>
      </c>
      <c r="CZ310" s="2043">
        <v>0</v>
      </c>
      <c r="DA310" s="2043">
        <v>0</v>
      </c>
      <c r="DB310" s="2043">
        <v>0</v>
      </c>
      <c r="DC310" s="2043">
        <v>0</v>
      </c>
      <c r="DI310" t="s">
        <v>2959</v>
      </c>
      <c r="DJ310" t="s">
        <v>2959</v>
      </c>
      <c r="DK310" s="2042">
        <f t="shared" si="6"/>
        <v>0</v>
      </c>
    </row>
    <row r="311" spans="1:115">
      <c r="A311" t="s">
        <v>7984</v>
      </c>
      <c r="B311" t="s">
        <v>11300</v>
      </c>
      <c r="C311">
        <v>354.51600000000002</v>
      </c>
      <c r="D311">
        <v>358.80100000000004</v>
      </c>
      <c r="E311">
        <v>0</v>
      </c>
      <c r="F311">
        <v>0</v>
      </c>
      <c r="G311" s="2043">
        <v>0</v>
      </c>
      <c r="H311">
        <v>0</v>
      </c>
      <c r="I311" s="2043">
        <v>0</v>
      </c>
      <c r="J311">
        <v>0</v>
      </c>
      <c r="K311">
        <v>0</v>
      </c>
      <c r="L311">
        <v>0</v>
      </c>
      <c r="M311">
        <v>0</v>
      </c>
      <c r="N311">
        <v>0</v>
      </c>
      <c r="O311">
        <v>0</v>
      </c>
      <c r="P311">
        <v>0</v>
      </c>
      <c r="Q311">
        <v>0</v>
      </c>
      <c r="R311" s="2043">
        <v>0</v>
      </c>
      <c r="S311">
        <v>0</v>
      </c>
      <c r="T311">
        <v>0</v>
      </c>
      <c r="U311">
        <v>0</v>
      </c>
      <c r="V311">
        <v>0</v>
      </c>
      <c r="W311">
        <v>0</v>
      </c>
      <c r="X311">
        <v>0</v>
      </c>
      <c r="Y311">
        <v>0</v>
      </c>
      <c r="Z311">
        <v>0</v>
      </c>
      <c r="AA311">
        <v>0</v>
      </c>
      <c r="AB311">
        <v>358.80100000000004</v>
      </c>
      <c r="AC311" s="2043">
        <v>0</v>
      </c>
      <c r="AD311">
        <v>0</v>
      </c>
      <c r="AE311" s="2043">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3275275</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s="2043">
        <v>0</v>
      </c>
      <c r="CZ311" s="2043">
        <v>0</v>
      </c>
      <c r="DA311" s="2043">
        <v>0</v>
      </c>
      <c r="DB311" s="2043">
        <v>0</v>
      </c>
      <c r="DC311" s="2043">
        <v>0</v>
      </c>
      <c r="DI311" t="s">
        <v>7984</v>
      </c>
      <c r="DJ311" t="s">
        <v>7984</v>
      </c>
      <c r="DK311" s="2042">
        <f t="shared" si="6"/>
        <v>0</v>
      </c>
    </row>
    <row r="312" spans="1:115">
      <c r="A312" t="s">
        <v>7986</v>
      </c>
      <c r="B312" t="s">
        <v>11301</v>
      </c>
      <c r="C312">
        <v>608.27</v>
      </c>
      <c r="D312">
        <v>547.85800000000006</v>
      </c>
      <c r="E312">
        <v>253.72300000000001</v>
      </c>
      <c r="F312">
        <v>0</v>
      </c>
      <c r="G312" s="2043">
        <v>0</v>
      </c>
      <c r="H312">
        <v>0</v>
      </c>
      <c r="I312" s="2043">
        <v>0</v>
      </c>
      <c r="J312">
        <v>0</v>
      </c>
      <c r="K312">
        <v>0</v>
      </c>
      <c r="L312">
        <v>0</v>
      </c>
      <c r="M312">
        <v>0</v>
      </c>
      <c r="N312">
        <v>0</v>
      </c>
      <c r="O312">
        <v>0</v>
      </c>
      <c r="P312">
        <v>0</v>
      </c>
      <c r="Q312">
        <v>0</v>
      </c>
      <c r="R312" s="2043">
        <v>0</v>
      </c>
      <c r="S312">
        <v>0</v>
      </c>
      <c r="T312">
        <v>0</v>
      </c>
      <c r="U312">
        <v>0</v>
      </c>
      <c r="V312">
        <v>0</v>
      </c>
      <c r="W312">
        <v>0</v>
      </c>
      <c r="X312">
        <v>0</v>
      </c>
      <c r="Y312">
        <v>107531</v>
      </c>
      <c r="Z312">
        <v>0</v>
      </c>
      <c r="AA312">
        <v>0</v>
      </c>
      <c r="AB312">
        <v>547.85800000000006</v>
      </c>
      <c r="AC312" s="2043">
        <v>0</v>
      </c>
      <c r="AD312">
        <v>0</v>
      </c>
      <c r="AE312" s="2043">
        <v>0</v>
      </c>
      <c r="AF312">
        <v>0</v>
      </c>
      <c r="AG312">
        <v>0</v>
      </c>
      <c r="AH312">
        <v>0</v>
      </c>
      <c r="AI312">
        <v>0</v>
      </c>
      <c r="AJ312">
        <v>167.488</v>
      </c>
      <c r="AK312">
        <v>1690</v>
      </c>
      <c r="AL312">
        <v>0</v>
      </c>
      <c r="AM312">
        <v>0</v>
      </c>
      <c r="AN312">
        <v>3.202</v>
      </c>
      <c r="AO312">
        <v>0</v>
      </c>
      <c r="AP312">
        <v>0</v>
      </c>
      <c r="AQ312">
        <v>0</v>
      </c>
      <c r="AR312">
        <v>20.252000000000002</v>
      </c>
      <c r="AS312">
        <v>0</v>
      </c>
      <c r="AT312">
        <v>0.17600000000000002</v>
      </c>
      <c r="AU312">
        <v>1.9330000000000001</v>
      </c>
      <c r="AV312">
        <v>0</v>
      </c>
      <c r="AW312">
        <v>22.361000000000001</v>
      </c>
      <c r="AX312">
        <v>0</v>
      </c>
      <c r="AY312">
        <v>70.948999999999998</v>
      </c>
      <c r="AZ312">
        <v>0</v>
      </c>
      <c r="BA312">
        <v>7261873</v>
      </c>
      <c r="BB312">
        <v>0</v>
      </c>
      <c r="BC312">
        <v>0</v>
      </c>
      <c r="BD312">
        <v>86716</v>
      </c>
      <c r="BE312">
        <v>0</v>
      </c>
      <c r="BF312">
        <v>86716</v>
      </c>
      <c r="BG312">
        <v>86716</v>
      </c>
      <c r="BH312">
        <v>0</v>
      </c>
      <c r="BI312">
        <v>0</v>
      </c>
      <c r="BJ312">
        <v>0</v>
      </c>
      <c r="BK312">
        <v>0</v>
      </c>
      <c r="BL312">
        <v>0</v>
      </c>
      <c r="BM312">
        <v>0</v>
      </c>
      <c r="BN312">
        <v>0</v>
      </c>
      <c r="BO312">
        <v>0</v>
      </c>
      <c r="BP312">
        <v>94941</v>
      </c>
      <c r="BQ312">
        <v>0</v>
      </c>
      <c r="BR312">
        <v>0</v>
      </c>
      <c r="BS312">
        <v>0</v>
      </c>
      <c r="BT312">
        <v>0</v>
      </c>
      <c r="BU312">
        <v>0</v>
      </c>
      <c r="BV312">
        <v>196</v>
      </c>
      <c r="BW312">
        <v>105</v>
      </c>
      <c r="BX312">
        <v>54</v>
      </c>
      <c r="BY312">
        <v>200</v>
      </c>
      <c r="BZ312">
        <v>118</v>
      </c>
      <c r="CA312">
        <v>673</v>
      </c>
      <c r="CB312">
        <v>0</v>
      </c>
      <c r="CC312">
        <v>0</v>
      </c>
      <c r="CD312">
        <v>0</v>
      </c>
      <c r="CE312">
        <v>4</v>
      </c>
      <c r="CF312">
        <v>463.09500000000003</v>
      </c>
      <c r="CG312">
        <v>0</v>
      </c>
      <c r="CH312">
        <v>0</v>
      </c>
      <c r="CI312">
        <v>0</v>
      </c>
      <c r="CJ312">
        <v>0</v>
      </c>
      <c r="CK312">
        <v>0</v>
      </c>
      <c r="CL312">
        <v>0</v>
      </c>
      <c r="CM312">
        <v>253.72300000000001</v>
      </c>
      <c r="CN312">
        <v>76908</v>
      </c>
      <c r="CO312">
        <v>16033</v>
      </c>
      <c r="CP312">
        <v>0</v>
      </c>
      <c r="CQ312">
        <v>2000</v>
      </c>
      <c r="CR312">
        <v>0</v>
      </c>
      <c r="CS312">
        <v>0</v>
      </c>
      <c r="CT312">
        <v>0</v>
      </c>
      <c r="CU312">
        <v>0</v>
      </c>
      <c r="CV312">
        <v>0</v>
      </c>
      <c r="CW312">
        <v>0</v>
      </c>
      <c r="CX312">
        <v>0</v>
      </c>
      <c r="CY312" s="2043">
        <v>0</v>
      </c>
      <c r="CZ312" s="2043">
        <v>0</v>
      </c>
      <c r="DA312" s="2043">
        <v>0</v>
      </c>
      <c r="DB312" s="2043">
        <v>0</v>
      </c>
      <c r="DC312" s="2043">
        <v>0</v>
      </c>
      <c r="DI312" t="s">
        <v>7986</v>
      </c>
      <c r="DJ312" t="s">
        <v>7986</v>
      </c>
      <c r="DK312" s="2042">
        <f t="shared" si="6"/>
        <v>0</v>
      </c>
    </row>
    <row r="313" spans="1:115">
      <c r="A313" t="s">
        <v>7987</v>
      </c>
      <c r="B313" t="s">
        <v>11302</v>
      </c>
      <c r="C313">
        <v>1291.086</v>
      </c>
      <c r="D313">
        <v>1320.694</v>
      </c>
      <c r="E313">
        <v>71.862000000000009</v>
      </c>
      <c r="F313">
        <v>0</v>
      </c>
      <c r="G313" s="2043">
        <v>0</v>
      </c>
      <c r="H313">
        <v>0</v>
      </c>
      <c r="I313" s="2043">
        <v>0</v>
      </c>
      <c r="J313">
        <v>64.554000000000002</v>
      </c>
      <c r="K313">
        <v>176</v>
      </c>
      <c r="L313">
        <v>0</v>
      </c>
      <c r="M313">
        <v>0</v>
      </c>
      <c r="N313">
        <v>0</v>
      </c>
      <c r="O313">
        <v>0</v>
      </c>
      <c r="P313">
        <v>0</v>
      </c>
      <c r="Q313">
        <v>0</v>
      </c>
      <c r="R313" s="2043">
        <v>0</v>
      </c>
      <c r="S313">
        <v>0</v>
      </c>
      <c r="T313">
        <v>0</v>
      </c>
      <c r="U313">
        <v>0</v>
      </c>
      <c r="V313">
        <v>0</v>
      </c>
      <c r="W313">
        <v>0</v>
      </c>
      <c r="X313">
        <v>0</v>
      </c>
      <c r="Y313">
        <v>228241</v>
      </c>
      <c r="Z313">
        <v>0</v>
      </c>
      <c r="AA313">
        <v>0</v>
      </c>
      <c r="AB313">
        <v>1320.694</v>
      </c>
      <c r="AC313" s="2043">
        <v>0</v>
      </c>
      <c r="AD313">
        <v>0</v>
      </c>
      <c r="AE313" s="2043">
        <v>0</v>
      </c>
      <c r="AF313">
        <v>0</v>
      </c>
      <c r="AG313">
        <v>0</v>
      </c>
      <c r="AH313">
        <v>0</v>
      </c>
      <c r="AI313">
        <v>0</v>
      </c>
      <c r="AJ313">
        <v>11.85</v>
      </c>
      <c r="AK313">
        <v>2320</v>
      </c>
      <c r="AL313">
        <v>0</v>
      </c>
      <c r="AM313">
        <v>0</v>
      </c>
      <c r="AN313">
        <v>45.137</v>
      </c>
      <c r="AO313">
        <v>0</v>
      </c>
      <c r="AP313">
        <v>0</v>
      </c>
      <c r="AQ313">
        <v>0</v>
      </c>
      <c r="AR313">
        <v>10.671000000000001</v>
      </c>
      <c r="AS313">
        <v>0</v>
      </c>
      <c r="AT313">
        <v>1.7450000000000001</v>
      </c>
      <c r="AU313">
        <v>2.6539999999999999</v>
      </c>
      <c r="AV313">
        <v>0</v>
      </c>
      <c r="AW313">
        <v>15.07</v>
      </c>
      <c r="AX313">
        <v>0</v>
      </c>
      <c r="AY313">
        <v>50.518000000000001</v>
      </c>
      <c r="AZ313">
        <v>0</v>
      </c>
      <c r="BA313">
        <v>11993523</v>
      </c>
      <c r="BB313">
        <v>0</v>
      </c>
      <c r="BC313">
        <v>0</v>
      </c>
      <c r="BD313">
        <v>0</v>
      </c>
      <c r="BE313">
        <v>0</v>
      </c>
      <c r="BF313">
        <v>0</v>
      </c>
      <c r="BG313">
        <v>0</v>
      </c>
      <c r="BH313">
        <v>0</v>
      </c>
      <c r="BI313">
        <v>0</v>
      </c>
      <c r="BJ313">
        <v>0</v>
      </c>
      <c r="BK313">
        <v>0</v>
      </c>
      <c r="BL313">
        <v>0</v>
      </c>
      <c r="BM313">
        <v>0</v>
      </c>
      <c r="BN313">
        <v>4059</v>
      </c>
      <c r="BO313">
        <v>482</v>
      </c>
      <c r="BP313">
        <v>55801</v>
      </c>
      <c r="BQ313">
        <v>0</v>
      </c>
      <c r="BR313">
        <v>0</v>
      </c>
      <c r="BS313">
        <v>0</v>
      </c>
      <c r="BT313">
        <v>0</v>
      </c>
      <c r="BU313">
        <v>0</v>
      </c>
      <c r="BV313">
        <v>33</v>
      </c>
      <c r="BW313">
        <v>11</v>
      </c>
      <c r="BX313">
        <v>2</v>
      </c>
      <c r="BY313">
        <v>5</v>
      </c>
      <c r="BZ313">
        <v>0</v>
      </c>
      <c r="CA313">
        <v>51</v>
      </c>
      <c r="CB313">
        <v>0</v>
      </c>
      <c r="CC313">
        <v>0</v>
      </c>
      <c r="CD313">
        <v>0</v>
      </c>
      <c r="CE313">
        <v>50</v>
      </c>
      <c r="CF313">
        <v>37.755000000000003</v>
      </c>
      <c r="CG313">
        <v>0</v>
      </c>
      <c r="CH313">
        <v>0</v>
      </c>
      <c r="CI313">
        <v>0</v>
      </c>
      <c r="CJ313">
        <v>0</v>
      </c>
      <c r="CK313">
        <v>0</v>
      </c>
      <c r="CL313">
        <v>0</v>
      </c>
      <c r="CM313">
        <v>71.862000000000009</v>
      </c>
      <c r="CN313">
        <v>24496</v>
      </c>
      <c r="CO313">
        <v>18203</v>
      </c>
      <c r="CP313">
        <v>9102</v>
      </c>
      <c r="CQ313">
        <v>4000</v>
      </c>
      <c r="CR313">
        <v>0</v>
      </c>
      <c r="CS313">
        <v>0</v>
      </c>
      <c r="CT313">
        <v>571.88</v>
      </c>
      <c r="CU313">
        <v>17.787000000000003</v>
      </c>
      <c r="CV313">
        <v>83.472000000000008</v>
      </c>
      <c r="CW313">
        <v>27.1</v>
      </c>
      <c r="CX313">
        <v>0</v>
      </c>
      <c r="CY313" s="2043">
        <v>0</v>
      </c>
      <c r="CZ313" s="2043">
        <v>0</v>
      </c>
      <c r="DA313" s="2043">
        <v>0</v>
      </c>
      <c r="DB313" s="2043">
        <v>0</v>
      </c>
      <c r="DC313" s="2043">
        <v>0</v>
      </c>
      <c r="DI313" t="s">
        <v>7987</v>
      </c>
      <c r="DJ313" t="s">
        <v>7987</v>
      </c>
      <c r="DK313" s="2042">
        <f t="shared" si="6"/>
        <v>0</v>
      </c>
    </row>
    <row r="314" spans="1:115">
      <c r="A314" t="s">
        <v>7988</v>
      </c>
      <c r="B314" t="s">
        <v>11303</v>
      </c>
      <c r="C314">
        <v>542.13099999999997</v>
      </c>
      <c r="D314">
        <v>596.952</v>
      </c>
      <c r="E314">
        <v>42.218000000000004</v>
      </c>
      <c r="F314">
        <v>0</v>
      </c>
      <c r="G314" s="2043">
        <v>0</v>
      </c>
      <c r="H314">
        <v>0</v>
      </c>
      <c r="I314" s="2043">
        <v>0</v>
      </c>
      <c r="J314">
        <v>27.107000000000003</v>
      </c>
      <c r="K314">
        <v>74</v>
      </c>
      <c r="L314">
        <v>0</v>
      </c>
      <c r="M314">
        <v>0</v>
      </c>
      <c r="N314">
        <v>0</v>
      </c>
      <c r="O314">
        <v>0</v>
      </c>
      <c r="P314">
        <v>0</v>
      </c>
      <c r="Q314">
        <v>0</v>
      </c>
      <c r="R314" s="2043">
        <v>0</v>
      </c>
      <c r="S314">
        <v>0</v>
      </c>
      <c r="T314">
        <v>0</v>
      </c>
      <c r="U314">
        <v>0</v>
      </c>
      <c r="V314">
        <v>0</v>
      </c>
      <c r="W314">
        <v>0</v>
      </c>
      <c r="X314">
        <v>0</v>
      </c>
      <c r="Y314">
        <v>95839</v>
      </c>
      <c r="Z314">
        <v>0</v>
      </c>
      <c r="AA314">
        <v>0</v>
      </c>
      <c r="AB314">
        <v>596.952</v>
      </c>
      <c r="AC314" s="2043">
        <v>0</v>
      </c>
      <c r="AD314">
        <v>0</v>
      </c>
      <c r="AE314" s="2043">
        <v>0</v>
      </c>
      <c r="AF314">
        <v>0</v>
      </c>
      <c r="AG314">
        <v>0</v>
      </c>
      <c r="AH314">
        <v>0</v>
      </c>
      <c r="AI314">
        <v>0</v>
      </c>
      <c r="AJ314">
        <v>4.9750000000000005</v>
      </c>
      <c r="AK314">
        <v>1713</v>
      </c>
      <c r="AL314">
        <v>0</v>
      </c>
      <c r="AM314">
        <v>0</v>
      </c>
      <c r="AN314">
        <v>10.517000000000001</v>
      </c>
      <c r="AO314">
        <v>0</v>
      </c>
      <c r="AP314">
        <v>0</v>
      </c>
      <c r="AQ314">
        <v>0</v>
      </c>
      <c r="AR314">
        <v>19.484999999999999</v>
      </c>
      <c r="AS314">
        <v>0</v>
      </c>
      <c r="AT314">
        <v>0.27</v>
      </c>
      <c r="AU314">
        <v>0.85899999999999999</v>
      </c>
      <c r="AV314">
        <v>0</v>
      </c>
      <c r="AW314">
        <v>20.614000000000001</v>
      </c>
      <c r="AX314">
        <v>0</v>
      </c>
      <c r="AY314">
        <v>63.56</v>
      </c>
      <c r="AZ314">
        <v>0</v>
      </c>
      <c r="BA314">
        <v>5022884</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10</v>
      </c>
      <c r="BW314">
        <v>5</v>
      </c>
      <c r="BX314">
        <v>3</v>
      </c>
      <c r="BY314">
        <v>3</v>
      </c>
      <c r="BZ314">
        <v>0</v>
      </c>
      <c r="CA314">
        <v>21</v>
      </c>
      <c r="CB314">
        <v>0</v>
      </c>
      <c r="CC314">
        <v>0</v>
      </c>
      <c r="CD314">
        <v>0</v>
      </c>
      <c r="CE314">
        <v>52</v>
      </c>
      <c r="CF314">
        <v>41.322000000000003</v>
      </c>
      <c r="CG314">
        <v>0</v>
      </c>
      <c r="CH314">
        <v>0</v>
      </c>
      <c r="CI314">
        <v>0</v>
      </c>
      <c r="CJ314">
        <v>0</v>
      </c>
      <c r="CK314">
        <v>0</v>
      </c>
      <c r="CL314">
        <v>0</v>
      </c>
      <c r="CM314">
        <v>42.218000000000004</v>
      </c>
      <c r="CN314">
        <v>0</v>
      </c>
      <c r="CO314">
        <v>0</v>
      </c>
      <c r="CP314">
        <v>0</v>
      </c>
      <c r="CQ314">
        <v>0</v>
      </c>
      <c r="CR314">
        <v>0</v>
      </c>
      <c r="CS314">
        <v>0</v>
      </c>
      <c r="CT314">
        <v>0</v>
      </c>
      <c r="CU314">
        <v>0</v>
      </c>
      <c r="CV314">
        <v>0.9820000000000001</v>
      </c>
      <c r="CW314">
        <v>0</v>
      </c>
      <c r="CX314">
        <v>0</v>
      </c>
      <c r="CY314" s="2043">
        <v>0</v>
      </c>
      <c r="CZ314" s="2043">
        <v>0</v>
      </c>
      <c r="DA314" s="2043">
        <v>0</v>
      </c>
      <c r="DB314" s="2043">
        <v>0</v>
      </c>
      <c r="DC314" s="2043">
        <v>0</v>
      </c>
      <c r="DI314" t="s">
        <v>7988</v>
      </c>
      <c r="DJ314" t="s">
        <v>7988</v>
      </c>
      <c r="DK314" s="2042">
        <f t="shared" si="6"/>
        <v>0</v>
      </c>
    </row>
    <row r="315" spans="1:115">
      <c r="A315" t="s">
        <v>4997</v>
      </c>
      <c r="B315" t="s">
        <v>1014</v>
      </c>
      <c r="C315">
        <v>30143.609</v>
      </c>
      <c r="D315">
        <v>29779.978999999999</v>
      </c>
      <c r="E315">
        <v>3186.3340000000003</v>
      </c>
      <c r="F315">
        <v>0</v>
      </c>
      <c r="G315" s="2043">
        <v>23451365187</v>
      </c>
      <c r="H315">
        <v>0</v>
      </c>
      <c r="I315" s="2043">
        <v>102067955</v>
      </c>
      <c r="J315">
        <v>1507.18</v>
      </c>
      <c r="K315">
        <v>4120</v>
      </c>
      <c r="L315">
        <v>0</v>
      </c>
      <c r="M315">
        <v>0</v>
      </c>
      <c r="N315">
        <v>0</v>
      </c>
      <c r="O315">
        <v>0</v>
      </c>
      <c r="P315">
        <v>0</v>
      </c>
      <c r="Q315">
        <v>0</v>
      </c>
      <c r="R315" s="2043">
        <v>188674441</v>
      </c>
      <c r="S315">
        <v>13771857</v>
      </c>
      <c r="T315">
        <v>0</v>
      </c>
      <c r="U315">
        <v>0.06</v>
      </c>
      <c r="V315">
        <v>0</v>
      </c>
      <c r="W315">
        <v>0</v>
      </c>
      <c r="X315">
        <v>0</v>
      </c>
      <c r="Y315">
        <v>9554789</v>
      </c>
      <c r="Z315">
        <v>0</v>
      </c>
      <c r="AA315">
        <v>1.724</v>
      </c>
      <c r="AB315">
        <v>29038.485000000001</v>
      </c>
      <c r="AC315" s="2043">
        <v>18692629137</v>
      </c>
      <c r="AD315">
        <v>110217969</v>
      </c>
      <c r="AE315" s="2043">
        <v>202446298</v>
      </c>
      <c r="AF315">
        <v>0.88200000000000001</v>
      </c>
      <c r="AG315">
        <v>0</v>
      </c>
      <c r="AH315">
        <v>0</v>
      </c>
      <c r="AI315">
        <v>0</v>
      </c>
      <c r="AJ315">
        <v>3776.5880000000002</v>
      </c>
      <c r="AK315">
        <v>102716</v>
      </c>
      <c r="AL315">
        <v>2.6459999999999999</v>
      </c>
      <c r="AM315">
        <v>0</v>
      </c>
      <c r="AN315">
        <v>1155.3900000000001</v>
      </c>
      <c r="AO315">
        <v>0</v>
      </c>
      <c r="AP315">
        <v>0.25700000000000001</v>
      </c>
      <c r="AQ315">
        <v>20.66</v>
      </c>
      <c r="AR315">
        <v>602.851</v>
      </c>
      <c r="AS315">
        <v>0</v>
      </c>
      <c r="AT315">
        <v>290.29599999999999</v>
      </c>
      <c r="AU315">
        <v>71.338000000000008</v>
      </c>
      <c r="AV315">
        <v>0</v>
      </c>
      <c r="AW315">
        <v>1020.2410000000001</v>
      </c>
      <c r="AX315">
        <v>32.193000000000005</v>
      </c>
      <c r="AY315">
        <v>3124.0990000000002</v>
      </c>
      <c r="AZ315">
        <v>0</v>
      </c>
      <c r="BA315">
        <v>81307782</v>
      </c>
      <c r="BB315">
        <v>312664267</v>
      </c>
      <c r="BC315">
        <v>0</v>
      </c>
      <c r="BD315">
        <v>1061462</v>
      </c>
      <c r="BE315">
        <v>632189</v>
      </c>
      <c r="BF315">
        <v>1964982</v>
      </c>
      <c r="BG315">
        <v>1061462</v>
      </c>
      <c r="BH315">
        <v>271331</v>
      </c>
      <c r="BI315">
        <v>-10753</v>
      </c>
      <c r="BJ315">
        <v>0</v>
      </c>
      <c r="BK315">
        <v>0</v>
      </c>
      <c r="BL315">
        <v>23451365187</v>
      </c>
      <c r="BM315">
        <v>0</v>
      </c>
      <c r="BN315">
        <v>107388</v>
      </c>
      <c r="BO315">
        <v>54335</v>
      </c>
      <c r="BP315">
        <v>5657</v>
      </c>
      <c r="BQ315">
        <v>0</v>
      </c>
      <c r="BR315">
        <v>0.82200000000000006</v>
      </c>
      <c r="BS315">
        <v>0.82200000000000006</v>
      </c>
      <c r="BT315">
        <v>9565542</v>
      </c>
      <c r="BU315">
        <v>0</v>
      </c>
      <c r="BV315">
        <v>7950</v>
      </c>
      <c r="BW315">
        <v>1341</v>
      </c>
      <c r="BX315">
        <v>2047</v>
      </c>
      <c r="BY315">
        <v>2784</v>
      </c>
      <c r="BZ315">
        <v>1552</v>
      </c>
      <c r="CA315">
        <v>15674</v>
      </c>
      <c r="CB315">
        <v>0</v>
      </c>
      <c r="CC315">
        <v>1839.69</v>
      </c>
      <c r="CD315">
        <v>250.97500000000002</v>
      </c>
      <c r="CE315">
        <v>2645</v>
      </c>
      <c r="CF315">
        <v>6106.4540000000006</v>
      </c>
      <c r="CG315">
        <v>94.83</v>
      </c>
      <c r="CH315">
        <v>36.501000000000005</v>
      </c>
      <c r="CI315">
        <v>65</v>
      </c>
      <c r="CJ315">
        <v>315</v>
      </c>
      <c r="CK315">
        <v>4</v>
      </c>
      <c r="CL315">
        <v>131.33100000000002</v>
      </c>
      <c r="CM315">
        <v>3186.3340000000003</v>
      </c>
      <c r="CN315">
        <v>0</v>
      </c>
      <c r="CO315">
        <v>0</v>
      </c>
      <c r="CP315">
        <v>5657</v>
      </c>
      <c r="CQ315">
        <v>0</v>
      </c>
      <c r="CR315">
        <v>0</v>
      </c>
      <c r="CS315">
        <v>0</v>
      </c>
      <c r="CT315">
        <v>0</v>
      </c>
      <c r="CU315">
        <v>132.98699999999999</v>
      </c>
      <c r="CV315">
        <v>1579.4830000000002</v>
      </c>
      <c r="CW315">
        <v>684.30500000000006</v>
      </c>
      <c r="CX315">
        <v>9565542</v>
      </c>
      <c r="CY315" s="2043">
        <v>0</v>
      </c>
      <c r="CZ315" s="2043">
        <v>0</v>
      </c>
      <c r="DA315" s="2043">
        <v>0</v>
      </c>
      <c r="DB315" s="2043">
        <v>0</v>
      </c>
      <c r="DC315" s="2043">
        <v>1862136</v>
      </c>
      <c r="DI315" t="s">
        <v>4997</v>
      </c>
      <c r="DJ315" t="s">
        <v>4997</v>
      </c>
      <c r="DK315" s="2042">
        <f t="shared" si="6"/>
        <v>0</v>
      </c>
    </row>
    <row r="316" spans="1:115">
      <c r="A316" t="s">
        <v>2960</v>
      </c>
      <c r="B316" t="s">
        <v>1673</v>
      </c>
      <c r="C316">
        <v>46131.37</v>
      </c>
      <c r="D316">
        <v>48732.188999999998</v>
      </c>
      <c r="E316">
        <v>6049.1130000000003</v>
      </c>
      <c r="F316">
        <v>0</v>
      </c>
      <c r="G316" s="2043">
        <v>47403589091</v>
      </c>
      <c r="H316">
        <v>0</v>
      </c>
      <c r="I316" s="2043">
        <v>155132898</v>
      </c>
      <c r="J316">
        <v>2306.569</v>
      </c>
      <c r="K316">
        <v>6306</v>
      </c>
      <c r="L316">
        <v>0</v>
      </c>
      <c r="M316">
        <v>0</v>
      </c>
      <c r="N316">
        <v>0</v>
      </c>
      <c r="O316">
        <v>0</v>
      </c>
      <c r="P316">
        <v>0</v>
      </c>
      <c r="Q316">
        <v>0</v>
      </c>
      <c r="R316" s="2043">
        <v>405909554</v>
      </c>
      <c r="S316">
        <v>23126114</v>
      </c>
      <c r="T316">
        <v>0</v>
      </c>
      <c r="U316">
        <v>0.05</v>
      </c>
      <c r="V316">
        <v>1838.731</v>
      </c>
      <c r="W316">
        <v>44213248</v>
      </c>
      <c r="X316">
        <v>0</v>
      </c>
      <c r="Y316">
        <v>-25994</v>
      </c>
      <c r="Z316">
        <v>0</v>
      </c>
      <c r="AA316">
        <v>3.9140000000000001</v>
      </c>
      <c r="AB316">
        <v>46852.695999999996</v>
      </c>
      <c r="AC316" s="2043">
        <v>40773977958</v>
      </c>
      <c r="AD316">
        <v>176187024</v>
      </c>
      <c r="AE316" s="2043">
        <v>429035668</v>
      </c>
      <c r="AF316">
        <v>0.92760000000000009</v>
      </c>
      <c r="AG316">
        <v>0</v>
      </c>
      <c r="AH316">
        <v>44213248</v>
      </c>
      <c r="AI316">
        <v>0</v>
      </c>
      <c r="AJ316">
        <v>4021.9380000000001</v>
      </c>
      <c r="AK316">
        <v>225480</v>
      </c>
      <c r="AL316">
        <v>4.9710000000000001</v>
      </c>
      <c r="AM316">
        <v>0</v>
      </c>
      <c r="AN316">
        <v>2343.3009999999999</v>
      </c>
      <c r="AO316">
        <v>0</v>
      </c>
      <c r="AP316">
        <v>0.34800000000000003</v>
      </c>
      <c r="AQ316">
        <v>0</v>
      </c>
      <c r="AR316">
        <v>1607.1780000000001</v>
      </c>
      <c r="AS316">
        <v>0</v>
      </c>
      <c r="AT316">
        <v>535.47800000000007</v>
      </c>
      <c r="AU316">
        <v>146.81399999999999</v>
      </c>
      <c r="AV316">
        <v>0</v>
      </c>
      <c r="AW316">
        <v>2326.7130000000002</v>
      </c>
      <c r="AX316">
        <v>31.924000000000003</v>
      </c>
      <c r="AY316">
        <v>7261.2580000000007</v>
      </c>
      <c r="AZ316">
        <v>0</v>
      </c>
      <c r="BA316">
        <v>33042915</v>
      </c>
      <c r="BB316">
        <v>605222692</v>
      </c>
      <c r="BC316">
        <v>0</v>
      </c>
      <c r="BD316">
        <v>1542204</v>
      </c>
      <c r="BE316">
        <v>1133764</v>
      </c>
      <c r="BF316">
        <v>3293258</v>
      </c>
      <c r="BG316">
        <v>1542204</v>
      </c>
      <c r="BH316">
        <v>617290</v>
      </c>
      <c r="BI316">
        <v>-12997</v>
      </c>
      <c r="BJ316">
        <v>-12997</v>
      </c>
      <c r="BK316">
        <v>0</v>
      </c>
      <c r="BL316">
        <v>47403589091</v>
      </c>
      <c r="BM316">
        <v>0</v>
      </c>
      <c r="BN316">
        <v>194229</v>
      </c>
      <c r="BO316">
        <v>25006</v>
      </c>
      <c r="BP316">
        <v>17234</v>
      </c>
      <c r="BQ316">
        <v>0</v>
      </c>
      <c r="BR316">
        <v>0.87760000000000005</v>
      </c>
      <c r="BS316">
        <v>0.87760000000000005</v>
      </c>
      <c r="BT316">
        <v>0</v>
      </c>
      <c r="BU316">
        <v>0</v>
      </c>
      <c r="BV316">
        <v>5122</v>
      </c>
      <c r="BW316">
        <v>3350</v>
      </c>
      <c r="BX316">
        <v>3063</v>
      </c>
      <c r="BY316">
        <v>3899</v>
      </c>
      <c r="BZ316">
        <v>1035</v>
      </c>
      <c r="CA316">
        <v>16469</v>
      </c>
      <c r="CB316">
        <v>0</v>
      </c>
      <c r="CC316">
        <v>2638.3410000000003</v>
      </c>
      <c r="CD316">
        <v>590.03899999999999</v>
      </c>
      <c r="CE316">
        <v>3296</v>
      </c>
      <c r="CF316">
        <v>7744.7080000000005</v>
      </c>
      <c r="CG316">
        <v>223.50300000000001</v>
      </c>
      <c r="CH316">
        <v>0</v>
      </c>
      <c r="CI316">
        <v>136</v>
      </c>
      <c r="CJ316">
        <v>1257</v>
      </c>
      <c r="CK316">
        <v>25</v>
      </c>
      <c r="CL316">
        <v>223.50300000000001</v>
      </c>
      <c r="CM316">
        <v>6049.1130000000003</v>
      </c>
      <c r="CN316">
        <v>0</v>
      </c>
      <c r="CO316">
        <v>0</v>
      </c>
      <c r="CP316">
        <v>17234</v>
      </c>
      <c r="CQ316">
        <v>0</v>
      </c>
      <c r="CR316">
        <v>0</v>
      </c>
      <c r="CS316">
        <v>0</v>
      </c>
      <c r="CT316">
        <v>0</v>
      </c>
      <c r="CU316">
        <v>31.739000000000001</v>
      </c>
      <c r="CV316">
        <v>1937.144</v>
      </c>
      <c r="CW316">
        <v>988.38900000000001</v>
      </c>
      <c r="CX316">
        <v>0</v>
      </c>
      <c r="CY316" s="2043">
        <v>0</v>
      </c>
      <c r="CZ316" s="2043">
        <v>0</v>
      </c>
      <c r="DA316" s="2043">
        <v>0</v>
      </c>
      <c r="DB316" s="2043">
        <v>0</v>
      </c>
      <c r="DC316" s="2043">
        <v>3453000</v>
      </c>
      <c r="DI316" t="s">
        <v>2960</v>
      </c>
      <c r="DJ316" t="s">
        <v>2960</v>
      </c>
      <c r="DK316" s="2042">
        <f t="shared" si="6"/>
        <v>0</v>
      </c>
    </row>
    <row r="317" spans="1:115">
      <c r="A317" t="s">
        <v>3776</v>
      </c>
      <c r="B317" t="s">
        <v>198</v>
      </c>
      <c r="C317">
        <v>1332.5160000000001</v>
      </c>
      <c r="D317">
        <v>1252.367</v>
      </c>
      <c r="E317">
        <v>224.34400000000002</v>
      </c>
      <c r="F317">
        <v>0</v>
      </c>
      <c r="G317" s="2043">
        <v>1037361259</v>
      </c>
      <c r="H317">
        <v>0</v>
      </c>
      <c r="I317" s="2043">
        <v>1337450</v>
      </c>
      <c r="J317">
        <v>66.626000000000005</v>
      </c>
      <c r="K317">
        <v>182</v>
      </c>
      <c r="L317">
        <v>0</v>
      </c>
      <c r="M317">
        <v>0</v>
      </c>
      <c r="N317">
        <v>0</v>
      </c>
      <c r="O317">
        <v>0</v>
      </c>
      <c r="P317">
        <v>0</v>
      </c>
      <c r="Q317">
        <v>0</v>
      </c>
      <c r="R317" s="2043">
        <v>8516256</v>
      </c>
      <c r="S317">
        <v>828833</v>
      </c>
      <c r="T317">
        <v>604012</v>
      </c>
      <c r="U317">
        <v>0.08</v>
      </c>
      <c r="V317">
        <v>0</v>
      </c>
      <c r="W317">
        <v>0</v>
      </c>
      <c r="X317">
        <v>0</v>
      </c>
      <c r="Y317">
        <v>0</v>
      </c>
      <c r="Z317">
        <v>0</v>
      </c>
      <c r="AA317">
        <v>0.111</v>
      </c>
      <c r="AB317">
        <v>1251.3050000000001</v>
      </c>
      <c r="AC317" s="2043">
        <v>803168612</v>
      </c>
      <c r="AD317">
        <v>2067215</v>
      </c>
      <c r="AE317" s="2043">
        <v>9949101</v>
      </c>
      <c r="AF317">
        <v>0.96030000000000004</v>
      </c>
      <c r="AG317">
        <v>0</v>
      </c>
      <c r="AH317">
        <v>0</v>
      </c>
      <c r="AI317">
        <v>0</v>
      </c>
      <c r="AJ317">
        <v>148.71299999999999</v>
      </c>
      <c r="AK317">
        <v>5343</v>
      </c>
      <c r="AL317">
        <v>0</v>
      </c>
      <c r="AM317">
        <v>0</v>
      </c>
      <c r="AN317">
        <v>57.443000000000005</v>
      </c>
      <c r="AO317">
        <v>0</v>
      </c>
      <c r="AP317">
        <v>3.0990000000000002</v>
      </c>
      <c r="AQ317">
        <v>0</v>
      </c>
      <c r="AR317">
        <v>23.69</v>
      </c>
      <c r="AS317">
        <v>0</v>
      </c>
      <c r="AT317">
        <v>12.238000000000001</v>
      </c>
      <c r="AU317">
        <v>3.1710000000000003</v>
      </c>
      <c r="AV317">
        <v>0</v>
      </c>
      <c r="AW317">
        <v>42.198</v>
      </c>
      <c r="AX317">
        <v>0</v>
      </c>
      <c r="AY317">
        <v>132.006</v>
      </c>
      <c r="AZ317">
        <v>0</v>
      </c>
      <c r="BA317">
        <v>5376644</v>
      </c>
      <c r="BB317">
        <v>12016316</v>
      </c>
      <c r="BC317">
        <v>0</v>
      </c>
      <c r="BD317">
        <v>72704</v>
      </c>
      <c r="BE317">
        <v>74055</v>
      </c>
      <c r="BF317">
        <v>146759</v>
      </c>
      <c r="BG317">
        <v>72704</v>
      </c>
      <c r="BH317">
        <v>0</v>
      </c>
      <c r="BI317">
        <v>0</v>
      </c>
      <c r="BJ317">
        <v>0</v>
      </c>
      <c r="BK317">
        <v>0</v>
      </c>
      <c r="BL317">
        <v>1037361259</v>
      </c>
      <c r="BM317">
        <v>0</v>
      </c>
      <c r="BN317">
        <v>5454</v>
      </c>
      <c r="BO317">
        <v>3863</v>
      </c>
      <c r="BP317">
        <v>0</v>
      </c>
      <c r="BQ317">
        <v>0</v>
      </c>
      <c r="BR317">
        <v>0.82200000000000006</v>
      </c>
      <c r="BS317">
        <v>0.82200000000000006</v>
      </c>
      <c r="BT317">
        <v>0</v>
      </c>
      <c r="BU317">
        <v>0</v>
      </c>
      <c r="BV317">
        <v>319</v>
      </c>
      <c r="BW317">
        <v>285</v>
      </c>
      <c r="BX317">
        <v>3</v>
      </c>
      <c r="BY317">
        <v>2</v>
      </c>
      <c r="BZ317">
        <v>29</v>
      </c>
      <c r="CA317">
        <v>638</v>
      </c>
      <c r="CB317">
        <v>0</v>
      </c>
      <c r="CC317">
        <v>172.489</v>
      </c>
      <c r="CD317">
        <v>0</v>
      </c>
      <c r="CE317">
        <v>103</v>
      </c>
      <c r="CF317">
        <v>292.09700000000004</v>
      </c>
      <c r="CG317">
        <v>0</v>
      </c>
      <c r="CH317">
        <v>0</v>
      </c>
      <c r="CI317">
        <v>3</v>
      </c>
      <c r="CJ317">
        <v>13</v>
      </c>
      <c r="CK317">
        <v>0</v>
      </c>
      <c r="CL317">
        <v>0</v>
      </c>
      <c r="CM317">
        <v>224.34400000000002</v>
      </c>
      <c r="CN317">
        <v>0</v>
      </c>
      <c r="CO317">
        <v>0</v>
      </c>
      <c r="CP317">
        <v>0</v>
      </c>
      <c r="CQ317">
        <v>0</v>
      </c>
      <c r="CR317">
        <v>0</v>
      </c>
      <c r="CS317">
        <v>0</v>
      </c>
      <c r="CT317">
        <v>0</v>
      </c>
      <c r="CU317">
        <v>0.44500000000000001</v>
      </c>
      <c r="CV317">
        <v>104.14700000000001</v>
      </c>
      <c r="CW317">
        <v>63.57</v>
      </c>
      <c r="CX317">
        <v>0</v>
      </c>
      <c r="CY317" s="2043">
        <v>0</v>
      </c>
      <c r="CZ317" s="2043">
        <v>0</v>
      </c>
      <c r="DA317" s="2043">
        <v>0</v>
      </c>
      <c r="DB317" s="2043">
        <v>0</v>
      </c>
      <c r="DC317" s="2043">
        <v>0</v>
      </c>
      <c r="DI317" t="s">
        <v>3776</v>
      </c>
      <c r="DJ317" t="s">
        <v>3776</v>
      </c>
      <c r="DK317" s="2042">
        <f t="shared" si="6"/>
        <v>0</v>
      </c>
    </row>
    <row r="318" spans="1:115">
      <c r="A318" t="s">
        <v>2961</v>
      </c>
      <c r="B318" t="s">
        <v>676</v>
      </c>
      <c r="C318">
        <v>2066.6030000000001</v>
      </c>
      <c r="D318">
        <v>1981.8330000000001</v>
      </c>
      <c r="E318">
        <v>190.477</v>
      </c>
      <c r="F318">
        <v>0</v>
      </c>
      <c r="G318" s="2043">
        <v>1120077212</v>
      </c>
      <c r="H318">
        <v>0</v>
      </c>
      <c r="I318" s="2043">
        <v>2770460</v>
      </c>
      <c r="J318">
        <v>103.33</v>
      </c>
      <c r="K318">
        <v>282</v>
      </c>
      <c r="L318">
        <v>0</v>
      </c>
      <c r="M318">
        <v>303936</v>
      </c>
      <c r="N318">
        <v>0</v>
      </c>
      <c r="O318">
        <v>303936</v>
      </c>
      <c r="P318">
        <v>0</v>
      </c>
      <c r="Q318">
        <v>0</v>
      </c>
      <c r="R318" s="2043">
        <v>9140832</v>
      </c>
      <c r="S318">
        <v>889619</v>
      </c>
      <c r="T318">
        <v>648309</v>
      </c>
      <c r="U318">
        <v>0.08</v>
      </c>
      <c r="V318">
        <v>0</v>
      </c>
      <c r="W318">
        <v>0</v>
      </c>
      <c r="X318">
        <v>0</v>
      </c>
      <c r="Y318">
        <v>161356</v>
      </c>
      <c r="Z318">
        <v>0</v>
      </c>
      <c r="AA318">
        <v>0</v>
      </c>
      <c r="AB318">
        <v>1981.8330000000001</v>
      </c>
      <c r="AC318" s="2043">
        <v>883822790</v>
      </c>
      <c r="AD318">
        <v>4262219</v>
      </c>
      <c r="AE318" s="2043">
        <v>10678760</v>
      </c>
      <c r="AF318">
        <v>0.96030000000000004</v>
      </c>
      <c r="AG318">
        <v>0</v>
      </c>
      <c r="AH318">
        <v>0</v>
      </c>
      <c r="AI318">
        <v>0</v>
      </c>
      <c r="AJ318">
        <v>165.4</v>
      </c>
      <c r="AK318">
        <v>9113</v>
      </c>
      <c r="AL318">
        <v>0</v>
      </c>
      <c r="AM318">
        <v>0</v>
      </c>
      <c r="AN318">
        <v>125.042</v>
      </c>
      <c r="AO318">
        <v>0</v>
      </c>
      <c r="AP318">
        <v>4.7530000000000001</v>
      </c>
      <c r="AQ318">
        <v>0</v>
      </c>
      <c r="AR318">
        <v>60.43</v>
      </c>
      <c r="AS318">
        <v>0</v>
      </c>
      <c r="AT318">
        <v>8.5920000000000005</v>
      </c>
      <c r="AU318">
        <v>1.786</v>
      </c>
      <c r="AV318">
        <v>0</v>
      </c>
      <c r="AW318">
        <v>75.561000000000007</v>
      </c>
      <c r="AX318">
        <v>0</v>
      </c>
      <c r="AY318">
        <v>228.82900000000001</v>
      </c>
      <c r="AZ318">
        <v>0</v>
      </c>
      <c r="BA318">
        <v>10450044</v>
      </c>
      <c r="BB318">
        <v>14940979</v>
      </c>
      <c r="BC318">
        <v>0</v>
      </c>
      <c r="BD318">
        <v>71672</v>
      </c>
      <c r="BE318">
        <v>41718</v>
      </c>
      <c r="BF318">
        <v>159187</v>
      </c>
      <c r="BG318">
        <v>71672</v>
      </c>
      <c r="BH318">
        <v>45797</v>
      </c>
      <c r="BI318">
        <v>0</v>
      </c>
      <c r="BJ318">
        <v>0</v>
      </c>
      <c r="BK318">
        <v>0</v>
      </c>
      <c r="BL318">
        <v>1120077212</v>
      </c>
      <c r="BM318">
        <v>0</v>
      </c>
      <c r="BN318">
        <v>7065</v>
      </c>
      <c r="BO318">
        <v>4344</v>
      </c>
      <c r="BP318">
        <v>0</v>
      </c>
      <c r="BQ318">
        <v>0</v>
      </c>
      <c r="BR318">
        <v>0.82200000000000006</v>
      </c>
      <c r="BS318">
        <v>0.82200000000000006</v>
      </c>
      <c r="BT318">
        <v>161356</v>
      </c>
      <c r="BU318">
        <v>0</v>
      </c>
      <c r="BV318">
        <v>613</v>
      </c>
      <c r="BW318">
        <v>100</v>
      </c>
      <c r="BX318">
        <v>4</v>
      </c>
      <c r="BY318">
        <v>2</v>
      </c>
      <c r="BZ318">
        <v>8</v>
      </c>
      <c r="CA318">
        <v>727</v>
      </c>
      <c r="CB318">
        <v>0</v>
      </c>
      <c r="CC318">
        <v>89.94</v>
      </c>
      <c r="CD318">
        <v>16.009</v>
      </c>
      <c r="CE318">
        <v>102</v>
      </c>
      <c r="CF318">
        <v>310.20600000000002</v>
      </c>
      <c r="CG318">
        <v>0</v>
      </c>
      <c r="CH318">
        <v>0</v>
      </c>
      <c r="CI318">
        <v>0</v>
      </c>
      <c r="CJ318">
        <v>20</v>
      </c>
      <c r="CK318">
        <v>0</v>
      </c>
      <c r="CL318">
        <v>0</v>
      </c>
      <c r="CM318">
        <v>190.477</v>
      </c>
      <c r="CN318">
        <v>0</v>
      </c>
      <c r="CO318">
        <v>0</v>
      </c>
      <c r="CP318">
        <v>0</v>
      </c>
      <c r="CQ318">
        <v>0</v>
      </c>
      <c r="CR318">
        <v>0</v>
      </c>
      <c r="CS318">
        <v>0</v>
      </c>
      <c r="CT318">
        <v>0</v>
      </c>
      <c r="CU318">
        <v>1.3780000000000001</v>
      </c>
      <c r="CV318">
        <v>128.33600000000001</v>
      </c>
      <c r="CW318">
        <v>56.837000000000003</v>
      </c>
      <c r="CX318">
        <v>161356</v>
      </c>
      <c r="CY318" s="2043">
        <v>0</v>
      </c>
      <c r="CZ318" s="2043">
        <v>0</v>
      </c>
      <c r="DA318" s="2043">
        <v>0</v>
      </c>
      <c r="DB318" s="2043">
        <v>0</v>
      </c>
      <c r="DC318" s="2043">
        <v>0</v>
      </c>
      <c r="DI318" t="s">
        <v>2961</v>
      </c>
      <c r="DJ318" t="s">
        <v>2961</v>
      </c>
      <c r="DK318" s="2042">
        <f t="shared" si="6"/>
        <v>0</v>
      </c>
    </row>
    <row r="319" spans="1:115">
      <c r="A319" t="s">
        <v>2962</v>
      </c>
      <c r="B319" t="s">
        <v>200</v>
      </c>
      <c r="C319">
        <v>1496.232</v>
      </c>
      <c r="D319">
        <v>1558.2190000000001</v>
      </c>
      <c r="E319">
        <v>203.23500000000001</v>
      </c>
      <c r="F319">
        <v>0</v>
      </c>
      <c r="G319" s="2043">
        <v>800168138</v>
      </c>
      <c r="H319">
        <v>0</v>
      </c>
      <c r="I319" s="2043">
        <v>1056043</v>
      </c>
      <c r="J319">
        <v>74.811999999999998</v>
      </c>
      <c r="K319">
        <v>205</v>
      </c>
      <c r="L319">
        <v>0</v>
      </c>
      <c r="M319">
        <v>0</v>
      </c>
      <c r="N319">
        <v>0</v>
      </c>
      <c r="O319">
        <v>0</v>
      </c>
      <c r="P319">
        <v>0</v>
      </c>
      <c r="Q319">
        <v>0</v>
      </c>
      <c r="R319" s="2043">
        <v>6837455</v>
      </c>
      <c r="S319">
        <v>397526</v>
      </c>
      <c r="T319">
        <v>0</v>
      </c>
      <c r="U319">
        <v>0.05</v>
      </c>
      <c r="V319">
        <v>0</v>
      </c>
      <c r="W319">
        <v>0</v>
      </c>
      <c r="X319">
        <v>0</v>
      </c>
      <c r="Y319">
        <v>0</v>
      </c>
      <c r="Z319">
        <v>0</v>
      </c>
      <c r="AA319">
        <v>0</v>
      </c>
      <c r="AB319">
        <v>1544.4750000000001</v>
      </c>
      <c r="AC319" s="2043">
        <v>769313353</v>
      </c>
      <c r="AD319">
        <v>3955024</v>
      </c>
      <c r="AE319" s="2043">
        <v>7234981</v>
      </c>
      <c r="AF319">
        <v>0.91</v>
      </c>
      <c r="AG319">
        <v>0</v>
      </c>
      <c r="AH319">
        <v>0</v>
      </c>
      <c r="AI319">
        <v>0</v>
      </c>
      <c r="AJ319">
        <v>130.33799999999999</v>
      </c>
      <c r="AK319">
        <v>4893</v>
      </c>
      <c r="AL319">
        <v>0</v>
      </c>
      <c r="AM319">
        <v>0</v>
      </c>
      <c r="AN319">
        <v>59.704000000000001</v>
      </c>
      <c r="AO319">
        <v>0</v>
      </c>
      <c r="AP319">
        <v>5.2510000000000003</v>
      </c>
      <c r="AQ319">
        <v>0</v>
      </c>
      <c r="AR319">
        <v>27.173000000000002</v>
      </c>
      <c r="AS319">
        <v>0</v>
      </c>
      <c r="AT319">
        <v>4.6770000000000005</v>
      </c>
      <c r="AU319">
        <v>2.9390000000000001</v>
      </c>
      <c r="AV319">
        <v>0</v>
      </c>
      <c r="AW319">
        <v>40.04</v>
      </c>
      <c r="AX319">
        <v>0</v>
      </c>
      <c r="AY319">
        <v>124.423</v>
      </c>
      <c r="AZ319">
        <v>0</v>
      </c>
      <c r="BA319">
        <v>6978101</v>
      </c>
      <c r="BB319">
        <v>11190005</v>
      </c>
      <c r="BC319">
        <v>0</v>
      </c>
      <c r="BD319">
        <v>54662</v>
      </c>
      <c r="BE319">
        <v>41833</v>
      </c>
      <c r="BF319">
        <v>96495</v>
      </c>
      <c r="BG319">
        <v>54662</v>
      </c>
      <c r="BH319">
        <v>0</v>
      </c>
      <c r="BI319">
        <v>0</v>
      </c>
      <c r="BJ319">
        <v>0</v>
      </c>
      <c r="BK319">
        <v>0</v>
      </c>
      <c r="BL319">
        <v>800168138</v>
      </c>
      <c r="BM319">
        <v>0</v>
      </c>
      <c r="BN319">
        <v>5454</v>
      </c>
      <c r="BO319">
        <v>2921</v>
      </c>
      <c r="BP319">
        <v>0</v>
      </c>
      <c r="BQ319">
        <v>0</v>
      </c>
      <c r="BR319">
        <v>0.86</v>
      </c>
      <c r="BS319">
        <v>0.86</v>
      </c>
      <c r="BT319">
        <v>0</v>
      </c>
      <c r="BU319">
        <v>0</v>
      </c>
      <c r="BV319">
        <v>540</v>
      </c>
      <c r="BW319">
        <v>19</v>
      </c>
      <c r="BX319">
        <v>3</v>
      </c>
      <c r="BY319">
        <v>0</v>
      </c>
      <c r="BZ319">
        <v>13</v>
      </c>
      <c r="CA319">
        <v>575</v>
      </c>
      <c r="CB319">
        <v>0</v>
      </c>
      <c r="CC319">
        <v>0</v>
      </c>
      <c r="CD319">
        <v>0</v>
      </c>
      <c r="CE319">
        <v>79</v>
      </c>
      <c r="CF319">
        <v>252.52900000000002</v>
      </c>
      <c r="CG319">
        <v>0</v>
      </c>
      <c r="CH319">
        <v>0</v>
      </c>
      <c r="CI319">
        <v>2</v>
      </c>
      <c r="CJ319">
        <v>16</v>
      </c>
      <c r="CK319">
        <v>0</v>
      </c>
      <c r="CL319">
        <v>0</v>
      </c>
      <c r="CM319">
        <v>203.23500000000001</v>
      </c>
      <c r="CN319">
        <v>0</v>
      </c>
      <c r="CO319">
        <v>0</v>
      </c>
      <c r="CP319">
        <v>0</v>
      </c>
      <c r="CQ319">
        <v>0</v>
      </c>
      <c r="CR319">
        <v>0</v>
      </c>
      <c r="CS319">
        <v>0</v>
      </c>
      <c r="CT319">
        <v>0</v>
      </c>
      <c r="CU319">
        <v>0.17200000000000001</v>
      </c>
      <c r="CV319">
        <v>110.17400000000001</v>
      </c>
      <c r="CW319">
        <v>43.184000000000005</v>
      </c>
      <c r="CX319">
        <v>0</v>
      </c>
      <c r="CY319" s="2043">
        <v>0</v>
      </c>
      <c r="CZ319" s="2043">
        <v>0</v>
      </c>
      <c r="DA319" s="2043">
        <v>0</v>
      </c>
      <c r="DB319" s="2043">
        <v>0</v>
      </c>
      <c r="DC319" s="2043">
        <v>0</v>
      </c>
      <c r="DI319" t="s">
        <v>2962</v>
      </c>
      <c r="DJ319" t="s">
        <v>2962</v>
      </c>
      <c r="DK319" s="2042">
        <f t="shared" si="6"/>
        <v>0</v>
      </c>
    </row>
    <row r="320" spans="1:115">
      <c r="A320" t="s">
        <v>2963</v>
      </c>
      <c r="B320" t="s">
        <v>1586</v>
      </c>
      <c r="C320">
        <v>2940.384</v>
      </c>
      <c r="D320">
        <v>2557.9850000000001</v>
      </c>
      <c r="E320">
        <v>175.63</v>
      </c>
      <c r="F320">
        <v>0</v>
      </c>
      <c r="G320" s="2043">
        <v>1600468316</v>
      </c>
      <c r="H320">
        <v>0</v>
      </c>
      <c r="I320" s="2043">
        <v>6130912</v>
      </c>
      <c r="J320">
        <v>147.01900000000001</v>
      </c>
      <c r="K320">
        <v>402</v>
      </c>
      <c r="L320">
        <v>0</v>
      </c>
      <c r="M320">
        <v>467898</v>
      </c>
      <c r="N320">
        <v>0</v>
      </c>
      <c r="O320">
        <v>467898</v>
      </c>
      <c r="P320">
        <v>0</v>
      </c>
      <c r="Q320">
        <v>0</v>
      </c>
      <c r="R320" s="2043">
        <v>12980275</v>
      </c>
      <c r="S320">
        <v>1263287</v>
      </c>
      <c r="T320">
        <v>920620</v>
      </c>
      <c r="U320">
        <v>0.08</v>
      </c>
      <c r="V320">
        <v>161.84800000000001</v>
      </c>
      <c r="W320">
        <v>0</v>
      </c>
      <c r="X320">
        <v>0</v>
      </c>
      <c r="Y320">
        <v>0</v>
      </c>
      <c r="Z320">
        <v>0</v>
      </c>
      <c r="AA320">
        <v>0</v>
      </c>
      <c r="AB320">
        <v>2557.9850000000001</v>
      </c>
      <c r="AC320" s="2043">
        <v>1083422659</v>
      </c>
      <c r="AD320">
        <v>7885618</v>
      </c>
      <c r="AE320" s="2043">
        <v>15164182</v>
      </c>
      <c r="AF320">
        <v>0.96030000000000004</v>
      </c>
      <c r="AG320">
        <v>0</v>
      </c>
      <c r="AH320">
        <v>0</v>
      </c>
      <c r="AI320">
        <v>0</v>
      </c>
      <c r="AJ320">
        <v>226.51300000000001</v>
      </c>
      <c r="AK320">
        <v>10448</v>
      </c>
      <c r="AL320">
        <v>0</v>
      </c>
      <c r="AM320">
        <v>0</v>
      </c>
      <c r="AN320">
        <v>122.62400000000001</v>
      </c>
      <c r="AO320">
        <v>0</v>
      </c>
      <c r="AP320">
        <v>5.3660000000000005</v>
      </c>
      <c r="AQ320">
        <v>0</v>
      </c>
      <c r="AR320">
        <v>64.638000000000005</v>
      </c>
      <c r="AS320">
        <v>0</v>
      </c>
      <c r="AT320">
        <v>17.54</v>
      </c>
      <c r="AU320">
        <v>6.7330000000000005</v>
      </c>
      <c r="AV320">
        <v>0</v>
      </c>
      <c r="AW320">
        <v>94.277000000000001</v>
      </c>
      <c r="AX320">
        <v>0</v>
      </c>
      <c r="AY320">
        <v>294.68700000000001</v>
      </c>
      <c r="AZ320">
        <v>0</v>
      </c>
      <c r="BA320">
        <v>13222174</v>
      </c>
      <c r="BB320">
        <v>23049800</v>
      </c>
      <c r="BC320">
        <v>0</v>
      </c>
      <c r="BD320">
        <v>175523</v>
      </c>
      <c r="BE320">
        <v>55893</v>
      </c>
      <c r="BF320">
        <v>277746</v>
      </c>
      <c r="BG320">
        <v>175523</v>
      </c>
      <c r="BH320">
        <v>46330</v>
      </c>
      <c r="BI320">
        <v>0</v>
      </c>
      <c r="BJ320">
        <v>0</v>
      </c>
      <c r="BK320">
        <v>0</v>
      </c>
      <c r="BL320">
        <v>1600468316</v>
      </c>
      <c r="BM320">
        <v>0</v>
      </c>
      <c r="BN320">
        <v>8631</v>
      </c>
      <c r="BO320">
        <v>3435</v>
      </c>
      <c r="BP320">
        <v>0</v>
      </c>
      <c r="BQ320">
        <v>0</v>
      </c>
      <c r="BR320">
        <v>0.82200000000000006</v>
      </c>
      <c r="BS320">
        <v>0.82200000000000006</v>
      </c>
      <c r="BT320">
        <v>0</v>
      </c>
      <c r="BU320">
        <v>0</v>
      </c>
      <c r="BV320">
        <v>966</v>
      </c>
      <c r="BW320">
        <v>19</v>
      </c>
      <c r="BX320">
        <v>1</v>
      </c>
      <c r="BY320">
        <v>0</v>
      </c>
      <c r="BZ320">
        <v>16</v>
      </c>
      <c r="CA320">
        <v>1002</v>
      </c>
      <c r="CB320">
        <v>0</v>
      </c>
      <c r="CC320">
        <v>0</v>
      </c>
      <c r="CD320">
        <v>0</v>
      </c>
      <c r="CE320">
        <v>306</v>
      </c>
      <c r="CF320">
        <v>292.42200000000003</v>
      </c>
      <c r="CG320">
        <v>0</v>
      </c>
      <c r="CH320">
        <v>0</v>
      </c>
      <c r="CI320">
        <v>3</v>
      </c>
      <c r="CJ320">
        <v>27</v>
      </c>
      <c r="CK320">
        <v>0</v>
      </c>
      <c r="CL320">
        <v>0</v>
      </c>
      <c r="CM320">
        <v>175.63</v>
      </c>
      <c r="CN320">
        <v>0</v>
      </c>
      <c r="CO320">
        <v>0</v>
      </c>
      <c r="CP320">
        <v>0</v>
      </c>
      <c r="CQ320">
        <v>0</v>
      </c>
      <c r="CR320">
        <v>0</v>
      </c>
      <c r="CS320">
        <v>0</v>
      </c>
      <c r="CT320">
        <v>0</v>
      </c>
      <c r="CU320">
        <v>1.3000000000000001E-2</v>
      </c>
      <c r="CV320">
        <v>145.03200000000001</v>
      </c>
      <c r="CW320">
        <v>50.61</v>
      </c>
      <c r="CX320">
        <v>0</v>
      </c>
      <c r="CY320" s="2043">
        <v>0</v>
      </c>
      <c r="CZ320" s="2043">
        <v>0</v>
      </c>
      <c r="DA320" s="2043">
        <v>0</v>
      </c>
      <c r="DB320" s="2043">
        <v>0</v>
      </c>
      <c r="DC320" s="2043">
        <v>0</v>
      </c>
      <c r="DI320" t="s">
        <v>2963</v>
      </c>
      <c r="DJ320" t="s">
        <v>2963</v>
      </c>
      <c r="DK320" s="2042">
        <f t="shared" si="6"/>
        <v>0</v>
      </c>
    </row>
    <row r="321" spans="1:115">
      <c r="A321" t="s">
        <v>2964</v>
      </c>
      <c r="B321" t="s">
        <v>462</v>
      </c>
      <c r="C321">
        <v>2560.44</v>
      </c>
      <c r="D321">
        <v>2416.2370000000001</v>
      </c>
      <c r="E321">
        <v>246.94400000000002</v>
      </c>
      <c r="F321">
        <v>0</v>
      </c>
      <c r="G321" s="2043">
        <v>1533319451</v>
      </c>
      <c r="H321">
        <v>0</v>
      </c>
      <c r="I321" s="2043">
        <v>2861250</v>
      </c>
      <c r="J321">
        <v>128.02200000000002</v>
      </c>
      <c r="K321">
        <v>350</v>
      </c>
      <c r="L321">
        <v>0</v>
      </c>
      <c r="M321">
        <v>1189501</v>
      </c>
      <c r="N321">
        <v>0</v>
      </c>
      <c r="O321">
        <v>1189501</v>
      </c>
      <c r="P321">
        <v>0</v>
      </c>
      <c r="Q321">
        <v>0</v>
      </c>
      <c r="R321" s="2043">
        <v>12476765</v>
      </c>
      <c r="S321">
        <v>1214284</v>
      </c>
      <c r="T321">
        <v>884909</v>
      </c>
      <c r="U321">
        <v>0.08</v>
      </c>
      <c r="V321">
        <v>0</v>
      </c>
      <c r="W321">
        <v>0</v>
      </c>
      <c r="X321">
        <v>0</v>
      </c>
      <c r="Y321">
        <v>0</v>
      </c>
      <c r="Z321">
        <v>0</v>
      </c>
      <c r="AA321">
        <v>7.0000000000000007E-2</v>
      </c>
      <c r="AB321">
        <v>2412.5309999999999</v>
      </c>
      <c r="AC321" s="2043">
        <v>1171336991</v>
      </c>
      <c r="AD321">
        <v>2762407</v>
      </c>
      <c r="AE321" s="2043">
        <v>14575958</v>
      </c>
      <c r="AF321">
        <v>0.96030000000000004</v>
      </c>
      <c r="AG321">
        <v>0</v>
      </c>
      <c r="AH321">
        <v>0</v>
      </c>
      <c r="AI321">
        <v>0</v>
      </c>
      <c r="AJ321">
        <v>319.35000000000002</v>
      </c>
      <c r="AK321">
        <v>10543</v>
      </c>
      <c r="AL321">
        <v>0</v>
      </c>
      <c r="AM321">
        <v>0</v>
      </c>
      <c r="AN321">
        <v>175.21200000000002</v>
      </c>
      <c r="AO321">
        <v>0</v>
      </c>
      <c r="AP321">
        <v>4.367</v>
      </c>
      <c r="AQ321">
        <v>0</v>
      </c>
      <c r="AR321">
        <v>43.846000000000004</v>
      </c>
      <c r="AS321">
        <v>0</v>
      </c>
      <c r="AT321">
        <v>17.481000000000002</v>
      </c>
      <c r="AU321">
        <v>7.62</v>
      </c>
      <c r="AV321">
        <v>0</v>
      </c>
      <c r="AW321">
        <v>73.314000000000007</v>
      </c>
      <c r="AX321">
        <v>0</v>
      </c>
      <c r="AY321">
        <v>233.87200000000001</v>
      </c>
      <c r="AZ321">
        <v>0</v>
      </c>
      <c r="BA321">
        <v>12172800</v>
      </c>
      <c r="BB321">
        <v>17338365</v>
      </c>
      <c r="BC321">
        <v>0</v>
      </c>
      <c r="BD321">
        <v>141901</v>
      </c>
      <c r="BE321">
        <v>57066</v>
      </c>
      <c r="BF321">
        <v>314580</v>
      </c>
      <c r="BG321">
        <v>141901</v>
      </c>
      <c r="BH321">
        <v>115613</v>
      </c>
      <c r="BI321">
        <v>0</v>
      </c>
      <c r="BJ321">
        <v>0</v>
      </c>
      <c r="BK321">
        <v>0</v>
      </c>
      <c r="BL321">
        <v>1533319451</v>
      </c>
      <c r="BM321">
        <v>0</v>
      </c>
      <c r="BN321">
        <v>9387</v>
      </c>
      <c r="BO321">
        <v>1980</v>
      </c>
      <c r="BP321">
        <v>0</v>
      </c>
      <c r="BQ321">
        <v>0</v>
      </c>
      <c r="BR321">
        <v>0.82200000000000006</v>
      </c>
      <c r="BS321">
        <v>0.82200000000000006</v>
      </c>
      <c r="BT321">
        <v>0</v>
      </c>
      <c r="BU321">
        <v>0</v>
      </c>
      <c r="BV321">
        <v>425</v>
      </c>
      <c r="BW321">
        <v>616</v>
      </c>
      <c r="BX321">
        <v>222</v>
      </c>
      <c r="BY321">
        <v>6</v>
      </c>
      <c r="BZ321">
        <v>74</v>
      </c>
      <c r="CA321">
        <v>1343</v>
      </c>
      <c r="CB321">
        <v>0</v>
      </c>
      <c r="CC321">
        <v>0</v>
      </c>
      <c r="CD321">
        <v>0</v>
      </c>
      <c r="CE321">
        <v>259</v>
      </c>
      <c r="CF321">
        <v>534.36500000000001</v>
      </c>
      <c r="CG321">
        <v>16.318000000000001</v>
      </c>
      <c r="CH321">
        <v>0</v>
      </c>
      <c r="CI321">
        <v>5</v>
      </c>
      <c r="CJ321">
        <v>12</v>
      </c>
      <c r="CK321">
        <v>0</v>
      </c>
      <c r="CL321">
        <v>16.318000000000001</v>
      </c>
      <c r="CM321">
        <v>246.94400000000002</v>
      </c>
      <c r="CN321">
        <v>0</v>
      </c>
      <c r="CO321">
        <v>0</v>
      </c>
      <c r="CP321">
        <v>0</v>
      </c>
      <c r="CQ321">
        <v>0</v>
      </c>
      <c r="CR321">
        <v>0</v>
      </c>
      <c r="CS321">
        <v>0</v>
      </c>
      <c r="CT321">
        <v>0</v>
      </c>
      <c r="CU321">
        <v>0</v>
      </c>
      <c r="CV321">
        <v>162.9</v>
      </c>
      <c r="CW321">
        <v>93.855000000000004</v>
      </c>
      <c r="CX321">
        <v>0</v>
      </c>
      <c r="CY321" s="2043">
        <v>0</v>
      </c>
      <c r="CZ321" s="2043">
        <v>0</v>
      </c>
      <c r="DA321" s="2043">
        <v>0</v>
      </c>
      <c r="DB321" s="2043">
        <v>0</v>
      </c>
      <c r="DC321" s="2043">
        <v>0</v>
      </c>
      <c r="DI321" t="s">
        <v>2964</v>
      </c>
      <c r="DJ321" t="s">
        <v>2964</v>
      </c>
      <c r="DK321" s="2042">
        <f t="shared" si="6"/>
        <v>0</v>
      </c>
    </row>
    <row r="322" spans="1:115">
      <c r="A322" t="s">
        <v>2965</v>
      </c>
      <c r="B322" t="s">
        <v>1325</v>
      </c>
      <c r="C322">
        <v>26106.419000000002</v>
      </c>
      <c r="D322">
        <v>24790.404999999999</v>
      </c>
      <c r="E322">
        <v>1744.405</v>
      </c>
      <c r="F322">
        <v>0</v>
      </c>
      <c r="G322" s="2043">
        <v>25932064546</v>
      </c>
      <c r="H322">
        <v>0</v>
      </c>
      <c r="I322" s="2043">
        <v>78249902</v>
      </c>
      <c r="J322">
        <v>1305.3210000000001</v>
      </c>
      <c r="K322">
        <v>3569</v>
      </c>
      <c r="L322">
        <v>0</v>
      </c>
      <c r="M322">
        <v>740900</v>
      </c>
      <c r="N322">
        <v>0</v>
      </c>
      <c r="O322">
        <v>740900</v>
      </c>
      <c r="P322">
        <v>0</v>
      </c>
      <c r="Q322">
        <v>0</v>
      </c>
      <c r="R322" s="2043">
        <v>208659601</v>
      </c>
      <c r="S322">
        <v>12692190</v>
      </c>
      <c r="T322">
        <v>0</v>
      </c>
      <c r="U322">
        <v>0.05</v>
      </c>
      <c r="V322">
        <v>740.774</v>
      </c>
      <c r="W322">
        <v>7800113</v>
      </c>
      <c r="X322">
        <v>0</v>
      </c>
      <c r="Y322">
        <v>-26804</v>
      </c>
      <c r="Z322">
        <v>0</v>
      </c>
      <c r="AA322">
        <v>1.099</v>
      </c>
      <c r="AB322">
        <v>24592.343000000001</v>
      </c>
      <c r="AC322" s="2043">
        <v>18461006053</v>
      </c>
      <c r="AD322">
        <v>107507283</v>
      </c>
      <c r="AE322" s="2043">
        <v>221351791</v>
      </c>
      <c r="AF322">
        <v>0.872</v>
      </c>
      <c r="AG322">
        <v>1926065</v>
      </c>
      <c r="AH322">
        <v>7800113</v>
      </c>
      <c r="AI322">
        <v>0</v>
      </c>
      <c r="AJ322">
        <v>1487.45</v>
      </c>
      <c r="AK322">
        <v>94634</v>
      </c>
      <c r="AL322">
        <v>1.9790000000000001</v>
      </c>
      <c r="AM322">
        <v>0</v>
      </c>
      <c r="AN322">
        <v>946.22300000000007</v>
      </c>
      <c r="AO322">
        <v>0.70000000000000007</v>
      </c>
      <c r="AP322">
        <v>5.2709999999999999</v>
      </c>
      <c r="AQ322">
        <v>0.12300000000000001</v>
      </c>
      <c r="AR322">
        <v>747.28399999999999</v>
      </c>
      <c r="AS322">
        <v>0</v>
      </c>
      <c r="AT322">
        <v>162.79600000000002</v>
      </c>
      <c r="AU322">
        <v>58.562000000000005</v>
      </c>
      <c r="AV322">
        <v>0</v>
      </c>
      <c r="AW322">
        <v>994.08100000000002</v>
      </c>
      <c r="AX322">
        <v>18.066000000000003</v>
      </c>
      <c r="AY322">
        <v>3088.7290000000003</v>
      </c>
      <c r="AZ322">
        <v>0</v>
      </c>
      <c r="BA322">
        <v>16964373</v>
      </c>
      <c r="BB322">
        <v>328859074</v>
      </c>
      <c r="BC322">
        <v>0</v>
      </c>
      <c r="BD322">
        <v>1499383</v>
      </c>
      <c r="BE322">
        <v>655213</v>
      </c>
      <c r="BF322">
        <v>3085357</v>
      </c>
      <c r="BG322">
        <v>1499383</v>
      </c>
      <c r="BH322">
        <v>930761</v>
      </c>
      <c r="BI322">
        <v>0</v>
      </c>
      <c r="BJ322">
        <v>-26804</v>
      </c>
      <c r="BK322">
        <v>0</v>
      </c>
      <c r="BL322">
        <v>25932064546</v>
      </c>
      <c r="BM322">
        <v>0</v>
      </c>
      <c r="BN322">
        <v>88992</v>
      </c>
      <c r="BO322">
        <v>18265</v>
      </c>
      <c r="BP322">
        <v>16154</v>
      </c>
      <c r="BQ322">
        <v>0</v>
      </c>
      <c r="BR322">
        <v>0.82200000000000006</v>
      </c>
      <c r="BS322">
        <v>0.82200000000000006</v>
      </c>
      <c r="BT322">
        <v>0</v>
      </c>
      <c r="BU322">
        <v>0</v>
      </c>
      <c r="BV322">
        <v>5032</v>
      </c>
      <c r="BW322">
        <v>1063</v>
      </c>
      <c r="BX322">
        <v>214</v>
      </c>
      <c r="BY322">
        <v>83</v>
      </c>
      <c r="BZ322">
        <v>100</v>
      </c>
      <c r="CA322">
        <v>6492</v>
      </c>
      <c r="CB322">
        <v>0</v>
      </c>
      <c r="CC322">
        <v>205.90800000000002</v>
      </c>
      <c r="CD322">
        <v>0</v>
      </c>
      <c r="CE322">
        <v>2644</v>
      </c>
      <c r="CF322">
        <v>2682.172</v>
      </c>
      <c r="CG322">
        <v>0</v>
      </c>
      <c r="CH322">
        <v>0</v>
      </c>
      <c r="CI322">
        <v>49</v>
      </c>
      <c r="CJ322">
        <v>408</v>
      </c>
      <c r="CK322">
        <v>5</v>
      </c>
      <c r="CL322">
        <v>0</v>
      </c>
      <c r="CM322">
        <v>1744.405</v>
      </c>
      <c r="CN322">
        <v>0</v>
      </c>
      <c r="CO322">
        <v>12833</v>
      </c>
      <c r="CP322">
        <v>3321</v>
      </c>
      <c r="CQ322">
        <v>0</v>
      </c>
      <c r="CR322">
        <v>0</v>
      </c>
      <c r="CS322">
        <v>0</v>
      </c>
      <c r="CT322">
        <v>0</v>
      </c>
      <c r="CU322">
        <v>12.238000000000001</v>
      </c>
      <c r="CV322">
        <v>1635.749</v>
      </c>
      <c r="CW322">
        <v>1061.6310000000001</v>
      </c>
      <c r="CX322">
        <v>0</v>
      </c>
      <c r="CY322" s="2043">
        <v>0</v>
      </c>
      <c r="CZ322" s="2043">
        <v>1926065</v>
      </c>
      <c r="DA322" s="2043">
        <v>0</v>
      </c>
      <c r="DB322" s="2043">
        <v>0</v>
      </c>
      <c r="DC322" s="2043">
        <v>230000</v>
      </c>
      <c r="DI322" t="s">
        <v>4998</v>
      </c>
      <c r="DJ322" t="s">
        <v>2965</v>
      </c>
      <c r="DK322" s="2042">
        <f t="shared" si="6"/>
        <v>-1</v>
      </c>
    </row>
    <row r="323" spans="1:115" s="629" customFormat="1">
      <c r="A323" s="629" t="s">
        <v>4998</v>
      </c>
      <c r="B323" s="629" t="s">
        <v>1734</v>
      </c>
      <c r="C323" s="629">
        <v>4159.2139999999999</v>
      </c>
      <c r="D323" s="629">
        <v>3818.777</v>
      </c>
      <c r="E323" s="629">
        <v>156.64400000000001</v>
      </c>
      <c r="F323" s="629">
        <v>0</v>
      </c>
      <c r="G323" s="731">
        <v>3209825299</v>
      </c>
      <c r="H323" s="629">
        <v>0</v>
      </c>
      <c r="I323" s="731">
        <v>13784802</v>
      </c>
      <c r="J323" s="629">
        <v>207.96100000000001</v>
      </c>
      <c r="K323" s="629">
        <v>569</v>
      </c>
      <c r="L323" s="629">
        <v>0</v>
      </c>
      <c r="M323" s="629">
        <v>0</v>
      </c>
      <c r="N323" s="629">
        <v>0</v>
      </c>
      <c r="O323" s="629">
        <v>0</v>
      </c>
      <c r="P323" s="629">
        <v>0</v>
      </c>
      <c r="Q323" s="629">
        <v>0</v>
      </c>
      <c r="R323" s="731">
        <v>26151728</v>
      </c>
      <c r="S323" s="629">
        <v>2545180</v>
      </c>
      <c r="T323" s="629">
        <v>413592</v>
      </c>
      <c r="U323" s="629">
        <v>0.08</v>
      </c>
      <c r="V323" s="629">
        <v>0</v>
      </c>
      <c r="W323" s="629">
        <v>0</v>
      </c>
      <c r="X323" s="629">
        <v>90081</v>
      </c>
      <c r="Y323" s="629">
        <v>3706513</v>
      </c>
      <c r="Z323" s="629">
        <v>0</v>
      </c>
      <c r="AA323" s="629">
        <v>0</v>
      </c>
      <c r="AB323" s="629">
        <v>3800.8380000000002</v>
      </c>
      <c r="AC323" s="731">
        <v>2210326767</v>
      </c>
      <c r="AD323" s="629">
        <v>15415000</v>
      </c>
      <c r="AE323" s="731">
        <v>29110500</v>
      </c>
      <c r="AF323" s="629">
        <v>0.91500000000000004</v>
      </c>
      <c r="AG323" s="629">
        <v>0</v>
      </c>
      <c r="AH323" s="629">
        <v>90081</v>
      </c>
      <c r="AI323" s="629">
        <v>0</v>
      </c>
      <c r="AJ323" s="629">
        <v>56.913000000000004</v>
      </c>
      <c r="AK323" s="629">
        <v>11011</v>
      </c>
      <c r="AL323" s="629">
        <v>7.9000000000000001E-2</v>
      </c>
      <c r="AM323" s="629">
        <v>0</v>
      </c>
      <c r="AN323" s="629">
        <v>139.94499999999999</v>
      </c>
      <c r="AO323" s="629">
        <v>0</v>
      </c>
      <c r="AP323" s="629">
        <v>0</v>
      </c>
      <c r="AQ323" s="629">
        <v>0</v>
      </c>
      <c r="AR323" s="629">
        <v>68.50500000000001</v>
      </c>
      <c r="AS323" s="629">
        <v>0</v>
      </c>
      <c r="AT323" s="629">
        <v>19.294</v>
      </c>
      <c r="AU323" s="629">
        <v>9.3960000000000008</v>
      </c>
      <c r="AV323" s="629">
        <v>0</v>
      </c>
      <c r="AW323" s="629">
        <v>97.798000000000002</v>
      </c>
      <c r="AX323" s="629">
        <v>0.52400000000000002</v>
      </c>
      <c r="AY323" s="629">
        <v>311.97700000000003</v>
      </c>
      <c r="AZ323" s="629">
        <v>0</v>
      </c>
      <c r="BA323" s="629">
        <v>10226531</v>
      </c>
      <c r="BB323" s="629">
        <v>44525500</v>
      </c>
      <c r="BC323" s="629">
        <v>0</v>
      </c>
      <c r="BD323" s="629">
        <v>378224</v>
      </c>
      <c r="BE323" s="629">
        <v>46850</v>
      </c>
      <c r="BF323" s="629">
        <v>55956</v>
      </c>
      <c r="BG323" s="629">
        <v>0</v>
      </c>
      <c r="BH323" s="629">
        <v>9106</v>
      </c>
      <c r="BI323" s="629">
        <v>0</v>
      </c>
      <c r="BJ323" s="629">
        <v>0</v>
      </c>
      <c r="BK323" s="629">
        <v>0</v>
      </c>
      <c r="BL323" s="629">
        <v>3209825299</v>
      </c>
      <c r="BM323" s="629">
        <v>0</v>
      </c>
      <c r="BN323" s="629">
        <v>13599</v>
      </c>
      <c r="BO323" s="629">
        <v>3766</v>
      </c>
      <c r="BP323" s="629">
        <v>0</v>
      </c>
      <c r="BQ323" s="629">
        <v>0</v>
      </c>
      <c r="BR323" s="629">
        <v>0.82200000000000006</v>
      </c>
      <c r="BS323" s="629">
        <v>0.82200000000000006</v>
      </c>
      <c r="BT323" s="629">
        <v>3706513</v>
      </c>
      <c r="BU323" s="629">
        <v>0</v>
      </c>
      <c r="BV323" s="629">
        <v>244</v>
      </c>
      <c r="BW323" s="629">
        <v>4</v>
      </c>
      <c r="BX323" s="629">
        <v>1</v>
      </c>
      <c r="BY323" s="629">
        <v>1</v>
      </c>
      <c r="BZ323" s="629">
        <v>2</v>
      </c>
      <c r="CA323" s="629">
        <v>252</v>
      </c>
      <c r="CB323" s="629">
        <v>0</v>
      </c>
      <c r="CC323" s="629">
        <v>0</v>
      </c>
      <c r="CD323" s="629">
        <v>0</v>
      </c>
      <c r="CE323" s="629">
        <v>236</v>
      </c>
      <c r="CF323" s="629">
        <v>165.66200000000001</v>
      </c>
      <c r="CG323" s="629">
        <v>0</v>
      </c>
      <c r="CH323" s="629">
        <v>0</v>
      </c>
      <c r="CI323" s="629">
        <v>2</v>
      </c>
      <c r="CJ323" s="629">
        <v>71</v>
      </c>
      <c r="CK323" s="629">
        <v>2</v>
      </c>
      <c r="CL323" s="629">
        <v>0</v>
      </c>
      <c r="CM323" s="629">
        <v>156.64400000000001</v>
      </c>
      <c r="CN323" s="629">
        <v>0</v>
      </c>
      <c r="CO323" s="629">
        <v>0</v>
      </c>
      <c r="CP323" s="629">
        <v>0</v>
      </c>
      <c r="CQ323" s="629">
        <v>0</v>
      </c>
      <c r="CR323" s="629">
        <v>0</v>
      </c>
      <c r="CS323" s="629">
        <v>0</v>
      </c>
      <c r="CT323" s="629">
        <v>0</v>
      </c>
      <c r="CU323" s="629">
        <v>11.061</v>
      </c>
      <c r="CV323" s="629">
        <v>105.72</v>
      </c>
      <c r="CW323" s="629">
        <v>70.17</v>
      </c>
      <c r="CX323" s="629">
        <v>3706513</v>
      </c>
      <c r="CY323" s="731">
        <v>0</v>
      </c>
      <c r="CZ323" s="731">
        <v>0</v>
      </c>
      <c r="DA323" s="731">
        <v>0</v>
      </c>
      <c r="DB323" s="731">
        <v>0</v>
      </c>
      <c r="DC323" s="731">
        <v>1706000</v>
      </c>
      <c r="DI323" s="629" t="s">
        <v>2965</v>
      </c>
      <c r="DJ323" s="629" t="s">
        <v>4998</v>
      </c>
      <c r="DK323" s="629">
        <f t="shared" si="6"/>
        <v>1</v>
      </c>
    </row>
    <row r="324" spans="1:115">
      <c r="A324" t="s">
        <v>2966</v>
      </c>
      <c r="B324" t="s">
        <v>59</v>
      </c>
      <c r="C324">
        <v>3744.444</v>
      </c>
      <c r="D324">
        <v>3770.1290000000004</v>
      </c>
      <c r="E324">
        <v>421.14300000000003</v>
      </c>
      <c r="F324">
        <v>0</v>
      </c>
      <c r="G324" s="2043">
        <v>2449296102</v>
      </c>
      <c r="H324">
        <v>0</v>
      </c>
      <c r="I324" s="2043">
        <v>11416050</v>
      </c>
      <c r="J324">
        <v>187.22200000000001</v>
      </c>
      <c r="K324">
        <v>512</v>
      </c>
      <c r="L324">
        <v>0</v>
      </c>
      <c r="M324">
        <v>1087876</v>
      </c>
      <c r="N324">
        <v>0</v>
      </c>
      <c r="O324">
        <v>1087876</v>
      </c>
      <c r="P324">
        <v>0</v>
      </c>
      <c r="Q324">
        <v>0</v>
      </c>
      <c r="R324" s="2043">
        <v>20765050</v>
      </c>
      <c r="S324">
        <v>1927151</v>
      </c>
      <c r="T324">
        <v>1404411</v>
      </c>
      <c r="U324">
        <v>0.08</v>
      </c>
      <c r="V324">
        <v>0</v>
      </c>
      <c r="W324">
        <v>0</v>
      </c>
      <c r="X324">
        <v>0</v>
      </c>
      <c r="Y324">
        <v>4587</v>
      </c>
      <c r="Z324">
        <v>0</v>
      </c>
      <c r="AA324">
        <v>0</v>
      </c>
      <c r="AB324">
        <v>3661.2140000000004</v>
      </c>
      <c r="AC324" s="2043">
        <v>2009397154</v>
      </c>
      <c r="AD324">
        <v>12042664</v>
      </c>
      <c r="AE324" s="2043">
        <v>24096612</v>
      </c>
      <c r="AF324">
        <v>1.0003</v>
      </c>
      <c r="AG324">
        <v>0</v>
      </c>
      <c r="AH324">
        <v>0</v>
      </c>
      <c r="AI324">
        <v>0</v>
      </c>
      <c r="AJ324">
        <v>415.25</v>
      </c>
      <c r="AK324">
        <v>12986</v>
      </c>
      <c r="AL324">
        <v>0.183</v>
      </c>
      <c r="AM324">
        <v>0</v>
      </c>
      <c r="AN324">
        <v>102.61200000000001</v>
      </c>
      <c r="AO324">
        <v>0</v>
      </c>
      <c r="AP324">
        <v>0</v>
      </c>
      <c r="AQ324">
        <v>0</v>
      </c>
      <c r="AR324">
        <v>98.554000000000002</v>
      </c>
      <c r="AS324">
        <v>0</v>
      </c>
      <c r="AT324">
        <v>32.474000000000004</v>
      </c>
      <c r="AU324">
        <v>7.1230000000000002</v>
      </c>
      <c r="AV324">
        <v>0</v>
      </c>
      <c r="AW324">
        <v>138.74299999999999</v>
      </c>
      <c r="AX324">
        <v>0.40900000000000003</v>
      </c>
      <c r="AY324">
        <v>430.55500000000001</v>
      </c>
      <c r="AZ324">
        <v>0</v>
      </c>
      <c r="BA324">
        <v>12721383</v>
      </c>
      <c r="BB324">
        <v>36139276</v>
      </c>
      <c r="BC324">
        <v>0</v>
      </c>
      <c r="BD324">
        <v>59001</v>
      </c>
      <c r="BE324">
        <v>29333</v>
      </c>
      <c r="BF324">
        <v>88334</v>
      </c>
      <c r="BG324">
        <v>59001</v>
      </c>
      <c r="BH324">
        <v>0</v>
      </c>
      <c r="BI324">
        <v>0</v>
      </c>
      <c r="BJ324">
        <v>0</v>
      </c>
      <c r="BK324">
        <v>0</v>
      </c>
      <c r="BL324">
        <v>2449296102</v>
      </c>
      <c r="BM324">
        <v>0</v>
      </c>
      <c r="BN324">
        <v>15282</v>
      </c>
      <c r="BO324">
        <v>12594</v>
      </c>
      <c r="BP324">
        <v>0</v>
      </c>
      <c r="BQ324">
        <v>0</v>
      </c>
      <c r="BR324">
        <v>0.86199999999999999</v>
      </c>
      <c r="BS324">
        <v>0.86199999999999999</v>
      </c>
      <c r="BT324">
        <v>4587</v>
      </c>
      <c r="BU324">
        <v>0</v>
      </c>
      <c r="BV324">
        <v>886</v>
      </c>
      <c r="BW324">
        <v>325</v>
      </c>
      <c r="BX324">
        <v>514</v>
      </c>
      <c r="BY324">
        <v>19</v>
      </c>
      <c r="BZ324">
        <v>19</v>
      </c>
      <c r="CA324">
        <v>1763</v>
      </c>
      <c r="CB324">
        <v>0</v>
      </c>
      <c r="CC324">
        <v>0</v>
      </c>
      <c r="CD324">
        <v>0</v>
      </c>
      <c r="CE324">
        <v>495</v>
      </c>
      <c r="CF324">
        <v>638.94799999999998</v>
      </c>
      <c r="CG324">
        <v>0</v>
      </c>
      <c r="CH324">
        <v>0</v>
      </c>
      <c r="CI324">
        <v>7</v>
      </c>
      <c r="CJ324">
        <v>48</v>
      </c>
      <c r="CK324">
        <v>1</v>
      </c>
      <c r="CL324">
        <v>0</v>
      </c>
      <c r="CM324">
        <v>421.14300000000003</v>
      </c>
      <c r="CN324">
        <v>0</v>
      </c>
      <c r="CO324">
        <v>0</v>
      </c>
      <c r="CP324">
        <v>0</v>
      </c>
      <c r="CQ324">
        <v>0</v>
      </c>
      <c r="CR324">
        <v>0</v>
      </c>
      <c r="CS324">
        <v>0</v>
      </c>
      <c r="CT324">
        <v>0</v>
      </c>
      <c r="CU324">
        <v>11.655000000000001</v>
      </c>
      <c r="CV324">
        <v>257.70300000000003</v>
      </c>
      <c r="CW324">
        <v>150.34800000000001</v>
      </c>
      <c r="CX324">
        <v>4587</v>
      </c>
      <c r="CY324" s="2043">
        <v>0</v>
      </c>
      <c r="CZ324" s="2043">
        <v>0</v>
      </c>
      <c r="DA324" s="2043">
        <v>0</v>
      </c>
      <c r="DB324" s="2043">
        <v>0</v>
      </c>
      <c r="DC324" s="2043">
        <v>0</v>
      </c>
      <c r="DI324" t="s">
        <v>2966</v>
      </c>
      <c r="DJ324" t="s">
        <v>2966</v>
      </c>
      <c r="DK324" s="2042">
        <f t="shared" ref="DK324:DK387" si="7">DI324-DJ324:DJ325</f>
        <v>0</v>
      </c>
    </row>
    <row r="325" spans="1:115">
      <c r="A325" t="s">
        <v>2967</v>
      </c>
      <c r="B325" t="s">
        <v>604</v>
      </c>
      <c r="C325">
        <v>7743.9090000000006</v>
      </c>
      <c r="D325">
        <v>7905.0460000000003</v>
      </c>
      <c r="E325">
        <v>977.04</v>
      </c>
      <c r="F325">
        <v>0</v>
      </c>
      <c r="G325" s="2043">
        <v>6151491924</v>
      </c>
      <c r="H325">
        <v>-656294</v>
      </c>
      <c r="I325" s="2043">
        <v>24481057</v>
      </c>
      <c r="J325">
        <v>387.19499999999999</v>
      </c>
      <c r="K325">
        <v>1059</v>
      </c>
      <c r="L325">
        <v>0</v>
      </c>
      <c r="M325">
        <v>1471185</v>
      </c>
      <c r="N325">
        <v>0</v>
      </c>
      <c r="O325">
        <v>1471185</v>
      </c>
      <c r="P325">
        <v>0</v>
      </c>
      <c r="Q325">
        <v>0</v>
      </c>
      <c r="R325" s="2043">
        <v>49943311</v>
      </c>
      <c r="S325">
        <v>4860663</v>
      </c>
      <c r="T325">
        <v>3542208</v>
      </c>
      <c r="U325">
        <v>0.08</v>
      </c>
      <c r="V325">
        <v>67.132000000000005</v>
      </c>
      <c r="W325">
        <v>0</v>
      </c>
      <c r="X325">
        <v>656294</v>
      </c>
      <c r="Y325">
        <v>-656294</v>
      </c>
      <c r="Z325">
        <v>0</v>
      </c>
      <c r="AA325">
        <v>0.158</v>
      </c>
      <c r="AB325">
        <v>7752.6379999999999</v>
      </c>
      <c r="AC325" s="2043">
        <v>4761858693</v>
      </c>
      <c r="AD325">
        <v>28551842</v>
      </c>
      <c r="AE325" s="2043">
        <v>58346182</v>
      </c>
      <c r="AF325">
        <v>0.96030000000000004</v>
      </c>
      <c r="AG325">
        <v>0</v>
      </c>
      <c r="AH325">
        <v>656294</v>
      </c>
      <c r="AI325">
        <v>0</v>
      </c>
      <c r="AJ325">
        <v>852.13800000000003</v>
      </c>
      <c r="AK325">
        <v>20756</v>
      </c>
      <c r="AL325">
        <v>0.13700000000000001</v>
      </c>
      <c r="AM325">
        <v>0</v>
      </c>
      <c r="AN325">
        <v>366.40899999999999</v>
      </c>
      <c r="AO325">
        <v>0</v>
      </c>
      <c r="AP325">
        <v>0</v>
      </c>
      <c r="AQ325">
        <v>0</v>
      </c>
      <c r="AR325">
        <v>102.614</v>
      </c>
      <c r="AS325">
        <v>0</v>
      </c>
      <c r="AT325">
        <v>33.701000000000001</v>
      </c>
      <c r="AU325">
        <v>16.234999999999999</v>
      </c>
      <c r="AV325">
        <v>0</v>
      </c>
      <c r="AW325">
        <v>154.55700000000002</v>
      </c>
      <c r="AX325">
        <v>1.87</v>
      </c>
      <c r="AY325">
        <v>495.10600000000005</v>
      </c>
      <c r="AZ325">
        <v>0</v>
      </c>
      <c r="BA325">
        <v>15345559</v>
      </c>
      <c r="BB325">
        <v>86898024</v>
      </c>
      <c r="BC325">
        <v>0</v>
      </c>
      <c r="BD325">
        <v>424368</v>
      </c>
      <c r="BE325">
        <v>264902</v>
      </c>
      <c r="BF325">
        <v>689270</v>
      </c>
      <c r="BG325">
        <v>424368</v>
      </c>
      <c r="BH325">
        <v>0</v>
      </c>
      <c r="BI325">
        <v>0</v>
      </c>
      <c r="BJ325">
        <v>0</v>
      </c>
      <c r="BK325">
        <v>0</v>
      </c>
      <c r="BL325">
        <v>6151491924</v>
      </c>
      <c r="BM325">
        <v>0</v>
      </c>
      <c r="BN325">
        <v>27405</v>
      </c>
      <c r="BO325">
        <v>18693</v>
      </c>
      <c r="BP325">
        <v>6960</v>
      </c>
      <c r="BQ325">
        <v>0</v>
      </c>
      <c r="BR325">
        <v>0.82200000000000006</v>
      </c>
      <c r="BS325">
        <v>0.82200000000000006</v>
      </c>
      <c r="BT325">
        <v>0</v>
      </c>
      <c r="BU325">
        <v>0</v>
      </c>
      <c r="BV325">
        <v>3224</v>
      </c>
      <c r="BW325">
        <v>485</v>
      </c>
      <c r="BX325">
        <v>0</v>
      </c>
      <c r="BY325">
        <v>0</v>
      </c>
      <c r="BZ325">
        <v>42</v>
      </c>
      <c r="CA325">
        <v>3751</v>
      </c>
      <c r="CB325">
        <v>0</v>
      </c>
      <c r="CC325">
        <v>512.32500000000005</v>
      </c>
      <c r="CD325">
        <v>283.65199999999999</v>
      </c>
      <c r="CE325">
        <v>449</v>
      </c>
      <c r="CF325">
        <v>1538.0940000000001</v>
      </c>
      <c r="CG325">
        <v>0</v>
      </c>
      <c r="CH325">
        <v>0</v>
      </c>
      <c r="CI325">
        <v>5</v>
      </c>
      <c r="CJ325">
        <v>29</v>
      </c>
      <c r="CK325">
        <v>1</v>
      </c>
      <c r="CL325">
        <v>0</v>
      </c>
      <c r="CM325">
        <v>977.04</v>
      </c>
      <c r="CN325">
        <v>0</v>
      </c>
      <c r="CO325">
        <v>0</v>
      </c>
      <c r="CP325">
        <v>6960</v>
      </c>
      <c r="CQ325">
        <v>0</v>
      </c>
      <c r="CR325">
        <v>0</v>
      </c>
      <c r="CS325">
        <v>0</v>
      </c>
      <c r="CT325">
        <v>0</v>
      </c>
      <c r="CU325">
        <v>35.561</v>
      </c>
      <c r="CV325">
        <v>294.55500000000001</v>
      </c>
      <c r="CW325">
        <v>229.04300000000001</v>
      </c>
      <c r="CX325">
        <v>0</v>
      </c>
      <c r="CY325" s="2043">
        <v>0</v>
      </c>
      <c r="CZ325" s="2043">
        <v>0</v>
      </c>
      <c r="DA325" s="2043">
        <v>0</v>
      </c>
      <c r="DB325" s="2043">
        <v>0</v>
      </c>
      <c r="DC325" s="2043">
        <v>502636</v>
      </c>
      <c r="DI325" t="s">
        <v>2967</v>
      </c>
      <c r="DJ325" t="s">
        <v>2967</v>
      </c>
      <c r="DK325" s="2042">
        <f t="shared" si="7"/>
        <v>0</v>
      </c>
    </row>
    <row r="326" spans="1:115">
      <c r="A326" t="s">
        <v>4999</v>
      </c>
      <c r="B326" t="s">
        <v>1735</v>
      </c>
      <c r="C326">
        <v>138.66400000000002</v>
      </c>
      <c r="D326">
        <v>142.37100000000001</v>
      </c>
      <c r="E326">
        <v>0</v>
      </c>
      <c r="F326">
        <v>0</v>
      </c>
      <c r="G326" s="2043">
        <v>594245934</v>
      </c>
      <c r="H326">
        <v>0</v>
      </c>
      <c r="I326" s="2043">
        <v>0</v>
      </c>
      <c r="J326">
        <v>5</v>
      </c>
      <c r="K326">
        <v>14</v>
      </c>
      <c r="L326">
        <v>0</v>
      </c>
      <c r="M326">
        <v>0</v>
      </c>
      <c r="N326">
        <v>0</v>
      </c>
      <c r="O326">
        <v>0</v>
      </c>
      <c r="P326">
        <v>0</v>
      </c>
      <c r="Q326">
        <v>0</v>
      </c>
      <c r="R326" s="2043">
        <v>5406918</v>
      </c>
      <c r="S326">
        <v>473564</v>
      </c>
      <c r="T326">
        <v>345110</v>
      </c>
      <c r="U326">
        <v>0.08</v>
      </c>
      <c r="V326">
        <v>0</v>
      </c>
      <c r="W326">
        <v>3711089</v>
      </c>
      <c r="X326">
        <v>266513</v>
      </c>
      <c r="Y326">
        <v>0</v>
      </c>
      <c r="Z326">
        <v>0</v>
      </c>
      <c r="AA326">
        <v>0</v>
      </c>
      <c r="AB326">
        <v>1</v>
      </c>
      <c r="AC326" s="2043">
        <v>464730677</v>
      </c>
      <c r="AD326">
        <v>623931</v>
      </c>
      <c r="AE326" s="2043">
        <v>6225592</v>
      </c>
      <c r="AF326">
        <v>1.0517000000000001</v>
      </c>
      <c r="AG326">
        <v>0</v>
      </c>
      <c r="AH326">
        <v>3977602</v>
      </c>
      <c r="AI326">
        <v>0</v>
      </c>
      <c r="AJ326">
        <v>21.150000000000002</v>
      </c>
      <c r="AK326">
        <v>478</v>
      </c>
      <c r="AL326">
        <v>0</v>
      </c>
      <c r="AM326">
        <v>0</v>
      </c>
      <c r="AN326">
        <v>8.5500000000000007</v>
      </c>
      <c r="AO326">
        <v>0</v>
      </c>
      <c r="AP326">
        <v>0</v>
      </c>
      <c r="AQ326">
        <v>0</v>
      </c>
      <c r="AR326">
        <v>0.82400000000000007</v>
      </c>
      <c r="AS326">
        <v>0</v>
      </c>
      <c r="AT326">
        <v>0</v>
      </c>
      <c r="AU326">
        <v>0.19900000000000001</v>
      </c>
      <c r="AV326">
        <v>0</v>
      </c>
      <c r="AW326">
        <v>1.0230000000000001</v>
      </c>
      <c r="AX326">
        <v>0</v>
      </c>
      <c r="AY326">
        <v>3.4670000000000001</v>
      </c>
      <c r="AZ326">
        <v>0</v>
      </c>
      <c r="BA326">
        <v>72736</v>
      </c>
      <c r="BB326">
        <v>6849523</v>
      </c>
      <c r="BC326">
        <v>0</v>
      </c>
      <c r="BD326">
        <v>7723</v>
      </c>
      <c r="BE326">
        <v>0</v>
      </c>
      <c r="BF326">
        <v>7723</v>
      </c>
      <c r="BG326">
        <v>7723</v>
      </c>
      <c r="BH326">
        <v>0</v>
      </c>
      <c r="BI326">
        <v>0</v>
      </c>
      <c r="BJ326">
        <v>0</v>
      </c>
      <c r="BK326">
        <v>0</v>
      </c>
      <c r="BL326">
        <v>594245934</v>
      </c>
      <c r="BM326">
        <v>0</v>
      </c>
      <c r="BN326">
        <v>450</v>
      </c>
      <c r="BO326">
        <v>375</v>
      </c>
      <c r="BP326">
        <v>0</v>
      </c>
      <c r="BQ326">
        <v>0</v>
      </c>
      <c r="BR326">
        <v>0.91339999999999999</v>
      </c>
      <c r="BS326">
        <v>0.91339999999999999</v>
      </c>
      <c r="BT326">
        <v>0</v>
      </c>
      <c r="BU326">
        <v>0</v>
      </c>
      <c r="BV326">
        <v>6</v>
      </c>
      <c r="BW326">
        <v>78</v>
      </c>
      <c r="BX326">
        <v>4</v>
      </c>
      <c r="BY326">
        <v>0</v>
      </c>
      <c r="BZ326">
        <v>1</v>
      </c>
      <c r="CA326">
        <v>89</v>
      </c>
      <c r="CB326">
        <v>0</v>
      </c>
      <c r="CC326">
        <v>0</v>
      </c>
      <c r="CD326">
        <v>0</v>
      </c>
      <c r="CE326">
        <v>3</v>
      </c>
      <c r="CF326">
        <v>26.122</v>
      </c>
      <c r="CG326">
        <v>0</v>
      </c>
      <c r="CH326">
        <v>0</v>
      </c>
      <c r="CI326">
        <v>0</v>
      </c>
      <c r="CJ326">
        <v>1</v>
      </c>
      <c r="CK326">
        <v>0</v>
      </c>
      <c r="CL326">
        <v>0</v>
      </c>
      <c r="CM326">
        <v>0</v>
      </c>
      <c r="CN326">
        <v>0</v>
      </c>
      <c r="CO326">
        <v>0</v>
      </c>
      <c r="CP326">
        <v>0</v>
      </c>
      <c r="CQ326">
        <v>0</v>
      </c>
      <c r="CR326">
        <v>0</v>
      </c>
      <c r="CS326">
        <v>0</v>
      </c>
      <c r="CT326">
        <v>0</v>
      </c>
      <c r="CU326">
        <v>0</v>
      </c>
      <c r="CV326">
        <v>5.766</v>
      </c>
      <c r="CW326">
        <v>4.5529999999999999</v>
      </c>
      <c r="CX326">
        <v>0</v>
      </c>
      <c r="CY326" s="2043">
        <v>0</v>
      </c>
      <c r="CZ326" s="2043">
        <v>0</v>
      </c>
      <c r="DA326" s="2043">
        <v>0</v>
      </c>
      <c r="DB326" s="2043">
        <v>0</v>
      </c>
      <c r="DC326" s="2043">
        <v>0</v>
      </c>
      <c r="DI326" t="s">
        <v>2968</v>
      </c>
      <c r="DJ326" t="s">
        <v>4999</v>
      </c>
      <c r="DK326" s="2042">
        <f t="shared" si="7"/>
        <v>-1</v>
      </c>
    </row>
    <row r="327" spans="1:115">
      <c r="A327" t="s">
        <v>2968</v>
      </c>
      <c r="B327" t="s">
        <v>2364</v>
      </c>
      <c r="C327">
        <v>1735.6110000000001</v>
      </c>
      <c r="D327">
        <v>1780.7810000000002</v>
      </c>
      <c r="E327">
        <v>62.116</v>
      </c>
      <c r="F327">
        <v>0</v>
      </c>
      <c r="G327" s="2043">
        <v>994207797</v>
      </c>
      <c r="H327">
        <v>0</v>
      </c>
      <c r="I327" s="2043">
        <v>6441475</v>
      </c>
      <c r="J327">
        <v>86.781000000000006</v>
      </c>
      <c r="K327">
        <v>237</v>
      </c>
      <c r="L327">
        <v>0</v>
      </c>
      <c r="M327">
        <v>369456</v>
      </c>
      <c r="N327">
        <v>0</v>
      </c>
      <c r="O327">
        <v>369456</v>
      </c>
      <c r="P327">
        <v>0</v>
      </c>
      <c r="Q327">
        <v>0</v>
      </c>
      <c r="R327" s="2043">
        <v>9027232</v>
      </c>
      <c r="S327">
        <v>494155</v>
      </c>
      <c r="T327">
        <v>0</v>
      </c>
      <c r="U327">
        <v>0.05</v>
      </c>
      <c r="V327">
        <v>0</v>
      </c>
      <c r="W327">
        <v>0</v>
      </c>
      <c r="X327">
        <v>0</v>
      </c>
      <c r="Y327">
        <v>2491975</v>
      </c>
      <c r="Z327">
        <v>0</v>
      </c>
      <c r="AA327">
        <v>0.35300000000000004</v>
      </c>
      <c r="AB327">
        <v>1750.1030000000001</v>
      </c>
      <c r="AC327" s="2043">
        <v>1103144674</v>
      </c>
      <c r="AD327">
        <v>6636737</v>
      </c>
      <c r="AE327" s="2043">
        <v>9521387</v>
      </c>
      <c r="AF327">
        <v>0.96340000000000003</v>
      </c>
      <c r="AG327">
        <v>0</v>
      </c>
      <c r="AH327">
        <v>0</v>
      </c>
      <c r="AI327">
        <v>0</v>
      </c>
      <c r="AJ327">
        <v>298.7</v>
      </c>
      <c r="AK327">
        <v>8841</v>
      </c>
      <c r="AL327">
        <v>0.10600000000000001</v>
      </c>
      <c r="AM327">
        <v>0.14700000000000002</v>
      </c>
      <c r="AN327">
        <v>61.883000000000003</v>
      </c>
      <c r="AO327">
        <v>0</v>
      </c>
      <c r="AP327">
        <v>0.86399999999999999</v>
      </c>
      <c r="AQ327">
        <v>0</v>
      </c>
      <c r="AR327">
        <v>70.784999999999997</v>
      </c>
      <c r="AS327">
        <v>0</v>
      </c>
      <c r="AT327">
        <v>16.498000000000001</v>
      </c>
      <c r="AU327">
        <v>3.9730000000000003</v>
      </c>
      <c r="AV327">
        <v>0</v>
      </c>
      <c r="AW327">
        <v>93.442000000000007</v>
      </c>
      <c r="AX327">
        <v>1.069</v>
      </c>
      <c r="AY327">
        <v>287.47700000000003</v>
      </c>
      <c r="AZ327">
        <v>0</v>
      </c>
      <c r="BA327">
        <v>10817761</v>
      </c>
      <c r="BB327">
        <v>16158124</v>
      </c>
      <c r="BC327">
        <v>0</v>
      </c>
      <c r="BD327">
        <v>110170</v>
      </c>
      <c r="BE327">
        <v>74999</v>
      </c>
      <c r="BF327">
        <v>290040</v>
      </c>
      <c r="BG327">
        <v>110170</v>
      </c>
      <c r="BH327">
        <v>104871</v>
      </c>
      <c r="BI327">
        <v>0</v>
      </c>
      <c r="BJ327">
        <v>0</v>
      </c>
      <c r="BK327">
        <v>0</v>
      </c>
      <c r="BL327">
        <v>994207797</v>
      </c>
      <c r="BM327">
        <v>0</v>
      </c>
      <c r="BN327">
        <v>6912</v>
      </c>
      <c r="BO327">
        <v>4323</v>
      </c>
      <c r="BP327">
        <v>0</v>
      </c>
      <c r="BQ327">
        <v>0</v>
      </c>
      <c r="BR327">
        <v>0.91339999999999999</v>
      </c>
      <c r="BS327">
        <v>0.91339999999999999</v>
      </c>
      <c r="BT327">
        <v>2491975</v>
      </c>
      <c r="BU327">
        <v>0</v>
      </c>
      <c r="BV327">
        <v>291</v>
      </c>
      <c r="BW327">
        <v>187</v>
      </c>
      <c r="BX327">
        <v>481</v>
      </c>
      <c r="BY327">
        <v>59</v>
      </c>
      <c r="BZ327">
        <v>193</v>
      </c>
      <c r="CA327">
        <v>1211</v>
      </c>
      <c r="CB327">
        <v>0</v>
      </c>
      <c r="CC327">
        <v>0</v>
      </c>
      <c r="CD327">
        <v>0</v>
      </c>
      <c r="CE327">
        <v>144</v>
      </c>
      <c r="CF327">
        <v>316.75800000000004</v>
      </c>
      <c r="CG327">
        <v>0</v>
      </c>
      <c r="CH327">
        <v>0</v>
      </c>
      <c r="CI327">
        <v>6</v>
      </c>
      <c r="CJ327">
        <v>29</v>
      </c>
      <c r="CK327">
        <v>0</v>
      </c>
      <c r="CL327">
        <v>0</v>
      </c>
      <c r="CM327">
        <v>62.116</v>
      </c>
      <c r="CN327">
        <v>0</v>
      </c>
      <c r="CO327">
        <v>0</v>
      </c>
      <c r="CP327">
        <v>0</v>
      </c>
      <c r="CQ327">
        <v>0</v>
      </c>
      <c r="CR327">
        <v>0</v>
      </c>
      <c r="CS327">
        <v>0</v>
      </c>
      <c r="CT327">
        <v>0</v>
      </c>
      <c r="CU327">
        <v>2.4910000000000001</v>
      </c>
      <c r="CV327">
        <v>93.951000000000008</v>
      </c>
      <c r="CW327">
        <v>85.703000000000003</v>
      </c>
      <c r="CX327">
        <v>2491975</v>
      </c>
      <c r="CY327" s="2043">
        <v>0</v>
      </c>
      <c r="CZ327" s="2043">
        <v>0</v>
      </c>
      <c r="DA327" s="2043">
        <v>0</v>
      </c>
      <c r="DB327" s="2043">
        <v>0</v>
      </c>
      <c r="DC327" s="2043">
        <v>102178</v>
      </c>
      <c r="DI327" t="s">
        <v>4999</v>
      </c>
      <c r="DJ327" t="s">
        <v>2968</v>
      </c>
      <c r="DK327" s="2042">
        <f t="shared" si="7"/>
        <v>1</v>
      </c>
    </row>
    <row r="328" spans="1:115">
      <c r="A328" t="s">
        <v>2969</v>
      </c>
      <c r="B328" t="s">
        <v>1114</v>
      </c>
      <c r="C328">
        <v>1380.33</v>
      </c>
      <c r="D328">
        <v>1431.261</v>
      </c>
      <c r="E328">
        <v>250.4</v>
      </c>
      <c r="F328">
        <v>820551</v>
      </c>
      <c r="G328" s="2043">
        <v>751663011</v>
      </c>
      <c r="H328">
        <v>0</v>
      </c>
      <c r="I328" s="2043">
        <v>4517015</v>
      </c>
      <c r="J328">
        <v>56</v>
      </c>
      <c r="K328">
        <v>153</v>
      </c>
      <c r="L328">
        <v>0</v>
      </c>
      <c r="M328">
        <v>368750</v>
      </c>
      <c r="N328">
        <v>0</v>
      </c>
      <c r="O328">
        <v>368750</v>
      </c>
      <c r="P328">
        <v>0</v>
      </c>
      <c r="Q328">
        <v>0</v>
      </c>
      <c r="R328" s="2043">
        <v>6663572</v>
      </c>
      <c r="S328">
        <v>364767</v>
      </c>
      <c r="T328">
        <v>0</v>
      </c>
      <c r="U328">
        <v>0.05</v>
      </c>
      <c r="V328">
        <v>0</v>
      </c>
      <c r="W328">
        <v>0</v>
      </c>
      <c r="X328">
        <v>0</v>
      </c>
      <c r="Y328">
        <v>820551</v>
      </c>
      <c r="Z328">
        <v>0</v>
      </c>
      <c r="AA328">
        <v>0</v>
      </c>
      <c r="AB328">
        <v>1337.377</v>
      </c>
      <c r="AC328" s="2043">
        <v>729892215</v>
      </c>
      <c r="AD328">
        <v>4658556</v>
      </c>
      <c r="AE328" s="2043">
        <v>7028339</v>
      </c>
      <c r="AF328">
        <v>0.96340000000000003</v>
      </c>
      <c r="AG328">
        <v>0</v>
      </c>
      <c r="AH328">
        <v>0</v>
      </c>
      <c r="AI328">
        <v>0</v>
      </c>
      <c r="AJ328">
        <v>273.06299999999999</v>
      </c>
      <c r="AK328">
        <v>7603</v>
      </c>
      <c r="AL328">
        <v>0</v>
      </c>
      <c r="AM328">
        <v>0</v>
      </c>
      <c r="AN328">
        <v>88.385000000000005</v>
      </c>
      <c r="AO328">
        <v>0.3</v>
      </c>
      <c r="AP328">
        <v>10.199</v>
      </c>
      <c r="AQ328">
        <v>0</v>
      </c>
      <c r="AR328">
        <v>35.545000000000002</v>
      </c>
      <c r="AS328">
        <v>0</v>
      </c>
      <c r="AT328">
        <v>12.597000000000001</v>
      </c>
      <c r="AU328">
        <v>2.8940000000000001</v>
      </c>
      <c r="AV328">
        <v>0</v>
      </c>
      <c r="AW328">
        <v>61.234999999999999</v>
      </c>
      <c r="AX328">
        <v>0</v>
      </c>
      <c r="AY328">
        <v>186.43300000000002</v>
      </c>
      <c r="AZ328">
        <v>0</v>
      </c>
      <c r="BA328">
        <v>8881393</v>
      </c>
      <c r="BB328">
        <v>11686895</v>
      </c>
      <c r="BC328">
        <v>816</v>
      </c>
      <c r="BD328">
        <v>95043</v>
      </c>
      <c r="BE328">
        <v>2873</v>
      </c>
      <c r="BF328">
        <v>98732</v>
      </c>
      <c r="BG328">
        <v>95859</v>
      </c>
      <c r="BH328">
        <v>0</v>
      </c>
      <c r="BI328">
        <v>0</v>
      </c>
      <c r="BJ328">
        <v>0</v>
      </c>
      <c r="BK328">
        <v>0</v>
      </c>
      <c r="BL328">
        <v>751663011</v>
      </c>
      <c r="BM328">
        <v>0</v>
      </c>
      <c r="BN328">
        <v>5580</v>
      </c>
      <c r="BO328">
        <v>2975</v>
      </c>
      <c r="BP328">
        <v>7585</v>
      </c>
      <c r="BQ328">
        <v>0</v>
      </c>
      <c r="BR328">
        <v>0.91339999999999999</v>
      </c>
      <c r="BS328">
        <v>0.91339999999999999</v>
      </c>
      <c r="BT328">
        <v>0</v>
      </c>
      <c r="BU328">
        <v>0</v>
      </c>
      <c r="BV328">
        <v>35</v>
      </c>
      <c r="BW328">
        <v>355</v>
      </c>
      <c r="BX328">
        <v>487</v>
      </c>
      <c r="BY328">
        <v>0</v>
      </c>
      <c r="BZ328">
        <v>215</v>
      </c>
      <c r="CA328">
        <v>1092</v>
      </c>
      <c r="CB328">
        <v>0</v>
      </c>
      <c r="CC328">
        <v>0</v>
      </c>
      <c r="CD328">
        <v>0</v>
      </c>
      <c r="CE328">
        <v>77</v>
      </c>
      <c r="CF328">
        <v>411.12100000000004</v>
      </c>
      <c r="CG328">
        <v>0</v>
      </c>
      <c r="CH328">
        <v>0</v>
      </c>
      <c r="CI328">
        <v>0</v>
      </c>
      <c r="CJ328">
        <v>9</v>
      </c>
      <c r="CK328">
        <v>0</v>
      </c>
      <c r="CL328">
        <v>0</v>
      </c>
      <c r="CM328">
        <v>250.4</v>
      </c>
      <c r="CN328">
        <v>0</v>
      </c>
      <c r="CO328">
        <v>0</v>
      </c>
      <c r="CP328">
        <v>7585</v>
      </c>
      <c r="CQ328">
        <v>0</v>
      </c>
      <c r="CR328">
        <v>0</v>
      </c>
      <c r="CS328">
        <v>0</v>
      </c>
      <c r="CT328">
        <v>0</v>
      </c>
      <c r="CU328">
        <v>8.3570000000000011</v>
      </c>
      <c r="CV328">
        <v>72.52300000000001</v>
      </c>
      <c r="CW328">
        <v>46.483000000000004</v>
      </c>
      <c r="CX328">
        <v>0</v>
      </c>
      <c r="CY328" s="2043">
        <v>0</v>
      </c>
      <c r="CZ328" s="2043">
        <v>0</v>
      </c>
      <c r="DA328" s="2043">
        <v>0</v>
      </c>
      <c r="DB328" s="2043">
        <v>820551</v>
      </c>
      <c r="DC328" s="2043">
        <v>0</v>
      </c>
      <c r="DI328" t="s">
        <v>2969</v>
      </c>
      <c r="DJ328" t="s">
        <v>2969</v>
      </c>
      <c r="DK328" s="2042">
        <f t="shared" si="7"/>
        <v>0</v>
      </c>
    </row>
    <row r="329" spans="1:115">
      <c r="A329" t="s">
        <v>5000</v>
      </c>
      <c r="B329" t="s">
        <v>1736</v>
      </c>
      <c r="C329">
        <v>488.81400000000002</v>
      </c>
      <c r="D329">
        <v>513.03300000000002</v>
      </c>
      <c r="E329">
        <v>9.120000000000001</v>
      </c>
      <c r="F329">
        <v>0</v>
      </c>
      <c r="G329" s="2043">
        <v>1639651138</v>
      </c>
      <c r="H329">
        <v>0</v>
      </c>
      <c r="I329" s="2043">
        <v>383338</v>
      </c>
      <c r="J329">
        <v>24.441000000000003</v>
      </c>
      <c r="K329">
        <v>67</v>
      </c>
      <c r="L329">
        <v>0</v>
      </c>
      <c r="M329">
        <v>0</v>
      </c>
      <c r="N329">
        <v>0</v>
      </c>
      <c r="O329">
        <v>0</v>
      </c>
      <c r="P329">
        <v>0</v>
      </c>
      <c r="Q329">
        <v>0</v>
      </c>
      <c r="R329" s="2043">
        <v>15158755</v>
      </c>
      <c r="S329">
        <v>829798</v>
      </c>
      <c r="T329">
        <v>0</v>
      </c>
      <c r="U329">
        <v>0.05</v>
      </c>
      <c r="V329">
        <v>0</v>
      </c>
      <c r="W329">
        <v>9313335</v>
      </c>
      <c r="X329">
        <v>0</v>
      </c>
      <c r="Y329">
        <v>0</v>
      </c>
      <c r="Z329">
        <v>0</v>
      </c>
      <c r="AA329">
        <v>0</v>
      </c>
      <c r="AB329">
        <v>475.92900000000003</v>
      </c>
      <c r="AC329" s="2043">
        <v>2004547017</v>
      </c>
      <c r="AD329">
        <v>390445</v>
      </c>
      <c r="AE329" s="2043">
        <v>15988553</v>
      </c>
      <c r="AF329">
        <v>0.96340000000000003</v>
      </c>
      <c r="AG329">
        <v>0</v>
      </c>
      <c r="AH329">
        <v>9313335</v>
      </c>
      <c r="AI329">
        <v>0</v>
      </c>
      <c r="AJ329">
        <v>76.088000000000008</v>
      </c>
      <c r="AK329">
        <v>2279</v>
      </c>
      <c r="AL329">
        <v>0</v>
      </c>
      <c r="AM329">
        <v>0</v>
      </c>
      <c r="AN329">
        <v>16.152000000000001</v>
      </c>
      <c r="AO329">
        <v>0</v>
      </c>
      <c r="AP329">
        <v>3.94</v>
      </c>
      <c r="AQ329">
        <v>0</v>
      </c>
      <c r="AR329">
        <v>11.792</v>
      </c>
      <c r="AS329">
        <v>0</v>
      </c>
      <c r="AT329">
        <v>0</v>
      </c>
      <c r="AU329">
        <v>0.75</v>
      </c>
      <c r="AV329">
        <v>0</v>
      </c>
      <c r="AW329">
        <v>16.481999999999999</v>
      </c>
      <c r="AX329">
        <v>0</v>
      </c>
      <c r="AY329">
        <v>49.764000000000003</v>
      </c>
      <c r="AZ329">
        <v>0</v>
      </c>
      <c r="BA329">
        <v>264138</v>
      </c>
      <c r="BB329">
        <v>16378998</v>
      </c>
      <c r="BC329">
        <v>0</v>
      </c>
      <c r="BD329">
        <v>24150</v>
      </c>
      <c r="BE329">
        <v>32744</v>
      </c>
      <c r="BF329">
        <v>56894</v>
      </c>
      <c r="BG329">
        <v>24150</v>
      </c>
      <c r="BH329">
        <v>0</v>
      </c>
      <c r="BI329">
        <v>0</v>
      </c>
      <c r="BJ329">
        <v>0</v>
      </c>
      <c r="BK329">
        <v>0</v>
      </c>
      <c r="BL329">
        <v>1639651138</v>
      </c>
      <c r="BM329">
        <v>0</v>
      </c>
      <c r="BN329">
        <v>1737</v>
      </c>
      <c r="BO329">
        <v>1295</v>
      </c>
      <c r="BP329">
        <v>0</v>
      </c>
      <c r="BQ329">
        <v>0</v>
      </c>
      <c r="BR329">
        <v>0.91339999999999999</v>
      </c>
      <c r="BS329">
        <v>0.91339999999999999</v>
      </c>
      <c r="BT329">
        <v>0</v>
      </c>
      <c r="BU329">
        <v>0</v>
      </c>
      <c r="BV329">
        <v>66</v>
      </c>
      <c r="BW329">
        <v>129</v>
      </c>
      <c r="BX329">
        <v>118</v>
      </c>
      <c r="BY329">
        <v>0</v>
      </c>
      <c r="BZ329">
        <v>4</v>
      </c>
      <c r="CA329">
        <v>317</v>
      </c>
      <c r="CB329">
        <v>0</v>
      </c>
      <c r="CC329">
        <v>0</v>
      </c>
      <c r="CD329">
        <v>0</v>
      </c>
      <c r="CE329">
        <v>59</v>
      </c>
      <c r="CF329">
        <v>82.210000000000008</v>
      </c>
      <c r="CG329">
        <v>0</v>
      </c>
      <c r="CH329">
        <v>0</v>
      </c>
      <c r="CI329">
        <v>0</v>
      </c>
      <c r="CJ329">
        <v>2</v>
      </c>
      <c r="CK329">
        <v>0</v>
      </c>
      <c r="CL329">
        <v>0</v>
      </c>
      <c r="CM329">
        <v>9.120000000000001</v>
      </c>
      <c r="CN329">
        <v>0</v>
      </c>
      <c r="CO329">
        <v>0</v>
      </c>
      <c r="CP329">
        <v>0</v>
      </c>
      <c r="CQ329">
        <v>0</v>
      </c>
      <c r="CR329">
        <v>0</v>
      </c>
      <c r="CS329">
        <v>0</v>
      </c>
      <c r="CT329">
        <v>0</v>
      </c>
      <c r="CU329">
        <v>7.2750000000000004</v>
      </c>
      <c r="CV329">
        <v>29.543000000000003</v>
      </c>
      <c r="CW329">
        <v>16.867000000000001</v>
      </c>
      <c r="CX329">
        <v>0</v>
      </c>
      <c r="CY329" s="2043">
        <v>0</v>
      </c>
      <c r="CZ329" s="2043">
        <v>0</v>
      </c>
      <c r="DA329" s="2043">
        <v>0</v>
      </c>
      <c r="DB329" s="2043">
        <v>0</v>
      </c>
      <c r="DC329" s="2043">
        <v>324442</v>
      </c>
      <c r="DI329" t="s">
        <v>5000</v>
      </c>
      <c r="DJ329" t="s">
        <v>5000</v>
      </c>
      <c r="DK329" s="2042">
        <f t="shared" si="7"/>
        <v>0</v>
      </c>
    </row>
    <row r="330" spans="1:115">
      <c r="A330" t="s">
        <v>5784</v>
      </c>
      <c r="B330" t="s">
        <v>657</v>
      </c>
      <c r="C330">
        <v>62.207000000000001</v>
      </c>
      <c r="D330">
        <v>79.007000000000005</v>
      </c>
      <c r="E330">
        <v>0</v>
      </c>
      <c r="F330">
        <v>0</v>
      </c>
      <c r="G330" s="2043">
        <v>591544145</v>
      </c>
      <c r="H330">
        <v>0</v>
      </c>
      <c r="I330" s="2043">
        <v>0</v>
      </c>
      <c r="J330">
        <v>0</v>
      </c>
      <c r="K330">
        <v>0</v>
      </c>
      <c r="L330">
        <v>0</v>
      </c>
      <c r="M330">
        <v>0</v>
      </c>
      <c r="N330">
        <v>0</v>
      </c>
      <c r="O330">
        <v>0</v>
      </c>
      <c r="P330">
        <v>0</v>
      </c>
      <c r="Q330">
        <v>0</v>
      </c>
      <c r="R330" s="2043">
        <v>5411653</v>
      </c>
      <c r="S330">
        <v>296237</v>
      </c>
      <c r="T330">
        <v>0</v>
      </c>
      <c r="U330">
        <v>0.05</v>
      </c>
      <c r="V330">
        <v>0</v>
      </c>
      <c r="W330">
        <v>4529223</v>
      </c>
      <c r="X330">
        <v>0</v>
      </c>
      <c r="Y330">
        <v>0</v>
      </c>
      <c r="Z330">
        <v>0</v>
      </c>
      <c r="AA330">
        <v>0</v>
      </c>
      <c r="AB330">
        <v>1</v>
      </c>
      <c r="AC330" s="2043">
        <v>900344438</v>
      </c>
      <c r="AD330">
        <v>0</v>
      </c>
      <c r="AE330" s="2043">
        <v>5707890</v>
      </c>
      <c r="AF330">
        <v>0.96340000000000003</v>
      </c>
      <c r="AG330">
        <v>0</v>
      </c>
      <c r="AH330">
        <v>4529223</v>
      </c>
      <c r="AI330">
        <v>0</v>
      </c>
      <c r="AJ330">
        <v>8.588000000000001</v>
      </c>
      <c r="AK330">
        <v>48</v>
      </c>
      <c r="AL330">
        <v>0</v>
      </c>
      <c r="AM330">
        <v>0</v>
      </c>
      <c r="AN330">
        <v>3.7000000000000005E-2</v>
      </c>
      <c r="AO330">
        <v>0</v>
      </c>
      <c r="AP330">
        <v>0</v>
      </c>
      <c r="AQ330">
        <v>0</v>
      </c>
      <c r="AR330">
        <v>0.36300000000000004</v>
      </c>
      <c r="AS330">
        <v>0</v>
      </c>
      <c r="AT330">
        <v>0</v>
      </c>
      <c r="AU330">
        <v>3.7999999999999999E-2</v>
      </c>
      <c r="AV330">
        <v>0</v>
      </c>
      <c r="AW330">
        <v>0.40100000000000002</v>
      </c>
      <c r="AX330">
        <v>0</v>
      </c>
      <c r="AY330">
        <v>1.2790000000000001</v>
      </c>
      <c r="AZ330">
        <v>0</v>
      </c>
      <c r="BA330">
        <v>40364</v>
      </c>
      <c r="BB330">
        <v>5707890</v>
      </c>
      <c r="BC330">
        <v>0</v>
      </c>
      <c r="BD330">
        <v>12876</v>
      </c>
      <c r="BE330">
        <v>0</v>
      </c>
      <c r="BF330">
        <v>12876</v>
      </c>
      <c r="BG330">
        <v>12876</v>
      </c>
      <c r="BH330">
        <v>0</v>
      </c>
      <c r="BI330">
        <v>0</v>
      </c>
      <c r="BJ330">
        <v>0</v>
      </c>
      <c r="BK330">
        <v>0</v>
      </c>
      <c r="BL330">
        <v>591544145</v>
      </c>
      <c r="BM330">
        <v>0</v>
      </c>
      <c r="BN330">
        <v>0</v>
      </c>
      <c r="BO330">
        <v>0</v>
      </c>
      <c r="BP330">
        <v>0</v>
      </c>
      <c r="BQ330">
        <v>0</v>
      </c>
      <c r="BR330">
        <v>0.91339999999999999</v>
      </c>
      <c r="BS330">
        <v>0.91339999999999999</v>
      </c>
      <c r="BT330">
        <v>0</v>
      </c>
      <c r="BU330">
        <v>0</v>
      </c>
      <c r="BV330">
        <v>3</v>
      </c>
      <c r="BW330">
        <v>27</v>
      </c>
      <c r="BX330">
        <v>6</v>
      </c>
      <c r="BY330">
        <v>0</v>
      </c>
      <c r="BZ330">
        <v>0</v>
      </c>
      <c r="CA330">
        <v>36</v>
      </c>
      <c r="CB330">
        <v>0</v>
      </c>
      <c r="CC330">
        <v>0</v>
      </c>
      <c r="CD330">
        <v>0</v>
      </c>
      <c r="CE330">
        <v>0</v>
      </c>
      <c r="CF330">
        <v>8.7990000000000013</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s="2043">
        <v>0</v>
      </c>
      <c r="CZ330" s="2043">
        <v>0</v>
      </c>
      <c r="DA330" s="2043">
        <v>0</v>
      </c>
      <c r="DB330" s="2043">
        <v>0</v>
      </c>
      <c r="DC330" s="2043">
        <v>100000</v>
      </c>
      <c r="DI330" t="s">
        <v>5784</v>
      </c>
      <c r="DJ330" t="s">
        <v>5784</v>
      </c>
      <c r="DK330" s="2042">
        <f t="shared" si="7"/>
        <v>0</v>
      </c>
    </row>
    <row r="331" spans="1:115">
      <c r="A331" t="s">
        <v>5785</v>
      </c>
      <c r="B331" t="s">
        <v>282</v>
      </c>
      <c r="C331">
        <v>130.06200000000001</v>
      </c>
      <c r="D331">
        <v>151.898</v>
      </c>
      <c r="E331">
        <v>0.874</v>
      </c>
      <c r="F331">
        <v>0</v>
      </c>
      <c r="G331" s="2043">
        <v>89933047</v>
      </c>
      <c r="H331">
        <v>0</v>
      </c>
      <c r="I331" s="2043">
        <v>0</v>
      </c>
      <c r="J331">
        <v>6.5030000000000001</v>
      </c>
      <c r="K331">
        <v>18</v>
      </c>
      <c r="L331">
        <v>0</v>
      </c>
      <c r="M331">
        <v>0</v>
      </c>
      <c r="N331">
        <v>0</v>
      </c>
      <c r="O331">
        <v>0</v>
      </c>
      <c r="P331">
        <v>0</v>
      </c>
      <c r="Q331">
        <v>0</v>
      </c>
      <c r="R331" s="2043">
        <v>732601</v>
      </c>
      <c r="S331">
        <v>44562</v>
      </c>
      <c r="T331">
        <v>0</v>
      </c>
      <c r="U331">
        <v>0.05</v>
      </c>
      <c r="V331">
        <v>0</v>
      </c>
      <c r="W331">
        <v>0</v>
      </c>
      <c r="X331">
        <v>0</v>
      </c>
      <c r="Y331">
        <v>34036</v>
      </c>
      <c r="Z331">
        <v>0</v>
      </c>
      <c r="AA331">
        <v>0</v>
      </c>
      <c r="AB331">
        <v>151.23600000000002</v>
      </c>
      <c r="AC331" s="2043">
        <v>79953881</v>
      </c>
      <c r="AD331">
        <v>0</v>
      </c>
      <c r="AE331" s="2043">
        <v>777163</v>
      </c>
      <c r="AF331">
        <v>0.872</v>
      </c>
      <c r="AG331">
        <v>0</v>
      </c>
      <c r="AH331">
        <v>0</v>
      </c>
      <c r="AI331">
        <v>0</v>
      </c>
      <c r="AJ331">
        <v>12.188000000000001</v>
      </c>
      <c r="AK331">
        <v>305</v>
      </c>
      <c r="AL331">
        <v>0</v>
      </c>
      <c r="AM331">
        <v>0</v>
      </c>
      <c r="AN331">
        <v>1.4830000000000001</v>
      </c>
      <c r="AO331">
        <v>0</v>
      </c>
      <c r="AP331">
        <v>0</v>
      </c>
      <c r="AQ331">
        <v>0</v>
      </c>
      <c r="AR331">
        <v>1.8460000000000001</v>
      </c>
      <c r="AS331">
        <v>0</v>
      </c>
      <c r="AT331">
        <v>0</v>
      </c>
      <c r="AU331">
        <v>0.249</v>
      </c>
      <c r="AV331">
        <v>0</v>
      </c>
      <c r="AW331">
        <v>2.0950000000000002</v>
      </c>
      <c r="AX331">
        <v>0</v>
      </c>
      <c r="AY331">
        <v>6.7830000000000004</v>
      </c>
      <c r="AZ331">
        <v>0</v>
      </c>
      <c r="BA331">
        <v>837020</v>
      </c>
      <c r="BB331">
        <v>777163</v>
      </c>
      <c r="BC331">
        <v>0</v>
      </c>
      <c r="BD331">
        <v>26880</v>
      </c>
      <c r="BE331">
        <v>0</v>
      </c>
      <c r="BF331">
        <v>26880</v>
      </c>
      <c r="BG331">
        <v>26880</v>
      </c>
      <c r="BH331">
        <v>0</v>
      </c>
      <c r="BI331">
        <v>0</v>
      </c>
      <c r="BJ331">
        <v>0</v>
      </c>
      <c r="BK331">
        <v>0</v>
      </c>
      <c r="BL331">
        <v>89933047</v>
      </c>
      <c r="BM331">
        <v>0</v>
      </c>
      <c r="BN331">
        <v>0</v>
      </c>
      <c r="BO331">
        <v>0</v>
      </c>
      <c r="BP331">
        <v>0</v>
      </c>
      <c r="BQ331">
        <v>0</v>
      </c>
      <c r="BR331">
        <v>0.82200000000000006</v>
      </c>
      <c r="BS331">
        <v>0.82200000000000006</v>
      </c>
      <c r="BT331">
        <v>0</v>
      </c>
      <c r="BU331">
        <v>0</v>
      </c>
      <c r="BV331">
        <v>51</v>
      </c>
      <c r="BW331">
        <v>3</v>
      </c>
      <c r="BX331">
        <v>0</v>
      </c>
      <c r="BY331">
        <v>0</v>
      </c>
      <c r="BZ331">
        <v>0</v>
      </c>
      <c r="CA331">
        <v>54</v>
      </c>
      <c r="CB331">
        <v>0</v>
      </c>
      <c r="CC331">
        <v>0</v>
      </c>
      <c r="CD331">
        <v>0</v>
      </c>
      <c r="CE331">
        <v>7</v>
      </c>
      <c r="CF331">
        <v>28.153000000000002</v>
      </c>
      <c r="CG331">
        <v>0</v>
      </c>
      <c r="CH331">
        <v>0</v>
      </c>
      <c r="CI331">
        <v>0</v>
      </c>
      <c r="CJ331">
        <v>0</v>
      </c>
      <c r="CK331">
        <v>0</v>
      </c>
      <c r="CL331">
        <v>0</v>
      </c>
      <c r="CM331">
        <v>0.874</v>
      </c>
      <c r="CN331">
        <v>0</v>
      </c>
      <c r="CO331">
        <v>0</v>
      </c>
      <c r="CP331">
        <v>0</v>
      </c>
      <c r="CQ331">
        <v>0</v>
      </c>
      <c r="CR331">
        <v>0</v>
      </c>
      <c r="CS331">
        <v>0</v>
      </c>
      <c r="CT331">
        <v>0</v>
      </c>
      <c r="CU331">
        <v>0</v>
      </c>
      <c r="CV331">
        <v>0</v>
      </c>
      <c r="CW331">
        <v>0</v>
      </c>
      <c r="CX331">
        <v>0</v>
      </c>
      <c r="CY331" s="2043">
        <v>34036</v>
      </c>
      <c r="CZ331" s="2043">
        <v>0</v>
      </c>
      <c r="DA331" s="2043">
        <v>0</v>
      </c>
      <c r="DB331" s="2043">
        <v>0</v>
      </c>
      <c r="DC331" s="2043">
        <v>0</v>
      </c>
      <c r="DI331" t="s">
        <v>5785</v>
      </c>
      <c r="DJ331" t="s">
        <v>5785</v>
      </c>
      <c r="DK331" s="2042">
        <f t="shared" si="7"/>
        <v>0</v>
      </c>
    </row>
    <row r="332" spans="1:115">
      <c r="A332" t="s">
        <v>5001</v>
      </c>
      <c r="B332" t="s">
        <v>165</v>
      </c>
      <c r="C332">
        <v>203.65700000000001</v>
      </c>
      <c r="D332">
        <v>225.422</v>
      </c>
      <c r="E332">
        <v>0.97200000000000009</v>
      </c>
      <c r="F332">
        <v>0</v>
      </c>
      <c r="G332" s="2043">
        <v>145052974</v>
      </c>
      <c r="H332">
        <v>0</v>
      </c>
      <c r="I332" s="2043">
        <v>560900</v>
      </c>
      <c r="J332">
        <v>10.183</v>
      </c>
      <c r="K332">
        <v>28</v>
      </c>
      <c r="L332">
        <v>0</v>
      </c>
      <c r="M332">
        <v>0</v>
      </c>
      <c r="N332">
        <v>0</v>
      </c>
      <c r="O332">
        <v>0</v>
      </c>
      <c r="P332">
        <v>0</v>
      </c>
      <c r="Q332">
        <v>0</v>
      </c>
      <c r="R332" s="2043">
        <v>1310053</v>
      </c>
      <c r="S332">
        <v>71713</v>
      </c>
      <c r="T332">
        <v>0</v>
      </c>
      <c r="U332">
        <v>0.05</v>
      </c>
      <c r="V332">
        <v>0</v>
      </c>
      <c r="W332">
        <v>0</v>
      </c>
      <c r="X332">
        <v>0</v>
      </c>
      <c r="Y332">
        <v>0</v>
      </c>
      <c r="Z332">
        <v>4.8360000000000003</v>
      </c>
      <c r="AA332">
        <v>0</v>
      </c>
      <c r="AB332">
        <v>222.75900000000001</v>
      </c>
      <c r="AC332" s="2043">
        <v>190810499</v>
      </c>
      <c r="AD332">
        <v>553327</v>
      </c>
      <c r="AE332" s="2043">
        <v>1381766</v>
      </c>
      <c r="AF332">
        <v>0.96340000000000003</v>
      </c>
      <c r="AG332">
        <v>0</v>
      </c>
      <c r="AH332">
        <v>0</v>
      </c>
      <c r="AI332">
        <v>0</v>
      </c>
      <c r="AJ332">
        <v>29.438000000000002</v>
      </c>
      <c r="AK332">
        <v>1572</v>
      </c>
      <c r="AL332">
        <v>0</v>
      </c>
      <c r="AM332">
        <v>0</v>
      </c>
      <c r="AN332">
        <v>16.909000000000002</v>
      </c>
      <c r="AO332">
        <v>0</v>
      </c>
      <c r="AP332">
        <v>0</v>
      </c>
      <c r="AQ332">
        <v>0</v>
      </c>
      <c r="AR332">
        <v>5.5620000000000003</v>
      </c>
      <c r="AS332">
        <v>0</v>
      </c>
      <c r="AT332">
        <v>0.41100000000000003</v>
      </c>
      <c r="AU332">
        <v>0.52700000000000002</v>
      </c>
      <c r="AV332">
        <v>0</v>
      </c>
      <c r="AW332">
        <v>8.3060000000000009</v>
      </c>
      <c r="AX332">
        <v>1.806</v>
      </c>
      <c r="AY332">
        <v>24.708000000000002</v>
      </c>
      <c r="AZ332">
        <v>0</v>
      </c>
      <c r="BA332">
        <v>1507569</v>
      </c>
      <c r="BB332">
        <v>1935093</v>
      </c>
      <c r="BC332">
        <v>0</v>
      </c>
      <c r="BD332">
        <v>31802</v>
      </c>
      <c r="BE332">
        <v>0</v>
      </c>
      <c r="BF332">
        <v>31802</v>
      </c>
      <c r="BG332">
        <v>31802</v>
      </c>
      <c r="BH332">
        <v>0</v>
      </c>
      <c r="BI332">
        <v>0</v>
      </c>
      <c r="BJ332">
        <v>0</v>
      </c>
      <c r="BK332">
        <v>0</v>
      </c>
      <c r="BL332">
        <v>145052974</v>
      </c>
      <c r="BM332">
        <v>0</v>
      </c>
      <c r="BN332">
        <v>1287</v>
      </c>
      <c r="BO332">
        <v>920</v>
      </c>
      <c r="BP332">
        <v>0</v>
      </c>
      <c r="BQ332">
        <v>0</v>
      </c>
      <c r="BR332">
        <v>0.91339999999999999</v>
      </c>
      <c r="BS332">
        <v>0.91339999999999999</v>
      </c>
      <c r="BT332">
        <v>0</v>
      </c>
      <c r="BU332">
        <v>0</v>
      </c>
      <c r="BV332">
        <v>2</v>
      </c>
      <c r="BW332">
        <v>73</v>
      </c>
      <c r="BX332">
        <v>40</v>
      </c>
      <c r="BY332">
        <v>0</v>
      </c>
      <c r="BZ332">
        <v>6</v>
      </c>
      <c r="CA332">
        <v>121</v>
      </c>
      <c r="CB332">
        <v>0</v>
      </c>
      <c r="CC332">
        <v>0</v>
      </c>
      <c r="CD332">
        <v>0</v>
      </c>
      <c r="CE332">
        <v>32</v>
      </c>
      <c r="CF332">
        <v>23.118000000000002</v>
      </c>
      <c r="CG332">
        <v>0</v>
      </c>
      <c r="CH332">
        <v>0</v>
      </c>
      <c r="CI332">
        <v>2</v>
      </c>
      <c r="CJ332">
        <v>6</v>
      </c>
      <c r="CK332">
        <v>0</v>
      </c>
      <c r="CL332">
        <v>0</v>
      </c>
      <c r="CM332">
        <v>0.97200000000000009</v>
      </c>
      <c r="CN332">
        <v>0</v>
      </c>
      <c r="CO332">
        <v>0</v>
      </c>
      <c r="CP332">
        <v>0</v>
      </c>
      <c r="CQ332">
        <v>0</v>
      </c>
      <c r="CR332">
        <v>0</v>
      </c>
      <c r="CS332">
        <v>0</v>
      </c>
      <c r="CT332">
        <v>0</v>
      </c>
      <c r="CU332">
        <v>0</v>
      </c>
      <c r="CV332">
        <v>19.273</v>
      </c>
      <c r="CW332">
        <v>5.57</v>
      </c>
      <c r="CX332">
        <v>0</v>
      </c>
      <c r="CY332" s="2043">
        <v>0</v>
      </c>
      <c r="CZ332" s="2043">
        <v>0</v>
      </c>
      <c r="DA332" s="2043">
        <v>0</v>
      </c>
      <c r="DB332" s="2043">
        <v>0</v>
      </c>
      <c r="DC332" s="2043">
        <v>0</v>
      </c>
      <c r="DI332" t="s">
        <v>5001</v>
      </c>
      <c r="DJ332" t="s">
        <v>5001</v>
      </c>
      <c r="DK332" s="2042">
        <f t="shared" si="7"/>
        <v>0</v>
      </c>
    </row>
    <row r="333" spans="1:115">
      <c r="A333" t="s">
        <v>5786</v>
      </c>
      <c r="B333" t="s">
        <v>166</v>
      </c>
      <c r="C333">
        <v>77.029000000000011</v>
      </c>
      <c r="D333">
        <v>83.594999999999999</v>
      </c>
      <c r="E333">
        <v>2.7310000000000003</v>
      </c>
      <c r="F333">
        <v>0</v>
      </c>
      <c r="G333" s="2043">
        <v>89262293</v>
      </c>
      <c r="H333">
        <v>0</v>
      </c>
      <c r="I333" s="2043">
        <v>0</v>
      </c>
      <c r="J333">
        <v>3.851</v>
      </c>
      <c r="K333">
        <v>11</v>
      </c>
      <c r="L333">
        <v>0</v>
      </c>
      <c r="M333">
        <v>0</v>
      </c>
      <c r="N333">
        <v>0</v>
      </c>
      <c r="O333">
        <v>0</v>
      </c>
      <c r="P333">
        <v>0</v>
      </c>
      <c r="Q333">
        <v>0</v>
      </c>
      <c r="R333" s="2043">
        <v>809441</v>
      </c>
      <c r="S333">
        <v>70895</v>
      </c>
      <c r="T333">
        <v>51664</v>
      </c>
      <c r="U333">
        <v>0.08</v>
      </c>
      <c r="V333">
        <v>0</v>
      </c>
      <c r="W333">
        <v>0</v>
      </c>
      <c r="X333">
        <v>0</v>
      </c>
      <c r="Y333">
        <v>0</v>
      </c>
      <c r="Z333">
        <v>0</v>
      </c>
      <c r="AA333">
        <v>0</v>
      </c>
      <c r="AB333">
        <v>91.551000000000002</v>
      </c>
      <c r="AC333" s="2043">
        <v>88168592</v>
      </c>
      <c r="AD333">
        <v>0</v>
      </c>
      <c r="AE333" s="2043">
        <v>932000</v>
      </c>
      <c r="AF333">
        <v>1.0517000000000001</v>
      </c>
      <c r="AG333">
        <v>0</v>
      </c>
      <c r="AH333">
        <v>0</v>
      </c>
      <c r="AI333">
        <v>0</v>
      </c>
      <c r="AJ333">
        <v>16.75</v>
      </c>
      <c r="AK333">
        <v>522</v>
      </c>
      <c r="AL333">
        <v>0</v>
      </c>
      <c r="AM333">
        <v>0</v>
      </c>
      <c r="AN333">
        <v>7.2949999999999999</v>
      </c>
      <c r="AO333">
        <v>0</v>
      </c>
      <c r="AP333">
        <v>0</v>
      </c>
      <c r="AQ333">
        <v>0</v>
      </c>
      <c r="AR333">
        <v>1.665</v>
      </c>
      <c r="AS333">
        <v>0</v>
      </c>
      <c r="AT333">
        <v>0</v>
      </c>
      <c r="AU333">
        <v>0.22600000000000001</v>
      </c>
      <c r="AV333">
        <v>0</v>
      </c>
      <c r="AW333">
        <v>1.891</v>
      </c>
      <c r="AX333">
        <v>0</v>
      </c>
      <c r="AY333">
        <v>6.125</v>
      </c>
      <c r="AZ333">
        <v>0</v>
      </c>
      <c r="BA333">
        <v>994262</v>
      </c>
      <c r="BB333">
        <v>932000</v>
      </c>
      <c r="BC333">
        <v>0</v>
      </c>
      <c r="BD333">
        <v>9642</v>
      </c>
      <c r="BE333">
        <v>0</v>
      </c>
      <c r="BF333">
        <v>9642</v>
      </c>
      <c r="BG333">
        <v>9642</v>
      </c>
      <c r="BH333">
        <v>0</v>
      </c>
      <c r="BI333">
        <v>0</v>
      </c>
      <c r="BJ333">
        <v>0</v>
      </c>
      <c r="BK333">
        <v>0</v>
      </c>
      <c r="BL333">
        <v>89262293</v>
      </c>
      <c r="BM333">
        <v>0</v>
      </c>
      <c r="BN333">
        <v>486</v>
      </c>
      <c r="BO333">
        <v>310</v>
      </c>
      <c r="BP333">
        <v>0</v>
      </c>
      <c r="BQ333">
        <v>0</v>
      </c>
      <c r="BR333">
        <v>0.91339999999999999</v>
      </c>
      <c r="BS333">
        <v>0.91339999999999999</v>
      </c>
      <c r="BT333">
        <v>0</v>
      </c>
      <c r="BU333">
        <v>0</v>
      </c>
      <c r="BV333">
        <v>0</v>
      </c>
      <c r="BW333">
        <v>46</v>
      </c>
      <c r="BX333">
        <v>20</v>
      </c>
      <c r="BY333">
        <v>0</v>
      </c>
      <c r="BZ333">
        <v>3</v>
      </c>
      <c r="CA333">
        <v>69</v>
      </c>
      <c r="CB333">
        <v>0</v>
      </c>
      <c r="CC333">
        <v>0</v>
      </c>
      <c r="CD333">
        <v>0</v>
      </c>
      <c r="CE333">
        <v>5</v>
      </c>
      <c r="CF333">
        <v>18.318000000000001</v>
      </c>
      <c r="CG333">
        <v>0</v>
      </c>
      <c r="CH333">
        <v>0</v>
      </c>
      <c r="CI333">
        <v>1</v>
      </c>
      <c r="CJ333">
        <v>1</v>
      </c>
      <c r="CK333">
        <v>0</v>
      </c>
      <c r="CL333">
        <v>0</v>
      </c>
      <c r="CM333">
        <v>2.7310000000000003</v>
      </c>
      <c r="CN333">
        <v>0</v>
      </c>
      <c r="CO333">
        <v>0</v>
      </c>
      <c r="CP333">
        <v>0</v>
      </c>
      <c r="CQ333">
        <v>0</v>
      </c>
      <c r="CR333">
        <v>0</v>
      </c>
      <c r="CS333">
        <v>0</v>
      </c>
      <c r="CT333">
        <v>0</v>
      </c>
      <c r="CU333">
        <v>0.155</v>
      </c>
      <c r="CV333">
        <v>2.7680000000000002</v>
      </c>
      <c r="CW333">
        <v>4.0780000000000003</v>
      </c>
      <c r="CX333">
        <v>0</v>
      </c>
      <c r="CY333" s="2043">
        <v>0</v>
      </c>
      <c r="CZ333" s="2043">
        <v>0</v>
      </c>
      <c r="DA333" s="2043">
        <v>0</v>
      </c>
      <c r="DB333" s="2043">
        <v>0</v>
      </c>
      <c r="DC333" s="2043">
        <v>36411</v>
      </c>
      <c r="DI333" t="s">
        <v>5786</v>
      </c>
      <c r="DJ333" t="s">
        <v>5786</v>
      </c>
      <c r="DK333" s="2042">
        <f t="shared" si="7"/>
        <v>0</v>
      </c>
    </row>
    <row r="334" spans="1:115">
      <c r="A334" t="s">
        <v>2970</v>
      </c>
      <c r="B334" t="s">
        <v>677</v>
      </c>
      <c r="C334">
        <v>1722.6270000000002</v>
      </c>
      <c r="D334">
        <v>1885.3340000000001</v>
      </c>
      <c r="E334">
        <v>82.742000000000004</v>
      </c>
      <c r="F334">
        <v>0</v>
      </c>
      <c r="G334" s="2043">
        <v>5764795271</v>
      </c>
      <c r="H334">
        <v>0</v>
      </c>
      <c r="I334" s="2043">
        <v>2980326</v>
      </c>
      <c r="J334">
        <v>86.131</v>
      </c>
      <c r="K334">
        <v>235</v>
      </c>
      <c r="L334">
        <v>0</v>
      </c>
      <c r="M334">
        <v>536406</v>
      </c>
      <c r="N334">
        <v>0</v>
      </c>
      <c r="O334">
        <v>536406</v>
      </c>
      <c r="P334">
        <v>0</v>
      </c>
      <c r="Q334">
        <v>0</v>
      </c>
      <c r="R334" s="2043">
        <v>50835188</v>
      </c>
      <c r="S334">
        <v>3339294</v>
      </c>
      <c r="T334">
        <v>0</v>
      </c>
      <c r="U334">
        <v>0.06</v>
      </c>
      <c r="V334">
        <v>0</v>
      </c>
      <c r="W334">
        <v>35658837</v>
      </c>
      <c r="X334">
        <v>0</v>
      </c>
      <c r="Y334">
        <v>937700</v>
      </c>
      <c r="Z334">
        <v>0</v>
      </c>
      <c r="AA334">
        <v>0</v>
      </c>
      <c r="AB334">
        <v>1850.0820000000001</v>
      </c>
      <c r="AC334" s="2043">
        <v>5909744452</v>
      </c>
      <c r="AD334">
        <v>2965743</v>
      </c>
      <c r="AE334" s="2043">
        <v>54174482</v>
      </c>
      <c r="AF334">
        <v>0.97340000000000004</v>
      </c>
      <c r="AG334">
        <v>0</v>
      </c>
      <c r="AH334">
        <v>35658837</v>
      </c>
      <c r="AI334">
        <v>0</v>
      </c>
      <c r="AJ334">
        <v>368.77500000000003</v>
      </c>
      <c r="AK334">
        <v>4311</v>
      </c>
      <c r="AL334">
        <v>0.70000000000000007</v>
      </c>
      <c r="AM334">
        <v>0</v>
      </c>
      <c r="AN334">
        <v>42.292000000000002</v>
      </c>
      <c r="AO334">
        <v>0</v>
      </c>
      <c r="AP334">
        <v>0</v>
      </c>
      <c r="AQ334">
        <v>0</v>
      </c>
      <c r="AR334">
        <v>26.901</v>
      </c>
      <c r="AS334">
        <v>0</v>
      </c>
      <c r="AT334">
        <v>11.290000000000001</v>
      </c>
      <c r="AU334">
        <v>1.6830000000000001</v>
      </c>
      <c r="AV334">
        <v>0</v>
      </c>
      <c r="AW334">
        <v>40.574000000000005</v>
      </c>
      <c r="AX334">
        <v>0</v>
      </c>
      <c r="AY334">
        <v>126.488</v>
      </c>
      <c r="AZ334">
        <v>0</v>
      </c>
      <c r="BA334">
        <v>1909093</v>
      </c>
      <c r="BB334">
        <v>57140225</v>
      </c>
      <c r="BC334">
        <v>0</v>
      </c>
      <c r="BD334">
        <v>123439</v>
      </c>
      <c r="BE334">
        <v>32445</v>
      </c>
      <c r="BF334">
        <v>156279</v>
      </c>
      <c r="BG334">
        <v>123439</v>
      </c>
      <c r="BH334">
        <v>395</v>
      </c>
      <c r="BI334">
        <v>0</v>
      </c>
      <c r="BJ334">
        <v>0</v>
      </c>
      <c r="BK334">
        <v>0</v>
      </c>
      <c r="BL334">
        <v>5764795271</v>
      </c>
      <c r="BM334">
        <v>0</v>
      </c>
      <c r="BN334">
        <v>7416</v>
      </c>
      <c r="BO334">
        <v>6249</v>
      </c>
      <c r="BP334">
        <v>0</v>
      </c>
      <c r="BQ334">
        <v>0</v>
      </c>
      <c r="BR334">
        <v>0.91339999999999999</v>
      </c>
      <c r="BS334">
        <v>0.91339999999999999</v>
      </c>
      <c r="BT334">
        <v>937700</v>
      </c>
      <c r="BU334">
        <v>0</v>
      </c>
      <c r="BV334">
        <v>549</v>
      </c>
      <c r="BW334">
        <v>0</v>
      </c>
      <c r="BX334">
        <v>419</v>
      </c>
      <c r="BY334">
        <v>178</v>
      </c>
      <c r="BZ334">
        <v>341</v>
      </c>
      <c r="CA334">
        <v>1487</v>
      </c>
      <c r="CB334">
        <v>0</v>
      </c>
      <c r="CC334">
        <v>0</v>
      </c>
      <c r="CD334">
        <v>0</v>
      </c>
      <c r="CE334">
        <v>39</v>
      </c>
      <c r="CF334">
        <v>443.06800000000004</v>
      </c>
      <c r="CG334">
        <v>0</v>
      </c>
      <c r="CH334">
        <v>0</v>
      </c>
      <c r="CI334">
        <v>8</v>
      </c>
      <c r="CJ334">
        <v>17</v>
      </c>
      <c r="CK334">
        <v>0</v>
      </c>
      <c r="CL334">
        <v>0</v>
      </c>
      <c r="CM334">
        <v>82.742000000000004</v>
      </c>
      <c r="CN334">
        <v>0</v>
      </c>
      <c r="CO334">
        <v>0</v>
      </c>
      <c r="CP334">
        <v>0</v>
      </c>
      <c r="CQ334">
        <v>0</v>
      </c>
      <c r="CR334">
        <v>0</v>
      </c>
      <c r="CS334">
        <v>0</v>
      </c>
      <c r="CT334">
        <v>0</v>
      </c>
      <c r="CU334">
        <v>0</v>
      </c>
      <c r="CV334">
        <v>103.387</v>
      </c>
      <c r="CW334">
        <v>57.265000000000001</v>
      </c>
      <c r="CX334">
        <v>937700</v>
      </c>
      <c r="CY334" s="2043">
        <v>0</v>
      </c>
      <c r="CZ334" s="2043">
        <v>0</v>
      </c>
      <c r="DA334" s="2043">
        <v>0</v>
      </c>
      <c r="DB334" s="2043">
        <v>0</v>
      </c>
      <c r="DC334" s="2043">
        <v>601225</v>
      </c>
      <c r="DI334" t="s">
        <v>2970</v>
      </c>
      <c r="DJ334" t="s">
        <v>2970</v>
      </c>
      <c r="DK334" s="2042">
        <f t="shared" si="7"/>
        <v>0</v>
      </c>
    </row>
    <row r="335" spans="1:115">
      <c r="A335" t="s">
        <v>5787</v>
      </c>
      <c r="B335" t="s">
        <v>2485</v>
      </c>
      <c r="C335">
        <v>407.17900000000003</v>
      </c>
      <c r="D335">
        <v>391.70600000000002</v>
      </c>
      <c r="E335">
        <v>0</v>
      </c>
      <c r="F335">
        <v>0</v>
      </c>
      <c r="G335" s="2043">
        <v>206089839</v>
      </c>
      <c r="H335">
        <v>0</v>
      </c>
      <c r="I335" s="2043">
        <v>0</v>
      </c>
      <c r="J335">
        <v>20.359000000000002</v>
      </c>
      <c r="K335">
        <v>56</v>
      </c>
      <c r="L335">
        <v>0</v>
      </c>
      <c r="M335">
        <v>0</v>
      </c>
      <c r="N335">
        <v>0</v>
      </c>
      <c r="O335">
        <v>0</v>
      </c>
      <c r="P335">
        <v>0</v>
      </c>
      <c r="Q335">
        <v>0</v>
      </c>
      <c r="R335" s="2043">
        <v>1710625</v>
      </c>
      <c r="S335">
        <v>160660</v>
      </c>
      <c r="T335">
        <v>117081</v>
      </c>
      <c r="U335">
        <v>0.08</v>
      </c>
      <c r="V335">
        <v>0</v>
      </c>
      <c r="W335">
        <v>0</v>
      </c>
      <c r="X335">
        <v>0</v>
      </c>
      <c r="Y335">
        <v>0</v>
      </c>
      <c r="Z335">
        <v>0</v>
      </c>
      <c r="AA335">
        <v>0</v>
      </c>
      <c r="AB335">
        <v>391.70600000000002</v>
      </c>
      <c r="AC335" s="2043">
        <v>166161243</v>
      </c>
      <c r="AD335">
        <v>0</v>
      </c>
      <c r="AE335" s="2043">
        <v>1988366</v>
      </c>
      <c r="AF335">
        <v>0.99010000000000009</v>
      </c>
      <c r="AG335">
        <v>0</v>
      </c>
      <c r="AH335">
        <v>0</v>
      </c>
      <c r="AI335">
        <v>0</v>
      </c>
      <c r="AJ335">
        <v>51.85</v>
      </c>
      <c r="AK335">
        <v>2576</v>
      </c>
      <c r="AL335">
        <v>0</v>
      </c>
      <c r="AM335">
        <v>0</v>
      </c>
      <c r="AN335">
        <v>2.2320000000000002</v>
      </c>
      <c r="AO335">
        <v>0</v>
      </c>
      <c r="AP335">
        <v>0</v>
      </c>
      <c r="AQ335">
        <v>0</v>
      </c>
      <c r="AR335">
        <v>20.605</v>
      </c>
      <c r="AS335">
        <v>0</v>
      </c>
      <c r="AT335">
        <v>1.728</v>
      </c>
      <c r="AU335">
        <v>1.248</v>
      </c>
      <c r="AV335">
        <v>0</v>
      </c>
      <c r="AW335">
        <v>23.581</v>
      </c>
      <c r="AX335">
        <v>0</v>
      </c>
      <c r="AY335">
        <v>73.239000000000004</v>
      </c>
      <c r="AZ335">
        <v>0</v>
      </c>
      <c r="BA335">
        <v>3582956</v>
      </c>
      <c r="BB335">
        <v>1988366</v>
      </c>
      <c r="BC335">
        <v>0</v>
      </c>
      <c r="BD335">
        <v>38579</v>
      </c>
      <c r="BE335">
        <v>0</v>
      </c>
      <c r="BF335">
        <v>38579</v>
      </c>
      <c r="BG335">
        <v>38579</v>
      </c>
      <c r="BH335">
        <v>0</v>
      </c>
      <c r="BI335">
        <v>0</v>
      </c>
      <c r="BJ335">
        <v>0</v>
      </c>
      <c r="BK335">
        <v>0</v>
      </c>
      <c r="BL335">
        <v>206089839</v>
      </c>
      <c r="BM335">
        <v>0</v>
      </c>
      <c r="BN335">
        <v>1575</v>
      </c>
      <c r="BO335">
        <v>1006</v>
      </c>
      <c r="BP335">
        <v>0</v>
      </c>
      <c r="BQ335">
        <v>0</v>
      </c>
      <c r="BR335">
        <v>0.8518</v>
      </c>
      <c r="BS335">
        <v>0.8518</v>
      </c>
      <c r="BT335">
        <v>0</v>
      </c>
      <c r="BU335">
        <v>0</v>
      </c>
      <c r="BV335">
        <v>0</v>
      </c>
      <c r="BW335">
        <v>132</v>
      </c>
      <c r="BX335">
        <v>0</v>
      </c>
      <c r="BY335">
        <v>76</v>
      </c>
      <c r="BZ335">
        <v>2</v>
      </c>
      <c r="CA335">
        <v>210</v>
      </c>
      <c r="CB335">
        <v>0</v>
      </c>
      <c r="CC335">
        <v>0</v>
      </c>
      <c r="CD335">
        <v>0</v>
      </c>
      <c r="CE335">
        <v>39</v>
      </c>
      <c r="CF335">
        <v>60.383000000000003</v>
      </c>
      <c r="CG335">
        <v>0</v>
      </c>
      <c r="CH335">
        <v>0</v>
      </c>
      <c r="CI335">
        <v>2</v>
      </c>
      <c r="CJ335">
        <v>5</v>
      </c>
      <c r="CK335">
        <v>0</v>
      </c>
      <c r="CL335">
        <v>0</v>
      </c>
      <c r="CM335">
        <v>0</v>
      </c>
      <c r="CN335">
        <v>0</v>
      </c>
      <c r="CO335">
        <v>0</v>
      </c>
      <c r="CP335">
        <v>0</v>
      </c>
      <c r="CQ335">
        <v>0</v>
      </c>
      <c r="CR335">
        <v>0</v>
      </c>
      <c r="CS335">
        <v>0</v>
      </c>
      <c r="CT335">
        <v>0</v>
      </c>
      <c r="CU335">
        <v>1.9830000000000001</v>
      </c>
      <c r="CV335">
        <v>25.536000000000001</v>
      </c>
      <c r="CW335">
        <v>7.6750000000000007</v>
      </c>
      <c r="CX335">
        <v>0</v>
      </c>
      <c r="CY335" s="2043">
        <v>0</v>
      </c>
      <c r="CZ335" s="2043">
        <v>0</v>
      </c>
      <c r="DA335" s="2043">
        <v>0</v>
      </c>
      <c r="DB335" s="2043">
        <v>0</v>
      </c>
      <c r="DC335" s="2043">
        <v>0</v>
      </c>
      <c r="DI335" t="s">
        <v>5787</v>
      </c>
      <c r="DJ335" t="s">
        <v>5787</v>
      </c>
      <c r="DK335" s="2042">
        <f t="shared" si="7"/>
        <v>0</v>
      </c>
    </row>
    <row r="336" spans="1:115">
      <c r="A336" t="s">
        <v>2971</v>
      </c>
      <c r="B336" t="s">
        <v>1465</v>
      </c>
      <c r="C336">
        <v>117.714</v>
      </c>
      <c r="D336">
        <v>112.066</v>
      </c>
      <c r="E336">
        <v>2.1140000000000003</v>
      </c>
      <c r="F336">
        <v>0</v>
      </c>
      <c r="G336" s="2043">
        <v>80076696</v>
      </c>
      <c r="H336">
        <v>0</v>
      </c>
      <c r="I336" s="2043">
        <v>0</v>
      </c>
      <c r="J336">
        <v>1</v>
      </c>
      <c r="K336">
        <v>3</v>
      </c>
      <c r="L336">
        <v>0</v>
      </c>
      <c r="M336">
        <v>0</v>
      </c>
      <c r="N336">
        <v>0</v>
      </c>
      <c r="O336">
        <v>0</v>
      </c>
      <c r="P336">
        <v>0</v>
      </c>
      <c r="Q336">
        <v>0</v>
      </c>
      <c r="R336" s="2043">
        <v>645155</v>
      </c>
      <c r="S336">
        <v>39115</v>
      </c>
      <c r="T336">
        <v>0</v>
      </c>
      <c r="U336">
        <v>0.05</v>
      </c>
      <c r="V336">
        <v>0</v>
      </c>
      <c r="W336">
        <v>0</v>
      </c>
      <c r="X336">
        <v>0</v>
      </c>
      <c r="Y336">
        <v>20294</v>
      </c>
      <c r="Z336">
        <v>0</v>
      </c>
      <c r="AA336">
        <v>0</v>
      </c>
      <c r="AB336">
        <v>112.066</v>
      </c>
      <c r="AC336" s="2043">
        <v>62223602</v>
      </c>
      <c r="AD336">
        <v>0</v>
      </c>
      <c r="AE336" s="2043">
        <v>684270</v>
      </c>
      <c r="AF336">
        <v>0.87470000000000003</v>
      </c>
      <c r="AG336">
        <v>0</v>
      </c>
      <c r="AH336">
        <v>0</v>
      </c>
      <c r="AI336">
        <v>0</v>
      </c>
      <c r="AJ336">
        <v>25.650000000000002</v>
      </c>
      <c r="AK336">
        <v>1176</v>
      </c>
      <c r="AL336">
        <v>0</v>
      </c>
      <c r="AM336">
        <v>0</v>
      </c>
      <c r="AN336">
        <v>2.363</v>
      </c>
      <c r="AO336">
        <v>0</v>
      </c>
      <c r="AP336">
        <v>0</v>
      </c>
      <c r="AQ336">
        <v>0</v>
      </c>
      <c r="AR336">
        <v>9.1890000000000001</v>
      </c>
      <c r="AS336">
        <v>0</v>
      </c>
      <c r="AT336">
        <v>0</v>
      </c>
      <c r="AU336">
        <v>0.48300000000000004</v>
      </c>
      <c r="AV336">
        <v>0</v>
      </c>
      <c r="AW336">
        <v>9.6720000000000006</v>
      </c>
      <c r="AX336">
        <v>0</v>
      </c>
      <c r="AY336">
        <v>29.982000000000003</v>
      </c>
      <c r="AZ336">
        <v>0</v>
      </c>
      <c r="BA336">
        <v>1426322</v>
      </c>
      <c r="BB336">
        <v>684270</v>
      </c>
      <c r="BC336">
        <v>0</v>
      </c>
      <c r="BD336">
        <v>13494</v>
      </c>
      <c r="BE336">
        <v>0</v>
      </c>
      <c r="BF336">
        <v>13494</v>
      </c>
      <c r="BG336">
        <v>13494</v>
      </c>
      <c r="BH336">
        <v>0</v>
      </c>
      <c r="BI336">
        <v>0</v>
      </c>
      <c r="BJ336">
        <v>0</v>
      </c>
      <c r="BK336">
        <v>0</v>
      </c>
      <c r="BL336">
        <v>80076696</v>
      </c>
      <c r="BM336">
        <v>0</v>
      </c>
      <c r="BN336">
        <v>450</v>
      </c>
      <c r="BO336">
        <v>310</v>
      </c>
      <c r="BP336">
        <v>0</v>
      </c>
      <c r="BQ336">
        <v>0</v>
      </c>
      <c r="BR336">
        <v>0.82469999999999999</v>
      </c>
      <c r="BS336">
        <v>0.82469999999999999</v>
      </c>
      <c r="BT336">
        <v>0</v>
      </c>
      <c r="BU336">
        <v>0</v>
      </c>
      <c r="BV336">
        <v>0</v>
      </c>
      <c r="BW336">
        <v>61</v>
      </c>
      <c r="BX336">
        <v>10</v>
      </c>
      <c r="BY336">
        <v>33</v>
      </c>
      <c r="BZ336">
        <v>0</v>
      </c>
      <c r="CA336">
        <v>104</v>
      </c>
      <c r="CB336">
        <v>0</v>
      </c>
      <c r="CC336">
        <v>0</v>
      </c>
      <c r="CD336">
        <v>0</v>
      </c>
      <c r="CE336">
        <v>16</v>
      </c>
      <c r="CF336">
        <v>31.616000000000003</v>
      </c>
      <c r="CG336">
        <v>0</v>
      </c>
      <c r="CH336">
        <v>0</v>
      </c>
      <c r="CI336">
        <v>3</v>
      </c>
      <c r="CJ336">
        <v>0</v>
      </c>
      <c r="CK336">
        <v>0</v>
      </c>
      <c r="CL336">
        <v>0</v>
      </c>
      <c r="CM336">
        <v>2.1140000000000003</v>
      </c>
      <c r="CN336">
        <v>0</v>
      </c>
      <c r="CO336">
        <v>0</v>
      </c>
      <c r="CP336">
        <v>0</v>
      </c>
      <c r="CQ336">
        <v>0</v>
      </c>
      <c r="CR336">
        <v>0</v>
      </c>
      <c r="CS336">
        <v>0</v>
      </c>
      <c r="CT336">
        <v>0</v>
      </c>
      <c r="CU336">
        <v>0</v>
      </c>
      <c r="CV336">
        <v>7.681</v>
      </c>
      <c r="CW336">
        <v>3.3360000000000003</v>
      </c>
      <c r="CX336">
        <v>0</v>
      </c>
      <c r="CY336" s="2043">
        <v>20294</v>
      </c>
      <c r="CZ336" s="2043">
        <v>0</v>
      </c>
      <c r="DA336" s="2043">
        <v>0</v>
      </c>
      <c r="DB336" s="2043">
        <v>0</v>
      </c>
      <c r="DC336" s="2043">
        <v>0</v>
      </c>
      <c r="DI336" t="s">
        <v>2971</v>
      </c>
      <c r="DJ336" t="s">
        <v>2971</v>
      </c>
      <c r="DK336" s="2042">
        <f t="shared" si="7"/>
        <v>0</v>
      </c>
    </row>
    <row r="337" spans="1:115">
      <c r="A337" t="s">
        <v>5788</v>
      </c>
      <c r="B337" t="s">
        <v>2486</v>
      </c>
      <c r="C337">
        <v>21.781000000000002</v>
      </c>
      <c r="D337">
        <v>36.587000000000003</v>
      </c>
      <c r="E337">
        <v>0</v>
      </c>
      <c r="F337">
        <v>0</v>
      </c>
      <c r="G337" s="2043">
        <v>28110288</v>
      </c>
      <c r="H337">
        <v>0</v>
      </c>
      <c r="I337" s="2043">
        <v>0</v>
      </c>
      <c r="J337">
        <v>0</v>
      </c>
      <c r="K337">
        <v>0</v>
      </c>
      <c r="L337">
        <v>0</v>
      </c>
      <c r="M337">
        <v>0</v>
      </c>
      <c r="N337">
        <v>0</v>
      </c>
      <c r="O337">
        <v>0</v>
      </c>
      <c r="P337">
        <v>0</v>
      </c>
      <c r="Q337">
        <v>0</v>
      </c>
      <c r="R337" s="2043">
        <v>247522</v>
      </c>
      <c r="S337">
        <v>13549</v>
      </c>
      <c r="T337">
        <v>0</v>
      </c>
      <c r="U337">
        <v>0.05</v>
      </c>
      <c r="V337">
        <v>0</v>
      </c>
      <c r="W337">
        <v>0</v>
      </c>
      <c r="X337">
        <v>0</v>
      </c>
      <c r="Y337">
        <v>0</v>
      </c>
      <c r="Z337">
        <v>0</v>
      </c>
      <c r="AA337">
        <v>0</v>
      </c>
      <c r="AB337">
        <v>36.587000000000003</v>
      </c>
      <c r="AC337" s="2043">
        <v>29796534</v>
      </c>
      <c r="AD337">
        <v>0</v>
      </c>
      <c r="AE337" s="2043">
        <v>261071</v>
      </c>
      <c r="AF337">
        <v>0.96340000000000003</v>
      </c>
      <c r="AG337">
        <v>0</v>
      </c>
      <c r="AH337">
        <v>0</v>
      </c>
      <c r="AI337">
        <v>0</v>
      </c>
      <c r="AJ337">
        <v>6.25</v>
      </c>
      <c r="AK337">
        <v>108</v>
      </c>
      <c r="AL337">
        <v>0</v>
      </c>
      <c r="AM337">
        <v>0</v>
      </c>
      <c r="AN337">
        <v>2.0100000000000002</v>
      </c>
      <c r="AO337">
        <v>0</v>
      </c>
      <c r="AP337">
        <v>0</v>
      </c>
      <c r="AQ337">
        <v>0</v>
      </c>
      <c r="AR337">
        <v>8.900000000000001E-2</v>
      </c>
      <c r="AS337">
        <v>0</v>
      </c>
      <c r="AT337">
        <v>0</v>
      </c>
      <c r="AU337">
        <v>7.6999999999999999E-2</v>
      </c>
      <c r="AV337">
        <v>0</v>
      </c>
      <c r="AW337">
        <v>0.16600000000000001</v>
      </c>
      <c r="AX337">
        <v>0</v>
      </c>
      <c r="AY337">
        <v>0.65200000000000002</v>
      </c>
      <c r="AZ337">
        <v>0</v>
      </c>
      <c r="BA337">
        <v>467624</v>
      </c>
      <c r="BB337">
        <v>261071</v>
      </c>
      <c r="BC337">
        <v>0</v>
      </c>
      <c r="BD337">
        <v>13098</v>
      </c>
      <c r="BE337">
        <v>0</v>
      </c>
      <c r="BF337">
        <v>13098</v>
      </c>
      <c r="BG337">
        <v>13098</v>
      </c>
      <c r="BH337">
        <v>0</v>
      </c>
      <c r="BI337">
        <v>0</v>
      </c>
      <c r="BJ337">
        <v>0</v>
      </c>
      <c r="BK337">
        <v>0</v>
      </c>
      <c r="BL337">
        <v>28110288</v>
      </c>
      <c r="BM337">
        <v>0</v>
      </c>
      <c r="BN337">
        <v>0</v>
      </c>
      <c r="BO337">
        <v>0</v>
      </c>
      <c r="BP337">
        <v>0</v>
      </c>
      <c r="BQ337">
        <v>0</v>
      </c>
      <c r="BR337">
        <v>0.91339999999999999</v>
      </c>
      <c r="BS337">
        <v>0.91339999999999999</v>
      </c>
      <c r="BT337">
        <v>0</v>
      </c>
      <c r="BU337">
        <v>0</v>
      </c>
      <c r="BV337">
        <v>0</v>
      </c>
      <c r="BW337">
        <v>0</v>
      </c>
      <c r="BX337">
        <v>25</v>
      </c>
      <c r="BY337">
        <v>0</v>
      </c>
      <c r="BZ337">
        <v>0</v>
      </c>
      <c r="CA337">
        <v>25</v>
      </c>
      <c r="CB337">
        <v>0</v>
      </c>
      <c r="CC337">
        <v>0</v>
      </c>
      <c r="CD337">
        <v>0</v>
      </c>
      <c r="CE337">
        <v>2</v>
      </c>
      <c r="CF337">
        <v>10.214</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s="2043">
        <v>0</v>
      </c>
      <c r="CZ337" s="2043">
        <v>0</v>
      </c>
      <c r="DA337" s="2043">
        <v>0</v>
      </c>
      <c r="DB337" s="2043">
        <v>0</v>
      </c>
      <c r="DC337" s="2043">
        <v>0</v>
      </c>
      <c r="DI337" t="s">
        <v>5788</v>
      </c>
      <c r="DJ337" t="s">
        <v>5788</v>
      </c>
      <c r="DK337" s="2042">
        <f t="shared" si="7"/>
        <v>0</v>
      </c>
    </row>
    <row r="338" spans="1:115">
      <c r="A338" t="s">
        <v>5002</v>
      </c>
      <c r="B338" t="s">
        <v>2487</v>
      </c>
      <c r="C338">
        <v>192.52500000000001</v>
      </c>
      <c r="D338">
        <v>255.67600000000002</v>
      </c>
      <c r="E338">
        <v>6.1910000000000007</v>
      </c>
      <c r="F338">
        <v>0</v>
      </c>
      <c r="G338" s="2043">
        <v>248481319</v>
      </c>
      <c r="H338">
        <v>0</v>
      </c>
      <c r="I338" s="2043">
        <v>537382</v>
      </c>
      <c r="J338">
        <v>9.6260000000000012</v>
      </c>
      <c r="K338">
        <v>26</v>
      </c>
      <c r="L338">
        <v>0</v>
      </c>
      <c r="M338">
        <v>0</v>
      </c>
      <c r="N338">
        <v>0</v>
      </c>
      <c r="O338">
        <v>0</v>
      </c>
      <c r="P338">
        <v>0</v>
      </c>
      <c r="Q338">
        <v>0</v>
      </c>
      <c r="R338" s="2043">
        <v>2131446</v>
      </c>
      <c r="S338">
        <v>116676</v>
      </c>
      <c r="T338">
        <v>0</v>
      </c>
      <c r="U338">
        <v>0.05</v>
      </c>
      <c r="V338">
        <v>0</v>
      </c>
      <c r="W338">
        <v>0</v>
      </c>
      <c r="X338">
        <v>0</v>
      </c>
      <c r="Y338">
        <v>0</v>
      </c>
      <c r="Z338">
        <v>0</v>
      </c>
      <c r="AA338">
        <v>0</v>
      </c>
      <c r="AB338">
        <v>221.76900000000001</v>
      </c>
      <c r="AC338" s="2043">
        <v>231372900</v>
      </c>
      <c r="AD338">
        <v>399940</v>
      </c>
      <c r="AE338" s="2043">
        <v>2248122</v>
      </c>
      <c r="AF338">
        <v>0.96340000000000003</v>
      </c>
      <c r="AG338">
        <v>0</v>
      </c>
      <c r="AH338">
        <v>0</v>
      </c>
      <c r="AI338">
        <v>0</v>
      </c>
      <c r="AJ338">
        <v>52.013000000000005</v>
      </c>
      <c r="AK338">
        <v>1239</v>
      </c>
      <c r="AL338">
        <v>0</v>
      </c>
      <c r="AM338">
        <v>0</v>
      </c>
      <c r="AN338">
        <v>5.6970000000000001</v>
      </c>
      <c r="AO338">
        <v>0</v>
      </c>
      <c r="AP338">
        <v>0</v>
      </c>
      <c r="AQ338">
        <v>0</v>
      </c>
      <c r="AR338">
        <v>6.57</v>
      </c>
      <c r="AS338">
        <v>0</v>
      </c>
      <c r="AT338">
        <v>2.06</v>
      </c>
      <c r="AU338">
        <v>0.45300000000000001</v>
      </c>
      <c r="AV338">
        <v>0</v>
      </c>
      <c r="AW338">
        <v>9.0830000000000002</v>
      </c>
      <c r="AX338">
        <v>0</v>
      </c>
      <c r="AY338">
        <v>28.155000000000001</v>
      </c>
      <c r="AZ338">
        <v>0</v>
      </c>
      <c r="BA338">
        <v>385869</v>
      </c>
      <c r="BB338">
        <v>2648062</v>
      </c>
      <c r="BC338">
        <v>0</v>
      </c>
      <c r="BD338">
        <v>17640</v>
      </c>
      <c r="BE338">
        <v>0</v>
      </c>
      <c r="BF338">
        <v>17640</v>
      </c>
      <c r="BG338">
        <v>17640</v>
      </c>
      <c r="BH338">
        <v>0</v>
      </c>
      <c r="BI338">
        <v>0</v>
      </c>
      <c r="BJ338">
        <v>0</v>
      </c>
      <c r="BK338">
        <v>0</v>
      </c>
      <c r="BL338">
        <v>248481319</v>
      </c>
      <c r="BM338">
        <v>0</v>
      </c>
      <c r="BN338">
        <v>954</v>
      </c>
      <c r="BO338">
        <v>471</v>
      </c>
      <c r="BP338">
        <v>0</v>
      </c>
      <c r="BQ338">
        <v>0</v>
      </c>
      <c r="BR338">
        <v>0.91339999999999999</v>
      </c>
      <c r="BS338">
        <v>0.91339999999999999</v>
      </c>
      <c r="BT338">
        <v>0</v>
      </c>
      <c r="BU338">
        <v>0</v>
      </c>
      <c r="BV338">
        <v>1</v>
      </c>
      <c r="BW338">
        <v>9</v>
      </c>
      <c r="BX338">
        <v>189</v>
      </c>
      <c r="BY338">
        <v>6</v>
      </c>
      <c r="BZ338">
        <v>3</v>
      </c>
      <c r="CA338">
        <v>208</v>
      </c>
      <c r="CB338">
        <v>0</v>
      </c>
      <c r="CC338">
        <v>0</v>
      </c>
      <c r="CD338">
        <v>0</v>
      </c>
      <c r="CE338">
        <v>1</v>
      </c>
      <c r="CF338">
        <v>41.314</v>
      </c>
      <c r="CG338">
        <v>0</v>
      </c>
      <c r="CH338">
        <v>0</v>
      </c>
      <c r="CI338">
        <v>1</v>
      </c>
      <c r="CJ338">
        <v>1</v>
      </c>
      <c r="CK338">
        <v>0</v>
      </c>
      <c r="CL338">
        <v>0</v>
      </c>
      <c r="CM338">
        <v>6.1910000000000007</v>
      </c>
      <c r="CN338">
        <v>0</v>
      </c>
      <c r="CO338">
        <v>0</v>
      </c>
      <c r="CP338">
        <v>0</v>
      </c>
      <c r="CQ338">
        <v>0</v>
      </c>
      <c r="CR338">
        <v>0</v>
      </c>
      <c r="CS338">
        <v>14.737</v>
      </c>
      <c r="CT338">
        <v>0</v>
      </c>
      <c r="CU338">
        <v>0</v>
      </c>
      <c r="CV338">
        <v>18.536000000000001</v>
      </c>
      <c r="CW338">
        <v>5.2210000000000001</v>
      </c>
      <c r="CX338">
        <v>0</v>
      </c>
      <c r="CY338" s="2043">
        <v>0</v>
      </c>
      <c r="CZ338" s="2043">
        <v>0</v>
      </c>
      <c r="DA338" s="2043">
        <v>0</v>
      </c>
      <c r="DB338" s="2043">
        <v>0</v>
      </c>
      <c r="DC338" s="2043">
        <v>91736</v>
      </c>
      <c r="DI338" t="s">
        <v>5002</v>
      </c>
      <c r="DJ338" t="s">
        <v>5002</v>
      </c>
      <c r="DK338" s="2042">
        <f t="shared" si="7"/>
        <v>0</v>
      </c>
    </row>
    <row r="339" spans="1:115">
      <c r="A339" t="s">
        <v>2972</v>
      </c>
      <c r="B339" t="s">
        <v>678</v>
      </c>
      <c r="C339">
        <v>1283.145</v>
      </c>
      <c r="D339">
        <v>1356.1030000000001</v>
      </c>
      <c r="E339">
        <v>14.179</v>
      </c>
      <c r="F339">
        <v>0</v>
      </c>
      <c r="G339" s="2043">
        <v>380552461</v>
      </c>
      <c r="H339">
        <v>0</v>
      </c>
      <c r="I339" s="2043">
        <v>1861126</v>
      </c>
      <c r="J339">
        <v>64.156999999999996</v>
      </c>
      <c r="K339">
        <v>175</v>
      </c>
      <c r="L339">
        <v>159817</v>
      </c>
      <c r="M339">
        <v>951483</v>
      </c>
      <c r="N339">
        <v>159817</v>
      </c>
      <c r="O339">
        <v>1111300</v>
      </c>
      <c r="P339">
        <v>0</v>
      </c>
      <c r="Q339">
        <v>0</v>
      </c>
      <c r="R339" s="2043">
        <v>2870690</v>
      </c>
      <c r="S339">
        <v>174044</v>
      </c>
      <c r="T339">
        <v>0</v>
      </c>
      <c r="U339">
        <v>0.05</v>
      </c>
      <c r="V339">
        <v>0</v>
      </c>
      <c r="W339">
        <v>0</v>
      </c>
      <c r="X339">
        <v>0</v>
      </c>
      <c r="Y339">
        <v>0</v>
      </c>
      <c r="Z339">
        <v>0</v>
      </c>
      <c r="AA339">
        <v>0</v>
      </c>
      <c r="AB339">
        <v>1367.2860000000001</v>
      </c>
      <c r="AC339" s="2043">
        <v>212638600</v>
      </c>
      <c r="AD339">
        <v>1404642</v>
      </c>
      <c r="AE339" s="2043">
        <v>3044734</v>
      </c>
      <c r="AF339">
        <v>0.87470000000000003</v>
      </c>
      <c r="AG339">
        <v>0</v>
      </c>
      <c r="AH339">
        <v>0</v>
      </c>
      <c r="AI339">
        <v>0</v>
      </c>
      <c r="AJ339">
        <v>321.125</v>
      </c>
      <c r="AK339">
        <v>5103</v>
      </c>
      <c r="AL339">
        <v>0.27900000000000003</v>
      </c>
      <c r="AM339">
        <v>0</v>
      </c>
      <c r="AN339">
        <v>41.868000000000002</v>
      </c>
      <c r="AO339">
        <v>0</v>
      </c>
      <c r="AP339">
        <v>0</v>
      </c>
      <c r="AQ339">
        <v>0</v>
      </c>
      <c r="AR339">
        <v>32.612000000000002</v>
      </c>
      <c r="AS339">
        <v>0</v>
      </c>
      <c r="AT339">
        <v>7.7290000000000001</v>
      </c>
      <c r="AU339">
        <v>3.5650000000000004</v>
      </c>
      <c r="AV339">
        <v>0</v>
      </c>
      <c r="AW339">
        <v>44.185000000000002</v>
      </c>
      <c r="AX339">
        <v>0</v>
      </c>
      <c r="AY339">
        <v>140.24299999999999</v>
      </c>
      <c r="AZ339">
        <v>0</v>
      </c>
      <c r="BA339">
        <v>11300958</v>
      </c>
      <c r="BB339">
        <v>4449376</v>
      </c>
      <c r="BC339">
        <v>0</v>
      </c>
      <c r="BD339">
        <v>43575</v>
      </c>
      <c r="BE339">
        <v>12442</v>
      </c>
      <c r="BF339">
        <v>56017</v>
      </c>
      <c r="BG339">
        <v>43575</v>
      </c>
      <c r="BH339">
        <v>0</v>
      </c>
      <c r="BI339">
        <v>0</v>
      </c>
      <c r="BJ339">
        <v>0</v>
      </c>
      <c r="BK339">
        <v>0</v>
      </c>
      <c r="BL339">
        <v>380552461</v>
      </c>
      <c r="BM339">
        <v>0</v>
      </c>
      <c r="BN339">
        <v>4302</v>
      </c>
      <c r="BO339">
        <v>3606</v>
      </c>
      <c r="BP339">
        <v>0</v>
      </c>
      <c r="BQ339">
        <v>0</v>
      </c>
      <c r="BR339">
        <v>0.82469999999999999</v>
      </c>
      <c r="BS339">
        <v>0.82469999999999999</v>
      </c>
      <c r="BT339">
        <v>0</v>
      </c>
      <c r="BU339">
        <v>0</v>
      </c>
      <c r="BV339">
        <v>267</v>
      </c>
      <c r="BW339">
        <v>181</v>
      </c>
      <c r="BX339">
        <v>250</v>
      </c>
      <c r="BY339">
        <v>183</v>
      </c>
      <c r="BZ339">
        <v>391</v>
      </c>
      <c r="CA339">
        <v>1272</v>
      </c>
      <c r="CB339">
        <v>0</v>
      </c>
      <c r="CC339">
        <v>0</v>
      </c>
      <c r="CD339">
        <v>0</v>
      </c>
      <c r="CE339">
        <v>68</v>
      </c>
      <c r="CF339">
        <v>317.83</v>
      </c>
      <c r="CG339">
        <v>0</v>
      </c>
      <c r="CH339">
        <v>0</v>
      </c>
      <c r="CI339">
        <v>9</v>
      </c>
      <c r="CJ339">
        <v>9</v>
      </c>
      <c r="CK339">
        <v>0</v>
      </c>
      <c r="CL339">
        <v>0</v>
      </c>
      <c r="CM339">
        <v>14.179</v>
      </c>
      <c r="CN339">
        <v>0</v>
      </c>
      <c r="CO339">
        <v>0</v>
      </c>
      <c r="CP339">
        <v>0</v>
      </c>
      <c r="CQ339">
        <v>0</v>
      </c>
      <c r="CR339">
        <v>0</v>
      </c>
      <c r="CS339">
        <v>0</v>
      </c>
      <c r="CT339">
        <v>0</v>
      </c>
      <c r="CU339">
        <v>12.700000000000001</v>
      </c>
      <c r="CV339">
        <v>69.177999999999997</v>
      </c>
      <c r="CW339">
        <v>46.79</v>
      </c>
      <c r="CX339">
        <v>0</v>
      </c>
      <c r="CY339" s="2043">
        <v>0</v>
      </c>
      <c r="CZ339" s="2043">
        <v>0</v>
      </c>
      <c r="DA339" s="2043">
        <v>0</v>
      </c>
      <c r="DB339" s="2043">
        <v>0</v>
      </c>
      <c r="DC339" s="2043">
        <v>0</v>
      </c>
      <c r="DI339" t="s">
        <v>2972</v>
      </c>
      <c r="DJ339" t="s">
        <v>2972</v>
      </c>
      <c r="DK339" s="2042">
        <f t="shared" si="7"/>
        <v>0</v>
      </c>
    </row>
    <row r="340" spans="1:115">
      <c r="A340" t="s">
        <v>5789</v>
      </c>
      <c r="B340" t="s">
        <v>2173</v>
      </c>
      <c r="C340">
        <v>1003.1700000000001</v>
      </c>
      <c r="D340">
        <v>982.16800000000001</v>
      </c>
      <c r="E340">
        <v>71.379000000000005</v>
      </c>
      <c r="F340">
        <v>0</v>
      </c>
      <c r="G340" s="2043">
        <v>587183977</v>
      </c>
      <c r="H340">
        <v>0</v>
      </c>
      <c r="I340" s="2043">
        <v>788797</v>
      </c>
      <c r="J340">
        <v>50.158999999999999</v>
      </c>
      <c r="K340">
        <v>137</v>
      </c>
      <c r="L340">
        <v>0</v>
      </c>
      <c r="M340">
        <v>0</v>
      </c>
      <c r="N340">
        <v>0</v>
      </c>
      <c r="O340">
        <v>0</v>
      </c>
      <c r="P340">
        <v>0</v>
      </c>
      <c r="Q340">
        <v>0</v>
      </c>
      <c r="R340" s="2043">
        <v>5159507</v>
      </c>
      <c r="S340">
        <v>287887</v>
      </c>
      <c r="T340">
        <v>0</v>
      </c>
      <c r="U340">
        <v>0.05</v>
      </c>
      <c r="V340">
        <v>0</v>
      </c>
      <c r="W340">
        <v>0</v>
      </c>
      <c r="X340">
        <v>0</v>
      </c>
      <c r="Y340">
        <v>0</v>
      </c>
      <c r="Z340">
        <v>0</v>
      </c>
      <c r="AA340">
        <v>0</v>
      </c>
      <c r="AB340">
        <v>982.16800000000001</v>
      </c>
      <c r="AC340" s="2043">
        <v>536072373</v>
      </c>
      <c r="AD340">
        <v>906004</v>
      </c>
      <c r="AE340" s="2043">
        <v>5447394</v>
      </c>
      <c r="AF340">
        <v>0.94610000000000005</v>
      </c>
      <c r="AG340">
        <v>0</v>
      </c>
      <c r="AH340">
        <v>0</v>
      </c>
      <c r="AI340">
        <v>0</v>
      </c>
      <c r="AJ340">
        <v>148.20000000000002</v>
      </c>
      <c r="AK340">
        <v>4439</v>
      </c>
      <c r="AL340">
        <v>1.3000000000000001E-2</v>
      </c>
      <c r="AM340">
        <v>0</v>
      </c>
      <c r="AN340">
        <v>19.379000000000001</v>
      </c>
      <c r="AO340">
        <v>1</v>
      </c>
      <c r="AP340">
        <v>0</v>
      </c>
      <c r="AQ340">
        <v>0.39100000000000001</v>
      </c>
      <c r="AR340">
        <v>31.585000000000001</v>
      </c>
      <c r="AS340">
        <v>0</v>
      </c>
      <c r="AT340">
        <v>6.7290000000000001</v>
      </c>
      <c r="AU340">
        <v>2.1310000000000002</v>
      </c>
      <c r="AV340">
        <v>0</v>
      </c>
      <c r="AW340">
        <v>40.849000000000004</v>
      </c>
      <c r="AX340">
        <v>0</v>
      </c>
      <c r="AY340">
        <v>125.66200000000001</v>
      </c>
      <c r="AZ340">
        <v>0</v>
      </c>
      <c r="BA340">
        <v>5706490</v>
      </c>
      <c r="BB340">
        <v>6353398</v>
      </c>
      <c r="BC340">
        <v>0</v>
      </c>
      <c r="BD340">
        <v>42558</v>
      </c>
      <c r="BE340">
        <v>9529</v>
      </c>
      <c r="BF340">
        <v>52087</v>
      </c>
      <c r="BG340">
        <v>42558</v>
      </c>
      <c r="BH340">
        <v>0</v>
      </c>
      <c r="BI340">
        <v>0</v>
      </c>
      <c r="BJ340">
        <v>0</v>
      </c>
      <c r="BK340">
        <v>0</v>
      </c>
      <c r="BL340">
        <v>587183977</v>
      </c>
      <c r="BM340">
        <v>0</v>
      </c>
      <c r="BN340">
        <v>3465</v>
      </c>
      <c r="BO340">
        <v>2504</v>
      </c>
      <c r="BP340">
        <v>0</v>
      </c>
      <c r="BQ340">
        <v>0</v>
      </c>
      <c r="BR340">
        <v>0.89610000000000001</v>
      </c>
      <c r="BS340">
        <v>0.89610000000000001</v>
      </c>
      <c r="BT340">
        <v>0</v>
      </c>
      <c r="BU340">
        <v>0</v>
      </c>
      <c r="BV340">
        <v>224</v>
      </c>
      <c r="BW340">
        <v>245</v>
      </c>
      <c r="BX340">
        <v>140</v>
      </c>
      <c r="BY340">
        <v>5</v>
      </c>
      <c r="BZ340">
        <v>12</v>
      </c>
      <c r="CA340">
        <v>626</v>
      </c>
      <c r="CB340">
        <v>0</v>
      </c>
      <c r="CC340">
        <v>0</v>
      </c>
      <c r="CD340">
        <v>0</v>
      </c>
      <c r="CE340">
        <v>104</v>
      </c>
      <c r="CF340">
        <v>184.84100000000001</v>
      </c>
      <c r="CG340">
        <v>0</v>
      </c>
      <c r="CH340">
        <v>0.33600000000000002</v>
      </c>
      <c r="CI340">
        <v>3</v>
      </c>
      <c r="CJ340">
        <v>19</v>
      </c>
      <c r="CK340">
        <v>1</v>
      </c>
      <c r="CL340">
        <v>0.33600000000000002</v>
      </c>
      <c r="CM340">
        <v>71.379000000000005</v>
      </c>
      <c r="CN340">
        <v>0</v>
      </c>
      <c r="CO340">
        <v>0</v>
      </c>
      <c r="CP340">
        <v>0</v>
      </c>
      <c r="CQ340">
        <v>0</v>
      </c>
      <c r="CR340">
        <v>0</v>
      </c>
      <c r="CS340">
        <v>0</v>
      </c>
      <c r="CT340">
        <v>0</v>
      </c>
      <c r="CU340">
        <v>17.309000000000001</v>
      </c>
      <c r="CV340">
        <v>50.734000000000002</v>
      </c>
      <c r="CW340">
        <v>34.704000000000001</v>
      </c>
      <c r="CX340">
        <v>0</v>
      </c>
      <c r="CY340" s="2043">
        <v>0</v>
      </c>
      <c r="CZ340" s="2043">
        <v>0</v>
      </c>
      <c r="DA340" s="2043">
        <v>0</v>
      </c>
      <c r="DB340" s="2043">
        <v>0</v>
      </c>
      <c r="DC340" s="2043">
        <v>0</v>
      </c>
      <c r="DI340" t="s">
        <v>5003</v>
      </c>
      <c r="DJ340" t="s">
        <v>5789</v>
      </c>
      <c r="DK340" s="2042">
        <f t="shared" si="7"/>
        <v>-1000</v>
      </c>
    </row>
    <row r="341" spans="1:115">
      <c r="A341" t="s">
        <v>5003</v>
      </c>
      <c r="B341" t="s">
        <v>637</v>
      </c>
      <c r="C341">
        <v>655.23500000000001</v>
      </c>
      <c r="D341">
        <v>694.54300000000001</v>
      </c>
      <c r="E341">
        <v>17.949000000000002</v>
      </c>
      <c r="F341">
        <v>0</v>
      </c>
      <c r="G341" s="2043">
        <v>385264301</v>
      </c>
      <c r="H341">
        <v>0</v>
      </c>
      <c r="I341" s="2043">
        <v>1510488</v>
      </c>
      <c r="J341">
        <v>32.762</v>
      </c>
      <c r="K341">
        <v>90</v>
      </c>
      <c r="L341">
        <v>0</v>
      </c>
      <c r="M341">
        <v>0</v>
      </c>
      <c r="N341">
        <v>0</v>
      </c>
      <c r="O341">
        <v>0</v>
      </c>
      <c r="P341">
        <v>0</v>
      </c>
      <c r="Q341">
        <v>0</v>
      </c>
      <c r="R341" s="2043">
        <v>3014908</v>
      </c>
      <c r="S341">
        <v>281635</v>
      </c>
      <c r="T341">
        <v>205242</v>
      </c>
      <c r="U341">
        <v>0.08</v>
      </c>
      <c r="V341">
        <v>0</v>
      </c>
      <c r="W341">
        <v>0</v>
      </c>
      <c r="X341">
        <v>0</v>
      </c>
      <c r="Y341">
        <v>383404</v>
      </c>
      <c r="Z341">
        <v>0</v>
      </c>
      <c r="AA341">
        <v>0.29700000000000004</v>
      </c>
      <c r="AB341">
        <v>692.09199999999998</v>
      </c>
      <c r="AC341" s="2043">
        <v>263298773</v>
      </c>
      <c r="AD341">
        <v>1638067</v>
      </c>
      <c r="AE341" s="2043">
        <v>3501785</v>
      </c>
      <c r="AF341">
        <v>0.99470000000000003</v>
      </c>
      <c r="AG341">
        <v>0</v>
      </c>
      <c r="AH341">
        <v>0</v>
      </c>
      <c r="AI341">
        <v>0</v>
      </c>
      <c r="AJ341">
        <v>152.66300000000001</v>
      </c>
      <c r="AK341">
        <v>2940</v>
      </c>
      <c r="AL341">
        <v>2.4E-2</v>
      </c>
      <c r="AM341">
        <v>0</v>
      </c>
      <c r="AN341">
        <v>30.206000000000003</v>
      </c>
      <c r="AO341">
        <v>0</v>
      </c>
      <c r="AP341">
        <v>0</v>
      </c>
      <c r="AQ341">
        <v>0</v>
      </c>
      <c r="AR341">
        <v>12.540000000000001</v>
      </c>
      <c r="AS341">
        <v>0</v>
      </c>
      <c r="AT341">
        <v>4.0670000000000002</v>
      </c>
      <c r="AU341">
        <v>1.4830000000000001</v>
      </c>
      <c r="AV341">
        <v>0</v>
      </c>
      <c r="AW341">
        <v>18.114000000000001</v>
      </c>
      <c r="AX341">
        <v>0</v>
      </c>
      <c r="AY341">
        <v>57.356000000000002</v>
      </c>
      <c r="AZ341">
        <v>0</v>
      </c>
      <c r="BA341">
        <v>5653209</v>
      </c>
      <c r="BB341">
        <v>5139852</v>
      </c>
      <c r="BC341">
        <v>0</v>
      </c>
      <c r="BD341">
        <v>46485</v>
      </c>
      <c r="BE341">
        <v>4131</v>
      </c>
      <c r="BF341">
        <v>95476</v>
      </c>
      <c r="BG341">
        <v>46485</v>
      </c>
      <c r="BH341">
        <v>44860</v>
      </c>
      <c r="BI341">
        <v>0</v>
      </c>
      <c r="BJ341">
        <v>0</v>
      </c>
      <c r="BK341">
        <v>0</v>
      </c>
      <c r="BL341">
        <v>385264301</v>
      </c>
      <c r="BM341">
        <v>0</v>
      </c>
      <c r="BN341">
        <v>2565</v>
      </c>
      <c r="BO341">
        <v>1915</v>
      </c>
      <c r="BP341">
        <v>51935</v>
      </c>
      <c r="BQ341">
        <v>22500</v>
      </c>
      <c r="BR341">
        <v>0.85640000000000005</v>
      </c>
      <c r="BS341">
        <v>0.85640000000000005</v>
      </c>
      <c r="BT341">
        <v>0</v>
      </c>
      <c r="BU341">
        <v>0</v>
      </c>
      <c r="BV341">
        <v>0</v>
      </c>
      <c r="BW341">
        <v>232</v>
      </c>
      <c r="BX341">
        <v>7</v>
      </c>
      <c r="BY341">
        <v>365</v>
      </c>
      <c r="BZ341">
        <v>0</v>
      </c>
      <c r="CA341">
        <v>604</v>
      </c>
      <c r="CB341">
        <v>0</v>
      </c>
      <c r="CC341">
        <v>0</v>
      </c>
      <c r="CD341">
        <v>0</v>
      </c>
      <c r="CE341">
        <v>52</v>
      </c>
      <c r="CF341">
        <v>164.19200000000001</v>
      </c>
      <c r="CG341">
        <v>0</v>
      </c>
      <c r="CH341">
        <v>0</v>
      </c>
      <c r="CI341">
        <v>0</v>
      </c>
      <c r="CJ341">
        <v>1</v>
      </c>
      <c r="CK341">
        <v>0</v>
      </c>
      <c r="CL341">
        <v>0</v>
      </c>
      <c r="CM341">
        <v>17.949000000000002</v>
      </c>
      <c r="CN341">
        <v>28373</v>
      </c>
      <c r="CO341">
        <v>14708</v>
      </c>
      <c r="CP341">
        <v>7354</v>
      </c>
      <c r="CQ341">
        <v>1500</v>
      </c>
      <c r="CR341">
        <v>0</v>
      </c>
      <c r="CS341">
        <v>0</v>
      </c>
      <c r="CT341">
        <v>0</v>
      </c>
      <c r="CU341">
        <v>0</v>
      </c>
      <c r="CV341">
        <v>35.768000000000001</v>
      </c>
      <c r="CW341">
        <v>25.266999999999999</v>
      </c>
      <c r="CX341">
        <v>0</v>
      </c>
      <c r="CY341" s="2043">
        <v>383404</v>
      </c>
      <c r="CZ341" s="2043">
        <v>0</v>
      </c>
      <c r="DA341" s="2043">
        <v>0</v>
      </c>
      <c r="DB341" s="2043">
        <v>0</v>
      </c>
      <c r="DC341" s="2043">
        <v>0</v>
      </c>
      <c r="DI341" t="s">
        <v>3827</v>
      </c>
      <c r="DJ341" t="s">
        <v>5003</v>
      </c>
      <c r="DK341" s="2042">
        <f t="shared" si="7"/>
        <v>999</v>
      </c>
    </row>
    <row r="342" spans="1:115">
      <c r="A342" t="s">
        <v>3827</v>
      </c>
      <c r="B342" t="s">
        <v>2030</v>
      </c>
      <c r="C342">
        <v>761.25300000000004</v>
      </c>
      <c r="D342">
        <v>775.93200000000002</v>
      </c>
      <c r="E342">
        <v>12.048</v>
      </c>
      <c r="F342">
        <v>0</v>
      </c>
      <c r="G342" s="2043">
        <v>541252552</v>
      </c>
      <c r="H342">
        <v>0</v>
      </c>
      <c r="I342" s="2043">
        <v>0</v>
      </c>
      <c r="J342">
        <v>38.063000000000002</v>
      </c>
      <c r="K342">
        <v>104</v>
      </c>
      <c r="L342">
        <v>0</v>
      </c>
      <c r="M342">
        <v>0</v>
      </c>
      <c r="N342">
        <v>0</v>
      </c>
      <c r="O342">
        <v>0</v>
      </c>
      <c r="P342">
        <v>0</v>
      </c>
      <c r="Q342">
        <v>0</v>
      </c>
      <c r="R342" s="2043">
        <v>4959255</v>
      </c>
      <c r="S342">
        <v>397978</v>
      </c>
      <c r="T342">
        <v>0</v>
      </c>
      <c r="U342">
        <v>7.0000000000000007E-2</v>
      </c>
      <c r="V342">
        <v>0</v>
      </c>
      <c r="W342">
        <v>0</v>
      </c>
      <c r="X342">
        <v>0</v>
      </c>
      <c r="Y342">
        <v>0</v>
      </c>
      <c r="Z342">
        <v>0.97100000000000009</v>
      </c>
      <c r="AA342">
        <v>0.314</v>
      </c>
      <c r="AB342">
        <v>775.93200000000002</v>
      </c>
      <c r="AC342" s="2043">
        <v>573848712</v>
      </c>
      <c r="AD342">
        <v>0</v>
      </c>
      <c r="AE342" s="2043">
        <v>5357233</v>
      </c>
      <c r="AF342">
        <v>0.98670000000000002</v>
      </c>
      <c r="AG342">
        <v>0</v>
      </c>
      <c r="AH342">
        <v>0</v>
      </c>
      <c r="AI342">
        <v>0</v>
      </c>
      <c r="AJ342">
        <v>115.41300000000001</v>
      </c>
      <c r="AK342">
        <v>3981</v>
      </c>
      <c r="AL342">
        <v>0.16</v>
      </c>
      <c r="AM342">
        <v>0</v>
      </c>
      <c r="AN342">
        <v>23.184000000000001</v>
      </c>
      <c r="AO342">
        <v>0</v>
      </c>
      <c r="AP342">
        <v>0</v>
      </c>
      <c r="AQ342">
        <v>0</v>
      </c>
      <c r="AR342">
        <v>23.995000000000001</v>
      </c>
      <c r="AS342">
        <v>0</v>
      </c>
      <c r="AT342">
        <v>5.5010000000000003</v>
      </c>
      <c r="AU342">
        <v>2.1830000000000003</v>
      </c>
      <c r="AV342">
        <v>0</v>
      </c>
      <c r="AW342">
        <v>31.839000000000002</v>
      </c>
      <c r="AX342">
        <v>0</v>
      </c>
      <c r="AY342">
        <v>100.203</v>
      </c>
      <c r="AZ342">
        <v>0</v>
      </c>
      <c r="BA342">
        <v>4261686</v>
      </c>
      <c r="BB342">
        <v>5357233</v>
      </c>
      <c r="BC342">
        <v>0</v>
      </c>
      <c r="BD342">
        <v>37701</v>
      </c>
      <c r="BE342">
        <v>2676</v>
      </c>
      <c r="BF342">
        <v>41209</v>
      </c>
      <c r="BG342">
        <v>37701</v>
      </c>
      <c r="BH342">
        <v>832</v>
      </c>
      <c r="BI342">
        <v>0</v>
      </c>
      <c r="BJ342">
        <v>0</v>
      </c>
      <c r="BK342">
        <v>0</v>
      </c>
      <c r="BL342">
        <v>541252552</v>
      </c>
      <c r="BM342">
        <v>0</v>
      </c>
      <c r="BN342">
        <v>2907</v>
      </c>
      <c r="BO342">
        <v>2322</v>
      </c>
      <c r="BP342">
        <v>0</v>
      </c>
      <c r="BQ342">
        <v>0</v>
      </c>
      <c r="BR342">
        <v>0.91339999999999999</v>
      </c>
      <c r="BS342">
        <v>0.91339999999999999</v>
      </c>
      <c r="BT342">
        <v>0</v>
      </c>
      <c r="BU342">
        <v>0</v>
      </c>
      <c r="BV342">
        <v>245</v>
      </c>
      <c r="BW342">
        <v>125</v>
      </c>
      <c r="BX342">
        <v>63</v>
      </c>
      <c r="BY342">
        <v>0</v>
      </c>
      <c r="BZ342">
        <v>54</v>
      </c>
      <c r="CA342">
        <v>487</v>
      </c>
      <c r="CB342">
        <v>0</v>
      </c>
      <c r="CC342">
        <v>0</v>
      </c>
      <c r="CD342">
        <v>0</v>
      </c>
      <c r="CE342">
        <v>88</v>
      </c>
      <c r="CF342">
        <v>173.41900000000001</v>
      </c>
      <c r="CG342">
        <v>10.013</v>
      </c>
      <c r="CH342">
        <v>0</v>
      </c>
      <c r="CI342">
        <v>4</v>
      </c>
      <c r="CJ342">
        <v>7</v>
      </c>
      <c r="CK342">
        <v>0</v>
      </c>
      <c r="CL342">
        <v>10.013</v>
      </c>
      <c r="CM342">
        <v>12.048</v>
      </c>
      <c r="CN342">
        <v>0</v>
      </c>
      <c r="CO342">
        <v>0</v>
      </c>
      <c r="CP342">
        <v>0</v>
      </c>
      <c r="CQ342">
        <v>0</v>
      </c>
      <c r="CR342">
        <v>0</v>
      </c>
      <c r="CS342">
        <v>0</v>
      </c>
      <c r="CT342">
        <v>0</v>
      </c>
      <c r="CU342">
        <v>3.3690000000000002</v>
      </c>
      <c r="CV342">
        <v>43.563000000000002</v>
      </c>
      <c r="CW342">
        <v>46.578000000000003</v>
      </c>
      <c r="CX342">
        <v>0</v>
      </c>
      <c r="CY342" s="2043">
        <v>0</v>
      </c>
      <c r="CZ342" s="2043">
        <v>0</v>
      </c>
      <c r="DA342" s="2043">
        <v>0</v>
      </c>
      <c r="DB342" s="2043">
        <v>0</v>
      </c>
      <c r="DC342" s="2043">
        <v>0</v>
      </c>
      <c r="DI342" t="s">
        <v>5789</v>
      </c>
      <c r="DJ342" t="s">
        <v>3827</v>
      </c>
      <c r="DK342" s="2042">
        <f t="shared" si="7"/>
        <v>1</v>
      </c>
    </row>
    <row r="343" spans="1:115">
      <c r="A343" t="s">
        <v>5004</v>
      </c>
      <c r="B343" t="s">
        <v>1691</v>
      </c>
      <c r="C343">
        <v>243.47</v>
      </c>
      <c r="D343">
        <v>279.13200000000001</v>
      </c>
      <c r="E343">
        <v>17.544</v>
      </c>
      <c r="F343">
        <v>0</v>
      </c>
      <c r="G343" s="2043">
        <v>153383546</v>
      </c>
      <c r="H343">
        <v>0</v>
      </c>
      <c r="I343" s="2043">
        <v>315050</v>
      </c>
      <c r="J343">
        <v>12.174000000000001</v>
      </c>
      <c r="K343">
        <v>33</v>
      </c>
      <c r="L343">
        <v>0</v>
      </c>
      <c r="M343">
        <v>0</v>
      </c>
      <c r="N343">
        <v>0</v>
      </c>
      <c r="O343">
        <v>0</v>
      </c>
      <c r="P343">
        <v>0</v>
      </c>
      <c r="Q343">
        <v>0</v>
      </c>
      <c r="R343" s="2043">
        <v>1240923</v>
      </c>
      <c r="S343">
        <v>75482</v>
      </c>
      <c r="T343">
        <v>0</v>
      </c>
      <c r="U343">
        <v>0.05</v>
      </c>
      <c r="V343">
        <v>0</v>
      </c>
      <c r="W343">
        <v>0</v>
      </c>
      <c r="X343">
        <v>0</v>
      </c>
      <c r="Y343">
        <v>0</v>
      </c>
      <c r="Z343">
        <v>0</v>
      </c>
      <c r="AA343">
        <v>6.8000000000000005E-2</v>
      </c>
      <c r="AB343">
        <v>257.47399999999999</v>
      </c>
      <c r="AC343" s="2043">
        <v>123608873</v>
      </c>
      <c r="AD343">
        <v>313912</v>
      </c>
      <c r="AE343" s="2043">
        <v>1316405</v>
      </c>
      <c r="AF343">
        <v>0.872</v>
      </c>
      <c r="AG343">
        <v>0</v>
      </c>
      <c r="AH343">
        <v>0</v>
      </c>
      <c r="AI343">
        <v>0</v>
      </c>
      <c r="AJ343">
        <v>44.313000000000002</v>
      </c>
      <c r="AK343">
        <v>1728</v>
      </c>
      <c r="AL343">
        <v>0</v>
      </c>
      <c r="AM343">
        <v>0</v>
      </c>
      <c r="AN343">
        <v>5.6360000000000001</v>
      </c>
      <c r="AO343">
        <v>0</v>
      </c>
      <c r="AP343">
        <v>0</v>
      </c>
      <c r="AQ343">
        <v>0</v>
      </c>
      <c r="AR343">
        <v>11.117000000000001</v>
      </c>
      <c r="AS343">
        <v>0</v>
      </c>
      <c r="AT343">
        <v>2.181</v>
      </c>
      <c r="AU343">
        <v>0.497</v>
      </c>
      <c r="AV343">
        <v>0</v>
      </c>
      <c r="AW343">
        <v>13.795</v>
      </c>
      <c r="AX343">
        <v>0</v>
      </c>
      <c r="AY343">
        <v>42.379000000000005</v>
      </c>
      <c r="AZ343">
        <v>0</v>
      </c>
      <c r="BA343">
        <v>2153631</v>
      </c>
      <c r="BB343">
        <v>1630317</v>
      </c>
      <c r="BC343">
        <v>0</v>
      </c>
      <c r="BD343">
        <v>39070</v>
      </c>
      <c r="BE343">
        <v>0</v>
      </c>
      <c r="BF343">
        <v>42531</v>
      </c>
      <c r="BG343">
        <v>39070</v>
      </c>
      <c r="BH343">
        <v>3461</v>
      </c>
      <c r="BI343">
        <v>0</v>
      </c>
      <c r="BJ343">
        <v>0</v>
      </c>
      <c r="BK343">
        <v>0</v>
      </c>
      <c r="BL343">
        <v>153383546</v>
      </c>
      <c r="BM343">
        <v>0</v>
      </c>
      <c r="BN343">
        <v>1386</v>
      </c>
      <c r="BO343">
        <v>781</v>
      </c>
      <c r="BP343">
        <v>0</v>
      </c>
      <c r="BQ343">
        <v>0</v>
      </c>
      <c r="BR343">
        <v>0.82200000000000006</v>
      </c>
      <c r="BS343">
        <v>0.82200000000000006</v>
      </c>
      <c r="BT343">
        <v>0</v>
      </c>
      <c r="BU343">
        <v>0</v>
      </c>
      <c r="BV343">
        <v>16</v>
      </c>
      <c r="BW343">
        <v>0</v>
      </c>
      <c r="BX343">
        <v>87</v>
      </c>
      <c r="BY343">
        <v>45</v>
      </c>
      <c r="BZ343">
        <v>26</v>
      </c>
      <c r="CA343">
        <v>174</v>
      </c>
      <c r="CB343">
        <v>0</v>
      </c>
      <c r="CC343">
        <v>0</v>
      </c>
      <c r="CD343">
        <v>0</v>
      </c>
      <c r="CE343">
        <v>36</v>
      </c>
      <c r="CF343">
        <v>58.716000000000001</v>
      </c>
      <c r="CG343">
        <v>0</v>
      </c>
      <c r="CH343">
        <v>0</v>
      </c>
      <c r="CI343">
        <v>6</v>
      </c>
      <c r="CJ343">
        <v>5</v>
      </c>
      <c r="CK343">
        <v>0</v>
      </c>
      <c r="CL343">
        <v>0</v>
      </c>
      <c r="CM343">
        <v>17.544</v>
      </c>
      <c r="CN343">
        <v>0</v>
      </c>
      <c r="CO343">
        <v>0</v>
      </c>
      <c r="CP343">
        <v>0</v>
      </c>
      <c r="CQ343">
        <v>0</v>
      </c>
      <c r="CR343">
        <v>0</v>
      </c>
      <c r="CS343">
        <v>0</v>
      </c>
      <c r="CT343">
        <v>0</v>
      </c>
      <c r="CU343">
        <v>3.1160000000000001</v>
      </c>
      <c r="CV343">
        <v>16.262</v>
      </c>
      <c r="CW343">
        <v>14.663</v>
      </c>
      <c r="CX343">
        <v>0</v>
      </c>
      <c r="CY343" s="2043">
        <v>0</v>
      </c>
      <c r="CZ343" s="2043">
        <v>0</v>
      </c>
      <c r="DA343" s="2043">
        <v>0</v>
      </c>
      <c r="DB343" s="2043">
        <v>0</v>
      </c>
      <c r="DC343" s="2043">
        <v>0</v>
      </c>
      <c r="DI343" t="s">
        <v>5004</v>
      </c>
      <c r="DJ343" t="s">
        <v>5004</v>
      </c>
      <c r="DK343" s="2042">
        <f t="shared" si="7"/>
        <v>0</v>
      </c>
    </row>
    <row r="344" spans="1:115">
      <c r="A344" t="s">
        <v>5790</v>
      </c>
      <c r="B344" t="s">
        <v>579</v>
      </c>
      <c r="C344">
        <v>293.238</v>
      </c>
      <c r="D344">
        <v>309.947</v>
      </c>
      <c r="E344">
        <v>9.2880000000000003</v>
      </c>
      <c r="F344">
        <v>0</v>
      </c>
      <c r="G344" s="2043">
        <v>169397591</v>
      </c>
      <c r="H344">
        <v>0</v>
      </c>
      <c r="I344" s="2043">
        <v>0</v>
      </c>
      <c r="J344">
        <v>14.662000000000001</v>
      </c>
      <c r="K344">
        <v>40</v>
      </c>
      <c r="L344">
        <v>0</v>
      </c>
      <c r="M344">
        <v>0</v>
      </c>
      <c r="N344">
        <v>0</v>
      </c>
      <c r="O344">
        <v>0</v>
      </c>
      <c r="P344">
        <v>0</v>
      </c>
      <c r="Q344">
        <v>0</v>
      </c>
      <c r="R344" s="2043">
        <v>1487318</v>
      </c>
      <c r="S344">
        <v>83632</v>
      </c>
      <c r="T344">
        <v>0</v>
      </c>
      <c r="U344">
        <v>0.05</v>
      </c>
      <c r="V344">
        <v>0</v>
      </c>
      <c r="W344">
        <v>0</v>
      </c>
      <c r="X344">
        <v>0</v>
      </c>
      <c r="Y344">
        <v>0</v>
      </c>
      <c r="Z344">
        <v>0</v>
      </c>
      <c r="AA344">
        <v>0</v>
      </c>
      <c r="AB344">
        <v>303.91500000000002</v>
      </c>
      <c r="AC344" s="2043">
        <v>154047623</v>
      </c>
      <c r="AD344">
        <v>0</v>
      </c>
      <c r="AE344" s="2043">
        <v>1570950</v>
      </c>
      <c r="AF344">
        <v>0.93920000000000003</v>
      </c>
      <c r="AG344">
        <v>0</v>
      </c>
      <c r="AH344">
        <v>0</v>
      </c>
      <c r="AI344">
        <v>0</v>
      </c>
      <c r="AJ344">
        <v>63.513000000000005</v>
      </c>
      <c r="AK344">
        <v>2637</v>
      </c>
      <c r="AL344">
        <v>0</v>
      </c>
      <c r="AM344">
        <v>0</v>
      </c>
      <c r="AN344">
        <v>14.635000000000002</v>
      </c>
      <c r="AO344">
        <v>0</v>
      </c>
      <c r="AP344">
        <v>0.08</v>
      </c>
      <c r="AQ344">
        <v>0</v>
      </c>
      <c r="AR344">
        <v>14.949</v>
      </c>
      <c r="AS344">
        <v>0</v>
      </c>
      <c r="AT344">
        <v>2.99</v>
      </c>
      <c r="AU344">
        <v>0.93300000000000005</v>
      </c>
      <c r="AV344">
        <v>0</v>
      </c>
      <c r="AW344">
        <v>18.952000000000002</v>
      </c>
      <c r="AX344">
        <v>0</v>
      </c>
      <c r="AY344">
        <v>58.698</v>
      </c>
      <c r="AZ344">
        <v>0</v>
      </c>
      <c r="BA344">
        <v>2670697</v>
      </c>
      <c r="BB344">
        <v>1570950</v>
      </c>
      <c r="BC344">
        <v>0</v>
      </c>
      <c r="BD344">
        <v>15514</v>
      </c>
      <c r="BE344">
        <v>2958</v>
      </c>
      <c r="BF344">
        <v>18472</v>
      </c>
      <c r="BG344">
        <v>15514</v>
      </c>
      <c r="BH344">
        <v>0</v>
      </c>
      <c r="BI344">
        <v>0</v>
      </c>
      <c r="BJ344">
        <v>0</v>
      </c>
      <c r="BK344">
        <v>0</v>
      </c>
      <c r="BL344">
        <v>169397591</v>
      </c>
      <c r="BM344">
        <v>0</v>
      </c>
      <c r="BN344">
        <v>1305</v>
      </c>
      <c r="BO344">
        <v>1209</v>
      </c>
      <c r="BP344">
        <v>0</v>
      </c>
      <c r="BQ344">
        <v>0</v>
      </c>
      <c r="BR344">
        <v>0.88919999999999999</v>
      </c>
      <c r="BS344">
        <v>0.88919999999999999</v>
      </c>
      <c r="BT344">
        <v>0</v>
      </c>
      <c r="BU344">
        <v>0</v>
      </c>
      <c r="BV344">
        <v>17</v>
      </c>
      <c r="BW344">
        <v>6</v>
      </c>
      <c r="BX344">
        <v>232</v>
      </c>
      <c r="BY344">
        <v>1</v>
      </c>
      <c r="BZ344">
        <v>0</v>
      </c>
      <c r="CA344">
        <v>256</v>
      </c>
      <c r="CB344">
        <v>0</v>
      </c>
      <c r="CC344">
        <v>0</v>
      </c>
      <c r="CD344">
        <v>0</v>
      </c>
      <c r="CE344">
        <v>79</v>
      </c>
      <c r="CF344">
        <v>61.223000000000006</v>
      </c>
      <c r="CG344">
        <v>0</v>
      </c>
      <c r="CH344">
        <v>0</v>
      </c>
      <c r="CI344">
        <v>3</v>
      </c>
      <c r="CJ344">
        <v>3</v>
      </c>
      <c r="CK344">
        <v>0</v>
      </c>
      <c r="CL344">
        <v>0</v>
      </c>
      <c r="CM344">
        <v>9.2880000000000003</v>
      </c>
      <c r="CN344">
        <v>0</v>
      </c>
      <c r="CO344">
        <v>0</v>
      </c>
      <c r="CP344">
        <v>0</v>
      </c>
      <c r="CQ344">
        <v>0</v>
      </c>
      <c r="CR344">
        <v>0</v>
      </c>
      <c r="CS344">
        <v>0</v>
      </c>
      <c r="CT344">
        <v>0</v>
      </c>
      <c r="CU344">
        <v>0</v>
      </c>
      <c r="CV344">
        <v>20.632000000000001</v>
      </c>
      <c r="CW344">
        <v>8.4499999999999993</v>
      </c>
      <c r="CX344">
        <v>0</v>
      </c>
      <c r="CY344" s="2043">
        <v>0</v>
      </c>
      <c r="CZ344" s="2043">
        <v>0</v>
      </c>
      <c r="DA344" s="2043">
        <v>0</v>
      </c>
      <c r="DB344" s="2043">
        <v>0</v>
      </c>
      <c r="DC344" s="2043">
        <v>0</v>
      </c>
      <c r="DI344" t="s">
        <v>5790</v>
      </c>
      <c r="DJ344" t="s">
        <v>5790</v>
      </c>
      <c r="DK344" s="2042">
        <f t="shared" si="7"/>
        <v>0</v>
      </c>
    </row>
    <row r="345" spans="1:115">
      <c r="A345" t="s">
        <v>7989</v>
      </c>
      <c r="B345" t="s">
        <v>11304</v>
      </c>
      <c r="C345">
        <v>1302.461</v>
      </c>
      <c r="D345">
        <v>1289.606</v>
      </c>
      <c r="E345">
        <v>2.7360000000000002</v>
      </c>
      <c r="F345">
        <v>0</v>
      </c>
      <c r="G345" s="2043">
        <v>0</v>
      </c>
      <c r="H345">
        <v>0</v>
      </c>
      <c r="I345" s="2043">
        <v>0</v>
      </c>
      <c r="J345">
        <v>8</v>
      </c>
      <c r="K345">
        <v>22</v>
      </c>
      <c r="L345">
        <v>0</v>
      </c>
      <c r="M345">
        <v>0</v>
      </c>
      <c r="N345">
        <v>0</v>
      </c>
      <c r="O345">
        <v>0</v>
      </c>
      <c r="P345">
        <v>0</v>
      </c>
      <c r="Q345">
        <v>0</v>
      </c>
      <c r="R345" s="2043">
        <v>0</v>
      </c>
      <c r="S345">
        <v>0</v>
      </c>
      <c r="T345">
        <v>0</v>
      </c>
      <c r="U345">
        <v>0</v>
      </c>
      <c r="V345">
        <v>0</v>
      </c>
      <c r="W345">
        <v>0</v>
      </c>
      <c r="X345">
        <v>0</v>
      </c>
      <c r="Y345">
        <v>245883</v>
      </c>
      <c r="Z345">
        <v>0</v>
      </c>
      <c r="AA345">
        <v>0</v>
      </c>
      <c r="AB345">
        <v>1278.3980000000001</v>
      </c>
      <c r="AC345" s="2043">
        <v>0</v>
      </c>
      <c r="AD345">
        <v>0</v>
      </c>
      <c r="AE345" s="2043">
        <v>0</v>
      </c>
      <c r="AF345">
        <v>0</v>
      </c>
      <c r="AG345">
        <v>0</v>
      </c>
      <c r="AH345">
        <v>0</v>
      </c>
      <c r="AI345">
        <v>0</v>
      </c>
      <c r="AJ345">
        <v>27.938000000000002</v>
      </c>
      <c r="AK345">
        <v>3005</v>
      </c>
      <c r="AL345">
        <v>0</v>
      </c>
      <c r="AM345">
        <v>0</v>
      </c>
      <c r="AN345">
        <v>30.825000000000003</v>
      </c>
      <c r="AO345">
        <v>0</v>
      </c>
      <c r="AP345">
        <v>0</v>
      </c>
      <c r="AQ345">
        <v>0</v>
      </c>
      <c r="AR345">
        <v>28.901</v>
      </c>
      <c r="AS345">
        <v>0</v>
      </c>
      <c r="AT345">
        <v>0</v>
      </c>
      <c r="AU345">
        <v>2.1060000000000003</v>
      </c>
      <c r="AV345">
        <v>0</v>
      </c>
      <c r="AW345">
        <v>31.007000000000001</v>
      </c>
      <c r="AX345">
        <v>0</v>
      </c>
      <c r="AY345">
        <v>97.233000000000004</v>
      </c>
      <c r="AZ345">
        <v>0</v>
      </c>
      <c r="BA345">
        <v>11823890</v>
      </c>
      <c r="BB345">
        <v>0</v>
      </c>
      <c r="BC345">
        <v>0</v>
      </c>
      <c r="BD345">
        <v>0</v>
      </c>
      <c r="BE345">
        <v>0</v>
      </c>
      <c r="BF345">
        <v>0</v>
      </c>
      <c r="BG345">
        <v>0</v>
      </c>
      <c r="BH345">
        <v>0</v>
      </c>
      <c r="BI345">
        <v>0</v>
      </c>
      <c r="BJ345">
        <v>0</v>
      </c>
      <c r="BK345">
        <v>0</v>
      </c>
      <c r="BL345">
        <v>0</v>
      </c>
      <c r="BM345">
        <v>0</v>
      </c>
      <c r="BN345">
        <v>3618</v>
      </c>
      <c r="BO345">
        <v>0</v>
      </c>
      <c r="BP345">
        <v>0</v>
      </c>
      <c r="BQ345">
        <v>0</v>
      </c>
      <c r="BR345">
        <v>0</v>
      </c>
      <c r="BS345">
        <v>0</v>
      </c>
      <c r="BT345">
        <v>15631</v>
      </c>
      <c r="BU345">
        <v>0</v>
      </c>
      <c r="BV345">
        <v>32</v>
      </c>
      <c r="BW345">
        <v>45</v>
      </c>
      <c r="BX345">
        <v>20</v>
      </c>
      <c r="BY345">
        <v>14</v>
      </c>
      <c r="BZ345">
        <v>5</v>
      </c>
      <c r="CA345">
        <v>116</v>
      </c>
      <c r="CB345">
        <v>0</v>
      </c>
      <c r="CC345">
        <v>0</v>
      </c>
      <c r="CD345">
        <v>0</v>
      </c>
      <c r="CE345">
        <v>96</v>
      </c>
      <c r="CF345">
        <v>5.633</v>
      </c>
      <c r="CG345">
        <v>0</v>
      </c>
      <c r="CH345">
        <v>0</v>
      </c>
      <c r="CI345">
        <v>0</v>
      </c>
      <c r="CJ345">
        <v>0</v>
      </c>
      <c r="CK345">
        <v>0</v>
      </c>
      <c r="CL345">
        <v>0</v>
      </c>
      <c r="CM345">
        <v>2.7360000000000002</v>
      </c>
      <c r="CN345">
        <v>0</v>
      </c>
      <c r="CO345">
        <v>0</v>
      </c>
      <c r="CP345">
        <v>0</v>
      </c>
      <c r="CQ345">
        <v>0</v>
      </c>
      <c r="CR345">
        <v>0</v>
      </c>
      <c r="CS345">
        <v>0</v>
      </c>
      <c r="CT345">
        <v>0</v>
      </c>
      <c r="CU345">
        <v>0</v>
      </c>
      <c r="CV345">
        <v>0</v>
      </c>
      <c r="CW345">
        <v>0</v>
      </c>
      <c r="CX345">
        <v>15631</v>
      </c>
      <c r="CY345" s="2043">
        <v>0</v>
      </c>
      <c r="CZ345" s="2043">
        <v>0</v>
      </c>
      <c r="DA345" s="2043">
        <v>0</v>
      </c>
      <c r="DB345" s="2043">
        <v>0</v>
      </c>
      <c r="DC345" s="2043">
        <v>0</v>
      </c>
      <c r="DI345" t="s">
        <v>5791</v>
      </c>
      <c r="DJ345" t="s">
        <v>7989</v>
      </c>
      <c r="DK345" s="2042">
        <f t="shared" si="7"/>
        <v>-894</v>
      </c>
    </row>
    <row r="346" spans="1:115">
      <c r="A346" t="s">
        <v>5791</v>
      </c>
      <c r="B346" t="s">
        <v>870</v>
      </c>
      <c r="C346">
        <v>172.261</v>
      </c>
      <c r="D346">
        <v>162.97900000000001</v>
      </c>
      <c r="E346">
        <v>6.351</v>
      </c>
      <c r="F346">
        <v>0</v>
      </c>
      <c r="G346" s="2043">
        <v>58281515</v>
      </c>
      <c r="H346">
        <v>0</v>
      </c>
      <c r="I346" s="2043">
        <v>0</v>
      </c>
      <c r="J346">
        <v>2</v>
      </c>
      <c r="K346">
        <v>5</v>
      </c>
      <c r="L346">
        <v>0</v>
      </c>
      <c r="M346">
        <v>0</v>
      </c>
      <c r="N346">
        <v>0</v>
      </c>
      <c r="O346">
        <v>0</v>
      </c>
      <c r="P346">
        <v>0</v>
      </c>
      <c r="Q346">
        <v>0</v>
      </c>
      <c r="R346" s="2043">
        <v>502941</v>
      </c>
      <c r="S346">
        <v>44376</v>
      </c>
      <c r="T346">
        <v>32338</v>
      </c>
      <c r="U346">
        <v>0.08</v>
      </c>
      <c r="V346">
        <v>0</v>
      </c>
      <c r="W346">
        <v>0</v>
      </c>
      <c r="X346">
        <v>0</v>
      </c>
      <c r="Y346">
        <v>0</v>
      </c>
      <c r="Z346">
        <v>0</v>
      </c>
      <c r="AA346">
        <v>0</v>
      </c>
      <c r="AB346">
        <v>162.97900000000001</v>
      </c>
      <c r="AC346" s="2043">
        <v>56558156</v>
      </c>
      <c r="AD346">
        <v>0</v>
      </c>
      <c r="AE346" s="2043">
        <v>579655</v>
      </c>
      <c r="AF346">
        <v>1.0450000000000002</v>
      </c>
      <c r="AG346">
        <v>0</v>
      </c>
      <c r="AH346">
        <v>0</v>
      </c>
      <c r="AI346">
        <v>0</v>
      </c>
      <c r="AJ346">
        <v>28.85</v>
      </c>
      <c r="AK346">
        <v>1085</v>
      </c>
      <c r="AL346">
        <v>0</v>
      </c>
      <c r="AM346">
        <v>0</v>
      </c>
      <c r="AN346">
        <v>7.9620000000000006</v>
      </c>
      <c r="AO346">
        <v>0</v>
      </c>
      <c r="AP346">
        <v>0</v>
      </c>
      <c r="AQ346">
        <v>0</v>
      </c>
      <c r="AR346">
        <v>6.6630000000000003</v>
      </c>
      <c r="AS346">
        <v>0</v>
      </c>
      <c r="AT346">
        <v>0</v>
      </c>
      <c r="AU346">
        <v>0.222</v>
      </c>
      <c r="AV346">
        <v>0</v>
      </c>
      <c r="AW346">
        <v>6.8850000000000007</v>
      </c>
      <c r="AX346">
        <v>0</v>
      </c>
      <c r="AY346">
        <v>21.099</v>
      </c>
      <c r="AZ346">
        <v>0</v>
      </c>
      <c r="BA346">
        <v>2012600</v>
      </c>
      <c r="BB346">
        <v>579655</v>
      </c>
      <c r="BC346">
        <v>0</v>
      </c>
      <c r="BD346">
        <v>14889</v>
      </c>
      <c r="BE346">
        <v>0</v>
      </c>
      <c r="BF346">
        <v>14889</v>
      </c>
      <c r="BG346">
        <v>14889</v>
      </c>
      <c r="BH346">
        <v>0</v>
      </c>
      <c r="BI346">
        <v>0</v>
      </c>
      <c r="BJ346">
        <v>0</v>
      </c>
      <c r="BK346">
        <v>0</v>
      </c>
      <c r="BL346">
        <v>58281515</v>
      </c>
      <c r="BM346">
        <v>0</v>
      </c>
      <c r="BN346">
        <v>594</v>
      </c>
      <c r="BO346">
        <v>567</v>
      </c>
      <c r="BP346">
        <v>0</v>
      </c>
      <c r="BQ346">
        <v>0</v>
      </c>
      <c r="BR346">
        <v>0.90670000000000006</v>
      </c>
      <c r="BS346">
        <v>0.90670000000000006</v>
      </c>
      <c r="BT346">
        <v>0</v>
      </c>
      <c r="BU346">
        <v>0</v>
      </c>
      <c r="BV346">
        <v>7</v>
      </c>
      <c r="BW346">
        <v>38</v>
      </c>
      <c r="BX346">
        <v>73</v>
      </c>
      <c r="BY346">
        <v>0</v>
      </c>
      <c r="BZ346">
        <v>0</v>
      </c>
      <c r="CA346">
        <v>118</v>
      </c>
      <c r="CB346">
        <v>0</v>
      </c>
      <c r="CC346">
        <v>0</v>
      </c>
      <c r="CD346">
        <v>0</v>
      </c>
      <c r="CE346">
        <v>8</v>
      </c>
      <c r="CF346">
        <v>46.632000000000005</v>
      </c>
      <c r="CG346">
        <v>0</v>
      </c>
      <c r="CH346">
        <v>0</v>
      </c>
      <c r="CI346">
        <v>3</v>
      </c>
      <c r="CJ346">
        <v>3</v>
      </c>
      <c r="CK346">
        <v>0</v>
      </c>
      <c r="CL346">
        <v>0</v>
      </c>
      <c r="CM346">
        <v>6.351</v>
      </c>
      <c r="CN346">
        <v>0</v>
      </c>
      <c r="CO346">
        <v>0</v>
      </c>
      <c r="CP346">
        <v>0</v>
      </c>
      <c r="CQ346">
        <v>0</v>
      </c>
      <c r="CR346">
        <v>0</v>
      </c>
      <c r="CS346">
        <v>0</v>
      </c>
      <c r="CT346">
        <v>0</v>
      </c>
      <c r="CU346">
        <v>1.6400000000000001</v>
      </c>
      <c r="CV346">
        <v>17.112000000000002</v>
      </c>
      <c r="CW346">
        <v>5.1390000000000002</v>
      </c>
      <c r="CX346">
        <v>0</v>
      </c>
      <c r="CY346" s="2043">
        <v>0</v>
      </c>
      <c r="CZ346" s="2043">
        <v>0</v>
      </c>
      <c r="DA346" s="2043">
        <v>0</v>
      </c>
      <c r="DB346" s="2043">
        <v>0</v>
      </c>
      <c r="DC346" s="2043">
        <v>0</v>
      </c>
      <c r="DI346" t="s">
        <v>7989</v>
      </c>
      <c r="DJ346" t="s">
        <v>5791</v>
      </c>
      <c r="DK346" s="2042">
        <f t="shared" si="7"/>
        <v>894</v>
      </c>
    </row>
    <row r="347" spans="1:115">
      <c r="A347" t="s">
        <v>7990</v>
      </c>
      <c r="B347" t="s">
        <v>11305</v>
      </c>
      <c r="C347">
        <v>722.47199999999998</v>
      </c>
      <c r="D347">
        <v>790.62400000000002</v>
      </c>
      <c r="E347">
        <v>26.119</v>
      </c>
      <c r="F347">
        <v>0</v>
      </c>
      <c r="G347" s="2043">
        <v>0</v>
      </c>
      <c r="H347">
        <v>0</v>
      </c>
      <c r="I347" s="2043">
        <v>0</v>
      </c>
      <c r="J347">
        <v>36.124000000000002</v>
      </c>
      <c r="K347">
        <v>99</v>
      </c>
      <c r="L347">
        <v>0</v>
      </c>
      <c r="M347">
        <v>0</v>
      </c>
      <c r="N347">
        <v>0</v>
      </c>
      <c r="O347">
        <v>0</v>
      </c>
      <c r="P347">
        <v>0</v>
      </c>
      <c r="Q347">
        <v>0</v>
      </c>
      <c r="R347" s="2043">
        <v>0</v>
      </c>
      <c r="S347">
        <v>0</v>
      </c>
      <c r="T347">
        <v>0</v>
      </c>
      <c r="U347">
        <v>0</v>
      </c>
      <c r="V347">
        <v>0</v>
      </c>
      <c r="W347">
        <v>0</v>
      </c>
      <c r="X347">
        <v>0</v>
      </c>
      <c r="Y347">
        <v>127720</v>
      </c>
      <c r="Z347">
        <v>0</v>
      </c>
      <c r="AA347">
        <v>0</v>
      </c>
      <c r="AB347">
        <v>782.92400000000009</v>
      </c>
      <c r="AC347" s="2043">
        <v>0</v>
      </c>
      <c r="AD347">
        <v>0</v>
      </c>
      <c r="AE347" s="2043">
        <v>0</v>
      </c>
      <c r="AF347">
        <v>0</v>
      </c>
      <c r="AG347">
        <v>0</v>
      </c>
      <c r="AH347">
        <v>0</v>
      </c>
      <c r="AI347">
        <v>0</v>
      </c>
      <c r="AJ347">
        <v>45.338000000000001</v>
      </c>
      <c r="AK347">
        <v>714</v>
      </c>
      <c r="AL347">
        <v>0</v>
      </c>
      <c r="AM347">
        <v>0</v>
      </c>
      <c r="AN347">
        <v>22.504000000000001</v>
      </c>
      <c r="AO347">
        <v>0</v>
      </c>
      <c r="AP347">
        <v>0</v>
      </c>
      <c r="AQ347">
        <v>0</v>
      </c>
      <c r="AR347">
        <v>0</v>
      </c>
      <c r="AS347">
        <v>0</v>
      </c>
      <c r="AT347">
        <v>0</v>
      </c>
      <c r="AU347">
        <v>1.133</v>
      </c>
      <c r="AV347">
        <v>0</v>
      </c>
      <c r="AW347">
        <v>1.133</v>
      </c>
      <c r="AX347">
        <v>0</v>
      </c>
      <c r="AY347">
        <v>5.665</v>
      </c>
      <c r="AZ347">
        <v>0</v>
      </c>
      <c r="BA347">
        <v>6853744</v>
      </c>
      <c r="BB347">
        <v>0</v>
      </c>
      <c r="BC347">
        <v>0</v>
      </c>
      <c r="BD347">
        <v>0</v>
      </c>
      <c r="BE347">
        <v>0</v>
      </c>
      <c r="BF347">
        <v>0</v>
      </c>
      <c r="BG347">
        <v>0</v>
      </c>
      <c r="BH347">
        <v>0</v>
      </c>
      <c r="BI347">
        <v>0</v>
      </c>
      <c r="BJ347">
        <v>0</v>
      </c>
      <c r="BK347">
        <v>0</v>
      </c>
      <c r="BL347">
        <v>0</v>
      </c>
      <c r="BM347">
        <v>0</v>
      </c>
      <c r="BN347">
        <v>2286</v>
      </c>
      <c r="BO347">
        <v>1712</v>
      </c>
      <c r="BP347">
        <v>0</v>
      </c>
      <c r="BQ347">
        <v>0</v>
      </c>
      <c r="BR347">
        <v>0</v>
      </c>
      <c r="BS347">
        <v>0</v>
      </c>
      <c r="BT347">
        <v>0</v>
      </c>
      <c r="BU347">
        <v>0</v>
      </c>
      <c r="BV347">
        <v>71</v>
      </c>
      <c r="BW347">
        <v>30</v>
      </c>
      <c r="BX347">
        <v>38</v>
      </c>
      <c r="BY347">
        <v>37</v>
      </c>
      <c r="BZ347">
        <v>11</v>
      </c>
      <c r="CA347">
        <v>187</v>
      </c>
      <c r="CB347">
        <v>0</v>
      </c>
      <c r="CC347">
        <v>0</v>
      </c>
      <c r="CD347">
        <v>0</v>
      </c>
      <c r="CE347">
        <v>37</v>
      </c>
      <c r="CF347">
        <v>60.831000000000003</v>
      </c>
      <c r="CG347">
        <v>0</v>
      </c>
      <c r="CH347">
        <v>0</v>
      </c>
      <c r="CI347">
        <v>0</v>
      </c>
      <c r="CJ347">
        <v>0</v>
      </c>
      <c r="CK347">
        <v>0</v>
      </c>
      <c r="CL347">
        <v>0</v>
      </c>
      <c r="CM347">
        <v>26.119</v>
      </c>
      <c r="CN347">
        <v>0</v>
      </c>
      <c r="CO347">
        <v>0</v>
      </c>
      <c r="CP347">
        <v>0</v>
      </c>
      <c r="CQ347">
        <v>0</v>
      </c>
      <c r="CR347">
        <v>0</v>
      </c>
      <c r="CS347">
        <v>0</v>
      </c>
      <c r="CT347">
        <v>0</v>
      </c>
      <c r="CU347">
        <v>23.505000000000003</v>
      </c>
      <c r="CV347">
        <v>33.972000000000001</v>
      </c>
      <c r="CW347">
        <v>25.163</v>
      </c>
      <c r="CX347">
        <v>0</v>
      </c>
      <c r="CY347" s="2043">
        <v>0</v>
      </c>
      <c r="CZ347" s="2043">
        <v>0</v>
      </c>
      <c r="DA347" s="2043">
        <v>0</v>
      </c>
      <c r="DB347" s="2043">
        <v>0</v>
      </c>
      <c r="DC347" s="2043">
        <v>0</v>
      </c>
      <c r="DI347" t="s">
        <v>7990</v>
      </c>
      <c r="DJ347" t="s">
        <v>7990</v>
      </c>
      <c r="DK347" s="2042">
        <f t="shared" si="7"/>
        <v>0</v>
      </c>
    </row>
    <row r="348" spans="1:115">
      <c r="A348" t="s">
        <v>5005</v>
      </c>
      <c r="B348" t="s">
        <v>2013</v>
      </c>
      <c r="C348">
        <v>28572.357</v>
      </c>
      <c r="D348">
        <v>31091.392</v>
      </c>
      <c r="E348">
        <v>4208.7910000000002</v>
      </c>
      <c r="F348">
        <v>0</v>
      </c>
      <c r="G348" s="2043">
        <v>15245722555</v>
      </c>
      <c r="H348">
        <v>0</v>
      </c>
      <c r="I348" s="2043">
        <v>11381927</v>
      </c>
      <c r="J348">
        <v>1428.6180000000002</v>
      </c>
      <c r="K348">
        <v>3906</v>
      </c>
      <c r="L348">
        <v>0</v>
      </c>
      <c r="M348">
        <v>0</v>
      </c>
      <c r="N348">
        <v>0</v>
      </c>
      <c r="O348">
        <v>0</v>
      </c>
      <c r="P348">
        <v>0</v>
      </c>
      <c r="Q348">
        <v>0</v>
      </c>
      <c r="R348" s="2043">
        <v>129956030</v>
      </c>
      <c r="S348">
        <v>11382179</v>
      </c>
      <c r="T348">
        <v>8294763</v>
      </c>
      <c r="U348">
        <v>0.08</v>
      </c>
      <c r="V348">
        <v>0</v>
      </c>
      <c r="W348">
        <v>0</v>
      </c>
      <c r="X348">
        <v>0</v>
      </c>
      <c r="Y348">
        <v>1360361</v>
      </c>
      <c r="Z348">
        <v>8.9440000000000008</v>
      </c>
      <c r="AA348">
        <v>4.9390000000000001</v>
      </c>
      <c r="AB348">
        <v>28669.262999999999</v>
      </c>
      <c r="AC348" s="2043">
        <v>14488845974</v>
      </c>
      <c r="AD348">
        <v>17958236</v>
      </c>
      <c r="AE348" s="2043">
        <v>149632972</v>
      </c>
      <c r="AF348">
        <v>1.0517000000000001</v>
      </c>
      <c r="AG348">
        <v>0</v>
      </c>
      <c r="AH348">
        <v>0</v>
      </c>
      <c r="AI348">
        <v>0</v>
      </c>
      <c r="AJ348">
        <v>4895.4630000000006</v>
      </c>
      <c r="AK348">
        <v>69918</v>
      </c>
      <c r="AL348">
        <v>2.13</v>
      </c>
      <c r="AM348">
        <v>2.2090000000000001</v>
      </c>
      <c r="AN348">
        <v>1022.476</v>
      </c>
      <c r="AO348">
        <v>0</v>
      </c>
      <c r="AP348">
        <v>0</v>
      </c>
      <c r="AQ348">
        <v>0</v>
      </c>
      <c r="AR348">
        <v>287.23700000000002</v>
      </c>
      <c r="AS348">
        <v>0</v>
      </c>
      <c r="AT348">
        <v>233.07</v>
      </c>
      <c r="AU348">
        <v>54.956000000000003</v>
      </c>
      <c r="AV348">
        <v>0</v>
      </c>
      <c r="AW348">
        <v>604.98900000000003</v>
      </c>
      <c r="AX348">
        <v>25.387</v>
      </c>
      <c r="AY348">
        <v>1911.3680000000002</v>
      </c>
      <c r="AZ348">
        <v>0</v>
      </c>
      <c r="BA348">
        <v>123171123</v>
      </c>
      <c r="BB348">
        <v>167591208</v>
      </c>
      <c r="BC348">
        <v>0</v>
      </c>
      <c r="BD348">
        <v>1258349</v>
      </c>
      <c r="BE348">
        <v>461739</v>
      </c>
      <c r="BF348">
        <v>2094550</v>
      </c>
      <c r="BG348">
        <v>1258349</v>
      </c>
      <c r="BH348">
        <v>374462</v>
      </c>
      <c r="BI348">
        <v>-5937</v>
      </c>
      <c r="BJ348">
        <v>-19147</v>
      </c>
      <c r="BK348">
        <v>0</v>
      </c>
      <c r="BL348">
        <v>15245722555</v>
      </c>
      <c r="BM348">
        <v>1385445</v>
      </c>
      <c r="BN348">
        <v>103032</v>
      </c>
      <c r="BO348">
        <v>47187</v>
      </c>
      <c r="BP348">
        <v>939762</v>
      </c>
      <c r="BQ348">
        <v>0</v>
      </c>
      <c r="BR348">
        <v>0.91339999999999999</v>
      </c>
      <c r="BS348">
        <v>0.91339999999999999</v>
      </c>
      <c r="BT348">
        <v>0</v>
      </c>
      <c r="BU348">
        <v>0</v>
      </c>
      <c r="BV348">
        <v>3325</v>
      </c>
      <c r="BW348">
        <v>4481</v>
      </c>
      <c r="BX348">
        <v>5490</v>
      </c>
      <c r="BY348">
        <v>4194</v>
      </c>
      <c r="BZ348">
        <v>2217</v>
      </c>
      <c r="CA348">
        <v>19707</v>
      </c>
      <c r="CB348">
        <v>0</v>
      </c>
      <c r="CC348">
        <v>2043.9070000000002</v>
      </c>
      <c r="CD348">
        <v>195.42400000000001</v>
      </c>
      <c r="CE348">
        <v>1363</v>
      </c>
      <c r="CF348">
        <v>8152.9050000000007</v>
      </c>
      <c r="CG348">
        <v>12.769</v>
      </c>
      <c r="CH348">
        <v>8.3529999999999998</v>
      </c>
      <c r="CI348">
        <v>1</v>
      </c>
      <c r="CJ348">
        <v>51</v>
      </c>
      <c r="CK348">
        <v>1</v>
      </c>
      <c r="CL348">
        <v>21.122</v>
      </c>
      <c r="CM348">
        <v>4208.7910000000002</v>
      </c>
      <c r="CN348">
        <v>104614</v>
      </c>
      <c r="CO348">
        <v>464148</v>
      </c>
      <c r="CP348">
        <v>309500</v>
      </c>
      <c r="CQ348">
        <v>61500</v>
      </c>
      <c r="CR348">
        <v>0</v>
      </c>
      <c r="CS348">
        <v>0</v>
      </c>
      <c r="CT348">
        <v>425.029</v>
      </c>
      <c r="CU348">
        <v>143.047</v>
      </c>
      <c r="CV348">
        <v>965.05400000000009</v>
      </c>
      <c r="CW348">
        <v>564.54300000000001</v>
      </c>
      <c r="CX348">
        <v>0</v>
      </c>
      <c r="CY348" s="2043">
        <v>0</v>
      </c>
      <c r="CZ348" s="2043">
        <v>0</v>
      </c>
      <c r="DA348" s="2043">
        <v>0</v>
      </c>
      <c r="DB348" s="2043">
        <v>0</v>
      </c>
      <c r="DC348" s="2043">
        <v>0</v>
      </c>
      <c r="DI348" t="s">
        <v>5005</v>
      </c>
      <c r="DJ348" t="s">
        <v>5005</v>
      </c>
      <c r="DK348" s="2042">
        <f t="shared" si="7"/>
        <v>0</v>
      </c>
    </row>
    <row r="349" spans="1:115">
      <c r="A349" t="s">
        <v>5006</v>
      </c>
      <c r="B349" t="s">
        <v>2438</v>
      </c>
      <c r="C349">
        <v>234.24900000000002</v>
      </c>
      <c r="D349">
        <v>268.839</v>
      </c>
      <c r="E349">
        <v>14.414000000000001</v>
      </c>
      <c r="F349">
        <v>0</v>
      </c>
      <c r="G349" s="2043">
        <v>632202675</v>
      </c>
      <c r="H349">
        <v>0</v>
      </c>
      <c r="I349" s="2043">
        <v>286447</v>
      </c>
      <c r="J349">
        <v>8</v>
      </c>
      <c r="K349">
        <v>22</v>
      </c>
      <c r="L349">
        <v>0</v>
      </c>
      <c r="M349">
        <v>0</v>
      </c>
      <c r="N349">
        <v>0</v>
      </c>
      <c r="O349">
        <v>0</v>
      </c>
      <c r="P349">
        <v>0</v>
      </c>
      <c r="Q349">
        <v>0</v>
      </c>
      <c r="R349" s="2043">
        <v>5057420</v>
      </c>
      <c r="S349">
        <v>306659</v>
      </c>
      <c r="T349">
        <v>0</v>
      </c>
      <c r="U349">
        <v>0.05</v>
      </c>
      <c r="V349">
        <v>0</v>
      </c>
      <c r="W349">
        <v>2161314</v>
      </c>
      <c r="X349">
        <v>0</v>
      </c>
      <c r="Y349">
        <v>703794</v>
      </c>
      <c r="Z349">
        <v>0</v>
      </c>
      <c r="AA349">
        <v>0</v>
      </c>
      <c r="AB349">
        <v>246.43900000000002</v>
      </c>
      <c r="AC349" s="2043">
        <v>328684739</v>
      </c>
      <c r="AD349">
        <v>312533</v>
      </c>
      <c r="AE349" s="2043">
        <v>5364079</v>
      </c>
      <c r="AF349">
        <v>0.87460000000000004</v>
      </c>
      <c r="AG349">
        <v>0</v>
      </c>
      <c r="AH349">
        <v>2161314</v>
      </c>
      <c r="AI349">
        <v>0</v>
      </c>
      <c r="AJ349">
        <v>43.25</v>
      </c>
      <c r="AK349">
        <v>1105</v>
      </c>
      <c r="AL349">
        <v>0</v>
      </c>
      <c r="AM349">
        <v>0</v>
      </c>
      <c r="AN349">
        <v>2.6160000000000001</v>
      </c>
      <c r="AO349">
        <v>0</v>
      </c>
      <c r="AP349">
        <v>0</v>
      </c>
      <c r="AQ349">
        <v>0</v>
      </c>
      <c r="AR349">
        <v>8.2219999999999995</v>
      </c>
      <c r="AS349">
        <v>0</v>
      </c>
      <c r="AT349">
        <v>0.39200000000000002</v>
      </c>
      <c r="AU349">
        <v>0.496</v>
      </c>
      <c r="AV349">
        <v>0</v>
      </c>
      <c r="AW349">
        <v>9.11</v>
      </c>
      <c r="AX349">
        <v>0</v>
      </c>
      <c r="AY349">
        <v>28.322000000000003</v>
      </c>
      <c r="AZ349">
        <v>0</v>
      </c>
      <c r="BA349">
        <v>842566</v>
      </c>
      <c r="BB349">
        <v>5676612</v>
      </c>
      <c r="BC349">
        <v>0</v>
      </c>
      <c r="BD349">
        <v>63206</v>
      </c>
      <c r="BE349">
        <v>0</v>
      </c>
      <c r="BF349">
        <v>63206</v>
      </c>
      <c r="BG349">
        <v>63206</v>
      </c>
      <c r="BH349">
        <v>0</v>
      </c>
      <c r="BI349">
        <v>0</v>
      </c>
      <c r="BJ349">
        <v>0</v>
      </c>
      <c r="BK349">
        <v>0</v>
      </c>
      <c r="BL349">
        <v>632202675</v>
      </c>
      <c r="BM349">
        <v>0</v>
      </c>
      <c r="BN349">
        <v>828</v>
      </c>
      <c r="BO349">
        <v>674</v>
      </c>
      <c r="BP349">
        <v>7500</v>
      </c>
      <c r="BQ349">
        <v>0</v>
      </c>
      <c r="BR349">
        <v>0.8246</v>
      </c>
      <c r="BS349">
        <v>0.8246</v>
      </c>
      <c r="BT349">
        <v>0</v>
      </c>
      <c r="BU349">
        <v>0</v>
      </c>
      <c r="BV349">
        <v>10</v>
      </c>
      <c r="BW349">
        <v>0</v>
      </c>
      <c r="BX349">
        <v>164</v>
      </c>
      <c r="BY349">
        <v>0</v>
      </c>
      <c r="BZ349">
        <v>0</v>
      </c>
      <c r="CA349">
        <v>174</v>
      </c>
      <c r="CB349">
        <v>0</v>
      </c>
      <c r="CC349">
        <v>0</v>
      </c>
      <c r="CD349">
        <v>0</v>
      </c>
      <c r="CE349">
        <v>21</v>
      </c>
      <c r="CF349">
        <v>60.32</v>
      </c>
      <c r="CG349">
        <v>0</v>
      </c>
      <c r="CH349">
        <v>0</v>
      </c>
      <c r="CI349">
        <v>0</v>
      </c>
      <c r="CJ349">
        <v>0</v>
      </c>
      <c r="CK349">
        <v>0</v>
      </c>
      <c r="CL349">
        <v>0</v>
      </c>
      <c r="CM349">
        <v>14.414000000000001</v>
      </c>
      <c r="CN349">
        <v>0</v>
      </c>
      <c r="CO349">
        <v>0</v>
      </c>
      <c r="CP349">
        <v>7500</v>
      </c>
      <c r="CQ349">
        <v>0</v>
      </c>
      <c r="CR349">
        <v>0</v>
      </c>
      <c r="CS349">
        <v>0</v>
      </c>
      <c r="CT349">
        <v>0</v>
      </c>
      <c r="CU349">
        <v>0</v>
      </c>
      <c r="CV349">
        <v>10.59</v>
      </c>
      <c r="CW349">
        <v>6.7450000000000001</v>
      </c>
      <c r="CX349">
        <v>0</v>
      </c>
      <c r="CY349" s="2043">
        <v>703794</v>
      </c>
      <c r="CZ349" s="2043">
        <v>0</v>
      </c>
      <c r="DA349" s="2043">
        <v>0</v>
      </c>
      <c r="DB349" s="2043">
        <v>0</v>
      </c>
      <c r="DC349" s="2043">
        <v>225000</v>
      </c>
      <c r="DI349" t="s">
        <v>5006</v>
      </c>
      <c r="DJ349" t="s">
        <v>5006</v>
      </c>
      <c r="DK349" s="2042">
        <f t="shared" si="7"/>
        <v>0</v>
      </c>
    </row>
    <row r="350" spans="1:115">
      <c r="A350" t="s">
        <v>5792</v>
      </c>
      <c r="B350" t="s">
        <v>2257</v>
      </c>
      <c r="C350">
        <v>230.24900000000002</v>
      </c>
      <c r="D350">
        <v>262.97500000000002</v>
      </c>
      <c r="E350">
        <v>0</v>
      </c>
      <c r="F350">
        <v>0</v>
      </c>
      <c r="G350" s="2043">
        <v>283954196</v>
      </c>
      <c r="H350">
        <v>0</v>
      </c>
      <c r="I350" s="2043">
        <v>0</v>
      </c>
      <c r="J350">
        <v>11.512</v>
      </c>
      <c r="K350">
        <v>31</v>
      </c>
      <c r="L350">
        <v>0</v>
      </c>
      <c r="M350">
        <v>0</v>
      </c>
      <c r="N350">
        <v>0</v>
      </c>
      <c r="O350">
        <v>0</v>
      </c>
      <c r="P350">
        <v>0</v>
      </c>
      <c r="Q350">
        <v>0</v>
      </c>
      <c r="R350" s="2043">
        <v>2355173</v>
      </c>
      <c r="S350">
        <v>219494</v>
      </c>
      <c r="T350">
        <v>159957</v>
      </c>
      <c r="U350">
        <v>0.08</v>
      </c>
      <c r="V350">
        <v>0</v>
      </c>
      <c r="W350">
        <v>0</v>
      </c>
      <c r="X350">
        <v>27342</v>
      </c>
      <c r="Y350">
        <v>0</v>
      </c>
      <c r="Z350">
        <v>0</v>
      </c>
      <c r="AA350">
        <v>0</v>
      </c>
      <c r="AB350">
        <v>243.36600000000001</v>
      </c>
      <c r="AC350" s="2043">
        <v>252894915</v>
      </c>
      <c r="AD350">
        <v>0</v>
      </c>
      <c r="AE350" s="2043">
        <v>2734624</v>
      </c>
      <c r="AF350">
        <v>0.99670000000000003</v>
      </c>
      <c r="AG350">
        <v>0</v>
      </c>
      <c r="AH350">
        <v>27342</v>
      </c>
      <c r="AI350">
        <v>0</v>
      </c>
      <c r="AJ350">
        <v>42.213000000000001</v>
      </c>
      <c r="AK350">
        <v>1539</v>
      </c>
      <c r="AL350">
        <v>0</v>
      </c>
      <c r="AM350">
        <v>0</v>
      </c>
      <c r="AN350">
        <v>11.591000000000001</v>
      </c>
      <c r="AO350">
        <v>0</v>
      </c>
      <c r="AP350">
        <v>0</v>
      </c>
      <c r="AQ350">
        <v>0</v>
      </c>
      <c r="AR350">
        <v>7.9410000000000007</v>
      </c>
      <c r="AS350">
        <v>0</v>
      </c>
      <c r="AT350">
        <v>1.3980000000000001</v>
      </c>
      <c r="AU350">
        <v>0.44700000000000001</v>
      </c>
      <c r="AV350">
        <v>0</v>
      </c>
      <c r="AW350">
        <v>9.7859999999999996</v>
      </c>
      <c r="AX350">
        <v>0</v>
      </c>
      <c r="AY350">
        <v>30.252000000000002</v>
      </c>
      <c r="AZ350">
        <v>0</v>
      </c>
      <c r="BA350">
        <v>650882</v>
      </c>
      <c r="BB350">
        <v>2734624</v>
      </c>
      <c r="BC350">
        <v>0</v>
      </c>
      <c r="BD350">
        <v>35541</v>
      </c>
      <c r="BE350">
        <v>0</v>
      </c>
      <c r="BF350">
        <v>35541</v>
      </c>
      <c r="BG350">
        <v>35541</v>
      </c>
      <c r="BH350">
        <v>0</v>
      </c>
      <c r="BI350">
        <v>0</v>
      </c>
      <c r="BJ350">
        <v>0</v>
      </c>
      <c r="BK350">
        <v>0</v>
      </c>
      <c r="BL350">
        <v>283954196</v>
      </c>
      <c r="BM350">
        <v>0</v>
      </c>
      <c r="BN350">
        <v>981</v>
      </c>
      <c r="BO350">
        <v>653</v>
      </c>
      <c r="BP350">
        <v>0</v>
      </c>
      <c r="BQ350">
        <v>0</v>
      </c>
      <c r="BR350">
        <v>0.85840000000000005</v>
      </c>
      <c r="BS350">
        <v>0.85840000000000005</v>
      </c>
      <c r="BT350">
        <v>0</v>
      </c>
      <c r="BU350">
        <v>0</v>
      </c>
      <c r="BV350">
        <v>22</v>
      </c>
      <c r="BW350">
        <v>0</v>
      </c>
      <c r="BX350">
        <v>64</v>
      </c>
      <c r="BY350">
        <v>81</v>
      </c>
      <c r="BZ350">
        <v>0</v>
      </c>
      <c r="CA350">
        <v>167</v>
      </c>
      <c r="CB350">
        <v>0</v>
      </c>
      <c r="CC350">
        <v>0</v>
      </c>
      <c r="CD350">
        <v>0</v>
      </c>
      <c r="CE350">
        <v>0</v>
      </c>
      <c r="CF350">
        <v>45.757000000000005</v>
      </c>
      <c r="CG350">
        <v>0</v>
      </c>
      <c r="CH350">
        <v>0</v>
      </c>
      <c r="CI350">
        <v>5</v>
      </c>
      <c r="CJ350">
        <v>5</v>
      </c>
      <c r="CK350">
        <v>0</v>
      </c>
      <c r="CL350">
        <v>0</v>
      </c>
      <c r="CM350">
        <v>0</v>
      </c>
      <c r="CN350">
        <v>0</v>
      </c>
      <c r="CO350">
        <v>0</v>
      </c>
      <c r="CP350">
        <v>0</v>
      </c>
      <c r="CQ350">
        <v>0</v>
      </c>
      <c r="CR350">
        <v>0</v>
      </c>
      <c r="CS350">
        <v>0</v>
      </c>
      <c r="CT350">
        <v>0</v>
      </c>
      <c r="CU350">
        <v>9.9890000000000008</v>
      </c>
      <c r="CV350">
        <v>7.0060000000000002</v>
      </c>
      <c r="CW350">
        <v>2.5609999999999999</v>
      </c>
      <c r="CX350">
        <v>0</v>
      </c>
      <c r="CY350" s="2043">
        <v>0</v>
      </c>
      <c r="CZ350" s="2043">
        <v>0</v>
      </c>
      <c r="DA350" s="2043">
        <v>0</v>
      </c>
      <c r="DB350" s="2043">
        <v>0</v>
      </c>
      <c r="DC350" s="2043">
        <v>130000</v>
      </c>
      <c r="DI350" t="s">
        <v>5792</v>
      </c>
      <c r="DJ350" t="s">
        <v>5792</v>
      </c>
      <c r="DK350" s="2042">
        <f t="shared" si="7"/>
        <v>0</v>
      </c>
    </row>
    <row r="351" spans="1:115">
      <c r="A351" t="s">
        <v>7991</v>
      </c>
      <c r="B351" t="s">
        <v>11306</v>
      </c>
      <c r="C351">
        <v>2306.1060000000002</v>
      </c>
      <c r="D351">
        <v>2415.4259999999999</v>
      </c>
      <c r="E351">
        <v>788.09500000000003</v>
      </c>
      <c r="F351">
        <v>0</v>
      </c>
      <c r="G351" s="2043">
        <v>0</v>
      </c>
      <c r="H351">
        <v>0</v>
      </c>
      <c r="I351" s="2043">
        <v>0</v>
      </c>
      <c r="J351">
        <v>74</v>
      </c>
      <c r="K351">
        <v>202</v>
      </c>
      <c r="L351">
        <v>0</v>
      </c>
      <c r="M351">
        <v>0</v>
      </c>
      <c r="N351">
        <v>0</v>
      </c>
      <c r="O351">
        <v>0</v>
      </c>
      <c r="P351">
        <v>0</v>
      </c>
      <c r="Q351">
        <v>0</v>
      </c>
      <c r="R351" s="2043">
        <v>0</v>
      </c>
      <c r="S351">
        <v>0</v>
      </c>
      <c r="T351">
        <v>0</v>
      </c>
      <c r="U351">
        <v>0</v>
      </c>
      <c r="V351">
        <v>0</v>
      </c>
      <c r="W351">
        <v>0</v>
      </c>
      <c r="X351">
        <v>0</v>
      </c>
      <c r="Y351">
        <v>407679</v>
      </c>
      <c r="Z351">
        <v>0</v>
      </c>
      <c r="AA351">
        <v>0</v>
      </c>
      <c r="AB351">
        <v>2460.123</v>
      </c>
      <c r="AC351" s="2043">
        <v>0</v>
      </c>
      <c r="AD351">
        <v>0</v>
      </c>
      <c r="AE351" s="2043">
        <v>0</v>
      </c>
      <c r="AF351">
        <v>0</v>
      </c>
      <c r="AG351">
        <v>0</v>
      </c>
      <c r="AH351">
        <v>0</v>
      </c>
      <c r="AI351">
        <v>0</v>
      </c>
      <c r="AJ351">
        <v>667.625</v>
      </c>
      <c r="AK351">
        <v>6577</v>
      </c>
      <c r="AL351">
        <v>0</v>
      </c>
      <c r="AM351">
        <v>0</v>
      </c>
      <c r="AN351">
        <v>43.405999999999999</v>
      </c>
      <c r="AO351">
        <v>0</v>
      </c>
      <c r="AP351">
        <v>0</v>
      </c>
      <c r="AQ351">
        <v>0</v>
      </c>
      <c r="AR351">
        <v>73.067000000000007</v>
      </c>
      <c r="AS351">
        <v>0</v>
      </c>
      <c r="AT351">
        <v>0.86099999999999999</v>
      </c>
      <c r="AU351">
        <v>3.7310000000000003</v>
      </c>
      <c r="AV351">
        <v>0</v>
      </c>
      <c r="AW351">
        <v>77.686000000000007</v>
      </c>
      <c r="AX351">
        <v>2.7E-2</v>
      </c>
      <c r="AY351">
        <v>240.501</v>
      </c>
      <c r="AZ351">
        <v>0</v>
      </c>
      <c r="BA351">
        <v>27220398</v>
      </c>
      <c r="BB351">
        <v>0</v>
      </c>
      <c r="BC351">
        <v>0</v>
      </c>
      <c r="BD351">
        <v>0</v>
      </c>
      <c r="BE351">
        <v>0</v>
      </c>
      <c r="BF351">
        <v>0</v>
      </c>
      <c r="BG351">
        <v>0</v>
      </c>
      <c r="BH351">
        <v>0</v>
      </c>
      <c r="BI351">
        <v>0</v>
      </c>
      <c r="BJ351">
        <v>0</v>
      </c>
      <c r="BK351">
        <v>0</v>
      </c>
      <c r="BL351">
        <v>0</v>
      </c>
      <c r="BM351">
        <v>0</v>
      </c>
      <c r="BN351">
        <v>7488</v>
      </c>
      <c r="BO351">
        <v>824</v>
      </c>
      <c r="BP351">
        <v>0</v>
      </c>
      <c r="BQ351">
        <v>0</v>
      </c>
      <c r="BR351">
        <v>0</v>
      </c>
      <c r="BS351">
        <v>0</v>
      </c>
      <c r="BT351">
        <v>0</v>
      </c>
      <c r="BU351">
        <v>0</v>
      </c>
      <c r="BV351">
        <v>254</v>
      </c>
      <c r="BW351">
        <v>214</v>
      </c>
      <c r="BX351">
        <v>277</v>
      </c>
      <c r="BY351">
        <v>544</v>
      </c>
      <c r="BZ351">
        <v>1264</v>
      </c>
      <c r="CA351">
        <v>2553</v>
      </c>
      <c r="CB351">
        <v>0</v>
      </c>
      <c r="CC351">
        <v>511.51400000000001</v>
      </c>
      <c r="CD351">
        <v>45.397000000000006</v>
      </c>
      <c r="CE351">
        <v>74</v>
      </c>
      <c r="CF351">
        <v>882.73700000000008</v>
      </c>
      <c r="CG351">
        <v>0</v>
      </c>
      <c r="CH351">
        <v>0</v>
      </c>
      <c r="CI351">
        <v>1</v>
      </c>
      <c r="CJ351">
        <v>1</v>
      </c>
      <c r="CK351">
        <v>0</v>
      </c>
      <c r="CL351">
        <v>0</v>
      </c>
      <c r="CM351">
        <v>788.09500000000003</v>
      </c>
      <c r="CN351">
        <v>0</v>
      </c>
      <c r="CO351">
        <v>0</v>
      </c>
      <c r="CP351">
        <v>0</v>
      </c>
      <c r="CQ351">
        <v>0</v>
      </c>
      <c r="CR351">
        <v>0</v>
      </c>
      <c r="CS351">
        <v>0</v>
      </c>
      <c r="CT351">
        <v>0</v>
      </c>
      <c r="CU351">
        <v>9.17</v>
      </c>
      <c r="CV351">
        <v>53.300000000000004</v>
      </c>
      <c r="CW351">
        <v>10.881</v>
      </c>
      <c r="CX351">
        <v>0</v>
      </c>
      <c r="CY351" s="2043">
        <v>0</v>
      </c>
      <c r="CZ351" s="2043">
        <v>0</v>
      </c>
      <c r="DA351" s="2043">
        <v>0</v>
      </c>
      <c r="DB351" s="2043">
        <v>0</v>
      </c>
      <c r="DC351" s="2043">
        <v>0</v>
      </c>
      <c r="DI351" t="s">
        <v>7991</v>
      </c>
      <c r="DJ351" t="s">
        <v>7991</v>
      </c>
      <c r="DK351" s="2042">
        <f t="shared" si="7"/>
        <v>0</v>
      </c>
    </row>
    <row r="352" spans="1:115">
      <c r="A352" t="s">
        <v>2973</v>
      </c>
      <c r="B352" t="s">
        <v>232</v>
      </c>
      <c r="C352">
        <v>306.03399999999999</v>
      </c>
      <c r="D352">
        <v>315.11900000000003</v>
      </c>
      <c r="E352">
        <v>12.366000000000001</v>
      </c>
      <c r="F352">
        <v>0</v>
      </c>
      <c r="G352" s="2043">
        <v>55573759</v>
      </c>
      <c r="H352">
        <v>0</v>
      </c>
      <c r="I352" s="2043">
        <v>87600</v>
      </c>
      <c r="J352">
        <v>15.302000000000001</v>
      </c>
      <c r="K352">
        <v>42</v>
      </c>
      <c r="L352">
        <v>52826</v>
      </c>
      <c r="M352">
        <v>34774</v>
      </c>
      <c r="N352">
        <v>52826</v>
      </c>
      <c r="O352">
        <v>87600</v>
      </c>
      <c r="P352">
        <v>0</v>
      </c>
      <c r="Q352">
        <v>0</v>
      </c>
      <c r="R352" s="2043">
        <v>443916</v>
      </c>
      <c r="S352">
        <v>43203</v>
      </c>
      <c r="T352">
        <v>31485</v>
      </c>
      <c r="U352">
        <v>0.08</v>
      </c>
      <c r="V352">
        <v>0</v>
      </c>
      <c r="W352">
        <v>0</v>
      </c>
      <c r="X352">
        <v>0</v>
      </c>
      <c r="Y352">
        <v>0</v>
      </c>
      <c r="Z352">
        <v>0</v>
      </c>
      <c r="AA352">
        <v>0.14400000000000002</v>
      </c>
      <c r="AB352">
        <v>304.67200000000003</v>
      </c>
      <c r="AC352" s="2043">
        <v>40205537</v>
      </c>
      <c r="AD352">
        <v>36543</v>
      </c>
      <c r="AE352" s="2043">
        <v>518604</v>
      </c>
      <c r="AF352">
        <v>0.96030000000000004</v>
      </c>
      <c r="AG352">
        <v>0</v>
      </c>
      <c r="AH352">
        <v>0</v>
      </c>
      <c r="AI352">
        <v>0</v>
      </c>
      <c r="AJ352">
        <v>41.088000000000001</v>
      </c>
      <c r="AK352">
        <v>1889</v>
      </c>
      <c r="AL352">
        <v>5.5E-2</v>
      </c>
      <c r="AM352">
        <v>0</v>
      </c>
      <c r="AN352">
        <v>11.948</v>
      </c>
      <c r="AO352">
        <v>0</v>
      </c>
      <c r="AP352">
        <v>3.355</v>
      </c>
      <c r="AQ352">
        <v>0</v>
      </c>
      <c r="AR352">
        <v>8.6150000000000002</v>
      </c>
      <c r="AS352">
        <v>0</v>
      </c>
      <c r="AT352">
        <v>0</v>
      </c>
      <c r="AU352">
        <v>0.68100000000000005</v>
      </c>
      <c r="AV352">
        <v>0</v>
      </c>
      <c r="AW352">
        <v>13.624000000000001</v>
      </c>
      <c r="AX352">
        <v>0.91800000000000004</v>
      </c>
      <c r="AY352">
        <v>40.695</v>
      </c>
      <c r="AZ352">
        <v>0</v>
      </c>
      <c r="BA352">
        <v>3843720</v>
      </c>
      <c r="BB352">
        <v>555147</v>
      </c>
      <c r="BC352">
        <v>0</v>
      </c>
      <c r="BD352">
        <v>22109</v>
      </c>
      <c r="BE352">
        <v>0</v>
      </c>
      <c r="BF352">
        <v>22109</v>
      </c>
      <c r="BG352">
        <v>22109</v>
      </c>
      <c r="BH352">
        <v>0</v>
      </c>
      <c r="BI352">
        <v>0</v>
      </c>
      <c r="BJ352">
        <v>0</v>
      </c>
      <c r="BK352">
        <v>0</v>
      </c>
      <c r="BL352">
        <v>55573759</v>
      </c>
      <c r="BM352">
        <v>0</v>
      </c>
      <c r="BN352">
        <v>729</v>
      </c>
      <c r="BO352">
        <v>856</v>
      </c>
      <c r="BP352">
        <v>0</v>
      </c>
      <c r="BQ352">
        <v>0</v>
      </c>
      <c r="BR352">
        <v>0.82200000000000006</v>
      </c>
      <c r="BS352">
        <v>0.82200000000000006</v>
      </c>
      <c r="BT352">
        <v>0</v>
      </c>
      <c r="BU352">
        <v>0</v>
      </c>
      <c r="BV352">
        <v>28</v>
      </c>
      <c r="BW352">
        <v>126</v>
      </c>
      <c r="BX352">
        <v>10</v>
      </c>
      <c r="BY352">
        <v>9</v>
      </c>
      <c r="BZ352">
        <v>0</v>
      </c>
      <c r="CA352">
        <v>173</v>
      </c>
      <c r="CB352">
        <v>0</v>
      </c>
      <c r="CC352">
        <v>0</v>
      </c>
      <c r="CD352">
        <v>0</v>
      </c>
      <c r="CE352">
        <v>26</v>
      </c>
      <c r="CF352">
        <v>58.082000000000001</v>
      </c>
      <c r="CG352">
        <v>0</v>
      </c>
      <c r="CH352">
        <v>0</v>
      </c>
      <c r="CI352">
        <v>2</v>
      </c>
      <c r="CJ352">
        <v>3</v>
      </c>
      <c r="CK352">
        <v>0</v>
      </c>
      <c r="CL352">
        <v>0</v>
      </c>
      <c r="CM352">
        <v>12.366000000000001</v>
      </c>
      <c r="CN352">
        <v>0</v>
      </c>
      <c r="CO352">
        <v>0</v>
      </c>
      <c r="CP352">
        <v>0</v>
      </c>
      <c r="CQ352">
        <v>0</v>
      </c>
      <c r="CR352">
        <v>0</v>
      </c>
      <c r="CS352">
        <v>0</v>
      </c>
      <c r="CT352">
        <v>0</v>
      </c>
      <c r="CU352">
        <v>2.032</v>
      </c>
      <c r="CV352">
        <v>18.973000000000003</v>
      </c>
      <c r="CW352">
        <v>1.8010000000000002</v>
      </c>
      <c r="CX352">
        <v>0</v>
      </c>
      <c r="CY352" s="2043">
        <v>0</v>
      </c>
      <c r="CZ352" s="2043">
        <v>0</v>
      </c>
      <c r="DA352" s="2043">
        <v>0</v>
      </c>
      <c r="DB352" s="2043">
        <v>0</v>
      </c>
      <c r="DC352" s="2043">
        <v>0</v>
      </c>
      <c r="DI352" t="s">
        <v>2973</v>
      </c>
      <c r="DJ352" t="s">
        <v>2973</v>
      </c>
      <c r="DK352" s="2042">
        <f t="shared" si="7"/>
        <v>0</v>
      </c>
    </row>
    <row r="353" spans="1:115">
      <c r="A353" t="s">
        <v>5007</v>
      </c>
      <c r="B353" t="s">
        <v>1320</v>
      </c>
      <c r="C353">
        <v>5440.076</v>
      </c>
      <c r="D353">
        <v>5424.6580000000004</v>
      </c>
      <c r="E353">
        <v>675.43299999999999</v>
      </c>
      <c r="F353">
        <v>0</v>
      </c>
      <c r="G353" s="2043">
        <v>2714703212</v>
      </c>
      <c r="H353">
        <v>0</v>
      </c>
      <c r="I353" s="2043">
        <v>12477000</v>
      </c>
      <c r="J353">
        <v>272.00400000000002</v>
      </c>
      <c r="K353">
        <v>744</v>
      </c>
      <c r="L353">
        <v>0</v>
      </c>
      <c r="M353">
        <v>0</v>
      </c>
      <c r="N353">
        <v>0</v>
      </c>
      <c r="O353">
        <v>0</v>
      </c>
      <c r="P353">
        <v>0</v>
      </c>
      <c r="Q353">
        <v>0</v>
      </c>
      <c r="R353" s="2043">
        <v>23226513</v>
      </c>
      <c r="S353">
        <v>2172225</v>
      </c>
      <c r="T353">
        <v>1583008</v>
      </c>
      <c r="U353">
        <v>0.08</v>
      </c>
      <c r="V353">
        <v>0</v>
      </c>
      <c r="W353">
        <v>0</v>
      </c>
      <c r="X353">
        <v>0</v>
      </c>
      <c r="Y353">
        <v>-3547</v>
      </c>
      <c r="Z353">
        <v>0</v>
      </c>
      <c r="AA353">
        <v>0.26800000000000002</v>
      </c>
      <c r="AB353">
        <v>5231.1239999999998</v>
      </c>
      <c r="AC353" s="2043">
        <v>2162147268</v>
      </c>
      <c r="AD353">
        <v>12461980</v>
      </c>
      <c r="AE353" s="2043">
        <v>26981746</v>
      </c>
      <c r="AF353">
        <v>0.99370000000000003</v>
      </c>
      <c r="AG353">
        <v>0</v>
      </c>
      <c r="AH353">
        <v>0</v>
      </c>
      <c r="AI353">
        <v>0</v>
      </c>
      <c r="AJ353">
        <v>1450.6130000000001</v>
      </c>
      <c r="AK353">
        <v>16286</v>
      </c>
      <c r="AL353">
        <v>1.0210000000000001</v>
      </c>
      <c r="AM353">
        <v>0</v>
      </c>
      <c r="AN353">
        <v>226.30200000000002</v>
      </c>
      <c r="AO353">
        <v>0</v>
      </c>
      <c r="AP353">
        <v>0</v>
      </c>
      <c r="AQ353">
        <v>0</v>
      </c>
      <c r="AR353">
        <v>92.326999999999998</v>
      </c>
      <c r="AS353">
        <v>0</v>
      </c>
      <c r="AT353">
        <v>35.542000000000002</v>
      </c>
      <c r="AU353">
        <v>13.514000000000001</v>
      </c>
      <c r="AV353">
        <v>0</v>
      </c>
      <c r="AW353">
        <v>142.404</v>
      </c>
      <c r="AX353">
        <v>0</v>
      </c>
      <c r="AY353">
        <v>456.28200000000004</v>
      </c>
      <c r="AZ353">
        <v>0</v>
      </c>
      <c r="BA353">
        <v>31479266</v>
      </c>
      <c r="BB353">
        <v>39443726</v>
      </c>
      <c r="BC353">
        <v>0</v>
      </c>
      <c r="BD353">
        <v>242719</v>
      </c>
      <c r="BE353">
        <v>93849</v>
      </c>
      <c r="BF353">
        <v>336568</v>
      </c>
      <c r="BG353">
        <v>242719</v>
      </c>
      <c r="BH353">
        <v>0</v>
      </c>
      <c r="BI353">
        <v>0</v>
      </c>
      <c r="BJ353">
        <v>-3547</v>
      </c>
      <c r="BK353">
        <v>0</v>
      </c>
      <c r="BL353">
        <v>2714703212</v>
      </c>
      <c r="BM353">
        <v>0</v>
      </c>
      <c r="BN353">
        <v>19818</v>
      </c>
      <c r="BO353">
        <v>11010</v>
      </c>
      <c r="BP353">
        <v>0</v>
      </c>
      <c r="BQ353">
        <v>0</v>
      </c>
      <c r="BR353">
        <v>0.85540000000000005</v>
      </c>
      <c r="BS353">
        <v>0.85540000000000005</v>
      </c>
      <c r="BT353">
        <v>0</v>
      </c>
      <c r="BU353">
        <v>0</v>
      </c>
      <c r="BV353">
        <v>1272</v>
      </c>
      <c r="BW353">
        <v>1896</v>
      </c>
      <c r="BX353">
        <v>1332</v>
      </c>
      <c r="BY353">
        <v>1301</v>
      </c>
      <c r="BZ353">
        <v>144</v>
      </c>
      <c r="CA353">
        <v>5945</v>
      </c>
      <c r="CB353">
        <v>0</v>
      </c>
      <c r="CC353">
        <v>212.619</v>
      </c>
      <c r="CD353">
        <v>0</v>
      </c>
      <c r="CE353">
        <v>452</v>
      </c>
      <c r="CF353">
        <v>1587.2940000000001</v>
      </c>
      <c r="CG353">
        <v>0</v>
      </c>
      <c r="CH353">
        <v>0</v>
      </c>
      <c r="CI353">
        <v>19</v>
      </c>
      <c r="CJ353">
        <v>18</v>
      </c>
      <c r="CK353">
        <v>1</v>
      </c>
      <c r="CL353">
        <v>0</v>
      </c>
      <c r="CM353">
        <v>675.43299999999999</v>
      </c>
      <c r="CN353">
        <v>0</v>
      </c>
      <c r="CO353">
        <v>0</v>
      </c>
      <c r="CP353">
        <v>0</v>
      </c>
      <c r="CQ353">
        <v>0</v>
      </c>
      <c r="CR353">
        <v>0</v>
      </c>
      <c r="CS353">
        <v>0</v>
      </c>
      <c r="CT353">
        <v>0</v>
      </c>
      <c r="CU353">
        <v>0.40100000000000002</v>
      </c>
      <c r="CV353">
        <v>265.46699999999998</v>
      </c>
      <c r="CW353">
        <v>176.42400000000001</v>
      </c>
      <c r="CX353">
        <v>0</v>
      </c>
      <c r="CY353" s="2043">
        <v>0</v>
      </c>
      <c r="CZ353" s="2043">
        <v>0</v>
      </c>
      <c r="DA353" s="2043">
        <v>0</v>
      </c>
      <c r="DB353" s="2043">
        <v>0</v>
      </c>
      <c r="DC353" s="2043">
        <v>0</v>
      </c>
      <c r="DI353" t="s">
        <v>5007</v>
      </c>
      <c r="DJ353" t="s">
        <v>5007</v>
      </c>
      <c r="DK353" s="2042">
        <f t="shared" si="7"/>
        <v>0</v>
      </c>
    </row>
    <row r="354" spans="1:115">
      <c r="A354" t="s">
        <v>2975</v>
      </c>
      <c r="B354" t="s">
        <v>679</v>
      </c>
      <c r="C354">
        <v>589.77700000000004</v>
      </c>
      <c r="D354">
        <v>615.553</v>
      </c>
      <c r="E354">
        <v>60.86</v>
      </c>
      <c r="F354">
        <v>0</v>
      </c>
      <c r="G354" s="2043">
        <v>183941151</v>
      </c>
      <c r="H354">
        <v>0</v>
      </c>
      <c r="I354" s="2043">
        <v>686176</v>
      </c>
      <c r="J354">
        <v>16</v>
      </c>
      <c r="K354">
        <v>44</v>
      </c>
      <c r="L354">
        <v>28967</v>
      </c>
      <c r="M354">
        <v>237002</v>
      </c>
      <c r="N354">
        <v>28967</v>
      </c>
      <c r="O354">
        <v>265969</v>
      </c>
      <c r="P354">
        <v>0</v>
      </c>
      <c r="Q354">
        <v>0</v>
      </c>
      <c r="R354" s="2043">
        <v>1496889</v>
      </c>
      <c r="S354">
        <v>145683</v>
      </c>
      <c r="T354">
        <v>106166</v>
      </c>
      <c r="U354">
        <v>0.08</v>
      </c>
      <c r="V354">
        <v>0</v>
      </c>
      <c r="W354">
        <v>0</v>
      </c>
      <c r="X354">
        <v>0</v>
      </c>
      <c r="Y354">
        <v>0</v>
      </c>
      <c r="Z354">
        <v>0</v>
      </c>
      <c r="AA354">
        <v>1.1000000000000001E-2</v>
      </c>
      <c r="AB354">
        <v>580.32400000000007</v>
      </c>
      <c r="AC354" s="2043">
        <v>131705341</v>
      </c>
      <c r="AD354">
        <v>595231</v>
      </c>
      <c r="AE354" s="2043">
        <v>1748738</v>
      </c>
      <c r="AF354">
        <v>0.96030000000000004</v>
      </c>
      <c r="AG354">
        <v>0</v>
      </c>
      <c r="AH354">
        <v>0</v>
      </c>
      <c r="AI354">
        <v>0</v>
      </c>
      <c r="AJ354">
        <v>103.78800000000001</v>
      </c>
      <c r="AK354">
        <v>3998</v>
      </c>
      <c r="AL354">
        <v>0</v>
      </c>
      <c r="AM354">
        <v>0</v>
      </c>
      <c r="AN354">
        <v>13.567</v>
      </c>
      <c r="AO354">
        <v>0</v>
      </c>
      <c r="AP354">
        <v>4.4000000000000004E-2</v>
      </c>
      <c r="AQ354">
        <v>0</v>
      </c>
      <c r="AR354">
        <v>27.684000000000001</v>
      </c>
      <c r="AS354">
        <v>0</v>
      </c>
      <c r="AT354">
        <v>5.1050000000000004</v>
      </c>
      <c r="AU354">
        <v>1.6180000000000001</v>
      </c>
      <c r="AV354">
        <v>0</v>
      </c>
      <c r="AW354">
        <v>34.451000000000001</v>
      </c>
      <c r="AX354">
        <v>0</v>
      </c>
      <c r="AY354">
        <v>106.57600000000001</v>
      </c>
      <c r="AZ354">
        <v>0</v>
      </c>
      <c r="BA354">
        <v>6672440</v>
      </c>
      <c r="BB354">
        <v>2343969</v>
      </c>
      <c r="BC354">
        <v>0</v>
      </c>
      <c r="BD354">
        <v>16779</v>
      </c>
      <c r="BE354">
        <v>22519</v>
      </c>
      <c r="BF354">
        <v>39298</v>
      </c>
      <c r="BG354">
        <v>16779</v>
      </c>
      <c r="BH354">
        <v>0</v>
      </c>
      <c r="BI354">
        <v>0</v>
      </c>
      <c r="BJ354">
        <v>0</v>
      </c>
      <c r="BK354">
        <v>0</v>
      </c>
      <c r="BL354">
        <v>183941151</v>
      </c>
      <c r="BM354">
        <v>0</v>
      </c>
      <c r="BN354">
        <v>2214</v>
      </c>
      <c r="BO354">
        <v>1905</v>
      </c>
      <c r="BP354">
        <v>0</v>
      </c>
      <c r="BQ354">
        <v>0</v>
      </c>
      <c r="BR354">
        <v>0.82200000000000006</v>
      </c>
      <c r="BS354">
        <v>0.82200000000000006</v>
      </c>
      <c r="BT354">
        <v>0</v>
      </c>
      <c r="BU354">
        <v>0</v>
      </c>
      <c r="BV354">
        <v>16</v>
      </c>
      <c r="BW354">
        <v>233</v>
      </c>
      <c r="BX354">
        <v>4</v>
      </c>
      <c r="BY354">
        <v>166</v>
      </c>
      <c r="BZ354">
        <v>1</v>
      </c>
      <c r="CA354">
        <v>420</v>
      </c>
      <c r="CB354">
        <v>0</v>
      </c>
      <c r="CC354">
        <v>0</v>
      </c>
      <c r="CD354">
        <v>0</v>
      </c>
      <c r="CE354">
        <v>49</v>
      </c>
      <c r="CF354">
        <v>121.30200000000001</v>
      </c>
      <c r="CG354">
        <v>0</v>
      </c>
      <c r="CH354">
        <v>0</v>
      </c>
      <c r="CI354">
        <v>0</v>
      </c>
      <c r="CJ354">
        <v>0</v>
      </c>
      <c r="CK354">
        <v>0</v>
      </c>
      <c r="CL354">
        <v>0</v>
      </c>
      <c r="CM354">
        <v>60.86</v>
      </c>
      <c r="CN354">
        <v>0</v>
      </c>
      <c r="CO354">
        <v>0</v>
      </c>
      <c r="CP354">
        <v>0</v>
      </c>
      <c r="CQ354">
        <v>0</v>
      </c>
      <c r="CR354">
        <v>0</v>
      </c>
      <c r="CS354">
        <v>0</v>
      </c>
      <c r="CT354">
        <v>0</v>
      </c>
      <c r="CU354">
        <v>0</v>
      </c>
      <c r="CV354">
        <v>31.319000000000003</v>
      </c>
      <c r="CW354">
        <v>36.47</v>
      </c>
      <c r="CX354">
        <v>0</v>
      </c>
      <c r="CY354" s="2043">
        <v>0</v>
      </c>
      <c r="CZ354" s="2043">
        <v>0</v>
      </c>
      <c r="DA354" s="2043">
        <v>0</v>
      </c>
      <c r="DB354" s="2043">
        <v>0</v>
      </c>
      <c r="DC354" s="2043">
        <v>0</v>
      </c>
      <c r="DI354" t="s">
        <v>2974</v>
      </c>
      <c r="DJ354" t="s">
        <v>2975</v>
      </c>
      <c r="DK354" s="2042">
        <f t="shared" si="7"/>
        <v>-2</v>
      </c>
    </row>
    <row r="355" spans="1:115">
      <c r="A355" t="s">
        <v>2974</v>
      </c>
      <c r="B355" t="s">
        <v>1321</v>
      </c>
      <c r="C355">
        <v>2426.0540000000001</v>
      </c>
      <c r="D355">
        <v>2411.4560000000001</v>
      </c>
      <c r="E355">
        <v>594.197</v>
      </c>
      <c r="F355">
        <v>0</v>
      </c>
      <c r="G355" s="2043">
        <v>644928322</v>
      </c>
      <c r="H355">
        <v>0</v>
      </c>
      <c r="I355" s="2043">
        <v>3035800</v>
      </c>
      <c r="J355">
        <v>121.30300000000001</v>
      </c>
      <c r="K355">
        <v>332</v>
      </c>
      <c r="L355">
        <v>88485</v>
      </c>
      <c r="M355">
        <v>279480</v>
      </c>
      <c r="N355">
        <v>88485</v>
      </c>
      <c r="O355">
        <v>367965</v>
      </c>
      <c r="P355">
        <v>0</v>
      </c>
      <c r="Q355">
        <v>0</v>
      </c>
      <c r="R355" s="2043">
        <v>5157326</v>
      </c>
      <c r="S355">
        <v>501930</v>
      </c>
      <c r="T355">
        <v>338175</v>
      </c>
      <c r="U355">
        <v>0.08</v>
      </c>
      <c r="V355">
        <v>0</v>
      </c>
      <c r="W355">
        <v>0</v>
      </c>
      <c r="X355">
        <v>0</v>
      </c>
      <c r="Y355">
        <v>62103</v>
      </c>
      <c r="Z355">
        <v>0</v>
      </c>
      <c r="AA355">
        <v>0</v>
      </c>
      <c r="AB355">
        <v>2337.0129999999999</v>
      </c>
      <c r="AC355" s="2043">
        <v>431161986</v>
      </c>
      <c r="AD355">
        <v>1995228</v>
      </c>
      <c r="AE355" s="2043">
        <v>5997431</v>
      </c>
      <c r="AF355">
        <v>0.95590000000000008</v>
      </c>
      <c r="AG355">
        <v>0</v>
      </c>
      <c r="AH355">
        <v>0</v>
      </c>
      <c r="AI355">
        <v>0</v>
      </c>
      <c r="AJ355">
        <v>509.93800000000005</v>
      </c>
      <c r="AK355">
        <v>10290</v>
      </c>
      <c r="AL355">
        <v>0</v>
      </c>
      <c r="AM355">
        <v>0</v>
      </c>
      <c r="AN355">
        <v>69.328000000000003</v>
      </c>
      <c r="AO355">
        <v>0</v>
      </c>
      <c r="AP355">
        <v>0</v>
      </c>
      <c r="AQ355">
        <v>0</v>
      </c>
      <c r="AR355">
        <v>82.778000000000006</v>
      </c>
      <c r="AS355">
        <v>0</v>
      </c>
      <c r="AT355">
        <v>20.435000000000002</v>
      </c>
      <c r="AU355">
        <v>6.851</v>
      </c>
      <c r="AV355">
        <v>0</v>
      </c>
      <c r="AW355">
        <v>110.06400000000001</v>
      </c>
      <c r="AX355">
        <v>0</v>
      </c>
      <c r="AY355">
        <v>343.89400000000001</v>
      </c>
      <c r="AZ355">
        <v>0</v>
      </c>
      <c r="BA355">
        <v>22065104</v>
      </c>
      <c r="BB355">
        <v>7992659</v>
      </c>
      <c r="BC355">
        <v>0</v>
      </c>
      <c r="BD355">
        <v>120180</v>
      </c>
      <c r="BE355">
        <v>21259</v>
      </c>
      <c r="BF355">
        <v>141439</v>
      </c>
      <c r="BG355">
        <v>120180</v>
      </c>
      <c r="BH355">
        <v>0</v>
      </c>
      <c r="BI355">
        <v>0</v>
      </c>
      <c r="BJ355">
        <v>0</v>
      </c>
      <c r="BK355">
        <v>0</v>
      </c>
      <c r="BL355">
        <v>644928322</v>
      </c>
      <c r="BM355">
        <v>0</v>
      </c>
      <c r="BN355">
        <v>8649</v>
      </c>
      <c r="BO355">
        <v>4687</v>
      </c>
      <c r="BP355">
        <v>0</v>
      </c>
      <c r="BQ355">
        <v>0</v>
      </c>
      <c r="BR355">
        <v>0.82200000000000006</v>
      </c>
      <c r="BS355">
        <v>0.82200000000000006</v>
      </c>
      <c r="BT355">
        <v>62103</v>
      </c>
      <c r="BU355">
        <v>0</v>
      </c>
      <c r="BV355">
        <v>669</v>
      </c>
      <c r="BW355">
        <v>881</v>
      </c>
      <c r="BX355">
        <v>255</v>
      </c>
      <c r="BY355">
        <v>258</v>
      </c>
      <c r="BZ355">
        <v>68</v>
      </c>
      <c r="CA355">
        <v>2131</v>
      </c>
      <c r="CB355">
        <v>0</v>
      </c>
      <c r="CC355">
        <v>214.90700000000001</v>
      </c>
      <c r="CD355">
        <v>0</v>
      </c>
      <c r="CE355">
        <v>119</v>
      </c>
      <c r="CF355">
        <v>874.21100000000001</v>
      </c>
      <c r="CG355">
        <v>0</v>
      </c>
      <c r="CH355">
        <v>0</v>
      </c>
      <c r="CI355">
        <v>4</v>
      </c>
      <c r="CJ355">
        <v>4</v>
      </c>
      <c r="CK355">
        <v>0</v>
      </c>
      <c r="CL355">
        <v>0</v>
      </c>
      <c r="CM355">
        <v>594.197</v>
      </c>
      <c r="CN355">
        <v>0</v>
      </c>
      <c r="CO355">
        <v>0</v>
      </c>
      <c r="CP355">
        <v>0</v>
      </c>
      <c r="CQ355">
        <v>0</v>
      </c>
      <c r="CR355">
        <v>0</v>
      </c>
      <c r="CS355">
        <v>0</v>
      </c>
      <c r="CT355">
        <v>0</v>
      </c>
      <c r="CU355">
        <v>13.794</v>
      </c>
      <c r="CV355">
        <v>142.876</v>
      </c>
      <c r="CW355">
        <v>64.929000000000002</v>
      </c>
      <c r="CX355">
        <v>62103</v>
      </c>
      <c r="CY355" s="2043">
        <v>0</v>
      </c>
      <c r="CZ355" s="2043">
        <v>0</v>
      </c>
      <c r="DA355" s="2043">
        <v>0</v>
      </c>
      <c r="DB355" s="2043">
        <v>0</v>
      </c>
      <c r="DC355" s="2043">
        <v>0</v>
      </c>
      <c r="DI355" t="s">
        <v>2975</v>
      </c>
      <c r="DJ355" t="s">
        <v>2974</v>
      </c>
      <c r="DK355" s="2042">
        <f t="shared" si="7"/>
        <v>2</v>
      </c>
    </row>
    <row r="356" spans="1:115">
      <c r="A356" t="s">
        <v>5008</v>
      </c>
      <c r="B356" t="s">
        <v>1316</v>
      </c>
      <c r="C356">
        <v>9893.728000000001</v>
      </c>
      <c r="D356">
        <v>9814.4470000000001</v>
      </c>
      <c r="E356">
        <v>279.762</v>
      </c>
      <c r="F356">
        <v>0</v>
      </c>
      <c r="G356" s="2043">
        <v>5899144246</v>
      </c>
      <c r="H356">
        <v>0</v>
      </c>
      <c r="I356" s="2043">
        <v>26486394</v>
      </c>
      <c r="J356">
        <v>494.68600000000004</v>
      </c>
      <c r="K356">
        <v>1352</v>
      </c>
      <c r="L356">
        <v>0</v>
      </c>
      <c r="M356">
        <v>0</v>
      </c>
      <c r="N356">
        <v>0</v>
      </c>
      <c r="O356">
        <v>0</v>
      </c>
      <c r="P356">
        <v>0</v>
      </c>
      <c r="Q356">
        <v>0</v>
      </c>
      <c r="R356" s="2043">
        <v>45839612</v>
      </c>
      <c r="S356">
        <v>2788298</v>
      </c>
      <c r="T356">
        <v>0</v>
      </c>
      <c r="U356">
        <v>0.05</v>
      </c>
      <c r="V356">
        <v>38.718000000000004</v>
      </c>
      <c r="W356">
        <v>0</v>
      </c>
      <c r="X356">
        <v>0</v>
      </c>
      <c r="Y356">
        <v>7199798</v>
      </c>
      <c r="Z356">
        <v>0</v>
      </c>
      <c r="AA356">
        <v>0</v>
      </c>
      <c r="AB356">
        <v>9594.991</v>
      </c>
      <c r="AC356" s="2043">
        <v>4462655550</v>
      </c>
      <c r="AD356">
        <v>32251053</v>
      </c>
      <c r="AE356" s="2043">
        <v>48627910</v>
      </c>
      <c r="AF356">
        <v>0.872</v>
      </c>
      <c r="AG356">
        <v>9965048</v>
      </c>
      <c r="AH356">
        <v>0</v>
      </c>
      <c r="AI356">
        <v>0</v>
      </c>
      <c r="AJ356">
        <v>677.13800000000003</v>
      </c>
      <c r="AK356">
        <v>35584</v>
      </c>
      <c r="AL356">
        <v>0.60099999999999998</v>
      </c>
      <c r="AM356">
        <v>0</v>
      </c>
      <c r="AN356">
        <v>345.60300000000001</v>
      </c>
      <c r="AO356">
        <v>0</v>
      </c>
      <c r="AP356">
        <v>0.72</v>
      </c>
      <c r="AQ356">
        <v>1.5750000000000002</v>
      </c>
      <c r="AR356">
        <v>255.78800000000001</v>
      </c>
      <c r="AS356">
        <v>0</v>
      </c>
      <c r="AT356">
        <v>85.916000000000011</v>
      </c>
      <c r="AU356">
        <v>23.491</v>
      </c>
      <c r="AV356">
        <v>0</v>
      </c>
      <c r="AW356">
        <v>376.75900000000001</v>
      </c>
      <c r="AX356">
        <v>8.668000000000001</v>
      </c>
      <c r="AY356">
        <v>1167.452</v>
      </c>
      <c r="AZ356">
        <v>7199798</v>
      </c>
      <c r="BA356">
        <v>40442018</v>
      </c>
      <c r="BB356">
        <v>80878963</v>
      </c>
      <c r="BC356">
        <v>0</v>
      </c>
      <c r="BD356">
        <v>391199</v>
      </c>
      <c r="BE356">
        <v>192727</v>
      </c>
      <c r="BF356">
        <v>707166</v>
      </c>
      <c r="BG356">
        <v>391199</v>
      </c>
      <c r="BH356">
        <v>123240</v>
      </c>
      <c r="BI356">
        <v>0</v>
      </c>
      <c r="BJ356">
        <v>0</v>
      </c>
      <c r="BK356">
        <v>0</v>
      </c>
      <c r="BL356">
        <v>5899144246</v>
      </c>
      <c r="BM356">
        <v>0</v>
      </c>
      <c r="BN356">
        <v>36846</v>
      </c>
      <c r="BO356">
        <v>13921</v>
      </c>
      <c r="BP356">
        <v>3392</v>
      </c>
      <c r="BQ356">
        <v>0</v>
      </c>
      <c r="BR356">
        <v>0.82200000000000006</v>
      </c>
      <c r="BS356">
        <v>0.82200000000000006</v>
      </c>
      <c r="BT356">
        <v>0</v>
      </c>
      <c r="BU356">
        <v>0</v>
      </c>
      <c r="BV356">
        <v>1866</v>
      </c>
      <c r="BW356">
        <v>786</v>
      </c>
      <c r="BX356">
        <v>103</v>
      </c>
      <c r="BY356">
        <v>151</v>
      </c>
      <c r="BZ356">
        <v>19</v>
      </c>
      <c r="CA356">
        <v>2925</v>
      </c>
      <c r="CB356">
        <v>0</v>
      </c>
      <c r="CC356">
        <v>116.44800000000001</v>
      </c>
      <c r="CD356">
        <v>0</v>
      </c>
      <c r="CE356">
        <v>869</v>
      </c>
      <c r="CF356">
        <v>999.86</v>
      </c>
      <c r="CG356">
        <v>0</v>
      </c>
      <c r="CH356">
        <v>2.198</v>
      </c>
      <c r="CI356">
        <v>14</v>
      </c>
      <c r="CJ356">
        <v>94</v>
      </c>
      <c r="CK356">
        <v>1</v>
      </c>
      <c r="CL356">
        <v>2.198</v>
      </c>
      <c r="CM356">
        <v>279.762</v>
      </c>
      <c r="CN356">
        <v>0</v>
      </c>
      <c r="CO356">
        <v>0</v>
      </c>
      <c r="CP356">
        <v>3392</v>
      </c>
      <c r="CQ356">
        <v>0</v>
      </c>
      <c r="CR356">
        <v>0</v>
      </c>
      <c r="CS356">
        <v>0</v>
      </c>
      <c r="CT356">
        <v>0</v>
      </c>
      <c r="CU356">
        <v>17.187000000000001</v>
      </c>
      <c r="CV356">
        <v>469.24</v>
      </c>
      <c r="CW356">
        <v>219.32</v>
      </c>
      <c r="CX356">
        <v>0</v>
      </c>
      <c r="CY356" s="2043">
        <v>0</v>
      </c>
      <c r="CZ356" s="2043">
        <v>9965048</v>
      </c>
      <c r="DA356" s="2043">
        <v>0</v>
      </c>
      <c r="DB356" s="2043">
        <v>0</v>
      </c>
      <c r="DC356" s="2043">
        <v>0</v>
      </c>
      <c r="DI356" t="s">
        <v>5008</v>
      </c>
      <c r="DJ356" t="s">
        <v>5008</v>
      </c>
      <c r="DK356" s="2042">
        <f t="shared" si="7"/>
        <v>0</v>
      </c>
    </row>
    <row r="357" spans="1:115">
      <c r="A357" t="s">
        <v>5793</v>
      </c>
      <c r="B357" t="s">
        <v>883</v>
      </c>
      <c r="C357">
        <v>217.631</v>
      </c>
      <c r="D357">
        <v>224.64000000000001</v>
      </c>
      <c r="E357">
        <v>38.768000000000001</v>
      </c>
      <c r="F357">
        <v>0</v>
      </c>
      <c r="G357" s="2043">
        <v>124481529</v>
      </c>
      <c r="H357">
        <v>0</v>
      </c>
      <c r="I357" s="2043">
        <v>0</v>
      </c>
      <c r="J357">
        <v>10.882</v>
      </c>
      <c r="K357">
        <v>30</v>
      </c>
      <c r="L357">
        <v>0</v>
      </c>
      <c r="M357">
        <v>0</v>
      </c>
      <c r="N357">
        <v>0</v>
      </c>
      <c r="O357">
        <v>0</v>
      </c>
      <c r="P357">
        <v>0</v>
      </c>
      <c r="Q357">
        <v>0</v>
      </c>
      <c r="R357" s="2043">
        <v>1010984</v>
      </c>
      <c r="S357">
        <v>98393</v>
      </c>
      <c r="T357">
        <v>68506</v>
      </c>
      <c r="U357">
        <v>0.08</v>
      </c>
      <c r="V357">
        <v>0</v>
      </c>
      <c r="W357">
        <v>0</v>
      </c>
      <c r="X357">
        <v>0</v>
      </c>
      <c r="Y357">
        <v>0</v>
      </c>
      <c r="Z357">
        <v>0</v>
      </c>
      <c r="AA357">
        <v>0</v>
      </c>
      <c r="AB357">
        <v>222.23700000000002</v>
      </c>
      <c r="AC357" s="2043">
        <v>85574375</v>
      </c>
      <c r="AD357">
        <v>0</v>
      </c>
      <c r="AE357" s="2043">
        <v>1177883</v>
      </c>
      <c r="AF357">
        <v>0.9577</v>
      </c>
      <c r="AG357">
        <v>0</v>
      </c>
      <c r="AH357">
        <v>0</v>
      </c>
      <c r="AI357">
        <v>0</v>
      </c>
      <c r="AJ357">
        <v>43.963000000000001</v>
      </c>
      <c r="AK357">
        <v>1331</v>
      </c>
      <c r="AL357">
        <v>0</v>
      </c>
      <c r="AM357">
        <v>0</v>
      </c>
      <c r="AN357">
        <v>5.6050000000000004</v>
      </c>
      <c r="AO357">
        <v>0</v>
      </c>
      <c r="AP357">
        <v>3.2210000000000001</v>
      </c>
      <c r="AQ357">
        <v>0</v>
      </c>
      <c r="AR357">
        <v>6.5640000000000001</v>
      </c>
      <c r="AS357">
        <v>0</v>
      </c>
      <c r="AT357">
        <v>1.5000000000000001E-2</v>
      </c>
      <c r="AU357">
        <v>0.54800000000000004</v>
      </c>
      <c r="AV357">
        <v>0</v>
      </c>
      <c r="AW357">
        <v>10.348000000000001</v>
      </c>
      <c r="AX357">
        <v>0</v>
      </c>
      <c r="AY357">
        <v>31.174000000000003</v>
      </c>
      <c r="AZ357">
        <v>0</v>
      </c>
      <c r="BA357">
        <v>2056000</v>
      </c>
      <c r="BB357">
        <v>1177883</v>
      </c>
      <c r="BC357">
        <v>0</v>
      </c>
      <c r="BD357">
        <v>15652</v>
      </c>
      <c r="BE357">
        <v>0</v>
      </c>
      <c r="BF357">
        <v>15652</v>
      </c>
      <c r="BG357">
        <v>15652</v>
      </c>
      <c r="BH357">
        <v>0</v>
      </c>
      <c r="BI357">
        <v>0</v>
      </c>
      <c r="BJ357">
        <v>0</v>
      </c>
      <c r="BK357">
        <v>0</v>
      </c>
      <c r="BL357">
        <v>124481529</v>
      </c>
      <c r="BM357">
        <v>0</v>
      </c>
      <c r="BN357">
        <v>729</v>
      </c>
      <c r="BO357">
        <v>193</v>
      </c>
      <c r="BP357">
        <v>0</v>
      </c>
      <c r="BQ357">
        <v>0</v>
      </c>
      <c r="BR357">
        <v>0.82200000000000006</v>
      </c>
      <c r="BS357">
        <v>0.82200000000000006</v>
      </c>
      <c r="BT357">
        <v>0</v>
      </c>
      <c r="BU357">
        <v>0</v>
      </c>
      <c r="BV357">
        <v>0</v>
      </c>
      <c r="BW357">
        <v>67</v>
      </c>
      <c r="BX357">
        <v>3</v>
      </c>
      <c r="BY357">
        <v>104</v>
      </c>
      <c r="BZ357">
        <v>0</v>
      </c>
      <c r="CA357">
        <v>174</v>
      </c>
      <c r="CB357">
        <v>0</v>
      </c>
      <c r="CC357">
        <v>0</v>
      </c>
      <c r="CD357">
        <v>0</v>
      </c>
      <c r="CE357">
        <v>14</v>
      </c>
      <c r="CF357">
        <v>57.800000000000004</v>
      </c>
      <c r="CG357">
        <v>0</v>
      </c>
      <c r="CH357">
        <v>0</v>
      </c>
      <c r="CI357">
        <v>1</v>
      </c>
      <c r="CJ357">
        <v>0</v>
      </c>
      <c r="CK357">
        <v>0</v>
      </c>
      <c r="CL357">
        <v>0</v>
      </c>
      <c r="CM357">
        <v>38.768000000000001</v>
      </c>
      <c r="CN357">
        <v>0</v>
      </c>
      <c r="CO357">
        <v>0</v>
      </c>
      <c r="CP357">
        <v>0</v>
      </c>
      <c r="CQ357">
        <v>0</v>
      </c>
      <c r="CR357">
        <v>0</v>
      </c>
      <c r="CS357">
        <v>0</v>
      </c>
      <c r="CT357">
        <v>0</v>
      </c>
      <c r="CU357">
        <v>0</v>
      </c>
      <c r="CV357">
        <v>8.5340000000000007</v>
      </c>
      <c r="CW357">
        <v>3.395</v>
      </c>
      <c r="CX357">
        <v>0</v>
      </c>
      <c r="CY357" s="2043">
        <v>0</v>
      </c>
      <c r="CZ357" s="2043">
        <v>0</v>
      </c>
      <c r="DA357" s="2043">
        <v>0</v>
      </c>
      <c r="DB357" s="2043">
        <v>0</v>
      </c>
      <c r="DC357" s="2043">
        <v>0</v>
      </c>
      <c r="DI357" t="s">
        <v>5793</v>
      </c>
      <c r="DJ357" t="s">
        <v>5793</v>
      </c>
      <c r="DK357" s="2042">
        <f t="shared" si="7"/>
        <v>0</v>
      </c>
    </row>
    <row r="358" spans="1:115">
      <c r="A358" t="s">
        <v>2977</v>
      </c>
      <c r="B358" t="s">
        <v>1971</v>
      </c>
      <c r="C358">
        <v>5924.4490000000005</v>
      </c>
      <c r="D358">
        <v>5897.232</v>
      </c>
      <c r="E358">
        <v>512.11099999999999</v>
      </c>
      <c r="F358">
        <v>121158</v>
      </c>
      <c r="G358" s="2043">
        <v>2631222870</v>
      </c>
      <c r="H358">
        <v>0</v>
      </c>
      <c r="I358" s="2043">
        <v>6458320</v>
      </c>
      <c r="J358">
        <v>296.22200000000004</v>
      </c>
      <c r="K358">
        <v>810</v>
      </c>
      <c r="L358">
        <v>0</v>
      </c>
      <c r="M358">
        <v>2548264</v>
      </c>
      <c r="N358">
        <v>0</v>
      </c>
      <c r="O358">
        <v>2548264</v>
      </c>
      <c r="P358">
        <v>0</v>
      </c>
      <c r="Q358">
        <v>0</v>
      </c>
      <c r="R358" s="2043">
        <v>21654565</v>
      </c>
      <c r="S358">
        <v>2107500</v>
      </c>
      <c r="T358">
        <v>1535841</v>
      </c>
      <c r="U358">
        <v>0.08</v>
      </c>
      <c r="V358">
        <v>0</v>
      </c>
      <c r="W358">
        <v>0</v>
      </c>
      <c r="X358">
        <v>0</v>
      </c>
      <c r="Y358">
        <v>121158</v>
      </c>
      <c r="Z358">
        <v>0</v>
      </c>
      <c r="AA358">
        <v>0.61099999999999999</v>
      </c>
      <c r="AB358">
        <v>5738.0129999999999</v>
      </c>
      <c r="AC358" s="2043">
        <v>1904205489</v>
      </c>
      <c r="AD358">
        <v>9611004</v>
      </c>
      <c r="AE358" s="2043">
        <v>25297906</v>
      </c>
      <c r="AF358">
        <v>0.96030000000000004</v>
      </c>
      <c r="AG358">
        <v>0</v>
      </c>
      <c r="AH358">
        <v>0</v>
      </c>
      <c r="AI358">
        <v>0</v>
      </c>
      <c r="AJ358">
        <v>759.02500000000009</v>
      </c>
      <c r="AK358">
        <v>21533</v>
      </c>
      <c r="AL358">
        <v>0.30399999999999999</v>
      </c>
      <c r="AM358">
        <v>0</v>
      </c>
      <c r="AN358">
        <v>161.428</v>
      </c>
      <c r="AO358">
        <v>0</v>
      </c>
      <c r="AP358">
        <v>4.819</v>
      </c>
      <c r="AQ358">
        <v>0</v>
      </c>
      <c r="AR358">
        <v>177.03400000000002</v>
      </c>
      <c r="AS358">
        <v>0</v>
      </c>
      <c r="AT358">
        <v>57.535000000000004</v>
      </c>
      <c r="AU358">
        <v>9.3830000000000009</v>
      </c>
      <c r="AV358">
        <v>0</v>
      </c>
      <c r="AW358">
        <v>249.07500000000002</v>
      </c>
      <c r="AX358">
        <v>0</v>
      </c>
      <c r="AY358">
        <v>765.15300000000002</v>
      </c>
      <c r="AZ358">
        <v>0</v>
      </c>
      <c r="BA358">
        <v>32507464</v>
      </c>
      <c r="BB358">
        <v>34908910</v>
      </c>
      <c r="BC358">
        <v>0</v>
      </c>
      <c r="BD358">
        <v>281005</v>
      </c>
      <c r="BE358">
        <v>123184</v>
      </c>
      <c r="BF358">
        <v>465773</v>
      </c>
      <c r="BG358">
        <v>281005</v>
      </c>
      <c r="BH358">
        <v>61584</v>
      </c>
      <c r="BI358">
        <v>0</v>
      </c>
      <c r="BJ358">
        <v>0</v>
      </c>
      <c r="BK358">
        <v>0</v>
      </c>
      <c r="BL358">
        <v>2631222870</v>
      </c>
      <c r="BM358">
        <v>0</v>
      </c>
      <c r="BN358">
        <v>23823</v>
      </c>
      <c r="BO358">
        <v>13953</v>
      </c>
      <c r="BP358">
        <v>0</v>
      </c>
      <c r="BQ358">
        <v>0</v>
      </c>
      <c r="BR358">
        <v>0.82200000000000006</v>
      </c>
      <c r="BS358">
        <v>0.82200000000000006</v>
      </c>
      <c r="BT358">
        <v>0</v>
      </c>
      <c r="BU358">
        <v>0</v>
      </c>
      <c r="BV358">
        <v>1900</v>
      </c>
      <c r="BW358">
        <v>989</v>
      </c>
      <c r="BX358">
        <v>12</v>
      </c>
      <c r="BY358">
        <v>319</v>
      </c>
      <c r="BZ358">
        <v>36</v>
      </c>
      <c r="CA358">
        <v>3256</v>
      </c>
      <c r="CB358">
        <v>0</v>
      </c>
      <c r="CC358">
        <v>183.28700000000001</v>
      </c>
      <c r="CD358">
        <v>0</v>
      </c>
      <c r="CE358">
        <v>538</v>
      </c>
      <c r="CF358">
        <v>1107.7830000000001</v>
      </c>
      <c r="CG358">
        <v>0</v>
      </c>
      <c r="CH358">
        <v>0</v>
      </c>
      <c r="CI358">
        <v>8</v>
      </c>
      <c r="CJ358">
        <v>43</v>
      </c>
      <c r="CK358">
        <v>1</v>
      </c>
      <c r="CL358">
        <v>0</v>
      </c>
      <c r="CM358">
        <v>512.11099999999999</v>
      </c>
      <c r="CN358">
        <v>0</v>
      </c>
      <c r="CO358">
        <v>0</v>
      </c>
      <c r="CP358">
        <v>0</v>
      </c>
      <c r="CQ358">
        <v>0</v>
      </c>
      <c r="CR358">
        <v>0</v>
      </c>
      <c r="CS358">
        <v>0</v>
      </c>
      <c r="CT358">
        <v>0</v>
      </c>
      <c r="CU358">
        <v>29.198</v>
      </c>
      <c r="CV358">
        <v>273.488</v>
      </c>
      <c r="CW358">
        <v>223.70600000000002</v>
      </c>
      <c r="CX358">
        <v>0</v>
      </c>
      <c r="CY358" s="2043">
        <v>0</v>
      </c>
      <c r="CZ358" s="2043">
        <v>0</v>
      </c>
      <c r="DA358" s="2043">
        <v>0</v>
      </c>
      <c r="DB358" s="2043">
        <v>121158</v>
      </c>
      <c r="DC358" s="2043">
        <v>0</v>
      </c>
      <c r="DI358" t="s">
        <v>2976</v>
      </c>
      <c r="DJ358" t="s">
        <v>2977</v>
      </c>
      <c r="DK358" s="2042">
        <f t="shared" si="7"/>
        <v>-1</v>
      </c>
    </row>
    <row r="359" spans="1:115">
      <c r="A359" t="s">
        <v>2976</v>
      </c>
      <c r="B359" t="s">
        <v>233</v>
      </c>
      <c r="C359">
        <v>1166.6610000000001</v>
      </c>
      <c r="D359">
        <v>1162.5450000000001</v>
      </c>
      <c r="E359">
        <v>152.547</v>
      </c>
      <c r="F359">
        <v>0</v>
      </c>
      <c r="G359" s="2043">
        <v>404448190</v>
      </c>
      <c r="H359">
        <v>0</v>
      </c>
      <c r="I359" s="2043">
        <v>1159950</v>
      </c>
      <c r="J359">
        <v>54</v>
      </c>
      <c r="K359">
        <v>148</v>
      </c>
      <c r="L359">
        <v>2178</v>
      </c>
      <c r="M359">
        <v>226822</v>
      </c>
      <c r="N359">
        <v>2178</v>
      </c>
      <c r="O359">
        <v>229000</v>
      </c>
      <c r="P359">
        <v>0</v>
      </c>
      <c r="Q359">
        <v>0</v>
      </c>
      <c r="R359" s="2043">
        <v>3378422</v>
      </c>
      <c r="S359">
        <v>321640</v>
      </c>
      <c r="T359">
        <v>234394</v>
      </c>
      <c r="U359">
        <v>0.08</v>
      </c>
      <c r="V359">
        <v>0</v>
      </c>
      <c r="W359">
        <v>0</v>
      </c>
      <c r="X359">
        <v>0</v>
      </c>
      <c r="Y359">
        <v>0</v>
      </c>
      <c r="Z359">
        <v>0</v>
      </c>
      <c r="AA359">
        <v>0</v>
      </c>
      <c r="AB359">
        <v>1162.5450000000001</v>
      </c>
      <c r="AC359" s="2043">
        <v>302438179</v>
      </c>
      <c r="AD359">
        <v>1184643</v>
      </c>
      <c r="AE359" s="2043">
        <v>3934456</v>
      </c>
      <c r="AF359">
        <v>0.97860000000000003</v>
      </c>
      <c r="AG359">
        <v>0</v>
      </c>
      <c r="AH359">
        <v>0</v>
      </c>
      <c r="AI359">
        <v>0</v>
      </c>
      <c r="AJ359">
        <v>152.47499999999999</v>
      </c>
      <c r="AK359">
        <v>8106</v>
      </c>
      <c r="AL359">
        <v>0.13900000000000001</v>
      </c>
      <c r="AM359">
        <v>0</v>
      </c>
      <c r="AN359">
        <v>66.600999999999999</v>
      </c>
      <c r="AO359">
        <v>0</v>
      </c>
      <c r="AP359">
        <v>1.327</v>
      </c>
      <c r="AQ359">
        <v>0</v>
      </c>
      <c r="AR359">
        <v>56.142000000000003</v>
      </c>
      <c r="AS359">
        <v>0</v>
      </c>
      <c r="AT359">
        <v>7.218</v>
      </c>
      <c r="AU359">
        <v>4.0440000000000005</v>
      </c>
      <c r="AV359">
        <v>0</v>
      </c>
      <c r="AW359">
        <v>68.87</v>
      </c>
      <c r="AX359">
        <v>0</v>
      </c>
      <c r="AY359">
        <v>214.578</v>
      </c>
      <c r="AZ359">
        <v>0</v>
      </c>
      <c r="BA359">
        <v>10428443</v>
      </c>
      <c r="BB359">
        <v>5119099</v>
      </c>
      <c r="BC359">
        <v>0</v>
      </c>
      <c r="BD359">
        <v>47700</v>
      </c>
      <c r="BE359">
        <v>4948</v>
      </c>
      <c r="BF359">
        <v>52648</v>
      </c>
      <c r="BG359">
        <v>47700</v>
      </c>
      <c r="BH359">
        <v>0</v>
      </c>
      <c r="BI359">
        <v>0</v>
      </c>
      <c r="BJ359">
        <v>0</v>
      </c>
      <c r="BK359">
        <v>0</v>
      </c>
      <c r="BL359">
        <v>404448190</v>
      </c>
      <c r="BM359">
        <v>0</v>
      </c>
      <c r="BN359">
        <v>3681</v>
      </c>
      <c r="BO359">
        <v>3424</v>
      </c>
      <c r="BP359">
        <v>0</v>
      </c>
      <c r="BQ359">
        <v>0</v>
      </c>
      <c r="BR359">
        <v>0.84030000000000005</v>
      </c>
      <c r="BS359">
        <v>0.84030000000000005</v>
      </c>
      <c r="BT359">
        <v>0</v>
      </c>
      <c r="BU359">
        <v>0</v>
      </c>
      <c r="BV359">
        <v>246</v>
      </c>
      <c r="BW359">
        <v>392</v>
      </c>
      <c r="BX359">
        <v>2</v>
      </c>
      <c r="BY359">
        <v>4</v>
      </c>
      <c r="BZ359">
        <v>9</v>
      </c>
      <c r="CA359">
        <v>653</v>
      </c>
      <c r="CB359">
        <v>0</v>
      </c>
      <c r="CC359">
        <v>0</v>
      </c>
      <c r="CD359">
        <v>0</v>
      </c>
      <c r="CE359">
        <v>108</v>
      </c>
      <c r="CF359">
        <v>238.53900000000002</v>
      </c>
      <c r="CG359">
        <v>0</v>
      </c>
      <c r="CH359">
        <v>0</v>
      </c>
      <c r="CI359">
        <v>6</v>
      </c>
      <c r="CJ359">
        <v>9</v>
      </c>
      <c r="CK359">
        <v>0</v>
      </c>
      <c r="CL359">
        <v>0</v>
      </c>
      <c r="CM359">
        <v>152.547</v>
      </c>
      <c r="CN359">
        <v>0</v>
      </c>
      <c r="CO359">
        <v>0</v>
      </c>
      <c r="CP359">
        <v>0</v>
      </c>
      <c r="CQ359">
        <v>0</v>
      </c>
      <c r="CR359">
        <v>0</v>
      </c>
      <c r="CS359">
        <v>0</v>
      </c>
      <c r="CT359">
        <v>0</v>
      </c>
      <c r="CU359">
        <v>1.911</v>
      </c>
      <c r="CV359">
        <v>53.47</v>
      </c>
      <c r="CW359">
        <v>15.409000000000001</v>
      </c>
      <c r="CX359">
        <v>0</v>
      </c>
      <c r="CY359" s="2043">
        <v>0</v>
      </c>
      <c r="CZ359" s="2043">
        <v>0</v>
      </c>
      <c r="DA359" s="2043">
        <v>0</v>
      </c>
      <c r="DB359" s="2043">
        <v>0</v>
      </c>
      <c r="DC359" s="2043">
        <v>0</v>
      </c>
      <c r="DI359" t="s">
        <v>2977</v>
      </c>
      <c r="DJ359" t="s">
        <v>2976</v>
      </c>
      <c r="DK359" s="2042">
        <f t="shared" si="7"/>
        <v>1</v>
      </c>
    </row>
    <row r="360" spans="1:115">
      <c r="A360" t="s">
        <v>2978</v>
      </c>
      <c r="B360" t="s">
        <v>326</v>
      </c>
      <c r="C360">
        <v>9466.9250000000011</v>
      </c>
      <c r="D360">
        <v>9443.2980000000007</v>
      </c>
      <c r="E360">
        <v>462.46100000000001</v>
      </c>
      <c r="F360">
        <v>0</v>
      </c>
      <c r="G360" s="2043">
        <v>5700690663</v>
      </c>
      <c r="H360">
        <v>0</v>
      </c>
      <c r="I360" s="2043">
        <v>19763110</v>
      </c>
      <c r="J360">
        <v>473.346</v>
      </c>
      <c r="K360">
        <v>1294</v>
      </c>
      <c r="L360">
        <v>0</v>
      </c>
      <c r="M360">
        <v>0</v>
      </c>
      <c r="N360">
        <v>0</v>
      </c>
      <c r="O360">
        <v>0</v>
      </c>
      <c r="P360">
        <v>0</v>
      </c>
      <c r="Q360">
        <v>0</v>
      </c>
      <c r="R360" s="2043">
        <v>46610886</v>
      </c>
      <c r="S360">
        <v>4536339</v>
      </c>
      <c r="T360">
        <v>3305858</v>
      </c>
      <c r="U360">
        <v>0.08</v>
      </c>
      <c r="V360">
        <v>128.977</v>
      </c>
      <c r="W360">
        <v>0</v>
      </c>
      <c r="X360">
        <v>0</v>
      </c>
      <c r="Y360">
        <v>0</v>
      </c>
      <c r="Z360">
        <v>0</v>
      </c>
      <c r="AA360">
        <v>1.0210000000000001</v>
      </c>
      <c r="AB360">
        <v>9210.1859999999997</v>
      </c>
      <c r="AC360" s="2043">
        <v>4201023091</v>
      </c>
      <c r="AD360">
        <v>21757778</v>
      </c>
      <c r="AE360" s="2043">
        <v>54453083</v>
      </c>
      <c r="AF360">
        <v>0.96030000000000004</v>
      </c>
      <c r="AG360">
        <v>0</v>
      </c>
      <c r="AH360">
        <v>0</v>
      </c>
      <c r="AI360">
        <v>0</v>
      </c>
      <c r="AJ360">
        <v>1132.125</v>
      </c>
      <c r="AK360">
        <v>41877</v>
      </c>
      <c r="AL360">
        <v>0.36</v>
      </c>
      <c r="AM360">
        <v>0</v>
      </c>
      <c r="AN360">
        <v>580.13800000000003</v>
      </c>
      <c r="AO360">
        <v>0</v>
      </c>
      <c r="AP360">
        <v>0</v>
      </c>
      <c r="AQ360">
        <v>0.76200000000000001</v>
      </c>
      <c r="AR360">
        <v>243.14800000000002</v>
      </c>
      <c r="AS360">
        <v>0</v>
      </c>
      <c r="AT360">
        <v>98.621000000000009</v>
      </c>
      <c r="AU360">
        <v>28.256</v>
      </c>
      <c r="AV360">
        <v>0</v>
      </c>
      <c r="AW360">
        <v>375.70800000000003</v>
      </c>
      <c r="AX360">
        <v>4.5609999999999999</v>
      </c>
      <c r="AY360">
        <v>1178.877</v>
      </c>
      <c r="AZ360">
        <v>0</v>
      </c>
      <c r="BA360">
        <v>40994572</v>
      </c>
      <c r="BB360">
        <v>76210861</v>
      </c>
      <c r="BC360">
        <v>0</v>
      </c>
      <c r="BD360">
        <v>518222</v>
      </c>
      <c r="BE360">
        <v>172858</v>
      </c>
      <c r="BF360">
        <v>752415</v>
      </c>
      <c r="BG360">
        <v>518222</v>
      </c>
      <c r="BH360">
        <v>61335</v>
      </c>
      <c r="BI360">
        <v>0</v>
      </c>
      <c r="BJ360">
        <v>0</v>
      </c>
      <c r="BK360">
        <v>0</v>
      </c>
      <c r="BL360">
        <v>5700690663</v>
      </c>
      <c r="BM360">
        <v>0</v>
      </c>
      <c r="BN360">
        <v>36297</v>
      </c>
      <c r="BO360">
        <v>26729</v>
      </c>
      <c r="BP360">
        <v>0</v>
      </c>
      <c r="BQ360">
        <v>0</v>
      </c>
      <c r="BR360">
        <v>0.82200000000000006</v>
      </c>
      <c r="BS360">
        <v>0.82200000000000006</v>
      </c>
      <c r="BT360">
        <v>0</v>
      </c>
      <c r="BU360">
        <v>0</v>
      </c>
      <c r="BV360">
        <v>1746</v>
      </c>
      <c r="BW360">
        <v>1233</v>
      </c>
      <c r="BX360">
        <v>797</v>
      </c>
      <c r="BY360">
        <v>223</v>
      </c>
      <c r="BZ360">
        <v>686</v>
      </c>
      <c r="CA360">
        <v>4685</v>
      </c>
      <c r="CB360">
        <v>0</v>
      </c>
      <c r="CC360">
        <v>317.38100000000003</v>
      </c>
      <c r="CD360">
        <v>88.049000000000007</v>
      </c>
      <c r="CE360">
        <v>999</v>
      </c>
      <c r="CF360">
        <v>1519.9480000000001</v>
      </c>
      <c r="CG360">
        <v>16.704000000000001</v>
      </c>
      <c r="CH360">
        <v>0.73199999999999998</v>
      </c>
      <c r="CI360">
        <v>30</v>
      </c>
      <c r="CJ360">
        <v>110</v>
      </c>
      <c r="CK360">
        <v>2</v>
      </c>
      <c r="CL360">
        <v>17.436</v>
      </c>
      <c r="CM360">
        <v>462.46100000000001</v>
      </c>
      <c r="CN360">
        <v>0</v>
      </c>
      <c r="CO360">
        <v>0</v>
      </c>
      <c r="CP360">
        <v>0</v>
      </c>
      <c r="CQ360">
        <v>0</v>
      </c>
      <c r="CR360">
        <v>0</v>
      </c>
      <c r="CS360">
        <v>0</v>
      </c>
      <c r="CT360">
        <v>0</v>
      </c>
      <c r="CU360">
        <v>24.221</v>
      </c>
      <c r="CV360">
        <v>486.89100000000002</v>
      </c>
      <c r="CW360">
        <v>323.21300000000002</v>
      </c>
      <c r="CX360">
        <v>0</v>
      </c>
      <c r="CY360" s="2043">
        <v>0</v>
      </c>
      <c r="CZ360" s="2043">
        <v>0</v>
      </c>
      <c r="DA360" s="2043">
        <v>0</v>
      </c>
      <c r="DB360" s="2043">
        <v>0</v>
      </c>
      <c r="DC360" s="2043">
        <v>0</v>
      </c>
      <c r="DI360" t="s">
        <v>2978</v>
      </c>
      <c r="DJ360" t="s">
        <v>2978</v>
      </c>
      <c r="DK360" s="2042">
        <f t="shared" si="7"/>
        <v>0</v>
      </c>
    </row>
    <row r="361" spans="1:115">
      <c r="A361" t="s">
        <v>2979</v>
      </c>
      <c r="B361" t="s">
        <v>680</v>
      </c>
      <c r="C361">
        <v>1113.8620000000001</v>
      </c>
      <c r="D361">
        <v>1082.25</v>
      </c>
      <c r="E361">
        <v>76.158000000000001</v>
      </c>
      <c r="F361">
        <v>0</v>
      </c>
      <c r="G361" s="2043">
        <v>513387382</v>
      </c>
      <c r="H361">
        <v>0</v>
      </c>
      <c r="I361" s="2043">
        <v>997445</v>
      </c>
      <c r="J361">
        <v>55.693000000000005</v>
      </c>
      <c r="K361">
        <v>152</v>
      </c>
      <c r="L361">
        <v>0</v>
      </c>
      <c r="M361">
        <v>207499</v>
      </c>
      <c r="N361">
        <v>0</v>
      </c>
      <c r="O361">
        <v>207499</v>
      </c>
      <c r="P361">
        <v>0</v>
      </c>
      <c r="Q361">
        <v>0</v>
      </c>
      <c r="R361" s="2043">
        <v>4246394</v>
      </c>
      <c r="S361">
        <v>258297</v>
      </c>
      <c r="T361">
        <v>0</v>
      </c>
      <c r="U361">
        <v>0.05</v>
      </c>
      <c r="V361">
        <v>0</v>
      </c>
      <c r="W361">
        <v>0</v>
      </c>
      <c r="X361">
        <v>0</v>
      </c>
      <c r="Y361">
        <v>0</v>
      </c>
      <c r="Z361">
        <v>0</v>
      </c>
      <c r="AA361">
        <v>0.54</v>
      </c>
      <c r="AB361">
        <v>1082.25</v>
      </c>
      <c r="AC361" s="2043">
        <v>368846223</v>
      </c>
      <c r="AD361">
        <v>1545389</v>
      </c>
      <c r="AE361" s="2043">
        <v>4504691</v>
      </c>
      <c r="AF361">
        <v>0.872</v>
      </c>
      <c r="AG361">
        <v>0</v>
      </c>
      <c r="AH361">
        <v>0</v>
      </c>
      <c r="AI361">
        <v>0</v>
      </c>
      <c r="AJ361">
        <v>107.27500000000001</v>
      </c>
      <c r="AK361">
        <v>4130</v>
      </c>
      <c r="AL361">
        <v>0</v>
      </c>
      <c r="AM361">
        <v>0</v>
      </c>
      <c r="AN361">
        <v>40.106000000000002</v>
      </c>
      <c r="AO361">
        <v>0</v>
      </c>
      <c r="AP361">
        <v>0</v>
      </c>
      <c r="AQ361">
        <v>0</v>
      </c>
      <c r="AR361">
        <v>24.418000000000003</v>
      </c>
      <c r="AS361">
        <v>0</v>
      </c>
      <c r="AT361">
        <v>6.1440000000000001</v>
      </c>
      <c r="AU361">
        <v>1.304</v>
      </c>
      <c r="AV361">
        <v>0</v>
      </c>
      <c r="AW361">
        <v>31.866000000000003</v>
      </c>
      <c r="AX361">
        <v>0</v>
      </c>
      <c r="AY361">
        <v>98.206000000000003</v>
      </c>
      <c r="AZ361">
        <v>0</v>
      </c>
      <c r="BA361">
        <v>7419788</v>
      </c>
      <c r="BB361">
        <v>6050080</v>
      </c>
      <c r="BC361">
        <v>0</v>
      </c>
      <c r="BD361">
        <v>45999</v>
      </c>
      <c r="BE361">
        <v>8086</v>
      </c>
      <c r="BF361">
        <v>58576</v>
      </c>
      <c r="BG361">
        <v>45999</v>
      </c>
      <c r="BH361">
        <v>4491</v>
      </c>
      <c r="BI361">
        <v>0</v>
      </c>
      <c r="BJ361">
        <v>0</v>
      </c>
      <c r="BK361">
        <v>0</v>
      </c>
      <c r="BL361">
        <v>513387382</v>
      </c>
      <c r="BM361">
        <v>0</v>
      </c>
      <c r="BN361">
        <v>3942</v>
      </c>
      <c r="BO361">
        <v>2664</v>
      </c>
      <c r="BP361">
        <v>0</v>
      </c>
      <c r="BQ361">
        <v>0</v>
      </c>
      <c r="BR361">
        <v>0.82200000000000006</v>
      </c>
      <c r="BS361">
        <v>0.82200000000000006</v>
      </c>
      <c r="BT361">
        <v>0</v>
      </c>
      <c r="BU361">
        <v>0</v>
      </c>
      <c r="BV361">
        <v>312</v>
      </c>
      <c r="BW361">
        <v>126</v>
      </c>
      <c r="BX361">
        <v>0</v>
      </c>
      <c r="BY361">
        <v>0</v>
      </c>
      <c r="BZ361">
        <v>26</v>
      </c>
      <c r="CA361">
        <v>464</v>
      </c>
      <c r="CB361">
        <v>0</v>
      </c>
      <c r="CC361">
        <v>0</v>
      </c>
      <c r="CD361">
        <v>0</v>
      </c>
      <c r="CE361">
        <v>138</v>
      </c>
      <c r="CF361">
        <v>138.49700000000001</v>
      </c>
      <c r="CG361">
        <v>0</v>
      </c>
      <c r="CH361">
        <v>0</v>
      </c>
      <c r="CI361">
        <v>1</v>
      </c>
      <c r="CJ361">
        <v>17</v>
      </c>
      <c r="CK361">
        <v>0</v>
      </c>
      <c r="CL361">
        <v>0</v>
      </c>
      <c r="CM361">
        <v>76.158000000000001</v>
      </c>
      <c r="CN361">
        <v>0</v>
      </c>
      <c r="CO361">
        <v>0</v>
      </c>
      <c r="CP361">
        <v>0</v>
      </c>
      <c r="CQ361">
        <v>0</v>
      </c>
      <c r="CR361">
        <v>0</v>
      </c>
      <c r="CS361">
        <v>0</v>
      </c>
      <c r="CT361">
        <v>0</v>
      </c>
      <c r="CU361">
        <v>13.985000000000001</v>
      </c>
      <c r="CV361">
        <v>90.34</v>
      </c>
      <c r="CW361">
        <v>36.509</v>
      </c>
      <c r="CX361">
        <v>0</v>
      </c>
      <c r="CY361" s="2043">
        <v>0</v>
      </c>
      <c r="CZ361" s="2043">
        <v>0</v>
      </c>
      <c r="DA361" s="2043">
        <v>0</v>
      </c>
      <c r="DB361" s="2043">
        <v>0</v>
      </c>
      <c r="DC361" s="2043">
        <v>0</v>
      </c>
      <c r="DI361" t="s">
        <v>2979</v>
      </c>
      <c r="DJ361" t="s">
        <v>2979</v>
      </c>
      <c r="DK361" s="2042">
        <f t="shared" si="7"/>
        <v>0</v>
      </c>
    </row>
    <row r="362" spans="1:115">
      <c r="A362" t="s">
        <v>7993</v>
      </c>
      <c r="B362" t="s">
        <v>11307</v>
      </c>
      <c r="C362">
        <v>172.73699999999999</v>
      </c>
      <c r="D362">
        <v>176.232</v>
      </c>
      <c r="E362">
        <v>41.388000000000005</v>
      </c>
      <c r="F362">
        <v>0</v>
      </c>
      <c r="G362" s="2043">
        <v>0</v>
      </c>
      <c r="H362">
        <v>0</v>
      </c>
      <c r="I362" s="2043">
        <v>0</v>
      </c>
      <c r="J362">
        <v>0</v>
      </c>
      <c r="K362">
        <v>0</v>
      </c>
      <c r="L362">
        <v>0</v>
      </c>
      <c r="M362">
        <v>0</v>
      </c>
      <c r="N362">
        <v>0</v>
      </c>
      <c r="O362">
        <v>0</v>
      </c>
      <c r="P362">
        <v>0</v>
      </c>
      <c r="Q362">
        <v>0</v>
      </c>
      <c r="R362" s="2043">
        <v>0</v>
      </c>
      <c r="S362">
        <v>0</v>
      </c>
      <c r="T362">
        <v>0</v>
      </c>
      <c r="U362">
        <v>0</v>
      </c>
      <c r="V362">
        <v>0</v>
      </c>
      <c r="W362">
        <v>0</v>
      </c>
      <c r="X362">
        <v>0</v>
      </c>
      <c r="Y362">
        <v>30537</v>
      </c>
      <c r="Z362">
        <v>0</v>
      </c>
      <c r="AA362">
        <v>0.70200000000000007</v>
      </c>
      <c r="AB362">
        <v>164.21100000000001</v>
      </c>
      <c r="AC362" s="2043">
        <v>0</v>
      </c>
      <c r="AD362">
        <v>0</v>
      </c>
      <c r="AE362" s="2043">
        <v>0</v>
      </c>
      <c r="AF362">
        <v>0</v>
      </c>
      <c r="AG362">
        <v>0</v>
      </c>
      <c r="AH362">
        <v>0</v>
      </c>
      <c r="AI362">
        <v>0</v>
      </c>
      <c r="AJ362">
        <v>46.463000000000001</v>
      </c>
      <c r="AK362">
        <v>342</v>
      </c>
      <c r="AL362">
        <v>0</v>
      </c>
      <c r="AM362">
        <v>0</v>
      </c>
      <c r="AN362">
        <v>12.791</v>
      </c>
      <c r="AO362">
        <v>0</v>
      </c>
      <c r="AP362">
        <v>0</v>
      </c>
      <c r="AQ362">
        <v>0</v>
      </c>
      <c r="AR362">
        <v>0</v>
      </c>
      <c r="AS362">
        <v>0</v>
      </c>
      <c r="AT362">
        <v>0</v>
      </c>
      <c r="AU362">
        <v>7.400000000000001E-2</v>
      </c>
      <c r="AV362">
        <v>0</v>
      </c>
      <c r="AW362">
        <v>7.400000000000001E-2</v>
      </c>
      <c r="AX362">
        <v>0</v>
      </c>
      <c r="AY362">
        <v>0.37</v>
      </c>
      <c r="AZ362">
        <v>0</v>
      </c>
      <c r="BA362">
        <v>1984744</v>
      </c>
      <c r="BB362">
        <v>0</v>
      </c>
      <c r="BC362">
        <v>0</v>
      </c>
      <c r="BD362">
        <v>0</v>
      </c>
      <c r="BE362">
        <v>0</v>
      </c>
      <c r="BF362">
        <v>0</v>
      </c>
      <c r="BG362">
        <v>0</v>
      </c>
      <c r="BH362">
        <v>0</v>
      </c>
      <c r="BI362">
        <v>0</v>
      </c>
      <c r="BJ362">
        <v>0</v>
      </c>
      <c r="BK362">
        <v>0</v>
      </c>
      <c r="BL362">
        <v>0</v>
      </c>
      <c r="BM362">
        <v>0</v>
      </c>
      <c r="BN362">
        <v>1908</v>
      </c>
      <c r="BO362">
        <v>75</v>
      </c>
      <c r="BP362">
        <v>0</v>
      </c>
      <c r="BQ362">
        <v>0</v>
      </c>
      <c r="BR362">
        <v>0</v>
      </c>
      <c r="BS362">
        <v>0</v>
      </c>
      <c r="BT362">
        <v>0</v>
      </c>
      <c r="BU362">
        <v>0</v>
      </c>
      <c r="BV362">
        <v>24</v>
      </c>
      <c r="BW362">
        <v>28</v>
      </c>
      <c r="BX362">
        <v>47</v>
      </c>
      <c r="BY362">
        <v>35</v>
      </c>
      <c r="BZ362">
        <v>49</v>
      </c>
      <c r="CA362">
        <v>183</v>
      </c>
      <c r="CB362">
        <v>0</v>
      </c>
      <c r="CC362">
        <v>0</v>
      </c>
      <c r="CD362">
        <v>0</v>
      </c>
      <c r="CE362">
        <v>0</v>
      </c>
      <c r="CF362">
        <v>0</v>
      </c>
      <c r="CG362">
        <v>172.73699999999999</v>
      </c>
      <c r="CH362">
        <v>0</v>
      </c>
      <c r="CI362">
        <v>0</v>
      </c>
      <c r="CJ362">
        <v>0</v>
      </c>
      <c r="CK362">
        <v>0</v>
      </c>
      <c r="CL362">
        <v>172.73699999999999</v>
      </c>
      <c r="CM362">
        <v>41.388000000000005</v>
      </c>
      <c r="CN362">
        <v>0</v>
      </c>
      <c r="CO362">
        <v>0</v>
      </c>
      <c r="CP362">
        <v>0</v>
      </c>
      <c r="CQ362">
        <v>0</v>
      </c>
      <c r="CR362">
        <v>0</v>
      </c>
      <c r="CS362">
        <v>0</v>
      </c>
      <c r="CT362">
        <v>0</v>
      </c>
      <c r="CU362">
        <v>0</v>
      </c>
      <c r="CV362">
        <v>4.851</v>
      </c>
      <c r="CW362">
        <v>4.3760000000000003</v>
      </c>
      <c r="CX362">
        <v>0</v>
      </c>
      <c r="CY362" s="2043">
        <v>0</v>
      </c>
      <c r="CZ362" s="2043">
        <v>0</v>
      </c>
      <c r="DA362" s="2043">
        <v>0</v>
      </c>
      <c r="DB362" s="2043">
        <v>0</v>
      </c>
      <c r="DC362" s="2043">
        <v>0</v>
      </c>
      <c r="DI362" t="s">
        <v>7992</v>
      </c>
      <c r="DJ362" t="s">
        <v>7993</v>
      </c>
      <c r="DK362" s="2042">
        <f t="shared" si="7"/>
        <v>-2</v>
      </c>
    </row>
    <row r="363" spans="1:115">
      <c r="A363" t="s">
        <v>7992</v>
      </c>
      <c r="B363" t="s">
        <v>11308</v>
      </c>
      <c r="C363">
        <v>1231.309</v>
      </c>
      <c r="D363">
        <v>1130.2740000000001</v>
      </c>
      <c r="E363">
        <v>370.39500000000004</v>
      </c>
      <c r="F363">
        <v>0</v>
      </c>
      <c r="G363" s="2043">
        <v>0</v>
      </c>
      <c r="H363">
        <v>0</v>
      </c>
      <c r="I363" s="2043">
        <v>0</v>
      </c>
      <c r="J363">
        <v>0</v>
      </c>
      <c r="K363">
        <v>0</v>
      </c>
      <c r="L363">
        <v>0</v>
      </c>
      <c r="M363">
        <v>0</v>
      </c>
      <c r="N363">
        <v>0</v>
      </c>
      <c r="O363">
        <v>0</v>
      </c>
      <c r="P363">
        <v>0</v>
      </c>
      <c r="Q363">
        <v>0</v>
      </c>
      <c r="R363" s="2043">
        <v>0</v>
      </c>
      <c r="S363">
        <v>0</v>
      </c>
      <c r="T363">
        <v>0</v>
      </c>
      <c r="U363">
        <v>0</v>
      </c>
      <c r="V363">
        <v>0</v>
      </c>
      <c r="W363">
        <v>0</v>
      </c>
      <c r="X363">
        <v>0</v>
      </c>
      <c r="Y363">
        <v>217674</v>
      </c>
      <c r="Z363">
        <v>0</v>
      </c>
      <c r="AA363">
        <v>0</v>
      </c>
      <c r="AB363">
        <v>1131.7160000000001</v>
      </c>
      <c r="AC363" s="2043">
        <v>0</v>
      </c>
      <c r="AD363">
        <v>0</v>
      </c>
      <c r="AE363" s="2043">
        <v>0</v>
      </c>
      <c r="AF363">
        <v>0</v>
      </c>
      <c r="AG363">
        <v>0</v>
      </c>
      <c r="AH363">
        <v>0</v>
      </c>
      <c r="AI363">
        <v>0</v>
      </c>
      <c r="AJ363">
        <v>163.13800000000001</v>
      </c>
      <c r="AK363">
        <v>891</v>
      </c>
      <c r="AL363">
        <v>0</v>
      </c>
      <c r="AM363">
        <v>0</v>
      </c>
      <c r="AN363">
        <v>26.325000000000003</v>
      </c>
      <c r="AO363">
        <v>0</v>
      </c>
      <c r="AP363">
        <v>0</v>
      </c>
      <c r="AQ363">
        <v>0</v>
      </c>
      <c r="AR363">
        <v>1.7250000000000001</v>
      </c>
      <c r="AS363">
        <v>0</v>
      </c>
      <c r="AT363">
        <v>0</v>
      </c>
      <c r="AU363">
        <v>0.77900000000000003</v>
      </c>
      <c r="AV363">
        <v>0</v>
      </c>
      <c r="AW363">
        <v>2.504</v>
      </c>
      <c r="AX363">
        <v>0</v>
      </c>
      <c r="AY363">
        <v>9.07</v>
      </c>
      <c r="AZ363">
        <v>0</v>
      </c>
      <c r="BA363">
        <v>12362057</v>
      </c>
      <c r="BB363">
        <v>0</v>
      </c>
      <c r="BC363">
        <v>0</v>
      </c>
      <c r="BD363">
        <v>0</v>
      </c>
      <c r="BE363">
        <v>0</v>
      </c>
      <c r="BF363">
        <v>0</v>
      </c>
      <c r="BG363">
        <v>0</v>
      </c>
      <c r="BH363">
        <v>0</v>
      </c>
      <c r="BI363">
        <v>0</v>
      </c>
      <c r="BJ363">
        <v>0</v>
      </c>
      <c r="BK363">
        <v>0</v>
      </c>
      <c r="BL363">
        <v>0</v>
      </c>
      <c r="BM363">
        <v>0</v>
      </c>
      <c r="BN363">
        <v>2448</v>
      </c>
      <c r="BO363">
        <v>1894</v>
      </c>
      <c r="BP363">
        <v>0</v>
      </c>
      <c r="BQ363">
        <v>0</v>
      </c>
      <c r="BR363">
        <v>0</v>
      </c>
      <c r="BS363">
        <v>0</v>
      </c>
      <c r="BT363">
        <v>0</v>
      </c>
      <c r="BU363">
        <v>0</v>
      </c>
      <c r="BV363">
        <v>199</v>
      </c>
      <c r="BW363">
        <v>160</v>
      </c>
      <c r="BX363">
        <v>142</v>
      </c>
      <c r="BY363">
        <v>85</v>
      </c>
      <c r="BZ363">
        <v>82</v>
      </c>
      <c r="CA363">
        <v>668</v>
      </c>
      <c r="CB363">
        <v>0</v>
      </c>
      <c r="CC363">
        <v>0.124</v>
      </c>
      <c r="CD363">
        <v>118.14500000000001</v>
      </c>
      <c r="CE363">
        <v>28</v>
      </c>
      <c r="CF363">
        <v>203.43</v>
      </c>
      <c r="CG363">
        <v>0</v>
      </c>
      <c r="CH363">
        <v>0</v>
      </c>
      <c r="CI363">
        <v>4</v>
      </c>
      <c r="CJ363">
        <v>2</v>
      </c>
      <c r="CK363">
        <v>0</v>
      </c>
      <c r="CL363">
        <v>0</v>
      </c>
      <c r="CM363">
        <v>370.39500000000004</v>
      </c>
      <c r="CN363">
        <v>0</v>
      </c>
      <c r="CO363">
        <v>0</v>
      </c>
      <c r="CP363">
        <v>0</v>
      </c>
      <c r="CQ363">
        <v>0</v>
      </c>
      <c r="CR363">
        <v>0</v>
      </c>
      <c r="CS363">
        <v>0</v>
      </c>
      <c r="CT363">
        <v>0</v>
      </c>
      <c r="CU363">
        <v>0</v>
      </c>
      <c r="CV363">
        <v>44.033999999999999</v>
      </c>
      <c r="CW363">
        <v>28.999000000000002</v>
      </c>
      <c r="CX363">
        <v>0</v>
      </c>
      <c r="CY363" s="2043">
        <v>0</v>
      </c>
      <c r="CZ363" s="2043">
        <v>0</v>
      </c>
      <c r="DA363" s="2043">
        <v>0</v>
      </c>
      <c r="DB363" s="2043">
        <v>0</v>
      </c>
      <c r="DC363" s="2043">
        <v>0</v>
      </c>
      <c r="DI363" t="s">
        <v>7993</v>
      </c>
      <c r="DJ363" t="s">
        <v>7992</v>
      </c>
      <c r="DK363" s="2042">
        <f t="shared" si="7"/>
        <v>2</v>
      </c>
    </row>
    <row r="364" spans="1:115">
      <c r="A364" t="s">
        <v>7994</v>
      </c>
      <c r="B364" t="s">
        <v>11309</v>
      </c>
      <c r="C364">
        <v>245.08600000000001</v>
      </c>
      <c r="D364">
        <v>251.126</v>
      </c>
      <c r="E364">
        <v>33.353999999999999</v>
      </c>
      <c r="F364">
        <v>0</v>
      </c>
      <c r="G364" s="2043">
        <v>0</v>
      </c>
      <c r="H364">
        <v>0</v>
      </c>
      <c r="I364" s="2043">
        <v>0</v>
      </c>
      <c r="J364">
        <v>0</v>
      </c>
      <c r="K364">
        <v>0</v>
      </c>
      <c r="L364">
        <v>0</v>
      </c>
      <c r="M364">
        <v>0</v>
      </c>
      <c r="N364">
        <v>0</v>
      </c>
      <c r="O364">
        <v>0</v>
      </c>
      <c r="P364">
        <v>0</v>
      </c>
      <c r="Q364">
        <v>0</v>
      </c>
      <c r="R364" s="2043">
        <v>0</v>
      </c>
      <c r="S364">
        <v>0</v>
      </c>
      <c r="T364">
        <v>0</v>
      </c>
      <c r="U364">
        <v>0</v>
      </c>
      <c r="V364">
        <v>0</v>
      </c>
      <c r="W364">
        <v>0</v>
      </c>
      <c r="X364">
        <v>0</v>
      </c>
      <c r="Y364">
        <v>134540</v>
      </c>
      <c r="Z364">
        <v>0</v>
      </c>
      <c r="AA364">
        <v>0.97400000000000009</v>
      </c>
      <c r="AB364">
        <v>247.13900000000001</v>
      </c>
      <c r="AC364" s="2043">
        <v>0</v>
      </c>
      <c r="AD364">
        <v>0</v>
      </c>
      <c r="AE364" s="2043">
        <v>0</v>
      </c>
      <c r="AF364">
        <v>0</v>
      </c>
      <c r="AG364">
        <v>0</v>
      </c>
      <c r="AH364">
        <v>0</v>
      </c>
      <c r="AI364">
        <v>0</v>
      </c>
      <c r="AJ364">
        <v>48.938000000000002</v>
      </c>
      <c r="AK364">
        <v>598</v>
      </c>
      <c r="AL364">
        <v>0.27</v>
      </c>
      <c r="AM364">
        <v>0</v>
      </c>
      <c r="AN364">
        <v>13.698</v>
      </c>
      <c r="AO364">
        <v>0</v>
      </c>
      <c r="AP364">
        <v>0</v>
      </c>
      <c r="AQ364">
        <v>0</v>
      </c>
      <c r="AR364">
        <v>2.867</v>
      </c>
      <c r="AS364">
        <v>0</v>
      </c>
      <c r="AT364">
        <v>0</v>
      </c>
      <c r="AU364">
        <v>0.14100000000000001</v>
      </c>
      <c r="AV364">
        <v>0</v>
      </c>
      <c r="AW364">
        <v>3.278</v>
      </c>
      <c r="AX364">
        <v>0</v>
      </c>
      <c r="AY364">
        <v>10.656000000000001</v>
      </c>
      <c r="AZ364">
        <v>0</v>
      </c>
      <c r="BA364">
        <v>2771194</v>
      </c>
      <c r="BB364">
        <v>0</v>
      </c>
      <c r="BC364">
        <v>0</v>
      </c>
      <c r="BD364">
        <v>0</v>
      </c>
      <c r="BE364">
        <v>0</v>
      </c>
      <c r="BF364">
        <v>0</v>
      </c>
      <c r="BG364">
        <v>0</v>
      </c>
      <c r="BH364">
        <v>0</v>
      </c>
      <c r="BI364">
        <v>0</v>
      </c>
      <c r="BJ364">
        <v>0</v>
      </c>
      <c r="BK364">
        <v>0</v>
      </c>
      <c r="BL364">
        <v>0</v>
      </c>
      <c r="BM364">
        <v>0</v>
      </c>
      <c r="BN364">
        <v>4905</v>
      </c>
      <c r="BO364">
        <v>0</v>
      </c>
      <c r="BP364">
        <v>0</v>
      </c>
      <c r="BQ364">
        <v>0</v>
      </c>
      <c r="BR364">
        <v>0</v>
      </c>
      <c r="BS364">
        <v>0</v>
      </c>
      <c r="BT364">
        <v>26108</v>
      </c>
      <c r="BU364">
        <v>0</v>
      </c>
      <c r="BV364">
        <v>35</v>
      </c>
      <c r="BW364">
        <v>31</v>
      </c>
      <c r="BX364">
        <v>34</v>
      </c>
      <c r="BY364">
        <v>52</v>
      </c>
      <c r="BZ364">
        <v>42</v>
      </c>
      <c r="CA364">
        <v>194</v>
      </c>
      <c r="CB364">
        <v>0</v>
      </c>
      <c r="CC364">
        <v>0</v>
      </c>
      <c r="CD364">
        <v>0</v>
      </c>
      <c r="CE364">
        <v>10</v>
      </c>
      <c r="CF364">
        <v>0</v>
      </c>
      <c r="CG364">
        <v>245.08600000000001</v>
      </c>
      <c r="CH364">
        <v>0</v>
      </c>
      <c r="CI364">
        <v>0</v>
      </c>
      <c r="CJ364">
        <v>0</v>
      </c>
      <c r="CK364">
        <v>0</v>
      </c>
      <c r="CL364">
        <v>245.08600000000001</v>
      </c>
      <c r="CM364">
        <v>33.353999999999999</v>
      </c>
      <c r="CN364">
        <v>0</v>
      </c>
      <c r="CO364">
        <v>0</v>
      </c>
      <c r="CP364">
        <v>0</v>
      </c>
      <c r="CQ364">
        <v>0</v>
      </c>
      <c r="CR364">
        <v>0</v>
      </c>
      <c r="CS364">
        <v>0</v>
      </c>
      <c r="CT364">
        <v>0</v>
      </c>
      <c r="CU364">
        <v>0</v>
      </c>
      <c r="CV364">
        <v>9.3120000000000012</v>
      </c>
      <c r="CW364">
        <v>0</v>
      </c>
      <c r="CX364">
        <v>26108</v>
      </c>
      <c r="CY364" s="2043">
        <v>65105</v>
      </c>
      <c r="CZ364" s="2043">
        <v>0</v>
      </c>
      <c r="DA364" s="2043">
        <v>0</v>
      </c>
      <c r="DB364" s="2043">
        <v>0</v>
      </c>
      <c r="DC364" s="2043">
        <v>0</v>
      </c>
      <c r="DI364" t="s">
        <v>7994</v>
      </c>
      <c r="DJ364" t="s">
        <v>7994</v>
      </c>
      <c r="DK364" s="2042">
        <f t="shared" si="7"/>
        <v>0</v>
      </c>
    </row>
    <row r="365" spans="1:115">
      <c r="A365" t="s">
        <v>7995</v>
      </c>
      <c r="B365" t="s">
        <v>11310</v>
      </c>
      <c r="C365">
        <v>4234.6940000000004</v>
      </c>
      <c r="D365">
        <v>3905.0910000000003</v>
      </c>
      <c r="E365">
        <v>1079.5650000000001</v>
      </c>
      <c r="F365">
        <v>0</v>
      </c>
      <c r="G365" s="2043">
        <v>0</v>
      </c>
      <c r="H365">
        <v>0</v>
      </c>
      <c r="I365" s="2043">
        <v>0</v>
      </c>
      <c r="J365">
        <v>211.73500000000001</v>
      </c>
      <c r="K365">
        <v>579</v>
      </c>
      <c r="L365">
        <v>0</v>
      </c>
      <c r="M365">
        <v>0</v>
      </c>
      <c r="N365">
        <v>0</v>
      </c>
      <c r="O365">
        <v>0</v>
      </c>
      <c r="P365">
        <v>0</v>
      </c>
      <c r="Q365">
        <v>0</v>
      </c>
      <c r="R365" s="2043">
        <v>0</v>
      </c>
      <c r="S365">
        <v>0</v>
      </c>
      <c r="T365">
        <v>0</v>
      </c>
      <c r="U365">
        <v>0</v>
      </c>
      <c r="V365">
        <v>592.654</v>
      </c>
      <c r="W365">
        <v>0</v>
      </c>
      <c r="X365">
        <v>0</v>
      </c>
      <c r="Y365">
        <v>748619</v>
      </c>
      <c r="Z365">
        <v>0</v>
      </c>
      <c r="AA365">
        <v>0.11700000000000001</v>
      </c>
      <c r="AB365">
        <v>3905.0910000000003</v>
      </c>
      <c r="AC365" s="2043">
        <v>0</v>
      </c>
      <c r="AD365">
        <v>0</v>
      </c>
      <c r="AE365" s="2043">
        <v>0</v>
      </c>
      <c r="AF365">
        <v>0</v>
      </c>
      <c r="AG365">
        <v>0</v>
      </c>
      <c r="AH365">
        <v>0</v>
      </c>
      <c r="AI365">
        <v>0</v>
      </c>
      <c r="AJ365">
        <v>818.57500000000005</v>
      </c>
      <c r="AK365">
        <v>9046</v>
      </c>
      <c r="AL365">
        <v>0</v>
      </c>
      <c r="AM365">
        <v>0</v>
      </c>
      <c r="AN365">
        <v>51.152000000000001</v>
      </c>
      <c r="AO365">
        <v>0</v>
      </c>
      <c r="AP365">
        <v>0</v>
      </c>
      <c r="AQ365">
        <v>0</v>
      </c>
      <c r="AR365">
        <v>86.591999999999999</v>
      </c>
      <c r="AS365">
        <v>0</v>
      </c>
      <c r="AT365">
        <v>14.663</v>
      </c>
      <c r="AU365">
        <v>7.367</v>
      </c>
      <c r="AV365">
        <v>0</v>
      </c>
      <c r="AW365">
        <v>108.622</v>
      </c>
      <c r="AX365">
        <v>0</v>
      </c>
      <c r="AY365">
        <v>340.6</v>
      </c>
      <c r="AZ365">
        <v>0</v>
      </c>
      <c r="BA365">
        <v>46377247</v>
      </c>
      <c r="BB365">
        <v>0</v>
      </c>
      <c r="BC365">
        <v>0</v>
      </c>
      <c r="BD365">
        <v>0</v>
      </c>
      <c r="BE365">
        <v>0</v>
      </c>
      <c r="BF365">
        <v>0</v>
      </c>
      <c r="BG365">
        <v>0</v>
      </c>
      <c r="BH365">
        <v>0</v>
      </c>
      <c r="BI365">
        <v>0</v>
      </c>
      <c r="BJ365">
        <v>0</v>
      </c>
      <c r="BK365">
        <v>0</v>
      </c>
      <c r="BL365">
        <v>0</v>
      </c>
      <c r="BM365">
        <v>0</v>
      </c>
      <c r="BN365">
        <v>9576</v>
      </c>
      <c r="BO365">
        <v>2087</v>
      </c>
      <c r="BP365">
        <v>296535</v>
      </c>
      <c r="BQ365">
        <v>0</v>
      </c>
      <c r="BR365">
        <v>0</v>
      </c>
      <c r="BS365">
        <v>0</v>
      </c>
      <c r="BT365">
        <v>0</v>
      </c>
      <c r="BU365">
        <v>0</v>
      </c>
      <c r="BV365">
        <v>522</v>
      </c>
      <c r="BW365">
        <v>724</v>
      </c>
      <c r="BX365">
        <v>766</v>
      </c>
      <c r="BY365">
        <v>794</v>
      </c>
      <c r="BZ365">
        <v>470</v>
      </c>
      <c r="CA365">
        <v>3276</v>
      </c>
      <c r="CB365">
        <v>0</v>
      </c>
      <c r="CC365">
        <v>0</v>
      </c>
      <c r="CD365">
        <v>0</v>
      </c>
      <c r="CE365">
        <v>124</v>
      </c>
      <c r="CF365">
        <v>1488.4830000000002</v>
      </c>
      <c r="CG365">
        <v>0</v>
      </c>
      <c r="CH365">
        <v>0</v>
      </c>
      <c r="CI365">
        <v>32</v>
      </c>
      <c r="CJ365">
        <v>9</v>
      </c>
      <c r="CK365">
        <v>1</v>
      </c>
      <c r="CL365">
        <v>0</v>
      </c>
      <c r="CM365">
        <v>1079.5650000000001</v>
      </c>
      <c r="CN365">
        <v>23826</v>
      </c>
      <c r="CO365">
        <v>117737</v>
      </c>
      <c r="CP365">
        <v>154972</v>
      </c>
      <c r="CQ365">
        <v>0</v>
      </c>
      <c r="CR365">
        <v>0</v>
      </c>
      <c r="CS365">
        <v>0</v>
      </c>
      <c r="CT365">
        <v>0</v>
      </c>
      <c r="CU365">
        <v>22.632000000000001</v>
      </c>
      <c r="CV365">
        <v>87.288000000000011</v>
      </c>
      <c r="CW365">
        <v>63.534000000000006</v>
      </c>
      <c r="CX365">
        <v>0</v>
      </c>
      <c r="CY365" s="2043">
        <v>0</v>
      </c>
      <c r="CZ365" s="2043">
        <v>0</v>
      </c>
      <c r="DA365" s="2043">
        <v>0</v>
      </c>
      <c r="DB365" s="2043">
        <v>0</v>
      </c>
      <c r="DC365" s="2043">
        <v>0</v>
      </c>
      <c r="DI365" t="s">
        <v>7995</v>
      </c>
      <c r="DJ365" t="s">
        <v>7995</v>
      </c>
      <c r="DK365" s="2042">
        <f t="shared" si="7"/>
        <v>0</v>
      </c>
    </row>
    <row r="366" spans="1:115">
      <c r="A366" t="s">
        <v>7996</v>
      </c>
      <c r="B366" t="s">
        <v>11311</v>
      </c>
      <c r="C366">
        <v>160.512</v>
      </c>
      <c r="D366">
        <v>178.489</v>
      </c>
      <c r="E366">
        <v>0</v>
      </c>
      <c r="F366">
        <v>0</v>
      </c>
      <c r="G366" s="2043">
        <v>0</v>
      </c>
      <c r="H366">
        <v>0</v>
      </c>
      <c r="I366" s="2043">
        <v>0</v>
      </c>
      <c r="J366">
        <v>0</v>
      </c>
      <c r="K366">
        <v>0</v>
      </c>
      <c r="L366">
        <v>0</v>
      </c>
      <c r="M366">
        <v>0</v>
      </c>
      <c r="N366">
        <v>0</v>
      </c>
      <c r="O366">
        <v>0</v>
      </c>
      <c r="P366">
        <v>0</v>
      </c>
      <c r="Q366">
        <v>0</v>
      </c>
      <c r="R366" s="2043">
        <v>0</v>
      </c>
      <c r="S366">
        <v>0</v>
      </c>
      <c r="T366">
        <v>0</v>
      </c>
      <c r="U366">
        <v>0</v>
      </c>
      <c r="V366">
        <v>0</v>
      </c>
      <c r="W366">
        <v>0</v>
      </c>
      <c r="X366">
        <v>0</v>
      </c>
      <c r="Y366">
        <v>0</v>
      </c>
      <c r="Z366">
        <v>0</v>
      </c>
      <c r="AA366">
        <v>0</v>
      </c>
      <c r="AB366">
        <v>173.60900000000001</v>
      </c>
      <c r="AC366" s="2043">
        <v>0</v>
      </c>
      <c r="AD366">
        <v>0</v>
      </c>
      <c r="AE366" s="2043">
        <v>0</v>
      </c>
      <c r="AF366">
        <v>0</v>
      </c>
      <c r="AG366">
        <v>0</v>
      </c>
      <c r="AH366">
        <v>0</v>
      </c>
      <c r="AI366">
        <v>0</v>
      </c>
      <c r="AJ366">
        <v>49.463000000000001</v>
      </c>
      <c r="AK366">
        <v>270</v>
      </c>
      <c r="AL366">
        <v>0</v>
      </c>
      <c r="AM366">
        <v>0</v>
      </c>
      <c r="AN366">
        <v>0.755</v>
      </c>
      <c r="AO366">
        <v>0</v>
      </c>
      <c r="AP366">
        <v>0</v>
      </c>
      <c r="AQ366">
        <v>0</v>
      </c>
      <c r="AR366">
        <v>3.077</v>
      </c>
      <c r="AS366">
        <v>0</v>
      </c>
      <c r="AT366">
        <v>0</v>
      </c>
      <c r="AU366">
        <v>0.36399999999999999</v>
      </c>
      <c r="AV366">
        <v>0</v>
      </c>
      <c r="AW366">
        <v>3.4410000000000003</v>
      </c>
      <c r="AX366">
        <v>0</v>
      </c>
      <c r="AY366">
        <v>11.051</v>
      </c>
      <c r="AZ366">
        <v>0</v>
      </c>
      <c r="BA366">
        <v>1992609</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2</v>
      </c>
      <c r="BW366">
        <v>3</v>
      </c>
      <c r="BX366">
        <v>5</v>
      </c>
      <c r="BY366">
        <v>108</v>
      </c>
      <c r="BZ366">
        <v>68</v>
      </c>
      <c r="CA366">
        <v>186</v>
      </c>
      <c r="CB366">
        <v>0</v>
      </c>
      <c r="CC366">
        <v>143.72400000000002</v>
      </c>
      <c r="CD366">
        <v>0</v>
      </c>
      <c r="CE366">
        <v>0</v>
      </c>
      <c r="CF366">
        <v>195.458</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s="2043">
        <v>0</v>
      </c>
      <c r="CZ366" s="2043">
        <v>0</v>
      </c>
      <c r="DA366" s="2043">
        <v>0</v>
      </c>
      <c r="DB366" s="2043">
        <v>0</v>
      </c>
      <c r="DC366" s="2043">
        <v>0</v>
      </c>
      <c r="DI366" t="s">
        <v>7996</v>
      </c>
      <c r="DJ366" t="s">
        <v>7996</v>
      </c>
      <c r="DK366" s="2042">
        <f t="shared" si="7"/>
        <v>0</v>
      </c>
    </row>
    <row r="367" spans="1:115">
      <c r="A367" t="s">
        <v>7998</v>
      </c>
      <c r="B367" t="s">
        <v>11312</v>
      </c>
      <c r="C367">
        <v>253.63500000000002</v>
      </c>
      <c r="D367">
        <v>221.01500000000001</v>
      </c>
      <c r="E367">
        <v>153.90600000000001</v>
      </c>
      <c r="F367">
        <v>0</v>
      </c>
      <c r="G367" s="2043">
        <v>0</v>
      </c>
      <c r="H367">
        <v>0</v>
      </c>
      <c r="I367" s="2043">
        <v>0</v>
      </c>
      <c r="J367">
        <v>12.682</v>
      </c>
      <c r="K367">
        <v>35</v>
      </c>
      <c r="L367">
        <v>0</v>
      </c>
      <c r="M367">
        <v>0</v>
      </c>
      <c r="N367">
        <v>0</v>
      </c>
      <c r="O367">
        <v>0</v>
      </c>
      <c r="P367">
        <v>0</v>
      </c>
      <c r="Q367">
        <v>0</v>
      </c>
      <c r="R367" s="2043">
        <v>0</v>
      </c>
      <c r="S367">
        <v>0</v>
      </c>
      <c r="T367">
        <v>0</v>
      </c>
      <c r="U367">
        <v>0</v>
      </c>
      <c r="V367">
        <v>89.632000000000005</v>
      </c>
      <c r="W367">
        <v>0</v>
      </c>
      <c r="X367">
        <v>0</v>
      </c>
      <c r="Y367">
        <v>44838</v>
      </c>
      <c r="Z367">
        <v>0</v>
      </c>
      <c r="AA367">
        <v>0</v>
      </c>
      <c r="AB367">
        <v>195.64700000000002</v>
      </c>
      <c r="AC367" s="2043">
        <v>0</v>
      </c>
      <c r="AD367">
        <v>0</v>
      </c>
      <c r="AE367" s="2043">
        <v>0</v>
      </c>
      <c r="AF367">
        <v>0</v>
      </c>
      <c r="AG367">
        <v>0</v>
      </c>
      <c r="AH367">
        <v>0</v>
      </c>
      <c r="AI367">
        <v>0</v>
      </c>
      <c r="AJ367">
        <v>60.5</v>
      </c>
      <c r="AK367">
        <v>712</v>
      </c>
      <c r="AL367">
        <v>0</v>
      </c>
      <c r="AM367">
        <v>0</v>
      </c>
      <c r="AN367">
        <v>19.806000000000001</v>
      </c>
      <c r="AO367">
        <v>0</v>
      </c>
      <c r="AP367">
        <v>0</v>
      </c>
      <c r="AQ367">
        <v>0</v>
      </c>
      <c r="AR367">
        <v>2.3170000000000002</v>
      </c>
      <c r="AS367">
        <v>0</v>
      </c>
      <c r="AT367">
        <v>0</v>
      </c>
      <c r="AU367">
        <v>0.34200000000000003</v>
      </c>
      <c r="AV367">
        <v>0</v>
      </c>
      <c r="AW367">
        <v>2.6590000000000003</v>
      </c>
      <c r="AX367">
        <v>0</v>
      </c>
      <c r="AY367">
        <v>8.6609999999999996</v>
      </c>
      <c r="AZ367">
        <v>0</v>
      </c>
      <c r="BA367">
        <v>2988430</v>
      </c>
      <c r="BB367">
        <v>0</v>
      </c>
      <c r="BC367">
        <v>0</v>
      </c>
      <c r="BD367">
        <v>8322</v>
      </c>
      <c r="BE367">
        <v>0</v>
      </c>
      <c r="BF367">
        <v>8322</v>
      </c>
      <c r="BG367">
        <v>8322</v>
      </c>
      <c r="BH367">
        <v>0</v>
      </c>
      <c r="BI367">
        <v>0</v>
      </c>
      <c r="BJ367">
        <v>0</v>
      </c>
      <c r="BK367">
        <v>0</v>
      </c>
      <c r="BL367">
        <v>0</v>
      </c>
      <c r="BM367">
        <v>0</v>
      </c>
      <c r="BN367">
        <v>0</v>
      </c>
      <c r="BO367">
        <v>0</v>
      </c>
      <c r="BP367">
        <v>0</v>
      </c>
      <c r="BQ367">
        <v>22000</v>
      </c>
      <c r="BR367">
        <v>0</v>
      </c>
      <c r="BS367">
        <v>0</v>
      </c>
      <c r="BT367">
        <v>0</v>
      </c>
      <c r="BU367">
        <v>0</v>
      </c>
      <c r="BV367">
        <v>21</v>
      </c>
      <c r="BW367">
        <v>15</v>
      </c>
      <c r="BX367">
        <v>20</v>
      </c>
      <c r="BY367">
        <v>51</v>
      </c>
      <c r="BZ367">
        <v>123</v>
      </c>
      <c r="CA367">
        <v>230</v>
      </c>
      <c r="CB367">
        <v>0</v>
      </c>
      <c r="CC367">
        <v>0</v>
      </c>
      <c r="CD367">
        <v>0</v>
      </c>
      <c r="CE367">
        <v>15</v>
      </c>
      <c r="CF367">
        <v>0</v>
      </c>
      <c r="CG367">
        <v>0</v>
      </c>
      <c r="CH367">
        <v>0</v>
      </c>
      <c r="CI367">
        <v>0</v>
      </c>
      <c r="CJ367">
        <v>0</v>
      </c>
      <c r="CK367">
        <v>0</v>
      </c>
      <c r="CL367">
        <v>0</v>
      </c>
      <c r="CM367">
        <v>153.90600000000001</v>
      </c>
      <c r="CN367">
        <v>0</v>
      </c>
      <c r="CO367">
        <v>0</v>
      </c>
      <c r="CP367">
        <v>0</v>
      </c>
      <c r="CQ367">
        <v>0</v>
      </c>
      <c r="CR367">
        <v>0</v>
      </c>
      <c r="CS367">
        <v>0</v>
      </c>
      <c r="CT367">
        <v>0</v>
      </c>
      <c r="CU367">
        <v>0</v>
      </c>
      <c r="CV367">
        <v>2.35</v>
      </c>
      <c r="CW367">
        <v>5.032</v>
      </c>
      <c r="CX367">
        <v>0</v>
      </c>
      <c r="CY367" s="2043">
        <v>0</v>
      </c>
      <c r="CZ367" s="2043">
        <v>0</v>
      </c>
      <c r="DA367" s="2043">
        <v>0</v>
      </c>
      <c r="DB367" s="2043">
        <v>0</v>
      </c>
      <c r="DC367" s="2043">
        <v>0</v>
      </c>
      <c r="DI367" t="s">
        <v>7997</v>
      </c>
      <c r="DJ367" t="s">
        <v>7998</v>
      </c>
      <c r="DK367" s="2042">
        <f t="shared" si="7"/>
        <v>-1</v>
      </c>
    </row>
    <row r="368" spans="1:115">
      <c r="A368" t="s">
        <v>7997</v>
      </c>
      <c r="B368" t="s">
        <v>11313</v>
      </c>
      <c r="C368">
        <v>287.46100000000001</v>
      </c>
      <c r="D368">
        <v>257.76499999999999</v>
      </c>
      <c r="E368">
        <v>92.094000000000008</v>
      </c>
      <c r="F368">
        <v>0</v>
      </c>
      <c r="G368" s="2043">
        <v>0</v>
      </c>
      <c r="H368">
        <v>0</v>
      </c>
      <c r="I368" s="2043">
        <v>0</v>
      </c>
      <c r="J368">
        <v>0</v>
      </c>
      <c r="K368">
        <v>0</v>
      </c>
      <c r="L368">
        <v>0</v>
      </c>
      <c r="M368">
        <v>0</v>
      </c>
      <c r="N368">
        <v>0</v>
      </c>
      <c r="O368">
        <v>0</v>
      </c>
      <c r="P368">
        <v>0</v>
      </c>
      <c r="Q368">
        <v>0</v>
      </c>
      <c r="R368" s="2043">
        <v>0</v>
      </c>
      <c r="S368">
        <v>0</v>
      </c>
      <c r="T368">
        <v>0</v>
      </c>
      <c r="U368">
        <v>0</v>
      </c>
      <c r="V368">
        <v>0</v>
      </c>
      <c r="W368">
        <v>0</v>
      </c>
      <c r="X368">
        <v>0</v>
      </c>
      <c r="Y368">
        <v>50818</v>
      </c>
      <c r="Z368">
        <v>0</v>
      </c>
      <c r="AA368">
        <v>0</v>
      </c>
      <c r="AB368">
        <v>236.167</v>
      </c>
      <c r="AC368" s="2043">
        <v>0</v>
      </c>
      <c r="AD368">
        <v>0</v>
      </c>
      <c r="AE368" s="2043">
        <v>0</v>
      </c>
      <c r="AF368">
        <v>0</v>
      </c>
      <c r="AG368">
        <v>0</v>
      </c>
      <c r="AH368">
        <v>0</v>
      </c>
      <c r="AI368">
        <v>0</v>
      </c>
      <c r="AJ368">
        <v>46.65</v>
      </c>
      <c r="AK368">
        <v>184</v>
      </c>
      <c r="AL368">
        <v>0</v>
      </c>
      <c r="AM368">
        <v>0</v>
      </c>
      <c r="AN368">
        <v>3.8240000000000003</v>
      </c>
      <c r="AO368">
        <v>0</v>
      </c>
      <c r="AP368">
        <v>0</v>
      </c>
      <c r="AQ368">
        <v>0</v>
      </c>
      <c r="AR368">
        <v>0.55800000000000005</v>
      </c>
      <c r="AS368">
        <v>0</v>
      </c>
      <c r="AT368">
        <v>0</v>
      </c>
      <c r="AU368">
        <v>0.41100000000000003</v>
      </c>
      <c r="AV368">
        <v>0</v>
      </c>
      <c r="AW368">
        <v>0.96900000000000008</v>
      </c>
      <c r="AX368">
        <v>0</v>
      </c>
      <c r="AY368">
        <v>3.7290000000000001</v>
      </c>
      <c r="AZ368">
        <v>0</v>
      </c>
      <c r="BA368">
        <v>2921940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48</v>
      </c>
      <c r="BW368">
        <v>57</v>
      </c>
      <c r="BX368">
        <v>66</v>
      </c>
      <c r="BY368">
        <v>19</v>
      </c>
      <c r="BZ368">
        <v>3</v>
      </c>
      <c r="CA368">
        <v>193</v>
      </c>
      <c r="CB368">
        <v>0</v>
      </c>
      <c r="CC368">
        <v>1.0070000000000001</v>
      </c>
      <c r="CD368">
        <v>0</v>
      </c>
      <c r="CE368">
        <v>11</v>
      </c>
      <c r="CF368">
        <v>113.80200000000001</v>
      </c>
      <c r="CG368">
        <v>0</v>
      </c>
      <c r="CH368">
        <v>0</v>
      </c>
      <c r="CI368">
        <v>0</v>
      </c>
      <c r="CJ368">
        <v>0</v>
      </c>
      <c r="CK368">
        <v>0</v>
      </c>
      <c r="CL368">
        <v>0</v>
      </c>
      <c r="CM368">
        <v>92.094000000000008</v>
      </c>
      <c r="CN368">
        <v>0</v>
      </c>
      <c r="CO368">
        <v>0</v>
      </c>
      <c r="CP368">
        <v>0</v>
      </c>
      <c r="CQ368">
        <v>0</v>
      </c>
      <c r="CR368">
        <v>0</v>
      </c>
      <c r="CS368">
        <v>0</v>
      </c>
      <c r="CT368">
        <v>0</v>
      </c>
      <c r="CU368">
        <v>0</v>
      </c>
      <c r="CV368">
        <v>0</v>
      </c>
      <c r="CW368">
        <v>0</v>
      </c>
      <c r="CX368">
        <v>0</v>
      </c>
      <c r="CY368" s="2043">
        <v>0</v>
      </c>
      <c r="CZ368" s="2043">
        <v>0</v>
      </c>
      <c r="DA368" s="2043">
        <v>0</v>
      </c>
      <c r="DB368" s="2043">
        <v>0</v>
      </c>
      <c r="DC368" s="2043">
        <v>0</v>
      </c>
      <c r="DI368" t="s">
        <v>7998</v>
      </c>
      <c r="DJ368" t="s">
        <v>7997</v>
      </c>
      <c r="DK368" s="2042">
        <f t="shared" si="7"/>
        <v>1</v>
      </c>
    </row>
    <row r="369" spans="1:115">
      <c r="A369" t="s">
        <v>2980</v>
      </c>
      <c r="B369" t="s">
        <v>541</v>
      </c>
      <c r="C369">
        <v>9768.0540000000001</v>
      </c>
      <c r="D369">
        <v>10302.030000000001</v>
      </c>
      <c r="E369">
        <v>1614.933</v>
      </c>
      <c r="F369">
        <v>0</v>
      </c>
      <c r="G369" s="2043">
        <v>1753853383</v>
      </c>
      <c r="H369">
        <v>0</v>
      </c>
      <c r="I369" s="2043">
        <v>12582980</v>
      </c>
      <c r="J369">
        <v>488.40300000000002</v>
      </c>
      <c r="K369">
        <v>1335</v>
      </c>
      <c r="L369">
        <v>3523645</v>
      </c>
      <c r="M369">
        <v>3750452</v>
      </c>
      <c r="N369">
        <v>3523645</v>
      </c>
      <c r="O369">
        <v>7274097</v>
      </c>
      <c r="P369">
        <v>0</v>
      </c>
      <c r="Q369">
        <v>0</v>
      </c>
      <c r="R369" s="2043">
        <v>14320605</v>
      </c>
      <c r="S369">
        <v>1393733</v>
      </c>
      <c r="T369">
        <v>1015683</v>
      </c>
      <c r="U369">
        <v>0.08</v>
      </c>
      <c r="V369">
        <v>0</v>
      </c>
      <c r="W369">
        <v>0</v>
      </c>
      <c r="X369">
        <v>0</v>
      </c>
      <c r="Y369">
        <v>0</v>
      </c>
      <c r="Z369">
        <v>0</v>
      </c>
      <c r="AA369">
        <v>1.081</v>
      </c>
      <c r="AB369">
        <v>10300.612999999999</v>
      </c>
      <c r="AC369" s="2043">
        <v>1410614786</v>
      </c>
      <c r="AD369">
        <v>6545829</v>
      </c>
      <c r="AE369" s="2043">
        <v>16730021</v>
      </c>
      <c r="AF369">
        <v>0.96030000000000004</v>
      </c>
      <c r="AG369">
        <v>0</v>
      </c>
      <c r="AH369">
        <v>0</v>
      </c>
      <c r="AI369">
        <v>0</v>
      </c>
      <c r="AJ369">
        <v>2239.8250000000003</v>
      </c>
      <c r="AK369">
        <v>32650</v>
      </c>
      <c r="AL369">
        <v>1.93</v>
      </c>
      <c r="AM369">
        <v>0</v>
      </c>
      <c r="AN369">
        <v>337.173</v>
      </c>
      <c r="AO369">
        <v>0</v>
      </c>
      <c r="AP369">
        <v>0</v>
      </c>
      <c r="AQ369">
        <v>0</v>
      </c>
      <c r="AR369">
        <v>210.44800000000001</v>
      </c>
      <c r="AS369">
        <v>0</v>
      </c>
      <c r="AT369">
        <v>106.337</v>
      </c>
      <c r="AU369">
        <v>18.777000000000001</v>
      </c>
      <c r="AV369">
        <v>0</v>
      </c>
      <c r="AW369">
        <v>337.49200000000002</v>
      </c>
      <c r="AX369">
        <v>0</v>
      </c>
      <c r="AY369">
        <v>1053.8900000000001</v>
      </c>
      <c r="AZ369">
        <v>0</v>
      </c>
      <c r="BA369">
        <v>93664283</v>
      </c>
      <c r="BB369">
        <v>23275850</v>
      </c>
      <c r="BC369">
        <v>0</v>
      </c>
      <c r="BD369">
        <v>491707</v>
      </c>
      <c r="BE369">
        <v>206156</v>
      </c>
      <c r="BF369">
        <v>792331</v>
      </c>
      <c r="BG369">
        <v>491707</v>
      </c>
      <c r="BH369">
        <v>94468</v>
      </c>
      <c r="BI369">
        <v>0</v>
      </c>
      <c r="BJ369">
        <v>0</v>
      </c>
      <c r="BK369">
        <v>0</v>
      </c>
      <c r="BL369">
        <v>1753853383</v>
      </c>
      <c r="BM369">
        <v>0</v>
      </c>
      <c r="BN369">
        <v>41499</v>
      </c>
      <c r="BO369">
        <v>14370</v>
      </c>
      <c r="BP369">
        <v>319642</v>
      </c>
      <c r="BQ369">
        <v>0</v>
      </c>
      <c r="BR369">
        <v>0.82200000000000006</v>
      </c>
      <c r="BS369">
        <v>0.82200000000000006</v>
      </c>
      <c r="BT369">
        <v>0</v>
      </c>
      <c r="BU369">
        <v>0</v>
      </c>
      <c r="BV369">
        <v>688</v>
      </c>
      <c r="BW369">
        <v>3883</v>
      </c>
      <c r="BX369">
        <v>1912</v>
      </c>
      <c r="BY369">
        <v>2283</v>
      </c>
      <c r="BZ369">
        <v>311</v>
      </c>
      <c r="CA369">
        <v>9077</v>
      </c>
      <c r="CB369">
        <v>0</v>
      </c>
      <c r="CC369">
        <v>1828.818</v>
      </c>
      <c r="CD369">
        <v>0</v>
      </c>
      <c r="CE369">
        <v>106</v>
      </c>
      <c r="CF369">
        <v>3401.096</v>
      </c>
      <c r="CG369">
        <v>0</v>
      </c>
      <c r="CH369">
        <v>0</v>
      </c>
      <c r="CI369">
        <v>61</v>
      </c>
      <c r="CJ369">
        <v>7</v>
      </c>
      <c r="CK369">
        <v>0</v>
      </c>
      <c r="CL369">
        <v>0</v>
      </c>
      <c r="CM369">
        <v>1614.933</v>
      </c>
      <c r="CN369">
        <v>206556</v>
      </c>
      <c r="CO369">
        <v>74462</v>
      </c>
      <c r="CP369">
        <v>26624</v>
      </c>
      <c r="CQ369">
        <v>12000</v>
      </c>
      <c r="CR369">
        <v>0</v>
      </c>
      <c r="CS369">
        <v>57.861000000000004</v>
      </c>
      <c r="CT369">
        <v>0</v>
      </c>
      <c r="CU369">
        <v>3.2010000000000001</v>
      </c>
      <c r="CV369">
        <v>390.75800000000004</v>
      </c>
      <c r="CW369">
        <v>292.16500000000002</v>
      </c>
      <c r="CX369">
        <v>0</v>
      </c>
      <c r="CY369" s="2043">
        <v>0</v>
      </c>
      <c r="CZ369" s="2043">
        <v>0</v>
      </c>
      <c r="DA369" s="2043">
        <v>0</v>
      </c>
      <c r="DB369" s="2043">
        <v>0</v>
      </c>
      <c r="DC369" s="2043">
        <v>0</v>
      </c>
      <c r="DI369" t="s">
        <v>2980</v>
      </c>
      <c r="DJ369" t="s">
        <v>2980</v>
      </c>
      <c r="DK369" s="2042">
        <f t="shared" si="7"/>
        <v>0</v>
      </c>
    </row>
    <row r="370" spans="1:115">
      <c r="A370" t="s">
        <v>2981</v>
      </c>
      <c r="B370" t="s">
        <v>2275</v>
      </c>
      <c r="C370">
        <v>45204.023999999998</v>
      </c>
      <c r="D370">
        <v>48649.764000000003</v>
      </c>
      <c r="E370">
        <v>7572.05</v>
      </c>
      <c r="F370">
        <v>0</v>
      </c>
      <c r="G370" s="2043">
        <v>17614900467</v>
      </c>
      <c r="H370">
        <v>0</v>
      </c>
      <c r="I370" s="2043">
        <v>51937644</v>
      </c>
      <c r="J370">
        <v>2260.201</v>
      </c>
      <c r="K370">
        <v>6179</v>
      </c>
      <c r="L370">
        <v>0</v>
      </c>
      <c r="M370">
        <v>9773773</v>
      </c>
      <c r="N370">
        <v>0</v>
      </c>
      <c r="O370">
        <v>9773773</v>
      </c>
      <c r="P370">
        <v>0</v>
      </c>
      <c r="Q370">
        <v>0</v>
      </c>
      <c r="R370" s="2043">
        <v>157723042</v>
      </c>
      <c r="S370">
        <v>13814149</v>
      </c>
      <c r="T370">
        <v>10067061</v>
      </c>
      <c r="U370">
        <v>0.08</v>
      </c>
      <c r="V370">
        <v>0</v>
      </c>
      <c r="W370">
        <v>0</v>
      </c>
      <c r="X370">
        <v>0</v>
      </c>
      <c r="Y370">
        <v>-10279</v>
      </c>
      <c r="Z370">
        <v>0.97800000000000009</v>
      </c>
      <c r="AA370">
        <v>5.008</v>
      </c>
      <c r="AB370">
        <v>46389.267999999996</v>
      </c>
      <c r="AC370" s="2043">
        <v>17325761096</v>
      </c>
      <c r="AD370">
        <v>52192610</v>
      </c>
      <c r="AE370" s="2043">
        <v>181604252</v>
      </c>
      <c r="AF370">
        <v>1.0517000000000001</v>
      </c>
      <c r="AG370">
        <v>0</v>
      </c>
      <c r="AH370">
        <v>0</v>
      </c>
      <c r="AI370">
        <v>0</v>
      </c>
      <c r="AJ370">
        <v>9392.9629999999997</v>
      </c>
      <c r="AK370">
        <v>136941</v>
      </c>
      <c r="AL370">
        <v>4.8950000000000005</v>
      </c>
      <c r="AM370">
        <v>2.8760000000000003</v>
      </c>
      <c r="AN370">
        <v>1329.97</v>
      </c>
      <c r="AO370">
        <v>0</v>
      </c>
      <c r="AP370">
        <v>0.71900000000000008</v>
      </c>
      <c r="AQ370">
        <v>3.4370000000000003</v>
      </c>
      <c r="AR370">
        <v>706.41700000000003</v>
      </c>
      <c r="AS370">
        <v>0</v>
      </c>
      <c r="AT370">
        <v>570.87300000000005</v>
      </c>
      <c r="AU370">
        <v>118.76</v>
      </c>
      <c r="AV370">
        <v>0</v>
      </c>
      <c r="AW370">
        <v>1426.5320000000002</v>
      </c>
      <c r="AX370">
        <v>18.555</v>
      </c>
      <c r="AY370">
        <v>4503.3910000000005</v>
      </c>
      <c r="AZ370">
        <v>0</v>
      </c>
      <c r="BA370">
        <v>286395173</v>
      </c>
      <c r="BB370">
        <v>233796862</v>
      </c>
      <c r="BC370">
        <v>0</v>
      </c>
      <c r="BD370">
        <v>755113</v>
      </c>
      <c r="BE370">
        <v>851994</v>
      </c>
      <c r="BF370">
        <v>2953190</v>
      </c>
      <c r="BG370">
        <v>755113</v>
      </c>
      <c r="BH370">
        <v>1346083</v>
      </c>
      <c r="BI370">
        <v>-10279</v>
      </c>
      <c r="BJ370">
        <v>0</v>
      </c>
      <c r="BK370">
        <v>0</v>
      </c>
      <c r="BL370">
        <v>17614900467</v>
      </c>
      <c r="BM370">
        <v>0</v>
      </c>
      <c r="BN370">
        <v>203310</v>
      </c>
      <c r="BO370">
        <v>38039</v>
      </c>
      <c r="BP370">
        <v>9589</v>
      </c>
      <c r="BQ370">
        <v>0</v>
      </c>
      <c r="BR370">
        <v>0.91339999999999999</v>
      </c>
      <c r="BS370">
        <v>0.91339999999999999</v>
      </c>
      <c r="BT370">
        <v>0</v>
      </c>
      <c r="BU370">
        <v>0</v>
      </c>
      <c r="BV370">
        <v>5602</v>
      </c>
      <c r="BW370">
        <v>6422</v>
      </c>
      <c r="BX370">
        <v>6828</v>
      </c>
      <c r="BY370">
        <v>5957</v>
      </c>
      <c r="BZ370">
        <v>12133</v>
      </c>
      <c r="CA370">
        <v>36942</v>
      </c>
      <c r="CB370">
        <v>19</v>
      </c>
      <c r="CC370">
        <v>6234.5170000000007</v>
      </c>
      <c r="CD370">
        <v>3440.4660000000003</v>
      </c>
      <c r="CE370">
        <v>2954</v>
      </c>
      <c r="CF370">
        <v>13512.120999999999</v>
      </c>
      <c r="CG370">
        <v>132.80600000000001</v>
      </c>
      <c r="CH370">
        <v>9.3570000000000011</v>
      </c>
      <c r="CI370">
        <v>402</v>
      </c>
      <c r="CJ370">
        <v>470</v>
      </c>
      <c r="CK370">
        <v>9</v>
      </c>
      <c r="CL370">
        <v>142.16300000000001</v>
      </c>
      <c r="CM370">
        <v>7572.05</v>
      </c>
      <c r="CN370">
        <v>0</v>
      </c>
      <c r="CO370">
        <v>0</v>
      </c>
      <c r="CP370">
        <v>9589</v>
      </c>
      <c r="CQ370">
        <v>0</v>
      </c>
      <c r="CR370">
        <v>0</v>
      </c>
      <c r="CS370">
        <v>281.99200000000002</v>
      </c>
      <c r="CT370">
        <v>0</v>
      </c>
      <c r="CU370">
        <v>77.138000000000005</v>
      </c>
      <c r="CV370">
        <v>2294.3690000000001</v>
      </c>
      <c r="CW370">
        <v>1198.7850000000001</v>
      </c>
      <c r="CX370">
        <v>0</v>
      </c>
      <c r="CY370" s="2043">
        <v>0</v>
      </c>
      <c r="CZ370" s="2043">
        <v>0</v>
      </c>
      <c r="DA370" s="2043">
        <v>0</v>
      </c>
      <c r="DB370" s="2043">
        <v>0</v>
      </c>
      <c r="DC370" s="2043">
        <v>0</v>
      </c>
      <c r="DI370" t="s">
        <v>2981</v>
      </c>
      <c r="DJ370" t="s">
        <v>2981</v>
      </c>
      <c r="DK370" s="2042">
        <f t="shared" si="7"/>
        <v>0</v>
      </c>
    </row>
    <row r="371" spans="1:115">
      <c r="A371" t="s">
        <v>2982</v>
      </c>
      <c r="B371" t="s">
        <v>730</v>
      </c>
      <c r="C371">
        <v>1849.42</v>
      </c>
      <c r="D371">
        <v>1943.2060000000001</v>
      </c>
      <c r="E371">
        <v>382.93400000000003</v>
      </c>
      <c r="F371">
        <v>0</v>
      </c>
      <c r="G371" s="2043">
        <v>224664126</v>
      </c>
      <c r="H371">
        <v>0</v>
      </c>
      <c r="I371" s="2043">
        <v>2230535</v>
      </c>
      <c r="J371">
        <v>92.471000000000004</v>
      </c>
      <c r="K371">
        <v>253</v>
      </c>
      <c r="L371">
        <v>942606</v>
      </c>
      <c r="M371">
        <v>681474</v>
      </c>
      <c r="N371">
        <v>942606</v>
      </c>
      <c r="O371">
        <v>1624080</v>
      </c>
      <c r="P371">
        <v>0</v>
      </c>
      <c r="Q371">
        <v>0</v>
      </c>
      <c r="R371" s="2043">
        <v>2019999</v>
      </c>
      <c r="S371">
        <v>181328</v>
      </c>
      <c r="T371">
        <v>132144</v>
      </c>
      <c r="U371">
        <v>0.08</v>
      </c>
      <c r="V371">
        <v>0</v>
      </c>
      <c r="W371">
        <v>0</v>
      </c>
      <c r="X371">
        <v>0</v>
      </c>
      <c r="Y371">
        <v>-1497</v>
      </c>
      <c r="Z371">
        <v>0</v>
      </c>
      <c r="AA371">
        <v>0.66500000000000004</v>
      </c>
      <c r="AB371">
        <v>1952.885</v>
      </c>
      <c r="AC371" s="2043">
        <v>208934813</v>
      </c>
      <c r="AD371">
        <v>682505</v>
      </c>
      <c r="AE371" s="2043">
        <v>2333471</v>
      </c>
      <c r="AF371">
        <v>1.0295000000000001</v>
      </c>
      <c r="AG371">
        <v>0</v>
      </c>
      <c r="AH371">
        <v>0</v>
      </c>
      <c r="AI371">
        <v>0</v>
      </c>
      <c r="AJ371">
        <v>467.95</v>
      </c>
      <c r="AK371">
        <v>5997</v>
      </c>
      <c r="AL371">
        <v>0.22700000000000001</v>
      </c>
      <c r="AM371">
        <v>0</v>
      </c>
      <c r="AN371">
        <v>42.633000000000003</v>
      </c>
      <c r="AO371">
        <v>0</v>
      </c>
      <c r="AP371">
        <v>0</v>
      </c>
      <c r="AQ371">
        <v>0</v>
      </c>
      <c r="AR371">
        <v>40.477000000000004</v>
      </c>
      <c r="AS371">
        <v>0</v>
      </c>
      <c r="AT371">
        <v>14.072000000000001</v>
      </c>
      <c r="AU371">
        <v>6.1270000000000007</v>
      </c>
      <c r="AV371">
        <v>0</v>
      </c>
      <c r="AW371">
        <v>60.903000000000006</v>
      </c>
      <c r="AX371">
        <v>0</v>
      </c>
      <c r="AY371">
        <v>195.417</v>
      </c>
      <c r="AZ371">
        <v>0</v>
      </c>
      <c r="BA371">
        <v>20348952</v>
      </c>
      <c r="BB371">
        <v>3015976</v>
      </c>
      <c r="BC371">
        <v>0</v>
      </c>
      <c r="BD371">
        <v>30969</v>
      </c>
      <c r="BE371">
        <v>16152</v>
      </c>
      <c r="BF371">
        <v>47121</v>
      </c>
      <c r="BG371">
        <v>30969</v>
      </c>
      <c r="BH371">
        <v>0</v>
      </c>
      <c r="BI371">
        <v>0</v>
      </c>
      <c r="BJ371">
        <v>-1497</v>
      </c>
      <c r="BK371">
        <v>0</v>
      </c>
      <c r="BL371">
        <v>224664126</v>
      </c>
      <c r="BM371">
        <v>0</v>
      </c>
      <c r="BN371">
        <v>7029</v>
      </c>
      <c r="BO371">
        <v>3488</v>
      </c>
      <c r="BP371">
        <v>0</v>
      </c>
      <c r="BQ371">
        <v>62500</v>
      </c>
      <c r="BR371">
        <v>0.89119999999999999</v>
      </c>
      <c r="BS371">
        <v>0.89119999999999999</v>
      </c>
      <c r="BT371">
        <v>0</v>
      </c>
      <c r="BU371">
        <v>0</v>
      </c>
      <c r="BV371">
        <v>132</v>
      </c>
      <c r="BW371">
        <v>331</v>
      </c>
      <c r="BX371">
        <v>30</v>
      </c>
      <c r="BY371">
        <v>539</v>
      </c>
      <c r="BZ371">
        <v>766</v>
      </c>
      <c r="CA371">
        <v>1798</v>
      </c>
      <c r="CB371">
        <v>0</v>
      </c>
      <c r="CC371">
        <v>377.37600000000003</v>
      </c>
      <c r="CD371">
        <v>0</v>
      </c>
      <c r="CE371">
        <v>68</v>
      </c>
      <c r="CF371">
        <v>731.27100000000007</v>
      </c>
      <c r="CG371">
        <v>0</v>
      </c>
      <c r="CH371">
        <v>0</v>
      </c>
      <c r="CI371">
        <v>30</v>
      </c>
      <c r="CJ371">
        <v>5</v>
      </c>
      <c r="CK371">
        <v>0</v>
      </c>
      <c r="CL371">
        <v>0</v>
      </c>
      <c r="CM371">
        <v>382.93400000000003</v>
      </c>
      <c r="CN371">
        <v>0</v>
      </c>
      <c r="CO371">
        <v>0</v>
      </c>
      <c r="CP371">
        <v>0</v>
      </c>
      <c r="CQ371">
        <v>0</v>
      </c>
      <c r="CR371">
        <v>0</v>
      </c>
      <c r="CS371">
        <v>22.849</v>
      </c>
      <c r="CT371">
        <v>0</v>
      </c>
      <c r="CU371">
        <v>7.0000000000000001E-3</v>
      </c>
      <c r="CV371">
        <v>88.097999999999999</v>
      </c>
      <c r="CW371">
        <v>30.772000000000002</v>
      </c>
      <c r="CX371">
        <v>0</v>
      </c>
      <c r="CY371" s="2043">
        <v>0</v>
      </c>
      <c r="CZ371" s="2043">
        <v>0</v>
      </c>
      <c r="DA371" s="2043">
        <v>0</v>
      </c>
      <c r="DB371" s="2043">
        <v>0</v>
      </c>
      <c r="DC371" s="2043">
        <v>0</v>
      </c>
      <c r="DI371" t="s">
        <v>2982</v>
      </c>
      <c r="DJ371" t="s">
        <v>2982</v>
      </c>
      <c r="DK371" s="2042">
        <f t="shared" si="7"/>
        <v>0</v>
      </c>
    </row>
    <row r="372" spans="1:115">
      <c r="A372" t="s">
        <v>3867</v>
      </c>
      <c r="B372" t="s">
        <v>1115</v>
      </c>
      <c r="C372">
        <v>34371.711000000003</v>
      </c>
      <c r="D372">
        <v>36968.779000000002</v>
      </c>
      <c r="E372">
        <v>4099.1419999999998</v>
      </c>
      <c r="F372">
        <v>0</v>
      </c>
      <c r="G372" s="2043">
        <v>7939393045</v>
      </c>
      <c r="H372">
        <v>0</v>
      </c>
      <c r="I372" s="2043">
        <v>44379721</v>
      </c>
      <c r="J372">
        <v>1718.586</v>
      </c>
      <c r="K372">
        <v>4698</v>
      </c>
      <c r="L372">
        <v>4021313</v>
      </c>
      <c r="M372">
        <v>5471403</v>
      </c>
      <c r="N372">
        <v>2819104</v>
      </c>
      <c r="O372">
        <v>8290507</v>
      </c>
      <c r="P372">
        <v>2333285</v>
      </c>
      <c r="Q372">
        <v>1202209</v>
      </c>
      <c r="R372" s="2043">
        <v>63246301</v>
      </c>
      <c r="S372">
        <v>5661524</v>
      </c>
      <c r="T372">
        <v>4125836</v>
      </c>
      <c r="U372">
        <v>0.08</v>
      </c>
      <c r="V372">
        <v>0</v>
      </c>
      <c r="W372">
        <v>0</v>
      </c>
      <c r="X372">
        <v>0</v>
      </c>
      <c r="Y372">
        <v>-6314</v>
      </c>
      <c r="Z372">
        <v>0</v>
      </c>
      <c r="AA372">
        <v>0.45100000000000001</v>
      </c>
      <c r="AB372">
        <v>36054.817999999999</v>
      </c>
      <c r="AC372" s="2043">
        <v>7690506783</v>
      </c>
      <c r="AD372">
        <v>36149843</v>
      </c>
      <c r="AE372" s="2043">
        <v>73033661</v>
      </c>
      <c r="AF372">
        <v>1.032</v>
      </c>
      <c r="AG372">
        <v>0</v>
      </c>
      <c r="AH372">
        <v>0</v>
      </c>
      <c r="AI372">
        <v>0</v>
      </c>
      <c r="AJ372">
        <v>7497.5880000000006</v>
      </c>
      <c r="AK372">
        <v>131290</v>
      </c>
      <c r="AL372">
        <v>6.4420000000000002</v>
      </c>
      <c r="AM372">
        <v>0</v>
      </c>
      <c r="AN372">
        <v>2145.355</v>
      </c>
      <c r="AO372">
        <v>0</v>
      </c>
      <c r="AP372">
        <v>0</v>
      </c>
      <c r="AQ372">
        <v>0</v>
      </c>
      <c r="AR372">
        <v>464.07100000000003</v>
      </c>
      <c r="AS372">
        <v>0</v>
      </c>
      <c r="AT372">
        <v>475.00600000000003</v>
      </c>
      <c r="AU372">
        <v>96.103999999999999</v>
      </c>
      <c r="AV372">
        <v>0</v>
      </c>
      <c r="AW372">
        <v>1041.623</v>
      </c>
      <c r="AX372">
        <v>0</v>
      </c>
      <c r="AY372">
        <v>3329.9610000000002</v>
      </c>
      <c r="AZ372">
        <v>0</v>
      </c>
      <c r="BA372">
        <v>299258332</v>
      </c>
      <c r="BB372">
        <v>109183504</v>
      </c>
      <c r="BC372">
        <v>0</v>
      </c>
      <c r="BD372">
        <v>520728</v>
      </c>
      <c r="BE372">
        <v>653462</v>
      </c>
      <c r="BF372">
        <v>2517353</v>
      </c>
      <c r="BG372">
        <v>520728</v>
      </c>
      <c r="BH372">
        <v>1343163</v>
      </c>
      <c r="BI372">
        <v>-3157</v>
      </c>
      <c r="BJ372">
        <v>-3157</v>
      </c>
      <c r="BK372">
        <v>0</v>
      </c>
      <c r="BL372">
        <v>7939393045</v>
      </c>
      <c r="BM372">
        <v>0</v>
      </c>
      <c r="BN372">
        <v>148995</v>
      </c>
      <c r="BO372">
        <v>112511</v>
      </c>
      <c r="BP372">
        <v>0</v>
      </c>
      <c r="BQ372">
        <v>0</v>
      </c>
      <c r="BR372">
        <v>0.89370000000000005</v>
      </c>
      <c r="BS372">
        <v>0.89370000000000005</v>
      </c>
      <c r="BT372">
        <v>0</v>
      </c>
      <c r="BU372">
        <v>0</v>
      </c>
      <c r="BV372">
        <v>3362</v>
      </c>
      <c r="BW372">
        <v>3363</v>
      </c>
      <c r="BX372">
        <v>5815</v>
      </c>
      <c r="BY372">
        <v>9098</v>
      </c>
      <c r="BZ372">
        <v>7638</v>
      </c>
      <c r="CA372">
        <v>29276</v>
      </c>
      <c r="CB372">
        <v>0</v>
      </c>
      <c r="CC372">
        <v>4652.9340000000002</v>
      </c>
      <c r="CD372">
        <v>1225.4170000000001</v>
      </c>
      <c r="CE372">
        <v>1311</v>
      </c>
      <c r="CF372">
        <v>10008.886</v>
      </c>
      <c r="CG372">
        <v>106.21600000000001</v>
      </c>
      <c r="CH372">
        <v>0</v>
      </c>
      <c r="CI372">
        <v>275</v>
      </c>
      <c r="CJ372">
        <v>151</v>
      </c>
      <c r="CK372">
        <v>6</v>
      </c>
      <c r="CL372">
        <v>106.21600000000001</v>
      </c>
      <c r="CM372">
        <v>4099.1419999999998</v>
      </c>
      <c r="CN372">
        <v>0</v>
      </c>
      <c r="CO372">
        <v>0</v>
      </c>
      <c r="CP372">
        <v>0</v>
      </c>
      <c r="CQ372">
        <v>0</v>
      </c>
      <c r="CR372">
        <v>0</v>
      </c>
      <c r="CS372">
        <v>38.74</v>
      </c>
      <c r="CT372">
        <v>0</v>
      </c>
      <c r="CU372">
        <v>181.37</v>
      </c>
      <c r="CV372">
        <v>1461.3780000000002</v>
      </c>
      <c r="CW372">
        <v>1000.205</v>
      </c>
      <c r="CX372">
        <v>0</v>
      </c>
      <c r="CY372" s="2043">
        <v>0</v>
      </c>
      <c r="CZ372" s="2043">
        <v>0</v>
      </c>
      <c r="DA372" s="2043">
        <v>0</v>
      </c>
      <c r="DB372" s="2043">
        <v>0</v>
      </c>
      <c r="DC372" s="2043">
        <v>0</v>
      </c>
      <c r="DI372" t="s">
        <v>3862</v>
      </c>
      <c r="DJ372" t="s">
        <v>3867</v>
      </c>
      <c r="DK372" s="2042">
        <f t="shared" si="7"/>
        <v>-1</v>
      </c>
    </row>
    <row r="373" spans="1:115">
      <c r="A373" t="s">
        <v>3862</v>
      </c>
      <c r="B373" t="s">
        <v>173</v>
      </c>
      <c r="C373">
        <v>2869.5430000000001</v>
      </c>
      <c r="D373">
        <v>2918.462</v>
      </c>
      <c r="E373">
        <v>1065.116</v>
      </c>
      <c r="F373">
        <v>0</v>
      </c>
      <c r="G373" s="2043">
        <v>296554397</v>
      </c>
      <c r="H373">
        <v>0</v>
      </c>
      <c r="I373" s="2043">
        <v>1675973</v>
      </c>
      <c r="J373">
        <v>143.477</v>
      </c>
      <c r="K373">
        <v>392</v>
      </c>
      <c r="L373">
        <v>0</v>
      </c>
      <c r="M373">
        <v>0</v>
      </c>
      <c r="N373">
        <v>0</v>
      </c>
      <c r="O373">
        <v>0</v>
      </c>
      <c r="P373">
        <v>0</v>
      </c>
      <c r="Q373">
        <v>0</v>
      </c>
      <c r="R373" s="2043">
        <v>2364293</v>
      </c>
      <c r="S373">
        <v>230102</v>
      </c>
      <c r="T373">
        <v>53786</v>
      </c>
      <c r="U373">
        <v>0.08</v>
      </c>
      <c r="V373">
        <v>0</v>
      </c>
      <c r="W373">
        <v>0</v>
      </c>
      <c r="X373">
        <v>0</v>
      </c>
      <c r="Y373">
        <v>210349</v>
      </c>
      <c r="Z373">
        <v>0</v>
      </c>
      <c r="AA373">
        <v>0.40600000000000003</v>
      </c>
      <c r="AB373">
        <v>2918.462</v>
      </c>
      <c r="AC373" s="2043">
        <v>248975496</v>
      </c>
      <c r="AD373">
        <v>479419</v>
      </c>
      <c r="AE373" s="2043">
        <v>2648181</v>
      </c>
      <c r="AF373">
        <v>0.92070000000000007</v>
      </c>
      <c r="AG373">
        <v>0</v>
      </c>
      <c r="AH373">
        <v>0</v>
      </c>
      <c r="AI373">
        <v>0</v>
      </c>
      <c r="AJ373">
        <v>746.36300000000006</v>
      </c>
      <c r="AK373">
        <v>10301</v>
      </c>
      <c r="AL373">
        <v>1.1160000000000001</v>
      </c>
      <c r="AM373">
        <v>0</v>
      </c>
      <c r="AN373">
        <v>146.42100000000002</v>
      </c>
      <c r="AO373">
        <v>0</v>
      </c>
      <c r="AP373">
        <v>0</v>
      </c>
      <c r="AQ373">
        <v>0</v>
      </c>
      <c r="AR373">
        <v>38.301000000000002</v>
      </c>
      <c r="AS373">
        <v>0</v>
      </c>
      <c r="AT373">
        <v>32.288000000000004</v>
      </c>
      <c r="AU373">
        <v>7.2700000000000005</v>
      </c>
      <c r="AV373">
        <v>0</v>
      </c>
      <c r="AW373">
        <v>81.816000000000003</v>
      </c>
      <c r="AX373">
        <v>2.8410000000000002</v>
      </c>
      <c r="AY373">
        <v>260.23099999999999</v>
      </c>
      <c r="AZ373">
        <v>0</v>
      </c>
      <c r="BA373">
        <v>30848066</v>
      </c>
      <c r="BB373">
        <v>3127600</v>
      </c>
      <c r="BC373">
        <v>0</v>
      </c>
      <c r="BD373">
        <v>113460</v>
      </c>
      <c r="BE373">
        <v>47464</v>
      </c>
      <c r="BF373">
        <v>204572</v>
      </c>
      <c r="BG373">
        <v>113460</v>
      </c>
      <c r="BH373">
        <v>43648</v>
      </c>
      <c r="BI373">
        <v>-1104</v>
      </c>
      <c r="BJ373">
        <v>0</v>
      </c>
      <c r="BK373">
        <v>0</v>
      </c>
      <c r="BL373">
        <v>296554397</v>
      </c>
      <c r="BM373">
        <v>0</v>
      </c>
      <c r="BN373">
        <v>12546</v>
      </c>
      <c r="BO373">
        <v>3071</v>
      </c>
      <c r="BP373">
        <v>0</v>
      </c>
      <c r="BQ373">
        <v>0</v>
      </c>
      <c r="BR373">
        <v>0.82200000000000006</v>
      </c>
      <c r="BS373">
        <v>0.82200000000000006</v>
      </c>
      <c r="BT373">
        <v>0</v>
      </c>
      <c r="BU373">
        <v>0</v>
      </c>
      <c r="BV373">
        <v>4</v>
      </c>
      <c r="BW373">
        <v>133</v>
      </c>
      <c r="BX373">
        <v>1352</v>
      </c>
      <c r="BY373">
        <v>972</v>
      </c>
      <c r="BZ373">
        <v>439</v>
      </c>
      <c r="CA373">
        <v>2900</v>
      </c>
      <c r="CB373">
        <v>0</v>
      </c>
      <c r="CC373">
        <v>380.23599999999999</v>
      </c>
      <c r="CD373">
        <v>0</v>
      </c>
      <c r="CE373">
        <v>63</v>
      </c>
      <c r="CF373">
        <v>1093.364</v>
      </c>
      <c r="CG373">
        <v>0</v>
      </c>
      <c r="CH373">
        <v>0</v>
      </c>
      <c r="CI373">
        <v>9</v>
      </c>
      <c r="CJ373">
        <v>0</v>
      </c>
      <c r="CK373">
        <v>0</v>
      </c>
      <c r="CL373">
        <v>0</v>
      </c>
      <c r="CM373">
        <v>1065.116</v>
      </c>
      <c r="CN373">
        <v>0</v>
      </c>
      <c r="CO373">
        <v>0</v>
      </c>
      <c r="CP373">
        <v>0</v>
      </c>
      <c r="CQ373">
        <v>0</v>
      </c>
      <c r="CR373">
        <v>0</v>
      </c>
      <c r="CS373">
        <v>0</v>
      </c>
      <c r="CT373">
        <v>0</v>
      </c>
      <c r="CU373">
        <v>10.857000000000001</v>
      </c>
      <c r="CV373">
        <v>135.952</v>
      </c>
      <c r="CW373">
        <v>92.053000000000011</v>
      </c>
      <c r="CX373">
        <v>0</v>
      </c>
      <c r="CY373" s="2043">
        <v>211453</v>
      </c>
      <c r="CZ373" s="2043">
        <v>0</v>
      </c>
      <c r="DA373" s="2043">
        <v>0</v>
      </c>
      <c r="DB373" s="2043">
        <v>0</v>
      </c>
      <c r="DC373" s="2043">
        <v>0</v>
      </c>
      <c r="DI373" t="s">
        <v>3867</v>
      </c>
      <c r="DJ373" t="s">
        <v>3862</v>
      </c>
      <c r="DK373" s="2042">
        <f t="shared" si="7"/>
        <v>1</v>
      </c>
    </row>
    <row r="374" spans="1:115">
      <c r="A374" t="s">
        <v>2983</v>
      </c>
      <c r="B374" t="s">
        <v>1979</v>
      </c>
      <c r="C374">
        <v>731.83699999999999</v>
      </c>
      <c r="D374">
        <v>763.18400000000008</v>
      </c>
      <c r="E374">
        <v>72.15100000000001</v>
      </c>
      <c r="F374">
        <v>0</v>
      </c>
      <c r="G374" s="2043">
        <v>213286873</v>
      </c>
      <c r="H374">
        <v>0</v>
      </c>
      <c r="I374" s="2043">
        <v>472625</v>
      </c>
      <c r="J374">
        <v>36.591999999999999</v>
      </c>
      <c r="K374">
        <v>100</v>
      </c>
      <c r="L374">
        <v>32930</v>
      </c>
      <c r="M374">
        <v>166369</v>
      </c>
      <c r="N374">
        <v>32930</v>
      </c>
      <c r="O374">
        <v>199299</v>
      </c>
      <c r="P374">
        <v>0</v>
      </c>
      <c r="Q374">
        <v>0</v>
      </c>
      <c r="R374" s="2043">
        <v>1821317</v>
      </c>
      <c r="S374">
        <v>106298</v>
      </c>
      <c r="T374">
        <v>0</v>
      </c>
      <c r="U374">
        <v>0.05</v>
      </c>
      <c r="V374">
        <v>0</v>
      </c>
      <c r="W374">
        <v>0</v>
      </c>
      <c r="X374">
        <v>0</v>
      </c>
      <c r="Y374">
        <v>0</v>
      </c>
      <c r="Z374">
        <v>0</v>
      </c>
      <c r="AA374">
        <v>2.4E-2</v>
      </c>
      <c r="AB374">
        <v>713.35300000000007</v>
      </c>
      <c r="AC374" s="2043">
        <v>210260528</v>
      </c>
      <c r="AD374">
        <v>361840</v>
      </c>
      <c r="AE374" s="2043">
        <v>1927615</v>
      </c>
      <c r="AF374">
        <v>0.90670000000000006</v>
      </c>
      <c r="AG374">
        <v>0</v>
      </c>
      <c r="AH374">
        <v>0</v>
      </c>
      <c r="AI374">
        <v>0</v>
      </c>
      <c r="AJ374">
        <v>136.25</v>
      </c>
      <c r="AK374">
        <v>3818</v>
      </c>
      <c r="AL374">
        <v>0.156</v>
      </c>
      <c r="AM374">
        <v>0</v>
      </c>
      <c r="AN374">
        <v>18.007999999999999</v>
      </c>
      <c r="AO374">
        <v>0</v>
      </c>
      <c r="AP374">
        <v>0</v>
      </c>
      <c r="AQ374">
        <v>0</v>
      </c>
      <c r="AR374">
        <v>22.638999999999999</v>
      </c>
      <c r="AS374">
        <v>0</v>
      </c>
      <c r="AT374">
        <v>7.83</v>
      </c>
      <c r="AU374">
        <v>1.919</v>
      </c>
      <c r="AV374">
        <v>0</v>
      </c>
      <c r="AW374">
        <v>32.544000000000004</v>
      </c>
      <c r="AX374">
        <v>0</v>
      </c>
      <c r="AY374">
        <v>101.78200000000001</v>
      </c>
      <c r="AZ374">
        <v>0</v>
      </c>
      <c r="BA374">
        <v>7205826</v>
      </c>
      <c r="BB374">
        <v>2289455</v>
      </c>
      <c r="BC374">
        <v>0</v>
      </c>
      <c r="BD374">
        <v>12373</v>
      </c>
      <c r="BE374">
        <v>2468</v>
      </c>
      <c r="BF374">
        <v>166553</v>
      </c>
      <c r="BG374">
        <v>12373</v>
      </c>
      <c r="BH374">
        <v>151712</v>
      </c>
      <c r="BI374">
        <v>0</v>
      </c>
      <c r="BJ374">
        <v>0</v>
      </c>
      <c r="BK374">
        <v>0</v>
      </c>
      <c r="BL374">
        <v>213286873</v>
      </c>
      <c r="BM374">
        <v>0</v>
      </c>
      <c r="BN374">
        <v>2628</v>
      </c>
      <c r="BO374">
        <v>321</v>
      </c>
      <c r="BP374">
        <v>0</v>
      </c>
      <c r="BQ374">
        <v>0</v>
      </c>
      <c r="BR374">
        <v>0.85670000000000002</v>
      </c>
      <c r="BS374">
        <v>0.85670000000000002</v>
      </c>
      <c r="BT374">
        <v>0</v>
      </c>
      <c r="BU374">
        <v>0</v>
      </c>
      <c r="BV374">
        <v>84</v>
      </c>
      <c r="BW374">
        <v>0</v>
      </c>
      <c r="BX374">
        <v>44</v>
      </c>
      <c r="BY374">
        <v>402</v>
      </c>
      <c r="BZ374">
        <v>3</v>
      </c>
      <c r="CA374">
        <v>533</v>
      </c>
      <c r="CB374">
        <v>0</v>
      </c>
      <c r="CC374">
        <v>76.981999999999999</v>
      </c>
      <c r="CD374">
        <v>0</v>
      </c>
      <c r="CE374">
        <v>35</v>
      </c>
      <c r="CF374">
        <v>187.17500000000001</v>
      </c>
      <c r="CG374">
        <v>0</v>
      </c>
      <c r="CH374">
        <v>0</v>
      </c>
      <c r="CI374">
        <v>5</v>
      </c>
      <c r="CJ374">
        <v>0</v>
      </c>
      <c r="CK374">
        <v>0</v>
      </c>
      <c r="CL374">
        <v>0</v>
      </c>
      <c r="CM374">
        <v>72.15100000000001</v>
      </c>
      <c r="CN374">
        <v>0</v>
      </c>
      <c r="CO374">
        <v>0</v>
      </c>
      <c r="CP374">
        <v>0</v>
      </c>
      <c r="CQ374">
        <v>0</v>
      </c>
      <c r="CR374">
        <v>0</v>
      </c>
      <c r="CS374">
        <v>0</v>
      </c>
      <c r="CT374">
        <v>0</v>
      </c>
      <c r="CU374">
        <v>5.2450000000000001</v>
      </c>
      <c r="CV374">
        <v>23.626000000000001</v>
      </c>
      <c r="CW374">
        <v>11.337</v>
      </c>
      <c r="CX374">
        <v>0</v>
      </c>
      <c r="CY374" s="2043">
        <v>0</v>
      </c>
      <c r="CZ374" s="2043">
        <v>0</v>
      </c>
      <c r="DA374" s="2043">
        <v>0</v>
      </c>
      <c r="DB374" s="2043">
        <v>0</v>
      </c>
      <c r="DC374" s="2043">
        <v>0</v>
      </c>
      <c r="DI374" t="s">
        <v>2983</v>
      </c>
      <c r="DJ374" t="s">
        <v>2983</v>
      </c>
      <c r="DK374" s="2042">
        <f t="shared" si="7"/>
        <v>0</v>
      </c>
    </row>
    <row r="375" spans="1:115">
      <c r="A375" t="s">
        <v>2984</v>
      </c>
      <c r="B375" t="s">
        <v>1781</v>
      </c>
      <c r="C375">
        <v>5646.2939999999999</v>
      </c>
      <c r="D375">
        <v>5794.9630000000006</v>
      </c>
      <c r="E375">
        <v>810.15</v>
      </c>
      <c r="F375">
        <v>0</v>
      </c>
      <c r="G375" s="2043">
        <v>2880436419</v>
      </c>
      <c r="H375">
        <v>0</v>
      </c>
      <c r="I375" s="2043">
        <v>6339397</v>
      </c>
      <c r="J375">
        <v>282.315</v>
      </c>
      <c r="K375">
        <v>772</v>
      </c>
      <c r="L375">
        <v>0</v>
      </c>
      <c r="M375">
        <v>2459741</v>
      </c>
      <c r="N375">
        <v>0</v>
      </c>
      <c r="O375">
        <v>2459741</v>
      </c>
      <c r="P375">
        <v>0</v>
      </c>
      <c r="Q375">
        <v>0</v>
      </c>
      <c r="R375" s="2043">
        <v>23642426</v>
      </c>
      <c r="S375">
        <v>2240723</v>
      </c>
      <c r="T375">
        <v>1632926</v>
      </c>
      <c r="U375">
        <v>0.08</v>
      </c>
      <c r="V375">
        <v>0</v>
      </c>
      <c r="W375">
        <v>0</v>
      </c>
      <c r="X375">
        <v>0</v>
      </c>
      <c r="Y375">
        <v>1328313</v>
      </c>
      <c r="Z375">
        <v>0</v>
      </c>
      <c r="AA375">
        <v>0.40900000000000003</v>
      </c>
      <c r="AB375">
        <v>5734.5240000000003</v>
      </c>
      <c r="AC375" s="2043">
        <v>2388730744</v>
      </c>
      <c r="AD375">
        <v>10086718</v>
      </c>
      <c r="AE375" s="2043">
        <v>27516075</v>
      </c>
      <c r="AF375">
        <v>0.98240000000000005</v>
      </c>
      <c r="AG375">
        <v>0</v>
      </c>
      <c r="AH375">
        <v>0</v>
      </c>
      <c r="AI375">
        <v>0</v>
      </c>
      <c r="AJ375">
        <v>927.78800000000001</v>
      </c>
      <c r="AK375">
        <v>13779</v>
      </c>
      <c r="AL375">
        <v>1.296</v>
      </c>
      <c r="AM375">
        <v>0</v>
      </c>
      <c r="AN375">
        <v>117.075</v>
      </c>
      <c r="AO375">
        <v>0</v>
      </c>
      <c r="AP375">
        <v>0</v>
      </c>
      <c r="AQ375">
        <v>0</v>
      </c>
      <c r="AR375">
        <v>73.924999999999997</v>
      </c>
      <c r="AS375">
        <v>0</v>
      </c>
      <c r="AT375">
        <v>56.757000000000005</v>
      </c>
      <c r="AU375">
        <v>14.52</v>
      </c>
      <c r="AV375">
        <v>0</v>
      </c>
      <c r="AW375">
        <v>147.65600000000001</v>
      </c>
      <c r="AX375">
        <v>1.1580000000000001</v>
      </c>
      <c r="AY375">
        <v>473.78900000000004</v>
      </c>
      <c r="AZ375">
        <v>0</v>
      </c>
      <c r="BA375">
        <v>29384106</v>
      </c>
      <c r="BB375">
        <v>37602793</v>
      </c>
      <c r="BC375">
        <v>0</v>
      </c>
      <c r="BD375">
        <v>80982</v>
      </c>
      <c r="BE375">
        <v>160985</v>
      </c>
      <c r="BF375">
        <v>459943</v>
      </c>
      <c r="BG375">
        <v>80982</v>
      </c>
      <c r="BH375">
        <v>217976</v>
      </c>
      <c r="BI375">
        <v>-6712</v>
      </c>
      <c r="BJ375">
        <v>0</v>
      </c>
      <c r="BK375">
        <v>0</v>
      </c>
      <c r="BL375">
        <v>2880436419</v>
      </c>
      <c r="BM375">
        <v>0</v>
      </c>
      <c r="BN375">
        <v>20673</v>
      </c>
      <c r="BO375">
        <v>17548</v>
      </c>
      <c r="BP375">
        <v>59481</v>
      </c>
      <c r="BQ375">
        <v>0</v>
      </c>
      <c r="BR375">
        <v>0.84410000000000007</v>
      </c>
      <c r="BS375">
        <v>0.84410000000000007</v>
      </c>
      <c r="BT375">
        <v>1335025</v>
      </c>
      <c r="BU375">
        <v>0</v>
      </c>
      <c r="BV375">
        <v>813</v>
      </c>
      <c r="BW375">
        <v>89</v>
      </c>
      <c r="BX375">
        <v>1447</v>
      </c>
      <c r="BY375">
        <v>302</v>
      </c>
      <c r="BZ375">
        <v>1028</v>
      </c>
      <c r="CA375">
        <v>3679</v>
      </c>
      <c r="CB375">
        <v>0</v>
      </c>
      <c r="CC375">
        <v>863.14</v>
      </c>
      <c r="CD375">
        <v>279.678</v>
      </c>
      <c r="CE375">
        <v>151</v>
      </c>
      <c r="CF375">
        <v>1510.884</v>
      </c>
      <c r="CG375">
        <v>0</v>
      </c>
      <c r="CH375">
        <v>0</v>
      </c>
      <c r="CI375">
        <v>37</v>
      </c>
      <c r="CJ375">
        <v>9</v>
      </c>
      <c r="CK375">
        <v>1</v>
      </c>
      <c r="CL375">
        <v>0</v>
      </c>
      <c r="CM375">
        <v>810.15</v>
      </c>
      <c r="CN375">
        <v>0</v>
      </c>
      <c r="CO375">
        <v>0</v>
      </c>
      <c r="CP375">
        <v>55681</v>
      </c>
      <c r="CQ375">
        <v>3800</v>
      </c>
      <c r="CR375">
        <v>0</v>
      </c>
      <c r="CS375">
        <v>0</v>
      </c>
      <c r="CT375">
        <v>0</v>
      </c>
      <c r="CU375">
        <v>46.045000000000002</v>
      </c>
      <c r="CV375">
        <v>261.76800000000003</v>
      </c>
      <c r="CW375">
        <v>159.947</v>
      </c>
      <c r="CX375">
        <v>1335025</v>
      </c>
      <c r="CY375" s="2043">
        <v>0</v>
      </c>
      <c r="CZ375" s="2043">
        <v>0</v>
      </c>
      <c r="DA375" s="2043">
        <v>0</v>
      </c>
      <c r="DB375" s="2043">
        <v>0</v>
      </c>
      <c r="DC375" s="2043">
        <v>0</v>
      </c>
      <c r="DI375" t="s">
        <v>2984</v>
      </c>
      <c r="DJ375" t="s">
        <v>2984</v>
      </c>
      <c r="DK375" s="2042">
        <f t="shared" si="7"/>
        <v>0</v>
      </c>
    </row>
    <row r="376" spans="1:115">
      <c r="A376" t="s">
        <v>2986</v>
      </c>
      <c r="B376" t="s">
        <v>1081</v>
      </c>
      <c r="C376">
        <v>42834.453999999998</v>
      </c>
      <c r="D376">
        <v>44282.076999999997</v>
      </c>
      <c r="E376">
        <v>10152.914000000001</v>
      </c>
      <c r="F376">
        <v>0</v>
      </c>
      <c r="G376" s="2043">
        <v>12808121836</v>
      </c>
      <c r="H376">
        <v>0</v>
      </c>
      <c r="I376" s="2043">
        <v>58361711</v>
      </c>
      <c r="J376">
        <v>2141.723</v>
      </c>
      <c r="K376">
        <v>5855</v>
      </c>
      <c r="L376">
        <v>3124962</v>
      </c>
      <c r="M376">
        <v>18327381</v>
      </c>
      <c r="N376">
        <v>3124962</v>
      </c>
      <c r="O376">
        <v>21452343</v>
      </c>
      <c r="P376">
        <v>0</v>
      </c>
      <c r="Q376">
        <v>0</v>
      </c>
      <c r="R376" s="2043">
        <v>104269605</v>
      </c>
      <c r="S376">
        <v>6307901</v>
      </c>
      <c r="T376">
        <v>0</v>
      </c>
      <c r="U376">
        <v>0.05</v>
      </c>
      <c r="V376">
        <v>0</v>
      </c>
      <c r="W376">
        <v>0</v>
      </c>
      <c r="X376">
        <v>0</v>
      </c>
      <c r="Y376">
        <v>0</v>
      </c>
      <c r="Z376">
        <v>0</v>
      </c>
      <c r="AA376">
        <v>3.1819999999999999</v>
      </c>
      <c r="AB376">
        <v>43921.288999999997</v>
      </c>
      <c r="AC376" s="2043">
        <v>10894782984</v>
      </c>
      <c r="AD376">
        <v>50301930</v>
      </c>
      <c r="AE376" s="2043">
        <v>110577506</v>
      </c>
      <c r="AF376">
        <v>0.87650000000000006</v>
      </c>
      <c r="AG376">
        <v>0</v>
      </c>
      <c r="AH376">
        <v>0</v>
      </c>
      <c r="AI376">
        <v>0</v>
      </c>
      <c r="AJ376">
        <v>8027.7880000000005</v>
      </c>
      <c r="AK376">
        <v>134729</v>
      </c>
      <c r="AL376">
        <v>2.4660000000000002</v>
      </c>
      <c r="AM376">
        <v>0</v>
      </c>
      <c r="AN376">
        <v>1660.83</v>
      </c>
      <c r="AO376">
        <v>0</v>
      </c>
      <c r="AP376">
        <v>10.039</v>
      </c>
      <c r="AQ376">
        <v>4.9359999999999999</v>
      </c>
      <c r="AR376">
        <v>657.06100000000004</v>
      </c>
      <c r="AS376">
        <v>0</v>
      </c>
      <c r="AT376">
        <v>491.73900000000003</v>
      </c>
      <c r="AU376">
        <v>102.03700000000001</v>
      </c>
      <c r="AV376">
        <v>0</v>
      </c>
      <c r="AW376">
        <v>1278.3870000000002</v>
      </c>
      <c r="AX376">
        <v>10.109</v>
      </c>
      <c r="AY376">
        <v>4019.2710000000002</v>
      </c>
      <c r="AZ376">
        <v>0</v>
      </c>
      <c r="BA376">
        <v>303149479</v>
      </c>
      <c r="BB376">
        <v>160879436</v>
      </c>
      <c r="BC376">
        <v>0</v>
      </c>
      <c r="BD376">
        <v>735975</v>
      </c>
      <c r="BE376">
        <v>1422066</v>
      </c>
      <c r="BF376">
        <v>5618481</v>
      </c>
      <c r="BG376">
        <v>735975</v>
      </c>
      <c r="BH376">
        <v>3460440</v>
      </c>
      <c r="BI376">
        <v>0</v>
      </c>
      <c r="BJ376">
        <v>0</v>
      </c>
      <c r="BK376">
        <v>0</v>
      </c>
      <c r="BL376">
        <v>12808121836</v>
      </c>
      <c r="BM376">
        <v>0</v>
      </c>
      <c r="BN376">
        <v>181062</v>
      </c>
      <c r="BO376">
        <v>78538</v>
      </c>
      <c r="BP376">
        <v>0</v>
      </c>
      <c r="BQ376">
        <v>0</v>
      </c>
      <c r="BR376">
        <v>0.82650000000000001</v>
      </c>
      <c r="BS376">
        <v>0.82650000000000001</v>
      </c>
      <c r="BT376">
        <v>0</v>
      </c>
      <c r="BU376">
        <v>0</v>
      </c>
      <c r="BV376">
        <v>9107</v>
      </c>
      <c r="BW376">
        <v>9385</v>
      </c>
      <c r="BX376">
        <v>6596</v>
      </c>
      <c r="BY376">
        <v>7036</v>
      </c>
      <c r="BZ376">
        <v>923</v>
      </c>
      <c r="CA376">
        <v>33047</v>
      </c>
      <c r="CB376">
        <v>0</v>
      </c>
      <c r="CC376">
        <v>107.17500000000001</v>
      </c>
      <c r="CD376">
        <v>76.433999999999997</v>
      </c>
      <c r="CE376">
        <v>781</v>
      </c>
      <c r="CF376">
        <v>11357.655000000001</v>
      </c>
      <c r="CG376">
        <v>56.222000000000001</v>
      </c>
      <c r="CH376">
        <v>0</v>
      </c>
      <c r="CI376">
        <v>402</v>
      </c>
      <c r="CJ376">
        <v>208</v>
      </c>
      <c r="CK376">
        <v>3</v>
      </c>
      <c r="CL376">
        <v>56.222000000000001</v>
      </c>
      <c r="CM376">
        <v>10152.914000000001</v>
      </c>
      <c r="CN376">
        <v>0</v>
      </c>
      <c r="CO376">
        <v>0</v>
      </c>
      <c r="CP376">
        <v>0</v>
      </c>
      <c r="CQ376">
        <v>0</v>
      </c>
      <c r="CR376">
        <v>0</v>
      </c>
      <c r="CS376">
        <v>0</v>
      </c>
      <c r="CT376">
        <v>0</v>
      </c>
      <c r="CU376">
        <v>39.25</v>
      </c>
      <c r="CV376">
        <v>1577.567</v>
      </c>
      <c r="CW376">
        <v>931.55900000000008</v>
      </c>
      <c r="CX376">
        <v>0</v>
      </c>
      <c r="CY376" s="2043">
        <v>0</v>
      </c>
      <c r="CZ376" s="2043">
        <v>0</v>
      </c>
      <c r="DA376" s="2043">
        <v>0</v>
      </c>
      <c r="DB376" s="2043">
        <v>0</v>
      </c>
      <c r="DC376" s="2043">
        <v>0</v>
      </c>
      <c r="DI376" t="s">
        <v>2985</v>
      </c>
      <c r="DJ376" t="s">
        <v>2986</v>
      </c>
      <c r="DK376" s="2042">
        <f t="shared" si="7"/>
        <v>-1</v>
      </c>
    </row>
    <row r="377" spans="1:115">
      <c r="A377" t="s">
        <v>2985</v>
      </c>
      <c r="B377" t="s">
        <v>1428</v>
      </c>
      <c r="C377">
        <v>836.976</v>
      </c>
      <c r="D377">
        <v>902.03899999999999</v>
      </c>
      <c r="E377">
        <v>149.25300000000001</v>
      </c>
      <c r="F377">
        <v>0</v>
      </c>
      <c r="G377" s="2043">
        <v>92633808</v>
      </c>
      <c r="H377">
        <v>0</v>
      </c>
      <c r="I377" s="2043">
        <v>1291028</v>
      </c>
      <c r="J377">
        <v>41.849000000000004</v>
      </c>
      <c r="K377">
        <v>114</v>
      </c>
      <c r="L377">
        <v>584426</v>
      </c>
      <c r="M377">
        <v>275087</v>
      </c>
      <c r="N377">
        <v>584426</v>
      </c>
      <c r="O377">
        <v>859513</v>
      </c>
      <c r="P377">
        <v>0</v>
      </c>
      <c r="Q377">
        <v>0</v>
      </c>
      <c r="R377" s="2043">
        <v>765464</v>
      </c>
      <c r="S377">
        <v>72470</v>
      </c>
      <c r="T377">
        <v>5888</v>
      </c>
      <c r="U377">
        <v>0.08</v>
      </c>
      <c r="V377">
        <v>0</v>
      </c>
      <c r="W377">
        <v>0</v>
      </c>
      <c r="X377">
        <v>0</v>
      </c>
      <c r="Y377">
        <v>0</v>
      </c>
      <c r="Z377">
        <v>0</v>
      </c>
      <c r="AA377">
        <v>0.76700000000000002</v>
      </c>
      <c r="AB377">
        <v>875.00800000000004</v>
      </c>
      <c r="AC377" s="2043">
        <v>79913515</v>
      </c>
      <c r="AD377">
        <v>412478</v>
      </c>
      <c r="AE377" s="2043">
        <v>843822</v>
      </c>
      <c r="AF377">
        <v>0.93149999999999999</v>
      </c>
      <c r="AG377">
        <v>0</v>
      </c>
      <c r="AH377">
        <v>0</v>
      </c>
      <c r="AI377">
        <v>0</v>
      </c>
      <c r="AJ377">
        <v>210</v>
      </c>
      <c r="AK377">
        <v>2705</v>
      </c>
      <c r="AL377">
        <v>0.113</v>
      </c>
      <c r="AM377">
        <v>0</v>
      </c>
      <c r="AN377">
        <v>34.847000000000001</v>
      </c>
      <c r="AO377">
        <v>0</v>
      </c>
      <c r="AP377">
        <v>0</v>
      </c>
      <c r="AQ377">
        <v>0</v>
      </c>
      <c r="AR377">
        <v>7.056</v>
      </c>
      <c r="AS377">
        <v>0</v>
      </c>
      <c r="AT377">
        <v>6.5630000000000006</v>
      </c>
      <c r="AU377">
        <v>1.488</v>
      </c>
      <c r="AV377">
        <v>0</v>
      </c>
      <c r="AW377">
        <v>15.22</v>
      </c>
      <c r="AX377">
        <v>0</v>
      </c>
      <c r="AY377">
        <v>48.862000000000002</v>
      </c>
      <c r="AZ377">
        <v>0</v>
      </c>
      <c r="BA377">
        <v>11011873</v>
      </c>
      <c r="BB377">
        <v>1256300</v>
      </c>
      <c r="BC377">
        <v>0</v>
      </c>
      <c r="BD377">
        <v>12888</v>
      </c>
      <c r="BE377">
        <v>3694</v>
      </c>
      <c r="BF377">
        <v>127838</v>
      </c>
      <c r="BG377">
        <v>12888</v>
      </c>
      <c r="BH377">
        <v>111256</v>
      </c>
      <c r="BI377">
        <v>0</v>
      </c>
      <c r="BJ377">
        <v>0</v>
      </c>
      <c r="BK377">
        <v>0</v>
      </c>
      <c r="BL377">
        <v>92633808</v>
      </c>
      <c r="BM377">
        <v>0</v>
      </c>
      <c r="BN377">
        <v>3510</v>
      </c>
      <c r="BO377">
        <v>3328</v>
      </c>
      <c r="BP377">
        <v>0</v>
      </c>
      <c r="BQ377">
        <v>0</v>
      </c>
      <c r="BR377">
        <v>0.84500000000000008</v>
      </c>
      <c r="BS377">
        <v>0.84500000000000008</v>
      </c>
      <c r="BT377">
        <v>0</v>
      </c>
      <c r="BU377">
        <v>0</v>
      </c>
      <c r="BV377">
        <v>0</v>
      </c>
      <c r="BW377">
        <v>139</v>
      </c>
      <c r="BX377">
        <v>492</v>
      </c>
      <c r="BY377">
        <v>169</v>
      </c>
      <c r="BZ377">
        <v>35</v>
      </c>
      <c r="CA377">
        <v>835</v>
      </c>
      <c r="CB377">
        <v>0</v>
      </c>
      <c r="CC377">
        <v>205.18600000000001</v>
      </c>
      <c r="CD377">
        <v>0</v>
      </c>
      <c r="CE377">
        <v>11</v>
      </c>
      <c r="CF377">
        <v>350.34700000000004</v>
      </c>
      <c r="CG377">
        <v>0</v>
      </c>
      <c r="CH377">
        <v>0</v>
      </c>
      <c r="CI377">
        <v>0</v>
      </c>
      <c r="CJ377">
        <v>0</v>
      </c>
      <c r="CK377">
        <v>0</v>
      </c>
      <c r="CL377">
        <v>0</v>
      </c>
      <c r="CM377">
        <v>149.25300000000001</v>
      </c>
      <c r="CN377">
        <v>0</v>
      </c>
      <c r="CO377">
        <v>0</v>
      </c>
      <c r="CP377">
        <v>0</v>
      </c>
      <c r="CQ377">
        <v>0</v>
      </c>
      <c r="CR377">
        <v>0</v>
      </c>
      <c r="CS377">
        <v>0</v>
      </c>
      <c r="CT377">
        <v>0</v>
      </c>
      <c r="CU377">
        <v>1.7000000000000001E-2</v>
      </c>
      <c r="CV377">
        <v>52.975000000000001</v>
      </c>
      <c r="CW377">
        <v>26.546000000000003</v>
      </c>
      <c r="CX377">
        <v>0</v>
      </c>
      <c r="CY377" s="2043">
        <v>0</v>
      </c>
      <c r="CZ377" s="2043">
        <v>0</v>
      </c>
      <c r="DA377" s="2043">
        <v>0</v>
      </c>
      <c r="DB377" s="2043">
        <v>0</v>
      </c>
      <c r="DC377" s="2043">
        <v>0</v>
      </c>
      <c r="DI377" t="s">
        <v>2986</v>
      </c>
      <c r="DJ377" t="s">
        <v>2985</v>
      </c>
      <c r="DK377" s="2042">
        <f t="shared" si="7"/>
        <v>1</v>
      </c>
    </row>
    <row r="378" spans="1:115">
      <c r="A378" t="s">
        <v>8505</v>
      </c>
      <c r="B378" t="s">
        <v>11314</v>
      </c>
      <c r="C378">
        <v>0</v>
      </c>
      <c r="D378">
        <v>0</v>
      </c>
      <c r="E378">
        <v>0</v>
      </c>
      <c r="F378">
        <v>0</v>
      </c>
      <c r="G378" s="2043">
        <v>0</v>
      </c>
      <c r="H378">
        <v>0</v>
      </c>
      <c r="I378" s="2043">
        <v>0</v>
      </c>
      <c r="J378">
        <v>0</v>
      </c>
      <c r="K378">
        <v>0</v>
      </c>
      <c r="L378">
        <v>0</v>
      </c>
      <c r="M378">
        <v>0</v>
      </c>
      <c r="N378">
        <v>0</v>
      </c>
      <c r="O378">
        <v>0</v>
      </c>
      <c r="P378">
        <v>0</v>
      </c>
      <c r="Q378">
        <v>0</v>
      </c>
      <c r="R378" s="2043">
        <v>0</v>
      </c>
      <c r="S378">
        <v>0</v>
      </c>
      <c r="T378">
        <v>0</v>
      </c>
      <c r="U378">
        <v>0</v>
      </c>
      <c r="V378">
        <v>0</v>
      </c>
      <c r="W378">
        <v>0</v>
      </c>
      <c r="X378">
        <v>0</v>
      </c>
      <c r="Y378">
        <v>1452558</v>
      </c>
      <c r="Z378">
        <v>0</v>
      </c>
      <c r="AA378">
        <v>0</v>
      </c>
      <c r="AB378">
        <v>0</v>
      </c>
      <c r="AC378" s="2043">
        <v>0</v>
      </c>
      <c r="AD378">
        <v>0</v>
      </c>
      <c r="AE378" s="2043">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1452558</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s="2043">
        <v>0</v>
      </c>
      <c r="CZ378" s="2043">
        <v>0</v>
      </c>
      <c r="DA378" s="2043">
        <v>0</v>
      </c>
      <c r="DB378" s="2043">
        <v>0</v>
      </c>
      <c r="DC378" s="2043">
        <v>0</v>
      </c>
      <c r="DI378" t="s">
        <v>8505</v>
      </c>
      <c r="DJ378" t="s">
        <v>8505</v>
      </c>
      <c r="DK378" s="2042">
        <f t="shared" si="7"/>
        <v>0</v>
      </c>
    </row>
    <row r="379" spans="1:115">
      <c r="A379" t="s">
        <v>7999</v>
      </c>
      <c r="B379" t="s">
        <v>11315</v>
      </c>
      <c r="C379">
        <v>5367.3630000000003</v>
      </c>
      <c r="D379">
        <v>5565.5540000000001</v>
      </c>
      <c r="E379">
        <v>446.91200000000003</v>
      </c>
      <c r="F379">
        <v>0</v>
      </c>
      <c r="G379" s="2043">
        <v>0</v>
      </c>
      <c r="H379">
        <v>0</v>
      </c>
      <c r="I379" s="2043">
        <v>0</v>
      </c>
      <c r="J379">
        <v>0</v>
      </c>
      <c r="K379">
        <v>0</v>
      </c>
      <c r="L379">
        <v>0</v>
      </c>
      <c r="M379">
        <v>0</v>
      </c>
      <c r="N379">
        <v>0</v>
      </c>
      <c r="O379">
        <v>0</v>
      </c>
      <c r="P379">
        <v>0</v>
      </c>
      <c r="Q379">
        <v>0</v>
      </c>
      <c r="R379" s="2043">
        <v>0</v>
      </c>
      <c r="S379">
        <v>0</v>
      </c>
      <c r="T379">
        <v>0</v>
      </c>
      <c r="U379">
        <v>0</v>
      </c>
      <c r="V379">
        <v>161.55100000000002</v>
      </c>
      <c r="W379">
        <v>0</v>
      </c>
      <c r="X379">
        <v>0</v>
      </c>
      <c r="Y379">
        <v>948854</v>
      </c>
      <c r="Z379">
        <v>0</v>
      </c>
      <c r="AA379">
        <v>0</v>
      </c>
      <c r="AB379">
        <v>4958.6540000000005</v>
      </c>
      <c r="AC379" s="2043">
        <v>0</v>
      </c>
      <c r="AD379">
        <v>0</v>
      </c>
      <c r="AE379" s="2043">
        <v>0</v>
      </c>
      <c r="AF379">
        <v>0</v>
      </c>
      <c r="AG379">
        <v>0</v>
      </c>
      <c r="AH379">
        <v>0</v>
      </c>
      <c r="AI379">
        <v>0</v>
      </c>
      <c r="AJ379">
        <v>1024.125</v>
      </c>
      <c r="AK379">
        <v>24648</v>
      </c>
      <c r="AL379">
        <v>0</v>
      </c>
      <c r="AM379">
        <v>2.2050000000000001</v>
      </c>
      <c r="AN379">
        <v>465.827</v>
      </c>
      <c r="AO379">
        <v>0</v>
      </c>
      <c r="AP379">
        <v>0</v>
      </c>
      <c r="AQ379">
        <v>1.268</v>
      </c>
      <c r="AR379">
        <v>160.94200000000001</v>
      </c>
      <c r="AS379">
        <v>0</v>
      </c>
      <c r="AT379">
        <v>19.059000000000001</v>
      </c>
      <c r="AU379">
        <v>0.187</v>
      </c>
      <c r="AV379">
        <v>0</v>
      </c>
      <c r="AW379">
        <v>183.661</v>
      </c>
      <c r="AX379">
        <v>0</v>
      </c>
      <c r="AY379">
        <v>547.553</v>
      </c>
      <c r="AZ379">
        <v>0</v>
      </c>
      <c r="BA379">
        <v>61275516</v>
      </c>
      <c r="BB379">
        <v>0</v>
      </c>
      <c r="BC379">
        <v>0</v>
      </c>
      <c r="BD379">
        <v>20013</v>
      </c>
      <c r="BE379">
        <v>0</v>
      </c>
      <c r="BF379">
        <v>20013</v>
      </c>
      <c r="BG379">
        <v>20013</v>
      </c>
      <c r="BH379">
        <v>0</v>
      </c>
      <c r="BI379">
        <v>0</v>
      </c>
      <c r="BJ379">
        <v>0</v>
      </c>
      <c r="BK379">
        <v>0</v>
      </c>
      <c r="BL379">
        <v>0</v>
      </c>
      <c r="BM379">
        <v>0</v>
      </c>
      <c r="BN379">
        <v>73521</v>
      </c>
      <c r="BO379">
        <v>1231</v>
      </c>
      <c r="BP379">
        <v>58207</v>
      </c>
      <c r="BQ379">
        <v>0</v>
      </c>
      <c r="BR379">
        <v>0</v>
      </c>
      <c r="BS379">
        <v>0</v>
      </c>
      <c r="BT379">
        <v>0</v>
      </c>
      <c r="BU379">
        <v>0</v>
      </c>
      <c r="BV379">
        <v>771</v>
      </c>
      <c r="BW379">
        <v>777</v>
      </c>
      <c r="BX379">
        <v>927</v>
      </c>
      <c r="BY379">
        <v>847</v>
      </c>
      <c r="BZ379">
        <v>771</v>
      </c>
      <c r="CA379">
        <v>4093</v>
      </c>
      <c r="CB379">
        <v>0</v>
      </c>
      <c r="CC379">
        <v>0</v>
      </c>
      <c r="CD379">
        <v>0</v>
      </c>
      <c r="CE379">
        <v>458</v>
      </c>
      <c r="CF379">
        <v>8.4410000000000007</v>
      </c>
      <c r="CG379">
        <v>6033.4160000000002</v>
      </c>
      <c r="CH379">
        <v>0</v>
      </c>
      <c r="CI379">
        <v>0</v>
      </c>
      <c r="CJ379">
        <v>0</v>
      </c>
      <c r="CK379">
        <v>2</v>
      </c>
      <c r="CL379">
        <v>6033.4160000000002</v>
      </c>
      <c r="CM379">
        <v>446.91200000000003</v>
      </c>
      <c r="CN379">
        <v>0</v>
      </c>
      <c r="CO379">
        <v>21683</v>
      </c>
      <c r="CP379">
        <v>32524</v>
      </c>
      <c r="CQ379">
        <v>4000</v>
      </c>
      <c r="CR379">
        <v>0</v>
      </c>
      <c r="CS379">
        <v>0</v>
      </c>
      <c r="CT379">
        <v>0</v>
      </c>
      <c r="CU379">
        <v>1.3460000000000001</v>
      </c>
      <c r="CV379">
        <v>210.50800000000001</v>
      </c>
      <c r="CW379">
        <v>76.819000000000003</v>
      </c>
      <c r="CX379">
        <v>0</v>
      </c>
      <c r="CY379" s="2043">
        <v>0</v>
      </c>
      <c r="CZ379" s="2043">
        <v>0</v>
      </c>
      <c r="DA379" s="2043">
        <v>0</v>
      </c>
      <c r="DB379" s="2043">
        <v>0</v>
      </c>
      <c r="DC379" s="2043">
        <v>0</v>
      </c>
      <c r="DI379" t="s">
        <v>7999</v>
      </c>
      <c r="DJ379" t="s">
        <v>7999</v>
      </c>
      <c r="DK379" s="2042">
        <f t="shared" si="7"/>
        <v>0</v>
      </c>
    </row>
    <row r="380" spans="1:115">
      <c r="A380" t="s">
        <v>8000</v>
      </c>
      <c r="B380" t="s">
        <v>11316</v>
      </c>
      <c r="C380">
        <v>86.409000000000006</v>
      </c>
      <c r="D380">
        <v>108.608</v>
      </c>
      <c r="E380">
        <v>3.6970000000000001</v>
      </c>
      <c r="F380">
        <v>0</v>
      </c>
      <c r="G380" s="2043">
        <v>0</v>
      </c>
      <c r="H380">
        <v>0</v>
      </c>
      <c r="I380" s="2043">
        <v>0</v>
      </c>
      <c r="J380">
        <v>0</v>
      </c>
      <c r="K380">
        <v>0</v>
      </c>
      <c r="L380">
        <v>0</v>
      </c>
      <c r="M380">
        <v>0</v>
      </c>
      <c r="N380">
        <v>0</v>
      </c>
      <c r="O380">
        <v>0</v>
      </c>
      <c r="P380">
        <v>0</v>
      </c>
      <c r="Q380">
        <v>0</v>
      </c>
      <c r="R380" s="2043">
        <v>0</v>
      </c>
      <c r="S380">
        <v>0</v>
      </c>
      <c r="T380">
        <v>0</v>
      </c>
      <c r="U380">
        <v>0</v>
      </c>
      <c r="V380">
        <v>0</v>
      </c>
      <c r="W380">
        <v>0</v>
      </c>
      <c r="X380">
        <v>0</v>
      </c>
      <c r="Y380">
        <v>15276</v>
      </c>
      <c r="Z380">
        <v>0</v>
      </c>
      <c r="AA380">
        <v>0.36300000000000004</v>
      </c>
      <c r="AB380">
        <v>108.43</v>
      </c>
      <c r="AC380" s="2043">
        <v>0</v>
      </c>
      <c r="AD380">
        <v>0</v>
      </c>
      <c r="AE380" s="2043">
        <v>0</v>
      </c>
      <c r="AF380">
        <v>0</v>
      </c>
      <c r="AG380">
        <v>0</v>
      </c>
      <c r="AH380">
        <v>0</v>
      </c>
      <c r="AI380">
        <v>0</v>
      </c>
      <c r="AJ380">
        <v>21.150000000000002</v>
      </c>
      <c r="AK380">
        <v>543</v>
      </c>
      <c r="AL380">
        <v>0</v>
      </c>
      <c r="AM380">
        <v>0</v>
      </c>
      <c r="AN380">
        <v>1.4390000000000001</v>
      </c>
      <c r="AO380">
        <v>0</v>
      </c>
      <c r="AP380">
        <v>0</v>
      </c>
      <c r="AQ380">
        <v>4.9889999999999999</v>
      </c>
      <c r="AR380">
        <v>0.77300000000000002</v>
      </c>
      <c r="AS380">
        <v>0</v>
      </c>
      <c r="AT380">
        <v>0</v>
      </c>
      <c r="AU380">
        <v>1.2E-2</v>
      </c>
      <c r="AV380">
        <v>0</v>
      </c>
      <c r="AW380">
        <v>5.774</v>
      </c>
      <c r="AX380">
        <v>0</v>
      </c>
      <c r="AY380">
        <v>2.379</v>
      </c>
      <c r="AZ380">
        <v>0</v>
      </c>
      <c r="BA380">
        <v>1052641</v>
      </c>
      <c r="BB380">
        <v>0</v>
      </c>
      <c r="BC380">
        <v>0</v>
      </c>
      <c r="BD380">
        <v>0</v>
      </c>
      <c r="BE380">
        <v>0</v>
      </c>
      <c r="BF380">
        <v>0</v>
      </c>
      <c r="BG380">
        <v>0</v>
      </c>
      <c r="BH380">
        <v>0</v>
      </c>
      <c r="BI380">
        <v>0</v>
      </c>
      <c r="BJ380">
        <v>0</v>
      </c>
      <c r="BK380">
        <v>0</v>
      </c>
      <c r="BL380">
        <v>0</v>
      </c>
      <c r="BM380">
        <v>0</v>
      </c>
      <c r="BN380">
        <v>1188</v>
      </c>
      <c r="BO380">
        <v>417</v>
      </c>
      <c r="BP380">
        <v>0</v>
      </c>
      <c r="BQ380">
        <v>0</v>
      </c>
      <c r="BR380">
        <v>0</v>
      </c>
      <c r="BS380">
        <v>0</v>
      </c>
      <c r="BT380">
        <v>0</v>
      </c>
      <c r="BU380">
        <v>0</v>
      </c>
      <c r="BV380">
        <v>23</v>
      </c>
      <c r="BW380">
        <v>5</v>
      </c>
      <c r="BX380">
        <v>12</v>
      </c>
      <c r="BY380">
        <v>3</v>
      </c>
      <c r="BZ380">
        <v>40</v>
      </c>
      <c r="CA380">
        <v>83</v>
      </c>
      <c r="CB380">
        <v>0</v>
      </c>
      <c r="CC380">
        <v>0</v>
      </c>
      <c r="CD380">
        <v>0</v>
      </c>
      <c r="CE380">
        <v>17</v>
      </c>
      <c r="CF380">
        <v>0</v>
      </c>
      <c r="CG380">
        <v>86.409000000000006</v>
      </c>
      <c r="CH380">
        <v>8.2629999999999999</v>
      </c>
      <c r="CI380">
        <v>0</v>
      </c>
      <c r="CJ380">
        <v>1</v>
      </c>
      <c r="CK380">
        <v>0</v>
      </c>
      <c r="CL380">
        <v>94.672000000000011</v>
      </c>
      <c r="CM380">
        <v>3.6970000000000001</v>
      </c>
      <c r="CN380">
        <v>0</v>
      </c>
      <c r="CO380">
        <v>0</v>
      </c>
      <c r="CP380">
        <v>0</v>
      </c>
      <c r="CQ380">
        <v>0</v>
      </c>
      <c r="CR380">
        <v>0</v>
      </c>
      <c r="CS380">
        <v>0</v>
      </c>
      <c r="CT380">
        <v>0</v>
      </c>
      <c r="CU380">
        <v>0</v>
      </c>
      <c r="CV380">
        <v>5.7410000000000005</v>
      </c>
      <c r="CW380">
        <v>0.52300000000000002</v>
      </c>
      <c r="CX380">
        <v>0</v>
      </c>
      <c r="CY380" s="2043">
        <v>0</v>
      </c>
      <c r="CZ380" s="2043">
        <v>0</v>
      </c>
      <c r="DA380" s="2043">
        <v>0</v>
      </c>
      <c r="DB380" s="2043">
        <v>0</v>
      </c>
      <c r="DC380" s="2043">
        <v>0</v>
      </c>
      <c r="DI380" t="s">
        <v>8000</v>
      </c>
      <c r="DJ380" t="s">
        <v>8000</v>
      </c>
      <c r="DK380" s="2042">
        <f t="shared" si="7"/>
        <v>0</v>
      </c>
    </row>
    <row r="381" spans="1:115">
      <c r="A381" t="s">
        <v>5794</v>
      </c>
      <c r="B381" t="s">
        <v>2276</v>
      </c>
      <c r="C381">
        <v>214.94500000000002</v>
      </c>
      <c r="D381">
        <v>200.821</v>
      </c>
      <c r="E381">
        <v>30.437000000000001</v>
      </c>
      <c r="F381">
        <v>0</v>
      </c>
      <c r="G381" s="2043">
        <v>67007113</v>
      </c>
      <c r="H381">
        <v>0</v>
      </c>
      <c r="I381" s="2043">
        <v>0</v>
      </c>
      <c r="J381">
        <v>5</v>
      </c>
      <c r="K381">
        <v>14</v>
      </c>
      <c r="L381">
        <v>0</v>
      </c>
      <c r="M381">
        <v>0</v>
      </c>
      <c r="N381">
        <v>0</v>
      </c>
      <c r="O381">
        <v>0</v>
      </c>
      <c r="P381">
        <v>0</v>
      </c>
      <c r="Q381">
        <v>0</v>
      </c>
      <c r="R381" s="2043">
        <v>562242</v>
      </c>
      <c r="S381">
        <v>34200</v>
      </c>
      <c r="T381">
        <v>0</v>
      </c>
      <c r="U381">
        <v>0.05</v>
      </c>
      <c r="V381">
        <v>0</v>
      </c>
      <c r="W381">
        <v>0</v>
      </c>
      <c r="X381">
        <v>0</v>
      </c>
      <c r="Y381">
        <v>0</v>
      </c>
      <c r="Z381">
        <v>0</v>
      </c>
      <c r="AA381">
        <v>0</v>
      </c>
      <c r="AB381">
        <v>200.63</v>
      </c>
      <c r="AC381" s="2043">
        <v>55227342</v>
      </c>
      <c r="AD381">
        <v>0</v>
      </c>
      <c r="AE381" s="2043">
        <v>596442</v>
      </c>
      <c r="AF381">
        <v>0.872</v>
      </c>
      <c r="AG381">
        <v>0</v>
      </c>
      <c r="AH381">
        <v>0</v>
      </c>
      <c r="AI381">
        <v>0</v>
      </c>
      <c r="AJ381">
        <v>41.613</v>
      </c>
      <c r="AK381">
        <v>343</v>
      </c>
      <c r="AL381">
        <v>0</v>
      </c>
      <c r="AM381">
        <v>0</v>
      </c>
      <c r="AN381">
        <v>2.48</v>
      </c>
      <c r="AO381">
        <v>0</v>
      </c>
      <c r="AP381">
        <v>1.341</v>
      </c>
      <c r="AQ381">
        <v>0</v>
      </c>
      <c r="AR381">
        <v>0.48100000000000004</v>
      </c>
      <c r="AS381">
        <v>0</v>
      </c>
      <c r="AT381">
        <v>0</v>
      </c>
      <c r="AU381">
        <v>0.35600000000000004</v>
      </c>
      <c r="AV381">
        <v>0</v>
      </c>
      <c r="AW381">
        <v>2.1779999999999999</v>
      </c>
      <c r="AX381">
        <v>0</v>
      </c>
      <c r="AY381">
        <v>6.8440000000000003</v>
      </c>
      <c r="AZ381">
        <v>0</v>
      </c>
      <c r="BA381">
        <v>2180310</v>
      </c>
      <c r="BB381">
        <v>596442</v>
      </c>
      <c r="BC381">
        <v>0</v>
      </c>
      <c r="BD381">
        <v>27081</v>
      </c>
      <c r="BE381">
        <v>0</v>
      </c>
      <c r="BF381">
        <v>27351</v>
      </c>
      <c r="BG381">
        <v>27081</v>
      </c>
      <c r="BH381">
        <v>270</v>
      </c>
      <c r="BI381">
        <v>0</v>
      </c>
      <c r="BJ381">
        <v>0</v>
      </c>
      <c r="BK381">
        <v>0</v>
      </c>
      <c r="BL381">
        <v>67007113</v>
      </c>
      <c r="BM381">
        <v>0</v>
      </c>
      <c r="BN381">
        <v>846</v>
      </c>
      <c r="BO381">
        <v>407</v>
      </c>
      <c r="BP381">
        <v>0</v>
      </c>
      <c r="BQ381">
        <v>0</v>
      </c>
      <c r="BR381">
        <v>0.82200000000000006</v>
      </c>
      <c r="BS381">
        <v>0.82200000000000006</v>
      </c>
      <c r="BT381">
        <v>0</v>
      </c>
      <c r="BU381">
        <v>0</v>
      </c>
      <c r="BV381">
        <v>63</v>
      </c>
      <c r="BW381">
        <v>40</v>
      </c>
      <c r="BX381">
        <v>35</v>
      </c>
      <c r="BY381">
        <v>35</v>
      </c>
      <c r="BZ381">
        <v>0</v>
      </c>
      <c r="CA381">
        <v>173</v>
      </c>
      <c r="CB381">
        <v>0</v>
      </c>
      <c r="CC381">
        <v>0</v>
      </c>
      <c r="CD381">
        <v>0</v>
      </c>
      <c r="CE381">
        <v>9</v>
      </c>
      <c r="CF381">
        <v>70.856999999999999</v>
      </c>
      <c r="CG381">
        <v>0</v>
      </c>
      <c r="CH381">
        <v>0</v>
      </c>
      <c r="CI381">
        <v>0</v>
      </c>
      <c r="CJ381">
        <v>0</v>
      </c>
      <c r="CK381">
        <v>0</v>
      </c>
      <c r="CL381">
        <v>0</v>
      </c>
      <c r="CM381">
        <v>30.437000000000001</v>
      </c>
      <c r="CN381">
        <v>0</v>
      </c>
      <c r="CO381">
        <v>0</v>
      </c>
      <c r="CP381">
        <v>0</v>
      </c>
      <c r="CQ381">
        <v>0</v>
      </c>
      <c r="CR381">
        <v>0</v>
      </c>
      <c r="CS381">
        <v>0</v>
      </c>
      <c r="CT381">
        <v>0</v>
      </c>
      <c r="CU381">
        <v>0</v>
      </c>
      <c r="CV381">
        <v>11.873000000000001</v>
      </c>
      <c r="CW381">
        <v>4.2759999999999998</v>
      </c>
      <c r="CX381">
        <v>0</v>
      </c>
      <c r="CY381" s="2043">
        <v>0</v>
      </c>
      <c r="CZ381" s="2043">
        <v>0</v>
      </c>
      <c r="DA381" s="2043">
        <v>0</v>
      </c>
      <c r="DB381" s="2043">
        <v>0</v>
      </c>
      <c r="DC381" s="2043">
        <v>0</v>
      </c>
      <c r="DI381" t="s">
        <v>5794</v>
      </c>
      <c r="DJ381" t="s">
        <v>5794</v>
      </c>
      <c r="DK381" s="2042">
        <f t="shared" si="7"/>
        <v>0</v>
      </c>
    </row>
    <row r="382" spans="1:115">
      <c r="A382" t="s">
        <v>5009</v>
      </c>
      <c r="B382" t="s">
        <v>2277</v>
      </c>
      <c r="C382">
        <v>1009.7380000000001</v>
      </c>
      <c r="D382">
        <v>996.31700000000001</v>
      </c>
      <c r="E382">
        <v>203.71300000000002</v>
      </c>
      <c r="F382">
        <v>0</v>
      </c>
      <c r="G382" s="2043">
        <v>433577695</v>
      </c>
      <c r="H382">
        <v>0</v>
      </c>
      <c r="I382" s="2043">
        <v>632675</v>
      </c>
      <c r="J382">
        <v>50.487000000000002</v>
      </c>
      <c r="K382">
        <v>138</v>
      </c>
      <c r="L382">
        <v>0</v>
      </c>
      <c r="M382">
        <v>0</v>
      </c>
      <c r="N382">
        <v>0</v>
      </c>
      <c r="O382">
        <v>0</v>
      </c>
      <c r="P382">
        <v>0</v>
      </c>
      <c r="Q382">
        <v>0</v>
      </c>
      <c r="R382" s="2043">
        <v>3588115</v>
      </c>
      <c r="S382">
        <v>349208</v>
      </c>
      <c r="T382">
        <v>254486</v>
      </c>
      <c r="U382">
        <v>0.08</v>
      </c>
      <c r="V382">
        <v>0</v>
      </c>
      <c r="W382">
        <v>0</v>
      </c>
      <c r="X382">
        <v>0</v>
      </c>
      <c r="Y382">
        <v>0</v>
      </c>
      <c r="Z382">
        <v>0</v>
      </c>
      <c r="AA382">
        <v>0</v>
      </c>
      <c r="AB382">
        <v>996.31700000000001</v>
      </c>
      <c r="AC382" s="2043">
        <v>362765838</v>
      </c>
      <c r="AD382">
        <v>674050</v>
      </c>
      <c r="AE382" s="2043">
        <v>4191809</v>
      </c>
      <c r="AF382">
        <v>0.96030000000000004</v>
      </c>
      <c r="AG382">
        <v>0</v>
      </c>
      <c r="AH382">
        <v>0</v>
      </c>
      <c r="AI382">
        <v>0</v>
      </c>
      <c r="AJ382">
        <v>171.47499999999999</v>
      </c>
      <c r="AK382">
        <v>2746</v>
      </c>
      <c r="AL382">
        <v>0</v>
      </c>
      <c r="AM382">
        <v>0</v>
      </c>
      <c r="AN382">
        <v>24.927</v>
      </c>
      <c r="AO382">
        <v>0</v>
      </c>
      <c r="AP382">
        <v>0</v>
      </c>
      <c r="AQ382">
        <v>0</v>
      </c>
      <c r="AR382">
        <v>12.82</v>
      </c>
      <c r="AS382">
        <v>0</v>
      </c>
      <c r="AT382">
        <v>6.5440000000000005</v>
      </c>
      <c r="AU382">
        <v>1.464</v>
      </c>
      <c r="AV382">
        <v>0</v>
      </c>
      <c r="AW382">
        <v>20.827999999999999</v>
      </c>
      <c r="AX382">
        <v>0</v>
      </c>
      <c r="AY382">
        <v>65.412000000000006</v>
      </c>
      <c r="AZ382">
        <v>0</v>
      </c>
      <c r="BA382">
        <v>8124044</v>
      </c>
      <c r="BB382">
        <v>4865859</v>
      </c>
      <c r="BC382">
        <v>0</v>
      </c>
      <c r="BD382">
        <v>64569</v>
      </c>
      <c r="BE382">
        <v>15047</v>
      </c>
      <c r="BF382">
        <v>79616</v>
      </c>
      <c r="BG382">
        <v>64569</v>
      </c>
      <c r="BH382">
        <v>0</v>
      </c>
      <c r="BI382">
        <v>0</v>
      </c>
      <c r="BJ382">
        <v>0</v>
      </c>
      <c r="BK382">
        <v>0</v>
      </c>
      <c r="BL382">
        <v>433577695</v>
      </c>
      <c r="BM382">
        <v>0</v>
      </c>
      <c r="BN382">
        <v>3123</v>
      </c>
      <c r="BO382">
        <v>2204</v>
      </c>
      <c r="BP382">
        <v>0</v>
      </c>
      <c r="BQ382">
        <v>0</v>
      </c>
      <c r="BR382">
        <v>0.82200000000000006</v>
      </c>
      <c r="BS382">
        <v>0.82200000000000006</v>
      </c>
      <c r="BT382">
        <v>0</v>
      </c>
      <c r="BU382">
        <v>0</v>
      </c>
      <c r="BV382">
        <v>470</v>
      </c>
      <c r="BW382">
        <v>126</v>
      </c>
      <c r="BX382">
        <v>139</v>
      </c>
      <c r="BY382">
        <v>4</v>
      </c>
      <c r="BZ382">
        <v>0</v>
      </c>
      <c r="CA382">
        <v>739</v>
      </c>
      <c r="CB382">
        <v>0</v>
      </c>
      <c r="CC382">
        <v>0</v>
      </c>
      <c r="CD382">
        <v>0</v>
      </c>
      <c r="CE382">
        <v>72</v>
      </c>
      <c r="CF382">
        <v>279.13400000000001</v>
      </c>
      <c r="CG382">
        <v>0</v>
      </c>
      <c r="CH382">
        <v>0</v>
      </c>
      <c r="CI382">
        <v>6</v>
      </c>
      <c r="CJ382">
        <v>1</v>
      </c>
      <c r="CK382">
        <v>0</v>
      </c>
      <c r="CL382">
        <v>0</v>
      </c>
      <c r="CM382">
        <v>203.71300000000002</v>
      </c>
      <c r="CN382">
        <v>0</v>
      </c>
      <c r="CO382">
        <v>0</v>
      </c>
      <c r="CP382">
        <v>0</v>
      </c>
      <c r="CQ382">
        <v>0</v>
      </c>
      <c r="CR382">
        <v>0</v>
      </c>
      <c r="CS382">
        <v>0</v>
      </c>
      <c r="CT382">
        <v>0</v>
      </c>
      <c r="CU382">
        <v>0</v>
      </c>
      <c r="CV382">
        <v>71.996000000000009</v>
      </c>
      <c r="CW382">
        <v>39.274000000000001</v>
      </c>
      <c r="CX382">
        <v>0</v>
      </c>
      <c r="CY382" s="2043">
        <v>0</v>
      </c>
      <c r="CZ382" s="2043">
        <v>0</v>
      </c>
      <c r="DA382" s="2043">
        <v>0</v>
      </c>
      <c r="DB382" s="2043">
        <v>0</v>
      </c>
      <c r="DC382" s="2043">
        <v>0</v>
      </c>
      <c r="DI382" t="s">
        <v>5009</v>
      </c>
      <c r="DJ382" t="s">
        <v>5009</v>
      </c>
      <c r="DK382" s="2042">
        <f t="shared" si="7"/>
        <v>0</v>
      </c>
    </row>
    <row r="383" spans="1:115">
      <c r="A383" t="s">
        <v>2987</v>
      </c>
      <c r="B383" t="s">
        <v>1422</v>
      </c>
      <c r="C383">
        <v>3410.9690000000001</v>
      </c>
      <c r="D383">
        <v>3720.67</v>
      </c>
      <c r="E383">
        <v>207.303</v>
      </c>
      <c r="F383">
        <v>0</v>
      </c>
      <c r="G383" s="2043">
        <v>2228244465</v>
      </c>
      <c r="H383">
        <v>0</v>
      </c>
      <c r="I383" s="2043">
        <v>4941056</v>
      </c>
      <c r="J383">
        <v>170.548</v>
      </c>
      <c r="K383">
        <v>466</v>
      </c>
      <c r="L383">
        <v>0</v>
      </c>
      <c r="M383">
        <v>0</v>
      </c>
      <c r="N383">
        <v>0</v>
      </c>
      <c r="O383">
        <v>0</v>
      </c>
      <c r="P383">
        <v>0</v>
      </c>
      <c r="Q383">
        <v>0</v>
      </c>
      <c r="R383" s="2043">
        <v>18768689</v>
      </c>
      <c r="S383">
        <v>1325784</v>
      </c>
      <c r="T383">
        <v>0</v>
      </c>
      <c r="U383">
        <v>0.06</v>
      </c>
      <c r="V383">
        <v>0</v>
      </c>
      <c r="W383">
        <v>0</v>
      </c>
      <c r="X383">
        <v>0</v>
      </c>
      <c r="Y383">
        <v>0</v>
      </c>
      <c r="Z383">
        <v>0</v>
      </c>
      <c r="AA383">
        <v>8.7000000000000008E-2</v>
      </c>
      <c r="AB383">
        <v>3432.9570000000003</v>
      </c>
      <c r="AC383" s="2043">
        <v>1863782600</v>
      </c>
      <c r="AD383">
        <v>6243771</v>
      </c>
      <c r="AE383" s="2043">
        <v>20094473</v>
      </c>
      <c r="AF383">
        <v>0.9094000000000001</v>
      </c>
      <c r="AG383">
        <v>0</v>
      </c>
      <c r="AH383">
        <v>0</v>
      </c>
      <c r="AI383">
        <v>0</v>
      </c>
      <c r="AJ383">
        <v>440.47500000000002</v>
      </c>
      <c r="AK383">
        <v>12191</v>
      </c>
      <c r="AL383">
        <v>1E-3</v>
      </c>
      <c r="AM383">
        <v>0</v>
      </c>
      <c r="AN383">
        <v>110.88500000000001</v>
      </c>
      <c r="AO383">
        <v>0</v>
      </c>
      <c r="AP383">
        <v>0</v>
      </c>
      <c r="AQ383">
        <v>8.1840000000000011</v>
      </c>
      <c r="AR383">
        <v>72.121000000000009</v>
      </c>
      <c r="AS383">
        <v>0</v>
      </c>
      <c r="AT383">
        <v>26.363</v>
      </c>
      <c r="AU383">
        <v>11.329000000000001</v>
      </c>
      <c r="AV383">
        <v>0</v>
      </c>
      <c r="AW383">
        <v>117.998</v>
      </c>
      <c r="AX383">
        <v>0</v>
      </c>
      <c r="AY383">
        <v>352.10200000000003</v>
      </c>
      <c r="AZ383">
        <v>0</v>
      </c>
      <c r="BA383">
        <v>12101906</v>
      </c>
      <c r="BB383">
        <v>26338244</v>
      </c>
      <c r="BC383">
        <v>0</v>
      </c>
      <c r="BD383">
        <v>129214</v>
      </c>
      <c r="BE383">
        <v>89683</v>
      </c>
      <c r="BF383">
        <v>218897</v>
      </c>
      <c r="BG383">
        <v>129214</v>
      </c>
      <c r="BH383">
        <v>0</v>
      </c>
      <c r="BI383">
        <v>0</v>
      </c>
      <c r="BJ383">
        <v>0</v>
      </c>
      <c r="BK383">
        <v>0</v>
      </c>
      <c r="BL383">
        <v>2228244465</v>
      </c>
      <c r="BM383">
        <v>0</v>
      </c>
      <c r="BN383">
        <v>12114</v>
      </c>
      <c r="BO383">
        <v>10069</v>
      </c>
      <c r="BP383">
        <v>0</v>
      </c>
      <c r="BQ383">
        <v>0</v>
      </c>
      <c r="BR383">
        <v>0.84940000000000004</v>
      </c>
      <c r="BS383">
        <v>0.84940000000000004</v>
      </c>
      <c r="BT383">
        <v>0</v>
      </c>
      <c r="BU383">
        <v>0</v>
      </c>
      <c r="BV383">
        <v>641</v>
      </c>
      <c r="BW383">
        <v>356</v>
      </c>
      <c r="BX383">
        <v>678</v>
      </c>
      <c r="BY383">
        <v>144</v>
      </c>
      <c r="BZ383">
        <v>16</v>
      </c>
      <c r="CA383">
        <v>1835</v>
      </c>
      <c r="CB383">
        <v>0</v>
      </c>
      <c r="CC383">
        <v>237.358</v>
      </c>
      <c r="CD383">
        <v>0</v>
      </c>
      <c r="CE383">
        <v>298</v>
      </c>
      <c r="CF383">
        <v>734.53600000000006</v>
      </c>
      <c r="CG383">
        <v>0</v>
      </c>
      <c r="CH383">
        <v>11.561</v>
      </c>
      <c r="CI383">
        <v>15</v>
      </c>
      <c r="CJ383">
        <v>41</v>
      </c>
      <c r="CK383">
        <v>0</v>
      </c>
      <c r="CL383">
        <v>11.561</v>
      </c>
      <c r="CM383">
        <v>207.303</v>
      </c>
      <c r="CN383">
        <v>0</v>
      </c>
      <c r="CO383">
        <v>0</v>
      </c>
      <c r="CP383">
        <v>0</v>
      </c>
      <c r="CQ383">
        <v>0</v>
      </c>
      <c r="CR383">
        <v>0</v>
      </c>
      <c r="CS383">
        <v>0</v>
      </c>
      <c r="CT383">
        <v>0</v>
      </c>
      <c r="CU383">
        <v>24.844000000000001</v>
      </c>
      <c r="CV383">
        <v>191.316</v>
      </c>
      <c r="CW383">
        <v>102.194</v>
      </c>
      <c r="CX383">
        <v>0</v>
      </c>
      <c r="CY383" s="2043">
        <v>0</v>
      </c>
      <c r="CZ383" s="2043">
        <v>0</v>
      </c>
      <c r="DA383" s="2043">
        <v>0</v>
      </c>
      <c r="DB383" s="2043">
        <v>0</v>
      </c>
      <c r="DC383" s="2043">
        <v>0</v>
      </c>
      <c r="DI383" t="s">
        <v>2987</v>
      </c>
      <c r="DJ383" t="s">
        <v>2987</v>
      </c>
      <c r="DK383" s="2042">
        <f t="shared" si="7"/>
        <v>0</v>
      </c>
    </row>
    <row r="384" spans="1:115">
      <c r="A384" t="s">
        <v>5010</v>
      </c>
      <c r="B384" t="s">
        <v>1727</v>
      </c>
      <c r="C384">
        <v>206.01900000000001</v>
      </c>
      <c r="D384">
        <v>216.93200000000002</v>
      </c>
      <c r="E384">
        <v>0.64400000000000002</v>
      </c>
      <c r="F384">
        <v>0</v>
      </c>
      <c r="G384" s="2043">
        <v>211996192</v>
      </c>
      <c r="H384">
        <v>0</v>
      </c>
      <c r="I384" s="2043">
        <v>281400</v>
      </c>
      <c r="J384">
        <v>10.301</v>
      </c>
      <c r="K384">
        <v>28</v>
      </c>
      <c r="L384">
        <v>0</v>
      </c>
      <c r="M384">
        <v>0</v>
      </c>
      <c r="N384">
        <v>0</v>
      </c>
      <c r="O384">
        <v>0</v>
      </c>
      <c r="P384">
        <v>0</v>
      </c>
      <c r="Q384">
        <v>0</v>
      </c>
      <c r="R384" s="2043">
        <v>1726681</v>
      </c>
      <c r="S384">
        <v>168047</v>
      </c>
      <c r="T384">
        <v>122464</v>
      </c>
      <c r="U384">
        <v>0.08</v>
      </c>
      <c r="V384">
        <v>0</v>
      </c>
      <c r="W384">
        <v>0</v>
      </c>
      <c r="X384">
        <v>14252</v>
      </c>
      <c r="Y384">
        <v>0</v>
      </c>
      <c r="Z384">
        <v>0</v>
      </c>
      <c r="AA384">
        <v>0</v>
      </c>
      <c r="AB384">
        <v>209.202</v>
      </c>
      <c r="AC384" s="2043">
        <v>160867093</v>
      </c>
      <c r="AD384">
        <v>323296</v>
      </c>
      <c r="AE384" s="2043">
        <v>2017192</v>
      </c>
      <c r="AF384">
        <v>0.96030000000000004</v>
      </c>
      <c r="AG384">
        <v>0</v>
      </c>
      <c r="AH384">
        <v>14252</v>
      </c>
      <c r="AI384">
        <v>0</v>
      </c>
      <c r="AJ384">
        <v>14.313000000000001</v>
      </c>
      <c r="AK384">
        <v>798</v>
      </c>
      <c r="AL384">
        <v>0</v>
      </c>
      <c r="AM384">
        <v>0</v>
      </c>
      <c r="AN384">
        <v>4.867</v>
      </c>
      <c r="AO384">
        <v>0</v>
      </c>
      <c r="AP384">
        <v>8.6000000000000007E-2</v>
      </c>
      <c r="AQ384">
        <v>0</v>
      </c>
      <c r="AR384">
        <v>4.79</v>
      </c>
      <c r="AS384">
        <v>0</v>
      </c>
      <c r="AT384">
        <v>6.6000000000000003E-2</v>
      </c>
      <c r="AU384">
        <v>0.42800000000000005</v>
      </c>
      <c r="AV384">
        <v>0</v>
      </c>
      <c r="AW384">
        <v>5.37</v>
      </c>
      <c r="AX384">
        <v>0</v>
      </c>
      <c r="AY384">
        <v>16.940000000000001</v>
      </c>
      <c r="AZ384">
        <v>0</v>
      </c>
      <c r="BA384">
        <v>759917</v>
      </c>
      <c r="BB384">
        <v>2340488</v>
      </c>
      <c r="BC384">
        <v>0</v>
      </c>
      <c r="BD384">
        <v>20007</v>
      </c>
      <c r="BE384">
        <v>20826</v>
      </c>
      <c r="BF384">
        <v>40833</v>
      </c>
      <c r="BG384">
        <v>20007</v>
      </c>
      <c r="BH384">
        <v>0</v>
      </c>
      <c r="BI384">
        <v>0</v>
      </c>
      <c r="BJ384">
        <v>0</v>
      </c>
      <c r="BK384">
        <v>0</v>
      </c>
      <c r="BL384">
        <v>211996192</v>
      </c>
      <c r="BM384">
        <v>0</v>
      </c>
      <c r="BN384">
        <v>747</v>
      </c>
      <c r="BO384">
        <v>524</v>
      </c>
      <c r="BP384">
        <v>0</v>
      </c>
      <c r="BQ384">
        <v>0</v>
      </c>
      <c r="BR384">
        <v>0.82200000000000006</v>
      </c>
      <c r="BS384">
        <v>0.82200000000000006</v>
      </c>
      <c r="BT384">
        <v>0</v>
      </c>
      <c r="BU384">
        <v>0</v>
      </c>
      <c r="BV384">
        <v>46</v>
      </c>
      <c r="BW384">
        <v>10</v>
      </c>
      <c r="BX384">
        <v>2</v>
      </c>
      <c r="BY384">
        <v>1</v>
      </c>
      <c r="BZ384">
        <v>3</v>
      </c>
      <c r="CA384">
        <v>62</v>
      </c>
      <c r="CB384">
        <v>0</v>
      </c>
      <c r="CC384">
        <v>0</v>
      </c>
      <c r="CD384">
        <v>0</v>
      </c>
      <c r="CE384">
        <v>8</v>
      </c>
      <c r="CF384">
        <v>69.111000000000004</v>
      </c>
      <c r="CG384">
        <v>0</v>
      </c>
      <c r="CH384">
        <v>0</v>
      </c>
      <c r="CI384">
        <v>0</v>
      </c>
      <c r="CJ384">
        <v>0</v>
      </c>
      <c r="CK384">
        <v>0</v>
      </c>
      <c r="CL384">
        <v>0</v>
      </c>
      <c r="CM384">
        <v>0.64400000000000002</v>
      </c>
      <c r="CN384">
        <v>0</v>
      </c>
      <c r="CO384">
        <v>0</v>
      </c>
      <c r="CP384">
        <v>0</v>
      </c>
      <c r="CQ384">
        <v>0</v>
      </c>
      <c r="CR384">
        <v>0</v>
      </c>
      <c r="CS384">
        <v>0</v>
      </c>
      <c r="CT384">
        <v>0</v>
      </c>
      <c r="CU384">
        <v>0</v>
      </c>
      <c r="CV384">
        <v>5.0860000000000003</v>
      </c>
      <c r="CW384">
        <v>3.262</v>
      </c>
      <c r="CX384">
        <v>0</v>
      </c>
      <c r="CY384" s="2043">
        <v>0</v>
      </c>
      <c r="CZ384" s="2043">
        <v>0</v>
      </c>
      <c r="DA384" s="2043">
        <v>0</v>
      </c>
      <c r="DB384" s="2043">
        <v>0</v>
      </c>
      <c r="DC384" s="2043">
        <v>53606</v>
      </c>
      <c r="DI384" t="s">
        <v>5010</v>
      </c>
      <c r="DJ384" t="s">
        <v>5010</v>
      </c>
      <c r="DK384" s="2042">
        <f t="shared" si="7"/>
        <v>0</v>
      </c>
    </row>
    <row r="385" spans="1:115">
      <c r="A385" t="s">
        <v>2988</v>
      </c>
      <c r="B385" t="s">
        <v>1160</v>
      </c>
      <c r="C385">
        <v>256.18400000000003</v>
      </c>
      <c r="D385">
        <v>260.17200000000003</v>
      </c>
      <c r="E385">
        <v>49.853999999999999</v>
      </c>
      <c r="F385">
        <v>0</v>
      </c>
      <c r="G385" s="2043">
        <v>163278661</v>
      </c>
      <c r="H385">
        <v>0</v>
      </c>
      <c r="I385" s="2043">
        <v>442926</v>
      </c>
      <c r="J385">
        <v>12.809000000000001</v>
      </c>
      <c r="K385">
        <v>35</v>
      </c>
      <c r="L385">
        <v>0</v>
      </c>
      <c r="M385">
        <v>91376</v>
      </c>
      <c r="N385">
        <v>0</v>
      </c>
      <c r="O385">
        <v>91376</v>
      </c>
      <c r="P385">
        <v>0</v>
      </c>
      <c r="Q385">
        <v>0</v>
      </c>
      <c r="R385" s="2043">
        <v>1357948</v>
      </c>
      <c r="S385">
        <v>82600</v>
      </c>
      <c r="T385">
        <v>0</v>
      </c>
      <c r="U385">
        <v>0.05</v>
      </c>
      <c r="V385">
        <v>0</v>
      </c>
      <c r="W385">
        <v>0</v>
      </c>
      <c r="X385">
        <v>0</v>
      </c>
      <c r="Y385">
        <v>0</v>
      </c>
      <c r="Z385">
        <v>0</v>
      </c>
      <c r="AA385">
        <v>0</v>
      </c>
      <c r="AB385">
        <v>259.54599999999999</v>
      </c>
      <c r="AC385" s="2043">
        <v>113821525</v>
      </c>
      <c r="AD385">
        <v>452981</v>
      </c>
      <c r="AE385" s="2043">
        <v>1440548</v>
      </c>
      <c r="AF385">
        <v>0.872</v>
      </c>
      <c r="AG385">
        <v>0</v>
      </c>
      <c r="AH385">
        <v>0</v>
      </c>
      <c r="AI385">
        <v>0</v>
      </c>
      <c r="AJ385">
        <v>30.225000000000001</v>
      </c>
      <c r="AK385">
        <v>1027</v>
      </c>
      <c r="AL385">
        <v>0</v>
      </c>
      <c r="AM385">
        <v>0</v>
      </c>
      <c r="AN385">
        <v>14.322000000000001</v>
      </c>
      <c r="AO385">
        <v>0</v>
      </c>
      <c r="AP385">
        <v>2.1890000000000001</v>
      </c>
      <c r="AQ385">
        <v>0</v>
      </c>
      <c r="AR385">
        <v>1.7050000000000001</v>
      </c>
      <c r="AS385">
        <v>0</v>
      </c>
      <c r="AT385">
        <v>0</v>
      </c>
      <c r="AU385">
        <v>0.35400000000000004</v>
      </c>
      <c r="AV385">
        <v>0</v>
      </c>
      <c r="AW385">
        <v>4.2480000000000002</v>
      </c>
      <c r="AX385">
        <v>0</v>
      </c>
      <c r="AY385">
        <v>12.795</v>
      </c>
      <c r="AZ385">
        <v>0</v>
      </c>
      <c r="BA385">
        <v>1940317</v>
      </c>
      <c r="BB385">
        <v>1893529</v>
      </c>
      <c r="BC385">
        <v>0</v>
      </c>
      <c r="BD385">
        <v>25624</v>
      </c>
      <c r="BE385">
        <v>20421</v>
      </c>
      <c r="BF385">
        <v>46045</v>
      </c>
      <c r="BG385">
        <v>25624</v>
      </c>
      <c r="BH385">
        <v>0</v>
      </c>
      <c r="BI385">
        <v>0</v>
      </c>
      <c r="BJ385">
        <v>0</v>
      </c>
      <c r="BK385">
        <v>0</v>
      </c>
      <c r="BL385">
        <v>163278661</v>
      </c>
      <c r="BM385">
        <v>0</v>
      </c>
      <c r="BN385">
        <v>1053</v>
      </c>
      <c r="BO385">
        <v>300</v>
      </c>
      <c r="BP385">
        <v>0</v>
      </c>
      <c r="BQ385">
        <v>0</v>
      </c>
      <c r="BR385">
        <v>0.82200000000000006</v>
      </c>
      <c r="BS385">
        <v>0.82200000000000006</v>
      </c>
      <c r="BT385">
        <v>0</v>
      </c>
      <c r="BU385">
        <v>0</v>
      </c>
      <c r="BV385">
        <v>24</v>
      </c>
      <c r="BW385">
        <v>18</v>
      </c>
      <c r="BX385">
        <v>79</v>
      </c>
      <c r="BY385">
        <v>2</v>
      </c>
      <c r="BZ385">
        <v>1</v>
      </c>
      <c r="CA385">
        <v>124</v>
      </c>
      <c r="CB385">
        <v>0</v>
      </c>
      <c r="CC385">
        <v>0</v>
      </c>
      <c r="CD385">
        <v>0</v>
      </c>
      <c r="CE385">
        <v>28</v>
      </c>
      <c r="CF385">
        <v>56.287000000000006</v>
      </c>
      <c r="CG385">
        <v>0</v>
      </c>
      <c r="CH385">
        <v>0</v>
      </c>
      <c r="CI385">
        <v>1</v>
      </c>
      <c r="CJ385">
        <v>3</v>
      </c>
      <c r="CK385">
        <v>0</v>
      </c>
      <c r="CL385">
        <v>0</v>
      </c>
      <c r="CM385">
        <v>49.853999999999999</v>
      </c>
      <c r="CN385">
        <v>0</v>
      </c>
      <c r="CO385">
        <v>0</v>
      </c>
      <c r="CP385">
        <v>0</v>
      </c>
      <c r="CQ385">
        <v>0</v>
      </c>
      <c r="CR385">
        <v>0</v>
      </c>
      <c r="CS385">
        <v>0</v>
      </c>
      <c r="CT385">
        <v>0</v>
      </c>
      <c r="CU385">
        <v>0.35100000000000003</v>
      </c>
      <c r="CV385">
        <v>9.0380000000000003</v>
      </c>
      <c r="CW385">
        <v>15.641</v>
      </c>
      <c r="CX385">
        <v>0</v>
      </c>
      <c r="CY385" s="2043">
        <v>0</v>
      </c>
      <c r="CZ385" s="2043">
        <v>0</v>
      </c>
      <c r="DA385" s="2043">
        <v>0</v>
      </c>
      <c r="DB385" s="2043">
        <v>0</v>
      </c>
      <c r="DC385" s="2043">
        <v>0</v>
      </c>
      <c r="DI385" t="s">
        <v>5795</v>
      </c>
      <c r="DJ385" t="s">
        <v>2988</v>
      </c>
      <c r="DK385" s="2042">
        <f t="shared" si="7"/>
        <v>-1</v>
      </c>
    </row>
    <row r="386" spans="1:115">
      <c r="A386" t="s">
        <v>5795</v>
      </c>
      <c r="B386" t="s">
        <v>1728</v>
      </c>
      <c r="C386">
        <v>282.15899999999999</v>
      </c>
      <c r="D386">
        <v>254.96</v>
      </c>
      <c r="E386">
        <v>1.7730000000000001</v>
      </c>
      <c r="F386">
        <v>0</v>
      </c>
      <c r="G386" s="2043">
        <v>205695033</v>
      </c>
      <c r="H386">
        <v>0</v>
      </c>
      <c r="I386" s="2043">
        <v>586700</v>
      </c>
      <c r="J386">
        <v>2</v>
      </c>
      <c r="K386">
        <v>5</v>
      </c>
      <c r="L386">
        <v>0</v>
      </c>
      <c r="M386">
        <v>0</v>
      </c>
      <c r="N386">
        <v>0</v>
      </c>
      <c r="O386">
        <v>0</v>
      </c>
      <c r="P386">
        <v>0</v>
      </c>
      <c r="Q386">
        <v>0</v>
      </c>
      <c r="R386" s="2043">
        <v>1896261</v>
      </c>
      <c r="S386">
        <v>103802</v>
      </c>
      <c r="T386">
        <v>0</v>
      </c>
      <c r="U386">
        <v>0.05</v>
      </c>
      <c r="V386">
        <v>0</v>
      </c>
      <c r="W386">
        <v>0</v>
      </c>
      <c r="X386">
        <v>0</v>
      </c>
      <c r="Y386">
        <v>0</v>
      </c>
      <c r="Z386">
        <v>0</v>
      </c>
      <c r="AA386">
        <v>0</v>
      </c>
      <c r="AB386">
        <v>254.96</v>
      </c>
      <c r="AC386" s="2043">
        <v>174752236</v>
      </c>
      <c r="AD386">
        <v>647749</v>
      </c>
      <c r="AE386" s="2043">
        <v>2000063</v>
      </c>
      <c r="AF386">
        <v>0.96340000000000003</v>
      </c>
      <c r="AG386">
        <v>0</v>
      </c>
      <c r="AH386">
        <v>0</v>
      </c>
      <c r="AI386">
        <v>0</v>
      </c>
      <c r="AJ386">
        <v>15.625</v>
      </c>
      <c r="AK386">
        <v>769</v>
      </c>
      <c r="AL386">
        <v>0</v>
      </c>
      <c r="AM386">
        <v>0</v>
      </c>
      <c r="AN386">
        <v>8.6080000000000005</v>
      </c>
      <c r="AO386">
        <v>0</v>
      </c>
      <c r="AP386">
        <v>0.72400000000000009</v>
      </c>
      <c r="AQ386">
        <v>0</v>
      </c>
      <c r="AR386">
        <v>2.0340000000000003</v>
      </c>
      <c r="AS386">
        <v>0</v>
      </c>
      <c r="AT386">
        <v>0.48600000000000004</v>
      </c>
      <c r="AU386">
        <v>0.51900000000000002</v>
      </c>
      <c r="AV386">
        <v>0</v>
      </c>
      <c r="AW386">
        <v>3.7630000000000003</v>
      </c>
      <c r="AX386">
        <v>0</v>
      </c>
      <c r="AY386">
        <v>12.11</v>
      </c>
      <c r="AZ386">
        <v>0</v>
      </c>
      <c r="BA386">
        <v>1437742</v>
      </c>
      <c r="BB386">
        <v>2647812</v>
      </c>
      <c r="BC386">
        <v>0</v>
      </c>
      <c r="BD386">
        <v>35200</v>
      </c>
      <c r="BE386">
        <v>12355</v>
      </c>
      <c r="BF386">
        <v>50547</v>
      </c>
      <c r="BG386">
        <v>35200</v>
      </c>
      <c r="BH386">
        <v>2992</v>
      </c>
      <c r="BI386">
        <v>0</v>
      </c>
      <c r="BJ386">
        <v>0</v>
      </c>
      <c r="BK386">
        <v>0</v>
      </c>
      <c r="BL386">
        <v>205695033</v>
      </c>
      <c r="BM386">
        <v>0</v>
      </c>
      <c r="BN386">
        <v>540</v>
      </c>
      <c r="BO386">
        <v>385</v>
      </c>
      <c r="BP386">
        <v>0</v>
      </c>
      <c r="BQ386">
        <v>0</v>
      </c>
      <c r="BR386">
        <v>0.91339999999999999</v>
      </c>
      <c r="BS386">
        <v>0.91339999999999999</v>
      </c>
      <c r="BT386">
        <v>0</v>
      </c>
      <c r="BU386">
        <v>0</v>
      </c>
      <c r="BV386">
        <v>57</v>
      </c>
      <c r="BW386">
        <v>3</v>
      </c>
      <c r="BX386">
        <v>1</v>
      </c>
      <c r="BY386">
        <v>7</v>
      </c>
      <c r="BZ386">
        <v>0</v>
      </c>
      <c r="CA386">
        <v>68</v>
      </c>
      <c r="CB386">
        <v>0</v>
      </c>
      <c r="CC386">
        <v>0</v>
      </c>
      <c r="CD386">
        <v>0</v>
      </c>
      <c r="CE386">
        <v>12</v>
      </c>
      <c r="CF386">
        <v>18.698</v>
      </c>
      <c r="CG386">
        <v>0</v>
      </c>
      <c r="CH386">
        <v>0</v>
      </c>
      <c r="CI386">
        <v>1</v>
      </c>
      <c r="CJ386">
        <v>2</v>
      </c>
      <c r="CK386">
        <v>0</v>
      </c>
      <c r="CL386">
        <v>0</v>
      </c>
      <c r="CM386">
        <v>1.7730000000000001</v>
      </c>
      <c r="CN386">
        <v>0</v>
      </c>
      <c r="CO386">
        <v>0</v>
      </c>
      <c r="CP386">
        <v>0</v>
      </c>
      <c r="CQ386">
        <v>0</v>
      </c>
      <c r="CR386">
        <v>0</v>
      </c>
      <c r="CS386">
        <v>0</v>
      </c>
      <c r="CT386">
        <v>0</v>
      </c>
      <c r="CU386">
        <v>8.3000000000000004E-2</v>
      </c>
      <c r="CV386">
        <v>19.275000000000002</v>
      </c>
      <c r="CW386">
        <v>14.837000000000002</v>
      </c>
      <c r="CX386">
        <v>0</v>
      </c>
      <c r="CY386" s="2043">
        <v>0</v>
      </c>
      <c r="CZ386" s="2043">
        <v>0</v>
      </c>
      <c r="DA386" s="2043">
        <v>0</v>
      </c>
      <c r="DB386" s="2043">
        <v>0</v>
      </c>
      <c r="DC386" s="2043">
        <v>0</v>
      </c>
      <c r="DI386" t="s">
        <v>2988</v>
      </c>
      <c r="DJ386" t="s">
        <v>5795</v>
      </c>
      <c r="DK386" s="2042">
        <f t="shared" si="7"/>
        <v>1</v>
      </c>
    </row>
    <row r="387" spans="1:115">
      <c r="A387" t="s">
        <v>5796</v>
      </c>
      <c r="B387" t="s">
        <v>1729</v>
      </c>
      <c r="C387">
        <v>99.01400000000001</v>
      </c>
      <c r="D387">
        <v>112.345</v>
      </c>
      <c r="E387">
        <v>0</v>
      </c>
      <c r="F387">
        <v>0</v>
      </c>
      <c r="G387" s="2043">
        <v>123679274</v>
      </c>
      <c r="H387">
        <v>0</v>
      </c>
      <c r="I387" s="2043">
        <v>0</v>
      </c>
      <c r="J387">
        <v>4.9510000000000005</v>
      </c>
      <c r="K387">
        <v>14</v>
      </c>
      <c r="L387">
        <v>0</v>
      </c>
      <c r="M387">
        <v>0</v>
      </c>
      <c r="N387">
        <v>0</v>
      </c>
      <c r="O387">
        <v>0</v>
      </c>
      <c r="P387">
        <v>0</v>
      </c>
      <c r="Q387">
        <v>0</v>
      </c>
      <c r="R387" s="2043">
        <v>1010410</v>
      </c>
      <c r="S387">
        <v>61460</v>
      </c>
      <c r="T387">
        <v>0</v>
      </c>
      <c r="U387">
        <v>0.05</v>
      </c>
      <c r="V387">
        <v>0</v>
      </c>
      <c r="W387">
        <v>0</v>
      </c>
      <c r="X387">
        <v>0</v>
      </c>
      <c r="Y387">
        <v>0</v>
      </c>
      <c r="Z387">
        <v>0</v>
      </c>
      <c r="AA387">
        <v>0</v>
      </c>
      <c r="AB387">
        <v>112.345</v>
      </c>
      <c r="AC387" s="2043">
        <v>102293504</v>
      </c>
      <c r="AD387">
        <v>0</v>
      </c>
      <c r="AE387" s="2043">
        <v>1071870</v>
      </c>
      <c r="AF387">
        <v>0.872</v>
      </c>
      <c r="AG387">
        <v>0</v>
      </c>
      <c r="AH387">
        <v>0</v>
      </c>
      <c r="AI387">
        <v>0</v>
      </c>
      <c r="AJ387">
        <v>13.663</v>
      </c>
      <c r="AK387">
        <v>207</v>
      </c>
      <c r="AL387">
        <v>0</v>
      </c>
      <c r="AM387">
        <v>0</v>
      </c>
      <c r="AN387">
        <v>0.215</v>
      </c>
      <c r="AO387">
        <v>0</v>
      </c>
      <c r="AP387">
        <v>0.68</v>
      </c>
      <c r="AQ387">
        <v>0</v>
      </c>
      <c r="AR387">
        <v>0.86399999999999999</v>
      </c>
      <c r="AS387">
        <v>0</v>
      </c>
      <c r="AT387">
        <v>0</v>
      </c>
      <c r="AU387">
        <v>0.20400000000000001</v>
      </c>
      <c r="AV387">
        <v>0</v>
      </c>
      <c r="AW387">
        <v>1.748</v>
      </c>
      <c r="AX387">
        <v>0</v>
      </c>
      <c r="AY387">
        <v>5.4480000000000004</v>
      </c>
      <c r="AZ387">
        <v>0</v>
      </c>
      <c r="BA387">
        <v>176627</v>
      </c>
      <c r="BB387">
        <v>1071870</v>
      </c>
      <c r="BC387">
        <v>0</v>
      </c>
      <c r="BD387">
        <v>15473</v>
      </c>
      <c r="BE387">
        <v>10477</v>
      </c>
      <c r="BF387">
        <v>25950</v>
      </c>
      <c r="BG387">
        <v>15473</v>
      </c>
      <c r="BH387">
        <v>0</v>
      </c>
      <c r="BI387">
        <v>0</v>
      </c>
      <c r="BJ387">
        <v>0</v>
      </c>
      <c r="BK387">
        <v>0</v>
      </c>
      <c r="BL387">
        <v>123679274</v>
      </c>
      <c r="BM387">
        <v>0</v>
      </c>
      <c r="BN387">
        <v>0</v>
      </c>
      <c r="BO387">
        <v>0</v>
      </c>
      <c r="BP387">
        <v>0</v>
      </c>
      <c r="BQ387">
        <v>0</v>
      </c>
      <c r="BR387">
        <v>0.82200000000000006</v>
      </c>
      <c r="BS387">
        <v>0.82200000000000006</v>
      </c>
      <c r="BT387">
        <v>0</v>
      </c>
      <c r="BU387">
        <v>0</v>
      </c>
      <c r="BV387">
        <v>54</v>
      </c>
      <c r="BW387">
        <v>1</v>
      </c>
      <c r="BX387">
        <v>3</v>
      </c>
      <c r="BY387">
        <v>2</v>
      </c>
      <c r="BZ387">
        <v>0</v>
      </c>
      <c r="CA387">
        <v>60</v>
      </c>
      <c r="CB387">
        <v>0</v>
      </c>
      <c r="CC387">
        <v>0</v>
      </c>
      <c r="CD387">
        <v>0</v>
      </c>
      <c r="CE387">
        <v>6</v>
      </c>
      <c r="CF387">
        <v>25.805</v>
      </c>
      <c r="CG387">
        <v>0</v>
      </c>
      <c r="CH387">
        <v>0</v>
      </c>
      <c r="CI387">
        <v>0</v>
      </c>
      <c r="CJ387">
        <v>0</v>
      </c>
      <c r="CK387">
        <v>0</v>
      </c>
      <c r="CL387">
        <v>0</v>
      </c>
      <c r="CM387">
        <v>0</v>
      </c>
      <c r="CN387">
        <v>0</v>
      </c>
      <c r="CO387">
        <v>0</v>
      </c>
      <c r="CP387">
        <v>0</v>
      </c>
      <c r="CQ387">
        <v>0</v>
      </c>
      <c r="CR387">
        <v>0</v>
      </c>
      <c r="CS387">
        <v>0</v>
      </c>
      <c r="CT387">
        <v>0</v>
      </c>
      <c r="CU387">
        <v>0</v>
      </c>
      <c r="CV387">
        <v>3.149</v>
      </c>
      <c r="CW387">
        <v>0</v>
      </c>
      <c r="CX387">
        <v>0</v>
      </c>
      <c r="CY387" s="2043">
        <v>0</v>
      </c>
      <c r="CZ387" s="2043">
        <v>0</v>
      </c>
      <c r="DA387" s="2043">
        <v>0</v>
      </c>
      <c r="DB387" s="2043">
        <v>0</v>
      </c>
      <c r="DC387" s="2043">
        <v>24923</v>
      </c>
      <c r="DI387" t="s">
        <v>5796</v>
      </c>
      <c r="DJ387" t="s">
        <v>5796</v>
      </c>
      <c r="DK387" s="2042">
        <f t="shared" si="7"/>
        <v>0</v>
      </c>
    </row>
    <row r="388" spans="1:115">
      <c r="A388" t="s">
        <v>5011</v>
      </c>
      <c r="B388" t="s">
        <v>187</v>
      </c>
      <c r="C388">
        <v>497.93900000000002</v>
      </c>
      <c r="D388">
        <v>504.947</v>
      </c>
      <c r="E388">
        <v>87.820999999999998</v>
      </c>
      <c r="F388">
        <v>0</v>
      </c>
      <c r="G388" s="2043">
        <v>91379961</v>
      </c>
      <c r="H388">
        <v>0</v>
      </c>
      <c r="I388" s="2043">
        <v>347270</v>
      </c>
      <c r="J388">
        <v>24</v>
      </c>
      <c r="K388">
        <v>66</v>
      </c>
      <c r="L388">
        <v>0</v>
      </c>
      <c r="M388">
        <v>0</v>
      </c>
      <c r="N388">
        <v>0</v>
      </c>
      <c r="O388">
        <v>0</v>
      </c>
      <c r="P388">
        <v>0</v>
      </c>
      <c r="Q388">
        <v>0</v>
      </c>
      <c r="R388" s="2043">
        <v>797647</v>
      </c>
      <c r="S388">
        <v>47400</v>
      </c>
      <c r="T388">
        <v>0</v>
      </c>
      <c r="U388">
        <v>0.05</v>
      </c>
      <c r="V388">
        <v>0</v>
      </c>
      <c r="W388">
        <v>0</v>
      </c>
      <c r="X388">
        <v>0</v>
      </c>
      <c r="Y388">
        <v>0</v>
      </c>
      <c r="Z388">
        <v>61.106000000000002</v>
      </c>
      <c r="AA388">
        <v>0</v>
      </c>
      <c r="AB388">
        <v>468.25900000000001</v>
      </c>
      <c r="AC388" s="2043">
        <v>71115141</v>
      </c>
      <c r="AD388">
        <v>149126</v>
      </c>
      <c r="AE388" s="2043">
        <v>845047</v>
      </c>
      <c r="AF388">
        <v>0.89140000000000008</v>
      </c>
      <c r="AG388">
        <v>0</v>
      </c>
      <c r="AH388">
        <v>0</v>
      </c>
      <c r="AI388">
        <v>0</v>
      </c>
      <c r="AJ388">
        <v>120.3</v>
      </c>
      <c r="AK388">
        <v>2162</v>
      </c>
      <c r="AL388">
        <v>0</v>
      </c>
      <c r="AM388">
        <v>0</v>
      </c>
      <c r="AN388">
        <v>37.904000000000003</v>
      </c>
      <c r="AO388">
        <v>0</v>
      </c>
      <c r="AP388">
        <v>2.5050000000000003</v>
      </c>
      <c r="AQ388">
        <v>0</v>
      </c>
      <c r="AR388">
        <v>3.8030000000000004</v>
      </c>
      <c r="AS388">
        <v>0</v>
      </c>
      <c r="AT388">
        <v>0</v>
      </c>
      <c r="AU388">
        <v>0.68500000000000005</v>
      </c>
      <c r="AV388">
        <v>0</v>
      </c>
      <c r="AW388">
        <v>6.9930000000000003</v>
      </c>
      <c r="AX388">
        <v>0</v>
      </c>
      <c r="AY388">
        <v>21.598000000000003</v>
      </c>
      <c r="AZ388">
        <v>0</v>
      </c>
      <c r="BA388">
        <v>6117559</v>
      </c>
      <c r="BB388">
        <v>994173</v>
      </c>
      <c r="BC388">
        <v>0</v>
      </c>
      <c r="BD388">
        <v>25730</v>
      </c>
      <c r="BE388">
        <v>0</v>
      </c>
      <c r="BF388">
        <v>46965</v>
      </c>
      <c r="BG388">
        <v>25730</v>
      </c>
      <c r="BH388">
        <v>21235</v>
      </c>
      <c r="BI388">
        <v>0</v>
      </c>
      <c r="BJ388">
        <v>0</v>
      </c>
      <c r="BK388">
        <v>0</v>
      </c>
      <c r="BL388">
        <v>91379961</v>
      </c>
      <c r="BM388">
        <v>0</v>
      </c>
      <c r="BN388">
        <v>1566</v>
      </c>
      <c r="BO388">
        <v>1402</v>
      </c>
      <c r="BP388">
        <v>0</v>
      </c>
      <c r="BQ388">
        <v>0</v>
      </c>
      <c r="BR388">
        <v>0.84140000000000004</v>
      </c>
      <c r="BS388">
        <v>0.84140000000000004</v>
      </c>
      <c r="BT388">
        <v>0</v>
      </c>
      <c r="BU388">
        <v>0</v>
      </c>
      <c r="BV388">
        <v>128</v>
      </c>
      <c r="BW388">
        <v>8</v>
      </c>
      <c r="BX388">
        <v>40</v>
      </c>
      <c r="BY388">
        <v>254</v>
      </c>
      <c r="BZ388">
        <v>47</v>
      </c>
      <c r="CA388">
        <v>477</v>
      </c>
      <c r="CB388">
        <v>0</v>
      </c>
      <c r="CC388">
        <v>0</v>
      </c>
      <c r="CD388">
        <v>0</v>
      </c>
      <c r="CE388">
        <v>37</v>
      </c>
      <c r="CF388">
        <v>155.85300000000001</v>
      </c>
      <c r="CG388">
        <v>0</v>
      </c>
      <c r="CH388">
        <v>0</v>
      </c>
      <c r="CI388">
        <v>0</v>
      </c>
      <c r="CJ388">
        <v>2</v>
      </c>
      <c r="CK388">
        <v>0</v>
      </c>
      <c r="CL388">
        <v>0</v>
      </c>
      <c r="CM388">
        <v>87.820999999999998</v>
      </c>
      <c r="CN388">
        <v>0</v>
      </c>
      <c r="CO388">
        <v>0</v>
      </c>
      <c r="CP388">
        <v>0</v>
      </c>
      <c r="CQ388">
        <v>0</v>
      </c>
      <c r="CR388">
        <v>0</v>
      </c>
      <c r="CS388">
        <v>0</v>
      </c>
      <c r="CT388">
        <v>0</v>
      </c>
      <c r="CU388">
        <v>4.6980000000000004</v>
      </c>
      <c r="CV388">
        <v>26.264000000000003</v>
      </c>
      <c r="CW388">
        <v>21.611000000000001</v>
      </c>
      <c r="CX388">
        <v>0</v>
      </c>
      <c r="CY388" s="2043">
        <v>0</v>
      </c>
      <c r="CZ388" s="2043">
        <v>0</v>
      </c>
      <c r="DA388" s="2043">
        <v>0</v>
      </c>
      <c r="DB388" s="2043">
        <v>0</v>
      </c>
      <c r="DC388" s="2043">
        <v>0</v>
      </c>
      <c r="DI388" t="s">
        <v>5011</v>
      </c>
      <c r="DJ388" t="s">
        <v>5011</v>
      </c>
      <c r="DK388" s="2042">
        <f t="shared" ref="DK388:DK451" si="8">DI388-DJ388:DJ389</f>
        <v>0</v>
      </c>
    </row>
    <row r="389" spans="1:115">
      <c r="A389" t="s">
        <v>3901</v>
      </c>
      <c r="B389" t="s">
        <v>1730</v>
      </c>
      <c r="C389">
        <v>795.57900000000006</v>
      </c>
      <c r="D389">
        <v>869.803</v>
      </c>
      <c r="E389">
        <v>135.39500000000001</v>
      </c>
      <c r="F389">
        <v>0</v>
      </c>
      <c r="G389" s="2043">
        <v>357887406</v>
      </c>
      <c r="H389">
        <v>0</v>
      </c>
      <c r="I389" s="2043">
        <v>0</v>
      </c>
      <c r="J389">
        <v>22</v>
      </c>
      <c r="K389">
        <v>60</v>
      </c>
      <c r="L389">
        <v>0</v>
      </c>
      <c r="M389">
        <v>0</v>
      </c>
      <c r="N389">
        <v>0</v>
      </c>
      <c r="O389">
        <v>0</v>
      </c>
      <c r="P389">
        <v>0</v>
      </c>
      <c r="Q389">
        <v>0</v>
      </c>
      <c r="R389" s="2043">
        <v>2695662</v>
      </c>
      <c r="S389">
        <v>261144</v>
      </c>
      <c r="T389">
        <v>158646</v>
      </c>
      <c r="U389">
        <v>0.08</v>
      </c>
      <c r="V389">
        <v>0</v>
      </c>
      <c r="W389">
        <v>0</v>
      </c>
      <c r="X389">
        <v>0</v>
      </c>
      <c r="Y389">
        <v>0</v>
      </c>
      <c r="Z389">
        <v>0</v>
      </c>
      <c r="AA389">
        <v>0</v>
      </c>
      <c r="AB389">
        <v>720.93799999999999</v>
      </c>
      <c r="AC389" s="2043">
        <v>265161987</v>
      </c>
      <c r="AD389">
        <v>2306</v>
      </c>
      <c r="AE389" s="2043">
        <v>3115452</v>
      </c>
      <c r="AF389">
        <v>0.95440000000000003</v>
      </c>
      <c r="AG389">
        <v>0</v>
      </c>
      <c r="AH389">
        <v>0</v>
      </c>
      <c r="AI389">
        <v>0</v>
      </c>
      <c r="AJ389">
        <v>233.5</v>
      </c>
      <c r="AK389">
        <v>2956</v>
      </c>
      <c r="AL389">
        <v>0</v>
      </c>
      <c r="AM389">
        <v>0</v>
      </c>
      <c r="AN389">
        <v>25.095000000000002</v>
      </c>
      <c r="AO389">
        <v>0</v>
      </c>
      <c r="AP389">
        <v>0</v>
      </c>
      <c r="AQ389">
        <v>0</v>
      </c>
      <c r="AR389">
        <v>13.215</v>
      </c>
      <c r="AS389">
        <v>0</v>
      </c>
      <c r="AT389">
        <v>7.2220000000000004</v>
      </c>
      <c r="AU389">
        <v>1.36</v>
      </c>
      <c r="AV389">
        <v>0</v>
      </c>
      <c r="AW389">
        <v>21.797000000000001</v>
      </c>
      <c r="AX389">
        <v>0</v>
      </c>
      <c r="AY389">
        <v>68.111000000000004</v>
      </c>
      <c r="AZ389">
        <v>0</v>
      </c>
      <c r="BA389">
        <v>7129841</v>
      </c>
      <c r="BB389">
        <v>3117758</v>
      </c>
      <c r="BC389">
        <v>0</v>
      </c>
      <c r="BD389">
        <v>27520</v>
      </c>
      <c r="BE389">
        <v>27743</v>
      </c>
      <c r="BF389">
        <v>55263</v>
      </c>
      <c r="BG389">
        <v>27520</v>
      </c>
      <c r="BH389">
        <v>0</v>
      </c>
      <c r="BI389">
        <v>0</v>
      </c>
      <c r="BJ389">
        <v>0</v>
      </c>
      <c r="BK389">
        <v>0</v>
      </c>
      <c r="BL389">
        <v>357887406</v>
      </c>
      <c r="BM389">
        <v>0</v>
      </c>
      <c r="BN389">
        <v>2538</v>
      </c>
      <c r="BO389">
        <v>696</v>
      </c>
      <c r="BP389">
        <v>0</v>
      </c>
      <c r="BQ389">
        <v>0</v>
      </c>
      <c r="BR389">
        <v>0.82580000000000009</v>
      </c>
      <c r="BS389">
        <v>0.82580000000000009</v>
      </c>
      <c r="BT389">
        <v>0</v>
      </c>
      <c r="BU389">
        <v>0</v>
      </c>
      <c r="BV389">
        <v>1</v>
      </c>
      <c r="BW389">
        <v>17</v>
      </c>
      <c r="BX389">
        <v>209</v>
      </c>
      <c r="BY389">
        <v>97</v>
      </c>
      <c r="BZ389">
        <v>551</v>
      </c>
      <c r="CA389">
        <v>875</v>
      </c>
      <c r="CB389">
        <v>0</v>
      </c>
      <c r="CC389">
        <v>0</v>
      </c>
      <c r="CD389">
        <v>0</v>
      </c>
      <c r="CE389">
        <v>38</v>
      </c>
      <c r="CF389">
        <v>281.95699999999999</v>
      </c>
      <c r="CG389">
        <v>0</v>
      </c>
      <c r="CH389">
        <v>0</v>
      </c>
      <c r="CI389">
        <v>2</v>
      </c>
      <c r="CJ389">
        <v>0</v>
      </c>
      <c r="CK389">
        <v>0</v>
      </c>
      <c r="CL389">
        <v>0</v>
      </c>
      <c r="CM389">
        <v>135.39500000000001</v>
      </c>
      <c r="CN389">
        <v>0</v>
      </c>
      <c r="CO389">
        <v>0</v>
      </c>
      <c r="CP389">
        <v>0</v>
      </c>
      <c r="CQ389">
        <v>0</v>
      </c>
      <c r="CR389">
        <v>0</v>
      </c>
      <c r="CS389">
        <v>0</v>
      </c>
      <c r="CT389">
        <v>0</v>
      </c>
      <c r="CU389">
        <v>0</v>
      </c>
      <c r="CV389">
        <v>31.904</v>
      </c>
      <c r="CW389">
        <v>7.33</v>
      </c>
      <c r="CX389">
        <v>0</v>
      </c>
      <c r="CY389" s="2043">
        <v>0</v>
      </c>
      <c r="CZ389" s="2043">
        <v>0</v>
      </c>
      <c r="DA389" s="2043">
        <v>0</v>
      </c>
      <c r="DB389" s="2043">
        <v>0</v>
      </c>
      <c r="DC389" s="2043">
        <v>0</v>
      </c>
      <c r="DI389" t="s">
        <v>3901</v>
      </c>
      <c r="DJ389" t="s">
        <v>3901</v>
      </c>
      <c r="DK389" s="2042">
        <f t="shared" si="8"/>
        <v>0</v>
      </c>
    </row>
    <row r="390" spans="1:115">
      <c r="A390" t="s">
        <v>3903</v>
      </c>
      <c r="B390" t="s">
        <v>1738</v>
      </c>
      <c r="C390">
        <v>153.53200000000001</v>
      </c>
      <c r="D390">
        <v>155.24800000000002</v>
      </c>
      <c r="E390">
        <v>0.98100000000000009</v>
      </c>
      <c r="F390">
        <v>0</v>
      </c>
      <c r="G390" s="2043">
        <v>21567561</v>
      </c>
      <c r="H390">
        <v>0</v>
      </c>
      <c r="I390" s="2043">
        <v>0</v>
      </c>
      <c r="J390">
        <v>7.6770000000000005</v>
      </c>
      <c r="K390">
        <v>21</v>
      </c>
      <c r="L390">
        <v>77661</v>
      </c>
      <c r="M390">
        <v>0</v>
      </c>
      <c r="N390">
        <v>0</v>
      </c>
      <c r="O390">
        <v>0</v>
      </c>
      <c r="P390">
        <v>14142</v>
      </c>
      <c r="Q390">
        <v>77661</v>
      </c>
      <c r="R390" s="2043">
        <v>163891</v>
      </c>
      <c r="S390">
        <v>9498</v>
      </c>
      <c r="T390">
        <v>0</v>
      </c>
      <c r="U390">
        <v>0.05</v>
      </c>
      <c r="V390">
        <v>0</v>
      </c>
      <c r="W390">
        <v>0</v>
      </c>
      <c r="X390">
        <v>0</v>
      </c>
      <c r="Y390">
        <v>0</v>
      </c>
      <c r="Z390">
        <v>9.1430000000000007</v>
      </c>
      <c r="AA390">
        <v>0</v>
      </c>
      <c r="AB390">
        <v>155.24800000000002</v>
      </c>
      <c r="AC390" s="2043">
        <v>19696856</v>
      </c>
      <c r="AD390">
        <v>0</v>
      </c>
      <c r="AE390" s="2043">
        <v>173389</v>
      </c>
      <c r="AF390">
        <v>0.91280000000000006</v>
      </c>
      <c r="AG390">
        <v>0</v>
      </c>
      <c r="AH390">
        <v>0</v>
      </c>
      <c r="AI390">
        <v>0</v>
      </c>
      <c r="AJ390">
        <v>6.7130000000000001</v>
      </c>
      <c r="AK390">
        <v>584</v>
      </c>
      <c r="AL390">
        <v>0</v>
      </c>
      <c r="AM390">
        <v>0</v>
      </c>
      <c r="AN390">
        <v>2.141</v>
      </c>
      <c r="AO390">
        <v>0</v>
      </c>
      <c r="AP390">
        <v>0.63700000000000001</v>
      </c>
      <c r="AQ390">
        <v>0</v>
      </c>
      <c r="AR390">
        <v>2.94</v>
      </c>
      <c r="AS390">
        <v>0</v>
      </c>
      <c r="AT390">
        <v>0</v>
      </c>
      <c r="AU390">
        <v>0.66300000000000003</v>
      </c>
      <c r="AV390">
        <v>0</v>
      </c>
      <c r="AW390">
        <v>4.24</v>
      </c>
      <c r="AX390">
        <v>0</v>
      </c>
      <c r="AY390">
        <v>13.855</v>
      </c>
      <c r="AZ390">
        <v>0</v>
      </c>
      <c r="BA390">
        <v>1684029</v>
      </c>
      <c r="BB390">
        <v>173389</v>
      </c>
      <c r="BC390">
        <v>0</v>
      </c>
      <c r="BD390">
        <v>5400</v>
      </c>
      <c r="BE390">
        <v>0</v>
      </c>
      <c r="BF390">
        <v>5400</v>
      </c>
      <c r="BG390">
        <v>5400</v>
      </c>
      <c r="BH390">
        <v>0</v>
      </c>
      <c r="BI390">
        <v>0</v>
      </c>
      <c r="BJ390">
        <v>0</v>
      </c>
      <c r="BK390">
        <v>0</v>
      </c>
      <c r="BL390">
        <v>21567561</v>
      </c>
      <c r="BM390">
        <v>0</v>
      </c>
      <c r="BN390">
        <v>0</v>
      </c>
      <c r="BO390">
        <v>0</v>
      </c>
      <c r="BP390">
        <v>0</v>
      </c>
      <c r="BQ390">
        <v>0</v>
      </c>
      <c r="BR390">
        <v>0.86280000000000001</v>
      </c>
      <c r="BS390">
        <v>0.86280000000000001</v>
      </c>
      <c r="BT390">
        <v>0</v>
      </c>
      <c r="BU390">
        <v>0</v>
      </c>
      <c r="BV390">
        <v>24</v>
      </c>
      <c r="BW390">
        <v>1</v>
      </c>
      <c r="BX390">
        <v>0</v>
      </c>
      <c r="BY390">
        <v>2</v>
      </c>
      <c r="BZ390">
        <v>2</v>
      </c>
      <c r="CA390">
        <v>29</v>
      </c>
      <c r="CB390">
        <v>0</v>
      </c>
      <c r="CC390">
        <v>0</v>
      </c>
      <c r="CD390">
        <v>0</v>
      </c>
      <c r="CE390">
        <v>6</v>
      </c>
      <c r="CF390">
        <v>17.339000000000002</v>
      </c>
      <c r="CG390">
        <v>0</v>
      </c>
      <c r="CH390">
        <v>0</v>
      </c>
      <c r="CI390">
        <v>0</v>
      </c>
      <c r="CJ390">
        <v>0</v>
      </c>
      <c r="CK390">
        <v>0</v>
      </c>
      <c r="CL390">
        <v>0</v>
      </c>
      <c r="CM390">
        <v>0.98100000000000009</v>
      </c>
      <c r="CN390">
        <v>0</v>
      </c>
      <c r="CO390">
        <v>0</v>
      </c>
      <c r="CP390">
        <v>0</v>
      </c>
      <c r="CQ390">
        <v>0</v>
      </c>
      <c r="CR390">
        <v>0</v>
      </c>
      <c r="CS390">
        <v>0</v>
      </c>
      <c r="CT390">
        <v>0</v>
      </c>
      <c r="CU390">
        <v>0</v>
      </c>
      <c r="CV390">
        <v>0</v>
      </c>
      <c r="CW390">
        <v>0</v>
      </c>
      <c r="CX390">
        <v>0</v>
      </c>
      <c r="CY390" s="2043">
        <v>0</v>
      </c>
      <c r="CZ390" s="2043">
        <v>0</v>
      </c>
      <c r="DA390" s="2043">
        <v>0</v>
      </c>
      <c r="DB390" s="2043">
        <v>0</v>
      </c>
      <c r="DC390" s="2043">
        <v>0</v>
      </c>
      <c r="DI390" t="s">
        <v>3903</v>
      </c>
      <c r="DJ390" t="s">
        <v>3903</v>
      </c>
      <c r="DK390" s="2042">
        <f t="shared" si="8"/>
        <v>0</v>
      </c>
    </row>
    <row r="391" spans="1:115">
      <c r="A391" t="s">
        <v>5797</v>
      </c>
      <c r="B391" t="s">
        <v>188</v>
      </c>
      <c r="C391">
        <v>658.93100000000004</v>
      </c>
      <c r="D391">
        <v>623.48300000000006</v>
      </c>
      <c r="E391">
        <v>43.783999999999999</v>
      </c>
      <c r="F391">
        <v>0</v>
      </c>
      <c r="G391" s="2043">
        <v>289866848</v>
      </c>
      <c r="H391">
        <v>0</v>
      </c>
      <c r="I391" s="2043">
        <v>676862</v>
      </c>
      <c r="J391">
        <v>32.947000000000003</v>
      </c>
      <c r="K391">
        <v>90</v>
      </c>
      <c r="L391">
        <v>0</v>
      </c>
      <c r="M391">
        <v>0</v>
      </c>
      <c r="N391">
        <v>0</v>
      </c>
      <c r="O391">
        <v>0</v>
      </c>
      <c r="P391">
        <v>0</v>
      </c>
      <c r="Q391">
        <v>0</v>
      </c>
      <c r="R391" s="2043">
        <v>2661766</v>
      </c>
      <c r="S391">
        <v>161908</v>
      </c>
      <c r="T391">
        <v>0</v>
      </c>
      <c r="U391">
        <v>0.05</v>
      </c>
      <c r="V391">
        <v>0</v>
      </c>
      <c r="W391">
        <v>0</v>
      </c>
      <c r="X391">
        <v>0</v>
      </c>
      <c r="Y391">
        <v>0</v>
      </c>
      <c r="Z391">
        <v>19.61</v>
      </c>
      <c r="AA391">
        <v>0</v>
      </c>
      <c r="AB391">
        <v>623.35300000000007</v>
      </c>
      <c r="AC391" s="2043">
        <v>222584089</v>
      </c>
      <c r="AD391">
        <v>757946</v>
      </c>
      <c r="AE391" s="2043">
        <v>2823674</v>
      </c>
      <c r="AF391">
        <v>0.872</v>
      </c>
      <c r="AG391">
        <v>0</v>
      </c>
      <c r="AH391">
        <v>0</v>
      </c>
      <c r="AI391">
        <v>0</v>
      </c>
      <c r="AJ391">
        <v>115.27500000000001</v>
      </c>
      <c r="AK391">
        <v>2885</v>
      </c>
      <c r="AL391">
        <v>0</v>
      </c>
      <c r="AM391">
        <v>0</v>
      </c>
      <c r="AN391">
        <v>15.073</v>
      </c>
      <c r="AO391">
        <v>0</v>
      </c>
      <c r="AP391">
        <v>0</v>
      </c>
      <c r="AQ391">
        <v>0</v>
      </c>
      <c r="AR391">
        <v>19.083000000000002</v>
      </c>
      <c r="AS391">
        <v>0</v>
      </c>
      <c r="AT391">
        <v>3.101</v>
      </c>
      <c r="AU391">
        <v>1.3180000000000001</v>
      </c>
      <c r="AV391">
        <v>0</v>
      </c>
      <c r="AW391">
        <v>23.502000000000002</v>
      </c>
      <c r="AX391">
        <v>0</v>
      </c>
      <c r="AY391">
        <v>73.14200000000001</v>
      </c>
      <c r="AZ391">
        <v>0</v>
      </c>
      <c r="BA391">
        <v>5619590</v>
      </c>
      <c r="BB391">
        <v>3581620</v>
      </c>
      <c r="BC391">
        <v>0</v>
      </c>
      <c r="BD391">
        <v>65336</v>
      </c>
      <c r="BE391">
        <v>0</v>
      </c>
      <c r="BF391">
        <v>65336</v>
      </c>
      <c r="BG391">
        <v>65336</v>
      </c>
      <c r="BH391">
        <v>0</v>
      </c>
      <c r="BI391">
        <v>0</v>
      </c>
      <c r="BJ391">
        <v>0</v>
      </c>
      <c r="BK391">
        <v>0</v>
      </c>
      <c r="BL391">
        <v>289866848</v>
      </c>
      <c r="BM391">
        <v>0</v>
      </c>
      <c r="BN391">
        <v>2583</v>
      </c>
      <c r="BO391">
        <v>1541</v>
      </c>
      <c r="BP391">
        <v>0</v>
      </c>
      <c r="BQ391">
        <v>0</v>
      </c>
      <c r="BR391">
        <v>0.82200000000000006</v>
      </c>
      <c r="BS391">
        <v>0.82200000000000006</v>
      </c>
      <c r="BT391">
        <v>0</v>
      </c>
      <c r="BU391">
        <v>0</v>
      </c>
      <c r="BV391">
        <v>196</v>
      </c>
      <c r="BW391">
        <v>14</v>
      </c>
      <c r="BX391">
        <v>7</v>
      </c>
      <c r="BY391">
        <v>234</v>
      </c>
      <c r="BZ391">
        <v>17</v>
      </c>
      <c r="CA391">
        <v>468</v>
      </c>
      <c r="CB391">
        <v>0</v>
      </c>
      <c r="CC391">
        <v>0</v>
      </c>
      <c r="CD391">
        <v>0</v>
      </c>
      <c r="CE391">
        <v>67</v>
      </c>
      <c r="CF391">
        <v>162.44</v>
      </c>
      <c r="CG391">
        <v>0</v>
      </c>
      <c r="CH391">
        <v>0</v>
      </c>
      <c r="CI391">
        <v>1</v>
      </c>
      <c r="CJ391">
        <v>0</v>
      </c>
      <c r="CK391">
        <v>0</v>
      </c>
      <c r="CL391">
        <v>0</v>
      </c>
      <c r="CM391">
        <v>43.783999999999999</v>
      </c>
      <c r="CN391">
        <v>0</v>
      </c>
      <c r="CO391">
        <v>0</v>
      </c>
      <c r="CP391">
        <v>0</v>
      </c>
      <c r="CQ391">
        <v>0</v>
      </c>
      <c r="CR391">
        <v>0</v>
      </c>
      <c r="CS391">
        <v>0</v>
      </c>
      <c r="CT391">
        <v>0</v>
      </c>
      <c r="CU391">
        <v>0</v>
      </c>
      <c r="CV391">
        <v>28.932000000000002</v>
      </c>
      <c r="CW391">
        <v>26.887</v>
      </c>
      <c r="CX391">
        <v>0</v>
      </c>
      <c r="CY391" s="2043">
        <v>0</v>
      </c>
      <c r="CZ391" s="2043">
        <v>0</v>
      </c>
      <c r="DA391" s="2043">
        <v>0</v>
      </c>
      <c r="DB391" s="2043">
        <v>0</v>
      </c>
      <c r="DC391" s="2043">
        <v>0</v>
      </c>
      <c r="DI391" t="s">
        <v>5797</v>
      </c>
      <c r="DJ391" t="s">
        <v>5797</v>
      </c>
      <c r="DK391" s="2042">
        <f t="shared" si="8"/>
        <v>0</v>
      </c>
    </row>
    <row r="392" spans="1:115">
      <c r="A392" t="s">
        <v>5012</v>
      </c>
      <c r="B392" t="s">
        <v>189</v>
      </c>
      <c r="C392">
        <v>1702.6490000000001</v>
      </c>
      <c r="D392">
        <v>1668.9090000000001</v>
      </c>
      <c r="E392">
        <v>289.62299999999999</v>
      </c>
      <c r="F392">
        <v>0</v>
      </c>
      <c r="G392" s="2043">
        <v>1016899708</v>
      </c>
      <c r="H392">
        <v>0</v>
      </c>
      <c r="I392" s="2043">
        <v>2090312</v>
      </c>
      <c r="J392">
        <v>85.132000000000005</v>
      </c>
      <c r="K392">
        <v>233</v>
      </c>
      <c r="L392">
        <v>0</v>
      </c>
      <c r="M392">
        <v>352788</v>
      </c>
      <c r="N392">
        <v>0</v>
      </c>
      <c r="O392">
        <v>352788</v>
      </c>
      <c r="P392">
        <v>0</v>
      </c>
      <c r="Q392">
        <v>0</v>
      </c>
      <c r="R392" s="2043">
        <v>8490266</v>
      </c>
      <c r="S392">
        <v>516440</v>
      </c>
      <c r="T392">
        <v>0</v>
      </c>
      <c r="U392">
        <v>0.05</v>
      </c>
      <c r="V392">
        <v>0</v>
      </c>
      <c r="W392">
        <v>0</v>
      </c>
      <c r="X392">
        <v>0</v>
      </c>
      <c r="Y392">
        <v>0</v>
      </c>
      <c r="Z392">
        <v>0</v>
      </c>
      <c r="AA392">
        <v>0.16400000000000001</v>
      </c>
      <c r="AB392">
        <v>1616.347</v>
      </c>
      <c r="AC392" s="2043">
        <v>730111004</v>
      </c>
      <c r="AD392">
        <v>3651201</v>
      </c>
      <c r="AE392" s="2043">
        <v>9006706</v>
      </c>
      <c r="AF392">
        <v>0.872</v>
      </c>
      <c r="AG392">
        <v>0</v>
      </c>
      <c r="AH392">
        <v>0</v>
      </c>
      <c r="AI392">
        <v>0</v>
      </c>
      <c r="AJ392">
        <v>326.63800000000003</v>
      </c>
      <c r="AK392">
        <v>8467</v>
      </c>
      <c r="AL392">
        <v>0.63700000000000001</v>
      </c>
      <c r="AM392">
        <v>0</v>
      </c>
      <c r="AN392">
        <v>41.094999999999999</v>
      </c>
      <c r="AO392">
        <v>0</v>
      </c>
      <c r="AP392">
        <v>0</v>
      </c>
      <c r="AQ392">
        <v>0</v>
      </c>
      <c r="AR392">
        <v>66.971000000000004</v>
      </c>
      <c r="AS392">
        <v>0</v>
      </c>
      <c r="AT392">
        <v>23.625</v>
      </c>
      <c r="AU392">
        <v>4.2240000000000002</v>
      </c>
      <c r="AV392">
        <v>0</v>
      </c>
      <c r="AW392">
        <v>95.457000000000008</v>
      </c>
      <c r="AX392">
        <v>0</v>
      </c>
      <c r="AY392">
        <v>296.09300000000002</v>
      </c>
      <c r="AZ392">
        <v>0</v>
      </c>
      <c r="BA392">
        <v>8700494</v>
      </c>
      <c r="BB392">
        <v>12657907</v>
      </c>
      <c r="BC392">
        <v>0</v>
      </c>
      <c r="BD392">
        <v>88374</v>
      </c>
      <c r="BE392">
        <v>33641</v>
      </c>
      <c r="BF392">
        <v>122015</v>
      </c>
      <c r="BG392">
        <v>88374</v>
      </c>
      <c r="BH392">
        <v>0</v>
      </c>
      <c r="BI392">
        <v>0</v>
      </c>
      <c r="BJ392">
        <v>0</v>
      </c>
      <c r="BK392">
        <v>0</v>
      </c>
      <c r="BL392">
        <v>1016899708</v>
      </c>
      <c r="BM392">
        <v>0</v>
      </c>
      <c r="BN392">
        <v>5922</v>
      </c>
      <c r="BO392">
        <v>1840</v>
      </c>
      <c r="BP392">
        <v>0</v>
      </c>
      <c r="BQ392">
        <v>0</v>
      </c>
      <c r="BR392">
        <v>0.82200000000000006</v>
      </c>
      <c r="BS392">
        <v>0.82200000000000006</v>
      </c>
      <c r="BT392">
        <v>0</v>
      </c>
      <c r="BU392">
        <v>0</v>
      </c>
      <c r="BV392">
        <v>280</v>
      </c>
      <c r="BW392">
        <v>334</v>
      </c>
      <c r="BX392">
        <v>356</v>
      </c>
      <c r="BY392">
        <v>229</v>
      </c>
      <c r="BZ392">
        <v>128</v>
      </c>
      <c r="CA392">
        <v>1327</v>
      </c>
      <c r="CB392">
        <v>0</v>
      </c>
      <c r="CC392">
        <v>0</v>
      </c>
      <c r="CD392">
        <v>0</v>
      </c>
      <c r="CE392">
        <v>186</v>
      </c>
      <c r="CF392">
        <v>504.97</v>
      </c>
      <c r="CG392">
        <v>0</v>
      </c>
      <c r="CH392">
        <v>0</v>
      </c>
      <c r="CI392">
        <v>0</v>
      </c>
      <c r="CJ392">
        <v>4</v>
      </c>
      <c r="CK392">
        <v>0</v>
      </c>
      <c r="CL392">
        <v>0</v>
      </c>
      <c r="CM392">
        <v>289.62299999999999</v>
      </c>
      <c r="CN392">
        <v>0</v>
      </c>
      <c r="CO392">
        <v>0</v>
      </c>
      <c r="CP392">
        <v>0</v>
      </c>
      <c r="CQ392">
        <v>0</v>
      </c>
      <c r="CR392">
        <v>0</v>
      </c>
      <c r="CS392">
        <v>0</v>
      </c>
      <c r="CT392">
        <v>0</v>
      </c>
      <c r="CU392">
        <v>1.8780000000000001</v>
      </c>
      <c r="CV392">
        <v>95.28</v>
      </c>
      <c r="CW392">
        <v>59.599000000000004</v>
      </c>
      <c r="CX392">
        <v>0</v>
      </c>
      <c r="CY392" s="2043">
        <v>0</v>
      </c>
      <c r="CZ392" s="2043">
        <v>0</v>
      </c>
      <c r="DA392" s="2043">
        <v>0</v>
      </c>
      <c r="DB392" s="2043">
        <v>0</v>
      </c>
      <c r="DC392" s="2043">
        <v>0</v>
      </c>
      <c r="DI392" t="s">
        <v>5012</v>
      </c>
      <c r="DJ392" t="s">
        <v>5012</v>
      </c>
      <c r="DK392" s="2042">
        <f t="shared" si="8"/>
        <v>0</v>
      </c>
    </row>
    <row r="393" spans="1:115">
      <c r="A393" t="s">
        <v>2989</v>
      </c>
      <c r="B393" t="s">
        <v>1161</v>
      </c>
      <c r="C393">
        <v>310.67599999999999</v>
      </c>
      <c r="D393">
        <v>315.30700000000002</v>
      </c>
      <c r="E393">
        <v>7.92</v>
      </c>
      <c r="F393">
        <v>0</v>
      </c>
      <c r="G393" s="2043">
        <v>91572051</v>
      </c>
      <c r="H393">
        <v>0</v>
      </c>
      <c r="I393" s="2043">
        <v>296194</v>
      </c>
      <c r="J393">
        <v>12</v>
      </c>
      <c r="K393">
        <v>33</v>
      </c>
      <c r="L393">
        <v>66077</v>
      </c>
      <c r="M393">
        <v>124948</v>
      </c>
      <c r="N393">
        <v>66077</v>
      </c>
      <c r="O393">
        <v>191025</v>
      </c>
      <c r="P393">
        <v>0</v>
      </c>
      <c r="Q393">
        <v>0</v>
      </c>
      <c r="R393" s="2043">
        <v>747611</v>
      </c>
      <c r="S393">
        <v>45475</v>
      </c>
      <c r="T393">
        <v>0</v>
      </c>
      <c r="U393">
        <v>0.05</v>
      </c>
      <c r="V393">
        <v>0</v>
      </c>
      <c r="W393">
        <v>0</v>
      </c>
      <c r="X393">
        <v>0</v>
      </c>
      <c r="Y393">
        <v>0</v>
      </c>
      <c r="Z393">
        <v>0</v>
      </c>
      <c r="AA393">
        <v>0</v>
      </c>
      <c r="AB393">
        <v>315.30700000000002</v>
      </c>
      <c r="AC393" s="2043">
        <v>67547339</v>
      </c>
      <c r="AD393">
        <v>227572</v>
      </c>
      <c r="AE393" s="2043">
        <v>793086</v>
      </c>
      <c r="AF393">
        <v>0.872</v>
      </c>
      <c r="AG393">
        <v>0</v>
      </c>
      <c r="AH393">
        <v>0</v>
      </c>
      <c r="AI393">
        <v>0</v>
      </c>
      <c r="AJ393">
        <v>25.3</v>
      </c>
      <c r="AK393">
        <v>1749</v>
      </c>
      <c r="AL393">
        <v>0</v>
      </c>
      <c r="AM393">
        <v>0</v>
      </c>
      <c r="AN393">
        <v>0.46600000000000003</v>
      </c>
      <c r="AO393">
        <v>0</v>
      </c>
      <c r="AP393">
        <v>1.389</v>
      </c>
      <c r="AQ393">
        <v>0</v>
      </c>
      <c r="AR393">
        <v>14.209000000000001</v>
      </c>
      <c r="AS393">
        <v>0</v>
      </c>
      <c r="AT393">
        <v>0</v>
      </c>
      <c r="AU393">
        <v>0.68400000000000005</v>
      </c>
      <c r="AV393">
        <v>0</v>
      </c>
      <c r="AW393">
        <v>16.282</v>
      </c>
      <c r="AX393">
        <v>0</v>
      </c>
      <c r="AY393">
        <v>49.797000000000004</v>
      </c>
      <c r="AZ393">
        <v>0</v>
      </c>
      <c r="BA393">
        <v>3163011</v>
      </c>
      <c r="BB393">
        <v>1020658</v>
      </c>
      <c r="BC393">
        <v>0</v>
      </c>
      <c r="BD393">
        <v>14061</v>
      </c>
      <c r="BE393">
        <v>5101</v>
      </c>
      <c r="BF393">
        <v>19162</v>
      </c>
      <c r="BG393">
        <v>14061</v>
      </c>
      <c r="BH393">
        <v>0</v>
      </c>
      <c r="BI393">
        <v>0</v>
      </c>
      <c r="BJ393">
        <v>0</v>
      </c>
      <c r="BK393">
        <v>0</v>
      </c>
      <c r="BL393">
        <v>91572051</v>
      </c>
      <c r="BM393">
        <v>0</v>
      </c>
      <c r="BN393">
        <v>1287</v>
      </c>
      <c r="BO393">
        <v>1134</v>
      </c>
      <c r="BP393">
        <v>0</v>
      </c>
      <c r="BQ393">
        <v>0</v>
      </c>
      <c r="BR393">
        <v>0.82200000000000006</v>
      </c>
      <c r="BS393">
        <v>0.82200000000000006</v>
      </c>
      <c r="BT393">
        <v>0</v>
      </c>
      <c r="BU393">
        <v>0</v>
      </c>
      <c r="BV393">
        <v>54</v>
      </c>
      <c r="BW393">
        <v>37</v>
      </c>
      <c r="BX393">
        <v>10</v>
      </c>
      <c r="BY393">
        <v>5</v>
      </c>
      <c r="BZ393">
        <v>2</v>
      </c>
      <c r="CA393">
        <v>108</v>
      </c>
      <c r="CB393">
        <v>0</v>
      </c>
      <c r="CC393">
        <v>0</v>
      </c>
      <c r="CD393">
        <v>0</v>
      </c>
      <c r="CE393">
        <v>8</v>
      </c>
      <c r="CF393">
        <v>33.549999999999997</v>
      </c>
      <c r="CG393">
        <v>0</v>
      </c>
      <c r="CH393">
        <v>0</v>
      </c>
      <c r="CI393">
        <v>2</v>
      </c>
      <c r="CJ393">
        <v>4</v>
      </c>
      <c r="CK393">
        <v>0</v>
      </c>
      <c r="CL393">
        <v>0</v>
      </c>
      <c r="CM393">
        <v>7.92</v>
      </c>
      <c r="CN393">
        <v>0</v>
      </c>
      <c r="CO393">
        <v>0</v>
      </c>
      <c r="CP393">
        <v>0</v>
      </c>
      <c r="CQ393">
        <v>0</v>
      </c>
      <c r="CR393">
        <v>0</v>
      </c>
      <c r="CS393">
        <v>0</v>
      </c>
      <c r="CT393">
        <v>0</v>
      </c>
      <c r="CU393">
        <v>1.411</v>
      </c>
      <c r="CV393">
        <v>20.667999999999999</v>
      </c>
      <c r="CW393">
        <v>7.6740000000000004</v>
      </c>
      <c r="CX393">
        <v>0</v>
      </c>
      <c r="CY393" s="2043">
        <v>0</v>
      </c>
      <c r="CZ393" s="2043">
        <v>0</v>
      </c>
      <c r="DA393" s="2043">
        <v>0</v>
      </c>
      <c r="DB393" s="2043">
        <v>0</v>
      </c>
      <c r="DC393" s="2043">
        <v>0</v>
      </c>
      <c r="DI393" t="s">
        <v>2989</v>
      </c>
      <c r="DJ393" t="s">
        <v>2989</v>
      </c>
      <c r="DK393" s="2042">
        <f t="shared" si="8"/>
        <v>0</v>
      </c>
    </row>
    <row r="394" spans="1:115">
      <c r="A394" t="s">
        <v>2991</v>
      </c>
      <c r="B394" t="s">
        <v>190</v>
      </c>
      <c r="C394">
        <v>601.23800000000006</v>
      </c>
      <c r="D394">
        <v>606.20100000000002</v>
      </c>
      <c r="E394">
        <v>52.095000000000006</v>
      </c>
      <c r="F394">
        <v>0</v>
      </c>
      <c r="G394" s="2043">
        <v>279900026</v>
      </c>
      <c r="H394">
        <v>0</v>
      </c>
      <c r="I394" s="2043">
        <v>636650</v>
      </c>
      <c r="J394">
        <v>30.062000000000001</v>
      </c>
      <c r="K394">
        <v>82</v>
      </c>
      <c r="L394">
        <v>0</v>
      </c>
      <c r="M394">
        <v>162500</v>
      </c>
      <c r="N394">
        <v>0</v>
      </c>
      <c r="O394">
        <v>162500</v>
      </c>
      <c r="P394">
        <v>0</v>
      </c>
      <c r="Q394">
        <v>0</v>
      </c>
      <c r="R394" s="2043">
        <v>2300968</v>
      </c>
      <c r="S394">
        <v>139962</v>
      </c>
      <c r="T394">
        <v>0</v>
      </c>
      <c r="U394">
        <v>0.05</v>
      </c>
      <c r="V394">
        <v>0</v>
      </c>
      <c r="W394">
        <v>0</v>
      </c>
      <c r="X394">
        <v>0</v>
      </c>
      <c r="Y394">
        <v>0</v>
      </c>
      <c r="Z394">
        <v>0</v>
      </c>
      <c r="AA394">
        <v>0</v>
      </c>
      <c r="AB394">
        <v>555.44400000000007</v>
      </c>
      <c r="AC394" s="2043">
        <v>201686421</v>
      </c>
      <c r="AD394">
        <v>664310</v>
      </c>
      <c r="AE394" s="2043">
        <v>2440930</v>
      </c>
      <c r="AF394">
        <v>0.872</v>
      </c>
      <c r="AG394">
        <v>0</v>
      </c>
      <c r="AH394">
        <v>0</v>
      </c>
      <c r="AI394">
        <v>0</v>
      </c>
      <c r="AJ394">
        <v>93.213000000000008</v>
      </c>
      <c r="AK394">
        <v>3769</v>
      </c>
      <c r="AL394">
        <v>4.2000000000000003E-2</v>
      </c>
      <c r="AM394">
        <v>0</v>
      </c>
      <c r="AN394">
        <v>7.0040000000000004</v>
      </c>
      <c r="AO394">
        <v>0</v>
      </c>
      <c r="AP394">
        <v>10.245000000000001</v>
      </c>
      <c r="AQ394">
        <v>0</v>
      </c>
      <c r="AR394">
        <v>23.745000000000001</v>
      </c>
      <c r="AS394">
        <v>0</v>
      </c>
      <c r="AT394">
        <v>0.47000000000000003</v>
      </c>
      <c r="AU394">
        <v>1.054</v>
      </c>
      <c r="AV394">
        <v>0</v>
      </c>
      <c r="AW394">
        <v>36.079000000000001</v>
      </c>
      <c r="AX394">
        <v>0.52300000000000002</v>
      </c>
      <c r="AY394">
        <v>106.989</v>
      </c>
      <c r="AZ394">
        <v>0</v>
      </c>
      <c r="BA394">
        <v>5298525</v>
      </c>
      <c r="BB394">
        <v>3105240</v>
      </c>
      <c r="BC394">
        <v>0</v>
      </c>
      <c r="BD394">
        <v>51988</v>
      </c>
      <c r="BE394">
        <v>12519</v>
      </c>
      <c r="BF394">
        <v>64507</v>
      </c>
      <c r="BG394">
        <v>51988</v>
      </c>
      <c r="BH394">
        <v>0</v>
      </c>
      <c r="BI394">
        <v>0</v>
      </c>
      <c r="BJ394">
        <v>0</v>
      </c>
      <c r="BK394">
        <v>0</v>
      </c>
      <c r="BL394">
        <v>279900026</v>
      </c>
      <c r="BM394">
        <v>0</v>
      </c>
      <c r="BN394">
        <v>2250</v>
      </c>
      <c r="BO394">
        <v>2279</v>
      </c>
      <c r="BP394">
        <v>0</v>
      </c>
      <c r="BQ394">
        <v>0</v>
      </c>
      <c r="BR394">
        <v>0.82200000000000006</v>
      </c>
      <c r="BS394">
        <v>0.82200000000000006</v>
      </c>
      <c r="BT394">
        <v>0</v>
      </c>
      <c r="BU394">
        <v>0</v>
      </c>
      <c r="BV394">
        <v>109</v>
      </c>
      <c r="BW394">
        <v>138</v>
      </c>
      <c r="BX394">
        <v>0</v>
      </c>
      <c r="BY394">
        <v>119</v>
      </c>
      <c r="BZ394">
        <v>17</v>
      </c>
      <c r="CA394">
        <v>383</v>
      </c>
      <c r="CB394">
        <v>0</v>
      </c>
      <c r="CC394">
        <v>0</v>
      </c>
      <c r="CD394">
        <v>0</v>
      </c>
      <c r="CE394">
        <v>95</v>
      </c>
      <c r="CF394">
        <v>95.251000000000005</v>
      </c>
      <c r="CG394">
        <v>0</v>
      </c>
      <c r="CH394">
        <v>0</v>
      </c>
      <c r="CI394">
        <v>1</v>
      </c>
      <c r="CJ394">
        <v>0</v>
      </c>
      <c r="CK394">
        <v>0</v>
      </c>
      <c r="CL394">
        <v>0</v>
      </c>
      <c r="CM394">
        <v>52.095000000000006</v>
      </c>
      <c r="CN394">
        <v>0</v>
      </c>
      <c r="CO394">
        <v>0</v>
      </c>
      <c r="CP394">
        <v>0</v>
      </c>
      <c r="CQ394">
        <v>0</v>
      </c>
      <c r="CR394">
        <v>0</v>
      </c>
      <c r="CS394">
        <v>0</v>
      </c>
      <c r="CT394">
        <v>0</v>
      </c>
      <c r="CU394">
        <v>3.8680000000000003</v>
      </c>
      <c r="CV394">
        <v>50.615000000000002</v>
      </c>
      <c r="CW394">
        <v>26.871000000000002</v>
      </c>
      <c r="CX394">
        <v>0</v>
      </c>
      <c r="CY394" s="2043">
        <v>0</v>
      </c>
      <c r="CZ394" s="2043">
        <v>0</v>
      </c>
      <c r="DA394" s="2043">
        <v>0</v>
      </c>
      <c r="DB394" s="2043">
        <v>0</v>
      </c>
      <c r="DC394" s="2043">
        <v>0</v>
      </c>
      <c r="DI394" t="s">
        <v>2990</v>
      </c>
      <c r="DJ394" t="s">
        <v>2991</v>
      </c>
      <c r="DK394" s="2042">
        <f t="shared" si="8"/>
        <v>-2</v>
      </c>
    </row>
    <row r="395" spans="1:115">
      <c r="A395" t="s">
        <v>2990</v>
      </c>
      <c r="B395" t="s">
        <v>681</v>
      </c>
      <c r="C395">
        <v>211.09700000000001</v>
      </c>
      <c r="D395">
        <v>269.88300000000004</v>
      </c>
      <c r="E395">
        <v>4.5460000000000003</v>
      </c>
      <c r="F395">
        <v>0</v>
      </c>
      <c r="G395" s="2043">
        <v>77091916</v>
      </c>
      <c r="H395">
        <v>0</v>
      </c>
      <c r="I395" s="2043">
        <v>161300</v>
      </c>
      <c r="J395">
        <v>1</v>
      </c>
      <c r="K395">
        <v>3</v>
      </c>
      <c r="L395">
        <v>71153</v>
      </c>
      <c r="M395">
        <v>87196</v>
      </c>
      <c r="N395">
        <v>71153</v>
      </c>
      <c r="O395">
        <v>158349</v>
      </c>
      <c r="P395">
        <v>0</v>
      </c>
      <c r="Q395">
        <v>0</v>
      </c>
      <c r="R395" s="2043">
        <v>607002</v>
      </c>
      <c r="S395">
        <v>59076</v>
      </c>
      <c r="T395">
        <v>36922</v>
      </c>
      <c r="U395">
        <v>0.08</v>
      </c>
      <c r="V395">
        <v>0</v>
      </c>
      <c r="W395">
        <v>0</v>
      </c>
      <c r="X395">
        <v>0</v>
      </c>
      <c r="Y395">
        <v>0</v>
      </c>
      <c r="Z395">
        <v>0</v>
      </c>
      <c r="AA395">
        <v>0</v>
      </c>
      <c r="AB395">
        <v>251.44400000000002</v>
      </c>
      <c r="AC395" s="2043">
        <v>52922860</v>
      </c>
      <c r="AD395">
        <v>76292</v>
      </c>
      <c r="AE395" s="2043">
        <v>703000</v>
      </c>
      <c r="AF395">
        <v>0.95200000000000007</v>
      </c>
      <c r="AG395">
        <v>0</v>
      </c>
      <c r="AH395">
        <v>0</v>
      </c>
      <c r="AI395">
        <v>0</v>
      </c>
      <c r="AJ395">
        <v>26.663</v>
      </c>
      <c r="AK395">
        <v>2126</v>
      </c>
      <c r="AL395">
        <v>0</v>
      </c>
      <c r="AM395">
        <v>0</v>
      </c>
      <c r="AN395">
        <v>2.665</v>
      </c>
      <c r="AO395">
        <v>0</v>
      </c>
      <c r="AP395">
        <v>2.101</v>
      </c>
      <c r="AQ395">
        <v>0</v>
      </c>
      <c r="AR395">
        <v>15.44</v>
      </c>
      <c r="AS395">
        <v>0</v>
      </c>
      <c r="AT395">
        <v>0.65800000000000003</v>
      </c>
      <c r="AU395">
        <v>0.55100000000000005</v>
      </c>
      <c r="AV395">
        <v>0</v>
      </c>
      <c r="AW395">
        <v>18.75</v>
      </c>
      <c r="AX395">
        <v>0</v>
      </c>
      <c r="AY395">
        <v>56.722000000000001</v>
      </c>
      <c r="AZ395">
        <v>0</v>
      </c>
      <c r="BA395">
        <v>2520496</v>
      </c>
      <c r="BB395">
        <v>779292</v>
      </c>
      <c r="BC395">
        <v>0</v>
      </c>
      <c r="BD395">
        <v>12825</v>
      </c>
      <c r="BE395">
        <v>4986</v>
      </c>
      <c r="BF395">
        <v>17811</v>
      </c>
      <c r="BG395">
        <v>12825</v>
      </c>
      <c r="BH395">
        <v>0</v>
      </c>
      <c r="BI395">
        <v>0</v>
      </c>
      <c r="BJ395">
        <v>0</v>
      </c>
      <c r="BK395">
        <v>0</v>
      </c>
      <c r="BL395">
        <v>77091916</v>
      </c>
      <c r="BM395">
        <v>0</v>
      </c>
      <c r="BN395">
        <v>972</v>
      </c>
      <c r="BO395">
        <v>920</v>
      </c>
      <c r="BP395">
        <v>0</v>
      </c>
      <c r="BQ395">
        <v>0</v>
      </c>
      <c r="BR395">
        <v>0.82200000000000006</v>
      </c>
      <c r="BS395">
        <v>0.82200000000000006</v>
      </c>
      <c r="BT395">
        <v>0</v>
      </c>
      <c r="BU395">
        <v>0</v>
      </c>
      <c r="BV395">
        <v>9</v>
      </c>
      <c r="BW395">
        <v>15</v>
      </c>
      <c r="BX395">
        <v>80</v>
      </c>
      <c r="BY395">
        <v>2</v>
      </c>
      <c r="BZ395">
        <v>2</v>
      </c>
      <c r="CA395">
        <v>108</v>
      </c>
      <c r="CB395">
        <v>0</v>
      </c>
      <c r="CC395">
        <v>0</v>
      </c>
      <c r="CD395">
        <v>0</v>
      </c>
      <c r="CE395">
        <v>26</v>
      </c>
      <c r="CF395">
        <v>32.242000000000004</v>
      </c>
      <c r="CG395">
        <v>0</v>
      </c>
      <c r="CH395">
        <v>0</v>
      </c>
      <c r="CI395">
        <v>1</v>
      </c>
      <c r="CJ395">
        <v>0</v>
      </c>
      <c r="CK395">
        <v>0</v>
      </c>
      <c r="CL395">
        <v>0</v>
      </c>
      <c r="CM395">
        <v>4.5460000000000003</v>
      </c>
      <c r="CN395">
        <v>0</v>
      </c>
      <c r="CO395">
        <v>0</v>
      </c>
      <c r="CP395">
        <v>0</v>
      </c>
      <c r="CQ395">
        <v>0</v>
      </c>
      <c r="CR395">
        <v>0</v>
      </c>
      <c r="CS395">
        <v>0</v>
      </c>
      <c r="CT395">
        <v>0</v>
      </c>
      <c r="CU395">
        <v>1.7370000000000001</v>
      </c>
      <c r="CV395">
        <v>10.68</v>
      </c>
      <c r="CW395">
        <v>5.8120000000000003</v>
      </c>
      <c r="CX395">
        <v>0</v>
      </c>
      <c r="CY395" s="2043">
        <v>0</v>
      </c>
      <c r="CZ395" s="2043">
        <v>0</v>
      </c>
      <c r="DA395" s="2043">
        <v>0</v>
      </c>
      <c r="DB395" s="2043">
        <v>0</v>
      </c>
      <c r="DC395" s="2043">
        <v>0</v>
      </c>
      <c r="DI395" t="s">
        <v>2991</v>
      </c>
      <c r="DJ395" t="s">
        <v>2990</v>
      </c>
      <c r="DK395" s="2042">
        <f t="shared" si="8"/>
        <v>2</v>
      </c>
    </row>
    <row r="396" spans="1:115">
      <c r="A396" t="s">
        <v>5013</v>
      </c>
      <c r="B396" t="s">
        <v>191</v>
      </c>
      <c r="C396">
        <v>756.15200000000004</v>
      </c>
      <c r="D396">
        <v>766.03100000000006</v>
      </c>
      <c r="E396">
        <v>43.359000000000002</v>
      </c>
      <c r="F396">
        <v>0</v>
      </c>
      <c r="G396" s="2043">
        <v>305927365</v>
      </c>
      <c r="H396">
        <v>0</v>
      </c>
      <c r="I396" s="2043">
        <v>0</v>
      </c>
      <c r="J396">
        <v>37.808</v>
      </c>
      <c r="K396">
        <v>103</v>
      </c>
      <c r="L396">
        <v>0</v>
      </c>
      <c r="M396">
        <v>0</v>
      </c>
      <c r="N396">
        <v>0</v>
      </c>
      <c r="O396">
        <v>0</v>
      </c>
      <c r="P396">
        <v>0</v>
      </c>
      <c r="Q396">
        <v>0</v>
      </c>
      <c r="R396" s="2043">
        <v>2413423</v>
      </c>
      <c r="S396">
        <v>234883</v>
      </c>
      <c r="T396">
        <v>171171</v>
      </c>
      <c r="U396">
        <v>0.08</v>
      </c>
      <c r="V396">
        <v>0</v>
      </c>
      <c r="W396">
        <v>0</v>
      </c>
      <c r="X396">
        <v>0</v>
      </c>
      <c r="Y396">
        <v>0</v>
      </c>
      <c r="Z396">
        <v>0</v>
      </c>
      <c r="AA396">
        <v>0</v>
      </c>
      <c r="AB396">
        <v>766.03100000000006</v>
      </c>
      <c r="AC396" s="2043">
        <v>221491095</v>
      </c>
      <c r="AD396">
        <v>0</v>
      </c>
      <c r="AE396" s="2043">
        <v>2819477</v>
      </c>
      <c r="AF396">
        <v>0.96030000000000004</v>
      </c>
      <c r="AG396">
        <v>0</v>
      </c>
      <c r="AH396">
        <v>0</v>
      </c>
      <c r="AI396">
        <v>0</v>
      </c>
      <c r="AJ396">
        <v>90.588000000000008</v>
      </c>
      <c r="AK396">
        <v>3915</v>
      </c>
      <c r="AL396">
        <v>0</v>
      </c>
      <c r="AM396">
        <v>0</v>
      </c>
      <c r="AN396">
        <v>32.923999999999999</v>
      </c>
      <c r="AO396">
        <v>0</v>
      </c>
      <c r="AP396">
        <v>6.9730000000000008</v>
      </c>
      <c r="AQ396">
        <v>0</v>
      </c>
      <c r="AR396">
        <v>19.606000000000002</v>
      </c>
      <c r="AS396">
        <v>0</v>
      </c>
      <c r="AT396">
        <v>0.90100000000000002</v>
      </c>
      <c r="AU396">
        <v>1.375</v>
      </c>
      <c r="AV396">
        <v>0</v>
      </c>
      <c r="AW396">
        <v>28.855</v>
      </c>
      <c r="AX396">
        <v>0</v>
      </c>
      <c r="AY396">
        <v>87.222999999999999</v>
      </c>
      <c r="AZ396">
        <v>0</v>
      </c>
      <c r="BA396">
        <v>6779887</v>
      </c>
      <c r="BB396">
        <v>2819477</v>
      </c>
      <c r="BC396">
        <v>0</v>
      </c>
      <c r="BD396">
        <v>32121</v>
      </c>
      <c r="BE396">
        <v>17120</v>
      </c>
      <c r="BF396">
        <v>49241</v>
      </c>
      <c r="BG396">
        <v>32121</v>
      </c>
      <c r="BH396">
        <v>0</v>
      </c>
      <c r="BI396">
        <v>0</v>
      </c>
      <c r="BJ396">
        <v>0</v>
      </c>
      <c r="BK396">
        <v>0</v>
      </c>
      <c r="BL396">
        <v>305927365</v>
      </c>
      <c r="BM396">
        <v>0</v>
      </c>
      <c r="BN396">
        <v>2673</v>
      </c>
      <c r="BO396">
        <v>1926</v>
      </c>
      <c r="BP396">
        <v>0</v>
      </c>
      <c r="BQ396">
        <v>0</v>
      </c>
      <c r="BR396">
        <v>0.82200000000000006</v>
      </c>
      <c r="BS396">
        <v>0.82200000000000006</v>
      </c>
      <c r="BT396">
        <v>0</v>
      </c>
      <c r="BU396">
        <v>0</v>
      </c>
      <c r="BV396">
        <v>102</v>
      </c>
      <c r="BW396">
        <v>121</v>
      </c>
      <c r="BX396">
        <v>6</v>
      </c>
      <c r="BY396">
        <v>132</v>
      </c>
      <c r="BZ396">
        <v>10</v>
      </c>
      <c r="CA396">
        <v>371</v>
      </c>
      <c r="CB396">
        <v>0</v>
      </c>
      <c r="CC396">
        <v>0</v>
      </c>
      <c r="CD396">
        <v>0</v>
      </c>
      <c r="CE396">
        <v>62</v>
      </c>
      <c r="CF396">
        <v>115.673</v>
      </c>
      <c r="CG396">
        <v>0</v>
      </c>
      <c r="CH396">
        <v>0</v>
      </c>
      <c r="CI396">
        <v>5</v>
      </c>
      <c r="CJ396">
        <v>9</v>
      </c>
      <c r="CK396">
        <v>0</v>
      </c>
      <c r="CL396">
        <v>0</v>
      </c>
      <c r="CM396">
        <v>43.359000000000002</v>
      </c>
      <c r="CN396">
        <v>0</v>
      </c>
      <c r="CO396">
        <v>0</v>
      </c>
      <c r="CP396">
        <v>0</v>
      </c>
      <c r="CQ396">
        <v>0</v>
      </c>
      <c r="CR396">
        <v>0</v>
      </c>
      <c r="CS396">
        <v>0</v>
      </c>
      <c r="CT396">
        <v>0</v>
      </c>
      <c r="CU396">
        <v>0.32800000000000001</v>
      </c>
      <c r="CV396">
        <v>55.053000000000004</v>
      </c>
      <c r="CW396">
        <v>26.888000000000002</v>
      </c>
      <c r="CX396">
        <v>0</v>
      </c>
      <c r="CY396" s="2043">
        <v>0</v>
      </c>
      <c r="CZ396" s="2043">
        <v>0</v>
      </c>
      <c r="DA396" s="2043">
        <v>0</v>
      </c>
      <c r="DB396" s="2043">
        <v>0</v>
      </c>
      <c r="DC396" s="2043">
        <v>0</v>
      </c>
      <c r="DI396" t="s">
        <v>5013</v>
      </c>
      <c r="DJ396" t="s">
        <v>5013</v>
      </c>
      <c r="DK396" s="2042">
        <f t="shared" si="8"/>
        <v>0</v>
      </c>
    </row>
    <row r="397" spans="1:115">
      <c r="A397" t="s">
        <v>5014</v>
      </c>
      <c r="B397" t="s">
        <v>1644</v>
      </c>
      <c r="C397">
        <v>282.94600000000003</v>
      </c>
      <c r="D397">
        <v>314.47300000000001</v>
      </c>
      <c r="E397">
        <v>6.9060000000000006</v>
      </c>
      <c r="F397">
        <v>0</v>
      </c>
      <c r="G397" s="2043">
        <v>165125217</v>
      </c>
      <c r="H397">
        <v>0</v>
      </c>
      <c r="I397" s="2043">
        <v>242925</v>
      </c>
      <c r="J397">
        <v>14.147</v>
      </c>
      <c r="K397">
        <v>39</v>
      </c>
      <c r="L397">
        <v>0</v>
      </c>
      <c r="M397">
        <v>0</v>
      </c>
      <c r="N397">
        <v>0</v>
      </c>
      <c r="O397">
        <v>0</v>
      </c>
      <c r="P397">
        <v>0</v>
      </c>
      <c r="Q397">
        <v>0</v>
      </c>
      <c r="R397" s="2043">
        <v>1353308</v>
      </c>
      <c r="S397">
        <v>131709</v>
      </c>
      <c r="T397">
        <v>95983</v>
      </c>
      <c r="U397">
        <v>0.08</v>
      </c>
      <c r="V397">
        <v>0</v>
      </c>
      <c r="W397">
        <v>0</v>
      </c>
      <c r="X397">
        <v>0</v>
      </c>
      <c r="Y397">
        <v>0</v>
      </c>
      <c r="Z397">
        <v>0</v>
      </c>
      <c r="AA397">
        <v>0</v>
      </c>
      <c r="AB397">
        <v>301.08500000000004</v>
      </c>
      <c r="AC397" s="2043">
        <v>117261200</v>
      </c>
      <c r="AD397">
        <v>185100</v>
      </c>
      <c r="AE397" s="2043">
        <v>1581000</v>
      </c>
      <c r="AF397">
        <v>0.96030000000000004</v>
      </c>
      <c r="AG397">
        <v>0</v>
      </c>
      <c r="AH397">
        <v>0</v>
      </c>
      <c r="AI397">
        <v>0</v>
      </c>
      <c r="AJ397">
        <v>41.213000000000001</v>
      </c>
      <c r="AK397">
        <v>1838</v>
      </c>
      <c r="AL397">
        <v>0</v>
      </c>
      <c r="AM397">
        <v>0</v>
      </c>
      <c r="AN397">
        <v>9.8000000000000004E-2</v>
      </c>
      <c r="AO397">
        <v>0</v>
      </c>
      <c r="AP397">
        <v>2.9730000000000003</v>
      </c>
      <c r="AQ397">
        <v>0</v>
      </c>
      <c r="AR397">
        <v>12.892000000000001</v>
      </c>
      <c r="AS397">
        <v>0</v>
      </c>
      <c r="AT397">
        <v>0.56100000000000005</v>
      </c>
      <c r="AU397">
        <v>0.82000000000000006</v>
      </c>
      <c r="AV397">
        <v>0</v>
      </c>
      <c r="AW397">
        <v>17.246000000000002</v>
      </c>
      <c r="AX397">
        <v>0</v>
      </c>
      <c r="AY397">
        <v>52.486000000000004</v>
      </c>
      <c r="AZ397">
        <v>0</v>
      </c>
      <c r="BA397">
        <v>2508091</v>
      </c>
      <c r="BB397">
        <v>1766100</v>
      </c>
      <c r="BC397">
        <v>0</v>
      </c>
      <c r="BD397">
        <v>22595</v>
      </c>
      <c r="BE397">
        <v>12540</v>
      </c>
      <c r="BF397">
        <v>35135</v>
      </c>
      <c r="BG397">
        <v>22595</v>
      </c>
      <c r="BH397">
        <v>0</v>
      </c>
      <c r="BI397">
        <v>0</v>
      </c>
      <c r="BJ397">
        <v>0</v>
      </c>
      <c r="BK397">
        <v>0</v>
      </c>
      <c r="BL397">
        <v>165125217</v>
      </c>
      <c r="BM397">
        <v>0</v>
      </c>
      <c r="BN397">
        <v>1125</v>
      </c>
      <c r="BO397">
        <v>246</v>
      </c>
      <c r="BP397">
        <v>0</v>
      </c>
      <c r="BQ397">
        <v>0</v>
      </c>
      <c r="BR397">
        <v>0.82200000000000006</v>
      </c>
      <c r="BS397">
        <v>0.82200000000000006</v>
      </c>
      <c r="BT397">
        <v>0</v>
      </c>
      <c r="BU397">
        <v>0</v>
      </c>
      <c r="BV397">
        <v>51</v>
      </c>
      <c r="BW397">
        <v>27</v>
      </c>
      <c r="BX397">
        <v>64</v>
      </c>
      <c r="BY397">
        <v>8</v>
      </c>
      <c r="BZ397">
        <v>19</v>
      </c>
      <c r="CA397">
        <v>169</v>
      </c>
      <c r="CB397">
        <v>0</v>
      </c>
      <c r="CC397">
        <v>0</v>
      </c>
      <c r="CD397">
        <v>0</v>
      </c>
      <c r="CE397">
        <v>36</v>
      </c>
      <c r="CF397">
        <v>47.994</v>
      </c>
      <c r="CG397">
        <v>0</v>
      </c>
      <c r="CH397">
        <v>0</v>
      </c>
      <c r="CI397">
        <v>2</v>
      </c>
      <c r="CJ397">
        <v>4</v>
      </c>
      <c r="CK397">
        <v>0</v>
      </c>
      <c r="CL397">
        <v>0</v>
      </c>
      <c r="CM397">
        <v>6.9060000000000006</v>
      </c>
      <c r="CN397">
        <v>0</v>
      </c>
      <c r="CO397">
        <v>0</v>
      </c>
      <c r="CP397">
        <v>0</v>
      </c>
      <c r="CQ397">
        <v>0</v>
      </c>
      <c r="CR397">
        <v>0</v>
      </c>
      <c r="CS397">
        <v>0</v>
      </c>
      <c r="CT397">
        <v>0</v>
      </c>
      <c r="CU397">
        <v>0</v>
      </c>
      <c r="CV397">
        <v>17.23</v>
      </c>
      <c r="CW397">
        <v>4.6349999999999998</v>
      </c>
      <c r="CX397">
        <v>0</v>
      </c>
      <c r="CY397" s="2043">
        <v>0</v>
      </c>
      <c r="CZ397" s="2043">
        <v>0</v>
      </c>
      <c r="DA397" s="2043">
        <v>0</v>
      </c>
      <c r="DB397" s="2043">
        <v>0</v>
      </c>
      <c r="DC397" s="2043">
        <v>0</v>
      </c>
      <c r="DI397" t="s">
        <v>5014</v>
      </c>
      <c r="DJ397" t="s">
        <v>5014</v>
      </c>
      <c r="DK397" s="2042">
        <f t="shared" si="8"/>
        <v>0</v>
      </c>
    </row>
    <row r="398" spans="1:115">
      <c r="A398" t="s">
        <v>2992</v>
      </c>
      <c r="B398" t="s">
        <v>1645</v>
      </c>
      <c r="C398">
        <v>674.71900000000005</v>
      </c>
      <c r="D398">
        <v>666.68200000000002</v>
      </c>
      <c r="E398">
        <v>83.599000000000004</v>
      </c>
      <c r="F398">
        <v>0</v>
      </c>
      <c r="G398" s="2043">
        <v>330855507</v>
      </c>
      <c r="H398">
        <v>0</v>
      </c>
      <c r="I398" s="2043">
        <v>474725</v>
      </c>
      <c r="J398">
        <v>33.736000000000004</v>
      </c>
      <c r="K398">
        <v>92</v>
      </c>
      <c r="L398">
        <v>0</v>
      </c>
      <c r="M398">
        <v>25828</v>
      </c>
      <c r="N398">
        <v>0</v>
      </c>
      <c r="O398">
        <v>25828</v>
      </c>
      <c r="P398">
        <v>0</v>
      </c>
      <c r="Q398">
        <v>0</v>
      </c>
      <c r="R398" s="2043">
        <v>2733092</v>
      </c>
      <c r="S398">
        <v>265994</v>
      </c>
      <c r="T398">
        <v>193844</v>
      </c>
      <c r="U398">
        <v>0.08</v>
      </c>
      <c r="V398">
        <v>0</v>
      </c>
      <c r="W398">
        <v>0</v>
      </c>
      <c r="X398">
        <v>0</v>
      </c>
      <c r="Y398">
        <v>0</v>
      </c>
      <c r="Z398">
        <v>0</v>
      </c>
      <c r="AA398">
        <v>0</v>
      </c>
      <c r="AB398">
        <v>666.68200000000002</v>
      </c>
      <c r="AC398" s="2043">
        <v>232548397</v>
      </c>
      <c r="AD398">
        <v>602364</v>
      </c>
      <c r="AE398" s="2043">
        <v>3192930</v>
      </c>
      <c r="AF398">
        <v>0.96030000000000004</v>
      </c>
      <c r="AG398">
        <v>0</v>
      </c>
      <c r="AH398">
        <v>0</v>
      </c>
      <c r="AI398">
        <v>0</v>
      </c>
      <c r="AJ398">
        <v>35.188000000000002</v>
      </c>
      <c r="AK398">
        <v>3338</v>
      </c>
      <c r="AL398">
        <v>0.16900000000000001</v>
      </c>
      <c r="AM398">
        <v>0</v>
      </c>
      <c r="AN398">
        <v>4.8079999999999998</v>
      </c>
      <c r="AO398">
        <v>0</v>
      </c>
      <c r="AP398">
        <v>6.9790000000000001</v>
      </c>
      <c r="AQ398">
        <v>0</v>
      </c>
      <c r="AR398">
        <v>24.297000000000001</v>
      </c>
      <c r="AS398">
        <v>0</v>
      </c>
      <c r="AT398">
        <v>0.11800000000000001</v>
      </c>
      <c r="AU398">
        <v>1.218</v>
      </c>
      <c r="AV398">
        <v>0</v>
      </c>
      <c r="AW398">
        <v>32.780999999999999</v>
      </c>
      <c r="AX398">
        <v>0</v>
      </c>
      <c r="AY398">
        <v>99.02300000000001</v>
      </c>
      <c r="AZ398">
        <v>0</v>
      </c>
      <c r="BA398">
        <v>5265991</v>
      </c>
      <c r="BB398">
        <v>3795294</v>
      </c>
      <c r="BC398">
        <v>0</v>
      </c>
      <c r="BD398">
        <v>36977</v>
      </c>
      <c r="BE398">
        <v>29796</v>
      </c>
      <c r="BF398">
        <v>66773</v>
      </c>
      <c r="BG398">
        <v>36977</v>
      </c>
      <c r="BH398">
        <v>0</v>
      </c>
      <c r="BI398">
        <v>0</v>
      </c>
      <c r="BJ398">
        <v>0</v>
      </c>
      <c r="BK398">
        <v>0</v>
      </c>
      <c r="BL398">
        <v>330855507</v>
      </c>
      <c r="BM398">
        <v>0</v>
      </c>
      <c r="BN398">
        <v>2475</v>
      </c>
      <c r="BO398">
        <v>1445</v>
      </c>
      <c r="BP398">
        <v>0</v>
      </c>
      <c r="BQ398">
        <v>0</v>
      </c>
      <c r="BR398">
        <v>0.82200000000000006</v>
      </c>
      <c r="BS398">
        <v>0.82200000000000006</v>
      </c>
      <c r="BT398">
        <v>0</v>
      </c>
      <c r="BU398">
        <v>0</v>
      </c>
      <c r="BV398">
        <v>109</v>
      </c>
      <c r="BW398">
        <v>1</v>
      </c>
      <c r="BX398">
        <v>33</v>
      </c>
      <c r="BY398">
        <v>2</v>
      </c>
      <c r="BZ398">
        <v>6</v>
      </c>
      <c r="CA398">
        <v>151</v>
      </c>
      <c r="CB398">
        <v>0</v>
      </c>
      <c r="CC398">
        <v>0</v>
      </c>
      <c r="CD398">
        <v>0</v>
      </c>
      <c r="CE398">
        <v>44</v>
      </c>
      <c r="CF398">
        <v>101.736</v>
      </c>
      <c r="CG398">
        <v>0</v>
      </c>
      <c r="CH398">
        <v>0</v>
      </c>
      <c r="CI398">
        <v>4</v>
      </c>
      <c r="CJ398">
        <v>2</v>
      </c>
      <c r="CK398">
        <v>0</v>
      </c>
      <c r="CL398">
        <v>0</v>
      </c>
      <c r="CM398">
        <v>83.599000000000004</v>
      </c>
      <c r="CN398">
        <v>0</v>
      </c>
      <c r="CO398">
        <v>0</v>
      </c>
      <c r="CP398">
        <v>0</v>
      </c>
      <c r="CQ398">
        <v>0</v>
      </c>
      <c r="CR398">
        <v>0</v>
      </c>
      <c r="CS398">
        <v>0</v>
      </c>
      <c r="CT398">
        <v>0</v>
      </c>
      <c r="CU398">
        <v>3.0340000000000003</v>
      </c>
      <c r="CV398">
        <v>44.266000000000005</v>
      </c>
      <c r="CW398">
        <v>18.781000000000002</v>
      </c>
      <c r="CX398">
        <v>0</v>
      </c>
      <c r="CY398" s="2043">
        <v>0</v>
      </c>
      <c r="CZ398" s="2043">
        <v>0</v>
      </c>
      <c r="DA398" s="2043">
        <v>0</v>
      </c>
      <c r="DB398" s="2043">
        <v>0</v>
      </c>
      <c r="DC398" s="2043">
        <v>0</v>
      </c>
      <c r="DI398" t="s">
        <v>2992</v>
      </c>
      <c r="DJ398" t="s">
        <v>2992</v>
      </c>
      <c r="DK398" s="2042">
        <f t="shared" si="8"/>
        <v>0</v>
      </c>
    </row>
    <row r="399" spans="1:115">
      <c r="A399" t="s">
        <v>2993</v>
      </c>
      <c r="B399" t="s">
        <v>1162</v>
      </c>
      <c r="C399">
        <v>465.77500000000003</v>
      </c>
      <c r="D399">
        <v>486.74800000000005</v>
      </c>
      <c r="E399">
        <v>18.608000000000001</v>
      </c>
      <c r="F399">
        <v>0</v>
      </c>
      <c r="G399" s="2043">
        <v>169336432</v>
      </c>
      <c r="H399">
        <v>0</v>
      </c>
      <c r="I399" s="2043">
        <v>237345</v>
      </c>
      <c r="J399">
        <v>23.289000000000001</v>
      </c>
      <c r="K399">
        <v>64</v>
      </c>
      <c r="L399">
        <v>0</v>
      </c>
      <c r="M399">
        <v>114528</v>
      </c>
      <c r="N399">
        <v>0</v>
      </c>
      <c r="O399">
        <v>114528</v>
      </c>
      <c r="P399">
        <v>0</v>
      </c>
      <c r="Q399">
        <v>0</v>
      </c>
      <c r="R399" s="2043">
        <v>1389476</v>
      </c>
      <c r="S399">
        <v>135229</v>
      </c>
      <c r="T399">
        <v>98548</v>
      </c>
      <c r="U399">
        <v>0.08</v>
      </c>
      <c r="V399">
        <v>0</v>
      </c>
      <c r="W399">
        <v>0</v>
      </c>
      <c r="X399">
        <v>0</v>
      </c>
      <c r="Y399">
        <v>0</v>
      </c>
      <c r="Z399">
        <v>0</v>
      </c>
      <c r="AA399">
        <v>0</v>
      </c>
      <c r="AB399">
        <v>467.68</v>
      </c>
      <c r="AC399" s="2043">
        <v>123503539</v>
      </c>
      <c r="AD399">
        <v>263839</v>
      </c>
      <c r="AE399" s="2043">
        <v>1623253</v>
      </c>
      <c r="AF399">
        <v>0.96030000000000004</v>
      </c>
      <c r="AG399">
        <v>0</v>
      </c>
      <c r="AH399">
        <v>0</v>
      </c>
      <c r="AI399">
        <v>0</v>
      </c>
      <c r="AJ399">
        <v>48.45</v>
      </c>
      <c r="AK399">
        <v>2726</v>
      </c>
      <c r="AL399">
        <v>0</v>
      </c>
      <c r="AM399">
        <v>0</v>
      </c>
      <c r="AN399">
        <v>2.74</v>
      </c>
      <c r="AO399">
        <v>0</v>
      </c>
      <c r="AP399">
        <v>6.1120000000000001</v>
      </c>
      <c r="AQ399">
        <v>0</v>
      </c>
      <c r="AR399">
        <v>18.481999999999999</v>
      </c>
      <c r="AS399">
        <v>0</v>
      </c>
      <c r="AT399">
        <v>0</v>
      </c>
      <c r="AU399">
        <v>1.119</v>
      </c>
      <c r="AV399">
        <v>0</v>
      </c>
      <c r="AW399">
        <v>25.713000000000001</v>
      </c>
      <c r="AX399">
        <v>0</v>
      </c>
      <c r="AY399">
        <v>77.543000000000006</v>
      </c>
      <c r="AZ399">
        <v>0</v>
      </c>
      <c r="BA399">
        <v>4787500</v>
      </c>
      <c r="BB399">
        <v>1887092</v>
      </c>
      <c r="BC399">
        <v>0</v>
      </c>
      <c r="BD399">
        <v>63858</v>
      </c>
      <c r="BE399">
        <v>14313</v>
      </c>
      <c r="BF399">
        <v>78171</v>
      </c>
      <c r="BG399">
        <v>63858</v>
      </c>
      <c r="BH399">
        <v>0</v>
      </c>
      <c r="BI399">
        <v>0</v>
      </c>
      <c r="BJ399">
        <v>0</v>
      </c>
      <c r="BK399">
        <v>0</v>
      </c>
      <c r="BL399">
        <v>169336432</v>
      </c>
      <c r="BM399">
        <v>0</v>
      </c>
      <c r="BN399">
        <v>2034</v>
      </c>
      <c r="BO399">
        <v>1584</v>
      </c>
      <c r="BP399">
        <v>0</v>
      </c>
      <c r="BQ399">
        <v>0</v>
      </c>
      <c r="BR399">
        <v>0.82200000000000006</v>
      </c>
      <c r="BS399">
        <v>0.82200000000000006</v>
      </c>
      <c r="BT399">
        <v>0</v>
      </c>
      <c r="BU399">
        <v>0</v>
      </c>
      <c r="BV399">
        <v>178</v>
      </c>
      <c r="BW399">
        <v>31</v>
      </c>
      <c r="BX399">
        <v>2</v>
      </c>
      <c r="BY399">
        <v>1</v>
      </c>
      <c r="BZ399">
        <v>1</v>
      </c>
      <c r="CA399">
        <v>213</v>
      </c>
      <c r="CB399">
        <v>0</v>
      </c>
      <c r="CC399">
        <v>0</v>
      </c>
      <c r="CD399">
        <v>0</v>
      </c>
      <c r="CE399">
        <v>47</v>
      </c>
      <c r="CF399">
        <v>59.688000000000002</v>
      </c>
      <c r="CG399">
        <v>0</v>
      </c>
      <c r="CH399">
        <v>0</v>
      </c>
      <c r="CI399">
        <v>0</v>
      </c>
      <c r="CJ399">
        <v>0</v>
      </c>
      <c r="CK399">
        <v>0</v>
      </c>
      <c r="CL399">
        <v>0</v>
      </c>
      <c r="CM399">
        <v>18.608000000000001</v>
      </c>
      <c r="CN399">
        <v>0</v>
      </c>
      <c r="CO399">
        <v>0</v>
      </c>
      <c r="CP399">
        <v>0</v>
      </c>
      <c r="CQ399">
        <v>0</v>
      </c>
      <c r="CR399">
        <v>0</v>
      </c>
      <c r="CS399">
        <v>0</v>
      </c>
      <c r="CT399">
        <v>0</v>
      </c>
      <c r="CU399">
        <v>2.8920000000000003</v>
      </c>
      <c r="CV399">
        <v>45.926000000000002</v>
      </c>
      <c r="CW399">
        <v>20.355</v>
      </c>
      <c r="CX399">
        <v>0</v>
      </c>
      <c r="CY399" s="2043">
        <v>0</v>
      </c>
      <c r="CZ399" s="2043">
        <v>0</v>
      </c>
      <c r="DA399" s="2043">
        <v>0</v>
      </c>
      <c r="DB399" s="2043">
        <v>0</v>
      </c>
      <c r="DC399" s="2043">
        <v>0</v>
      </c>
      <c r="DI399" t="s">
        <v>2993</v>
      </c>
      <c r="DJ399" t="s">
        <v>2993</v>
      </c>
      <c r="DK399" s="2042">
        <f t="shared" si="8"/>
        <v>0</v>
      </c>
    </row>
    <row r="400" spans="1:115">
      <c r="A400" t="s">
        <v>5015</v>
      </c>
      <c r="B400" t="s">
        <v>2428</v>
      </c>
      <c r="C400">
        <v>576.41800000000001</v>
      </c>
      <c r="D400">
        <v>591.26</v>
      </c>
      <c r="E400">
        <v>50.637</v>
      </c>
      <c r="F400">
        <v>0</v>
      </c>
      <c r="G400" s="2043">
        <v>442296204</v>
      </c>
      <c r="H400">
        <v>0</v>
      </c>
      <c r="I400" s="2043">
        <v>842840</v>
      </c>
      <c r="J400">
        <v>28.821000000000002</v>
      </c>
      <c r="K400">
        <v>79</v>
      </c>
      <c r="L400">
        <v>0</v>
      </c>
      <c r="M400">
        <v>0</v>
      </c>
      <c r="N400">
        <v>0</v>
      </c>
      <c r="O400">
        <v>0</v>
      </c>
      <c r="P400">
        <v>0</v>
      </c>
      <c r="Q400">
        <v>0</v>
      </c>
      <c r="R400" s="2043">
        <v>3995322</v>
      </c>
      <c r="S400">
        <v>349930</v>
      </c>
      <c r="T400">
        <v>255011</v>
      </c>
      <c r="U400">
        <v>0.08</v>
      </c>
      <c r="V400">
        <v>0</v>
      </c>
      <c r="W400">
        <v>0</v>
      </c>
      <c r="X400">
        <v>0</v>
      </c>
      <c r="Y400">
        <v>0</v>
      </c>
      <c r="Z400">
        <v>0</v>
      </c>
      <c r="AA400">
        <v>0.16900000000000001</v>
      </c>
      <c r="AB400">
        <v>546.56500000000005</v>
      </c>
      <c r="AC400" s="2043">
        <v>461166188</v>
      </c>
      <c r="AD400">
        <v>840761</v>
      </c>
      <c r="AE400" s="2043">
        <v>4600263</v>
      </c>
      <c r="AF400">
        <v>1.0517000000000001</v>
      </c>
      <c r="AG400">
        <v>0</v>
      </c>
      <c r="AH400">
        <v>0</v>
      </c>
      <c r="AI400">
        <v>0</v>
      </c>
      <c r="AJ400">
        <v>77.725000000000009</v>
      </c>
      <c r="AK400">
        <v>3788</v>
      </c>
      <c r="AL400">
        <v>0</v>
      </c>
      <c r="AM400">
        <v>0</v>
      </c>
      <c r="AN400">
        <v>16.95</v>
      </c>
      <c r="AO400">
        <v>0</v>
      </c>
      <c r="AP400">
        <v>1.645</v>
      </c>
      <c r="AQ400">
        <v>10.068</v>
      </c>
      <c r="AR400">
        <v>13.767000000000001</v>
      </c>
      <c r="AS400">
        <v>0</v>
      </c>
      <c r="AT400">
        <v>1.264</v>
      </c>
      <c r="AU400">
        <v>1.306</v>
      </c>
      <c r="AV400">
        <v>0</v>
      </c>
      <c r="AW400">
        <v>28.05</v>
      </c>
      <c r="AX400">
        <v>0</v>
      </c>
      <c r="AY400">
        <v>56.065000000000005</v>
      </c>
      <c r="AZ400">
        <v>0</v>
      </c>
      <c r="BA400">
        <v>3372241</v>
      </c>
      <c r="BB400">
        <v>5441024</v>
      </c>
      <c r="BC400">
        <v>0</v>
      </c>
      <c r="BD400">
        <v>67889</v>
      </c>
      <c r="BE400">
        <v>21383</v>
      </c>
      <c r="BF400">
        <v>89272</v>
      </c>
      <c r="BG400">
        <v>67889</v>
      </c>
      <c r="BH400">
        <v>0</v>
      </c>
      <c r="BI400">
        <v>0</v>
      </c>
      <c r="BJ400">
        <v>0</v>
      </c>
      <c r="BK400">
        <v>0</v>
      </c>
      <c r="BL400">
        <v>442296204</v>
      </c>
      <c r="BM400">
        <v>0</v>
      </c>
      <c r="BN400">
        <v>2466</v>
      </c>
      <c r="BO400">
        <v>1445</v>
      </c>
      <c r="BP400">
        <v>0</v>
      </c>
      <c r="BQ400">
        <v>0</v>
      </c>
      <c r="BR400">
        <v>0.91339999999999999</v>
      </c>
      <c r="BS400">
        <v>0.91339999999999999</v>
      </c>
      <c r="BT400">
        <v>0</v>
      </c>
      <c r="BU400">
        <v>0</v>
      </c>
      <c r="BV400">
        <v>17</v>
      </c>
      <c r="BW400">
        <v>286</v>
      </c>
      <c r="BX400">
        <v>14</v>
      </c>
      <c r="BY400">
        <v>0</v>
      </c>
      <c r="BZ400">
        <v>9</v>
      </c>
      <c r="CA400">
        <v>326</v>
      </c>
      <c r="CB400">
        <v>0</v>
      </c>
      <c r="CC400">
        <v>0</v>
      </c>
      <c r="CD400">
        <v>0</v>
      </c>
      <c r="CE400">
        <v>16</v>
      </c>
      <c r="CF400">
        <v>96.036000000000001</v>
      </c>
      <c r="CG400">
        <v>0</v>
      </c>
      <c r="CH400">
        <v>12.108000000000001</v>
      </c>
      <c r="CI400">
        <v>2</v>
      </c>
      <c r="CJ400">
        <v>6</v>
      </c>
      <c r="CK400">
        <v>0</v>
      </c>
      <c r="CL400">
        <v>12.108000000000001</v>
      </c>
      <c r="CM400">
        <v>50.637</v>
      </c>
      <c r="CN400">
        <v>0</v>
      </c>
      <c r="CO400">
        <v>0</v>
      </c>
      <c r="CP400">
        <v>0</v>
      </c>
      <c r="CQ400">
        <v>0</v>
      </c>
      <c r="CR400">
        <v>0</v>
      </c>
      <c r="CS400">
        <v>0</v>
      </c>
      <c r="CT400">
        <v>0</v>
      </c>
      <c r="CU400">
        <v>0</v>
      </c>
      <c r="CV400">
        <v>35.619999999999997</v>
      </c>
      <c r="CW400">
        <v>22.269000000000002</v>
      </c>
      <c r="CX400">
        <v>0</v>
      </c>
      <c r="CY400" s="2043">
        <v>0</v>
      </c>
      <c r="CZ400" s="2043">
        <v>0</v>
      </c>
      <c r="DA400" s="2043">
        <v>0</v>
      </c>
      <c r="DB400" s="2043">
        <v>0</v>
      </c>
      <c r="DC400" s="2043">
        <v>0</v>
      </c>
      <c r="DI400" t="s">
        <v>5015</v>
      </c>
      <c r="DJ400" t="s">
        <v>5015</v>
      </c>
      <c r="DK400" s="2042">
        <f t="shared" si="8"/>
        <v>0</v>
      </c>
    </row>
    <row r="401" spans="1:115">
      <c r="A401" t="s">
        <v>5798</v>
      </c>
      <c r="B401" t="s">
        <v>1601</v>
      </c>
      <c r="C401">
        <v>1756.751</v>
      </c>
      <c r="D401">
        <v>1817.1850000000002</v>
      </c>
      <c r="E401">
        <v>283.66700000000003</v>
      </c>
      <c r="F401">
        <v>0</v>
      </c>
      <c r="G401" s="2043">
        <v>1333278898</v>
      </c>
      <c r="H401">
        <v>0</v>
      </c>
      <c r="I401" s="2043">
        <v>2272400</v>
      </c>
      <c r="J401">
        <v>87.838000000000008</v>
      </c>
      <c r="K401">
        <v>240</v>
      </c>
      <c r="L401">
        <v>0</v>
      </c>
      <c r="M401">
        <v>0</v>
      </c>
      <c r="N401">
        <v>0</v>
      </c>
      <c r="O401">
        <v>0</v>
      </c>
      <c r="P401">
        <v>0</v>
      </c>
      <c r="Q401">
        <v>0</v>
      </c>
      <c r="R401" s="2043">
        <v>12146938</v>
      </c>
      <c r="S401">
        <v>531944</v>
      </c>
      <c r="T401">
        <v>0</v>
      </c>
      <c r="U401">
        <v>0.04</v>
      </c>
      <c r="V401">
        <v>505.56900000000002</v>
      </c>
      <c r="W401">
        <v>0</v>
      </c>
      <c r="X401">
        <v>0</v>
      </c>
      <c r="Y401">
        <v>0</v>
      </c>
      <c r="Z401">
        <v>0.96600000000000008</v>
      </c>
      <c r="AA401">
        <v>0</v>
      </c>
      <c r="AB401">
        <v>1736.8580000000002</v>
      </c>
      <c r="AC401" s="2043">
        <v>1217528312</v>
      </c>
      <c r="AD401">
        <v>2573118</v>
      </c>
      <c r="AE401" s="2043">
        <v>12678882</v>
      </c>
      <c r="AF401">
        <v>0.95340000000000003</v>
      </c>
      <c r="AG401">
        <v>0</v>
      </c>
      <c r="AH401">
        <v>0</v>
      </c>
      <c r="AI401">
        <v>0</v>
      </c>
      <c r="AJ401">
        <v>231.45000000000002</v>
      </c>
      <c r="AK401">
        <v>7593</v>
      </c>
      <c r="AL401">
        <v>0</v>
      </c>
      <c r="AM401">
        <v>0</v>
      </c>
      <c r="AN401">
        <v>78.671999999999997</v>
      </c>
      <c r="AO401">
        <v>0</v>
      </c>
      <c r="AP401">
        <v>0.879</v>
      </c>
      <c r="AQ401">
        <v>0</v>
      </c>
      <c r="AR401">
        <v>49.608000000000004</v>
      </c>
      <c r="AS401">
        <v>0</v>
      </c>
      <c r="AT401">
        <v>16.515000000000001</v>
      </c>
      <c r="AU401">
        <v>3.5270000000000001</v>
      </c>
      <c r="AV401">
        <v>0</v>
      </c>
      <c r="AW401">
        <v>70.528999999999996</v>
      </c>
      <c r="AX401">
        <v>0</v>
      </c>
      <c r="AY401">
        <v>218.37700000000001</v>
      </c>
      <c r="AZ401">
        <v>0</v>
      </c>
      <c r="BA401">
        <v>4546491</v>
      </c>
      <c r="BB401">
        <v>15252000</v>
      </c>
      <c r="BC401">
        <v>0</v>
      </c>
      <c r="BD401">
        <v>121688</v>
      </c>
      <c r="BE401">
        <v>72198</v>
      </c>
      <c r="BF401">
        <v>208327</v>
      </c>
      <c r="BG401">
        <v>121688</v>
      </c>
      <c r="BH401">
        <v>14441</v>
      </c>
      <c r="BI401">
        <v>0</v>
      </c>
      <c r="BJ401">
        <v>0</v>
      </c>
      <c r="BK401">
        <v>0</v>
      </c>
      <c r="BL401">
        <v>1333278898</v>
      </c>
      <c r="BM401">
        <v>0</v>
      </c>
      <c r="BN401">
        <v>6948</v>
      </c>
      <c r="BO401">
        <v>1584</v>
      </c>
      <c r="BP401">
        <v>0</v>
      </c>
      <c r="BQ401">
        <v>0</v>
      </c>
      <c r="BR401">
        <v>0.91339999999999999</v>
      </c>
      <c r="BS401">
        <v>0.91339999999999999</v>
      </c>
      <c r="BT401">
        <v>0</v>
      </c>
      <c r="BU401">
        <v>0</v>
      </c>
      <c r="BV401">
        <v>554</v>
      </c>
      <c r="BW401">
        <v>372</v>
      </c>
      <c r="BX401">
        <v>6</v>
      </c>
      <c r="BY401">
        <v>52</v>
      </c>
      <c r="BZ401">
        <v>12</v>
      </c>
      <c r="CA401">
        <v>996</v>
      </c>
      <c r="CB401">
        <v>0</v>
      </c>
      <c r="CC401">
        <v>0</v>
      </c>
      <c r="CD401">
        <v>0</v>
      </c>
      <c r="CE401">
        <v>106</v>
      </c>
      <c r="CF401">
        <v>336.15899999999999</v>
      </c>
      <c r="CG401">
        <v>0</v>
      </c>
      <c r="CH401">
        <v>0</v>
      </c>
      <c r="CI401">
        <v>9</v>
      </c>
      <c r="CJ401">
        <v>24</v>
      </c>
      <c r="CK401">
        <v>0</v>
      </c>
      <c r="CL401">
        <v>0</v>
      </c>
      <c r="CM401">
        <v>283.66700000000003</v>
      </c>
      <c r="CN401">
        <v>0</v>
      </c>
      <c r="CO401">
        <v>0</v>
      </c>
      <c r="CP401">
        <v>0</v>
      </c>
      <c r="CQ401">
        <v>0</v>
      </c>
      <c r="CR401">
        <v>0</v>
      </c>
      <c r="CS401">
        <v>0</v>
      </c>
      <c r="CT401">
        <v>0</v>
      </c>
      <c r="CU401">
        <v>7.1370000000000005</v>
      </c>
      <c r="CV401">
        <v>70.594999999999999</v>
      </c>
      <c r="CW401">
        <v>30.596</v>
      </c>
      <c r="CX401">
        <v>0</v>
      </c>
      <c r="CY401" s="2043">
        <v>0</v>
      </c>
      <c r="CZ401" s="2043">
        <v>0</v>
      </c>
      <c r="DA401" s="2043">
        <v>0</v>
      </c>
      <c r="DB401" s="2043">
        <v>0</v>
      </c>
      <c r="DC401" s="2043">
        <v>0</v>
      </c>
      <c r="DI401" t="s">
        <v>5798</v>
      </c>
      <c r="DJ401" t="s">
        <v>5798</v>
      </c>
      <c r="DK401" s="2042">
        <f t="shared" si="8"/>
        <v>0</v>
      </c>
    </row>
    <row r="402" spans="1:115">
      <c r="A402" t="s">
        <v>5016</v>
      </c>
      <c r="B402" t="s">
        <v>1602</v>
      </c>
      <c r="C402">
        <v>640.53</v>
      </c>
      <c r="D402">
        <v>651.08400000000006</v>
      </c>
      <c r="E402">
        <v>81.81</v>
      </c>
      <c r="F402">
        <v>0</v>
      </c>
      <c r="G402" s="2043">
        <v>528567563</v>
      </c>
      <c r="H402">
        <v>0</v>
      </c>
      <c r="I402" s="2043">
        <v>885175</v>
      </c>
      <c r="J402">
        <v>32.027000000000001</v>
      </c>
      <c r="K402">
        <v>88</v>
      </c>
      <c r="L402">
        <v>0</v>
      </c>
      <c r="M402">
        <v>0</v>
      </c>
      <c r="N402">
        <v>0</v>
      </c>
      <c r="O402">
        <v>0</v>
      </c>
      <c r="P402">
        <v>0</v>
      </c>
      <c r="Q402">
        <v>0</v>
      </c>
      <c r="R402" s="2043">
        <v>4828223</v>
      </c>
      <c r="S402">
        <v>211440</v>
      </c>
      <c r="T402">
        <v>0</v>
      </c>
      <c r="U402">
        <v>0.04</v>
      </c>
      <c r="V402">
        <v>0</v>
      </c>
      <c r="W402">
        <v>0</v>
      </c>
      <c r="X402">
        <v>0</v>
      </c>
      <c r="Y402">
        <v>0</v>
      </c>
      <c r="Z402">
        <v>0</v>
      </c>
      <c r="AA402">
        <v>9.6000000000000002E-2</v>
      </c>
      <c r="AB402">
        <v>651.08400000000006</v>
      </c>
      <c r="AC402" s="2043">
        <v>509337889</v>
      </c>
      <c r="AD402">
        <v>975443</v>
      </c>
      <c r="AE402" s="2043">
        <v>5039663</v>
      </c>
      <c r="AF402">
        <v>0.95340000000000003</v>
      </c>
      <c r="AG402">
        <v>0</v>
      </c>
      <c r="AH402">
        <v>0</v>
      </c>
      <c r="AI402">
        <v>0</v>
      </c>
      <c r="AJ402">
        <v>104.2</v>
      </c>
      <c r="AK402">
        <v>4279</v>
      </c>
      <c r="AL402">
        <v>0</v>
      </c>
      <c r="AM402">
        <v>0</v>
      </c>
      <c r="AN402">
        <v>9.0259999999999998</v>
      </c>
      <c r="AO402">
        <v>0</v>
      </c>
      <c r="AP402">
        <v>0.29899999999999999</v>
      </c>
      <c r="AQ402">
        <v>0</v>
      </c>
      <c r="AR402">
        <v>32.143999999999998</v>
      </c>
      <c r="AS402">
        <v>0</v>
      </c>
      <c r="AT402">
        <v>5.7730000000000006</v>
      </c>
      <c r="AU402">
        <v>1.61</v>
      </c>
      <c r="AV402">
        <v>0</v>
      </c>
      <c r="AW402">
        <v>39.826000000000001</v>
      </c>
      <c r="AX402">
        <v>0</v>
      </c>
      <c r="AY402">
        <v>122.608</v>
      </c>
      <c r="AZ402">
        <v>0</v>
      </c>
      <c r="BA402">
        <v>2974443</v>
      </c>
      <c r="BB402">
        <v>6015106</v>
      </c>
      <c r="BC402">
        <v>0</v>
      </c>
      <c r="BD402">
        <v>30279</v>
      </c>
      <c r="BE402">
        <v>16914</v>
      </c>
      <c r="BF402">
        <v>73476</v>
      </c>
      <c r="BG402">
        <v>30279</v>
      </c>
      <c r="BH402">
        <v>26283</v>
      </c>
      <c r="BI402">
        <v>0</v>
      </c>
      <c r="BJ402">
        <v>0</v>
      </c>
      <c r="BK402">
        <v>0</v>
      </c>
      <c r="BL402">
        <v>528567563</v>
      </c>
      <c r="BM402">
        <v>0</v>
      </c>
      <c r="BN402">
        <v>2736</v>
      </c>
      <c r="BO402">
        <v>2226</v>
      </c>
      <c r="BP402">
        <v>0</v>
      </c>
      <c r="BQ402">
        <v>0</v>
      </c>
      <c r="BR402">
        <v>0.91339999999999999</v>
      </c>
      <c r="BS402">
        <v>0.91339999999999999</v>
      </c>
      <c r="BT402">
        <v>0</v>
      </c>
      <c r="BU402">
        <v>0</v>
      </c>
      <c r="BV402">
        <v>25</v>
      </c>
      <c r="BW402">
        <v>139</v>
      </c>
      <c r="BX402">
        <v>259</v>
      </c>
      <c r="BY402">
        <v>1</v>
      </c>
      <c r="BZ402">
        <v>2</v>
      </c>
      <c r="CA402">
        <v>426</v>
      </c>
      <c r="CB402">
        <v>0</v>
      </c>
      <c r="CC402">
        <v>0</v>
      </c>
      <c r="CD402">
        <v>0</v>
      </c>
      <c r="CE402">
        <v>42</v>
      </c>
      <c r="CF402">
        <v>133.49</v>
      </c>
      <c r="CG402">
        <v>0</v>
      </c>
      <c r="CH402">
        <v>0</v>
      </c>
      <c r="CI402">
        <v>4</v>
      </c>
      <c r="CJ402">
        <v>10</v>
      </c>
      <c r="CK402">
        <v>0</v>
      </c>
      <c r="CL402">
        <v>0</v>
      </c>
      <c r="CM402">
        <v>81.81</v>
      </c>
      <c r="CN402">
        <v>0</v>
      </c>
      <c r="CO402">
        <v>0</v>
      </c>
      <c r="CP402">
        <v>0</v>
      </c>
      <c r="CQ402">
        <v>0</v>
      </c>
      <c r="CR402">
        <v>0</v>
      </c>
      <c r="CS402">
        <v>0</v>
      </c>
      <c r="CT402">
        <v>0</v>
      </c>
      <c r="CU402">
        <v>0</v>
      </c>
      <c r="CV402">
        <v>34.294000000000004</v>
      </c>
      <c r="CW402">
        <v>18.295000000000002</v>
      </c>
      <c r="CX402">
        <v>0</v>
      </c>
      <c r="CY402" s="2043">
        <v>0</v>
      </c>
      <c r="CZ402" s="2043">
        <v>0</v>
      </c>
      <c r="DA402" s="2043">
        <v>0</v>
      </c>
      <c r="DB402" s="2043">
        <v>0</v>
      </c>
      <c r="DC402" s="2043">
        <v>0</v>
      </c>
      <c r="DI402" t="s">
        <v>5016</v>
      </c>
      <c r="DJ402" t="s">
        <v>5016</v>
      </c>
      <c r="DK402" s="2042">
        <f t="shared" si="8"/>
        <v>0</v>
      </c>
    </row>
    <row r="403" spans="1:115">
      <c r="A403" t="s">
        <v>5017</v>
      </c>
      <c r="B403" t="s">
        <v>63</v>
      </c>
      <c r="C403">
        <v>223.57300000000001</v>
      </c>
      <c r="D403">
        <v>249.863</v>
      </c>
      <c r="E403">
        <v>21.776</v>
      </c>
      <c r="F403">
        <v>0</v>
      </c>
      <c r="G403" s="2043">
        <v>490672999</v>
      </c>
      <c r="H403">
        <v>0</v>
      </c>
      <c r="I403" s="2043">
        <v>244200</v>
      </c>
      <c r="J403">
        <v>8</v>
      </c>
      <c r="K403">
        <v>22</v>
      </c>
      <c r="L403">
        <v>0</v>
      </c>
      <c r="M403">
        <v>0</v>
      </c>
      <c r="N403">
        <v>0</v>
      </c>
      <c r="O403">
        <v>0</v>
      </c>
      <c r="P403">
        <v>0</v>
      </c>
      <c r="Q403">
        <v>0</v>
      </c>
      <c r="R403" s="2043">
        <v>3899707</v>
      </c>
      <c r="S403">
        <v>284650</v>
      </c>
      <c r="T403">
        <v>0</v>
      </c>
      <c r="U403">
        <v>0.06</v>
      </c>
      <c r="V403">
        <v>0</v>
      </c>
      <c r="W403">
        <v>1355945</v>
      </c>
      <c r="X403">
        <v>0</v>
      </c>
      <c r="Y403">
        <v>0</v>
      </c>
      <c r="Z403">
        <v>0</v>
      </c>
      <c r="AA403">
        <v>0</v>
      </c>
      <c r="AB403">
        <v>240.53300000000002</v>
      </c>
      <c r="AC403" s="2043">
        <v>398748737</v>
      </c>
      <c r="AD403">
        <v>266024</v>
      </c>
      <c r="AE403" s="2043">
        <v>4184357</v>
      </c>
      <c r="AF403">
        <v>0.88200000000000001</v>
      </c>
      <c r="AG403">
        <v>0</v>
      </c>
      <c r="AH403">
        <v>1355945</v>
      </c>
      <c r="AI403">
        <v>0</v>
      </c>
      <c r="AJ403">
        <v>18.824999999999999</v>
      </c>
      <c r="AK403">
        <v>986</v>
      </c>
      <c r="AL403">
        <v>0</v>
      </c>
      <c r="AM403">
        <v>0</v>
      </c>
      <c r="AN403">
        <v>7.9220000000000006</v>
      </c>
      <c r="AO403">
        <v>0</v>
      </c>
      <c r="AP403">
        <v>0</v>
      </c>
      <c r="AQ403">
        <v>0</v>
      </c>
      <c r="AR403">
        <v>5.5979999999999999</v>
      </c>
      <c r="AS403">
        <v>0</v>
      </c>
      <c r="AT403">
        <v>0.33400000000000002</v>
      </c>
      <c r="AU403">
        <v>0.20100000000000001</v>
      </c>
      <c r="AV403">
        <v>0</v>
      </c>
      <c r="AW403">
        <v>6.133</v>
      </c>
      <c r="AX403">
        <v>0</v>
      </c>
      <c r="AY403">
        <v>18.801000000000002</v>
      </c>
      <c r="AZ403">
        <v>0</v>
      </c>
      <c r="BA403">
        <v>127653</v>
      </c>
      <c r="BB403">
        <v>4450381</v>
      </c>
      <c r="BC403">
        <v>0</v>
      </c>
      <c r="BD403">
        <v>43176</v>
      </c>
      <c r="BE403">
        <v>0</v>
      </c>
      <c r="BF403">
        <v>43176</v>
      </c>
      <c r="BG403">
        <v>43176</v>
      </c>
      <c r="BH403">
        <v>0</v>
      </c>
      <c r="BI403">
        <v>0</v>
      </c>
      <c r="BJ403">
        <v>0</v>
      </c>
      <c r="BK403">
        <v>0</v>
      </c>
      <c r="BL403">
        <v>490672999</v>
      </c>
      <c r="BM403">
        <v>0</v>
      </c>
      <c r="BN403">
        <v>612</v>
      </c>
      <c r="BO403">
        <v>353</v>
      </c>
      <c r="BP403">
        <v>0</v>
      </c>
      <c r="BQ403">
        <v>0</v>
      </c>
      <c r="BR403">
        <v>0.82200000000000006</v>
      </c>
      <c r="BS403">
        <v>0.82200000000000006</v>
      </c>
      <c r="BT403">
        <v>0</v>
      </c>
      <c r="BU403">
        <v>0</v>
      </c>
      <c r="BV403">
        <v>75</v>
      </c>
      <c r="BW403">
        <v>5</v>
      </c>
      <c r="BX403">
        <v>2</v>
      </c>
      <c r="BY403">
        <v>1</v>
      </c>
      <c r="BZ403">
        <v>0</v>
      </c>
      <c r="CA403">
        <v>83</v>
      </c>
      <c r="CB403">
        <v>0</v>
      </c>
      <c r="CC403">
        <v>0</v>
      </c>
      <c r="CD403">
        <v>0</v>
      </c>
      <c r="CE403">
        <v>12</v>
      </c>
      <c r="CF403">
        <v>33.352000000000004</v>
      </c>
      <c r="CG403">
        <v>0</v>
      </c>
      <c r="CH403">
        <v>0</v>
      </c>
      <c r="CI403">
        <v>1</v>
      </c>
      <c r="CJ403">
        <v>4</v>
      </c>
      <c r="CK403">
        <v>0</v>
      </c>
      <c r="CL403">
        <v>0</v>
      </c>
      <c r="CM403">
        <v>21.776</v>
      </c>
      <c r="CN403">
        <v>0</v>
      </c>
      <c r="CO403">
        <v>0</v>
      </c>
      <c r="CP403">
        <v>0</v>
      </c>
      <c r="CQ403">
        <v>0</v>
      </c>
      <c r="CR403">
        <v>0</v>
      </c>
      <c r="CS403">
        <v>0</v>
      </c>
      <c r="CT403">
        <v>0</v>
      </c>
      <c r="CU403">
        <v>0.28700000000000003</v>
      </c>
      <c r="CV403">
        <v>8.6989999999999998</v>
      </c>
      <c r="CW403">
        <v>6.9190000000000005</v>
      </c>
      <c r="CX403">
        <v>0</v>
      </c>
      <c r="CY403" s="2043">
        <v>0</v>
      </c>
      <c r="CZ403" s="2043">
        <v>0</v>
      </c>
      <c r="DA403" s="2043">
        <v>0</v>
      </c>
      <c r="DB403" s="2043">
        <v>0</v>
      </c>
      <c r="DC403" s="2043">
        <v>82814</v>
      </c>
      <c r="DI403" t="s">
        <v>5799</v>
      </c>
      <c r="DJ403" t="s">
        <v>5017</v>
      </c>
      <c r="DK403" s="2042">
        <f t="shared" si="8"/>
        <v>-2</v>
      </c>
    </row>
    <row r="404" spans="1:115">
      <c r="A404" t="s">
        <v>5799</v>
      </c>
      <c r="B404" t="s">
        <v>873</v>
      </c>
      <c r="C404">
        <v>257.76400000000001</v>
      </c>
      <c r="D404">
        <v>249.48500000000001</v>
      </c>
      <c r="E404">
        <v>16.303000000000001</v>
      </c>
      <c r="F404">
        <v>0</v>
      </c>
      <c r="G404" s="2043">
        <v>276123428</v>
      </c>
      <c r="H404">
        <v>0</v>
      </c>
      <c r="I404" s="2043">
        <v>488235</v>
      </c>
      <c r="J404">
        <v>12.888</v>
      </c>
      <c r="K404">
        <v>35</v>
      </c>
      <c r="L404">
        <v>0</v>
      </c>
      <c r="M404">
        <v>0</v>
      </c>
      <c r="N404">
        <v>0</v>
      </c>
      <c r="O404">
        <v>0</v>
      </c>
      <c r="P404">
        <v>0</v>
      </c>
      <c r="Q404">
        <v>0</v>
      </c>
      <c r="R404" s="2043">
        <v>2387612</v>
      </c>
      <c r="S404">
        <v>138108</v>
      </c>
      <c r="T404">
        <v>0</v>
      </c>
      <c r="U404">
        <v>0.05</v>
      </c>
      <c r="V404">
        <v>0</v>
      </c>
      <c r="W404">
        <v>0</v>
      </c>
      <c r="X404">
        <v>0</v>
      </c>
      <c r="Y404">
        <v>0</v>
      </c>
      <c r="Z404">
        <v>0</v>
      </c>
      <c r="AA404">
        <v>0</v>
      </c>
      <c r="AB404">
        <v>249.48500000000001</v>
      </c>
      <c r="AC404" s="2043">
        <v>224168653</v>
      </c>
      <c r="AD404">
        <v>800644</v>
      </c>
      <c r="AE404" s="2043">
        <v>2525720</v>
      </c>
      <c r="AF404">
        <v>0.91439999999999999</v>
      </c>
      <c r="AG404">
        <v>0</v>
      </c>
      <c r="AH404">
        <v>0</v>
      </c>
      <c r="AI404">
        <v>0</v>
      </c>
      <c r="AJ404">
        <v>13.013</v>
      </c>
      <c r="AK404">
        <v>926</v>
      </c>
      <c r="AL404">
        <v>0</v>
      </c>
      <c r="AM404">
        <v>0</v>
      </c>
      <c r="AN404">
        <v>10.889000000000001</v>
      </c>
      <c r="AO404">
        <v>0</v>
      </c>
      <c r="AP404">
        <v>0</v>
      </c>
      <c r="AQ404">
        <v>0</v>
      </c>
      <c r="AR404">
        <v>2.9220000000000002</v>
      </c>
      <c r="AS404">
        <v>0</v>
      </c>
      <c r="AT404">
        <v>0.48500000000000004</v>
      </c>
      <c r="AU404">
        <v>0.71800000000000008</v>
      </c>
      <c r="AV404">
        <v>0</v>
      </c>
      <c r="AW404">
        <v>4.125</v>
      </c>
      <c r="AX404">
        <v>0</v>
      </c>
      <c r="AY404">
        <v>13.811</v>
      </c>
      <c r="AZ404">
        <v>0</v>
      </c>
      <c r="BA404">
        <v>682989</v>
      </c>
      <c r="BB404">
        <v>3326364</v>
      </c>
      <c r="BC404">
        <v>0</v>
      </c>
      <c r="BD404">
        <v>0</v>
      </c>
      <c r="BE404">
        <v>0</v>
      </c>
      <c r="BF404">
        <v>0</v>
      </c>
      <c r="BG404">
        <v>0</v>
      </c>
      <c r="BH404">
        <v>0</v>
      </c>
      <c r="BI404">
        <v>0</v>
      </c>
      <c r="BJ404">
        <v>0</v>
      </c>
      <c r="BK404">
        <v>0</v>
      </c>
      <c r="BL404">
        <v>276123428</v>
      </c>
      <c r="BM404">
        <v>0</v>
      </c>
      <c r="BN404">
        <v>864</v>
      </c>
      <c r="BO404">
        <v>770</v>
      </c>
      <c r="BP404">
        <v>0</v>
      </c>
      <c r="BQ404">
        <v>0</v>
      </c>
      <c r="BR404">
        <v>0.86440000000000006</v>
      </c>
      <c r="BS404">
        <v>0.86440000000000006</v>
      </c>
      <c r="BT404">
        <v>0</v>
      </c>
      <c r="BU404">
        <v>0</v>
      </c>
      <c r="BV404">
        <v>42</v>
      </c>
      <c r="BW404">
        <v>15</v>
      </c>
      <c r="BX404">
        <v>0</v>
      </c>
      <c r="BY404">
        <v>0</v>
      </c>
      <c r="BZ404">
        <v>0</v>
      </c>
      <c r="CA404">
        <v>57</v>
      </c>
      <c r="CB404">
        <v>0</v>
      </c>
      <c r="CC404">
        <v>0</v>
      </c>
      <c r="CD404">
        <v>0</v>
      </c>
      <c r="CE404">
        <v>12</v>
      </c>
      <c r="CF404">
        <v>25.676000000000002</v>
      </c>
      <c r="CG404">
        <v>0</v>
      </c>
      <c r="CH404">
        <v>0</v>
      </c>
      <c r="CI404">
        <v>0</v>
      </c>
      <c r="CJ404">
        <v>6</v>
      </c>
      <c r="CK404">
        <v>0</v>
      </c>
      <c r="CL404">
        <v>0</v>
      </c>
      <c r="CM404">
        <v>16.303000000000001</v>
      </c>
      <c r="CN404">
        <v>0</v>
      </c>
      <c r="CO404">
        <v>0</v>
      </c>
      <c r="CP404">
        <v>0</v>
      </c>
      <c r="CQ404">
        <v>0</v>
      </c>
      <c r="CR404">
        <v>0</v>
      </c>
      <c r="CS404">
        <v>0</v>
      </c>
      <c r="CT404">
        <v>0</v>
      </c>
      <c r="CU404">
        <v>1.268</v>
      </c>
      <c r="CV404">
        <v>14.162000000000001</v>
      </c>
      <c r="CW404">
        <v>21.405000000000001</v>
      </c>
      <c r="CX404">
        <v>0</v>
      </c>
      <c r="CY404" s="2043">
        <v>0</v>
      </c>
      <c r="CZ404" s="2043">
        <v>0</v>
      </c>
      <c r="DA404" s="2043">
        <v>0</v>
      </c>
      <c r="DB404" s="2043">
        <v>0</v>
      </c>
      <c r="DC404" s="2043">
        <v>110000</v>
      </c>
      <c r="DI404" t="s">
        <v>5017</v>
      </c>
      <c r="DJ404" t="s">
        <v>5799</v>
      </c>
      <c r="DK404" s="2042">
        <f t="shared" si="8"/>
        <v>2</v>
      </c>
    </row>
    <row r="405" spans="1:115">
      <c r="A405" t="s">
        <v>5800</v>
      </c>
      <c r="B405" t="s">
        <v>710</v>
      </c>
      <c r="C405">
        <v>303.67900000000003</v>
      </c>
      <c r="D405">
        <v>287.74200000000002</v>
      </c>
      <c r="E405">
        <v>8.173</v>
      </c>
      <c r="F405">
        <v>0</v>
      </c>
      <c r="G405" s="2043">
        <v>155411573</v>
      </c>
      <c r="H405">
        <v>0</v>
      </c>
      <c r="I405" s="2043">
        <v>0</v>
      </c>
      <c r="J405">
        <v>15.184000000000001</v>
      </c>
      <c r="K405">
        <v>42</v>
      </c>
      <c r="L405">
        <v>0</v>
      </c>
      <c r="M405">
        <v>0</v>
      </c>
      <c r="N405">
        <v>0</v>
      </c>
      <c r="O405">
        <v>0</v>
      </c>
      <c r="P405">
        <v>0</v>
      </c>
      <c r="Q405">
        <v>0</v>
      </c>
      <c r="R405" s="2043">
        <v>1270016</v>
      </c>
      <c r="S405">
        <v>123198</v>
      </c>
      <c r="T405">
        <v>89780</v>
      </c>
      <c r="U405">
        <v>0.08</v>
      </c>
      <c r="V405">
        <v>0</v>
      </c>
      <c r="W405">
        <v>0</v>
      </c>
      <c r="X405">
        <v>0</v>
      </c>
      <c r="Y405">
        <v>0</v>
      </c>
      <c r="Z405">
        <v>0</v>
      </c>
      <c r="AA405">
        <v>0.13900000000000001</v>
      </c>
      <c r="AB405">
        <v>287.74200000000002</v>
      </c>
      <c r="AC405" s="2043">
        <v>130511220</v>
      </c>
      <c r="AD405">
        <v>921476</v>
      </c>
      <c r="AE405" s="2043">
        <v>1482994</v>
      </c>
      <c r="AF405">
        <v>0.96300000000000008</v>
      </c>
      <c r="AG405">
        <v>0</v>
      </c>
      <c r="AH405">
        <v>0</v>
      </c>
      <c r="AI405">
        <v>0</v>
      </c>
      <c r="AJ405">
        <v>40.925000000000004</v>
      </c>
      <c r="AK405">
        <v>1731</v>
      </c>
      <c r="AL405">
        <v>0</v>
      </c>
      <c r="AM405">
        <v>0</v>
      </c>
      <c r="AN405">
        <v>17.385999999999999</v>
      </c>
      <c r="AO405">
        <v>0</v>
      </c>
      <c r="AP405">
        <v>0</v>
      </c>
      <c r="AQ405">
        <v>0</v>
      </c>
      <c r="AR405">
        <v>8.9720000000000013</v>
      </c>
      <c r="AS405">
        <v>0</v>
      </c>
      <c r="AT405">
        <v>0</v>
      </c>
      <c r="AU405">
        <v>0.56800000000000006</v>
      </c>
      <c r="AV405">
        <v>0</v>
      </c>
      <c r="AW405">
        <v>9.5400000000000009</v>
      </c>
      <c r="AX405">
        <v>0</v>
      </c>
      <c r="AY405">
        <v>29.756</v>
      </c>
      <c r="AZ405">
        <v>0</v>
      </c>
      <c r="BA405">
        <v>2863046</v>
      </c>
      <c r="BB405">
        <v>2404470</v>
      </c>
      <c r="BC405">
        <v>0</v>
      </c>
      <c r="BD405">
        <v>29784</v>
      </c>
      <c r="BE405">
        <v>0</v>
      </c>
      <c r="BF405">
        <v>29784</v>
      </c>
      <c r="BG405">
        <v>29784</v>
      </c>
      <c r="BH405">
        <v>0</v>
      </c>
      <c r="BI405">
        <v>0</v>
      </c>
      <c r="BJ405">
        <v>0</v>
      </c>
      <c r="BK405">
        <v>0</v>
      </c>
      <c r="BL405">
        <v>155411573</v>
      </c>
      <c r="BM405">
        <v>0</v>
      </c>
      <c r="BN405">
        <v>936</v>
      </c>
      <c r="BO405">
        <v>696</v>
      </c>
      <c r="BP405">
        <v>0</v>
      </c>
      <c r="BQ405">
        <v>0</v>
      </c>
      <c r="BR405">
        <v>0.82469999999999999</v>
      </c>
      <c r="BS405">
        <v>0.82469999999999999</v>
      </c>
      <c r="BT405">
        <v>0</v>
      </c>
      <c r="BU405">
        <v>0</v>
      </c>
      <c r="BV405">
        <v>70</v>
      </c>
      <c r="BW405">
        <v>98</v>
      </c>
      <c r="BX405">
        <v>0</v>
      </c>
      <c r="BY405">
        <v>2</v>
      </c>
      <c r="BZ405">
        <v>5</v>
      </c>
      <c r="CA405">
        <v>175</v>
      </c>
      <c r="CB405">
        <v>0</v>
      </c>
      <c r="CC405">
        <v>0</v>
      </c>
      <c r="CD405">
        <v>0</v>
      </c>
      <c r="CE405">
        <v>26</v>
      </c>
      <c r="CF405">
        <v>50.466000000000001</v>
      </c>
      <c r="CG405">
        <v>0</v>
      </c>
      <c r="CH405">
        <v>0</v>
      </c>
      <c r="CI405">
        <v>0</v>
      </c>
      <c r="CJ405">
        <v>5</v>
      </c>
      <c r="CK405">
        <v>0</v>
      </c>
      <c r="CL405">
        <v>0</v>
      </c>
      <c r="CM405">
        <v>8.173</v>
      </c>
      <c r="CN405">
        <v>0</v>
      </c>
      <c r="CO405">
        <v>0</v>
      </c>
      <c r="CP405">
        <v>0</v>
      </c>
      <c r="CQ405">
        <v>0</v>
      </c>
      <c r="CR405">
        <v>0</v>
      </c>
      <c r="CS405">
        <v>0</v>
      </c>
      <c r="CT405">
        <v>0</v>
      </c>
      <c r="CU405">
        <v>3.5000000000000003E-2</v>
      </c>
      <c r="CV405">
        <v>30.075000000000003</v>
      </c>
      <c r="CW405">
        <v>5.4010000000000007</v>
      </c>
      <c r="CX405">
        <v>0</v>
      </c>
      <c r="CY405" s="2043">
        <v>0</v>
      </c>
      <c r="CZ405" s="2043">
        <v>0</v>
      </c>
      <c r="DA405" s="2043">
        <v>0</v>
      </c>
      <c r="DB405" s="2043">
        <v>0</v>
      </c>
      <c r="DC405" s="2043">
        <v>0</v>
      </c>
      <c r="DI405" t="s">
        <v>5800</v>
      </c>
      <c r="DJ405" t="s">
        <v>5800</v>
      </c>
      <c r="DK405" s="2042">
        <f t="shared" si="8"/>
        <v>0</v>
      </c>
    </row>
    <row r="406" spans="1:115">
      <c r="A406" t="s">
        <v>2994</v>
      </c>
      <c r="B406" t="s">
        <v>2365</v>
      </c>
      <c r="C406">
        <v>224.18700000000001</v>
      </c>
      <c r="D406">
        <v>235.256</v>
      </c>
      <c r="E406">
        <v>8.3450000000000006</v>
      </c>
      <c r="F406">
        <v>40030</v>
      </c>
      <c r="G406" s="2043">
        <v>220004555</v>
      </c>
      <c r="H406">
        <v>0</v>
      </c>
      <c r="I406" s="2043">
        <v>0</v>
      </c>
      <c r="J406">
        <v>11.209000000000001</v>
      </c>
      <c r="K406">
        <v>31</v>
      </c>
      <c r="L406">
        <v>0</v>
      </c>
      <c r="M406">
        <v>0</v>
      </c>
      <c r="N406">
        <v>0</v>
      </c>
      <c r="O406">
        <v>0</v>
      </c>
      <c r="P406">
        <v>0</v>
      </c>
      <c r="Q406">
        <v>0</v>
      </c>
      <c r="R406" s="2043">
        <v>1798989</v>
      </c>
      <c r="S406">
        <v>175084</v>
      </c>
      <c r="T406">
        <v>127593</v>
      </c>
      <c r="U406">
        <v>0.08</v>
      </c>
      <c r="V406">
        <v>0</v>
      </c>
      <c r="W406">
        <v>0</v>
      </c>
      <c r="X406">
        <v>0</v>
      </c>
      <c r="Y406">
        <v>40030</v>
      </c>
      <c r="Z406">
        <v>0</v>
      </c>
      <c r="AA406">
        <v>0</v>
      </c>
      <c r="AB406">
        <v>221.88600000000002</v>
      </c>
      <c r="AC406" s="2043">
        <v>139894040</v>
      </c>
      <c r="AD406">
        <v>1300896</v>
      </c>
      <c r="AE406" s="2043">
        <v>2101666</v>
      </c>
      <c r="AF406">
        <v>0.96030000000000004</v>
      </c>
      <c r="AG406">
        <v>0</v>
      </c>
      <c r="AH406">
        <v>0</v>
      </c>
      <c r="AI406">
        <v>0</v>
      </c>
      <c r="AJ406">
        <v>40.375</v>
      </c>
      <c r="AK406">
        <v>1139</v>
      </c>
      <c r="AL406">
        <v>0</v>
      </c>
      <c r="AM406">
        <v>0</v>
      </c>
      <c r="AN406">
        <v>9.0240000000000009</v>
      </c>
      <c r="AO406">
        <v>0</v>
      </c>
      <c r="AP406">
        <v>0</v>
      </c>
      <c r="AQ406">
        <v>0</v>
      </c>
      <c r="AR406">
        <v>5.8159999999999998</v>
      </c>
      <c r="AS406">
        <v>0</v>
      </c>
      <c r="AT406">
        <v>0.64400000000000002</v>
      </c>
      <c r="AU406">
        <v>0.48600000000000004</v>
      </c>
      <c r="AV406">
        <v>0</v>
      </c>
      <c r="AW406">
        <v>6.9460000000000006</v>
      </c>
      <c r="AX406">
        <v>0</v>
      </c>
      <c r="AY406">
        <v>21.81</v>
      </c>
      <c r="AZ406">
        <v>0</v>
      </c>
      <c r="BA406">
        <v>1237251</v>
      </c>
      <c r="BB406">
        <v>3402562</v>
      </c>
      <c r="BC406">
        <v>0</v>
      </c>
      <c r="BD406">
        <v>18128</v>
      </c>
      <c r="BE406">
        <v>0</v>
      </c>
      <c r="BF406">
        <v>18128</v>
      </c>
      <c r="BG406">
        <v>18128</v>
      </c>
      <c r="BH406">
        <v>0</v>
      </c>
      <c r="BI406">
        <v>0</v>
      </c>
      <c r="BJ406">
        <v>0</v>
      </c>
      <c r="BK406">
        <v>0</v>
      </c>
      <c r="BL406">
        <v>220004555</v>
      </c>
      <c r="BM406">
        <v>0</v>
      </c>
      <c r="BN406">
        <v>999</v>
      </c>
      <c r="BO406">
        <v>728</v>
      </c>
      <c r="BP406">
        <v>0</v>
      </c>
      <c r="BQ406">
        <v>0</v>
      </c>
      <c r="BR406">
        <v>0.82200000000000006</v>
      </c>
      <c r="BS406">
        <v>0.82200000000000006</v>
      </c>
      <c r="BT406">
        <v>0</v>
      </c>
      <c r="BU406">
        <v>0</v>
      </c>
      <c r="BV406">
        <v>14</v>
      </c>
      <c r="BW406">
        <v>55</v>
      </c>
      <c r="BX406">
        <v>0</v>
      </c>
      <c r="BY406">
        <v>69</v>
      </c>
      <c r="BZ406">
        <v>22</v>
      </c>
      <c r="CA406">
        <v>160</v>
      </c>
      <c r="CB406">
        <v>0</v>
      </c>
      <c r="CC406">
        <v>0</v>
      </c>
      <c r="CD406">
        <v>0</v>
      </c>
      <c r="CE406">
        <v>12</v>
      </c>
      <c r="CF406">
        <v>53.278000000000006</v>
      </c>
      <c r="CG406">
        <v>0</v>
      </c>
      <c r="CH406">
        <v>0</v>
      </c>
      <c r="CI406">
        <v>0</v>
      </c>
      <c r="CJ406">
        <v>3</v>
      </c>
      <c r="CK406">
        <v>0</v>
      </c>
      <c r="CL406">
        <v>0</v>
      </c>
      <c r="CM406">
        <v>8.3450000000000006</v>
      </c>
      <c r="CN406">
        <v>0</v>
      </c>
      <c r="CO406">
        <v>0</v>
      </c>
      <c r="CP406">
        <v>0</v>
      </c>
      <c r="CQ406">
        <v>0</v>
      </c>
      <c r="CR406">
        <v>0</v>
      </c>
      <c r="CS406">
        <v>70.512</v>
      </c>
      <c r="CT406">
        <v>0</v>
      </c>
      <c r="CU406">
        <v>0</v>
      </c>
      <c r="CV406">
        <v>13.873000000000001</v>
      </c>
      <c r="CW406">
        <v>8.0679999999999996</v>
      </c>
      <c r="CX406">
        <v>0</v>
      </c>
      <c r="CY406" s="2043">
        <v>0</v>
      </c>
      <c r="CZ406" s="2043">
        <v>0</v>
      </c>
      <c r="DA406" s="2043">
        <v>0</v>
      </c>
      <c r="DB406" s="2043">
        <v>40030</v>
      </c>
      <c r="DC406" s="2043">
        <v>0</v>
      </c>
      <c r="DI406" t="s">
        <v>2994</v>
      </c>
      <c r="DJ406" t="s">
        <v>2994</v>
      </c>
      <c r="DK406" s="2042">
        <f t="shared" si="8"/>
        <v>0</v>
      </c>
    </row>
    <row r="407" spans="1:115">
      <c r="A407" t="s">
        <v>5018</v>
      </c>
      <c r="B407" t="s">
        <v>590</v>
      </c>
      <c r="C407">
        <v>617.68500000000006</v>
      </c>
      <c r="D407">
        <v>629.27</v>
      </c>
      <c r="E407">
        <v>44.161000000000001</v>
      </c>
      <c r="F407">
        <v>0</v>
      </c>
      <c r="G407" s="2043">
        <v>306262363</v>
      </c>
      <c r="H407">
        <v>0</v>
      </c>
      <c r="I407" s="2043">
        <v>3055925</v>
      </c>
      <c r="J407">
        <v>28</v>
      </c>
      <c r="K407">
        <v>77</v>
      </c>
      <c r="L407">
        <v>0</v>
      </c>
      <c r="M407">
        <v>0</v>
      </c>
      <c r="N407">
        <v>0</v>
      </c>
      <c r="O407">
        <v>0</v>
      </c>
      <c r="P407">
        <v>0</v>
      </c>
      <c r="Q407">
        <v>0</v>
      </c>
      <c r="R407" s="2043">
        <v>2725370</v>
      </c>
      <c r="S407">
        <v>238701</v>
      </c>
      <c r="T407">
        <v>173953</v>
      </c>
      <c r="U407">
        <v>0.08</v>
      </c>
      <c r="V407">
        <v>0</v>
      </c>
      <c r="W407">
        <v>0</v>
      </c>
      <c r="X407">
        <v>0</v>
      </c>
      <c r="Y407">
        <v>0</v>
      </c>
      <c r="Z407">
        <v>0</v>
      </c>
      <c r="AA407">
        <v>6.0000000000000001E-3</v>
      </c>
      <c r="AB407">
        <v>621.42600000000004</v>
      </c>
      <c r="AC407" s="2043">
        <v>331666628</v>
      </c>
      <c r="AD407">
        <v>2935664</v>
      </c>
      <c r="AE407" s="2043">
        <v>3138024</v>
      </c>
      <c r="AF407">
        <v>1.0517000000000001</v>
      </c>
      <c r="AG407">
        <v>0</v>
      </c>
      <c r="AH407">
        <v>0</v>
      </c>
      <c r="AI407">
        <v>0</v>
      </c>
      <c r="AJ407">
        <v>132.31300000000002</v>
      </c>
      <c r="AK407">
        <v>1884</v>
      </c>
      <c r="AL407">
        <v>0</v>
      </c>
      <c r="AM407">
        <v>0</v>
      </c>
      <c r="AN407">
        <v>21.896000000000001</v>
      </c>
      <c r="AO407">
        <v>0</v>
      </c>
      <c r="AP407">
        <v>0</v>
      </c>
      <c r="AQ407">
        <v>0</v>
      </c>
      <c r="AR407">
        <v>4.5170000000000003</v>
      </c>
      <c r="AS407">
        <v>0</v>
      </c>
      <c r="AT407">
        <v>4.0680000000000005</v>
      </c>
      <c r="AU407">
        <v>1.5250000000000001</v>
      </c>
      <c r="AV407">
        <v>0</v>
      </c>
      <c r="AW407">
        <v>10.11</v>
      </c>
      <c r="AX407">
        <v>0</v>
      </c>
      <c r="AY407">
        <v>33.380000000000003</v>
      </c>
      <c r="AZ407">
        <v>0</v>
      </c>
      <c r="BA407">
        <v>5118746</v>
      </c>
      <c r="BB407">
        <v>6073688</v>
      </c>
      <c r="BC407">
        <v>0</v>
      </c>
      <c r="BD407">
        <v>63492</v>
      </c>
      <c r="BE407">
        <v>24932</v>
      </c>
      <c r="BF407">
        <v>88424</v>
      </c>
      <c r="BG407">
        <v>63492</v>
      </c>
      <c r="BH407">
        <v>0</v>
      </c>
      <c r="BI407">
        <v>0</v>
      </c>
      <c r="BJ407">
        <v>0</v>
      </c>
      <c r="BK407">
        <v>0</v>
      </c>
      <c r="BL407">
        <v>306262363</v>
      </c>
      <c r="BM407">
        <v>0</v>
      </c>
      <c r="BN407">
        <v>2394</v>
      </c>
      <c r="BO407">
        <v>1905</v>
      </c>
      <c r="BP407">
        <v>0</v>
      </c>
      <c r="BQ407">
        <v>0</v>
      </c>
      <c r="BR407">
        <v>0.91339999999999999</v>
      </c>
      <c r="BS407">
        <v>0.91339999999999999</v>
      </c>
      <c r="BT407">
        <v>0</v>
      </c>
      <c r="BU407">
        <v>0</v>
      </c>
      <c r="BV407">
        <v>96</v>
      </c>
      <c r="BW407">
        <v>1</v>
      </c>
      <c r="BX407">
        <v>112</v>
      </c>
      <c r="BY407">
        <v>310</v>
      </c>
      <c r="BZ407">
        <v>4</v>
      </c>
      <c r="CA407">
        <v>523</v>
      </c>
      <c r="CB407">
        <v>0</v>
      </c>
      <c r="CC407">
        <v>0</v>
      </c>
      <c r="CD407">
        <v>0</v>
      </c>
      <c r="CE407">
        <v>46</v>
      </c>
      <c r="CF407">
        <v>146.797</v>
      </c>
      <c r="CG407">
        <v>0</v>
      </c>
      <c r="CH407">
        <v>0</v>
      </c>
      <c r="CI407">
        <v>8</v>
      </c>
      <c r="CJ407">
        <v>8</v>
      </c>
      <c r="CK407">
        <v>0</v>
      </c>
      <c r="CL407">
        <v>0</v>
      </c>
      <c r="CM407">
        <v>44.161000000000001</v>
      </c>
      <c r="CN407">
        <v>0</v>
      </c>
      <c r="CO407">
        <v>0</v>
      </c>
      <c r="CP407">
        <v>0</v>
      </c>
      <c r="CQ407">
        <v>0</v>
      </c>
      <c r="CR407">
        <v>0</v>
      </c>
      <c r="CS407">
        <v>0</v>
      </c>
      <c r="CT407">
        <v>0</v>
      </c>
      <c r="CU407">
        <v>2.8960000000000004</v>
      </c>
      <c r="CV407">
        <v>39.981000000000002</v>
      </c>
      <c r="CW407">
        <v>16.414999999999999</v>
      </c>
      <c r="CX407">
        <v>0</v>
      </c>
      <c r="CY407" s="2043">
        <v>0</v>
      </c>
      <c r="CZ407" s="2043">
        <v>0</v>
      </c>
      <c r="DA407" s="2043">
        <v>0</v>
      </c>
      <c r="DB407" s="2043">
        <v>0</v>
      </c>
      <c r="DC407" s="2043">
        <v>0</v>
      </c>
      <c r="DI407" t="s">
        <v>5018</v>
      </c>
      <c r="DJ407" t="s">
        <v>5018</v>
      </c>
      <c r="DK407" s="2042">
        <f t="shared" si="8"/>
        <v>0</v>
      </c>
    </row>
    <row r="408" spans="1:115">
      <c r="A408" t="s">
        <v>5801</v>
      </c>
      <c r="B408" t="s">
        <v>591</v>
      </c>
      <c r="C408">
        <v>388.82400000000001</v>
      </c>
      <c r="D408">
        <v>416.96700000000004</v>
      </c>
      <c r="E408">
        <v>20.417999999999999</v>
      </c>
      <c r="F408">
        <v>0</v>
      </c>
      <c r="G408" s="2043">
        <v>110312597</v>
      </c>
      <c r="H408">
        <v>0</v>
      </c>
      <c r="I408" s="2043">
        <v>563850</v>
      </c>
      <c r="J408">
        <v>19.441000000000003</v>
      </c>
      <c r="K408">
        <v>53</v>
      </c>
      <c r="L408">
        <v>0</v>
      </c>
      <c r="M408">
        <v>0</v>
      </c>
      <c r="N408">
        <v>0</v>
      </c>
      <c r="O408">
        <v>0</v>
      </c>
      <c r="P408">
        <v>0</v>
      </c>
      <c r="Q408">
        <v>0</v>
      </c>
      <c r="R408" s="2043">
        <v>992279</v>
      </c>
      <c r="S408">
        <v>86909</v>
      </c>
      <c r="T408">
        <v>42259</v>
      </c>
      <c r="U408">
        <v>0.08</v>
      </c>
      <c r="V408">
        <v>0</v>
      </c>
      <c r="W408">
        <v>0</v>
      </c>
      <c r="X408">
        <v>0</v>
      </c>
      <c r="Y408">
        <v>0</v>
      </c>
      <c r="Z408">
        <v>0</v>
      </c>
      <c r="AA408">
        <v>0</v>
      </c>
      <c r="AB408">
        <v>416.96700000000004</v>
      </c>
      <c r="AC408" s="2043">
        <v>136177194</v>
      </c>
      <c r="AD408">
        <v>560717</v>
      </c>
      <c r="AE408" s="2043">
        <v>1121447</v>
      </c>
      <c r="AF408">
        <v>1.0323</v>
      </c>
      <c r="AG408">
        <v>0</v>
      </c>
      <c r="AH408">
        <v>0</v>
      </c>
      <c r="AI408">
        <v>0</v>
      </c>
      <c r="AJ408">
        <v>83.963000000000008</v>
      </c>
      <c r="AK408">
        <v>1496</v>
      </c>
      <c r="AL408">
        <v>0</v>
      </c>
      <c r="AM408">
        <v>0</v>
      </c>
      <c r="AN408">
        <v>20.412000000000003</v>
      </c>
      <c r="AO408">
        <v>0</v>
      </c>
      <c r="AP408">
        <v>1.9470000000000001</v>
      </c>
      <c r="AQ408">
        <v>0</v>
      </c>
      <c r="AR408">
        <v>4.1610000000000005</v>
      </c>
      <c r="AS408">
        <v>0</v>
      </c>
      <c r="AT408">
        <v>0</v>
      </c>
      <c r="AU408">
        <v>0.58900000000000008</v>
      </c>
      <c r="AV408">
        <v>0</v>
      </c>
      <c r="AW408">
        <v>6.6970000000000001</v>
      </c>
      <c r="AX408">
        <v>0</v>
      </c>
      <c r="AY408">
        <v>20.685000000000002</v>
      </c>
      <c r="AZ408">
        <v>0</v>
      </c>
      <c r="BA408">
        <v>4304753</v>
      </c>
      <c r="BB408">
        <v>1682164</v>
      </c>
      <c r="BC408">
        <v>0</v>
      </c>
      <c r="BD408">
        <v>25983</v>
      </c>
      <c r="BE408">
        <v>14155</v>
      </c>
      <c r="BF408">
        <v>40138</v>
      </c>
      <c r="BG408">
        <v>25983</v>
      </c>
      <c r="BH408">
        <v>0</v>
      </c>
      <c r="BI408">
        <v>0</v>
      </c>
      <c r="BJ408">
        <v>0</v>
      </c>
      <c r="BK408">
        <v>0</v>
      </c>
      <c r="BL408">
        <v>110312597</v>
      </c>
      <c r="BM408">
        <v>0</v>
      </c>
      <c r="BN408">
        <v>1638</v>
      </c>
      <c r="BO408">
        <v>1209</v>
      </c>
      <c r="BP408">
        <v>0</v>
      </c>
      <c r="BQ408">
        <v>0</v>
      </c>
      <c r="BR408">
        <v>0.91339999999999999</v>
      </c>
      <c r="BS408">
        <v>0.91339999999999999</v>
      </c>
      <c r="BT408">
        <v>0</v>
      </c>
      <c r="BU408">
        <v>0</v>
      </c>
      <c r="BV408">
        <v>35</v>
      </c>
      <c r="BW408">
        <v>165</v>
      </c>
      <c r="BX408">
        <v>136</v>
      </c>
      <c r="BY408">
        <v>10</v>
      </c>
      <c r="BZ408">
        <v>1</v>
      </c>
      <c r="CA408">
        <v>347</v>
      </c>
      <c r="CB408">
        <v>0</v>
      </c>
      <c r="CC408">
        <v>0</v>
      </c>
      <c r="CD408">
        <v>0</v>
      </c>
      <c r="CE408">
        <v>72</v>
      </c>
      <c r="CF408">
        <v>89.228000000000009</v>
      </c>
      <c r="CG408">
        <v>0</v>
      </c>
      <c r="CH408">
        <v>0</v>
      </c>
      <c r="CI408">
        <v>4</v>
      </c>
      <c r="CJ408">
        <v>4</v>
      </c>
      <c r="CK408">
        <v>0</v>
      </c>
      <c r="CL408">
        <v>0</v>
      </c>
      <c r="CM408">
        <v>20.417999999999999</v>
      </c>
      <c r="CN408">
        <v>0</v>
      </c>
      <c r="CO408">
        <v>0</v>
      </c>
      <c r="CP408">
        <v>0</v>
      </c>
      <c r="CQ408">
        <v>0</v>
      </c>
      <c r="CR408">
        <v>0</v>
      </c>
      <c r="CS408">
        <v>0</v>
      </c>
      <c r="CT408">
        <v>0</v>
      </c>
      <c r="CU408">
        <v>0</v>
      </c>
      <c r="CV408">
        <v>13.280000000000001</v>
      </c>
      <c r="CW408">
        <v>7.76</v>
      </c>
      <c r="CX408">
        <v>0</v>
      </c>
      <c r="CY408" s="2043">
        <v>0</v>
      </c>
      <c r="CZ408" s="2043">
        <v>0</v>
      </c>
      <c r="DA408" s="2043">
        <v>0</v>
      </c>
      <c r="DB408" s="2043">
        <v>0</v>
      </c>
      <c r="DC408" s="2043">
        <v>0</v>
      </c>
      <c r="DI408" t="s">
        <v>5801</v>
      </c>
      <c r="DJ408" t="s">
        <v>5801</v>
      </c>
      <c r="DK408" s="2042">
        <f t="shared" si="8"/>
        <v>0</v>
      </c>
    </row>
    <row r="409" spans="1:115">
      <c r="A409" t="s">
        <v>5802</v>
      </c>
      <c r="B409" t="s">
        <v>592</v>
      </c>
      <c r="C409">
        <v>170.73099999999999</v>
      </c>
      <c r="D409">
        <v>226.18700000000001</v>
      </c>
      <c r="E409">
        <v>2.9950000000000001</v>
      </c>
      <c r="F409">
        <v>0</v>
      </c>
      <c r="G409" s="2043">
        <v>329787090</v>
      </c>
      <c r="H409">
        <v>-351684</v>
      </c>
      <c r="I409" s="2043">
        <v>0</v>
      </c>
      <c r="J409">
        <v>8.5370000000000008</v>
      </c>
      <c r="K409">
        <v>23</v>
      </c>
      <c r="L409">
        <v>0</v>
      </c>
      <c r="M409">
        <v>0</v>
      </c>
      <c r="N409">
        <v>0</v>
      </c>
      <c r="O409">
        <v>0</v>
      </c>
      <c r="P409">
        <v>0</v>
      </c>
      <c r="Q409">
        <v>0</v>
      </c>
      <c r="R409" s="2043">
        <v>2630772</v>
      </c>
      <c r="S409">
        <v>256036</v>
      </c>
      <c r="T409">
        <v>186587</v>
      </c>
      <c r="U409">
        <v>0.08</v>
      </c>
      <c r="V409">
        <v>0</v>
      </c>
      <c r="W409">
        <v>275178</v>
      </c>
      <c r="X409">
        <v>76506</v>
      </c>
      <c r="Y409">
        <v>-351684</v>
      </c>
      <c r="Z409">
        <v>0</v>
      </c>
      <c r="AA409">
        <v>0</v>
      </c>
      <c r="AB409">
        <v>211.57900000000001</v>
      </c>
      <c r="AC409" s="2043">
        <v>239102662</v>
      </c>
      <c r="AD409">
        <v>600794</v>
      </c>
      <c r="AE409" s="2043">
        <v>3073395</v>
      </c>
      <c r="AF409">
        <v>0.96030000000000004</v>
      </c>
      <c r="AG409">
        <v>0</v>
      </c>
      <c r="AH409">
        <v>351684</v>
      </c>
      <c r="AI409">
        <v>0</v>
      </c>
      <c r="AJ409">
        <v>33.524999999999999</v>
      </c>
      <c r="AK409">
        <v>1473</v>
      </c>
      <c r="AL409">
        <v>0</v>
      </c>
      <c r="AM409">
        <v>0</v>
      </c>
      <c r="AN409">
        <v>21.587</v>
      </c>
      <c r="AO409">
        <v>0</v>
      </c>
      <c r="AP409">
        <v>0.629</v>
      </c>
      <c r="AQ409">
        <v>0</v>
      </c>
      <c r="AR409">
        <v>2.5260000000000002</v>
      </c>
      <c r="AS409">
        <v>0</v>
      </c>
      <c r="AT409">
        <v>0.70500000000000007</v>
      </c>
      <c r="AU409">
        <v>0.49200000000000005</v>
      </c>
      <c r="AV409">
        <v>0</v>
      </c>
      <c r="AW409">
        <v>4.3520000000000003</v>
      </c>
      <c r="AX409">
        <v>0</v>
      </c>
      <c r="AY409">
        <v>13.851000000000001</v>
      </c>
      <c r="AZ409">
        <v>0</v>
      </c>
      <c r="BA409">
        <v>-189995</v>
      </c>
      <c r="BB409">
        <v>3674189</v>
      </c>
      <c r="BC409">
        <v>0</v>
      </c>
      <c r="BD409">
        <v>23976</v>
      </c>
      <c r="BE409">
        <v>0</v>
      </c>
      <c r="BF409">
        <v>24512</v>
      </c>
      <c r="BG409">
        <v>23976</v>
      </c>
      <c r="BH409">
        <v>536</v>
      </c>
      <c r="BI409">
        <v>0</v>
      </c>
      <c r="BJ409">
        <v>0</v>
      </c>
      <c r="BK409">
        <v>0</v>
      </c>
      <c r="BL409">
        <v>329787090</v>
      </c>
      <c r="BM409">
        <v>0</v>
      </c>
      <c r="BN409">
        <v>558</v>
      </c>
      <c r="BO409">
        <v>770</v>
      </c>
      <c r="BP409">
        <v>0</v>
      </c>
      <c r="BQ409">
        <v>0</v>
      </c>
      <c r="BR409">
        <v>0.82200000000000006</v>
      </c>
      <c r="BS409">
        <v>0.82200000000000006</v>
      </c>
      <c r="BT409">
        <v>0</v>
      </c>
      <c r="BU409">
        <v>0</v>
      </c>
      <c r="BV409">
        <v>0</v>
      </c>
      <c r="BW409">
        <v>125</v>
      </c>
      <c r="BX409">
        <v>11</v>
      </c>
      <c r="BY409">
        <v>1</v>
      </c>
      <c r="BZ409">
        <v>3</v>
      </c>
      <c r="CA409">
        <v>140</v>
      </c>
      <c r="CB409">
        <v>0</v>
      </c>
      <c r="CC409">
        <v>0</v>
      </c>
      <c r="CD409">
        <v>0</v>
      </c>
      <c r="CE409">
        <v>9</v>
      </c>
      <c r="CF409">
        <v>43.461000000000006</v>
      </c>
      <c r="CG409">
        <v>0</v>
      </c>
      <c r="CH409">
        <v>0</v>
      </c>
      <c r="CI409">
        <v>0</v>
      </c>
      <c r="CJ409">
        <v>2</v>
      </c>
      <c r="CK409">
        <v>0</v>
      </c>
      <c r="CL409">
        <v>0</v>
      </c>
      <c r="CM409">
        <v>2.9950000000000001</v>
      </c>
      <c r="CN409">
        <v>0</v>
      </c>
      <c r="CO409">
        <v>0</v>
      </c>
      <c r="CP409">
        <v>0</v>
      </c>
      <c r="CQ409">
        <v>0</v>
      </c>
      <c r="CR409">
        <v>0</v>
      </c>
      <c r="CS409">
        <v>0</v>
      </c>
      <c r="CT409">
        <v>0</v>
      </c>
      <c r="CU409">
        <v>1.635</v>
      </c>
      <c r="CV409">
        <v>8.2270000000000003</v>
      </c>
      <c r="CW409">
        <v>6.41</v>
      </c>
      <c r="CX409">
        <v>0</v>
      </c>
      <c r="CY409" s="2043">
        <v>0</v>
      </c>
      <c r="CZ409" s="2043">
        <v>0</v>
      </c>
      <c r="DA409" s="2043">
        <v>0</v>
      </c>
      <c r="DB409" s="2043">
        <v>0</v>
      </c>
      <c r="DC409" s="2043">
        <v>118296</v>
      </c>
      <c r="DI409" t="s">
        <v>5802</v>
      </c>
      <c r="DJ409" t="s">
        <v>5802</v>
      </c>
      <c r="DK409" s="2042">
        <f t="shared" si="8"/>
        <v>0</v>
      </c>
    </row>
    <row r="410" spans="1:115">
      <c r="A410" t="s">
        <v>5019</v>
      </c>
      <c r="B410" t="s">
        <v>593</v>
      </c>
      <c r="C410">
        <v>36603.809000000001</v>
      </c>
      <c r="D410">
        <v>34257.478999999999</v>
      </c>
      <c r="E410">
        <v>5240.4660000000003</v>
      </c>
      <c r="F410">
        <v>0</v>
      </c>
      <c r="G410" s="2043">
        <v>20835749312</v>
      </c>
      <c r="H410">
        <v>0</v>
      </c>
      <c r="I410" s="2043">
        <v>78917447</v>
      </c>
      <c r="J410">
        <v>1830.19</v>
      </c>
      <c r="K410">
        <v>5003</v>
      </c>
      <c r="L410">
        <v>0</v>
      </c>
      <c r="M410">
        <v>0</v>
      </c>
      <c r="N410">
        <v>0</v>
      </c>
      <c r="O410">
        <v>0</v>
      </c>
      <c r="P410">
        <v>0</v>
      </c>
      <c r="Q410">
        <v>0</v>
      </c>
      <c r="R410" s="2043">
        <v>170480794</v>
      </c>
      <c r="S410">
        <v>10369878</v>
      </c>
      <c r="T410">
        <v>0</v>
      </c>
      <c r="U410">
        <v>0.05</v>
      </c>
      <c r="V410">
        <v>2319.127</v>
      </c>
      <c r="W410">
        <v>0</v>
      </c>
      <c r="X410">
        <v>0</v>
      </c>
      <c r="Y410">
        <v>-14853</v>
      </c>
      <c r="Z410">
        <v>0.93600000000000005</v>
      </c>
      <c r="AA410">
        <v>2.052</v>
      </c>
      <c r="AB410">
        <v>34257.478999999999</v>
      </c>
      <c r="AC410" s="2043">
        <v>16740777765</v>
      </c>
      <c r="AD410">
        <v>76731985</v>
      </c>
      <c r="AE410" s="2043">
        <v>180850672</v>
      </c>
      <c r="AF410">
        <v>0.872</v>
      </c>
      <c r="AG410">
        <v>0</v>
      </c>
      <c r="AH410">
        <v>0</v>
      </c>
      <c r="AI410">
        <v>0</v>
      </c>
      <c r="AJ410">
        <v>4695.7130000000006</v>
      </c>
      <c r="AK410">
        <v>134667</v>
      </c>
      <c r="AL410">
        <v>3.2690000000000001</v>
      </c>
      <c r="AM410">
        <v>0</v>
      </c>
      <c r="AN410">
        <v>2097.4090000000001</v>
      </c>
      <c r="AO410">
        <v>1</v>
      </c>
      <c r="AP410">
        <v>8.4370000000000012</v>
      </c>
      <c r="AQ410">
        <v>22.597000000000001</v>
      </c>
      <c r="AR410">
        <v>717.58600000000001</v>
      </c>
      <c r="AS410">
        <v>0</v>
      </c>
      <c r="AT410">
        <v>276.67599999999999</v>
      </c>
      <c r="AU410">
        <v>82.427999999999997</v>
      </c>
      <c r="AV410">
        <v>0.21200000000000002</v>
      </c>
      <c r="AW410">
        <v>1114.451</v>
      </c>
      <c r="AX410">
        <v>3.246</v>
      </c>
      <c r="AY410">
        <v>3441.5170000000003</v>
      </c>
      <c r="AZ410">
        <v>0</v>
      </c>
      <c r="BA410">
        <v>168428946</v>
      </c>
      <c r="BB410">
        <v>257582657</v>
      </c>
      <c r="BC410">
        <v>0</v>
      </c>
      <c r="BD410">
        <v>1934341</v>
      </c>
      <c r="BE410">
        <v>0</v>
      </c>
      <c r="BF410">
        <v>2404282</v>
      </c>
      <c r="BG410">
        <v>1934341</v>
      </c>
      <c r="BH410">
        <v>469941</v>
      </c>
      <c r="BI410">
        <v>-7517</v>
      </c>
      <c r="BJ410">
        <v>-7336</v>
      </c>
      <c r="BK410">
        <v>0</v>
      </c>
      <c r="BL410">
        <v>20835749312</v>
      </c>
      <c r="BM410">
        <v>0</v>
      </c>
      <c r="BN410">
        <v>123435</v>
      </c>
      <c r="BO410">
        <v>28109</v>
      </c>
      <c r="BP410">
        <v>6538</v>
      </c>
      <c r="BQ410">
        <v>0</v>
      </c>
      <c r="BR410">
        <v>0.82200000000000006</v>
      </c>
      <c r="BS410">
        <v>0.82200000000000006</v>
      </c>
      <c r="BT410">
        <v>0</v>
      </c>
      <c r="BU410">
        <v>0</v>
      </c>
      <c r="BV410">
        <v>9914</v>
      </c>
      <c r="BW410">
        <v>3101</v>
      </c>
      <c r="BX410">
        <v>2865</v>
      </c>
      <c r="BY410">
        <v>1404</v>
      </c>
      <c r="BZ410">
        <v>2341</v>
      </c>
      <c r="CA410">
        <v>19625</v>
      </c>
      <c r="CB410">
        <v>0</v>
      </c>
      <c r="CC410">
        <v>969.25</v>
      </c>
      <c r="CD410">
        <v>0</v>
      </c>
      <c r="CE410">
        <v>1821</v>
      </c>
      <c r="CF410">
        <v>7984.8010000000004</v>
      </c>
      <c r="CG410">
        <v>26.951000000000001</v>
      </c>
      <c r="CH410">
        <v>28.808</v>
      </c>
      <c r="CI410">
        <v>88</v>
      </c>
      <c r="CJ410">
        <v>411</v>
      </c>
      <c r="CK410">
        <v>9</v>
      </c>
      <c r="CL410">
        <v>55.759</v>
      </c>
      <c r="CM410">
        <v>5240.4660000000003</v>
      </c>
      <c r="CN410">
        <v>0</v>
      </c>
      <c r="CO410">
        <v>6538</v>
      </c>
      <c r="CP410">
        <v>0</v>
      </c>
      <c r="CQ410">
        <v>0</v>
      </c>
      <c r="CR410">
        <v>0</v>
      </c>
      <c r="CS410">
        <v>0</v>
      </c>
      <c r="CT410">
        <v>0</v>
      </c>
      <c r="CU410">
        <v>1.2050000000000001</v>
      </c>
      <c r="CV410">
        <v>1497.0340000000001</v>
      </c>
      <c r="CW410">
        <v>662.13300000000004</v>
      </c>
      <c r="CX410">
        <v>0</v>
      </c>
      <c r="CY410" s="2043">
        <v>0</v>
      </c>
      <c r="CZ410" s="2043">
        <v>0</v>
      </c>
      <c r="DA410" s="2043">
        <v>0</v>
      </c>
      <c r="DB410" s="2043">
        <v>0</v>
      </c>
      <c r="DC410" s="2043">
        <v>0</v>
      </c>
      <c r="DI410" t="s">
        <v>5019</v>
      </c>
      <c r="DJ410" t="s">
        <v>5019</v>
      </c>
      <c r="DK410" s="2042">
        <f t="shared" si="8"/>
        <v>0</v>
      </c>
    </row>
    <row r="411" spans="1:115">
      <c r="A411" t="s">
        <v>2995</v>
      </c>
      <c r="B411" t="s">
        <v>2400</v>
      </c>
      <c r="C411">
        <v>3224.5840000000003</v>
      </c>
      <c r="D411">
        <v>3196.9790000000003</v>
      </c>
      <c r="E411">
        <v>314.03399999999999</v>
      </c>
      <c r="F411">
        <v>0</v>
      </c>
      <c r="G411" s="2043">
        <v>1261250707</v>
      </c>
      <c r="H411">
        <v>0</v>
      </c>
      <c r="I411" s="2043">
        <v>4514725</v>
      </c>
      <c r="J411">
        <v>118</v>
      </c>
      <c r="K411">
        <v>323</v>
      </c>
      <c r="L411">
        <v>0</v>
      </c>
      <c r="M411">
        <v>2094175</v>
      </c>
      <c r="N411">
        <v>0</v>
      </c>
      <c r="O411">
        <v>2094175</v>
      </c>
      <c r="P411">
        <v>0</v>
      </c>
      <c r="Q411">
        <v>0</v>
      </c>
      <c r="R411" s="2043">
        <v>10497985</v>
      </c>
      <c r="S411">
        <v>1003272</v>
      </c>
      <c r="T411">
        <v>1128681</v>
      </c>
      <c r="U411">
        <v>0.08</v>
      </c>
      <c r="V411">
        <v>0</v>
      </c>
      <c r="W411">
        <v>0</v>
      </c>
      <c r="X411">
        <v>0</v>
      </c>
      <c r="Y411">
        <v>0</v>
      </c>
      <c r="Z411">
        <v>0</v>
      </c>
      <c r="AA411">
        <v>0</v>
      </c>
      <c r="AB411">
        <v>3196.7310000000002</v>
      </c>
      <c r="AC411" s="2043">
        <v>1013402037</v>
      </c>
      <c r="AD411">
        <v>3829285</v>
      </c>
      <c r="AE411" s="2043">
        <v>12629938</v>
      </c>
      <c r="AF411">
        <v>1.0071000000000001</v>
      </c>
      <c r="AG411">
        <v>0</v>
      </c>
      <c r="AH411">
        <v>0</v>
      </c>
      <c r="AI411">
        <v>0</v>
      </c>
      <c r="AJ411">
        <v>310.43799999999999</v>
      </c>
      <c r="AK411">
        <v>12411</v>
      </c>
      <c r="AL411">
        <v>6.3E-2</v>
      </c>
      <c r="AM411">
        <v>0</v>
      </c>
      <c r="AN411">
        <v>227.976</v>
      </c>
      <c r="AO411">
        <v>0</v>
      </c>
      <c r="AP411">
        <v>0</v>
      </c>
      <c r="AQ411">
        <v>0</v>
      </c>
      <c r="AR411">
        <v>50.233000000000004</v>
      </c>
      <c r="AS411">
        <v>0</v>
      </c>
      <c r="AT411">
        <v>23.381</v>
      </c>
      <c r="AU411">
        <v>7.12</v>
      </c>
      <c r="AV411">
        <v>0</v>
      </c>
      <c r="AW411">
        <v>80.796999999999997</v>
      </c>
      <c r="AX411">
        <v>0</v>
      </c>
      <c r="AY411">
        <v>256.75700000000001</v>
      </c>
      <c r="AZ411">
        <v>0</v>
      </c>
      <c r="BA411">
        <v>20731015</v>
      </c>
      <c r="BB411">
        <v>16459223</v>
      </c>
      <c r="BC411">
        <v>0</v>
      </c>
      <c r="BD411">
        <v>286819</v>
      </c>
      <c r="BE411">
        <v>64689</v>
      </c>
      <c r="BF411">
        <v>354248</v>
      </c>
      <c r="BG411">
        <v>286819</v>
      </c>
      <c r="BH411">
        <v>2740</v>
      </c>
      <c r="BI411">
        <v>0</v>
      </c>
      <c r="BJ411">
        <v>0</v>
      </c>
      <c r="BK411">
        <v>0</v>
      </c>
      <c r="BL411">
        <v>1261250707</v>
      </c>
      <c r="BM411">
        <v>0</v>
      </c>
      <c r="BN411">
        <v>10386</v>
      </c>
      <c r="BO411">
        <v>5339</v>
      </c>
      <c r="BP411">
        <v>0</v>
      </c>
      <c r="BQ411">
        <v>0</v>
      </c>
      <c r="BR411">
        <v>0.83710000000000007</v>
      </c>
      <c r="BS411">
        <v>0.83710000000000007</v>
      </c>
      <c r="BT411">
        <v>0</v>
      </c>
      <c r="BU411">
        <v>0</v>
      </c>
      <c r="BV411">
        <v>626</v>
      </c>
      <c r="BW411">
        <v>497</v>
      </c>
      <c r="BX411">
        <v>203</v>
      </c>
      <c r="BY411">
        <v>2</v>
      </c>
      <c r="BZ411">
        <v>1</v>
      </c>
      <c r="CA411">
        <v>1329</v>
      </c>
      <c r="CB411">
        <v>0</v>
      </c>
      <c r="CC411">
        <v>0</v>
      </c>
      <c r="CD411">
        <v>0</v>
      </c>
      <c r="CE411">
        <v>218</v>
      </c>
      <c r="CF411">
        <v>576.56299999999999</v>
      </c>
      <c r="CG411">
        <v>0</v>
      </c>
      <c r="CH411">
        <v>0</v>
      </c>
      <c r="CI411">
        <v>3</v>
      </c>
      <c r="CJ411">
        <v>36</v>
      </c>
      <c r="CK411">
        <v>1</v>
      </c>
      <c r="CL411">
        <v>0</v>
      </c>
      <c r="CM411">
        <v>314.03399999999999</v>
      </c>
      <c r="CN411">
        <v>0</v>
      </c>
      <c r="CO411">
        <v>0</v>
      </c>
      <c r="CP411">
        <v>0</v>
      </c>
      <c r="CQ411">
        <v>0</v>
      </c>
      <c r="CR411">
        <v>0</v>
      </c>
      <c r="CS411">
        <v>0</v>
      </c>
      <c r="CT411">
        <v>0</v>
      </c>
      <c r="CU411">
        <v>27.959</v>
      </c>
      <c r="CV411">
        <v>217.53800000000001</v>
      </c>
      <c r="CW411">
        <v>135.79500000000002</v>
      </c>
      <c r="CX411">
        <v>0</v>
      </c>
      <c r="CY411" s="2043">
        <v>0</v>
      </c>
      <c r="CZ411" s="2043">
        <v>0</v>
      </c>
      <c r="DA411" s="2043">
        <v>0</v>
      </c>
      <c r="DB411" s="2043">
        <v>0</v>
      </c>
      <c r="DC411" s="2043">
        <v>0</v>
      </c>
      <c r="DI411" t="s">
        <v>2995</v>
      </c>
      <c r="DJ411" t="s">
        <v>2995</v>
      </c>
      <c r="DK411" s="2042">
        <f t="shared" si="8"/>
        <v>0</v>
      </c>
    </row>
    <row r="412" spans="1:115">
      <c r="A412" t="s">
        <v>2996</v>
      </c>
      <c r="B412" t="s">
        <v>1337</v>
      </c>
      <c r="C412">
        <v>72747.876000000004</v>
      </c>
      <c r="D412">
        <v>75314.042000000001</v>
      </c>
      <c r="E412">
        <v>12803.083000000001</v>
      </c>
      <c r="F412">
        <v>0</v>
      </c>
      <c r="G412" s="2043">
        <v>46978821499</v>
      </c>
      <c r="H412">
        <v>0</v>
      </c>
      <c r="I412" s="2043">
        <v>104869606</v>
      </c>
      <c r="J412">
        <v>3637.3940000000002</v>
      </c>
      <c r="K412">
        <v>9944</v>
      </c>
      <c r="L412">
        <v>0</v>
      </c>
      <c r="M412">
        <v>21548491</v>
      </c>
      <c r="N412">
        <v>0</v>
      </c>
      <c r="O412">
        <v>21548491</v>
      </c>
      <c r="P412">
        <v>0</v>
      </c>
      <c r="Q412">
        <v>0</v>
      </c>
      <c r="R412" s="2043">
        <v>397474817</v>
      </c>
      <c r="S412">
        <v>27727577</v>
      </c>
      <c r="T412">
        <v>0</v>
      </c>
      <c r="U412">
        <v>0.06</v>
      </c>
      <c r="V412">
        <v>335.06900000000002</v>
      </c>
      <c r="W412">
        <v>0</v>
      </c>
      <c r="X412">
        <v>0</v>
      </c>
      <c r="Y412">
        <v>-37037</v>
      </c>
      <c r="Z412">
        <v>8.870000000000001</v>
      </c>
      <c r="AA412">
        <v>2.3720000000000003</v>
      </c>
      <c r="AB412">
        <v>74275.024999999994</v>
      </c>
      <c r="AC412" s="2043">
        <v>41063007270</v>
      </c>
      <c r="AD412">
        <v>134045560</v>
      </c>
      <c r="AE412" s="2043">
        <v>425202394</v>
      </c>
      <c r="AF412">
        <v>0.92010000000000003</v>
      </c>
      <c r="AG412">
        <v>0</v>
      </c>
      <c r="AH412">
        <v>0</v>
      </c>
      <c r="AI412">
        <v>0</v>
      </c>
      <c r="AJ412">
        <v>8685.1130000000012</v>
      </c>
      <c r="AK412">
        <v>238870</v>
      </c>
      <c r="AL412">
        <v>7.7520000000000007</v>
      </c>
      <c r="AM412">
        <v>0</v>
      </c>
      <c r="AN412">
        <v>2846.3290000000002</v>
      </c>
      <c r="AO412">
        <v>44.800000000000004</v>
      </c>
      <c r="AP412">
        <v>4.6130000000000004</v>
      </c>
      <c r="AQ412">
        <v>77.021000000000001</v>
      </c>
      <c r="AR412">
        <v>1264.222</v>
      </c>
      <c r="AS412">
        <v>0</v>
      </c>
      <c r="AT412">
        <v>752.31299999999999</v>
      </c>
      <c r="AU412">
        <v>155.99700000000001</v>
      </c>
      <c r="AV412">
        <v>0</v>
      </c>
      <c r="AW412">
        <v>2265.8110000000001</v>
      </c>
      <c r="AX412">
        <v>3.8930000000000002</v>
      </c>
      <c r="AY412">
        <v>6889.759</v>
      </c>
      <c r="AZ412">
        <v>0</v>
      </c>
      <c r="BA412">
        <v>229316747</v>
      </c>
      <c r="BB412">
        <v>559247954</v>
      </c>
      <c r="BC412">
        <v>0</v>
      </c>
      <c r="BD412">
        <v>3068683</v>
      </c>
      <c r="BE412">
        <v>1695139</v>
      </c>
      <c r="BF412">
        <v>5726844</v>
      </c>
      <c r="BG412">
        <v>3068683</v>
      </c>
      <c r="BH412">
        <v>963022</v>
      </c>
      <c r="BI412">
        <v>0</v>
      </c>
      <c r="BJ412">
        <v>-37037</v>
      </c>
      <c r="BK412">
        <v>0</v>
      </c>
      <c r="BL412">
        <v>46978821499</v>
      </c>
      <c r="BM412">
        <v>0</v>
      </c>
      <c r="BN412">
        <v>287028</v>
      </c>
      <c r="BO412">
        <v>92598</v>
      </c>
      <c r="BP412">
        <v>13930</v>
      </c>
      <c r="BQ412">
        <v>0</v>
      </c>
      <c r="BR412">
        <v>0.86010000000000009</v>
      </c>
      <c r="BS412">
        <v>0.86010000000000009</v>
      </c>
      <c r="BT412">
        <v>0</v>
      </c>
      <c r="BU412">
        <v>0</v>
      </c>
      <c r="BV412">
        <v>19496</v>
      </c>
      <c r="BW412">
        <v>7873</v>
      </c>
      <c r="BX412">
        <v>6552</v>
      </c>
      <c r="BY412">
        <v>2108</v>
      </c>
      <c r="BZ412">
        <v>863</v>
      </c>
      <c r="CA412">
        <v>36892</v>
      </c>
      <c r="CB412">
        <v>0</v>
      </c>
      <c r="CC412">
        <v>304.58100000000002</v>
      </c>
      <c r="CD412">
        <v>0</v>
      </c>
      <c r="CE412">
        <v>3017</v>
      </c>
      <c r="CF412">
        <v>14704.655999999999</v>
      </c>
      <c r="CG412">
        <v>0</v>
      </c>
      <c r="CH412">
        <v>80.817000000000007</v>
      </c>
      <c r="CI412">
        <v>544</v>
      </c>
      <c r="CJ412">
        <v>1754</v>
      </c>
      <c r="CK412">
        <v>21</v>
      </c>
      <c r="CL412">
        <v>80.817000000000007</v>
      </c>
      <c r="CM412">
        <v>12803.083000000001</v>
      </c>
      <c r="CN412">
        <v>0</v>
      </c>
      <c r="CO412">
        <v>0</v>
      </c>
      <c r="CP412">
        <v>13930</v>
      </c>
      <c r="CQ412">
        <v>0</v>
      </c>
      <c r="CR412">
        <v>0</v>
      </c>
      <c r="CS412">
        <v>358.476</v>
      </c>
      <c r="CT412">
        <v>0</v>
      </c>
      <c r="CU412">
        <v>109.584</v>
      </c>
      <c r="CV412">
        <v>2734.8120000000004</v>
      </c>
      <c r="CW412">
        <v>1472.296</v>
      </c>
      <c r="CX412">
        <v>0</v>
      </c>
      <c r="CY412" s="2043">
        <v>0</v>
      </c>
      <c r="CZ412" s="2043">
        <v>0</v>
      </c>
      <c r="DA412" s="2043">
        <v>0</v>
      </c>
      <c r="DB412" s="2043">
        <v>0</v>
      </c>
      <c r="DC412" s="2043">
        <v>0</v>
      </c>
      <c r="DI412" t="s">
        <v>2996</v>
      </c>
      <c r="DJ412" t="s">
        <v>2996</v>
      </c>
      <c r="DK412" s="2042">
        <f t="shared" si="8"/>
        <v>0</v>
      </c>
    </row>
    <row r="413" spans="1:115">
      <c r="A413" t="s">
        <v>5020</v>
      </c>
      <c r="B413" t="s">
        <v>2193</v>
      </c>
      <c r="C413">
        <v>3114.422</v>
      </c>
      <c r="D413">
        <v>3224.1460000000002</v>
      </c>
      <c r="E413">
        <v>500.47400000000005</v>
      </c>
      <c r="F413">
        <v>0</v>
      </c>
      <c r="G413" s="2043">
        <v>3163542823</v>
      </c>
      <c r="H413">
        <v>0</v>
      </c>
      <c r="I413" s="2043">
        <v>7124626</v>
      </c>
      <c r="J413">
        <v>152</v>
      </c>
      <c r="K413">
        <v>416</v>
      </c>
      <c r="L413">
        <v>0</v>
      </c>
      <c r="M413">
        <v>0</v>
      </c>
      <c r="N413">
        <v>0</v>
      </c>
      <c r="O413">
        <v>0</v>
      </c>
      <c r="P413">
        <v>0</v>
      </c>
      <c r="Q413">
        <v>0</v>
      </c>
      <c r="R413" s="2043">
        <v>25407910</v>
      </c>
      <c r="S413">
        <v>1470535</v>
      </c>
      <c r="T413">
        <v>0</v>
      </c>
      <c r="U413">
        <v>0.05</v>
      </c>
      <c r="V413">
        <v>67.616</v>
      </c>
      <c r="W413">
        <v>0</v>
      </c>
      <c r="X413">
        <v>0</v>
      </c>
      <c r="Y413">
        <v>0</v>
      </c>
      <c r="Z413">
        <v>153.119</v>
      </c>
      <c r="AA413">
        <v>0.02</v>
      </c>
      <c r="AB413">
        <v>3096.027</v>
      </c>
      <c r="AC413" s="2043">
        <v>2698288130</v>
      </c>
      <c r="AD413">
        <v>7524624</v>
      </c>
      <c r="AE413" s="2043">
        <v>26878445</v>
      </c>
      <c r="AF413">
        <v>0.91390000000000005</v>
      </c>
      <c r="AG413">
        <v>0</v>
      </c>
      <c r="AH413">
        <v>0</v>
      </c>
      <c r="AI413">
        <v>0</v>
      </c>
      <c r="AJ413">
        <v>633.42500000000007</v>
      </c>
      <c r="AK413">
        <v>8699</v>
      </c>
      <c r="AL413">
        <v>0</v>
      </c>
      <c r="AM413">
        <v>0</v>
      </c>
      <c r="AN413">
        <v>200.71</v>
      </c>
      <c r="AO413">
        <v>0</v>
      </c>
      <c r="AP413">
        <v>0</v>
      </c>
      <c r="AQ413">
        <v>0</v>
      </c>
      <c r="AR413">
        <v>9.8079999999999998</v>
      </c>
      <c r="AS413">
        <v>0</v>
      </c>
      <c r="AT413">
        <v>23.566000000000003</v>
      </c>
      <c r="AU413">
        <v>5.0460000000000003</v>
      </c>
      <c r="AV413">
        <v>0</v>
      </c>
      <c r="AW413">
        <v>41.862000000000002</v>
      </c>
      <c r="AX413">
        <v>3.4420000000000002</v>
      </c>
      <c r="AY413">
        <v>133.26900000000001</v>
      </c>
      <c r="AZ413">
        <v>0</v>
      </c>
      <c r="BA413">
        <v>2298293</v>
      </c>
      <c r="BB413">
        <v>34403069</v>
      </c>
      <c r="BC413">
        <v>0</v>
      </c>
      <c r="BD413">
        <v>106740</v>
      </c>
      <c r="BE413">
        <v>18468</v>
      </c>
      <c r="BF413">
        <v>125208</v>
      </c>
      <c r="BG413">
        <v>106740</v>
      </c>
      <c r="BH413">
        <v>0</v>
      </c>
      <c r="BI413">
        <v>0</v>
      </c>
      <c r="BJ413">
        <v>0</v>
      </c>
      <c r="BK413">
        <v>0</v>
      </c>
      <c r="BL413">
        <v>3163542823</v>
      </c>
      <c r="BM413">
        <v>0</v>
      </c>
      <c r="BN413">
        <v>12087</v>
      </c>
      <c r="BO413">
        <v>5853</v>
      </c>
      <c r="BP413">
        <v>0</v>
      </c>
      <c r="BQ413">
        <v>0</v>
      </c>
      <c r="BR413">
        <v>0.8639</v>
      </c>
      <c r="BS413">
        <v>0.8639</v>
      </c>
      <c r="BT413">
        <v>0</v>
      </c>
      <c r="BU413">
        <v>0</v>
      </c>
      <c r="BV413">
        <v>433</v>
      </c>
      <c r="BW413">
        <v>997</v>
      </c>
      <c r="BX413">
        <v>905</v>
      </c>
      <c r="BY413">
        <v>37</v>
      </c>
      <c r="BZ413">
        <v>230</v>
      </c>
      <c r="CA413">
        <v>2602</v>
      </c>
      <c r="CB413">
        <v>0</v>
      </c>
      <c r="CC413">
        <v>163.55200000000002</v>
      </c>
      <c r="CD413">
        <v>19.005000000000003</v>
      </c>
      <c r="CE413">
        <v>31</v>
      </c>
      <c r="CF413">
        <v>721.37800000000004</v>
      </c>
      <c r="CG413">
        <v>0</v>
      </c>
      <c r="CH413">
        <v>0</v>
      </c>
      <c r="CI413">
        <v>19</v>
      </c>
      <c r="CJ413">
        <v>14</v>
      </c>
      <c r="CK413">
        <v>0</v>
      </c>
      <c r="CL413">
        <v>0</v>
      </c>
      <c r="CM413">
        <v>500.47400000000005</v>
      </c>
      <c r="CN413">
        <v>0</v>
      </c>
      <c r="CO413">
        <v>0</v>
      </c>
      <c r="CP413">
        <v>0</v>
      </c>
      <c r="CQ413">
        <v>0</v>
      </c>
      <c r="CR413">
        <v>0</v>
      </c>
      <c r="CS413">
        <v>0</v>
      </c>
      <c r="CT413">
        <v>0</v>
      </c>
      <c r="CU413">
        <v>0</v>
      </c>
      <c r="CV413">
        <v>168.81300000000002</v>
      </c>
      <c r="CW413">
        <v>107.06400000000001</v>
      </c>
      <c r="CX413">
        <v>0</v>
      </c>
      <c r="CY413" s="2043">
        <v>0</v>
      </c>
      <c r="CZ413" s="2043">
        <v>0</v>
      </c>
      <c r="DA413" s="2043">
        <v>0</v>
      </c>
      <c r="DB413" s="2043">
        <v>0</v>
      </c>
      <c r="DC413" s="2043">
        <v>154412</v>
      </c>
      <c r="DI413" t="s">
        <v>5020</v>
      </c>
      <c r="DJ413" t="s">
        <v>5020</v>
      </c>
      <c r="DK413" s="2042">
        <f t="shared" si="8"/>
        <v>0</v>
      </c>
    </row>
    <row r="414" spans="1:115">
      <c r="A414" t="s">
        <v>5021</v>
      </c>
      <c r="B414" t="s">
        <v>1900</v>
      </c>
      <c r="C414">
        <v>1425.998</v>
      </c>
      <c r="D414">
        <v>1461.05</v>
      </c>
      <c r="E414">
        <v>128.76500000000001</v>
      </c>
      <c r="F414">
        <v>0</v>
      </c>
      <c r="G414" s="2043">
        <v>1414221873</v>
      </c>
      <c r="H414">
        <v>0</v>
      </c>
      <c r="I414" s="2043">
        <v>2441157</v>
      </c>
      <c r="J414">
        <v>71.3</v>
      </c>
      <c r="K414">
        <v>195</v>
      </c>
      <c r="L414">
        <v>0</v>
      </c>
      <c r="M414">
        <v>0</v>
      </c>
      <c r="N414">
        <v>0</v>
      </c>
      <c r="O414">
        <v>0</v>
      </c>
      <c r="P414">
        <v>0</v>
      </c>
      <c r="Q414">
        <v>0</v>
      </c>
      <c r="R414" s="2043">
        <v>10553417</v>
      </c>
      <c r="S414">
        <v>623135</v>
      </c>
      <c r="T414">
        <v>0</v>
      </c>
      <c r="U414">
        <v>0.05</v>
      </c>
      <c r="V414">
        <v>0</v>
      </c>
      <c r="W414">
        <v>0</v>
      </c>
      <c r="X414">
        <v>0</v>
      </c>
      <c r="Y414">
        <v>648804</v>
      </c>
      <c r="Z414">
        <v>0</v>
      </c>
      <c r="AA414">
        <v>0.63500000000000001</v>
      </c>
      <c r="AB414">
        <v>1458.0650000000001</v>
      </c>
      <c r="AC414" s="2043">
        <v>1090597377</v>
      </c>
      <c r="AD414">
        <v>2597263</v>
      </c>
      <c r="AE414" s="2043">
        <v>11176552</v>
      </c>
      <c r="AF414">
        <v>0.89680000000000004</v>
      </c>
      <c r="AG414">
        <v>0</v>
      </c>
      <c r="AH414">
        <v>0</v>
      </c>
      <c r="AI414">
        <v>0</v>
      </c>
      <c r="AJ414">
        <v>222.35</v>
      </c>
      <c r="AK414">
        <v>5335</v>
      </c>
      <c r="AL414">
        <v>0</v>
      </c>
      <c r="AM414">
        <v>0</v>
      </c>
      <c r="AN414">
        <v>49.155000000000001</v>
      </c>
      <c r="AO414">
        <v>0</v>
      </c>
      <c r="AP414">
        <v>0</v>
      </c>
      <c r="AQ414">
        <v>0</v>
      </c>
      <c r="AR414">
        <v>29.357000000000003</v>
      </c>
      <c r="AS414">
        <v>0</v>
      </c>
      <c r="AT414">
        <v>13.416</v>
      </c>
      <c r="AU414">
        <v>2.1550000000000002</v>
      </c>
      <c r="AV414">
        <v>0</v>
      </c>
      <c r="AW414">
        <v>46.548000000000002</v>
      </c>
      <c r="AX414">
        <v>1.62</v>
      </c>
      <c r="AY414">
        <v>142.82</v>
      </c>
      <c r="AZ414">
        <v>0</v>
      </c>
      <c r="BA414">
        <v>3221874</v>
      </c>
      <c r="BB414">
        <v>13773815</v>
      </c>
      <c r="BC414">
        <v>0</v>
      </c>
      <c r="BD414">
        <v>111960</v>
      </c>
      <c r="BE414">
        <v>80093</v>
      </c>
      <c r="BF414">
        <v>192053</v>
      </c>
      <c r="BG414">
        <v>111960</v>
      </c>
      <c r="BH414">
        <v>0</v>
      </c>
      <c r="BI414">
        <v>0</v>
      </c>
      <c r="BJ414">
        <v>0</v>
      </c>
      <c r="BK414">
        <v>0</v>
      </c>
      <c r="BL414">
        <v>1414221873</v>
      </c>
      <c r="BM414">
        <v>0</v>
      </c>
      <c r="BN414">
        <v>5544</v>
      </c>
      <c r="BO414">
        <v>5018</v>
      </c>
      <c r="BP414">
        <v>0</v>
      </c>
      <c r="BQ414">
        <v>0</v>
      </c>
      <c r="BR414">
        <v>0.8468</v>
      </c>
      <c r="BS414">
        <v>0.8468</v>
      </c>
      <c r="BT414">
        <v>0</v>
      </c>
      <c r="BU414">
        <v>0</v>
      </c>
      <c r="BV414">
        <v>565</v>
      </c>
      <c r="BW414">
        <v>21</v>
      </c>
      <c r="BX414">
        <v>350</v>
      </c>
      <c r="BY414">
        <v>1</v>
      </c>
      <c r="BZ414">
        <v>9</v>
      </c>
      <c r="CA414">
        <v>946</v>
      </c>
      <c r="CB414">
        <v>0</v>
      </c>
      <c r="CC414">
        <v>46.004000000000005</v>
      </c>
      <c r="CD414">
        <v>0</v>
      </c>
      <c r="CE414">
        <v>171</v>
      </c>
      <c r="CF414">
        <v>303.19499999999999</v>
      </c>
      <c r="CG414">
        <v>0</v>
      </c>
      <c r="CH414">
        <v>0</v>
      </c>
      <c r="CI414">
        <v>1</v>
      </c>
      <c r="CJ414">
        <v>16</v>
      </c>
      <c r="CK414">
        <v>0</v>
      </c>
      <c r="CL414">
        <v>0</v>
      </c>
      <c r="CM414">
        <v>128.76500000000001</v>
      </c>
      <c r="CN414">
        <v>0</v>
      </c>
      <c r="CO414">
        <v>0</v>
      </c>
      <c r="CP414">
        <v>0</v>
      </c>
      <c r="CQ414">
        <v>0</v>
      </c>
      <c r="CR414">
        <v>0</v>
      </c>
      <c r="CS414">
        <v>0</v>
      </c>
      <c r="CT414">
        <v>0</v>
      </c>
      <c r="CU414">
        <v>30.231000000000002</v>
      </c>
      <c r="CV414">
        <v>105.18400000000001</v>
      </c>
      <c r="CW414">
        <v>98.13600000000001</v>
      </c>
      <c r="CX414">
        <v>0</v>
      </c>
      <c r="CY414" s="2043">
        <v>648804</v>
      </c>
      <c r="CZ414" s="2043">
        <v>0</v>
      </c>
      <c r="DA414" s="2043">
        <v>0</v>
      </c>
      <c r="DB414" s="2043">
        <v>0</v>
      </c>
      <c r="DC414" s="2043">
        <v>300302</v>
      </c>
      <c r="DI414" t="s">
        <v>5021</v>
      </c>
      <c r="DJ414" t="s">
        <v>5021</v>
      </c>
      <c r="DK414" s="2042">
        <f t="shared" si="8"/>
        <v>0</v>
      </c>
    </row>
    <row r="415" spans="1:115">
      <c r="A415" t="s">
        <v>5022</v>
      </c>
      <c r="B415" t="s">
        <v>1227</v>
      </c>
      <c r="C415">
        <v>1568.0540000000001</v>
      </c>
      <c r="D415">
        <v>1655.2760000000001</v>
      </c>
      <c r="E415">
        <v>96.782000000000011</v>
      </c>
      <c r="F415">
        <v>0</v>
      </c>
      <c r="G415" s="2043">
        <v>1273273010</v>
      </c>
      <c r="H415">
        <v>0</v>
      </c>
      <c r="I415" s="2043">
        <v>1828400</v>
      </c>
      <c r="J415">
        <v>62</v>
      </c>
      <c r="K415">
        <v>169</v>
      </c>
      <c r="L415">
        <v>0</v>
      </c>
      <c r="M415">
        <v>0</v>
      </c>
      <c r="N415">
        <v>0</v>
      </c>
      <c r="O415">
        <v>0</v>
      </c>
      <c r="P415">
        <v>0</v>
      </c>
      <c r="Q415">
        <v>0</v>
      </c>
      <c r="R415" s="2043">
        <v>11397404</v>
      </c>
      <c r="S415">
        <v>1008843</v>
      </c>
      <c r="T415">
        <v>462807</v>
      </c>
      <c r="U415">
        <v>0.08</v>
      </c>
      <c r="V415">
        <v>0</v>
      </c>
      <c r="W415">
        <v>0</v>
      </c>
      <c r="X415">
        <v>57468</v>
      </c>
      <c r="Y415">
        <v>0</v>
      </c>
      <c r="Z415">
        <v>2.7430000000000003</v>
      </c>
      <c r="AA415">
        <v>0</v>
      </c>
      <c r="AB415">
        <v>1587.415</v>
      </c>
      <c r="AC415" s="2043">
        <v>1331465456</v>
      </c>
      <c r="AD415">
        <v>1718520</v>
      </c>
      <c r="AE415" s="2043">
        <v>12869054</v>
      </c>
      <c r="AF415">
        <v>1.0205</v>
      </c>
      <c r="AG415">
        <v>0</v>
      </c>
      <c r="AH415">
        <v>57468</v>
      </c>
      <c r="AI415">
        <v>0</v>
      </c>
      <c r="AJ415">
        <v>250.21300000000002</v>
      </c>
      <c r="AK415">
        <v>4882</v>
      </c>
      <c r="AL415">
        <v>0.155</v>
      </c>
      <c r="AM415">
        <v>0</v>
      </c>
      <c r="AN415">
        <v>58.785000000000004</v>
      </c>
      <c r="AO415">
        <v>0</v>
      </c>
      <c r="AP415">
        <v>0</v>
      </c>
      <c r="AQ415">
        <v>2.4460000000000002</v>
      </c>
      <c r="AR415">
        <v>32.902999999999999</v>
      </c>
      <c r="AS415">
        <v>0</v>
      </c>
      <c r="AT415">
        <v>3.1280000000000001</v>
      </c>
      <c r="AU415">
        <v>1.8800000000000001</v>
      </c>
      <c r="AV415">
        <v>0</v>
      </c>
      <c r="AW415">
        <v>41.417999999999999</v>
      </c>
      <c r="AX415">
        <v>0.90600000000000003</v>
      </c>
      <c r="AY415">
        <v>120.352</v>
      </c>
      <c r="AZ415">
        <v>0</v>
      </c>
      <c r="BA415">
        <v>3331165</v>
      </c>
      <c r="BB415">
        <v>14587574</v>
      </c>
      <c r="BC415">
        <v>0</v>
      </c>
      <c r="BD415">
        <v>179088</v>
      </c>
      <c r="BE415">
        <v>7370</v>
      </c>
      <c r="BF415">
        <v>186458</v>
      </c>
      <c r="BG415">
        <v>179088</v>
      </c>
      <c r="BH415">
        <v>0</v>
      </c>
      <c r="BI415">
        <v>0</v>
      </c>
      <c r="BJ415">
        <v>0</v>
      </c>
      <c r="BK415">
        <v>0</v>
      </c>
      <c r="BL415">
        <v>1273273010</v>
      </c>
      <c r="BM415">
        <v>0</v>
      </c>
      <c r="BN415">
        <v>5391</v>
      </c>
      <c r="BO415">
        <v>4301</v>
      </c>
      <c r="BP415">
        <v>0</v>
      </c>
      <c r="BQ415">
        <v>0</v>
      </c>
      <c r="BR415">
        <v>0.90380000000000005</v>
      </c>
      <c r="BS415">
        <v>0.90380000000000005</v>
      </c>
      <c r="BT415">
        <v>0</v>
      </c>
      <c r="BU415">
        <v>0</v>
      </c>
      <c r="BV415">
        <v>23</v>
      </c>
      <c r="BW415">
        <v>790</v>
      </c>
      <c r="BX415">
        <v>3</v>
      </c>
      <c r="BY415">
        <v>197</v>
      </c>
      <c r="BZ415">
        <v>18</v>
      </c>
      <c r="CA415">
        <v>1031</v>
      </c>
      <c r="CB415">
        <v>0</v>
      </c>
      <c r="CC415">
        <v>0</v>
      </c>
      <c r="CD415">
        <v>0</v>
      </c>
      <c r="CE415">
        <v>122</v>
      </c>
      <c r="CF415">
        <v>354.36400000000003</v>
      </c>
      <c r="CG415">
        <v>0</v>
      </c>
      <c r="CH415">
        <v>5.2220000000000004</v>
      </c>
      <c r="CI415">
        <v>1</v>
      </c>
      <c r="CJ415">
        <v>14</v>
      </c>
      <c r="CK415">
        <v>0</v>
      </c>
      <c r="CL415">
        <v>5.2220000000000004</v>
      </c>
      <c r="CM415">
        <v>96.782000000000011</v>
      </c>
      <c r="CN415">
        <v>0</v>
      </c>
      <c r="CO415">
        <v>0</v>
      </c>
      <c r="CP415">
        <v>0</v>
      </c>
      <c r="CQ415">
        <v>0</v>
      </c>
      <c r="CR415">
        <v>0</v>
      </c>
      <c r="CS415">
        <v>0</v>
      </c>
      <c r="CT415">
        <v>0</v>
      </c>
      <c r="CU415">
        <v>0</v>
      </c>
      <c r="CV415">
        <v>89.448000000000008</v>
      </c>
      <c r="CW415">
        <v>43.614000000000004</v>
      </c>
      <c r="CX415">
        <v>0</v>
      </c>
      <c r="CY415" s="2043">
        <v>0</v>
      </c>
      <c r="CZ415" s="2043">
        <v>0</v>
      </c>
      <c r="DA415" s="2043">
        <v>0</v>
      </c>
      <c r="DB415" s="2043">
        <v>0</v>
      </c>
      <c r="DC415" s="2043">
        <v>422000</v>
      </c>
      <c r="DI415" t="s">
        <v>5022</v>
      </c>
      <c r="DJ415" t="s">
        <v>5022</v>
      </c>
      <c r="DK415" s="2042">
        <f t="shared" si="8"/>
        <v>0</v>
      </c>
    </row>
    <row r="416" spans="1:115">
      <c r="A416" t="s">
        <v>5023</v>
      </c>
      <c r="B416" t="s">
        <v>1812</v>
      </c>
      <c r="C416">
        <v>1083.2730000000001</v>
      </c>
      <c r="D416">
        <v>1063.194</v>
      </c>
      <c r="E416">
        <v>111.52800000000001</v>
      </c>
      <c r="F416">
        <v>0</v>
      </c>
      <c r="G416" s="2043">
        <v>748987669</v>
      </c>
      <c r="H416">
        <v>0</v>
      </c>
      <c r="I416" s="2043">
        <v>2460750</v>
      </c>
      <c r="J416">
        <v>54.164000000000001</v>
      </c>
      <c r="K416">
        <v>148</v>
      </c>
      <c r="L416">
        <v>0</v>
      </c>
      <c r="M416">
        <v>0</v>
      </c>
      <c r="N416">
        <v>0</v>
      </c>
      <c r="O416">
        <v>0</v>
      </c>
      <c r="P416">
        <v>0</v>
      </c>
      <c r="Q416">
        <v>0</v>
      </c>
      <c r="R416" s="2043">
        <v>6755222</v>
      </c>
      <c r="S416">
        <v>373340</v>
      </c>
      <c r="T416">
        <v>0</v>
      </c>
      <c r="U416">
        <v>0.05</v>
      </c>
      <c r="V416">
        <v>0</v>
      </c>
      <c r="W416">
        <v>0</v>
      </c>
      <c r="X416">
        <v>0</v>
      </c>
      <c r="Y416">
        <v>0</v>
      </c>
      <c r="Z416">
        <v>0</v>
      </c>
      <c r="AA416">
        <v>0.16200000000000001</v>
      </c>
      <c r="AB416">
        <v>1063.194</v>
      </c>
      <c r="AC416" s="2043">
        <v>778112909</v>
      </c>
      <c r="AD416">
        <v>2461705</v>
      </c>
      <c r="AE416" s="2043">
        <v>7128562</v>
      </c>
      <c r="AF416">
        <v>0.95469999999999999</v>
      </c>
      <c r="AG416">
        <v>0</v>
      </c>
      <c r="AH416">
        <v>0</v>
      </c>
      <c r="AI416">
        <v>0</v>
      </c>
      <c r="AJ416">
        <v>188.07500000000002</v>
      </c>
      <c r="AK416">
        <v>6210</v>
      </c>
      <c r="AL416">
        <v>0.11900000000000001</v>
      </c>
      <c r="AM416">
        <v>0</v>
      </c>
      <c r="AN416">
        <v>53.956000000000003</v>
      </c>
      <c r="AO416">
        <v>0</v>
      </c>
      <c r="AP416">
        <v>3.4830000000000001</v>
      </c>
      <c r="AQ416">
        <v>0.128</v>
      </c>
      <c r="AR416">
        <v>29.308</v>
      </c>
      <c r="AS416">
        <v>0</v>
      </c>
      <c r="AT416">
        <v>15.27</v>
      </c>
      <c r="AU416">
        <v>1.6220000000000001</v>
      </c>
      <c r="AV416">
        <v>0</v>
      </c>
      <c r="AW416">
        <v>49.93</v>
      </c>
      <c r="AX416">
        <v>0</v>
      </c>
      <c r="AY416">
        <v>151.84300000000002</v>
      </c>
      <c r="AZ416">
        <v>0</v>
      </c>
      <c r="BA416">
        <v>5617802</v>
      </c>
      <c r="BB416">
        <v>9590267</v>
      </c>
      <c r="BC416">
        <v>0</v>
      </c>
      <c r="BD416">
        <v>73181</v>
      </c>
      <c r="BE416">
        <v>11234</v>
      </c>
      <c r="BF416">
        <v>84415</v>
      </c>
      <c r="BG416">
        <v>73181</v>
      </c>
      <c r="BH416">
        <v>0</v>
      </c>
      <c r="BI416">
        <v>0</v>
      </c>
      <c r="BJ416">
        <v>0</v>
      </c>
      <c r="BK416">
        <v>0</v>
      </c>
      <c r="BL416">
        <v>748987669</v>
      </c>
      <c r="BM416">
        <v>0</v>
      </c>
      <c r="BN416">
        <v>3906</v>
      </c>
      <c r="BO416">
        <v>2183</v>
      </c>
      <c r="BP416">
        <v>0</v>
      </c>
      <c r="BQ416">
        <v>0</v>
      </c>
      <c r="BR416">
        <v>0.90470000000000006</v>
      </c>
      <c r="BS416">
        <v>0.90470000000000006</v>
      </c>
      <c r="BT416">
        <v>0</v>
      </c>
      <c r="BU416">
        <v>0</v>
      </c>
      <c r="BV416">
        <v>398</v>
      </c>
      <c r="BW416">
        <v>160</v>
      </c>
      <c r="BX416">
        <v>4</v>
      </c>
      <c r="BY416">
        <v>210</v>
      </c>
      <c r="BZ416">
        <v>16</v>
      </c>
      <c r="CA416">
        <v>788</v>
      </c>
      <c r="CB416">
        <v>0</v>
      </c>
      <c r="CC416">
        <v>0</v>
      </c>
      <c r="CD416">
        <v>0</v>
      </c>
      <c r="CE416">
        <v>96</v>
      </c>
      <c r="CF416">
        <v>279.55700000000002</v>
      </c>
      <c r="CG416">
        <v>17.552</v>
      </c>
      <c r="CH416">
        <v>0.14000000000000001</v>
      </c>
      <c r="CI416">
        <v>4</v>
      </c>
      <c r="CJ416">
        <v>7</v>
      </c>
      <c r="CK416">
        <v>1</v>
      </c>
      <c r="CL416">
        <v>17.692</v>
      </c>
      <c r="CM416">
        <v>111.52800000000001</v>
      </c>
      <c r="CN416">
        <v>0</v>
      </c>
      <c r="CO416">
        <v>0</v>
      </c>
      <c r="CP416">
        <v>0</v>
      </c>
      <c r="CQ416">
        <v>0</v>
      </c>
      <c r="CR416">
        <v>0</v>
      </c>
      <c r="CS416">
        <v>0</v>
      </c>
      <c r="CT416">
        <v>0</v>
      </c>
      <c r="CU416">
        <v>12.627000000000001</v>
      </c>
      <c r="CV416">
        <v>71.128</v>
      </c>
      <c r="CW416">
        <v>46.837000000000003</v>
      </c>
      <c r="CX416">
        <v>0</v>
      </c>
      <c r="CY416" s="2043">
        <v>0</v>
      </c>
      <c r="CZ416" s="2043">
        <v>0</v>
      </c>
      <c r="DA416" s="2043">
        <v>0</v>
      </c>
      <c r="DB416" s="2043">
        <v>0</v>
      </c>
      <c r="DC416" s="2043">
        <v>0</v>
      </c>
      <c r="DI416" t="s">
        <v>5023</v>
      </c>
      <c r="DJ416" t="s">
        <v>5023</v>
      </c>
      <c r="DK416" s="2042">
        <f t="shared" si="8"/>
        <v>0</v>
      </c>
    </row>
    <row r="417" spans="1:115">
      <c r="A417" t="s">
        <v>5024</v>
      </c>
      <c r="B417" t="s">
        <v>1817</v>
      </c>
      <c r="C417">
        <v>479.32900000000001</v>
      </c>
      <c r="D417">
        <v>459.976</v>
      </c>
      <c r="E417">
        <v>43.684000000000005</v>
      </c>
      <c r="F417">
        <v>0</v>
      </c>
      <c r="G417" s="2043">
        <v>198178887</v>
      </c>
      <c r="H417">
        <v>0</v>
      </c>
      <c r="I417" s="2043">
        <v>453802</v>
      </c>
      <c r="J417">
        <v>23.966000000000001</v>
      </c>
      <c r="K417">
        <v>66</v>
      </c>
      <c r="L417">
        <v>0</v>
      </c>
      <c r="M417">
        <v>0</v>
      </c>
      <c r="N417">
        <v>0</v>
      </c>
      <c r="O417">
        <v>0</v>
      </c>
      <c r="P417">
        <v>0</v>
      </c>
      <c r="Q417">
        <v>0</v>
      </c>
      <c r="R417" s="2043">
        <v>1612332</v>
      </c>
      <c r="S417">
        <v>96918</v>
      </c>
      <c r="T417">
        <v>0</v>
      </c>
      <c r="U417">
        <v>0.05</v>
      </c>
      <c r="V417">
        <v>0</v>
      </c>
      <c r="W417">
        <v>0</v>
      </c>
      <c r="X417">
        <v>0</v>
      </c>
      <c r="Y417">
        <v>0</v>
      </c>
      <c r="Z417">
        <v>0</v>
      </c>
      <c r="AA417">
        <v>0</v>
      </c>
      <c r="AB417">
        <v>456.84700000000004</v>
      </c>
      <c r="AC417" s="2043">
        <v>161801063</v>
      </c>
      <c r="AD417">
        <v>444250</v>
      </c>
      <c r="AE417" s="2043">
        <v>1709250</v>
      </c>
      <c r="AF417">
        <v>0.88180000000000003</v>
      </c>
      <c r="AG417">
        <v>0</v>
      </c>
      <c r="AH417">
        <v>0</v>
      </c>
      <c r="AI417">
        <v>0</v>
      </c>
      <c r="AJ417">
        <v>82.688000000000002</v>
      </c>
      <c r="AK417">
        <v>1720</v>
      </c>
      <c r="AL417">
        <v>0</v>
      </c>
      <c r="AM417">
        <v>0</v>
      </c>
      <c r="AN417">
        <v>10.918000000000001</v>
      </c>
      <c r="AO417">
        <v>0</v>
      </c>
      <c r="AP417">
        <v>0</v>
      </c>
      <c r="AQ417">
        <v>0</v>
      </c>
      <c r="AR417">
        <v>10.324</v>
      </c>
      <c r="AS417">
        <v>0</v>
      </c>
      <c r="AT417">
        <v>1.359</v>
      </c>
      <c r="AU417">
        <v>0.63300000000000001</v>
      </c>
      <c r="AV417">
        <v>0</v>
      </c>
      <c r="AW417">
        <v>12.632000000000001</v>
      </c>
      <c r="AX417">
        <v>0.316</v>
      </c>
      <c r="AY417">
        <v>38.941000000000003</v>
      </c>
      <c r="AZ417">
        <v>0</v>
      </c>
      <c r="BA417">
        <v>4273713</v>
      </c>
      <c r="BB417">
        <v>2153500</v>
      </c>
      <c r="BC417">
        <v>0</v>
      </c>
      <c r="BD417">
        <v>26746</v>
      </c>
      <c r="BE417">
        <v>18695</v>
      </c>
      <c r="BF417">
        <v>45441</v>
      </c>
      <c r="BG417">
        <v>26746</v>
      </c>
      <c r="BH417">
        <v>0</v>
      </c>
      <c r="BI417">
        <v>0</v>
      </c>
      <c r="BJ417">
        <v>0</v>
      </c>
      <c r="BK417">
        <v>0</v>
      </c>
      <c r="BL417">
        <v>198178887</v>
      </c>
      <c r="BM417">
        <v>0</v>
      </c>
      <c r="BN417">
        <v>1719</v>
      </c>
      <c r="BO417">
        <v>1263</v>
      </c>
      <c r="BP417">
        <v>0</v>
      </c>
      <c r="BQ417">
        <v>0</v>
      </c>
      <c r="BR417">
        <v>0.83180000000000009</v>
      </c>
      <c r="BS417">
        <v>0.83180000000000009</v>
      </c>
      <c r="BT417">
        <v>0</v>
      </c>
      <c r="BU417">
        <v>0</v>
      </c>
      <c r="BV417">
        <v>25</v>
      </c>
      <c r="BW417">
        <v>155</v>
      </c>
      <c r="BX417">
        <v>5</v>
      </c>
      <c r="BY417">
        <v>136</v>
      </c>
      <c r="BZ417">
        <v>12</v>
      </c>
      <c r="CA417">
        <v>333</v>
      </c>
      <c r="CB417">
        <v>0</v>
      </c>
      <c r="CC417">
        <v>0</v>
      </c>
      <c r="CD417">
        <v>0</v>
      </c>
      <c r="CE417">
        <v>32</v>
      </c>
      <c r="CF417">
        <v>125.13600000000001</v>
      </c>
      <c r="CG417">
        <v>0</v>
      </c>
      <c r="CH417">
        <v>0</v>
      </c>
      <c r="CI417">
        <v>1</v>
      </c>
      <c r="CJ417">
        <v>4</v>
      </c>
      <c r="CK417">
        <v>0</v>
      </c>
      <c r="CL417">
        <v>0</v>
      </c>
      <c r="CM417">
        <v>43.684000000000005</v>
      </c>
      <c r="CN417">
        <v>0</v>
      </c>
      <c r="CO417">
        <v>0</v>
      </c>
      <c r="CP417">
        <v>0</v>
      </c>
      <c r="CQ417">
        <v>0</v>
      </c>
      <c r="CR417">
        <v>0</v>
      </c>
      <c r="CS417">
        <v>0</v>
      </c>
      <c r="CT417">
        <v>0</v>
      </c>
      <c r="CU417">
        <v>4.4960000000000004</v>
      </c>
      <c r="CV417">
        <v>30.939</v>
      </c>
      <c r="CW417">
        <v>17.779</v>
      </c>
      <c r="CX417">
        <v>0</v>
      </c>
      <c r="CY417" s="2043">
        <v>0</v>
      </c>
      <c r="CZ417" s="2043">
        <v>0</v>
      </c>
      <c r="DA417" s="2043">
        <v>0</v>
      </c>
      <c r="DB417" s="2043">
        <v>0</v>
      </c>
      <c r="DC417" s="2043">
        <v>0</v>
      </c>
      <c r="DI417" t="s">
        <v>5024</v>
      </c>
      <c r="DJ417" t="s">
        <v>5024</v>
      </c>
      <c r="DK417" s="2042">
        <f t="shared" si="8"/>
        <v>0</v>
      </c>
    </row>
    <row r="418" spans="1:115">
      <c r="A418" t="s">
        <v>5025</v>
      </c>
      <c r="B418" t="s">
        <v>1818</v>
      </c>
      <c r="C418">
        <v>115.468</v>
      </c>
      <c r="D418">
        <v>165.77500000000001</v>
      </c>
      <c r="E418">
        <v>5.915</v>
      </c>
      <c r="F418">
        <v>0</v>
      </c>
      <c r="G418" s="2043">
        <v>165232475</v>
      </c>
      <c r="H418">
        <v>0</v>
      </c>
      <c r="I418" s="2043">
        <v>104838</v>
      </c>
      <c r="J418">
        <v>1</v>
      </c>
      <c r="K418">
        <v>3</v>
      </c>
      <c r="L418">
        <v>0</v>
      </c>
      <c r="M418">
        <v>0</v>
      </c>
      <c r="N418">
        <v>0</v>
      </c>
      <c r="O418">
        <v>0</v>
      </c>
      <c r="P418">
        <v>0</v>
      </c>
      <c r="Q418">
        <v>0</v>
      </c>
      <c r="R418" s="2043">
        <v>1457266</v>
      </c>
      <c r="S418">
        <v>127634</v>
      </c>
      <c r="T418">
        <v>93014</v>
      </c>
      <c r="U418">
        <v>0.08</v>
      </c>
      <c r="V418">
        <v>0</v>
      </c>
      <c r="W418">
        <v>106278</v>
      </c>
      <c r="X418">
        <v>30010</v>
      </c>
      <c r="Y418">
        <v>0</v>
      </c>
      <c r="Z418">
        <v>0</v>
      </c>
      <c r="AA418">
        <v>0</v>
      </c>
      <c r="AB418">
        <v>154.85400000000001</v>
      </c>
      <c r="AC418" s="2043">
        <v>166913545</v>
      </c>
      <c r="AD418">
        <v>109483</v>
      </c>
      <c r="AE418" s="2043">
        <v>1677914</v>
      </c>
      <c r="AF418">
        <v>1.0517000000000001</v>
      </c>
      <c r="AG418">
        <v>0</v>
      </c>
      <c r="AH418">
        <v>136288</v>
      </c>
      <c r="AI418">
        <v>0</v>
      </c>
      <c r="AJ418">
        <v>20.8</v>
      </c>
      <c r="AK418">
        <v>514</v>
      </c>
      <c r="AL418">
        <v>0</v>
      </c>
      <c r="AM418">
        <v>0</v>
      </c>
      <c r="AN418">
        <v>1.117</v>
      </c>
      <c r="AO418">
        <v>0</v>
      </c>
      <c r="AP418">
        <v>0</v>
      </c>
      <c r="AQ418">
        <v>0</v>
      </c>
      <c r="AR418">
        <v>4.0600000000000005</v>
      </c>
      <c r="AS418">
        <v>0</v>
      </c>
      <c r="AT418">
        <v>0</v>
      </c>
      <c r="AU418">
        <v>0.151</v>
      </c>
      <c r="AV418">
        <v>0</v>
      </c>
      <c r="AW418">
        <v>4.2110000000000003</v>
      </c>
      <c r="AX418">
        <v>0</v>
      </c>
      <c r="AY418">
        <v>12.935</v>
      </c>
      <c r="AZ418">
        <v>0</v>
      </c>
      <c r="BA418">
        <v>129952</v>
      </c>
      <c r="BB418">
        <v>1787397</v>
      </c>
      <c r="BC418">
        <v>0</v>
      </c>
      <c r="BD418">
        <v>31832</v>
      </c>
      <c r="BE418">
        <v>0</v>
      </c>
      <c r="BF418">
        <v>31832</v>
      </c>
      <c r="BG418">
        <v>31832</v>
      </c>
      <c r="BH418">
        <v>0</v>
      </c>
      <c r="BI418">
        <v>0</v>
      </c>
      <c r="BJ418">
        <v>0</v>
      </c>
      <c r="BK418">
        <v>0</v>
      </c>
      <c r="BL418">
        <v>165232475</v>
      </c>
      <c r="BM418">
        <v>0</v>
      </c>
      <c r="BN418">
        <v>0</v>
      </c>
      <c r="BO418">
        <v>0</v>
      </c>
      <c r="BP418">
        <v>0</v>
      </c>
      <c r="BQ418">
        <v>0</v>
      </c>
      <c r="BR418">
        <v>0.91339999999999999</v>
      </c>
      <c r="BS418">
        <v>0.91339999999999999</v>
      </c>
      <c r="BT418">
        <v>0</v>
      </c>
      <c r="BU418">
        <v>0</v>
      </c>
      <c r="BV418">
        <v>5</v>
      </c>
      <c r="BW418">
        <v>70</v>
      </c>
      <c r="BX418">
        <v>8</v>
      </c>
      <c r="BY418">
        <v>4</v>
      </c>
      <c r="BZ418">
        <v>0</v>
      </c>
      <c r="CA418">
        <v>87</v>
      </c>
      <c r="CB418">
        <v>0</v>
      </c>
      <c r="CC418">
        <v>0</v>
      </c>
      <c r="CD418">
        <v>0</v>
      </c>
      <c r="CE418">
        <v>9</v>
      </c>
      <c r="CF418">
        <v>38.585000000000001</v>
      </c>
      <c r="CG418">
        <v>0</v>
      </c>
      <c r="CH418">
        <v>0</v>
      </c>
      <c r="CI418">
        <v>0</v>
      </c>
      <c r="CJ418">
        <v>0</v>
      </c>
      <c r="CK418">
        <v>0</v>
      </c>
      <c r="CL418">
        <v>0</v>
      </c>
      <c r="CM418">
        <v>5.915</v>
      </c>
      <c r="CN418">
        <v>0</v>
      </c>
      <c r="CO418">
        <v>0</v>
      </c>
      <c r="CP418">
        <v>0</v>
      </c>
      <c r="CQ418">
        <v>0</v>
      </c>
      <c r="CR418">
        <v>0</v>
      </c>
      <c r="CS418">
        <v>0</v>
      </c>
      <c r="CT418">
        <v>0</v>
      </c>
      <c r="CU418">
        <v>0</v>
      </c>
      <c r="CV418">
        <v>1.0589999999999999</v>
      </c>
      <c r="CW418">
        <v>0</v>
      </c>
      <c r="CX418">
        <v>0</v>
      </c>
      <c r="CY418" s="2043">
        <v>0</v>
      </c>
      <c r="CZ418" s="2043">
        <v>0</v>
      </c>
      <c r="DA418" s="2043">
        <v>0</v>
      </c>
      <c r="DB418" s="2043">
        <v>0</v>
      </c>
      <c r="DC418" s="2043">
        <v>62309</v>
      </c>
      <c r="DI418" t="s">
        <v>5025</v>
      </c>
      <c r="DJ418" t="s">
        <v>5025</v>
      </c>
      <c r="DK418" s="2042">
        <f t="shared" si="8"/>
        <v>0</v>
      </c>
    </row>
    <row r="419" spans="1:115">
      <c r="A419" t="s">
        <v>2997</v>
      </c>
      <c r="B419" t="s">
        <v>1163</v>
      </c>
      <c r="C419">
        <v>799.51700000000005</v>
      </c>
      <c r="D419">
        <v>895.67700000000002</v>
      </c>
      <c r="E419">
        <v>40.005000000000003</v>
      </c>
      <c r="F419">
        <v>0</v>
      </c>
      <c r="G419" s="2043">
        <v>1092435750</v>
      </c>
      <c r="H419">
        <v>0</v>
      </c>
      <c r="I419" s="2043">
        <v>3045245</v>
      </c>
      <c r="J419">
        <v>39.975999999999999</v>
      </c>
      <c r="K419">
        <v>109</v>
      </c>
      <c r="L419">
        <v>0</v>
      </c>
      <c r="M419">
        <v>359608</v>
      </c>
      <c r="N419">
        <v>0</v>
      </c>
      <c r="O419">
        <v>359608</v>
      </c>
      <c r="P419">
        <v>0</v>
      </c>
      <c r="Q419">
        <v>0</v>
      </c>
      <c r="R419" s="2043">
        <v>9808397</v>
      </c>
      <c r="S419">
        <v>856255</v>
      </c>
      <c r="T419">
        <v>581182</v>
      </c>
      <c r="U419">
        <v>0.08</v>
      </c>
      <c r="V419">
        <v>0</v>
      </c>
      <c r="W419">
        <v>756079</v>
      </c>
      <c r="X419">
        <v>179267</v>
      </c>
      <c r="Y419">
        <v>3515992</v>
      </c>
      <c r="Z419">
        <v>0</v>
      </c>
      <c r="AA419">
        <v>4.1000000000000002E-2</v>
      </c>
      <c r="AB419">
        <v>807.09100000000001</v>
      </c>
      <c r="AC419" s="2043">
        <v>1247796264</v>
      </c>
      <c r="AD419">
        <v>5035565</v>
      </c>
      <c r="AE419" s="2043">
        <v>11245834</v>
      </c>
      <c r="AF419">
        <v>1.0507</v>
      </c>
      <c r="AG419">
        <v>0</v>
      </c>
      <c r="AH419">
        <v>935346</v>
      </c>
      <c r="AI419">
        <v>0</v>
      </c>
      <c r="AJ419">
        <v>197.26300000000001</v>
      </c>
      <c r="AK419">
        <v>5460</v>
      </c>
      <c r="AL419">
        <v>0.17500000000000002</v>
      </c>
      <c r="AM419">
        <v>0</v>
      </c>
      <c r="AN419">
        <v>89.719000000000008</v>
      </c>
      <c r="AO419">
        <v>0</v>
      </c>
      <c r="AP419">
        <v>1.9370000000000001</v>
      </c>
      <c r="AQ419">
        <v>0</v>
      </c>
      <c r="AR419">
        <v>14.787000000000001</v>
      </c>
      <c r="AS419">
        <v>0</v>
      </c>
      <c r="AT419">
        <v>5.9530000000000003</v>
      </c>
      <c r="AU419">
        <v>1.488</v>
      </c>
      <c r="AV419">
        <v>0</v>
      </c>
      <c r="AW419">
        <v>24.34</v>
      </c>
      <c r="AX419">
        <v>0</v>
      </c>
      <c r="AY419">
        <v>75.765000000000001</v>
      </c>
      <c r="AZ419">
        <v>0</v>
      </c>
      <c r="BA419">
        <v>4309101</v>
      </c>
      <c r="BB419">
        <v>16281399</v>
      </c>
      <c r="BC419">
        <v>0</v>
      </c>
      <c r="BD419">
        <v>27000</v>
      </c>
      <c r="BE419">
        <v>3370</v>
      </c>
      <c r="BF419">
        <v>30370</v>
      </c>
      <c r="BG419">
        <v>27000</v>
      </c>
      <c r="BH419">
        <v>0</v>
      </c>
      <c r="BI419">
        <v>0</v>
      </c>
      <c r="BJ419">
        <v>0</v>
      </c>
      <c r="BK419">
        <v>0</v>
      </c>
      <c r="BL419">
        <v>1092435750</v>
      </c>
      <c r="BM419">
        <v>0</v>
      </c>
      <c r="BN419">
        <v>3051</v>
      </c>
      <c r="BO419">
        <v>920</v>
      </c>
      <c r="BP419">
        <v>0</v>
      </c>
      <c r="BQ419">
        <v>0</v>
      </c>
      <c r="BR419">
        <v>0.91639999999999999</v>
      </c>
      <c r="BS419">
        <v>0.91639999999999999</v>
      </c>
      <c r="BT419">
        <v>0</v>
      </c>
      <c r="BU419">
        <v>0</v>
      </c>
      <c r="BV419">
        <v>12</v>
      </c>
      <c r="BW419">
        <v>0</v>
      </c>
      <c r="BX419">
        <v>178</v>
      </c>
      <c r="BY419">
        <v>469</v>
      </c>
      <c r="BZ419">
        <v>98</v>
      </c>
      <c r="CA419">
        <v>757</v>
      </c>
      <c r="CB419">
        <v>0</v>
      </c>
      <c r="CC419">
        <v>0</v>
      </c>
      <c r="CD419">
        <v>0</v>
      </c>
      <c r="CE419">
        <v>19</v>
      </c>
      <c r="CF419">
        <v>189.905</v>
      </c>
      <c r="CG419">
        <v>0</v>
      </c>
      <c r="CH419">
        <v>0</v>
      </c>
      <c r="CI419">
        <v>1</v>
      </c>
      <c r="CJ419">
        <v>0</v>
      </c>
      <c r="CK419">
        <v>0</v>
      </c>
      <c r="CL419">
        <v>0</v>
      </c>
      <c r="CM419">
        <v>40.005000000000003</v>
      </c>
      <c r="CN419">
        <v>0</v>
      </c>
      <c r="CO419">
        <v>0</v>
      </c>
      <c r="CP419">
        <v>0</v>
      </c>
      <c r="CQ419">
        <v>0</v>
      </c>
      <c r="CR419">
        <v>0</v>
      </c>
      <c r="CS419">
        <v>0</v>
      </c>
      <c r="CT419">
        <v>0</v>
      </c>
      <c r="CU419">
        <v>0</v>
      </c>
      <c r="CV419">
        <v>28.804000000000002</v>
      </c>
      <c r="CW419">
        <v>14.924000000000001</v>
      </c>
      <c r="CX419">
        <v>0</v>
      </c>
      <c r="CY419" s="2043">
        <v>3515992</v>
      </c>
      <c r="CZ419" s="2043">
        <v>0</v>
      </c>
      <c r="DA419" s="2043">
        <v>0</v>
      </c>
      <c r="DB419" s="2043">
        <v>0</v>
      </c>
      <c r="DC419" s="2043">
        <v>436879</v>
      </c>
      <c r="DI419" t="s">
        <v>2997</v>
      </c>
      <c r="DJ419" t="s">
        <v>2997</v>
      </c>
      <c r="DK419" s="2042">
        <f t="shared" si="8"/>
        <v>0</v>
      </c>
    </row>
    <row r="420" spans="1:115">
      <c r="A420" t="s">
        <v>5026</v>
      </c>
      <c r="B420" t="s">
        <v>1819</v>
      </c>
      <c r="C420">
        <v>462.93600000000004</v>
      </c>
      <c r="D420">
        <v>506.53000000000003</v>
      </c>
      <c r="E420">
        <v>114.38900000000001</v>
      </c>
      <c r="F420">
        <v>0</v>
      </c>
      <c r="G420" s="2043">
        <v>176044562</v>
      </c>
      <c r="H420">
        <v>0</v>
      </c>
      <c r="I420" s="2043">
        <v>801536</v>
      </c>
      <c r="J420">
        <v>23.147000000000002</v>
      </c>
      <c r="K420">
        <v>63</v>
      </c>
      <c r="L420">
        <v>0</v>
      </c>
      <c r="M420">
        <v>0</v>
      </c>
      <c r="N420">
        <v>0</v>
      </c>
      <c r="O420">
        <v>0</v>
      </c>
      <c r="P420">
        <v>0</v>
      </c>
      <c r="Q420">
        <v>0</v>
      </c>
      <c r="R420" s="2043">
        <v>1494160</v>
      </c>
      <c r="S420">
        <v>81791</v>
      </c>
      <c r="T420">
        <v>0</v>
      </c>
      <c r="U420">
        <v>0.05</v>
      </c>
      <c r="V420">
        <v>0</v>
      </c>
      <c r="W420">
        <v>0</v>
      </c>
      <c r="X420">
        <v>0</v>
      </c>
      <c r="Y420">
        <v>0</v>
      </c>
      <c r="Z420">
        <v>0</v>
      </c>
      <c r="AA420">
        <v>0</v>
      </c>
      <c r="AB420">
        <v>438.34900000000005</v>
      </c>
      <c r="AC420" s="2043">
        <v>195992514</v>
      </c>
      <c r="AD420">
        <v>620945</v>
      </c>
      <c r="AE420" s="2043">
        <v>1575951</v>
      </c>
      <c r="AF420">
        <v>0.96340000000000003</v>
      </c>
      <c r="AG420">
        <v>0</v>
      </c>
      <c r="AH420">
        <v>0</v>
      </c>
      <c r="AI420">
        <v>0</v>
      </c>
      <c r="AJ420">
        <v>98.588000000000008</v>
      </c>
      <c r="AK420">
        <v>1465</v>
      </c>
      <c r="AL420">
        <v>0</v>
      </c>
      <c r="AM420">
        <v>0</v>
      </c>
      <c r="AN420">
        <v>6.7360000000000007</v>
      </c>
      <c r="AO420">
        <v>0</v>
      </c>
      <c r="AP420">
        <v>0</v>
      </c>
      <c r="AQ420">
        <v>0</v>
      </c>
      <c r="AR420">
        <v>9.9690000000000012</v>
      </c>
      <c r="AS420">
        <v>0</v>
      </c>
      <c r="AT420">
        <v>1.28</v>
      </c>
      <c r="AU420">
        <v>0.45400000000000001</v>
      </c>
      <c r="AV420">
        <v>0</v>
      </c>
      <c r="AW420">
        <v>11.703000000000001</v>
      </c>
      <c r="AX420">
        <v>0</v>
      </c>
      <c r="AY420">
        <v>36.017000000000003</v>
      </c>
      <c r="AZ420">
        <v>0</v>
      </c>
      <c r="BA420">
        <v>4215843</v>
      </c>
      <c r="BB420">
        <v>2196896</v>
      </c>
      <c r="BC420">
        <v>0</v>
      </c>
      <c r="BD420">
        <v>26352</v>
      </c>
      <c r="BE420">
        <v>0</v>
      </c>
      <c r="BF420">
        <v>26352</v>
      </c>
      <c r="BG420">
        <v>26352</v>
      </c>
      <c r="BH420">
        <v>0</v>
      </c>
      <c r="BI420">
        <v>0</v>
      </c>
      <c r="BJ420">
        <v>0</v>
      </c>
      <c r="BK420">
        <v>0</v>
      </c>
      <c r="BL420">
        <v>176044562</v>
      </c>
      <c r="BM420">
        <v>0</v>
      </c>
      <c r="BN420">
        <v>1539</v>
      </c>
      <c r="BO420">
        <v>1594</v>
      </c>
      <c r="BP420">
        <v>0</v>
      </c>
      <c r="BQ420">
        <v>0</v>
      </c>
      <c r="BR420">
        <v>0.91339999999999999</v>
      </c>
      <c r="BS420">
        <v>0.91339999999999999</v>
      </c>
      <c r="BT420">
        <v>0</v>
      </c>
      <c r="BU420">
        <v>0</v>
      </c>
      <c r="BV420">
        <v>47</v>
      </c>
      <c r="BW420">
        <v>204</v>
      </c>
      <c r="BX420">
        <v>0</v>
      </c>
      <c r="BY420">
        <v>135</v>
      </c>
      <c r="BZ420">
        <v>15</v>
      </c>
      <c r="CA420">
        <v>401</v>
      </c>
      <c r="CB420">
        <v>0</v>
      </c>
      <c r="CC420">
        <v>0</v>
      </c>
      <c r="CD420">
        <v>0</v>
      </c>
      <c r="CE420">
        <v>21</v>
      </c>
      <c r="CF420">
        <v>132.54400000000001</v>
      </c>
      <c r="CG420">
        <v>0</v>
      </c>
      <c r="CH420">
        <v>0</v>
      </c>
      <c r="CI420">
        <v>1</v>
      </c>
      <c r="CJ420">
        <v>1</v>
      </c>
      <c r="CK420">
        <v>0</v>
      </c>
      <c r="CL420">
        <v>0</v>
      </c>
      <c r="CM420">
        <v>114.38900000000001</v>
      </c>
      <c r="CN420">
        <v>0</v>
      </c>
      <c r="CO420">
        <v>0</v>
      </c>
      <c r="CP420">
        <v>0</v>
      </c>
      <c r="CQ420">
        <v>0</v>
      </c>
      <c r="CR420">
        <v>0</v>
      </c>
      <c r="CS420">
        <v>0</v>
      </c>
      <c r="CT420">
        <v>0</v>
      </c>
      <c r="CU420">
        <v>0</v>
      </c>
      <c r="CV420">
        <v>28.931000000000001</v>
      </c>
      <c r="CW420">
        <v>16.734999999999999</v>
      </c>
      <c r="CX420">
        <v>0</v>
      </c>
      <c r="CY420" s="2043">
        <v>0</v>
      </c>
      <c r="CZ420" s="2043">
        <v>0</v>
      </c>
      <c r="DA420" s="2043">
        <v>0</v>
      </c>
      <c r="DB420" s="2043">
        <v>0</v>
      </c>
      <c r="DC420" s="2043">
        <v>0</v>
      </c>
      <c r="DI420" t="s">
        <v>2998</v>
      </c>
      <c r="DJ420" t="s">
        <v>5026</v>
      </c>
      <c r="DK420" s="2042">
        <f t="shared" si="8"/>
        <v>-998</v>
      </c>
    </row>
    <row r="421" spans="1:115">
      <c r="A421" t="s">
        <v>2998</v>
      </c>
      <c r="B421" t="s">
        <v>2366</v>
      </c>
      <c r="C421">
        <v>1824.4440000000002</v>
      </c>
      <c r="D421">
        <v>1963.1190000000001</v>
      </c>
      <c r="E421">
        <v>117.229</v>
      </c>
      <c r="F421">
        <v>0</v>
      </c>
      <c r="G421" s="2043">
        <v>1128794633</v>
      </c>
      <c r="H421">
        <v>0</v>
      </c>
      <c r="I421" s="2043">
        <v>2983950</v>
      </c>
      <c r="J421">
        <v>75</v>
      </c>
      <c r="K421">
        <v>205</v>
      </c>
      <c r="L421">
        <v>0</v>
      </c>
      <c r="M421">
        <v>781513</v>
      </c>
      <c r="N421">
        <v>0</v>
      </c>
      <c r="O421">
        <v>781513</v>
      </c>
      <c r="P421">
        <v>0</v>
      </c>
      <c r="Q421">
        <v>0</v>
      </c>
      <c r="R421" s="2043">
        <v>10110786</v>
      </c>
      <c r="S421">
        <v>917494</v>
      </c>
      <c r="T421">
        <v>668624</v>
      </c>
      <c r="U421">
        <v>0.08</v>
      </c>
      <c r="V421">
        <v>0</v>
      </c>
      <c r="W421">
        <v>0</v>
      </c>
      <c r="X421">
        <v>0</v>
      </c>
      <c r="Y421">
        <v>0</v>
      </c>
      <c r="Z421">
        <v>0</v>
      </c>
      <c r="AA421">
        <v>0</v>
      </c>
      <c r="AB421">
        <v>1943.181</v>
      </c>
      <c r="AC421" s="2043">
        <v>1190915158</v>
      </c>
      <c r="AD421">
        <v>2964315</v>
      </c>
      <c r="AE421" s="2043">
        <v>11696904</v>
      </c>
      <c r="AF421">
        <v>1.0199</v>
      </c>
      <c r="AG421">
        <v>0</v>
      </c>
      <c r="AH421">
        <v>0</v>
      </c>
      <c r="AI421">
        <v>0</v>
      </c>
      <c r="AJ421">
        <v>441.68800000000005</v>
      </c>
      <c r="AK421">
        <v>7184</v>
      </c>
      <c r="AL421">
        <v>0.312</v>
      </c>
      <c r="AM421">
        <v>0</v>
      </c>
      <c r="AN421">
        <v>136.047</v>
      </c>
      <c r="AO421">
        <v>1</v>
      </c>
      <c r="AP421">
        <v>3.645</v>
      </c>
      <c r="AQ421">
        <v>0</v>
      </c>
      <c r="AR421">
        <v>16.137</v>
      </c>
      <c r="AS421">
        <v>0</v>
      </c>
      <c r="AT421">
        <v>20.895</v>
      </c>
      <c r="AU421">
        <v>2.3820000000000001</v>
      </c>
      <c r="AV421">
        <v>0</v>
      </c>
      <c r="AW421">
        <v>43.371000000000002</v>
      </c>
      <c r="AX421">
        <v>0</v>
      </c>
      <c r="AY421">
        <v>134.40800000000002</v>
      </c>
      <c r="AZ421">
        <v>0</v>
      </c>
      <c r="BA421">
        <v>9165344</v>
      </c>
      <c r="BB421">
        <v>14661219</v>
      </c>
      <c r="BC421">
        <v>0</v>
      </c>
      <c r="BD421">
        <v>119160</v>
      </c>
      <c r="BE421">
        <v>12866</v>
      </c>
      <c r="BF421">
        <v>132026</v>
      </c>
      <c r="BG421">
        <v>119160</v>
      </c>
      <c r="BH421">
        <v>0</v>
      </c>
      <c r="BI421">
        <v>0</v>
      </c>
      <c r="BJ421">
        <v>0</v>
      </c>
      <c r="BK421">
        <v>0</v>
      </c>
      <c r="BL421">
        <v>1128794633</v>
      </c>
      <c r="BM421">
        <v>0</v>
      </c>
      <c r="BN421">
        <v>7254</v>
      </c>
      <c r="BO421">
        <v>5799</v>
      </c>
      <c r="BP421">
        <v>0</v>
      </c>
      <c r="BQ421">
        <v>0</v>
      </c>
      <c r="BR421">
        <v>0.88160000000000005</v>
      </c>
      <c r="BS421">
        <v>0.88160000000000005</v>
      </c>
      <c r="BT421">
        <v>0</v>
      </c>
      <c r="BU421">
        <v>0</v>
      </c>
      <c r="BV421">
        <v>90</v>
      </c>
      <c r="BW421">
        <v>259</v>
      </c>
      <c r="BX421">
        <v>678</v>
      </c>
      <c r="BY421">
        <v>452</v>
      </c>
      <c r="BZ421">
        <v>261</v>
      </c>
      <c r="CA421">
        <v>1740</v>
      </c>
      <c r="CB421">
        <v>0</v>
      </c>
      <c r="CC421">
        <v>0</v>
      </c>
      <c r="CD421">
        <v>0</v>
      </c>
      <c r="CE421">
        <v>142</v>
      </c>
      <c r="CF421">
        <v>513.41899999999998</v>
      </c>
      <c r="CG421">
        <v>0</v>
      </c>
      <c r="CH421">
        <v>0</v>
      </c>
      <c r="CI421">
        <v>0</v>
      </c>
      <c r="CJ421">
        <v>0</v>
      </c>
      <c r="CK421">
        <v>0</v>
      </c>
      <c r="CL421">
        <v>0</v>
      </c>
      <c r="CM421">
        <v>117.229</v>
      </c>
      <c r="CN421">
        <v>0</v>
      </c>
      <c r="CO421">
        <v>0</v>
      </c>
      <c r="CP421">
        <v>0</v>
      </c>
      <c r="CQ421">
        <v>0</v>
      </c>
      <c r="CR421">
        <v>0</v>
      </c>
      <c r="CS421">
        <v>0</v>
      </c>
      <c r="CT421">
        <v>0</v>
      </c>
      <c r="CU421">
        <v>0</v>
      </c>
      <c r="CV421">
        <v>103.37400000000001</v>
      </c>
      <c r="CW421">
        <v>50.554000000000002</v>
      </c>
      <c r="CX421">
        <v>0</v>
      </c>
      <c r="CY421" s="2043">
        <v>0</v>
      </c>
      <c r="CZ421" s="2043">
        <v>0</v>
      </c>
      <c r="DA421" s="2043">
        <v>0</v>
      </c>
      <c r="DB421" s="2043">
        <v>0</v>
      </c>
      <c r="DC421" s="2043">
        <v>0</v>
      </c>
      <c r="DI421" t="s">
        <v>5026</v>
      </c>
      <c r="DJ421" t="s">
        <v>2998</v>
      </c>
      <c r="DK421" s="2042">
        <f t="shared" si="8"/>
        <v>998</v>
      </c>
    </row>
    <row r="422" spans="1:115">
      <c r="A422" t="s">
        <v>5027</v>
      </c>
      <c r="B422" t="s">
        <v>1991</v>
      </c>
      <c r="C422">
        <v>142.267</v>
      </c>
      <c r="D422">
        <v>144.11199999999999</v>
      </c>
      <c r="E422">
        <v>14.65</v>
      </c>
      <c r="F422">
        <v>0</v>
      </c>
      <c r="G422" s="2043">
        <v>149760050</v>
      </c>
      <c r="H422">
        <v>0</v>
      </c>
      <c r="I422" s="2043">
        <v>363600</v>
      </c>
      <c r="J422">
        <v>4</v>
      </c>
      <c r="K422">
        <v>11</v>
      </c>
      <c r="L422">
        <v>0</v>
      </c>
      <c r="M422">
        <v>0</v>
      </c>
      <c r="N422">
        <v>0</v>
      </c>
      <c r="O422">
        <v>0</v>
      </c>
      <c r="P422">
        <v>0</v>
      </c>
      <c r="Q422">
        <v>0</v>
      </c>
      <c r="R422" s="2043">
        <v>1352139</v>
      </c>
      <c r="S422">
        <v>118427</v>
      </c>
      <c r="T422">
        <v>86303</v>
      </c>
      <c r="U422">
        <v>0.08</v>
      </c>
      <c r="V422">
        <v>0</v>
      </c>
      <c r="W422">
        <v>0</v>
      </c>
      <c r="X422">
        <v>8620</v>
      </c>
      <c r="Y422">
        <v>348653</v>
      </c>
      <c r="Z422">
        <v>0</v>
      </c>
      <c r="AA422">
        <v>0</v>
      </c>
      <c r="AB422">
        <v>1</v>
      </c>
      <c r="AC422" s="2043">
        <v>220638073</v>
      </c>
      <c r="AD422">
        <v>343853</v>
      </c>
      <c r="AE422" s="2043">
        <v>1556869</v>
      </c>
      <c r="AF422">
        <v>1.0517000000000001</v>
      </c>
      <c r="AG422">
        <v>0</v>
      </c>
      <c r="AH422">
        <v>8620</v>
      </c>
      <c r="AI422">
        <v>0</v>
      </c>
      <c r="AJ422">
        <v>16.413</v>
      </c>
      <c r="AK422">
        <v>396</v>
      </c>
      <c r="AL422">
        <v>0</v>
      </c>
      <c r="AM422">
        <v>0</v>
      </c>
      <c r="AN422">
        <v>5.6390000000000002</v>
      </c>
      <c r="AO422">
        <v>0</v>
      </c>
      <c r="AP422">
        <v>0</v>
      </c>
      <c r="AQ422">
        <v>0</v>
      </c>
      <c r="AR422">
        <v>1.216</v>
      </c>
      <c r="AS422">
        <v>0</v>
      </c>
      <c r="AT422">
        <v>0</v>
      </c>
      <c r="AU422">
        <v>0.17400000000000002</v>
      </c>
      <c r="AV422">
        <v>0</v>
      </c>
      <c r="AW422">
        <v>1.3900000000000001</v>
      </c>
      <c r="AX422">
        <v>0</v>
      </c>
      <c r="AY422">
        <v>4.5179999999999998</v>
      </c>
      <c r="AZ422">
        <v>0</v>
      </c>
      <c r="BA422">
        <v>787765</v>
      </c>
      <c r="BB422">
        <v>1900722</v>
      </c>
      <c r="BC422">
        <v>0</v>
      </c>
      <c r="BD422">
        <v>28985</v>
      </c>
      <c r="BE422">
        <v>184</v>
      </c>
      <c r="BF422">
        <v>29169</v>
      </c>
      <c r="BG422">
        <v>28985</v>
      </c>
      <c r="BH422">
        <v>0</v>
      </c>
      <c r="BI422">
        <v>0</v>
      </c>
      <c r="BJ422">
        <v>0</v>
      </c>
      <c r="BK422">
        <v>0</v>
      </c>
      <c r="BL422">
        <v>149760050</v>
      </c>
      <c r="BM422">
        <v>0</v>
      </c>
      <c r="BN422">
        <v>450</v>
      </c>
      <c r="BO422">
        <v>342</v>
      </c>
      <c r="BP422">
        <v>0</v>
      </c>
      <c r="BQ422">
        <v>0</v>
      </c>
      <c r="BR422">
        <v>0.91339999999999999</v>
      </c>
      <c r="BS422">
        <v>0.91339999999999999</v>
      </c>
      <c r="BT422">
        <v>0</v>
      </c>
      <c r="BU422">
        <v>304975</v>
      </c>
      <c r="BV422">
        <v>41</v>
      </c>
      <c r="BW422">
        <v>26</v>
      </c>
      <c r="BX422">
        <v>3</v>
      </c>
      <c r="BY422">
        <v>1</v>
      </c>
      <c r="BZ422">
        <v>0</v>
      </c>
      <c r="CA422">
        <v>71</v>
      </c>
      <c r="CB422">
        <v>0</v>
      </c>
      <c r="CC422">
        <v>0</v>
      </c>
      <c r="CD422">
        <v>0</v>
      </c>
      <c r="CE422">
        <v>6</v>
      </c>
      <c r="CF422">
        <v>26.927</v>
      </c>
      <c r="CG422">
        <v>0</v>
      </c>
      <c r="CH422">
        <v>0</v>
      </c>
      <c r="CI422">
        <v>2</v>
      </c>
      <c r="CJ422">
        <v>2</v>
      </c>
      <c r="CK422">
        <v>0</v>
      </c>
      <c r="CL422">
        <v>0</v>
      </c>
      <c r="CM422">
        <v>14.65</v>
      </c>
      <c r="CN422">
        <v>0</v>
      </c>
      <c r="CO422">
        <v>0</v>
      </c>
      <c r="CP422">
        <v>0</v>
      </c>
      <c r="CQ422">
        <v>0</v>
      </c>
      <c r="CR422">
        <v>0</v>
      </c>
      <c r="CS422">
        <v>0</v>
      </c>
      <c r="CT422">
        <v>0</v>
      </c>
      <c r="CU422">
        <v>0</v>
      </c>
      <c r="CV422">
        <v>9.3930000000000007</v>
      </c>
      <c r="CW422">
        <v>2.4239999999999999</v>
      </c>
      <c r="CX422">
        <v>0</v>
      </c>
      <c r="CY422" s="2043">
        <v>43678</v>
      </c>
      <c r="CZ422" s="2043">
        <v>0</v>
      </c>
      <c r="DA422" s="2043">
        <v>0</v>
      </c>
      <c r="DB422" s="2043">
        <v>0</v>
      </c>
      <c r="DC422" s="2043">
        <v>30059</v>
      </c>
      <c r="DI422" t="s">
        <v>5027</v>
      </c>
      <c r="DJ422" t="s">
        <v>5027</v>
      </c>
      <c r="DK422" s="2042">
        <f t="shared" si="8"/>
        <v>0</v>
      </c>
    </row>
    <row r="423" spans="1:115">
      <c r="A423" t="s">
        <v>5028</v>
      </c>
      <c r="B423" t="s">
        <v>2053</v>
      </c>
      <c r="C423">
        <v>2734.6950000000002</v>
      </c>
      <c r="D423">
        <v>2887.739</v>
      </c>
      <c r="E423">
        <v>462.73</v>
      </c>
      <c r="F423">
        <v>0</v>
      </c>
      <c r="G423" s="2043">
        <v>2930269210</v>
      </c>
      <c r="H423">
        <v>0</v>
      </c>
      <c r="I423" s="2043">
        <v>0</v>
      </c>
      <c r="J423">
        <v>122</v>
      </c>
      <c r="K423">
        <v>334</v>
      </c>
      <c r="L423">
        <v>0</v>
      </c>
      <c r="M423">
        <v>0</v>
      </c>
      <c r="N423">
        <v>0</v>
      </c>
      <c r="O423">
        <v>0</v>
      </c>
      <c r="P423">
        <v>0</v>
      </c>
      <c r="Q423">
        <v>0</v>
      </c>
      <c r="R423" s="2043">
        <v>26495039</v>
      </c>
      <c r="S423">
        <v>1450353</v>
      </c>
      <c r="T423">
        <v>0</v>
      </c>
      <c r="U423">
        <v>0.05</v>
      </c>
      <c r="V423">
        <v>0</v>
      </c>
      <c r="W423">
        <v>3656310</v>
      </c>
      <c r="X423">
        <v>0</v>
      </c>
      <c r="Y423">
        <v>4853741</v>
      </c>
      <c r="Z423">
        <v>0</v>
      </c>
      <c r="AA423">
        <v>0.371</v>
      </c>
      <c r="AB423">
        <v>2662.8980000000001</v>
      </c>
      <c r="AC423" s="2043">
        <v>3147132237</v>
      </c>
      <c r="AD423">
        <v>3824319</v>
      </c>
      <c r="AE423" s="2043">
        <v>27945392</v>
      </c>
      <c r="AF423">
        <v>0.96340000000000003</v>
      </c>
      <c r="AG423">
        <v>0</v>
      </c>
      <c r="AH423">
        <v>3656310</v>
      </c>
      <c r="AI423">
        <v>0</v>
      </c>
      <c r="AJ423">
        <v>394.15000000000003</v>
      </c>
      <c r="AK423">
        <v>10130</v>
      </c>
      <c r="AL423">
        <v>3.7000000000000005E-2</v>
      </c>
      <c r="AM423">
        <v>0</v>
      </c>
      <c r="AN423">
        <v>66.284000000000006</v>
      </c>
      <c r="AO423">
        <v>0</v>
      </c>
      <c r="AP423">
        <v>0</v>
      </c>
      <c r="AQ423">
        <v>0</v>
      </c>
      <c r="AR423">
        <v>79.596000000000004</v>
      </c>
      <c r="AS423">
        <v>0</v>
      </c>
      <c r="AT423">
        <v>21.879000000000001</v>
      </c>
      <c r="AU423">
        <v>7.532</v>
      </c>
      <c r="AV423">
        <v>0</v>
      </c>
      <c r="AW423">
        <v>109.79700000000001</v>
      </c>
      <c r="AX423">
        <v>0.753</v>
      </c>
      <c r="AY423">
        <v>344.00200000000001</v>
      </c>
      <c r="AZ423">
        <v>0</v>
      </c>
      <c r="BA423">
        <v>6780328</v>
      </c>
      <c r="BB423">
        <v>31769711</v>
      </c>
      <c r="BC423">
        <v>0</v>
      </c>
      <c r="BD423">
        <v>217683</v>
      </c>
      <c r="BE423">
        <v>35902</v>
      </c>
      <c r="BF423">
        <v>253585</v>
      </c>
      <c r="BG423">
        <v>217683</v>
      </c>
      <c r="BH423">
        <v>0</v>
      </c>
      <c r="BI423">
        <v>0</v>
      </c>
      <c r="BJ423">
        <v>0</v>
      </c>
      <c r="BK423">
        <v>0</v>
      </c>
      <c r="BL423">
        <v>2930269210</v>
      </c>
      <c r="BM423">
        <v>0</v>
      </c>
      <c r="BN423">
        <v>9162</v>
      </c>
      <c r="BO423">
        <v>3734</v>
      </c>
      <c r="BP423">
        <v>0</v>
      </c>
      <c r="BQ423">
        <v>0</v>
      </c>
      <c r="BR423">
        <v>0.91339999999999999</v>
      </c>
      <c r="BS423">
        <v>0.91339999999999999</v>
      </c>
      <c r="BT423">
        <v>3733690</v>
      </c>
      <c r="BU423">
        <v>1120051</v>
      </c>
      <c r="BV423">
        <v>221</v>
      </c>
      <c r="BW423">
        <v>1120</v>
      </c>
      <c r="BX423">
        <v>295</v>
      </c>
      <c r="BY423">
        <v>0</v>
      </c>
      <c r="BZ423">
        <v>17</v>
      </c>
      <c r="CA423">
        <v>1653</v>
      </c>
      <c r="CB423">
        <v>0</v>
      </c>
      <c r="CC423">
        <v>0</v>
      </c>
      <c r="CD423">
        <v>0</v>
      </c>
      <c r="CE423">
        <v>252</v>
      </c>
      <c r="CF423">
        <v>738.73200000000008</v>
      </c>
      <c r="CG423">
        <v>19.063000000000002</v>
      </c>
      <c r="CH423">
        <v>0</v>
      </c>
      <c r="CI423">
        <v>1</v>
      </c>
      <c r="CJ423">
        <v>11</v>
      </c>
      <c r="CK423">
        <v>0</v>
      </c>
      <c r="CL423">
        <v>19.063000000000002</v>
      </c>
      <c r="CM423">
        <v>462.73</v>
      </c>
      <c r="CN423">
        <v>0</v>
      </c>
      <c r="CO423">
        <v>0</v>
      </c>
      <c r="CP423">
        <v>0</v>
      </c>
      <c r="CQ423">
        <v>0</v>
      </c>
      <c r="CR423">
        <v>0</v>
      </c>
      <c r="CS423">
        <v>0</v>
      </c>
      <c r="CT423">
        <v>0</v>
      </c>
      <c r="CU423">
        <v>14.35</v>
      </c>
      <c r="CV423">
        <v>134.88400000000001</v>
      </c>
      <c r="CW423">
        <v>50.660000000000004</v>
      </c>
      <c r="CX423">
        <v>3733690</v>
      </c>
      <c r="CY423" s="2043">
        <v>0</v>
      </c>
      <c r="CZ423" s="2043">
        <v>0</v>
      </c>
      <c r="DA423" s="2043">
        <v>0</v>
      </c>
      <c r="DB423" s="2043">
        <v>0</v>
      </c>
      <c r="DC423" s="2043">
        <v>308000</v>
      </c>
      <c r="DI423" t="s">
        <v>5028</v>
      </c>
      <c r="DJ423" t="s">
        <v>5028</v>
      </c>
      <c r="DK423" s="2042">
        <f t="shared" si="8"/>
        <v>0</v>
      </c>
    </row>
    <row r="424" spans="1:115">
      <c r="A424" t="s">
        <v>8001</v>
      </c>
      <c r="B424" t="s">
        <v>11317</v>
      </c>
      <c r="C424">
        <v>1296.952</v>
      </c>
      <c r="D424">
        <v>1207.569</v>
      </c>
      <c r="E424">
        <v>233.94</v>
      </c>
      <c r="F424">
        <v>0</v>
      </c>
      <c r="G424" s="2043">
        <v>0</v>
      </c>
      <c r="H424">
        <v>0</v>
      </c>
      <c r="I424" s="2043">
        <v>0</v>
      </c>
      <c r="J424">
        <v>64.847999999999999</v>
      </c>
      <c r="K424">
        <v>177</v>
      </c>
      <c r="L424">
        <v>0</v>
      </c>
      <c r="M424">
        <v>0</v>
      </c>
      <c r="N424">
        <v>0</v>
      </c>
      <c r="O424">
        <v>0</v>
      </c>
      <c r="P424">
        <v>0</v>
      </c>
      <c r="Q424">
        <v>0</v>
      </c>
      <c r="R424" s="2043">
        <v>0</v>
      </c>
      <c r="S424">
        <v>0</v>
      </c>
      <c r="T424">
        <v>0</v>
      </c>
      <c r="U424">
        <v>0</v>
      </c>
      <c r="V424">
        <v>0</v>
      </c>
      <c r="W424">
        <v>0</v>
      </c>
      <c r="X424">
        <v>0</v>
      </c>
      <c r="Y424">
        <v>229278</v>
      </c>
      <c r="Z424">
        <v>0</v>
      </c>
      <c r="AA424">
        <v>0.14899999999999999</v>
      </c>
      <c r="AB424">
        <v>1217.2550000000001</v>
      </c>
      <c r="AC424" s="2043">
        <v>0</v>
      </c>
      <c r="AD424">
        <v>0</v>
      </c>
      <c r="AE424" s="2043">
        <v>0</v>
      </c>
      <c r="AF424">
        <v>0</v>
      </c>
      <c r="AG424">
        <v>0</v>
      </c>
      <c r="AH424">
        <v>0</v>
      </c>
      <c r="AI424">
        <v>0</v>
      </c>
      <c r="AJ424">
        <v>296.53800000000001</v>
      </c>
      <c r="AK424">
        <v>3947</v>
      </c>
      <c r="AL424">
        <v>0</v>
      </c>
      <c r="AM424">
        <v>0</v>
      </c>
      <c r="AN424">
        <v>51.545999999999999</v>
      </c>
      <c r="AO424">
        <v>1</v>
      </c>
      <c r="AP424">
        <v>0</v>
      </c>
      <c r="AQ424">
        <v>0</v>
      </c>
      <c r="AR424">
        <v>35.164000000000001</v>
      </c>
      <c r="AS424">
        <v>0</v>
      </c>
      <c r="AT424">
        <v>0</v>
      </c>
      <c r="AU424">
        <v>1.5650000000000002</v>
      </c>
      <c r="AV424">
        <v>0</v>
      </c>
      <c r="AW424">
        <v>36.728999999999999</v>
      </c>
      <c r="AX424">
        <v>0</v>
      </c>
      <c r="AY424">
        <v>113.31700000000001</v>
      </c>
      <c r="AZ424">
        <v>0</v>
      </c>
      <c r="BA424">
        <v>14567211</v>
      </c>
      <c r="BB424">
        <v>0</v>
      </c>
      <c r="BC424">
        <v>0</v>
      </c>
      <c r="BD424">
        <v>0</v>
      </c>
      <c r="BE424">
        <v>0</v>
      </c>
      <c r="BF424">
        <v>0</v>
      </c>
      <c r="BG424">
        <v>0</v>
      </c>
      <c r="BH424">
        <v>0</v>
      </c>
      <c r="BI424">
        <v>0</v>
      </c>
      <c r="BJ424">
        <v>0</v>
      </c>
      <c r="BK424">
        <v>0</v>
      </c>
      <c r="BL424">
        <v>0</v>
      </c>
      <c r="BM424">
        <v>0</v>
      </c>
      <c r="BN424">
        <v>1512</v>
      </c>
      <c r="BO424">
        <v>974</v>
      </c>
      <c r="BP424">
        <v>0</v>
      </c>
      <c r="BQ424">
        <v>0</v>
      </c>
      <c r="BR424">
        <v>0</v>
      </c>
      <c r="BS424">
        <v>0</v>
      </c>
      <c r="BT424">
        <v>0</v>
      </c>
      <c r="BU424">
        <v>0</v>
      </c>
      <c r="BV424">
        <v>244</v>
      </c>
      <c r="BW424">
        <v>160</v>
      </c>
      <c r="BX424">
        <v>368</v>
      </c>
      <c r="BY424">
        <v>221</v>
      </c>
      <c r="BZ424">
        <v>195</v>
      </c>
      <c r="CA424">
        <v>1188</v>
      </c>
      <c r="CB424">
        <v>0</v>
      </c>
      <c r="CC424">
        <v>0</v>
      </c>
      <c r="CD424">
        <v>0</v>
      </c>
      <c r="CE424">
        <v>80</v>
      </c>
      <c r="CF424">
        <v>505.12300000000005</v>
      </c>
      <c r="CG424">
        <v>0</v>
      </c>
      <c r="CH424">
        <v>0</v>
      </c>
      <c r="CI424">
        <v>4</v>
      </c>
      <c r="CJ424">
        <v>7</v>
      </c>
      <c r="CK424">
        <v>0</v>
      </c>
      <c r="CL424">
        <v>0</v>
      </c>
      <c r="CM424">
        <v>233.94</v>
      </c>
      <c r="CN424">
        <v>0</v>
      </c>
      <c r="CO424">
        <v>0</v>
      </c>
      <c r="CP424">
        <v>0</v>
      </c>
      <c r="CQ424">
        <v>0</v>
      </c>
      <c r="CR424">
        <v>0</v>
      </c>
      <c r="CS424">
        <v>0</v>
      </c>
      <c r="CT424">
        <v>0</v>
      </c>
      <c r="CU424">
        <v>8.5000000000000006E-2</v>
      </c>
      <c r="CV424">
        <v>25.449000000000002</v>
      </c>
      <c r="CW424">
        <v>20.27</v>
      </c>
      <c r="CX424">
        <v>0</v>
      </c>
      <c r="CY424" s="2043">
        <v>0</v>
      </c>
      <c r="CZ424" s="2043">
        <v>0</v>
      </c>
      <c r="DA424" s="2043">
        <v>0</v>
      </c>
      <c r="DB424" s="2043">
        <v>0</v>
      </c>
      <c r="DC424" s="2043">
        <v>0</v>
      </c>
      <c r="DI424" t="s">
        <v>8001</v>
      </c>
      <c r="DJ424" t="s">
        <v>8001</v>
      </c>
      <c r="DK424" s="2042">
        <f t="shared" si="8"/>
        <v>0</v>
      </c>
    </row>
    <row r="425" spans="1:115">
      <c r="A425" t="s">
        <v>8002</v>
      </c>
      <c r="B425" t="s">
        <v>11318</v>
      </c>
      <c r="C425">
        <v>166.928</v>
      </c>
      <c r="D425">
        <v>226.16500000000002</v>
      </c>
      <c r="E425">
        <v>0</v>
      </c>
      <c r="F425">
        <v>0</v>
      </c>
      <c r="G425" s="2043">
        <v>0</v>
      </c>
      <c r="H425">
        <v>0</v>
      </c>
      <c r="I425" s="2043">
        <v>0</v>
      </c>
      <c r="J425">
        <v>2</v>
      </c>
      <c r="K425">
        <v>5</v>
      </c>
      <c r="L425">
        <v>0</v>
      </c>
      <c r="M425">
        <v>0</v>
      </c>
      <c r="N425">
        <v>0</v>
      </c>
      <c r="O425">
        <v>0</v>
      </c>
      <c r="P425">
        <v>0</v>
      </c>
      <c r="Q425">
        <v>0</v>
      </c>
      <c r="R425" s="2043">
        <v>0</v>
      </c>
      <c r="S425">
        <v>0</v>
      </c>
      <c r="T425">
        <v>0</v>
      </c>
      <c r="U425">
        <v>0</v>
      </c>
      <c r="V425">
        <v>0</v>
      </c>
      <c r="W425">
        <v>0</v>
      </c>
      <c r="X425">
        <v>0</v>
      </c>
      <c r="Y425">
        <v>29510</v>
      </c>
      <c r="Z425">
        <v>0</v>
      </c>
      <c r="AA425">
        <v>0</v>
      </c>
      <c r="AB425">
        <v>208.79300000000001</v>
      </c>
      <c r="AC425" s="2043">
        <v>0</v>
      </c>
      <c r="AD425">
        <v>0</v>
      </c>
      <c r="AE425" s="2043">
        <v>0</v>
      </c>
      <c r="AF425">
        <v>0</v>
      </c>
      <c r="AG425">
        <v>0</v>
      </c>
      <c r="AH425">
        <v>0</v>
      </c>
      <c r="AI425">
        <v>0</v>
      </c>
      <c r="AJ425">
        <v>41.925000000000004</v>
      </c>
      <c r="AK425">
        <v>219</v>
      </c>
      <c r="AL425">
        <v>0</v>
      </c>
      <c r="AM425">
        <v>0</v>
      </c>
      <c r="AN425">
        <v>0</v>
      </c>
      <c r="AO425">
        <v>0</v>
      </c>
      <c r="AP425">
        <v>0</v>
      </c>
      <c r="AQ425">
        <v>0</v>
      </c>
      <c r="AR425">
        <v>2.8770000000000002</v>
      </c>
      <c r="AS425">
        <v>0</v>
      </c>
      <c r="AT425">
        <v>0</v>
      </c>
      <c r="AU425">
        <v>0.21100000000000002</v>
      </c>
      <c r="AV425">
        <v>0</v>
      </c>
      <c r="AW425">
        <v>3.0880000000000001</v>
      </c>
      <c r="AX425">
        <v>0</v>
      </c>
      <c r="AY425">
        <v>9.6859999999999999</v>
      </c>
      <c r="AZ425">
        <v>0</v>
      </c>
      <c r="BA425">
        <v>1784577</v>
      </c>
      <c r="BB425">
        <v>0</v>
      </c>
      <c r="BC425">
        <v>0</v>
      </c>
      <c r="BD425">
        <v>0</v>
      </c>
      <c r="BE425">
        <v>0</v>
      </c>
      <c r="BF425">
        <v>0</v>
      </c>
      <c r="BG425">
        <v>0</v>
      </c>
      <c r="BH425">
        <v>0</v>
      </c>
      <c r="BI425">
        <v>0</v>
      </c>
      <c r="BJ425">
        <v>0</v>
      </c>
      <c r="BK425">
        <v>0</v>
      </c>
      <c r="BL425">
        <v>0</v>
      </c>
      <c r="BM425">
        <v>0</v>
      </c>
      <c r="BN425">
        <v>0</v>
      </c>
      <c r="BO425">
        <v>0</v>
      </c>
      <c r="BP425">
        <v>0</v>
      </c>
      <c r="BQ425">
        <v>10000</v>
      </c>
      <c r="BR425">
        <v>0</v>
      </c>
      <c r="BS425">
        <v>0</v>
      </c>
      <c r="BT425">
        <v>0</v>
      </c>
      <c r="BU425">
        <v>0</v>
      </c>
      <c r="BV425">
        <v>23</v>
      </c>
      <c r="BW425">
        <v>10</v>
      </c>
      <c r="BX425">
        <v>59</v>
      </c>
      <c r="BY425">
        <v>36</v>
      </c>
      <c r="BZ425">
        <v>37</v>
      </c>
      <c r="CA425">
        <v>165</v>
      </c>
      <c r="CB425">
        <v>0</v>
      </c>
      <c r="CC425">
        <v>0</v>
      </c>
      <c r="CD425">
        <v>0</v>
      </c>
      <c r="CE425">
        <v>0</v>
      </c>
      <c r="CF425">
        <v>67.984000000000009</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s="2043">
        <v>0</v>
      </c>
      <c r="CZ425" s="2043">
        <v>0</v>
      </c>
      <c r="DA425" s="2043">
        <v>0</v>
      </c>
      <c r="DB425" s="2043">
        <v>0</v>
      </c>
      <c r="DC425" s="2043">
        <v>0</v>
      </c>
      <c r="DI425" t="s">
        <v>8002</v>
      </c>
      <c r="DJ425" t="s">
        <v>8002</v>
      </c>
      <c r="DK425" s="2042">
        <f t="shared" si="8"/>
        <v>0</v>
      </c>
    </row>
    <row r="426" spans="1:115">
      <c r="A426" t="s">
        <v>5029</v>
      </c>
      <c r="B426" t="s">
        <v>1880</v>
      </c>
      <c r="C426">
        <v>10991.304</v>
      </c>
      <c r="D426">
        <v>11001.014999999999</v>
      </c>
      <c r="E426">
        <v>1374.6850000000002</v>
      </c>
      <c r="F426">
        <v>0</v>
      </c>
      <c r="G426" s="2043">
        <v>5849468641</v>
      </c>
      <c r="H426">
        <v>0</v>
      </c>
      <c r="I426" s="2043">
        <v>22210431</v>
      </c>
      <c r="J426">
        <v>549.56500000000005</v>
      </c>
      <c r="K426">
        <v>1502</v>
      </c>
      <c r="L426">
        <v>0</v>
      </c>
      <c r="M426">
        <v>2081125</v>
      </c>
      <c r="N426">
        <v>0</v>
      </c>
      <c r="O426">
        <v>2081125</v>
      </c>
      <c r="P426">
        <v>0</v>
      </c>
      <c r="Q426">
        <v>0</v>
      </c>
      <c r="R426" s="2043">
        <v>46284633</v>
      </c>
      <c r="S426">
        <v>2815367</v>
      </c>
      <c r="T426">
        <v>0</v>
      </c>
      <c r="U426">
        <v>0.05</v>
      </c>
      <c r="V426">
        <v>0</v>
      </c>
      <c r="W426">
        <v>0</v>
      </c>
      <c r="X426">
        <v>0</v>
      </c>
      <c r="Y426">
        <v>-2968</v>
      </c>
      <c r="Z426">
        <v>0</v>
      </c>
      <c r="AA426">
        <v>1.0609999999999999</v>
      </c>
      <c r="AB426">
        <v>10724.221</v>
      </c>
      <c r="AC426" s="2043">
        <v>3965523597</v>
      </c>
      <c r="AD426">
        <v>24800000</v>
      </c>
      <c r="AE426" s="2043">
        <v>49100000</v>
      </c>
      <c r="AF426">
        <v>0.872</v>
      </c>
      <c r="AG426">
        <v>0</v>
      </c>
      <c r="AH426">
        <v>0</v>
      </c>
      <c r="AI426">
        <v>0</v>
      </c>
      <c r="AJ426">
        <v>1855.2630000000001</v>
      </c>
      <c r="AK426">
        <v>41785</v>
      </c>
      <c r="AL426">
        <v>0.88600000000000001</v>
      </c>
      <c r="AM426">
        <v>0</v>
      </c>
      <c r="AN426">
        <v>783.63300000000004</v>
      </c>
      <c r="AO426">
        <v>1</v>
      </c>
      <c r="AP426">
        <v>0.69000000000000006</v>
      </c>
      <c r="AQ426">
        <v>3.7240000000000002</v>
      </c>
      <c r="AR426">
        <v>87.823999999999998</v>
      </c>
      <c r="AS426">
        <v>0</v>
      </c>
      <c r="AT426">
        <v>179.505</v>
      </c>
      <c r="AU426">
        <v>20.497</v>
      </c>
      <c r="AV426">
        <v>0</v>
      </c>
      <c r="AW426">
        <v>300.29000000000002</v>
      </c>
      <c r="AX426">
        <v>7.1640000000000006</v>
      </c>
      <c r="AY426">
        <v>927.24200000000008</v>
      </c>
      <c r="AZ426">
        <v>0</v>
      </c>
      <c r="BA426">
        <v>52538849</v>
      </c>
      <c r="BB426">
        <v>73900000</v>
      </c>
      <c r="BC426">
        <v>0</v>
      </c>
      <c r="BD426">
        <v>925717</v>
      </c>
      <c r="BE426">
        <v>321538</v>
      </c>
      <c r="BF426">
        <v>1258135</v>
      </c>
      <c r="BG426">
        <v>925717</v>
      </c>
      <c r="BH426">
        <v>10880</v>
      </c>
      <c r="BI426">
        <v>0</v>
      </c>
      <c r="BJ426">
        <v>-2968</v>
      </c>
      <c r="BK426">
        <v>0</v>
      </c>
      <c r="BL426">
        <v>5849468641</v>
      </c>
      <c r="BM426">
        <v>0</v>
      </c>
      <c r="BN426">
        <v>37755</v>
      </c>
      <c r="BO426">
        <v>25092</v>
      </c>
      <c r="BP426">
        <v>4757</v>
      </c>
      <c r="BQ426">
        <v>0</v>
      </c>
      <c r="BR426">
        <v>0.82200000000000006</v>
      </c>
      <c r="BS426">
        <v>0.82200000000000006</v>
      </c>
      <c r="BT426">
        <v>0</v>
      </c>
      <c r="BU426">
        <v>0</v>
      </c>
      <c r="BV426">
        <v>2299</v>
      </c>
      <c r="BW426">
        <v>2166</v>
      </c>
      <c r="BX426">
        <v>1447</v>
      </c>
      <c r="BY426">
        <v>1313</v>
      </c>
      <c r="BZ426">
        <v>426</v>
      </c>
      <c r="CA426">
        <v>7651</v>
      </c>
      <c r="CB426">
        <v>0</v>
      </c>
      <c r="CC426">
        <v>432.67100000000005</v>
      </c>
      <c r="CD426">
        <v>0</v>
      </c>
      <c r="CE426">
        <v>686</v>
      </c>
      <c r="CF426">
        <v>2811.096</v>
      </c>
      <c r="CG426">
        <v>85.085999999999999</v>
      </c>
      <c r="CH426">
        <v>4.3120000000000003</v>
      </c>
      <c r="CI426">
        <v>49</v>
      </c>
      <c r="CJ426">
        <v>46</v>
      </c>
      <c r="CK426">
        <v>3</v>
      </c>
      <c r="CL426">
        <v>89.39800000000001</v>
      </c>
      <c r="CM426">
        <v>1374.6850000000002</v>
      </c>
      <c r="CN426">
        <v>0</v>
      </c>
      <c r="CO426">
        <v>0</v>
      </c>
      <c r="CP426">
        <v>4757</v>
      </c>
      <c r="CQ426">
        <v>0</v>
      </c>
      <c r="CR426">
        <v>0</v>
      </c>
      <c r="CS426">
        <v>0</v>
      </c>
      <c r="CT426">
        <v>0</v>
      </c>
      <c r="CU426">
        <v>11.554</v>
      </c>
      <c r="CV426">
        <v>345.488</v>
      </c>
      <c r="CW426">
        <v>244.643</v>
      </c>
      <c r="CX426">
        <v>0</v>
      </c>
      <c r="CY426" s="2043">
        <v>0</v>
      </c>
      <c r="CZ426" s="2043">
        <v>0</v>
      </c>
      <c r="DA426" s="2043">
        <v>0</v>
      </c>
      <c r="DB426" s="2043">
        <v>0</v>
      </c>
      <c r="DC426" s="2043">
        <v>0</v>
      </c>
      <c r="DI426" t="s">
        <v>5029</v>
      </c>
      <c r="DJ426" t="s">
        <v>5029</v>
      </c>
      <c r="DK426" s="2042">
        <f t="shared" si="8"/>
        <v>0</v>
      </c>
    </row>
    <row r="427" spans="1:115">
      <c r="A427" t="s">
        <v>5030</v>
      </c>
      <c r="B427" t="s">
        <v>2108</v>
      </c>
      <c r="C427">
        <v>5890.6270000000004</v>
      </c>
      <c r="D427">
        <v>6360.4120000000003</v>
      </c>
      <c r="E427">
        <v>859.22</v>
      </c>
      <c r="F427">
        <v>0</v>
      </c>
      <c r="G427" s="2043">
        <v>10491181089</v>
      </c>
      <c r="H427">
        <v>0</v>
      </c>
      <c r="I427" s="2043">
        <v>7683059</v>
      </c>
      <c r="J427">
        <v>294.53100000000001</v>
      </c>
      <c r="K427">
        <v>805</v>
      </c>
      <c r="L427">
        <v>0</v>
      </c>
      <c r="M427">
        <v>0</v>
      </c>
      <c r="N427">
        <v>0</v>
      </c>
      <c r="O427">
        <v>0</v>
      </c>
      <c r="P427">
        <v>0</v>
      </c>
      <c r="Q427">
        <v>0</v>
      </c>
      <c r="R427" s="2043">
        <v>80511603</v>
      </c>
      <c r="S427">
        <v>5876759</v>
      </c>
      <c r="T427">
        <v>0</v>
      </c>
      <c r="U427">
        <v>0.06</v>
      </c>
      <c r="V427">
        <v>0</v>
      </c>
      <c r="W427">
        <v>29086671</v>
      </c>
      <c r="X427">
        <v>0</v>
      </c>
      <c r="Y427">
        <v>66112</v>
      </c>
      <c r="Z427">
        <v>0</v>
      </c>
      <c r="AA427">
        <v>1.7450000000000001</v>
      </c>
      <c r="AB427">
        <v>6156.8070000000007</v>
      </c>
      <c r="AC427" s="2043">
        <v>7984006120</v>
      </c>
      <c r="AD427">
        <v>7952721</v>
      </c>
      <c r="AE427" s="2043">
        <v>86388362</v>
      </c>
      <c r="AF427">
        <v>0.88200000000000001</v>
      </c>
      <c r="AG427">
        <v>0</v>
      </c>
      <c r="AH427">
        <v>29086671</v>
      </c>
      <c r="AI427">
        <v>0</v>
      </c>
      <c r="AJ427">
        <v>1349.538</v>
      </c>
      <c r="AK427">
        <v>18545</v>
      </c>
      <c r="AL427">
        <v>0.60699999999999998</v>
      </c>
      <c r="AM427">
        <v>0</v>
      </c>
      <c r="AN427">
        <v>175.49299999999999</v>
      </c>
      <c r="AO427">
        <v>0.93800000000000006</v>
      </c>
      <c r="AP427">
        <v>7.9000000000000001E-2</v>
      </c>
      <c r="AQ427">
        <v>0</v>
      </c>
      <c r="AR427">
        <v>115.09400000000001</v>
      </c>
      <c r="AS427">
        <v>0</v>
      </c>
      <c r="AT427">
        <v>71.365000000000009</v>
      </c>
      <c r="AU427">
        <v>10.566000000000001</v>
      </c>
      <c r="AV427">
        <v>0</v>
      </c>
      <c r="AW427">
        <v>197.71100000000001</v>
      </c>
      <c r="AX427">
        <v>0</v>
      </c>
      <c r="AY427">
        <v>615.45500000000004</v>
      </c>
      <c r="AZ427">
        <v>0</v>
      </c>
      <c r="BA427">
        <v>3366479</v>
      </c>
      <c r="BB427">
        <v>94341083</v>
      </c>
      <c r="BC427">
        <v>0</v>
      </c>
      <c r="BD427">
        <v>278580</v>
      </c>
      <c r="BE427">
        <v>166449</v>
      </c>
      <c r="BF427">
        <v>522260</v>
      </c>
      <c r="BG427">
        <v>278580</v>
      </c>
      <c r="BH427">
        <v>77231</v>
      </c>
      <c r="BI427">
        <v>0</v>
      </c>
      <c r="BJ427">
        <v>-15531</v>
      </c>
      <c r="BK427">
        <v>0</v>
      </c>
      <c r="BL427">
        <v>10491181089</v>
      </c>
      <c r="BM427">
        <v>81643</v>
      </c>
      <c r="BN427">
        <v>26280</v>
      </c>
      <c r="BO427">
        <v>20705</v>
      </c>
      <c r="BP427">
        <v>1328201</v>
      </c>
      <c r="BQ427">
        <v>0</v>
      </c>
      <c r="BR427">
        <v>0.82200000000000006</v>
      </c>
      <c r="BS427">
        <v>0.82200000000000006</v>
      </c>
      <c r="BT427">
        <v>0</v>
      </c>
      <c r="BU427">
        <v>0</v>
      </c>
      <c r="BV427">
        <v>664</v>
      </c>
      <c r="BW427">
        <v>199</v>
      </c>
      <c r="BX427">
        <v>1865</v>
      </c>
      <c r="BY427">
        <v>906</v>
      </c>
      <c r="BZ427">
        <v>1632</v>
      </c>
      <c r="CA427">
        <v>5266</v>
      </c>
      <c r="CB427">
        <v>0</v>
      </c>
      <c r="CC427">
        <v>481.78700000000003</v>
      </c>
      <c r="CD427">
        <v>41.267000000000003</v>
      </c>
      <c r="CE427">
        <v>286</v>
      </c>
      <c r="CF427">
        <v>2010.306</v>
      </c>
      <c r="CG427">
        <v>91.593000000000004</v>
      </c>
      <c r="CH427">
        <v>0</v>
      </c>
      <c r="CI427">
        <v>30</v>
      </c>
      <c r="CJ427">
        <v>61</v>
      </c>
      <c r="CK427">
        <v>1</v>
      </c>
      <c r="CL427">
        <v>91.593000000000004</v>
      </c>
      <c r="CM427">
        <v>859.22</v>
      </c>
      <c r="CN427">
        <v>799158</v>
      </c>
      <c r="CO427">
        <v>413816</v>
      </c>
      <c r="CP427">
        <v>97227</v>
      </c>
      <c r="CQ427">
        <v>18000</v>
      </c>
      <c r="CR427">
        <v>0</v>
      </c>
      <c r="CS427">
        <v>0</v>
      </c>
      <c r="CT427">
        <v>0</v>
      </c>
      <c r="CU427">
        <v>62.370000000000005</v>
      </c>
      <c r="CV427">
        <v>285.26800000000003</v>
      </c>
      <c r="CW427">
        <v>212.48600000000002</v>
      </c>
      <c r="CX427">
        <v>0</v>
      </c>
      <c r="CY427" s="2043">
        <v>0</v>
      </c>
      <c r="CZ427" s="2043">
        <v>0</v>
      </c>
      <c r="DA427" s="2043">
        <v>0</v>
      </c>
      <c r="DB427" s="2043">
        <v>0</v>
      </c>
      <c r="DC427" s="2043">
        <v>746695</v>
      </c>
      <c r="DI427" t="s">
        <v>5030</v>
      </c>
      <c r="DJ427" t="s">
        <v>5030</v>
      </c>
      <c r="DK427" s="2042">
        <f t="shared" si="8"/>
        <v>0</v>
      </c>
    </row>
    <row r="428" spans="1:115">
      <c r="A428" t="s">
        <v>5031</v>
      </c>
      <c r="B428" t="s">
        <v>1762</v>
      </c>
      <c r="C428">
        <v>144.93</v>
      </c>
      <c r="D428">
        <v>179.15900000000002</v>
      </c>
      <c r="E428">
        <v>0</v>
      </c>
      <c r="F428">
        <v>0</v>
      </c>
      <c r="G428" s="2043">
        <v>183011248</v>
      </c>
      <c r="H428">
        <v>0</v>
      </c>
      <c r="I428" s="2043">
        <v>172975</v>
      </c>
      <c r="J428">
        <v>7.2470000000000008</v>
      </c>
      <c r="K428">
        <v>20</v>
      </c>
      <c r="L428">
        <v>0</v>
      </c>
      <c r="M428">
        <v>0</v>
      </c>
      <c r="N428">
        <v>0</v>
      </c>
      <c r="O428">
        <v>0</v>
      </c>
      <c r="P428">
        <v>0</v>
      </c>
      <c r="Q428">
        <v>0</v>
      </c>
      <c r="R428" s="2043">
        <v>1485424</v>
      </c>
      <c r="S428">
        <v>144163</v>
      </c>
      <c r="T428">
        <v>105240</v>
      </c>
      <c r="U428">
        <v>0.08</v>
      </c>
      <c r="V428">
        <v>0</v>
      </c>
      <c r="W428">
        <v>0</v>
      </c>
      <c r="X428">
        <v>0</v>
      </c>
      <c r="Y428">
        <v>13714</v>
      </c>
      <c r="Z428">
        <v>0</v>
      </c>
      <c r="AA428">
        <v>0</v>
      </c>
      <c r="AB428">
        <v>171.70600000000002</v>
      </c>
      <c r="AC428" s="2043">
        <v>130604442</v>
      </c>
      <c r="AD428">
        <v>166163</v>
      </c>
      <c r="AE428" s="2043">
        <v>1734827</v>
      </c>
      <c r="AF428">
        <v>0.9627</v>
      </c>
      <c r="AG428">
        <v>0</v>
      </c>
      <c r="AH428">
        <v>0</v>
      </c>
      <c r="AI428">
        <v>0</v>
      </c>
      <c r="AJ428">
        <v>22.013000000000002</v>
      </c>
      <c r="AK428">
        <v>926</v>
      </c>
      <c r="AL428">
        <v>0</v>
      </c>
      <c r="AM428">
        <v>0</v>
      </c>
      <c r="AN428">
        <v>17.118000000000002</v>
      </c>
      <c r="AO428">
        <v>0</v>
      </c>
      <c r="AP428">
        <v>0</v>
      </c>
      <c r="AQ428">
        <v>0</v>
      </c>
      <c r="AR428">
        <v>0.52300000000000002</v>
      </c>
      <c r="AS428">
        <v>0</v>
      </c>
      <c r="AT428">
        <v>1.105</v>
      </c>
      <c r="AU428">
        <v>0.24100000000000002</v>
      </c>
      <c r="AV428">
        <v>0</v>
      </c>
      <c r="AW428">
        <v>1.869</v>
      </c>
      <c r="AX428">
        <v>0</v>
      </c>
      <c r="AY428">
        <v>6.0890000000000004</v>
      </c>
      <c r="AZ428">
        <v>0</v>
      </c>
      <c r="BA428">
        <v>474425</v>
      </c>
      <c r="BB428">
        <v>1900990</v>
      </c>
      <c r="BC428">
        <v>0</v>
      </c>
      <c r="BD428">
        <v>34626</v>
      </c>
      <c r="BE428">
        <v>0</v>
      </c>
      <c r="BF428">
        <v>34626</v>
      </c>
      <c r="BG428">
        <v>34626</v>
      </c>
      <c r="BH428">
        <v>0</v>
      </c>
      <c r="BI428">
        <v>0</v>
      </c>
      <c r="BJ428">
        <v>0</v>
      </c>
      <c r="BK428">
        <v>0</v>
      </c>
      <c r="BL428">
        <v>183011248</v>
      </c>
      <c r="BM428">
        <v>0</v>
      </c>
      <c r="BN428">
        <v>729</v>
      </c>
      <c r="BO428">
        <v>567</v>
      </c>
      <c r="BP428">
        <v>0</v>
      </c>
      <c r="BQ428">
        <v>0</v>
      </c>
      <c r="BR428">
        <v>0.82430000000000003</v>
      </c>
      <c r="BS428">
        <v>0.82430000000000003</v>
      </c>
      <c r="BT428">
        <v>0</v>
      </c>
      <c r="BU428">
        <v>13714</v>
      </c>
      <c r="BV428">
        <v>12</v>
      </c>
      <c r="BW428">
        <v>65</v>
      </c>
      <c r="BX428">
        <v>10</v>
      </c>
      <c r="BY428">
        <v>0</v>
      </c>
      <c r="BZ428">
        <v>5</v>
      </c>
      <c r="CA428">
        <v>92</v>
      </c>
      <c r="CB428">
        <v>0</v>
      </c>
      <c r="CC428">
        <v>0</v>
      </c>
      <c r="CD428">
        <v>0</v>
      </c>
      <c r="CE428">
        <v>9</v>
      </c>
      <c r="CF428">
        <v>15.832000000000001</v>
      </c>
      <c r="CG428">
        <v>0</v>
      </c>
      <c r="CH428">
        <v>0</v>
      </c>
      <c r="CI428">
        <v>1</v>
      </c>
      <c r="CJ428">
        <v>3</v>
      </c>
      <c r="CK428">
        <v>0</v>
      </c>
      <c r="CL428">
        <v>0</v>
      </c>
      <c r="CM428">
        <v>0</v>
      </c>
      <c r="CN428">
        <v>0</v>
      </c>
      <c r="CO428">
        <v>0</v>
      </c>
      <c r="CP428">
        <v>0</v>
      </c>
      <c r="CQ428">
        <v>0</v>
      </c>
      <c r="CR428">
        <v>0</v>
      </c>
      <c r="CS428">
        <v>0</v>
      </c>
      <c r="CT428">
        <v>0</v>
      </c>
      <c r="CU428">
        <v>0</v>
      </c>
      <c r="CV428">
        <v>6.9990000000000006</v>
      </c>
      <c r="CW428">
        <v>1.4140000000000001</v>
      </c>
      <c r="CX428">
        <v>0</v>
      </c>
      <c r="CY428" s="2043">
        <v>0</v>
      </c>
      <c r="CZ428" s="2043">
        <v>0</v>
      </c>
      <c r="DA428" s="2043">
        <v>0</v>
      </c>
      <c r="DB428" s="2043">
        <v>0</v>
      </c>
      <c r="DC428" s="2043">
        <v>0</v>
      </c>
      <c r="DI428" t="s">
        <v>5031</v>
      </c>
      <c r="DJ428" t="s">
        <v>5031</v>
      </c>
      <c r="DK428" s="2042">
        <f t="shared" si="8"/>
        <v>0</v>
      </c>
    </row>
    <row r="429" spans="1:115">
      <c r="A429" t="s">
        <v>5033</v>
      </c>
      <c r="B429" t="s">
        <v>2319</v>
      </c>
      <c r="C429">
        <v>1511.068</v>
      </c>
      <c r="D429">
        <v>1471.0510000000002</v>
      </c>
      <c r="E429">
        <v>115.26700000000001</v>
      </c>
      <c r="F429">
        <v>0</v>
      </c>
      <c r="G429" s="2043">
        <v>1076951888</v>
      </c>
      <c r="H429">
        <v>0</v>
      </c>
      <c r="I429" s="2043">
        <v>2552664</v>
      </c>
      <c r="J429">
        <v>73</v>
      </c>
      <c r="K429">
        <v>200</v>
      </c>
      <c r="L429">
        <v>0</v>
      </c>
      <c r="M429">
        <v>0</v>
      </c>
      <c r="N429">
        <v>0</v>
      </c>
      <c r="O429">
        <v>0</v>
      </c>
      <c r="P429">
        <v>0</v>
      </c>
      <c r="Q429">
        <v>0</v>
      </c>
      <c r="R429" s="2043">
        <v>8677483</v>
      </c>
      <c r="S429">
        <v>527827</v>
      </c>
      <c r="T429">
        <v>0</v>
      </c>
      <c r="U429">
        <v>0.05</v>
      </c>
      <c r="V429">
        <v>0</v>
      </c>
      <c r="W429">
        <v>0</v>
      </c>
      <c r="X429">
        <v>0</v>
      </c>
      <c r="Y429">
        <v>565148</v>
      </c>
      <c r="Z429">
        <v>2.2549999999999999</v>
      </c>
      <c r="AA429">
        <v>0.23700000000000002</v>
      </c>
      <c r="AB429">
        <v>1441.0440000000001</v>
      </c>
      <c r="AC429" s="2043">
        <v>725733936</v>
      </c>
      <c r="AD429">
        <v>2130954</v>
      </c>
      <c r="AE429" s="2043">
        <v>9205310</v>
      </c>
      <c r="AF429">
        <v>0.872</v>
      </c>
      <c r="AG429">
        <v>0</v>
      </c>
      <c r="AH429">
        <v>0</v>
      </c>
      <c r="AI429">
        <v>0</v>
      </c>
      <c r="AJ429">
        <v>337.58800000000002</v>
      </c>
      <c r="AK429">
        <v>6664</v>
      </c>
      <c r="AL429">
        <v>0.16400000000000001</v>
      </c>
      <c r="AM429">
        <v>0</v>
      </c>
      <c r="AN429">
        <v>107.241</v>
      </c>
      <c r="AO429">
        <v>1.4000000000000001</v>
      </c>
      <c r="AP429">
        <v>0.83800000000000008</v>
      </c>
      <c r="AQ429">
        <v>0</v>
      </c>
      <c r="AR429">
        <v>16.023</v>
      </c>
      <c r="AS429">
        <v>0</v>
      </c>
      <c r="AT429">
        <v>24.667000000000002</v>
      </c>
      <c r="AU429">
        <v>3.718</v>
      </c>
      <c r="AV429">
        <v>0</v>
      </c>
      <c r="AW429">
        <v>45.410000000000004</v>
      </c>
      <c r="AX429">
        <v>0</v>
      </c>
      <c r="AY429">
        <v>143.74299999999999</v>
      </c>
      <c r="AZ429">
        <v>0</v>
      </c>
      <c r="BA429">
        <v>6949886</v>
      </c>
      <c r="BB429">
        <v>11336264</v>
      </c>
      <c r="BC429">
        <v>0</v>
      </c>
      <c r="BD429">
        <v>68520</v>
      </c>
      <c r="BE429">
        <v>20750</v>
      </c>
      <c r="BF429">
        <v>136814</v>
      </c>
      <c r="BG429">
        <v>68520</v>
      </c>
      <c r="BH429">
        <v>47544</v>
      </c>
      <c r="BI429">
        <v>0</v>
      </c>
      <c r="BJ429">
        <v>0</v>
      </c>
      <c r="BK429">
        <v>0</v>
      </c>
      <c r="BL429">
        <v>1076951888</v>
      </c>
      <c r="BM429">
        <v>0</v>
      </c>
      <c r="BN429">
        <v>4959</v>
      </c>
      <c r="BO429">
        <v>1819</v>
      </c>
      <c r="BP429">
        <v>0</v>
      </c>
      <c r="BQ429">
        <v>0</v>
      </c>
      <c r="BR429">
        <v>0.82200000000000006</v>
      </c>
      <c r="BS429">
        <v>0.82200000000000006</v>
      </c>
      <c r="BT429">
        <v>565148</v>
      </c>
      <c r="BU429">
        <v>0</v>
      </c>
      <c r="BV429">
        <v>519</v>
      </c>
      <c r="BW429">
        <v>38</v>
      </c>
      <c r="BX429">
        <v>446</v>
      </c>
      <c r="BY429">
        <v>29</v>
      </c>
      <c r="BZ429">
        <v>337</v>
      </c>
      <c r="CA429">
        <v>1369</v>
      </c>
      <c r="CB429">
        <v>0</v>
      </c>
      <c r="CC429">
        <v>0</v>
      </c>
      <c r="CD429">
        <v>0</v>
      </c>
      <c r="CE429">
        <v>76</v>
      </c>
      <c r="CF429">
        <v>439.43</v>
      </c>
      <c r="CG429">
        <v>0</v>
      </c>
      <c r="CH429">
        <v>0</v>
      </c>
      <c r="CI429">
        <v>1</v>
      </c>
      <c r="CJ429">
        <v>9</v>
      </c>
      <c r="CK429">
        <v>0</v>
      </c>
      <c r="CL429">
        <v>0</v>
      </c>
      <c r="CM429">
        <v>115.26700000000001</v>
      </c>
      <c r="CN429">
        <v>0</v>
      </c>
      <c r="CO429">
        <v>0</v>
      </c>
      <c r="CP429">
        <v>0</v>
      </c>
      <c r="CQ429">
        <v>0</v>
      </c>
      <c r="CR429">
        <v>0</v>
      </c>
      <c r="CS429">
        <v>0</v>
      </c>
      <c r="CT429">
        <v>0</v>
      </c>
      <c r="CU429">
        <v>0</v>
      </c>
      <c r="CV429">
        <v>62.59</v>
      </c>
      <c r="CW429">
        <v>33.091000000000001</v>
      </c>
      <c r="CX429">
        <v>565148</v>
      </c>
      <c r="CY429" s="2043">
        <v>0</v>
      </c>
      <c r="CZ429" s="2043">
        <v>0</v>
      </c>
      <c r="DA429" s="2043">
        <v>0</v>
      </c>
      <c r="DB429" s="2043">
        <v>0</v>
      </c>
      <c r="DC429" s="2043">
        <v>675104</v>
      </c>
      <c r="DI429" t="s">
        <v>5032</v>
      </c>
      <c r="DJ429" t="s">
        <v>5033</v>
      </c>
      <c r="DK429" s="2042">
        <f t="shared" si="8"/>
        <v>-2</v>
      </c>
    </row>
    <row r="430" spans="1:115">
      <c r="A430" t="s">
        <v>5032</v>
      </c>
      <c r="B430" t="s">
        <v>718</v>
      </c>
      <c r="C430">
        <v>6940.3950000000004</v>
      </c>
      <c r="D430">
        <v>7193.05</v>
      </c>
      <c r="E430">
        <v>774.072</v>
      </c>
      <c r="F430">
        <v>0</v>
      </c>
      <c r="G430" s="2043">
        <v>6000645090</v>
      </c>
      <c r="H430">
        <v>0</v>
      </c>
      <c r="I430" s="2043">
        <v>19942341</v>
      </c>
      <c r="J430">
        <v>347.02</v>
      </c>
      <c r="K430">
        <v>949</v>
      </c>
      <c r="L430">
        <v>0</v>
      </c>
      <c r="M430">
        <v>0</v>
      </c>
      <c r="N430">
        <v>0</v>
      </c>
      <c r="O430">
        <v>0</v>
      </c>
      <c r="P430">
        <v>0</v>
      </c>
      <c r="Q430">
        <v>0</v>
      </c>
      <c r="R430" s="2043">
        <v>48749176</v>
      </c>
      <c r="S430">
        <v>4456558</v>
      </c>
      <c r="T430">
        <v>3247717</v>
      </c>
      <c r="U430">
        <v>0.08</v>
      </c>
      <c r="V430">
        <v>1395.1570000000002</v>
      </c>
      <c r="W430">
        <v>0</v>
      </c>
      <c r="X430">
        <v>445181</v>
      </c>
      <c r="Y430">
        <v>19855169</v>
      </c>
      <c r="Z430">
        <v>0</v>
      </c>
      <c r="AA430">
        <v>1.2070000000000001</v>
      </c>
      <c r="AB430">
        <v>7193.05</v>
      </c>
      <c r="AC430" s="2043">
        <v>5437419167</v>
      </c>
      <c r="AD430">
        <v>18779942</v>
      </c>
      <c r="AE430" s="2043">
        <v>56453451</v>
      </c>
      <c r="AF430">
        <v>1.0134000000000001</v>
      </c>
      <c r="AG430">
        <v>0</v>
      </c>
      <c r="AH430">
        <v>445181</v>
      </c>
      <c r="AI430">
        <v>0</v>
      </c>
      <c r="AJ430">
        <v>1660.038</v>
      </c>
      <c r="AK430">
        <v>32358</v>
      </c>
      <c r="AL430">
        <v>0.74099999999999999</v>
      </c>
      <c r="AM430">
        <v>0</v>
      </c>
      <c r="AN430">
        <v>552.70699999999999</v>
      </c>
      <c r="AO430">
        <v>3.7</v>
      </c>
      <c r="AP430">
        <v>3.028</v>
      </c>
      <c r="AQ430">
        <v>0</v>
      </c>
      <c r="AR430">
        <v>133.79900000000001</v>
      </c>
      <c r="AS430">
        <v>0</v>
      </c>
      <c r="AT430">
        <v>84.738</v>
      </c>
      <c r="AU430">
        <v>18.853000000000002</v>
      </c>
      <c r="AV430">
        <v>0</v>
      </c>
      <c r="AW430">
        <v>252.08200000000002</v>
      </c>
      <c r="AX430">
        <v>10.923</v>
      </c>
      <c r="AY430">
        <v>786.88</v>
      </c>
      <c r="AZ430">
        <v>0</v>
      </c>
      <c r="BA430">
        <v>37084329</v>
      </c>
      <c r="BB430">
        <v>75233393</v>
      </c>
      <c r="BC430">
        <v>0</v>
      </c>
      <c r="BD430">
        <v>274562</v>
      </c>
      <c r="BE430">
        <v>167344</v>
      </c>
      <c r="BF430">
        <v>500087</v>
      </c>
      <c r="BG430">
        <v>274562</v>
      </c>
      <c r="BH430">
        <v>58181</v>
      </c>
      <c r="BI430">
        <v>0</v>
      </c>
      <c r="BJ430">
        <v>-10585</v>
      </c>
      <c r="BK430">
        <v>0</v>
      </c>
      <c r="BL430">
        <v>6000645090</v>
      </c>
      <c r="BM430">
        <v>0</v>
      </c>
      <c r="BN430">
        <v>27522</v>
      </c>
      <c r="BO430">
        <v>9298</v>
      </c>
      <c r="BP430">
        <v>0</v>
      </c>
      <c r="BQ430">
        <v>0</v>
      </c>
      <c r="BR430">
        <v>0.87509999999999999</v>
      </c>
      <c r="BS430">
        <v>0.87509999999999999</v>
      </c>
      <c r="BT430">
        <v>9259671</v>
      </c>
      <c r="BU430">
        <v>0</v>
      </c>
      <c r="BV430">
        <v>1167</v>
      </c>
      <c r="BW430">
        <v>753</v>
      </c>
      <c r="BX430">
        <v>924</v>
      </c>
      <c r="BY430">
        <v>1818</v>
      </c>
      <c r="BZ430">
        <v>1856</v>
      </c>
      <c r="CA430">
        <v>6518</v>
      </c>
      <c r="CB430">
        <v>0</v>
      </c>
      <c r="CC430">
        <v>0</v>
      </c>
      <c r="CD430">
        <v>0</v>
      </c>
      <c r="CE430">
        <v>370</v>
      </c>
      <c r="CF430">
        <v>1952.9080000000001</v>
      </c>
      <c r="CG430">
        <v>0</v>
      </c>
      <c r="CH430">
        <v>0</v>
      </c>
      <c r="CI430">
        <v>0</v>
      </c>
      <c r="CJ430">
        <v>8</v>
      </c>
      <c r="CK430">
        <v>0</v>
      </c>
      <c r="CL430">
        <v>0</v>
      </c>
      <c r="CM430">
        <v>774.072</v>
      </c>
      <c r="CN430">
        <v>0</v>
      </c>
      <c r="CO430">
        <v>0</v>
      </c>
      <c r="CP430">
        <v>0</v>
      </c>
      <c r="CQ430">
        <v>0</v>
      </c>
      <c r="CR430">
        <v>0</v>
      </c>
      <c r="CS430">
        <v>0</v>
      </c>
      <c r="CT430">
        <v>0</v>
      </c>
      <c r="CU430">
        <v>4.7110000000000003</v>
      </c>
      <c r="CV430">
        <v>272.30700000000002</v>
      </c>
      <c r="CW430">
        <v>170.44</v>
      </c>
      <c r="CX430">
        <v>9259671</v>
      </c>
      <c r="CY430" s="2043">
        <v>10606083</v>
      </c>
      <c r="CZ430" s="2043">
        <v>0</v>
      </c>
      <c r="DA430" s="2043">
        <v>0</v>
      </c>
      <c r="DB430" s="2043">
        <v>0</v>
      </c>
      <c r="DC430" s="2043">
        <v>0</v>
      </c>
      <c r="DI430" t="s">
        <v>5033</v>
      </c>
      <c r="DJ430" t="s">
        <v>5032</v>
      </c>
      <c r="DK430" s="2042">
        <f t="shared" si="8"/>
        <v>2</v>
      </c>
    </row>
    <row r="431" spans="1:115">
      <c r="A431" t="s">
        <v>2999</v>
      </c>
      <c r="B431" t="s">
        <v>463</v>
      </c>
      <c r="C431">
        <v>3978.5910000000003</v>
      </c>
      <c r="D431">
        <v>4528.8100000000004</v>
      </c>
      <c r="E431">
        <v>249.76600000000002</v>
      </c>
      <c r="F431">
        <v>0</v>
      </c>
      <c r="G431" s="2043">
        <v>2101599988</v>
      </c>
      <c r="H431">
        <v>0</v>
      </c>
      <c r="I431" s="2043">
        <v>6436400</v>
      </c>
      <c r="J431">
        <v>192</v>
      </c>
      <c r="K431">
        <v>525</v>
      </c>
      <c r="L431">
        <v>0</v>
      </c>
      <c r="M431">
        <v>1284943</v>
      </c>
      <c r="N431">
        <v>0</v>
      </c>
      <c r="O431">
        <v>1284943</v>
      </c>
      <c r="P431">
        <v>0</v>
      </c>
      <c r="Q431">
        <v>0</v>
      </c>
      <c r="R431" s="2043">
        <v>17049564</v>
      </c>
      <c r="S431">
        <v>1037078</v>
      </c>
      <c r="T431">
        <v>0</v>
      </c>
      <c r="U431">
        <v>0.05</v>
      </c>
      <c r="V431">
        <v>0</v>
      </c>
      <c r="W431">
        <v>0</v>
      </c>
      <c r="X431">
        <v>0</v>
      </c>
      <c r="Y431">
        <v>0</v>
      </c>
      <c r="Z431">
        <v>0</v>
      </c>
      <c r="AA431">
        <v>0</v>
      </c>
      <c r="AB431">
        <v>4357.7910000000002</v>
      </c>
      <c r="AC431" s="2043">
        <v>1539744940</v>
      </c>
      <c r="AD431">
        <v>7481741</v>
      </c>
      <c r="AE431" s="2043">
        <v>18086642</v>
      </c>
      <c r="AF431">
        <v>0.872</v>
      </c>
      <c r="AG431">
        <v>0</v>
      </c>
      <c r="AH431">
        <v>0</v>
      </c>
      <c r="AI431">
        <v>0</v>
      </c>
      <c r="AJ431">
        <v>507.28800000000001</v>
      </c>
      <c r="AK431">
        <v>13546</v>
      </c>
      <c r="AL431">
        <v>3.7999999999999999E-2</v>
      </c>
      <c r="AM431">
        <v>0</v>
      </c>
      <c r="AN431">
        <v>214.13800000000001</v>
      </c>
      <c r="AO431">
        <v>4</v>
      </c>
      <c r="AP431">
        <v>1.391</v>
      </c>
      <c r="AQ431">
        <v>0</v>
      </c>
      <c r="AR431">
        <v>54.721000000000004</v>
      </c>
      <c r="AS431">
        <v>0</v>
      </c>
      <c r="AT431">
        <v>30.319000000000003</v>
      </c>
      <c r="AU431">
        <v>9.886000000000001</v>
      </c>
      <c r="AV431">
        <v>0</v>
      </c>
      <c r="AW431">
        <v>103.00800000000001</v>
      </c>
      <c r="AX431">
        <v>6.6530000000000005</v>
      </c>
      <c r="AY431">
        <v>323.798</v>
      </c>
      <c r="AZ431">
        <v>0</v>
      </c>
      <c r="BA431">
        <v>18214101</v>
      </c>
      <c r="BB431">
        <v>25568383</v>
      </c>
      <c r="BC431">
        <v>0</v>
      </c>
      <c r="BD431">
        <v>308763</v>
      </c>
      <c r="BE431">
        <v>143799</v>
      </c>
      <c r="BF431">
        <v>474326</v>
      </c>
      <c r="BG431">
        <v>308763</v>
      </c>
      <c r="BH431">
        <v>21764</v>
      </c>
      <c r="BI431">
        <v>0</v>
      </c>
      <c r="BJ431">
        <v>0</v>
      </c>
      <c r="BK431">
        <v>0</v>
      </c>
      <c r="BL431">
        <v>2101599988</v>
      </c>
      <c r="BM431">
        <v>0</v>
      </c>
      <c r="BN431">
        <v>14922</v>
      </c>
      <c r="BO431">
        <v>8763</v>
      </c>
      <c r="BP431">
        <v>0</v>
      </c>
      <c r="BQ431">
        <v>0</v>
      </c>
      <c r="BR431">
        <v>0.82200000000000006</v>
      </c>
      <c r="BS431">
        <v>0.82200000000000006</v>
      </c>
      <c r="BT431">
        <v>0</v>
      </c>
      <c r="BU431">
        <v>0</v>
      </c>
      <c r="BV431">
        <v>844</v>
      </c>
      <c r="BW431">
        <v>1224</v>
      </c>
      <c r="BX431">
        <v>15</v>
      </c>
      <c r="BY431">
        <v>35</v>
      </c>
      <c r="BZ431">
        <v>50</v>
      </c>
      <c r="CA431">
        <v>2168</v>
      </c>
      <c r="CB431">
        <v>0</v>
      </c>
      <c r="CC431">
        <v>0</v>
      </c>
      <c r="CD431">
        <v>0</v>
      </c>
      <c r="CE431">
        <v>255</v>
      </c>
      <c r="CF431">
        <v>745.57299999999998</v>
      </c>
      <c r="CG431">
        <v>0</v>
      </c>
      <c r="CH431">
        <v>0</v>
      </c>
      <c r="CI431">
        <v>5</v>
      </c>
      <c r="CJ431">
        <v>41</v>
      </c>
      <c r="CK431">
        <v>1</v>
      </c>
      <c r="CL431">
        <v>0</v>
      </c>
      <c r="CM431">
        <v>249.76600000000002</v>
      </c>
      <c r="CN431">
        <v>0</v>
      </c>
      <c r="CO431">
        <v>0</v>
      </c>
      <c r="CP431">
        <v>0</v>
      </c>
      <c r="CQ431">
        <v>0</v>
      </c>
      <c r="CR431">
        <v>0</v>
      </c>
      <c r="CS431">
        <v>0</v>
      </c>
      <c r="CT431">
        <v>0</v>
      </c>
      <c r="CU431">
        <v>54.923000000000002</v>
      </c>
      <c r="CV431">
        <v>225.52300000000002</v>
      </c>
      <c r="CW431">
        <v>72.018000000000001</v>
      </c>
      <c r="CX431">
        <v>0</v>
      </c>
      <c r="CY431" s="2043">
        <v>0</v>
      </c>
      <c r="CZ431" s="2043">
        <v>0</v>
      </c>
      <c r="DA431" s="2043">
        <v>0</v>
      </c>
      <c r="DB431" s="2043">
        <v>0</v>
      </c>
      <c r="DC431" s="2043">
        <v>0</v>
      </c>
      <c r="DI431" t="s">
        <v>2999</v>
      </c>
      <c r="DJ431" t="s">
        <v>2999</v>
      </c>
      <c r="DK431" s="2042">
        <f t="shared" si="8"/>
        <v>0</v>
      </c>
    </row>
    <row r="432" spans="1:115">
      <c r="A432" t="s">
        <v>5034</v>
      </c>
      <c r="B432" t="s">
        <v>2320</v>
      </c>
      <c r="C432">
        <v>37825.074999999997</v>
      </c>
      <c r="D432">
        <v>39618.841</v>
      </c>
      <c r="E432">
        <v>2893.3050000000003</v>
      </c>
      <c r="F432">
        <v>0</v>
      </c>
      <c r="G432" s="2043">
        <v>28617832836</v>
      </c>
      <c r="H432">
        <v>0</v>
      </c>
      <c r="I432" s="2043">
        <v>77216761</v>
      </c>
      <c r="J432">
        <v>1891.2540000000001</v>
      </c>
      <c r="K432">
        <v>5170</v>
      </c>
      <c r="L432">
        <v>0</v>
      </c>
      <c r="M432">
        <v>0</v>
      </c>
      <c r="N432">
        <v>0</v>
      </c>
      <c r="O432">
        <v>0</v>
      </c>
      <c r="P432">
        <v>0</v>
      </c>
      <c r="Q432">
        <v>0</v>
      </c>
      <c r="R432" s="2043">
        <v>229967630</v>
      </c>
      <c r="S432">
        <v>10825827</v>
      </c>
      <c r="T432">
        <v>0</v>
      </c>
      <c r="U432">
        <v>0.04</v>
      </c>
      <c r="V432">
        <v>104.4</v>
      </c>
      <c r="W432">
        <v>0</v>
      </c>
      <c r="X432">
        <v>0</v>
      </c>
      <c r="Y432">
        <v>5563069</v>
      </c>
      <c r="Z432">
        <v>0</v>
      </c>
      <c r="AA432">
        <v>0.75</v>
      </c>
      <c r="AB432">
        <v>38635.68</v>
      </c>
      <c r="AC432" s="2043">
        <v>24012457799</v>
      </c>
      <c r="AD432">
        <v>78797487</v>
      </c>
      <c r="AE432" s="2043">
        <v>240793457</v>
      </c>
      <c r="AF432">
        <v>0.88970000000000005</v>
      </c>
      <c r="AG432">
        <v>0</v>
      </c>
      <c r="AH432">
        <v>0</v>
      </c>
      <c r="AI432">
        <v>0</v>
      </c>
      <c r="AJ432">
        <v>3450.3630000000003</v>
      </c>
      <c r="AK432">
        <v>128508</v>
      </c>
      <c r="AL432">
        <v>0.435</v>
      </c>
      <c r="AM432">
        <v>0</v>
      </c>
      <c r="AN432">
        <v>1973.0900000000001</v>
      </c>
      <c r="AO432">
        <v>11.6</v>
      </c>
      <c r="AP432">
        <v>8.5000000000000006E-2</v>
      </c>
      <c r="AQ432">
        <v>0</v>
      </c>
      <c r="AR432">
        <v>627.31200000000001</v>
      </c>
      <c r="AS432">
        <v>0</v>
      </c>
      <c r="AT432">
        <v>347.714</v>
      </c>
      <c r="AU432">
        <v>85.852000000000004</v>
      </c>
      <c r="AV432">
        <v>0</v>
      </c>
      <c r="AW432">
        <v>1073.893</v>
      </c>
      <c r="AX432">
        <v>12.495000000000001</v>
      </c>
      <c r="AY432">
        <v>3385.4810000000002</v>
      </c>
      <c r="AZ432">
        <v>0</v>
      </c>
      <c r="BA432">
        <v>72119948</v>
      </c>
      <c r="BB432">
        <v>319590944</v>
      </c>
      <c r="BC432">
        <v>0</v>
      </c>
      <c r="BD432">
        <v>1373605</v>
      </c>
      <c r="BE432">
        <v>924764</v>
      </c>
      <c r="BF432">
        <v>2446997</v>
      </c>
      <c r="BG432">
        <v>1373605</v>
      </c>
      <c r="BH432">
        <v>148628</v>
      </c>
      <c r="BI432">
        <v>-8372</v>
      </c>
      <c r="BJ432">
        <v>0</v>
      </c>
      <c r="BK432">
        <v>0</v>
      </c>
      <c r="BL432">
        <v>28617832836</v>
      </c>
      <c r="BM432">
        <v>0</v>
      </c>
      <c r="BN432">
        <v>152739</v>
      </c>
      <c r="BO432">
        <v>63965</v>
      </c>
      <c r="BP432">
        <v>41903</v>
      </c>
      <c r="BQ432">
        <v>0</v>
      </c>
      <c r="BR432">
        <v>0.84970000000000001</v>
      </c>
      <c r="BS432">
        <v>0.84970000000000001</v>
      </c>
      <c r="BT432">
        <v>5571441</v>
      </c>
      <c r="BU432">
        <v>0</v>
      </c>
      <c r="BV432">
        <v>8331</v>
      </c>
      <c r="BW432">
        <v>1149</v>
      </c>
      <c r="BX432">
        <v>2520</v>
      </c>
      <c r="BY432">
        <v>1270</v>
      </c>
      <c r="BZ432">
        <v>1235</v>
      </c>
      <c r="CA432">
        <v>14505</v>
      </c>
      <c r="CB432">
        <v>0</v>
      </c>
      <c r="CC432">
        <v>1295.018</v>
      </c>
      <c r="CD432">
        <v>494.392</v>
      </c>
      <c r="CE432">
        <v>0</v>
      </c>
      <c r="CF432">
        <v>5929.2750000000005</v>
      </c>
      <c r="CG432">
        <v>133.55199999999999</v>
      </c>
      <c r="CH432">
        <v>0</v>
      </c>
      <c r="CI432">
        <v>122</v>
      </c>
      <c r="CJ432">
        <v>761</v>
      </c>
      <c r="CK432">
        <v>11</v>
      </c>
      <c r="CL432">
        <v>133.55199999999999</v>
      </c>
      <c r="CM432">
        <v>2893.3050000000003</v>
      </c>
      <c r="CN432">
        <v>0</v>
      </c>
      <c r="CO432">
        <v>0</v>
      </c>
      <c r="CP432">
        <v>41903</v>
      </c>
      <c r="CQ432">
        <v>0</v>
      </c>
      <c r="CR432">
        <v>0</v>
      </c>
      <c r="CS432">
        <v>0</v>
      </c>
      <c r="CT432">
        <v>0</v>
      </c>
      <c r="CU432">
        <v>38.649000000000001</v>
      </c>
      <c r="CV432">
        <v>1233.874</v>
      </c>
      <c r="CW432">
        <v>1011.1650000000001</v>
      </c>
      <c r="CX432">
        <v>5571441</v>
      </c>
      <c r="CY432" s="2043">
        <v>0</v>
      </c>
      <c r="CZ432" s="2043">
        <v>0</v>
      </c>
      <c r="DA432" s="2043">
        <v>0</v>
      </c>
      <c r="DB432" s="2043">
        <v>0</v>
      </c>
      <c r="DC432" s="2043">
        <v>2525000</v>
      </c>
      <c r="DI432" t="s">
        <v>5034</v>
      </c>
      <c r="DJ432" t="s">
        <v>5034</v>
      </c>
      <c r="DK432" s="2042">
        <f t="shared" si="8"/>
        <v>0</v>
      </c>
    </row>
    <row r="433" spans="1:115">
      <c r="A433" t="s">
        <v>5035</v>
      </c>
      <c r="B433" t="s">
        <v>1574</v>
      </c>
      <c r="C433">
        <v>703.10500000000002</v>
      </c>
      <c r="D433">
        <v>723.1</v>
      </c>
      <c r="E433">
        <v>60.939</v>
      </c>
      <c r="F433">
        <v>0</v>
      </c>
      <c r="G433" s="2043">
        <v>376874524</v>
      </c>
      <c r="H433">
        <v>0</v>
      </c>
      <c r="I433" s="2043">
        <v>2444902</v>
      </c>
      <c r="J433">
        <v>15</v>
      </c>
      <c r="K433">
        <v>41</v>
      </c>
      <c r="L433">
        <v>0</v>
      </c>
      <c r="M433">
        <v>0</v>
      </c>
      <c r="N433">
        <v>0</v>
      </c>
      <c r="O433">
        <v>0</v>
      </c>
      <c r="P433">
        <v>0</v>
      </c>
      <c r="Q433">
        <v>0</v>
      </c>
      <c r="R433" s="2043">
        <v>3319566</v>
      </c>
      <c r="S433">
        <v>181715</v>
      </c>
      <c r="T433">
        <v>0</v>
      </c>
      <c r="U433">
        <v>0.05</v>
      </c>
      <c r="V433">
        <v>0</v>
      </c>
      <c r="W433">
        <v>0</v>
      </c>
      <c r="X433">
        <v>0</v>
      </c>
      <c r="Y433">
        <v>0</v>
      </c>
      <c r="Z433">
        <v>0</v>
      </c>
      <c r="AA433">
        <v>0</v>
      </c>
      <c r="AB433">
        <v>723.1</v>
      </c>
      <c r="AC433" s="2043">
        <v>455848213</v>
      </c>
      <c r="AD433">
        <v>2378662</v>
      </c>
      <c r="AE433" s="2043">
        <v>3501281</v>
      </c>
      <c r="AF433">
        <v>0.96340000000000003</v>
      </c>
      <c r="AG433">
        <v>0</v>
      </c>
      <c r="AH433">
        <v>0</v>
      </c>
      <c r="AI433">
        <v>0</v>
      </c>
      <c r="AJ433">
        <v>136.58799999999999</v>
      </c>
      <c r="AK433">
        <v>4344</v>
      </c>
      <c r="AL433">
        <v>0</v>
      </c>
      <c r="AM433">
        <v>0</v>
      </c>
      <c r="AN433">
        <v>19.62</v>
      </c>
      <c r="AO433">
        <v>0</v>
      </c>
      <c r="AP433">
        <v>0</v>
      </c>
      <c r="AQ433">
        <v>5.4610000000000003</v>
      </c>
      <c r="AR433">
        <v>19.305</v>
      </c>
      <c r="AS433">
        <v>0</v>
      </c>
      <c r="AT433">
        <v>8.5739999999999998</v>
      </c>
      <c r="AU433">
        <v>1.8560000000000001</v>
      </c>
      <c r="AV433">
        <v>0</v>
      </c>
      <c r="AW433">
        <v>35.196000000000005</v>
      </c>
      <c r="AX433">
        <v>0</v>
      </c>
      <c r="AY433">
        <v>92.917000000000002</v>
      </c>
      <c r="AZ433">
        <v>0</v>
      </c>
      <c r="BA433">
        <v>5280427</v>
      </c>
      <c r="BB433">
        <v>5879943</v>
      </c>
      <c r="BC433">
        <v>0</v>
      </c>
      <c r="BD433">
        <v>40194</v>
      </c>
      <c r="BE433">
        <v>2443</v>
      </c>
      <c r="BF433">
        <v>95114</v>
      </c>
      <c r="BG433">
        <v>40194</v>
      </c>
      <c r="BH433">
        <v>52477</v>
      </c>
      <c r="BI433">
        <v>0</v>
      </c>
      <c r="BJ433">
        <v>0</v>
      </c>
      <c r="BK433">
        <v>0</v>
      </c>
      <c r="BL433">
        <v>376874524</v>
      </c>
      <c r="BM433">
        <v>0</v>
      </c>
      <c r="BN433">
        <v>2448</v>
      </c>
      <c r="BO433">
        <v>2151</v>
      </c>
      <c r="BP433">
        <v>0</v>
      </c>
      <c r="BQ433">
        <v>0</v>
      </c>
      <c r="BR433">
        <v>0.91339999999999999</v>
      </c>
      <c r="BS433">
        <v>0.91339999999999999</v>
      </c>
      <c r="BT433">
        <v>0</v>
      </c>
      <c r="BU433">
        <v>0</v>
      </c>
      <c r="BV433">
        <v>115</v>
      </c>
      <c r="BW433">
        <v>121</v>
      </c>
      <c r="BX433">
        <v>146</v>
      </c>
      <c r="BY433">
        <v>168</v>
      </c>
      <c r="BZ433">
        <v>5</v>
      </c>
      <c r="CA433">
        <v>555</v>
      </c>
      <c r="CB433">
        <v>0</v>
      </c>
      <c r="CC433">
        <v>0</v>
      </c>
      <c r="CD433">
        <v>0</v>
      </c>
      <c r="CE433">
        <v>57</v>
      </c>
      <c r="CF433">
        <v>162.96800000000002</v>
      </c>
      <c r="CG433">
        <v>28.236000000000001</v>
      </c>
      <c r="CH433">
        <v>21.241</v>
      </c>
      <c r="CI433">
        <v>0</v>
      </c>
      <c r="CJ433">
        <v>1</v>
      </c>
      <c r="CK433">
        <v>0</v>
      </c>
      <c r="CL433">
        <v>49.477000000000004</v>
      </c>
      <c r="CM433">
        <v>60.939</v>
      </c>
      <c r="CN433">
        <v>0</v>
      </c>
      <c r="CO433">
        <v>0</v>
      </c>
      <c r="CP433">
        <v>0</v>
      </c>
      <c r="CQ433">
        <v>0</v>
      </c>
      <c r="CR433">
        <v>0</v>
      </c>
      <c r="CS433">
        <v>0</v>
      </c>
      <c r="CT433">
        <v>0</v>
      </c>
      <c r="CU433">
        <v>4.9080000000000004</v>
      </c>
      <c r="CV433">
        <v>41.923999999999999</v>
      </c>
      <c r="CW433">
        <v>13.236000000000001</v>
      </c>
      <c r="CX433">
        <v>0</v>
      </c>
      <c r="CY433" s="2043">
        <v>0</v>
      </c>
      <c r="CZ433" s="2043">
        <v>0</v>
      </c>
      <c r="DA433" s="2043">
        <v>0</v>
      </c>
      <c r="DB433" s="2043">
        <v>0</v>
      </c>
      <c r="DC433" s="2043">
        <v>387749</v>
      </c>
      <c r="DI433" t="s">
        <v>3000</v>
      </c>
      <c r="DJ433" t="s">
        <v>5035</v>
      </c>
      <c r="DK433" s="2042">
        <f t="shared" si="8"/>
        <v>-991</v>
      </c>
    </row>
    <row r="434" spans="1:115">
      <c r="A434" t="s">
        <v>3000</v>
      </c>
      <c r="B434" t="s">
        <v>1339</v>
      </c>
      <c r="C434">
        <v>5868.4059999999999</v>
      </c>
      <c r="D434">
        <v>5993.6030000000001</v>
      </c>
      <c r="E434">
        <v>128.66400000000002</v>
      </c>
      <c r="F434">
        <v>0</v>
      </c>
      <c r="G434" s="2043">
        <v>3925500830</v>
      </c>
      <c r="H434">
        <v>-132658</v>
      </c>
      <c r="I434" s="2043">
        <v>11658225</v>
      </c>
      <c r="J434">
        <v>293.42</v>
      </c>
      <c r="K434">
        <v>802</v>
      </c>
      <c r="L434">
        <v>0</v>
      </c>
      <c r="M434">
        <v>0</v>
      </c>
      <c r="N434">
        <v>0</v>
      </c>
      <c r="O434">
        <v>0</v>
      </c>
      <c r="P434">
        <v>0</v>
      </c>
      <c r="Q434">
        <v>0</v>
      </c>
      <c r="R434" s="2043">
        <v>32089169</v>
      </c>
      <c r="S434">
        <v>3123033</v>
      </c>
      <c r="T434">
        <v>1264829</v>
      </c>
      <c r="U434">
        <v>0.08</v>
      </c>
      <c r="V434">
        <v>0</v>
      </c>
      <c r="W434">
        <v>0</v>
      </c>
      <c r="X434">
        <v>132658</v>
      </c>
      <c r="Y434">
        <v>-140778</v>
      </c>
      <c r="Z434">
        <v>0</v>
      </c>
      <c r="AA434">
        <v>0</v>
      </c>
      <c r="AB434">
        <v>5951.3110000000006</v>
      </c>
      <c r="AC434" s="2043">
        <v>3225125709</v>
      </c>
      <c r="AD434">
        <v>11897114</v>
      </c>
      <c r="AE434" s="2043">
        <v>36477031</v>
      </c>
      <c r="AF434">
        <v>0.93440000000000001</v>
      </c>
      <c r="AG434">
        <v>0</v>
      </c>
      <c r="AH434">
        <v>132658</v>
      </c>
      <c r="AI434">
        <v>0</v>
      </c>
      <c r="AJ434">
        <v>157.02500000000001</v>
      </c>
      <c r="AK434">
        <v>18877</v>
      </c>
      <c r="AL434">
        <v>0.59</v>
      </c>
      <c r="AM434">
        <v>0</v>
      </c>
      <c r="AN434">
        <v>263.28200000000004</v>
      </c>
      <c r="AO434">
        <v>1</v>
      </c>
      <c r="AP434">
        <v>0</v>
      </c>
      <c r="AQ434">
        <v>0</v>
      </c>
      <c r="AR434">
        <v>106.50800000000001</v>
      </c>
      <c r="AS434">
        <v>0</v>
      </c>
      <c r="AT434">
        <v>31.272000000000002</v>
      </c>
      <c r="AU434">
        <v>16.835000000000001</v>
      </c>
      <c r="AV434">
        <v>0</v>
      </c>
      <c r="AW434">
        <v>167.626</v>
      </c>
      <c r="AX434">
        <v>12.421000000000001</v>
      </c>
      <c r="AY434">
        <v>529.03300000000002</v>
      </c>
      <c r="AZ434">
        <v>0</v>
      </c>
      <c r="BA434">
        <v>14445930</v>
      </c>
      <c r="BB434">
        <v>48374145</v>
      </c>
      <c r="BC434">
        <v>0</v>
      </c>
      <c r="BD434">
        <v>246082</v>
      </c>
      <c r="BE434">
        <v>96715</v>
      </c>
      <c r="BF434">
        <v>383240</v>
      </c>
      <c r="BG434">
        <v>246082</v>
      </c>
      <c r="BH434">
        <v>40443</v>
      </c>
      <c r="BI434">
        <v>-8120</v>
      </c>
      <c r="BJ434">
        <v>0</v>
      </c>
      <c r="BK434">
        <v>0</v>
      </c>
      <c r="BL434">
        <v>3925500830</v>
      </c>
      <c r="BM434">
        <v>0</v>
      </c>
      <c r="BN434">
        <v>23112</v>
      </c>
      <c r="BO434">
        <v>14231</v>
      </c>
      <c r="BP434">
        <v>0</v>
      </c>
      <c r="BQ434">
        <v>0</v>
      </c>
      <c r="BR434">
        <v>0.82200000000000006</v>
      </c>
      <c r="BS434">
        <v>0.82200000000000006</v>
      </c>
      <c r="BT434">
        <v>0</v>
      </c>
      <c r="BU434">
        <v>0</v>
      </c>
      <c r="BV434">
        <v>467</v>
      </c>
      <c r="BW434">
        <v>212</v>
      </c>
      <c r="BX434">
        <v>2</v>
      </c>
      <c r="BY434">
        <v>0</v>
      </c>
      <c r="BZ434">
        <v>4</v>
      </c>
      <c r="CA434">
        <v>685</v>
      </c>
      <c r="CB434">
        <v>0</v>
      </c>
      <c r="CC434">
        <v>0</v>
      </c>
      <c r="CD434">
        <v>0</v>
      </c>
      <c r="CE434">
        <v>680</v>
      </c>
      <c r="CF434">
        <v>277.048</v>
      </c>
      <c r="CG434">
        <v>0</v>
      </c>
      <c r="CH434">
        <v>0</v>
      </c>
      <c r="CI434">
        <v>14</v>
      </c>
      <c r="CJ434">
        <v>217</v>
      </c>
      <c r="CK434">
        <v>1</v>
      </c>
      <c r="CL434">
        <v>0</v>
      </c>
      <c r="CM434">
        <v>128.66400000000002</v>
      </c>
      <c r="CN434">
        <v>0</v>
      </c>
      <c r="CO434">
        <v>0</v>
      </c>
      <c r="CP434">
        <v>0</v>
      </c>
      <c r="CQ434">
        <v>0</v>
      </c>
      <c r="CR434">
        <v>0</v>
      </c>
      <c r="CS434">
        <v>0</v>
      </c>
      <c r="CT434">
        <v>0</v>
      </c>
      <c r="CU434">
        <v>50.374000000000002</v>
      </c>
      <c r="CV434">
        <v>284.36500000000001</v>
      </c>
      <c r="CW434">
        <v>189.62700000000001</v>
      </c>
      <c r="CX434">
        <v>0</v>
      </c>
      <c r="CY434" s="2043">
        <v>0</v>
      </c>
      <c r="CZ434" s="2043">
        <v>0</v>
      </c>
      <c r="DA434" s="2043">
        <v>0</v>
      </c>
      <c r="DB434" s="2043">
        <v>0</v>
      </c>
      <c r="DC434" s="2043">
        <v>0</v>
      </c>
      <c r="DI434" t="s">
        <v>5035</v>
      </c>
      <c r="DJ434" t="s">
        <v>3000</v>
      </c>
      <c r="DK434" s="2042">
        <f t="shared" si="8"/>
        <v>991</v>
      </c>
    </row>
    <row r="435" spans="1:115">
      <c r="A435" t="s">
        <v>5803</v>
      </c>
      <c r="B435" t="s">
        <v>1575</v>
      </c>
      <c r="C435">
        <v>107.845</v>
      </c>
      <c r="D435">
        <v>134.173</v>
      </c>
      <c r="E435">
        <v>0</v>
      </c>
      <c r="F435">
        <v>0</v>
      </c>
      <c r="G435" s="2043">
        <v>71398921</v>
      </c>
      <c r="H435">
        <v>0</v>
      </c>
      <c r="I435" s="2043">
        <v>0</v>
      </c>
      <c r="J435">
        <v>3</v>
      </c>
      <c r="K435">
        <v>8</v>
      </c>
      <c r="L435">
        <v>0</v>
      </c>
      <c r="M435">
        <v>0</v>
      </c>
      <c r="N435">
        <v>0</v>
      </c>
      <c r="O435">
        <v>0</v>
      </c>
      <c r="P435">
        <v>0</v>
      </c>
      <c r="Q435">
        <v>0</v>
      </c>
      <c r="R435" s="2043">
        <v>576742</v>
      </c>
      <c r="S435">
        <v>55947</v>
      </c>
      <c r="T435">
        <v>40771</v>
      </c>
      <c r="U435">
        <v>0.08</v>
      </c>
      <c r="V435">
        <v>0</v>
      </c>
      <c r="W435">
        <v>0</v>
      </c>
      <c r="X435">
        <v>0</v>
      </c>
      <c r="Y435">
        <v>0</v>
      </c>
      <c r="Z435">
        <v>7.7030000000000003</v>
      </c>
      <c r="AA435">
        <v>0</v>
      </c>
      <c r="AB435">
        <v>134.173</v>
      </c>
      <c r="AC435" s="2043">
        <v>55052192</v>
      </c>
      <c r="AD435">
        <v>0</v>
      </c>
      <c r="AE435" s="2043">
        <v>673460</v>
      </c>
      <c r="AF435">
        <v>0.96300000000000008</v>
      </c>
      <c r="AG435">
        <v>0</v>
      </c>
      <c r="AH435">
        <v>0</v>
      </c>
      <c r="AI435">
        <v>0</v>
      </c>
      <c r="AJ435">
        <v>19.05</v>
      </c>
      <c r="AK435">
        <v>266</v>
      </c>
      <c r="AL435">
        <v>0</v>
      </c>
      <c r="AM435">
        <v>0</v>
      </c>
      <c r="AN435">
        <v>3.9860000000000002</v>
      </c>
      <c r="AO435">
        <v>0</v>
      </c>
      <c r="AP435">
        <v>0</v>
      </c>
      <c r="AQ435">
        <v>0</v>
      </c>
      <c r="AR435">
        <v>0.73499999999999999</v>
      </c>
      <c r="AS435">
        <v>0</v>
      </c>
      <c r="AT435">
        <v>0</v>
      </c>
      <c r="AU435">
        <v>0.12</v>
      </c>
      <c r="AV435">
        <v>0</v>
      </c>
      <c r="AW435">
        <v>0.85500000000000009</v>
      </c>
      <c r="AX435">
        <v>0</v>
      </c>
      <c r="AY435">
        <v>2.8050000000000002</v>
      </c>
      <c r="AZ435">
        <v>0</v>
      </c>
      <c r="BA435">
        <v>1323229</v>
      </c>
      <c r="BB435">
        <v>673460</v>
      </c>
      <c r="BC435">
        <v>0</v>
      </c>
      <c r="BD435">
        <v>9838</v>
      </c>
      <c r="BE435">
        <v>0</v>
      </c>
      <c r="BF435">
        <v>15885</v>
      </c>
      <c r="BG435">
        <v>9838</v>
      </c>
      <c r="BH435">
        <v>6047</v>
      </c>
      <c r="BI435">
        <v>0</v>
      </c>
      <c r="BJ435">
        <v>0</v>
      </c>
      <c r="BK435">
        <v>0</v>
      </c>
      <c r="BL435">
        <v>71398921</v>
      </c>
      <c r="BM435">
        <v>0</v>
      </c>
      <c r="BN435">
        <v>450</v>
      </c>
      <c r="BO435">
        <v>417</v>
      </c>
      <c r="BP435">
        <v>0</v>
      </c>
      <c r="BQ435">
        <v>0</v>
      </c>
      <c r="BR435">
        <v>0.82469999999999999</v>
      </c>
      <c r="BS435">
        <v>0.82469999999999999</v>
      </c>
      <c r="BT435">
        <v>0</v>
      </c>
      <c r="BU435">
        <v>0</v>
      </c>
      <c r="BV435">
        <v>34</v>
      </c>
      <c r="BW435">
        <v>36</v>
      </c>
      <c r="BX435">
        <v>3</v>
      </c>
      <c r="BY435">
        <v>8</v>
      </c>
      <c r="BZ435">
        <v>0</v>
      </c>
      <c r="CA435">
        <v>81</v>
      </c>
      <c r="CB435">
        <v>0</v>
      </c>
      <c r="CC435">
        <v>0</v>
      </c>
      <c r="CD435">
        <v>0</v>
      </c>
      <c r="CE435">
        <v>8</v>
      </c>
      <c r="CF435">
        <v>18.284000000000002</v>
      </c>
      <c r="CG435">
        <v>0</v>
      </c>
      <c r="CH435">
        <v>0</v>
      </c>
      <c r="CI435">
        <v>2</v>
      </c>
      <c r="CJ435">
        <v>0</v>
      </c>
      <c r="CK435">
        <v>0</v>
      </c>
      <c r="CL435">
        <v>0</v>
      </c>
      <c r="CM435">
        <v>0</v>
      </c>
      <c r="CN435">
        <v>0</v>
      </c>
      <c r="CO435">
        <v>0</v>
      </c>
      <c r="CP435">
        <v>0</v>
      </c>
      <c r="CQ435">
        <v>0</v>
      </c>
      <c r="CR435">
        <v>0</v>
      </c>
      <c r="CS435">
        <v>0</v>
      </c>
      <c r="CT435">
        <v>0</v>
      </c>
      <c r="CU435">
        <v>0.155</v>
      </c>
      <c r="CV435">
        <v>10.898</v>
      </c>
      <c r="CW435">
        <v>4.766</v>
      </c>
      <c r="CX435">
        <v>0</v>
      </c>
      <c r="CY435" s="2043">
        <v>0</v>
      </c>
      <c r="CZ435" s="2043">
        <v>0</v>
      </c>
      <c r="DA435" s="2043">
        <v>0</v>
      </c>
      <c r="DB435" s="2043">
        <v>0</v>
      </c>
      <c r="DC435" s="2043">
        <v>0</v>
      </c>
      <c r="DI435" t="s">
        <v>5803</v>
      </c>
      <c r="DJ435" t="s">
        <v>5803</v>
      </c>
      <c r="DK435" s="2042">
        <f t="shared" si="8"/>
        <v>0</v>
      </c>
    </row>
    <row r="436" spans="1:115">
      <c r="A436" t="s">
        <v>5804</v>
      </c>
      <c r="B436" t="s">
        <v>1769</v>
      </c>
      <c r="C436">
        <v>18.847000000000001</v>
      </c>
      <c r="D436">
        <v>28.908000000000001</v>
      </c>
      <c r="E436">
        <v>0</v>
      </c>
      <c r="F436">
        <v>0</v>
      </c>
      <c r="G436" s="2043">
        <v>67151897</v>
      </c>
      <c r="H436">
        <v>0</v>
      </c>
      <c r="I436" s="2043">
        <v>0</v>
      </c>
      <c r="J436">
        <v>0</v>
      </c>
      <c r="K436">
        <v>0</v>
      </c>
      <c r="L436">
        <v>0</v>
      </c>
      <c r="M436">
        <v>0</v>
      </c>
      <c r="N436">
        <v>0</v>
      </c>
      <c r="O436">
        <v>0</v>
      </c>
      <c r="P436">
        <v>0</v>
      </c>
      <c r="Q436">
        <v>0</v>
      </c>
      <c r="R436" s="2043">
        <v>545912</v>
      </c>
      <c r="S436">
        <v>33206</v>
      </c>
      <c r="T436">
        <v>0</v>
      </c>
      <c r="U436">
        <v>0.05</v>
      </c>
      <c r="V436">
        <v>0</v>
      </c>
      <c r="W436">
        <v>0</v>
      </c>
      <c r="X436">
        <v>0</v>
      </c>
      <c r="Y436">
        <v>0</v>
      </c>
      <c r="Z436">
        <v>0</v>
      </c>
      <c r="AA436">
        <v>0</v>
      </c>
      <c r="AB436">
        <v>28.908000000000001</v>
      </c>
      <c r="AC436" s="2043">
        <v>51960084</v>
      </c>
      <c r="AD436">
        <v>0</v>
      </c>
      <c r="AE436" s="2043">
        <v>579118</v>
      </c>
      <c r="AF436">
        <v>0.872</v>
      </c>
      <c r="AG436">
        <v>0</v>
      </c>
      <c r="AH436">
        <v>0</v>
      </c>
      <c r="AI436">
        <v>0</v>
      </c>
      <c r="AJ436">
        <v>0</v>
      </c>
      <c r="AK436">
        <v>111</v>
      </c>
      <c r="AL436">
        <v>0</v>
      </c>
      <c r="AM436">
        <v>0</v>
      </c>
      <c r="AN436">
        <v>0</v>
      </c>
      <c r="AO436">
        <v>0</v>
      </c>
      <c r="AP436">
        <v>0</v>
      </c>
      <c r="AQ436">
        <v>0</v>
      </c>
      <c r="AR436">
        <v>0.77300000000000002</v>
      </c>
      <c r="AS436">
        <v>0</v>
      </c>
      <c r="AT436">
        <v>0</v>
      </c>
      <c r="AU436">
        <v>0.14300000000000002</v>
      </c>
      <c r="AV436">
        <v>0</v>
      </c>
      <c r="AW436">
        <v>0.91600000000000004</v>
      </c>
      <c r="AX436">
        <v>0</v>
      </c>
      <c r="AY436">
        <v>3.0340000000000003</v>
      </c>
      <c r="AZ436">
        <v>0</v>
      </c>
      <c r="BA436">
        <v>251452</v>
      </c>
      <c r="BB436">
        <v>579118</v>
      </c>
      <c r="BC436">
        <v>0</v>
      </c>
      <c r="BD436">
        <v>0</v>
      </c>
      <c r="BE436">
        <v>0</v>
      </c>
      <c r="BF436">
        <v>0</v>
      </c>
      <c r="BG436">
        <v>0</v>
      </c>
      <c r="BH436">
        <v>0</v>
      </c>
      <c r="BI436">
        <v>0</v>
      </c>
      <c r="BJ436">
        <v>0</v>
      </c>
      <c r="BK436">
        <v>0</v>
      </c>
      <c r="BL436">
        <v>67151897</v>
      </c>
      <c r="BM436">
        <v>0</v>
      </c>
      <c r="BN436">
        <v>0</v>
      </c>
      <c r="BO436">
        <v>0</v>
      </c>
      <c r="BP436">
        <v>0</v>
      </c>
      <c r="BQ436">
        <v>0</v>
      </c>
      <c r="BR436">
        <v>0.82200000000000006</v>
      </c>
      <c r="BS436">
        <v>0.82200000000000006</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s="2043">
        <v>0</v>
      </c>
      <c r="CZ436" s="2043">
        <v>0</v>
      </c>
      <c r="DA436" s="2043">
        <v>0</v>
      </c>
      <c r="DB436" s="2043">
        <v>0</v>
      </c>
      <c r="DC436" s="2043">
        <v>0</v>
      </c>
      <c r="DI436" t="s">
        <v>5804</v>
      </c>
      <c r="DJ436" t="s">
        <v>5804</v>
      </c>
      <c r="DK436" s="2042">
        <f t="shared" si="8"/>
        <v>0</v>
      </c>
    </row>
    <row r="437" spans="1:115">
      <c r="A437" t="s">
        <v>5036</v>
      </c>
      <c r="B437" t="s">
        <v>1366</v>
      </c>
      <c r="C437">
        <v>2862.0240000000003</v>
      </c>
      <c r="D437">
        <v>2968.1820000000002</v>
      </c>
      <c r="E437">
        <v>243.626</v>
      </c>
      <c r="F437">
        <v>0</v>
      </c>
      <c r="G437" s="2043">
        <v>5260570354</v>
      </c>
      <c r="H437">
        <v>0</v>
      </c>
      <c r="I437" s="2043">
        <v>3029997</v>
      </c>
      <c r="J437">
        <v>143.101</v>
      </c>
      <c r="K437">
        <v>391</v>
      </c>
      <c r="L437">
        <v>0</v>
      </c>
      <c r="M437">
        <v>0</v>
      </c>
      <c r="N437">
        <v>0</v>
      </c>
      <c r="O437">
        <v>0</v>
      </c>
      <c r="P437">
        <v>0</v>
      </c>
      <c r="Q437">
        <v>0</v>
      </c>
      <c r="R437" s="2043">
        <v>43560344</v>
      </c>
      <c r="S437">
        <v>2649656</v>
      </c>
      <c r="T437">
        <v>0</v>
      </c>
      <c r="U437">
        <v>0.05</v>
      </c>
      <c r="V437">
        <v>0</v>
      </c>
      <c r="W437">
        <v>17859887</v>
      </c>
      <c r="X437">
        <v>0</v>
      </c>
      <c r="Y437">
        <v>-10923</v>
      </c>
      <c r="Z437">
        <v>0</v>
      </c>
      <c r="AA437">
        <v>0</v>
      </c>
      <c r="AB437">
        <v>2827.1860000000001</v>
      </c>
      <c r="AC437" s="2043">
        <v>3842859876</v>
      </c>
      <c r="AD437">
        <v>5614700</v>
      </c>
      <c r="AE437" s="2043">
        <v>46210000</v>
      </c>
      <c r="AF437">
        <v>0.872</v>
      </c>
      <c r="AG437">
        <v>0</v>
      </c>
      <c r="AH437">
        <v>17859887</v>
      </c>
      <c r="AI437">
        <v>0</v>
      </c>
      <c r="AJ437">
        <v>443.863</v>
      </c>
      <c r="AK437">
        <v>13338</v>
      </c>
      <c r="AL437">
        <v>0.21200000000000002</v>
      </c>
      <c r="AM437">
        <v>0</v>
      </c>
      <c r="AN437">
        <v>42.312000000000005</v>
      </c>
      <c r="AO437">
        <v>0</v>
      </c>
      <c r="AP437">
        <v>1.4510000000000001</v>
      </c>
      <c r="AQ437">
        <v>0</v>
      </c>
      <c r="AR437">
        <v>134.93200000000002</v>
      </c>
      <c r="AS437">
        <v>0</v>
      </c>
      <c r="AT437">
        <v>21.364000000000001</v>
      </c>
      <c r="AU437">
        <v>5.55</v>
      </c>
      <c r="AV437">
        <v>0</v>
      </c>
      <c r="AW437">
        <v>163.50900000000001</v>
      </c>
      <c r="AX437">
        <v>0</v>
      </c>
      <c r="AY437">
        <v>501.61600000000004</v>
      </c>
      <c r="AZ437">
        <v>0</v>
      </c>
      <c r="BA437">
        <v>1517478</v>
      </c>
      <c r="BB437">
        <v>51824700</v>
      </c>
      <c r="BC437">
        <v>0</v>
      </c>
      <c r="BD437">
        <v>196891</v>
      </c>
      <c r="BE437">
        <v>47327</v>
      </c>
      <c r="BF437">
        <v>244218</v>
      </c>
      <c r="BG437">
        <v>196891</v>
      </c>
      <c r="BH437">
        <v>0</v>
      </c>
      <c r="BI437">
        <v>-10923</v>
      </c>
      <c r="BJ437">
        <v>0</v>
      </c>
      <c r="BK437">
        <v>0</v>
      </c>
      <c r="BL437">
        <v>5260570354</v>
      </c>
      <c r="BM437">
        <v>0</v>
      </c>
      <c r="BN437">
        <v>12060</v>
      </c>
      <c r="BO437">
        <v>6484</v>
      </c>
      <c r="BP437">
        <v>0</v>
      </c>
      <c r="BQ437">
        <v>0</v>
      </c>
      <c r="BR437">
        <v>0.82200000000000006</v>
      </c>
      <c r="BS437">
        <v>0.82200000000000006</v>
      </c>
      <c r="BT437">
        <v>0</v>
      </c>
      <c r="BU437">
        <v>0</v>
      </c>
      <c r="BV437">
        <v>673</v>
      </c>
      <c r="BW437">
        <v>182</v>
      </c>
      <c r="BX437">
        <v>943</v>
      </c>
      <c r="BY437">
        <v>1</v>
      </c>
      <c r="BZ437">
        <v>48</v>
      </c>
      <c r="CA437">
        <v>1847</v>
      </c>
      <c r="CB437">
        <v>0</v>
      </c>
      <c r="CC437">
        <v>200.815</v>
      </c>
      <c r="CD437">
        <v>0</v>
      </c>
      <c r="CE437">
        <v>100</v>
      </c>
      <c r="CF437">
        <v>637.04700000000003</v>
      </c>
      <c r="CG437">
        <v>15.759</v>
      </c>
      <c r="CH437">
        <v>0</v>
      </c>
      <c r="CI437">
        <v>5</v>
      </c>
      <c r="CJ437">
        <v>29</v>
      </c>
      <c r="CK437">
        <v>0</v>
      </c>
      <c r="CL437">
        <v>15.759</v>
      </c>
      <c r="CM437">
        <v>243.626</v>
      </c>
      <c r="CN437">
        <v>0</v>
      </c>
      <c r="CO437">
        <v>0</v>
      </c>
      <c r="CP437">
        <v>0</v>
      </c>
      <c r="CQ437">
        <v>0</v>
      </c>
      <c r="CR437">
        <v>0</v>
      </c>
      <c r="CS437">
        <v>0</v>
      </c>
      <c r="CT437">
        <v>0</v>
      </c>
      <c r="CU437">
        <v>4.3559999999999999</v>
      </c>
      <c r="CV437">
        <v>267.82400000000001</v>
      </c>
      <c r="CW437">
        <v>235.185</v>
      </c>
      <c r="CX437">
        <v>0</v>
      </c>
      <c r="CY437" s="2043">
        <v>0</v>
      </c>
      <c r="CZ437" s="2043">
        <v>0</v>
      </c>
      <c r="DA437" s="2043">
        <v>0</v>
      </c>
      <c r="DB437" s="2043">
        <v>0</v>
      </c>
      <c r="DC437" s="2043">
        <v>700000</v>
      </c>
      <c r="DI437" t="s">
        <v>5036</v>
      </c>
      <c r="DJ437" t="s">
        <v>5036</v>
      </c>
      <c r="DK437" s="2042">
        <f t="shared" si="8"/>
        <v>0</v>
      </c>
    </row>
    <row r="438" spans="1:115">
      <c r="A438" t="s">
        <v>5805</v>
      </c>
      <c r="B438" t="s">
        <v>2041</v>
      </c>
      <c r="C438">
        <v>534.78500000000008</v>
      </c>
      <c r="D438">
        <v>531.82600000000002</v>
      </c>
      <c r="E438">
        <v>17.586000000000002</v>
      </c>
      <c r="F438">
        <v>0</v>
      </c>
      <c r="G438" s="2043">
        <v>669608410</v>
      </c>
      <c r="H438">
        <v>0</v>
      </c>
      <c r="I438" s="2043">
        <v>0</v>
      </c>
      <c r="J438">
        <v>26.739000000000001</v>
      </c>
      <c r="K438">
        <v>73</v>
      </c>
      <c r="L438">
        <v>0</v>
      </c>
      <c r="M438">
        <v>0</v>
      </c>
      <c r="N438">
        <v>0</v>
      </c>
      <c r="O438">
        <v>0</v>
      </c>
      <c r="P438">
        <v>0</v>
      </c>
      <c r="Q438">
        <v>0</v>
      </c>
      <c r="R438" s="2043">
        <v>5476038</v>
      </c>
      <c r="S438">
        <v>333092</v>
      </c>
      <c r="T438">
        <v>0</v>
      </c>
      <c r="U438">
        <v>0.05</v>
      </c>
      <c r="V438">
        <v>0</v>
      </c>
      <c r="W438">
        <v>0</v>
      </c>
      <c r="X438">
        <v>0</v>
      </c>
      <c r="Y438">
        <v>0</v>
      </c>
      <c r="Z438">
        <v>0</v>
      </c>
      <c r="AA438">
        <v>0</v>
      </c>
      <c r="AB438">
        <v>531.82600000000002</v>
      </c>
      <c r="AC438" s="2043">
        <v>468341678</v>
      </c>
      <c r="AD438">
        <v>0</v>
      </c>
      <c r="AE438" s="2043">
        <v>5809130</v>
      </c>
      <c r="AF438">
        <v>0.872</v>
      </c>
      <c r="AG438">
        <v>0</v>
      </c>
      <c r="AH438">
        <v>0</v>
      </c>
      <c r="AI438">
        <v>0</v>
      </c>
      <c r="AJ438">
        <v>43.863</v>
      </c>
      <c r="AK438">
        <v>2785</v>
      </c>
      <c r="AL438">
        <v>0</v>
      </c>
      <c r="AM438">
        <v>0</v>
      </c>
      <c r="AN438">
        <v>3.8230000000000004</v>
      </c>
      <c r="AO438">
        <v>0</v>
      </c>
      <c r="AP438">
        <v>0</v>
      </c>
      <c r="AQ438">
        <v>0</v>
      </c>
      <c r="AR438">
        <v>22.895</v>
      </c>
      <c r="AS438">
        <v>0</v>
      </c>
      <c r="AT438">
        <v>2.4790000000000001</v>
      </c>
      <c r="AU438">
        <v>0.78300000000000003</v>
      </c>
      <c r="AV438">
        <v>0</v>
      </c>
      <c r="AW438">
        <v>26.157</v>
      </c>
      <c r="AX438">
        <v>0</v>
      </c>
      <c r="AY438">
        <v>80.037000000000006</v>
      </c>
      <c r="AZ438">
        <v>0</v>
      </c>
      <c r="BA438">
        <v>575712</v>
      </c>
      <c r="BB438">
        <v>5809130</v>
      </c>
      <c r="BC438">
        <v>0</v>
      </c>
      <c r="BD438">
        <v>72250</v>
      </c>
      <c r="BE438">
        <v>0</v>
      </c>
      <c r="BF438">
        <v>72250</v>
      </c>
      <c r="BG438">
        <v>72250</v>
      </c>
      <c r="BH438">
        <v>0</v>
      </c>
      <c r="BI438">
        <v>0</v>
      </c>
      <c r="BJ438">
        <v>0</v>
      </c>
      <c r="BK438">
        <v>0</v>
      </c>
      <c r="BL438">
        <v>669608410</v>
      </c>
      <c r="BM438">
        <v>0</v>
      </c>
      <c r="BN438">
        <v>1782</v>
      </c>
      <c r="BO438">
        <v>1423</v>
      </c>
      <c r="BP438">
        <v>0</v>
      </c>
      <c r="BQ438">
        <v>0</v>
      </c>
      <c r="BR438">
        <v>0.82200000000000006</v>
      </c>
      <c r="BS438">
        <v>0.82200000000000006</v>
      </c>
      <c r="BT438">
        <v>0</v>
      </c>
      <c r="BU438">
        <v>0</v>
      </c>
      <c r="BV438">
        <v>70</v>
      </c>
      <c r="BW438">
        <v>115</v>
      </c>
      <c r="BX438">
        <v>1</v>
      </c>
      <c r="BY438">
        <v>0</v>
      </c>
      <c r="BZ438">
        <v>2</v>
      </c>
      <c r="CA438">
        <v>188</v>
      </c>
      <c r="CB438">
        <v>0</v>
      </c>
      <c r="CC438">
        <v>0</v>
      </c>
      <c r="CD438">
        <v>0</v>
      </c>
      <c r="CE438">
        <v>17</v>
      </c>
      <c r="CF438">
        <v>67.835000000000008</v>
      </c>
      <c r="CG438">
        <v>0</v>
      </c>
      <c r="CH438">
        <v>0</v>
      </c>
      <c r="CI438">
        <v>3</v>
      </c>
      <c r="CJ438">
        <v>9</v>
      </c>
      <c r="CK438">
        <v>0</v>
      </c>
      <c r="CL438">
        <v>0</v>
      </c>
      <c r="CM438">
        <v>17.586000000000002</v>
      </c>
      <c r="CN438">
        <v>0</v>
      </c>
      <c r="CO438">
        <v>0</v>
      </c>
      <c r="CP438">
        <v>0</v>
      </c>
      <c r="CQ438">
        <v>0</v>
      </c>
      <c r="CR438">
        <v>0</v>
      </c>
      <c r="CS438">
        <v>0</v>
      </c>
      <c r="CT438">
        <v>0</v>
      </c>
      <c r="CU438">
        <v>0</v>
      </c>
      <c r="CV438">
        <v>29.716000000000001</v>
      </c>
      <c r="CW438">
        <v>20.278000000000002</v>
      </c>
      <c r="CX438">
        <v>0</v>
      </c>
      <c r="CY438" s="2043">
        <v>0</v>
      </c>
      <c r="CZ438" s="2043">
        <v>0</v>
      </c>
      <c r="DA438" s="2043">
        <v>0</v>
      </c>
      <c r="DB438" s="2043">
        <v>0</v>
      </c>
      <c r="DC438" s="2043">
        <v>78659</v>
      </c>
      <c r="DI438" t="s">
        <v>5805</v>
      </c>
      <c r="DJ438" t="s">
        <v>5805</v>
      </c>
      <c r="DK438" s="2042">
        <f t="shared" si="8"/>
        <v>0</v>
      </c>
    </row>
    <row r="439" spans="1:115">
      <c r="A439" t="s">
        <v>5037</v>
      </c>
      <c r="B439" t="s">
        <v>2042</v>
      </c>
      <c r="C439">
        <v>265.91300000000001</v>
      </c>
      <c r="D439">
        <v>272.77500000000003</v>
      </c>
      <c r="E439">
        <v>24.471</v>
      </c>
      <c r="F439">
        <v>1660996</v>
      </c>
      <c r="G439" s="2043">
        <v>3971485984</v>
      </c>
      <c r="H439">
        <v>0</v>
      </c>
      <c r="I439" s="2043">
        <v>1004250</v>
      </c>
      <c r="J439">
        <v>13.296000000000001</v>
      </c>
      <c r="K439">
        <v>36</v>
      </c>
      <c r="L439">
        <v>0</v>
      </c>
      <c r="M439">
        <v>0</v>
      </c>
      <c r="N439">
        <v>0</v>
      </c>
      <c r="O439">
        <v>0</v>
      </c>
      <c r="P439">
        <v>0</v>
      </c>
      <c r="Q439">
        <v>0</v>
      </c>
      <c r="R439" s="2043">
        <v>34964431</v>
      </c>
      <c r="S439">
        <v>1913972</v>
      </c>
      <c r="T439">
        <v>0</v>
      </c>
      <c r="U439">
        <v>0.05</v>
      </c>
      <c r="V439">
        <v>0</v>
      </c>
      <c r="W439">
        <v>31502736</v>
      </c>
      <c r="X439">
        <v>0</v>
      </c>
      <c r="Y439">
        <v>1660996</v>
      </c>
      <c r="Z439">
        <v>0</v>
      </c>
      <c r="AA439">
        <v>0</v>
      </c>
      <c r="AB439">
        <v>270.911</v>
      </c>
      <c r="AC439" s="2043">
        <v>3065783902</v>
      </c>
      <c r="AD439">
        <v>4828699</v>
      </c>
      <c r="AE439" s="2043">
        <v>36878403</v>
      </c>
      <c r="AF439">
        <v>0.96340000000000003</v>
      </c>
      <c r="AG439">
        <v>0</v>
      </c>
      <c r="AH439">
        <v>31502736</v>
      </c>
      <c r="AI439">
        <v>0</v>
      </c>
      <c r="AJ439">
        <v>11.8</v>
      </c>
      <c r="AK439">
        <v>830</v>
      </c>
      <c r="AL439">
        <v>0</v>
      </c>
      <c r="AM439">
        <v>0</v>
      </c>
      <c r="AN439">
        <v>11.108000000000001</v>
      </c>
      <c r="AO439">
        <v>0</v>
      </c>
      <c r="AP439">
        <v>0</v>
      </c>
      <c r="AQ439">
        <v>0</v>
      </c>
      <c r="AR439">
        <v>2.113</v>
      </c>
      <c r="AS439">
        <v>0</v>
      </c>
      <c r="AT439">
        <v>0</v>
      </c>
      <c r="AU439">
        <v>0.63900000000000001</v>
      </c>
      <c r="AV439">
        <v>0</v>
      </c>
      <c r="AW439">
        <v>2.7520000000000002</v>
      </c>
      <c r="AX439">
        <v>0</v>
      </c>
      <c r="AY439">
        <v>9.5340000000000007</v>
      </c>
      <c r="AZ439">
        <v>0</v>
      </c>
      <c r="BA439">
        <v>1800859</v>
      </c>
      <c r="BB439">
        <v>41707102</v>
      </c>
      <c r="BC439">
        <v>0</v>
      </c>
      <c r="BD439">
        <v>102631</v>
      </c>
      <c r="BE439">
        <v>0</v>
      </c>
      <c r="BF439">
        <v>102631</v>
      </c>
      <c r="BG439">
        <v>102631</v>
      </c>
      <c r="BH439">
        <v>0</v>
      </c>
      <c r="BI439">
        <v>0</v>
      </c>
      <c r="BJ439">
        <v>0</v>
      </c>
      <c r="BK439">
        <v>0</v>
      </c>
      <c r="BL439">
        <v>3971485984</v>
      </c>
      <c r="BM439">
        <v>0</v>
      </c>
      <c r="BN439">
        <v>1080</v>
      </c>
      <c r="BO439">
        <v>845</v>
      </c>
      <c r="BP439">
        <v>0</v>
      </c>
      <c r="BQ439">
        <v>0</v>
      </c>
      <c r="BR439">
        <v>0.91339999999999999</v>
      </c>
      <c r="BS439">
        <v>0.91339999999999999</v>
      </c>
      <c r="BT439">
        <v>0</v>
      </c>
      <c r="BU439">
        <v>0</v>
      </c>
      <c r="BV439">
        <v>26</v>
      </c>
      <c r="BW439">
        <v>24</v>
      </c>
      <c r="BX439">
        <v>1</v>
      </c>
      <c r="BY439">
        <v>0</v>
      </c>
      <c r="BZ439">
        <v>0</v>
      </c>
      <c r="CA439">
        <v>51</v>
      </c>
      <c r="CB439">
        <v>0</v>
      </c>
      <c r="CC439">
        <v>0</v>
      </c>
      <c r="CD439">
        <v>0</v>
      </c>
      <c r="CE439">
        <v>39</v>
      </c>
      <c r="CF439">
        <v>20.755000000000003</v>
      </c>
      <c r="CG439">
        <v>0</v>
      </c>
      <c r="CH439">
        <v>0</v>
      </c>
      <c r="CI439">
        <v>2</v>
      </c>
      <c r="CJ439">
        <v>4</v>
      </c>
      <c r="CK439">
        <v>0</v>
      </c>
      <c r="CL439">
        <v>0</v>
      </c>
      <c r="CM439">
        <v>24.471</v>
      </c>
      <c r="CN439">
        <v>0</v>
      </c>
      <c r="CO439">
        <v>0</v>
      </c>
      <c r="CP439">
        <v>0</v>
      </c>
      <c r="CQ439">
        <v>0</v>
      </c>
      <c r="CR439">
        <v>0</v>
      </c>
      <c r="CS439">
        <v>0</v>
      </c>
      <c r="CT439">
        <v>0</v>
      </c>
      <c r="CU439">
        <v>2.077</v>
      </c>
      <c r="CV439">
        <v>16.531000000000002</v>
      </c>
      <c r="CW439">
        <v>12.867000000000001</v>
      </c>
      <c r="CX439">
        <v>0</v>
      </c>
      <c r="CY439" s="2043">
        <v>0</v>
      </c>
      <c r="CZ439" s="2043">
        <v>0</v>
      </c>
      <c r="DA439" s="2043">
        <v>0</v>
      </c>
      <c r="DB439" s="2043">
        <v>1660996</v>
      </c>
      <c r="DC439" s="2043">
        <v>397000</v>
      </c>
      <c r="DI439" t="s">
        <v>5037</v>
      </c>
      <c r="DJ439" t="s">
        <v>5037</v>
      </c>
      <c r="DK439" s="2042">
        <f t="shared" si="8"/>
        <v>0</v>
      </c>
    </row>
    <row r="440" spans="1:115">
      <c r="A440" t="s">
        <v>5038</v>
      </c>
      <c r="B440" t="s">
        <v>2298</v>
      </c>
      <c r="C440">
        <v>1167.71</v>
      </c>
      <c r="D440">
        <v>1194.7360000000001</v>
      </c>
      <c r="E440">
        <v>18.156000000000002</v>
      </c>
      <c r="F440">
        <v>164274</v>
      </c>
      <c r="G440" s="2043">
        <v>866831951</v>
      </c>
      <c r="H440">
        <v>0</v>
      </c>
      <c r="I440" s="2043">
        <v>1261950</v>
      </c>
      <c r="J440">
        <v>58.386000000000003</v>
      </c>
      <c r="K440">
        <v>160</v>
      </c>
      <c r="L440">
        <v>0</v>
      </c>
      <c r="M440">
        <v>0</v>
      </c>
      <c r="N440">
        <v>0</v>
      </c>
      <c r="O440">
        <v>0</v>
      </c>
      <c r="P440">
        <v>0</v>
      </c>
      <c r="Q440">
        <v>0</v>
      </c>
      <c r="R440" s="2043">
        <v>7348460</v>
      </c>
      <c r="S440">
        <v>414558</v>
      </c>
      <c r="T440">
        <v>0</v>
      </c>
      <c r="U440">
        <v>0.05</v>
      </c>
      <c r="V440">
        <v>0</v>
      </c>
      <c r="W440">
        <v>0</v>
      </c>
      <c r="X440">
        <v>0</v>
      </c>
      <c r="Y440">
        <v>164274</v>
      </c>
      <c r="Z440">
        <v>0</v>
      </c>
      <c r="AA440">
        <v>0.14700000000000002</v>
      </c>
      <c r="AB440">
        <v>1158.3810000000001</v>
      </c>
      <c r="AC440" s="2043">
        <v>817539980</v>
      </c>
      <c r="AD440">
        <v>1317272</v>
      </c>
      <c r="AE440" s="2043">
        <v>7763018</v>
      </c>
      <c r="AF440">
        <v>0.93630000000000002</v>
      </c>
      <c r="AG440">
        <v>0</v>
      </c>
      <c r="AH440">
        <v>0</v>
      </c>
      <c r="AI440">
        <v>0</v>
      </c>
      <c r="AJ440">
        <v>165.78800000000001</v>
      </c>
      <c r="AK440">
        <v>5551</v>
      </c>
      <c r="AL440">
        <v>0</v>
      </c>
      <c r="AM440">
        <v>0</v>
      </c>
      <c r="AN440">
        <v>36.356999999999999</v>
      </c>
      <c r="AO440">
        <v>0</v>
      </c>
      <c r="AP440">
        <v>0</v>
      </c>
      <c r="AQ440">
        <v>0</v>
      </c>
      <c r="AR440">
        <v>37.484999999999999</v>
      </c>
      <c r="AS440">
        <v>0</v>
      </c>
      <c r="AT440">
        <v>10.034000000000001</v>
      </c>
      <c r="AU440">
        <v>2.319</v>
      </c>
      <c r="AV440">
        <v>0</v>
      </c>
      <c r="AW440">
        <v>49.838000000000001</v>
      </c>
      <c r="AX440">
        <v>0</v>
      </c>
      <c r="AY440">
        <v>154.15200000000002</v>
      </c>
      <c r="AZ440">
        <v>0</v>
      </c>
      <c r="BA440">
        <v>5078043</v>
      </c>
      <c r="BB440">
        <v>9080290</v>
      </c>
      <c r="BC440">
        <v>0</v>
      </c>
      <c r="BD440">
        <v>268062</v>
      </c>
      <c r="BE440">
        <v>1034</v>
      </c>
      <c r="BF440">
        <v>269096</v>
      </c>
      <c r="BG440">
        <v>268062</v>
      </c>
      <c r="BH440">
        <v>0</v>
      </c>
      <c r="BI440">
        <v>0</v>
      </c>
      <c r="BJ440">
        <v>0</v>
      </c>
      <c r="BK440">
        <v>0</v>
      </c>
      <c r="BL440">
        <v>866831951</v>
      </c>
      <c r="BM440">
        <v>0</v>
      </c>
      <c r="BN440">
        <v>3996</v>
      </c>
      <c r="BO440">
        <v>3285</v>
      </c>
      <c r="BP440">
        <v>0</v>
      </c>
      <c r="BQ440">
        <v>0</v>
      </c>
      <c r="BR440">
        <v>0.88630000000000009</v>
      </c>
      <c r="BS440">
        <v>0.88630000000000009</v>
      </c>
      <c r="BT440">
        <v>0</v>
      </c>
      <c r="BU440">
        <v>0</v>
      </c>
      <c r="BV440">
        <v>246</v>
      </c>
      <c r="BW440">
        <v>251</v>
      </c>
      <c r="BX440">
        <v>0</v>
      </c>
      <c r="BY440">
        <v>158</v>
      </c>
      <c r="BZ440">
        <v>34</v>
      </c>
      <c r="CA440">
        <v>689</v>
      </c>
      <c r="CB440">
        <v>0</v>
      </c>
      <c r="CC440">
        <v>0</v>
      </c>
      <c r="CD440">
        <v>0</v>
      </c>
      <c r="CE440">
        <v>99</v>
      </c>
      <c r="CF440">
        <v>196.066</v>
      </c>
      <c r="CG440">
        <v>0</v>
      </c>
      <c r="CH440">
        <v>0</v>
      </c>
      <c r="CI440">
        <v>4</v>
      </c>
      <c r="CJ440">
        <v>18</v>
      </c>
      <c r="CK440">
        <v>0</v>
      </c>
      <c r="CL440">
        <v>0</v>
      </c>
      <c r="CM440">
        <v>18.156000000000002</v>
      </c>
      <c r="CN440">
        <v>0</v>
      </c>
      <c r="CO440">
        <v>0</v>
      </c>
      <c r="CP440">
        <v>0</v>
      </c>
      <c r="CQ440">
        <v>0</v>
      </c>
      <c r="CR440">
        <v>0</v>
      </c>
      <c r="CS440">
        <v>0</v>
      </c>
      <c r="CT440">
        <v>0</v>
      </c>
      <c r="CU440">
        <v>0</v>
      </c>
      <c r="CV440">
        <v>108.729</v>
      </c>
      <c r="CW440">
        <v>36.292999999999999</v>
      </c>
      <c r="CX440">
        <v>0</v>
      </c>
      <c r="CY440" s="2043">
        <v>0</v>
      </c>
      <c r="CZ440" s="2043">
        <v>0</v>
      </c>
      <c r="DA440" s="2043">
        <v>0</v>
      </c>
      <c r="DB440" s="2043">
        <v>164274</v>
      </c>
      <c r="DC440" s="2043">
        <v>293679</v>
      </c>
      <c r="DI440" t="s">
        <v>5038</v>
      </c>
      <c r="DJ440" t="s">
        <v>5038</v>
      </c>
      <c r="DK440" s="2042">
        <f t="shared" si="8"/>
        <v>0</v>
      </c>
    </row>
    <row r="441" spans="1:115">
      <c r="A441" t="s">
        <v>3001</v>
      </c>
      <c r="B441" t="s">
        <v>859</v>
      </c>
      <c r="C441">
        <v>2369.5630000000001</v>
      </c>
      <c r="D441">
        <v>2564.35</v>
      </c>
      <c r="E441">
        <v>548.37800000000004</v>
      </c>
      <c r="F441">
        <v>0</v>
      </c>
      <c r="G441" s="2043">
        <v>1739518635</v>
      </c>
      <c r="H441">
        <v>0</v>
      </c>
      <c r="I441" s="2043">
        <v>1552357</v>
      </c>
      <c r="J441">
        <v>118.47800000000001</v>
      </c>
      <c r="K441">
        <v>324</v>
      </c>
      <c r="L441">
        <v>0</v>
      </c>
      <c r="M441">
        <v>0</v>
      </c>
      <c r="N441">
        <v>0</v>
      </c>
      <c r="O441">
        <v>0</v>
      </c>
      <c r="P441">
        <v>0</v>
      </c>
      <c r="Q441">
        <v>0</v>
      </c>
      <c r="R441" s="2043">
        <v>15506926</v>
      </c>
      <c r="S441">
        <v>1385629</v>
      </c>
      <c r="T441">
        <v>587161</v>
      </c>
      <c r="U441">
        <v>0.08</v>
      </c>
      <c r="V441">
        <v>0</v>
      </c>
      <c r="W441">
        <v>0</v>
      </c>
      <c r="X441">
        <v>0</v>
      </c>
      <c r="Y441">
        <v>411575</v>
      </c>
      <c r="Z441">
        <v>0</v>
      </c>
      <c r="AA441">
        <v>0.32700000000000001</v>
      </c>
      <c r="AB441">
        <v>2394.64</v>
      </c>
      <c r="AC441" s="2043">
        <v>1513848871</v>
      </c>
      <c r="AD441">
        <v>1445768</v>
      </c>
      <c r="AE441" s="2043">
        <v>17479716</v>
      </c>
      <c r="AF441">
        <v>1.0092000000000001</v>
      </c>
      <c r="AG441">
        <v>0</v>
      </c>
      <c r="AH441">
        <v>0</v>
      </c>
      <c r="AI441">
        <v>0</v>
      </c>
      <c r="AJ441">
        <v>452.02500000000003</v>
      </c>
      <c r="AK441">
        <v>9879</v>
      </c>
      <c r="AL441">
        <v>0.109</v>
      </c>
      <c r="AM441">
        <v>0</v>
      </c>
      <c r="AN441">
        <v>131.34700000000001</v>
      </c>
      <c r="AO441">
        <v>0</v>
      </c>
      <c r="AP441">
        <v>1.0740000000000001</v>
      </c>
      <c r="AQ441">
        <v>0</v>
      </c>
      <c r="AR441">
        <v>45.445</v>
      </c>
      <c r="AS441">
        <v>0</v>
      </c>
      <c r="AT441">
        <v>27.094000000000001</v>
      </c>
      <c r="AU441">
        <v>7.0070000000000006</v>
      </c>
      <c r="AV441">
        <v>0</v>
      </c>
      <c r="AW441">
        <v>80.728999999999999</v>
      </c>
      <c r="AX441">
        <v>0</v>
      </c>
      <c r="AY441">
        <v>256.09700000000004</v>
      </c>
      <c r="AZ441">
        <v>0</v>
      </c>
      <c r="BA441">
        <v>8410460</v>
      </c>
      <c r="BB441">
        <v>18925484</v>
      </c>
      <c r="BC441">
        <v>0</v>
      </c>
      <c r="BD441">
        <v>147418</v>
      </c>
      <c r="BE441">
        <v>34393</v>
      </c>
      <c r="BF441">
        <v>183294</v>
      </c>
      <c r="BG441">
        <v>147418</v>
      </c>
      <c r="BH441">
        <v>1483</v>
      </c>
      <c r="BI441">
        <v>0</v>
      </c>
      <c r="BJ441">
        <v>0</v>
      </c>
      <c r="BK441">
        <v>0</v>
      </c>
      <c r="BL441">
        <v>1739518635</v>
      </c>
      <c r="BM441">
        <v>0</v>
      </c>
      <c r="BN441">
        <v>9171</v>
      </c>
      <c r="BO441">
        <v>6367</v>
      </c>
      <c r="BP441">
        <v>0</v>
      </c>
      <c r="BQ441">
        <v>0</v>
      </c>
      <c r="BR441">
        <v>0.8953000000000001</v>
      </c>
      <c r="BS441">
        <v>0.8953000000000001</v>
      </c>
      <c r="BT441">
        <v>411575</v>
      </c>
      <c r="BU441">
        <v>0</v>
      </c>
      <c r="BV441">
        <v>370</v>
      </c>
      <c r="BW441">
        <v>336</v>
      </c>
      <c r="BX441">
        <v>837</v>
      </c>
      <c r="BY441">
        <v>112</v>
      </c>
      <c r="BZ441">
        <v>183</v>
      </c>
      <c r="CA441">
        <v>1838</v>
      </c>
      <c r="CB441">
        <v>0</v>
      </c>
      <c r="CC441">
        <v>0</v>
      </c>
      <c r="CD441">
        <v>0</v>
      </c>
      <c r="CE441">
        <v>216</v>
      </c>
      <c r="CF441">
        <v>741.82600000000002</v>
      </c>
      <c r="CG441">
        <v>0</v>
      </c>
      <c r="CH441">
        <v>0</v>
      </c>
      <c r="CI441">
        <v>2</v>
      </c>
      <c r="CJ441">
        <v>5</v>
      </c>
      <c r="CK441">
        <v>0</v>
      </c>
      <c r="CL441">
        <v>0</v>
      </c>
      <c r="CM441">
        <v>548.37800000000004</v>
      </c>
      <c r="CN441">
        <v>0</v>
      </c>
      <c r="CO441">
        <v>0</v>
      </c>
      <c r="CP441">
        <v>0</v>
      </c>
      <c r="CQ441">
        <v>0</v>
      </c>
      <c r="CR441">
        <v>0</v>
      </c>
      <c r="CS441">
        <v>0</v>
      </c>
      <c r="CT441">
        <v>0</v>
      </c>
      <c r="CU441">
        <v>3.9360000000000004</v>
      </c>
      <c r="CV441">
        <v>84.275000000000006</v>
      </c>
      <c r="CW441">
        <v>60.025000000000006</v>
      </c>
      <c r="CX441">
        <v>411575</v>
      </c>
      <c r="CY441" s="2043">
        <v>0</v>
      </c>
      <c r="CZ441" s="2043">
        <v>0</v>
      </c>
      <c r="DA441" s="2043">
        <v>0</v>
      </c>
      <c r="DB441" s="2043">
        <v>0</v>
      </c>
      <c r="DC441" s="2043">
        <v>0</v>
      </c>
      <c r="DI441" t="s">
        <v>3001</v>
      </c>
      <c r="DJ441" t="s">
        <v>3001</v>
      </c>
      <c r="DK441" s="2042">
        <f t="shared" si="8"/>
        <v>0</v>
      </c>
    </row>
    <row r="442" spans="1:115">
      <c r="A442" t="s">
        <v>5039</v>
      </c>
      <c r="B442" t="s">
        <v>2299</v>
      </c>
      <c r="C442">
        <v>941.41100000000006</v>
      </c>
      <c r="D442">
        <v>944.86</v>
      </c>
      <c r="E442">
        <v>186.47</v>
      </c>
      <c r="F442">
        <v>0</v>
      </c>
      <c r="G442" s="2043">
        <v>847540510</v>
      </c>
      <c r="H442">
        <v>0</v>
      </c>
      <c r="I442" s="2043">
        <v>1502631</v>
      </c>
      <c r="J442">
        <v>47.071000000000005</v>
      </c>
      <c r="K442">
        <v>129</v>
      </c>
      <c r="L442">
        <v>0</v>
      </c>
      <c r="M442">
        <v>0</v>
      </c>
      <c r="N442">
        <v>0</v>
      </c>
      <c r="O442">
        <v>0</v>
      </c>
      <c r="P442">
        <v>0</v>
      </c>
      <c r="Q442">
        <v>0</v>
      </c>
      <c r="R442" s="2043">
        <v>7545887</v>
      </c>
      <c r="S442">
        <v>495679</v>
      </c>
      <c r="T442">
        <v>0</v>
      </c>
      <c r="U442">
        <v>0.06</v>
      </c>
      <c r="V442">
        <v>0</v>
      </c>
      <c r="W442">
        <v>0</v>
      </c>
      <c r="X442">
        <v>0</v>
      </c>
      <c r="Y442">
        <v>0</v>
      </c>
      <c r="Z442">
        <v>0</v>
      </c>
      <c r="AA442">
        <v>0.27400000000000002</v>
      </c>
      <c r="AB442">
        <v>939.6880000000001</v>
      </c>
      <c r="AC442" s="2043">
        <v>776381166</v>
      </c>
      <c r="AD442">
        <v>1440903</v>
      </c>
      <c r="AE442" s="2043">
        <v>8041566</v>
      </c>
      <c r="AF442">
        <v>0.97340000000000004</v>
      </c>
      <c r="AG442">
        <v>0</v>
      </c>
      <c r="AH442">
        <v>0</v>
      </c>
      <c r="AI442">
        <v>0</v>
      </c>
      <c r="AJ442">
        <v>219.625</v>
      </c>
      <c r="AK442">
        <v>6416</v>
      </c>
      <c r="AL442">
        <v>0.19</v>
      </c>
      <c r="AM442">
        <v>0</v>
      </c>
      <c r="AN442">
        <v>30.695</v>
      </c>
      <c r="AO442">
        <v>0</v>
      </c>
      <c r="AP442">
        <v>1.919</v>
      </c>
      <c r="AQ442">
        <v>0</v>
      </c>
      <c r="AR442">
        <v>39.957000000000001</v>
      </c>
      <c r="AS442">
        <v>0</v>
      </c>
      <c r="AT442">
        <v>12.757000000000001</v>
      </c>
      <c r="AU442">
        <v>3.1260000000000003</v>
      </c>
      <c r="AV442">
        <v>0</v>
      </c>
      <c r="AW442">
        <v>57.949000000000005</v>
      </c>
      <c r="AX442">
        <v>0</v>
      </c>
      <c r="AY442">
        <v>179.90300000000002</v>
      </c>
      <c r="AZ442">
        <v>0</v>
      </c>
      <c r="BA442">
        <v>3809906</v>
      </c>
      <c r="BB442">
        <v>9482469</v>
      </c>
      <c r="BC442">
        <v>816</v>
      </c>
      <c r="BD442">
        <v>134100</v>
      </c>
      <c r="BE442">
        <v>21218</v>
      </c>
      <c r="BF442">
        <v>156134</v>
      </c>
      <c r="BG442">
        <v>134916</v>
      </c>
      <c r="BH442">
        <v>0</v>
      </c>
      <c r="BI442">
        <v>0</v>
      </c>
      <c r="BJ442">
        <v>0</v>
      </c>
      <c r="BK442">
        <v>0</v>
      </c>
      <c r="BL442">
        <v>847540510</v>
      </c>
      <c r="BM442">
        <v>0</v>
      </c>
      <c r="BN442">
        <v>3375</v>
      </c>
      <c r="BO442">
        <v>1295</v>
      </c>
      <c r="BP442">
        <v>0</v>
      </c>
      <c r="BQ442">
        <v>0</v>
      </c>
      <c r="BR442">
        <v>0.91339999999999999</v>
      </c>
      <c r="BS442">
        <v>0.91339999999999999</v>
      </c>
      <c r="BT442">
        <v>0</v>
      </c>
      <c r="BU442">
        <v>0</v>
      </c>
      <c r="BV442">
        <v>14</v>
      </c>
      <c r="BW442">
        <v>174</v>
      </c>
      <c r="BX442">
        <v>683</v>
      </c>
      <c r="BY442">
        <v>0</v>
      </c>
      <c r="BZ442">
        <v>16</v>
      </c>
      <c r="CA442">
        <v>887</v>
      </c>
      <c r="CB442">
        <v>0</v>
      </c>
      <c r="CC442">
        <v>0</v>
      </c>
      <c r="CD442">
        <v>0</v>
      </c>
      <c r="CE442">
        <v>115</v>
      </c>
      <c r="CF442">
        <v>290.83500000000004</v>
      </c>
      <c r="CG442">
        <v>2.198</v>
      </c>
      <c r="CH442">
        <v>0</v>
      </c>
      <c r="CI442">
        <v>0</v>
      </c>
      <c r="CJ442">
        <v>0</v>
      </c>
      <c r="CK442">
        <v>0</v>
      </c>
      <c r="CL442">
        <v>2.198</v>
      </c>
      <c r="CM442">
        <v>186.47</v>
      </c>
      <c r="CN442">
        <v>0</v>
      </c>
      <c r="CO442">
        <v>0</v>
      </c>
      <c r="CP442">
        <v>0</v>
      </c>
      <c r="CQ442">
        <v>0</v>
      </c>
      <c r="CR442">
        <v>0</v>
      </c>
      <c r="CS442">
        <v>0</v>
      </c>
      <c r="CT442">
        <v>0</v>
      </c>
      <c r="CU442">
        <v>0</v>
      </c>
      <c r="CV442">
        <v>52.553000000000004</v>
      </c>
      <c r="CW442">
        <v>21.744</v>
      </c>
      <c r="CX442">
        <v>0</v>
      </c>
      <c r="CY442" s="2043">
        <v>0</v>
      </c>
      <c r="CZ442" s="2043">
        <v>0</v>
      </c>
      <c r="DA442" s="2043">
        <v>0</v>
      </c>
      <c r="DB442" s="2043">
        <v>0</v>
      </c>
      <c r="DC442" s="2043">
        <v>241683</v>
      </c>
      <c r="DI442" t="s">
        <v>5039</v>
      </c>
      <c r="DJ442" t="s">
        <v>5039</v>
      </c>
      <c r="DK442" s="2042">
        <f t="shared" si="8"/>
        <v>0</v>
      </c>
    </row>
    <row r="443" spans="1:115">
      <c r="A443" t="s">
        <v>5040</v>
      </c>
      <c r="B443" t="s">
        <v>2300</v>
      </c>
      <c r="C443">
        <v>273.17099999999999</v>
      </c>
      <c r="D443">
        <v>280.18200000000002</v>
      </c>
      <c r="E443">
        <v>70.921000000000006</v>
      </c>
      <c r="F443">
        <v>0</v>
      </c>
      <c r="G443" s="2043">
        <v>277725916</v>
      </c>
      <c r="H443">
        <v>0</v>
      </c>
      <c r="I443" s="2043">
        <v>220562</v>
      </c>
      <c r="J443">
        <v>13</v>
      </c>
      <c r="K443">
        <v>36</v>
      </c>
      <c r="L443">
        <v>0</v>
      </c>
      <c r="M443">
        <v>0</v>
      </c>
      <c r="N443">
        <v>0</v>
      </c>
      <c r="O443">
        <v>0</v>
      </c>
      <c r="P443">
        <v>0</v>
      </c>
      <c r="Q443">
        <v>0</v>
      </c>
      <c r="R443" s="2043">
        <v>2276307</v>
      </c>
      <c r="S443">
        <v>138462</v>
      </c>
      <c r="T443">
        <v>0</v>
      </c>
      <c r="U443">
        <v>0.05</v>
      </c>
      <c r="V443">
        <v>0</v>
      </c>
      <c r="W443">
        <v>0</v>
      </c>
      <c r="X443">
        <v>0</v>
      </c>
      <c r="Y443">
        <v>0</v>
      </c>
      <c r="Z443">
        <v>0.89800000000000002</v>
      </c>
      <c r="AA443">
        <v>0</v>
      </c>
      <c r="AB443">
        <v>255.43600000000001</v>
      </c>
      <c r="AC443" s="2043">
        <v>210452616</v>
      </c>
      <c r="AD443">
        <v>225817</v>
      </c>
      <c r="AE443" s="2043">
        <v>2414769</v>
      </c>
      <c r="AF443">
        <v>0.872</v>
      </c>
      <c r="AG443">
        <v>0</v>
      </c>
      <c r="AH443">
        <v>0</v>
      </c>
      <c r="AI443">
        <v>0</v>
      </c>
      <c r="AJ443">
        <v>73.325000000000003</v>
      </c>
      <c r="AK443">
        <v>1600</v>
      </c>
      <c r="AL443">
        <v>0</v>
      </c>
      <c r="AM443">
        <v>0</v>
      </c>
      <c r="AN443">
        <v>7.609</v>
      </c>
      <c r="AO443">
        <v>0</v>
      </c>
      <c r="AP443">
        <v>0</v>
      </c>
      <c r="AQ443">
        <v>0</v>
      </c>
      <c r="AR443">
        <v>5.68</v>
      </c>
      <c r="AS443">
        <v>0</v>
      </c>
      <c r="AT443">
        <v>5.6680000000000001</v>
      </c>
      <c r="AU443">
        <v>0.62</v>
      </c>
      <c r="AV443">
        <v>0</v>
      </c>
      <c r="AW443">
        <v>11.968</v>
      </c>
      <c r="AX443">
        <v>0</v>
      </c>
      <c r="AY443">
        <v>37.143999999999998</v>
      </c>
      <c r="AZ443">
        <v>0</v>
      </c>
      <c r="BA443">
        <v>1404623</v>
      </c>
      <c r="BB443">
        <v>2640586</v>
      </c>
      <c r="BC443">
        <v>0</v>
      </c>
      <c r="BD443">
        <v>32347</v>
      </c>
      <c r="BE443">
        <v>0</v>
      </c>
      <c r="BF443">
        <v>32617</v>
      </c>
      <c r="BG443">
        <v>32347</v>
      </c>
      <c r="BH443">
        <v>270</v>
      </c>
      <c r="BI443">
        <v>0</v>
      </c>
      <c r="BJ443">
        <v>0</v>
      </c>
      <c r="BK443">
        <v>0</v>
      </c>
      <c r="BL443">
        <v>277725916</v>
      </c>
      <c r="BM443">
        <v>0</v>
      </c>
      <c r="BN443">
        <v>1134</v>
      </c>
      <c r="BO443">
        <v>203</v>
      </c>
      <c r="BP443">
        <v>0</v>
      </c>
      <c r="BQ443">
        <v>0</v>
      </c>
      <c r="BR443">
        <v>0.82200000000000006</v>
      </c>
      <c r="BS443">
        <v>0.82200000000000006</v>
      </c>
      <c r="BT443">
        <v>0</v>
      </c>
      <c r="BU443">
        <v>0</v>
      </c>
      <c r="BV443">
        <v>0</v>
      </c>
      <c r="BW443">
        <v>13</v>
      </c>
      <c r="BX443">
        <v>258</v>
      </c>
      <c r="BY443">
        <v>3</v>
      </c>
      <c r="BZ443">
        <v>18</v>
      </c>
      <c r="CA443">
        <v>292</v>
      </c>
      <c r="CB443">
        <v>0</v>
      </c>
      <c r="CC443">
        <v>0</v>
      </c>
      <c r="CD443">
        <v>0</v>
      </c>
      <c r="CE443">
        <v>3</v>
      </c>
      <c r="CF443">
        <v>112.369</v>
      </c>
      <c r="CG443">
        <v>0</v>
      </c>
      <c r="CH443">
        <v>0</v>
      </c>
      <c r="CI443">
        <v>0</v>
      </c>
      <c r="CJ443">
        <v>0</v>
      </c>
      <c r="CK443">
        <v>0</v>
      </c>
      <c r="CL443">
        <v>0</v>
      </c>
      <c r="CM443">
        <v>70.921000000000006</v>
      </c>
      <c r="CN443">
        <v>0</v>
      </c>
      <c r="CO443">
        <v>0</v>
      </c>
      <c r="CP443">
        <v>0</v>
      </c>
      <c r="CQ443">
        <v>0</v>
      </c>
      <c r="CR443">
        <v>0</v>
      </c>
      <c r="CS443">
        <v>0</v>
      </c>
      <c r="CT443">
        <v>0</v>
      </c>
      <c r="CU443">
        <v>0.57100000000000006</v>
      </c>
      <c r="CV443">
        <v>8.0020000000000007</v>
      </c>
      <c r="CW443">
        <v>0.58900000000000008</v>
      </c>
      <c r="CX443">
        <v>0</v>
      </c>
      <c r="CY443" s="2043">
        <v>0</v>
      </c>
      <c r="CZ443" s="2043">
        <v>0</v>
      </c>
      <c r="DA443" s="2043">
        <v>0</v>
      </c>
      <c r="DB443" s="2043">
        <v>0</v>
      </c>
      <c r="DC443" s="2043">
        <v>0</v>
      </c>
      <c r="DI443" t="s">
        <v>5040</v>
      </c>
      <c r="DJ443" t="s">
        <v>5040</v>
      </c>
      <c r="DK443" s="2042">
        <f t="shared" si="8"/>
        <v>0</v>
      </c>
    </row>
    <row r="444" spans="1:115">
      <c r="A444" t="s">
        <v>5041</v>
      </c>
      <c r="B444" t="s">
        <v>1748</v>
      </c>
      <c r="C444">
        <v>157.536</v>
      </c>
      <c r="D444">
        <v>152.35400000000001</v>
      </c>
      <c r="E444">
        <v>5.8440000000000003</v>
      </c>
      <c r="F444">
        <v>0</v>
      </c>
      <c r="G444" s="2043">
        <v>79199101</v>
      </c>
      <c r="H444">
        <v>0</v>
      </c>
      <c r="I444" s="2043">
        <v>380650</v>
      </c>
      <c r="J444">
        <v>7.8770000000000007</v>
      </c>
      <c r="K444">
        <v>22</v>
      </c>
      <c r="L444">
        <v>0</v>
      </c>
      <c r="M444">
        <v>0</v>
      </c>
      <c r="N444">
        <v>0</v>
      </c>
      <c r="O444">
        <v>0</v>
      </c>
      <c r="P444">
        <v>0</v>
      </c>
      <c r="Q444">
        <v>0</v>
      </c>
      <c r="R444" s="2043">
        <v>719510</v>
      </c>
      <c r="S444">
        <v>39386</v>
      </c>
      <c r="T444">
        <v>0</v>
      </c>
      <c r="U444">
        <v>0.05</v>
      </c>
      <c r="V444">
        <v>0</v>
      </c>
      <c r="W444">
        <v>0</v>
      </c>
      <c r="X444">
        <v>0</v>
      </c>
      <c r="Y444">
        <v>69337</v>
      </c>
      <c r="Z444">
        <v>0</v>
      </c>
      <c r="AA444">
        <v>0</v>
      </c>
      <c r="AB444">
        <v>152.35400000000001</v>
      </c>
      <c r="AC444" s="2043">
        <v>102270028</v>
      </c>
      <c r="AD444">
        <v>345987</v>
      </c>
      <c r="AE444" s="2043">
        <v>758896</v>
      </c>
      <c r="AF444">
        <v>0.96340000000000003</v>
      </c>
      <c r="AG444">
        <v>0</v>
      </c>
      <c r="AH444">
        <v>0</v>
      </c>
      <c r="AI444">
        <v>0</v>
      </c>
      <c r="AJ444">
        <v>21.338000000000001</v>
      </c>
      <c r="AK444">
        <v>1143</v>
      </c>
      <c r="AL444">
        <v>0</v>
      </c>
      <c r="AM444">
        <v>0</v>
      </c>
      <c r="AN444">
        <v>4.9050000000000002</v>
      </c>
      <c r="AO444">
        <v>0</v>
      </c>
      <c r="AP444">
        <v>0</v>
      </c>
      <c r="AQ444">
        <v>0</v>
      </c>
      <c r="AR444">
        <v>7.9260000000000002</v>
      </c>
      <c r="AS444">
        <v>0</v>
      </c>
      <c r="AT444">
        <v>0.21300000000000002</v>
      </c>
      <c r="AU444">
        <v>0.36499999999999999</v>
      </c>
      <c r="AV444">
        <v>0</v>
      </c>
      <c r="AW444">
        <v>8.5039999999999996</v>
      </c>
      <c r="AX444">
        <v>0</v>
      </c>
      <c r="AY444">
        <v>26.242000000000001</v>
      </c>
      <c r="AZ444">
        <v>0</v>
      </c>
      <c r="BA444">
        <v>1436925</v>
      </c>
      <c r="BB444">
        <v>1104883</v>
      </c>
      <c r="BC444">
        <v>0</v>
      </c>
      <c r="BD444">
        <v>6519</v>
      </c>
      <c r="BE444">
        <v>3282</v>
      </c>
      <c r="BF444">
        <v>9801</v>
      </c>
      <c r="BG444">
        <v>6519</v>
      </c>
      <c r="BH444">
        <v>0</v>
      </c>
      <c r="BI444">
        <v>0</v>
      </c>
      <c r="BJ444">
        <v>0</v>
      </c>
      <c r="BK444">
        <v>0</v>
      </c>
      <c r="BL444">
        <v>79199101</v>
      </c>
      <c r="BM444">
        <v>0</v>
      </c>
      <c r="BN444">
        <v>486</v>
      </c>
      <c r="BO444">
        <v>482</v>
      </c>
      <c r="BP444">
        <v>0</v>
      </c>
      <c r="BQ444">
        <v>0</v>
      </c>
      <c r="BR444">
        <v>0.91339999999999999</v>
      </c>
      <c r="BS444">
        <v>0.91339999999999999</v>
      </c>
      <c r="BT444">
        <v>0</v>
      </c>
      <c r="BU444">
        <v>0</v>
      </c>
      <c r="BV444">
        <v>6</v>
      </c>
      <c r="BW444">
        <v>8</v>
      </c>
      <c r="BX444">
        <v>65</v>
      </c>
      <c r="BY444">
        <v>7</v>
      </c>
      <c r="BZ444">
        <v>0</v>
      </c>
      <c r="CA444">
        <v>86</v>
      </c>
      <c r="CB444">
        <v>0</v>
      </c>
      <c r="CC444">
        <v>0</v>
      </c>
      <c r="CD444">
        <v>0</v>
      </c>
      <c r="CE444">
        <v>12</v>
      </c>
      <c r="CF444">
        <v>29.580000000000002</v>
      </c>
      <c r="CG444">
        <v>0</v>
      </c>
      <c r="CH444">
        <v>0</v>
      </c>
      <c r="CI444">
        <v>0</v>
      </c>
      <c r="CJ444">
        <v>1</v>
      </c>
      <c r="CK444">
        <v>0</v>
      </c>
      <c r="CL444">
        <v>0</v>
      </c>
      <c r="CM444">
        <v>5.8440000000000003</v>
      </c>
      <c r="CN444">
        <v>0</v>
      </c>
      <c r="CO444">
        <v>0</v>
      </c>
      <c r="CP444">
        <v>0</v>
      </c>
      <c r="CQ444">
        <v>0</v>
      </c>
      <c r="CR444">
        <v>0</v>
      </c>
      <c r="CS444">
        <v>0</v>
      </c>
      <c r="CT444">
        <v>0</v>
      </c>
      <c r="CU444">
        <v>0</v>
      </c>
      <c r="CV444">
        <v>3.6990000000000003</v>
      </c>
      <c r="CW444">
        <v>3.988</v>
      </c>
      <c r="CX444">
        <v>0</v>
      </c>
      <c r="CY444" s="2043">
        <v>69337</v>
      </c>
      <c r="CZ444" s="2043">
        <v>0</v>
      </c>
      <c r="DA444" s="2043">
        <v>0</v>
      </c>
      <c r="DB444" s="2043">
        <v>0</v>
      </c>
      <c r="DC444" s="2043">
        <v>0</v>
      </c>
      <c r="DI444" t="s">
        <v>5041</v>
      </c>
      <c r="DJ444" t="s">
        <v>5041</v>
      </c>
      <c r="DK444" s="2042">
        <f t="shared" si="8"/>
        <v>0</v>
      </c>
    </row>
    <row r="445" spans="1:115">
      <c r="A445" t="s">
        <v>5042</v>
      </c>
      <c r="B445" t="s">
        <v>1749</v>
      </c>
      <c r="C445">
        <v>167.209</v>
      </c>
      <c r="D445">
        <v>184.19300000000001</v>
      </c>
      <c r="E445">
        <v>1.363</v>
      </c>
      <c r="F445">
        <v>0</v>
      </c>
      <c r="G445" s="2043">
        <v>90931842</v>
      </c>
      <c r="H445">
        <v>0</v>
      </c>
      <c r="I445" s="2043">
        <v>211500</v>
      </c>
      <c r="J445">
        <v>0</v>
      </c>
      <c r="K445">
        <v>0</v>
      </c>
      <c r="L445">
        <v>0</v>
      </c>
      <c r="M445">
        <v>0</v>
      </c>
      <c r="N445">
        <v>0</v>
      </c>
      <c r="O445">
        <v>0</v>
      </c>
      <c r="P445">
        <v>0</v>
      </c>
      <c r="Q445">
        <v>0</v>
      </c>
      <c r="R445" s="2043">
        <v>738655</v>
      </c>
      <c r="S445">
        <v>42166</v>
      </c>
      <c r="T445">
        <v>0</v>
      </c>
      <c r="U445">
        <v>0.05</v>
      </c>
      <c r="V445">
        <v>0</v>
      </c>
      <c r="W445">
        <v>0</v>
      </c>
      <c r="X445">
        <v>0</v>
      </c>
      <c r="Y445">
        <v>0</v>
      </c>
      <c r="Z445">
        <v>0</v>
      </c>
      <c r="AA445">
        <v>0</v>
      </c>
      <c r="AB445">
        <v>183.71700000000001</v>
      </c>
      <c r="AC445" s="2043">
        <v>105958937</v>
      </c>
      <c r="AD445">
        <v>201441</v>
      </c>
      <c r="AE445" s="2043">
        <v>780821</v>
      </c>
      <c r="AF445">
        <v>0.92590000000000006</v>
      </c>
      <c r="AG445">
        <v>0</v>
      </c>
      <c r="AH445">
        <v>0</v>
      </c>
      <c r="AI445">
        <v>0</v>
      </c>
      <c r="AJ445">
        <v>27.25</v>
      </c>
      <c r="AK445">
        <v>1045</v>
      </c>
      <c r="AL445">
        <v>0</v>
      </c>
      <c r="AM445">
        <v>0</v>
      </c>
      <c r="AN445">
        <v>9.293000000000001</v>
      </c>
      <c r="AO445">
        <v>0</v>
      </c>
      <c r="AP445">
        <v>0</v>
      </c>
      <c r="AQ445">
        <v>0</v>
      </c>
      <c r="AR445">
        <v>4.9359999999999999</v>
      </c>
      <c r="AS445">
        <v>0</v>
      </c>
      <c r="AT445">
        <v>0.51600000000000001</v>
      </c>
      <c r="AU445">
        <v>0.42400000000000004</v>
      </c>
      <c r="AV445">
        <v>0</v>
      </c>
      <c r="AW445">
        <v>5.8760000000000003</v>
      </c>
      <c r="AX445">
        <v>0</v>
      </c>
      <c r="AY445">
        <v>18.476000000000003</v>
      </c>
      <c r="AZ445">
        <v>0</v>
      </c>
      <c r="BA445">
        <v>1469171</v>
      </c>
      <c r="BB445">
        <v>982262</v>
      </c>
      <c r="BC445">
        <v>0</v>
      </c>
      <c r="BD445">
        <v>30096</v>
      </c>
      <c r="BE445">
        <v>0</v>
      </c>
      <c r="BF445">
        <v>30907</v>
      </c>
      <c r="BG445">
        <v>30096</v>
      </c>
      <c r="BH445">
        <v>811</v>
      </c>
      <c r="BI445">
        <v>0</v>
      </c>
      <c r="BJ445">
        <v>0</v>
      </c>
      <c r="BK445">
        <v>0</v>
      </c>
      <c r="BL445">
        <v>90931842</v>
      </c>
      <c r="BM445">
        <v>0</v>
      </c>
      <c r="BN445">
        <v>702</v>
      </c>
      <c r="BO445">
        <v>364</v>
      </c>
      <c r="BP445">
        <v>0</v>
      </c>
      <c r="BQ445">
        <v>0</v>
      </c>
      <c r="BR445">
        <v>0.87590000000000001</v>
      </c>
      <c r="BS445">
        <v>0.87590000000000001</v>
      </c>
      <c r="BT445">
        <v>0</v>
      </c>
      <c r="BU445">
        <v>0</v>
      </c>
      <c r="BV445">
        <v>0</v>
      </c>
      <c r="BW445">
        <v>0</v>
      </c>
      <c r="BX445">
        <v>109</v>
      </c>
      <c r="BY445">
        <v>0</v>
      </c>
      <c r="BZ445">
        <v>0</v>
      </c>
      <c r="CA445">
        <v>109</v>
      </c>
      <c r="CB445">
        <v>0</v>
      </c>
      <c r="CC445">
        <v>0</v>
      </c>
      <c r="CD445">
        <v>0</v>
      </c>
      <c r="CE445">
        <v>18</v>
      </c>
      <c r="CF445">
        <v>30.028000000000002</v>
      </c>
      <c r="CG445">
        <v>0</v>
      </c>
      <c r="CH445">
        <v>0</v>
      </c>
      <c r="CI445">
        <v>0</v>
      </c>
      <c r="CJ445">
        <v>0</v>
      </c>
      <c r="CK445">
        <v>0</v>
      </c>
      <c r="CL445">
        <v>0</v>
      </c>
      <c r="CM445">
        <v>1.363</v>
      </c>
      <c r="CN445">
        <v>0</v>
      </c>
      <c r="CO445">
        <v>0</v>
      </c>
      <c r="CP445">
        <v>0</v>
      </c>
      <c r="CQ445">
        <v>0</v>
      </c>
      <c r="CR445">
        <v>0</v>
      </c>
      <c r="CS445">
        <v>0</v>
      </c>
      <c r="CT445">
        <v>0</v>
      </c>
      <c r="CU445">
        <v>0</v>
      </c>
      <c r="CV445">
        <v>9.5389999999999997</v>
      </c>
      <c r="CW445">
        <v>7.3220000000000001</v>
      </c>
      <c r="CX445">
        <v>0</v>
      </c>
      <c r="CY445" s="2043">
        <v>0</v>
      </c>
      <c r="CZ445" s="2043">
        <v>0</v>
      </c>
      <c r="DA445" s="2043">
        <v>0</v>
      </c>
      <c r="DB445" s="2043">
        <v>0</v>
      </c>
      <c r="DC445" s="2043">
        <v>0</v>
      </c>
      <c r="DI445" t="s">
        <v>5042</v>
      </c>
      <c r="DJ445" t="s">
        <v>5042</v>
      </c>
      <c r="DK445" s="2042">
        <f t="shared" si="8"/>
        <v>0</v>
      </c>
    </row>
    <row r="446" spans="1:115">
      <c r="A446" t="s">
        <v>3002</v>
      </c>
      <c r="B446" t="s">
        <v>1908</v>
      </c>
      <c r="C446">
        <v>3103.634</v>
      </c>
      <c r="D446">
        <v>3151.2809999999999</v>
      </c>
      <c r="E446">
        <v>562.05799999999999</v>
      </c>
      <c r="F446">
        <v>0</v>
      </c>
      <c r="G446" s="2043">
        <v>1112336750</v>
      </c>
      <c r="H446">
        <v>0</v>
      </c>
      <c r="I446" s="2043">
        <v>2752839</v>
      </c>
      <c r="J446">
        <v>155.18200000000002</v>
      </c>
      <c r="K446">
        <v>424</v>
      </c>
      <c r="L446">
        <v>0</v>
      </c>
      <c r="M446">
        <v>545900</v>
      </c>
      <c r="N446">
        <v>0</v>
      </c>
      <c r="O446">
        <v>545900</v>
      </c>
      <c r="P446">
        <v>0</v>
      </c>
      <c r="Q446">
        <v>0</v>
      </c>
      <c r="R446" s="2043">
        <v>10070790</v>
      </c>
      <c r="S446">
        <v>882049</v>
      </c>
      <c r="T446">
        <v>0</v>
      </c>
      <c r="U446">
        <v>0.08</v>
      </c>
      <c r="V446">
        <v>0</v>
      </c>
      <c r="W446">
        <v>0</v>
      </c>
      <c r="X446">
        <v>0</v>
      </c>
      <c r="Y446">
        <v>0</v>
      </c>
      <c r="Z446">
        <v>0</v>
      </c>
      <c r="AA446">
        <v>0.46900000000000003</v>
      </c>
      <c r="AB446">
        <v>3115.7540000000004</v>
      </c>
      <c r="AC446" s="2043">
        <v>1152632021</v>
      </c>
      <c r="AD446">
        <v>2708998</v>
      </c>
      <c r="AE446" s="2043">
        <v>10952839</v>
      </c>
      <c r="AF446">
        <v>0.99340000000000006</v>
      </c>
      <c r="AG446">
        <v>0</v>
      </c>
      <c r="AH446">
        <v>0</v>
      </c>
      <c r="AI446">
        <v>0</v>
      </c>
      <c r="AJ446">
        <v>506.863</v>
      </c>
      <c r="AK446">
        <v>14814</v>
      </c>
      <c r="AL446">
        <v>0.50700000000000001</v>
      </c>
      <c r="AM446">
        <v>0</v>
      </c>
      <c r="AN446">
        <v>100.158</v>
      </c>
      <c r="AO446">
        <v>0</v>
      </c>
      <c r="AP446">
        <v>0</v>
      </c>
      <c r="AQ446">
        <v>0</v>
      </c>
      <c r="AR446">
        <v>115.17</v>
      </c>
      <c r="AS446">
        <v>0</v>
      </c>
      <c r="AT446">
        <v>35.497</v>
      </c>
      <c r="AU446">
        <v>6.641</v>
      </c>
      <c r="AV446">
        <v>0</v>
      </c>
      <c r="AW446">
        <v>164.82400000000001</v>
      </c>
      <c r="AX446">
        <v>7.0090000000000003</v>
      </c>
      <c r="AY446">
        <v>503.86200000000002</v>
      </c>
      <c r="AZ446">
        <v>0</v>
      </c>
      <c r="BA446">
        <v>20741632</v>
      </c>
      <c r="BB446">
        <v>13661837</v>
      </c>
      <c r="BC446">
        <v>0</v>
      </c>
      <c r="BD446">
        <v>48404</v>
      </c>
      <c r="BE446">
        <v>57955</v>
      </c>
      <c r="BF446">
        <v>106359</v>
      </c>
      <c r="BG446">
        <v>48404</v>
      </c>
      <c r="BH446">
        <v>0</v>
      </c>
      <c r="BI446">
        <v>0</v>
      </c>
      <c r="BJ446">
        <v>0</v>
      </c>
      <c r="BK446">
        <v>0</v>
      </c>
      <c r="BL446">
        <v>1112336750</v>
      </c>
      <c r="BM446">
        <v>0</v>
      </c>
      <c r="BN446">
        <v>12411</v>
      </c>
      <c r="BO446">
        <v>8046</v>
      </c>
      <c r="BP446">
        <v>0</v>
      </c>
      <c r="BQ446">
        <v>0</v>
      </c>
      <c r="BR446">
        <v>0.91339999999999999</v>
      </c>
      <c r="BS446">
        <v>0.91339999999999999</v>
      </c>
      <c r="BT446">
        <v>0</v>
      </c>
      <c r="BU446">
        <v>0</v>
      </c>
      <c r="BV446">
        <v>312</v>
      </c>
      <c r="BW446">
        <v>623</v>
      </c>
      <c r="BX446">
        <v>204</v>
      </c>
      <c r="BY446">
        <v>762</v>
      </c>
      <c r="BZ446">
        <v>137</v>
      </c>
      <c r="CA446">
        <v>2038</v>
      </c>
      <c r="CB446">
        <v>0</v>
      </c>
      <c r="CC446">
        <v>0</v>
      </c>
      <c r="CD446">
        <v>0</v>
      </c>
      <c r="CE446">
        <v>287</v>
      </c>
      <c r="CF446">
        <v>795.77</v>
      </c>
      <c r="CG446">
        <v>0</v>
      </c>
      <c r="CH446">
        <v>0</v>
      </c>
      <c r="CI446">
        <v>10</v>
      </c>
      <c r="CJ446">
        <v>3</v>
      </c>
      <c r="CK446">
        <v>1</v>
      </c>
      <c r="CL446">
        <v>0</v>
      </c>
      <c r="CM446">
        <v>562.05799999999999</v>
      </c>
      <c r="CN446">
        <v>0</v>
      </c>
      <c r="CO446">
        <v>0</v>
      </c>
      <c r="CP446">
        <v>0</v>
      </c>
      <c r="CQ446">
        <v>0</v>
      </c>
      <c r="CR446">
        <v>0</v>
      </c>
      <c r="CS446">
        <v>0</v>
      </c>
      <c r="CT446">
        <v>0</v>
      </c>
      <c r="CU446">
        <v>0</v>
      </c>
      <c r="CV446">
        <v>145.142</v>
      </c>
      <c r="CW446">
        <v>58.731999999999999</v>
      </c>
      <c r="CX446">
        <v>0</v>
      </c>
      <c r="CY446" s="2043">
        <v>0</v>
      </c>
      <c r="CZ446" s="2043">
        <v>0</v>
      </c>
      <c r="DA446" s="2043">
        <v>0</v>
      </c>
      <c r="DB446" s="2043">
        <v>0</v>
      </c>
      <c r="DC446" s="2043">
        <v>0</v>
      </c>
      <c r="DI446" t="s">
        <v>3002</v>
      </c>
      <c r="DJ446" t="s">
        <v>3002</v>
      </c>
      <c r="DK446" s="2042">
        <f t="shared" si="8"/>
        <v>0</v>
      </c>
    </row>
    <row r="447" spans="1:115">
      <c r="A447" t="s">
        <v>5043</v>
      </c>
      <c r="B447" t="s">
        <v>1920</v>
      </c>
      <c r="C447">
        <v>43.902999999999999</v>
      </c>
      <c r="D447">
        <v>44.39</v>
      </c>
      <c r="E447">
        <v>0</v>
      </c>
      <c r="F447">
        <v>0</v>
      </c>
      <c r="G447" s="2043">
        <v>80058123</v>
      </c>
      <c r="H447">
        <v>0</v>
      </c>
      <c r="I447" s="2043">
        <v>0</v>
      </c>
      <c r="J447">
        <v>0</v>
      </c>
      <c r="K447">
        <v>0</v>
      </c>
      <c r="L447">
        <v>0</v>
      </c>
      <c r="M447">
        <v>0</v>
      </c>
      <c r="N447">
        <v>0</v>
      </c>
      <c r="O447">
        <v>0</v>
      </c>
      <c r="P447">
        <v>0</v>
      </c>
      <c r="Q447">
        <v>0</v>
      </c>
      <c r="R447" s="2043">
        <v>735916</v>
      </c>
      <c r="S447">
        <v>18531</v>
      </c>
      <c r="T447">
        <v>0</v>
      </c>
      <c r="U447">
        <v>0.02</v>
      </c>
      <c r="V447">
        <v>0</v>
      </c>
      <c r="W447">
        <v>20027</v>
      </c>
      <c r="X447">
        <v>0</v>
      </c>
      <c r="Y447">
        <v>147073</v>
      </c>
      <c r="Z447">
        <v>0</v>
      </c>
      <c r="AA447">
        <v>0</v>
      </c>
      <c r="AB447">
        <v>44.39</v>
      </c>
      <c r="AC447" s="2043">
        <v>103275255</v>
      </c>
      <c r="AD447">
        <v>0</v>
      </c>
      <c r="AE447" s="2043">
        <v>754447</v>
      </c>
      <c r="AF447">
        <v>0.93640000000000001</v>
      </c>
      <c r="AG447">
        <v>0</v>
      </c>
      <c r="AH447">
        <v>20027</v>
      </c>
      <c r="AI447">
        <v>0</v>
      </c>
      <c r="AJ447">
        <v>1.2130000000000001</v>
      </c>
      <c r="AK447">
        <v>358</v>
      </c>
      <c r="AL447">
        <v>0</v>
      </c>
      <c r="AM447">
        <v>0</v>
      </c>
      <c r="AN447">
        <v>0.72899999999999998</v>
      </c>
      <c r="AO447">
        <v>0</v>
      </c>
      <c r="AP447">
        <v>0</v>
      </c>
      <c r="AQ447">
        <v>0</v>
      </c>
      <c r="AR447">
        <v>2.722</v>
      </c>
      <c r="AS447">
        <v>0</v>
      </c>
      <c r="AT447">
        <v>0</v>
      </c>
      <c r="AU447">
        <v>0.156</v>
      </c>
      <c r="AV447">
        <v>0</v>
      </c>
      <c r="AW447">
        <v>2.8780000000000001</v>
      </c>
      <c r="AX447">
        <v>0</v>
      </c>
      <c r="AY447">
        <v>8.9459999999999997</v>
      </c>
      <c r="AZ447">
        <v>0</v>
      </c>
      <c r="BA447">
        <v>177537</v>
      </c>
      <c r="BB447">
        <v>754447</v>
      </c>
      <c r="BC447">
        <v>0</v>
      </c>
      <c r="BD447">
        <v>22176</v>
      </c>
      <c r="BE447">
        <v>0</v>
      </c>
      <c r="BF447">
        <v>22176</v>
      </c>
      <c r="BG447">
        <v>22176</v>
      </c>
      <c r="BH447">
        <v>0</v>
      </c>
      <c r="BI447">
        <v>0</v>
      </c>
      <c r="BJ447">
        <v>0</v>
      </c>
      <c r="BK447">
        <v>0</v>
      </c>
      <c r="BL447">
        <v>80058123</v>
      </c>
      <c r="BM447">
        <v>0</v>
      </c>
      <c r="BN447">
        <v>0</v>
      </c>
      <c r="BO447">
        <v>0</v>
      </c>
      <c r="BP447">
        <v>0</v>
      </c>
      <c r="BQ447">
        <v>0</v>
      </c>
      <c r="BR447">
        <v>0.91339999999999999</v>
      </c>
      <c r="BS447">
        <v>0.91339999999999999</v>
      </c>
      <c r="BT447">
        <v>0</v>
      </c>
      <c r="BU447">
        <v>147073</v>
      </c>
      <c r="BV447">
        <v>1</v>
      </c>
      <c r="BW447">
        <v>2</v>
      </c>
      <c r="BX447">
        <v>1</v>
      </c>
      <c r="BY447">
        <v>1</v>
      </c>
      <c r="BZ447">
        <v>0</v>
      </c>
      <c r="CA447">
        <v>5</v>
      </c>
      <c r="CB447">
        <v>0</v>
      </c>
      <c r="CC447">
        <v>0</v>
      </c>
      <c r="CD447">
        <v>0</v>
      </c>
      <c r="CE447">
        <v>5</v>
      </c>
      <c r="CF447">
        <v>3.742</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s="2043">
        <v>0</v>
      </c>
      <c r="CZ447" s="2043">
        <v>0</v>
      </c>
      <c r="DA447" s="2043">
        <v>0</v>
      </c>
      <c r="DB447" s="2043">
        <v>0</v>
      </c>
      <c r="DC447" s="2043">
        <v>38000</v>
      </c>
      <c r="DI447" t="s">
        <v>5043</v>
      </c>
      <c r="DJ447" t="s">
        <v>5043</v>
      </c>
      <c r="DK447" s="2042">
        <f t="shared" si="8"/>
        <v>0</v>
      </c>
    </row>
    <row r="448" spans="1:115">
      <c r="A448" t="s">
        <v>3003</v>
      </c>
      <c r="B448" t="s">
        <v>1590</v>
      </c>
      <c r="C448">
        <v>845.68700000000001</v>
      </c>
      <c r="D448">
        <v>852.64</v>
      </c>
      <c r="E448">
        <v>17.277000000000001</v>
      </c>
      <c r="F448">
        <v>0</v>
      </c>
      <c r="G448" s="2043">
        <v>349216238</v>
      </c>
      <c r="H448">
        <v>0</v>
      </c>
      <c r="I448" s="2043">
        <v>930438</v>
      </c>
      <c r="J448">
        <v>42.283999999999999</v>
      </c>
      <c r="K448">
        <v>116</v>
      </c>
      <c r="L448">
        <v>0</v>
      </c>
      <c r="M448">
        <v>310464</v>
      </c>
      <c r="N448">
        <v>0</v>
      </c>
      <c r="O448">
        <v>310464</v>
      </c>
      <c r="P448">
        <v>0</v>
      </c>
      <c r="Q448">
        <v>0</v>
      </c>
      <c r="R448" s="2043">
        <v>2883038</v>
      </c>
      <c r="S448">
        <v>278622</v>
      </c>
      <c r="T448">
        <v>203045</v>
      </c>
      <c r="U448">
        <v>0.08</v>
      </c>
      <c r="V448">
        <v>0</v>
      </c>
      <c r="W448">
        <v>0</v>
      </c>
      <c r="X448">
        <v>0</v>
      </c>
      <c r="Y448">
        <v>0</v>
      </c>
      <c r="Z448">
        <v>0</v>
      </c>
      <c r="AA448">
        <v>0</v>
      </c>
      <c r="AB448">
        <v>834.125</v>
      </c>
      <c r="AC448" s="2043">
        <v>261056636</v>
      </c>
      <c r="AD448">
        <v>1094901</v>
      </c>
      <c r="AE448" s="2043">
        <v>3364705</v>
      </c>
      <c r="AF448">
        <v>0.96610000000000007</v>
      </c>
      <c r="AG448">
        <v>0</v>
      </c>
      <c r="AH448">
        <v>0</v>
      </c>
      <c r="AI448">
        <v>0</v>
      </c>
      <c r="AJ448">
        <v>78.738</v>
      </c>
      <c r="AK448">
        <v>3539</v>
      </c>
      <c r="AL448">
        <v>0</v>
      </c>
      <c r="AM448">
        <v>0</v>
      </c>
      <c r="AN448">
        <v>41.963999999999999</v>
      </c>
      <c r="AO448">
        <v>0</v>
      </c>
      <c r="AP448">
        <v>2.2890000000000001</v>
      </c>
      <c r="AQ448">
        <v>0</v>
      </c>
      <c r="AR448">
        <v>15.882000000000001</v>
      </c>
      <c r="AS448">
        <v>0</v>
      </c>
      <c r="AT448">
        <v>1.4340000000000002</v>
      </c>
      <c r="AU448">
        <v>1.8490000000000002</v>
      </c>
      <c r="AV448">
        <v>0</v>
      </c>
      <c r="AW448">
        <v>21.454000000000001</v>
      </c>
      <c r="AX448">
        <v>0</v>
      </c>
      <c r="AY448">
        <v>67.373000000000005</v>
      </c>
      <c r="AZ448">
        <v>0</v>
      </c>
      <c r="BA448">
        <v>7124745</v>
      </c>
      <c r="BB448">
        <v>4459606</v>
      </c>
      <c r="BC448">
        <v>0</v>
      </c>
      <c r="BD448">
        <v>78369</v>
      </c>
      <c r="BE448">
        <v>0</v>
      </c>
      <c r="BF448">
        <v>78369</v>
      </c>
      <c r="BG448">
        <v>78369</v>
      </c>
      <c r="BH448">
        <v>0</v>
      </c>
      <c r="BI448">
        <v>0</v>
      </c>
      <c r="BJ448">
        <v>0</v>
      </c>
      <c r="BK448">
        <v>0</v>
      </c>
      <c r="BL448">
        <v>349216238</v>
      </c>
      <c r="BM448">
        <v>0</v>
      </c>
      <c r="BN448">
        <v>3114</v>
      </c>
      <c r="BO448">
        <v>2921</v>
      </c>
      <c r="BP448">
        <v>0</v>
      </c>
      <c r="BQ448">
        <v>0</v>
      </c>
      <c r="BR448">
        <v>0.82780000000000009</v>
      </c>
      <c r="BS448">
        <v>0.82780000000000009</v>
      </c>
      <c r="BT448">
        <v>0</v>
      </c>
      <c r="BU448">
        <v>0</v>
      </c>
      <c r="BV448">
        <v>71</v>
      </c>
      <c r="BW448">
        <v>259</v>
      </c>
      <c r="BX448">
        <v>5</v>
      </c>
      <c r="BY448">
        <v>0</v>
      </c>
      <c r="BZ448">
        <v>0</v>
      </c>
      <c r="CA448">
        <v>335</v>
      </c>
      <c r="CB448">
        <v>0</v>
      </c>
      <c r="CC448">
        <v>0</v>
      </c>
      <c r="CD448">
        <v>0</v>
      </c>
      <c r="CE448">
        <v>72</v>
      </c>
      <c r="CF448">
        <v>122.17200000000001</v>
      </c>
      <c r="CG448">
        <v>0</v>
      </c>
      <c r="CH448">
        <v>0</v>
      </c>
      <c r="CI448">
        <v>3</v>
      </c>
      <c r="CJ448">
        <v>6</v>
      </c>
      <c r="CK448">
        <v>0</v>
      </c>
      <c r="CL448">
        <v>0</v>
      </c>
      <c r="CM448">
        <v>17.277000000000001</v>
      </c>
      <c r="CN448">
        <v>0</v>
      </c>
      <c r="CO448">
        <v>0</v>
      </c>
      <c r="CP448">
        <v>0</v>
      </c>
      <c r="CQ448">
        <v>0</v>
      </c>
      <c r="CR448">
        <v>0</v>
      </c>
      <c r="CS448">
        <v>0</v>
      </c>
      <c r="CT448">
        <v>0</v>
      </c>
      <c r="CU448">
        <v>3.5390000000000001</v>
      </c>
      <c r="CV448">
        <v>54.242000000000004</v>
      </c>
      <c r="CW448">
        <v>44.834000000000003</v>
      </c>
      <c r="CX448">
        <v>0</v>
      </c>
      <c r="CY448" s="2043">
        <v>0</v>
      </c>
      <c r="CZ448" s="2043">
        <v>0</v>
      </c>
      <c r="DA448" s="2043">
        <v>0</v>
      </c>
      <c r="DB448" s="2043">
        <v>0</v>
      </c>
      <c r="DC448" s="2043">
        <v>0</v>
      </c>
      <c r="DI448" t="s">
        <v>3003</v>
      </c>
      <c r="DJ448" t="s">
        <v>3003</v>
      </c>
      <c r="DK448" s="2042">
        <f t="shared" si="8"/>
        <v>0</v>
      </c>
    </row>
    <row r="449" spans="1:115">
      <c r="A449" t="s">
        <v>3948</v>
      </c>
      <c r="B449" t="s">
        <v>928</v>
      </c>
      <c r="C449">
        <v>508.50200000000001</v>
      </c>
      <c r="D449">
        <v>492.69600000000003</v>
      </c>
      <c r="E449">
        <v>26.86</v>
      </c>
      <c r="F449">
        <v>0</v>
      </c>
      <c r="G449" s="2043">
        <v>260760518</v>
      </c>
      <c r="H449">
        <v>0</v>
      </c>
      <c r="I449" s="2043">
        <v>483885</v>
      </c>
      <c r="J449">
        <v>24</v>
      </c>
      <c r="K449">
        <v>66</v>
      </c>
      <c r="L449">
        <v>0</v>
      </c>
      <c r="M449">
        <v>126123</v>
      </c>
      <c r="N449">
        <v>0</v>
      </c>
      <c r="O449">
        <v>126123</v>
      </c>
      <c r="P449">
        <v>0</v>
      </c>
      <c r="Q449">
        <v>0</v>
      </c>
      <c r="R449" s="2043">
        <v>2140253</v>
      </c>
      <c r="S449">
        <v>208297</v>
      </c>
      <c r="T449">
        <v>151797</v>
      </c>
      <c r="U449">
        <v>0.08</v>
      </c>
      <c r="V449">
        <v>0</v>
      </c>
      <c r="W449">
        <v>0</v>
      </c>
      <c r="X449">
        <v>0</v>
      </c>
      <c r="Y449">
        <v>-2423</v>
      </c>
      <c r="Z449">
        <v>0</v>
      </c>
      <c r="AA449">
        <v>5.8000000000000003E-2</v>
      </c>
      <c r="AB449">
        <v>492.69600000000003</v>
      </c>
      <c r="AC449" s="2043">
        <v>200487701</v>
      </c>
      <c r="AD449">
        <v>568987</v>
      </c>
      <c r="AE449" s="2043">
        <v>2500347</v>
      </c>
      <c r="AF449">
        <v>0.96030000000000004</v>
      </c>
      <c r="AG449">
        <v>0</v>
      </c>
      <c r="AH449">
        <v>0</v>
      </c>
      <c r="AI449">
        <v>0</v>
      </c>
      <c r="AJ449">
        <v>77.938000000000002</v>
      </c>
      <c r="AK449">
        <v>2866</v>
      </c>
      <c r="AL449">
        <v>8.0000000000000002E-3</v>
      </c>
      <c r="AM449">
        <v>0</v>
      </c>
      <c r="AN449">
        <v>39.75</v>
      </c>
      <c r="AO449">
        <v>0</v>
      </c>
      <c r="AP449">
        <v>3.8890000000000002</v>
      </c>
      <c r="AQ449">
        <v>0</v>
      </c>
      <c r="AR449">
        <v>5.9060000000000006</v>
      </c>
      <c r="AS449">
        <v>0</v>
      </c>
      <c r="AT449">
        <v>0.92100000000000004</v>
      </c>
      <c r="AU449">
        <v>1.4890000000000001</v>
      </c>
      <c r="AV449">
        <v>0</v>
      </c>
      <c r="AW449">
        <v>13.079000000000001</v>
      </c>
      <c r="AX449">
        <v>0.86599999999999999</v>
      </c>
      <c r="AY449">
        <v>40.457999999999998</v>
      </c>
      <c r="AZ449">
        <v>0</v>
      </c>
      <c r="BA449">
        <v>4675639</v>
      </c>
      <c r="BB449">
        <v>3069334</v>
      </c>
      <c r="BC449">
        <v>0</v>
      </c>
      <c r="BD449">
        <v>19990</v>
      </c>
      <c r="BE449">
        <v>0</v>
      </c>
      <c r="BF449">
        <v>19990</v>
      </c>
      <c r="BG449">
        <v>19990</v>
      </c>
      <c r="BH449">
        <v>0</v>
      </c>
      <c r="BI449">
        <v>0</v>
      </c>
      <c r="BJ449">
        <v>-2423</v>
      </c>
      <c r="BK449">
        <v>0</v>
      </c>
      <c r="BL449">
        <v>260760518</v>
      </c>
      <c r="BM449">
        <v>0</v>
      </c>
      <c r="BN449">
        <v>2034</v>
      </c>
      <c r="BO449">
        <v>1712</v>
      </c>
      <c r="BP449">
        <v>0</v>
      </c>
      <c r="BQ449">
        <v>0</v>
      </c>
      <c r="BR449">
        <v>0.82200000000000006</v>
      </c>
      <c r="BS449">
        <v>0.82200000000000006</v>
      </c>
      <c r="BT449">
        <v>0</v>
      </c>
      <c r="BU449">
        <v>0</v>
      </c>
      <c r="BV449">
        <v>79</v>
      </c>
      <c r="BW449">
        <v>5</v>
      </c>
      <c r="BX449">
        <v>223</v>
      </c>
      <c r="BY449">
        <v>6</v>
      </c>
      <c r="BZ449">
        <v>6</v>
      </c>
      <c r="CA449">
        <v>319</v>
      </c>
      <c r="CB449">
        <v>0</v>
      </c>
      <c r="CC449">
        <v>0</v>
      </c>
      <c r="CD449">
        <v>0</v>
      </c>
      <c r="CE449">
        <v>71</v>
      </c>
      <c r="CF449">
        <v>105.965</v>
      </c>
      <c r="CG449">
        <v>0</v>
      </c>
      <c r="CH449">
        <v>0</v>
      </c>
      <c r="CI449">
        <v>2</v>
      </c>
      <c r="CJ449">
        <v>6</v>
      </c>
      <c r="CK449">
        <v>0</v>
      </c>
      <c r="CL449">
        <v>0</v>
      </c>
      <c r="CM449">
        <v>26.86</v>
      </c>
      <c r="CN449">
        <v>0</v>
      </c>
      <c r="CO449">
        <v>0</v>
      </c>
      <c r="CP449">
        <v>0</v>
      </c>
      <c r="CQ449">
        <v>0</v>
      </c>
      <c r="CR449">
        <v>0</v>
      </c>
      <c r="CS449">
        <v>0</v>
      </c>
      <c r="CT449">
        <v>0</v>
      </c>
      <c r="CU449">
        <v>10.574</v>
      </c>
      <c r="CV449">
        <v>38.923000000000002</v>
      </c>
      <c r="CW449">
        <v>17.794</v>
      </c>
      <c r="CX449">
        <v>0</v>
      </c>
      <c r="CY449" s="2043">
        <v>0</v>
      </c>
      <c r="CZ449" s="2043">
        <v>0</v>
      </c>
      <c r="DA449" s="2043">
        <v>0</v>
      </c>
      <c r="DB449" s="2043">
        <v>0</v>
      </c>
      <c r="DC449" s="2043">
        <v>0</v>
      </c>
      <c r="DI449" t="s">
        <v>3948</v>
      </c>
      <c r="DJ449" t="s">
        <v>3948</v>
      </c>
      <c r="DK449" s="2042">
        <f t="shared" si="8"/>
        <v>0</v>
      </c>
    </row>
    <row r="450" spans="1:115">
      <c r="A450" t="s">
        <v>5044</v>
      </c>
      <c r="B450" t="s">
        <v>929</v>
      </c>
      <c r="C450">
        <v>4293.3119999999999</v>
      </c>
      <c r="D450">
        <v>4401.6590000000006</v>
      </c>
      <c r="E450">
        <v>231.18600000000001</v>
      </c>
      <c r="F450">
        <v>0</v>
      </c>
      <c r="G450" s="2043">
        <v>2410600992</v>
      </c>
      <c r="H450">
        <v>0</v>
      </c>
      <c r="I450" s="2043">
        <v>7645122</v>
      </c>
      <c r="J450">
        <v>168</v>
      </c>
      <c r="K450">
        <v>459</v>
      </c>
      <c r="L450">
        <v>0</v>
      </c>
      <c r="M450">
        <v>0</v>
      </c>
      <c r="N450">
        <v>0</v>
      </c>
      <c r="O450">
        <v>0</v>
      </c>
      <c r="P450">
        <v>0</v>
      </c>
      <c r="Q450">
        <v>0</v>
      </c>
      <c r="R450" s="2043">
        <v>19645141</v>
      </c>
      <c r="S450">
        <v>1911936</v>
      </c>
      <c r="T450">
        <v>1393323</v>
      </c>
      <c r="U450">
        <v>0.08</v>
      </c>
      <c r="V450">
        <v>0</v>
      </c>
      <c r="W450">
        <v>0</v>
      </c>
      <c r="X450">
        <v>0</v>
      </c>
      <c r="Y450">
        <v>0</v>
      </c>
      <c r="Z450">
        <v>0</v>
      </c>
      <c r="AA450">
        <v>5.8000000000000003E-2</v>
      </c>
      <c r="AB450">
        <v>4158.5340000000006</v>
      </c>
      <c r="AC450" s="2043">
        <v>1920116870</v>
      </c>
      <c r="AD450">
        <v>7845000</v>
      </c>
      <c r="AE450" s="2043">
        <v>22950400</v>
      </c>
      <c r="AF450">
        <v>0.96030000000000004</v>
      </c>
      <c r="AG450">
        <v>0</v>
      </c>
      <c r="AH450">
        <v>0</v>
      </c>
      <c r="AI450">
        <v>0</v>
      </c>
      <c r="AJ450">
        <v>682.97500000000002</v>
      </c>
      <c r="AK450">
        <v>20114</v>
      </c>
      <c r="AL450">
        <v>0.40100000000000002</v>
      </c>
      <c r="AM450">
        <v>0</v>
      </c>
      <c r="AN450">
        <v>91.941000000000003</v>
      </c>
      <c r="AO450">
        <v>0</v>
      </c>
      <c r="AP450">
        <v>0</v>
      </c>
      <c r="AQ450">
        <v>0</v>
      </c>
      <c r="AR450">
        <v>158.16200000000001</v>
      </c>
      <c r="AS450">
        <v>0</v>
      </c>
      <c r="AT450">
        <v>56.322000000000003</v>
      </c>
      <c r="AU450">
        <v>12.726000000000001</v>
      </c>
      <c r="AV450">
        <v>0</v>
      </c>
      <c r="AW450">
        <v>247.52100000000002</v>
      </c>
      <c r="AX450">
        <v>19.91</v>
      </c>
      <c r="AY450">
        <v>754.88</v>
      </c>
      <c r="AZ450">
        <v>0</v>
      </c>
      <c r="BA450">
        <v>21466623</v>
      </c>
      <c r="BB450">
        <v>30795400</v>
      </c>
      <c r="BC450">
        <v>0</v>
      </c>
      <c r="BD450">
        <v>214540</v>
      </c>
      <c r="BE450">
        <v>65463</v>
      </c>
      <c r="BF450">
        <v>280003</v>
      </c>
      <c r="BG450">
        <v>214540</v>
      </c>
      <c r="BH450">
        <v>0</v>
      </c>
      <c r="BI450">
        <v>0</v>
      </c>
      <c r="BJ450">
        <v>0</v>
      </c>
      <c r="BK450">
        <v>0</v>
      </c>
      <c r="BL450">
        <v>2410600992</v>
      </c>
      <c r="BM450">
        <v>0</v>
      </c>
      <c r="BN450">
        <v>15138</v>
      </c>
      <c r="BO450">
        <v>11834</v>
      </c>
      <c r="BP450">
        <v>0</v>
      </c>
      <c r="BQ450">
        <v>0</v>
      </c>
      <c r="BR450">
        <v>0.82200000000000006</v>
      </c>
      <c r="BS450">
        <v>0.82200000000000006</v>
      </c>
      <c r="BT450">
        <v>0</v>
      </c>
      <c r="BU450">
        <v>0</v>
      </c>
      <c r="BV450">
        <v>380</v>
      </c>
      <c r="BW450">
        <v>926</v>
      </c>
      <c r="BX450">
        <v>815</v>
      </c>
      <c r="BY450">
        <v>418</v>
      </c>
      <c r="BZ450">
        <v>233</v>
      </c>
      <c r="CA450">
        <v>2772</v>
      </c>
      <c r="CB450">
        <v>0</v>
      </c>
      <c r="CC450">
        <v>130.345</v>
      </c>
      <c r="CD450">
        <v>0</v>
      </c>
      <c r="CE450">
        <v>345</v>
      </c>
      <c r="CF450">
        <v>1051.1310000000001</v>
      </c>
      <c r="CG450">
        <v>32.072000000000003</v>
      </c>
      <c r="CH450">
        <v>0</v>
      </c>
      <c r="CI450">
        <v>0</v>
      </c>
      <c r="CJ450">
        <v>15</v>
      </c>
      <c r="CK450">
        <v>1</v>
      </c>
      <c r="CL450">
        <v>32.072000000000003</v>
      </c>
      <c r="CM450">
        <v>231.18600000000001</v>
      </c>
      <c r="CN450">
        <v>0</v>
      </c>
      <c r="CO450">
        <v>0</v>
      </c>
      <c r="CP450">
        <v>0</v>
      </c>
      <c r="CQ450">
        <v>0</v>
      </c>
      <c r="CR450">
        <v>0</v>
      </c>
      <c r="CS450">
        <v>0</v>
      </c>
      <c r="CT450">
        <v>0</v>
      </c>
      <c r="CU450">
        <v>35.493000000000002</v>
      </c>
      <c r="CV450">
        <v>183.846</v>
      </c>
      <c r="CW450">
        <v>107.087</v>
      </c>
      <c r="CX450">
        <v>0</v>
      </c>
      <c r="CY450" s="2043">
        <v>0</v>
      </c>
      <c r="CZ450" s="2043">
        <v>0</v>
      </c>
      <c r="DA450" s="2043">
        <v>0</v>
      </c>
      <c r="DB450" s="2043">
        <v>0</v>
      </c>
      <c r="DC450" s="2043">
        <v>0</v>
      </c>
      <c r="DI450" t="s">
        <v>5044</v>
      </c>
      <c r="DJ450" t="s">
        <v>5044</v>
      </c>
      <c r="DK450" s="2042">
        <f t="shared" si="8"/>
        <v>0</v>
      </c>
    </row>
    <row r="451" spans="1:115">
      <c r="A451" t="s">
        <v>3005</v>
      </c>
      <c r="B451" t="s">
        <v>748</v>
      </c>
      <c r="C451">
        <v>7082.9930000000004</v>
      </c>
      <c r="D451">
        <v>7001.75</v>
      </c>
      <c r="E451">
        <v>1337.2090000000001</v>
      </c>
      <c r="F451">
        <v>0</v>
      </c>
      <c r="G451" s="2043">
        <v>4131847055</v>
      </c>
      <c r="H451">
        <v>0</v>
      </c>
      <c r="I451" s="2043">
        <v>14088837</v>
      </c>
      <c r="J451">
        <v>354.15000000000003</v>
      </c>
      <c r="K451">
        <v>968</v>
      </c>
      <c r="L451">
        <v>0</v>
      </c>
      <c r="M451">
        <v>1512500</v>
      </c>
      <c r="N451">
        <v>0</v>
      </c>
      <c r="O451">
        <v>1512500</v>
      </c>
      <c r="P451">
        <v>0</v>
      </c>
      <c r="Q451">
        <v>0</v>
      </c>
      <c r="R451" s="2043">
        <v>33834039</v>
      </c>
      <c r="S451">
        <v>3292850</v>
      </c>
      <c r="T451">
        <v>2399665</v>
      </c>
      <c r="U451">
        <v>0.08</v>
      </c>
      <c r="V451">
        <v>1004.272</v>
      </c>
      <c r="W451">
        <v>0</v>
      </c>
      <c r="X451">
        <v>0</v>
      </c>
      <c r="Y451">
        <v>0</v>
      </c>
      <c r="Z451">
        <v>0</v>
      </c>
      <c r="AA451">
        <v>0.497</v>
      </c>
      <c r="AB451">
        <v>6955.0290000000005</v>
      </c>
      <c r="AC451" s="2043">
        <v>3304578994</v>
      </c>
      <c r="AD451">
        <v>19648860</v>
      </c>
      <c r="AE451" s="2043">
        <v>39526554</v>
      </c>
      <c r="AF451">
        <v>0.96030000000000004</v>
      </c>
      <c r="AG451">
        <v>0</v>
      </c>
      <c r="AH451">
        <v>0</v>
      </c>
      <c r="AI451">
        <v>0</v>
      </c>
      <c r="AJ451">
        <v>1445.75</v>
      </c>
      <c r="AK451">
        <v>30101</v>
      </c>
      <c r="AL451">
        <v>1.069</v>
      </c>
      <c r="AM451">
        <v>0</v>
      </c>
      <c r="AN451">
        <v>204.018</v>
      </c>
      <c r="AO451">
        <v>0</v>
      </c>
      <c r="AP451">
        <v>6.6760000000000002</v>
      </c>
      <c r="AQ451">
        <v>14.199</v>
      </c>
      <c r="AR451">
        <v>199.114</v>
      </c>
      <c r="AS451">
        <v>0</v>
      </c>
      <c r="AT451">
        <v>102.00800000000001</v>
      </c>
      <c r="AU451">
        <v>18.314</v>
      </c>
      <c r="AV451">
        <v>0</v>
      </c>
      <c r="AW451">
        <v>349.79900000000004</v>
      </c>
      <c r="AX451">
        <v>8.4190000000000005</v>
      </c>
      <c r="AY451">
        <v>1037.67</v>
      </c>
      <c r="AZ451">
        <v>0</v>
      </c>
      <c r="BA451">
        <v>36528363</v>
      </c>
      <c r="BB451">
        <v>59175414</v>
      </c>
      <c r="BC451">
        <v>0</v>
      </c>
      <c r="BD451">
        <v>246012</v>
      </c>
      <c r="BE451">
        <v>108106</v>
      </c>
      <c r="BF451">
        <v>388610</v>
      </c>
      <c r="BG451">
        <v>246012</v>
      </c>
      <c r="BH451">
        <v>34492</v>
      </c>
      <c r="BI451">
        <v>0</v>
      </c>
      <c r="BJ451">
        <v>0</v>
      </c>
      <c r="BK451">
        <v>0</v>
      </c>
      <c r="BL451">
        <v>4131847055</v>
      </c>
      <c r="BM451">
        <v>0</v>
      </c>
      <c r="BN451">
        <v>24975</v>
      </c>
      <c r="BO451">
        <v>15312</v>
      </c>
      <c r="BP451">
        <v>0</v>
      </c>
      <c r="BQ451">
        <v>0</v>
      </c>
      <c r="BR451">
        <v>0.82200000000000006</v>
      </c>
      <c r="BS451">
        <v>0.82200000000000006</v>
      </c>
      <c r="BT451">
        <v>0</v>
      </c>
      <c r="BU451">
        <v>0</v>
      </c>
      <c r="BV451">
        <v>903</v>
      </c>
      <c r="BW451">
        <v>832</v>
      </c>
      <c r="BX451">
        <v>1434</v>
      </c>
      <c r="BY451">
        <v>1402</v>
      </c>
      <c r="BZ451">
        <v>1158</v>
      </c>
      <c r="CA451">
        <v>5729</v>
      </c>
      <c r="CB451">
        <v>0</v>
      </c>
      <c r="CC451">
        <v>528.85300000000007</v>
      </c>
      <c r="CD451">
        <v>0</v>
      </c>
      <c r="CE451">
        <v>515</v>
      </c>
      <c r="CF451">
        <v>2390.6790000000001</v>
      </c>
      <c r="CG451">
        <v>102.80200000000001</v>
      </c>
      <c r="CH451">
        <v>20.067</v>
      </c>
      <c r="CI451">
        <v>25</v>
      </c>
      <c r="CJ451">
        <v>36</v>
      </c>
      <c r="CK451">
        <v>0</v>
      </c>
      <c r="CL451">
        <v>122.869</v>
      </c>
      <c r="CM451">
        <v>1337.2090000000001</v>
      </c>
      <c r="CN451">
        <v>0</v>
      </c>
      <c r="CO451">
        <v>0</v>
      </c>
      <c r="CP451">
        <v>0</v>
      </c>
      <c r="CQ451">
        <v>0</v>
      </c>
      <c r="CR451">
        <v>0</v>
      </c>
      <c r="CS451">
        <v>0</v>
      </c>
      <c r="CT451">
        <v>0</v>
      </c>
      <c r="CU451">
        <v>0.32100000000000001</v>
      </c>
      <c r="CV451">
        <v>401.02600000000001</v>
      </c>
      <c r="CW451">
        <v>277.339</v>
      </c>
      <c r="CX451">
        <v>0</v>
      </c>
      <c r="CY451" s="2043">
        <v>0</v>
      </c>
      <c r="CZ451" s="2043">
        <v>0</v>
      </c>
      <c r="DA451" s="2043">
        <v>0</v>
      </c>
      <c r="DB451" s="2043">
        <v>0</v>
      </c>
      <c r="DC451" s="2043">
        <v>0</v>
      </c>
      <c r="DI451" t="s">
        <v>3004</v>
      </c>
      <c r="DJ451" t="s">
        <v>3005</v>
      </c>
      <c r="DK451" s="2042">
        <f t="shared" si="8"/>
        <v>-1</v>
      </c>
    </row>
    <row r="452" spans="1:115">
      <c r="A452" t="s">
        <v>3004</v>
      </c>
      <c r="B452" t="s">
        <v>1050</v>
      </c>
      <c r="C452">
        <v>1156.2910000000002</v>
      </c>
      <c r="D452">
        <v>1215.6370000000002</v>
      </c>
      <c r="E452">
        <v>113.78200000000001</v>
      </c>
      <c r="F452">
        <v>0</v>
      </c>
      <c r="G452" s="2043">
        <v>395347207</v>
      </c>
      <c r="H452">
        <v>0</v>
      </c>
      <c r="I452" s="2043">
        <v>1622000</v>
      </c>
      <c r="J452">
        <v>45</v>
      </c>
      <c r="K452">
        <v>123</v>
      </c>
      <c r="L452">
        <v>10659</v>
      </c>
      <c r="M452">
        <v>450568</v>
      </c>
      <c r="N452">
        <v>10659</v>
      </c>
      <c r="O452">
        <v>461227</v>
      </c>
      <c r="P452">
        <v>0</v>
      </c>
      <c r="Q452">
        <v>0</v>
      </c>
      <c r="R452" s="2043">
        <v>3283791</v>
      </c>
      <c r="S452">
        <v>313189</v>
      </c>
      <c r="T452">
        <v>184782</v>
      </c>
      <c r="U452">
        <v>0.08</v>
      </c>
      <c r="V452">
        <v>0</v>
      </c>
      <c r="W452">
        <v>0</v>
      </c>
      <c r="X452">
        <v>0</v>
      </c>
      <c r="Y452">
        <v>0</v>
      </c>
      <c r="Z452">
        <v>0</v>
      </c>
      <c r="AA452">
        <v>0</v>
      </c>
      <c r="AB452">
        <v>1189.402</v>
      </c>
      <c r="AC452" s="2043">
        <v>327751819</v>
      </c>
      <c r="AD452">
        <v>1422770</v>
      </c>
      <c r="AE452" s="2043">
        <v>3781762</v>
      </c>
      <c r="AF452">
        <v>0.96600000000000008</v>
      </c>
      <c r="AG452">
        <v>0</v>
      </c>
      <c r="AH452">
        <v>0</v>
      </c>
      <c r="AI452">
        <v>0</v>
      </c>
      <c r="AJ452">
        <v>161.22499999999999</v>
      </c>
      <c r="AK452">
        <v>6768</v>
      </c>
      <c r="AL452">
        <v>0.12100000000000001</v>
      </c>
      <c r="AM452">
        <v>0</v>
      </c>
      <c r="AN452">
        <v>72.506</v>
      </c>
      <c r="AO452">
        <v>0</v>
      </c>
      <c r="AP452">
        <v>11.119</v>
      </c>
      <c r="AQ452">
        <v>0</v>
      </c>
      <c r="AR452">
        <v>34.045999999999999</v>
      </c>
      <c r="AS452">
        <v>0</v>
      </c>
      <c r="AT452">
        <v>2.0820000000000003</v>
      </c>
      <c r="AU452">
        <v>3.1430000000000002</v>
      </c>
      <c r="AV452">
        <v>0</v>
      </c>
      <c r="AW452">
        <v>52.321000000000005</v>
      </c>
      <c r="AX452">
        <v>1.81</v>
      </c>
      <c r="AY452">
        <v>158.88800000000001</v>
      </c>
      <c r="AZ452">
        <v>0</v>
      </c>
      <c r="BA452">
        <v>10264171</v>
      </c>
      <c r="BB452">
        <v>5204532</v>
      </c>
      <c r="BC452">
        <v>0</v>
      </c>
      <c r="BD452">
        <v>52302</v>
      </c>
      <c r="BE452">
        <v>0</v>
      </c>
      <c r="BF452">
        <v>52302</v>
      </c>
      <c r="BG452">
        <v>52302</v>
      </c>
      <c r="BH452">
        <v>0</v>
      </c>
      <c r="BI452">
        <v>0</v>
      </c>
      <c r="BJ452">
        <v>0</v>
      </c>
      <c r="BK452">
        <v>0</v>
      </c>
      <c r="BL452">
        <v>395347207</v>
      </c>
      <c r="BM452">
        <v>0</v>
      </c>
      <c r="BN452">
        <v>4635</v>
      </c>
      <c r="BO452">
        <v>2204</v>
      </c>
      <c r="BP452">
        <v>0</v>
      </c>
      <c r="BQ452">
        <v>0</v>
      </c>
      <c r="BR452">
        <v>0.83879999999999999</v>
      </c>
      <c r="BS452">
        <v>0.83879999999999999</v>
      </c>
      <c r="BT452">
        <v>0</v>
      </c>
      <c r="BU452">
        <v>0</v>
      </c>
      <c r="BV452">
        <v>271</v>
      </c>
      <c r="BW452">
        <v>137</v>
      </c>
      <c r="BX452">
        <v>256</v>
      </c>
      <c r="BY452">
        <v>11</v>
      </c>
      <c r="BZ452">
        <v>3</v>
      </c>
      <c r="CA452">
        <v>678</v>
      </c>
      <c r="CB452">
        <v>0</v>
      </c>
      <c r="CC452">
        <v>0</v>
      </c>
      <c r="CD452">
        <v>0</v>
      </c>
      <c r="CE452">
        <v>114</v>
      </c>
      <c r="CF452">
        <v>264.16300000000001</v>
      </c>
      <c r="CG452">
        <v>0</v>
      </c>
      <c r="CH452">
        <v>0</v>
      </c>
      <c r="CI452">
        <v>1</v>
      </c>
      <c r="CJ452">
        <v>6</v>
      </c>
      <c r="CK452">
        <v>0</v>
      </c>
      <c r="CL452">
        <v>0</v>
      </c>
      <c r="CM452">
        <v>113.78200000000001</v>
      </c>
      <c r="CN452">
        <v>0</v>
      </c>
      <c r="CO452">
        <v>0</v>
      </c>
      <c r="CP452">
        <v>0</v>
      </c>
      <c r="CQ452">
        <v>0</v>
      </c>
      <c r="CR452">
        <v>0</v>
      </c>
      <c r="CS452">
        <v>0</v>
      </c>
      <c r="CT452">
        <v>0</v>
      </c>
      <c r="CU452">
        <v>0</v>
      </c>
      <c r="CV452">
        <v>51.926000000000002</v>
      </c>
      <c r="CW452">
        <v>35.631</v>
      </c>
      <c r="CX452">
        <v>0</v>
      </c>
      <c r="CY452" s="2043">
        <v>0</v>
      </c>
      <c r="CZ452" s="2043">
        <v>0</v>
      </c>
      <c r="DA452" s="2043">
        <v>0</v>
      </c>
      <c r="DB452" s="2043">
        <v>0</v>
      </c>
      <c r="DC452" s="2043">
        <v>0</v>
      </c>
      <c r="DI452" t="s">
        <v>3005</v>
      </c>
      <c r="DJ452" t="s">
        <v>3004</v>
      </c>
      <c r="DK452" s="2042">
        <f t="shared" ref="DK452:DK515" si="9">DI452-DJ452:DJ453</f>
        <v>1</v>
      </c>
    </row>
    <row r="453" spans="1:115">
      <c r="A453" t="s">
        <v>5045</v>
      </c>
      <c r="B453" t="s">
        <v>749</v>
      </c>
      <c r="C453">
        <v>647.99200000000008</v>
      </c>
      <c r="D453">
        <v>703.16</v>
      </c>
      <c r="E453">
        <v>40.170999999999999</v>
      </c>
      <c r="F453">
        <v>0</v>
      </c>
      <c r="G453" s="2043">
        <v>156671826</v>
      </c>
      <c r="H453">
        <v>0</v>
      </c>
      <c r="I453" s="2043">
        <v>406069</v>
      </c>
      <c r="J453">
        <v>32.4</v>
      </c>
      <c r="K453">
        <v>89</v>
      </c>
      <c r="L453">
        <v>0</v>
      </c>
      <c r="M453">
        <v>87893</v>
      </c>
      <c r="N453">
        <v>0</v>
      </c>
      <c r="O453">
        <v>87893</v>
      </c>
      <c r="P453">
        <v>0</v>
      </c>
      <c r="Q453">
        <v>0</v>
      </c>
      <c r="R453" s="2043">
        <v>1285011</v>
      </c>
      <c r="S453">
        <v>124231</v>
      </c>
      <c r="T453">
        <v>46586</v>
      </c>
      <c r="U453">
        <v>0.08</v>
      </c>
      <c r="V453">
        <v>0</v>
      </c>
      <c r="W453">
        <v>0</v>
      </c>
      <c r="X453">
        <v>0</v>
      </c>
      <c r="Y453">
        <v>0</v>
      </c>
      <c r="Z453">
        <v>0.95200000000000007</v>
      </c>
      <c r="AA453">
        <v>0</v>
      </c>
      <c r="AB453">
        <v>686.9</v>
      </c>
      <c r="AC453" s="2043">
        <v>117416868</v>
      </c>
      <c r="AD453">
        <v>558666</v>
      </c>
      <c r="AE453" s="2043">
        <v>1455828</v>
      </c>
      <c r="AF453">
        <v>0.9375</v>
      </c>
      <c r="AG453">
        <v>0</v>
      </c>
      <c r="AH453">
        <v>0</v>
      </c>
      <c r="AI453">
        <v>0</v>
      </c>
      <c r="AJ453">
        <v>48.663000000000004</v>
      </c>
      <c r="AK453">
        <v>2858</v>
      </c>
      <c r="AL453">
        <v>0</v>
      </c>
      <c r="AM453">
        <v>0</v>
      </c>
      <c r="AN453">
        <v>0.872</v>
      </c>
      <c r="AO453">
        <v>0</v>
      </c>
      <c r="AP453">
        <v>2.0920000000000001</v>
      </c>
      <c r="AQ453">
        <v>0</v>
      </c>
      <c r="AR453">
        <v>25.486000000000001</v>
      </c>
      <c r="AS453">
        <v>0</v>
      </c>
      <c r="AT453">
        <v>0</v>
      </c>
      <c r="AU453">
        <v>1.17</v>
      </c>
      <c r="AV453">
        <v>0</v>
      </c>
      <c r="AW453">
        <v>28.748000000000001</v>
      </c>
      <c r="AX453">
        <v>0</v>
      </c>
      <c r="AY453">
        <v>87.956000000000003</v>
      </c>
      <c r="AZ453">
        <v>0</v>
      </c>
      <c r="BA453">
        <v>6610206</v>
      </c>
      <c r="BB453">
        <v>2014494</v>
      </c>
      <c r="BC453">
        <v>0</v>
      </c>
      <c r="BD453">
        <v>18182</v>
      </c>
      <c r="BE453">
        <v>0</v>
      </c>
      <c r="BF453">
        <v>18182</v>
      </c>
      <c r="BG453">
        <v>18182</v>
      </c>
      <c r="BH453">
        <v>0</v>
      </c>
      <c r="BI453">
        <v>0</v>
      </c>
      <c r="BJ453">
        <v>0</v>
      </c>
      <c r="BK453">
        <v>0</v>
      </c>
      <c r="BL453">
        <v>156671826</v>
      </c>
      <c r="BM453">
        <v>0</v>
      </c>
      <c r="BN453">
        <v>2331</v>
      </c>
      <c r="BO453">
        <v>1980</v>
      </c>
      <c r="BP453">
        <v>0</v>
      </c>
      <c r="BQ453">
        <v>0</v>
      </c>
      <c r="BR453">
        <v>0.82750000000000001</v>
      </c>
      <c r="BS453">
        <v>0.82750000000000001</v>
      </c>
      <c r="BT453">
        <v>0</v>
      </c>
      <c r="BU453">
        <v>0</v>
      </c>
      <c r="BV453">
        <v>72</v>
      </c>
      <c r="BW453">
        <v>112</v>
      </c>
      <c r="BX453">
        <v>18</v>
      </c>
      <c r="BY453">
        <v>1</v>
      </c>
      <c r="BZ453">
        <v>4</v>
      </c>
      <c r="CA453">
        <v>207</v>
      </c>
      <c r="CB453">
        <v>0</v>
      </c>
      <c r="CC453">
        <v>0</v>
      </c>
      <c r="CD453">
        <v>0</v>
      </c>
      <c r="CE453">
        <v>64</v>
      </c>
      <c r="CF453">
        <v>79.572000000000003</v>
      </c>
      <c r="CG453">
        <v>0</v>
      </c>
      <c r="CH453">
        <v>0</v>
      </c>
      <c r="CI453">
        <v>3</v>
      </c>
      <c r="CJ453">
        <v>3</v>
      </c>
      <c r="CK453">
        <v>0</v>
      </c>
      <c r="CL453">
        <v>0</v>
      </c>
      <c r="CM453">
        <v>40.170999999999999</v>
      </c>
      <c r="CN453">
        <v>0</v>
      </c>
      <c r="CO453">
        <v>0</v>
      </c>
      <c r="CP453">
        <v>0</v>
      </c>
      <c r="CQ453">
        <v>0</v>
      </c>
      <c r="CR453">
        <v>0</v>
      </c>
      <c r="CS453">
        <v>0</v>
      </c>
      <c r="CT453">
        <v>0</v>
      </c>
      <c r="CU453">
        <v>3.4810000000000003</v>
      </c>
      <c r="CV453">
        <v>38.248000000000005</v>
      </c>
      <c r="CW453">
        <v>24.133000000000003</v>
      </c>
      <c r="CX453">
        <v>0</v>
      </c>
      <c r="CY453" s="2043">
        <v>0</v>
      </c>
      <c r="CZ453" s="2043">
        <v>0</v>
      </c>
      <c r="DA453" s="2043">
        <v>0</v>
      </c>
      <c r="DB453" s="2043">
        <v>0</v>
      </c>
      <c r="DC453" s="2043">
        <v>0</v>
      </c>
      <c r="DI453" t="s">
        <v>5045</v>
      </c>
      <c r="DJ453" t="s">
        <v>5045</v>
      </c>
      <c r="DK453" s="2042">
        <f t="shared" si="9"/>
        <v>0</v>
      </c>
    </row>
    <row r="454" spans="1:115">
      <c r="A454" t="s">
        <v>3006</v>
      </c>
      <c r="B454" t="s">
        <v>1164</v>
      </c>
      <c r="C454">
        <v>1952.335</v>
      </c>
      <c r="D454">
        <v>1788.674</v>
      </c>
      <c r="E454">
        <v>73.292000000000002</v>
      </c>
      <c r="F454">
        <v>0</v>
      </c>
      <c r="G454" s="2043">
        <v>1057848652</v>
      </c>
      <c r="H454">
        <v>0</v>
      </c>
      <c r="I454" s="2043">
        <v>3489574</v>
      </c>
      <c r="J454">
        <v>97.617000000000004</v>
      </c>
      <c r="K454">
        <v>267</v>
      </c>
      <c r="L454">
        <v>0</v>
      </c>
      <c r="M454">
        <v>605207</v>
      </c>
      <c r="N454">
        <v>0</v>
      </c>
      <c r="O454">
        <v>605207</v>
      </c>
      <c r="P454">
        <v>0</v>
      </c>
      <c r="Q454">
        <v>0</v>
      </c>
      <c r="R454" s="2043">
        <v>8846547</v>
      </c>
      <c r="S454">
        <v>860978</v>
      </c>
      <c r="T454">
        <v>278741</v>
      </c>
      <c r="U454">
        <v>0.08</v>
      </c>
      <c r="V454">
        <v>0</v>
      </c>
      <c r="W454">
        <v>0</v>
      </c>
      <c r="X454">
        <v>0</v>
      </c>
      <c r="Y454">
        <v>0</v>
      </c>
      <c r="Z454">
        <v>0</v>
      </c>
      <c r="AA454">
        <v>0.161</v>
      </c>
      <c r="AB454">
        <v>1788.674</v>
      </c>
      <c r="AC454" s="2043">
        <v>731146565</v>
      </c>
      <c r="AD454">
        <v>5258903</v>
      </c>
      <c r="AE454" s="2043">
        <v>9986266</v>
      </c>
      <c r="AF454">
        <v>0.92790000000000006</v>
      </c>
      <c r="AG454">
        <v>0</v>
      </c>
      <c r="AH454">
        <v>0</v>
      </c>
      <c r="AI454">
        <v>0</v>
      </c>
      <c r="AJ454">
        <v>111.4</v>
      </c>
      <c r="AK454">
        <v>7487</v>
      </c>
      <c r="AL454">
        <v>0.40800000000000003</v>
      </c>
      <c r="AM454">
        <v>0</v>
      </c>
      <c r="AN454">
        <v>87.102000000000004</v>
      </c>
      <c r="AO454">
        <v>0</v>
      </c>
      <c r="AP454">
        <v>3.3420000000000001</v>
      </c>
      <c r="AQ454">
        <v>0</v>
      </c>
      <c r="AR454">
        <v>46.343000000000004</v>
      </c>
      <c r="AS454">
        <v>0</v>
      </c>
      <c r="AT454">
        <v>10.562000000000001</v>
      </c>
      <c r="AU454">
        <v>4.2629999999999999</v>
      </c>
      <c r="AV454">
        <v>0</v>
      </c>
      <c r="AW454">
        <v>65.793999999999997</v>
      </c>
      <c r="AX454">
        <v>0.876</v>
      </c>
      <c r="AY454">
        <v>205.108</v>
      </c>
      <c r="AZ454">
        <v>0</v>
      </c>
      <c r="BA454">
        <v>9230892</v>
      </c>
      <c r="BB454">
        <v>15245169</v>
      </c>
      <c r="BC454">
        <v>816</v>
      </c>
      <c r="BD454">
        <v>83405</v>
      </c>
      <c r="BE454">
        <v>18375</v>
      </c>
      <c r="BF454">
        <v>102596</v>
      </c>
      <c r="BG454">
        <v>84221</v>
      </c>
      <c r="BH454">
        <v>0</v>
      </c>
      <c r="BI454">
        <v>0</v>
      </c>
      <c r="BJ454">
        <v>0</v>
      </c>
      <c r="BK454">
        <v>0</v>
      </c>
      <c r="BL454">
        <v>1057848652</v>
      </c>
      <c r="BM454">
        <v>0</v>
      </c>
      <c r="BN454">
        <v>6795</v>
      </c>
      <c r="BO454">
        <v>5393</v>
      </c>
      <c r="BP454">
        <v>0</v>
      </c>
      <c r="BQ454">
        <v>0</v>
      </c>
      <c r="BR454">
        <v>0.82200000000000006</v>
      </c>
      <c r="BS454">
        <v>0.82200000000000006</v>
      </c>
      <c r="BT454">
        <v>0</v>
      </c>
      <c r="BU454">
        <v>0</v>
      </c>
      <c r="BV454">
        <v>122</v>
      </c>
      <c r="BW454">
        <v>347</v>
      </c>
      <c r="BX454">
        <v>4</v>
      </c>
      <c r="BY454">
        <v>1</v>
      </c>
      <c r="BZ454">
        <v>1</v>
      </c>
      <c r="CA454">
        <v>475</v>
      </c>
      <c r="CB454">
        <v>0</v>
      </c>
      <c r="CC454">
        <v>0</v>
      </c>
      <c r="CD454">
        <v>0</v>
      </c>
      <c r="CE454">
        <v>269</v>
      </c>
      <c r="CF454">
        <v>188.83200000000002</v>
      </c>
      <c r="CG454">
        <v>0</v>
      </c>
      <c r="CH454">
        <v>0</v>
      </c>
      <c r="CI454">
        <v>1</v>
      </c>
      <c r="CJ454">
        <v>16</v>
      </c>
      <c r="CK454">
        <v>0</v>
      </c>
      <c r="CL454">
        <v>0</v>
      </c>
      <c r="CM454">
        <v>73.292000000000002</v>
      </c>
      <c r="CN454">
        <v>0</v>
      </c>
      <c r="CO454">
        <v>0</v>
      </c>
      <c r="CP454">
        <v>0</v>
      </c>
      <c r="CQ454">
        <v>0</v>
      </c>
      <c r="CR454">
        <v>0</v>
      </c>
      <c r="CS454">
        <v>0</v>
      </c>
      <c r="CT454">
        <v>0</v>
      </c>
      <c r="CU454">
        <v>2.8810000000000002</v>
      </c>
      <c r="CV454">
        <v>130.524</v>
      </c>
      <c r="CW454">
        <v>71.31</v>
      </c>
      <c r="CX454">
        <v>0</v>
      </c>
      <c r="CY454" s="2043">
        <v>0</v>
      </c>
      <c r="CZ454" s="2043">
        <v>0</v>
      </c>
      <c r="DA454" s="2043">
        <v>0</v>
      </c>
      <c r="DB454" s="2043">
        <v>0</v>
      </c>
      <c r="DC454" s="2043">
        <v>0</v>
      </c>
      <c r="DI454" t="s">
        <v>3006</v>
      </c>
      <c r="DJ454" t="s">
        <v>3006</v>
      </c>
      <c r="DK454" s="2042">
        <f t="shared" si="9"/>
        <v>0</v>
      </c>
    </row>
    <row r="455" spans="1:115">
      <c r="A455" t="s">
        <v>5046</v>
      </c>
      <c r="B455" t="s">
        <v>1377</v>
      </c>
      <c r="C455">
        <v>692.13600000000008</v>
      </c>
      <c r="D455">
        <v>758.38300000000004</v>
      </c>
      <c r="E455">
        <v>36.433</v>
      </c>
      <c r="F455">
        <v>0</v>
      </c>
      <c r="G455" s="2043">
        <v>395209805</v>
      </c>
      <c r="H455">
        <v>0</v>
      </c>
      <c r="I455" s="2043">
        <v>521250</v>
      </c>
      <c r="J455">
        <v>34.606999999999999</v>
      </c>
      <c r="K455">
        <v>95</v>
      </c>
      <c r="L455">
        <v>0</v>
      </c>
      <c r="M455">
        <v>0</v>
      </c>
      <c r="N455">
        <v>0</v>
      </c>
      <c r="O455">
        <v>0</v>
      </c>
      <c r="P455">
        <v>0</v>
      </c>
      <c r="Q455">
        <v>0</v>
      </c>
      <c r="R455" s="2043">
        <v>3166043</v>
      </c>
      <c r="S455">
        <v>308131</v>
      </c>
      <c r="T455">
        <v>224550</v>
      </c>
      <c r="U455">
        <v>0.08</v>
      </c>
      <c r="V455">
        <v>0</v>
      </c>
      <c r="W455">
        <v>0</v>
      </c>
      <c r="X455">
        <v>0</v>
      </c>
      <c r="Y455">
        <v>0</v>
      </c>
      <c r="Z455">
        <v>0</v>
      </c>
      <c r="AA455">
        <v>0.14700000000000002</v>
      </c>
      <c r="AB455">
        <v>703.99700000000007</v>
      </c>
      <c r="AC455" s="2043">
        <v>281443002</v>
      </c>
      <c r="AD455">
        <v>582432</v>
      </c>
      <c r="AE455" s="2043">
        <v>3698724</v>
      </c>
      <c r="AF455">
        <v>0.96030000000000004</v>
      </c>
      <c r="AG455">
        <v>0</v>
      </c>
      <c r="AH455">
        <v>0</v>
      </c>
      <c r="AI455">
        <v>0</v>
      </c>
      <c r="AJ455">
        <v>83.113</v>
      </c>
      <c r="AK455">
        <v>3275</v>
      </c>
      <c r="AL455">
        <v>0</v>
      </c>
      <c r="AM455">
        <v>0</v>
      </c>
      <c r="AN455">
        <v>37.091999999999999</v>
      </c>
      <c r="AO455">
        <v>0</v>
      </c>
      <c r="AP455">
        <v>6.8780000000000001</v>
      </c>
      <c r="AQ455">
        <v>0</v>
      </c>
      <c r="AR455">
        <v>10.222000000000001</v>
      </c>
      <c r="AS455">
        <v>0</v>
      </c>
      <c r="AT455">
        <v>0.99399999999999999</v>
      </c>
      <c r="AU455">
        <v>1.381</v>
      </c>
      <c r="AV455">
        <v>0</v>
      </c>
      <c r="AW455">
        <v>20.298000000000002</v>
      </c>
      <c r="AX455">
        <v>0.82300000000000006</v>
      </c>
      <c r="AY455">
        <v>61.017000000000003</v>
      </c>
      <c r="AZ455">
        <v>0</v>
      </c>
      <c r="BA455">
        <v>5177222</v>
      </c>
      <c r="BB455">
        <v>4281156</v>
      </c>
      <c r="BC455">
        <v>0</v>
      </c>
      <c r="BD455">
        <v>42699</v>
      </c>
      <c r="BE455">
        <v>0</v>
      </c>
      <c r="BF455">
        <v>42699</v>
      </c>
      <c r="BG455">
        <v>42699</v>
      </c>
      <c r="BH455">
        <v>0</v>
      </c>
      <c r="BI455">
        <v>0</v>
      </c>
      <c r="BJ455">
        <v>0</v>
      </c>
      <c r="BK455">
        <v>0</v>
      </c>
      <c r="BL455">
        <v>395209805</v>
      </c>
      <c r="BM455">
        <v>0</v>
      </c>
      <c r="BN455">
        <v>2907</v>
      </c>
      <c r="BO455">
        <v>1166</v>
      </c>
      <c r="BP455">
        <v>0</v>
      </c>
      <c r="BQ455">
        <v>0</v>
      </c>
      <c r="BR455">
        <v>0.82200000000000006</v>
      </c>
      <c r="BS455">
        <v>0.82200000000000006</v>
      </c>
      <c r="BT455">
        <v>0</v>
      </c>
      <c r="BU455">
        <v>0</v>
      </c>
      <c r="BV455">
        <v>179</v>
      </c>
      <c r="BW455">
        <v>91</v>
      </c>
      <c r="BX455">
        <v>5</v>
      </c>
      <c r="BY455">
        <v>74</v>
      </c>
      <c r="BZ455">
        <v>2</v>
      </c>
      <c r="CA455">
        <v>351</v>
      </c>
      <c r="CB455">
        <v>0</v>
      </c>
      <c r="CC455">
        <v>0</v>
      </c>
      <c r="CD455">
        <v>0</v>
      </c>
      <c r="CE455">
        <v>54</v>
      </c>
      <c r="CF455">
        <v>107.14800000000001</v>
      </c>
      <c r="CG455">
        <v>0</v>
      </c>
      <c r="CH455">
        <v>0</v>
      </c>
      <c r="CI455">
        <v>6</v>
      </c>
      <c r="CJ455">
        <v>10</v>
      </c>
      <c r="CK455">
        <v>0</v>
      </c>
      <c r="CL455">
        <v>0</v>
      </c>
      <c r="CM455">
        <v>36.433</v>
      </c>
      <c r="CN455">
        <v>0</v>
      </c>
      <c r="CO455">
        <v>0</v>
      </c>
      <c r="CP455">
        <v>0</v>
      </c>
      <c r="CQ455">
        <v>0</v>
      </c>
      <c r="CR455">
        <v>0</v>
      </c>
      <c r="CS455">
        <v>0</v>
      </c>
      <c r="CT455">
        <v>0</v>
      </c>
      <c r="CU455">
        <v>3.323</v>
      </c>
      <c r="CV455">
        <v>30.328000000000003</v>
      </c>
      <c r="CW455">
        <v>24.821000000000002</v>
      </c>
      <c r="CX455">
        <v>0</v>
      </c>
      <c r="CY455" s="2043">
        <v>0</v>
      </c>
      <c r="CZ455" s="2043">
        <v>0</v>
      </c>
      <c r="DA455" s="2043">
        <v>0</v>
      </c>
      <c r="DB455" s="2043">
        <v>0</v>
      </c>
      <c r="DC455" s="2043">
        <v>0</v>
      </c>
      <c r="DI455" t="s">
        <v>3007</v>
      </c>
      <c r="DJ455" t="s">
        <v>5046</v>
      </c>
      <c r="DK455" s="2042">
        <f t="shared" si="9"/>
        <v>-1</v>
      </c>
    </row>
    <row r="456" spans="1:115">
      <c r="A456" t="s">
        <v>3007</v>
      </c>
      <c r="B456" t="s">
        <v>1165</v>
      </c>
      <c r="C456">
        <v>1588.8240000000001</v>
      </c>
      <c r="D456">
        <v>1522.4560000000001</v>
      </c>
      <c r="E456">
        <v>98.981000000000009</v>
      </c>
      <c r="F456">
        <v>0</v>
      </c>
      <c r="G456" s="2043">
        <v>994744351</v>
      </c>
      <c r="H456">
        <v>0</v>
      </c>
      <c r="I456" s="2043">
        <v>1656514</v>
      </c>
      <c r="J456">
        <v>60</v>
      </c>
      <c r="K456">
        <v>164</v>
      </c>
      <c r="L456">
        <v>0</v>
      </c>
      <c r="M456">
        <v>323783</v>
      </c>
      <c r="N456">
        <v>0</v>
      </c>
      <c r="O456">
        <v>323783</v>
      </c>
      <c r="P456">
        <v>0</v>
      </c>
      <c r="Q456">
        <v>0</v>
      </c>
      <c r="R456" s="2043">
        <v>8488552</v>
      </c>
      <c r="S456">
        <v>787709</v>
      </c>
      <c r="T456">
        <v>574043</v>
      </c>
      <c r="U456">
        <v>0.08</v>
      </c>
      <c r="V456">
        <v>0</v>
      </c>
      <c r="W456">
        <v>0</v>
      </c>
      <c r="X456">
        <v>0</v>
      </c>
      <c r="Y456">
        <v>0</v>
      </c>
      <c r="Z456">
        <v>0</v>
      </c>
      <c r="AA456">
        <v>0</v>
      </c>
      <c r="AB456">
        <v>1503.037</v>
      </c>
      <c r="AC456" s="2043">
        <v>857899374</v>
      </c>
      <c r="AD456">
        <v>1911965</v>
      </c>
      <c r="AE456" s="2043">
        <v>9850304</v>
      </c>
      <c r="AF456">
        <v>1.0004</v>
      </c>
      <c r="AG456">
        <v>0</v>
      </c>
      <c r="AH456">
        <v>0</v>
      </c>
      <c r="AI456">
        <v>0</v>
      </c>
      <c r="AJ456">
        <v>223.32500000000002</v>
      </c>
      <c r="AK456">
        <v>7224</v>
      </c>
      <c r="AL456">
        <v>0.36599999999999999</v>
      </c>
      <c r="AM456">
        <v>0</v>
      </c>
      <c r="AN456">
        <v>32.533000000000001</v>
      </c>
      <c r="AO456">
        <v>0</v>
      </c>
      <c r="AP456">
        <v>0.36599999999999999</v>
      </c>
      <c r="AQ456">
        <v>0</v>
      </c>
      <c r="AR456">
        <v>65.715000000000003</v>
      </c>
      <c r="AS456">
        <v>0</v>
      </c>
      <c r="AT456">
        <v>12.019</v>
      </c>
      <c r="AU456">
        <v>3.8560000000000003</v>
      </c>
      <c r="AV456">
        <v>0</v>
      </c>
      <c r="AW456">
        <v>82.322000000000003</v>
      </c>
      <c r="AX456">
        <v>0</v>
      </c>
      <c r="AY456">
        <v>255.3</v>
      </c>
      <c r="AZ456">
        <v>0</v>
      </c>
      <c r="BA456">
        <v>6688865</v>
      </c>
      <c r="BB456">
        <v>11762269</v>
      </c>
      <c r="BC456">
        <v>0</v>
      </c>
      <c r="BD456">
        <v>111690</v>
      </c>
      <c r="BE456">
        <v>5558</v>
      </c>
      <c r="BF456">
        <v>117248</v>
      </c>
      <c r="BG456">
        <v>111690</v>
      </c>
      <c r="BH456">
        <v>0</v>
      </c>
      <c r="BI456">
        <v>0</v>
      </c>
      <c r="BJ456">
        <v>0</v>
      </c>
      <c r="BK456">
        <v>0</v>
      </c>
      <c r="BL456">
        <v>994744351</v>
      </c>
      <c r="BM456">
        <v>0</v>
      </c>
      <c r="BN456">
        <v>5121</v>
      </c>
      <c r="BO456">
        <v>3124</v>
      </c>
      <c r="BP456">
        <v>0</v>
      </c>
      <c r="BQ456">
        <v>0</v>
      </c>
      <c r="BR456">
        <v>0.86210000000000009</v>
      </c>
      <c r="BS456">
        <v>0.86210000000000009</v>
      </c>
      <c r="BT456">
        <v>0</v>
      </c>
      <c r="BU456">
        <v>0</v>
      </c>
      <c r="BV456">
        <v>136</v>
      </c>
      <c r="BW456">
        <v>563</v>
      </c>
      <c r="BX456">
        <v>18</v>
      </c>
      <c r="BY456">
        <v>171</v>
      </c>
      <c r="BZ456">
        <v>35</v>
      </c>
      <c r="CA456">
        <v>923</v>
      </c>
      <c r="CB456">
        <v>0</v>
      </c>
      <c r="CC456">
        <v>0</v>
      </c>
      <c r="CD456">
        <v>0</v>
      </c>
      <c r="CE456">
        <v>69</v>
      </c>
      <c r="CF456">
        <v>312.995</v>
      </c>
      <c r="CG456">
        <v>0</v>
      </c>
      <c r="CH456">
        <v>0</v>
      </c>
      <c r="CI456">
        <v>5</v>
      </c>
      <c r="CJ456">
        <v>11</v>
      </c>
      <c r="CK456">
        <v>0</v>
      </c>
      <c r="CL456">
        <v>0</v>
      </c>
      <c r="CM456">
        <v>98.981000000000009</v>
      </c>
      <c r="CN456">
        <v>0</v>
      </c>
      <c r="CO456">
        <v>0</v>
      </c>
      <c r="CP456">
        <v>0</v>
      </c>
      <c r="CQ456">
        <v>0</v>
      </c>
      <c r="CR456">
        <v>0</v>
      </c>
      <c r="CS456">
        <v>0</v>
      </c>
      <c r="CT456">
        <v>0</v>
      </c>
      <c r="CU456">
        <v>2.3130000000000002</v>
      </c>
      <c r="CV456">
        <v>80.171999999999997</v>
      </c>
      <c r="CW456">
        <v>16.102</v>
      </c>
      <c r="CX456">
        <v>0</v>
      </c>
      <c r="CY456" s="2043">
        <v>0</v>
      </c>
      <c r="CZ456" s="2043">
        <v>0</v>
      </c>
      <c r="DA456" s="2043">
        <v>0</v>
      </c>
      <c r="DB456" s="2043">
        <v>0</v>
      </c>
      <c r="DC456" s="2043">
        <v>0</v>
      </c>
      <c r="DI456" t="s">
        <v>5046</v>
      </c>
      <c r="DJ456" t="s">
        <v>3007</v>
      </c>
      <c r="DK456" s="2042">
        <f t="shared" si="9"/>
        <v>1</v>
      </c>
    </row>
    <row r="457" spans="1:115">
      <c r="A457" t="s">
        <v>3008</v>
      </c>
      <c r="B457" t="s">
        <v>201</v>
      </c>
      <c r="C457">
        <v>1351.9070000000002</v>
      </c>
      <c r="D457">
        <v>1368.3880000000001</v>
      </c>
      <c r="E457">
        <v>19.736000000000001</v>
      </c>
      <c r="F457">
        <v>0</v>
      </c>
      <c r="G457" s="2043">
        <v>1152283846</v>
      </c>
      <c r="H457">
        <v>0</v>
      </c>
      <c r="I457" s="2043">
        <v>1255250</v>
      </c>
      <c r="J457">
        <v>67.594999999999999</v>
      </c>
      <c r="K457">
        <v>185</v>
      </c>
      <c r="L457">
        <v>0</v>
      </c>
      <c r="M457">
        <v>315852</v>
      </c>
      <c r="N457">
        <v>0</v>
      </c>
      <c r="O457">
        <v>315852</v>
      </c>
      <c r="P457">
        <v>0</v>
      </c>
      <c r="Q457">
        <v>0</v>
      </c>
      <c r="R457" s="2043">
        <v>9618988</v>
      </c>
      <c r="S457">
        <v>574336</v>
      </c>
      <c r="T457">
        <v>0</v>
      </c>
      <c r="U457">
        <v>0.05</v>
      </c>
      <c r="V457">
        <v>0</v>
      </c>
      <c r="W457">
        <v>0</v>
      </c>
      <c r="X457">
        <v>0</v>
      </c>
      <c r="Y457">
        <v>0</v>
      </c>
      <c r="Z457">
        <v>0</v>
      </c>
      <c r="AA457">
        <v>0</v>
      </c>
      <c r="AB457">
        <v>1340.6690000000001</v>
      </c>
      <c r="AC457" s="2043">
        <v>962386076</v>
      </c>
      <c r="AD457">
        <v>1462202</v>
      </c>
      <c r="AE457" s="2043">
        <v>10193324</v>
      </c>
      <c r="AF457">
        <v>0.88740000000000008</v>
      </c>
      <c r="AG457">
        <v>0</v>
      </c>
      <c r="AH457">
        <v>0</v>
      </c>
      <c r="AI457">
        <v>0</v>
      </c>
      <c r="AJ457">
        <v>117.65</v>
      </c>
      <c r="AK457">
        <v>4818</v>
      </c>
      <c r="AL457">
        <v>0</v>
      </c>
      <c r="AM457">
        <v>0</v>
      </c>
      <c r="AN457">
        <v>43.365000000000002</v>
      </c>
      <c r="AO457">
        <v>0</v>
      </c>
      <c r="AP457">
        <v>2.718</v>
      </c>
      <c r="AQ457">
        <v>0</v>
      </c>
      <c r="AR457">
        <v>31.447000000000003</v>
      </c>
      <c r="AS457">
        <v>0</v>
      </c>
      <c r="AT457">
        <v>6.44</v>
      </c>
      <c r="AU457">
        <v>2.1760000000000002</v>
      </c>
      <c r="AV457">
        <v>0</v>
      </c>
      <c r="AW457">
        <v>42.780999999999999</v>
      </c>
      <c r="AX457">
        <v>0</v>
      </c>
      <c r="AY457">
        <v>131.88</v>
      </c>
      <c r="AZ457">
        <v>0</v>
      </c>
      <c r="BA457">
        <v>2985572</v>
      </c>
      <c r="BB457">
        <v>11655526</v>
      </c>
      <c r="BC457">
        <v>0</v>
      </c>
      <c r="BD457">
        <v>79430</v>
      </c>
      <c r="BE457">
        <v>38983</v>
      </c>
      <c r="BF457">
        <v>118413</v>
      </c>
      <c r="BG457">
        <v>79430</v>
      </c>
      <c r="BH457">
        <v>0</v>
      </c>
      <c r="BI457">
        <v>0</v>
      </c>
      <c r="BJ457">
        <v>0</v>
      </c>
      <c r="BK457">
        <v>0</v>
      </c>
      <c r="BL457">
        <v>1152283846</v>
      </c>
      <c r="BM457">
        <v>0</v>
      </c>
      <c r="BN457">
        <v>5301</v>
      </c>
      <c r="BO457">
        <v>952</v>
      </c>
      <c r="BP457">
        <v>0</v>
      </c>
      <c r="BQ457">
        <v>0</v>
      </c>
      <c r="BR457">
        <v>0.83740000000000003</v>
      </c>
      <c r="BS457">
        <v>0.83740000000000003</v>
      </c>
      <c r="BT457">
        <v>0</v>
      </c>
      <c r="BU457">
        <v>0</v>
      </c>
      <c r="BV457">
        <v>76</v>
      </c>
      <c r="BW457">
        <v>402</v>
      </c>
      <c r="BX457">
        <v>5</v>
      </c>
      <c r="BY457">
        <v>2</v>
      </c>
      <c r="BZ457">
        <v>12</v>
      </c>
      <c r="CA457">
        <v>497</v>
      </c>
      <c r="CB457">
        <v>0</v>
      </c>
      <c r="CC457">
        <v>0</v>
      </c>
      <c r="CD457">
        <v>0</v>
      </c>
      <c r="CE457">
        <v>154</v>
      </c>
      <c r="CF457">
        <v>154.012</v>
      </c>
      <c r="CG457">
        <v>0</v>
      </c>
      <c r="CH457">
        <v>0</v>
      </c>
      <c r="CI457">
        <v>5</v>
      </c>
      <c r="CJ457">
        <v>18</v>
      </c>
      <c r="CK457">
        <v>0</v>
      </c>
      <c r="CL457">
        <v>0</v>
      </c>
      <c r="CM457">
        <v>19.736000000000001</v>
      </c>
      <c r="CN457">
        <v>0</v>
      </c>
      <c r="CO457">
        <v>0</v>
      </c>
      <c r="CP457">
        <v>0</v>
      </c>
      <c r="CQ457">
        <v>0</v>
      </c>
      <c r="CR457">
        <v>0</v>
      </c>
      <c r="CS457">
        <v>0</v>
      </c>
      <c r="CT457">
        <v>0</v>
      </c>
      <c r="CU457">
        <v>0</v>
      </c>
      <c r="CV457">
        <v>109.98100000000001</v>
      </c>
      <c r="CW457">
        <v>25.273</v>
      </c>
      <c r="CX457">
        <v>0</v>
      </c>
      <c r="CY457" s="2043">
        <v>0</v>
      </c>
      <c r="CZ457" s="2043">
        <v>0</v>
      </c>
      <c r="DA457" s="2043">
        <v>0</v>
      </c>
      <c r="DB457" s="2043">
        <v>0</v>
      </c>
      <c r="DC457" s="2043">
        <v>227500</v>
      </c>
      <c r="DI457" t="s">
        <v>3008</v>
      </c>
      <c r="DJ457" t="s">
        <v>3008</v>
      </c>
      <c r="DK457" s="2042">
        <f t="shared" si="9"/>
        <v>0</v>
      </c>
    </row>
    <row r="458" spans="1:115">
      <c r="A458" t="s">
        <v>5047</v>
      </c>
      <c r="B458" t="s">
        <v>2439</v>
      </c>
      <c r="C458">
        <v>917.63200000000006</v>
      </c>
      <c r="D458">
        <v>912.97400000000005</v>
      </c>
      <c r="E458">
        <v>50.613</v>
      </c>
      <c r="F458">
        <v>0</v>
      </c>
      <c r="G458" s="2043">
        <v>508177548</v>
      </c>
      <c r="H458">
        <v>0</v>
      </c>
      <c r="I458" s="2043">
        <v>1329680</v>
      </c>
      <c r="J458">
        <v>41</v>
      </c>
      <c r="K458">
        <v>112</v>
      </c>
      <c r="L458">
        <v>0</v>
      </c>
      <c r="M458">
        <v>0</v>
      </c>
      <c r="N458">
        <v>0</v>
      </c>
      <c r="O458">
        <v>0</v>
      </c>
      <c r="P458">
        <v>0</v>
      </c>
      <c r="Q458">
        <v>0</v>
      </c>
      <c r="R458" s="2043">
        <v>4413542</v>
      </c>
      <c r="S458">
        <v>400094</v>
      </c>
      <c r="T458">
        <v>291569</v>
      </c>
      <c r="U458">
        <v>0.08</v>
      </c>
      <c r="V458">
        <v>9.5709999999999997</v>
      </c>
      <c r="W458">
        <v>0</v>
      </c>
      <c r="X458">
        <v>0</v>
      </c>
      <c r="Y458">
        <v>0</v>
      </c>
      <c r="Z458">
        <v>0</v>
      </c>
      <c r="AA458">
        <v>0</v>
      </c>
      <c r="AB458">
        <v>912.97400000000005</v>
      </c>
      <c r="AC458" s="2043">
        <v>437127483</v>
      </c>
      <c r="AD458">
        <v>1497280</v>
      </c>
      <c r="AE458" s="2043">
        <v>5105205</v>
      </c>
      <c r="AF458">
        <v>1.0208000000000002</v>
      </c>
      <c r="AG458">
        <v>0</v>
      </c>
      <c r="AH458">
        <v>0</v>
      </c>
      <c r="AI458">
        <v>0</v>
      </c>
      <c r="AJ458">
        <v>108.02500000000001</v>
      </c>
      <c r="AK458">
        <v>4353</v>
      </c>
      <c r="AL458">
        <v>0.13700000000000001</v>
      </c>
      <c r="AM458">
        <v>0</v>
      </c>
      <c r="AN458">
        <v>46.863</v>
      </c>
      <c r="AO458">
        <v>0</v>
      </c>
      <c r="AP458">
        <v>5.2320000000000002</v>
      </c>
      <c r="AQ458">
        <v>0</v>
      </c>
      <c r="AR458">
        <v>19.645</v>
      </c>
      <c r="AS458">
        <v>0</v>
      </c>
      <c r="AT458">
        <v>0.254</v>
      </c>
      <c r="AU458">
        <v>2.7170000000000001</v>
      </c>
      <c r="AV458">
        <v>0</v>
      </c>
      <c r="AW458">
        <v>29.73</v>
      </c>
      <c r="AX458">
        <v>1.7450000000000001</v>
      </c>
      <c r="AY458">
        <v>92.106999999999999</v>
      </c>
      <c r="AZ458">
        <v>0</v>
      </c>
      <c r="BA458">
        <v>6196361</v>
      </c>
      <c r="BB458">
        <v>6602485</v>
      </c>
      <c r="BC458">
        <v>0</v>
      </c>
      <c r="BD458">
        <v>122740</v>
      </c>
      <c r="BE458">
        <v>0</v>
      </c>
      <c r="BF458">
        <v>122740</v>
      </c>
      <c r="BG458">
        <v>122740</v>
      </c>
      <c r="BH458">
        <v>0</v>
      </c>
      <c r="BI458">
        <v>0</v>
      </c>
      <c r="BJ458">
        <v>0</v>
      </c>
      <c r="BK458">
        <v>0</v>
      </c>
      <c r="BL458">
        <v>508177548</v>
      </c>
      <c r="BM458">
        <v>0</v>
      </c>
      <c r="BN458">
        <v>3114</v>
      </c>
      <c r="BO458">
        <v>1305</v>
      </c>
      <c r="BP458">
        <v>0</v>
      </c>
      <c r="BQ458">
        <v>0</v>
      </c>
      <c r="BR458">
        <v>0.88250000000000006</v>
      </c>
      <c r="BS458">
        <v>0.88250000000000006</v>
      </c>
      <c r="BT458">
        <v>0</v>
      </c>
      <c r="BU458">
        <v>0</v>
      </c>
      <c r="BV458">
        <v>195</v>
      </c>
      <c r="BW458">
        <v>221</v>
      </c>
      <c r="BX458">
        <v>21</v>
      </c>
      <c r="BY458">
        <v>15</v>
      </c>
      <c r="BZ458">
        <v>9</v>
      </c>
      <c r="CA458">
        <v>461</v>
      </c>
      <c r="CB458">
        <v>0</v>
      </c>
      <c r="CC458">
        <v>0</v>
      </c>
      <c r="CD458">
        <v>0</v>
      </c>
      <c r="CE458">
        <v>103</v>
      </c>
      <c r="CF458">
        <v>155.86000000000001</v>
      </c>
      <c r="CG458">
        <v>0</v>
      </c>
      <c r="CH458">
        <v>0</v>
      </c>
      <c r="CI458">
        <v>2</v>
      </c>
      <c r="CJ458">
        <v>8</v>
      </c>
      <c r="CK458">
        <v>0</v>
      </c>
      <c r="CL458">
        <v>0</v>
      </c>
      <c r="CM458">
        <v>50.613</v>
      </c>
      <c r="CN458">
        <v>0</v>
      </c>
      <c r="CO458">
        <v>0</v>
      </c>
      <c r="CP458">
        <v>0</v>
      </c>
      <c r="CQ458">
        <v>0</v>
      </c>
      <c r="CR458">
        <v>0</v>
      </c>
      <c r="CS458">
        <v>0</v>
      </c>
      <c r="CT458">
        <v>0</v>
      </c>
      <c r="CU458">
        <v>2.129</v>
      </c>
      <c r="CV458">
        <v>47.491</v>
      </c>
      <c r="CW458">
        <v>29.53</v>
      </c>
      <c r="CX458">
        <v>0</v>
      </c>
      <c r="CY458" s="2043">
        <v>0</v>
      </c>
      <c r="CZ458" s="2043">
        <v>0</v>
      </c>
      <c r="DA458" s="2043">
        <v>0</v>
      </c>
      <c r="DB458" s="2043">
        <v>0</v>
      </c>
      <c r="DC458" s="2043">
        <v>0</v>
      </c>
      <c r="DI458" t="s">
        <v>5047</v>
      </c>
      <c r="DJ458" t="s">
        <v>5047</v>
      </c>
      <c r="DK458" s="2042">
        <f t="shared" si="9"/>
        <v>0</v>
      </c>
    </row>
    <row r="459" spans="1:115">
      <c r="A459" t="s">
        <v>5048</v>
      </c>
      <c r="B459" t="s">
        <v>1211</v>
      </c>
      <c r="C459">
        <v>606.48900000000003</v>
      </c>
      <c r="D459">
        <v>608.42600000000004</v>
      </c>
      <c r="E459">
        <v>34.616</v>
      </c>
      <c r="F459">
        <v>0</v>
      </c>
      <c r="G459" s="2043">
        <v>323520628</v>
      </c>
      <c r="H459">
        <v>0</v>
      </c>
      <c r="I459" s="2043">
        <v>525432</v>
      </c>
      <c r="J459">
        <v>19</v>
      </c>
      <c r="K459">
        <v>52</v>
      </c>
      <c r="L459">
        <v>0</v>
      </c>
      <c r="M459">
        <v>0</v>
      </c>
      <c r="N459">
        <v>0</v>
      </c>
      <c r="O459">
        <v>0</v>
      </c>
      <c r="P459">
        <v>0</v>
      </c>
      <c r="Q459">
        <v>0</v>
      </c>
      <c r="R459" s="2043">
        <v>2630297</v>
      </c>
      <c r="S459">
        <v>255152</v>
      </c>
      <c r="T459">
        <v>185942</v>
      </c>
      <c r="U459">
        <v>0.08</v>
      </c>
      <c r="V459">
        <v>0</v>
      </c>
      <c r="W459">
        <v>0</v>
      </c>
      <c r="X459">
        <v>0</v>
      </c>
      <c r="Y459">
        <v>0</v>
      </c>
      <c r="Z459">
        <v>0</v>
      </c>
      <c r="AA459">
        <v>0</v>
      </c>
      <c r="AB459">
        <v>608.42600000000004</v>
      </c>
      <c r="AC459" s="2043">
        <v>247529030</v>
      </c>
      <c r="AD459">
        <v>562339</v>
      </c>
      <c r="AE459" s="2043">
        <v>3071391</v>
      </c>
      <c r="AF459">
        <v>0.96300000000000008</v>
      </c>
      <c r="AG459">
        <v>0</v>
      </c>
      <c r="AH459">
        <v>0</v>
      </c>
      <c r="AI459">
        <v>0</v>
      </c>
      <c r="AJ459">
        <v>82.413000000000011</v>
      </c>
      <c r="AK459">
        <v>2615</v>
      </c>
      <c r="AL459">
        <v>0.13700000000000001</v>
      </c>
      <c r="AM459">
        <v>0</v>
      </c>
      <c r="AN459">
        <v>15.21</v>
      </c>
      <c r="AO459">
        <v>0</v>
      </c>
      <c r="AP459">
        <v>4.1120000000000001</v>
      </c>
      <c r="AQ459">
        <v>0</v>
      </c>
      <c r="AR459">
        <v>14.75</v>
      </c>
      <c r="AS459">
        <v>0</v>
      </c>
      <c r="AT459">
        <v>0.32800000000000001</v>
      </c>
      <c r="AU459">
        <v>1.1560000000000001</v>
      </c>
      <c r="AV459">
        <v>0</v>
      </c>
      <c r="AW459">
        <v>20.483000000000001</v>
      </c>
      <c r="AX459">
        <v>0</v>
      </c>
      <c r="AY459">
        <v>62.801000000000002</v>
      </c>
      <c r="AZ459">
        <v>0</v>
      </c>
      <c r="BA459">
        <v>4928484</v>
      </c>
      <c r="BB459">
        <v>3633730</v>
      </c>
      <c r="BC459">
        <v>0</v>
      </c>
      <c r="BD459">
        <v>48096</v>
      </c>
      <c r="BE459">
        <v>6462</v>
      </c>
      <c r="BF459">
        <v>54558</v>
      </c>
      <c r="BG459">
        <v>48096</v>
      </c>
      <c r="BH459">
        <v>0</v>
      </c>
      <c r="BI459">
        <v>0</v>
      </c>
      <c r="BJ459">
        <v>0</v>
      </c>
      <c r="BK459">
        <v>0</v>
      </c>
      <c r="BL459">
        <v>323520628</v>
      </c>
      <c r="BM459">
        <v>0</v>
      </c>
      <c r="BN459">
        <v>2403</v>
      </c>
      <c r="BO459">
        <v>139</v>
      </c>
      <c r="BP459">
        <v>0</v>
      </c>
      <c r="BQ459">
        <v>0</v>
      </c>
      <c r="BR459">
        <v>0.82469999999999999</v>
      </c>
      <c r="BS459">
        <v>0.82469999999999999</v>
      </c>
      <c r="BT459">
        <v>0</v>
      </c>
      <c r="BU459">
        <v>0</v>
      </c>
      <c r="BV459">
        <v>201</v>
      </c>
      <c r="BW459">
        <v>129</v>
      </c>
      <c r="BX459">
        <v>10</v>
      </c>
      <c r="BY459">
        <v>6</v>
      </c>
      <c r="BZ459">
        <v>9</v>
      </c>
      <c r="CA459">
        <v>355</v>
      </c>
      <c r="CB459">
        <v>0</v>
      </c>
      <c r="CC459">
        <v>0</v>
      </c>
      <c r="CD459">
        <v>0</v>
      </c>
      <c r="CE459">
        <v>40</v>
      </c>
      <c r="CF459">
        <v>113.68300000000001</v>
      </c>
      <c r="CG459">
        <v>0</v>
      </c>
      <c r="CH459">
        <v>0</v>
      </c>
      <c r="CI459">
        <v>2</v>
      </c>
      <c r="CJ459">
        <v>3</v>
      </c>
      <c r="CK459">
        <v>0</v>
      </c>
      <c r="CL459">
        <v>0</v>
      </c>
      <c r="CM459">
        <v>34.616</v>
      </c>
      <c r="CN459">
        <v>0</v>
      </c>
      <c r="CO459">
        <v>0</v>
      </c>
      <c r="CP459">
        <v>0</v>
      </c>
      <c r="CQ459">
        <v>0</v>
      </c>
      <c r="CR459">
        <v>0</v>
      </c>
      <c r="CS459">
        <v>0</v>
      </c>
      <c r="CT459">
        <v>0</v>
      </c>
      <c r="CU459">
        <v>8.9809999999999999</v>
      </c>
      <c r="CV459">
        <v>42.642000000000003</v>
      </c>
      <c r="CW459">
        <v>29.505000000000003</v>
      </c>
      <c r="CX459">
        <v>0</v>
      </c>
      <c r="CY459" s="2043">
        <v>0</v>
      </c>
      <c r="CZ459" s="2043">
        <v>0</v>
      </c>
      <c r="DA459" s="2043">
        <v>0</v>
      </c>
      <c r="DB459" s="2043">
        <v>0</v>
      </c>
      <c r="DC459" s="2043">
        <v>0</v>
      </c>
      <c r="DI459" t="s">
        <v>3009</v>
      </c>
      <c r="DJ459" t="s">
        <v>5048</v>
      </c>
      <c r="DK459" s="2042">
        <f t="shared" si="9"/>
        <v>-1</v>
      </c>
    </row>
    <row r="460" spans="1:115">
      <c r="A460" t="s">
        <v>3009</v>
      </c>
      <c r="B460" t="s">
        <v>1232</v>
      </c>
      <c r="C460">
        <v>1048.8710000000001</v>
      </c>
      <c r="D460">
        <v>953.60400000000004</v>
      </c>
      <c r="E460">
        <v>50.826000000000001</v>
      </c>
      <c r="F460">
        <v>0</v>
      </c>
      <c r="G460" s="2043">
        <v>504048016</v>
      </c>
      <c r="H460">
        <v>0</v>
      </c>
      <c r="I460" s="2043">
        <v>1137331</v>
      </c>
      <c r="J460">
        <v>52.444000000000003</v>
      </c>
      <c r="K460">
        <v>143</v>
      </c>
      <c r="L460">
        <v>0</v>
      </c>
      <c r="M460">
        <v>240034</v>
      </c>
      <c r="N460">
        <v>0</v>
      </c>
      <c r="O460">
        <v>240034</v>
      </c>
      <c r="P460">
        <v>0</v>
      </c>
      <c r="Q460">
        <v>0</v>
      </c>
      <c r="R460" s="2043">
        <v>4441014</v>
      </c>
      <c r="S460">
        <v>403591</v>
      </c>
      <c r="T460">
        <v>294117</v>
      </c>
      <c r="U460">
        <v>0.08</v>
      </c>
      <c r="V460">
        <v>0</v>
      </c>
      <c r="W460">
        <v>0</v>
      </c>
      <c r="X460">
        <v>0</v>
      </c>
      <c r="Y460">
        <v>0</v>
      </c>
      <c r="Z460">
        <v>0</v>
      </c>
      <c r="AA460">
        <v>0</v>
      </c>
      <c r="AB460">
        <v>937.80700000000002</v>
      </c>
      <c r="AC460" s="2043">
        <v>359752117</v>
      </c>
      <c r="AD460">
        <v>2255515</v>
      </c>
      <c r="AE460" s="2043">
        <v>5138722</v>
      </c>
      <c r="AF460">
        <v>1.0185999999999999</v>
      </c>
      <c r="AG460">
        <v>0</v>
      </c>
      <c r="AH460">
        <v>0</v>
      </c>
      <c r="AI460">
        <v>0</v>
      </c>
      <c r="AJ460">
        <v>255.625</v>
      </c>
      <c r="AK460">
        <v>3313</v>
      </c>
      <c r="AL460">
        <v>0</v>
      </c>
      <c r="AM460">
        <v>0</v>
      </c>
      <c r="AN460">
        <v>16.771000000000001</v>
      </c>
      <c r="AO460">
        <v>0</v>
      </c>
      <c r="AP460">
        <v>0.79700000000000004</v>
      </c>
      <c r="AQ460">
        <v>0</v>
      </c>
      <c r="AR460">
        <v>25.756</v>
      </c>
      <c r="AS460">
        <v>0</v>
      </c>
      <c r="AT460">
        <v>2.7490000000000001</v>
      </c>
      <c r="AU460">
        <v>1.8240000000000001</v>
      </c>
      <c r="AV460">
        <v>0</v>
      </c>
      <c r="AW460">
        <v>31.126000000000001</v>
      </c>
      <c r="AX460">
        <v>0</v>
      </c>
      <c r="AY460">
        <v>96.787000000000006</v>
      </c>
      <c r="AZ460">
        <v>0</v>
      </c>
      <c r="BA460">
        <v>7975044</v>
      </c>
      <c r="BB460">
        <v>7394237</v>
      </c>
      <c r="BC460">
        <v>0</v>
      </c>
      <c r="BD460">
        <v>51523</v>
      </c>
      <c r="BE460">
        <v>260922</v>
      </c>
      <c r="BF460">
        <v>403284</v>
      </c>
      <c r="BG460">
        <v>51523</v>
      </c>
      <c r="BH460">
        <v>90839</v>
      </c>
      <c r="BI460">
        <v>0</v>
      </c>
      <c r="BJ460">
        <v>0</v>
      </c>
      <c r="BK460">
        <v>0</v>
      </c>
      <c r="BL460">
        <v>504048016</v>
      </c>
      <c r="BM460">
        <v>0</v>
      </c>
      <c r="BN460">
        <v>4239</v>
      </c>
      <c r="BO460">
        <v>2515</v>
      </c>
      <c r="BP460">
        <v>0</v>
      </c>
      <c r="BQ460">
        <v>0</v>
      </c>
      <c r="BR460">
        <v>0.88030000000000008</v>
      </c>
      <c r="BS460">
        <v>0.88030000000000008</v>
      </c>
      <c r="BT460">
        <v>0</v>
      </c>
      <c r="BU460">
        <v>0</v>
      </c>
      <c r="BV460">
        <v>732</v>
      </c>
      <c r="BW460">
        <v>29</v>
      </c>
      <c r="BX460">
        <v>318</v>
      </c>
      <c r="BY460">
        <v>11</v>
      </c>
      <c r="BZ460">
        <v>6</v>
      </c>
      <c r="CA460">
        <v>1096</v>
      </c>
      <c r="CB460">
        <v>0</v>
      </c>
      <c r="CC460">
        <v>0</v>
      </c>
      <c r="CD460">
        <v>0</v>
      </c>
      <c r="CE460">
        <v>30</v>
      </c>
      <c r="CF460">
        <v>85.788000000000011</v>
      </c>
      <c r="CG460">
        <v>0</v>
      </c>
      <c r="CH460">
        <v>0</v>
      </c>
      <c r="CI460">
        <v>4</v>
      </c>
      <c r="CJ460">
        <v>0</v>
      </c>
      <c r="CK460">
        <v>0</v>
      </c>
      <c r="CL460">
        <v>0</v>
      </c>
      <c r="CM460">
        <v>50.826000000000001</v>
      </c>
      <c r="CN460">
        <v>0</v>
      </c>
      <c r="CO460">
        <v>0</v>
      </c>
      <c r="CP460">
        <v>0</v>
      </c>
      <c r="CQ460">
        <v>0</v>
      </c>
      <c r="CR460">
        <v>0</v>
      </c>
      <c r="CS460">
        <v>0</v>
      </c>
      <c r="CT460">
        <v>0</v>
      </c>
      <c r="CU460">
        <v>0</v>
      </c>
      <c r="CV460">
        <v>32.774999999999999</v>
      </c>
      <c r="CW460">
        <v>36.136000000000003</v>
      </c>
      <c r="CX460">
        <v>0</v>
      </c>
      <c r="CY460" s="2043">
        <v>0</v>
      </c>
      <c r="CZ460" s="2043">
        <v>0</v>
      </c>
      <c r="DA460" s="2043">
        <v>0</v>
      </c>
      <c r="DB460" s="2043">
        <v>0</v>
      </c>
      <c r="DC460" s="2043">
        <v>0</v>
      </c>
      <c r="DI460" t="s">
        <v>5048</v>
      </c>
      <c r="DJ460" t="s">
        <v>3009</v>
      </c>
      <c r="DK460" s="2042">
        <f t="shared" si="9"/>
        <v>1</v>
      </c>
    </row>
    <row r="461" spans="1:115">
      <c r="A461" t="s">
        <v>8003</v>
      </c>
      <c r="B461" t="s">
        <v>11319</v>
      </c>
      <c r="C461">
        <v>135.197</v>
      </c>
      <c r="D461">
        <v>131.12900000000002</v>
      </c>
      <c r="E461">
        <v>0</v>
      </c>
      <c r="F461">
        <v>0</v>
      </c>
      <c r="G461" s="2043">
        <v>0</v>
      </c>
      <c r="H461">
        <v>0</v>
      </c>
      <c r="I461" s="2043">
        <v>0</v>
      </c>
      <c r="J461">
        <v>0</v>
      </c>
      <c r="K461">
        <v>0</v>
      </c>
      <c r="L461">
        <v>0</v>
      </c>
      <c r="M461">
        <v>0</v>
      </c>
      <c r="N461">
        <v>0</v>
      </c>
      <c r="O461">
        <v>0</v>
      </c>
      <c r="P461">
        <v>0</v>
      </c>
      <c r="Q461">
        <v>0</v>
      </c>
      <c r="R461" s="2043">
        <v>0</v>
      </c>
      <c r="S461">
        <v>0</v>
      </c>
      <c r="T461">
        <v>0</v>
      </c>
      <c r="U461">
        <v>0</v>
      </c>
      <c r="V461">
        <v>0</v>
      </c>
      <c r="W461">
        <v>0</v>
      </c>
      <c r="X461">
        <v>0</v>
      </c>
      <c r="Y461">
        <v>23900</v>
      </c>
      <c r="Z461">
        <v>0</v>
      </c>
      <c r="AA461">
        <v>0</v>
      </c>
      <c r="AB461">
        <v>131.12900000000002</v>
      </c>
      <c r="AC461" s="2043">
        <v>0</v>
      </c>
      <c r="AD461">
        <v>0</v>
      </c>
      <c r="AE461" s="2043">
        <v>0</v>
      </c>
      <c r="AF461">
        <v>0</v>
      </c>
      <c r="AG461">
        <v>0</v>
      </c>
      <c r="AH461">
        <v>0</v>
      </c>
      <c r="AI461">
        <v>0</v>
      </c>
      <c r="AJ461">
        <v>9.4749999999999996</v>
      </c>
      <c r="AK461">
        <v>292</v>
      </c>
      <c r="AL461">
        <v>0</v>
      </c>
      <c r="AM461">
        <v>0</v>
      </c>
      <c r="AN461">
        <v>11.211</v>
      </c>
      <c r="AO461">
        <v>0</v>
      </c>
      <c r="AP461">
        <v>0</v>
      </c>
      <c r="AQ461">
        <v>0</v>
      </c>
      <c r="AR461">
        <v>0</v>
      </c>
      <c r="AS461">
        <v>0</v>
      </c>
      <c r="AT461">
        <v>0</v>
      </c>
      <c r="AU461">
        <v>0</v>
      </c>
      <c r="AV461">
        <v>0</v>
      </c>
      <c r="AW461">
        <v>0</v>
      </c>
      <c r="AX461">
        <v>0</v>
      </c>
      <c r="AY461">
        <v>0</v>
      </c>
      <c r="AZ461">
        <v>0</v>
      </c>
      <c r="BA461">
        <v>1445168</v>
      </c>
      <c r="BB461">
        <v>0</v>
      </c>
      <c r="BC461">
        <v>0</v>
      </c>
      <c r="BD461">
        <v>0</v>
      </c>
      <c r="BE461">
        <v>0</v>
      </c>
      <c r="BF461">
        <v>0</v>
      </c>
      <c r="BG461">
        <v>0</v>
      </c>
      <c r="BH461">
        <v>0</v>
      </c>
      <c r="BI461">
        <v>0</v>
      </c>
      <c r="BJ461">
        <v>0</v>
      </c>
      <c r="BK461">
        <v>0</v>
      </c>
      <c r="BL461">
        <v>0</v>
      </c>
      <c r="BM461">
        <v>0</v>
      </c>
      <c r="BN461">
        <v>1836</v>
      </c>
      <c r="BO461">
        <v>0</v>
      </c>
      <c r="BP461">
        <v>0</v>
      </c>
      <c r="BQ461">
        <v>0</v>
      </c>
      <c r="BR461">
        <v>0</v>
      </c>
      <c r="BS461">
        <v>0</v>
      </c>
      <c r="BT461">
        <v>0</v>
      </c>
      <c r="BU461">
        <v>0</v>
      </c>
      <c r="BV461">
        <v>7</v>
      </c>
      <c r="BW461">
        <v>11</v>
      </c>
      <c r="BX461">
        <v>6</v>
      </c>
      <c r="BY461">
        <v>5</v>
      </c>
      <c r="BZ461">
        <v>9</v>
      </c>
      <c r="CA461">
        <v>38</v>
      </c>
      <c r="CB461">
        <v>0</v>
      </c>
      <c r="CC461">
        <v>0</v>
      </c>
      <c r="CD461">
        <v>0</v>
      </c>
      <c r="CE461">
        <v>0</v>
      </c>
      <c r="CF461">
        <v>0</v>
      </c>
      <c r="CG461">
        <v>135.197</v>
      </c>
      <c r="CH461">
        <v>0</v>
      </c>
      <c r="CI461">
        <v>0</v>
      </c>
      <c r="CJ461">
        <v>0</v>
      </c>
      <c r="CK461">
        <v>0</v>
      </c>
      <c r="CL461">
        <v>135.197</v>
      </c>
      <c r="CM461">
        <v>0</v>
      </c>
      <c r="CN461">
        <v>0</v>
      </c>
      <c r="CO461">
        <v>0</v>
      </c>
      <c r="CP461">
        <v>0</v>
      </c>
      <c r="CQ461">
        <v>0</v>
      </c>
      <c r="CR461">
        <v>0</v>
      </c>
      <c r="CS461">
        <v>0</v>
      </c>
      <c r="CT461">
        <v>0</v>
      </c>
      <c r="CU461">
        <v>4.3540000000000001</v>
      </c>
      <c r="CV461">
        <v>10.72</v>
      </c>
      <c r="CW461">
        <v>24.76</v>
      </c>
      <c r="CX461">
        <v>0</v>
      </c>
      <c r="CY461" s="2043">
        <v>0</v>
      </c>
      <c r="CZ461" s="2043">
        <v>0</v>
      </c>
      <c r="DA461" s="2043">
        <v>0</v>
      </c>
      <c r="DB461" s="2043">
        <v>0</v>
      </c>
      <c r="DC461" s="2043">
        <v>0</v>
      </c>
      <c r="DI461" t="s">
        <v>8003</v>
      </c>
      <c r="DJ461" t="s">
        <v>8003</v>
      </c>
      <c r="DK461" s="2042">
        <f t="shared" si="9"/>
        <v>0</v>
      </c>
    </row>
    <row r="462" spans="1:115">
      <c r="A462" t="s">
        <v>5049</v>
      </c>
      <c r="B462" t="s">
        <v>1212</v>
      </c>
      <c r="C462">
        <v>1566.5020000000002</v>
      </c>
      <c r="D462">
        <v>1729.923</v>
      </c>
      <c r="E462">
        <v>114.46300000000001</v>
      </c>
      <c r="F462">
        <v>0</v>
      </c>
      <c r="G462" s="2043">
        <v>561714843</v>
      </c>
      <c r="H462">
        <v>0</v>
      </c>
      <c r="I462" s="2043">
        <v>1767650</v>
      </c>
      <c r="J462">
        <v>78.325000000000003</v>
      </c>
      <c r="K462">
        <v>214</v>
      </c>
      <c r="L462">
        <v>0</v>
      </c>
      <c r="M462">
        <v>0</v>
      </c>
      <c r="N462">
        <v>0</v>
      </c>
      <c r="O462">
        <v>0</v>
      </c>
      <c r="P462">
        <v>0</v>
      </c>
      <c r="Q462">
        <v>0</v>
      </c>
      <c r="R462" s="2043">
        <v>4818819</v>
      </c>
      <c r="S462">
        <v>407899</v>
      </c>
      <c r="T462">
        <v>297257</v>
      </c>
      <c r="U462">
        <v>0.08</v>
      </c>
      <c r="V462">
        <v>0</v>
      </c>
      <c r="W462">
        <v>0</v>
      </c>
      <c r="X462">
        <v>0</v>
      </c>
      <c r="Y462">
        <v>0</v>
      </c>
      <c r="Z462">
        <v>0</v>
      </c>
      <c r="AA462">
        <v>0</v>
      </c>
      <c r="AB462">
        <v>1533.232</v>
      </c>
      <c r="AC462" s="2043">
        <v>551542845</v>
      </c>
      <c r="AD462">
        <v>1869398</v>
      </c>
      <c r="AE462" s="2043">
        <v>5523975</v>
      </c>
      <c r="AF462">
        <v>1.0834000000000001</v>
      </c>
      <c r="AG462">
        <v>0</v>
      </c>
      <c r="AH462">
        <v>0</v>
      </c>
      <c r="AI462">
        <v>0</v>
      </c>
      <c r="AJ462">
        <v>323.85000000000002</v>
      </c>
      <c r="AK462">
        <v>9276</v>
      </c>
      <c r="AL462">
        <v>2.4460000000000002</v>
      </c>
      <c r="AM462">
        <v>2.88</v>
      </c>
      <c r="AN462">
        <v>61.105000000000004</v>
      </c>
      <c r="AO462">
        <v>0</v>
      </c>
      <c r="AP462">
        <v>5.492</v>
      </c>
      <c r="AQ462">
        <v>21.584</v>
      </c>
      <c r="AR462">
        <v>39.882000000000005</v>
      </c>
      <c r="AS462">
        <v>0</v>
      </c>
      <c r="AT462">
        <v>12.371</v>
      </c>
      <c r="AU462">
        <v>4.9020000000000001</v>
      </c>
      <c r="AV462">
        <v>0</v>
      </c>
      <c r="AW462">
        <v>89.557000000000002</v>
      </c>
      <c r="AX462">
        <v>0</v>
      </c>
      <c r="AY462">
        <v>216.96700000000001</v>
      </c>
      <c r="AZ462">
        <v>0</v>
      </c>
      <c r="BA462">
        <v>12016860</v>
      </c>
      <c r="BB462">
        <v>7393373</v>
      </c>
      <c r="BC462">
        <v>0</v>
      </c>
      <c r="BD462">
        <v>144180</v>
      </c>
      <c r="BE462">
        <v>49378</v>
      </c>
      <c r="BF462">
        <v>193558</v>
      </c>
      <c r="BG462">
        <v>144180</v>
      </c>
      <c r="BH462">
        <v>0</v>
      </c>
      <c r="BI462">
        <v>0</v>
      </c>
      <c r="BJ462">
        <v>0</v>
      </c>
      <c r="BK462">
        <v>0</v>
      </c>
      <c r="BL462">
        <v>561714843</v>
      </c>
      <c r="BM462">
        <v>0</v>
      </c>
      <c r="BN462">
        <v>5490</v>
      </c>
      <c r="BO462">
        <v>4355</v>
      </c>
      <c r="BP462">
        <v>0</v>
      </c>
      <c r="BQ462">
        <v>0</v>
      </c>
      <c r="BR462">
        <v>0.94510000000000005</v>
      </c>
      <c r="BS462">
        <v>0.94510000000000005</v>
      </c>
      <c r="BT462">
        <v>0</v>
      </c>
      <c r="BU462">
        <v>0</v>
      </c>
      <c r="BV462">
        <v>42</v>
      </c>
      <c r="BW462">
        <v>688</v>
      </c>
      <c r="BX462">
        <v>27</v>
      </c>
      <c r="BY462">
        <v>142</v>
      </c>
      <c r="BZ462">
        <v>389</v>
      </c>
      <c r="CA462">
        <v>1288</v>
      </c>
      <c r="CB462">
        <v>0</v>
      </c>
      <c r="CC462">
        <v>0</v>
      </c>
      <c r="CD462">
        <v>0</v>
      </c>
      <c r="CE462">
        <v>132</v>
      </c>
      <c r="CF462">
        <v>409.97</v>
      </c>
      <c r="CG462">
        <v>0</v>
      </c>
      <c r="CH462">
        <v>38.937000000000005</v>
      </c>
      <c r="CI462">
        <v>0</v>
      </c>
      <c r="CJ462">
        <v>5</v>
      </c>
      <c r="CK462">
        <v>0</v>
      </c>
      <c r="CL462">
        <v>38.937000000000005</v>
      </c>
      <c r="CM462">
        <v>114.46300000000001</v>
      </c>
      <c r="CN462">
        <v>0</v>
      </c>
      <c r="CO462">
        <v>0</v>
      </c>
      <c r="CP462">
        <v>0</v>
      </c>
      <c r="CQ462">
        <v>0</v>
      </c>
      <c r="CR462">
        <v>0</v>
      </c>
      <c r="CS462">
        <v>0</v>
      </c>
      <c r="CT462">
        <v>0</v>
      </c>
      <c r="CU462">
        <v>0.33</v>
      </c>
      <c r="CV462">
        <v>82.355000000000004</v>
      </c>
      <c r="CW462">
        <v>35.251000000000005</v>
      </c>
      <c r="CX462">
        <v>0</v>
      </c>
      <c r="CY462" s="2043">
        <v>0</v>
      </c>
      <c r="CZ462" s="2043">
        <v>0</v>
      </c>
      <c r="DA462" s="2043">
        <v>0</v>
      </c>
      <c r="DB462" s="2043">
        <v>0</v>
      </c>
      <c r="DC462" s="2043">
        <v>0</v>
      </c>
      <c r="DI462" t="s">
        <v>5049</v>
      </c>
      <c r="DJ462" t="s">
        <v>5049</v>
      </c>
      <c r="DK462" s="2042">
        <f t="shared" si="9"/>
        <v>0</v>
      </c>
    </row>
    <row r="463" spans="1:115">
      <c r="A463" t="s">
        <v>5050</v>
      </c>
      <c r="B463" t="s">
        <v>1213</v>
      </c>
      <c r="C463">
        <v>3617.1060000000002</v>
      </c>
      <c r="D463">
        <v>3753.0640000000003</v>
      </c>
      <c r="E463">
        <v>417.01600000000002</v>
      </c>
      <c r="F463">
        <v>0</v>
      </c>
      <c r="G463" s="2043">
        <v>1575471769</v>
      </c>
      <c r="H463">
        <v>0</v>
      </c>
      <c r="I463" s="2043">
        <v>3259322</v>
      </c>
      <c r="J463">
        <v>180.85500000000002</v>
      </c>
      <c r="K463">
        <v>494</v>
      </c>
      <c r="L463">
        <v>0</v>
      </c>
      <c r="M463">
        <v>0</v>
      </c>
      <c r="N463">
        <v>0</v>
      </c>
      <c r="O463">
        <v>0</v>
      </c>
      <c r="P463">
        <v>0</v>
      </c>
      <c r="Q463">
        <v>0</v>
      </c>
      <c r="R463" s="2043">
        <v>14220501</v>
      </c>
      <c r="S463">
        <v>778438</v>
      </c>
      <c r="T463">
        <v>0</v>
      </c>
      <c r="U463">
        <v>0.05</v>
      </c>
      <c r="V463">
        <v>0</v>
      </c>
      <c r="W463">
        <v>0</v>
      </c>
      <c r="X463">
        <v>0</v>
      </c>
      <c r="Y463">
        <v>0</v>
      </c>
      <c r="Z463">
        <v>0</v>
      </c>
      <c r="AA463">
        <v>0.13500000000000001</v>
      </c>
      <c r="AB463">
        <v>3582.9960000000001</v>
      </c>
      <c r="AC463" s="2043">
        <v>1683759610</v>
      </c>
      <c r="AD463">
        <v>4110501</v>
      </c>
      <c r="AE463" s="2043">
        <v>14998939</v>
      </c>
      <c r="AF463">
        <v>0.96340000000000003</v>
      </c>
      <c r="AG463">
        <v>0</v>
      </c>
      <c r="AH463">
        <v>0</v>
      </c>
      <c r="AI463">
        <v>0</v>
      </c>
      <c r="AJ463">
        <v>719.28800000000001</v>
      </c>
      <c r="AK463">
        <v>6974</v>
      </c>
      <c r="AL463">
        <v>0.39200000000000002</v>
      </c>
      <c r="AM463">
        <v>0</v>
      </c>
      <c r="AN463">
        <v>39.024999999999999</v>
      </c>
      <c r="AO463">
        <v>0</v>
      </c>
      <c r="AP463">
        <v>0</v>
      </c>
      <c r="AQ463">
        <v>0</v>
      </c>
      <c r="AR463">
        <v>51.646000000000001</v>
      </c>
      <c r="AS463">
        <v>0</v>
      </c>
      <c r="AT463">
        <v>21.427</v>
      </c>
      <c r="AU463">
        <v>5.7990000000000004</v>
      </c>
      <c r="AV463">
        <v>0</v>
      </c>
      <c r="AW463">
        <v>79.26400000000001</v>
      </c>
      <c r="AX463">
        <v>0</v>
      </c>
      <c r="AY463">
        <v>250.17400000000001</v>
      </c>
      <c r="AZ463">
        <v>0</v>
      </c>
      <c r="BA463">
        <v>18828171</v>
      </c>
      <c r="BB463">
        <v>19109440</v>
      </c>
      <c r="BC463">
        <v>0</v>
      </c>
      <c r="BD463">
        <v>193167</v>
      </c>
      <c r="BE463">
        <v>36627</v>
      </c>
      <c r="BF463">
        <v>229794</v>
      </c>
      <c r="BG463">
        <v>193167</v>
      </c>
      <c r="BH463">
        <v>0</v>
      </c>
      <c r="BI463">
        <v>0</v>
      </c>
      <c r="BJ463">
        <v>0</v>
      </c>
      <c r="BK463">
        <v>0</v>
      </c>
      <c r="BL463">
        <v>1575471769</v>
      </c>
      <c r="BM463">
        <v>0</v>
      </c>
      <c r="BN463">
        <v>12735</v>
      </c>
      <c r="BO463">
        <v>9823</v>
      </c>
      <c r="BP463">
        <v>0</v>
      </c>
      <c r="BQ463">
        <v>0</v>
      </c>
      <c r="BR463">
        <v>0.91339999999999999</v>
      </c>
      <c r="BS463">
        <v>0.91339999999999999</v>
      </c>
      <c r="BT463">
        <v>0</v>
      </c>
      <c r="BU463">
        <v>0</v>
      </c>
      <c r="BV463">
        <v>817</v>
      </c>
      <c r="BW463">
        <v>980</v>
      </c>
      <c r="BX463">
        <v>524</v>
      </c>
      <c r="BY463">
        <v>365</v>
      </c>
      <c r="BZ463">
        <v>276</v>
      </c>
      <c r="CA463">
        <v>2962</v>
      </c>
      <c r="CB463">
        <v>0</v>
      </c>
      <c r="CC463">
        <v>312.64800000000002</v>
      </c>
      <c r="CD463">
        <v>74.537000000000006</v>
      </c>
      <c r="CE463">
        <v>258</v>
      </c>
      <c r="CF463">
        <v>1051.403</v>
      </c>
      <c r="CG463">
        <v>0</v>
      </c>
      <c r="CH463">
        <v>0</v>
      </c>
      <c r="CI463">
        <v>3</v>
      </c>
      <c r="CJ463">
        <v>9</v>
      </c>
      <c r="CK463">
        <v>0</v>
      </c>
      <c r="CL463">
        <v>0</v>
      </c>
      <c r="CM463">
        <v>417.01600000000002</v>
      </c>
      <c r="CN463">
        <v>0</v>
      </c>
      <c r="CO463">
        <v>0</v>
      </c>
      <c r="CP463">
        <v>0</v>
      </c>
      <c r="CQ463">
        <v>0</v>
      </c>
      <c r="CR463">
        <v>0</v>
      </c>
      <c r="CS463">
        <v>0</v>
      </c>
      <c r="CT463">
        <v>0</v>
      </c>
      <c r="CU463">
        <v>18.830000000000002</v>
      </c>
      <c r="CV463">
        <v>171.821</v>
      </c>
      <c r="CW463">
        <v>92.13900000000001</v>
      </c>
      <c r="CX463">
        <v>0</v>
      </c>
      <c r="CY463" s="2043">
        <v>0</v>
      </c>
      <c r="CZ463" s="2043">
        <v>0</v>
      </c>
      <c r="DA463" s="2043">
        <v>0</v>
      </c>
      <c r="DB463" s="2043">
        <v>0</v>
      </c>
      <c r="DC463" s="2043">
        <v>0</v>
      </c>
      <c r="DI463" t="s">
        <v>5050</v>
      </c>
      <c r="DJ463" t="s">
        <v>5050</v>
      </c>
      <c r="DK463" s="2042">
        <f t="shared" si="9"/>
        <v>0</v>
      </c>
    </row>
    <row r="464" spans="1:115">
      <c r="A464" t="s">
        <v>5051</v>
      </c>
      <c r="B464" t="s">
        <v>2066</v>
      </c>
      <c r="C464">
        <v>4315.5830000000005</v>
      </c>
      <c r="D464">
        <v>4225.7060000000001</v>
      </c>
      <c r="E464">
        <v>613.80500000000006</v>
      </c>
      <c r="F464">
        <v>0</v>
      </c>
      <c r="G464" s="2043">
        <v>1645257523</v>
      </c>
      <c r="H464">
        <v>0</v>
      </c>
      <c r="I464" s="2043">
        <v>5253229</v>
      </c>
      <c r="J464">
        <v>215.779</v>
      </c>
      <c r="K464">
        <v>590</v>
      </c>
      <c r="L464">
        <v>0</v>
      </c>
      <c r="M464">
        <v>0</v>
      </c>
      <c r="N464">
        <v>0</v>
      </c>
      <c r="O464">
        <v>0</v>
      </c>
      <c r="P464">
        <v>0</v>
      </c>
      <c r="Q464">
        <v>0</v>
      </c>
      <c r="R464" s="2043">
        <v>14437527</v>
      </c>
      <c r="S464">
        <v>1264509</v>
      </c>
      <c r="T464">
        <v>921510</v>
      </c>
      <c r="U464">
        <v>0.08</v>
      </c>
      <c r="V464">
        <v>0</v>
      </c>
      <c r="W464">
        <v>0</v>
      </c>
      <c r="X464">
        <v>0</v>
      </c>
      <c r="Y464">
        <v>0</v>
      </c>
      <c r="Z464">
        <v>1.94</v>
      </c>
      <c r="AA464">
        <v>0.377</v>
      </c>
      <c r="AB464">
        <v>4225.7060000000001</v>
      </c>
      <c r="AC464" s="2043">
        <v>1706988782</v>
      </c>
      <c r="AD464">
        <v>5452534</v>
      </c>
      <c r="AE464" s="2043">
        <v>16623546</v>
      </c>
      <c r="AF464">
        <v>1.0517000000000001</v>
      </c>
      <c r="AG464">
        <v>0</v>
      </c>
      <c r="AH464">
        <v>0</v>
      </c>
      <c r="AI464">
        <v>0</v>
      </c>
      <c r="AJ464">
        <v>823.78800000000001</v>
      </c>
      <c r="AK464">
        <v>14463</v>
      </c>
      <c r="AL464">
        <v>0.97600000000000009</v>
      </c>
      <c r="AM464">
        <v>0</v>
      </c>
      <c r="AN464">
        <v>124.45</v>
      </c>
      <c r="AO464">
        <v>0</v>
      </c>
      <c r="AP464">
        <v>7.149</v>
      </c>
      <c r="AQ464">
        <v>0.85</v>
      </c>
      <c r="AR464">
        <v>86.424999999999997</v>
      </c>
      <c r="AS464">
        <v>0</v>
      </c>
      <c r="AT464">
        <v>41.236000000000004</v>
      </c>
      <c r="AU464">
        <v>13.126000000000001</v>
      </c>
      <c r="AV464">
        <v>0</v>
      </c>
      <c r="AW464">
        <v>149.762</v>
      </c>
      <c r="AX464">
        <v>0</v>
      </c>
      <c r="AY464">
        <v>472.79500000000002</v>
      </c>
      <c r="AZ464">
        <v>0</v>
      </c>
      <c r="BA464">
        <v>27358734</v>
      </c>
      <c r="BB464">
        <v>22076080</v>
      </c>
      <c r="BC464">
        <v>0</v>
      </c>
      <c r="BD464">
        <v>137646</v>
      </c>
      <c r="BE464">
        <v>38698</v>
      </c>
      <c r="BF464">
        <v>176344</v>
      </c>
      <c r="BG464">
        <v>137646</v>
      </c>
      <c r="BH464">
        <v>0</v>
      </c>
      <c r="BI464">
        <v>0</v>
      </c>
      <c r="BJ464">
        <v>0</v>
      </c>
      <c r="BK464">
        <v>0</v>
      </c>
      <c r="BL464">
        <v>1645257523</v>
      </c>
      <c r="BM464">
        <v>0</v>
      </c>
      <c r="BN464">
        <v>15840</v>
      </c>
      <c r="BO464">
        <v>9919</v>
      </c>
      <c r="BP464">
        <v>10835</v>
      </c>
      <c r="BQ464">
        <v>0</v>
      </c>
      <c r="BR464">
        <v>0.91339999999999999</v>
      </c>
      <c r="BS464">
        <v>0.91339999999999999</v>
      </c>
      <c r="BT464">
        <v>0</v>
      </c>
      <c r="BU464">
        <v>0</v>
      </c>
      <c r="BV464">
        <v>224</v>
      </c>
      <c r="BW464">
        <v>608</v>
      </c>
      <c r="BX464">
        <v>804</v>
      </c>
      <c r="BY464">
        <v>939</v>
      </c>
      <c r="BZ464">
        <v>660</v>
      </c>
      <c r="CA464">
        <v>3235</v>
      </c>
      <c r="CB464">
        <v>0</v>
      </c>
      <c r="CC464">
        <v>1.359</v>
      </c>
      <c r="CD464">
        <v>0</v>
      </c>
      <c r="CE464">
        <v>207</v>
      </c>
      <c r="CF464">
        <v>1189.2240000000002</v>
      </c>
      <c r="CG464">
        <v>0</v>
      </c>
      <c r="CH464">
        <v>0.92800000000000005</v>
      </c>
      <c r="CI464">
        <v>2</v>
      </c>
      <c r="CJ464">
        <v>21</v>
      </c>
      <c r="CK464">
        <v>0</v>
      </c>
      <c r="CL464">
        <v>0.92800000000000005</v>
      </c>
      <c r="CM464">
        <v>613.80500000000006</v>
      </c>
      <c r="CN464">
        <v>0</v>
      </c>
      <c r="CO464">
        <v>10835</v>
      </c>
      <c r="CP464">
        <v>0</v>
      </c>
      <c r="CQ464">
        <v>0</v>
      </c>
      <c r="CR464">
        <v>0</v>
      </c>
      <c r="CS464">
        <v>0</v>
      </c>
      <c r="CT464">
        <v>0</v>
      </c>
      <c r="CU464">
        <v>19.258000000000003</v>
      </c>
      <c r="CV464">
        <v>258.77199999999999</v>
      </c>
      <c r="CW464">
        <v>133.619</v>
      </c>
      <c r="CX464">
        <v>0</v>
      </c>
      <c r="CY464" s="2043">
        <v>0</v>
      </c>
      <c r="CZ464" s="2043">
        <v>0</v>
      </c>
      <c r="DA464" s="2043">
        <v>0</v>
      </c>
      <c r="DB464" s="2043">
        <v>0</v>
      </c>
      <c r="DC464" s="2043">
        <v>0</v>
      </c>
      <c r="DI464" t="s">
        <v>3969</v>
      </c>
      <c r="DJ464" t="s">
        <v>5051</v>
      </c>
      <c r="DK464" s="2042">
        <f t="shared" si="9"/>
        <v>-1</v>
      </c>
    </row>
    <row r="465" spans="1:115">
      <c r="A465" t="s">
        <v>3969</v>
      </c>
      <c r="B465" t="s">
        <v>432</v>
      </c>
      <c r="C465">
        <v>7532.9180000000006</v>
      </c>
      <c r="D465">
        <v>7921.9360000000006</v>
      </c>
      <c r="E465">
        <v>894.77500000000009</v>
      </c>
      <c r="F465">
        <v>0</v>
      </c>
      <c r="G465" s="2043">
        <v>4912031988</v>
      </c>
      <c r="H465">
        <v>0</v>
      </c>
      <c r="I465" s="2043">
        <v>21210772</v>
      </c>
      <c r="J465">
        <v>376.64600000000002</v>
      </c>
      <c r="K465">
        <v>1030</v>
      </c>
      <c r="L465">
        <v>0</v>
      </c>
      <c r="M465">
        <v>0</v>
      </c>
      <c r="N465">
        <v>0</v>
      </c>
      <c r="O465">
        <v>0</v>
      </c>
      <c r="P465">
        <v>0</v>
      </c>
      <c r="Q465">
        <v>0</v>
      </c>
      <c r="R465" s="2043">
        <v>43095838</v>
      </c>
      <c r="S465">
        <v>2416499</v>
      </c>
      <c r="T465">
        <v>0</v>
      </c>
      <c r="U465">
        <v>0.05</v>
      </c>
      <c r="V465">
        <v>0</v>
      </c>
      <c r="W465">
        <v>0</v>
      </c>
      <c r="X465">
        <v>0</v>
      </c>
      <c r="Y465">
        <v>13648762</v>
      </c>
      <c r="Z465">
        <v>0</v>
      </c>
      <c r="AA465">
        <v>0.22800000000000001</v>
      </c>
      <c r="AB465">
        <v>7742.1030000000001</v>
      </c>
      <c r="AC465" s="2043">
        <v>4453156167</v>
      </c>
      <c r="AD465">
        <v>22859600</v>
      </c>
      <c r="AE465" s="2043">
        <v>45512337</v>
      </c>
      <c r="AF465">
        <v>0.94170000000000009</v>
      </c>
      <c r="AG465">
        <v>0</v>
      </c>
      <c r="AH465">
        <v>0</v>
      </c>
      <c r="AI465">
        <v>0</v>
      </c>
      <c r="AJ465">
        <v>1778.75</v>
      </c>
      <c r="AK465">
        <v>20893</v>
      </c>
      <c r="AL465">
        <v>1.004</v>
      </c>
      <c r="AM465">
        <v>0</v>
      </c>
      <c r="AN465">
        <v>224.631</v>
      </c>
      <c r="AO465">
        <v>0</v>
      </c>
      <c r="AP465">
        <v>1.1850000000000001</v>
      </c>
      <c r="AQ465">
        <v>0.83500000000000008</v>
      </c>
      <c r="AR465">
        <v>97.138000000000005</v>
      </c>
      <c r="AS465">
        <v>0</v>
      </c>
      <c r="AT465">
        <v>94.945000000000007</v>
      </c>
      <c r="AU465">
        <v>15.278</v>
      </c>
      <c r="AV465">
        <v>0</v>
      </c>
      <c r="AW465">
        <v>210.38500000000002</v>
      </c>
      <c r="AX465">
        <v>0</v>
      </c>
      <c r="AY465">
        <v>660.85900000000004</v>
      </c>
      <c r="AZ465">
        <v>0</v>
      </c>
      <c r="BA465">
        <v>43051019</v>
      </c>
      <c r="BB465">
        <v>68371937</v>
      </c>
      <c r="BC465">
        <v>816</v>
      </c>
      <c r="BD465">
        <v>538037</v>
      </c>
      <c r="BE465">
        <v>114175</v>
      </c>
      <c r="BF465">
        <v>677283</v>
      </c>
      <c r="BG465">
        <v>538853</v>
      </c>
      <c r="BH465">
        <v>24255</v>
      </c>
      <c r="BI465">
        <v>-8831</v>
      </c>
      <c r="BJ465">
        <v>0</v>
      </c>
      <c r="BK465">
        <v>0</v>
      </c>
      <c r="BL465">
        <v>4912031988</v>
      </c>
      <c r="BM465">
        <v>13657593</v>
      </c>
      <c r="BN465">
        <v>26334</v>
      </c>
      <c r="BO465">
        <v>21807</v>
      </c>
      <c r="BP465">
        <v>2020776</v>
      </c>
      <c r="BQ465">
        <v>0</v>
      </c>
      <c r="BR465">
        <v>0.89170000000000005</v>
      </c>
      <c r="BS465">
        <v>0.89170000000000005</v>
      </c>
      <c r="BT465">
        <v>0</v>
      </c>
      <c r="BU465">
        <v>0</v>
      </c>
      <c r="BV465">
        <v>909</v>
      </c>
      <c r="BW465">
        <v>1136</v>
      </c>
      <c r="BX465">
        <v>1138</v>
      </c>
      <c r="BY465">
        <v>2336</v>
      </c>
      <c r="BZ465">
        <v>1479</v>
      </c>
      <c r="CA465">
        <v>6998</v>
      </c>
      <c r="CB465">
        <v>0</v>
      </c>
      <c r="CC465">
        <v>721.45500000000004</v>
      </c>
      <c r="CD465">
        <v>19.138000000000002</v>
      </c>
      <c r="CE465">
        <v>321</v>
      </c>
      <c r="CF465">
        <v>2538.3960000000002</v>
      </c>
      <c r="CG465">
        <v>159.917</v>
      </c>
      <c r="CH465">
        <v>0</v>
      </c>
      <c r="CI465">
        <v>19</v>
      </c>
      <c r="CJ465">
        <v>33</v>
      </c>
      <c r="CK465">
        <v>1</v>
      </c>
      <c r="CL465">
        <v>159.917</v>
      </c>
      <c r="CM465">
        <v>894.77500000000009</v>
      </c>
      <c r="CN465">
        <v>996143</v>
      </c>
      <c r="CO465">
        <v>632267</v>
      </c>
      <c r="CP465">
        <v>341866</v>
      </c>
      <c r="CQ465">
        <v>50500</v>
      </c>
      <c r="CR465">
        <v>0</v>
      </c>
      <c r="CS465">
        <v>0</v>
      </c>
      <c r="CT465">
        <v>0</v>
      </c>
      <c r="CU465">
        <v>2.8690000000000002</v>
      </c>
      <c r="CV465">
        <v>476.53300000000002</v>
      </c>
      <c r="CW465">
        <v>373.09200000000004</v>
      </c>
      <c r="CX465">
        <v>0</v>
      </c>
      <c r="CY465" s="2043">
        <v>0</v>
      </c>
      <c r="CZ465" s="2043">
        <v>0</v>
      </c>
      <c r="DA465" s="2043">
        <v>0</v>
      </c>
      <c r="DB465" s="2043">
        <v>0</v>
      </c>
      <c r="DC465" s="2043">
        <v>0</v>
      </c>
      <c r="DI465" t="s">
        <v>5051</v>
      </c>
      <c r="DJ465" t="s">
        <v>3969</v>
      </c>
      <c r="DK465" s="2042">
        <f t="shared" si="9"/>
        <v>1</v>
      </c>
    </row>
    <row r="466" spans="1:115">
      <c r="A466" t="s">
        <v>5052</v>
      </c>
      <c r="B466" t="s">
        <v>2494</v>
      </c>
      <c r="C466">
        <v>1455.048</v>
      </c>
      <c r="D466">
        <v>1435.3620000000001</v>
      </c>
      <c r="E466">
        <v>148.22499999999999</v>
      </c>
      <c r="F466">
        <v>0</v>
      </c>
      <c r="G466" s="2043">
        <v>460366518</v>
      </c>
      <c r="H466">
        <v>0</v>
      </c>
      <c r="I466" s="2043">
        <v>914760</v>
      </c>
      <c r="J466">
        <v>72.75200000000001</v>
      </c>
      <c r="K466">
        <v>199</v>
      </c>
      <c r="L466">
        <v>0</v>
      </c>
      <c r="M466">
        <v>0</v>
      </c>
      <c r="N466">
        <v>0</v>
      </c>
      <c r="O466">
        <v>0</v>
      </c>
      <c r="P466">
        <v>0</v>
      </c>
      <c r="Q466">
        <v>0</v>
      </c>
      <c r="R466" s="2043">
        <v>3816677</v>
      </c>
      <c r="S466">
        <v>213127</v>
      </c>
      <c r="T466">
        <v>0</v>
      </c>
      <c r="U466">
        <v>0.05</v>
      </c>
      <c r="V466">
        <v>0</v>
      </c>
      <c r="W466">
        <v>0</v>
      </c>
      <c r="X466">
        <v>0</v>
      </c>
      <c r="Y466">
        <v>0</v>
      </c>
      <c r="Z466">
        <v>0</v>
      </c>
      <c r="AA466">
        <v>0</v>
      </c>
      <c r="AB466">
        <v>1435.3620000000001</v>
      </c>
      <c r="AC466" s="2043">
        <v>457051649</v>
      </c>
      <c r="AD466">
        <v>1112696</v>
      </c>
      <c r="AE466" s="2043">
        <v>4029804</v>
      </c>
      <c r="AF466">
        <v>0.94540000000000002</v>
      </c>
      <c r="AG466">
        <v>0</v>
      </c>
      <c r="AH466">
        <v>0</v>
      </c>
      <c r="AI466">
        <v>0</v>
      </c>
      <c r="AJ466">
        <v>188.03800000000001</v>
      </c>
      <c r="AK466">
        <v>4990</v>
      </c>
      <c r="AL466">
        <v>0.23</v>
      </c>
      <c r="AM466">
        <v>0</v>
      </c>
      <c r="AN466">
        <v>39.952000000000005</v>
      </c>
      <c r="AO466">
        <v>0</v>
      </c>
      <c r="AP466">
        <v>0.99099999999999999</v>
      </c>
      <c r="AQ466">
        <v>0</v>
      </c>
      <c r="AR466">
        <v>32.204999999999998</v>
      </c>
      <c r="AS466">
        <v>0</v>
      </c>
      <c r="AT466">
        <v>10.81</v>
      </c>
      <c r="AU466">
        <v>2.879</v>
      </c>
      <c r="AV466">
        <v>0</v>
      </c>
      <c r="AW466">
        <v>47.115000000000002</v>
      </c>
      <c r="AX466">
        <v>0</v>
      </c>
      <c r="AY466">
        <v>147.26600000000002</v>
      </c>
      <c r="AZ466">
        <v>0</v>
      </c>
      <c r="BA466">
        <v>10149645</v>
      </c>
      <c r="BB466">
        <v>5142500</v>
      </c>
      <c r="BC466">
        <v>0</v>
      </c>
      <c r="BD466">
        <v>63779</v>
      </c>
      <c r="BE466">
        <v>20954</v>
      </c>
      <c r="BF466">
        <v>84733</v>
      </c>
      <c r="BG466">
        <v>63779</v>
      </c>
      <c r="BH466">
        <v>0</v>
      </c>
      <c r="BI466">
        <v>0</v>
      </c>
      <c r="BJ466">
        <v>0</v>
      </c>
      <c r="BK466">
        <v>0</v>
      </c>
      <c r="BL466">
        <v>460366518</v>
      </c>
      <c r="BM466">
        <v>0</v>
      </c>
      <c r="BN466">
        <v>4995</v>
      </c>
      <c r="BO466">
        <v>4023</v>
      </c>
      <c r="BP466">
        <v>0</v>
      </c>
      <c r="BQ466">
        <v>0</v>
      </c>
      <c r="BR466">
        <v>0.89540000000000008</v>
      </c>
      <c r="BS466">
        <v>0.89540000000000008</v>
      </c>
      <c r="BT466">
        <v>0</v>
      </c>
      <c r="BU466">
        <v>0</v>
      </c>
      <c r="BV466">
        <v>200</v>
      </c>
      <c r="BW466">
        <v>327</v>
      </c>
      <c r="BX466">
        <v>255</v>
      </c>
      <c r="BY466">
        <v>2</v>
      </c>
      <c r="BZ466">
        <v>4</v>
      </c>
      <c r="CA466">
        <v>788</v>
      </c>
      <c r="CB466">
        <v>0</v>
      </c>
      <c r="CC466">
        <v>0</v>
      </c>
      <c r="CD466">
        <v>0</v>
      </c>
      <c r="CE466">
        <v>100</v>
      </c>
      <c r="CF466">
        <v>328.12299999999999</v>
      </c>
      <c r="CG466">
        <v>0</v>
      </c>
      <c r="CH466">
        <v>0</v>
      </c>
      <c r="CI466">
        <v>0</v>
      </c>
      <c r="CJ466">
        <v>3</v>
      </c>
      <c r="CK466">
        <v>0</v>
      </c>
      <c r="CL466">
        <v>0</v>
      </c>
      <c r="CM466">
        <v>148.22499999999999</v>
      </c>
      <c r="CN466">
        <v>0</v>
      </c>
      <c r="CO466">
        <v>0</v>
      </c>
      <c r="CP466">
        <v>0</v>
      </c>
      <c r="CQ466">
        <v>0</v>
      </c>
      <c r="CR466">
        <v>0</v>
      </c>
      <c r="CS466">
        <v>0</v>
      </c>
      <c r="CT466">
        <v>0</v>
      </c>
      <c r="CU466">
        <v>0</v>
      </c>
      <c r="CV466">
        <v>86.777000000000001</v>
      </c>
      <c r="CW466">
        <v>72.388000000000005</v>
      </c>
      <c r="CX466">
        <v>0</v>
      </c>
      <c r="CY466" s="2043">
        <v>0</v>
      </c>
      <c r="CZ466" s="2043">
        <v>0</v>
      </c>
      <c r="DA466" s="2043">
        <v>0</v>
      </c>
      <c r="DB466" s="2043">
        <v>0</v>
      </c>
      <c r="DC466" s="2043">
        <v>0</v>
      </c>
      <c r="DI466" t="s">
        <v>5052</v>
      </c>
      <c r="DJ466" t="s">
        <v>5052</v>
      </c>
      <c r="DK466" s="2042">
        <f t="shared" si="9"/>
        <v>0</v>
      </c>
    </row>
    <row r="467" spans="1:115">
      <c r="A467" t="s">
        <v>3010</v>
      </c>
      <c r="B467" t="s">
        <v>1420</v>
      </c>
      <c r="C467">
        <v>1931.133</v>
      </c>
      <c r="D467">
        <v>2026.55</v>
      </c>
      <c r="E467">
        <v>101.932</v>
      </c>
      <c r="F467">
        <v>0</v>
      </c>
      <c r="G467" s="2043">
        <v>585459108</v>
      </c>
      <c r="H467">
        <v>0</v>
      </c>
      <c r="I467" s="2043">
        <v>2846164</v>
      </c>
      <c r="J467">
        <v>96.557000000000002</v>
      </c>
      <c r="K467">
        <v>264</v>
      </c>
      <c r="L467">
        <v>142817</v>
      </c>
      <c r="M467">
        <v>924564</v>
      </c>
      <c r="N467">
        <v>142817</v>
      </c>
      <c r="O467">
        <v>1067381</v>
      </c>
      <c r="P467">
        <v>0</v>
      </c>
      <c r="Q467">
        <v>0</v>
      </c>
      <c r="R467" s="2043">
        <v>4663192</v>
      </c>
      <c r="S467">
        <v>410041</v>
      </c>
      <c r="T467">
        <v>296767</v>
      </c>
      <c r="U467">
        <v>0.08</v>
      </c>
      <c r="V467">
        <v>0</v>
      </c>
      <c r="W467">
        <v>0</v>
      </c>
      <c r="X467">
        <v>0</v>
      </c>
      <c r="Y467">
        <v>0</v>
      </c>
      <c r="Z467">
        <v>0</v>
      </c>
      <c r="AA467">
        <v>0</v>
      </c>
      <c r="AB467">
        <v>1927.288</v>
      </c>
      <c r="AC467" s="2043">
        <v>563391121</v>
      </c>
      <c r="AD467">
        <v>2550000</v>
      </c>
      <c r="AE467" s="2043">
        <v>5370000</v>
      </c>
      <c r="AF467">
        <v>1.0477000000000001</v>
      </c>
      <c r="AG467">
        <v>0</v>
      </c>
      <c r="AH467">
        <v>0</v>
      </c>
      <c r="AI467">
        <v>0</v>
      </c>
      <c r="AJ467">
        <v>245.75</v>
      </c>
      <c r="AK467">
        <v>5485</v>
      </c>
      <c r="AL467">
        <v>0.41300000000000003</v>
      </c>
      <c r="AM467">
        <v>0</v>
      </c>
      <c r="AN467">
        <v>95.683999999999997</v>
      </c>
      <c r="AO467">
        <v>0</v>
      </c>
      <c r="AP467">
        <v>4.6040000000000001</v>
      </c>
      <c r="AQ467">
        <v>0</v>
      </c>
      <c r="AR467">
        <v>9.9779999999999998</v>
      </c>
      <c r="AS467">
        <v>0</v>
      </c>
      <c r="AT467">
        <v>15.026000000000002</v>
      </c>
      <c r="AU467">
        <v>4.82</v>
      </c>
      <c r="AV467">
        <v>0</v>
      </c>
      <c r="AW467">
        <v>34.841000000000001</v>
      </c>
      <c r="AX467">
        <v>0</v>
      </c>
      <c r="AY467">
        <v>113.608</v>
      </c>
      <c r="AZ467">
        <v>0</v>
      </c>
      <c r="BA467">
        <v>13869714</v>
      </c>
      <c r="BB467">
        <v>7920000</v>
      </c>
      <c r="BC467">
        <v>0</v>
      </c>
      <c r="BD467">
        <v>37093</v>
      </c>
      <c r="BE467">
        <v>13117</v>
      </c>
      <c r="BF467">
        <v>50210</v>
      </c>
      <c r="BG467">
        <v>37093</v>
      </c>
      <c r="BH467">
        <v>0</v>
      </c>
      <c r="BI467">
        <v>0</v>
      </c>
      <c r="BJ467">
        <v>0</v>
      </c>
      <c r="BK467">
        <v>0</v>
      </c>
      <c r="BL467">
        <v>585459108</v>
      </c>
      <c r="BM467">
        <v>0</v>
      </c>
      <c r="BN467">
        <v>6093</v>
      </c>
      <c r="BO467">
        <v>2386</v>
      </c>
      <c r="BP467">
        <v>4876</v>
      </c>
      <c r="BQ467">
        <v>0</v>
      </c>
      <c r="BR467">
        <v>0.90980000000000005</v>
      </c>
      <c r="BS467">
        <v>0.90980000000000005</v>
      </c>
      <c r="BT467">
        <v>0</v>
      </c>
      <c r="BU467">
        <v>0</v>
      </c>
      <c r="BV467">
        <v>95</v>
      </c>
      <c r="BW467">
        <v>528</v>
      </c>
      <c r="BX467">
        <v>149</v>
      </c>
      <c r="BY467">
        <v>232</v>
      </c>
      <c r="BZ467">
        <v>3</v>
      </c>
      <c r="CA467">
        <v>1007</v>
      </c>
      <c r="CB467">
        <v>0</v>
      </c>
      <c r="CC467">
        <v>0</v>
      </c>
      <c r="CD467">
        <v>0</v>
      </c>
      <c r="CE467">
        <v>111</v>
      </c>
      <c r="CF467">
        <v>328.07800000000003</v>
      </c>
      <c r="CG467">
        <v>0</v>
      </c>
      <c r="CH467">
        <v>0</v>
      </c>
      <c r="CI467">
        <v>4</v>
      </c>
      <c r="CJ467">
        <v>28</v>
      </c>
      <c r="CK467">
        <v>0</v>
      </c>
      <c r="CL467">
        <v>0</v>
      </c>
      <c r="CM467">
        <v>101.932</v>
      </c>
      <c r="CN467">
        <v>0</v>
      </c>
      <c r="CO467">
        <v>0</v>
      </c>
      <c r="CP467">
        <v>4381</v>
      </c>
      <c r="CQ467">
        <v>495</v>
      </c>
      <c r="CR467">
        <v>0</v>
      </c>
      <c r="CS467">
        <v>0</v>
      </c>
      <c r="CT467">
        <v>0</v>
      </c>
      <c r="CU467">
        <v>14.19</v>
      </c>
      <c r="CV467">
        <v>156.767</v>
      </c>
      <c r="CW467">
        <v>42.84</v>
      </c>
      <c r="CX467">
        <v>0</v>
      </c>
      <c r="CY467" s="2043">
        <v>0</v>
      </c>
      <c r="CZ467" s="2043">
        <v>0</v>
      </c>
      <c r="DA467" s="2043">
        <v>0</v>
      </c>
      <c r="DB467" s="2043">
        <v>0</v>
      </c>
      <c r="DC467" s="2043">
        <v>0</v>
      </c>
      <c r="DI467" t="s">
        <v>3010</v>
      </c>
      <c r="DJ467" t="s">
        <v>3010</v>
      </c>
      <c r="DK467" s="2042">
        <f t="shared" si="9"/>
        <v>0</v>
      </c>
    </row>
    <row r="468" spans="1:115">
      <c r="A468" t="s">
        <v>8506</v>
      </c>
      <c r="B468" t="s">
        <v>11320</v>
      </c>
      <c r="C468">
        <v>0</v>
      </c>
      <c r="D468">
        <v>0</v>
      </c>
      <c r="E468">
        <v>0</v>
      </c>
      <c r="F468">
        <v>0</v>
      </c>
      <c r="G468" s="2043">
        <v>0</v>
      </c>
      <c r="H468">
        <v>0</v>
      </c>
      <c r="I468" s="2043">
        <v>0</v>
      </c>
      <c r="J468">
        <v>0</v>
      </c>
      <c r="K468">
        <v>0</v>
      </c>
      <c r="L468">
        <v>0</v>
      </c>
      <c r="M468">
        <v>0</v>
      </c>
      <c r="N468">
        <v>0</v>
      </c>
      <c r="O468">
        <v>0</v>
      </c>
      <c r="P468">
        <v>0</v>
      </c>
      <c r="Q468">
        <v>0</v>
      </c>
      <c r="R468" s="2043">
        <v>0</v>
      </c>
      <c r="S468">
        <v>0</v>
      </c>
      <c r="T468">
        <v>0</v>
      </c>
      <c r="U468">
        <v>0</v>
      </c>
      <c r="V468">
        <v>0</v>
      </c>
      <c r="W468">
        <v>0</v>
      </c>
      <c r="X468">
        <v>0</v>
      </c>
      <c r="Y468">
        <v>341717</v>
      </c>
      <c r="Z468">
        <v>0</v>
      </c>
      <c r="AA468">
        <v>0</v>
      </c>
      <c r="AB468">
        <v>0</v>
      </c>
      <c r="AC468" s="2043">
        <v>0</v>
      </c>
      <c r="AD468">
        <v>0</v>
      </c>
      <c r="AE468" s="2043">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341717</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s="2043">
        <v>0</v>
      </c>
      <c r="CZ468" s="2043">
        <v>0</v>
      </c>
      <c r="DA468" s="2043">
        <v>0</v>
      </c>
      <c r="DB468" s="2043">
        <v>0</v>
      </c>
      <c r="DC468" s="2043">
        <v>0</v>
      </c>
      <c r="DI468" t="s">
        <v>5053</v>
      </c>
      <c r="DJ468" t="s">
        <v>8506</v>
      </c>
      <c r="DK468" s="2042">
        <f t="shared" si="9"/>
        <v>-42</v>
      </c>
    </row>
    <row r="469" spans="1:115">
      <c r="A469" t="s">
        <v>5053</v>
      </c>
      <c r="B469" t="s">
        <v>2495</v>
      </c>
      <c r="C469">
        <v>1359.6680000000001</v>
      </c>
      <c r="D469">
        <v>1358.2440000000001</v>
      </c>
      <c r="E469">
        <v>15.498000000000001</v>
      </c>
      <c r="F469">
        <v>0</v>
      </c>
      <c r="G469" s="2043">
        <v>369680700</v>
      </c>
      <c r="H469">
        <v>0</v>
      </c>
      <c r="I469" s="2043">
        <v>1425952</v>
      </c>
      <c r="J469">
        <v>67.983000000000004</v>
      </c>
      <c r="K469">
        <v>186</v>
      </c>
      <c r="L469">
        <v>0</v>
      </c>
      <c r="M469">
        <v>0</v>
      </c>
      <c r="N469">
        <v>0</v>
      </c>
      <c r="O469">
        <v>0</v>
      </c>
      <c r="P469">
        <v>0</v>
      </c>
      <c r="Q469">
        <v>0</v>
      </c>
      <c r="R469" s="2043">
        <v>3053029</v>
      </c>
      <c r="S469">
        <v>267399</v>
      </c>
      <c r="T469">
        <v>194867</v>
      </c>
      <c r="U469">
        <v>0.08</v>
      </c>
      <c r="V469">
        <v>0</v>
      </c>
      <c r="W469">
        <v>0</v>
      </c>
      <c r="X469">
        <v>0</v>
      </c>
      <c r="Y469">
        <v>0</v>
      </c>
      <c r="Z469">
        <v>0</v>
      </c>
      <c r="AA469">
        <v>0</v>
      </c>
      <c r="AB469">
        <v>1358.2440000000001</v>
      </c>
      <c r="AC469" s="2043">
        <v>376174640</v>
      </c>
      <c r="AD469">
        <v>1032779</v>
      </c>
      <c r="AE469" s="2043">
        <v>3515295</v>
      </c>
      <c r="AF469">
        <v>1.0517000000000001</v>
      </c>
      <c r="AG469">
        <v>0</v>
      </c>
      <c r="AH469">
        <v>0</v>
      </c>
      <c r="AI469">
        <v>0</v>
      </c>
      <c r="AJ469">
        <v>150.33799999999999</v>
      </c>
      <c r="AK469">
        <v>5434</v>
      </c>
      <c r="AL469">
        <v>0.19900000000000001</v>
      </c>
      <c r="AM469">
        <v>0</v>
      </c>
      <c r="AN469">
        <v>39.642000000000003</v>
      </c>
      <c r="AO469">
        <v>0</v>
      </c>
      <c r="AP469">
        <v>4.0419999999999998</v>
      </c>
      <c r="AQ469">
        <v>0</v>
      </c>
      <c r="AR469">
        <v>31.799000000000003</v>
      </c>
      <c r="AS469">
        <v>0</v>
      </c>
      <c r="AT469">
        <v>11.25</v>
      </c>
      <c r="AU469">
        <v>3.5570000000000004</v>
      </c>
      <c r="AV469">
        <v>0</v>
      </c>
      <c r="AW469">
        <v>50.847000000000001</v>
      </c>
      <c r="AX469">
        <v>0</v>
      </c>
      <c r="AY469">
        <v>158.84</v>
      </c>
      <c r="AZ469">
        <v>0</v>
      </c>
      <c r="BA469">
        <v>11175645</v>
      </c>
      <c r="BB469">
        <v>4548074</v>
      </c>
      <c r="BC469">
        <v>0</v>
      </c>
      <c r="BD469">
        <v>17793</v>
      </c>
      <c r="BE469">
        <v>24345</v>
      </c>
      <c r="BF469">
        <v>42138</v>
      </c>
      <c r="BG469">
        <v>17793</v>
      </c>
      <c r="BH469">
        <v>0</v>
      </c>
      <c r="BI469">
        <v>0</v>
      </c>
      <c r="BJ469">
        <v>0</v>
      </c>
      <c r="BK469">
        <v>0</v>
      </c>
      <c r="BL469">
        <v>369680700</v>
      </c>
      <c r="BM469">
        <v>0</v>
      </c>
      <c r="BN469">
        <v>5553</v>
      </c>
      <c r="BO469">
        <v>3916</v>
      </c>
      <c r="BP469">
        <v>0</v>
      </c>
      <c r="BQ469">
        <v>0</v>
      </c>
      <c r="BR469">
        <v>0.91339999999999999</v>
      </c>
      <c r="BS469">
        <v>0.91339999999999999</v>
      </c>
      <c r="BT469">
        <v>0</v>
      </c>
      <c r="BU469">
        <v>0</v>
      </c>
      <c r="BV469">
        <v>18</v>
      </c>
      <c r="BW469">
        <v>561</v>
      </c>
      <c r="BX469">
        <v>32</v>
      </c>
      <c r="BY469">
        <v>14</v>
      </c>
      <c r="BZ469">
        <v>5</v>
      </c>
      <c r="CA469">
        <v>630</v>
      </c>
      <c r="CB469">
        <v>0</v>
      </c>
      <c r="CC469">
        <v>0</v>
      </c>
      <c r="CD469">
        <v>0</v>
      </c>
      <c r="CE469">
        <v>116</v>
      </c>
      <c r="CF469">
        <v>190.92700000000002</v>
      </c>
      <c r="CG469">
        <v>0</v>
      </c>
      <c r="CH469">
        <v>0</v>
      </c>
      <c r="CI469">
        <v>3</v>
      </c>
      <c r="CJ469">
        <v>23</v>
      </c>
      <c r="CK469">
        <v>0</v>
      </c>
      <c r="CL469">
        <v>0</v>
      </c>
      <c r="CM469">
        <v>15.498000000000001</v>
      </c>
      <c r="CN469">
        <v>0</v>
      </c>
      <c r="CO469">
        <v>0</v>
      </c>
      <c r="CP469">
        <v>0</v>
      </c>
      <c r="CQ469">
        <v>0</v>
      </c>
      <c r="CR469">
        <v>0</v>
      </c>
      <c r="CS469">
        <v>0</v>
      </c>
      <c r="CT469">
        <v>0</v>
      </c>
      <c r="CU469">
        <v>0</v>
      </c>
      <c r="CV469">
        <v>92.00200000000001</v>
      </c>
      <c r="CW469">
        <v>51.274000000000001</v>
      </c>
      <c r="CX469">
        <v>0</v>
      </c>
      <c r="CY469" s="2043">
        <v>0</v>
      </c>
      <c r="CZ469" s="2043">
        <v>0</v>
      </c>
      <c r="DA469" s="2043">
        <v>0</v>
      </c>
      <c r="DB469" s="2043">
        <v>0</v>
      </c>
      <c r="DC469" s="2043">
        <v>0</v>
      </c>
      <c r="DI469" t="s">
        <v>8506</v>
      </c>
      <c r="DJ469" t="s">
        <v>5053</v>
      </c>
      <c r="DK469" s="2042">
        <f t="shared" si="9"/>
        <v>42</v>
      </c>
    </row>
    <row r="470" spans="1:115">
      <c r="A470" t="s">
        <v>5054</v>
      </c>
      <c r="B470" t="s">
        <v>2496</v>
      </c>
      <c r="C470">
        <v>835.697</v>
      </c>
      <c r="D470">
        <v>842.58199999999999</v>
      </c>
      <c r="E470">
        <v>32.980000000000004</v>
      </c>
      <c r="F470">
        <v>0</v>
      </c>
      <c r="G470" s="2043">
        <v>841522390</v>
      </c>
      <c r="H470">
        <v>0</v>
      </c>
      <c r="I470" s="2043">
        <v>1876610</v>
      </c>
      <c r="J470">
        <v>41.785000000000004</v>
      </c>
      <c r="K470">
        <v>114</v>
      </c>
      <c r="L470">
        <v>0</v>
      </c>
      <c r="M470">
        <v>0</v>
      </c>
      <c r="N470">
        <v>0</v>
      </c>
      <c r="O470">
        <v>0</v>
      </c>
      <c r="P470">
        <v>0</v>
      </c>
      <c r="Q470">
        <v>0</v>
      </c>
      <c r="R470" s="2043">
        <v>6979403</v>
      </c>
      <c r="S470">
        <v>421716</v>
      </c>
      <c r="T470">
        <v>0</v>
      </c>
      <c r="U470">
        <v>0.05</v>
      </c>
      <c r="V470">
        <v>0</v>
      </c>
      <c r="W470">
        <v>0</v>
      </c>
      <c r="X470">
        <v>0</v>
      </c>
      <c r="Y470">
        <v>0</v>
      </c>
      <c r="Z470">
        <v>0</v>
      </c>
      <c r="AA470">
        <v>0</v>
      </c>
      <c r="AB470">
        <v>829.55100000000004</v>
      </c>
      <c r="AC470" s="2043">
        <v>645482341</v>
      </c>
      <c r="AD470">
        <v>1887709</v>
      </c>
      <c r="AE470" s="2043">
        <v>7401119</v>
      </c>
      <c r="AF470">
        <v>0.87750000000000006</v>
      </c>
      <c r="AG470">
        <v>0</v>
      </c>
      <c r="AH470">
        <v>0</v>
      </c>
      <c r="AI470">
        <v>0</v>
      </c>
      <c r="AJ470">
        <v>86.7</v>
      </c>
      <c r="AK470">
        <v>4464</v>
      </c>
      <c r="AL470">
        <v>0</v>
      </c>
      <c r="AM470">
        <v>0</v>
      </c>
      <c r="AN470">
        <v>27.418000000000003</v>
      </c>
      <c r="AO470">
        <v>0</v>
      </c>
      <c r="AP470">
        <v>0</v>
      </c>
      <c r="AQ470">
        <v>0</v>
      </c>
      <c r="AR470">
        <v>30.757000000000001</v>
      </c>
      <c r="AS470">
        <v>0</v>
      </c>
      <c r="AT470">
        <v>3.9740000000000002</v>
      </c>
      <c r="AU470">
        <v>1.96</v>
      </c>
      <c r="AV470">
        <v>0</v>
      </c>
      <c r="AW470">
        <v>36.691000000000003</v>
      </c>
      <c r="AX470">
        <v>0</v>
      </c>
      <c r="AY470">
        <v>113.99300000000001</v>
      </c>
      <c r="AZ470">
        <v>0</v>
      </c>
      <c r="BA470">
        <v>2591798</v>
      </c>
      <c r="BB470">
        <v>9288828</v>
      </c>
      <c r="BC470">
        <v>0</v>
      </c>
      <c r="BD470">
        <v>113737</v>
      </c>
      <c r="BE470">
        <v>27378</v>
      </c>
      <c r="BF470">
        <v>141115</v>
      </c>
      <c r="BG470">
        <v>113737</v>
      </c>
      <c r="BH470">
        <v>0</v>
      </c>
      <c r="BI470">
        <v>0</v>
      </c>
      <c r="BJ470">
        <v>0</v>
      </c>
      <c r="BK470">
        <v>0</v>
      </c>
      <c r="BL470">
        <v>841522390</v>
      </c>
      <c r="BM470">
        <v>0</v>
      </c>
      <c r="BN470">
        <v>3258</v>
      </c>
      <c r="BO470">
        <v>2515</v>
      </c>
      <c r="BP470">
        <v>214730</v>
      </c>
      <c r="BQ470">
        <v>0</v>
      </c>
      <c r="BR470">
        <v>0.82750000000000001</v>
      </c>
      <c r="BS470">
        <v>0.82750000000000001</v>
      </c>
      <c r="BT470">
        <v>0</v>
      </c>
      <c r="BU470">
        <v>0</v>
      </c>
      <c r="BV470">
        <v>40</v>
      </c>
      <c r="BW470">
        <v>312</v>
      </c>
      <c r="BX470">
        <v>8</v>
      </c>
      <c r="BY470">
        <v>4</v>
      </c>
      <c r="BZ470">
        <v>2</v>
      </c>
      <c r="CA470">
        <v>366</v>
      </c>
      <c r="CB470">
        <v>0</v>
      </c>
      <c r="CC470">
        <v>0</v>
      </c>
      <c r="CD470">
        <v>0</v>
      </c>
      <c r="CE470">
        <v>101</v>
      </c>
      <c r="CF470">
        <v>125.15</v>
      </c>
      <c r="CG470">
        <v>0</v>
      </c>
      <c r="CH470">
        <v>0</v>
      </c>
      <c r="CI470">
        <v>1</v>
      </c>
      <c r="CJ470">
        <v>4</v>
      </c>
      <c r="CK470">
        <v>0</v>
      </c>
      <c r="CL470">
        <v>0</v>
      </c>
      <c r="CM470">
        <v>32.980000000000004</v>
      </c>
      <c r="CN470">
        <v>170562</v>
      </c>
      <c r="CO470">
        <v>33966</v>
      </c>
      <c r="CP470">
        <v>5702</v>
      </c>
      <c r="CQ470">
        <v>4500</v>
      </c>
      <c r="CR470">
        <v>0</v>
      </c>
      <c r="CS470">
        <v>0</v>
      </c>
      <c r="CT470">
        <v>0</v>
      </c>
      <c r="CU470">
        <v>0</v>
      </c>
      <c r="CV470">
        <v>51.102000000000004</v>
      </c>
      <c r="CW470">
        <v>34.149000000000001</v>
      </c>
      <c r="CX470">
        <v>0</v>
      </c>
      <c r="CY470" s="2043">
        <v>0</v>
      </c>
      <c r="CZ470" s="2043">
        <v>0</v>
      </c>
      <c r="DA470" s="2043">
        <v>0</v>
      </c>
      <c r="DB470" s="2043">
        <v>0</v>
      </c>
      <c r="DC470" s="2043">
        <v>225596</v>
      </c>
      <c r="DI470" t="s">
        <v>5054</v>
      </c>
      <c r="DJ470" t="s">
        <v>5054</v>
      </c>
      <c r="DK470" s="2042">
        <f t="shared" si="9"/>
        <v>0</v>
      </c>
    </row>
    <row r="471" spans="1:115">
      <c r="A471" t="s">
        <v>3011</v>
      </c>
      <c r="B471" t="s">
        <v>2497</v>
      </c>
      <c r="C471">
        <v>511.86800000000005</v>
      </c>
      <c r="D471">
        <v>495.2</v>
      </c>
      <c r="E471">
        <v>5.8120000000000003</v>
      </c>
      <c r="F471">
        <v>0</v>
      </c>
      <c r="G471" s="2043">
        <v>439945206</v>
      </c>
      <c r="H471">
        <v>0</v>
      </c>
      <c r="I471" s="2043">
        <v>608000</v>
      </c>
      <c r="J471">
        <v>24</v>
      </c>
      <c r="K471">
        <v>66</v>
      </c>
      <c r="L471">
        <v>0</v>
      </c>
      <c r="M471">
        <v>119954</v>
      </c>
      <c r="N471">
        <v>0</v>
      </c>
      <c r="O471">
        <v>119954</v>
      </c>
      <c r="P471">
        <v>0</v>
      </c>
      <c r="Q471">
        <v>0</v>
      </c>
      <c r="R471" s="2043">
        <v>3095702</v>
      </c>
      <c r="S471">
        <v>188303</v>
      </c>
      <c r="T471">
        <v>0</v>
      </c>
      <c r="U471">
        <v>0.05</v>
      </c>
      <c r="V471">
        <v>0</v>
      </c>
      <c r="W471">
        <v>0</v>
      </c>
      <c r="X471">
        <v>0</v>
      </c>
      <c r="Y471">
        <v>0</v>
      </c>
      <c r="Z471">
        <v>0</v>
      </c>
      <c r="AA471">
        <v>0</v>
      </c>
      <c r="AB471">
        <v>495.2</v>
      </c>
      <c r="AC471" s="2043">
        <v>350118123</v>
      </c>
      <c r="AD471">
        <v>640230</v>
      </c>
      <c r="AE471" s="2043">
        <v>3284005</v>
      </c>
      <c r="AF471">
        <v>0.872</v>
      </c>
      <c r="AG471">
        <v>0</v>
      </c>
      <c r="AH471">
        <v>0</v>
      </c>
      <c r="AI471">
        <v>0</v>
      </c>
      <c r="AJ471">
        <v>45.25</v>
      </c>
      <c r="AK471">
        <v>3327</v>
      </c>
      <c r="AL471">
        <v>0</v>
      </c>
      <c r="AM471">
        <v>0</v>
      </c>
      <c r="AN471">
        <v>18.368000000000002</v>
      </c>
      <c r="AO471">
        <v>0</v>
      </c>
      <c r="AP471">
        <v>0</v>
      </c>
      <c r="AQ471">
        <v>0</v>
      </c>
      <c r="AR471">
        <v>21.513000000000002</v>
      </c>
      <c r="AS471">
        <v>0</v>
      </c>
      <c r="AT471">
        <v>2.2370000000000001</v>
      </c>
      <c r="AU471">
        <v>1.623</v>
      </c>
      <c r="AV471">
        <v>0</v>
      </c>
      <c r="AW471">
        <v>25.373000000000001</v>
      </c>
      <c r="AX471">
        <v>0</v>
      </c>
      <c r="AY471">
        <v>79.365000000000009</v>
      </c>
      <c r="AZ471">
        <v>0</v>
      </c>
      <c r="BA471">
        <v>2513011</v>
      </c>
      <c r="BB471">
        <v>3924235</v>
      </c>
      <c r="BC471">
        <v>0</v>
      </c>
      <c r="BD471">
        <v>66534</v>
      </c>
      <c r="BE471">
        <v>8505</v>
      </c>
      <c r="BF471">
        <v>75039</v>
      </c>
      <c r="BG471">
        <v>66534</v>
      </c>
      <c r="BH471">
        <v>0</v>
      </c>
      <c r="BI471">
        <v>0</v>
      </c>
      <c r="BJ471">
        <v>0</v>
      </c>
      <c r="BK471">
        <v>0</v>
      </c>
      <c r="BL471">
        <v>439945206</v>
      </c>
      <c r="BM471">
        <v>0</v>
      </c>
      <c r="BN471">
        <v>1566</v>
      </c>
      <c r="BO471">
        <v>984</v>
      </c>
      <c r="BP471">
        <v>0</v>
      </c>
      <c r="BQ471">
        <v>0</v>
      </c>
      <c r="BR471">
        <v>0.82200000000000006</v>
      </c>
      <c r="BS471">
        <v>0.82200000000000006</v>
      </c>
      <c r="BT471">
        <v>0</v>
      </c>
      <c r="BU471">
        <v>0</v>
      </c>
      <c r="BV471">
        <v>97</v>
      </c>
      <c r="BW471">
        <v>88</v>
      </c>
      <c r="BX471">
        <v>9</v>
      </c>
      <c r="BY471">
        <v>0</v>
      </c>
      <c r="BZ471">
        <v>1</v>
      </c>
      <c r="CA471">
        <v>195</v>
      </c>
      <c r="CB471">
        <v>0</v>
      </c>
      <c r="CC471">
        <v>0</v>
      </c>
      <c r="CD471">
        <v>0</v>
      </c>
      <c r="CE471">
        <v>39</v>
      </c>
      <c r="CF471">
        <v>63.951000000000001</v>
      </c>
      <c r="CG471">
        <v>0</v>
      </c>
      <c r="CH471">
        <v>0</v>
      </c>
      <c r="CI471">
        <v>3</v>
      </c>
      <c r="CJ471">
        <v>4</v>
      </c>
      <c r="CK471">
        <v>0</v>
      </c>
      <c r="CL471">
        <v>0</v>
      </c>
      <c r="CM471">
        <v>5.8120000000000003</v>
      </c>
      <c r="CN471">
        <v>0</v>
      </c>
      <c r="CO471">
        <v>0</v>
      </c>
      <c r="CP471">
        <v>0</v>
      </c>
      <c r="CQ471">
        <v>0</v>
      </c>
      <c r="CR471">
        <v>0</v>
      </c>
      <c r="CS471">
        <v>0</v>
      </c>
      <c r="CT471">
        <v>0</v>
      </c>
      <c r="CU471">
        <v>0</v>
      </c>
      <c r="CV471">
        <v>29.133000000000003</v>
      </c>
      <c r="CW471">
        <v>12.288</v>
      </c>
      <c r="CX471">
        <v>0</v>
      </c>
      <c r="CY471" s="2043">
        <v>0</v>
      </c>
      <c r="CZ471" s="2043">
        <v>0</v>
      </c>
      <c r="DA471" s="2043">
        <v>0</v>
      </c>
      <c r="DB471" s="2043">
        <v>0</v>
      </c>
      <c r="DC471" s="2043">
        <v>0</v>
      </c>
      <c r="DI471" t="s">
        <v>3011</v>
      </c>
      <c r="DJ471" t="s">
        <v>3011</v>
      </c>
      <c r="DK471" s="2042">
        <f t="shared" si="9"/>
        <v>0</v>
      </c>
    </row>
    <row r="472" spans="1:115">
      <c r="A472" t="s">
        <v>5055</v>
      </c>
      <c r="B472" t="s">
        <v>2498</v>
      </c>
      <c r="C472">
        <v>2695.672</v>
      </c>
      <c r="D472">
        <v>2587.556</v>
      </c>
      <c r="E472">
        <v>646.33800000000008</v>
      </c>
      <c r="F472">
        <v>0</v>
      </c>
      <c r="G472" s="2043">
        <v>2119795939</v>
      </c>
      <c r="H472">
        <v>0</v>
      </c>
      <c r="I472" s="2043">
        <v>5694308</v>
      </c>
      <c r="J472">
        <v>122</v>
      </c>
      <c r="K472">
        <v>334</v>
      </c>
      <c r="L472">
        <v>0</v>
      </c>
      <c r="M472">
        <v>0</v>
      </c>
      <c r="N472">
        <v>0</v>
      </c>
      <c r="O472">
        <v>0</v>
      </c>
      <c r="P472">
        <v>0</v>
      </c>
      <c r="Q472">
        <v>0</v>
      </c>
      <c r="R472" s="2043">
        <v>17795162</v>
      </c>
      <c r="S472">
        <v>1018613</v>
      </c>
      <c r="T472">
        <v>0</v>
      </c>
      <c r="U472">
        <v>0.05</v>
      </c>
      <c r="V472">
        <v>0</v>
      </c>
      <c r="W472">
        <v>0</v>
      </c>
      <c r="X472">
        <v>0</v>
      </c>
      <c r="Y472">
        <v>-9806</v>
      </c>
      <c r="Z472">
        <v>0</v>
      </c>
      <c r="AA472">
        <v>0.71100000000000008</v>
      </c>
      <c r="AB472">
        <v>2587.556</v>
      </c>
      <c r="AC472" s="2043">
        <v>1828760692</v>
      </c>
      <c r="AD472">
        <v>6559495</v>
      </c>
      <c r="AE472" s="2043">
        <v>18813775</v>
      </c>
      <c r="AF472">
        <v>0.9235000000000001</v>
      </c>
      <c r="AG472">
        <v>0</v>
      </c>
      <c r="AH472">
        <v>0</v>
      </c>
      <c r="AI472">
        <v>0</v>
      </c>
      <c r="AJ472">
        <v>576.06299999999999</v>
      </c>
      <c r="AK472">
        <v>13049</v>
      </c>
      <c r="AL472">
        <v>0.13</v>
      </c>
      <c r="AM472">
        <v>0</v>
      </c>
      <c r="AN472">
        <v>103.527</v>
      </c>
      <c r="AO472">
        <v>0</v>
      </c>
      <c r="AP472">
        <v>4.093</v>
      </c>
      <c r="AQ472">
        <v>0</v>
      </c>
      <c r="AR472">
        <v>101.244</v>
      </c>
      <c r="AS472">
        <v>0</v>
      </c>
      <c r="AT472">
        <v>24.737000000000002</v>
      </c>
      <c r="AU472">
        <v>6.093</v>
      </c>
      <c r="AV472">
        <v>0</v>
      </c>
      <c r="AW472">
        <v>136.297</v>
      </c>
      <c r="AX472">
        <v>0</v>
      </c>
      <c r="AY472">
        <v>420.10900000000004</v>
      </c>
      <c r="AZ472">
        <v>0</v>
      </c>
      <c r="BA472">
        <v>8932483</v>
      </c>
      <c r="BB472">
        <v>25373270</v>
      </c>
      <c r="BC472">
        <v>0</v>
      </c>
      <c r="BD472">
        <v>418127</v>
      </c>
      <c r="BE472">
        <v>146340</v>
      </c>
      <c r="BF472">
        <v>581085</v>
      </c>
      <c r="BG472">
        <v>418127</v>
      </c>
      <c r="BH472">
        <v>16618</v>
      </c>
      <c r="BI472">
        <v>0</v>
      </c>
      <c r="BJ472">
        <v>-9806</v>
      </c>
      <c r="BK472">
        <v>0</v>
      </c>
      <c r="BL472">
        <v>2119795939</v>
      </c>
      <c r="BM472">
        <v>0</v>
      </c>
      <c r="BN472">
        <v>9081</v>
      </c>
      <c r="BO472">
        <v>6955</v>
      </c>
      <c r="BP472">
        <v>0</v>
      </c>
      <c r="BQ472">
        <v>0</v>
      </c>
      <c r="BR472">
        <v>0.87350000000000005</v>
      </c>
      <c r="BS472">
        <v>0.87350000000000005</v>
      </c>
      <c r="BT472">
        <v>0</v>
      </c>
      <c r="BU472">
        <v>0</v>
      </c>
      <c r="BV472">
        <v>722</v>
      </c>
      <c r="BW472">
        <v>186</v>
      </c>
      <c r="BX472">
        <v>748</v>
      </c>
      <c r="BY472">
        <v>365</v>
      </c>
      <c r="BZ472">
        <v>315</v>
      </c>
      <c r="CA472">
        <v>2336</v>
      </c>
      <c r="CB472">
        <v>0</v>
      </c>
      <c r="CC472">
        <v>0</v>
      </c>
      <c r="CD472">
        <v>0</v>
      </c>
      <c r="CE472">
        <v>234</v>
      </c>
      <c r="CF472">
        <v>850.91</v>
      </c>
      <c r="CG472">
        <v>13.008000000000001</v>
      </c>
      <c r="CH472">
        <v>0</v>
      </c>
      <c r="CI472">
        <v>9</v>
      </c>
      <c r="CJ472">
        <v>9</v>
      </c>
      <c r="CK472">
        <v>0</v>
      </c>
      <c r="CL472">
        <v>13.008000000000001</v>
      </c>
      <c r="CM472">
        <v>646.33800000000008</v>
      </c>
      <c r="CN472">
        <v>0</v>
      </c>
      <c r="CO472">
        <v>0</v>
      </c>
      <c r="CP472">
        <v>0</v>
      </c>
      <c r="CQ472">
        <v>0</v>
      </c>
      <c r="CR472">
        <v>0</v>
      </c>
      <c r="CS472">
        <v>0</v>
      </c>
      <c r="CT472">
        <v>0</v>
      </c>
      <c r="CU472">
        <v>17.564</v>
      </c>
      <c r="CV472">
        <v>171.822</v>
      </c>
      <c r="CW472">
        <v>116.911</v>
      </c>
      <c r="CX472">
        <v>0</v>
      </c>
      <c r="CY472" s="2043">
        <v>0</v>
      </c>
      <c r="CZ472" s="2043">
        <v>0</v>
      </c>
      <c r="DA472" s="2043">
        <v>0</v>
      </c>
      <c r="DB472" s="2043">
        <v>0</v>
      </c>
      <c r="DC472" s="2043">
        <v>532243</v>
      </c>
      <c r="DI472" t="s">
        <v>5055</v>
      </c>
      <c r="DJ472" t="s">
        <v>5055</v>
      </c>
      <c r="DK472" s="2042">
        <f t="shared" si="9"/>
        <v>0</v>
      </c>
    </row>
    <row r="473" spans="1:115">
      <c r="A473" t="s">
        <v>3012</v>
      </c>
      <c r="B473" t="s">
        <v>467</v>
      </c>
      <c r="C473">
        <v>6298.6450000000004</v>
      </c>
      <c r="D473">
        <v>6381.7830000000004</v>
      </c>
      <c r="E473">
        <v>375.86799999999999</v>
      </c>
      <c r="F473">
        <v>0</v>
      </c>
      <c r="G473" s="2043">
        <v>4133098899</v>
      </c>
      <c r="H473">
        <v>0</v>
      </c>
      <c r="I473" s="2043">
        <v>13116865</v>
      </c>
      <c r="J473">
        <v>314.93200000000002</v>
      </c>
      <c r="K473">
        <v>861</v>
      </c>
      <c r="L473">
        <v>0</v>
      </c>
      <c r="M473">
        <v>2361132</v>
      </c>
      <c r="N473">
        <v>0</v>
      </c>
      <c r="O473">
        <v>2361132</v>
      </c>
      <c r="P473">
        <v>0</v>
      </c>
      <c r="Q473">
        <v>0</v>
      </c>
      <c r="R473" s="2043">
        <v>34160427</v>
      </c>
      <c r="S473">
        <v>2441193</v>
      </c>
      <c r="T473">
        <v>0</v>
      </c>
      <c r="U473">
        <v>0.06</v>
      </c>
      <c r="V473">
        <v>0</v>
      </c>
      <c r="W473">
        <v>0</v>
      </c>
      <c r="X473">
        <v>0</v>
      </c>
      <c r="Y473">
        <v>0</v>
      </c>
      <c r="Z473">
        <v>0</v>
      </c>
      <c r="AA473">
        <v>2.2000000000000002E-2</v>
      </c>
      <c r="AB473">
        <v>6325.9610000000002</v>
      </c>
      <c r="AC473" s="2043">
        <v>3538332390</v>
      </c>
      <c r="AD473">
        <v>15612867</v>
      </c>
      <c r="AE473" s="2043">
        <v>36601620</v>
      </c>
      <c r="AF473">
        <v>0.89960000000000007</v>
      </c>
      <c r="AG473">
        <v>0</v>
      </c>
      <c r="AH473">
        <v>0</v>
      </c>
      <c r="AI473">
        <v>0</v>
      </c>
      <c r="AJ473">
        <v>1191.675</v>
      </c>
      <c r="AK473">
        <v>24200</v>
      </c>
      <c r="AL473">
        <v>0.222</v>
      </c>
      <c r="AM473">
        <v>0</v>
      </c>
      <c r="AN473">
        <v>263.23599999999999</v>
      </c>
      <c r="AO473">
        <v>0.2</v>
      </c>
      <c r="AP473">
        <v>14.853000000000002</v>
      </c>
      <c r="AQ473">
        <v>2.464</v>
      </c>
      <c r="AR473">
        <v>146.429</v>
      </c>
      <c r="AS473">
        <v>0</v>
      </c>
      <c r="AT473">
        <v>64.48</v>
      </c>
      <c r="AU473">
        <v>16.335000000000001</v>
      </c>
      <c r="AV473">
        <v>0</v>
      </c>
      <c r="AW473">
        <v>244.78300000000002</v>
      </c>
      <c r="AX473">
        <v>0</v>
      </c>
      <c r="AY473">
        <v>755.61500000000001</v>
      </c>
      <c r="AZ473">
        <v>0</v>
      </c>
      <c r="BA473">
        <v>22988795</v>
      </c>
      <c r="BB473">
        <v>52214487</v>
      </c>
      <c r="BC473">
        <v>0</v>
      </c>
      <c r="BD473">
        <v>604814</v>
      </c>
      <c r="BE473">
        <v>242695</v>
      </c>
      <c r="BF473">
        <v>850798</v>
      </c>
      <c r="BG473">
        <v>604814</v>
      </c>
      <c r="BH473">
        <v>3289</v>
      </c>
      <c r="BI473">
        <v>0</v>
      </c>
      <c r="BJ473">
        <v>0</v>
      </c>
      <c r="BK473">
        <v>0</v>
      </c>
      <c r="BL473">
        <v>4133098899</v>
      </c>
      <c r="BM473">
        <v>0</v>
      </c>
      <c r="BN473">
        <v>24939</v>
      </c>
      <c r="BO473">
        <v>8432</v>
      </c>
      <c r="BP473">
        <v>0</v>
      </c>
      <c r="BQ473">
        <v>0</v>
      </c>
      <c r="BR473">
        <v>0.83960000000000001</v>
      </c>
      <c r="BS473">
        <v>0.83960000000000001</v>
      </c>
      <c r="BT473">
        <v>0</v>
      </c>
      <c r="BU473">
        <v>0</v>
      </c>
      <c r="BV473">
        <v>984</v>
      </c>
      <c r="BW473">
        <v>1351</v>
      </c>
      <c r="BX473">
        <v>1003</v>
      </c>
      <c r="BY473">
        <v>645</v>
      </c>
      <c r="BZ473">
        <v>834</v>
      </c>
      <c r="CA473">
        <v>4817</v>
      </c>
      <c r="CB473">
        <v>0</v>
      </c>
      <c r="CC473">
        <v>324.84800000000001</v>
      </c>
      <c r="CD473">
        <v>68.75</v>
      </c>
      <c r="CE473">
        <v>349</v>
      </c>
      <c r="CF473">
        <v>1639.9350000000002</v>
      </c>
      <c r="CG473">
        <v>60.526000000000003</v>
      </c>
      <c r="CH473">
        <v>0.56400000000000006</v>
      </c>
      <c r="CI473">
        <v>2</v>
      </c>
      <c r="CJ473">
        <v>21</v>
      </c>
      <c r="CK473">
        <v>1</v>
      </c>
      <c r="CL473">
        <v>61.09</v>
      </c>
      <c r="CM473">
        <v>375.86799999999999</v>
      </c>
      <c r="CN473">
        <v>0</v>
      </c>
      <c r="CO473">
        <v>0</v>
      </c>
      <c r="CP473">
        <v>0</v>
      </c>
      <c r="CQ473">
        <v>0</v>
      </c>
      <c r="CR473">
        <v>0</v>
      </c>
      <c r="CS473">
        <v>0</v>
      </c>
      <c r="CT473">
        <v>0</v>
      </c>
      <c r="CU473">
        <v>1.288</v>
      </c>
      <c r="CV473">
        <v>201.72</v>
      </c>
      <c r="CW473">
        <v>121.06500000000001</v>
      </c>
      <c r="CX473">
        <v>0</v>
      </c>
      <c r="CY473" s="2043">
        <v>0</v>
      </c>
      <c r="CZ473" s="2043">
        <v>0</v>
      </c>
      <c r="DA473" s="2043">
        <v>0</v>
      </c>
      <c r="DB473" s="2043">
        <v>0</v>
      </c>
      <c r="DC473" s="2043">
        <v>40000</v>
      </c>
      <c r="DI473" t="s">
        <v>5806</v>
      </c>
      <c r="DJ473" t="s">
        <v>3012</v>
      </c>
      <c r="DK473" s="2042">
        <f t="shared" si="9"/>
        <v>-996</v>
      </c>
    </row>
    <row r="474" spans="1:115">
      <c r="A474" t="s">
        <v>5806</v>
      </c>
      <c r="B474" t="s">
        <v>2023</v>
      </c>
      <c r="C474">
        <v>188.42100000000002</v>
      </c>
      <c r="D474">
        <v>168.548</v>
      </c>
      <c r="E474">
        <v>0</v>
      </c>
      <c r="F474">
        <v>0</v>
      </c>
      <c r="G474" s="2043">
        <v>204574654</v>
      </c>
      <c r="H474">
        <v>0</v>
      </c>
      <c r="I474" s="2043">
        <v>0</v>
      </c>
      <c r="J474">
        <v>0</v>
      </c>
      <c r="K474">
        <v>0</v>
      </c>
      <c r="L474">
        <v>0</v>
      </c>
      <c r="M474">
        <v>0</v>
      </c>
      <c r="N474">
        <v>0</v>
      </c>
      <c r="O474">
        <v>0</v>
      </c>
      <c r="P474">
        <v>0</v>
      </c>
      <c r="Q474">
        <v>0</v>
      </c>
      <c r="R474" s="2043">
        <v>1724150</v>
      </c>
      <c r="S474">
        <v>125850</v>
      </c>
      <c r="T474">
        <v>0</v>
      </c>
      <c r="U474">
        <v>0.06</v>
      </c>
      <c r="V474">
        <v>0</v>
      </c>
      <c r="W474">
        <v>0</v>
      </c>
      <c r="X474">
        <v>0</v>
      </c>
      <c r="Y474">
        <v>0</v>
      </c>
      <c r="Z474">
        <v>0</v>
      </c>
      <c r="AA474">
        <v>0</v>
      </c>
      <c r="AB474">
        <v>168.548</v>
      </c>
      <c r="AC474" s="2043">
        <v>165532646</v>
      </c>
      <c r="AD474">
        <v>375000</v>
      </c>
      <c r="AE474" s="2043">
        <v>1850000</v>
      </c>
      <c r="AF474">
        <v>0.88200000000000001</v>
      </c>
      <c r="AG474">
        <v>0</v>
      </c>
      <c r="AH474">
        <v>0</v>
      </c>
      <c r="AI474">
        <v>0</v>
      </c>
      <c r="AJ474">
        <v>19.813000000000002</v>
      </c>
      <c r="AK474">
        <v>980</v>
      </c>
      <c r="AL474">
        <v>0</v>
      </c>
      <c r="AM474">
        <v>0</v>
      </c>
      <c r="AN474">
        <v>12.007000000000001</v>
      </c>
      <c r="AO474">
        <v>0</v>
      </c>
      <c r="AP474">
        <v>0</v>
      </c>
      <c r="AQ474">
        <v>0</v>
      </c>
      <c r="AR474">
        <v>2.617</v>
      </c>
      <c r="AS474">
        <v>0</v>
      </c>
      <c r="AT474">
        <v>0.95700000000000007</v>
      </c>
      <c r="AU474">
        <v>0.59300000000000008</v>
      </c>
      <c r="AV474">
        <v>0</v>
      </c>
      <c r="AW474">
        <v>4.1669999999999998</v>
      </c>
      <c r="AX474">
        <v>0</v>
      </c>
      <c r="AY474">
        <v>13.687000000000001</v>
      </c>
      <c r="AZ474">
        <v>0</v>
      </c>
      <c r="BA474">
        <v>689415</v>
      </c>
      <c r="BB474">
        <v>2225000</v>
      </c>
      <c r="BC474">
        <v>0</v>
      </c>
      <c r="BD474">
        <v>23736</v>
      </c>
      <c r="BE474">
        <v>0</v>
      </c>
      <c r="BF474">
        <v>23736</v>
      </c>
      <c r="BG474">
        <v>23736</v>
      </c>
      <c r="BH474">
        <v>0</v>
      </c>
      <c r="BI474">
        <v>0</v>
      </c>
      <c r="BJ474">
        <v>0</v>
      </c>
      <c r="BK474">
        <v>0</v>
      </c>
      <c r="BL474">
        <v>204574654</v>
      </c>
      <c r="BM474">
        <v>0</v>
      </c>
      <c r="BN474">
        <v>684</v>
      </c>
      <c r="BO474">
        <v>514</v>
      </c>
      <c r="BP474">
        <v>0</v>
      </c>
      <c r="BQ474">
        <v>0</v>
      </c>
      <c r="BR474">
        <v>0.82200000000000006</v>
      </c>
      <c r="BS474">
        <v>0.82200000000000006</v>
      </c>
      <c r="BT474">
        <v>0</v>
      </c>
      <c r="BU474">
        <v>0</v>
      </c>
      <c r="BV474">
        <v>41</v>
      </c>
      <c r="BW474">
        <v>36</v>
      </c>
      <c r="BX474">
        <v>6</v>
      </c>
      <c r="BY474">
        <v>1</v>
      </c>
      <c r="BZ474">
        <v>1</v>
      </c>
      <c r="CA474">
        <v>85</v>
      </c>
      <c r="CB474">
        <v>0</v>
      </c>
      <c r="CC474">
        <v>0</v>
      </c>
      <c r="CD474">
        <v>0</v>
      </c>
      <c r="CE474">
        <v>12</v>
      </c>
      <c r="CF474">
        <v>17.740000000000002</v>
      </c>
      <c r="CG474">
        <v>0</v>
      </c>
      <c r="CH474">
        <v>0</v>
      </c>
      <c r="CI474">
        <v>0</v>
      </c>
      <c r="CJ474">
        <v>0</v>
      </c>
      <c r="CK474">
        <v>0</v>
      </c>
      <c r="CL474">
        <v>0</v>
      </c>
      <c r="CM474">
        <v>0</v>
      </c>
      <c r="CN474">
        <v>0</v>
      </c>
      <c r="CO474">
        <v>0</v>
      </c>
      <c r="CP474">
        <v>0</v>
      </c>
      <c r="CQ474">
        <v>0</v>
      </c>
      <c r="CR474">
        <v>0</v>
      </c>
      <c r="CS474">
        <v>0</v>
      </c>
      <c r="CT474">
        <v>0</v>
      </c>
      <c r="CU474">
        <v>6.5660000000000007</v>
      </c>
      <c r="CV474">
        <v>11.672000000000001</v>
      </c>
      <c r="CW474">
        <v>1.492</v>
      </c>
      <c r="CX474">
        <v>0</v>
      </c>
      <c r="CY474" s="2043">
        <v>0</v>
      </c>
      <c r="CZ474" s="2043">
        <v>0</v>
      </c>
      <c r="DA474" s="2043">
        <v>0</v>
      </c>
      <c r="DB474" s="2043">
        <v>0</v>
      </c>
      <c r="DC474" s="2043">
        <v>0</v>
      </c>
      <c r="DI474" t="s">
        <v>3012</v>
      </c>
      <c r="DJ474" t="s">
        <v>5806</v>
      </c>
      <c r="DK474" s="2042">
        <f t="shared" si="9"/>
        <v>996</v>
      </c>
    </row>
    <row r="475" spans="1:115">
      <c r="A475" t="s">
        <v>3013</v>
      </c>
      <c r="B475" t="s">
        <v>465</v>
      </c>
      <c r="C475">
        <v>14902.113000000001</v>
      </c>
      <c r="D475">
        <v>15208.514999999999</v>
      </c>
      <c r="E475">
        <v>315.50800000000004</v>
      </c>
      <c r="F475">
        <v>0</v>
      </c>
      <c r="G475" s="2043">
        <v>6826742418</v>
      </c>
      <c r="H475">
        <v>0</v>
      </c>
      <c r="I475" s="2043">
        <v>24965581</v>
      </c>
      <c r="J475">
        <v>745.10599999999999</v>
      </c>
      <c r="K475">
        <v>2037</v>
      </c>
      <c r="L475">
        <v>0</v>
      </c>
      <c r="M475">
        <v>3516735</v>
      </c>
      <c r="N475">
        <v>0</v>
      </c>
      <c r="O475">
        <v>3516735</v>
      </c>
      <c r="P475">
        <v>0</v>
      </c>
      <c r="Q475">
        <v>0</v>
      </c>
      <c r="R475" s="2043">
        <v>57352886</v>
      </c>
      <c r="S475">
        <v>3375685</v>
      </c>
      <c r="T475">
        <v>0</v>
      </c>
      <c r="U475">
        <v>0.05</v>
      </c>
      <c r="V475">
        <v>0</v>
      </c>
      <c r="W475">
        <v>0</v>
      </c>
      <c r="X475">
        <v>0</v>
      </c>
      <c r="Y475">
        <v>-12201</v>
      </c>
      <c r="Z475">
        <v>0</v>
      </c>
      <c r="AA475">
        <v>0.38500000000000001</v>
      </c>
      <c r="AB475">
        <v>15119.124</v>
      </c>
      <c r="AC475" s="2043">
        <v>5934033367</v>
      </c>
      <c r="AD475">
        <v>31687201</v>
      </c>
      <c r="AE475" s="2043">
        <v>60728571</v>
      </c>
      <c r="AF475">
        <v>0.89950000000000008</v>
      </c>
      <c r="AG475">
        <v>0</v>
      </c>
      <c r="AH475">
        <v>0</v>
      </c>
      <c r="AI475">
        <v>0</v>
      </c>
      <c r="AJ475">
        <v>1202.288</v>
      </c>
      <c r="AK475">
        <v>53892</v>
      </c>
      <c r="AL475">
        <v>2.08</v>
      </c>
      <c r="AM475">
        <v>0</v>
      </c>
      <c r="AN475">
        <v>998.03500000000008</v>
      </c>
      <c r="AO475">
        <v>0</v>
      </c>
      <c r="AP475">
        <v>8.3830000000000009</v>
      </c>
      <c r="AQ475">
        <v>0</v>
      </c>
      <c r="AR475">
        <v>186.73699999999999</v>
      </c>
      <c r="AS475">
        <v>0</v>
      </c>
      <c r="AT475">
        <v>147.59</v>
      </c>
      <c r="AU475">
        <v>38.554000000000002</v>
      </c>
      <c r="AV475">
        <v>0</v>
      </c>
      <c r="AW475">
        <v>384.67900000000003</v>
      </c>
      <c r="AX475">
        <v>1.335</v>
      </c>
      <c r="AY475">
        <v>1231.856</v>
      </c>
      <c r="AZ475">
        <v>0</v>
      </c>
      <c r="BA475">
        <v>67389098</v>
      </c>
      <c r="BB475">
        <v>92415772</v>
      </c>
      <c r="BC475">
        <v>0</v>
      </c>
      <c r="BD475">
        <v>768252</v>
      </c>
      <c r="BE475">
        <v>341172</v>
      </c>
      <c r="BF475">
        <v>1147459</v>
      </c>
      <c r="BG475">
        <v>768252</v>
      </c>
      <c r="BH475">
        <v>38035</v>
      </c>
      <c r="BI475">
        <v>0</v>
      </c>
      <c r="BJ475">
        <v>-12201</v>
      </c>
      <c r="BK475">
        <v>0</v>
      </c>
      <c r="BL475">
        <v>6826742418</v>
      </c>
      <c r="BM475">
        <v>0</v>
      </c>
      <c r="BN475">
        <v>61929</v>
      </c>
      <c r="BO475">
        <v>34978</v>
      </c>
      <c r="BP475">
        <v>0</v>
      </c>
      <c r="BQ475">
        <v>0</v>
      </c>
      <c r="BR475">
        <v>0.84950000000000003</v>
      </c>
      <c r="BS475">
        <v>0.84950000000000003</v>
      </c>
      <c r="BT475">
        <v>0</v>
      </c>
      <c r="BU475">
        <v>0</v>
      </c>
      <c r="BV475">
        <v>3467</v>
      </c>
      <c r="BW475">
        <v>346</v>
      </c>
      <c r="BX475">
        <v>1138</v>
      </c>
      <c r="BY475">
        <v>1</v>
      </c>
      <c r="BZ475">
        <v>201</v>
      </c>
      <c r="CA475">
        <v>5153</v>
      </c>
      <c r="CB475">
        <v>0</v>
      </c>
      <c r="CC475">
        <v>222.31400000000002</v>
      </c>
      <c r="CD475">
        <v>61.012</v>
      </c>
      <c r="CE475">
        <v>1205</v>
      </c>
      <c r="CF475">
        <v>1602.338</v>
      </c>
      <c r="CG475">
        <v>88.879000000000005</v>
      </c>
      <c r="CH475">
        <v>0</v>
      </c>
      <c r="CI475">
        <v>34</v>
      </c>
      <c r="CJ475">
        <v>255</v>
      </c>
      <c r="CK475">
        <v>2</v>
      </c>
      <c r="CL475">
        <v>88.879000000000005</v>
      </c>
      <c r="CM475">
        <v>315.50800000000004</v>
      </c>
      <c r="CN475">
        <v>0</v>
      </c>
      <c r="CO475">
        <v>0</v>
      </c>
      <c r="CP475">
        <v>0</v>
      </c>
      <c r="CQ475">
        <v>0</v>
      </c>
      <c r="CR475">
        <v>0</v>
      </c>
      <c r="CS475">
        <v>0</v>
      </c>
      <c r="CT475">
        <v>0</v>
      </c>
      <c r="CU475">
        <v>1.8220000000000001</v>
      </c>
      <c r="CV475">
        <v>656.33500000000004</v>
      </c>
      <c r="CW475">
        <v>376.416</v>
      </c>
      <c r="CX475">
        <v>0</v>
      </c>
      <c r="CY475" s="2043">
        <v>0</v>
      </c>
      <c r="CZ475" s="2043">
        <v>0</v>
      </c>
      <c r="DA475" s="2043">
        <v>0</v>
      </c>
      <c r="DB475" s="2043">
        <v>0</v>
      </c>
      <c r="DC475" s="2043">
        <v>0</v>
      </c>
      <c r="DI475" t="s">
        <v>3013</v>
      </c>
      <c r="DJ475" t="s">
        <v>3013</v>
      </c>
      <c r="DK475" s="2042">
        <f t="shared" si="9"/>
        <v>0</v>
      </c>
    </row>
    <row r="476" spans="1:115">
      <c r="A476" t="s">
        <v>3014</v>
      </c>
      <c r="B476" t="s">
        <v>2024</v>
      </c>
      <c r="C476">
        <v>1883.08</v>
      </c>
      <c r="D476">
        <v>1837.816</v>
      </c>
      <c r="E476">
        <v>75.989000000000004</v>
      </c>
      <c r="F476">
        <v>0</v>
      </c>
      <c r="G476" s="2043">
        <v>1222304206</v>
      </c>
      <c r="H476">
        <v>0</v>
      </c>
      <c r="I476" s="2043">
        <v>2287984</v>
      </c>
      <c r="J476">
        <v>94.154000000000011</v>
      </c>
      <c r="K476">
        <v>257</v>
      </c>
      <c r="L476">
        <v>0</v>
      </c>
      <c r="M476">
        <v>388765</v>
      </c>
      <c r="N476">
        <v>0</v>
      </c>
      <c r="O476">
        <v>388765</v>
      </c>
      <c r="P476">
        <v>0</v>
      </c>
      <c r="Q476">
        <v>0</v>
      </c>
      <c r="R476" s="2043">
        <v>10247124</v>
      </c>
      <c r="S476">
        <v>976731</v>
      </c>
      <c r="T476">
        <v>316216</v>
      </c>
      <c r="U476">
        <v>0.08</v>
      </c>
      <c r="V476">
        <v>0</v>
      </c>
      <c r="W476">
        <v>0</v>
      </c>
      <c r="X476">
        <v>0</v>
      </c>
      <c r="Y476">
        <v>0</v>
      </c>
      <c r="Z476">
        <v>0</v>
      </c>
      <c r="AA476">
        <v>0</v>
      </c>
      <c r="AB476">
        <v>1782.7640000000001</v>
      </c>
      <c r="AC476" s="2043">
        <v>1042876938</v>
      </c>
      <c r="AD476">
        <v>2922177</v>
      </c>
      <c r="AE476" s="2043">
        <v>11540071</v>
      </c>
      <c r="AF476">
        <v>0.94520000000000004</v>
      </c>
      <c r="AG476">
        <v>0</v>
      </c>
      <c r="AH476">
        <v>0</v>
      </c>
      <c r="AI476">
        <v>0</v>
      </c>
      <c r="AJ476">
        <v>126.125</v>
      </c>
      <c r="AK476">
        <v>7078</v>
      </c>
      <c r="AL476">
        <v>0.14500000000000002</v>
      </c>
      <c r="AM476">
        <v>0</v>
      </c>
      <c r="AN476">
        <v>106.479</v>
      </c>
      <c r="AO476">
        <v>0</v>
      </c>
      <c r="AP476">
        <v>0</v>
      </c>
      <c r="AQ476">
        <v>0</v>
      </c>
      <c r="AR476">
        <v>38.883000000000003</v>
      </c>
      <c r="AS476">
        <v>0</v>
      </c>
      <c r="AT476">
        <v>11.200000000000001</v>
      </c>
      <c r="AU476">
        <v>3.0010000000000003</v>
      </c>
      <c r="AV476">
        <v>0</v>
      </c>
      <c r="AW476">
        <v>53.228999999999999</v>
      </c>
      <c r="AX476">
        <v>0</v>
      </c>
      <c r="AY476">
        <v>165.97900000000001</v>
      </c>
      <c r="AZ476">
        <v>0</v>
      </c>
      <c r="BA476">
        <v>6908434</v>
      </c>
      <c r="BB476">
        <v>14462248</v>
      </c>
      <c r="BC476">
        <v>0</v>
      </c>
      <c r="BD476">
        <v>116950</v>
      </c>
      <c r="BE476">
        <v>30214</v>
      </c>
      <c r="BF476">
        <v>147164</v>
      </c>
      <c r="BG476">
        <v>116950</v>
      </c>
      <c r="BH476">
        <v>0</v>
      </c>
      <c r="BI476">
        <v>0</v>
      </c>
      <c r="BJ476">
        <v>0</v>
      </c>
      <c r="BK476">
        <v>0</v>
      </c>
      <c r="BL476">
        <v>1222304206</v>
      </c>
      <c r="BM476">
        <v>0</v>
      </c>
      <c r="BN476">
        <v>7353</v>
      </c>
      <c r="BO476">
        <v>6046</v>
      </c>
      <c r="BP476">
        <v>0</v>
      </c>
      <c r="BQ476">
        <v>0</v>
      </c>
      <c r="BR476">
        <v>0.83930000000000005</v>
      </c>
      <c r="BS476">
        <v>0.83930000000000005</v>
      </c>
      <c r="BT476">
        <v>0</v>
      </c>
      <c r="BU476">
        <v>0</v>
      </c>
      <c r="BV476">
        <v>376</v>
      </c>
      <c r="BW476">
        <v>100</v>
      </c>
      <c r="BX476">
        <v>69</v>
      </c>
      <c r="BY476">
        <v>2</v>
      </c>
      <c r="BZ476">
        <v>0</v>
      </c>
      <c r="CA476">
        <v>547</v>
      </c>
      <c r="CB476">
        <v>0</v>
      </c>
      <c r="CC476">
        <v>0</v>
      </c>
      <c r="CD476">
        <v>0</v>
      </c>
      <c r="CE476">
        <v>170</v>
      </c>
      <c r="CF476">
        <v>191.62800000000001</v>
      </c>
      <c r="CG476">
        <v>0</v>
      </c>
      <c r="CH476">
        <v>0</v>
      </c>
      <c r="CI476">
        <v>3</v>
      </c>
      <c r="CJ476">
        <v>25</v>
      </c>
      <c r="CK476">
        <v>1</v>
      </c>
      <c r="CL476">
        <v>0</v>
      </c>
      <c r="CM476">
        <v>75.989000000000004</v>
      </c>
      <c r="CN476">
        <v>0</v>
      </c>
      <c r="CO476">
        <v>0</v>
      </c>
      <c r="CP476">
        <v>0</v>
      </c>
      <c r="CQ476">
        <v>0</v>
      </c>
      <c r="CR476">
        <v>0</v>
      </c>
      <c r="CS476">
        <v>0</v>
      </c>
      <c r="CT476">
        <v>0</v>
      </c>
      <c r="CU476">
        <v>0.30399999999999999</v>
      </c>
      <c r="CV476">
        <v>77.933000000000007</v>
      </c>
      <c r="CW476">
        <v>98.51100000000001</v>
      </c>
      <c r="CX476">
        <v>0</v>
      </c>
      <c r="CY476" s="2043">
        <v>0</v>
      </c>
      <c r="CZ476" s="2043">
        <v>0</v>
      </c>
      <c r="DA476" s="2043">
        <v>0</v>
      </c>
      <c r="DB476" s="2043">
        <v>0</v>
      </c>
      <c r="DC476" s="2043">
        <v>0</v>
      </c>
      <c r="DI476" t="s">
        <v>3014</v>
      </c>
      <c r="DJ476" t="s">
        <v>3014</v>
      </c>
      <c r="DK476" s="2042">
        <f t="shared" si="9"/>
        <v>0</v>
      </c>
    </row>
    <row r="477" spans="1:115">
      <c r="A477" t="s">
        <v>3993</v>
      </c>
      <c r="B477" t="s">
        <v>332</v>
      </c>
      <c r="C477">
        <v>1394.623</v>
      </c>
      <c r="D477">
        <v>1371.6220000000001</v>
      </c>
      <c r="E477">
        <v>82.516000000000005</v>
      </c>
      <c r="F477">
        <v>0</v>
      </c>
      <c r="G477" s="2043">
        <v>935931164</v>
      </c>
      <c r="H477">
        <v>0</v>
      </c>
      <c r="I477" s="2043">
        <v>2192773</v>
      </c>
      <c r="J477">
        <v>69.731000000000009</v>
      </c>
      <c r="K477">
        <v>191</v>
      </c>
      <c r="L477">
        <v>0</v>
      </c>
      <c r="M477">
        <v>0</v>
      </c>
      <c r="N477">
        <v>0</v>
      </c>
      <c r="O477">
        <v>0</v>
      </c>
      <c r="P477">
        <v>0</v>
      </c>
      <c r="Q477">
        <v>0</v>
      </c>
      <c r="R477" s="2043">
        <v>7624257</v>
      </c>
      <c r="S477">
        <v>742020</v>
      </c>
      <c r="T477">
        <v>540747</v>
      </c>
      <c r="U477">
        <v>0.08</v>
      </c>
      <c r="V477">
        <v>0</v>
      </c>
      <c r="W477">
        <v>0</v>
      </c>
      <c r="X477">
        <v>0</v>
      </c>
      <c r="Y477">
        <v>0</v>
      </c>
      <c r="Z477">
        <v>0</v>
      </c>
      <c r="AA477">
        <v>0</v>
      </c>
      <c r="AB477">
        <v>1371.6220000000001</v>
      </c>
      <c r="AC477" s="2043">
        <v>711484833</v>
      </c>
      <c r="AD477">
        <v>3330614</v>
      </c>
      <c r="AE477" s="2043">
        <v>8907024</v>
      </c>
      <c r="AF477">
        <v>0.96030000000000004</v>
      </c>
      <c r="AG477">
        <v>0</v>
      </c>
      <c r="AH477">
        <v>0</v>
      </c>
      <c r="AI477">
        <v>0</v>
      </c>
      <c r="AJ477">
        <v>145.6</v>
      </c>
      <c r="AK477">
        <v>6710</v>
      </c>
      <c r="AL477">
        <v>0.14300000000000002</v>
      </c>
      <c r="AM477">
        <v>0</v>
      </c>
      <c r="AN477">
        <v>78.725000000000009</v>
      </c>
      <c r="AO477">
        <v>0</v>
      </c>
      <c r="AP477">
        <v>0</v>
      </c>
      <c r="AQ477">
        <v>4.9950000000000001</v>
      </c>
      <c r="AR477">
        <v>34.859000000000002</v>
      </c>
      <c r="AS477">
        <v>0</v>
      </c>
      <c r="AT477">
        <v>7.202</v>
      </c>
      <c r="AU477">
        <v>3.4370000000000003</v>
      </c>
      <c r="AV477">
        <v>0</v>
      </c>
      <c r="AW477">
        <v>50.636000000000003</v>
      </c>
      <c r="AX477">
        <v>0</v>
      </c>
      <c r="AY477">
        <v>144.083</v>
      </c>
      <c r="AZ477">
        <v>0</v>
      </c>
      <c r="BA477">
        <v>6664197</v>
      </c>
      <c r="BB477">
        <v>12237638</v>
      </c>
      <c r="BC477">
        <v>0</v>
      </c>
      <c r="BD477">
        <v>119774</v>
      </c>
      <c r="BE477">
        <v>27697</v>
      </c>
      <c r="BF477">
        <v>147471</v>
      </c>
      <c r="BG477">
        <v>119774</v>
      </c>
      <c r="BH477">
        <v>0</v>
      </c>
      <c r="BI477">
        <v>0</v>
      </c>
      <c r="BJ477">
        <v>0</v>
      </c>
      <c r="BK477">
        <v>0</v>
      </c>
      <c r="BL477">
        <v>935931164</v>
      </c>
      <c r="BM477">
        <v>0</v>
      </c>
      <c r="BN477">
        <v>5508</v>
      </c>
      <c r="BO477">
        <v>4248</v>
      </c>
      <c r="BP477">
        <v>0</v>
      </c>
      <c r="BQ477">
        <v>0</v>
      </c>
      <c r="BR477">
        <v>0.82200000000000006</v>
      </c>
      <c r="BS477">
        <v>0.82200000000000006</v>
      </c>
      <c r="BT477">
        <v>0</v>
      </c>
      <c r="BU477">
        <v>0</v>
      </c>
      <c r="BV477">
        <v>229</v>
      </c>
      <c r="BW477">
        <v>315</v>
      </c>
      <c r="BX477">
        <v>76</v>
      </c>
      <c r="BY477">
        <v>1</v>
      </c>
      <c r="BZ477">
        <v>0</v>
      </c>
      <c r="CA477">
        <v>621</v>
      </c>
      <c r="CB477">
        <v>0</v>
      </c>
      <c r="CC477">
        <v>0</v>
      </c>
      <c r="CD477">
        <v>0</v>
      </c>
      <c r="CE477">
        <v>127</v>
      </c>
      <c r="CF477">
        <v>202.12100000000001</v>
      </c>
      <c r="CG477">
        <v>0</v>
      </c>
      <c r="CH477">
        <v>5.0630000000000006</v>
      </c>
      <c r="CI477">
        <v>3</v>
      </c>
      <c r="CJ477">
        <v>10</v>
      </c>
      <c r="CK477">
        <v>0</v>
      </c>
      <c r="CL477">
        <v>5.0630000000000006</v>
      </c>
      <c r="CM477">
        <v>82.516000000000005</v>
      </c>
      <c r="CN477">
        <v>0</v>
      </c>
      <c r="CO477">
        <v>0</v>
      </c>
      <c r="CP477">
        <v>0</v>
      </c>
      <c r="CQ477">
        <v>0</v>
      </c>
      <c r="CR477">
        <v>0</v>
      </c>
      <c r="CS477">
        <v>0</v>
      </c>
      <c r="CT477">
        <v>0</v>
      </c>
      <c r="CU477">
        <v>0.22900000000000001</v>
      </c>
      <c r="CV477">
        <v>87.215000000000003</v>
      </c>
      <c r="CW477">
        <v>65.921999999999997</v>
      </c>
      <c r="CX477">
        <v>0</v>
      </c>
      <c r="CY477" s="2043">
        <v>0</v>
      </c>
      <c r="CZ477" s="2043">
        <v>0</v>
      </c>
      <c r="DA477" s="2043">
        <v>0</v>
      </c>
      <c r="DB477" s="2043">
        <v>0</v>
      </c>
      <c r="DC477" s="2043">
        <v>0</v>
      </c>
      <c r="DI477" t="s">
        <v>3993</v>
      </c>
      <c r="DJ477" t="s">
        <v>3993</v>
      </c>
      <c r="DK477" s="2042">
        <f t="shared" si="9"/>
        <v>0</v>
      </c>
    </row>
    <row r="478" spans="1:115">
      <c r="A478" t="s">
        <v>5056</v>
      </c>
      <c r="B478" t="s">
        <v>2025</v>
      </c>
      <c r="C478">
        <v>762.93100000000004</v>
      </c>
      <c r="D478">
        <v>788.52100000000007</v>
      </c>
      <c r="E478">
        <v>13.974</v>
      </c>
      <c r="F478">
        <v>0</v>
      </c>
      <c r="G478" s="2043">
        <v>465947826</v>
      </c>
      <c r="H478">
        <v>0</v>
      </c>
      <c r="I478" s="2043">
        <v>1638818</v>
      </c>
      <c r="J478">
        <v>38.146999999999998</v>
      </c>
      <c r="K478">
        <v>104</v>
      </c>
      <c r="L478">
        <v>0</v>
      </c>
      <c r="M478">
        <v>0</v>
      </c>
      <c r="N478">
        <v>0</v>
      </c>
      <c r="O478">
        <v>0</v>
      </c>
      <c r="P478">
        <v>0</v>
      </c>
      <c r="Q478">
        <v>0</v>
      </c>
      <c r="R478" s="2043">
        <v>4208990</v>
      </c>
      <c r="S478">
        <v>368644</v>
      </c>
      <c r="T478">
        <v>268649</v>
      </c>
      <c r="U478">
        <v>0.08</v>
      </c>
      <c r="V478">
        <v>0</v>
      </c>
      <c r="W478">
        <v>0</v>
      </c>
      <c r="X478">
        <v>0</v>
      </c>
      <c r="Y478">
        <v>0</v>
      </c>
      <c r="Z478">
        <v>0</v>
      </c>
      <c r="AA478">
        <v>0</v>
      </c>
      <c r="AB478">
        <v>759.846</v>
      </c>
      <c r="AC478" s="2043">
        <v>625245279</v>
      </c>
      <c r="AD478">
        <v>1520367</v>
      </c>
      <c r="AE478" s="2043">
        <v>4846283</v>
      </c>
      <c r="AF478">
        <v>1.0517000000000001</v>
      </c>
      <c r="AG478">
        <v>0</v>
      </c>
      <c r="AH478">
        <v>0</v>
      </c>
      <c r="AI478">
        <v>0</v>
      </c>
      <c r="AJ478">
        <v>103.575</v>
      </c>
      <c r="AK478">
        <v>2807</v>
      </c>
      <c r="AL478">
        <v>0</v>
      </c>
      <c r="AM478">
        <v>0</v>
      </c>
      <c r="AN478">
        <v>16.971</v>
      </c>
      <c r="AO478">
        <v>0</v>
      </c>
      <c r="AP478">
        <v>4.2960000000000003</v>
      </c>
      <c r="AQ478">
        <v>0</v>
      </c>
      <c r="AR478">
        <v>18.067</v>
      </c>
      <c r="AS478">
        <v>0</v>
      </c>
      <c r="AT478">
        <v>0.26900000000000002</v>
      </c>
      <c r="AU478">
        <v>0.86699999999999999</v>
      </c>
      <c r="AV478">
        <v>0</v>
      </c>
      <c r="AW478">
        <v>23.499000000000002</v>
      </c>
      <c r="AX478">
        <v>0</v>
      </c>
      <c r="AY478">
        <v>70.942000000000007</v>
      </c>
      <c r="AZ478">
        <v>0</v>
      </c>
      <c r="BA478">
        <v>4653264</v>
      </c>
      <c r="BB478">
        <v>6366650</v>
      </c>
      <c r="BC478">
        <v>0</v>
      </c>
      <c r="BD478">
        <v>31399</v>
      </c>
      <c r="BE478">
        <v>0</v>
      </c>
      <c r="BF478">
        <v>31399</v>
      </c>
      <c r="BG478">
        <v>31399</v>
      </c>
      <c r="BH478">
        <v>0</v>
      </c>
      <c r="BI478">
        <v>0</v>
      </c>
      <c r="BJ478">
        <v>0</v>
      </c>
      <c r="BK478">
        <v>0</v>
      </c>
      <c r="BL478">
        <v>465947826</v>
      </c>
      <c r="BM478">
        <v>0</v>
      </c>
      <c r="BN478">
        <v>2826</v>
      </c>
      <c r="BO478">
        <v>2194</v>
      </c>
      <c r="BP478">
        <v>0</v>
      </c>
      <c r="BQ478">
        <v>0</v>
      </c>
      <c r="BR478">
        <v>0.91339999999999999</v>
      </c>
      <c r="BS478">
        <v>0.91339999999999999</v>
      </c>
      <c r="BT478">
        <v>0</v>
      </c>
      <c r="BU478">
        <v>0</v>
      </c>
      <c r="BV478">
        <v>134</v>
      </c>
      <c r="BW478">
        <v>118</v>
      </c>
      <c r="BX478">
        <v>6</v>
      </c>
      <c r="BY478">
        <v>162</v>
      </c>
      <c r="BZ478">
        <v>5</v>
      </c>
      <c r="CA478">
        <v>425</v>
      </c>
      <c r="CB478">
        <v>0</v>
      </c>
      <c r="CC478">
        <v>0</v>
      </c>
      <c r="CD478">
        <v>0</v>
      </c>
      <c r="CE478">
        <v>54</v>
      </c>
      <c r="CF478">
        <v>133.25700000000001</v>
      </c>
      <c r="CG478">
        <v>0</v>
      </c>
      <c r="CH478">
        <v>0</v>
      </c>
      <c r="CI478">
        <v>8</v>
      </c>
      <c r="CJ478">
        <v>25</v>
      </c>
      <c r="CK478">
        <v>0</v>
      </c>
      <c r="CL478">
        <v>0</v>
      </c>
      <c r="CM478">
        <v>13.974</v>
      </c>
      <c r="CN478">
        <v>0</v>
      </c>
      <c r="CO478">
        <v>0</v>
      </c>
      <c r="CP478">
        <v>0</v>
      </c>
      <c r="CQ478">
        <v>0</v>
      </c>
      <c r="CR478">
        <v>0</v>
      </c>
      <c r="CS478">
        <v>0</v>
      </c>
      <c r="CT478">
        <v>0</v>
      </c>
      <c r="CU478">
        <v>0</v>
      </c>
      <c r="CV478">
        <v>41.379000000000005</v>
      </c>
      <c r="CW478">
        <v>22.874000000000002</v>
      </c>
      <c r="CX478">
        <v>0</v>
      </c>
      <c r="CY478" s="2043">
        <v>0</v>
      </c>
      <c r="CZ478" s="2043">
        <v>0</v>
      </c>
      <c r="DA478" s="2043">
        <v>0</v>
      </c>
      <c r="DB478" s="2043">
        <v>0</v>
      </c>
      <c r="DC478" s="2043">
        <v>0</v>
      </c>
      <c r="DI478" t="s">
        <v>5056</v>
      </c>
      <c r="DJ478" t="s">
        <v>5056</v>
      </c>
      <c r="DK478" s="2042">
        <f t="shared" si="9"/>
        <v>0</v>
      </c>
    </row>
    <row r="479" spans="1:115">
      <c r="A479" t="s">
        <v>5807</v>
      </c>
      <c r="B479" t="s">
        <v>2026</v>
      </c>
      <c r="C479">
        <v>91.154000000000011</v>
      </c>
      <c r="D479">
        <v>86.871000000000009</v>
      </c>
      <c r="E479">
        <v>3.649</v>
      </c>
      <c r="F479">
        <v>0</v>
      </c>
      <c r="G479" s="2043">
        <v>47329935</v>
      </c>
      <c r="H479">
        <v>0</v>
      </c>
      <c r="I479" s="2043">
        <v>0</v>
      </c>
      <c r="J479">
        <v>4.5579999999999998</v>
      </c>
      <c r="K479">
        <v>12</v>
      </c>
      <c r="L479">
        <v>0</v>
      </c>
      <c r="M479">
        <v>0</v>
      </c>
      <c r="N479">
        <v>0</v>
      </c>
      <c r="O479">
        <v>0</v>
      </c>
      <c r="P479">
        <v>0</v>
      </c>
      <c r="Q479">
        <v>0</v>
      </c>
      <c r="R479" s="2043">
        <v>392754</v>
      </c>
      <c r="S479">
        <v>38224</v>
      </c>
      <c r="T479">
        <v>22648</v>
      </c>
      <c r="U479">
        <v>0.08</v>
      </c>
      <c r="V479">
        <v>0</v>
      </c>
      <c r="W479">
        <v>0</v>
      </c>
      <c r="X479">
        <v>0</v>
      </c>
      <c r="Y479">
        <v>0</v>
      </c>
      <c r="Z479">
        <v>0</v>
      </c>
      <c r="AA479">
        <v>0</v>
      </c>
      <c r="AB479">
        <v>90</v>
      </c>
      <c r="AC479" s="2043">
        <v>38734215</v>
      </c>
      <c r="AD479">
        <v>0</v>
      </c>
      <c r="AE479" s="2043">
        <v>453626</v>
      </c>
      <c r="AF479">
        <v>0.94940000000000002</v>
      </c>
      <c r="AG479">
        <v>0</v>
      </c>
      <c r="AH479">
        <v>0</v>
      </c>
      <c r="AI479">
        <v>0</v>
      </c>
      <c r="AJ479">
        <v>15.05</v>
      </c>
      <c r="AK479">
        <v>587</v>
      </c>
      <c r="AL479">
        <v>0</v>
      </c>
      <c r="AM479">
        <v>0</v>
      </c>
      <c r="AN479">
        <v>10.34</v>
      </c>
      <c r="AO479">
        <v>0</v>
      </c>
      <c r="AP479">
        <v>0</v>
      </c>
      <c r="AQ479">
        <v>0</v>
      </c>
      <c r="AR479">
        <v>1.341</v>
      </c>
      <c r="AS479">
        <v>0</v>
      </c>
      <c r="AT479">
        <v>0</v>
      </c>
      <c r="AU479">
        <v>8.1000000000000003E-2</v>
      </c>
      <c r="AV479">
        <v>0</v>
      </c>
      <c r="AW479">
        <v>1.4220000000000002</v>
      </c>
      <c r="AX479">
        <v>0</v>
      </c>
      <c r="AY479">
        <v>4.4279999999999999</v>
      </c>
      <c r="AZ479">
        <v>0</v>
      </c>
      <c r="BA479">
        <v>1613160</v>
      </c>
      <c r="BB479">
        <v>453626</v>
      </c>
      <c r="BC479">
        <v>0</v>
      </c>
      <c r="BD479">
        <v>25102</v>
      </c>
      <c r="BE479">
        <v>0</v>
      </c>
      <c r="BF479">
        <v>25102</v>
      </c>
      <c r="BG479">
        <v>25102</v>
      </c>
      <c r="BH479">
        <v>0</v>
      </c>
      <c r="BI479">
        <v>0</v>
      </c>
      <c r="BJ479">
        <v>0</v>
      </c>
      <c r="BK479">
        <v>0</v>
      </c>
      <c r="BL479">
        <v>47329935</v>
      </c>
      <c r="BM479">
        <v>0</v>
      </c>
      <c r="BN479">
        <v>450</v>
      </c>
      <c r="BO479">
        <v>332</v>
      </c>
      <c r="BP479">
        <v>0</v>
      </c>
      <c r="BQ479">
        <v>0</v>
      </c>
      <c r="BR479">
        <v>0.82200000000000006</v>
      </c>
      <c r="BS479">
        <v>0.82200000000000006</v>
      </c>
      <c r="BT479">
        <v>0</v>
      </c>
      <c r="BU479">
        <v>0</v>
      </c>
      <c r="BV479">
        <v>2</v>
      </c>
      <c r="BW479">
        <v>33</v>
      </c>
      <c r="BX479">
        <v>26</v>
      </c>
      <c r="BY479">
        <v>1</v>
      </c>
      <c r="BZ479">
        <v>0</v>
      </c>
      <c r="CA479">
        <v>62</v>
      </c>
      <c r="CB479">
        <v>0</v>
      </c>
      <c r="CC479">
        <v>0</v>
      </c>
      <c r="CD479">
        <v>0</v>
      </c>
      <c r="CE479">
        <v>2</v>
      </c>
      <c r="CF479">
        <v>18.321000000000002</v>
      </c>
      <c r="CG479">
        <v>0</v>
      </c>
      <c r="CH479">
        <v>0</v>
      </c>
      <c r="CI479">
        <v>2</v>
      </c>
      <c r="CJ479">
        <v>1</v>
      </c>
      <c r="CK479">
        <v>0</v>
      </c>
      <c r="CL479">
        <v>0</v>
      </c>
      <c r="CM479">
        <v>3.649</v>
      </c>
      <c r="CN479">
        <v>0</v>
      </c>
      <c r="CO479">
        <v>0</v>
      </c>
      <c r="CP479">
        <v>0</v>
      </c>
      <c r="CQ479">
        <v>0</v>
      </c>
      <c r="CR479">
        <v>0</v>
      </c>
      <c r="CS479">
        <v>0</v>
      </c>
      <c r="CT479">
        <v>0</v>
      </c>
      <c r="CU479">
        <v>0.9830000000000001</v>
      </c>
      <c r="CV479">
        <v>5.0570000000000004</v>
      </c>
      <c r="CW479">
        <v>7.7040000000000006</v>
      </c>
      <c r="CX479">
        <v>0</v>
      </c>
      <c r="CY479" s="2043">
        <v>0</v>
      </c>
      <c r="CZ479" s="2043">
        <v>0</v>
      </c>
      <c r="DA479" s="2043">
        <v>0</v>
      </c>
      <c r="DB479" s="2043">
        <v>0</v>
      </c>
      <c r="DC479" s="2043">
        <v>0</v>
      </c>
      <c r="DI479" t="s">
        <v>5807</v>
      </c>
      <c r="DJ479" t="s">
        <v>5807</v>
      </c>
      <c r="DK479" s="2042">
        <f t="shared" si="9"/>
        <v>0</v>
      </c>
    </row>
    <row r="480" spans="1:115">
      <c r="A480" t="s">
        <v>5057</v>
      </c>
      <c r="B480" t="s">
        <v>476</v>
      </c>
      <c r="C480">
        <v>531.80100000000004</v>
      </c>
      <c r="D480">
        <v>590.55799999999999</v>
      </c>
      <c r="E480">
        <v>49.100999999999999</v>
      </c>
      <c r="F480">
        <v>0</v>
      </c>
      <c r="G480" s="2043">
        <v>102630278</v>
      </c>
      <c r="H480">
        <v>0</v>
      </c>
      <c r="I480" s="2043">
        <v>550925</v>
      </c>
      <c r="J480">
        <v>7</v>
      </c>
      <c r="K480">
        <v>19</v>
      </c>
      <c r="L480">
        <v>0</v>
      </c>
      <c r="M480">
        <v>0</v>
      </c>
      <c r="N480">
        <v>0</v>
      </c>
      <c r="O480">
        <v>0</v>
      </c>
      <c r="P480">
        <v>0</v>
      </c>
      <c r="Q480">
        <v>0</v>
      </c>
      <c r="R480" s="2043">
        <v>913778</v>
      </c>
      <c r="S480">
        <v>81578</v>
      </c>
      <c r="T480">
        <v>59450</v>
      </c>
      <c r="U480">
        <v>0.08</v>
      </c>
      <c r="V480">
        <v>0</v>
      </c>
      <c r="W480">
        <v>0</v>
      </c>
      <c r="X480">
        <v>0</v>
      </c>
      <c r="Y480">
        <v>0</v>
      </c>
      <c r="Z480">
        <v>0</v>
      </c>
      <c r="AA480">
        <v>0.03</v>
      </c>
      <c r="AB480">
        <v>549.82600000000002</v>
      </c>
      <c r="AC480" s="2043">
        <v>95299640</v>
      </c>
      <c r="AD480">
        <v>287678</v>
      </c>
      <c r="AE480" s="2043">
        <v>1054806</v>
      </c>
      <c r="AF480">
        <v>1.0344</v>
      </c>
      <c r="AG480">
        <v>0</v>
      </c>
      <c r="AH480">
        <v>0</v>
      </c>
      <c r="AI480">
        <v>0</v>
      </c>
      <c r="AJ480">
        <v>99.7</v>
      </c>
      <c r="AK480">
        <v>2092</v>
      </c>
      <c r="AL480">
        <v>0</v>
      </c>
      <c r="AM480">
        <v>0</v>
      </c>
      <c r="AN480">
        <v>8.8879999999999999</v>
      </c>
      <c r="AO480">
        <v>0</v>
      </c>
      <c r="AP480">
        <v>1.018</v>
      </c>
      <c r="AQ480">
        <v>0</v>
      </c>
      <c r="AR480">
        <v>15.633000000000001</v>
      </c>
      <c r="AS480">
        <v>0</v>
      </c>
      <c r="AT480">
        <v>0</v>
      </c>
      <c r="AU480">
        <v>0.60799999999999998</v>
      </c>
      <c r="AV480">
        <v>0</v>
      </c>
      <c r="AW480">
        <v>17.259</v>
      </c>
      <c r="AX480">
        <v>0</v>
      </c>
      <c r="AY480">
        <v>52.688000000000002</v>
      </c>
      <c r="AZ480">
        <v>0</v>
      </c>
      <c r="BA480">
        <v>6609855</v>
      </c>
      <c r="BB480">
        <v>1342484</v>
      </c>
      <c r="BC480">
        <v>0</v>
      </c>
      <c r="BD480">
        <v>26553</v>
      </c>
      <c r="BE480">
        <v>0</v>
      </c>
      <c r="BF480">
        <v>26553</v>
      </c>
      <c r="BG480">
        <v>26553</v>
      </c>
      <c r="BH480">
        <v>0</v>
      </c>
      <c r="BI480">
        <v>0</v>
      </c>
      <c r="BJ480">
        <v>0</v>
      </c>
      <c r="BK480">
        <v>0</v>
      </c>
      <c r="BL480">
        <v>102630278</v>
      </c>
      <c r="BM480">
        <v>0</v>
      </c>
      <c r="BN480">
        <v>1962</v>
      </c>
      <c r="BO480">
        <v>1840</v>
      </c>
      <c r="BP480">
        <v>0</v>
      </c>
      <c r="BQ480">
        <v>0</v>
      </c>
      <c r="BR480">
        <v>0.89610000000000001</v>
      </c>
      <c r="BS480">
        <v>0.89610000000000001</v>
      </c>
      <c r="BT480">
        <v>0</v>
      </c>
      <c r="BU480">
        <v>0</v>
      </c>
      <c r="BV480">
        <v>9</v>
      </c>
      <c r="BW480">
        <v>23</v>
      </c>
      <c r="BX480">
        <v>355</v>
      </c>
      <c r="BY480">
        <v>9</v>
      </c>
      <c r="BZ480">
        <v>4</v>
      </c>
      <c r="CA480">
        <v>400</v>
      </c>
      <c r="CB480">
        <v>0</v>
      </c>
      <c r="CC480">
        <v>0</v>
      </c>
      <c r="CD480">
        <v>0</v>
      </c>
      <c r="CE480">
        <v>25</v>
      </c>
      <c r="CF480">
        <v>133.59800000000001</v>
      </c>
      <c r="CG480">
        <v>0</v>
      </c>
      <c r="CH480">
        <v>0</v>
      </c>
      <c r="CI480">
        <v>2</v>
      </c>
      <c r="CJ480">
        <v>0</v>
      </c>
      <c r="CK480">
        <v>0</v>
      </c>
      <c r="CL480">
        <v>0</v>
      </c>
      <c r="CM480">
        <v>49.100999999999999</v>
      </c>
      <c r="CN480">
        <v>0</v>
      </c>
      <c r="CO480">
        <v>0</v>
      </c>
      <c r="CP480">
        <v>0</v>
      </c>
      <c r="CQ480">
        <v>0</v>
      </c>
      <c r="CR480">
        <v>0</v>
      </c>
      <c r="CS480">
        <v>0</v>
      </c>
      <c r="CT480">
        <v>0</v>
      </c>
      <c r="CU480">
        <v>5.5739999999999998</v>
      </c>
      <c r="CV480">
        <v>56.86</v>
      </c>
      <c r="CW480">
        <v>23.138999999999999</v>
      </c>
      <c r="CX480">
        <v>0</v>
      </c>
      <c r="CY480" s="2043">
        <v>0</v>
      </c>
      <c r="CZ480" s="2043">
        <v>0</v>
      </c>
      <c r="DA480" s="2043">
        <v>0</v>
      </c>
      <c r="DB480" s="2043">
        <v>0</v>
      </c>
      <c r="DC480" s="2043">
        <v>0</v>
      </c>
      <c r="DI480" t="s">
        <v>5057</v>
      </c>
      <c r="DJ480" t="s">
        <v>5057</v>
      </c>
      <c r="DK480" s="2042">
        <f t="shared" si="9"/>
        <v>0</v>
      </c>
    </row>
    <row r="481" spans="1:115">
      <c r="A481" t="s">
        <v>5808</v>
      </c>
      <c r="B481" t="s">
        <v>1848</v>
      </c>
      <c r="C481">
        <v>244.01600000000002</v>
      </c>
      <c r="D481">
        <v>283.45999999999998</v>
      </c>
      <c r="E481">
        <v>15.58</v>
      </c>
      <c r="F481">
        <v>0</v>
      </c>
      <c r="G481" s="2043">
        <v>97078395</v>
      </c>
      <c r="H481">
        <v>0</v>
      </c>
      <c r="I481" s="2043">
        <v>2410562</v>
      </c>
      <c r="J481">
        <v>12.201000000000001</v>
      </c>
      <c r="K481">
        <v>33</v>
      </c>
      <c r="L481">
        <v>0</v>
      </c>
      <c r="M481">
        <v>0</v>
      </c>
      <c r="N481">
        <v>0</v>
      </c>
      <c r="O481">
        <v>0</v>
      </c>
      <c r="P481">
        <v>0</v>
      </c>
      <c r="Q481">
        <v>0</v>
      </c>
      <c r="R481" s="2043">
        <v>831461</v>
      </c>
      <c r="S481">
        <v>72823</v>
      </c>
      <c r="T481">
        <v>53071</v>
      </c>
      <c r="U481">
        <v>0.08</v>
      </c>
      <c r="V481">
        <v>0</v>
      </c>
      <c r="W481">
        <v>0</v>
      </c>
      <c r="X481">
        <v>0</v>
      </c>
      <c r="Y481">
        <v>0</v>
      </c>
      <c r="Z481">
        <v>0</v>
      </c>
      <c r="AA481">
        <v>0.22</v>
      </c>
      <c r="AB481">
        <v>260.07800000000003</v>
      </c>
      <c r="AC481" s="2043">
        <v>74812127</v>
      </c>
      <c r="AD481">
        <v>3250984</v>
      </c>
      <c r="AE481" s="2043">
        <v>957355</v>
      </c>
      <c r="AF481">
        <v>1.0517000000000001</v>
      </c>
      <c r="AG481">
        <v>0</v>
      </c>
      <c r="AH481">
        <v>0</v>
      </c>
      <c r="AI481">
        <v>0</v>
      </c>
      <c r="AJ481">
        <v>50.838000000000001</v>
      </c>
      <c r="AK481">
        <v>1815</v>
      </c>
      <c r="AL481">
        <v>0</v>
      </c>
      <c r="AM481">
        <v>0</v>
      </c>
      <c r="AN481">
        <v>22.811</v>
      </c>
      <c r="AO481">
        <v>0</v>
      </c>
      <c r="AP481">
        <v>0</v>
      </c>
      <c r="AQ481">
        <v>0</v>
      </c>
      <c r="AR481">
        <v>4.5019999999999998</v>
      </c>
      <c r="AS481">
        <v>0</v>
      </c>
      <c r="AT481">
        <v>2.4820000000000002</v>
      </c>
      <c r="AU481">
        <v>0.86799999999999999</v>
      </c>
      <c r="AV481">
        <v>0</v>
      </c>
      <c r="AW481">
        <v>7.8520000000000003</v>
      </c>
      <c r="AX481">
        <v>0</v>
      </c>
      <c r="AY481">
        <v>25.292000000000002</v>
      </c>
      <c r="AZ481">
        <v>0</v>
      </c>
      <c r="BA481">
        <v>2779418</v>
      </c>
      <c r="BB481">
        <v>4208339</v>
      </c>
      <c r="BC481">
        <v>0</v>
      </c>
      <c r="BD481">
        <v>5445</v>
      </c>
      <c r="BE481">
        <v>0</v>
      </c>
      <c r="BF481">
        <v>5445</v>
      </c>
      <c r="BG481">
        <v>5445</v>
      </c>
      <c r="BH481">
        <v>0</v>
      </c>
      <c r="BI481">
        <v>0</v>
      </c>
      <c r="BJ481">
        <v>0</v>
      </c>
      <c r="BK481">
        <v>0</v>
      </c>
      <c r="BL481">
        <v>97078395</v>
      </c>
      <c r="BM481">
        <v>0</v>
      </c>
      <c r="BN481">
        <v>801</v>
      </c>
      <c r="BO481">
        <v>599</v>
      </c>
      <c r="BP481">
        <v>0</v>
      </c>
      <c r="BQ481">
        <v>0</v>
      </c>
      <c r="BR481">
        <v>0.91339999999999999</v>
      </c>
      <c r="BS481">
        <v>0.91339999999999999</v>
      </c>
      <c r="BT481">
        <v>0</v>
      </c>
      <c r="BU481">
        <v>0</v>
      </c>
      <c r="BV481">
        <v>5</v>
      </c>
      <c r="BW481">
        <v>65</v>
      </c>
      <c r="BX481">
        <v>136</v>
      </c>
      <c r="BY481">
        <v>0</v>
      </c>
      <c r="BZ481">
        <v>1</v>
      </c>
      <c r="CA481">
        <v>207</v>
      </c>
      <c r="CB481">
        <v>0</v>
      </c>
      <c r="CC481">
        <v>0</v>
      </c>
      <c r="CD481">
        <v>0</v>
      </c>
      <c r="CE481">
        <v>19</v>
      </c>
      <c r="CF481">
        <v>42.992000000000004</v>
      </c>
      <c r="CG481">
        <v>0</v>
      </c>
      <c r="CH481">
        <v>0</v>
      </c>
      <c r="CI481">
        <v>2</v>
      </c>
      <c r="CJ481">
        <v>3</v>
      </c>
      <c r="CK481">
        <v>0</v>
      </c>
      <c r="CL481">
        <v>0</v>
      </c>
      <c r="CM481">
        <v>15.58</v>
      </c>
      <c r="CN481">
        <v>0</v>
      </c>
      <c r="CO481">
        <v>0</v>
      </c>
      <c r="CP481">
        <v>0</v>
      </c>
      <c r="CQ481">
        <v>0</v>
      </c>
      <c r="CR481">
        <v>0</v>
      </c>
      <c r="CS481">
        <v>0</v>
      </c>
      <c r="CT481">
        <v>0</v>
      </c>
      <c r="CU481">
        <v>0.14100000000000001</v>
      </c>
      <c r="CV481">
        <v>13.814</v>
      </c>
      <c r="CW481">
        <v>11.459000000000001</v>
      </c>
      <c r="CX481">
        <v>0</v>
      </c>
      <c r="CY481" s="2043">
        <v>0</v>
      </c>
      <c r="CZ481" s="2043">
        <v>0</v>
      </c>
      <c r="DA481" s="2043">
        <v>0</v>
      </c>
      <c r="DB481" s="2043">
        <v>0</v>
      </c>
      <c r="DC481" s="2043">
        <v>0</v>
      </c>
      <c r="DI481" t="s">
        <v>5808</v>
      </c>
      <c r="DJ481" t="s">
        <v>5808</v>
      </c>
      <c r="DK481" s="2042">
        <f t="shared" si="9"/>
        <v>0</v>
      </c>
    </row>
    <row r="482" spans="1:115">
      <c r="A482" t="s">
        <v>5809</v>
      </c>
      <c r="B482" t="s">
        <v>1959</v>
      </c>
      <c r="C482">
        <v>4276.4650000000001</v>
      </c>
      <c r="D482">
        <v>4592.9830000000002</v>
      </c>
      <c r="E482">
        <v>416.8</v>
      </c>
      <c r="F482">
        <v>0</v>
      </c>
      <c r="G482" s="2043">
        <v>1234162866</v>
      </c>
      <c r="H482">
        <v>0</v>
      </c>
      <c r="I482" s="2043">
        <v>4309575</v>
      </c>
      <c r="J482">
        <v>213.82300000000001</v>
      </c>
      <c r="K482">
        <v>585</v>
      </c>
      <c r="L482">
        <v>0</v>
      </c>
      <c r="M482">
        <v>0</v>
      </c>
      <c r="N482">
        <v>0</v>
      </c>
      <c r="O482">
        <v>0</v>
      </c>
      <c r="P482">
        <v>0</v>
      </c>
      <c r="Q482">
        <v>0</v>
      </c>
      <c r="R482" s="2043">
        <v>11193667</v>
      </c>
      <c r="S482">
        <v>980396</v>
      </c>
      <c r="T482">
        <v>714463</v>
      </c>
      <c r="U482">
        <v>0.08</v>
      </c>
      <c r="V482">
        <v>0</v>
      </c>
      <c r="W482">
        <v>0</v>
      </c>
      <c r="X482">
        <v>0</v>
      </c>
      <c r="Y482">
        <v>0</v>
      </c>
      <c r="Z482">
        <v>0</v>
      </c>
      <c r="AA482">
        <v>1.1520000000000001</v>
      </c>
      <c r="AB482">
        <v>4372.0790000000006</v>
      </c>
      <c r="AC482" s="2043">
        <v>1400424169</v>
      </c>
      <c r="AD482">
        <v>3691541</v>
      </c>
      <c r="AE482" s="2043">
        <v>12888526</v>
      </c>
      <c r="AF482">
        <v>1.0517000000000001</v>
      </c>
      <c r="AG482">
        <v>0</v>
      </c>
      <c r="AH482">
        <v>0</v>
      </c>
      <c r="AI482">
        <v>0</v>
      </c>
      <c r="AJ482">
        <v>1010.25</v>
      </c>
      <c r="AK482">
        <v>14588</v>
      </c>
      <c r="AL482">
        <v>0.16900000000000001</v>
      </c>
      <c r="AM482">
        <v>0</v>
      </c>
      <c r="AN482">
        <v>140.86199999999999</v>
      </c>
      <c r="AO482">
        <v>0</v>
      </c>
      <c r="AP482">
        <v>0</v>
      </c>
      <c r="AQ482">
        <v>0</v>
      </c>
      <c r="AR482">
        <v>83.596000000000004</v>
      </c>
      <c r="AS482">
        <v>0</v>
      </c>
      <c r="AT482">
        <v>51.02</v>
      </c>
      <c r="AU482">
        <v>11.789</v>
      </c>
      <c r="AV482">
        <v>0</v>
      </c>
      <c r="AW482">
        <v>146.57400000000001</v>
      </c>
      <c r="AX482">
        <v>0</v>
      </c>
      <c r="AY482">
        <v>463.63800000000003</v>
      </c>
      <c r="AZ482">
        <v>0</v>
      </c>
      <c r="BA482">
        <v>33657182</v>
      </c>
      <c r="BB482">
        <v>16580067</v>
      </c>
      <c r="BC482">
        <v>0</v>
      </c>
      <c r="BD482">
        <v>237177</v>
      </c>
      <c r="BE482">
        <v>54554</v>
      </c>
      <c r="BF482">
        <v>291731</v>
      </c>
      <c r="BG482">
        <v>237177</v>
      </c>
      <c r="BH482">
        <v>0</v>
      </c>
      <c r="BI482">
        <v>0</v>
      </c>
      <c r="BJ482">
        <v>0</v>
      </c>
      <c r="BK482">
        <v>0</v>
      </c>
      <c r="BL482">
        <v>1234162866</v>
      </c>
      <c r="BM482">
        <v>0</v>
      </c>
      <c r="BN482">
        <v>16272</v>
      </c>
      <c r="BO482">
        <v>13482</v>
      </c>
      <c r="BP482">
        <v>0</v>
      </c>
      <c r="BQ482">
        <v>0</v>
      </c>
      <c r="BR482">
        <v>0.91339999999999999</v>
      </c>
      <c r="BS482">
        <v>0.91339999999999999</v>
      </c>
      <c r="BT482">
        <v>0</v>
      </c>
      <c r="BU482">
        <v>0</v>
      </c>
      <c r="BV482">
        <v>248</v>
      </c>
      <c r="BW482">
        <v>427</v>
      </c>
      <c r="BX482">
        <v>1557</v>
      </c>
      <c r="BY482">
        <v>1199</v>
      </c>
      <c r="BZ482">
        <v>542</v>
      </c>
      <c r="CA482">
        <v>3973</v>
      </c>
      <c r="CB482">
        <v>1</v>
      </c>
      <c r="CC482">
        <v>10.35</v>
      </c>
      <c r="CD482">
        <v>0</v>
      </c>
      <c r="CE482">
        <v>314</v>
      </c>
      <c r="CF482">
        <v>1139.9380000000001</v>
      </c>
      <c r="CG482">
        <v>0</v>
      </c>
      <c r="CH482">
        <v>0</v>
      </c>
      <c r="CI482">
        <v>7</v>
      </c>
      <c r="CJ482">
        <v>21</v>
      </c>
      <c r="CK482">
        <v>0</v>
      </c>
      <c r="CL482">
        <v>0</v>
      </c>
      <c r="CM482">
        <v>416.8</v>
      </c>
      <c r="CN482">
        <v>0</v>
      </c>
      <c r="CO482">
        <v>0</v>
      </c>
      <c r="CP482">
        <v>0</v>
      </c>
      <c r="CQ482">
        <v>0</v>
      </c>
      <c r="CR482">
        <v>0</v>
      </c>
      <c r="CS482">
        <v>0</v>
      </c>
      <c r="CT482">
        <v>0</v>
      </c>
      <c r="CU482">
        <v>0.14000000000000001</v>
      </c>
      <c r="CV482">
        <v>225.25500000000002</v>
      </c>
      <c r="CW482">
        <v>86.436999999999998</v>
      </c>
      <c r="CX482">
        <v>0</v>
      </c>
      <c r="CY482" s="2043">
        <v>0</v>
      </c>
      <c r="CZ482" s="2043">
        <v>0</v>
      </c>
      <c r="DA482" s="2043">
        <v>0</v>
      </c>
      <c r="DB482" s="2043">
        <v>0</v>
      </c>
      <c r="DC482" s="2043">
        <v>0</v>
      </c>
      <c r="DI482" t="s">
        <v>5809</v>
      </c>
      <c r="DJ482" t="s">
        <v>5809</v>
      </c>
      <c r="DK482" s="2042">
        <f t="shared" si="9"/>
        <v>0</v>
      </c>
    </row>
    <row r="483" spans="1:115">
      <c r="A483" t="s">
        <v>5810</v>
      </c>
      <c r="B483" t="s">
        <v>1960</v>
      </c>
      <c r="C483">
        <v>386.22200000000004</v>
      </c>
      <c r="D483">
        <v>389.94300000000004</v>
      </c>
      <c r="E483">
        <v>47.488</v>
      </c>
      <c r="F483">
        <v>0</v>
      </c>
      <c r="G483" s="2043">
        <v>204240390</v>
      </c>
      <c r="H483">
        <v>0</v>
      </c>
      <c r="I483" s="2043">
        <v>0</v>
      </c>
      <c r="J483">
        <v>19.311</v>
      </c>
      <c r="K483">
        <v>53</v>
      </c>
      <c r="L483">
        <v>0</v>
      </c>
      <c r="M483">
        <v>0</v>
      </c>
      <c r="N483">
        <v>0</v>
      </c>
      <c r="O483">
        <v>0</v>
      </c>
      <c r="P483">
        <v>0</v>
      </c>
      <c r="Q483">
        <v>0</v>
      </c>
      <c r="R483" s="2043">
        <v>1728883</v>
      </c>
      <c r="S483">
        <v>168261</v>
      </c>
      <c r="T483">
        <v>122620</v>
      </c>
      <c r="U483">
        <v>0.08</v>
      </c>
      <c r="V483">
        <v>0</v>
      </c>
      <c r="W483">
        <v>0</v>
      </c>
      <c r="X483">
        <v>0</v>
      </c>
      <c r="Y483">
        <v>0</v>
      </c>
      <c r="Z483">
        <v>0</v>
      </c>
      <c r="AA483">
        <v>0</v>
      </c>
      <c r="AB483">
        <v>389.94300000000004</v>
      </c>
      <c r="AC483" s="2043">
        <v>172132302</v>
      </c>
      <c r="AD483">
        <v>0</v>
      </c>
      <c r="AE483" s="2043">
        <v>2019764</v>
      </c>
      <c r="AF483">
        <v>0.96030000000000004</v>
      </c>
      <c r="AG483">
        <v>0</v>
      </c>
      <c r="AH483">
        <v>0</v>
      </c>
      <c r="AI483">
        <v>0</v>
      </c>
      <c r="AJ483">
        <v>86.938000000000002</v>
      </c>
      <c r="AK483">
        <v>3794</v>
      </c>
      <c r="AL483">
        <v>0</v>
      </c>
      <c r="AM483">
        <v>0</v>
      </c>
      <c r="AN483">
        <v>11.57</v>
      </c>
      <c r="AO483">
        <v>0</v>
      </c>
      <c r="AP483">
        <v>0</v>
      </c>
      <c r="AQ483">
        <v>0</v>
      </c>
      <c r="AR483">
        <v>30.418000000000003</v>
      </c>
      <c r="AS483">
        <v>0</v>
      </c>
      <c r="AT483">
        <v>0.11</v>
      </c>
      <c r="AU483">
        <v>1.226</v>
      </c>
      <c r="AV483">
        <v>0</v>
      </c>
      <c r="AW483">
        <v>31.754000000000001</v>
      </c>
      <c r="AX483">
        <v>0</v>
      </c>
      <c r="AY483">
        <v>97.713999999999999</v>
      </c>
      <c r="AZ483">
        <v>0</v>
      </c>
      <c r="BA483">
        <v>4096279</v>
      </c>
      <c r="BB483">
        <v>2019764</v>
      </c>
      <c r="BC483">
        <v>0</v>
      </c>
      <c r="BD483">
        <v>45064</v>
      </c>
      <c r="BE483">
        <v>13932</v>
      </c>
      <c r="BF483">
        <v>58996</v>
      </c>
      <c r="BG483">
        <v>45064</v>
      </c>
      <c r="BH483">
        <v>0</v>
      </c>
      <c r="BI483">
        <v>0</v>
      </c>
      <c r="BJ483">
        <v>0</v>
      </c>
      <c r="BK483">
        <v>0</v>
      </c>
      <c r="BL483">
        <v>204240390</v>
      </c>
      <c r="BM483">
        <v>0</v>
      </c>
      <c r="BN483">
        <v>1719</v>
      </c>
      <c r="BO483">
        <v>1038</v>
      </c>
      <c r="BP483">
        <v>0</v>
      </c>
      <c r="BQ483">
        <v>0</v>
      </c>
      <c r="BR483">
        <v>0.82200000000000006</v>
      </c>
      <c r="BS483">
        <v>0.82200000000000006</v>
      </c>
      <c r="BT483">
        <v>0</v>
      </c>
      <c r="BU483">
        <v>0</v>
      </c>
      <c r="BV483">
        <v>0</v>
      </c>
      <c r="BW483">
        <v>6</v>
      </c>
      <c r="BX483">
        <v>210</v>
      </c>
      <c r="BY483">
        <v>109</v>
      </c>
      <c r="BZ483">
        <v>16</v>
      </c>
      <c r="CA483">
        <v>341</v>
      </c>
      <c r="CB483">
        <v>0</v>
      </c>
      <c r="CC483">
        <v>0</v>
      </c>
      <c r="CD483">
        <v>0</v>
      </c>
      <c r="CE483">
        <v>81</v>
      </c>
      <c r="CF483">
        <v>87.016000000000005</v>
      </c>
      <c r="CG483">
        <v>0</v>
      </c>
      <c r="CH483">
        <v>0</v>
      </c>
      <c r="CI483">
        <v>0</v>
      </c>
      <c r="CJ483">
        <v>0</v>
      </c>
      <c r="CK483">
        <v>0</v>
      </c>
      <c r="CL483">
        <v>0</v>
      </c>
      <c r="CM483">
        <v>47.488</v>
      </c>
      <c r="CN483">
        <v>0</v>
      </c>
      <c r="CO483">
        <v>0</v>
      </c>
      <c r="CP483">
        <v>0</v>
      </c>
      <c r="CQ483">
        <v>0</v>
      </c>
      <c r="CR483">
        <v>0</v>
      </c>
      <c r="CS483">
        <v>0</v>
      </c>
      <c r="CT483">
        <v>0</v>
      </c>
      <c r="CU483">
        <v>2.1520000000000001</v>
      </c>
      <c r="CV483">
        <v>14.774000000000001</v>
      </c>
      <c r="CW483">
        <v>10.143000000000001</v>
      </c>
      <c r="CX483">
        <v>0</v>
      </c>
      <c r="CY483" s="2043">
        <v>0</v>
      </c>
      <c r="CZ483" s="2043">
        <v>0</v>
      </c>
      <c r="DA483" s="2043">
        <v>0</v>
      </c>
      <c r="DB483" s="2043">
        <v>0</v>
      </c>
      <c r="DC483" s="2043">
        <v>0</v>
      </c>
      <c r="DI483" t="s">
        <v>5810</v>
      </c>
      <c r="DJ483" t="s">
        <v>5810</v>
      </c>
      <c r="DK483" s="2042">
        <f t="shared" si="9"/>
        <v>0</v>
      </c>
    </row>
    <row r="484" spans="1:115">
      <c r="A484" t="s">
        <v>5058</v>
      </c>
      <c r="B484" t="s">
        <v>137</v>
      </c>
      <c r="C484">
        <v>175.149</v>
      </c>
      <c r="D484">
        <v>181.65900000000002</v>
      </c>
      <c r="E484">
        <v>11.74</v>
      </c>
      <c r="F484">
        <v>0</v>
      </c>
      <c r="G484" s="2043">
        <v>88293794</v>
      </c>
      <c r="H484">
        <v>0</v>
      </c>
      <c r="I484" s="2043">
        <v>163512</v>
      </c>
      <c r="J484">
        <v>5</v>
      </c>
      <c r="K484">
        <v>14</v>
      </c>
      <c r="L484">
        <v>0</v>
      </c>
      <c r="M484">
        <v>0</v>
      </c>
      <c r="N484">
        <v>0</v>
      </c>
      <c r="O484">
        <v>0</v>
      </c>
      <c r="P484">
        <v>0</v>
      </c>
      <c r="Q484">
        <v>0</v>
      </c>
      <c r="R484" s="2043">
        <v>792003</v>
      </c>
      <c r="S484">
        <v>43488</v>
      </c>
      <c r="T484">
        <v>0</v>
      </c>
      <c r="U484">
        <v>0.05</v>
      </c>
      <c r="V484">
        <v>0</v>
      </c>
      <c r="W484">
        <v>0</v>
      </c>
      <c r="X484">
        <v>0</v>
      </c>
      <c r="Y484">
        <v>0</v>
      </c>
      <c r="Z484">
        <v>0</v>
      </c>
      <c r="AA484">
        <v>0</v>
      </c>
      <c r="AB484">
        <v>181.65900000000002</v>
      </c>
      <c r="AC484" s="2043">
        <v>83212595</v>
      </c>
      <c r="AD484">
        <v>177362</v>
      </c>
      <c r="AE484" s="2043">
        <v>835491</v>
      </c>
      <c r="AF484">
        <v>0.96060000000000001</v>
      </c>
      <c r="AG484">
        <v>0</v>
      </c>
      <c r="AH484">
        <v>0</v>
      </c>
      <c r="AI484">
        <v>0</v>
      </c>
      <c r="AJ484">
        <v>25.213000000000001</v>
      </c>
      <c r="AK484">
        <v>568</v>
      </c>
      <c r="AL484">
        <v>0</v>
      </c>
      <c r="AM484">
        <v>0</v>
      </c>
      <c r="AN484">
        <v>2.9130000000000003</v>
      </c>
      <c r="AO484">
        <v>0</v>
      </c>
      <c r="AP484">
        <v>0</v>
      </c>
      <c r="AQ484">
        <v>0</v>
      </c>
      <c r="AR484">
        <v>2.8050000000000002</v>
      </c>
      <c r="AS484">
        <v>0</v>
      </c>
      <c r="AT484">
        <v>0.873</v>
      </c>
      <c r="AU484">
        <v>0.29500000000000004</v>
      </c>
      <c r="AV484">
        <v>0</v>
      </c>
      <c r="AW484">
        <v>3.9730000000000003</v>
      </c>
      <c r="AX484">
        <v>0</v>
      </c>
      <c r="AY484">
        <v>12.509</v>
      </c>
      <c r="AZ484">
        <v>0</v>
      </c>
      <c r="BA484">
        <v>1513644</v>
      </c>
      <c r="BB484">
        <v>1012853</v>
      </c>
      <c r="BC484">
        <v>0</v>
      </c>
      <c r="BD484">
        <v>60312</v>
      </c>
      <c r="BE484">
        <v>0</v>
      </c>
      <c r="BF484">
        <v>60312</v>
      </c>
      <c r="BG484">
        <v>60312</v>
      </c>
      <c r="BH484">
        <v>0</v>
      </c>
      <c r="BI484">
        <v>0</v>
      </c>
      <c r="BJ484">
        <v>0</v>
      </c>
      <c r="BK484">
        <v>0</v>
      </c>
      <c r="BL484">
        <v>88293794</v>
      </c>
      <c r="BM484">
        <v>0</v>
      </c>
      <c r="BN484">
        <v>720</v>
      </c>
      <c r="BO484">
        <v>706</v>
      </c>
      <c r="BP484">
        <v>0</v>
      </c>
      <c r="BQ484">
        <v>0</v>
      </c>
      <c r="BR484">
        <v>0.91060000000000008</v>
      </c>
      <c r="BS484">
        <v>0.91060000000000008</v>
      </c>
      <c r="BT484">
        <v>0</v>
      </c>
      <c r="BU484">
        <v>0</v>
      </c>
      <c r="BV484">
        <v>11</v>
      </c>
      <c r="BW484">
        <v>41</v>
      </c>
      <c r="BX484">
        <v>52</v>
      </c>
      <c r="BY484">
        <v>0</v>
      </c>
      <c r="BZ484">
        <v>0</v>
      </c>
      <c r="CA484">
        <v>104</v>
      </c>
      <c r="CB484">
        <v>0</v>
      </c>
      <c r="CC484">
        <v>0</v>
      </c>
      <c r="CD484">
        <v>0</v>
      </c>
      <c r="CE484">
        <v>10</v>
      </c>
      <c r="CF484">
        <v>27.784000000000002</v>
      </c>
      <c r="CG484">
        <v>0</v>
      </c>
      <c r="CH484">
        <v>0</v>
      </c>
      <c r="CI484">
        <v>2</v>
      </c>
      <c r="CJ484">
        <v>1</v>
      </c>
      <c r="CK484">
        <v>0</v>
      </c>
      <c r="CL484">
        <v>0</v>
      </c>
      <c r="CM484">
        <v>11.74</v>
      </c>
      <c r="CN484">
        <v>0</v>
      </c>
      <c r="CO484">
        <v>0</v>
      </c>
      <c r="CP484">
        <v>0</v>
      </c>
      <c r="CQ484">
        <v>0</v>
      </c>
      <c r="CR484">
        <v>0</v>
      </c>
      <c r="CS484">
        <v>0</v>
      </c>
      <c r="CT484">
        <v>0</v>
      </c>
      <c r="CU484">
        <v>0.14600000000000002</v>
      </c>
      <c r="CV484">
        <v>11.765000000000001</v>
      </c>
      <c r="CW484">
        <v>13.063000000000001</v>
      </c>
      <c r="CX484">
        <v>0</v>
      </c>
      <c r="CY484" s="2043">
        <v>0</v>
      </c>
      <c r="CZ484" s="2043">
        <v>0</v>
      </c>
      <c r="DA484" s="2043">
        <v>0</v>
      </c>
      <c r="DB484" s="2043">
        <v>0</v>
      </c>
      <c r="DC484" s="2043">
        <v>0</v>
      </c>
      <c r="DI484" t="s">
        <v>5058</v>
      </c>
      <c r="DJ484" t="s">
        <v>5058</v>
      </c>
      <c r="DK484" s="2042">
        <f t="shared" si="9"/>
        <v>0</v>
      </c>
    </row>
    <row r="485" spans="1:115">
      <c r="A485" t="s">
        <v>5059</v>
      </c>
      <c r="B485" t="s">
        <v>138</v>
      </c>
      <c r="C485">
        <v>756.73</v>
      </c>
      <c r="D485">
        <v>744.49099999999999</v>
      </c>
      <c r="E485">
        <v>54.992000000000004</v>
      </c>
      <c r="F485">
        <v>0</v>
      </c>
      <c r="G485" s="2043">
        <v>435110195</v>
      </c>
      <c r="H485">
        <v>0</v>
      </c>
      <c r="I485" s="2043">
        <v>0</v>
      </c>
      <c r="J485">
        <v>37.837000000000003</v>
      </c>
      <c r="K485">
        <v>103</v>
      </c>
      <c r="L485">
        <v>0</v>
      </c>
      <c r="M485">
        <v>0</v>
      </c>
      <c r="N485">
        <v>0</v>
      </c>
      <c r="O485">
        <v>0</v>
      </c>
      <c r="P485">
        <v>0</v>
      </c>
      <c r="Q485">
        <v>0</v>
      </c>
      <c r="R485" s="2043">
        <v>3295533</v>
      </c>
      <c r="S485">
        <v>320733</v>
      </c>
      <c r="T485">
        <v>233734</v>
      </c>
      <c r="U485">
        <v>0.08</v>
      </c>
      <c r="V485">
        <v>0</v>
      </c>
      <c r="W485">
        <v>0</v>
      </c>
      <c r="X485">
        <v>0</v>
      </c>
      <c r="Y485">
        <v>123510</v>
      </c>
      <c r="Z485">
        <v>6.6859999999999999</v>
      </c>
      <c r="AA485">
        <v>0</v>
      </c>
      <c r="AB485">
        <v>740.29200000000003</v>
      </c>
      <c r="AC485" s="2043">
        <v>332061623</v>
      </c>
      <c r="AD485">
        <v>0</v>
      </c>
      <c r="AE485" s="2043">
        <v>3850000</v>
      </c>
      <c r="AF485">
        <v>0.96030000000000004</v>
      </c>
      <c r="AG485">
        <v>0</v>
      </c>
      <c r="AH485">
        <v>0</v>
      </c>
      <c r="AI485">
        <v>0</v>
      </c>
      <c r="AJ485">
        <v>110.66300000000001</v>
      </c>
      <c r="AK485">
        <v>3682</v>
      </c>
      <c r="AL485">
        <v>0</v>
      </c>
      <c r="AM485">
        <v>0</v>
      </c>
      <c r="AN485">
        <v>33.498000000000005</v>
      </c>
      <c r="AO485">
        <v>0</v>
      </c>
      <c r="AP485">
        <v>0</v>
      </c>
      <c r="AQ485">
        <v>0</v>
      </c>
      <c r="AR485">
        <v>18.587</v>
      </c>
      <c r="AS485">
        <v>0</v>
      </c>
      <c r="AT485">
        <v>5.016</v>
      </c>
      <c r="AU485">
        <v>1.6930000000000001</v>
      </c>
      <c r="AV485">
        <v>0</v>
      </c>
      <c r="AW485">
        <v>25.296000000000003</v>
      </c>
      <c r="AX485">
        <v>0</v>
      </c>
      <c r="AY485">
        <v>79.274000000000001</v>
      </c>
      <c r="AZ485">
        <v>0</v>
      </c>
      <c r="BA485">
        <v>5883718</v>
      </c>
      <c r="BB485">
        <v>3850000</v>
      </c>
      <c r="BC485">
        <v>0</v>
      </c>
      <c r="BD485">
        <v>70520</v>
      </c>
      <c r="BE485">
        <v>480</v>
      </c>
      <c r="BF485">
        <v>74756</v>
      </c>
      <c r="BG485">
        <v>70520</v>
      </c>
      <c r="BH485">
        <v>3756</v>
      </c>
      <c r="BI485">
        <v>0</v>
      </c>
      <c r="BJ485">
        <v>0</v>
      </c>
      <c r="BK485">
        <v>0</v>
      </c>
      <c r="BL485">
        <v>435110195</v>
      </c>
      <c r="BM485">
        <v>0</v>
      </c>
      <c r="BN485">
        <v>2376</v>
      </c>
      <c r="BO485">
        <v>1680</v>
      </c>
      <c r="BP485">
        <v>0</v>
      </c>
      <c r="BQ485">
        <v>0</v>
      </c>
      <c r="BR485">
        <v>0.82200000000000006</v>
      </c>
      <c r="BS485">
        <v>0.82200000000000006</v>
      </c>
      <c r="BT485">
        <v>0</v>
      </c>
      <c r="BU485">
        <v>0</v>
      </c>
      <c r="BV485">
        <v>190</v>
      </c>
      <c r="BW485">
        <v>98</v>
      </c>
      <c r="BX485">
        <v>2</v>
      </c>
      <c r="BY485">
        <v>121</v>
      </c>
      <c r="BZ485">
        <v>45</v>
      </c>
      <c r="CA485">
        <v>456</v>
      </c>
      <c r="CB485">
        <v>0</v>
      </c>
      <c r="CC485">
        <v>0</v>
      </c>
      <c r="CD485">
        <v>0</v>
      </c>
      <c r="CE485">
        <v>162</v>
      </c>
      <c r="CF485">
        <v>151.27200000000002</v>
      </c>
      <c r="CG485">
        <v>0</v>
      </c>
      <c r="CH485">
        <v>0</v>
      </c>
      <c r="CI485">
        <v>2</v>
      </c>
      <c r="CJ485">
        <v>9</v>
      </c>
      <c r="CK485">
        <v>0</v>
      </c>
      <c r="CL485">
        <v>0</v>
      </c>
      <c r="CM485">
        <v>54.992000000000004</v>
      </c>
      <c r="CN485">
        <v>0</v>
      </c>
      <c r="CO485">
        <v>0</v>
      </c>
      <c r="CP485">
        <v>0</v>
      </c>
      <c r="CQ485">
        <v>0</v>
      </c>
      <c r="CR485">
        <v>0</v>
      </c>
      <c r="CS485">
        <v>0</v>
      </c>
      <c r="CT485">
        <v>0</v>
      </c>
      <c r="CU485">
        <v>2.9870000000000001</v>
      </c>
      <c r="CV485">
        <v>32.377000000000002</v>
      </c>
      <c r="CW485">
        <v>45.954000000000001</v>
      </c>
      <c r="CX485">
        <v>0</v>
      </c>
      <c r="CY485" s="2043">
        <v>123510</v>
      </c>
      <c r="CZ485" s="2043">
        <v>0</v>
      </c>
      <c r="DA485" s="2043">
        <v>0</v>
      </c>
      <c r="DB485" s="2043">
        <v>0</v>
      </c>
      <c r="DC485" s="2043">
        <v>0</v>
      </c>
      <c r="DI485" t="s">
        <v>5059</v>
      </c>
      <c r="DJ485" t="s">
        <v>5059</v>
      </c>
      <c r="DK485" s="2042">
        <f t="shared" si="9"/>
        <v>0</v>
      </c>
    </row>
    <row r="486" spans="1:115">
      <c r="A486" t="s">
        <v>3015</v>
      </c>
      <c r="B486" t="s">
        <v>2367</v>
      </c>
      <c r="C486">
        <v>541.48199999999997</v>
      </c>
      <c r="D486">
        <v>529.74700000000007</v>
      </c>
      <c r="E486">
        <v>52.212000000000003</v>
      </c>
      <c r="F486">
        <v>0</v>
      </c>
      <c r="G486" s="2043">
        <v>290186317</v>
      </c>
      <c r="H486">
        <v>0</v>
      </c>
      <c r="I486" s="2043">
        <v>313021</v>
      </c>
      <c r="J486">
        <v>17</v>
      </c>
      <c r="K486">
        <v>46</v>
      </c>
      <c r="L486">
        <v>0</v>
      </c>
      <c r="M486">
        <v>176577</v>
      </c>
      <c r="N486">
        <v>0</v>
      </c>
      <c r="O486">
        <v>176577</v>
      </c>
      <c r="P486">
        <v>0</v>
      </c>
      <c r="Q486">
        <v>0</v>
      </c>
      <c r="R486" s="2043">
        <v>2376766</v>
      </c>
      <c r="S486">
        <v>231315</v>
      </c>
      <c r="T486">
        <v>168571</v>
      </c>
      <c r="U486">
        <v>0.08</v>
      </c>
      <c r="V486">
        <v>0</v>
      </c>
      <c r="W486">
        <v>0</v>
      </c>
      <c r="X486">
        <v>0</v>
      </c>
      <c r="Y486">
        <v>0</v>
      </c>
      <c r="Z486">
        <v>0</v>
      </c>
      <c r="AA486">
        <v>0.28300000000000003</v>
      </c>
      <c r="AB486">
        <v>529.74700000000007</v>
      </c>
      <c r="AC486" s="2043">
        <v>191594958</v>
      </c>
      <c r="AD486">
        <v>432982</v>
      </c>
      <c r="AE486" s="2043">
        <v>2776652</v>
      </c>
      <c r="AF486">
        <v>0.96030000000000004</v>
      </c>
      <c r="AG486">
        <v>0</v>
      </c>
      <c r="AH486">
        <v>0</v>
      </c>
      <c r="AI486">
        <v>0</v>
      </c>
      <c r="AJ486">
        <v>77.412999999999997</v>
      </c>
      <c r="AK486">
        <v>2316</v>
      </c>
      <c r="AL486">
        <v>0</v>
      </c>
      <c r="AM486">
        <v>0</v>
      </c>
      <c r="AN486">
        <v>6.5609999999999999</v>
      </c>
      <c r="AO486">
        <v>0</v>
      </c>
      <c r="AP486">
        <v>0</v>
      </c>
      <c r="AQ486">
        <v>0</v>
      </c>
      <c r="AR486">
        <v>16.329000000000001</v>
      </c>
      <c r="AS486">
        <v>0</v>
      </c>
      <c r="AT486">
        <v>2.4890000000000003</v>
      </c>
      <c r="AU486">
        <v>1.2650000000000001</v>
      </c>
      <c r="AV486">
        <v>0</v>
      </c>
      <c r="AW486">
        <v>20.083000000000002</v>
      </c>
      <c r="AX486">
        <v>0</v>
      </c>
      <c r="AY486">
        <v>62.779000000000003</v>
      </c>
      <c r="AZ486">
        <v>0</v>
      </c>
      <c r="BA486">
        <v>4511228</v>
      </c>
      <c r="BB486">
        <v>3209634</v>
      </c>
      <c r="BC486">
        <v>0</v>
      </c>
      <c r="BD486">
        <v>51275</v>
      </c>
      <c r="BE486">
        <v>0</v>
      </c>
      <c r="BF486">
        <v>51275</v>
      </c>
      <c r="BG486">
        <v>51275</v>
      </c>
      <c r="BH486">
        <v>0</v>
      </c>
      <c r="BI486">
        <v>0</v>
      </c>
      <c r="BJ486">
        <v>0</v>
      </c>
      <c r="BK486">
        <v>0</v>
      </c>
      <c r="BL486">
        <v>290186317</v>
      </c>
      <c r="BM486">
        <v>0</v>
      </c>
      <c r="BN486">
        <v>1350</v>
      </c>
      <c r="BO486">
        <v>1305</v>
      </c>
      <c r="BP486">
        <v>0</v>
      </c>
      <c r="BQ486">
        <v>0</v>
      </c>
      <c r="BR486">
        <v>0.82200000000000006</v>
      </c>
      <c r="BS486">
        <v>0.82200000000000006</v>
      </c>
      <c r="BT486">
        <v>0</v>
      </c>
      <c r="BU486">
        <v>0</v>
      </c>
      <c r="BV486">
        <v>22</v>
      </c>
      <c r="BW486">
        <v>118</v>
      </c>
      <c r="BX486">
        <v>150</v>
      </c>
      <c r="BY486">
        <v>17</v>
      </c>
      <c r="BZ486">
        <v>9</v>
      </c>
      <c r="CA486">
        <v>316</v>
      </c>
      <c r="CB486">
        <v>0</v>
      </c>
      <c r="CC486">
        <v>0</v>
      </c>
      <c r="CD486">
        <v>0</v>
      </c>
      <c r="CE486">
        <v>51</v>
      </c>
      <c r="CF486">
        <v>110.14400000000001</v>
      </c>
      <c r="CG486">
        <v>0</v>
      </c>
      <c r="CH486">
        <v>0</v>
      </c>
      <c r="CI486">
        <v>2</v>
      </c>
      <c r="CJ486">
        <v>6</v>
      </c>
      <c r="CK486">
        <v>0</v>
      </c>
      <c r="CL486">
        <v>0</v>
      </c>
      <c r="CM486">
        <v>52.212000000000003</v>
      </c>
      <c r="CN486">
        <v>0</v>
      </c>
      <c r="CO486">
        <v>0</v>
      </c>
      <c r="CP486">
        <v>0</v>
      </c>
      <c r="CQ486">
        <v>0</v>
      </c>
      <c r="CR486">
        <v>0</v>
      </c>
      <c r="CS486">
        <v>0</v>
      </c>
      <c r="CT486">
        <v>0</v>
      </c>
      <c r="CU486">
        <v>0</v>
      </c>
      <c r="CV486">
        <v>33.908999999999999</v>
      </c>
      <c r="CW486">
        <v>22.07</v>
      </c>
      <c r="CX486">
        <v>0</v>
      </c>
      <c r="CY486" s="2043">
        <v>0</v>
      </c>
      <c r="CZ486" s="2043">
        <v>0</v>
      </c>
      <c r="DA486" s="2043">
        <v>0</v>
      </c>
      <c r="DB486" s="2043">
        <v>0</v>
      </c>
      <c r="DC486" s="2043">
        <v>0</v>
      </c>
      <c r="DI486" t="s">
        <v>3015</v>
      </c>
      <c r="DJ486" t="s">
        <v>3015</v>
      </c>
      <c r="DK486" s="2042">
        <f t="shared" si="9"/>
        <v>0</v>
      </c>
    </row>
    <row r="487" spans="1:115">
      <c r="A487" t="s">
        <v>5060</v>
      </c>
      <c r="B487" t="s">
        <v>2218</v>
      </c>
      <c r="C487">
        <v>385.77600000000001</v>
      </c>
      <c r="D487">
        <v>425.04700000000003</v>
      </c>
      <c r="E487">
        <v>82.281000000000006</v>
      </c>
      <c r="F487">
        <v>0</v>
      </c>
      <c r="G487" s="2043">
        <v>273283081</v>
      </c>
      <c r="H487">
        <v>0</v>
      </c>
      <c r="I487" s="2043">
        <v>819711</v>
      </c>
      <c r="J487">
        <v>19.289000000000001</v>
      </c>
      <c r="K487">
        <v>53</v>
      </c>
      <c r="L487">
        <v>0</v>
      </c>
      <c r="M487">
        <v>0</v>
      </c>
      <c r="N487">
        <v>0</v>
      </c>
      <c r="O487">
        <v>0</v>
      </c>
      <c r="P487">
        <v>0</v>
      </c>
      <c r="Q487">
        <v>0</v>
      </c>
      <c r="R487" s="2043">
        <v>2387651</v>
      </c>
      <c r="S487">
        <v>162573</v>
      </c>
      <c r="T487">
        <v>0</v>
      </c>
      <c r="U487">
        <v>0.06</v>
      </c>
      <c r="V487">
        <v>0</v>
      </c>
      <c r="W487">
        <v>0</v>
      </c>
      <c r="X487">
        <v>0</v>
      </c>
      <c r="Y487">
        <v>0</v>
      </c>
      <c r="Z487">
        <v>0</v>
      </c>
      <c r="AA487">
        <v>0</v>
      </c>
      <c r="AB487">
        <v>412.60599999999999</v>
      </c>
      <c r="AC487" s="2043">
        <v>286777944</v>
      </c>
      <c r="AD487">
        <v>942637</v>
      </c>
      <c r="AE487" s="2043">
        <v>2550224</v>
      </c>
      <c r="AF487">
        <v>0.94120000000000004</v>
      </c>
      <c r="AG487">
        <v>0</v>
      </c>
      <c r="AH487">
        <v>0</v>
      </c>
      <c r="AI487">
        <v>0</v>
      </c>
      <c r="AJ487">
        <v>39.938000000000002</v>
      </c>
      <c r="AK487">
        <v>1814</v>
      </c>
      <c r="AL487">
        <v>0</v>
      </c>
      <c r="AM487">
        <v>0</v>
      </c>
      <c r="AN487">
        <v>12.81</v>
      </c>
      <c r="AO487">
        <v>0</v>
      </c>
      <c r="AP487">
        <v>0</v>
      </c>
      <c r="AQ487">
        <v>0</v>
      </c>
      <c r="AR487">
        <v>11.427000000000001</v>
      </c>
      <c r="AS487">
        <v>0</v>
      </c>
      <c r="AT487">
        <v>0.66900000000000004</v>
      </c>
      <c r="AU487">
        <v>0.36499999999999999</v>
      </c>
      <c r="AV487">
        <v>0</v>
      </c>
      <c r="AW487">
        <v>12.461</v>
      </c>
      <c r="AX487">
        <v>0</v>
      </c>
      <c r="AY487">
        <v>38.113</v>
      </c>
      <c r="AZ487">
        <v>0</v>
      </c>
      <c r="BA487">
        <v>2566048</v>
      </c>
      <c r="BB487">
        <v>3492861</v>
      </c>
      <c r="BC487">
        <v>0</v>
      </c>
      <c r="BD487">
        <v>117409</v>
      </c>
      <c r="BE487">
        <v>0</v>
      </c>
      <c r="BF487">
        <v>117409</v>
      </c>
      <c r="BG487">
        <v>117409</v>
      </c>
      <c r="BH487">
        <v>0</v>
      </c>
      <c r="BI487">
        <v>0</v>
      </c>
      <c r="BJ487">
        <v>0</v>
      </c>
      <c r="BK487">
        <v>0</v>
      </c>
      <c r="BL487">
        <v>273283081</v>
      </c>
      <c r="BM487">
        <v>0</v>
      </c>
      <c r="BN487">
        <v>1782</v>
      </c>
      <c r="BO487">
        <v>856</v>
      </c>
      <c r="BP487">
        <v>0</v>
      </c>
      <c r="BQ487">
        <v>0</v>
      </c>
      <c r="BR487">
        <v>0.88120000000000009</v>
      </c>
      <c r="BS487">
        <v>0.88120000000000009</v>
      </c>
      <c r="BT487">
        <v>0</v>
      </c>
      <c r="BU487">
        <v>0</v>
      </c>
      <c r="BV487">
        <v>47</v>
      </c>
      <c r="BW487">
        <v>1</v>
      </c>
      <c r="BX487">
        <v>111</v>
      </c>
      <c r="BY487">
        <v>0</v>
      </c>
      <c r="BZ487">
        <v>5</v>
      </c>
      <c r="CA487">
        <v>164</v>
      </c>
      <c r="CB487">
        <v>0</v>
      </c>
      <c r="CC487">
        <v>0</v>
      </c>
      <c r="CD487">
        <v>0</v>
      </c>
      <c r="CE487">
        <v>30</v>
      </c>
      <c r="CF487">
        <v>76.00500000000001</v>
      </c>
      <c r="CG487">
        <v>0</v>
      </c>
      <c r="CH487">
        <v>0</v>
      </c>
      <c r="CI487">
        <v>1</v>
      </c>
      <c r="CJ487">
        <v>0</v>
      </c>
      <c r="CK487">
        <v>0</v>
      </c>
      <c r="CL487">
        <v>0</v>
      </c>
      <c r="CM487">
        <v>82.281000000000006</v>
      </c>
      <c r="CN487">
        <v>0</v>
      </c>
      <c r="CO487">
        <v>0</v>
      </c>
      <c r="CP487">
        <v>0</v>
      </c>
      <c r="CQ487">
        <v>0</v>
      </c>
      <c r="CR487">
        <v>0</v>
      </c>
      <c r="CS487">
        <v>0</v>
      </c>
      <c r="CT487">
        <v>0</v>
      </c>
      <c r="CU487">
        <v>1.9590000000000001</v>
      </c>
      <c r="CV487">
        <v>41.896999999999998</v>
      </c>
      <c r="CW487">
        <v>19.186</v>
      </c>
      <c r="CX487">
        <v>0</v>
      </c>
      <c r="CY487" s="2043">
        <v>0</v>
      </c>
      <c r="CZ487" s="2043">
        <v>0</v>
      </c>
      <c r="DA487" s="2043">
        <v>0</v>
      </c>
      <c r="DB487" s="2043">
        <v>0</v>
      </c>
      <c r="DC487" s="2043">
        <v>0</v>
      </c>
      <c r="DI487" t="s">
        <v>5060</v>
      </c>
      <c r="DJ487" t="s">
        <v>5060</v>
      </c>
      <c r="DK487" s="2042">
        <f t="shared" si="9"/>
        <v>0</v>
      </c>
    </row>
    <row r="488" spans="1:115">
      <c r="A488" t="s">
        <v>5061</v>
      </c>
      <c r="B488" t="s">
        <v>1055</v>
      </c>
      <c r="C488">
        <v>115.17</v>
      </c>
      <c r="D488">
        <v>104.78500000000001</v>
      </c>
      <c r="E488">
        <v>34.710999999999999</v>
      </c>
      <c r="F488">
        <v>0</v>
      </c>
      <c r="G488" s="2043">
        <v>129759582</v>
      </c>
      <c r="H488">
        <v>0</v>
      </c>
      <c r="I488" s="2043">
        <v>199508</v>
      </c>
      <c r="J488">
        <v>1</v>
      </c>
      <c r="K488">
        <v>3</v>
      </c>
      <c r="L488">
        <v>0</v>
      </c>
      <c r="M488">
        <v>0</v>
      </c>
      <c r="N488">
        <v>0</v>
      </c>
      <c r="O488">
        <v>0</v>
      </c>
      <c r="P488">
        <v>0</v>
      </c>
      <c r="Q488">
        <v>0</v>
      </c>
      <c r="R488" s="2043">
        <v>1162607</v>
      </c>
      <c r="S488">
        <v>102444</v>
      </c>
      <c r="T488">
        <v>115249</v>
      </c>
      <c r="U488">
        <v>0.08</v>
      </c>
      <c r="V488">
        <v>0</v>
      </c>
      <c r="W488">
        <v>0</v>
      </c>
      <c r="X488">
        <v>2584</v>
      </c>
      <c r="Y488">
        <v>65179</v>
      </c>
      <c r="Z488">
        <v>0</v>
      </c>
      <c r="AA488">
        <v>0</v>
      </c>
      <c r="AB488">
        <v>104.78500000000001</v>
      </c>
      <c r="AC488" s="2043">
        <v>125819400</v>
      </c>
      <c r="AD488">
        <v>182925</v>
      </c>
      <c r="AE488" s="2043">
        <v>1380300</v>
      </c>
      <c r="AF488">
        <v>1.0779000000000001</v>
      </c>
      <c r="AG488">
        <v>0</v>
      </c>
      <c r="AH488">
        <v>2584</v>
      </c>
      <c r="AI488">
        <v>0</v>
      </c>
      <c r="AJ488">
        <v>21.938000000000002</v>
      </c>
      <c r="AK488">
        <v>382</v>
      </c>
      <c r="AL488">
        <v>0</v>
      </c>
      <c r="AM488">
        <v>0</v>
      </c>
      <c r="AN488">
        <v>6.484</v>
      </c>
      <c r="AO488">
        <v>0</v>
      </c>
      <c r="AP488">
        <v>0</v>
      </c>
      <c r="AQ488">
        <v>0</v>
      </c>
      <c r="AR488">
        <v>0.64400000000000002</v>
      </c>
      <c r="AS488">
        <v>0</v>
      </c>
      <c r="AT488">
        <v>0</v>
      </c>
      <c r="AU488">
        <v>0.24500000000000002</v>
      </c>
      <c r="AV488">
        <v>0</v>
      </c>
      <c r="AW488">
        <v>0.88900000000000001</v>
      </c>
      <c r="AX488">
        <v>0</v>
      </c>
      <c r="AY488">
        <v>3.157</v>
      </c>
      <c r="AZ488">
        <v>0</v>
      </c>
      <c r="BA488">
        <v>633996</v>
      </c>
      <c r="BB488">
        <v>1563225</v>
      </c>
      <c r="BC488">
        <v>0</v>
      </c>
      <c r="BD488">
        <v>64056</v>
      </c>
      <c r="BE488">
        <v>0</v>
      </c>
      <c r="BF488">
        <v>64056</v>
      </c>
      <c r="BG488">
        <v>64056</v>
      </c>
      <c r="BH488">
        <v>0</v>
      </c>
      <c r="BI488">
        <v>0</v>
      </c>
      <c r="BJ488">
        <v>0</v>
      </c>
      <c r="BK488">
        <v>0</v>
      </c>
      <c r="BL488">
        <v>129759582</v>
      </c>
      <c r="BM488">
        <v>0</v>
      </c>
      <c r="BN488">
        <v>0</v>
      </c>
      <c r="BO488">
        <v>0</v>
      </c>
      <c r="BP488">
        <v>0</v>
      </c>
      <c r="BQ488">
        <v>0</v>
      </c>
      <c r="BR488">
        <v>0.90790000000000004</v>
      </c>
      <c r="BS488">
        <v>0.90790000000000004</v>
      </c>
      <c r="BT488">
        <v>0</v>
      </c>
      <c r="BU488">
        <v>0</v>
      </c>
      <c r="BV488">
        <v>18</v>
      </c>
      <c r="BW488">
        <v>13</v>
      </c>
      <c r="BX488">
        <v>24</v>
      </c>
      <c r="BY488">
        <v>0</v>
      </c>
      <c r="BZ488">
        <v>32</v>
      </c>
      <c r="CA488">
        <v>87</v>
      </c>
      <c r="CB488">
        <v>0</v>
      </c>
      <c r="CC488">
        <v>0</v>
      </c>
      <c r="CD488">
        <v>0</v>
      </c>
      <c r="CE488">
        <v>4</v>
      </c>
      <c r="CF488">
        <v>42.335999999999999</v>
      </c>
      <c r="CG488">
        <v>0</v>
      </c>
      <c r="CH488">
        <v>0</v>
      </c>
      <c r="CI488">
        <v>0</v>
      </c>
      <c r="CJ488">
        <v>0</v>
      </c>
      <c r="CK488">
        <v>0</v>
      </c>
      <c r="CL488">
        <v>0</v>
      </c>
      <c r="CM488">
        <v>34.710999999999999</v>
      </c>
      <c r="CN488">
        <v>0</v>
      </c>
      <c r="CO488">
        <v>0</v>
      </c>
      <c r="CP488">
        <v>0</v>
      </c>
      <c r="CQ488">
        <v>0</v>
      </c>
      <c r="CR488">
        <v>0</v>
      </c>
      <c r="CS488">
        <v>0</v>
      </c>
      <c r="CT488">
        <v>0</v>
      </c>
      <c r="CU488">
        <v>1.661</v>
      </c>
      <c r="CV488">
        <v>0.38200000000000001</v>
      </c>
      <c r="CW488">
        <v>0</v>
      </c>
      <c r="CX488">
        <v>0</v>
      </c>
      <c r="CY488" s="2043">
        <v>65179</v>
      </c>
      <c r="CZ488" s="2043">
        <v>0</v>
      </c>
      <c r="DA488" s="2043">
        <v>0</v>
      </c>
      <c r="DB488" s="2043">
        <v>0</v>
      </c>
      <c r="DC488" s="2043">
        <v>32504</v>
      </c>
      <c r="DI488" t="s">
        <v>5061</v>
      </c>
      <c r="DJ488" t="s">
        <v>5061</v>
      </c>
      <c r="DK488" s="2042">
        <f t="shared" si="9"/>
        <v>0</v>
      </c>
    </row>
    <row r="489" spans="1:115">
      <c r="A489" t="s">
        <v>5062</v>
      </c>
      <c r="B489" t="s">
        <v>1056</v>
      </c>
      <c r="C489">
        <v>721.59500000000003</v>
      </c>
      <c r="D489">
        <v>743.70300000000009</v>
      </c>
      <c r="E489">
        <v>153.92000000000002</v>
      </c>
      <c r="F489">
        <v>68740</v>
      </c>
      <c r="G489" s="2043">
        <v>375114991</v>
      </c>
      <c r="H489">
        <v>0</v>
      </c>
      <c r="I489" s="2043">
        <v>1161976</v>
      </c>
      <c r="J489">
        <v>36.08</v>
      </c>
      <c r="K489">
        <v>99</v>
      </c>
      <c r="L489">
        <v>0</v>
      </c>
      <c r="M489">
        <v>0</v>
      </c>
      <c r="N489">
        <v>0</v>
      </c>
      <c r="O489">
        <v>0</v>
      </c>
      <c r="P489">
        <v>0</v>
      </c>
      <c r="Q489">
        <v>0</v>
      </c>
      <c r="R489" s="2043">
        <v>3158147</v>
      </c>
      <c r="S489">
        <v>290605</v>
      </c>
      <c r="T489">
        <v>211778</v>
      </c>
      <c r="U489">
        <v>0.08</v>
      </c>
      <c r="V489">
        <v>0</v>
      </c>
      <c r="W489">
        <v>0</v>
      </c>
      <c r="X489">
        <v>0</v>
      </c>
      <c r="Y489">
        <v>68740</v>
      </c>
      <c r="Z489">
        <v>0</v>
      </c>
      <c r="AA489">
        <v>7.0000000000000001E-3</v>
      </c>
      <c r="AB489">
        <v>743.70300000000009</v>
      </c>
      <c r="AC489" s="2043">
        <v>399151591</v>
      </c>
      <c r="AD489">
        <v>788652</v>
      </c>
      <c r="AE489" s="2043">
        <v>3660530</v>
      </c>
      <c r="AF489">
        <v>1.0077</v>
      </c>
      <c r="AG489">
        <v>0</v>
      </c>
      <c r="AH489">
        <v>0</v>
      </c>
      <c r="AI489">
        <v>0</v>
      </c>
      <c r="AJ489">
        <v>119.53800000000001</v>
      </c>
      <c r="AK489">
        <v>2067</v>
      </c>
      <c r="AL489">
        <v>0</v>
      </c>
      <c r="AM489">
        <v>0</v>
      </c>
      <c r="AN489">
        <v>11.255000000000001</v>
      </c>
      <c r="AO489">
        <v>0</v>
      </c>
      <c r="AP489">
        <v>0</v>
      </c>
      <c r="AQ489">
        <v>0</v>
      </c>
      <c r="AR489">
        <v>16.263999999999999</v>
      </c>
      <c r="AS489">
        <v>0</v>
      </c>
      <c r="AT489">
        <v>0.56700000000000006</v>
      </c>
      <c r="AU489">
        <v>0.46100000000000002</v>
      </c>
      <c r="AV489">
        <v>0</v>
      </c>
      <c r="AW489">
        <v>17.292000000000002</v>
      </c>
      <c r="AX489">
        <v>0</v>
      </c>
      <c r="AY489">
        <v>52.798000000000002</v>
      </c>
      <c r="AZ489">
        <v>0</v>
      </c>
      <c r="BA489">
        <v>5485113</v>
      </c>
      <c r="BB489">
        <v>4449182</v>
      </c>
      <c r="BC489">
        <v>0</v>
      </c>
      <c r="BD489">
        <v>39612</v>
      </c>
      <c r="BE489">
        <v>0</v>
      </c>
      <c r="BF489">
        <v>39612</v>
      </c>
      <c r="BG489">
        <v>39612</v>
      </c>
      <c r="BH489">
        <v>0</v>
      </c>
      <c r="BI489">
        <v>0</v>
      </c>
      <c r="BJ489">
        <v>0</v>
      </c>
      <c r="BK489">
        <v>0</v>
      </c>
      <c r="BL489">
        <v>375114991</v>
      </c>
      <c r="BM489">
        <v>0</v>
      </c>
      <c r="BN489">
        <v>3141</v>
      </c>
      <c r="BO489">
        <v>2001</v>
      </c>
      <c r="BP489">
        <v>0</v>
      </c>
      <c r="BQ489">
        <v>0</v>
      </c>
      <c r="BR489">
        <v>0.86940000000000006</v>
      </c>
      <c r="BS489">
        <v>0.86940000000000006</v>
      </c>
      <c r="BT489">
        <v>0</v>
      </c>
      <c r="BU489">
        <v>0</v>
      </c>
      <c r="BV489">
        <v>10</v>
      </c>
      <c r="BW489">
        <v>177</v>
      </c>
      <c r="BX489">
        <v>103</v>
      </c>
      <c r="BY489">
        <v>0</v>
      </c>
      <c r="BZ489">
        <v>180</v>
      </c>
      <c r="CA489">
        <v>470</v>
      </c>
      <c r="CB489">
        <v>0</v>
      </c>
      <c r="CC489">
        <v>0</v>
      </c>
      <c r="CD489">
        <v>0</v>
      </c>
      <c r="CE489">
        <v>31</v>
      </c>
      <c r="CF489">
        <v>168.041</v>
      </c>
      <c r="CG489">
        <v>0</v>
      </c>
      <c r="CH489">
        <v>0</v>
      </c>
      <c r="CI489">
        <v>0</v>
      </c>
      <c r="CJ489">
        <v>4</v>
      </c>
      <c r="CK489">
        <v>0</v>
      </c>
      <c r="CL489">
        <v>0</v>
      </c>
      <c r="CM489">
        <v>153.92000000000002</v>
      </c>
      <c r="CN489">
        <v>0</v>
      </c>
      <c r="CO489">
        <v>0</v>
      </c>
      <c r="CP489">
        <v>0</v>
      </c>
      <c r="CQ489">
        <v>0</v>
      </c>
      <c r="CR489">
        <v>0</v>
      </c>
      <c r="CS489">
        <v>0</v>
      </c>
      <c r="CT489">
        <v>0</v>
      </c>
      <c r="CU489">
        <v>0</v>
      </c>
      <c r="CV489">
        <v>45.701000000000001</v>
      </c>
      <c r="CW489">
        <v>29.494</v>
      </c>
      <c r="CX489">
        <v>0</v>
      </c>
      <c r="CY489" s="2043">
        <v>0</v>
      </c>
      <c r="CZ489" s="2043">
        <v>0</v>
      </c>
      <c r="DA489" s="2043">
        <v>0</v>
      </c>
      <c r="DB489" s="2043">
        <v>68740</v>
      </c>
      <c r="DC489" s="2043">
        <v>0</v>
      </c>
      <c r="DI489" t="s">
        <v>5062</v>
      </c>
      <c r="DJ489" t="s">
        <v>5062</v>
      </c>
      <c r="DK489" s="2042">
        <f t="shared" si="9"/>
        <v>0</v>
      </c>
    </row>
    <row r="490" spans="1:115">
      <c r="A490" t="s">
        <v>5063</v>
      </c>
      <c r="B490" t="s">
        <v>1987</v>
      </c>
      <c r="C490">
        <v>186.512</v>
      </c>
      <c r="D490">
        <v>187.22</v>
      </c>
      <c r="E490">
        <v>38.312000000000005</v>
      </c>
      <c r="F490">
        <v>106353</v>
      </c>
      <c r="G490" s="2043">
        <v>174241157</v>
      </c>
      <c r="H490">
        <v>0</v>
      </c>
      <c r="I490" s="2043">
        <v>849250</v>
      </c>
      <c r="J490">
        <v>9.3260000000000005</v>
      </c>
      <c r="K490">
        <v>25</v>
      </c>
      <c r="L490">
        <v>0</v>
      </c>
      <c r="M490">
        <v>0</v>
      </c>
      <c r="N490">
        <v>0</v>
      </c>
      <c r="O490">
        <v>0</v>
      </c>
      <c r="P490">
        <v>0</v>
      </c>
      <c r="Q490">
        <v>0</v>
      </c>
      <c r="R490" s="2043">
        <v>1372568</v>
      </c>
      <c r="S490">
        <v>80342</v>
      </c>
      <c r="T490">
        <v>0</v>
      </c>
      <c r="U490">
        <v>0.05</v>
      </c>
      <c r="V490">
        <v>0</v>
      </c>
      <c r="W490">
        <v>0</v>
      </c>
      <c r="X490">
        <v>0</v>
      </c>
      <c r="Y490">
        <v>106353</v>
      </c>
      <c r="Z490">
        <v>0</v>
      </c>
      <c r="AA490">
        <v>0</v>
      </c>
      <c r="AB490">
        <v>187.22</v>
      </c>
      <c r="AC490" s="2043">
        <v>125375825</v>
      </c>
      <c r="AD490">
        <v>1132477</v>
      </c>
      <c r="AE490" s="2043">
        <v>1452910</v>
      </c>
      <c r="AF490">
        <v>0.9042</v>
      </c>
      <c r="AG490">
        <v>0</v>
      </c>
      <c r="AH490">
        <v>0</v>
      </c>
      <c r="AI490">
        <v>0</v>
      </c>
      <c r="AJ490">
        <v>41.375</v>
      </c>
      <c r="AK490">
        <v>1800</v>
      </c>
      <c r="AL490">
        <v>0</v>
      </c>
      <c r="AM490">
        <v>0</v>
      </c>
      <c r="AN490">
        <v>14.241000000000001</v>
      </c>
      <c r="AO490">
        <v>0</v>
      </c>
      <c r="AP490">
        <v>0</v>
      </c>
      <c r="AQ490">
        <v>0</v>
      </c>
      <c r="AR490">
        <v>9.3209999999999997</v>
      </c>
      <c r="AS490">
        <v>0</v>
      </c>
      <c r="AT490">
        <v>1.42</v>
      </c>
      <c r="AU490">
        <v>0.34800000000000003</v>
      </c>
      <c r="AV490">
        <v>0</v>
      </c>
      <c r="AW490">
        <v>11.089</v>
      </c>
      <c r="AX490">
        <v>0</v>
      </c>
      <c r="AY490">
        <v>33.963000000000001</v>
      </c>
      <c r="AZ490">
        <v>0</v>
      </c>
      <c r="BA490">
        <v>1382837</v>
      </c>
      <c r="BB490">
        <v>2585387</v>
      </c>
      <c r="BC490">
        <v>0</v>
      </c>
      <c r="BD490">
        <v>34953</v>
      </c>
      <c r="BE490">
        <v>0</v>
      </c>
      <c r="BF490">
        <v>34953</v>
      </c>
      <c r="BG490">
        <v>34953</v>
      </c>
      <c r="BH490">
        <v>0</v>
      </c>
      <c r="BI490">
        <v>0</v>
      </c>
      <c r="BJ490">
        <v>0</v>
      </c>
      <c r="BK490">
        <v>0</v>
      </c>
      <c r="BL490">
        <v>174241157</v>
      </c>
      <c r="BM490">
        <v>0</v>
      </c>
      <c r="BN490">
        <v>603</v>
      </c>
      <c r="BO490">
        <v>610</v>
      </c>
      <c r="BP490">
        <v>0</v>
      </c>
      <c r="BQ490">
        <v>0</v>
      </c>
      <c r="BR490">
        <v>0.85420000000000007</v>
      </c>
      <c r="BS490">
        <v>0.85420000000000007</v>
      </c>
      <c r="BT490">
        <v>0</v>
      </c>
      <c r="BU490">
        <v>0</v>
      </c>
      <c r="BV490">
        <v>21</v>
      </c>
      <c r="BW490">
        <v>11</v>
      </c>
      <c r="BX490">
        <v>119</v>
      </c>
      <c r="BY490">
        <v>9</v>
      </c>
      <c r="BZ490">
        <v>7</v>
      </c>
      <c r="CA490">
        <v>167</v>
      </c>
      <c r="CB490">
        <v>0</v>
      </c>
      <c r="CC490">
        <v>0</v>
      </c>
      <c r="CD490">
        <v>0</v>
      </c>
      <c r="CE490">
        <v>21</v>
      </c>
      <c r="CF490">
        <v>56.984000000000002</v>
      </c>
      <c r="CG490">
        <v>0</v>
      </c>
      <c r="CH490">
        <v>0</v>
      </c>
      <c r="CI490">
        <v>1</v>
      </c>
      <c r="CJ490">
        <v>1</v>
      </c>
      <c r="CK490">
        <v>0</v>
      </c>
      <c r="CL490">
        <v>0</v>
      </c>
      <c r="CM490">
        <v>38.312000000000005</v>
      </c>
      <c r="CN490">
        <v>0</v>
      </c>
      <c r="CO490">
        <v>0</v>
      </c>
      <c r="CP490">
        <v>0</v>
      </c>
      <c r="CQ490">
        <v>0</v>
      </c>
      <c r="CR490">
        <v>0</v>
      </c>
      <c r="CS490">
        <v>0</v>
      </c>
      <c r="CT490">
        <v>0</v>
      </c>
      <c r="CU490">
        <v>1.343</v>
      </c>
      <c r="CV490">
        <v>13.511000000000001</v>
      </c>
      <c r="CW490">
        <v>6.7720000000000002</v>
      </c>
      <c r="CX490">
        <v>0</v>
      </c>
      <c r="CY490" s="2043">
        <v>0</v>
      </c>
      <c r="CZ490" s="2043">
        <v>0</v>
      </c>
      <c r="DA490" s="2043">
        <v>0</v>
      </c>
      <c r="DB490" s="2043">
        <v>106353</v>
      </c>
      <c r="DC490" s="2043">
        <v>0</v>
      </c>
      <c r="DI490" t="s">
        <v>5063</v>
      </c>
      <c r="DJ490" t="s">
        <v>5063</v>
      </c>
      <c r="DK490" s="2042">
        <f t="shared" si="9"/>
        <v>0</v>
      </c>
    </row>
    <row r="491" spans="1:115">
      <c r="A491" t="s">
        <v>5811</v>
      </c>
      <c r="B491" t="s">
        <v>1988</v>
      </c>
      <c r="C491">
        <v>460.94400000000002</v>
      </c>
      <c r="D491">
        <v>496.36800000000005</v>
      </c>
      <c r="E491">
        <v>9.3990000000000009</v>
      </c>
      <c r="F491">
        <v>0</v>
      </c>
      <c r="G491" s="2043">
        <v>342336315</v>
      </c>
      <c r="H491">
        <v>0</v>
      </c>
      <c r="I491" s="2043">
        <v>0</v>
      </c>
      <c r="J491">
        <v>23.047000000000001</v>
      </c>
      <c r="K491">
        <v>63</v>
      </c>
      <c r="L491">
        <v>0</v>
      </c>
      <c r="M491">
        <v>0</v>
      </c>
      <c r="N491">
        <v>0</v>
      </c>
      <c r="O491">
        <v>0</v>
      </c>
      <c r="P491">
        <v>0</v>
      </c>
      <c r="Q491">
        <v>0</v>
      </c>
      <c r="R491" s="2043">
        <v>2843189</v>
      </c>
      <c r="S491">
        <v>168655</v>
      </c>
      <c r="T491">
        <v>0</v>
      </c>
      <c r="U491">
        <v>0.05</v>
      </c>
      <c r="V491">
        <v>0</v>
      </c>
      <c r="W491">
        <v>0</v>
      </c>
      <c r="X491">
        <v>0</v>
      </c>
      <c r="Y491">
        <v>0</v>
      </c>
      <c r="Z491">
        <v>0</v>
      </c>
      <c r="AA491">
        <v>0.114</v>
      </c>
      <c r="AB491">
        <v>489.69100000000003</v>
      </c>
      <c r="AC491" s="2043">
        <v>310601549</v>
      </c>
      <c r="AD491">
        <v>0</v>
      </c>
      <c r="AE491" s="2043">
        <v>3011844</v>
      </c>
      <c r="AF491">
        <v>0.89290000000000003</v>
      </c>
      <c r="AG491">
        <v>0</v>
      </c>
      <c r="AH491">
        <v>0</v>
      </c>
      <c r="AI491">
        <v>0</v>
      </c>
      <c r="AJ491">
        <v>86.15</v>
      </c>
      <c r="AK491">
        <v>4028</v>
      </c>
      <c r="AL491">
        <v>1.4E-2</v>
      </c>
      <c r="AM491">
        <v>0</v>
      </c>
      <c r="AN491">
        <v>33.191000000000003</v>
      </c>
      <c r="AO491">
        <v>0</v>
      </c>
      <c r="AP491">
        <v>0</v>
      </c>
      <c r="AQ491">
        <v>0</v>
      </c>
      <c r="AR491">
        <v>21.037000000000003</v>
      </c>
      <c r="AS491">
        <v>0</v>
      </c>
      <c r="AT491">
        <v>4.9020000000000001</v>
      </c>
      <c r="AU491">
        <v>0.58500000000000008</v>
      </c>
      <c r="AV491">
        <v>0</v>
      </c>
      <c r="AW491">
        <v>26.538</v>
      </c>
      <c r="AX491">
        <v>0</v>
      </c>
      <c r="AY491">
        <v>80.811999999999998</v>
      </c>
      <c r="AZ491">
        <v>0</v>
      </c>
      <c r="BA491">
        <v>3470948</v>
      </c>
      <c r="BB491">
        <v>3011844</v>
      </c>
      <c r="BC491">
        <v>0</v>
      </c>
      <c r="BD491">
        <v>25909</v>
      </c>
      <c r="BE491">
        <v>3121</v>
      </c>
      <c r="BF491">
        <v>29967</v>
      </c>
      <c r="BG491">
        <v>25909</v>
      </c>
      <c r="BH491">
        <v>937</v>
      </c>
      <c r="BI491">
        <v>0</v>
      </c>
      <c r="BJ491">
        <v>0</v>
      </c>
      <c r="BK491">
        <v>0</v>
      </c>
      <c r="BL491">
        <v>342336315</v>
      </c>
      <c r="BM491">
        <v>0</v>
      </c>
      <c r="BN491">
        <v>2106</v>
      </c>
      <c r="BO491">
        <v>1733</v>
      </c>
      <c r="BP491">
        <v>0</v>
      </c>
      <c r="BQ491">
        <v>0</v>
      </c>
      <c r="BR491">
        <v>0.84290000000000009</v>
      </c>
      <c r="BS491">
        <v>0.84290000000000009</v>
      </c>
      <c r="BT491">
        <v>0</v>
      </c>
      <c r="BU491">
        <v>0</v>
      </c>
      <c r="BV491">
        <v>0</v>
      </c>
      <c r="BW491">
        <v>254</v>
      </c>
      <c r="BX491">
        <v>1</v>
      </c>
      <c r="BY491">
        <v>0</v>
      </c>
      <c r="BZ491">
        <v>93</v>
      </c>
      <c r="CA491">
        <v>348</v>
      </c>
      <c r="CB491">
        <v>0</v>
      </c>
      <c r="CC491">
        <v>0</v>
      </c>
      <c r="CD491">
        <v>0</v>
      </c>
      <c r="CE491">
        <v>42</v>
      </c>
      <c r="CF491">
        <v>84.859000000000009</v>
      </c>
      <c r="CG491">
        <v>0</v>
      </c>
      <c r="CH491">
        <v>0</v>
      </c>
      <c r="CI491">
        <v>7</v>
      </c>
      <c r="CJ491">
        <v>6</v>
      </c>
      <c r="CK491">
        <v>0</v>
      </c>
      <c r="CL491">
        <v>0</v>
      </c>
      <c r="CM491">
        <v>9.3990000000000009</v>
      </c>
      <c r="CN491">
        <v>0</v>
      </c>
      <c r="CO491">
        <v>0</v>
      </c>
      <c r="CP491">
        <v>0</v>
      </c>
      <c r="CQ491">
        <v>0</v>
      </c>
      <c r="CR491">
        <v>0</v>
      </c>
      <c r="CS491">
        <v>0</v>
      </c>
      <c r="CT491">
        <v>0</v>
      </c>
      <c r="CU491">
        <v>0.32100000000000001</v>
      </c>
      <c r="CV491">
        <v>38.341999999999999</v>
      </c>
      <c r="CW491">
        <v>32.865000000000002</v>
      </c>
      <c r="CX491">
        <v>0</v>
      </c>
      <c r="CY491" s="2043">
        <v>0</v>
      </c>
      <c r="CZ491" s="2043">
        <v>0</v>
      </c>
      <c r="DA491" s="2043">
        <v>0</v>
      </c>
      <c r="DB491" s="2043">
        <v>0</v>
      </c>
      <c r="DC491" s="2043">
        <v>0</v>
      </c>
      <c r="DI491" t="s">
        <v>5811</v>
      </c>
      <c r="DJ491" t="s">
        <v>5811</v>
      </c>
      <c r="DK491" s="2042">
        <f t="shared" si="9"/>
        <v>0</v>
      </c>
    </row>
    <row r="492" spans="1:115">
      <c r="A492" t="s">
        <v>5064</v>
      </c>
      <c r="B492" t="s">
        <v>964</v>
      </c>
      <c r="C492">
        <v>1026.7540000000001</v>
      </c>
      <c r="D492">
        <v>1006.5890000000001</v>
      </c>
      <c r="E492">
        <v>39.033000000000001</v>
      </c>
      <c r="F492">
        <v>0</v>
      </c>
      <c r="G492" s="2043">
        <v>482869637</v>
      </c>
      <c r="H492">
        <v>0</v>
      </c>
      <c r="I492" s="2043">
        <v>699238</v>
      </c>
      <c r="J492">
        <v>51.338000000000001</v>
      </c>
      <c r="K492">
        <v>140</v>
      </c>
      <c r="L492">
        <v>0</v>
      </c>
      <c r="M492">
        <v>0</v>
      </c>
      <c r="N492">
        <v>0</v>
      </c>
      <c r="O492">
        <v>0</v>
      </c>
      <c r="P492">
        <v>0</v>
      </c>
      <c r="Q492">
        <v>0</v>
      </c>
      <c r="R492" s="2043">
        <v>3732257</v>
      </c>
      <c r="S492">
        <v>349380</v>
      </c>
      <c r="T492">
        <v>218363</v>
      </c>
      <c r="U492">
        <v>0.08</v>
      </c>
      <c r="V492">
        <v>0</v>
      </c>
      <c r="W492">
        <v>0</v>
      </c>
      <c r="X492">
        <v>0</v>
      </c>
      <c r="Y492">
        <v>0</v>
      </c>
      <c r="Z492">
        <v>0</v>
      </c>
      <c r="AA492">
        <v>0.218</v>
      </c>
      <c r="AB492">
        <v>1006.5890000000001</v>
      </c>
      <c r="AC492" s="2043">
        <v>394609207</v>
      </c>
      <c r="AD492">
        <v>630000</v>
      </c>
      <c r="AE492" s="2043">
        <v>4300000</v>
      </c>
      <c r="AF492">
        <v>0.98460000000000003</v>
      </c>
      <c r="AG492">
        <v>0</v>
      </c>
      <c r="AH492">
        <v>0</v>
      </c>
      <c r="AI492">
        <v>0</v>
      </c>
      <c r="AJ492">
        <v>162.03800000000001</v>
      </c>
      <c r="AK492">
        <v>5679</v>
      </c>
      <c r="AL492">
        <v>0</v>
      </c>
      <c r="AM492">
        <v>0</v>
      </c>
      <c r="AN492">
        <v>11.361000000000001</v>
      </c>
      <c r="AO492">
        <v>0</v>
      </c>
      <c r="AP492">
        <v>0.68</v>
      </c>
      <c r="AQ492">
        <v>0</v>
      </c>
      <c r="AR492">
        <v>47.886000000000003</v>
      </c>
      <c r="AS492">
        <v>0</v>
      </c>
      <c r="AT492">
        <v>6.3580000000000005</v>
      </c>
      <c r="AU492">
        <v>2.6960000000000002</v>
      </c>
      <c r="AV492">
        <v>0</v>
      </c>
      <c r="AW492">
        <v>57.620000000000005</v>
      </c>
      <c r="AX492">
        <v>0</v>
      </c>
      <c r="AY492">
        <v>178.048</v>
      </c>
      <c r="AZ492">
        <v>0</v>
      </c>
      <c r="BA492">
        <v>8218336</v>
      </c>
      <c r="BB492">
        <v>4930000</v>
      </c>
      <c r="BC492">
        <v>0</v>
      </c>
      <c r="BD492">
        <v>114802</v>
      </c>
      <c r="BE492">
        <v>19212</v>
      </c>
      <c r="BF492">
        <v>135802</v>
      </c>
      <c r="BG492">
        <v>114802</v>
      </c>
      <c r="BH492">
        <v>1788</v>
      </c>
      <c r="BI492">
        <v>0</v>
      </c>
      <c r="BJ492">
        <v>0</v>
      </c>
      <c r="BK492">
        <v>0</v>
      </c>
      <c r="BL492">
        <v>482869637</v>
      </c>
      <c r="BM492">
        <v>0</v>
      </c>
      <c r="BN492">
        <v>3690</v>
      </c>
      <c r="BO492">
        <v>2707</v>
      </c>
      <c r="BP492">
        <v>0</v>
      </c>
      <c r="BQ492">
        <v>0</v>
      </c>
      <c r="BR492">
        <v>0.85460000000000003</v>
      </c>
      <c r="BS492">
        <v>0.85460000000000003</v>
      </c>
      <c r="BT492">
        <v>0</v>
      </c>
      <c r="BU492">
        <v>0</v>
      </c>
      <c r="BV492">
        <v>100</v>
      </c>
      <c r="BW492">
        <v>255</v>
      </c>
      <c r="BX492">
        <v>198</v>
      </c>
      <c r="BY492">
        <v>84</v>
      </c>
      <c r="BZ492">
        <v>27</v>
      </c>
      <c r="CA492">
        <v>664</v>
      </c>
      <c r="CB492">
        <v>0</v>
      </c>
      <c r="CC492">
        <v>0</v>
      </c>
      <c r="CD492">
        <v>0</v>
      </c>
      <c r="CE492">
        <v>94</v>
      </c>
      <c r="CF492">
        <v>223.52800000000002</v>
      </c>
      <c r="CG492">
        <v>0</v>
      </c>
      <c r="CH492">
        <v>0</v>
      </c>
      <c r="CI492">
        <v>1</v>
      </c>
      <c r="CJ492">
        <v>5</v>
      </c>
      <c r="CK492">
        <v>0</v>
      </c>
      <c r="CL492">
        <v>0</v>
      </c>
      <c r="CM492">
        <v>39.033000000000001</v>
      </c>
      <c r="CN492">
        <v>0</v>
      </c>
      <c r="CO492">
        <v>0</v>
      </c>
      <c r="CP492">
        <v>0</v>
      </c>
      <c r="CQ492">
        <v>0</v>
      </c>
      <c r="CR492">
        <v>0</v>
      </c>
      <c r="CS492">
        <v>0</v>
      </c>
      <c r="CT492">
        <v>0</v>
      </c>
      <c r="CU492">
        <v>2.0369999999999999</v>
      </c>
      <c r="CV492">
        <v>91.721000000000004</v>
      </c>
      <c r="CW492">
        <v>55.611000000000004</v>
      </c>
      <c r="CX492">
        <v>0</v>
      </c>
      <c r="CY492" s="2043">
        <v>0</v>
      </c>
      <c r="CZ492" s="2043">
        <v>0</v>
      </c>
      <c r="DA492" s="2043">
        <v>0</v>
      </c>
      <c r="DB492" s="2043">
        <v>0</v>
      </c>
      <c r="DC492" s="2043">
        <v>0</v>
      </c>
      <c r="DI492" t="s">
        <v>5064</v>
      </c>
      <c r="DJ492" t="s">
        <v>5064</v>
      </c>
      <c r="DK492" s="2042">
        <f t="shared" si="9"/>
        <v>0</v>
      </c>
    </row>
    <row r="493" spans="1:115">
      <c r="A493" t="s">
        <v>3016</v>
      </c>
      <c r="B493" t="s">
        <v>1078</v>
      </c>
      <c r="C493">
        <v>2504.8560000000002</v>
      </c>
      <c r="D493">
        <v>2692.6130000000003</v>
      </c>
      <c r="E493">
        <v>53.438000000000002</v>
      </c>
      <c r="F493">
        <v>0</v>
      </c>
      <c r="G493" s="2043">
        <v>1039673144</v>
      </c>
      <c r="H493">
        <v>0</v>
      </c>
      <c r="I493" s="2043">
        <v>3015478</v>
      </c>
      <c r="J493">
        <v>125.24300000000001</v>
      </c>
      <c r="K493">
        <v>342</v>
      </c>
      <c r="L493">
        <v>0</v>
      </c>
      <c r="M493">
        <v>1438138</v>
      </c>
      <c r="N493">
        <v>0</v>
      </c>
      <c r="O493">
        <v>1438138</v>
      </c>
      <c r="P493">
        <v>0</v>
      </c>
      <c r="Q493">
        <v>0</v>
      </c>
      <c r="R493" s="2043">
        <v>8641208</v>
      </c>
      <c r="S493">
        <v>813482</v>
      </c>
      <c r="T493">
        <v>592824</v>
      </c>
      <c r="U493">
        <v>0.08</v>
      </c>
      <c r="V493">
        <v>0</v>
      </c>
      <c r="W493">
        <v>0</v>
      </c>
      <c r="X493">
        <v>0</v>
      </c>
      <c r="Y493">
        <v>-4645</v>
      </c>
      <c r="Z493">
        <v>4.8540000000000001</v>
      </c>
      <c r="AA493">
        <v>0.39300000000000002</v>
      </c>
      <c r="AB493">
        <v>2607.2080000000001</v>
      </c>
      <c r="AC493" s="2043">
        <v>889774458</v>
      </c>
      <c r="AD493">
        <v>3384744</v>
      </c>
      <c r="AE493" s="2043">
        <v>10047514</v>
      </c>
      <c r="AF493">
        <v>0.98810000000000009</v>
      </c>
      <c r="AG493">
        <v>0</v>
      </c>
      <c r="AH493">
        <v>0</v>
      </c>
      <c r="AI493">
        <v>0</v>
      </c>
      <c r="AJ493">
        <v>407.76300000000003</v>
      </c>
      <c r="AK493">
        <v>12108</v>
      </c>
      <c r="AL493">
        <v>0.46700000000000003</v>
      </c>
      <c r="AM493">
        <v>0</v>
      </c>
      <c r="AN493">
        <v>145.297</v>
      </c>
      <c r="AO493">
        <v>0</v>
      </c>
      <c r="AP493">
        <v>0.45800000000000002</v>
      </c>
      <c r="AQ493">
        <v>0</v>
      </c>
      <c r="AR493">
        <v>62.151000000000003</v>
      </c>
      <c r="AS493">
        <v>0</v>
      </c>
      <c r="AT493">
        <v>34.506</v>
      </c>
      <c r="AU493">
        <v>7.0580000000000007</v>
      </c>
      <c r="AV493">
        <v>0</v>
      </c>
      <c r="AW493">
        <v>105.455</v>
      </c>
      <c r="AX493">
        <v>0.81500000000000006</v>
      </c>
      <c r="AY493">
        <v>330.70699999999999</v>
      </c>
      <c r="AZ493">
        <v>0</v>
      </c>
      <c r="BA493">
        <v>17268777</v>
      </c>
      <c r="BB493">
        <v>13432258</v>
      </c>
      <c r="BC493">
        <v>0</v>
      </c>
      <c r="BD493">
        <v>156809</v>
      </c>
      <c r="BE493">
        <v>42169</v>
      </c>
      <c r="BF493">
        <v>203239</v>
      </c>
      <c r="BG493">
        <v>156809</v>
      </c>
      <c r="BH493">
        <v>4261</v>
      </c>
      <c r="BI493">
        <v>-4645</v>
      </c>
      <c r="BJ493">
        <v>0</v>
      </c>
      <c r="BK493">
        <v>0</v>
      </c>
      <c r="BL493">
        <v>1039673144</v>
      </c>
      <c r="BM493">
        <v>0</v>
      </c>
      <c r="BN493">
        <v>8766</v>
      </c>
      <c r="BO493">
        <v>8260</v>
      </c>
      <c r="BP493">
        <v>0</v>
      </c>
      <c r="BQ493">
        <v>0</v>
      </c>
      <c r="BR493">
        <v>0.8498</v>
      </c>
      <c r="BS493">
        <v>0.8498</v>
      </c>
      <c r="BT493">
        <v>0</v>
      </c>
      <c r="BU493">
        <v>0</v>
      </c>
      <c r="BV493">
        <v>415</v>
      </c>
      <c r="BW493">
        <v>908</v>
      </c>
      <c r="BX493">
        <v>306</v>
      </c>
      <c r="BY493">
        <v>3</v>
      </c>
      <c r="BZ493">
        <v>78</v>
      </c>
      <c r="CA493">
        <v>1710</v>
      </c>
      <c r="CB493">
        <v>0</v>
      </c>
      <c r="CC493">
        <v>0</v>
      </c>
      <c r="CD493">
        <v>0</v>
      </c>
      <c r="CE493">
        <v>157</v>
      </c>
      <c r="CF493">
        <v>542.38700000000006</v>
      </c>
      <c r="CG493">
        <v>0</v>
      </c>
      <c r="CH493">
        <v>0</v>
      </c>
      <c r="CI493">
        <v>2</v>
      </c>
      <c r="CJ493">
        <v>28</v>
      </c>
      <c r="CK493">
        <v>0</v>
      </c>
      <c r="CL493">
        <v>0</v>
      </c>
      <c r="CM493">
        <v>53.438000000000002</v>
      </c>
      <c r="CN493">
        <v>0</v>
      </c>
      <c r="CO493">
        <v>0</v>
      </c>
      <c r="CP493">
        <v>0</v>
      </c>
      <c r="CQ493">
        <v>0</v>
      </c>
      <c r="CR493">
        <v>0</v>
      </c>
      <c r="CS493">
        <v>0</v>
      </c>
      <c r="CT493">
        <v>0</v>
      </c>
      <c r="CU493">
        <v>50.594000000000001</v>
      </c>
      <c r="CV493">
        <v>196.541</v>
      </c>
      <c r="CW493">
        <v>110.50700000000001</v>
      </c>
      <c r="CX493">
        <v>0</v>
      </c>
      <c r="CY493" s="2043">
        <v>0</v>
      </c>
      <c r="CZ493" s="2043">
        <v>0</v>
      </c>
      <c r="DA493" s="2043">
        <v>0</v>
      </c>
      <c r="DB493" s="2043">
        <v>0</v>
      </c>
      <c r="DC493" s="2043">
        <v>0</v>
      </c>
      <c r="DI493" t="s">
        <v>3016</v>
      </c>
      <c r="DJ493" t="s">
        <v>3016</v>
      </c>
      <c r="DK493" s="2042">
        <f t="shared" si="9"/>
        <v>0</v>
      </c>
    </row>
    <row r="494" spans="1:115">
      <c r="A494" t="s">
        <v>5065</v>
      </c>
      <c r="B494" t="s">
        <v>362</v>
      </c>
      <c r="C494">
        <v>2417.8330000000001</v>
      </c>
      <c r="D494">
        <v>2392.4180000000001</v>
      </c>
      <c r="E494">
        <v>78.992000000000004</v>
      </c>
      <c r="F494">
        <v>0</v>
      </c>
      <c r="G494" s="2043">
        <v>1223790435</v>
      </c>
      <c r="H494">
        <v>0</v>
      </c>
      <c r="I494" s="2043">
        <v>3480096</v>
      </c>
      <c r="J494">
        <v>120.89200000000001</v>
      </c>
      <c r="K494">
        <v>330</v>
      </c>
      <c r="L494">
        <v>0</v>
      </c>
      <c r="M494">
        <v>0</v>
      </c>
      <c r="N494">
        <v>0</v>
      </c>
      <c r="O494">
        <v>0</v>
      </c>
      <c r="P494">
        <v>0</v>
      </c>
      <c r="Q494">
        <v>0</v>
      </c>
      <c r="R494" s="2043">
        <v>9267957</v>
      </c>
      <c r="S494">
        <v>557237</v>
      </c>
      <c r="T494">
        <v>0</v>
      </c>
      <c r="U494">
        <v>0.05</v>
      </c>
      <c r="V494">
        <v>0</v>
      </c>
      <c r="W494">
        <v>0</v>
      </c>
      <c r="X494">
        <v>0</v>
      </c>
      <c r="Y494">
        <v>0</v>
      </c>
      <c r="Z494">
        <v>3.7250000000000001</v>
      </c>
      <c r="AA494">
        <v>0</v>
      </c>
      <c r="AB494">
        <v>2308.6190000000001</v>
      </c>
      <c r="AC494" s="2043">
        <v>919118383</v>
      </c>
      <c r="AD494">
        <v>3330875</v>
      </c>
      <c r="AE494" s="2043">
        <v>9825194</v>
      </c>
      <c r="AF494">
        <v>0.88160000000000005</v>
      </c>
      <c r="AG494">
        <v>0</v>
      </c>
      <c r="AH494">
        <v>0</v>
      </c>
      <c r="AI494">
        <v>0</v>
      </c>
      <c r="AJ494">
        <v>231.01300000000001</v>
      </c>
      <c r="AK494">
        <v>9409</v>
      </c>
      <c r="AL494">
        <v>0</v>
      </c>
      <c r="AM494">
        <v>0</v>
      </c>
      <c r="AN494">
        <v>82.861000000000004</v>
      </c>
      <c r="AO494">
        <v>0</v>
      </c>
      <c r="AP494">
        <v>0</v>
      </c>
      <c r="AQ494">
        <v>0</v>
      </c>
      <c r="AR494">
        <v>69.582000000000008</v>
      </c>
      <c r="AS494">
        <v>0</v>
      </c>
      <c r="AT494">
        <v>15.205</v>
      </c>
      <c r="AU494">
        <v>5.8440000000000003</v>
      </c>
      <c r="AV494">
        <v>0</v>
      </c>
      <c r="AW494">
        <v>94.334000000000003</v>
      </c>
      <c r="AX494">
        <v>3.7030000000000003</v>
      </c>
      <c r="AY494">
        <v>292.09800000000001</v>
      </c>
      <c r="AZ494">
        <v>0</v>
      </c>
      <c r="BA494">
        <v>11739912</v>
      </c>
      <c r="BB494">
        <v>13156069</v>
      </c>
      <c r="BC494">
        <v>0</v>
      </c>
      <c r="BD494">
        <v>259573</v>
      </c>
      <c r="BE494">
        <v>108492</v>
      </c>
      <c r="BF494">
        <v>368065</v>
      </c>
      <c r="BG494">
        <v>259573</v>
      </c>
      <c r="BH494">
        <v>0</v>
      </c>
      <c r="BI494">
        <v>0</v>
      </c>
      <c r="BJ494">
        <v>0</v>
      </c>
      <c r="BK494">
        <v>0</v>
      </c>
      <c r="BL494">
        <v>1223790435</v>
      </c>
      <c r="BM494">
        <v>0</v>
      </c>
      <c r="BN494">
        <v>7695</v>
      </c>
      <c r="BO494">
        <v>1626</v>
      </c>
      <c r="BP494">
        <v>5378</v>
      </c>
      <c r="BQ494">
        <v>0</v>
      </c>
      <c r="BR494">
        <v>0.83160000000000001</v>
      </c>
      <c r="BS494">
        <v>0.83160000000000001</v>
      </c>
      <c r="BT494">
        <v>0</v>
      </c>
      <c r="BU494">
        <v>0</v>
      </c>
      <c r="BV494">
        <v>362</v>
      </c>
      <c r="BW494">
        <v>456</v>
      </c>
      <c r="BX494">
        <v>142</v>
      </c>
      <c r="BY494">
        <v>1</v>
      </c>
      <c r="BZ494">
        <v>20</v>
      </c>
      <c r="CA494">
        <v>981</v>
      </c>
      <c r="CB494">
        <v>0</v>
      </c>
      <c r="CC494">
        <v>0</v>
      </c>
      <c r="CD494">
        <v>0</v>
      </c>
      <c r="CE494">
        <v>247</v>
      </c>
      <c r="CF494">
        <v>356.93299999999999</v>
      </c>
      <c r="CG494">
        <v>0</v>
      </c>
      <c r="CH494">
        <v>0</v>
      </c>
      <c r="CI494">
        <v>10</v>
      </c>
      <c r="CJ494">
        <v>25</v>
      </c>
      <c r="CK494">
        <v>1</v>
      </c>
      <c r="CL494">
        <v>0</v>
      </c>
      <c r="CM494">
        <v>78.992000000000004</v>
      </c>
      <c r="CN494">
        <v>0</v>
      </c>
      <c r="CO494">
        <v>0</v>
      </c>
      <c r="CP494">
        <v>5378</v>
      </c>
      <c r="CQ494">
        <v>0</v>
      </c>
      <c r="CR494">
        <v>0</v>
      </c>
      <c r="CS494">
        <v>0</v>
      </c>
      <c r="CT494">
        <v>0</v>
      </c>
      <c r="CU494">
        <v>31.401</v>
      </c>
      <c r="CV494">
        <v>134.19400000000002</v>
      </c>
      <c r="CW494">
        <v>54.237000000000002</v>
      </c>
      <c r="CX494">
        <v>0</v>
      </c>
      <c r="CY494" s="2043">
        <v>0</v>
      </c>
      <c r="CZ494" s="2043">
        <v>0</v>
      </c>
      <c r="DA494" s="2043">
        <v>0</v>
      </c>
      <c r="DB494" s="2043">
        <v>0</v>
      </c>
      <c r="DC494" s="2043">
        <v>0</v>
      </c>
      <c r="DI494" t="s">
        <v>5065</v>
      </c>
      <c r="DJ494" t="s">
        <v>5065</v>
      </c>
      <c r="DK494" s="2042">
        <f t="shared" si="9"/>
        <v>0</v>
      </c>
    </row>
    <row r="495" spans="1:115">
      <c r="A495" t="s">
        <v>3017</v>
      </c>
      <c r="B495" t="s">
        <v>2161</v>
      </c>
      <c r="C495">
        <v>3896.5860000000002</v>
      </c>
      <c r="D495">
        <v>3871.288</v>
      </c>
      <c r="E495">
        <v>85.555999999999997</v>
      </c>
      <c r="F495">
        <v>0</v>
      </c>
      <c r="G495" s="2043">
        <v>1499046182</v>
      </c>
      <c r="H495">
        <v>0</v>
      </c>
      <c r="I495" s="2043">
        <v>4007800</v>
      </c>
      <c r="J495">
        <v>194.82900000000001</v>
      </c>
      <c r="K495">
        <v>533</v>
      </c>
      <c r="L495">
        <v>0</v>
      </c>
      <c r="M495">
        <v>0</v>
      </c>
      <c r="N495">
        <v>0</v>
      </c>
      <c r="O495">
        <v>0</v>
      </c>
      <c r="P495">
        <v>0</v>
      </c>
      <c r="Q495">
        <v>0</v>
      </c>
      <c r="R495" s="2043">
        <v>12106248</v>
      </c>
      <c r="S495">
        <v>736390</v>
      </c>
      <c r="T495">
        <v>0</v>
      </c>
      <c r="U495">
        <v>0.05</v>
      </c>
      <c r="V495">
        <v>0</v>
      </c>
      <c r="W495">
        <v>0</v>
      </c>
      <c r="X495">
        <v>0</v>
      </c>
      <c r="Y495">
        <v>0</v>
      </c>
      <c r="Z495">
        <v>0</v>
      </c>
      <c r="AA495">
        <v>0.53900000000000003</v>
      </c>
      <c r="AB495">
        <v>3871.288</v>
      </c>
      <c r="AC495" s="2043">
        <v>1221986203</v>
      </c>
      <c r="AD495">
        <v>4081701</v>
      </c>
      <c r="AE495" s="2043">
        <v>12842638</v>
      </c>
      <c r="AF495">
        <v>0.872</v>
      </c>
      <c r="AG495">
        <v>0</v>
      </c>
      <c r="AH495">
        <v>0</v>
      </c>
      <c r="AI495">
        <v>0</v>
      </c>
      <c r="AJ495">
        <v>359.77500000000003</v>
      </c>
      <c r="AK495">
        <v>13078</v>
      </c>
      <c r="AL495">
        <v>0.38900000000000001</v>
      </c>
      <c r="AM495">
        <v>0</v>
      </c>
      <c r="AN495">
        <v>92.907000000000011</v>
      </c>
      <c r="AO495">
        <v>1</v>
      </c>
      <c r="AP495">
        <v>0.81100000000000005</v>
      </c>
      <c r="AQ495">
        <v>0</v>
      </c>
      <c r="AR495">
        <v>104.744</v>
      </c>
      <c r="AS495">
        <v>0</v>
      </c>
      <c r="AT495">
        <v>25.687000000000001</v>
      </c>
      <c r="AU495">
        <v>9.8460000000000001</v>
      </c>
      <c r="AV495">
        <v>0</v>
      </c>
      <c r="AW495">
        <v>141.477</v>
      </c>
      <c r="AX495">
        <v>0</v>
      </c>
      <c r="AY495">
        <v>444.65800000000002</v>
      </c>
      <c r="AZ495">
        <v>0</v>
      </c>
      <c r="BA495">
        <v>21869386</v>
      </c>
      <c r="BB495">
        <v>16924339</v>
      </c>
      <c r="BC495">
        <v>0</v>
      </c>
      <c r="BD495">
        <v>168126</v>
      </c>
      <c r="BE495">
        <v>75962</v>
      </c>
      <c r="BF495">
        <v>244088</v>
      </c>
      <c r="BG495">
        <v>168126</v>
      </c>
      <c r="BH495">
        <v>0</v>
      </c>
      <c r="BI495">
        <v>0</v>
      </c>
      <c r="BJ495">
        <v>0</v>
      </c>
      <c r="BK495">
        <v>0</v>
      </c>
      <c r="BL495">
        <v>1499046182</v>
      </c>
      <c r="BM495">
        <v>0</v>
      </c>
      <c r="BN495">
        <v>15093</v>
      </c>
      <c r="BO495">
        <v>12123</v>
      </c>
      <c r="BP495">
        <v>7289</v>
      </c>
      <c r="BQ495">
        <v>0</v>
      </c>
      <c r="BR495">
        <v>0.82200000000000006</v>
      </c>
      <c r="BS495">
        <v>0.82200000000000006</v>
      </c>
      <c r="BT495">
        <v>0</v>
      </c>
      <c r="BU495">
        <v>0</v>
      </c>
      <c r="BV495">
        <v>155</v>
      </c>
      <c r="BW495">
        <v>1203</v>
      </c>
      <c r="BX495">
        <v>137</v>
      </c>
      <c r="BY495">
        <v>1</v>
      </c>
      <c r="BZ495">
        <v>17</v>
      </c>
      <c r="CA495">
        <v>1513</v>
      </c>
      <c r="CB495">
        <v>0</v>
      </c>
      <c r="CC495">
        <v>0</v>
      </c>
      <c r="CD495">
        <v>0</v>
      </c>
      <c r="CE495">
        <v>325</v>
      </c>
      <c r="CF495">
        <v>520.30100000000004</v>
      </c>
      <c r="CG495">
        <v>0</v>
      </c>
      <c r="CH495">
        <v>0</v>
      </c>
      <c r="CI495">
        <v>4</v>
      </c>
      <c r="CJ495">
        <v>42</v>
      </c>
      <c r="CK495">
        <v>1</v>
      </c>
      <c r="CL495">
        <v>0</v>
      </c>
      <c r="CM495">
        <v>85.555999999999997</v>
      </c>
      <c r="CN495">
        <v>0</v>
      </c>
      <c r="CO495">
        <v>7289</v>
      </c>
      <c r="CP495">
        <v>0</v>
      </c>
      <c r="CQ495">
        <v>0</v>
      </c>
      <c r="CR495">
        <v>0</v>
      </c>
      <c r="CS495">
        <v>0</v>
      </c>
      <c r="CT495">
        <v>0</v>
      </c>
      <c r="CU495">
        <v>41.273000000000003</v>
      </c>
      <c r="CV495">
        <v>322.81</v>
      </c>
      <c r="CW495">
        <v>144.51</v>
      </c>
      <c r="CX495">
        <v>0</v>
      </c>
      <c r="CY495" s="2043">
        <v>0</v>
      </c>
      <c r="CZ495" s="2043">
        <v>0</v>
      </c>
      <c r="DA495" s="2043">
        <v>0</v>
      </c>
      <c r="DB495" s="2043">
        <v>0</v>
      </c>
      <c r="DC495" s="2043">
        <v>0</v>
      </c>
      <c r="DI495" t="s">
        <v>3017</v>
      </c>
      <c r="DJ495" t="s">
        <v>3017</v>
      </c>
      <c r="DK495" s="2042">
        <f t="shared" si="9"/>
        <v>0</v>
      </c>
    </row>
    <row r="496" spans="1:115">
      <c r="A496" t="s">
        <v>3018</v>
      </c>
      <c r="B496" t="s">
        <v>1108</v>
      </c>
      <c r="C496">
        <v>515.86900000000003</v>
      </c>
      <c r="D496">
        <v>546.99</v>
      </c>
      <c r="E496">
        <v>0</v>
      </c>
      <c r="F496">
        <v>0</v>
      </c>
      <c r="G496" s="2043">
        <v>278539207</v>
      </c>
      <c r="H496">
        <v>0</v>
      </c>
      <c r="I496" s="2043">
        <v>236900</v>
      </c>
      <c r="J496">
        <v>25.793000000000003</v>
      </c>
      <c r="K496">
        <v>71</v>
      </c>
      <c r="L496">
        <v>0</v>
      </c>
      <c r="M496">
        <v>1101</v>
      </c>
      <c r="N496">
        <v>0</v>
      </c>
      <c r="O496">
        <v>1101</v>
      </c>
      <c r="P496">
        <v>0</v>
      </c>
      <c r="Q496">
        <v>0</v>
      </c>
      <c r="R496" s="2043">
        <v>2282141</v>
      </c>
      <c r="S496">
        <v>199881</v>
      </c>
      <c r="T496">
        <v>145663</v>
      </c>
      <c r="U496">
        <v>0.08</v>
      </c>
      <c r="V496">
        <v>0</v>
      </c>
      <c r="W496">
        <v>0</v>
      </c>
      <c r="X496">
        <v>0</v>
      </c>
      <c r="Y496">
        <v>0</v>
      </c>
      <c r="Z496">
        <v>0</v>
      </c>
      <c r="AA496">
        <v>0</v>
      </c>
      <c r="AB496">
        <v>529.75</v>
      </c>
      <c r="AC496" s="2043">
        <v>224612615</v>
      </c>
      <c r="AD496">
        <v>225354</v>
      </c>
      <c r="AE496" s="2043">
        <v>2627685</v>
      </c>
      <c r="AF496">
        <v>1.0517000000000001</v>
      </c>
      <c r="AG496">
        <v>0</v>
      </c>
      <c r="AH496">
        <v>0</v>
      </c>
      <c r="AI496">
        <v>0</v>
      </c>
      <c r="AJ496">
        <v>92.45</v>
      </c>
      <c r="AK496">
        <v>3146</v>
      </c>
      <c r="AL496">
        <v>8.6000000000000007E-2</v>
      </c>
      <c r="AM496">
        <v>0</v>
      </c>
      <c r="AN496">
        <v>17.193000000000001</v>
      </c>
      <c r="AO496">
        <v>0</v>
      </c>
      <c r="AP496">
        <v>0</v>
      </c>
      <c r="AQ496">
        <v>0</v>
      </c>
      <c r="AR496">
        <v>19.734999999999999</v>
      </c>
      <c r="AS496">
        <v>0</v>
      </c>
      <c r="AT496">
        <v>3.1020000000000003</v>
      </c>
      <c r="AU496">
        <v>1.2730000000000001</v>
      </c>
      <c r="AV496">
        <v>0</v>
      </c>
      <c r="AW496">
        <v>24.196000000000002</v>
      </c>
      <c r="AX496">
        <v>0</v>
      </c>
      <c r="AY496">
        <v>75.305999999999997</v>
      </c>
      <c r="AZ496">
        <v>0</v>
      </c>
      <c r="BA496">
        <v>4306915</v>
      </c>
      <c r="BB496">
        <v>2853039</v>
      </c>
      <c r="BC496">
        <v>0</v>
      </c>
      <c r="BD496">
        <v>55632</v>
      </c>
      <c r="BE496">
        <v>56516</v>
      </c>
      <c r="BF496">
        <v>112148</v>
      </c>
      <c r="BG496">
        <v>55632</v>
      </c>
      <c r="BH496">
        <v>0</v>
      </c>
      <c r="BI496">
        <v>0</v>
      </c>
      <c r="BJ496">
        <v>0</v>
      </c>
      <c r="BK496">
        <v>0</v>
      </c>
      <c r="BL496">
        <v>278539207</v>
      </c>
      <c r="BM496">
        <v>0</v>
      </c>
      <c r="BN496">
        <v>1890</v>
      </c>
      <c r="BO496">
        <v>1166</v>
      </c>
      <c r="BP496">
        <v>0</v>
      </c>
      <c r="BQ496">
        <v>0</v>
      </c>
      <c r="BR496">
        <v>0.91339999999999999</v>
      </c>
      <c r="BS496">
        <v>0.91339999999999999</v>
      </c>
      <c r="BT496">
        <v>0</v>
      </c>
      <c r="BU496">
        <v>0</v>
      </c>
      <c r="BV496">
        <v>3</v>
      </c>
      <c r="BW496">
        <v>232</v>
      </c>
      <c r="BX496">
        <v>128</v>
      </c>
      <c r="BY496">
        <v>0</v>
      </c>
      <c r="BZ496">
        <v>17</v>
      </c>
      <c r="CA496">
        <v>380</v>
      </c>
      <c r="CB496">
        <v>0</v>
      </c>
      <c r="CC496">
        <v>0</v>
      </c>
      <c r="CD496">
        <v>0</v>
      </c>
      <c r="CE496">
        <v>60</v>
      </c>
      <c r="CF496">
        <v>117.352</v>
      </c>
      <c r="CG496">
        <v>0</v>
      </c>
      <c r="CH496">
        <v>0</v>
      </c>
      <c r="CI496">
        <v>0</v>
      </c>
      <c r="CJ496">
        <v>0</v>
      </c>
      <c r="CK496">
        <v>0</v>
      </c>
      <c r="CL496">
        <v>0</v>
      </c>
      <c r="CM496">
        <v>0</v>
      </c>
      <c r="CN496">
        <v>0</v>
      </c>
      <c r="CO496">
        <v>0</v>
      </c>
      <c r="CP496">
        <v>0</v>
      </c>
      <c r="CQ496">
        <v>0</v>
      </c>
      <c r="CR496">
        <v>0</v>
      </c>
      <c r="CS496">
        <v>0</v>
      </c>
      <c r="CT496">
        <v>0</v>
      </c>
      <c r="CU496">
        <v>2.492</v>
      </c>
      <c r="CV496">
        <v>21.208000000000002</v>
      </c>
      <c r="CW496">
        <v>20.877000000000002</v>
      </c>
      <c r="CX496">
        <v>0</v>
      </c>
      <c r="CY496" s="2043">
        <v>0</v>
      </c>
      <c r="CZ496" s="2043">
        <v>0</v>
      </c>
      <c r="DA496" s="2043">
        <v>0</v>
      </c>
      <c r="DB496" s="2043">
        <v>0</v>
      </c>
      <c r="DC496" s="2043">
        <v>0</v>
      </c>
      <c r="DI496" t="s">
        <v>3018</v>
      </c>
      <c r="DJ496" t="s">
        <v>3018</v>
      </c>
      <c r="DK496" s="2042">
        <f t="shared" si="9"/>
        <v>0</v>
      </c>
    </row>
    <row r="497" spans="1:115">
      <c r="A497" t="s">
        <v>8507</v>
      </c>
      <c r="B497" t="s">
        <v>11321</v>
      </c>
      <c r="C497">
        <v>0</v>
      </c>
      <c r="D497">
        <v>0</v>
      </c>
      <c r="E497">
        <v>0</v>
      </c>
      <c r="F497">
        <v>0</v>
      </c>
      <c r="G497" s="2043">
        <v>0</v>
      </c>
      <c r="H497">
        <v>0</v>
      </c>
      <c r="I497" s="2043">
        <v>0</v>
      </c>
      <c r="J497">
        <v>0</v>
      </c>
      <c r="K497">
        <v>0</v>
      </c>
      <c r="L497">
        <v>0</v>
      </c>
      <c r="M497">
        <v>0</v>
      </c>
      <c r="N497">
        <v>0</v>
      </c>
      <c r="O497">
        <v>0</v>
      </c>
      <c r="P497">
        <v>0</v>
      </c>
      <c r="Q497">
        <v>0</v>
      </c>
      <c r="R497" s="2043">
        <v>0</v>
      </c>
      <c r="S497">
        <v>0</v>
      </c>
      <c r="T497">
        <v>0</v>
      </c>
      <c r="U497">
        <v>0</v>
      </c>
      <c r="V497">
        <v>0</v>
      </c>
      <c r="W497">
        <v>0</v>
      </c>
      <c r="X497">
        <v>0</v>
      </c>
      <c r="Y497">
        <v>529800</v>
      </c>
      <c r="Z497">
        <v>0</v>
      </c>
      <c r="AA497">
        <v>0</v>
      </c>
      <c r="AB497">
        <v>0</v>
      </c>
      <c r="AC497" s="2043">
        <v>0</v>
      </c>
      <c r="AD497">
        <v>0</v>
      </c>
      <c r="AE497" s="2043">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529800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s="2043">
        <v>0</v>
      </c>
      <c r="CZ497" s="2043">
        <v>0</v>
      </c>
      <c r="DA497" s="2043">
        <v>0</v>
      </c>
      <c r="DB497" s="2043">
        <v>0</v>
      </c>
      <c r="DC497" s="2043">
        <v>0</v>
      </c>
      <c r="DI497" t="s">
        <v>8507</v>
      </c>
      <c r="DJ497" t="s">
        <v>8507</v>
      </c>
      <c r="DK497" s="2042">
        <f t="shared" si="9"/>
        <v>0</v>
      </c>
    </row>
    <row r="498" spans="1:115">
      <c r="A498" t="s">
        <v>8004</v>
      </c>
      <c r="B498" t="s">
        <v>11322</v>
      </c>
      <c r="C498">
        <v>945.20500000000004</v>
      </c>
      <c r="D498">
        <v>967.52200000000005</v>
      </c>
      <c r="E498">
        <v>0.90500000000000003</v>
      </c>
      <c r="F498">
        <v>0</v>
      </c>
      <c r="G498" s="2043">
        <v>0</v>
      </c>
      <c r="H498">
        <v>0</v>
      </c>
      <c r="I498" s="2043">
        <v>0</v>
      </c>
      <c r="J498">
        <v>0</v>
      </c>
      <c r="K498">
        <v>0</v>
      </c>
      <c r="L498">
        <v>0</v>
      </c>
      <c r="M498">
        <v>0</v>
      </c>
      <c r="N498">
        <v>0</v>
      </c>
      <c r="O498">
        <v>0</v>
      </c>
      <c r="P498">
        <v>0</v>
      </c>
      <c r="Q498">
        <v>0</v>
      </c>
      <c r="R498" s="2043">
        <v>0</v>
      </c>
      <c r="S498">
        <v>0</v>
      </c>
      <c r="T498">
        <v>0</v>
      </c>
      <c r="U498">
        <v>0</v>
      </c>
      <c r="V498">
        <v>0</v>
      </c>
      <c r="W498">
        <v>0</v>
      </c>
      <c r="X498">
        <v>0</v>
      </c>
      <c r="Y498">
        <v>956750</v>
      </c>
      <c r="Z498">
        <v>0</v>
      </c>
      <c r="AA498">
        <v>0</v>
      </c>
      <c r="AB498">
        <v>967.52200000000005</v>
      </c>
      <c r="AC498" s="2043">
        <v>0</v>
      </c>
      <c r="AD498">
        <v>0</v>
      </c>
      <c r="AE498" s="2043">
        <v>0</v>
      </c>
      <c r="AF498">
        <v>0</v>
      </c>
      <c r="AG498">
        <v>0</v>
      </c>
      <c r="AH498">
        <v>0</v>
      </c>
      <c r="AI498">
        <v>0</v>
      </c>
      <c r="AJ498">
        <v>266.28800000000001</v>
      </c>
      <c r="AK498">
        <v>1111</v>
      </c>
      <c r="AL498">
        <v>0</v>
      </c>
      <c r="AM498">
        <v>0</v>
      </c>
      <c r="AN498">
        <v>3.1930000000000001</v>
      </c>
      <c r="AO498">
        <v>0</v>
      </c>
      <c r="AP498">
        <v>0</v>
      </c>
      <c r="AQ498">
        <v>0</v>
      </c>
      <c r="AR498">
        <v>12.357000000000001</v>
      </c>
      <c r="AS498">
        <v>0</v>
      </c>
      <c r="AT498">
        <v>0</v>
      </c>
      <c r="AU498">
        <v>1.6600000000000001</v>
      </c>
      <c r="AV498">
        <v>0</v>
      </c>
      <c r="AW498">
        <v>14.017000000000001</v>
      </c>
      <c r="AX498">
        <v>0</v>
      </c>
      <c r="AY498">
        <v>45.371000000000002</v>
      </c>
      <c r="AZ498">
        <v>0</v>
      </c>
      <c r="BA498">
        <v>12191129</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25</v>
      </c>
      <c r="BW498">
        <v>51</v>
      </c>
      <c r="BX498">
        <v>115</v>
      </c>
      <c r="BY498">
        <v>126</v>
      </c>
      <c r="BZ498">
        <v>679</v>
      </c>
      <c r="CA498">
        <v>996</v>
      </c>
      <c r="CB498">
        <v>0</v>
      </c>
      <c r="CC498">
        <v>832.99400000000003</v>
      </c>
      <c r="CD498">
        <v>81.152000000000001</v>
      </c>
      <c r="CE498">
        <v>3</v>
      </c>
      <c r="CF498">
        <v>791.90200000000004</v>
      </c>
      <c r="CG498">
        <v>0</v>
      </c>
      <c r="CH498">
        <v>0</v>
      </c>
      <c r="CI498">
        <v>0</v>
      </c>
      <c r="CJ498">
        <v>0</v>
      </c>
      <c r="CK498">
        <v>0</v>
      </c>
      <c r="CL498">
        <v>0</v>
      </c>
      <c r="CM498">
        <v>0.90500000000000003</v>
      </c>
      <c r="CN498">
        <v>0</v>
      </c>
      <c r="CO498">
        <v>0</v>
      </c>
      <c r="CP498">
        <v>0</v>
      </c>
      <c r="CQ498">
        <v>0</v>
      </c>
      <c r="CR498">
        <v>0</v>
      </c>
      <c r="CS498">
        <v>0</v>
      </c>
      <c r="CT498">
        <v>0</v>
      </c>
      <c r="CU498">
        <v>0</v>
      </c>
      <c r="CV498">
        <v>0</v>
      </c>
      <c r="CW498">
        <v>0</v>
      </c>
      <c r="CX498">
        <v>0</v>
      </c>
      <c r="CY498" s="2043">
        <v>789655</v>
      </c>
      <c r="CZ498" s="2043">
        <v>0</v>
      </c>
      <c r="DA498" s="2043">
        <v>0</v>
      </c>
      <c r="DB498" s="2043">
        <v>0</v>
      </c>
      <c r="DC498" s="2043">
        <v>0</v>
      </c>
      <c r="DI498" t="s">
        <v>8004</v>
      </c>
      <c r="DJ498" t="s">
        <v>8004</v>
      </c>
      <c r="DK498" s="2042">
        <f t="shared" si="9"/>
        <v>0</v>
      </c>
    </row>
    <row r="499" spans="1:115">
      <c r="A499" t="s">
        <v>8005</v>
      </c>
      <c r="B499" t="s">
        <v>11323</v>
      </c>
      <c r="C499">
        <v>1166.2540000000001</v>
      </c>
      <c r="D499">
        <v>1031.915</v>
      </c>
      <c r="E499">
        <v>34.459000000000003</v>
      </c>
      <c r="F499">
        <v>0</v>
      </c>
      <c r="G499" s="2043">
        <v>0</v>
      </c>
      <c r="H499">
        <v>0</v>
      </c>
      <c r="I499" s="2043">
        <v>0</v>
      </c>
      <c r="J499">
        <v>0</v>
      </c>
      <c r="K499">
        <v>0</v>
      </c>
      <c r="L499">
        <v>0</v>
      </c>
      <c r="M499">
        <v>0</v>
      </c>
      <c r="N499">
        <v>0</v>
      </c>
      <c r="O499">
        <v>0</v>
      </c>
      <c r="P499">
        <v>0</v>
      </c>
      <c r="Q499">
        <v>0</v>
      </c>
      <c r="R499" s="2043">
        <v>0</v>
      </c>
      <c r="S499">
        <v>0</v>
      </c>
      <c r="T499">
        <v>0</v>
      </c>
      <c r="U499">
        <v>0</v>
      </c>
      <c r="V499">
        <v>30.875</v>
      </c>
      <c r="W499">
        <v>0</v>
      </c>
      <c r="X499">
        <v>0</v>
      </c>
      <c r="Y499">
        <v>355471</v>
      </c>
      <c r="Z499">
        <v>0</v>
      </c>
      <c r="AA499">
        <v>0</v>
      </c>
      <c r="AB499">
        <v>1031.915</v>
      </c>
      <c r="AC499" s="2043">
        <v>0</v>
      </c>
      <c r="AD499">
        <v>0</v>
      </c>
      <c r="AE499" s="2043">
        <v>0</v>
      </c>
      <c r="AF499">
        <v>0</v>
      </c>
      <c r="AG499">
        <v>0</v>
      </c>
      <c r="AH499">
        <v>0</v>
      </c>
      <c r="AI499">
        <v>0</v>
      </c>
      <c r="AJ499">
        <v>17.988</v>
      </c>
      <c r="AK499">
        <v>3104</v>
      </c>
      <c r="AL499">
        <v>0</v>
      </c>
      <c r="AM499">
        <v>0</v>
      </c>
      <c r="AN499">
        <v>62.837000000000003</v>
      </c>
      <c r="AO499">
        <v>0</v>
      </c>
      <c r="AP499">
        <v>0</v>
      </c>
      <c r="AQ499">
        <v>0</v>
      </c>
      <c r="AR499">
        <v>16.115000000000002</v>
      </c>
      <c r="AS499">
        <v>0</v>
      </c>
      <c r="AT499">
        <v>1.4080000000000001</v>
      </c>
      <c r="AU499">
        <v>2.4450000000000003</v>
      </c>
      <c r="AV499">
        <v>0</v>
      </c>
      <c r="AW499">
        <v>19.968</v>
      </c>
      <c r="AX499">
        <v>0</v>
      </c>
      <c r="AY499">
        <v>64.793999999999997</v>
      </c>
      <c r="AZ499">
        <v>0</v>
      </c>
      <c r="BA499">
        <v>10992313</v>
      </c>
      <c r="BB499">
        <v>0</v>
      </c>
      <c r="BC499">
        <v>0</v>
      </c>
      <c r="BD499">
        <v>0</v>
      </c>
      <c r="BE499">
        <v>0</v>
      </c>
      <c r="BF499">
        <v>0</v>
      </c>
      <c r="BG499">
        <v>0</v>
      </c>
      <c r="BH499">
        <v>0</v>
      </c>
      <c r="BI499">
        <v>0</v>
      </c>
      <c r="BJ499">
        <v>0</v>
      </c>
      <c r="BK499">
        <v>0</v>
      </c>
      <c r="BL499">
        <v>0</v>
      </c>
      <c r="BM499">
        <v>0</v>
      </c>
      <c r="BN499">
        <v>2466</v>
      </c>
      <c r="BO499">
        <v>0</v>
      </c>
      <c r="BP499">
        <v>0</v>
      </c>
      <c r="BQ499">
        <v>0</v>
      </c>
      <c r="BR499">
        <v>0</v>
      </c>
      <c r="BS499">
        <v>0</v>
      </c>
      <c r="BT499">
        <v>149298</v>
      </c>
      <c r="BU499">
        <v>0</v>
      </c>
      <c r="BV499">
        <v>28</v>
      </c>
      <c r="BW499">
        <v>31</v>
      </c>
      <c r="BX499">
        <v>11</v>
      </c>
      <c r="BY499">
        <v>6</v>
      </c>
      <c r="BZ499">
        <v>0</v>
      </c>
      <c r="CA499">
        <v>76</v>
      </c>
      <c r="CB499">
        <v>0</v>
      </c>
      <c r="CC499">
        <v>0</v>
      </c>
      <c r="CD499">
        <v>0</v>
      </c>
      <c r="CE499">
        <v>0</v>
      </c>
      <c r="CF499">
        <v>152.19300000000001</v>
      </c>
      <c r="CG499">
        <v>0</v>
      </c>
      <c r="CH499">
        <v>0</v>
      </c>
      <c r="CI499">
        <v>1</v>
      </c>
      <c r="CJ499">
        <v>4</v>
      </c>
      <c r="CK499">
        <v>1</v>
      </c>
      <c r="CL499">
        <v>0</v>
      </c>
      <c r="CM499">
        <v>34.459000000000003</v>
      </c>
      <c r="CN499">
        <v>0</v>
      </c>
      <c r="CO499">
        <v>0</v>
      </c>
      <c r="CP499">
        <v>0</v>
      </c>
      <c r="CQ499">
        <v>0</v>
      </c>
      <c r="CR499">
        <v>0</v>
      </c>
      <c r="CS499">
        <v>0</v>
      </c>
      <c r="CT499">
        <v>0</v>
      </c>
      <c r="CU499">
        <v>0</v>
      </c>
      <c r="CV499">
        <v>3.004</v>
      </c>
      <c r="CW499">
        <v>3.6230000000000002</v>
      </c>
      <c r="CX499">
        <v>149298</v>
      </c>
      <c r="CY499" s="2043">
        <v>0</v>
      </c>
      <c r="CZ499" s="2043">
        <v>0</v>
      </c>
      <c r="DA499" s="2043">
        <v>0</v>
      </c>
      <c r="DB499" s="2043">
        <v>0</v>
      </c>
      <c r="DC499" s="2043">
        <v>0</v>
      </c>
      <c r="DI499" t="s">
        <v>8005</v>
      </c>
      <c r="DJ499" t="s">
        <v>8005</v>
      </c>
      <c r="DK499" s="2042">
        <f t="shared" si="9"/>
        <v>0</v>
      </c>
    </row>
    <row r="500" spans="1:115">
      <c r="A500" t="s">
        <v>8006</v>
      </c>
      <c r="B500" t="s">
        <v>11324</v>
      </c>
      <c r="C500">
        <v>839.23800000000006</v>
      </c>
      <c r="D500">
        <v>915.37300000000005</v>
      </c>
      <c r="E500">
        <v>402.49700000000001</v>
      </c>
      <c r="F500">
        <v>0</v>
      </c>
      <c r="G500" s="2043">
        <v>0</v>
      </c>
      <c r="H500">
        <v>0</v>
      </c>
      <c r="I500" s="2043">
        <v>0</v>
      </c>
      <c r="J500">
        <v>0</v>
      </c>
      <c r="K500">
        <v>0</v>
      </c>
      <c r="L500">
        <v>0</v>
      </c>
      <c r="M500">
        <v>0</v>
      </c>
      <c r="N500">
        <v>0</v>
      </c>
      <c r="O500">
        <v>0</v>
      </c>
      <c r="P500">
        <v>0</v>
      </c>
      <c r="Q500">
        <v>0</v>
      </c>
      <c r="R500" s="2043">
        <v>0</v>
      </c>
      <c r="S500">
        <v>0</v>
      </c>
      <c r="T500">
        <v>0</v>
      </c>
      <c r="U500">
        <v>0</v>
      </c>
      <c r="V500">
        <v>0</v>
      </c>
      <c r="W500">
        <v>0</v>
      </c>
      <c r="X500">
        <v>0</v>
      </c>
      <c r="Y500">
        <v>148362</v>
      </c>
      <c r="Z500">
        <v>0</v>
      </c>
      <c r="AA500">
        <v>0.32100000000000001</v>
      </c>
      <c r="AB500">
        <v>898.303</v>
      </c>
      <c r="AC500" s="2043">
        <v>0</v>
      </c>
      <c r="AD500">
        <v>0</v>
      </c>
      <c r="AE500" s="2043">
        <v>0</v>
      </c>
      <c r="AF500">
        <v>0</v>
      </c>
      <c r="AG500">
        <v>0</v>
      </c>
      <c r="AH500">
        <v>0</v>
      </c>
      <c r="AI500">
        <v>0</v>
      </c>
      <c r="AJ500">
        <v>238.83800000000002</v>
      </c>
      <c r="AK500">
        <v>2095</v>
      </c>
      <c r="AL500">
        <v>0</v>
      </c>
      <c r="AM500">
        <v>0</v>
      </c>
      <c r="AN500">
        <v>27.195</v>
      </c>
      <c r="AO500">
        <v>0</v>
      </c>
      <c r="AP500">
        <v>0</v>
      </c>
      <c r="AQ500">
        <v>0</v>
      </c>
      <c r="AR500">
        <v>15.372</v>
      </c>
      <c r="AS500">
        <v>0</v>
      </c>
      <c r="AT500">
        <v>4.4780000000000006</v>
      </c>
      <c r="AU500">
        <v>0.33800000000000002</v>
      </c>
      <c r="AV500">
        <v>0</v>
      </c>
      <c r="AW500">
        <v>20.188000000000002</v>
      </c>
      <c r="AX500">
        <v>0</v>
      </c>
      <c r="AY500">
        <v>61.24</v>
      </c>
      <c r="AZ500">
        <v>0</v>
      </c>
      <c r="BA500">
        <v>9999831</v>
      </c>
      <c r="BB500">
        <v>0</v>
      </c>
      <c r="BC500">
        <v>0</v>
      </c>
      <c r="BD500">
        <v>56404</v>
      </c>
      <c r="BE500">
        <v>0</v>
      </c>
      <c r="BF500">
        <v>101540</v>
      </c>
      <c r="BG500">
        <v>56404</v>
      </c>
      <c r="BH500">
        <v>45136</v>
      </c>
      <c r="BI500">
        <v>0</v>
      </c>
      <c r="BJ500">
        <v>0</v>
      </c>
      <c r="BK500">
        <v>0</v>
      </c>
      <c r="BL500">
        <v>0</v>
      </c>
      <c r="BM500">
        <v>0</v>
      </c>
      <c r="BN500">
        <v>7524</v>
      </c>
      <c r="BO500">
        <v>1990</v>
      </c>
      <c r="BP500">
        <v>0</v>
      </c>
      <c r="BQ500">
        <v>0</v>
      </c>
      <c r="BR500">
        <v>0</v>
      </c>
      <c r="BS500">
        <v>0</v>
      </c>
      <c r="BT500">
        <v>0</v>
      </c>
      <c r="BU500">
        <v>0</v>
      </c>
      <c r="BV500">
        <v>26</v>
      </c>
      <c r="BW500">
        <v>28</v>
      </c>
      <c r="BX500">
        <v>150</v>
      </c>
      <c r="BY500">
        <v>271</v>
      </c>
      <c r="BZ500">
        <v>428</v>
      </c>
      <c r="CA500">
        <v>903</v>
      </c>
      <c r="CB500">
        <v>0</v>
      </c>
      <c r="CC500">
        <v>0</v>
      </c>
      <c r="CD500">
        <v>0</v>
      </c>
      <c r="CE500">
        <v>1</v>
      </c>
      <c r="CF500">
        <v>0</v>
      </c>
      <c r="CG500">
        <v>839.23800000000006</v>
      </c>
      <c r="CH500">
        <v>0</v>
      </c>
      <c r="CI500">
        <v>0</v>
      </c>
      <c r="CJ500">
        <v>0</v>
      </c>
      <c r="CK500">
        <v>0</v>
      </c>
      <c r="CL500">
        <v>839.23800000000006</v>
      </c>
      <c r="CM500">
        <v>402.49700000000001</v>
      </c>
      <c r="CN500">
        <v>0</v>
      </c>
      <c r="CO500">
        <v>0</v>
      </c>
      <c r="CP500">
        <v>0</v>
      </c>
      <c r="CQ500">
        <v>0</v>
      </c>
      <c r="CR500">
        <v>0</v>
      </c>
      <c r="CS500">
        <v>0</v>
      </c>
      <c r="CT500">
        <v>0</v>
      </c>
      <c r="CU500">
        <v>1.6870000000000001</v>
      </c>
      <c r="CV500">
        <v>77.477000000000004</v>
      </c>
      <c r="CW500">
        <v>16.249000000000002</v>
      </c>
      <c r="CX500">
        <v>0</v>
      </c>
      <c r="CY500" s="2043">
        <v>0</v>
      </c>
      <c r="CZ500" s="2043">
        <v>0</v>
      </c>
      <c r="DA500" s="2043">
        <v>0</v>
      </c>
      <c r="DB500" s="2043">
        <v>0</v>
      </c>
      <c r="DC500" s="2043">
        <v>0</v>
      </c>
      <c r="DI500" t="s">
        <v>8006</v>
      </c>
      <c r="DJ500" t="s">
        <v>8006</v>
      </c>
      <c r="DK500" s="2042">
        <f t="shared" si="9"/>
        <v>0</v>
      </c>
    </row>
    <row r="501" spans="1:115">
      <c r="A501" t="s">
        <v>8007</v>
      </c>
      <c r="B501" t="s">
        <v>11325</v>
      </c>
      <c r="C501">
        <v>1399.6270000000002</v>
      </c>
      <c r="D501">
        <v>1253.94</v>
      </c>
      <c r="E501">
        <v>869.70100000000002</v>
      </c>
      <c r="F501">
        <v>0</v>
      </c>
      <c r="G501" s="2043">
        <v>0</v>
      </c>
      <c r="H501">
        <v>0</v>
      </c>
      <c r="I501" s="2043">
        <v>0</v>
      </c>
      <c r="J501">
        <v>69.981000000000009</v>
      </c>
      <c r="K501">
        <v>191</v>
      </c>
      <c r="L501">
        <v>0</v>
      </c>
      <c r="M501">
        <v>0</v>
      </c>
      <c r="N501">
        <v>0</v>
      </c>
      <c r="O501">
        <v>0</v>
      </c>
      <c r="P501">
        <v>0</v>
      </c>
      <c r="Q501">
        <v>0</v>
      </c>
      <c r="R501" s="2043">
        <v>0</v>
      </c>
      <c r="S501">
        <v>0</v>
      </c>
      <c r="T501">
        <v>0</v>
      </c>
      <c r="U501">
        <v>0</v>
      </c>
      <c r="V501">
        <v>0</v>
      </c>
      <c r="W501">
        <v>0</v>
      </c>
      <c r="X501">
        <v>0</v>
      </c>
      <c r="Y501">
        <v>247429</v>
      </c>
      <c r="Z501">
        <v>0</v>
      </c>
      <c r="AA501">
        <v>0</v>
      </c>
      <c r="AB501">
        <v>1253.94</v>
      </c>
      <c r="AC501" s="2043">
        <v>0</v>
      </c>
      <c r="AD501">
        <v>0</v>
      </c>
      <c r="AE501" s="2043">
        <v>0</v>
      </c>
      <c r="AF501">
        <v>0</v>
      </c>
      <c r="AG501">
        <v>0</v>
      </c>
      <c r="AH501">
        <v>0</v>
      </c>
      <c r="AI501">
        <v>0</v>
      </c>
      <c r="AJ501">
        <v>396.738</v>
      </c>
      <c r="AK501">
        <v>3458</v>
      </c>
      <c r="AL501">
        <v>0</v>
      </c>
      <c r="AM501">
        <v>0</v>
      </c>
      <c r="AN501">
        <v>20.712</v>
      </c>
      <c r="AO501">
        <v>0</v>
      </c>
      <c r="AP501">
        <v>0</v>
      </c>
      <c r="AQ501">
        <v>0</v>
      </c>
      <c r="AR501">
        <v>33.173999999999999</v>
      </c>
      <c r="AS501">
        <v>0</v>
      </c>
      <c r="AT501">
        <v>5.2970000000000006</v>
      </c>
      <c r="AU501">
        <v>2.6870000000000003</v>
      </c>
      <c r="AV501">
        <v>0</v>
      </c>
      <c r="AW501">
        <v>41.158000000000001</v>
      </c>
      <c r="AX501">
        <v>0</v>
      </c>
      <c r="AY501">
        <v>128.84800000000001</v>
      </c>
      <c r="AZ501">
        <v>0</v>
      </c>
      <c r="BA501">
        <v>16460035</v>
      </c>
      <c r="BB501">
        <v>0</v>
      </c>
      <c r="BC501">
        <v>0</v>
      </c>
      <c r="BD501">
        <v>22320</v>
      </c>
      <c r="BE501">
        <v>0</v>
      </c>
      <c r="BF501">
        <v>22320</v>
      </c>
      <c r="BG501">
        <v>22320</v>
      </c>
      <c r="BH501">
        <v>0</v>
      </c>
      <c r="BI501">
        <v>0</v>
      </c>
      <c r="BJ501">
        <v>0</v>
      </c>
      <c r="BK501">
        <v>0</v>
      </c>
      <c r="BL501">
        <v>0</v>
      </c>
      <c r="BM501">
        <v>0</v>
      </c>
      <c r="BN501">
        <v>3492</v>
      </c>
      <c r="BO501">
        <v>803</v>
      </c>
      <c r="BP501">
        <v>0</v>
      </c>
      <c r="BQ501">
        <v>42000</v>
      </c>
      <c r="BR501">
        <v>0</v>
      </c>
      <c r="BS501">
        <v>0</v>
      </c>
      <c r="BT501">
        <v>0</v>
      </c>
      <c r="BU501">
        <v>0</v>
      </c>
      <c r="BV501">
        <v>42</v>
      </c>
      <c r="BW501">
        <v>113</v>
      </c>
      <c r="BX501">
        <v>248</v>
      </c>
      <c r="BY501">
        <v>522</v>
      </c>
      <c r="BZ501">
        <v>587</v>
      </c>
      <c r="CA501">
        <v>1512</v>
      </c>
      <c r="CB501">
        <v>0</v>
      </c>
      <c r="CC501">
        <v>0</v>
      </c>
      <c r="CD501">
        <v>0</v>
      </c>
      <c r="CE501">
        <v>13</v>
      </c>
      <c r="CF501">
        <v>650.62200000000007</v>
      </c>
      <c r="CG501">
        <v>0</v>
      </c>
      <c r="CH501">
        <v>0</v>
      </c>
      <c r="CI501">
        <v>0</v>
      </c>
      <c r="CJ501">
        <v>0</v>
      </c>
      <c r="CK501">
        <v>0</v>
      </c>
      <c r="CL501">
        <v>0</v>
      </c>
      <c r="CM501">
        <v>869.70100000000002</v>
      </c>
      <c r="CN501">
        <v>0</v>
      </c>
      <c r="CO501">
        <v>0</v>
      </c>
      <c r="CP501">
        <v>0</v>
      </c>
      <c r="CQ501">
        <v>0</v>
      </c>
      <c r="CR501">
        <v>0</v>
      </c>
      <c r="CS501">
        <v>12.24</v>
      </c>
      <c r="CT501">
        <v>0</v>
      </c>
      <c r="CU501">
        <v>0</v>
      </c>
      <c r="CV501">
        <v>26.871000000000002</v>
      </c>
      <c r="CW501">
        <v>21.309000000000001</v>
      </c>
      <c r="CX501">
        <v>0</v>
      </c>
      <c r="CY501" s="2043">
        <v>0</v>
      </c>
      <c r="CZ501" s="2043">
        <v>0</v>
      </c>
      <c r="DA501" s="2043">
        <v>0</v>
      </c>
      <c r="DB501" s="2043">
        <v>0</v>
      </c>
      <c r="DC501" s="2043">
        <v>0</v>
      </c>
      <c r="DI501" t="s">
        <v>8007</v>
      </c>
      <c r="DJ501" t="s">
        <v>8007</v>
      </c>
      <c r="DK501" s="2042">
        <f t="shared" si="9"/>
        <v>0</v>
      </c>
    </row>
    <row r="502" spans="1:115">
      <c r="A502" t="s">
        <v>8009</v>
      </c>
      <c r="B502" t="s">
        <v>11326</v>
      </c>
      <c r="C502">
        <v>810.34100000000001</v>
      </c>
      <c r="D502">
        <v>764.10599999999999</v>
      </c>
      <c r="E502">
        <v>489.40500000000003</v>
      </c>
      <c r="F502">
        <v>0</v>
      </c>
      <c r="G502" s="2043">
        <v>0</v>
      </c>
      <c r="H502">
        <v>0</v>
      </c>
      <c r="I502" s="2043">
        <v>0</v>
      </c>
      <c r="J502">
        <v>0</v>
      </c>
      <c r="K502">
        <v>0</v>
      </c>
      <c r="L502">
        <v>0</v>
      </c>
      <c r="M502">
        <v>0</v>
      </c>
      <c r="N502">
        <v>0</v>
      </c>
      <c r="O502">
        <v>0</v>
      </c>
      <c r="P502">
        <v>0</v>
      </c>
      <c r="Q502">
        <v>0</v>
      </c>
      <c r="R502" s="2043">
        <v>0</v>
      </c>
      <c r="S502">
        <v>0</v>
      </c>
      <c r="T502">
        <v>0</v>
      </c>
      <c r="U502">
        <v>0</v>
      </c>
      <c r="V502">
        <v>0</v>
      </c>
      <c r="W502">
        <v>0</v>
      </c>
      <c r="X502">
        <v>0</v>
      </c>
      <c r="Y502">
        <v>391507</v>
      </c>
      <c r="Z502">
        <v>0</v>
      </c>
      <c r="AA502">
        <v>0</v>
      </c>
      <c r="AB502">
        <v>764.10599999999999</v>
      </c>
      <c r="AC502" s="2043">
        <v>0</v>
      </c>
      <c r="AD502">
        <v>0</v>
      </c>
      <c r="AE502" s="2043">
        <v>0</v>
      </c>
      <c r="AF502">
        <v>0</v>
      </c>
      <c r="AG502">
        <v>0</v>
      </c>
      <c r="AH502">
        <v>0</v>
      </c>
      <c r="AI502">
        <v>0</v>
      </c>
      <c r="AJ502">
        <v>191.4</v>
      </c>
      <c r="AK502">
        <v>521</v>
      </c>
      <c r="AL502">
        <v>0</v>
      </c>
      <c r="AM502">
        <v>0</v>
      </c>
      <c r="AN502">
        <v>14.173</v>
      </c>
      <c r="AO502">
        <v>0</v>
      </c>
      <c r="AP502">
        <v>0</v>
      </c>
      <c r="AQ502">
        <v>0</v>
      </c>
      <c r="AR502">
        <v>1.639</v>
      </c>
      <c r="AS502">
        <v>0</v>
      </c>
      <c r="AT502">
        <v>0</v>
      </c>
      <c r="AU502">
        <v>0.35700000000000004</v>
      </c>
      <c r="AV502">
        <v>0</v>
      </c>
      <c r="AW502">
        <v>1.996</v>
      </c>
      <c r="AX502">
        <v>0</v>
      </c>
      <c r="AY502">
        <v>6.702</v>
      </c>
      <c r="AZ502">
        <v>0</v>
      </c>
      <c r="BA502">
        <v>9249629</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34</v>
      </c>
      <c r="BW502">
        <v>31</v>
      </c>
      <c r="BX502">
        <v>70</v>
      </c>
      <c r="BY502">
        <v>181</v>
      </c>
      <c r="BZ502">
        <v>405</v>
      </c>
      <c r="CA502">
        <v>721</v>
      </c>
      <c r="CB502">
        <v>0</v>
      </c>
      <c r="CC502">
        <v>0</v>
      </c>
      <c r="CD502">
        <v>0</v>
      </c>
      <c r="CE502">
        <v>1</v>
      </c>
      <c r="CF502">
        <v>621.26600000000008</v>
      </c>
      <c r="CG502">
        <v>0</v>
      </c>
      <c r="CH502">
        <v>0</v>
      </c>
      <c r="CI502">
        <v>0</v>
      </c>
      <c r="CJ502">
        <v>0</v>
      </c>
      <c r="CK502">
        <v>0</v>
      </c>
      <c r="CL502">
        <v>0</v>
      </c>
      <c r="CM502">
        <v>489.40500000000003</v>
      </c>
      <c r="CN502">
        <v>0</v>
      </c>
      <c r="CO502">
        <v>0</v>
      </c>
      <c r="CP502">
        <v>0</v>
      </c>
      <c r="CQ502">
        <v>0</v>
      </c>
      <c r="CR502">
        <v>0</v>
      </c>
      <c r="CS502">
        <v>0</v>
      </c>
      <c r="CT502">
        <v>0</v>
      </c>
      <c r="CU502">
        <v>0</v>
      </c>
      <c r="CV502">
        <v>0</v>
      </c>
      <c r="CW502">
        <v>0</v>
      </c>
      <c r="CX502">
        <v>0</v>
      </c>
      <c r="CY502" s="2043">
        <v>248253</v>
      </c>
      <c r="CZ502" s="2043">
        <v>0</v>
      </c>
      <c r="DA502" s="2043">
        <v>0</v>
      </c>
      <c r="DB502" s="2043">
        <v>0</v>
      </c>
      <c r="DC502" s="2043">
        <v>0</v>
      </c>
      <c r="DI502" t="s">
        <v>8009</v>
      </c>
      <c r="DJ502" t="s">
        <v>8009</v>
      </c>
      <c r="DK502" s="2042">
        <f t="shared" si="9"/>
        <v>0</v>
      </c>
    </row>
    <row r="503" spans="1:115">
      <c r="A503" t="s">
        <v>8010</v>
      </c>
      <c r="B503" t="s">
        <v>11327</v>
      </c>
      <c r="C503">
        <v>190.42700000000002</v>
      </c>
      <c r="D503">
        <v>191.04900000000001</v>
      </c>
      <c r="E503">
        <v>23.007000000000001</v>
      </c>
      <c r="F503">
        <v>0</v>
      </c>
      <c r="G503" s="2043">
        <v>0</v>
      </c>
      <c r="H503">
        <v>0</v>
      </c>
      <c r="I503" s="2043">
        <v>0</v>
      </c>
      <c r="J503">
        <v>0</v>
      </c>
      <c r="K503">
        <v>0</v>
      </c>
      <c r="L503">
        <v>0</v>
      </c>
      <c r="M503">
        <v>0</v>
      </c>
      <c r="N503">
        <v>0</v>
      </c>
      <c r="O503">
        <v>0</v>
      </c>
      <c r="P503">
        <v>0</v>
      </c>
      <c r="Q503">
        <v>0</v>
      </c>
      <c r="R503" s="2043">
        <v>0</v>
      </c>
      <c r="S503">
        <v>0</v>
      </c>
      <c r="T503">
        <v>0</v>
      </c>
      <c r="U503">
        <v>0</v>
      </c>
      <c r="V503">
        <v>0</v>
      </c>
      <c r="W503">
        <v>0</v>
      </c>
      <c r="X503">
        <v>0</v>
      </c>
      <c r="Y503">
        <v>33664</v>
      </c>
      <c r="Z503">
        <v>0</v>
      </c>
      <c r="AA503">
        <v>0</v>
      </c>
      <c r="AB503">
        <v>171.31400000000002</v>
      </c>
      <c r="AC503" s="2043">
        <v>0</v>
      </c>
      <c r="AD503">
        <v>0</v>
      </c>
      <c r="AE503" s="2043">
        <v>0</v>
      </c>
      <c r="AF503">
        <v>0</v>
      </c>
      <c r="AG503">
        <v>0</v>
      </c>
      <c r="AH503">
        <v>0</v>
      </c>
      <c r="AI503">
        <v>0</v>
      </c>
      <c r="AJ503">
        <v>55.663000000000004</v>
      </c>
      <c r="AK503">
        <v>3842</v>
      </c>
      <c r="AL503">
        <v>0</v>
      </c>
      <c r="AM503">
        <v>3.7999999999999999E-2</v>
      </c>
      <c r="AN503">
        <v>2.274</v>
      </c>
      <c r="AO503">
        <v>0</v>
      </c>
      <c r="AP503">
        <v>0.35900000000000004</v>
      </c>
      <c r="AQ503">
        <v>39.524000000000001</v>
      </c>
      <c r="AR503">
        <v>2.1040000000000001</v>
      </c>
      <c r="AS503">
        <v>0</v>
      </c>
      <c r="AT503">
        <v>0.50600000000000001</v>
      </c>
      <c r="AU503">
        <v>0</v>
      </c>
      <c r="AV503">
        <v>0</v>
      </c>
      <c r="AW503">
        <v>42.530999999999999</v>
      </c>
      <c r="AX503">
        <v>0</v>
      </c>
      <c r="AY503">
        <v>8.9130000000000003</v>
      </c>
      <c r="AZ503">
        <v>0</v>
      </c>
      <c r="BA503">
        <v>2882732</v>
      </c>
      <c r="BB503">
        <v>0</v>
      </c>
      <c r="BC503">
        <v>0</v>
      </c>
      <c r="BD503">
        <v>0</v>
      </c>
      <c r="BE503">
        <v>0</v>
      </c>
      <c r="BF503">
        <v>0</v>
      </c>
      <c r="BG503">
        <v>0</v>
      </c>
      <c r="BH503">
        <v>0</v>
      </c>
      <c r="BI503">
        <v>0</v>
      </c>
      <c r="BJ503">
        <v>0</v>
      </c>
      <c r="BK503">
        <v>0</v>
      </c>
      <c r="BL503">
        <v>0</v>
      </c>
      <c r="BM503">
        <v>0</v>
      </c>
      <c r="BN503">
        <v>1944</v>
      </c>
      <c r="BO503">
        <v>0</v>
      </c>
      <c r="BP503">
        <v>0</v>
      </c>
      <c r="BQ503">
        <v>0</v>
      </c>
      <c r="BR503">
        <v>0</v>
      </c>
      <c r="BS503">
        <v>0</v>
      </c>
      <c r="BT503">
        <v>0</v>
      </c>
      <c r="BU503">
        <v>0</v>
      </c>
      <c r="BV503">
        <v>34</v>
      </c>
      <c r="BW503">
        <v>24</v>
      </c>
      <c r="BX503">
        <v>37</v>
      </c>
      <c r="BY503">
        <v>39</v>
      </c>
      <c r="BZ503">
        <v>83</v>
      </c>
      <c r="CA503">
        <v>217</v>
      </c>
      <c r="CB503">
        <v>0</v>
      </c>
      <c r="CC503">
        <v>0</v>
      </c>
      <c r="CD503">
        <v>0</v>
      </c>
      <c r="CE503">
        <v>0</v>
      </c>
      <c r="CF503">
        <v>0</v>
      </c>
      <c r="CG503">
        <v>190.42700000000002</v>
      </c>
      <c r="CH503">
        <v>52.091000000000001</v>
      </c>
      <c r="CI503">
        <v>0</v>
      </c>
      <c r="CJ503">
        <v>0</v>
      </c>
      <c r="CK503">
        <v>0</v>
      </c>
      <c r="CL503">
        <v>242.518</v>
      </c>
      <c r="CM503">
        <v>23.007000000000001</v>
      </c>
      <c r="CN503">
        <v>0</v>
      </c>
      <c r="CO503">
        <v>0</v>
      </c>
      <c r="CP503">
        <v>0</v>
      </c>
      <c r="CQ503">
        <v>0</v>
      </c>
      <c r="CR503">
        <v>0</v>
      </c>
      <c r="CS503">
        <v>0</v>
      </c>
      <c r="CT503">
        <v>0</v>
      </c>
      <c r="CU503">
        <v>0</v>
      </c>
      <c r="CV503">
        <v>0</v>
      </c>
      <c r="CW503">
        <v>0</v>
      </c>
      <c r="CX503">
        <v>0</v>
      </c>
      <c r="CY503" s="2043">
        <v>0</v>
      </c>
      <c r="CZ503" s="2043">
        <v>0</v>
      </c>
      <c r="DA503" s="2043">
        <v>0</v>
      </c>
      <c r="DB503" s="2043">
        <v>0</v>
      </c>
      <c r="DC503" s="2043">
        <v>0</v>
      </c>
      <c r="DI503" t="s">
        <v>8010</v>
      </c>
      <c r="DJ503" t="s">
        <v>8010</v>
      </c>
      <c r="DK503" s="2042">
        <f t="shared" si="9"/>
        <v>0</v>
      </c>
    </row>
    <row r="504" spans="1:115">
      <c r="A504" t="s">
        <v>8011</v>
      </c>
      <c r="B504" t="s">
        <v>11328</v>
      </c>
      <c r="C504">
        <v>1030.2920000000001</v>
      </c>
      <c r="D504">
        <v>1407.9690000000001</v>
      </c>
      <c r="E504">
        <v>510.31</v>
      </c>
      <c r="F504">
        <v>0</v>
      </c>
      <c r="G504" s="2043">
        <v>0</v>
      </c>
      <c r="H504">
        <v>0</v>
      </c>
      <c r="I504" s="2043">
        <v>0</v>
      </c>
      <c r="J504">
        <v>0</v>
      </c>
      <c r="K504">
        <v>0</v>
      </c>
      <c r="L504">
        <v>0</v>
      </c>
      <c r="M504">
        <v>0</v>
      </c>
      <c r="N504">
        <v>0</v>
      </c>
      <c r="O504">
        <v>0</v>
      </c>
      <c r="P504">
        <v>0</v>
      </c>
      <c r="Q504">
        <v>0</v>
      </c>
      <c r="R504" s="2043">
        <v>0</v>
      </c>
      <c r="S504">
        <v>0</v>
      </c>
      <c r="T504">
        <v>0</v>
      </c>
      <c r="U504">
        <v>0</v>
      </c>
      <c r="V504">
        <v>0</v>
      </c>
      <c r="W504">
        <v>0</v>
      </c>
      <c r="X504">
        <v>0</v>
      </c>
      <c r="Y504">
        <v>0</v>
      </c>
      <c r="Z504">
        <v>0</v>
      </c>
      <c r="AA504">
        <v>0</v>
      </c>
      <c r="AB504">
        <v>1148.9090000000001</v>
      </c>
      <c r="AC504" s="2043">
        <v>0</v>
      </c>
      <c r="AD504">
        <v>0</v>
      </c>
      <c r="AE504" s="2043">
        <v>0</v>
      </c>
      <c r="AF504">
        <v>0</v>
      </c>
      <c r="AG504">
        <v>0</v>
      </c>
      <c r="AH504">
        <v>0</v>
      </c>
      <c r="AI504">
        <v>0</v>
      </c>
      <c r="AJ504">
        <v>293.97500000000002</v>
      </c>
      <c r="AK504">
        <v>1131</v>
      </c>
      <c r="AL504">
        <v>0</v>
      </c>
      <c r="AM504">
        <v>0</v>
      </c>
      <c r="AN504">
        <v>16.503</v>
      </c>
      <c r="AO504">
        <v>0</v>
      </c>
      <c r="AP504">
        <v>0</v>
      </c>
      <c r="AQ504">
        <v>0</v>
      </c>
      <c r="AR504">
        <v>9.0190000000000001</v>
      </c>
      <c r="AS504">
        <v>0</v>
      </c>
      <c r="AT504">
        <v>0.127</v>
      </c>
      <c r="AU504">
        <v>0.70600000000000007</v>
      </c>
      <c r="AV504">
        <v>0</v>
      </c>
      <c r="AW504">
        <v>9.8520000000000003</v>
      </c>
      <c r="AX504">
        <v>0</v>
      </c>
      <c r="AY504">
        <v>30.968</v>
      </c>
      <c r="AZ504">
        <v>0</v>
      </c>
      <c r="BA504">
        <v>11659747</v>
      </c>
      <c r="BB504">
        <v>0</v>
      </c>
      <c r="BC504">
        <v>0</v>
      </c>
      <c r="BD504">
        <v>82962</v>
      </c>
      <c r="BE504">
        <v>0</v>
      </c>
      <c r="BF504">
        <v>82962</v>
      </c>
      <c r="BG504">
        <v>82962</v>
      </c>
      <c r="BH504">
        <v>0</v>
      </c>
      <c r="BI504">
        <v>0</v>
      </c>
      <c r="BJ504">
        <v>0</v>
      </c>
      <c r="BK504">
        <v>0</v>
      </c>
      <c r="BL504">
        <v>0</v>
      </c>
      <c r="BM504">
        <v>0</v>
      </c>
      <c r="BN504">
        <v>0</v>
      </c>
      <c r="BO504">
        <v>0</v>
      </c>
      <c r="BP504">
        <v>0</v>
      </c>
      <c r="BQ504">
        <v>0</v>
      </c>
      <c r="BR504">
        <v>0</v>
      </c>
      <c r="BS504">
        <v>0</v>
      </c>
      <c r="BT504">
        <v>0</v>
      </c>
      <c r="BU504">
        <v>0</v>
      </c>
      <c r="BV504">
        <v>62</v>
      </c>
      <c r="BW504">
        <v>80</v>
      </c>
      <c r="BX504">
        <v>211</v>
      </c>
      <c r="BY504">
        <v>256</v>
      </c>
      <c r="BZ504">
        <v>513</v>
      </c>
      <c r="CA504">
        <v>1122</v>
      </c>
      <c r="CB504">
        <v>0</v>
      </c>
      <c r="CC504">
        <v>0</v>
      </c>
      <c r="CD504">
        <v>0</v>
      </c>
      <c r="CE504">
        <v>6</v>
      </c>
      <c r="CF504">
        <v>724.81900000000007</v>
      </c>
      <c r="CG504">
        <v>0</v>
      </c>
      <c r="CH504">
        <v>0</v>
      </c>
      <c r="CI504">
        <v>0</v>
      </c>
      <c r="CJ504">
        <v>0</v>
      </c>
      <c r="CK504">
        <v>0</v>
      </c>
      <c r="CL504">
        <v>0</v>
      </c>
      <c r="CM504">
        <v>510.31</v>
      </c>
      <c r="CN504">
        <v>0</v>
      </c>
      <c r="CO504">
        <v>0</v>
      </c>
      <c r="CP504">
        <v>0</v>
      </c>
      <c r="CQ504">
        <v>0</v>
      </c>
      <c r="CR504">
        <v>0</v>
      </c>
      <c r="CS504">
        <v>0</v>
      </c>
      <c r="CT504">
        <v>0</v>
      </c>
      <c r="CU504">
        <v>0</v>
      </c>
      <c r="CV504">
        <v>0</v>
      </c>
      <c r="CW504">
        <v>0</v>
      </c>
      <c r="CX504">
        <v>0</v>
      </c>
      <c r="CY504" s="2043">
        <v>0</v>
      </c>
      <c r="CZ504" s="2043">
        <v>0</v>
      </c>
      <c r="DA504" s="2043">
        <v>0</v>
      </c>
      <c r="DB504" s="2043">
        <v>0</v>
      </c>
      <c r="DC504" s="2043">
        <v>0</v>
      </c>
      <c r="DI504" t="s">
        <v>8011</v>
      </c>
      <c r="DJ504" t="s">
        <v>8011</v>
      </c>
      <c r="DK504" s="2042">
        <f t="shared" si="9"/>
        <v>0</v>
      </c>
    </row>
    <row r="505" spans="1:115">
      <c r="A505" t="s">
        <v>8012</v>
      </c>
      <c r="B505" t="s">
        <v>11329</v>
      </c>
      <c r="C505">
        <v>284.46300000000002</v>
      </c>
      <c r="D505">
        <v>299.59200000000004</v>
      </c>
      <c r="E505">
        <v>198.934</v>
      </c>
      <c r="F505">
        <v>0</v>
      </c>
      <c r="G505" s="2043">
        <v>0</v>
      </c>
      <c r="H505">
        <v>0</v>
      </c>
      <c r="I505" s="2043">
        <v>0</v>
      </c>
      <c r="J505">
        <v>0</v>
      </c>
      <c r="K505">
        <v>0</v>
      </c>
      <c r="L505">
        <v>0</v>
      </c>
      <c r="M505">
        <v>0</v>
      </c>
      <c r="N505">
        <v>0</v>
      </c>
      <c r="O505">
        <v>0</v>
      </c>
      <c r="P505">
        <v>0</v>
      </c>
      <c r="Q505">
        <v>0</v>
      </c>
      <c r="R505" s="2043">
        <v>0</v>
      </c>
      <c r="S505">
        <v>0</v>
      </c>
      <c r="T505">
        <v>0</v>
      </c>
      <c r="U505">
        <v>0</v>
      </c>
      <c r="V505">
        <v>0</v>
      </c>
      <c r="W505">
        <v>0</v>
      </c>
      <c r="X505">
        <v>0</v>
      </c>
      <c r="Y505">
        <v>50288</v>
      </c>
      <c r="Z505">
        <v>0</v>
      </c>
      <c r="AA505">
        <v>0</v>
      </c>
      <c r="AB505">
        <v>268.51</v>
      </c>
      <c r="AC505" s="2043">
        <v>0</v>
      </c>
      <c r="AD505">
        <v>0</v>
      </c>
      <c r="AE505" s="2043">
        <v>0</v>
      </c>
      <c r="AF505">
        <v>0</v>
      </c>
      <c r="AG505">
        <v>0</v>
      </c>
      <c r="AH505">
        <v>0</v>
      </c>
      <c r="AI505">
        <v>0</v>
      </c>
      <c r="AJ505">
        <v>69.238</v>
      </c>
      <c r="AK505">
        <v>466</v>
      </c>
      <c r="AL505">
        <v>0</v>
      </c>
      <c r="AM505">
        <v>0</v>
      </c>
      <c r="AN505">
        <v>3.0300000000000002</v>
      </c>
      <c r="AO505">
        <v>0</v>
      </c>
      <c r="AP505">
        <v>0</v>
      </c>
      <c r="AQ505">
        <v>0</v>
      </c>
      <c r="AR505">
        <v>4.7360000000000007</v>
      </c>
      <c r="AS505">
        <v>0</v>
      </c>
      <c r="AT505">
        <v>0</v>
      </c>
      <c r="AU505">
        <v>0.57400000000000007</v>
      </c>
      <c r="AV505">
        <v>0</v>
      </c>
      <c r="AW505">
        <v>5.3100000000000005</v>
      </c>
      <c r="AX505">
        <v>0</v>
      </c>
      <c r="AY505">
        <v>17.077999999999999</v>
      </c>
      <c r="AZ505">
        <v>0</v>
      </c>
      <c r="BA505">
        <v>3250950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60</v>
      </c>
      <c r="BW505">
        <v>62</v>
      </c>
      <c r="BX505">
        <v>58</v>
      </c>
      <c r="BY505">
        <v>57</v>
      </c>
      <c r="BZ505">
        <v>42</v>
      </c>
      <c r="CA505">
        <v>279</v>
      </c>
      <c r="CB505">
        <v>0</v>
      </c>
      <c r="CC505">
        <v>0</v>
      </c>
      <c r="CD505">
        <v>0</v>
      </c>
      <c r="CE505">
        <v>10</v>
      </c>
      <c r="CF505">
        <v>222.298</v>
      </c>
      <c r="CG505">
        <v>0</v>
      </c>
      <c r="CH505">
        <v>0</v>
      </c>
      <c r="CI505">
        <v>0</v>
      </c>
      <c r="CJ505">
        <v>0</v>
      </c>
      <c r="CK505">
        <v>0</v>
      </c>
      <c r="CL505">
        <v>0</v>
      </c>
      <c r="CM505">
        <v>198.934</v>
      </c>
      <c r="CN505">
        <v>0</v>
      </c>
      <c r="CO505">
        <v>0</v>
      </c>
      <c r="CP505">
        <v>0</v>
      </c>
      <c r="CQ505">
        <v>0</v>
      </c>
      <c r="CR505">
        <v>0</v>
      </c>
      <c r="CS505">
        <v>0</v>
      </c>
      <c r="CT505">
        <v>0</v>
      </c>
      <c r="CU505">
        <v>0</v>
      </c>
      <c r="CV505">
        <v>0</v>
      </c>
      <c r="CW505">
        <v>0</v>
      </c>
      <c r="CX505">
        <v>0</v>
      </c>
      <c r="CY505" s="2043">
        <v>0</v>
      </c>
      <c r="CZ505" s="2043">
        <v>0</v>
      </c>
      <c r="DA505" s="2043">
        <v>0</v>
      </c>
      <c r="DB505" s="2043">
        <v>0</v>
      </c>
      <c r="DC505" s="2043">
        <v>0</v>
      </c>
      <c r="DI505" t="s">
        <v>8012</v>
      </c>
      <c r="DJ505" t="s">
        <v>8012</v>
      </c>
      <c r="DK505" s="2042">
        <f t="shared" si="9"/>
        <v>0</v>
      </c>
    </row>
    <row r="506" spans="1:115">
      <c r="A506" t="s">
        <v>8014</v>
      </c>
      <c r="B506" t="s">
        <v>11330</v>
      </c>
      <c r="C506">
        <v>166.94</v>
      </c>
      <c r="D506">
        <v>165.40900000000002</v>
      </c>
      <c r="E506">
        <v>0</v>
      </c>
      <c r="F506">
        <v>0</v>
      </c>
      <c r="G506" s="2043">
        <v>0</v>
      </c>
      <c r="H506">
        <v>0</v>
      </c>
      <c r="I506" s="2043">
        <v>0</v>
      </c>
      <c r="J506">
        <v>0</v>
      </c>
      <c r="K506">
        <v>0</v>
      </c>
      <c r="L506">
        <v>0</v>
      </c>
      <c r="M506">
        <v>0</v>
      </c>
      <c r="N506">
        <v>0</v>
      </c>
      <c r="O506">
        <v>0</v>
      </c>
      <c r="P506">
        <v>0</v>
      </c>
      <c r="Q506">
        <v>0</v>
      </c>
      <c r="R506" s="2043">
        <v>0</v>
      </c>
      <c r="S506">
        <v>0</v>
      </c>
      <c r="T506">
        <v>0</v>
      </c>
      <c r="U506">
        <v>0</v>
      </c>
      <c r="V506">
        <v>0</v>
      </c>
      <c r="W506">
        <v>0</v>
      </c>
      <c r="X506">
        <v>0</v>
      </c>
      <c r="Y506">
        <v>131296</v>
      </c>
      <c r="Z506">
        <v>0</v>
      </c>
      <c r="AA506">
        <v>0.35800000000000004</v>
      </c>
      <c r="AB506">
        <v>165.40900000000002</v>
      </c>
      <c r="AC506" s="2043">
        <v>0</v>
      </c>
      <c r="AD506">
        <v>0</v>
      </c>
      <c r="AE506" s="2043">
        <v>0</v>
      </c>
      <c r="AF506">
        <v>0</v>
      </c>
      <c r="AG506">
        <v>0</v>
      </c>
      <c r="AH506">
        <v>0</v>
      </c>
      <c r="AI506">
        <v>0</v>
      </c>
      <c r="AJ506">
        <v>35.575000000000003</v>
      </c>
      <c r="AK506">
        <v>669</v>
      </c>
      <c r="AL506">
        <v>0</v>
      </c>
      <c r="AM506">
        <v>0</v>
      </c>
      <c r="AN506">
        <v>9.75</v>
      </c>
      <c r="AO506">
        <v>0</v>
      </c>
      <c r="AP506">
        <v>0</v>
      </c>
      <c r="AQ506">
        <v>0</v>
      </c>
      <c r="AR506">
        <v>5.97</v>
      </c>
      <c r="AS506">
        <v>0</v>
      </c>
      <c r="AT506">
        <v>0</v>
      </c>
      <c r="AU506">
        <v>0.08</v>
      </c>
      <c r="AV506">
        <v>0</v>
      </c>
      <c r="AW506">
        <v>6.05</v>
      </c>
      <c r="AX506">
        <v>0</v>
      </c>
      <c r="AY506">
        <v>18.309999999999999</v>
      </c>
      <c r="AZ506">
        <v>0</v>
      </c>
      <c r="BA506">
        <v>1976984</v>
      </c>
      <c r="BB506">
        <v>0</v>
      </c>
      <c r="BC506">
        <v>0</v>
      </c>
      <c r="BD506">
        <v>0</v>
      </c>
      <c r="BE506">
        <v>0</v>
      </c>
      <c r="BF506">
        <v>0</v>
      </c>
      <c r="BG506">
        <v>0</v>
      </c>
      <c r="BH506">
        <v>0</v>
      </c>
      <c r="BI506">
        <v>0</v>
      </c>
      <c r="BJ506">
        <v>0</v>
      </c>
      <c r="BK506">
        <v>0</v>
      </c>
      <c r="BL506">
        <v>0</v>
      </c>
      <c r="BM506">
        <v>0</v>
      </c>
      <c r="BN506">
        <v>1485</v>
      </c>
      <c r="BO506">
        <v>0</v>
      </c>
      <c r="BP506">
        <v>0</v>
      </c>
      <c r="BQ506">
        <v>0</v>
      </c>
      <c r="BR506">
        <v>0</v>
      </c>
      <c r="BS506">
        <v>0</v>
      </c>
      <c r="BT506">
        <v>101784</v>
      </c>
      <c r="BU506">
        <v>0</v>
      </c>
      <c r="BV506">
        <v>19</v>
      </c>
      <c r="BW506">
        <v>14</v>
      </c>
      <c r="BX506">
        <v>20</v>
      </c>
      <c r="BY506">
        <v>32</v>
      </c>
      <c r="BZ506">
        <v>53</v>
      </c>
      <c r="CA506">
        <v>138</v>
      </c>
      <c r="CB506">
        <v>0</v>
      </c>
      <c r="CC506">
        <v>0</v>
      </c>
      <c r="CD506">
        <v>0</v>
      </c>
      <c r="CE506">
        <v>0</v>
      </c>
      <c r="CF506">
        <v>0</v>
      </c>
      <c r="CG506">
        <v>166.94</v>
      </c>
      <c r="CH506">
        <v>0</v>
      </c>
      <c r="CI506">
        <v>0</v>
      </c>
      <c r="CJ506">
        <v>1</v>
      </c>
      <c r="CK506">
        <v>0</v>
      </c>
      <c r="CL506">
        <v>166.94</v>
      </c>
      <c r="CM506">
        <v>0</v>
      </c>
      <c r="CN506">
        <v>0</v>
      </c>
      <c r="CO506">
        <v>0</v>
      </c>
      <c r="CP506">
        <v>0</v>
      </c>
      <c r="CQ506">
        <v>0</v>
      </c>
      <c r="CR506">
        <v>0</v>
      </c>
      <c r="CS506">
        <v>0</v>
      </c>
      <c r="CT506">
        <v>0</v>
      </c>
      <c r="CU506">
        <v>0</v>
      </c>
      <c r="CV506">
        <v>7.5860000000000003</v>
      </c>
      <c r="CW506">
        <v>1.8160000000000001</v>
      </c>
      <c r="CX506">
        <v>101784</v>
      </c>
      <c r="CY506" s="2043">
        <v>0</v>
      </c>
      <c r="CZ506" s="2043">
        <v>0</v>
      </c>
      <c r="DA506" s="2043">
        <v>0</v>
      </c>
      <c r="DB506" s="2043">
        <v>0</v>
      </c>
      <c r="DC506" s="2043">
        <v>0</v>
      </c>
      <c r="DI506" t="s">
        <v>8013</v>
      </c>
      <c r="DJ506" t="s">
        <v>8014</v>
      </c>
      <c r="DK506" s="2042">
        <f t="shared" si="9"/>
        <v>-2</v>
      </c>
    </row>
    <row r="507" spans="1:115">
      <c r="A507" t="s">
        <v>8013</v>
      </c>
      <c r="B507" t="s">
        <v>11331</v>
      </c>
      <c r="C507">
        <v>512.93900000000008</v>
      </c>
      <c r="D507">
        <v>462.94300000000004</v>
      </c>
      <c r="E507">
        <v>429.47200000000004</v>
      </c>
      <c r="F507">
        <v>0</v>
      </c>
      <c r="G507" s="2043">
        <v>0</v>
      </c>
      <c r="H507">
        <v>0</v>
      </c>
      <c r="I507" s="2043">
        <v>0</v>
      </c>
      <c r="J507">
        <v>0</v>
      </c>
      <c r="K507">
        <v>0</v>
      </c>
      <c r="L507">
        <v>0</v>
      </c>
      <c r="M507">
        <v>0</v>
      </c>
      <c r="N507">
        <v>0</v>
      </c>
      <c r="O507">
        <v>0</v>
      </c>
      <c r="P507">
        <v>0</v>
      </c>
      <c r="Q507">
        <v>0</v>
      </c>
      <c r="R507" s="2043">
        <v>0</v>
      </c>
      <c r="S507">
        <v>0</v>
      </c>
      <c r="T507">
        <v>0</v>
      </c>
      <c r="U507">
        <v>0</v>
      </c>
      <c r="V507">
        <v>0</v>
      </c>
      <c r="W507">
        <v>0</v>
      </c>
      <c r="X507">
        <v>0</v>
      </c>
      <c r="Y507">
        <v>196125</v>
      </c>
      <c r="Z507">
        <v>0</v>
      </c>
      <c r="AA507">
        <v>0</v>
      </c>
      <c r="AB507">
        <v>462.94300000000004</v>
      </c>
      <c r="AC507" s="2043">
        <v>0</v>
      </c>
      <c r="AD507">
        <v>0</v>
      </c>
      <c r="AE507" s="2043">
        <v>0</v>
      </c>
      <c r="AF507">
        <v>0</v>
      </c>
      <c r="AG507">
        <v>0</v>
      </c>
      <c r="AH507">
        <v>0</v>
      </c>
      <c r="AI507">
        <v>0</v>
      </c>
      <c r="AJ507">
        <v>150.07500000000002</v>
      </c>
      <c r="AK507">
        <v>618</v>
      </c>
      <c r="AL507">
        <v>0</v>
      </c>
      <c r="AM507">
        <v>0</v>
      </c>
      <c r="AN507">
        <v>3.7750000000000004</v>
      </c>
      <c r="AO507">
        <v>0</v>
      </c>
      <c r="AP507">
        <v>0</v>
      </c>
      <c r="AQ507">
        <v>0</v>
      </c>
      <c r="AR507">
        <v>5.1310000000000002</v>
      </c>
      <c r="AS507">
        <v>0</v>
      </c>
      <c r="AT507">
        <v>0.96300000000000008</v>
      </c>
      <c r="AU507">
        <v>0.93200000000000005</v>
      </c>
      <c r="AV507">
        <v>0</v>
      </c>
      <c r="AW507">
        <v>7.0260000000000007</v>
      </c>
      <c r="AX507">
        <v>0</v>
      </c>
      <c r="AY507">
        <v>22.942</v>
      </c>
      <c r="AZ507">
        <v>0</v>
      </c>
      <c r="BA507">
        <v>6139087</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10</v>
      </c>
      <c r="BW507">
        <v>17</v>
      </c>
      <c r="BX507">
        <v>37</v>
      </c>
      <c r="BY507">
        <v>83</v>
      </c>
      <c r="BZ507">
        <v>410</v>
      </c>
      <c r="CA507">
        <v>557</v>
      </c>
      <c r="CB507">
        <v>0</v>
      </c>
      <c r="CC507">
        <v>6.0000000000000001E-3</v>
      </c>
      <c r="CD507">
        <v>0</v>
      </c>
      <c r="CE507">
        <v>1</v>
      </c>
      <c r="CF507">
        <v>410.29700000000003</v>
      </c>
      <c r="CG507">
        <v>0</v>
      </c>
      <c r="CH507">
        <v>0</v>
      </c>
      <c r="CI507">
        <v>0</v>
      </c>
      <c r="CJ507">
        <v>0</v>
      </c>
      <c r="CK507">
        <v>0</v>
      </c>
      <c r="CL507">
        <v>0</v>
      </c>
      <c r="CM507">
        <v>429.47200000000004</v>
      </c>
      <c r="CN507">
        <v>0</v>
      </c>
      <c r="CO507">
        <v>0</v>
      </c>
      <c r="CP507">
        <v>0</v>
      </c>
      <c r="CQ507">
        <v>0</v>
      </c>
      <c r="CR507">
        <v>0</v>
      </c>
      <c r="CS507">
        <v>0</v>
      </c>
      <c r="CT507">
        <v>0</v>
      </c>
      <c r="CU507">
        <v>0</v>
      </c>
      <c r="CV507">
        <v>0</v>
      </c>
      <c r="CW507">
        <v>0</v>
      </c>
      <c r="CX507">
        <v>0</v>
      </c>
      <c r="CY507" s="2043">
        <v>105446</v>
      </c>
      <c r="CZ507" s="2043">
        <v>0</v>
      </c>
      <c r="DA507" s="2043">
        <v>0</v>
      </c>
      <c r="DB507" s="2043">
        <v>0</v>
      </c>
      <c r="DC507" s="2043">
        <v>0</v>
      </c>
      <c r="DI507" t="s">
        <v>8014</v>
      </c>
      <c r="DJ507" t="s">
        <v>8013</v>
      </c>
      <c r="DK507" s="2042">
        <f t="shared" si="9"/>
        <v>2</v>
      </c>
    </row>
    <row r="508" spans="1:115">
      <c r="A508" t="s">
        <v>8015</v>
      </c>
      <c r="B508" t="s">
        <v>11332</v>
      </c>
      <c r="C508">
        <v>1899.048</v>
      </c>
      <c r="D508">
        <v>2084.212</v>
      </c>
      <c r="E508">
        <v>802.34800000000007</v>
      </c>
      <c r="F508">
        <v>0</v>
      </c>
      <c r="G508" s="2043">
        <v>0</v>
      </c>
      <c r="H508">
        <v>0</v>
      </c>
      <c r="I508" s="2043">
        <v>0</v>
      </c>
      <c r="J508">
        <v>0</v>
      </c>
      <c r="K508">
        <v>0</v>
      </c>
      <c r="L508">
        <v>0</v>
      </c>
      <c r="M508">
        <v>0</v>
      </c>
      <c r="N508">
        <v>0</v>
      </c>
      <c r="O508">
        <v>0</v>
      </c>
      <c r="P508">
        <v>0</v>
      </c>
      <c r="Q508">
        <v>0</v>
      </c>
      <c r="R508" s="2043">
        <v>0</v>
      </c>
      <c r="S508">
        <v>0</v>
      </c>
      <c r="T508">
        <v>0</v>
      </c>
      <c r="U508">
        <v>0</v>
      </c>
      <c r="V508">
        <v>0</v>
      </c>
      <c r="W508">
        <v>0</v>
      </c>
      <c r="X508">
        <v>0</v>
      </c>
      <c r="Y508">
        <v>335718</v>
      </c>
      <c r="Z508">
        <v>0</v>
      </c>
      <c r="AA508">
        <v>0</v>
      </c>
      <c r="AB508">
        <v>2063.569</v>
      </c>
      <c r="AC508" s="2043">
        <v>0</v>
      </c>
      <c r="AD508">
        <v>0</v>
      </c>
      <c r="AE508" s="2043">
        <v>0</v>
      </c>
      <c r="AF508">
        <v>0</v>
      </c>
      <c r="AG508">
        <v>0</v>
      </c>
      <c r="AH508">
        <v>0</v>
      </c>
      <c r="AI508">
        <v>0</v>
      </c>
      <c r="AJ508">
        <v>485.13800000000003</v>
      </c>
      <c r="AK508">
        <v>2081</v>
      </c>
      <c r="AL508">
        <v>0</v>
      </c>
      <c r="AM508">
        <v>0</v>
      </c>
      <c r="AN508">
        <v>1.911</v>
      </c>
      <c r="AO508">
        <v>0</v>
      </c>
      <c r="AP508">
        <v>0</v>
      </c>
      <c r="AQ508">
        <v>0</v>
      </c>
      <c r="AR508">
        <v>25.218</v>
      </c>
      <c r="AS508">
        <v>0</v>
      </c>
      <c r="AT508">
        <v>1.67</v>
      </c>
      <c r="AU508">
        <v>1.8070000000000002</v>
      </c>
      <c r="AV508">
        <v>0</v>
      </c>
      <c r="AW508">
        <v>28.695</v>
      </c>
      <c r="AX508">
        <v>0</v>
      </c>
      <c r="AY508">
        <v>89.698999999999998</v>
      </c>
      <c r="AZ508">
        <v>0</v>
      </c>
      <c r="BA508">
        <v>21429088</v>
      </c>
      <c r="BB508">
        <v>0</v>
      </c>
      <c r="BC508">
        <v>0</v>
      </c>
      <c r="BD508">
        <v>0</v>
      </c>
      <c r="BE508">
        <v>0</v>
      </c>
      <c r="BF508">
        <v>0</v>
      </c>
      <c r="BG508">
        <v>0</v>
      </c>
      <c r="BH508">
        <v>0</v>
      </c>
      <c r="BI508">
        <v>0</v>
      </c>
      <c r="BJ508">
        <v>0</v>
      </c>
      <c r="BK508">
        <v>0</v>
      </c>
      <c r="BL508">
        <v>0</v>
      </c>
      <c r="BM508">
        <v>0</v>
      </c>
      <c r="BN508">
        <v>5013</v>
      </c>
      <c r="BO508">
        <v>0</v>
      </c>
      <c r="BP508">
        <v>0</v>
      </c>
      <c r="BQ508">
        <v>0</v>
      </c>
      <c r="BR508">
        <v>0</v>
      </c>
      <c r="BS508">
        <v>0</v>
      </c>
      <c r="BT508">
        <v>0</v>
      </c>
      <c r="BU508">
        <v>0</v>
      </c>
      <c r="BV508">
        <v>40</v>
      </c>
      <c r="BW508">
        <v>152</v>
      </c>
      <c r="BX508">
        <v>347</v>
      </c>
      <c r="BY508">
        <v>623</v>
      </c>
      <c r="BZ508">
        <v>690</v>
      </c>
      <c r="CA508">
        <v>1852</v>
      </c>
      <c r="CB508">
        <v>0</v>
      </c>
      <c r="CC508">
        <v>257.54000000000002</v>
      </c>
      <c r="CD508">
        <v>0</v>
      </c>
      <c r="CE508">
        <v>48</v>
      </c>
      <c r="CF508">
        <v>1047.277</v>
      </c>
      <c r="CG508">
        <v>0</v>
      </c>
      <c r="CH508">
        <v>0</v>
      </c>
      <c r="CI508">
        <v>13</v>
      </c>
      <c r="CJ508">
        <v>0</v>
      </c>
      <c r="CK508">
        <v>0</v>
      </c>
      <c r="CL508">
        <v>0</v>
      </c>
      <c r="CM508">
        <v>802.34800000000007</v>
      </c>
      <c r="CN508">
        <v>0</v>
      </c>
      <c r="CO508">
        <v>0</v>
      </c>
      <c r="CP508">
        <v>0</v>
      </c>
      <c r="CQ508">
        <v>0</v>
      </c>
      <c r="CR508">
        <v>0</v>
      </c>
      <c r="CS508">
        <v>0</v>
      </c>
      <c r="CT508">
        <v>0</v>
      </c>
      <c r="CU508">
        <v>4.5670000000000002</v>
      </c>
      <c r="CV508">
        <v>20.234999999999999</v>
      </c>
      <c r="CW508">
        <v>28.468</v>
      </c>
      <c r="CX508">
        <v>0</v>
      </c>
      <c r="CY508" s="2043">
        <v>0</v>
      </c>
      <c r="CZ508" s="2043">
        <v>0</v>
      </c>
      <c r="DA508" s="2043">
        <v>0</v>
      </c>
      <c r="DB508" s="2043">
        <v>0</v>
      </c>
      <c r="DC508" s="2043">
        <v>0</v>
      </c>
      <c r="DI508" t="s">
        <v>8015</v>
      </c>
      <c r="DJ508" t="s">
        <v>8015</v>
      </c>
      <c r="DK508" s="2042">
        <f t="shared" si="9"/>
        <v>0</v>
      </c>
    </row>
    <row r="509" spans="1:115">
      <c r="A509" t="s">
        <v>8016</v>
      </c>
      <c r="B509" t="s">
        <v>11333</v>
      </c>
      <c r="C509">
        <v>296.72800000000001</v>
      </c>
      <c r="D509">
        <v>308.35000000000002</v>
      </c>
      <c r="E509">
        <v>22</v>
      </c>
      <c r="F509">
        <v>0</v>
      </c>
      <c r="G509" s="2043">
        <v>0</v>
      </c>
      <c r="H509">
        <v>0</v>
      </c>
      <c r="I509" s="2043">
        <v>0</v>
      </c>
      <c r="J509">
        <v>0</v>
      </c>
      <c r="K509">
        <v>0</v>
      </c>
      <c r="L509">
        <v>0</v>
      </c>
      <c r="M509">
        <v>0</v>
      </c>
      <c r="N509">
        <v>0</v>
      </c>
      <c r="O509">
        <v>0</v>
      </c>
      <c r="P509">
        <v>0</v>
      </c>
      <c r="Q509">
        <v>0</v>
      </c>
      <c r="R509" s="2043">
        <v>0</v>
      </c>
      <c r="S509">
        <v>0</v>
      </c>
      <c r="T509">
        <v>0</v>
      </c>
      <c r="U509">
        <v>0</v>
      </c>
      <c r="V509">
        <v>0</v>
      </c>
      <c r="W509">
        <v>0</v>
      </c>
      <c r="X509">
        <v>0</v>
      </c>
      <c r="Y509">
        <v>52456</v>
      </c>
      <c r="Z509">
        <v>0</v>
      </c>
      <c r="AA509">
        <v>0</v>
      </c>
      <c r="AB509">
        <v>308.35000000000002</v>
      </c>
      <c r="AC509" s="2043">
        <v>0</v>
      </c>
      <c r="AD509">
        <v>0</v>
      </c>
      <c r="AE509" s="2043">
        <v>0</v>
      </c>
      <c r="AF509">
        <v>0</v>
      </c>
      <c r="AG509">
        <v>0</v>
      </c>
      <c r="AH509">
        <v>0</v>
      </c>
      <c r="AI509">
        <v>0</v>
      </c>
      <c r="AJ509">
        <v>33.200000000000003</v>
      </c>
      <c r="AK509">
        <v>756</v>
      </c>
      <c r="AL509">
        <v>0</v>
      </c>
      <c r="AM509">
        <v>0</v>
      </c>
      <c r="AN509">
        <v>28.557000000000002</v>
      </c>
      <c r="AO509">
        <v>0</v>
      </c>
      <c r="AP509">
        <v>0</v>
      </c>
      <c r="AQ509">
        <v>0</v>
      </c>
      <c r="AR509">
        <v>0</v>
      </c>
      <c r="AS509">
        <v>0</v>
      </c>
      <c r="AT509">
        <v>0</v>
      </c>
      <c r="AU509">
        <v>0.108</v>
      </c>
      <c r="AV509">
        <v>0</v>
      </c>
      <c r="AW509">
        <v>0.108</v>
      </c>
      <c r="AX509">
        <v>0</v>
      </c>
      <c r="AY509">
        <v>0.54</v>
      </c>
      <c r="AZ509">
        <v>0</v>
      </c>
      <c r="BA509">
        <v>3159601</v>
      </c>
      <c r="BB509">
        <v>0</v>
      </c>
      <c r="BC509">
        <v>0</v>
      </c>
      <c r="BD509">
        <v>27714</v>
      </c>
      <c r="BE509">
        <v>0</v>
      </c>
      <c r="BF509">
        <v>27714</v>
      </c>
      <c r="BG509">
        <v>27714</v>
      </c>
      <c r="BH509">
        <v>0</v>
      </c>
      <c r="BI509">
        <v>0</v>
      </c>
      <c r="BJ509">
        <v>0</v>
      </c>
      <c r="BK509">
        <v>0</v>
      </c>
      <c r="BL509">
        <v>0</v>
      </c>
      <c r="BM509">
        <v>0</v>
      </c>
      <c r="BN509">
        <v>1773</v>
      </c>
      <c r="BO509">
        <v>1252</v>
      </c>
      <c r="BP509">
        <v>0</v>
      </c>
      <c r="BQ509">
        <v>0</v>
      </c>
      <c r="BR509">
        <v>0</v>
      </c>
      <c r="BS509">
        <v>0</v>
      </c>
      <c r="BT509">
        <v>0</v>
      </c>
      <c r="BU509">
        <v>0</v>
      </c>
      <c r="BV509">
        <v>42</v>
      </c>
      <c r="BW509">
        <v>81</v>
      </c>
      <c r="BX509">
        <v>17</v>
      </c>
      <c r="BY509">
        <v>1</v>
      </c>
      <c r="BZ509">
        <v>0</v>
      </c>
      <c r="CA509">
        <v>141</v>
      </c>
      <c r="CB509">
        <v>0</v>
      </c>
      <c r="CC509">
        <v>0</v>
      </c>
      <c r="CD509">
        <v>0</v>
      </c>
      <c r="CE509">
        <v>11</v>
      </c>
      <c r="CF509">
        <v>0</v>
      </c>
      <c r="CG509">
        <v>0</v>
      </c>
      <c r="CH509">
        <v>0</v>
      </c>
      <c r="CI509">
        <v>4</v>
      </c>
      <c r="CJ509">
        <v>4</v>
      </c>
      <c r="CK509">
        <v>0</v>
      </c>
      <c r="CL509">
        <v>0</v>
      </c>
      <c r="CM509">
        <v>22</v>
      </c>
      <c r="CN509">
        <v>0</v>
      </c>
      <c r="CO509">
        <v>0</v>
      </c>
      <c r="CP509">
        <v>0</v>
      </c>
      <c r="CQ509">
        <v>0</v>
      </c>
      <c r="CR509">
        <v>0</v>
      </c>
      <c r="CS509">
        <v>0</v>
      </c>
      <c r="CT509">
        <v>0</v>
      </c>
      <c r="CU509">
        <v>15.136000000000001</v>
      </c>
      <c r="CV509">
        <v>36.846000000000004</v>
      </c>
      <c r="CW509">
        <v>9.7100000000000009</v>
      </c>
      <c r="CX509">
        <v>0</v>
      </c>
      <c r="CY509" s="2043">
        <v>0</v>
      </c>
      <c r="CZ509" s="2043">
        <v>0</v>
      </c>
      <c r="DA509" s="2043">
        <v>0</v>
      </c>
      <c r="DB509" s="2043">
        <v>0</v>
      </c>
      <c r="DC509" s="2043">
        <v>0</v>
      </c>
      <c r="DI509" t="s">
        <v>8016</v>
      </c>
      <c r="DJ509" t="s">
        <v>8016</v>
      </c>
      <c r="DK509" s="2042">
        <f t="shared" si="9"/>
        <v>0</v>
      </c>
    </row>
    <row r="510" spans="1:115">
      <c r="A510" t="s">
        <v>8017</v>
      </c>
      <c r="B510" t="s">
        <v>11334</v>
      </c>
      <c r="C510">
        <v>1426.566</v>
      </c>
      <c r="D510">
        <v>1775.7470000000001</v>
      </c>
      <c r="E510">
        <v>1072.5119999999999</v>
      </c>
      <c r="F510">
        <v>0</v>
      </c>
      <c r="G510" s="2043">
        <v>0</v>
      </c>
      <c r="H510">
        <v>0</v>
      </c>
      <c r="I510" s="2043">
        <v>0</v>
      </c>
      <c r="J510">
        <v>0</v>
      </c>
      <c r="K510">
        <v>0</v>
      </c>
      <c r="L510">
        <v>0</v>
      </c>
      <c r="M510">
        <v>0</v>
      </c>
      <c r="N510">
        <v>0</v>
      </c>
      <c r="O510">
        <v>0</v>
      </c>
      <c r="P510">
        <v>0</v>
      </c>
      <c r="Q510">
        <v>0</v>
      </c>
      <c r="R510" s="2043">
        <v>0</v>
      </c>
      <c r="S510">
        <v>0</v>
      </c>
      <c r="T510">
        <v>0</v>
      </c>
      <c r="U510">
        <v>0</v>
      </c>
      <c r="V510">
        <v>0</v>
      </c>
      <c r="W510">
        <v>0</v>
      </c>
      <c r="X510">
        <v>0</v>
      </c>
      <c r="Y510">
        <v>252192</v>
      </c>
      <c r="Z510">
        <v>0</v>
      </c>
      <c r="AA510">
        <v>0.69900000000000007</v>
      </c>
      <c r="AB510">
        <v>1496.828</v>
      </c>
      <c r="AC510" s="2043">
        <v>0</v>
      </c>
      <c r="AD510">
        <v>0</v>
      </c>
      <c r="AE510" s="2043">
        <v>0</v>
      </c>
      <c r="AF510">
        <v>0</v>
      </c>
      <c r="AG510">
        <v>0</v>
      </c>
      <c r="AH510">
        <v>0</v>
      </c>
      <c r="AI510">
        <v>0</v>
      </c>
      <c r="AJ510">
        <v>354.45</v>
      </c>
      <c r="AK510">
        <v>4829</v>
      </c>
      <c r="AL510">
        <v>0</v>
      </c>
      <c r="AM510">
        <v>0</v>
      </c>
      <c r="AN510">
        <v>45.768000000000001</v>
      </c>
      <c r="AO510">
        <v>0</v>
      </c>
      <c r="AP510">
        <v>0</v>
      </c>
      <c r="AQ510">
        <v>15.906000000000001</v>
      </c>
      <c r="AR510">
        <v>29.383000000000003</v>
      </c>
      <c r="AS510">
        <v>0</v>
      </c>
      <c r="AT510">
        <v>3.2000000000000001E-2</v>
      </c>
      <c r="AU510">
        <v>1.7410000000000001</v>
      </c>
      <c r="AV510">
        <v>0</v>
      </c>
      <c r="AW510">
        <v>47.062000000000005</v>
      </c>
      <c r="AX510">
        <v>0</v>
      </c>
      <c r="AY510">
        <v>96.95</v>
      </c>
      <c r="AZ510">
        <v>0</v>
      </c>
      <c r="BA510">
        <v>17189908</v>
      </c>
      <c r="BB510">
        <v>0</v>
      </c>
      <c r="BC510">
        <v>0</v>
      </c>
      <c r="BD510">
        <v>61608</v>
      </c>
      <c r="BE510">
        <v>0</v>
      </c>
      <c r="BF510">
        <v>61608</v>
      </c>
      <c r="BG510">
        <v>61608</v>
      </c>
      <c r="BH510">
        <v>0</v>
      </c>
      <c r="BI510">
        <v>0</v>
      </c>
      <c r="BJ510">
        <v>0</v>
      </c>
      <c r="BK510">
        <v>0</v>
      </c>
      <c r="BL510">
        <v>0</v>
      </c>
      <c r="BM510">
        <v>0</v>
      </c>
      <c r="BN510">
        <v>5355</v>
      </c>
      <c r="BO510">
        <v>3028</v>
      </c>
      <c r="BP510">
        <v>0</v>
      </c>
      <c r="BQ510">
        <v>0</v>
      </c>
      <c r="BR510">
        <v>0</v>
      </c>
      <c r="BS510">
        <v>0</v>
      </c>
      <c r="BT510">
        <v>0</v>
      </c>
      <c r="BU510">
        <v>0</v>
      </c>
      <c r="BV510">
        <v>86</v>
      </c>
      <c r="BW510">
        <v>59</v>
      </c>
      <c r="BX510">
        <v>100</v>
      </c>
      <c r="BY510">
        <v>205</v>
      </c>
      <c r="BZ510">
        <v>881</v>
      </c>
      <c r="CA510">
        <v>1331</v>
      </c>
      <c r="CB510">
        <v>16</v>
      </c>
      <c r="CC510">
        <v>0</v>
      </c>
      <c r="CD510">
        <v>0</v>
      </c>
      <c r="CE510">
        <v>30</v>
      </c>
      <c r="CF510">
        <v>889.66399999999999</v>
      </c>
      <c r="CG510">
        <v>683.62400000000002</v>
      </c>
      <c r="CH510">
        <v>68.162000000000006</v>
      </c>
      <c r="CI510">
        <v>3</v>
      </c>
      <c r="CJ510">
        <v>0</v>
      </c>
      <c r="CK510">
        <v>0</v>
      </c>
      <c r="CL510">
        <v>751.78600000000006</v>
      </c>
      <c r="CM510">
        <v>1072.5119999999999</v>
      </c>
      <c r="CN510">
        <v>0</v>
      </c>
      <c r="CO510">
        <v>0</v>
      </c>
      <c r="CP510">
        <v>0</v>
      </c>
      <c r="CQ510">
        <v>0</v>
      </c>
      <c r="CR510">
        <v>0</v>
      </c>
      <c r="CS510">
        <v>0</v>
      </c>
      <c r="CT510">
        <v>0</v>
      </c>
      <c r="CU510">
        <v>4.3899999999999997</v>
      </c>
      <c r="CV510">
        <v>13.459000000000001</v>
      </c>
      <c r="CW510">
        <v>0</v>
      </c>
      <c r="CX510">
        <v>0</v>
      </c>
      <c r="CY510" s="2043">
        <v>0</v>
      </c>
      <c r="CZ510" s="2043">
        <v>0</v>
      </c>
      <c r="DA510" s="2043">
        <v>0</v>
      </c>
      <c r="DB510" s="2043">
        <v>0</v>
      </c>
      <c r="DC510" s="2043">
        <v>0</v>
      </c>
      <c r="DI510" t="s">
        <v>8017</v>
      </c>
      <c r="DJ510" t="s">
        <v>8017</v>
      </c>
      <c r="DK510" s="2042">
        <f t="shared" si="9"/>
        <v>0</v>
      </c>
    </row>
    <row r="511" spans="1:115">
      <c r="A511" t="s">
        <v>8018</v>
      </c>
      <c r="B511" t="s">
        <v>11335</v>
      </c>
      <c r="C511">
        <v>330.154</v>
      </c>
      <c r="D511">
        <v>394.62800000000004</v>
      </c>
      <c r="E511">
        <v>6.1190000000000007</v>
      </c>
      <c r="F511">
        <v>0</v>
      </c>
      <c r="G511" s="2043">
        <v>0</v>
      </c>
      <c r="H511">
        <v>0</v>
      </c>
      <c r="I511" s="2043">
        <v>0</v>
      </c>
      <c r="J511">
        <v>16</v>
      </c>
      <c r="K511">
        <v>44</v>
      </c>
      <c r="L511">
        <v>0</v>
      </c>
      <c r="M511">
        <v>0</v>
      </c>
      <c r="N511">
        <v>0</v>
      </c>
      <c r="O511">
        <v>0</v>
      </c>
      <c r="P511">
        <v>0</v>
      </c>
      <c r="Q511">
        <v>0</v>
      </c>
      <c r="R511" s="2043">
        <v>0</v>
      </c>
      <c r="S511">
        <v>0</v>
      </c>
      <c r="T511">
        <v>0</v>
      </c>
      <c r="U511">
        <v>0</v>
      </c>
      <c r="V511">
        <v>0</v>
      </c>
      <c r="W511">
        <v>0</v>
      </c>
      <c r="X511">
        <v>0</v>
      </c>
      <c r="Y511">
        <v>58365</v>
      </c>
      <c r="Z511">
        <v>0</v>
      </c>
      <c r="AA511">
        <v>0</v>
      </c>
      <c r="AB511">
        <v>346.904</v>
      </c>
      <c r="AC511" s="2043">
        <v>0</v>
      </c>
      <c r="AD511">
        <v>0</v>
      </c>
      <c r="AE511" s="2043">
        <v>0</v>
      </c>
      <c r="AF511">
        <v>0</v>
      </c>
      <c r="AG511">
        <v>0</v>
      </c>
      <c r="AH511">
        <v>0</v>
      </c>
      <c r="AI511">
        <v>0</v>
      </c>
      <c r="AJ511">
        <v>107.21300000000001</v>
      </c>
      <c r="AK511">
        <v>969</v>
      </c>
      <c r="AL511">
        <v>0</v>
      </c>
      <c r="AM511">
        <v>0</v>
      </c>
      <c r="AN511">
        <v>2.6230000000000002</v>
      </c>
      <c r="AO511">
        <v>0</v>
      </c>
      <c r="AP511">
        <v>0</v>
      </c>
      <c r="AQ511">
        <v>0</v>
      </c>
      <c r="AR511">
        <v>12.562000000000001</v>
      </c>
      <c r="AS511">
        <v>0</v>
      </c>
      <c r="AT511">
        <v>0</v>
      </c>
      <c r="AU511">
        <v>0.41400000000000003</v>
      </c>
      <c r="AV511">
        <v>0</v>
      </c>
      <c r="AW511">
        <v>12.976000000000001</v>
      </c>
      <c r="AX511">
        <v>0</v>
      </c>
      <c r="AY511">
        <v>39.756</v>
      </c>
      <c r="AZ511">
        <v>0</v>
      </c>
      <c r="BA511">
        <v>3867182</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52</v>
      </c>
      <c r="BW511">
        <v>45</v>
      </c>
      <c r="BX511">
        <v>49</v>
      </c>
      <c r="BY511">
        <v>68</v>
      </c>
      <c r="BZ511">
        <v>199</v>
      </c>
      <c r="CA511">
        <v>413</v>
      </c>
      <c r="CB511">
        <v>0</v>
      </c>
      <c r="CC511">
        <v>0</v>
      </c>
      <c r="CD511">
        <v>0</v>
      </c>
      <c r="CE511">
        <v>57</v>
      </c>
      <c r="CF511">
        <v>185.517</v>
      </c>
      <c r="CG511">
        <v>0</v>
      </c>
      <c r="CH511">
        <v>0</v>
      </c>
      <c r="CI511">
        <v>0</v>
      </c>
      <c r="CJ511">
        <v>0</v>
      </c>
      <c r="CK511">
        <v>0</v>
      </c>
      <c r="CL511">
        <v>0</v>
      </c>
      <c r="CM511">
        <v>6.1190000000000007</v>
      </c>
      <c r="CN511">
        <v>0</v>
      </c>
      <c r="CO511">
        <v>0</v>
      </c>
      <c r="CP511">
        <v>0</v>
      </c>
      <c r="CQ511">
        <v>0</v>
      </c>
      <c r="CR511">
        <v>0</v>
      </c>
      <c r="CS511">
        <v>0</v>
      </c>
      <c r="CT511">
        <v>0</v>
      </c>
      <c r="CU511">
        <v>0</v>
      </c>
      <c r="CV511">
        <v>0</v>
      </c>
      <c r="CW511">
        <v>0</v>
      </c>
      <c r="CX511">
        <v>0</v>
      </c>
      <c r="CY511" s="2043">
        <v>0</v>
      </c>
      <c r="CZ511" s="2043">
        <v>0</v>
      </c>
      <c r="DA511" s="2043">
        <v>0</v>
      </c>
      <c r="DB511" s="2043">
        <v>0</v>
      </c>
      <c r="DC511" s="2043">
        <v>0</v>
      </c>
      <c r="DI511" t="s">
        <v>8018</v>
      </c>
      <c r="DJ511" t="s">
        <v>8018</v>
      </c>
      <c r="DK511" s="2042">
        <f t="shared" si="9"/>
        <v>0</v>
      </c>
    </row>
    <row r="512" spans="1:115">
      <c r="A512" t="s">
        <v>8019</v>
      </c>
      <c r="B512" t="s">
        <v>11336</v>
      </c>
      <c r="C512">
        <v>38.565000000000005</v>
      </c>
      <c r="D512">
        <v>44.213999999999999</v>
      </c>
      <c r="E512">
        <v>10.36</v>
      </c>
      <c r="F512">
        <v>0</v>
      </c>
      <c r="G512" s="2043">
        <v>0</v>
      </c>
      <c r="H512">
        <v>0</v>
      </c>
      <c r="I512" s="2043">
        <v>0</v>
      </c>
      <c r="J512">
        <v>0</v>
      </c>
      <c r="K512">
        <v>0</v>
      </c>
      <c r="L512">
        <v>0</v>
      </c>
      <c r="M512">
        <v>0</v>
      </c>
      <c r="N512">
        <v>0</v>
      </c>
      <c r="O512">
        <v>0</v>
      </c>
      <c r="P512">
        <v>0</v>
      </c>
      <c r="Q512">
        <v>0</v>
      </c>
      <c r="R512" s="2043">
        <v>0</v>
      </c>
      <c r="S512">
        <v>0</v>
      </c>
      <c r="T512">
        <v>0</v>
      </c>
      <c r="U512">
        <v>0</v>
      </c>
      <c r="V512">
        <v>0</v>
      </c>
      <c r="W512">
        <v>0</v>
      </c>
      <c r="X512">
        <v>0</v>
      </c>
      <c r="Y512">
        <v>21294</v>
      </c>
      <c r="Z512">
        <v>0</v>
      </c>
      <c r="AA512">
        <v>0</v>
      </c>
      <c r="AB512">
        <v>38.694000000000003</v>
      </c>
      <c r="AC512" s="2043">
        <v>0</v>
      </c>
      <c r="AD512">
        <v>0</v>
      </c>
      <c r="AE512" s="2043">
        <v>0</v>
      </c>
      <c r="AF512">
        <v>0</v>
      </c>
      <c r="AG512">
        <v>0</v>
      </c>
      <c r="AH512">
        <v>0</v>
      </c>
      <c r="AI512">
        <v>0</v>
      </c>
      <c r="AJ512">
        <v>6.6880000000000006</v>
      </c>
      <c r="AK512">
        <v>59</v>
      </c>
      <c r="AL512">
        <v>0</v>
      </c>
      <c r="AM512">
        <v>0</v>
      </c>
      <c r="AN512">
        <v>2.129</v>
      </c>
      <c r="AO512">
        <v>0</v>
      </c>
      <c r="AP512">
        <v>0</v>
      </c>
      <c r="AQ512">
        <v>0</v>
      </c>
      <c r="AR512">
        <v>0</v>
      </c>
      <c r="AS512">
        <v>0</v>
      </c>
      <c r="AT512">
        <v>0</v>
      </c>
      <c r="AU512">
        <v>3.3000000000000002E-2</v>
      </c>
      <c r="AV512">
        <v>0</v>
      </c>
      <c r="AW512">
        <v>3.3000000000000002E-2</v>
      </c>
      <c r="AX512">
        <v>0</v>
      </c>
      <c r="AY512">
        <v>0.16500000000000001</v>
      </c>
      <c r="AZ512">
        <v>0</v>
      </c>
      <c r="BA512">
        <v>437143</v>
      </c>
      <c r="BB512">
        <v>0</v>
      </c>
      <c r="BC512">
        <v>0</v>
      </c>
      <c r="BD512">
        <v>0</v>
      </c>
      <c r="BE512">
        <v>0</v>
      </c>
      <c r="BF512">
        <v>0</v>
      </c>
      <c r="BG512">
        <v>0</v>
      </c>
      <c r="BH512">
        <v>0</v>
      </c>
      <c r="BI512">
        <v>0</v>
      </c>
      <c r="BJ512">
        <v>0</v>
      </c>
      <c r="BK512">
        <v>0</v>
      </c>
      <c r="BL512">
        <v>0</v>
      </c>
      <c r="BM512">
        <v>0</v>
      </c>
      <c r="BN512">
        <v>450</v>
      </c>
      <c r="BO512">
        <v>289</v>
      </c>
      <c r="BP512">
        <v>0</v>
      </c>
      <c r="BQ512">
        <v>0</v>
      </c>
      <c r="BR512">
        <v>0</v>
      </c>
      <c r="BS512">
        <v>0</v>
      </c>
      <c r="BT512">
        <v>14476</v>
      </c>
      <c r="BU512">
        <v>0</v>
      </c>
      <c r="BV512">
        <v>4</v>
      </c>
      <c r="BW512">
        <v>8</v>
      </c>
      <c r="BX512">
        <v>5</v>
      </c>
      <c r="BY512">
        <v>9</v>
      </c>
      <c r="BZ512">
        <v>1</v>
      </c>
      <c r="CA512">
        <v>27</v>
      </c>
      <c r="CB512">
        <v>0</v>
      </c>
      <c r="CC512">
        <v>0</v>
      </c>
      <c r="CD512">
        <v>0</v>
      </c>
      <c r="CE512">
        <v>2</v>
      </c>
      <c r="CF512">
        <v>2.9710000000000001</v>
      </c>
      <c r="CG512">
        <v>0</v>
      </c>
      <c r="CH512">
        <v>0</v>
      </c>
      <c r="CI512">
        <v>1</v>
      </c>
      <c r="CJ512">
        <v>0</v>
      </c>
      <c r="CK512">
        <v>0</v>
      </c>
      <c r="CL512">
        <v>0</v>
      </c>
      <c r="CM512">
        <v>10.36</v>
      </c>
      <c r="CN512">
        <v>0</v>
      </c>
      <c r="CO512">
        <v>0</v>
      </c>
      <c r="CP512">
        <v>0</v>
      </c>
      <c r="CQ512">
        <v>0</v>
      </c>
      <c r="CR512">
        <v>0</v>
      </c>
      <c r="CS512">
        <v>0</v>
      </c>
      <c r="CT512">
        <v>0</v>
      </c>
      <c r="CU512">
        <v>1.6840000000000002</v>
      </c>
      <c r="CV512">
        <v>7.9710000000000001</v>
      </c>
      <c r="CW512">
        <v>3.2000000000000001E-2</v>
      </c>
      <c r="CX512">
        <v>14476</v>
      </c>
      <c r="CY512" s="2043">
        <v>0</v>
      </c>
      <c r="CZ512" s="2043">
        <v>0</v>
      </c>
      <c r="DA512" s="2043">
        <v>0</v>
      </c>
      <c r="DB512" s="2043">
        <v>0</v>
      </c>
      <c r="DC512" s="2043">
        <v>0</v>
      </c>
      <c r="DI512" t="s">
        <v>8019</v>
      </c>
      <c r="DJ512" t="s">
        <v>8019</v>
      </c>
      <c r="DK512" s="2042">
        <f t="shared" si="9"/>
        <v>0</v>
      </c>
    </row>
    <row r="513" spans="1:115">
      <c r="A513" t="s">
        <v>8020</v>
      </c>
      <c r="B513" t="s">
        <v>11337</v>
      </c>
      <c r="C513">
        <v>13494.007</v>
      </c>
      <c r="D513">
        <v>12655.837</v>
      </c>
      <c r="E513">
        <v>5013.4570000000003</v>
      </c>
      <c r="F513">
        <v>0</v>
      </c>
      <c r="G513" s="2043">
        <v>0</v>
      </c>
      <c r="H513">
        <v>0</v>
      </c>
      <c r="I513" s="2043">
        <v>0</v>
      </c>
      <c r="J513">
        <v>0</v>
      </c>
      <c r="K513">
        <v>0</v>
      </c>
      <c r="L513">
        <v>0</v>
      </c>
      <c r="M513">
        <v>0</v>
      </c>
      <c r="N513">
        <v>0</v>
      </c>
      <c r="O513">
        <v>0</v>
      </c>
      <c r="P513">
        <v>0</v>
      </c>
      <c r="Q513">
        <v>0</v>
      </c>
      <c r="R513" s="2043">
        <v>0</v>
      </c>
      <c r="S513">
        <v>0</v>
      </c>
      <c r="T513">
        <v>0</v>
      </c>
      <c r="U513">
        <v>0</v>
      </c>
      <c r="V513">
        <v>1053.114</v>
      </c>
      <c r="W513">
        <v>0</v>
      </c>
      <c r="X513">
        <v>0</v>
      </c>
      <c r="Y513">
        <v>2385501</v>
      </c>
      <c r="Z513">
        <v>0</v>
      </c>
      <c r="AA513">
        <v>2.9180000000000001</v>
      </c>
      <c r="AB513">
        <v>12655.837</v>
      </c>
      <c r="AC513" s="2043">
        <v>0</v>
      </c>
      <c r="AD513">
        <v>0</v>
      </c>
      <c r="AE513" s="2043">
        <v>0</v>
      </c>
      <c r="AF513">
        <v>0</v>
      </c>
      <c r="AG513">
        <v>0</v>
      </c>
      <c r="AH513">
        <v>0</v>
      </c>
      <c r="AI513">
        <v>0</v>
      </c>
      <c r="AJ513">
        <v>3415.663</v>
      </c>
      <c r="AK513">
        <v>27120</v>
      </c>
      <c r="AL513">
        <v>3.2000000000000001E-2</v>
      </c>
      <c r="AM513">
        <v>0</v>
      </c>
      <c r="AN513">
        <v>333.59399999999999</v>
      </c>
      <c r="AO513">
        <v>0</v>
      </c>
      <c r="AP513">
        <v>0</v>
      </c>
      <c r="AQ513">
        <v>0</v>
      </c>
      <c r="AR513">
        <v>202.52700000000002</v>
      </c>
      <c r="AS513">
        <v>0</v>
      </c>
      <c r="AT513">
        <v>40.36</v>
      </c>
      <c r="AU513">
        <v>13.187000000000001</v>
      </c>
      <c r="AV513">
        <v>0</v>
      </c>
      <c r="AW513">
        <v>264.40700000000004</v>
      </c>
      <c r="AX513">
        <v>8.3010000000000002</v>
      </c>
      <c r="AY513">
        <v>813.84800000000007</v>
      </c>
      <c r="AZ513">
        <v>0</v>
      </c>
      <c r="BA513">
        <v>153991015</v>
      </c>
      <c r="BB513">
        <v>0</v>
      </c>
      <c r="BC513">
        <v>0</v>
      </c>
      <c r="BD513">
        <v>1451755</v>
      </c>
      <c r="BE513">
        <v>341855</v>
      </c>
      <c r="BF513">
        <v>1793610</v>
      </c>
      <c r="BG513">
        <v>1451755</v>
      </c>
      <c r="BH513">
        <v>0</v>
      </c>
      <c r="BI513">
        <v>0</v>
      </c>
      <c r="BJ513">
        <v>0</v>
      </c>
      <c r="BK513">
        <v>0</v>
      </c>
      <c r="BL513">
        <v>0</v>
      </c>
      <c r="BM513">
        <v>0</v>
      </c>
      <c r="BN513">
        <v>71145</v>
      </c>
      <c r="BO513">
        <v>0</v>
      </c>
      <c r="BP513">
        <v>763320</v>
      </c>
      <c r="BQ513">
        <v>0</v>
      </c>
      <c r="BR513">
        <v>0</v>
      </c>
      <c r="BS513">
        <v>0</v>
      </c>
      <c r="BT513">
        <v>0</v>
      </c>
      <c r="BU513">
        <v>0</v>
      </c>
      <c r="BV513">
        <v>874</v>
      </c>
      <c r="BW513">
        <v>1199</v>
      </c>
      <c r="BX513">
        <v>2178</v>
      </c>
      <c r="BY513">
        <v>3476</v>
      </c>
      <c r="BZ513">
        <v>5372</v>
      </c>
      <c r="CA513">
        <v>13099</v>
      </c>
      <c r="CB513">
        <v>0</v>
      </c>
      <c r="CC513">
        <v>0</v>
      </c>
      <c r="CD513">
        <v>0</v>
      </c>
      <c r="CE513">
        <v>90</v>
      </c>
      <c r="CF513">
        <v>1629.913</v>
      </c>
      <c r="CG513">
        <v>0</v>
      </c>
      <c r="CH513">
        <v>0</v>
      </c>
      <c r="CI513">
        <v>207</v>
      </c>
      <c r="CJ513">
        <v>108</v>
      </c>
      <c r="CK513">
        <v>1</v>
      </c>
      <c r="CL513">
        <v>0</v>
      </c>
      <c r="CM513">
        <v>5013.4570000000003</v>
      </c>
      <c r="CN513">
        <v>265713</v>
      </c>
      <c r="CO513">
        <v>372151</v>
      </c>
      <c r="CP513">
        <v>125456</v>
      </c>
      <c r="CQ513">
        <v>0</v>
      </c>
      <c r="CR513">
        <v>0</v>
      </c>
      <c r="CS513">
        <v>0</v>
      </c>
      <c r="CT513">
        <v>0</v>
      </c>
      <c r="CU513">
        <v>10.386000000000001</v>
      </c>
      <c r="CV513">
        <v>619.89700000000005</v>
      </c>
      <c r="CW513">
        <v>81.704000000000008</v>
      </c>
      <c r="CX513">
        <v>0</v>
      </c>
      <c r="CY513" s="2043">
        <v>0</v>
      </c>
      <c r="CZ513" s="2043">
        <v>0</v>
      </c>
      <c r="DA513" s="2043">
        <v>0</v>
      </c>
      <c r="DB513" s="2043">
        <v>0</v>
      </c>
      <c r="DC513" s="2043">
        <v>0</v>
      </c>
      <c r="DI513" t="s">
        <v>8020</v>
      </c>
      <c r="DJ513" t="s">
        <v>8020</v>
      </c>
      <c r="DK513" s="2042">
        <f t="shared" si="9"/>
        <v>0</v>
      </c>
    </row>
    <row r="514" spans="1:115">
      <c r="A514" t="s">
        <v>8021</v>
      </c>
      <c r="B514" t="s">
        <v>11338</v>
      </c>
      <c r="C514">
        <v>3383.1190000000001</v>
      </c>
      <c r="D514">
        <v>3512.0750000000003</v>
      </c>
      <c r="E514">
        <v>1236.1610000000001</v>
      </c>
      <c r="F514">
        <v>0</v>
      </c>
      <c r="G514" s="2043">
        <v>0</v>
      </c>
      <c r="H514">
        <v>0</v>
      </c>
      <c r="I514" s="2043">
        <v>0</v>
      </c>
      <c r="J514">
        <v>169.15600000000001</v>
      </c>
      <c r="K514">
        <v>462</v>
      </c>
      <c r="L514">
        <v>0</v>
      </c>
      <c r="M514">
        <v>0</v>
      </c>
      <c r="N514">
        <v>0</v>
      </c>
      <c r="O514">
        <v>0</v>
      </c>
      <c r="P514">
        <v>0</v>
      </c>
      <c r="Q514">
        <v>0</v>
      </c>
      <c r="R514" s="2043">
        <v>0</v>
      </c>
      <c r="S514">
        <v>0</v>
      </c>
      <c r="T514">
        <v>0</v>
      </c>
      <c r="U514">
        <v>0</v>
      </c>
      <c r="V514">
        <v>0</v>
      </c>
      <c r="W514">
        <v>0</v>
      </c>
      <c r="X514">
        <v>0</v>
      </c>
      <c r="Y514">
        <v>598075</v>
      </c>
      <c r="Z514">
        <v>0</v>
      </c>
      <c r="AA514">
        <v>0</v>
      </c>
      <c r="AB514">
        <v>3512.0750000000003</v>
      </c>
      <c r="AC514" s="2043">
        <v>0</v>
      </c>
      <c r="AD514">
        <v>0</v>
      </c>
      <c r="AE514" s="2043">
        <v>0</v>
      </c>
      <c r="AF514">
        <v>0</v>
      </c>
      <c r="AG514">
        <v>0</v>
      </c>
      <c r="AH514">
        <v>0</v>
      </c>
      <c r="AI514">
        <v>0</v>
      </c>
      <c r="AJ514">
        <v>789</v>
      </c>
      <c r="AK514">
        <v>9842</v>
      </c>
      <c r="AL514">
        <v>0</v>
      </c>
      <c r="AM514">
        <v>0</v>
      </c>
      <c r="AN514">
        <v>66.247</v>
      </c>
      <c r="AO514">
        <v>0</v>
      </c>
      <c r="AP514">
        <v>0</v>
      </c>
      <c r="AQ514">
        <v>0</v>
      </c>
      <c r="AR514">
        <v>96.622</v>
      </c>
      <c r="AS514">
        <v>0</v>
      </c>
      <c r="AT514">
        <v>14.707000000000001</v>
      </c>
      <c r="AU514">
        <v>4.8170000000000002</v>
      </c>
      <c r="AV514">
        <v>0</v>
      </c>
      <c r="AW514">
        <v>116.28200000000001</v>
      </c>
      <c r="AX514">
        <v>0.13600000000000001</v>
      </c>
      <c r="AY514">
        <v>358.38499999999999</v>
      </c>
      <c r="AZ514">
        <v>0</v>
      </c>
      <c r="BA514">
        <v>38922671</v>
      </c>
      <c r="BB514">
        <v>0</v>
      </c>
      <c r="BC514">
        <v>0</v>
      </c>
      <c r="BD514">
        <v>0</v>
      </c>
      <c r="BE514">
        <v>0</v>
      </c>
      <c r="BF514">
        <v>0</v>
      </c>
      <c r="BG514">
        <v>0</v>
      </c>
      <c r="BH514">
        <v>0</v>
      </c>
      <c r="BI514">
        <v>0</v>
      </c>
      <c r="BJ514">
        <v>0</v>
      </c>
      <c r="BK514">
        <v>0</v>
      </c>
      <c r="BL514">
        <v>0</v>
      </c>
      <c r="BM514">
        <v>0</v>
      </c>
      <c r="BN514">
        <v>13347</v>
      </c>
      <c r="BO514">
        <v>8410</v>
      </c>
      <c r="BP514">
        <v>297249</v>
      </c>
      <c r="BQ514">
        <v>0</v>
      </c>
      <c r="BR514">
        <v>0</v>
      </c>
      <c r="BS514">
        <v>0</v>
      </c>
      <c r="BT514">
        <v>0</v>
      </c>
      <c r="BU514">
        <v>0</v>
      </c>
      <c r="BV514">
        <v>323</v>
      </c>
      <c r="BW514">
        <v>436</v>
      </c>
      <c r="BX514">
        <v>726</v>
      </c>
      <c r="BY514">
        <v>698</v>
      </c>
      <c r="BZ514">
        <v>902</v>
      </c>
      <c r="CA514">
        <v>3085</v>
      </c>
      <c r="CB514">
        <v>0</v>
      </c>
      <c r="CC514">
        <v>0</v>
      </c>
      <c r="CD514">
        <v>0</v>
      </c>
      <c r="CE514">
        <v>120</v>
      </c>
      <c r="CF514">
        <v>1041.027</v>
      </c>
      <c r="CG514">
        <v>0</v>
      </c>
      <c r="CH514">
        <v>0</v>
      </c>
      <c r="CI514">
        <v>67</v>
      </c>
      <c r="CJ514">
        <v>22</v>
      </c>
      <c r="CK514">
        <v>1</v>
      </c>
      <c r="CL514">
        <v>0</v>
      </c>
      <c r="CM514">
        <v>1236.1610000000001</v>
      </c>
      <c r="CN514">
        <v>115660</v>
      </c>
      <c r="CO514">
        <v>117008</v>
      </c>
      <c r="CP514">
        <v>64581</v>
      </c>
      <c r="CQ514">
        <v>0</v>
      </c>
      <c r="CR514">
        <v>0</v>
      </c>
      <c r="CS514">
        <v>0</v>
      </c>
      <c r="CT514">
        <v>0</v>
      </c>
      <c r="CU514">
        <v>0</v>
      </c>
      <c r="CV514">
        <v>109.628</v>
      </c>
      <c r="CW514">
        <v>96.632000000000005</v>
      </c>
      <c r="CX514">
        <v>0</v>
      </c>
      <c r="CY514" s="2043">
        <v>0</v>
      </c>
      <c r="CZ514" s="2043">
        <v>0</v>
      </c>
      <c r="DA514" s="2043">
        <v>0</v>
      </c>
      <c r="DB514" s="2043">
        <v>0</v>
      </c>
      <c r="DC514" s="2043">
        <v>0</v>
      </c>
      <c r="DI514" t="s">
        <v>8021</v>
      </c>
      <c r="DJ514" t="s">
        <v>8021</v>
      </c>
      <c r="DK514" s="2042">
        <f t="shared" si="9"/>
        <v>0</v>
      </c>
    </row>
    <row r="515" spans="1:115">
      <c r="A515" t="s">
        <v>8022</v>
      </c>
      <c r="B515" t="s">
        <v>11339</v>
      </c>
      <c r="C515">
        <v>431.065</v>
      </c>
      <c r="D515">
        <v>471.97200000000004</v>
      </c>
      <c r="E515">
        <v>0</v>
      </c>
      <c r="F515">
        <v>0</v>
      </c>
      <c r="G515" s="2043">
        <v>0</v>
      </c>
      <c r="H515">
        <v>0</v>
      </c>
      <c r="I515" s="2043">
        <v>0</v>
      </c>
      <c r="J515">
        <v>0</v>
      </c>
      <c r="K515">
        <v>0</v>
      </c>
      <c r="L515">
        <v>0</v>
      </c>
      <c r="M515">
        <v>0</v>
      </c>
      <c r="N515">
        <v>0</v>
      </c>
      <c r="O515">
        <v>0</v>
      </c>
      <c r="P515">
        <v>0</v>
      </c>
      <c r="Q515">
        <v>0</v>
      </c>
      <c r="R515" s="2043">
        <v>0</v>
      </c>
      <c r="S515">
        <v>0</v>
      </c>
      <c r="T515">
        <v>0</v>
      </c>
      <c r="U515">
        <v>0</v>
      </c>
      <c r="V515">
        <v>0</v>
      </c>
      <c r="W515">
        <v>0</v>
      </c>
      <c r="X515">
        <v>0</v>
      </c>
      <c r="Y515">
        <v>76205</v>
      </c>
      <c r="Z515">
        <v>0</v>
      </c>
      <c r="AA515">
        <v>0</v>
      </c>
      <c r="AB515">
        <v>450.34500000000003</v>
      </c>
      <c r="AC515" s="2043">
        <v>0</v>
      </c>
      <c r="AD515">
        <v>0</v>
      </c>
      <c r="AE515" s="2043">
        <v>0</v>
      </c>
      <c r="AF515">
        <v>0</v>
      </c>
      <c r="AG515">
        <v>0</v>
      </c>
      <c r="AH515">
        <v>0</v>
      </c>
      <c r="AI515">
        <v>0</v>
      </c>
      <c r="AJ515">
        <v>82.488</v>
      </c>
      <c r="AK515">
        <v>926</v>
      </c>
      <c r="AL515">
        <v>2.1000000000000001E-2</v>
      </c>
      <c r="AM515">
        <v>0</v>
      </c>
      <c r="AN515">
        <v>8.8830000000000009</v>
      </c>
      <c r="AO515">
        <v>0</v>
      </c>
      <c r="AP515">
        <v>0</v>
      </c>
      <c r="AQ515">
        <v>0</v>
      </c>
      <c r="AR515">
        <v>9.718</v>
      </c>
      <c r="AS515">
        <v>0</v>
      </c>
      <c r="AT515">
        <v>0</v>
      </c>
      <c r="AU515">
        <v>0.28700000000000003</v>
      </c>
      <c r="AV515">
        <v>0</v>
      </c>
      <c r="AW515">
        <v>10.026</v>
      </c>
      <c r="AX515">
        <v>0</v>
      </c>
      <c r="AY515">
        <v>30.694000000000003</v>
      </c>
      <c r="AZ515">
        <v>0</v>
      </c>
      <c r="BA515">
        <v>4470331</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46</v>
      </c>
      <c r="BW515">
        <v>51</v>
      </c>
      <c r="BX515">
        <v>79</v>
      </c>
      <c r="BY515">
        <v>56</v>
      </c>
      <c r="BZ515">
        <v>93</v>
      </c>
      <c r="CA515">
        <v>325</v>
      </c>
      <c r="CB515">
        <v>0</v>
      </c>
      <c r="CC515">
        <v>0</v>
      </c>
      <c r="CD515">
        <v>0</v>
      </c>
      <c r="CE515">
        <v>6</v>
      </c>
      <c r="CF515">
        <v>139.11500000000001</v>
      </c>
      <c r="CG515">
        <v>0</v>
      </c>
      <c r="CH515">
        <v>0</v>
      </c>
      <c r="CI515">
        <v>0</v>
      </c>
      <c r="CJ515">
        <v>0</v>
      </c>
      <c r="CK515">
        <v>0</v>
      </c>
      <c r="CL515">
        <v>0</v>
      </c>
      <c r="CM515">
        <v>0</v>
      </c>
      <c r="CN515">
        <v>0</v>
      </c>
      <c r="CO515">
        <v>0</v>
      </c>
      <c r="CP515">
        <v>0</v>
      </c>
      <c r="CQ515">
        <v>0</v>
      </c>
      <c r="CR515">
        <v>0</v>
      </c>
      <c r="CS515">
        <v>0</v>
      </c>
      <c r="CT515">
        <v>0</v>
      </c>
      <c r="CU515">
        <v>0</v>
      </c>
      <c r="CV515">
        <v>0</v>
      </c>
      <c r="CW515">
        <v>0</v>
      </c>
      <c r="CX515">
        <v>0</v>
      </c>
      <c r="CY515" s="2043">
        <v>0</v>
      </c>
      <c r="CZ515" s="2043">
        <v>0</v>
      </c>
      <c r="DA515" s="2043">
        <v>0</v>
      </c>
      <c r="DB515" s="2043">
        <v>0</v>
      </c>
      <c r="DC515" s="2043">
        <v>0</v>
      </c>
      <c r="DI515" t="s">
        <v>8022</v>
      </c>
      <c r="DJ515" t="s">
        <v>8022</v>
      </c>
      <c r="DK515" s="2042">
        <f t="shared" si="9"/>
        <v>0</v>
      </c>
    </row>
    <row r="516" spans="1:115">
      <c r="A516" t="s">
        <v>8023</v>
      </c>
      <c r="B516" t="s">
        <v>11340</v>
      </c>
      <c r="C516">
        <v>192.39600000000002</v>
      </c>
      <c r="D516">
        <v>221.322</v>
      </c>
      <c r="E516">
        <v>68.436999999999998</v>
      </c>
      <c r="F516">
        <v>0</v>
      </c>
      <c r="G516" s="2043">
        <v>0</v>
      </c>
      <c r="H516">
        <v>0</v>
      </c>
      <c r="I516" s="2043">
        <v>0</v>
      </c>
      <c r="J516">
        <v>0</v>
      </c>
      <c r="K516">
        <v>0</v>
      </c>
      <c r="L516">
        <v>0</v>
      </c>
      <c r="M516">
        <v>0</v>
      </c>
      <c r="N516">
        <v>0</v>
      </c>
      <c r="O516">
        <v>0</v>
      </c>
      <c r="P516">
        <v>0</v>
      </c>
      <c r="Q516">
        <v>0</v>
      </c>
      <c r="R516" s="2043">
        <v>0</v>
      </c>
      <c r="S516">
        <v>0</v>
      </c>
      <c r="T516">
        <v>0</v>
      </c>
      <c r="U516">
        <v>0</v>
      </c>
      <c r="V516">
        <v>0</v>
      </c>
      <c r="W516">
        <v>0</v>
      </c>
      <c r="X516">
        <v>0</v>
      </c>
      <c r="Y516">
        <v>34012</v>
      </c>
      <c r="Z516">
        <v>0</v>
      </c>
      <c r="AA516">
        <v>0</v>
      </c>
      <c r="AB516">
        <v>206.471</v>
      </c>
      <c r="AC516" s="2043">
        <v>0</v>
      </c>
      <c r="AD516">
        <v>0</v>
      </c>
      <c r="AE516" s="2043">
        <v>0</v>
      </c>
      <c r="AF516">
        <v>0</v>
      </c>
      <c r="AG516">
        <v>0</v>
      </c>
      <c r="AH516">
        <v>0</v>
      </c>
      <c r="AI516">
        <v>0</v>
      </c>
      <c r="AJ516">
        <v>49.938000000000002</v>
      </c>
      <c r="AK516">
        <v>48</v>
      </c>
      <c r="AL516">
        <v>0</v>
      </c>
      <c r="AM516">
        <v>0</v>
      </c>
      <c r="AN516">
        <v>0.24100000000000002</v>
      </c>
      <c r="AO516">
        <v>0</v>
      </c>
      <c r="AP516">
        <v>0</v>
      </c>
      <c r="AQ516">
        <v>0</v>
      </c>
      <c r="AR516">
        <v>0.317</v>
      </c>
      <c r="AS516">
        <v>0</v>
      </c>
      <c r="AT516">
        <v>0</v>
      </c>
      <c r="AU516">
        <v>0.17700000000000002</v>
      </c>
      <c r="AV516">
        <v>0</v>
      </c>
      <c r="AW516">
        <v>0.49400000000000005</v>
      </c>
      <c r="AX516">
        <v>0</v>
      </c>
      <c r="AY516">
        <v>1.8360000000000001</v>
      </c>
      <c r="AZ516">
        <v>0</v>
      </c>
      <c r="BA516">
        <v>2090481</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25</v>
      </c>
      <c r="BW516">
        <v>39</v>
      </c>
      <c r="BX516">
        <v>72</v>
      </c>
      <c r="BY516">
        <v>22</v>
      </c>
      <c r="BZ516">
        <v>41</v>
      </c>
      <c r="CA516">
        <v>199</v>
      </c>
      <c r="CB516">
        <v>0</v>
      </c>
      <c r="CC516">
        <v>0</v>
      </c>
      <c r="CD516">
        <v>0</v>
      </c>
      <c r="CE516">
        <v>0</v>
      </c>
      <c r="CF516">
        <v>116.73</v>
      </c>
      <c r="CG516">
        <v>0</v>
      </c>
      <c r="CH516">
        <v>0</v>
      </c>
      <c r="CI516">
        <v>0</v>
      </c>
      <c r="CJ516">
        <v>0</v>
      </c>
      <c r="CK516">
        <v>0</v>
      </c>
      <c r="CL516">
        <v>0</v>
      </c>
      <c r="CM516">
        <v>68.436999999999998</v>
      </c>
      <c r="CN516">
        <v>0</v>
      </c>
      <c r="CO516">
        <v>0</v>
      </c>
      <c r="CP516">
        <v>0</v>
      </c>
      <c r="CQ516">
        <v>0</v>
      </c>
      <c r="CR516">
        <v>0</v>
      </c>
      <c r="CS516">
        <v>0</v>
      </c>
      <c r="CT516">
        <v>0</v>
      </c>
      <c r="CU516">
        <v>0</v>
      </c>
      <c r="CV516">
        <v>0</v>
      </c>
      <c r="CW516">
        <v>0</v>
      </c>
      <c r="CX516">
        <v>0</v>
      </c>
      <c r="CY516" s="2043">
        <v>0</v>
      </c>
      <c r="CZ516" s="2043">
        <v>0</v>
      </c>
      <c r="DA516" s="2043">
        <v>0</v>
      </c>
      <c r="DB516" s="2043">
        <v>0</v>
      </c>
      <c r="DC516" s="2043">
        <v>0</v>
      </c>
      <c r="DI516" t="s">
        <v>8023</v>
      </c>
      <c r="DJ516" t="s">
        <v>8023</v>
      </c>
      <c r="DK516" s="2042">
        <f t="shared" ref="DK516:DK579" si="10">DI516-DJ516:DJ517</f>
        <v>0</v>
      </c>
    </row>
    <row r="517" spans="1:115">
      <c r="A517" t="s">
        <v>8024</v>
      </c>
      <c r="B517" t="s">
        <v>11341</v>
      </c>
      <c r="C517">
        <v>1150.836</v>
      </c>
      <c r="D517">
        <v>1242.8880000000001</v>
      </c>
      <c r="E517">
        <v>609.90800000000002</v>
      </c>
      <c r="F517">
        <v>0</v>
      </c>
      <c r="G517" s="2043">
        <v>0</v>
      </c>
      <c r="H517">
        <v>0</v>
      </c>
      <c r="I517" s="2043">
        <v>0</v>
      </c>
      <c r="J517">
        <v>0</v>
      </c>
      <c r="K517">
        <v>0</v>
      </c>
      <c r="L517">
        <v>0</v>
      </c>
      <c r="M517">
        <v>0</v>
      </c>
      <c r="N517">
        <v>0</v>
      </c>
      <c r="O517">
        <v>0</v>
      </c>
      <c r="P517">
        <v>0</v>
      </c>
      <c r="Q517">
        <v>0</v>
      </c>
      <c r="R517" s="2043">
        <v>0</v>
      </c>
      <c r="S517">
        <v>0</v>
      </c>
      <c r="T517">
        <v>0</v>
      </c>
      <c r="U517">
        <v>0</v>
      </c>
      <c r="V517">
        <v>0</v>
      </c>
      <c r="W517">
        <v>0</v>
      </c>
      <c r="X517">
        <v>0</v>
      </c>
      <c r="Y517">
        <v>203447</v>
      </c>
      <c r="Z517">
        <v>0</v>
      </c>
      <c r="AA517">
        <v>0</v>
      </c>
      <c r="AB517">
        <v>1102.566</v>
      </c>
      <c r="AC517" s="2043">
        <v>0</v>
      </c>
      <c r="AD517">
        <v>0</v>
      </c>
      <c r="AE517" s="2043">
        <v>0</v>
      </c>
      <c r="AF517">
        <v>0</v>
      </c>
      <c r="AG517">
        <v>0</v>
      </c>
      <c r="AH517">
        <v>0</v>
      </c>
      <c r="AI517">
        <v>0</v>
      </c>
      <c r="AJ517">
        <v>446.21300000000002</v>
      </c>
      <c r="AK517">
        <v>2437</v>
      </c>
      <c r="AL517">
        <v>0</v>
      </c>
      <c r="AM517">
        <v>0</v>
      </c>
      <c r="AN517">
        <v>7.452</v>
      </c>
      <c r="AO517">
        <v>0</v>
      </c>
      <c r="AP517">
        <v>0</v>
      </c>
      <c r="AQ517">
        <v>0</v>
      </c>
      <c r="AR517">
        <v>21.774000000000001</v>
      </c>
      <c r="AS517">
        <v>0</v>
      </c>
      <c r="AT517">
        <v>3.3570000000000002</v>
      </c>
      <c r="AU517">
        <v>4.7300000000000004</v>
      </c>
      <c r="AV517">
        <v>0</v>
      </c>
      <c r="AW517">
        <v>29.861000000000001</v>
      </c>
      <c r="AX517">
        <v>0</v>
      </c>
      <c r="AY517">
        <v>99.043000000000006</v>
      </c>
      <c r="AZ517">
        <v>0</v>
      </c>
      <c r="BA517">
        <v>14041332</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90</v>
      </c>
      <c r="BW517">
        <v>116</v>
      </c>
      <c r="BX517">
        <v>297</v>
      </c>
      <c r="BY517">
        <v>489</v>
      </c>
      <c r="BZ517">
        <v>712</v>
      </c>
      <c r="CA517">
        <v>1704</v>
      </c>
      <c r="CB517">
        <v>0</v>
      </c>
      <c r="CC517">
        <v>0</v>
      </c>
      <c r="CD517">
        <v>0</v>
      </c>
      <c r="CE517">
        <v>5</v>
      </c>
      <c r="CF517">
        <v>608.55900000000008</v>
      </c>
      <c r="CG517">
        <v>0</v>
      </c>
      <c r="CH517">
        <v>0</v>
      </c>
      <c r="CI517">
        <v>0</v>
      </c>
      <c r="CJ517">
        <v>0</v>
      </c>
      <c r="CK517">
        <v>0</v>
      </c>
      <c r="CL517">
        <v>0</v>
      </c>
      <c r="CM517">
        <v>609.90800000000002</v>
      </c>
      <c r="CN517">
        <v>0</v>
      </c>
      <c r="CO517">
        <v>0</v>
      </c>
      <c r="CP517">
        <v>0</v>
      </c>
      <c r="CQ517">
        <v>0</v>
      </c>
      <c r="CR517">
        <v>0</v>
      </c>
      <c r="CS517">
        <v>0</v>
      </c>
      <c r="CT517">
        <v>0</v>
      </c>
      <c r="CU517">
        <v>0</v>
      </c>
      <c r="CV517">
        <v>0</v>
      </c>
      <c r="CW517">
        <v>0</v>
      </c>
      <c r="CX517">
        <v>0</v>
      </c>
      <c r="CY517" s="2043">
        <v>0</v>
      </c>
      <c r="CZ517" s="2043">
        <v>0</v>
      </c>
      <c r="DA517" s="2043">
        <v>0</v>
      </c>
      <c r="DB517" s="2043">
        <v>0</v>
      </c>
      <c r="DC517" s="2043">
        <v>0</v>
      </c>
      <c r="DI517" t="s">
        <v>8024</v>
      </c>
      <c r="DJ517" t="s">
        <v>8024</v>
      </c>
      <c r="DK517" s="2042">
        <f t="shared" si="10"/>
        <v>0</v>
      </c>
    </row>
    <row r="518" spans="1:115">
      <c r="A518" t="s">
        <v>8025</v>
      </c>
      <c r="B518" t="s">
        <v>11342</v>
      </c>
      <c r="C518">
        <v>233.75800000000001</v>
      </c>
      <c r="D518">
        <v>234.191</v>
      </c>
      <c r="E518">
        <v>4.57</v>
      </c>
      <c r="F518">
        <v>0</v>
      </c>
      <c r="G518" s="2043">
        <v>0</v>
      </c>
      <c r="H518">
        <v>0</v>
      </c>
      <c r="I518" s="2043">
        <v>0</v>
      </c>
      <c r="J518">
        <v>0</v>
      </c>
      <c r="K518">
        <v>0</v>
      </c>
      <c r="L518">
        <v>0</v>
      </c>
      <c r="M518">
        <v>0</v>
      </c>
      <c r="N518">
        <v>0</v>
      </c>
      <c r="O518">
        <v>0</v>
      </c>
      <c r="P518">
        <v>0</v>
      </c>
      <c r="Q518">
        <v>0</v>
      </c>
      <c r="R518" s="2043">
        <v>0</v>
      </c>
      <c r="S518">
        <v>0</v>
      </c>
      <c r="T518">
        <v>0</v>
      </c>
      <c r="U518">
        <v>0</v>
      </c>
      <c r="V518">
        <v>0</v>
      </c>
      <c r="W518">
        <v>0</v>
      </c>
      <c r="X518">
        <v>0</v>
      </c>
      <c r="Y518">
        <v>41324</v>
      </c>
      <c r="Z518">
        <v>0</v>
      </c>
      <c r="AA518">
        <v>0</v>
      </c>
      <c r="AB518">
        <v>230.21900000000002</v>
      </c>
      <c r="AC518" s="2043">
        <v>0</v>
      </c>
      <c r="AD518">
        <v>0</v>
      </c>
      <c r="AE518" s="2043">
        <v>0</v>
      </c>
      <c r="AF518">
        <v>0</v>
      </c>
      <c r="AG518">
        <v>0</v>
      </c>
      <c r="AH518">
        <v>0</v>
      </c>
      <c r="AI518">
        <v>0</v>
      </c>
      <c r="AJ518">
        <v>61.300000000000004</v>
      </c>
      <c r="AK518">
        <v>419</v>
      </c>
      <c r="AL518">
        <v>0</v>
      </c>
      <c r="AM518">
        <v>0</v>
      </c>
      <c r="AN518">
        <v>1.9550000000000001</v>
      </c>
      <c r="AO518">
        <v>0</v>
      </c>
      <c r="AP518">
        <v>0</v>
      </c>
      <c r="AQ518">
        <v>0</v>
      </c>
      <c r="AR518">
        <v>4.2880000000000003</v>
      </c>
      <c r="AS518">
        <v>0</v>
      </c>
      <c r="AT518">
        <v>0</v>
      </c>
      <c r="AU518">
        <v>0.68</v>
      </c>
      <c r="AV518">
        <v>0</v>
      </c>
      <c r="AW518">
        <v>4.968</v>
      </c>
      <c r="AX518">
        <v>0</v>
      </c>
      <c r="AY518">
        <v>16.263999999999999</v>
      </c>
      <c r="AZ518">
        <v>0</v>
      </c>
      <c r="BA518">
        <v>2567311</v>
      </c>
      <c r="BB518">
        <v>0</v>
      </c>
      <c r="BC518">
        <v>0</v>
      </c>
      <c r="BD518">
        <v>6688</v>
      </c>
      <c r="BE518">
        <v>0</v>
      </c>
      <c r="BF518">
        <v>6688</v>
      </c>
      <c r="BG518">
        <v>6688</v>
      </c>
      <c r="BH518">
        <v>0</v>
      </c>
      <c r="BI518">
        <v>0</v>
      </c>
      <c r="BJ518">
        <v>0</v>
      </c>
      <c r="BK518">
        <v>0</v>
      </c>
      <c r="BL518">
        <v>0</v>
      </c>
      <c r="BM518">
        <v>0</v>
      </c>
      <c r="BN518">
        <v>0</v>
      </c>
      <c r="BO518">
        <v>0</v>
      </c>
      <c r="BP518">
        <v>0</v>
      </c>
      <c r="BQ518">
        <v>0</v>
      </c>
      <c r="BR518">
        <v>0</v>
      </c>
      <c r="BS518">
        <v>0</v>
      </c>
      <c r="BT518">
        <v>0</v>
      </c>
      <c r="BU518">
        <v>0</v>
      </c>
      <c r="BV518">
        <v>22</v>
      </c>
      <c r="BW518">
        <v>48</v>
      </c>
      <c r="BX518">
        <v>73</v>
      </c>
      <c r="BY518">
        <v>42</v>
      </c>
      <c r="BZ518">
        <v>57</v>
      </c>
      <c r="CA518">
        <v>242</v>
      </c>
      <c r="CB518">
        <v>0</v>
      </c>
      <c r="CC518">
        <v>0</v>
      </c>
      <c r="CD518">
        <v>0</v>
      </c>
      <c r="CE518">
        <v>3</v>
      </c>
      <c r="CF518">
        <v>133.64100000000002</v>
      </c>
      <c r="CG518">
        <v>0</v>
      </c>
      <c r="CH518">
        <v>0</v>
      </c>
      <c r="CI518">
        <v>0</v>
      </c>
      <c r="CJ518">
        <v>0</v>
      </c>
      <c r="CK518">
        <v>0</v>
      </c>
      <c r="CL518">
        <v>0</v>
      </c>
      <c r="CM518">
        <v>4.57</v>
      </c>
      <c r="CN518">
        <v>0</v>
      </c>
      <c r="CO518">
        <v>0</v>
      </c>
      <c r="CP518">
        <v>0</v>
      </c>
      <c r="CQ518">
        <v>0</v>
      </c>
      <c r="CR518">
        <v>0</v>
      </c>
      <c r="CS518">
        <v>0</v>
      </c>
      <c r="CT518">
        <v>0</v>
      </c>
      <c r="CU518">
        <v>0</v>
      </c>
      <c r="CV518">
        <v>0</v>
      </c>
      <c r="CW518">
        <v>0</v>
      </c>
      <c r="CX518">
        <v>0</v>
      </c>
      <c r="CY518" s="2043">
        <v>0</v>
      </c>
      <c r="CZ518" s="2043">
        <v>0</v>
      </c>
      <c r="DA518" s="2043">
        <v>0</v>
      </c>
      <c r="DB518" s="2043">
        <v>0</v>
      </c>
      <c r="DC518" s="2043">
        <v>0</v>
      </c>
      <c r="DI518" t="s">
        <v>8025</v>
      </c>
      <c r="DJ518" t="s">
        <v>8025</v>
      </c>
      <c r="DK518" s="2042">
        <f t="shared" si="10"/>
        <v>0</v>
      </c>
    </row>
    <row r="519" spans="1:115">
      <c r="A519" t="s">
        <v>8026</v>
      </c>
      <c r="B519" t="s">
        <v>11343</v>
      </c>
      <c r="C519">
        <v>629.24300000000005</v>
      </c>
      <c r="D519">
        <v>636.40899999999999</v>
      </c>
      <c r="E519">
        <v>149.63500000000002</v>
      </c>
      <c r="F519">
        <v>0</v>
      </c>
      <c r="G519" s="2043">
        <v>0</v>
      </c>
      <c r="H519">
        <v>0</v>
      </c>
      <c r="I519" s="2043">
        <v>0</v>
      </c>
      <c r="J519">
        <v>0</v>
      </c>
      <c r="K519">
        <v>0</v>
      </c>
      <c r="L519">
        <v>0</v>
      </c>
      <c r="M519">
        <v>0</v>
      </c>
      <c r="N519">
        <v>0</v>
      </c>
      <c r="O519">
        <v>0</v>
      </c>
      <c r="P519">
        <v>0</v>
      </c>
      <c r="Q519">
        <v>0</v>
      </c>
      <c r="R519" s="2043">
        <v>0</v>
      </c>
      <c r="S519">
        <v>0</v>
      </c>
      <c r="T519">
        <v>0</v>
      </c>
      <c r="U519">
        <v>0</v>
      </c>
      <c r="V519">
        <v>0</v>
      </c>
      <c r="W519">
        <v>0</v>
      </c>
      <c r="X519">
        <v>0</v>
      </c>
      <c r="Y519">
        <v>111239</v>
      </c>
      <c r="Z519">
        <v>0</v>
      </c>
      <c r="AA519">
        <v>0</v>
      </c>
      <c r="AB519">
        <v>636.40899999999999</v>
      </c>
      <c r="AC519" s="2043">
        <v>0</v>
      </c>
      <c r="AD519">
        <v>0</v>
      </c>
      <c r="AE519" s="2043">
        <v>0</v>
      </c>
      <c r="AF519">
        <v>0</v>
      </c>
      <c r="AG519">
        <v>0</v>
      </c>
      <c r="AH519">
        <v>0</v>
      </c>
      <c r="AI519">
        <v>0</v>
      </c>
      <c r="AJ519">
        <v>183.82500000000002</v>
      </c>
      <c r="AK519">
        <v>458</v>
      </c>
      <c r="AL519">
        <v>0</v>
      </c>
      <c r="AM519">
        <v>0</v>
      </c>
      <c r="AN519">
        <v>0.13800000000000001</v>
      </c>
      <c r="AO519">
        <v>0</v>
      </c>
      <c r="AP519">
        <v>0</v>
      </c>
      <c r="AQ519">
        <v>0</v>
      </c>
      <c r="AR519">
        <v>5.6590000000000007</v>
      </c>
      <c r="AS519">
        <v>0</v>
      </c>
      <c r="AT519">
        <v>0</v>
      </c>
      <c r="AU519">
        <v>0.61799999999999999</v>
      </c>
      <c r="AV519">
        <v>0</v>
      </c>
      <c r="AW519">
        <v>6.2770000000000001</v>
      </c>
      <c r="AX519">
        <v>0</v>
      </c>
      <c r="AY519">
        <v>20.067</v>
      </c>
      <c r="AZ519">
        <v>0</v>
      </c>
      <c r="BA519">
        <v>7523618</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31</v>
      </c>
      <c r="BW519">
        <v>17</v>
      </c>
      <c r="BX519">
        <v>74</v>
      </c>
      <c r="BY519">
        <v>195</v>
      </c>
      <c r="BZ519">
        <v>375</v>
      </c>
      <c r="CA519">
        <v>692</v>
      </c>
      <c r="CB519">
        <v>0</v>
      </c>
      <c r="CC519">
        <v>422.78000000000003</v>
      </c>
      <c r="CD519">
        <v>0</v>
      </c>
      <c r="CE519">
        <v>5</v>
      </c>
      <c r="CF519">
        <v>525.90499999999997</v>
      </c>
      <c r="CG519">
        <v>0</v>
      </c>
      <c r="CH519">
        <v>0</v>
      </c>
      <c r="CI519">
        <v>0</v>
      </c>
      <c r="CJ519">
        <v>0</v>
      </c>
      <c r="CK519">
        <v>0</v>
      </c>
      <c r="CL519">
        <v>0</v>
      </c>
      <c r="CM519">
        <v>149.63500000000002</v>
      </c>
      <c r="CN519">
        <v>0</v>
      </c>
      <c r="CO519">
        <v>0</v>
      </c>
      <c r="CP519">
        <v>0</v>
      </c>
      <c r="CQ519">
        <v>0</v>
      </c>
      <c r="CR519">
        <v>0</v>
      </c>
      <c r="CS519">
        <v>0</v>
      </c>
      <c r="CT519">
        <v>0</v>
      </c>
      <c r="CU519">
        <v>0</v>
      </c>
      <c r="CV519">
        <v>0</v>
      </c>
      <c r="CW519">
        <v>0</v>
      </c>
      <c r="CX519">
        <v>0</v>
      </c>
      <c r="CY519" s="2043">
        <v>0</v>
      </c>
      <c r="CZ519" s="2043">
        <v>0</v>
      </c>
      <c r="DA519" s="2043">
        <v>0</v>
      </c>
      <c r="DB519" s="2043">
        <v>0</v>
      </c>
      <c r="DC519" s="2043">
        <v>0</v>
      </c>
      <c r="DI519" t="s">
        <v>8026</v>
      </c>
      <c r="DJ519" t="s">
        <v>8026</v>
      </c>
      <c r="DK519" s="2042">
        <f t="shared" si="10"/>
        <v>0</v>
      </c>
    </row>
    <row r="520" spans="1:115">
      <c r="A520" t="s">
        <v>8027</v>
      </c>
      <c r="B520" t="s">
        <v>11344</v>
      </c>
      <c r="C520">
        <v>5556.5910000000003</v>
      </c>
      <c r="D520">
        <v>5712.3630000000003</v>
      </c>
      <c r="E520">
        <v>1459.5530000000001</v>
      </c>
      <c r="F520">
        <v>0</v>
      </c>
      <c r="G520" s="2043">
        <v>0</v>
      </c>
      <c r="H520">
        <v>0</v>
      </c>
      <c r="I520" s="2043">
        <v>0</v>
      </c>
      <c r="J520">
        <v>277.83</v>
      </c>
      <c r="K520">
        <v>760</v>
      </c>
      <c r="L520">
        <v>0</v>
      </c>
      <c r="M520">
        <v>0</v>
      </c>
      <c r="N520">
        <v>0</v>
      </c>
      <c r="O520">
        <v>0</v>
      </c>
      <c r="P520">
        <v>0</v>
      </c>
      <c r="Q520">
        <v>0</v>
      </c>
      <c r="R520" s="2043">
        <v>0</v>
      </c>
      <c r="S520">
        <v>0</v>
      </c>
      <c r="T520">
        <v>0</v>
      </c>
      <c r="U520">
        <v>0</v>
      </c>
      <c r="V520">
        <v>0</v>
      </c>
      <c r="W520">
        <v>0</v>
      </c>
      <c r="X520">
        <v>0</v>
      </c>
      <c r="Y520">
        <v>982307</v>
      </c>
      <c r="Z520">
        <v>0</v>
      </c>
      <c r="AA520">
        <v>0</v>
      </c>
      <c r="AB520">
        <v>5712.3630000000003</v>
      </c>
      <c r="AC520" s="2043">
        <v>0</v>
      </c>
      <c r="AD520">
        <v>0</v>
      </c>
      <c r="AE520" s="2043">
        <v>0</v>
      </c>
      <c r="AF520">
        <v>0</v>
      </c>
      <c r="AG520">
        <v>0</v>
      </c>
      <c r="AH520">
        <v>0</v>
      </c>
      <c r="AI520">
        <v>0</v>
      </c>
      <c r="AJ520">
        <v>1063.3880000000001</v>
      </c>
      <c r="AK520">
        <v>13620</v>
      </c>
      <c r="AL520">
        <v>0.16600000000000001</v>
      </c>
      <c r="AM520">
        <v>0</v>
      </c>
      <c r="AN520">
        <v>92.716000000000008</v>
      </c>
      <c r="AO520">
        <v>0</v>
      </c>
      <c r="AP520">
        <v>0</v>
      </c>
      <c r="AQ520">
        <v>0</v>
      </c>
      <c r="AR520">
        <v>126.28</v>
      </c>
      <c r="AS520">
        <v>0</v>
      </c>
      <c r="AT520">
        <v>21.261000000000003</v>
      </c>
      <c r="AU520">
        <v>10.26</v>
      </c>
      <c r="AV520">
        <v>0</v>
      </c>
      <c r="AW520">
        <v>157.96700000000001</v>
      </c>
      <c r="AX520">
        <v>0</v>
      </c>
      <c r="AY520">
        <v>494.75300000000004</v>
      </c>
      <c r="AZ520">
        <v>0</v>
      </c>
      <c r="BA520">
        <v>61586308</v>
      </c>
      <c r="BB520">
        <v>0</v>
      </c>
      <c r="BC520">
        <v>0</v>
      </c>
      <c r="BD520">
        <v>0</v>
      </c>
      <c r="BE520">
        <v>0</v>
      </c>
      <c r="BF520">
        <v>0</v>
      </c>
      <c r="BG520">
        <v>0</v>
      </c>
      <c r="BH520">
        <v>0</v>
      </c>
      <c r="BI520">
        <v>0</v>
      </c>
      <c r="BJ520">
        <v>0</v>
      </c>
      <c r="BK520">
        <v>0</v>
      </c>
      <c r="BL520">
        <v>0</v>
      </c>
      <c r="BM520">
        <v>0</v>
      </c>
      <c r="BN520">
        <v>12240</v>
      </c>
      <c r="BO520">
        <v>3938</v>
      </c>
      <c r="BP520">
        <v>1067186</v>
      </c>
      <c r="BQ520">
        <v>0</v>
      </c>
      <c r="BR520">
        <v>0</v>
      </c>
      <c r="BS520">
        <v>0</v>
      </c>
      <c r="BT520">
        <v>0</v>
      </c>
      <c r="BU520">
        <v>0</v>
      </c>
      <c r="BV520">
        <v>704</v>
      </c>
      <c r="BW520">
        <v>1357</v>
      </c>
      <c r="BX520">
        <v>965</v>
      </c>
      <c r="BY520">
        <v>690</v>
      </c>
      <c r="BZ520">
        <v>583</v>
      </c>
      <c r="CA520">
        <v>4299</v>
      </c>
      <c r="CB520">
        <v>0</v>
      </c>
      <c r="CC520">
        <v>0</v>
      </c>
      <c r="CD520">
        <v>0</v>
      </c>
      <c r="CE520">
        <v>239</v>
      </c>
      <c r="CF520">
        <v>1969.8860000000002</v>
      </c>
      <c r="CG520">
        <v>0</v>
      </c>
      <c r="CH520">
        <v>0</v>
      </c>
      <c r="CI520">
        <v>53</v>
      </c>
      <c r="CJ520">
        <v>55</v>
      </c>
      <c r="CK520">
        <v>1</v>
      </c>
      <c r="CL520">
        <v>0</v>
      </c>
      <c r="CM520">
        <v>1459.5530000000001</v>
      </c>
      <c r="CN520">
        <v>287453</v>
      </c>
      <c r="CO520">
        <v>511422</v>
      </c>
      <c r="CP520">
        <v>232311</v>
      </c>
      <c r="CQ520">
        <v>36000</v>
      </c>
      <c r="CR520">
        <v>0</v>
      </c>
      <c r="CS520">
        <v>0</v>
      </c>
      <c r="CT520">
        <v>0</v>
      </c>
      <c r="CU520">
        <v>35.868000000000002</v>
      </c>
      <c r="CV520">
        <v>132.21299999999999</v>
      </c>
      <c r="CW520">
        <v>71.783000000000001</v>
      </c>
      <c r="CX520">
        <v>0</v>
      </c>
      <c r="CY520" s="2043">
        <v>0</v>
      </c>
      <c r="CZ520" s="2043">
        <v>0</v>
      </c>
      <c r="DA520" s="2043">
        <v>0</v>
      </c>
      <c r="DB520" s="2043">
        <v>0</v>
      </c>
      <c r="DC520" s="2043">
        <v>0</v>
      </c>
      <c r="DI520" t="s">
        <v>8027</v>
      </c>
      <c r="DJ520" t="s">
        <v>8027</v>
      </c>
      <c r="DK520" s="2042">
        <f t="shared" si="10"/>
        <v>0</v>
      </c>
    </row>
    <row r="521" spans="1:115">
      <c r="A521" t="s">
        <v>8028</v>
      </c>
      <c r="B521" t="s">
        <v>11345</v>
      </c>
      <c r="C521">
        <v>537.40899999999999</v>
      </c>
      <c r="D521">
        <v>525.38200000000006</v>
      </c>
      <c r="E521">
        <v>308.38400000000001</v>
      </c>
      <c r="F521">
        <v>0</v>
      </c>
      <c r="G521" s="2043">
        <v>0</v>
      </c>
      <c r="H521">
        <v>0</v>
      </c>
      <c r="I521" s="2043">
        <v>0</v>
      </c>
      <c r="J521">
        <v>0</v>
      </c>
      <c r="K521">
        <v>0</v>
      </c>
      <c r="L521">
        <v>0</v>
      </c>
      <c r="M521">
        <v>0</v>
      </c>
      <c r="N521">
        <v>0</v>
      </c>
      <c r="O521">
        <v>0</v>
      </c>
      <c r="P521">
        <v>0</v>
      </c>
      <c r="Q521">
        <v>0</v>
      </c>
      <c r="R521" s="2043">
        <v>0</v>
      </c>
      <c r="S521">
        <v>0</v>
      </c>
      <c r="T521">
        <v>0</v>
      </c>
      <c r="U521">
        <v>0</v>
      </c>
      <c r="V521">
        <v>0</v>
      </c>
      <c r="W521">
        <v>0</v>
      </c>
      <c r="X521">
        <v>0</v>
      </c>
      <c r="Y521">
        <v>95004</v>
      </c>
      <c r="Z521">
        <v>0</v>
      </c>
      <c r="AA521">
        <v>0</v>
      </c>
      <c r="AB521">
        <v>466.22</v>
      </c>
      <c r="AC521" s="2043">
        <v>0</v>
      </c>
      <c r="AD521">
        <v>0</v>
      </c>
      <c r="AE521" s="2043">
        <v>0</v>
      </c>
      <c r="AF521">
        <v>0</v>
      </c>
      <c r="AG521">
        <v>0</v>
      </c>
      <c r="AH521">
        <v>0</v>
      </c>
      <c r="AI521">
        <v>0</v>
      </c>
      <c r="AJ521">
        <v>146.38800000000001</v>
      </c>
      <c r="AK521">
        <v>1140</v>
      </c>
      <c r="AL521">
        <v>0</v>
      </c>
      <c r="AM521">
        <v>0</v>
      </c>
      <c r="AN521">
        <v>5.4190000000000005</v>
      </c>
      <c r="AO521">
        <v>0</v>
      </c>
      <c r="AP521">
        <v>0</v>
      </c>
      <c r="AQ521">
        <v>0</v>
      </c>
      <c r="AR521">
        <v>13.103</v>
      </c>
      <c r="AS521">
        <v>0</v>
      </c>
      <c r="AT521">
        <v>0</v>
      </c>
      <c r="AU521">
        <v>0.96100000000000008</v>
      </c>
      <c r="AV521">
        <v>0</v>
      </c>
      <c r="AW521">
        <v>14.064</v>
      </c>
      <c r="AX521">
        <v>0</v>
      </c>
      <c r="AY521">
        <v>44.114000000000004</v>
      </c>
      <c r="AZ521">
        <v>0</v>
      </c>
      <c r="BA521">
        <v>6247143</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29</v>
      </c>
      <c r="BW521">
        <v>55</v>
      </c>
      <c r="BX521">
        <v>80</v>
      </c>
      <c r="BY521">
        <v>124</v>
      </c>
      <c r="BZ521">
        <v>270</v>
      </c>
      <c r="CA521">
        <v>558</v>
      </c>
      <c r="CB521">
        <v>0</v>
      </c>
      <c r="CC521">
        <v>0</v>
      </c>
      <c r="CD521">
        <v>0</v>
      </c>
      <c r="CE521">
        <v>0</v>
      </c>
      <c r="CF521">
        <v>435.70400000000001</v>
      </c>
      <c r="CG521">
        <v>0</v>
      </c>
      <c r="CH521">
        <v>0</v>
      </c>
      <c r="CI521">
        <v>0</v>
      </c>
      <c r="CJ521">
        <v>0</v>
      </c>
      <c r="CK521">
        <v>0</v>
      </c>
      <c r="CL521">
        <v>0</v>
      </c>
      <c r="CM521">
        <v>308.38400000000001</v>
      </c>
      <c r="CN521">
        <v>0</v>
      </c>
      <c r="CO521">
        <v>0</v>
      </c>
      <c r="CP521">
        <v>0</v>
      </c>
      <c r="CQ521">
        <v>0</v>
      </c>
      <c r="CR521">
        <v>0</v>
      </c>
      <c r="CS521">
        <v>0</v>
      </c>
      <c r="CT521">
        <v>0</v>
      </c>
      <c r="CU521">
        <v>0</v>
      </c>
      <c r="CV521">
        <v>0</v>
      </c>
      <c r="CW521">
        <v>0</v>
      </c>
      <c r="CX521">
        <v>0</v>
      </c>
      <c r="CY521" s="2043">
        <v>0</v>
      </c>
      <c r="CZ521" s="2043">
        <v>0</v>
      </c>
      <c r="DA521" s="2043">
        <v>0</v>
      </c>
      <c r="DB521" s="2043">
        <v>0</v>
      </c>
      <c r="DC521" s="2043">
        <v>0</v>
      </c>
      <c r="DI521" t="s">
        <v>8028</v>
      </c>
      <c r="DJ521" t="s">
        <v>8028</v>
      </c>
      <c r="DK521" s="2042">
        <f t="shared" si="10"/>
        <v>0</v>
      </c>
    </row>
    <row r="522" spans="1:115">
      <c r="A522" t="s">
        <v>8029</v>
      </c>
      <c r="B522" t="s">
        <v>11346</v>
      </c>
      <c r="C522">
        <v>527.923</v>
      </c>
      <c r="D522">
        <v>637.76200000000006</v>
      </c>
      <c r="E522">
        <v>10.359</v>
      </c>
      <c r="F522">
        <v>0</v>
      </c>
      <c r="G522" s="2043">
        <v>0</v>
      </c>
      <c r="H522">
        <v>0</v>
      </c>
      <c r="I522" s="2043">
        <v>0</v>
      </c>
      <c r="J522">
        <v>13</v>
      </c>
      <c r="K522">
        <v>36</v>
      </c>
      <c r="L522">
        <v>0</v>
      </c>
      <c r="M522">
        <v>0</v>
      </c>
      <c r="N522">
        <v>0</v>
      </c>
      <c r="O522">
        <v>0</v>
      </c>
      <c r="P522">
        <v>0</v>
      </c>
      <c r="Q522">
        <v>0</v>
      </c>
      <c r="R522" s="2043">
        <v>0</v>
      </c>
      <c r="S522">
        <v>0</v>
      </c>
      <c r="T522">
        <v>0</v>
      </c>
      <c r="U522">
        <v>0</v>
      </c>
      <c r="V522">
        <v>2.6640000000000001</v>
      </c>
      <c r="W522">
        <v>0</v>
      </c>
      <c r="X522">
        <v>0</v>
      </c>
      <c r="Y522">
        <v>372003</v>
      </c>
      <c r="Z522">
        <v>0</v>
      </c>
      <c r="AA522">
        <v>0</v>
      </c>
      <c r="AB522">
        <v>637.76200000000006</v>
      </c>
      <c r="AC522" s="2043">
        <v>0</v>
      </c>
      <c r="AD522">
        <v>0</v>
      </c>
      <c r="AE522" s="2043">
        <v>0</v>
      </c>
      <c r="AF522">
        <v>0</v>
      </c>
      <c r="AG522">
        <v>0</v>
      </c>
      <c r="AH522">
        <v>0</v>
      </c>
      <c r="AI522">
        <v>0</v>
      </c>
      <c r="AJ522">
        <v>139.43800000000002</v>
      </c>
      <c r="AK522">
        <v>1571</v>
      </c>
      <c r="AL522">
        <v>0</v>
      </c>
      <c r="AM522">
        <v>0</v>
      </c>
      <c r="AN522">
        <v>24.279</v>
      </c>
      <c r="AO522">
        <v>0</v>
      </c>
      <c r="AP522">
        <v>0</v>
      </c>
      <c r="AQ522">
        <v>0</v>
      </c>
      <c r="AR522">
        <v>11.739000000000001</v>
      </c>
      <c r="AS522">
        <v>0</v>
      </c>
      <c r="AT522">
        <v>0</v>
      </c>
      <c r="AU522">
        <v>1.2450000000000001</v>
      </c>
      <c r="AV522">
        <v>0</v>
      </c>
      <c r="AW522">
        <v>12.984</v>
      </c>
      <c r="AX522">
        <v>0</v>
      </c>
      <c r="AY522">
        <v>41.442</v>
      </c>
      <c r="AZ522">
        <v>0</v>
      </c>
      <c r="BA522">
        <v>6301118</v>
      </c>
      <c r="BB522">
        <v>0</v>
      </c>
      <c r="BC522">
        <v>0</v>
      </c>
      <c r="BD522">
        <v>73800</v>
      </c>
      <c r="BE522">
        <v>0</v>
      </c>
      <c r="BF522">
        <v>73800</v>
      </c>
      <c r="BG522">
        <v>73800</v>
      </c>
      <c r="BH522">
        <v>0</v>
      </c>
      <c r="BI522">
        <v>0</v>
      </c>
      <c r="BJ522">
        <v>0</v>
      </c>
      <c r="BK522">
        <v>0</v>
      </c>
      <c r="BL522">
        <v>0</v>
      </c>
      <c r="BM522">
        <v>0</v>
      </c>
      <c r="BN522">
        <v>0</v>
      </c>
      <c r="BO522">
        <v>0</v>
      </c>
      <c r="BP522">
        <v>0</v>
      </c>
      <c r="BQ522">
        <v>0</v>
      </c>
      <c r="BR522">
        <v>0</v>
      </c>
      <c r="BS522">
        <v>0</v>
      </c>
      <c r="BT522">
        <v>0</v>
      </c>
      <c r="BU522">
        <v>0</v>
      </c>
      <c r="BV522">
        <v>46</v>
      </c>
      <c r="BW522">
        <v>136</v>
      </c>
      <c r="BX522">
        <v>120</v>
      </c>
      <c r="BY522">
        <v>91</v>
      </c>
      <c r="BZ522">
        <v>156</v>
      </c>
      <c r="CA522">
        <v>549</v>
      </c>
      <c r="CB522">
        <v>0</v>
      </c>
      <c r="CC522">
        <v>0</v>
      </c>
      <c r="CD522">
        <v>0</v>
      </c>
      <c r="CE522">
        <v>24</v>
      </c>
      <c r="CF522">
        <v>247.82600000000002</v>
      </c>
      <c r="CG522">
        <v>0</v>
      </c>
      <c r="CH522">
        <v>0</v>
      </c>
      <c r="CI522">
        <v>0</v>
      </c>
      <c r="CJ522">
        <v>0</v>
      </c>
      <c r="CK522">
        <v>0</v>
      </c>
      <c r="CL522">
        <v>0</v>
      </c>
      <c r="CM522">
        <v>10.359</v>
      </c>
      <c r="CN522">
        <v>0</v>
      </c>
      <c r="CO522">
        <v>0</v>
      </c>
      <c r="CP522">
        <v>0</v>
      </c>
      <c r="CQ522">
        <v>0</v>
      </c>
      <c r="CR522">
        <v>0</v>
      </c>
      <c r="CS522">
        <v>0</v>
      </c>
      <c r="CT522">
        <v>0</v>
      </c>
      <c r="CU522">
        <v>0</v>
      </c>
      <c r="CV522">
        <v>0</v>
      </c>
      <c r="CW522">
        <v>0</v>
      </c>
      <c r="CX522">
        <v>0</v>
      </c>
      <c r="CY522" s="2043">
        <v>278676</v>
      </c>
      <c r="CZ522" s="2043">
        <v>0</v>
      </c>
      <c r="DA522" s="2043">
        <v>0</v>
      </c>
      <c r="DB522" s="2043">
        <v>0</v>
      </c>
      <c r="DC522" s="2043">
        <v>0</v>
      </c>
      <c r="DI522" t="s">
        <v>8029</v>
      </c>
      <c r="DJ522" t="s">
        <v>8029</v>
      </c>
      <c r="DK522" s="2042">
        <f t="shared" si="10"/>
        <v>0</v>
      </c>
    </row>
    <row r="523" spans="1:115">
      <c r="A523" t="s">
        <v>8030</v>
      </c>
      <c r="B523" t="s">
        <v>11347</v>
      </c>
      <c r="C523">
        <v>3887.8220000000001</v>
      </c>
      <c r="D523">
        <v>3832.049</v>
      </c>
      <c r="E523">
        <v>854.34100000000001</v>
      </c>
      <c r="F523">
        <v>0</v>
      </c>
      <c r="G523" s="2043">
        <v>0</v>
      </c>
      <c r="H523">
        <v>0</v>
      </c>
      <c r="I523" s="2043">
        <v>0</v>
      </c>
      <c r="J523">
        <v>194.39100000000002</v>
      </c>
      <c r="K523">
        <v>531</v>
      </c>
      <c r="L523">
        <v>0</v>
      </c>
      <c r="M523">
        <v>0</v>
      </c>
      <c r="N523">
        <v>0</v>
      </c>
      <c r="O523">
        <v>0</v>
      </c>
      <c r="P523">
        <v>0</v>
      </c>
      <c r="Q523">
        <v>0</v>
      </c>
      <c r="R523" s="2043">
        <v>0</v>
      </c>
      <c r="S523">
        <v>0</v>
      </c>
      <c r="T523">
        <v>0</v>
      </c>
      <c r="U523">
        <v>0</v>
      </c>
      <c r="V523">
        <v>0</v>
      </c>
      <c r="W523">
        <v>0</v>
      </c>
      <c r="X523">
        <v>0</v>
      </c>
      <c r="Y523">
        <v>687298</v>
      </c>
      <c r="Z523">
        <v>0</v>
      </c>
      <c r="AA523">
        <v>0</v>
      </c>
      <c r="AB523">
        <v>3832.049</v>
      </c>
      <c r="AC523" s="2043">
        <v>0</v>
      </c>
      <c r="AD523">
        <v>0</v>
      </c>
      <c r="AE523" s="2043">
        <v>0</v>
      </c>
      <c r="AF523">
        <v>0</v>
      </c>
      <c r="AG523">
        <v>0</v>
      </c>
      <c r="AH523">
        <v>0</v>
      </c>
      <c r="AI523">
        <v>0</v>
      </c>
      <c r="AJ523">
        <v>599.92500000000007</v>
      </c>
      <c r="AK523">
        <v>7743</v>
      </c>
      <c r="AL523">
        <v>0</v>
      </c>
      <c r="AM523">
        <v>0</v>
      </c>
      <c r="AN523">
        <v>36.03</v>
      </c>
      <c r="AO523">
        <v>1.2330000000000001</v>
      </c>
      <c r="AP523">
        <v>0</v>
      </c>
      <c r="AQ523">
        <v>0</v>
      </c>
      <c r="AR523">
        <v>80.63600000000001</v>
      </c>
      <c r="AS523">
        <v>0</v>
      </c>
      <c r="AT523">
        <v>9.5229999999999997</v>
      </c>
      <c r="AU523">
        <v>5.5790000000000006</v>
      </c>
      <c r="AV523">
        <v>0</v>
      </c>
      <c r="AW523">
        <v>95.738</v>
      </c>
      <c r="AX523">
        <v>0</v>
      </c>
      <c r="AY523">
        <v>298.37200000000001</v>
      </c>
      <c r="AZ523">
        <v>0</v>
      </c>
      <c r="BA523">
        <v>42121913</v>
      </c>
      <c r="BB523">
        <v>0</v>
      </c>
      <c r="BC523">
        <v>0</v>
      </c>
      <c r="BD523">
        <v>0</v>
      </c>
      <c r="BE523">
        <v>0</v>
      </c>
      <c r="BF523">
        <v>0</v>
      </c>
      <c r="BG523">
        <v>0</v>
      </c>
      <c r="BH523">
        <v>0</v>
      </c>
      <c r="BI523">
        <v>0</v>
      </c>
      <c r="BJ523">
        <v>0</v>
      </c>
      <c r="BK523">
        <v>0</v>
      </c>
      <c r="BL523">
        <v>0</v>
      </c>
      <c r="BM523">
        <v>0</v>
      </c>
      <c r="BN523">
        <v>13995</v>
      </c>
      <c r="BO523">
        <v>9577</v>
      </c>
      <c r="BP523">
        <v>1041002</v>
      </c>
      <c r="BQ523">
        <v>0</v>
      </c>
      <c r="BR523">
        <v>0</v>
      </c>
      <c r="BS523">
        <v>0</v>
      </c>
      <c r="BT523">
        <v>0</v>
      </c>
      <c r="BU523">
        <v>0</v>
      </c>
      <c r="BV523">
        <v>1044</v>
      </c>
      <c r="BW523">
        <v>547</v>
      </c>
      <c r="BX523">
        <v>311</v>
      </c>
      <c r="BY523">
        <v>347</v>
      </c>
      <c r="BZ523">
        <v>241</v>
      </c>
      <c r="CA523">
        <v>2490</v>
      </c>
      <c r="CB523">
        <v>0</v>
      </c>
      <c r="CC523">
        <v>0</v>
      </c>
      <c r="CD523">
        <v>0</v>
      </c>
      <c r="CE523">
        <v>113</v>
      </c>
      <c r="CF523">
        <v>1010.4730000000001</v>
      </c>
      <c r="CG523">
        <v>0</v>
      </c>
      <c r="CH523">
        <v>0</v>
      </c>
      <c r="CI523">
        <v>58</v>
      </c>
      <c r="CJ523">
        <v>47</v>
      </c>
      <c r="CK523">
        <v>1</v>
      </c>
      <c r="CL523">
        <v>0</v>
      </c>
      <c r="CM523">
        <v>854.34100000000001</v>
      </c>
      <c r="CN523">
        <v>475099</v>
      </c>
      <c r="CO523">
        <v>398364</v>
      </c>
      <c r="CP523">
        <v>131039</v>
      </c>
      <c r="CQ523">
        <v>36500</v>
      </c>
      <c r="CR523">
        <v>0</v>
      </c>
      <c r="CS523">
        <v>0</v>
      </c>
      <c r="CT523">
        <v>0</v>
      </c>
      <c r="CU523">
        <v>0</v>
      </c>
      <c r="CV523">
        <v>171.363</v>
      </c>
      <c r="CW523">
        <v>105.06400000000001</v>
      </c>
      <c r="CX523">
        <v>0</v>
      </c>
      <c r="CY523" s="2043">
        <v>0</v>
      </c>
      <c r="CZ523" s="2043">
        <v>0</v>
      </c>
      <c r="DA523" s="2043">
        <v>0</v>
      </c>
      <c r="DB523" s="2043">
        <v>0</v>
      </c>
      <c r="DC523" s="2043">
        <v>0</v>
      </c>
      <c r="DI523" t="s">
        <v>8030</v>
      </c>
      <c r="DJ523" t="s">
        <v>8030</v>
      </c>
      <c r="DK523" s="2042">
        <f t="shared" si="10"/>
        <v>0</v>
      </c>
    </row>
    <row r="524" spans="1:115">
      <c r="A524" t="s">
        <v>8031</v>
      </c>
      <c r="B524" t="s">
        <v>11348</v>
      </c>
      <c r="C524">
        <v>153.09200000000001</v>
      </c>
      <c r="D524">
        <v>173.465</v>
      </c>
      <c r="E524">
        <v>0</v>
      </c>
      <c r="F524">
        <v>0</v>
      </c>
      <c r="G524" s="2043">
        <v>0</v>
      </c>
      <c r="H524">
        <v>0</v>
      </c>
      <c r="I524" s="2043">
        <v>0</v>
      </c>
      <c r="J524">
        <v>0</v>
      </c>
      <c r="K524">
        <v>0</v>
      </c>
      <c r="L524">
        <v>0</v>
      </c>
      <c r="M524">
        <v>0</v>
      </c>
      <c r="N524">
        <v>0</v>
      </c>
      <c r="O524">
        <v>0</v>
      </c>
      <c r="P524">
        <v>0</v>
      </c>
      <c r="Q524">
        <v>0</v>
      </c>
      <c r="R524" s="2043">
        <v>0</v>
      </c>
      <c r="S524">
        <v>0</v>
      </c>
      <c r="T524">
        <v>0</v>
      </c>
      <c r="U524">
        <v>0</v>
      </c>
      <c r="V524">
        <v>0</v>
      </c>
      <c r="W524">
        <v>0</v>
      </c>
      <c r="X524">
        <v>0</v>
      </c>
      <c r="Y524">
        <v>27064</v>
      </c>
      <c r="Z524">
        <v>0</v>
      </c>
      <c r="AA524">
        <v>0</v>
      </c>
      <c r="AB524">
        <v>173.465</v>
      </c>
      <c r="AC524" s="2043">
        <v>0</v>
      </c>
      <c r="AD524">
        <v>0</v>
      </c>
      <c r="AE524" s="2043">
        <v>0</v>
      </c>
      <c r="AF524">
        <v>0</v>
      </c>
      <c r="AG524">
        <v>0</v>
      </c>
      <c r="AH524">
        <v>0</v>
      </c>
      <c r="AI524">
        <v>0</v>
      </c>
      <c r="AJ524">
        <v>40.663000000000004</v>
      </c>
      <c r="AK524">
        <v>632</v>
      </c>
      <c r="AL524">
        <v>0</v>
      </c>
      <c r="AM524">
        <v>0</v>
      </c>
      <c r="AN524">
        <v>9.8930000000000007</v>
      </c>
      <c r="AO524">
        <v>0</v>
      </c>
      <c r="AP524">
        <v>0</v>
      </c>
      <c r="AQ524">
        <v>0</v>
      </c>
      <c r="AR524">
        <v>5.4420000000000002</v>
      </c>
      <c r="AS524">
        <v>0</v>
      </c>
      <c r="AT524">
        <v>0</v>
      </c>
      <c r="AU524">
        <v>3.9E-2</v>
      </c>
      <c r="AV524">
        <v>0</v>
      </c>
      <c r="AW524">
        <v>5.4809999999999999</v>
      </c>
      <c r="AX524">
        <v>0</v>
      </c>
      <c r="AY524">
        <v>16.521000000000001</v>
      </c>
      <c r="AZ524">
        <v>0</v>
      </c>
      <c r="BA524">
        <v>1765857</v>
      </c>
      <c r="BB524">
        <v>0</v>
      </c>
      <c r="BC524">
        <v>0</v>
      </c>
      <c r="BD524">
        <v>13783</v>
      </c>
      <c r="BE524">
        <v>0</v>
      </c>
      <c r="BF524">
        <v>13783</v>
      </c>
      <c r="BG524">
        <v>13783</v>
      </c>
      <c r="BH524">
        <v>0</v>
      </c>
      <c r="BI524">
        <v>0</v>
      </c>
      <c r="BJ524">
        <v>0</v>
      </c>
      <c r="BK524">
        <v>0</v>
      </c>
      <c r="BL524">
        <v>0</v>
      </c>
      <c r="BM524">
        <v>0</v>
      </c>
      <c r="BN524">
        <v>0</v>
      </c>
      <c r="BO524">
        <v>0</v>
      </c>
      <c r="BP524">
        <v>0</v>
      </c>
      <c r="BQ524">
        <v>0</v>
      </c>
      <c r="BR524">
        <v>0</v>
      </c>
      <c r="BS524">
        <v>0</v>
      </c>
      <c r="BT524">
        <v>0</v>
      </c>
      <c r="BU524">
        <v>0</v>
      </c>
      <c r="BV524">
        <v>14</v>
      </c>
      <c r="BW524">
        <v>7</v>
      </c>
      <c r="BX524">
        <v>23</v>
      </c>
      <c r="BY524">
        <v>34</v>
      </c>
      <c r="BZ524">
        <v>77</v>
      </c>
      <c r="CA524">
        <v>155</v>
      </c>
      <c r="CB524">
        <v>0</v>
      </c>
      <c r="CC524">
        <v>0</v>
      </c>
      <c r="CD524">
        <v>0</v>
      </c>
      <c r="CE524">
        <v>4</v>
      </c>
      <c r="CF524">
        <v>0</v>
      </c>
      <c r="CG524">
        <v>153.09200000000001</v>
      </c>
      <c r="CH524">
        <v>0</v>
      </c>
      <c r="CI524">
        <v>0</v>
      </c>
      <c r="CJ524">
        <v>0</v>
      </c>
      <c r="CK524">
        <v>0</v>
      </c>
      <c r="CL524">
        <v>153.09200000000001</v>
      </c>
      <c r="CM524">
        <v>0</v>
      </c>
      <c r="CN524">
        <v>0</v>
      </c>
      <c r="CO524">
        <v>0</v>
      </c>
      <c r="CP524">
        <v>0</v>
      </c>
      <c r="CQ524">
        <v>0</v>
      </c>
      <c r="CR524">
        <v>0</v>
      </c>
      <c r="CS524">
        <v>0</v>
      </c>
      <c r="CT524">
        <v>0</v>
      </c>
      <c r="CU524">
        <v>0</v>
      </c>
      <c r="CV524">
        <v>0</v>
      </c>
      <c r="CW524">
        <v>0</v>
      </c>
      <c r="CX524">
        <v>0</v>
      </c>
      <c r="CY524" s="2043">
        <v>0</v>
      </c>
      <c r="CZ524" s="2043">
        <v>0</v>
      </c>
      <c r="DA524" s="2043">
        <v>0</v>
      </c>
      <c r="DB524" s="2043">
        <v>0</v>
      </c>
      <c r="DC524" s="2043">
        <v>0</v>
      </c>
      <c r="DI524" t="s">
        <v>8031</v>
      </c>
      <c r="DJ524" t="s">
        <v>8031</v>
      </c>
      <c r="DK524" s="2042">
        <f t="shared" si="10"/>
        <v>0</v>
      </c>
    </row>
    <row r="525" spans="1:115">
      <c r="A525" t="s">
        <v>8032</v>
      </c>
      <c r="B525" t="s">
        <v>11349</v>
      </c>
      <c r="C525">
        <v>336.45400000000001</v>
      </c>
      <c r="D525">
        <v>478.55200000000002</v>
      </c>
      <c r="E525">
        <v>0</v>
      </c>
      <c r="F525">
        <v>0</v>
      </c>
      <c r="G525" s="2043">
        <v>0</v>
      </c>
      <c r="H525">
        <v>0</v>
      </c>
      <c r="I525" s="2043">
        <v>0</v>
      </c>
      <c r="J525">
        <v>0</v>
      </c>
      <c r="K525">
        <v>0</v>
      </c>
      <c r="L525">
        <v>0</v>
      </c>
      <c r="M525">
        <v>0</v>
      </c>
      <c r="N525">
        <v>0</v>
      </c>
      <c r="O525">
        <v>0</v>
      </c>
      <c r="P525">
        <v>0</v>
      </c>
      <c r="Q525">
        <v>0</v>
      </c>
      <c r="R525" s="2043">
        <v>0</v>
      </c>
      <c r="S525">
        <v>0</v>
      </c>
      <c r="T525">
        <v>0</v>
      </c>
      <c r="U525">
        <v>0</v>
      </c>
      <c r="V525">
        <v>0</v>
      </c>
      <c r="W525">
        <v>0</v>
      </c>
      <c r="X525">
        <v>0</v>
      </c>
      <c r="Y525">
        <v>59479</v>
      </c>
      <c r="Z525">
        <v>0</v>
      </c>
      <c r="AA525">
        <v>0.29200000000000004</v>
      </c>
      <c r="AB525">
        <v>382.95699999999999</v>
      </c>
      <c r="AC525" s="2043">
        <v>0</v>
      </c>
      <c r="AD525">
        <v>0</v>
      </c>
      <c r="AE525" s="2043">
        <v>0</v>
      </c>
      <c r="AF525">
        <v>0</v>
      </c>
      <c r="AG525">
        <v>0</v>
      </c>
      <c r="AH525">
        <v>0</v>
      </c>
      <c r="AI525">
        <v>0</v>
      </c>
      <c r="AJ525">
        <v>97.238</v>
      </c>
      <c r="AK525">
        <v>1219</v>
      </c>
      <c r="AL525">
        <v>0</v>
      </c>
      <c r="AM525">
        <v>0</v>
      </c>
      <c r="AN525">
        <v>32.149000000000001</v>
      </c>
      <c r="AO525">
        <v>0</v>
      </c>
      <c r="AP525">
        <v>0</v>
      </c>
      <c r="AQ525">
        <v>0</v>
      </c>
      <c r="AR525">
        <v>5.3580000000000005</v>
      </c>
      <c r="AS525">
        <v>0</v>
      </c>
      <c r="AT525">
        <v>0</v>
      </c>
      <c r="AU525">
        <v>0.153</v>
      </c>
      <c r="AV525">
        <v>0</v>
      </c>
      <c r="AW525">
        <v>5.5110000000000001</v>
      </c>
      <c r="AX525">
        <v>0</v>
      </c>
      <c r="AY525">
        <v>16.839000000000002</v>
      </c>
      <c r="AZ525">
        <v>0</v>
      </c>
      <c r="BA525">
        <v>3949252</v>
      </c>
      <c r="BB525">
        <v>0</v>
      </c>
      <c r="BC525">
        <v>0</v>
      </c>
      <c r="BD525">
        <v>29736</v>
      </c>
      <c r="BE525">
        <v>0</v>
      </c>
      <c r="BF525">
        <v>29736</v>
      </c>
      <c r="BG525">
        <v>29736</v>
      </c>
      <c r="BH525">
        <v>0</v>
      </c>
      <c r="BI525">
        <v>0</v>
      </c>
      <c r="BJ525">
        <v>0</v>
      </c>
      <c r="BK525">
        <v>0</v>
      </c>
      <c r="BL525">
        <v>0</v>
      </c>
      <c r="BM525">
        <v>0</v>
      </c>
      <c r="BN525">
        <v>2592</v>
      </c>
      <c r="BO525">
        <v>342</v>
      </c>
      <c r="BP525">
        <v>0</v>
      </c>
      <c r="BQ525">
        <v>0</v>
      </c>
      <c r="BR525">
        <v>0</v>
      </c>
      <c r="BS525">
        <v>0</v>
      </c>
      <c r="BT525">
        <v>0</v>
      </c>
      <c r="BU525">
        <v>0</v>
      </c>
      <c r="BV525">
        <v>29</v>
      </c>
      <c r="BW525">
        <v>25</v>
      </c>
      <c r="BX525">
        <v>80</v>
      </c>
      <c r="BY525">
        <v>76</v>
      </c>
      <c r="BZ525">
        <v>163</v>
      </c>
      <c r="CA525">
        <v>373</v>
      </c>
      <c r="CB525">
        <v>0</v>
      </c>
      <c r="CC525">
        <v>0</v>
      </c>
      <c r="CD525">
        <v>0</v>
      </c>
      <c r="CE525">
        <v>31</v>
      </c>
      <c r="CF525">
        <v>9.9700000000000006</v>
      </c>
      <c r="CG525">
        <v>173.99700000000001</v>
      </c>
      <c r="CH525">
        <v>1.331</v>
      </c>
      <c r="CI525">
        <v>0</v>
      </c>
      <c r="CJ525">
        <v>0</v>
      </c>
      <c r="CK525">
        <v>0</v>
      </c>
      <c r="CL525">
        <v>175.328</v>
      </c>
      <c r="CM525">
        <v>0</v>
      </c>
      <c r="CN525">
        <v>0</v>
      </c>
      <c r="CO525">
        <v>0</v>
      </c>
      <c r="CP525">
        <v>0</v>
      </c>
      <c r="CQ525">
        <v>0</v>
      </c>
      <c r="CR525">
        <v>0</v>
      </c>
      <c r="CS525">
        <v>0</v>
      </c>
      <c r="CT525">
        <v>0</v>
      </c>
      <c r="CU525">
        <v>0</v>
      </c>
      <c r="CV525">
        <v>7.7170000000000005</v>
      </c>
      <c r="CW525">
        <v>2.4710000000000001</v>
      </c>
      <c r="CX525">
        <v>0</v>
      </c>
      <c r="CY525" s="2043">
        <v>0</v>
      </c>
      <c r="CZ525" s="2043">
        <v>0</v>
      </c>
      <c r="DA525" s="2043">
        <v>0</v>
      </c>
      <c r="DB525" s="2043">
        <v>0</v>
      </c>
      <c r="DC525" s="2043">
        <v>0</v>
      </c>
      <c r="DI525" t="s">
        <v>8032</v>
      </c>
      <c r="DJ525" t="s">
        <v>8032</v>
      </c>
      <c r="DK525" s="2042">
        <f t="shared" si="10"/>
        <v>0</v>
      </c>
    </row>
    <row r="526" spans="1:115">
      <c r="A526" t="s">
        <v>8033</v>
      </c>
      <c r="B526" t="s">
        <v>11350</v>
      </c>
      <c r="C526">
        <v>1179.3610000000001</v>
      </c>
      <c r="D526">
        <v>1069.854</v>
      </c>
      <c r="E526">
        <v>219.30500000000001</v>
      </c>
      <c r="F526">
        <v>0</v>
      </c>
      <c r="G526" s="2043">
        <v>0</v>
      </c>
      <c r="H526">
        <v>0</v>
      </c>
      <c r="I526" s="2043">
        <v>0</v>
      </c>
      <c r="J526">
        <v>0</v>
      </c>
      <c r="K526">
        <v>0</v>
      </c>
      <c r="L526">
        <v>0</v>
      </c>
      <c r="M526">
        <v>0</v>
      </c>
      <c r="N526">
        <v>0</v>
      </c>
      <c r="O526">
        <v>0</v>
      </c>
      <c r="P526">
        <v>0</v>
      </c>
      <c r="Q526">
        <v>0</v>
      </c>
      <c r="R526" s="2043">
        <v>0</v>
      </c>
      <c r="S526">
        <v>0</v>
      </c>
      <c r="T526">
        <v>0</v>
      </c>
      <c r="U526">
        <v>0</v>
      </c>
      <c r="V526">
        <v>0</v>
      </c>
      <c r="W526">
        <v>0</v>
      </c>
      <c r="X526">
        <v>0</v>
      </c>
      <c r="Y526">
        <v>208490</v>
      </c>
      <c r="Z526">
        <v>0</v>
      </c>
      <c r="AA526">
        <v>0</v>
      </c>
      <c r="AB526">
        <v>1069.6310000000001</v>
      </c>
      <c r="AC526" s="2043">
        <v>0</v>
      </c>
      <c r="AD526">
        <v>0</v>
      </c>
      <c r="AE526" s="2043">
        <v>0</v>
      </c>
      <c r="AF526">
        <v>0</v>
      </c>
      <c r="AG526">
        <v>0</v>
      </c>
      <c r="AH526">
        <v>0</v>
      </c>
      <c r="AI526">
        <v>0</v>
      </c>
      <c r="AJ526">
        <v>234.31300000000002</v>
      </c>
      <c r="AK526">
        <v>1604</v>
      </c>
      <c r="AL526">
        <v>0</v>
      </c>
      <c r="AM526">
        <v>0</v>
      </c>
      <c r="AN526">
        <v>32.209000000000003</v>
      </c>
      <c r="AO526">
        <v>0</v>
      </c>
      <c r="AP526">
        <v>0</v>
      </c>
      <c r="AQ526">
        <v>0</v>
      </c>
      <c r="AR526">
        <v>7.1270000000000007</v>
      </c>
      <c r="AS526">
        <v>0</v>
      </c>
      <c r="AT526">
        <v>1.3220000000000001</v>
      </c>
      <c r="AU526">
        <v>1.6840000000000002</v>
      </c>
      <c r="AV526">
        <v>0</v>
      </c>
      <c r="AW526">
        <v>10.133000000000001</v>
      </c>
      <c r="AX526">
        <v>0</v>
      </c>
      <c r="AY526">
        <v>33.767000000000003</v>
      </c>
      <c r="AZ526">
        <v>0</v>
      </c>
      <c r="BA526">
        <v>12462859</v>
      </c>
      <c r="BB526">
        <v>0</v>
      </c>
      <c r="BC526">
        <v>0</v>
      </c>
      <c r="BD526">
        <v>0</v>
      </c>
      <c r="BE526">
        <v>0</v>
      </c>
      <c r="BF526">
        <v>0</v>
      </c>
      <c r="BG526">
        <v>0</v>
      </c>
      <c r="BH526">
        <v>0</v>
      </c>
      <c r="BI526">
        <v>0</v>
      </c>
      <c r="BJ526">
        <v>0</v>
      </c>
      <c r="BK526">
        <v>0</v>
      </c>
      <c r="BL526">
        <v>0</v>
      </c>
      <c r="BM526">
        <v>0</v>
      </c>
      <c r="BN526">
        <v>1098</v>
      </c>
      <c r="BO526">
        <v>161</v>
      </c>
      <c r="BP526">
        <v>41600</v>
      </c>
      <c r="BQ526">
        <v>0</v>
      </c>
      <c r="BR526">
        <v>0</v>
      </c>
      <c r="BS526">
        <v>0</v>
      </c>
      <c r="BT526">
        <v>0</v>
      </c>
      <c r="BU526">
        <v>0</v>
      </c>
      <c r="BV526">
        <v>170</v>
      </c>
      <c r="BW526">
        <v>175</v>
      </c>
      <c r="BX526">
        <v>240</v>
      </c>
      <c r="BY526">
        <v>184</v>
      </c>
      <c r="BZ526">
        <v>168</v>
      </c>
      <c r="CA526">
        <v>937</v>
      </c>
      <c r="CB526">
        <v>0</v>
      </c>
      <c r="CC526">
        <v>0</v>
      </c>
      <c r="CD526">
        <v>0</v>
      </c>
      <c r="CE526">
        <v>33</v>
      </c>
      <c r="CF526">
        <v>512.48</v>
      </c>
      <c r="CG526">
        <v>0</v>
      </c>
      <c r="CH526">
        <v>0</v>
      </c>
      <c r="CI526">
        <v>0</v>
      </c>
      <c r="CJ526">
        <v>0</v>
      </c>
      <c r="CK526">
        <v>0</v>
      </c>
      <c r="CL526">
        <v>0</v>
      </c>
      <c r="CM526">
        <v>219.30500000000001</v>
      </c>
      <c r="CN526">
        <v>19318</v>
      </c>
      <c r="CO526">
        <v>20782</v>
      </c>
      <c r="CP526">
        <v>0</v>
      </c>
      <c r="CQ526">
        <v>1500</v>
      </c>
      <c r="CR526">
        <v>0</v>
      </c>
      <c r="CS526">
        <v>0</v>
      </c>
      <c r="CT526">
        <v>0</v>
      </c>
      <c r="CU526">
        <v>0</v>
      </c>
      <c r="CV526">
        <v>5.0910000000000002</v>
      </c>
      <c r="CW526">
        <v>0.249</v>
      </c>
      <c r="CX526">
        <v>0</v>
      </c>
      <c r="CY526" s="2043">
        <v>0</v>
      </c>
      <c r="CZ526" s="2043">
        <v>0</v>
      </c>
      <c r="DA526" s="2043">
        <v>0</v>
      </c>
      <c r="DB526" s="2043">
        <v>0</v>
      </c>
      <c r="DC526" s="2043">
        <v>0</v>
      </c>
      <c r="DI526" t="s">
        <v>8033</v>
      </c>
      <c r="DJ526" t="s">
        <v>8033</v>
      </c>
      <c r="DK526" s="2042">
        <f t="shared" si="10"/>
        <v>0</v>
      </c>
    </row>
    <row r="527" spans="1:115">
      <c r="A527" t="s">
        <v>8034</v>
      </c>
      <c r="B527" t="s">
        <v>11351</v>
      </c>
      <c r="C527">
        <v>132.81700000000001</v>
      </c>
      <c r="D527">
        <v>139.88900000000001</v>
      </c>
      <c r="E527">
        <v>15.144</v>
      </c>
      <c r="F527">
        <v>0</v>
      </c>
      <c r="G527" s="2043">
        <v>0</v>
      </c>
      <c r="H527">
        <v>0</v>
      </c>
      <c r="I527" s="2043">
        <v>0</v>
      </c>
      <c r="J527">
        <v>0</v>
      </c>
      <c r="K527">
        <v>0</v>
      </c>
      <c r="L527">
        <v>0</v>
      </c>
      <c r="M527">
        <v>0</v>
      </c>
      <c r="N527">
        <v>0</v>
      </c>
      <c r="O527">
        <v>0</v>
      </c>
      <c r="P527">
        <v>0</v>
      </c>
      <c r="Q527">
        <v>0</v>
      </c>
      <c r="R527" s="2043">
        <v>0</v>
      </c>
      <c r="S527">
        <v>0</v>
      </c>
      <c r="T527">
        <v>0</v>
      </c>
      <c r="U527">
        <v>0</v>
      </c>
      <c r="V527">
        <v>0</v>
      </c>
      <c r="W527">
        <v>0</v>
      </c>
      <c r="X527">
        <v>0</v>
      </c>
      <c r="Y527">
        <v>23480</v>
      </c>
      <c r="Z527">
        <v>0</v>
      </c>
      <c r="AA527">
        <v>0</v>
      </c>
      <c r="AB527">
        <v>139.88900000000001</v>
      </c>
      <c r="AC527" s="2043">
        <v>0</v>
      </c>
      <c r="AD527">
        <v>0</v>
      </c>
      <c r="AE527" s="2043">
        <v>0</v>
      </c>
      <c r="AF527">
        <v>0</v>
      </c>
      <c r="AG527">
        <v>0</v>
      </c>
      <c r="AH527">
        <v>0</v>
      </c>
      <c r="AI527">
        <v>0</v>
      </c>
      <c r="AJ527">
        <v>28.113000000000003</v>
      </c>
      <c r="AK527">
        <v>857</v>
      </c>
      <c r="AL527">
        <v>0</v>
      </c>
      <c r="AM527">
        <v>0</v>
      </c>
      <c r="AN527">
        <v>31.035</v>
      </c>
      <c r="AO527">
        <v>0</v>
      </c>
      <c r="AP527">
        <v>0</v>
      </c>
      <c r="AQ527">
        <v>0</v>
      </c>
      <c r="AR527">
        <v>0</v>
      </c>
      <c r="AS527">
        <v>0</v>
      </c>
      <c r="AT527">
        <v>1.3000000000000001E-2</v>
      </c>
      <c r="AU527">
        <v>0.42500000000000004</v>
      </c>
      <c r="AV527">
        <v>0</v>
      </c>
      <c r="AW527">
        <v>0.438</v>
      </c>
      <c r="AX527">
        <v>0</v>
      </c>
      <c r="AY527">
        <v>2.1640000000000001</v>
      </c>
      <c r="AZ527">
        <v>0</v>
      </c>
      <c r="BA527">
        <v>1579715</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11</v>
      </c>
      <c r="BW527">
        <v>10</v>
      </c>
      <c r="BX527">
        <v>25</v>
      </c>
      <c r="BY527">
        <v>25</v>
      </c>
      <c r="BZ527">
        <v>38</v>
      </c>
      <c r="CA527">
        <v>109</v>
      </c>
      <c r="CB527">
        <v>0</v>
      </c>
      <c r="CC527">
        <v>0</v>
      </c>
      <c r="CD527">
        <v>0</v>
      </c>
      <c r="CE527">
        <v>12</v>
      </c>
      <c r="CF527">
        <v>0</v>
      </c>
      <c r="CG527">
        <v>0</v>
      </c>
      <c r="CH527">
        <v>0</v>
      </c>
      <c r="CI527">
        <v>0</v>
      </c>
      <c r="CJ527">
        <v>0</v>
      </c>
      <c r="CK527">
        <v>0</v>
      </c>
      <c r="CL527">
        <v>0</v>
      </c>
      <c r="CM527">
        <v>15.144</v>
      </c>
      <c r="CN527">
        <v>0</v>
      </c>
      <c r="CO527">
        <v>0</v>
      </c>
      <c r="CP527">
        <v>0</v>
      </c>
      <c r="CQ527">
        <v>0</v>
      </c>
      <c r="CR527">
        <v>0</v>
      </c>
      <c r="CS527">
        <v>0</v>
      </c>
      <c r="CT527">
        <v>0</v>
      </c>
      <c r="CU527">
        <v>0</v>
      </c>
      <c r="CV527">
        <v>0</v>
      </c>
      <c r="CW527">
        <v>0</v>
      </c>
      <c r="CX527">
        <v>0</v>
      </c>
      <c r="CY527" s="2043">
        <v>0</v>
      </c>
      <c r="CZ527" s="2043">
        <v>0</v>
      </c>
      <c r="DA527" s="2043">
        <v>0</v>
      </c>
      <c r="DB527" s="2043">
        <v>0</v>
      </c>
      <c r="DC527" s="2043">
        <v>0</v>
      </c>
      <c r="DI527" t="s">
        <v>8034</v>
      </c>
      <c r="DJ527" t="s">
        <v>8034</v>
      </c>
      <c r="DK527" s="2042">
        <f t="shared" si="10"/>
        <v>0</v>
      </c>
    </row>
    <row r="528" spans="1:115">
      <c r="A528" t="s">
        <v>8035</v>
      </c>
      <c r="B528" t="s">
        <v>11352</v>
      </c>
      <c r="C528">
        <v>324.31600000000003</v>
      </c>
      <c r="D528">
        <v>208.16900000000001</v>
      </c>
      <c r="E528">
        <v>188.63400000000001</v>
      </c>
      <c r="F528">
        <v>0</v>
      </c>
      <c r="G528" s="2043">
        <v>0</v>
      </c>
      <c r="H528">
        <v>0</v>
      </c>
      <c r="I528" s="2043">
        <v>0</v>
      </c>
      <c r="J528">
        <v>0</v>
      </c>
      <c r="K528">
        <v>0</v>
      </c>
      <c r="L528">
        <v>0</v>
      </c>
      <c r="M528">
        <v>0</v>
      </c>
      <c r="N528">
        <v>0</v>
      </c>
      <c r="O528">
        <v>0</v>
      </c>
      <c r="P528">
        <v>0</v>
      </c>
      <c r="Q528">
        <v>0</v>
      </c>
      <c r="R528" s="2043">
        <v>0</v>
      </c>
      <c r="S528">
        <v>0</v>
      </c>
      <c r="T528">
        <v>0</v>
      </c>
      <c r="U528">
        <v>0</v>
      </c>
      <c r="V528">
        <v>0</v>
      </c>
      <c r="W528">
        <v>0</v>
      </c>
      <c r="X528">
        <v>0</v>
      </c>
      <c r="Y528">
        <v>78729</v>
      </c>
      <c r="Z528">
        <v>0</v>
      </c>
      <c r="AA528">
        <v>0</v>
      </c>
      <c r="AB528">
        <v>208.16900000000001</v>
      </c>
      <c r="AC528" s="2043">
        <v>0</v>
      </c>
      <c r="AD528">
        <v>0</v>
      </c>
      <c r="AE528" s="2043">
        <v>0</v>
      </c>
      <c r="AF528">
        <v>0</v>
      </c>
      <c r="AG528">
        <v>0</v>
      </c>
      <c r="AH528">
        <v>0</v>
      </c>
      <c r="AI528">
        <v>0</v>
      </c>
      <c r="AJ528">
        <v>89.538000000000011</v>
      </c>
      <c r="AK528">
        <v>800</v>
      </c>
      <c r="AL528">
        <v>0</v>
      </c>
      <c r="AM528">
        <v>0</v>
      </c>
      <c r="AN528">
        <v>21.131</v>
      </c>
      <c r="AO528">
        <v>0</v>
      </c>
      <c r="AP528">
        <v>0</v>
      </c>
      <c r="AQ528">
        <v>0</v>
      </c>
      <c r="AR528">
        <v>3.0170000000000003</v>
      </c>
      <c r="AS528">
        <v>0</v>
      </c>
      <c r="AT528">
        <v>0</v>
      </c>
      <c r="AU528">
        <v>0.39200000000000002</v>
      </c>
      <c r="AV528">
        <v>0</v>
      </c>
      <c r="AW528">
        <v>3.4090000000000003</v>
      </c>
      <c r="AX528">
        <v>0</v>
      </c>
      <c r="AY528">
        <v>11.011000000000001</v>
      </c>
      <c r="AZ528">
        <v>0</v>
      </c>
      <c r="BA528">
        <v>3726656</v>
      </c>
      <c r="BB528">
        <v>0</v>
      </c>
      <c r="BC528">
        <v>0</v>
      </c>
      <c r="BD528">
        <v>22072</v>
      </c>
      <c r="BE528">
        <v>0</v>
      </c>
      <c r="BF528">
        <v>22072</v>
      </c>
      <c r="BG528">
        <v>22072</v>
      </c>
      <c r="BH528">
        <v>0</v>
      </c>
      <c r="BI528">
        <v>0</v>
      </c>
      <c r="BJ528">
        <v>0</v>
      </c>
      <c r="BK528">
        <v>0</v>
      </c>
      <c r="BL528">
        <v>0</v>
      </c>
      <c r="BM528">
        <v>0</v>
      </c>
      <c r="BN528">
        <v>0</v>
      </c>
      <c r="BO528">
        <v>0</v>
      </c>
      <c r="BP528">
        <v>0</v>
      </c>
      <c r="BQ528">
        <v>0</v>
      </c>
      <c r="BR528">
        <v>0</v>
      </c>
      <c r="BS528">
        <v>0</v>
      </c>
      <c r="BT528">
        <v>0</v>
      </c>
      <c r="BU528">
        <v>0</v>
      </c>
      <c r="BV528">
        <v>20</v>
      </c>
      <c r="BW528">
        <v>18</v>
      </c>
      <c r="BX528">
        <v>54</v>
      </c>
      <c r="BY528">
        <v>75</v>
      </c>
      <c r="BZ528">
        <v>173</v>
      </c>
      <c r="CA528">
        <v>340</v>
      </c>
      <c r="CB528">
        <v>0</v>
      </c>
      <c r="CC528">
        <v>0</v>
      </c>
      <c r="CD528">
        <v>0</v>
      </c>
      <c r="CE528">
        <v>14</v>
      </c>
      <c r="CF528">
        <v>0</v>
      </c>
      <c r="CG528">
        <v>0</v>
      </c>
      <c r="CH528">
        <v>0</v>
      </c>
      <c r="CI528">
        <v>0</v>
      </c>
      <c r="CJ528">
        <v>0</v>
      </c>
      <c r="CK528">
        <v>0</v>
      </c>
      <c r="CL528">
        <v>0</v>
      </c>
      <c r="CM528">
        <v>188.63400000000001</v>
      </c>
      <c r="CN528">
        <v>0</v>
      </c>
      <c r="CO528">
        <v>0</v>
      </c>
      <c r="CP528">
        <v>0</v>
      </c>
      <c r="CQ528">
        <v>0</v>
      </c>
      <c r="CR528">
        <v>0</v>
      </c>
      <c r="CS528">
        <v>0</v>
      </c>
      <c r="CT528">
        <v>0</v>
      </c>
      <c r="CU528">
        <v>0</v>
      </c>
      <c r="CV528">
        <v>0</v>
      </c>
      <c r="CW528">
        <v>0</v>
      </c>
      <c r="CX528">
        <v>0</v>
      </c>
      <c r="CY528" s="2043">
        <v>21396</v>
      </c>
      <c r="CZ528" s="2043">
        <v>0</v>
      </c>
      <c r="DA528" s="2043">
        <v>0</v>
      </c>
      <c r="DB528" s="2043">
        <v>0</v>
      </c>
      <c r="DC528" s="2043">
        <v>0</v>
      </c>
      <c r="DI528" t="s">
        <v>8035</v>
      </c>
      <c r="DJ528" t="s">
        <v>8035</v>
      </c>
      <c r="DK528" s="2042">
        <f t="shared" si="10"/>
        <v>0</v>
      </c>
    </row>
    <row r="529" spans="1:115">
      <c r="A529" t="s">
        <v>8036</v>
      </c>
      <c r="B529" t="s">
        <v>11353</v>
      </c>
      <c r="C529">
        <v>137.74</v>
      </c>
      <c r="D529">
        <v>247.68800000000002</v>
      </c>
      <c r="E529">
        <v>0</v>
      </c>
      <c r="F529">
        <v>0</v>
      </c>
      <c r="G529" s="2043">
        <v>0</v>
      </c>
      <c r="H529">
        <v>0</v>
      </c>
      <c r="I529" s="2043">
        <v>0</v>
      </c>
      <c r="J529">
        <v>0</v>
      </c>
      <c r="K529">
        <v>0</v>
      </c>
      <c r="L529">
        <v>0</v>
      </c>
      <c r="M529">
        <v>0</v>
      </c>
      <c r="N529">
        <v>0</v>
      </c>
      <c r="O529">
        <v>0</v>
      </c>
      <c r="P529">
        <v>0</v>
      </c>
      <c r="Q529">
        <v>0</v>
      </c>
      <c r="R529" s="2043">
        <v>0</v>
      </c>
      <c r="S529">
        <v>0</v>
      </c>
      <c r="T529">
        <v>0</v>
      </c>
      <c r="U529">
        <v>0</v>
      </c>
      <c r="V529">
        <v>0</v>
      </c>
      <c r="W529">
        <v>0</v>
      </c>
      <c r="X529">
        <v>0</v>
      </c>
      <c r="Y529">
        <v>0</v>
      </c>
      <c r="Z529">
        <v>0</v>
      </c>
      <c r="AA529">
        <v>0</v>
      </c>
      <c r="AB529">
        <v>200.76300000000001</v>
      </c>
      <c r="AC529" s="2043">
        <v>0</v>
      </c>
      <c r="AD529">
        <v>0</v>
      </c>
      <c r="AE529" s="2043">
        <v>0</v>
      </c>
      <c r="AF529">
        <v>0</v>
      </c>
      <c r="AG529">
        <v>0</v>
      </c>
      <c r="AH529">
        <v>0</v>
      </c>
      <c r="AI529">
        <v>0</v>
      </c>
      <c r="AJ529">
        <v>39.524999999999999</v>
      </c>
      <c r="AK529">
        <v>255</v>
      </c>
      <c r="AL529">
        <v>0</v>
      </c>
      <c r="AM529">
        <v>0</v>
      </c>
      <c r="AN529">
        <v>0.43</v>
      </c>
      <c r="AO529">
        <v>0</v>
      </c>
      <c r="AP529">
        <v>0</v>
      </c>
      <c r="AQ529">
        <v>0</v>
      </c>
      <c r="AR529">
        <v>3.1710000000000003</v>
      </c>
      <c r="AS529">
        <v>0</v>
      </c>
      <c r="AT529">
        <v>0.32800000000000001</v>
      </c>
      <c r="AU529">
        <v>0.05</v>
      </c>
      <c r="AV529">
        <v>0</v>
      </c>
      <c r="AW529">
        <v>3.5490000000000004</v>
      </c>
      <c r="AX529">
        <v>0</v>
      </c>
      <c r="AY529">
        <v>10.747</v>
      </c>
      <c r="AZ529">
        <v>0</v>
      </c>
      <c r="BA529">
        <v>1473561</v>
      </c>
      <c r="BB529">
        <v>0</v>
      </c>
      <c r="BC529">
        <v>0</v>
      </c>
      <c r="BD529">
        <v>23120</v>
      </c>
      <c r="BE529">
        <v>0</v>
      </c>
      <c r="BF529">
        <v>23120</v>
      </c>
      <c r="BG529">
        <v>23120</v>
      </c>
      <c r="BH529">
        <v>0</v>
      </c>
      <c r="BI529">
        <v>0</v>
      </c>
      <c r="BJ529">
        <v>0</v>
      </c>
      <c r="BK529">
        <v>0</v>
      </c>
      <c r="BL529">
        <v>0</v>
      </c>
      <c r="BM529">
        <v>0</v>
      </c>
      <c r="BN529">
        <v>0</v>
      </c>
      <c r="BO529">
        <v>0</v>
      </c>
      <c r="BP529">
        <v>0</v>
      </c>
      <c r="BQ529">
        <v>0</v>
      </c>
      <c r="BR529">
        <v>0</v>
      </c>
      <c r="BS529">
        <v>0</v>
      </c>
      <c r="BT529">
        <v>0</v>
      </c>
      <c r="BU529">
        <v>0</v>
      </c>
      <c r="BV529">
        <v>13</v>
      </c>
      <c r="BW529">
        <v>12</v>
      </c>
      <c r="BX529">
        <v>22</v>
      </c>
      <c r="BY529">
        <v>28</v>
      </c>
      <c r="BZ529">
        <v>76</v>
      </c>
      <c r="CA529">
        <v>151</v>
      </c>
      <c r="CB529">
        <v>0</v>
      </c>
      <c r="CC529">
        <v>0</v>
      </c>
      <c r="CD529">
        <v>0</v>
      </c>
      <c r="CE529">
        <v>4</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s="2043">
        <v>0</v>
      </c>
      <c r="CZ529" s="2043">
        <v>0</v>
      </c>
      <c r="DA529" s="2043">
        <v>0</v>
      </c>
      <c r="DB529" s="2043">
        <v>0</v>
      </c>
      <c r="DC529" s="2043">
        <v>0</v>
      </c>
      <c r="DI529" t="s">
        <v>8036</v>
      </c>
      <c r="DJ529" t="s">
        <v>8036</v>
      </c>
      <c r="DK529" s="2042">
        <f t="shared" si="10"/>
        <v>0</v>
      </c>
    </row>
    <row r="530" spans="1:115">
      <c r="A530" t="s">
        <v>8037</v>
      </c>
      <c r="B530" t="s">
        <v>11354</v>
      </c>
      <c r="C530">
        <v>339.47800000000001</v>
      </c>
      <c r="D530">
        <v>380.55200000000002</v>
      </c>
      <c r="E530">
        <v>1.6780000000000002</v>
      </c>
      <c r="F530">
        <v>0</v>
      </c>
      <c r="G530" s="2043">
        <v>0</v>
      </c>
      <c r="H530">
        <v>0</v>
      </c>
      <c r="I530" s="2043">
        <v>0</v>
      </c>
      <c r="J530">
        <v>0</v>
      </c>
      <c r="K530">
        <v>0</v>
      </c>
      <c r="L530">
        <v>0</v>
      </c>
      <c r="M530">
        <v>0</v>
      </c>
      <c r="N530">
        <v>0</v>
      </c>
      <c r="O530">
        <v>0</v>
      </c>
      <c r="P530">
        <v>0</v>
      </c>
      <c r="Q530">
        <v>0</v>
      </c>
      <c r="R530" s="2043">
        <v>0</v>
      </c>
      <c r="S530">
        <v>0</v>
      </c>
      <c r="T530">
        <v>0</v>
      </c>
      <c r="U530">
        <v>0</v>
      </c>
      <c r="V530">
        <v>0</v>
      </c>
      <c r="W530">
        <v>0</v>
      </c>
      <c r="X530">
        <v>0</v>
      </c>
      <c r="Y530">
        <v>0</v>
      </c>
      <c r="Z530">
        <v>0</v>
      </c>
      <c r="AA530">
        <v>0</v>
      </c>
      <c r="AB530">
        <v>358.99600000000004</v>
      </c>
      <c r="AC530" s="2043">
        <v>0</v>
      </c>
      <c r="AD530">
        <v>0</v>
      </c>
      <c r="AE530" s="2043">
        <v>0</v>
      </c>
      <c r="AF530">
        <v>0</v>
      </c>
      <c r="AG530">
        <v>0</v>
      </c>
      <c r="AH530">
        <v>0</v>
      </c>
      <c r="AI530">
        <v>0</v>
      </c>
      <c r="AJ530">
        <v>62.838000000000001</v>
      </c>
      <c r="AK530">
        <v>458</v>
      </c>
      <c r="AL530">
        <v>0</v>
      </c>
      <c r="AM530">
        <v>0</v>
      </c>
      <c r="AN530">
        <v>17.57</v>
      </c>
      <c r="AO530">
        <v>0</v>
      </c>
      <c r="AP530">
        <v>0</v>
      </c>
      <c r="AQ530">
        <v>0</v>
      </c>
      <c r="AR530">
        <v>0</v>
      </c>
      <c r="AS530">
        <v>0</v>
      </c>
      <c r="AT530">
        <v>0</v>
      </c>
      <c r="AU530">
        <v>0</v>
      </c>
      <c r="AV530">
        <v>0</v>
      </c>
      <c r="AW530">
        <v>0</v>
      </c>
      <c r="AX530">
        <v>0</v>
      </c>
      <c r="AY530">
        <v>0</v>
      </c>
      <c r="AZ530">
        <v>0</v>
      </c>
      <c r="BA530">
        <v>3493936</v>
      </c>
      <c r="BB530">
        <v>0</v>
      </c>
      <c r="BC530">
        <v>0</v>
      </c>
      <c r="BD530">
        <v>0</v>
      </c>
      <c r="BE530">
        <v>0</v>
      </c>
      <c r="BF530">
        <v>0</v>
      </c>
      <c r="BG530">
        <v>0</v>
      </c>
      <c r="BH530">
        <v>0</v>
      </c>
      <c r="BI530">
        <v>0</v>
      </c>
      <c r="BJ530">
        <v>0</v>
      </c>
      <c r="BK530">
        <v>0</v>
      </c>
      <c r="BL530">
        <v>0</v>
      </c>
      <c r="BM530">
        <v>0</v>
      </c>
      <c r="BN530">
        <v>3213</v>
      </c>
      <c r="BO530">
        <v>396</v>
      </c>
      <c r="BP530">
        <v>0</v>
      </c>
      <c r="BQ530">
        <v>0</v>
      </c>
      <c r="BR530">
        <v>0</v>
      </c>
      <c r="BS530">
        <v>0</v>
      </c>
      <c r="BT530">
        <v>0</v>
      </c>
      <c r="BU530">
        <v>0</v>
      </c>
      <c r="BV530">
        <v>59</v>
      </c>
      <c r="BW530">
        <v>71</v>
      </c>
      <c r="BX530">
        <v>59</v>
      </c>
      <c r="BY530">
        <v>38</v>
      </c>
      <c r="BZ530">
        <v>29</v>
      </c>
      <c r="CA530">
        <v>256</v>
      </c>
      <c r="CB530">
        <v>0</v>
      </c>
      <c r="CC530">
        <v>0</v>
      </c>
      <c r="CD530">
        <v>0</v>
      </c>
      <c r="CE530">
        <v>16</v>
      </c>
      <c r="CF530">
        <v>0</v>
      </c>
      <c r="CG530">
        <v>0</v>
      </c>
      <c r="CH530">
        <v>0</v>
      </c>
      <c r="CI530">
        <v>0</v>
      </c>
      <c r="CJ530">
        <v>0</v>
      </c>
      <c r="CK530">
        <v>0</v>
      </c>
      <c r="CL530">
        <v>0</v>
      </c>
      <c r="CM530">
        <v>1.6780000000000002</v>
      </c>
      <c r="CN530">
        <v>0</v>
      </c>
      <c r="CO530">
        <v>0</v>
      </c>
      <c r="CP530">
        <v>0</v>
      </c>
      <c r="CQ530">
        <v>0</v>
      </c>
      <c r="CR530">
        <v>0</v>
      </c>
      <c r="CS530">
        <v>0</v>
      </c>
      <c r="CT530">
        <v>0</v>
      </c>
      <c r="CU530">
        <v>0</v>
      </c>
      <c r="CV530">
        <v>37.925000000000004</v>
      </c>
      <c r="CW530">
        <v>11.253</v>
      </c>
      <c r="CX530">
        <v>0</v>
      </c>
      <c r="CY530" s="2043">
        <v>0</v>
      </c>
      <c r="CZ530" s="2043">
        <v>0</v>
      </c>
      <c r="DA530" s="2043">
        <v>0</v>
      </c>
      <c r="DB530" s="2043">
        <v>0</v>
      </c>
      <c r="DC530" s="2043">
        <v>0</v>
      </c>
      <c r="DI530" t="s">
        <v>8037</v>
      </c>
      <c r="DJ530" t="s">
        <v>8037</v>
      </c>
      <c r="DK530" s="2042">
        <f t="shared" si="10"/>
        <v>0</v>
      </c>
    </row>
    <row r="531" spans="1:115">
      <c r="A531" t="s">
        <v>8038</v>
      </c>
      <c r="B531" t="s">
        <v>11355</v>
      </c>
      <c r="C531">
        <v>174.57400000000001</v>
      </c>
      <c r="D531">
        <v>78.587000000000003</v>
      </c>
      <c r="E531">
        <v>0</v>
      </c>
      <c r="F531">
        <v>0</v>
      </c>
      <c r="G531" s="2043">
        <v>0</v>
      </c>
      <c r="H531">
        <v>0</v>
      </c>
      <c r="I531" s="2043">
        <v>0</v>
      </c>
      <c r="J531">
        <v>0</v>
      </c>
      <c r="K531">
        <v>0</v>
      </c>
      <c r="L531">
        <v>0</v>
      </c>
      <c r="M531">
        <v>0</v>
      </c>
      <c r="N531">
        <v>0</v>
      </c>
      <c r="O531">
        <v>0</v>
      </c>
      <c r="P531">
        <v>0</v>
      </c>
      <c r="Q531">
        <v>0</v>
      </c>
      <c r="R531" s="2043">
        <v>0</v>
      </c>
      <c r="S531">
        <v>0</v>
      </c>
      <c r="T531">
        <v>0</v>
      </c>
      <c r="U531">
        <v>0</v>
      </c>
      <c r="V531">
        <v>456.786</v>
      </c>
      <c r="W531">
        <v>0</v>
      </c>
      <c r="X531">
        <v>0</v>
      </c>
      <c r="Y531">
        <v>0</v>
      </c>
      <c r="Z531">
        <v>0</v>
      </c>
      <c r="AA531">
        <v>0</v>
      </c>
      <c r="AB531">
        <v>78.587000000000003</v>
      </c>
      <c r="AC531" s="2043">
        <v>0</v>
      </c>
      <c r="AD531">
        <v>0</v>
      </c>
      <c r="AE531" s="2043">
        <v>0</v>
      </c>
      <c r="AF531">
        <v>0</v>
      </c>
      <c r="AG531">
        <v>0</v>
      </c>
      <c r="AH531">
        <v>0</v>
      </c>
      <c r="AI531">
        <v>0</v>
      </c>
      <c r="AJ531">
        <v>38.163000000000004</v>
      </c>
      <c r="AK531">
        <v>483</v>
      </c>
      <c r="AL531">
        <v>0</v>
      </c>
      <c r="AM531">
        <v>0</v>
      </c>
      <c r="AN531">
        <v>3.2910000000000004</v>
      </c>
      <c r="AO531">
        <v>0</v>
      </c>
      <c r="AP531">
        <v>0</v>
      </c>
      <c r="AQ531">
        <v>0</v>
      </c>
      <c r="AR531">
        <v>2.702</v>
      </c>
      <c r="AS531">
        <v>0</v>
      </c>
      <c r="AT531">
        <v>1.6120000000000001</v>
      </c>
      <c r="AU531">
        <v>0.91700000000000004</v>
      </c>
      <c r="AV531">
        <v>0</v>
      </c>
      <c r="AW531">
        <v>5.2309999999999999</v>
      </c>
      <c r="AX531">
        <v>0</v>
      </c>
      <c r="AY531">
        <v>17.527000000000001</v>
      </c>
      <c r="AZ531">
        <v>0</v>
      </c>
      <c r="BA531">
        <v>2297147</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13</v>
      </c>
      <c r="BW531">
        <v>23</v>
      </c>
      <c r="BX531">
        <v>29</v>
      </c>
      <c r="BY531">
        <v>24</v>
      </c>
      <c r="BZ531">
        <v>59</v>
      </c>
      <c r="CA531">
        <v>148</v>
      </c>
      <c r="CB531">
        <v>0</v>
      </c>
      <c r="CC531">
        <v>0</v>
      </c>
      <c r="CD531">
        <v>0</v>
      </c>
      <c r="CE531">
        <v>15</v>
      </c>
      <c r="CF531">
        <v>147.73600000000002</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s="2043">
        <v>0</v>
      </c>
      <c r="CZ531" s="2043">
        <v>0</v>
      </c>
      <c r="DA531" s="2043">
        <v>0</v>
      </c>
      <c r="DB531" s="2043">
        <v>0</v>
      </c>
      <c r="DC531" s="2043">
        <v>0</v>
      </c>
      <c r="DI531" t="s">
        <v>8038</v>
      </c>
      <c r="DJ531" t="s">
        <v>8038</v>
      </c>
      <c r="DK531" s="2042">
        <f t="shared" si="10"/>
        <v>0</v>
      </c>
    </row>
    <row r="532" spans="1:115">
      <c r="A532" t="s">
        <v>8039</v>
      </c>
      <c r="B532" t="s">
        <v>11356</v>
      </c>
      <c r="C532">
        <v>151.858</v>
      </c>
      <c r="D532">
        <v>107.87100000000001</v>
      </c>
      <c r="E532">
        <v>38.367000000000004</v>
      </c>
      <c r="F532">
        <v>0</v>
      </c>
      <c r="G532" s="2043">
        <v>0</v>
      </c>
      <c r="H532">
        <v>0</v>
      </c>
      <c r="I532" s="2043">
        <v>0</v>
      </c>
      <c r="J532">
        <v>0</v>
      </c>
      <c r="K532">
        <v>0</v>
      </c>
      <c r="L532">
        <v>0</v>
      </c>
      <c r="M532">
        <v>0</v>
      </c>
      <c r="N532">
        <v>0</v>
      </c>
      <c r="O532">
        <v>0</v>
      </c>
      <c r="P532">
        <v>0</v>
      </c>
      <c r="Q532">
        <v>0</v>
      </c>
      <c r="R532" s="2043">
        <v>0</v>
      </c>
      <c r="S532">
        <v>0</v>
      </c>
      <c r="T532">
        <v>0</v>
      </c>
      <c r="U532">
        <v>0</v>
      </c>
      <c r="V532">
        <v>0</v>
      </c>
      <c r="W532">
        <v>0</v>
      </c>
      <c r="X532">
        <v>0</v>
      </c>
      <c r="Y532">
        <v>104946</v>
      </c>
      <c r="Z532">
        <v>0</v>
      </c>
      <c r="AA532">
        <v>0</v>
      </c>
      <c r="AB532">
        <v>107.87100000000001</v>
      </c>
      <c r="AC532" s="2043">
        <v>0</v>
      </c>
      <c r="AD532">
        <v>0</v>
      </c>
      <c r="AE532" s="2043">
        <v>0</v>
      </c>
      <c r="AF532">
        <v>0</v>
      </c>
      <c r="AG532">
        <v>0</v>
      </c>
      <c r="AH532">
        <v>0</v>
      </c>
      <c r="AI532">
        <v>0</v>
      </c>
      <c r="AJ532">
        <v>36.1</v>
      </c>
      <c r="AK532">
        <v>193</v>
      </c>
      <c r="AL532">
        <v>0</v>
      </c>
      <c r="AM532">
        <v>0</v>
      </c>
      <c r="AN532">
        <v>2.7120000000000002</v>
      </c>
      <c r="AO532">
        <v>0</v>
      </c>
      <c r="AP532">
        <v>0</v>
      </c>
      <c r="AQ532">
        <v>0</v>
      </c>
      <c r="AR532">
        <v>0.3</v>
      </c>
      <c r="AS532">
        <v>0</v>
      </c>
      <c r="AT532">
        <v>1.0290000000000001</v>
      </c>
      <c r="AU532">
        <v>0.28400000000000003</v>
      </c>
      <c r="AV532">
        <v>0</v>
      </c>
      <c r="AW532">
        <v>1.613</v>
      </c>
      <c r="AX532">
        <v>0</v>
      </c>
      <c r="AY532">
        <v>5.407</v>
      </c>
      <c r="AZ532">
        <v>0</v>
      </c>
      <c r="BA532">
        <v>1779738</v>
      </c>
      <c r="BB532">
        <v>0</v>
      </c>
      <c r="BC532">
        <v>0</v>
      </c>
      <c r="BD532">
        <v>13860</v>
      </c>
      <c r="BE532">
        <v>0</v>
      </c>
      <c r="BF532">
        <v>13860</v>
      </c>
      <c r="BG532">
        <v>13860</v>
      </c>
      <c r="BH532">
        <v>0</v>
      </c>
      <c r="BI532">
        <v>0</v>
      </c>
      <c r="BJ532">
        <v>0</v>
      </c>
      <c r="BK532">
        <v>0</v>
      </c>
      <c r="BL532">
        <v>0</v>
      </c>
      <c r="BM532">
        <v>0</v>
      </c>
      <c r="BN532">
        <v>0</v>
      </c>
      <c r="BO532">
        <v>0</v>
      </c>
      <c r="BP532">
        <v>0</v>
      </c>
      <c r="BQ532">
        <v>0</v>
      </c>
      <c r="BR532">
        <v>0</v>
      </c>
      <c r="BS532">
        <v>0</v>
      </c>
      <c r="BT532">
        <v>0</v>
      </c>
      <c r="BU532">
        <v>0</v>
      </c>
      <c r="BV532">
        <v>4</v>
      </c>
      <c r="BW532">
        <v>18</v>
      </c>
      <c r="BX532">
        <v>54</v>
      </c>
      <c r="BY532">
        <v>36</v>
      </c>
      <c r="BZ532">
        <v>29</v>
      </c>
      <c r="CA532">
        <v>141</v>
      </c>
      <c r="CB532">
        <v>0</v>
      </c>
      <c r="CC532">
        <v>0</v>
      </c>
      <c r="CD532">
        <v>0</v>
      </c>
      <c r="CE532">
        <v>1</v>
      </c>
      <c r="CF532">
        <v>140.56</v>
      </c>
      <c r="CG532">
        <v>0</v>
      </c>
      <c r="CH532">
        <v>0</v>
      </c>
      <c r="CI532">
        <v>0</v>
      </c>
      <c r="CJ532">
        <v>0</v>
      </c>
      <c r="CK532">
        <v>0</v>
      </c>
      <c r="CL532">
        <v>0</v>
      </c>
      <c r="CM532">
        <v>38.367000000000004</v>
      </c>
      <c r="CN532">
        <v>0</v>
      </c>
      <c r="CO532">
        <v>0</v>
      </c>
      <c r="CP532">
        <v>0</v>
      </c>
      <c r="CQ532">
        <v>0</v>
      </c>
      <c r="CR532">
        <v>0</v>
      </c>
      <c r="CS532">
        <v>0</v>
      </c>
      <c r="CT532">
        <v>0</v>
      </c>
      <c r="CU532">
        <v>0</v>
      </c>
      <c r="CV532">
        <v>0</v>
      </c>
      <c r="CW532">
        <v>0</v>
      </c>
      <c r="CX532">
        <v>0</v>
      </c>
      <c r="CY532" s="2043">
        <v>104946</v>
      </c>
      <c r="CZ532" s="2043">
        <v>0</v>
      </c>
      <c r="DA532" s="2043">
        <v>0</v>
      </c>
      <c r="DB532" s="2043">
        <v>0</v>
      </c>
      <c r="DC532" s="2043">
        <v>0</v>
      </c>
      <c r="DI532" t="s">
        <v>8039</v>
      </c>
      <c r="DJ532" t="s">
        <v>8039</v>
      </c>
      <c r="DK532" s="2042">
        <f t="shared" si="10"/>
        <v>0</v>
      </c>
    </row>
    <row r="533" spans="1:115">
      <c r="A533" t="s">
        <v>8778</v>
      </c>
      <c r="B533" t="s">
        <v>11357</v>
      </c>
      <c r="C533">
        <v>38.373000000000005</v>
      </c>
      <c r="D533">
        <v>0</v>
      </c>
      <c r="E533">
        <v>0</v>
      </c>
      <c r="F533">
        <v>0</v>
      </c>
      <c r="G533" s="2043">
        <v>0</v>
      </c>
      <c r="H533">
        <v>0</v>
      </c>
      <c r="I533" s="2043">
        <v>0</v>
      </c>
      <c r="J533">
        <v>0</v>
      </c>
      <c r="K533">
        <v>0</v>
      </c>
      <c r="L533">
        <v>0</v>
      </c>
      <c r="M533">
        <v>0</v>
      </c>
      <c r="N533">
        <v>0</v>
      </c>
      <c r="O533">
        <v>0</v>
      </c>
      <c r="P533">
        <v>0</v>
      </c>
      <c r="Q533">
        <v>0</v>
      </c>
      <c r="R533" s="2043">
        <v>0</v>
      </c>
      <c r="S533">
        <v>0</v>
      </c>
      <c r="T533">
        <v>0</v>
      </c>
      <c r="U533">
        <v>0</v>
      </c>
      <c r="V533">
        <v>0</v>
      </c>
      <c r="W533">
        <v>0</v>
      </c>
      <c r="X533">
        <v>0</v>
      </c>
      <c r="Y533">
        <v>0</v>
      </c>
      <c r="Z533">
        <v>0</v>
      </c>
      <c r="AA533">
        <v>0</v>
      </c>
      <c r="AB533">
        <v>0</v>
      </c>
      <c r="AC533" s="2043">
        <v>0</v>
      </c>
      <c r="AD533">
        <v>0</v>
      </c>
      <c r="AE533" s="2043">
        <v>0</v>
      </c>
      <c r="AF533">
        <v>0</v>
      </c>
      <c r="AG533">
        <v>0</v>
      </c>
      <c r="AH533">
        <v>0</v>
      </c>
      <c r="AI533">
        <v>0</v>
      </c>
      <c r="AJ533">
        <v>11.275</v>
      </c>
      <c r="AK533">
        <v>59</v>
      </c>
      <c r="AL533">
        <v>0</v>
      </c>
      <c r="AM533">
        <v>0</v>
      </c>
      <c r="AN533">
        <v>1.3440000000000001</v>
      </c>
      <c r="AO533">
        <v>0</v>
      </c>
      <c r="AP533">
        <v>0</v>
      </c>
      <c r="AQ533">
        <v>0</v>
      </c>
      <c r="AR533">
        <v>0.26600000000000001</v>
      </c>
      <c r="AS533">
        <v>0</v>
      </c>
      <c r="AT533">
        <v>0</v>
      </c>
      <c r="AU533">
        <v>5.5E-2</v>
      </c>
      <c r="AV533">
        <v>0</v>
      </c>
      <c r="AW533">
        <v>0.32100000000000001</v>
      </c>
      <c r="AX533">
        <v>0</v>
      </c>
      <c r="AY533">
        <v>1.073</v>
      </c>
      <c r="AZ533">
        <v>0</v>
      </c>
      <c r="BA533">
        <v>423450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6</v>
      </c>
      <c r="BW533">
        <v>3</v>
      </c>
      <c r="BX533">
        <v>14</v>
      </c>
      <c r="BY533">
        <v>5</v>
      </c>
      <c r="BZ533">
        <v>16</v>
      </c>
      <c r="CA533">
        <v>44</v>
      </c>
      <c r="CB533">
        <v>0</v>
      </c>
      <c r="CC533">
        <v>0</v>
      </c>
      <c r="CD533">
        <v>0</v>
      </c>
      <c r="CE533">
        <v>1</v>
      </c>
      <c r="CF533">
        <v>22.704000000000001</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s="2043">
        <v>0</v>
      </c>
      <c r="CZ533" s="2043">
        <v>0</v>
      </c>
      <c r="DA533" s="2043">
        <v>0</v>
      </c>
      <c r="DB533" s="2043">
        <v>0</v>
      </c>
      <c r="DC533" s="2043">
        <v>0</v>
      </c>
      <c r="DI533" t="s">
        <v>8778</v>
      </c>
      <c r="DJ533" t="s">
        <v>8778</v>
      </c>
      <c r="DK533" s="2042">
        <f t="shared" si="10"/>
        <v>0</v>
      </c>
    </row>
    <row r="534" spans="1:115">
      <c r="A534" t="s">
        <v>8779</v>
      </c>
      <c r="B534" t="s">
        <v>11358</v>
      </c>
      <c r="C534">
        <v>111.018</v>
      </c>
      <c r="D534">
        <v>41.142000000000003</v>
      </c>
      <c r="E534">
        <v>3.661</v>
      </c>
      <c r="F534">
        <v>0</v>
      </c>
      <c r="G534" s="2043">
        <v>0</v>
      </c>
      <c r="H534">
        <v>0</v>
      </c>
      <c r="I534" s="2043">
        <v>0</v>
      </c>
      <c r="J534">
        <v>0</v>
      </c>
      <c r="K534">
        <v>0</v>
      </c>
      <c r="L534">
        <v>0</v>
      </c>
      <c r="M534">
        <v>0</v>
      </c>
      <c r="N534">
        <v>0</v>
      </c>
      <c r="O534">
        <v>0</v>
      </c>
      <c r="P534">
        <v>0</v>
      </c>
      <c r="Q534">
        <v>0</v>
      </c>
      <c r="R534" s="2043">
        <v>0</v>
      </c>
      <c r="S534">
        <v>0</v>
      </c>
      <c r="T534">
        <v>0</v>
      </c>
      <c r="U534">
        <v>0</v>
      </c>
      <c r="V534">
        <v>0</v>
      </c>
      <c r="W534">
        <v>0</v>
      </c>
      <c r="X534">
        <v>0</v>
      </c>
      <c r="Y534">
        <v>0</v>
      </c>
      <c r="Z534">
        <v>0</v>
      </c>
      <c r="AA534">
        <v>0</v>
      </c>
      <c r="AB534">
        <v>46.798000000000002</v>
      </c>
      <c r="AC534" s="2043">
        <v>0</v>
      </c>
      <c r="AD534">
        <v>0</v>
      </c>
      <c r="AE534" s="2043">
        <v>0</v>
      </c>
      <c r="AF534">
        <v>0</v>
      </c>
      <c r="AG534">
        <v>0</v>
      </c>
      <c r="AH534">
        <v>0</v>
      </c>
      <c r="AI534">
        <v>0</v>
      </c>
      <c r="AJ534">
        <v>22.2</v>
      </c>
      <c r="AK534">
        <v>100</v>
      </c>
      <c r="AL534">
        <v>0</v>
      </c>
      <c r="AM534">
        <v>0</v>
      </c>
      <c r="AN534">
        <v>0.35800000000000004</v>
      </c>
      <c r="AO534">
        <v>0</v>
      </c>
      <c r="AP534">
        <v>0</v>
      </c>
      <c r="AQ534">
        <v>0</v>
      </c>
      <c r="AR534">
        <v>0.70600000000000007</v>
      </c>
      <c r="AS534">
        <v>0</v>
      </c>
      <c r="AT534">
        <v>0</v>
      </c>
      <c r="AU534">
        <v>0.373</v>
      </c>
      <c r="AV534">
        <v>0</v>
      </c>
      <c r="AW534">
        <v>1.079</v>
      </c>
      <c r="AX534">
        <v>0</v>
      </c>
      <c r="AY534">
        <v>3.9830000000000001</v>
      </c>
      <c r="AZ534">
        <v>0</v>
      </c>
      <c r="BA534">
        <v>1150077</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12</v>
      </c>
      <c r="BW534">
        <v>19</v>
      </c>
      <c r="BX534">
        <v>29</v>
      </c>
      <c r="BY534">
        <v>19</v>
      </c>
      <c r="BZ534">
        <v>10</v>
      </c>
      <c r="CA534">
        <v>89</v>
      </c>
      <c r="CB534">
        <v>0</v>
      </c>
      <c r="CC534">
        <v>0</v>
      </c>
      <c r="CD534">
        <v>0</v>
      </c>
      <c r="CE534">
        <v>2</v>
      </c>
      <c r="CF534">
        <v>92.227000000000004</v>
      </c>
      <c r="CG534">
        <v>0</v>
      </c>
      <c r="CH534">
        <v>0</v>
      </c>
      <c r="CI534">
        <v>0</v>
      </c>
      <c r="CJ534">
        <v>0</v>
      </c>
      <c r="CK534">
        <v>0</v>
      </c>
      <c r="CL534">
        <v>0</v>
      </c>
      <c r="CM534">
        <v>3.661</v>
      </c>
      <c r="CN534">
        <v>0</v>
      </c>
      <c r="CO534">
        <v>0</v>
      </c>
      <c r="CP534">
        <v>0</v>
      </c>
      <c r="CQ534">
        <v>0</v>
      </c>
      <c r="CR534">
        <v>0</v>
      </c>
      <c r="CS534">
        <v>0</v>
      </c>
      <c r="CT534">
        <v>0</v>
      </c>
      <c r="CU534">
        <v>0</v>
      </c>
      <c r="CV534">
        <v>0</v>
      </c>
      <c r="CW534">
        <v>0</v>
      </c>
      <c r="CX534">
        <v>0</v>
      </c>
      <c r="CY534" s="2043">
        <v>0</v>
      </c>
      <c r="CZ534" s="2043">
        <v>0</v>
      </c>
      <c r="DA534" s="2043">
        <v>0</v>
      </c>
      <c r="DB534" s="2043">
        <v>0</v>
      </c>
      <c r="DC534" s="2043">
        <v>0</v>
      </c>
      <c r="DI534" t="s">
        <v>8779</v>
      </c>
      <c r="DJ534" t="s">
        <v>8779</v>
      </c>
      <c r="DK534" s="2042">
        <f t="shared" si="10"/>
        <v>0</v>
      </c>
    </row>
    <row r="535" spans="1:115">
      <c r="A535" t="s">
        <v>3019</v>
      </c>
      <c r="B535" t="s">
        <v>548</v>
      </c>
      <c r="C535">
        <v>55266.908000000003</v>
      </c>
      <c r="D535">
        <v>59964.194000000003</v>
      </c>
      <c r="E535">
        <v>20223.32</v>
      </c>
      <c r="F535">
        <v>0</v>
      </c>
      <c r="G535" s="2043">
        <v>23255836873</v>
      </c>
      <c r="H535">
        <v>0</v>
      </c>
      <c r="I535" s="2043">
        <v>69008175</v>
      </c>
      <c r="J535">
        <v>2763.3450000000003</v>
      </c>
      <c r="K535">
        <v>7555</v>
      </c>
      <c r="L535">
        <v>0</v>
      </c>
      <c r="M535">
        <v>14049215</v>
      </c>
      <c r="N535">
        <v>0</v>
      </c>
      <c r="O535">
        <v>14049215</v>
      </c>
      <c r="P535">
        <v>0</v>
      </c>
      <c r="Q535">
        <v>0</v>
      </c>
      <c r="R535" s="2043">
        <v>190013823</v>
      </c>
      <c r="S535">
        <v>17887863</v>
      </c>
      <c r="T535">
        <v>7736501</v>
      </c>
      <c r="U535">
        <v>0.08</v>
      </c>
      <c r="V535">
        <v>0</v>
      </c>
      <c r="W535">
        <v>0</v>
      </c>
      <c r="X535">
        <v>0</v>
      </c>
      <c r="Y535">
        <v>832704</v>
      </c>
      <c r="Z535">
        <v>1.806</v>
      </c>
      <c r="AA535">
        <v>8.4250000000000007</v>
      </c>
      <c r="AB535">
        <v>57706.6</v>
      </c>
      <c r="AC535" s="2043">
        <v>20614899832</v>
      </c>
      <c r="AD535">
        <v>69821406</v>
      </c>
      <c r="AE535" s="2043">
        <v>215638187</v>
      </c>
      <c r="AF535">
        <v>0.96440000000000003</v>
      </c>
      <c r="AG535">
        <v>7969846</v>
      </c>
      <c r="AH535">
        <v>0</v>
      </c>
      <c r="AI535">
        <v>0</v>
      </c>
      <c r="AJ535">
        <v>14325.550000000001</v>
      </c>
      <c r="AK535">
        <v>133008</v>
      </c>
      <c r="AL535">
        <v>3.3890000000000002</v>
      </c>
      <c r="AM535">
        <v>0</v>
      </c>
      <c r="AN535">
        <v>1461.287</v>
      </c>
      <c r="AO535">
        <v>0.91500000000000004</v>
      </c>
      <c r="AP535">
        <v>46.683</v>
      </c>
      <c r="AQ535">
        <v>13.121</v>
      </c>
      <c r="AR535">
        <v>680.73300000000006</v>
      </c>
      <c r="AS535">
        <v>0</v>
      </c>
      <c r="AT535">
        <v>470.71700000000004</v>
      </c>
      <c r="AU535">
        <v>108.221</v>
      </c>
      <c r="AV535">
        <v>0</v>
      </c>
      <c r="AW535">
        <v>1322.864</v>
      </c>
      <c r="AX535">
        <v>0</v>
      </c>
      <c r="AY535">
        <v>4138.4440000000004</v>
      </c>
      <c r="AZ535">
        <v>0</v>
      </c>
      <c r="BA535">
        <v>358330256</v>
      </c>
      <c r="BB535">
        <v>285459593</v>
      </c>
      <c r="BC535">
        <v>816</v>
      </c>
      <c r="BD535">
        <v>3784808</v>
      </c>
      <c r="BE535">
        <v>1405343</v>
      </c>
      <c r="BF535">
        <v>5284131</v>
      </c>
      <c r="BG535">
        <v>3785624</v>
      </c>
      <c r="BH535">
        <v>93164</v>
      </c>
      <c r="BI535">
        <v>-22299</v>
      </c>
      <c r="BJ535">
        <v>-43821</v>
      </c>
      <c r="BK535">
        <v>0</v>
      </c>
      <c r="BL535">
        <v>23255836873</v>
      </c>
      <c r="BM535">
        <v>898824</v>
      </c>
      <c r="BN535">
        <v>210105</v>
      </c>
      <c r="BO535">
        <v>138961</v>
      </c>
      <c r="BP535">
        <v>38970</v>
      </c>
      <c r="BQ535">
        <v>0</v>
      </c>
      <c r="BR535">
        <v>0.8498</v>
      </c>
      <c r="BS535">
        <v>0.8498</v>
      </c>
      <c r="BT535">
        <v>0</v>
      </c>
      <c r="BU535">
        <v>0</v>
      </c>
      <c r="BV535">
        <v>2360</v>
      </c>
      <c r="BW535">
        <v>9130</v>
      </c>
      <c r="BX535">
        <v>9860</v>
      </c>
      <c r="BY535">
        <v>13566</v>
      </c>
      <c r="BZ535">
        <v>20364</v>
      </c>
      <c r="CA535">
        <v>55280</v>
      </c>
      <c r="CB535">
        <v>1</v>
      </c>
      <c r="CC535">
        <v>2541.489</v>
      </c>
      <c r="CD535">
        <v>166.29300000000001</v>
      </c>
      <c r="CE535">
        <v>3836</v>
      </c>
      <c r="CF535">
        <v>22767.528999999999</v>
      </c>
      <c r="CG535">
        <v>250.74100000000001</v>
      </c>
      <c r="CH535">
        <v>20.984999999999999</v>
      </c>
      <c r="CI535">
        <v>273</v>
      </c>
      <c r="CJ535">
        <v>39</v>
      </c>
      <c r="CK535">
        <v>3</v>
      </c>
      <c r="CL535">
        <v>271.726</v>
      </c>
      <c r="CM535">
        <v>20223.32</v>
      </c>
      <c r="CN535">
        <v>0</v>
      </c>
      <c r="CO535">
        <v>25980</v>
      </c>
      <c r="CP535">
        <v>12990</v>
      </c>
      <c r="CQ535">
        <v>0</v>
      </c>
      <c r="CR535">
        <v>0</v>
      </c>
      <c r="CS535">
        <v>356.85200000000003</v>
      </c>
      <c r="CT535">
        <v>0</v>
      </c>
      <c r="CU535">
        <v>373.10200000000003</v>
      </c>
      <c r="CV535">
        <v>2598.6930000000002</v>
      </c>
      <c r="CW535">
        <v>1315.5050000000001</v>
      </c>
      <c r="CX535">
        <v>0</v>
      </c>
      <c r="CY535" s="2043">
        <v>0</v>
      </c>
      <c r="CZ535" s="2043">
        <v>7969846</v>
      </c>
      <c r="DA535" s="2043">
        <v>0</v>
      </c>
      <c r="DB535" s="2043">
        <v>0</v>
      </c>
      <c r="DC535" s="2043">
        <v>0</v>
      </c>
      <c r="DI535" t="s">
        <v>3019</v>
      </c>
      <c r="DJ535" t="s">
        <v>3019</v>
      </c>
      <c r="DK535" s="2042">
        <f t="shared" si="10"/>
        <v>0</v>
      </c>
    </row>
    <row r="536" spans="1:115">
      <c r="A536" t="s">
        <v>3020</v>
      </c>
      <c r="B536" t="s">
        <v>180</v>
      </c>
      <c r="C536">
        <v>37145.570999999996</v>
      </c>
      <c r="D536">
        <v>41446.790999999997</v>
      </c>
      <c r="E536">
        <v>13611.534</v>
      </c>
      <c r="F536">
        <v>0</v>
      </c>
      <c r="G536" s="2043">
        <v>17770820753</v>
      </c>
      <c r="H536">
        <v>0</v>
      </c>
      <c r="I536" s="2043">
        <v>38021357</v>
      </c>
      <c r="J536">
        <v>1857.279</v>
      </c>
      <c r="K536">
        <v>5078</v>
      </c>
      <c r="L536">
        <v>0</v>
      </c>
      <c r="M536">
        <v>2248563</v>
      </c>
      <c r="N536">
        <v>0</v>
      </c>
      <c r="O536">
        <v>2248563</v>
      </c>
      <c r="P536">
        <v>0</v>
      </c>
      <c r="Q536">
        <v>0</v>
      </c>
      <c r="R536" s="2043">
        <v>154834627</v>
      </c>
      <c r="S536">
        <v>13906781</v>
      </c>
      <c r="T536">
        <v>5058592</v>
      </c>
      <c r="U536">
        <v>0.08</v>
      </c>
      <c r="V536">
        <v>0</v>
      </c>
      <c r="W536">
        <v>0</v>
      </c>
      <c r="X536">
        <v>0</v>
      </c>
      <c r="Y536">
        <v>-33256</v>
      </c>
      <c r="Z536">
        <v>0</v>
      </c>
      <c r="AA536">
        <v>3.7320000000000002</v>
      </c>
      <c r="AB536">
        <v>37647.150999999998</v>
      </c>
      <c r="AC536" s="2043">
        <v>16340917237</v>
      </c>
      <c r="AD536">
        <v>35600000</v>
      </c>
      <c r="AE536" s="2043">
        <v>173800000</v>
      </c>
      <c r="AF536">
        <v>0.99980000000000002</v>
      </c>
      <c r="AG536">
        <v>0</v>
      </c>
      <c r="AH536">
        <v>0</v>
      </c>
      <c r="AI536">
        <v>0</v>
      </c>
      <c r="AJ536">
        <v>8825.2000000000007</v>
      </c>
      <c r="AK536">
        <v>111976</v>
      </c>
      <c r="AL536">
        <v>3.121</v>
      </c>
      <c r="AM536">
        <v>1.115</v>
      </c>
      <c r="AN536">
        <v>1296.6320000000001</v>
      </c>
      <c r="AO536">
        <v>29.3</v>
      </c>
      <c r="AP536">
        <v>7.0470000000000006</v>
      </c>
      <c r="AQ536">
        <v>16.338000000000001</v>
      </c>
      <c r="AR536">
        <v>523.173</v>
      </c>
      <c r="AS536">
        <v>0</v>
      </c>
      <c r="AT536">
        <v>425.43700000000001</v>
      </c>
      <c r="AU536">
        <v>90.838000000000008</v>
      </c>
      <c r="AV536">
        <v>0</v>
      </c>
      <c r="AW536">
        <v>1067.069</v>
      </c>
      <c r="AX536">
        <v>0</v>
      </c>
      <c r="AY536">
        <v>3337.9970000000003</v>
      </c>
      <c r="AZ536">
        <v>0</v>
      </c>
      <c r="BA536">
        <v>214889136</v>
      </c>
      <c r="BB536">
        <v>209400000</v>
      </c>
      <c r="BC536">
        <v>0</v>
      </c>
      <c r="BD536">
        <v>1802361</v>
      </c>
      <c r="BE536">
        <v>1041371</v>
      </c>
      <c r="BF536">
        <v>3017384</v>
      </c>
      <c r="BG536">
        <v>1802361</v>
      </c>
      <c r="BH536">
        <v>173652</v>
      </c>
      <c r="BI536">
        <v>0</v>
      </c>
      <c r="BJ536">
        <v>-33256</v>
      </c>
      <c r="BK536">
        <v>0</v>
      </c>
      <c r="BL536">
        <v>17770820753</v>
      </c>
      <c r="BM536">
        <v>0</v>
      </c>
      <c r="BN536">
        <v>146817</v>
      </c>
      <c r="BO536">
        <v>47957</v>
      </c>
      <c r="BP536">
        <v>13330</v>
      </c>
      <c r="BQ536">
        <v>0</v>
      </c>
      <c r="BR536">
        <v>0.89070000000000005</v>
      </c>
      <c r="BS536">
        <v>0.89070000000000005</v>
      </c>
      <c r="BT536">
        <v>0</v>
      </c>
      <c r="BU536">
        <v>0</v>
      </c>
      <c r="BV536">
        <v>1489</v>
      </c>
      <c r="BW536">
        <v>4310</v>
      </c>
      <c r="BX536">
        <v>5860</v>
      </c>
      <c r="BY536">
        <v>7726</v>
      </c>
      <c r="BZ536">
        <v>14449</v>
      </c>
      <c r="CA536">
        <v>33834</v>
      </c>
      <c r="CB536">
        <v>0</v>
      </c>
      <c r="CC536">
        <v>4791.5420000000004</v>
      </c>
      <c r="CD536">
        <v>295.86700000000002</v>
      </c>
      <c r="CE536">
        <v>1546</v>
      </c>
      <c r="CF536">
        <v>17397.722999999998</v>
      </c>
      <c r="CG536">
        <v>0</v>
      </c>
      <c r="CH536">
        <v>0</v>
      </c>
      <c r="CI536">
        <v>346</v>
      </c>
      <c r="CJ536">
        <v>57</v>
      </c>
      <c r="CK536">
        <v>1</v>
      </c>
      <c r="CL536">
        <v>0</v>
      </c>
      <c r="CM536">
        <v>13611.534</v>
      </c>
      <c r="CN536">
        <v>0</v>
      </c>
      <c r="CO536">
        <v>13330</v>
      </c>
      <c r="CP536">
        <v>0</v>
      </c>
      <c r="CQ536">
        <v>0</v>
      </c>
      <c r="CR536">
        <v>0</v>
      </c>
      <c r="CS536">
        <v>111.49600000000001</v>
      </c>
      <c r="CT536">
        <v>0</v>
      </c>
      <c r="CU536">
        <v>56.963000000000001</v>
      </c>
      <c r="CV536">
        <v>1071.4960000000001</v>
      </c>
      <c r="CW536">
        <v>724.79300000000001</v>
      </c>
      <c r="CX536">
        <v>0</v>
      </c>
      <c r="CY536" s="2043">
        <v>0</v>
      </c>
      <c r="CZ536" s="2043">
        <v>0</v>
      </c>
      <c r="DA536" s="2043">
        <v>0</v>
      </c>
      <c r="DB536" s="2043">
        <v>0</v>
      </c>
      <c r="DC536" s="2043">
        <v>0</v>
      </c>
      <c r="DI536" t="s">
        <v>3020</v>
      </c>
      <c r="DJ536" t="s">
        <v>3020</v>
      </c>
      <c r="DK536" s="2042">
        <f t="shared" si="10"/>
        <v>0</v>
      </c>
    </row>
    <row r="537" spans="1:115">
      <c r="A537" t="s">
        <v>3021</v>
      </c>
      <c r="B537" t="s">
        <v>2188</v>
      </c>
      <c r="C537">
        <v>8842.8279999999995</v>
      </c>
      <c r="D537">
        <v>9107.2090000000007</v>
      </c>
      <c r="E537">
        <v>1454.5320000000002</v>
      </c>
      <c r="F537">
        <v>0</v>
      </c>
      <c r="G537" s="2043">
        <v>4039335687</v>
      </c>
      <c r="H537">
        <v>0</v>
      </c>
      <c r="I537" s="2043">
        <v>16634910</v>
      </c>
      <c r="J537">
        <v>442.14100000000002</v>
      </c>
      <c r="K537">
        <v>1209</v>
      </c>
      <c r="L537">
        <v>0</v>
      </c>
      <c r="M537">
        <v>1813841</v>
      </c>
      <c r="N537">
        <v>0</v>
      </c>
      <c r="O537">
        <v>1813841</v>
      </c>
      <c r="P537">
        <v>0</v>
      </c>
      <c r="Q537">
        <v>0</v>
      </c>
      <c r="R537" s="2043">
        <v>36274433</v>
      </c>
      <c r="S537">
        <v>2026052</v>
      </c>
      <c r="T537">
        <v>0</v>
      </c>
      <c r="U537">
        <v>0.05</v>
      </c>
      <c r="V537">
        <v>0</v>
      </c>
      <c r="W537">
        <v>0</v>
      </c>
      <c r="X537">
        <v>0</v>
      </c>
      <c r="Y537">
        <v>2480396</v>
      </c>
      <c r="Z537">
        <v>0</v>
      </c>
      <c r="AA537">
        <v>0.68100000000000005</v>
      </c>
      <c r="AB537">
        <v>9107.2090000000007</v>
      </c>
      <c r="AC537" s="2043">
        <v>3666934580</v>
      </c>
      <c r="AD537">
        <v>14931599</v>
      </c>
      <c r="AE537" s="2043">
        <v>38300485</v>
      </c>
      <c r="AF537">
        <v>0.94520000000000004</v>
      </c>
      <c r="AG537">
        <v>0</v>
      </c>
      <c r="AH537">
        <v>0</v>
      </c>
      <c r="AI537">
        <v>0</v>
      </c>
      <c r="AJ537">
        <v>1868.1000000000001</v>
      </c>
      <c r="AK537">
        <v>29694</v>
      </c>
      <c r="AL537">
        <v>0.71700000000000008</v>
      </c>
      <c r="AM537">
        <v>0</v>
      </c>
      <c r="AN537">
        <v>324.49799999999999</v>
      </c>
      <c r="AO537">
        <v>10</v>
      </c>
      <c r="AP537">
        <v>2.415</v>
      </c>
      <c r="AQ537">
        <v>0</v>
      </c>
      <c r="AR537">
        <v>190.59400000000002</v>
      </c>
      <c r="AS537">
        <v>0</v>
      </c>
      <c r="AT537">
        <v>75.76400000000001</v>
      </c>
      <c r="AU537">
        <v>18.141999999999999</v>
      </c>
      <c r="AV537">
        <v>0</v>
      </c>
      <c r="AW537">
        <v>296.79900000000004</v>
      </c>
      <c r="AX537">
        <v>9.1669999999999998</v>
      </c>
      <c r="AY537">
        <v>920.97400000000005</v>
      </c>
      <c r="AZ537">
        <v>0</v>
      </c>
      <c r="BA537">
        <v>50141689</v>
      </c>
      <c r="BB537">
        <v>53232084</v>
      </c>
      <c r="BC537">
        <v>0</v>
      </c>
      <c r="BD537">
        <v>174626</v>
      </c>
      <c r="BE537">
        <v>191630</v>
      </c>
      <c r="BF537">
        <v>426773</v>
      </c>
      <c r="BG537">
        <v>174626</v>
      </c>
      <c r="BH537">
        <v>60517</v>
      </c>
      <c r="BI537">
        <v>0</v>
      </c>
      <c r="BJ537">
        <v>-11997</v>
      </c>
      <c r="BK537">
        <v>0</v>
      </c>
      <c r="BL537">
        <v>4039335687</v>
      </c>
      <c r="BM537">
        <v>0</v>
      </c>
      <c r="BN537">
        <v>33084</v>
      </c>
      <c r="BO537">
        <v>7415</v>
      </c>
      <c r="BP537">
        <v>0</v>
      </c>
      <c r="BQ537">
        <v>0</v>
      </c>
      <c r="BR537">
        <v>0.8952</v>
      </c>
      <c r="BS537">
        <v>0.8952</v>
      </c>
      <c r="BT537">
        <v>0</v>
      </c>
      <c r="BU537">
        <v>0</v>
      </c>
      <c r="BV537">
        <v>531</v>
      </c>
      <c r="BW537">
        <v>2284</v>
      </c>
      <c r="BX537">
        <v>2805</v>
      </c>
      <c r="BY537">
        <v>504</v>
      </c>
      <c r="BZ537">
        <v>1355</v>
      </c>
      <c r="CA537">
        <v>7479</v>
      </c>
      <c r="CB537">
        <v>0</v>
      </c>
      <c r="CC537">
        <v>1907.69</v>
      </c>
      <c r="CD537">
        <v>0</v>
      </c>
      <c r="CE537">
        <v>300</v>
      </c>
      <c r="CF537">
        <v>3248.337</v>
      </c>
      <c r="CG537">
        <v>31.624000000000002</v>
      </c>
      <c r="CH537">
        <v>0</v>
      </c>
      <c r="CI537">
        <v>41</v>
      </c>
      <c r="CJ537">
        <v>9</v>
      </c>
      <c r="CK537">
        <v>2</v>
      </c>
      <c r="CL537">
        <v>31.624000000000002</v>
      </c>
      <c r="CM537">
        <v>1454.5320000000002</v>
      </c>
      <c r="CN537">
        <v>0</v>
      </c>
      <c r="CO537">
        <v>0</v>
      </c>
      <c r="CP537">
        <v>0</v>
      </c>
      <c r="CQ537">
        <v>0</v>
      </c>
      <c r="CR537">
        <v>0</v>
      </c>
      <c r="CS537">
        <v>0</v>
      </c>
      <c r="CT537">
        <v>0</v>
      </c>
      <c r="CU537">
        <v>34.362000000000002</v>
      </c>
      <c r="CV537">
        <v>363.12600000000003</v>
      </c>
      <c r="CW537">
        <v>232.459</v>
      </c>
      <c r="CX537">
        <v>0</v>
      </c>
      <c r="CY537" s="2043">
        <v>2492393</v>
      </c>
      <c r="CZ537" s="2043">
        <v>0</v>
      </c>
      <c r="DA537" s="2043">
        <v>0</v>
      </c>
      <c r="DB537" s="2043">
        <v>0</v>
      </c>
      <c r="DC537" s="2043">
        <v>0</v>
      </c>
      <c r="DI537" t="s">
        <v>3021</v>
      </c>
      <c r="DJ537" t="s">
        <v>3021</v>
      </c>
      <c r="DK537" s="2042">
        <f t="shared" si="10"/>
        <v>0</v>
      </c>
    </row>
    <row r="538" spans="1:115">
      <c r="A538" t="s">
        <v>3022</v>
      </c>
      <c r="B538" t="s">
        <v>2266</v>
      </c>
      <c r="C538">
        <v>5951.6680000000006</v>
      </c>
      <c r="D538">
        <v>6075.0390000000007</v>
      </c>
      <c r="E538">
        <v>536.226</v>
      </c>
      <c r="F538">
        <v>0</v>
      </c>
      <c r="G538" s="2043">
        <v>2411021724</v>
      </c>
      <c r="H538">
        <v>0</v>
      </c>
      <c r="I538" s="2043">
        <v>11439832</v>
      </c>
      <c r="J538">
        <v>297.58300000000003</v>
      </c>
      <c r="K538">
        <v>814</v>
      </c>
      <c r="L538">
        <v>0</v>
      </c>
      <c r="M538">
        <v>2259531</v>
      </c>
      <c r="N538">
        <v>0</v>
      </c>
      <c r="O538">
        <v>2259531</v>
      </c>
      <c r="P538">
        <v>0</v>
      </c>
      <c r="Q538">
        <v>0</v>
      </c>
      <c r="R538" s="2043">
        <v>19557069</v>
      </c>
      <c r="S538">
        <v>1903364</v>
      </c>
      <c r="T538">
        <v>1387077</v>
      </c>
      <c r="U538">
        <v>0.08</v>
      </c>
      <c r="V538">
        <v>0</v>
      </c>
      <c r="W538">
        <v>0</v>
      </c>
      <c r="X538">
        <v>0</v>
      </c>
      <c r="Y538">
        <v>-2223</v>
      </c>
      <c r="Z538">
        <v>0</v>
      </c>
      <c r="AA538">
        <v>0</v>
      </c>
      <c r="AB538">
        <v>5976.9540000000006</v>
      </c>
      <c r="AC538" s="2043">
        <v>1976888211</v>
      </c>
      <c r="AD538">
        <v>11384144</v>
      </c>
      <c r="AE538" s="2043">
        <v>22847510</v>
      </c>
      <c r="AF538">
        <v>0.96030000000000004</v>
      </c>
      <c r="AG538">
        <v>0</v>
      </c>
      <c r="AH538">
        <v>0</v>
      </c>
      <c r="AI538">
        <v>0</v>
      </c>
      <c r="AJ538">
        <v>850.95</v>
      </c>
      <c r="AK538">
        <v>18114</v>
      </c>
      <c r="AL538">
        <v>0.64800000000000002</v>
      </c>
      <c r="AM538">
        <v>0</v>
      </c>
      <c r="AN538">
        <v>140.411</v>
      </c>
      <c r="AO538">
        <v>3</v>
      </c>
      <c r="AP538">
        <v>1.9810000000000001</v>
      </c>
      <c r="AQ538">
        <v>0</v>
      </c>
      <c r="AR538">
        <v>141.20600000000002</v>
      </c>
      <c r="AS538">
        <v>0</v>
      </c>
      <c r="AT538">
        <v>43.88</v>
      </c>
      <c r="AU538">
        <v>13.746</v>
      </c>
      <c r="AV538">
        <v>0</v>
      </c>
      <c r="AW538">
        <v>201.76</v>
      </c>
      <c r="AX538">
        <v>0.29899999999999999</v>
      </c>
      <c r="AY538">
        <v>633.26400000000001</v>
      </c>
      <c r="AZ538">
        <v>0</v>
      </c>
      <c r="BA538">
        <v>35643804</v>
      </c>
      <c r="BB538">
        <v>34231654</v>
      </c>
      <c r="BC538">
        <v>0</v>
      </c>
      <c r="BD538">
        <v>304203</v>
      </c>
      <c r="BE538">
        <v>114929</v>
      </c>
      <c r="BF538">
        <v>477076</v>
      </c>
      <c r="BG538">
        <v>304203</v>
      </c>
      <c r="BH538">
        <v>57944</v>
      </c>
      <c r="BI538">
        <v>0</v>
      </c>
      <c r="BJ538">
        <v>-2223</v>
      </c>
      <c r="BK538">
        <v>0</v>
      </c>
      <c r="BL538">
        <v>2411021724</v>
      </c>
      <c r="BM538">
        <v>0</v>
      </c>
      <c r="BN538">
        <v>22950</v>
      </c>
      <c r="BO538">
        <v>6880</v>
      </c>
      <c r="BP538">
        <v>0</v>
      </c>
      <c r="BQ538">
        <v>0</v>
      </c>
      <c r="BR538">
        <v>0.82200000000000006</v>
      </c>
      <c r="BS538">
        <v>0.82200000000000006</v>
      </c>
      <c r="BT538">
        <v>0</v>
      </c>
      <c r="BU538">
        <v>0</v>
      </c>
      <c r="BV538">
        <v>1433</v>
      </c>
      <c r="BW538">
        <v>276</v>
      </c>
      <c r="BX538">
        <v>1171</v>
      </c>
      <c r="BY538">
        <v>220</v>
      </c>
      <c r="BZ538">
        <v>409</v>
      </c>
      <c r="CA538">
        <v>3509</v>
      </c>
      <c r="CB538">
        <v>0</v>
      </c>
      <c r="CC538">
        <v>429.39700000000005</v>
      </c>
      <c r="CD538">
        <v>78.192999999999998</v>
      </c>
      <c r="CE538">
        <v>355</v>
      </c>
      <c r="CF538">
        <v>1399.9060000000002</v>
      </c>
      <c r="CG538">
        <v>7.9080000000000004</v>
      </c>
      <c r="CH538">
        <v>0</v>
      </c>
      <c r="CI538">
        <v>13</v>
      </c>
      <c r="CJ538">
        <v>33</v>
      </c>
      <c r="CK538">
        <v>0</v>
      </c>
      <c r="CL538">
        <v>7.9080000000000004</v>
      </c>
      <c r="CM538">
        <v>536.226</v>
      </c>
      <c r="CN538">
        <v>0</v>
      </c>
      <c r="CO538">
        <v>0</v>
      </c>
      <c r="CP538">
        <v>0</v>
      </c>
      <c r="CQ538">
        <v>0</v>
      </c>
      <c r="CR538">
        <v>0</v>
      </c>
      <c r="CS538">
        <v>0</v>
      </c>
      <c r="CT538">
        <v>0</v>
      </c>
      <c r="CU538">
        <v>7.343</v>
      </c>
      <c r="CV538">
        <v>347.93299999999999</v>
      </c>
      <c r="CW538">
        <v>167.18800000000002</v>
      </c>
      <c r="CX538">
        <v>0</v>
      </c>
      <c r="CY538" s="2043">
        <v>0</v>
      </c>
      <c r="CZ538" s="2043">
        <v>0</v>
      </c>
      <c r="DA538" s="2043">
        <v>0</v>
      </c>
      <c r="DB538" s="2043">
        <v>0</v>
      </c>
      <c r="DC538" s="2043">
        <v>0</v>
      </c>
      <c r="DI538" t="s">
        <v>3022</v>
      </c>
      <c r="DJ538" t="s">
        <v>3022</v>
      </c>
      <c r="DK538" s="2042">
        <f t="shared" si="10"/>
        <v>0</v>
      </c>
    </row>
    <row r="539" spans="1:115">
      <c r="A539" t="s">
        <v>5066</v>
      </c>
      <c r="B539" t="s">
        <v>2189</v>
      </c>
      <c r="C539">
        <v>107457.931</v>
      </c>
      <c r="D539">
        <v>110219.232</v>
      </c>
      <c r="E539">
        <v>16498.462</v>
      </c>
      <c r="F539">
        <v>0</v>
      </c>
      <c r="G539" s="2043">
        <v>65724522384</v>
      </c>
      <c r="H539">
        <v>0</v>
      </c>
      <c r="I539" s="2043">
        <v>240903663</v>
      </c>
      <c r="J539">
        <v>5372.8969999999999</v>
      </c>
      <c r="K539">
        <v>14689</v>
      </c>
      <c r="L539">
        <v>0</v>
      </c>
      <c r="M539">
        <v>0</v>
      </c>
      <c r="N539">
        <v>0</v>
      </c>
      <c r="O539">
        <v>0</v>
      </c>
      <c r="P539">
        <v>0</v>
      </c>
      <c r="Q539">
        <v>0</v>
      </c>
      <c r="R539" s="2043">
        <v>515767104</v>
      </c>
      <c r="S539">
        <v>29331614</v>
      </c>
      <c r="T539">
        <v>0</v>
      </c>
      <c r="U539">
        <v>0.05</v>
      </c>
      <c r="V539">
        <v>0</v>
      </c>
      <c r="W539">
        <v>0</v>
      </c>
      <c r="X539">
        <v>0</v>
      </c>
      <c r="Y539">
        <v>-36730</v>
      </c>
      <c r="Z539">
        <v>0</v>
      </c>
      <c r="AA539">
        <v>6.6520000000000001</v>
      </c>
      <c r="AB539">
        <v>108386.086</v>
      </c>
      <c r="AC539" s="2043">
        <v>58314352149</v>
      </c>
      <c r="AD539">
        <v>240489600</v>
      </c>
      <c r="AE539" s="2043">
        <v>545098718</v>
      </c>
      <c r="AF539">
        <v>0.92920000000000003</v>
      </c>
      <c r="AG539">
        <v>0</v>
      </c>
      <c r="AH539">
        <v>0</v>
      </c>
      <c r="AI539">
        <v>0</v>
      </c>
      <c r="AJ539">
        <v>16216.512999999999</v>
      </c>
      <c r="AK539">
        <v>297247</v>
      </c>
      <c r="AL539">
        <v>5.048</v>
      </c>
      <c r="AM539">
        <v>0</v>
      </c>
      <c r="AN539">
        <v>4108.74</v>
      </c>
      <c r="AO539">
        <v>0</v>
      </c>
      <c r="AP539">
        <v>43.466999999999999</v>
      </c>
      <c r="AQ539">
        <v>8.3650000000000002</v>
      </c>
      <c r="AR539">
        <v>1423.441</v>
      </c>
      <c r="AS539">
        <v>0</v>
      </c>
      <c r="AT539">
        <v>879.9430000000001</v>
      </c>
      <c r="AU539">
        <v>262.733</v>
      </c>
      <c r="AV539">
        <v>0</v>
      </c>
      <c r="AW539">
        <v>2622.9970000000003</v>
      </c>
      <c r="AX539">
        <v>0</v>
      </c>
      <c r="AY539">
        <v>8366.4179999999997</v>
      </c>
      <c r="AZ539">
        <v>0</v>
      </c>
      <c r="BA539">
        <v>346636070</v>
      </c>
      <c r="BB539">
        <v>785588318</v>
      </c>
      <c r="BC539">
        <v>28256</v>
      </c>
      <c r="BD539">
        <v>4224712</v>
      </c>
      <c r="BE539">
        <v>2252810</v>
      </c>
      <c r="BF539">
        <v>7283098</v>
      </c>
      <c r="BG539">
        <v>4252968</v>
      </c>
      <c r="BH539">
        <v>777320</v>
      </c>
      <c r="BI539">
        <v>-7361</v>
      </c>
      <c r="BJ539">
        <v>-29369</v>
      </c>
      <c r="BK539">
        <v>0</v>
      </c>
      <c r="BL539">
        <v>65724522384</v>
      </c>
      <c r="BM539">
        <v>0</v>
      </c>
      <c r="BN539">
        <v>406854</v>
      </c>
      <c r="BO539">
        <v>296187</v>
      </c>
      <c r="BP539">
        <v>36270</v>
      </c>
      <c r="BQ539">
        <v>0</v>
      </c>
      <c r="BR539">
        <v>0.87920000000000009</v>
      </c>
      <c r="BS539">
        <v>0.87920000000000009</v>
      </c>
      <c r="BT539">
        <v>0</v>
      </c>
      <c r="BU539">
        <v>0</v>
      </c>
      <c r="BV539">
        <v>19585</v>
      </c>
      <c r="BW539">
        <v>24877</v>
      </c>
      <c r="BX539">
        <v>12566</v>
      </c>
      <c r="BY539">
        <v>7310</v>
      </c>
      <c r="BZ539">
        <v>3059</v>
      </c>
      <c r="CA539">
        <v>67397</v>
      </c>
      <c r="CB539">
        <v>0</v>
      </c>
      <c r="CC539">
        <v>0</v>
      </c>
      <c r="CD539">
        <v>0</v>
      </c>
      <c r="CE539">
        <v>3789</v>
      </c>
      <c r="CF539">
        <v>24965.010999999999</v>
      </c>
      <c r="CG539">
        <v>0</v>
      </c>
      <c r="CH539">
        <v>0</v>
      </c>
      <c r="CI539">
        <v>469</v>
      </c>
      <c r="CJ539">
        <v>1371</v>
      </c>
      <c r="CK539">
        <v>16</v>
      </c>
      <c r="CL539">
        <v>0</v>
      </c>
      <c r="CM539">
        <v>16498.462</v>
      </c>
      <c r="CN539">
        <v>0</v>
      </c>
      <c r="CO539">
        <v>15352</v>
      </c>
      <c r="CP539">
        <v>20918</v>
      </c>
      <c r="CQ539">
        <v>0</v>
      </c>
      <c r="CR539">
        <v>0</v>
      </c>
      <c r="CS539">
        <v>0</v>
      </c>
      <c r="CT539">
        <v>0</v>
      </c>
      <c r="CU539">
        <v>275.31700000000001</v>
      </c>
      <c r="CV539">
        <v>4550.67</v>
      </c>
      <c r="CW539">
        <v>2545.1570000000002</v>
      </c>
      <c r="CX539">
        <v>0</v>
      </c>
      <c r="CY539" s="2043">
        <v>0</v>
      </c>
      <c r="CZ539" s="2043">
        <v>0</v>
      </c>
      <c r="DA539" s="2043">
        <v>0</v>
      </c>
      <c r="DB539" s="2043">
        <v>0</v>
      </c>
      <c r="DC539" s="2043">
        <v>0</v>
      </c>
      <c r="DI539" t="s">
        <v>5066</v>
      </c>
      <c r="DJ539" t="s">
        <v>5066</v>
      </c>
      <c r="DK539" s="2042">
        <f t="shared" si="10"/>
        <v>0</v>
      </c>
    </row>
    <row r="540" spans="1:115">
      <c r="A540" t="s">
        <v>5067</v>
      </c>
      <c r="B540" t="s">
        <v>2044</v>
      </c>
      <c r="C540">
        <v>11500.957</v>
      </c>
      <c r="D540">
        <v>11748.736000000001</v>
      </c>
      <c r="E540">
        <v>1339.0140000000001</v>
      </c>
      <c r="F540">
        <v>0</v>
      </c>
      <c r="G540" s="2043">
        <v>11264390394</v>
      </c>
      <c r="H540">
        <v>0</v>
      </c>
      <c r="I540" s="2043">
        <v>28317598</v>
      </c>
      <c r="J540">
        <v>575.048</v>
      </c>
      <c r="K540">
        <v>1572</v>
      </c>
      <c r="L540">
        <v>0</v>
      </c>
      <c r="M540">
        <v>0</v>
      </c>
      <c r="N540">
        <v>0</v>
      </c>
      <c r="O540">
        <v>0</v>
      </c>
      <c r="P540">
        <v>0</v>
      </c>
      <c r="Q540">
        <v>0</v>
      </c>
      <c r="R540" s="2043">
        <v>86873078</v>
      </c>
      <c r="S540">
        <v>7946314</v>
      </c>
      <c r="T540">
        <v>12416116</v>
      </c>
      <c r="U540">
        <v>0.08</v>
      </c>
      <c r="V540">
        <v>0</v>
      </c>
      <c r="W540">
        <v>0</v>
      </c>
      <c r="X540">
        <v>4027899</v>
      </c>
      <c r="Y540">
        <v>16836932</v>
      </c>
      <c r="Z540">
        <v>0</v>
      </c>
      <c r="AA540">
        <v>0.68800000000000006</v>
      </c>
      <c r="AB540">
        <v>11356.691000000001</v>
      </c>
      <c r="AC540" s="2043">
        <v>8764002693</v>
      </c>
      <c r="AD540">
        <v>26818964</v>
      </c>
      <c r="AE540" s="2043">
        <v>107235508</v>
      </c>
      <c r="AF540">
        <v>1.0796000000000001</v>
      </c>
      <c r="AG540">
        <v>0</v>
      </c>
      <c r="AH540">
        <v>4027899</v>
      </c>
      <c r="AI540">
        <v>0</v>
      </c>
      <c r="AJ540">
        <v>1434.1380000000001</v>
      </c>
      <c r="AK540">
        <v>42920</v>
      </c>
      <c r="AL540">
        <v>0.38400000000000001</v>
      </c>
      <c r="AM540">
        <v>0</v>
      </c>
      <c r="AN540">
        <v>639.91700000000003</v>
      </c>
      <c r="AO540">
        <v>4.4000000000000004</v>
      </c>
      <c r="AP540">
        <v>1.6420000000000001</v>
      </c>
      <c r="AQ540">
        <v>0</v>
      </c>
      <c r="AR540">
        <v>232.79</v>
      </c>
      <c r="AS540">
        <v>0</v>
      </c>
      <c r="AT540">
        <v>86.971000000000004</v>
      </c>
      <c r="AU540">
        <v>27.22</v>
      </c>
      <c r="AV540">
        <v>0</v>
      </c>
      <c r="AW540">
        <v>370.75900000000001</v>
      </c>
      <c r="AX540">
        <v>21.752000000000002</v>
      </c>
      <c r="AY540">
        <v>1151.7660000000001</v>
      </c>
      <c r="AZ540">
        <v>0</v>
      </c>
      <c r="BA540">
        <v>25778677</v>
      </c>
      <c r="BB540">
        <v>134054472</v>
      </c>
      <c r="BC540">
        <v>0</v>
      </c>
      <c r="BD540">
        <v>573464</v>
      </c>
      <c r="BE540">
        <v>295909</v>
      </c>
      <c r="BF540">
        <v>1087911</v>
      </c>
      <c r="BG540">
        <v>573464</v>
      </c>
      <c r="BH540">
        <v>218538</v>
      </c>
      <c r="BI540">
        <v>0</v>
      </c>
      <c r="BJ540">
        <v>-12526</v>
      </c>
      <c r="BK540">
        <v>0</v>
      </c>
      <c r="BL540">
        <v>11264390394</v>
      </c>
      <c r="BM540">
        <v>0</v>
      </c>
      <c r="BN540">
        <v>47592</v>
      </c>
      <c r="BO540">
        <v>17580</v>
      </c>
      <c r="BP540">
        <v>0</v>
      </c>
      <c r="BQ540">
        <v>0</v>
      </c>
      <c r="BR540">
        <v>0.87460000000000004</v>
      </c>
      <c r="BS540">
        <v>0.87460000000000004</v>
      </c>
      <c r="BT540">
        <v>16849458</v>
      </c>
      <c r="BU540">
        <v>0</v>
      </c>
      <c r="BV540">
        <v>972</v>
      </c>
      <c r="BW540">
        <v>1942</v>
      </c>
      <c r="BX540">
        <v>1183</v>
      </c>
      <c r="BY540">
        <v>1449</v>
      </c>
      <c r="BZ540">
        <v>284</v>
      </c>
      <c r="CA540">
        <v>5830</v>
      </c>
      <c r="CB540">
        <v>0</v>
      </c>
      <c r="CC540">
        <v>220.78</v>
      </c>
      <c r="CD540">
        <v>241.78400000000002</v>
      </c>
      <c r="CE540">
        <v>866</v>
      </c>
      <c r="CF540">
        <v>2251.6959999999999</v>
      </c>
      <c r="CG540">
        <v>0</v>
      </c>
      <c r="CH540">
        <v>0</v>
      </c>
      <c r="CI540">
        <v>49</v>
      </c>
      <c r="CJ540">
        <v>114</v>
      </c>
      <c r="CK540">
        <v>1</v>
      </c>
      <c r="CL540">
        <v>0</v>
      </c>
      <c r="CM540">
        <v>1339.0140000000001</v>
      </c>
      <c r="CN540">
        <v>0</v>
      </c>
      <c r="CO540">
        <v>0</v>
      </c>
      <c r="CP540">
        <v>0</v>
      </c>
      <c r="CQ540">
        <v>0</v>
      </c>
      <c r="CR540">
        <v>0</v>
      </c>
      <c r="CS540">
        <v>0</v>
      </c>
      <c r="CT540">
        <v>0</v>
      </c>
      <c r="CU540">
        <v>26.588000000000001</v>
      </c>
      <c r="CV540">
        <v>398.05</v>
      </c>
      <c r="CW540">
        <v>321.74900000000002</v>
      </c>
      <c r="CX540">
        <v>16849458</v>
      </c>
      <c r="CY540" s="2043">
        <v>0</v>
      </c>
      <c r="CZ540" s="2043">
        <v>0</v>
      </c>
      <c r="DA540" s="2043">
        <v>0</v>
      </c>
      <c r="DB540" s="2043">
        <v>0</v>
      </c>
      <c r="DC540" s="2043">
        <v>1000000</v>
      </c>
      <c r="DI540" t="s">
        <v>5067</v>
      </c>
      <c r="DJ540" t="s">
        <v>5067</v>
      </c>
      <c r="DK540" s="2042">
        <f t="shared" si="10"/>
        <v>0</v>
      </c>
    </row>
    <row r="541" spans="1:115">
      <c r="A541" t="s">
        <v>3023</v>
      </c>
      <c r="B541" t="s">
        <v>1343</v>
      </c>
      <c r="C541">
        <v>19748.544000000002</v>
      </c>
      <c r="D541">
        <v>20680.121999999999</v>
      </c>
      <c r="E541">
        <v>3913.6730000000002</v>
      </c>
      <c r="F541">
        <v>0</v>
      </c>
      <c r="G541" s="2043">
        <v>10705213222</v>
      </c>
      <c r="H541">
        <v>0</v>
      </c>
      <c r="I541" s="2043">
        <v>33743137</v>
      </c>
      <c r="J541">
        <v>987.42700000000002</v>
      </c>
      <c r="K541">
        <v>2699</v>
      </c>
      <c r="L541">
        <v>0</v>
      </c>
      <c r="M541">
        <v>2591796</v>
      </c>
      <c r="N541">
        <v>0</v>
      </c>
      <c r="O541">
        <v>2591796</v>
      </c>
      <c r="P541">
        <v>0</v>
      </c>
      <c r="Q541">
        <v>0</v>
      </c>
      <c r="R541" s="2043">
        <v>86433721</v>
      </c>
      <c r="S541">
        <v>7570284</v>
      </c>
      <c r="T541">
        <v>12462581</v>
      </c>
      <c r="U541">
        <v>0.08</v>
      </c>
      <c r="V541">
        <v>0</v>
      </c>
      <c r="W541">
        <v>0</v>
      </c>
      <c r="X541">
        <v>0</v>
      </c>
      <c r="Y541">
        <v>5312078</v>
      </c>
      <c r="Z541">
        <v>0</v>
      </c>
      <c r="AA541">
        <v>3.6440000000000001</v>
      </c>
      <c r="AB541">
        <v>20593.441999999999</v>
      </c>
      <c r="AC541" s="2043">
        <v>9225473548</v>
      </c>
      <c r="AD541">
        <v>32162066</v>
      </c>
      <c r="AE541" s="2043">
        <v>106466586</v>
      </c>
      <c r="AF541">
        <v>1.1251</v>
      </c>
      <c r="AG541">
        <v>0</v>
      </c>
      <c r="AH541">
        <v>0</v>
      </c>
      <c r="AI541">
        <v>0</v>
      </c>
      <c r="AJ541">
        <v>4889.0380000000005</v>
      </c>
      <c r="AK541">
        <v>61419</v>
      </c>
      <c r="AL541">
        <v>0.69000000000000006</v>
      </c>
      <c r="AM541">
        <v>0</v>
      </c>
      <c r="AN541">
        <v>660.98200000000008</v>
      </c>
      <c r="AO541">
        <v>3.7</v>
      </c>
      <c r="AP541">
        <v>0.222</v>
      </c>
      <c r="AQ541">
        <v>0</v>
      </c>
      <c r="AR541">
        <v>396.27</v>
      </c>
      <c r="AS541">
        <v>0</v>
      </c>
      <c r="AT541">
        <v>187.14400000000001</v>
      </c>
      <c r="AU541">
        <v>30.62</v>
      </c>
      <c r="AV541">
        <v>0</v>
      </c>
      <c r="AW541">
        <v>631.53899999999999</v>
      </c>
      <c r="AX541">
        <v>16.593</v>
      </c>
      <c r="AY541">
        <v>1945.5550000000001</v>
      </c>
      <c r="AZ541">
        <v>0</v>
      </c>
      <c r="BA541">
        <v>107745636</v>
      </c>
      <c r="BB541">
        <v>138628652</v>
      </c>
      <c r="BC541">
        <v>0</v>
      </c>
      <c r="BD541">
        <v>449931</v>
      </c>
      <c r="BE541">
        <v>515196</v>
      </c>
      <c r="BF541">
        <v>1196134</v>
      </c>
      <c r="BG541">
        <v>449931</v>
      </c>
      <c r="BH541">
        <v>231007</v>
      </c>
      <c r="BI541">
        <v>0</v>
      </c>
      <c r="BJ541">
        <v>-6963</v>
      </c>
      <c r="BK541">
        <v>0</v>
      </c>
      <c r="BL541">
        <v>10705213222</v>
      </c>
      <c r="BM541">
        <v>0</v>
      </c>
      <c r="BN541">
        <v>78498</v>
      </c>
      <c r="BO541">
        <v>34582</v>
      </c>
      <c r="BP541">
        <v>0</v>
      </c>
      <c r="BQ541">
        <v>0</v>
      </c>
      <c r="BR541">
        <v>0.91339999999999999</v>
      </c>
      <c r="BS541">
        <v>0.91339999999999999</v>
      </c>
      <c r="BT541">
        <v>5319041</v>
      </c>
      <c r="BU541">
        <v>0</v>
      </c>
      <c r="BV541">
        <v>1252</v>
      </c>
      <c r="BW541">
        <v>1017</v>
      </c>
      <c r="BX541">
        <v>6292</v>
      </c>
      <c r="BY541">
        <v>4738</v>
      </c>
      <c r="BZ541">
        <v>5633</v>
      </c>
      <c r="CA541">
        <v>18932</v>
      </c>
      <c r="CB541">
        <v>0</v>
      </c>
      <c r="CC541">
        <v>3635.1480000000001</v>
      </c>
      <c r="CD541">
        <v>82.051000000000002</v>
      </c>
      <c r="CE541">
        <v>624</v>
      </c>
      <c r="CF541">
        <v>7433.2750000000005</v>
      </c>
      <c r="CG541">
        <v>0</v>
      </c>
      <c r="CH541">
        <v>0</v>
      </c>
      <c r="CI541">
        <v>40</v>
      </c>
      <c r="CJ541">
        <v>15</v>
      </c>
      <c r="CK541">
        <v>2</v>
      </c>
      <c r="CL541">
        <v>0</v>
      </c>
      <c r="CM541">
        <v>3913.6730000000002</v>
      </c>
      <c r="CN541">
        <v>0</v>
      </c>
      <c r="CO541">
        <v>0</v>
      </c>
      <c r="CP541">
        <v>0</v>
      </c>
      <c r="CQ541">
        <v>0</v>
      </c>
      <c r="CR541">
        <v>0</v>
      </c>
      <c r="CS541">
        <v>0</v>
      </c>
      <c r="CT541">
        <v>0</v>
      </c>
      <c r="CU541">
        <v>68.067999999999998</v>
      </c>
      <c r="CV541">
        <v>1508.328</v>
      </c>
      <c r="CW541">
        <v>850.024</v>
      </c>
      <c r="CX541">
        <v>5319041</v>
      </c>
      <c r="CY541" s="2043">
        <v>0</v>
      </c>
      <c r="CZ541" s="2043">
        <v>0</v>
      </c>
      <c r="DA541" s="2043">
        <v>0</v>
      </c>
      <c r="DB541" s="2043">
        <v>0</v>
      </c>
      <c r="DC541" s="2043">
        <v>0</v>
      </c>
      <c r="DI541" t="s">
        <v>3023</v>
      </c>
      <c r="DJ541" t="s">
        <v>3023</v>
      </c>
      <c r="DK541" s="2042">
        <f t="shared" si="10"/>
        <v>0</v>
      </c>
    </row>
    <row r="542" spans="1:115">
      <c r="A542" t="s">
        <v>5068</v>
      </c>
      <c r="B542" t="s">
        <v>1907</v>
      </c>
      <c r="C542">
        <v>21953.5</v>
      </c>
      <c r="D542">
        <v>22007.5</v>
      </c>
      <c r="E542">
        <v>3486.4810000000002</v>
      </c>
      <c r="F542">
        <v>1639653</v>
      </c>
      <c r="G542" s="2043">
        <v>13688530777</v>
      </c>
      <c r="H542">
        <v>0</v>
      </c>
      <c r="I542" s="2043">
        <v>47639624</v>
      </c>
      <c r="J542">
        <v>1097.675</v>
      </c>
      <c r="K542">
        <v>3001</v>
      </c>
      <c r="L542">
        <v>0</v>
      </c>
      <c r="M542">
        <v>0</v>
      </c>
      <c r="N542">
        <v>0</v>
      </c>
      <c r="O542">
        <v>0</v>
      </c>
      <c r="P542">
        <v>0</v>
      </c>
      <c r="Q542">
        <v>0</v>
      </c>
      <c r="R542" s="2043">
        <v>114629314</v>
      </c>
      <c r="S542">
        <v>10129620</v>
      </c>
      <c r="T542">
        <v>7381961</v>
      </c>
      <c r="U542">
        <v>0.08</v>
      </c>
      <c r="V542">
        <v>859.21100000000001</v>
      </c>
      <c r="W542">
        <v>0</v>
      </c>
      <c r="X542">
        <v>0</v>
      </c>
      <c r="Y542">
        <v>6785707</v>
      </c>
      <c r="Z542">
        <v>1.9710000000000001</v>
      </c>
      <c r="AA542">
        <v>2.2629999999999999</v>
      </c>
      <c r="AB542">
        <v>21311.175999999999</v>
      </c>
      <c r="AC542" s="2043">
        <v>11893355216</v>
      </c>
      <c r="AD542">
        <v>49092643</v>
      </c>
      <c r="AE542" s="2043">
        <v>132140895</v>
      </c>
      <c r="AF542">
        <v>1.0436000000000001</v>
      </c>
      <c r="AG542">
        <v>0</v>
      </c>
      <c r="AH542">
        <v>0</v>
      </c>
      <c r="AI542">
        <v>0</v>
      </c>
      <c r="AJ542">
        <v>4270.625</v>
      </c>
      <c r="AK542">
        <v>82936</v>
      </c>
      <c r="AL542">
        <v>2.3839999999999999</v>
      </c>
      <c r="AM542">
        <v>0</v>
      </c>
      <c r="AN542">
        <v>831.38100000000009</v>
      </c>
      <c r="AO542">
        <v>21.5</v>
      </c>
      <c r="AP542">
        <v>6.5940000000000003</v>
      </c>
      <c r="AQ542">
        <v>0</v>
      </c>
      <c r="AR542">
        <v>514.601</v>
      </c>
      <c r="AS542">
        <v>0</v>
      </c>
      <c r="AT542">
        <v>284.68400000000003</v>
      </c>
      <c r="AU542">
        <v>46.817</v>
      </c>
      <c r="AV542">
        <v>0</v>
      </c>
      <c r="AW542">
        <v>858.45</v>
      </c>
      <c r="AX542">
        <v>3.37</v>
      </c>
      <c r="AY542">
        <v>2669.415</v>
      </c>
      <c r="AZ542">
        <v>0</v>
      </c>
      <c r="BA542">
        <v>90009204</v>
      </c>
      <c r="BB542">
        <v>181233538</v>
      </c>
      <c r="BC542">
        <v>726</v>
      </c>
      <c r="BD542">
        <v>0</v>
      </c>
      <c r="BE542">
        <v>0</v>
      </c>
      <c r="BF542">
        <v>306509</v>
      </c>
      <c r="BG542">
        <v>726</v>
      </c>
      <c r="BH542">
        <v>305783</v>
      </c>
      <c r="BI542">
        <v>-8579</v>
      </c>
      <c r="BJ542">
        <v>0</v>
      </c>
      <c r="BK542">
        <v>0</v>
      </c>
      <c r="BL542">
        <v>13688530777</v>
      </c>
      <c r="BM542">
        <v>0</v>
      </c>
      <c r="BN542">
        <v>77625</v>
      </c>
      <c r="BO542">
        <v>28804</v>
      </c>
      <c r="BP542">
        <v>0</v>
      </c>
      <c r="BQ542">
        <v>0</v>
      </c>
      <c r="BR542">
        <v>0.90529999999999999</v>
      </c>
      <c r="BS542">
        <v>0.90529999999999999</v>
      </c>
      <c r="BT542">
        <v>5154633</v>
      </c>
      <c r="BU542">
        <v>0</v>
      </c>
      <c r="BV542">
        <v>4353</v>
      </c>
      <c r="BW542">
        <v>1429</v>
      </c>
      <c r="BX542">
        <v>4406</v>
      </c>
      <c r="BY542">
        <v>3445</v>
      </c>
      <c r="BZ542">
        <v>3440</v>
      </c>
      <c r="CA542">
        <v>17073</v>
      </c>
      <c r="CB542">
        <v>0</v>
      </c>
      <c r="CC542">
        <v>804.43400000000008</v>
      </c>
      <c r="CD542">
        <v>103.989</v>
      </c>
      <c r="CE542">
        <v>1666</v>
      </c>
      <c r="CF542">
        <v>5875.2210000000005</v>
      </c>
      <c r="CG542">
        <v>106.51100000000001</v>
      </c>
      <c r="CH542">
        <v>0</v>
      </c>
      <c r="CI542">
        <v>120</v>
      </c>
      <c r="CJ542">
        <v>130</v>
      </c>
      <c r="CK542">
        <v>3</v>
      </c>
      <c r="CL542">
        <v>106.51100000000001</v>
      </c>
      <c r="CM542">
        <v>3486.4810000000002</v>
      </c>
      <c r="CN542">
        <v>0</v>
      </c>
      <c r="CO542">
        <v>0</v>
      </c>
      <c r="CP542">
        <v>0</v>
      </c>
      <c r="CQ542">
        <v>0</v>
      </c>
      <c r="CR542">
        <v>0</v>
      </c>
      <c r="CS542">
        <v>417.32900000000001</v>
      </c>
      <c r="CT542">
        <v>0</v>
      </c>
      <c r="CU542">
        <v>20.501000000000001</v>
      </c>
      <c r="CV542">
        <v>1087.769</v>
      </c>
      <c r="CW542">
        <v>716.31200000000001</v>
      </c>
      <c r="CX542">
        <v>5154633</v>
      </c>
      <c r="CY542" s="2043">
        <v>0</v>
      </c>
      <c r="CZ542" s="2043">
        <v>0</v>
      </c>
      <c r="DA542" s="2043">
        <v>0</v>
      </c>
      <c r="DB542" s="2043">
        <v>1639653</v>
      </c>
      <c r="DC542" s="2043">
        <v>0</v>
      </c>
      <c r="DI542" t="s">
        <v>5068</v>
      </c>
      <c r="DJ542" t="s">
        <v>5068</v>
      </c>
      <c r="DK542" s="2042">
        <f t="shared" si="10"/>
        <v>0</v>
      </c>
    </row>
    <row r="543" spans="1:115">
      <c r="A543" t="s">
        <v>5069</v>
      </c>
      <c r="B543" t="s">
        <v>2411</v>
      </c>
      <c r="C543">
        <v>173776.60699999999</v>
      </c>
      <c r="D543">
        <v>187467.06899999999</v>
      </c>
      <c r="E543">
        <v>52323.582000000002</v>
      </c>
      <c r="F543">
        <v>0</v>
      </c>
      <c r="G543" s="2043">
        <v>203490915025</v>
      </c>
      <c r="H543">
        <v>0</v>
      </c>
      <c r="I543" s="2043">
        <v>247241513</v>
      </c>
      <c r="J543">
        <v>8688.83</v>
      </c>
      <c r="K543">
        <v>23754</v>
      </c>
      <c r="L543">
        <v>0</v>
      </c>
      <c r="M543">
        <v>0</v>
      </c>
      <c r="N543">
        <v>0</v>
      </c>
      <c r="O543">
        <v>0</v>
      </c>
      <c r="P543">
        <v>0</v>
      </c>
      <c r="Q543">
        <v>0</v>
      </c>
      <c r="R543" s="2043">
        <v>1622331467</v>
      </c>
      <c r="S543">
        <v>92419475</v>
      </c>
      <c r="T543">
        <v>0</v>
      </c>
      <c r="U543">
        <v>0.05</v>
      </c>
      <c r="V543">
        <v>3127.4080000000004</v>
      </c>
      <c r="W543">
        <v>184137127</v>
      </c>
      <c r="X543">
        <v>0</v>
      </c>
      <c r="Y543">
        <v>13942069</v>
      </c>
      <c r="Z543">
        <v>0.99399999999999999</v>
      </c>
      <c r="AA543">
        <v>13.92</v>
      </c>
      <c r="AB543">
        <v>177206.58600000001</v>
      </c>
      <c r="AC543" s="2043">
        <v>186919172921</v>
      </c>
      <c r="AD543">
        <v>316568382</v>
      </c>
      <c r="AE543" s="2043">
        <v>1714750942</v>
      </c>
      <c r="AF543">
        <v>0.92770000000000008</v>
      </c>
      <c r="AG543">
        <v>46923907</v>
      </c>
      <c r="AH543">
        <v>184137127</v>
      </c>
      <c r="AI543">
        <v>0</v>
      </c>
      <c r="AJ543">
        <v>39988.137999999999</v>
      </c>
      <c r="AK543">
        <v>412227</v>
      </c>
      <c r="AL543">
        <v>3.8720000000000003</v>
      </c>
      <c r="AM543">
        <v>1.387</v>
      </c>
      <c r="AN543">
        <v>5761.6990000000005</v>
      </c>
      <c r="AO543">
        <v>83.7</v>
      </c>
      <c r="AP543">
        <v>63.181000000000004</v>
      </c>
      <c r="AQ543">
        <v>11.591000000000001</v>
      </c>
      <c r="AR543">
        <v>1612.846</v>
      </c>
      <c r="AS543">
        <v>0</v>
      </c>
      <c r="AT543">
        <v>1655.24</v>
      </c>
      <c r="AU543">
        <v>277.78100000000001</v>
      </c>
      <c r="AV543">
        <v>0</v>
      </c>
      <c r="AW543">
        <v>3625.8980000000001</v>
      </c>
      <c r="AX543">
        <v>0</v>
      </c>
      <c r="AY543">
        <v>11387.273000000001</v>
      </c>
      <c r="AZ543">
        <v>14201844</v>
      </c>
      <c r="BA543">
        <v>129814292</v>
      </c>
      <c r="BB543">
        <v>2031319324</v>
      </c>
      <c r="BC543">
        <v>0</v>
      </c>
      <c r="BD543">
        <v>6029097</v>
      </c>
      <c r="BE543">
        <v>3346211</v>
      </c>
      <c r="BF543">
        <v>9470576</v>
      </c>
      <c r="BG543">
        <v>6029097</v>
      </c>
      <c r="BH543">
        <v>95268</v>
      </c>
      <c r="BI543">
        <v>-61601</v>
      </c>
      <c r="BJ543">
        <v>-198174</v>
      </c>
      <c r="BK543">
        <v>0</v>
      </c>
      <c r="BL543">
        <v>203490915025</v>
      </c>
      <c r="BM543">
        <v>0</v>
      </c>
      <c r="BN543">
        <v>617409</v>
      </c>
      <c r="BO543">
        <v>341512</v>
      </c>
      <c r="BP543">
        <v>58535</v>
      </c>
      <c r="BQ543">
        <v>0</v>
      </c>
      <c r="BR543">
        <v>0.87770000000000004</v>
      </c>
      <c r="BS543">
        <v>0.87770000000000004</v>
      </c>
      <c r="BT543">
        <v>0</v>
      </c>
      <c r="BU543">
        <v>0</v>
      </c>
      <c r="BV543">
        <v>14127</v>
      </c>
      <c r="BW543">
        <v>13851</v>
      </c>
      <c r="BX543">
        <v>23263</v>
      </c>
      <c r="BY543">
        <v>37212</v>
      </c>
      <c r="BZ543">
        <v>65222</v>
      </c>
      <c r="CA543">
        <v>153675</v>
      </c>
      <c r="CB543">
        <v>29</v>
      </c>
      <c r="CC543">
        <v>6090.5680000000002</v>
      </c>
      <c r="CD543">
        <v>3420.9570000000003</v>
      </c>
      <c r="CE543">
        <v>4490</v>
      </c>
      <c r="CF543">
        <v>66391.42</v>
      </c>
      <c r="CG543">
        <v>555.41399999999999</v>
      </c>
      <c r="CH543">
        <v>14.745000000000001</v>
      </c>
      <c r="CI543">
        <v>987</v>
      </c>
      <c r="CJ543">
        <v>630</v>
      </c>
      <c r="CK543">
        <v>19</v>
      </c>
      <c r="CL543">
        <v>570.15899999999999</v>
      </c>
      <c r="CM543">
        <v>52323.582000000002</v>
      </c>
      <c r="CN543">
        <v>0</v>
      </c>
      <c r="CO543">
        <v>0</v>
      </c>
      <c r="CP543">
        <v>56635</v>
      </c>
      <c r="CQ543">
        <v>1900</v>
      </c>
      <c r="CR543">
        <v>0</v>
      </c>
      <c r="CS543">
        <v>0</v>
      </c>
      <c r="CT543">
        <v>0</v>
      </c>
      <c r="CU543">
        <v>150.24600000000001</v>
      </c>
      <c r="CV543">
        <v>4469.857</v>
      </c>
      <c r="CW543">
        <v>3413.2380000000003</v>
      </c>
      <c r="CX543">
        <v>0</v>
      </c>
      <c r="CY543" s="2043">
        <v>0</v>
      </c>
      <c r="CZ543" s="2043">
        <v>46923907</v>
      </c>
      <c r="DA543" s="2043">
        <v>0</v>
      </c>
      <c r="DB543" s="2043">
        <v>0</v>
      </c>
      <c r="DC543" s="2043">
        <v>15995327</v>
      </c>
      <c r="DI543" t="s">
        <v>5069</v>
      </c>
      <c r="DJ543" t="s">
        <v>5069</v>
      </c>
      <c r="DK543" s="2042">
        <f t="shared" si="10"/>
        <v>0</v>
      </c>
    </row>
    <row r="544" spans="1:115">
      <c r="A544" t="s">
        <v>3024</v>
      </c>
      <c r="B544" t="s">
        <v>1052</v>
      </c>
      <c r="C544">
        <v>44165.978999999999</v>
      </c>
      <c r="D544">
        <v>44084.097000000002</v>
      </c>
      <c r="E544">
        <v>4184.6050000000005</v>
      </c>
      <c r="F544">
        <v>0</v>
      </c>
      <c r="G544" s="2043">
        <v>19043226340</v>
      </c>
      <c r="H544">
        <v>0</v>
      </c>
      <c r="I544" s="2043">
        <v>72626400</v>
      </c>
      <c r="J544">
        <v>2208.299</v>
      </c>
      <c r="K544">
        <v>6037</v>
      </c>
      <c r="L544">
        <v>0</v>
      </c>
      <c r="M544">
        <v>2814850</v>
      </c>
      <c r="N544">
        <v>0</v>
      </c>
      <c r="O544">
        <v>2814850</v>
      </c>
      <c r="P544">
        <v>0</v>
      </c>
      <c r="Q544">
        <v>0</v>
      </c>
      <c r="R544" s="2043">
        <v>158034822</v>
      </c>
      <c r="S544">
        <v>14863374</v>
      </c>
      <c r="T544">
        <v>10831683</v>
      </c>
      <c r="U544">
        <v>0.08</v>
      </c>
      <c r="V544">
        <v>1252.684</v>
      </c>
      <c r="W544">
        <v>0</v>
      </c>
      <c r="X544">
        <v>0</v>
      </c>
      <c r="Y544">
        <v>3110732</v>
      </c>
      <c r="Z544">
        <v>0</v>
      </c>
      <c r="AA544">
        <v>2.6240000000000001</v>
      </c>
      <c r="AB544">
        <v>43392.637000000002</v>
      </c>
      <c r="AC544" s="2043">
        <v>15867227596</v>
      </c>
      <c r="AD544">
        <v>67780354</v>
      </c>
      <c r="AE544" s="2043">
        <v>183729879</v>
      </c>
      <c r="AF544">
        <v>0.9889</v>
      </c>
      <c r="AG544">
        <v>7849298</v>
      </c>
      <c r="AH544">
        <v>0</v>
      </c>
      <c r="AI544">
        <v>0</v>
      </c>
      <c r="AJ544">
        <v>4734.7880000000005</v>
      </c>
      <c r="AK544">
        <v>122091</v>
      </c>
      <c r="AL544">
        <v>0.41700000000000004</v>
      </c>
      <c r="AM544">
        <v>0</v>
      </c>
      <c r="AN544">
        <v>1517.2260000000001</v>
      </c>
      <c r="AO544">
        <v>0</v>
      </c>
      <c r="AP544">
        <v>90.344000000000008</v>
      </c>
      <c r="AQ544">
        <v>0</v>
      </c>
      <c r="AR544">
        <v>644.06000000000006</v>
      </c>
      <c r="AS544">
        <v>0</v>
      </c>
      <c r="AT544">
        <v>324.00400000000002</v>
      </c>
      <c r="AU544">
        <v>97.987000000000009</v>
      </c>
      <c r="AV544">
        <v>0</v>
      </c>
      <c r="AW544">
        <v>1159.4160000000002</v>
      </c>
      <c r="AX544">
        <v>2.6040000000000001</v>
      </c>
      <c r="AY544">
        <v>3646.13</v>
      </c>
      <c r="AZ544">
        <v>3122822</v>
      </c>
      <c r="BA544">
        <v>240658581</v>
      </c>
      <c r="BB544">
        <v>251510233</v>
      </c>
      <c r="BC544">
        <v>0</v>
      </c>
      <c r="BD544">
        <v>1220927</v>
      </c>
      <c r="BE544">
        <v>832202</v>
      </c>
      <c r="BF544">
        <v>3209781</v>
      </c>
      <c r="BG544">
        <v>1220927</v>
      </c>
      <c r="BH544">
        <v>1156652</v>
      </c>
      <c r="BI544">
        <v>-6045</v>
      </c>
      <c r="BJ544">
        <v>-6045</v>
      </c>
      <c r="BK544">
        <v>0</v>
      </c>
      <c r="BL544">
        <v>19043226340</v>
      </c>
      <c r="BM544">
        <v>0</v>
      </c>
      <c r="BN544">
        <v>167949</v>
      </c>
      <c r="BO544">
        <v>84744</v>
      </c>
      <c r="BP544">
        <v>26282</v>
      </c>
      <c r="BQ544">
        <v>0</v>
      </c>
      <c r="BR544">
        <v>0.85060000000000002</v>
      </c>
      <c r="BS544">
        <v>0.85060000000000002</v>
      </c>
      <c r="BT544">
        <v>0</v>
      </c>
      <c r="BU544">
        <v>0</v>
      </c>
      <c r="BV544">
        <v>10875</v>
      </c>
      <c r="BW544">
        <v>3758</v>
      </c>
      <c r="BX544">
        <v>3108</v>
      </c>
      <c r="BY544">
        <v>997</v>
      </c>
      <c r="BZ544">
        <v>1297</v>
      </c>
      <c r="CA544">
        <v>20035</v>
      </c>
      <c r="CB544">
        <v>0</v>
      </c>
      <c r="CC544">
        <v>233.32500000000002</v>
      </c>
      <c r="CD544">
        <v>103.84700000000001</v>
      </c>
      <c r="CE544">
        <v>3705</v>
      </c>
      <c r="CF544">
        <v>7237.2640000000001</v>
      </c>
      <c r="CG544">
        <v>0</v>
      </c>
      <c r="CH544">
        <v>7.1150000000000002</v>
      </c>
      <c r="CI544">
        <v>78</v>
      </c>
      <c r="CJ544">
        <v>526</v>
      </c>
      <c r="CK544">
        <v>7</v>
      </c>
      <c r="CL544">
        <v>7.1150000000000002</v>
      </c>
      <c r="CM544">
        <v>4184.6050000000005</v>
      </c>
      <c r="CN544">
        <v>0</v>
      </c>
      <c r="CO544">
        <v>0</v>
      </c>
      <c r="CP544">
        <v>23287</v>
      </c>
      <c r="CQ544">
        <v>2995</v>
      </c>
      <c r="CR544">
        <v>0</v>
      </c>
      <c r="CS544">
        <v>0</v>
      </c>
      <c r="CT544">
        <v>0</v>
      </c>
      <c r="CU544">
        <v>147.328</v>
      </c>
      <c r="CV544">
        <v>1796.0020000000002</v>
      </c>
      <c r="CW544">
        <v>800.77100000000007</v>
      </c>
      <c r="CX544">
        <v>0</v>
      </c>
      <c r="CY544" s="2043">
        <v>0</v>
      </c>
      <c r="CZ544" s="2043">
        <v>7849298</v>
      </c>
      <c r="DA544" s="2043">
        <v>0</v>
      </c>
      <c r="DB544" s="2043">
        <v>0</v>
      </c>
      <c r="DC544" s="2043">
        <v>0</v>
      </c>
      <c r="DI544" t="s">
        <v>3024</v>
      </c>
      <c r="DJ544" t="s">
        <v>3024</v>
      </c>
      <c r="DK544" s="2042">
        <f t="shared" si="10"/>
        <v>0</v>
      </c>
    </row>
    <row r="545" spans="1:115">
      <c r="A545" t="s">
        <v>3025</v>
      </c>
      <c r="B545" t="s">
        <v>46</v>
      </c>
      <c r="C545">
        <v>83530.296000000002</v>
      </c>
      <c r="D545">
        <v>82059.554999999993</v>
      </c>
      <c r="E545">
        <v>12538.179</v>
      </c>
      <c r="F545">
        <v>0</v>
      </c>
      <c r="G545" s="2043">
        <v>47249247548</v>
      </c>
      <c r="H545">
        <v>0</v>
      </c>
      <c r="I545" s="2043">
        <v>140575683</v>
      </c>
      <c r="J545">
        <v>4176.5150000000003</v>
      </c>
      <c r="K545">
        <v>11418</v>
      </c>
      <c r="L545">
        <v>0</v>
      </c>
      <c r="M545">
        <v>11613632</v>
      </c>
      <c r="N545">
        <v>0</v>
      </c>
      <c r="O545">
        <v>11613632</v>
      </c>
      <c r="P545">
        <v>0</v>
      </c>
      <c r="Q545">
        <v>0</v>
      </c>
      <c r="R545" s="2043">
        <v>389430633</v>
      </c>
      <c r="S545">
        <v>36587728</v>
      </c>
      <c r="T545">
        <v>13811868</v>
      </c>
      <c r="U545">
        <v>0.08</v>
      </c>
      <c r="V545">
        <v>1569.674</v>
      </c>
      <c r="W545">
        <v>0</v>
      </c>
      <c r="X545">
        <v>0</v>
      </c>
      <c r="Y545">
        <v>2380843</v>
      </c>
      <c r="Z545">
        <v>0</v>
      </c>
      <c r="AA545">
        <v>2.948</v>
      </c>
      <c r="AB545">
        <v>81627.67</v>
      </c>
      <c r="AC545" s="2043">
        <v>41035812109</v>
      </c>
      <c r="AD545">
        <v>179738353</v>
      </c>
      <c r="AE545" s="2043">
        <v>439830229</v>
      </c>
      <c r="AF545">
        <v>0.9617</v>
      </c>
      <c r="AG545">
        <v>2938842</v>
      </c>
      <c r="AH545">
        <v>0</v>
      </c>
      <c r="AI545">
        <v>0</v>
      </c>
      <c r="AJ545">
        <v>8134.6630000000005</v>
      </c>
      <c r="AK545">
        <v>315144</v>
      </c>
      <c r="AL545">
        <v>5.883</v>
      </c>
      <c r="AM545">
        <v>0</v>
      </c>
      <c r="AN545">
        <v>5289.6</v>
      </c>
      <c r="AO545">
        <v>3.8000000000000003</v>
      </c>
      <c r="AP545">
        <v>11.707000000000001</v>
      </c>
      <c r="AQ545">
        <v>3.718</v>
      </c>
      <c r="AR545">
        <v>1331.367</v>
      </c>
      <c r="AS545">
        <v>0</v>
      </c>
      <c r="AT545">
        <v>749.80000000000007</v>
      </c>
      <c r="AU545">
        <v>263.447</v>
      </c>
      <c r="AV545">
        <v>0</v>
      </c>
      <c r="AW545">
        <v>2448.1030000000001</v>
      </c>
      <c r="AX545">
        <v>82.180999999999997</v>
      </c>
      <c r="AY545">
        <v>7810.7760000000007</v>
      </c>
      <c r="AZ545">
        <v>2380843</v>
      </c>
      <c r="BA545">
        <v>371306179</v>
      </c>
      <c r="BB545">
        <v>619568582</v>
      </c>
      <c r="BC545">
        <v>27950</v>
      </c>
      <c r="BD545">
        <v>2153382</v>
      </c>
      <c r="BE545">
        <v>1845878</v>
      </c>
      <c r="BF545">
        <v>4432550</v>
      </c>
      <c r="BG545">
        <v>2181332</v>
      </c>
      <c r="BH545">
        <v>405340</v>
      </c>
      <c r="BI545">
        <v>0</v>
      </c>
      <c r="BJ545">
        <v>0</v>
      </c>
      <c r="BK545">
        <v>0</v>
      </c>
      <c r="BL545">
        <v>47249247548</v>
      </c>
      <c r="BM545">
        <v>0</v>
      </c>
      <c r="BN545">
        <v>298008</v>
      </c>
      <c r="BO545">
        <v>73070</v>
      </c>
      <c r="BP545">
        <v>27923</v>
      </c>
      <c r="BQ545">
        <v>0</v>
      </c>
      <c r="BR545">
        <v>0.85150000000000003</v>
      </c>
      <c r="BS545">
        <v>0.85150000000000003</v>
      </c>
      <c r="BT545">
        <v>0</v>
      </c>
      <c r="BU545">
        <v>0</v>
      </c>
      <c r="BV545">
        <v>21688</v>
      </c>
      <c r="BW545">
        <v>9457</v>
      </c>
      <c r="BX545">
        <v>2878</v>
      </c>
      <c r="BY545">
        <v>526</v>
      </c>
      <c r="BZ545">
        <v>550</v>
      </c>
      <c r="CA545">
        <v>35099</v>
      </c>
      <c r="CB545">
        <v>0</v>
      </c>
      <c r="CC545">
        <v>3867.96</v>
      </c>
      <c r="CD545">
        <v>49.877000000000002</v>
      </c>
      <c r="CE545">
        <v>6269</v>
      </c>
      <c r="CF545">
        <v>16463.279000000002</v>
      </c>
      <c r="CG545">
        <v>0</v>
      </c>
      <c r="CH545">
        <v>5.9330000000000007</v>
      </c>
      <c r="CI545">
        <v>375</v>
      </c>
      <c r="CJ545">
        <v>1748</v>
      </c>
      <c r="CK545">
        <v>35</v>
      </c>
      <c r="CL545">
        <v>5.9330000000000007</v>
      </c>
      <c r="CM545">
        <v>12538.179</v>
      </c>
      <c r="CN545">
        <v>0</v>
      </c>
      <c r="CO545">
        <v>8272</v>
      </c>
      <c r="CP545">
        <v>19651</v>
      </c>
      <c r="CQ545">
        <v>0</v>
      </c>
      <c r="CR545">
        <v>0</v>
      </c>
      <c r="CS545">
        <v>0</v>
      </c>
      <c r="CT545">
        <v>0</v>
      </c>
      <c r="CU545">
        <v>145.71700000000001</v>
      </c>
      <c r="CV545">
        <v>2664.6780000000003</v>
      </c>
      <c r="CW545">
        <v>1880.885</v>
      </c>
      <c r="CX545">
        <v>0</v>
      </c>
      <c r="CY545" s="2043">
        <v>0</v>
      </c>
      <c r="CZ545" s="2043">
        <v>2938842</v>
      </c>
      <c r="DA545" s="2043">
        <v>0</v>
      </c>
      <c r="DB545" s="2043">
        <v>0</v>
      </c>
      <c r="DC545" s="2043">
        <v>0</v>
      </c>
      <c r="DI545" t="s">
        <v>3025</v>
      </c>
      <c r="DJ545" t="s">
        <v>3025</v>
      </c>
      <c r="DK545" s="2042">
        <f t="shared" si="10"/>
        <v>0</v>
      </c>
    </row>
    <row r="546" spans="1:115">
      <c r="A546" t="s">
        <v>5070</v>
      </c>
      <c r="B546" t="s">
        <v>2412</v>
      </c>
      <c r="C546">
        <v>6339.3280000000004</v>
      </c>
      <c r="D546">
        <v>6451.1140000000005</v>
      </c>
      <c r="E546">
        <v>669.529</v>
      </c>
      <c r="F546">
        <v>543706</v>
      </c>
      <c r="G546" s="2043">
        <v>11892392296</v>
      </c>
      <c r="H546">
        <v>0</v>
      </c>
      <c r="I546" s="2043">
        <v>27005948</v>
      </c>
      <c r="J546">
        <v>316.96600000000001</v>
      </c>
      <c r="K546">
        <v>867</v>
      </c>
      <c r="L546">
        <v>0</v>
      </c>
      <c r="M546">
        <v>0</v>
      </c>
      <c r="N546">
        <v>0</v>
      </c>
      <c r="O546">
        <v>0</v>
      </c>
      <c r="P546">
        <v>0</v>
      </c>
      <c r="Q546">
        <v>0</v>
      </c>
      <c r="R546" s="2043">
        <v>91660335</v>
      </c>
      <c r="S546">
        <v>8662524</v>
      </c>
      <c r="T546">
        <v>9745340</v>
      </c>
      <c r="U546">
        <v>0.08</v>
      </c>
      <c r="V546">
        <v>0</v>
      </c>
      <c r="W546">
        <v>42084322</v>
      </c>
      <c r="X546">
        <v>6343001</v>
      </c>
      <c r="Y546">
        <v>543706</v>
      </c>
      <c r="Z546">
        <v>0</v>
      </c>
      <c r="AA546">
        <v>0</v>
      </c>
      <c r="AB546">
        <v>6331.6019999999999</v>
      </c>
      <c r="AC546" s="2043">
        <v>9947721282</v>
      </c>
      <c r="AD546">
        <v>29153745</v>
      </c>
      <c r="AE546" s="2043">
        <v>110068199</v>
      </c>
      <c r="AF546">
        <v>1.0165</v>
      </c>
      <c r="AG546">
        <v>4355156</v>
      </c>
      <c r="AH546">
        <v>48427323</v>
      </c>
      <c r="AI546">
        <v>0</v>
      </c>
      <c r="AJ546">
        <v>863.61300000000006</v>
      </c>
      <c r="AK546">
        <v>22609</v>
      </c>
      <c r="AL546">
        <v>0.57300000000000006</v>
      </c>
      <c r="AM546">
        <v>0</v>
      </c>
      <c r="AN546">
        <v>253.02800000000002</v>
      </c>
      <c r="AO546">
        <v>11</v>
      </c>
      <c r="AP546">
        <v>2.9040000000000004</v>
      </c>
      <c r="AQ546">
        <v>0</v>
      </c>
      <c r="AR546">
        <v>142.96200000000002</v>
      </c>
      <c r="AS546">
        <v>0</v>
      </c>
      <c r="AT546">
        <v>60.795000000000002</v>
      </c>
      <c r="AU546">
        <v>12.419</v>
      </c>
      <c r="AV546">
        <v>0</v>
      </c>
      <c r="AW546">
        <v>221.62200000000001</v>
      </c>
      <c r="AX546">
        <v>1.9690000000000001</v>
      </c>
      <c r="AY546">
        <v>688.601</v>
      </c>
      <c r="AZ546">
        <v>0</v>
      </c>
      <c r="BA546">
        <v>4035452</v>
      </c>
      <c r="BB546">
        <v>139221944</v>
      </c>
      <c r="BC546">
        <v>0</v>
      </c>
      <c r="BD546">
        <v>448272</v>
      </c>
      <c r="BE546">
        <v>0</v>
      </c>
      <c r="BF546">
        <v>448272</v>
      </c>
      <c r="BG546">
        <v>448272</v>
      </c>
      <c r="BH546">
        <v>0</v>
      </c>
      <c r="BI546">
        <v>0</v>
      </c>
      <c r="BJ546">
        <v>0</v>
      </c>
      <c r="BK546">
        <v>0</v>
      </c>
      <c r="BL546">
        <v>11892392296</v>
      </c>
      <c r="BM546">
        <v>0</v>
      </c>
      <c r="BN546">
        <v>22806</v>
      </c>
      <c r="BO546">
        <v>12487</v>
      </c>
      <c r="BP546">
        <v>0</v>
      </c>
      <c r="BQ546">
        <v>0</v>
      </c>
      <c r="BR546">
        <v>0.84650000000000003</v>
      </c>
      <c r="BS546">
        <v>0.84650000000000003</v>
      </c>
      <c r="BT546">
        <v>0</v>
      </c>
      <c r="BU546">
        <v>0</v>
      </c>
      <c r="BV546">
        <v>1966</v>
      </c>
      <c r="BW546">
        <v>686</v>
      </c>
      <c r="BX546">
        <v>649</v>
      </c>
      <c r="BY546">
        <v>13</v>
      </c>
      <c r="BZ546">
        <v>337</v>
      </c>
      <c r="CA546">
        <v>3651</v>
      </c>
      <c r="CB546">
        <v>0</v>
      </c>
      <c r="CC546">
        <v>25.126000000000001</v>
      </c>
      <c r="CD546">
        <v>38.499000000000002</v>
      </c>
      <c r="CE546">
        <v>396</v>
      </c>
      <c r="CF546">
        <v>1282.4170000000001</v>
      </c>
      <c r="CG546">
        <v>129.03200000000001</v>
      </c>
      <c r="CH546">
        <v>0</v>
      </c>
      <c r="CI546">
        <v>20</v>
      </c>
      <c r="CJ546">
        <v>49</v>
      </c>
      <c r="CK546">
        <v>1</v>
      </c>
      <c r="CL546">
        <v>129.03200000000001</v>
      </c>
      <c r="CM546">
        <v>669.529</v>
      </c>
      <c r="CN546">
        <v>0</v>
      </c>
      <c r="CO546">
        <v>0</v>
      </c>
      <c r="CP546">
        <v>0</v>
      </c>
      <c r="CQ546">
        <v>0</v>
      </c>
      <c r="CR546">
        <v>0</v>
      </c>
      <c r="CS546">
        <v>0</v>
      </c>
      <c r="CT546">
        <v>0</v>
      </c>
      <c r="CU546">
        <v>0.28100000000000003</v>
      </c>
      <c r="CV546">
        <v>208.21200000000002</v>
      </c>
      <c r="CW546">
        <v>139.25300000000001</v>
      </c>
      <c r="CX546">
        <v>0</v>
      </c>
      <c r="CY546" s="2043">
        <v>0</v>
      </c>
      <c r="CZ546" s="2043">
        <v>4355156</v>
      </c>
      <c r="DA546" s="2043">
        <v>0</v>
      </c>
      <c r="DB546" s="2043">
        <v>543706</v>
      </c>
      <c r="DC546" s="2043">
        <v>0</v>
      </c>
      <c r="DI546" t="s">
        <v>3026</v>
      </c>
      <c r="DJ546" t="s">
        <v>5070</v>
      </c>
      <c r="DK546" s="2042">
        <f t="shared" si="10"/>
        <v>-1</v>
      </c>
    </row>
    <row r="547" spans="1:115">
      <c r="A547" t="s">
        <v>3026</v>
      </c>
      <c r="B547" t="s">
        <v>53</v>
      </c>
      <c r="C547">
        <v>49005.864000000001</v>
      </c>
      <c r="D547">
        <v>51293.423000000003</v>
      </c>
      <c r="E547">
        <v>8228.5240000000013</v>
      </c>
      <c r="F547">
        <v>0</v>
      </c>
      <c r="G547" s="2043">
        <v>24928936248</v>
      </c>
      <c r="H547">
        <v>0</v>
      </c>
      <c r="I547" s="2043">
        <v>87425942</v>
      </c>
      <c r="J547">
        <v>2450.2930000000001</v>
      </c>
      <c r="K547">
        <v>6699</v>
      </c>
      <c r="L547">
        <v>0</v>
      </c>
      <c r="M547">
        <v>12519417</v>
      </c>
      <c r="N547">
        <v>0</v>
      </c>
      <c r="O547">
        <v>12519417</v>
      </c>
      <c r="P547">
        <v>0</v>
      </c>
      <c r="Q547">
        <v>0</v>
      </c>
      <c r="R547" s="2043">
        <v>213006956</v>
      </c>
      <c r="S547">
        <v>12240372</v>
      </c>
      <c r="T547">
        <v>0</v>
      </c>
      <c r="U547">
        <v>0.05</v>
      </c>
      <c r="V547">
        <v>0</v>
      </c>
      <c r="W547">
        <v>0</v>
      </c>
      <c r="X547">
        <v>0</v>
      </c>
      <c r="Y547">
        <v>-17008</v>
      </c>
      <c r="Z547">
        <v>0</v>
      </c>
      <c r="AA547">
        <v>3.052</v>
      </c>
      <c r="AB547">
        <v>50915.353000000003</v>
      </c>
      <c r="AC547" s="2043">
        <v>22068618908</v>
      </c>
      <c r="AD547">
        <v>92968582</v>
      </c>
      <c r="AE547" s="2043">
        <v>225247328</v>
      </c>
      <c r="AF547">
        <v>0.92010000000000003</v>
      </c>
      <c r="AG547">
        <v>0</v>
      </c>
      <c r="AH547">
        <v>0</v>
      </c>
      <c r="AI547">
        <v>0</v>
      </c>
      <c r="AJ547">
        <v>6491.9130000000005</v>
      </c>
      <c r="AK547">
        <v>157626</v>
      </c>
      <c r="AL547">
        <v>5.0060000000000002</v>
      </c>
      <c r="AM547">
        <v>0</v>
      </c>
      <c r="AN547">
        <v>2357.848</v>
      </c>
      <c r="AO547">
        <v>0</v>
      </c>
      <c r="AP547">
        <v>60.2</v>
      </c>
      <c r="AQ547">
        <v>68.757000000000005</v>
      </c>
      <c r="AR547">
        <v>663.33</v>
      </c>
      <c r="AS547">
        <v>0</v>
      </c>
      <c r="AT547">
        <v>378.767</v>
      </c>
      <c r="AU547">
        <v>114.798</v>
      </c>
      <c r="AV547">
        <v>0</v>
      </c>
      <c r="AW547">
        <v>1328.068</v>
      </c>
      <c r="AX547">
        <v>37.21</v>
      </c>
      <c r="AY547">
        <v>3973.4340000000002</v>
      </c>
      <c r="AZ547">
        <v>0</v>
      </c>
      <c r="BA547">
        <v>214122558</v>
      </c>
      <c r="BB547">
        <v>318215910</v>
      </c>
      <c r="BC547">
        <v>0</v>
      </c>
      <c r="BD547">
        <v>1795761</v>
      </c>
      <c r="BE547">
        <v>1061158</v>
      </c>
      <c r="BF547">
        <v>2911326</v>
      </c>
      <c r="BG547">
        <v>1795761</v>
      </c>
      <c r="BH547">
        <v>54407</v>
      </c>
      <c r="BI547">
        <v>-6302</v>
      </c>
      <c r="BJ547">
        <v>-10706</v>
      </c>
      <c r="BK547">
        <v>0</v>
      </c>
      <c r="BL547">
        <v>24928936248</v>
      </c>
      <c r="BM547">
        <v>0</v>
      </c>
      <c r="BN547">
        <v>195480</v>
      </c>
      <c r="BO547">
        <v>41623</v>
      </c>
      <c r="BP547">
        <v>115002</v>
      </c>
      <c r="BQ547">
        <v>0</v>
      </c>
      <c r="BR547">
        <v>0.8701000000000001</v>
      </c>
      <c r="BS547">
        <v>0.8701000000000001</v>
      </c>
      <c r="BT547">
        <v>0</v>
      </c>
      <c r="BU547">
        <v>0</v>
      </c>
      <c r="BV547">
        <v>12582</v>
      </c>
      <c r="BW547">
        <v>5598</v>
      </c>
      <c r="BX547">
        <v>4385</v>
      </c>
      <c r="BY547">
        <v>2847</v>
      </c>
      <c r="BZ547">
        <v>1774</v>
      </c>
      <c r="CA547">
        <v>27186</v>
      </c>
      <c r="CB547">
        <v>0</v>
      </c>
      <c r="CC547">
        <v>616.89700000000005</v>
      </c>
      <c r="CD547">
        <v>289.62100000000004</v>
      </c>
      <c r="CE547">
        <v>3120</v>
      </c>
      <c r="CF547">
        <v>9947.0290000000005</v>
      </c>
      <c r="CG547">
        <v>0</v>
      </c>
      <c r="CH547">
        <v>56.209000000000003</v>
      </c>
      <c r="CI547">
        <v>200</v>
      </c>
      <c r="CJ547">
        <v>632</v>
      </c>
      <c r="CK547">
        <v>13</v>
      </c>
      <c r="CL547">
        <v>56.209000000000003</v>
      </c>
      <c r="CM547">
        <v>8228.5240000000013</v>
      </c>
      <c r="CN547">
        <v>106555</v>
      </c>
      <c r="CO547">
        <v>0</v>
      </c>
      <c r="CP547">
        <v>7447</v>
      </c>
      <c r="CQ547">
        <v>1000</v>
      </c>
      <c r="CR547">
        <v>0</v>
      </c>
      <c r="CS547">
        <v>0</v>
      </c>
      <c r="CT547">
        <v>0</v>
      </c>
      <c r="CU547">
        <v>124.96300000000001</v>
      </c>
      <c r="CV547">
        <v>2625.3180000000002</v>
      </c>
      <c r="CW547">
        <v>1303.8620000000001</v>
      </c>
      <c r="CX547">
        <v>0</v>
      </c>
      <c r="CY547" s="2043">
        <v>0</v>
      </c>
      <c r="CZ547" s="2043">
        <v>0</v>
      </c>
      <c r="DA547" s="2043">
        <v>0</v>
      </c>
      <c r="DB547" s="2043">
        <v>0</v>
      </c>
      <c r="DC547" s="2043">
        <v>1194908</v>
      </c>
      <c r="DI547" t="s">
        <v>5070</v>
      </c>
      <c r="DJ547" t="s">
        <v>3026</v>
      </c>
      <c r="DK547" s="2042">
        <f t="shared" si="10"/>
        <v>1</v>
      </c>
    </row>
    <row r="548" spans="1:115">
      <c r="A548" t="s">
        <v>3027</v>
      </c>
      <c r="B548" t="s">
        <v>192</v>
      </c>
      <c r="C548">
        <v>44677.044000000002</v>
      </c>
      <c r="D548">
        <v>46958.815000000002</v>
      </c>
      <c r="E548">
        <v>12402.672</v>
      </c>
      <c r="F548">
        <v>0</v>
      </c>
      <c r="G548" s="2043">
        <v>17526870372</v>
      </c>
      <c r="H548">
        <v>0</v>
      </c>
      <c r="I548" s="2043">
        <v>51608209</v>
      </c>
      <c r="J548">
        <v>2233.8520000000003</v>
      </c>
      <c r="K548">
        <v>6107</v>
      </c>
      <c r="L548">
        <v>0</v>
      </c>
      <c r="M548">
        <v>14474292</v>
      </c>
      <c r="N548">
        <v>0</v>
      </c>
      <c r="O548">
        <v>14474292</v>
      </c>
      <c r="P548">
        <v>0</v>
      </c>
      <c r="Q548">
        <v>0</v>
      </c>
      <c r="R548" s="2043">
        <v>148843650</v>
      </c>
      <c r="S548">
        <v>13036448</v>
      </c>
      <c r="T548">
        <v>12677946</v>
      </c>
      <c r="U548">
        <v>0.08</v>
      </c>
      <c r="V548">
        <v>0</v>
      </c>
      <c r="W548">
        <v>0</v>
      </c>
      <c r="X548">
        <v>0</v>
      </c>
      <c r="Y548">
        <v>-4933</v>
      </c>
      <c r="Z548">
        <v>0</v>
      </c>
      <c r="AA548">
        <v>2.161</v>
      </c>
      <c r="AB548">
        <v>46375.040999999997</v>
      </c>
      <c r="AC548" s="2043">
        <v>15039744764</v>
      </c>
      <c r="AD548">
        <v>50469105</v>
      </c>
      <c r="AE548" s="2043">
        <v>174558044</v>
      </c>
      <c r="AF548">
        <v>1.0712000000000002</v>
      </c>
      <c r="AG548">
        <v>0</v>
      </c>
      <c r="AH548">
        <v>0</v>
      </c>
      <c r="AI548">
        <v>0</v>
      </c>
      <c r="AJ548">
        <v>9941.2749999999996</v>
      </c>
      <c r="AK548">
        <v>152693</v>
      </c>
      <c r="AL548">
        <v>2.8050000000000002</v>
      </c>
      <c r="AM548">
        <v>0.41300000000000003</v>
      </c>
      <c r="AN548">
        <v>1647.816</v>
      </c>
      <c r="AO548">
        <v>16</v>
      </c>
      <c r="AP548">
        <v>2.9319999999999999</v>
      </c>
      <c r="AQ548">
        <v>0.90900000000000003</v>
      </c>
      <c r="AR548">
        <v>864.79300000000001</v>
      </c>
      <c r="AS548">
        <v>0</v>
      </c>
      <c r="AT548">
        <v>535.77600000000007</v>
      </c>
      <c r="AU548">
        <v>92.847000000000008</v>
      </c>
      <c r="AV548">
        <v>0</v>
      </c>
      <c r="AW548">
        <v>1555.7720000000002</v>
      </c>
      <c r="AX548">
        <v>55.297000000000004</v>
      </c>
      <c r="AY548">
        <v>4816.3060000000005</v>
      </c>
      <c r="AZ548">
        <v>0</v>
      </c>
      <c r="BA548">
        <v>285212559</v>
      </c>
      <c r="BB548">
        <v>225027149</v>
      </c>
      <c r="BC548">
        <v>0</v>
      </c>
      <c r="BD548">
        <v>1074891</v>
      </c>
      <c r="BE548">
        <v>1017928</v>
      </c>
      <c r="BF548">
        <v>2804816</v>
      </c>
      <c r="BG548">
        <v>1074891</v>
      </c>
      <c r="BH548">
        <v>711997</v>
      </c>
      <c r="BI548">
        <v>0</v>
      </c>
      <c r="BJ548">
        <v>-4933</v>
      </c>
      <c r="BK548">
        <v>0</v>
      </c>
      <c r="BL548">
        <v>17526870372</v>
      </c>
      <c r="BM548">
        <v>0</v>
      </c>
      <c r="BN548">
        <v>183474</v>
      </c>
      <c r="BO548">
        <v>62531</v>
      </c>
      <c r="BP548">
        <v>0</v>
      </c>
      <c r="BQ548">
        <v>0</v>
      </c>
      <c r="BR548">
        <v>0.91339999999999999</v>
      </c>
      <c r="BS548">
        <v>0.91339999999999999</v>
      </c>
      <c r="BT548">
        <v>0</v>
      </c>
      <c r="BU548">
        <v>0</v>
      </c>
      <c r="BV548">
        <v>5518</v>
      </c>
      <c r="BW548">
        <v>6370</v>
      </c>
      <c r="BX548">
        <v>7592</v>
      </c>
      <c r="BY548">
        <v>8554</v>
      </c>
      <c r="BZ548">
        <v>11067</v>
      </c>
      <c r="CA548">
        <v>39101</v>
      </c>
      <c r="CB548">
        <v>0</v>
      </c>
      <c r="CC548">
        <v>762.70500000000004</v>
      </c>
      <c r="CD548">
        <v>563.14600000000007</v>
      </c>
      <c r="CE548">
        <v>2684</v>
      </c>
      <c r="CF548">
        <v>15181.286</v>
      </c>
      <c r="CG548">
        <v>303.59800000000001</v>
      </c>
      <c r="CH548">
        <v>0.99199999999999999</v>
      </c>
      <c r="CI548">
        <v>439</v>
      </c>
      <c r="CJ548">
        <v>133</v>
      </c>
      <c r="CK548">
        <v>8</v>
      </c>
      <c r="CL548">
        <v>304.59000000000003</v>
      </c>
      <c r="CM548">
        <v>12402.672</v>
      </c>
      <c r="CN548">
        <v>0</v>
      </c>
      <c r="CO548">
        <v>0</v>
      </c>
      <c r="CP548">
        <v>0</v>
      </c>
      <c r="CQ548">
        <v>0</v>
      </c>
      <c r="CR548">
        <v>0</v>
      </c>
      <c r="CS548">
        <v>0</v>
      </c>
      <c r="CT548">
        <v>0</v>
      </c>
      <c r="CU548">
        <v>45.902999999999999</v>
      </c>
      <c r="CV548">
        <v>1311.232</v>
      </c>
      <c r="CW548">
        <v>893.46</v>
      </c>
      <c r="CX548">
        <v>0</v>
      </c>
      <c r="CY548" s="2043">
        <v>0</v>
      </c>
      <c r="CZ548" s="2043">
        <v>0</v>
      </c>
      <c r="DA548" s="2043">
        <v>0</v>
      </c>
      <c r="DB548" s="2043">
        <v>0</v>
      </c>
      <c r="DC548" s="2043">
        <v>0</v>
      </c>
      <c r="DI548" t="s">
        <v>3027</v>
      </c>
      <c r="DJ548" t="s">
        <v>3027</v>
      </c>
      <c r="DK548" s="2042">
        <f t="shared" si="10"/>
        <v>0</v>
      </c>
    </row>
    <row r="549" spans="1:115">
      <c r="A549" t="s">
        <v>5071</v>
      </c>
      <c r="B549" t="s">
        <v>627</v>
      </c>
      <c r="C549">
        <v>29753.561000000002</v>
      </c>
      <c r="D549">
        <v>31575.476999999999</v>
      </c>
      <c r="E549">
        <v>8483.5750000000007</v>
      </c>
      <c r="F549">
        <v>0</v>
      </c>
      <c r="G549" s="2043">
        <v>16066916252</v>
      </c>
      <c r="H549">
        <v>0</v>
      </c>
      <c r="I549" s="2043">
        <v>66922429</v>
      </c>
      <c r="J549">
        <v>1487.6780000000001</v>
      </c>
      <c r="K549">
        <v>4067</v>
      </c>
      <c r="L549">
        <v>0</v>
      </c>
      <c r="M549">
        <v>0</v>
      </c>
      <c r="N549">
        <v>0</v>
      </c>
      <c r="O549">
        <v>0</v>
      </c>
      <c r="P549">
        <v>0</v>
      </c>
      <c r="Q549">
        <v>0</v>
      </c>
      <c r="R549" s="2043">
        <v>130973603</v>
      </c>
      <c r="S549">
        <v>7679034</v>
      </c>
      <c r="T549">
        <v>0</v>
      </c>
      <c r="U549">
        <v>0.05</v>
      </c>
      <c r="V549">
        <v>0</v>
      </c>
      <c r="W549">
        <v>0</v>
      </c>
      <c r="X549">
        <v>0</v>
      </c>
      <c r="Y549">
        <v>-47118</v>
      </c>
      <c r="Z549">
        <v>0</v>
      </c>
      <c r="AA549">
        <v>2.0880000000000001</v>
      </c>
      <c r="AB549">
        <v>31016.066999999999</v>
      </c>
      <c r="AC549" s="2043">
        <v>13712912691</v>
      </c>
      <c r="AD549">
        <v>65249537</v>
      </c>
      <c r="AE549" s="2043">
        <v>138652637</v>
      </c>
      <c r="AF549">
        <v>0.90280000000000005</v>
      </c>
      <c r="AG549">
        <v>1061489</v>
      </c>
      <c r="AH549">
        <v>0</v>
      </c>
      <c r="AI549">
        <v>0</v>
      </c>
      <c r="AJ549">
        <v>7081.4000000000005</v>
      </c>
      <c r="AK549">
        <v>86072</v>
      </c>
      <c r="AL549">
        <v>3.7990000000000004</v>
      </c>
      <c r="AM549">
        <v>0</v>
      </c>
      <c r="AN549">
        <v>863.77200000000005</v>
      </c>
      <c r="AO549">
        <v>1</v>
      </c>
      <c r="AP549">
        <v>3.7710000000000004</v>
      </c>
      <c r="AQ549">
        <v>22.313000000000002</v>
      </c>
      <c r="AR549">
        <v>508.04</v>
      </c>
      <c r="AS549">
        <v>0</v>
      </c>
      <c r="AT549">
        <v>260.89100000000002</v>
      </c>
      <c r="AU549">
        <v>66.352000000000004</v>
      </c>
      <c r="AV549">
        <v>0</v>
      </c>
      <c r="AW549">
        <v>886.24300000000005</v>
      </c>
      <c r="AX549">
        <v>21.077000000000002</v>
      </c>
      <c r="AY549">
        <v>2716.2070000000003</v>
      </c>
      <c r="AZ549">
        <v>0</v>
      </c>
      <c r="BA549">
        <v>143521049</v>
      </c>
      <c r="BB549">
        <v>203902174</v>
      </c>
      <c r="BC549">
        <v>0</v>
      </c>
      <c r="BD549">
        <v>1735953</v>
      </c>
      <c r="BE549">
        <v>810793</v>
      </c>
      <c r="BF549">
        <v>2708288</v>
      </c>
      <c r="BG549">
        <v>1735953</v>
      </c>
      <c r="BH549">
        <v>161542</v>
      </c>
      <c r="BI549">
        <v>-20179</v>
      </c>
      <c r="BJ549">
        <v>-26939</v>
      </c>
      <c r="BK549">
        <v>0</v>
      </c>
      <c r="BL549">
        <v>16066916252</v>
      </c>
      <c r="BM549">
        <v>0</v>
      </c>
      <c r="BN549">
        <v>114912</v>
      </c>
      <c r="BO549">
        <v>76366</v>
      </c>
      <c r="BP549">
        <v>7765</v>
      </c>
      <c r="BQ549">
        <v>0</v>
      </c>
      <c r="BR549">
        <v>0.8528</v>
      </c>
      <c r="BS549">
        <v>0.8528</v>
      </c>
      <c r="BT549">
        <v>0</v>
      </c>
      <c r="BU549">
        <v>0</v>
      </c>
      <c r="BV549">
        <v>2821</v>
      </c>
      <c r="BW549">
        <v>7798</v>
      </c>
      <c r="BX549">
        <v>7014</v>
      </c>
      <c r="BY549">
        <v>5578</v>
      </c>
      <c r="BZ549">
        <v>5007</v>
      </c>
      <c r="CA549">
        <v>28218</v>
      </c>
      <c r="CB549">
        <v>0</v>
      </c>
      <c r="CC549">
        <v>148.72900000000001</v>
      </c>
      <c r="CD549">
        <v>102.664</v>
      </c>
      <c r="CE549">
        <v>734</v>
      </c>
      <c r="CF549">
        <v>11505.129000000001</v>
      </c>
      <c r="CG549">
        <v>0</v>
      </c>
      <c r="CH549">
        <v>18.664999999999999</v>
      </c>
      <c r="CI549">
        <v>109</v>
      </c>
      <c r="CJ549">
        <v>89</v>
      </c>
      <c r="CK549">
        <v>3</v>
      </c>
      <c r="CL549">
        <v>18.664999999999999</v>
      </c>
      <c r="CM549">
        <v>8483.5750000000007</v>
      </c>
      <c r="CN549">
        <v>0</v>
      </c>
      <c r="CO549">
        <v>0</v>
      </c>
      <c r="CP549">
        <v>7765</v>
      </c>
      <c r="CQ549">
        <v>0</v>
      </c>
      <c r="CR549">
        <v>0</v>
      </c>
      <c r="CS549">
        <v>81.777000000000001</v>
      </c>
      <c r="CT549">
        <v>0</v>
      </c>
      <c r="CU549">
        <v>149.929</v>
      </c>
      <c r="CV549">
        <v>1303.9100000000001</v>
      </c>
      <c r="CW549">
        <v>848.21199999999999</v>
      </c>
      <c r="CX549">
        <v>0</v>
      </c>
      <c r="CY549" s="2043">
        <v>0</v>
      </c>
      <c r="CZ549" s="2043">
        <v>1061489</v>
      </c>
      <c r="DA549" s="2043">
        <v>0</v>
      </c>
      <c r="DB549" s="2043">
        <v>0</v>
      </c>
      <c r="DC549" s="2043">
        <v>0</v>
      </c>
      <c r="DI549" t="s">
        <v>5071</v>
      </c>
      <c r="DJ549" t="s">
        <v>5071</v>
      </c>
      <c r="DK549" s="2042">
        <f t="shared" si="10"/>
        <v>0</v>
      </c>
    </row>
    <row r="550" spans="1:115">
      <c r="A550" t="s">
        <v>5072</v>
      </c>
      <c r="B550" t="s">
        <v>765</v>
      </c>
      <c r="C550">
        <v>30605.083999999999</v>
      </c>
      <c r="D550">
        <v>32128.256000000001</v>
      </c>
      <c r="E550">
        <v>6612.9770000000008</v>
      </c>
      <c r="F550">
        <v>0</v>
      </c>
      <c r="G550" s="2043">
        <v>38525509626</v>
      </c>
      <c r="H550">
        <v>0</v>
      </c>
      <c r="I550" s="2043">
        <v>102738342</v>
      </c>
      <c r="J550">
        <v>1530.2540000000001</v>
      </c>
      <c r="K550">
        <v>4184</v>
      </c>
      <c r="L550">
        <v>0</v>
      </c>
      <c r="M550">
        <v>0</v>
      </c>
      <c r="N550">
        <v>0</v>
      </c>
      <c r="O550">
        <v>0</v>
      </c>
      <c r="P550">
        <v>0</v>
      </c>
      <c r="Q550">
        <v>0</v>
      </c>
      <c r="R550" s="2043">
        <v>309336605</v>
      </c>
      <c r="S550">
        <v>27093199</v>
      </c>
      <c r="T550">
        <v>2167456</v>
      </c>
      <c r="U550">
        <v>0.08</v>
      </c>
      <c r="V550">
        <v>1360.0360000000001</v>
      </c>
      <c r="W550">
        <v>63427028</v>
      </c>
      <c r="X550">
        <v>997189</v>
      </c>
      <c r="Y550">
        <v>2009685</v>
      </c>
      <c r="Z550">
        <v>0</v>
      </c>
      <c r="AA550">
        <v>2.2210000000000001</v>
      </c>
      <c r="AB550">
        <v>30725.011999999999</v>
      </c>
      <c r="AC550" s="2043">
        <v>35885558599</v>
      </c>
      <c r="AD550">
        <v>108959071</v>
      </c>
      <c r="AE550" s="2043">
        <v>338597260</v>
      </c>
      <c r="AF550">
        <v>0.99980000000000002</v>
      </c>
      <c r="AG550">
        <v>0</v>
      </c>
      <c r="AH550">
        <v>64424218</v>
      </c>
      <c r="AI550">
        <v>0</v>
      </c>
      <c r="AJ550">
        <v>4877.6750000000002</v>
      </c>
      <c r="AK550">
        <v>88247</v>
      </c>
      <c r="AL550">
        <v>1.387</v>
      </c>
      <c r="AM550">
        <v>0</v>
      </c>
      <c r="AN550">
        <v>951.09800000000007</v>
      </c>
      <c r="AO550">
        <v>1.8</v>
      </c>
      <c r="AP550">
        <v>1.9060000000000001</v>
      </c>
      <c r="AQ550">
        <v>0.52500000000000002</v>
      </c>
      <c r="AR550">
        <v>558.67899999999997</v>
      </c>
      <c r="AS550">
        <v>0</v>
      </c>
      <c r="AT550">
        <v>223.87800000000001</v>
      </c>
      <c r="AU550">
        <v>72.088999999999999</v>
      </c>
      <c r="AV550">
        <v>0</v>
      </c>
      <c r="AW550">
        <v>892.12600000000009</v>
      </c>
      <c r="AX550">
        <v>33.661999999999999</v>
      </c>
      <c r="AY550">
        <v>2797.62</v>
      </c>
      <c r="AZ550">
        <v>0</v>
      </c>
      <c r="BA550">
        <v>20782332</v>
      </c>
      <c r="BB550">
        <v>447556331</v>
      </c>
      <c r="BC550">
        <v>0</v>
      </c>
      <c r="BD550">
        <v>409063</v>
      </c>
      <c r="BE550">
        <v>315667</v>
      </c>
      <c r="BF550">
        <v>1517999</v>
      </c>
      <c r="BG550">
        <v>409063</v>
      </c>
      <c r="BH550">
        <v>793269</v>
      </c>
      <c r="BI550">
        <v>0</v>
      </c>
      <c r="BJ550">
        <v>-6678</v>
      </c>
      <c r="BK550">
        <v>0</v>
      </c>
      <c r="BL550">
        <v>38525509626</v>
      </c>
      <c r="BM550">
        <v>2016363</v>
      </c>
      <c r="BN550">
        <v>114399</v>
      </c>
      <c r="BO550">
        <v>16307</v>
      </c>
      <c r="BP550">
        <v>72476</v>
      </c>
      <c r="BQ550">
        <v>0</v>
      </c>
      <c r="BR550">
        <v>0.91339999999999999</v>
      </c>
      <c r="BS550">
        <v>0.91339999999999999</v>
      </c>
      <c r="BT550">
        <v>0</v>
      </c>
      <c r="BU550">
        <v>0</v>
      </c>
      <c r="BV550">
        <v>2162</v>
      </c>
      <c r="BW550">
        <v>1862</v>
      </c>
      <c r="BX550">
        <v>4758</v>
      </c>
      <c r="BY550">
        <v>3640</v>
      </c>
      <c r="BZ550">
        <v>6560</v>
      </c>
      <c r="CA550">
        <v>18982</v>
      </c>
      <c r="CB550">
        <v>0</v>
      </c>
      <c r="CC550">
        <v>4422.2380000000003</v>
      </c>
      <c r="CD550">
        <v>398.99700000000001</v>
      </c>
      <c r="CE550">
        <v>2317</v>
      </c>
      <c r="CF550">
        <v>9012.255000000001</v>
      </c>
      <c r="CG550">
        <v>0</v>
      </c>
      <c r="CH550">
        <v>0.58600000000000008</v>
      </c>
      <c r="CI550">
        <v>147</v>
      </c>
      <c r="CJ550">
        <v>673</v>
      </c>
      <c r="CK550">
        <v>5</v>
      </c>
      <c r="CL550">
        <v>0.58600000000000008</v>
      </c>
      <c r="CM550">
        <v>6612.9770000000008</v>
      </c>
      <c r="CN550">
        <v>23998</v>
      </c>
      <c r="CO550">
        <v>26398</v>
      </c>
      <c r="CP550">
        <v>22080</v>
      </c>
      <c r="CQ550">
        <v>0</v>
      </c>
      <c r="CR550">
        <v>0</v>
      </c>
      <c r="CS550">
        <v>0</v>
      </c>
      <c r="CT550">
        <v>0</v>
      </c>
      <c r="CU550">
        <v>108.30200000000001</v>
      </c>
      <c r="CV550">
        <v>1019.5550000000001</v>
      </c>
      <c r="CW550">
        <v>342.34000000000003</v>
      </c>
      <c r="CX550">
        <v>0</v>
      </c>
      <c r="CY550" s="2043">
        <v>0</v>
      </c>
      <c r="CZ550" s="2043">
        <v>0</v>
      </c>
      <c r="DA550" s="2043">
        <v>0</v>
      </c>
      <c r="DB550" s="2043">
        <v>0</v>
      </c>
      <c r="DC550" s="2043">
        <v>3255154</v>
      </c>
      <c r="DI550" t="s">
        <v>5072</v>
      </c>
      <c r="DJ550" t="s">
        <v>5072</v>
      </c>
      <c r="DK550" s="2042">
        <f t="shared" si="10"/>
        <v>0</v>
      </c>
    </row>
    <row r="551" spans="1:115">
      <c r="A551" t="s">
        <v>5073</v>
      </c>
      <c r="B551" t="s">
        <v>1840</v>
      </c>
      <c r="C551">
        <v>19245.802</v>
      </c>
      <c r="D551">
        <v>18689.874</v>
      </c>
      <c r="E551">
        <v>1538.6480000000001</v>
      </c>
      <c r="F551">
        <v>0</v>
      </c>
      <c r="G551" s="2043">
        <v>13400754025</v>
      </c>
      <c r="H551">
        <v>0</v>
      </c>
      <c r="I551" s="2043">
        <v>42927248</v>
      </c>
      <c r="J551">
        <v>962.29</v>
      </c>
      <c r="K551">
        <v>2631</v>
      </c>
      <c r="L551">
        <v>0</v>
      </c>
      <c r="M551">
        <v>0</v>
      </c>
      <c r="N551">
        <v>0</v>
      </c>
      <c r="O551">
        <v>0</v>
      </c>
      <c r="P551">
        <v>0</v>
      </c>
      <c r="Q551">
        <v>0</v>
      </c>
      <c r="R551" s="2043">
        <v>111848572</v>
      </c>
      <c r="S551">
        <v>6422307</v>
      </c>
      <c r="T551">
        <v>0</v>
      </c>
      <c r="U551">
        <v>0.05</v>
      </c>
      <c r="V551">
        <v>829.63400000000001</v>
      </c>
      <c r="W551">
        <v>0</v>
      </c>
      <c r="X551">
        <v>0</v>
      </c>
      <c r="Y551">
        <v>-17987</v>
      </c>
      <c r="Z551">
        <v>0</v>
      </c>
      <c r="AA551">
        <v>0.45100000000000001</v>
      </c>
      <c r="AB551">
        <v>18266.116999999998</v>
      </c>
      <c r="AC551" s="2043">
        <v>11461565203</v>
      </c>
      <c r="AD551">
        <v>46846273</v>
      </c>
      <c r="AE551" s="2043">
        <v>118270879</v>
      </c>
      <c r="AF551">
        <v>0.89500000000000002</v>
      </c>
      <c r="AG551">
        <v>0</v>
      </c>
      <c r="AH551">
        <v>0</v>
      </c>
      <c r="AI551">
        <v>0</v>
      </c>
      <c r="AJ551">
        <v>1345.4</v>
      </c>
      <c r="AK551">
        <v>47420</v>
      </c>
      <c r="AL551">
        <v>1.0960000000000001</v>
      </c>
      <c r="AM551">
        <v>0</v>
      </c>
      <c r="AN551">
        <v>508.36800000000005</v>
      </c>
      <c r="AO551">
        <v>2.3000000000000003</v>
      </c>
      <c r="AP551">
        <v>0.108</v>
      </c>
      <c r="AQ551">
        <v>0.499</v>
      </c>
      <c r="AR551">
        <v>303.46100000000001</v>
      </c>
      <c r="AS551">
        <v>0</v>
      </c>
      <c r="AT551">
        <v>123.476</v>
      </c>
      <c r="AU551">
        <v>33.4</v>
      </c>
      <c r="AV551">
        <v>0</v>
      </c>
      <c r="AW551">
        <v>483.64700000000005</v>
      </c>
      <c r="AX551">
        <v>21.606999999999999</v>
      </c>
      <c r="AY551">
        <v>1503.279</v>
      </c>
      <c r="AZ551">
        <v>0</v>
      </c>
      <c r="BA551">
        <v>46927218</v>
      </c>
      <c r="BB551">
        <v>165117152</v>
      </c>
      <c r="BC551">
        <v>0</v>
      </c>
      <c r="BD551">
        <v>1111909</v>
      </c>
      <c r="BE551">
        <v>436491</v>
      </c>
      <c r="BF551">
        <v>1610204</v>
      </c>
      <c r="BG551">
        <v>1111909</v>
      </c>
      <c r="BH551">
        <v>61804</v>
      </c>
      <c r="BI551">
        <v>-17987</v>
      </c>
      <c r="BJ551">
        <v>0</v>
      </c>
      <c r="BK551">
        <v>0</v>
      </c>
      <c r="BL551">
        <v>13400754025</v>
      </c>
      <c r="BM551">
        <v>0</v>
      </c>
      <c r="BN551">
        <v>58689</v>
      </c>
      <c r="BO551">
        <v>16510</v>
      </c>
      <c r="BP551">
        <v>6639</v>
      </c>
      <c r="BQ551">
        <v>0</v>
      </c>
      <c r="BR551">
        <v>0.84640000000000004</v>
      </c>
      <c r="BS551">
        <v>0.84640000000000004</v>
      </c>
      <c r="BT551">
        <v>0</v>
      </c>
      <c r="BU551">
        <v>0</v>
      </c>
      <c r="BV551">
        <v>4014</v>
      </c>
      <c r="BW551">
        <v>1086</v>
      </c>
      <c r="BX551">
        <v>183</v>
      </c>
      <c r="BY551">
        <v>508</v>
      </c>
      <c r="BZ551">
        <v>19</v>
      </c>
      <c r="CA551">
        <v>5810</v>
      </c>
      <c r="CB551">
        <v>0</v>
      </c>
      <c r="CC551">
        <v>672.70100000000002</v>
      </c>
      <c r="CD551">
        <v>124.94200000000001</v>
      </c>
      <c r="CE551">
        <v>1121</v>
      </c>
      <c r="CF551">
        <v>2659.9839999999999</v>
      </c>
      <c r="CG551">
        <v>0</v>
      </c>
      <c r="CH551">
        <v>0.25900000000000001</v>
      </c>
      <c r="CI551">
        <v>39</v>
      </c>
      <c r="CJ551">
        <v>222</v>
      </c>
      <c r="CK551">
        <v>2</v>
      </c>
      <c r="CL551">
        <v>0.25900000000000001</v>
      </c>
      <c r="CM551">
        <v>1538.6480000000001</v>
      </c>
      <c r="CN551">
        <v>0</v>
      </c>
      <c r="CO551">
        <v>0</v>
      </c>
      <c r="CP551">
        <v>6639</v>
      </c>
      <c r="CQ551">
        <v>0</v>
      </c>
      <c r="CR551">
        <v>0</v>
      </c>
      <c r="CS551">
        <v>0</v>
      </c>
      <c r="CT551">
        <v>0</v>
      </c>
      <c r="CU551">
        <v>137.535</v>
      </c>
      <c r="CV551">
        <v>749.65300000000002</v>
      </c>
      <c r="CW551">
        <v>396.73200000000003</v>
      </c>
      <c r="CX551">
        <v>0</v>
      </c>
      <c r="CY551" s="2043">
        <v>0</v>
      </c>
      <c r="CZ551" s="2043">
        <v>0</v>
      </c>
      <c r="DA551" s="2043">
        <v>0</v>
      </c>
      <c r="DB551" s="2043">
        <v>0</v>
      </c>
      <c r="DC551" s="2043">
        <v>1320000</v>
      </c>
      <c r="DI551" t="s">
        <v>5073</v>
      </c>
      <c r="DJ551" t="s">
        <v>5073</v>
      </c>
      <c r="DK551" s="2042">
        <f t="shared" si="10"/>
        <v>0</v>
      </c>
    </row>
    <row r="552" spans="1:115">
      <c r="A552" t="s">
        <v>5074</v>
      </c>
      <c r="B552" t="s">
        <v>1841</v>
      </c>
      <c r="C552">
        <v>9541.7430000000004</v>
      </c>
      <c r="D552">
        <v>9659.0709999999999</v>
      </c>
      <c r="E552">
        <v>1803.2180000000001</v>
      </c>
      <c r="F552">
        <v>463169</v>
      </c>
      <c r="G552" s="2043">
        <v>5900859741</v>
      </c>
      <c r="H552">
        <v>0</v>
      </c>
      <c r="I552" s="2043">
        <v>25771638</v>
      </c>
      <c r="J552">
        <v>477.08700000000005</v>
      </c>
      <c r="K552">
        <v>1304</v>
      </c>
      <c r="L552">
        <v>0</v>
      </c>
      <c r="M552">
        <v>0</v>
      </c>
      <c r="N552">
        <v>0</v>
      </c>
      <c r="O552">
        <v>0</v>
      </c>
      <c r="P552">
        <v>0</v>
      </c>
      <c r="Q552">
        <v>0</v>
      </c>
      <c r="R552" s="2043">
        <v>47999170</v>
      </c>
      <c r="S552">
        <v>4482238</v>
      </c>
      <c r="T552">
        <v>3266431</v>
      </c>
      <c r="U552">
        <v>0.08</v>
      </c>
      <c r="V552">
        <v>0</v>
      </c>
      <c r="W552">
        <v>0</v>
      </c>
      <c r="X552">
        <v>0</v>
      </c>
      <c r="Y552">
        <v>454580</v>
      </c>
      <c r="Z552">
        <v>0</v>
      </c>
      <c r="AA552">
        <v>8.3000000000000004E-2</v>
      </c>
      <c r="AB552">
        <v>9632.8350000000009</v>
      </c>
      <c r="AC552" s="2043">
        <v>5585126788</v>
      </c>
      <c r="AD552">
        <v>26435000</v>
      </c>
      <c r="AE552" s="2043">
        <v>55747839</v>
      </c>
      <c r="AF552">
        <v>0.995</v>
      </c>
      <c r="AG552">
        <v>0</v>
      </c>
      <c r="AH552">
        <v>0</v>
      </c>
      <c r="AI552">
        <v>0</v>
      </c>
      <c r="AJ552">
        <v>2277.0500000000002</v>
      </c>
      <c r="AK552">
        <v>26975</v>
      </c>
      <c r="AL552">
        <v>0.54100000000000004</v>
      </c>
      <c r="AM552">
        <v>0</v>
      </c>
      <c r="AN552">
        <v>413.80700000000002</v>
      </c>
      <c r="AO552">
        <v>0.4</v>
      </c>
      <c r="AP552">
        <v>1.3210000000000002</v>
      </c>
      <c r="AQ552">
        <v>0</v>
      </c>
      <c r="AR552">
        <v>124.116</v>
      </c>
      <c r="AS552">
        <v>0</v>
      </c>
      <c r="AT552">
        <v>74.338999999999999</v>
      </c>
      <c r="AU552">
        <v>17.676000000000002</v>
      </c>
      <c r="AV552">
        <v>0</v>
      </c>
      <c r="AW552">
        <v>228.65400000000002</v>
      </c>
      <c r="AX552">
        <v>10.661000000000001</v>
      </c>
      <c r="AY552">
        <v>714.53700000000003</v>
      </c>
      <c r="AZ552">
        <v>0</v>
      </c>
      <c r="BA552">
        <v>44725310</v>
      </c>
      <c r="BB552">
        <v>82182839</v>
      </c>
      <c r="BC552">
        <v>0</v>
      </c>
      <c r="BD552">
        <v>620874</v>
      </c>
      <c r="BE552">
        <v>0</v>
      </c>
      <c r="BF552">
        <v>620874</v>
      </c>
      <c r="BG552">
        <v>620874</v>
      </c>
      <c r="BH552">
        <v>0</v>
      </c>
      <c r="BI552">
        <v>0</v>
      </c>
      <c r="BJ552">
        <v>-8589</v>
      </c>
      <c r="BK552">
        <v>0</v>
      </c>
      <c r="BL552">
        <v>5900859741</v>
      </c>
      <c r="BM552">
        <v>0</v>
      </c>
      <c r="BN552">
        <v>34641</v>
      </c>
      <c r="BO552">
        <v>17227</v>
      </c>
      <c r="BP552">
        <v>0</v>
      </c>
      <c r="BQ552">
        <v>0</v>
      </c>
      <c r="BR552">
        <v>0.85670000000000002</v>
      </c>
      <c r="BS552">
        <v>0.85670000000000002</v>
      </c>
      <c r="BT552">
        <v>0</v>
      </c>
      <c r="BU552">
        <v>0</v>
      </c>
      <c r="BV552">
        <v>748</v>
      </c>
      <c r="BW552">
        <v>3140</v>
      </c>
      <c r="BX552">
        <v>2991</v>
      </c>
      <c r="BY552">
        <v>346</v>
      </c>
      <c r="BZ552">
        <v>1907</v>
      </c>
      <c r="CA552">
        <v>9132</v>
      </c>
      <c r="CB552">
        <v>0</v>
      </c>
      <c r="CC552">
        <v>1227.886</v>
      </c>
      <c r="CD552">
        <v>234.02900000000002</v>
      </c>
      <c r="CE552">
        <v>475</v>
      </c>
      <c r="CF552">
        <v>3433.058</v>
      </c>
      <c r="CG552">
        <v>40.582000000000001</v>
      </c>
      <c r="CH552">
        <v>0</v>
      </c>
      <c r="CI552">
        <v>51</v>
      </c>
      <c r="CJ552">
        <v>4</v>
      </c>
      <c r="CK552">
        <v>1</v>
      </c>
      <c r="CL552">
        <v>40.582000000000001</v>
      </c>
      <c r="CM552">
        <v>1803.2180000000001</v>
      </c>
      <c r="CN552">
        <v>0</v>
      </c>
      <c r="CO552">
        <v>0</v>
      </c>
      <c r="CP552">
        <v>0</v>
      </c>
      <c r="CQ552">
        <v>0</v>
      </c>
      <c r="CR552">
        <v>0</v>
      </c>
      <c r="CS552">
        <v>0</v>
      </c>
      <c r="CT552">
        <v>0</v>
      </c>
      <c r="CU552">
        <v>73.195000000000007</v>
      </c>
      <c r="CV552">
        <v>569.51300000000003</v>
      </c>
      <c r="CW552">
        <v>239.322</v>
      </c>
      <c r="CX552">
        <v>0</v>
      </c>
      <c r="CY552" s="2043">
        <v>0</v>
      </c>
      <c r="CZ552" s="2043">
        <v>0</v>
      </c>
      <c r="DA552" s="2043">
        <v>0</v>
      </c>
      <c r="DB552" s="2043">
        <v>463169</v>
      </c>
      <c r="DC552" s="2043">
        <v>0</v>
      </c>
      <c r="DI552" t="s">
        <v>5074</v>
      </c>
      <c r="DJ552" t="s">
        <v>5074</v>
      </c>
      <c r="DK552" s="2042">
        <f t="shared" si="10"/>
        <v>0</v>
      </c>
    </row>
    <row r="553" spans="1:115">
      <c r="A553" t="s">
        <v>3028</v>
      </c>
      <c r="B553" t="s">
        <v>820</v>
      </c>
      <c r="C553">
        <v>3309.806</v>
      </c>
      <c r="D553">
        <v>3375.5260000000003</v>
      </c>
      <c r="E553">
        <v>239.91200000000001</v>
      </c>
      <c r="F553">
        <v>0</v>
      </c>
      <c r="G553" s="2043">
        <v>1528315875</v>
      </c>
      <c r="H553">
        <v>0</v>
      </c>
      <c r="I553" s="2043">
        <v>5096018</v>
      </c>
      <c r="J553">
        <v>165.49</v>
      </c>
      <c r="K553">
        <v>452</v>
      </c>
      <c r="L553">
        <v>0</v>
      </c>
      <c r="M553">
        <v>811251</v>
      </c>
      <c r="N553">
        <v>0</v>
      </c>
      <c r="O553">
        <v>811251</v>
      </c>
      <c r="P553">
        <v>0</v>
      </c>
      <c r="Q553">
        <v>0</v>
      </c>
      <c r="R553" s="2043">
        <v>12581580</v>
      </c>
      <c r="S553">
        <v>1224485</v>
      </c>
      <c r="T553">
        <v>1377545</v>
      </c>
      <c r="U553">
        <v>0.08</v>
      </c>
      <c r="V553">
        <v>0</v>
      </c>
      <c r="W553">
        <v>0</v>
      </c>
      <c r="X553">
        <v>0</v>
      </c>
      <c r="Y553">
        <v>0</v>
      </c>
      <c r="Z553">
        <v>0</v>
      </c>
      <c r="AA553">
        <v>0.13</v>
      </c>
      <c r="AB553">
        <v>3293.5620000000004</v>
      </c>
      <c r="AC553" s="2043">
        <v>1247530612</v>
      </c>
      <c r="AD553">
        <v>5073134</v>
      </c>
      <c r="AE553" s="2043">
        <v>15183610</v>
      </c>
      <c r="AF553">
        <v>0.99199999999999999</v>
      </c>
      <c r="AG553">
        <v>0</v>
      </c>
      <c r="AH553">
        <v>0</v>
      </c>
      <c r="AI553">
        <v>0</v>
      </c>
      <c r="AJ553">
        <v>359.58800000000002</v>
      </c>
      <c r="AK553">
        <v>14258</v>
      </c>
      <c r="AL553">
        <v>1.8000000000000002E-2</v>
      </c>
      <c r="AM553">
        <v>0</v>
      </c>
      <c r="AN553">
        <v>176.10900000000001</v>
      </c>
      <c r="AO553">
        <v>1.3</v>
      </c>
      <c r="AP553">
        <v>0.66900000000000004</v>
      </c>
      <c r="AQ553">
        <v>0</v>
      </c>
      <c r="AR553">
        <v>82.112000000000009</v>
      </c>
      <c r="AS553">
        <v>0</v>
      </c>
      <c r="AT553">
        <v>33.256</v>
      </c>
      <c r="AU553">
        <v>9.1660000000000004</v>
      </c>
      <c r="AV553">
        <v>0</v>
      </c>
      <c r="AW553">
        <v>125.221</v>
      </c>
      <c r="AX553">
        <v>0</v>
      </c>
      <c r="AY553">
        <v>393.83</v>
      </c>
      <c r="AZ553">
        <v>0</v>
      </c>
      <c r="BA553">
        <v>19562508</v>
      </c>
      <c r="BB553">
        <v>20256744</v>
      </c>
      <c r="BC553">
        <v>0</v>
      </c>
      <c r="BD553">
        <v>280722</v>
      </c>
      <c r="BE553">
        <v>127126</v>
      </c>
      <c r="BF553">
        <v>420053</v>
      </c>
      <c r="BG553">
        <v>280722</v>
      </c>
      <c r="BH553">
        <v>12205</v>
      </c>
      <c r="BI553">
        <v>0</v>
      </c>
      <c r="BJ553">
        <v>0</v>
      </c>
      <c r="BK553">
        <v>0</v>
      </c>
      <c r="BL553">
        <v>1528315875</v>
      </c>
      <c r="BM553">
        <v>0</v>
      </c>
      <c r="BN553">
        <v>12744</v>
      </c>
      <c r="BO553">
        <v>8303</v>
      </c>
      <c r="BP553">
        <v>0</v>
      </c>
      <c r="BQ553">
        <v>0</v>
      </c>
      <c r="BR553">
        <v>0.82200000000000006</v>
      </c>
      <c r="BS553">
        <v>0.82200000000000006</v>
      </c>
      <c r="BT553">
        <v>0</v>
      </c>
      <c r="BU553">
        <v>0</v>
      </c>
      <c r="BV553">
        <v>267</v>
      </c>
      <c r="BW553">
        <v>555</v>
      </c>
      <c r="BX553">
        <v>640</v>
      </c>
      <c r="BY553">
        <v>0</v>
      </c>
      <c r="BZ553">
        <v>28</v>
      </c>
      <c r="CA553">
        <v>1490</v>
      </c>
      <c r="CB553">
        <v>0</v>
      </c>
      <c r="CC553">
        <v>0</v>
      </c>
      <c r="CD553">
        <v>0</v>
      </c>
      <c r="CE553">
        <v>330</v>
      </c>
      <c r="CF553">
        <v>532.13099999999997</v>
      </c>
      <c r="CG553">
        <v>0</v>
      </c>
      <c r="CH553">
        <v>0</v>
      </c>
      <c r="CI553">
        <v>4</v>
      </c>
      <c r="CJ553">
        <v>56</v>
      </c>
      <c r="CK553">
        <v>1</v>
      </c>
      <c r="CL553">
        <v>0</v>
      </c>
      <c r="CM553">
        <v>239.91200000000001</v>
      </c>
      <c r="CN553">
        <v>0</v>
      </c>
      <c r="CO553">
        <v>0</v>
      </c>
      <c r="CP553">
        <v>0</v>
      </c>
      <c r="CQ553">
        <v>0</v>
      </c>
      <c r="CR553">
        <v>0</v>
      </c>
      <c r="CS553">
        <v>0</v>
      </c>
      <c r="CT553">
        <v>0</v>
      </c>
      <c r="CU553">
        <v>2.831</v>
      </c>
      <c r="CV553">
        <v>154.62200000000001</v>
      </c>
      <c r="CW553">
        <v>98.059000000000012</v>
      </c>
      <c r="CX553">
        <v>0</v>
      </c>
      <c r="CY553" s="2043">
        <v>0</v>
      </c>
      <c r="CZ553" s="2043">
        <v>0</v>
      </c>
      <c r="DA553" s="2043">
        <v>0</v>
      </c>
      <c r="DB553" s="2043">
        <v>0</v>
      </c>
      <c r="DC553" s="2043">
        <v>0</v>
      </c>
      <c r="DI553" t="s">
        <v>3028</v>
      </c>
      <c r="DJ553" t="s">
        <v>3028</v>
      </c>
      <c r="DK553" s="2042">
        <f t="shared" si="10"/>
        <v>0</v>
      </c>
    </row>
    <row r="554" spans="1:115">
      <c r="A554" t="s">
        <v>8508</v>
      </c>
      <c r="B554" t="s">
        <v>11359</v>
      </c>
      <c r="C554">
        <v>0</v>
      </c>
      <c r="D554">
        <v>0</v>
      </c>
      <c r="E554">
        <v>0</v>
      </c>
      <c r="F554">
        <v>0</v>
      </c>
      <c r="G554" s="2043">
        <v>0</v>
      </c>
      <c r="H554">
        <v>0</v>
      </c>
      <c r="I554" s="2043">
        <v>0</v>
      </c>
      <c r="J554">
        <v>0</v>
      </c>
      <c r="K554">
        <v>0</v>
      </c>
      <c r="L554">
        <v>0</v>
      </c>
      <c r="M554">
        <v>0</v>
      </c>
      <c r="N554">
        <v>0</v>
      </c>
      <c r="O554">
        <v>0</v>
      </c>
      <c r="P554">
        <v>0</v>
      </c>
      <c r="Q554">
        <v>0</v>
      </c>
      <c r="R554" s="2043">
        <v>0</v>
      </c>
      <c r="S554">
        <v>0</v>
      </c>
      <c r="T554">
        <v>0</v>
      </c>
      <c r="U554">
        <v>0</v>
      </c>
      <c r="V554">
        <v>0</v>
      </c>
      <c r="W554">
        <v>0</v>
      </c>
      <c r="X554">
        <v>0</v>
      </c>
      <c r="Y554">
        <v>283150</v>
      </c>
      <c r="Z554">
        <v>0</v>
      </c>
      <c r="AA554">
        <v>0</v>
      </c>
      <c r="AB554">
        <v>0</v>
      </c>
      <c r="AC554" s="2043">
        <v>0</v>
      </c>
      <c r="AD554">
        <v>0</v>
      </c>
      <c r="AE554" s="2043">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283150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s="2043">
        <v>0</v>
      </c>
      <c r="CZ554" s="2043">
        <v>0</v>
      </c>
      <c r="DA554" s="2043">
        <v>0</v>
      </c>
      <c r="DB554" s="2043">
        <v>0</v>
      </c>
      <c r="DC554" s="2043">
        <v>0</v>
      </c>
      <c r="DI554" t="s">
        <v>8508</v>
      </c>
      <c r="DJ554" t="s">
        <v>8508</v>
      </c>
      <c r="DK554" s="2042">
        <f t="shared" si="10"/>
        <v>0</v>
      </c>
    </row>
    <row r="555" spans="1:115">
      <c r="A555" t="s">
        <v>5812</v>
      </c>
      <c r="B555" t="s">
        <v>1842</v>
      </c>
      <c r="C555">
        <v>118.29</v>
      </c>
      <c r="D555">
        <v>124.89</v>
      </c>
      <c r="E555">
        <v>6.1230000000000002</v>
      </c>
      <c r="F555">
        <v>0</v>
      </c>
      <c r="G555" s="2043">
        <v>220530406</v>
      </c>
      <c r="H555">
        <v>0</v>
      </c>
      <c r="I555" s="2043">
        <v>0</v>
      </c>
      <c r="J555">
        <v>5.915</v>
      </c>
      <c r="K555">
        <v>16</v>
      </c>
      <c r="L555">
        <v>0</v>
      </c>
      <c r="M555">
        <v>0</v>
      </c>
      <c r="N555">
        <v>0</v>
      </c>
      <c r="O555">
        <v>0</v>
      </c>
      <c r="P555">
        <v>0</v>
      </c>
      <c r="Q555">
        <v>0</v>
      </c>
      <c r="R555" s="2043">
        <v>1892207</v>
      </c>
      <c r="S555">
        <v>104300</v>
      </c>
      <c r="T555">
        <v>0</v>
      </c>
      <c r="U555">
        <v>0.05</v>
      </c>
      <c r="V555">
        <v>0</v>
      </c>
      <c r="W555">
        <v>275598</v>
      </c>
      <c r="X555">
        <v>0</v>
      </c>
      <c r="Y555">
        <v>0</v>
      </c>
      <c r="Z555">
        <v>0</v>
      </c>
      <c r="AA555">
        <v>0</v>
      </c>
      <c r="AB555">
        <v>123.986</v>
      </c>
      <c r="AC555" s="2043">
        <v>226755727</v>
      </c>
      <c r="AD555">
        <v>0</v>
      </c>
      <c r="AE555" s="2043">
        <v>1996507</v>
      </c>
      <c r="AF555">
        <v>0.95710000000000006</v>
      </c>
      <c r="AG555">
        <v>0</v>
      </c>
      <c r="AH555">
        <v>275598</v>
      </c>
      <c r="AI555">
        <v>0</v>
      </c>
      <c r="AJ555">
        <v>28.725000000000001</v>
      </c>
      <c r="AK555">
        <v>655</v>
      </c>
      <c r="AL555">
        <v>0</v>
      </c>
      <c r="AM555">
        <v>0</v>
      </c>
      <c r="AN555">
        <v>0</v>
      </c>
      <c r="AO555">
        <v>0</v>
      </c>
      <c r="AP555">
        <v>0</v>
      </c>
      <c r="AQ555">
        <v>0</v>
      </c>
      <c r="AR555">
        <v>5.72</v>
      </c>
      <c r="AS555">
        <v>0</v>
      </c>
      <c r="AT555">
        <v>0</v>
      </c>
      <c r="AU555">
        <v>0.193</v>
      </c>
      <c r="AV555">
        <v>0</v>
      </c>
      <c r="AW555">
        <v>5.9130000000000003</v>
      </c>
      <c r="AX555">
        <v>0</v>
      </c>
      <c r="AY555">
        <v>18.125</v>
      </c>
      <c r="AZ555">
        <v>0</v>
      </c>
      <c r="BA555">
        <v>72957</v>
      </c>
      <c r="BB555">
        <v>1996507</v>
      </c>
      <c r="BC555">
        <v>0</v>
      </c>
      <c r="BD555">
        <v>57290</v>
      </c>
      <c r="BE555">
        <v>0</v>
      </c>
      <c r="BF555">
        <v>57290</v>
      </c>
      <c r="BG555">
        <v>57290</v>
      </c>
      <c r="BH555">
        <v>0</v>
      </c>
      <c r="BI555">
        <v>0</v>
      </c>
      <c r="BJ555">
        <v>0</v>
      </c>
      <c r="BK555">
        <v>118910</v>
      </c>
      <c r="BL555">
        <v>220530406</v>
      </c>
      <c r="BM555">
        <v>0</v>
      </c>
      <c r="BN555">
        <v>0</v>
      </c>
      <c r="BO555">
        <v>0</v>
      </c>
      <c r="BP555">
        <v>0</v>
      </c>
      <c r="BQ555">
        <v>0</v>
      </c>
      <c r="BR555">
        <v>0.90710000000000002</v>
      </c>
      <c r="BS555">
        <v>0.90710000000000002</v>
      </c>
      <c r="BT555">
        <v>0</v>
      </c>
      <c r="BU555">
        <v>0</v>
      </c>
      <c r="BV555">
        <v>29</v>
      </c>
      <c r="BW555">
        <v>76</v>
      </c>
      <c r="BX555">
        <v>6</v>
      </c>
      <c r="BY555">
        <v>8</v>
      </c>
      <c r="BZ555">
        <v>2</v>
      </c>
      <c r="CA555">
        <v>121</v>
      </c>
      <c r="CB555">
        <v>0</v>
      </c>
      <c r="CC555">
        <v>0</v>
      </c>
      <c r="CD555">
        <v>0</v>
      </c>
      <c r="CE555">
        <v>10</v>
      </c>
      <c r="CF555">
        <v>42.816000000000003</v>
      </c>
      <c r="CG555">
        <v>0</v>
      </c>
      <c r="CH555">
        <v>0</v>
      </c>
      <c r="CI555">
        <v>0</v>
      </c>
      <c r="CJ555">
        <v>0</v>
      </c>
      <c r="CK555">
        <v>0</v>
      </c>
      <c r="CL555">
        <v>0</v>
      </c>
      <c r="CM555">
        <v>6.1230000000000002</v>
      </c>
      <c r="CN555">
        <v>0</v>
      </c>
      <c r="CO555">
        <v>0</v>
      </c>
      <c r="CP555">
        <v>0</v>
      </c>
      <c r="CQ555">
        <v>0</v>
      </c>
      <c r="CR555">
        <v>0</v>
      </c>
      <c r="CS555">
        <v>0</v>
      </c>
      <c r="CT555">
        <v>0</v>
      </c>
      <c r="CU555">
        <v>0</v>
      </c>
      <c r="CV555">
        <v>0</v>
      </c>
      <c r="CW555">
        <v>0</v>
      </c>
      <c r="CX555">
        <v>0</v>
      </c>
      <c r="CY555" s="2043">
        <v>0</v>
      </c>
      <c r="CZ555" s="2043">
        <v>0</v>
      </c>
      <c r="DA555" s="2043">
        <v>118910</v>
      </c>
      <c r="DB555" s="2043">
        <v>0</v>
      </c>
      <c r="DC555" s="2043">
        <v>40000</v>
      </c>
      <c r="DI555" t="s">
        <v>5812</v>
      </c>
      <c r="DJ555" t="s">
        <v>5812</v>
      </c>
      <c r="DK555" s="2042">
        <f t="shared" si="10"/>
        <v>0</v>
      </c>
    </row>
    <row r="556" spans="1:115">
      <c r="A556" t="s">
        <v>5075</v>
      </c>
      <c r="B556" t="s">
        <v>1412</v>
      </c>
      <c r="C556">
        <v>4572.192</v>
      </c>
      <c r="D556">
        <v>4769.2190000000001</v>
      </c>
      <c r="E556">
        <v>735.08500000000004</v>
      </c>
      <c r="F556">
        <v>0</v>
      </c>
      <c r="G556" s="2043">
        <v>2557707429</v>
      </c>
      <c r="H556">
        <v>0</v>
      </c>
      <c r="I556" s="2043">
        <v>7099891</v>
      </c>
      <c r="J556">
        <v>228.61</v>
      </c>
      <c r="K556">
        <v>625</v>
      </c>
      <c r="L556">
        <v>0</v>
      </c>
      <c r="M556">
        <v>0</v>
      </c>
      <c r="N556">
        <v>0</v>
      </c>
      <c r="O556">
        <v>0</v>
      </c>
      <c r="P556">
        <v>0</v>
      </c>
      <c r="Q556">
        <v>0</v>
      </c>
      <c r="R556" s="2043">
        <v>22601633</v>
      </c>
      <c r="S556">
        <v>1237225</v>
      </c>
      <c r="T556">
        <v>0</v>
      </c>
      <c r="U556">
        <v>0.05</v>
      </c>
      <c r="V556">
        <v>0</v>
      </c>
      <c r="W556">
        <v>0</v>
      </c>
      <c r="X556">
        <v>0</v>
      </c>
      <c r="Y556">
        <v>0</v>
      </c>
      <c r="Z556">
        <v>0</v>
      </c>
      <c r="AA556">
        <v>1.1340000000000001</v>
      </c>
      <c r="AB556">
        <v>4401.1689999999999</v>
      </c>
      <c r="AC556" s="2043">
        <v>2639837050</v>
      </c>
      <c r="AD556">
        <v>7131276</v>
      </c>
      <c r="AE556" s="2043">
        <v>23838858</v>
      </c>
      <c r="AF556">
        <v>0.96340000000000003</v>
      </c>
      <c r="AG556">
        <v>0</v>
      </c>
      <c r="AH556">
        <v>0</v>
      </c>
      <c r="AI556">
        <v>0</v>
      </c>
      <c r="AJ556">
        <v>963.95</v>
      </c>
      <c r="AK556">
        <v>9606</v>
      </c>
      <c r="AL556">
        <v>0.254</v>
      </c>
      <c r="AM556">
        <v>0</v>
      </c>
      <c r="AN556">
        <v>74.927999999999997</v>
      </c>
      <c r="AO556">
        <v>0</v>
      </c>
      <c r="AP556">
        <v>0</v>
      </c>
      <c r="AQ556">
        <v>4.1109999999999998</v>
      </c>
      <c r="AR556">
        <v>59.993000000000002</v>
      </c>
      <c r="AS556">
        <v>0</v>
      </c>
      <c r="AT556">
        <v>25.901</v>
      </c>
      <c r="AU556">
        <v>7.6230000000000002</v>
      </c>
      <c r="AV556">
        <v>0</v>
      </c>
      <c r="AW556">
        <v>104.447</v>
      </c>
      <c r="AX556">
        <v>6.5650000000000004</v>
      </c>
      <c r="AY556">
        <v>312.16700000000003</v>
      </c>
      <c r="AZ556">
        <v>0</v>
      </c>
      <c r="BA556">
        <v>18327194</v>
      </c>
      <c r="BB556">
        <v>30970134</v>
      </c>
      <c r="BC556">
        <v>0</v>
      </c>
      <c r="BD556">
        <v>387746</v>
      </c>
      <c r="BE556">
        <v>94818</v>
      </c>
      <c r="BF556">
        <v>506379</v>
      </c>
      <c r="BG556">
        <v>387746</v>
      </c>
      <c r="BH556">
        <v>23815</v>
      </c>
      <c r="BI556">
        <v>0</v>
      </c>
      <c r="BJ556">
        <v>0</v>
      </c>
      <c r="BK556">
        <v>0</v>
      </c>
      <c r="BL556">
        <v>2557707429</v>
      </c>
      <c r="BM556">
        <v>0</v>
      </c>
      <c r="BN556">
        <v>17820</v>
      </c>
      <c r="BO556">
        <v>12658</v>
      </c>
      <c r="BP556">
        <v>0</v>
      </c>
      <c r="BQ556">
        <v>0</v>
      </c>
      <c r="BR556">
        <v>0.91339999999999999</v>
      </c>
      <c r="BS556">
        <v>0.91339999999999999</v>
      </c>
      <c r="BT556">
        <v>0</v>
      </c>
      <c r="BU556">
        <v>0</v>
      </c>
      <c r="BV556">
        <v>978</v>
      </c>
      <c r="BW556">
        <v>1043</v>
      </c>
      <c r="BX556">
        <v>149</v>
      </c>
      <c r="BY556">
        <v>1411</v>
      </c>
      <c r="BZ556">
        <v>322</v>
      </c>
      <c r="CA556">
        <v>3903</v>
      </c>
      <c r="CB556">
        <v>0</v>
      </c>
      <c r="CC556">
        <v>178.65800000000002</v>
      </c>
      <c r="CD556">
        <v>0</v>
      </c>
      <c r="CE556">
        <v>131</v>
      </c>
      <c r="CF556">
        <v>1478.527</v>
      </c>
      <c r="CG556">
        <v>0</v>
      </c>
      <c r="CH556">
        <v>5.7620000000000005</v>
      </c>
      <c r="CI556">
        <v>0</v>
      </c>
      <c r="CJ556">
        <v>0</v>
      </c>
      <c r="CK556">
        <v>0</v>
      </c>
      <c r="CL556">
        <v>5.7620000000000005</v>
      </c>
      <c r="CM556">
        <v>735.08500000000004</v>
      </c>
      <c r="CN556">
        <v>0</v>
      </c>
      <c r="CO556">
        <v>0</v>
      </c>
      <c r="CP556">
        <v>0</v>
      </c>
      <c r="CQ556">
        <v>0</v>
      </c>
      <c r="CR556">
        <v>0</v>
      </c>
      <c r="CS556">
        <v>0</v>
      </c>
      <c r="CT556">
        <v>0</v>
      </c>
      <c r="CU556">
        <v>18.839000000000002</v>
      </c>
      <c r="CV556">
        <v>225.26500000000001</v>
      </c>
      <c r="CW556">
        <v>125.099</v>
      </c>
      <c r="CX556">
        <v>0</v>
      </c>
      <c r="CY556" s="2043">
        <v>0</v>
      </c>
      <c r="CZ556" s="2043">
        <v>0</v>
      </c>
      <c r="DA556" s="2043">
        <v>0</v>
      </c>
      <c r="DB556" s="2043">
        <v>0</v>
      </c>
      <c r="DC556" s="2043">
        <v>0</v>
      </c>
      <c r="DI556" t="s">
        <v>5075</v>
      </c>
      <c r="DJ556" t="s">
        <v>5075</v>
      </c>
      <c r="DK556" s="2042">
        <f t="shared" si="10"/>
        <v>0</v>
      </c>
    </row>
    <row r="557" spans="1:115">
      <c r="A557" t="s">
        <v>5076</v>
      </c>
      <c r="B557" t="s">
        <v>1413</v>
      </c>
      <c r="C557">
        <v>774.65800000000002</v>
      </c>
      <c r="D557">
        <v>752.12099999999998</v>
      </c>
      <c r="E557">
        <v>67.685000000000002</v>
      </c>
      <c r="F557">
        <v>0</v>
      </c>
      <c r="G557" s="2043">
        <v>479962131</v>
      </c>
      <c r="H557">
        <v>0</v>
      </c>
      <c r="I557" s="2043">
        <v>1267044</v>
      </c>
      <c r="J557">
        <v>38.733000000000004</v>
      </c>
      <c r="K557">
        <v>106</v>
      </c>
      <c r="L557">
        <v>0</v>
      </c>
      <c r="M557">
        <v>0</v>
      </c>
      <c r="N557">
        <v>0</v>
      </c>
      <c r="O557">
        <v>0</v>
      </c>
      <c r="P557">
        <v>0</v>
      </c>
      <c r="Q557">
        <v>0</v>
      </c>
      <c r="R557" s="2043">
        <v>4206306</v>
      </c>
      <c r="S557">
        <v>255858</v>
      </c>
      <c r="T557">
        <v>0</v>
      </c>
      <c r="U557">
        <v>0.05</v>
      </c>
      <c r="V557">
        <v>0</v>
      </c>
      <c r="W557">
        <v>0</v>
      </c>
      <c r="X557">
        <v>0</v>
      </c>
      <c r="Y557">
        <v>0</v>
      </c>
      <c r="Z557">
        <v>0</v>
      </c>
      <c r="AA557">
        <v>0</v>
      </c>
      <c r="AB557">
        <v>752.12099999999998</v>
      </c>
      <c r="AC557" s="2043">
        <v>434143732</v>
      </c>
      <c r="AD557">
        <v>1393353</v>
      </c>
      <c r="AE557" s="2043">
        <v>4462164</v>
      </c>
      <c r="AF557">
        <v>0.872</v>
      </c>
      <c r="AG557">
        <v>0</v>
      </c>
      <c r="AH557">
        <v>0</v>
      </c>
      <c r="AI557">
        <v>0</v>
      </c>
      <c r="AJ557">
        <v>135.71299999999999</v>
      </c>
      <c r="AK557">
        <v>3530</v>
      </c>
      <c r="AL557">
        <v>0.10300000000000001</v>
      </c>
      <c r="AM557">
        <v>0</v>
      </c>
      <c r="AN557">
        <v>24.956</v>
      </c>
      <c r="AO557">
        <v>0</v>
      </c>
      <c r="AP557">
        <v>0</v>
      </c>
      <c r="AQ557">
        <v>0</v>
      </c>
      <c r="AR557">
        <v>18.031000000000002</v>
      </c>
      <c r="AS557">
        <v>0</v>
      </c>
      <c r="AT557">
        <v>7.9510000000000005</v>
      </c>
      <c r="AU557">
        <v>1.069</v>
      </c>
      <c r="AV557">
        <v>0</v>
      </c>
      <c r="AW557">
        <v>27.154</v>
      </c>
      <c r="AX557">
        <v>0</v>
      </c>
      <c r="AY557">
        <v>83.805999999999997</v>
      </c>
      <c r="AZ557">
        <v>0</v>
      </c>
      <c r="BA557">
        <v>5296793</v>
      </c>
      <c r="BB557">
        <v>5855517</v>
      </c>
      <c r="BC557">
        <v>0</v>
      </c>
      <c r="BD557">
        <v>31750</v>
      </c>
      <c r="BE557">
        <v>29</v>
      </c>
      <c r="BF557">
        <v>33280</v>
      </c>
      <c r="BG557">
        <v>31750</v>
      </c>
      <c r="BH557">
        <v>1501</v>
      </c>
      <c r="BI557">
        <v>0</v>
      </c>
      <c r="BJ557">
        <v>0</v>
      </c>
      <c r="BK557">
        <v>0</v>
      </c>
      <c r="BL557">
        <v>479962131</v>
      </c>
      <c r="BM557">
        <v>0</v>
      </c>
      <c r="BN557">
        <v>3195</v>
      </c>
      <c r="BO557">
        <v>2718</v>
      </c>
      <c r="BP557">
        <v>0</v>
      </c>
      <c r="BQ557">
        <v>0</v>
      </c>
      <c r="BR557">
        <v>0.82200000000000006</v>
      </c>
      <c r="BS557">
        <v>0.82200000000000006</v>
      </c>
      <c r="BT557">
        <v>0</v>
      </c>
      <c r="BU557">
        <v>0</v>
      </c>
      <c r="BV557">
        <v>12</v>
      </c>
      <c r="BW557">
        <v>320</v>
      </c>
      <c r="BX557">
        <v>215</v>
      </c>
      <c r="BY557">
        <v>3</v>
      </c>
      <c r="BZ557">
        <v>9</v>
      </c>
      <c r="CA557">
        <v>559</v>
      </c>
      <c r="CB557">
        <v>0</v>
      </c>
      <c r="CC557">
        <v>0</v>
      </c>
      <c r="CD557">
        <v>0</v>
      </c>
      <c r="CE557">
        <v>48</v>
      </c>
      <c r="CF557">
        <v>166.54300000000001</v>
      </c>
      <c r="CG557">
        <v>0</v>
      </c>
      <c r="CH557">
        <v>0</v>
      </c>
      <c r="CI557">
        <v>1</v>
      </c>
      <c r="CJ557">
        <v>1</v>
      </c>
      <c r="CK557">
        <v>0</v>
      </c>
      <c r="CL557">
        <v>0</v>
      </c>
      <c r="CM557">
        <v>67.685000000000002</v>
      </c>
      <c r="CN557">
        <v>0</v>
      </c>
      <c r="CO557">
        <v>0</v>
      </c>
      <c r="CP557">
        <v>0</v>
      </c>
      <c r="CQ557">
        <v>0</v>
      </c>
      <c r="CR557">
        <v>0</v>
      </c>
      <c r="CS557">
        <v>0</v>
      </c>
      <c r="CT557">
        <v>0</v>
      </c>
      <c r="CU557">
        <v>0.79300000000000004</v>
      </c>
      <c r="CV557">
        <v>68.152000000000001</v>
      </c>
      <c r="CW557">
        <v>41.856999999999999</v>
      </c>
      <c r="CX557">
        <v>0</v>
      </c>
      <c r="CY557" s="2043">
        <v>0</v>
      </c>
      <c r="CZ557" s="2043">
        <v>0</v>
      </c>
      <c r="DA557" s="2043">
        <v>0</v>
      </c>
      <c r="DB557" s="2043">
        <v>0</v>
      </c>
      <c r="DC557" s="2043">
        <v>0</v>
      </c>
      <c r="DI557" t="s">
        <v>5076</v>
      </c>
      <c r="DJ557" t="s">
        <v>5076</v>
      </c>
      <c r="DK557" s="2042">
        <f t="shared" si="10"/>
        <v>0</v>
      </c>
    </row>
    <row r="558" spans="1:115">
      <c r="A558" t="s">
        <v>5077</v>
      </c>
      <c r="B558" t="s">
        <v>1414</v>
      </c>
      <c r="C558">
        <v>17131.645</v>
      </c>
      <c r="D558">
        <v>14862.48</v>
      </c>
      <c r="E558">
        <v>1174.7950000000001</v>
      </c>
      <c r="F558">
        <v>0</v>
      </c>
      <c r="G558" s="2043">
        <v>2936640867</v>
      </c>
      <c r="H558">
        <v>0</v>
      </c>
      <c r="I558" s="2043">
        <v>8691041</v>
      </c>
      <c r="J558">
        <v>851</v>
      </c>
      <c r="K558">
        <v>2327</v>
      </c>
      <c r="L558">
        <v>0</v>
      </c>
      <c r="M558">
        <v>0</v>
      </c>
      <c r="N558">
        <v>0</v>
      </c>
      <c r="O558">
        <v>0</v>
      </c>
      <c r="P558">
        <v>0</v>
      </c>
      <c r="Q558">
        <v>0</v>
      </c>
      <c r="R558" s="2043">
        <v>25136640</v>
      </c>
      <c r="S558">
        <v>1379618</v>
      </c>
      <c r="T558">
        <v>0</v>
      </c>
      <c r="U558">
        <v>0.05</v>
      </c>
      <c r="V558">
        <v>0</v>
      </c>
      <c r="W558">
        <v>0</v>
      </c>
      <c r="X558">
        <v>0</v>
      </c>
      <c r="Y558">
        <v>0</v>
      </c>
      <c r="Z558">
        <v>0</v>
      </c>
      <c r="AA558">
        <v>8.0000000000000002E-3</v>
      </c>
      <c r="AB558">
        <v>14168.201000000001</v>
      </c>
      <c r="AC558" s="2043">
        <v>2858644942</v>
      </c>
      <c r="AD558">
        <v>6883487</v>
      </c>
      <c r="AE558" s="2043">
        <v>26516258</v>
      </c>
      <c r="AF558">
        <v>0.96100000000000008</v>
      </c>
      <c r="AG558">
        <v>0</v>
      </c>
      <c r="AH558">
        <v>0</v>
      </c>
      <c r="AI558">
        <v>0</v>
      </c>
      <c r="AJ558">
        <v>2516.4880000000003</v>
      </c>
      <c r="AK558">
        <v>86754</v>
      </c>
      <c r="AL558">
        <v>0.16700000000000001</v>
      </c>
      <c r="AM558">
        <v>0</v>
      </c>
      <c r="AN558">
        <v>432.17700000000002</v>
      </c>
      <c r="AO558">
        <v>0</v>
      </c>
      <c r="AP558">
        <v>5.5E-2</v>
      </c>
      <c r="AQ558">
        <v>0</v>
      </c>
      <c r="AR558">
        <v>922.37700000000007</v>
      </c>
      <c r="AS558">
        <v>0</v>
      </c>
      <c r="AT558">
        <v>134.47</v>
      </c>
      <c r="AU558">
        <v>31.957000000000001</v>
      </c>
      <c r="AV558">
        <v>0</v>
      </c>
      <c r="AW558">
        <v>1090.03</v>
      </c>
      <c r="AX558">
        <v>1.004</v>
      </c>
      <c r="AY558">
        <v>3333.6190000000001</v>
      </c>
      <c r="AZ558">
        <v>0</v>
      </c>
      <c r="BA558">
        <v>136675496</v>
      </c>
      <c r="BB558">
        <v>33399745</v>
      </c>
      <c r="BC558">
        <v>0</v>
      </c>
      <c r="BD558">
        <v>389047</v>
      </c>
      <c r="BE558">
        <v>102684</v>
      </c>
      <c r="BF558">
        <v>491731</v>
      </c>
      <c r="BG558">
        <v>389047</v>
      </c>
      <c r="BH558">
        <v>0</v>
      </c>
      <c r="BI558">
        <v>0</v>
      </c>
      <c r="BJ558">
        <v>0</v>
      </c>
      <c r="BK558">
        <v>0</v>
      </c>
      <c r="BL558">
        <v>2936640867</v>
      </c>
      <c r="BM558">
        <v>0</v>
      </c>
      <c r="BN558">
        <v>76257</v>
      </c>
      <c r="BO558">
        <v>9812</v>
      </c>
      <c r="BP558">
        <v>0</v>
      </c>
      <c r="BQ558">
        <v>0</v>
      </c>
      <c r="BR558">
        <v>0.91100000000000003</v>
      </c>
      <c r="BS558">
        <v>0.91100000000000003</v>
      </c>
      <c r="BT558">
        <v>0</v>
      </c>
      <c r="BU558">
        <v>0</v>
      </c>
      <c r="BV558">
        <v>2516</v>
      </c>
      <c r="BW558">
        <v>3033</v>
      </c>
      <c r="BX558">
        <v>2040</v>
      </c>
      <c r="BY558">
        <v>1422</v>
      </c>
      <c r="BZ558">
        <v>1261</v>
      </c>
      <c r="CA558">
        <v>10272</v>
      </c>
      <c r="CB558">
        <v>0</v>
      </c>
      <c r="CC558">
        <v>0</v>
      </c>
      <c r="CD558">
        <v>0</v>
      </c>
      <c r="CE558">
        <v>1651</v>
      </c>
      <c r="CF558">
        <v>890.95600000000002</v>
      </c>
      <c r="CG558">
        <v>13670.481</v>
      </c>
      <c r="CH558">
        <v>0</v>
      </c>
      <c r="CI558">
        <v>0</v>
      </c>
      <c r="CJ558">
        <v>0</v>
      </c>
      <c r="CK558">
        <v>0</v>
      </c>
      <c r="CL558">
        <v>13670.481</v>
      </c>
      <c r="CM558">
        <v>1174.7950000000001</v>
      </c>
      <c r="CN558">
        <v>0</v>
      </c>
      <c r="CO558">
        <v>0</v>
      </c>
      <c r="CP558">
        <v>0</v>
      </c>
      <c r="CQ558">
        <v>0</v>
      </c>
      <c r="CR558">
        <v>0</v>
      </c>
      <c r="CS558">
        <v>0</v>
      </c>
      <c r="CT558">
        <v>0</v>
      </c>
      <c r="CU558">
        <v>29.456000000000003</v>
      </c>
      <c r="CV558">
        <v>1430.7340000000002</v>
      </c>
      <c r="CW558">
        <v>274.28700000000003</v>
      </c>
      <c r="CX558">
        <v>0</v>
      </c>
      <c r="CY558" s="2043">
        <v>0</v>
      </c>
      <c r="CZ558" s="2043">
        <v>0</v>
      </c>
      <c r="DA558" s="2043">
        <v>0</v>
      </c>
      <c r="DB558" s="2043">
        <v>0</v>
      </c>
      <c r="DC558" s="2043">
        <v>0</v>
      </c>
      <c r="DI558" t="s">
        <v>5077</v>
      </c>
      <c r="DJ558" t="s">
        <v>5077</v>
      </c>
      <c r="DK558" s="2042">
        <f t="shared" si="10"/>
        <v>0</v>
      </c>
    </row>
    <row r="559" spans="1:115">
      <c r="A559" t="s">
        <v>5078</v>
      </c>
      <c r="B559" t="s">
        <v>1477</v>
      </c>
      <c r="C559">
        <v>674.28399999999999</v>
      </c>
      <c r="D559">
        <v>684.41</v>
      </c>
      <c r="E559">
        <v>11.348000000000001</v>
      </c>
      <c r="F559">
        <v>0</v>
      </c>
      <c r="G559" s="2043">
        <v>194075919</v>
      </c>
      <c r="H559">
        <v>0</v>
      </c>
      <c r="I559" s="2043">
        <v>153123</v>
      </c>
      <c r="J559">
        <v>33.713999999999999</v>
      </c>
      <c r="K559">
        <v>92</v>
      </c>
      <c r="L559">
        <v>0</v>
      </c>
      <c r="M559">
        <v>0</v>
      </c>
      <c r="N559">
        <v>0</v>
      </c>
      <c r="O559">
        <v>0</v>
      </c>
      <c r="P559">
        <v>0</v>
      </c>
      <c r="Q559">
        <v>0</v>
      </c>
      <c r="R559" s="2043">
        <v>1523727</v>
      </c>
      <c r="S559">
        <v>141119</v>
      </c>
      <c r="T559">
        <v>102840</v>
      </c>
      <c r="U559">
        <v>0.08</v>
      </c>
      <c r="V559">
        <v>0</v>
      </c>
      <c r="W559">
        <v>0</v>
      </c>
      <c r="X559">
        <v>0</v>
      </c>
      <c r="Y559">
        <v>0</v>
      </c>
      <c r="Z559">
        <v>0</v>
      </c>
      <c r="AA559">
        <v>0</v>
      </c>
      <c r="AB559">
        <v>684.41</v>
      </c>
      <c r="AC559" s="2043">
        <v>180304267</v>
      </c>
      <c r="AD559">
        <v>140376</v>
      </c>
      <c r="AE559" s="2043">
        <v>1767686</v>
      </c>
      <c r="AF559">
        <v>1.0021</v>
      </c>
      <c r="AG559">
        <v>0</v>
      </c>
      <c r="AH559">
        <v>0</v>
      </c>
      <c r="AI559">
        <v>0</v>
      </c>
      <c r="AJ559">
        <v>80.213000000000008</v>
      </c>
      <c r="AK559">
        <v>3147</v>
      </c>
      <c r="AL559">
        <v>0</v>
      </c>
      <c r="AM559">
        <v>0</v>
      </c>
      <c r="AN559">
        <v>31.236000000000001</v>
      </c>
      <c r="AO559">
        <v>0</v>
      </c>
      <c r="AP559">
        <v>0</v>
      </c>
      <c r="AQ559">
        <v>0</v>
      </c>
      <c r="AR559">
        <v>18.841000000000001</v>
      </c>
      <c r="AS559">
        <v>0</v>
      </c>
      <c r="AT559">
        <v>0.748</v>
      </c>
      <c r="AU559">
        <v>0.878</v>
      </c>
      <c r="AV559">
        <v>0</v>
      </c>
      <c r="AW559">
        <v>20.467000000000002</v>
      </c>
      <c r="AX559">
        <v>0</v>
      </c>
      <c r="AY559">
        <v>63.157000000000004</v>
      </c>
      <c r="AZ559">
        <v>0</v>
      </c>
      <c r="BA559">
        <v>6651843</v>
      </c>
      <c r="BB559">
        <v>1908062</v>
      </c>
      <c r="BC559">
        <v>0</v>
      </c>
      <c r="BD559">
        <v>60336</v>
      </c>
      <c r="BE559">
        <v>0</v>
      </c>
      <c r="BF559">
        <v>60336</v>
      </c>
      <c r="BG559">
        <v>60336</v>
      </c>
      <c r="BH559">
        <v>0</v>
      </c>
      <c r="BI559">
        <v>0</v>
      </c>
      <c r="BJ559">
        <v>0</v>
      </c>
      <c r="BK559">
        <v>0</v>
      </c>
      <c r="BL559">
        <v>194075919</v>
      </c>
      <c r="BM559">
        <v>0</v>
      </c>
      <c r="BN559">
        <v>2754</v>
      </c>
      <c r="BO559">
        <v>2472</v>
      </c>
      <c r="BP559">
        <v>0</v>
      </c>
      <c r="BQ559">
        <v>0</v>
      </c>
      <c r="BR559">
        <v>0.86380000000000001</v>
      </c>
      <c r="BS559">
        <v>0.86380000000000001</v>
      </c>
      <c r="BT559">
        <v>0</v>
      </c>
      <c r="BU559">
        <v>0</v>
      </c>
      <c r="BV559">
        <v>80</v>
      </c>
      <c r="BW559">
        <v>91</v>
      </c>
      <c r="BX559">
        <v>158</v>
      </c>
      <c r="BY559">
        <v>0</v>
      </c>
      <c r="BZ559">
        <v>4</v>
      </c>
      <c r="CA559">
        <v>333</v>
      </c>
      <c r="CB559">
        <v>0</v>
      </c>
      <c r="CC559">
        <v>0</v>
      </c>
      <c r="CD559">
        <v>0</v>
      </c>
      <c r="CE559">
        <v>39</v>
      </c>
      <c r="CF559">
        <v>115.12</v>
      </c>
      <c r="CG559">
        <v>0</v>
      </c>
      <c r="CH559">
        <v>0</v>
      </c>
      <c r="CI559">
        <v>0</v>
      </c>
      <c r="CJ559">
        <v>3</v>
      </c>
      <c r="CK559">
        <v>0</v>
      </c>
      <c r="CL559">
        <v>0</v>
      </c>
      <c r="CM559">
        <v>11.348000000000001</v>
      </c>
      <c r="CN559">
        <v>0</v>
      </c>
      <c r="CO559">
        <v>0</v>
      </c>
      <c r="CP559">
        <v>0</v>
      </c>
      <c r="CQ559">
        <v>0</v>
      </c>
      <c r="CR559">
        <v>0</v>
      </c>
      <c r="CS559">
        <v>0</v>
      </c>
      <c r="CT559">
        <v>0</v>
      </c>
      <c r="CU559">
        <v>3.677</v>
      </c>
      <c r="CV559">
        <v>33.155999999999999</v>
      </c>
      <c r="CW559">
        <v>23.022000000000002</v>
      </c>
      <c r="CX559">
        <v>0</v>
      </c>
      <c r="CY559" s="2043">
        <v>0</v>
      </c>
      <c r="CZ559" s="2043">
        <v>0</v>
      </c>
      <c r="DA559" s="2043">
        <v>0</v>
      </c>
      <c r="DB559" s="2043">
        <v>0</v>
      </c>
      <c r="DC559" s="2043">
        <v>0</v>
      </c>
      <c r="DI559" t="s">
        <v>5078</v>
      </c>
      <c r="DJ559" t="s">
        <v>5078</v>
      </c>
      <c r="DK559" s="2042">
        <f t="shared" si="10"/>
        <v>0</v>
      </c>
    </row>
    <row r="560" spans="1:115">
      <c r="A560" t="s">
        <v>5079</v>
      </c>
      <c r="B560" t="s">
        <v>1478</v>
      </c>
      <c r="C560">
        <v>772.01600000000008</v>
      </c>
      <c r="D560">
        <v>854.12</v>
      </c>
      <c r="E560">
        <v>2.9540000000000002</v>
      </c>
      <c r="F560">
        <v>0</v>
      </c>
      <c r="G560" s="2043">
        <v>1055675273</v>
      </c>
      <c r="H560">
        <v>-404949</v>
      </c>
      <c r="I560" s="2043">
        <v>937400</v>
      </c>
      <c r="J560">
        <v>38.600999999999999</v>
      </c>
      <c r="K560">
        <v>106</v>
      </c>
      <c r="L560">
        <v>0</v>
      </c>
      <c r="M560">
        <v>0</v>
      </c>
      <c r="N560">
        <v>0</v>
      </c>
      <c r="O560">
        <v>0</v>
      </c>
      <c r="P560">
        <v>0</v>
      </c>
      <c r="Q560">
        <v>0</v>
      </c>
      <c r="R560" s="2043">
        <v>10581365</v>
      </c>
      <c r="S560">
        <v>643635</v>
      </c>
      <c r="T560">
        <v>0</v>
      </c>
      <c r="U560">
        <v>0.05</v>
      </c>
      <c r="V560">
        <v>0</v>
      </c>
      <c r="W560">
        <v>404949</v>
      </c>
      <c r="X560">
        <v>0</v>
      </c>
      <c r="Y560">
        <v>-404949</v>
      </c>
      <c r="Z560">
        <v>0</v>
      </c>
      <c r="AA560">
        <v>0</v>
      </c>
      <c r="AB560">
        <v>821.88700000000006</v>
      </c>
      <c r="AC560" s="2043">
        <v>350655703</v>
      </c>
      <c r="AD560">
        <v>859000</v>
      </c>
      <c r="AE560" s="2043">
        <v>11225000</v>
      </c>
      <c r="AF560">
        <v>0.872</v>
      </c>
      <c r="AG560">
        <v>0</v>
      </c>
      <c r="AH560">
        <v>404949</v>
      </c>
      <c r="AI560">
        <v>0</v>
      </c>
      <c r="AJ560">
        <v>125.15</v>
      </c>
      <c r="AK560">
        <v>4014</v>
      </c>
      <c r="AL560">
        <v>0.45700000000000002</v>
      </c>
      <c r="AM560">
        <v>0</v>
      </c>
      <c r="AN560">
        <v>35.027000000000001</v>
      </c>
      <c r="AO560">
        <v>0</v>
      </c>
      <c r="AP560">
        <v>0</v>
      </c>
      <c r="AQ560">
        <v>0</v>
      </c>
      <c r="AR560">
        <v>24.086000000000002</v>
      </c>
      <c r="AS560">
        <v>0</v>
      </c>
      <c r="AT560">
        <v>2.7829999999999999</v>
      </c>
      <c r="AU560">
        <v>1.153</v>
      </c>
      <c r="AV560">
        <v>0</v>
      </c>
      <c r="AW560">
        <v>28.479000000000003</v>
      </c>
      <c r="AX560">
        <v>0</v>
      </c>
      <c r="AY560">
        <v>88.657000000000011</v>
      </c>
      <c r="AZ560">
        <v>0</v>
      </c>
      <c r="BA560">
        <v>231965</v>
      </c>
      <c r="BB560">
        <v>12084000</v>
      </c>
      <c r="BC560">
        <v>0</v>
      </c>
      <c r="BD560">
        <v>114007</v>
      </c>
      <c r="BE560">
        <v>26905</v>
      </c>
      <c r="BF560">
        <v>140912</v>
      </c>
      <c r="BG560">
        <v>114007</v>
      </c>
      <c r="BH560">
        <v>0</v>
      </c>
      <c r="BI560">
        <v>0</v>
      </c>
      <c r="BJ560">
        <v>0</v>
      </c>
      <c r="BK560">
        <v>0</v>
      </c>
      <c r="BL560">
        <v>1055675273</v>
      </c>
      <c r="BM560">
        <v>0</v>
      </c>
      <c r="BN560">
        <v>2970</v>
      </c>
      <c r="BO560">
        <v>2557</v>
      </c>
      <c r="BP560">
        <v>0</v>
      </c>
      <c r="BQ560">
        <v>0</v>
      </c>
      <c r="BR560">
        <v>0.82200000000000006</v>
      </c>
      <c r="BS560">
        <v>0.82200000000000006</v>
      </c>
      <c r="BT560">
        <v>0</v>
      </c>
      <c r="BU560">
        <v>0</v>
      </c>
      <c r="BV560">
        <v>167</v>
      </c>
      <c r="BW560">
        <v>149</v>
      </c>
      <c r="BX560">
        <v>4</v>
      </c>
      <c r="BY560">
        <v>195</v>
      </c>
      <c r="BZ560">
        <v>0</v>
      </c>
      <c r="CA560">
        <v>515</v>
      </c>
      <c r="CB560">
        <v>0</v>
      </c>
      <c r="CC560">
        <v>0</v>
      </c>
      <c r="CD560">
        <v>0</v>
      </c>
      <c r="CE560">
        <v>25</v>
      </c>
      <c r="CF560">
        <v>145.05100000000002</v>
      </c>
      <c r="CG560">
        <v>0</v>
      </c>
      <c r="CH560">
        <v>0</v>
      </c>
      <c r="CI560">
        <v>0</v>
      </c>
      <c r="CJ560">
        <v>7</v>
      </c>
      <c r="CK560">
        <v>0</v>
      </c>
      <c r="CL560">
        <v>0</v>
      </c>
      <c r="CM560">
        <v>2.9540000000000002</v>
      </c>
      <c r="CN560">
        <v>0</v>
      </c>
      <c r="CO560">
        <v>0</v>
      </c>
      <c r="CP560">
        <v>0</v>
      </c>
      <c r="CQ560">
        <v>0</v>
      </c>
      <c r="CR560">
        <v>0</v>
      </c>
      <c r="CS560">
        <v>0</v>
      </c>
      <c r="CT560">
        <v>0</v>
      </c>
      <c r="CU560">
        <v>1.762</v>
      </c>
      <c r="CV560">
        <v>38.117000000000004</v>
      </c>
      <c r="CW560">
        <v>40.332000000000001</v>
      </c>
      <c r="CX560">
        <v>0</v>
      </c>
      <c r="CY560" s="2043">
        <v>0</v>
      </c>
      <c r="CZ560" s="2043">
        <v>0</v>
      </c>
      <c r="DA560" s="2043">
        <v>0</v>
      </c>
      <c r="DB560" s="2043">
        <v>0</v>
      </c>
      <c r="DC560" s="2043">
        <v>101198</v>
      </c>
      <c r="DI560" t="s">
        <v>5079</v>
      </c>
      <c r="DJ560" t="s">
        <v>5079</v>
      </c>
      <c r="DK560" s="2042">
        <f t="shared" si="10"/>
        <v>0</v>
      </c>
    </row>
    <row r="561" spans="1:115">
      <c r="A561" t="s">
        <v>5080</v>
      </c>
      <c r="B561" t="s">
        <v>469</v>
      </c>
      <c r="C561">
        <v>147.18600000000001</v>
      </c>
      <c r="D561">
        <v>152.04500000000002</v>
      </c>
      <c r="E561">
        <v>25.607000000000003</v>
      </c>
      <c r="F561">
        <v>0</v>
      </c>
      <c r="G561" s="2043">
        <v>210342296</v>
      </c>
      <c r="H561">
        <v>0</v>
      </c>
      <c r="I561" s="2043">
        <v>280375</v>
      </c>
      <c r="J561">
        <v>3</v>
      </c>
      <c r="K561">
        <v>8</v>
      </c>
      <c r="L561">
        <v>0</v>
      </c>
      <c r="M561">
        <v>0</v>
      </c>
      <c r="N561">
        <v>0</v>
      </c>
      <c r="O561">
        <v>0</v>
      </c>
      <c r="P561">
        <v>0</v>
      </c>
      <c r="Q561">
        <v>0</v>
      </c>
      <c r="R561" s="2043">
        <v>1804520</v>
      </c>
      <c r="S561">
        <v>104634</v>
      </c>
      <c r="T561">
        <v>0</v>
      </c>
      <c r="U561">
        <v>0.05</v>
      </c>
      <c r="V561">
        <v>0</v>
      </c>
      <c r="W561">
        <v>0</v>
      </c>
      <c r="X561">
        <v>0</v>
      </c>
      <c r="Y561">
        <v>0</v>
      </c>
      <c r="Z561">
        <v>0</v>
      </c>
      <c r="AA561">
        <v>0</v>
      </c>
      <c r="AB561">
        <v>152.04500000000002</v>
      </c>
      <c r="AC561" s="2043">
        <v>219305676</v>
      </c>
      <c r="AD561">
        <v>326395</v>
      </c>
      <c r="AE561" s="2043">
        <v>1909154</v>
      </c>
      <c r="AF561">
        <v>0.9123</v>
      </c>
      <c r="AG561">
        <v>0</v>
      </c>
      <c r="AH561">
        <v>0</v>
      </c>
      <c r="AI561">
        <v>0</v>
      </c>
      <c r="AJ561">
        <v>27.925000000000001</v>
      </c>
      <c r="AK561">
        <v>765</v>
      </c>
      <c r="AL561">
        <v>0</v>
      </c>
      <c r="AM561">
        <v>0</v>
      </c>
      <c r="AN561">
        <v>9.1070000000000011</v>
      </c>
      <c r="AO561">
        <v>0</v>
      </c>
      <c r="AP561">
        <v>0</v>
      </c>
      <c r="AQ561">
        <v>0</v>
      </c>
      <c r="AR561">
        <v>3.2250000000000001</v>
      </c>
      <c r="AS561">
        <v>0</v>
      </c>
      <c r="AT561">
        <v>0</v>
      </c>
      <c r="AU561">
        <v>0.23</v>
      </c>
      <c r="AV561">
        <v>0</v>
      </c>
      <c r="AW561">
        <v>3.4550000000000001</v>
      </c>
      <c r="AX561">
        <v>0</v>
      </c>
      <c r="AY561">
        <v>10.825000000000001</v>
      </c>
      <c r="AZ561">
        <v>0</v>
      </c>
      <c r="BA561">
        <v>202000</v>
      </c>
      <c r="BB561">
        <v>2235549</v>
      </c>
      <c r="BC561">
        <v>816</v>
      </c>
      <c r="BD561">
        <v>86884</v>
      </c>
      <c r="BE561">
        <v>0</v>
      </c>
      <c r="BF561">
        <v>87700</v>
      </c>
      <c r="BG561">
        <v>87700</v>
      </c>
      <c r="BH561">
        <v>0</v>
      </c>
      <c r="BI561">
        <v>0</v>
      </c>
      <c r="BJ561">
        <v>0</v>
      </c>
      <c r="BK561">
        <v>0</v>
      </c>
      <c r="BL561">
        <v>210342296</v>
      </c>
      <c r="BM561">
        <v>0</v>
      </c>
      <c r="BN561">
        <v>450</v>
      </c>
      <c r="BO561">
        <v>235</v>
      </c>
      <c r="BP561">
        <v>0</v>
      </c>
      <c r="BQ561">
        <v>0</v>
      </c>
      <c r="BR561">
        <v>0.86230000000000007</v>
      </c>
      <c r="BS561">
        <v>0.86230000000000007</v>
      </c>
      <c r="BT561">
        <v>0</v>
      </c>
      <c r="BU561">
        <v>0</v>
      </c>
      <c r="BV561">
        <v>6</v>
      </c>
      <c r="BW561">
        <v>21</v>
      </c>
      <c r="BX561">
        <v>62</v>
      </c>
      <c r="BY561">
        <v>19</v>
      </c>
      <c r="BZ561">
        <v>4</v>
      </c>
      <c r="CA561">
        <v>112</v>
      </c>
      <c r="CB561">
        <v>0</v>
      </c>
      <c r="CC561">
        <v>0</v>
      </c>
      <c r="CD561">
        <v>0</v>
      </c>
      <c r="CE561">
        <v>16</v>
      </c>
      <c r="CF561">
        <v>42.164000000000001</v>
      </c>
      <c r="CG561">
        <v>0</v>
      </c>
      <c r="CH561">
        <v>0</v>
      </c>
      <c r="CI561">
        <v>1</v>
      </c>
      <c r="CJ561">
        <v>1</v>
      </c>
      <c r="CK561">
        <v>0</v>
      </c>
      <c r="CL561">
        <v>0</v>
      </c>
      <c r="CM561">
        <v>25.607000000000003</v>
      </c>
      <c r="CN561">
        <v>0</v>
      </c>
      <c r="CO561">
        <v>0</v>
      </c>
      <c r="CP561">
        <v>0</v>
      </c>
      <c r="CQ561">
        <v>0</v>
      </c>
      <c r="CR561">
        <v>0</v>
      </c>
      <c r="CS561">
        <v>0</v>
      </c>
      <c r="CT561">
        <v>0</v>
      </c>
      <c r="CU561">
        <v>0</v>
      </c>
      <c r="CV561">
        <v>3.202</v>
      </c>
      <c r="CW561">
        <v>5.8120000000000003</v>
      </c>
      <c r="CX561">
        <v>0</v>
      </c>
      <c r="CY561" s="2043">
        <v>0</v>
      </c>
      <c r="CZ561" s="2043">
        <v>0</v>
      </c>
      <c r="DA561" s="2043">
        <v>0</v>
      </c>
      <c r="DB561" s="2043">
        <v>0</v>
      </c>
      <c r="DC561" s="2043">
        <v>15617</v>
      </c>
      <c r="DI561" t="s">
        <v>5080</v>
      </c>
      <c r="DJ561" t="s">
        <v>5080</v>
      </c>
      <c r="DK561" s="2042">
        <f t="shared" si="10"/>
        <v>0</v>
      </c>
    </row>
    <row r="562" spans="1:115">
      <c r="A562" t="s">
        <v>5081</v>
      </c>
      <c r="B562" t="s">
        <v>438</v>
      </c>
      <c r="C562">
        <v>215.53400000000002</v>
      </c>
      <c r="D562">
        <v>242.19</v>
      </c>
      <c r="E562">
        <v>68.602000000000004</v>
      </c>
      <c r="F562">
        <v>0</v>
      </c>
      <c r="G562" s="2043">
        <v>228405020</v>
      </c>
      <c r="H562">
        <v>0</v>
      </c>
      <c r="I562" s="2043">
        <v>419906</v>
      </c>
      <c r="J562">
        <v>10.777000000000001</v>
      </c>
      <c r="K562">
        <v>29</v>
      </c>
      <c r="L562">
        <v>0</v>
      </c>
      <c r="M562">
        <v>0</v>
      </c>
      <c r="N562">
        <v>0</v>
      </c>
      <c r="O562">
        <v>0</v>
      </c>
      <c r="P562">
        <v>0</v>
      </c>
      <c r="Q562">
        <v>0</v>
      </c>
      <c r="R562" s="2043">
        <v>1861395</v>
      </c>
      <c r="S562">
        <v>113224</v>
      </c>
      <c r="T562">
        <v>0</v>
      </c>
      <c r="U562">
        <v>0.05</v>
      </c>
      <c r="V562">
        <v>0</v>
      </c>
      <c r="W562">
        <v>0</v>
      </c>
      <c r="X562">
        <v>0</v>
      </c>
      <c r="Y562">
        <v>0</v>
      </c>
      <c r="Z562">
        <v>0</v>
      </c>
      <c r="AA562">
        <v>0</v>
      </c>
      <c r="AB562">
        <v>235.52300000000002</v>
      </c>
      <c r="AC562" s="2043">
        <v>187779467</v>
      </c>
      <c r="AD562">
        <v>529606</v>
      </c>
      <c r="AE562" s="2043">
        <v>1974619</v>
      </c>
      <c r="AF562">
        <v>0.872</v>
      </c>
      <c r="AG562">
        <v>0</v>
      </c>
      <c r="AH562">
        <v>0</v>
      </c>
      <c r="AI562">
        <v>0</v>
      </c>
      <c r="AJ562">
        <v>37.425000000000004</v>
      </c>
      <c r="AK562">
        <v>831</v>
      </c>
      <c r="AL562">
        <v>0</v>
      </c>
      <c r="AM562">
        <v>0</v>
      </c>
      <c r="AN562">
        <v>7.577</v>
      </c>
      <c r="AO562">
        <v>0</v>
      </c>
      <c r="AP562">
        <v>0</v>
      </c>
      <c r="AQ562">
        <v>0</v>
      </c>
      <c r="AR562">
        <v>2.7789999999999999</v>
      </c>
      <c r="AS562">
        <v>0</v>
      </c>
      <c r="AT562">
        <v>1.3520000000000001</v>
      </c>
      <c r="AU562">
        <v>0.46900000000000003</v>
      </c>
      <c r="AV562">
        <v>0</v>
      </c>
      <c r="AW562">
        <v>4.6000000000000005</v>
      </c>
      <c r="AX562">
        <v>0</v>
      </c>
      <c r="AY562">
        <v>14.738000000000001</v>
      </c>
      <c r="AZ562">
        <v>0</v>
      </c>
      <c r="BA562">
        <v>956527</v>
      </c>
      <c r="BB562">
        <v>2504225</v>
      </c>
      <c r="BC562">
        <v>0</v>
      </c>
      <c r="BD562">
        <v>31268</v>
      </c>
      <c r="BE562">
        <v>0</v>
      </c>
      <c r="BF562">
        <v>31268</v>
      </c>
      <c r="BG562">
        <v>31268</v>
      </c>
      <c r="BH562">
        <v>0</v>
      </c>
      <c r="BI562">
        <v>0</v>
      </c>
      <c r="BJ562">
        <v>0</v>
      </c>
      <c r="BK562">
        <v>0</v>
      </c>
      <c r="BL562">
        <v>228405020</v>
      </c>
      <c r="BM562">
        <v>0</v>
      </c>
      <c r="BN562">
        <v>792</v>
      </c>
      <c r="BO562">
        <v>685</v>
      </c>
      <c r="BP562">
        <v>0</v>
      </c>
      <c r="BQ562">
        <v>0</v>
      </c>
      <c r="BR562">
        <v>0.82200000000000006</v>
      </c>
      <c r="BS562">
        <v>0.82200000000000006</v>
      </c>
      <c r="BT562">
        <v>0</v>
      </c>
      <c r="BU562">
        <v>0</v>
      </c>
      <c r="BV562">
        <v>8</v>
      </c>
      <c r="BW562">
        <v>12</v>
      </c>
      <c r="BX562">
        <v>130</v>
      </c>
      <c r="BY562">
        <v>0</v>
      </c>
      <c r="BZ562">
        <v>1</v>
      </c>
      <c r="CA562">
        <v>151</v>
      </c>
      <c r="CB562">
        <v>0</v>
      </c>
      <c r="CC562">
        <v>0</v>
      </c>
      <c r="CD562">
        <v>0</v>
      </c>
      <c r="CE562">
        <v>7</v>
      </c>
      <c r="CF562">
        <v>72.167000000000002</v>
      </c>
      <c r="CG562">
        <v>0</v>
      </c>
      <c r="CH562">
        <v>0</v>
      </c>
      <c r="CI562">
        <v>4</v>
      </c>
      <c r="CJ562">
        <v>6</v>
      </c>
      <c r="CK562">
        <v>0</v>
      </c>
      <c r="CL562">
        <v>0</v>
      </c>
      <c r="CM562">
        <v>68.602000000000004</v>
      </c>
      <c r="CN562">
        <v>0</v>
      </c>
      <c r="CO562">
        <v>0</v>
      </c>
      <c r="CP562">
        <v>0</v>
      </c>
      <c r="CQ562">
        <v>0</v>
      </c>
      <c r="CR562">
        <v>0</v>
      </c>
      <c r="CS562">
        <v>0</v>
      </c>
      <c r="CT562">
        <v>0</v>
      </c>
      <c r="CU562">
        <v>0</v>
      </c>
      <c r="CV562">
        <v>9.0810000000000013</v>
      </c>
      <c r="CW562">
        <v>11.219000000000001</v>
      </c>
      <c r="CX562">
        <v>0</v>
      </c>
      <c r="CY562" s="2043">
        <v>0</v>
      </c>
      <c r="CZ562" s="2043">
        <v>0</v>
      </c>
      <c r="DA562" s="2043">
        <v>0</v>
      </c>
      <c r="DB562" s="2043">
        <v>0</v>
      </c>
      <c r="DC562" s="2043">
        <v>0</v>
      </c>
      <c r="DI562" t="s">
        <v>5081</v>
      </c>
      <c r="DJ562" t="s">
        <v>5081</v>
      </c>
      <c r="DK562" s="2042">
        <f t="shared" si="10"/>
        <v>0</v>
      </c>
    </row>
    <row r="563" spans="1:115">
      <c r="A563" t="s">
        <v>3029</v>
      </c>
      <c r="B563" t="s">
        <v>439</v>
      </c>
      <c r="C563">
        <v>482.05400000000003</v>
      </c>
      <c r="D563">
        <v>530.024</v>
      </c>
      <c r="E563">
        <v>8.2279999999999998</v>
      </c>
      <c r="F563">
        <v>0</v>
      </c>
      <c r="G563" s="2043">
        <v>290215766</v>
      </c>
      <c r="H563">
        <v>0</v>
      </c>
      <c r="I563" s="2043">
        <v>1490525</v>
      </c>
      <c r="J563">
        <v>15</v>
      </c>
      <c r="K563">
        <v>41</v>
      </c>
      <c r="L563">
        <v>0</v>
      </c>
      <c r="M563">
        <v>84536</v>
      </c>
      <c r="N563">
        <v>0</v>
      </c>
      <c r="O563">
        <v>84536</v>
      </c>
      <c r="P563">
        <v>0</v>
      </c>
      <c r="Q563">
        <v>0</v>
      </c>
      <c r="R563" s="2043">
        <v>2656305</v>
      </c>
      <c r="S563">
        <v>145408</v>
      </c>
      <c r="T563">
        <v>0</v>
      </c>
      <c r="U563">
        <v>0.05</v>
      </c>
      <c r="V563">
        <v>0</v>
      </c>
      <c r="W563">
        <v>0</v>
      </c>
      <c r="X563">
        <v>0</v>
      </c>
      <c r="Y563">
        <v>-8436</v>
      </c>
      <c r="Z563">
        <v>0</v>
      </c>
      <c r="AA563">
        <v>1.7000000000000001E-2</v>
      </c>
      <c r="AB563">
        <v>500.2</v>
      </c>
      <c r="AC563" s="2043">
        <v>254023237</v>
      </c>
      <c r="AD563">
        <v>1818873</v>
      </c>
      <c r="AE563" s="2043">
        <v>2801713</v>
      </c>
      <c r="AF563">
        <v>0.96340000000000003</v>
      </c>
      <c r="AG563">
        <v>0</v>
      </c>
      <c r="AH563">
        <v>0</v>
      </c>
      <c r="AI563">
        <v>0</v>
      </c>
      <c r="AJ563">
        <v>92.975000000000009</v>
      </c>
      <c r="AK563">
        <v>3630</v>
      </c>
      <c r="AL563">
        <v>0</v>
      </c>
      <c r="AM563">
        <v>0</v>
      </c>
      <c r="AN563">
        <v>7.9370000000000003</v>
      </c>
      <c r="AO563">
        <v>0</v>
      </c>
      <c r="AP563">
        <v>0</v>
      </c>
      <c r="AQ563">
        <v>0</v>
      </c>
      <c r="AR563">
        <v>24.629000000000001</v>
      </c>
      <c r="AS563">
        <v>0</v>
      </c>
      <c r="AT563">
        <v>3.8770000000000002</v>
      </c>
      <c r="AU563">
        <v>1.238</v>
      </c>
      <c r="AV563">
        <v>0</v>
      </c>
      <c r="AW563">
        <v>32.809000000000005</v>
      </c>
      <c r="AX563">
        <v>3.0649999999999999</v>
      </c>
      <c r="AY563">
        <v>98.75800000000001</v>
      </c>
      <c r="AZ563">
        <v>0</v>
      </c>
      <c r="BA563">
        <v>3724769</v>
      </c>
      <c r="BB563">
        <v>4620586</v>
      </c>
      <c r="BC563">
        <v>0</v>
      </c>
      <c r="BD563">
        <v>28828</v>
      </c>
      <c r="BE563">
        <v>0</v>
      </c>
      <c r="BF563">
        <v>37457</v>
      </c>
      <c r="BG563">
        <v>28828</v>
      </c>
      <c r="BH563">
        <v>8629</v>
      </c>
      <c r="BI563">
        <v>-8436</v>
      </c>
      <c r="BJ563">
        <v>0</v>
      </c>
      <c r="BK563">
        <v>0</v>
      </c>
      <c r="BL563">
        <v>290215766</v>
      </c>
      <c r="BM563">
        <v>0</v>
      </c>
      <c r="BN563">
        <v>1773</v>
      </c>
      <c r="BO563">
        <v>1766</v>
      </c>
      <c r="BP563">
        <v>0</v>
      </c>
      <c r="BQ563">
        <v>0</v>
      </c>
      <c r="BR563">
        <v>0.91339999999999999</v>
      </c>
      <c r="BS563">
        <v>0.91339999999999999</v>
      </c>
      <c r="BT563">
        <v>0</v>
      </c>
      <c r="BU563">
        <v>0</v>
      </c>
      <c r="BV563">
        <v>1</v>
      </c>
      <c r="BW563">
        <v>22</v>
      </c>
      <c r="BX563">
        <v>239</v>
      </c>
      <c r="BY563">
        <v>0</v>
      </c>
      <c r="BZ563">
        <v>101</v>
      </c>
      <c r="CA563">
        <v>363</v>
      </c>
      <c r="CB563">
        <v>0</v>
      </c>
      <c r="CC563">
        <v>0</v>
      </c>
      <c r="CD563">
        <v>0</v>
      </c>
      <c r="CE563">
        <v>21</v>
      </c>
      <c r="CF563">
        <v>101.349</v>
      </c>
      <c r="CG563">
        <v>0</v>
      </c>
      <c r="CH563">
        <v>0</v>
      </c>
      <c r="CI563">
        <v>2</v>
      </c>
      <c r="CJ563">
        <v>7</v>
      </c>
      <c r="CK563">
        <v>0</v>
      </c>
      <c r="CL563">
        <v>0</v>
      </c>
      <c r="CM563">
        <v>8.2279999999999998</v>
      </c>
      <c r="CN563">
        <v>0</v>
      </c>
      <c r="CO563">
        <v>0</v>
      </c>
      <c r="CP563">
        <v>0</v>
      </c>
      <c r="CQ563">
        <v>0</v>
      </c>
      <c r="CR563">
        <v>0</v>
      </c>
      <c r="CS563">
        <v>0</v>
      </c>
      <c r="CT563">
        <v>0</v>
      </c>
      <c r="CU563">
        <v>0</v>
      </c>
      <c r="CV563">
        <v>34.582000000000001</v>
      </c>
      <c r="CW563">
        <v>29.464000000000002</v>
      </c>
      <c r="CX563">
        <v>0</v>
      </c>
      <c r="CY563" s="2043">
        <v>0</v>
      </c>
      <c r="CZ563" s="2043">
        <v>0</v>
      </c>
      <c r="DA563" s="2043">
        <v>0</v>
      </c>
      <c r="DB563" s="2043">
        <v>0</v>
      </c>
      <c r="DC563" s="2043">
        <v>0</v>
      </c>
      <c r="DI563" t="s">
        <v>3029</v>
      </c>
      <c r="DJ563" t="s">
        <v>3029</v>
      </c>
      <c r="DK563" s="2042">
        <f t="shared" si="10"/>
        <v>0</v>
      </c>
    </row>
    <row r="564" spans="1:115">
      <c r="A564" t="s">
        <v>5813</v>
      </c>
      <c r="B564" t="s">
        <v>440</v>
      </c>
      <c r="C564">
        <v>130.32900000000001</v>
      </c>
      <c r="D564">
        <v>125.32300000000001</v>
      </c>
      <c r="E564">
        <v>9.0940000000000012</v>
      </c>
      <c r="F564">
        <v>0</v>
      </c>
      <c r="G564" s="2043">
        <v>67741290</v>
      </c>
      <c r="H564">
        <v>0</v>
      </c>
      <c r="I564" s="2043">
        <v>0</v>
      </c>
      <c r="J564">
        <v>6.516</v>
      </c>
      <c r="K564">
        <v>18</v>
      </c>
      <c r="L564">
        <v>0</v>
      </c>
      <c r="M564">
        <v>0</v>
      </c>
      <c r="N564">
        <v>0</v>
      </c>
      <c r="O564">
        <v>0</v>
      </c>
      <c r="P564">
        <v>0</v>
      </c>
      <c r="Q564">
        <v>0</v>
      </c>
      <c r="R564" s="2043">
        <v>555447</v>
      </c>
      <c r="S564">
        <v>53881</v>
      </c>
      <c r="T564">
        <v>39266</v>
      </c>
      <c r="U564">
        <v>0.08</v>
      </c>
      <c r="V564">
        <v>0</v>
      </c>
      <c r="W564">
        <v>0</v>
      </c>
      <c r="X564">
        <v>0</v>
      </c>
      <c r="Y564">
        <v>7499</v>
      </c>
      <c r="Z564">
        <v>0</v>
      </c>
      <c r="AA564">
        <v>0.127</v>
      </c>
      <c r="AB564">
        <v>125.32300000000001</v>
      </c>
      <c r="AC564" s="2043">
        <v>42964045</v>
      </c>
      <c r="AD564">
        <v>0</v>
      </c>
      <c r="AE564" s="2043">
        <v>648594</v>
      </c>
      <c r="AF564">
        <v>0.96300000000000008</v>
      </c>
      <c r="AG564">
        <v>0</v>
      </c>
      <c r="AH564">
        <v>0</v>
      </c>
      <c r="AI564">
        <v>0</v>
      </c>
      <c r="AJ564">
        <v>29.35</v>
      </c>
      <c r="AK564">
        <v>677</v>
      </c>
      <c r="AL564">
        <v>0</v>
      </c>
      <c r="AM564">
        <v>0</v>
      </c>
      <c r="AN564">
        <v>3.23</v>
      </c>
      <c r="AO564">
        <v>0</v>
      </c>
      <c r="AP564">
        <v>0</v>
      </c>
      <c r="AQ564">
        <v>0</v>
      </c>
      <c r="AR564">
        <v>4.1850000000000005</v>
      </c>
      <c r="AS564">
        <v>0</v>
      </c>
      <c r="AT564">
        <v>0.113</v>
      </c>
      <c r="AU564">
        <v>0.442</v>
      </c>
      <c r="AV564">
        <v>0</v>
      </c>
      <c r="AW564">
        <v>4.74</v>
      </c>
      <c r="AX564">
        <v>0</v>
      </c>
      <c r="AY564">
        <v>15.104000000000001</v>
      </c>
      <c r="AZ564">
        <v>0</v>
      </c>
      <c r="BA564">
        <v>1575564</v>
      </c>
      <c r="BB564">
        <v>648594</v>
      </c>
      <c r="BC564">
        <v>0</v>
      </c>
      <c r="BD564">
        <v>19468</v>
      </c>
      <c r="BE564">
        <v>0</v>
      </c>
      <c r="BF564">
        <v>25873</v>
      </c>
      <c r="BG564">
        <v>19468</v>
      </c>
      <c r="BH564">
        <v>6405</v>
      </c>
      <c r="BI564">
        <v>0</v>
      </c>
      <c r="BJ564">
        <v>0</v>
      </c>
      <c r="BK564">
        <v>0</v>
      </c>
      <c r="BL564">
        <v>67741290</v>
      </c>
      <c r="BM564">
        <v>0</v>
      </c>
      <c r="BN564">
        <v>630</v>
      </c>
      <c r="BO564">
        <v>407</v>
      </c>
      <c r="BP564">
        <v>0</v>
      </c>
      <c r="BQ564">
        <v>0</v>
      </c>
      <c r="BR564">
        <v>0.82469999999999999</v>
      </c>
      <c r="BS564">
        <v>0.82469999999999999</v>
      </c>
      <c r="BT564">
        <v>0</v>
      </c>
      <c r="BU564">
        <v>0</v>
      </c>
      <c r="BV564">
        <v>1</v>
      </c>
      <c r="BW564">
        <v>2</v>
      </c>
      <c r="BX564">
        <v>97</v>
      </c>
      <c r="BY564">
        <v>0</v>
      </c>
      <c r="BZ564">
        <v>16</v>
      </c>
      <c r="CA564">
        <v>116</v>
      </c>
      <c r="CB564">
        <v>0</v>
      </c>
      <c r="CC564">
        <v>0</v>
      </c>
      <c r="CD564">
        <v>0</v>
      </c>
      <c r="CE564">
        <v>25</v>
      </c>
      <c r="CF564">
        <v>39.405999999999999</v>
      </c>
      <c r="CG564">
        <v>0</v>
      </c>
      <c r="CH564">
        <v>0</v>
      </c>
      <c r="CI564">
        <v>1</v>
      </c>
      <c r="CJ564">
        <v>0</v>
      </c>
      <c r="CK564">
        <v>0</v>
      </c>
      <c r="CL564">
        <v>0</v>
      </c>
      <c r="CM564">
        <v>9.0940000000000012</v>
      </c>
      <c r="CN564">
        <v>0</v>
      </c>
      <c r="CO564">
        <v>0</v>
      </c>
      <c r="CP564">
        <v>0</v>
      </c>
      <c r="CQ564">
        <v>0</v>
      </c>
      <c r="CR564">
        <v>0</v>
      </c>
      <c r="CS564">
        <v>0</v>
      </c>
      <c r="CT564">
        <v>0</v>
      </c>
      <c r="CU564">
        <v>0.81200000000000006</v>
      </c>
      <c r="CV564">
        <v>10.728</v>
      </c>
      <c r="CW564">
        <v>2.319</v>
      </c>
      <c r="CX564">
        <v>0</v>
      </c>
      <c r="CY564" s="2043">
        <v>7499</v>
      </c>
      <c r="CZ564" s="2043">
        <v>0</v>
      </c>
      <c r="DA564" s="2043">
        <v>0</v>
      </c>
      <c r="DB564" s="2043">
        <v>0</v>
      </c>
      <c r="DC564" s="2043">
        <v>0</v>
      </c>
      <c r="DI564" t="s">
        <v>5813</v>
      </c>
      <c r="DJ564" t="s">
        <v>5813</v>
      </c>
      <c r="DK564" s="2042">
        <f t="shared" si="10"/>
        <v>0</v>
      </c>
    </row>
    <row r="565" spans="1:115">
      <c r="A565" t="s">
        <v>5082</v>
      </c>
      <c r="B565" t="s">
        <v>441</v>
      </c>
      <c r="C565">
        <v>86.677999999999997</v>
      </c>
      <c r="D565">
        <v>85.481000000000009</v>
      </c>
      <c r="E565">
        <v>0</v>
      </c>
      <c r="F565">
        <v>0</v>
      </c>
      <c r="G565" s="2043">
        <v>198976339</v>
      </c>
      <c r="H565">
        <v>0</v>
      </c>
      <c r="I565" s="2043">
        <v>484516</v>
      </c>
      <c r="J565">
        <v>3</v>
      </c>
      <c r="K565">
        <v>8</v>
      </c>
      <c r="L565">
        <v>0</v>
      </c>
      <c r="M565">
        <v>0</v>
      </c>
      <c r="N565">
        <v>0</v>
      </c>
      <c r="O565">
        <v>0</v>
      </c>
      <c r="P565">
        <v>0</v>
      </c>
      <c r="Q565">
        <v>0</v>
      </c>
      <c r="R565" s="2043">
        <v>1688456</v>
      </c>
      <c r="S565">
        <v>102704</v>
      </c>
      <c r="T565">
        <v>0</v>
      </c>
      <c r="U565">
        <v>0.05</v>
      </c>
      <c r="V565">
        <v>0</v>
      </c>
      <c r="W565">
        <v>519786</v>
      </c>
      <c r="X565">
        <v>0</v>
      </c>
      <c r="Y565">
        <v>495211</v>
      </c>
      <c r="Z565">
        <v>0</v>
      </c>
      <c r="AA565">
        <v>0</v>
      </c>
      <c r="AB565">
        <v>85.481000000000009</v>
      </c>
      <c r="AC565" s="2043">
        <v>152958065</v>
      </c>
      <c r="AD565">
        <v>594970</v>
      </c>
      <c r="AE565" s="2043">
        <v>1791160</v>
      </c>
      <c r="AF565">
        <v>0.872</v>
      </c>
      <c r="AG565">
        <v>0</v>
      </c>
      <c r="AH565">
        <v>519786</v>
      </c>
      <c r="AI565">
        <v>0</v>
      </c>
      <c r="AJ565">
        <v>19.438000000000002</v>
      </c>
      <c r="AK565">
        <v>354</v>
      </c>
      <c r="AL565">
        <v>0</v>
      </c>
      <c r="AM565">
        <v>0</v>
      </c>
      <c r="AN565">
        <v>5.3460000000000001</v>
      </c>
      <c r="AO565">
        <v>0</v>
      </c>
      <c r="AP565">
        <v>0</v>
      </c>
      <c r="AQ565">
        <v>0</v>
      </c>
      <c r="AR565">
        <v>1.032</v>
      </c>
      <c r="AS565">
        <v>0</v>
      </c>
      <c r="AT565">
        <v>0</v>
      </c>
      <c r="AU565">
        <v>9.1999999999999998E-2</v>
      </c>
      <c r="AV565">
        <v>0</v>
      </c>
      <c r="AW565">
        <v>1.1240000000000001</v>
      </c>
      <c r="AX565">
        <v>0</v>
      </c>
      <c r="AY565">
        <v>3.556</v>
      </c>
      <c r="AZ565">
        <v>0</v>
      </c>
      <c r="BA565">
        <v>539168</v>
      </c>
      <c r="BB565">
        <v>2386130</v>
      </c>
      <c r="BC565">
        <v>0</v>
      </c>
      <c r="BD565">
        <v>19029</v>
      </c>
      <c r="BE565">
        <v>92</v>
      </c>
      <c r="BF565">
        <v>19121</v>
      </c>
      <c r="BG565">
        <v>19029</v>
      </c>
      <c r="BH565">
        <v>0</v>
      </c>
      <c r="BI565">
        <v>0</v>
      </c>
      <c r="BJ565">
        <v>0</v>
      </c>
      <c r="BK565">
        <v>0</v>
      </c>
      <c r="BL565">
        <v>198976339</v>
      </c>
      <c r="BM565">
        <v>0</v>
      </c>
      <c r="BN565">
        <v>450</v>
      </c>
      <c r="BO565">
        <v>257</v>
      </c>
      <c r="BP565">
        <v>0</v>
      </c>
      <c r="BQ565">
        <v>0</v>
      </c>
      <c r="BR565">
        <v>0.82200000000000006</v>
      </c>
      <c r="BS565">
        <v>0.82200000000000006</v>
      </c>
      <c r="BT565">
        <v>0</v>
      </c>
      <c r="BU565">
        <v>115290</v>
      </c>
      <c r="BV565">
        <v>0</v>
      </c>
      <c r="BW565">
        <v>23</v>
      </c>
      <c r="BX565">
        <v>33</v>
      </c>
      <c r="BY565">
        <v>4</v>
      </c>
      <c r="BZ565">
        <v>17</v>
      </c>
      <c r="CA565">
        <v>77</v>
      </c>
      <c r="CB565">
        <v>0</v>
      </c>
      <c r="CC565">
        <v>0</v>
      </c>
      <c r="CD565">
        <v>0</v>
      </c>
      <c r="CE565">
        <v>9</v>
      </c>
      <c r="CF565">
        <v>15.688000000000001</v>
      </c>
      <c r="CG565">
        <v>0</v>
      </c>
      <c r="CH565">
        <v>0</v>
      </c>
      <c r="CI565">
        <v>2</v>
      </c>
      <c r="CJ565">
        <v>0</v>
      </c>
      <c r="CK565">
        <v>0</v>
      </c>
      <c r="CL565">
        <v>0</v>
      </c>
      <c r="CM565">
        <v>0</v>
      </c>
      <c r="CN565">
        <v>0</v>
      </c>
      <c r="CO565">
        <v>0</v>
      </c>
      <c r="CP565">
        <v>0</v>
      </c>
      <c r="CQ565">
        <v>0</v>
      </c>
      <c r="CR565">
        <v>0</v>
      </c>
      <c r="CS565">
        <v>0</v>
      </c>
      <c r="CT565">
        <v>0</v>
      </c>
      <c r="CU565">
        <v>0</v>
      </c>
      <c r="CV565">
        <v>5.68</v>
      </c>
      <c r="CW565">
        <v>2.4590000000000001</v>
      </c>
      <c r="CX565">
        <v>0</v>
      </c>
      <c r="CY565" s="2043">
        <v>379921</v>
      </c>
      <c r="CZ565" s="2043">
        <v>0</v>
      </c>
      <c r="DA565" s="2043">
        <v>0</v>
      </c>
      <c r="DB565" s="2043">
        <v>0</v>
      </c>
      <c r="DC565" s="2043">
        <v>71200</v>
      </c>
      <c r="DI565" t="s">
        <v>5082</v>
      </c>
      <c r="DJ565" t="s">
        <v>5082</v>
      </c>
      <c r="DK565" s="2042">
        <f t="shared" si="10"/>
        <v>0</v>
      </c>
    </row>
    <row r="566" spans="1:115">
      <c r="A566" t="s">
        <v>8040</v>
      </c>
      <c r="B566" t="s">
        <v>11360</v>
      </c>
      <c r="C566">
        <v>63.717000000000006</v>
      </c>
      <c r="D566">
        <v>130.876</v>
      </c>
      <c r="E566">
        <v>0</v>
      </c>
      <c r="F566">
        <v>0</v>
      </c>
      <c r="G566" s="2043">
        <v>0</v>
      </c>
      <c r="H566">
        <v>0</v>
      </c>
      <c r="I566" s="2043">
        <v>0</v>
      </c>
      <c r="J566">
        <v>3</v>
      </c>
      <c r="K566">
        <v>8</v>
      </c>
      <c r="L566">
        <v>0</v>
      </c>
      <c r="M566">
        <v>0</v>
      </c>
      <c r="N566">
        <v>0</v>
      </c>
      <c r="O566">
        <v>0</v>
      </c>
      <c r="P566">
        <v>0</v>
      </c>
      <c r="Q566">
        <v>0</v>
      </c>
      <c r="R566" s="2043">
        <v>0</v>
      </c>
      <c r="S566">
        <v>0</v>
      </c>
      <c r="T566">
        <v>0</v>
      </c>
      <c r="U566">
        <v>0</v>
      </c>
      <c r="V566">
        <v>0</v>
      </c>
      <c r="W566">
        <v>0</v>
      </c>
      <c r="X566">
        <v>0</v>
      </c>
      <c r="Y566">
        <v>73701</v>
      </c>
      <c r="Z566">
        <v>0</v>
      </c>
      <c r="AA566">
        <v>0</v>
      </c>
      <c r="AB566">
        <v>124.021</v>
      </c>
      <c r="AC566" s="2043">
        <v>0</v>
      </c>
      <c r="AD566">
        <v>0</v>
      </c>
      <c r="AE566" s="2043">
        <v>0</v>
      </c>
      <c r="AF566">
        <v>0</v>
      </c>
      <c r="AG566">
        <v>0</v>
      </c>
      <c r="AH566">
        <v>0</v>
      </c>
      <c r="AI566">
        <v>0</v>
      </c>
      <c r="AJ566">
        <v>0.67500000000000004</v>
      </c>
      <c r="AK566">
        <v>266</v>
      </c>
      <c r="AL566">
        <v>0</v>
      </c>
      <c r="AM566">
        <v>0</v>
      </c>
      <c r="AN566">
        <v>8.359</v>
      </c>
      <c r="AO566">
        <v>0</v>
      </c>
      <c r="AP566">
        <v>0</v>
      </c>
      <c r="AQ566">
        <v>0</v>
      </c>
      <c r="AR566">
        <v>0.71300000000000008</v>
      </c>
      <c r="AS566">
        <v>0</v>
      </c>
      <c r="AT566">
        <v>0</v>
      </c>
      <c r="AU566">
        <v>0</v>
      </c>
      <c r="AV566">
        <v>0</v>
      </c>
      <c r="AW566">
        <v>0.71300000000000008</v>
      </c>
      <c r="AX566">
        <v>0</v>
      </c>
      <c r="AY566">
        <v>2.1390000000000002</v>
      </c>
      <c r="AZ566">
        <v>0</v>
      </c>
      <c r="BA566">
        <v>725598</v>
      </c>
      <c r="BB566">
        <v>0</v>
      </c>
      <c r="BC566">
        <v>0</v>
      </c>
      <c r="BD566">
        <v>0</v>
      </c>
      <c r="BE566">
        <v>0</v>
      </c>
      <c r="BF566">
        <v>0</v>
      </c>
      <c r="BG566">
        <v>0</v>
      </c>
      <c r="BH566">
        <v>0</v>
      </c>
      <c r="BI566">
        <v>0</v>
      </c>
      <c r="BJ566">
        <v>0</v>
      </c>
      <c r="BK566">
        <v>0</v>
      </c>
      <c r="BL566">
        <v>0</v>
      </c>
      <c r="BM566">
        <v>0</v>
      </c>
      <c r="BN566">
        <v>1017</v>
      </c>
      <c r="BO566">
        <v>203</v>
      </c>
      <c r="BP566">
        <v>0</v>
      </c>
      <c r="BQ566">
        <v>0</v>
      </c>
      <c r="BR566">
        <v>0</v>
      </c>
      <c r="BS566">
        <v>0</v>
      </c>
      <c r="BT566">
        <v>62437</v>
      </c>
      <c r="BU566">
        <v>0</v>
      </c>
      <c r="BV566">
        <v>3</v>
      </c>
      <c r="BW566">
        <v>0</v>
      </c>
      <c r="BX566">
        <v>0</v>
      </c>
      <c r="BY566">
        <v>0</v>
      </c>
      <c r="BZ566">
        <v>0</v>
      </c>
      <c r="CA566">
        <v>3</v>
      </c>
      <c r="CB566">
        <v>0</v>
      </c>
      <c r="CC566">
        <v>0</v>
      </c>
      <c r="CD566">
        <v>0</v>
      </c>
      <c r="CE566">
        <v>2</v>
      </c>
      <c r="CF566">
        <v>0</v>
      </c>
      <c r="CG566">
        <v>0</v>
      </c>
      <c r="CH566">
        <v>0</v>
      </c>
      <c r="CI566">
        <v>1</v>
      </c>
      <c r="CJ566">
        <v>2</v>
      </c>
      <c r="CK566">
        <v>0</v>
      </c>
      <c r="CL566">
        <v>0</v>
      </c>
      <c r="CM566">
        <v>0</v>
      </c>
      <c r="CN566">
        <v>0</v>
      </c>
      <c r="CO566">
        <v>0</v>
      </c>
      <c r="CP566">
        <v>0</v>
      </c>
      <c r="CQ566">
        <v>0</v>
      </c>
      <c r="CR566">
        <v>0</v>
      </c>
      <c r="CS566">
        <v>0</v>
      </c>
      <c r="CT566">
        <v>0</v>
      </c>
      <c r="CU566">
        <v>0</v>
      </c>
      <c r="CV566">
        <v>6.4350000000000005</v>
      </c>
      <c r="CW566">
        <v>5.2720000000000002</v>
      </c>
      <c r="CX566">
        <v>62437</v>
      </c>
      <c r="CY566" s="2043">
        <v>0</v>
      </c>
      <c r="CZ566" s="2043">
        <v>0</v>
      </c>
      <c r="DA566" s="2043">
        <v>0</v>
      </c>
      <c r="DB566" s="2043">
        <v>0</v>
      </c>
      <c r="DC566" s="2043">
        <v>0</v>
      </c>
      <c r="DI566" t="s">
        <v>8040</v>
      </c>
      <c r="DJ566" t="s">
        <v>8040</v>
      </c>
      <c r="DK566" s="2042">
        <f t="shared" si="10"/>
        <v>0</v>
      </c>
    </row>
    <row r="567" spans="1:115">
      <c r="A567" t="s">
        <v>8041</v>
      </c>
      <c r="B567" t="s">
        <v>11361</v>
      </c>
      <c r="C567">
        <v>106.31</v>
      </c>
      <c r="D567">
        <v>158.13</v>
      </c>
      <c r="E567">
        <v>0</v>
      </c>
      <c r="F567">
        <v>0</v>
      </c>
      <c r="G567" s="2043">
        <v>0</v>
      </c>
      <c r="H567">
        <v>0</v>
      </c>
      <c r="I567" s="2043">
        <v>0</v>
      </c>
      <c r="J567">
        <v>0</v>
      </c>
      <c r="K567">
        <v>0</v>
      </c>
      <c r="L567">
        <v>0</v>
      </c>
      <c r="M567">
        <v>0</v>
      </c>
      <c r="N567">
        <v>0</v>
      </c>
      <c r="O567">
        <v>0</v>
      </c>
      <c r="P567">
        <v>0</v>
      </c>
      <c r="Q567">
        <v>0</v>
      </c>
      <c r="R567" s="2043">
        <v>0</v>
      </c>
      <c r="S567">
        <v>0</v>
      </c>
      <c r="T567">
        <v>0</v>
      </c>
      <c r="U567">
        <v>0</v>
      </c>
      <c r="V567">
        <v>0</v>
      </c>
      <c r="W567">
        <v>0</v>
      </c>
      <c r="X567">
        <v>0</v>
      </c>
      <c r="Y567">
        <v>100533</v>
      </c>
      <c r="Z567">
        <v>0</v>
      </c>
      <c r="AA567">
        <v>0</v>
      </c>
      <c r="AB567">
        <v>143.65700000000001</v>
      </c>
      <c r="AC567" s="2043">
        <v>0</v>
      </c>
      <c r="AD567">
        <v>0</v>
      </c>
      <c r="AE567" s="2043">
        <v>0</v>
      </c>
      <c r="AF567">
        <v>0</v>
      </c>
      <c r="AG567">
        <v>0</v>
      </c>
      <c r="AH567">
        <v>0</v>
      </c>
      <c r="AI567">
        <v>0</v>
      </c>
      <c r="AJ567">
        <v>17.900000000000002</v>
      </c>
      <c r="AK567">
        <v>66</v>
      </c>
      <c r="AL567">
        <v>0</v>
      </c>
      <c r="AM567">
        <v>0</v>
      </c>
      <c r="AN567">
        <v>2.02</v>
      </c>
      <c r="AO567">
        <v>0</v>
      </c>
      <c r="AP567">
        <v>0</v>
      </c>
      <c r="AQ567">
        <v>0</v>
      </c>
      <c r="AR567">
        <v>0</v>
      </c>
      <c r="AS567">
        <v>0</v>
      </c>
      <c r="AT567">
        <v>0</v>
      </c>
      <c r="AU567">
        <v>0.12100000000000001</v>
      </c>
      <c r="AV567">
        <v>0</v>
      </c>
      <c r="AW567">
        <v>0.12100000000000001</v>
      </c>
      <c r="AX567">
        <v>0</v>
      </c>
      <c r="AY567">
        <v>0.60499999999999998</v>
      </c>
      <c r="AZ567">
        <v>0</v>
      </c>
      <c r="BA567">
        <v>1160266</v>
      </c>
      <c r="BB567">
        <v>0</v>
      </c>
      <c r="BC567">
        <v>0</v>
      </c>
      <c r="BD567">
        <v>21760</v>
      </c>
      <c r="BE567">
        <v>0</v>
      </c>
      <c r="BF567">
        <v>21760</v>
      </c>
      <c r="BG567">
        <v>21760</v>
      </c>
      <c r="BH567">
        <v>0</v>
      </c>
      <c r="BI567">
        <v>0</v>
      </c>
      <c r="BJ567">
        <v>0</v>
      </c>
      <c r="BK567">
        <v>0</v>
      </c>
      <c r="BL567">
        <v>0</v>
      </c>
      <c r="BM567">
        <v>0</v>
      </c>
      <c r="BN567">
        <v>0</v>
      </c>
      <c r="BO567">
        <v>0</v>
      </c>
      <c r="BP567">
        <v>0</v>
      </c>
      <c r="BQ567">
        <v>0</v>
      </c>
      <c r="BR567">
        <v>0</v>
      </c>
      <c r="BS567">
        <v>0</v>
      </c>
      <c r="BT567">
        <v>100533</v>
      </c>
      <c r="BU567">
        <v>0</v>
      </c>
      <c r="BV567">
        <v>9</v>
      </c>
      <c r="BW567">
        <v>2</v>
      </c>
      <c r="BX567">
        <v>15</v>
      </c>
      <c r="BY567">
        <v>14</v>
      </c>
      <c r="BZ567">
        <v>29</v>
      </c>
      <c r="CA567">
        <v>69</v>
      </c>
      <c r="CB567">
        <v>0</v>
      </c>
      <c r="CC567">
        <v>0</v>
      </c>
      <c r="CD567">
        <v>0</v>
      </c>
      <c r="CE567">
        <v>0</v>
      </c>
      <c r="CF567">
        <v>37.832000000000001</v>
      </c>
      <c r="CG567">
        <v>0</v>
      </c>
      <c r="CH567">
        <v>0</v>
      </c>
      <c r="CI567">
        <v>0</v>
      </c>
      <c r="CJ567">
        <v>0</v>
      </c>
      <c r="CK567">
        <v>0</v>
      </c>
      <c r="CL567">
        <v>0</v>
      </c>
      <c r="CM567">
        <v>0</v>
      </c>
      <c r="CN567">
        <v>0</v>
      </c>
      <c r="CO567">
        <v>0</v>
      </c>
      <c r="CP567">
        <v>0</v>
      </c>
      <c r="CQ567">
        <v>0</v>
      </c>
      <c r="CR567">
        <v>0</v>
      </c>
      <c r="CS567">
        <v>0</v>
      </c>
      <c r="CT567">
        <v>0</v>
      </c>
      <c r="CU567">
        <v>0</v>
      </c>
      <c r="CV567">
        <v>0</v>
      </c>
      <c r="CW567">
        <v>0</v>
      </c>
      <c r="CX567">
        <v>100533</v>
      </c>
      <c r="CY567" s="2043">
        <v>0</v>
      </c>
      <c r="CZ567" s="2043">
        <v>0</v>
      </c>
      <c r="DA567" s="2043">
        <v>0</v>
      </c>
      <c r="DB567" s="2043">
        <v>0</v>
      </c>
      <c r="DC567" s="2043">
        <v>0</v>
      </c>
      <c r="DI567" t="s">
        <v>8041</v>
      </c>
      <c r="DJ567" t="s">
        <v>8041</v>
      </c>
      <c r="DK567" s="2042">
        <f t="shared" si="10"/>
        <v>0</v>
      </c>
    </row>
    <row r="568" spans="1:115">
      <c r="A568" t="s">
        <v>8042</v>
      </c>
      <c r="B568" t="s">
        <v>11362</v>
      </c>
      <c r="C568">
        <v>286.63200000000001</v>
      </c>
      <c r="D568">
        <v>270.36599999999999</v>
      </c>
      <c r="E568">
        <v>0</v>
      </c>
      <c r="F568">
        <v>0</v>
      </c>
      <c r="G568" s="2043">
        <v>0</v>
      </c>
      <c r="H568">
        <v>0</v>
      </c>
      <c r="I568" s="2043">
        <v>0</v>
      </c>
      <c r="J568">
        <v>0</v>
      </c>
      <c r="K568">
        <v>0</v>
      </c>
      <c r="L568">
        <v>0</v>
      </c>
      <c r="M568">
        <v>0</v>
      </c>
      <c r="N568">
        <v>0</v>
      </c>
      <c r="O568">
        <v>0</v>
      </c>
      <c r="P568">
        <v>0</v>
      </c>
      <c r="Q568">
        <v>0</v>
      </c>
      <c r="R568" s="2043">
        <v>0</v>
      </c>
      <c r="S568">
        <v>0</v>
      </c>
      <c r="T568">
        <v>0</v>
      </c>
      <c r="U568">
        <v>0</v>
      </c>
      <c r="V568">
        <v>0</v>
      </c>
      <c r="W568">
        <v>0</v>
      </c>
      <c r="X568">
        <v>0</v>
      </c>
      <c r="Y568">
        <v>50671</v>
      </c>
      <c r="Z568">
        <v>0</v>
      </c>
      <c r="AA568">
        <v>0</v>
      </c>
      <c r="AB568">
        <v>270.36599999999999</v>
      </c>
      <c r="AC568" s="2043">
        <v>0</v>
      </c>
      <c r="AD568">
        <v>0</v>
      </c>
      <c r="AE568" s="2043">
        <v>0</v>
      </c>
      <c r="AF568">
        <v>0</v>
      </c>
      <c r="AG568">
        <v>0</v>
      </c>
      <c r="AH568">
        <v>0</v>
      </c>
      <c r="AI568">
        <v>0</v>
      </c>
      <c r="AJ568">
        <v>75.975000000000009</v>
      </c>
      <c r="AK568">
        <v>9898</v>
      </c>
      <c r="AL568">
        <v>0</v>
      </c>
      <c r="AM568">
        <v>2.1080000000000001</v>
      </c>
      <c r="AN568">
        <v>3.8260000000000001</v>
      </c>
      <c r="AO568">
        <v>0</v>
      </c>
      <c r="AP568">
        <v>0</v>
      </c>
      <c r="AQ568">
        <v>103.46000000000001</v>
      </c>
      <c r="AR568">
        <v>1.8180000000000001</v>
      </c>
      <c r="AS568">
        <v>0</v>
      </c>
      <c r="AT568">
        <v>0.41600000000000004</v>
      </c>
      <c r="AU568">
        <v>1.1599999999999999</v>
      </c>
      <c r="AV568">
        <v>0</v>
      </c>
      <c r="AW568">
        <v>108.962</v>
      </c>
      <c r="AX568">
        <v>0</v>
      </c>
      <c r="AY568">
        <v>18.826000000000001</v>
      </c>
      <c r="AZ568">
        <v>0</v>
      </c>
      <c r="BA568">
        <v>5166847</v>
      </c>
      <c r="BB568">
        <v>0</v>
      </c>
      <c r="BC568">
        <v>0</v>
      </c>
      <c r="BD568">
        <v>0</v>
      </c>
      <c r="BE568">
        <v>0</v>
      </c>
      <c r="BF568">
        <v>0</v>
      </c>
      <c r="BG568">
        <v>0</v>
      </c>
      <c r="BH568">
        <v>0</v>
      </c>
      <c r="BI568">
        <v>0</v>
      </c>
      <c r="BJ568">
        <v>0</v>
      </c>
      <c r="BK568">
        <v>0</v>
      </c>
      <c r="BL568">
        <v>0</v>
      </c>
      <c r="BM568">
        <v>0</v>
      </c>
      <c r="BN568">
        <v>1872</v>
      </c>
      <c r="BO568">
        <v>0</v>
      </c>
      <c r="BP568">
        <v>0</v>
      </c>
      <c r="BQ568">
        <v>12000</v>
      </c>
      <c r="BR568">
        <v>0</v>
      </c>
      <c r="BS568">
        <v>0</v>
      </c>
      <c r="BT568">
        <v>0</v>
      </c>
      <c r="BU568">
        <v>0</v>
      </c>
      <c r="BV568">
        <v>7</v>
      </c>
      <c r="BW568">
        <v>4</v>
      </c>
      <c r="BX568">
        <v>5</v>
      </c>
      <c r="BY568">
        <v>10</v>
      </c>
      <c r="BZ568">
        <v>253</v>
      </c>
      <c r="CA568">
        <v>279</v>
      </c>
      <c r="CB568">
        <v>1</v>
      </c>
      <c r="CC568">
        <v>0</v>
      </c>
      <c r="CD568">
        <v>0</v>
      </c>
      <c r="CE568">
        <v>21</v>
      </c>
      <c r="CF568">
        <v>8.7870000000000008</v>
      </c>
      <c r="CG568">
        <v>0</v>
      </c>
      <c r="CH568">
        <v>256.71199999999999</v>
      </c>
      <c r="CI568">
        <v>0</v>
      </c>
      <c r="CJ568">
        <v>0</v>
      </c>
      <c r="CK568">
        <v>0</v>
      </c>
      <c r="CL568">
        <v>256.71199999999999</v>
      </c>
      <c r="CM568">
        <v>0</v>
      </c>
      <c r="CN568">
        <v>0</v>
      </c>
      <c r="CO568">
        <v>0</v>
      </c>
      <c r="CP568">
        <v>0</v>
      </c>
      <c r="CQ568">
        <v>0</v>
      </c>
      <c r="CR568">
        <v>0</v>
      </c>
      <c r="CS568">
        <v>0</v>
      </c>
      <c r="CT568">
        <v>0</v>
      </c>
      <c r="CU568">
        <v>0.04</v>
      </c>
      <c r="CV568">
        <v>5.992</v>
      </c>
      <c r="CW568">
        <v>6.1000000000000006E-2</v>
      </c>
      <c r="CX568">
        <v>0</v>
      </c>
      <c r="CY568" s="2043">
        <v>0</v>
      </c>
      <c r="CZ568" s="2043">
        <v>0</v>
      </c>
      <c r="DA568" s="2043">
        <v>0</v>
      </c>
      <c r="DB568" s="2043">
        <v>0</v>
      </c>
      <c r="DC568" s="2043">
        <v>0</v>
      </c>
      <c r="DI568" t="s">
        <v>8042</v>
      </c>
      <c r="DJ568" t="s">
        <v>8042</v>
      </c>
      <c r="DK568" s="2042">
        <f t="shared" si="10"/>
        <v>0</v>
      </c>
    </row>
    <row r="569" spans="1:115">
      <c r="A569" t="s">
        <v>5083</v>
      </c>
      <c r="B569" t="s">
        <v>1071</v>
      </c>
      <c r="C569">
        <v>7318.5590000000002</v>
      </c>
      <c r="D569">
        <v>7495.3690000000006</v>
      </c>
      <c r="E569">
        <v>536.577</v>
      </c>
      <c r="F569">
        <v>0</v>
      </c>
      <c r="G569" s="2043">
        <v>7380682310</v>
      </c>
      <c r="H569">
        <v>0</v>
      </c>
      <c r="I569" s="2043">
        <v>18412939</v>
      </c>
      <c r="J569">
        <v>365.928</v>
      </c>
      <c r="K569">
        <v>1000</v>
      </c>
      <c r="L569">
        <v>0</v>
      </c>
      <c r="M569">
        <v>0</v>
      </c>
      <c r="N569">
        <v>0</v>
      </c>
      <c r="O569">
        <v>0</v>
      </c>
      <c r="P569">
        <v>0</v>
      </c>
      <c r="Q569">
        <v>0</v>
      </c>
      <c r="R569" s="2043">
        <v>61268993</v>
      </c>
      <c r="S569">
        <v>4368037</v>
      </c>
      <c r="T569">
        <v>0</v>
      </c>
      <c r="U569">
        <v>0.06</v>
      </c>
      <c r="V569">
        <v>0</v>
      </c>
      <c r="W569">
        <v>0</v>
      </c>
      <c r="X569">
        <v>0</v>
      </c>
      <c r="Y569">
        <v>2637152</v>
      </c>
      <c r="Z569">
        <v>0</v>
      </c>
      <c r="AA569">
        <v>1.0740000000000001</v>
      </c>
      <c r="AB569">
        <v>7299.027</v>
      </c>
      <c r="AC569" s="2043">
        <v>5926096583</v>
      </c>
      <c r="AD569">
        <v>19578488</v>
      </c>
      <c r="AE569" s="2043">
        <v>65637030</v>
      </c>
      <c r="AF569">
        <v>0.90160000000000007</v>
      </c>
      <c r="AG569">
        <v>0</v>
      </c>
      <c r="AH569">
        <v>0</v>
      </c>
      <c r="AI569">
        <v>0</v>
      </c>
      <c r="AJ569">
        <v>1614.7630000000001</v>
      </c>
      <c r="AK569">
        <v>29603</v>
      </c>
      <c r="AL569">
        <v>0.90700000000000003</v>
      </c>
      <c r="AM569">
        <v>7.7610000000000001</v>
      </c>
      <c r="AN569">
        <v>536.12300000000005</v>
      </c>
      <c r="AO569">
        <v>1.5</v>
      </c>
      <c r="AP569">
        <v>14.492000000000001</v>
      </c>
      <c r="AQ569">
        <v>1.6560000000000001</v>
      </c>
      <c r="AR569">
        <v>123.70500000000001</v>
      </c>
      <c r="AS569">
        <v>0</v>
      </c>
      <c r="AT569">
        <v>54.431000000000004</v>
      </c>
      <c r="AU569">
        <v>16.010999999999999</v>
      </c>
      <c r="AV569">
        <v>0</v>
      </c>
      <c r="AW569">
        <v>218.96300000000002</v>
      </c>
      <c r="AX569">
        <v>0</v>
      </c>
      <c r="AY569">
        <v>681.40899999999999</v>
      </c>
      <c r="AZ569">
        <v>0</v>
      </c>
      <c r="BA569">
        <v>8399620</v>
      </c>
      <c r="BB569">
        <v>85215518</v>
      </c>
      <c r="BC569">
        <v>0</v>
      </c>
      <c r="BD569">
        <v>522036</v>
      </c>
      <c r="BE569">
        <v>380697</v>
      </c>
      <c r="BF569">
        <v>924608</v>
      </c>
      <c r="BG569">
        <v>522036</v>
      </c>
      <c r="BH569">
        <v>21875</v>
      </c>
      <c r="BI569">
        <v>0</v>
      </c>
      <c r="BJ569">
        <v>-11675</v>
      </c>
      <c r="BK569">
        <v>0</v>
      </c>
      <c r="BL569">
        <v>7380682310</v>
      </c>
      <c r="BM569">
        <v>0</v>
      </c>
      <c r="BN569">
        <v>27225</v>
      </c>
      <c r="BO569">
        <v>15975</v>
      </c>
      <c r="BP569">
        <v>0</v>
      </c>
      <c r="BQ569">
        <v>0</v>
      </c>
      <c r="BR569">
        <v>0.84160000000000001</v>
      </c>
      <c r="BS569">
        <v>0.84160000000000001</v>
      </c>
      <c r="BT569">
        <v>2648827</v>
      </c>
      <c r="BU569">
        <v>0</v>
      </c>
      <c r="BV569">
        <v>658</v>
      </c>
      <c r="BW569">
        <v>396</v>
      </c>
      <c r="BX569">
        <v>2327</v>
      </c>
      <c r="BY569">
        <v>1407</v>
      </c>
      <c r="BZ569">
        <v>1533</v>
      </c>
      <c r="CA569">
        <v>6321</v>
      </c>
      <c r="CB569">
        <v>0</v>
      </c>
      <c r="CC569">
        <v>404.18400000000003</v>
      </c>
      <c r="CD569">
        <v>223.756</v>
      </c>
      <c r="CE569">
        <v>434</v>
      </c>
      <c r="CF569">
        <v>2083.5990000000002</v>
      </c>
      <c r="CG569">
        <v>0</v>
      </c>
      <c r="CH569">
        <v>7.4490000000000007</v>
      </c>
      <c r="CI569">
        <v>21</v>
      </c>
      <c r="CJ569">
        <v>55</v>
      </c>
      <c r="CK569">
        <v>2</v>
      </c>
      <c r="CL569">
        <v>7.4490000000000007</v>
      </c>
      <c r="CM569">
        <v>536.577</v>
      </c>
      <c r="CN569">
        <v>0</v>
      </c>
      <c r="CO569">
        <v>0</v>
      </c>
      <c r="CP569">
        <v>0</v>
      </c>
      <c r="CQ569">
        <v>0</v>
      </c>
      <c r="CR569">
        <v>0</v>
      </c>
      <c r="CS569">
        <v>0</v>
      </c>
      <c r="CT569">
        <v>0</v>
      </c>
      <c r="CU569">
        <v>3.048</v>
      </c>
      <c r="CV569">
        <v>97.184000000000012</v>
      </c>
      <c r="CW569">
        <v>81.489999999999995</v>
      </c>
      <c r="CX569">
        <v>2648827</v>
      </c>
      <c r="CY569" s="2043">
        <v>0</v>
      </c>
      <c r="CZ569" s="2043">
        <v>0</v>
      </c>
      <c r="DA569" s="2043">
        <v>0</v>
      </c>
      <c r="DB569" s="2043">
        <v>0</v>
      </c>
      <c r="DC569" s="2043">
        <v>635155</v>
      </c>
      <c r="DI569" t="s">
        <v>5083</v>
      </c>
      <c r="DJ569" t="s">
        <v>5083</v>
      </c>
      <c r="DK569" s="2042">
        <f t="shared" si="10"/>
        <v>0</v>
      </c>
    </row>
    <row r="570" spans="1:115">
      <c r="A570" t="s">
        <v>3030</v>
      </c>
      <c r="B570" t="s">
        <v>1400</v>
      </c>
      <c r="C570">
        <v>7378.866</v>
      </c>
      <c r="D570">
        <v>6960.1530000000002</v>
      </c>
      <c r="E570">
        <v>277.81900000000002</v>
      </c>
      <c r="F570">
        <v>0</v>
      </c>
      <c r="G570" s="2043">
        <v>7521526078</v>
      </c>
      <c r="H570">
        <v>0</v>
      </c>
      <c r="I570" s="2043">
        <v>19062509</v>
      </c>
      <c r="J570">
        <v>368.94300000000004</v>
      </c>
      <c r="K570">
        <v>1009</v>
      </c>
      <c r="L570">
        <v>0</v>
      </c>
      <c r="M570">
        <v>673286</v>
      </c>
      <c r="N570">
        <v>0</v>
      </c>
      <c r="O570">
        <v>673286</v>
      </c>
      <c r="P570">
        <v>0</v>
      </c>
      <c r="Q570">
        <v>0</v>
      </c>
      <c r="R570" s="2043">
        <v>61834799</v>
      </c>
      <c r="S570">
        <v>6017985</v>
      </c>
      <c r="T570">
        <v>4385607</v>
      </c>
      <c r="U570">
        <v>0.08</v>
      </c>
      <c r="V570">
        <v>1508</v>
      </c>
      <c r="W570">
        <v>8257005</v>
      </c>
      <c r="X570">
        <v>1816011</v>
      </c>
      <c r="Y570">
        <v>42363</v>
      </c>
      <c r="Z570">
        <v>0</v>
      </c>
      <c r="AA570">
        <v>0</v>
      </c>
      <c r="AB570">
        <v>6912.7790000000005</v>
      </c>
      <c r="AC570" s="2043">
        <v>5153812026</v>
      </c>
      <c r="AD570">
        <v>26309551</v>
      </c>
      <c r="AE570" s="2043">
        <v>72238391</v>
      </c>
      <c r="AF570">
        <v>0.96030000000000004</v>
      </c>
      <c r="AG570">
        <v>0</v>
      </c>
      <c r="AH570">
        <v>10073016</v>
      </c>
      <c r="AI570">
        <v>0</v>
      </c>
      <c r="AJ570">
        <v>148.56300000000002</v>
      </c>
      <c r="AK570">
        <v>22263</v>
      </c>
      <c r="AL570">
        <v>0.44</v>
      </c>
      <c r="AM570">
        <v>0</v>
      </c>
      <c r="AN570">
        <v>247.59</v>
      </c>
      <c r="AO570">
        <v>1.3</v>
      </c>
      <c r="AP570">
        <v>0</v>
      </c>
      <c r="AQ570">
        <v>0</v>
      </c>
      <c r="AR570">
        <v>166.14400000000001</v>
      </c>
      <c r="AS570">
        <v>0</v>
      </c>
      <c r="AT570">
        <v>39.581000000000003</v>
      </c>
      <c r="AU570">
        <v>15.341000000000001</v>
      </c>
      <c r="AV570">
        <v>0</v>
      </c>
      <c r="AW570">
        <v>221.506</v>
      </c>
      <c r="AX570">
        <v>0</v>
      </c>
      <c r="AY570">
        <v>696.08</v>
      </c>
      <c r="AZ570">
        <v>0</v>
      </c>
      <c r="BA570">
        <v>4820493</v>
      </c>
      <c r="BB570">
        <v>98547942</v>
      </c>
      <c r="BC570">
        <v>0</v>
      </c>
      <c r="BD570">
        <v>540522</v>
      </c>
      <c r="BE570">
        <v>179408</v>
      </c>
      <c r="BF570">
        <v>719930</v>
      </c>
      <c r="BG570">
        <v>540522</v>
      </c>
      <c r="BH570">
        <v>0</v>
      </c>
      <c r="BI570">
        <v>-14214</v>
      </c>
      <c r="BJ570">
        <v>-54339</v>
      </c>
      <c r="BK570">
        <v>0</v>
      </c>
      <c r="BL570">
        <v>7521526078</v>
      </c>
      <c r="BM570">
        <v>0</v>
      </c>
      <c r="BN570">
        <v>27135</v>
      </c>
      <c r="BO570">
        <v>10112</v>
      </c>
      <c r="BP570">
        <v>6142</v>
      </c>
      <c r="BQ570">
        <v>0</v>
      </c>
      <c r="BR570">
        <v>0.82200000000000006</v>
      </c>
      <c r="BS570">
        <v>0.82200000000000006</v>
      </c>
      <c r="BT570">
        <v>110916</v>
      </c>
      <c r="BU570">
        <v>0</v>
      </c>
      <c r="BV570">
        <v>646</v>
      </c>
      <c r="BW570">
        <v>1</v>
      </c>
      <c r="BX570">
        <v>1</v>
      </c>
      <c r="BY570">
        <v>2</v>
      </c>
      <c r="BZ570">
        <v>8</v>
      </c>
      <c r="CA570">
        <v>658</v>
      </c>
      <c r="CB570">
        <v>0</v>
      </c>
      <c r="CC570">
        <v>63.585000000000001</v>
      </c>
      <c r="CD570">
        <v>0</v>
      </c>
      <c r="CE570">
        <v>719</v>
      </c>
      <c r="CF570">
        <v>276.67</v>
      </c>
      <c r="CG570">
        <v>0</v>
      </c>
      <c r="CH570">
        <v>0</v>
      </c>
      <c r="CI570">
        <v>2</v>
      </c>
      <c r="CJ570">
        <v>163</v>
      </c>
      <c r="CK570">
        <v>2</v>
      </c>
      <c r="CL570">
        <v>0</v>
      </c>
      <c r="CM570">
        <v>277.81900000000002</v>
      </c>
      <c r="CN570">
        <v>0</v>
      </c>
      <c r="CO570">
        <v>0</v>
      </c>
      <c r="CP570">
        <v>6142</v>
      </c>
      <c r="CQ570">
        <v>0</v>
      </c>
      <c r="CR570">
        <v>0</v>
      </c>
      <c r="CS570">
        <v>0</v>
      </c>
      <c r="CT570">
        <v>0</v>
      </c>
      <c r="CU570">
        <v>14.49</v>
      </c>
      <c r="CV570">
        <v>222.60900000000001</v>
      </c>
      <c r="CW570">
        <v>237.72200000000001</v>
      </c>
      <c r="CX570">
        <v>110916</v>
      </c>
      <c r="CY570" s="2043">
        <v>0</v>
      </c>
      <c r="CZ570" s="2043">
        <v>0</v>
      </c>
      <c r="DA570" s="2043">
        <v>0</v>
      </c>
      <c r="DB570" s="2043">
        <v>0</v>
      </c>
      <c r="DC570" s="2043">
        <v>169063</v>
      </c>
      <c r="DI570" t="s">
        <v>3030</v>
      </c>
      <c r="DJ570" t="s">
        <v>3030</v>
      </c>
      <c r="DK570" s="2042">
        <f t="shared" si="10"/>
        <v>0</v>
      </c>
    </row>
    <row r="571" spans="1:115">
      <c r="A571" t="s">
        <v>5084</v>
      </c>
      <c r="B571" t="s">
        <v>1217</v>
      </c>
      <c r="C571">
        <v>2420.7380000000003</v>
      </c>
      <c r="D571">
        <v>2387.9259999999999</v>
      </c>
      <c r="E571">
        <v>129.96100000000001</v>
      </c>
      <c r="F571">
        <v>0</v>
      </c>
      <c r="G571" s="2043">
        <v>2827388361</v>
      </c>
      <c r="H571">
        <v>0</v>
      </c>
      <c r="I571" s="2043">
        <v>5999780</v>
      </c>
      <c r="J571">
        <v>121.03700000000001</v>
      </c>
      <c r="K571">
        <v>331</v>
      </c>
      <c r="L571">
        <v>0</v>
      </c>
      <c r="M571">
        <v>0</v>
      </c>
      <c r="N571">
        <v>0</v>
      </c>
      <c r="O571">
        <v>0</v>
      </c>
      <c r="P571">
        <v>0</v>
      </c>
      <c r="Q571">
        <v>0</v>
      </c>
      <c r="R571" s="2043">
        <v>23104239</v>
      </c>
      <c r="S571">
        <v>2248588</v>
      </c>
      <c r="T571">
        <v>182698</v>
      </c>
      <c r="U571">
        <v>0.08</v>
      </c>
      <c r="V571">
        <v>0</v>
      </c>
      <c r="W571">
        <v>4088154</v>
      </c>
      <c r="X571">
        <v>79626</v>
      </c>
      <c r="Y571">
        <v>-13975</v>
      </c>
      <c r="Z571">
        <v>0</v>
      </c>
      <c r="AA571">
        <v>4.7E-2</v>
      </c>
      <c r="AB571">
        <v>2387.9259999999999</v>
      </c>
      <c r="AC571" s="2043">
        <v>2161791989</v>
      </c>
      <c r="AD571">
        <v>7654682</v>
      </c>
      <c r="AE571" s="2043">
        <v>25535525</v>
      </c>
      <c r="AF571">
        <v>0.90850000000000009</v>
      </c>
      <c r="AG571">
        <v>0</v>
      </c>
      <c r="AH571">
        <v>4167780</v>
      </c>
      <c r="AI571">
        <v>0</v>
      </c>
      <c r="AJ571">
        <v>183.66300000000001</v>
      </c>
      <c r="AK571">
        <v>7995</v>
      </c>
      <c r="AL571">
        <v>0</v>
      </c>
      <c r="AM571">
        <v>0</v>
      </c>
      <c r="AN571">
        <v>56.9</v>
      </c>
      <c r="AO571">
        <v>0</v>
      </c>
      <c r="AP571">
        <v>0.504</v>
      </c>
      <c r="AQ571">
        <v>0</v>
      </c>
      <c r="AR571">
        <v>59.389000000000003</v>
      </c>
      <c r="AS571">
        <v>0</v>
      </c>
      <c r="AT571">
        <v>16.894000000000002</v>
      </c>
      <c r="AU571">
        <v>5.5840000000000005</v>
      </c>
      <c r="AV571">
        <v>0</v>
      </c>
      <c r="AW571">
        <v>84.994</v>
      </c>
      <c r="AX571">
        <v>2.6230000000000002</v>
      </c>
      <c r="AY571">
        <v>264.16300000000001</v>
      </c>
      <c r="AZ571">
        <v>0</v>
      </c>
      <c r="BA571">
        <v>1559137</v>
      </c>
      <c r="BB571">
        <v>33190207</v>
      </c>
      <c r="BC571">
        <v>0</v>
      </c>
      <c r="BD571">
        <v>104592</v>
      </c>
      <c r="BE571">
        <v>53781</v>
      </c>
      <c r="BF571">
        <v>158373</v>
      </c>
      <c r="BG571">
        <v>104592</v>
      </c>
      <c r="BH571">
        <v>0</v>
      </c>
      <c r="BI571">
        <v>0</v>
      </c>
      <c r="BJ571">
        <v>-13975</v>
      </c>
      <c r="BK571">
        <v>0</v>
      </c>
      <c r="BL571">
        <v>2827388361</v>
      </c>
      <c r="BM571">
        <v>0</v>
      </c>
      <c r="BN571">
        <v>9729</v>
      </c>
      <c r="BO571">
        <v>5874</v>
      </c>
      <c r="BP571">
        <v>0</v>
      </c>
      <c r="BQ571">
        <v>0</v>
      </c>
      <c r="BR571">
        <v>0.82200000000000006</v>
      </c>
      <c r="BS571">
        <v>0.82200000000000006</v>
      </c>
      <c r="BT571">
        <v>0</v>
      </c>
      <c r="BU571">
        <v>0</v>
      </c>
      <c r="BV571">
        <v>621</v>
      </c>
      <c r="BW571">
        <v>165</v>
      </c>
      <c r="BX571">
        <v>5</v>
      </c>
      <c r="BY571">
        <v>6</v>
      </c>
      <c r="BZ571">
        <v>7</v>
      </c>
      <c r="CA571">
        <v>804</v>
      </c>
      <c r="CB571">
        <v>0</v>
      </c>
      <c r="CC571">
        <v>0</v>
      </c>
      <c r="CD571">
        <v>0</v>
      </c>
      <c r="CE571">
        <v>233</v>
      </c>
      <c r="CF571">
        <v>269.72200000000004</v>
      </c>
      <c r="CG571">
        <v>0</v>
      </c>
      <c r="CH571">
        <v>0</v>
      </c>
      <c r="CI571">
        <v>7</v>
      </c>
      <c r="CJ571">
        <v>47</v>
      </c>
      <c r="CK571">
        <v>0</v>
      </c>
      <c r="CL571">
        <v>0</v>
      </c>
      <c r="CM571">
        <v>129.96100000000001</v>
      </c>
      <c r="CN571">
        <v>0</v>
      </c>
      <c r="CO571">
        <v>0</v>
      </c>
      <c r="CP571">
        <v>0</v>
      </c>
      <c r="CQ571">
        <v>0</v>
      </c>
      <c r="CR571">
        <v>0</v>
      </c>
      <c r="CS571">
        <v>0</v>
      </c>
      <c r="CT571">
        <v>0</v>
      </c>
      <c r="CU571">
        <v>0</v>
      </c>
      <c r="CV571">
        <v>95.006</v>
      </c>
      <c r="CW571">
        <v>83.043999999999997</v>
      </c>
      <c r="CX571">
        <v>0</v>
      </c>
      <c r="CY571" s="2043">
        <v>0</v>
      </c>
      <c r="CZ571" s="2043">
        <v>0</v>
      </c>
      <c r="DA571" s="2043">
        <v>0</v>
      </c>
      <c r="DB571" s="2043">
        <v>0</v>
      </c>
      <c r="DC571" s="2043">
        <v>247169</v>
      </c>
      <c r="DI571" t="s">
        <v>5084</v>
      </c>
      <c r="DJ571" t="s">
        <v>5084</v>
      </c>
      <c r="DK571" s="2042">
        <f t="shared" si="10"/>
        <v>0</v>
      </c>
    </row>
    <row r="572" spans="1:115">
      <c r="A572" t="s">
        <v>3031</v>
      </c>
      <c r="B572" t="s">
        <v>1759</v>
      </c>
      <c r="C572">
        <v>19724.495000000003</v>
      </c>
      <c r="D572">
        <v>19872.199000000001</v>
      </c>
      <c r="E572">
        <v>3453.5420000000004</v>
      </c>
      <c r="F572">
        <v>0</v>
      </c>
      <c r="G572" s="2043">
        <v>11416133515</v>
      </c>
      <c r="H572">
        <v>0</v>
      </c>
      <c r="I572" s="2043">
        <v>35584736</v>
      </c>
      <c r="J572">
        <v>986.22500000000002</v>
      </c>
      <c r="K572">
        <v>2696</v>
      </c>
      <c r="L572">
        <v>0</v>
      </c>
      <c r="M572">
        <v>5704730</v>
      </c>
      <c r="N572">
        <v>0</v>
      </c>
      <c r="O572">
        <v>5704730</v>
      </c>
      <c r="P572">
        <v>0</v>
      </c>
      <c r="Q572">
        <v>0</v>
      </c>
      <c r="R572" s="2043">
        <v>93693959</v>
      </c>
      <c r="S572">
        <v>5699146</v>
      </c>
      <c r="T572">
        <v>0</v>
      </c>
      <c r="U572">
        <v>0.05</v>
      </c>
      <c r="V572">
        <v>0</v>
      </c>
      <c r="W572">
        <v>0</v>
      </c>
      <c r="X572">
        <v>0</v>
      </c>
      <c r="Y572">
        <v>-275037</v>
      </c>
      <c r="Z572">
        <v>0</v>
      </c>
      <c r="AA572">
        <v>0.91300000000000003</v>
      </c>
      <c r="AB572">
        <v>18753.525999999998</v>
      </c>
      <c r="AC572" s="2043">
        <v>8024119861</v>
      </c>
      <c r="AD572">
        <v>55532832</v>
      </c>
      <c r="AE572" s="2043">
        <v>99393105</v>
      </c>
      <c r="AF572">
        <v>0.872</v>
      </c>
      <c r="AG572">
        <v>0</v>
      </c>
      <c r="AH572">
        <v>0</v>
      </c>
      <c r="AI572">
        <v>0</v>
      </c>
      <c r="AJ572">
        <v>2353.85</v>
      </c>
      <c r="AK572">
        <v>66826</v>
      </c>
      <c r="AL572">
        <v>1.5940000000000001</v>
      </c>
      <c r="AM572">
        <v>0</v>
      </c>
      <c r="AN572">
        <v>899.37700000000007</v>
      </c>
      <c r="AO572">
        <v>0</v>
      </c>
      <c r="AP572">
        <v>2.758</v>
      </c>
      <c r="AQ572">
        <v>0</v>
      </c>
      <c r="AR572">
        <v>372.42400000000004</v>
      </c>
      <c r="AS572">
        <v>0</v>
      </c>
      <c r="AT572">
        <v>170.32400000000001</v>
      </c>
      <c r="AU572">
        <v>53.302</v>
      </c>
      <c r="AV572">
        <v>0</v>
      </c>
      <c r="AW572">
        <v>603.12300000000005</v>
      </c>
      <c r="AX572">
        <v>2.7210000000000001</v>
      </c>
      <c r="AY572">
        <v>1916.4290000000001</v>
      </c>
      <c r="AZ572">
        <v>0</v>
      </c>
      <c r="BA572">
        <v>79280150</v>
      </c>
      <c r="BB572">
        <v>154925937</v>
      </c>
      <c r="BC572">
        <v>0</v>
      </c>
      <c r="BD572">
        <v>1416542</v>
      </c>
      <c r="BE572">
        <v>812549</v>
      </c>
      <c r="BF572">
        <v>2291678</v>
      </c>
      <c r="BG572">
        <v>1416542</v>
      </c>
      <c r="BH572">
        <v>62587</v>
      </c>
      <c r="BI572">
        <v>-8220</v>
      </c>
      <c r="BJ572">
        <v>-266817</v>
      </c>
      <c r="BK572">
        <v>0</v>
      </c>
      <c r="BL572">
        <v>11416133515</v>
      </c>
      <c r="BM572">
        <v>0</v>
      </c>
      <c r="BN572">
        <v>78165</v>
      </c>
      <c r="BO572">
        <v>27039</v>
      </c>
      <c r="BP572">
        <v>4060</v>
      </c>
      <c r="BQ572">
        <v>0</v>
      </c>
      <c r="BR572">
        <v>0.82200000000000006</v>
      </c>
      <c r="BS572">
        <v>0.82200000000000006</v>
      </c>
      <c r="BT572">
        <v>0</v>
      </c>
      <c r="BU572">
        <v>0</v>
      </c>
      <c r="BV572">
        <v>2320</v>
      </c>
      <c r="BW572">
        <v>4731</v>
      </c>
      <c r="BX572">
        <v>2119</v>
      </c>
      <c r="BY572">
        <v>263</v>
      </c>
      <c r="BZ572">
        <v>398</v>
      </c>
      <c r="CA572">
        <v>9831</v>
      </c>
      <c r="CB572">
        <v>0</v>
      </c>
      <c r="CC572">
        <v>248.82500000000002</v>
      </c>
      <c r="CD572">
        <v>101.70700000000001</v>
      </c>
      <c r="CE572">
        <v>1325</v>
      </c>
      <c r="CF572">
        <v>4139.2300000000005</v>
      </c>
      <c r="CG572">
        <v>151.37300000000002</v>
      </c>
      <c r="CH572">
        <v>0</v>
      </c>
      <c r="CI572">
        <v>34</v>
      </c>
      <c r="CJ572">
        <v>119</v>
      </c>
      <c r="CK572">
        <v>1</v>
      </c>
      <c r="CL572">
        <v>151.37300000000002</v>
      </c>
      <c r="CM572">
        <v>3453.5420000000004</v>
      </c>
      <c r="CN572">
        <v>0</v>
      </c>
      <c r="CO572">
        <v>0</v>
      </c>
      <c r="CP572">
        <v>4060</v>
      </c>
      <c r="CQ572">
        <v>0</v>
      </c>
      <c r="CR572">
        <v>0</v>
      </c>
      <c r="CS572">
        <v>0</v>
      </c>
      <c r="CT572">
        <v>0</v>
      </c>
      <c r="CU572">
        <v>96.294000000000011</v>
      </c>
      <c r="CV572">
        <v>893.7940000000001</v>
      </c>
      <c r="CW572">
        <v>692.97500000000002</v>
      </c>
      <c r="CX572">
        <v>0</v>
      </c>
      <c r="CY572" s="2043">
        <v>0</v>
      </c>
      <c r="CZ572" s="2043">
        <v>0</v>
      </c>
      <c r="DA572" s="2043">
        <v>0</v>
      </c>
      <c r="DB572" s="2043">
        <v>0</v>
      </c>
      <c r="DC572" s="2043">
        <v>0</v>
      </c>
      <c r="DI572" t="s">
        <v>3031</v>
      </c>
      <c r="DJ572" t="s">
        <v>3031</v>
      </c>
      <c r="DK572" s="2042">
        <f t="shared" si="10"/>
        <v>0</v>
      </c>
    </row>
    <row r="573" spans="1:115">
      <c r="A573" t="s">
        <v>5085</v>
      </c>
      <c r="B573" t="s">
        <v>1607</v>
      </c>
      <c r="C573">
        <v>779.58</v>
      </c>
      <c r="D573">
        <v>806.30799999999999</v>
      </c>
      <c r="E573">
        <v>107.521</v>
      </c>
      <c r="F573">
        <v>22559</v>
      </c>
      <c r="G573" s="2043">
        <v>944015651</v>
      </c>
      <c r="H573">
        <v>0</v>
      </c>
      <c r="I573" s="2043">
        <v>785466</v>
      </c>
      <c r="J573">
        <v>38.978999999999999</v>
      </c>
      <c r="K573">
        <v>107</v>
      </c>
      <c r="L573">
        <v>0</v>
      </c>
      <c r="M573">
        <v>0</v>
      </c>
      <c r="N573">
        <v>0</v>
      </c>
      <c r="O573">
        <v>0</v>
      </c>
      <c r="P573">
        <v>0</v>
      </c>
      <c r="Q573">
        <v>0</v>
      </c>
      <c r="R573" s="2043">
        <v>8032412</v>
      </c>
      <c r="S573">
        <v>439699</v>
      </c>
      <c r="T573">
        <v>0</v>
      </c>
      <c r="U573">
        <v>0.05</v>
      </c>
      <c r="V573">
        <v>0</v>
      </c>
      <c r="W573">
        <v>0</v>
      </c>
      <c r="X573">
        <v>0</v>
      </c>
      <c r="Y573">
        <v>22559</v>
      </c>
      <c r="Z573">
        <v>0</v>
      </c>
      <c r="AA573">
        <v>0</v>
      </c>
      <c r="AB573">
        <v>806.30799999999999</v>
      </c>
      <c r="AC573" s="2043">
        <v>1250262483</v>
      </c>
      <c r="AD573">
        <v>2751361</v>
      </c>
      <c r="AE573" s="2043">
        <v>8472111</v>
      </c>
      <c r="AF573">
        <v>0.96340000000000003</v>
      </c>
      <c r="AG573">
        <v>0</v>
      </c>
      <c r="AH573">
        <v>0</v>
      </c>
      <c r="AI573">
        <v>0</v>
      </c>
      <c r="AJ573">
        <v>80.025000000000006</v>
      </c>
      <c r="AK573">
        <v>3464</v>
      </c>
      <c r="AL573">
        <v>0</v>
      </c>
      <c r="AM573">
        <v>0</v>
      </c>
      <c r="AN573">
        <v>13.036000000000001</v>
      </c>
      <c r="AO573">
        <v>0</v>
      </c>
      <c r="AP573">
        <v>0</v>
      </c>
      <c r="AQ573">
        <v>0</v>
      </c>
      <c r="AR573">
        <v>29.468</v>
      </c>
      <c r="AS573">
        <v>0</v>
      </c>
      <c r="AT573">
        <v>1.0190000000000001</v>
      </c>
      <c r="AU573">
        <v>0.83400000000000007</v>
      </c>
      <c r="AV573">
        <v>0</v>
      </c>
      <c r="AW573">
        <v>31.321000000000002</v>
      </c>
      <c r="AX573">
        <v>0</v>
      </c>
      <c r="AY573">
        <v>95.631</v>
      </c>
      <c r="AZ573">
        <v>0</v>
      </c>
      <c r="BA573">
        <v>622790</v>
      </c>
      <c r="BB573">
        <v>11223472</v>
      </c>
      <c r="BC573">
        <v>0</v>
      </c>
      <c r="BD573">
        <v>54542</v>
      </c>
      <c r="BE573">
        <v>86</v>
      </c>
      <c r="BF573">
        <v>56819</v>
      </c>
      <c r="BG573">
        <v>54542</v>
      </c>
      <c r="BH573">
        <v>2191</v>
      </c>
      <c r="BI573">
        <v>0</v>
      </c>
      <c r="BJ573">
        <v>0</v>
      </c>
      <c r="BK573">
        <v>0</v>
      </c>
      <c r="BL573">
        <v>944015651</v>
      </c>
      <c r="BM573">
        <v>0</v>
      </c>
      <c r="BN573">
        <v>2934</v>
      </c>
      <c r="BO573">
        <v>1530</v>
      </c>
      <c r="BP573">
        <v>0</v>
      </c>
      <c r="BQ573">
        <v>0</v>
      </c>
      <c r="BR573">
        <v>0.91339999999999999</v>
      </c>
      <c r="BS573">
        <v>0.91339999999999999</v>
      </c>
      <c r="BT573">
        <v>0</v>
      </c>
      <c r="BU573">
        <v>0</v>
      </c>
      <c r="BV573">
        <v>160</v>
      </c>
      <c r="BW573">
        <v>18</v>
      </c>
      <c r="BX573">
        <v>159</v>
      </c>
      <c r="BY573">
        <v>0</v>
      </c>
      <c r="BZ573">
        <v>0</v>
      </c>
      <c r="CA573">
        <v>337</v>
      </c>
      <c r="CB573">
        <v>0</v>
      </c>
      <c r="CC573">
        <v>0</v>
      </c>
      <c r="CD573">
        <v>0</v>
      </c>
      <c r="CE573">
        <v>107</v>
      </c>
      <c r="CF573">
        <v>118.07400000000001</v>
      </c>
      <c r="CG573">
        <v>0</v>
      </c>
      <c r="CH573">
        <v>0</v>
      </c>
      <c r="CI573">
        <v>5</v>
      </c>
      <c r="CJ573">
        <v>21</v>
      </c>
      <c r="CK573">
        <v>1</v>
      </c>
      <c r="CL573">
        <v>0</v>
      </c>
      <c r="CM573">
        <v>107.521</v>
      </c>
      <c r="CN573">
        <v>0</v>
      </c>
      <c r="CO573">
        <v>0</v>
      </c>
      <c r="CP573">
        <v>0</v>
      </c>
      <c r="CQ573">
        <v>0</v>
      </c>
      <c r="CR573">
        <v>0</v>
      </c>
      <c r="CS573">
        <v>0</v>
      </c>
      <c r="CT573">
        <v>0</v>
      </c>
      <c r="CU573">
        <v>3.278</v>
      </c>
      <c r="CV573">
        <v>66.725999999999999</v>
      </c>
      <c r="CW573">
        <v>34.291000000000004</v>
      </c>
      <c r="CX573">
        <v>0</v>
      </c>
      <c r="CY573" s="2043">
        <v>0</v>
      </c>
      <c r="CZ573" s="2043">
        <v>0</v>
      </c>
      <c r="DA573" s="2043">
        <v>0</v>
      </c>
      <c r="DB573" s="2043">
        <v>22559</v>
      </c>
      <c r="DC573" s="2043">
        <v>352250</v>
      </c>
      <c r="DI573" t="s">
        <v>5085</v>
      </c>
      <c r="DJ573" t="s">
        <v>5085</v>
      </c>
      <c r="DK573" s="2042">
        <f t="shared" si="10"/>
        <v>0</v>
      </c>
    </row>
    <row r="574" spans="1:115">
      <c r="A574" t="s">
        <v>5086</v>
      </c>
      <c r="B574" t="s">
        <v>1608</v>
      </c>
      <c r="C574">
        <v>2705.8510000000001</v>
      </c>
      <c r="D574">
        <v>2956.1780000000003</v>
      </c>
      <c r="E574">
        <v>690.03</v>
      </c>
      <c r="F574">
        <v>0</v>
      </c>
      <c r="G574" s="2043">
        <v>1724928728</v>
      </c>
      <c r="H574">
        <v>0</v>
      </c>
      <c r="I574" s="2043">
        <v>4127198</v>
      </c>
      <c r="J574">
        <v>103</v>
      </c>
      <c r="K574">
        <v>282</v>
      </c>
      <c r="L574">
        <v>0</v>
      </c>
      <c r="M574">
        <v>0</v>
      </c>
      <c r="N574">
        <v>0</v>
      </c>
      <c r="O574">
        <v>0</v>
      </c>
      <c r="P574">
        <v>0</v>
      </c>
      <c r="Q574">
        <v>0</v>
      </c>
      <c r="R574" s="2043">
        <v>13882668</v>
      </c>
      <c r="S574">
        <v>844444</v>
      </c>
      <c r="T574">
        <v>0</v>
      </c>
      <c r="U574">
        <v>0.05</v>
      </c>
      <c r="V574">
        <v>0</v>
      </c>
      <c r="W574">
        <v>0</v>
      </c>
      <c r="X574">
        <v>0</v>
      </c>
      <c r="Y574">
        <v>0</v>
      </c>
      <c r="Z574">
        <v>0</v>
      </c>
      <c r="AA574">
        <v>0.54600000000000004</v>
      </c>
      <c r="AB574">
        <v>2761.1179999999999</v>
      </c>
      <c r="AC574" s="2043">
        <v>1409832888</v>
      </c>
      <c r="AD574">
        <v>6727908</v>
      </c>
      <c r="AE574" s="2043">
        <v>14727112</v>
      </c>
      <c r="AF574">
        <v>0.872</v>
      </c>
      <c r="AG574">
        <v>0</v>
      </c>
      <c r="AH574">
        <v>0</v>
      </c>
      <c r="AI574">
        <v>0</v>
      </c>
      <c r="AJ574">
        <v>572.06299999999999</v>
      </c>
      <c r="AK574">
        <v>12053</v>
      </c>
      <c r="AL574">
        <v>0.23800000000000002</v>
      </c>
      <c r="AM574">
        <v>0</v>
      </c>
      <c r="AN574">
        <v>144.21200000000002</v>
      </c>
      <c r="AO574">
        <v>0</v>
      </c>
      <c r="AP574">
        <v>0</v>
      </c>
      <c r="AQ574">
        <v>0.92400000000000004</v>
      </c>
      <c r="AR574">
        <v>78.323000000000008</v>
      </c>
      <c r="AS574">
        <v>0</v>
      </c>
      <c r="AT574">
        <v>21.933</v>
      </c>
      <c r="AU574">
        <v>5.51</v>
      </c>
      <c r="AV574">
        <v>0</v>
      </c>
      <c r="AW574">
        <v>106.92800000000001</v>
      </c>
      <c r="AX574">
        <v>0</v>
      </c>
      <c r="AY574">
        <v>329.50800000000004</v>
      </c>
      <c r="AZ574">
        <v>0</v>
      </c>
      <c r="BA574">
        <v>13060157</v>
      </c>
      <c r="BB574">
        <v>21455020</v>
      </c>
      <c r="BC574">
        <v>0</v>
      </c>
      <c r="BD574">
        <v>205074</v>
      </c>
      <c r="BE574">
        <v>54690</v>
      </c>
      <c r="BF574">
        <v>259764</v>
      </c>
      <c r="BG574">
        <v>205074</v>
      </c>
      <c r="BH574">
        <v>0</v>
      </c>
      <c r="BI574">
        <v>0</v>
      </c>
      <c r="BJ574">
        <v>0</v>
      </c>
      <c r="BK574">
        <v>0</v>
      </c>
      <c r="BL574">
        <v>1724928728</v>
      </c>
      <c r="BM574">
        <v>0</v>
      </c>
      <c r="BN574">
        <v>10863</v>
      </c>
      <c r="BO574">
        <v>9609</v>
      </c>
      <c r="BP574">
        <v>16772</v>
      </c>
      <c r="BQ574">
        <v>0</v>
      </c>
      <c r="BR574">
        <v>0.82200000000000006</v>
      </c>
      <c r="BS574">
        <v>0.82200000000000006</v>
      </c>
      <c r="BT574">
        <v>0</v>
      </c>
      <c r="BU574">
        <v>0</v>
      </c>
      <c r="BV574">
        <v>706</v>
      </c>
      <c r="BW574">
        <v>757</v>
      </c>
      <c r="BX574">
        <v>2</v>
      </c>
      <c r="BY574">
        <v>572</v>
      </c>
      <c r="BZ574">
        <v>301</v>
      </c>
      <c r="CA574">
        <v>2338</v>
      </c>
      <c r="CB574">
        <v>0</v>
      </c>
      <c r="CC574">
        <v>0</v>
      </c>
      <c r="CD574">
        <v>0</v>
      </c>
      <c r="CE574">
        <v>206</v>
      </c>
      <c r="CF574">
        <v>828.11099999999999</v>
      </c>
      <c r="CG574">
        <v>0</v>
      </c>
      <c r="CH574">
        <v>1.302</v>
      </c>
      <c r="CI574">
        <v>23</v>
      </c>
      <c r="CJ574">
        <v>20</v>
      </c>
      <c r="CK574">
        <v>2</v>
      </c>
      <c r="CL574">
        <v>1.302</v>
      </c>
      <c r="CM574">
        <v>690.03</v>
      </c>
      <c r="CN574">
        <v>0</v>
      </c>
      <c r="CO574">
        <v>0</v>
      </c>
      <c r="CP574">
        <v>16772</v>
      </c>
      <c r="CQ574">
        <v>0</v>
      </c>
      <c r="CR574">
        <v>0</v>
      </c>
      <c r="CS574">
        <v>0</v>
      </c>
      <c r="CT574">
        <v>0</v>
      </c>
      <c r="CU574">
        <v>21.855</v>
      </c>
      <c r="CV574">
        <v>154.94400000000002</v>
      </c>
      <c r="CW574">
        <v>79.63900000000001</v>
      </c>
      <c r="CX574">
        <v>0</v>
      </c>
      <c r="CY574" s="2043">
        <v>0</v>
      </c>
      <c r="CZ574" s="2043">
        <v>0</v>
      </c>
      <c r="DA574" s="2043">
        <v>0</v>
      </c>
      <c r="DB574" s="2043">
        <v>0</v>
      </c>
      <c r="DC574" s="2043">
        <v>0</v>
      </c>
      <c r="DI574" t="s">
        <v>5086</v>
      </c>
      <c r="DJ574" t="s">
        <v>5086</v>
      </c>
      <c r="DK574" s="2042">
        <f t="shared" si="10"/>
        <v>0</v>
      </c>
    </row>
    <row r="575" spans="1:115">
      <c r="A575" t="s">
        <v>5087</v>
      </c>
      <c r="B575" t="s">
        <v>2403</v>
      </c>
      <c r="C575">
        <v>2384.2020000000002</v>
      </c>
      <c r="D575">
        <v>2510.6080000000002</v>
      </c>
      <c r="E575">
        <v>129.34900000000002</v>
      </c>
      <c r="F575">
        <v>0</v>
      </c>
      <c r="G575" s="2043">
        <v>938471518</v>
      </c>
      <c r="H575">
        <v>0</v>
      </c>
      <c r="I575" s="2043">
        <v>2287350</v>
      </c>
      <c r="J575">
        <v>119.21000000000001</v>
      </c>
      <c r="K575">
        <v>326</v>
      </c>
      <c r="L575">
        <v>0</v>
      </c>
      <c r="M575">
        <v>640624</v>
      </c>
      <c r="N575">
        <v>0</v>
      </c>
      <c r="O575">
        <v>640624</v>
      </c>
      <c r="P575">
        <v>0</v>
      </c>
      <c r="Q575">
        <v>0</v>
      </c>
      <c r="R575" s="2043">
        <v>7019057</v>
      </c>
      <c r="S575">
        <v>683120</v>
      </c>
      <c r="T575">
        <v>497823</v>
      </c>
      <c r="U575">
        <v>0.08</v>
      </c>
      <c r="V575">
        <v>0</v>
      </c>
      <c r="W575">
        <v>0</v>
      </c>
      <c r="X575">
        <v>0</v>
      </c>
      <c r="Y575">
        <v>0</v>
      </c>
      <c r="Z575">
        <v>0</v>
      </c>
      <c r="AA575">
        <v>0.21200000000000002</v>
      </c>
      <c r="AB575">
        <v>2470.2249999999999</v>
      </c>
      <c r="AC575" s="2043">
        <v>734072105</v>
      </c>
      <c r="AD575">
        <v>2400000</v>
      </c>
      <c r="AE575" s="2043">
        <v>8200000</v>
      </c>
      <c r="AF575">
        <v>0.96030000000000004</v>
      </c>
      <c r="AG575">
        <v>0</v>
      </c>
      <c r="AH575">
        <v>0</v>
      </c>
      <c r="AI575">
        <v>0</v>
      </c>
      <c r="AJ575">
        <v>366.95</v>
      </c>
      <c r="AK575">
        <v>10343</v>
      </c>
      <c r="AL575">
        <v>0.33500000000000002</v>
      </c>
      <c r="AM575">
        <v>0</v>
      </c>
      <c r="AN575">
        <v>65.626000000000005</v>
      </c>
      <c r="AO575">
        <v>0</v>
      </c>
      <c r="AP575">
        <v>0</v>
      </c>
      <c r="AQ575">
        <v>0</v>
      </c>
      <c r="AR575">
        <v>82.38600000000001</v>
      </c>
      <c r="AS575">
        <v>0</v>
      </c>
      <c r="AT575">
        <v>20.194000000000003</v>
      </c>
      <c r="AU575">
        <v>7.9220000000000006</v>
      </c>
      <c r="AV575">
        <v>0</v>
      </c>
      <c r="AW575">
        <v>110.837</v>
      </c>
      <c r="AX575">
        <v>0</v>
      </c>
      <c r="AY575">
        <v>349.02500000000003</v>
      </c>
      <c r="AZ575">
        <v>0</v>
      </c>
      <c r="BA575">
        <v>16538815</v>
      </c>
      <c r="BB575">
        <v>10600000</v>
      </c>
      <c r="BC575">
        <v>0</v>
      </c>
      <c r="BD575">
        <v>285770</v>
      </c>
      <c r="BE575">
        <v>84787</v>
      </c>
      <c r="BF575">
        <v>374579</v>
      </c>
      <c r="BG575">
        <v>285770</v>
      </c>
      <c r="BH575">
        <v>4022</v>
      </c>
      <c r="BI575">
        <v>0</v>
      </c>
      <c r="BJ575">
        <v>0</v>
      </c>
      <c r="BK575">
        <v>0</v>
      </c>
      <c r="BL575">
        <v>938471518</v>
      </c>
      <c r="BM575">
        <v>0</v>
      </c>
      <c r="BN575">
        <v>8217</v>
      </c>
      <c r="BO575">
        <v>6399</v>
      </c>
      <c r="BP575">
        <v>0</v>
      </c>
      <c r="BQ575">
        <v>0</v>
      </c>
      <c r="BR575">
        <v>0.82200000000000006</v>
      </c>
      <c r="BS575">
        <v>0.82200000000000006</v>
      </c>
      <c r="BT575">
        <v>0</v>
      </c>
      <c r="BU575">
        <v>0</v>
      </c>
      <c r="BV575">
        <v>495</v>
      </c>
      <c r="BW575">
        <v>709</v>
      </c>
      <c r="BX575">
        <v>84</v>
      </c>
      <c r="BY575">
        <v>227</v>
      </c>
      <c r="BZ575">
        <v>24</v>
      </c>
      <c r="CA575">
        <v>1539</v>
      </c>
      <c r="CB575">
        <v>0</v>
      </c>
      <c r="CC575">
        <v>0</v>
      </c>
      <c r="CD575">
        <v>0</v>
      </c>
      <c r="CE575">
        <v>269</v>
      </c>
      <c r="CF575">
        <v>508.697</v>
      </c>
      <c r="CG575">
        <v>0</v>
      </c>
      <c r="CH575">
        <v>0</v>
      </c>
      <c r="CI575">
        <v>8</v>
      </c>
      <c r="CJ575">
        <v>20</v>
      </c>
      <c r="CK575">
        <v>0</v>
      </c>
      <c r="CL575">
        <v>0</v>
      </c>
      <c r="CM575">
        <v>129.34900000000002</v>
      </c>
      <c r="CN575">
        <v>0</v>
      </c>
      <c r="CO575">
        <v>0</v>
      </c>
      <c r="CP575">
        <v>0</v>
      </c>
      <c r="CQ575">
        <v>0</v>
      </c>
      <c r="CR575">
        <v>0</v>
      </c>
      <c r="CS575">
        <v>0</v>
      </c>
      <c r="CT575">
        <v>0</v>
      </c>
      <c r="CU575">
        <v>9.93</v>
      </c>
      <c r="CV575">
        <v>197.31800000000001</v>
      </c>
      <c r="CW575">
        <v>96.138000000000005</v>
      </c>
      <c r="CX575">
        <v>0</v>
      </c>
      <c r="CY575" s="2043">
        <v>0</v>
      </c>
      <c r="CZ575" s="2043">
        <v>0</v>
      </c>
      <c r="DA575" s="2043">
        <v>0</v>
      </c>
      <c r="DB575" s="2043">
        <v>0</v>
      </c>
      <c r="DC575" s="2043">
        <v>0</v>
      </c>
      <c r="DI575" t="s">
        <v>5087</v>
      </c>
      <c r="DJ575" t="s">
        <v>5087</v>
      </c>
      <c r="DK575" s="2042">
        <f t="shared" si="10"/>
        <v>0</v>
      </c>
    </row>
    <row r="576" spans="1:115">
      <c r="A576" t="s">
        <v>5088</v>
      </c>
      <c r="B576" t="s">
        <v>2379</v>
      </c>
      <c r="C576">
        <v>504.38100000000003</v>
      </c>
      <c r="D576">
        <v>492.44</v>
      </c>
      <c r="E576">
        <v>0.33200000000000002</v>
      </c>
      <c r="F576">
        <v>0</v>
      </c>
      <c r="G576" s="2043">
        <v>265554448</v>
      </c>
      <c r="H576">
        <v>0</v>
      </c>
      <c r="I576" s="2043">
        <v>387000</v>
      </c>
      <c r="J576">
        <v>25.219000000000001</v>
      </c>
      <c r="K576">
        <v>69</v>
      </c>
      <c r="L576">
        <v>0</v>
      </c>
      <c r="M576">
        <v>0</v>
      </c>
      <c r="N576">
        <v>0</v>
      </c>
      <c r="O576">
        <v>0</v>
      </c>
      <c r="P576">
        <v>0</v>
      </c>
      <c r="Q576">
        <v>0</v>
      </c>
      <c r="R576" s="2043">
        <v>2291388</v>
      </c>
      <c r="S576">
        <v>200034</v>
      </c>
      <c r="T576">
        <v>145774</v>
      </c>
      <c r="U576">
        <v>0.08</v>
      </c>
      <c r="V576">
        <v>0</v>
      </c>
      <c r="W576">
        <v>0</v>
      </c>
      <c r="X576">
        <v>0</v>
      </c>
      <c r="Y576">
        <v>0</v>
      </c>
      <c r="Z576">
        <v>0</v>
      </c>
      <c r="AA576">
        <v>0</v>
      </c>
      <c r="AB576">
        <v>484.42600000000004</v>
      </c>
      <c r="AC576" s="2043">
        <v>281416947</v>
      </c>
      <c r="AD576">
        <v>516199</v>
      </c>
      <c r="AE576" s="2043">
        <v>2637196</v>
      </c>
      <c r="AF576">
        <v>1.0547</v>
      </c>
      <c r="AG576">
        <v>0</v>
      </c>
      <c r="AH576">
        <v>0</v>
      </c>
      <c r="AI576">
        <v>0</v>
      </c>
      <c r="AJ576">
        <v>69.162999999999997</v>
      </c>
      <c r="AK576">
        <v>2329</v>
      </c>
      <c r="AL576">
        <v>0</v>
      </c>
      <c r="AM576">
        <v>0</v>
      </c>
      <c r="AN576">
        <v>10.687000000000001</v>
      </c>
      <c r="AO576">
        <v>0</v>
      </c>
      <c r="AP576">
        <v>0</v>
      </c>
      <c r="AQ576">
        <v>0</v>
      </c>
      <c r="AR576">
        <v>13.683</v>
      </c>
      <c r="AS576">
        <v>0</v>
      </c>
      <c r="AT576">
        <v>3.3730000000000002</v>
      </c>
      <c r="AU576">
        <v>1.252</v>
      </c>
      <c r="AV576">
        <v>0</v>
      </c>
      <c r="AW576">
        <v>18.308</v>
      </c>
      <c r="AX576">
        <v>0</v>
      </c>
      <c r="AY576">
        <v>57.428000000000004</v>
      </c>
      <c r="AZ576">
        <v>0</v>
      </c>
      <c r="BA576">
        <v>4036488</v>
      </c>
      <c r="BB576">
        <v>3153395</v>
      </c>
      <c r="BC576">
        <v>0</v>
      </c>
      <c r="BD576">
        <v>37936</v>
      </c>
      <c r="BE576">
        <v>6553</v>
      </c>
      <c r="BF576">
        <v>44489</v>
      </c>
      <c r="BG576">
        <v>37936</v>
      </c>
      <c r="BH576">
        <v>0</v>
      </c>
      <c r="BI576">
        <v>0</v>
      </c>
      <c r="BJ576">
        <v>0</v>
      </c>
      <c r="BK576">
        <v>0</v>
      </c>
      <c r="BL576">
        <v>265554448</v>
      </c>
      <c r="BM576">
        <v>0</v>
      </c>
      <c r="BN576">
        <v>1818</v>
      </c>
      <c r="BO576">
        <v>1509</v>
      </c>
      <c r="BP576">
        <v>0</v>
      </c>
      <c r="BQ576">
        <v>0</v>
      </c>
      <c r="BR576">
        <v>0.91639999999999999</v>
      </c>
      <c r="BS576">
        <v>0.91639999999999999</v>
      </c>
      <c r="BT576">
        <v>0</v>
      </c>
      <c r="BU576">
        <v>0</v>
      </c>
      <c r="BV576">
        <v>18</v>
      </c>
      <c r="BW576">
        <v>242</v>
      </c>
      <c r="BX576">
        <v>23</v>
      </c>
      <c r="BY576">
        <v>3</v>
      </c>
      <c r="BZ576">
        <v>4</v>
      </c>
      <c r="CA576">
        <v>290</v>
      </c>
      <c r="CB576">
        <v>0</v>
      </c>
      <c r="CC576">
        <v>0</v>
      </c>
      <c r="CD576">
        <v>0</v>
      </c>
      <c r="CE576">
        <v>48</v>
      </c>
      <c r="CF576">
        <v>114.24900000000001</v>
      </c>
      <c r="CG576">
        <v>0</v>
      </c>
      <c r="CH576">
        <v>0</v>
      </c>
      <c r="CI576">
        <v>2</v>
      </c>
      <c r="CJ576">
        <v>1</v>
      </c>
      <c r="CK576">
        <v>0</v>
      </c>
      <c r="CL576">
        <v>0</v>
      </c>
      <c r="CM576">
        <v>0.33200000000000002</v>
      </c>
      <c r="CN576">
        <v>0</v>
      </c>
      <c r="CO576">
        <v>0</v>
      </c>
      <c r="CP576">
        <v>0</v>
      </c>
      <c r="CQ576">
        <v>0</v>
      </c>
      <c r="CR576">
        <v>0</v>
      </c>
      <c r="CS576">
        <v>0</v>
      </c>
      <c r="CT576">
        <v>0</v>
      </c>
      <c r="CU576">
        <v>6.2190000000000003</v>
      </c>
      <c r="CV576">
        <v>53.659000000000006</v>
      </c>
      <c r="CW576">
        <v>13.94</v>
      </c>
      <c r="CX576">
        <v>0</v>
      </c>
      <c r="CY576" s="2043">
        <v>0</v>
      </c>
      <c r="CZ576" s="2043">
        <v>0</v>
      </c>
      <c r="DA576" s="2043">
        <v>0</v>
      </c>
      <c r="DB576" s="2043">
        <v>0</v>
      </c>
      <c r="DC576" s="2043">
        <v>0</v>
      </c>
      <c r="DI576" t="s">
        <v>5088</v>
      </c>
      <c r="DJ576" t="s">
        <v>5088</v>
      </c>
      <c r="DK576" s="2042">
        <f t="shared" si="10"/>
        <v>0</v>
      </c>
    </row>
    <row r="577" spans="1:115">
      <c r="A577" t="s">
        <v>5089</v>
      </c>
      <c r="B577" t="s">
        <v>1894</v>
      </c>
      <c r="C577">
        <v>1577.682</v>
      </c>
      <c r="D577">
        <v>1504.1850000000002</v>
      </c>
      <c r="E577">
        <v>57.246000000000002</v>
      </c>
      <c r="F577">
        <v>0</v>
      </c>
      <c r="G577" s="2043">
        <v>844899232</v>
      </c>
      <c r="H577">
        <v>0</v>
      </c>
      <c r="I577" s="2043">
        <v>2814100</v>
      </c>
      <c r="J577">
        <v>64</v>
      </c>
      <c r="K577">
        <v>175</v>
      </c>
      <c r="L577">
        <v>0</v>
      </c>
      <c r="M577">
        <v>0</v>
      </c>
      <c r="N577">
        <v>0</v>
      </c>
      <c r="O577">
        <v>0</v>
      </c>
      <c r="P577">
        <v>0</v>
      </c>
      <c r="Q577">
        <v>0</v>
      </c>
      <c r="R577" s="2043">
        <v>6183280</v>
      </c>
      <c r="S577">
        <v>376112</v>
      </c>
      <c r="T577">
        <v>0</v>
      </c>
      <c r="U577">
        <v>0.05</v>
      </c>
      <c r="V577">
        <v>0</v>
      </c>
      <c r="W577">
        <v>0</v>
      </c>
      <c r="X577">
        <v>0</v>
      </c>
      <c r="Y577">
        <v>1177481</v>
      </c>
      <c r="Z577">
        <v>0</v>
      </c>
      <c r="AA577">
        <v>0</v>
      </c>
      <c r="AB577">
        <v>1504.1850000000002</v>
      </c>
      <c r="AC577" s="2043">
        <v>610553186</v>
      </c>
      <c r="AD577">
        <v>2792232</v>
      </c>
      <c r="AE577" s="2043">
        <v>6559392</v>
      </c>
      <c r="AF577">
        <v>0.872</v>
      </c>
      <c r="AG577">
        <v>0</v>
      </c>
      <c r="AH577">
        <v>0</v>
      </c>
      <c r="AI577">
        <v>0</v>
      </c>
      <c r="AJ577">
        <v>266.43799999999999</v>
      </c>
      <c r="AK577">
        <v>8105</v>
      </c>
      <c r="AL577">
        <v>0</v>
      </c>
      <c r="AM577">
        <v>0</v>
      </c>
      <c r="AN577">
        <v>76.253</v>
      </c>
      <c r="AO577">
        <v>0</v>
      </c>
      <c r="AP577">
        <v>0</v>
      </c>
      <c r="AQ577">
        <v>0</v>
      </c>
      <c r="AR577">
        <v>63.075000000000003</v>
      </c>
      <c r="AS577">
        <v>0</v>
      </c>
      <c r="AT577">
        <v>10.67</v>
      </c>
      <c r="AU577">
        <v>3.4370000000000003</v>
      </c>
      <c r="AV577">
        <v>0</v>
      </c>
      <c r="AW577">
        <v>77.933000000000007</v>
      </c>
      <c r="AX577">
        <v>0.751</v>
      </c>
      <c r="AY577">
        <v>240.14700000000002</v>
      </c>
      <c r="AZ577">
        <v>0</v>
      </c>
      <c r="BA577">
        <v>9742359</v>
      </c>
      <c r="BB577">
        <v>9351624</v>
      </c>
      <c r="BC577">
        <v>0</v>
      </c>
      <c r="BD577">
        <v>102789</v>
      </c>
      <c r="BE577">
        <v>21275</v>
      </c>
      <c r="BF577">
        <v>124064</v>
      </c>
      <c r="BG577">
        <v>102789</v>
      </c>
      <c r="BH577">
        <v>0</v>
      </c>
      <c r="BI577">
        <v>0</v>
      </c>
      <c r="BJ577">
        <v>0</v>
      </c>
      <c r="BK577">
        <v>0</v>
      </c>
      <c r="BL577">
        <v>844899232</v>
      </c>
      <c r="BM577">
        <v>0</v>
      </c>
      <c r="BN577">
        <v>4698</v>
      </c>
      <c r="BO577">
        <v>920</v>
      </c>
      <c r="BP577">
        <v>0</v>
      </c>
      <c r="BQ577">
        <v>0</v>
      </c>
      <c r="BR577">
        <v>0.82200000000000006</v>
      </c>
      <c r="BS577">
        <v>0.82200000000000006</v>
      </c>
      <c r="BT577">
        <v>0</v>
      </c>
      <c r="BU577">
        <v>0</v>
      </c>
      <c r="BV577">
        <v>603</v>
      </c>
      <c r="BW577">
        <v>295</v>
      </c>
      <c r="BX577">
        <v>230</v>
      </c>
      <c r="BY577">
        <v>8</v>
      </c>
      <c r="BZ577">
        <v>4</v>
      </c>
      <c r="CA577">
        <v>1140</v>
      </c>
      <c r="CB577">
        <v>0</v>
      </c>
      <c r="CC577">
        <v>0</v>
      </c>
      <c r="CD577">
        <v>0</v>
      </c>
      <c r="CE577">
        <v>173</v>
      </c>
      <c r="CF577">
        <v>358.70100000000002</v>
      </c>
      <c r="CG577">
        <v>0</v>
      </c>
      <c r="CH577">
        <v>0</v>
      </c>
      <c r="CI577">
        <v>7</v>
      </c>
      <c r="CJ577">
        <v>12</v>
      </c>
      <c r="CK577">
        <v>0</v>
      </c>
      <c r="CL577">
        <v>0</v>
      </c>
      <c r="CM577">
        <v>57.246000000000002</v>
      </c>
      <c r="CN577">
        <v>0</v>
      </c>
      <c r="CO577">
        <v>0</v>
      </c>
      <c r="CP577">
        <v>0</v>
      </c>
      <c r="CQ577">
        <v>0</v>
      </c>
      <c r="CR577">
        <v>0</v>
      </c>
      <c r="CS577">
        <v>0</v>
      </c>
      <c r="CT577">
        <v>0</v>
      </c>
      <c r="CU577">
        <v>0</v>
      </c>
      <c r="CV577">
        <v>87.164000000000001</v>
      </c>
      <c r="CW577">
        <v>41.574000000000005</v>
      </c>
      <c r="CX577">
        <v>0</v>
      </c>
      <c r="CY577" s="2043">
        <v>1177481</v>
      </c>
      <c r="CZ577" s="2043">
        <v>0</v>
      </c>
      <c r="DA577" s="2043">
        <v>0</v>
      </c>
      <c r="DB577" s="2043">
        <v>0</v>
      </c>
      <c r="DC577" s="2043">
        <v>0</v>
      </c>
      <c r="DI577" t="s">
        <v>5089</v>
      </c>
      <c r="DJ577" t="s">
        <v>5089</v>
      </c>
      <c r="DK577" s="2042">
        <f t="shared" si="10"/>
        <v>0</v>
      </c>
    </row>
    <row r="578" spans="1:115">
      <c r="A578" t="s">
        <v>5090</v>
      </c>
      <c r="B578" t="s">
        <v>61</v>
      </c>
      <c r="C578">
        <v>1337.386</v>
      </c>
      <c r="D578">
        <v>1366.0250000000001</v>
      </c>
      <c r="E578">
        <v>68.326000000000008</v>
      </c>
      <c r="F578">
        <v>0</v>
      </c>
      <c r="G578" s="2043">
        <v>2040840516</v>
      </c>
      <c r="H578">
        <v>0</v>
      </c>
      <c r="I578" s="2043">
        <v>1704133</v>
      </c>
      <c r="J578">
        <v>66.869</v>
      </c>
      <c r="K578">
        <v>183</v>
      </c>
      <c r="L578">
        <v>0</v>
      </c>
      <c r="M578">
        <v>0</v>
      </c>
      <c r="N578">
        <v>0</v>
      </c>
      <c r="O578">
        <v>0</v>
      </c>
      <c r="P578">
        <v>0</v>
      </c>
      <c r="Q578">
        <v>0</v>
      </c>
      <c r="R578" s="2043">
        <v>14583807</v>
      </c>
      <c r="S578">
        <v>887093</v>
      </c>
      <c r="T578">
        <v>0</v>
      </c>
      <c r="U578">
        <v>0.05</v>
      </c>
      <c r="V578">
        <v>0</v>
      </c>
      <c r="W578">
        <v>2104084</v>
      </c>
      <c r="X578">
        <v>0</v>
      </c>
      <c r="Y578">
        <v>0</v>
      </c>
      <c r="Z578">
        <v>0.45800000000000002</v>
      </c>
      <c r="AA578">
        <v>0</v>
      </c>
      <c r="AB578">
        <v>1290.6290000000001</v>
      </c>
      <c r="AC578" s="2043">
        <v>1445379209</v>
      </c>
      <c r="AD578">
        <v>5275600</v>
      </c>
      <c r="AE578" s="2043">
        <v>15470900</v>
      </c>
      <c r="AF578">
        <v>0.872</v>
      </c>
      <c r="AG578">
        <v>0</v>
      </c>
      <c r="AH578">
        <v>2104084</v>
      </c>
      <c r="AI578">
        <v>0</v>
      </c>
      <c r="AJ578">
        <v>225.18800000000002</v>
      </c>
      <c r="AK578">
        <v>5330</v>
      </c>
      <c r="AL578">
        <v>5.8000000000000003E-2</v>
      </c>
      <c r="AM578">
        <v>0</v>
      </c>
      <c r="AN578">
        <v>23.669</v>
      </c>
      <c r="AO578">
        <v>0</v>
      </c>
      <c r="AP578">
        <v>3.1440000000000001</v>
      </c>
      <c r="AQ578">
        <v>0</v>
      </c>
      <c r="AR578">
        <v>35.197000000000003</v>
      </c>
      <c r="AS578">
        <v>0</v>
      </c>
      <c r="AT578">
        <v>13.954000000000001</v>
      </c>
      <c r="AU578">
        <v>3.129</v>
      </c>
      <c r="AV578">
        <v>0</v>
      </c>
      <c r="AW578">
        <v>55.481999999999999</v>
      </c>
      <c r="AX578">
        <v>0</v>
      </c>
      <c r="AY578">
        <v>171.87700000000001</v>
      </c>
      <c r="AZ578">
        <v>0</v>
      </c>
      <c r="BA578">
        <v>730291</v>
      </c>
      <c r="BB578">
        <v>20746500</v>
      </c>
      <c r="BC578">
        <v>0</v>
      </c>
      <c r="BD578">
        <v>116904</v>
      </c>
      <c r="BE578">
        <v>36018</v>
      </c>
      <c r="BF578">
        <v>152922</v>
      </c>
      <c r="BG578">
        <v>116904</v>
      </c>
      <c r="BH578">
        <v>0</v>
      </c>
      <c r="BI578">
        <v>0</v>
      </c>
      <c r="BJ578">
        <v>0</v>
      </c>
      <c r="BK578">
        <v>0</v>
      </c>
      <c r="BL578">
        <v>2040840516</v>
      </c>
      <c r="BM578">
        <v>0</v>
      </c>
      <c r="BN578">
        <v>4410</v>
      </c>
      <c r="BO578">
        <v>3831</v>
      </c>
      <c r="BP578">
        <v>0</v>
      </c>
      <c r="BQ578">
        <v>0</v>
      </c>
      <c r="BR578">
        <v>0.82200000000000006</v>
      </c>
      <c r="BS578">
        <v>0.82200000000000006</v>
      </c>
      <c r="BT578">
        <v>0</v>
      </c>
      <c r="BU578">
        <v>0</v>
      </c>
      <c r="BV578">
        <v>170</v>
      </c>
      <c r="BW578">
        <v>425</v>
      </c>
      <c r="BX578">
        <v>133</v>
      </c>
      <c r="BY578">
        <v>4</v>
      </c>
      <c r="BZ578">
        <v>188</v>
      </c>
      <c r="CA578">
        <v>920</v>
      </c>
      <c r="CB578">
        <v>0</v>
      </c>
      <c r="CC578">
        <v>0</v>
      </c>
      <c r="CD578">
        <v>0</v>
      </c>
      <c r="CE578">
        <v>91</v>
      </c>
      <c r="CF578">
        <v>351.27700000000004</v>
      </c>
      <c r="CG578">
        <v>0</v>
      </c>
      <c r="CH578">
        <v>0</v>
      </c>
      <c r="CI578">
        <v>14</v>
      </c>
      <c r="CJ578">
        <v>11</v>
      </c>
      <c r="CK578">
        <v>0</v>
      </c>
      <c r="CL578">
        <v>0</v>
      </c>
      <c r="CM578">
        <v>68.326000000000008</v>
      </c>
      <c r="CN578">
        <v>0</v>
      </c>
      <c r="CO578">
        <v>0</v>
      </c>
      <c r="CP578">
        <v>0</v>
      </c>
      <c r="CQ578">
        <v>0</v>
      </c>
      <c r="CR578">
        <v>0</v>
      </c>
      <c r="CS578">
        <v>0</v>
      </c>
      <c r="CT578">
        <v>0</v>
      </c>
      <c r="CU578">
        <v>9.4619999999999997</v>
      </c>
      <c r="CV578">
        <v>79.274000000000001</v>
      </c>
      <c r="CW578">
        <v>48.714000000000006</v>
      </c>
      <c r="CX578">
        <v>0</v>
      </c>
      <c r="CY578" s="2043">
        <v>0</v>
      </c>
      <c r="CZ578" s="2043">
        <v>0</v>
      </c>
      <c r="DA578" s="2043">
        <v>0</v>
      </c>
      <c r="DB578" s="2043">
        <v>0</v>
      </c>
      <c r="DC578" s="2043">
        <v>397111</v>
      </c>
      <c r="DI578" t="s">
        <v>5090</v>
      </c>
      <c r="DJ578" t="s">
        <v>5090</v>
      </c>
      <c r="DK578" s="2042">
        <f t="shared" si="10"/>
        <v>0</v>
      </c>
    </row>
    <row r="579" spans="1:115">
      <c r="A579" t="s">
        <v>3032</v>
      </c>
      <c r="B579" t="s">
        <v>1429</v>
      </c>
      <c r="C579">
        <v>140.39400000000001</v>
      </c>
      <c r="D579">
        <v>153.94400000000002</v>
      </c>
      <c r="E579">
        <v>4.9279999999999999</v>
      </c>
      <c r="F579">
        <v>0</v>
      </c>
      <c r="G579" s="2043">
        <v>58387730</v>
      </c>
      <c r="H579">
        <v>0</v>
      </c>
      <c r="I579" s="2043">
        <v>99875</v>
      </c>
      <c r="J579">
        <v>7.0200000000000005</v>
      </c>
      <c r="K579">
        <v>19</v>
      </c>
      <c r="L579">
        <v>0</v>
      </c>
      <c r="M579">
        <v>0</v>
      </c>
      <c r="N579">
        <v>0</v>
      </c>
      <c r="O579">
        <v>0</v>
      </c>
      <c r="P579">
        <v>0</v>
      </c>
      <c r="Q579">
        <v>0</v>
      </c>
      <c r="R579" s="2043">
        <v>457007</v>
      </c>
      <c r="S579">
        <v>44478</v>
      </c>
      <c r="T579">
        <v>32413</v>
      </c>
      <c r="U579">
        <v>0.08</v>
      </c>
      <c r="V579">
        <v>0</v>
      </c>
      <c r="W579">
        <v>0</v>
      </c>
      <c r="X579">
        <v>0</v>
      </c>
      <c r="Y579">
        <v>0</v>
      </c>
      <c r="Z579">
        <v>0</v>
      </c>
      <c r="AA579">
        <v>0</v>
      </c>
      <c r="AB579">
        <v>139.53400000000002</v>
      </c>
      <c r="AC579" s="2043">
        <v>47256269</v>
      </c>
      <c r="AD579">
        <v>107336</v>
      </c>
      <c r="AE579" s="2043">
        <v>533898</v>
      </c>
      <c r="AF579">
        <v>0.96030000000000004</v>
      </c>
      <c r="AG579">
        <v>0</v>
      </c>
      <c r="AH579">
        <v>0</v>
      </c>
      <c r="AI579">
        <v>0</v>
      </c>
      <c r="AJ579">
        <v>31.438000000000002</v>
      </c>
      <c r="AK579">
        <v>547</v>
      </c>
      <c r="AL579">
        <v>0</v>
      </c>
      <c r="AM579">
        <v>0</v>
      </c>
      <c r="AN579">
        <v>6.3260000000000005</v>
      </c>
      <c r="AO579">
        <v>0</v>
      </c>
      <c r="AP579">
        <v>0</v>
      </c>
      <c r="AQ579">
        <v>0</v>
      </c>
      <c r="AR579">
        <v>1.2370000000000001</v>
      </c>
      <c r="AS579">
        <v>0</v>
      </c>
      <c r="AT579">
        <v>0.94700000000000006</v>
      </c>
      <c r="AU579">
        <v>0.27900000000000003</v>
      </c>
      <c r="AV579">
        <v>0</v>
      </c>
      <c r="AW579">
        <v>2.4630000000000001</v>
      </c>
      <c r="AX579">
        <v>0</v>
      </c>
      <c r="AY579">
        <v>7.9470000000000001</v>
      </c>
      <c r="AZ579">
        <v>0</v>
      </c>
      <c r="BA579">
        <v>1581795</v>
      </c>
      <c r="BB579">
        <v>641234</v>
      </c>
      <c r="BC579">
        <v>0</v>
      </c>
      <c r="BD579">
        <v>2352</v>
      </c>
      <c r="BE579">
        <v>877</v>
      </c>
      <c r="BF579">
        <v>3229</v>
      </c>
      <c r="BG579">
        <v>2352</v>
      </c>
      <c r="BH579">
        <v>0</v>
      </c>
      <c r="BI579">
        <v>0</v>
      </c>
      <c r="BJ579">
        <v>0</v>
      </c>
      <c r="BK579">
        <v>0</v>
      </c>
      <c r="BL579">
        <v>58387730</v>
      </c>
      <c r="BM579">
        <v>0</v>
      </c>
      <c r="BN579">
        <v>594</v>
      </c>
      <c r="BO579">
        <v>235</v>
      </c>
      <c r="BP579">
        <v>0</v>
      </c>
      <c r="BQ579">
        <v>0</v>
      </c>
      <c r="BR579">
        <v>0.82200000000000006</v>
      </c>
      <c r="BS579">
        <v>0.82200000000000006</v>
      </c>
      <c r="BT579">
        <v>0</v>
      </c>
      <c r="BU579">
        <v>0</v>
      </c>
      <c r="BV579">
        <v>5</v>
      </c>
      <c r="BW579">
        <v>4</v>
      </c>
      <c r="BX579">
        <v>112</v>
      </c>
      <c r="BY579">
        <v>1</v>
      </c>
      <c r="BZ579">
        <v>4</v>
      </c>
      <c r="CA579">
        <v>126</v>
      </c>
      <c r="CB579">
        <v>0</v>
      </c>
      <c r="CC579">
        <v>0</v>
      </c>
      <c r="CD579">
        <v>0</v>
      </c>
      <c r="CE579">
        <v>13</v>
      </c>
      <c r="CF579">
        <v>30.136000000000003</v>
      </c>
      <c r="CG579">
        <v>0</v>
      </c>
      <c r="CH579">
        <v>0</v>
      </c>
      <c r="CI579">
        <v>1</v>
      </c>
      <c r="CJ579">
        <v>0</v>
      </c>
      <c r="CK579">
        <v>0</v>
      </c>
      <c r="CL579">
        <v>0</v>
      </c>
      <c r="CM579">
        <v>4.9279999999999999</v>
      </c>
      <c r="CN579">
        <v>0</v>
      </c>
      <c r="CO579">
        <v>0</v>
      </c>
      <c r="CP579">
        <v>0</v>
      </c>
      <c r="CQ579">
        <v>0</v>
      </c>
      <c r="CR579">
        <v>0</v>
      </c>
      <c r="CS579">
        <v>0</v>
      </c>
      <c r="CT579">
        <v>0</v>
      </c>
      <c r="CU579">
        <v>0</v>
      </c>
      <c r="CV579">
        <v>10.024000000000001</v>
      </c>
      <c r="CW579">
        <v>2.754</v>
      </c>
      <c r="CX579">
        <v>0</v>
      </c>
      <c r="CY579" s="2043">
        <v>0</v>
      </c>
      <c r="CZ579" s="2043">
        <v>0</v>
      </c>
      <c r="DA579" s="2043">
        <v>0</v>
      </c>
      <c r="DB579" s="2043">
        <v>0</v>
      </c>
      <c r="DC579" s="2043">
        <v>0</v>
      </c>
      <c r="DI579" t="s">
        <v>3032</v>
      </c>
      <c r="DJ579" t="s">
        <v>3032</v>
      </c>
      <c r="DK579" s="2042">
        <f t="shared" si="10"/>
        <v>0</v>
      </c>
    </row>
    <row r="580" spans="1:115">
      <c r="A580" t="s">
        <v>4087</v>
      </c>
      <c r="B580" t="s">
        <v>821</v>
      </c>
      <c r="C580">
        <v>158.59399999999999</v>
      </c>
      <c r="D580">
        <v>153.58199999999999</v>
      </c>
      <c r="E580">
        <v>12.93</v>
      </c>
      <c r="F580">
        <v>0</v>
      </c>
      <c r="G580" s="2043">
        <v>48005052</v>
      </c>
      <c r="H580">
        <v>0</v>
      </c>
      <c r="I580" s="2043">
        <v>0</v>
      </c>
      <c r="J580">
        <v>7.9300000000000006</v>
      </c>
      <c r="K580">
        <v>22</v>
      </c>
      <c r="L580">
        <v>0</v>
      </c>
      <c r="M580">
        <v>0</v>
      </c>
      <c r="N580">
        <v>0</v>
      </c>
      <c r="O580">
        <v>0</v>
      </c>
      <c r="P580">
        <v>0</v>
      </c>
      <c r="Q580">
        <v>0</v>
      </c>
      <c r="R580" s="2043">
        <v>379320</v>
      </c>
      <c r="S580">
        <v>23073</v>
      </c>
      <c r="T580">
        <v>0</v>
      </c>
      <c r="U580">
        <v>0.05</v>
      </c>
      <c r="V580">
        <v>0</v>
      </c>
      <c r="W580">
        <v>0</v>
      </c>
      <c r="X580">
        <v>0</v>
      </c>
      <c r="Y580">
        <v>0</v>
      </c>
      <c r="Z580">
        <v>0</v>
      </c>
      <c r="AA580">
        <v>0</v>
      </c>
      <c r="AB580">
        <v>153.58199999999999</v>
      </c>
      <c r="AC580" s="2043">
        <v>39816270</v>
      </c>
      <c r="AD580">
        <v>0</v>
      </c>
      <c r="AE580" s="2043">
        <v>402393</v>
      </c>
      <c r="AF580">
        <v>0.872</v>
      </c>
      <c r="AG580">
        <v>0</v>
      </c>
      <c r="AH580">
        <v>0</v>
      </c>
      <c r="AI580">
        <v>0</v>
      </c>
      <c r="AJ580">
        <v>27.813000000000002</v>
      </c>
      <c r="AK580">
        <v>1316</v>
      </c>
      <c r="AL580">
        <v>0</v>
      </c>
      <c r="AM580">
        <v>0</v>
      </c>
      <c r="AN580">
        <v>9.6150000000000002</v>
      </c>
      <c r="AO580">
        <v>0</v>
      </c>
      <c r="AP580">
        <v>0</v>
      </c>
      <c r="AQ580">
        <v>0</v>
      </c>
      <c r="AR580">
        <v>7.3070000000000004</v>
      </c>
      <c r="AS580">
        <v>0</v>
      </c>
      <c r="AT580">
        <v>2.2000000000000002E-2</v>
      </c>
      <c r="AU580">
        <v>0.745</v>
      </c>
      <c r="AV580">
        <v>0</v>
      </c>
      <c r="AW580">
        <v>8.0739999999999998</v>
      </c>
      <c r="AX580">
        <v>0</v>
      </c>
      <c r="AY580">
        <v>25.712</v>
      </c>
      <c r="AZ580">
        <v>0</v>
      </c>
      <c r="BA580">
        <v>1799367</v>
      </c>
      <c r="BB580">
        <v>402393</v>
      </c>
      <c r="BC580">
        <v>0</v>
      </c>
      <c r="BD580">
        <v>5963</v>
      </c>
      <c r="BE580">
        <v>0</v>
      </c>
      <c r="BF580">
        <v>5963</v>
      </c>
      <c r="BG580">
        <v>5963</v>
      </c>
      <c r="BH580">
        <v>0</v>
      </c>
      <c r="BI580">
        <v>0</v>
      </c>
      <c r="BJ580">
        <v>0</v>
      </c>
      <c r="BK580">
        <v>0</v>
      </c>
      <c r="BL580">
        <v>48005052</v>
      </c>
      <c r="BM580">
        <v>0</v>
      </c>
      <c r="BN580">
        <v>0</v>
      </c>
      <c r="BO580">
        <v>0</v>
      </c>
      <c r="BP580">
        <v>0</v>
      </c>
      <c r="BQ580">
        <v>0</v>
      </c>
      <c r="BR580">
        <v>0.82200000000000006</v>
      </c>
      <c r="BS580">
        <v>0.82200000000000006</v>
      </c>
      <c r="BT580">
        <v>0</v>
      </c>
      <c r="BU580">
        <v>0</v>
      </c>
      <c r="BV580">
        <v>102</v>
      </c>
      <c r="BW580">
        <v>17</v>
      </c>
      <c r="BX580">
        <v>0</v>
      </c>
      <c r="BY580">
        <v>0</v>
      </c>
      <c r="BZ580">
        <v>3</v>
      </c>
      <c r="CA580">
        <v>122</v>
      </c>
      <c r="CB580">
        <v>0</v>
      </c>
      <c r="CC580">
        <v>0</v>
      </c>
      <c r="CD580">
        <v>0</v>
      </c>
      <c r="CE580">
        <v>19</v>
      </c>
      <c r="CF580">
        <v>57.951000000000001</v>
      </c>
      <c r="CG580">
        <v>0</v>
      </c>
      <c r="CH580">
        <v>0</v>
      </c>
      <c r="CI580">
        <v>0</v>
      </c>
      <c r="CJ580">
        <v>0</v>
      </c>
      <c r="CK580">
        <v>0</v>
      </c>
      <c r="CL580">
        <v>0</v>
      </c>
      <c r="CM580">
        <v>12.93</v>
      </c>
      <c r="CN580">
        <v>0</v>
      </c>
      <c r="CO580">
        <v>0</v>
      </c>
      <c r="CP580">
        <v>0</v>
      </c>
      <c r="CQ580">
        <v>0</v>
      </c>
      <c r="CR580">
        <v>0</v>
      </c>
      <c r="CS580">
        <v>0</v>
      </c>
      <c r="CT580">
        <v>0</v>
      </c>
      <c r="CU580">
        <v>0</v>
      </c>
      <c r="CV580">
        <v>0</v>
      </c>
      <c r="CW580">
        <v>0</v>
      </c>
      <c r="CX580">
        <v>0</v>
      </c>
      <c r="CY580" s="2043">
        <v>0</v>
      </c>
      <c r="CZ580" s="2043">
        <v>0</v>
      </c>
      <c r="DA580" s="2043">
        <v>0</v>
      </c>
      <c r="DB580" s="2043">
        <v>0</v>
      </c>
      <c r="DC580" s="2043">
        <v>0</v>
      </c>
      <c r="DI580" t="s">
        <v>4087</v>
      </c>
      <c r="DJ580" t="s">
        <v>4087</v>
      </c>
      <c r="DK580" s="2042">
        <f t="shared" ref="DK580:DK643" si="11">DI580-DJ580:DJ581</f>
        <v>0</v>
      </c>
    </row>
    <row r="581" spans="1:115">
      <c r="A581" t="s">
        <v>5091</v>
      </c>
      <c r="B581" t="s">
        <v>62</v>
      </c>
      <c r="C581">
        <v>450.60400000000004</v>
      </c>
      <c r="D581">
        <v>441.63300000000004</v>
      </c>
      <c r="E581">
        <v>3.5310000000000001</v>
      </c>
      <c r="F581">
        <v>0</v>
      </c>
      <c r="G581" s="2043">
        <v>236960421</v>
      </c>
      <c r="H581">
        <v>0</v>
      </c>
      <c r="I581" s="2043">
        <v>525800</v>
      </c>
      <c r="J581">
        <v>22.53</v>
      </c>
      <c r="K581">
        <v>62</v>
      </c>
      <c r="L581">
        <v>0</v>
      </c>
      <c r="M581">
        <v>0</v>
      </c>
      <c r="N581">
        <v>0</v>
      </c>
      <c r="O581">
        <v>0</v>
      </c>
      <c r="P581">
        <v>0</v>
      </c>
      <c r="Q581">
        <v>0</v>
      </c>
      <c r="R581" s="2043">
        <v>1923815</v>
      </c>
      <c r="S581">
        <v>115006</v>
      </c>
      <c r="T581">
        <v>0</v>
      </c>
      <c r="U581">
        <v>0.05</v>
      </c>
      <c r="V581">
        <v>0</v>
      </c>
      <c r="W581">
        <v>0</v>
      </c>
      <c r="X581">
        <v>0</v>
      </c>
      <c r="Y581">
        <v>-6080</v>
      </c>
      <c r="Z581">
        <v>0</v>
      </c>
      <c r="AA581">
        <v>0</v>
      </c>
      <c r="AB581">
        <v>434.18299999999999</v>
      </c>
      <c r="AC581" s="2043">
        <v>197137788</v>
      </c>
      <c r="AD581">
        <v>603776</v>
      </c>
      <c r="AE581" s="2043">
        <v>2038821</v>
      </c>
      <c r="AF581">
        <v>0.88640000000000008</v>
      </c>
      <c r="AG581">
        <v>0</v>
      </c>
      <c r="AH581">
        <v>0</v>
      </c>
      <c r="AI581">
        <v>0</v>
      </c>
      <c r="AJ581">
        <v>58.65</v>
      </c>
      <c r="AK581">
        <v>2425</v>
      </c>
      <c r="AL581">
        <v>0</v>
      </c>
      <c r="AM581">
        <v>0</v>
      </c>
      <c r="AN581">
        <v>1.9330000000000001</v>
      </c>
      <c r="AO581">
        <v>0</v>
      </c>
      <c r="AP581">
        <v>0</v>
      </c>
      <c r="AQ581">
        <v>0</v>
      </c>
      <c r="AR581">
        <v>19.774000000000001</v>
      </c>
      <c r="AS581">
        <v>0</v>
      </c>
      <c r="AT581">
        <v>2.0249999999999999</v>
      </c>
      <c r="AU581">
        <v>0.751</v>
      </c>
      <c r="AV581">
        <v>0</v>
      </c>
      <c r="AW581">
        <v>22.55</v>
      </c>
      <c r="AX581">
        <v>0</v>
      </c>
      <c r="AY581">
        <v>69.152000000000001</v>
      </c>
      <c r="AZ581">
        <v>0</v>
      </c>
      <c r="BA581">
        <v>3714674</v>
      </c>
      <c r="BB581">
        <v>2642597</v>
      </c>
      <c r="BC581">
        <v>0</v>
      </c>
      <c r="BD581">
        <v>70862</v>
      </c>
      <c r="BE581">
        <v>4259</v>
      </c>
      <c r="BF581">
        <v>75121</v>
      </c>
      <c r="BG581">
        <v>70862</v>
      </c>
      <c r="BH581">
        <v>0</v>
      </c>
      <c r="BI581">
        <v>-6080</v>
      </c>
      <c r="BJ581">
        <v>0</v>
      </c>
      <c r="BK581">
        <v>0</v>
      </c>
      <c r="BL581">
        <v>236960421</v>
      </c>
      <c r="BM581">
        <v>0</v>
      </c>
      <c r="BN581">
        <v>2106</v>
      </c>
      <c r="BO581">
        <v>1380</v>
      </c>
      <c r="BP581">
        <v>0</v>
      </c>
      <c r="BQ581">
        <v>0</v>
      </c>
      <c r="BR581">
        <v>0.83640000000000003</v>
      </c>
      <c r="BS581">
        <v>0.83640000000000003</v>
      </c>
      <c r="BT581">
        <v>0</v>
      </c>
      <c r="BU581">
        <v>0</v>
      </c>
      <c r="BV581">
        <v>217</v>
      </c>
      <c r="BW581">
        <v>23</v>
      </c>
      <c r="BX581">
        <v>11</v>
      </c>
      <c r="BY581">
        <v>3</v>
      </c>
      <c r="BZ581">
        <v>3</v>
      </c>
      <c r="CA581">
        <v>257</v>
      </c>
      <c r="CB581">
        <v>0</v>
      </c>
      <c r="CC581">
        <v>0</v>
      </c>
      <c r="CD581">
        <v>0</v>
      </c>
      <c r="CE581">
        <v>26</v>
      </c>
      <c r="CF581">
        <v>59.842000000000006</v>
      </c>
      <c r="CG581">
        <v>0</v>
      </c>
      <c r="CH581">
        <v>0</v>
      </c>
      <c r="CI581">
        <v>0</v>
      </c>
      <c r="CJ581">
        <v>3</v>
      </c>
      <c r="CK581">
        <v>0</v>
      </c>
      <c r="CL581">
        <v>0</v>
      </c>
      <c r="CM581">
        <v>3.5310000000000001</v>
      </c>
      <c r="CN581">
        <v>0</v>
      </c>
      <c r="CO581">
        <v>0</v>
      </c>
      <c r="CP581">
        <v>0</v>
      </c>
      <c r="CQ581">
        <v>0</v>
      </c>
      <c r="CR581">
        <v>0</v>
      </c>
      <c r="CS581">
        <v>0</v>
      </c>
      <c r="CT581">
        <v>0</v>
      </c>
      <c r="CU581">
        <v>2.5550000000000002</v>
      </c>
      <c r="CV581">
        <v>39.536000000000001</v>
      </c>
      <c r="CW581">
        <v>36.036000000000001</v>
      </c>
      <c r="CX581">
        <v>0</v>
      </c>
      <c r="CY581" s="2043">
        <v>0</v>
      </c>
      <c r="CZ581" s="2043">
        <v>0</v>
      </c>
      <c r="DA581" s="2043">
        <v>0</v>
      </c>
      <c r="DB581" s="2043">
        <v>0</v>
      </c>
      <c r="DC581" s="2043">
        <v>0</v>
      </c>
      <c r="DI581" t="s">
        <v>5091</v>
      </c>
      <c r="DJ581" t="s">
        <v>5091</v>
      </c>
      <c r="DK581" s="2042">
        <f t="shared" si="11"/>
        <v>0</v>
      </c>
    </row>
    <row r="582" spans="1:115">
      <c r="A582" t="s">
        <v>8043</v>
      </c>
      <c r="B582" t="s">
        <v>11363</v>
      </c>
      <c r="C582">
        <v>1147.184</v>
      </c>
      <c r="D582">
        <v>1045.7150000000001</v>
      </c>
      <c r="E582">
        <v>362.452</v>
      </c>
      <c r="F582">
        <v>0</v>
      </c>
      <c r="G582" s="2043">
        <v>0</v>
      </c>
      <c r="H582">
        <v>0</v>
      </c>
      <c r="I582" s="2043">
        <v>0</v>
      </c>
      <c r="J582">
        <v>44</v>
      </c>
      <c r="K582">
        <v>120</v>
      </c>
      <c r="L582">
        <v>0</v>
      </c>
      <c r="M582">
        <v>0</v>
      </c>
      <c r="N582">
        <v>0</v>
      </c>
      <c r="O582">
        <v>0</v>
      </c>
      <c r="P582">
        <v>0</v>
      </c>
      <c r="Q582">
        <v>0</v>
      </c>
      <c r="R582" s="2043">
        <v>0</v>
      </c>
      <c r="S582">
        <v>0</v>
      </c>
      <c r="T582">
        <v>0</v>
      </c>
      <c r="U582">
        <v>0</v>
      </c>
      <c r="V582">
        <v>0</v>
      </c>
      <c r="W582">
        <v>0</v>
      </c>
      <c r="X582">
        <v>0</v>
      </c>
      <c r="Y582">
        <v>202802</v>
      </c>
      <c r="Z582">
        <v>0</v>
      </c>
      <c r="AA582">
        <v>0</v>
      </c>
      <c r="AB582">
        <v>1045.7150000000001</v>
      </c>
      <c r="AC582" s="2043">
        <v>0</v>
      </c>
      <c r="AD582">
        <v>0</v>
      </c>
      <c r="AE582" s="2043">
        <v>0</v>
      </c>
      <c r="AF582">
        <v>0</v>
      </c>
      <c r="AG582">
        <v>0</v>
      </c>
      <c r="AH582">
        <v>0</v>
      </c>
      <c r="AI582">
        <v>0</v>
      </c>
      <c r="AJ582">
        <v>246.95000000000002</v>
      </c>
      <c r="AK582">
        <v>2150</v>
      </c>
      <c r="AL582">
        <v>0</v>
      </c>
      <c r="AM582">
        <v>0</v>
      </c>
      <c r="AN582">
        <v>29.59</v>
      </c>
      <c r="AO582">
        <v>0</v>
      </c>
      <c r="AP582">
        <v>0</v>
      </c>
      <c r="AQ582">
        <v>0</v>
      </c>
      <c r="AR582">
        <v>16.651</v>
      </c>
      <c r="AS582">
        <v>0</v>
      </c>
      <c r="AT582">
        <v>0.52200000000000002</v>
      </c>
      <c r="AU582">
        <v>1.8760000000000001</v>
      </c>
      <c r="AV582">
        <v>0</v>
      </c>
      <c r="AW582">
        <v>19.048999999999999</v>
      </c>
      <c r="AX582">
        <v>0</v>
      </c>
      <c r="AY582">
        <v>60.899000000000001</v>
      </c>
      <c r="AZ582">
        <v>0</v>
      </c>
      <c r="BA582">
        <v>12538571</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188</v>
      </c>
      <c r="BW582">
        <v>160</v>
      </c>
      <c r="BX582">
        <v>247</v>
      </c>
      <c r="BY582">
        <v>210</v>
      </c>
      <c r="BZ582">
        <v>181</v>
      </c>
      <c r="CA582">
        <v>986</v>
      </c>
      <c r="CB582">
        <v>0</v>
      </c>
      <c r="CC582">
        <v>0</v>
      </c>
      <c r="CD582">
        <v>0</v>
      </c>
      <c r="CE582">
        <v>22</v>
      </c>
      <c r="CF582">
        <v>629.75400000000002</v>
      </c>
      <c r="CG582">
        <v>0</v>
      </c>
      <c r="CH582">
        <v>0</v>
      </c>
      <c r="CI582">
        <v>0</v>
      </c>
      <c r="CJ582">
        <v>0</v>
      </c>
      <c r="CK582">
        <v>0</v>
      </c>
      <c r="CL582">
        <v>0</v>
      </c>
      <c r="CM582">
        <v>362.452</v>
      </c>
      <c r="CN582">
        <v>0</v>
      </c>
      <c r="CO582">
        <v>0</v>
      </c>
      <c r="CP582">
        <v>0</v>
      </c>
      <c r="CQ582">
        <v>0</v>
      </c>
      <c r="CR582">
        <v>0</v>
      </c>
      <c r="CS582">
        <v>0</v>
      </c>
      <c r="CT582">
        <v>0</v>
      </c>
      <c r="CU582">
        <v>0.22800000000000001</v>
      </c>
      <c r="CV582">
        <v>13.072000000000001</v>
      </c>
      <c r="CW582">
        <v>0</v>
      </c>
      <c r="CX582">
        <v>0</v>
      </c>
      <c r="CY582" s="2043">
        <v>0</v>
      </c>
      <c r="CZ582" s="2043">
        <v>0</v>
      </c>
      <c r="DA582" s="2043">
        <v>0</v>
      </c>
      <c r="DB582" s="2043">
        <v>0</v>
      </c>
      <c r="DC582" s="2043">
        <v>0</v>
      </c>
      <c r="DI582" t="s">
        <v>8043</v>
      </c>
      <c r="DJ582" t="s">
        <v>8043</v>
      </c>
      <c r="DK582" s="2042">
        <f t="shared" si="11"/>
        <v>0</v>
      </c>
    </row>
    <row r="583" spans="1:115">
      <c r="A583" t="s">
        <v>8044</v>
      </c>
      <c r="B583" t="s">
        <v>11364</v>
      </c>
      <c r="C583">
        <v>416.07500000000005</v>
      </c>
      <c r="D583">
        <v>443.09399999999999</v>
      </c>
      <c r="E583">
        <v>85.445999999999998</v>
      </c>
      <c r="F583">
        <v>0</v>
      </c>
      <c r="G583" s="2043">
        <v>0</v>
      </c>
      <c r="H583">
        <v>0</v>
      </c>
      <c r="I583" s="2043">
        <v>0</v>
      </c>
      <c r="J583">
        <v>0</v>
      </c>
      <c r="K583">
        <v>0</v>
      </c>
      <c r="L583">
        <v>0</v>
      </c>
      <c r="M583">
        <v>0</v>
      </c>
      <c r="N583">
        <v>0</v>
      </c>
      <c r="O583">
        <v>0</v>
      </c>
      <c r="P583">
        <v>0</v>
      </c>
      <c r="Q583">
        <v>0</v>
      </c>
      <c r="R583" s="2043">
        <v>0</v>
      </c>
      <c r="S583">
        <v>0</v>
      </c>
      <c r="T583">
        <v>0</v>
      </c>
      <c r="U583">
        <v>0</v>
      </c>
      <c r="V583">
        <v>0</v>
      </c>
      <c r="W583">
        <v>0</v>
      </c>
      <c r="X583">
        <v>0</v>
      </c>
      <c r="Y583">
        <v>138603</v>
      </c>
      <c r="Z583">
        <v>0</v>
      </c>
      <c r="AA583">
        <v>2.1910000000000003</v>
      </c>
      <c r="AB583">
        <v>443.09399999999999</v>
      </c>
      <c r="AC583" s="2043">
        <v>0</v>
      </c>
      <c r="AD583">
        <v>0</v>
      </c>
      <c r="AE583" s="2043">
        <v>0</v>
      </c>
      <c r="AF583">
        <v>0</v>
      </c>
      <c r="AG583">
        <v>0</v>
      </c>
      <c r="AH583">
        <v>0</v>
      </c>
      <c r="AI583">
        <v>0</v>
      </c>
      <c r="AJ583">
        <v>114.75</v>
      </c>
      <c r="AK583">
        <v>956</v>
      </c>
      <c r="AL583">
        <v>0.13600000000000001</v>
      </c>
      <c r="AM583">
        <v>0</v>
      </c>
      <c r="AN583">
        <v>35.541000000000004</v>
      </c>
      <c r="AO583">
        <v>0</v>
      </c>
      <c r="AP583">
        <v>0</v>
      </c>
      <c r="AQ583">
        <v>0</v>
      </c>
      <c r="AR583">
        <v>7.0000000000000007E-2</v>
      </c>
      <c r="AS583">
        <v>0</v>
      </c>
      <c r="AT583">
        <v>0</v>
      </c>
      <c r="AU583">
        <v>8.8000000000000009E-2</v>
      </c>
      <c r="AV583">
        <v>0</v>
      </c>
      <c r="AW583">
        <v>0.29400000000000004</v>
      </c>
      <c r="AX583">
        <v>0</v>
      </c>
      <c r="AY583">
        <v>1.33</v>
      </c>
      <c r="AZ583">
        <v>0</v>
      </c>
      <c r="BA583">
        <v>4918918</v>
      </c>
      <c r="BB583">
        <v>0</v>
      </c>
      <c r="BC583">
        <v>0</v>
      </c>
      <c r="BD583">
        <v>0</v>
      </c>
      <c r="BE583">
        <v>0</v>
      </c>
      <c r="BF583">
        <v>0</v>
      </c>
      <c r="BG583">
        <v>0</v>
      </c>
      <c r="BH583">
        <v>0</v>
      </c>
      <c r="BI583">
        <v>0</v>
      </c>
      <c r="BJ583">
        <v>0</v>
      </c>
      <c r="BK583">
        <v>0</v>
      </c>
      <c r="BL583">
        <v>0</v>
      </c>
      <c r="BM583">
        <v>0</v>
      </c>
      <c r="BN583">
        <v>4680</v>
      </c>
      <c r="BO583">
        <v>417</v>
      </c>
      <c r="BP583">
        <v>0</v>
      </c>
      <c r="BQ583">
        <v>0</v>
      </c>
      <c r="BR583">
        <v>0</v>
      </c>
      <c r="BS583">
        <v>0</v>
      </c>
      <c r="BT583">
        <v>0</v>
      </c>
      <c r="BU583">
        <v>0</v>
      </c>
      <c r="BV583">
        <v>29</v>
      </c>
      <c r="BW583">
        <v>52</v>
      </c>
      <c r="BX583">
        <v>98</v>
      </c>
      <c r="BY583">
        <v>120</v>
      </c>
      <c r="BZ583">
        <v>145</v>
      </c>
      <c r="CA583">
        <v>444</v>
      </c>
      <c r="CB583">
        <v>0</v>
      </c>
      <c r="CC583">
        <v>0</v>
      </c>
      <c r="CD583">
        <v>0</v>
      </c>
      <c r="CE583">
        <v>4</v>
      </c>
      <c r="CF583">
        <v>0</v>
      </c>
      <c r="CG583">
        <v>416.07500000000005</v>
      </c>
      <c r="CH583">
        <v>0</v>
      </c>
      <c r="CI583">
        <v>0</v>
      </c>
      <c r="CJ583">
        <v>0</v>
      </c>
      <c r="CK583">
        <v>0</v>
      </c>
      <c r="CL583">
        <v>416.07500000000005</v>
      </c>
      <c r="CM583">
        <v>85.445999999999998</v>
      </c>
      <c r="CN583">
        <v>0</v>
      </c>
      <c r="CO583">
        <v>0</v>
      </c>
      <c r="CP583">
        <v>0</v>
      </c>
      <c r="CQ583">
        <v>0</v>
      </c>
      <c r="CR583">
        <v>0</v>
      </c>
      <c r="CS583">
        <v>0</v>
      </c>
      <c r="CT583">
        <v>0</v>
      </c>
      <c r="CU583">
        <v>0</v>
      </c>
      <c r="CV583">
        <v>29.697000000000003</v>
      </c>
      <c r="CW583">
        <v>3.0340000000000003</v>
      </c>
      <c r="CX583">
        <v>0</v>
      </c>
      <c r="CY583" s="2043">
        <v>65048</v>
      </c>
      <c r="CZ583" s="2043">
        <v>0</v>
      </c>
      <c r="DA583" s="2043">
        <v>0</v>
      </c>
      <c r="DB583" s="2043">
        <v>0</v>
      </c>
      <c r="DC583" s="2043">
        <v>0</v>
      </c>
      <c r="DI583" t="s">
        <v>8044</v>
      </c>
      <c r="DJ583" t="s">
        <v>8044</v>
      </c>
      <c r="DK583" s="2042">
        <f t="shared" si="11"/>
        <v>0</v>
      </c>
    </row>
    <row r="584" spans="1:115">
      <c r="A584" t="s">
        <v>8045</v>
      </c>
      <c r="B584" t="s">
        <v>11365</v>
      </c>
      <c r="C584">
        <v>62907.627</v>
      </c>
      <c r="D584">
        <v>58245.595000000001</v>
      </c>
      <c r="E584">
        <v>24457.457999999999</v>
      </c>
      <c r="F584">
        <v>0</v>
      </c>
      <c r="G584" s="2043">
        <v>0</v>
      </c>
      <c r="H584">
        <v>0</v>
      </c>
      <c r="I584" s="2043">
        <v>0</v>
      </c>
      <c r="J584">
        <v>0</v>
      </c>
      <c r="K584">
        <v>0</v>
      </c>
      <c r="L584">
        <v>0</v>
      </c>
      <c r="M584">
        <v>0</v>
      </c>
      <c r="N584">
        <v>0</v>
      </c>
      <c r="O584">
        <v>0</v>
      </c>
      <c r="P584">
        <v>0</v>
      </c>
      <c r="Q584">
        <v>0</v>
      </c>
      <c r="R584" s="2043">
        <v>0</v>
      </c>
      <c r="S584">
        <v>0</v>
      </c>
      <c r="T584">
        <v>0</v>
      </c>
      <c r="U584">
        <v>0</v>
      </c>
      <c r="V584">
        <v>5412.0910000000003</v>
      </c>
      <c r="W584">
        <v>0</v>
      </c>
      <c r="X584">
        <v>0</v>
      </c>
      <c r="Y584">
        <v>11394775</v>
      </c>
      <c r="Z584">
        <v>0</v>
      </c>
      <c r="AA584">
        <v>0</v>
      </c>
      <c r="AB584">
        <v>58257.523000000001</v>
      </c>
      <c r="AC584" s="2043">
        <v>0</v>
      </c>
      <c r="AD584">
        <v>0</v>
      </c>
      <c r="AE584" s="2043">
        <v>0</v>
      </c>
      <c r="AF584">
        <v>0</v>
      </c>
      <c r="AG584">
        <v>0</v>
      </c>
      <c r="AH584">
        <v>0</v>
      </c>
      <c r="AI584">
        <v>0</v>
      </c>
      <c r="AJ584">
        <v>14313.838</v>
      </c>
      <c r="AK584">
        <v>130977</v>
      </c>
      <c r="AL584">
        <v>3.8170000000000002</v>
      </c>
      <c r="AM584">
        <v>0</v>
      </c>
      <c r="AN584">
        <v>1627.3480000000002</v>
      </c>
      <c r="AO584">
        <v>0</v>
      </c>
      <c r="AP584">
        <v>0</v>
      </c>
      <c r="AQ584">
        <v>0.249</v>
      </c>
      <c r="AR584">
        <v>593.83600000000001</v>
      </c>
      <c r="AS584">
        <v>0</v>
      </c>
      <c r="AT584">
        <v>505.036</v>
      </c>
      <c r="AU584">
        <v>113.23400000000001</v>
      </c>
      <c r="AV584">
        <v>0</v>
      </c>
      <c r="AW584">
        <v>1228.777</v>
      </c>
      <c r="AX584">
        <v>12.605</v>
      </c>
      <c r="AY584">
        <v>3910.8630000000003</v>
      </c>
      <c r="AZ584">
        <v>0</v>
      </c>
      <c r="BA584">
        <v>704006824</v>
      </c>
      <c r="BB584">
        <v>0</v>
      </c>
      <c r="BC584">
        <v>0</v>
      </c>
      <c r="BD584">
        <v>2161908</v>
      </c>
      <c r="BE584">
        <v>738389</v>
      </c>
      <c r="BF584">
        <v>2900297</v>
      </c>
      <c r="BG584">
        <v>2161908</v>
      </c>
      <c r="BH584">
        <v>0</v>
      </c>
      <c r="BI584">
        <v>0</v>
      </c>
      <c r="BJ584">
        <v>0</v>
      </c>
      <c r="BK584">
        <v>0</v>
      </c>
      <c r="BL584">
        <v>0</v>
      </c>
      <c r="BM584">
        <v>0</v>
      </c>
      <c r="BN584">
        <v>110727</v>
      </c>
      <c r="BO584">
        <v>0</v>
      </c>
      <c r="BP584">
        <v>14061</v>
      </c>
      <c r="BQ584">
        <v>0</v>
      </c>
      <c r="BR584">
        <v>0</v>
      </c>
      <c r="BS584">
        <v>0</v>
      </c>
      <c r="BT584">
        <v>0</v>
      </c>
      <c r="BU584">
        <v>0</v>
      </c>
      <c r="BV584">
        <v>7543</v>
      </c>
      <c r="BW584">
        <v>9779</v>
      </c>
      <c r="BX584">
        <v>13662</v>
      </c>
      <c r="BY584">
        <v>14008</v>
      </c>
      <c r="BZ584">
        <v>11642</v>
      </c>
      <c r="CA584">
        <v>56634</v>
      </c>
      <c r="CB584">
        <v>0</v>
      </c>
      <c r="CC584">
        <v>0</v>
      </c>
      <c r="CD584">
        <v>0</v>
      </c>
      <c r="CE584">
        <v>834</v>
      </c>
      <c r="CF584">
        <v>30620.388999999999</v>
      </c>
      <c r="CG584">
        <v>0</v>
      </c>
      <c r="CH584">
        <v>0</v>
      </c>
      <c r="CI584">
        <v>376</v>
      </c>
      <c r="CJ584">
        <v>44</v>
      </c>
      <c r="CK584">
        <v>15</v>
      </c>
      <c r="CL584">
        <v>0</v>
      </c>
      <c r="CM584">
        <v>24457.457999999999</v>
      </c>
      <c r="CN584">
        <v>0</v>
      </c>
      <c r="CO584">
        <v>14061</v>
      </c>
      <c r="CP584">
        <v>0</v>
      </c>
      <c r="CQ584">
        <v>0</v>
      </c>
      <c r="CR584">
        <v>0</v>
      </c>
      <c r="CS584">
        <v>0</v>
      </c>
      <c r="CT584">
        <v>0</v>
      </c>
      <c r="CU584">
        <v>9.2990000000000013</v>
      </c>
      <c r="CV584">
        <v>285.613</v>
      </c>
      <c r="CW584">
        <v>87.706000000000003</v>
      </c>
      <c r="CX584">
        <v>0</v>
      </c>
      <c r="CY584" s="2043">
        <v>273823</v>
      </c>
      <c r="CZ584" s="2043">
        <v>0</v>
      </c>
      <c r="DA584" s="2043">
        <v>0</v>
      </c>
      <c r="DB584" s="2043">
        <v>0</v>
      </c>
      <c r="DC584" s="2043">
        <v>0</v>
      </c>
      <c r="DI584" t="s">
        <v>8045</v>
      </c>
      <c r="DJ584" t="s">
        <v>8045</v>
      </c>
      <c r="DK584" s="2042">
        <f t="shared" si="11"/>
        <v>0</v>
      </c>
    </row>
    <row r="585" spans="1:115">
      <c r="A585" t="s">
        <v>8046</v>
      </c>
      <c r="B585" t="s">
        <v>11366</v>
      </c>
      <c r="C585">
        <v>4752.9319999999998</v>
      </c>
      <c r="D585">
        <v>4631.6400000000003</v>
      </c>
      <c r="E585">
        <v>1323.6560000000002</v>
      </c>
      <c r="F585">
        <v>0</v>
      </c>
      <c r="G585" s="2043">
        <v>0</v>
      </c>
      <c r="H585">
        <v>0</v>
      </c>
      <c r="I585" s="2043">
        <v>0</v>
      </c>
      <c r="J585">
        <v>237.64700000000002</v>
      </c>
      <c r="K585">
        <v>650</v>
      </c>
      <c r="L585">
        <v>0</v>
      </c>
      <c r="M585">
        <v>0</v>
      </c>
      <c r="N585">
        <v>0</v>
      </c>
      <c r="O585">
        <v>0</v>
      </c>
      <c r="P585">
        <v>0</v>
      </c>
      <c r="Q585">
        <v>0</v>
      </c>
      <c r="R585" s="2043">
        <v>0</v>
      </c>
      <c r="S585">
        <v>0</v>
      </c>
      <c r="T585">
        <v>0</v>
      </c>
      <c r="U585">
        <v>0</v>
      </c>
      <c r="V585">
        <v>515.07799999999997</v>
      </c>
      <c r="W585">
        <v>0</v>
      </c>
      <c r="X585">
        <v>0</v>
      </c>
      <c r="Y585">
        <v>840234</v>
      </c>
      <c r="Z585">
        <v>0</v>
      </c>
      <c r="AA585">
        <v>0</v>
      </c>
      <c r="AB585">
        <v>4557.42</v>
      </c>
      <c r="AC585" s="2043">
        <v>0</v>
      </c>
      <c r="AD585">
        <v>0</v>
      </c>
      <c r="AE585" s="2043">
        <v>0</v>
      </c>
      <c r="AF585">
        <v>0</v>
      </c>
      <c r="AG585">
        <v>0</v>
      </c>
      <c r="AH585">
        <v>0</v>
      </c>
      <c r="AI585">
        <v>0</v>
      </c>
      <c r="AJ585">
        <v>1028.1380000000001</v>
      </c>
      <c r="AK585">
        <v>8056</v>
      </c>
      <c r="AL585">
        <v>0.29100000000000004</v>
      </c>
      <c r="AM585">
        <v>0</v>
      </c>
      <c r="AN585">
        <v>21.544</v>
      </c>
      <c r="AO585">
        <v>0</v>
      </c>
      <c r="AP585">
        <v>0</v>
      </c>
      <c r="AQ585">
        <v>0</v>
      </c>
      <c r="AR585">
        <v>82.644000000000005</v>
      </c>
      <c r="AS585">
        <v>0</v>
      </c>
      <c r="AT585">
        <v>15.545</v>
      </c>
      <c r="AU585">
        <v>6.9810000000000008</v>
      </c>
      <c r="AV585">
        <v>0</v>
      </c>
      <c r="AW585">
        <v>105.461</v>
      </c>
      <c r="AX585">
        <v>0</v>
      </c>
      <c r="AY585">
        <v>330.92700000000002</v>
      </c>
      <c r="AZ585">
        <v>0</v>
      </c>
      <c r="BA585">
        <v>53732236</v>
      </c>
      <c r="BB585">
        <v>0</v>
      </c>
      <c r="BC585">
        <v>0</v>
      </c>
      <c r="BD585">
        <v>8905</v>
      </c>
      <c r="BE585">
        <v>0</v>
      </c>
      <c r="BF585">
        <v>35242</v>
      </c>
      <c r="BG585">
        <v>8905</v>
      </c>
      <c r="BH585">
        <v>26337</v>
      </c>
      <c r="BI585">
        <v>0</v>
      </c>
      <c r="BJ585">
        <v>0</v>
      </c>
      <c r="BK585">
        <v>0</v>
      </c>
      <c r="BL585">
        <v>0</v>
      </c>
      <c r="BM585">
        <v>0</v>
      </c>
      <c r="BN585">
        <v>9837</v>
      </c>
      <c r="BO585">
        <v>6762</v>
      </c>
      <c r="BP585">
        <v>5532</v>
      </c>
      <c r="BQ585">
        <v>0</v>
      </c>
      <c r="BR585">
        <v>0</v>
      </c>
      <c r="BS585">
        <v>0</v>
      </c>
      <c r="BT585">
        <v>0</v>
      </c>
      <c r="BU585">
        <v>0</v>
      </c>
      <c r="BV585">
        <v>322</v>
      </c>
      <c r="BW585">
        <v>957</v>
      </c>
      <c r="BX585">
        <v>1256</v>
      </c>
      <c r="BY585">
        <v>1058</v>
      </c>
      <c r="BZ585">
        <v>497</v>
      </c>
      <c r="CA585">
        <v>4090</v>
      </c>
      <c r="CB585">
        <v>0</v>
      </c>
      <c r="CC585">
        <v>826.76</v>
      </c>
      <c r="CD585">
        <v>65.509</v>
      </c>
      <c r="CE585">
        <v>106</v>
      </c>
      <c r="CF585">
        <v>2284.4250000000002</v>
      </c>
      <c r="CG585">
        <v>0</v>
      </c>
      <c r="CH585">
        <v>0</v>
      </c>
      <c r="CI585">
        <v>70</v>
      </c>
      <c r="CJ585">
        <v>13</v>
      </c>
      <c r="CK585">
        <v>1</v>
      </c>
      <c r="CL585">
        <v>0</v>
      </c>
      <c r="CM585">
        <v>1323.6560000000002</v>
      </c>
      <c r="CN585">
        <v>0</v>
      </c>
      <c r="CO585">
        <v>0</v>
      </c>
      <c r="CP585">
        <v>5532</v>
      </c>
      <c r="CQ585">
        <v>0</v>
      </c>
      <c r="CR585">
        <v>0</v>
      </c>
      <c r="CS585">
        <v>0</v>
      </c>
      <c r="CT585">
        <v>0</v>
      </c>
      <c r="CU585">
        <v>1.347</v>
      </c>
      <c r="CV585">
        <v>179.71900000000002</v>
      </c>
      <c r="CW585">
        <v>112.35600000000001</v>
      </c>
      <c r="CX585">
        <v>0</v>
      </c>
      <c r="CY585" s="2043">
        <v>0</v>
      </c>
      <c r="CZ585" s="2043">
        <v>0</v>
      </c>
      <c r="DA585" s="2043">
        <v>0</v>
      </c>
      <c r="DB585" s="2043">
        <v>0</v>
      </c>
      <c r="DC585" s="2043">
        <v>0</v>
      </c>
      <c r="DI585" t="s">
        <v>8046</v>
      </c>
      <c r="DJ585" t="s">
        <v>8046</v>
      </c>
      <c r="DK585" s="2042">
        <f t="shared" si="11"/>
        <v>0</v>
      </c>
    </row>
    <row r="586" spans="1:115">
      <c r="A586" t="s">
        <v>8047</v>
      </c>
      <c r="B586" t="s">
        <v>11367</v>
      </c>
      <c r="C586">
        <v>271.14800000000002</v>
      </c>
      <c r="D586">
        <v>308.32499999999999</v>
      </c>
      <c r="E586">
        <v>103.211</v>
      </c>
      <c r="F586">
        <v>0</v>
      </c>
      <c r="G586" s="2043">
        <v>0</v>
      </c>
      <c r="H586">
        <v>0</v>
      </c>
      <c r="I586" s="2043">
        <v>0</v>
      </c>
      <c r="J586">
        <v>13</v>
      </c>
      <c r="K586">
        <v>36</v>
      </c>
      <c r="L586">
        <v>0</v>
      </c>
      <c r="M586">
        <v>0</v>
      </c>
      <c r="N586">
        <v>0</v>
      </c>
      <c r="O586">
        <v>0</v>
      </c>
      <c r="P586">
        <v>0</v>
      </c>
      <c r="Q586">
        <v>0</v>
      </c>
      <c r="R586" s="2043">
        <v>0</v>
      </c>
      <c r="S586">
        <v>0</v>
      </c>
      <c r="T586">
        <v>0</v>
      </c>
      <c r="U586">
        <v>0</v>
      </c>
      <c r="V586">
        <v>0</v>
      </c>
      <c r="W586">
        <v>0</v>
      </c>
      <c r="X586">
        <v>0</v>
      </c>
      <c r="Y586">
        <v>47934</v>
      </c>
      <c r="Z586">
        <v>0</v>
      </c>
      <c r="AA586">
        <v>0</v>
      </c>
      <c r="AB586">
        <v>276.637</v>
      </c>
      <c r="AC586" s="2043">
        <v>0</v>
      </c>
      <c r="AD586">
        <v>0</v>
      </c>
      <c r="AE586" s="2043">
        <v>0</v>
      </c>
      <c r="AF586">
        <v>0</v>
      </c>
      <c r="AG586">
        <v>0</v>
      </c>
      <c r="AH586">
        <v>0</v>
      </c>
      <c r="AI586">
        <v>0</v>
      </c>
      <c r="AJ586">
        <v>65.8</v>
      </c>
      <c r="AK586">
        <v>1206</v>
      </c>
      <c r="AL586">
        <v>8.2000000000000003E-2</v>
      </c>
      <c r="AM586">
        <v>0</v>
      </c>
      <c r="AN586">
        <v>1.0110000000000001</v>
      </c>
      <c r="AO586">
        <v>0</v>
      </c>
      <c r="AP586">
        <v>0</v>
      </c>
      <c r="AQ586">
        <v>0</v>
      </c>
      <c r="AR586">
        <v>15.745000000000001</v>
      </c>
      <c r="AS586">
        <v>0</v>
      </c>
      <c r="AT586">
        <v>0</v>
      </c>
      <c r="AU586">
        <v>0.88600000000000001</v>
      </c>
      <c r="AV586">
        <v>0</v>
      </c>
      <c r="AW586">
        <v>16.713000000000001</v>
      </c>
      <c r="AX586">
        <v>0</v>
      </c>
      <c r="AY586">
        <v>52.075000000000003</v>
      </c>
      <c r="AZ586">
        <v>0</v>
      </c>
      <c r="BA586">
        <v>3243203</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12</v>
      </c>
      <c r="BW586">
        <v>19</v>
      </c>
      <c r="BX586">
        <v>136</v>
      </c>
      <c r="BY586">
        <v>35</v>
      </c>
      <c r="BZ586">
        <v>56</v>
      </c>
      <c r="CA586">
        <v>258</v>
      </c>
      <c r="CB586">
        <v>0</v>
      </c>
      <c r="CC586">
        <v>69.89</v>
      </c>
      <c r="CD586">
        <v>28.015000000000001</v>
      </c>
      <c r="CE586">
        <v>20</v>
      </c>
      <c r="CF586">
        <v>172.68900000000002</v>
      </c>
      <c r="CG586">
        <v>0</v>
      </c>
      <c r="CH586">
        <v>0</v>
      </c>
      <c r="CI586">
        <v>0</v>
      </c>
      <c r="CJ586">
        <v>0</v>
      </c>
      <c r="CK586">
        <v>0</v>
      </c>
      <c r="CL586">
        <v>0</v>
      </c>
      <c r="CM586">
        <v>103.211</v>
      </c>
      <c r="CN586">
        <v>0</v>
      </c>
      <c r="CO586">
        <v>0</v>
      </c>
      <c r="CP586">
        <v>0</v>
      </c>
      <c r="CQ586">
        <v>0</v>
      </c>
      <c r="CR586">
        <v>0</v>
      </c>
      <c r="CS586">
        <v>0</v>
      </c>
      <c r="CT586">
        <v>0</v>
      </c>
      <c r="CU586">
        <v>0</v>
      </c>
      <c r="CV586">
        <v>0</v>
      </c>
      <c r="CW586">
        <v>0</v>
      </c>
      <c r="CX586">
        <v>0</v>
      </c>
      <c r="CY586" s="2043">
        <v>0</v>
      </c>
      <c r="CZ586" s="2043">
        <v>0</v>
      </c>
      <c r="DA586" s="2043">
        <v>0</v>
      </c>
      <c r="DB586" s="2043">
        <v>0</v>
      </c>
      <c r="DC586" s="2043">
        <v>0</v>
      </c>
      <c r="DI586" t="s">
        <v>8047</v>
      </c>
      <c r="DJ586" t="s">
        <v>8047</v>
      </c>
      <c r="DK586" s="2042">
        <f t="shared" si="11"/>
        <v>0</v>
      </c>
    </row>
    <row r="587" spans="1:115">
      <c r="A587" t="s">
        <v>3033</v>
      </c>
      <c r="B587" t="s">
        <v>2008</v>
      </c>
      <c r="C587">
        <v>11684</v>
      </c>
      <c r="D587">
        <v>13032.285</v>
      </c>
      <c r="E587">
        <v>5220.1019999999999</v>
      </c>
      <c r="F587">
        <v>0</v>
      </c>
      <c r="G587" s="2043">
        <v>1853967194</v>
      </c>
      <c r="H587">
        <v>0</v>
      </c>
      <c r="I587" s="2043">
        <v>5693600</v>
      </c>
      <c r="J587">
        <v>584.20000000000005</v>
      </c>
      <c r="K587">
        <v>1597</v>
      </c>
      <c r="L587">
        <v>3112349</v>
      </c>
      <c r="M587">
        <v>2581251</v>
      </c>
      <c r="N587">
        <v>3112349</v>
      </c>
      <c r="O587">
        <v>5693600</v>
      </c>
      <c r="P587">
        <v>0</v>
      </c>
      <c r="Q587">
        <v>0</v>
      </c>
      <c r="R587" s="2043">
        <v>15062992</v>
      </c>
      <c r="S587">
        <v>1465985</v>
      </c>
      <c r="T587">
        <v>1618080</v>
      </c>
      <c r="U587">
        <v>0.08</v>
      </c>
      <c r="V587">
        <v>0</v>
      </c>
      <c r="W587">
        <v>0</v>
      </c>
      <c r="X587">
        <v>0</v>
      </c>
      <c r="Y587">
        <v>0</v>
      </c>
      <c r="Z587">
        <v>0.95200000000000007</v>
      </c>
      <c r="AA587">
        <v>2.698</v>
      </c>
      <c r="AB587">
        <v>12750.246999999999</v>
      </c>
      <c r="AC587" s="2043">
        <v>1503845478</v>
      </c>
      <c r="AD587">
        <v>2361605</v>
      </c>
      <c r="AE587" s="2043">
        <v>18147057</v>
      </c>
      <c r="AF587">
        <v>0.99030000000000007</v>
      </c>
      <c r="AG587">
        <v>0</v>
      </c>
      <c r="AH587">
        <v>0</v>
      </c>
      <c r="AI587">
        <v>0</v>
      </c>
      <c r="AJ587">
        <v>3190.9630000000002</v>
      </c>
      <c r="AK587">
        <v>33046</v>
      </c>
      <c r="AL587">
        <v>5.1930000000000005</v>
      </c>
      <c r="AM587">
        <v>0</v>
      </c>
      <c r="AN587">
        <v>589.48</v>
      </c>
      <c r="AO587">
        <v>0</v>
      </c>
      <c r="AP587">
        <v>0</v>
      </c>
      <c r="AQ587">
        <v>0</v>
      </c>
      <c r="AR587">
        <v>78.611000000000004</v>
      </c>
      <c r="AS587">
        <v>0</v>
      </c>
      <c r="AT587">
        <v>139.745</v>
      </c>
      <c r="AU587">
        <v>20.045999999999999</v>
      </c>
      <c r="AV587">
        <v>0</v>
      </c>
      <c r="AW587">
        <v>243.595</v>
      </c>
      <c r="AX587">
        <v>0</v>
      </c>
      <c r="AY587">
        <v>781.26300000000003</v>
      </c>
      <c r="AZ587">
        <v>0</v>
      </c>
      <c r="BA587">
        <v>117113370</v>
      </c>
      <c r="BB587">
        <v>20508662</v>
      </c>
      <c r="BC587">
        <v>0</v>
      </c>
      <c r="BD587">
        <v>606176</v>
      </c>
      <c r="BE587">
        <v>227325</v>
      </c>
      <c r="BF587">
        <v>833501</v>
      </c>
      <c r="BG587">
        <v>606176</v>
      </c>
      <c r="BH587">
        <v>0</v>
      </c>
      <c r="BI587">
        <v>0</v>
      </c>
      <c r="BJ587">
        <v>0</v>
      </c>
      <c r="BK587">
        <v>0</v>
      </c>
      <c r="BL587">
        <v>1853967194</v>
      </c>
      <c r="BM587">
        <v>0</v>
      </c>
      <c r="BN587">
        <v>53910</v>
      </c>
      <c r="BO587">
        <v>30452</v>
      </c>
      <c r="BP587">
        <v>58094</v>
      </c>
      <c r="BQ587">
        <v>0</v>
      </c>
      <c r="BR587">
        <v>0.82200000000000006</v>
      </c>
      <c r="BS587">
        <v>0.82200000000000006</v>
      </c>
      <c r="BT587">
        <v>0</v>
      </c>
      <c r="BU587">
        <v>0</v>
      </c>
      <c r="BV587">
        <v>116</v>
      </c>
      <c r="BW587">
        <v>1131</v>
      </c>
      <c r="BX587">
        <v>4748</v>
      </c>
      <c r="BY587">
        <v>2872</v>
      </c>
      <c r="BZ587">
        <v>3474</v>
      </c>
      <c r="CA587">
        <v>12341</v>
      </c>
      <c r="CB587">
        <v>0</v>
      </c>
      <c r="CC587">
        <v>1235.0820000000001</v>
      </c>
      <c r="CD587">
        <v>94.047000000000011</v>
      </c>
      <c r="CE587">
        <v>107</v>
      </c>
      <c r="CF587">
        <v>4995.9080000000004</v>
      </c>
      <c r="CG587">
        <v>94.044000000000011</v>
      </c>
      <c r="CH587">
        <v>0</v>
      </c>
      <c r="CI587">
        <v>47</v>
      </c>
      <c r="CJ587">
        <v>20</v>
      </c>
      <c r="CK587">
        <v>0</v>
      </c>
      <c r="CL587">
        <v>94.044000000000011</v>
      </c>
      <c r="CM587">
        <v>5220.1019999999999</v>
      </c>
      <c r="CN587">
        <v>0</v>
      </c>
      <c r="CO587">
        <v>0</v>
      </c>
      <c r="CP587">
        <v>56094</v>
      </c>
      <c r="CQ587">
        <v>2000</v>
      </c>
      <c r="CR587">
        <v>0</v>
      </c>
      <c r="CS587">
        <v>0</v>
      </c>
      <c r="CT587">
        <v>0</v>
      </c>
      <c r="CU587">
        <v>14.265000000000001</v>
      </c>
      <c r="CV587">
        <v>657.41600000000005</v>
      </c>
      <c r="CW587">
        <v>438.67500000000001</v>
      </c>
      <c r="CX587">
        <v>0</v>
      </c>
      <c r="CY587" s="2043">
        <v>0</v>
      </c>
      <c r="CZ587" s="2043">
        <v>0</v>
      </c>
      <c r="DA587" s="2043">
        <v>0</v>
      </c>
      <c r="DB587" s="2043">
        <v>0</v>
      </c>
      <c r="DC587" s="2043">
        <v>0</v>
      </c>
      <c r="DI587" t="s">
        <v>3033</v>
      </c>
      <c r="DJ587" t="s">
        <v>3033</v>
      </c>
      <c r="DK587" s="2042">
        <f t="shared" si="11"/>
        <v>0</v>
      </c>
    </row>
    <row r="588" spans="1:115">
      <c r="A588" t="s">
        <v>3034</v>
      </c>
      <c r="B588" t="s">
        <v>725</v>
      </c>
      <c r="C588">
        <v>3695.6010000000001</v>
      </c>
      <c r="D588">
        <v>4370.3500000000004</v>
      </c>
      <c r="E588">
        <v>1048.0530000000001</v>
      </c>
      <c r="F588">
        <v>0</v>
      </c>
      <c r="G588" s="2043">
        <v>429805995</v>
      </c>
      <c r="H588">
        <v>0</v>
      </c>
      <c r="I588" s="2043">
        <v>3482153</v>
      </c>
      <c r="J588">
        <v>184.78</v>
      </c>
      <c r="K588">
        <v>505</v>
      </c>
      <c r="L588">
        <v>1512521</v>
      </c>
      <c r="M588">
        <v>1362684</v>
      </c>
      <c r="N588">
        <v>1512521</v>
      </c>
      <c r="O588">
        <v>2875205</v>
      </c>
      <c r="P588">
        <v>0</v>
      </c>
      <c r="Q588">
        <v>0</v>
      </c>
      <c r="R588" s="2043">
        <v>3439158</v>
      </c>
      <c r="S588">
        <v>334711</v>
      </c>
      <c r="T588">
        <v>376550</v>
      </c>
      <c r="U588">
        <v>0.08</v>
      </c>
      <c r="V588">
        <v>0</v>
      </c>
      <c r="W588">
        <v>0</v>
      </c>
      <c r="X588">
        <v>0</v>
      </c>
      <c r="Y588">
        <v>0</v>
      </c>
      <c r="Z588">
        <v>0</v>
      </c>
      <c r="AA588">
        <v>1.3980000000000001</v>
      </c>
      <c r="AB588">
        <v>3964.4960000000001</v>
      </c>
      <c r="AC588" s="2043">
        <v>372219930</v>
      </c>
      <c r="AD588">
        <v>918041</v>
      </c>
      <c r="AE588" s="2043">
        <v>4150419</v>
      </c>
      <c r="AF588">
        <v>0.99199999999999999</v>
      </c>
      <c r="AG588">
        <v>0</v>
      </c>
      <c r="AH588">
        <v>0</v>
      </c>
      <c r="AI588">
        <v>0</v>
      </c>
      <c r="AJ588">
        <v>989.27500000000009</v>
      </c>
      <c r="AK588">
        <v>11955</v>
      </c>
      <c r="AL588">
        <v>1.173</v>
      </c>
      <c r="AM588">
        <v>0</v>
      </c>
      <c r="AN588">
        <v>155.22200000000001</v>
      </c>
      <c r="AO588">
        <v>0</v>
      </c>
      <c r="AP588">
        <v>0</v>
      </c>
      <c r="AQ588">
        <v>0</v>
      </c>
      <c r="AR588">
        <v>60.013000000000005</v>
      </c>
      <c r="AS588">
        <v>0</v>
      </c>
      <c r="AT588">
        <v>33.135000000000005</v>
      </c>
      <c r="AU588">
        <v>8.3789999999999996</v>
      </c>
      <c r="AV588">
        <v>0</v>
      </c>
      <c r="AW588">
        <v>102.7</v>
      </c>
      <c r="AX588">
        <v>0</v>
      </c>
      <c r="AY588">
        <v>327.20400000000001</v>
      </c>
      <c r="AZ588">
        <v>0</v>
      </c>
      <c r="BA588">
        <v>39604063</v>
      </c>
      <c r="BB588">
        <v>5068460</v>
      </c>
      <c r="BC588">
        <v>0</v>
      </c>
      <c r="BD588">
        <v>148876</v>
      </c>
      <c r="BE588">
        <v>48079</v>
      </c>
      <c r="BF588">
        <v>196955</v>
      </c>
      <c r="BG588">
        <v>148876</v>
      </c>
      <c r="BH588">
        <v>0</v>
      </c>
      <c r="BI588">
        <v>0</v>
      </c>
      <c r="BJ588">
        <v>0</v>
      </c>
      <c r="BK588">
        <v>0</v>
      </c>
      <c r="BL588">
        <v>429805995</v>
      </c>
      <c r="BM588">
        <v>0</v>
      </c>
      <c r="BN588">
        <v>16425</v>
      </c>
      <c r="BO588">
        <v>12401</v>
      </c>
      <c r="BP588">
        <v>0</v>
      </c>
      <c r="BQ588">
        <v>0</v>
      </c>
      <c r="BR588">
        <v>0.82200000000000006</v>
      </c>
      <c r="BS588">
        <v>0.82200000000000006</v>
      </c>
      <c r="BT588">
        <v>0</v>
      </c>
      <c r="BU588">
        <v>0</v>
      </c>
      <c r="BV588">
        <v>33</v>
      </c>
      <c r="BW588">
        <v>332</v>
      </c>
      <c r="BX588">
        <v>1161</v>
      </c>
      <c r="BY588">
        <v>2196</v>
      </c>
      <c r="BZ588">
        <v>132</v>
      </c>
      <c r="CA588">
        <v>3854</v>
      </c>
      <c r="CB588">
        <v>0</v>
      </c>
      <c r="CC588">
        <v>0</v>
      </c>
      <c r="CD588">
        <v>0</v>
      </c>
      <c r="CE588">
        <v>160</v>
      </c>
      <c r="CF588">
        <v>1133.164</v>
      </c>
      <c r="CG588">
        <v>29.644000000000002</v>
      </c>
      <c r="CH588">
        <v>0</v>
      </c>
      <c r="CI588">
        <v>82</v>
      </c>
      <c r="CJ588">
        <v>0</v>
      </c>
      <c r="CK588">
        <v>0</v>
      </c>
      <c r="CL588">
        <v>29.644000000000002</v>
      </c>
      <c r="CM588">
        <v>1048.0530000000001</v>
      </c>
      <c r="CN588">
        <v>0</v>
      </c>
      <c r="CO588">
        <v>0</v>
      </c>
      <c r="CP588">
        <v>0</v>
      </c>
      <c r="CQ588">
        <v>0</v>
      </c>
      <c r="CR588">
        <v>0</v>
      </c>
      <c r="CS588">
        <v>0</v>
      </c>
      <c r="CT588">
        <v>0</v>
      </c>
      <c r="CU588">
        <v>13.867000000000001</v>
      </c>
      <c r="CV588">
        <v>189.57500000000002</v>
      </c>
      <c r="CW588">
        <v>140.83100000000002</v>
      </c>
      <c r="CX588">
        <v>0</v>
      </c>
      <c r="CY588" s="2043">
        <v>0</v>
      </c>
      <c r="CZ588" s="2043">
        <v>0</v>
      </c>
      <c r="DA588" s="2043">
        <v>0</v>
      </c>
      <c r="DB588" s="2043">
        <v>0</v>
      </c>
      <c r="DC588" s="2043">
        <v>0</v>
      </c>
      <c r="DI588" t="s">
        <v>3034</v>
      </c>
      <c r="DJ588" t="s">
        <v>3034</v>
      </c>
      <c r="DK588" s="2042">
        <f t="shared" si="11"/>
        <v>0</v>
      </c>
    </row>
    <row r="589" spans="1:115">
      <c r="A589" t="s">
        <v>3035</v>
      </c>
      <c r="B589" t="s">
        <v>727</v>
      </c>
      <c r="C589">
        <v>28669.582000000002</v>
      </c>
      <c r="D589">
        <v>31434.902000000002</v>
      </c>
      <c r="E589">
        <v>10514.805</v>
      </c>
      <c r="F589">
        <v>0</v>
      </c>
      <c r="G589" s="2043">
        <v>8072143285</v>
      </c>
      <c r="H589">
        <v>0</v>
      </c>
      <c r="I589" s="2043">
        <v>9760283</v>
      </c>
      <c r="J589">
        <v>1433.479</v>
      </c>
      <c r="K589">
        <v>3919</v>
      </c>
      <c r="L589">
        <v>1706044</v>
      </c>
      <c r="M589">
        <v>8655334</v>
      </c>
      <c r="N589">
        <v>1706044</v>
      </c>
      <c r="O589">
        <v>10361378</v>
      </c>
      <c r="P589">
        <v>0</v>
      </c>
      <c r="Q589">
        <v>0</v>
      </c>
      <c r="R589" s="2043">
        <v>68537598</v>
      </c>
      <c r="S589">
        <v>6451356</v>
      </c>
      <c r="T589">
        <v>7257776</v>
      </c>
      <c r="U589">
        <v>0.08</v>
      </c>
      <c r="V589">
        <v>0</v>
      </c>
      <c r="W589">
        <v>0</v>
      </c>
      <c r="X589">
        <v>0</v>
      </c>
      <c r="Y589">
        <v>-8720</v>
      </c>
      <c r="Z589">
        <v>0</v>
      </c>
      <c r="AA589">
        <v>7.0490000000000004</v>
      </c>
      <c r="AB589">
        <v>30392.025000000001</v>
      </c>
      <c r="AC589" s="2043">
        <v>7050144879</v>
      </c>
      <c r="AD589">
        <v>7039638</v>
      </c>
      <c r="AE589" s="2043">
        <v>82246730</v>
      </c>
      <c r="AF589">
        <v>1.0199</v>
      </c>
      <c r="AG589">
        <v>0</v>
      </c>
      <c r="AH589">
        <v>0</v>
      </c>
      <c r="AI589">
        <v>0</v>
      </c>
      <c r="AJ589">
        <v>6604.1630000000005</v>
      </c>
      <c r="AK589">
        <v>58313</v>
      </c>
      <c r="AL589">
        <v>10.191000000000001</v>
      </c>
      <c r="AM589">
        <v>1.8740000000000001</v>
      </c>
      <c r="AN589">
        <v>660.39800000000002</v>
      </c>
      <c r="AO589">
        <v>0</v>
      </c>
      <c r="AP589">
        <v>0</v>
      </c>
      <c r="AQ589">
        <v>4.9660000000000002</v>
      </c>
      <c r="AR589">
        <v>305.82800000000003</v>
      </c>
      <c r="AS589">
        <v>0</v>
      </c>
      <c r="AT589">
        <v>200.27200000000002</v>
      </c>
      <c r="AU589">
        <v>44.12</v>
      </c>
      <c r="AV589">
        <v>0</v>
      </c>
      <c r="AW589">
        <v>567.25099999999998</v>
      </c>
      <c r="AX589">
        <v>0</v>
      </c>
      <c r="AY589">
        <v>1795.4770000000001</v>
      </c>
      <c r="AZ589">
        <v>0</v>
      </c>
      <c r="BA589">
        <v>224756530</v>
      </c>
      <c r="BB589">
        <v>89286368</v>
      </c>
      <c r="BC589">
        <v>0</v>
      </c>
      <c r="BD589">
        <v>1590792</v>
      </c>
      <c r="BE589">
        <v>440627</v>
      </c>
      <c r="BF589">
        <v>2383293</v>
      </c>
      <c r="BG589">
        <v>1590792</v>
      </c>
      <c r="BH589">
        <v>351874</v>
      </c>
      <c r="BI589">
        <v>0</v>
      </c>
      <c r="BJ589">
        <v>-8720</v>
      </c>
      <c r="BK589">
        <v>0</v>
      </c>
      <c r="BL589">
        <v>8072143285</v>
      </c>
      <c r="BM589">
        <v>0</v>
      </c>
      <c r="BN589">
        <v>122994</v>
      </c>
      <c r="BO589">
        <v>70353</v>
      </c>
      <c r="BP589">
        <v>6456</v>
      </c>
      <c r="BQ589">
        <v>0</v>
      </c>
      <c r="BR589">
        <v>0.84989999999999999</v>
      </c>
      <c r="BS589">
        <v>0.84989999999999999</v>
      </c>
      <c r="BT589">
        <v>0</v>
      </c>
      <c r="BU589">
        <v>0</v>
      </c>
      <c r="BV589">
        <v>1406</v>
      </c>
      <c r="BW589">
        <v>6506</v>
      </c>
      <c r="BX589">
        <v>9353</v>
      </c>
      <c r="BY589">
        <v>7277</v>
      </c>
      <c r="BZ589">
        <v>1797</v>
      </c>
      <c r="CA589">
        <v>26339</v>
      </c>
      <c r="CB589">
        <v>0</v>
      </c>
      <c r="CC589">
        <v>74.823999999999998</v>
      </c>
      <c r="CD589">
        <v>0</v>
      </c>
      <c r="CE589">
        <v>663</v>
      </c>
      <c r="CF589">
        <v>9762.5310000000009</v>
      </c>
      <c r="CG589">
        <v>45.875</v>
      </c>
      <c r="CH589">
        <v>11.011000000000001</v>
      </c>
      <c r="CI589">
        <v>657</v>
      </c>
      <c r="CJ589">
        <v>216</v>
      </c>
      <c r="CK589">
        <v>6</v>
      </c>
      <c r="CL589">
        <v>56.886000000000003</v>
      </c>
      <c r="CM589">
        <v>10514.805</v>
      </c>
      <c r="CN589">
        <v>0</v>
      </c>
      <c r="CO589">
        <v>0</v>
      </c>
      <c r="CP589">
        <v>6456</v>
      </c>
      <c r="CQ589">
        <v>0</v>
      </c>
      <c r="CR589">
        <v>0</v>
      </c>
      <c r="CS589">
        <v>0</v>
      </c>
      <c r="CT589">
        <v>0</v>
      </c>
      <c r="CU589">
        <v>1.4220000000000002</v>
      </c>
      <c r="CV589">
        <v>1471.9060000000002</v>
      </c>
      <c r="CW589">
        <v>797.03600000000006</v>
      </c>
      <c r="CX589">
        <v>0</v>
      </c>
      <c r="CY589" s="2043">
        <v>0</v>
      </c>
      <c r="CZ589" s="2043">
        <v>0</v>
      </c>
      <c r="DA589" s="2043">
        <v>0</v>
      </c>
      <c r="DB589" s="2043">
        <v>0</v>
      </c>
      <c r="DC589" s="2043">
        <v>0</v>
      </c>
      <c r="DI589" t="s">
        <v>3035</v>
      </c>
      <c r="DJ589" t="s">
        <v>3035</v>
      </c>
      <c r="DK589" s="2042">
        <f t="shared" si="11"/>
        <v>0</v>
      </c>
    </row>
    <row r="590" spans="1:115">
      <c r="A590" t="s">
        <v>3036</v>
      </c>
      <c r="B590" t="s">
        <v>1761</v>
      </c>
      <c r="C590">
        <v>2578.1950000000002</v>
      </c>
      <c r="D590">
        <v>2865.9360000000001</v>
      </c>
      <c r="E590">
        <v>910.28500000000008</v>
      </c>
      <c r="F590">
        <v>0</v>
      </c>
      <c r="G590" s="2043">
        <v>615675021</v>
      </c>
      <c r="H590">
        <v>0</v>
      </c>
      <c r="I590" s="2043">
        <v>2783725</v>
      </c>
      <c r="J590">
        <v>128.91</v>
      </c>
      <c r="K590">
        <v>352</v>
      </c>
      <c r="L590">
        <v>605685</v>
      </c>
      <c r="M590">
        <v>1300724</v>
      </c>
      <c r="N590">
        <v>605685</v>
      </c>
      <c r="O590">
        <v>1906409</v>
      </c>
      <c r="P590">
        <v>0</v>
      </c>
      <c r="Q590">
        <v>0</v>
      </c>
      <c r="R590" s="2043">
        <v>5334206</v>
      </c>
      <c r="S590">
        <v>489040</v>
      </c>
      <c r="T590">
        <v>356388</v>
      </c>
      <c r="U590">
        <v>0.08</v>
      </c>
      <c r="V590">
        <v>0</v>
      </c>
      <c r="W590">
        <v>0</v>
      </c>
      <c r="X590">
        <v>0</v>
      </c>
      <c r="Y590">
        <v>0</v>
      </c>
      <c r="Z590">
        <v>0</v>
      </c>
      <c r="AA590">
        <v>0.19600000000000001</v>
      </c>
      <c r="AB590">
        <v>2791.8540000000003</v>
      </c>
      <c r="AC590" s="2043">
        <v>549076022</v>
      </c>
      <c r="AD590">
        <v>1622331</v>
      </c>
      <c r="AE590" s="2043">
        <v>6179634</v>
      </c>
      <c r="AF590">
        <v>1.0109000000000001</v>
      </c>
      <c r="AG590">
        <v>0</v>
      </c>
      <c r="AH590">
        <v>0</v>
      </c>
      <c r="AI590">
        <v>0</v>
      </c>
      <c r="AJ590">
        <v>648.51300000000003</v>
      </c>
      <c r="AK590">
        <v>6391</v>
      </c>
      <c r="AL590">
        <v>0.49100000000000005</v>
      </c>
      <c r="AM590">
        <v>0</v>
      </c>
      <c r="AN590">
        <v>78.936000000000007</v>
      </c>
      <c r="AO590">
        <v>0</v>
      </c>
      <c r="AP590">
        <v>0</v>
      </c>
      <c r="AQ590">
        <v>0</v>
      </c>
      <c r="AR590">
        <v>30.499000000000002</v>
      </c>
      <c r="AS590">
        <v>0</v>
      </c>
      <c r="AT590">
        <v>16.63</v>
      </c>
      <c r="AU590">
        <v>5.8879999999999999</v>
      </c>
      <c r="AV590">
        <v>0</v>
      </c>
      <c r="AW590">
        <v>53.508000000000003</v>
      </c>
      <c r="AX590">
        <v>0</v>
      </c>
      <c r="AY590">
        <v>173.28200000000001</v>
      </c>
      <c r="AZ590">
        <v>0</v>
      </c>
      <c r="BA590">
        <v>24651965</v>
      </c>
      <c r="BB590">
        <v>7801965</v>
      </c>
      <c r="BC590">
        <v>0</v>
      </c>
      <c r="BD590">
        <v>48154</v>
      </c>
      <c r="BE590">
        <v>15882</v>
      </c>
      <c r="BF590">
        <v>167422</v>
      </c>
      <c r="BG590">
        <v>48154</v>
      </c>
      <c r="BH590">
        <v>103386</v>
      </c>
      <c r="BI590">
        <v>0</v>
      </c>
      <c r="BJ590">
        <v>0</v>
      </c>
      <c r="BK590">
        <v>0</v>
      </c>
      <c r="BL590">
        <v>615675021</v>
      </c>
      <c r="BM590">
        <v>0</v>
      </c>
      <c r="BN590">
        <v>11826</v>
      </c>
      <c r="BO590">
        <v>8346</v>
      </c>
      <c r="BP590">
        <v>0</v>
      </c>
      <c r="BQ590">
        <v>0</v>
      </c>
      <c r="BR590">
        <v>0.87260000000000004</v>
      </c>
      <c r="BS590">
        <v>0.87260000000000004</v>
      </c>
      <c r="BT590">
        <v>0</v>
      </c>
      <c r="BU590">
        <v>0</v>
      </c>
      <c r="BV590">
        <v>364</v>
      </c>
      <c r="BW590">
        <v>40</v>
      </c>
      <c r="BX590">
        <v>364</v>
      </c>
      <c r="BY590">
        <v>969</v>
      </c>
      <c r="BZ590">
        <v>770</v>
      </c>
      <c r="CA590">
        <v>2507</v>
      </c>
      <c r="CB590">
        <v>0</v>
      </c>
      <c r="CC590">
        <v>746.702</v>
      </c>
      <c r="CD590">
        <v>193.41</v>
      </c>
      <c r="CE590">
        <v>39</v>
      </c>
      <c r="CF590">
        <v>1059.9639999999999</v>
      </c>
      <c r="CG590">
        <v>0</v>
      </c>
      <c r="CH590">
        <v>0</v>
      </c>
      <c r="CI590">
        <v>74</v>
      </c>
      <c r="CJ590">
        <v>11</v>
      </c>
      <c r="CK590">
        <v>0</v>
      </c>
      <c r="CL590">
        <v>0</v>
      </c>
      <c r="CM590">
        <v>910.28500000000008</v>
      </c>
      <c r="CN590">
        <v>0</v>
      </c>
      <c r="CO590">
        <v>0</v>
      </c>
      <c r="CP590">
        <v>0</v>
      </c>
      <c r="CQ590">
        <v>0</v>
      </c>
      <c r="CR590">
        <v>0</v>
      </c>
      <c r="CS590">
        <v>0</v>
      </c>
      <c r="CT590">
        <v>0</v>
      </c>
      <c r="CU590">
        <v>23.162000000000003</v>
      </c>
      <c r="CV590">
        <v>158.77100000000002</v>
      </c>
      <c r="CW590">
        <v>88.475000000000009</v>
      </c>
      <c r="CX590">
        <v>0</v>
      </c>
      <c r="CY590" s="2043">
        <v>0</v>
      </c>
      <c r="CZ590" s="2043">
        <v>0</v>
      </c>
      <c r="DA590" s="2043">
        <v>0</v>
      </c>
      <c r="DB590" s="2043">
        <v>0</v>
      </c>
      <c r="DC590" s="2043">
        <v>0</v>
      </c>
      <c r="DI590" t="s">
        <v>3036</v>
      </c>
      <c r="DJ590" t="s">
        <v>3036</v>
      </c>
      <c r="DK590" s="2042">
        <f t="shared" si="11"/>
        <v>0</v>
      </c>
    </row>
    <row r="591" spans="1:115">
      <c r="A591" t="s">
        <v>3037</v>
      </c>
      <c r="B591" t="s">
        <v>2388</v>
      </c>
      <c r="C591">
        <v>18696.938000000002</v>
      </c>
      <c r="D591">
        <v>19922.955999999998</v>
      </c>
      <c r="E591">
        <v>5325.5330000000004</v>
      </c>
      <c r="F591">
        <v>0</v>
      </c>
      <c r="G591" s="2043">
        <v>8150539649</v>
      </c>
      <c r="H591">
        <v>0</v>
      </c>
      <c r="I591" s="2043">
        <v>6684550</v>
      </c>
      <c r="J591">
        <v>934.84700000000009</v>
      </c>
      <c r="K591">
        <v>2556</v>
      </c>
      <c r="L591">
        <v>0</v>
      </c>
      <c r="M591">
        <v>0</v>
      </c>
      <c r="N591">
        <v>0</v>
      </c>
      <c r="O591">
        <v>0</v>
      </c>
      <c r="P591">
        <v>0</v>
      </c>
      <c r="Q591">
        <v>0</v>
      </c>
      <c r="R591" s="2043">
        <v>72928159</v>
      </c>
      <c r="S591">
        <v>6547248</v>
      </c>
      <c r="T591">
        <v>6342646</v>
      </c>
      <c r="U591">
        <v>0.08</v>
      </c>
      <c r="V591">
        <v>0</v>
      </c>
      <c r="W591">
        <v>0</v>
      </c>
      <c r="X591">
        <v>0</v>
      </c>
      <c r="Y591">
        <v>-9084</v>
      </c>
      <c r="Z591">
        <v>1.873</v>
      </c>
      <c r="AA591">
        <v>1.054</v>
      </c>
      <c r="AB591">
        <v>19922.955999999998</v>
      </c>
      <c r="AC591" s="2043">
        <v>7631334020</v>
      </c>
      <c r="AD591">
        <v>7213141</v>
      </c>
      <c r="AE591" s="2043">
        <v>85818053</v>
      </c>
      <c r="AF591">
        <v>1.0486</v>
      </c>
      <c r="AG591">
        <v>0</v>
      </c>
      <c r="AH591">
        <v>0</v>
      </c>
      <c r="AI591">
        <v>0</v>
      </c>
      <c r="AJ591">
        <v>3766.4880000000003</v>
      </c>
      <c r="AK591">
        <v>65383</v>
      </c>
      <c r="AL591">
        <v>4.2830000000000004</v>
      </c>
      <c r="AM591">
        <v>0</v>
      </c>
      <c r="AN591">
        <v>718.25600000000009</v>
      </c>
      <c r="AO591">
        <v>0</v>
      </c>
      <c r="AP591">
        <v>0</v>
      </c>
      <c r="AQ591">
        <v>3.1590000000000003</v>
      </c>
      <c r="AR591">
        <v>382.88</v>
      </c>
      <c r="AS591">
        <v>0</v>
      </c>
      <c r="AT591">
        <v>193.529</v>
      </c>
      <c r="AU591">
        <v>47.641000000000005</v>
      </c>
      <c r="AV591">
        <v>0</v>
      </c>
      <c r="AW591">
        <v>657.35700000000008</v>
      </c>
      <c r="AX591">
        <v>25.865000000000002</v>
      </c>
      <c r="AY591">
        <v>2048.337</v>
      </c>
      <c r="AZ591">
        <v>0</v>
      </c>
      <c r="BA591">
        <v>114267654</v>
      </c>
      <c r="BB591">
        <v>93031194</v>
      </c>
      <c r="BC591">
        <v>0</v>
      </c>
      <c r="BD591">
        <v>411863</v>
      </c>
      <c r="BE591">
        <v>147620</v>
      </c>
      <c r="BF591">
        <v>1160599</v>
      </c>
      <c r="BG591">
        <v>411863</v>
      </c>
      <c r="BH591">
        <v>601116</v>
      </c>
      <c r="BI591">
        <v>-9084</v>
      </c>
      <c r="BJ591">
        <v>0</v>
      </c>
      <c r="BK591">
        <v>0</v>
      </c>
      <c r="BL591">
        <v>8150539649</v>
      </c>
      <c r="BM591">
        <v>0</v>
      </c>
      <c r="BN591">
        <v>77760</v>
      </c>
      <c r="BO591">
        <v>48482</v>
      </c>
      <c r="BP591">
        <v>0</v>
      </c>
      <c r="BQ591">
        <v>0</v>
      </c>
      <c r="BR591">
        <v>0.8911</v>
      </c>
      <c r="BS591">
        <v>0.8911</v>
      </c>
      <c r="BT591">
        <v>0</v>
      </c>
      <c r="BU591">
        <v>0</v>
      </c>
      <c r="BV591">
        <v>3242</v>
      </c>
      <c r="BW591">
        <v>2177</v>
      </c>
      <c r="BX591">
        <v>3006</v>
      </c>
      <c r="BY591">
        <v>2378</v>
      </c>
      <c r="BZ591">
        <v>4161</v>
      </c>
      <c r="CA591">
        <v>14964</v>
      </c>
      <c r="CB591">
        <v>0</v>
      </c>
      <c r="CC591">
        <v>998.83800000000008</v>
      </c>
      <c r="CD591">
        <v>335.90899999999999</v>
      </c>
      <c r="CE591">
        <v>1789</v>
      </c>
      <c r="CF591">
        <v>5519.8330000000005</v>
      </c>
      <c r="CG591">
        <v>53.903000000000006</v>
      </c>
      <c r="CH591">
        <v>3.0700000000000003</v>
      </c>
      <c r="CI591">
        <v>225</v>
      </c>
      <c r="CJ591">
        <v>185</v>
      </c>
      <c r="CK591">
        <v>7</v>
      </c>
      <c r="CL591">
        <v>56.973000000000006</v>
      </c>
      <c r="CM591">
        <v>5325.5330000000004</v>
      </c>
      <c r="CN591">
        <v>0</v>
      </c>
      <c r="CO591">
        <v>0</v>
      </c>
      <c r="CP591">
        <v>0</v>
      </c>
      <c r="CQ591">
        <v>0</v>
      </c>
      <c r="CR591">
        <v>0</v>
      </c>
      <c r="CS591">
        <v>0</v>
      </c>
      <c r="CT591">
        <v>0</v>
      </c>
      <c r="CU591">
        <v>105.828</v>
      </c>
      <c r="CV591">
        <v>1045.0060000000001</v>
      </c>
      <c r="CW591">
        <v>532.82299999999998</v>
      </c>
      <c r="CX591">
        <v>0</v>
      </c>
      <c r="CY591" s="2043">
        <v>0</v>
      </c>
      <c r="CZ591" s="2043">
        <v>0</v>
      </c>
      <c r="DA591" s="2043">
        <v>0</v>
      </c>
      <c r="DB591" s="2043">
        <v>0</v>
      </c>
      <c r="DC591" s="2043">
        <v>0</v>
      </c>
      <c r="DI591" t="s">
        <v>3037</v>
      </c>
      <c r="DJ591" t="s">
        <v>3037</v>
      </c>
      <c r="DK591" s="2042">
        <f t="shared" si="11"/>
        <v>0</v>
      </c>
    </row>
    <row r="592" spans="1:115">
      <c r="A592" t="s">
        <v>3038</v>
      </c>
      <c r="B592" t="s">
        <v>2391</v>
      </c>
      <c r="C592">
        <v>3955.37</v>
      </c>
      <c r="D592">
        <v>4292.3850000000002</v>
      </c>
      <c r="E592">
        <v>1125.0240000000001</v>
      </c>
      <c r="F592">
        <v>0</v>
      </c>
      <c r="G592" s="2043">
        <v>662059463</v>
      </c>
      <c r="H592">
        <v>0</v>
      </c>
      <c r="I592" s="2043">
        <v>5315892</v>
      </c>
      <c r="J592">
        <v>197.76900000000001</v>
      </c>
      <c r="K592">
        <v>541</v>
      </c>
      <c r="L592">
        <v>1954495</v>
      </c>
      <c r="M592">
        <v>1791473</v>
      </c>
      <c r="N592">
        <v>1954495</v>
      </c>
      <c r="O592">
        <v>3745968</v>
      </c>
      <c r="P592">
        <v>0</v>
      </c>
      <c r="Q592">
        <v>0</v>
      </c>
      <c r="R592" s="2043">
        <v>5557879</v>
      </c>
      <c r="S592">
        <v>528065</v>
      </c>
      <c r="T592">
        <v>594072</v>
      </c>
      <c r="U592">
        <v>0.08</v>
      </c>
      <c r="V592">
        <v>0</v>
      </c>
      <c r="W592">
        <v>0</v>
      </c>
      <c r="X592">
        <v>0</v>
      </c>
      <c r="Y592">
        <v>0</v>
      </c>
      <c r="Z592">
        <v>0</v>
      </c>
      <c r="AA592">
        <v>1.1950000000000001</v>
      </c>
      <c r="AB592">
        <v>4292.3850000000002</v>
      </c>
      <c r="AC592" s="2043">
        <v>570765113</v>
      </c>
      <c r="AD592">
        <v>2219868</v>
      </c>
      <c r="AE592" s="2043">
        <v>6680016</v>
      </c>
      <c r="AF592">
        <v>1.012</v>
      </c>
      <c r="AG592">
        <v>0</v>
      </c>
      <c r="AH592">
        <v>0</v>
      </c>
      <c r="AI592">
        <v>0</v>
      </c>
      <c r="AJ592">
        <v>1048.375</v>
      </c>
      <c r="AK592">
        <v>10787</v>
      </c>
      <c r="AL592">
        <v>2.4740000000000002</v>
      </c>
      <c r="AM592">
        <v>0</v>
      </c>
      <c r="AN592">
        <v>175.53800000000001</v>
      </c>
      <c r="AO592">
        <v>0</v>
      </c>
      <c r="AP592">
        <v>0</v>
      </c>
      <c r="AQ592">
        <v>0</v>
      </c>
      <c r="AR592">
        <v>35.072000000000003</v>
      </c>
      <c r="AS592">
        <v>0</v>
      </c>
      <c r="AT592">
        <v>33.777000000000001</v>
      </c>
      <c r="AU592">
        <v>7.7590000000000003</v>
      </c>
      <c r="AV592">
        <v>0</v>
      </c>
      <c r="AW592">
        <v>79.082000000000008</v>
      </c>
      <c r="AX592">
        <v>0</v>
      </c>
      <c r="AY592">
        <v>257.71199999999999</v>
      </c>
      <c r="AZ592">
        <v>0</v>
      </c>
      <c r="BA592">
        <v>40666361</v>
      </c>
      <c r="BB592">
        <v>8899884</v>
      </c>
      <c r="BC592">
        <v>0</v>
      </c>
      <c r="BD592">
        <v>90148</v>
      </c>
      <c r="BE592">
        <v>52391</v>
      </c>
      <c r="BF592">
        <v>186460</v>
      </c>
      <c r="BG592">
        <v>90148</v>
      </c>
      <c r="BH592">
        <v>43921</v>
      </c>
      <c r="BI592">
        <v>0</v>
      </c>
      <c r="BJ592">
        <v>0</v>
      </c>
      <c r="BK592">
        <v>0</v>
      </c>
      <c r="BL592">
        <v>662059463</v>
      </c>
      <c r="BM592">
        <v>0</v>
      </c>
      <c r="BN592">
        <v>16686</v>
      </c>
      <c r="BO592">
        <v>4708</v>
      </c>
      <c r="BP592">
        <v>0</v>
      </c>
      <c r="BQ592">
        <v>50000</v>
      </c>
      <c r="BR592">
        <v>0.84200000000000008</v>
      </c>
      <c r="BS592">
        <v>0.84200000000000008</v>
      </c>
      <c r="BT592">
        <v>0</v>
      </c>
      <c r="BU592">
        <v>0</v>
      </c>
      <c r="BV592">
        <v>396</v>
      </c>
      <c r="BW592">
        <v>942</v>
      </c>
      <c r="BX592">
        <v>794</v>
      </c>
      <c r="BY592">
        <v>904</v>
      </c>
      <c r="BZ592">
        <v>1090</v>
      </c>
      <c r="CA592">
        <v>4126</v>
      </c>
      <c r="CB592">
        <v>0</v>
      </c>
      <c r="CC592">
        <v>0</v>
      </c>
      <c r="CD592">
        <v>0</v>
      </c>
      <c r="CE592">
        <v>242</v>
      </c>
      <c r="CF592">
        <v>1268.1780000000001</v>
      </c>
      <c r="CG592">
        <v>52.96</v>
      </c>
      <c r="CH592">
        <v>0</v>
      </c>
      <c r="CI592">
        <v>63</v>
      </c>
      <c r="CJ592">
        <v>22</v>
      </c>
      <c r="CK592">
        <v>0</v>
      </c>
      <c r="CL592">
        <v>52.96</v>
      </c>
      <c r="CM592">
        <v>1125.0240000000001</v>
      </c>
      <c r="CN592">
        <v>0</v>
      </c>
      <c r="CO592">
        <v>0</v>
      </c>
      <c r="CP592">
        <v>0</v>
      </c>
      <c r="CQ592">
        <v>0</v>
      </c>
      <c r="CR592">
        <v>0</v>
      </c>
      <c r="CS592">
        <v>0</v>
      </c>
      <c r="CT592">
        <v>0</v>
      </c>
      <c r="CU592">
        <v>37.478999999999999</v>
      </c>
      <c r="CV592">
        <v>186.06200000000001</v>
      </c>
      <c r="CW592">
        <v>104.947</v>
      </c>
      <c r="CX592">
        <v>0</v>
      </c>
      <c r="CY592" s="2043">
        <v>0</v>
      </c>
      <c r="CZ592" s="2043">
        <v>0</v>
      </c>
      <c r="DA592" s="2043">
        <v>0</v>
      </c>
      <c r="DB592" s="2043">
        <v>0</v>
      </c>
      <c r="DC592" s="2043">
        <v>0</v>
      </c>
      <c r="DI592" t="s">
        <v>3038</v>
      </c>
      <c r="DJ592" t="s">
        <v>3038</v>
      </c>
      <c r="DK592" s="2042">
        <f t="shared" si="11"/>
        <v>0</v>
      </c>
    </row>
    <row r="593" spans="1:115">
      <c r="A593" t="s">
        <v>3039</v>
      </c>
      <c r="B593" t="s">
        <v>2397</v>
      </c>
      <c r="C593">
        <v>12269.62</v>
      </c>
      <c r="D593">
        <v>13615.316000000001</v>
      </c>
      <c r="E593">
        <v>2263.5410000000002</v>
      </c>
      <c r="F593">
        <v>0</v>
      </c>
      <c r="G593" s="2043">
        <v>2550768930</v>
      </c>
      <c r="H593">
        <v>0</v>
      </c>
      <c r="I593" s="2043">
        <v>8334772</v>
      </c>
      <c r="J593">
        <v>613.48099999999999</v>
      </c>
      <c r="K593">
        <v>1677</v>
      </c>
      <c r="L593">
        <v>3384085</v>
      </c>
      <c r="M593">
        <v>4950687</v>
      </c>
      <c r="N593">
        <v>3384085</v>
      </c>
      <c r="O593">
        <v>8334772</v>
      </c>
      <c r="P593">
        <v>0</v>
      </c>
      <c r="Q593">
        <v>0</v>
      </c>
      <c r="R593" s="2043">
        <v>21408248</v>
      </c>
      <c r="S593">
        <v>2054534</v>
      </c>
      <c r="T593">
        <v>1497242</v>
      </c>
      <c r="U593">
        <v>0.08</v>
      </c>
      <c r="V593">
        <v>0</v>
      </c>
      <c r="W593">
        <v>0</v>
      </c>
      <c r="X593">
        <v>0</v>
      </c>
      <c r="Y593">
        <v>2671545</v>
      </c>
      <c r="Z593">
        <v>0</v>
      </c>
      <c r="AA593">
        <v>0.27700000000000002</v>
      </c>
      <c r="AB593">
        <v>13615.316000000001</v>
      </c>
      <c r="AC593" s="2043">
        <v>2135003569</v>
      </c>
      <c r="AD593">
        <v>4135049</v>
      </c>
      <c r="AE593" s="2043">
        <v>24960024</v>
      </c>
      <c r="AF593">
        <v>0.9719000000000001</v>
      </c>
      <c r="AG593">
        <v>0</v>
      </c>
      <c r="AH593">
        <v>0</v>
      </c>
      <c r="AI593">
        <v>0</v>
      </c>
      <c r="AJ593">
        <v>3095.0880000000002</v>
      </c>
      <c r="AK593">
        <v>28426</v>
      </c>
      <c r="AL593">
        <v>2.117</v>
      </c>
      <c r="AM593">
        <v>0</v>
      </c>
      <c r="AN593">
        <v>212.71900000000002</v>
      </c>
      <c r="AO593">
        <v>0</v>
      </c>
      <c r="AP593">
        <v>0</v>
      </c>
      <c r="AQ593">
        <v>0</v>
      </c>
      <c r="AR593">
        <v>200.637</v>
      </c>
      <c r="AS593">
        <v>0</v>
      </c>
      <c r="AT593">
        <v>83.894000000000005</v>
      </c>
      <c r="AU593">
        <v>17.613</v>
      </c>
      <c r="AV593">
        <v>0</v>
      </c>
      <c r="AW593">
        <v>329.6</v>
      </c>
      <c r="AX593">
        <v>25.339000000000002</v>
      </c>
      <c r="AY593">
        <v>1010.523</v>
      </c>
      <c r="AZ593">
        <v>0</v>
      </c>
      <c r="BA593">
        <v>111629250</v>
      </c>
      <c r="BB593">
        <v>29095073</v>
      </c>
      <c r="BC593">
        <v>0</v>
      </c>
      <c r="BD593">
        <v>331164</v>
      </c>
      <c r="BE593">
        <v>153268</v>
      </c>
      <c r="BF593">
        <v>1044932</v>
      </c>
      <c r="BG593">
        <v>331164</v>
      </c>
      <c r="BH593">
        <v>560500</v>
      </c>
      <c r="BI593">
        <v>0</v>
      </c>
      <c r="BJ593">
        <v>-2971</v>
      </c>
      <c r="BK593">
        <v>0</v>
      </c>
      <c r="BL593">
        <v>2550768930</v>
      </c>
      <c r="BM593">
        <v>0</v>
      </c>
      <c r="BN593">
        <v>52470</v>
      </c>
      <c r="BO593">
        <v>38156</v>
      </c>
      <c r="BP593">
        <v>0</v>
      </c>
      <c r="BQ593">
        <v>0</v>
      </c>
      <c r="BR593">
        <v>0.83360000000000001</v>
      </c>
      <c r="BS593">
        <v>0.83360000000000001</v>
      </c>
      <c r="BT593">
        <v>0</v>
      </c>
      <c r="BU593">
        <v>0</v>
      </c>
      <c r="BV593">
        <v>884</v>
      </c>
      <c r="BW593">
        <v>751</v>
      </c>
      <c r="BX593">
        <v>3176</v>
      </c>
      <c r="BY593">
        <v>3966</v>
      </c>
      <c r="BZ593">
        <v>3210</v>
      </c>
      <c r="CA593">
        <v>11987</v>
      </c>
      <c r="CB593">
        <v>0</v>
      </c>
      <c r="CC593">
        <v>1642.9160000000002</v>
      </c>
      <c r="CD593">
        <v>41.324000000000005</v>
      </c>
      <c r="CE593">
        <v>687</v>
      </c>
      <c r="CF593">
        <v>3981.8880000000004</v>
      </c>
      <c r="CG593">
        <v>0</v>
      </c>
      <c r="CH593">
        <v>0</v>
      </c>
      <c r="CI593">
        <v>152</v>
      </c>
      <c r="CJ593">
        <v>31</v>
      </c>
      <c r="CK593">
        <v>1</v>
      </c>
      <c r="CL593">
        <v>0</v>
      </c>
      <c r="CM593">
        <v>2263.5410000000002</v>
      </c>
      <c r="CN593">
        <v>0</v>
      </c>
      <c r="CO593">
        <v>0</v>
      </c>
      <c r="CP593">
        <v>0</v>
      </c>
      <c r="CQ593">
        <v>0</v>
      </c>
      <c r="CR593">
        <v>0</v>
      </c>
      <c r="CS593">
        <v>0</v>
      </c>
      <c r="CT593">
        <v>0</v>
      </c>
      <c r="CU593">
        <v>3.3460000000000001</v>
      </c>
      <c r="CV593">
        <v>909.64300000000003</v>
      </c>
      <c r="CW593">
        <v>334.89600000000002</v>
      </c>
      <c r="CX593">
        <v>0</v>
      </c>
      <c r="CY593" s="2043">
        <v>2674516</v>
      </c>
      <c r="CZ593" s="2043">
        <v>0</v>
      </c>
      <c r="DA593" s="2043">
        <v>0</v>
      </c>
      <c r="DB593" s="2043">
        <v>0</v>
      </c>
      <c r="DC593" s="2043">
        <v>0</v>
      </c>
      <c r="DI593" t="s">
        <v>3039</v>
      </c>
      <c r="DJ593" t="s">
        <v>3039</v>
      </c>
      <c r="DK593" s="2042">
        <f t="shared" si="11"/>
        <v>0</v>
      </c>
    </row>
    <row r="594" spans="1:115">
      <c r="A594" t="s">
        <v>3040</v>
      </c>
      <c r="B594" t="s">
        <v>197</v>
      </c>
      <c r="C594">
        <v>26711.197</v>
      </c>
      <c r="D594">
        <v>30766.75</v>
      </c>
      <c r="E594">
        <v>4264.9220000000005</v>
      </c>
      <c r="F594">
        <v>0</v>
      </c>
      <c r="G594" s="2043">
        <v>5592241096</v>
      </c>
      <c r="H594">
        <v>0</v>
      </c>
      <c r="I594" s="2043">
        <v>22457253</v>
      </c>
      <c r="J594">
        <v>1335.56</v>
      </c>
      <c r="K594">
        <v>3651</v>
      </c>
      <c r="L594">
        <v>7896635</v>
      </c>
      <c r="M594">
        <v>14788668</v>
      </c>
      <c r="N594">
        <v>7896635</v>
      </c>
      <c r="O594">
        <v>22685303</v>
      </c>
      <c r="P594">
        <v>0</v>
      </c>
      <c r="Q594">
        <v>0</v>
      </c>
      <c r="R594" s="2043">
        <v>46291179</v>
      </c>
      <c r="S594">
        <v>4474739</v>
      </c>
      <c r="T594">
        <v>5034082</v>
      </c>
      <c r="U594">
        <v>0.08</v>
      </c>
      <c r="V594">
        <v>0</v>
      </c>
      <c r="W594">
        <v>0</v>
      </c>
      <c r="X594">
        <v>0</v>
      </c>
      <c r="Y594">
        <v>-1181</v>
      </c>
      <c r="Z594">
        <v>0</v>
      </c>
      <c r="AA594">
        <v>4.609</v>
      </c>
      <c r="AB594">
        <v>28592.031999999999</v>
      </c>
      <c r="AC594" s="2043">
        <v>4742692024</v>
      </c>
      <c r="AD594">
        <v>12200000</v>
      </c>
      <c r="AE594" s="2043">
        <v>55800000</v>
      </c>
      <c r="AF594">
        <v>0.99760000000000004</v>
      </c>
      <c r="AG594">
        <v>0</v>
      </c>
      <c r="AH594">
        <v>0</v>
      </c>
      <c r="AI594">
        <v>0</v>
      </c>
      <c r="AJ594">
        <v>6810.2250000000004</v>
      </c>
      <c r="AK594">
        <v>73317</v>
      </c>
      <c r="AL594">
        <v>5.1440000000000001</v>
      </c>
      <c r="AM594">
        <v>0</v>
      </c>
      <c r="AN594">
        <v>882.93799999999999</v>
      </c>
      <c r="AO594">
        <v>0</v>
      </c>
      <c r="AP594">
        <v>0</v>
      </c>
      <c r="AQ594">
        <v>0</v>
      </c>
      <c r="AR594">
        <v>394.755</v>
      </c>
      <c r="AS594">
        <v>0</v>
      </c>
      <c r="AT594">
        <v>229.994</v>
      </c>
      <c r="AU594">
        <v>54.586000000000006</v>
      </c>
      <c r="AV594">
        <v>0</v>
      </c>
      <c r="AW594">
        <v>705.803</v>
      </c>
      <c r="AX594">
        <v>21.324000000000002</v>
      </c>
      <c r="AY594">
        <v>2221.942</v>
      </c>
      <c r="AZ594">
        <v>0</v>
      </c>
      <c r="BA594">
        <v>245664826</v>
      </c>
      <c r="BB594">
        <v>68000000</v>
      </c>
      <c r="BC594">
        <v>0</v>
      </c>
      <c r="BD594">
        <v>458088</v>
      </c>
      <c r="BE594">
        <v>279268</v>
      </c>
      <c r="BF594">
        <v>1008760</v>
      </c>
      <c r="BG594">
        <v>458088</v>
      </c>
      <c r="BH594">
        <v>271404</v>
      </c>
      <c r="BI594">
        <v>-1181</v>
      </c>
      <c r="BJ594">
        <v>0</v>
      </c>
      <c r="BK594">
        <v>0</v>
      </c>
      <c r="BL594">
        <v>5592241096</v>
      </c>
      <c r="BM594">
        <v>0</v>
      </c>
      <c r="BN594">
        <v>102636</v>
      </c>
      <c r="BO594">
        <v>41430</v>
      </c>
      <c r="BP594">
        <v>0</v>
      </c>
      <c r="BQ594">
        <v>0</v>
      </c>
      <c r="BR594">
        <v>0.8276</v>
      </c>
      <c r="BS594">
        <v>0.8276</v>
      </c>
      <c r="BT594">
        <v>0</v>
      </c>
      <c r="BU594">
        <v>0</v>
      </c>
      <c r="BV594">
        <v>1288</v>
      </c>
      <c r="BW594">
        <v>3736</v>
      </c>
      <c r="BX594">
        <v>9673</v>
      </c>
      <c r="BY594">
        <v>7844</v>
      </c>
      <c r="BZ594">
        <v>4203</v>
      </c>
      <c r="CA594">
        <v>26744</v>
      </c>
      <c r="CB594">
        <v>0</v>
      </c>
      <c r="CC594">
        <v>5233.9000000000005</v>
      </c>
      <c r="CD594">
        <v>971.64800000000002</v>
      </c>
      <c r="CE594">
        <v>702</v>
      </c>
      <c r="CF594">
        <v>9604.4140000000007</v>
      </c>
      <c r="CG594">
        <v>98.7</v>
      </c>
      <c r="CH594">
        <v>0</v>
      </c>
      <c r="CI594">
        <v>378</v>
      </c>
      <c r="CJ594">
        <v>51</v>
      </c>
      <c r="CK594">
        <v>5</v>
      </c>
      <c r="CL594">
        <v>98.7</v>
      </c>
      <c r="CM594">
        <v>4264.9220000000005</v>
      </c>
      <c r="CN594">
        <v>0</v>
      </c>
      <c r="CO594">
        <v>0</v>
      </c>
      <c r="CP594">
        <v>0</v>
      </c>
      <c r="CQ594">
        <v>0</v>
      </c>
      <c r="CR594">
        <v>0</v>
      </c>
      <c r="CS594">
        <v>103.146</v>
      </c>
      <c r="CT594">
        <v>0</v>
      </c>
      <c r="CU594">
        <v>20.361000000000001</v>
      </c>
      <c r="CV594">
        <v>1118.8780000000002</v>
      </c>
      <c r="CW594">
        <v>873.12100000000009</v>
      </c>
      <c r="CX594">
        <v>0</v>
      </c>
      <c r="CY594" s="2043">
        <v>0</v>
      </c>
      <c r="CZ594" s="2043">
        <v>0</v>
      </c>
      <c r="DA594" s="2043">
        <v>0</v>
      </c>
      <c r="DB594" s="2043">
        <v>0</v>
      </c>
      <c r="DC594" s="2043">
        <v>0</v>
      </c>
      <c r="DI594" t="s">
        <v>3040</v>
      </c>
      <c r="DJ594" t="s">
        <v>3040</v>
      </c>
      <c r="DK594" s="2042">
        <f t="shared" si="11"/>
        <v>0</v>
      </c>
    </row>
    <row r="595" spans="1:115">
      <c r="A595" t="s">
        <v>3041</v>
      </c>
      <c r="B595" t="s">
        <v>1011</v>
      </c>
      <c r="C595">
        <v>1310.0050000000001</v>
      </c>
      <c r="D595">
        <v>1500.7550000000001</v>
      </c>
      <c r="E595">
        <v>755.06100000000004</v>
      </c>
      <c r="F595">
        <v>0</v>
      </c>
      <c r="G595" s="2043">
        <v>212029045</v>
      </c>
      <c r="H595">
        <v>0</v>
      </c>
      <c r="I595" s="2043">
        <v>1979850</v>
      </c>
      <c r="J595">
        <v>65.5</v>
      </c>
      <c r="K595">
        <v>179</v>
      </c>
      <c r="L595">
        <v>915272</v>
      </c>
      <c r="M595">
        <v>1006346</v>
      </c>
      <c r="N595">
        <v>915272</v>
      </c>
      <c r="O595">
        <v>1921618</v>
      </c>
      <c r="P595">
        <v>0</v>
      </c>
      <c r="Q595">
        <v>0</v>
      </c>
      <c r="R595" s="2043">
        <v>1587614</v>
      </c>
      <c r="S595">
        <v>154512</v>
      </c>
      <c r="T595">
        <v>173827</v>
      </c>
      <c r="U595">
        <v>0.08</v>
      </c>
      <c r="V595">
        <v>0</v>
      </c>
      <c r="W595">
        <v>0</v>
      </c>
      <c r="X595">
        <v>0</v>
      </c>
      <c r="Y595">
        <v>0</v>
      </c>
      <c r="Z595">
        <v>0</v>
      </c>
      <c r="AA595">
        <v>0</v>
      </c>
      <c r="AB595">
        <v>1351.2860000000001</v>
      </c>
      <c r="AC595" s="2043">
        <v>181395884</v>
      </c>
      <c r="AD595">
        <v>537751</v>
      </c>
      <c r="AE595" s="2043">
        <v>1915953</v>
      </c>
      <c r="AF595">
        <v>0.99199999999999999</v>
      </c>
      <c r="AG595">
        <v>0</v>
      </c>
      <c r="AH595">
        <v>0</v>
      </c>
      <c r="AI595">
        <v>0</v>
      </c>
      <c r="AJ595">
        <v>328.43799999999999</v>
      </c>
      <c r="AK595">
        <v>3713</v>
      </c>
      <c r="AL595">
        <v>0</v>
      </c>
      <c r="AM595">
        <v>0</v>
      </c>
      <c r="AN595">
        <v>29.332000000000001</v>
      </c>
      <c r="AO595">
        <v>0</v>
      </c>
      <c r="AP595">
        <v>0</v>
      </c>
      <c r="AQ595">
        <v>0</v>
      </c>
      <c r="AR595">
        <v>23.2</v>
      </c>
      <c r="AS595">
        <v>0</v>
      </c>
      <c r="AT595">
        <v>8.5969999999999995</v>
      </c>
      <c r="AU595">
        <v>2.3180000000000001</v>
      </c>
      <c r="AV595">
        <v>0</v>
      </c>
      <c r="AW595">
        <v>34.115000000000002</v>
      </c>
      <c r="AX595">
        <v>0</v>
      </c>
      <c r="AY595">
        <v>106.98100000000001</v>
      </c>
      <c r="AZ595">
        <v>0</v>
      </c>
      <c r="BA595">
        <v>14813765</v>
      </c>
      <c r="BB595">
        <v>2453704</v>
      </c>
      <c r="BC595">
        <v>0</v>
      </c>
      <c r="BD595">
        <v>0</v>
      </c>
      <c r="BE595">
        <v>0</v>
      </c>
      <c r="BF595">
        <v>0</v>
      </c>
      <c r="BG595">
        <v>0</v>
      </c>
      <c r="BH595">
        <v>0</v>
      </c>
      <c r="BI595">
        <v>0</v>
      </c>
      <c r="BJ595">
        <v>0</v>
      </c>
      <c r="BK595">
        <v>0</v>
      </c>
      <c r="BL595">
        <v>212029045</v>
      </c>
      <c r="BM595">
        <v>0</v>
      </c>
      <c r="BN595">
        <v>5904</v>
      </c>
      <c r="BO595">
        <v>4933</v>
      </c>
      <c r="BP595">
        <v>0</v>
      </c>
      <c r="BQ595">
        <v>0</v>
      </c>
      <c r="BR595">
        <v>0.82200000000000006</v>
      </c>
      <c r="BS595">
        <v>0.82200000000000006</v>
      </c>
      <c r="BT595">
        <v>0</v>
      </c>
      <c r="BU595">
        <v>0</v>
      </c>
      <c r="BV595">
        <v>643</v>
      </c>
      <c r="BW595">
        <v>357</v>
      </c>
      <c r="BX595">
        <v>334</v>
      </c>
      <c r="BY595">
        <v>38</v>
      </c>
      <c r="BZ595">
        <v>20</v>
      </c>
      <c r="CA595">
        <v>1392</v>
      </c>
      <c r="CB595">
        <v>0</v>
      </c>
      <c r="CC595">
        <v>0</v>
      </c>
      <c r="CD595">
        <v>0</v>
      </c>
      <c r="CE595">
        <v>49</v>
      </c>
      <c r="CF595">
        <v>635.79200000000003</v>
      </c>
      <c r="CG595">
        <v>0</v>
      </c>
      <c r="CH595">
        <v>0</v>
      </c>
      <c r="CI595">
        <v>27</v>
      </c>
      <c r="CJ595">
        <v>0</v>
      </c>
      <c r="CK595">
        <v>0</v>
      </c>
      <c r="CL595">
        <v>0</v>
      </c>
      <c r="CM595">
        <v>755.06100000000004</v>
      </c>
      <c r="CN595">
        <v>0</v>
      </c>
      <c r="CO595">
        <v>0</v>
      </c>
      <c r="CP595">
        <v>0</v>
      </c>
      <c r="CQ595">
        <v>0</v>
      </c>
      <c r="CR595">
        <v>0</v>
      </c>
      <c r="CS595">
        <v>0</v>
      </c>
      <c r="CT595">
        <v>0</v>
      </c>
      <c r="CU595">
        <v>0.9850000000000001</v>
      </c>
      <c r="CV595">
        <v>61.863</v>
      </c>
      <c r="CW595">
        <v>26.029</v>
      </c>
      <c r="CX595">
        <v>0</v>
      </c>
      <c r="CY595" s="2043">
        <v>0</v>
      </c>
      <c r="CZ595" s="2043">
        <v>0</v>
      </c>
      <c r="DA595" s="2043">
        <v>0</v>
      </c>
      <c r="DB595" s="2043">
        <v>0</v>
      </c>
      <c r="DC595" s="2043">
        <v>0</v>
      </c>
      <c r="DI595" t="s">
        <v>3041</v>
      </c>
      <c r="DJ595" t="s">
        <v>3041</v>
      </c>
      <c r="DK595" s="2042">
        <f t="shared" si="11"/>
        <v>0</v>
      </c>
    </row>
    <row r="596" spans="1:115">
      <c r="A596" t="s">
        <v>3042</v>
      </c>
      <c r="B596" t="s">
        <v>1471</v>
      </c>
      <c r="C596">
        <v>8881.746000000001</v>
      </c>
      <c r="D596">
        <v>9508.0590000000011</v>
      </c>
      <c r="E596">
        <v>2859.9059999999999</v>
      </c>
      <c r="F596">
        <v>0</v>
      </c>
      <c r="G596" s="2043">
        <v>3786869944</v>
      </c>
      <c r="H596">
        <v>0</v>
      </c>
      <c r="I596" s="2043">
        <v>6025854</v>
      </c>
      <c r="J596">
        <v>444.08700000000005</v>
      </c>
      <c r="K596">
        <v>1214</v>
      </c>
      <c r="L596">
        <v>0</v>
      </c>
      <c r="M596">
        <v>254150</v>
      </c>
      <c r="N596">
        <v>0</v>
      </c>
      <c r="O596">
        <v>254150</v>
      </c>
      <c r="P596">
        <v>0</v>
      </c>
      <c r="Q596">
        <v>0</v>
      </c>
      <c r="R596" s="2043">
        <v>32392692</v>
      </c>
      <c r="S596">
        <v>3004191</v>
      </c>
      <c r="T596">
        <v>2189305</v>
      </c>
      <c r="U596">
        <v>0.08</v>
      </c>
      <c r="V596">
        <v>0</v>
      </c>
      <c r="W596">
        <v>0</v>
      </c>
      <c r="X596">
        <v>0</v>
      </c>
      <c r="Y596">
        <v>0</v>
      </c>
      <c r="Z596">
        <v>0</v>
      </c>
      <c r="AA596">
        <v>0.108</v>
      </c>
      <c r="AB596">
        <v>9440.9510000000009</v>
      </c>
      <c r="AC596" s="2043">
        <v>3370650246</v>
      </c>
      <c r="AD596">
        <v>6007590</v>
      </c>
      <c r="AE596" s="2043">
        <v>37586188</v>
      </c>
      <c r="AF596">
        <v>1.0009000000000001</v>
      </c>
      <c r="AG596">
        <v>0</v>
      </c>
      <c r="AH596">
        <v>0</v>
      </c>
      <c r="AI596">
        <v>0</v>
      </c>
      <c r="AJ596">
        <v>1495.288</v>
      </c>
      <c r="AK596">
        <v>20668</v>
      </c>
      <c r="AL596">
        <v>4.2560000000000002</v>
      </c>
      <c r="AM596">
        <v>0</v>
      </c>
      <c r="AN596">
        <v>326.09800000000001</v>
      </c>
      <c r="AO596">
        <v>0</v>
      </c>
      <c r="AP596">
        <v>0</v>
      </c>
      <c r="AQ596">
        <v>0</v>
      </c>
      <c r="AR596">
        <v>80.793999999999997</v>
      </c>
      <c r="AS596">
        <v>0</v>
      </c>
      <c r="AT596">
        <v>66.923000000000002</v>
      </c>
      <c r="AU596">
        <v>14.629000000000001</v>
      </c>
      <c r="AV596">
        <v>0</v>
      </c>
      <c r="AW596">
        <v>166.602</v>
      </c>
      <c r="AX596">
        <v>0</v>
      </c>
      <c r="AY596">
        <v>537.57600000000002</v>
      </c>
      <c r="AZ596">
        <v>0</v>
      </c>
      <c r="BA596">
        <v>52078651</v>
      </c>
      <c r="BB596">
        <v>43593778</v>
      </c>
      <c r="BC596">
        <v>0</v>
      </c>
      <c r="BD596">
        <v>312762</v>
      </c>
      <c r="BE596">
        <v>76089</v>
      </c>
      <c r="BF596">
        <v>434342</v>
      </c>
      <c r="BG596">
        <v>312762</v>
      </c>
      <c r="BH596">
        <v>45491</v>
      </c>
      <c r="BI596">
        <v>0</v>
      </c>
      <c r="BJ596">
        <v>0</v>
      </c>
      <c r="BK596">
        <v>0</v>
      </c>
      <c r="BL596">
        <v>3786869944</v>
      </c>
      <c r="BM596">
        <v>0</v>
      </c>
      <c r="BN596">
        <v>40653</v>
      </c>
      <c r="BO596">
        <v>31886</v>
      </c>
      <c r="BP596">
        <v>0</v>
      </c>
      <c r="BQ596">
        <v>0</v>
      </c>
      <c r="BR596">
        <v>0.86260000000000003</v>
      </c>
      <c r="BS596">
        <v>0.86260000000000003</v>
      </c>
      <c r="BT596">
        <v>0</v>
      </c>
      <c r="BU596">
        <v>0</v>
      </c>
      <c r="BV596">
        <v>2164</v>
      </c>
      <c r="BW596">
        <v>1718</v>
      </c>
      <c r="BX596">
        <v>1426</v>
      </c>
      <c r="BY596">
        <v>819</v>
      </c>
      <c r="BZ596">
        <v>105</v>
      </c>
      <c r="CA596">
        <v>6232</v>
      </c>
      <c r="CB596">
        <v>0</v>
      </c>
      <c r="CC596">
        <v>0</v>
      </c>
      <c r="CD596">
        <v>0</v>
      </c>
      <c r="CE596">
        <v>564</v>
      </c>
      <c r="CF596">
        <v>2577.42</v>
      </c>
      <c r="CG596">
        <v>0</v>
      </c>
      <c r="CH596">
        <v>0</v>
      </c>
      <c r="CI596">
        <v>171</v>
      </c>
      <c r="CJ596">
        <v>169</v>
      </c>
      <c r="CK596">
        <v>2</v>
      </c>
      <c r="CL596">
        <v>0</v>
      </c>
      <c r="CM596">
        <v>2859.9059999999999</v>
      </c>
      <c r="CN596">
        <v>0</v>
      </c>
      <c r="CO596">
        <v>0</v>
      </c>
      <c r="CP596">
        <v>0</v>
      </c>
      <c r="CQ596">
        <v>0</v>
      </c>
      <c r="CR596">
        <v>0</v>
      </c>
      <c r="CS596">
        <v>0</v>
      </c>
      <c r="CT596">
        <v>0</v>
      </c>
      <c r="CU596">
        <v>15.341000000000001</v>
      </c>
      <c r="CV596">
        <v>754.66300000000001</v>
      </c>
      <c r="CW596">
        <v>332.37299999999999</v>
      </c>
      <c r="CX596">
        <v>0</v>
      </c>
      <c r="CY596" s="2043">
        <v>0</v>
      </c>
      <c r="CZ596" s="2043">
        <v>0</v>
      </c>
      <c r="DA596" s="2043">
        <v>0</v>
      </c>
      <c r="DB596" s="2043">
        <v>0</v>
      </c>
      <c r="DC596" s="2043">
        <v>0</v>
      </c>
      <c r="DI596" t="s">
        <v>3042</v>
      </c>
      <c r="DJ596" t="s">
        <v>3042</v>
      </c>
      <c r="DK596" s="2042">
        <f t="shared" si="11"/>
        <v>0</v>
      </c>
    </row>
    <row r="597" spans="1:115">
      <c r="A597" t="s">
        <v>3043</v>
      </c>
      <c r="B597" t="s">
        <v>56</v>
      </c>
      <c r="C597">
        <v>21356.637999999999</v>
      </c>
      <c r="D597">
        <v>24393.171999999999</v>
      </c>
      <c r="E597">
        <v>5964.04</v>
      </c>
      <c r="F597">
        <v>0</v>
      </c>
      <c r="G597" s="2043">
        <v>3069568171</v>
      </c>
      <c r="H597">
        <v>0</v>
      </c>
      <c r="I597" s="2043">
        <v>21184564</v>
      </c>
      <c r="J597">
        <v>1067.8320000000001</v>
      </c>
      <c r="K597">
        <v>2919</v>
      </c>
      <c r="L597">
        <v>7362471</v>
      </c>
      <c r="M597">
        <v>11593140</v>
      </c>
      <c r="N597">
        <v>7362471</v>
      </c>
      <c r="O597">
        <v>18955611</v>
      </c>
      <c r="P597">
        <v>0</v>
      </c>
      <c r="Q597">
        <v>0</v>
      </c>
      <c r="R597" s="2043">
        <v>24928406</v>
      </c>
      <c r="S597">
        <v>2426122</v>
      </c>
      <c r="T597">
        <v>2729388</v>
      </c>
      <c r="U597">
        <v>0.08</v>
      </c>
      <c r="V597">
        <v>0</v>
      </c>
      <c r="W597">
        <v>0</v>
      </c>
      <c r="X597">
        <v>0</v>
      </c>
      <c r="Y597">
        <v>0</v>
      </c>
      <c r="Z597">
        <v>0</v>
      </c>
      <c r="AA597">
        <v>4.976</v>
      </c>
      <c r="AB597">
        <v>24393.171999999999</v>
      </c>
      <c r="AC597" s="2043">
        <v>2647822560</v>
      </c>
      <c r="AD597">
        <v>8120939</v>
      </c>
      <c r="AE597" s="2043">
        <v>30083916</v>
      </c>
      <c r="AF597">
        <v>0.99199999999999999</v>
      </c>
      <c r="AG597">
        <v>0</v>
      </c>
      <c r="AH597">
        <v>0</v>
      </c>
      <c r="AI597">
        <v>0</v>
      </c>
      <c r="AJ597">
        <v>5862.2250000000004</v>
      </c>
      <c r="AK597">
        <v>66083</v>
      </c>
      <c r="AL597">
        <v>10.951000000000001</v>
      </c>
      <c r="AM597">
        <v>0</v>
      </c>
      <c r="AN597">
        <v>298.24900000000002</v>
      </c>
      <c r="AO597">
        <v>0</v>
      </c>
      <c r="AP597">
        <v>0</v>
      </c>
      <c r="AQ597">
        <v>0.36300000000000004</v>
      </c>
      <c r="AR597">
        <v>471.90300000000002</v>
      </c>
      <c r="AS597">
        <v>0</v>
      </c>
      <c r="AT597">
        <v>281.18900000000002</v>
      </c>
      <c r="AU597">
        <v>51.866</v>
      </c>
      <c r="AV597">
        <v>0</v>
      </c>
      <c r="AW597">
        <v>816.30600000000004</v>
      </c>
      <c r="AX597">
        <v>3.4000000000000002E-2</v>
      </c>
      <c r="AY597">
        <v>2573.4390000000003</v>
      </c>
      <c r="AZ597">
        <v>0</v>
      </c>
      <c r="BA597">
        <v>222491177</v>
      </c>
      <c r="BB597">
        <v>38204855</v>
      </c>
      <c r="BC597">
        <v>0</v>
      </c>
      <c r="BD597">
        <v>1523160</v>
      </c>
      <c r="BE597">
        <v>537803</v>
      </c>
      <c r="BF597">
        <v>2060963</v>
      </c>
      <c r="BG597">
        <v>1523160</v>
      </c>
      <c r="BH597">
        <v>0</v>
      </c>
      <c r="BI597">
        <v>0</v>
      </c>
      <c r="BJ597">
        <v>0</v>
      </c>
      <c r="BK597">
        <v>0</v>
      </c>
      <c r="BL597">
        <v>3069568171</v>
      </c>
      <c r="BM597">
        <v>0</v>
      </c>
      <c r="BN597">
        <v>100764</v>
      </c>
      <c r="BO597">
        <v>58861</v>
      </c>
      <c r="BP597">
        <v>828833</v>
      </c>
      <c r="BQ597">
        <v>0</v>
      </c>
      <c r="BR597">
        <v>0.82200000000000006</v>
      </c>
      <c r="BS597">
        <v>0.82200000000000006</v>
      </c>
      <c r="BT597">
        <v>0</v>
      </c>
      <c r="BU597">
        <v>0</v>
      </c>
      <c r="BV597">
        <v>862</v>
      </c>
      <c r="BW597">
        <v>356</v>
      </c>
      <c r="BX597">
        <v>7157</v>
      </c>
      <c r="BY597">
        <v>6598</v>
      </c>
      <c r="BZ597">
        <v>7500</v>
      </c>
      <c r="CA597">
        <v>22473</v>
      </c>
      <c r="CB597">
        <v>0</v>
      </c>
      <c r="CC597">
        <v>5715.2780000000002</v>
      </c>
      <c r="CD597">
        <v>0</v>
      </c>
      <c r="CE597">
        <v>1026</v>
      </c>
      <c r="CF597">
        <v>8130.6040000000003</v>
      </c>
      <c r="CG597">
        <v>0</v>
      </c>
      <c r="CH597">
        <v>0</v>
      </c>
      <c r="CI597">
        <v>413</v>
      </c>
      <c r="CJ597">
        <v>15</v>
      </c>
      <c r="CK597">
        <v>5</v>
      </c>
      <c r="CL597">
        <v>0</v>
      </c>
      <c r="CM597">
        <v>5964.04</v>
      </c>
      <c r="CN597">
        <v>164773</v>
      </c>
      <c r="CO597">
        <v>475922</v>
      </c>
      <c r="CP597">
        <v>188138</v>
      </c>
      <c r="CQ597">
        <v>0</v>
      </c>
      <c r="CR597">
        <v>0</v>
      </c>
      <c r="CS597">
        <v>0</v>
      </c>
      <c r="CT597">
        <v>0</v>
      </c>
      <c r="CU597">
        <v>78.23</v>
      </c>
      <c r="CV597">
        <v>1202.9110000000001</v>
      </c>
      <c r="CW597">
        <v>726.803</v>
      </c>
      <c r="CX597">
        <v>0</v>
      </c>
      <c r="CY597" s="2043">
        <v>0</v>
      </c>
      <c r="CZ597" s="2043">
        <v>0</v>
      </c>
      <c r="DA597" s="2043">
        <v>0</v>
      </c>
      <c r="DB597" s="2043">
        <v>0</v>
      </c>
      <c r="DC597" s="2043">
        <v>0</v>
      </c>
      <c r="DI597" t="s">
        <v>3043</v>
      </c>
      <c r="DJ597" t="s">
        <v>3043</v>
      </c>
      <c r="DK597" s="2042">
        <f t="shared" si="11"/>
        <v>0</v>
      </c>
    </row>
    <row r="598" spans="1:115">
      <c r="A598" t="s">
        <v>3044</v>
      </c>
      <c r="B598" t="s">
        <v>682</v>
      </c>
      <c r="C598">
        <v>14042.712</v>
      </c>
      <c r="D598">
        <v>15616.689</v>
      </c>
      <c r="E598">
        <v>3422.5120000000002</v>
      </c>
      <c r="F598">
        <v>0</v>
      </c>
      <c r="G598" s="2043">
        <v>2808577081</v>
      </c>
      <c r="H598">
        <v>0</v>
      </c>
      <c r="I598" s="2043">
        <v>3784280</v>
      </c>
      <c r="J598">
        <v>702.13600000000008</v>
      </c>
      <c r="K598">
        <v>1920</v>
      </c>
      <c r="L598">
        <v>777163</v>
      </c>
      <c r="M598">
        <v>2384282</v>
      </c>
      <c r="N598">
        <v>777163</v>
      </c>
      <c r="O598">
        <v>3161445</v>
      </c>
      <c r="P598">
        <v>0</v>
      </c>
      <c r="Q598">
        <v>0</v>
      </c>
      <c r="R598" s="2043">
        <v>22870908</v>
      </c>
      <c r="S598">
        <v>2225879</v>
      </c>
      <c r="T598">
        <v>1076769</v>
      </c>
      <c r="U598">
        <v>0.08</v>
      </c>
      <c r="V598">
        <v>0</v>
      </c>
      <c r="W598">
        <v>0</v>
      </c>
      <c r="X598">
        <v>0</v>
      </c>
      <c r="Y598">
        <v>-1601</v>
      </c>
      <c r="Z598">
        <v>0</v>
      </c>
      <c r="AA598">
        <v>0.28100000000000003</v>
      </c>
      <c r="AB598">
        <v>15113.004000000001</v>
      </c>
      <c r="AC598" s="2043">
        <v>2402353676</v>
      </c>
      <c r="AD598">
        <v>1092476</v>
      </c>
      <c r="AE598" s="2043">
        <v>26173556</v>
      </c>
      <c r="AF598">
        <v>0.94070000000000009</v>
      </c>
      <c r="AG598">
        <v>0</v>
      </c>
      <c r="AH598">
        <v>0</v>
      </c>
      <c r="AI598">
        <v>0</v>
      </c>
      <c r="AJ598">
        <v>3270.7250000000004</v>
      </c>
      <c r="AK598">
        <v>39193</v>
      </c>
      <c r="AL598">
        <v>3.7760000000000002</v>
      </c>
      <c r="AM598">
        <v>0</v>
      </c>
      <c r="AN598">
        <v>402.76900000000001</v>
      </c>
      <c r="AO598">
        <v>0</v>
      </c>
      <c r="AP598">
        <v>0</v>
      </c>
      <c r="AQ598">
        <v>2.3280000000000003</v>
      </c>
      <c r="AR598">
        <v>251.411</v>
      </c>
      <c r="AS598">
        <v>0</v>
      </c>
      <c r="AT598">
        <v>118.244</v>
      </c>
      <c r="AU598">
        <v>26.048000000000002</v>
      </c>
      <c r="AV598">
        <v>0</v>
      </c>
      <c r="AW598">
        <v>401.80700000000002</v>
      </c>
      <c r="AX598">
        <v>0</v>
      </c>
      <c r="AY598">
        <v>1258.085</v>
      </c>
      <c r="AZ598">
        <v>0</v>
      </c>
      <c r="BA598">
        <v>119043539</v>
      </c>
      <c r="BB598">
        <v>27266032</v>
      </c>
      <c r="BC598">
        <v>0</v>
      </c>
      <c r="BD598">
        <v>364280</v>
      </c>
      <c r="BE598">
        <v>142690</v>
      </c>
      <c r="BF598">
        <v>1023632</v>
      </c>
      <c r="BG598">
        <v>364280</v>
      </c>
      <c r="BH598">
        <v>516662</v>
      </c>
      <c r="BI598">
        <v>0</v>
      </c>
      <c r="BJ598">
        <v>-1601</v>
      </c>
      <c r="BK598">
        <v>0</v>
      </c>
      <c r="BL598">
        <v>2808577081</v>
      </c>
      <c r="BM598">
        <v>0</v>
      </c>
      <c r="BN598">
        <v>57996</v>
      </c>
      <c r="BO598">
        <v>22277</v>
      </c>
      <c r="BP598">
        <v>12738</v>
      </c>
      <c r="BQ598">
        <v>0</v>
      </c>
      <c r="BR598">
        <v>0.82200000000000006</v>
      </c>
      <c r="BS598">
        <v>0.82200000000000006</v>
      </c>
      <c r="BT598">
        <v>0</v>
      </c>
      <c r="BU598">
        <v>0</v>
      </c>
      <c r="BV598">
        <v>555</v>
      </c>
      <c r="BW598">
        <v>1580</v>
      </c>
      <c r="BX598">
        <v>4220</v>
      </c>
      <c r="BY598">
        <v>5246</v>
      </c>
      <c r="BZ598">
        <v>1231</v>
      </c>
      <c r="CA598">
        <v>12832</v>
      </c>
      <c r="CB598">
        <v>0</v>
      </c>
      <c r="CC598">
        <v>0</v>
      </c>
      <c r="CD598">
        <v>0</v>
      </c>
      <c r="CE598">
        <v>709</v>
      </c>
      <c r="CF598">
        <v>4129.3609999999999</v>
      </c>
      <c r="CG598">
        <v>46.578000000000003</v>
      </c>
      <c r="CH598">
        <v>10.463000000000001</v>
      </c>
      <c r="CI598">
        <v>112</v>
      </c>
      <c r="CJ598">
        <v>61</v>
      </c>
      <c r="CK598">
        <v>2</v>
      </c>
      <c r="CL598">
        <v>57.041000000000004</v>
      </c>
      <c r="CM598">
        <v>3422.5120000000002</v>
      </c>
      <c r="CN598">
        <v>0</v>
      </c>
      <c r="CO598">
        <v>0</v>
      </c>
      <c r="CP598">
        <v>12738</v>
      </c>
      <c r="CQ598">
        <v>0</v>
      </c>
      <c r="CR598">
        <v>0</v>
      </c>
      <c r="CS598">
        <v>0</v>
      </c>
      <c r="CT598">
        <v>0</v>
      </c>
      <c r="CU598">
        <v>108.354</v>
      </c>
      <c r="CV598">
        <v>827.18500000000006</v>
      </c>
      <c r="CW598">
        <v>485.48600000000005</v>
      </c>
      <c r="CX598">
        <v>0</v>
      </c>
      <c r="CY598" s="2043">
        <v>0</v>
      </c>
      <c r="CZ598" s="2043">
        <v>0</v>
      </c>
      <c r="DA598" s="2043">
        <v>0</v>
      </c>
      <c r="DB598" s="2043">
        <v>0</v>
      </c>
      <c r="DC598" s="2043">
        <v>0</v>
      </c>
      <c r="DI598" t="s">
        <v>3044</v>
      </c>
      <c r="DJ598" t="s">
        <v>3044</v>
      </c>
      <c r="DK598" s="2042">
        <f t="shared" si="11"/>
        <v>0</v>
      </c>
    </row>
    <row r="599" spans="1:115">
      <c r="A599" t="s">
        <v>3045</v>
      </c>
      <c r="B599" t="s">
        <v>58</v>
      </c>
      <c r="C599">
        <v>489.93100000000004</v>
      </c>
      <c r="D599">
        <v>577.08900000000006</v>
      </c>
      <c r="E599">
        <v>67.283000000000001</v>
      </c>
      <c r="F599">
        <v>0</v>
      </c>
      <c r="G599" s="2043">
        <v>124086475</v>
      </c>
      <c r="H599">
        <v>0</v>
      </c>
      <c r="I599" s="2043">
        <v>751400</v>
      </c>
      <c r="J599">
        <v>24.497</v>
      </c>
      <c r="K599">
        <v>67</v>
      </c>
      <c r="L599">
        <v>86225</v>
      </c>
      <c r="M599">
        <v>225775</v>
      </c>
      <c r="N599">
        <v>86225</v>
      </c>
      <c r="O599">
        <v>312000</v>
      </c>
      <c r="P599">
        <v>0</v>
      </c>
      <c r="Q599">
        <v>0</v>
      </c>
      <c r="R599" s="2043">
        <v>1050521</v>
      </c>
      <c r="S599">
        <v>99024</v>
      </c>
      <c r="T599">
        <v>111402</v>
      </c>
      <c r="U599">
        <v>0.08</v>
      </c>
      <c r="V599">
        <v>0</v>
      </c>
      <c r="W599">
        <v>0</v>
      </c>
      <c r="X599">
        <v>0</v>
      </c>
      <c r="Y599">
        <v>0</v>
      </c>
      <c r="Z599">
        <v>0.874</v>
      </c>
      <c r="AA599">
        <v>0</v>
      </c>
      <c r="AB599">
        <v>537.54600000000005</v>
      </c>
      <c r="AC599" s="2043">
        <v>107055070</v>
      </c>
      <c r="AD599">
        <v>526534</v>
      </c>
      <c r="AE599" s="2043">
        <v>1260947</v>
      </c>
      <c r="AF599">
        <v>1.0186999999999999</v>
      </c>
      <c r="AG599">
        <v>0</v>
      </c>
      <c r="AH599">
        <v>0</v>
      </c>
      <c r="AI599">
        <v>0</v>
      </c>
      <c r="AJ599">
        <v>134.96299999999999</v>
      </c>
      <c r="AK599">
        <v>1928</v>
      </c>
      <c r="AL599">
        <v>0</v>
      </c>
      <c r="AM599">
        <v>0</v>
      </c>
      <c r="AN599">
        <v>30.69</v>
      </c>
      <c r="AO599">
        <v>0</v>
      </c>
      <c r="AP599">
        <v>0</v>
      </c>
      <c r="AQ599">
        <v>0</v>
      </c>
      <c r="AR599">
        <v>6.2320000000000002</v>
      </c>
      <c r="AS599">
        <v>0</v>
      </c>
      <c r="AT599">
        <v>0</v>
      </c>
      <c r="AU599">
        <v>0.72100000000000009</v>
      </c>
      <c r="AV599">
        <v>0</v>
      </c>
      <c r="AW599">
        <v>6.9530000000000003</v>
      </c>
      <c r="AX599">
        <v>0</v>
      </c>
      <c r="AY599">
        <v>22.301000000000002</v>
      </c>
      <c r="AZ599">
        <v>0</v>
      </c>
      <c r="BA599">
        <v>6434962</v>
      </c>
      <c r="BB599">
        <v>1787481</v>
      </c>
      <c r="BC599">
        <v>0</v>
      </c>
      <c r="BD599">
        <v>17716</v>
      </c>
      <c r="BE599">
        <v>0</v>
      </c>
      <c r="BF599">
        <v>17716</v>
      </c>
      <c r="BG599">
        <v>17716</v>
      </c>
      <c r="BH599">
        <v>0</v>
      </c>
      <c r="BI599">
        <v>0</v>
      </c>
      <c r="BJ599">
        <v>0</v>
      </c>
      <c r="BK599">
        <v>0</v>
      </c>
      <c r="BL599">
        <v>124086475</v>
      </c>
      <c r="BM599">
        <v>0</v>
      </c>
      <c r="BN599">
        <v>2574</v>
      </c>
      <c r="BO599">
        <v>1947</v>
      </c>
      <c r="BP599">
        <v>0</v>
      </c>
      <c r="BQ599">
        <v>0</v>
      </c>
      <c r="BR599">
        <v>0.84870000000000001</v>
      </c>
      <c r="BS599">
        <v>0.84870000000000001</v>
      </c>
      <c r="BT599">
        <v>0</v>
      </c>
      <c r="BU599">
        <v>0</v>
      </c>
      <c r="BV599">
        <v>6</v>
      </c>
      <c r="BW599">
        <v>8</v>
      </c>
      <c r="BX599">
        <v>119</v>
      </c>
      <c r="BY599">
        <v>335</v>
      </c>
      <c r="BZ599">
        <v>51</v>
      </c>
      <c r="CA599">
        <v>519</v>
      </c>
      <c r="CB599">
        <v>0</v>
      </c>
      <c r="CC599">
        <v>0</v>
      </c>
      <c r="CD599">
        <v>0</v>
      </c>
      <c r="CE599">
        <v>65</v>
      </c>
      <c r="CF599">
        <v>143.65600000000001</v>
      </c>
      <c r="CG599">
        <v>0</v>
      </c>
      <c r="CH599">
        <v>0</v>
      </c>
      <c r="CI599">
        <v>4</v>
      </c>
      <c r="CJ599">
        <v>2</v>
      </c>
      <c r="CK599">
        <v>0</v>
      </c>
      <c r="CL599">
        <v>0</v>
      </c>
      <c r="CM599">
        <v>67.283000000000001</v>
      </c>
      <c r="CN599">
        <v>0</v>
      </c>
      <c r="CO599">
        <v>0</v>
      </c>
      <c r="CP599">
        <v>0</v>
      </c>
      <c r="CQ599">
        <v>0</v>
      </c>
      <c r="CR599">
        <v>0</v>
      </c>
      <c r="CS599">
        <v>0</v>
      </c>
      <c r="CT599">
        <v>0</v>
      </c>
      <c r="CU599">
        <v>0</v>
      </c>
      <c r="CV599">
        <v>63.318000000000005</v>
      </c>
      <c r="CW599">
        <v>15.719000000000001</v>
      </c>
      <c r="CX599">
        <v>0</v>
      </c>
      <c r="CY599" s="2043">
        <v>0</v>
      </c>
      <c r="CZ599" s="2043">
        <v>0</v>
      </c>
      <c r="DA599" s="2043">
        <v>0</v>
      </c>
      <c r="DB599" s="2043">
        <v>0</v>
      </c>
      <c r="DC599" s="2043">
        <v>0</v>
      </c>
      <c r="DI599" t="s">
        <v>3045</v>
      </c>
      <c r="DJ599" t="s">
        <v>3045</v>
      </c>
      <c r="DK599" s="2042">
        <f t="shared" si="11"/>
        <v>0</v>
      </c>
    </row>
    <row r="600" spans="1:115">
      <c r="A600" t="s">
        <v>3046</v>
      </c>
      <c r="B600" t="s">
        <v>483</v>
      </c>
      <c r="C600">
        <v>792.48599999999999</v>
      </c>
      <c r="D600">
        <v>823.65200000000004</v>
      </c>
      <c r="E600">
        <v>247.06800000000001</v>
      </c>
      <c r="F600">
        <v>0</v>
      </c>
      <c r="G600" s="2043">
        <v>172435115</v>
      </c>
      <c r="H600">
        <v>0</v>
      </c>
      <c r="I600" s="2043">
        <v>851825</v>
      </c>
      <c r="J600">
        <v>13</v>
      </c>
      <c r="K600">
        <v>36</v>
      </c>
      <c r="L600">
        <v>106273</v>
      </c>
      <c r="M600">
        <v>439835</v>
      </c>
      <c r="N600">
        <v>106273</v>
      </c>
      <c r="O600">
        <v>546108</v>
      </c>
      <c r="P600">
        <v>0</v>
      </c>
      <c r="Q600">
        <v>0</v>
      </c>
      <c r="R600" s="2043">
        <v>1562377</v>
      </c>
      <c r="S600">
        <v>85525</v>
      </c>
      <c r="T600">
        <v>0</v>
      </c>
      <c r="U600">
        <v>0.05</v>
      </c>
      <c r="V600">
        <v>0</v>
      </c>
      <c r="W600">
        <v>0</v>
      </c>
      <c r="X600">
        <v>0</v>
      </c>
      <c r="Y600">
        <v>0</v>
      </c>
      <c r="Z600">
        <v>0</v>
      </c>
      <c r="AA600">
        <v>0</v>
      </c>
      <c r="AB600">
        <v>827.68200000000002</v>
      </c>
      <c r="AC600" s="2043">
        <v>124804694</v>
      </c>
      <c r="AD600">
        <v>443995</v>
      </c>
      <c r="AE600" s="2043">
        <v>1647902</v>
      </c>
      <c r="AF600">
        <v>0.96340000000000003</v>
      </c>
      <c r="AG600">
        <v>0</v>
      </c>
      <c r="AH600">
        <v>0</v>
      </c>
      <c r="AI600">
        <v>0</v>
      </c>
      <c r="AJ600">
        <v>212.4</v>
      </c>
      <c r="AK600">
        <v>2780</v>
      </c>
      <c r="AL600">
        <v>5.3999999999999999E-2</v>
      </c>
      <c r="AM600">
        <v>0</v>
      </c>
      <c r="AN600">
        <v>49.401000000000003</v>
      </c>
      <c r="AO600">
        <v>0</v>
      </c>
      <c r="AP600">
        <v>0</v>
      </c>
      <c r="AQ600">
        <v>0</v>
      </c>
      <c r="AR600">
        <v>9.5640000000000001</v>
      </c>
      <c r="AS600">
        <v>0</v>
      </c>
      <c r="AT600">
        <v>0</v>
      </c>
      <c r="AU600">
        <v>1.0820000000000001</v>
      </c>
      <c r="AV600">
        <v>0</v>
      </c>
      <c r="AW600">
        <v>10.700000000000001</v>
      </c>
      <c r="AX600">
        <v>0</v>
      </c>
      <c r="AY600">
        <v>34.372</v>
      </c>
      <c r="AZ600">
        <v>0</v>
      </c>
      <c r="BA600">
        <v>8509950</v>
      </c>
      <c r="BB600">
        <v>2091897</v>
      </c>
      <c r="BC600">
        <v>0</v>
      </c>
      <c r="BD600">
        <v>22948</v>
      </c>
      <c r="BE600">
        <v>11912</v>
      </c>
      <c r="BF600">
        <v>45912</v>
      </c>
      <c r="BG600">
        <v>22948</v>
      </c>
      <c r="BH600">
        <v>11052</v>
      </c>
      <c r="BI600">
        <v>0</v>
      </c>
      <c r="BJ600">
        <v>0</v>
      </c>
      <c r="BK600">
        <v>0</v>
      </c>
      <c r="BL600">
        <v>172435115</v>
      </c>
      <c r="BM600">
        <v>0</v>
      </c>
      <c r="BN600">
        <v>3474</v>
      </c>
      <c r="BO600">
        <v>2664</v>
      </c>
      <c r="BP600">
        <v>0</v>
      </c>
      <c r="BQ600">
        <v>0</v>
      </c>
      <c r="BR600">
        <v>0.91339999999999999</v>
      </c>
      <c r="BS600">
        <v>0.91339999999999999</v>
      </c>
      <c r="BT600">
        <v>0</v>
      </c>
      <c r="BU600">
        <v>0</v>
      </c>
      <c r="BV600">
        <v>0</v>
      </c>
      <c r="BW600">
        <v>22</v>
      </c>
      <c r="BX600">
        <v>376</v>
      </c>
      <c r="BY600">
        <v>428</v>
      </c>
      <c r="BZ600">
        <v>3</v>
      </c>
      <c r="CA600">
        <v>829</v>
      </c>
      <c r="CB600">
        <v>0</v>
      </c>
      <c r="CC600">
        <v>0</v>
      </c>
      <c r="CD600">
        <v>0</v>
      </c>
      <c r="CE600">
        <v>6</v>
      </c>
      <c r="CF600">
        <v>253.626</v>
      </c>
      <c r="CG600">
        <v>0</v>
      </c>
      <c r="CH600">
        <v>0</v>
      </c>
      <c r="CI600">
        <v>27</v>
      </c>
      <c r="CJ600">
        <v>2</v>
      </c>
      <c r="CK600">
        <v>2</v>
      </c>
      <c r="CL600">
        <v>0</v>
      </c>
      <c r="CM600">
        <v>247.06800000000001</v>
      </c>
      <c r="CN600">
        <v>0</v>
      </c>
      <c r="CO600">
        <v>0</v>
      </c>
      <c r="CP600">
        <v>0</v>
      </c>
      <c r="CQ600">
        <v>0</v>
      </c>
      <c r="CR600">
        <v>0</v>
      </c>
      <c r="CS600">
        <v>0</v>
      </c>
      <c r="CT600">
        <v>0</v>
      </c>
      <c r="CU600">
        <v>0</v>
      </c>
      <c r="CV600">
        <v>35.89</v>
      </c>
      <c r="CW600">
        <v>12.040000000000001</v>
      </c>
      <c r="CX600">
        <v>0</v>
      </c>
      <c r="CY600" s="2043">
        <v>0</v>
      </c>
      <c r="CZ600" s="2043">
        <v>0</v>
      </c>
      <c r="DA600" s="2043">
        <v>0</v>
      </c>
      <c r="DB600" s="2043">
        <v>0</v>
      </c>
      <c r="DC600" s="2043">
        <v>0</v>
      </c>
      <c r="DI600" t="s">
        <v>3046</v>
      </c>
      <c r="DJ600" t="s">
        <v>3046</v>
      </c>
      <c r="DK600" s="2042">
        <f t="shared" si="11"/>
        <v>0</v>
      </c>
    </row>
    <row r="601" spans="1:115">
      <c r="A601" t="s">
        <v>3047</v>
      </c>
      <c r="B601" t="s">
        <v>1433</v>
      </c>
      <c r="C601">
        <v>3529.3430000000003</v>
      </c>
      <c r="D601">
        <v>3975.759</v>
      </c>
      <c r="E601">
        <v>2452.1790000000001</v>
      </c>
      <c r="F601">
        <v>0</v>
      </c>
      <c r="G601" s="2043">
        <v>812177553</v>
      </c>
      <c r="H601">
        <v>0</v>
      </c>
      <c r="I601" s="2043">
        <v>3331076</v>
      </c>
      <c r="J601">
        <v>176.46700000000001</v>
      </c>
      <c r="K601">
        <v>482</v>
      </c>
      <c r="L601">
        <v>914427</v>
      </c>
      <c r="M601">
        <v>2328794</v>
      </c>
      <c r="N601">
        <v>914427</v>
      </c>
      <c r="O601">
        <v>3243221</v>
      </c>
      <c r="P601">
        <v>0</v>
      </c>
      <c r="Q601">
        <v>0</v>
      </c>
      <c r="R601" s="2043">
        <v>6551096</v>
      </c>
      <c r="S601">
        <v>637576</v>
      </c>
      <c r="T601">
        <v>717273</v>
      </c>
      <c r="U601">
        <v>0.08</v>
      </c>
      <c r="V601">
        <v>0</v>
      </c>
      <c r="W601">
        <v>0</v>
      </c>
      <c r="X601">
        <v>0</v>
      </c>
      <c r="Y601">
        <v>0</v>
      </c>
      <c r="Z601">
        <v>0</v>
      </c>
      <c r="AA601">
        <v>0.127</v>
      </c>
      <c r="AB601">
        <v>3832.5160000000001</v>
      </c>
      <c r="AC601" s="2043">
        <v>642897846</v>
      </c>
      <c r="AD601">
        <v>2257113</v>
      </c>
      <c r="AE601" s="2043">
        <v>7905945</v>
      </c>
      <c r="AF601">
        <v>0.99199999999999999</v>
      </c>
      <c r="AG601">
        <v>0</v>
      </c>
      <c r="AH601">
        <v>0</v>
      </c>
      <c r="AI601">
        <v>0</v>
      </c>
      <c r="AJ601">
        <v>948.97500000000002</v>
      </c>
      <c r="AK601">
        <v>10686</v>
      </c>
      <c r="AL601">
        <v>1.9020000000000001</v>
      </c>
      <c r="AM601">
        <v>0</v>
      </c>
      <c r="AN601">
        <v>95.791000000000011</v>
      </c>
      <c r="AO601">
        <v>0</v>
      </c>
      <c r="AP601">
        <v>0</v>
      </c>
      <c r="AQ601">
        <v>0</v>
      </c>
      <c r="AR601">
        <v>69.433000000000007</v>
      </c>
      <c r="AS601">
        <v>0</v>
      </c>
      <c r="AT601">
        <v>29.26</v>
      </c>
      <c r="AU601">
        <v>7.1750000000000007</v>
      </c>
      <c r="AV601">
        <v>0</v>
      </c>
      <c r="AW601">
        <v>107.77</v>
      </c>
      <c r="AX601">
        <v>0</v>
      </c>
      <c r="AY601">
        <v>341.464</v>
      </c>
      <c r="AZ601">
        <v>0</v>
      </c>
      <c r="BA601">
        <v>33960244</v>
      </c>
      <c r="BB601">
        <v>10163058</v>
      </c>
      <c r="BC601">
        <v>0</v>
      </c>
      <c r="BD601">
        <v>87885</v>
      </c>
      <c r="BE601">
        <v>14070</v>
      </c>
      <c r="BF601">
        <v>195809</v>
      </c>
      <c r="BG601">
        <v>87885</v>
      </c>
      <c r="BH601">
        <v>93854</v>
      </c>
      <c r="BI601">
        <v>0</v>
      </c>
      <c r="BJ601">
        <v>0</v>
      </c>
      <c r="BK601">
        <v>0</v>
      </c>
      <c r="BL601">
        <v>812177553</v>
      </c>
      <c r="BM601">
        <v>0</v>
      </c>
      <c r="BN601">
        <v>17172</v>
      </c>
      <c r="BO601">
        <v>11620</v>
      </c>
      <c r="BP601">
        <v>0</v>
      </c>
      <c r="BQ601">
        <v>0</v>
      </c>
      <c r="BR601">
        <v>0.82200000000000006</v>
      </c>
      <c r="BS601">
        <v>0.82200000000000006</v>
      </c>
      <c r="BT601">
        <v>0</v>
      </c>
      <c r="BU601">
        <v>0</v>
      </c>
      <c r="BV601">
        <v>133</v>
      </c>
      <c r="BW601">
        <v>58</v>
      </c>
      <c r="BX601">
        <v>820</v>
      </c>
      <c r="BY601">
        <v>2476</v>
      </c>
      <c r="BZ601">
        <v>183</v>
      </c>
      <c r="CA601">
        <v>3670</v>
      </c>
      <c r="CB601">
        <v>0</v>
      </c>
      <c r="CC601">
        <v>0</v>
      </c>
      <c r="CD601">
        <v>0</v>
      </c>
      <c r="CE601">
        <v>74</v>
      </c>
      <c r="CF601">
        <v>1471.2520000000002</v>
      </c>
      <c r="CG601">
        <v>0</v>
      </c>
      <c r="CH601">
        <v>0</v>
      </c>
      <c r="CI601">
        <v>69</v>
      </c>
      <c r="CJ601">
        <v>6</v>
      </c>
      <c r="CK601">
        <v>2</v>
      </c>
      <c r="CL601">
        <v>0</v>
      </c>
      <c r="CM601">
        <v>2452.1790000000001</v>
      </c>
      <c r="CN601">
        <v>0</v>
      </c>
      <c r="CO601">
        <v>0</v>
      </c>
      <c r="CP601">
        <v>0</v>
      </c>
      <c r="CQ601">
        <v>0</v>
      </c>
      <c r="CR601">
        <v>0</v>
      </c>
      <c r="CS601">
        <v>0</v>
      </c>
      <c r="CT601">
        <v>0</v>
      </c>
      <c r="CU601">
        <v>0</v>
      </c>
      <c r="CV601">
        <v>177.44200000000001</v>
      </c>
      <c r="CW601">
        <v>34.057000000000002</v>
      </c>
      <c r="CX601">
        <v>0</v>
      </c>
      <c r="CY601" s="2043">
        <v>0</v>
      </c>
      <c r="CZ601" s="2043">
        <v>0</v>
      </c>
      <c r="DA601" s="2043">
        <v>0</v>
      </c>
      <c r="DB601" s="2043">
        <v>0</v>
      </c>
      <c r="DC601" s="2043">
        <v>0</v>
      </c>
      <c r="DI601" t="s">
        <v>3047</v>
      </c>
      <c r="DJ601" t="s">
        <v>3047</v>
      </c>
      <c r="DK601" s="2042">
        <f t="shared" si="11"/>
        <v>0</v>
      </c>
    </row>
    <row r="602" spans="1:115">
      <c r="A602" t="s">
        <v>8509</v>
      </c>
      <c r="B602" t="s">
        <v>11368</v>
      </c>
      <c r="C602">
        <v>0</v>
      </c>
      <c r="D602">
        <v>0</v>
      </c>
      <c r="E602">
        <v>0</v>
      </c>
      <c r="F602">
        <v>0</v>
      </c>
      <c r="G602" s="2043">
        <v>0</v>
      </c>
      <c r="H602">
        <v>0</v>
      </c>
      <c r="I602" s="2043">
        <v>0</v>
      </c>
      <c r="J602">
        <v>0</v>
      </c>
      <c r="K602">
        <v>0</v>
      </c>
      <c r="L602">
        <v>0</v>
      </c>
      <c r="M602">
        <v>0</v>
      </c>
      <c r="N602">
        <v>0</v>
      </c>
      <c r="O602">
        <v>0</v>
      </c>
      <c r="P602">
        <v>0</v>
      </c>
      <c r="Q602">
        <v>0</v>
      </c>
      <c r="R602" s="2043">
        <v>0</v>
      </c>
      <c r="S602">
        <v>0</v>
      </c>
      <c r="T602">
        <v>0</v>
      </c>
      <c r="U602">
        <v>0</v>
      </c>
      <c r="V602">
        <v>0</v>
      </c>
      <c r="W602">
        <v>0</v>
      </c>
      <c r="X602">
        <v>0</v>
      </c>
      <c r="Y602">
        <v>566650</v>
      </c>
      <c r="Z602">
        <v>0</v>
      </c>
      <c r="AA602">
        <v>0</v>
      </c>
      <c r="AB602">
        <v>0</v>
      </c>
      <c r="AC602" s="2043">
        <v>0</v>
      </c>
      <c r="AD602">
        <v>0</v>
      </c>
      <c r="AE602" s="2043">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566650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s="2043">
        <v>0</v>
      </c>
      <c r="CZ602" s="2043">
        <v>0</v>
      </c>
      <c r="DA602" s="2043">
        <v>0</v>
      </c>
      <c r="DB602" s="2043">
        <v>0</v>
      </c>
      <c r="DC602" s="2043">
        <v>0</v>
      </c>
      <c r="DI602" t="s">
        <v>8509</v>
      </c>
      <c r="DJ602" t="s">
        <v>8509</v>
      </c>
      <c r="DK602" s="2042">
        <f t="shared" si="11"/>
        <v>0</v>
      </c>
    </row>
    <row r="603" spans="1:115">
      <c r="A603" t="s">
        <v>3048</v>
      </c>
      <c r="B603" t="s">
        <v>140</v>
      </c>
      <c r="C603">
        <v>263.75700000000001</v>
      </c>
      <c r="D603">
        <v>263.83300000000003</v>
      </c>
      <c r="E603">
        <v>1.7650000000000001</v>
      </c>
      <c r="F603">
        <v>0</v>
      </c>
      <c r="G603" s="2043">
        <v>115843601</v>
      </c>
      <c r="H603">
        <v>0</v>
      </c>
      <c r="I603" s="2043">
        <v>320112</v>
      </c>
      <c r="J603">
        <v>13.188000000000001</v>
      </c>
      <c r="K603">
        <v>36</v>
      </c>
      <c r="L603">
        <v>17255</v>
      </c>
      <c r="M603">
        <v>82745</v>
      </c>
      <c r="N603">
        <v>17255</v>
      </c>
      <c r="O603">
        <v>100000</v>
      </c>
      <c r="P603">
        <v>0</v>
      </c>
      <c r="Q603">
        <v>0</v>
      </c>
      <c r="R603" s="2043">
        <v>957119</v>
      </c>
      <c r="S603">
        <v>92064</v>
      </c>
      <c r="T603">
        <v>23476</v>
      </c>
      <c r="U603">
        <v>0.08</v>
      </c>
      <c r="V603">
        <v>0</v>
      </c>
      <c r="W603">
        <v>0</v>
      </c>
      <c r="X603">
        <v>0</v>
      </c>
      <c r="Y603">
        <v>0</v>
      </c>
      <c r="Z603">
        <v>0</v>
      </c>
      <c r="AA603">
        <v>0</v>
      </c>
      <c r="AB603">
        <v>258.49799999999999</v>
      </c>
      <c r="AC603" s="2043">
        <v>101520191</v>
      </c>
      <c r="AD603">
        <v>326147</v>
      </c>
      <c r="AE603" s="2043">
        <v>1072659</v>
      </c>
      <c r="AF603">
        <v>0.93210000000000004</v>
      </c>
      <c r="AG603">
        <v>0</v>
      </c>
      <c r="AH603">
        <v>0</v>
      </c>
      <c r="AI603">
        <v>0</v>
      </c>
      <c r="AJ603">
        <v>16.399999999999999</v>
      </c>
      <c r="AK603">
        <v>1566</v>
      </c>
      <c r="AL603">
        <v>0</v>
      </c>
      <c r="AM603">
        <v>0</v>
      </c>
      <c r="AN603">
        <v>7.665</v>
      </c>
      <c r="AO603">
        <v>0</v>
      </c>
      <c r="AP603">
        <v>0</v>
      </c>
      <c r="AQ603">
        <v>0</v>
      </c>
      <c r="AR603">
        <v>9.4820000000000011</v>
      </c>
      <c r="AS603">
        <v>0</v>
      </c>
      <c r="AT603">
        <v>1.6080000000000001</v>
      </c>
      <c r="AU603">
        <v>0.50800000000000001</v>
      </c>
      <c r="AV603">
        <v>0</v>
      </c>
      <c r="AW603">
        <v>11.598000000000001</v>
      </c>
      <c r="AX603">
        <v>0</v>
      </c>
      <c r="AY603">
        <v>35.81</v>
      </c>
      <c r="AZ603">
        <v>0</v>
      </c>
      <c r="BA603">
        <v>2485217</v>
      </c>
      <c r="BB603">
        <v>1398806</v>
      </c>
      <c r="BC603">
        <v>816</v>
      </c>
      <c r="BD603">
        <v>15595</v>
      </c>
      <c r="BE603">
        <v>1266</v>
      </c>
      <c r="BF603">
        <v>17677</v>
      </c>
      <c r="BG603">
        <v>16411</v>
      </c>
      <c r="BH603">
        <v>0</v>
      </c>
      <c r="BI603">
        <v>0</v>
      </c>
      <c r="BJ603">
        <v>0</v>
      </c>
      <c r="BK603">
        <v>0</v>
      </c>
      <c r="BL603">
        <v>115843601</v>
      </c>
      <c r="BM603">
        <v>0</v>
      </c>
      <c r="BN603">
        <v>918</v>
      </c>
      <c r="BO603">
        <v>824</v>
      </c>
      <c r="BP603">
        <v>0</v>
      </c>
      <c r="BQ603">
        <v>0</v>
      </c>
      <c r="BR603">
        <v>0.83169999999999999</v>
      </c>
      <c r="BS603">
        <v>0.83169999999999999</v>
      </c>
      <c r="BT603">
        <v>0</v>
      </c>
      <c r="BU603">
        <v>0</v>
      </c>
      <c r="BV603">
        <v>24</v>
      </c>
      <c r="BW603">
        <v>41</v>
      </c>
      <c r="BX603">
        <v>4</v>
      </c>
      <c r="BY603">
        <v>1</v>
      </c>
      <c r="BZ603">
        <v>0</v>
      </c>
      <c r="CA603">
        <v>70</v>
      </c>
      <c r="CB603">
        <v>0</v>
      </c>
      <c r="CC603">
        <v>0</v>
      </c>
      <c r="CD603">
        <v>0</v>
      </c>
      <c r="CE603">
        <v>18</v>
      </c>
      <c r="CF603">
        <v>27.677</v>
      </c>
      <c r="CG603">
        <v>0</v>
      </c>
      <c r="CH603">
        <v>0</v>
      </c>
      <c r="CI603">
        <v>1</v>
      </c>
      <c r="CJ603">
        <v>6</v>
      </c>
      <c r="CK603">
        <v>0</v>
      </c>
      <c r="CL603">
        <v>0</v>
      </c>
      <c r="CM603">
        <v>1.7650000000000001</v>
      </c>
      <c r="CN603">
        <v>0</v>
      </c>
      <c r="CO603">
        <v>0</v>
      </c>
      <c r="CP603">
        <v>0</v>
      </c>
      <c r="CQ603">
        <v>0</v>
      </c>
      <c r="CR603">
        <v>0</v>
      </c>
      <c r="CS603">
        <v>0</v>
      </c>
      <c r="CT603">
        <v>0</v>
      </c>
      <c r="CU603">
        <v>1.784</v>
      </c>
      <c r="CV603">
        <v>12.854000000000001</v>
      </c>
      <c r="CW603">
        <v>11.450000000000001</v>
      </c>
      <c r="CX603">
        <v>0</v>
      </c>
      <c r="CY603" s="2043">
        <v>0</v>
      </c>
      <c r="CZ603" s="2043">
        <v>0</v>
      </c>
      <c r="DA603" s="2043">
        <v>0</v>
      </c>
      <c r="DB603" s="2043">
        <v>0</v>
      </c>
      <c r="DC603" s="2043">
        <v>0</v>
      </c>
      <c r="DI603" t="s">
        <v>3048</v>
      </c>
      <c r="DJ603" t="s">
        <v>3048</v>
      </c>
      <c r="DK603" s="2042">
        <f t="shared" si="11"/>
        <v>0</v>
      </c>
    </row>
    <row r="604" spans="1:115">
      <c r="A604" t="s">
        <v>3049</v>
      </c>
      <c r="B604" t="s">
        <v>2369</v>
      </c>
      <c r="C604">
        <v>173.38400000000001</v>
      </c>
      <c r="D604">
        <v>202.80700000000002</v>
      </c>
      <c r="E604">
        <v>11.124000000000001</v>
      </c>
      <c r="F604">
        <v>0</v>
      </c>
      <c r="G604" s="2043">
        <v>111163290</v>
      </c>
      <c r="H604">
        <v>0</v>
      </c>
      <c r="I604" s="2043">
        <v>168357</v>
      </c>
      <c r="J604">
        <v>6</v>
      </c>
      <c r="K604">
        <v>16</v>
      </c>
      <c r="L604">
        <v>18157</v>
      </c>
      <c r="M604">
        <v>69993</v>
      </c>
      <c r="N604">
        <v>18157</v>
      </c>
      <c r="O604">
        <v>88150</v>
      </c>
      <c r="P604">
        <v>0</v>
      </c>
      <c r="Q604">
        <v>0</v>
      </c>
      <c r="R604" s="2043">
        <v>893464</v>
      </c>
      <c r="S604">
        <v>86955</v>
      </c>
      <c r="T604">
        <v>63369</v>
      </c>
      <c r="U604">
        <v>0.08</v>
      </c>
      <c r="V604">
        <v>0</v>
      </c>
      <c r="W604">
        <v>0</v>
      </c>
      <c r="X604">
        <v>0</v>
      </c>
      <c r="Y604">
        <v>0</v>
      </c>
      <c r="Z604">
        <v>0</v>
      </c>
      <c r="AA604">
        <v>0</v>
      </c>
      <c r="AB604">
        <v>190.78</v>
      </c>
      <c r="AC604" s="2043">
        <v>92966952</v>
      </c>
      <c r="AD604">
        <v>160133</v>
      </c>
      <c r="AE604" s="2043">
        <v>1043788</v>
      </c>
      <c r="AF604">
        <v>0.96030000000000004</v>
      </c>
      <c r="AG604">
        <v>0</v>
      </c>
      <c r="AH604">
        <v>0</v>
      </c>
      <c r="AI604">
        <v>0</v>
      </c>
      <c r="AJ604">
        <v>25.1</v>
      </c>
      <c r="AK604">
        <v>1627</v>
      </c>
      <c r="AL604">
        <v>0</v>
      </c>
      <c r="AM604">
        <v>0</v>
      </c>
      <c r="AN604">
        <v>8.0060000000000002</v>
      </c>
      <c r="AO604">
        <v>0</v>
      </c>
      <c r="AP604">
        <v>0</v>
      </c>
      <c r="AQ604">
        <v>0</v>
      </c>
      <c r="AR604">
        <v>10.046000000000001</v>
      </c>
      <c r="AS604">
        <v>0</v>
      </c>
      <c r="AT604">
        <v>0.46500000000000002</v>
      </c>
      <c r="AU604">
        <v>0.92200000000000004</v>
      </c>
      <c r="AV604">
        <v>0</v>
      </c>
      <c r="AW604">
        <v>11.433</v>
      </c>
      <c r="AX604">
        <v>0</v>
      </c>
      <c r="AY604">
        <v>36.143000000000001</v>
      </c>
      <c r="AZ604">
        <v>0</v>
      </c>
      <c r="BA604">
        <v>1722514</v>
      </c>
      <c r="BB604">
        <v>1203921</v>
      </c>
      <c r="BC604">
        <v>0</v>
      </c>
      <c r="BD604">
        <v>32176</v>
      </c>
      <c r="BE604">
        <v>10842</v>
      </c>
      <c r="BF604">
        <v>43018</v>
      </c>
      <c r="BG604">
        <v>32176</v>
      </c>
      <c r="BH604">
        <v>0</v>
      </c>
      <c r="BI604">
        <v>0</v>
      </c>
      <c r="BJ604">
        <v>0</v>
      </c>
      <c r="BK604">
        <v>0</v>
      </c>
      <c r="BL604">
        <v>111163290</v>
      </c>
      <c r="BM604">
        <v>0</v>
      </c>
      <c r="BN604">
        <v>693</v>
      </c>
      <c r="BO604">
        <v>514</v>
      </c>
      <c r="BP604">
        <v>0</v>
      </c>
      <c r="BQ604">
        <v>0</v>
      </c>
      <c r="BR604">
        <v>0.82200000000000006</v>
      </c>
      <c r="BS604">
        <v>0.82200000000000006</v>
      </c>
      <c r="BT604">
        <v>0</v>
      </c>
      <c r="BU604">
        <v>0</v>
      </c>
      <c r="BV604">
        <v>56</v>
      </c>
      <c r="BW604">
        <v>19</v>
      </c>
      <c r="BX604">
        <v>5</v>
      </c>
      <c r="BY604">
        <v>11</v>
      </c>
      <c r="BZ604">
        <v>14</v>
      </c>
      <c r="CA604">
        <v>105</v>
      </c>
      <c r="CB604">
        <v>0</v>
      </c>
      <c r="CC604">
        <v>0.99399999999999999</v>
      </c>
      <c r="CD604">
        <v>0</v>
      </c>
      <c r="CE604">
        <v>26</v>
      </c>
      <c r="CF604">
        <v>29.872</v>
      </c>
      <c r="CG604">
        <v>0</v>
      </c>
      <c r="CH604">
        <v>0</v>
      </c>
      <c r="CI604">
        <v>1</v>
      </c>
      <c r="CJ604">
        <v>1</v>
      </c>
      <c r="CK604">
        <v>1</v>
      </c>
      <c r="CL604">
        <v>0</v>
      </c>
      <c r="CM604">
        <v>11.124000000000001</v>
      </c>
      <c r="CN604">
        <v>0</v>
      </c>
      <c r="CO604">
        <v>0</v>
      </c>
      <c r="CP604">
        <v>0</v>
      </c>
      <c r="CQ604">
        <v>0</v>
      </c>
      <c r="CR604">
        <v>0</v>
      </c>
      <c r="CS604">
        <v>0</v>
      </c>
      <c r="CT604">
        <v>0</v>
      </c>
      <c r="CU604">
        <v>0</v>
      </c>
      <c r="CV604">
        <v>13.803000000000001</v>
      </c>
      <c r="CW604">
        <v>9.173</v>
      </c>
      <c r="CX604">
        <v>0</v>
      </c>
      <c r="CY604" s="2043">
        <v>0</v>
      </c>
      <c r="CZ604" s="2043">
        <v>0</v>
      </c>
      <c r="DA604" s="2043">
        <v>0</v>
      </c>
      <c r="DB604" s="2043">
        <v>0</v>
      </c>
      <c r="DC604" s="2043">
        <v>0</v>
      </c>
      <c r="DI604" t="s">
        <v>3049</v>
      </c>
      <c r="DJ604" t="s">
        <v>3049</v>
      </c>
      <c r="DK604" s="2042">
        <f t="shared" si="11"/>
        <v>0</v>
      </c>
    </row>
    <row r="605" spans="1:115">
      <c r="A605" t="s">
        <v>4185</v>
      </c>
      <c r="B605" t="s">
        <v>2264</v>
      </c>
      <c r="C605">
        <v>276.78200000000004</v>
      </c>
      <c r="D605">
        <v>283.40899999999999</v>
      </c>
      <c r="E605">
        <v>15.205</v>
      </c>
      <c r="F605">
        <v>0</v>
      </c>
      <c r="G605" s="2043">
        <v>115083903</v>
      </c>
      <c r="H605">
        <v>0</v>
      </c>
      <c r="I605" s="2043">
        <v>114082</v>
      </c>
      <c r="J605">
        <v>13.839</v>
      </c>
      <c r="K605">
        <v>38</v>
      </c>
      <c r="L605">
        <v>0</v>
      </c>
      <c r="M605">
        <v>0</v>
      </c>
      <c r="N605">
        <v>0</v>
      </c>
      <c r="O605">
        <v>0</v>
      </c>
      <c r="P605">
        <v>0</v>
      </c>
      <c r="Q605">
        <v>0</v>
      </c>
      <c r="R605" s="2043">
        <v>947488</v>
      </c>
      <c r="S605">
        <v>92213</v>
      </c>
      <c r="T605">
        <v>67200</v>
      </c>
      <c r="U605">
        <v>0.08</v>
      </c>
      <c r="V605">
        <v>0</v>
      </c>
      <c r="W605">
        <v>0</v>
      </c>
      <c r="X605">
        <v>0</v>
      </c>
      <c r="Y605">
        <v>0</v>
      </c>
      <c r="Z605">
        <v>4.7620000000000005</v>
      </c>
      <c r="AA605">
        <v>0</v>
      </c>
      <c r="AB605">
        <v>268.92599999999999</v>
      </c>
      <c r="AC605" s="2043">
        <v>97187036</v>
      </c>
      <c r="AD605">
        <v>125686</v>
      </c>
      <c r="AE605" s="2043">
        <v>1106901</v>
      </c>
      <c r="AF605">
        <v>0.96030000000000004</v>
      </c>
      <c r="AG605">
        <v>0</v>
      </c>
      <c r="AH605">
        <v>0</v>
      </c>
      <c r="AI605">
        <v>0</v>
      </c>
      <c r="AJ605">
        <v>35.950000000000003</v>
      </c>
      <c r="AK605">
        <v>1658</v>
      </c>
      <c r="AL605">
        <v>0</v>
      </c>
      <c r="AM605">
        <v>0</v>
      </c>
      <c r="AN605">
        <v>13.942</v>
      </c>
      <c r="AO605">
        <v>0</v>
      </c>
      <c r="AP605">
        <v>0</v>
      </c>
      <c r="AQ605">
        <v>0</v>
      </c>
      <c r="AR605">
        <v>7.9130000000000003</v>
      </c>
      <c r="AS605">
        <v>0</v>
      </c>
      <c r="AT605">
        <v>0.88700000000000001</v>
      </c>
      <c r="AU605">
        <v>0.998</v>
      </c>
      <c r="AV605">
        <v>0</v>
      </c>
      <c r="AW605">
        <v>9.798</v>
      </c>
      <c r="AX605">
        <v>0</v>
      </c>
      <c r="AY605">
        <v>31.39</v>
      </c>
      <c r="AZ605">
        <v>0</v>
      </c>
      <c r="BA605">
        <v>2952484</v>
      </c>
      <c r="BB605">
        <v>1232587</v>
      </c>
      <c r="BC605">
        <v>0</v>
      </c>
      <c r="BD605">
        <v>64817</v>
      </c>
      <c r="BE605">
        <v>27049</v>
      </c>
      <c r="BF605">
        <v>94683</v>
      </c>
      <c r="BG605">
        <v>64817</v>
      </c>
      <c r="BH605">
        <v>2817</v>
      </c>
      <c r="BI605">
        <v>0</v>
      </c>
      <c r="BJ605">
        <v>0</v>
      </c>
      <c r="BK605">
        <v>0</v>
      </c>
      <c r="BL605">
        <v>115083903</v>
      </c>
      <c r="BM605">
        <v>0</v>
      </c>
      <c r="BN605">
        <v>990</v>
      </c>
      <c r="BO605">
        <v>653</v>
      </c>
      <c r="BP605">
        <v>0</v>
      </c>
      <c r="BQ605">
        <v>0</v>
      </c>
      <c r="BR605">
        <v>0.82200000000000006</v>
      </c>
      <c r="BS605">
        <v>0.82200000000000006</v>
      </c>
      <c r="BT605">
        <v>0</v>
      </c>
      <c r="BU605">
        <v>0</v>
      </c>
      <c r="BV605">
        <v>19</v>
      </c>
      <c r="BW605">
        <v>127</v>
      </c>
      <c r="BX605">
        <v>5</v>
      </c>
      <c r="BY605">
        <v>1</v>
      </c>
      <c r="BZ605">
        <v>0</v>
      </c>
      <c r="CA605">
        <v>152</v>
      </c>
      <c r="CB605">
        <v>0</v>
      </c>
      <c r="CC605">
        <v>0</v>
      </c>
      <c r="CD605">
        <v>0</v>
      </c>
      <c r="CE605">
        <v>9</v>
      </c>
      <c r="CF605">
        <v>57.081000000000003</v>
      </c>
      <c r="CG605">
        <v>0</v>
      </c>
      <c r="CH605">
        <v>0</v>
      </c>
      <c r="CI605">
        <v>0</v>
      </c>
      <c r="CJ605">
        <v>1</v>
      </c>
      <c r="CK605">
        <v>0</v>
      </c>
      <c r="CL605">
        <v>0</v>
      </c>
      <c r="CM605">
        <v>15.205</v>
      </c>
      <c r="CN605">
        <v>0</v>
      </c>
      <c r="CO605">
        <v>0</v>
      </c>
      <c r="CP605">
        <v>0</v>
      </c>
      <c r="CQ605">
        <v>0</v>
      </c>
      <c r="CR605">
        <v>0</v>
      </c>
      <c r="CS605">
        <v>0</v>
      </c>
      <c r="CT605">
        <v>0</v>
      </c>
      <c r="CU605">
        <v>0</v>
      </c>
      <c r="CV605">
        <v>22.489000000000001</v>
      </c>
      <c r="CW605">
        <v>3.6320000000000001</v>
      </c>
      <c r="CX605">
        <v>0</v>
      </c>
      <c r="CY605" s="2043">
        <v>0</v>
      </c>
      <c r="CZ605" s="2043">
        <v>0</v>
      </c>
      <c r="DA605" s="2043">
        <v>0</v>
      </c>
      <c r="DB605" s="2043">
        <v>0</v>
      </c>
      <c r="DC605" s="2043">
        <v>0</v>
      </c>
      <c r="DI605" t="s">
        <v>4185</v>
      </c>
      <c r="DJ605" t="s">
        <v>4185</v>
      </c>
      <c r="DK605" s="2042">
        <f t="shared" si="11"/>
        <v>0</v>
      </c>
    </row>
    <row r="606" spans="1:115">
      <c r="A606" t="s">
        <v>3050</v>
      </c>
      <c r="B606" t="s">
        <v>1763</v>
      </c>
      <c r="C606">
        <v>1731.6650000000002</v>
      </c>
      <c r="D606">
        <v>1740.7420000000002</v>
      </c>
      <c r="E606">
        <v>285.08600000000001</v>
      </c>
      <c r="F606">
        <v>0</v>
      </c>
      <c r="G606" s="2043">
        <v>779636148</v>
      </c>
      <c r="H606">
        <v>0</v>
      </c>
      <c r="I606" s="2043">
        <v>3332372</v>
      </c>
      <c r="J606">
        <v>86.582999999999998</v>
      </c>
      <c r="K606">
        <v>237</v>
      </c>
      <c r="L606">
        <v>0</v>
      </c>
      <c r="M606">
        <v>822244</v>
      </c>
      <c r="N606">
        <v>0</v>
      </c>
      <c r="O606">
        <v>822244</v>
      </c>
      <c r="P606">
        <v>0</v>
      </c>
      <c r="Q606">
        <v>0</v>
      </c>
      <c r="R606" s="2043">
        <v>7072093</v>
      </c>
      <c r="S606">
        <v>626542</v>
      </c>
      <c r="T606">
        <v>354780</v>
      </c>
      <c r="U606">
        <v>0.08</v>
      </c>
      <c r="V606">
        <v>598.44100000000003</v>
      </c>
      <c r="W606">
        <v>0</v>
      </c>
      <c r="X606">
        <v>0</v>
      </c>
      <c r="Y606">
        <v>0</v>
      </c>
      <c r="Z606">
        <v>0</v>
      </c>
      <c r="AA606">
        <v>0.26300000000000001</v>
      </c>
      <c r="AB606">
        <v>1718.9490000000001</v>
      </c>
      <c r="AC606" s="2043">
        <v>738649769</v>
      </c>
      <c r="AD606">
        <v>3441029</v>
      </c>
      <c r="AE606" s="2043">
        <v>8053415</v>
      </c>
      <c r="AF606">
        <v>1.0283</v>
      </c>
      <c r="AG606">
        <v>0</v>
      </c>
      <c r="AH606">
        <v>0</v>
      </c>
      <c r="AI606">
        <v>0</v>
      </c>
      <c r="AJ606">
        <v>366.56300000000005</v>
      </c>
      <c r="AK606">
        <v>7588</v>
      </c>
      <c r="AL606">
        <v>0.41300000000000003</v>
      </c>
      <c r="AM606">
        <v>0</v>
      </c>
      <c r="AN606">
        <v>107.643</v>
      </c>
      <c r="AO606">
        <v>0</v>
      </c>
      <c r="AP606">
        <v>0</v>
      </c>
      <c r="AQ606">
        <v>0</v>
      </c>
      <c r="AR606">
        <v>32.588999999999999</v>
      </c>
      <c r="AS606">
        <v>0</v>
      </c>
      <c r="AT606">
        <v>16.908000000000001</v>
      </c>
      <c r="AU606">
        <v>5.2629999999999999</v>
      </c>
      <c r="AV606">
        <v>0</v>
      </c>
      <c r="AW606">
        <v>58.26</v>
      </c>
      <c r="AX606">
        <v>3.0870000000000002</v>
      </c>
      <c r="AY606">
        <v>183.971</v>
      </c>
      <c r="AZ606">
        <v>0</v>
      </c>
      <c r="BA606">
        <v>12122747</v>
      </c>
      <c r="BB606">
        <v>11494444</v>
      </c>
      <c r="BC606">
        <v>0</v>
      </c>
      <c r="BD606">
        <v>94216</v>
      </c>
      <c r="BE606">
        <v>11145</v>
      </c>
      <c r="BF606">
        <v>159054</v>
      </c>
      <c r="BG606">
        <v>94216</v>
      </c>
      <c r="BH606">
        <v>53693</v>
      </c>
      <c r="BI606">
        <v>0</v>
      </c>
      <c r="BJ606">
        <v>0</v>
      </c>
      <c r="BK606">
        <v>0</v>
      </c>
      <c r="BL606">
        <v>779636148</v>
      </c>
      <c r="BM606">
        <v>0</v>
      </c>
      <c r="BN606">
        <v>6417</v>
      </c>
      <c r="BO606">
        <v>4954</v>
      </c>
      <c r="BP606">
        <v>0</v>
      </c>
      <c r="BQ606">
        <v>0</v>
      </c>
      <c r="BR606">
        <v>0.90300000000000002</v>
      </c>
      <c r="BS606">
        <v>0.90300000000000002</v>
      </c>
      <c r="BT606">
        <v>0</v>
      </c>
      <c r="BU606">
        <v>0</v>
      </c>
      <c r="BV606">
        <v>33</v>
      </c>
      <c r="BW606">
        <v>208</v>
      </c>
      <c r="BX606">
        <v>399</v>
      </c>
      <c r="BY606">
        <v>757</v>
      </c>
      <c r="BZ606">
        <v>41</v>
      </c>
      <c r="CA606">
        <v>1438</v>
      </c>
      <c r="CB606">
        <v>0</v>
      </c>
      <c r="CC606">
        <v>0</v>
      </c>
      <c r="CD606">
        <v>0</v>
      </c>
      <c r="CE606">
        <v>122</v>
      </c>
      <c r="CF606">
        <v>484.16</v>
      </c>
      <c r="CG606">
        <v>0</v>
      </c>
      <c r="CH606">
        <v>0</v>
      </c>
      <c r="CI606">
        <v>6</v>
      </c>
      <c r="CJ606">
        <v>5</v>
      </c>
      <c r="CK606">
        <v>0</v>
      </c>
      <c r="CL606">
        <v>0</v>
      </c>
      <c r="CM606">
        <v>285.08600000000001</v>
      </c>
      <c r="CN606">
        <v>0</v>
      </c>
      <c r="CO606">
        <v>0</v>
      </c>
      <c r="CP606">
        <v>0</v>
      </c>
      <c r="CQ606">
        <v>0</v>
      </c>
      <c r="CR606">
        <v>0</v>
      </c>
      <c r="CS606">
        <v>0</v>
      </c>
      <c r="CT606">
        <v>0</v>
      </c>
      <c r="CU606">
        <v>5.1580000000000004</v>
      </c>
      <c r="CV606">
        <v>141.62700000000001</v>
      </c>
      <c r="CW606">
        <v>74.835000000000008</v>
      </c>
      <c r="CX606">
        <v>0</v>
      </c>
      <c r="CY606" s="2043">
        <v>0</v>
      </c>
      <c r="CZ606" s="2043">
        <v>0</v>
      </c>
      <c r="DA606" s="2043">
        <v>0</v>
      </c>
      <c r="DB606" s="2043">
        <v>0</v>
      </c>
      <c r="DC606" s="2043">
        <v>0</v>
      </c>
      <c r="DI606" t="s">
        <v>3050</v>
      </c>
      <c r="DJ606" t="s">
        <v>3050</v>
      </c>
      <c r="DK606" s="2042">
        <f t="shared" si="11"/>
        <v>0</v>
      </c>
    </row>
    <row r="607" spans="1:115">
      <c r="A607" t="s">
        <v>3051</v>
      </c>
      <c r="B607" t="s">
        <v>484</v>
      </c>
      <c r="C607">
        <v>406.54500000000002</v>
      </c>
      <c r="D607">
        <v>375.99299999999999</v>
      </c>
      <c r="E607">
        <v>8.1210000000000004</v>
      </c>
      <c r="F607">
        <v>0</v>
      </c>
      <c r="G607" s="2043">
        <v>107346212</v>
      </c>
      <c r="H607">
        <v>0</v>
      </c>
      <c r="I607" s="2043">
        <v>628915</v>
      </c>
      <c r="J607">
        <v>20.327000000000002</v>
      </c>
      <c r="K607">
        <v>56</v>
      </c>
      <c r="L607">
        <v>66544</v>
      </c>
      <c r="M607">
        <v>230537</v>
      </c>
      <c r="N607">
        <v>66544</v>
      </c>
      <c r="O607">
        <v>297081</v>
      </c>
      <c r="P607">
        <v>0</v>
      </c>
      <c r="Q607">
        <v>0</v>
      </c>
      <c r="R607" s="2043">
        <v>944726</v>
      </c>
      <c r="S607">
        <v>88811</v>
      </c>
      <c r="T607">
        <v>64721</v>
      </c>
      <c r="U607">
        <v>0.08</v>
      </c>
      <c r="V607">
        <v>0</v>
      </c>
      <c r="W607">
        <v>0</v>
      </c>
      <c r="X607">
        <v>0</v>
      </c>
      <c r="Y607">
        <v>0</v>
      </c>
      <c r="Z607">
        <v>0</v>
      </c>
      <c r="AA607">
        <v>0</v>
      </c>
      <c r="AB607">
        <v>372.029</v>
      </c>
      <c r="AC607" s="2043">
        <v>88044702</v>
      </c>
      <c r="AD607">
        <v>536508</v>
      </c>
      <c r="AE607" s="2043">
        <v>1098258</v>
      </c>
      <c r="AF607">
        <v>0.98930000000000007</v>
      </c>
      <c r="AG607">
        <v>0</v>
      </c>
      <c r="AH607">
        <v>0</v>
      </c>
      <c r="AI607">
        <v>0</v>
      </c>
      <c r="AJ607">
        <v>60.313000000000002</v>
      </c>
      <c r="AK607">
        <v>2470</v>
      </c>
      <c r="AL607">
        <v>8.0000000000000002E-3</v>
      </c>
      <c r="AM607">
        <v>0</v>
      </c>
      <c r="AN607">
        <v>20.395</v>
      </c>
      <c r="AO607">
        <v>0</v>
      </c>
      <c r="AP607">
        <v>0.13300000000000001</v>
      </c>
      <c r="AQ607">
        <v>0</v>
      </c>
      <c r="AR607">
        <v>12.265000000000001</v>
      </c>
      <c r="AS607">
        <v>0</v>
      </c>
      <c r="AT607">
        <v>2.3010000000000002</v>
      </c>
      <c r="AU607">
        <v>1.0649999999999999</v>
      </c>
      <c r="AV607">
        <v>0</v>
      </c>
      <c r="AW607">
        <v>15.772</v>
      </c>
      <c r="AX607">
        <v>0</v>
      </c>
      <c r="AY607">
        <v>49.422000000000004</v>
      </c>
      <c r="AZ607">
        <v>0</v>
      </c>
      <c r="BA607">
        <v>4901016</v>
      </c>
      <c r="BB607">
        <v>1634766</v>
      </c>
      <c r="BC607">
        <v>0</v>
      </c>
      <c r="BD607">
        <v>25821</v>
      </c>
      <c r="BE607">
        <v>8059</v>
      </c>
      <c r="BF607">
        <v>33880</v>
      </c>
      <c r="BG607">
        <v>25821</v>
      </c>
      <c r="BH607">
        <v>0</v>
      </c>
      <c r="BI607">
        <v>0</v>
      </c>
      <c r="BJ607">
        <v>0</v>
      </c>
      <c r="BK607">
        <v>0</v>
      </c>
      <c r="BL607">
        <v>107346212</v>
      </c>
      <c r="BM607">
        <v>0</v>
      </c>
      <c r="BN607">
        <v>1359</v>
      </c>
      <c r="BO607">
        <v>803</v>
      </c>
      <c r="BP607">
        <v>0</v>
      </c>
      <c r="BQ607">
        <v>0</v>
      </c>
      <c r="BR607">
        <v>0.85100000000000009</v>
      </c>
      <c r="BS607">
        <v>0.85100000000000009</v>
      </c>
      <c r="BT607">
        <v>0</v>
      </c>
      <c r="BU607">
        <v>0</v>
      </c>
      <c r="BV607">
        <v>0</v>
      </c>
      <c r="BW607">
        <v>17</v>
      </c>
      <c r="BX607">
        <v>224</v>
      </c>
      <c r="BY607">
        <v>0</v>
      </c>
      <c r="BZ607">
        <v>1</v>
      </c>
      <c r="CA607">
        <v>242</v>
      </c>
      <c r="CB607">
        <v>0</v>
      </c>
      <c r="CC607">
        <v>0</v>
      </c>
      <c r="CD607">
        <v>0</v>
      </c>
      <c r="CE607">
        <v>51</v>
      </c>
      <c r="CF607">
        <v>75.14</v>
      </c>
      <c r="CG607">
        <v>0</v>
      </c>
      <c r="CH607">
        <v>0</v>
      </c>
      <c r="CI607">
        <v>1</v>
      </c>
      <c r="CJ607">
        <v>0</v>
      </c>
      <c r="CK607">
        <v>0</v>
      </c>
      <c r="CL607">
        <v>0</v>
      </c>
      <c r="CM607">
        <v>8.1210000000000004</v>
      </c>
      <c r="CN607">
        <v>0</v>
      </c>
      <c r="CO607">
        <v>0</v>
      </c>
      <c r="CP607">
        <v>0</v>
      </c>
      <c r="CQ607">
        <v>0</v>
      </c>
      <c r="CR607">
        <v>0</v>
      </c>
      <c r="CS607">
        <v>0</v>
      </c>
      <c r="CT607">
        <v>0</v>
      </c>
      <c r="CU607">
        <v>0</v>
      </c>
      <c r="CV607">
        <v>20.977</v>
      </c>
      <c r="CW607">
        <v>11.464</v>
      </c>
      <c r="CX607">
        <v>0</v>
      </c>
      <c r="CY607" s="2043">
        <v>0</v>
      </c>
      <c r="CZ607" s="2043">
        <v>0</v>
      </c>
      <c r="DA607" s="2043">
        <v>0</v>
      </c>
      <c r="DB607" s="2043">
        <v>0</v>
      </c>
      <c r="DC607" s="2043">
        <v>0</v>
      </c>
      <c r="DI607" t="s">
        <v>3051</v>
      </c>
      <c r="DJ607" t="s">
        <v>3051</v>
      </c>
      <c r="DK607" s="2042">
        <f t="shared" si="11"/>
        <v>0</v>
      </c>
    </row>
    <row r="608" spans="1:115">
      <c r="A608" t="s">
        <v>3052</v>
      </c>
      <c r="B608" t="s">
        <v>40</v>
      </c>
      <c r="C608">
        <v>582.86599999999999</v>
      </c>
      <c r="D608">
        <v>581.89700000000005</v>
      </c>
      <c r="E608">
        <v>99.573999999999998</v>
      </c>
      <c r="F608">
        <v>0</v>
      </c>
      <c r="G608" s="2043">
        <v>265054533</v>
      </c>
      <c r="H608">
        <v>0</v>
      </c>
      <c r="I608" s="2043">
        <v>693162</v>
      </c>
      <c r="J608">
        <v>29.143000000000001</v>
      </c>
      <c r="K608">
        <v>80</v>
      </c>
      <c r="L608">
        <v>0</v>
      </c>
      <c r="M608">
        <v>153617</v>
      </c>
      <c r="N608">
        <v>0</v>
      </c>
      <c r="O608">
        <v>153617</v>
      </c>
      <c r="P608">
        <v>0</v>
      </c>
      <c r="Q608">
        <v>0</v>
      </c>
      <c r="R608" s="2043">
        <v>2208329</v>
      </c>
      <c r="S608">
        <v>214923</v>
      </c>
      <c r="T608">
        <v>156624</v>
      </c>
      <c r="U608">
        <v>0.08</v>
      </c>
      <c r="V608">
        <v>0</v>
      </c>
      <c r="W608">
        <v>0</v>
      </c>
      <c r="X608">
        <v>0</v>
      </c>
      <c r="Y608">
        <v>0</v>
      </c>
      <c r="Z608">
        <v>0</v>
      </c>
      <c r="AA608">
        <v>0.127</v>
      </c>
      <c r="AB608">
        <v>574.70600000000002</v>
      </c>
      <c r="AC608" s="2043">
        <v>221418184</v>
      </c>
      <c r="AD608">
        <v>787333</v>
      </c>
      <c r="AE608" s="2043">
        <v>2579876</v>
      </c>
      <c r="AF608">
        <v>0.96030000000000004</v>
      </c>
      <c r="AG608">
        <v>0</v>
      </c>
      <c r="AH608">
        <v>0</v>
      </c>
      <c r="AI608">
        <v>0</v>
      </c>
      <c r="AJ608">
        <v>110.438</v>
      </c>
      <c r="AK608">
        <v>3047</v>
      </c>
      <c r="AL608">
        <v>0</v>
      </c>
      <c r="AM608">
        <v>0</v>
      </c>
      <c r="AN608">
        <v>16.394000000000002</v>
      </c>
      <c r="AO608">
        <v>0</v>
      </c>
      <c r="AP608">
        <v>0</v>
      </c>
      <c r="AQ608">
        <v>0</v>
      </c>
      <c r="AR608">
        <v>15.067</v>
      </c>
      <c r="AS608">
        <v>0</v>
      </c>
      <c r="AT608">
        <v>7.5940000000000003</v>
      </c>
      <c r="AU608">
        <v>1.246</v>
      </c>
      <c r="AV608">
        <v>0</v>
      </c>
      <c r="AW608">
        <v>23.907</v>
      </c>
      <c r="AX608">
        <v>0</v>
      </c>
      <c r="AY608">
        <v>74.213000000000008</v>
      </c>
      <c r="AZ608">
        <v>0</v>
      </c>
      <c r="BA608">
        <v>5681448</v>
      </c>
      <c r="BB608">
        <v>3367209</v>
      </c>
      <c r="BC608">
        <v>0</v>
      </c>
      <c r="BD608">
        <v>37516</v>
      </c>
      <c r="BE608">
        <v>12908</v>
      </c>
      <c r="BF608">
        <v>50424</v>
      </c>
      <c r="BG608">
        <v>37516</v>
      </c>
      <c r="BH608">
        <v>0</v>
      </c>
      <c r="BI608">
        <v>0</v>
      </c>
      <c r="BJ608">
        <v>0</v>
      </c>
      <c r="BK608">
        <v>0</v>
      </c>
      <c r="BL608">
        <v>265054533</v>
      </c>
      <c r="BM608">
        <v>0</v>
      </c>
      <c r="BN608">
        <v>2313</v>
      </c>
      <c r="BO608">
        <v>803</v>
      </c>
      <c r="BP608">
        <v>0</v>
      </c>
      <c r="BQ608">
        <v>0</v>
      </c>
      <c r="BR608">
        <v>0.82200000000000006</v>
      </c>
      <c r="BS608">
        <v>0.82200000000000006</v>
      </c>
      <c r="BT608">
        <v>0</v>
      </c>
      <c r="BU608">
        <v>0</v>
      </c>
      <c r="BV608">
        <v>1</v>
      </c>
      <c r="BW608">
        <v>218</v>
      </c>
      <c r="BX608">
        <v>212</v>
      </c>
      <c r="BY608">
        <v>5</v>
      </c>
      <c r="BZ608">
        <v>15</v>
      </c>
      <c r="CA608">
        <v>451</v>
      </c>
      <c r="CB608">
        <v>0</v>
      </c>
      <c r="CC608">
        <v>0</v>
      </c>
      <c r="CD608">
        <v>0</v>
      </c>
      <c r="CE608">
        <v>36</v>
      </c>
      <c r="CF608">
        <v>152.90800000000002</v>
      </c>
      <c r="CG608">
        <v>0</v>
      </c>
      <c r="CH608">
        <v>0</v>
      </c>
      <c r="CI608">
        <v>4</v>
      </c>
      <c r="CJ608">
        <v>3</v>
      </c>
      <c r="CK608">
        <v>0</v>
      </c>
      <c r="CL608">
        <v>0</v>
      </c>
      <c r="CM608">
        <v>99.573999999999998</v>
      </c>
      <c r="CN608">
        <v>0</v>
      </c>
      <c r="CO608">
        <v>0</v>
      </c>
      <c r="CP608">
        <v>0</v>
      </c>
      <c r="CQ608">
        <v>0</v>
      </c>
      <c r="CR608">
        <v>0</v>
      </c>
      <c r="CS608">
        <v>0</v>
      </c>
      <c r="CT608">
        <v>0</v>
      </c>
      <c r="CU608">
        <v>2.3E-2</v>
      </c>
      <c r="CV608">
        <v>49.145000000000003</v>
      </c>
      <c r="CW608">
        <v>24.413</v>
      </c>
      <c r="CX608">
        <v>0</v>
      </c>
      <c r="CY608" s="2043">
        <v>0</v>
      </c>
      <c r="CZ608" s="2043">
        <v>0</v>
      </c>
      <c r="DA608" s="2043">
        <v>0</v>
      </c>
      <c r="DB608" s="2043">
        <v>0</v>
      </c>
      <c r="DC608" s="2043">
        <v>0</v>
      </c>
      <c r="DI608" t="s">
        <v>3052</v>
      </c>
      <c r="DJ608" t="s">
        <v>3052</v>
      </c>
      <c r="DK608" s="2042">
        <f t="shared" si="11"/>
        <v>0</v>
      </c>
    </row>
    <row r="609" spans="1:115">
      <c r="A609" t="s">
        <v>3053</v>
      </c>
      <c r="B609" t="s">
        <v>141</v>
      </c>
      <c r="C609">
        <v>134.23099999999999</v>
      </c>
      <c r="D609">
        <v>148.63400000000001</v>
      </c>
      <c r="E609">
        <v>65.403000000000006</v>
      </c>
      <c r="F609">
        <v>0</v>
      </c>
      <c r="G609" s="2043">
        <v>57046971</v>
      </c>
      <c r="H609">
        <v>0</v>
      </c>
      <c r="I609" s="2043">
        <v>83360</v>
      </c>
      <c r="J609">
        <v>6.7120000000000006</v>
      </c>
      <c r="K609">
        <v>18</v>
      </c>
      <c r="L609">
        <v>108208</v>
      </c>
      <c r="M609">
        <v>33968</v>
      </c>
      <c r="N609">
        <v>49392</v>
      </c>
      <c r="O609">
        <v>83360</v>
      </c>
      <c r="P609">
        <v>40448</v>
      </c>
      <c r="Q609">
        <v>58816</v>
      </c>
      <c r="R609" s="2043">
        <v>461111</v>
      </c>
      <c r="S609">
        <v>42019</v>
      </c>
      <c r="T609">
        <v>30622</v>
      </c>
      <c r="U609">
        <v>0.08</v>
      </c>
      <c r="V609">
        <v>0</v>
      </c>
      <c r="W609">
        <v>0</v>
      </c>
      <c r="X609">
        <v>0</v>
      </c>
      <c r="Y609">
        <v>0</v>
      </c>
      <c r="Z609">
        <v>0</v>
      </c>
      <c r="AA609">
        <v>0</v>
      </c>
      <c r="AB609">
        <v>141.75900000000001</v>
      </c>
      <c r="AC609" s="2043">
        <v>54135989</v>
      </c>
      <c r="AD609">
        <v>34283</v>
      </c>
      <c r="AE609" s="2043">
        <v>533752</v>
      </c>
      <c r="AF609">
        <v>1.0162</v>
      </c>
      <c r="AG609">
        <v>0</v>
      </c>
      <c r="AH609">
        <v>0</v>
      </c>
      <c r="AI609">
        <v>0</v>
      </c>
      <c r="AJ609">
        <v>35.274999999999999</v>
      </c>
      <c r="AK609">
        <v>686</v>
      </c>
      <c r="AL609">
        <v>0</v>
      </c>
      <c r="AM609">
        <v>0</v>
      </c>
      <c r="AN609">
        <v>4.968</v>
      </c>
      <c r="AO609">
        <v>0</v>
      </c>
      <c r="AP609">
        <v>0</v>
      </c>
      <c r="AQ609">
        <v>0</v>
      </c>
      <c r="AR609">
        <v>3.6150000000000002</v>
      </c>
      <c r="AS609">
        <v>0</v>
      </c>
      <c r="AT609">
        <v>0</v>
      </c>
      <c r="AU609">
        <v>0.50600000000000001</v>
      </c>
      <c r="AV609">
        <v>0</v>
      </c>
      <c r="AW609">
        <v>4.1210000000000004</v>
      </c>
      <c r="AX609">
        <v>0</v>
      </c>
      <c r="AY609">
        <v>13.375</v>
      </c>
      <c r="AZ609">
        <v>0</v>
      </c>
      <c r="BA609">
        <v>1620197</v>
      </c>
      <c r="BB609">
        <v>568035</v>
      </c>
      <c r="BC609">
        <v>0</v>
      </c>
      <c r="BD609">
        <v>11160</v>
      </c>
      <c r="BE609">
        <v>0</v>
      </c>
      <c r="BF609">
        <v>11160</v>
      </c>
      <c r="BG609">
        <v>11160</v>
      </c>
      <c r="BH609">
        <v>0</v>
      </c>
      <c r="BI609">
        <v>0</v>
      </c>
      <c r="BJ609">
        <v>0</v>
      </c>
      <c r="BK609">
        <v>0</v>
      </c>
      <c r="BL609">
        <v>57046971</v>
      </c>
      <c r="BM609">
        <v>0</v>
      </c>
      <c r="BN609">
        <v>0</v>
      </c>
      <c r="BO609">
        <v>0</v>
      </c>
      <c r="BP609">
        <v>0</v>
      </c>
      <c r="BQ609">
        <v>0</v>
      </c>
      <c r="BR609">
        <v>0.87790000000000001</v>
      </c>
      <c r="BS609">
        <v>0.87790000000000001</v>
      </c>
      <c r="BT609">
        <v>0</v>
      </c>
      <c r="BU609">
        <v>0</v>
      </c>
      <c r="BV609">
        <v>4</v>
      </c>
      <c r="BW609">
        <v>37</v>
      </c>
      <c r="BX609">
        <v>32</v>
      </c>
      <c r="BY609">
        <v>67</v>
      </c>
      <c r="BZ609">
        <v>0</v>
      </c>
      <c r="CA609">
        <v>140</v>
      </c>
      <c r="CB609">
        <v>0</v>
      </c>
      <c r="CC609">
        <v>0</v>
      </c>
      <c r="CD609">
        <v>0</v>
      </c>
      <c r="CE609">
        <v>8</v>
      </c>
      <c r="CF609">
        <v>83.397000000000006</v>
      </c>
      <c r="CG609">
        <v>0</v>
      </c>
      <c r="CH609">
        <v>0</v>
      </c>
      <c r="CI609">
        <v>0</v>
      </c>
      <c r="CJ609">
        <v>0</v>
      </c>
      <c r="CK609">
        <v>0</v>
      </c>
      <c r="CL609">
        <v>0</v>
      </c>
      <c r="CM609">
        <v>65.403000000000006</v>
      </c>
      <c r="CN609">
        <v>0</v>
      </c>
      <c r="CO609">
        <v>0</v>
      </c>
      <c r="CP609">
        <v>0</v>
      </c>
      <c r="CQ609">
        <v>0</v>
      </c>
      <c r="CR609">
        <v>0</v>
      </c>
      <c r="CS609">
        <v>0</v>
      </c>
      <c r="CT609">
        <v>0</v>
      </c>
      <c r="CU609">
        <v>0</v>
      </c>
      <c r="CV609">
        <v>0</v>
      </c>
      <c r="CW609">
        <v>0</v>
      </c>
      <c r="CX609">
        <v>0</v>
      </c>
      <c r="CY609" s="2043">
        <v>0</v>
      </c>
      <c r="CZ609" s="2043">
        <v>0</v>
      </c>
      <c r="DA609" s="2043">
        <v>0</v>
      </c>
      <c r="DB609" s="2043">
        <v>0</v>
      </c>
      <c r="DC609" s="2043">
        <v>0</v>
      </c>
      <c r="DI609" t="s">
        <v>3053</v>
      </c>
      <c r="DJ609" t="s">
        <v>3053</v>
      </c>
      <c r="DK609" s="2042">
        <f t="shared" si="11"/>
        <v>0</v>
      </c>
    </row>
    <row r="610" spans="1:115">
      <c r="A610" t="s">
        <v>3054</v>
      </c>
      <c r="B610" t="s">
        <v>488</v>
      </c>
      <c r="C610">
        <v>166.12900000000002</v>
      </c>
      <c r="D610">
        <v>180.142</v>
      </c>
      <c r="E610">
        <v>4.7650000000000006</v>
      </c>
      <c r="F610">
        <v>0</v>
      </c>
      <c r="G610" s="2043">
        <v>39537991</v>
      </c>
      <c r="H610">
        <v>0</v>
      </c>
      <c r="I610" s="2043">
        <v>94839</v>
      </c>
      <c r="J610">
        <v>8.3060000000000009</v>
      </c>
      <c r="K610">
        <v>23</v>
      </c>
      <c r="L610">
        <v>60995</v>
      </c>
      <c r="M610">
        <v>24005</v>
      </c>
      <c r="N610">
        <v>60995</v>
      </c>
      <c r="O610">
        <v>85000</v>
      </c>
      <c r="P610">
        <v>0</v>
      </c>
      <c r="Q610">
        <v>0</v>
      </c>
      <c r="R610" s="2043">
        <v>334591</v>
      </c>
      <c r="S610">
        <v>31454</v>
      </c>
      <c r="T610">
        <v>22922</v>
      </c>
      <c r="U610">
        <v>0.08</v>
      </c>
      <c r="V610">
        <v>0</v>
      </c>
      <c r="W610">
        <v>0</v>
      </c>
      <c r="X610">
        <v>0</v>
      </c>
      <c r="Y610">
        <v>-426</v>
      </c>
      <c r="Z610">
        <v>0</v>
      </c>
      <c r="AA610">
        <v>0</v>
      </c>
      <c r="AB610">
        <v>161.988</v>
      </c>
      <c r="AC610" s="2043">
        <v>34433083</v>
      </c>
      <c r="AD610">
        <v>31351</v>
      </c>
      <c r="AE610" s="2043">
        <v>388967</v>
      </c>
      <c r="AF610">
        <v>0.98930000000000007</v>
      </c>
      <c r="AG610">
        <v>0</v>
      </c>
      <c r="AH610">
        <v>0</v>
      </c>
      <c r="AI610">
        <v>0</v>
      </c>
      <c r="AJ610">
        <v>34.450000000000003</v>
      </c>
      <c r="AK610">
        <v>1185</v>
      </c>
      <c r="AL610">
        <v>0</v>
      </c>
      <c r="AM610">
        <v>0</v>
      </c>
      <c r="AN610">
        <v>9.2220000000000013</v>
      </c>
      <c r="AO610">
        <v>0</v>
      </c>
      <c r="AP610">
        <v>0</v>
      </c>
      <c r="AQ610">
        <v>0</v>
      </c>
      <c r="AR610">
        <v>5.1320000000000006</v>
      </c>
      <c r="AS610">
        <v>0</v>
      </c>
      <c r="AT610">
        <v>1.4240000000000002</v>
      </c>
      <c r="AU610">
        <v>0.55200000000000005</v>
      </c>
      <c r="AV610">
        <v>0</v>
      </c>
      <c r="AW610">
        <v>7.1080000000000005</v>
      </c>
      <c r="AX610">
        <v>0</v>
      </c>
      <c r="AY610">
        <v>22.428000000000001</v>
      </c>
      <c r="AZ610">
        <v>0</v>
      </c>
      <c r="BA610">
        <v>2298122</v>
      </c>
      <c r="BB610">
        <v>420318</v>
      </c>
      <c r="BC610">
        <v>0</v>
      </c>
      <c r="BD610">
        <v>14276</v>
      </c>
      <c r="BE610">
        <v>18649</v>
      </c>
      <c r="BF610">
        <v>32925</v>
      </c>
      <c r="BG610">
        <v>14276</v>
      </c>
      <c r="BH610">
        <v>0</v>
      </c>
      <c r="BI610">
        <v>0</v>
      </c>
      <c r="BJ610">
        <v>-426</v>
      </c>
      <c r="BK610">
        <v>0</v>
      </c>
      <c r="BL610">
        <v>39537991</v>
      </c>
      <c r="BM610">
        <v>0</v>
      </c>
      <c r="BN610">
        <v>495</v>
      </c>
      <c r="BO610">
        <v>449</v>
      </c>
      <c r="BP610">
        <v>0</v>
      </c>
      <c r="BQ610">
        <v>0</v>
      </c>
      <c r="BR610">
        <v>0.85100000000000009</v>
      </c>
      <c r="BS610">
        <v>0.85100000000000009</v>
      </c>
      <c r="BT610">
        <v>0</v>
      </c>
      <c r="BU610">
        <v>0</v>
      </c>
      <c r="BV610">
        <v>0</v>
      </c>
      <c r="BW610">
        <v>28</v>
      </c>
      <c r="BX610">
        <v>107</v>
      </c>
      <c r="BY610">
        <v>4</v>
      </c>
      <c r="BZ610">
        <v>0</v>
      </c>
      <c r="CA610">
        <v>139</v>
      </c>
      <c r="CB610">
        <v>0</v>
      </c>
      <c r="CC610">
        <v>0</v>
      </c>
      <c r="CD610">
        <v>0</v>
      </c>
      <c r="CE610">
        <v>19</v>
      </c>
      <c r="CF610">
        <v>44.404000000000003</v>
      </c>
      <c r="CG610">
        <v>0</v>
      </c>
      <c r="CH610">
        <v>0</v>
      </c>
      <c r="CI610">
        <v>2</v>
      </c>
      <c r="CJ610">
        <v>0</v>
      </c>
      <c r="CK610">
        <v>0</v>
      </c>
      <c r="CL610">
        <v>0</v>
      </c>
      <c r="CM610">
        <v>4.7650000000000006</v>
      </c>
      <c r="CN610">
        <v>0</v>
      </c>
      <c r="CO610">
        <v>0</v>
      </c>
      <c r="CP610">
        <v>0</v>
      </c>
      <c r="CQ610">
        <v>0</v>
      </c>
      <c r="CR610">
        <v>0</v>
      </c>
      <c r="CS610">
        <v>0</v>
      </c>
      <c r="CT610">
        <v>0</v>
      </c>
      <c r="CU610">
        <v>1.22</v>
      </c>
      <c r="CV610">
        <v>11.63</v>
      </c>
      <c r="CW610">
        <v>4.6240000000000006</v>
      </c>
      <c r="CX610">
        <v>0</v>
      </c>
      <c r="CY610" s="2043">
        <v>0</v>
      </c>
      <c r="CZ610" s="2043">
        <v>0</v>
      </c>
      <c r="DA610" s="2043">
        <v>0</v>
      </c>
      <c r="DB610" s="2043">
        <v>0</v>
      </c>
      <c r="DC610" s="2043">
        <v>0</v>
      </c>
      <c r="DI610" t="s">
        <v>3054</v>
      </c>
      <c r="DJ610" t="s">
        <v>3054</v>
      </c>
      <c r="DK610" s="2042">
        <f t="shared" si="11"/>
        <v>0</v>
      </c>
    </row>
    <row r="611" spans="1:115">
      <c r="A611" t="s">
        <v>5092</v>
      </c>
      <c r="B611" t="s">
        <v>1472</v>
      </c>
      <c r="C611">
        <v>1333.75</v>
      </c>
      <c r="D611">
        <v>1356.809</v>
      </c>
      <c r="E611">
        <v>92.781000000000006</v>
      </c>
      <c r="F611">
        <v>0</v>
      </c>
      <c r="G611" s="2043">
        <v>746019617</v>
      </c>
      <c r="H611">
        <v>0</v>
      </c>
      <c r="I611" s="2043">
        <v>2378250</v>
      </c>
      <c r="J611">
        <v>66.688000000000002</v>
      </c>
      <c r="K611">
        <v>182</v>
      </c>
      <c r="L611">
        <v>0</v>
      </c>
      <c r="M611">
        <v>0</v>
      </c>
      <c r="N611">
        <v>0</v>
      </c>
      <c r="O611">
        <v>0</v>
      </c>
      <c r="P611">
        <v>0</v>
      </c>
      <c r="Q611">
        <v>0</v>
      </c>
      <c r="R611" s="2043">
        <v>6268379</v>
      </c>
      <c r="S611">
        <v>586035</v>
      </c>
      <c r="T611">
        <v>427073</v>
      </c>
      <c r="U611">
        <v>0.08</v>
      </c>
      <c r="V611">
        <v>0</v>
      </c>
      <c r="W611">
        <v>0</v>
      </c>
      <c r="X611">
        <v>0</v>
      </c>
      <c r="Y611">
        <v>-7356</v>
      </c>
      <c r="Z611">
        <v>0</v>
      </c>
      <c r="AA611">
        <v>0</v>
      </c>
      <c r="AB611">
        <v>1354.2370000000001</v>
      </c>
      <c r="AC611" s="2043">
        <v>653432041</v>
      </c>
      <c r="AD611">
        <v>2720000</v>
      </c>
      <c r="AE611" s="2043">
        <v>7281487</v>
      </c>
      <c r="AF611">
        <v>0.99399999999999999</v>
      </c>
      <c r="AG611">
        <v>0</v>
      </c>
      <c r="AH611">
        <v>0</v>
      </c>
      <c r="AI611">
        <v>0</v>
      </c>
      <c r="AJ611">
        <v>227.988</v>
      </c>
      <c r="AK611">
        <v>6509</v>
      </c>
      <c r="AL611">
        <v>0.17</v>
      </c>
      <c r="AM611">
        <v>0</v>
      </c>
      <c r="AN611">
        <v>47.962000000000003</v>
      </c>
      <c r="AO611">
        <v>0</v>
      </c>
      <c r="AP611">
        <v>0</v>
      </c>
      <c r="AQ611">
        <v>0</v>
      </c>
      <c r="AR611">
        <v>39.052</v>
      </c>
      <c r="AS611">
        <v>0</v>
      </c>
      <c r="AT611">
        <v>15.829000000000001</v>
      </c>
      <c r="AU611">
        <v>4.1180000000000003</v>
      </c>
      <c r="AV611">
        <v>0</v>
      </c>
      <c r="AW611">
        <v>61.728000000000002</v>
      </c>
      <c r="AX611">
        <v>2.5590000000000002</v>
      </c>
      <c r="AY611">
        <v>191.96900000000002</v>
      </c>
      <c r="AZ611">
        <v>0</v>
      </c>
      <c r="BA611">
        <v>7845022</v>
      </c>
      <c r="BB611">
        <v>10001487</v>
      </c>
      <c r="BC611">
        <v>0</v>
      </c>
      <c r="BD611">
        <v>99569</v>
      </c>
      <c r="BE611">
        <v>29683</v>
      </c>
      <c r="BF611">
        <v>129252</v>
      </c>
      <c r="BG611">
        <v>99569</v>
      </c>
      <c r="BH611">
        <v>0</v>
      </c>
      <c r="BI611">
        <v>0</v>
      </c>
      <c r="BJ611">
        <v>-7356</v>
      </c>
      <c r="BK611">
        <v>0</v>
      </c>
      <c r="BL611">
        <v>746019617</v>
      </c>
      <c r="BM611">
        <v>0</v>
      </c>
      <c r="BN611">
        <v>4581</v>
      </c>
      <c r="BO611">
        <v>1380</v>
      </c>
      <c r="BP611">
        <v>0</v>
      </c>
      <c r="BQ611">
        <v>0</v>
      </c>
      <c r="BR611">
        <v>0.85570000000000002</v>
      </c>
      <c r="BS611">
        <v>0.85570000000000002</v>
      </c>
      <c r="BT611">
        <v>0</v>
      </c>
      <c r="BU611">
        <v>0</v>
      </c>
      <c r="BV611">
        <v>351</v>
      </c>
      <c r="BW611">
        <v>301</v>
      </c>
      <c r="BX611">
        <v>89</v>
      </c>
      <c r="BY611">
        <v>0</v>
      </c>
      <c r="BZ611">
        <v>201</v>
      </c>
      <c r="CA611">
        <v>942</v>
      </c>
      <c r="CB611">
        <v>0</v>
      </c>
      <c r="CC611">
        <v>0</v>
      </c>
      <c r="CD611">
        <v>0</v>
      </c>
      <c r="CE611">
        <v>141</v>
      </c>
      <c r="CF611">
        <v>285.38900000000001</v>
      </c>
      <c r="CG611">
        <v>0</v>
      </c>
      <c r="CH611">
        <v>0</v>
      </c>
      <c r="CI611">
        <v>0</v>
      </c>
      <c r="CJ611">
        <v>9</v>
      </c>
      <c r="CK611">
        <v>0</v>
      </c>
      <c r="CL611">
        <v>0</v>
      </c>
      <c r="CM611">
        <v>92.781000000000006</v>
      </c>
      <c r="CN611">
        <v>0</v>
      </c>
      <c r="CO611">
        <v>0</v>
      </c>
      <c r="CP611">
        <v>0</v>
      </c>
      <c r="CQ611">
        <v>0</v>
      </c>
      <c r="CR611">
        <v>0</v>
      </c>
      <c r="CS611">
        <v>0</v>
      </c>
      <c r="CT611">
        <v>0</v>
      </c>
      <c r="CU611">
        <v>0</v>
      </c>
      <c r="CV611">
        <v>65.397999999999996</v>
      </c>
      <c r="CW611">
        <v>14.212000000000002</v>
      </c>
      <c r="CX611">
        <v>0</v>
      </c>
      <c r="CY611" s="2043">
        <v>0</v>
      </c>
      <c r="CZ611" s="2043">
        <v>0</v>
      </c>
      <c r="DA611" s="2043">
        <v>0</v>
      </c>
      <c r="DB611" s="2043">
        <v>0</v>
      </c>
      <c r="DC611" s="2043">
        <v>0</v>
      </c>
      <c r="DI611" t="s">
        <v>5092</v>
      </c>
      <c r="DJ611" t="s">
        <v>5092</v>
      </c>
      <c r="DK611" s="2042">
        <f t="shared" si="11"/>
        <v>0</v>
      </c>
    </row>
    <row r="612" spans="1:115">
      <c r="A612" t="s">
        <v>3055</v>
      </c>
      <c r="B612" t="s">
        <v>489</v>
      </c>
      <c r="C612">
        <v>300.64400000000001</v>
      </c>
      <c r="D612">
        <v>311.91200000000003</v>
      </c>
      <c r="E612">
        <v>18.374000000000002</v>
      </c>
      <c r="F612">
        <v>0</v>
      </c>
      <c r="G612" s="2043">
        <v>113107935</v>
      </c>
      <c r="H612">
        <v>0</v>
      </c>
      <c r="I612" s="2043">
        <v>207723</v>
      </c>
      <c r="J612">
        <v>15.032</v>
      </c>
      <c r="K612">
        <v>41</v>
      </c>
      <c r="L612">
        <v>17076</v>
      </c>
      <c r="M612">
        <v>71821</v>
      </c>
      <c r="N612">
        <v>17076</v>
      </c>
      <c r="O612">
        <v>88897</v>
      </c>
      <c r="P612">
        <v>0</v>
      </c>
      <c r="Q612">
        <v>0</v>
      </c>
      <c r="R612" s="2043">
        <v>930402</v>
      </c>
      <c r="S612">
        <v>90550</v>
      </c>
      <c r="T612">
        <v>65989</v>
      </c>
      <c r="U612">
        <v>0.08</v>
      </c>
      <c r="V612">
        <v>0</v>
      </c>
      <c r="W612">
        <v>0</v>
      </c>
      <c r="X612">
        <v>0</v>
      </c>
      <c r="Y612">
        <v>0</v>
      </c>
      <c r="Z612">
        <v>1.9340000000000002</v>
      </c>
      <c r="AA612">
        <v>0</v>
      </c>
      <c r="AB612">
        <v>299.03899999999999</v>
      </c>
      <c r="AC612" s="2043">
        <v>92332029</v>
      </c>
      <c r="AD612">
        <v>314660</v>
      </c>
      <c r="AE612" s="2043">
        <v>1086941</v>
      </c>
      <c r="AF612">
        <v>0.96030000000000004</v>
      </c>
      <c r="AG612">
        <v>0</v>
      </c>
      <c r="AH612">
        <v>0</v>
      </c>
      <c r="AI612">
        <v>0</v>
      </c>
      <c r="AJ612">
        <v>43.288000000000004</v>
      </c>
      <c r="AK612">
        <v>2177</v>
      </c>
      <c r="AL612">
        <v>0</v>
      </c>
      <c r="AM612">
        <v>0</v>
      </c>
      <c r="AN612">
        <v>8.9210000000000012</v>
      </c>
      <c r="AO612">
        <v>0</v>
      </c>
      <c r="AP612">
        <v>2.6110000000000002</v>
      </c>
      <c r="AQ612">
        <v>0</v>
      </c>
      <c r="AR612">
        <v>12.102</v>
      </c>
      <c r="AS612">
        <v>0</v>
      </c>
      <c r="AT612">
        <v>1.77</v>
      </c>
      <c r="AU612">
        <v>0.73299999999999998</v>
      </c>
      <c r="AV612">
        <v>0</v>
      </c>
      <c r="AW612">
        <v>17.216000000000001</v>
      </c>
      <c r="AX612">
        <v>0</v>
      </c>
      <c r="AY612">
        <v>52.331000000000003</v>
      </c>
      <c r="AZ612">
        <v>0</v>
      </c>
      <c r="BA612">
        <v>3345444</v>
      </c>
      <c r="BB612">
        <v>1401601</v>
      </c>
      <c r="BC612">
        <v>0</v>
      </c>
      <c r="BD612">
        <v>27966</v>
      </c>
      <c r="BE612">
        <v>2624</v>
      </c>
      <c r="BF612">
        <v>30590</v>
      </c>
      <c r="BG612">
        <v>27966</v>
      </c>
      <c r="BH612">
        <v>0</v>
      </c>
      <c r="BI612">
        <v>0</v>
      </c>
      <c r="BJ612">
        <v>0</v>
      </c>
      <c r="BK612">
        <v>0</v>
      </c>
      <c r="BL612">
        <v>113107935</v>
      </c>
      <c r="BM612">
        <v>0</v>
      </c>
      <c r="BN612">
        <v>1206</v>
      </c>
      <c r="BO612">
        <v>546</v>
      </c>
      <c r="BP612">
        <v>0</v>
      </c>
      <c r="BQ612">
        <v>0</v>
      </c>
      <c r="BR612">
        <v>0.82200000000000006</v>
      </c>
      <c r="BS612">
        <v>0.82200000000000006</v>
      </c>
      <c r="BT612">
        <v>0</v>
      </c>
      <c r="BU612">
        <v>0</v>
      </c>
      <c r="BV612">
        <v>8</v>
      </c>
      <c r="BW612">
        <v>169</v>
      </c>
      <c r="BX612">
        <v>1</v>
      </c>
      <c r="BY612">
        <v>0</v>
      </c>
      <c r="BZ612">
        <v>4</v>
      </c>
      <c r="CA612">
        <v>182</v>
      </c>
      <c r="CB612">
        <v>0</v>
      </c>
      <c r="CC612">
        <v>0</v>
      </c>
      <c r="CD612">
        <v>0</v>
      </c>
      <c r="CE612">
        <v>32</v>
      </c>
      <c r="CF612">
        <v>47.486000000000004</v>
      </c>
      <c r="CG612">
        <v>0</v>
      </c>
      <c r="CH612">
        <v>0</v>
      </c>
      <c r="CI612">
        <v>3</v>
      </c>
      <c r="CJ612">
        <v>1</v>
      </c>
      <c r="CK612">
        <v>0</v>
      </c>
      <c r="CL612">
        <v>0</v>
      </c>
      <c r="CM612">
        <v>18.374000000000002</v>
      </c>
      <c r="CN612">
        <v>0</v>
      </c>
      <c r="CO612">
        <v>0</v>
      </c>
      <c r="CP612">
        <v>0</v>
      </c>
      <c r="CQ612">
        <v>0</v>
      </c>
      <c r="CR612">
        <v>0</v>
      </c>
      <c r="CS612">
        <v>10.784000000000001</v>
      </c>
      <c r="CT612">
        <v>0</v>
      </c>
      <c r="CU612">
        <v>0</v>
      </c>
      <c r="CV612">
        <v>13.561</v>
      </c>
      <c r="CW612">
        <v>9.0310000000000006</v>
      </c>
      <c r="CX612">
        <v>0</v>
      </c>
      <c r="CY612" s="2043">
        <v>0</v>
      </c>
      <c r="CZ612" s="2043">
        <v>0</v>
      </c>
      <c r="DA612" s="2043">
        <v>0</v>
      </c>
      <c r="DB612" s="2043">
        <v>0</v>
      </c>
      <c r="DC612" s="2043">
        <v>0</v>
      </c>
      <c r="DI612" t="s">
        <v>3055</v>
      </c>
      <c r="DJ612" t="s">
        <v>3055</v>
      </c>
      <c r="DK612" s="2042">
        <f t="shared" si="11"/>
        <v>0</v>
      </c>
    </row>
    <row r="613" spans="1:115">
      <c r="A613" t="s">
        <v>4203</v>
      </c>
      <c r="B613" t="s">
        <v>1450</v>
      </c>
      <c r="C613">
        <v>331.13800000000003</v>
      </c>
      <c r="D613">
        <v>350.30900000000003</v>
      </c>
      <c r="E613">
        <v>5.056</v>
      </c>
      <c r="F613">
        <v>0</v>
      </c>
      <c r="G613" s="2043">
        <v>213950935</v>
      </c>
      <c r="H613">
        <v>0</v>
      </c>
      <c r="I613" s="2043">
        <v>622450</v>
      </c>
      <c r="J613">
        <v>16.557000000000002</v>
      </c>
      <c r="K613">
        <v>45</v>
      </c>
      <c r="L613">
        <v>0</v>
      </c>
      <c r="M613">
        <v>0</v>
      </c>
      <c r="N613">
        <v>0</v>
      </c>
      <c r="O613">
        <v>0</v>
      </c>
      <c r="P613">
        <v>0</v>
      </c>
      <c r="Q613">
        <v>0</v>
      </c>
      <c r="R613" s="2043">
        <v>1866951</v>
      </c>
      <c r="S613">
        <v>170693</v>
      </c>
      <c r="T613">
        <v>124392</v>
      </c>
      <c r="U613">
        <v>0.08</v>
      </c>
      <c r="V613">
        <v>0</v>
      </c>
      <c r="W613">
        <v>0</v>
      </c>
      <c r="X613">
        <v>0</v>
      </c>
      <c r="Y613">
        <v>0</v>
      </c>
      <c r="Z613">
        <v>14.404</v>
      </c>
      <c r="AA613">
        <v>0</v>
      </c>
      <c r="AB613">
        <v>346.35200000000003</v>
      </c>
      <c r="AC613" s="2043">
        <v>163446269</v>
      </c>
      <c r="AD613">
        <v>630874</v>
      </c>
      <c r="AE613" s="2043">
        <v>2162036</v>
      </c>
      <c r="AF613">
        <v>1.0133000000000001</v>
      </c>
      <c r="AG613">
        <v>0</v>
      </c>
      <c r="AH613">
        <v>0</v>
      </c>
      <c r="AI613">
        <v>0</v>
      </c>
      <c r="AJ613">
        <v>49.288000000000004</v>
      </c>
      <c r="AK613">
        <v>2015</v>
      </c>
      <c r="AL613">
        <v>0</v>
      </c>
      <c r="AM613">
        <v>0</v>
      </c>
      <c r="AN613">
        <v>22.863</v>
      </c>
      <c r="AO613">
        <v>0</v>
      </c>
      <c r="AP613">
        <v>0</v>
      </c>
      <c r="AQ613">
        <v>0</v>
      </c>
      <c r="AR613">
        <v>3.012</v>
      </c>
      <c r="AS613">
        <v>0</v>
      </c>
      <c r="AT613">
        <v>6.0570000000000004</v>
      </c>
      <c r="AU613">
        <v>0.45300000000000001</v>
      </c>
      <c r="AV613">
        <v>0</v>
      </c>
      <c r="AW613">
        <v>10.653</v>
      </c>
      <c r="AX613">
        <v>1.131</v>
      </c>
      <c r="AY613">
        <v>32.073</v>
      </c>
      <c r="AZ613">
        <v>0</v>
      </c>
      <c r="BA613">
        <v>2706166</v>
      </c>
      <c r="BB613">
        <v>2792910</v>
      </c>
      <c r="BC613">
        <v>0</v>
      </c>
      <c r="BD613">
        <v>41140</v>
      </c>
      <c r="BE613">
        <v>17993</v>
      </c>
      <c r="BF613">
        <v>59133</v>
      </c>
      <c r="BG613">
        <v>41140</v>
      </c>
      <c r="BH613">
        <v>0</v>
      </c>
      <c r="BI613">
        <v>0</v>
      </c>
      <c r="BJ613">
        <v>0</v>
      </c>
      <c r="BK613">
        <v>0</v>
      </c>
      <c r="BL613">
        <v>213950935</v>
      </c>
      <c r="BM613">
        <v>0</v>
      </c>
      <c r="BN613">
        <v>1413</v>
      </c>
      <c r="BO613">
        <v>1017</v>
      </c>
      <c r="BP613">
        <v>0</v>
      </c>
      <c r="BQ613">
        <v>0</v>
      </c>
      <c r="BR613">
        <v>0.875</v>
      </c>
      <c r="BS613">
        <v>0.875</v>
      </c>
      <c r="BT613">
        <v>0</v>
      </c>
      <c r="BU613">
        <v>0</v>
      </c>
      <c r="BV613">
        <v>34</v>
      </c>
      <c r="BW613">
        <v>161</v>
      </c>
      <c r="BX613">
        <v>6</v>
      </c>
      <c r="BY613">
        <v>2</v>
      </c>
      <c r="BZ613">
        <v>5</v>
      </c>
      <c r="CA613">
        <v>208</v>
      </c>
      <c r="CB613">
        <v>0</v>
      </c>
      <c r="CC613">
        <v>0</v>
      </c>
      <c r="CD613">
        <v>0</v>
      </c>
      <c r="CE613">
        <v>42</v>
      </c>
      <c r="CF613">
        <v>69.865000000000009</v>
      </c>
      <c r="CG613">
        <v>0</v>
      </c>
      <c r="CH613">
        <v>0</v>
      </c>
      <c r="CI613">
        <v>5</v>
      </c>
      <c r="CJ613">
        <v>4</v>
      </c>
      <c r="CK613">
        <v>0</v>
      </c>
      <c r="CL613">
        <v>0</v>
      </c>
      <c r="CM613">
        <v>5.056</v>
      </c>
      <c r="CN613">
        <v>0</v>
      </c>
      <c r="CO613">
        <v>0</v>
      </c>
      <c r="CP613">
        <v>0</v>
      </c>
      <c r="CQ613">
        <v>0</v>
      </c>
      <c r="CR613">
        <v>0</v>
      </c>
      <c r="CS613">
        <v>0</v>
      </c>
      <c r="CT613">
        <v>0</v>
      </c>
      <c r="CU613">
        <v>2.952</v>
      </c>
      <c r="CV613">
        <v>11.604000000000001</v>
      </c>
      <c r="CW613">
        <v>16.842000000000002</v>
      </c>
      <c r="CX613">
        <v>0</v>
      </c>
      <c r="CY613" s="2043">
        <v>0</v>
      </c>
      <c r="CZ613" s="2043">
        <v>0</v>
      </c>
      <c r="DA613" s="2043">
        <v>0</v>
      </c>
      <c r="DB613" s="2043">
        <v>0</v>
      </c>
      <c r="DC613" s="2043">
        <v>0</v>
      </c>
      <c r="DI613" t="s">
        <v>4203</v>
      </c>
      <c r="DJ613" t="s">
        <v>4203</v>
      </c>
      <c r="DK613" s="2042">
        <f t="shared" si="11"/>
        <v>0</v>
      </c>
    </row>
    <row r="614" spans="1:115">
      <c r="A614" t="s">
        <v>4205</v>
      </c>
      <c r="B614" t="s">
        <v>490</v>
      </c>
      <c r="C614">
        <v>179.09300000000002</v>
      </c>
      <c r="D614">
        <v>184.11799999999999</v>
      </c>
      <c r="E614">
        <v>16.850000000000001</v>
      </c>
      <c r="F614">
        <v>0</v>
      </c>
      <c r="G614" s="2043">
        <v>41609595</v>
      </c>
      <c r="H614">
        <v>0</v>
      </c>
      <c r="I614" s="2043">
        <v>0</v>
      </c>
      <c r="J614">
        <v>4</v>
      </c>
      <c r="K614">
        <v>11</v>
      </c>
      <c r="L614">
        <v>0</v>
      </c>
      <c r="M614">
        <v>0</v>
      </c>
      <c r="N614">
        <v>0</v>
      </c>
      <c r="O614">
        <v>0</v>
      </c>
      <c r="P614">
        <v>0</v>
      </c>
      <c r="Q614">
        <v>0</v>
      </c>
      <c r="R614" s="2043">
        <v>336158</v>
      </c>
      <c r="S614">
        <v>32716</v>
      </c>
      <c r="T614">
        <v>23842</v>
      </c>
      <c r="U614">
        <v>0.08</v>
      </c>
      <c r="V614">
        <v>0</v>
      </c>
      <c r="W614">
        <v>0</v>
      </c>
      <c r="X614">
        <v>0</v>
      </c>
      <c r="Y614">
        <v>0</v>
      </c>
      <c r="Z614">
        <v>0</v>
      </c>
      <c r="AA614">
        <v>0</v>
      </c>
      <c r="AB614">
        <v>184.11799999999999</v>
      </c>
      <c r="AC614" s="2043">
        <v>32905200</v>
      </c>
      <c r="AD614">
        <v>0</v>
      </c>
      <c r="AE614" s="2043">
        <v>392716</v>
      </c>
      <c r="AF614">
        <v>0.96030000000000004</v>
      </c>
      <c r="AG614">
        <v>0</v>
      </c>
      <c r="AH614">
        <v>0</v>
      </c>
      <c r="AI614">
        <v>0</v>
      </c>
      <c r="AJ614">
        <v>27.138000000000002</v>
      </c>
      <c r="AK614">
        <v>1413</v>
      </c>
      <c r="AL614">
        <v>0</v>
      </c>
      <c r="AM614">
        <v>0</v>
      </c>
      <c r="AN614">
        <v>14.245000000000001</v>
      </c>
      <c r="AO614">
        <v>0</v>
      </c>
      <c r="AP614">
        <v>0</v>
      </c>
      <c r="AQ614">
        <v>0</v>
      </c>
      <c r="AR614">
        <v>5.6180000000000003</v>
      </c>
      <c r="AS614">
        <v>0</v>
      </c>
      <c r="AT614">
        <v>0.73099999999999998</v>
      </c>
      <c r="AU614">
        <v>0.81100000000000005</v>
      </c>
      <c r="AV614">
        <v>0</v>
      </c>
      <c r="AW614">
        <v>7.16</v>
      </c>
      <c r="AX614">
        <v>0</v>
      </c>
      <c r="AY614">
        <v>23.102</v>
      </c>
      <c r="AZ614">
        <v>0</v>
      </c>
      <c r="BA614">
        <v>2378690</v>
      </c>
      <c r="BB614">
        <v>392716</v>
      </c>
      <c r="BC614">
        <v>0</v>
      </c>
      <c r="BD614">
        <v>18370</v>
      </c>
      <c r="BE614">
        <v>2460</v>
      </c>
      <c r="BF614">
        <v>20830</v>
      </c>
      <c r="BG614">
        <v>18370</v>
      </c>
      <c r="BH614">
        <v>0</v>
      </c>
      <c r="BI614">
        <v>0</v>
      </c>
      <c r="BJ614">
        <v>0</v>
      </c>
      <c r="BK614">
        <v>0</v>
      </c>
      <c r="BL614">
        <v>41609595</v>
      </c>
      <c r="BM614">
        <v>0</v>
      </c>
      <c r="BN614">
        <v>711</v>
      </c>
      <c r="BO614">
        <v>514</v>
      </c>
      <c r="BP614">
        <v>0</v>
      </c>
      <c r="BQ614">
        <v>0</v>
      </c>
      <c r="BR614">
        <v>0.82200000000000006</v>
      </c>
      <c r="BS614">
        <v>0.82200000000000006</v>
      </c>
      <c r="BT614">
        <v>0</v>
      </c>
      <c r="BU614">
        <v>0</v>
      </c>
      <c r="BV614">
        <v>5</v>
      </c>
      <c r="BW614">
        <v>101</v>
      </c>
      <c r="BX614">
        <v>6</v>
      </c>
      <c r="BY614">
        <v>2</v>
      </c>
      <c r="BZ614">
        <v>0</v>
      </c>
      <c r="CA614">
        <v>114</v>
      </c>
      <c r="CB614">
        <v>0</v>
      </c>
      <c r="CC614">
        <v>0</v>
      </c>
      <c r="CD614">
        <v>0</v>
      </c>
      <c r="CE614">
        <v>28</v>
      </c>
      <c r="CF614">
        <v>28.886000000000003</v>
      </c>
      <c r="CG614">
        <v>0</v>
      </c>
      <c r="CH614">
        <v>0</v>
      </c>
      <c r="CI614">
        <v>1</v>
      </c>
      <c r="CJ614">
        <v>0</v>
      </c>
      <c r="CK614">
        <v>0</v>
      </c>
      <c r="CL614">
        <v>0</v>
      </c>
      <c r="CM614">
        <v>16.850000000000001</v>
      </c>
      <c r="CN614">
        <v>0</v>
      </c>
      <c r="CO614">
        <v>0</v>
      </c>
      <c r="CP614">
        <v>0</v>
      </c>
      <c r="CQ614">
        <v>0</v>
      </c>
      <c r="CR614">
        <v>0</v>
      </c>
      <c r="CS614">
        <v>0</v>
      </c>
      <c r="CT614">
        <v>0</v>
      </c>
      <c r="CU614">
        <v>1.722</v>
      </c>
      <c r="CV614">
        <v>10.021000000000001</v>
      </c>
      <c r="CW614">
        <v>9.9160000000000004</v>
      </c>
      <c r="CX614">
        <v>0</v>
      </c>
      <c r="CY614" s="2043">
        <v>0</v>
      </c>
      <c r="CZ614" s="2043">
        <v>0</v>
      </c>
      <c r="DA614" s="2043">
        <v>0</v>
      </c>
      <c r="DB614" s="2043">
        <v>0</v>
      </c>
      <c r="DC614" s="2043">
        <v>0</v>
      </c>
      <c r="DI614" t="s">
        <v>4205</v>
      </c>
      <c r="DJ614" t="s">
        <v>4205</v>
      </c>
      <c r="DK614" s="2042">
        <f t="shared" si="11"/>
        <v>0</v>
      </c>
    </row>
    <row r="615" spans="1:115">
      <c r="A615" t="s">
        <v>5814</v>
      </c>
      <c r="B615" t="s">
        <v>1473</v>
      </c>
      <c r="C615">
        <v>166.37700000000001</v>
      </c>
      <c r="D615">
        <v>171.30800000000002</v>
      </c>
      <c r="E615">
        <v>11.148</v>
      </c>
      <c r="F615">
        <v>0</v>
      </c>
      <c r="G615" s="2043">
        <v>68596476</v>
      </c>
      <c r="H615">
        <v>0</v>
      </c>
      <c r="I615" s="2043">
        <v>0</v>
      </c>
      <c r="J615">
        <v>1</v>
      </c>
      <c r="K615">
        <v>3</v>
      </c>
      <c r="L615">
        <v>0</v>
      </c>
      <c r="M615">
        <v>0</v>
      </c>
      <c r="N615">
        <v>0</v>
      </c>
      <c r="O615">
        <v>0</v>
      </c>
      <c r="P615">
        <v>0</v>
      </c>
      <c r="Q615">
        <v>0</v>
      </c>
      <c r="R615" s="2043">
        <v>623852</v>
      </c>
      <c r="S615">
        <v>54640</v>
      </c>
      <c r="T615">
        <v>8606</v>
      </c>
      <c r="U615">
        <v>0.08</v>
      </c>
      <c r="V615">
        <v>0</v>
      </c>
      <c r="W615">
        <v>0</v>
      </c>
      <c r="X615">
        <v>0</v>
      </c>
      <c r="Y615">
        <v>0</v>
      </c>
      <c r="Z615">
        <v>0</v>
      </c>
      <c r="AA615">
        <v>8.6000000000000007E-2</v>
      </c>
      <c r="AB615">
        <v>162.28300000000002</v>
      </c>
      <c r="AC615" s="2043">
        <v>73499846</v>
      </c>
      <c r="AD615">
        <v>0</v>
      </c>
      <c r="AE615" s="2043">
        <v>687098</v>
      </c>
      <c r="AF615">
        <v>1.006</v>
      </c>
      <c r="AG615">
        <v>0</v>
      </c>
      <c r="AH615">
        <v>0</v>
      </c>
      <c r="AI615">
        <v>0</v>
      </c>
      <c r="AJ615">
        <v>36.388000000000005</v>
      </c>
      <c r="AK615">
        <v>887</v>
      </c>
      <c r="AL615">
        <v>0</v>
      </c>
      <c r="AM615">
        <v>0</v>
      </c>
      <c r="AN615">
        <v>9.6870000000000012</v>
      </c>
      <c r="AO615">
        <v>0</v>
      </c>
      <c r="AP615">
        <v>0</v>
      </c>
      <c r="AQ615">
        <v>0</v>
      </c>
      <c r="AR615">
        <v>4.0540000000000003</v>
      </c>
      <c r="AS615">
        <v>0</v>
      </c>
      <c r="AT615">
        <v>0</v>
      </c>
      <c r="AU615">
        <v>0.28999999999999998</v>
      </c>
      <c r="AV615">
        <v>0</v>
      </c>
      <c r="AW615">
        <v>4.3440000000000003</v>
      </c>
      <c r="AX615">
        <v>0</v>
      </c>
      <c r="AY615">
        <v>13.612</v>
      </c>
      <c r="AZ615">
        <v>0</v>
      </c>
      <c r="BA615">
        <v>1773405</v>
      </c>
      <c r="BB615">
        <v>687098</v>
      </c>
      <c r="BC615">
        <v>0</v>
      </c>
      <c r="BD615">
        <v>5440</v>
      </c>
      <c r="BE615">
        <v>0</v>
      </c>
      <c r="BF615">
        <v>5440</v>
      </c>
      <c r="BG615">
        <v>5440</v>
      </c>
      <c r="BH615">
        <v>0</v>
      </c>
      <c r="BI615">
        <v>0</v>
      </c>
      <c r="BJ615">
        <v>0</v>
      </c>
      <c r="BK615">
        <v>0</v>
      </c>
      <c r="BL615">
        <v>68596476</v>
      </c>
      <c r="BM615">
        <v>0</v>
      </c>
      <c r="BN615">
        <v>711</v>
      </c>
      <c r="BO615">
        <v>514</v>
      </c>
      <c r="BP615">
        <v>0</v>
      </c>
      <c r="BQ615">
        <v>0</v>
      </c>
      <c r="BR615">
        <v>0.91339999999999999</v>
      </c>
      <c r="BS615">
        <v>0.91339999999999999</v>
      </c>
      <c r="BT615">
        <v>0</v>
      </c>
      <c r="BU615">
        <v>0</v>
      </c>
      <c r="BV615">
        <v>4</v>
      </c>
      <c r="BW615">
        <v>1</v>
      </c>
      <c r="BX615">
        <v>141</v>
      </c>
      <c r="BY615">
        <v>0</v>
      </c>
      <c r="BZ615">
        <v>0</v>
      </c>
      <c r="CA615">
        <v>146</v>
      </c>
      <c r="CB615">
        <v>0</v>
      </c>
      <c r="CC615">
        <v>0</v>
      </c>
      <c r="CD615">
        <v>0</v>
      </c>
      <c r="CE615">
        <v>12</v>
      </c>
      <c r="CF615">
        <v>37.651000000000003</v>
      </c>
      <c r="CG615">
        <v>0</v>
      </c>
      <c r="CH615">
        <v>0</v>
      </c>
      <c r="CI615">
        <v>1</v>
      </c>
      <c r="CJ615">
        <v>1</v>
      </c>
      <c r="CK615">
        <v>0</v>
      </c>
      <c r="CL615">
        <v>0</v>
      </c>
      <c r="CM615">
        <v>11.148</v>
      </c>
      <c r="CN615">
        <v>0</v>
      </c>
      <c r="CO615">
        <v>0</v>
      </c>
      <c r="CP615">
        <v>0</v>
      </c>
      <c r="CQ615">
        <v>0</v>
      </c>
      <c r="CR615">
        <v>0</v>
      </c>
      <c r="CS615">
        <v>0</v>
      </c>
      <c r="CT615">
        <v>0</v>
      </c>
      <c r="CU615">
        <v>0.96200000000000008</v>
      </c>
      <c r="CV615">
        <v>10.083</v>
      </c>
      <c r="CW615">
        <v>8.2070000000000007</v>
      </c>
      <c r="CX615">
        <v>0</v>
      </c>
      <c r="CY615" s="2043">
        <v>0</v>
      </c>
      <c r="CZ615" s="2043">
        <v>0</v>
      </c>
      <c r="DA615" s="2043">
        <v>0</v>
      </c>
      <c r="DB615" s="2043">
        <v>0</v>
      </c>
      <c r="DC615" s="2043">
        <v>0</v>
      </c>
      <c r="DI615" t="s">
        <v>5814</v>
      </c>
      <c r="DJ615" t="s">
        <v>5814</v>
      </c>
      <c r="DK615" s="2042">
        <f t="shared" si="11"/>
        <v>0</v>
      </c>
    </row>
    <row r="616" spans="1:115">
      <c r="A616" t="s">
        <v>5093</v>
      </c>
      <c r="B616" t="s">
        <v>1474</v>
      </c>
      <c r="C616">
        <v>2490.7980000000002</v>
      </c>
      <c r="D616">
        <v>2593.7550000000001</v>
      </c>
      <c r="E616">
        <v>216.154</v>
      </c>
      <c r="F616">
        <v>0</v>
      </c>
      <c r="G616" s="2043">
        <v>1160177755</v>
      </c>
      <c r="H616">
        <v>0</v>
      </c>
      <c r="I616" s="2043">
        <v>3434376</v>
      </c>
      <c r="J616">
        <v>124.54</v>
      </c>
      <c r="K616">
        <v>340</v>
      </c>
      <c r="L616">
        <v>0</v>
      </c>
      <c r="M616">
        <v>0</v>
      </c>
      <c r="N616">
        <v>0</v>
      </c>
      <c r="O616">
        <v>0</v>
      </c>
      <c r="P616">
        <v>0</v>
      </c>
      <c r="Q616">
        <v>0</v>
      </c>
      <c r="R616" s="2043">
        <v>10710713</v>
      </c>
      <c r="S616">
        <v>703572</v>
      </c>
      <c r="T616">
        <v>0</v>
      </c>
      <c r="U616">
        <v>0.06</v>
      </c>
      <c r="V616">
        <v>0</v>
      </c>
      <c r="W616">
        <v>0</v>
      </c>
      <c r="X616">
        <v>0</v>
      </c>
      <c r="Y616">
        <v>0</v>
      </c>
      <c r="Z616">
        <v>0</v>
      </c>
      <c r="AA616">
        <v>0.10100000000000001</v>
      </c>
      <c r="AB616">
        <v>2580.7490000000003</v>
      </c>
      <c r="AC616" s="2043">
        <v>1263285752</v>
      </c>
      <c r="AD616">
        <v>3497695</v>
      </c>
      <c r="AE616" s="2043">
        <v>11414285</v>
      </c>
      <c r="AF616">
        <v>0.97340000000000004</v>
      </c>
      <c r="AG616">
        <v>0</v>
      </c>
      <c r="AH616">
        <v>0</v>
      </c>
      <c r="AI616">
        <v>0</v>
      </c>
      <c r="AJ616">
        <v>505.93800000000005</v>
      </c>
      <c r="AK616">
        <v>14734</v>
      </c>
      <c r="AL616">
        <v>0.68900000000000006</v>
      </c>
      <c r="AM616">
        <v>0</v>
      </c>
      <c r="AN616">
        <v>116.93300000000001</v>
      </c>
      <c r="AO616">
        <v>0</v>
      </c>
      <c r="AP616">
        <v>0.91400000000000003</v>
      </c>
      <c r="AQ616">
        <v>0</v>
      </c>
      <c r="AR616">
        <v>76.741</v>
      </c>
      <c r="AS616">
        <v>0</v>
      </c>
      <c r="AT616">
        <v>62.103000000000002</v>
      </c>
      <c r="AU616">
        <v>8.370000000000001</v>
      </c>
      <c r="AV616">
        <v>0</v>
      </c>
      <c r="AW616">
        <v>152.52600000000001</v>
      </c>
      <c r="AX616">
        <v>3.7090000000000001</v>
      </c>
      <c r="AY616">
        <v>472.82600000000002</v>
      </c>
      <c r="AZ616">
        <v>0</v>
      </c>
      <c r="BA616">
        <v>15103520</v>
      </c>
      <c r="BB616">
        <v>14911980</v>
      </c>
      <c r="BC616">
        <v>0</v>
      </c>
      <c r="BD616">
        <v>83891</v>
      </c>
      <c r="BE616">
        <v>78207</v>
      </c>
      <c r="BF616">
        <v>174226</v>
      </c>
      <c r="BG616">
        <v>83891</v>
      </c>
      <c r="BH616">
        <v>12128</v>
      </c>
      <c r="BI616">
        <v>0</v>
      </c>
      <c r="BJ616">
        <v>0</v>
      </c>
      <c r="BK616">
        <v>0</v>
      </c>
      <c r="BL616">
        <v>1160177755</v>
      </c>
      <c r="BM616">
        <v>0</v>
      </c>
      <c r="BN616">
        <v>8100</v>
      </c>
      <c r="BO616">
        <v>7779</v>
      </c>
      <c r="BP616">
        <v>0</v>
      </c>
      <c r="BQ616">
        <v>0</v>
      </c>
      <c r="BR616">
        <v>0.91339999999999999</v>
      </c>
      <c r="BS616">
        <v>0.91339999999999999</v>
      </c>
      <c r="BT616">
        <v>0</v>
      </c>
      <c r="BU616">
        <v>0</v>
      </c>
      <c r="BV616">
        <v>264</v>
      </c>
      <c r="BW616">
        <v>290</v>
      </c>
      <c r="BX616">
        <v>495</v>
      </c>
      <c r="BY616">
        <v>719</v>
      </c>
      <c r="BZ616">
        <v>237</v>
      </c>
      <c r="CA616">
        <v>2005</v>
      </c>
      <c r="CB616">
        <v>0</v>
      </c>
      <c r="CC616">
        <v>0</v>
      </c>
      <c r="CD616">
        <v>0</v>
      </c>
      <c r="CE616">
        <v>222</v>
      </c>
      <c r="CF616">
        <v>655.21</v>
      </c>
      <c r="CG616">
        <v>0</v>
      </c>
      <c r="CH616">
        <v>0</v>
      </c>
      <c r="CI616">
        <v>10</v>
      </c>
      <c r="CJ616">
        <v>12</v>
      </c>
      <c r="CK616">
        <v>1</v>
      </c>
      <c r="CL616">
        <v>0</v>
      </c>
      <c r="CM616">
        <v>216.154</v>
      </c>
      <c r="CN616">
        <v>0</v>
      </c>
      <c r="CO616">
        <v>0</v>
      </c>
      <c r="CP616">
        <v>0</v>
      </c>
      <c r="CQ616">
        <v>0</v>
      </c>
      <c r="CR616">
        <v>0</v>
      </c>
      <c r="CS616">
        <v>0</v>
      </c>
      <c r="CT616">
        <v>0</v>
      </c>
      <c r="CU616">
        <v>1.052</v>
      </c>
      <c r="CV616">
        <v>125.19200000000001</v>
      </c>
      <c r="CW616">
        <v>64.73</v>
      </c>
      <c r="CX616">
        <v>0</v>
      </c>
      <c r="CY616" s="2043">
        <v>0</v>
      </c>
      <c r="CZ616" s="2043">
        <v>0</v>
      </c>
      <c r="DA616" s="2043">
        <v>0</v>
      </c>
      <c r="DB616" s="2043">
        <v>0</v>
      </c>
      <c r="DC616" s="2043">
        <v>0</v>
      </c>
      <c r="DI616" t="s">
        <v>5093</v>
      </c>
      <c r="DJ616" t="s">
        <v>5093</v>
      </c>
      <c r="DK616" s="2042">
        <f t="shared" si="11"/>
        <v>0</v>
      </c>
    </row>
    <row r="617" spans="1:115">
      <c r="A617" t="s">
        <v>5094</v>
      </c>
      <c r="B617" t="s">
        <v>1169</v>
      </c>
      <c r="C617">
        <v>469.15900000000005</v>
      </c>
      <c r="D617">
        <v>472.66200000000003</v>
      </c>
      <c r="E617">
        <v>9.3689999999999998</v>
      </c>
      <c r="F617">
        <v>0</v>
      </c>
      <c r="G617" s="2043">
        <v>121577342</v>
      </c>
      <c r="H617">
        <v>0</v>
      </c>
      <c r="I617" s="2043">
        <v>546383</v>
      </c>
      <c r="J617">
        <v>23.458000000000002</v>
      </c>
      <c r="K617">
        <v>64</v>
      </c>
      <c r="L617">
        <v>0</v>
      </c>
      <c r="M617">
        <v>0</v>
      </c>
      <c r="N617">
        <v>0</v>
      </c>
      <c r="O617">
        <v>0</v>
      </c>
      <c r="P617">
        <v>0</v>
      </c>
      <c r="Q617">
        <v>0</v>
      </c>
      <c r="R617" s="2043">
        <v>1037640</v>
      </c>
      <c r="S617">
        <v>92553</v>
      </c>
      <c r="T617">
        <v>67449</v>
      </c>
      <c r="U617">
        <v>0.08</v>
      </c>
      <c r="V617">
        <v>0</v>
      </c>
      <c r="W617">
        <v>0</v>
      </c>
      <c r="X617">
        <v>0</v>
      </c>
      <c r="Y617">
        <v>0</v>
      </c>
      <c r="Z617">
        <v>0</v>
      </c>
      <c r="AA617">
        <v>2.5000000000000001E-2</v>
      </c>
      <c r="AB617">
        <v>444.15800000000002</v>
      </c>
      <c r="AC617" s="2043">
        <v>113966758</v>
      </c>
      <c r="AD617">
        <v>481852</v>
      </c>
      <c r="AE617" s="2043">
        <v>1197642</v>
      </c>
      <c r="AF617">
        <v>1.0352000000000001</v>
      </c>
      <c r="AG617">
        <v>0</v>
      </c>
      <c r="AH617">
        <v>0</v>
      </c>
      <c r="AI617">
        <v>0</v>
      </c>
      <c r="AJ617">
        <v>43.45</v>
      </c>
      <c r="AK617">
        <v>1119</v>
      </c>
      <c r="AL617">
        <v>0</v>
      </c>
      <c r="AM617">
        <v>0</v>
      </c>
      <c r="AN617">
        <v>14.886000000000001</v>
      </c>
      <c r="AO617">
        <v>0</v>
      </c>
      <c r="AP617">
        <v>0</v>
      </c>
      <c r="AQ617">
        <v>0</v>
      </c>
      <c r="AR617">
        <v>4.702</v>
      </c>
      <c r="AS617">
        <v>0</v>
      </c>
      <c r="AT617">
        <v>0</v>
      </c>
      <c r="AU617">
        <v>0.44500000000000001</v>
      </c>
      <c r="AV617">
        <v>0</v>
      </c>
      <c r="AW617">
        <v>5.1470000000000002</v>
      </c>
      <c r="AX617">
        <v>0</v>
      </c>
      <c r="AY617">
        <v>16.331</v>
      </c>
      <c r="AZ617">
        <v>0</v>
      </c>
      <c r="BA617">
        <v>4935524</v>
      </c>
      <c r="BB617">
        <v>1679494</v>
      </c>
      <c r="BC617">
        <v>0</v>
      </c>
      <c r="BD617">
        <v>45390</v>
      </c>
      <c r="BE617">
        <v>923</v>
      </c>
      <c r="BF617">
        <v>46313</v>
      </c>
      <c r="BG617">
        <v>45390</v>
      </c>
      <c r="BH617">
        <v>0</v>
      </c>
      <c r="BI617">
        <v>0</v>
      </c>
      <c r="BJ617">
        <v>0</v>
      </c>
      <c r="BK617">
        <v>0</v>
      </c>
      <c r="BL617">
        <v>121577342</v>
      </c>
      <c r="BM617">
        <v>0</v>
      </c>
      <c r="BN617">
        <v>1440</v>
      </c>
      <c r="BO617">
        <v>1445</v>
      </c>
      <c r="BP617">
        <v>0</v>
      </c>
      <c r="BQ617">
        <v>0</v>
      </c>
      <c r="BR617">
        <v>0.89690000000000003</v>
      </c>
      <c r="BS617">
        <v>0.89690000000000003</v>
      </c>
      <c r="BT617">
        <v>0</v>
      </c>
      <c r="BU617">
        <v>0</v>
      </c>
      <c r="BV617">
        <v>24</v>
      </c>
      <c r="BW617">
        <v>137</v>
      </c>
      <c r="BX617">
        <v>5</v>
      </c>
      <c r="BY617">
        <v>11</v>
      </c>
      <c r="BZ617">
        <v>5</v>
      </c>
      <c r="CA617">
        <v>182</v>
      </c>
      <c r="CB617">
        <v>0</v>
      </c>
      <c r="CC617">
        <v>0</v>
      </c>
      <c r="CD617">
        <v>0</v>
      </c>
      <c r="CE617">
        <v>33</v>
      </c>
      <c r="CF617">
        <v>51.883000000000003</v>
      </c>
      <c r="CG617">
        <v>0</v>
      </c>
      <c r="CH617">
        <v>0</v>
      </c>
      <c r="CI617">
        <v>0</v>
      </c>
      <c r="CJ617">
        <v>5</v>
      </c>
      <c r="CK617">
        <v>0</v>
      </c>
      <c r="CL617">
        <v>0</v>
      </c>
      <c r="CM617">
        <v>9.3689999999999998</v>
      </c>
      <c r="CN617">
        <v>0</v>
      </c>
      <c r="CO617">
        <v>0</v>
      </c>
      <c r="CP617">
        <v>0</v>
      </c>
      <c r="CQ617">
        <v>0</v>
      </c>
      <c r="CR617">
        <v>0</v>
      </c>
      <c r="CS617">
        <v>0</v>
      </c>
      <c r="CT617">
        <v>0</v>
      </c>
      <c r="CU617">
        <v>3.0950000000000002</v>
      </c>
      <c r="CV617">
        <v>27.03</v>
      </c>
      <c r="CW617">
        <v>26.986000000000001</v>
      </c>
      <c r="CX617">
        <v>0</v>
      </c>
      <c r="CY617" s="2043">
        <v>0</v>
      </c>
      <c r="CZ617" s="2043">
        <v>0</v>
      </c>
      <c r="DA617" s="2043">
        <v>0</v>
      </c>
      <c r="DB617" s="2043">
        <v>0</v>
      </c>
      <c r="DC617" s="2043">
        <v>0</v>
      </c>
      <c r="DI617" t="s">
        <v>5094</v>
      </c>
      <c r="DJ617" t="s">
        <v>5094</v>
      </c>
      <c r="DK617" s="2042">
        <f t="shared" si="11"/>
        <v>0</v>
      </c>
    </row>
    <row r="618" spans="1:115">
      <c r="A618" t="s">
        <v>3056</v>
      </c>
      <c r="B618" t="s">
        <v>1739</v>
      </c>
      <c r="C618">
        <v>381.63600000000002</v>
      </c>
      <c r="D618">
        <v>419.07</v>
      </c>
      <c r="E618">
        <v>12.353</v>
      </c>
      <c r="F618">
        <v>0</v>
      </c>
      <c r="G618" s="2043">
        <v>98504560</v>
      </c>
      <c r="H618">
        <v>0</v>
      </c>
      <c r="I618" s="2043">
        <v>0</v>
      </c>
      <c r="J618">
        <v>19.082000000000001</v>
      </c>
      <c r="K618">
        <v>52</v>
      </c>
      <c r="L618">
        <v>14059</v>
      </c>
      <c r="M618">
        <v>33373</v>
      </c>
      <c r="N618">
        <v>14059</v>
      </c>
      <c r="O618">
        <v>47432</v>
      </c>
      <c r="P618">
        <v>0</v>
      </c>
      <c r="Q618">
        <v>0</v>
      </c>
      <c r="R618" s="2043">
        <v>832663</v>
      </c>
      <c r="S618">
        <v>72929</v>
      </c>
      <c r="T618">
        <v>45215</v>
      </c>
      <c r="U618">
        <v>0.08</v>
      </c>
      <c r="V618">
        <v>0</v>
      </c>
      <c r="W618">
        <v>0</v>
      </c>
      <c r="X618">
        <v>0</v>
      </c>
      <c r="Y618">
        <v>0</v>
      </c>
      <c r="Z618">
        <v>0</v>
      </c>
      <c r="AA618">
        <v>0</v>
      </c>
      <c r="AB618">
        <v>385.92099999999999</v>
      </c>
      <c r="AC618" s="2043">
        <v>117188860</v>
      </c>
      <c r="AD618">
        <v>0</v>
      </c>
      <c r="AE618" s="2043">
        <v>950807</v>
      </c>
      <c r="AF618">
        <v>1.0430000000000001</v>
      </c>
      <c r="AG618">
        <v>0</v>
      </c>
      <c r="AH618">
        <v>0</v>
      </c>
      <c r="AI618">
        <v>0</v>
      </c>
      <c r="AJ618">
        <v>50.925000000000004</v>
      </c>
      <c r="AK618">
        <v>1761</v>
      </c>
      <c r="AL618">
        <v>0</v>
      </c>
      <c r="AM618">
        <v>0</v>
      </c>
      <c r="AN618">
        <v>18.943000000000001</v>
      </c>
      <c r="AO618">
        <v>0</v>
      </c>
      <c r="AP618">
        <v>0</v>
      </c>
      <c r="AQ618">
        <v>0</v>
      </c>
      <c r="AR618">
        <v>8.7750000000000004</v>
      </c>
      <c r="AS618">
        <v>0</v>
      </c>
      <c r="AT618">
        <v>0</v>
      </c>
      <c r="AU618">
        <v>0.66100000000000003</v>
      </c>
      <c r="AV618">
        <v>0</v>
      </c>
      <c r="AW618">
        <v>9.4359999999999999</v>
      </c>
      <c r="AX618">
        <v>0</v>
      </c>
      <c r="AY618">
        <v>29.63</v>
      </c>
      <c r="AZ618">
        <v>0</v>
      </c>
      <c r="BA618">
        <v>4278032</v>
      </c>
      <c r="BB618">
        <v>950807</v>
      </c>
      <c r="BC618">
        <v>0</v>
      </c>
      <c r="BD618">
        <v>29835</v>
      </c>
      <c r="BE618">
        <v>0</v>
      </c>
      <c r="BF618">
        <v>29835</v>
      </c>
      <c r="BG618">
        <v>29835</v>
      </c>
      <c r="BH618">
        <v>0</v>
      </c>
      <c r="BI618">
        <v>0</v>
      </c>
      <c r="BJ618">
        <v>0</v>
      </c>
      <c r="BK618">
        <v>0</v>
      </c>
      <c r="BL618">
        <v>98504560</v>
      </c>
      <c r="BM618">
        <v>0</v>
      </c>
      <c r="BN618">
        <v>1647</v>
      </c>
      <c r="BO618">
        <v>1562</v>
      </c>
      <c r="BP618">
        <v>0</v>
      </c>
      <c r="BQ618">
        <v>0</v>
      </c>
      <c r="BR618">
        <v>0.91339999999999999</v>
      </c>
      <c r="BS618">
        <v>0.91339999999999999</v>
      </c>
      <c r="BT618">
        <v>0</v>
      </c>
      <c r="BU618">
        <v>0</v>
      </c>
      <c r="BV618">
        <v>10</v>
      </c>
      <c r="BW618">
        <v>176</v>
      </c>
      <c r="BX618">
        <v>7</v>
      </c>
      <c r="BY618">
        <v>8</v>
      </c>
      <c r="BZ618">
        <v>11</v>
      </c>
      <c r="CA618">
        <v>212</v>
      </c>
      <c r="CB618">
        <v>0</v>
      </c>
      <c r="CC618">
        <v>0</v>
      </c>
      <c r="CD618">
        <v>0</v>
      </c>
      <c r="CE618">
        <v>47</v>
      </c>
      <c r="CF618">
        <v>54.202000000000005</v>
      </c>
      <c r="CG618">
        <v>0</v>
      </c>
      <c r="CH618">
        <v>0</v>
      </c>
      <c r="CI618">
        <v>4</v>
      </c>
      <c r="CJ618">
        <v>0</v>
      </c>
      <c r="CK618">
        <v>0</v>
      </c>
      <c r="CL618">
        <v>0</v>
      </c>
      <c r="CM618">
        <v>12.353</v>
      </c>
      <c r="CN618">
        <v>0</v>
      </c>
      <c r="CO618">
        <v>0</v>
      </c>
      <c r="CP618">
        <v>0</v>
      </c>
      <c r="CQ618">
        <v>0</v>
      </c>
      <c r="CR618">
        <v>0</v>
      </c>
      <c r="CS618">
        <v>0</v>
      </c>
      <c r="CT618">
        <v>0</v>
      </c>
      <c r="CU618">
        <v>0</v>
      </c>
      <c r="CV618">
        <v>28.817</v>
      </c>
      <c r="CW618">
        <v>24.654</v>
      </c>
      <c r="CX618">
        <v>0</v>
      </c>
      <c r="CY618" s="2043">
        <v>0</v>
      </c>
      <c r="CZ618" s="2043">
        <v>0</v>
      </c>
      <c r="DA618" s="2043">
        <v>0</v>
      </c>
      <c r="DB618" s="2043">
        <v>0</v>
      </c>
      <c r="DC618" s="2043">
        <v>0</v>
      </c>
      <c r="DI618" t="s">
        <v>3056</v>
      </c>
      <c r="DJ618" t="s">
        <v>3056</v>
      </c>
      <c r="DK618" s="2042">
        <f t="shared" si="11"/>
        <v>0</v>
      </c>
    </row>
    <row r="619" spans="1:115">
      <c r="A619" t="s">
        <v>5815</v>
      </c>
      <c r="B619" t="s">
        <v>1170</v>
      </c>
      <c r="C619">
        <v>535.80899999999997</v>
      </c>
      <c r="D619">
        <v>545.57400000000007</v>
      </c>
      <c r="E619">
        <v>21.128</v>
      </c>
      <c r="F619">
        <v>0</v>
      </c>
      <c r="G619" s="2043">
        <v>745659300</v>
      </c>
      <c r="H619">
        <v>0</v>
      </c>
      <c r="I619" s="2043">
        <v>0</v>
      </c>
      <c r="J619">
        <v>26.79</v>
      </c>
      <c r="K619">
        <v>73</v>
      </c>
      <c r="L619">
        <v>0</v>
      </c>
      <c r="M619">
        <v>0</v>
      </c>
      <c r="N619">
        <v>0</v>
      </c>
      <c r="O619">
        <v>0</v>
      </c>
      <c r="P619">
        <v>0</v>
      </c>
      <c r="Q619">
        <v>0</v>
      </c>
      <c r="R619" s="2043">
        <v>6783314</v>
      </c>
      <c r="S619">
        <v>371322</v>
      </c>
      <c r="T619">
        <v>0</v>
      </c>
      <c r="U619">
        <v>0.05</v>
      </c>
      <c r="V619">
        <v>0</v>
      </c>
      <c r="W619">
        <v>1166278</v>
      </c>
      <c r="X619">
        <v>0</v>
      </c>
      <c r="Y619">
        <v>1680097</v>
      </c>
      <c r="Z619">
        <v>0.84400000000000008</v>
      </c>
      <c r="AA619">
        <v>0</v>
      </c>
      <c r="AB619">
        <v>528.87200000000007</v>
      </c>
      <c r="AC619" s="2043">
        <v>874474156</v>
      </c>
      <c r="AD619">
        <v>552865</v>
      </c>
      <c r="AE619" s="2043">
        <v>7154636</v>
      </c>
      <c r="AF619">
        <v>0.96340000000000003</v>
      </c>
      <c r="AG619">
        <v>0</v>
      </c>
      <c r="AH619">
        <v>1166278</v>
      </c>
      <c r="AI619">
        <v>0</v>
      </c>
      <c r="AJ619">
        <v>68.888000000000005</v>
      </c>
      <c r="AK619">
        <v>1647</v>
      </c>
      <c r="AL619">
        <v>0</v>
      </c>
      <c r="AM619">
        <v>0</v>
      </c>
      <c r="AN619">
        <v>14.076000000000001</v>
      </c>
      <c r="AO619">
        <v>0</v>
      </c>
      <c r="AP619">
        <v>0</v>
      </c>
      <c r="AQ619">
        <v>0</v>
      </c>
      <c r="AR619">
        <v>10.166</v>
      </c>
      <c r="AS619">
        <v>0</v>
      </c>
      <c r="AT619">
        <v>0</v>
      </c>
      <c r="AU619">
        <v>0.70100000000000007</v>
      </c>
      <c r="AV619">
        <v>0</v>
      </c>
      <c r="AW619">
        <v>10.867000000000001</v>
      </c>
      <c r="AX619">
        <v>0</v>
      </c>
      <c r="AY619">
        <v>34.003</v>
      </c>
      <c r="AZ619">
        <v>0</v>
      </c>
      <c r="BA619">
        <v>2054702</v>
      </c>
      <c r="BB619">
        <v>7707501</v>
      </c>
      <c r="BC619">
        <v>0</v>
      </c>
      <c r="BD619">
        <v>9434</v>
      </c>
      <c r="BE619">
        <v>0</v>
      </c>
      <c r="BF619">
        <v>9434</v>
      </c>
      <c r="BG619">
        <v>9434</v>
      </c>
      <c r="BH619">
        <v>0</v>
      </c>
      <c r="BI619">
        <v>0</v>
      </c>
      <c r="BJ619">
        <v>0</v>
      </c>
      <c r="BK619">
        <v>0</v>
      </c>
      <c r="BL619">
        <v>745659300</v>
      </c>
      <c r="BM619">
        <v>0</v>
      </c>
      <c r="BN619">
        <v>2313</v>
      </c>
      <c r="BO619">
        <v>2022</v>
      </c>
      <c r="BP619">
        <v>0</v>
      </c>
      <c r="BQ619">
        <v>0</v>
      </c>
      <c r="BR619">
        <v>0.91339999999999999</v>
      </c>
      <c r="BS619">
        <v>0.91339999999999999</v>
      </c>
      <c r="BT619">
        <v>0</v>
      </c>
      <c r="BU619">
        <v>1680097</v>
      </c>
      <c r="BV619">
        <v>9</v>
      </c>
      <c r="BW619">
        <v>238</v>
      </c>
      <c r="BX619">
        <v>22</v>
      </c>
      <c r="BY619">
        <v>9</v>
      </c>
      <c r="BZ619">
        <v>9</v>
      </c>
      <c r="CA619">
        <v>287</v>
      </c>
      <c r="CB619">
        <v>0</v>
      </c>
      <c r="CC619">
        <v>0</v>
      </c>
      <c r="CD619">
        <v>0</v>
      </c>
      <c r="CE619">
        <v>32</v>
      </c>
      <c r="CF619">
        <v>71.503</v>
      </c>
      <c r="CG619">
        <v>0</v>
      </c>
      <c r="CH619">
        <v>0</v>
      </c>
      <c r="CI619">
        <v>4</v>
      </c>
      <c r="CJ619">
        <v>18</v>
      </c>
      <c r="CK619">
        <v>1</v>
      </c>
      <c r="CL619">
        <v>0</v>
      </c>
      <c r="CM619">
        <v>21.128</v>
      </c>
      <c r="CN619">
        <v>0</v>
      </c>
      <c r="CO619">
        <v>0</v>
      </c>
      <c r="CP619">
        <v>0</v>
      </c>
      <c r="CQ619">
        <v>0</v>
      </c>
      <c r="CR619">
        <v>0</v>
      </c>
      <c r="CS619">
        <v>0</v>
      </c>
      <c r="CT619">
        <v>0</v>
      </c>
      <c r="CU619">
        <v>0.16700000000000001</v>
      </c>
      <c r="CV619">
        <v>34.935000000000002</v>
      </c>
      <c r="CW619">
        <v>11.77</v>
      </c>
      <c r="CX619">
        <v>0</v>
      </c>
      <c r="CY619" s="2043">
        <v>0</v>
      </c>
      <c r="CZ619" s="2043">
        <v>0</v>
      </c>
      <c r="DA619" s="2043">
        <v>0</v>
      </c>
      <c r="DB619" s="2043">
        <v>0</v>
      </c>
      <c r="DC619" s="2043">
        <v>121098</v>
      </c>
      <c r="DI619" t="s">
        <v>5815</v>
      </c>
      <c r="DJ619" t="s">
        <v>5815</v>
      </c>
      <c r="DK619" s="2042">
        <f t="shared" si="11"/>
        <v>0</v>
      </c>
    </row>
    <row r="620" spans="1:115">
      <c r="A620" t="s">
        <v>5816</v>
      </c>
      <c r="B620" t="s">
        <v>1171</v>
      </c>
      <c r="C620">
        <v>213.74600000000001</v>
      </c>
      <c r="D620">
        <v>166.62700000000001</v>
      </c>
      <c r="E620">
        <v>2.016</v>
      </c>
      <c r="F620">
        <v>0</v>
      </c>
      <c r="G620" s="2043">
        <v>47768293</v>
      </c>
      <c r="H620">
        <v>0</v>
      </c>
      <c r="I620" s="2043">
        <v>146800</v>
      </c>
      <c r="J620">
        <v>10.687000000000001</v>
      </c>
      <c r="K620">
        <v>29</v>
      </c>
      <c r="L620">
        <v>0</v>
      </c>
      <c r="M620">
        <v>0</v>
      </c>
      <c r="N620">
        <v>0</v>
      </c>
      <c r="O620">
        <v>0</v>
      </c>
      <c r="P620">
        <v>0</v>
      </c>
      <c r="Q620">
        <v>0</v>
      </c>
      <c r="R620" s="2043">
        <v>432681</v>
      </c>
      <c r="S620">
        <v>37896</v>
      </c>
      <c r="T620">
        <v>27617</v>
      </c>
      <c r="U620">
        <v>0.08</v>
      </c>
      <c r="V620">
        <v>0</v>
      </c>
      <c r="W620">
        <v>0</v>
      </c>
      <c r="X620">
        <v>0</v>
      </c>
      <c r="Y620">
        <v>0</v>
      </c>
      <c r="Z620">
        <v>0</v>
      </c>
      <c r="AA620">
        <v>0</v>
      </c>
      <c r="AB620">
        <v>166.19500000000002</v>
      </c>
      <c r="AC620" s="2043">
        <v>56700940</v>
      </c>
      <c r="AD620">
        <v>122436</v>
      </c>
      <c r="AE620" s="2043">
        <v>498194</v>
      </c>
      <c r="AF620">
        <v>1.0517000000000001</v>
      </c>
      <c r="AG620">
        <v>0</v>
      </c>
      <c r="AH620">
        <v>0</v>
      </c>
      <c r="AI620">
        <v>0</v>
      </c>
      <c r="AJ620">
        <v>31.913</v>
      </c>
      <c r="AK620">
        <v>932</v>
      </c>
      <c r="AL620">
        <v>0</v>
      </c>
      <c r="AM620">
        <v>0</v>
      </c>
      <c r="AN620">
        <v>5.38</v>
      </c>
      <c r="AO620">
        <v>0</v>
      </c>
      <c r="AP620">
        <v>0</v>
      </c>
      <c r="AQ620">
        <v>0</v>
      </c>
      <c r="AR620">
        <v>6.282</v>
      </c>
      <c r="AS620">
        <v>0</v>
      </c>
      <c r="AT620">
        <v>0</v>
      </c>
      <c r="AU620">
        <v>0.248</v>
      </c>
      <c r="AV620">
        <v>0</v>
      </c>
      <c r="AW620">
        <v>6.53</v>
      </c>
      <c r="AX620">
        <v>0</v>
      </c>
      <c r="AY620">
        <v>20.086000000000002</v>
      </c>
      <c r="AZ620">
        <v>0</v>
      </c>
      <c r="BA620">
        <v>2600743</v>
      </c>
      <c r="BB620">
        <v>620630</v>
      </c>
      <c r="BC620">
        <v>0</v>
      </c>
      <c r="BD620">
        <v>0</v>
      </c>
      <c r="BE620">
        <v>0</v>
      </c>
      <c r="BF620">
        <v>0</v>
      </c>
      <c r="BG620">
        <v>0</v>
      </c>
      <c r="BH620">
        <v>0</v>
      </c>
      <c r="BI620">
        <v>0</v>
      </c>
      <c r="BJ620">
        <v>0</v>
      </c>
      <c r="BK620">
        <v>0</v>
      </c>
      <c r="BL620">
        <v>47768293</v>
      </c>
      <c r="BM620">
        <v>0</v>
      </c>
      <c r="BN620">
        <v>639</v>
      </c>
      <c r="BO620">
        <v>567</v>
      </c>
      <c r="BP620">
        <v>0</v>
      </c>
      <c r="BQ620">
        <v>0</v>
      </c>
      <c r="BR620">
        <v>0.91339999999999999</v>
      </c>
      <c r="BS620">
        <v>0.91339999999999999</v>
      </c>
      <c r="BT620">
        <v>0</v>
      </c>
      <c r="BU620">
        <v>0</v>
      </c>
      <c r="BV620">
        <v>41</v>
      </c>
      <c r="BW620">
        <v>7</v>
      </c>
      <c r="BX620">
        <v>40</v>
      </c>
      <c r="BY620">
        <v>20</v>
      </c>
      <c r="BZ620">
        <v>21</v>
      </c>
      <c r="CA620">
        <v>129</v>
      </c>
      <c r="CB620">
        <v>0</v>
      </c>
      <c r="CC620">
        <v>0</v>
      </c>
      <c r="CD620">
        <v>0</v>
      </c>
      <c r="CE620">
        <v>9</v>
      </c>
      <c r="CF620">
        <v>34.298999999999999</v>
      </c>
      <c r="CG620">
        <v>0</v>
      </c>
      <c r="CH620">
        <v>0</v>
      </c>
      <c r="CI620">
        <v>2</v>
      </c>
      <c r="CJ620">
        <v>4</v>
      </c>
      <c r="CK620">
        <v>0</v>
      </c>
      <c r="CL620">
        <v>0</v>
      </c>
      <c r="CM620">
        <v>2.016</v>
      </c>
      <c r="CN620">
        <v>0</v>
      </c>
      <c r="CO620">
        <v>0</v>
      </c>
      <c r="CP620">
        <v>0</v>
      </c>
      <c r="CQ620">
        <v>0</v>
      </c>
      <c r="CR620">
        <v>0</v>
      </c>
      <c r="CS620">
        <v>0</v>
      </c>
      <c r="CT620">
        <v>0</v>
      </c>
      <c r="CU620">
        <v>0</v>
      </c>
      <c r="CV620">
        <v>16.955000000000002</v>
      </c>
      <c r="CW620">
        <v>8.027000000000001</v>
      </c>
      <c r="CX620">
        <v>0</v>
      </c>
      <c r="CY620" s="2043">
        <v>0</v>
      </c>
      <c r="CZ620" s="2043">
        <v>0</v>
      </c>
      <c r="DA620" s="2043">
        <v>0</v>
      </c>
      <c r="DB620" s="2043">
        <v>0</v>
      </c>
      <c r="DC620" s="2043">
        <v>0</v>
      </c>
      <c r="DI620" t="s">
        <v>5816</v>
      </c>
      <c r="DJ620" t="s">
        <v>5816</v>
      </c>
      <c r="DK620" s="2042">
        <f t="shared" si="11"/>
        <v>0</v>
      </c>
    </row>
    <row r="621" spans="1:115">
      <c r="A621" t="s">
        <v>8048</v>
      </c>
      <c r="B621" t="s">
        <v>11369</v>
      </c>
      <c r="C621">
        <v>45.994</v>
      </c>
      <c r="D621">
        <v>76.313000000000002</v>
      </c>
      <c r="E621">
        <v>2.5860000000000003</v>
      </c>
      <c r="F621">
        <v>0</v>
      </c>
      <c r="G621" s="2043">
        <v>0</v>
      </c>
      <c r="H621">
        <v>0</v>
      </c>
      <c r="I621" s="2043">
        <v>0</v>
      </c>
      <c r="J621">
        <v>0</v>
      </c>
      <c r="K621">
        <v>0</v>
      </c>
      <c r="L621">
        <v>0</v>
      </c>
      <c r="M621">
        <v>0</v>
      </c>
      <c r="N621">
        <v>0</v>
      </c>
      <c r="O621">
        <v>0</v>
      </c>
      <c r="P621">
        <v>0</v>
      </c>
      <c r="Q621">
        <v>0</v>
      </c>
      <c r="R621" s="2043">
        <v>0</v>
      </c>
      <c r="S621">
        <v>0</v>
      </c>
      <c r="T621">
        <v>0</v>
      </c>
      <c r="U621">
        <v>0</v>
      </c>
      <c r="V621">
        <v>0</v>
      </c>
      <c r="W621">
        <v>0</v>
      </c>
      <c r="X621">
        <v>0</v>
      </c>
      <c r="Y621">
        <v>8131</v>
      </c>
      <c r="Z621">
        <v>0</v>
      </c>
      <c r="AA621">
        <v>0</v>
      </c>
      <c r="AB621">
        <v>64.802999999999997</v>
      </c>
      <c r="AC621" s="2043">
        <v>0</v>
      </c>
      <c r="AD621">
        <v>0</v>
      </c>
      <c r="AE621" s="2043">
        <v>0</v>
      </c>
      <c r="AF621">
        <v>0</v>
      </c>
      <c r="AG621">
        <v>0</v>
      </c>
      <c r="AH621">
        <v>0</v>
      </c>
      <c r="AI621">
        <v>0</v>
      </c>
      <c r="AJ621">
        <v>12.588000000000001</v>
      </c>
      <c r="AK621">
        <v>604</v>
      </c>
      <c r="AL621">
        <v>0</v>
      </c>
      <c r="AM621">
        <v>0</v>
      </c>
      <c r="AN621">
        <v>0</v>
      </c>
      <c r="AO621">
        <v>0</v>
      </c>
      <c r="AP621">
        <v>0</v>
      </c>
      <c r="AQ621">
        <v>6.6710000000000003</v>
      </c>
      <c r="AR621">
        <v>0</v>
      </c>
      <c r="AS621">
        <v>0</v>
      </c>
      <c r="AT621">
        <v>0</v>
      </c>
      <c r="AU621">
        <v>0</v>
      </c>
      <c r="AV621">
        <v>0</v>
      </c>
      <c r="AW621">
        <v>6.6710000000000003</v>
      </c>
      <c r="AX621">
        <v>0</v>
      </c>
      <c r="AY621">
        <v>0</v>
      </c>
      <c r="AZ621">
        <v>0</v>
      </c>
      <c r="BA621">
        <v>638498</v>
      </c>
      <c r="BB621">
        <v>0</v>
      </c>
      <c r="BC621">
        <v>0</v>
      </c>
      <c r="BD621">
        <v>0</v>
      </c>
      <c r="BE621">
        <v>0</v>
      </c>
      <c r="BF621">
        <v>0</v>
      </c>
      <c r="BG621">
        <v>0</v>
      </c>
      <c r="BH621">
        <v>0</v>
      </c>
      <c r="BI621">
        <v>0</v>
      </c>
      <c r="BJ621">
        <v>0</v>
      </c>
      <c r="BK621">
        <v>0</v>
      </c>
      <c r="BL621">
        <v>0</v>
      </c>
      <c r="BM621">
        <v>0</v>
      </c>
      <c r="BN621">
        <v>810</v>
      </c>
      <c r="BO621">
        <v>0</v>
      </c>
      <c r="BP621">
        <v>0</v>
      </c>
      <c r="BQ621">
        <v>0</v>
      </c>
      <c r="BR621">
        <v>0</v>
      </c>
      <c r="BS621">
        <v>0</v>
      </c>
      <c r="BT621">
        <v>0</v>
      </c>
      <c r="BU621">
        <v>0</v>
      </c>
      <c r="BV621">
        <v>12</v>
      </c>
      <c r="BW621">
        <v>13</v>
      </c>
      <c r="BX621">
        <v>9</v>
      </c>
      <c r="BY621">
        <v>10</v>
      </c>
      <c r="BZ621">
        <v>7</v>
      </c>
      <c r="CA621">
        <v>51</v>
      </c>
      <c r="CB621">
        <v>0</v>
      </c>
      <c r="CC621">
        <v>0</v>
      </c>
      <c r="CD621">
        <v>0</v>
      </c>
      <c r="CE621">
        <v>4</v>
      </c>
      <c r="CF621">
        <v>0</v>
      </c>
      <c r="CG621">
        <v>45.994</v>
      </c>
      <c r="CH621">
        <v>40.011000000000003</v>
      </c>
      <c r="CI621">
        <v>0</v>
      </c>
      <c r="CJ621">
        <v>0</v>
      </c>
      <c r="CK621">
        <v>0</v>
      </c>
      <c r="CL621">
        <v>86.00500000000001</v>
      </c>
      <c r="CM621">
        <v>2.5860000000000003</v>
      </c>
      <c r="CN621">
        <v>0</v>
      </c>
      <c r="CO621">
        <v>0</v>
      </c>
      <c r="CP621">
        <v>0</v>
      </c>
      <c r="CQ621">
        <v>0</v>
      </c>
      <c r="CR621">
        <v>0</v>
      </c>
      <c r="CS621">
        <v>0</v>
      </c>
      <c r="CT621">
        <v>0</v>
      </c>
      <c r="CU621">
        <v>0</v>
      </c>
      <c r="CV621">
        <v>3.8220000000000001</v>
      </c>
      <c r="CW621">
        <v>0</v>
      </c>
      <c r="CX621">
        <v>0</v>
      </c>
      <c r="CY621" s="2043">
        <v>0</v>
      </c>
      <c r="CZ621" s="2043">
        <v>0</v>
      </c>
      <c r="DA621" s="2043">
        <v>0</v>
      </c>
      <c r="DB621" s="2043">
        <v>0</v>
      </c>
      <c r="DC621" s="2043">
        <v>0</v>
      </c>
      <c r="DI621" t="s">
        <v>8048</v>
      </c>
      <c r="DJ621" t="s">
        <v>8048</v>
      </c>
      <c r="DK621" s="2042">
        <f t="shared" si="11"/>
        <v>0</v>
      </c>
    </row>
    <row r="622" spans="1:115">
      <c r="A622" t="s">
        <v>5095</v>
      </c>
      <c r="B622" t="s">
        <v>1172</v>
      </c>
      <c r="C622">
        <v>7083.527</v>
      </c>
      <c r="D622">
        <v>7079.2809999999999</v>
      </c>
      <c r="E622">
        <v>527</v>
      </c>
      <c r="F622">
        <v>0</v>
      </c>
      <c r="G622" s="2043">
        <v>7073598209</v>
      </c>
      <c r="H622">
        <v>0</v>
      </c>
      <c r="I622" s="2043">
        <v>7772289</v>
      </c>
      <c r="J622">
        <v>354.17600000000004</v>
      </c>
      <c r="K622">
        <v>968</v>
      </c>
      <c r="L622">
        <v>0</v>
      </c>
      <c r="M622">
        <v>0</v>
      </c>
      <c r="N622">
        <v>0</v>
      </c>
      <c r="O622">
        <v>0</v>
      </c>
      <c r="P622">
        <v>0</v>
      </c>
      <c r="Q622">
        <v>0</v>
      </c>
      <c r="R622" s="2043">
        <v>62648695</v>
      </c>
      <c r="S622">
        <v>3504626</v>
      </c>
      <c r="T622">
        <v>0</v>
      </c>
      <c r="U622">
        <v>0.05</v>
      </c>
      <c r="V622">
        <v>0</v>
      </c>
      <c r="W622">
        <v>5824846</v>
      </c>
      <c r="X622">
        <v>0</v>
      </c>
      <c r="Y622">
        <v>-5787</v>
      </c>
      <c r="Z622">
        <v>0</v>
      </c>
      <c r="AA622">
        <v>0.371</v>
      </c>
      <c r="AB622">
        <v>6817.29</v>
      </c>
      <c r="AC622" s="2043">
        <v>6052387092</v>
      </c>
      <c r="AD622">
        <v>10151440</v>
      </c>
      <c r="AE622" s="2043">
        <v>66153321</v>
      </c>
      <c r="AF622">
        <v>0.94380000000000008</v>
      </c>
      <c r="AG622">
        <v>0</v>
      </c>
      <c r="AH622">
        <v>5824846</v>
      </c>
      <c r="AI622">
        <v>0</v>
      </c>
      <c r="AJ622">
        <v>967.27500000000009</v>
      </c>
      <c r="AK622">
        <v>26823</v>
      </c>
      <c r="AL622">
        <v>0.70200000000000007</v>
      </c>
      <c r="AM622">
        <v>0</v>
      </c>
      <c r="AN622">
        <v>284.76800000000003</v>
      </c>
      <c r="AO622">
        <v>0</v>
      </c>
      <c r="AP622">
        <v>0</v>
      </c>
      <c r="AQ622">
        <v>0</v>
      </c>
      <c r="AR622">
        <v>175.81200000000001</v>
      </c>
      <c r="AS622">
        <v>0</v>
      </c>
      <c r="AT622">
        <v>73.765000000000001</v>
      </c>
      <c r="AU622">
        <v>20.927</v>
      </c>
      <c r="AV622">
        <v>0</v>
      </c>
      <c r="AW622">
        <v>271.20600000000002</v>
      </c>
      <c r="AX622">
        <v>0</v>
      </c>
      <c r="AY622">
        <v>856.87600000000009</v>
      </c>
      <c r="AZ622">
        <v>0</v>
      </c>
      <c r="BA622">
        <v>4885574</v>
      </c>
      <c r="BB622">
        <v>76304761</v>
      </c>
      <c r="BC622">
        <v>0</v>
      </c>
      <c r="BD622">
        <v>597924</v>
      </c>
      <c r="BE622">
        <v>363736</v>
      </c>
      <c r="BF622">
        <v>961660</v>
      </c>
      <c r="BG622">
        <v>597924</v>
      </c>
      <c r="BH622">
        <v>0</v>
      </c>
      <c r="BI622">
        <v>0</v>
      </c>
      <c r="BJ622">
        <v>-5787</v>
      </c>
      <c r="BK622">
        <v>0</v>
      </c>
      <c r="BL622">
        <v>7073598209</v>
      </c>
      <c r="BM622">
        <v>0</v>
      </c>
      <c r="BN622">
        <v>24804</v>
      </c>
      <c r="BO622">
        <v>18051</v>
      </c>
      <c r="BP622">
        <v>0</v>
      </c>
      <c r="BQ622">
        <v>0</v>
      </c>
      <c r="BR622">
        <v>0.89380000000000004</v>
      </c>
      <c r="BS622">
        <v>0.89380000000000004</v>
      </c>
      <c r="BT622">
        <v>0</v>
      </c>
      <c r="BU622">
        <v>0</v>
      </c>
      <c r="BV622">
        <v>1156</v>
      </c>
      <c r="BW622">
        <v>1049</v>
      </c>
      <c r="BX622">
        <v>1434</v>
      </c>
      <c r="BY622">
        <v>287</v>
      </c>
      <c r="BZ622">
        <v>88</v>
      </c>
      <c r="CA622">
        <v>4014</v>
      </c>
      <c r="CB622">
        <v>0</v>
      </c>
      <c r="CC622">
        <v>149.93900000000002</v>
      </c>
      <c r="CD622">
        <v>0</v>
      </c>
      <c r="CE622">
        <v>704</v>
      </c>
      <c r="CF622">
        <v>1452.556</v>
      </c>
      <c r="CG622">
        <v>34.129000000000005</v>
      </c>
      <c r="CH622">
        <v>0</v>
      </c>
      <c r="CI622">
        <v>4</v>
      </c>
      <c r="CJ622">
        <v>55</v>
      </c>
      <c r="CK622">
        <v>2</v>
      </c>
      <c r="CL622">
        <v>34.129000000000005</v>
      </c>
      <c r="CM622">
        <v>527</v>
      </c>
      <c r="CN622">
        <v>0</v>
      </c>
      <c r="CO622">
        <v>0</v>
      </c>
      <c r="CP622">
        <v>0</v>
      </c>
      <c r="CQ622">
        <v>0</v>
      </c>
      <c r="CR622">
        <v>0</v>
      </c>
      <c r="CS622">
        <v>0</v>
      </c>
      <c r="CT622">
        <v>0</v>
      </c>
      <c r="CU622">
        <v>73.347000000000008</v>
      </c>
      <c r="CV622">
        <v>298.42099999999999</v>
      </c>
      <c r="CW622">
        <v>248.08100000000002</v>
      </c>
      <c r="CX622">
        <v>0</v>
      </c>
      <c r="CY622" s="2043">
        <v>0</v>
      </c>
      <c r="CZ622" s="2043">
        <v>0</v>
      </c>
      <c r="DA622" s="2043">
        <v>0</v>
      </c>
      <c r="DB622" s="2043">
        <v>0</v>
      </c>
      <c r="DC622" s="2043">
        <v>1637946</v>
      </c>
      <c r="DI622" t="s">
        <v>5095</v>
      </c>
      <c r="DJ622" t="s">
        <v>5095</v>
      </c>
      <c r="DK622" s="2042">
        <f t="shared" si="11"/>
        <v>0</v>
      </c>
    </row>
    <row r="623" spans="1:115">
      <c r="A623" t="s">
        <v>3057</v>
      </c>
      <c r="B623" t="s">
        <v>1675</v>
      </c>
      <c r="C623">
        <v>409.137</v>
      </c>
      <c r="D623">
        <v>443.14400000000001</v>
      </c>
      <c r="E623">
        <v>14.75</v>
      </c>
      <c r="F623">
        <v>0</v>
      </c>
      <c r="G623" s="2043">
        <v>240612170</v>
      </c>
      <c r="H623">
        <v>0</v>
      </c>
      <c r="I623" s="2043">
        <v>468179</v>
      </c>
      <c r="J623">
        <v>15</v>
      </c>
      <c r="K623">
        <v>41</v>
      </c>
      <c r="L623">
        <v>0</v>
      </c>
      <c r="M623">
        <v>125920</v>
      </c>
      <c r="N623">
        <v>0</v>
      </c>
      <c r="O623">
        <v>125920</v>
      </c>
      <c r="P623">
        <v>0</v>
      </c>
      <c r="Q623">
        <v>0</v>
      </c>
      <c r="R623" s="2043">
        <v>1932287</v>
      </c>
      <c r="S623">
        <v>187441</v>
      </c>
      <c r="T623">
        <v>130272</v>
      </c>
      <c r="U623">
        <v>0.08</v>
      </c>
      <c r="V623">
        <v>0</v>
      </c>
      <c r="W623">
        <v>0</v>
      </c>
      <c r="X623">
        <v>0</v>
      </c>
      <c r="Y623">
        <v>0</v>
      </c>
      <c r="Z623">
        <v>0</v>
      </c>
      <c r="AA623">
        <v>0</v>
      </c>
      <c r="AB623">
        <v>421.541</v>
      </c>
      <c r="AC623" s="2043">
        <v>183579710</v>
      </c>
      <c r="AD623">
        <v>770086</v>
      </c>
      <c r="AE623" s="2043">
        <v>2250000</v>
      </c>
      <c r="AF623">
        <v>0.96030000000000004</v>
      </c>
      <c r="AG623">
        <v>0</v>
      </c>
      <c r="AH623">
        <v>0</v>
      </c>
      <c r="AI623">
        <v>0</v>
      </c>
      <c r="AJ623">
        <v>53.525000000000006</v>
      </c>
      <c r="AK623">
        <v>1334</v>
      </c>
      <c r="AL623">
        <v>0</v>
      </c>
      <c r="AM623">
        <v>0</v>
      </c>
      <c r="AN623">
        <v>5.3319999999999999</v>
      </c>
      <c r="AO623">
        <v>0</v>
      </c>
      <c r="AP623">
        <v>0</v>
      </c>
      <c r="AQ623">
        <v>0</v>
      </c>
      <c r="AR623">
        <v>8.2940000000000005</v>
      </c>
      <c r="AS623">
        <v>0</v>
      </c>
      <c r="AT623">
        <v>1.6440000000000001</v>
      </c>
      <c r="AU623">
        <v>0.67300000000000004</v>
      </c>
      <c r="AV623">
        <v>0</v>
      </c>
      <c r="AW623">
        <v>10.611000000000001</v>
      </c>
      <c r="AX623">
        <v>0</v>
      </c>
      <c r="AY623">
        <v>33.179000000000002</v>
      </c>
      <c r="AZ623">
        <v>0</v>
      </c>
      <c r="BA623">
        <v>3161372</v>
      </c>
      <c r="BB623">
        <v>3020086</v>
      </c>
      <c r="BC623">
        <v>0</v>
      </c>
      <c r="BD623">
        <v>24696</v>
      </c>
      <c r="BE623">
        <v>3629</v>
      </c>
      <c r="BF623">
        <v>28325</v>
      </c>
      <c r="BG623">
        <v>24696</v>
      </c>
      <c r="BH623">
        <v>0</v>
      </c>
      <c r="BI623">
        <v>0</v>
      </c>
      <c r="BJ623">
        <v>0</v>
      </c>
      <c r="BK623">
        <v>0</v>
      </c>
      <c r="BL623">
        <v>240612170</v>
      </c>
      <c r="BM623">
        <v>0</v>
      </c>
      <c r="BN623">
        <v>1719</v>
      </c>
      <c r="BO623">
        <v>1220</v>
      </c>
      <c r="BP623">
        <v>0</v>
      </c>
      <c r="BQ623">
        <v>0</v>
      </c>
      <c r="BR623">
        <v>0.82469999999999999</v>
      </c>
      <c r="BS623">
        <v>0.82469999999999999</v>
      </c>
      <c r="BT623">
        <v>0</v>
      </c>
      <c r="BU623">
        <v>0</v>
      </c>
      <c r="BV623">
        <v>57</v>
      </c>
      <c r="BW623">
        <v>168</v>
      </c>
      <c r="BX623">
        <v>0</v>
      </c>
      <c r="BY623">
        <v>2</v>
      </c>
      <c r="BZ623">
        <v>1</v>
      </c>
      <c r="CA623">
        <v>228</v>
      </c>
      <c r="CB623">
        <v>0</v>
      </c>
      <c r="CC623">
        <v>0</v>
      </c>
      <c r="CD623">
        <v>0</v>
      </c>
      <c r="CE623">
        <v>22</v>
      </c>
      <c r="CF623">
        <v>74.846000000000004</v>
      </c>
      <c r="CG623">
        <v>0</v>
      </c>
      <c r="CH623">
        <v>0</v>
      </c>
      <c r="CI623">
        <v>2</v>
      </c>
      <c r="CJ623">
        <v>3</v>
      </c>
      <c r="CK623">
        <v>0</v>
      </c>
      <c r="CL623">
        <v>0</v>
      </c>
      <c r="CM623">
        <v>14.75</v>
      </c>
      <c r="CN623">
        <v>0</v>
      </c>
      <c r="CO623">
        <v>0</v>
      </c>
      <c r="CP623">
        <v>0</v>
      </c>
      <c r="CQ623">
        <v>0</v>
      </c>
      <c r="CR623">
        <v>0</v>
      </c>
      <c r="CS623">
        <v>0</v>
      </c>
      <c r="CT623">
        <v>0</v>
      </c>
      <c r="CU623">
        <v>0</v>
      </c>
      <c r="CV623">
        <v>23.821000000000002</v>
      </c>
      <c r="CW623">
        <v>19.868000000000002</v>
      </c>
      <c r="CX623">
        <v>0</v>
      </c>
      <c r="CY623" s="2043">
        <v>0</v>
      </c>
      <c r="CZ623" s="2043">
        <v>0</v>
      </c>
      <c r="DA623" s="2043">
        <v>0</v>
      </c>
      <c r="DB623" s="2043">
        <v>0</v>
      </c>
      <c r="DC623" s="2043">
        <v>0</v>
      </c>
      <c r="DI623" t="s">
        <v>3057</v>
      </c>
      <c r="DJ623" t="s">
        <v>3057</v>
      </c>
      <c r="DK623" s="2042">
        <f t="shared" si="11"/>
        <v>0</v>
      </c>
    </row>
    <row r="624" spans="1:115">
      <c r="A624" t="s">
        <v>3058</v>
      </c>
      <c r="B624" t="s">
        <v>1427</v>
      </c>
      <c r="C624">
        <v>790.29700000000003</v>
      </c>
      <c r="D624">
        <v>755.46900000000005</v>
      </c>
      <c r="E624">
        <v>0</v>
      </c>
      <c r="F624">
        <v>0</v>
      </c>
      <c r="G624" s="2043">
        <v>287532633</v>
      </c>
      <c r="H624">
        <v>0</v>
      </c>
      <c r="I624" s="2043">
        <v>580598</v>
      </c>
      <c r="J624">
        <v>30</v>
      </c>
      <c r="K624">
        <v>82</v>
      </c>
      <c r="L624">
        <v>0</v>
      </c>
      <c r="M624">
        <v>142382</v>
      </c>
      <c r="N624">
        <v>0</v>
      </c>
      <c r="O624">
        <v>142382</v>
      </c>
      <c r="P624">
        <v>0</v>
      </c>
      <c r="Q624">
        <v>0</v>
      </c>
      <c r="R624" s="2043">
        <v>2587121</v>
      </c>
      <c r="S624">
        <v>141620</v>
      </c>
      <c r="T624">
        <v>0</v>
      </c>
      <c r="U624">
        <v>0.05</v>
      </c>
      <c r="V624">
        <v>0</v>
      </c>
      <c r="W624">
        <v>0</v>
      </c>
      <c r="X624">
        <v>0</v>
      </c>
      <c r="Y624">
        <v>0</v>
      </c>
      <c r="Z624">
        <v>0</v>
      </c>
      <c r="AA624">
        <v>0</v>
      </c>
      <c r="AB624">
        <v>748.67700000000002</v>
      </c>
      <c r="AC624" s="2043">
        <v>279076790</v>
      </c>
      <c r="AD624">
        <v>798137</v>
      </c>
      <c r="AE624" s="2043">
        <v>2728741</v>
      </c>
      <c r="AF624">
        <v>0.96340000000000003</v>
      </c>
      <c r="AG624">
        <v>0</v>
      </c>
      <c r="AH624">
        <v>0</v>
      </c>
      <c r="AI624">
        <v>0</v>
      </c>
      <c r="AJ624">
        <v>87.113</v>
      </c>
      <c r="AK624">
        <v>2700</v>
      </c>
      <c r="AL624">
        <v>9.5000000000000001E-2</v>
      </c>
      <c r="AM624">
        <v>0</v>
      </c>
      <c r="AN624">
        <v>21.133000000000003</v>
      </c>
      <c r="AO624">
        <v>1</v>
      </c>
      <c r="AP624">
        <v>4.444</v>
      </c>
      <c r="AQ624">
        <v>0</v>
      </c>
      <c r="AR624">
        <v>13.516</v>
      </c>
      <c r="AS624">
        <v>0</v>
      </c>
      <c r="AT624">
        <v>0</v>
      </c>
      <c r="AU624">
        <v>1.6520000000000001</v>
      </c>
      <c r="AV624">
        <v>0</v>
      </c>
      <c r="AW624">
        <v>19.707000000000001</v>
      </c>
      <c r="AX624">
        <v>0</v>
      </c>
      <c r="AY624">
        <v>61.282000000000004</v>
      </c>
      <c r="AZ624">
        <v>0</v>
      </c>
      <c r="BA624">
        <v>6073454</v>
      </c>
      <c r="BB624">
        <v>3526878</v>
      </c>
      <c r="BC624">
        <v>0</v>
      </c>
      <c r="BD624">
        <v>34524</v>
      </c>
      <c r="BE624">
        <v>0</v>
      </c>
      <c r="BF624">
        <v>34524</v>
      </c>
      <c r="BG624">
        <v>34524</v>
      </c>
      <c r="BH624">
        <v>0</v>
      </c>
      <c r="BI624">
        <v>0</v>
      </c>
      <c r="BJ624">
        <v>0</v>
      </c>
      <c r="BK624">
        <v>0</v>
      </c>
      <c r="BL624">
        <v>287532633</v>
      </c>
      <c r="BM624">
        <v>0</v>
      </c>
      <c r="BN624">
        <v>2997</v>
      </c>
      <c r="BO624">
        <v>2354</v>
      </c>
      <c r="BP624">
        <v>0</v>
      </c>
      <c r="BQ624">
        <v>0</v>
      </c>
      <c r="BR624">
        <v>0.91339999999999999</v>
      </c>
      <c r="BS624">
        <v>0.91339999999999999</v>
      </c>
      <c r="BT624">
        <v>0</v>
      </c>
      <c r="BU624">
        <v>0</v>
      </c>
      <c r="BV624">
        <v>353</v>
      </c>
      <c r="BW624">
        <v>10</v>
      </c>
      <c r="BX624">
        <v>16</v>
      </c>
      <c r="BY624">
        <v>5</v>
      </c>
      <c r="BZ624">
        <v>0</v>
      </c>
      <c r="CA624">
        <v>384</v>
      </c>
      <c r="CB624">
        <v>0</v>
      </c>
      <c r="CC624">
        <v>0</v>
      </c>
      <c r="CD624">
        <v>0</v>
      </c>
      <c r="CE624">
        <v>11</v>
      </c>
      <c r="CF624">
        <v>109.77500000000001</v>
      </c>
      <c r="CG624">
        <v>0</v>
      </c>
      <c r="CH624">
        <v>0</v>
      </c>
      <c r="CI624">
        <v>2</v>
      </c>
      <c r="CJ624">
        <v>9</v>
      </c>
      <c r="CK624">
        <v>0</v>
      </c>
      <c r="CL624">
        <v>0</v>
      </c>
      <c r="CM624">
        <v>0</v>
      </c>
      <c r="CN624">
        <v>0</v>
      </c>
      <c r="CO624">
        <v>0</v>
      </c>
      <c r="CP624">
        <v>0</v>
      </c>
      <c r="CQ624">
        <v>0</v>
      </c>
      <c r="CR624">
        <v>0</v>
      </c>
      <c r="CS624">
        <v>0</v>
      </c>
      <c r="CT624">
        <v>0</v>
      </c>
      <c r="CU624">
        <v>4.859</v>
      </c>
      <c r="CV624">
        <v>53.275000000000006</v>
      </c>
      <c r="CW624">
        <v>27.228000000000002</v>
      </c>
      <c r="CX624">
        <v>0</v>
      </c>
      <c r="CY624" s="2043">
        <v>0</v>
      </c>
      <c r="CZ624" s="2043">
        <v>0</v>
      </c>
      <c r="DA624" s="2043">
        <v>0</v>
      </c>
      <c r="DB624" s="2043">
        <v>0</v>
      </c>
      <c r="DC624" s="2043">
        <v>0</v>
      </c>
      <c r="DI624" t="s">
        <v>3058</v>
      </c>
      <c r="DJ624" t="s">
        <v>3058</v>
      </c>
      <c r="DK624" s="2042">
        <f t="shared" si="11"/>
        <v>0</v>
      </c>
    </row>
    <row r="625" spans="1:115">
      <c r="A625" t="s">
        <v>3059</v>
      </c>
      <c r="B625" t="s">
        <v>169</v>
      </c>
      <c r="C625">
        <v>3989.6970000000001</v>
      </c>
      <c r="D625">
        <v>4087.739</v>
      </c>
      <c r="E625">
        <v>371.13800000000003</v>
      </c>
      <c r="F625">
        <v>0</v>
      </c>
      <c r="G625" s="2043">
        <v>1794014243</v>
      </c>
      <c r="H625">
        <v>0</v>
      </c>
      <c r="I625" s="2043">
        <v>3210731</v>
      </c>
      <c r="J625">
        <v>199.48500000000001</v>
      </c>
      <c r="K625">
        <v>545</v>
      </c>
      <c r="L625">
        <v>0</v>
      </c>
      <c r="M625">
        <v>922406</v>
      </c>
      <c r="N625">
        <v>0</v>
      </c>
      <c r="O625">
        <v>922406</v>
      </c>
      <c r="P625">
        <v>0</v>
      </c>
      <c r="Q625">
        <v>0</v>
      </c>
      <c r="R625" s="2043">
        <v>13674458</v>
      </c>
      <c r="S625">
        <v>831780</v>
      </c>
      <c r="T625">
        <v>0</v>
      </c>
      <c r="U625">
        <v>0.05</v>
      </c>
      <c r="V625">
        <v>0</v>
      </c>
      <c r="W625">
        <v>0</v>
      </c>
      <c r="X625">
        <v>0</v>
      </c>
      <c r="Y625">
        <v>0</v>
      </c>
      <c r="Z625">
        <v>0</v>
      </c>
      <c r="AA625">
        <v>3.7000000000000005E-2</v>
      </c>
      <c r="AB625">
        <v>4077.8880000000004</v>
      </c>
      <c r="AC625" s="2043">
        <v>1364262689</v>
      </c>
      <c r="AD625">
        <v>5157438</v>
      </c>
      <c r="AE625" s="2043">
        <v>14506238</v>
      </c>
      <c r="AF625">
        <v>0.872</v>
      </c>
      <c r="AG625">
        <v>0</v>
      </c>
      <c r="AH625">
        <v>0</v>
      </c>
      <c r="AI625">
        <v>0</v>
      </c>
      <c r="AJ625">
        <v>638.91300000000001</v>
      </c>
      <c r="AK625">
        <v>17816</v>
      </c>
      <c r="AL625">
        <v>0.55800000000000005</v>
      </c>
      <c r="AM625">
        <v>0</v>
      </c>
      <c r="AN625">
        <v>156.208</v>
      </c>
      <c r="AO625">
        <v>0</v>
      </c>
      <c r="AP625">
        <v>2.3010000000000002</v>
      </c>
      <c r="AQ625">
        <v>0</v>
      </c>
      <c r="AR625">
        <v>115.107</v>
      </c>
      <c r="AS625">
        <v>0</v>
      </c>
      <c r="AT625">
        <v>60.658000000000001</v>
      </c>
      <c r="AU625">
        <v>8.0530000000000008</v>
      </c>
      <c r="AV625">
        <v>0</v>
      </c>
      <c r="AW625">
        <v>186.67700000000002</v>
      </c>
      <c r="AX625">
        <v>0</v>
      </c>
      <c r="AY625">
        <v>576.56299999999999</v>
      </c>
      <c r="AZ625">
        <v>0</v>
      </c>
      <c r="BA625">
        <v>23129807</v>
      </c>
      <c r="BB625">
        <v>19663676</v>
      </c>
      <c r="BC625">
        <v>0</v>
      </c>
      <c r="BD625">
        <v>209139</v>
      </c>
      <c r="BE625">
        <v>123380</v>
      </c>
      <c r="BF625">
        <v>341034</v>
      </c>
      <c r="BG625">
        <v>209139</v>
      </c>
      <c r="BH625">
        <v>8515</v>
      </c>
      <c r="BI625">
        <v>0</v>
      </c>
      <c r="BJ625">
        <v>0</v>
      </c>
      <c r="BK625">
        <v>0</v>
      </c>
      <c r="BL625">
        <v>1794014243</v>
      </c>
      <c r="BM625">
        <v>0</v>
      </c>
      <c r="BN625">
        <v>14400</v>
      </c>
      <c r="BO625">
        <v>12326</v>
      </c>
      <c r="BP625">
        <v>0</v>
      </c>
      <c r="BQ625">
        <v>0</v>
      </c>
      <c r="BR625">
        <v>0.82200000000000006</v>
      </c>
      <c r="BS625">
        <v>0.82200000000000006</v>
      </c>
      <c r="BT625">
        <v>0</v>
      </c>
      <c r="BU625">
        <v>0</v>
      </c>
      <c r="BV625">
        <v>783</v>
      </c>
      <c r="BW625">
        <v>243</v>
      </c>
      <c r="BX625">
        <v>688</v>
      </c>
      <c r="BY625">
        <v>234</v>
      </c>
      <c r="BZ625">
        <v>624</v>
      </c>
      <c r="CA625">
        <v>2572</v>
      </c>
      <c r="CB625">
        <v>0</v>
      </c>
      <c r="CC625">
        <v>210.05</v>
      </c>
      <c r="CD625">
        <v>100.42500000000001</v>
      </c>
      <c r="CE625">
        <v>353</v>
      </c>
      <c r="CF625">
        <v>1032.3310000000001</v>
      </c>
      <c r="CG625">
        <v>15.986000000000001</v>
      </c>
      <c r="CH625">
        <v>0</v>
      </c>
      <c r="CI625">
        <v>8</v>
      </c>
      <c r="CJ625">
        <v>25</v>
      </c>
      <c r="CK625">
        <v>0</v>
      </c>
      <c r="CL625">
        <v>15.986000000000001</v>
      </c>
      <c r="CM625">
        <v>371.13800000000003</v>
      </c>
      <c r="CN625">
        <v>0</v>
      </c>
      <c r="CO625">
        <v>0</v>
      </c>
      <c r="CP625">
        <v>0</v>
      </c>
      <c r="CQ625">
        <v>0</v>
      </c>
      <c r="CR625">
        <v>0</v>
      </c>
      <c r="CS625">
        <v>0</v>
      </c>
      <c r="CT625">
        <v>0</v>
      </c>
      <c r="CU625">
        <v>5.0310000000000006</v>
      </c>
      <c r="CV625">
        <v>243.36500000000001</v>
      </c>
      <c r="CW625">
        <v>162.922</v>
      </c>
      <c r="CX625">
        <v>0</v>
      </c>
      <c r="CY625" s="2043">
        <v>0</v>
      </c>
      <c r="CZ625" s="2043">
        <v>0</v>
      </c>
      <c r="DA625" s="2043">
        <v>0</v>
      </c>
      <c r="DB625" s="2043">
        <v>0</v>
      </c>
      <c r="DC625" s="2043">
        <v>0</v>
      </c>
      <c r="DI625" t="s">
        <v>3059</v>
      </c>
      <c r="DJ625" t="s">
        <v>3059</v>
      </c>
      <c r="DK625" s="2042">
        <f t="shared" si="11"/>
        <v>0</v>
      </c>
    </row>
    <row r="626" spans="1:115">
      <c r="A626" t="s">
        <v>3060</v>
      </c>
      <c r="B626" t="s">
        <v>1409</v>
      </c>
      <c r="C626">
        <v>386.286</v>
      </c>
      <c r="D626">
        <v>379.3</v>
      </c>
      <c r="E626">
        <v>15.812000000000001</v>
      </c>
      <c r="F626">
        <v>0</v>
      </c>
      <c r="G626" s="2043">
        <v>97831586</v>
      </c>
      <c r="H626">
        <v>0</v>
      </c>
      <c r="I626" s="2043">
        <v>566726</v>
      </c>
      <c r="J626">
        <v>13</v>
      </c>
      <c r="K626">
        <v>36</v>
      </c>
      <c r="L626">
        <v>28565</v>
      </c>
      <c r="M626">
        <v>66273</v>
      </c>
      <c r="N626">
        <v>28565</v>
      </c>
      <c r="O626">
        <v>94838</v>
      </c>
      <c r="P626">
        <v>0</v>
      </c>
      <c r="Q626">
        <v>0</v>
      </c>
      <c r="R626" s="2043">
        <v>784250</v>
      </c>
      <c r="S626">
        <v>76326</v>
      </c>
      <c r="T626">
        <v>55623</v>
      </c>
      <c r="U626">
        <v>0.08</v>
      </c>
      <c r="V626">
        <v>0</v>
      </c>
      <c r="W626">
        <v>0</v>
      </c>
      <c r="X626">
        <v>0</v>
      </c>
      <c r="Y626">
        <v>0</v>
      </c>
      <c r="Z626">
        <v>0</v>
      </c>
      <c r="AA626">
        <v>0.20700000000000002</v>
      </c>
      <c r="AB626">
        <v>379.3</v>
      </c>
      <c r="AC626" s="2043">
        <v>85213258</v>
      </c>
      <c r="AD626">
        <v>430084</v>
      </c>
      <c r="AE626" s="2043">
        <v>916199</v>
      </c>
      <c r="AF626">
        <v>0.96030000000000004</v>
      </c>
      <c r="AG626">
        <v>0</v>
      </c>
      <c r="AH626">
        <v>0</v>
      </c>
      <c r="AI626">
        <v>0</v>
      </c>
      <c r="AJ626">
        <v>61.825000000000003</v>
      </c>
      <c r="AK626">
        <v>2963</v>
      </c>
      <c r="AL626">
        <v>0</v>
      </c>
      <c r="AM626">
        <v>0</v>
      </c>
      <c r="AN626">
        <v>4.1100000000000003</v>
      </c>
      <c r="AO626">
        <v>0</v>
      </c>
      <c r="AP626">
        <v>0</v>
      </c>
      <c r="AQ626">
        <v>0</v>
      </c>
      <c r="AR626">
        <v>22.447000000000003</v>
      </c>
      <c r="AS626">
        <v>0</v>
      </c>
      <c r="AT626">
        <v>3.0720000000000001</v>
      </c>
      <c r="AU626">
        <v>1.0720000000000001</v>
      </c>
      <c r="AV626">
        <v>0</v>
      </c>
      <c r="AW626">
        <v>26.591000000000001</v>
      </c>
      <c r="AX626">
        <v>0</v>
      </c>
      <c r="AY626">
        <v>81.917000000000002</v>
      </c>
      <c r="AZ626">
        <v>0</v>
      </c>
      <c r="BA626">
        <v>4736867</v>
      </c>
      <c r="BB626">
        <v>1346283</v>
      </c>
      <c r="BC626">
        <v>0</v>
      </c>
      <c r="BD626">
        <v>32204</v>
      </c>
      <c r="BE626">
        <v>4547</v>
      </c>
      <c r="BF626">
        <v>36751</v>
      </c>
      <c r="BG626">
        <v>32204</v>
      </c>
      <c r="BH626">
        <v>0</v>
      </c>
      <c r="BI626">
        <v>0</v>
      </c>
      <c r="BJ626">
        <v>0</v>
      </c>
      <c r="BK626">
        <v>0</v>
      </c>
      <c r="BL626">
        <v>97831586</v>
      </c>
      <c r="BM626">
        <v>0</v>
      </c>
      <c r="BN626">
        <v>1881</v>
      </c>
      <c r="BO626">
        <v>770</v>
      </c>
      <c r="BP626">
        <v>0</v>
      </c>
      <c r="BQ626">
        <v>0</v>
      </c>
      <c r="BR626">
        <v>0.82200000000000006</v>
      </c>
      <c r="BS626">
        <v>0.82200000000000006</v>
      </c>
      <c r="BT626">
        <v>0</v>
      </c>
      <c r="BU626">
        <v>0</v>
      </c>
      <c r="BV626">
        <v>50</v>
      </c>
      <c r="BW626">
        <v>188</v>
      </c>
      <c r="BX626">
        <v>5</v>
      </c>
      <c r="BY626">
        <v>0</v>
      </c>
      <c r="BZ626">
        <v>17</v>
      </c>
      <c r="CA626">
        <v>260</v>
      </c>
      <c r="CB626">
        <v>0</v>
      </c>
      <c r="CC626">
        <v>0</v>
      </c>
      <c r="CD626">
        <v>0</v>
      </c>
      <c r="CE626">
        <v>61</v>
      </c>
      <c r="CF626">
        <v>85.329000000000008</v>
      </c>
      <c r="CG626">
        <v>0</v>
      </c>
      <c r="CH626">
        <v>0</v>
      </c>
      <c r="CI626">
        <v>1</v>
      </c>
      <c r="CJ626">
        <v>0</v>
      </c>
      <c r="CK626">
        <v>0</v>
      </c>
      <c r="CL626">
        <v>0</v>
      </c>
      <c r="CM626">
        <v>15.812000000000001</v>
      </c>
      <c r="CN626">
        <v>0</v>
      </c>
      <c r="CO626">
        <v>0</v>
      </c>
      <c r="CP626">
        <v>0</v>
      </c>
      <c r="CQ626">
        <v>0</v>
      </c>
      <c r="CR626">
        <v>0</v>
      </c>
      <c r="CS626">
        <v>81.915000000000006</v>
      </c>
      <c r="CT626">
        <v>0</v>
      </c>
      <c r="CU626">
        <v>3.5060000000000002</v>
      </c>
      <c r="CV626">
        <v>17.61</v>
      </c>
      <c r="CW626">
        <v>13.695</v>
      </c>
      <c r="CX626">
        <v>0</v>
      </c>
      <c r="CY626" s="2043">
        <v>0</v>
      </c>
      <c r="CZ626" s="2043">
        <v>0</v>
      </c>
      <c r="DA626" s="2043">
        <v>0</v>
      </c>
      <c r="DB626" s="2043">
        <v>0</v>
      </c>
      <c r="DC626" s="2043">
        <v>0</v>
      </c>
      <c r="DI626" t="s">
        <v>3060</v>
      </c>
      <c r="DJ626" t="s">
        <v>3060</v>
      </c>
      <c r="DK626" s="2042">
        <f t="shared" si="11"/>
        <v>0</v>
      </c>
    </row>
    <row r="627" spans="1:115">
      <c r="A627" t="s">
        <v>5096</v>
      </c>
      <c r="B627" t="s">
        <v>170</v>
      </c>
      <c r="C627">
        <v>478.315</v>
      </c>
      <c r="D627">
        <v>524.08100000000002</v>
      </c>
      <c r="E627">
        <v>65.195999999999998</v>
      </c>
      <c r="F627">
        <v>0</v>
      </c>
      <c r="G627" s="2043">
        <v>111055983</v>
      </c>
      <c r="H627">
        <v>0</v>
      </c>
      <c r="I627" s="2043">
        <v>303362</v>
      </c>
      <c r="J627">
        <v>23.916</v>
      </c>
      <c r="K627">
        <v>65</v>
      </c>
      <c r="L627">
        <v>0</v>
      </c>
      <c r="M627">
        <v>0</v>
      </c>
      <c r="N627">
        <v>0</v>
      </c>
      <c r="O627">
        <v>0</v>
      </c>
      <c r="P627">
        <v>0</v>
      </c>
      <c r="Q627">
        <v>0</v>
      </c>
      <c r="R627" s="2043">
        <v>888707</v>
      </c>
      <c r="S627">
        <v>82517</v>
      </c>
      <c r="T627">
        <v>60134</v>
      </c>
      <c r="U627">
        <v>0.08</v>
      </c>
      <c r="V627">
        <v>0</v>
      </c>
      <c r="W627">
        <v>0</v>
      </c>
      <c r="X627">
        <v>0</v>
      </c>
      <c r="Y627">
        <v>0</v>
      </c>
      <c r="Z627">
        <v>0</v>
      </c>
      <c r="AA627">
        <v>0</v>
      </c>
      <c r="AB627">
        <v>515.63800000000003</v>
      </c>
      <c r="AC627" s="2043">
        <v>91897969</v>
      </c>
      <c r="AD627">
        <v>186854</v>
      </c>
      <c r="AE627" s="2043">
        <v>1031358</v>
      </c>
      <c r="AF627">
        <v>0.99990000000000001</v>
      </c>
      <c r="AG627">
        <v>0</v>
      </c>
      <c r="AH627">
        <v>0</v>
      </c>
      <c r="AI627">
        <v>0</v>
      </c>
      <c r="AJ627">
        <v>76.725000000000009</v>
      </c>
      <c r="AK627">
        <v>2437</v>
      </c>
      <c r="AL627">
        <v>0.16</v>
      </c>
      <c r="AM627">
        <v>0</v>
      </c>
      <c r="AN627">
        <v>7.4790000000000001</v>
      </c>
      <c r="AO627">
        <v>0</v>
      </c>
      <c r="AP627">
        <v>0</v>
      </c>
      <c r="AQ627">
        <v>0</v>
      </c>
      <c r="AR627">
        <v>16.183</v>
      </c>
      <c r="AS627">
        <v>0</v>
      </c>
      <c r="AT627">
        <v>3.69</v>
      </c>
      <c r="AU627">
        <v>0.70900000000000007</v>
      </c>
      <c r="AV627">
        <v>0</v>
      </c>
      <c r="AW627">
        <v>20.742000000000001</v>
      </c>
      <c r="AX627">
        <v>0</v>
      </c>
      <c r="AY627">
        <v>63.964000000000006</v>
      </c>
      <c r="AZ627">
        <v>0</v>
      </c>
      <c r="BA627">
        <v>5651257</v>
      </c>
      <c r="BB627">
        <v>1218212</v>
      </c>
      <c r="BC627">
        <v>0</v>
      </c>
      <c r="BD627">
        <v>41340</v>
      </c>
      <c r="BE627">
        <v>0</v>
      </c>
      <c r="BF627">
        <v>41340</v>
      </c>
      <c r="BG627">
        <v>41340</v>
      </c>
      <c r="BH627">
        <v>0</v>
      </c>
      <c r="BI627">
        <v>0</v>
      </c>
      <c r="BJ627">
        <v>0</v>
      </c>
      <c r="BK627">
        <v>0</v>
      </c>
      <c r="BL627">
        <v>111055983</v>
      </c>
      <c r="BM627">
        <v>0</v>
      </c>
      <c r="BN627">
        <v>1674</v>
      </c>
      <c r="BO627">
        <v>1541</v>
      </c>
      <c r="BP627">
        <v>0</v>
      </c>
      <c r="BQ627">
        <v>0</v>
      </c>
      <c r="BR627">
        <v>0.86160000000000003</v>
      </c>
      <c r="BS627">
        <v>0.86160000000000003</v>
      </c>
      <c r="BT627">
        <v>0</v>
      </c>
      <c r="BU627">
        <v>0</v>
      </c>
      <c r="BV627">
        <v>198</v>
      </c>
      <c r="BW627">
        <v>121</v>
      </c>
      <c r="BX627">
        <v>5</v>
      </c>
      <c r="BY627">
        <v>1</v>
      </c>
      <c r="BZ627">
        <v>7</v>
      </c>
      <c r="CA627">
        <v>332</v>
      </c>
      <c r="CB627">
        <v>0</v>
      </c>
      <c r="CC627">
        <v>0</v>
      </c>
      <c r="CD627">
        <v>0</v>
      </c>
      <c r="CE627">
        <v>50</v>
      </c>
      <c r="CF627">
        <v>100.05200000000001</v>
      </c>
      <c r="CG627">
        <v>0</v>
      </c>
      <c r="CH627">
        <v>0</v>
      </c>
      <c r="CI627">
        <v>2</v>
      </c>
      <c r="CJ627">
        <v>0</v>
      </c>
      <c r="CK627">
        <v>0</v>
      </c>
      <c r="CL627">
        <v>0</v>
      </c>
      <c r="CM627">
        <v>65.195999999999998</v>
      </c>
      <c r="CN627">
        <v>0</v>
      </c>
      <c r="CO627">
        <v>0</v>
      </c>
      <c r="CP627">
        <v>0</v>
      </c>
      <c r="CQ627">
        <v>0</v>
      </c>
      <c r="CR627">
        <v>0</v>
      </c>
      <c r="CS627">
        <v>0</v>
      </c>
      <c r="CT627">
        <v>0</v>
      </c>
      <c r="CU627">
        <v>7.2380000000000004</v>
      </c>
      <c r="CV627">
        <v>34.188000000000002</v>
      </c>
      <c r="CW627">
        <v>22.633000000000003</v>
      </c>
      <c r="CX627">
        <v>0</v>
      </c>
      <c r="CY627" s="2043">
        <v>0</v>
      </c>
      <c r="CZ627" s="2043">
        <v>0</v>
      </c>
      <c r="DA627" s="2043">
        <v>0</v>
      </c>
      <c r="DB627" s="2043">
        <v>0</v>
      </c>
      <c r="DC627" s="2043">
        <v>0</v>
      </c>
      <c r="DI627" t="s">
        <v>5096</v>
      </c>
      <c r="DJ627" t="s">
        <v>5096</v>
      </c>
      <c r="DK627" s="2042">
        <f t="shared" si="11"/>
        <v>0</v>
      </c>
    </row>
    <row r="628" spans="1:115">
      <c r="A628" t="s">
        <v>3061</v>
      </c>
      <c r="B628" t="s">
        <v>1836</v>
      </c>
      <c r="C628">
        <v>270.55900000000003</v>
      </c>
      <c r="D628">
        <v>315.23200000000003</v>
      </c>
      <c r="E628">
        <v>13.544</v>
      </c>
      <c r="F628">
        <v>0</v>
      </c>
      <c r="G628" s="2043">
        <v>80198712</v>
      </c>
      <c r="H628">
        <v>0</v>
      </c>
      <c r="I628" s="2043">
        <v>259050</v>
      </c>
      <c r="J628">
        <v>2</v>
      </c>
      <c r="K628">
        <v>5</v>
      </c>
      <c r="L628">
        <v>75071</v>
      </c>
      <c r="M628">
        <v>100679</v>
      </c>
      <c r="N628">
        <v>75071</v>
      </c>
      <c r="O628">
        <v>175750</v>
      </c>
      <c r="P628">
        <v>0</v>
      </c>
      <c r="Q628">
        <v>0</v>
      </c>
      <c r="R628" s="2043">
        <v>694561</v>
      </c>
      <c r="S628">
        <v>61303</v>
      </c>
      <c r="T628">
        <v>44674</v>
      </c>
      <c r="U628">
        <v>0.08</v>
      </c>
      <c r="V628">
        <v>0</v>
      </c>
      <c r="W628">
        <v>0</v>
      </c>
      <c r="X628">
        <v>0</v>
      </c>
      <c r="Y628">
        <v>0</v>
      </c>
      <c r="Z628">
        <v>0</v>
      </c>
      <c r="AA628">
        <v>0</v>
      </c>
      <c r="AB628">
        <v>298.39699999999999</v>
      </c>
      <c r="AC628" s="2043">
        <v>64207500</v>
      </c>
      <c r="AD628">
        <v>221603</v>
      </c>
      <c r="AE628" s="2043">
        <v>800538</v>
      </c>
      <c r="AF628">
        <v>1.0447</v>
      </c>
      <c r="AG628">
        <v>0</v>
      </c>
      <c r="AH628">
        <v>0</v>
      </c>
      <c r="AI628">
        <v>0</v>
      </c>
      <c r="AJ628">
        <v>38.050000000000004</v>
      </c>
      <c r="AK628">
        <v>924</v>
      </c>
      <c r="AL628">
        <v>0</v>
      </c>
      <c r="AM628">
        <v>0</v>
      </c>
      <c r="AN628">
        <v>6.5310000000000006</v>
      </c>
      <c r="AO628">
        <v>0</v>
      </c>
      <c r="AP628">
        <v>0</v>
      </c>
      <c r="AQ628">
        <v>0</v>
      </c>
      <c r="AR628">
        <v>4.8970000000000002</v>
      </c>
      <c r="AS628">
        <v>0</v>
      </c>
      <c r="AT628">
        <v>0</v>
      </c>
      <c r="AU628">
        <v>0.84600000000000009</v>
      </c>
      <c r="AV628">
        <v>0</v>
      </c>
      <c r="AW628">
        <v>5.7430000000000003</v>
      </c>
      <c r="AX628">
        <v>0</v>
      </c>
      <c r="AY628">
        <v>18.920999999999999</v>
      </c>
      <c r="AZ628">
        <v>0</v>
      </c>
      <c r="BA628">
        <v>2977144</v>
      </c>
      <c r="BB628">
        <v>1022141</v>
      </c>
      <c r="BC628">
        <v>0</v>
      </c>
      <c r="BD628">
        <v>29584</v>
      </c>
      <c r="BE628">
        <v>0</v>
      </c>
      <c r="BF628">
        <v>29584</v>
      </c>
      <c r="BG628">
        <v>29584</v>
      </c>
      <c r="BH628">
        <v>0</v>
      </c>
      <c r="BI628">
        <v>0</v>
      </c>
      <c r="BJ628">
        <v>0</v>
      </c>
      <c r="BK628">
        <v>0</v>
      </c>
      <c r="BL628">
        <v>80198712</v>
      </c>
      <c r="BM628">
        <v>0</v>
      </c>
      <c r="BN628">
        <v>756</v>
      </c>
      <c r="BO628">
        <v>150</v>
      </c>
      <c r="BP628">
        <v>0</v>
      </c>
      <c r="BQ628">
        <v>0</v>
      </c>
      <c r="BR628">
        <v>0.90640000000000009</v>
      </c>
      <c r="BS628">
        <v>0.90640000000000009</v>
      </c>
      <c r="BT628">
        <v>0</v>
      </c>
      <c r="BU628">
        <v>0</v>
      </c>
      <c r="BV628">
        <v>61</v>
      </c>
      <c r="BW628">
        <v>70</v>
      </c>
      <c r="BX628">
        <v>11</v>
      </c>
      <c r="BY628">
        <v>0</v>
      </c>
      <c r="BZ628">
        <v>18</v>
      </c>
      <c r="CA628">
        <v>160</v>
      </c>
      <c r="CB628">
        <v>0</v>
      </c>
      <c r="CC628">
        <v>0</v>
      </c>
      <c r="CD628">
        <v>0</v>
      </c>
      <c r="CE628">
        <v>11</v>
      </c>
      <c r="CF628">
        <v>45.544000000000004</v>
      </c>
      <c r="CG628">
        <v>0</v>
      </c>
      <c r="CH628">
        <v>0</v>
      </c>
      <c r="CI628">
        <v>1</v>
      </c>
      <c r="CJ628">
        <v>0</v>
      </c>
      <c r="CK628">
        <v>0</v>
      </c>
      <c r="CL628">
        <v>0</v>
      </c>
      <c r="CM628">
        <v>13.544</v>
      </c>
      <c r="CN628">
        <v>0</v>
      </c>
      <c r="CO628">
        <v>0</v>
      </c>
      <c r="CP628">
        <v>0</v>
      </c>
      <c r="CQ628">
        <v>0</v>
      </c>
      <c r="CR628">
        <v>0</v>
      </c>
      <c r="CS628">
        <v>0</v>
      </c>
      <c r="CT628">
        <v>0</v>
      </c>
      <c r="CU628">
        <v>0</v>
      </c>
      <c r="CV628">
        <v>17.173999999999999</v>
      </c>
      <c r="CW628">
        <v>7.7480000000000002</v>
      </c>
      <c r="CX628">
        <v>0</v>
      </c>
      <c r="CY628" s="2043">
        <v>0</v>
      </c>
      <c r="CZ628" s="2043">
        <v>0</v>
      </c>
      <c r="DA628" s="2043">
        <v>0</v>
      </c>
      <c r="DB628" s="2043">
        <v>0</v>
      </c>
      <c r="DC628" s="2043">
        <v>0</v>
      </c>
      <c r="DI628" t="s">
        <v>3061</v>
      </c>
      <c r="DJ628" t="s">
        <v>3061</v>
      </c>
      <c r="DK628" s="2042">
        <f t="shared" si="11"/>
        <v>0</v>
      </c>
    </row>
    <row r="629" spans="1:115">
      <c r="A629" t="s">
        <v>5817</v>
      </c>
      <c r="B629" t="s">
        <v>171</v>
      </c>
      <c r="C629">
        <v>660.74800000000005</v>
      </c>
      <c r="D629">
        <v>689.14</v>
      </c>
      <c r="E629">
        <v>158.136</v>
      </c>
      <c r="F629">
        <v>0</v>
      </c>
      <c r="G629" s="2043">
        <v>177112594</v>
      </c>
      <c r="H629">
        <v>0</v>
      </c>
      <c r="I629" s="2043">
        <v>0</v>
      </c>
      <c r="J629">
        <v>33.036999999999999</v>
      </c>
      <c r="K629">
        <v>90</v>
      </c>
      <c r="L629">
        <v>0</v>
      </c>
      <c r="M629">
        <v>0</v>
      </c>
      <c r="N629">
        <v>0</v>
      </c>
      <c r="O629">
        <v>0</v>
      </c>
      <c r="P629">
        <v>0</v>
      </c>
      <c r="Q629">
        <v>0</v>
      </c>
      <c r="R629" s="2043">
        <v>1512832</v>
      </c>
      <c r="S629">
        <v>89996</v>
      </c>
      <c r="T629">
        <v>0</v>
      </c>
      <c r="U629">
        <v>0.05</v>
      </c>
      <c r="V629">
        <v>0</v>
      </c>
      <c r="W629">
        <v>0</v>
      </c>
      <c r="X629">
        <v>0</v>
      </c>
      <c r="Y629">
        <v>0</v>
      </c>
      <c r="Z629">
        <v>0</v>
      </c>
      <c r="AA629">
        <v>0</v>
      </c>
      <c r="AB629">
        <v>654.20100000000002</v>
      </c>
      <c r="AC629" s="2043">
        <v>153429616</v>
      </c>
      <c r="AD629">
        <v>0</v>
      </c>
      <c r="AE629" s="2043">
        <v>1602828</v>
      </c>
      <c r="AF629">
        <v>0.89050000000000007</v>
      </c>
      <c r="AG629">
        <v>0</v>
      </c>
      <c r="AH629">
        <v>0</v>
      </c>
      <c r="AI629">
        <v>0</v>
      </c>
      <c r="AJ629">
        <v>113.488</v>
      </c>
      <c r="AK629">
        <v>3928</v>
      </c>
      <c r="AL629">
        <v>0.03</v>
      </c>
      <c r="AM629">
        <v>0</v>
      </c>
      <c r="AN629">
        <v>15.835000000000001</v>
      </c>
      <c r="AO629">
        <v>0</v>
      </c>
      <c r="AP629">
        <v>0</v>
      </c>
      <c r="AQ629">
        <v>0</v>
      </c>
      <c r="AR629">
        <v>26.899000000000001</v>
      </c>
      <c r="AS629">
        <v>0</v>
      </c>
      <c r="AT629">
        <v>4.407</v>
      </c>
      <c r="AU629">
        <v>1.8480000000000001</v>
      </c>
      <c r="AV629">
        <v>0</v>
      </c>
      <c r="AW629">
        <v>33.184000000000005</v>
      </c>
      <c r="AX629">
        <v>0</v>
      </c>
      <c r="AY629">
        <v>103.30800000000001</v>
      </c>
      <c r="AZ629">
        <v>0</v>
      </c>
      <c r="BA629">
        <v>6982290</v>
      </c>
      <c r="BB629">
        <v>1602828</v>
      </c>
      <c r="BC629">
        <v>0</v>
      </c>
      <c r="BD629">
        <v>72446</v>
      </c>
      <c r="BE629">
        <v>9028</v>
      </c>
      <c r="BF629">
        <v>81474</v>
      </c>
      <c r="BG629">
        <v>72446</v>
      </c>
      <c r="BH629">
        <v>0</v>
      </c>
      <c r="BI629">
        <v>0</v>
      </c>
      <c r="BJ629">
        <v>0</v>
      </c>
      <c r="BK629">
        <v>0</v>
      </c>
      <c r="BL629">
        <v>177112594</v>
      </c>
      <c r="BM629">
        <v>0</v>
      </c>
      <c r="BN629">
        <v>2538</v>
      </c>
      <c r="BO629">
        <v>2161</v>
      </c>
      <c r="BP629">
        <v>0</v>
      </c>
      <c r="BQ629">
        <v>0</v>
      </c>
      <c r="BR629">
        <v>0.84050000000000002</v>
      </c>
      <c r="BS629">
        <v>0.84050000000000002</v>
      </c>
      <c r="BT629">
        <v>0</v>
      </c>
      <c r="BU629">
        <v>0</v>
      </c>
      <c r="BV629">
        <v>158</v>
      </c>
      <c r="BW629">
        <v>86</v>
      </c>
      <c r="BX629">
        <v>218</v>
      </c>
      <c r="BY629">
        <v>1</v>
      </c>
      <c r="BZ629">
        <v>10</v>
      </c>
      <c r="CA629">
        <v>473</v>
      </c>
      <c r="CB629">
        <v>0</v>
      </c>
      <c r="CC629">
        <v>0</v>
      </c>
      <c r="CD629">
        <v>0</v>
      </c>
      <c r="CE629">
        <v>52</v>
      </c>
      <c r="CF629">
        <v>167.20700000000002</v>
      </c>
      <c r="CG629">
        <v>0</v>
      </c>
      <c r="CH629">
        <v>0</v>
      </c>
      <c r="CI629">
        <v>1</v>
      </c>
      <c r="CJ629">
        <v>1</v>
      </c>
      <c r="CK629">
        <v>0</v>
      </c>
      <c r="CL629">
        <v>0</v>
      </c>
      <c r="CM629">
        <v>158.136</v>
      </c>
      <c r="CN629">
        <v>0</v>
      </c>
      <c r="CO629">
        <v>0</v>
      </c>
      <c r="CP629">
        <v>0</v>
      </c>
      <c r="CQ629">
        <v>0</v>
      </c>
      <c r="CR629">
        <v>0</v>
      </c>
      <c r="CS629">
        <v>0</v>
      </c>
      <c r="CT629">
        <v>0</v>
      </c>
      <c r="CU629">
        <v>5.4990000000000006</v>
      </c>
      <c r="CV629">
        <v>49.625</v>
      </c>
      <c r="CW629">
        <v>40.739000000000004</v>
      </c>
      <c r="CX629">
        <v>0</v>
      </c>
      <c r="CY629" s="2043">
        <v>0</v>
      </c>
      <c r="CZ629" s="2043">
        <v>0</v>
      </c>
      <c r="DA629" s="2043">
        <v>0</v>
      </c>
      <c r="DB629" s="2043">
        <v>0</v>
      </c>
      <c r="DC629" s="2043">
        <v>0</v>
      </c>
      <c r="DI629" t="s">
        <v>5817</v>
      </c>
      <c r="DJ629" t="s">
        <v>5817</v>
      </c>
      <c r="DK629" s="2042">
        <f t="shared" si="11"/>
        <v>0</v>
      </c>
    </row>
    <row r="630" spans="1:115">
      <c r="A630" t="s">
        <v>5818</v>
      </c>
      <c r="B630" t="s">
        <v>172</v>
      </c>
      <c r="C630">
        <v>221.721</v>
      </c>
      <c r="D630">
        <v>303.00100000000003</v>
      </c>
      <c r="E630">
        <v>31.899000000000001</v>
      </c>
      <c r="F630">
        <v>0</v>
      </c>
      <c r="G630" s="2043">
        <v>79470864</v>
      </c>
      <c r="H630">
        <v>0</v>
      </c>
      <c r="I630" s="2043">
        <v>0</v>
      </c>
      <c r="J630">
        <v>7</v>
      </c>
      <c r="K630">
        <v>19</v>
      </c>
      <c r="L630">
        <v>0</v>
      </c>
      <c r="M630">
        <v>0</v>
      </c>
      <c r="N630">
        <v>0</v>
      </c>
      <c r="O630">
        <v>0</v>
      </c>
      <c r="P630">
        <v>0</v>
      </c>
      <c r="Q630">
        <v>0</v>
      </c>
      <c r="R630" s="2043">
        <v>650036</v>
      </c>
      <c r="S630">
        <v>39215</v>
      </c>
      <c r="T630">
        <v>0</v>
      </c>
      <c r="U630">
        <v>0.05</v>
      </c>
      <c r="V630">
        <v>0</v>
      </c>
      <c r="W630">
        <v>0</v>
      </c>
      <c r="X630">
        <v>0</v>
      </c>
      <c r="Y630">
        <v>0</v>
      </c>
      <c r="Z630">
        <v>0</v>
      </c>
      <c r="AA630">
        <v>0</v>
      </c>
      <c r="AB630">
        <v>280.64300000000003</v>
      </c>
      <c r="AC630" s="2043">
        <v>71907657</v>
      </c>
      <c r="AD630">
        <v>0</v>
      </c>
      <c r="AE630" s="2043">
        <v>689251</v>
      </c>
      <c r="AF630">
        <v>0.87880000000000003</v>
      </c>
      <c r="AG630">
        <v>0</v>
      </c>
      <c r="AH630">
        <v>0</v>
      </c>
      <c r="AI630">
        <v>0</v>
      </c>
      <c r="AJ630">
        <v>34.200000000000003</v>
      </c>
      <c r="AK630">
        <v>1232</v>
      </c>
      <c r="AL630">
        <v>0</v>
      </c>
      <c r="AM630">
        <v>0</v>
      </c>
      <c r="AN630">
        <v>13.024000000000001</v>
      </c>
      <c r="AO630">
        <v>0</v>
      </c>
      <c r="AP630">
        <v>1.5190000000000001</v>
      </c>
      <c r="AQ630">
        <v>0</v>
      </c>
      <c r="AR630">
        <v>4.4220000000000006</v>
      </c>
      <c r="AS630">
        <v>0</v>
      </c>
      <c r="AT630">
        <v>0</v>
      </c>
      <c r="AU630">
        <v>0.49100000000000005</v>
      </c>
      <c r="AV630">
        <v>0</v>
      </c>
      <c r="AW630">
        <v>6.4320000000000004</v>
      </c>
      <c r="AX630">
        <v>0</v>
      </c>
      <c r="AY630">
        <v>19.821999999999999</v>
      </c>
      <c r="AZ630">
        <v>0</v>
      </c>
      <c r="BA630">
        <v>2370899</v>
      </c>
      <c r="BB630">
        <v>689251</v>
      </c>
      <c r="BC630">
        <v>0</v>
      </c>
      <c r="BD630">
        <v>38363</v>
      </c>
      <c r="BE630">
        <v>49368</v>
      </c>
      <c r="BF630">
        <v>87731</v>
      </c>
      <c r="BG630">
        <v>38363</v>
      </c>
      <c r="BH630">
        <v>0</v>
      </c>
      <c r="BI630">
        <v>0</v>
      </c>
      <c r="BJ630">
        <v>0</v>
      </c>
      <c r="BK630">
        <v>0</v>
      </c>
      <c r="BL630">
        <v>79470864</v>
      </c>
      <c r="BM630">
        <v>0</v>
      </c>
      <c r="BN630">
        <v>747</v>
      </c>
      <c r="BO630">
        <v>738</v>
      </c>
      <c r="BP630">
        <v>0</v>
      </c>
      <c r="BQ630">
        <v>0</v>
      </c>
      <c r="BR630">
        <v>0.82880000000000009</v>
      </c>
      <c r="BS630">
        <v>0.82880000000000009</v>
      </c>
      <c r="BT630">
        <v>0</v>
      </c>
      <c r="BU630">
        <v>0</v>
      </c>
      <c r="BV630">
        <v>37</v>
      </c>
      <c r="BW630">
        <v>70</v>
      </c>
      <c r="BX630">
        <v>37</v>
      </c>
      <c r="BY630">
        <v>0</v>
      </c>
      <c r="BZ630">
        <v>0</v>
      </c>
      <c r="CA630">
        <v>144</v>
      </c>
      <c r="CB630">
        <v>0</v>
      </c>
      <c r="CC630">
        <v>0</v>
      </c>
      <c r="CD630">
        <v>0</v>
      </c>
      <c r="CE630">
        <v>11</v>
      </c>
      <c r="CF630">
        <v>41.757000000000005</v>
      </c>
      <c r="CG630">
        <v>0</v>
      </c>
      <c r="CH630">
        <v>0</v>
      </c>
      <c r="CI630">
        <v>2</v>
      </c>
      <c r="CJ630">
        <v>0</v>
      </c>
      <c r="CK630">
        <v>0</v>
      </c>
      <c r="CL630">
        <v>0</v>
      </c>
      <c r="CM630">
        <v>31.899000000000001</v>
      </c>
      <c r="CN630">
        <v>0</v>
      </c>
      <c r="CO630">
        <v>0</v>
      </c>
      <c r="CP630">
        <v>0</v>
      </c>
      <c r="CQ630">
        <v>0</v>
      </c>
      <c r="CR630">
        <v>0</v>
      </c>
      <c r="CS630">
        <v>0</v>
      </c>
      <c r="CT630">
        <v>0</v>
      </c>
      <c r="CU630">
        <v>1.0589999999999999</v>
      </c>
      <c r="CV630">
        <v>10.621</v>
      </c>
      <c r="CW630">
        <v>10.519</v>
      </c>
      <c r="CX630">
        <v>0</v>
      </c>
      <c r="CY630" s="2043">
        <v>0</v>
      </c>
      <c r="CZ630" s="2043">
        <v>0</v>
      </c>
      <c r="DA630" s="2043">
        <v>0</v>
      </c>
      <c r="DB630" s="2043">
        <v>0</v>
      </c>
      <c r="DC630" s="2043">
        <v>0</v>
      </c>
      <c r="DI630" t="s">
        <v>5818</v>
      </c>
      <c r="DJ630" t="s">
        <v>5818</v>
      </c>
      <c r="DK630" s="2042">
        <f t="shared" si="11"/>
        <v>0</v>
      </c>
    </row>
    <row r="631" spans="1:115">
      <c r="A631" t="s">
        <v>3062</v>
      </c>
      <c r="B631" t="s">
        <v>1410</v>
      </c>
      <c r="C631">
        <v>188.70400000000001</v>
      </c>
      <c r="D631">
        <v>202.95000000000002</v>
      </c>
      <c r="E631">
        <v>9.2799999999999994</v>
      </c>
      <c r="F631">
        <v>0</v>
      </c>
      <c r="G631" s="2043">
        <v>117660519</v>
      </c>
      <c r="H631">
        <v>0</v>
      </c>
      <c r="I631" s="2043">
        <v>84550</v>
      </c>
      <c r="J631">
        <v>9.4350000000000005</v>
      </c>
      <c r="K631">
        <v>26</v>
      </c>
      <c r="L631">
        <v>13492</v>
      </c>
      <c r="M631">
        <v>71058</v>
      </c>
      <c r="N631">
        <v>13492</v>
      </c>
      <c r="O631">
        <v>84550</v>
      </c>
      <c r="P631">
        <v>0</v>
      </c>
      <c r="Q631">
        <v>0</v>
      </c>
      <c r="R631" s="2043">
        <v>907229</v>
      </c>
      <c r="S631">
        <v>83799</v>
      </c>
      <c r="T631">
        <v>61069</v>
      </c>
      <c r="U631">
        <v>0.08</v>
      </c>
      <c r="V631">
        <v>0</v>
      </c>
      <c r="W631">
        <v>0</v>
      </c>
      <c r="X631">
        <v>0</v>
      </c>
      <c r="Y631">
        <v>0</v>
      </c>
      <c r="Z631">
        <v>0</v>
      </c>
      <c r="AA631">
        <v>0</v>
      </c>
      <c r="AB631">
        <v>200.29600000000002</v>
      </c>
      <c r="AC631" s="2043">
        <v>108002892</v>
      </c>
      <c r="AD631">
        <v>73396</v>
      </c>
      <c r="AE631" s="2043">
        <v>1052097</v>
      </c>
      <c r="AF631">
        <v>1.0044</v>
      </c>
      <c r="AG631">
        <v>0</v>
      </c>
      <c r="AH631">
        <v>0</v>
      </c>
      <c r="AI631">
        <v>0</v>
      </c>
      <c r="AJ631">
        <v>21.013000000000002</v>
      </c>
      <c r="AK631">
        <v>1039</v>
      </c>
      <c r="AL631">
        <v>0</v>
      </c>
      <c r="AM631">
        <v>0</v>
      </c>
      <c r="AN631">
        <v>10.755000000000001</v>
      </c>
      <c r="AO631">
        <v>0</v>
      </c>
      <c r="AP631">
        <v>2.8540000000000001</v>
      </c>
      <c r="AQ631">
        <v>0</v>
      </c>
      <c r="AR631">
        <v>1.764</v>
      </c>
      <c r="AS631">
        <v>0</v>
      </c>
      <c r="AT631">
        <v>0.41900000000000004</v>
      </c>
      <c r="AU631">
        <v>0.47800000000000004</v>
      </c>
      <c r="AV631">
        <v>0</v>
      </c>
      <c r="AW631">
        <v>5.5150000000000006</v>
      </c>
      <c r="AX631">
        <v>0</v>
      </c>
      <c r="AY631">
        <v>16.645</v>
      </c>
      <c r="AZ631">
        <v>0</v>
      </c>
      <c r="BA631">
        <v>1646433</v>
      </c>
      <c r="BB631">
        <v>1125493</v>
      </c>
      <c r="BC631">
        <v>0</v>
      </c>
      <c r="BD631">
        <v>43844</v>
      </c>
      <c r="BE631">
        <v>0</v>
      </c>
      <c r="BF631">
        <v>43844</v>
      </c>
      <c r="BG631">
        <v>43844</v>
      </c>
      <c r="BH631">
        <v>0</v>
      </c>
      <c r="BI631">
        <v>0</v>
      </c>
      <c r="BJ631">
        <v>0</v>
      </c>
      <c r="BK631">
        <v>0</v>
      </c>
      <c r="BL631">
        <v>117660519</v>
      </c>
      <c r="BM631">
        <v>0</v>
      </c>
      <c r="BN631">
        <v>1008</v>
      </c>
      <c r="BO631">
        <v>760</v>
      </c>
      <c r="BP631">
        <v>0</v>
      </c>
      <c r="BQ631">
        <v>0</v>
      </c>
      <c r="BR631">
        <v>0.86610000000000009</v>
      </c>
      <c r="BS631">
        <v>0.86610000000000009</v>
      </c>
      <c r="BT631">
        <v>0</v>
      </c>
      <c r="BU631">
        <v>0</v>
      </c>
      <c r="BV631">
        <v>57</v>
      </c>
      <c r="BW631">
        <v>28</v>
      </c>
      <c r="BX631">
        <v>3</v>
      </c>
      <c r="BY631">
        <v>3</v>
      </c>
      <c r="BZ631">
        <v>0</v>
      </c>
      <c r="CA631">
        <v>91</v>
      </c>
      <c r="CB631">
        <v>0</v>
      </c>
      <c r="CC631">
        <v>0</v>
      </c>
      <c r="CD631">
        <v>0</v>
      </c>
      <c r="CE631">
        <v>32</v>
      </c>
      <c r="CF631">
        <v>24.286000000000001</v>
      </c>
      <c r="CG631">
        <v>0</v>
      </c>
      <c r="CH631">
        <v>0</v>
      </c>
      <c r="CI631">
        <v>1</v>
      </c>
      <c r="CJ631">
        <v>0</v>
      </c>
      <c r="CK631">
        <v>0</v>
      </c>
      <c r="CL631">
        <v>0</v>
      </c>
      <c r="CM631">
        <v>9.2799999999999994</v>
      </c>
      <c r="CN631">
        <v>0</v>
      </c>
      <c r="CO631">
        <v>0</v>
      </c>
      <c r="CP631">
        <v>0</v>
      </c>
      <c r="CQ631">
        <v>0</v>
      </c>
      <c r="CR631">
        <v>0</v>
      </c>
      <c r="CS631">
        <v>0</v>
      </c>
      <c r="CT631">
        <v>0</v>
      </c>
      <c r="CU631">
        <v>0.54900000000000004</v>
      </c>
      <c r="CV631">
        <v>19.027000000000001</v>
      </c>
      <c r="CW631">
        <v>15.092000000000001</v>
      </c>
      <c r="CX631">
        <v>0</v>
      </c>
      <c r="CY631" s="2043">
        <v>0</v>
      </c>
      <c r="CZ631" s="2043">
        <v>0</v>
      </c>
      <c r="DA631" s="2043">
        <v>0</v>
      </c>
      <c r="DB631" s="2043">
        <v>0</v>
      </c>
      <c r="DC631" s="2043">
        <v>0</v>
      </c>
      <c r="DI631" t="s">
        <v>3062</v>
      </c>
      <c r="DJ631" t="s">
        <v>3062</v>
      </c>
      <c r="DK631" s="2042">
        <f t="shared" si="11"/>
        <v>0</v>
      </c>
    </row>
    <row r="632" spans="1:115">
      <c r="A632" t="s">
        <v>5097</v>
      </c>
      <c r="B632" t="s">
        <v>1336</v>
      </c>
      <c r="C632">
        <v>1072.374</v>
      </c>
      <c r="D632">
        <v>1170.242</v>
      </c>
      <c r="E632">
        <v>207.369</v>
      </c>
      <c r="F632">
        <v>0</v>
      </c>
      <c r="G632" s="2043">
        <v>515340748</v>
      </c>
      <c r="H632">
        <v>0</v>
      </c>
      <c r="I632" s="2043">
        <v>948253</v>
      </c>
      <c r="J632">
        <v>53.619</v>
      </c>
      <c r="K632">
        <v>147</v>
      </c>
      <c r="L632">
        <v>0</v>
      </c>
      <c r="M632">
        <v>0</v>
      </c>
      <c r="N632">
        <v>0</v>
      </c>
      <c r="O632">
        <v>0</v>
      </c>
      <c r="P632">
        <v>0</v>
      </c>
      <c r="Q632">
        <v>0</v>
      </c>
      <c r="R632" s="2043">
        <v>4530119</v>
      </c>
      <c r="S632">
        <v>254873</v>
      </c>
      <c r="T632">
        <v>0</v>
      </c>
      <c r="U632">
        <v>0.05</v>
      </c>
      <c r="V632">
        <v>0</v>
      </c>
      <c r="W632">
        <v>0</v>
      </c>
      <c r="X632">
        <v>0</v>
      </c>
      <c r="Y632">
        <v>0</v>
      </c>
      <c r="Z632">
        <v>0</v>
      </c>
      <c r="AA632">
        <v>0.32100000000000001</v>
      </c>
      <c r="AB632">
        <v>1131.1600000000001</v>
      </c>
      <c r="AC632" s="2043">
        <v>480576918</v>
      </c>
      <c r="AD632">
        <v>1212457</v>
      </c>
      <c r="AE632" s="2043">
        <v>4784992</v>
      </c>
      <c r="AF632">
        <v>0.93870000000000009</v>
      </c>
      <c r="AG632">
        <v>0</v>
      </c>
      <c r="AH632">
        <v>0</v>
      </c>
      <c r="AI632">
        <v>0</v>
      </c>
      <c r="AJ632">
        <v>287.78800000000001</v>
      </c>
      <c r="AK632">
        <v>4524</v>
      </c>
      <c r="AL632">
        <v>0.13900000000000001</v>
      </c>
      <c r="AM632">
        <v>0</v>
      </c>
      <c r="AN632">
        <v>86.474000000000004</v>
      </c>
      <c r="AO632">
        <v>0</v>
      </c>
      <c r="AP632">
        <v>0</v>
      </c>
      <c r="AQ632">
        <v>0</v>
      </c>
      <c r="AR632">
        <v>12.254000000000001</v>
      </c>
      <c r="AS632">
        <v>0</v>
      </c>
      <c r="AT632">
        <v>5.3360000000000003</v>
      </c>
      <c r="AU632">
        <v>1.1880000000000002</v>
      </c>
      <c r="AV632">
        <v>0</v>
      </c>
      <c r="AW632">
        <v>18.917000000000002</v>
      </c>
      <c r="AX632">
        <v>0</v>
      </c>
      <c r="AY632">
        <v>59.405000000000001</v>
      </c>
      <c r="AZ632">
        <v>0</v>
      </c>
      <c r="BA632">
        <v>8162526</v>
      </c>
      <c r="BB632">
        <v>5997449</v>
      </c>
      <c r="BC632">
        <v>0</v>
      </c>
      <c r="BD632">
        <v>123523</v>
      </c>
      <c r="BE632">
        <v>26346</v>
      </c>
      <c r="BF632">
        <v>149869</v>
      </c>
      <c r="BG632">
        <v>123523</v>
      </c>
      <c r="BH632">
        <v>0</v>
      </c>
      <c r="BI632">
        <v>0</v>
      </c>
      <c r="BJ632">
        <v>0</v>
      </c>
      <c r="BK632">
        <v>0</v>
      </c>
      <c r="BL632">
        <v>515340748</v>
      </c>
      <c r="BM632">
        <v>0</v>
      </c>
      <c r="BN632">
        <v>4041</v>
      </c>
      <c r="BO632">
        <v>2236</v>
      </c>
      <c r="BP632">
        <v>0</v>
      </c>
      <c r="BQ632">
        <v>35000</v>
      </c>
      <c r="BR632">
        <v>0.88870000000000005</v>
      </c>
      <c r="BS632">
        <v>0.88870000000000005</v>
      </c>
      <c r="BT632">
        <v>0</v>
      </c>
      <c r="BU632">
        <v>0</v>
      </c>
      <c r="BV632">
        <v>4</v>
      </c>
      <c r="BW632">
        <v>243</v>
      </c>
      <c r="BX632">
        <v>135</v>
      </c>
      <c r="BY632">
        <v>184</v>
      </c>
      <c r="BZ632">
        <v>535</v>
      </c>
      <c r="CA632">
        <v>1101</v>
      </c>
      <c r="CB632">
        <v>0</v>
      </c>
      <c r="CC632">
        <v>0</v>
      </c>
      <c r="CD632">
        <v>0</v>
      </c>
      <c r="CE632">
        <v>75</v>
      </c>
      <c r="CF632">
        <v>312.37800000000004</v>
      </c>
      <c r="CG632">
        <v>0</v>
      </c>
      <c r="CH632">
        <v>0</v>
      </c>
      <c r="CI632">
        <v>1</v>
      </c>
      <c r="CJ632">
        <v>1</v>
      </c>
      <c r="CK632">
        <v>0</v>
      </c>
      <c r="CL632">
        <v>0</v>
      </c>
      <c r="CM632">
        <v>207.369</v>
      </c>
      <c r="CN632">
        <v>0</v>
      </c>
      <c r="CO632">
        <v>0</v>
      </c>
      <c r="CP632">
        <v>0</v>
      </c>
      <c r="CQ632">
        <v>0</v>
      </c>
      <c r="CR632">
        <v>0</v>
      </c>
      <c r="CS632">
        <v>0</v>
      </c>
      <c r="CT632">
        <v>0</v>
      </c>
      <c r="CU632">
        <v>0</v>
      </c>
      <c r="CV632">
        <v>61.022000000000006</v>
      </c>
      <c r="CW632">
        <v>36.332000000000001</v>
      </c>
      <c r="CX632">
        <v>0</v>
      </c>
      <c r="CY632" s="2043">
        <v>0</v>
      </c>
      <c r="CZ632" s="2043">
        <v>0</v>
      </c>
      <c r="DA632" s="2043">
        <v>0</v>
      </c>
      <c r="DB632" s="2043">
        <v>0</v>
      </c>
      <c r="DC632" s="2043">
        <v>0</v>
      </c>
      <c r="DI632" t="s">
        <v>5097</v>
      </c>
      <c r="DJ632" t="s">
        <v>5097</v>
      </c>
      <c r="DK632" s="2042">
        <f t="shared" si="11"/>
        <v>0</v>
      </c>
    </row>
    <row r="633" spans="1:115">
      <c r="A633" t="s">
        <v>5098</v>
      </c>
      <c r="B633" t="s">
        <v>1187</v>
      </c>
      <c r="C633">
        <v>541.78800000000001</v>
      </c>
      <c r="D633">
        <v>536.05899999999997</v>
      </c>
      <c r="E633">
        <v>4.6749999999999998</v>
      </c>
      <c r="F633">
        <v>0</v>
      </c>
      <c r="G633" s="2043">
        <v>420065877</v>
      </c>
      <c r="H633">
        <v>0</v>
      </c>
      <c r="I633" s="2043">
        <v>679348</v>
      </c>
      <c r="J633">
        <v>26</v>
      </c>
      <c r="K633">
        <v>71</v>
      </c>
      <c r="L633">
        <v>0</v>
      </c>
      <c r="M633">
        <v>0</v>
      </c>
      <c r="N633">
        <v>0</v>
      </c>
      <c r="O633">
        <v>0</v>
      </c>
      <c r="P633">
        <v>0</v>
      </c>
      <c r="Q633">
        <v>0</v>
      </c>
      <c r="R633" s="2043">
        <v>3431284</v>
      </c>
      <c r="S633">
        <v>208716</v>
      </c>
      <c r="T633">
        <v>0</v>
      </c>
      <c r="U633">
        <v>0.05</v>
      </c>
      <c r="V633">
        <v>0</v>
      </c>
      <c r="W633">
        <v>0</v>
      </c>
      <c r="X633">
        <v>0</v>
      </c>
      <c r="Y633">
        <v>123007</v>
      </c>
      <c r="Z633">
        <v>0</v>
      </c>
      <c r="AA633">
        <v>0.127</v>
      </c>
      <c r="AB633">
        <v>536.05899999999997</v>
      </c>
      <c r="AC633" s="2043">
        <v>296100324</v>
      </c>
      <c r="AD633">
        <v>800000</v>
      </c>
      <c r="AE633" s="2043">
        <v>3640000</v>
      </c>
      <c r="AF633">
        <v>0.872</v>
      </c>
      <c r="AG633">
        <v>0</v>
      </c>
      <c r="AH633">
        <v>0</v>
      </c>
      <c r="AI633">
        <v>0</v>
      </c>
      <c r="AJ633">
        <v>98.238</v>
      </c>
      <c r="AK633">
        <v>2588</v>
      </c>
      <c r="AL633">
        <v>0</v>
      </c>
      <c r="AM633">
        <v>0</v>
      </c>
      <c r="AN633">
        <v>50.463000000000001</v>
      </c>
      <c r="AO633">
        <v>0</v>
      </c>
      <c r="AP633">
        <v>0</v>
      </c>
      <c r="AQ633">
        <v>0</v>
      </c>
      <c r="AR633">
        <v>4.766</v>
      </c>
      <c r="AS633">
        <v>0</v>
      </c>
      <c r="AT633">
        <v>0.874</v>
      </c>
      <c r="AU633">
        <v>0.88600000000000001</v>
      </c>
      <c r="AV633">
        <v>0</v>
      </c>
      <c r="AW633">
        <v>6.5260000000000007</v>
      </c>
      <c r="AX633">
        <v>0</v>
      </c>
      <c r="AY633">
        <v>21.35</v>
      </c>
      <c r="AZ633">
        <v>0</v>
      </c>
      <c r="BA633">
        <v>3357675</v>
      </c>
      <c r="BB633">
        <v>4440000</v>
      </c>
      <c r="BC633">
        <v>0</v>
      </c>
      <c r="BD633">
        <v>81787</v>
      </c>
      <c r="BE633">
        <v>3856</v>
      </c>
      <c r="BF633">
        <v>85643</v>
      </c>
      <c r="BG633">
        <v>81787</v>
      </c>
      <c r="BH633">
        <v>0</v>
      </c>
      <c r="BI633">
        <v>0</v>
      </c>
      <c r="BJ633">
        <v>0</v>
      </c>
      <c r="BK633">
        <v>0</v>
      </c>
      <c r="BL633">
        <v>420065877</v>
      </c>
      <c r="BM633">
        <v>0</v>
      </c>
      <c r="BN633">
        <v>2034</v>
      </c>
      <c r="BO633">
        <v>1541</v>
      </c>
      <c r="BP633">
        <v>0</v>
      </c>
      <c r="BQ633">
        <v>0</v>
      </c>
      <c r="BR633">
        <v>0.82200000000000006</v>
      </c>
      <c r="BS633">
        <v>0.82200000000000006</v>
      </c>
      <c r="BT633">
        <v>0</v>
      </c>
      <c r="BU633">
        <v>0</v>
      </c>
      <c r="BV633">
        <v>83</v>
      </c>
      <c r="BW633">
        <v>26</v>
      </c>
      <c r="BX633">
        <v>284</v>
      </c>
      <c r="BY633">
        <v>7</v>
      </c>
      <c r="BZ633">
        <v>2</v>
      </c>
      <c r="CA633">
        <v>402</v>
      </c>
      <c r="CB633">
        <v>0</v>
      </c>
      <c r="CC633">
        <v>0</v>
      </c>
      <c r="CD633">
        <v>0</v>
      </c>
      <c r="CE633">
        <v>40</v>
      </c>
      <c r="CF633">
        <v>104.09700000000001</v>
      </c>
      <c r="CG633">
        <v>0</v>
      </c>
      <c r="CH633">
        <v>0</v>
      </c>
      <c r="CI633">
        <v>0</v>
      </c>
      <c r="CJ633">
        <v>0</v>
      </c>
      <c r="CK633">
        <v>0</v>
      </c>
      <c r="CL633">
        <v>0</v>
      </c>
      <c r="CM633">
        <v>4.6749999999999998</v>
      </c>
      <c r="CN633">
        <v>0</v>
      </c>
      <c r="CO633">
        <v>0</v>
      </c>
      <c r="CP633">
        <v>0</v>
      </c>
      <c r="CQ633">
        <v>0</v>
      </c>
      <c r="CR633">
        <v>0</v>
      </c>
      <c r="CS633">
        <v>0</v>
      </c>
      <c r="CT633">
        <v>0</v>
      </c>
      <c r="CU633">
        <v>3.64</v>
      </c>
      <c r="CV633">
        <v>17.187000000000001</v>
      </c>
      <c r="CW633">
        <v>13.293000000000001</v>
      </c>
      <c r="CX633">
        <v>0</v>
      </c>
      <c r="CY633" s="2043">
        <v>123007</v>
      </c>
      <c r="CZ633" s="2043">
        <v>0</v>
      </c>
      <c r="DA633" s="2043">
        <v>0</v>
      </c>
      <c r="DB633" s="2043">
        <v>0</v>
      </c>
      <c r="DC633" s="2043">
        <v>0</v>
      </c>
      <c r="DI633" t="s">
        <v>5098</v>
      </c>
      <c r="DJ633" t="s">
        <v>5098</v>
      </c>
      <c r="DK633" s="2042">
        <f t="shared" si="11"/>
        <v>0</v>
      </c>
    </row>
    <row r="634" spans="1:115">
      <c r="A634" t="s">
        <v>5819</v>
      </c>
      <c r="B634" t="s">
        <v>925</v>
      </c>
      <c r="C634">
        <v>475.27500000000003</v>
      </c>
      <c r="D634">
        <v>477.38400000000001</v>
      </c>
      <c r="E634">
        <v>3.37</v>
      </c>
      <c r="F634">
        <v>0</v>
      </c>
      <c r="G634" s="2043">
        <v>279358840</v>
      </c>
      <c r="H634">
        <v>0</v>
      </c>
      <c r="I634" s="2043">
        <v>422250</v>
      </c>
      <c r="J634">
        <v>23.764000000000003</v>
      </c>
      <c r="K634">
        <v>65</v>
      </c>
      <c r="L634">
        <v>0</v>
      </c>
      <c r="M634">
        <v>0</v>
      </c>
      <c r="N634">
        <v>0</v>
      </c>
      <c r="O634">
        <v>0</v>
      </c>
      <c r="P634">
        <v>0</v>
      </c>
      <c r="Q634">
        <v>0</v>
      </c>
      <c r="R634" s="2043">
        <v>2493504</v>
      </c>
      <c r="S634">
        <v>136496</v>
      </c>
      <c r="T634">
        <v>0</v>
      </c>
      <c r="U634">
        <v>0.05</v>
      </c>
      <c r="V634">
        <v>0</v>
      </c>
      <c r="W634">
        <v>0</v>
      </c>
      <c r="X634">
        <v>0</v>
      </c>
      <c r="Y634">
        <v>0</v>
      </c>
      <c r="Z634">
        <v>0</v>
      </c>
      <c r="AA634">
        <v>0</v>
      </c>
      <c r="AB634">
        <v>477.38400000000001</v>
      </c>
      <c r="AC634" s="2043">
        <v>270246570</v>
      </c>
      <c r="AD634">
        <v>348000</v>
      </c>
      <c r="AE634" s="2043">
        <v>2630000</v>
      </c>
      <c r="AF634">
        <v>0.96340000000000003</v>
      </c>
      <c r="AG634">
        <v>0</v>
      </c>
      <c r="AH634">
        <v>0</v>
      </c>
      <c r="AI634">
        <v>0</v>
      </c>
      <c r="AJ634">
        <v>63.738</v>
      </c>
      <c r="AK634">
        <v>2384</v>
      </c>
      <c r="AL634">
        <v>0</v>
      </c>
      <c r="AM634">
        <v>0</v>
      </c>
      <c r="AN634">
        <v>38.381</v>
      </c>
      <c r="AO634">
        <v>0</v>
      </c>
      <c r="AP634">
        <v>0</v>
      </c>
      <c r="AQ634">
        <v>0</v>
      </c>
      <c r="AR634">
        <v>6.125</v>
      </c>
      <c r="AS634">
        <v>0</v>
      </c>
      <c r="AT634">
        <v>1.4320000000000002</v>
      </c>
      <c r="AU634">
        <v>0.8</v>
      </c>
      <c r="AV634">
        <v>0</v>
      </c>
      <c r="AW634">
        <v>8.3570000000000011</v>
      </c>
      <c r="AX634">
        <v>0</v>
      </c>
      <c r="AY634">
        <v>26.671000000000003</v>
      </c>
      <c r="AZ634">
        <v>0</v>
      </c>
      <c r="BA634">
        <v>3615807</v>
      </c>
      <c r="BB634">
        <v>2978000</v>
      </c>
      <c r="BC634">
        <v>0</v>
      </c>
      <c r="BD634">
        <v>112041</v>
      </c>
      <c r="BE634">
        <v>0</v>
      </c>
      <c r="BF634">
        <v>112041</v>
      </c>
      <c r="BG634">
        <v>112041</v>
      </c>
      <c r="BH634">
        <v>0</v>
      </c>
      <c r="BI634">
        <v>0</v>
      </c>
      <c r="BJ634">
        <v>0</v>
      </c>
      <c r="BK634">
        <v>0</v>
      </c>
      <c r="BL634">
        <v>279358840</v>
      </c>
      <c r="BM634">
        <v>0</v>
      </c>
      <c r="BN634">
        <v>1557</v>
      </c>
      <c r="BO634">
        <v>1263</v>
      </c>
      <c r="BP634">
        <v>0</v>
      </c>
      <c r="BQ634">
        <v>0</v>
      </c>
      <c r="BR634">
        <v>0.91339999999999999</v>
      </c>
      <c r="BS634">
        <v>0.91339999999999999</v>
      </c>
      <c r="BT634">
        <v>0</v>
      </c>
      <c r="BU634">
        <v>0</v>
      </c>
      <c r="BV634">
        <v>84</v>
      </c>
      <c r="BW634">
        <v>78</v>
      </c>
      <c r="BX634">
        <v>102</v>
      </c>
      <c r="BY634">
        <v>1</v>
      </c>
      <c r="BZ634">
        <v>2</v>
      </c>
      <c r="CA634">
        <v>267</v>
      </c>
      <c r="CB634">
        <v>0</v>
      </c>
      <c r="CC634">
        <v>0</v>
      </c>
      <c r="CD634">
        <v>0</v>
      </c>
      <c r="CE634">
        <v>44</v>
      </c>
      <c r="CF634">
        <v>84.128</v>
      </c>
      <c r="CG634">
        <v>0</v>
      </c>
      <c r="CH634">
        <v>0</v>
      </c>
      <c r="CI634">
        <v>4</v>
      </c>
      <c r="CJ634">
        <v>9</v>
      </c>
      <c r="CK634">
        <v>0</v>
      </c>
      <c r="CL634">
        <v>0</v>
      </c>
      <c r="CM634">
        <v>3.37</v>
      </c>
      <c r="CN634">
        <v>0</v>
      </c>
      <c r="CO634">
        <v>0</v>
      </c>
      <c r="CP634">
        <v>0</v>
      </c>
      <c r="CQ634">
        <v>0</v>
      </c>
      <c r="CR634">
        <v>0</v>
      </c>
      <c r="CS634">
        <v>0</v>
      </c>
      <c r="CT634">
        <v>0</v>
      </c>
      <c r="CU634">
        <v>1.5050000000000001</v>
      </c>
      <c r="CV634">
        <v>38.722000000000001</v>
      </c>
      <c r="CW634">
        <v>42.494</v>
      </c>
      <c r="CX634">
        <v>0</v>
      </c>
      <c r="CY634" s="2043">
        <v>0</v>
      </c>
      <c r="CZ634" s="2043">
        <v>0</v>
      </c>
      <c r="DA634" s="2043">
        <v>0</v>
      </c>
      <c r="DB634" s="2043">
        <v>0</v>
      </c>
      <c r="DC634" s="2043">
        <v>0</v>
      </c>
      <c r="DI634" t="s">
        <v>5819</v>
      </c>
      <c r="DJ634" t="s">
        <v>5819</v>
      </c>
      <c r="DK634" s="2042">
        <f t="shared" si="11"/>
        <v>0</v>
      </c>
    </row>
    <row r="635" spans="1:115">
      <c r="A635" t="s">
        <v>5099</v>
      </c>
      <c r="B635" t="s">
        <v>926</v>
      </c>
      <c r="C635">
        <v>440.25200000000001</v>
      </c>
      <c r="D635">
        <v>421.00400000000002</v>
      </c>
      <c r="E635">
        <v>20.223000000000003</v>
      </c>
      <c r="F635">
        <v>0</v>
      </c>
      <c r="G635" s="2043">
        <v>202054839</v>
      </c>
      <c r="H635">
        <v>0</v>
      </c>
      <c r="I635" s="2043">
        <v>0</v>
      </c>
      <c r="J635">
        <v>22.013000000000002</v>
      </c>
      <c r="K635">
        <v>60</v>
      </c>
      <c r="L635">
        <v>0</v>
      </c>
      <c r="M635">
        <v>0</v>
      </c>
      <c r="N635">
        <v>0</v>
      </c>
      <c r="O635">
        <v>0</v>
      </c>
      <c r="P635">
        <v>0</v>
      </c>
      <c r="Q635">
        <v>0</v>
      </c>
      <c r="R635" s="2043">
        <v>1825093</v>
      </c>
      <c r="S635">
        <v>99907</v>
      </c>
      <c r="T635">
        <v>0</v>
      </c>
      <c r="U635">
        <v>0.05</v>
      </c>
      <c r="V635">
        <v>0</v>
      </c>
      <c r="W635">
        <v>0</v>
      </c>
      <c r="X635">
        <v>0</v>
      </c>
      <c r="Y635">
        <v>-5387</v>
      </c>
      <c r="Z635">
        <v>0.89600000000000002</v>
      </c>
      <c r="AA635">
        <v>0</v>
      </c>
      <c r="AB635">
        <v>421.00400000000002</v>
      </c>
      <c r="AC635" s="2043">
        <v>160861649</v>
      </c>
      <c r="AD635">
        <v>320000</v>
      </c>
      <c r="AE635" s="2043">
        <v>1925000</v>
      </c>
      <c r="AF635">
        <v>0.96340000000000003</v>
      </c>
      <c r="AG635">
        <v>0</v>
      </c>
      <c r="AH635">
        <v>0</v>
      </c>
      <c r="AI635">
        <v>0</v>
      </c>
      <c r="AJ635">
        <v>56.963000000000001</v>
      </c>
      <c r="AK635">
        <v>2118</v>
      </c>
      <c r="AL635">
        <v>0.14899999999999999</v>
      </c>
      <c r="AM635">
        <v>0</v>
      </c>
      <c r="AN635">
        <v>19.635000000000002</v>
      </c>
      <c r="AO635">
        <v>0</v>
      </c>
      <c r="AP635">
        <v>0</v>
      </c>
      <c r="AQ635">
        <v>0</v>
      </c>
      <c r="AR635">
        <v>7.84</v>
      </c>
      <c r="AS635">
        <v>0</v>
      </c>
      <c r="AT635">
        <v>3.0960000000000001</v>
      </c>
      <c r="AU635">
        <v>1.01</v>
      </c>
      <c r="AV635">
        <v>0</v>
      </c>
      <c r="AW635">
        <v>12.657</v>
      </c>
      <c r="AX635">
        <v>0.56200000000000006</v>
      </c>
      <c r="AY635">
        <v>39.896000000000001</v>
      </c>
      <c r="AZ635">
        <v>0</v>
      </c>
      <c r="BA635">
        <v>3709181</v>
      </c>
      <c r="BB635">
        <v>2245000</v>
      </c>
      <c r="BC635">
        <v>0</v>
      </c>
      <c r="BD635">
        <v>23562</v>
      </c>
      <c r="BE635">
        <v>7484</v>
      </c>
      <c r="BF635">
        <v>31046</v>
      </c>
      <c r="BG635">
        <v>23562</v>
      </c>
      <c r="BH635">
        <v>0</v>
      </c>
      <c r="BI635">
        <v>0</v>
      </c>
      <c r="BJ635">
        <v>-5387</v>
      </c>
      <c r="BK635">
        <v>0</v>
      </c>
      <c r="BL635">
        <v>202054839</v>
      </c>
      <c r="BM635">
        <v>0</v>
      </c>
      <c r="BN635">
        <v>1269</v>
      </c>
      <c r="BO635">
        <v>1124</v>
      </c>
      <c r="BP635">
        <v>0</v>
      </c>
      <c r="BQ635">
        <v>0</v>
      </c>
      <c r="BR635">
        <v>0.91339999999999999</v>
      </c>
      <c r="BS635">
        <v>0.91339999999999999</v>
      </c>
      <c r="BT635">
        <v>0</v>
      </c>
      <c r="BU635">
        <v>0</v>
      </c>
      <c r="BV635">
        <v>22</v>
      </c>
      <c r="BW635">
        <v>166</v>
      </c>
      <c r="BX635">
        <v>15</v>
      </c>
      <c r="BY635">
        <v>19</v>
      </c>
      <c r="BZ635">
        <v>14</v>
      </c>
      <c r="CA635">
        <v>236</v>
      </c>
      <c r="CB635">
        <v>0</v>
      </c>
      <c r="CC635">
        <v>0</v>
      </c>
      <c r="CD635">
        <v>0</v>
      </c>
      <c r="CE635">
        <v>31</v>
      </c>
      <c r="CF635">
        <v>86.046000000000006</v>
      </c>
      <c r="CG635">
        <v>0</v>
      </c>
      <c r="CH635">
        <v>0</v>
      </c>
      <c r="CI635">
        <v>2</v>
      </c>
      <c r="CJ635">
        <v>4</v>
      </c>
      <c r="CK635">
        <v>0</v>
      </c>
      <c r="CL635">
        <v>0</v>
      </c>
      <c r="CM635">
        <v>20.223000000000003</v>
      </c>
      <c r="CN635">
        <v>0</v>
      </c>
      <c r="CO635">
        <v>0</v>
      </c>
      <c r="CP635">
        <v>0</v>
      </c>
      <c r="CQ635">
        <v>0</v>
      </c>
      <c r="CR635">
        <v>0</v>
      </c>
      <c r="CS635">
        <v>0</v>
      </c>
      <c r="CT635">
        <v>0</v>
      </c>
      <c r="CU635">
        <v>7.2570000000000006</v>
      </c>
      <c r="CV635">
        <v>28.508000000000003</v>
      </c>
      <c r="CW635">
        <v>33.676000000000002</v>
      </c>
      <c r="CX635">
        <v>0</v>
      </c>
      <c r="CY635" s="2043">
        <v>0</v>
      </c>
      <c r="CZ635" s="2043">
        <v>0</v>
      </c>
      <c r="DA635" s="2043">
        <v>0</v>
      </c>
      <c r="DB635" s="2043">
        <v>0</v>
      </c>
      <c r="DC635" s="2043">
        <v>0</v>
      </c>
      <c r="DI635" t="s">
        <v>5099</v>
      </c>
      <c r="DJ635" t="s">
        <v>5099</v>
      </c>
      <c r="DK635" s="2042">
        <f t="shared" si="11"/>
        <v>0</v>
      </c>
    </row>
    <row r="636" spans="1:115">
      <c r="A636" t="s">
        <v>5820</v>
      </c>
      <c r="B636" t="s">
        <v>852</v>
      </c>
      <c r="C636">
        <v>222.53200000000001</v>
      </c>
      <c r="D636">
        <v>207.625</v>
      </c>
      <c r="E636">
        <v>0.99099999999999999</v>
      </c>
      <c r="F636">
        <v>0</v>
      </c>
      <c r="G636" s="2043">
        <v>145608149</v>
      </c>
      <c r="H636">
        <v>0</v>
      </c>
      <c r="I636" s="2043">
        <v>0</v>
      </c>
      <c r="J636">
        <v>11.127000000000001</v>
      </c>
      <c r="K636">
        <v>30</v>
      </c>
      <c r="L636">
        <v>0</v>
      </c>
      <c r="M636">
        <v>0</v>
      </c>
      <c r="N636">
        <v>0</v>
      </c>
      <c r="O636">
        <v>0</v>
      </c>
      <c r="P636">
        <v>0</v>
      </c>
      <c r="Q636">
        <v>0</v>
      </c>
      <c r="R636" s="2043">
        <v>1201892</v>
      </c>
      <c r="S636">
        <v>73108</v>
      </c>
      <c r="T636">
        <v>0</v>
      </c>
      <c r="U636">
        <v>0.05</v>
      </c>
      <c r="V636">
        <v>0</v>
      </c>
      <c r="W636">
        <v>0</v>
      </c>
      <c r="X636">
        <v>0</v>
      </c>
      <c r="Y636">
        <v>171434</v>
      </c>
      <c r="Z636">
        <v>0</v>
      </c>
      <c r="AA636">
        <v>0</v>
      </c>
      <c r="AB636">
        <v>207.625</v>
      </c>
      <c r="AC636" s="2043">
        <v>112841477</v>
      </c>
      <c r="AD636">
        <v>0</v>
      </c>
      <c r="AE636" s="2043">
        <v>1275000</v>
      </c>
      <c r="AF636">
        <v>0.872</v>
      </c>
      <c r="AG636">
        <v>0</v>
      </c>
      <c r="AH636">
        <v>0</v>
      </c>
      <c r="AI636">
        <v>0</v>
      </c>
      <c r="AJ636">
        <v>37.6</v>
      </c>
      <c r="AK636">
        <v>1483</v>
      </c>
      <c r="AL636">
        <v>7.2000000000000008E-2</v>
      </c>
      <c r="AM636">
        <v>0</v>
      </c>
      <c r="AN636">
        <v>9.5530000000000008</v>
      </c>
      <c r="AO636">
        <v>0</v>
      </c>
      <c r="AP636">
        <v>0</v>
      </c>
      <c r="AQ636">
        <v>0</v>
      </c>
      <c r="AR636">
        <v>6.0289999999999999</v>
      </c>
      <c r="AS636">
        <v>0</v>
      </c>
      <c r="AT636">
        <v>1.0920000000000001</v>
      </c>
      <c r="AU636">
        <v>0.38100000000000001</v>
      </c>
      <c r="AV636">
        <v>0</v>
      </c>
      <c r="AW636">
        <v>10.717000000000001</v>
      </c>
      <c r="AX636">
        <v>3.1430000000000002</v>
      </c>
      <c r="AY636">
        <v>30.857000000000003</v>
      </c>
      <c r="AZ636">
        <v>0</v>
      </c>
      <c r="BA636">
        <v>1993662</v>
      </c>
      <c r="BB636">
        <v>1275000</v>
      </c>
      <c r="BC636">
        <v>0</v>
      </c>
      <c r="BD636">
        <v>49099</v>
      </c>
      <c r="BE636">
        <v>2610</v>
      </c>
      <c r="BF636">
        <v>51709</v>
      </c>
      <c r="BG636">
        <v>49099</v>
      </c>
      <c r="BH636">
        <v>0</v>
      </c>
      <c r="BI636">
        <v>0</v>
      </c>
      <c r="BJ636">
        <v>0</v>
      </c>
      <c r="BK636">
        <v>0</v>
      </c>
      <c r="BL636">
        <v>145608149</v>
      </c>
      <c r="BM636">
        <v>0</v>
      </c>
      <c r="BN636">
        <v>756</v>
      </c>
      <c r="BO636">
        <v>674</v>
      </c>
      <c r="BP636">
        <v>0</v>
      </c>
      <c r="BQ636">
        <v>0</v>
      </c>
      <c r="BR636">
        <v>0.82200000000000006</v>
      </c>
      <c r="BS636">
        <v>0.82200000000000006</v>
      </c>
      <c r="BT636">
        <v>0</v>
      </c>
      <c r="BU636">
        <v>0</v>
      </c>
      <c r="BV636">
        <v>36</v>
      </c>
      <c r="BW636">
        <v>19</v>
      </c>
      <c r="BX636">
        <v>49</v>
      </c>
      <c r="BY636">
        <v>37</v>
      </c>
      <c r="BZ636">
        <v>11</v>
      </c>
      <c r="CA636">
        <v>152</v>
      </c>
      <c r="CB636">
        <v>0</v>
      </c>
      <c r="CC636">
        <v>0</v>
      </c>
      <c r="CD636">
        <v>0</v>
      </c>
      <c r="CE636">
        <v>26</v>
      </c>
      <c r="CF636">
        <v>44.716999999999999</v>
      </c>
      <c r="CG636">
        <v>0</v>
      </c>
      <c r="CH636">
        <v>0</v>
      </c>
      <c r="CI636">
        <v>1</v>
      </c>
      <c r="CJ636">
        <v>1</v>
      </c>
      <c r="CK636">
        <v>0</v>
      </c>
      <c r="CL636">
        <v>0</v>
      </c>
      <c r="CM636">
        <v>0.99099999999999999</v>
      </c>
      <c r="CN636">
        <v>0</v>
      </c>
      <c r="CO636">
        <v>0</v>
      </c>
      <c r="CP636">
        <v>0</v>
      </c>
      <c r="CQ636">
        <v>0</v>
      </c>
      <c r="CR636">
        <v>0</v>
      </c>
      <c r="CS636">
        <v>0</v>
      </c>
      <c r="CT636">
        <v>0</v>
      </c>
      <c r="CU636">
        <v>0</v>
      </c>
      <c r="CV636">
        <v>14.449</v>
      </c>
      <c r="CW636">
        <v>8.8440000000000012</v>
      </c>
      <c r="CX636">
        <v>0</v>
      </c>
      <c r="CY636" s="2043">
        <v>171434</v>
      </c>
      <c r="CZ636" s="2043">
        <v>0</v>
      </c>
      <c r="DA636" s="2043">
        <v>0</v>
      </c>
      <c r="DB636" s="2043">
        <v>0</v>
      </c>
      <c r="DC636" s="2043">
        <v>0</v>
      </c>
      <c r="DI636" t="s">
        <v>5820</v>
      </c>
      <c r="DJ636" t="s">
        <v>5820</v>
      </c>
      <c r="DK636" s="2042">
        <f t="shared" si="11"/>
        <v>0</v>
      </c>
    </row>
    <row r="637" spans="1:115">
      <c r="A637" t="s">
        <v>3063</v>
      </c>
      <c r="B637" t="s">
        <v>1699</v>
      </c>
      <c r="C637">
        <v>3326.7760000000003</v>
      </c>
      <c r="D637">
        <v>3628.4160000000002</v>
      </c>
      <c r="E637">
        <v>199.41200000000001</v>
      </c>
      <c r="F637">
        <v>0</v>
      </c>
      <c r="G637" s="2043">
        <v>2956029770</v>
      </c>
      <c r="H637">
        <v>0</v>
      </c>
      <c r="I637" s="2043">
        <v>3439650</v>
      </c>
      <c r="J637">
        <v>166.339</v>
      </c>
      <c r="K637">
        <v>455</v>
      </c>
      <c r="L637">
        <v>0</v>
      </c>
      <c r="M637">
        <v>889573</v>
      </c>
      <c r="N637">
        <v>0</v>
      </c>
      <c r="O637">
        <v>889573</v>
      </c>
      <c r="P637">
        <v>0</v>
      </c>
      <c r="Q637">
        <v>0</v>
      </c>
      <c r="R637" s="2043">
        <v>24669880</v>
      </c>
      <c r="S637">
        <v>1464435</v>
      </c>
      <c r="T637">
        <v>0</v>
      </c>
      <c r="U637">
        <v>0.05</v>
      </c>
      <c r="V637">
        <v>0</v>
      </c>
      <c r="W637">
        <v>0</v>
      </c>
      <c r="X637">
        <v>0</v>
      </c>
      <c r="Y637">
        <v>-21908</v>
      </c>
      <c r="Z637">
        <v>0</v>
      </c>
      <c r="AA637">
        <v>0.45</v>
      </c>
      <c r="AB637">
        <v>3361.4</v>
      </c>
      <c r="AC637" s="2043">
        <v>2581802840</v>
      </c>
      <c r="AD637">
        <v>3722247</v>
      </c>
      <c r="AE637" s="2043">
        <v>26134315</v>
      </c>
      <c r="AF637">
        <v>0.89230000000000009</v>
      </c>
      <c r="AG637">
        <v>0</v>
      </c>
      <c r="AH637">
        <v>0</v>
      </c>
      <c r="AI637">
        <v>0</v>
      </c>
      <c r="AJ637">
        <v>670.52499999999998</v>
      </c>
      <c r="AK637">
        <v>14900</v>
      </c>
      <c r="AL637">
        <v>0</v>
      </c>
      <c r="AM637">
        <v>0</v>
      </c>
      <c r="AN637">
        <v>296.97800000000001</v>
      </c>
      <c r="AO637">
        <v>0</v>
      </c>
      <c r="AP637">
        <v>0</v>
      </c>
      <c r="AQ637">
        <v>0</v>
      </c>
      <c r="AR637">
        <v>32.187000000000005</v>
      </c>
      <c r="AS637">
        <v>0</v>
      </c>
      <c r="AT637">
        <v>50.501000000000005</v>
      </c>
      <c r="AU637">
        <v>7.2789999999999999</v>
      </c>
      <c r="AV637">
        <v>0</v>
      </c>
      <c r="AW637">
        <v>89.966999999999999</v>
      </c>
      <c r="AX637">
        <v>0</v>
      </c>
      <c r="AY637">
        <v>284.459</v>
      </c>
      <c r="AZ637">
        <v>0</v>
      </c>
      <c r="BA637">
        <v>7148269</v>
      </c>
      <c r="BB637">
        <v>29856562</v>
      </c>
      <c r="BC637">
        <v>0</v>
      </c>
      <c r="BD637">
        <v>86161</v>
      </c>
      <c r="BE637">
        <v>82012</v>
      </c>
      <c r="BF637">
        <v>168173</v>
      </c>
      <c r="BG637">
        <v>86161</v>
      </c>
      <c r="BH637">
        <v>0</v>
      </c>
      <c r="BI637">
        <v>0</v>
      </c>
      <c r="BJ637">
        <v>-21908</v>
      </c>
      <c r="BK637">
        <v>0</v>
      </c>
      <c r="BL637">
        <v>2956029770</v>
      </c>
      <c r="BM637">
        <v>0</v>
      </c>
      <c r="BN637">
        <v>12825</v>
      </c>
      <c r="BO637">
        <v>10411</v>
      </c>
      <c r="BP637">
        <v>0</v>
      </c>
      <c r="BQ637">
        <v>0</v>
      </c>
      <c r="BR637">
        <v>0.84230000000000005</v>
      </c>
      <c r="BS637">
        <v>0.84230000000000005</v>
      </c>
      <c r="BT637">
        <v>0</v>
      </c>
      <c r="BU637">
        <v>0</v>
      </c>
      <c r="BV637">
        <v>370</v>
      </c>
      <c r="BW637">
        <v>681</v>
      </c>
      <c r="BX637">
        <v>706</v>
      </c>
      <c r="BY637">
        <v>449</v>
      </c>
      <c r="BZ637">
        <v>477</v>
      </c>
      <c r="CA637">
        <v>2683</v>
      </c>
      <c r="CB637">
        <v>0</v>
      </c>
      <c r="CC637">
        <v>0</v>
      </c>
      <c r="CD637">
        <v>0</v>
      </c>
      <c r="CE637">
        <v>230</v>
      </c>
      <c r="CF637">
        <v>850.19400000000007</v>
      </c>
      <c r="CG637">
        <v>0</v>
      </c>
      <c r="CH637">
        <v>0</v>
      </c>
      <c r="CI637">
        <v>0</v>
      </c>
      <c r="CJ637">
        <v>0</v>
      </c>
      <c r="CK637">
        <v>0</v>
      </c>
      <c r="CL637">
        <v>0</v>
      </c>
      <c r="CM637">
        <v>199.41200000000001</v>
      </c>
      <c r="CN637">
        <v>0</v>
      </c>
      <c r="CO637">
        <v>0</v>
      </c>
      <c r="CP637">
        <v>0</v>
      </c>
      <c r="CQ637">
        <v>0</v>
      </c>
      <c r="CR637">
        <v>0</v>
      </c>
      <c r="CS637">
        <v>0</v>
      </c>
      <c r="CT637">
        <v>0</v>
      </c>
      <c r="CU637">
        <v>7.3070000000000004</v>
      </c>
      <c r="CV637">
        <v>198.09200000000001</v>
      </c>
      <c r="CW637">
        <v>73.094999999999999</v>
      </c>
      <c r="CX637">
        <v>0</v>
      </c>
      <c r="CY637" s="2043">
        <v>0</v>
      </c>
      <c r="CZ637" s="2043">
        <v>0</v>
      </c>
      <c r="DA637" s="2043">
        <v>0</v>
      </c>
      <c r="DB637" s="2043">
        <v>0</v>
      </c>
      <c r="DC637" s="2043">
        <v>332000</v>
      </c>
      <c r="DI637" t="s">
        <v>3063</v>
      </c>
      <c r="DJ637" t="s">
        <v>3063</v>
      </c>
      <c r="DK637" s="2042">
        <f t="shared" si="11"/>
        <v>0</v>
      </c>
    </row>
    <row r="638" spans="1:115">
      <c r="A638" t="s">
        <v>5100</v>
      </c>
      <c r="B638" t="s">
        <v>2530</v>
      </c>
      <c r="C638">
        <v>982.94600000000003</v>
      </c>
      <c r="D638">
        <v>1096.76</v>
      </c>
      <c r="E638">
        <v>27.722000000000001</v>
      </c>
      <c r="F638">
        <v>0</v>
      </c>
      <c r="G638" s="2043">
        <v>714998291</v>
      </c>
      <c r="H638">
        <v>0</v>
      </c>
      <c r="I638" s="2043">
        <v>1083306</v>
      </c>
      <c r="J638">
        <v>49.147000000000006</v>
      </c>
      <c r="K638">
        <v>134</v>
      </c>
      <c r="L638">
        <v>0</v>
      </c>
      <c r="M638">
        <v>0</v>
      </c>
      <c r="N638">
        <v>0</v>
      </c>
      <c r="O638">
        <v>0</v>
      </c>
      <c r="P638">
        <v>0</v>
      </c>
      <c r="Q638">
        <v>0</v>
      </c>
      <c r="R638" s="2043">
        <v>5541538</v>
      </c>
      <c r="S638">
        <v>337077</v>
      </c>
      <c r="T638">
        <v>0</v>
      </c>
      <c r="U638">
        <v>0.05</v>
      </c>
      <c r="V638">
        <v>0</v>
      </c>
      <c r="W638">
        <v>0</v>
      </c>
      <c r="X638">
        <v>0</v>
      </c>
      <c r="Y638">
        <v>549593</v>
      </c>
      <c r="Z638">
        <v>17.108000000000001</v>
      </c>
      <c r="AA638">
        <v>0</v>
      </c>
      <c r="AB638">
        <v>1053.547</v>
      </c>
      <c r="AC638" s="2043">
        <v>414577816</v>
      </c>
      <c r="AD638">
        <v>2016603</v>
      </c>
      <c r="AE638" s="2043">
        <v>5878615</v>
      </c>
      <c r="AF638">
        <v>0.872</v>
      </c>
      <c r="AG638">
        <v>0</v>
      </c>
      <c r="AH638">
        <v>0</v>
      </c>
      <c r="AI638">
        <v>0</v>
      </c>
      <c r="AJ638">
        <v>95.263000000000005</v>
      </c>
      <c r="AK638">
        <v>3823</v>
      </c>
      <c r="AL638">
        <v>0.16700000000000001</v>
      </c>
      <c r="AM638">
        <v>0</v>
      </c>
      <c r="AN638">
        <v>37.276000000000003</v>
      </c>
      <c r="AO638">
        <v>0</v>
      </c>
      <c r="AP638">
        <v>0.317</v>
      </c>
      <c r="AQ638">
        <v>0</v>
      </c>
      <c r="AR638">
        <v>17.266000000000002</v>
      </c>
      <c r="AS638">
        <v>0</v>
      </c>
      <c r="AT638">
        <v>9.0490000000000013</v>
      </c>
      <c r="AU638">
        <v>1.2810000000000001</v>
      </c>
      <c r="AV638">
        <v>0</v>
      </c>
      <c r="AW638">
        <v>28.080000000000002</v>
      </c>
      <c r="AX638">
        <v>0</v>
      </c>
      <c r="AY638">
        <v>87.041000000000011</v>
      </c>
      <c r="AZ638">
        <v>0</v>
      </c>
      <c r="BA638">
        <v>4978903</v>
      </c>
      <c r="BB638">
        <v>7895218</v>
      </c>
      <c r="BC638">
        <v>0</v>
      </c>
      <c r="BD638">
        <v>61009</v>
      </c>
      <c r="BE638">
        <v>23338</v>
      </c>
      <c r="BF638">
        <v>84347</v>
      </c>
      <c r="BG638">
        <v>61009</v>
      </c>
      <c r="BH638">
        <v>0</v>
      </c>
      <c r="BI638">
        <v>0</v>
      </c>
      <c r="BJ638">
        <v>0</v>
      </c>
      <c r="BK638">
        <v>0</v>
      </c>
      <c r="BL638">
        <v>714998291</v>
      </c>
      <c r="BM638">
        <v>0</v>
      </c>
      <c r="BN638">
        <v>2844</v>
      </c>
      <c r="BO638">
        <v>1937</v>
      </c>
      <c r="BP638">
        <v>0</v>
      </c>
      <c r="BQ638">
        <v>0</v>
      </c>
      <c r="BR638">
        <v>0.82200000000000006</v>
      </c>
      <c r="BS638">
        <v>0.82200000000000006</v>
      </c>
      <c r="BT638">
        <v>549593</v>
      </c>
      <c r="BU638">
        <v>0</v>
      </c>
      <c r="BV638">
        <v>78</v>
      </c>
      <c r="BW638">
        <v>289</v>
      </c>
      <c r="BX638">
        <v>14</v>
      </c>
      <c r="BY638">
        <v>16</v>
      </c>
      <c r="BZ638">
        <v>5</v>
      </c>
      <c r="CA638">
        <v>402</v>
      </c>
      <c r="CB638">
        <v>0</v>
      </c>
      <c r="CC638">
        <v>0</v>
      </c>
      <c r="CD638">
        <v>0</v>
      </c>
      <c r="CE638">
        <v>65</v>
      </c>
      <c r="CF638">
        <v>144.36000000000001</v>
      </c>
      <c r="CG638">
        <v>0</v>
      </c>
      <c r="CH638">
        <v>0</v>
      </c>
      <c r="CI638">
        <v>1</v>
      </c>
      <c r="CJ638">
        <v>0</v>
      </c>
      <c r="CK638">
        <v>0</v>
      </c>
      <c r="CL638">
        <v>0</v>
      </c>
      <c r="CM638">
        <v>27.722000000000001</v>
      </c>
      <c r="CN638">
        <v>0</v>
      </c>
      <c r="CO638">
        <v>0</v>
      </c>
      <c r="CP638">
        <v>0</v>
      </c>
      <c r="CQ638">
        <v>0</v>
      </c>
      <c r="CR638">
        <v>0</v>
      </c>
      <c r="CS638">
        <v>0</v>
      </c>
      <c r="CT638">
        <v>0</v>
      </c>
      <c r="CU638">
        <v>1.7350000000000001</v>
      </c>
      <c r="CV638">
        <v>70.352000000000004</v>
      </c>
      <c r="CW638">
        <v>31.688000000000002</v>
      </c>
      <c r="CX638">
        <v>549593</v>
      </c>
      <c r="CY638" s="2043">
        <v>0</v>
      </c>
      <c r="CZ638" s="2043">
        <v>0</v>
      </c>
      <c r="DA638" s="2043">
        <v>0</v>
      </c>
      <c r="DB638" s="2043">
        <v>0</v>
      </c>
      <c r="DC638" s="2043">
        <v>0</v>
      </c>
      <c r="DI638" t="s">
        <v>5100</v>
      </c>
      <c r="DJ638" t="s">
        <v>5100</v>
      </c>
      <c r="DK638" s="2042">
        <f t="shared" si="11"/>
        <v>0</v>
      </c>
    </row>
    <row r="639" spans="1:115">
      <c r="A639" t="s">
        <v>5101</v>
      </c>
      <c r="B639" t="s">
        <v>2531</v>
      </c>
      <c r="C639">
        <v>722.49900000000002</v>
      </c>
      <c r="D639">
        <v>749.98200000000008</v>
      </c>
      <c r="E639">
        <v>15.620000000000001</v>
      </c>
      <c r="F639">
        <v>0</v>
      </c>
      <c r="G639" s="2043">
        <v>620908662</v>
      </c>
      <c r="H639">
        <v>0</v>
      </c>
      <c r="I639" s="2043">
        <v>1385625</v>
      </c>
      <c r="J639">
        <v>36.125</v>
      </c>
      <c r="K639">
        <v>99</v>
      </c>
      <c r="L639">
        <v>0</v>
      </c>
      <c r="M639">
        <v>0</v>
      </c>
      <c r="N639">
        <v>0</v>
      </c>
      <c r="O639">
        <v>0</v>
      </c>
      <c r="P639">
        <v>0</v>
      </c>
      <c r="Q639">
        <v>0</v>
      </c>
      <c r="R639" s="2043">
        <v>5434246</v>
      </c>
      <c r="S639">
        <v>297474</v>
      </c>
      <c r="T639">
        <v>0</v>
      </c>
      <c r="U639">
        <v>0.05</v>
      </c>
      <c r="V639">
        <v>0</v>
      </c>
      <c r="W639">
        <v>0</v>
      </c>
      <c r="X639">
        <v>0</v>
      </c>
      <c r="Y639">
        <v>0</v>
      </c>
      <c r="Z639">
        <v>0</v>
      </c>
      <c r="AA639">
        <v>0</v>
      </c>
      <c r="AB639">
        <v>745.81299999999999</v>
      </c>
      <c r="AC639" s="2043">
        <v>654990755</v>
      </c>
      <c r="AD639">
        <v>1667778</v>
      </c>
      <c r="AE639" s="2043">
        <v>5731720</v>
      </c>
      <c r="AF639">
        <v>0.96340000000000003</v>
      </c>
      <c r="AG639">
        <v>0</v>
      </c>
      <c r="AH639">
        <v>0</v>
      </c>
      <c r="AI639">
        <v>0</v>
      </c>
      <c r="AJ639">
        <v>59.775000000000006</v>
      </c>
      <c r="AK639">
        <v>1971</v>
      </c>
      <c r="AL639">
        <v>0</v>
      </c>
      <c r="AM639">
        <v>0</v>
      </c>
      <c r="AN639">
        <v>22.596</v>
      </c>
      <c r="AO639">
        <v>0</v>
      </c>
      <c r="AP639">
        <v>0</v>
      </c>
      <c r="AQ639">
        <v>0</v>
      </c>
      <c r="AR639">
        <v>8.6080000000000005</v>
      </c>
      <c r="AS639">
        <v>0</v>
      </c>
      <c r="AT639">
        <v>2.379</v>
      </c>
      <c r="AU639">
        <v>0.79100000000000004</v>
      </c>
      <c r="AV639">
        <v>0</v>
      </c>
      <c r="AW639">
        <v>11.778</v>
      </c>
      <c r="AX639">
        <v>0</v>
      </c>
      <c r="AY639">
        <v>36.916000000000004</v>
      </c>
      <c r="AZ639">
        <v>0</v>
      </c>
      <c r="BA639">
        <v>1974592</v>
      </c>
      <c r="BB639">
        <v>7399498</v>
      </c>
      <c r="BC639">
        <v>0</v>
      </c>
      <c r="BD639">
        <v>78126</v>
      </c>
      <c r="BE639">
        <v>1464</v>
      </c>
      <c r="BF639">
        <v>79590</v>
      </c>
      <c r="BG639">
        <v>78126</v>
      </c>
      <c r="BH639">
        <v>0</v>
      </c>
      <c r="BI639">
        <v>0</v>
      </c>
      <c r="BJ639">
        <v>0</v>
      </c>
      <c r="BK639">
        <v>0</v>
      </c>
      <c r="BL639">
        <v>620908662</v>
      </c>
      <c r="BM639">
        <v>0</v>
      </c>
      <c r="BN639">
        <v>2412</v>
      </c>
      <c r="BO639">
        <v>1166</v>
      </c>
      <c r="BP639">
        <v>0</v>
      </c>
      <c r="BQ639">
        <v>0</v>
      </c>
      <c r="BR639">
        <v>0.91339999999999999</v>
      </c>
      <c r="BS639">
        <v>0.91339999999999999</v>
      </c>
      <c r="BT639">
        <v>0</v>
      </c>
      <c r="BU639">
        <v>0</v>
      </c>
      <c r="BV639">
        <v>197</v>
      </c>
      <c r="BW639">
        <v>23</v>
      </c>
      <c r="BX639">
        <v>7</v>
      </c>
      <c r="BY639">
        <v>1</v>
      </c>
      <c r="BZ639">
        <v>29</v>
      </c>
      <c r="CA639">
        <v>257</v>
      </c>
      <c r="CB639">
        <v>0</v>
      </c>
      <c r="CC639">
        <v>0</v>
      </c>
      <c r="CD639">
        <v>0</v>
      </c>
      <c r="CE639">
        <v>46</v>
      </c>
      <c r="CF639">
        <v>96.100999999999999</v>
      </c>
      <c r="CG639">
        <v>0</v>
      </c>
      <c r="CH639">
        <v>0</v>
      </c>
      <c r="CI639">
        <v>1</v>
      </c>
      <c r="CJ639">
        <v>6</v>
      </c>
      <c r="CK639">
        <v>0</v>
      </c>
      <c r="CL639">
        <v>0</v>
      </c>
      <c r="CM639">
        <v>15.620000000000001</v>
      </c>
      <c r="CN639">
        <v>0</v>
      </c>
      <c r="CO639">
        <v>0</v>
      </c>
      <c r="CP639">
        <v>0</v>
      </c>
      <c r="CQ639">
        <v>0</v>
      </c>
      <c r="CR639">
        <v>0</v>
      </c>
      <c r="CS639">
        <v>0</v>
      </c>
      <c r="CT639">
        <v>0</v>
      </c>
      <c r="CU639">
        <v>3.2970000000000002</v>
      </c>
      <c r="CV639">
        <v>48.77</v>
      </c>
      <c r="CW639">
        <v>17.016000000000002</v>
      </c>
      <c r="CX639">
        <v>0</v>
      </c>
      <c r="CY639" s="2043">
        <v>0</v>
      </c>
      <c r="CZ639" s="2043">
        <v>0</v>
      </c>
      <c r="DA639" s="2043">
        <v>0</v>
      </c>
      <c r="DB639" s="2043">
        <v>0</v>
      </c>
      <c r="DC639" s="2043">
        <v>104353</v>
      </c>
      <c r="DI639" t="s">
        <v>5101</v>
      </c>
      <c r="DJ639" t="s">
        <v>5101</v>
      </c>
      <c r="DK639" s="2042">
        <f t="shared" si="11"/>
        <v>0</v>
      </c>
    </row>
    <row r="640" spans="1:115">
      <c r="A640" t="s">
        <v>5102</v>
      </c>
      <c r="B640" t="s">
        <v>1255</v>
      </c>
      <c r="C640">
        <v>377.50300000000004</v>
      </c>
      <c r="D640">
        <v>384.024</v>
      </c>
      <c r="E640">
        <v>109.92400000000001</v>
      </c>
      <c r="F640">
        <v>0</v>
      </c>
      <c r="G640" s="2043">
        <v>295300068</v>
      </c>
      <c r="H640">
        <v>0</v>
      </c>
      <c r="I640" s="2043">
        <v>116275</v>
      </c>
      <c r="J640">
        <v>18.875</v>
      </c>
      <c r="K640">
        <v>52</v>
      </c>
      <c r="L640">
        <v>0</v>
      </c>
      <c r="M640">
        <v>0</v>
      </c>
      <c r="N640">
        <v>0</v>
      </c>
      <c r="O640">
        <v>0</v>
      </c>
      <c r="P640">
        <v>0</v>
      </c>
      <c r="Q640">
        <v>0</v>
      </c>
      <c r="R640" s="2043">
        <v>2540526</v>
      </c>
      <c r="S640">
        <v>139070</v>
      </c>
      <c r="T640">
        <v>0</v>
      </c>
      <c r="U640">
        <v>0.05</v>
      </c>
      <c r="V640">
        <v>0</v>
      </c>
      <c r="W640">
        <v>0</v>
      </c>
      <c r="X640">
        <v>0</v>
      </c>
      <c r="Y640">
        <v>0</v>
      </c>
      <c r="Z640">
        <v>0</v>
      </c>
      <c r="AA640">
        <v>0</v>
      </c>
      <c r="AB640">
        <v>381.262</v>
      </c>
      <c r="AC640" s="2043">
        <v>276409154</v>
      </c>
      <c r="AD640">
        <v>122156</v>
      </c>
      <c r="AE640" s="2043">
        <v>2679596</v>
      </c>
      <c r="AF640">
        <v>0.96340000000000003</v>
      </c>
      <c r="AG640">
        <v>0</v>
      </c>
      <c r="AH640">
        <v>0</v>
      </c>
      <c r="AI640">
        <v>0</v>
      </c>
      <c r="AJ640">
        <v>88.063000000000002</v>
      </c>
      <c r="AK640">
        <v>1577</v>
      </c>
      <c r="AL640">
        <v>0</v>
      </c>
      <c r="AM640">
        <v>0</v>
      </c>
      <c r="AN640">
        <v>15.871</v>
      </c>
      <c r="AO640">
        <v>0</v>
      </c>
      <c r="AP640">
        <v>0</v>
      </c>
      <c r="AQ640">
        <v>0</v>
      </c>
      <c r="AR640">
        <v>7.94</v>
      </c>
      <c r="AS640">
        <v>0</v>
      </c>
      <c r="AT640">
        <v>0.47400000000000003</v>
      </c>
      <c r="AU640">
        <v>0.56500000000000006</v>
      </c>
      <c r="AV640">
        <v>0</v>
      </c>
      <c r="AW640">
        <v>8.979000000000001</v>
      </c>
      <c r="AX640">
        <v>0</v>
      </c>
      <c r="AY640">
        <v>28.067</v>
      </c>
      <c r="AZ640">
        <v>0</v>
      </c>
      <c r="BA640">
        <v>2393917</v>
      </c>
      <c r="BB640">
        <v>2801752</v>
      </c>
      <c r="BC640">
        <v>0</v>
      </c>
      <c r="BD640">
        <v>49994</v>
      </c>
      <c r="BE640">
        <v>0</v>
      </c>
      <c r="BF640">
        <v>49994</v>
      </c>
      <c r="BG640">
        <v>49994</v>
      </c>
      <c r="BH640">
        <v>0</v>
      </c>
      <c r="BI640">
        <v>0</v>
      </c>
      <c r="BJ640">
        <v>0</v>
      </c>
      <c r="BK640">
        <v>0</v>
      </c>
      <c r="BL640">
        <v>295300068</v>
      </c>
      <c r="BM640">
        <v>0</v>
      </c>
      <c r="BN640">
        <v>1458</v>
      </c>
      <c r="BO640">
        <v>1156</v>
      </c>
      <c r="BP640">
        <v>0</v>
      </c>
      <c r="BQ640">
        <v>0</v>
      </c>
      <c r="BR640">
        <v>0.91339999999999999</v>
      </c>
      <c r="BS640">
        <v>0.91339999999999999</v>
      </c>
      <c r="BT640">
        <v>0</v>
      </c>
      <c r="BU640">
        <v>0</v>
      </c>
      <c r="BV640">
        <v>8</v>
      </c>
      <c r="BW640">
        <v>1</v>
      </c>
      <c r="BX640">
        <v>342</v>
      </c>
      <c r="BY640">
        <v>2</v>
      </c>
      <c r="BZ640">
        <v>0</v>
      </c>
      <c r="CA640">
        <v>353</v>
      </c>
      <c r="CB640">
        <v>0</v>
      </c>
      <c r="CC640">
        <v>116.61200000000001</v>
      </c>
      <c r="CD640">
        <v>49.407000000000004</v>
      </c>
      <c r="CE640">
        <v>14</v>
      </c>
      <c r="CF640">
        <v>179.89000000000001</v>
      </c>
      <c r="CG640">
        <v>0</v>
      </c>
      <c r="CH640">
        <v>0</v>
      </c>
      <c r="CI640">
        <v>4</v>
      </c>
      <c r="CJ640">
        <v>0</v>
      </c>
      <c r="CK640">
        <v>0</v>
      </c>
      <c r="CL640">
        <v>0</v>
      </c>
      <c r="CM640">
        <v>109.92400000000001</v>
      </c>
      <c r="CN640">
        <v>0</v>
      </c>
      <c r="CO640">
        <v>0</v>
      </c>
      <c r="CP640">
        <v>0</v>
      </c>
      <c r="CQ640">
        <v>0</v>
      </c>
      <c r="CR640">
        <v>0</v>
      </c>
      <c r="CS640">
        <v>0</v>
      </c>
      <c r="CT640">
        <v>0</v>
      </c>
      <c r="CU640">
        <v>0</v>
      </c>
      <c r="CV640">
        <v>17.459</v>
      </c>
      <c r="CW640">
        <v>9.9749999999999996</v>
      </c>
      <c r="CX640">
        <v>0</v>
      </c>
      <c r="CY640" s="2043">
        <v>0</v>
      </c>
      <c r="CZ640" s="2043">
        <v>0</v>
      </c>
      <c r="DA640" s="2043">
        <v>0</v>
      </c>
      <c r="DB640" s="2043">
        <v>0</v>
      </c>
      <c r="DC640" s="2043">
        <v>0</v>
      </c>
      <c r="DI640" t="s">
        <v>5102</v>
      </c>
      <c r="DJ640" t="s">
        <v>5102</v>
      </c>
      <c r="DK640" s="2042">
        <f t="shared" si="11"/>
        <v>0</v>
      </c>
    </row>
    <row r="641" spans="1:115">
      <c r="A641" t="s">
        <v>5821</v>
      </c>
      <c r="B641" t="s">
        <v>2055</v>
      </c>
      <c r="C641">
        <v>106.40700000000001</v>
      </c>
      <c r="D641">
        <v>112.596</v>
      </c>
      <c r="E641">
        <v>2.605</v>
      </c>
      <c r="F641">
        <v>0</v>
      </c>
      <c r="G641" s="2043">
        <v>172515183</v>
      </c>
      <c r="H641">
        <v>0</v>
      </c>
      <c r="I641" s="2043">
        <v>620700</v>
      </c>
      <c r="J641">
        <v>0</v>
      </c>
      <c r="K641">
        <v>0</v>
      </c>
      <c r="L641">
        <v>0</v>
      </c>
      <c r="M641">
        <v>0</v>
      </c>
      <c r="N641">
        <v>0</v>
      </c>
      <c r="O641">
        <v>0</v>
      </c>
      <c r="P641">
        <v>0</v>
      </c>
      <c r="Q641">
        <v>0</v>
      </c>
      <c r="R641" s="2043">
        <v>1494029</v>
      </c>
      <c r="S641">
        <v>97819</v>
      </c>
      <c r="T641">
        <v>0</v>
      </c>
      <c r="U641">
        <v>0.06</v>
      </c>
      <c r="V641">
        <v>0</v>
      </c>
      <c r="W641">
        <v>0</v>
      </c>
      <c r="X641">
        <v>0</v>
      </c>
      <c r="Y641">
        <v>293286</v>
      </c>
      <c r="Z641">
        <v>0</v>
      </c>
      <c r="AA641">
        <v>0</v>
      </c>
      <c r="AB641">
        <v>112.596</v>
      </c>
      <c r="AC641" s="2043">
        <v>193481443</v>
      </c>
      <c r="AD641">
        <v>662905</v>
      </c>
      <c r="AE641" s="2043">
        <v>1591848</v>
      </c>
      <c r="AF641">
        <v>0.97640000000000005</v>
      </c>
      <c r="AG641">
        <v>0</v>
      </c>
      <c r="AH641">
        <v>0</v>
      </c>
      <c r="AI641">
        <v>0</v>
      </c>
      <c r="AJ641">
        <v>23.813000000000002</v>
      </c>
      <c r="AK641">
        <v>860</v>
      </c>
      <c r="AL641">
        <v>0</v>
      </c>
      <c r="AM641">
        <v>0</v>
      </c>
      <c r="AN641">
        <v>7.9970000000000008</v>
      </c>
      <c r="AO641">
        <v>0</v>
      </c>
      <c r="AP641">
        <v>0</v>
      </c>
      <c r="AQ641">
        <v>0</v>
      </c>
      <c r="AR641">
        <v>4.0179999999999998</v>
      </c>
      <c r="AS641">
        <v>0</v>
      </c>
      <c r="AT641">
        <v>0.44800000000000001</v>
      </c>
      <c r="AU641">
        <v>0.26200000000000001</v>
      </c>
      <c r="AV641">
        <v>0</v>
      </c>
      <c r="AW641">
        <v>4.7280000000000006</v>
      </c>
      <c r="AX641">
        <v>0</v>
      </c>
      <c r="AY641">
        <v>14.708</v>
      </c>
      <c r="AZ641">
        <v>0</v>
      </c>
      <c r="BA641">
        <v>604716</v>
      </c>
      <c r="BB641">
        <v>2254753</v>
      </c>
      <c r="BC641">
        <v>0</v>
      </c>
      <c r="BD641">
        <v>7560</v>
      </c>
      <c r="BE641">
        <v>0</v>
      </c>
      <c r="BF641">
        <v>7560</v>
      </c>
      <c r="BG641">
        <v>7560</v>
      </c>
      <c r="BH641">
        <v>0</v>
      </c>
      <c r="BI641">
        <v>0</v>
      </c>
      <c r="BJ641">
        <v>0</v>
      </c>
      <c r="BK641">
        <v>0</v>
      </c>
      <c r="BL641">
        <v>172515183</v>
      </c>
      <c r="BM641">
        <v>0</v>
      </c>
      <c r="BN641">
        <v>450</v>
      </c>
      <c r="BO641">
        <v>54</v>
      </c>
      <c r="BP641">
        <v>0</v>
      </c>
      <c r="BQ641">
        <v>0</v>
      </c>
      <c r="BR641">
        <v>0.91639999999999999</v>
      </c>
      <c r="BS641">
        <v>0.91639999999999999</v>
      </c>
      <c r="BT641">
        <v>0</v>
      </c>
      <c r="BU641">
        <v>0</v>
      </c>
      <c r="BV641">
        <v>1</v>
      </c>
      <c r="BW641">
        <v>0</v>
      </c>
      <c r="BX641">
        <v>3</v>
      </c>
      <c r="BY641">
        <v>87</v>
      </c>
      <c r="BZ641">
        <v>0</v>
      </c>
      <c r="CA641">
        <v>91</v>
      </c>
      <c r="CB641">
        <v>0</v>
      </c>
      <c r="CC641">
        <v>0</v>
      </c>
      <c r="CD641">
        <v>0</v>
      </c>
      <c r="CE641">
        <v>6</v>
      </c>
      <c r="CF641">
        <v>26.221</v>
      </c>
      <c r="CG641">
        <v>0</v>
      </c>
      <c r="CH641">
        <v>0</v>
      </c>
      <c r="CI641">
        <v>1</v>
      </c>
      <c r="CJ641">
        <v>0</v>
      </c>
      <c r="CK641">
        <v>0</v>
      </c>
      <c r="CL641">
        <v>0</v>
      </c>
      <c r="CM641">
        <v>2.605</v>
      </c>
      <c r="CN641">
        <v>0</v>
      </c>
      <c r="CO641">
        <v>0</v>
      </c>
      <c r="CP641">
        <v>0</v>
      </c>
      <c r="CQ641">
        <v>0</v>
      </c>
      <c r="CR641">
        <v>0</v>
      </c>
      <c r="CS641">
        <v>0</v>
      </c>
      <c r="CT641">
        <v>0</v>
      </c>
      <c r="CU641">
        <v>1.099</v>
      </c>
      <c r="CV641">
        <v>3.8490000000000002</v>
      </c>
      <c r="CW641">
        <v>5.4489999999999998</v>
      </c>
      <c r="CX641">
        <v>0</v>
      </c>
      <c r="CY641" s="2043">
        <v>293286</v>
      </c>
      <c r="CZ641" s="2043">
        <v>0</v>
      </c>
      <c r="DA641" s="2043">
        <v>0</v>
      </c>
      <c r="DB641" s="2043">
        <v>0</v>
      </c>
      <c r="DC641" s="2043">
        <v>0</v>
      </c>
      <c r="DI641" t="s">
        <v>5821</v>
      </c>
      <c r="DJ641" t="s">
        <v>5821</v>
      </c>
      <c r="DK641" s="2042">
        <f t="shared" si="11"/>
        <v>0</v>
      </c>
    </row>
    <row r="642" spans="1:115">
      <c r="A642" t="s">
        <v>5822</v>
      </c>
      <c r="B642" t="s">
        <v>1046</v>
      </c>
      <c r="C642">
        <v>46.292000000000002</v>
      </c>
      <c r="D642">
        <v>53.54</v>
      </c>
      <c r="E642">
        <v>12.527000000000001</v>
      </c>
      <c r="F642">
        <v>0</v>
      </c>
      <c r="G642" s="2043">
        <v>75567458</v>
      </c>
      <c r="H642">
        <v>0</v>
      </c>
      <c r="I642" s="2043">
        <v>0</v>
      </c>
      <c r="J642">
        <v>2.3149999999999999</v>
      </c>
      <c r="K642">
        <v>6</v>
      </c>
      <c r="L642">
        <v>0</v>
      </c>
      <c r="M642">
        <v>0</v>
      </c>
      <c r="N642">
        <v>0</v>
      </c>
      <c r="O642">
        <v>0</v>
      </c>
      <c r="P642">
        <v>0</v>
      </c>
      <c r="Q642">
        <v>0</v>
      </c>
      <c r="R642" s="2043">
        <v>584152</v>
      </c>
      <c r="S642">
        <v>31977</v>
      </c>
      <c r="T642">
        <v>0</v>
      </c>
      <c r="U642">
        <v>0.05</v>
      </c>
      <c r="V642">
        <v>0</v>
      </c>
      <c r="W642">
        <v>0</v>
      </c>
      <c r="X642">
        <v>0</v>
      </c>
      <c r="Y642">
        <v>9546</v>
      </c>
      <c r="Z642">
        <v>0</v>
      </c>
      <c r="AA642">
        <v>0</v>
      </c>
      <c r="AB642">
        <v>53.54</v>
      </c>
      <c r="AC642" s="2043">
        <v>70136662</v>
      </c>
      <c r="AD642">
        <v>0</v>
      </c>
      <c r="AE642" s="2043">
        <v>616129</v>
      </c>
      <c r="AF642">
        <v>0.96340000000000003</v>
      </c>
      <c r="AG642">
        <v>0</v>
      </c>
      <c r="AH642">
        <v>0</v>
      </c>
      <c r="AI642">
        <v>0</v>
      </c>
      <c r="AJ642">
        <v>12.025</v>
      </c>
      <c r="AK642">
        <v>270</v>
      </c>
      <c r="AL642">
        <v>0</v>
      </c>
      <c r="AM642">
        <v>0</v>
      </c>
      <c r="AN642">
        <v>2.7270000000000003</v>
      </c>
      <c r="AO642">
        <v>0</v>
      </c>
      <c r="AP642">
        <v>0</v>
      </c>
      <c r="AQ642">
        <v>0</v>
      </c>
      <c r="AR642">
        <v>1.115</v>
      </c>
      <c r="AS642">
        <v>0</v>
      </c>
      <c r="AT642">
        <v>0</v>
      </c>
      <c r="AU642">
        <v>0.20600000000000002</v>
      </c>
      <c r="AV642">
        <v>0</v>
      </c>
      <c r="AW642">
        <v>1.3210000000000002</v>
      </c>
      <c r="AX642">
        <v>0</v>
      </c>
      <c r="AY642">
        <v>4.375</v>
      </c>
      <c r="AZ642">
        <v>0</v>
      </c>
      <c r="BA642">
        <v>887794</v>
      </c>
      <c r="BB642">
        <v>616129</v>
      </c>
      <c r="BC642">
        <v>0</v>
      </c>
      <c r="BD642">
        <v>7385</v>
      </c>
      <c r="BE642">
        <v>0</v>
      </c>
      <c r="BF642">
        <v>7385</v>
      </c>
      <c r="BG642">
        <v>7385</v>
      </c>
      <c r="BH642">
        <v>0</v>
      </c>
      <c r="BI642">
        <v>0</v>
      </c>
      <c r="BJ642">
        <v>0</v>
      </c>
      <c r="BK642">
        <v>0</v>
      </c>
      <c r="BL642">
        <v>75567458</v>
      </c>
      <c r="BM642">
        <v>0</v>
      </c>
      <c r="BN642">
        <v>450</v>
      </c>
      <c r="BO642">
        <v>32</v>
      </c>
      <c r="BP642">
        <v>0</v>
      </c>
      <c r="BQ642">
        <v>0</v>
      </c>
      <c r="BR642">
        <v>0.91339999999999999</v>
      </c>
      <c r="BS642">
        <v>0.91339999999999999</v>
      </c>
      <c r="BT642">
        <v>0</v>
      </c>
      <c r="BU642">
        <v>0</v>
      </c>
      <c r="BV642">
        <v>0</v>
      </c>
      <c r="BW642">
        <v>0</v>
      </c>
      <c r="BX642">
        <v>46</v>
      </c>
      <c r="BY642">
        <v>2</v>
      </c>
      <c r="BZ642">
        <v>0</v>
      </c>
      <c r="CA642">
        <v>48</v>
      </c>
      <c r="CB642">
        <v>0</v>
      </c>
      <c r="CC642">
        <v>0</v>
      </c>
      <c r="CD642">
        <v>0</v>
      </c>
      <c r="CE642">
        <v>0</v>
      </c>
      <c r="CF642">
        <v>18.564</v>
      </c>
      <c r="CG642">
        <v>0</v>
      </c>
      <c r="CH642">
        <v>0</v>
      </c>
      <c r="CI642">
        <v>0</v>
      </c>
      <c r="CJ642">
        <v>0</v>
      </c>
      <c r="CK642">
        <v>0</v>
      </c>
      <c r="CL642">
        <v>0</v>
      </c>
      <c r="CM642">
        <v>12.527000000000001</v>
      </c>
      <c r="CN642">
        <v>0</v>
      </c>
      <c r="CO642">
        <v>0</v>
      </c>
      <c r="CP642">
        <v>0</v>
      </c>
      <c r="CQ642">
        <v>0</v>
      </c>
      <c r="CR642">
        <v>0</v>
      </c>
      <c r="CS642">
        <v>0</v>
      </c>
      <c r="CT642">
        <v>0</v>
      </c>
      <c r="CU642">
        <v>0</v>
      </c>
      <c r="CV642">
        <v>2.94</v>
      </c>
      <c r="CW642">
        <v>1.0620000000000001</v>
      </c>
      <c r="CX642">
        <v>0</v>
      </c>
      <c r="CY642" s="2043">
        <v>9546</v>
      </c>
      <c r="CZ642" s="2043">
        <v>0</v>
      </c>
      <c r="DA642" s="2043">
        <v>0</v>
      </c>
      <c r="DB642" s="2043">
        <v>0</v>
      </c>
      <c r="DC642" s="2043">
        <v>0</v>
      </c>
      <c r="DI642" t="s">
        <v>5822</v>
      </c>
      <c r="DJ642" t="s">
        <v>5822</v>
      </c>
      <c r="DK642" s="2042">
        <f t="shared" si="11"/>
        <v>0</v>
      </c>
    </row>
    <row r="643" spans="1:115">
      <c r="A643" t="s">
        <v>3064</v>
      </c>
      <c r="B643" t="s">
        <v>1779</v>
      </c>
      <c r="C643">
        <v>2129.069</v>
      </c>
      <c r="D643">
        <v>1899.798</v>
      </c>
      <c r="E643">
        <v>102.747</v>
      </c>
      <c r="F643">
        <v>0</v>
      </c>
      <c r="G643" s="2043">
        <v>836986498</v>
      </c>
      <c r="H643">
        <v>0</v>
      </c>
      <c r="I643" s="2043">
        <v>3703150</v>
      </c>
      <c r="J643">
        <v>95</v>
      </c>
      <c r="K643">
        <v>260</v>
      </c>
      <c r="L643">
        <v>0</v>
      </c>
      <c r="M643">
        <v>844568</v>
      </c>
      <c r="N643">
        <v>0</v>
      </c>
      <c r="O643">
        <v>844568</v>
      </c>
      <c r="P643">
        <v>0</v>
      </c>
      <c r="Q643">
        <v>0</v>
      </c>
      <c r="R643" s="2043">
        <v>6893501</v>
      </c>
      <c r="S643">
        <v>670900</v>
      </c>
      <c r="T643">
        <v>488919</v>
      </c>
      <c r="U643">
        <v>0.08</v>
      </c>
      <c r="V643">
        <v>0</v>
      </c>
      <c r="W643">
        <v>0</v>
      </c>
      <c r="X643">
        <v>0</v>
      </c>
      <c r="Y643">
        <v>0</v>
      </c>
      <c r="Z643">
        <v>11.513</v>
      </c>
      <c r="AA643">
        <v>0</v>
      </c>
      <c r="AB643">
        <v>1899.798</v>
      </c>
      <c r="AC643" s="2043">
        <v>550517653</v>
      </c>
      <c r="AD643">
        <v>4147199</v>
      </c>
      <c r="AE643" s="2043">
        <v>8053320</v>
      </c>
      <c r="AF643">
        <v>0.96030000000000004</v>
      </c>
      <c r="AG643">
        <v>0</v>
      </c>
      <c r="AH643">
        <v>0</v>
      </c>
      <c r="AI643">
        <v>0</v>
      </c>
      <c r="AJ643">
        <v>180.6</v>
      </c>
      <c r="AK643">
        <v>9475</v>
      </c>
      <c r="AL643">
        <v>0</v>
      </c>
      <c r="AM643">
        <v>0</v>
      </c>
      <c r="AN643">
        <v>14.869000000000002</v>
      </c>
      <c r="AO643">
        <v>0</v>
      </c>
      <c r="AP643">
        <v>1.236</v>
      </c>
      <c r="AQ643">
        <v>0</v>
      </c>
      <c r="AR643">
        <v>97.534000000000006</v>
      </c>
      <c r="AS643">
        <v>0</v>
      </c>
      <c r="AT643">
        <v>14.76</v>
      </c>
      <c r="AU643">
        <v>5.8580000000000005</v>
      </c>
      <c r="AV643">
        <v>0</v>
      </c>
      <c r="AW643">
        <v>119.38800000000001</v>
      </c>
      <c r="AX643">
        <v>0</v>
      </c>
      <c r="AY643">
        <v>369.50900000000001</v>
      </c>
      <c r="AZ643">
        <v>0</v>
      </c>
      <c r="BA643">
        <v>13802302</v>
      </c>
      <c r="BB643">
        <v>12200519</v>
      </c>
      <c r="BC643">
        <v>0</v>
      </c>
      <c r="BD643">
        <v>126881</v>
      </c>
      <c r="BE643">
        <v>49644</v>
      </c>
      <c r="BF643">
        <v>176525</v>
      </c>
      <c r="BG643">
        <v>126881</v>
      </c>
      <c r="BH643">
        <v>0</v>
      </c>
      <c r="BI643">
        <v>0</v>
      </c>
      <c r="BJ643">
        <v>0</v>
      </c>
      <c r="BK643">
        <v>0</v>
      </c>
      <c r="BL643">
        <v>836986498</v>
      </c>
      <c r="BM643">
        <v>0</v>
      </c>
      <c r="BN643">
        <v>6642</v>
      </c>
      <c r="BO643">
        <v>4141</v>
      </c>
      <c r="BP643">
        <v>0</v>
      </c>
      <c r="BQ643">
        <v>0</v>
      </c>
      <c r="BR643">
        <v>0.82200000000000006</v>
      </c>
      <c r="BS643">
        <v>0.82200000000000006</v>
      </c>
      <c r="BT643">
        <v>0</v>
      </c>
      <c r="BU643">
        <v>0</v>
      </c>
      <c r="BV643">
        <v>395</v>
      </c>
      <c r="BW643">
        <v>298</v>
      </c>
      <c r="BX643">
        <v>61</v>
      </c>
      <c r="BY643">
        <v>6</v>
      </c>
      <c r="BZ643">
        <v>15</v>
      </c>
      <c r="CA643">
        <v>775</v>
      </c>
      <c r="CB643">
        <v>0</v>
      </c>
      <c r="CC643">
        <v>0</v>
      </c>
      <c r="CD643">
        <v>0</v>
      </c>
      <c r="CE643">
        <v>319</v>
      </c>
      <c r="CF643">
        <v>263.166</v>
      </c>
      <c r="CG643">
        <v>0</v>
      </c>
      <c r="CH643">
        <v>0</v>
      </c>
      <c r="CI643">
        <v>2</v>
      </c>
      <c r="CJ643">
        <v>14</v>
      </c>
      <c r="CK643">
        <v>0</v>
      </c>
      <c r="CL643">
        <v>0</v>
      </c>
      <c r="CM643">
        <v>102.747</v>
      </c>
      <c r="CN643">
        <v>0</v>
      </c>
      <c r="CO643">
        <v>0</v>
      </c>
      <c r="CP643">
        <v>0</v>
      </c>
      <c r="CQ643">
        <v>0</v>
      </c>
      <c r="CR643">
        <v>0</v>
      </c>
      <c r="CS643">
        <v>0</v>
      </c>
      <c r="CT643">
        <v>0</v>
      </c>
      <c r="CU643">
        <v>34.81</v>
      </c>
      <c r="CV643">
        <v>178.91800000000001</v>
      </c>
      <c r="CW643">
        <v>80.811000000000007</v>
      </c>
      <c r="CX643">
        <v>0</v>
      </c>
      <c r="CY643" s="2043">
        <v>0</v>
      </c>
      <c r="CZ643" s="2043">
        <v>0</v>
      </c>
      <c r="DA643" s="2043">
        <v>0</v>
      </c>
      <c r="DB643" s="2043">
        <v>0</v>
      </c>
      <c r="DC643" s="2043">
        <v>0</v>
      </c>
      <c r="DI643" t="s">
        <v>3064</v>
      </c>
      <c r="DJ643" t="s">
        <v>3064</v>
      </c>
      <c r="DK643" s="2042">
        <f t="shared" si="11"/>
        <v>0</v>
      </c>
    </row>
    <row r="644" spans="1:115">
      <c r="A644" t="s">
        <v>3065</v>
      </c>
      <c r="B644" t="s">
        <v>1047</v>
      </c>
      <c r="C644">
        <v>449.28400000000005</v>
      </c>
      <c r="D644">
        <v>477.67700000000002</v>
      </c>
      <c r="E644">
        <v>26.157</v>
      </c>
      <c r="F644">
        <v>0</v>
      </c>
      <c r="G644" s="2043">
        <v>166707777</v>
      </c>
      <c r="H644">
        <v>0</v>
      </c>
      <c r="I644" s="2043">
        <v>498025</v>
      </c>
      <c r="J644">
        <v>22.464000000000002</v>
      </c>
      <c r="K644">
        <v>61</v>
      </c>
      <c r="L644">
        <v>0</v>
      </c>
      <c r="M644">
        <v>123500</v>
      </c>
      <c r="N644">
        <v>0</v>
      </c>
      <c r="O644">
        <v>123500</v>
      </c>
      <c r="P644">
        <v>0</v>
      </c>
      <c r="Q644">
        <v>0</v>
      </c>
      <c r="R644" s="2043">
        <v>1346484</v>
      </c>
      <c r="S644">
        <v>131045</v>
      </c>
      <c r="T644">
        <v>95499</v>
      </c>
      <c r="U644">
        <v>0.08</v>
      </c>
      <c r="V644">
        <v>0</v>
      </c>
      <c r="W644">
        <v>0</v>
      </c>
      <c r="X644">
        <v>0</v>
      </c>
      <c r="Y644">
        <v>0</v>
      </c>
      <c r="Z644">
        <v>0</v>
      </c>
      <c r="AA644">
        <v>0</v>
      </c>
      <c r="AB644">
        <v>447.41400000000004</v>
      </c>
      <c r="AC644" s="2043">
        <v>116192163</v>
      </c>
      <c r="AD644">
        <v>427041</v>
      </c>
      <c r="AE644" s="2043">
        <v>1573028</v>
      </c>
      <c r="AF644">
        <v>0.96030000000000004</v>
      </c>
      <c r="AG644">
        <v>0</v>
      </c>
      <c r="AH644">
        <v>0</v>
      </c>
      <c r="AI644">
        <v>0</v>
      </c>
      <c r="AJ644">
        <v>63.35</v>
      </c>
      <c r="AK644">
        <v>3260</v>
      </c>
      <c r="AL644">
        <v>0</v>
      </c>
      <c r="AM644">
        <v>0</v>
      </c>
      <c r="AN644">
        <v>2.0820000000000003</v>
      </c>
      <c r="AO644">
        <v>0</v>
      </c>
      <c r="AP644">
        <v>0</v>
      </c>
      <c r="AQ644">
        <v>0</v>
      </c>
      <c r="AR644">
        <v>26.119</v>
      </c>
      <c r="AS644">
        <v>0</v>
      </c>
      <c r="AT644">
        <v>3.1750000000000003</v>
      </c>
      <c r="AU644">
        <v>1.2870000000000001</v>
      </c>
      <c r="AV644">
        <v>0</v>
      </c>
      <c r="AW644">
        <v>30.581000000000003</v>
      </c>
      <c r="AX644">
        <v>0</v>
      </c>
      <c r="AY644">
        <v>94.317000000000007</v>
      </c>
      <c r="AZ644">
        <v>0</v>
      </c>
      <c r="BA644">
        <v>4760372</v>
      </c>
      <c r="BB644">
        <v>2000069</v>
      </c>
      <c r="BC644">
        <v>0</v>
      </c>
      <c r="BD644">
        <v>37828</v>
      </c>
      <c r="BE644">
        <v>4353</v>
      </c>
      <c r="BF644">
        <v>42181</v>
      </c>
      <c r="BG644">
        <v>37828</v>
      </c>
      <c r="BH644">
        <v>0</v>
      </c>
      <c r="BI644">
        <v>0</v>
      </c>
      <c r="BJ644">
        <v>0</v>
      </c>
      <c r="BK644">
        <v>0</v>
      </c>
      <c r="BL644">
        <v>166707777</v>
      </c>
      <c r="BM644">
        <v>0</v>
      </c>
      <c r="BN644">
        <v>1890</v>
      </c>
      <c r="BO644">
        <v>1209</v>
      </c>
      <c r="BP644">
        <v>0</v>
      </c>
      <c r="BQ644">
        <v>0</v>
      </c>
      <c r="BR644">
        <v>0.82200000000000006</v>
      </c>
      <c r="BS644">
        <v>0.82200000000000006</v>
      </c>
      <c r="BT644">
        <v>0</v>
      </c>
      <c r="BU644">
        <v>0</v>
      </c>
      <c r="BV644">
        <v>127</v>
      </c>
      <c r="BW644">
        <v>10</v>
      </c>
      <c r="BX644">
        <v>120</v>
      </c>
      <c r="BY644">
        <v>6</v>
      </c>
      <c r="BZ644">
        <v>3</v>
      </c>
      <c r="CA644">
        <v>266</v>
      </c>
      <c r="CB644">
        <v>0</v>
      </c>
      <c r="CC644">
        <v>0</v>
      </c>
      <c r="CD644">
        <v>0</v>
      </c>
      <c r="CE644">
        <v>55</v>
      </c>
      <c r="CF644">
        <v>91.591999999999999</v>
      </c>
      <c r="CG644">
        <v>0</v>
      </c>
      <c r="CH644">
        <v>0</v>
      </c>
      <c r="CI644">
        <v>0</v>
      </c>
      <c r="CJ644">
        <v>1</v>
      </c>
      <c r="CK644">
        <v>0</v>
      </c>
      <c r="CL644">
        <v>0</v>
      </c>
      <c r="CM644">
        <v>26.157</v>
      </c>
      <c r="CN644">
        <v>0</v>
      </c>
      <c r="CO644">
        <v>0</v>
      </c>
      <c r="CP644">
        <v>0</v>
      </c>
      <c r="CQ644">
        <v>0</v>
      </c>
      <c r="CR644">
        <v>0</v>
      </c>
      <c r="CS644">
        <v>0</v>
      </c>
      <c r="CT644">
        <v>0</v>
      </c>
      <c r="CU644">
        <v>0.161</v>
      </c>
      <c r="CV644">
        <v>22.806000000000001</v>
      </c>
      <c r="CW644">
        <v>16.396000000000001</v>
      </c>
      <c r="CX644">
        <v>0</v>
      </c>
      <c r="CY644" s="2043">
        <v>0</v>
      </c>
      <c r="CZ644" s="2043">
        <v>0</v>
      </c>
      <c r="DA644" s="2043">
        <v>0</v>
      </c>
      <c r="DB644" s="2043">
        <v>0</v>
      </c>
      <c r="DC644" s="2043">
        <v>0</v>
      </c>
      <c r="DI644" t="s">
        <v>3065</v>
      </c>
      <c r="DJ644" t="s">
        <v>3065</v>
      </c>
      <c r="DK644" s="2042">
        <f t="shared" ref="DK644:DK707" si="12">DI644-DJ644:DJ645</f>
        <v>0</v>
      </c>
    </row>
    <row r="645" spans="1:115">
      <c r="A645" t="s">
        <v>3066</v>
      </c>
      <c r="B645" t="s">
        <v>1352</v>
      </c>
      <c r="C645">
        <v>1317.569</v>
      </c>
      <c r="D645">
        <v>1412.4170000000001</v>
      </c>
      <c r="E645">
        <v>142.34100000000001</v>
      </c>
      <c r="F645">
        <v>0</v>
      </c>
      <c r="G645" s="2043">
        <v>608811056</v>
      </c>
      <c r="H645">
        <v>0</v>
      </c>
      <c r="I645" s="2043">
        <v>1706402</v>
      </c>
      <c r="J645">
        <v>65.878</v>
      </c>
      <c r="K645">
        <v>180</v>
      </c>
      <c r="L645">
        <v>0</v>
      </c>
      <c r="M645">
        <v>568204</v>
      </c>
      <c r="N645">
        <v>0</v>
      </c>
      <c r="O645">
        <v>568204</v>
      </c>
      <c r="P645">
        <v>0</v>
      </c>
      <c r="Q645">
        <v>0</v>
      </c>
      <c r="R645" s="2043">
        <v>4886209</v>
      </c>
      <c r="S645">
        <v>475543</v>
      </c>
      <c r="T645">
        <v>346553</v>
      </c>
      <c r="U645">
        <v>0.08</v>
      </c>
      <c r="V645">
        <v>0</v>
      </c>
      <c r="W645">
        <v>0</v>
      </c>
      <c r="X645">
        <v>0</v>
      </c>
      <c r="Y645">
        <v>0</v>
      </c>
      <c r="Z645">
        <v>0</v>
      </c>
      <c r="AA645">
        <v>0</v>
      </c>
      <c r="AB645">
        <v>1408.402</v>
      </c>
      <c r="AC645" s="2043">
        <v>492887571</v>
      </c>
      <c r="AD645">
        <v>2061543</v>
      </c>
      <c r="AE645" s="2043">
        <v>5708305</v>
      </c>
      <c r="AF645">
        <v>0.96030000000000004</v>
      </c>
      <c r="AG645">
        <v>0</v>
      </c>
      <c r="AH645">
        <v>0</v>
      </c>
      <c r="AI645">
        <v>0</v>
      </c>
      <c r="AJ645">
        <v>255.26300000000001</v>
      </c>
      <c r="AK645">
        <v>7733</v>
      </c>
      <c r="AL645">
        <v>0</v>
      </c>
      <c r="AM645">
        <v>0</v>
      </c>
      <c r="AN645">
        <v>20.836000000000002</v>
      </c>
      <c r="AO645">
        <v>0</v>
      </c>
      <c r="AP645">
        <v>3.681</v>
      </c>
      <c r="AQ645">
        <v>2.2000000000000002E-2</v>
      </c>
      <c r="AR645">
        <v>63.825000000000003</v>
      </c>
      <c r="AS645">
        <v>0</v>
      </c>
      <c r="AT645">
        <v>13.093</v>
      </c>
      <c r="AU645">
        <v>3.9160000000000004</v>
      </c>
      <c r="AV645">
        <v>0</v>
      </c>
      <c r="AW645">
        <v>84.537000000000006</v>
      </c>
      <c r="AX645">
        <v>0</v>
      </c>
      <c r="AY645">
        <v>260.27300000000002</v>
      </c>
      <c r="AZ645">
        <v>0</v>
      </c>
      <c r="BA645">
        <v>10194313</v>
      </c>
      <c r="BB645">
        <v>7769848</v>
      </c>
      <c r="BC645">
        <v>0</v>
      </c>
      <c r="BD645">
        <v>56285</v>
      </c>
      <c r="BE645">
        <v>29218</v>
      </c>
      <c r="BF645">
        <v>85503</v>
      </c>
      <c r="BG645">
        <v>56285</v>
      </c>
      <c r="BH645">
        <v>0</v>
      </c>
      <c r="BI645">
        <v>0</v>
      </c>
      <c r="BJ645">
        <v>0</v>
      </c>
      <c r="BK645">
        <v>0</v>
      </c>
      <c r="BL645">
        <v>608811056</v>
      </c>
      <c r="BM645">
        <v>0</v>
      </c>
      <c r="BN645">
        <v>5265</v>
      </c>
      <c r="BO645">
        <v>1851</v>
      </c>
      <c r="BP645">
        <v>0</v>
      </c>
      <c r="BQ645">
        <v>0</v>
      </c>
      <c r="BR645">
        <v>0.82200000000000006</v>
      </c>
      <c r="BS645">
        <v>0.82200000000000006</v>
      </c>
      <c r="BT645">
        <v>0</v>
      </c>
      <c r="BU645">
        <v>0</v>
      </c>
      <c r="BV645">
        <v>155</v>
      </c>
      <c r="BW645">
        <v>349</v>
      </c>
      <c r="BX645">
        <v>175</v>
      </c>
      <c r="BY645">
        <v>2</v>
      </c>
      <c r="BZ645">
        <v>339</v>
      </c>
      <c r="CA645">
        <v>1020</v>
      </c>
      <c r="CB645">
        <v>0</v>
      </c>
      <c r="CC645">
        <v>0</v>
      </c>
      <c r="CD645">
        <v>0</v>
      </c>
      <c r="CE645">
        <v>121</v>
      </c>
      <c r="CF645">
        <v>327.59300000000002</v>
      </c>
      <c r="CG645">
        <v>0</v>
      </c>
      <c r="CH645">
        <v>0</v>
      </c>
      <c r="CI645">
        <v>2</v>
      </c>
      <c r="CJ645">
        <v>3</v>
      </c>
      <c r="CK645">
        <v>0</v>
      </c>
      <c r="CL645">
        <v>0</v>
      </c>
      <c r="CM645">
        <v>142.34100000000001</v>
      </c>
      <c r="CN645">
        <v>0</v>
      </c>
      <c r="CO645">
        <v>0</v>
      </c>
      <c r="CP645">
        <v>0</v>
      </c>
      <c r="CQ645">
        <v>0</v>
      </c>
      <c r="CR645">
        <v>0</v>
      </c>
      <c r="CS645">
        <v>0</v>
      </c>
      <c r="CT645">
        <v>0</v>
      </c>
      <c r="CU645">
        <v>0</v>
      </c>
      <c r="CV645">
        <v>83.545000000000002</v>
      </c>
      <c r="CW645">
        <v>51.92</v>
      </c>
      <c r="CX645">
        <v>0</v>
      </c>
      <c r="CY645" s="2043">
        <v>0</v>
      </c>
      <c r="CZ645" s="2043">
        <v>0</v>
      </c>
      <c r="DA645" s="2043">
        <v>0</v>
      </c>
      <c r="DB645" s="2043">
        <v>0</v>
      </c>
      <c r="DC645" s="2043">
        <v>0</v>
      </c>
      <c r="DI645" t="s">
        <v>3066</v>
      </c>
      <c r="DJ645" t="s">
        <v>3066</v>
      </c>
      <c r="DK645" s="2042">
        <f t="shared" si="12"/>
        <v>0</v>
      </c>
    </row>
    <row r="646" spans="1:115">
      <c r="A646" t="s">
        <v>5103</v>
      </c>
      <c r="B646" t="s">
        <v>1002</v>
      </c>
      <c r="C646">
        <v>4764.7650000000003</v>
      </c>
      <c r="D646">
        <v>4830.3389999999999</v>
      </c>
      <c r="E646">
        <v>784.42600000000004</v>
      </c>
      <c r="F646">
        <v>0</v>
      </c>
      <c r="G646" s="2043">
        <v>2988045305</v>
      </c>
      <c r="H646">
        <v>0</v>
      </c>
      <c r="I646" s="2043">
        <v>6535170</v>
      </c>
      <c r="J646">
        <v>238.238</v>
      </c>
      <c r="K646">
        <v>651</v>
      </c>
      <c r="L646">
        <v>0</v>
      </c>
      <c r="M646">
        <v>0</v>
      </c>
      <c r="N646">
        <v>0</v>
      </c>
      <c r="O646">
        <v>0</v>
      </c>
      <c r="P646">
        <v>0</v>
      </c>
      <c r="Q646">
        <v>0</v>
      </c>
      <c r="R646" s="2043">
        <v>24079914</v>
      </c>
      <c r="S646">
        <v>1757658</v>
      </c>
      <c r="T646">
        <v>0</v>
      </c>
      <c r="U646">
        <v>0.06</v>
      </c>
      <c r="V646">
        <v>0</v>
      </c>
      <c r="W646">
        <v>0</v>
      </c>
      <c r="X646">
        <v>0</v>
      </c>
      <c r="Y646">
        <v>23633</v>
      </c>
      <c r="Z646">
        <v>0</v>
      </c>
      <c r="AA646">
        <v>0.23800000000000002</v>
      </c>
      <c r="AB646">
        <v>4830.3389999999999</v>
      </c>
      <c r="AC646" s="2043">
        <v>2367811919</v>
      </c>
      <c r="AD646">
        <v>6957104</v>
      </c>
      <c r="AE646" s="2043">
        <v>25837572</v>
      </c>
      <c r="AF646">
        <v>0.88200000000000001</v>
      </c>
      <c r="AG646">
        <v>0</v>
      </c>
      <c r="AH646">
        <v>0</v>
      </c>
      <c r="AI646">
        <v>0</v>
      </c>
      <c r="AJ646">
        <v>994.05000000000007</v>
      </c>
      <c r="AK646">
        <v>18369</v>
      </c>
      <c r="AL646">
        <v>0.59899999999999998</v>
      </c>
      <c r="AM646">
        <v>0</v>
      </c>
      <c r="AN646">
        <v>267.09899999999999</v>
      </c>
      <c r="AO646">
        <v>0</v>
      </c>
      <c r="AP646">
        <v>0</v>
      </c>
      <c r="AQ646">
        <v>0</v>
      </c>
      <c r="AR646">
        <v>69.436999999999998</v>
      </c>
      <c r="AS646">
        <v>0</v>
      </c>
      <c r="AT646">
        <v>66.585999999999999</v>
      </c>
      <c r="AU646">
        <v>14.794</v>
      </c>
      <c r="AV646">
        <v>0</v>
      </c>
      <c r="AW646">
        <v>151.416</v>
      </c>
      <c r="AX646">
        <v>0</v>
      </c>
      <c r="AY646">
        <v>485.03400000000005</v>
      </c>
      <c r="AZ646">
        <v>0</v>
      </c>
      <c r="BA646">
        <v>21826274</v>
      </c>
      <c r="BB646">
        <v>32794676</v>
      </c>
      <c r="BC646">
        <v>0</v>
      </c>
      <c r="BD646">
        <v>192047</v>
      </c>
      <c r="BE646">
        <v>81797</v>
      </c>
      <c r="BF646">
        <v>273844</v>
      </c>
      <c r="BG646">
        <v>192047</v>
      </c>
      <c r="BH646">
        <v>0</v>
      </c>
      <c r="BI646">
        <v>0</v>
      </c>
      <c r="BJ646">
        <v>0</v>
      </c>
      <c r="BK646">
        <v>0</v>
      </c>
      <c r="BL646">
        <v>2988045305</v>
      </c>
      <c r="BM646">
        <v>0</v>
      </c>
      <c r="BN646">
        <v>17433</v>
      </c>
      <c r="BO646">
        <v>12530</v>
      </c>
      <c r="BP646">
        <v>0</v>
      </c>
      <c r="BQ646">
        <v>0</v>
      </c>
      <c r="BR646">
        <v>0.82200000000000006</v>
      </c>
      <c r="BS646">
        <v>0.82200000000000006</v>
      </c>
      <c r="BT646">
        <v>0</v>
      </c>
      <c r="BU646">
        <v>0</v>
      </c>
      <c r="BV646">
        <v>729</v>
      </c>
      <c r="BW646">
        <v>951</v>
      </c>
      <c r="BX646">
        <v>839</v>
      </c>
      <c r="BY646">
        <v>809</v>
      </c>
      <c r="BZ646">
        <v>662</v>
      </c>
      <c r="CA646">
        <v>3990</v>
      </c>
      <c r="CB646">
        <v>0</v>
      </c>
      <c r="CC646">
        <v>408.92099999999999</v>
      </c>
      <c r="CD646">
        <v>41.067</v>
      </c>
      <c r="CE646">
        <v>404</v>
      </c>
      <c r="CF646">
        <v>1467.011</v>
      </c>
      <c r="CG646">
        <v>68.679000000000002</v>
      </c>
      <c r="CH646">
        <v>0</v>
      </c>
      <c r="CI646">
        <v>0</v>
      </c>
      <c r="CJ646">
        <v>1</v>
      </c>
      <c r="CK646">
        <v>0</v>
      </c>
      <c r="CL646">
        <v>68.679000000000002</v>
      </c>
      <c r="CM646">
        <v>784.42600000000004</v>
      </c>
      <c r="CN646">
        <v>0</v>
      </c>
      <c r="CO646">
        <v>0</v>
      </c>
      <c r="CP646">
        <v>0</v>
      </c>
      <c r="CQ646">
        <v>0</v>
      </c>
      <c r="CR646">
        <v>0</v>
      </c>
      <c r="CS646">
        <v>89.826999999999998</v>
      </c>
      <c r="CT646">
        <v>0</v>
      </c>
      <c r="CU646">
        <v>30.235000000000003</v>
      </c>
      <c r="CV646">
        <v>335.846</v>
      </c>
      <c r="CW646">
        <v>203.529</v>
      </c>
      <c r="CX646">
        <v>0</v>
      </c>
      <c r="CY646" s="2043">
        <v>23633</v>
      </c>
      <c r="CZ646" s="2043">
        <v>0</v>
      </c>
      <c r="DA646" s="2043">
        <v>0</v>
      </c>
      <c r="DB646" s="2043">
        <v>0</v>
      </c>
      <c r="DC646" s="2043">
        <v>0</v>
      </c>
      <c r="DI646" t="s">
        <v>5103</v>
      </c>
      <c r="DJ646" t="s">
        <v>5103</v>
      </c>
      <c r="DK646" s="2042">
        <f t="shared" si="12"/>
        <v>0</v>
      </c>
    </row>
    <row r="647" spans="1:115">
      <c r="A647" t="s">
        <v>3067</v>
      </c>
      <c r="B647" t="s">
        <v>1837</v>
      </c>
      <c r="C647">
        <v>959.41</v>
      </c>
      <c r="D647">
        <v>915.67500000000007</v>
      </c>
      <c r="E647">
        <v>29.555</v>
      </c>
      <c r="F647">
        <v>0</v>
      </c>
      <c r="G647" s="2043">
        <v>370298532</v>
      </c>
      <c r="H647">
        <v>0</v>
      </c>
      <c r="I647" s="2043">
        <v>585912</v>
      </c>
      <c r="J647">
        <v>47.971000000000004</v>
      </c>
      <c r="K647">
        <v>131</v>
      </c>
      <c r="L647">
        <v>0</v>
      </c>
      <c r="M647">
        <v>179503</v>
      </c>
      <c r="N647">
        <v>0</v>
      </c>
      <c r="O647">
        <v>179503</v>
      </c>
      <c r="P647">
        <v>0</v>
      </c>
      <c r="Q647">
        <v>0</v>
      </c>
      <c r="R647" s="2043">
        <v>3042743</v>
      </c>
      <c r="S647">
        <v>185082</v>
      </c>
      <c r="T647">
        <v>0</v>
      </c>
      <c r="U647">
        <v>0.05</v>
      </c>
      <c r="V647">
        <v>0</v>
      </c>
      <c r="W647">
        <v>0</v>
      </c>
      <c r="X647">
        <v>0</v>
      </c>
      <c r="Y647">
        <v>0</v>
      </c>
      <c r="Z647">
        <v>0</v>
      </c>
      <c r="AA647">
        <v>0</v>
      </c>
      <c r="AB647">
        <v>915.67500000000007</v>
      </c>
      <c r="AC647" s="2043">
        <v>273572950</v>
      </c>
      <c r="AD647">
        <v>1289487</v>
      </c>
      <c r="AE647" s="2043">
        <v>3227825</v>
      </c>
      <c r="AF647">
        <v>0.872</v>
      </c>
      <c r="AG647">
        <v>0</v>
      </c>
      <c r="AH647">
        <v>0</v>
      </c>
      <c r="AI647">
        <v>0</v>
      </c>
      <c r="AJ647">
        <v>116.7</v>
      </c>
      <c r="AK647">
        <v>6994</v>
      </c>
      <c r="AL647">
        <v>0.11</v>
      </c>
      <c r="AM647">
        <v>0</v>
      </c>
      <c r="AN647">
        <v>34.222000000000001</v>
      </c>
      <c r="AO647">
        <v>0</v>
      </c>
      <c r="AP647">
        <v>0.82700000000000007</v>
      </c>
      <c r="AQ647">
        <v>14.276</v>
      </c>
      <c r="AR647">
        <v>31.038</v>
      </c>
      <c r="AS647">
        <v>0</v>
      </c>
      <c r="AT647">
        <v>10.234</v>
      </c>
      <c r="AU647">
        <v>2.0070000000000001</v>
      </c>
      <c r="AV647">
        <v>0</v>
      </c>
      <c r="AW647">
        <v>58.492000000000004</v>
      </c>
      <c r="AX647">
        <v>0</v>
      </c>
      <c r="AY647">
        <v>136.63400000000001</v>
      </c>
      <c r="AZ647">
        <v>0</v>
      </c>
      <c r="BA647">
        <v>8288005</v>
      </c>
      <c r="BB647">
        <v>4517312</v>
      </c>
      <c r="BC647">
        <v>0</v>
      </c>
      <c r="BD647">
        <v>77507</v>
      </c>
      <c r="BE647">
        <v>36588</v>
      </c>
      <c r="BF647">
        <v>114095</v>
      </c>
      <c r="BG647">
        <v>77507</v>
      </c>
      <c r="BH647">
        <v>0</v>
      </c>
      <c r="BI647">
        <v>0</v>
      </c>
      <c r="BJ647">
        <v>0</v>
      </c>
      <c r="BK647">
        <v>0</v>
      </c>
      <c r="BL647">
        <v>370298532</v>
      </c>
      <c r="BM647">
        <v>0</v>
      </c>
      <c r="BN647">
        <v>3600</v>
      </c>
      <c r="BO647">
        <v>1477</v>
      </c>
      <c r="BP647">
        <v>0</v>
      </c>
      <c r="BQ647">
        <v>0</v>
      </c>
      <c r="BR647">
        <v>0.82200000000000006</v>
      </c>
      <c r="BS647">
        <v>0.82200000000000006</v>
      </c>
      <c r="BT647">
        <v>0</v>
      </c>
      <c r="BU647">
        <v>0</v>
      </c>
      <c r="BV647">
        <v>190</v>
      </c>
      <c r="BW647">
        <v>182</v>
      </c>
      <c r="BX647">
        <v>91</v>
      </c>
      <c r="BY647">
        <v>0</v>
      </c>
      <c r="BZ647">
        <v>29</v>
      </c>
      <c r="CA647">
        <v>492</v>
      </c>
      <c r="CB647">
        <v>0</v>
      </c>
      <c r="CC647">
        <v>0</v>
      </c>
      <c r="CD647">
        <v>0</v>
      </c>
      <c r="CE647">
        <v>84</v>
      </c>
      <c r="CF647">
        <v>146.672</v>
      </c>
      <c r="CG647">
        <v>0</v>
      </c>
      <c r="CH647">
        <v>17.382999999999999</v>
      </c>
      <c r="CI647">
        <v>2</v>
      </c>
      <c r="CJ647">
        <v>8</v>
      </c>
      <c r="CK647">
        <v>0</v>
      </c>
      <c r="CL647">
        <v>17.382999999999999</v>
      </c>
      <c r="CM647">
        <v>29.555</v>
      </c>
      <c r="CN647">
        <v>0</v>
      </c>
      <c r="CO647">
        <v>0</v>
      </c>
      <c r="CP647">
        <v>0</v>
      </c>
      <c r="CQ647">
        <v>0</v>
      </c>
      <c r="CR647">
        <v>0</v>
      </c>
      <c r="CS647">
        <v>0</v>
      </c>
      <c r="CT647">
        <v>0</v>
      </c>
      <c r="CU647">
        <v>0</v>
      </c>
      <c r="CV647">
        <v>59.008000000000003</v>
      </c>
      <c r="CW647">
        <v>53.971000000000004</v>
      </c>
      <c r="CX647">
        <v>0</v>
      </c>
      <c r="CY647" s="2043">
        <v>0</v>
      </c>
      <c r="CZ647" s="2043">
        <v>0</v>
      </c>
      <c r="DA647" s="2043">
        <v>0</v>
      </c>
      <c r="DB647" s="2043">
        <v>0</v>
      </c>
      <c r="DC647" s="2043">
        <v>0</v>
      </c>
      <c r="DI647" t="s">
        <v>3067</v>
      </c>
      <c r="DJ647" t="s">
        <v>3067</v>
      </c>
      <c r="DK647" s="2042">
        <f t="shared" si="12"/>
        <v>0</v>
      </c>
    </row>
    <row r="648" spans="1:115">
      <c r="A648" t="s">
        <v>3068</v>
      </c>
      <c r="B648" t="s">
        <v>1493</v>
      </c>
      <c r="C648">
        <v>2352.2910000000002</v>
      </c>
      <c r="D648">
        <v>2353.5410000000002</v>
      </c>
      <c r="E648">
        <v>412.738</v>
      </c>
      <c r="F648">
        <v>0</v>
      </c>
      <c r="G648" s="2043">
        <v>1223887433</v>
      </c>
      <c r="H648">
        <v>0</v>
      </c>
      <c r="I648" s="2043">
        <v>1591950</v>
      </c>
      <c r="J648">
        <v>95</v>
      </c>
      <c r="K648">
        <v>260</v>
      </c>
      <c r="L648">
        <v>0</v>
      </c>
      <c r="M648">
        <v>1251436</v>
      </c>
      <c r="N648">
        <v>0</v>
      </c>
      <c r="O648">
        <v>1251436</v>
      </c>
      <c r="P648">
        <v>0</v>
      </c>
      <c r="Q648">
        <v>0</v>
      </c>
      <c r="R648" s="2043">
        <v>9988842</v>
      </c>
      <c r="S648">
        <v>972150</v>
      </c>
      <c r="T648">
        <v>708454</v>
      </c>
      <c r="U648">
        <v>0.08</v>
      </c>
      <c r="V648">
        <v>0</v>
      </c>
      <c r="W648">
        <v>0</v>
      </c>
      <c r="X648">
        <v>0</v>
      </c>
      <c r="Y648">
        <v>0</v>
      </c>
      <c r="Z648">
        <v>0</v>
      </c>
      <c r="AA648">
        <v>0.39300000000000002</v>
      </c>
      <c r="AB648">
        <v>2344.636</v>
      </c>
      <c r="AC648" s="2043">
        <v>912181063</v>
      </c>
      <c r="AD648">
        <v>1223691</v>
      </c>
      <c r="AE648" s="2043">
        <v>11669446</v>
      </c>
      <c r="AF648">
        <v>0.96030000000000004</v>
      </c>
      <c r="AG648">
        <v>0</v>
      </c>
      <c r="AH648">
        <v>0</v>
      </c>
      <c r="AI648">
        <v>0</v>
      </c>
      <c r="AJ648">
        <v>457.613</v>
      </c>
      <c r="AK648">
        <v>9517</v>
      </c>
      <c r="AL648">
        <v>6.6000000000000003E-2</v>
      </c>
      <c r="AM648">
        <v>0</v>
      </c>
      <c r="AN648">
        <v>184.56300000000002</v>
      </c>
      <c r="AO648">
        <v>0</v>
      </c>
      <c r="AP648">
        <v>0</v>
      </c>
      <c r="AQ648">
        <v>0</v>
      </c>
      <c r="AR648">
        <v>18.469000000000001</v>
      </c>
      <c r="AS648">
        <v>0</v>
      </c>
      <c r="AT648">
        <v>29.269000000000002</v>
      </c>
      <c r="AU648">
        <v>6.5470000000000006</v>
      </c>
      <c r="AV648">
        <v>0</v>
      </c>
      <c r="AW648">
        <v>55.483000000000004</v>
      </c>
      <c r="AX648">
        <v>1.1320000000000001</v>
      </c>
      <c r="AY648">
        <v>178.88300000000001</v>
      </c>
      <c r="AZ648">
        <v>0</v>
      </c>
      <c r="BA648">
        <v>14734431</v>
      </c>
      <c r="BB648">
        <v>12893137</v>
      </c>
      <c r="BC648">
        <v>0</v>
      </c>
      <c r="BD648">
        <v>198387</v>
      </c>
      <c r="BE648">
        <v>48652</v>
      </c>
      <c r="BF648">
        <v>247039</v>
      </c>
      <c r="BG648">
        <v>198387</v>
      </c>
      <c r="BH648">
        <v>0</v>
      </c>
      <c r="BI648">
        <v>0</v>
      </c>
      <c r="BJ648">
        <v>0</v>
      </c>
      <c r="BK648">
        <v>0</v>
      </c>
      <c r="BL648">
        <v>1223887433</v>
      </c>
      <c r="BM648">
        <v>0</v>
      </c>
      <c r="BN648">
        <v>8532</v>
      </c>
      <c r="BO648">
        <v>5436</v>
      </c>
      <c r="BP648">
        <v>258208</v>
      </c>
      <c r="BQ648">
        <v>0</v>
      </c>
      <c r="BR648">
        <v>0.82200000000000006</v>
      </c>
      <c r="BS648">
        <v>0.82200000000000006</v>
      </c>
      <c r="BT648">
        <v>0</v>
      </c>
      <c r="BU648">
        <v>0</v>
      </c>
      <c r="BV648">
        <v>292</v>
      </c>
      <c r="BW648">
        <v>818</v>
      </c>
      <c r="BX648">
        <v>750</v>
      </c>
      <c r="BY648">
        <v>3</v>
      </c>
      <c r="BZ648">
        <v>34</v>
      </c>
      <c r="CA648">
        <v>1897</v>
      </c>
      <c r="CB648">
        <v>0</v>
      </c>
      <c r="CC648">
        <v>0</v>
      </c>
      <c r="CD648">
        <v>0</v>
      </c>
      <c r="CE648">
        <v>179</v>
      </c>
      <c r="CF648">
        <v>694.77700000000004</v>
      </c>
      <c r="CG648">
        <v>0</v>
      </c>
      <c r="CH648">
        <v>0</v>
      </c>
      <c r="CI648">
        <v>8</v>
      </c>
      <c r="CJ648">
        <v>0</v>
      </c>
      <c r="CK648">
        <v>0</v>
      </c>
      <c r="CL648">
        <v>0</v>
      </c>
      <c r="CM648">
        <v>412.738</v>
      </c>
      <c r="CN648">
        <v>75779</v>
      </c>
      <c r="CO648">
        <v>124305</v>
      </c>
      <c r="CP648">
        <v>48624</v>
      </c>
      <c r="CQ648">
        <v>9500</v>
      </c>
      <c r="CR648">
        <v>0</v>
      </c>
      <c r="CS648">
        <v>0</v>
      </c>
      <c r="CT648">
        <v>0</v>
      </c>
      <c r="CU648">
        <v>34.648000000000003</v>
      </c>
      <c r="CV648">
        <v>157.595</v>
      </c>
      <c r="CW648">
        <v>77.802000000000007</v>
      </c>
      <c r="CX648">
        <v>0</v>
      </c>
      <c r="CY648" s="2043">
        <v>0</v>
      </c>
      <c r="CZ648" s="2043">
        <v>0</v>
      </c>
      <c r="DA648" s="2043">
        <v>0</v>
      </c>
      <c r="DB648" s="2043">
        <v>0</v>
      </c>
      <c r="DC648" s="2043">
        <v>0</v>
      </c>
      <c r="DI648" t="s">
        <v>3068</v>
      </c>
      <c r="DJ648" t="s">
        <v>3068</v>
      </c>
      <c r="DK648" s="2042">
        <f t="shared" si="12"/>
        <v>0</v>
      </c>
    </row>
    <row r="649" spans="1:115">
      <c r="A649" t="s">
        <v>3069</v>
      </c>
      <c r="B649" t="s">
        <v>231</v>
      </c>
      <c r="C649">
        <v>655.25900000000001</v>
      </c>
      <c r="D649">
        <v>604.90600000000006</v>
      </c>
      <c r="E649">
        <v>51.795000000000002</v>
      </c>
      <c r="F649">
        <v>0</v>
      </c>
      <c r="G649" s="2043">
        <v>182722595</v>
      </c>
      <c r="H649">
        <v>0</v>
      </c>
      <c r="I649" s="2043">
        <v>447650</v>
      </c>
      <c r="J649">
        <v>32.762999999999998</v>
      </c>
      <c r="K649">
        <v>90</v>
      </c>
      <c r="L649">
        <v>25185</v>
      </c>
      <c r="M649">
        <v>98715</v>
      </c>
      <c r="N649">
        <v>25185</v>
      </c>
      <c r="O649">
        <v>123900</v>
      </c>
      <c r="P649">
        <v>0</v>
      </c>
      <c r="Q649">
        <v>0</v>
      </c>
      <c r="R649" s="2043">
        <v>1440297</v>
      </c>
      <c r="S649">
        <v>140175</v>
      </c>
      <c r="T649">
        <v>52215</v>
      </c>
      <c r="U649">
        <v>0.08</v>
      </c>
      <c r="V649">
        <v>0</v>
      </c>
      <c r="W649">
        <v>0</v>
      </c>
      <c r="X649">
        <v>0</v>
      </c>
      <c r="Y649">
        <v>0</v>
      </c>
      <c r="Z649">
        <v>0.90600000000000003</v>
      </c>
      <c r="AA649">
        <v>0</v>
      </c>
      <c r="AB649">
        <v>604.90600000000006</v>
      </c>
      <c r="AC649" s="2043">
        <v>131042108</v>
      </c>
      <c r="AD649">
        <v>374863</v>
      </c>
      <c r="AE649" s="2043">
        <v>1632687</v>
      </c>
      <c r="AF649">
        <v>0.93180000000000007</v>
      </c>
      <c r="AG649">
        <v>0</v>
      </c>
      <c r="AH649">
        <v>0</v>
      </c>
      <c r="AI649">
        <v>0</v>
      </c>
      <c r="AJ649">
        <v>90.063000000000002</v>
      </c>
      <c r="AK649">
        <v>3585</v>
      </c>
      <c r="AL649">
        <v>0</v>
      </c>
      <c r="AM649">
        <v>0</v>
      </c>
      <c r="AN649">
        <v>1.8370000000000002</v>
      </c>
      <c r="AO649">
        <v>0</v>
      </c>
      <c r="AP649">
        <v>0</v>
      </c>
      <c r="AQ649">
        <v>0</v>
      </c>
      <c r="AR649">
        <v>27.805</v>
      </c>
      <c r="AS649">
        <v>0</v>
      </c>
      <c r="AT649">
        <v>6.375</v>
      </c>
      <c r="AU649">
        <v>1.3340000000000001</v>
      </c>
      <c r="AV649">
        <v>0</v>
      </c>
      <c r="AW649">
        <v>35.514000000000003</v>
      </c>
      <c r="AX649">
        <v>0</v>
      </c>
      <c r="AY649">
        <v>109.21000000000001</v>
      </c>
      <c r="AZ649">
        <v>0</v>
      </c>
      <c r="BA649">
        <v>6982785</v>
      </c>
      <c r="BB649">
        <v>2007550</v>
      </c>
      <c r="BC649">
        <v>0</v>
      </c>
      <c r="BD649">
        <v>47058</v>
      </c>
      <c r="BE649">
        <v>16201</v>
      </c>
      <c r="BF649">
        <v>63259</v>
      </c>
      <c r="BG649">
        <v>47058</v>
      </c>
      <c r="BH649">
        <v>0</v>
      </c>
      <c r="BI649">
        <v>0</v>
      </c>
      <c r="BJ649">
        <v>0</v>
      </c>
      <c r="BK649">
        <v>0</v>
      </c>
      <c r="BL649">
        <v>182722595</v>
      </c>
      <c r="BM649">
        <v>0</v>
      </c>
      <c r="BN649">
        <v>2394</v>
      </c>
      <c r="BO649">
        <v>1316</v>
      </c>
      <c r="BP649">
        <v>0</v>
      </c>
      <c r="BQ649">
        <v>0</v>
      </c>
      <c r="BR649">
        <v>0.82200000000000006</v>
      </c>
      <c r="BS649">
        <v>0.82200000000000006</v>
      </c>
      <c r="BT649">
        <v>0</v>
      </c>
      <c r="BU649">
        <v>0</v>
      </c>
      <c r="BV649">
        <v>171</v>
      </c>
      <c r="BW649">
        <v>26</v>
      </c>
      <c r="BX649">
        <v>24</v>
      </c>
      <c r="BY649">
        <v>147</v>
      </c>
      <c r="BZ649">
        <v>3</v>
      </c>
      <c r="CA649">
        <v>371</v>
      </c>
      <c r="CB649">
        <v>0</v>
      </c>
      <c r="CC649">
        <v>0</v>
      </c>
      <c r="CD649">
        <v>0</v>
      </c>
      <c r="CE649">
        <v>69</v>
      </c>
      <c r="CF649">
        <v>136.696</v>
      </c>
      <c r="CG649">
        <v>0</v>
      </c>
      <c r="CH649">
        <v>0</v>
      </c>
      <c r="CI649">
        <v>0</v>
      </c>
      <c r="CJ649">
        <v>5</v>
      </c>
      <c r="CK649">
        <v>0</v>
      </c>
      <c r="CL649">
        <v>0</v>
      </c>
      <c r="CM649">
        <v>51.795000000000002</v>
      </c>
      <c r="CN649">
        <v>0</v>
      </c>
      <c r="CO649">
        <v>0</v>
      </c>
      <c r="CP649">
        <v>0</v>
      </c>
      <c r="CQ649">
        <v>0</v>
      </c>
      <c r="CR649">
        <v>0</v>
      </c>
      <c r="CS649">
        <v>0</v>
      </c>
      <c r="CT649">
        <v>0</v>
      </c>
      <c r="CU649">
        <v>5.7629999999999999</v>
      </c>
      <c r="CV649">
        <v>42.942</v>
      </c>
      <c r="CW649">
        <v>25.87</v>
      </c>
      <c r="CX649">
        <v>0</v>
      </c>
      <c r="CY649" s="2043">
        <v>0</v>
      </c>
      <c r="CZ649" s="2043">
        <v>0</v>
      </c>
      <c r="DA649" s="2043">
        <v>0</v>
      </c>
      <c r="DB649" s="2043">
        <v>0</v>
      </c>
      <c r="DC649" s="2043">
        <v>0</v>
      </c>
      <c r="DI649" t="s">
        <v>3069</v>
      </c>
      <c r="DJ649" t="s">
        <v>3069</v>
      </c>
      <c r="DK649" s="2042">
        <f t="shared" si="12"/>
        <v>0</v>
      </c>
    </row>
    <row r="650" spans="1:115">
      <c r="A650" t="s">
        <v>5104</v>
      </c>
      <c r="B650" t="s">
        <v>1003</v>
      </c>
      <c r="C650">
        <v>280.43700000000001</v>
      </c>
      <c r="D650">
        <v>261.07499999999999</v>
      </c>
      <c r="E650">
        <v>34.358000000000004</v>
      </c>
      <c r="F650">
        <v>0</v>
      </c>
      <c r="G650" s="2043">
        <v>148376076</v>
      </c>
      <c r="H650">
        <v>0</v>
      </c>
      <c r="I650" s="2043">
        <v>0</v>
      </c>
      <c r="J650">
        <v>13</v>
      </c>
      <c r="K650">
        <v>36</v>
      </c>
      <c r="L650">
        <v>0</v>
      </c>
      <c r="M650">
        <v>0</v>
      </c>
      <c r="N650">
        <v>0</v>
      </c>
      <c r="O650">
        <v>0</v>
      </c>
      <c r="P650">
        <v>0</v>
      </c>
      <c r="Q650">
        <v>0</v>
      </c>
      <c r="R650" s="2043">
        <v>1222631</v>
      </c>
      <c r="S650">
        <v>74369</v>
      </c>
      <c r="T650">
        <v>0</v>
      </c>
      <c r="U650">
        <v>0.05</v>
      </c>
      <c r="V650">
        <v>0</v>
      </c>
      <c r="W650">
        <v>0</v>
      </c>
      <c r="X650">
        <v>0</v>
      </c>
      <c r="Y650">
        <v>0</v>
      </c>
      <c r="Z650">
        <v>0</v>
      </c>
      <c r="AA650">
        <v>0</v>
      </c>
      <c r="AB650">
        <v>261.07499999999999</v>
      </c>
      <c r="AC650" s="2043">
        <v>104480772</v>
      </c>
      <c r="AD650">
        <v>0</v>
      </c>
      <c r="AE650" s="2043">
        <v>1297000</v>
      </c>
      <c r="AF650">
        <v>0.872</v>
      </c>
      <c r="AG650">
        <v>0</v>
      </c>
      <c r="AH650">
        <v>0</v>
      </c>
      <c r="AI650">
        <v>0</v>
      </c>
      <c r="AJ650">
        <v>44.825000000000003</v>
      </c>
      <c r="AK650">
        <v>2992</v>
      </c>
      <c r="AL650">
        <v>0</v>
      </c>
      <c r="AM650">
        <v>0</v>
      </c>
      <c r="AN650">
        <v>7.532</v>
      </c>
      <c r="AO650">
        <v>0</v>
      </c>
      <c r="AP650">
        <v>0</v>
      </c>
      <c r="AQ650">
        <v>0</v>
      </c>
      <c r="AR650">
        <v>16.885999999999999</v>
      </c>
      <c r="AS650">
        <v>0</v>
      </c>
      <c r="AT650">
        <v>7.0740000000000007</v>
      </c>
      <c r="AU650">
        <v>0.90200000000000002</v>
      </c>
      <c r="AV650">
        <v>0</v>
      </c>
      <c r="AW650">
        <v>24.862000000000002</v>
      </c>
      <c r="AX650">
        <v>0</v>
      </c>
      <c r="AY650">
        <v>76.39</v>
      </c>
      <c r="AZ650">
        <v>0</v>
      </c>
      <c r="BA650">
        <v>2803741</v>
      </c>
      <c r="BB650">
        <v>1297000</v>
      </c>
      <c r="BC650">
        <v>0</v>
      </c>
      <c r="BD650">
        <v>26014</v>
      </c>
      <c r="BE650">
        <v>11674</v>
      </c>
      <c r="BF650">
        <v>37688</v>
      </c>
      <c r="BG650">
        <v>26014</v>
      </c>
      <c r="BH650">
        <v>0</v>
      </c>
      <c r="BI650">
        <v>0</v>
      </c>
      <c r="BJ650">
        <v>0</v>
      </c>
      <c r="BK650">
        <v>0</v>
      </c>
      <c r="BL650">
        <v>148376076</v>
      </c>
      <c r="BM650">
        <v>0</v>
      </c>
      <c r="BN650">
        <v>909</v>
      </c>
      <c r="BO650">
        <v>696</v>
      </c>
      <c r="BP650">
        <v>0</v>
      </c>
      <c r="BQ650">
        <v>0</v>
      </c>
      <c r="BR650">
        <v>0.82200000000000006</v>
      </c>
      <c r="BS650">
        <v>0.82200000000000006</v>
      </c>
      <c r="BT650">
        <v>0</v>
      </c>
      <c r="BU650">
        <v>0</v>
      </c>
      <c r="BV650">
        <v>58</v>
      </c>
      <c r="BW650">
        <v>126</v>
      </c>
      <c r="BX650">
        <v>2</v>
      </c>
      <c r="BY650">
        <v>2</v>
      </c>
      <c r="BZ650">
        <v>3</v>
      </c>
      <c r="CA650">
        <v>191</v>
      </c>
      <c r="CB650">
        <v>0</v>
      </c>
      <c r="CC650">
        <v>1.7330000000000001</v>
      </c>
      <c r="CD650">
        <v>0</v>
      </c>
      <c r="CE650">
        <v>29</v>
      </c>
      <c r="CF650">
        <v>71.471000000000004</v>
      </c>
      <c r="CG650">
        <v>0</v>
      </c>
      <c r="CH650">
        <v>0</v>
      </c>
      <c r="CI650">
        <v>1</v>
      </c>
      <c r="CJ650">
        <v>3</v>
      </c>
      <c r="CK650">
        <v>0</v>
      </c>
      <c r="CL650">
        <v>0</v>
      </c>
      <c r="CM650">
        <v>34.358000000000004</v>
      </c>
      <c r="CN650">
        <v>0</v>
      </c>
      <c r="CO650">
        <v>0</v>
      </c>
      <c r="CP650">
        <v>0</v>
      </c>
      <c r="CQ650">
        <v>0</v>
      </c>
      <c r="CR650">
        <v>0</v>
      </c>
      <c r="CS650">
        <v>0</v>
      </c>
      <c r="CT650">
        <v>0</v>
      </c>
      <c r="CU650">
        <v>0</v>
      </c>
      <c r="CV650">
        <v>29.832000000000001</v>
      </c>
      <c r="CW650">
        <v>8.5129999999999999</v>
      </c>
      <c r="CX650">
        <v>0</v>
      </c>
      <c r="CY650" s="2043">
        <v>0</v>
      </c>
      <c r="CZ650" s="2043">
        <v>0</v>
      </c>
      <c r="DA650" s="2043">
        <v>0</v>
      </c>
      <c r="DB650" s="2043">
        <v>0</v>
      </c>
      <c r="DC650" s="2043">
        <v>0</v>
      </c>
      <c r="DI650" t="s">
        <v>5104</v>
      </c>
      <c r="DJ650" t="s">
        <v>5104</v>
      </c>
      <c r="DK650" s="2042">
        <f t="shared" si="12"/>
        <v>0</v>
      </c>
    </row>
    <row r="651" spans="1:115">
      <c r="A651" t="s">
        <v>3070</v>
      </c>
      <c r="B651" t="s">
        <v>828</v>
      </c>
      <c r="C651">
        <v>713.37400000000002</v>
      </c>
      <c r="D651">
        <v>684.84100000000001</v>
      </c>
      <c r="E651">
        <v>144.59399999999999</v>
      </c>
      <c r="F651">
        <v>0</v>
      </c>
      <c r="G651" s="2043">
        <v>308365272</v>
      </c>
      <c r="H651">
        <v>0</v>
      </c>
      <c r="I651" s="2043">
        <v>912850</v>
      </c>
      <c r="J651">
        <v>35.669000000000004</v>
      </c>
      <c r="K651">
        <v>98</v>
      </c>
      <c r="L651">
        <v>0</v>
      </c>
      <c r="M651">
        <v>144241</v>
      </c>
      <c r="N651">
        <v>0</v>
      </c>
      <c r="O651">
        <v>144241</v>
      </c>
      <c r="P651">
        <v>0</v>
      </c>
      <c r="Q651">
        <v>0</v>
      </c>
      <c r="R651" s="2043">
        <v>2497017</v>
      </c>
      <c r="S651">
        <v>151887</v>
      </c>
      <c r="T651">
        <v>0</v>
      </c>
      <c r="U651">
        <v>0.05</v>
      </c>
      <c r="V651">
        <v>0</v>
      </c>
      <c r="W651">
        <v>0</v>
      </c>
      <c r="X651">
        <v>0</v>
      </c>
      <c r="Y651">
        <v>0</v>
      </c>
      <c r="Z651">
        <v>0</v>
      </c>
      <c r="AA651">
        <v>0</v>
      </c>
      <c r="AB651">
        <v>684.84100000000001</v>
      </c>
      <c r="AC651" s="2043">
        <v>212234278</v>
      </c>
      <c r="AD651">
        <v>731084</v>
      </c>
      <c r="AE651" s="2043">
        <v>2648904</v>
      </c>
      <c r="AF651">
        <v>0.872</v>
      </c>
      <c r="AG651">
        <v>0</v>
      </c>
      <c r="AH651">
        <v>0</v>
      </c>
      <c r="AI651">
        <v>0</v>
      </c>
      <c r="AJ651">
        <v>87.613</v>
      </c>
      <c r="AK651">
        <v>4320</v>
      </c>
      <c r="AL651">
        <v>0</v>
      </c>
      <c r="AM651">
        <v>0</v>
      </c>
      <c r="AN651">
        <v>19.667999999999999</v>
      </c>
      <c r="AO651">
        <v>0</v>
      </c>
      <c r="AP651">
        <v>0.46800000000000003</v>
      </c>
      <c r="AQ651">
        <v>0</v>
      </c>
      <c r="AR651">
        <v>28.877000000000002</v>
      </c>
      <c r="AS651">
        <v>0</v>
      </c>
      <c r="AT651">
        <v>4.657</v>
      </c>
      <c r="AU651">
        <v>2.4210000000000003</v>
      </c>
      <c r="AV651">
        <v>0</v>
      </c>
      <c r="AW651">
        <v>36.423000000000002</v>
      </c>
      <c r="AX651">
        <v>0</v>
      </c>
      <c r="AY651">
        <v>113.971</v>
      </c>
      <c r="AZ651">
        <v>0</v>
      </c>
      <c r="BA651">
        <v>6135917</v>
      </c>
      <c r="BB651">
        <v>3379988</v>
      </c>
      <c r="BC651">
        <v>0</v>
      </c>
      <c r="BD651">
        <v>72010</v>
      </c>
      <c r="BE651">
        <v>23213</v>
      </c>
      <c r="BF651">
        <v>95223</v>
      </c>
      <c r="BG651">
        <v>72010</v>
      </c>
      <c r="BH651">
        <v>0</v>
      </c>
      <c r="BI651">
        <v>0</v>
      </c>
      <c r="BJ651">
        <v>0</v>
      </c>
      <c r="BK651">
        <v>0</v>
      </c>
      <c r="BL651">
        <v>308365272</v>
      </c>
      <c r="BM651">
        <v>0</v>
      </c>
      <c r="BN651">
        <v>2214</v>
      </c>
      <c r="BO651">
        <v>1338</v>
      </c>
      <c r="BP651">
        <v>0</v>
      </c>
      <c r="BQ651">
        <v>0</v>
      </c>
      <c r="BR651">
        <v>0.82200000000000006</v>
      </c>
      <c r="BS651">
        <v>0.82200000000000006</v>
      </c>
      <c r="BT651">
        <v>0</v>
      </c>
      <c r="BU651">
        <v>0</v>
      </c>
      <c r="BV651">
        <v>364</v>
      </c>
      <c r="BW651">
        <v>7</v>
      </c>
      <c r="BX651">
        <v>2</v>
      </c>
      <c r="BY651">
        <v>2</v>
      </c>
      <c r="BZ651">
        <v>11</v>
      </c>
      <c r="CA651">
        <v>386</v>
      </c>
      <c r="CB651">
        <v>0</v>
      </c>
      <c r="CC651">
        <v>0</v>
      </c>
      <c r="CD651">
        <v>0</v>
      </c>
      <c r="CE651">
        <v>92</v>
      </c>
      <c r="CF651">
        <v>158.06300000000002</v>
      </c>
      <c r="CG651">
        <v>0</v>
      </c>
      <c r="CH651">
        <v>0</v>
      </c>
      <c r="CI651">
        <v>3</v>
      </c>
      <c r="CJ651">
        <v>1</v>
      </c>
      <c r="CK651">
        <v>0</v>
      </c>
      <c r="CL651">
        <v>0</v>
      </c>
      <c r="CM651">
        <v>144.59399999999999</v>
      </c>
      <c r="CN651">
        <v>0</v>
      </c>
      <c r="CO651">
        <v>0</v>
      </c>
      <c r="CP651">
        <v>0</v>
      </c>
      <c r="CQ651">
        <v>0</v>
      </c>
      <c r="CR651">
        <v>0</v>
      </c>
      <c r="CS651">
        <v>0</v>
      </c>
      <c r="CT651">
        <v>0</v>
      </c>
      <c r="CU651">
        <v>0</v>
      </c>
      <c r="CV651">
        <v>42.591000000000001</v>
      </c>
      <c r="CW651">
        <v>25.703000000000003</v>
      </c>
      <c r="CX651">
        <v>0</v>
      </c>
      <c r="CY651" s="2043">
        <v>0</v>
      </c>
      <c r="CZ651" s="2043">
        <v>0</v>
      </c>
      <c r="DA651" s="2043">
        <v>0</v>
      </c>
      <c r="DB651" s="2043">
        <v>0</v>
      </c>
      <c r="DC651" s="2043">
        <v>0</v>
      </c>
      <c r="DI651" t="s">
        <v>3070</v>
      </c>
      <c r="DJ651" t="s">
        <v>3070</v>
      </c>
      <c r="DK651" s="2042">
        <f t="shared" si="12"/>
        <v>0</v>
      </c>
    </row>
    <row r="652" spans="1:115">
      <c r="A652" t="s">
        <v>5105</v>
      </c>
      <c r="B652" t="s">
        <v>1004</v>
      </c>
      <c r="C652">
        <v>2261.1350000000002</v>
      </c>
      <c r="D652">
        <v>2317.3490000000002</v>
      </c>
      <c r="E652">
        <v>198.495</v>
      </c>
      <c r="F652">
        <v>133714</v>
      </c>
      <c r="G652" s="2043">
        <v>640455893</v>
      </c>
      <c r="H652">
        <v>0</v>
      </c>
      <c r="I652" s="2043">
        <v>4086937</v>
      </c>
      <c r="J652">
        <v>113.057</v>
      </c>
      <c r="K652">
        <v>309</v>
      </c>
      <c r="L652">
        <v>0</v>
      </c>
      <c r="M652">
        <v>0</v>
      </c>
      <c r="N652">
        <v>0</v>
      </c>
      <c r="O652">
        <v>0</v>
      </c>
      <c r="P652">
        <v>0</v>
      </c>
      <c r="Q652">
        <v>0</v>
      </c>
      <c r="R652" s="2043">
        <v>5553727</v>
      </c>
      <c r="S652">
        <v>139846</v>
      </c>
      <c r="T652">
        <v>0</v>
      </c>
      <c r="U652">
        <v>0.02</v>
      </c>
      <c r="V652">
        <v>0</v>
      </c>
      <c r="W652">
        <v>0</v>
      </c>
      <c r="X652">
        <v>0</v>
      </c>
      <c r="Y652">
        <v>133714</v>
      </c>
      <c r="Z652">
        <v>0</v>
      </c>
      <c r="AA652">
        <v>9.4E-2</v>
      </c>
      <c r="AB652">
        <v>2216.87</v>
      </c>
      <c r="AC652" s="2043">
        <v>663180001</v>
      </c>
      <c r="AD652">
        <v>3877085</v>
      </c>
      <c r="AE652" s="2043">
        <v>5693573</v>
      </c>
      <c r="AF652">
        <v>0.93640000000000001</v>
      </c>
      <c r="AG652">
        <v>0</v>
      </c>
      <c r="AH652">
        <v>0</v>
      </c>
      <c r="AI652">
        <v>0</v>
      </c>
      <c r="AJ652">
        <v>339.7</v>
      </c>
      <c r="AK652">
        <v>9813</v>
      </c>
      <c r="AL652">
        <v>0.24300000000000002</v>
      </c>
      <c r="AM652">
        <v>0</v>
      </c>
      <c r="AN652">
        <v>119.67500000000001</v>
      </c>
      <c r="AO652">
        <v>0</v>
      </c>
      <c r="AP652">
        <v>0</v>
      </c>
      <c r="AQ652">
        <v>0</v>
      </c>
      <c r="AR652">
        <v>67.471000000000004</v>
      </c>
      <c r="AS652">
        <v>0</v>
      </c>
      <c r="AT652">
        <v>13.001000000000001</v>
      </c>
      <c r="AU652">
        <v>4.6550000000000002</v>
      </c>
      <c r="AV652">
        <v>0</v>
      </c>
      <c r="AW652">
        <v>85.37</v>
      </c>
      <c r="AX652">
        <v>0</v>
      </c>
      <c r="AY652">
        <v>265.90600000000001</v>
      </c>
      <c r="AZ652">
        <v>0</v>
      </c>
      <c r="BA652">
        <v>15115677</v>
      </c>
      <c r="BB652">
        <v>9570658</v>
      </c>
      <c r="BC652">
        <v>0</v>
      </c>
      <c r="BD652">
        <v>61826</v>
      </c>
      <c r="BE652">
        <v>11202</v>
      </c>
      <c r="BF652">
        <v>102678</v>
      </c>
      <c r="BG652">
        <v>61826</v>
      </c>
      <c r="BH652">
        <v>29650</v>
      </c>
      <c r="BI652">
        <v>0</v>
      </c>
      <c r="BJ652">
        <v>0</v>
      </c>
      <c r="BK652">
        <v>0</v>
      </c>
      <c r="BL652">
        <v>640455893</v>
      </c>
      <c r="BM652">
        <v>0</v>
      </c>
      <c r="BN652">
        <v>9441</v>
      </c>
      <c r="BO652">
        <v>4890</v>
      </c>
      <c r="BP652">
        <v>0</v>
      </c>
      <c r="BQ652">
        <v>0</v>
      </c>
      <c r="BR652">
        <v>0.91339999999999999</v>
      </c>
      <c r="BS652">
        <v>0.91339999999999999</v>
      </c>
      <c r="BT652">
        <v>0</v>
      </c>
      <c r="BU652">
        <v>0</v>
      </c>
      <c r="BV652">
        <v>222</v>
      </c>
      <c r="BW652">
        <v>409</v>
      </c>
      <c r="BX652">
        <v>364</v>
      </c>
      <c r="BY652">
        <v>121</v>
      </c>
      <c r="BZ652">
        <v>254</v>
      </c>
      <c r="CA652">
        <v>1370</v>
      </c>
      <c r="CB652">
        <v>0</v>
      </c>
      <c r="CC652">
        <v>27.067</v>
      </c>
      <c r="CD652">
        <v>0</v>
      </c>
      <c r="CE652">
        <v>224</v>
      </c>
      <c r="CF652">
        <v>491.75600000000003</v>
      </c>
      <c r="CG652">
        <v>0</v>
      </c>
      <c r="CH652">
        <v>0</v>
      </c>
      <c r="CI652">
        <v>2</v>
      </c>
      <c r="CJ652">
        <v>5</v>
      </c>
      <c r="CK652">
        <v>0</v>
      </c>
      <c r="CL652">
        <v>0</v>
      </c>
      <c r="CM652">
        <v>198.495</v>
      </c>
      <c r="CN652">
        <v>0</v>
      </c>
      <c r="CO652">
        <v>0</v>
      </c>
      <c r="CP652">
        <v>0</v>
      </c>
      <c r="CQ652">
        <v>0</v>
      </c>
      <c r="CR652">
        <v>0</v>
      </c>
      <c r="CS652">
        <v>0</v>
      </c>
      <c r="CT652">
        <v>0</v>
      </c>
      <c r="CU652">
        <v>10.147</v>
      </c>
      <c r="CV652">
        <v>77.052999999999997</v>
      </c>
      <c r="CW652">
        <v>35.986000000000004</v>
      </c>
      <c r="CX652">
        <v>0</v>
      </c>
      <c r="CY652" s="2043">
        <v>0</v>
      </c>
      <c r="CZ652" s="2043">
        <v>0</v>
      </c>
      <c r="DA652" s="2043">
        <v>0</v>
      </c>
      <c r="DB652" s="2043">
        <v>133714</v>
      </c>
      <c r="DC652" s="2043">
        <v>0</v>
      </c>
      <c r="DI652" t="s">
        <v>3071</v>
      </c>
      <c r="DJ652" t="s">
        <v>5105</v>
      </c>
      <c r="DK652" s="2042">
        <f t="shared" si="12"/>
        <v>-985</v>
      </c>
    </row>
    <row r="653" spans="1:115">
      <c r="A653" t="s">
        <v>3071</v>
      </c>
      <c r="B653" t="s">
        <v>1740</v>
      </c>
      <c r="C653">
        <v>490.42700000000002</v>
      </c>
      <c r="D653">
        <v>479.71000000000004</v>
      </c>
      <c r="E653">
        <v>22.789000000000001</v>
      </c>
      <c r="F653">
        <v>0</v>
      </c>
      <c r="G653" s="2043">
        <v>29642679</v>
      </c>
      <c r="H653">
        <v>0</v>
      </c>
      <c r="I653" s="2043">
        <v>588388</v>
      </c>
      <c r="J653">
        <v>24.521000000000001</v>
      </c>
      <c r="K653">
        <v>67</v>
      </c>
      <c r="L653">
        <v>106847</v>
      </c>
      <c r="M653">
        <v>22303</v>
      </c>
      <c r="N653">
        <v>106847</v>
      </c>
      <c r="O653">
        <v>129150</v>
      </c>
      <c r="P653">
        <v>0</v>
      </c>
      <c r="Q653">
        <v>0</v>
      </c>
      <c r="R653" s="2043">
        <v>228603</v>
      </c>
      <c r="S653">
        <v>22248</v>
      </c>
      <c r="T653">
        <v>16214</v>
      </c>
      <c r="U653">
        <v>0.08</v>
      </c>
      <c r="V653">
        <v>0</v>
      </c>
      <c r="W653">
        <v>0</v>
      </c>
      <c r="X653">
        <v>0</v>
      </c>
      <c r="Y653">
        <v>0</v>
      </c>
      <c r="Z653">
        <v>0</v>
      </c>
      <c r="AA653">
        <v>0.06</v>
      </c>
      <c r="AB653">
        <v>463.178</v>
      </c>
      <c r="AC653" s="2043">
        <v>19130484</v>
      </c>
      <c r="AD653">
        <v>69400</v>
      </c>
      <c r="AE653" s="2043">
        <v>267065</v>
      </c>
      <c r="AF653">
        <v>0.96030000000000004</v>
      </c>
      <c r="AG653">
        <v>0</v>
      </c>
      <c r="AH653">
        <v>0</v>
      </c>
      <c r="AI653">
        <v>0</v>
      </c>
      <c r="AJ653">
        <v>124.15</v>
      </c>
      <c r="AK653">
        <v>3697</v>
      </c>
      <c r="AL653">
        <v>0</v>
      </c>
      <c r="AM653">
        <v>0</v>
      </c>
      <c r="AN653">
        <v>5.3460000000000001</v>
      </c>
      <c r="AO653">
        <v>0</v>
      </c>
      <c r="AP653">
        <v>0</v>
      </c>
      <c r="AQ653">
        <v>2.004</v>
      </c>
      <c r="AR653">
        <v>28.654</v>
      </c>
      <c r="AS653">
        <v>0</v>
      </c>
      <c r="AT653">
        <v>2.4250000000000003</v>
      </c>
      <c r="AU653">
        <v>0.69400000000000006</v>
      </c>
      <c r="AV653">
        <v>0</v>
      </c>
      <c r="AW653">
        <v>33.777000000000001</v>
      </c>
      <c r="AX653">
        <v>0</v>
      </c>
      <c r="AY653">
        <v>96.707000000000008</v>
      </c>
      <c r="AZ653">
        <v>0</v>
      </c>
      <c r="BA653">
        <v>7421895</v>
      </c>
      <c r="BB653">
        <v>336465</v>
      </c>
      <c r="BC653">
        <v>0</v>
      </c>
      <c r="BD653">
        <v>3186</v>
      </c>
      <c r="BE653">
        <v>0</v>
      </c>
      <c r="BF653">
        <v>3186</v>
      </c>
      <c r="BG653">
        <v>3186</v>
      </c>
      <c r="BH653">
        <v>0</v>
      </c>
      <c r="BI653">
        <v>0</v>
      </c>
      <c r="BJ653">
        <v>0</v>
      </c>
      <c r="BK653">
        <v>0</v>
      </c>
      <c r="BL653">
        <v>29642679</v>
      </c>
      <c r="BM653">
        <v>0</v>
      </c>
      <c r="BN653">
        <v>1827</v>
      </c>
      <c r="BO653">
        <v>235</v>
      </c>
      <c r="BP653">
        <v>0</v>
      </c>
      <c r="BQ653">
        <v>0</v>
      </c>
      <c r="BR653">
        <v>0.82200000000000006</v>
      </c>
      <c r="BS653">
        <v>0.82200000000000006</v>
      </c>
      <c r="BT653">
        <v>0</v>
      </c>
      <c r="BU653">
        <v>0</v>
      </c>
      <c r="BV653">
        <v>136</v>
      </c>
      <c r="BW653">
        <v>239</v>
      </c>
      <c r="BX653">
        <v>66</v>
      </c>
      <c r="BY653">
        <v>5</v>
      </c>
      <c r="BZ653">
        <v>69</v>
      </c>
      <c r="CA653">
        <v>515</v>
      </c>
      <c r="CB653">
        <v>0</v>
      </c>
      <c r="CC653">
        <v>0</v>
      </c>
      <c r="CD653">
        <v>0</v>
      </c>
      <c r="CE653">
        <v>61</v>
      </c>
      <c r="CF653">
        <v>70.674000000000007</v>
      </c>
      <c r="CG653">
        <v>0</v>
      </c>
      <c r="CH653">
        <v>2.734</v>
      </c>
      <c r="CI653">
        <v>2</v>
      </c>
      <c r="CJ653">
        <v>1</v>
      </c>
      <c r="CK653">
        <v>0</v>
      </c>
      <c r="CL653">
        <v>2.734</v>
      </c>
      <c r="CM653">
        <v>22.789000000000001</v>
      </c>
      <c r="CN653">
        <v>0</v>
      </c>
      <c r="CO653">
        <v>0</v>
      </c>
      <c r="CP653">
        <v>0</v>
      </c>
      <c r="CQ653">
        <v>0</v>
      </c>
      <c r="CR653">
        <v>0</v>
      </c>
      <c r="CS653">
        <v>0</v>
      </c>
      <c r="CT653">
        <v>0</v>
      </c>
      <c r="CU653">
        <v>0</v>
      </c>
      <c r="CV653">
        <v>22.684000000000001</v>
      </c>
      <c r="CW653">
        <v>15.018000000000001</v>
      </c>
      <c r="CX653">
        <v>0</v>
      </c>
      <c r="CY653" s="2043">
        <v>0</v>
      </c>
      <c r="CZ653" s="2043">
        <v>0</v>
      </c>
      <c r="DA653" s="2043">
        <v>0</v>
      </c>
      <c r="DB653" s="2043">
        <v>0</v>
      </c>
      <c r="DC653" s="2043">
        <v>0</v>
      </c>
      <c r="DI653" t="s">
        <v>5105</v>
      </c>
      <c r="DJ653" t="s">
        <v>3071</v>
      </c>
      <c r="DK653" s="2042">
        <f t="shared" si="12"/>
        <v>985</v>
      </c>
    </row>
    <row r="654" spans="1:115">
      <c r="A654" t="s">
        <v>5106</v>
      </c>
      <c r="B654" t="s">
        <v>2021</v>
      </c>
      <c r="C654">
        <v>627.601</v>
      </c>
      <c r="D654">
        <v>614.11800000000005</v>
      </c>
      <c r="E654">
        <v>3.4630000000000001</v>
      </c>
      <c r="F654">
        <v>0</v>
      </c>
      <c r="G654" s="2043">
        <v>151241269</v>
      </c>
      <c r="H654">
        <v>0</v>
      </c>
      <c r="I654" s="2043">
        <v>564562</v>
      </c>
      <c r="J654">
        <v>26</v>
      </c>
      <c r="K654">
        <v>71</v>
      </c>
      <c r="L654">
        <v>54641</v>
      </c>
      <c r="M654">
        <v>120783</v>
      </c>
      <c r="N654">
        <v>54641</v>
      </c>
      <c r="O654">
        <v>175424</v>
      </c>
      <c r="P654">
        <v>0</v>
      </c>
      <c r="Q654">
        <v>0</v>
      </c>
      <c r="R654" s="2043">
        <v>1202429</v>
      </c>
      <c r="S654">
        <v>105315</v>
      </c>
      <c r="T654">
        <v>51209</v>
      </c>
      <c r="U654">
        <v>0.08</v>
      </c>
      <c r="V654">
        <v>0</v>
      </c>
      <c r="W654">
        <v>0</v>
      </c>
      <c r="X654">
        <v>0</v>
      </c>
      <c r="Y654">
        <v>0</v>
      </c>
      <c r="Z654">
        <v>0</v>
      </c>
      <c r="AA654">
        <v>0</v>
      </c>
      <c r="AB654">
        <v>614.11800000000005</v>
      </c>
      <c r="AC654" s="2043">
        <v>134342897</v>
      </c>
      <c r="AD654">
        <v>355509</v>
      </c>
      <c r="AE654" s="2043">
        <v>1358953</v>
      </c>
      <c r="AF654">
        <v>1.0323</v>
      </c>
      <c r="AG654">
        <v>0</v>
      </c>
      <c r="AH654">
        <v>0</v>
      </c>
      <c r="AI654">
        <v>0</v>
      </c>
      <c r="AJ654">
        <v>65.400000000000006</v>
      </c>
      <c r="AK654">
        <v>4246</v>
      </c>
      <c r="AL654">
        <v>0</v>
      </c>
      <c r="AM654">
        <v>0</v>
      </c>
      <c r="AN654">
        <v>38.340000000000003</v>
      </c>
      <c r="AO654">
        <v>0</v>
      </c>
      <c r="AP654">
        <v>0</v>
      </c>
      <c r="AQ654">
        <v>0</v>
      </c>
      <c r="AR654">
        <v>20.173000000000002</v>
      </c>
      <c r="AS654">
        <v>0</v>
      </c>
      <c r="AT654">
        <v>7.0020000000000007</v>
      </c>
      <c r="AU654">
        <v>1.286</v>
      </c>
      <c r="AV654">
        <v>0</v>
      </c>
      <c r="AW654">
        <v>28.461000000000002</v>
      </c>
      <c r="AX654">
        <v>0</v>
      </c>
      <c r="AY654">
        <v>87.954999999999998</v>
      </c>
      <c r="AZ654">
        <v>0</v>
      </c>
      <c r="BA654">
        <v>6674694</v>
      </c>
      <c r="BB654">
        <v>1714462</v>
      </c>
      <c r="BC654">
        <v>0</v>
      </c>
      <c r="BD654">
        <v>8998</v>
      </c>
      <c r="BE654">
        <v>0</v>
      </c>
      <c r="BF654">
        <v>8998</v>
      </c>
      <c r="BG654">
        <v>8998</v>
      </c>
      <c r="BH654">
        <v>0</v>
      </c>
      <c r="BI654">
        <v>0</v>
      </c>
      <c r="BJ654">
        <v>0</v>
      </c>
      <c r="BK654">
        <v>0</v>
      </c>
      <c r="BL654">
        <v>151241269</v>
      </c>
      <c r="BM654">
        <v>0</v>
      </c>
      <c r="BN654">
        <v>2574</v>
      </c>
      <c r="BO654">
        <v>1723</v>
      </c>
      <c r="BP654">
        <v>0</v>
      </c>
      <c r="BQ654">
        <v>0</v>
      </c>
      <c r="BR654">
        <v>0.91339999999999999</v>
      </c>
      <c r="BS654">
        <v>0.91339999999999999</v>
      </c>
      <c r="BT654">
        <v>0</v>
      </c>
      <c r="BU654">
        <v>0</v>
      </c>
      <c r="BV654">
        <v>112</v>
      </c>
      <c r="BW654">
        <v>158</v>
      </c>
      <c r="BX654">
        <v>3</v>
      </c>
      <c r="BY654">
        <v>0</v>
      </c>
      <c r="BZ654">
        <v>7</v>
      </c>
      <c r="CA654">
        <v>280</v>
      </c>
      <c r="CB654">
        <v>0</v>
      </c>
      <c r="CC654">
        <v>0</v>
      </c>
      <c r="CD654">
        <v>0</v>
      </c>
      <c r="CE654">
        <v>38</v>
      </c>
      <c r="CF654">
        <v>77.114000000000004</v>
      </c>
      <c r="CG654">
        <v>0</v>
      </c>
      <c r="CH654">
        <v>0</v>
      </c>
      <c r="CI654">
        <v>0</v>
      </c>
      <c r="CJ654">
        <v>0</v>
      </c>
      <c r="CK654">
        <v>0</v>
      </c>
      <c r="CL654">
        <v>0</v>
      </c>
      <c r="CM654">
        <v>3.4630000000000001</v>
      </c>
      <c r="CN654">
        <v>0</v>
      </c>
      <c r="CO654">
        <v>0</v>
      </c>
      <c r="CP654">
        <v>0</v>
      </c>
      <c r="CQ654">
        <v>0</v>
      </c>
      <c r="CR654">
        <v>0</v>
      </c>
      <c r="CS654">
        <v>0</v>
      </c>
      <c r="CT654">
        <v>0</v>
      </c>
      <c r="CU654">
        <v>8.5000000000000006E-2</v>
      </c>
      <c r="CV654">
        <v>40.677</v>
      </c>
      <c r="CW654">
        <v>8.1270000000000007</v>
      </c>
      <c r="CX654">
        <v>0</v>
      </c>
      <c r="CY654" s="2043">
        <v>0</v>
      </c>
      <c r="CZ654" s="2043">
        <v>0</v>
      </c>
      <c r="DA654" s="2043">
        <v>0</v>
      </c>
      <c r="DB654" s="2043">
        <v>0</v>
      </c>
      <c r="DC654" s="2043">
        <v>0</v>
      </c>
      <c r="DI654" t="s">
        <v>5106</v>
      </c>
      <c r="DJ654" t="s">
        <v>5106</v>
      </c>
      <c r="DK654" s="2042">
        <f t="shared" si="12"/>
        <v>0</v>
      </c>
    </row>
    <row r="655" spans="1:115">
      <c r="A655" t="s">
        <v>5107</v>
      </c>
      <c r="B655" t="s">
        <v>2022</v>
      </c>
      <c r="C655">
        <v>559.67100000000005</v>
      </c>
      <c r="D655">
        <v>654.745</v>
      </c>
      <c r="E655">
        <v>6.8380000000000001</v>
      </c>
      <c r="F655">
        <v>0</v>
      </c>
      <c r="G655" s="2043">
        <v>1142578699</v>
      </c>
      <c r="H655">
        <v>0</v>
      </c>
      <c r="I655" s="2043">
        <v>3383575</v>
      </c>
      <c r="J655">
        <v>27.984000000000002</v>
      </c>
      <c r="K655">
        <v>77</v>
      </c>
      <c r="L655">
        <v>0</v>
      </c>
      <c r="M655">
        <v>0</v>
      </c>
      <c r="N655">
        <v>0</v>
      </c>
      <c r="O655">
        <v>0</v>
      </c>
      <c r="P655">
        <v>0</v>
      </c>
      <c r="Q655">
        <v>0</v>
      </c>
      <c r="R655" s="2043">
        <v>9567177</v>
      </c>
      <c r="S655">
        <v>847121</v>
      </c>
      <c r="T655">
        <v>953012</v>
      </c>
      <c r="U655">
        <v>0.08</v>
      </c>
      <c r="V655">
        <v>0</v>
      </c>
      <c r="W655">
        <v>3269412</v>
      </c>
      <c r="X655">
        <v>518833</v>
      </c>
      <c r="Y655">
        <v>0</v>
      </c>
      <c r="Z655">
        <v>0</v>
      </c>
      <c r="AA655">
        <v>0</v>
      </c>
      <c r="AB655">
        <v>636.44000000000005</v>
      </c>
      <c r="AC655" s="2043">
        <v>1279788373</v>
      </c>
      <c r="AD655">
        <v>3197887</v>
      </c>
      <c r="AE655" s="2043">
        <v>11367310</v>
      </c>
      <c r="AF655">
        <v>1.0735000000000001</v>
      </c>
      <c r="AG655">
        <v>0</v>
      </c>
      <c r="AH655">
        <v>3788245</v>
      </c>
      <c r="AI655">
        <v>0</v>
      </c>
      <c r="AJ655">
        <v>68.725000000000009</v>
      </c>
      <c r="AK655">
        <v>4120</v>
      </c>
      <c r="AL655">
        <v>9.4E-2</v>
      </c>
      <c r="AM655">
        <v>0</v>
      </c>
      <c r="AN655">
        <v>27.66</v>
      </c>
      <c r="AO655">
        <v>0</v>
      </c>
      <c r="AP655">
        <v>0</v>
      </c>
      <c r="AQ655">
        <v>0</v>
      </c>
      <c r="AR655">
        <v>23.372</v>
      </c>
      <c r="AS655">
        <v>0</v>
      </c>
      <c r="AT655">
        <v>5.6430000000000007</v>
      </c>
      <c r="AU655">
        <v>1.2990000000000002</v>
      </c>
      <c r="AV655">
        <v>0</v>
      </c>
      <c r="AW655">
        <v>30.408000000000001</v>
      </c>
      <c r="AX655">
        <v>0</v>
      </c>
      <c r="AY655">
        <v>94.01</v>
      </c>
      <c r="AZ655">
        <v>0</v>
      </c>
      <c r="BA655">
        <v>352283</v>
      </c>
      <c r="BB655">
        <v>14565197</v>
      </c>
      <c r="BC655">
        <v>0</v>
      </c>
      <c r="BD655">
        <v>40958</v>
      </c>
      <c r="BE655">
        <v>0</v>
      </c>
      <c r="BF655">
        <v>50485</v>
      </c>
      <c r="BG655">
        <v>40958</v>
      </c>
      <c r="BH655">
        <v>9527</v>
      </c>
      <c r="BI655">
        <v>0</v>
      </c>
      <c r="BJ655">
        <v>0</v>
      </c>
      <c r="BK655">
        <v>0</v>
      </c>
      <c r="BL655">
        <v>1142578699</v>
      </c>
      <c r="BM655">
        <v>0</v>
      </c>
      <c r="BN655">
        <v>1737</v>
      </c>
      <c r="BO655">
        <v>610</v>
      </c>
      <c r="BP655">
        <v>0</v>
      </c>
      <c r="BQ655">
        <v>0</v>
      </c>
      <c r="BR655">
        <v>0.90350000000000008</v>
      </c>
      <c r="BS655">
        <v>0.90350000000000008</v>
      </c>
      <c r="BT655">
        <v>0</v>
      </c>
      <c r="BU655">
        <v>0</v>
      </c>
      <c r="BV655">
        <v>27</v>
      </c>
      <c r="BW655">
        <v>136</v>
      </c>
      <c r="BX655">
        <v>95</v>
      </c>
      <c r="BY655">
        <v>0</v>
      </c>
      <c r="BZ655">
        <v>24</v>
      </c>
      <c r="CA655">
        <v>282</v>
      </c>
      <c r="CB655">
        <v>0</v>
      </c>
      <c r="CC655">
        <v>0</v>
      </c>
      <c r="CD655">
        <v>0</v>
      </c>
      <c r="CE655">
        <v>74</v>
      </c>
      <c r="CF655">
        <v>78.424000000000007</v>
      </c>
      <c r="CG655">
        <v>0</v>
      </c>
      <c r="CH655">
        <v>0</v>
      </c>
      <c r="CI655">
        <v>0</v>
      </c>
      <c r="CJ655">
        <v>0</v>
      </c>
      <c r="CK655">
        <v>0</v>
      </c>
      <c r="CL655">
        <v>0</v>
      </c>
      <c r="CM655">
        <v>6.8380000000000001</v>
      </c>
      <c r="CN655">
        <v>0</v>
      </c>
      <c r="CO655">
        <v>0</v>
      </c>
      <c r="CP655">
        <v>0</v>
      </c>
      <c r="CQ655">
        <v>0</v>
      </c>
      <c r="CR655">
        <v>0</v>
      </c>
      <c r="CS655">
        <v>0</v>
      </c>
      <c r="CT655">
        <v>0</v>
      </c>
      <c r="CU655">
        <v>0</v>
      </c>
      <c r="CV655">
        <v>29.222000000000001</v>
      </c>
      <c r="CW655">
        <v>14.344000000000001</v>
      </c>
      <c r="CX655">
        <v>0</v>
      </c>
      <c r="CY655" s="2043">
        <v>0</v>
      </c>
      <c r="CZ655" s="2043">
        <v>0</v>
      </c>
      <c r="DA655" s="2043">
        <v>0</v>
      </c>
      <c r="DB655" s="2043">
        <v>0</v>
      </c>
      <c r="DC655" s="2043">
        <v>228377</v>
      </c>
      <c r="DI655" t="s">
        <v>5107</v>
      </c>
      <c r="DJ655" t="s">
        <v>5107</v>
      </c>
      <c r="DK655" s="2042">
        <f t="shared" si="12"/>
        <v>0</v>
      </c>
    </row>
    <row r="656" spans="1:115">
      <c r="A656" t="s">
        <v>5823</v>
      </c>
      <c r="B656" t="s">
        <v>1185</v>
      </c>
      <c r="C656">
        <v>92.597000000000008</v>
      </c>
      <c r="D656">
        <v>99</v>
      </c>
      <c r="E656">
        <v>5.6470000000000002</v>
      </c>
      <c r="F656">
        <v>0</v>
      </c>
      <c r="G656" s="2043">
        <v>35506494</v>
      </c>
      <c r="H656">
        <v>0</v>
      </c>
      <c r="I656" s="2043">
        <v>0</v>
      </c>
      <c r="J656">
        <v>3</v>
      </c>
      <c r="K656">
        <v>8</v>
      </c>
      <c r="L656">
        <v>0</v>
      </c>
      <c r="M656">
        <v>0</v>
      </c>
      <c r="N656">
        <v>0</v>
      </c>
      <c r="O656">
        <v>0</v>
      </c>
      <c r="P656">
        <v>0</v>
      </c>
      <c r="Q656">
        <v>0</v>
      </c>
      <c r="R656" s="2043">
        <v>324581</v>
      </c>
      <c r="S656">
        <v>28428</v>
      </c>
      <c r="T656">
        <v>9204</v>
      </c>
      <c r="U656">
        <v>0.08</v>
      </c>
      <c r="V656">
        <v>0</v>
      </c>
      <c r="W656">
        <v>0</v>
      </c>
      <c r="X656">
        <v>0</v>
      </c>
      <c r="Y656">
        <v>0</v>
      </c>
      <c r="Z656">
        <v>5.8170000000000002</v>
      </c>
      <c r="AA656">
        <v>0</v>
      </c>
      <c r="AB656">
        <v>99</v>
      </c>
      <c r="AC656" s="2043">
        <v>39190734</v>
      </c>
      <c r="AD656">
        <v>0</v>
      </c>
      <c r="AE656" s="2043">
        <v>362213</v>
      </c>
      <c r="AF656">
        <v>1.0193000000000001</v>
      </c>
      <c r="AG656">
        <v>0</v>
      </c>
      <c r="AH656">
        <v>0</v>
      </c>
      <c r="AI656">
        <v>0</v>
      </c>
      <c r="AJ656">
        <v>10.088000000000001</v>
      </c>
      <c r="AK656">
        <v>513</v>
      </c>
      <c r="AL656">
        <v>0</v>
      </c>
      <c r="AM656">
        <v>0</v>
      </c>
      <c r="AN656">
        <v>6.1990000000000007</v>
      </c>
      <c r="AO656">
        <v>0</v>
      </c>
      <c r="AP656">
        <v>0</v>
      </c>
      <c r="AQ656">
        <v>0</v>
      </c>
      <c r="AR656">
        <v>2.1070000000000002</v>
      </c>
      <c r="AS656">
        <v>0</v>
      </c>
      <c r="AT656">
        <v>0</v>
      </c>
      <c r="AU656">
        <v>0.16200000000000001</v>
      </c>
      <c r="AV656">
        <v>0</v>
      </c>
      <c r="AW656">
        <v>2.2690000000000001</v>
      </c>
      <c r="AX656">
        <v>0</v>
      </c>
      <c r="AY656">
        <v>7.1310000000000002</v>
      </c>
      <c r="AZ656">
        <v>0</v>
      </c>
      <c r="BA656">
        <v>1383507</v>
      </c>
      <c r="BB656">
        <v>362213</v>
      </c>
      <c r="BC656">
        <v>0</v>
      </c>
      <c r="BD656">
        <v>0</v>
      </c>
      <c r="BE656">
        <v>0</v>
      </c>
      <c r="BF656">
        <v>0</v>
      </c>
      <c r="BG656">
        <v>0</v>
      </c>
      <c r="BH656">
        <v>0</v>
      </c>
      <c r="BI656">
        <v>0</v>
      </c>
      <c r="BJ656">
        <v>0</v>
      </c>
      <c r="BK656">
        <v>0</v>
      </c>
      <c r="BL656">
        <v>35506494</v>
      </c>
      <c r="BM656">
        <v>0</v>
      </c>
      <c r="BN656">
        <v>450</v>
      </c>
      <c r="BO656">
        <v>0</v>
      </c>
      <c r="BP656">
        <v>0</v>
      </c>
      <c r="BQ656">
        <v>0</v>
      </c>
      <c r="BR656">
        <v>0.91339999999999999</v>
      </c>
      <c r="BS656">
        <v>0.91339999999999999</v>
      </c>
      <c r="BT656">
        <v>0</v>
      </c>
      <c r="BU656">
        <v>0</v>
      </c>
      <c r="BV656">
        <v>10</v>
      </c>
      <c r="BW656">
        <v>16</v>
      </c>
      <c r="BX656">
        <v>14</v>
      </c>
      <c r="BY656">
        <v>1</v>
      </c>
      <c r="BZ656">
        <v>1</v>
      </c>
      <c r="CA656">
        <v>42</v>
      </c>
      <c r="CB656">
        <v>0</v>
      </c>
      <c r="CC656">
        <v>0</v>
      </c>
      <c r="CD656">
        <v>0</v>
      </c>
      <c r="CE656">
        <v>12</v>
      </c>
      <c r="CF656">
        <v>17.655000000000001</v>
      </c>
      <c r="CG656">
        <v>0</v>
      </c>
      <c r="CH656">
        <v>0</v>
      </c>
      <c r="CI656">
        <v>0</v>
      </c>
      <c r="CJ656">
        <v>0</v>
      </c>
      <c r="CK656">
        <v>0</v>
      </c>
      <c r="CL656">
        <v>0</v>
      </c>
      <c r="CM656">
        <v>5.6470000000000002</v>
      </c>
      <c r="CN656">
        <v>0</v>
      </c>
      <c r="CO656">
        <v>0</v>
      </c>
      <c r="CP656">
        <v>0</v>
      </c>
      <c r="CQ656">
        <v>0</v>
      </c>
      <c r="CR656">
        <v>0</v>
      </c>
      <c r="CS656">
        <v>0</v>
      </c>
      <c r="CT656">
        <v>0</v>
      </c>
      <c r="CU656">
        <v>0</v>
      </c>
      <c r="CV656">
        <v>0.33600000000000002</v>
      </c>
      <c r="CW656">
        <v>0.996</v>
      </c>
      <c r="CX656">
        <v>0</v>
      </c>
      <c r="CY656" s="2043">
        <v>0</v>
      </c>
      <c r="CZ656" s="2043">
        <v>0</v>
      </c>
      <c r="DA656" s="2043">
        <v>0</v>
      </c>
      <c r="DB656" s="2043">
        <v>0</v>
      </c>
      <c r="DC656" s="2043">
        <v>0</v>
      </c>
      <c r="DI656" t="s">
        <v>5823</v>
      </c>
      <c r="DJ656" t="s">
        <v>5823</v>
      </c>
      <c r="DK656" s="2042">
        <f t="shared" si="12"/>
        <v>0</v>
      </c>
    </row>
    <row r="657" spans="1:115">
      <c r="A657" t="s">
        <v>5108</v>
      </c>
      <c r="B657" t="s">
        <v>1186</v>
      </c>
      <c r="C657">
        <v>290.69400000000002</v>
      </c>
      <c r="D657">
        <v>287.55</v>
      </c>
      <c r="E657">
        <v>5.4260000000000002</v>
      </c>
      <c r="F657">
        <v>0</v>
      </c>
      <c r="G657" s="2043">
        <v>1150142746</v>
      </c>
      <c r="H657">
        <v>0</v>
      </c>
      <c r="I657" s="2043">
        <v>1352262</v>
      </c>
      <c r="J657">
        <v>14.535</v>
      </c>
      <c r="K657">
        <v>40</v>
      </c>
      <c r="L657">
        <v>0</v>
      </c>
      <c r="M657">
        <v>0</v>
      </c>
      <c r="N657">
        <v>0</v>
      </c>
      <c r="O657">
        <v>0</v>
      </c>
      <c r="P657">
        <v>0</v>
      </c>
      <c r="Q657">
        <v>0</v>
      </c>
      <c r="R657" s="2043">
        <v>10488836</v>
      </c>
      <c r="S657">
        <v>574164</v>
      </c>
      <c r="T657">
        <v>0</v>
      </c>
      <c r="U657">
        <v>0.05</v>
      </c>
      <c r="V657">
        <v>0</v>
      </c>
      <c r="W657">
        <v>6845993</v>
      </c>
      <c r="X657">
        <v>0</v>
      </c>
      <c r="Y657">
        <v>0</v>
      </c>
      <c r="Z657">
        <v>0</v>
      </c>
      <c r="AA657">
        <v>0.129</v>
      </c>
      <c r="AB657">
        <v>287.55</v>
      </c>
      <c r="AC657" s="2043">
        <v>1237121407</v>
      </c>
      <c r="AD657">
        <v>1845000</v>
      </c>
      <c r="AE657" s="2043">
        <v>11063000</v>
      </c>
      <c r="AF657">
        <v>0.96340000000000003</v>
      </c>
      <c r="AG657">
        <v>0</v>
      </c>
      <c r="AH657">
        <v>6845993</v>
      </c>
      <c r="AI657">
        <v>0</v>
      </c>
      <c r="AJ657">
        <v>30.775000000000002</v>
      </c>
      <c r="AK657">
        <v>1651</v>
      </c>
      <c r="AL657">
        <v>0</v>
      </c>
      <c r="AM657">
        <v>0</v>
      </c>
      <c r="AN657">
        <v>11.884</v>
      </c>
      <c r="AO657">
        <v>0</v>
      </c>
      <c r="AP657">
        <v>0</v>
      </c>
      <c r="AQ657">
        <v>0</v>
      </c>
      <c r="AR657">
        <v>9.1690000000000005</v>
      </c>
      <c r="AS657">
        <v>0</v>
      </c>
      <c r="AT657">
        <v>0.47500000000000003</v>
      </c>
      <c r="AU657">
        <v>0.40900000000000003</v>
      </c>
      <c r="AV657">
        <v>0</v>
      </c>
      <c r="AW657">
        <v>10.053000000000001</v>
      </c>
      <c r="AX657">
        <v>0</v>
      </c>
      <c r="AY657">
        <v>30.977</v>
      </c>
      <c r="AZ657">
        <v>0</v>
      </c>
      <c r="BA657">
        <v>146906</v>
      </c>
      <c r="BB657">
        <v>12908000</v>
      </c>
      <c r="BC657">
        <v>0</v>
      </c>
      <c r="BD657">
        <v>31356</v>
      </c>
      <c r="BE657">
        <v>0</v>
      </c>
      <c r="BF657">
        <v>31356</v>
      </c>
      <c r="BG657">
        <v>31356</v>
      </c>
      <c r="BH657">
        <v>0</v>
      </c>
      <c r="BI657">
        <v>0</v>
      </c>
      <c r="BJ657">
        <v>0</v>
      </c>
      <c r="BK657">
        <v>0</v>
      </c>
      <c r="BL657">
        <v>1150142746</v>
      </c>
      <c r="BM657">
        <v>0</v>
      </c>
      <c r="BN657">
        <v>1062</v>
      </c>
      <c r="BO657">
        <v>974</v>
      </c>
      <c r="BP657">
        <v>0</v>
      </c>
      <c r="BQ657">
        <v>0</v>
      </c>
      <c r="BR657">
        <v>0.91339999999999999</v>
      </c>
      <c r="BS657">
        <v>0.91339999999999999</v>
      </c>
      <c r="BT657">
        <v>0</v>
      </c>
      <c r="BU657">
        <v>0</v>
      </c>
      <c r="BV657">
        <v>4</v>
      </c>
      <c r="BW657">
        <v>105</v>
      </c>
      <c r="BX657">
        <v>0</v>
      </c>
      <c r="BY657">
        <v>1</v>
      </c>
      <c r="BZ657">
        <v>17</v>
      </c>
      <c r="CA657">
        <v>127</v>
      </c>
      <c r="CB657">
        <v>0</v>
      </c>
      <c r="CC657">
        <v>0</v>
      </c>
      <c r="CD657">
        <v>0</v>
      </c>
      <c r="CE657">
        <v>21</v>
      </c>
      <c r="CF657">
        <v>43.349000000000004</v>
      </c>
      <c r="CG657">
        <v>0</v>
      </c>
      <c r="CH657">
        <v>0</v>
      </c>
      <c r="CI657">
        <v>1</v>
      </c>
      <c r="CJ657">
        <v>4</v>
      </c>
      <c r="CK657">
        <v>0</v>
      </c>
      <c r="CL657">
        <v>0</v>
      </c>
      <c r="CM657">
        <v>5.4260000000000002</v>
      </c>
      <c r="CN657">
        <v>0</v>
      </c>
      <c r="CO657">
        <v>0</v>
      </c>
      <c r="CP657">
        <v>0</v>
      </c>
      <c r="CQ657">
        <v>0</v>
      </c>
      <c r="CR657">
        <v>0</v>
      </c>
      <c r="CS657">
        <v>0</v>
      </c>
      <c r="CT657">
        <v>0</v>
      </c>
      <c r="CU657">
        <v>0</v>
      </c>
      <c r="CV657">
        <v>13.423</v>
      </c>
      <c r="CW657">
        <v>13.906000000000001</v>
      </c>
      <c r="CX657">
        <v>0</v>
      </c>
      <c r="CY657" s="2043">
        <v>0</v>
      </c>
      <c r="CZ657" s="2043">
        <v>0</v>
      </c>
      <c r="DA657" s="2043">
        <v>0</v>
      </c>
      <c r="DB657" s="2043">
        <v>0</v>
      </c>
      <c r="DC657" s="2043">
        <v>193592</v>
      </c>
      <c r="DI657" t="s">
        <v>5108</v>
      </c>
      <c r="DJ657" t="s">
        <v>5108</v>
      </c>
      <c r="DK657" s="2042">
        <f t="shared" si="12"/>
        <v>0</v>
      </c>
    </row>
    <row r="658" spans="1:115">
      <c r="A658" t="s">
        <v>5109</v>
      </c>
      <c r="B658" t="s">
        <v>875</v>
      </c>
      <c r="C658">
        <v>233.98500000000001</v>
      </c>
      <c r="D658">
        <v>235.001</v>
      </c>
      <c r="E658">
        <v>7.9420000000000002</v>
      </c>
      <c r="F658">
        <v>0</v>
      </c>
      <c r="G658" s="2043">
        <v>197184442</v>
      </c>
      <c r="H658">
        <v>0</v>
      </c>
      <c r="I658" s="2043">
        <v>1125450</v>
      </c>
      <c r="J658">
        <v>8</v>
      </c>
      <c r="K658">
        <v>22</v>
      </c>
      <c r="L658">
        <v>0</v>
      </c>
      <c r="M658">
        <v>0</v>
      </c>
      <c r="N658">
        <v>0</v>
      </c>
      <c r="O658">
        <v>0</v>
      </c>
      <c r="P658">
        <v>0</v>
      </c>
      <c r="Q658">
        <v>0</v>
      </c>
      <c r="R658" s="2043">
        <v>1772572</v>
      </c>
      <c r="S658">
        <v>97032</v>
      </c>
      <c r="T658">
        <v>0</v>
      </c>
      <c r="U658">
        <v>0.05</v>
      </c>
      <c r="V658">
        <v>0</v>
      </c>
      <c r="W658">
        <v>0</v>
      </c>
      <c r="X658">
        <v>0</v>
      </c>
      <c r="Y658">
        <v>0</v>
      </c>
      <c r="Z658">
        <v>0</v>
      </c>
      <c r="AA658">
        <v>0</v>
      </c>
      <c r="AB658">
        <v>235.001</v>
      </c>
      <c r="AC658" s="2043">
        <v>176091483</v>
      </c>
      <c r="AD658">
        <v>853878</v>
      </c>
      <c r="AE658" s="2043">
        <v>1869604</v>
      </c>
      <c r="AF658">
        <v>0.96340000000000003</v>
      </c>
      <c r="AG658">
        <v>0</v>
      </c>
      <c r="AH658">
        <v>0</v>
      </c>
      <c r="AI658">
        <v>0</v>
      </c>
      <c r="AJ658">
        <v>34.887999999999998</v>
      </c>
      <c r="AK658">
        <v>867</v>
      </c>
      <c r="AL658">
        <v>0</v>
      </c>
      <c r="AM658">
        <v>0</v>
      </c>
      <c r="AN658">
        <v>10.764000000000001</v>
      </c>
      <c r="AO658">
        <v>0</v>
      </c>
      <c r="AP658">
        <v>0</v>
      </c>
      <c r="AQ658">
        <v>0</v>
      </c>
      <c r="AR658">
        <v>3.1340000000000003</v>
      </c>
      <c r="AS658">
        <v>0</v>
      </c>
      <c r="AT658">
        <v>0.19800000000000001</v>
      </c>
      <c r="AU658">
        <v>0.442</v>
      </c>
      <c r="AV658">
        <v>0</v>
      </c>
      <c r="AW658">
        <v>3.774</v>
      </c>
      <c r="AX658">
        <v>0</v>
      </c>
      <c r="AY658">
        <v>12.206000000000001</v>
      </c>
      <c r="AZ658">
        <v>0</v>
      </c>
      <c r="BA658">
        <v>1177018</v>
      </c>
      <c r="BB658">
        <v>2723482</v>
      </c>
      <c r="BC658">
        <v>0</v>
      </c>
      <c r="BD658">
        <v>31396</v>
      </c>
      <c r="BE658">
        <v>0</v>
      </c>
      <c r="BF658">
        <v>31396</v>
      </c>
      <c r="BG658">
        <v>31396</v>
      </c>
      <c r="BH658">
        <v>0</v>
      </c>
      <c r="BI658">
        <v>0</v>
      </c>
      <c r="BJ658">
        <v>0</v>
      </c>
      <c r="BK658">
        <v>0</v>
      </c>
      <c r="BL658">
        <v>197184442</v>
      </c>
      <c r="BM658">
        <v>0</v>
      </c>
      <c r="BN658">
        <v>918</v>
      </c>
      <c r="BO658">
        <v>642</v>
      </c>
      <c r="BP658">
        <v>0</v>
      </c>
      <c r="BQ658">
        <v>0</v>
      </c>
      <c r="BR658">
        <v>0.91339999999999999</v>
      </c>
      <c r="BS658">
        <v>0.91339999999999999</v>
      </c>
      <c r="BT658">
        <v>0</v>
      </c>
      <c r="BU658">
        <v>0</v>
      </c>
      <c r="BV658">
        <v>27</v>
      </c>
      <c r="BW658">
        <v>117</v>
      </c>
      <c r="BX658">
        <v>2</v>
      </c>
      <c r="BY658">
        <v>2</v>
      </c>
      <c r="BZ658">
        <v>0</v>
      </c>
      <c r="CA658">
        <v>148</v>
      </c>
      <c r="CB658">
        <v>0</v>
      </c>
      <c r="CC658">
        <v>0</v>
      </c>
      <c r="CD658">
        <v>0</v>
      </c>
      <c r="CE658">
        <v>18</v>
      </c>
      <c r="CF658">
        <v>43.661000000000001</v>
      </c>
      <c r="CG658">
        <v>0</v>
      </c>
      <c r="CH658">
        <v>0</v>
      </c>
      <c r="CI658">
        <v>3</v>
      </c>
      <c r="CJ658">
        <v>3</v>
      </c>
      <c r="CK658">
        <v>0</v>
      </c>
      <c r="CL658">
        <v>0</v>
      </c>
      <c r="CM658">
        <v>7.9420000000000002</v>
      </c>
      <c r="CN658">
        <v>0</v>
      </c>
      <c r="CO658">
        <v>0</v>
      </c>
      <c r="CP658">
        <v>0</v>
      </c>
      <c r="CQ658">
        <v>0</v>
      </c>
      <c r="CR658">
        <v>0</v>
      </c>
      <c r="CS658">
        <v>0</v>
      </c>
      <c r="CT658">
        <v>0</v>
      </c>
      <c r="CU658">
        <v>0</v>
      </c>
      <c r="CV658">
        <v>13.388</v>
      </c>
      <c r="CW658">
        <v>9.8369999999999997</v>
      </c>
      <c r="CX658">
        <v>0</v>
      </c>
      <c r="CY658" s="2043">
        <v>0</v>
      </c>
      <c r="CZ658" s="2043">
        <v>0</v>
      </c>
      <c r="DA658" s="2043">
        <v>0</v>
      </c>
      <c r="DB658" s="2043">
        <v>0</v>
      </c>
      <c r="DC658" s="2043">
        <v>0</v>
      </c>
      <c r="DI658" t="s">
        <v>5109</v>
      </c>
      <c r="DJ658" t="s">
        <v>5109</v>
      </c>
      <c r="DK658" s="2042">
        <f t="shared" si="12"/>
        <v>0</v>
      </c>
    </row>
    <row r="659" spans="1:115">
      <c r="A659" t="s">
        <v>5110</v>
      </c>
      <c r="B659" t="s">
        <v>876</v>
      </c>
      <c r="C659">
        <v>999.69</v>
      </c>
      <c r="D659">
        <v>990.96500000000003</v>
      </c>
      <c r="E659">
        <v>150.053</v>
      </c>
      <c r="F659">
        <v>130912</v>
      </c>
      <c r="G659" s="2043">
        <v>784470407</v>
      </c>
      <c r="H659">
        <v>0</v>
      </c>
      <c r="I659" s="2043">
        <v>2509657</v>
      </c>
      <c r="J659">
        <v>49.984999999999999</v>
      </c>
      <c r="K659">
        <v>137</v>
      </c>
      <c r="L659">
        <v>0</v>
      </c>
      <c r="M659">
        <v>0</v>
      </c>
      <c r="N659">
        <v>0</v>
      </c>
      <c r="O659">
        <v>0</v>
      </c>
      <c r="P659">
        <v>0</v>
      </c>
      <c r="Q659">
        <v>0</v>
      </c>
      <c r="R659" s="2043">
        <v>6526876</v>
      </c>
      <c r="S659">
        <v>357285</v>
      </c>
      <c r="T659">
        <v>0</v>
      </c>
      <c r="U659">
        <v>0.05</v>
      </c>
      <c r="V659">
        <v>0</v>
      </c>
      <c r="W659">
        <v>0</v>
      </c>
      <c r="X659">
        <v>0</v>
      </c>
      <c r="Y659">
        <v>130912</v>
      </c>
      <c r="Z659">
        <v>0</v>
      </c>
      <c r="AA659">
        <v>0</v>
      </c>
      <c r="AB659">
        <v>990.96500000000003</v>
      </c>
      <c r="AC659" s="2043">
        <v>761938437</v>
      </c>
      <c r="AD659">
        <v>3538610</v>
      </c>
      <c r="AE659" s="2043">
        <v>6884161</v>
      </c>
      <c r="AF659">
        <v>0.96340000000000003</v>
      </c>
      <c r="AG659">
        <v>0</v>
      </c>
      <c r="AH659">
        <v>0</v>
      </c>
      <c r="AI659">
        <v>0</v>
      </c>
      <c r="AJ659">
        <v>182.56300000000002</v>
      </c>
      <c r="AK659">
        <v>4632</v>
      </c>
      <c r="AL659">
        <v>0</v>
      </c>
      <c r="AM659">
        <v>0</v>
      </c>
      <c r="AN659">
        <v>69.63</v>
      </c>
      <c r="AO659">
        <v>0</v>
      </c>
      <c r="AP659">
        <v>0</v>
      </c>
      <c r="AQ659">
        <v>0</v>
      </c>
      <c r="AR659">
        <v>19.127000000000002</v>
      </c>
      <c r="AS659">
        <v>0</v>
      </c>
      <c r="AT659">
        <v>3.714</v>
      </c>
      <c r="AU659">
        <v>1.5880000000000001</v>
      </c>
      <c r="AV659">
        <v>0</v>
      </c>
      <c r="AW659">
        <v>24.429000000000002</v>
      </c>
      <c r="AX659">
        <v>0</v>
      </c>
      <c r="AY659">
        <v>76.463000000000008</v>
      </c>
      <c r="AZ659">
        <v>0</v>
      </c>
      <c r="BA659">
        <v>4611988</v>
      </c>
      <c r="BB659">
        <v>10422771</v>
      </c>
      <c r="BC659">
        <v>0</v>
      </c>
      <c r="BD659">
        <v>93101</v>
      </c>
      <c r="BE659">
        <v>4158</v>
      </c>
      <c r="BF659">
        <v>100757</v>
      </c>
      <c r="BG659">
        <v>93101</v>
      </c>
      <c r="BH659">
        <v>3498</v>
      </c>
      <c r="BI659">
        <v>0</v>
      </c>
      <c r="BJ659">
        <v>0</v>
      </c>
      <c r="BK659">
        <v>0</v>
      </c>
      <c r="BL659">
        <v>784470407</v>
      </c>
      <c r="BM659">
        <v>0</v>
      </c>
      <c r="BN659">
        <v>3078</v>
      </c>
      <c r="BO659">
        <v>2943</v>
      </c>
      <c r="BP659">
        <v>0</v>
      </c>
      <c r="BQ659">
        <v>0</v>
      </c>
      <c r="BR659">
        <v>0.91339999999999999</v>
      </c>
      <c r="BS659">
        <v>0.91339999999999999</v>
      </c>
      <c r="BT659">
        <v>0</v>
      </c>
      <c r="BU659">
        <v>0</v>
      </c>
      <c r="BV659">
        <v>128</v>
      </c>
      <c r="BW659">
        <v>173</v>
      </c>
      <c r="BX659">
        <v>181</v>
      </c>
      <c r="BY659">
        <v>238</v>
      </c>
      <c r="BZ659">
        <v>18</v>
      </c>
      <c r="CA659">
        <v>738</v>
      </c>
      <c r="CB659">
        <v>0</v>
      </c>
      <c r="CC659">
        <v>0</v>
      </c>
      <c r="CD659">
        <v>0</v>
      </c>
      <c r="CE659">
        <v>149</v>
      </c>
      <c r="CF659">
        <v>236.15</v>
      </c>
      <c r="CG659">
        <v>0</v>
      </c>
      <c r="CH659">
        <v>0</v>
      </c>
      <c r="CI659">
        <v>2</v>
      </c>
      <c r="CJ659">
        <v>5</v>
      </c>
      <c r="CK659">
        <v>0</v>
      </c>
      <c r="CL659">
        <v>0</v>
      </c>
      <c r="CM659">
        <v>150.053</v>
      </c>
      <c r="CN659">
        <v>0</v>
      </c>
      <c r="CO659">
        <v>0</v>
      </c>
      <c r="CP659">
        <v>0</v>
      </c>
      <c r="CQ659">
        <v>0</v>
      </c>
      <c r="CR659">
        <v>0</v>
      </c>
      <c r="CS659">
        <v>0</v>
      </c>
      <c r="CT659">
        <v>0</v>
      </c>
      <c r="CU659">
        <v>9.7260000000000009</v>
      </c>
      <c r="CV659">
        <v>83.788000000000011</v>
      </c>
      <c r="CW659">
        <v>48.118000000000002</v>
      </c>
      <c r="CX659">
        <v>0</v>
      </c>
      <c r="CY659" s="2043">
        <v>0</v>
      </c>
      <c r="CZ659" s="2043">
        <v>0</v>
      </c>
      <c r="DA659" s="2043">
        <v>0</v>
      </c>
      <c r="DB659" s="2043">
        <v>130912</v>
      </c>
      <c r="DC659" s="2043">
        <v>0</v>
      </c>
      <c r="DI659" t="s">
        <v>5110</v>
      </c>
      <c r="DJ659" t="s">
        <v>5110</v>
      </c>
      <c r="DK659" s="2042">
        <f t="shared" si="12"/>
        <v>0</v>
      </c>
    </row>
    <row r="660" spans="1:115">
      <c r="A660" t="s">
        <v>5111</v>
      </c>
      <c r="B660" t="s">
        <v>877</v>
      </c>
      <c r="C660">
        <v>297.38800000000003</v>
      </c>
      <c r="D660">
        <v>300.24200000000002</v>
      </c>
      <c r="E660">
        <v>7.218</v>
      </c>
      <c r="F660">
        <v>24744</v>
      </c>
      <c r="G660" s="2043">
        <v>327430166</v>
      </c>
      <c r="H660">
        <v>0</v>
      </c>
      <c r="I660" s="2043">
        <v>517250</v>
      </c>
      <c r="J660">
        <v>14.869000000000002</v>
      </c>
      <c r="K660">
        <v>41</v>
      </c>
      <c r="L660">
        <v>0</v>
      </c>
      <c r="M660">
        <v>0</v>
      </c>
      <c r="N660">
        <v>0</v>
      </c>
      <c r="O660">
        <v>0</v>
      </c>
      <c r="P660">
        <v>0</v>
      </c>
      <c r="Q660">
        <v>0</v>
      </c>
      <c r="R660" s="2043">
        <v>2589166</v>
      </c>
      <c r="S660">
        <v>141732</v>
      </c>
      <c r="T660">
        <v>0</v>
      </c>
      <c r="U660">
        <v>0.05</v>
      </c>
      <c r="V660">
        <v>0</v>
      </c>
      <c r="W660">
        <v>0</v>
      </c>
      <c r="X660">
        <v>0</v>
      </c>
      <c r="Y660">
        <v>24744</v>
      </c>
      <c r="Z660">
        <v>0</v>
      </c>
      <c r="AA660">
        <v>0</v>
      </c>
      <c r="AB660">
        <v>300.24200000000002</v>
      </c>
      <c r="AC660" s="2043">
        <v>284999186</v>
      </c>
      <c r="AD660">
        <v>517339</v>
      </c>
      <c r="AE660" s="2043">
        <v>2730898</v>
      </c>
      <c r="AF660">
        <v>0.96340000000000003</v>
      </c>
      <c r="AG660">
        <v>0</v>
      </c>
      <c r="AH660">
        <v>0</v>
      </c>
      <c r="AI660">
        <v>0</v>
      </c>
      <c r="AJ660">
        <v>39.375</v>
      </c>
      <c r="AK660">
        <v>1613</v>
      </c>
      <c r="AL660">
        <v>0</v>
      </c>
      <c r="AM660">
        <v>0</v>
      </c>
      <c r="AN660">
        <v>7.4640000000000004</v>
      </c>
      <c r="AO660">
        <v>0</v>
      </c>
      <c r="AP660">
        <v>0</v>
      </c>
      <c r="AQ660">
        <v>0</v>
      </c>
      <c r="AR660">
        <v>9.4960000000000004</v>
      </c>
      <c r="AS660">
        <v>0</v>
      </c>
      <c r="AT660">
        <v>1.494</v>
      </c>
      <c r="AU660">
        <v>0.877</v>
      </c>
      <c r="AV660">
        <v>0</v>
      </c>
      <c r="AW660">
        <v>11.867000000000001</v>
      </c>
      <c r="AX660">
        <v>0</v>
      </c>
      <c r="AY660">
        <v>37.355000000000004</v>
      </c>
      <c r="AZ660">
        <v>0</v>
      </c>
      <c r="BA660">
        <v>888469</v>
      </c>
      <c r="BB660">
        <v>3248237</v>
      </c>
      <c r="BC660">
        <v>0</v>
      </c>
      <c r="BD660">
        <v>42251</v>
      </c>
      <c r="BE660">
        <v>5230</v>
      </c>
      <c r="BF660">
        <v>47481</v>
      </c>
      <c r="BG660">
        <v>42251</v>
      </c>
      <c r="BH660">
        <v>0</v>
      </c>
      <c r="BI660">
        <v>0</v>
      </c>
      <c r="BJ660">
        <v>0</v>
      </c>
      <c r="BK660">
        <v>0</v>
      </c>
      <c r="BL660">
        <v>327430166</v>
      </c>
      <c r="BM660">
        <v>0</v>
      </c>
      <c r="BN660">
        <v>900</v>
      </c>
      <c r="BO660">
        <v>942</v>
      </c>
      <c r="BP660">
        <v>0</v>
      </c>
      <c r="BQ660">
        <v>0</v>
      </c>
      <c r="BR660">
        <v>0.91339999999999999</v>
      </c>
      <c r="BS660">
        <v>0.91339999999999999</v>
      </c>
      <c r="BT660">
        <v>0</v>
      </c>
      <c r="BU660">
        <v>0</v>
      </c>
      <c r="BV660">
        <v>36</v>
      </c>
      <c r="BW660">
        <v>119</v>
      </c>
      <c r="BX660">
        <v>0</v>
      </c>
      <c r="BY660">
        <v>1</v>
      </c>
      <c r="BZ660">
        <v>10</v>
      </c>
      <c r="CA660">
        <v>166</v>
      </c>
      <c r="CB660">
        <v>0</v>
      </c>
      <c r="CC660">
        <v>0</v>
      </c>
      <c r="CD660">
        <v>0</v>
      </c>
      <c r="CE660">
        <v>26</v>
      </c>
      <c r="CF660">
        <v>43.572000000000003</v>
      </c>
      <c r="CG660">
        <v>0</v>
      </c>
      <c r="CH660">
        <v>0</v>
      </c>
      <c r="CI660">
        <v>2</v>
      </c>
      <c r="CJ660">
        <v>2</v>
      </c>
      <c r="CK660">
        <v>0</v>
      </c>
      <c r="CL660">
        <v>0</v>
      </c>
      <c r="CM660">
        <v>7.218</v>
      </c>
      <c r="CN660">
        <v>0</v>
      </c>
      <c r="CO660">
        <v>0</v>
      </c>
      <c r="CP660">
        <v>0</v>
      </c>
      <c r="CQ660">
        <v>0</v>
      </c>
      <c r="CR660">
        <v>0</v>
      </c>
      <c r="CS660">
        <v>0</v>
      </c>
      <c r="CT660">
        <v>0</v>
      </c>
      <c r="CU660">
        <v>6.8810000000000002</v>
      </c>
      <c r="CV660">
        <v>24.53</v>
      </c>
      <c r="CW660">
        <v>29.661000000000001</v>
      </c>
      <c r="CX660">
        <v>0</v>
      </c>
      <c r="CY660" s="2043">
        <v>0</v>
      </c>
      <c r="CZ660" s="2043">
        <v>0</v>
      </c>
      <c r="DA660" s="2043">
        <v>0</v>
      </c>
      <c r="DB660" s="2043">
        <v>24744</v>
      </c>
      <c r="DC660" s="2043">
        <v>0</v>
      </c>
      <c r="DI660" t="s">
        <v>5111</v>
      </c>
      <c r="DJ660" t="s">
        <v>5111</v>
      </c>
      <c r="DK660" s="2042">
        <f t="shared" si="12"/>
        <v>0</v>
      </c>
    </row>
    <row r="661" spans="1:115">
      <c r="A661" t="s">
        <v>3072</v>
      </c>
      <c r="B661" t="s">
        <v>2434</v>
      </c>
      <c r="C661">
        <v>680.11900000000003</v>
      </c>
      <c r="D661">
        <v>691.38499999999999</v>
      </c>
      <c r="E661">
        <v>72.14800000000001</v>
      </c>
      <c r="F661">
        <v>480427</v>
      </c>
      <c r="G661" s="2043">
        <v>283957701</v>
      </c>
      <c r="H661">
        <v>0</v>
      </c>
      <c r="I661" s="2043">
        <v>1722125</v>
      </c>
      <c r="J661">
        <v>34.006</v>
      </c>
      <c r="K661">
        <v>93</v>
      </c>
      <c r="L661">
        <v>0</v>
      </c>
      <c r="M661">
        <v>152500</v>
      </c>
      <c r="N661">
        <v>0</v>
      </c>
      <c r="O661">
        <v>152500</v>
      </c>
      <c r="P661">
        <v>0</v>
      </c>
      <c r="Q661">
        <v>0</v>
      </c>
      <c r="R661" s="2043">
        <v>2355139</v>
      </c>
      <c r="S661">
        <v>137278</v>
      </c>
      <c r="T661">
        <v>0</v>
      </c>
      <c r="U661">
        <v>0.05</v>
      </c>
      <c r="V661">
        <v>0</v>
      </c>
      <c r="W661">
        <v>0</v>
      </c>
      <c r="X661">
        <v>0</v>
      </c>
      <c r="Y661">
        <v>480427</v>
      </c>
      <c r="Z661">
        <v>0</v>
      </c>
      <c r="AA661">
        <v>2.9000000000000001E-2</v>
      </c>
      <c r="AB661">
        <v>659.59400000000005</v>
      </c>
      <c r="AC661" s="2043">
        <v>234052222</v>
      </c>
      <c r="AD661">
        <v>1411874</v>
      </c>
      <c r="AE661" s="2043">
        <v>2492417</v>
      </c>
      <c r="AF661">
        <v>0.90780000000000005</v>
      </c>
      <c r="AG661">
        <v>0</v>
      </c>
      <c r="AH661">
        <v>0</v>
      </c>
      <c r="AI661">
        <v>0</v>
      </c>
      <c r="AJ661">
        <v>98.350000000000009</v>
      </c>
      <c r="AK661">
        <v>2337</v>
      </c>
      <c r="AL661">
        <v>0</v>
      </c>
      <c r="AM661">
        <v>0</v>
      </c>
      <c r="AN661">
        <v>29.123000000000001</v>
      </c>
      <c r="AO661">
        <v>0</v>
      </c>
      <c r="AP661">
        <v>4.0620000000000003</v>
      </c>
      <c r="AQ661">
        <v>0</v>
      </c>
      <c r="AR661">
        <v>8.7530000000000001</v>
      </c>
      <c r="AS661">
        <v>0</v>
      </c>
      <c r="AT661">
        <v>0</v>
      </c>
      <c r="AU661">
        <v>0.64</v>
      </c>
      <c r="AV661">
        <v>0</v>
      </c>
      <c r="AW661">
        <v>13.455</v>
      </c>
      <c r="AX661">
        <v>0</v>
      </c>
      <c r="AY661">
        <v>40.426000000000002</v>
      </c>
      <c r="AZ661">
        <v>0</v>
      </c>
      <c r="BA661">
        <v>5885631</v>
      </c>
      <c r="BB661">
        <v>3904291</v>
      </c>
      <c r="BC661">
        <v>0</v>
      </c>
      <c r="BD661">
        <v>37180</v>
      </c>
      <c r="BE661">
        <v>17157</v>
      </c>
      <c r="BF661">
        <v>76844</v>
      </c>
      <c r="BG661">
        <v>37180</v>
      </c>
      <c r="BH661">
        <v>22507</v>
      </c>
      <c r="BI661">
        <v>0</v>
      </c>
      <c r="BJ661">
        <v>0</v>
      </c>
      <c r="BK661">
        <v>0</v>
      </c>
      <c r="BL661">
        <v>283957701</v>
      </c>
      <c r="BM661">
        <v>0</v>
      </c>
      <c r="BN661">
        <v>2304</v>
      </c>
      <c r="BO661">
        <v>2044</v>
      </c>
      <c r="BP661">
        <v>0</v>
      </c>
      <c r="BQ661">
        <v>0</v>
      </c>
      <c r="BR661">
        <v>0.85780000000000001</v>
      </c>
      <c r="BS661">
        <v>0.85780000000000001</v>
      </c>
      <c r="BT661">
        <v>0</v>
      </c>
      <c r="BU661">
        <v>0</v>
      </c>
      <c r="BV661">
        <v>1</v>
      </c>
      <c r="BW661">
        <v>411</v>
      </c>
      <c r="BX661">
        <v>1</v>
      </c>
      <c r="BY661">
        <v>1</v>
      </c>
      <c r="BZ661">
        <v>0</v>
      </c>
      <c r="CA661">
        <v>414</v>
      </c>
      <c r="CB661">
        <v>0</v>
      </c>
      <c r="CC661">
        <v>0</v>
      </c>
      <c r="CD661">
        <v>0</v>
      </c>
      <c r="CE661">
        <v>23</v>
      </c>
      <c r="CF661">
        <v>148.846</v>
      </c>
      <c r="CG661">
        <v>0</v>
      </c>
      <c r="CH661">
        <v>0</v>
      </c>
      <c r="CI661">
        <v>1</v>
      </c>
      <c r="CJ661">
        <v>3</v>
      </c>
      <c r="CK661">
        <v>0</v>
      </c>
      <c r="CL661">
        <v>0</v>
      </c>
      <c r="CM661">
        <v>72.14800000000001</v>
      </c>
      <c r="CN661">
        <v>0</v>
      </c>
      <c r="CO661">
        <v>0</v>
      </c>
      <c r="CP661">
        <v>0</v>
      </c>
      <c r="CQ661">
        <v>0</v>
      </c>
      <c r="CR661">
        <v>0</v>
      </c>
      <c r="CS661">
        <v>0</v>
      </c>
      <c r="CT661">
        <v>0</v>
      </c>
      <c r="CU661">
        <v>0</v>
      </c>
      <c r="CV661">
        <v>35.811</v>
      </c>
      <c r="CW661">
        <v>20.431000000000001</v>
      </c>
      <c r="CX661">
        <v>0</v>
      </c>
      <c r="CY661" s="2043">
        <v>0</v>
      </c>
      <c r="CZ661" s="2043">
        <v>0</v>
      </c>
      <c r="DA661" s="2043">
        <v>0</v>
      </c>
      <c r="DB661" s="2043">
        <v>480427</v>
      </c>
      <c r="DC661" s="2043">
        <v>0</v>
      </c>
      <c r="DI661" t="s">
        <v>5112</v>
      </c>
      <c r="DJ661" t="s">
        <v>3072</v>
      </c>
      <c r="DK661" s="2042">
        <f t="shared" si="12"/>
        <v>-1</v>
      </c>
    </row>
    <row r="662" spans="1:115">
      <c r="A662" t="s">
        <v>5112</v>
      </c>
      <c r="B662" t="s">
        <v>878</v>
      </c>
      <c r="C662">
        <v>1394.1210000000001</v>
      </c>
      <c r="D662">
        <v>1412.058</v>
      </c>
      <c r="E662">
        <v>135.304</v>
      </c>
      <c r="F662">
        <v>87215</v>
      </c>
      <c r="G662" s="2043">
        <v>688839735</v>
      </c>
      <c r="H662">
        <v>0</v>
      </c>
      <c r="I662" s="2043">
        <v>1422038</v>
      </c>
      <c r="J662">
        <v>69.706000000000003</v>
      </c>
      <c r="K662">
        <v>191</v>
      </c>
      <c r="L662">
        <v>0</v>
      </c>
      <c r="M662">
        <v>0</v>
      </c>
      <c r="N662">
        <v>0</v>
      </c>
      <c r="O662">
        <v>0</v>
      </c>
      <c r="P662">
        <v>0</v>
      </c>
      <c r="Q662">
        <v>0</v>
      </c>
      <c r="R662" s="2043">
        <v>5480917</v>
      </c>
      <c r="S662">
        <v>333389</v>
      </c>
      <c r="T662">
        <v>0</v>
      </c>
      <c r="U662">
        <v>0.05</v>
      </c>
      <c r="V662">
        <v>0</v>
      </c>
      <c r="W662">
        <v>0</v>
      </c>
      <c r="X662">
        <v>0</v>
      </c>
      <c r="Y662">
        <v>87215</v>
      </c>
      <c r="Z662">
        <v>0</v>
      </c>
      <c r="AA662">
        <v>0</v>
      </c>
      <c r="AB662">
        <v>1402.405</v>
      </c>
      <c r="AC662" s="2043">
        <v>548837112</v>
      </c>
      <c r="AD662">
        <v>1413997</v>
      </c>
      <c r="AE662" s="2043">
        <v>5814306</v>
      </c>
      <c r="AF662">
        <v>0.872</v>
      </c>
      <c r="AG662">
        <v>0</v>
      </c>
      <c r="AH662">
        <v>0</v>
      </c>
      <c r="AI662">
        <v>0</v>
      </c>
      <c r="AJ662">
        <v>231.9</v>
      </c>
      <c r="AK662">
        <v>5225</v>
      </c>
      <c r="AL662">
        <v>0.12300000000000001</v>
      </c>
      <c r="AM662">
        <v>6.1000000000000006E-2</v>
      </c>
      <c r="AN662">
        <v>109.929</v>
      </c>
      <c r="AO662">
        <v>0.70000000000000007</v>
      </c>
      <c r="AP662">
        <v>1.52</v>
      </c>
      <c r="AQ662">
        <v>0</v>
      </c>
      <c r="AR662">
        <v>15.177000000000001</v>
      </c>
      <c r="AS662">
        <v>0</v>
      </c>
      <c r="AT662">
        <v>6.6890000000000001</v>
      </c>
      <c r="AU662">
        <v>0.61899999999999999</v>
      </c>
      <c r="AV662">
        <v>0</v>
      </c>
      <c r="AW662">
        <v>24.189</v>
      </c>
      <c r="AX662">
        <v>0</v>
      </c>
      <c r="AY662">
        <v>73.594999999999999</v>
      </c>
      <c r="AZ662">
        <v>0</v>
      </c>
      <c r="BA662">
        <v>8505893</v>
      </c>
      <c r="BB662">
        <v>7228303</v>
      </c>
      <c r="BC662">
        <v>0</v>
      </c>
      <c r="BD662">
        <v>79753</v>
      </c>
      <c r="BE662">
        <v>13079</v>
      </c>
      <c r="BF662">
        <v>104050</v>
      </c>
      <c r="BG662">
        <v>79753</v>
      </c>
      <c r="BH662">
        <v>11218</v>
      </c>
      <c r="BI662">
        <v>0</v>
      </c>
      <c r="BJ662">
        <v>0</v>
      </c>
      <c r="BK662">
        <v>0</v>
      </c>
      <c r="BL662">
        <v>688839735</v>
      </c>
      <c r="BM662">
        <v>0</v>
      </c>
      <c r="BN662">
        <v>5364</v>
      </c>
      <c r="BO662">
        <v>3777</v>
      </c>
      <c r="BP662">
        <v>0</v>
      </c>
      <c r="BQ662">
        <v>0</v>
      </c>
      <c r="BR662">
        <v>0.82200000000000006</v>
      </c>
      <c r="BS662">
        <v>0.82200000000000006</v>
      </c>
      <c r="BT662">
        <v>0</v>
      </c>
      <c r="BU662">
        <v>0</v>
      </c>
      <c r="BV662">
        <v>189</v>
      </c>
      <c r="BW662">
        <v>312</v>
      </c>
      <c r="BX662">
        <v>156</v>
      </c>
      <c r="BY662">
        <v>256</v>
      </c>
      <c r="BZ662">
        <v>33</v>
      </c>
      <c r="CA662">
        <v>946</v>
      </c>
      <c r="CB662">
        <v>0</v>
      </c>
      <c r="CC662">
        <v>0</v>
      </c>
      <c r="CD662">
        <v>0</v>
      </c>
      <c r="CE662">
        <v>64</v>
      </c>
      <c r="CF662">
        <v>291.93600000000004</v>
      </c>
      <c r="CG662">
        <v>27.334</v>
      </c>
      <c r="CH662">
        <v>0.17300000000000001</v>
      </c>
      <c r="CI662">
        <v>0</v>
      </c>
      <c r="CJ662">
        <v>10</v>
      </c>
      <c r="CK662">
        <v>0</v>
      </c>
      <c r="CL662">
        <v>27.507000000000001</v>
      </c>
      <c r="CM662">
        <v>135.304</v>
      </c>
      <c r="CN662">
        <v>0</v>
      </c>
      <c r="CO662">
        <v>0</v>
      </c>
      <c r="CP662">
        <v>0</v>
      </c>
      <c r="CQ662">
        <v>0</v>
      </c>
      <c r="CR662">
        <v>0</v>
      </c>
      <c r="CS662">
        <v>0</v>
      </c>
      <c r="CT662">
        <v>0</v>
      </c>
      <c r="CU662">
        <v>5.0970000000000004</v>
      </c>
      <c r="CV662">
        <v>76.057000000000002</v>
      </c>
      <c r="CW662">
        <v>55.711000000000006</v>
      </c>
      <c r="CX662">
        <v>0</v>
      </c>
      <c r="CY662" s="2043">
        <v>0</v>
      </c>
      <c r="CZ662" s="2043">
        <v>0</v>
      </c>
      <c r="DA662" s="2043">
        <v>0</v>
      </c>
      <c r="DB662" s="2043">
        <v>87215</v>
      </c>
      <c r="DC662" s="2043">
        <v>0</v>
      </c>
      <c r="DI662" t="s">
        <v>3072</v>
      </c>
      <c r="DJ662" t="s">
        <v>5112</v>
      </c>
      <c r="DK662" s="2042">
        <f t="shared" si="12"/>
        <v>1</v>
      </c>
    </row>
    <row r="663" spans="1:115">
      <c r="A663" t="s">
        <v>5113</v>
      </c>
      <c r="B663" t="s">
        <v>474</v>
      </c>
      <c r="C663">
        <v>1090.8120000000001</v>
      </c>
      <c r="D663">
        <v>1132.229</v>
      </c>
      <c r="E663">
        <v>20.108000000000001</v>
      </c>
      <c r="F663">
        <v>0</v>
      </c>
      <c r="G663" s="2043">
        <v>1075009258</v>
      </c>
      <c r="H663">
        <v>0</v>
      </c>
      <c r="I663" s="2043">
        <v>1985250</v>
      </c>
      <c r="J663">
        <v>54.541000000000004</v>
      </c>
      <c r="K663">
        <v>149</v>
      </c>
      <c r="L663">
        <v>0</v>
      </c>
      <c r="M663">
        <v>0</v>
      </c>
      <c r="N663">
        <v>0</v>
      </c>
      <c r="O663">
        <v>0</v>
      </c>
      <c r="P663">
        <v>0</v>
      </c>
      <c r="Q663">
        <v>0</v>
      </c>
      <c r="R663" s="2043">
        <v>9379619</v>
      </c>
      <c r="S663">
        <v>821512</v>
      </c>
      <c r="T663">
        <v>65721</v>
      </c>
      <c r="U663">
        <v>0.08</v>
      </c>
      <c r="V663">
        <v>0</v>
      </c>
      <c r="W663">
        <v>0</v>
      </c>
      <c r="X663">
        <v>15018</v>
      </c>
      <c r="Y663">
        <v>1242070</v>
      </c>
      <c r="Z663">
        <v>0</v>
      </c>
      <c r="AA663">
        <v>0</v>
      </c>
      <c r="AB663">
        <v>1121.4270000000001</v>
      </c>
      <c r="AC663" s="2043">
        <v>1011370202</v>
      </c>
      <c r="AD663">
        <v>2041663</v>
      </c>
      <c r="AE663" s="2043">
        <v>10266852</v>
      </c>
      <c r="AF663">
        <v>0.99980000000000002</v>
      </c>
      <c r="AG663">
        <v>0</v>
      </c>
      <c r="AH663">
        <v>15018</v>
      </c>
      <c r="AI663">
        <v>0</v>
      </c>
      <c r="AJ663">
        <v>85.625</v>
      </c>
      <c r="AK663">
        <v>3254</v>
      </c>
      <c r="AL663">
        <v>2.2000000000000002E-2</v>
      </c>
      <c r="AM663">
        <v>0</v>
      </c>
      <c r="AN663">
        <v>57.454000000000001</v>
      </c>
      <c r="AO663">
        <v>0</v>
      </c>
      <c r="AP663">
        <v>4.4590000000000005</v>
      </c>
      <c r="AQ663">
        <v>0</v>
      </c>
      <c r="AR663">
        <v>9.8879999999999999</v>
      </c>
      <c r="AS663">
        <v>0</v>
      </c>
      <c r="AT663">
        <v>0</v>
      </c>
      <c r="AU663">
        <v>1.325</v>
      </c>
      <c r="AV663">
        <v>0</v>
      </c>
      <c r="AW663">
        <v>15.694000000000001</v>
      </c>
      <c r="AX663">
        <v>0</v>
      </c>
      <c r="AY663">
        <v>48.438000000000002</v>
      </c>
      <c r="AZ663">
        <v>0</v>
      </c>
      <c r="BA663">
        <v>2358553</v>
      </c>
      <c r="BB663">
        <v>12308515</v>
      </c>
      <c r="BC663">
        <v>0</v>
      </c>
      <c r="BD663">
        <v>148016</v>
      </c>
      <c r="BE663">
        <v>24330</v>
      </c>
      <c r="BF663">
        <v>235229</v>
      </c>
      <c r="BG663">
        <v>148016</v>
      </c>
      <c r="BH663">
        <v>62883</v>
      </c>
      <c r="BI663">
        <v>0</v>
      </c>
      <c r="BJ663">
        <v>0</v>
      </c>
      <c r="BK663">
        <v>0</v>
      </c>
      <c r="BL663">
        <v>1075009258</v>
      </c>
      <c r="BM663">
        <v>0</v>
      </c>
      <c r="BN663">
        <v>4293</v>
      </c>
      <c r="BO663">
        <v>417</v>
      </c>
      <c r="BP663">
        <v>0</v>
      </c>
      <c r="BQ663">
        <v>0</v>
      </c>
      <c r="BR663">
        <v>0.91339999999999999</v>
      </c>
      <c r="BS663">
        <v>0.91339999999999999</v>
      </c>
      <c r="BT663">
        <v>1242070</v>
      </c>
      <c r="BU663">
        <v>0</v>
      </c>
      <c r="BV663">
        <v>224</v>
      </c>
      <c r="BW663">
        <v>128</v>
      </c>
      <c r="BX663">
        <v>15</v>
      </c>
      <c r="BY663">
        <v>2</v>
      </c>
      <c r="BZ663">
        <v>2</v>
      </c>
      <c r="CA663">
        <v>371</v>
      </c>
      <c r="CB663">
        <v>0</v>
      </c>
      <c r="CC663">
        <v>0</v>
      </c>
      <c r="CD663">
        <v>0</v>
      </c>
      <c r="CE663">
        <v>111</v>
      </c>
      <c r="CF663">
        <v>120.694</v>
      </c>
      <c r="CG663">
        <v>0</v>
      </c>
      <c r="CH663">
        <v>0</v>
      </c>
      <c r="CI663">
        <v>3</v>
      </c>
      <c r="CJ663">
        <v>18</v>
      </c>
      <c r="CK663">
        <v>0</v>
      </c>
      <c r="CL663">
        <v>0</v>
      </c>
      <c r="CM663">
        <v>20.108000000000001</v>
      </c>
      <c r="CN663">
        <v>0</v>
      </c>
      <c r="CO663">
        <v>0</v>
      </c>
      <c r="CP663">
        <v>0</v>
      </c>
      <c r="CQ663">
        <v>0</v>
      </c>
      <c r="CR663">
        <v>0</v>
      </c>
      <c r="CS663">
        <v>0</v>
      </c>
      <c r="CT663">
        <v>0</v>
      </c>
      <c r="CU663">
        <v>3.8650000000000002</v>
      </c>
      <c r="CV663">
        <v>76.838999999999999</v>
      </c>
      <c r="CW663">
        <v>31.613000000000003</v>
      </c>
      <c r="CX663">
        <v>1242070</v>
      </c>
      <c r="CY663" s="2043">
        <v>0</v>
      </c>
      <c r="CZ663" s="2043">
        <v>0</v>
      </c>
      <c r="DA663" s="2043">
        <v>0</v>
      </c>
      <c r="DB663" s="2043">
        <v>0</v>
      </c>
      <c r="DC663" s="2043">
        <v>305962</v>
      </c>
      <c r="DI663" t="s">
        <v>5113</v>
      </c>
      <c r="DJ663" t="s">
        <v>5113</v>
      </c>
      <c r="DK663" s="2042">
        <f t="shared" si="12"/>
        <v>0</v>
      </c>
    </row>
    <row r="664" spans="1:115">
      <c r="A664" t="s">
        <v>5824</v>
      </c>
      <c r="B664" t="s">
        <v>2501</v>
      </c>
      <c r="C664">
        <v>333.613</v>
      </c>
      <c r="D664">
        <v>355.274</v>
      </c>
      <c r="E664">
        <v>0</v>
      </c>
      <c r="F664">
        <v>0</v>
      </c>
      <c r="G664" s="2043">
        <v>382046302</v>
      </c>
      <c r="H664">
        <v>0</v>
      </c>
      <c r="I664" s="2043">
        <v>0</v>
      </c>
      <c r="J664">
        <v>0</v>
      </c>
      <c r="K664">
        <v>0</v>
      </c>
      <c r="L664">
        <v>0</v>
      </c>
      <c r="M664">
        <v>0</v>
      </c>
      <c r="N664">
        <v>0</v>
      </c>
      <c r="O664">
        <v>0</v>
      </c>
      <c r="P664">
        <v>0</v>
      </c>
      <c r="Q664">
        <v>0</v>
      </c>
      <c r="R664" s="2043">
        <v>2785000</v>
      </c>
      <c r="S664">
        <v>0</v>
      </c>
      <c r="T664">
        <v>0</v>
      </c>
      <c r="U664">
        <v>0</v>
      </c>
      <c r="V664">
        <v>0</v>
      </c>
      <c r="W664">
        <v>0</v>
      </c>
      <c r="X664">
        <v>0</v>
      </c>
      <c r="Y664">
        <v>222848</v>
      </c>
      <c r="Z664">
        <v>0</v>
      </c>
      <c r="AA664">
        <v>0</v>
      </c>
      <c r="AB664">
        <v>328.76100000000002</v>
      </c>
      <c r="AC664" s="2043">
        <v>302680810</v>
      </c>
      <c r="AD664">
        <v>0</v>
      </c>
      <c r="AE664" s="2043">
        <v>2785000</v>
      </c>
      <c r="AF664">
        <v>0.90910000000000002</v>
      </c>
      <c r="AG664">
        <v>0</v>
      </c>
      <c r="AH664">
        <v>0</v>
      </c>
      <c r="AI664">
        <v>0</v>
      </c>
      <c r="AJ664">
        <v>44.913000000000004</v>
      </c>
      <c r="AK664">
        <v>1581</v>
      </c>
      <c r="AL664">
        <v>0</v>
      </c>
      <c r="AM664">
        <v>0</v>
      </c>
      <c r="AN664">
        <v>19.987000000000002</v>
      </c>
      <c r="AO664">
        <v>0</v>
      </c>
      <c r="AP664">
        <v>0</v>
      </c>
      <c r="AQ664">
        <v>0</v>
      </c>
      <c r="AR664">
        <v>2.323</v>
      </c>
      <c r="AS664">
        <v>0</v>
      </c>
      <c r="AT664">
        <v>4.5659999999999998</v>
      </c>
      <c r="AU664">
        <v>0.48100000000000004</v>
      </c>
      <c r="AV664">
        <v>0</v>
      </c>
      <c r="AW664">
        <v>7.37</v>
      </c>
      <c r="AX664">
        <v>0</v>
      </c>
      <c r="AY664">
        <v>23.072000000000003</v>
      </c>
      <c r="AZ664">
        <v>0</v>
      </c>
      <c r="BA664">
        <v>766871</v>
      </c>
      <c r="BB664">
        <v>2785000</v>
      </c>
      <c r="BC664">
        <v>0</v>
      </c>
      <c r="BD664">
        <v>32576</v>
      </c>
      <c r="BE664">
        <v>0</v>
      </c>
      <c r="BF664">
        <v>32576</v>
      </c>
      <c r="BG664">
        <v>32576</v>
      </c>
      <c r="BH664">
        <v>0</v>
      </c>
      <c r="BI664">
        <v>0</v>
      </c>
      <c r="BJ664">
        <v>0</v>
      </c>
      <c r="BK664">
        <v>0</v>
      </c>
      <c r="BL664">
        <v>382046302</v>
      </c>
      <c r="BM664">
        <v>0</v>
      </c>
      <c r="BN664">
        <v>1467</v>
      </c>
      <c r="BO664">
        <v>856</v>
      </c>
      <c r="BP664">
        <v>0</v>
      </c>
      <c r="BQ664">
        <v>0</v>
      </c>
      <c r="BR664">
        <v>0.90910000000000002</v>
      </c>
      <c r="BS664">
        <v>0.91339999999999999</v>
      </c>
      <c r="BT664">
        <v>222848</v>
      </c>
      <c r="BU664">
        <v>0</v>
      </c>
      <c r="BV664">
        <v>8</v>
      </c>
      <c r="BW664">
        <v>150</v>
      </c>
      <c r="BX664">
        <v>11</v>
      </c>
      <c r="BY664">
        <v>17</v>
      </c>
      <c r="BZ664">
        <v>1</v>
      </c>
      <c r="CA664">
        <v>187</v>
      </c>
      <c r="CB664">
        <v>0</v>
      </c>
      <c r="CC664">
        <v>0</v>
      </c>
      <c r="CD664">
        <v>0</v>
      </c>
      <c r="CE664">
        <v>75</v>
      </c>
      <c r="CF664">
        <v>75.353999999999999</v>
      </c>
      <c r="CG664">
        <v>0</v>
      </c>
      <c r="CH664">
        <v>0</v>
      </c>
      <c r="CI664">
        <v>5</v>
      </c>
      <c r="CJ664">
        <v>0</v>
      </c>
      <c r="CK664">
        <v>0</v>
      </c>
      <c r="CL664">
        <v>0</v>
      </c>
      <c r="CM664">
        <v>0</v>
      </c>
      <c r="CN664">
        <v>0</v>
      </c>
      <c r="CO664">
        <v>0</v>
      </c>
      <c r="CP664">
        <v>0</v>
      </c>
      <c r="CQ664">
        <v>0</v>
      </c>
      <c r="CR664">
        <v>0</v>
      </c>
      <c r="CS664">
        <v>0</v>
      </c>
      <c r="CT664">
        <v>0</v>
      </c>
      <c r="CU664">
        <v>0.497</v>
      </c>
      <c r="CV664">
        <v>18.978000000000002</v>
      </c>
      <c r="CW664">
        <v>14.096</v>
      </c>
      <c r="CX664">
        <v>222848</v>
      </c>
      <c r="CY664" s="2043">
        <v>0</v>
      </c>
      <c r="CZ664" s="2043">
        <v>0</v>
      </c>
      <c r="DA664" s="2043">
        <v>0</v>
      </c>
      <c r="DB664" s="2043">
        <v>0</v>
      </c>
      <c r="DC664" s="2043">
        <v>100841</v>
      </c>
      <c r="DI664" t="s">
        <v>5824</v>
      </c>
      <c r="DJ664" t="s">
        <v>5824</v>
      </c>
      <c r="DK664" s="2042">
        <f t="shared" si="12"/>
        <v>0</v>
      </c>
    </row>
    <row r="665" spans="1:115">
      <c r="A665" t="s">
        <v>3073</v>
      </c>
      <c r="B665" t="s">
        <v>836</v>
      </c>
      <c r="C665">
        <v>1353.752</v>
      </c>
      <c r="D665">
        <v>1360.9</v>
      </c>
      <c r="E665">
        <v>6.3320000000000007</v>
      </c>
      <c r="F665">
        <v>0</v>
      </c>
      <c r="G665" s="2043">
        <v>426440487</v>
      </c>
      <c r="H665">
        <v>0</v>
      </c>
      <c r="I665" s="2043">
        <v>1681652</v>
      </c>
      <c r="J665">
        <v>67.688000000000002</v>
      </c>
      <c r="K665">
        <v>185</v>
      </c>
      <c r="L665">
        <v>61653</v>
      </c>
      <c r="M665">
        <v>555004</v>
      </c>
      <c r="N665">
        <v>61653</v>
      </c>
      <c r="O665">
        <v>616657</v>
      </c>
      <c r="P665">
        <v>0</v>
      </c>
      <c r="Q665">
        <v>0</v>
      </c>
      <c r="R665" s="2043">
        <v>3658287</v>
      </c>
      <c r="S665">
        <v>336975</v>
      </c>
      <c r="T665">
        <v>245571</v>
      </c>
      <c r="U665">
        <v>0.08</v>
      </c>
      <c r="V665">
        <v>0</v>
      </c>
      <c r="W665">
        <v>0</v>
      </c>
      <c r="X665">
        <v>0</v>
      </c>
      <c r="Y665">
        <v>0</v>
      </c>
      <c r="Z665">
        <v>0</v>
      </c>
      <c r="AA665">
        <v>3.6000000000000004E-2</v>
      </c>
      <c r="AB665">
        <v>1360.9</v>
      </c>
      <c r="AC665" s="2043">
        <v>341194665</v>
      </c>
      <c r="AD665">
        <v>1633640</v>
      </c>
      <c r="AE665" s="2043">
        <v>4240833</v>
      </c>
      <c r="AF665">
        <v>1.0068000000000001</v>
      </c>
      <c r="AG665">
        <v>0</v>
      </c>
      <c r="AH665">
        <v>0</v>
      </c>
      <c r="AI665">
        <v>0</v>
      </c>
      <c r="AJ665">
        <v>163.97499999999999</v>
      </c>
      <c r="AK665">
        <v>6449</v>
      </c>
      <c r="AL665">
        <v>0</v>
      </c>
      <c r="AM665">
        <v>0</v>
      </c>
      <c r="AN665">
        <v>40.062000000000005</v>
      </c>
      <c r="AO665">
        <v>0</v>
      </c>
      <c r="AP665">
        <v>13.064</v>
      </c>
      <c r="AQ665">
        <v>0</v>
      </c>
      <c r="AR665">
        <v>44.122</v>
      </c>
      <c r="AS665">
        <v>0</v>
      </c>
      <c r="AT665">
        <v>2.0049999999999999</v>
      </c>
      <c r="AU665">
        <v>2.7410000000000001</v>
      </c>
      <c r="AV665">
        <v>0</v>
      </c>
      <c r="AW665">
        <v>61.932000000000002</v>
      </c>
      <c r="AX665">
        <v>0</v>
      </c>
      <c r="AY665">
        <v>187.35900000000001</v>
      </c>
      <c r="AZ665">
        <v>0</v>
      </c>
      <c r="BA665">
        <v>11804832</v>
      </c>
      <c r="BB665">
        <v>5874473</v>
      </c>
      <c r="BC665">
        <v>0</v>
      </c>
      <c r="BD665">
        <v>134160</v>
      </c>
      <c r="BE665">
        <v>40929</v>
      </c>
      <c r="BF665">
        <v>175089</v>
      </c>
      <c r="BG665">
        <v>134160</v>
      </c>
      <c r="BH665">
        <v>0</v>
      </c>
      <c r="BI665">
        <v>0</v>
      </c>
      <c r="BJ665">
        <v>0</v>
      </c>
      <c r="BK665">
        <v>0</v>
      </c>
      <c r="BL665">
        <v>426440487</v>
      </c>
      <c r="BM665">
        <v>0</v>
      </c>
      <c r="BN665">
        <v>5346</v>
      </c>
      <c r="BO665">
        <v>4794</v>
      </c>
      <c r="BP665">
        <v>0</v>
      </c>
      <c r="BQ665">
        <v>0</v>
      </c>
      <c r="BR665">
        <v>0.86850000000000005</v>
      </c>
      <c r="BS665">
        <v>0.86850000000000005</v>
      </c>
      <c r="BT665">
        <v>0</v>
      </c>
      <c r="BU665">
        <v>0</v>
      </c>
      <c r="BV665">
        <v>113</v>
      </c>
      <c r="BW665">
        <v>386</v>
      </c>
      <c r="BX665">
        <v>43</v>
      </c>
      <c r="BY665">
        <v>124</v>
      </c>
      <c r="BZ665">
        <v>13</v>
      </c>
      <c r="CA665">
        <v>679</v>
      </c>
      <c r="CB665">
        <v>0</v>
      </c>
      <c r="CC665">
        <v>0</v>
      </c>
      <c r="CD665">
        <v>0</v>
      </c>
      <c r="CE665">
        <v>126</v>
      </c>
      <c r="CF665">
        <v>224.858</v>
      </c>
      <c r="CG665">
        <v>0</v>
      </c>
      <c r="CH665">
        <v>0</v>
      </c>
      <c r="CI665">
        <v>2</v>
      </c>
      <c r="CJ665">
        <v>1</v>
      </c>
      <c r="CK665">
        <v>0</v>
      </c>
      <c r="CL665">
        <v>0</v>
      </c>
      <c r="CM665">
        <v>6.3320000000000007</v>
      </c>
      <c r="CN665">
        <v>0</v>
      </c>
      <c r="CO665">
        <v>0</v>
      </c>
      <c r="CP665">
        <v>0</v>
      </c>
      <c r="CQ665">
        <v>0</v>
      </c>
      <c r="CR665">
        <v>0</v>
      </c>
      <c r="CS665">
        <v>0</v>
      </c>
      <c r="CT665">
        <v>0</v>
      </c>
      <c r="CU665">
        <v>27.343</v>
      </c>
      <c r="CV665">
        <v>139.53200000000001</v>
      </c>
      <c r="CW665">
        <v>74.67</v>
      </c>
      <c r="CX665">
        <v>0</v>
      </c>
      <c r="CY665" s="2043">
        <v>0</v>
      </c>
      <c r="CZ665" s="2043">
        <v>0</v>
      </c>
      <c r="DA665" s="2043">
        <v>0</v>
      </c>
      <c r="DB665" s="2043">
        <v>0</v>
      </c>
      <c r="DC665" s="2043">
        <v>0</v>
      </c>
      <c r="DI665" t="s">
        <v>3073</v>
      </c>
      <c r="DJ665" t="s">
        <v>3073</v>
      </c>
      <c r="DK665" s="2042">
        <f t="shared" si="12"/>
        <v>0</v>
      </c>
    </row>
    <row r="666" spans="1:115">
      <c r="A666" t="s">
        <v>3074</v>
      </c>
      <c r="B666" t="s">
        <v>42</v>
      </c>
      <c r="C666">
        <v>1984.104</v>
      </c>
      <c r="D666">
        <v>1985.0350000000001</v>
      </c>
      <c r="E666">
        <v>179.86500000000001</v>
      </c>
      <c r="F666">
        <v>0</v>
      </c>
      <c r="G666" s="2043">
        <v>957378645</v>
      </c>
      <c r="H666">
        <v>0</v>
      </c>
      <c r="I666" s="2043">
        <v>551347</v>
      </c>
      <c r="J666">
        <v>99.204999999999998</v>
      </c>
      <c r="K666">
        <v>271</v>
      </c>
      <c r="L666">
        <v>0</v>
      </c>
      <c r="M666">
        <v>0</v>
      </c>
      <c r="N666">
        <v>0</v>
      </c>
      <c r="O666">
        <v>0</v>
      </c>
      <c r="P666">
        <v>0</v>
      </c>
      <c r="Q666">
        <v>0</v>
      </c>
      <c r="R666" s="2043">
        <v>8420081</v>
      </c>
      <c r="S666">
        <v>749785</v>
      </c>
      <c r="T666">
        <v>546405</v>
      </c>
      <c r="U666">
        <v>0.08</v>
      </c>
      <c r="V666">
        <v>0</v>
      </c>
      <c r="W666">
        <v>0</v>
      </c>
      <c r="X666">
        <v>0</v>
      </c>
      <c r="Y666">
        <v>0</v>
      </c>
      <c r="Z666">
        <v>0</v>
      </c>
      <c r="AA666">
        <v>0.12200000000000001</v>
      </c>
      <c r="AB666">
        <v>1985.0350000000001</v>
      </c>
      <c r="AC666" s="2043">
        <v>918491309</v>
      </c>
      <c r="AD666">
        <v>1209792</v>
      </c>
      <c r="AE666" s="2043">
        <v>9716271</v>
      </c>
      <c r="AF666">
        <v>1.0367</v>
      </c>
      <c r="AG666">
        <v>0</v>
      </c>
      <c r="AH666">
        <v>0</v>
      </c>
      <c r="AI666">
        <v>0</v>
      </c>
      <c r="AJ666">
        <v>427.113</v>
      </c>
      <c r="AK666">
        <v>8625</v>
      </c>
      <c r="AL666">
        <v>0.39500000000000002</v>
      </c>
      <c r="AM666">
        <v>0</v>
      </c>
      <c r="AN666">
        <v>47.484000000000002</v>
      </c>
      <c r="AO666">
        <v>0</v>
      </c>
      <c r="AP666">
        <v>0</v>
      </c>
      <c r="AQ666">
        <v>0</v>
      </c>
      <c r="AR666">
        <v>57.242000000000004</v>
      </c>
      <c r="AS666">
        <v>0</v>
      </c>
      <c r="AT666">
        <v>34.933</v>
      </c>
      <c r="AU666">
        <v>3.6620000000000004</v>
      </c>
      <c r="AV666">
        <v>0</v>
      </c>
      <c r="AW666">
        <v>96.231999999999999</v>
      </c>
      <c r="AX666">
        <v>0</v>
      </c>
      <c r="AY666">
        <v>296.81</v>
      </c>
      <c r="AZ666">
        <v>0</v>
      </c>
      <c r="BA666">
        <v>12198480</v>
      </c>
      <c r="BB666">
        <v>10926063</v>
      </c>
      <c r="BC666">
        <v>0</v>
      </c>
      <c r="BD666">
        <v>143756</v>
      </c>
      <c r="BE666">
        <v>47997</v>
      </c>
      <c r="BF666">
        <v>191753</v>
      </c>
      <c r="BG666">
        <v>143756</v>
      </c>
      <c r="BH666">
        <v>0</v>
      </c>
      <c r="BI666">
        <v>0</v>
      </c>
      <c r="BJ666">
        <v>0</v>
      </c>
      <c r="BK666">
        <v>0</v>
      </c>
      <c r="BL666">
        <v>957378645</v>
      </c>
      <c r="BM666">
        <v>0</v>
      </c>
      <c r="BN666">
        <v>8613</v>
      </c>
      <c r="BO666">
        <v>6559</v>
      </c>
      <c r="BP666">
        <v>0</v>
      </c>
      <c r="BQ666">
        <v>0</v>
      </c>
      <c r="BR666">
        <v>0.89840000000000009</v>
      </c>
      <c r="BS666">
        <v>0.89840000000000009</v>
      </c>
      <c r="BT666">
        <v>0</v>
      </c>
      <c r="BU666">
        <v>0</v>
      </c>
      <c r="BV666">
        <v>499</v>
      </c>
      <c r="BW666">
        <v>358</v>
      </c>
      <c r="BX666">
        <v>288</v>
      </c>
      <c r="BY666">
        <v>333</v>
      </c>
      <c r="BZ666">
        <v>256</v>
      </c>
      <c r="CA666">
        <v>1734</v>
      </c>
      <c r="CB666">
        <v>0</v>
      </c>
      <c r="CC666">
        <v>0</v>
      </c>
      <c r="CD666">
        <v>0</v>
      </c>
      <c r="CE666">
        <v>89</v>
      </c>
      <c r="CF666">
        <v>536.21900000000005</v>
      </c>
      <c r="CG666">
        <v>0</v>
      </c>
      <c r="CH666">
        <v>0</v>
      </c>
      <c r="CI666">
        <v>0</v>
      </c>
      <c r="CJ666">
        <v>6</v>
      </c>
      <c r="CK666">
        <v>0</v>
      </c>
      <c r="CL666">
        <v>0</v>
      </c>
      <c r="CM666">
        <v>179.86500000000001</v>
      </c>
      <c r="CN666">
        <v>0</v>
      </c>
      <c r="CO666">
        <v>0</v>
      </c>
      <c r="CP666">
        <v>0</v>
      </c>
      <c r="CQ666">
        <v>0</v>
      </c>
      <c r="CR666">
        <v>0</v>
      </c>
      <c r="CS666">
        <v>0</v>
      </c>
      <c r="CT666">
        <v>0</v>
      </c>
      <c r="CU666">
        <v>5.2840000000000007</v>
      </c>
      <c r="CV666">
        <v>166.73500000000001</v>
      </c>
      <c r="CW666">
        <v>67.712000000000003</v>
      </c>
      <c r="CX666">
        <v>0</v>
      </c>
      <c r="CY666" s="2043">
        <v>0</v>
      </c>
      <c r="CZ666" s="2043">
        <v>0</v>
      </c>
      <c r="DA666" s="2043">
        <v>0</v>
      </c>
      <c r="DB666" s="2043">
        <v>0</v>
      </c>
      <c r="DC666" s="2043">
        <v>0</v>
      </c>
      <c r="DI666" t="s">
        <v>3074</v>
      </c>
      <c r="DJ666" t="s">
        <v>3074</v>
      </c>
      <c r="DK666" s="2042">
        <f t="shared" si="12"/>
        <v>0</v>
      </c>
    </row>
    <row r="667" spans="1:115">
      <c r="A667" t="s">
        <v>3075</v>
      </c>
      <c r="B667" t="s">
        <v>52</v>
      </c>
      <c r="C667">
        <v>1337.14</v>
      </c>
      <c r="D667">
        <v>1306.6010000000001</v>
      </c>
      <c r="E667">
        <v>27.999000000000002</v>
      </c>
      <c r="F667">
        <v>0</v>
      </c>
      <c r="G667" s="2043">
        <v>357324470</v>
      </c>
      <c r="H667">
        <v>0</v>
      </c>
      <c r="I667" s="2043">
        <v>1434725</v>
      </c>
      <c r="J667">
        <v>66.856999999999999</v>
      </c>
      <c r="K667">
        <v>183</v>
      </c>
      <c r="L667">
        <v>84440</v>
      </c>
      <c r="M667">
        <v>272630</v>
      </c>
      <c r="N667">
        <v>84440</v>
      </c>
      <c r="O667">
        <v>357070</v>
      </c>
      <c r="P667">
        <v>0</v>
      </c>
      <c r="Q667">
        <v>0</v>
      </c>
      <c r="R667" s="2043">
        <v>2965997</v>
      </c>
      <c r="S667">
        <v>168964</v>
      </c>
      <c r="T667">
        <v>0</v>
      </c>
      <c r="U667">
        <v>0.05</v>
      </c>
      <c r="V667">
        <v>0</v>
      </c>
      <c r="W667">
        <v>0</v>
      </c>
      <c r="X667">
        <v>0</v>
      </c>
      <c r="Y667">
        <v>0</v>
      </c>
      <c r="Z667">
        <v>10.304</v>
      </c>
      <c r="AA667">
        <v>0.19</v>
      </c>
      <c r="AB667">
        <v>1306.6010000000001</v>
      </c>
      <c r="AC667" s="2043">
        <v>307105980</v>
      </c>
      <c r="AD667">
        <v>1123691</v>
      </c>
      <c r="AE667" s="2043">
        <v>3134961</v>
      </c>
      <c r="AF667">
        <v>0.92770000000000008</v>
      </c>
      <c r="AG667">
        <v>0</v>
      </c>
      <c r="AH667">
        <v>0</v>
      </c>
      <c r="AI667">
        <v>0</v>
      </c>
      <c r="AJ667">
        <v>252.05</v>
      </c>
      <c r="AK667">
        <v>6421</v>
      </c>
      <c r="AL667">
        <v>3.0000000000000001E-3</v>
      </c>
      <c r="AM667">
        <v>0</v>
      </c>
      <c r="AN667">
        <v>67.322000000000003</v>
      </c>
      <c r="AO667">
        <v>0</v>
      </c>
      <c r="AP667">
        <v>0</v>
      </c>
      <c r="AQ667">
        <v>0</v>
      </c>
      <c r="AR667">
        <v>39.465000000000003</v>
      </c>
      <c r="AS667">
        <v>0</v>
      </c>
      <c r="AT667">
        <v>8.484</v>
      </c>
      <c r="AU667">
        <v>3.1470000000000002</v>
      </c>
      <c r="AV667">
        <v>0</v>
      </c>
      <c r="AW667">
        <v>51.099000000000004</v>
      </c>
      <c r="AX667">
        <v>0</v>
      </c>
      <c r="AY667">
        <v>159.59700000000001</v>
      </c>
      <c r="AZ667">
        <v>0</v>
      </c>
      <c r="BA667">
        <v>11733958</v>
      </c>
      <c r="BB667">
        <v>4258652</v>
      </c>
      <c r="BC667">
        <v>0</v>
      </c>
      <c r="BD667">
        <v>86248</v>
      </c>
      <c r="BE667">
        <v>18385</v>
      </c>
      <c r="BF667">
        <v>104633</v>
      </c>
      <c r="BG667">
        <v>86248</v>
      </c>
      <c r="BH667">
        <v>0</v>
      </c>
      <c r="BI667">
        <v>0</v>
      </c>
      <c r="BJ667">
        <v>0</v>
      </c>
      <c r="BK667">
        <v>0</v>
      </c>
      <c r="BL667">
        <v>357324470</v>
      </c>
      <c r="BM667">
        <v>0</v>
      </c>
      <c r="BN667">
        <v>4428</v>
      </c>
      <c r="BO667">
        <v>4109</v>
      </c>
      <c r="BP667">
        <v>0</v>
      </c>
      <c r="BQ667">
        <v>0</v>
      </c>
      <c r="BR667">
        <v>0.87770000000000004</v>
      </c>
      <c r="BS667">
        <v>0.87770000000000004</v>
      </c>
      <c r="BT667">
        <v>0</v>
      </c>
      <c r="BU667">
        <v>0</v>
      </c>
      <c r="BV667">
        <v>174</v>
      </c>
      <c r="BW667">
        <v>129</v>
      </c>
      <c r="BX667">
        <v>323</v>
      </c>
      <c r="BY667">
        <v>151</v>
      </c>
      <c r="BZ667">
        <v>225</v>
      </c>
      <c r="CA667">
        <v>1002</v>
      </c>
      <c r="CB667">
        <v>0</v>
      </c>
      <c r="CC667">
        <v>0</v>
      </c>
      <c r="CD667">
        <v>0</v>
      </c>
      <c r="CE667">
        <v>56</v>
      </c>
      <c r="CF667">
        <v>285.53300000000002</v>
      </c>
      <c r="CG667">
        <v>0</v>
      </c>
      <c r="CH667">
        <v>0</v>
      </c>
      <c r="CI667">
        <v>0</v>
      </c>
      <c r="CJ667">
        <v>3</v>
      </c>
      <c r="CK667">
        <v>0</v>
      </c>
      <c r="CL667">
        <v>0</v>
      </c>
      <c r="CM667">
        <v>27.999000000000002</v>
      </c>
      <c r="CN667">
        <v>0</v>
      </c>
      <c r="CO667">
        <v>0</v>
      </c>
      <c r="CP667">
        <v>0</v>
      </c>
      <c r="CQ667">
        <v>0</v>
      </c>
      <c r="CR667">
        <v>0</v>
      </c>
      <c r="CS667">
        <v>0</v>
      </c>
      <c r="CT667">
        <v>0</v>
      </c>
      <c r="CU667">
        <v>3.35</v>
      </c>
      <c r="CV667">
        <v>139.25300000000001</v>
      </c>
      <c r="CW667">
        <v>33.99</v>
      </c>
      <c r="CX667">
        <v>0</v>
      </c>
      <c r="CY667" s="2043">
        <v>0</v>
      </c>
      <c r="CZ667" s="2043">
        <v>0</v>
      </c>
      <c r="DA667" s="2043">
        <v>0</v>
      </c>
      <c r="DB667" s="2043">
        <v>0</v>
      </c>
      <c r="DC667" s="2043">
        <v>0</v>
      </c>
      <c r="DI667" t="s">
        <v>3075</v>
      </c>
      <c r="DJ667" t="s">
        <v>3075</v>
      </c>
      <c r="DK667" s="2042">
        <f t="shared" si="12"/>
        <v>0</v>
      </c>
    </row>
    <row r="668" spans="1:115">
      <c r="A668" t="s">
        <v>5114</v>
      </c>
      <c r="B668" t="s">
        <v>2502</v>
      </c>
      <c r="C668">
        <v>362.45300000000003</v>
      </c>
      <c r="D668">
        <v>388.339</v>
      </c>
      <c r="E668">
        <v>6.8070000000000004</v>
      </c>
      <c r="F668">
        <v>0</v>
      </c>
      <c r="G668" s="2043">
        <v>343034733</v>
      </c>
      <c r="H668">
        <v>0</v>
      </c>
      <c r="I668" s="2043">
        <v>485000</v>
      </c>
      <c r="J668">
        <v>8</v>
      </c>
      <c r="K668">
        <v>22</v>
      </c>
      <c r="L668">
        <v>0</v>
      </c>
      <c r="M668">
        <v>0</v>
      </c>
      <c r="N668">
        <v>0</v>
      </c>
      <c r="O668">
        <v>0</v>
      </c>
      <c r="P668">
        <v>0</v>
      </c>
      <c r="Q668">
        <v>0</v>
      </c>
      <c r="R668" s="2043">
        <v>3068941</v>
      </c>
      <c r="S668">
        <v>268793</v>
      </c>
      <c r="T668">
        <v>195883</v>
      </c>
      <c r="U668">
        <v>0.08</v>
      </c>
      <c r="V668">
        <v>0</v>
      </c>
      <c r="W668">
        <v>0</v>
      </c>
      <c r="X668">
        <v>3693</v>
      </c>
      <c r="Y668">
        <v>26312</v>
      </c>
      <c r="Z668">
        <v>0.96400000000000008</v>
      </c>
      <c r="AA668">
        <v>0</v>
      </c>
      <c r="AB668">
        <v>367.2</v>
      </c>
      <c r="AC668" s="2043">
        <v>374435838</v>
      </c>
      <c r="AD668">
        <v>473911</v>
      </c>
      <c r="AE668" s="2043">
        <v>3533617</v>
      </c>
      <c r="AF668">
        <v>1.0517000000000001</v>
      </c>
      <c r="AG668">
        <v>0</v>
      </c>
      <c r="AH668">
        <v>3693</v>
      </c>
      <c r="AI668">
        <v>0</v>
      </c>
      <c r="AJ668">
        <v>36.975000000000001</v>
      </c>
      <c r="AK668">
        <v>1679</v>
      </c>
      <c r="AL668">
        <v>0</v>
      </c>
      <c r="AM668">
        <v>0</v>
      </c>
      <c r="AN668">
        <v>16.920999999999999</v>
      </c>
      <c r="AO668">
        <v>0</v>
      </c>
      <c r="AP668">
        <v>0</v>
      </c>
      <c r="AQ668">
        <v>0</v>
      </c>
      <c r="AR668">
        <v>6.6640000000000006</v>
      </c>
      <c r="AS668">
        <v>0</v>
      </c>
      <c r="AT668">
        <v>2.2640000000000002</v>
      </c>
      <c r="AU668">
        <v>0.50600000000000001</v>
      </c>
      <c r="AV668">
        <v>0</v>
      </c>
      <c r="AW668">
        <v>9.4340000000000011</v>
      </c>
      <c r="AX668">
        <v>0</v>
      </c>
      <c r="AY668">
        <v>29.314</v>
      </c>
      <c r="AZ668">
        <v>0</v>
      </c>
      <c r="BA668">
        <v>1372074</v>
      </c>
      <c r="BB668">
        <v>4007528</v>
      </c>
      <c r="BC668">
        <v>0</v>
      </c>
      <c r="BD668">
        <v>12070</v>
      </c>
      <c r="BE668">
        <v>0</v>
      </c>
      <c r="BF668">
        <v>12070</v>
      </c>
      <c r="BG668">
        <v>12070</v>
      </c>
      <c r="BH668">
        <v>0</v>
      </c>
      <c r="BI668">
        <v>0</v>
      </c>
      <c r="BJ668">
        <v>0</v>
      </c>
      <c r="BK668">
        <v>0</v>
      </c>
      <c r="BL668">
        <v>343034733</v>
      </c>
      <c r="BM668">
        <v>0</v>
      </c>
      <c r="BN668">
        <v>1395</v>
      </c>
      <c r="BO668">
        <v>1380</v>
      </c>
      <c r="BP668">
        <v>0</v>
      </c>
      <c r="BQ668">
        <v>0</v>
      </c>
      <c r="BR668">
        <v>0.91339999999999999</v>
      </c>
      <c r="BS668">
        <v>0.91339999999999999</v>
      </c>
      <c r="BT668">
        <v>0</v>
      </c>
      <c r="BU668">
        <v>26312</v>
      </c>
      <c r="BV668">
        <v>31</v>
      </c>
      <c r="BW668">
        <v>122</v>
      </c>
      <c r="BX668">
        <v>2</v>
      </c>
      <c r="BY668">
        <v>2</v>
      </c>
      <c r="BZ668">
        <v>0</v>
      </c>
      <c r="CA668">
        <v>157</v>
      </c>
      <c r="CB668">
        <v>0</v>
      </c>
      <c r="CC668">
        <v>0</v>
      </c>
      <c r="CD668">
        <v>0</v>
      </c>
      <c r="CE668">
        <v>18</v>
      </c>
      <c r="CF668">
        <v>40.5</v>
      </c>
      <c r="CG668">
        <v>0</v>
      </c>
      <c r="CH668">
        <v>0</v>
      </c>
      <c r="CI668">
        <v>1</v>
      </c>
      <c r="CJ668">
        <v>0</v>
      </c>
      <c r="CK668">
        <v>0</v>
      </c>
      <c r="CL668">
        <v>0</v>
      </c>
      <c r="CM668">
        <v>6.8070000000000004</v>
      </c>
      <c r="CN668">
        <v>0</v>
      </c>
      <c r="CO668">
        <v>0</v>
      </c>
      <c r="CP668">
        <v>0</v>
      </c>
      <c r="CQ668">
        <v>0</v>
      </c>
      <c r="CR668">
        <v>0</v>
      </c>
      <c r="CS668">
        <v>0</v>
      </c>
      <c r="CT668">
        <v>0</v>
      </c>
      <c r="CU668">
        <v>0</v>
      </c>
      <c r="CV668">
        <v>40.762</v>
      </c>
      <c r="CW668">
        <v>12.924000000000001</v>
      </c>
      <c r="CX668">
        <v>0</v>
      </c>
      <c r="CY668" s="2043">
        <v>0</v>
      </c>
      <c r="CZ668" s="2043">
        <v>0</v>
      </c>
      <c r="DA668" s="2043">
        <v>0</v>
      </c>
      <c r="DB668" s="2043">
        <v>0</v>
      </c>
      <c r="DC668" s="2043">
        <v>0</v>
      </c>
      <c r="DI668" t="s">
        <v>5114</v>
      </c>
      <c r="DJ668" t="s">
        <v>5114</v>
      </c>
      <c r="DK668" s="2042">
        <f t="shared" si="12"/>
        <v>0</v>
      </c>
    </row>
    <row r="669" spans="1:115">
      <c r="A669" t="s">
        <v>5825</v>
      </c>
      <c r="B669" t="s">
        <v>2503</v>
      </c>
      <c r="C669">
        <v>162.62300000000002</v>
      </c>
      <c r="D669">
        <v>202.035</v>
      </c>
      <c r="E669">
        <v>17.853999999999999</v>
      </c>
      <c r="F669">
        <v>0</v>
      </c>
      <c r="G669" s="2043">
        <v>228578476</v>
      </c>
      <c r="H669">
        <v>0</v>
      </c>
      <c r="I669" s="2043">
        <v>0</v>
      </c>
      <c r="J669">
        <v>8.1310000000000002</v>
      </c>
      <c r="K669">
        <v>22</v>
      </c>
      <c r="L669">
        <v>0</v>
      </c>
      <c r="M669">
        <v>0</v>
      </c>
      <c r="N669">
        <v>0</v>
      </c>
      <c r="O669">
        <v>0</v>
      </c>
      <c r="P669">
        <v>0</v>
      </c>
      <c r="Q669">
        <v>0</v>
      </c>
      <c r="R669" s="2043">
        <v>1809201</v>
      </c>
      <c r="S669">
        <v>157940</v>
      </c>
      <c r="T669">
        <v>76206</v>
      </c>
      <c r="U669">
        <v>0.08</v>
      </c>
      <c r="V669">
        <v>0</v>
      </c>
      <c r="W669">
        <v>0</v>
      </c>
      <c r="X669">
        <v>20847</v>
      </c>
      <c r="Y669">
        <v>0</v>
      </c>
      <c r="Z669">
        <v>0</v>
      </c>
      <c r="AA669">
        <v>0</v>
      </c>
      <c r="AB669">
        <v>185.70400000000001</v>
      </c>
      <c r="AC669" s="2043">
        <v>211082156</v>
      </c>
      <c r="AD669">
        <v>0</v>
      </c>
      <c r="AE669" s="2043">
        <v>2043347</v>
      </c>
      <c r="AF669">
        <v>1.0350000000000001</v>
      </c>
      <c r="AG669">
        <v>0</v>
      </c>
      <c r="AH669">
        <v>20847</v>
      </c>
      <c r="AI669">
        <v>0</v>
      </c>
      <c r="AJ669">
        <v>21.425000000000001</v>
      </c>
      <c r="AK669">
        <v>849</v>
      </c>
      <c r="AL669">
        <v>0</v>
      </c>
      <c r="AM669">
        <v>0</v>
      </c>
      <c r="AN669">
        <v>20.259</v>
      </c>
      <c r="AO669">
        <v>0</v>
      </c>
      <c r="AP669">
        <v>0</v>
      </c>
      <c r="AQ669">
        <v>0</v>
      </c>
      <c r="AR669">
        <v>0</v>
      </c>
      <c r="AS669">
        <v>0</v>
      </c>
      <c r="AT669">
        <v>0</v>
      </c>
      <c r="AU669">
        <v>8.1000000000000003E-2</v>
      </c>
      <c r="AV669">
        <v>0</v>
      </c>
      <c r="AW669">
        <v>8.1000000000000003E-2</v>
      </c>
      <c r="AX669">
        <v>0</v>
      </c>
      <c r="AY669">
        <v>0.40500000000000003</v>
      </c>
      <c r="AZ669">
        <v>0</v>
      </c>
      <c r="BA669">
        <v>171349</v>
      </c>
      <c r="BB669">
        <v>2043347</v>
      </c>
      <c r="BC669">
        <v>8161</v>
      </c>
      <c r="BD669">
        <v>0</v>
      </c>
      <c r="BE669">
        <v>0</v>
      </c>
      <c r="BF669">
        <v>8161</v>
      </c>
      <c r="BG669">
        <v>8161</v>
      </c>
      <c r="BH669">
        <v>0</v>
      </c>
      <c r="BI669">
        <v>0</v>
      </c>
      <c r="BJ669">
        <v>0</v>
      </c>
      <c r="BK669">
        <v>0</v>
      </c>
      <c r="BL669">
        <v>228578476</v>
      </c>
      <c r="BM669">
        <v>0</v>
      </c>
      <c r="BN669">
        <v>828</v>
      </c>
      <c r="BO669">
        <v>353</v>
      </c>
      <c r="BP669">
        <v>0</v>
      </c>
      <c r="BQ669">
        <v>0</v>
      </c>
      <c r="BR669">
        <v>0.91639999999999999</v>
      </c>
      <c r="BS669">
        <v>0.91639999999999999</v>
      </c>
      <c r="BT669">
        <v>0</v>
      </c>
      <c r="BU669">
        <v>0</v>
      </c>
      <c r="BV669">
        <v>18</v>
      </c>
      <c r="BW669">
        <v>70</v>
      </c>
      <c r="BX669">
        <v>3</v>
      </c>
      <c r="BY669">
        <v>0</v>
      </c>
      <c r="BZ669">
        <v>0</v>
      </c>
      <c r="CA669">
        <v>91</v>
      </c>
      <c r="CB669">
        <v>0</v>
      </c>
      <c r="CC669">
        <v>0</v>
      </c>
      <c r="CD669">
        <v>0</v>
      </c>
      <c r="CE669">
        <v>3</v>
      </c>
      <c r="CF669">
        <v>15.759</v>
      </c>
      <c r="CG669">
        <v>0</v>
      </c>
      <c r="CH669">
        <v>0</v>
      </c>
      <c r="CI669">
        <v>0</v>
      </c>
      <c r="CJ669">
        <v>0</v>
      </c>
      <c r="CK669">
        <v>0</v>
      </c>
      <c r="CL669">
        <v>0</v>
      </c>
      <c r="CM669">
        <v>17.853999999999999</v>
      </c>
      <c r="CN669">
        <v>0</v>
      </c>
      <c r="CO669">
        <v>0</v>
      </c>
      <c r="CP669">
        <v>0</v>
      </c>
      <c r="CQ669">
        <v>0</v>
      </c>
      <c r="CR669">
        <v>0</v>
      </c>
      <c r="CS669">
        <v>0</v>
      </c>
      <c r="CT669">
        <v>0</v>
      </c>
      <c r="CU669">
        <v>0</v>
      </c>
      <c r="CV669">
        <v>8.4210000000000012</v>
      </c>
      <c r="CW669">
        <v>10.205</v>
      </c>
      <c r="CX669">
        <v>0</v>
      </c>
      <c r="CY669" s="2043">
        <v>0</v>
      </c>
      <c r="CZ669" s="2043">
        <v>0</v>
      </c>
      <c r="DA669" s="2043">
        <v>0</v>
      </c>
      <c r="DB669" s="2043">
        <v>0</v>
      </c>
      <c r="DC669" s="2043">
        <v>75000</v>
      </c>
      <c r="DI669" t="s">
        <v>5825</v>
      </c>
      <c r="DJ669" t="s">
        <v>5825</v>
      </c>
      <c r="DK669" s="2042">
        <f t="shared" si="12"/>
        <v>0</v>
      </c>
    </row>
    <row r="670" spans="1:115">
      <c r="A670" t="s">
        <v>8049</v>
      </c>
      <c r="B670" t="s">
        <v>11370</v>
      </c>
      <c r="C670">
        <v>26.976000000000003</v>
      </c>
      <c r="D670">
        <v>37.393000000000001</v>
      </c>
      <c r="E670">
        <v>0</v>
      </c>
      <c r="F670">
        <v>0</v>
      </c>
      <c r="G670" s="2043">
        <v>0</v>
      </c>
      <c r="H670">
        <v>0</v>
      </c>
      <c r="I670" s="2043">
        <v>0</v>
      </c>
      <c r="J670">
        <v>1.349</v>
      </c>
      <c r="K670">
        <v>4</v>
      </c>
      <c r="L670">
        <v>0</v>
      </c>
      <c r="M670">
        <v>0</v>
      </c>
      <c r="N670">
        <v>0</v>
      </c>
      <c r="O670">
        <v>0</v>
      </c>
      <c r="P670">
        <v>0</v>
      </c>
      <c r="Q670">
        <v>0</v>
      </c>
      <c r="R670" s="2043">
        <v>0</v>
      </c>
      <c r="S670">
        <v>0</v>
      </c>
      <c r="T670">
        <v>0</v>
      </c>
      <c r="U670">
        <v>0</v>
      </c>
      <c r="V670">
        <v>0</v>
      </c>
      <c r="W670">
        <v>0</v>
      </c>
      <c r="X670">
        <v>0</v>
      </c>
      <c r="Y670">
        <v>0</v>
      </c>
      <c r="Z670">
        <v>0</v>
      </c>
      <c r="AA670">
        <v>0</v>
      </c>
      <c r="AB670">
        <v>37.393000000000001</v>
      </c>
      <c r="AC670" s="2043">
        <v>0</v>
      </c>
      <c r="AD670">
        <v>0</v>
      </c>
      <c r="AE670" s="2043">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271568</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N670">
        <v>0</v>
      </c>
      <c r="CO670">
        <v>0</v>
      </c>
      <c r="CP670">
        <v>0</v>
      </c>
      <c r="CQ670">
        <v>0</v>
      </c>
      <c r="CR670">
        <v>0</v>
      </c>
      <c r="CS670">
        <v>0</v>
      </c>
      <c r="CT670">
        <v>0</v>
      </c>
      <c r="CU670">
        <v>0</v>
      </c>
      <c r="CV670">
        <v>0</v>
      </c>
      <c r="CW670">
        <v>0</v>
      </c>
      <c r="CX670">
        <v>0</v>
      </c>
      <c r="CY670" s="2043">
        <v>0</v>
      </c>
      <c r="CZ670" s="2043">
        <v>0</v>
      </c>
      <c r="DA670" s="2043">
        <v>0</v>
      </c>
      <c r="DB670" s="2043">
        <v>0</v>
      </c>
      <c r="DC670" s="2043">
        <v>0</v>
      </c>
      <c r="DI670" t="s">
        <v>5826</v>
      </c>
      <c r="DJ670" t="s">
        <v>8049</v>
      </c>
      <c r="DK670" s="2042">
        <f t="shared" si="12"/>
        <v>-601</v>
      </c>
    </row>
    <row r="671" spans="1:115">
      <c r="A671" t="s">
        <v>5826</v>
      </c>
      <c r="B671" t="s">
        <v>2504</v>
      </c>
      <c r="C671">
        <v>34.317</v>
      </c>
      <c r="D671">
        <v>41.356999999999999</v>
      </c>
      <c r="E671">
        <v>5.4160000000000004</v>
      </c>
      <c r="F671">
        <v>0</v>
      </c>
      <c r="G671" s="2043">
        <v>55191358</v>
      </c>
      <c r="H671">
        <v>0</v>
      </c>
      <c r="I671" s="2043">
        <v>0</v>
      </c>
      <c r="J671">
        <v>1</v>
      </c>
      <c r="K671">
        <v>3</v>
      </c>
      <c r="L671">
        <v>0</v>
      </c>
      <c r="M671">
        <v>0</v>
      </c>
      <c r="N671">
        <v>0</v>
      </c>
      <c r="O671">
        <v>0</v>
      </c>
      <c r="P671">
        <v>0</v>
      </c>
      <c r="Q671">
        <v>0</v>
      </c>
      <c r="R671" s="2043">
        <v>478956</v>
      </c>
      <c r="S671">
        <v>27044</v>
      </c>
      <c r="T671">
        <v>0</v>
      </c>
      <c r="U671">
        <v>0.05</v>
      </c>
      <c r="V671">
        <v>0</v>
      </c>
      <c r="W671">
        <v>0</v>
      </c>
      <c r="X671">
        <v>0</v>
      </c>
      <c r="Y671">
        <v>0</v>
      </c>
      <c r="Z671">
        <v>0</v>
      </c>
      <c r="AA671">
        <v>0</v>
      </c>
      <c r="AB671">
        <v>41.356999999999999</v>
      </c>
      <c r="AC671" s="2043">
        <v>52711176</v>
      </c>
      <c r="AD671">
        <v>0</v>
      </c>
      <c r="AE671" s="2043">
        <v>506000</v>
      </c>
      <c r="AF671">
        <v>0.9355</v>
      </c>
      <c r="AG671">
        <v>0</v>
      </c>
      <c r="AH671">
        <v>0</v>
      </c>
      <c r="AI671">
        <v>0</v>
      </c>
      <c r="AJ671">
        <v>5.3380000000000001</v>
      </c>
      <c r="AK671">
        <v>162</v>
      </c>
      <c r="AL671">
        <v>0</v>
      </c>
      <c r="AM671">
        <v>0</v>
      </c>
      <c r="AN671">
        <v>2.8820000000000001</v>
      </c>
      <c r="AO671">
        <v>0</v>
      </c>
      <c r="AP671">
        <v>0</v>
      </c>
      <c r="AQ671">
        <v>0</v>
      </c>
      <c r="AR671">
        <v>0.33200000000000002</v>
      </c>
      <c r="AS671">
        <v>0</v>
      </c>
      <c r="AT671">
        <v>0</v>
      </c>
      <c r="AU671">
        <v>0.04</v>
      </c>
      <c r="AV671">
        <v>0</v>
      </c>
      <c r="AW671">
        <v>0.372</v>
      </c>
      <c r="AX671">
        <v>0</v>
      </c>
      <c r="AY671">
        <v>1.196</v>
      </c>
      <c r="AZ671">
        <v>0</v>
      </c>
      <c r="BA671">
        <v>1031088</v>
      </c>
      <c r="BB671">
        <v>506000</v>
      </c>
      <c r="BC671">
        <v>0</v>
      </c>
      <c r="BD671">
        <v>33780</v>
      </c>
      <c r="BE671">
        <v>0</v>
      </c>
      <c r="BF671">
        <v>35511</v>
      </c>
      <c r="BG671">
        <v>33780</v>
      </c>
      <c r="BH671">
        <v>1731</v>
      </c>
      <c r="BI671">
        <v>0</v>
      </c>
      <c r="BJ671">
        <v>0</v>
      </c>
      <c r="BK671">
        <v>0</v>
      </c>
      <c r="BL671">
        <v>55191358</v>
      </c>
      <c r="BM671">
        <v>0</v>
      </c>
      <c r="BN671">
        <v>450</v>
      </c>
      <c r="BO671">
        <v>43</v>
      </c>
      <c r="BP671">
        <v>0</v>
      </c>
      <c r="BQ671">
        <v>0</v>
      </c>
      <c r="BR671">
        <v>0.88550000000000006</v>
      </c>
      <c r="BS671">
        <v>0.88550000000000006</v>
      </c>
      <c r="BT671">
        <v>0</v>
      </c>
      <c r="BU671">
        <v>0</v>
      </c>
      <c r="BV671">
        <v>8</v>
      </c>
      <c r="BW671">
        <v>1</v>
      </c>
      <c r="BX671">
        <v>0</v>
      </c>
      <c r="BY671">
        <v>0</v>
      </c>
      <c r="BZ671">
        <v>12</v>
      </c>
      <c r="CA671">
        <v>21</v>
      </c>
      <c r="CB671">
        <v>0</v>
      </c>
      <c r="CC671">
        <v>0</v>
      </c>
      <c r="CD671">
        <v>0</v>
      </c>
      <c r="CE671">
        <v>2</v>
      </c>
      <c r="CF671">
        <v>2.4890000000000003</v>
      </c>
      <c r="CG671">
        <v>0</v>
      </c>
      <c r="CH671">
        <v>0</v>
      </c>
      <c r="CI671">
        <v>0</v>
      </c>
      <c r="CJ671">
        <v>0</v>
      </c>
      <c r="CK671">
        <v>0</v>
      </c>
      <c r="CL671">
        <v>0</v>
      </c>
      <c r="CM671">
        <v>5.4160000000000004</v>
      </c>
      <c r="CN671">
        <v>0</v>
      </c>
      <c r="CO671">
        <v>0</v>
      </c>
      <c r="CP671">
        <v>0</v>
      </c>
      <c r="CQ671">
        <v>0</v>
      </c>
      <c r="CR671">
        <v>0</v>
      </c>
      <c r="CS671">
        <v>0</v>
      </c>
      <c r="CT671">
        <v>0</v>
      </c>
      <c r="CU671">
        <v>0.80800000000000005</v>
      </c>
      <c r="CV671">
        <v>1.9550000000000001</v>
      </c>
      <c r="CW671">
        <v>0.86699999999999999</v>
      </c>
      <c r="CX671">
        <v>0</v>
      </c>
      <c r="CY671" s="2043">
        <v>0</v>
      </c>
      <c r="CZ671" s="2043">
        <v>0</v>
      </c>
      <c r="DA671" s="2043">
        <v>0</v>
      </c>
      <c r="DB671" s="2043">
        <v>0</v>
      </c>
      <c r="DC671" s="2043">
        <v>0</v>
      </c>
      <c r="DI671" t="s">
        <v>8049</v>
      </c>
      <c r="DJ671" t="s">
        <v>5826</v>
      </c>
      <c r="DK671" s="2042">
        <f t="shared" si="12"/>
        <v>601</v>
      </c>
    </row>
    <row r="672" spans="1:115">
      <c r="A672" t="s">
        <v>8051</v>
      </c>
      <c r="B672" t="s">
        <v>11371</v>
      </c>
      <c r="C672">
        <v>310.899</v>
      </c>
      <c r="D672">
        <v>377.7</v>
      </c>
      <c r="E672">
        <v>0</v>
      </c>
      <c r="F672">
        <v>0</v>
      </c>
      <c r="G672" s="2043">
        <v>0</v>
      </c>
      <c r="H672">
        <v>0</v>
      </c>
      <c r="I672" s="2043">
        <v>0</v>
      </c>
      <c r="J672">
        <v>0</v>
      </c>
      <c r="K672">
        <v>0</v>
      </c>
      <c r="L672">
        <v>0</v>
      </c>
      <c r="M672">
        <v>0</v>
      </c>
      <c r="N672">
        <v>0</v>
      </c>
      <c r="O672">
        <v>0</v>
      </c>
      <c r="P672">
        <v>0</v>
      </c>
      <c r="Q672">
        <v>0</v>
      </c>
      <c r="R672" s="2043">
        <v>0</v>
      </c>
      <c r="S672">
        <v>0</v>
      </c>
      <c r="T672">
        <v>0</v>
      </c>
      <c r="U672">
        <v>0</v>
      </c>
      <c r="V672">
        <v>0</v>
      </c>
      <c r="W672">
        <v>0</v>
      </c>
      <c r="X672">
        <v>0</v>
      </c>
      <c r="Y672">
        <v>105321</v>
      </c>
      <c r="Z672">
        <v>0</v>
      </c>
      <c r="AA672">
        <v>0</v>
      </c>
      <c r="AB672">
        <v>377.7</v>
      </c>
      <c r="AC672" s="2043">
        <v>0</v>
      </c>
      <c r="AD672">
        <v>0</v>
      </c>
      <c r="AE672" s="2043">
        <v>0</v>
      </c>
      <c r="AF672">
        <v>0</v>
      </c>
      <c r="AG672">
        <v>0</v>
      </c>
      <c r="AH672">
        <v>0</v>
      </c>
      <c r="AI672">
        <v>0</v>
      </c>
      <c r="AJ672">
        <v>86.275000000000006</v>
      </c>
      <c r="AK672">
        <v>148</v>
      </c>
      <c r="AL672">
        <v>0</v>
      </c>
      <c r="AM672">
        <v>0</v>
      </c>
      <c r="AN672">
        <v>4.8090000000000002</v>
      </c>
      <c r="AO672">
        <v>0</v>
      </c>
      <c r="AP672">
        <v>0</v>
      </c>
      <c r="AQ672">
        <v>0</v>
      </c>
      <c r="AR672">
        <v>0</v>
      </c>
      <c r="AS672">
        <v>0</v>
      </c>
      <c r="AT672">
        <v>0</v>
      </c>
      <c r="AU672">
        <v>0.19900000000000001</v>
      </c>
      <c r="AV672">
        <v>0</v>
      </c>
      <c r="AW672">
        <v>0.19900000000000001</v>
      </c>
      <c r="AX672">
        <v>0</v>
      </c>
      <c r="AY672">
        <v>0.995</v>
      </c>
      <c r="AZ672">
        <v>0</v>
      </c>
      <c r="BA672">
        <v>3401039</v>
      </c>
      <c r="BB672">
        <v>0</v>
      </c>
      <c r="BC672">
        <v>0</v>
      </c>
      <c r="BD672">
        <v>15442</v>
      </c>
      <c r="BE672">
        <v>0</v>
      </c>
      <c r="BF672">
        <v>15442</v>
      </c>
      <c r="BG672">
        <v>15442</v>
      </c>
      <c r="BH672">
        <v>0</v>
      </c>
      <c r="BI672">
        <v>0</v>
      </c>
      <c r="BJ672">
        <v>0</v>
      </c>
      <c r="BK672">
        <v>0</v>
      </c>
      <c r="BL672">
        <v>0</v>
      </c>
      <c r="BM672">
        <v>0</v>
      </c>
      <c r="BN672">
        <v>666</v>
      </c>
      <c r="BO672">
        <v>64</v>
      </c>
      <c r="BP672">
        <v>0</v>
      </c>
      <c r="BQ672">
        <v>0</v>
      </c>
      <c r="BR672">
        <v>0</v>
      </c>
      <c r="BS672">
        <v>0</v>
      </c>
      <c r="BT672">
        <v>0</v>
      </c>
      <c r="BU672">
        <v>0</v>
      </c>
      <c r="BV672">
        <v>28</v>
      </c>
      <c r="BW672">
        <v>7</v>
      </c>
      <c r="BX672">
        <v>68</v>
      </c>
      <c r="BY672">
        <v>111</v>
      </c>
      <c r="BZ672">
        <v>117</v>
      </c>
      <c r="CA672">
        <v>331</v>
      </c>
      <c r="CB672">
        <v>0</v>
      </c>
      <c r="CC672">
        <v>0</v>
      </c>
      <c r="CD672">
        <v>0</v>
      </c>
      <c r="CE672">
        <v>0</v>
      </c>
      <c r="CF672">
        <v>111.01300000000001</v>
      </c>
      <c r="CG672">
        <v>0</v>
      </c>
      <c r="CH672">
        <v>0</v>
      </c>
      <c r="CI672">
        <v>0</v>
      </c>
      <c r="CJ672">
        <v>0</v>
      </c>
      <c r="CK672">
        <v>0</v>
      </c>
      <c r="CL672">
        <v>0</v>
      </c>
      <c r="CM672">
        <v>0</v>
      </c>
      <c r="CN672">
        <v>0</v>
      </c>
      <c r="CO672">
        <v>0</v>
      </c>
      <c r="CP672">
        <v>0</v>
      </c>
      <c r="CQ672">
        <v>0</v>
      </c>
      <c r="CR672">
        <v>0</v>
      </c>
      <c r="CS672">
        <v>0</v>
      </c>
      <c r="CT672">
        <v>0</v>
      </c>
      <c r="CU672">
        <v>2.5550000000000002</v>
      </c>
      <c r="CV672">
        <v>1.117</v>
      </c>
      <c r="CW672">
        <v>4.4569999999999999</v>
      </c>
      <c r="CX672">
        <v>0</v>
      </c>
      <c r="CY672" s="2043">
        <v>50360</v>
      </c>
      <c r="CZ672" s="2043">
        <v>0</v>
      </c>
      <c r="DA672" s="2043">
        <v>0</v>
      </c>
      <c r="DB672" s="2043">
        <v>0</v>
      </c>
      <c r="DC672" s="2043">
        <v>0</v>
      </c>
      <c r="DI672" t="s">
        <v>8051</v>
      </c>
      <c r="DJ672" t="s">
        <v>8051</v>
      </c>
      <c r="DK672" s="2042">
        <f t="shared" si="12"/>
        <v>0</v>
      </c>
    </row>
    <row r="673" spans="1:115">
      <c r="A673" t="s">
        <v>8052</v>
      </c>
      <c r="B673" t="s">
        <v>11372</v>
      </c>
      <c r="C673">
        <v>470.596</v>
      </c>
      <c r="D673">
        <v>462.43</v>
      </c>
      <c r="E673">
        <v>277.59300000000002</v>
      </c>
      <c r="F673">
        <v>0</v>
      </c>
      <c r="G673" s="2043">
        <v>0</v>
      </c>
      <c r="H673">
        <v>0</v>
      </c>
      <c r="I673" s="2043">
        <v>0</v>
      </c>
      <c r="J673">
        <v>22</v>
      </c>
      <c r="K673">
        <v>60</v>
      </c>
      <c r="L673">
        <v>0</v>
      </c>
      <c r="M673">
        <v>0</v>
      </c>
      <c r="N673">
        <v>0</v>
      </c>
      <c r="O673">
        <v>0</v>
      </c>
      <c r="P673">
        <v>0</v>
      </c>
      <c r="Q673">
        <v>0</v>
      </c>
      <c r="R673" s="2043">
        <v>0</v>
      </c>
      <c r="S673">
        <v>0</v>
      </c>
      <c r="T673">
        <v>0</v>
      </c>
      <c r="U673">
        <v>0</v>
      </c>
      <c r="V673">
        <v>0</v>
      </c>
      <c r="W673">
        <v>0</v>
      </c>
      <c r="X673">
        <v>0</v>
      </c>
      <c r="Y673">
        <v>83193</v>
      </c>
      <c r="Z673">
        <v>0</v>
      </c>
      <c r="AA673">
        <v>0</v>
      </c>
      <c r="AB673">
        <v>453.053</v>
      </c>
      <c r="AC673" s="2043">
        <v>0</v>
      </c>
      <c r="AD673">
        <v>0</v>
      </c>
      <c r="AE673" s="2043">
        <v>0</v>
      </c>
      <c r="AF673">
        <v>0</v>
      </c>
      <c r="AG673">
        <v>0</v>
      </c>
      <c r="AH673">
        <v>0</v>
      </c>
      <c r="AI673">
        <v>0</v>
      </c>
      <c r="AJ673">
        <v>114.063</v>
      </c>
      <c r="AK673">
        <v>1192</v>
      </c>
      <c r="AL673">
        <v>0</v>
      </c>
      <c r="AM673">
        <v>0</v>
      </c>
      <c r="AN673">
        <v>30.055</v>
      </c>
      <c r="AO673">
        <v>0</v>
      </c>
      <c r="AP673">
        <v>0</v>
      </c>
      <c r="AQ673">
        <v>0.53900000000000003</v>
      </c>
      <c r="AR673">
        <v>4.0280000000000005</v>
      </c>
      <c r="AS673">
        <v>0</v>
      </c>
      <c r="AT673">
        <v>0</v>
      </c>
      <c r="AU673">
        <v>0.77</v>
      </c>
      <c r="AV673">
        <v>0</v>
      </c>
      <c r="AW673">
        <v>5.3370000000000006</v>
      </c>
      <c r="AX673">
        <v>0</v>
      </c>
      <c r="AY673">
        <v>15.934000000000001</v>
      </c>
      <c r="AZ673">
        <v>0</v>
      </c>
      <c r="BA673">
        <v>5469463</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63</v>
      </c>
      <c r="BW673">
        <v>42</v>
      </c>
      <c r="BX673">
        <v>91</v>
      </c>
      <c r="BY673">
        <v>105</v>
      </c>
      <c r="BZ673">
        <v>144</v>
      </c>
      <c r="CA673">
        <v>445</v>
      </c>
      <c r="CB673">
        <v>0</v>
      </c>
      <c r="CC673">
        <v>0</v>
      </c>
      <c r="CD673">
        <v>0</v>
      </c>
      <c r="CE673">
        <v>25</v>
      </c>
      <c r="CF673">
        <v>305.54500000000002</v>
      </c>
      <c r="CG673">
        <v>0</v>
      </c>
      <c r="CH673">
        <v>0.9</v>
      </c>
      <c r="CI673">
        <v>0</v>
      </c>
      <c r="CJ673">
        <v>0</v>
      </c>
      <c r="CK673">
        <v>0</v>
      </c>
      <c r="CL673">
        <v>0.9</v>
      </c>
      <c r="CM673">
        <v>277.59300000000002</v>
      </c>
      <c r="CN673">
        <v>0</v>
      </c>
      <c r="CO673">
        <v>0</v>
      </c>
      <c r="CP673">
        <v>0</v>
      </c>
      <c r="CQ673">
        <v>0</v>
      </c>
      <c r="CR673">
        <v>0</v>
      </c>
      <c r="CS673">
        <v>0</v>
      </c>
      <c r="CT673">
        <v>0</v>
      </c>
      <c r="CU673">
        <v>0</v>
      </c>
      <c r="CV673">
        <v>0</v>
      </c>
      <c r="CW673">
        <v>0</v>
      </c>
      <c r="CX673">
        <v>0</v>
      </c>
      <c r="CY673" s="2043">
        <v>0</v>
      </c>
      <c r="CZ673" s="2043">
        <v>0</v>
      </c>
      <c r="DA673" s="2043">
        <v>0</v>
      </c>
      <c r="DB673" s="2043">
        <v>0</v>
      </c>
      <c r="DC673" s="2043">
        <v>0</v>
      </c>
      <c r="DI673" t="s">
        <v>8052</v>
      </c>
      <c r="DJ673" t="s">
        <v>8052</v>
      </c>
      <c r="DK673" s="2042">
        <f t="shared" si="12"/>
        <v>0</v>
      </c>
    </row>
    <row r="674" spans="1:115">
      <c r="A674" t="s">
        <v>8053</v>
      </c>
      <c r="B674" t="s">
        <v>11373</v>
      </c>
      <c r="C674">
        <v>2043.018</v>
      </c>
      <c r="D674">
        <v>2064.0700000000002</v>
      </c>
      <c r="E674">
        <v>893.47</v>
      </c>
      <c r="F674">
        <v>0</v>
      </c>
      <c r="G674" s="2043">
        <v>0</v>
      </c>
      <c r="H674">
        <v>0</v>
      </c>
      <c r="I674" s="2043">
        <v>0</v>
      </c>
      <c r="J674">
        <v>0</v>
      </c>
      <c r="K674">
        <v>0</v>
      </c>
      <c r="L674">
        <v>0</v>
      </c>
      <c r="M674">
        <v>0</v>
      </c>
      <c r="N674">
        <v>0</v>
      </c>
      <c r="O674">
        <v>0</v>
      </c>
      <c r="P674">
        <v>0</v>
      </c>
      <c r="Q674">
        <v>0</v>
      </c>
      <c r="R674" s="2043">
        <v>0</v>
      </c>
      <c r="S674">
        <v>0</v>
      </c>
      <c r="T674">
        <v>0</v>
      </c>
      <c r="U674">
        <v>0</v>
      </c>
      <c r="V674">
        <v>0</v>
      </c>
      <c r="W674">
        <v>0</v>
      </c>
      <c r="X674">
        <v>0</v>
      </c>
      <c r="Y674">
        <v>361169</v>
      </c>
      <c r="Z674">
        <v>0</v>
      </c>
      <c r="AA674">
        <v>0</v>
      </c>
      <c r="AB674">
        <v>2064.0700000000002</v>
      </c>
      <c r="AC674" s="2043">
        <v>0</v>
      </c>
      <c r="AD674">
        <v>0</v>
      </c>
      <c r="AE674" s="2043">
        <v>0</v>
      </c>
      <c r="AF674">
        <v>0</v>
      </c>
      <c r="AG674">
        <v>0</v>
      </c>
      <c r="AH674">
        <v>0</v>
      </c>
      <c r="AI674">
        <v>0</v>
      </c>
      <c r="AJ674">
        <v>526.375</v>
      </c>
      <c r="AK674">
        <v>2407</v>
      </c>
      <c r="AL674">
        <v>0</v>
      </c>
      <c r="AM674">
        <v>0</v>
      </c>
      <c r="AN674">
        <v>7.391</v>
      </c>
      <c r="AO674">
        <v>0</v>
      </c>
      <c r="AP674">
        <v>0</v>
      </c>
      <c r="AQ674">
        <v>0</v>
      </c>
      <c r="AR674">
        <v>24.157</v>
      </c>
      <c r="AS674">
        <v>0</v>
      </c>
      <c r="AT674">
        <v>5.4489999999999998</v>
      </c>
      <c r="AU674">
        <v>1.7910000000000001</v>
      </c>
      <c r="AV674">
        <v>0</v>
      </c>
      <c r="AW674">
        <v>31.397000000000002</v>
      </c>
      <c r="AX674">
        <v>0</v>
      </c>
      <c r="AY674">
        <v>97.77300000000001</v>
      </c>
      <c r="AZ674">
        <v>0</v>
      </c>
      <c r="BA674">
        <v>22919030</v>
      </c>
      <c r="BB674">
        <v>0</v>
      </c>
      <c r="BC674">
        <v>0</v>
      </c>
      <c r="BD674">
        <v>31480</v>
      </c>
      <c r="BE674">
        <v>26146</v>
      </c>
      <c r="BF674">
        <v>57626</v>
      </c>
      <c r="BG674">
        <v>31480</v>
      </c>
      <c r="BH674">
        <v>0</v>
      </c>
      <c r="BI674">
        <v>0</v>
      </c>
      <c r="BJ674">
        <v>0</v>
      </c>
      <c r="BK674">
        <v>0</v>
      </c>
      <c r="BL674">
        <v>0</v>
      </c>
      <c r="BM674">
        <v>0</v>
      </c>
      <c r="BN674">
        <v>5688</v>
      </c>
      <c r="BO674">
        <v>2568</v>
      </c>
      <c r="BP674">
        <v>0</v>
      </c>
      <c r="BQ674">
        <v>0</v>
      </c>
      <c r="BR674">
        <v>0</v>
      </c>
      <c r="BS674">
        <v>0</v>
      </c>
      <c r="BT674">
        <v>0</v>
      </c>
      <c r="BU674">
        <v>0</v>
      </c>
      <c r="BV674">
        <v>208</v>
      </c>
      <c r="BW674">
        <v>209</v>
      </c>
      <c r="BX674">
        <v>533</v>
      </c>
      <c r="BY674">
        <v>905</v>
      </c>
      <c r="BZ674">
        <v>215</v>
      </c>
      <c r="CA674">
        <v>2070</v>
      </c>
      <c r="CB674">
        <v>0</v>
      </c>
      <c r="CC674">
        <v>0</v>
      </c>
      <c r="CD674">
        <v>0</v>
      </c>
      <c r="CE674">
        <v>40</v>
      </c>
      <c r="CF674">
        <v>1033.848</v>
      </c>
      <c r="CG674">
        <v>0</v>
      </c>
      <c r="CH674">
        <v>0</v>
      </c>
      <c r="CI674">
        <v>0</v>
      </c>
      <c r="CJ674">
        <v>3</v>
      </c>
      <c r="CK674">
        <v>0</v>
      </c>
      <c r="CL674">
        <v>0</v>
      </c>
      <c r="CM674">
        <v>893.47</v>
      </c>
      <c r="CN674">
        <v>0</v>
      </c>
      <c r="CO674">
        <v>0</v>
      </c>
      <c r="CP674">
        <v>0</v>
      </c>
      <c r="CQ674">
        <v>0</v>
      </c>
      <c r="CR674">
        <v>0</v>
      </c>
      <c r="CS674">
        <v>0</v>
      </c>
      <c r="CT674">
        <v>0</v>
      </c>
      <c r="CU674">
        <v>11.135</v>
      </c>
      <c r="CV674">
        <v>71.445000000000007</v>
      </c>
      <c r="CW674">
        <v>34.819000000000003</v>
      </c>
      <c r="CX674">
        <v>0</v>
      </c>
      <c r="CY674" s="2043">
        <v>0</v>
      </c>
      <c r="CZ674" s="2043">
        <v>0</v>
      </c>
      <c r="DA674" s="2043">
        <v>0</v>
      </c>
      <c r="DB674" s="2043">
        <v>0</v>
      </c>
      <c r="DC674" s="2043">
        <v>0</v>
      </c>
      <c r="DI674" t="s">
        <v>8053</v>
      </c>
      <c r="DJ674" t="s">
        <v>8053</v>
      </c>
      <c r="DK674" s="2042">
        <f t="shared" si="12"/>
        <v>0</v>
      </c>
    </row>
    <row r="675" spans="1:115">
      <c r="A675" t="s">
        <v>3076</v>
      </c>
      <c r="B675" t="s">
        <v>2399</v>
      </c>
      <c r="C675">
        <v>4681.3320000000003</v>
      </c>
      <c r="D675">
        <v>4855.7160000000003</v>
      </c>
      <c r="E675">
        <v>397.94</v>
      </c>
      <c r="F675">
        <v>0</v>
      </c>
      <c r="G675" s="2043">
        <v>3237569981</v>
      </c>
      <c r="H675">
        <v>0</v>
      </c>
      <c r="I675" s="2043">
        <v>5517372</v>
      </c>
      <c r="J675">
        <v>234.06700000000001</v>
      </c>
      <c r="K675">
        <v>640</v>
      </c>
      <c r="L675">
        <v>0</v>
      </c>
      <c r="M675">
        <v>0</v>
      </c>
      <c r="N675">
        <v>0</v>
      </c>
      <c r="O675">
        <v>0</v>
      </c>
      <c r="P675">
        <v>0</v>
      </c>
      <c r="Q675">
        <v>0</v>
      </c>
      <c r="R675" s="2043">
        <v>25225596</v>
      </c>
      <c r="S675">
        <v>1534404</v>
      </c>
      <c r="T675">
        <v>0</v>
      </c>
      <c r="U675">
        <v>0.05</v>
      </c>
      <c r="V675">
        <v>0</v>
      </c>
      <c r="W675">
        <v>0</v>
      </c>
      <c r="X675">
        <v>0</v>
      </c>
      <c r="Y675">
        <v>2094471</v>
      </c>
      <c r="Z675">
        <v>0</v>
      </c>
      <c r="AA675">
        <v>0.311</v>
      </c>
      <c r="AB675">
        <v>4783.6490000000003</v>
      </c>
      <c r="AC675" s="2043">
        <v>2527119392</v>
      </c>
      <c r="AD675">
        <v>10088000</v>
      </c>
      <c r="AE675" s="2043">
        <v>26760000</v>
      </c>
      <c r="AF675">
        <v>0.872</v>
      </c>
      <c r="AG675">
        <v>0</v>
      </c>
      <c r="AH675">
        <v>0</v>
      </c>
      <c r="AI675">
        <v>0</v>
      </c>
      <c r="AJ675">
        <v>535.13800000000003</v>
      </c>
      <c r="AK675">
        <v>14872</v>
      </c>
      <c r="AL675">
        <v>0.28600000000000003</v>
      </c>
      <c r="AM675">
        <v>0</v>
      </c>
      <c r="AN675">
        <v>196.941</v>
      </c>
      <c r="AO675">
        <v>1.7</v>
      </c>
      <c r="AP675">
        <v>0</v>
      </c>
      <c r="AQ675">
        <v>0</v>
      </c>
      <c r="AR675">
        <v>84.885000000000005</v>
      </c>
      <c r="AS675">
        <v>0</v>
      </c>
      <c r="AT675">
        <v>34.164999999999999</v>
      </c>
      <c r="AU675">
        <v>11.273</v>
      </c>
      <c r="AV675">
        <v>0</v>
      </c>
      <c r="AW675">
        <v>130.60900000000001</v>
      </c>
      <c r="AX675">
        <v>0</v>
      </c>
      <c r="AY675">
        <v>414.94499999999999</v>
      </c>
      <c r="AZ675">
        <v>0</v>
      </c>
      <c r="BA675">
        <v>15046509</v>
      </c>
      <c r="BB675">
        <v>36848000</v>
      </c>
      <c r="BC675">
        <v>0</v>
      </c>
      <c r="BD675">
        <v>54728</v>
      </c>
      <c r="BE675">
        <v>46176</v>
      </c>
      <c r="BF675">
        <v>101396</v>
      </c>
      <c r="BG675">
        <v>54728</v>
      </c>
      <c r="BH675">
        <v>492</v>
      </c>
      <c r="BI675">
        <v>0</v>
      </c>
      <c r="BJ675">
        <v>0</v>
      </c>
      <c r="BK675">
        <v>0</v>
      </c>
      <c r="BL675">
        <v>3237569981</v>
      </c>
      <c r="BM675">
        <v>0</v>
      </c>
      <c r="BN675">
        <v>15795</v>
      </c>
      <c r="BO675">
        <v>8560</v>
      </c>
      <c r="BP675">
        <v>0</v>
      </c>
      <c r="BQ675">
        <v>0</v>
      </c>
      <c r="BR675">
        <v>0.82200000000000006</v>
      </c>
      <c r="BS675">
        <v>0.82200000000000006</v>
      </c>
      <c r="BT675">
        <v>2094471</v>
      </c>
      <c r="BU675">
        <v>0</v>
      </c>
      <c r="BV675">
        <v>1327</v>
      </c>
      <c r="BW675">
        <v>565</v>
      </c>
      <c r="BX675">
        <v>55</v>
      </c>
      <c r="BY675">
        <v>258</v>
      </c>
      <c r="BZ675">
        <v>76</v>
      </c>
      <c r="CA675">
        <v>2281</v>
      </c>
      <c r="CB675">
        <v>0</v>
      </c>
      <c r="CC675">
        <v>92.671000000000006</v>
      </c>
      <c r="CD675">
        <v>0</v>
      </c>
      <c r="CE675">
        <v>350</v>
      </c>
      <c r="CF675">
        <v>901.19900000000007</v>
      </c>
      <c r="CG675">
        <v>0</v>
      </c>
      <c r="CH675">
        <v>0</v>
      </c>
      <c r="CI675">
        <v>10</v>
      </c>
      <c r="CJ675">
        <v>63</v>
      </c>
      <c r="CK675">
        <v>1</v>
      </c>
      <c r="CL675">
        <v>0</v>
      </c>
      <c r="CM675">
        <v>397.94</v>
      </c>
      <c r="CN675">
        <v>0</v>
      </c>
      <c r="CO675">
        <v>0</v>
      </c>
      <c r="CP675">
        <v>0</v>
      </c>
      <c r="CQ675">
        <v>0</v>
      </c>
      <c r="CR675">
        <v>0</v>
      </c>
      <c r="CS675">
        <v>0</v>
      </c>
      <c r="CT675">
        <v>0</v>
      </c>
      <c r="CU675">
        <v>3.04</v>
      </c>
      <c r="CV675">
        <v>208.77600000000001</v>
      </c>
      <c r="CW675">
        <v>104.093</v>
      </c>
      <c r="CX675">
        <v>2094471</v>
      </c>
      <c r="CY675" s="2043">
        <v>0</v>
      </c>
      <c r="CZ675" s="2043">
        <v>0</v>
      </c>
      <c r="DA675" s="2043">
        <v>0</v>
      </c>
      <c r="DB675" s="2043">
        <v>0</v>
      </c>
      <c r="DC675" s="2043">
        <v>0</v>
      </c>
      <c r="DI675" t="s">
        <v>3076</v>
      </c>
      <c r="DJ675" t="s">
        <v>3076</v>
      </c>
      <c r="DK675" s="2042">
        <f t="shared" si="12"/>
        <v>0</v>
      </c>
    </row>
    <row r="676" spans="1:115">
      <c r="A676" t="s">
        <v>5115</v>
      </c>
      <c r="B676" t="s">
        <v>2168</v>
      </c>
      <c r="C676">
        <v>7001.7960000000003</v>
      </c>
      <c r="D676">
        <v>7166.2930000000006</v>
      </c>
      <c r="E676">
        <v>1816.6990000000001</v>
      </c>
      <c r="F676">
        <v>355807</v>
      </c>
      <c r="G676" s="2043">
        <v>5096891815</v>
      </c>
      <c r="H676">
        <v>-118564</v>
      </c>
      <c r="I676" s="2043">
        <v>25478037</v>
      </c>
      <c r="J676">
        <v>320</v>
      </c>
      <c r="K676">
        <v>875</v>
      </c>
      <c r="L676">
        <v>0</v>
      </c>
      <c r="M676">
        <v>0</v>
      </c>
      <c r="N676">
        <v>0</v>
      </c>
      <c r="O676">
        <v>0</v>
      </c>
      <c r="P676">
        <v>0</v>
      </c>
      <c r="Q676">
        <v>0</v>
      </c>
      <c r="R676" s="2043">
        <v>45250374</v>
      </c>
      <c r="S676">
        <v>3963247</v>
      </c>
      <c r="T676">
        <v>2888217</v>
      </c>
      <c r="U676">
        <v>0.08</v>
      </c>
      <c r="V676">
        <v>0</v>
      </c>
      <c r="W676">
        <v>0</v>
      </c>
      <c r="X676">
        <v>118564</v>
      </c>
      <c r="Y676">
        <v>17030083</v>
      </c>
      <c r="Z676">
        <v>0</v>
      </c>
      <c r="AA676">
        <v>0.35300000000000004</v>
      </c>
      <c r="AB676">
        <v>6976.25</v>
      </c>
      <c r="AC676" s="2043">
        <v>6508462645</v>
      </c>
      <c r="AD676">
        <v>26880452</v>
      </c>
      <c r="AE676" s="2043">
        <v>52101838</v>
      </c>
      <c r="AF676">
        <v>1.0517000000000001</v>
      </c>
      <c r="AG676">
        <v>0</v>
      </c>
      <c r="AH676">
        <v>118564</v>
      </c>
      <c r="AI676">
        <v>0</v>
      </c>
      <c r="AJ676">
        <v>1699.25</v>
      </c>
      <c r="AK676">
        <v>18978</v>
      </c>
      <c r="AL676">
        <v>1.46</v>
      </c>
      <c r="AM676">
        <v>0</v>
      </c>
      <c r="AN676">
        <v>38.683</v>
      </c>
      <c r="AO676">
        <v>0</v>
      </c>
      <c r="AP676">
        <v>0</v>
      </c>
      <c r="AQ676">
        <v>0.34100000000000003</v>
      </c>
      <c r="AR676">
        <v>161.607</v>
      </c>
      <c r="AS676">
        <v>0</v>
      </c>
      <c r="AT676">
        <v>73.789000000000001</v>
      </c>
      <c r="AU676">
        <v>15.725000000000001</v>
      </c>
      <c r="AV676">
        <v>0</v>
      </c>
      <c r="AW676">
        <v>252.92200000000003</v>
      </c>
      <c r="AX676">
        <v>0</v>
      </c>
      <c r="AY676">
        <v>792.11300000000006</v>
      </c>
      <c r="AZ676">
        <v>0</v>
      </c>
      <c r="BA676">
        <v>35782441</v>
      </c>
      <c r="BB676">
        <v>78982290</v>
      </c>
      <c r="BC676">
        <v>0</v>
      </c>
      <c r="BD676">
        <v>146030</v>
      </c>
      <c r="BE676">
        <v>43217</v>
      </c>
      <c r="BF676">
        <v>201495</v>
      </c>
      <c r="BG676">
        <v>146030</v>
      </c>
      <c r="BH676">
        <v>12248</v>
      </c>
      <c r="BI676">
        <v>0</v>
      </c>
      <c r="BJ676">
        <v>0</v>
      </c>
      <c r="BK676">
        <v>0</v>
      </c>
      <c r="BL676">
        <v>5096891815</v>
      </c>
      <c r="BM676">
        <v>0</v>
      </c>
      <c r="BN676">
        <v>24192</v>
      </c>
      <c r="BO676">
        <v>12048</v>
      </c>
      <c r="BP676">
        <v>0</v>
      </c>
      <c r="BQ676">
        <v>0</v>
      </c>
      <c r="BR676">
        <v>0.91339999999999999</v>
      </c>
      <c r="BS676">
        <v>0.91339999999999999</v>
      </c>
      <c r="BT676">
        <v>0</v>
      </c>
      <c r="BU676">
        <v>0</v>
      </c>
      <c r="BV676">
        <v>429</v>
      </c>
      <c r="BW676">
        <v>507</v>
      </c>
      <c r="BX676">
        <v>1606</v>
      </c>
      <c r="BY676">
        <v>3075</v>
      </c>
      <c r="BZ676">
        <v>995</v>
      </c>
      <c r="CA676">
        <v>6612</v>
      </c>
      <c r="CB676">
        <v>0</v>
      </c>
      <c r="CC676">
        <v>0</v>
      </c>
      <c r="CD676">
        <v>0</v>
      </c>
      <c r="CE676">
        <v>36</v>
      </c>
      <c r="CF676">
        <v>2865.7130000000002</v>
      </c>
      <c r="CG676">
        <v>0</v>
      </c>
      <c r="CH676">
        <v>0</v>
      </c>
      <c r="CI676">
        <v>22</v>
      </c>
      <c r="CJ676">
        <v>0</v>
      </c>
      <c r="CK676">
        <v>0</v>
      </c>
      <c r="CL676">
        <v>0</v>
      </c>
      <c r="CM676">
        <v>1816.6990000000001</v>
      </c>
      <c r="CN676">
        <v>0</v>
      </c>
      <c r="CO676">
        <v>0</v>
      </c>
      <c r="CP676">
        <v>0</v>
      </c>
      <c r="CQ676">
        <v>0</v>
      </c>
      <c r="CR676">
        <v>0</v>
      </c>
      <c r="CS676">
        <v>0</v>
      </c>
      <c r="CT676">
        <v>0</v>
      </c>
      <c r="CU676">
        <v>1.5770000000000002</v>
      </c>
      <c r="CV676">
        <v>190.083</v>
      </c>
      <c r="CW676">
        <v>102.48</v>
      </c>
      <c r="CX676">
        <v>0</v>
      </c>
      <c r="CY676" s="2043">
        <v>16792840</v>
      </c>
      <c r="CZ676" s="2043">
        <v>0</v>
      </c>
      <c r="DA676" s="2043">
        <v>0</v>
      </c>
      <c r="DB676" s="2043">
        <v>355807</v>
      </c>
      <c r="DC676" s="2043">
        <v>831735</v>
      </c>
      <c r="DI676" t="s">
        <v>5115</v>
      </c>
      <c r="DJ676" t="s">
        <v>5115</v>
      </c>
      <c r="DK676" s="2042">
        <f t="shared" si="12"/>
        <v>0</v>
      </c>
    </row>
    <row r="677" spans="1:115">
      <c r="A677" t="s">
        <v>5116</v>
      </c>
      <c r="B677" t="s">
        <v>2169</v>
      </c>
      <c r="C677">
        <v>4878.3339999999998</v>
      </c>
      <c r="D677">
        <v>4956.47</v>
      </c>
      <c r="E677">
        <v>347.84700000000004</v>
      </c>
      <c r="F677">
        <v>0</v>
      </c>
      <c r="G677" s="2043">
        <v>2908131579</v>
      </c>
      <c r="H677">
        <v>0</v>
      </c>
      <c r="I677" s="2043">
        <v>9717680</v>
      </c>
      <c r="J677">
        <v>243.917</v>
      </c>
      <c r="K677">
        <v>667</v>
      </c>
      <c r="L677">
        <v>0</v>
      </c>
      <c r="M677">
        <v>0</v>
      </c>
      <c r="N677">
        <v>0</v>
      </c>
      <c r="O677">
        <v>0</v>
      </c>
      <c r="P677">
        <v>0</v>
      </c>
      <c r="Q677">
        <v>0</v>
      </c>
      <c r="R677" s="2043">
        <v>23269984</v>
      </c>
      <c r="S677">
        <v>2109221</v>
      </c>
      <c r="T677">
        <v>1537095</v>
      </c>
      <c r="U677">
        <v>0.08</v>
      </c>
      <c r="V677">
        <v>0</v>
      </c>
      <c r="W677">
        <v>0</v>
      </c>
      <c r="X677">
        <v>0</v>
      </c>
      <c r="Y677">
        <v>2424948</v>
      </c>
      <c r="Z677">
        <v>0</v>
      </c>
      <c r="AA677">
        <v>0</v>
      </c>
      <c r="AB677">
        <v>4698.0680000000002</v>
      </c>
      <c r="AC677" s="2043">
        <v>2567698256</v>
      </c>
      <c r="AD677">
        <v>12475428</v>
      </c>
      <c r="AE677" s="2043">
        <v>26916300</v>
      </c>
      <c r="AF677">
        <v>1.0209000000000001</v>
      </c>
      <c r="AG677">
        <v>0</v>
      </c>
      <c r="AH677">
        <v>0</v>
      </c>
      <c r="AI677">
        <v>0</v>
      </c>
      <c r="AJ677">
        <v>492.875</v>
      </c>
      <c r="AK677">
        <v>13239</v>
      </c>
      <c r="AL677">
        <v>0.35500000000000004</v>
      </c>
      <c r="AM677">
        <v>0</v>
      </c>
      <c r="AN677">
        <v>103.471</v>
      </c>
      <c r="AO677">
        <v>0</v>
      </c>
      <c r="AP677">
        <v>0</v>
      </c>
      <c r="AQ677">
        <v>0</v>
      </c>
      <c r="AR677">
        <v>67.238</v>
      </c>
      <c r="AS677">
        <v>0</v>
      </c>
      <c r="AT677">
        <v>68.373000000000005</v>
      </c>
      <c r="AU677">
        <v>9.9169999999999998</v>
      </c>
      <c r="AV677">
        <v>0</v>
      </c>
      <c r="AW677">
        <v>145.88300000000001</v>
      </c>
      <c r="AX677">
        <v>0</v>
      </c>
      <c r="AY677">
        <v>458.19300000000004</v>
      </c>
      <c r="AZ677">
        <v>0</v>
      </c>
      <c r="BA677">
        <v>17377629</v>
      </c>
      <c r="BB677">
        <v>39391728</v>
      </c>
      <c r="BC677">
        <v>0</v>
      </c>
      <c r="BD677">
        <v>81668</v>
      </c>
      <c r="BE677">
        <v>63923</v>
      </c>
      <c r="BF677">
        <v>150139</v>
      </c>
      <c r="BG677">
        <v>81668</v>
      </c>
      <c r="BH677">
        <v>4548</v>
      </c>
      <c r="BI677">
        <v>0</v>
      </c>
      <c r="BJ677">
        <v>0</v>
      </c>
      <c r="BK677">
        <v>0</v>
      </c>
      <c r="BL677">
        <v>2908131579</v>
      </c>
      <c r="BM677">
        <v>0</v>
      </c>
      <c r="BN677">
        <v>16884</v>
      </c>
      <c r="BO677">
        <v>10433</v>
      </c>
      <c r="BP677">
        <v>0</v>
      </c>
      <c r="BQ677">
        <v>0</v>
      </c>
      <c r="BR677">
        <v>0.88260000000000005</v>
      </c>
      <c r="BS677">
        <v>0.88260000000000005</v>
      </c>
      <c r="BT677">
        <v>2424948</v>
      </c>
      <c r="BU677">
        <v>0</v>
      </c>
      <c r="BV677">
        <v>455</v>
      </c>
      <c r="BW677">
        <v>919</v>
      </c>
      <c r="BX677">
        <v>280</v>
      </c>
      <c r="BY677">
        <v>379</v>
      </c>
      <c r="BZ677">
        <v>10</v>
      </c>
      <c r="CA677">
        <v>2043</v>
      </c>
      <c r="CB677">
        <v>0</v>
      </c>
      <c r="CC677">
        <v>0</v>
      </c>
      <c r="CD677">
        <v>0</v>
      </c>
      <c r="CE677">
        <v>277</v>
      </c>
      <c r="CF677">
        <v>775.17400000000009</v>
      </c>
      <c r="CG677">
        <v>0</v>
      </c>
      <c r="CH677">
        <v>0</v>
      </c>
      <c r="CI677">
        <v>12</v>
      </c>
      <c r="CJ677">
        <v>57</v>
      </c>
      <c r="CK677">
        <v>2</v>
      </c>
      <c r="CL677">
        <v>0</v>
      </c>
      <c r="CM677">
        <v>347.84700000000004</v>
      </c>
      <c r="CN677">
        <v>0</v>
      </c>
      <c r="CO677">
        <v>0</v>
      </c>
      <c r="CP677">
        <v>0</v>
      </c>
      <c r="CQ677">
        <v>0</v>
      </c>
      <c r="CR677">
        <v>0</v>
      </c>
      <c r="CS677">
        <v>0</v>
      </c>
      <c r="CT677">
        <v>0</v>
      </c>
      <c r="CU677">
        <v>3.06</v>
      </c>
      <c r="CV677">
        <v>154.87100000000001</v>
      </c>
      <c r="CW677">
        <v>87.936999999999998</v>
      </c>
      <c r="CX677">
        <v>2424948</v>
      </c>
      <c r="CY677" s="2043">
        <v>0</v>
      </c>
      <c r="CZ677" s="2043">
        <v>0</v>
      </c>
      <c r="DA677" s="2043">
        <v>0</v>
      </c>
      <c r="DB677" s="2043">
        <v>0</v>
      </c>
      <c r="DC677" s="2043">
        <v>0</v>
      </c>
      <c r="DI677" t="s">
        <v>5116</v>
      </c>
      <c r="DJ677" t="s">
        <v>5116</v>
      </c>
      <c r="DK677" s="2042">
        <f t="shared" si="12"/>
        <v>0</v>
      </c>
    </row>
    <row r="678" spans="1:115">
      <c r="A678" t="s">
        <v>5117</v>
      </c>
      <c r="B678" t="s">
        <v>1249</v>
      </c>
      <c r="C678">
        <v>14607.666000000001</v>
      </c>
      <c r="D678">
        <v>15603.831</v>
      </c>
      <c r="E678">
        <v>2031.229</v>
      </c>
      <c r="F678">
        <v>329136</v>
      </c>
      <c r="G678" s="2043">
        <v>11852986201</v>
      </c>
      <c r="H678">
        <v>0</v>
      </c>
      <c r="I678" s="2043">
        <v>21111012</v>
      </c>
      <c r="J678">
        <v>730.38300000000004</v>
      </c>
      <c r="K678">
        <v>1997</v>
      </c>
      <c r="L678">
        <v>0</v>
      </c>
      <c r="M678">
        <v>0</v>
      </c>
      <c r="N678">
        <v>0</v>
      </c>
      <c r="O678">
        <v>0</v>
      </c>
      <c r="P678">
        <v>0</v>
      </c>
      <c r="Q678">
        <v>0</v>
      </c>
      <c r="R678" s="2043">
        <v>100315477</v>
      </c>
      <c r="S678">
        <v>5839765</v>
      </c>
      <c r="T678">
        <v>0</v>
      </c>
      <c r="U678">
        <v>0.05</v>
      </c>
      <c r="V678">
        <v>0</v>
      </c>
      <c r="W678">
        <v>0</v>
      </c>
      <c r="X678">
        <v>0</v>
      </c>
      <c r="Y678">
        <v>3382948</v>
      </c>
      <c r="Z678">
        <v>0</v>
      </c>
      <c r="AA678">
        <v>2.09</v>
      </c>
      <c r="AB678">
        <v>14824.464</v>
      </c>
      <c r="AC678" s="2043">
        <v>10801704188</v>
      </c>
      <c r="AD678">
        <v>34485338</v>
      </c>
      <c r="AE678" s="2043">
        <v>106155242</v>
      </c>
      <c r="AF678">
        <v>0.90890000000000004</v>
      </c>
      <c r="AG678">
        <v>0</v>
      </c>
      <c r="AH678">
        <v>0</v>
      </c>
      <c r="AI678">
        <v>0</v>
      </c>
      <c r="AJ678">
        <v>3487.2380000000003</v>
      </c>
      <c r="AK678">
        <v>37304</v>
      </c>
      <c r="AL678">
        <v>1.0550000000000002</v>
      </c>
      <c r="AM678">
        <v>0.39700000000000002</v>
      </c>
      <c r="AN678">
        <v>363.15200000000004</v>
      </c>
      <c r="AO678">
        <v>0.90100000000000002</v>
      </c>
      <c r="AP678">
        <v>0</v>
      </c>
      <c r="AQ678">
        <v>2.5070000000000001</v>
      </c>
      <c r="AR678">
        <v>136.64100000000002</v>
      </c>
      <c r="AS678">
        <v>0</v>
      </c>
      <c r="AT678">
        <v>219.65600000000001</v>
      </c>
      <c r="AU678">
        <v>28.527000000000001</v>
      </c>
      <c r="AV678">
        <v>0</v>
      </c>
      <c r="AW678">
        <v>388.78300000000002</v>
      </c>
      <c r="AX678">
        <v>0</v>
      </c>
      <c r="AY678">
        <v>1217.992</v>
      </c>
      <c r="AZ678">
        <v>0</v>
      </c>
      <c r="BA678">
        <v>34210766</v>
      </c>
      <c r="BB678">
        <v>140640580</v>
      </c>
      <c r="BC678">
        <v>0</v>
      </c>
      <c r="BD678">
        <v>769388</v>
      </c>
      <c r="BE678">
        <v>418141</v>
      </c>
      <c r="BF678">
        <v>1312513</v>
      </c>
      <c r="BG678">
        <v>769388</v>
      </c>
      <c r="BH678">
        <v>124984</v>
      </c>
      <c r="BI678">
        <v>0</v>
      </c>
      <c r="BJ678">
        <v>0</v>
      </c>
      <c r="BK678">
        <v>0</v>
      </c>
      <c r="BL678">
        <v>11852986201</v>
      </c>
      <c r="BM678">
        <v>3053812</v>
      </c>
      <c r="BN678">
        <v>59319</v>
      </c>
      <c r="BO678">
        <v>9213</v>
      </c>
      <c r="BP678">
        <v>0</v>
      </c>
      <c r="BQ678">
        <v>0</v>
      </c>
      <c r="BR678">
        <v>0.8589</v>
      </c>
      <c r="BS678">
        <v>0.8589</v>
      </c>
      <c r="BT678">
        <v>0</v>
      </c>
      <c r="BU678">
        <v>0</v>
      </c>
      <c r="BV678">
        <v>2351</v>
      </c>
      <c r="BW678">
        <v>1441</v>
      </c>
      <c r="BX678">
        <v>2492</v>
      </c>
      <c r="BY678">
        <v>2698</v>
      </c>
      <c r="BZ678">
        <v>4672</v>
      </c>
      <c r="CA678">
        <v>13654</v>
      </c>
      <c r="CB678">
        <v>0</v>
      </c>
      <c r="CC678">
        <v>0</v>
      </c>
      <c r="CD678">
        <v>0</v>
      </c>
      <c r="CE678">
        <v>791</v>
      </c>
      <c r="CF678">
        <v>4585.8960000000006</v>
      </c>
      <c r="CG678">
        <v>55.722000000000001</v>
      </c>
      <c r="CH678">
        <v>3.7430000000000003</v>
      </c>
      <c r="CI678">
        <v>58</v>
      </c>
      <c r="CJ678">
        <v>62</v>
      </c>
      <c r="CK678">
        <v>0</v>
      </c>
      <c r="CL678">
        <v>59.465000000000003</v>
      </c>
      <c r="CM678">
        <v>2031.229</v>
      </c>
      <c r="CN678">
        <v>0</v>
      </c>
      <c r="CO678">
        <v>0</v>
      </c>
      <c r="CP678">
        <v>0</v>
      </c>
      <c r="CQ678">
        <v>0</v>
      </c>
      <c r="CR678">
        <v>0</v>
      </c>
      <c r="CS678">
        <v>281.63499999999999</v>
      </c>
      <c r="CT678">
        <v>0</v>
      </c>
      <c r="CU678">
        <v>0</v>
      </c>
      <c r="CV678">
        <v>664.91899999999998</v>
      </c>
      <c r="CW678">
        <v>282.32300000000004</v>
      </c>
      <c r="CX678">
        <v>0</v>
      </c>
      <c r="CY678" s="2043">
        <v>0</v>
      </c>
      <c r="CZ678" s="2043">
        <v>0</v>
      </c>
      <c r="DA678" s="2043">
        <v>0</v>
      </c>
      <c r="DB678" s="2043">
        <v>329136</v>
      </c>
      <c r="DC678" s="2043">
        <v>1440513</v>
      </c>
      <c r="DI678" t="s">
        <v>5117</v>
      </c>
      <c r="DJ678" t="s">
        <v>5117</v>
      </c>
      <c r="DK678" s="2042">
        <f t="shared" si="12"/>
        <v>0</v>
      </c>
    </row>
    <row r="679" spans="1:115">
      <c r="A679" t="s">
        <v>5118</v>
      </c>
      <c r="B679" t="s">
        <v>1250</v>
      </c>
      <c r="C679">
        <v>328.95300000000003</v>
      </c>
      <c r="D679">
        <v>347.00200000000001</v>
      </c>
      <c r="E679">
        <v>4.8159999999999998</v>
      </c>
      <c r="F679">
        <v>0</v>
      </c>
      <c r="G679" s="2043">
        <v>927990140</v>
      </c>
      <c r="H679">
        <v>0</v>
      </c>
      <c r="I679" s="2043">
        <v>2091595</v>
      </c>
      <c r="J679">
        <v>16.448</v>
      </c>
      <c r="K679">
        <v>45</v>
      </c>
      <c r="L679">
        <v>0</v>
      </c>
      <c r="M679">
        <v>0</v>
      </c>
      <c r="N679">
        <v>0</v>
      </c>
      <c r="O679">
        <v>0</v>
      </c>
      <c r="P679">
        <v>0</v>
      </c>
      <c r="Q679">
        <v>0</v>
      </c>
      <c r="R679" s="2043">
        <v>8248293</v>
      </c>
      <c r="S679">
        <v>555753</v>
      </c>
      <c r="T679">
        <v>0</v>
      </c>
      <c r="U679">
        <v>0.06</v>
      </c>
      <c r="V679">
        <v>0</v>
      </c>
      <c r="W679">
        <v>4682543</v>
      </c>
      <c r="X679">
        <v>0</v>
      </c>
      <c r="Y679">
        <v>497159</v>
      </c>
      <c r="Z679">
        <v>17.995000000000001</v>
      </c>
      <c r="AA679">
        <v>0</v>
      </c>
      <c r="AB679">
        <v>347.00200000000001</v>
      </c>
      <c r="AC679" s="2043">
        <v>955693946</v>
      </c>
      <c r="AD679">
        <v>2096796</v>
      </c>
      <c r="AE679" s="2043">
        <v>8804046</v>
      </c>
      <c r="AF679">
        <v>0.95050000000000001</v>
      </c>
      <c r="AG679">
        <v>0</v>
      </c>
      <c r="AH679">
        <v>4682543</v>
      </c>
      <c r="AI679">
        <v>0</v>
      </c>
      <c r="AJ679">
        <v>43.213000000000001</v>
      </c>
      <c r="AK679">
        <v>330</v>
      </c>
      <c r="AL679">
        <v>0</v>
      </c>
      <c r="AM679">
        <v>0</v>
      </c>
      <c r="AN679">
        <v>5.452</v>
      </c>
      <c r="AO679">
        <v>0.92</v>
      </c>
      <c r="AP679">
        <v>0</v>
      </c>
      <c r="AQ679">
        <v>0</v>
      </c>
      <c r="AR679">
        <v>0.28500000000000003</v>
      </c>
      <c r="AS679">
        <v>0</v>
      </c>
      <c r="AT679">
        <v>0</v>
      </c>
      <c r="AU679">
        <v>0.184</v>
      </c>
      <c r="AV679">
        <v>0</v>
      </c>
      <c r="AW679">
        <v>0.46900000000000003</v>
      </c>
      <c r="AX679">
        <v>0</v>
      </c>
      <c r="AY679">
        <v>1.7750000000000001</v>
      </c>
      <c r="AZ679">
        <v>0</v>
      </c>
      <c r="BA679">
        <v>675912</v>
      </c>
      <c r="BB679">
        <v>10900842</v>
      </c>
      <c r="BC679">
        <v>0</v>
      </c>
      <c r="BD679">
        <v>50787</v>
      </c>
      <c r="BE679">
        <v>0</v>
      </c>
      <c r="BF679">
        <v>54163</v>
      </c>
      <c r="BG679">
        <v>50787</v>
      </c>
      <c r="BH679">
        <v>3376</v>
      </c>
      <c r="BI679">
        <v>0</v>
      </c>
      <c r="BJ679">
        <v>0</v>
      </c>
      <c r="BK679">
        <v>0</v>
      </c>
      <c r="BL679">
        <v>927990140</v>
      </c>
      <c r="BM679">
        <v>0</v>
      </c>
      <c r="BN679">
        <v>1503</v>
      </c>
      <c r="BO679">
        <v>1134</v>
      </c>
      <c r="BP679">
        <v>0</v>
      </c>
      <c r="BQ679">
        <v>0</v>
      </c>
      <c r="BR679">
        <v>0.89050000000000007</v>
      </c>
      <c r="BS679">
        <v>0.89050000000000007</v>
      </c>
      <c r="BT679">
        <v>0</v>
      </c>
      <c r="BU679">
        <v>497159</v>
      </c>
      <c r="BV679">
        <v>35</v>
      </c>
      <c r="BW679">
        <v>34</v>
      </c>
      <c r="BX679">
        <v>38</v>
      </c>
      <c r="BY679">
        <v>53</v>
      </c>
      <c r="BZ679">
        <v>14</v>
      </c>
      <c r="CA679">
        <v>174</v>
      </c>
      <c r="CB679">
        <v>0</v>
      </c>
      <c r="CC679">
        <v>0</v>
      </c>
      <c r="CD679">
        <v>0</v>
      </c>
      <c r="CE679">
        <v>5</v>
      </c>
      <c r="CF679">
        <v>35.123000000000005</v>
      </c>
      <c r="CG679">
        <v>0</v>
      </c>
      <c r="CH679">
        <v>0</v>
      </c>
      <c r="CI679">
        <v>13</v>
      </c>
      <c r="CJ679">
        <v>6</v>
      </c>
      <c r="CK679">
        <v>0</v>
      </c>
      <c r="CL679">
        <v>0</v>
      </c>
      <c r="CM679">
        <v>4.8159999999999998</v>
      </c>
      <c r="CN679">
        <v>0</v>
      </c>
      <c r="CO679">
        <v>0</v>
      </c>
      <c r="CP679">
        <v>0</v>
      </c>
      <c r="CQ679">
        <v>0</v>
      </c>
      <c r="CR679">
        <v>0</v>
      </c>
      <c r="CS679">
        <v>0</v>
      </c>
      <c r="CT679">
        <v>0</v>
      </c>
      <c r="CU679">
        <v>0</v>
      </c>
      <c r="CV679">
        <v>14.934000000000001</v>
      </c>
      <c r="CW679">
        <v>6.9270000000000005</v>
      </c>
      <c r="CX679">
        <v>0</v>
      </c>
      <c r="CY679" s="2043">
        <v>0</v>
      </c>
      <c r="CZ679" s="2043">
        <v>0</v>
      </c>
      <c r="DA679" s="2043">
        <v>0</v>
      </c>
      <c r="DB679" s="2043">
        <v>0</v>
      </c>
      <c r="DC679" s="2043">
        <v>109051</v>
      </c>
      <c r="DI679" t="s">
        <v>5118</v>
      </c>
      <c r="DJ679" t="s">
        <v>5118</v>
      </c>
      <c r="DK679" s="2042">
        <f t="shared" si="12"/>
        <v>0</v>
      </c>
    </row>
    <row r="680" spans="1:115">
      <c r="A680" t="s">
        <v>3077</v>
      </c>
      <c r="B680" t="s">
        <v>1233</v>
      </c>
      <c r="C680">
        <v>1831.048</v>
      </c>
      <c r="D680">
        <v>1831.7860000000001</v>
      </c>
      <c r="E680">
        <v>97.322000000000003</v>
      </c>
      <c r="F680">
        <v>0</v>
      </c>
      <c r="G680" s="2043">
        <v>850289170</v>
      </c>
      <c r="H680">
        <v>0</v>
      </c>
      <c r="I680" s="2043">
        <v>2138724</v>
      </c>
      <c r="J680">
        <v>91.552000000000007</v>
      </c>
      <c r="K680">
        <v>250</v>
      </c>
      <c r="L680">
        <v>0</v>
      </c>
      <c r="M680">
        <v>0</v>
      </c>
      <c r="N680">
        <v>0</v>
      </c>
      <c r="O680">
        <v>0</v>
      </c>
      <c r="P680">
        <v>0</v>
      </c>
      <c r="Q680">
        <v>0</v>
      </c>
      <c r="R680" s="2043">
        <v>6930089</v>
      </c>
      <c r="S680">
        <v>674461</v>
      </c>
      <c r="T680">
        <v>491514</v>
      </c>
      <c r="U680">
        <v>0.08</v>
      </c>
      <c r="V680">
        <v>0</v>
      </c>
      <c r="W680">
        <v>0</v>
      </c>
      <c r="X680">
        <v>0</v>
      </c>
      <c r="Y680">
        <v>0</v>
      </c>
      <c r="Z680">
        <v>0</v>
      </c>
      <c r="AA680">
        <v>0.53300000000000003</v>
      </c>
      <c r="AB680">
        <v>1783.845</v>
      </c>
      <c r="AC680" s="2043">
        <v>735478969</v>
      </c>
      <c r="AD680">
        <v>3002059</v>
      </c>
      <c r="AE680" s="2043">
        <v>8096064</v>
      </c>
      <c r="AF680">
        <v>0.96030000000000004</v>
      </c>
      <c r="AG680">
        <v>0</v>
      </c>
      <c r="AH680">
        <v>0</v>
      </c>
      <c r="AI680">
        <v>0</v>
      </c>
      <c r="AJ680">
        <v>171.71300000000002</v>
      </c>
      <c r="AK680">
        <v>5328</v>
      </c>
      <c r="AL680">
        <v>0.16500000000000001</v>
      </c>
      <c r="AM680">
        <v>0</v>
      </c>
      <c r="AN680">
        <v>54.066000000000003</v>
      </c>
      <c r="AO680">
        <v>0</v>
      </c>
      <c r="AP680">
        <v>0</v>
      </c>
      <c r="AQ680">
        <v>0</v>
      </c>
      <c r="AR680">
        <v>39.563000000000002</v>
      </c>
      <c r="AS680">
        <v>0</v>
      </c>
      <c r="AT680">
        <v>5.0940000000000003</v>
      </c>
      <c r="AU680">
        <v>3.9530000000000003</v>
      </c>
      <c r="AV680">
        <v>0</v>
      </c>
      <c r="AW680">
        <v>48.775000000000006</v>
      </c>
      <c r="AX680">
        <v>0</v>
      </c>
      <c r="AY680">
        <v>154.56100000000001</v>
      </c>
      <c r="AZ680">
        <v>0</v>
      </c>
      <c r="BA680">
        <v>10177349</v>
      </c>
      <c r="BB680">
        <v>11098123</v>
      </c>
      <c r="BC680">
        <v>0</v>
      </c>
      <c r="BD680">
        <v>166103</v>
      </c>
      <c r="BE680">
        <v>20605</v>
      </c>
      <c r="BF680">
        <v>195299</v>
      </c>
      <c r="BG680">
        <v>166103</v>
      </c>
      <c r="BH680">
        <v>8591</v>
      </c>
      <c r="BI680">
        <v>0</v>
      </c>
      <c r="BJ680">
        <v>0</v>
      </c>
      <c r="BK680">
        <v>0</v>
      </c>
      <c r="BL680">
        <v>850289170</v>
      </c>
      <c r="BM680">
        <v>0</v>
      </c>
      <c r="BN680">
        <v>6750</v>
      </c>
      <c r="BO680">
        <v>4954</v>
      </c>
      <c r="BP680">
        <v>0</v>
      </c>
      <c r="BQ680">
        <v>0</v>
      </c>
      <c r="BR680">
        <v>0.82200000000000006</v>
      </c>
      <c r="BS680">
        <v>0.82200000000000006</v>
      </c>
      <c r="BT680">
        <v>0</v>
      </c>
      <c r="BU680">
        <v>0</v>
      </c>
      <c r="BV680">
        <v>528</v>
      </c>
      <c r="BW680">
        <v>186</v>
      </c>
      <c r="BX680">
        <v>11</v>
      </c>
      <c r="BY680">
        <v>5</v>
      </c>
      <c r="BZ680">
        <v>17</v>
      </c>
      <c r="CA680">
        <v>747</v>
      </c>
      <c r="CB680">
        <v>0</v>
      </c>
      <c r="CC680">
        <v>0</v>
      </c>
      <c r="CD680">
        <v>0</v>
      </c>
      <c r="CE680">
        <v>106</v>
      </c>
      <c r="CF680">
        <v>257.32300000000004</v>
      </c>
      <c r="CG680">
        <v>0</v>
      </c>
      <c r="CH680">
        <v>0</v>
      </c>
      <c r="CI680">
        <v>6</v>
      </c>
      <c r="CJ680">
        <v>19</v>
      </c>
      <c r="CK680">
        <v>0</v>
      </c>
      <c r="CL680">
        <v>0</v>
      </c>
      <c r="CM680">
        <v>97.322000000000003</v>
      </c>
      <c r="CN680">
        <v>0</v>
      </c>
      <c r="CO680">
        <v>0</v>
      </c>
      <c r="CP680">
        <v>0</v>
      </c>
      <c r="CQ680">
        <v>0</v>
      </c>
      <c r="CR680">
        <v>0</v>
      </c>
      <c r="CS680">
        <v>0</v>
      </c>
      <c r="CT680">
        <v>0</v>
      </c>
      <c r="CU680">
        <v>2.073</v>
      </c>
      <c r="CV680">
        <v>136.76</v>
      </c>
      <c r="CW680">
        <v>61.919000000000004</v>
      </c>
      <c r="CX680">
        <v>0</v>
      </c>
      <c r="CY680" s="2043">
        <v>0</v>
      </c>
      <c r="CZ680" s="2043">
        <v>0</v>
      </c>
      <c r="DA680" s="2043">
        <v>0</v>
      </c>
      <c r="DB680" s="2043">
        <v>0</v>
      </c>
      <c r="DC680" s="2043">
        <v>0</v>
      </c>
      <c r="DI680" t="s">
        <v>3077</v>
      </c>
      <c r="DJ680" t="s">
        <v>3077</v>
      </c>
      <c r="DK680" s="2042">
        <f t="shared" si="12"/>
        <v>0</v>
      </c>
    </row>
    <row r="681" spans="1:115">
      <c r="A681" t="s">
        <v>5119</v>
      </c>
      <c r="B681" t="s">
        <v>1251</v>
      </c>
      <c r="C681">
        <v>991.15600000000006</v>
      </c>
      <c r="D681">
        <v>1051.452</v>
      </c>
      <c r="E681">
        <v>57.457000000000001</v>
      </c>
      <c r="F681">
        <v>0</v>
      </c>
      <c r="G681" s="2043">
        <v>340877090</v>
      </c>
      <c r="H681">
        <v>0</v>
      </c>
      <c r="I681" s="2043">
        <v>1498853</v>
      </c>
      <c r="J681">
        <v>49.558</v>
      </c>
      <c r="K681">
        <v>135</v>
      </c>
      <c r="L681">
        <v>0</v>
      </c>
      <c r="M681">
        <v>0</v>
      </c>
      <c r="N681">
        <v>0</v>
      </c>
      <c r="O681">
        <v>0</v>
      </c>
      <c r="P681">
        <v>0</v>
      </c>
      <c r="Q681">
        <v>0</v>
      </c>
      <c r="R681" s="2043">
        <v>2704773</v>
      </c>
      <c r="S681">
        <v>148061</v>
      </c>
      <c r="T681">
        <v>0</v>
      </c>
      <c r="U681">
        <v>0.05</v>
      </c>
      <c r="V681">
        <v>0</v>
      </c>
      <c r="W681">
        <v>0</v>
      </c>
      <c r="X681">
        <v>0</v>
      </c>
      <c r="Y681">
        <v>0</v>
      </c>
      <c r="Z681">
        <v>0</v>
      </c>
      <c r="AA681">
        <v>0.10100000000000001</v>
      </c>
      <c r="AB681">
        <v>1045.454</v>
      </c>
      <c r="AC681" s="2043">
        <v>325871450</v>
      </c>
      <c r="AD681">
        <v>1422724</v>
      </c>
      <c r="AE681" s="2043">
        <v>2852834</v>
      </c>
      <c r="AF681">
        <v>0.96340000000000003</v>
      </c>
      <c r="AG681">
        <v>0</v>
      </c>
      <c r="AH681">
        <v>0</v>
      </c>
      <c r="AI681">
        <v>0</v>
      </c>
      <c r="AJ681">
        <v>239.26300000000001</v>
      </c>
      <c r="AK681">
        <v>3376</v>
      </c>
      <c r="AL681">
        <v>0.24700000000000003</v>
      </c>
      <c r="AM681">
        <v>0</v>
      </c>
      <c r="AN681">
        <v>32.19</v>
      </c>
      <c r="AO681">
        <v>0</v>
      </c>
      <c r="AP681">
        <v>0</v>
      </c>
      <c r="AQ681">
        <v>0</v>
      </c>
      <c r="AR681">
        <v>12.286000000000001</v>
      </c>
      <c r="AS681">
        <v>0</v>
      </c>
      <c r="AT681">
        <v>9.5180000000000007</v>
      </c>
      <c r="AU681">
        <v>2.3180000000000001</v>
      </c>
      <c r="AV681">
        <v>0</v>
      </c>
      <c r="AW681">
        <v>24.369</v>
      </c>
      <c r="AX681">
        <v>0</v>
      </c>
      <c r="AY681">
        <v>78.237000000000009</v>
      </c>
      <c r="AZ681">
        <v>0</v>
      </c>
      <c r="BA681">
        <v>8240049</v>
      </c>
      <c r="BB681">
        <v>4275558</v>
      </c>
      <c r="BC681">
        <v>0</v>
      </c>
      <c r="BD681">
        <v>28008</v>
      </c>
      <c r="BE681">
        <v>0</v>
      </c>
      <c r="BF681">
        <v>28008</v>
      </c>
      <c r="BG681">
        <v>28008</v>
      </c>
      <c r="BH681">
        <v>0</v>
      </c>
      <c r="BI681">
        <v>0</v>
      </c>
      <c r="BJ681">
        <v>0</v>
      </c>
      <c r="BK681">
        <v>0</v>
      </c>
      <c r="BL681">
        <v>340877090</v>
      </c>
      <c r="BM681">
        <v>0</v>
      </c>
      <c r="BN681">
        <v>3825</v>
      </c>
      <c r="BO681">
        <v>3082</v>
      </c>
      <c r="BP681">
        <v>0</v>
      </c>
      <c r="BQ681">
        <v>0</v>
      </c>
      <c r="BR681">
        <v>0.91339999999999999</v>
      </c>
      <c r="BS681">
        <v>0.91339999999999999</v>
      </c>
      <c r="BT681">
        <v>0</v>
      </c>
      <c r="BU681">
        <v>0</v>
      </c>
      <c r="BV681">
        <v>190</v>
      </c>
      <c r="BW681">
        <v>1</v>
      </c>
      <c r="BX681">
        <v>8</v>
      </c>
      <c r="BY681">
        <v>738</v>
      </c>
      <c r="BZ681">
        <v>2</v>
      </c>
      <c r="CA681">
        <v>939</v>
      </c>
      <c r="CB681">
        <v>0</v>
      </c>
      <c r="CC681">
        <v>0</v>
      </c>
      <c r="CD681">
        <v>0</v>
      </c>
      <c r="CE681">
        <v>27</v>
      </c>
      <c r="CF681">
        <v>268.85200000000003</v>
      </c>
      <c r="CG681">
        <v>0</v>
      </c>
      <c r="CH681">
        <v>0</v>
      </c>
      <c r="CI681">
        <v>18</v>
      </c>
      <c r="CJ681">
        <v>6</v>
      </c>
      <c r="CK681">
        <v>1</v>
      </c>
      <c r="CL681">
        <v>0</v>
      </c>
      <c r="CM681">
        <v>57.457000000000001</v>
      </c>
      <c r="CN681">
        <v>0</v>
      </c>
      <c r="CO681">
        <v>0</v>
      </c>
      <c r="CP681">
        <v>0</v>
      </c>
      <c r="CQ681">
        <v>0</v>
      </c>
      <c r="CR681">
        <v>0</v>
      </c>
      <c r="CS681">
        <v>0</v>
      </c>
      <c r="CT681">
        <v>0</v>
      </c>
      <c r="CU681">
        <v>3.6720000000000002</v>
      </c>
      <c r="CV681">
        <v>63.999000000000002</v>
      </c>
      <c r="CW681">
        <v>31.918000000000003</v>
      </c>
      <c r="CX681">
        <v>0</v>
      </c>
      <c r="CY681" s="2043">
        <v>0</v>
      </c>
      <c r="CZ681" s="2043">
        <v>0</v>
      </c>
      <c r="DA681" s="2043">
        <v>0</v>
      </c>
      <c r="DB681" s="2043">
        <v>0</v>
      </c>
      <c r="DC681" s="2043">
        <v>0</v>
      </c>
      <c r="DI681" t="s">
        <v>5119</v>
      </c>
      <c r="DJ681" t="s">
        <v>5119</v>
      </c>
      <c r="DK681" s="2042">
        <f t="shared" si="12"/>
        <v>0</v>
      </c>
    </row>
    <row r="682" spans="1:115">
      <c r="A682" t="s">
        <v>3078</v>
      </c>
      <c r="B682" t="s">
        <v>1906</v>
      </c>
      <c r="C682">
        <v>3858.355</v>
      </c>
      <c r="D682">
        <v>4205.7750000000005</v>
      </c>
      <c r="E682">
        <v>94.494</v>
      </c>
      <c r="F682">
        <v>0</v>
      </c>
      <c r="G682" s="2043">
        <v>1165123287</v>
      </c>
      <c r="H682">
        <v>0</v>
      </c>
      <c r="I682" s="2043">
        <v>3384000</v>
      </c>
      <c r="J682">
        <v>118</v>
      </c>
      <c r="K682">
        <v>323</v>
      </c>
      <c r="L682">
        <v>309267</v>
      </c>
      <c r="M682">
        <v>1965083</v>
      </c>
      <c r="N682">
        <v>309267</v>
      </c>
      <c r="O682">
        <v>2274350</v>
      </c>
      <c r="P682">
        <v>0</v>
      </c>
      <c r="Q682">
        <v>0</v>
      </c>
      <c r="R682" s="2043">
        <v>10316397</v>
      </c>
      <c r="S682">
        <v>919363</v>
      </c>
      <c r="T682">
        <v>149396</v>
      </c>
      <c r="U682">
        <v>0.08</v>
      </c>
      <c r="V682">
        <v>0</v>
      </c>
      <c r="W682">
        <v>0</v>
      </c>
      <c r="X682">
        <v>0</v>
      </c>
      <c r="Y682">
        <v>0</v>
      </c>
      <c r="Z682">
        <v>0</v>
      </c>
      <c r="AA682">
        <v>0.50800000000000001</v>
      </c>
      <c r="AB682">
        <v>4185.2780000000002</v>
      </c>
      <c r="AC682" s="2043">
        <v>1116348895</v>
      </c>
      <c r="AD682">
        <v>2902449</v>
      </c>
      <c r="AE682" s="2043">
        <v>11385156</v>
      </c>
      <c r="AF682">
        <v>0.99070000000000003</v>
      </c>
      <c r="AG682">
        <v>0</v>
      </c>
      <c r="AH682">
        <v>0</v>
      </c>
      <c r="AI682">
        <v>0</v>
      </c>
      <c r="AJ682">
        <v>920.92500000000007</v>
      </c>
      <c r="AK682">
        <v>13141</v>
      </c>
      <c r="AL682">
        <v>0.81600000000000006</v>
      </c>
      <c r="AM682">
        <v>0</v>
      </c>
      <c r="AN682">
        <v>148.054</v>
      </c>
      <c r="AO682">
        <v>0</v>
      </c>
      <c r="AP682">
        <v>0</v>
      </c>
      <c r="AQ682">
        <v>0</v>
      </c>
      <c r="AR682">
        <v>59.993000000000002</v>
      </c>
      <c r="AS682">
        <v>0</v>
      </c>
      <c r="AT682">
        <v>47.675000000000004</v>
      </c>
      <c r="AU682">
        <v>12.156000000000001</v>
      </c>
      <c r="AV682">
        <v>0</v>
      </c>
      <c r="AW682">
        <v>120.64</v>
      </c>
      <c r="AX682">
        <v>0</v>
      </c>
      <c r="AY682">
        <v>387.86400000000003</v>
      </c>
      <c r="AZ682">
        <v>0</v>
      </c>
      <c r="BA682">
        <v>29003210</v>
      </c>
      <c r="BB682">
        <v>14287605</v>
      </c>
      <c r="BC682">
        <v>0</v>
      </c>
      <c r="BD682">
        <v>77094</v>
      </c>
      <c r="BE682">
        <v>98755</v>
      </c>
      <c r="BF682">
        <v>175849</v>
      </c>
      <c r="BG682">
        <v>77094</v>
      </c>
      <c r="BH682">
        <v>0</v>
      </c>
      <c r="BI682">
        <v>0</v>
      </c>
      <c r="BJ682">
        <v>0</v>
      </c>
      <c r="BK682">
        <v>0</v>
      </c>
      <c r="BL682">
        <v>1165123287</v>
      </c>
      <c r="BM682">
        <v>0</v>
      </c>
      <c r="BN682">
        <v>15453</v>
      </c>
      <c r="BO682">
        <v>11032</v>
      </c>
      <c r="BP682">
        <v>0</v>
      </c>
      <c r="BQ682">
        <v>0</v>
      </c>
      <c r="BR682">
        <v>0.89770000000000005</v>
      </c>
      <c r="BS682">
        <v>0.89770000000000005</v>
      </c>
      <c r="BT682">
        <v>0</v>
      </c>
      <c r="BU682">
        <v>0</v>
      </c>
      <c r="BV682">
        <v>741</v>
      </c>
      <c r="BW682">
        <v>865</v>
      </c>
      <c r="BX682">
        <v>638</v>
      </c>
      <c r="BY682">
        <v>627</v>
      </c>
      <c r="BZ682">
        <v>817</v>
      </c>
      <c r="CA682">
        <v>3688</v>
      </c>
      <c r="CB682">
        <v>0</v>
      </c>
      <c r="CC682">
        <v>0</v>
      </c>
      <c r="CD682">
        <v>0</v>
      </c>
      <c r="CE682">
        <v>232</v>
      </c>
      <c r="CF682">
        <v>1124.124</v>
      </c>
      <c r="CG682">
        <v>0</v>
      </c>
      <c r="CH682">
        <v>0</v>
      </c>
      <c r="CI682">
        <v>7</v>
      </c>
      <c r="CJ682">
        <v>20</v>
      </c>
      <c r="CK682">
        <v>1</v>
      </c>
      <c r="CL682">
        <v>0</v>
      </c>
      <c r="CM682">
        <v>94.494</v>
      </c>
      <c r="CN682">
        <v>0</v>
      </c>
      <c r="CO682">
        <v>0</v>
      </c>
      <c r="CP682">
        <v>0</v>
      </c>
      <c r="CQ682">
        <v>0</v>
      </c>
      <c r="CR682">
        <v>0</v>
      </c>
      <c r="CS682">
        <v>0</v>
      </c>
      <c r="CT682">
        <v>0</v>
      </c>
      <c r="CU682">
        <v>0</v>
      </c>
      <c r="CV682">
        <v>204.19400000000002</v>
      </c>
      <c r="CW682">
        <v>116.682</v>
      </c>
      <c r="CX682">
        <v>0</v>
      </c>
      <c r="CY682" s="2043">
        <v>0</v>
      </c>
      <c r="CZ682" s="2043">
        <v>0</v>
      </c>
      <c r="DA682" s="2043">
        <v>0</v>
      </c>
      <c r="DB682" s="2043">
        <v>0</v>
      </c>
      <c r="DC682" s="2043">
        <v>0</v>
      </c>
      <c r="DI682" t="s">
        <v>3078</v>
      </c>
      <c r="DJ682" t="s">
        <v>3078</v>
      </c>
      <c r="DK682" s="2042">
        <f t="shared" si="12"/>
        <v>0</v>
      </c>
    </row>
    <row r="683" spans="1:115">
      <c r="A683" t="s">
        <v>3079</v>
      </c>
      <c r="B683" t="s">
        <v>2198</v>
      </c>
      <c r="C683">
        <v>446.15800000000002</v>
      </c>
      <c r="D683">
        <v>491.46300000000002</v>
      </c>
      <c r="E683">
        <v>11.291</v>
      </c>
      <c r="F683">
        <v>0</v>
      </c>
      <c r="G683" s="2043">
        <v>95342044</v>
      </c>
      <c r="H683">
        <v>0</v>
      </c>
      <c r="I683" s="2043">
        <v>423400</v>
      </c>
      <c r="J683">
        <v>19</v>
      </c>
      <c r="K683">
        <v>52</v>
      </c>
      <c r="L683">
        <v>158304</v>
      </c>
      <c r="M683">
        <v>248189</v>
      </c>
      <c r="N683">
        <v>158304</v>
      </c>
      <c r="O683">
        <v>406493</v>
      </c>
      <c r="P683">
        <v>0</v>
      </c>
      <c r="Q683">
        <v>0</v>
      </c>
      <c r="R683" s="2043">
        <v>853975</v>
      </c>
      <c r="S683">
        <v>74795</v>
      </c>
      <c r="T683">
        <v>54507</v>
      </c>
      <c r="U683">
        <v>0.08</v>
      </c>
      <c r="V683">
        <v>0</v>
      </c>
      <c r="W683">
        <v>0</v>
      </c>
      <c r="X683">
        <v>0</v>
      </c>
      <c r="Y683">
        <v>-2722</v>
      </c>
      <c r="Z683">
        <v>0.92300000000000004</v>
      </c>
      <c r="AA683">
        <v>0</v>
      </c>
      <c r="AB683">
        <v>481.23100000000005</v>
      </c>
      <c r="AC683" s="2043">
        <v>90685803</v>
      </c>
      <c r="AD683">
        <v>293705</v>
      </c>
      <c r="AE683" s="2043">
        <v>983277</v>
      </c>
      <c r="AF683">
        <v>1.0517000000000001</v>
      </c>
      <c r="AG683">
        <v>0</v>
      </c>
      <c r="AH683">
        <v>0</v>
      </c>
      <c r="AI683">
        <v>0</v>
      </c>
      <c r="AJ683">
        <v>96.788000000000011</v>
      </c>
      <c r="AK683">
        <v>1851</v>
      </c>
      <c r="AL683">
        <v>0.16800000000000001</v>
      </c>
      <c r="AM683">
        <v>0</v>
      </c>
      <c r="AN683">
        <v>21.736000000000001</v>
      </c>
      <c r="AO683">
        <v>0</v>
      </c>
      <c r="AP683">
        <v>0</v>
      </c>
      <c r="AQ683">
        <v>0</v>
      </c>
      <c r="AR683">
        <v>5.7290000000000001</v>
      </c>
      <c r="AS683">
        <v>0</v>
      </c>
      <c r="AT683">
        <v>2.3029999999999999</v>
      </c>
      <c r="AU683">
        <v>1.04</v>
      </c>
      <c r="AV683">
        <v>0</v>
      </c>
      <c r="AW683">
        <v>9.24</v>
      </c>
      <c r="AX683">
        <v>0</v>
      </c>
      <c r="AY683">
        <v>30.136000000000003</v>
      </c>
      <c r="AZ683">
        <v>0</v>
      </c>
      <c r="BA683">
        <v>5468518</v>
      </c>
      <c r="BB683">
        <v>1276982</v>
      </c>
      <c r="BC683">
        <v>0</v>
      </c>
      <c r="BD683">
        <v>43680</v>
      </c>
      <c r="BE683">
        <v>13219</v>
      </c>
      <c r="BF683">
        <v>56899</v>
      </c>
      <c r="BG683">
        <v>43680</v>
      </c>
      <c r="BH683">
        <v>0</v>
      </c>
      <c r="BI683">
        <v>-2722</v>
      </c>
      <c r="BJ683">
        <v>0</v>
      </c>
      <c r="BK683">
        <v>0</v>
      </c>
      <c r="BL683">
        <v>95342044</v>
      </c>
      <c r="BM683">
        <v>0</v>
      </c>
      <c r="BN683">
        <v>2259</v>
      </c>
      <c r="BO683">
        <v>1552</v>
      </c>
      <c r="BP683">
        <v>0</v>
      </c>
      <c r="BQ683">
        <v>0</v>
      </c>
      <c r="BR683">
        <v>0.91339999999999999</v>
      </c>
      <c r="BS683">
        <v>0.91339999999999999</v>
      </c>
      <c r="BT683">
        <v>0</v>
      </c>
      <c r="BU683">
        <v>0</v>
      </c>
      <c r="BV683">
        <v>19</v>
      </c>
      <c r="BW683">
        <v>206</v>
      </c>
      <c r="BX683">
        <v>142</v>
      </c>
      <c r="BY683">
        <v>13</v>
      </c>
      <c r="BZ683">
        <v>17</v>
      </c>
      <c r="CA683">
        <v>397</v>
      </c>
      <c r="CB683">
        <v>0</v>
      </c>
      <c r="CC683">
        <v>0</v>
      </c>
      <c r="CD683">
        <v>0</v>
      </c>
      <c r="CE683">
        <v>37</v>
      </c>
      <c r="CF683">
        <v>98.564999999999998</v>
      </c>
      <c r="CG683">
        <v>0</v>
      </c>
      <c r="CH683">
        <v>0</v>
      </c>
      <c r="CI683">
        <v>1</v>
      </c>
      <c r="CJ683">
        <v>1</v>
      </c>
      <c r="CK683">
        <v>0</v>
      </c>
      <c r="CL683">
        <v>0</v>
      </c>
      <c r="CM683">
        <v>11.291</v>
      </c>
      <c r="CN683">
        <v>0</v>
      </c>
      <c r="CO683">
        <v>0</v>
      </c>
      <c r="CP683">
        <v>0</v>
      </c>
      <c r="CQ683">
        <v>0</v>
      </c>
      <c r="CR683">
        <v>0</v>
      </c>
      <c r="CS683">
        <v>0</v>
      </c>
      <c r="CT683">
        <v>0</v>
      </c>
      <c r="CU683">
        <v>0</v>
      </c>
      <c r="CV683">
        <v>29.049000000000003</v>
      </c>
      <c r="CW683">
        <v>13.612</v>
      </c>
      <c r="CX683">
        <v>0</v>
      </c>
      <c r="CY683" s="2043">
        <v>0</v>
      </c>
      <c r="CZ683" s="2043">
        <v>0</v>
      </c>
      <c r="DA683" s="2043">
        <v>0</v>
      </c>
      <c r="DB683" s="2043">
        <v>0</v>
      </c>
      <c r="DC683" s="2043">
        <v>0</v>
      </c>
      <c r="DI683" t="s">
        <v>3079</v>
      </c>
      <c r="DJ683" t="s">
        <v>3079</v>
      </c>
      <c r="DK683" s="2042">
        <f t="shared" si="12"/>
        <v>0</v>
      </c>
    </row>
    <row r="684" spans="1:115">
      <c r="A684" t="s">
        <v>3081</v>
      </c>
      <c r="B684" t="s">
        <v>202</v>
      </c>
      <c r="C684">
        <v>608.43100000000004</v>
      </c>
      <c r="D684">
        <v>611.70500000000004</v>
      </c>
      <c r="E684">
        <v>33.520000000000003</v>
      </c>
      <c r="F684">
        <v>0</v>
      </c>
      <c r="G684" s="2043">
        <v>160276724</v>
      </c>
      <c r="H684">
        <v>0</v>
      </c>
      <c r="I684" s="2043">
        <v>810268</v>
      </c>
      <c r="J684">
        <v>30.422000000000001</v>
      </c>
      <c r="K684">
        <v>83</v>
      </c>
      <c r="L684">
        <v>53616</v>
      </c>
      <c r="M684">
        <v>163147</v>
      </c>
      <c r="N684">
        <v>53616</v>
      </c>
      <c r="O684">
        <v>216763</v>
      </c>
      <c r="P684">
        <v>0</v>
      </c>
      <c r="Q684">
        <v>0</v>
      </c>
      <c r="R684" s="2043">
        <v>1366128</v>
      </c>
      <c r="S684">
        <v>125118</v>
      </c>
      <c r="T684">
        <v>91179</v>
      </c>
      <c r="U684">
        <v>0.08</v>
      </c>
      <c r="V684">
        <v>0</v>
      </c>
      <c r="W684">
        <v>0</v>
      </c>
      <c r="X684">
        <v>0</v>
      </c>
      <c r="Y684">
        <v>0</v>
      </c>
      <c r="Z684">
        <v>0</v>
      </c>
      <c r="AA684">
        <v>0</v>
      </c>
      <c r="AB684">
        <v>611.70500000000004</v>
      </c>
      <c r="AC684" s="2043">
        <v>141894122</v>
      </c>
      <c r="AD684">
        <v>657076</v>
      </c>
      <c r="AE684" s="2043">
        <v>1582425</v>
      </c>
      <c r="AF684">
        <v>1.0118</v>
      </c>
      <c r="AG684">
        <v>0</v>
      </c>
      <c r="AH684">
        <v>0</v>
      </c>
      <c r="AI684">
        <v>0</v>
      </c>
      <c r="AJ684">
        <v>162.56300000000002</v>
      </c>
      <c r="AK684">
        <v>3954</v>
      </c>
      <c r="AL684">
        <v>1.024</v>
      </c>
      <c r="AM684">
        <v>0</v>
      </c>
      <c r="AN684">
        <v>43.173999999999999</v>
      </c>
      <c r="AO684">
        <v>0</v>
      </c>
      <c r="AP684">
        <v>0</v>
      </c>
      <c r="AQ684">
        <v>0</v>
      </c>
      <c r="AR684">
        <v>14.089</v>
      </c>
      <c r="AS684">
        <v>0</v>
      </c>
      <c r="AT684">
        <v>3.718</v>
      </c>
      <c r="AU684">
        <v>2.6030000000000002</v>
      </c>
      <c r="AV684">
        <v>0</v>
      </c>
      <c r="AW684">
        <v>21.434000000000001</v>
      </c>
      <c r="AX684">
        <v>0</v>
      </c>
      <c r="AY684">
        <v>71.555999999999997</v>
      </c>
      <c r="AZ684">
        <v>0</v>
      </c>
      <c r="BA684">
        <v>8086504</v>
      </c>
      <c r="BB684">
        <v>2239501</v>
      </c>
      <c r="BC684">
        <v>0</v>
      </c>
      <c r="BD684">
        <v>39698</v>
      </c>
      <c r="BE684">
        <v>15323</v>
      </c>
      <c r="BF684">
        <v>170474</v>
      </c>
      <c r="BG684">
        <v>39698</v>
      </c>
      <c r="BH684">
        <v>115453</v>
      </c>
      <c r="BI684">
        <v>0</v>
      </c>
      <c r="BJ684">
        <v>0</v>
      </c>
      <c r="BK684">
        <v>0</v>
      </c>
      <c r="BL684">
        <v>160276724</v>
      </c>
      <c r="BM684">
        <v>0</v>
      </c>
      <c r="BN684">
        <v>2493</v>
      </c>
      <c r="BO684">
        <v>1466</v>
      </c>
      <c r="BP684">
        <v>128567</v>
      </c>
      <c r="BQ684">
        <v>0</v>
      </c>
      <c r="BR684">
        <v>0.87350000000000005</v>
      </c>
      <c r="BS684">
        <v>0.87350000000000005</v>
      </c>
      <c r="BT684">
        <v>0</v>
      </c>
      <c r="BU684">
        <v>0</v>
      </c>
      <c r="BV684">
        <v>101</v>
      </c>
      <c r="BW684">
        <v>228</v>
      </c>
      <c r="BX684">
        <v>141</v>
      </c>
      <c r="BY684">
        <v>189</v>
      </c>
      <c r="BZ684">
        <v>3</v>
      </c>
      <c r="CA684">
        <v>662</v>
      </c>
      <c r="CB684">
        <v>0</v>
      </c>
      <c r="CC684">
        <v>0</v>
      </c>
      <c r="CD684">
        <v>0</v>
      </c>
      <c r="CE684">
        <v>69</v>
      </c>
      <c r="CF684">
        <v>194.79</v>
      </c>
      <c r="CG684">
        <v>0</v>
      </c>
      <c r="CH684">
        <v>0</v>
      </c>
      <c r="CI684">
        <v>0</v>
      </c>
      <c r="CJ684">
        <v>1</v>
      </c>
      <c r="CK684">
        <v>0</v>
      </c>
      <c r="CL684">
        <v>0</v>
      </c>
      <c r="CM684">
        <v>33.520000000000003</v>
      </c>
      <c r="CN684">
        <v>110076</v>
      </c>
      <c r="CO684">
        <v>0</v>
      </c>
      <c r="CP684">
        <v>15491</v>
      </c>
      <c r="CQ684">
        <v>3000</v>
      </c>
      <c r="CR684">
        <v>0</v>
      </c>
      <c r="CS684">
        <v>0</v>
      </c>
      <c r="CT684">
        <v>0</v>
      </c>
      <c r="CU684">
        <v>2.286</v>
      </c>
      <c r="CV684">
        <v>53.913000000000004</v>
      </c>
      <c r="CW684">
        <v>31.981000000000002</v>
      </c>
      <c r="CX684">
        <v>0</v>
      </c>
      <c r="CY684" s="2043">
        <v>0</v>
      </c>
      <c r="CZ684" s="2043">
        <v>0</v>
      </c>
      <c r="DA684" s="2043">
        <v>0</v>
      </c>
      <c r="DB684" s="2043">
        <v>0</v>
      </c>
      <c r="DC684" s="2043">
        <v>0</v>
      </c>
      <c r="DI684" t="s">
        <v>3080</v>
      </c>
      <c r="DJ684" t="s">
        <v>3081</v>
      </c>
      <c r="DK684" s="2042">
        <f t="shared" si="12"/>
        <v>-2</v>
      </c>
    </row>
    <row r="685" spans="1:115">
      <c r="A685" t="s">
        <v>3080</v>
      </c>
      <c r="B685" t="s">
        <v>1328</v>
      </c>
      <c r="C685">
        <v>1629.576</v>
      </c>
      <c r="D685">
        <v>1663.356</v>
      </c>
      <c r="E685">
        <v>41.364000000000004</v>
      </c>
      <c r="F685">
        <v>0</v>
      </c>
      <c r="G685" s="2043">
        <v>480488565</v>
      </c>
      <c r="H685">
        <v>0</v>
      </c>
      <c r="I685" s="2043">
        <v>1228700</v>
      </c>
      <c r="J685">
        <v>81.478999999999999</v>
      </c>
      <c r="K685">
        <v>223</v>
      </c>
      <c r="L685">
        <v>161137</v>
      </c>
      <c r="M685">
        <v>884054</v>
      </c>
      <c r="N685">
        <v>161137</v>
      </c>
      <c r="O685">
        <v>1045191</v>
      </c>
      <c r="P685">
        <v>0</v>
      </c>
      <c r="Q685">
        <v>0</v>
      </c>
      <c r="R685" s="2043">
        <v>3357664</v>
      </c>
      <c r="S685">
        <v>227074</v>
      </c>
      <c r="T685">
        <v>0</v>
      </c>
      <c r="U685">
        <v>0.06</v>
      </c>
      <c r="V685">
        <v>0</v>
      </c>
      <c r="W685">
        <v>0</v>
      </c>
      <c r="X685">
        <v>0</v>
      </c>
      <c r="Y685">
        <v>0</v>
      </c>
      <c r="Z685">
        <v>0</v>
      </c>
      <c r="AA685">
        <v>0</v>
      </c>
      <c r="AB685">
        <v>1635.8010000000002</v>
      </c>
      <c r="AC685" s="2043">
        <v>349044318</v>
      </c>
      <c r="AD685">
        <v>1003853</v>
      </c>
      <c r="AE685" s="2043">
        <v>3584738</v>
      </c>
      <c r="AF685">
        <v>0.94720000000000004</v>
      </c>
      <c r="AG685">
        <v>0</v>
      </c>
      <c r="AH685">
        <v>0</v>
      </c>
      <c r="AI685">
        <v>0</v>
      </c>
      <c r="AJ685">
        <v>259.2</v>
      </c>
      <c r="AK685">
        <v>5749</v>
      </c>
      <c r="AL685">
        <v>5.3000000000000005E-2</v>
      </c>
      <c r="AM685">
        <v>0</v>
      </c>
      <c r="AN685">
        <v>59.343000000000004</v>
      </c>
      <c r="AO685">
        <v>0</v>
      </c>
      <c r="AP685">
        <v>0</v>
      </c>
      <c r="AQ685">
        <v>0</v>
      </c>
      <c r="AR685">
        <v>36.887</v>
      </c>
      <c r="AS685">
        <v>0</v>
      </c>
      <c r="AT685">
        <v>12.82</v>
      </c>
      <c r="AU685">
        <v>3.0140000000000002</v>
      </c>
      <c r="AV685">
        <v>0</v>
      </c>
      <c r="AW685">
        <v>52.774000000000001</v>
      </c>
      <c r="AX685">
        <v>0</v>
      </c>
      <c r="AY685">
        <v>164.45600000000002</v>
      </c>
      <c r="AZ685">
        <v>0</v>
      </c>
      <c r="BA685">
        <v>11559499</v>
      </c>
      <c r="BB685">
        <v>4588591</v>
      </c>
      <c r="BC685">
        <v>0</v>
      </c>
      <c r="BD685">
        <v>136008</v>
      </c>
      <c r="BE685">
        <v>21870</v>
      </c>
      <c r="BF685">
        <v>157878</v>
      </c>
      <c r="BG685">
        <v>136008</v>
      </c>
      <c r="BH685">
        <v>0</v>
      </c>
      <c r="BI685">
        <v>0</v>
      </c>
      <c r="BJ685">
        <v>0</v>
      </c>
      <c r="BK685">
        <v>0</v>
      </c>
      <c r="BL685">
        <v>480488565</v>
      </c>
      <c r="BM685">
        <v>0</v>
      </c>
      <c r="BN685">
        <v>5598</v>
      </c>
      <c r="BO685">
        <v>4943</v>
      </c>
      <c r="BP685">
        <v>0</v>
      </c>
      <c r="BQ685">
        <v>0</v>
      </c>
      <c r="BR685">
        <v>0.88719999999999999</v>
      </c>
      <c r="BS685">
        <v>0.88719999999999999</v>
      </c>
      <c r="BT685">
        <v>0</v>
      </c>
      <c r="BU685">
        <v>0</v>
      </c>
      <c r="BV685">
        <v>33</v>
      </c>
      <c r="BW685">
        <v>433</v>
      </c>
      <c r="BX685">
        <v>587</v>
      </c>
      <c r="BY685">
        <v>1</v>
      </c>
      <c r="BZ685">
        <v>7</v>
      </c>
      <c r="CA685">
        <v>1061</v>
      </c>
      <c r="CB685">
        <v>0</v>
      </c>
      <c r="CC685">
        <v>0</v>
      </c>
      <c r="CD685">
        <v>0</v>
      </c>
      <c r="CE685">
        <v>84</v>
      </c>
      <c r="CF685">
        <v>311.57499999999999</v>
      </c>
      <c r="CG685">
        <v>0</v>
      </c>
      <c r="CH685">
        <v>0</v>
      </c>
      <c r="CI685">
        <v>5</v>
      </c>
      <c r="CJ685">
        <v>9</v>
      </c>
      <c r="CK685">
        <v>0</v>
      </c>
      <c r="CL685">
        <v>0</v>
      </c>
      <c r="CM685">
        <v>41.364000000000004</v>
      </c>
      <c r="CN685">
        <v>0</v>
      </c>
      <c r="CO685">
        <v>0</v>
      </c>
      <c r="CP685">
        <v>0</v>
      </c>
      <c r="CQ685">
        <v>0</v>
      </c>
      <c r="CR685">
        <v>0</v>
      </c>
      <c r="CS685">
        <v>0</v>
      </c>
      <c r="CT685">
        <v>0</v>
      </c>
      <c r="CU685">
        <v>5.2960000000000003</v>
      </c>
      <c r="CV685">
        <v>144.41500000000002</v>
      </c>
      <c r="CW685">
        <v>54.323</v>
      </c>
      <c r="CX685">
        <v>0</v>
      </c>
      <c r="CY685" s="2043">
        <v>0</v>
      </c>
      <c r="CZ685" s="2043">
        <v>0</v>
      </c>
      <c r="DA685" s="2043">
        <v>0</v>
      </c>
      <c r="DB685" s="2043">
        <v>0</v>
      </c>
      <c r="DC685" s="2043">
        <v>0</v>
      </c>
      <c r="DI685" t="s">
        <v>3081</v>
      </c>
      <c r="DJ685" t="s">
        <v>3080</v>
      </c>
      <c r="DK685" s="2042">
        <f t="shared" si="12"/>
        <v>2</v>
      </c>
    </row>
    <row r="686" spans="1:115">
      <c r="A686" t="s">
        <v>5827</v>
      </c>
      <c r="B686" t="s">
        <v>1252</v>
      </c>
      <c r="C686">
        <v>90.210000000000008</v>
      </c>
      <c r="D686">
        <v>119.36200000000001</v>
      </c>
      <c r="E686">
        <v>0</v>
      </c>
      <c r="F686">
        <v>0</v>
      </c>
      <c r="G686" s="2043">
        <v>43923211</v>
      </c>
      <c r="H686">
        <v>0</v>
      </c>
      <c r="I686" s="2043">
        <v>0</v>
      </c>
      <c r="J686">
        <v>2</v>
      </c>
      <c r="K686">
        <v>5</v>
      </c>
      <c r="L686">
        <v>0</v>
      </c>
      <c r="M686">
        <v>0</v>
      </c>
      <c r="N686">
        <v>0</v>
      </c>
      <c r="O686">
        <v>0</v>
      </c>
      <c r="P686">
        <v>0</v>
      </c>
      <c r="Q686">
        <v>0</v>
      </c>
      <c r="R686" s="2043">
        <v>395073</v>
      </c>
      <c r="S686">
        <v>21627</v>
      </c>
      <c r="T686">
        <v>0</v>
      </c>
      <c r="U686">
        <v>0.05</v>
      </c>
      <c r="V686">
        <v>0</v>
      </c>
      <c r="W686">
        <v>0</v>
      </c>
      <c r="X686">
        <v>0</v>
      </c>
      <c r="Y686">
        <v>0</v>
      </c>
      <c r="Z686">
        <v>0.9830000000000001</v>
      </c>
      <c r="AA686">
        <v>0</v>
      </c>
      <c r="AB686">
        <v>101.649</v>
      </c>
      <c r="AC686" s="2043">
        <v>51288483</v>
      </c>
      <c r="AD686">
        <v>0</v>
      </c>
      <c r="AE686" s="2043">
        <v>416700</v>
      </c>
      <c r="AF686">
        <v>0.96340000000000003</v>
      </c>
      <c r="AG686">
        <v>0</v>
      </c>
      <c r="AH686">
        <v>0</v>
      </c>
      <c r="AI686">
        <v>0</v>
      </c>
      <c r="AJ686">
        <v>13.188000000000001</v>
      </c>
      <c r="AK686">
        <v>550</v>
      </c>
      <c r="AL686">
        <v>0</v>
      </c>
      <c r="AM686">
        <v>0</v>
      </c>
      <c r="AN686">
        <v>1.238</v>
      </c>
      <c r="AO686">
        <v>0</v>
      </c>
      <c r="AP686">
        <v>0</v>
      </c>
      <c r="AQ686">
        <v>0</v>
      </c>
      <c r="AR686">
        <v>3.1110000000000002</v>
      </c>
      <c r="AS686">
        <v>0</v>
      </c>
      <c r="AT686">
        <v>1.365</v>
      </c>
      <c r="AU686">
        <v>5.3000000000000005E-2</v>
      </c>
      <c r="AV686">
        <v>0</v>
      </c>
      <c r="AW686">
        <v>4.5289999999999999</v>
      </c>
      <c r="AX686">
        <v>0</v>
      </c>
      <c r="AY686">
        <v>13.693000000000001</v>
      </c>
      <c r="AZ686">
        <v>0</v>
      </c>
      <c r="BA686">
        <v>778077</v>
      </c>
      <c r="BB686">
        <v>416700</v>
      </c>
      <c r="BC686">
        <v>0</v>
      </c>
      <c r="BD686">
        <v>3450</v>
      </c>
      <c r="BE686">
        <v>0</v>
      </c>
      <c r="BF686">
        <v>3450</v>
      </c>
      <c r="BG686">
        <v>3450</v>
      </c>
      <c r="BH686">
        <v>0</v>
      </c>
      <c r="BI686">
        <v>0</v>
      </c>
      <c r="BJ686">
        <v>0</v>
      </c>
      <c r="BK686">
        <v>2111</v>
      </c>
      <c r="BL686">
        <v>43923211</v>
      </c>
      <c r="BM686">
        <v>0</v>
      </c>
      <c r="BN686">
        <v>0</v>
      </c>
      <c r="BO686">
        <v>0</v>
      </c>
      <c r="BP686">
        <v>0</v>
      </c>
      <c r="BQ686">
        <v>0</v>
      </c>
      <c r="BR686">
        <v>0.91339999999999999</v>
      </c>
      <c r="BS686">
        <v>0.91339999999999999</v>
      </c>
      <c r="BT686">
        <v>0</v>
      </c>
      <c r="BU686">
        <v>0</v>
      </c>
      <c r="BV686">
        <v>21</v>
      </c>
      <c r="BW686">
        <v>4</v>
      </c>
      <c r="BX686">
        <v>9</v>
      </c>
      <c r="BY686">
        <v>19</v>
      </c>
      <c r="BZ686">
        <v>1</v>
      </c>
      <c r="CA686">
        <v>54</v>
      </c>
      <c r="CB686">
        <v>0</v>
      </c>
      <c r="CC686">
        <v>0</v>
      </c>
      <c r="CD686">
        <v>0</v>
      </c>
      <c r="CE686">
        <v>0</v>
      </c>
      <c r="CF686">
        <v>32.745000000000005</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s="2043">
        <v>0</v>
      </c>
      <c r="CZ686" s="2043">
        <v>0</v>
      </c>
      <c r="DA686" s="2043">
        <v>2111</v>
      </c>
      <c r="DB686" s="2043">
        <v>0</v>
      </c>
      <c r="DC686" s="2043">
        <v>0</v>
      </c>
      <c r="DI686" t="s">
        <v>5827</v>
      </c>
      <c r="DJ686" t="s">
        <v>5827</v>
      </c>
      <c r="DK686" s="2042">
        <f t="shared" si="12"/>
        <v>0</v>
      </c>
    </row>
    <row r="687" spans="1:115">
      <c r="A687" t="s">
        <v>3082</v>
      </c>
      <c r="B687" t="s">
        <v>181</v>
      </c>
      <c r="C687">
        <v>3357.4470000000001</v>
      </c>
      <c r="D687">
        <v>3429.4140000000002</v>
      </c>
      <c r="E687">
        <v>493.62600000000003</v>
      </c>
      <c r="F687">
        <v>0</v>
      </c>
      <c r="G687" s="2043">
        <v>1678613711</v>
      </c>
      <c r="H687">
        <v>0</v>
      </c>
      <c r="I687" s="2043">
        <v>7200922</v>
      </c>
      <c r="J687">
        <v>167.87200000000001</v>
      </c>
      <c r="K687">
        <v>459</v>
      </c>
      <c r="L687">
        <v>0</v>
      </c>
      <c r="M687">
        <v>2073908</v>
      </c>
      <c r="N687">
        <v>0</v>
      </c>
      <c r="O687">
        <v>2073908</v>
      </c>
      <c r="P687">
        <v>0</v>
      </c>
      <c r="Q687">
        <v>0</v>
      </c>
      <c r="R687" s="2043">
        <v>13640516</v>
      </c>
      <c r="S687">
        <v>829715</v>
      </c>
      <c r="T687">
        <v>0</v>
      </c>
      <c r="U687">
        <v>0.05</v>
      </c>
      <c r="V687">
        <v>0</v>
      </c>
      <c r="W687">
        <v>0</v>
      </c>
      <c r="X687">
        <v>0</v>
      </c>
      <c r="Y687">
        <v>0</v>
      </c>
      <c r="Z687">
        <v>0</v>
      </c>
      <c r="AA687">
        <v>0.17900000000000002</v>
      </c>
      <c r="AB687">
        <v>3387.1870000000004</v>
      </c>
      <c r="AC687" s="2043">
        <v>1420246261</v>
      </c>
      <c r="AD687">
        <v>8268961</v>
      </c>
      <c r="AE687" s="2043">
        <v>14470231</v>
      </c>
      <c r="AF687">
        <v>0.872</v>
      </c>
      <c r="AG687">
        <v>0</v>
      </c>
      <c r="AH687">
        <v>0</v>
      </c>
      <c r="AI687">
        <v>0</v>
      </c>
      <c r="AJ687">
        <v>499.91300000000001</v>
      </c>
      <c r="AK687">
        <v>9752</v>
      </c>
      <c r="AL687">
        <v>0.53300000000000003</v>
      </c>
      <c r="AM687">
        <v>0</v>
      </c>
      <c r="AN687">
        <v>50.206000000000003</v>
      </c>
      <c r="AO687">
        <v>0</v>
      </c>
      <c r="AP687">
        <v>0</v>
      </c>
      <c r="AQ687">
        <v>0.91600000000000004</v>
      </c>
      <c r="AR687">
        <v>79.808999999999997</v>
      </c>
      <c r="AS687">
        <v>0</v>
      </c>
      <c r="AT687">
        <v>19.233000000000001</v>
      </c>
      <c r="AU687">
        <v>6.8140000000000001</v>
      </c>
      <c r="AV687">
        <v>0</v>
      </c>
      <c r="AW687">
        <v>113.967</v>
      </c>
      <c r="AX687">
        <v>6.6619999999999999</v>
      </c>
      <c r="AY687">
        <v>349.18400000000003</v>
      </c>
      <c r="AZ687">
        <v>0</v>
      </c>
      <c r="BA687">
        <v>16455490</v>
      </c>
      <c r="BB687">
        <v>22739192</v>
      </c>
      <c r="BC687">
        <v>0</v>
      </c>
      <c r="BD687">
        <v>202815</v>
      </c>
      <c r="BE687">
        <v>53465</v>
      </c>
      <c r="BF687">
        <v>256280</v>
      </c>
      <c r="BG687">
        <v>202815</v>
      </c>
      <c r="BH687">
        <v>0</v>
      </c>
      <c r="BI687">
        <v>0</v>
      </c>
      <c r="BJ687">
        <v>0</v>
      </c>
      <c r="BK687">
        <v>0</v>
      </c>
      <c r="BL687">
        <v>1678613711</v>
      </c>
      <c r="BM687">
        <v>0</v>
      </c>
      <c r="BN687">
        <v>12717</v>
      </c>
      <c r="BO687">
        <v>4783</v>
      </c>
      <c r="BP687">
        <v>24402</v>
      </c>
      <c r="BQ687">
        <v>0</v>
      </c>
      <c r="BR687">
        <v>0.82200000000000006</v>
      </c>
      <c r="BS687">
        <v>0.82200000000000006</v>
      </c>
      <c r="BT687">
        <v>0</v>
      </c>
      <c r="BU687">
        <v>0</v>
      </c>
      <c r="BV687">
        <v>662</v>
      </c>
      <c r="BW687">
        <v>912</v>
      </c>
      <c r="BX687">
        <v>310</v>
      </c>
      <c r="BY687">
        <v>5</v>
      </c>
      <c r="BZ687">
        <v>202</v>
      </c>
      <c r="CA687">
        <v>2091</v>
      </c>
      <c r="CB687">
        <v>0</v>
      </c>
      <c r="CC687">
        <v>270.00299999999999</v>
      </c>
      <c r="CD687">
        <v>0</v>
      </c>
      <c r="CE687">
        <v>150</v>
      </c>
      <c r="CF687">
        <v>852.56100000000004</v>
      </c>
      <c r="CG687">
        <v>0</v>
      </c>
      <c r="CH687">
        <v>1.018</v>
      </c>
      <c r="CI687">
        <v>11</v>
      </c>
      <c r="CJ687">
        <v>0</v>
      </c>
      <c r="CK687">
        <v>0</v>
      </c>
      <c r="CL687">
        <v>1.018</v>
      </c>
      <c r="CM687">
        <v>493.62600000000003</v>
      </c>
      <c r="CN687">
        <v>24402</v>
      </c>
      <c r="CO687">
        <v>0</v>
      </c>
      <c r="CP687">
        <v>0</v>
      </c>
      <c r="CQ687">
        <v>0</v>
      </c>
      <c r="CR687">
        <v>0</v>
      </c>
      <c r="CS687">
        <v>0</v>
      </c>
      <c r="CT687">
        <v>0</v>
      </c>
      <c r="CU687">
        <v>4.3660000000000005</v>
      </c>
      <c r="CV687">
        <v>132.50300000000001</v>
      </c>
      <c r="CW687">
        <v>54.746000000000002</v>
      </c>
      <c r="CX687">
        <v>0</v>
      </c>
      <c r="CY687" s="2043">
        <v>0</v>
      </c>
      <c r="CZ687" s="2043">
        <v>0</v>
      </c>
      <c r="DA687" s="2043">
        <v>0</v>
      </c>
      <c r="DB687" s="2043">
        <v>0</v>
      </c>
      <c r="DC687" s="2043">
        <v>0</v>
      </c>
      <c r="DI687" t="s">
        <v>3082</v>
      </c>
      <c r="DJ687" t="s">
        <v>3082</v>
      </c>
      <c r="DK687" s="2042">
        <f t="shared" si="12"/>
        <v>0</v>
      </c>
    </row>
    <row r="688" spans="1:115">
      <c r="A688" t="s">
        <v>3083</v>
      </c>
      <c r="B688" t="s">
        <v>1777</v>
      </c>
      <c r="C688">
        <v>11843.712</v>
      </c>
      <c r="D688">
        <v>12480.574000000001</v>
      </c>
      <c r="E688">
        <v>558.61900000000003</v>
      </c>
      <c r="F688">
        <v>0</v>
      </c>
      <c r="G688" s="2043">
        <v>5807219288</v>
      </c>
      <c r="H688">
        <v>0</v>
      </c>
      <c r="I688" s="2043">
        <v>22804078</v>
      </c>
      <c r="J688">
        <v>592.18600000000004</v>
      </c>
      <c r="K688">
        <v>1619</v>
      </c>
      <c r="L688">
        <v>0</v>
      </c>
      <c r="M688">
        <v>2740869</v>
      </c>
      <c r="N688">
        <v>0</v>
      </c>
      <c r="O688">
        <v>2740869</v>
      </c>
      <c r="P688">
        <v>0</v>
      </c>
      <c r="Q688">
        <v>0</v>
      </c>
      <c r="R688" s="2043">
        <v>49277422</v>
      </c>
      <c r="S688">
        <v>4603753</v>
      </c>
      <c r="T688">
        <v>3354985</v>
      </c>
      <c r="U688">
        <v>0.08</v>
      </c>
      <c r="V688">
        <v>410.35200000000003</v>
      </c>
      <c r="W688">
        <v>0</v>
      </c>
      <c r="X688">
        <v>0</v>
      </c>
      <c r="Y688">
        <v>0</v>
      </c>
      <c r="Z688">
        <v>0</v>
      </c>
      <c r="AA688">
        <v>0.61299999999999999</v>
      </c>
      <c r="AB688">
        <v>11975.865</v>
      </c>
      <c r="AC688" s="2043">
        <v>4850983364</v>
      </c>
      <c r="AD688">
        <v>28761046</v>
      </c>
      <c r="AE688" s="2043">
        <v>57236160</v>
      </c>
      <c r="AF688">
        <v>0.99460000000000004</v>
      </c>
      <c r="AG688">
        <v>0</v>
      </c>
      <c r="AH688">
        <v>0</v>
      </c>
      <c r="AI688">
        <v>0</v>
      </c>
      <c r="AJ688">
        <v>967.66300000000001</v>
      </c>
      <c r="AK688">
        <v>34483</v>
      </c>
      <c r="AL688">
        <v>0.45800000000000002</v>
      </c>
      <c r="AM688">
        <v>0</v>
      </c>
      <c r="AN688">
        <v>636.41399999999999</v>
      </c>
      <c r="AO688">
        <v>0</v>
      </c>
      <c r="AP688">
        <v>4.0000000000000001E-3</v>
      </c>
      <c r="AQ688">
        <v>3.5030000000000001</v>
      </c>
      <c r="AR688">
        <v>115.55</v>
      </c>
      <c r="AS688">
        <v>0</v>
      </c>
      <c r="AT688">
        <v>83.329000000000008</v>
      </c>
      <c r="AU688">
        <v>27.658000000000001</v>
      </c>
      <c r="AV688">
        <v>0</v>
      </c>
      <c r="AW688">
        <v>247.67200000000003</v>
      </c>
      <c r="AX688">
        <v>17.170000000000002</v>
      </c>
      <c r="AY688">
        <v>776.71900000000005</v>
      </c>
      <c r="AZ688">
        <v>0</v>
      </c>
      <c r="BA688">
        <v>52646299</v>
      </c>
      <c r="BB688">
        <v>85997206</v>
      </c>
      <c r="BC688">
        <v>0</v>
      </c>
      <c r="BD688">
        <v>416888</v>
      </c>
      <c r="BE688">
        <v>196589</v>
      </c>
      <c r="BF688">
        <v>702632</v>
      </c>
      <c r="BG688">
        <v>416888</v>
      </c>
      <c r="BH688">
        <v>89155</v>
      </c>
      <c r="BI688">
        <v>0</v>
      </c>
      <c r="BJ688">
        <v>0</v>
      </c>
      <c r="BK688">
        <v>0</v>
      </c>
      <c r="BL688">
        <v>5807219288</v>
      </c>
      <c r="BM688">
        <v>0</v>
      </c>
      <c r="BN688">
        <v>48249</v>
      </c>
      <c r="BO688">
        <v>24792</v>
      </c>
      <c r="BP688">
        <v>0</v>
      </c>
      <c r="BQ688">
        <v>0</v>
      </c>
      <c r="BR688">
        <v>0.85630000000000006</v>
      </c>
      <c r="BS688">
        <v>0.85630000000000006</v>
      </c>
      <c r="BT688">
        <v>0</v>
      </c>
      <c r="BU688">
        <v>0</v>
      </c>
      <c r="BV688">
        <v>1797</v>
      </c>
      <c r="BW688">
        <v>1466</v>
      </c>
      <c r="BX688">
        <v>690</v>
      </c>
      <c r="BY688">
        <v>63</v>
      </c>
      <c r="BZ688">
        <v>95</v>
      </c>
      <c r="CA688">
        <v>4111</v>
      </c>
      <c r="CB688">
        <v>0</v>
      </c>
      <c r="CC688">
        <v>207.791</v>
      </c>
      <c r="CD688">
        <v>0</v>
      </c>
      <c r="CE688">
        <v>926</v>
      </c>
      <c r="CF688">
        <v>1501.7760000000001</v>
      </c>
      <c r="CG688">
        <v>54.208000000000006</v>
      </c>
      <c r="CH688">
        <v>3.9580000000000002</v>
      </c>
      <c r="CI688">
        <v>25</v>
      </c>
      <c r="CJ688">
        <v>89</v>
      </c>
      <c r="CK688">
        <v>0</v>
      </c>
      <c r="CL688">
        <v>58.166000000000004</v>
      </c>
      <c r="CM688">
        <v>558.61900000000003</v>
      </c>
      <c r="CN688">
        <v>0</v>
      </c>
      <c r="CO688">
        <v>0</v>
      </c>
      <c r="CP688">
        <v>0</v>
      </c>
      <c r="CQ688">
        <v>0</v>
      </c>
      <c r="CR688">
        <v>0</v>
      </c>
      <c r="CS688">
        <v>0</v>
      </c>
      <c r="CT688">
        <v>0</v>
      </c>
      <c r="CU688">
        <v>23.797000000000001</v>
      </c>
      <c r="CV688">
        <v>507.17400000000004</v>
      </c>
      <c r="CW688">
        <v>276.99600000000004</v>
      </c>
      <c r="CX688">
        <v>0</v>
      </c>
      <c r="CY688" s="2043">
        <v>0</v>
      </c>
      <c r="CZ688" s="2043">
        <v>0</v>
      </c>
      <c r="DA688" s="2043">
        <v>0</v>
      </c>
      <c r="DB688" s="2043">
        <v>0</v>
      </c>
      <c r="DC688" s="2043">
        <v>0</v>
      </c>
      <c r="DI688" t="s">
        <v>3083</v>
      </c>
      <c r="DJ688" t="s">
        <v>3083</v>
      </c>
      <c r="DK688" s="2042">
        <f t="shared" si="12"/>
        <v>0</v>
      </c>
    </row>
    <row r="689" spans="1:115">
      <c r="A689" t="s">
        <v>5120</v>
      </c>
      <c r="B689" t="s">
        <v>539</v>
      </c>
      <c r="C689">
        <v>6395.0060000000003</v>
      </c>
      <c r="D689">
        <v>6479.5770000000002</v>
      </c>
      <c r="E689">
        <v>962.70600000000002</v>
      </c>
      <c r="F689">
        <v>0</v>
      </c>
      <c r="G689" s="2043">
        <v>3206908950</v>
      </c>
      <c r="H689">
        <v>0</v>
      </c>
      <c r="I689" s="2043">
        <v>8847050</v>
      </c>
      <c r="J689">
        <v>319.75</v>
      </c>
      <c r="K689">
        <v>874</v>
      </c>
      <c r="L689">
        <v>0</v>
      </c>
      <c r="M689">
        <v>0</v>
      </c>
      <c r="N689">
        <v>0</v>
      </c>
      <c r="O689">
        <v>0</v>
      </c>
      <c r="P689">
        <v>0</v>
      </c>
      <c r="Q689">
        <v>0</v>
      </c>
      <c r="R689" s="2043">
        <v>27283906</v>
      </c>
      <c r="S689">
        <v>2550196</v>
      </c>
      <c r="T689">
        <v>1858455</v>
      </c>
      <c r="U689">
        <v>0.08</v>
      </c>
      <c r="V689">
        <v>0</v>
      </c>
      <c r="W689">
        <v>0</v>
      </c>
      <c r="X689">
        <v>0</v>
      </c>
      <c r="Y689">
        <v>0</v>
      </c>
      <c r="Z689">
        <v>0</v>
      </c>
      <c r="AA689">
        <v>1.417</v>
      </c>
      <c r="AB689">
        <v>6347.0460000000003</v>
      </c>
      <c r="AC689" s="2043">
        <v>2714281663</v>
      </c>
      <c r="AD689">
        <v>14435741</v>
      </c>
      <c r="AE689" s="2043">
        <v>31692557</v>
      </c>
      <c r="AF689">
        <v>0.99420000000000008</v>
      </c>
      <c r="AG689">
        <v>0</v>
      </c>
      <c r="AH689">
        <v>0</v>
      </c>
      <c r="AI689">
        <v>0</v>
      </c>
      <c r="AJ689">
        <v>1227.125</v>
      </c>
      <c r="AK689">
        <v>18931</v>
      </c>
      <c r="AL689">
        <v>0.78600000000000003</v>
      </c>
      <c r="AM689">
        <v>0</v>
      </c>
      <c r="AN689">
        <v>251.006</v>
      </c>
      <c r="AO689">
        <v>0</v>
      </c>
      <c r="AP689">
        <v>0</v>
      </c>
      <c r="AQ689">
        <v>0</v>
      </c>
      <c r="AR689">
        <v>87.933000000000007</v>
      </c>
      <c r="AS689">
        <v>0</v>
      </c>
      <c r="AT689">
        <v>62.677</v>
      </c>
      <c r="AU689">
        <v>15.894</v>
      </c>
      <c r="AV689">
        <v>0</v>
      </c>
      <c r="AW689">
        <v>172.51</v>
      </c>
      <c r="AX689">
        <v>5.22</v>
      </c>
      <c r="AY689">
        <v>547.23599999999999</v>
      </c>
      <c r="AZ689">
        <v>0</v>
      </c>
      <c r="BA689">
        <v>33343417</v>
      </c>
      <c r="BB689">
        <v>46128298</v>
      </c>
      <c r="BC689">
        <v>0</v>
      </c>
      <c r="BD689">
        <v>275638</v>
      </c>
      <c r="BE689">
        <v>138008</v>
      </c>
      <c r="BF689">
        <v>468945</v>
      </c>
      <c r="BG689">
        <v>275638</v>
      </c>
      <c r="BH689">
        <v>55299</v>
      </c>
      <c r="BI689">
        <v>0</v>
      </c>
      <c r="BJ689">
        <v>0</v>
      </c>
      <c r="BK689">
        <v>0</v>
      </c>
      <c r="BL689">
        <v>3206908950</v>
      </c>
      <c r="BM689">
        <v>0</v>
      </c>
      <c r="BN689">
        <v>24525</v>
      </c>
      <c r="BO689">
        <v>13964</v>
      </c>
      <c r="BP689">
        <v>0</v>
      </c>
      <c r="BQ689">
        <v>0</v>
      </c>
      <c r="BR689">
        <v>0.85589999999999999</v>
      </c>
      <c r="BS689">
        <v>0.85589999999999999</v>
      </c>
      <c r="BT689">
        <v>0</v>
      </c>
      <c r="BU689">
        <v>0</v>
      </c>
      <c r="BV689">
        <v>1314</v>
      </c>
      <c r="BW689">
        <v>607</v>
      </c>
      <c r="BX689">
        <v>1023</v>
      </c>
      <c r="BY689">
        <v>1563</v>
      </c>
      <c r="BZ689">
        <v>441</v>
      </c>
      <c r="CA689">
        <v>4948</v>
      </c>
      <c r="CB689">
        <v>0</v>
      </c>
      <c r="CC689">
        <v>442.44499999999999</v>
      </c>
      <c r="CD689">
        <v>91.549000000000007</v>
      </c>
      <c r="CE689">
        <v>552</v>
      </c>
      <c r="CF689">
        <v>1862.2180000000001</v>
      </c>
      <c r="CG689">
        <v>35.255000000000003</v>
      </c>
      <c r="CH689">
        <v>0</v>
      </c>
      <c r="CI689">
        <v>0</v>
      </c>
      <c r="CJ689">
        <v>15</v>
      </c>
      <c r="CK689">
        <v>0</v>
      </c>
      <c r="CL689">
        <v>35.255000000000003</v>
      </c>
      <c r="CM689">
        <v>962.70600000000002</v>
      </c>
      <c r="CN689">
        <v>0</v>
      </c>
      <c r="CO689">
        <v>0</v>
      </c>
      <c r="CP689">
        <v>0</v>
      </c>
      <c r="CQ689">
        <v>0</v>
      </c>
      <c r="CR689">
        <v>0</v>
      </c>
      <c r="CS689">
        <v>0</v>
      </c>
      <c r="CT689">
        <v>0</v>
      </c>
      <c r="CU689">
        <v>13.92</v>
      </c>
      <c r="CV689">
        <v>325.298</v>
      </c>
      <c r="CW689">
        <v>241.68700000000001</v>
      </c>
      <c r="CX689">
        <v>0</v>
      </c>
      <c r="CY689" s="2043">
        <v>0</v>
      </c>
      <c r="CZ689" s="2043">
        <v>0</v>
      </c>
      <c r="DA689" s="2043">
        <v>0</v>
      </c>
      <c r="DB689" s="2043">
        <v>0</v>
      </c>
      <c r="DC689" s="2043">
        <v>0</v>
      </c>
      <c r="DI689" t="s">
        <v>5120</v>
      </c>
      <c r="DJ689" t="s">
        <v>5120</v>
      </c>
      <c r="DK689" s="2042">
        <f t="shared" si="12"/>
        <v>0</v>
      </c>
    </row>
    <row r="690" spans="1:115">
      <c r="A690" t="s">
        <v>4285</v>
      </c>
      <c r="B690" t="s">
        <v>1700</v>
      </c>
      <c r="C690">
        <v>1275.3040000000001</v>
      </c>
      <c r="D690">
        <v>1355.922</v>
      </c>
      <c r="E690">
        <v>67.569000000000003</v>
      </c>
      <c r="F690">
        <v>0</v>
      </c>
      <c r="G690" s="2043">
        <v>427129370</v>
      </c>
      <c r="H690">
        <v>0</v>
      </c>
      <c r="I690" s="2043">
        <v>1017775</v>
      </c>
      <c r="J690">
        <v>63.765000000000001</v>
      </c>
      <c r="K690">
        <v>174</v>
      </c>
      <c r="L690">
        <v>0</v>
      </c>
      <c r="M690">
        <v>0</v>
      </c>
      <c r="N690">
        <v>0</v>
      </c>
      <c r="O690">
        <v>0</v>
      </c>
      <c r="P690">
        <v>0</v>
      </c>
      <c r="Q690">
        <v>0</v>
      </c>
      <c r="R690" s="2043">
        <v>3475333</v>
      </c>
      <c r="S690">
        <v>211395</v>
      </c>
      <c r="T690">
        <v>0</v>
      </c>
      <c r="U690">
        <v>0.05</v>
      </c>
      <c r="V690">
        <v>0</v>
      </c>
      <c r="W690">
        <v>0</v>
      </c>
      <c r="X690">
        <v>0</v>
      </c>
      <c r="Y690">
        <v>-3961</v>
      </c>
      <c r="Z690">
        <v>0</v>
      </c>
      <c r="AA690">
        <v>0</v>
      </c>
      <c r="AB690">
        <v>1270.636</v>
      </c>
      <c r="AC690" s="2043">
        <v>323140389</v>
      </c>
      <c r="AD690">
        <v>1289990</v>
      </c>
      <c r="AE690" s="2043">
        <v>3686728</v>
      </c>
      <c r="AF690">
        <v>0.872</v>
      </c>
      <c r="AG690">
        <v>0</v>
      </c>
      <c r="AH690">
        <v>0</v>
      </c>
      <c r="AI690">
        <v>0</v>
      </c>
      <c r="AJ690">
        <v>126.2</v>
      </c>
      <c r="AK690">
        <v>4924</v>
      </c>
      <c r="AL690">
        <v>0</v>
      </c>
      <c r="AM690">
        <v>0</v>
      </c>
      <c r="AN690">
        <v>27.36</v>
      </c>
      <c r="AO690">
        <v>0</v>
      </c>
      <c r="AP690">
        <v>0</v>
      </c>
      <c r="AQ690">
        <v>1.681</v>
      </c>
      <c r="AR690">
        <v>30.072000000000003</v>
      </c>
      <c r="AS690">
        <v>0</v>
      </c>
      <c r="AT690">
        <v>12.299000000000001</v>
      </c>
      <c r="AU690">
        <v>3.1180000000000003</v>
      </c>
      <c r="AV690">
        <v>0</v>
      </c>
      <c r="AW690">
        <v>47.17</v>
      </c>
      <c r="AX690">
        <v>0</v>
      </c>
      <c r="AY690">
        <v>142.703</v>
      </c>
      <c r="AZ690">
        <v>0</v>
      </c>
      <c r="BA690">
        <v>9497663</v>
      </c>
      <c r="BB690">
        <v>4976718</v>
      </c>
      <c r="BC690">
        <v>0</v>
      </c>
      <c r="BD690">
        <v>52192</v>
      </c>
      <c r="BE690">
        <v>0</v>
      </c>
      <c r="BF690">
        <v>52192</v>
      </c>
      <c r="BG690">
        <v>52192</v>
      </c>
      <c r="BH690">
        <v>0</v>
      </c>
      <c r="BI690">
        <v>-3961</v>
      </c>
      <c r="BJ690">
        <v>0</v>
      </c>
      <c r="BK690">
        <v>0</v>
      </c>
      <c r="BL690">
        <v>427129370</v>
      </c>
      <c r="BM690">
        <v>0</v>
      </c>
      <c r="BN690">
        <v>4833</v>
      </c>
      <c r="BO690">
        <v>4077</v>
      </c>
      <c r="BP690">
        <v>0</v>
      </c>
      <c r="BQ690">
        <v>0</v>
      </c>
      <c r="BR690">
        <v>0.82200000000000006</v>
      </c>
      <c r="BS690">
        <v>0.82200000000000006</v>
      </c>
      <c r="BT690">
        <v>0</v>
      </c>
      <c r="BU690">
        <v>0</v>
      </c>
      <c r="BV690">
        <v>260</v>
      </c>
      <c r="BW690">
        <v>149</v>
      </c>
      <c r="BX690">
        <v>3</v>
      </c>
      <c r="BY690">
        <v>115</v>
      </c>
      <c r="BZ690">
        <v>5</v>
      </c>
      <c r="CA690">
        <v>532</v>
      </c>
      <c r="CB690">
        <v>0</v>
      </c>
      <c r="CC690">
        <v>0</v>
      </c>
      <c r="CD690">
        <v>0</v>
      </c>
      <c r="CE690">
        <v>66</v>
      </c>
      <c r="CF690">
        <v>179.90300000000002</v>
      </c>
      <c r="CG690">
        <v>0</v>
      </c>
      <c r="CH690">
        <v>1.887</v>
      </c>
      <c r="CI690">
        <v>4</v>
      </c>
      <c r="CJ690">
        <v>48</v>
      </c>
      <c r="CK690">
        <v>0</v>
      </c>
      <c r="CL690">
        <v>1.887</v>
      </c>
      <c r="CM690">
        <v>67.569000000000003</v>
      </c>
      <c r="CN690">
        <v>0</v>
      </c>
      <c r="CO690">
        <v>0</v>
      </c>
      <c r="CP690">
        <v>0</v>
      </c>
      <c r="CQ690">
        <v>0</v>
      </c>
      <c r="CR690">
        <v>0</v>
      </c>
      <c r="CS690">
        <v>0</v>
      </c>
      <c r="CT690">
        <v>0</v>
      </c>
      <c r="CU690">
        <v>0</v>
      </c>
      <c r="CV690">
        <v>76.537999999999997</v>
      </c>
      <c r="CW690">
        <v>56.649000000000001</v>
      </c>
      <c r="CX690">
        <v>0</v>
      </c>
      <c r="CY690" s="2043">
        <v>0</v>
      </c>
      <c r="CZ690" s="2043">
        <v>0</v>
      </c>
      <c r="DA690" s="2043">
        <v>0</v>
      </c>
      <c r="DB690" s="2043">
        <v>0</v>
      </c>
      <c r="DC690" s="2043">
        <v>0</v>
      </c>
      <c r="DI690" t="s">
        <v>4285</v>
      </c>
      <c r="DJ690" t="s">
        <v>4285</v>
      </c>
      <c r="DK690" s="2042">
        <f t="shared" si="12"/>
        <v>0</v>
      </c>
    </row>
    <row r="691" spans="1:115">
      <c r="A691" t="s">
        <v>3084</v>
      </c>
      <c r="B691" t="s">
        <v>43</v>
      </c>
      <c r="C691">
        <v>5509.6130000000003</v>
      </c>
      <c r="D691">
        <v>5332.21</v>
      </c>
      <c r="E691">
        <v>441.31300000000005</v>
      </c>
      <c r="F691">
        <v>0</v>
      </c>
      <c r="G691" s="2043">
        <v>2104929589</v>
      </c>
      <c r="H691">
        <v>0</v>
      </c>
      <c r="I691" s="2043">
        <v>6587630</v>
      </c>
      <c r="J691">
        <v>168</v>
      </c>
      <c r="K691">
        <v>459</v>
      </c>
      <c r="L691">
        <v>0</v>
      </c>
      <c r="M691">
        <v>0</v>
      </c>
      <c r="N691">
        <v>0</v>
      </c>
      <c r="O691">
        <v>0</v>
      </c>
      <c r="P691">
        <v>0</v>
      </c>
      <c r="Q691">
        <v>0</v>
      </c>
      <c r="R691" s="2043">
        <v>17084476</v>
      </c>
      <c r="S691">
        <v>1662723</v>
      </c>
      <c r="T691">
        <v>1211709</v>
      </c>
      <c r="U691">
        <v>0.08</v>
      </c>
      <c r="V691">
        <v>0</v>
      </c>
      <c r="W691">
        <v>0</v>
      </c>
      <c r="X691">
        <v>0</v>
      </c>
      <c r="Y691">
        <v>0</v>
      </c>
      <c r="Z691">
        <v>0</v>
      </c>
      <c r="AA691">
        <v>0.34</v>
      </c>
      <c r="AB691">
        <v>5316.3910000000005</v>
      </c>
      <c r="AC691" s="2043">
        <v>1640746470</v>
      </c>
      <c r="AD691">
        <v>6854710</v>
      </c>
      <c r="AE691" s="2043">
        <v>19958908</v>
      </c>
      <c r="AF691">
        <v>0.96030000000000004</v>
      </c>
      <c r="AG691">
        <v>0</v>
      </c>
      <c r="AH691">
        <v>0</v>
      </c>
      <c r="AI691">
        <v>0</v>
      </c>
      <c r="AJ691">
        <v>747.4</v>
      </c>
      <c r="AK691">
        <v>16741</v>
      </c>
      <c r="AL691">
        <v>0.14700000000000002</v>
      </c>
      <c r="AM691">
        <v>0</v>
      </c>
      <c r="AN691">
        <v>183.87300000000002</v>
      </c>
      <c r="AO691">
        <v>0</v>
      </c>
      <c r="AP691">
        <v>0.11800000000000001</v>
      </c>
      <c r="AQ691">
        <v>0</v>
      </c>
      <c r="AR691">
        <v>109.988</v>
      </c>
      <c r="AS691">
        <v>0</v>
      </c>
      <c r="AT691">
        <v>41.042999999999999</v>
      </c>
      <c r="AU691">
        <v>14.141</v>
      </c>
      <c r="AV691">
        <v>0</v>
      </c>
      <c r="AW691">
        <v>165.65</v>
      </c>
      <c r="AX691">
        <v>0.21300000000000002</v>
      </c>
      <c r="AY691">
        <v>525.34199999999998</v>
      </c>
      <c r="AZ691">
        <v>0</v>
      </c>
      <c r="BA691">
        <v>33733183</v>
      </c>
      <c r="BB691">
        <v>26813618</v>
      </c>
      <c r="BC691">
        <v>0</v>
      </c>
      <c r="BD691">
        <v>320376</v>
      </c>
      <c r="BE691">
        <v>93152</v>
      </c>
      <c r="BF691">
        <v>413528</v>
      </c>
      <c r="BG691">
        <v>320376</v>
      </c>
      <c r="BH691">
        <v>0</v>
      </c>
      <c r="BI691">
        <v>0</v>
      </c>
      <c r="BJ691">
        <v>0</v>
      </c>
      <c r="BK691">
        <v>0</v>
      </c>
      <c r="BL691">
        <v>2104929589</v>
      </c>
      <c r="BM691">
        <v>0</v>
      </c>
      <c r="BN691">
        <v>18594</v>
      </c>
      <c r="BO691">
        <v>9395</v>
      </c>
      <c r="BP691">
        <v>0</v>
      </c>
      <c r="BQ691">
        <v>0</v>
      </c>
      <c r="BR691">
        <v>0.82200000000000006</v>
      </c>
      <c r="BS691">
        <v>0.82200000000000006</v>
      </c>
      <c r="BT691">
        <v>0</v>
      </c>
      <c r="BU691">
        <v>0</v>
      </c>
      <c r="BV691">
        <v>811</v>
      </c>
      <c r="BW691">
        <v>1388</v>
      </c>
      <c r="BX691">
        <v>497</v>
      </c>
      <c r="BY691">
        <v>402</v>
      </c>
      <c r="BZ691">
        <v>20</v>
      </c>
      <c r="CA691">
        <v>3118</v>
      </c>
      <c r="CB691">
        <v>0</v>
      </c>
      <c r="CC691">
        <v>250.512</v>
      </c>
      <c r="CD691">
        <v>0</v>
      </c>
      <c r="CE691">
        <v>496</v>
      </c>
      <c r="CF691">
        <v>1159.5170000000001</v>
      </c>
      <c r="CG691">
        <v>34.073</v>
      </c>
      <c r="CH691">
        <v>0</v>
      </c>
      <c r="CI691">
        <v>4</v>
      </c>
      <c r="CJ691">
        <v>30</v>
      </c>
      <c r="CK691">
        <v>0</v>
      </c>
      <c r="CL691">
        <v>34.073</v>
      </c>
      <c r="CM691">
        <v>441.31300000000005</v>
      </c>
      <c r="CN691">
        <v>0</v>
      </c>
      <c r="CO691">
        <v>0</v>
      </c>
      <c r="CP691">
        <v>0</v>
      </c>
      <c r="CQ691">
        <v>0</v>
      </c>
      <c r="CR691">
        <v>0</v>
      </c>
      <c r="CS691">
        <v>0</v>
      </c>
      <c r="CT691">
        <v>0</v>
      </c>
      <c r="CU691">
        <v>2.9490000000000003</v>
      </c>
      <c r="CV691">
        <v>316.94400000000002</v>
      </c>
      <c r="CW691">
        <v>156.90300000000002</v>
      </c>
      <c r="CX691">
        <v>0</v>
      </c>
      <c r="CY691" s="2043">
        <v>0</v>
      </c>
      <c r="CZ691" s="2043">
        <v>0</v>
      </c>
      <c r="DA691" s="2043">
        <v>0</v>
      </c>
      <c r="DB691" s="2043">
        <v>0</v>
      </c>
      <c r="DC691" s="2043">
        <v>0</v>
      </c>
      <c r="DI691" t="s">
        <v>3084</v>
      </c>
      <c r="DJ691" t="s">
        <v>3084</v>
      </c>
      <c r="DK691" s="2042">
        <f t="shared" si="12"/>
        <v>0</v>
      </c>
    </row>
    <row r="692" spans="1:115">
      <c r="A692" t="s">
        <v>3085</v>
      </c>
      <c r="B692" t="s">
        <v>1253</v>
      </c>
      <c r="C692">
        <v>942.04500000000007</v>
      </c>
      <c r="D692">
        <v>1034.7820000000002</v>
      </c>
      <c r="E692">
        <v>171.202</v>
      </c>
      <c r="F692">
        <v>0</v>
      </c>
      <c r="G692" s="2043">
        <v>213720020</v>
      </c>
      <c r="H692">
        <v>0</v>
      </c>
      <c r="I692" s="2043">
        <v>777969</v>
      </c>
      <c r="J692">
        <v>47.102000000000004</v>
      </c>
      <c r="K692">
        <v>129</v>
      </c>
      <c r="L692">
        <v>0</v>
      </c>
      <c r="M692">
        <v>196049</v>
      </c>
      <c r="N692">
        <v>0</v>
      </c>
      <c r="O692">
        <v>196049</v>
      </c>
      <c r="P692">
        <v>0</v>
      </c>
      <c r="Q692">
        <v>0</v>
      </c>
      <c r="R692" s="2043">
        <v>1843780</v>
      </c>
      <c r="S692">
        <v>169465</v>
      </c>
      <c r="T692">
        <v>123498</v>
      </c>
      <c r="U692">
        <v>0.08</v>
      </c>
      <c r="V692">
        <v>0</v>
      </c>
      <c r="W692">
        <v>0</v>
      </c>
      <c r="X692">
        <v>0</v>
      </c>
      <c r="Y692">
        <v>0</v>
      </c>
      <c r="Z692">
        <v>7.9990000000000006</v>
      </c>
      <c r="AA692">
        <v>5.7000000000000002E-2</v>
      </c>
      <c r="AB692">
        <v>1021.0400000000001</v>
      </c>
      <c r="AC692" s="2043">
        <v>176625372</v>
      </c>
      <c r="AD692">
        <v>471479</v>
      </c>
      <c r="AE692" s="2043">
        <v>2136743</v>
      </c>
      <c r="AF692">
        <v>1.0087000000000002</v>
      </c>
      <c r="AG692">
        <v>0</v>
      </c>
      <c r="AH692">
        <v>0</v>
      </c>
      <c r="AI692">
        <v>0</v>
      </c>
      <c r="AJ692">
        <v>166.113</v>
      </c>
      <c r="AK692">
        <v>3674</v>
      </c>
      <c r="AL692">
        <v>0</v>
      </c>
      <c r="AM692">
        <v>0</v>
      </c>
      <c r="AN692">
        <v>33.326999999999998</v>
      </c>
      <c r="AO692">
        <v>0</v>
      </c>
      <c r="AP692">
        <v>0</v>
      </c>
      <c r="AQ692">
        <v>0</v>
      </c>
      <c r="AR692">
        <v>16.958000000000002</v>
      </c>
      <c r="AS692">
        <v>0</v>
      </c>
      <c r="AT692">
        <v>7.9380000000000006</v>
      </c>
      <c r="AU692">
        <v>2.1020000000000003</v>
      </c>
      <c r="AV692">
        <v>0</v>
      </c>
      <c r="AW692">
        <v>27.027000000000001</v>
      </c>
      <c r="AX692">
        <v>2.9000000000000001E-2</v>
      </c>
      <c r="AY692">
        <v>85.265000000000001</v>
      </c>
      <c r="AZ692">
        <v>0</v>
      </c>
      <c r="BA692">
        <v>9870004</v>
      </c>
      <c r="BB692">
        <v>2608222</v>
      </c>
      <c r="BC692">
        <v>0</v>
      </c>
      <c r="BD692">
        <v>0</v>
      </c>
      <c r="BE692">
        <v>0</v>
      </c>
      <c r="BF692">
        <v>0</v>
      </c>
      <c r="BG692">
        <v>0</v>
      </c>
      <c r="BH692">
        <v>0</v>
      </c>
      <c r="BI692">
        <v>0</v>
      </c>
      <c r="BJ692">
        <v>0</v>
      </c>
      <c r="BK692">
        <v>0</v>
      </c>
      <c r="BL692">
        <v>213720020</v>
      </c>
      <c r="BM692">
        <v>0</v>
      </c>
      <c r="BN692">
        <v>3996</v>
      </c>
      <c r="BO692">
        <v>1370</v>
      </c>
      <c r="BP692">
        <v>0</v>
      </c>
      <c r="BQ692">
        <v>0</v>
      </c>
      <c r="BR692">
        <v>0.87040000000000006</v>
      </c>
      <c r="BS692">
        <v>0.87040000000000006</v>
      </c>
      <c r="BT692">
        <v>0</v>
      </c>
      <c r="BU692">
        <v>0</v>
      </c>
      <c r="BV692">
        <v>91</v>
      </c>
      <c r="BW692">
        <v>299</v>
      </c>
      <c r="BX692">
        <v>40</v>
      </c>
      <c r="BY692">
        <v>242</v>
      </c>
      <c r="BZ692">
        <v>4</v>
      </c>
      <c r="CA692">
        <v>676</v>
      </c>
      <c r="CB692">
        <v>0</v>
      </c>
      <c r="CC692">
        <v>0</v>
      </c>
      <c r="CD692">
        <v>0</v>
      </c>
      <c r="CE692">
        <v>68</v>
      </c>
      <c r="CF692">
        <v>201.30200000000002</v>
      </c>
      <c r="CG692">
        <v>3.7150000000000003</v>
      </c>
      <c r="CH692">
        <v>0</v>
      </c>
      <c r="CI692">
        <v>11</v>
      </c>
      <c r="CJ692">
        <v>5</v>
      </c>
      <c r="CK692">
        <v>0</v>
      </c>
      <c r="CL692">
        <v>3.7150000000000003</v>
      </c>
      <c r="CM692">
        <v>171.202</v>
      </c>
      <c r="CN692">
        <v>0</v>
      </c>
      <c r="CO692">
        <v>0</v>
      </c>
      <c r="CP692">
        <v>0</v>
      </c>
      <c r="CQ692">
        <v>0</v>
      </c>
      <c r="CR692">
        <v>0</v>
      </c>
      <c r="CS692">
        <v>0</v>
      </c>
      <c r="CT692">
        <v>0</v>
      </c>
      <c r="CU692">
        <v>0</v>
      </c>
      <c r="CV692">
        <v>73.542000000000002</v>
      </c>
      <c r="CW692">
        <v>22.532</v>
      </c>
      <c r="CX692">
        <v>0</v>
      </c>
      <c r="CY692" s="2043">
        <v>0</v>
      </c>
      <c r="CZ692" s="2043">
        <v>0</v>
      </c>
      <c r="DA692" s="2043">
        <v>0</v>
      </c>
      <c r="DB692" s="2043">
        <v>0</v>
      </c>
      <c r="DC692" s="2043">
        <v>0</v>
      </c>
      <c r="DI692" t="s">
        <v>3085</v>
      </c>
      <c r="DJ692" t="s">
        <v>3085</v>
      </c>
      <c r="DK692" s="2042">
        <f t="shared" si="12"/>
        <v>0</v>
      </c>
    </row>
    <row r="693" spans="1:115">
      <c r="A693" t="s">
        <v>3086</v>
      </c>
      <c r="B693" t="s">
        <v>2199</v>
      </c>
      <c r="C693">
        <v>770.58600000000001</v>
      </c>
      <c r="D693">
        <v>712.83100000000002</v>
      </c>
      <c r="E693">
        <v>31.163</v>
      </c>
      <c r="F693">
        <v>0</v>
      </c>
      <c r="G693" s="2043">
        <v>374346686</v>
      </c>
      <c r="H693">
        <v>0</v>
      </c>
      <c r="I693" s="2043">
        <v>1141325</v>
      </c>
      <c r="J693">
        <v>38.529000000000003</v>
      </c>
      <c r="K693">
        <v>105</v>
      </c>
      <c r="L693">
        <v>0</v>
      </c>
      <c r="M693">
        <v>140320</v>
      </c>
      <c r="N693">
        <v>0</v>
      </c>
      <c r="O693">
        <v>140320</v>
      </c>
      <c r="P693">
        <v>0</v>
      </c>
      <c r="Q693">
        <v>0</v>
      </c>
      <c r="R693" s="2043">
        <v>3048593</v>
      </c>
      <c r="S693">
        <v>294230</v>
      </c>
      <c r="T693">
        <v>214421</v>
      </c>
      <c r="U693">
        <v>0.08</v>
      </c>
      <c r="V693">
        <v>0</v>
      </c>
      <c r="W693">
        <v>0</v>
      </c>
      <c r="X693">
        <v>0</v>
      </c>
      <c r="Y693">
        <v>0</v>
      </c>
      <c r="Z693">
        <v>0.93200000000000005</v>
      </c>
      <c r="AA693">
        <v>0</v>
      </c>
      <c r="AB693">
        <v>719.32</v>
      </c>
      <c r="AC693" s="2043">
        <v>294799111</v>
      </c>
      <c r="AD693">
        <v>1305688</v>
      </c>
      <c r="AE693" s="2043">
        <v>3557244</v>
      </c>
      <c r="AF693">
        <v>0.96720000000000006</v>
      </c>
      <c r="AG693">
        <v>0</v>
      </c>
      <c r="AH693">
        <v>0</v>
      </c>
      <c r="AI693">
        <v>0</v>
      </c>
      <c r="AJ693">
        <v>121.15</v>
      </c>
      <c r="AK693">
        <v>3147</v>
      </c>
      <c r="AL693">
        <v>5.7000000000000002E-2</v>
      </c>
      <c r="AM693">
        <v>0</v>
      </c>
      <c r="AN693">
        <v>36.624000000000002</v>
      </c>
      <c r="AO693">
        <v>0</v>
      </c>
      <c r="AP693">
        <v>0</v>
      </c>
      <c r="AQ693">
        <v>0</v>
      </c>
      <c r="AR693">
        <v>11.346</v>
      </c>
      <c r="AS693">
        <v>0</v>
      </c>
      <c r="AT693">
        <v>6.0270000000000001</v>
      </c>
      <c r="AU693">
        <v>1.4120000000000001</v>
      </c>
      <c r="AV693">
        <v>0</v>
      </c>
      <c r="AW693">
        <v>18.842000000000002</v>
      </c>
      <c r="AX693">
        <v>0</v>
      </c>
      <c r="AY693">
        <v>59.464000000000006</v>
      </c>
      <c r="AZ693">
        <v>0</v>
      </c>
      <c r="BA693">
        <v>6311304</v>
      </c>
      <c r="BB693">
        <v>4862932</v>
      </c>
      <c r="BC693">
        <v>0</v>
      </c>
      <c r="BD693">
        <v>69316</v>
      </c>
      <c r="BE693">
        <v>0</v>
      </c>
      <c r="BF693">
        <v>74662</v>
      </c>
      <c r="BG693">
        <v>69316</v>
      </c>
      <c r="BH693">
        <v>5346</v>
      </c>
      <c r="BI693">
        <v>0</v>
      </c>
      <c r="BJ693">
        <v>0</v>
      </c>
      <c r="BK693">
        <v>0</v>
      </c>
      <c r="BL693">
        <v>374346686</v>
      </c>
      <c r="BM693">
        <v>0</v>
      </c>
      <c r="BN693">
        <v>3015</v>
      </c>
      <c r="BO693">
        <v>770</v>
      </c>
      <c r="BP693">
        <v>0</v>
      </c>
      <c r="BQ693">
        <v>0</v>
      </c>
      <c r="BR693">
        <v>0.82890000000000008</v>
      </c>
      <c r="BS693">
        <v>0.82890000000000008</v>
      </c>
      <c r="BT693">
        <v>0</v>
      </c>
      <c r="BU693">
        <v>0</v>
      </c>
      <c r="BV693">
        <v>158</v>
      </c>
      <c r="BW693">
        <v>330</v>
      </c>
      <c r="BX693">
        <v>16</v>
      </c>
      <c r="BY693">
        <v>6</v>
      </c>
      <c r="BZ693">
        <v>6</v>
      </c>
      <c r="CA693">
        <v>516</v>
      </c>
      <c r="CB693">
        <v>0</v>
      </c>
      <c r="CC693">
        <v>0</v>
      </c>
      <c r="CD693">
        <v>0</v>
      </c>
      <c r="CE693">
        <v>72</v>
      </c>
      <c r="CF693">
        <v>188.24800000000002</v>
      </c>
      <c r="CG693">
        <v>0</v>
      </c>
      <c r="CH693">
        <v>0</v>
      </c>
      <c r="CI693">
        <v>2</v>
      </c>
      <c r="CJ693">
        <v>8</v>
      </c>
      <c r="CK693">
        <v>0</v>
      </c>
      <c r="CL693">
        <v>0</v>
      </c>
      <c r="CM693">
        <v>31.163</v>
      </c>
      <c r="CN693">
        <v>0</v>
      </c>
      <c r="CO693">
        <v>0</v>
      </c>
      <c r="CP693">
        <v>0</v>
      </c>
      <c r="CQ693">
        <v>0</v>
      </c>
      <c r="CR693">
        <v>0</v>
      </c>
      <c r="CS693">
        <v>0</v>
      </c>
      <c r="CT693">
        <v>0</v>
      </c>
      <c r="CU693">
        <v>8.3990000000000009</v>
      </c>
      <c r="CV693">
        <v>34.06</v>
      </c>
      <c r="CW693">
        <v>29.202000000000002</v>
      </c>
      <c r="CX693">
        <v>0</v>
      </c>
      <c r="CY693" s="2043">
        <v>0</v>
      </c>
      <c r="CZ693" s="2043">
        <v>0</v>
      </c>
      <c r="DA693" s="2043">
        <v>0</v>
      </c>
      <c r="DB693" s="2043">
        <v>0</v>
      </c>
      <c r="DC693" s="2043">
        <v>0</v>
      </c>
      <c r="DI693" t="s">
        <v>3086</v>
      </c>
      <c r="DJ693" t="s">
        <v>3086</v>
      </c>
      <c r="DK693" s="2042">
        <f t="shared" si="12"/>
        <v>0</v>
      </c>
    </row>
    <row r="694" spans="1:115">
      <c r="A694" t="s">
        <v>3087</v>
      </c>
      <c r="B694" t="s">
        <v>241</v>
      </c>
      <c r="C694">
        <v>2131.0650000000001</v>
      </c>
      <c r="D694">
        <v>2080.732</v>
      </c>
      <c r="E694">
        <v>496.72900000000004</v>
      </c>
      <c r="F694">
        <v>0</v>
      </c>
      <c r="G694" s="2043">
        <v>510139018</v>
      </c>
      <c r="H694">
        <v>0</v>
      </c>
      <c r="I694" s="2043">
        <v>2447075</v>
      </c>
      <c r="J694">
        <v>106.55300000000001</v>
      </c>
      <c r="K694">
        <v>291</v>
      </c>
      <c r="L694">
        <v>298466</v>
      </c>
      <c r="M694">
        <v>974425</v>
      </c>
      <c r="N694">
        <v>298466</v>
      </c>
      <c r="O694">
        <v>1272891</v>
      </c>
      <c r="P694">
        <v>0</v>
      </c>
      <c r="Q694">
        <v>0</v>
      </c>
      <c r="R694" s="2043">
        <v>4079700</v>
      </c>
      <c r="S694">
        <v>397051</v>
      </c>
      <c r="T694">
        <v>255602</v>
      </c>
      <c r="U694">
        <v>0.08</v>
      </c>
      <c r="V694">
        <v>0</v>
      </c>
      <c r="W694">
        <v>0</v>
      </c>
      <c r="X694">
        <v>0</v>
      </c>
      <c r="Y694">
        <v>0</v>
      </c>
      <c r="Z694">
        <v>0</v>
      </c>
      <c r="AA694">
        <v>0</v>
      </c>
      <c r="AB694">
        <v>2071.9770000000003</v>
      </c>
      <c r="AC694" s="2043">
        <v>330152924</v>
      </c>
      <c r="AD694">
        <v>2130164</v>
      </c>
      <c r="AE694" s="2043">
        <v>4732353</v>
      </c>
      <c r="AF694">
        <v>0.95350000000000001</v>
      </c>
      <c r="AG694">
        <v>0</v>
      </c>
      <c r="AH694">
        <v>0</v>
      </c>
      <c r="AI694">
        <v>0</v>
      </c>
      <c r="AJ694">
        <v>403.41300000000001</v>
      </c>
      <c r="AK694">
        <v>6327</v>
      </c>
      <c r="AL694">
        <v>0</v>
      </c>
      <c r="AM694">
        <v>0</v>
      </c>
      <c r="AN694">
        <v>92.672000000000011</v>
      </c>
      <c r="AO694">
        <v>0</v>
      </c>
      <c r="AP694">
        <v>0</v>
      </c>
      <c r="AQ694">
        <v>0</v>
      </c>
      <c r="AR694">
        <v>30.303000000000001</v>
      </c>
      <c r="AS694">
        <v>0</v>
      </c>
      <c r="AT694">
        <v>13.902000000000001</v>
      </c>
      <c r="AU694">
        <v>4.0369999999999999</v>
      </c>
      <c r="AV694">
        <v>0</v>
      </c>
      <c r="AW694">
        <v>48.242000000000004</v>
      </c>
      <c r="AX694">
        <v>0</v>
      </c>
      <c r="AY694">
        <v>152.80000000000001</v>
      </c>
      <c r="AZ694">
        <v>0</v>
      </c>
      <c r="BA694">
        <v>18758069</v>
      </c>
      <c r="BB694">
        <v>6862517</v>
      </c>
      <c r="BC694">
        <v>0</v>
      </c>
      <c r="BD694">
        <v>125019</v>
      </c>
      <c r="BE694">
        <v>38825</v>
      </c>
      <c r="BF694">
        <v>175251</v>
      </c>
      <c r="BG694">
        <v>125019</v>
      </c>
      <c r="BH694">
        <v>11407</v>
      </c>
      <c r="BI694">
        <v>0</v>
      </c>
      <c r="BJ694">
        <v>0</v>
      </c>
      <c r="BK694">
        <v>0</v>
      </c>
      <c r="BL694">
        <v>510139018</v>
      </c>
      <c r="BM694">
        <v>0</v>
      </c>
      <c r="BN694">
        <v>7740</v>
      </c>
      <c r="BO694">
        <v>5917</v>
      </c>
      <c r="BP694">
        <v>0</v>
      </c>
      <c r="BQ694">
        <v>0</v>
      </c>
      <c r="BR694">
        <v>0.82200000000000006</v>
      </c>
      <c r="BS694">
        <v>0.82200000000000006</v>
      </c>
      <c r="BT694">
        <v>0</v>
      </c>
      <c r="BU694">
        <v>0</v>
      </c>
      <c r="BV694">
        <v>510</v>
      </c>
      <c r="BW694">
        <v>1212</v>
      </c>
      <c r="BX694">
        <v>0</v>
      </c>
      <c r="BY694">
        <v>1</v>
      </c>
      <c r="BZ694">
        <v>2</v>
      </c>
      <c r="CA694">
        <v>1725</v>
      </c>
      <c r="CB694">
        <v>0</v>
      </c>
      <c r="CC694">
        <v>107.28</v>
      </c>
      <c r="CD694">
        <v>0</v>
      </c>
      <c r="CE694">
        <v>80</v>
      </c>
      <c r="CF694">
        <v>612.64300000000003</v>
      </c>
      <c r="CG694">
        <v>0</v>
      </c>
      <c r="CH694">
        <v>0</v>
      </c>
      <c r="CI694">
        <v>4</v>
      </c>
      <c r="CJ694">
        <v>3</v>
      </c>
      <c r="CK694">
        <v>0</v>
      </c>
      <c r="CL694">
        <v>0</v>
      </c>
      <c r="CM694">
        <v>496.72900000000004</v>
      </c>
      <c r="CN694">
        <v>0</v>
      </c>
      <c r="CO694">
        <v>0</v>
      </c>
      <c r="CP694">
        <v>0</v>
      </c>
      <c r="CQ694">
        <v>0</v>
      </c>
      <c r="CR694">
        <v>0</v>
      </c>
      <c r="CS694">
        <v>0</v>
      </c>
      <c r="CT694">
        <v>0</v>
      </c>
      <c r="CU694">
        <v>0</v>
      </c>
      <c r="CV694">
        <v>124.36500000000001</v>
      </c>
      <c r="CW694">
        <v>41.600999999999999</v>
      </c>
      <c r="CX694">
        <v>0</v>
      </c>
      <c r="CY694" s="2043">
        <v>0</v>
      </c>
      <c r="CZ694" s="2043">
        <v>0</v>
      </c>
      <c r="DA694" s="2043">
        <v>0</v>
      </c>
      <c r="DB694" s="2043">
        <v>0</v>
      </c>
      <c r="DC694" s="2043">
        <v>0</v>
      </c>
      <c r="DI694" t="s">
        <v>3087</v>
      </c>
      <c r="DJ694" t="s">
        <v>3087</v>
      </c>
      <c r="DK694" s="2042">
        <f t="shared" si="12"/>
        <v>0</v>
      </c>
    </row>
    <row r="695" spans="1:115">
      <c r="A695" t="s">
        <v>3088</v>
      </c>
      <c r="B695" t="s">
        <v>1189</v>
      </c>
      <c r="C695">
        <v>2401.665</v>
      </c>
      <c r="D695">
        <v>2325.0410000000002</v>
      </c>
      <c r="E695">
        <v>295.959</v>
      </c>
      <c r="F695">
        <v>0</v>
      </c>
      <c r="G695" s="2043">
        <v>1146878262</v>
      </c>
      <c r="H695">
        <v>0</v>
      </c>
      <c r="I695" s="2043">
        <v>4509418</v>
      </c>
      <c r="J695">
        <v>120.08300000000001</v>
      </c>
      <c r="K695">
        <v>328</v>
      </c>
      <c r="L695">
        <v>0</v>
      </c>
      <c r="M695">
        <v>455712</v>
      </c>
      <c r="N695">
        <v>0</v>
      </c>
      <c r="O695">
        <v>455712</v>
      </c>
      <c r="P695">
        <v>0</v>
      </c>
      <c r="Q695">
        <v>0</v>
      </c>
      <c r="R695" s="2043">
        <v>9573641</v>
      </c>
      <c r="S695">
        <v>931741</v>
      </c>
      <c r="T695">
        <v>1048209</v>
      </c>
      <c r="U695">
        <v>0.08</v>
      </c>
      <c r="V695">
        <v>0</v>
      </c>
      <c r="W695">
        <v>0</v>
      </c>
      <c r="X695">
        <v>0</v>
      </c>
      <c r="Y695">
        <v>0</v>
      </c>
      <c r="Z695">
        <v>4.5490000000000004</v>
      </c>
      <c r="AA695">
        <v>0</v>
      </c>
      <c r="AB695">
        <v>2297.1080000000002</v>
      </c>
      <c r="AC695" s="2043">
        <v>934595830</v>
      </c>
      <c r="AD695">
        <v>5822472</v>
      </c>
      <c r="AE695" s="2043">
        <v>11553591</v>
      </c>
      <c r="AF695">
        <v>0.99199999999999999</v>
      </c>
      <c r="AG695">
        <v>0</v>
      </c>
      <c r="AH695">
        <v>0</v>
      </c>
      <c r="AI695">
        <v>0</v>
      </c>
      <c r="AJ695">
        <v>256.01300000000003</v>
      </c>
      <c r="AK695">
        <v>9063</v>
      </c>
      <c r="AL695">
        <v>0.16300000000000001</v>
      </c>
      <c r="AM695">
        <v>0</v>
      </c>
      <c r="AN695">
        <v>109.584</v>
      </c>
      <c r="AO695">
        <v>0</v>
      </c>
      <c r="AP695">
        <v>0</v>
      </c>
      <c r="AQ695">
        <v>1.401</v>
      </c>
      <c r="AR695">
        <v>56.557000000000002</v>
      </c>
      <c r="AS695">
        <v>0</v>
      </c>
      <c r="AT695">
        <v>14.925000000000001</v>
      </c>
      <c r="AU695">
        <v>4.048</v>
      </c>
      <c r="AV695">
        <v>0</v>
      </c>
      <c r="AW695">
        <v>79.594000000000008</v>
      </c>
      <c r="AX695">
        <v>2.5</v>
      </c>
      <c r="AY695">
        <v>241.251</v>
      </c>
      <c r="AZ695">
        <v>0</v>
      </c>
      <c r="BA695">
        <v>14435540</v>
      </c>
      <c r="BB695">
        <v>17376063</v>
      </c>
      <c r="BC695">
        <v>0</v>
      </c>
      <c r="BD695">
        <v>136257</v>
      </c>
      <c r="BE695">
        <v>117650</v>
      </c>
      <c r="BF695">
        <v>253907</v>
      </c>
      <c r="BG695">
        <v>136257</v>
      </c>
      <c r="BH695">
        <v>0</v>
      </c>
      <c r="BI695">
        <v>0</v>
      </c>
      <c r="BJ695">
        <v>0</v>
      </c>
      <c r="BK695">
        <v>0</v>
      </c>
      <c r="BL695">
        <v>1146878262</v>
      </c>
      <c r="BM695">
        <v>0</v>
      </c>
      <c r="BN695">
        <v>8388</v>
      </c>
      <c r="BO695">
        <v>5446</v>
      </c>
      <c r="BP695">
        <v>0</v>
      </c>
      <c r="BQ695">
        <v>0</v>
      </c>
      <c r="BR695">
        <v>0.82200000000000006</v>
      </c>
      <c r="BS695">
        <v>0.82200000000000006</v>
      </c>
      <c r="BT695">
        <v>0</v>
      </c>
      <c r="BU695">
        <v>0</v>
      </c>
      <c r="BV695">
        <v>159</v>
      </c>
      <c r="BW695">
        <v>379</v>
      </c>
      <c r="BX695">
        <v>507</v>
      </c>
      <c r="BY695">
        <v>8</v>
      </c>
      <c r="BZ695">
        <v>5</v>
      </c>
      <c r="CA695">
        <v>1058</v>
      </c>
      <c r="CB695">
        <v>0</v>
      </c>
      <c r="CC695">
        <v>0</v>
      </c>
      <c r="CD695">
        <v>0</v>
      </c>
      <c r="CE695">
        <v>304</v>
      </c>
      <c r="CF695">
        <v>411.096</v>
      </c>
      <c r="CG695">
        <v>18.245000000000001</v>
      </c>
      <c r="CH695">
        <v>1.5150000000000001</v>
      </c>
      <c r="CI695">
        <v>11</v>
      </c>
      <c r="CJ695">
        <v>28</v>
      </c>
      <c r="CK695">
        <v>0</v>
      </c>
      <c r="CL695">
        <v>19.760000000000002</v>
      </c>
      <c r="CM695">
        <v>295.959</v>
      </c>
      <c r="CN695">
        <v>0</v>
      </c>
      <c r="CO695">
        <v>0</v>
      </c>
      <c r="CP695">
        <v>0</v>
      </c>
      <c r="CQ695">
        <v>0</v>
      </c>
      <c r="CR695">
        <v>0</v>
      </c>
      <c r="CS695">
        <v>0</v>
      </c>
      <c r="CT695">
        <v>0</v>
      </c>
      <c r="CU695">
        <v>4.9640000000000004</v>
      </c>
      <c r="CV695">
        <v>141.38200000000001</v>
      </c>
      <c r="CW695">
        <v>101.083</v>
      </c>
      <c r="CX695">
        <v>0</v>
      </c>
      <c r="CY695" s="2043">
        <v>0</v>
      </c>
      <c r="CZ695" s="2043">
        <v>0</v>
      </c>
      <c r="DA695" s="2043">
        <v>0</v>
      </c>
      <c r="DB695" s="2043">
        <v>0</v>
      </c>
      <c r="DC695" s="2043">
        <v>0</v>
      </c>
      <c r="DI695" t="s">
        <v>3088</v>
      </c>
      <c r="DJ695" t="s">
        <v>3088</v>
      </c>
      <c r="DK695" s="2042">
        <f t="shared" si="12"/>
        <v>0</v>
      </c>
    </row>
    <row r="696" spans="1:115">
      <c r="A696" t="s">
        <v>5121</v>
      </c>
      <c r="B696" t="s">
        <v>1978</v>
      </c>
      <c r="C696">
        <v>677.05100000000004</v>
      </c>
      <c r="D696">
        <v>653.22199999999998</v>
      </c>
      <c r="E696">
        <v>16.702000000000002</v>
      </c>
      <c r="F696">
        <v>0</v>
      </c>
      <c r="G696" s="2043">
        <v>184257444</v>
      </c>
      <c r="H696">
        <v>0</v>
      </c>
      <c r="I696" s="2043">
        <v>532500</v>
      </c>
      <c r="J696">
        <v>33.853000000000002</v>
      </c>
      <c r="K696">
        <v>93</v>
      </c>
      <c r="L696">
        <v>0</v>
      </c>
      <c r="M696">
        <v>0</v>
      </c>
      <c r="N696">
        <v>0</v>
      </c>
      <c r="O696">
        <v>0</v>
      </c>
      <c r="P696">
        <v>0</v>
      </c>
      <c r="Q696">
        <v>0</v>
      </c>
      <c r="R696" s="2043">
        <v>1537054</v>
      </c>
      <c r="S696">
        <v>149592</v>
      </c>
      <c r="T696">
        <v>109015</v>
      </c>
      <c r="U696">
        <v>0.08</v>
      </c>
      <c r="V696">
        <v>0</v>
      </c>
      <c r="W696">
        <v>0</v>
      </c>
      <c r="X696">
        <v>0</v>
      </c>
      <c r="Y696">
        <v>0</v>
      </c>
      <c r="Z696">
        <v>0</v>
      </c>
      <c r="AA696">
        <v>0.10200000000000001</v>
      </c>
      <c r="AB696">
        <v>648.53300000000002</v>
      </c>
      <c r="AC696" s="2043">
        <v>139287752</v>
      </c>
      <c r="AD696">
        <v>562405</v>
      </c>
      <c r="AE696" s="2043">
        <v>1795661</v>
      </c>
      <c r="AF696">
        <v>0.96030000000000004</v>
      </c>
      <c r="AG696">
        <v>0</v>
      </c>
      <c r="AH696">
        <v>0</v>
      </c>
      <c r="AI696">
        <v>0</v>
      </c>
      <c r="AJ696">
        <v>114.27500000000001</v>
      </c>
      <c r="AK696">
        <v>3499</v>
      </c>
      <c r="AL696">
        <v>0.12300000000000001</v>
      </c>
      <c r="AM696">
        <v>0</v>
      </c>
      <c r="AN696">
        <v>28.003</v>
      </c>
      <c r="AO696">
        <v>0.4</v>
      </c>
      <c r="AP696">
        <v>0</v>
      </c>
      <c r="AQ696">
        <v>0</v>
      </c>
      <c r="AR696">
        <v>17.690000000000001</v>
      </c>
      <c r="AS696">
        <v>0</v>
      </c>
      <c r="AT696">
        <v>3.7520000000000002</v>
      </c>
      <c r="AU696">
        <v>1.256</v>
      </c>
      <c r="AV696">
        <v>0</v>
      </c>
      <c r="AW696">
        <v>25.817</v>
      </c>
      <c r="AX696">
        <v>2.996</v>
      </c>
      <c r="AY696">
        <v>78.112000000000009</v>
      </c>
      <c r="AZ696">
        <v>0</v>
      </c>
      <c r="BA696">
        <v>7160111</v>
      </c>
      <c r="BB696">
        <v>2358066</v>
      </c>
      <c r="BC696">
        <v>0</v>
      </c>
      <c r="BD696">
        <v>35432</v>
      </c>
      <c r="BE696">
        <v>13819</v>
      </c>
      <c r="BF696">
        <v>49251</v>
      </c>
      <c r="BG696">
        <v>35432</v>
      </c>
      <c r="BH696">
        <v>0</v>
      </c>
      <c r="BI696">
        <v>0</v>
      </c>
      <c r="BJ696">
        <v>0</v>
      </c>
      <c r="BK696">
        <v>0</v>
      </c>
      <c r="BL696">
        <v>184257444</v>
      </c>
      <c r="BM696">
        <v>0</v>
      </c>
      <c r="BN696">
        <v>2610</v>
      </c>
      <c r="BO696">
        <v>2033</v>
      </c>
      <c r="BP696">
        <v>0</v>
      </c>
      <c r="BQ696">
        <v>0</v>
      </c>
      <c r="BR696">
        <v>0.82200000000000006</v>
      </c>
      <c r="BS696">
        <v>0.82200000000000006</v>
      </c>
      <c r="BT696">
        <v>0</v>
      </c>
      <c r="BU696">
        <v>0</v>
      </c>
      <c r="BV696">
        <v>35</v>
      </c>
      <c r="BW696">
        <v>201</v>
      </c>
      <c r="BX696">
        <v>139</v>
      </c>
      <c r="BY696">
        <v>1</v>
      </c>
      <c r="BZ696">
        <v>86</v>
      </c>
      <c r="CA696">
        <v>462</v>
      </c>
      <c r="CB696">
        <v>0</v>
      </c>
      <c r="CC696">
        <v>0</v>
      </c>
      <c r="CD696">
        <v>0</v>
      </c>
      <c r="CE696">
        <v>66</v>
      </c>
      <c r="CF696">
        <v>150.958</v>
      </c>
      <c r="CG696">
        <v>0</v>
      </c>
      <c r="CH696">
        <v>0</v>
      </c>
      <c r="CI696">
        <v>5</v>
      </c>
      <c r="CJ696">
        <v>5</v>
      </c>
      <c r="CK696">
        <v>0</v>
      </c>
      <c r="CL696">
        <v>0</v>
      </c>
      <c r="CM696">
        <v>16.702000000000002</v>
      </c>
      <c r="CN696">
        <v>0</v>
      </c>
      <c r="CO696">
        <v>0</v>
      </c>
      <c r="CP696">
        <v>0</v>
      </c>
      <c r="CQ696">
        <v>0</v>
      </c>
      <c r="CR696">
        <v>0</v>
      </c>
      <c r="CS696">
        <v>0</v>
      </c>
      <c r="CT696">
        <v>0</v>
      </c>
      <c r="CU696">
        <v>0</v>
      </c>
      <c r="CV696">
        <v>23.045000000000002</v>
      </c>
      <c r="CW696">
        <v>8.1010000000000009</v>
      </c>
      <c r="CX696">
        <v>0</v>
      </c>
      <c r="CY696" s="2043">
        <v>0</v>
      </c>
      <c r="CZ696" s="2043">
        <v>0</v>
      </c>
      <c r="DA696" s="2043">
        <v>0</v>
      </c>
      <c r="DB696" s="2043">
        <v>0</v>
      </c>
      <c r="DC696" s="2043">
        <v>0</v>
      </c>
      <c r="DI696" t="s">
        <v>5121</v>
      </c>
      <c r="DJ696" t="s">
        <v>5121</v>
      </c>
      <c r="DK696" s="2042">
        <f t="shared" si="12"/>
        <v>0</v>
      </c>
    </row>
    <row r="697" spans="1:115">
      <c r="A697" t="s">
        <v>5122</v>
      </c>
      <c r="B697" t="s">
        <v>1254</v>
      </c>
      <c r="C697">
        <v>370.46800000000002</v>
      </c>
      <c r="D697">
        <v>388.36200000000002</v>
      </c>
      <c r="E697">
        <v>19.028000000000002</v>
      </c>
      <c r="F697">
        <v>0</v>
      </c>
      <c r="G697" s="2043">
        <v>139507399</v>
      </c>
      <c r="H697">
        <v>0</v>
      </c>
      <c r="I697" s="2043">
        <v>326650</v>
      </c>
      <c r="J697">
        <v>5</v>
      </c>
      <c r="K697">
        <v>14</v>
      </c>
      <c r="L697">
        <v>0</v>
      </c>
      <c r="M697">
        <v>0</v>
      </c>
      <c r="N697">
        <v>0</v>
      </c>
      <c r="O697">
        <v>0</v>
      </c>
      <c r="P697">
        <v>0</v>
      </c>
      <c r="Q697">
        <v>0</v>
      </c>
      <c r="R697" s="2043">
        <v>1238436</v>
      </c>
      <c r="S697">
        <v>108468</v>
      </c>
      <c r="T697">
        <v>79046</v>
      </c>
      <c r="U697">
        <v>0.08</v>
      </c>
      <c r="V697">
        <v>0</v>
      </c>
      <c r="W697">
        <v>0</v>
      </c>
      <c r="X697">
        <v>0</v>
      </c>
      <c r="Y697">
        <v>0</v>
      </c>
      <c r="Z697">
        <v>0</v>
      </c>
      <c r="AA697">
        <v>0</v>
      </c>
      <c r="AB697">
        <v>383.13800000000003</v>
      </c>
      <c r="AC697" s="2043">
        <v>125721638</v>
      </c>
      <c r="AD697">
        <v>379225</v>
      </c>
      <c r="AE697" s="2043">
        <v>1425950</v>
      </c>
      <c r="AF697">
        <v>1.0517000000000001</v>
      </c>
      <c r="AG697">
        <v>0</v>
      </c>
      <c r="AH697">
        <v>0</v>
      </c>
      <c r="AI697">
        <v>0</v>
      </c>
      <c r="AJ697">
        <v>71.150000000000006</v>
      </c>
      <c r="AK697">
        <v>2020</v>
      </c>
      <c r="AL697">
        <v>0</v>
      </c>
      <c r="AM697">
        <v>0</v>
      </c>
      <c r="AN697">
        <v>15.333</v>
      </c>
      <c r="AO697">
        <v>0.3</v>
      </c>
      <c r="AP697">
        <v>0</v>
      </c>
      <c r="AQ697">
        <v>0</v>
      </c>
      <c r="AR697">
        <v>9.3109999999999999</v>
      </c>
      <c r="AS697">
        <v>0</v>
      </c>
      <c r="AT697">
        <v>2.6470000000000002</v>
      </c>
      <c r="AU697">
        <v>0.86</v>
      </c>
      <c r="AV697">
        <v>0</v>
      </c>
      <c r="AW697">
        <v>13.011000000000001</v>
      </c>
      <c r="AX697">
        <v>0.193</v>
      </c>
      <c r="AY697">
        <v>40.618000000000002</v>
      </c>
      <c r="AZ697">
        <v>0</v>
      </c>
      <c r="BA697">
        <v>3960388</v>
      </c>
      <c r="BB697">
        <v>1805175</v>
      </c>
      <c r="BC697">
        <v>0</v>
      </c>
      <c r="BD697">
        <v>20528</v>
      </c>
      <c r="BE697">
        <v>0</v>
      </c>
      <c r="BF697">
        <v>20528</v>
      </c>
      <c r="BG697">
        <v>20528</v>
      </c>
      <c r="BH697">
        <v>0</v>
      </c>
      <c r="BI697">
        <v>0</v>
      </c>
      <c r="BJ697">
        <v>0</v>
      </c>
      <c r="BK697">
        <v>0</v>
      </c>
      <c r="BL697">
        <v>139507399</v>
      </c>
      <c r="BM697">
        <v>0</v>
      </c>
      <c r="BN697">
        <v>1548</v>
      </c>
      <c r="BO697">
        <v>1006</v>
      </c>
      <c r="BP697">
        <v>0</v>
      </c>
      <c r="BQ697">
        <v>0</v>
      </c>
      <c r="BR697">
        <v>0.91339999999999999</v>
      </c>
      <c r="BS697">
        <v>0.91339999999999999</v>
      </c>
      <c r="BT697">
        <v>0</v>
      </c>
      <c r="BU697">
        <v>0</v>
      </c>
      <c r="BV697">
        <v>7</v>
      </c>
      <c r="BW697">
        <v>141</v>
      </c>
      <c r="BX697">
        <v>107</v>
      </c>
      <c r="BY697">
        <v>1</v>
      </c>
      <c r="BZ697">
        <v>33</v>
      </c>
      <c r="CA697">
        <v>289</v>
      </c>
      <c r="CB697">
        <v>0</v>
      </c>
      <c r="CC697">
        <v>0</v>
      </c>
      <c r="CD697">
        <v>0</v>
      </c>
      <c r="CE697">
        <v>25</v>
      </c>
      <c r="CF697">
        <v>75.207999999999998</v>
      </c>
      <c r="CG697">
        <v>0</v>
      </c>
      <c r="CH697">
        <v>0</v>
      </c>
      <c r="CI697">
        <v>1</v>
      </c>
      <c r="CJ697">
        <v>2</v>
      </c>
      <c r="CK697">
        <v>0</v>
      </c>
      <c r="CL697">
        <v>0</v>
      </c>
      <c r="CM697">
        <v>19.028000000000002</v>
      </c>
      <c r="CN697">
        <v>0</v>
      </c>
      <c r="CO697">
        <v>0</v>
      </c>
      <c r="CP697">
        <v>0</v>
      </c>
      <c r="CQ697">
        <v>0</v>
      </c>
      <c r="CR697">
        <v>0</v>
      </c>
      <c r="CS697">
        <v>111.06200000000001</v>
      </c>
      <c r="CT697">
        <v>0</v>
      </c>
      <c r="CU697">
        <v>0.47300000000000003</v>
      </c>
      <c r="CV697">
        <v>29.55</v>
      </c>
      <c r="CW697">
        <v>22.129000000000001</v>
      </c>
      <c r="CX697">
        <v>0</v>
      </c>
      <c r="CY697" s="2043">
        <v>0</v>
      </c>
      <c r="CZ697" s="2043">
        <v>0</v>
      </c>
      <c r="DA697" s="2043">
        <v>0</v>
      </c>
      <c r="DB697" s="2043">
        <v>0</v>
      </c>
      <c r="DC697" s="2043">
        <v>0</v>
      </c>
      <c r="DI697" t="s">
        <v>5122</v>
      </c>
      <c r="DJ697" t="s">
        <v>5122</v>
      </c>
      <c r="DK697" s="2042">
        <f t="shared" si="12"/>
        <v>0</v>
      </c>
    </row>
    <row r="698" spans="1:115">
      <c r="A698" t="s">
        <v>5123</v>
      </c>
      <c r="B698" t="s">
        <v>1758</v>
      </c>
      <c r="C698">
        <v>719.90600000000006</v>
      </c>
      <c r="D698">
        <v>806.25</v>
      </c>
      <c r="E698">
        <v>2.806</v>
      </c>
      <c r="F698">
        <v>0</v>
      </c>
      <c r="G698" s="2043">
        <v>199032243</v>
      </c>
      <c r="H698">
        <v>0</v>
      </c>
      <c r="I698" s="2043">
        <v>545050</v>
      </c>
      <c r="J698">
        <v>35.995000000000005</v>
      </c>
      <c r="K698">
        <v>98</v>
      </c>
      <c r="L698">
        <v>0</v>
      </c>
      <c r="M698">
        <v>0</v>
      </c>
      <c r="N698">
        <v>0</v>
      </c>
      <c r="O698">
        <v>0</v>
      </c>
      <c r="P698">
        <v>0</v>
      </c>
      <c r="Q698">
        <v>0</v>
      </c>
      <c r="R698" s="2043">
        <v>1518739</v>
      </c>
      <c r="S698">
        <v>147809</v>
      </c>
      <c r="T698">
        <v>107716</v>
      </c>
      <c r="U698">
        <v>0.08</v>
      </c>
      <c r="V698">
        <v>0</v>
      </c>
      <c r="W698">
        <v>0</v>
      </c>
      <c r="X698">
        <v>0</v>
      </c>
      <c r="Y698">
        <v>0</v>
      </c>
      <c r="Z698">
        <v>0</v>
      </c>
      <c r="AA698">
        <v>0</v>
      </c>
      <c r="AB698">
        <v>747.24</v>
      </c>
      <c r="AC698" s="2043">
        <v>157809335</v>
      </c>
      <c r="AD698">
        <v>413694</v>
      </c>
      <c r="AE698" s="2043">
        <v>1774264</v>
      </c>
      <c r="AF698">
        <v>0.96030000000000004</v>
      </c>
      <c r="AG698">
        <v>0</v>
      </c>
      <c r="AH698">
        <v>0</v>
      </c>
      <c r="AI698">
        <v>0</v>
      </c>
      <c r="AJ698">
        <v>96.413000000000011</v>
      </c>
      <c r="AK698">
        <v>3751</v>
      </c>
      <c r="AL698">
        <v>0.126</v>
      </c>
      <c r="AM698">
        <v>0</v>
      </c>
      <c r="AN698">
        <v>40.786999999999999</v>
      </c>
      <c r="AO698">
        <v>0</v>
      </c>
      <c r="AP698">
        <v>0</v>
      </c>
      <c r="AQ698">
        <v>0</v>
      </c>
      <c r="AR698">
        <v>16.899000000000001</v>
      </c>
      <c r="AS698">
        <v>0</v>
      </c>
      <c r="AT698">
        <v>4.6749999999999998</v>
      </c>
      <c r="AU698">
        <v>1.3880000000000001</v>
      </c>
      <c r="AV698">
        <v>0</v>
      </c>
      <c r="AW698">
        <v>23.088000000000001</v>
      </c>
      <c r="AX698">
        <v>0</v>
      </c>
      <c r="AY698">
        <v>72.292000000000002</v>
      </c>
      <c r="AZ698">
        <v>0</v>
      </c>
      <c r="BA698">
        <v>7621383</v>
      </c>
      <c r="BB698">
        <v>2187958</v>
      </c>
      <c r="BC698">
        <v>0</v>
      </c>
      <c r="BD698">
        <v>21440</v>
      </c>
      <c r="BE698">
        <v>2339</v>
      </c>
      <c r="BF698">
        <v>29074</v>
      </c>
      <c r="BG698">
        <v>21440</v>
      </c>
      <c r="BH698">
        <v>5295</v>
      </c>
      <c r="BI698">
        <v>0</v>
      </c>
      <c r="BJ698">
        <v>0</v>
      </c>
      <c r="BK698">
        <v>0</v>
      </c>
      <c r="BL698">
        <v>199032243</v>
      </c>
      <c r="BM698">
        <v>0</v>
      </c>
      <c r="BN698">
        <v>2628</v>
      </c>
      <c r="BO698">
        <v>2215</v>
      </c>
      <c r="BP698">
        <v>0</v>
      </c>
      <c r="BQ698">
        <v>45000</v>
      </c>
      <c r="BR698">
        <v>0.82200000000000006</v>
      </c>
      <c r="BS698">
        <v>0.82200000000000006</v>
      </c>
      <c r="BT698">
        <v>0</v>
      </c>
      <c r="BU698">
        <v>0</v>
      </c>
      <c r="BV698">
        <v>30</v>
      </c>
      <c r="BW698">
        <v>244</v>
      </c>
      <c r="BX698">
        <v>58</v>
      </c>
      <c r="BY698">
        <v>9</v>
      </c>
      <c r="BZ698">
        <v>54</v>
      </c>
      <c r="CA698">
        <v>395</v>
      </c>
      <c r="CB698">
        <v>0</v>
      </c>
      <c r="CC698">
        <v>0</v>
      </c>
      <c r="CD698">
        <v>0</v>
      </c>
      <c r="CE698">
        <v>58</v>
      </c>
      <c r="CF698">
        <v>129.511</v>
      </c>
      <c r="CG698">
        <v>0</v>
      </c>
      <c r="CH698">
        <v>0</v>
      </c>
      <c r="CI698">
        <v>1</v>
      </c>
      <c r="CJ698">
        <v>0</v>
      </c>
      <c r="CK698">
        <v>0</v>
      </c>
      <c r="CL698">
        <v>0</v>
      </c>
      <c r="CM698">
        <v>2.806</v>
      </c>
      <c r="CN698">
        <v>0</v>
      </c>
      <c r="CO698">
        <v>0</v>
      </c>
      <c r="CP698">
        <v>0</v>
      </c>
      <c r="CQ698">
        <v>0</v>
      </c>
      <c r="CR698">
        <v>0</v>
      </c>
      <c r="CS698">
        <v>0</v>
      </c>
      <c r="CT698">
        <v>0</v>
      </c>
      <c r="CU698">
        <v>0.44900000000000001</v>
      </c>
      <c r="CV698">
        <v>54.201000000000001</v>
      </c>
      <c r="CW698">
        <v>16.208000000000002</v>
      </c>
      <c r="CX698">
        <v>0</v>
      </c>
      <c r="CY698" s="2043">
        <v>0</v>
      </c>
      <c r="CZ698" s="2043">
        <v>0</v>
      </c>
      <c r="DA698" s="2043">
        <v>0</v>
      </c>
      <c r="DB698" s="2043">
        <v>0</v>
      </c>
      <c r="DC698" s="2043">
        <v>0</v>
      </c>
      <c r="DI698" t="s">
        <v>5123</v>
      </c>
      <c r="DJ698" t="s">
        <v>5123</v>
      </c>
      <c r="DK698" s="2042">
        <f t="shared" si="12"/>
        <v>0</v>
      </c>
    </row>
    <row r="699" spans="1:115">
      <c r="A699" t="s">
        <v>3089</v>
      </c>
      <c r="B699" t="s">
        <v>2370</v>
      </c>
      <c r="C699">
        <v>87.664000000000001</v>
      </c>
      <c r="D699">
        <v>97.081000000000003</v>
      </c>
      <c r="E699">
        <v>0.39900000000000002</v>
      </c>
      <c r="F699">
        <v>0</v>
      </c>
      <c r="G699" s="2043">
        <v>84108203</v>
      </c>
      <c r="H699">
        <v>0</v>
      </c>
      <c r="I699" s="2043">
        <v>56269</v>
      </c>
      <c r="J699">
        <v>2</v>
      </c>
      <c r="K699">
        <v>5</v>
      </c>
      <c r="L699">
        <v>27768</v>
      </c>
      <c r="M699">
        <v>72232</v>
      </c>
      <c r="N699">
        <v>27768</v>
      </c>
      <c r="O699">
        <v>100000</v>
      </c>
      <c r="P699">
        <v>0</v>
      </c>
      <c r="Q699">
        <v>0</v>
      </c>
      <c r="R699" s="2043">
        <v>725766</v>
      </c>
      <c r="S699">
        <v>66288</v>
      </c>
      <c r="T699">
        <v>48307</v>
      </c>
      <c r="U699">
        <v>0.08</v>
      </c>
      <c r="V699">
        <v>0</v>
      </c>
      <c r="W699">
        <v>0</v>
      </c>
      <c r="X699">
        <v>0</v>
      </c>
      <c r="Y699">
        <v>0</v>
      </c>
      <c r="Z699">
        <v>0</v>
      </c>
      <c r="AA699">
        <v>0</v>
      </c>
      <c r="AB699">
        <v>97.081000000000003</v>
      </c>
      <c r="AC699" s="2043">
        <v>80257193</v>
      </c>
      <c r="AD699">
        <v>58645</v>
      </c>
      <c r="AE699" s="2043">
        <v>840361</v>
      </c>
      <c r="AF699">
        <v>1.0142</v>
      </c>
      <c r="AG699">
        <v>0</v>
      </c>
      <c r="AH699">
        <v>0</v>
      </c>
      <c r="AI699">
        <v>0</v>
      </c>
      <c r="AJ699">
        <v>19.238</v>
      </c>
      <c r="AK699">
        <v>929</v>
      </c>
      <c r="AL699">
        <v>0</v>
      </c>
      <c r="AM699">
        <v>0</v>
      </c>
      <c r="AN699">
        <v>13.128</v>
      </c>
      <c r="AO699">
        <v>0</v>
      </c>
      <c r="AP699">
        <v>0</v>
      </c>
      <c r="AQ699">
        <v>0</v>
      </c>
      <c r="AR699">
        <v>3.2390000000000003</v>
      </c>
      <c r="AS699">
        <v>0</v>
      </c>
      <c r="AT699">
        <v>0</v>
      </c>
      <c r="AU699">
        <v>0.20300000000000001</v>
      </c>
      <c r="AV699">
        <v>0</v>
      </c>
      <c r="AW699">
        <v>3.4420000000000002</v>
      </c>
      <c r="AX699">
        <v>0</v>
      </c>
      <c r="AY699">
        <v>10.732000000000001</v>
      </c>
      <c r="AZ699">
        <v>0</v>
      </c>
      <c r="BA699">
        <v>1297305</v>
      </c>
      <c r="BB699">
        <v>899006</v>
      </c>
      <c r="BC699">
        <v>0</v>
      </c>
      <c r="BD699">
        <v>31603</v>
      </c>
      <c r="BE699">
        <v>0</v>
      </c>
      <c r="BF699">
        <v>31603</v>
      </c>
      <c r="BG699">
        <v>31603</v>
      </c>
      <c r="BH699">
        <v>0</v>
      </c>
      <c r="BI699">
        <v>0</v>
      </c>
      <c r="BJ699">
        <v>0</v>
      </c>
      <c r="BK699">
        <v>0</v>
      </c>
      <c r="BL699">
        <v>84108203</v>
      </c>
      <c r="BM699">
        <v>0</v>
      </c>
      <c r="BN699">
        <v>450</v>
      </c>
      <c r="BO699">
        <v>310</v>
      </c>
      <c r="BP699">
        <v>0</v>
      </c>
      <c r="BQ699">
        <v>0</v>
      </c>
      <c r="BR699">
        <v>0.87590000000000001</v>
      </c>
      <c r="BS699">
        <v>0.87590000000000001</v>
      </c>
      <c r="BT699">
        <v>0</v>
      </c>
      <c r="BU699">
        <v>0</v>
      </c>
      <c r="BV699">
        <v>8</v>
      </c>
      <c r="BW699">
        <v>46</v>
      </c>
      <c r="BX699">
        <v>14</v>
      </c>
      <c r="BY699">
        <v>1</v>
      </c>
      <c r="BZ699">
        <v>10</v>
      </c>
      <c r="CA699">
        <v>79</v>
      </c>
      <c r="CB699">
        <v>0</v>
      </c>
      <c r="CC699">
        <v>0</v>
      </c>
      <c r="CD699">
        <v>0</v>
      </c>
      <c r="CE699">
        <v>10</v>
      </c>
      <c r="CF699">
        <v>21.092000000000002</v>
      </c>
      <c r="CG699">
        <v>0</v>
      </c>
      <c r="CH699">
        <v>0</v>
      </c>
      <c r="CI699">
        <v>0</v>
      </c>
      <c r="CJ699">
        <v>0</v>
      </c>
      <c r="CK699">
        <v>0</v>
      </c>
      <c r="CL699">
        <v>0</v>
      </c>
      <c r="CM699">
        <v>0.39900000000000002</v>
      </c>
      <c r="CN699">
        <v>0</v>
      </c>
      <c r="CO699">
        <v>0</v>
      </c>
      <c r="CP699">
        <v>0</v>
      </c>
      <c r="CQ699">
        <v>0</v>
      </c>
      <c r="CR699">
        <v>0</v>
      </c>
      <c r="CS699">
        <v>0</v>
      </c>
      <c r="CT699">
        <v>0</v>
      </c>
      <c r="CU699">
        <v>7.6999999999999999E-2</v>
      </c>
      <c r="CV699">
        <v>2.3410000000000002</v>
      </c>
      <c r="CW699">
        <v>6.1660000000000004</v>
      </c>
      <c r="CX699">
        <v>0</v>
      </c>
      <c r="CY699" s="2043">
        <v>0</v>
      </c>
      <c r="CZ699" s="2043">
        <v>0</v>
      </c>
      <c r="DA699" s="2043">
        <v>0</v>
      </c>
      <c r="DB699" s="2043">
        <v>0</v>
      </c>
      <c r="DC699" s="2043">
        <v>0</v>
      </c>
      <c r="DI699" t="s">
        <v>3089</v>
      </c>
      <c r="DJ699" t="s">
        <v>3089</v>
      </c>
      <c r="DK699" s="2042">
        <f t="shared" si="12"/>
        <v>0</v>
      </c>
    </row>
    <row r="700" spans="1:115">
      <c r="A700" t="s">
        <v>3090</v>
      </c>
      <c r="B700" t="s">
        <v>245</v>
      </c>
      <c r="C700">
        <v>574.27</v>
      </c>
      <c r="D700">
        <v>577.56299999999999</v>
      </c>
      <c r="E700">
        <v>24.552</v>
      </c>
      <c r="F700">
        <v>0</v>
      </c>
      <c r="G700" s="2043">
        <v>114345711</v>
      </c>
      <c r="H700">
        <v>0</v>
      </c>
      <c r="I700" s="2043">
        <v>599100</v>
      </c>
      <c r="J700">
        <v>16</v>
      </c>
      <c r="K700">
        <v>44</v>
      </c>
      <c r="L700">
        <v>130572</v>
      </c>
      <c r="M700">
        <v>172309</v>
      </c>
      <c r="N700">
        <v>130572</v>
      </c>
      <c r="O700">
        <v>302881</v>
      </c>
      <c r="P700">
        <v>0</v>
      </c>
      <c r="Q700">
        <v>0</v>
      </c>
      <c r="R700" s="2043">
        <v>958844</v>
      </c>
      <c r="S700">
        <v>89874</v>
      </c>
      <c r="T700">
        <v>65496</v>
      </c>
      <c r="U700">
        <v>0.08</v>
      </c>
      <c r="V700">
        <v>0</v>
      </c>
      <c r="W700">
        <v>0</v>
      </c>
      <c r="X700">
        <v>0</v>
      </c>
      <c r="Y700">
        <v>0</v>
      </c>
      <c r="Z700">
        <v>0</v>
      </c>
      <c r="AA700">
        <v>0</v>
      </c>
      <c r="AB700">
        <v>561.89300000000003</v>
      </c>
      <c r="AC700" s="2043">
        <v>104716385</v>
      </c>
      <c r="AD700">
        <v>359377</v>
      </c>
      <c r="AE700" s="2043">
        <v>1114214</v>
      </c>
      <c r="AF700">
        <v>0.99180000000000001</v>
      </c>
      <c r="AG700">
        <v>0</v>
      </c>
      <c r="AH700">
        <v>0</v>
      </c>
      <c r="AI700">
        <v>0</v>
      </c>
      <c r="AJ700">
        <v>104.063</v>
      </c>
      <c r="AK700">
        <v>3107</v>
      </c>
      <c r="AL700">
        <v>1.2E-2</v>
      </c>
      <c r="AM700">
        <v>0</v>
      </c>
      <c r="AN700">
        <v>14.754000000000001</v>
      </c>
      <c r="AO700">
        <v>0</v>
      </c>
      <c r="AP700">
        <v>0</v>
      </c>
      <c r="AQ700">
        <v>0</v>
      </c>
      <c r="AR700">
        <v>21.013999999999999</v>
      </c>
      <c r="AS700">
        <v>0</v>
      </c>
      <c r="AT700">
        <v>2.1680000000000001</v>
      </c>
      <c r="AU700">
        <v>0.84500000000000008</v>
      </c>
      <c r="AV700">
        <v>0</v>
      </c>
      <c r="AW700">
        <v>25.832000000000001</v>
      </c>
      <c r="AX700">
        <v>1.7930000000000001</v>
      </c>
      <c r="AY700">
        <v>77.954999999999998</v>
      </c>
      <c r="AZ700">
        <v>0</v>
      </c>
      <c r="BA700">
        <v>7036754</v>
      </c>
      <c r="BB700">
        <v>1473591</v>
      </c>
      <c r="BC700">
        <v>0</v>
      </c>
      <c r="BD700">
        <v>364</v>
      </c>
      <c r="BE700">
        <v>2744</v>
      </c>
      <c r="BF700">
        <v>3108</v>
      </c>
      <c r="BG700">
        <v>364</v>
      </c>
      <c r="BH700">
        <v>0</v>
      </c>
      <c r="BI700">
        <v>0</v>
      </c>
      <c r="BJ700">
        <v>0</v>
      </c>
      <c r="BK700">
        <v>0</v>
      </c>
      <c r="BL700">
        <v>114345711</v>
      </c>
      <c r="BM700">
        <v>0</v>
      </c>
      <c r="BN700">
        <v>2304</v>
      </c>
      <c r="BO700">
        <v>1712</v>
      </c>
      <c r="BP700">
        <v>0</v>
      </c>
      <c r="BQ700">
        <v>0</v>
      </c>
      <c r="BR700">
        <v>0.85350000000000004</v>
      </c>
      <c r="BS700">
        <v>0.85350000000000004</v>
      </c>
      <c r="BT700">
        <v>0</v>
      </c>
      <c r="BU700">
        <v>0</v>
      </c>
      <c r="BV700">
        <v>3</v>
      </c>
      <c r="BW700">
        <v>2</v>
      </c>
      <c r="BX700">
        <v>325</v>
      </c>
      <c r="BY700">
        <v>71</v>
      </c>
      <c r="BZ700">
        <v>11</v>
      </c>
      <c r="CA700">
        <v>412</v>
      </c>
      <c r="CB700">
        <v>0</v>
      </c>
      <c r="CC700">
        <v>0</v>
      </c>
      <c r="CD700">
        <v>0</v>
      </c>
      <c r="CE700">
        <v>84</v>
      </c>
      <c r="CF700">
        <v>131.65800000000002</v>
      </c>
      <c r="CG700">
        <v>0</v>
      </c>
      <c r="CH700">
        <v>0</v>
      </c>
      <c r="CI700">
        <v>2</v>
      </c>
      <c r="CJ700">
        <v>2</v>
      </c>
      <c r="CK700">
        <v>0</v>
      </c>
      <c r="CL700">
        <v>0</v>
      </c>
      <c r="CM700">
        <v>24.552</v>
      </c>
      <c r="CN700">
        <v>0</v>
      </c>
      <c r="CO700">
        <v>0</v>
      </c>
      <c r="CP700">
        <v>0</v>
      </c>
      <c r="CQ700">
        <v>0</v>
      </c>
      <c r="CR700">
        <v>0</v>
      </c>
      <c r="CS700">
        <v>0</v>
      </c>
      <c r="CT700">
        <v>0</v>
      </c>
      <c r="CU700">
        <v>2.4039999999999999</v>
      </c>
      <c r="CV700">
        <v>40.118000000000002</v>
      </c>
      <c r="CW700">
        <v>19.559000000000001</v>
      </c>
      <c r="CX700">
        <v>0</v>
      </c>
      <c r="CY700" s="2043">
        <v>0</v>
      </c>
      <c r="CZ700" s="2043">
        <v>0</v>
      </c>
      <c r="DA700" s="2043">
        <v>0</v>
      </c>
      <c r="DB700" s="2043">
        <v>0</v>
      </c>
      <c r="DC700" s="2043">
        <v>0</v>
      </c>
      <c r="DI700" t="s">
        <v>3090</v>
      </c>
      <c r="DJ700" t="s">
        <v>3090</v>
      </c>
      <c r="DK700" s="2042">
        <f t="shared" si="12"/>
        <v>0</v>
      </c>
    </row>
    <row r="701" spans="1:115">
      <c r="A701" t="s">
        <v>4305</v>
      </c>
      <c r="B701" t="s">
        <v>45</v>
      </c>
      <c r="C701">
        <v>952.52700000000004</v>
      </c>
      <c r="D701">
        <v>1372.117</v>
      </c>
      <c r="E701">
        <v>46.987000000000002</v>
      </c>
      <c r="F701">
        <v>0</v>
      </c>
      <c r="G701" s="2043">
        <v>3531254542</v>
      </c>
      <c r="H701">
        <v>0</v>
      </c>
      <c r="I701" s="2043">
        <v>2291451</v>
      </c>
      <c r="J701">
        <v>47.626000000000005</v>
      </c>
      <c r="K701">
        <v>130</v>
      </c>
      <c r="L701">
        <v>0</v>
      </c>
      <c r="M701">
        <v>0</v>
      </c>
      <c r="N701">
        <v>0</v>
      </c>
      <c r="O701">
        <v>0</v>
      </c>
      <c r="P701">
        <v>0</v>
      </c>
      <c r="Q701">
        <v>0</v>
      </c>
      <c r="R701" s="2043">
        <v>32156705</v>
      </c>
      <c r="S701">
        <v>1760275</v>
      </c>
      <c r="T701">
        <v>0</v>
      </c>
      <c r="U701">
        <v>0.05</v>
      </c>
      <c r="V701">
        <v>0</v>
      </c>
      <c r="W701">
        <v>21977148</v>
      </c>
      <c r="X701">
        <v>0</v>
      </c>
      <c r="Y701">
        <v>0</v>
      </c>
      <c r="Z701">
        <v>0</v>
      </c>
      <c r="AA701">
        <v>0.28999999999999998</v>
      </c>
      <c r="AB701">
        <v>1374.2920000000001</v>
      </c>
      <c r="AC701" s="2043">
        <v>4767749713</v>
      </c>
      <c r="AD701">
        <v>4435567</v>
      </c>
      <c r="AE701" s="2043">
        <v>33916980</v>
      </c>
      <c r="AF701">
        <v>0.96340000000000003</v>
      </c>
      <c r="AG701">
        <v>0</v>
      </c>
      <c r="AH701">
        <v>21977148</v>
      </c>
      <c r="AI701">
        <v>0</v>
      </c>
      <c r="AJ701">
        <v>182.5</v>
      </c>
      <c r="AK701">
        <v>5026</v>
      </c>
      <c r="AL701">
        <v>0.153</v>
      </c>
      <c r="AM701">
        <v>0</v>
      </c>
      <c r="AN701">
        <v>47.019000000000005</v>
      </c>
      <c r="AO701">
        <v>0</v>
      </c>
      <c r="AP701">
        <v>0</v>
      </c>
      <c r="AQ701">
        <v>0.46200000000000002</v>
      </c>
      <c r="AR701">
        <v>23.98</v>
      </c>
      <c r="AS701">
        <v>0</v>
      </c>
      <c r="AT701">
        <v>8.8250000000000011</v>
      </c>
      <c r="AU701">
        <v>2.488</v>
      </c>
      <c r="AV701">
        <v>0</v>
      </c>
      <c r="AW701">
        <v>36.831000000000003</v>
      </c>
      <c r="AX701">
        <v>0.92300000000000004</v>
      </c>
      <c r="AY701">
        <v>113.74300000000001</v>
      </c>
      <c r="AZ701">
        <v>0</v>
      </c>
      <c r="BA701">
        <v>707040</v>
      </c>
      <c r="BB701">
        <v>38352547</v>
      </c>
      <c r="BC701">
        <v>0</v>
      </c>
      <c r="BD701">
        <v>64620</v>
      </c>
      <c r="BE701">
        <v>13789</v>
      </c>
      <c r="BF701">
        <v>78409</v>
      </c>
      <c r="BG701">
        <v>64620</v>
      </c>
      <c r="BH701">
        <v>0</v>
      </c>
      <c r="BI701">
        <v>0</v>
      </c>
      <c r="BJ701">
        <v>0</v>
      </c>
      <c r="BK701">
        <v>0</v>
      </c>
      <c r="BL701">
        <v>3531254542</v>
      </c>
      <c r="BM701">
        <v>0</v>
      </c>
      <c r="BN701">
        <v>5049</v>
      </c>
      <c r="BO701">
        <v>2718</v>
      </c>
      <c r="BP701">
        <v>0</v>
      </c>
      <c r="BQ701">
        <v>0</v>
      </c>
      <c r="BR701">
        <v>0.91339999999999999</v>
      </c>
      <c r="BS701">
        <v>0.91339999999999999</v>
      </c>
      <c r="BT701">
        <v>0</v>
      </c>
      <c r="BU701">
        <v>0</v>
      </c>
      <c r="BV701">
        <v>63</v>
      </c>
      <c r="BW701">
        <v>306</v>
      </c>
      <c r="BX701">
        <v>128</v>
      </c>
      <c r="BY701">
        <v>232</v>
      </c>
      <c r="BZ701">
        <v>10</v>
      </c>
      <c r="CA701">
        <v>739</v>
      </c>
      <c r="CB701">
        <v>0</v>
      </c>
      <c r="CC701">
        <v>0</v>
      </c>
      <c r="CD701">
        <v>0</v>
      </c>
      <c r="CE701">
        <v>37</v>
      </c>
      <c r="CF701">
        <v>208.54500000000002</v>
      </c>
      <c r="CG701">
        <v>0</v>
      </c>
      <c r="CH701">
        <v>0</v>
      </c>
      <c r="CI701">
        <v>1</v>
      </c>
      <c r="CJ701">
        <v>2</v>
      </c>
      <c r="CK701">
        <v>0</v>
      </c>
      <c r="CL701">
        <v>0</v>
      </c>
      <c r="CM701">
        <v>46.987000000000002</v>
      </c>
      <c r="CN701">
        <v>0</v>
      </c>
      <c r="CO701">
        <v>0</v>
      </c>
      <c r="CP701">
        <v>0</v>
      </c>
      <c r="CQ701">
        <v>0</v>
      </c>
      <c r="CR701">
        <v>0</v>
      </c>
      <c r="CS701">
        <v>0</v>
      </c>
      <c r="CT701">
        <v>0</v>
      </c>
      <c r="CU701">
        <v>2.536</v>
      </c>
      <c r="CV701">
        <v>61.972000000000001</v>
      </c>
      <c r="CW701">
        <v>21.633000000000003</v>
      </c>
      <c r="CX701">
        <v>0</v>
      </c>
      <c r="CY701" s="2043">
        <v>0</v>
      </c>
      <c r="CZ701" s="2043">
        <v>0</v>
      </c>
      <c r="DA701" s="2043">
        <v>0</v>
      </c>
      <c r="DB701" s="2043">
        <v>0</v>
      </c>
      <c r="DC701" s="2043">
        <v>610580</v>
      </c>
      <c r="DI701" t="s">
        <v>4305</v>
      </c>
      <c r="DJ701" t="s">
        <v>4305</v>
      </c>
      <c r="DK701" s="2042">
        <f t="shared" si="12"/>
        <v>0</v>
      </c>
    </row>
    <row r="702" spans="1:115">
      <c r="A702" t="s">
        <v>3091</v>
      </c>
      <c r="B702" t="s">
        <v>2371</v>
      </c>
      <c r="C702">
        <v>651.79200000000003</v>
      </c>
      <c r="D702">
        <v>662.55600000000004</v>
      </c>
      <c r="E702">
        <v>43.327000000000005</v>
      </c>
      <c r="F702">
        <v>224476</v>
      </c>
      <c r="G702" s="2043">
        <v>822457138</v>
      </c>
      <c r="H702">
        <v>0</v>
      </c>
      <c r="I702" s="2043">
        <v>2254481</v>
      </c>
      <c r="J702">
        <v>32.590000000000003</v>
      </c>
      <c r="K702">
        <v>89</v>
      </c>
      <c r="L702">
        <v>0</v>
      </c>
      <c r="M702">
        <v>185750</v>
      </c>
      <c r="N702">
        <v>0</v>
      </c>
      <c r="O702">
        <v>185750</v>
      </c>
      <c r="P702">
        <v>0</v>
      </c>
      <c r="Q702">
        <v>0</v>
      </c>
      <c r="R702" s="2043">
        <v>7202098</v>
      </c>
      <c r="S702">
        <v>394247</v>
      </c>
      <c r="T702">
        <v>0</v>
      </c>
      <c r="U702">
        <v>0.05</v>
      </c>
      <c r="V702">
        <v>0</v>
      </c>
      <c r="W702">
        <v>0</v>
      </c>
      <c r="X702">
        <v>0</v>
      </c>
      <c r="Y702">
        <v>481935</v>
      </c>
      <c r="Z702">
        <v>0</v>
      </c>
      <c r="AA702">
        <v>0.193</v>
      </c>
      <c r="AB702">
        <v>657.08300000000008</v>
      </c>
      <c r="AC702" s="2043">
        <v>1263723438</v>
      </c>
      <c r="AD702">
        <v>2483568</v>
      </c>
      <c r="AE702" s="2043">
        <v>7596345</v>
      </c>
      <c r="AF702">
        <v>0.96340000000000003</v>
      </c>
      <c r="AG702">
        <v>0</v>
      </c>
      <c r="AH702">
        <v>0</v>
      </c>
      <c r="AI702">
        <v>0</v>
      </c>
      <c r="AJ702">
        <v>146.28800000000001</v>
      </c>
      <c r="AK702">
        <v>3253</v>
      </c>
      <c r="AL702">
        <v>0</v>
      </c>
      <c r="AM702">
        <v>0</v>
      </c>
      <c r="AN702">
        <v>52.407000000000004</v>
      </c>
      <c r="AO702">
        <v>0</v>
      </c>
      <c r="AP702">
        <v>0</v>
      </c>
      <c r="AQ702">
        <v>0</v>
      </c>
      <c r="AR702">
        <v>4.8610000000000007</v>
      </c>
      <c r="AS702">
        <v>0</v>
      </c>
      <c r="AT702">
        <v>6.4690000000000003</v>
      </c>
      <c r="AU702">
        <v>1.5230000000000001</v>
      </c>
      <c r="AV702">
        <v>0</v>
      </c>
      <c r="AW702">
        <v>12.853</v>
      </c>
      <c r="AX702">
        <v>0</v>
      </c>
      <c r="AY702">
        <v>41.605000000000004</v>
      </c>
      <c r="AZ702">
        <v>0</v>
      </c>
      <c r="BA702">
        <v>1029605</v>
      </c>
      <c r="BB702">
        <v>10079913</v>
      </c>
      <c r="BC702">
        <v>0</v>
      </c>
      <c r="BD702">
        <v>28535</v>
      </c>
      <c r="BE702">
        <v>6665</v>
      </c>
      <c r="BF702">
        <v>35200</v>
      </c>
      <c r="BG702">
        <v>28535</v>
      </c>
      <c r="BH702">
        <v>0</v>
      </c>
      <c r="BI702">
        <v>0</v>
      </c>
      <c r="BJ702">
        <v>0</v>
      </c>
      <c r="BK702">
        <v>0</v>
      </c>
      <c r="BL702">
        <v>822457138</v>
      </c>
      <c r="BM702">
        <v>0</v>
      </c>
      <c r="BN702">
        <v>2277</v>
      </c>
      <c r="BO702">
        <v>1263</v>
      </c>
      <c r="BP702">
        <v>0</v>
      </c>
      <c r="BQ702">
        <v>0</v>
      </c>
      <c r="BR702">
        <v>0.91339999999999999</v>
      </c>
      <c r="BS702">
        <v>0.91339999999999999</v>
      </c>
      <c r="BT702">
        <v>0</v>
      </c>
      <c r="BU702">
        <v>0</v>
      </c>
      <c r="BV702">
        <v>162</v>
      </c>
      <c r="BW702">
        <v>196</v>
      </c>
      <c r="BX702">
        <v>129</v>
      </c>
      <c r="BY702">
        <v>113</v>
      </c>
      <c r="BZ702">
        <v>5</v>
      </c>
      <c r="CA702">
        <v>605</v>
      </c>
      <c r="CB702">
        <v>0</v>
      </c>
      <c r="CC702">
        <v>0</v>
      </c>
      <c r="CD702">
        <v>0</v>
      </c>
      <c r="CE702">
        <v>60</v>
      </c>
      <c r="CF702">
        <v>170.721</v>
      </c>
      <c r="CG702">
        <v>0</v>
      </c>
      <c r="CH702">
        <v>0</v>
      </c>
      <c r="CI702">
        <v>0</v>
      </c>
      <c r="CJ702">
        <v>0</v>
      </c>
      <c r="CK702">
        <v>0</v>
      </c>
      <c r="CL702">
        <v>0</v>
      </c>
      <c r="CM702">
        <v>43.327000000000005</v>
      </c>
      <c r="CN702">
        <v>0</v>
      </c>
      <c r="CO702">
        <v>0</v>
      </c>
      <c r="CP702">
        <v>0</v>
      </c>
      <c r="CQ702">
        <v>0</v>
      </c>
      <c r="CR702">
        <v>0</v>
      </c>
      <c r="CS702">
        <v>0</v>
      </c>
      <c r="CT702">
        <v>0</v>
      </c>
      <c r="CU702">
        <v>1.929</v>
      </c>
      <c r="CV702">
        <v>31.164000000000001</v>
      </c>
      <c r="CW702">
        <v>30.109000000000002</v>
      </c>
      <c r="CX702">
        <v>0</v>
      </c>
      <c r="CY702" s="2043">
        <v>257459</v>
      </c>
      <c r="CZ702" s="2043">
        <v>0</v>
      </c>
      <c r="DA702" s="2043">
        <v>0</v>
      </c>
      <c r="DB702" s="2043">
        <v>224476</v>
      </c>
      <c r="DC702" s="2043">
        <v>138688</v>
      </c>
      <c r="DI702" t="s">
        <v>3091</v>
      </c>
      <c r="DJ702" t="s">
        <v>3091</v>
      </c>
      <c r="DK702" s="2042">
        <f t="shared" si="12"/>
        <v>0</v>
      </c>
    </row>
    <row r="703" spans="1:115">
      <c r="A703" t="s">
        <v>5124</v>
      </c>
      <c r="B703" t="s">
        <v>1083</v>
      </c>
      <c r="C703">
        <v>189.119</v>
      </c>
      <c r="D703">
        <v>197.74</v>
      </c>
      <c r="E703">
        <v>1.47</v>
      </c>
      <c r="F703">
        <v>0</v>
      </c>
      <c r="G703" s="2043">
        <v>246220084</v>
      </c>
      <c r="H703">
        <v>0</v>
      </c>
      <c r="I703" s="2043">
        <v>734171</v>
      </c>
      <c r="J703">
        <v>9.4560000000000013</v>
      </c>
      <c r="K703">
        <v>26</v>
      </c>
      <c r="L703">
        <v>0</v>
      </c>
      <c r="M703">
        <v>0</v>
      </c>
      <c r="N703">
        <v>0</v>
      </c>
      <c r="O703">
        <v>0</v>
      </c>
      <c r="P703">
        <v>0</v>
      </c>
      <c r="Q703">
        <v>0</v>
      </c>
      <c r="R703" s="2043">
        <v>2255371</v>
      </c>
      <c r="S703">
        <v>123460</v>
      </c>
      <c r="T703">
        <v>0</v>
      </c>
      <c r="U703">
        <v>0.05</v>
      </c>
      <c r="V703">
        <v>0</v>
      </c>
      <c r="W703">
        <v>0</v>
      </c>
      <c r="X703">
        <v>0</v>
      </c>
      <c r="Y703">
        <v>0</v>
      </c>
      <c r="Z703">
        <v>0</v>
      </c>
      <c r="AA703">
        <v>0</v>
      </c>
      <c r="AB703">
        <v>197.74</v>
      </c>
      <c r="AC703" s="2043">
        <v>453913927</v>
      </c>
      <c r="AD703">
        <v>1144066</v>
      </c>
      <c r="AE703" s="2043">
        <v>2378831</v>
      </c>
      <c r="AF703">
        <v>0.96340000000000003</v>
      </c>
      <c r="AG703">
        <v>0</v>
      </c>
      <c r="AH703">
        <v>0</v>
      </c>
      <c r="AI703">
        <v>0</v>
      </c>
      <c r="AJ703">
        <v>44.675000000000004</v>
      </c>
      <c r="AK703">
        <v>1300</v>
      </c>
      <c r="AL703">
        <v>1.5000000000000001E-2</v>
      </c>
      <c r="AM703">
        <v>0</v>
      </c>
      <c r="AN703">
        <v>16.269000000000002</v>
      </c>
      <c r="AO703">
        <v>0</v>
      </c>
      <c r="AP703">
        <v>0</v>
      </c>
      <c r="AQ703">
        <v>0</v>
      </c>
      <c r="AR703">
        <v>5.0810000000000004</v>
      </c>
      <c r="AS703">
        <v>0</v>
      </c>
      <c r="AT703">
        <v>0.44500000000000001</v>
      </c>
      <c r="AU703">
        <v>0.215</v>
      </c>
      <c r="AV703">
        <v>0</v>
      </c>
      <c r="AW703">
        <v>5.7560000000000002</v>
      </c>
      <c r="AX703">
        <v>0</v>
      </c>
      <c r="AY703">
        <v>17.728000000000002</v>
      </c>
      <c r="AZ703">
        <v>0</v>
      </c>
      <c r="BA703">
        <v>367961</v>
      </c>
      <c r="BB703">
        <v>3522897</v>
      </c>
      <c r="BC703">
        <v>0</v>
      </c>
      <c r="BD703">
        <v>5976</v>
      </c>
      <c r="BE703">
        <v>538</v>
      </c>
      <c r="BF703">
        <v>6514</v>
      </c>
      <c r="BG703">
        <v>5976</v>
      </c>
      <c r="BH703">
        <v>0</v>
      </c>
      <c r="BI703">
        <v>0</v>
      </c>
      <c r="BJ703">
        <v>0</v>
      </c>
      <c r="BK703">
        <v>0</v>
      </c>
      <c r="BL703">
        <v>246220084</v>
      </c>
      <c r="BM703">
        <v>0</v>
      </c>
      <c r="BN703">
        <v>693</v>
      </c>
      <c r="BO703">
        <v>653</v>
      </c>
      <c r="BP703">
        <v>0</v>
      </c>
      <c r="BQ703">
        <v>0</v>
      </c>
      <c r="BR703">
        <v>0.91339999999999999</v>
      </c>
      <c r="BS703">
        <v>0.91339999999999999</v>
      </c>
      <c r="BT703">
        <v>0</v>
      </c>
      <c r="BU703">
        <v>0</v>
      </c>
      <c r="BV703">
        <v>2</v>
      </c>
      <c r="BW703">
        <v>177</v>
      </c>
      <c r="BX703">
        <v>0</v>
      </c>
      <c r="BY703">
        <v>1</v>
      </c>
      <c r="BZ703">
        <v>7</v>
      </c>
      <c r="CA703">
        <v>187</v>
      </c>
      <c r="CB703">
        <v>0</v>
      </c>
      <c r="CC703">
        <v>0</v>
      </c>
      <c r="CD703">
        <v>0</v>
      </c>
      <c r="CE703">
        <v>9</v>
      </c>
      <c r="CF703">
        <v>46.402000000000001</v>
      </c>
      <c r="CG703">
        <v>0</v>
      </c>
      <c r="CH703">
        <v>0</v>
      </c>
      <c r="CI703">
        <v>0</v>
      </c>
      <c r="CJ703">
        <v>1</v>
      </c>
      <c r="CK703">
        <v>0</v>
      </c>
      <c r="CL703">
        <v>0</v>
      </c>
      <c r="CM703">
        <v>1.47</v>
      </c>
      <c r="CN703">
        <v>0</v>
      </c>
      <c r="CO703">
        <v>0</v>
      </c>
      <c r="CP703">
        <v>0</v>
      </c>
      <c r="CQ703">
        <v>0</v>
      </c>
      <c r="CR703">
        <v>0</v>
      </c>
      <c r="CS703">
        <v>0</v>
      </c>
      <c r="CT703">
        <v>0</v>
      </c>
      <c r="CU703">
        <v>0</v>
      </c>
      <c r="CV703">
        <v>16.025000000000002</v>
      </c>
      <c r="CW703">
        <v>6.5860000000000003</v>
      </c>
      <c r="CX703">
        <v>0</v>
      </c>
      <c r="CY703" s="2043">
        <v>0</v>
      </c>
      <c r="CZ703" s="2043">
        <v>0</v>
      </c>
      <c r="DA703" s="2043">
        <v>0</v>
      </c>
      <c r="DB703" s="2043">
        <v>0</v>
      </c>
      <c r="DC703" s="2043">
        <v>38403</v>
      </c>
      <c r="DI703" t="s">
        <v>5124</v>
      </c>
      <c r="DJ703" t="s">
        <v>5124</v>
      </c>
      <c r="DK703" s="2042">
        <f t="shared" si="12"/>
        <v>0</v>
      </c>
    </row>
    <row r="704" spans="1:115">
      <c r="A704" t="s">
        <v>3092</v>
      </c>
      <c r="B704" t="s">
        <v>1592</v>
      </c>
      <c r="C704">
        <v>406.61799999999999</v>
      </c>
      <c r="D704">
        <v>390.28700000000003</v>
      </c>
      <c r="E704">
        <v>9.5380000000000003</v>
      </c>
      <c r="F704">
        <v>0</v>
      </c>
      <c r="G704" s="2043">
        <v>639446123</v>
      </c>
      <c r="H704">
        <v>0</v>
      </c>
      <c r="I704" s="2043">
        <v>2460680</v>
      </c>
      <c r="J704">
        <v>20.331</v>
      </c>
      <c r="K704">
        <v>56</v>
      </c>
      <c r="L704">
        <v>0</v>
      </c>
      <c r="M704">
        <v>0</v>
      </c>
      <c r="N704">
        <v>0</v>
      </c>
      <c r="O704">
        <v>0</v>
      </c>
      <c r="P704">
        <v>0</v>
      </c>
      <c r="Q704">
        <v>0</v>
      </c>
      <c r="R704" s="2043">
        <v>5789608</v>
      </c>
      <c r="S704">
        <v>380311</v>
      </c>
      <c r="T704">
        <v>0</v>
      </c>
      <c r="U704">
        <v>0.06</v>
      </c>
      <c r="V704">
        <v>0</v>
      </c>
      <c r="W704">
        <v>1467111</v>
      </c>
      <c r="X704">
        <v>0</v>
      </c>
      <c r="Y704">
        <v>0</v>
      </c>
      <c r="Z704">
        <v>0</v>
      </c>
      <c r="AA704">
        <v>0</v>
      </c>
      <c r="AB704">
        <v>374.89400000000001</v>
      </c>
      <c r="AC704" s="2043">
        <v>631049835</v>
      </c>
      <c r="AD704">
        <v>2997336</v>
      </c>
      <c r="AE704" s="2043">
        <v>6169919</v>
      </c>
      <c r="AF704">
        <v>0.97340000000000004</v>
      </c>
      <c r="AG704">
        <v>0</v>
      </c>
      <c r="AH704">
        <v>1467111</v>
      </c>
      <c r="AI704">
        <v>0</v>
      </c>
      <c r="AJ704">
        <v>23.525000000000002</v>
      </c>
      <c r="AK704">
        <v>1264</v>
      </c>
      <c r="AL704">
        <v>0</v>
      </c>
      <c r="AM704">
        <v>0</v>
      </c>
      <c r="AN704">
        <v>12.427000000000001</v>
      </c>
      <c r="AO704">
        <v>0</v>
      </c>
      <c r="AP704">
        <v>0</v>
      </c>
      <c r="AQ704">
        <v>0</v>
      </c>
      <c r="AR704">
        <v>4.681</v>
      </c>
      <c r="AS704">
        <v>0</v>
      </c>
      <c r="AT704">
        <v>1.6740000000000002</v>
      </c>
      <c r="AU704">
        <v>0.75900000000000001</v>
      </c>
      <c r="AV704">
        <v>0</v>
      </c>
      <c r="AW704">
        <v>7.1140000000000008</v>
      </c>
      <c r="AX704">
        <v>0</v>
      </c>
      <c r="AY704">
        <v>22.86</v>
      </c>
      <c r="AZ704">
        <v>0</v>
      </c>
      <c r="BA704">
        <v>259519</v>
      </c>
      <c r="BB704">
        <v>9167255</v>
      </c>
      <c r="BC704">
        <v>0</v>
      </c>
      <c r="BD704">
        <v>42350</v>
      </c>
      <c r="BE704">
        <v>0</v>
      </c>
      <c r="BF704">
        <v>42350</v>
      </c>
      <c r="BG704">
        <v>42350</v>
      </c>
      <c r="BH704">
        <v>0</v>
      </c>
      <c r="BI704">
        <v>0</v>
      </c>
      <c r="BJ704">
        <v>0</v>
      </c>
      <c r="BK704">
        <v>0</v>
      </c>
      <c r="BL704">
        <v>639446123</v>
      </c>
      <c r="BM704">
        <v>0</v>
      </c>
      <c r="BN704">
        <v>1188</v>
      </c>
      <c r="BO704">
        <v>1124</v>
      </c>
      <c r="BP704">
        <v>0</v>
      </c>
      <c r="BQ704">
        <v>0</v>
      </c>
      <c r="BR704">
        <v>0.91339999999999999</v>
      </c>
      <c r="BS704">
        <v>0.91339999999999999</v>
      </c>
      <c r="BT704">
        <v>0</v>
      </c>
      <c r="BU704">
        <v>0</v>
      </c>
      <c r="BV704">
        <v>82</v>
      </c>
      <c r="BW704">
        <v>17</v>
      </c>
      <c r="BX704">
        <v>1</v>
      </c>
      <c r="BY704">
        <v>3</v>
      </c>
      <c r="BZ704">
        <v>0</v>
      </c>
      <c r="CA704">
        <v>103</v>
      </c>
      <c r="CB704">
        <v>0</v>
      </c>
      <c r="CC704">
        <v>0</v>
      </c>
      <c r="CD704">
        <v>0</v>
      </c>
      <c r="CE704">
        <v>20</v>
      </c>
      <c r="CF704">
        <v>41.434000000000005</v>
      </c>
      <c r="CG704">
        <v>0</v>
      </c>
      <c r="CH704">
        <v>0</v>
      </c>
      <c r="CI704">
        <v>2</v>
      </c>
      <c r="CJ704">
        <v>7</v>
      </c>
      <c r="CK704">
        <v>0</v>
      </c>
      <c r="CL704">
        <v>0</v>
      </c>
      <c r="CM704">
        <v>9.5380000000000003</v>
      </c>
      <c r="CN704">
        <v>0</v>
      </c>
      <c r="CO704">
        <v>0</v>
      </c>
      <c r="CP704">
        <v>0</v>
      </c>
      <c r="CQ704">
        <v>0</v>
      </c>
      <c r="CR704">
        <v>0</v>
      </c>
      <c r="CS704">
        <v>0</v>
      </c>
      <c r="CT704">
        <v>0</v>
      </c>
      <c r="CU704">
        <v>2.6790000000000003</v>
      </c>
      <c r="CV704">
        <v>32.881</v>
      </c>
      <c r="CW704">
        <v>21.028000000000002</v>
      </c>
      <c r="CX704">
        <v>0</v>
      </c>
      <c r="CY704" s="2043">
        <v>0</v>
      </c>
      <c r="CZ704" s="2043">
        <v>0</v>
      </c>
      <c r="DA704" s="2043">
        <v>0</v>
      </c>
      <c r="DB704" s="2043">
        <v>0</v>
      </c>
      <c r="DC704" s="2043">
        <v>103111</v>
      </c>
      <c r="DI704" t="s">
        <v>3092</v>
      </c>
      <c r="DJ704" t="s">
        <v>3092</v>
      </c>
      <c r="DK704" s="2042">
        <f t="shared" si="12"/>
        <v>0</v>
      </c>
    </row>
    <row r="705" spans="1:115">
      <c r="A705" t="s">
        <v>3095</v>
      </c>
      <c r="B705" t="s">
        <v>47</v>
      </c>
      <c r="C705">
        <v>3807.471</v>
      </c>
      <c r="D705">
        <v>3806.098</v>
      </c>
      <c r="E705">
        <v>890.50700000000006</v>
      </c>
      <c r="F705">
        <v>0</v>
      </c>
      <c r="G705" s="2043">
        <v>1246986504</v>
      </c>
      <c r="H705">
        <v>0</v>
      </c>
      <c r="I705" s="2043">
        <v>4475419</v>
      </c>
      <c r="J705">
        <v>190.374</v>
      </c>
      <c r="K705">
        <v>520</v>
      </c>
      <c r="L705">
        <v>109744</v>
      </c>
      <c r="M705">
        <v>1598071</v>
      </c>
      <c r="N705">
        <v>109744</v>
      </c>
      <c r="O705">
        <v>1707815</v>
      </c>
      <c r="P705">
        <v>0</v>
      </c>
      <c r="Q705">
        <v>0</v>
      </c>
      <c r="R705" s="2043">
        <v>10121993</v>
      </c>
      <c r="S705">
        <v>985109</v>
      </c>
      <c r="T705">
        <v>717898</v>
      </c>
      <c r="U705">
        <v>0.08</v>
      </c>
      <c r="V705">
        <v>0</v>
      </c>
      <c r="W705">
        <v>0</v>
      </c>
      <c r="X705">
        <v>0</v>
      </c>
      <c r="Y705">
        <v>0</v>
      </c>
      <c r="Z705">
        <v>0</v>
      </c>
      <c r="AA705">
        <v>0.20100000000000001</v>
      </c>
      <c r="AB705">
        <v>3728.2150000000001</v>
      </c>
      <c r="AC705" s="2043">
        <v>812791321</v>
      </c>
      <c r="AD705">
        <v>4025000</v>
      </c>
      <c r="AE705" s="2043">
        <v>11825000</v>
      </c>
      <c r="AF705">
        <v>0.96030000000000004</v>
      </c>
      <c r="AG705">
        <v>0</v>
      </c>
      <c r="AH705">
        <v>0</v>
      </c>
      <c r="AI705">
        <v>0</v>
      </c>
      <c r="AJ705">
        <v>774.43799999999999</v>
      </c>
      <c r="AK705">
        <v>12142</v>
      </c>
      <c r="AL705">
        <v>2.2000000000000002E-2</v>
      </c>
      <c r="AM705">
        <v>0</v>
      </c>
      <c r="AN705">
        <v>148.714</v>
      </c>
      <c r="AO705">
        <v>0</v>
      </c>
      <c r="AP705">
        <v>0</v>
      </c>
      <c r="AQ705">
        <v>1.2E-2</v>
      </c>
      <c r="AR705">
        <v>67.384</v>
      </c>
      <c r="AS705">
        <v>0</v>
      </c>
      <c r="AT705">
        <v>28.993000000000002</v>
      </c>
      <c r="AU705">
        <v>11.064</v>
      </c>
      <c r="AV705">
        <v>0</v>
      </c>
      <c r="AW705">
        <v>107.47500000000001</v>
      </c>
      <c r="AX705">
        <v>0</v>
      </c>
      <c r="AY705">
        <v>344.56100000000004</v>
      </c>
      <c r="AZ705">
        <v>0</v>
      </c>
      <c r="BA705">
        <v>29232382</v>
      </c>
      <c r="BB705">
        <v>15850000</v>
      </c>
      <c r="BC705">
        <v>0</v>
      </c>
      <c r="BD705">
        <v>289307</v>
      </c>
      <c r="BE705">
        <v>92669</v>
      </c>
      <c r="BF705">
        <v>381976</v>
      </c>
      <c r="BG705">
        <v>289307</v>
      </c>
      <c r="BH705">
        <v>0</v>
      </c>
      <c r="BI705">
        <v>0</v>
      </c>
      <c r="BJ705">
        <v>0</v>
      </c>
      <c r="BK705">
        <v>0</v>
      </c>
      <c r="BL705">
        <v>1246986504</v>
      </c>
      <c r="BM705">
        <v>0</v>
      </c>
      <c r="BN705">
        <v>14319</v>
      </c>
      <c r="BO705">
        <v>7972</v>
      </c>
      <c r="BP705">
        <v>0</v>
      </c>
      <c r="BQ705">
        <v>0</v>
      </c>
      <c r="BR705">
        <v>0.82200000000000006</v>
      </c>
      <c r="BS705">
        <v>0.82200000000000006</v>
      </c>
      <c r="BT705">
        <v>0</v>
      </c>
      <c r="BU705">
        <v>0</v>
      </c>
      <c r="BV705">
        <v>505</v>
      </c>
      <c r="BW705">
        <v>898</v>
      </c>
      <c r="BX705">
        <v>1124</v>
      </c>
      <c r="BY705">
        <v>251</v>
      </c>
      <c r="BZ705">
        <v>366</v>
      </c>
      <c r="CA705">
        <v>3144</v>
      </c>
      <c r="CB705">
        <v>0</v>
      </c>
      <c r="CC705">
        <v>0</v>
      </c>
      <c r="CD705">
        <v>0</v>
      </c>
      <c r="CE705">
        <v>246</v>
      </c>
      <c r="CF705">
        <v>1148.3340000000001</v>
      </c>
      <c r="CG705">
        <v>18.677</v>
      </c>
      <c r="CH705">
        <v>9.0860000000000003</v>
      </c>
      <c r="CI705">
        <v>2</v>
      </c>
      <c r="CJ705">
        <v>19</v>
      </c>
      <c r="CK705">
        <v>0</v>
      </c>
      <c r="CL705">
        <v>27.763000000000002</v>
      </c>
      <c r="CM705">
        <v>890.50700000000006</v>
      </c>
      <c r="CN705">
        <v>0</v>
      </c>
      <c r="CO705">
        <v>0</v>
      </c>
      <c r="CP705">
        <v>0</v>
      </c>
      <c r="CQ705">
        <v>0</v>
      </c>
      <c r="CR705">
        <v>0</v>
      </c>
      <c r="CS705">
        <v>0</v>
      </c>
      <c r="CT705">
        <v>0</v>
      </c>
      <c r="CU705">
        <v>1.421</v>
      </c>
      <c r="CV705">
        <v>177.08500000000001</v>
      </c>
      <c r="CW705">
        <v>109.47800000000001</v>
      </c>
      <c r="CX705">
        <v>0</v>
      </c>
      <c r="CY705" s="2043">
        <v>0</v>
      </c>
      <c r="CZ705" s="2043">
        <v>0</v>
      </c>
      <c r="DA705" s="2043">
        <v>0</v>
      </c>
      <c r="DB705" s="2043">
        <v>0</v>
      </c>
      <c r="DC705" s="2043">
        <v>0</v>
      </c>
      <c r="DI705" t="s">
        <v>3093</v>
      </c>
      <c r="DJ705" t="s">
        <v>3095</v>
      </c>
      <c r="DK705" s="2042">
        <f t="shared" si="12"/>
        <v>-2</v>
      </c>
    </row>
    <row r="706" spans="1:115">
      <c r="A706" t="s">
        <v>3093</v>
      </c>
      <c r="B706" t="s">
        <v>2265</v>
      </c>
      <c r="C706">
        <v>5136.4409999999998</v>
      </c>
      <c r="D706">
        <v>4595.3069999999998</v>
      </c>
      <c r="E706">
        <v>695.96800000000007</v>
      </c>
      <c r="F706">
        <v>0</v>
      </c>
      <c r="G706" s="2043">
        <v>1614942257</v>
      </c>
      <c r="H706">
        <v>0</v>
      </c>
      <c r="I706" s="2043">
        <v>8981804</v>
      </c>
      <c r="J706">
        <v>256.822</v>
      </c>
      <c r="K706">
        <v>702</v>
      </c>
      <c r="L706">
        <v>210191</v>
      </c>
      <c r="M706">
        <v>1897709</v>
      </c>
      <c r="N706">
        <v>210191</v>
      </c>
      <c r="O706">
        <v>2107900</v>
      </c>
      <c r="P706">
        <v>0</v>
      </c>
      <c r="Q706">
        <v>0</v>
      </c>
      <c r="R706" s="2043">
        <v>13380497</v>
      </c>
      <c r="S706">
        <v>813899</v>
      </c>
      <c r="T706">
        <v>0</v>
      </c>
      <c r="U706">
        <v>0.05</v>
      </c>
      <c r="V706">
        <v>0</v>
      </c>
      <c r="W706">
        <v>0</v>
      </c>
      <c r="X706">
        <v>0</v>
      </c>
      <c r="Y706">
        <v>0</v>
      </c>
      <c r="Z706">
        <v>0</v>
      </c>
      <c r="AA706">
        <v>0.82500000000000007</v>
      </c>
      <c r="AB706">
        <v>4595.3069999999998</v>
      </c>
      <c r="AC706" s="2043">
        <v>957018241</v>
      </c>
      <c r="AD706">
        <v>8113947</v>
      </c>
      <c r="AE706" s="2043">
        <v>14194396</v>
      </c>
      <c r="AF706">
        <v>0.872</v>
      </c>
      <c r="AG706">
        <v>0</v>
      </c>
      <c r="AH706">
        <v>0</v>
      </c>
      <c r="AI706">
        <v>0</v>
      </c>
      <c r="AJ706">
        <v>739.11300000000006</v>
      </c>
      <c r="AK706">
        <v>18003</v>
      </c>
      <c r="AL706">
        <v>0.314</v>
      </c>
      <c r="AM706">
        <v>0</v>
      </c>
      <c r="AN706">
        <v>212.78100000000001</v>
      </c>
      <c r="AO706">
        <v>0</v>
      </c>
      <c r="AP706">
        <v>0.23200000000000001</v>
      </c>
      <c r="AQ706">
        <v>0</v>
      </c>
      <c r="AR706">
        <v>113.43400000000001</v>
      </c>
      <c r="AS706">
        <v>0</v>
      </c>
      <c r="AT706">
        <v>44.501000000000005</v>
      </c>
      <c r="AU706">
        <v>13.062000000000001</v>
      </c>
      <c r="AV706">
        <v>0</v>
      </c>
      <c r="AW706">
        <v>171.54300000000001</v>
      </c>
      <c r="AX706">
        <v>0</v>
      </c>
      <c r="AY706">
        <v>541.31100000000004</v>
      </c>
      <c r="AZ706">
        <v>0</v>
      </c>
      <c r="BA706">
        <v>35362984</v>
      </c>
      <c r="BB706">
        <v>22308343</v>
      </c>
      <c r="BC706">
        <v>0</v>
      </c>
      <c r="BD706">
        <v>206139</v>
      </c>
      <c r="BE706">
        <v>52920</v>
      </c>
      <c r="BF706">
        <v>275087</v>
      </c>
      <c r="BG706">
        <v>206139</v>
      </c>
      <c r="BH706">
        <v>16028</v>
      </c>
      <c r="BI706">
        <v>0</v>
      </c>
      <c r="BJ706">
        <v>0</v>
      </c>
      <c r="BK706">
        <v>0</v>
      </c>
      <c r="BL706">
        <v>1614942257</v>
      </c>
      <c r="BM706">
        <v>0</v>
      </c>
      <c r="BN706">
        <v>16578</v>
      </c>
      <c r="BO706">
        <v>9919</v>
      </c>
      <c r="BP706">
        <v>3851</v>
      </c>
      <c r="BQ706">
        <v>0</v>
      </c>
      <c r="BR706">
        <v>0.82200000000000006</v>
      </c>
      <c r="BS706">
        <v>0.82200000000000006</v>
      </c>
      <c r="BT706">
        <v>0</v>
      </c>
      <c r="BU706">
        <v>0</v>
      </c>
      <c r="BV706">
        <v>235</v>
      </c>
      <c r="BW706">
        <v>2836</v>
      </c>
      <c r="BX706">
        <v>12</v>
      </c>
      <c r="BY706">
        <v>17</v>
      </c>
      <c r="BZ706">
        <v>19</v>
      </c>
      <c r="CA706">
        <v>3119</v>
      </c>
      <c r="CB706">
        <v>0</v>
      </c>
      <c r="CC706">
        <v>128.738</v>
      </c>
      <c r="CD706">
        <v>0</v>
      </c>
      <c r="CE706">
        <v>374</v>
      </c>
      <c r="CF706">
        <v>1213.02</v>
      </c>
      <c r="CG706">
        <v>49.896000000000001</v>
      </c>
      <c r="CH706">
        <v>0</v>
      </c>
      <c r="CI706">
        <v>5</v>
      </c>
      <c r="CJ706">
        <v>12</v>
      </c>
      <c r="CK706">
        <v>0</v>
      </c>
      <c r="CL706">
        <v>49.896000000000001</v>
      </c>
      <c r="CM706">
        <v>695.96800000000007</v>
      </c>
      <c r="CN706">
        <v>0</v>
      </c>
      <c r="CO706">
        <v>0</v>
      </c>
      <c r="CP706">
        <v>3851</v>
      </c>
      <c r="CQ706">
        <v>0</v>
      </c>
      <c r="CR706">
        <v>0</v>
      </c>
      <c r="CS706">
        <v>0</v>
      </c>
      <c r="CT706">
        <v>0</v>
      </c>
      <c r="CU706">
        <v>0</v>
      </c>
      <c r="CV706">
        <v>252.79700000000003</v>
      </c>
      <c r="CW706">
        <v>167.786</v>
      </c>
      <c r="CX706">
        <v>0</v>
      </c>
      <c r="CY706" s="2043">
        <v>0</v>
      </c>
      <c r="CZ706" s="2043">
        <v>0</v>
      </c>
      <c r="DA706" s="2043">
        <v>0</v>
      </c>
      <c r="DB706" s="2043">
        <v>0</v>
      </c>
      <c r="DC706" s="2043">
        <v>0</v>
      </c>
      <c r="DI706" t="s">
        <v>3094</v>
      </c>
      <c r="DJ706" t="s">
        <v>3093</v>
      </c>
      <c r="DK706" s="2042">
        <f t="shared" si="12"/>
        <v>1</v>
      </c>
    </row>
    <row r="707" spans="1:115">
      <c r="A707" t="s">
        <v>3094</v>
      </c>
      <c r="B707" t="s">
        <v>1263</v>
      </c>
      <c r="C707">
        <v>13560.439</v>
      </c>
      <c r="D707">
        <v>12179.673999999999</v>
      </c>
      <c r="E707">
        <v>1080.213</v>
      </c>
      <c r="F707">
        <v>0</v>
      </c>
      <c r="G707" s="2043">
        <v>6496837410</v>
      </c>
      <c r="H707">
        <v>0</v>
      </c>
      <c r="I707" s="2043">
        <v>18920300</v>
      </c>
      <c r="J707">
        <v>678.02200000000005</v>
      </c>
      <c r="K707">
        <v>1854</v>
      </c>
      <c r="L707">
        <v>0</v>
      </c>
      <c r="M707">
        <v>4882988</v>
      </c>
      <c r="N707">
        <v>0</v>
      </c>
      <c r="O707">
        <v>4882988</v>
      </c>
      <c r="P707">
        <v>0</v>
      </c>
      <c r="Q707">
        <v>0</v>
      </c>
      <c r="R707" s="2043">
        <v>53147383</v>
      </c>
      <c r="S707">
        <v>3232809</v>
      </c>
      <c r="T707">
        <v>0</v>
      </c>
      <c r="U707">
        <v>0.05</v>
      </c>
      <c r="V707">
        <v>2441.3020000000001</v>
      </c>
      <c r="W707">
        <v>0</v>
      </c>
      <c r="X707">
        <v>0</v>
      </c>
      <c r="Y707">
        <v>0</v>
      </c>
      <c r="Z707">
        <v>0</v>
      </c>
      <c r="AA707">
        <v>0.73</v>
      </c>
      <c r="AB707">
        <v>12179.673999999999</v>
      </c>
      <c r="AC707" s="2043">
        <v>4265961225</v>
      </c>
      <c r="AD707">
        <v>32305015</v>
      </c>
      <c r="AE707" s="2043">
        <v>56380192</v>
      </c>
      <c r="AF707">
        <v>0.872</v>
      </c>
      <c r="AG707">
        <v>0</v>
      </c>
      <c r="AH707">
        <v>0</v>
      </c>
      <c r="AI707">
        <v>0</v>
      </c>
      <c r="AJ707">
        <v>1176.4880000000001</v>
      </c>
      <c r="AK707">
        <v>43434</v>
      </c>
      <c r="AL707">
        <v>1.4220000000000002</v>
      </c>
      <c r="AM707">
        <v>0</v>
      </c>
      <c r="AN707">
        <v>487.98600000000005</v>
      </c>
      <c r="AO707">
        <v>0</v>
      </c>
      <c r="AP707">
        <v>0</v>
      </c>
      <c r="AQ707">
        <v>0</v>
      </c>
      <c r="AR707">
        <v>284.69400000000002</v>
      </c>
      <c r="AS707">
        <v>0</v>
      </c>
      <c r="AT707">
        <v>109.328</v>
      </c>
      <c r="AU707">
        <v>33.493000000000002</v>
      </c>
      <c r="AV707">
        <v>0</v>
      </c>
      <c r="AW707">
        <v>428.93700000000001</v>
      </c>
      <c r="AX707">
        <v>0</v>
      </c>
      <c r="AY707">
        <v>1356.6410000000001</v>
      </c>
      <c r="AZ707">
        <v>0</v>
      </c>
      <c r="BA707">
        <v>66939343</v>
      </c>
      <c r="BB707">
        <v>88685207</v>
      </c>
      <c r="BC707">
        <v>0</v>
      </c>
      <c r="BD707">
        <v>256531</v>
      </c>
      <c r="BE707">
        <v>247582</v>
      </c>
      <c r="BF707">
        <v>620649</v>
      </c>
      <c r="BG707">
        <v>256531</v>
      </c>
      <c r="BH707">
        <v>116536</v>
      </c>
      <c r="BI707">
        <v>0</v>
      </c>
      <c r="BJ707">
        <v>0</v>
      </c>
      <c r="BK707">
        <v>0</v>
      </c>
      <c r="BL707">
        <v>6496837410</v>
      </c>
      <c r="BM707">
        <v>0</v>
      </c>
      <c r="BN707">
        <v>47088</v>
      </c>
      <c r="BO707">
        <v>28933</v>
      </c>
      <c r="BP707">
        <v>3655</v>
      </c>
      <c r="BQ707">
        <v>0</v>
      </c>
      <c r="BR707">
        <v>0.82200000000000006</v>
      </c>
      <c r="BS707">
        <v>0.82200000000000006</v>
      </c>
      <c r="BT707">
        <v>0</v>
      </c>
      <c r="BU707">
        <v>0</v>
      </c>
      <c r="BV707">
        <v>2756</v>
      </c>
      <c r="BW707">
        <v>2214</v>
      </c>
      <c r="BX707">
        <v>72</v>
      </c>
      <c r="BY707">
        <v>7</v>
      </c>
      <c r="BZ707">
        <v>39</v>
      </c>
      <c r="CA707">
        <v>5088</v>
      </c>
      <c r="CB707">
        <v>0</v>
      </c>
      <c r="CC707">
        <v>389.5</v>
      </c>
      <c r="CD707">
        <v>191.93</v>
      </c>
      <c r="CE707">
        <v>1016</v>
      </c>
      <c r="CF707">
        <v>1930.56</v>
      </c>
      <c r="CG707">
        <v>0</v>
      </c>
      <c r="CH707">
        <v>1.99</v>
      </c>
      <c r="CI707">
        <v>8</v>
      </c>
      <c r="CJ707">
        <v>76</v>
      </c>
      <c r="CK707">
        <v>1</v>
      </c>
      <c r="CL707">
        <v>1.99</v>
      </c>
      <c r="CM707">
        <v>1080.213</v>
      </c>
      <c r="CN707">
        <v>0</v>
      </c>
      <c r="CO707">
        <v>0</v>
      </c>
      <c r="CP707">
        <v>3655</v>
      </c>
      <c r="CQ707">
        <v>0</v>
      </c>
      <c r="CR707">
        <v>0</v>
      </c>
      <c r="CS707">
        <v>0</v>
      </c>
      <c r="CT707">
        <v>0</v>
      </c>
      <c r="CU707">
        <v>440.08300000000003</v>
      </c>
      <c r="CV707">
        <v>625.87</v>
      </c>
      <c r="CW707">
        <v>397.57300000000004</v>
      </c>
      <c r="CX707">
        <v>0</v>
      </c>
      <c r="CY707" s="2043">
        <v>0</v>
      </c>
      <c r="CZ707" s="2043">
        <v>0</v>
      </c>
      <c r="DA707" s="2043">
        <v>0</v>
      </c>
      <c r="DB707" s="2043">
        <v>0</v>
      </c>
      <c r="DC707" s="2043">
        <v>0</v>
      </c>
      <c r="DI707" t="s">
        <v>3095</v>
      </c>
      <c r="DJ707" t="s">
        <v>3094</v>
      </c>
      <c r="DK707" s="2042">
        <f t="shared" si="12"/>
        <v>1</v>
      </c>
    </row>
    <row r="708" spans="1:115">
      <c r="A708" t="s">
        <v>3096</v>
      </c>
      <c r="B708" t="s">
        <v>49</v>
      </c>
      <c r="C708">
        <v>1552.1200000000001</v>
      </c>
      <c r="D708">
        <v>1477.8990000000001</v>
      </c>
      <c r="E708">
        <v>249.86</v>
      </c>
      <c r="F708">
        <v>0</v>
      </c>
      <c r="G708" s="2043">
        <v>660390400</v>
      </c>
      <c r="H708">
        <v>0</v>
      </c>
      <c r="I708" s="2043">
        <v>1691864</v>
      </c>
      <c r="J708">
        <v>77.606000000000009</v>
      </c>
      <c r="K708">
        <v>212</v>
      </c>
      <c r="L708">
        <v>0</v>
      </c>
      <c r="M708">
        <v>395868</v>
      </c>
      <c r="N708">
        <v>0</v>
      </c>
      <c r="O708">
        <v>395868</v>
      </c>
      <c r="P708">
        <v>0</v>
      </c>
      <c r="Q708">
        <v>0</v>
      </c>
      <c r="R708" s="2043">
        <v>5392209</v>
      </c>
      <c r="S708">
        <v>524789</v>
      </c>
      <c r="T708">
        <v>380472</v>
      </c>
      <c r="U708">
        <v>0.08</v>
      </c>
      <c r="V708">
        <v>0</v>
      </c>
      <c r="W708">
        <v>0</v>
      </c>
      <c r="X708">
        <v>0</v>
      </c>
      <c r="Y708">
        <v>190327</v>
      </c>
      <c r="Z708">
        <v>0</v>
      </c>
      <c r="AA708">
        <v>0.183</v>
      </c>
      <c r="AB708">
        <v>1477.8990000000001</v>
      </c>
      <c r="AC708" s="2043">
        <v>410960462</v>
      </c>
      <c r="AD708">
        <v>1838619</v>
      </c>
      <c r="AE708" s="2043">
        <v>6297470</v>
      </c>
      <c r="AF708">
        <v>0.96</v>
      </c>
      <c r="AG708">
        <v>0</v>
      </c>
      <c r="AH708">
        <v>0</v>
      </c>
      <c r="AI708">
        <v>0</v>
      </c>
      <c r="AJ708">
        <v>269.95</v>
      </c>
      <c r="AK708">
        <v>7272</v>
      </c>
      <c r="AL708">
        <v>0.51100000000000001</v>
      </c>
      <c r="AM708">
        <v>0</v>
      </c>
      <c r="AN708">
        <v>59.856999999999999</v>
      </c>
      <c r="AO708">
        <v>0</v>
      </c>
      <c r="AP708">
        <v>0</v>
      </c>
      <c r="AQ708">
        <v>0</v>
      </c>
      <c r="AR708">
        <v>39.297000000000004</v>
      </c>
      <c r="AS708">
        <v>0</v>
      </c>
      <c r="AT708">
        <v>22.631</v>
      </c>
      <c r="AU708">
        <v>5.1260000000000003</v>
      </c>
      <c r="AV708">
        <v>0</v>
      </c>
      <c r="AW708">
        <v>67.564999999999998</v>
      </c>
      <c r="AX708">
        <v>0</v>
      </c>
      <c r="AY708">
        <v>213.96900000000002</v>
      </c>
      <c r="AZ708">
        <v>0</v>
      </c>
      <c r="BA708">
        <v>11968493</v>
      </c>
      <c r="BB708">
        <v>8136089</v>
      </c>
      <c r="BC708">
        <v>0</v>
      </c>
      <c r="BD708">
        <v>130393</v>
      </c>
      <c r="BE708">
        <v>36832</v>
      </c>
      <c r="BF708">
        <v>167225</v>
      </c>
      <c r="BG708">
        <v>130393</v>
      </c>
      <c r="BH708">
        <v>0</v>
      </c>
      <c r="BI708">
        <v>-5498</v>
      </c>
      <c r="BJ708">
        <v>0</v>
      </c>
      <c r="BK708">
        <v>0</v>
      </c>
      <c r="BL708">
        <v>660390400</v>
      </c>
      <c r="BM708">
        <v>0</v>
      </c>
      <c r="BN708">
        <v>5652</v>
      </c>
      <c r="BO708">
        <v>2333</v>
      </c>
      <c r="BP708">
        <v>0</v>
      </c>
      <c r="BQ708">
        <v>0</v>
      </c>
      <c r="BR708">
        <v>0.82200000000000006</v>
      </c>
      <c r="BS708">
        <v>0.82200000000000006</v>
      </c>
      <c r="BT708">
        <v>0</v>
      </c>
      <c r="BU708">
        <v>0</v>
      </c>
      <c r="BV708">
        <v>192</v>
      </c>
      <c r="BW708">
        <v>161</v>
      </c>
      <c r="BX708">
        <v>440</v>
      </c>
      <c r="BY708">
        <v>297</v>
      </c>
      <c r="BZ708">
        <v>2</v>
      </c>
      <c r="CA708">
        <v>1092</v>
      </c>
      <c r="CB708">
        <v>0</v>
      </c>
      <c r="CC708">
        <v>0</v>
      </c>
      <c r="CD708">
        <v>0</v>
      </c>
      <c r="CE708">
        <v>145</v>
      </c>
      <c r="CF708">
        <v>434.00900000000001</v>
      </c>
      <c r="CG708">
        <v>4.4630000000000001</v>
      </c>
      <c r="CH708">
        <v>0</v>
      </c>
      <c r="CI708">
        <v>5</v>
      </c>
      <c r="CJ708">
        <v>10</v>
      </c>
      <c r="CK708">
        <v>0</v>
      </c>
      <c r="CL708">
        <v>4.4630000000000001</v>
      </c>
      <c r="CM708">
        <v>249.86</v>
      </c>
      <c r="CN708">
        <v>0</v>
      </c>
      <c r="CO708">
        <v>0</v>
      </c>
      <c r="CP708">
        <v>0</v>
      </c>
      <c r="CQ708">
        <v>0</v>
      </c>
      <c r="CR708">
        <v>0</v>
      </c>
      <c r="CS708">
        <v>0</v>
      </c>
      <c r="CT708">
        <v>0</v>
      </c>
      <c r="CU708">
        <v>14.257000000000001</v>
      </c>
      <c r="CV708">
        <v>133.96700000000001</v>
      </c>
      <c r="CW708">
        <v>74.936000000000007</v>
      </c>
      <c r="CX708">
        <v>0</v>
      </c>
      <c r="CY708" s="2043">
        <v>195825</v>
      </c>
      <c r="CZ708" s="2043">
        <v>0</v>
      </c>
      <c r="DA708" s="2043">
        <v>0</v>
      </c>
      <c r="DB708" s="2043">
        <v>0</v>
      </c>
      <c r="DC708" s="2043">
        <v>0</v>
      </c>
      <c r="DI708" t="s">
        <v>3096</v>
      </c>
      <c r="DJ708" t="s">
        <v>3096</v>
      </c>
      <c r="DK708" s="2042">
        <f t="shared" ref="DK708:DK771" si="13">DI708-DJ708:DJ709</f>
        <v>0</v>
      </c>
    </row>
    <row r="709" spans="1:115">
      <c r="A709" t="s">
        <v>3097</v>
      </c>
      <c r="B709" t="s">
        <v>466</v>
      </c>
      <c r="C709">
        <v>1003.774</v>
      </c>
      <c r="D709">
        <v>1091.443</v>
      </c>
      <c r="E709">
        <v>78.453000000000003</v>
      </c>
      <c r="F709">
        <v>0</v>
      </c>
      <c r="G709" s="2043">
        <v>347320976</v>
      </c>
      <c r="H709">
        <v>0</v>
      </c>
      <c r="I709" s="2043">
        <v>532763</v>
      </c>
      <c r="J709">
        <v>50.189</v>
      </c>
      <c r="K709">
        <v>137</v>
      </c>
      <c r="L709">
        <v>2121</v>
      </c>
      <c r="M709">
        <v>184127</v>
      </c>
      <c r="N709">
        <v>2121</v>
      </c>
      <c r="O709">
        <v>186248</v>
      </c>
      <c r="P709">
        <v>0</v>
      </c>
      <c r="Q709">
        <v>0</v>
      </c>
      <c r="R709" s="2043">
        <v>2960443</v>
      </c>
      <c r="S709">
        <v>288121</v>
      </c>
      <c r="T709">
        <v>209968</v>
      </c>
      <c r="U709">
        <v>0.08</v>
      </c>
      <c r="V709">
        <v>0</v>
      </c>
      <c r="W709">
        <v>0</v>
      </c>
      <c r="X709">
        <v>0</v>
      </c>
      <c r="Y709">
        <v>0</v>
      </c>
      <c r="Z709">
        <v>0</v>
      </c>
      <c r="AA709">
        <v>0</v>
      </c>
      <c r="AB709">
        <v>985.74400000000003</v>
      </c>
      <c r="AC709" s="2043">
        <v>201821985</v>
      </c>
      <c r="AD709">
        <v>572174</v>
      </c>
      <c r="AE709" s="2043">
        <v>3458532</v>
      </c>
      <c r="AF709">
        <v>0.96030000000000004</v>
      </c>
      <c r="AG709">
        <v>0</v>
      </c>
      <c r="AH709">
        <v>0</v>
      </c>
      <c r="AI709">
        <v>0</v>
      </c>
      <c r="AJ709">
        <v>105.375</v>
      </c>
      <c r="AK709">
        <v>4749</v>
      </c>
      <c r="AL709">
        <v>3.4000000000000002E-2</v>
      </c>
      <c r="AM709">
        <v>0</v>
      </c>
      <c r="AN709">
        <v>75.718000000000004</v>
      </c>
      <c r="AO709">
        <v>0</v>
      </c>
      <c r="AP709">
        <v>0.252</v>
      </c>
      <c r="AQ709">
        <v>0</v>
      </c>
      <c r="AR709">
        <v>17.052</v>
      </c>
      <c r="AS709">
        <v>0</v>
      </c>
      <c r="AT709">
        <v>5.3380000000000001</v>
      </c>
      <c r="AU709">
        <v>1.59</v>
      </c>
      <c r="AV709">
        <v>0</v>
      </c>
      <c r="AW709">
        <v>24.266000000000002</v>
      </c>
      <c r="AX709">
        <v>0</v>
      </c>
      <c r="AY709">
        <v>75.97</v>
      </c>
      <c r="AZ709">
        <v>0</v>
      </c>
      <c r="BA709">
        <v>8918927</v>
      </c>
      <c r="BB709">
        <v>4030706</v>
      </c>
      <c r="BC709">
        <v>0</v>
      </c>
      <c r="BD709">
        <v>59472</v>
      </c>
      <c r="BE709">
        <v>1778</v>
      </c>
      <c r="BF709">
        <v>61250</v>
      </c>
      <c r="BG709">
        <v>59472</v>
      </c>
      <c r="BH709">
        <v>0</v>
      </c>
      <c r="BI709">
        <v>0</v>
      </c>
      <c r="BJ709">
        <v>0</v>
      </c>
      <c r="BK709">
        <v>0</v>
      </c>
      <c r="BL709">
        <v>347320976</v>
      </c>
      <c r="BM709">
        <v>0</v>
      </c>
      <c r="BN709">
        <v>3816</v>
      </c>
      <c r="BO709">
        <v>1445</v>
      </c>
      <c r="BP709">
        <v>0</v>
      </c>
      <c r="BQ709">
        <v>0</v>
      </c>
      <c r="BR709">
        <v>0.82200000000000006</v>
      </c>
      <c r="BS709">
        <v>0.82200000000000006</v>
      </c>
      <c r="BT709">
        <v>0</v>
      </c>
      <c r="BU709">
        <v>0</v>
      </c>
      <c r="BV709">
        <v>221</v>
      </c>
      <c r="BW709">
        <v>220</v>
      </c>
      <c r="BX709">
        <v>6</v>
      </c>
      <c r="BY709">
        <v>2</v>
      </c>
      <c r="BZ709">
        <v>5</v>
      </c>
      <c r="CA709">
        <v>454</v>
      </c>
      <c r="CB709">
        <v>0</v>
      </c>
      <c r="CC709">
        <v>0</v>
      </c>
      <c r="CD709">
        <v>0</v>
      </c>
      <c r="CE709">
        <v>88</v>
      </c>
      <c r="CF709">
        <v>141.37300000000002</v>
      </c>
      <c r="CG709">
        <v>0</v>
      </c>
      <c r="CH709">
        <v>0</v>
      </c>
      <c r="CI709">
        <v>4</v>
      </c>
      <c r="CJ709">
        <v>11</v>
      </c>
      <c r="CK709">
        <v>0</v>
      </c>
      <c r="CL709">
        <v>0</v>
      </c>
      <c r="CM709">
        <v>78.453000000000003</v>
      </c>
      <c r="CN709">
        <v>0</v>
      </c>
      <c r="CO709">
        <v>0</v>
      </c>
      <c r="CP709">
        <v>0</v>
      </c>
      <c r="CQ709">
        <v>0</v>
      </c>
      <c r="CR709">
        <v>0</v>
      </c>
      <c r="CS709">
        <v>0</v>
      </c>
      <c r="CT709">
        <v>0</v>
      </c>
      <c r="CU709">
        <v>0</v>
      </c>
      <c r="CV709">
        <v>65.411000000000001</v>
      </c>
      <c r="CW709">
        <v>29.067</v>
      </c>
      <c r="CX709">
        <v>0</v>
      </c>
      <c r="CY709" s="2043">
        <v>0</v>
      </c>
      <c r="CZ709" s="2043">
        <v>0</v>
      </c>
      <c r="DA709" s="2043">
        <v>0</v>
      </c>
      <c r="DB709" s="2043">
        <v>0</v>
      </c>
      <c r="DC709" s="2043">
        <v>0</v>
      </c>
      <c r="DI709" t="s">
        <v>5125</v>
      </c>
      <c r="DJ709" t="s">
        <v>3097</v>
      </c>
      <c r="DK709" s="2042">
        <f t="shared" si="13"/>
        <v>-5</v>
      </c>
    </row>
    <row r="710" spans="1:115">
      <c r="A710" t="s">
        <v>5125</v>
      </c>
      <c r="B710" t="s">
        <v>2413</v>
      </c>
      <c r="C710">
        <v>3411.1350000000002</v>
      </c>
      <c r="D710">
        <v>3482.8810000000003</v>
      </c>
      <c r="E710">
        <v>213.809</v>
      </c>
      <c r="F710">
        <v>0</v>
      </c>
      <c r="G710" s="2043">
        <v>1816333692</v>
      </c>
      <c r="H710">
        <v>0</v>
      </c>
      <c r="I710" s="2043">
        <v>3752755</v>
      </c>
      <c r="J710">
        <v>170.55700000000002</v>
      </c>
      <c r="K710">
        <v>466</v>
      </c>
      <c r="L710">
        <v>0</v>
      </c>
      <c r="M710">
        <v>0</v>
      </c>
      <c r="N710">
        <v>0</v>
      </c>
      <c r="O710">
        <v>0</v>
      </c>
      <c r="P710">
        <v>0</v>
      </c>
      <c r="Q710">
        <v>0</v>
      </c>
      <c r="R710" s="2043">
        <v>14045642</v>
      </c>
      <c r="S710">
        <v>854358</v>
      </c>
      <c r="T710">
        <v>0</v>
      </c>
      <c r="U710">
        <v>0.05</v>
      </c>
      <c r="V710">
        <v>0</v>
      </c>
      <c r="W710">
        <v>0</v>
      </c>
      <c r="X710">
        <v>0</v>
      </c>
      <c r="Y710">
        <v>0</v>
      </c>
      <c r="Z710">
        <v>0</v>
      </c>
      <c r="AA710">
        <v>0.16200000000000001</v>
      </c>
      <c r="AB710">
        <v>3241.3890000000001</v>
      </c>
      <c r="AC710" s="2043">
        <v>1244573712</v>
      </c>
      <c r="AD710">
        <v>4350000</v>
      </c>
      <c r="AE710" s="2043">
        <v>14900000</v>
      </c>
      <c r="AF710">
        <v>0.872</v>
      </c>
      <c r="AG710">
        <v>0</v>
      </c>
      <c r="AH710">
        <v>0</v>
      </c>
      <c r="AI710">
        <v>0</v>
      </c>
      <c r="AJ710">
        <v>595.65</v>
      </c>
      <c r="AK710">
        <v>14261</v>
      </c>
      <c r="AL710">
        <v>5.9000000000000004E-2</v>
      </c>
      <c r="AM710">
        <v>0</v>
      </c>
      <c r="AN710">
        <v>119.38300000000001</v>
      </c>
      <c r="AO710">
        <v>0</v>
      </c>
      <c r="AP710">
        <v>2.907</v>
      </c>
      <c r="AQ710">
        <v>0</v>
      </c>
      <c r="AR710">
        <v>108.465</v>
      </c>
      <c r="AS710">
        <v>0</v>
      </c>
      <c r="AT710">
        <v>28.069000000000003</v>
      </c>
      <c r="AU710">
        <v>7.2410000000000005</v>
      </c>
      <c r="AV710">
        <v>0</v>
      </c>
      <c r="AW710">
        <v>150.268</v>
      </c>
      <c r="AX710">
        <v>3.5270000000000001</v>
      </c>
      <c r="AY710">
        <v>462.06300000000005</v>
      </c>
      <c r="AZ710">
        <v>0</v>
      </c>
      <c r="BA710">
        <v>17542662</v>
      </c>
      <c r="BB710">
        <v>19250000</v>
      </c>
      <c r="BC710">
        <v>0</v>
      </c>
      <c r="BD710">
        <v>255360</v>
      </c>
      <c r="BE710">
        <v>58655</v>
      </c>
      <c r="BF710">
        <v>389598</v>
      </c>
      <c r="BG710">
        <v>255360</v>
      </c>
      <c r="BH710">
        <v>75583</v>
      </c>
      <c r="BI710">
        <v>0</v>
      </c>
      <c r="BJ710">
        <v>0</v>
      </c>
      <c r="BK710">
        <v>0</v>
      </c>
      <c r="BL710">
        <v>1816333692</v>
      </c>
      <c r="BM710">
        <v>0</v>
      </c>
      <c r="BN710">
        <v>10872</v>
      </c>
      <c r="BO710">
        <v>8260</v>
      </c>
      <c r="BP710">
        <v>0</v>
      </c>
      <c r="BQ710">
        <v>0</v>
      </c>
      <c r="BR710">
        <v>0.82200000000000006</v>
      </c>
      <c r="BS710">
        <v>0.82200000000000006</v>
      </c>
      <c r="BT710">
        <v>0</v>
      </c>
      <c r="BU710">
        <v>0</v>
      </c>
      <c r="BV710">
        <v>428</v>
      </c>
      <c r="BW710">
        <v>479</v>
      </c>
      <c r="BX710">
        <v>1267</v>
      </c>
      <c r="BY710">
        <v>191</v>
      </c>
      <c r="BZ710">
        <v>68</v>
      </c>
      <c r="CA710">
        <v>2433</v>
      </c>
      <c r="CB710">
        <v>0</v>
      </c>
      <c r="CC710">
        <v>0</v>
      </c>
      <c r="CD710">
        <v>0</v>
      </c>
      <c r="CE710">
        <v>295</v>
      </c>
      <c r="CF710">
        <v>747.38800000000003</v>
      </c>
      <c r="CG710">
        <v>0</v>
      </c>
      <c r="CH710">
        <v>0</v>
      </c>
      <c r="CI710">
        <v>22</v>
      </c>
      <c r="CJ710">
        <v>29</v>
      </c>
      <c r="CK710">
        <v>1</v>
      </c>
      <c r="CL710">
        <v>0</v>
      </c>
      <c r="CM710">
        <v>213.809</v>
      </c>
      <c r="CN710">
        <v>0</v>
      </c>
      <c r="CO710">
        <v>0</v>
      </c>
      <c r="CP710">
        <v>0</v>
      </c>
      <c r="CQ710">
        <v>0</v>
      </c>
      <c r="CR710">
        <v>0</v>
      </c>
      <c r="CS710">
        <v>0</v>
      </c>
      <c r="CT710">
        <v>0</v>
      </c>
      <c r="CU710">
        <v>22.337</v>
      </c>
      <c r="CV710">
        <v>166.05100000000002</v>
      </c>
      <c r="CW710">
        <v>95.688000000000002</v>
      </c>
      <c r="CX710">
        <v>0</v>
      </c>
      <c r="CY710" s="2043">
        <v>0</v>
      </c>
      <c r="CZ710" s="2043">
        <v>0</v>
      </c>
      <c r="DA710" s="2043">
        <v>0</v>
      </c>
      <c r="DB710" s="2043">
        <v>0</v>
      </c>
      <c r="DC710" s="2043">
        <v>0</v>
      </c>
      <c r="DI710" t="s">
        <v>5126</v>
      </c>
      <c r="DJ710" t="s">
        <v>5125</v>
      </c>
      <c r="DK710" s="2042">
        <f t="shared" si="13"/>
        <v>1</v>
      </c>
    </row>
    <row r="711" spans="1:115">
      <c r="A711" t="s">
        <v>5126</v>
      </c>
      <c r="B711" t="s">
        <v>2414</v>
      </c>
      <c r="C711">
        <v>4460.2610000000004</v>
      </c>
      <c r="D711">
        <v>4379.8990000000003</v>
      </c>
      <c r="E711">
        <v>1076.25</v>
      </c>
      <c r="F711">
        <v>0</v>
      </c>
      <c r="G711" s="2043">
        <v>2502467795</v>
      </c>
      <c r="H711">
        <v>0</v>
      </c>
      <c r="I711" s="2043">
        <v>5537908</v>
      </c>
      <c r="J711">
        <v>223.01300000000001</v>
      </c>
      <c r="K711">
        <v>610</v>
      </c>
      <c r="L711">
        <v>0</v>
      </c>
      <c r="M711">
        <v>0</v>
      </c>
      <c r="N711">
        <v>0</v>
      </c>
      <c r="O711">
        <v>0</v>
      </c>
      <c r="P711">
        <v>0</v>
      </c>
      <c r="Q711">
        <v>0</v>
      </c>
      <c r="R711" s="2043">
        <v>20036523</v>
      </c>
      <c r="S711">
        <v>1950027</v>
      </c>
      <c r="T711">
        <v>1421082</v>
      </c>
      <c r="U711">
        <v>0.08</v>
      </c>
      <c r="V711">
        <v>0</v>
      </c>
      <c r="W711">
        <v>0</v>
      </c>
      <c r="X711">
        <v>0</v>
      </c>
      <c r="Y711">
        <v>413851</v>
      </c>
      <c r="Z711">
        <v>0</v>
      </c>
      <c r="AA711">
        <v>0</v>
      </c>
      <c r="AB711">
        <v>4333.0749999999998</v>
      </c>
      <c r="AC711" s="2043">
        <v>1689867614</v>
      </c>
      <c r="AD711">
        <v>9351609</v>
      </c>
      <c r="AE711" s="2043">
        <v>23407632</v>
      </c>
      <c r="AF711">
        <v>0.96030000000000004</v>
      </c>
      <c r="AG711">
        <v>0</v>
      </c>
      <c r="AH711">
        <v>0</v>
      </c>
      <c r="AI711">
        <v>0</v>
      </c>
      <c r="AJ711">
        <v>932.48800000000006</v>
      </c>
      <c r="AK711">
        <v>15426</v>
      </c>
      <c r="AL711">
        <v>0.47200000000000003</v>
      </c>
      <c r="AM711">
        <v>0.56400000000000006</v>
      </c>
      <c r="AN711">
        <v>129.57</v>
      </c>
      <c r="AO711">
        <v>0</v>
      </c>
      <c r="AP711">
        <v>0</v>
      </c>
      <c r="AQ711">
        <v>17.525000000000002</v>
      </c>
      <c r="AR711">
        <v>81.097000000000008</v>
      </c>
      <c r="AS711">
        <v>0</v>
      </c>
      <c r="AT711">
        <v>48.49</v>
      </c>
      <c r="AU711">
        <v>10.077</v>
      </c>
      <c r="AV711">
        <v>0</v>
      </c>
      <c r="AW711">
        <v>158.22499999999999</v>
      </c>
      <c r="AX711">
        <v>0</v>
      </c>
      <c r="AY711">
        <v>443.19800000000004</v>
      </c>
      <c r="AZ711">
        <v>0</v>
      </c>
      <c r="BA711">
        <v>24266686</v>
      </c>
      <c r="BB711">
        <v>32759241</v>
      </c>
      <c r="BC711">
        <v>0</v>
      </c>
      <c r="BD711">
        <v>361296</v>
      </c>
      <c r="BE711">
        <v>42265</v>
      </c>
      <c r="BF711">
        <v>469530</v>
      </c>
      <c r="BG711">
        <v>361296</v>
      </c>
      <c r="BH711">
        <v>65969</v>
      </c>
      <c r="BI711">
        <v>0</v>
      </c>
      <c r="BJ711">
        <v>0</v>
      </c>
      <c r="BK711">
        <v>0</v>
      </c>
      <c r="BL711">
        <v>2502467795</v>
      </c>
      <c r="BM711">
        <v>0</v>
      </c>
      <c r="BN711">
        <v>14697</v>
      </c>
      <c r="BO711">
        <v>12348</v>
      </c>
      <c r="BP711">
        <v>11157</v>
      </c>
      <c r="BQ711">
        <v>0</v>
      </c>
      <c r="BR711">
        <v>0.82200000000000006</v>
      </c>
      <c r="BS711">
        <v>0.82200000000000006</v>
      </c>
      <c r="BT711">
        <v>413851</v>
      </c>
      <c r="BU711">
        <v>0</v>
      </c>
      <c r="BV711">
        <v>396</v>
      </c>
      <c r="BW711">
        <v>1078</v>
      </c>
      <c r="BX711">
        <v>184</v>
      </c>
      <c r="BY711">
        <v>1549</v>
      </c>
      <c r="BZ711">
        <v>490</v>
      </c>
      <c r="CA711">
        <v>3697</v>
      </c>
      <c r="CB711">
        <v>8</v>
      </c>
      <c r="CC711">
        <v>14.048</v>
      </c>
      <c r="CD711">
        <v>0</v>
      </c>
      <c r="CE711">
        <v>250</v>
      </c>
      <c r="CF711">
        <v>1394.1320000000001</v>
      </c>
      <c r="CG711">
        <v>8.0410000000000004</v>
      </c>
      <c r="CH711">
        <v>32.188000000000002</v>
      </c>
      <c r="CI711">
        <v>2</v>
      </c>
      <c r="CJ711">
        <v>0</v>
      </c>
      <c r="CK711">
        <v>0</v>
      </c>
      <c r="CL711">
        <v>40.228999999999999</v>
      </c>
      <c r="CM711">
        <v>1076.25</v>
      </c>
      <c r="CN711">
        <v>0</v>
      </c>
      <c r="CO711">
        <v>11157</v>
      </c>
      <c r="CP711">
        <v>0</v>
      </c>
      <c r="CQ711">
        <v>0</v>
      </c>
      <c r="CR711">
        <v>0</v>
      </c>
      <c r="CS711">
        <v>0</v>
      </c>
      <c r="CT711">
        <v>0</v>
      </c>
      <c r="CU711">
        <v>25.419</v>
      </c>
      <c r="CV711">
        <v>301.97000000000003</v>
      </c>
      <c r="CW711">
        <v>113.76100000000001</v>
      </c>
      <c r="CX711">
        <v>413851</v>
      </c>
      <c r="CY711" s="2043">
        <v>0</v>
      </c>
      <c r="CZ711" s="2043">
        <v>0</v>
      </c>
      <c r="DA711" s="2043">
        <v>0</v>
      </c>
      <c r="DB711" s="2043">
        <v>0</v>
      </c>
      <c r="DC711" s="2043">
        <v>0</v>
      </c>
      <c r="DI711" t="s">
        <v>3097</v>
      </c>
      <c r="DJ711" t="s">
        <v>5126</v>
      </c>
      <c r="DK711" s="2042">
        <f t="shared" si="13"/>
        <v>4</v>
      </c>
    </row>
    <row r="712" spans="1:115">
      <c r="A712" t="s">
        <v>8055</v>
      </c>
      <c r="B712" t="s">
        <v>11374</v>
      </c>
      <c r="C712">
        <v>70.26100000000001</v>
      </c>
      <c r="D712">
        <v>77.87700000000001</v>
      </c>
      <c r="E712">
        <v>0.40800000000000003</v>
      </c>
      <c r="F712">
        <v>0</v>
      </c>
      <c r="G712" s="2043">
        <v>0</v>
      </c>
      <c r="H712">
        <v>0</v>
      </c>
      <c r="I712" s="2043">
        <v>0</v>
      </c>
      <c r="J712">
        <v>1</v>
      </c>
      <c r="K712">
        <v>3</v>
      </c>
      <c r="L712">
        <v>0</v>
      </c>
      <c r="M712">
        <v>0</v>
      </c>
      <c r="N712">
        <v>0</v>
      </c>
      <c r="O712">
        <v>0</v>
      </c>
      <c r="P712">
        <v>0</v>
      </c>
      <c r="Q712">
        <v>0</v>
      </c>
      <c r="R712" s="2043">
        <v>0</v>
      </c>
      <c r="S712">
        <v>0</v>
      </c>
      <c r="T712">
        <v>0</v>
      </c>
      <c r="U712">
        <v>0</v>
      </c>
      <c r="V712">
        <v>0</v>
      </c>
      <c r="W712">
        <v>0</v>
      </c>
      <c r="X712">
        <v>0</v>
      </c>
      <c r="Y712">
        <v>12421</v>
      </c>
      <c r="Z712">
        <v>0</v>
      </c>
      <c r="AA712">
        <v>0</v>
      </c>
      <c r="AB712">
        <v>77.87700000000001</v>
      </c>
      <c r="AC712" s="2043">
        <v>0</v>
      </c>
      <c r="AD712">
        <v>0</v>
      </c>
      <c r="AE712" s="2043">
        <v>0</v>
      </c>
      <c r="AF712">
        <v>0</v>
      </c>
      <c r="AG712">
        <v>0</v>
      </c>
      <c r="AH712">
        <v>0</v>
      </c>
      <c r="AI712">
        <v>0</v>
      </c>
      <c r="AJ712">
        <v>18.863</v>
      </c>
      <c r="AK712">
        <v>2472</v>
      </c>
      <c r="AL712">
        <v>0</v>
      </c>
      <c r="AM712">
        <v>0</v>
      </c>
      <c r="AN712">
        <v>3.7890000000000001</v>
      </c>
      <c r="AO712">
        <v>0</v>
      </c>
      <c r="AP712">
        <v>0</v>
      </c>
      <c r="AQ712">
        <v>25.322000000000003</v>
      </c>
      <c r="AR712">
        <v>0.72100000000000009</v>
      </c>
      <c r="AS712">
        <v>0</v>
      </c>
      <c r="AT712">
        <v>0.39400000000000002</v>
      </c>
      <c r="AU712">
        <v>3.5000000000000003E-2</v>
      </c>
      <c r="AV712">
        <v>0</v>
      </c>
      <c r="AW712">
        <v>26.472000000000001</v>
      </c>
      <c r="AX712">
        <v>0</v>
      </c>
      <c r="AY712">
        <v>3.52</v>
      </c>
      <c r="AZ712">
        <v>0</v>
      </c>
      <c r="BA712">
        <v>1280474</v>
      </c>
      <c r="BB712">
        <v>0</v>
      </c>
      <c r="BC712">
        <v>0</v>
      </c>
      <c r="BD712">
        <v>0</v>
      </c>
      <c r="BE712">
        <v>0</v>
      </c>
      <c r="BF712">
        <v>0</v>
      </c>
      <c r="BG712">
        <v>0</v>
      </c>
      <c r="BH712">
        <v>0</v>
      </c>
      <c r="BI712">
        <v>0</v>
      </c>
      <c r="BJ712">
        <v>0</v>
      </c>
      <c r="BK712">
        <v>0</v>
      </c>
      <c r="BL712">
        <v>0</v>
      </c>
      <c r="BM712">
        <v>0</v>
      </c>
      <c r="BN712">
        <v>522</v>
      </c>
      <c r="BO712">
        <v>0</v>
      </c>
      <c r="BP712">
        <v>0</v>
      </c>
      <c r="BQ712">
        <v>0</v>
      </c>
      <c r="BR712">
        <v>0</v>
      </c>
      <c r="BS712">
        <v>0</v>
      </c>
      <c r="BT712">
        <v>0</v>
      </c>
      <c r="BU712">
        <v>0</v>
      </c>
      <c r="BV712">
        <v>1</v>
      </c>
      <c r="BW712">
        <v>1</v>
      </c>
      <c r="BX712">
        <v>1</v>
      </c>
      <c r="BY712">
        <v>0</v>
      </c>
      <c r="BZ712">
        <v>66</v>
      </c>
      <c r="CA712">
        <v>69</v>
      </c>
      <c r="CB712">
        <v>1</v>
      </c>
      <c r="CC712">
        <v>0</v>
      </c>
      <c r="CD712">
        <v>0</v>
      </c>
      <c r="CE712">
        <v>1</v>
      </c>
      <c r="CF712">
        <v>9.2740000000000009</v>
      </c>
      <c r="CG712">
        <v>7.5720000000000001</v>
      </c>
      <c r="CH712">
        <v>33.252000000000002</v>
      </c>
      <c r="CI712">
        <v>0</v>
      </c>
      <c r="CJ712">
        <v>1</v>
      </c>
      <c r="CK712">
        <v>0</v>
      </c>
      <c r="CL712">
        <v>40.824000000000005</v>
      </c>
      <c r="CM712">
        <v>0.40800000000000003</v>
      </c>
      <c r="CN712">
        <v>0</v>
      </c>
      <c r="CO712">
        <v>0</v>
      </c>
      <c r="CP712">
        <v>0</v>
      </c>
      <c r="CQ712">
        <v>0</v>
      </c>
      <c r="CR712">
        <v>0</v>
      </c>
      <c r="CS712">
        <v>0</v>
      </c>
      <c r="CT712">
        <v>0</v>
      </c>
      <c r="CU712">
        <v>0</v>
      </c>
      <c r="CV712">
        <v>0.746</v>
      </c>
      <c r="CW712">
        <v>4.1000000000000002E-2</v>
      </c>
      <c r="CX712">
        <v>0</v>
      </c>
      <c r="CY712" s="2043">
        <v>0</v>
      </c>
      <c r="CZ712" s="2043">
        <v>0</v>
      </c>
      <c r="DA712" s="2043">
        <v>0</v>
      </c>
      <c r="DB712" s="2043">
        <v>0</v>
      </c>
      <c r="DC712" s="2043">
        <v>0</v>
      </c>
      <c r="DI712" t="s">
        <v>8055</v>
      </c>
      <c r="DJ712" t="s">
        <v>8055</v>
      </c>
      <c r="DK712" s="2042">
        <f t="shared" si="13"/>
        <v>0</v>
      </c>
    </row>
    <row r="713" spans="1:115">
      <c r="A713" t="s">
        <v>5127</v>
      </c>
      <c r="B713" t="s">
        <v>2415</v>
      </c>
      <c r="C713">
        <v>9753.237000000001</v>
      </c>
      <c r="D713">
        <v>9489.1640000000007</v>
      </c>
      <c r="E713">
        <v>313.50900000000001</v>
      </c>
      <c r="F713">
        <v>0</v>
      </c>
      <c r="G713" s="2043">
        <v>8965588062</v>
      </c>
      <c r="H713">
        <v>0</v>
      </c>
      <c r="I713" s="2043">
        <v>23796562</v>
      </c>
      <c r="J713">
        <v>487.66200000000003</v>
      </c>
      <c r="K713">
        <v>1333</v>
      </c>
      <c r="L713">
        <v>0</v>
      </c>
      <c r="M713">
        <v>0</v>
      </c>
      <c r="N713">
        <v>0</v>
      </c>
      <c r="O713">
        <v>0</v>
      </c>
      <c r="P713">
        <v>0</v>
      </c>
      <c r="Q713">
        <v>0</v>
      </c>
      <c r="R713" s="2043">
        <v>70636714</v>
      </c>
      <c r="S713">
        <v>4252150</v>
      </c>
      <c r="T713">
        <v>0</v>
      </c>
      <c r="U713">
        <v>0.05</v>
      </c>
      <c r="V713">
        <v>0</v>
      </c>
      <c r="W713">
        <v>0</v>
      </c>
      <c r="X713">
        <v>0</v>
      </c>
      <c r="Y713">
        <v>0</v>
      </c>
      <c r="Z713">
        <v>0</v>
      </c>
      <c r="AA713">
        <v>0.30299999999999999</v>
      </c>
      <c r="AB713">
        <v>9275.4629999999997</v>
      </c>
      <c r="AC713" s="2043">
        <v>7251408069</v>
      </c>
      <c r="AD713">
        <v>27523061</v>
      </c>
      <c r="AE713" s="2043">
        <v>74888864</v>
      </c>
      <c r="AF713">
        <v>0.88060000000000005</v>
      </c>
      <c r="AG713">
        <v>0</v>
      </c>
      <c r="AH713">
        <v>0</v>
      </c>
      <c r="AI713">
        <v>0</v>
      </c>
      <c r="AJ713">
        <v>406.1</v>
      </c>
      <c r="AK713">
        <v>31500</v>
      </c>
      <c r="AL713">
        <v>0.44500000000000001</v>
      </c>
      <c r="AM713">
        <v>0</v>
      </c>
      <c r="AN713">
        <v>558.41800000000001</v>
      </c>
      <c r="AO713">
        <v>1</v>
      </c>
      <c r="AP713">
        <v>0</v>
      </c>
      <c r="AQ713">
        <v>3.1779999999999999</v>
      </c>
      <c r="AR713">
        <v>133.815</v>
      </c>
      <c r="AS713">
        <v>0</v>
      </c>
      <c r="AT713">
        <v>65.408000000000001</v>
      </c>
      <c r="AU713">
        <v>26.877000000000002</v>
      </c>
      <c r="AV713">
        <v>0</v>
      </c>
      <c r="AW713">
        <v>229.72300000000001</v>
      </c>
      <c r="AX713">
        <v>0</v>
      </c>
      <c r="AY713">
        <v>734.279</v>
      </c>
      <c r="AZ713">
        <v>0</v>
      </c>
      <c r="BA713">
        <v>6548551</v>
      </c>
      <c r="BB713">
        <v>102411925</v>
      </c>
      <c r="BC713">
        <v>0</v>
      </c>
      <c r="BD713">
        <v>679294</v>
      </c>
      <c r="BE713">
        <v>304391</v>
      </c>
      <c r="BF713">
        <v>1012963</v>
      </c>
      <c r="BG713">
        <v>679294</v>
      </c>
      <c r="BH713">
        <v>29278</v>
      </c>
      <c r="BI713">
        <v>0</v>
      </c>
      <c r="BJ713">
        <v>0</v>
      </c>
      <c r="BK713">
        <v>0</v>
      </c>
      <c r="BL713">
        <v>8965588062</v>
      </c>
      <c r="BM713">
        <v>0</v>
      </c>
      <c r="BN713">
        <v>37233</v>
      </c>
      <c r="BO713">
        <v>9577</v>
      </c>
      <c r="BP713">
        <v>10435</v>
      </c>
      <c r="BQ713">
        <v>0</v>
      </c>
      <c r="BR713">
        <v>0.8306</v>
      </c>
      <c r="BS713">
        <v>0.8306</v>
      </c>
      <c r="BT713">
        <v>0</v>
      </c>
      <c r="BU713">
        <v>0</v>
      </c>
      <c r="BV713">
        <v>1014</v>
      </c>
      <c r="BW713">
        <v>203</v>
      </c>
      <c r="BX713">
        <v>496</v>
      </c>
      <c r="BY713">
        <v>3</v>
      </c>
      <c r="BZ713">
        <v>18</v>
      </c>
      <c r="CA713">
        <v>1734</v>
      </c>
      <c r="CB713">
        <v>0</v>
      </c>
      <c r="CC713">
        <v>230.24</v>
      </c>
      <c r="CD713">
        <v>188.70700000000002</v>
      </c>
      <c r="CE713">
        <v>840</v>
      </c>
      <c r="CF713">
        <v>775.65800000000002</v>
      </c>
      <c r="CG713">
        <v>0</v>
      </c>
      <c r="CH713">
        <v>3.3740000000000001</v>
      </c>
      <c r="CI713">
        <v>10</v>
      </c>
      <c r="CJ713">
        <v>217</v>
      </c>
      <c r="CK713">
        <v>2</v>
      </c>
      <c r="CL713">
        <v>3.3740000000000001</v>
      </c>
      <c r="CM713">
        <v>313.50900000000001</v>
      </c>
      <c r="CN713">
        <v>0</v>
      </c>
      <c r="CO713">
        <v>0</v>
      </c>
      <c r="CP713">
        <v>10435</v>
      </c>
      <c r="CQ713">
        <v>0</v>
      </c>
      <c r="CR713">
        <v>0</v>
      </c>
      <c r="CS713">
        <v>0</v>
      </c>
      <c r="CT713">
        <v>0</v>
      </c>
      <c r="CU713">
        <v>0</v>
      </c>
      <c r="CV713">
        <v>401</v>
      </c>
      <c r="CW713">
        <v>325.13499999999999</v>
      </c>
      <c r="CX713">
        <v>0</v>
      </c>
      <c r="CY713" s="2043">
        <v>0</v>
      </c>
      <c r="CZ713" s="2043">
        <v>0</v>
      </c>
      <c r="DA713" s="2043">
        <v>0</v>
      </c>
      <c r="DB713" s="2043">
        <v>0</v>
      </c>
      <c r="DC713" s="2043">
        <v>880000</v>
      </c>
      <c r="DI713" t="s">
        <v>5127</v>
      </c>
      <c r="DJ713" t="s">
        <v>5127</v>
      </c>
      <c r="DK713" s="2042">
        <f t="shared" si="13"/>
        <v>0</v>
      </c>
    </row>
    <row r="714" spans="1:115">
      <c r="A714" t="s">
        <v>5128</v>
      </c>
      <c r="B714" t="s">
        <v>1449</v>
      </c>
      <c r="C714">
        <v>980.35700000000008</v>
      </c>
      <c r="D714">
        <v>1013.327</v>
      </c>
      <c r="E714">
        <v>131.78700000000001</v>
      </c>
      <c r="F714">
        <v>0</v>
      </c>
      <c r="G714" s="2043">
        <v>1035127385</v>
      </c>
      <c r="H714">
        <v>0</v>
      </c>
      <c r="I714" s="2043">
        <v>2118593</v>
      </c>
      <c r="J714">
        <v>49.018000000000001</v>
      </c>
      <c r="K714">
        <v>134</v>
      </c>
      <c r="L714">
        <v>0</v>
      </c>
      <c r="M714">
        <v>0</v>
      </c>
      <c r="N714">
        <v>0</v>
      </c>
      <c r="O714">
        <v>0</v>
      </c>
      <c r="P714">
        <v>0</v>
      </c>
      <c r="Q714">
        <v>0</v>
      </c>
      <c r="R714" s="2043">
        <v>8685523</v>
      </c>
      <c r="S714">
        <v>507391</v>
      </c>
      <c r="T714">
        <v>0</v>
      </c>
      <c r="U714">
        <v>0.05</v>
      </c>
      <c r="V714">
        <v>0</v>
      </c>
      <c r="W714">
        <v>0</v>
      </c>
      <c r="X714">
        <v>0</v>
      </c>
      <c r="Y714">
        <v>47691</v>
      </c>
      <c r="Z714">
        <v>0</v>
      </c>
      <c r="AA714">
        <v>3.1E-2</v>
      </c>
      <c r="AB714">
        <v>986.19200000000001</v>
      </c>
      <c r="AC714" s="2043">
        <v>920649605</v>
      </c>
      <c r="AD714">
        <v>3108324</v>
      </c>
      <c r="AE714" s="2043">
        <v>9192914</v>
      </c>
      <c r="AF714">
        <v>0.90590000000000004</v>
      </c>
      <c r="AG714">
        <v>0</v>
      </c>
      <c r="AH714">
        <v>0</v>
      </c>
      <c r="AI714">
        <v>0</v>
      </c>
      <c r="AJ714">
        <v>130.05000000000001</v>
      </c>
      <c r="AK714">
        <v>5413</v>
      </c>
      <c r="AL714">
        <v>0.20600000000000002</v>
      </c>
      <c r="AM714">
        <v>0</v>
      </c>
      <c r="AN714">
        <v>59.123000000000005</v>
      </c>
      <c r="AO714">
        <v>0</v>
      </c>
      <c r="AP714">
        <v>0</v>
      </c>
      <c r="AQ714">
        <v>0</v>
      </c>
      <c r="AR714">
        <v>26.62</v>
      </c>
      <c r="AS714">
        <v>0</v>
      </c>
      <c r="AT714">
        <v>8.418000000000001</v>
      </c>
      <c r="AU714">
        <v>1.5330000000000001</v>
      </c>
      <c r="AV714">
        <v>0</v>
      </c>
      <c r="AW714">
        <v>36.777000000000001</v>
      </c>
      <c r="AX714">
        <v>0</v>
      </c>
      <c r="AY714">
        <v>113.80900000000001</v>
      </c>
      <c r="AZ714">
        <v>0</v>
      </c>
      <c r="BA714">
        <v>2257398</v>
      </c>
      <c r="BB714">
        <v>12301238</v>
      </c>
      <c r="BC714">
        <v>0</v>
      </c>
      <c r="BD714">
        <v>125548</v>
      </c>
      <c r="BE714">
        <v>12969</v>
      </c>
      <c r="BF714">
        <v>140336</v>
      </c>
      <c r="BG714">
        <v>125548</v>
      </c>
      <c r="BH714">
        <v>1819</v>
      </c>
      <c r="BI714">
        <v>0</v>
      </c>
      <c r="BJ714">
        <v>0</v>
      </c>
      <c r="BK714">
        <v>0</v>
      </c>
      <c r="BL714">
        <v>1035127385</v>
      </c>
      <c r="BM714">
        <v>0</v>
      </c>
      <c r="BN714">
        <v>3897</v>
      </c>
      <c r="BO714">
        <v>3231</v>
      </c>
      <c r="BP714">
        <v>0</v>
      </c>
      <c r="BQ714">
        <v>0</v>
      </c>
      <c r="BR714">
        <v>0.85589999999999999</v>
      </c>
      <c r="BS714">
        <v>0.85589999999999999</v>
      </c>
      <c r="BT714">
        <v>47691</v>
      </c>
      <c r="BU714">
        <v>0</v>
      </c>
      <c r="BV714">
        <v>201</v>
      </c>
      <c r="BW714">
        <v>340</v>
      </c>
      <c r="BX714">
        <v>13</v>
      </c>
      <c r="BY714">
        <v>0</v>
      </c>
      <c r="BZ714">
        <v>3</v>
      </c>
      <c r="CA714">
        <v>557</v>
      </c>
      <c r="CB714">
        <v>0</v>
      </c>
      <c r="CC714">
        <v>0</v>
      </c>
      <c r="CD714">
        <v>0</v>
      </c>
      <c r="CE714">
        <v>58</v>
      </c>
      <c r="CF714">
        <v>195.23400000000001</v>
      </c>
      <c r="CG714">
        <v>0</v>
      </c>
      <c r="CH714">
        <v>0</v>
      </c>
      <c r="CI714">
        <v>0</v>
      </c>
      <c r="CJ714">
        <v>3</v>
      </c>
      <c r="CK714">
        <v>0</v>
      </c>
      <c r="CL714">
        <v>0</v>
      </c>
      <c r="CM714">
        <v>131.78700000000001</v>
      </c>
      <c r="CN714">
        <v>0</v>
      </c>
      <c r="CO714">
        <v>0</v>
      </c>
      <c r="CP714">
        <v>0</v>
      </c>
      <c r="CQ714">
        <v>0</v>
      </c>
      <c r="CR714">
        <v>0</v>
      </c>
      <c r="CS714">
        <v>0</v>
      </c>
      <c r="CT714">
        <v>0</v>
      </c>
      <c r="CU714">
        <v>4.2220000000000004</v>
      </c>
      <c r="CV714">
        <v>62.237000000000002</v>
      </c>
      <c r="CW714">
        <v>63.755000000000003</v>
      </c>
      <c r="CX714">
        <v>47691</v>
      </c>
      <c r="CY714" s="2043">
        <v>0</v>
      </c>
      <c r="CZ714" s="2043">
        <v>0</v>
      </c>
      <c r="DA714" s="2043">
        <v>0</v>
      </c>
      <c r="DB714" s="2043">
        <v>0</v>
      </c>
      <c r="DC714" s="2043">
        <v>122000</v>
      </c>
      <c r="DI714" t="s">
        <v>5128</v>
      </c>
      <c r="DJ714" t="s">
        <v>5128</v>
      </c>
      <c r="DK714" s="2042">
        <f t="shared" si="13"/>
        <v>0</v>
      </c>
    </row>
    <row r="715" spans="1:115">
      <c r="A715" t="s">
        <v>5129</v>
      </c>
      <c r="B715" t="s">
        <v>2542</v>
      </c>
      <c r="C715">
        <v>81.84</v>
      </c>
      <c r="D715">
        <v>75.496000000000009</v>
      </c>
      <c r="E715">
        <v>2.7070000000000003</v>
      </c>
      <c r="F715">
        <v>0</v>
      </c>
      <c r="G715" s="2043">
        <v>1108988800</v>
      </c>
      <c r="H715">
        <v>0</v>
      </c>
      <c r="I715" s="2043">
        <v>0</v>
      </c>
      <c r="J715">
        <v>4.0920000000000005</v>
      </c>
      <c r="K715">
        <v>11</v>
      </c>
      <c r="L715">
        <v>0</v>
      </c>
      <c r="M715">
        <v>0</v>
      </c>
      <c r="N715">
        <v>0</v>
      </c>
      <c r="O715">
        <v>0</v>
      </c>
      <c r="P715">
        <v>0</v>
      </c>
      <c r="Q715">
        <v>0</v>
      </c>
      <c r="R715" s="2043">
        <v>8879038</v>
      </c>
      <c r="S715">
        <v>648105</v>
      </c>
      <c r="T715">
        <v>0</v>
      </c>
      <c r="U715">
        <v>0.06</v>
      </c>
      <c r="V715">
        <v>0</v>
      </c>
      <c r="W715">
        <v>7612863</v>
      </c>
      <c r="X715">
        <v>0</v>
      </c>
      <c r="Y715">
        <v>0</v>
      </c>
      <c r="Z715">
        <v>0</v>
      </c>
      <c r="AA715">
        <v>0</v>
      </c>
      <c r="AB715">
        <v>75.496000000000009</v>
      </c>
      <c r="AC715" s="2043">
        <v>869721300</v>
      </c>
      <c r="AD715">
        <v>161</v>
      </c>
      <c r="AE715" s="2043">
        <v>9527143</v>
      </c>
      <c r="AF715">
        <v>0.88200000000000001</v>
      </c>
      <c r="AG715">
        <v>0</v>
      </c>
      <c r="AH715">
        <v>7612863</v>
      </c>
      <c r="AI715">
        <v>0</v>
      </c>
      <c r="AJ715">
        <v>12.425000000000001</v>
      </c>
      <c r="AK715">
        <v>375</v>
      </c>
      <c r="AL715">
        <v>0</v>
      </c>
      <c r="AM715">
        <v>0</v>
      </c>
      <c r="AN715">
        <v>5.1760000000000002</v>
      </c>
      <c r="AO715">
        <v>0</v>
      </c>
      <c r="AP715">
        <v>0</v>
      </c>
      <c r="AQ715">
        <v>0</v>
      </c>
      <c r="AR715">
        <v>0.47400000000000003</v>
      </c>
      <c r="AS715">
        <v>0</v>
      </c>
      <c r="AT715">
        <v>0</v>
      </c>
      <c r="AU715">
        <v>0.45700000000000002</v>
      </c>
      <c r="AV715">
        <v>0</v>
      </c>
      <c r="AW715">
        <v>0.93100000000000005</v>
      </c>
      <c r="AX715">
        <v>0</v>
      </c>
      <c r="AY715">
        <v>3.7070000000000003</v>
      </c>
      <c r="AZ715">
        <v>0</v>
      </c>
      <c r="BA715">
        <v>38570</v>
      </c>
      <c r="BB715">
        <v>9527304</v>
      </c>
      <c r="BC715">
        <v>0</v>
      </c>
      <c r="BD715">
        <v>0</v>
      </c>
      <c r="BE715">
        <v>0</v>
      </c>
      <c r="BF715">
        <v>0</v>
      </c>
      <c r="BG715">
        <v>0</v>
      </c>
      <c r="BH715">
        <v>0</v>
      </c>
      <c r="BI715">
        <v>0</v>
      </c>
      <c r="BJ715">
        <v>0</v>
      </c>
      <c r="BK715">
        <v>53072</v>
      </c>
      <c r="BL715">
        <v>1108988800</v>
      </c>
      <c r="BM715">
        <v>0</v>
      </c>
      <c r="BN715">
        <v>0</v>
      </c>
      <c r="BO715">
        <v>0</v>
      </c>
      <c r="BP715">
        <v>0</v>
      </c>
      <c r="BQ715">
        <v>0</v>
      </c>
      <c r="BR715">
        <v>0.82200000000000006</v>
      </c>
      <c r="BS715">
        <v>0.82200000000000006</v>
      </c>
      <c r="BT715">
        <v>0</v>
      </c>
      <c r="BU715">
        <v>0</v>
      </c>
      <c r="BV715">
        <v>12</v>
      </c>
      <c r="BW715">
        <v>10</v>
      </c>
      <c r="BX715">
        <v>0</v>
      </c>
      <c r="BY715">
        <v>6</v>
      </c>
      <c r="BZ715">
        <v>21</v>
      </c>
      <c r="CA715">
        <v>49</v>
      </c>
      <c r="CB715">
        <v>0</v>
      </c>
      <c r="CC715">
        <v>0</v>
      </c>
      <c r="CD715">
        <v>0</v>
      </c>
      <c r="CE715">
        <v>16</v>
      </c>
      <c r="CF715">
        <v>24.172000000000001</v>
      </c>
      <c r="CG715">
        <v>0</v>
      </c>
      <c r="CH715">
        <v>0</v>
      </c>
      <c r="CI715">
        <v>0</v>
      </c>
      <c r="CJ715">
        <v>0</v>
      </c>
      <c r="CK715">
        <v>0</v>
      </c>
      <c r="CL715">
        <v>0</v>
      </c>
      <c r="CM715">
        <v>2.7070000000000003</v>
      </c>
      <c r="CN715">
        <v>0</v>
      </c>
      <c r="CO715">
        <v>0</v>
      </c>
      <c r="CP715">
        <v>0</v>
      </c>
      <c r="CQ715">
        <v>0</v>
      </c>
      <c r="CR715">
        <v>0</v>
      </c>
      <c r="CS715">
        <v>0</v>
      </c>
      <c r="CT715">
        <v>0</v>
      </c>
      <c r="CU715">
        <v>0</v>
      </c>
      <c r="CV715">
        <v>0</v>
      </c>
      <c r="CW715">
        <v>0</v>
      </c>
      <c r="CX715">
        <v>0</v>
      </c>
      <c r="CY715" s="2043">
        <v>0</v>
      </c>
      <c r="CZ715" s="2043">
        <v>0</v>
      </c>
      <c r="DA715" s="2043">
        <v>53072</v>
      </c>
      <c r="DB715" s="2043">
        <v>0</v>
      </c>
      <c r="DC715" s="2043">
        <v>232387</v>
      </c>
      <c r="DI715" t="s">
        <v>5129</v>
      </c>
      <c r="DJ715" t="s">
        <v>5129</v>
      </c>
      <c r="DK715" s="2042">
        <f t="shared" si="13"/>
        <v>0</v>
      </c>
    </row>
    <row r="716" spans="1:115">
      <c r="A716" t="s">
        <v>5828</v>
      </c>
      <c r="B716" t="s">
        <v>2195</v>
      </c>
      <c r="C716">
        <v>159.86799999999999</v>
      </c>
      <c r="D716">
        <v>171.548</v>
      </c>
      <c r="E716">
        <v>0</v>
      </c>
      <c r="F716">
        <v>0</v>
      </c>
      <c r="G716" s="2043">
        <v>323116552</v>
      </c>
      <c r="H716">
        <v>0</v>
      </c>
      <c r="I716" s="2043">
        <v>447231</v>
      </c>
      <c r="J716">
        <v>7.9930000000000003</v>
      </c>
      <c r="K716">
        <v>22</v>
      </c>
      <c r="L716">
        <v>0</v>
      </c>
      <c r="M716">
        <v>0</v>
      </c>
      <c r="N716">
        <v>0</v>
      </c>
      <c r="O716">
        <v>0</v>
      </c>
      <c r="P716">
        <v>0</v>
      </c>
      <c r="Q716">
        <v>0</v>
      </c>
      <c r="R716" s="2043">
        <v>2995780</v>
      </c>
      <c r="S716">
        <v>163991</v>
      </c>
      <c r="T716">
        <v>0</v>
      </c>
      <c r="U716">
        <v>0.05</v>
      </c>
      <c r="V716">
        <v>0</v>
      </c>
      <c r="W716">
        <v>943751</v>
      </c>
      <c r="X716">
        <v>0</v>
      </c>
      <c r="Y716">
        <v>320072</v>
      </c>
      <c r="Z716">
        <v>0</v>
      </c>
      <c r="AA716">
        <v>0</v>
      </c>
      <c r="AB716">
        <v>164.06400000000002</v>
      </c>
      <c r="AC716" s="2043">
        <v>439970758</v>
      </c>
      <c r="AD716">
        <v>0</v>
      </c>
      <c r="AE716" s="2043">
        <v>3159771</v>
      </c>
      <c r="AF716">
        <v>0.96340000000000003</v>
      </c>
      <c r="AG716">
        <v>0</v>
      </c>
      <c r="AH716">
        <v>943751</v>
      </c>
      <c r="AI716">
        <v>0</v>
      </c>
      <c r="AJ716">
        <v>16.149999999999999</v>
      </c>
      <c r="AK716">
        <v>764</v>
      </c>
      <c r="AL716">
        <v>0</v>
      </c>
      <c r="AM716">
        <v>0</v>
      </c>
      <c r="AN716">
        <v>8.6710000000000012</v>
      </c>
      <c r="AO716">
        <v>0</v>
      </c>
      <c r="AP716">
        <v>0</v>
      </c>
      <c r="AQ716">
        <v>0</v>
      </c>
      <c r="AR716">
        <v>2.09</v>
      </c>
      <c r="AS716">
        <v>0</v>
      </c>
      <c r="AT716">
        <v>0</v>
      </c>
      <c r="AU716">
        <v>0.36100000000000004</v>
      </c>
      <c r="AV716">
        <v>0</v>
      </c>
      <c r="AW716">
        <v>3.3050000000000002</v>
      </c>
      <c r="AX716">
        <v>0.85400000000000009</v>
      </c>
      <c r="AY716">
        <v>10.039</v>
      </c>
      <c r="AZ716">
        <v>0</v>
      </c>
      <c r="BA716">
        <v>409355</v>
      </c>
      <c r="BB716">
        <v>3159771</v>
      </c>
      <c r="BC716">
        <v>0</v>
      </c>
      <c r="BD716">
        <v>34584</v>
      </c>
      <c r="BE716">
        <v>0</v>
      </c>
      <c r="BF716">
        <v>34584</v>
      </c>
      <c r="BG716">
        <v>34584</v>
      </c>
      <c r="BH716">
        <v>0</v>
      </c>
      <c r="BI716">
        <v>0</v>
      </c>
      <c r="BJ716">
        <v>0</v>
      </c>
      <c r="BK716">
        <v>0</v>
      </c>
      <c r="BL716">
        <v>323116552</v>
      </c>
      <c r="BM716">
        <v>0</v>
      </c>
      <c r="BN716">
        <v>522</v>
      </c>
      <c r="BO716">
        <v>492</v>
      </c>
      <c r="BP716">
        <v>0</v>
      </c>
      <c r="BQ716">
        <v>0</v>
      </c>
      <c r="BR716">
        <v>0.91339999999999999</v>
      </c>
      <c r="BS716">
        <v>0.91339999999999999</v>
      </c>
      <c r="BT716">
        <v>0</v>
      </c>
      <c r="BU716">
        <v>320072</v>
      </c>
      <c r="BV716">
        <v>0</v>
      </c>
      <c r="BW716">
        <v>68</v>
      </c>
      <c r="BX716">
        <v>0</v>
      </c>
      <c r="BY716">
        <v>0</v>
      </c>
      <c r="BZ716">
        <v>0</v>
      </c>
      <c r="CA716">
        <v>68</v>
      </c>
      <c r="CB716">
        <v>0</v>
      </c>
      <c r="CC716">
        <v>0</v>
      </c>
      <c r="CD716">
        <v>0</v>
      </c>
      <c r="CE716">
        <v>14</v>
      </c>
      <c r="CF716">
        <v>22.891999999999999</v>
      </c>
      <c r="CG716">
        <v>0</v>
      </c>
      <c r="CH716">
        <v>0</v>
      </c>
      <c r="CI716">
        <v>2</v>
      </c>
      <c r="CJ716">
        <v>3</v>
      </c>
      <c r="CK716">
        <v>0</v>
      </c>
      <c r="CL716">
        <v>0</v>
      </c>
      <c r="CM716">
        <v>0</v>
      </c>
      <c r="CN716">
        <v>0</v>
      </c>
      <c r="CO716">
        <v>0</v>
      </c>
      <c r="CP716">
        <v>0</v>
      </c>
      <c r="CQ716">
        <v>0</v>
      </c>
      <c r="CR716">
        <v>0</v>
      </c>
      <c r="CS716">
        <v>0</v>
      </c>
      <c r="CT716">
        <v>0</v>
      </c>
      <c r="CU716">
        <v>0.749</v>
      </c>
      <c r="CV716">
        <v>10.966000000000001</v>
      </c>
      <c r="CW716">
        <v>3.4390000000000001</v>
      </c>
      <c r="CX716">
        <v>0</v>
      </c>
      <c r="CY716" s="2043">
        <v>0</v>
      </c>
      <c r="CZ716" s="2043">
        <v>0</v>
      </c>
      <c r="DA716" s="2043">
        <v>0</v>
      </c>
      <c r="DB716" s="2043">
        <v>0</v>
      </c>
      <c r="DC716" s="2043">
        <v>68023</v>
      </c>
      <c r="DI716" t="s">
        <v>5828</v>
      </c>
      <c r="DJ716" t="s">
        <v>5828</v>
      </c>
      <c r="DK716" s="2042">
        <f t="shared" si="13"/>
        <v>0</v>
      </c>
    </row>
    <row r="717" spans="1:115">
      <c r="A717" t="s">
        <v>3098</v>
      </c>
      <c r="B717" t="s">
        <v>1451</v>
      </c>
      <c r="C717">
        <v>499.15300000000002</v>
      </c>
      <c r="D717">
        <v>563.62900000000002</v>
      </c>
      <c r="E717">
        <v>108.197</v>
      </c>
      <c r="F717">
        <v>0</v>
      </c>
      <c r="G717" s="2043">
        <v>406395147</v>
      </c>
      <c r="H717">
        <v>0</v>
      </c>
      <c r="I717" s="2043">
        <v>0</v>
      </c>
      <c r="J717">
        <v>24.958000000000002</v>
      </c>
      <c r="K717">
        <v>68</v>
      </c>
      <c r="L717">
        <v>0</v>
      </c>
      <c r="M717">
        <v>0</v>
      </c>
      <c r="N717">
        <v>0</v>
      </c>
      <c r="O717">
        <v>0</v>
      </c>
      <c r="P717">
        <v>0</v>
      </c>
      <c r="Q717">
        <v>0</v>
      </c>
      <c r="R717" s="2043">
        <v>3383663</v>
      </c>
      <c r="S717">
        <v>201337</v>
      </c>
      <c r="T717">
        <v>0</v>
      </c>
      <c r="U717">
        <v>0.05</v>
      </c>
      <c r="V717">
        <v>0</v>
      </c>
      <c r="W717">
        <v>0</v>
      </c>
      <c r="X717">
        <v>0</v>
      </c>
      <c r="Y717">
        <v>0</v>
      </c>
      <c r="Z717">
        <v>0</v>
      </c>
      <c r="AA717">
        <v>0</v>
      </c>
      <c r="AB717">
        <v>499.46300000000002</v>
      </c>
      <c r="AC717" s="2043">
        <v>329376522</v>
      </c>
      <c r="AD717">
        <v>2600</v>
      </c>
      <c r="AE717" s="2043">
        <v>3585000</v>
      </c>
      <c r="AF717">
        <v>0.89030000000000009</v>
      </c>
      <c r="AG717">
        <v>0</v>
      </c>
      <c r="AH717">
        <v>0</v>
      </c>
      <c r="AI717">
        <v>0</v>
      </c>
      <c r="AJ717">
        <v>87.9</v>
      </c>
      <c r="AK717">
        <v>3674</v>
      </c>
      <c r="AL717">
        <v>0</v>
      </c>
      <c r="AM717">
        <v>0</v>
      </c>
      <c r="AN717">
        <v>16.84</v>
      </c>
      <c r="AO717">
        <v>0</v>
      </c>
      <c r="AP717">
        <v>0</v>
      </c>
      <c r="AQ717">
        <v>0</v>
      </c>
      <c r="AR717">
        <v>23.752000000000002</v>
      </c>
      <c r="AS717">
        <v>0</v>
      </c>
      <c r="AT717">
        <v>4.5060000000000002</v>
      </c>
      <c r="AU717">
        <v>1.244</v>
      </c>
      <c r="AV717">
        <v>0</v>
      </c>
      <c r="AW717">
        <v>29.502000000000002</v>
      </c>
      <c r="AX717">
        <v>0</v>
      </c>
      <c r="AY717">
        <v>90.994</v>
      </c>
      <c r="AZ717">
        <v>0</v>
      </c>
      <c r="BA717">
        <v>3058139</v>
      </c>
      <c r="BB717">
        <v>3587600</v>
      </c>
      <c r="BC717">
        <v>0</v>
      </c>
      <c r="BD717">
        <v>32445</v>
      </c>
      <c r="BE717">
        <v>1306</v>
      </c>
      <c r="BF717">
        <v>33751</v>
      </c>
      <c r="BG717">
        <v>32445</v>
      </c>
      <c r="BH717">
        <v>0</v>
      </c>
      <c r="BI717">
        <v>0</v>
      </c>
      <c r="BJ717">
        <v>0</v>
      </c>
      <c r="BK717">
        <v>0</v>
      </c>
      <c r="BL717">
        <v>406395147</v>
      </c>
      <c r="BM717">
        <v>0</v>
      </c>
      <c r="BN717">
        <v>1719</v>
      </c>
      <c r="BO717">
        <v>1455</v>
      </c>
      <c r="BP717">
        <v>0</v>
      </c>
      <c r="BQ717">
        <v>0</v>
      </c>
      <c r="BR717">
        <v>0.84030000000000005</v>
      </c>
      <c r="BS717">
        <v>0.84030000000000005</v>
      </c>
      <c r="BT717">
        <v>0</v>
      </c>
      <c r="BU717">
        <v>0</v>
      </c>
      <c r="BV717">
        <v>80</v>
      </c>
      <c r="BW717">
        <v>113</v>
      </c>
      <c r="BX717">
        <v>157</v>
      </c>
      <c r="BY717">
        <v>3</v>
      </c>
      <c r="BZ717">
        <v>11</v>
      </c>
      <c r="CA717">
        <v>364</v>
      </c>
      <c r="CB717">
        <v>0</v>
      </c>
      <c r="CC717">
        <v>0</v>
      </c>
      <c r="CD717">
        <v>0</v>
      </c>
      <c r="CE717">
        <v>80</v>
      </c>
      <c r="CF717">
        <v>140.63900000000001</v>
      </c>
      <c r="CG717">
        <v>0</v>
      </c>
      <c r="CH717">
        <v>0</v>
      </c>
      <c r="CI717">
        <v>0</v>
      </c>
      <c r="CJ717">
        <v>0</v>
      </c>
      <c r="CK717">
        <v>0</v>
      </c>
      <c r="CL717">
        <v>0</v>
      </c>
      <c r="CM717">
        <v>108.197</v>
      </c>
      <c r="CN717">
        <v>0</v>
      </c>
      <c r="CO717">
        <v>0</v>
      </c>
      <c r="CP717">
        <v>0</v>
      </c>
      <c r="CQ717">
        <v>0</v>
      </c>
      <c r="CR717">
        <v>0</v>
      </c>
      <c r="CS717">
        <v>0</v>
      </c>
      <c r="CT717">
        <v>0</v>
      </c>
      <c r="CU717">
        <v>1.5770000000000002</v>
      </c>
      <c r="CV717">
        <v>26.032</v>
      </c>
      <c r="CW717">
        <v>17.407</v>
      </c>
      <c r="CX717">
        <v>0</v>
      </c>
      <c r="CY717" s="2043">
        <v>0</v>
      </c>
      <c r="CZ717" s="2043">
        <v>0</v>
      </c>
      <c r="DA717" s="2043">
        <v>0</v>
      </c>
      <c r="DB717" s="2043">
        <v>0</v>
      </c>
      <c r="DC717" s="2043">
        <v>0</v>
      </c>
      <c r="DI717" t="s">
        <v>3098</v>
      </c>
      <c r="DJ717" t="s">
        <v>3098</v>
      </c>
      <c r="DK717" s="2042">
        <f t="shared" si="13"/>
        <v>0</v>
      </c>
    </row>
    <row r="718" spans="1:115">
      <c r="A718" t="s">
        <v>5130</v>
      </c>
      <c r="B718" t="s">
        <v>2404</v>
      </c>
      <c r="C718">
        <v>183.19200000000001</v>
      </c>
      <c r="D718">
        <v>182.077</v>
      </c>
      <c r="E718">
        <v>18.521000000000001</v>
      </c>
      <c r="F718">
        <v>0</v>
      </c>
      <c r="G718" s="2043">
        <v>543548441</v>
      </c>
      <c r="H718">
        <v>0</v>
      </c>
      <c r="I718" s="2043">
        <v>311088</v>
      </c>
      <c r="J718">
        <v>9.16</v>
      </c>
      <c r="K718">
        <v>25</v>
      </c>
      <c r="L718">
        <v>0</v>
      </c>
      <c r="M718">
        <v>0</v>
      </c>
      <c r="N718">
        <v>0</v>
      </c>
      <c r="O718">
        <v>0</v>
      </c>
      <c r="P718">
        <v>0</v>
      </c>
      <c r="Q718">
        <v>0</v>
      </c>
      <c r="R718" s="2043">
        <v>4485760</v>
      </c>
      <c r="S718">
        <v>268383</v>
      </c>
      <c r="T718">
        <v>0</v>
      </c>
      <c r="U718">
        <v>0.05</v>
      </c>
      <c r="V718">
        <v>0</v>
      </c>
      <c r="W718">
        <v>2188261</v>
      </c>
      <c r="X718">
        <v>0</v>
      </c>
      <c r="Y718">
        <v>0</v>
      </c>
      <c r="Z718">
        <v>0</v>
      </c>
      <c r="AA718">
        <v>0</v>
      </c>
      <c r="AB718">
        <v>171.346</v>
      </c>
      <c r="AC718" s="2043">
        <v>413674040</v>
      </c>
      <c r="AD718">
        <v>377048</v>
      </c>
      <c r="AE718" s="2043">
        <v>4754143</v>
      </c>
      <c r="AF718">
        <v>0.88570000000000004</v>
      </c>
      <c r="AG718">
        <v>0</v>
      </c>
      <c r="AH718">
        <v>2188261</v>
      </c>
      <c r="AI718">
        <v>0</v>
      </c>
      <c r="AJ718">
        <v>22.738</v>
      </c>
      <c r="AK718">
        <v>580</v>
      </c>
      <c r="AL718">
        <v>0</v>
      </c>
      <c r="AM718">
        <v>0</v>
      </c>
      <c r="AN718">
        <v>2.9540000000000002</v>
      </c>
      <c r="AO718">
        <v>0</v>
      </c>
      <c r="AP718">
        <v>0</v>
      </c>
      <c r="AQ718">
        <v>0</v>
      </c>
      <c r="AR718">
        <v>3.5570000000000004</v>
      </c>
      <c r="AS718">
        <v>0</v>
      </c>
      <c r="AT718">
        <v>0</v>
      </c>
      <c r="AU718">
        <v>0.45300000000000001</v>
      </c>
      <c r="AV718">
        <v>0</v>
      </c>
      <c r="AW718">
        <v>4.01</v>
      </c>
      <c r="AX718">
        <v>0</v>
      </c>
      <c r="AY718">
        <v>12.936</v>
      </c>
      <c r="AZ718">
        <v>0</v>
      </c>
      <c r="BA718">
        <v>95683</v>
      </c>
      <c r="BB718">
        <v>5131191</v>
      </c>
      <c r="BC718">
        <v>0</v>
      </c>
      <c r="BD718">
        <v>15210</v>
      </c>
      <c r="BE718">
        <v>0</v>
      </c>
      <c r="BF718">
        <v>15210</v>
      </c>
      <c r="BG718">
        <v>15210</v>
      </c>
      <c r="BH718">
        <v>0</v>
      </c>
      <c r="BI718">
        <v>0</v>
      </c>
      <c r="BJ718">
        <v>0</v>
      </c>
      <c r="BK718">
        <v>189630</v>
      </c>
      <c r="BL718">
        <v>543548441</v>
      </c>
      <c r="BM718">
        <v>0</v>
      </c>
      <c r="BN718">
        <v>0</v>
      </c>
      <c r="BO718">
        <v>0</v>
      </c>
      <c r="BP718">
        <v>55763</v>
      </c>
      <c r="BQ718">
        <v>0</v>
      </c>
      <c r="BR718">
        <v>0.8357</v>
      </c>
      <c r="BS718">
        <v>0.8357</v>
      </c>
      <c r="BT718">
        <v>0</v>
      </c>
      <c r="BU718">
        <v>0</v>
      </c>
      <c r="BV718">
        <v>65</v>
      </c>
      <c r="BW718">
        <v>31</v>
      </c>
      <c r="BX718">
        <v>3</v>
      </c>
      <c r="BY718">
        <v>0</v>
      </c>
      <c r="BZ718">
        <v>0</v>
      </c>
      <c r="CA718">
        <v>99</v>
      </c>
      <c r="CB718">
        <v>0</v>
      </c>
      <c r="CC718">
        <v>0</v>
      </c>
      <c r="CD718">
        <v>0</v>
      </c>
      <c r="CE718">
        <v>14</v>
      </c>
      <c r="CF718">
        <v>46.582000000000001</v>
      </c>
      <c r="CG718">
        <v>0</v>
      </c>
      <c r="CH718">
        <v>0</v>
      </c>
      <c r="CI718">
        <v>0</v>
      </c>
      <c r="CJ718">
        <v>0</v>
      </c>
      <c r="CK718">
        <v>0</v>
      </c>
      <c r="CL718">
        <v>0</v>
      </c>
      <c r="CM718">
        <v>18.521000000000001</v>
      </c>
      <c r="CN718">
        <v>20487</v>
      </c>
      <c r="CO718">
        <v>33276</v>
      </c>
      <c r="CP718">
        <v>0</v>
      </c>
      <c r="CQ718">
        <v>2000</v>
      </c>
      <c r="CR718">
        <v>0</v>
      </c>
      <c r="CS718">
        <v>0</v>
      </c>
      <c r="CT718">
        <v>0</v>
      </c>
      <c r="CU718">
        <v>0</v>
      </c>
      <c r="CV718">
        <v>2.4870000000000001</v>
      </c>
      <c r="CW718">
        <v>0</v>
      </c>
      <c r="CX718">
        <v>0</v>
      </c>
      <c r="CY718" s="2043">
        <v>0</v>
      </c>
      <c r="CZ718" s="2043">
        <v>0</v>
      </c>
      <c r="DA718" s="2043">
        <v>189630</v>
      </c>
      <c r="DB718" s="2043">
        <v>0</v>
      </c>
      <c r="DC718" s="2043">
        <v>58195</v>
      </c>
      <c r="DI718" t="s">
        <v>5130</v>
      </c>
      <c r="DJ718" t="s">
        <v>5130</v>
      </c>
      <c r="DK718" s="2042">
        <f t="shared" si="13"/>
        <v>0</v>
      </c>
    </row>
    <row r="719" spans="1:115">
      <c r="A719" t="s">
        <v>5131</v>
      </c>
      <c r="B719" t="s">
        <v>2405</v>
      </c>
      <c r="C719">
        <v>4459.6120000000001</v>
      </c>
      <c r="D719">
        <v>4422.5529999999999</v>
      </c>
      <c r="E719">
        <v>343.81600000000003</v>
      </c>
      <c r="F719">
        <v>0</v>
      </c>
      <c r="G719" s="2043">
        <v>3365839949</v>
      </c>
      <c r="H719">
        <v>0</v>
      </c>
      <c r="I719" s="2043">
        <v>5603206</v>
      </c>
      <c r="J719">
        <v>222.98100000000002</v>
      </c>
      <c r="K719">
        <v>610</v>
      </c>
      <c r="L719">
        <v>0</v>
      </c>
      <c r="M719">
        <v>0</v>
      </c>
      <c r="N719">
        <v>0</v>
      </c>
      <c r="O719">
        <v>0</v>
      </c>
      <c r="P719">
        <v>0</v>
      </c>
      <c r="Q719">
        <v>0</v>
      </c>
      <c r="R719" s="2043">
        <v>27135601</v>
      </c>
      <c r="S719">
        <v>1650584</v>
      </c>
      <c r="T719">
        <v>0</v>
      </c>
      <c r="U719">
        <v>0.05</v>
      </c>
      <c r="V719">
        <v>723.46600000000001</v>
      </c>
      <c r="W719">
        <v>0</v>
      </c>
      <c r="X719">
        <v>0</v>
      </c>
      <c r="Y719">
        <v>0</v>
      </c>
      <c r="Z719">
        <v>0</v>
      </c>
      <c r="AA719">
        <v>0.47300000000000003</v>
      </c>
      <c r="AB719">
        <v>4422.5529999999999</v>
      </c>
      <c r="AC719" s="2043">
        <v>2809255121</v>
      </c>
      <c r="AD719">
        <v>5982965</v>
      </c>
      <c r="AE719" s="2043">
        <v>28786185</v>
      </c>
      <c r="AF719">
        <v>0.872</v>
      </c>
      <c r="AG719">
        <v>0</v>
      </c>
      <c r="AH719">
        <v>0</v>
      </c>
      <c r="AI719">
        <v>0</v>
      </c>
      <c r="AJ719">
        <v>640.4</v>
      </c>
      <c r="AK719">
        <v>14907</v>
      </c>
      <c r="AL719">
        <v>0.26400000000000001</v>
      </c>
      <c r="AM719">
        <v>0</v>
      </c>
      <c r="AN719">
        <v>207.86100000000002</v>
      </c>
      <c r="AO719">
        <v>0</v>
      </c>
      <c r="AP719">
        <v>0</v>
      </c>
      <c r="AQ719">
        <v>0</v>
      </c>
      <c r="AR719">
        <v>60.462000000000003</v>
      </c>
      <c r="AS719">
        <v>0</v>
      </c>
      <c r="AT719">
        <v>56.389000000000003</v>
      </c>
      <c r="AU719">
        <v>10.458</v>
      </c>
      <c r="AV719">
        <v>0</v>
      </c>
      <c r="AW719">
        <v>127.57300000000001</v>
      </c>
      <c r="AX719">
        <v>0</v>
      </c>
      <c r="AY719">
        <v>404.16300000000001</v>
      </c>
      <c r="AZ719">
        <v>0</v>
      </c>
      <c r="BA719">
        <v>11668846</v>
      </c>
      <c r="BB719">
        <v>34769150</v>
      </c>
      <c r="BC719">
        <v>0</v>
      </c>
      <c r="BD719">
        <v>214445</v>
      </c>
      <c r="BE719">
        <v>56900</v>
      </c>
      <c r="BF719">
        <v>315744</v>
      </c>
      <c r="BG719">
        <v>214445</v>
      </c>
      <c r="BH719">
        <v>44399</v>
      </c>
      <c r="BI719">
        <v>0</v>
      </c>
      <c r="BJ719">
        <v>0</v>
      </c>
      <c r="BK719">
        <v>0</v>
      </c>
      <c r="BL719">
        <v>3365839949</v>
      </c>
      <c r="BM719">
        <v>0</v>
      </c>
      <c r="BN719">
        <v>16830</v>
      </c>
      <c r="BO719">
        <v>8742</v>
      </c>
      <c r="BP719">
        <v>0</v>
      </c>
      <c r="BQ719">
        <v>0</v>
      </c>
      <c r="BR719">
        <v>0.82200000000000006</v>
      </c>
      <c r="BS719">
        <v>0.82200000000000006</v>
      </c>
      <c r="BT719">
        <v>0</v>
      </c>
      <c r="BU719">
        <v>0</v>
      </c>
      <c r="BV719">
        <v>357</v>
      </c>
      <c r="BW719">
        <v>834</v>
      </c>
      <c r="BX719">
        <v>574</v>
      </c>
      <c r="BY719">
        <v>428</v>
      </c>
      <c r="BZ719">
        <v>386</v>
      </c>
      <c r="CA719">
        <v>2579</v>
      </c>
      <c r="CB719">
        <v>0</v>
      </c>
      <c r="CC719">
        <v>0</v>
      </c>
      <c r="CD719">
        <v>0</v>
      </c>
      <c r="CE719">
        <v>348</v>
      </c>
      <c r="CF719">
        <v>942.68200000000002</v>
      </c>
      <c r="CG719">
        <v>27.488</v>
      </c>
      <c r="CH719">
        <v>0</v>
      </c>
      <c r="CI719">
        <v>2</v>
      </c>
      <c r="CJ719">
        <v>33</v>
      </c>
      <c r="CK719">
        <v>0</v>
      </c>
      <c r="CL719">
        <v>27.488</v>
      </c>
      <c r="CM719">
        <v>343.81600000000003</v>
      </c>
      <c r="CN719">
        <v>0</v>
      </c>
      <c r="CO719">
        <v>0</v>
      </c>
      <c r="CP719">
        <v>0</v>
      </c>
      <c r="CQ719">
        <v>0</v>
      </c>
      <c r="CR719">
        <v>0</v>
      </c>
      <c r="CS719">
        <v>0</v>
      </c>
      <c r="CT719">
        <v>0</v>
      </c>
      <c r="CU719">
        <v>18.190000000000001</v>
      </c>
      <c r="CV719">
        <v>175.20100000000002</v>
      </c>
      <c r="CW719">
        <v>74.15100000000001</v>
      </c>
      <c r="CX719">
        <v>0</v>
      </c>
      <c r="CY719" s="2043">
        <v>0</v>
      </c>
      <c r="CZ719" s="2043">
        <v>0</v>
      </c>
      <c r="DA719" s="2043">
        <v>0</v>
      </c>
      <c r="DB719" s="2043">
        <v>0</v>
      </c>
      <c r="DC719" s="2043">
        <v>420284</v>
      </c>
      <c r="DI719" t="s">
        <v>5131</v>
      </c>
      <c r="DJ719" t="s">
        <v>5131</v>
      </c>
      <c r="DK719" s="2042">
        <f t="shared" si="13"/>
        <v>0</v>
      </c>
    </row>
    <row r="720" spans="1:115">
      <c r="A720" t="s">
        <v>5132</v>
      </c>
      <c r="B720" t="s">
        <v>459</v>
      </c>
      <c r="C720">
        <v>1087.52</v>
      </c>
      <c r="D720">
        <v>1069.69</v>
      </c>
      <c r="E720">
        <v>172.72800000000001</v>
      </c>
      <c r="F720">
        <v>0</v>
      </c>
      <c r="G720" s="2043">
        <v>728060026</v>
      </c>
      <c r="H720">
        <v>0</v>
      </c>
      <c r="I720" s="2043">
        <v>1087775</v>
      </c>
      <c r="J720">
        <v>54.376000000000005</v>
      </c>
      <c r="K720">
        <v>149</v>
      </c>
      <c r="L720">
        <v>0</v>
      </c>
      <c r="M720">
        <v>0</v>
      </c>
      <c r="N720">
        <v>0</v>
      </c>
      <c r="O720">
        <v>0</v>
      </c>
      <c r="P720">
        <v>0</v>
      </c>
      <c r="Q720">
        <v>0</v>
      </c>
      <c r="R720" s="2043">
        <v>5956664</v>
      </c>
      <c r="S720">
        <v>362328</v>
      </c>
      <c r="T720">
        <v>0</v>
      </c>
      <c r="U720">
        <v>0.05</v>
      </c>
      <c r="V720">
        <v>0</v>
      </c>
      <c r="W720">
        <v>0</v>
      </c>
      <c r="X720">
        <v>0</v>
      </c>
      <c r="Y720">
        <v>0</v>
      </c>
      <c r="Z720">
        <v>0</v>
      </c>
      <c r="AA720">
        <v>0.35600000000000004</v>
      </c>
      <c r="AB720">
        <v>1048.8440000000001</v>
      </c>
      <c r="AC720" s="2043">
        <v>584806114</v>
      </c>
      <c r="AD720">
        <v>1208652</v>
      </c>
      <c r="AE720" s="2043">
        <v>6318992</v>
      </c>
      <c r="AF720">
        <v>0.872</v>
      </c>
      <c r="AG720">
        <v>0</v>
      </c>
      <c r="AH720">
        <v>0</v>
      </c>
      <c r="AI720">
        <v>0</v>
      </c>
      <c r="AJ720">
        <v>191.58800000000002</v>
      </c>
      <c r="AK720">
        <v>5314</v>
      </c>
      <c r="AL720">
        <v>0.499</v>
      </c>
      <c r="AM720">
        <v>0</v>
      </c>
      <c r="AN720">
        <v>43.571000000000005</v>
      </c>
      <c r="AO720">
        <v>0</v>
      </c>
      <c r="AP720">
        <v>0</v>
      </c>
      <c r="AQ720">
        <v>0</v>
      </c>
      <c r="AR720">
        <v>32.850999999999999</v>
      </c>
      <c r="AS720">
        <v>0</v>
      </c>
      <c r="AT720">
        <v>6.782</v>
      </c>
      <c r="AU720">
        <v>2.9</v>
      </c>
      <c r="AV720">
        <v>0</v>
      </c>
      <c r="AW720">
        <v>43.032000000000004</v>
      </c>
      <c r="AX720">
        <v>0</v>
      </c>
      <c r="AY720">
        <v>135.89400000000001</v>
      </c>
      <c r="AZ720">
        <v>0</v>
      </c>
      <c r="BA720">
        <v>6451850</v>
      </c>
      <c r="BB720">
        <v>7527644</v>
      </c>
      <c r="BC720">
        <v>0</v>
      </c>
      <c r="BD720">
        <v>66392</v>
      </c>
      <c r="BE720">
        <v>4380</v>
      </c>
      <c r="BF720">
        <v>70772</v>
      </c>
      <c r="BG720">
        <v>66392</v>
      </c>
      <c r="BH720">
        <v>0</v>
      </c>
      <c r="BI720">
        <v>0</v>
      </c>
      <c r="BJ720">
        <v>0</v>
      </c>
      <c r="BK720">
        <v>0</v>
      </c>
      <c r="BL720">
        <v>728060026</v>
      </c>
      <c r="BM720">
        <v>0</v>
      </c>
      <c r="BN720">
        <v>3537</v>
      </c>
      <c r="BO720">
        <v>2857</v>
      </c>
      <c r="BP720">
        <v>281589</v>
      </c>
      <c r="BQ720">
        <v>0</v>
      </c>
      <c r="BR720">
        <v>0.82200000000000006</v>
      </c>
      <c r="BS720">
        <v>0.82200000000000006</v>
      </c>
      <c r="BT720">
        <v>0</v>
      </c>
      <c r="BU720">
        <v>0</v>
      </c>
      <c r="BV720">
        <v>110</v>
      </c>
      <c r="BW720">
        <v>669</v>
      </c>
      <c r="BX720">
        <v>9</v>
      </c>
      <c r="BY720">
        <v>6</v>
      </c>
      <c r="BZ720">
        <v>15</v>
      </c>
      <c r="CA720">
        <v>809</v>
      </c>
      <c r="CB720">
        <v>0</v>
      </c>
      <c r="CC720">
        <v>0</v>
      </c>
      <c r="CD720">
        <v>0</v>
      </c>
      <c r="CE720">
        <v>91</v>
      </c>
      <c r="CF720">
        <v>282.06700000000001</v>
      </c>
      <c r="CG720">
        <v>0</v>
      </c>
      <c r="CH720">
        <v>0</v>
      </c>
      <c r="CI720">
        <v>1</v>
      </c>
      <c r="CJ720">
        <v>5</v>
      </c>
      <c r="CK720">
        <v>1</v>
      </c>
      <c r="CL720">
        <v>0</v>
      </c>
      <c r="CM720">
        <v>172.72800000000001</v>
      </c>
      <c r="CN720">
        <v>94706</v>
      </c>
      <c r="CO720">
        <v>105141</v>
      </c>
      <c r="CP720">
        <v>70242</v>
      </c>
      <c r="CQ720">
        <v>11500</v>
      </c>
      <c r="CR720">
        <v>0</v>
      </c>
      <c r="CS720">
        <v>340.02</v>
      </c>
      <c r="CT720">
        <v>0</v>
      </c>
      <c r="CU720">
        <v>7.2270000000000003</v>
      </c>
      <c r="CV720">
        <v>55.965000000000003</v>
      </c>
      <c r="CW720">
        <v>34.911000000000001</v>
      </c>
      <c r="CX720">
        <v>0</v>
      </c>
      <c r="CY720" s="2043">
        <v>0</v>
      </c>
      <c r="CZ720" s="2043">
        <v>0</v>
      </c>
      <c r="DA720" s="2043">
        <v>0</v>
      </c>
      <c r="DB720" s="2043">
        <v>0</v>
      </c>
      <c r="DC720" s="2043">
        <v>0</v>
      </c>
      <c r="DI720" t="s">
        <v>5132</v>
      </c>
      <c r="DJ720" t="s">
        <v>5132</v>
      </c>
      <c r="DK720" s="2042">
        <f t="shared" si="13"/>
        <v>0</v>
      </c>
    </row>
    <row r="721" spans="1:115">
      <c r="A721" t="s">
        <v>5829</v>
      </c>
      <c r="B721" t="s">
        <v>2154</v>
      </c>
      <c r="C721">
        <v>27.403000000000002</v>
      </c>
      <c r="D721">
        <v>19.634</v>
      </c>
      <c r="E721">
        <v>0</v>
      </c>
      <c r="F721">
        <v>0</v>
      </c>
      <c r="G721" s="2043">
        <v>88747303</v>
      </c>
      <c r="H721">
        <v>0</v>
      </c>
      <c r="I721" s="2043">
        <v>0</v>
      </c>
      <c r="J721">
        <v>0</v>
      </c>
      <c r="K721">
        <v>0</v>
      </c>
      <c r="L721">
        <v>0</v>
      </c>
      <c r="M721">
        <v>0</v>
      </c>
      <c r="N721">
        <v>0</v>
      </c>
      <c r="O721">
        <v>0</v>
      </c>
      <c r="P721">
        <v>0</v>
      </c>
      <c r="Q721">
        <v>0</v>
      </c>
      <c r="R721" s="2043">
        <v>760000</v>
      </c>
      <c r="S721">
        <v>0</v>
      </c>
      <c r="T721">
        <v>0</v>
      </c>
      <c r="U721">
        <v>0</v>
      </c>
      <c r="V721">
        <v>0</v>
      </c>
      <c r="W721">
        <v>15606</v>
      </c>
      <c r="X721">
        <v>0</v>
      </c>
      <c r="Y721">
        <v>69232</v>
      </c>
      <c r="Z721">
        <v>0</v>
      </c>
      <c r="AA721">
        <v>0</v>
      </c>
      <c r="AB721">
        <v>19.634</v>
      </c>
      <c r="AC721" s="2043">
        <v>70525148</v>
      </c>
      <c r="AD721">
        <v>0</v>
      </c>
      <c r="AE721" s="2043">
        <v>760000</v>
      </c>
      <c r="AF721">
        <v>0.8236</v>
      </c>
      <c r="AG721">
        <v>0</v>
      </c>
      <c r="AH721">
        <v>15606</v>
      </c>
      <c r="AI721">
        <v>0</v>
      </c>
      <c r="AJ721">
        <v>3.6380000000000003</v>
      </c>
      <c r="AK721">
        <v>167</v>
      </c>
      <c r="AL721">
        <v>0</v>
      </c>
      <c r="AM721">
        <v>0</v>
      </c>
      <c r="AN721">
        <v>3.1110000000000002</v>
      </c>
      <c r="AO721">
        <v>0</v>
      </c>
      <c r="AP721">
        <v>0</v>
      </c>
      <c r="AQ721">
        <v>0</v>
      </c>
      <c r="AR721">
        <v>0</v>
      </c>
      <c r="AS721">
        <v>0</v>
      </c>
      <c r="AT721">
        <v>0</v>
      </c>
      <c r="AU721">
        <v>0.19700000000000001</v>
      </c>
      <c r="AV721">
        <v>0</v>
      </c>
      <c r="AW721">
        <v>0.19700000000000001</v>
      </c>
      <c r="AX721">
        <v>0</v>
      </c>
      <c r="AY721">
        <v>0.9850000000000001</v>
      </c>
      <c r="AZ721">
        <v>0</v>
      </c>
      <c r="BA721">
        <v>79263</v>
      </c>
      <c r="BB721">
        <v>760000</v>
      </c>
      <c r="BC721">
        <v>0</v>
      </c>
      <c r="BD721">
        <v>0</v>
      </c>
      <c r="BE721">
        <v>0</v>
      </c>
      <c r="BF721">
        <v>0</v>
      </c>
      <c r="BG721">
        <v>0</v>
      </c>
      <c r="BH721">
        <v>0</v>
      </c>
      <c r="BI721">
        <v>0</v>
      </c>
      <c r="BJ721">
        <v>0</v>
      </c>
      <c r="BK721">
        <v>54180</v>
      </c>
      <c r="BL721">
        <v>88747303</v>
      </c>
      <c r="BM721">
        <v>0</v>
      </c>
      <c r="BN721">
        <v>0</v>
      </c>
      <c r="BO721">
        <v>0</v>
      </c>
      <c r="BP721">
        <v>0</v>
      </c>
      <c r="BQ721">
        <v>0</v>
      </c>
      <c r="BR721">
        <v>0.8236</v>
      </c>
      <c r="BS721">
        <v>0.8236</v>
      </c>
      <c r="BT721">
        <v>0</v>
      </c>
      <c r="BU721">
        <v>3684</v>
      </c>
      <c r="BV721">
        <v>13</v>
      </c>
      <c r="BW721">
        <v>3</v>
      </c>
      <c r="BX721">
        <v>0</v>
      </c>
      <c r="BY721">
        <v>0</v>
      </c>
      <c r="BZ721">
        <v>0</v>
      </c>
      <c r="CA721">
        <v>16</v>
      </c>
      <c r="CB721">
        <v>0</v>
      </c>
      <c r="CC721">
        <v>0</v>
      </c>
      <c r="CD721">
        <v>0</v>
      </c>
      <c r="CE721">
        <v>0</v>
      </c>
      <c r="CF721">
        <v>7.74</v>
      </c>
      <c r="CG721">
        <v>0</v>
      </c>
      <c r="CH721">
        <v>0</v>
      </c>
      <c r="CI721">
        <v>0</v>
      </c>
      <c r="CJ721">
        <v>0</v>
      </c>
      <c r="CK721">
        <v>0</v>
      </c>
      <c r="CL721">
        <v>0</v>
      </c>
      <c r="CM721">
        <v>0</v>
      </c>
      <c r="CN721">
        <v>0</v>
      </c>
      <c r="CO721">
        <v>0</v>
      </c>
      <c r="CP721">
        <v>0</v>
      </c>
      <c r="CQ721">
        <v>0</v>
      </c>
      <c r="CR721">
        <v>0</v>
      </c>
      <c r="CS721">
        <v>0</v>
      </c>
      <c r="CT721">
        <v>0</v>
      </c>
      <c r="CU721">
        <v>0</v>
      </c>
      <c r="CV721">
        <v>0</v>
      </c>
      <c r="CW721">
        <v>0</v>
      </c>
      <c r="CX721">
        <v>0</v>
      </c>
      <c r="CY721" s="2043">
        <v>65548</v>
      </c>
      <c r="CZ721" s="2043">
        <v>0</v>
      </c>
      <c r="DA721" s="2043">
        <v>54180</v>
      </c>
      <c r="DB721" s="2043">
        <v>0</v>
      </c>
      <c r="DC721" s="2043">
        <v>8522</v>
      </c>
      <c r="DI721" t="s">
        <v>5829</v>
      </c>
      <c r="DJ721" t="s">
        <v>5829</v>
      </c>
      <c r="DK721" s="2042">
        <f t="shared" si="13"/>
        <v>0</v>
      </c>
    </row>
    <row r="722" spans="1:115">
      <c r="A722" t="s">
        <v>5830</v>
      </c>
      <c r="B722" t="s">
        <v>2155</v>
      </c>
      <c r="C722">
        <v>564.81100000000004</v>
      </c>
      <c r="D722">
        <v>530.59500000000003</v>
      </c>
      <c r="E722">
        <v>24.909000000000002</v>
      </c>
      <c r="F722">
        <v>0</v>
      </c>
      <c r="G722" s="2043">
        <v>597087570</v>
      </c>
      <c r="H722">
        <v>0</v>
      </c>
      <c r="I722" s="2043">
        <v>0</v>
      </c>
      <c r="J722">
        <v>28.241</v>
      </c>
      <c r="K722">
        <v>77</v>
      </c>
      <c r="L722">
        <v>0</v>
      </c>
      <c r="M722">
        <v>0</v>
      </c>
      <c r="N722">
        <v>0</v>
      </c>
      <c r="O722">
        <v>0</v>
      </c>
      <c r="P722">
        <v>0</v>
      </c>
      <c r="Q722">
        <v>0</v>
      </c>
      <c r="R722" s="2043">
        <v>4934240</v>
      </c>
      <c r="S722">
        <v>300136</v>
      </c>
      <c r="T722">
        <v>0</v>
      </c>
      <c r="U722">
        <v>0.05</v>
      </c>
      <c r="V722">
        <v>0</v>
      </c>
      <c r="W722">
        <v>0</v>
      </c>
      <c r="X722">
        <v>0</v>
      </c>
      <c r="Y722">
        <v>355208</v>
      </c>
      <c r="Z722">
        <v>0</v>
      </c>
      <c r="AA722">
        <v>7.8E-2</v>
      </c>
      <c r="AB722">
        <v>530.59500000000003</v>
      </c>
      <c r="AC722" s="2043">
        <v>452506790</v>
      </c>
      <c r="AD722">
        <v>0</v>
      </c>
      <c r="AE722" s="2043">
        <v>5234376</v>
      </c>
      <c r="AF722">
        <v>0.872</v>
      </c>
      <c r="AG722">
        <v>0</v>
      </c>
      <c r="AH722">
        <v>0</v>
      </c>
      <c r="AI722">
        <v>0</v>
      </c>
      <c r="AJ722">
        <v>102.7</v>
      </c>
      <c r="AK722">
        <v>2809</v>
      </c>
      <c r="AL722">
        <v>0</v>
      </c>
      <c r="AM722">
        <v>0</v>
      </c>
      <c r="AN722">
        <v>39.026000000000003</v>
      </c>
      <c r="AO722">
        <v>0</v>
      </c>
      <c r="AP722">
        <v>0</v>
      </c>
      <c r="AQ722">
        <v>0</v>
      </c>
      <c r="AR722">
        <v>7.9160000000000004</v>
      </c>
      <c r="AS722">
        <v>0</v>
      </c>
      <c r="AT722">
        <v>3.556</v>
      </c>
      <c r="AU722">
        <v>1.3380000000000001</v>
      </c>
      <c r="AV722">
        <v>0</v>
      </c>
      <c r="AW722">
        <v>12.81</v>
      </c>
      <c r="AX722">
        <v>0</v>
      </c>
      <c r="AY722">
        <v>41.106000000000002</v>
      </c>
      <c r="AZ722">
        <v>0</v>
      </c>
      <c r="BA722">
        <v>2354872</v>
      </c>
      <c r="BB722">
        <v>5234376</v>
      </c>
      <c r="BC722">
        <v>0</v>
      </c>
      <c r="BD722">
        <v>49692</v>
      </c>
      <c r="BE722">
        <v>940</v>
      </c>
      <c r="BF722">
        <v>50632</v>
      </c>
      <c r="BG722">
        <v>49692</v>
      </c>
      <c r="BH722">
        <v>0</v>
      </c>
      <c r="BI722">
        <v>0</v>
      </c>
      <c r="BJ722">
        <v>0</v>
      </c>
      <c r="BK722">
        <v>0</v>
      </c>
      <c r="BL722">
        <v>597087570</v>
      </c>
      <c r="BM722">
        <v>0</v>
      </c>
      <c r="BN722">
        <v>2124</v>
      </c>
      <c r="BO722">
        <v>1712</v>
      </c>
      <c r="BP722">
        <v>0</v>
      </c>
      <c r="BQ722">
        <v>0</v>
      </c>
      <c r="BR722">
        <v>0.82200000000000006</v>
      </c>
      <c r="BS722">
        <v>0.82200000000000006</v>
      </c>
      <c r="BT722">
        <v>0</v>
      </c>
      <c r="BU722">
        <v>0</v>
      </c>
      <c r="BV722">
        <v>42</v>
      </c>
      <c r="BW722">
        <v>60</v>
      </c>
      <c r="BX722">
        <v>127</v>
      </c>
      <c r="BY722">
        <v>180</v>
      </c>
      <c r="BZ722">
        <v>0</v>
      </c>
      <c r="CA722">
        <v>409</v>
      </c>
      <c r="CB722">
        <v>0</v>
      </c>
      <c r="CC722">
        <v>0</v>
      </c>
      <c r="CD722">
        <v>0</v>
      </c>
      <c r="CE722">
        <v>37</v>
      </c>
      <c r="CF722">
        <v>112.86200000000001</v>
      </c>
      <c r="CG722">
        <v>0</v>
      </c>
      <c r="CH722">
        <v>0</v>
      </c>
      <c r="CI722">
        <v>1</v>
      </c>
      <c r="CJ722">
        <v>9</v>
      </c>
      <c r="CK722">
        <v>0</v>
      </c>
      <c r="CL722">
        <v>0</v>
      </c>
      <c r="CM722">
        <v>24.909000000000002</v>
      </c>
      <c r="CN722">
        <v>0</v>
      </c>
      <c r="CO722">
        <v>0</v>
      </c>
      <c r="CP722">
        <v>0</v>
      </c>
      <c r="CQ722">
        <v>0</v>
      </c>
      <c r="CR722">
        <v>0</v>
      </c>
      <c r="CS722">
        <v>0</v>
      </c>
      <c r="CT722">
        <v>0</v>
      </c>
      <c r="CU722">
        <v>9.3160000000000007</v>
      </c>
      <c r="CV722">
        <v>29.776</v>
      </c>
      <c r="CW722">
        <v>19.359000000000002</v>
      </c>
      <c r="CX722">
        <v>0</v>
      </c>
      <c r="CY722" s="2043">
        <v>355208</v>
      </c>
      <c r="CZ722" s="2043">
        <v>0</v>
      </c>
      <c r="DA722" s="2043">
        <v>0</v>
      </c>
      <c r="DB722" s="2043">
        <v>0</v>
      </c>
      <c r="DC722" s="2043">
        <v>250000</v>
      </c>
      <c r="DI722" t="s">
        <v>5830</v>
      </c>
      <c r="DJ722" t="s">
        <v>5830</v>
      </c>
      <c r="DK722" s="2042">
        <f t="shared" si="13"/>
        <v>0</v>
      </c>
    </row>
    <row r="723" spans="1:115">
      <c r="A723" t="s">
        <v>5831</v>
      </c>
      <c r="B723" t="s">
        <v>1445</v>
      </c>
      <c r="C723">
        <v>485.64800000000002</v>
      </c>
      <c r="D723">
        <v>521.71300000000008</v>
      </c>
      <c r="E723">
        <v>21.86</v>
      </c>
      <c r="F723">
        <v>0</v>
      </c>
      <c r="G723" s="2043">
        <v>708871970</v>
      </c>
      <c r="H723">
        <v>-102688</v>
      </c>
      <c r="I723" s="2043">
        <v>0</v>
      </c>
      <c r="J723">
        <v>21</v>
      </c>
      <c r="K723">
        <v>57</v>
      </c>
      <c r="L723">
        <v>0</v>
      </c>
      <c r="M723">
        <v>0</v>
      </c>
      <c r="N723">
        <v>0</v>
      </c>
      <c r="O723">
        <v>0</v>
      </c>
      <c r="P723">
        <v>0</v>
      </c>
      <c r="Q723">
        <v>0</v>
      </c>
      <c r="R723" s="2043">
        <v>5552034</v>
      </c>
      <c r="S723">
        <v>337715</v>
      </c>
      <c r="T723">
        <v>0</v>
      </c>
      <c r="U723">
        <v>0.05</v>
      </c>
      <c r="V723">
        <v>0</v>
      </c>
      <c r="W723">
        <v>102688</v>
      </c>
      <c r="X723">
        <v>0</v>
      </c>
      <c r="Y723">
        <v>723158</v>
      </c>
      <c r="Z723">
        <v>0</v>
      </c>
      <c r="AA723">
        <v>0.218</v>
      </c>
      <c r="AB723">
        <v>497.98700000000002</v>
      </c>
      <c r="AC723" s="2043">
        <v>334376892</v>
      </c>
      <c r="AD723">
        <v>0</v>
      </c>
      <c r="AE723" s="2043">
        <v>5889749</v>
      </c>
      <c r="AF723">
        <v>0.872</v>
      </c>
      <c r="AG723">
        <v>0</v>
      </c>
      <c r="AH723">
        <v>102688</v>
      </c>
      <c r="AI723">
        <v>0</v>
      </c>
      <c r="AJ723">
        <v>84.563000000000002</v>
      </c>
      <c r="AK723">
        <v>3055</v>
      </c>
      <c r="AL723">
        <v>0</v>
      </c>
      <c r="AM723">
        <v>0</v>
      </c>
      <c r="AN723">
        <v>10.208</v>
      </c>
      <c r="AO723">
        <v>0</v>
      </c>
      <c r="AP723">
        <v>0</v>
      </c>
      <c r="AQ723">
        <v>0</v>
      </c>
      <c r="AR723">
        <v>18.699000000000002</v>
      </c>
      <c r="AS723">
        <v>0</v>
      </c>
      <c r="AT723">
        <v>5.3390000000000004</v>
      </c>
      <c r="AU723">
        <v>1.6580000000000001</v>
      </c>
      <c r="AV723">
        <v>0</v>
      </c>
      <c r="AW723">
        <v>25.696000000000002</v>
      </c>
      <c r="AX723">
        <v>0</v>
      </c>
      <c r="AY723">
        <v>80.404000000000011</v>
      </c>
      <c r="AZ723">
        <v>0</v>
      </c>
      <c r="BA723">
        <v>1086405</v>
      </c>
      <c r="BB723">
        <v>5889749</v>
      </c>
      <c r="BC723">
        <v>0</v>
      </c>
      <c r="BD723">
        <v>10966</v>
      </c>
      <c r="BE723">
        <v>3055</v>
      </c>
      <c r="BF723">
        <v>14021</v>
      </c>
      <c r="BG723">
        <v>10966</v>
      </c>
      <c r="BH723">
        <v>0</v>
      </c>
      <c r="BI723">
        <v>0</v>
      </c>
      <c r="BJ723">
        <v>0</v>
      </c>
      <c r="BK723">
        <v>0</v>
      </c>
      <c r="BL723">
        <v>708871970</v>
      </c>
      <c r="BM723">
        <v>0</v>
      </c>
      <c r="BN723">
        <v>1494</v>
      </c>
      <c r="BO723">
        <v>1263</v>
      </c>
      <c r="BP723">
        <v>0</v>
      </c>
      <c r="BQ723">
        <v>0</v>
      </c>
      <c r="BR723">
        <v>0.82200000000000006</v>
      </c>
      <c r="BS723">
        <v>0.82200000000000006</v>
      </c>
      <c r="BT723">
        <v>0</v>
      </c>
      <c r="BU723">
        <v>0</v>
      </c>
      <c r="BV723">
        <v>0</v>
      </c>
      <c r="BW723">
        <v>0</v>
      </c>
      <c r="BX723">
        <v>81</v>
      </c>
      <c r="BY723">
        <v>245</v>
      </c>
      <c r="BZ723">
        <v>0</v>
      </c>
      <c r="CA723">
        <v>326</v>
      </c>
      <c r="CB723">
        <v>0</v>
      </c>
      <c r="CC723">
        <v>0</v>
      </c>
      <c r="CD723">
        <v>0</v>
      </c>
      <c r="CE723">
        <v>45</v>
      </c>
      <c r="CF723">
        <v>95.432000000000002</v>
      </c>
      <c r="CG723">
        <v>0</v>
      </c>
      <c r="CH723">
        <v>0</v>
      </c>
      <c r="CI723">
        <v>4</v>
      </c>
      <c r="CJ723">
        <v>1</v>
      </c>
      <c r="CK723">
        <v>0</v>
      </c>
      <c r="CL723">
        <v>0</v>
      </c>
      <c r="CM723">
        <v>21.86</v>
      </c>
      <c r="CN723">
        <v>0</v>
      </c>
      <c r="CO723">
        <v>0</v>
      </c>
      <c r="CP723">
        <v>0</v>
      </c>
      <c r="CQ723">
        <v>0</v>
      </c>
      <c r="CR723">
        <v>0</v>
      </c>
      <c r="CS723">
        <v>0</v>
      </c>
      <c r="CT723">
        <v>0</v>
      </c>
      <c r="CU723">
        <v>0</v>
      </c>
      <c r="CV723">
        <v>13.868</v>
      </c>
      <c r="CW723">
        <v>6.0430000000000001</v>
      </c>
      <c r="CX723">
        <v>0</v>
      </c>
      <c r="CY723" s="2043">
        <v>825846</v>
      </c>
      <c r="CZ723" s="2043">
        <v>0</v>
      </c>
      <c r="DA723" s="2043">
        <v>0</v>
      </c>
      <c r="DB723" s="2043">
        <v>0</v>
      </c>
      <c r="DC723" s="2043">
        <v>95133</v>
      </c>
      <c r="DI723" t="s">
        <v>5133</v>
      </c>
      <c r="DJ723" t="s">
        <v>5831</v>
      </c>
      <c r="DK723" s="2042">
        <f t="shared" si="13"/>
        <v>-1900</v>
      </c>
    </row>
    <row r="724" spans="1:115">
      <c r="A724" t="s">
        <v>5133</v>
      </c>
      <c r="B724" t="s">
        <v>1444</v>
      </c>
      <c r="C724">
        <v>129.43600000000001</v>
      </c>
      <c r="D724">
        <v>112.319</v>
      </c>
      <c r="E724">
        <v>3.9870000000000001</v>
      </c>
      <c r="F724">
        <v>0</v>
      </c>
      <c r="G724" s="2043">
        <v>125076440</v>
      </c>
      <c r="H724">
        <v>0</v>
      </c>
      <c r="I724" s="2043">
        <v>410000</v>
      </c>
      <c r="J724">
        <v>6</v>
      </c>
      <c r="K724">
        <v>16</v>
      </c>
      <c r="L724">
        <v>0</v>
      </c>
      <c r="M724">
        <v>0</v>
      </c>
      <c r="N724">
        <v>0</v>
      </c>
      <c r="O724">
        <v>0</v>
      </c>
      <c r="P724">
        <v>0</v>
      </c>
      <c r="Q724">
        <v>0</v>
      </c>
      <c r="R724" s="2043">
        <v>1140856</v>
      </c>
      <c r="S724">
        <v>62451</v>
      </c>
      <c r="T724">
        <v>0</v>
      </c>
      <c r="U724">
        <v>0.05</v>
      </c>
      <c r="V724">
        <v>0</v>
      </c>
      <c r="W724">
        <v>0</v>
      </c>
      <c r="X724">
        <v>0</v>
      </c>
      <c r="Y724">
        <v>244196</v>
      </c>
      <c r="Z724">
        <v>0</v>
      </c>
      <c r="AA724">
        <v>0</v>
      </c>
      <c r="AB724">
        <v>112.319</v>
      </c>
      <c r="AC724" s="2043">
        <v>179386427</v>
      </c>
      <c r="AD724">
        <v>438252</v>
      </c>
      <c r="AE724" s="2043">
        <v>1203307</v>
      </c>
      <c r="AF724">
        <v>0.96340000000000003</v>
      </c>
      <c r="AG724">
        <v>0</v>
      </c>
      <c r="AH724">
        <v>0</v>
      </c>
      <c r="AI724">
        <v>0</v>
      </c>
      <c r="AJ724">
        <v>6.4</v>
      </c>
      <c r="AK724">
        <v>370</v>
      </c>
      <c r="AL724">
        <v>0</v>
      </c>
      <c r="AM724">
        <v>0</v>
      </c>
      <c r="AN724">
        <v>5.6270000000000007</v>
      </c>
      <c r="AO724">
        <v>0</v>
      </c>
      <c r="AP724">
        <v>0</v>
      </c>
      <c r="AQ724">
        <v>0</v>
      </c>
      <c r="AR724">
        <v>0.441</v>
      </c>
      <c r="AS724">
        <v>0</v>
      </c>
      <c r="AT724">
        <v>0</v>
      </c>
      <c r="AU724">
        <v>0.373</v>
      </c>
      <c r="AV724">
        <v>0</v>
      </c>
      <c r="AW724">
        <v>0.81400000000000006</v>
      </c>
      <c r="AX724">
        <v>0</v>
      </c>
      <c r="AY724">
        <v>3.1880000000000002</v>
      </c>
      <c r="AZ724">
        <v>0</v>
      </c>
      <c r="BA724">
        <v>948061</v>
      </c>
      <c r="BB724">
        <v>1641559</v>
      </c>
      <c r="BC724">
        <v>0</v>
      </c>
      <c r="BD724">
        <v>68058</v>
      </c>
      <c r="BE724">
        <v>0</v>
      </c>
      <c r="BF724">
        <v>68058</v>
      </c>
      <c r="BG724">
        <v>68058</v>
      </c>
      <c r="BH724">
        <v>0</v>
      </c>
      <c r="BI724">
        <v>0</v>
      </c>
      <c r="BJ724">
        <v>0</v>
      </c>
      <c r="BK724">
        <v>0</v>
      </c>
      <c r="BL724">
        <v>125076440</v>
      </c>
      <c r="BM724">
        <v>0</v>
      </c>
      <c r="BN724">
        <v>450</v>
      </c>
      <c r="BO724">
        <v>300</v>
      </c>
      <c r="BP724">
        <v>0</v>
      </c>
      <c r="BQ724">
        <v>0</v>
      </c>
      <c r="BR724">
        <v>0.91339999999999999</v>
      </c>
      <c r="BS724">
        <v>0.91339999999999999</v>
      </c>
      <c r="BT724">
        <v>0</v>
      </c>
      <c r="BU724">
        <v>244196</v>
      </c>
      <c r="BV724">
        <v>5</v>
      </c>
      <c r="BW724">
        <v>8</v>
      </c>
      <c r="BX724">
        <v>8</v>
      </c>
      <c r="BY724">
        <v>0</v>
      </c>
      <c r="BZ724">
        <v>5</v>
      </c>
      <c r="CA724">
        <v>26</v>
      </c>
      <c r="CB724">
        <v>0</v>
      </c>
      <c r="CC724">
        <v>0</v>
      </c>
      <c r="CD724">
        <v>0</v>
      </c>
      <c r="CE724">
        <v>11</v>
      </c>
      <c r="CF724">
        <v>6.952</v>
      </c>
      <c r="CG724">
        <v>0</v>
      </c>
      <c r="CH724">
        <v>0</v>
      </c>
      <c r="CI724">
        <v>1</v>
      </c>
      <c r="CJ724">
        <v>5</v>
      </c>
      <c r="CK724">
        <v>0</v>
      </c>
      <c r="CL724">
        <v>0</v>
      </c>
      <c r="CM724">
        <v>3.9870000000000001</v>
      </c>
      <c r="CN724">
        <v>0</v>
      </c>
      <c r="CO724">
        <v>0</v>
      </c>
      <c r="CP724">
        <v>0</v>
      </c>
      <c r="CQ724">
        <v>0</v>
      </c>
      <c r="CR724">
        <v>0</v>
      </c>
      <c r="CS724">
        <v>0</v>
      </c>
      <c r="CT724">
        <v>0</v>
      </c>
      <c r="CU724">
        <v>0</v>
      </c>
      <c r="CV724">
        <v>8.577</v>
      </c>
      <c r="CW724">
        <v>3.8160000000000003</v>
      </c>
      <c r="CX724">
        <v>0</v>
      </c>
      <c r="CY724" s="2043">
        <v>0</v>
      </c>
      <c r="CZ724" s="2043">
        <v>0</v>
      </c>
      <c r="DA724" s="2043">
        <v>0</v>
      </c>
      <c r="DB724" s="2043">
        <v>0</v>
      </c>
      <c r="DC724" s="2043">
        <v>110072</v>
      </c>
      <c r="DI724" t="s">
        <v>5831</v>
      </c>
      <c r="DJ724" t="s">
        <v>5133</v>
      </c>
      <c r="DK724" s="2042">
        <f t="shared" si="13"/>
        <v>1900</v>
      </c>
    </row>
    <row r="725" spans="1:115">
      <c r="A725" t="s">
        <v>3099</v>
      </c>
      <c r="B725" t="s">
        <v>2372</v>
      </c>
      <c r="C725">
        <v>2425.36</v>
      </c>
      <c r="D725">
        <v>2599.9369999999999</v>
      </c>
      <c r="E725">
        <v>68.463000000000008</v>
      </c>
      <c r="F725">
        <v>0</v>
      </c>
      <c r="G725" s="2043">
        <v>1050509752</v>
      </c>
      <c r="H725">
        <v>0</v>
      </c>
      <c r="I725" s="2043">
        <v>4469703</v>
      </c>
      <c r="J725">
        <v>74</v>
      </c>
      <c r="K725">
        <v>202</v>
      </c>
      <c r="L725">
        <v>0</v>
      </c>
      <c r="M725">
        <v>3055980</v>
      </c>
      <c r="N725">
        <v>0</v>
      </c>
      <c r="O725">
        <v>3055980</v>
      </c>
      <c r="P725">
        <v>0</v>
      </c>
      <c r="Q725">
        <v>0</v>
      </c>
      <c r="R725" s="2043">
        <v>8739230</v>
      </c>
      <c r="S725">
        <v>787141</v>
      </c>
      <c r="T725">
        <v>573629</v>
      </c>
      <c r="U725">
        <v>0.08</v>
      </c>
      <c r="V725">
        <v>0</v>
      </c>
      <c r="W725">
        <v>0</v>
      </c>
      <c r="X725">
        <v>0</v>
      </c>
      <c r="Y725">
        <v>-5386</v>
      </c>
      <c r="Z725">
        <v>0</v>
      </c>
      <c r="AA725">
        <v>0</v>
      </c>
      <c r="AB725">
        <v>2591.37</v>
      </c>
      <c r="AC725" s="2043">
        <v>908338997</v>
      </c>
      <c r="AD725">
        <v>4820000</v>
      </c>
      <c r="AE725" s="2043">
        <v>10100000</v>
      </c>
      <c r="AF725">
        <v>1.0265</v>
      </c>
      <c r="AG725">
        <v>0</v>
      </c>
      <c r="AH725">
        <v>0</v>
      </c>
      <c r="AI725">
        <v>0</v>
      </c>
      <c r="AJ725">
        <v>550.43799999999999</v>
      </c>
      <c r="AK725">
        <v>10296</v>
      </c>
      <c r="AL725">
        <v>0.88900000000000001</v>
      </c>
      <c r="AM725">
        <v>0</v>
      </c>
      <c r="AN725">
        <v>165.67100000000002</v>
      </c>
      <c r="AO725">
        <v>0</v>
      </c>
      <c r="AP725">
        <v>0</v>
      </c>
      <c r="AQ725">
        <v>0</v>
      </c>
      <c r="AR725">
        <v>27.392000000000003</v>
      </c>
      <c r="AS725">
        <v>0</v>
      </c>
      <c r="AT725">
        <v>36.631</v>
      </c>
      <c r="AU725">
        <v>7.5609999999999999</v>
      </c>
      <c r="AV725">
        <v>0</v>
      </c>
      <c r="AW725">
        <v>72.472999999999999</v>
      </c>
      <c r="AX725">
        <v>0</v>
      </c>
      <c r="AY725">
        <v>234.31900000000002</v>
      </c>
      <c r="AZ725">
        <v>0</v>
      </c>
      <c r="BA725">
        <v>15894531</v>
      </c>
      <c r="BB725">
        <v>14920000</v>
      </c>
      <c r="BC725">
        <v>0</v>
      </c>
      <c r="BD725">
        <v>21516</v>
      </c>
      <c r="BE725">
        <v>65875</v>
      </c>
      <c r="BF725">
        <v>87391</v>
      </c>
      <c r="BG725">
        <v>21516</v>
      </c>
      <c r="BH725">
        <v>0</v>
      </c>
      <c r="BI725">
        <v>-5386</v>
      </c>
      <c r="BJ725">
        <v>0</v>
      </c>
      <c r="BK725">
        <v>0</v>
      </c>
      <c r="BL725">
        <v>1050509752</v>
      </c>
      <c r="BM725">
        <v>0</v>
      </c>
      <c r="BN725">
        <v>8829</v>
      </c>
      <c r="BO725">
        <v>7190</v>
      </c>
      <c r="BP725">
        <v>0</v>
      </c>
      <c r="BQ725">
        <v>0</v>
      </c>
      <c r="BR725">
        <v>0.88819999999999999</v>
      </c>
      <c r="BS725">
        <v>0.88819999999999999</v>
      </c>
      <c r="BT725">
        <v>0</v>
      </c>
      <c r="BU725">
        <v>0</v>
      </c>
      <c r="BV725">
        <v>660</v>
      </c>
      <c r="BW725">
        <v>430</v>
      </c>
      <c r="BX725">
        <v>156</v>
      </c>
      <c r="BY725">
        <v>519</v>
      </c>
      <c r="BZ725">
        <v>453</v>
      </c>
      <c r="CA725">
        <v>2218</v>
      </c>
      <c r="CB725">
        <v>0</v>
      </c>
      <c r="CC725">
        <v>9.827</v>
      </c>
      <c r="CD725">
        <v>0</v>
      </c>
      <c r="CE725">
        <v>31</v>
      </c>
      <c r="CF725">
        <v>681.62200000000007</v>
      </c>
      <c r="CG725">
        <v>0</v>
      </c>
      <c r="CH725">
        <v>0</v>
      </c>
      <c r="CI725">
        <v>0</v>
      </c>
      <c r="CJ725">
        <v>0</v>
      </c>
      <c r="CK725">
        <v>0</v>
      </c>
      <c r="CL725">
        <v>0</v>
      </c>
      <c r="CM725">
        <v>68.463000000000008</v>
      </c>
      <c r="CN725">
        <v>0</v>
      </c>
      <c r="CO725">
        <v>0</v>
      </c>
      <c r="CP725">
        <v>0</v>
      </c>
      <c r="CQ725">
        <v>0</v>
      </c>
      <c r="CR725">
        <v>0</v>
      </c>
      <c r="CS725">
        <v>0</v>
      </c>
      <c r="CT725">
        <v>0</v>
      </c>
      <c r="CU725">
        <v>0</v>
      </c>
      <c r="CV725">
        <v>87.983000000000004</v>
      </c>
      <c r="CW725">
        <v>72.956000000000003</v>
      </c>
      <c r="CX725">
        <v>0</v>
      </c>
      <c r="CY725" s="2043">
        <v>0</v>
      </c>
      <c r="CZ725" s="2043">
        <v>0</v>
      </c>
      <c r="DA725" s="2043">
        <v>0</v>
      </c>
      <c r="DB725" s="2043">
        <v>0</v>
      </c>
      <c r="DC725" s="2043">
        <v>0</v>
      </c>
      <c r="DI725" t="s">
        <v>3099</v>
      </c>
      <c r="DJ725" t="s">
        <v>3099</v>
      </c>
      <c r="DK725" s="2042">
        <f t="shared" si="13"/>
        <v>0</v>
      </c>
    </row>
    <row r="726" spans="1:115">
      <c r="A726" t="s">
        <v>5832</v>
      </c>
      <c r="B726" t="s">
        <v>373</v>
      </c>
      <c r="C726">
        <v>565.08900000000006</v>
      </c>
      <c r="D726">
        <v>605.85500000000002</v>
      </c>
      <c r="E726">
        <v>14.620000000000001</v>
      </c>
      <c r="F726">
        <v>0</v>
      </c>
      <c r="G726" s="2043">
        <v>233994628</v>
      </c>
      <c r="H726">
        <v>0</v>
      </c>
      <c r="I726" s="2043">
        <v>0</v>
      </c>
      <c r="J726">
        <v>28.254000000000001</v>
      </c>
      <c r="K726">
        <v>77</v>
      </c>
      <c r="L726">
        <v>0</v>
      </c>
      <c r="M726">
        <v>0</v>
      </c>
      <c r="N726">
        <v>0</v>
      </c>
      <c r="O726">
        <v>0</v>
      </c>
      <c r="P726">
        <v>0</v>
      </c>
      <c r="Q726">
        <v>0</v>
      </c>
      <c r="R726" s="2043">
        <v>1833014</v>
      </c>
      <c r="S726">
        <v>176167</v>
      </c>
      <c r="T726">
        <v>128381</v>
      </c>
      <c r="U726">
        <v>0.08</v>
      </c>
      <c r="V726">
        <v>0</v>
      </c>
      <c r="W726">
        <v>0</v>
      </c>
      <c r="X726">
        <v>0</v>
      </c>
      <c r="Y726">
        <v>0</v>
      </c>
      <c r="Z726">
        <v>5.7830000000000004</v>
      </c>
      <c r="AA726">
        <v>0</v>
      </c>
      <c r="AB726">
        <v>605.85500000000002</v>
      </c>
      <c r="AC726" s="2043">
        <v>185285003</v>
      </c>
      <c r="AD726">
        <v>0</v>
      </c>
      <c r="AE726" s="2043">
        <v>2137562</v>
      </c>
      <c r="AF726">
        <v>0.97070000000000001</v>
      </c>
      <c r="AG726">
        <v>0</v>
      </c>
      <c r="AH726">
        <v>0</v>
      </c>
      <c r="AI726">
        <v>0</v>
      </c>
      <c r="AJ726">
        <v>84.100000000000009</v>
      </c>
      <c r="AK726">
        <v>2031</v>
      </c>
      <c r="AL726">
        <v>0</v>
      </c>
      <c r="AM726">
        <v>0</v>
      </c>
      <c r="AN726">
        <v>21.587</v>
      </c>
      <c r="AO726">
        <v>0</v>
      </c>
      <c r="AP726">
        <v>0</v>
      </c>
      <c r="AQ726">
        <v>0</v>
      </c>
      <c r="AR726">
        <v>4.7540000000000004</v>
      </c>
      <c r="AS726">
        <v>0</v>
      </c>
      <c r="AT726">
        <v>4.7549999999999999</v>
      </c>
      <c r="AU726">
        <v>1.9740000000000002</v>
      </c>
      <c r="AV726">
        <v>0</v>
      </c>
      <c r="AW726">
        <v>11.483000000000001</v>
      </c>
      <c r="AX726">
        <v>0</v>
      </c>
      <c r="AY726">
        <v>38.396999999999998</v>
      </c>
      <c r="AZ726">
        <v>0</v>
      </c>
      <c r="BA726">
        <v>5382239</v>
      </c>
      <c r="BB726">
        <v>2137562</v>
      </c>
      <c r="BC726">
        <v>0</v>
      </c>
      <c r="BD726">
        <v>39639</v>
      </c>
      <c r="BE726">
        <v>13783</v>
      </c>
      <c r="BF726">
        <v>53422</v>
      </c>
      <c r="BG726">
        <v>39639</v>
      </c>
      <c r="BH726">
        <v>0</v>
      </c>
      <c r="BI726">
        <v>0</v>
      </c>
      <c r="BJ726">
        <v>0</v>
      </c>
      <c r="BK726">
        <v>553269</v>
      </c>
      <c r="BL726">
        <v>233994628</v>
      </c>
      <c r="BM726">
        <v>0</v>
      </c>
      <c r="BN726">
        <v>0</v>
      </c>
      <c r="BO726">
        <v>0</v>
      </c>
      <c r="BP726">
        <v>0</v>
      </c>
      <c r="BQ726">
        <v>0</v>
      </c>
      <c r="BR726">
        <v>0.83240000000000003</v>
      </c>
      <c r="BS726">
        <v>0.83240000000000003</v>
      </c>
      <c r="BT726">
        <v>0</v>
      </c>
      <c r="BU726">
        <v>0</v>
      </c>
      <c r="BV726">
        <v>107</v>
      </c>
      <c r="BW726">
        <v>213</v>
      </c>
      <c r="BX726">
        <v>2</v>
      </c>
      <c r="BY726">
        <v>11</v>
      </c>
      <c r="BZ726">
        <v>22</v>
      </c>
      <c r="CA726">
        <v>355</v>
      </c>
      <c r="CB726">
        <v>0</v>
      </c>
      <c r="CC726">
        <v>0</v>
      </c>
      <c r="CD726">
        <v>0</v>
      </c>
      <c r="CE726">
        <v>23</v>
      </c>
      <c r="CF726">
        <v>138.435</v>
      </c>
      <c r="CG726">
        <v>0</v>
      </c>
      <c r="CH726">
        <v>0</v>
      </c>
      <c r="CI726">
        <v>0</v>
      </c>
      <c r="CJ726">
        <v>0</v>
      </c>
      <c r="CK726">
        <v>0</v>
      </c>
      <c r="CL726">
        <v>0</v>
      </c>
      <c r="CM726">
        <v>14.620000000000001</v>
      </c>
      <c r="CN726">
        <v>0</v>
      </c>
      <c r="CO726">
        <v>0</v>
      </c>
      <c r="CP726">
        <v>0</v>
      </c>
      <c r="CQ726">
        <v>0</v>
      </c>
      <c r="CR726">
        <v>0</v>
      </c>
      <c r="CS726">
        <v>0</v>
      </c>
      <c r="CT726">
        <v>0</v>
      </c>
      <c r="CU726">
        <v>0</v>
      </c>
      <c r="CV726">
        <v>0</v>
      </c>
      <c r="CW726">
        <v>0</v>
      </c>
      <c r="CX726">
        <v>0</v>
      </c>
      <c r="CY726" s="2043">
        <v>0</v>
      </c>
      <c r="CZ726" s="2043">
        <v>0</v>
      </c>
      <c r="DA726" s="2043">
        <v>553269</v>
      </c>
      <c r="DB726" s="2043">
        <v>0</v>
      </c>
      <c r="DC726" s="2043">
        <v>0</v>
      </c>
      <c r="DI726" t="s">
        <v>5832</v>
      </c>
      <c r="DJ726" t="s">
        <v>5832</v>
      </c>
      <c r="DK726" s="2042">
        <f t="shared" si="13"/>
        <v>0</v>
      </c>
    </row>
    <row r="727" spans="1:115">
      <c r="A727" t="s">
        <v>5833</v>
      </c>
      <c r="B727" t="s">
        <v>374</v>
      </c>
      <c r="C727">
        <v>416.87200000000001</v>
      </c>
      <c r="D727">
        <v>388.14800000000002</v>
      </c>
      <c r="E727">
        <v>6.3790000000000004</v>
      </c>
      <c r="F727">
        <v>0</v>
      </c>
      <c r="G727" s="2043">
        <v>288443848</v>
      </c>
      <c r="H727">
        <v>0</v>
      </c>
      <c r="I727" s="2043">
        <v>0</v>
      </c>
      <c r="J727">
        <v>15</v>
      </c>
      <c r="K727">
        <v>41</v>
      </c>
      <c r="L727">
        <v>0</v>
      </c>
      <c r="M727">
        <v>0</v>
      </c>
      <c r="N727">
        <v>0</v>
      </c>
      <c r="O727">
        <v>0</v>
      </c>
      <c r="P727">
        <v>0</v>
      </c>
      <c r="Q727">
        <v>0</v>
      </c>
      <c r="R727" s="2043">
        <v>2741157</v>
      </c>
      <c r="S727">
        <v>232031</v>
      </c>
      <c r="T727">
        <v>169093</v>
      </c>
      <c r="U727">
        <v>0.08</v>
      </c>
      <c r="V727">
        <v>0</v>
      </c>
      <c r="W727">
        <v>0</v>
      </c>
      <c r="X727">
        <v>0</v>
      </c>
      <c r="Y727">
        <v>0</v>
      </c>
      <c r="Z727">
        <v>0</v>
      </c>
      <c r="AA727">
        <v>5.6000000000000001E-2</v>
      </c>
      <c r="AB727">
        <v>387.46300000000002</v>
      </c>
      <c r="AC727" s="2043">
        <v>272402740</v>
      </c>
      <c r="AD727">
        <v>0</v>
      </c>
      <c r="AE727" s="2043">
        <v>3142281</v>
      </c>
      <c r="AF727">
        <v>1.0834000000000001</v>
      </c>
      <c r="AG727">
        <v>0</v>
      </c>
      <c r="AH727">
        <v>0</v>
      </c>
      <c r="AI727">
        <v>0</v>
      </c>
      <c r="AJ727">
        <v>78.174999999999997</v>
      </c>
      <c r="AK727">
        <v>1124</v>
      </c>
      <c r="AL727">
        <v>0</v>
      </c>
      <c r="AM727">
        <v>0</v>
      </c>
      <c r="AN727">
        <v>14.116000000000001</v>
      </c>
      <c r="AO727">
        <v>0</v>
      </c>
      <c r="AP727">
        <v>0</v>
      </c>
      <c r="AQ727">
        <v>0</v>
      </c>
      <c r="AR727">
        <v>4.423</v>
      </c>
      <c r="AS727">
        <v>0</v>
      </c>
      <c r="AT727">
        <v>0.47200000000000003</v>
      </c>
      <c r="AU727">
        <v>0.435</v>
      </c>
      <c r="AV727">
        <v>0</v>
      </c>
      <c r="AW727">
        <v>5.33</v>
      </c>
      <c r="AX727">
        <v>0</v>
      </c>
      <c r="AY727">
        <v>16.86</v>
      </c>
      <c r="AZ727">
        <v>0</v>
      </c>
      <c r="BA727">
        <v>2756579</v>
      </c>
      <c r="BB727">
        <v>3142281</v>
      </c>
      <c r="BC727">
        <v>0</v>
      </c>
      <c r="BD727">
        <v>86470</v>
      </c>
      <c r="BE727">
        <v>7258</v>
      </c>
      <c r="BF727">
        <v>93728</v>
      </c>
      <c r="BG727">
        <v>86470</v>
      </c>
      <c r="BH727">
        <v>0</v>
      </c>
      <c r="BI727">
        <v>0</v>
      </c>
      <c r="BJ727">
        <v>0</v>
      </c>
      <c r="BK727">
        <v>0</v>
      </c>
      <c r="BL727">
        <v>288443848</v>
      </c>
      <c r="BM727">
        <v>0</v>
      </c>
      <c r="BN727">
        <v>2124</v>
      </c>
      <c r="BO727">
        <v>1648</v>
      </c>
      <c r="BP727">
        <v>0</v>
      </c>
      <c r="BQ727">
        <v>0</v>
      </c>
      <c r="BR727">
        <v>0.94510000000000005</v>
      </c>
      <c r="BS727">
        <v>0.94510000000000005</v>
      </c>
      <c r="BT727">
        <v>0</v>
      </c>
      <c r="BU727">
        <v>0</v>
      </c>
      <c r="BV727">
        <v>132</v>
      </c>
      <c r="BW727">
        <v>107</v>
      </c>
      <c r="BX727">
        <v>26</v>
      </c>
      <c r="BY727">
        <v>17</v>
      </c>
      <c r="BZ727">
        <v>44</v>
      </c>
      <c r="CA727">
        <v>326</v>
      </c>
      <c r="CB727">
        <v>0</v>
      </c>
      <c r="CC727">
        <v>0</v>
      </c>
      <c r="CD727">
        <v>0</v>
      </c>
      <c r="CE727">
        <v>19</v>
      </c>
      <c r="CF727">
        <v>52.205000000000005</v>
      </c>
      <c r="CG727">
        <v>0</v>
      </c>
      <c r="CH727">
        <v>0</v>
      </c>
      <c r="CI727">
        <v>4</v>
      </c>
      <c r="CJ727">
        <v>11</v>
      </c>
      <c r="CK727">
        <v>0</v>
      </c>
      <c r="CL727">
        <v>0</v>
      </c>
      <c r="CM727">
        <v>6.3790000000000004</v>
      </c>
      <c r="CN727">
        <v>0</v>
      </c>
      <c r="CO727">
        <v>0</v>
      </c>
      <c r="CP727">
        <v>0</v>
      </c>
      <c r="CQ727">
        <v>0</v>
      </c>
      <c r="CR727">
        <v>0</v>
      </c>
      <c r="CS727">
        <v>0</v>
      </c>
      <c r="CT727">
        <v>0</v>
      </c>
      <c r="CU727">
        <v>4.4000000000000004E-2</v>
      </c>
      <c r="CV727">
        <v>41.300000000000004</v>
      </c>
      <c r="CW727">
        <v>20.388999999999999</v>
      </c>
      <c r="CX727">
        <v>0</v>
      </c>
      <c r="CY727" s="2043">
        <v>0</v>
      </c>
      <c r="CZ727" s="2043">
        <v>0</v>
      </c>
      <c r="DA727" s="2043">
        <v>0</v>
      </c>
      <c r="DB727" s="2043">
        <v>0</v>
      </c>
      <c r="DC727" s="2043">
        <v>0</v>
      </c>
      <c r="DI727" t="s">
        <v>5833</v>
      </c>
      <c r="DJ727" t="s">
        <v>5833</v>
      </c>
      <c r="DK727" s="2042">
        <f t="shared" si="13"/>
        <v>0</v>
      </c>
    </row>
    <row r="728" spans="1:115">
      <c r="A728" t="s">
        <v>5134</v>
      </c>
      <c r="B728" t="s">
        <v>375</v>
      </c>
      <c r="C728">
        <v>726.05600000000004</v>
      </c>
      <c r="D728">
        <v>807.61599999999999</v>
      </c>
      <c r="E728">
        <v>6.8790000000000004</v>
      </c>
      <c r="F728">
        <v>0</v>
      </c>
      <c r="G728" s="2043">
        <v>92033656</v>
      </c>
      <c r="H728">
        <v>0</v>
      </c>
      <c r="I728" s="2043">
        <v>713390</v>
      </c>
      <c r="J728">
        <v>36.303000000000004</v>
      </c>
      <c r="K728">
        <v>99</v>
      </c>
      <c r="L728">
        <v>0</v>
      </c>
      <c r="M728">
        <v>0</v>
      </c>
      <c r="N728">
        <v>0</v>
      </c>
      <c r="O728">
        <v>0</v>
      </c>
      <c r="P728">
        <v>0</v>
      </c>
      <c r="Q728">
        <v>0</v>
      </c>
      <c r="R728" s="2043">
        <v>820609</v>
      </c>
      <c r="S728">
        <v>44921</v>
      </c>
      <c r="T728">
        <v>0</v>
      </c>
      <c r="U728">
        <v>0.05</v>
      </c>
      <c r="V728">
        <v>0</v>
      </c>
      <c r="W728">
        <v>0</v>
      </c>
      <c r="X728">
        <v>0</v>
      </c>
      <c r="Y728">
        <v>0</v>
      </c>
      <c r="Z728">
        <v>0</v>
      </c>
      <c r="AA728">
        <v>0</v>
      </c>
      <c r="AB728">
        <v>759.63400000000001</v>
      </c>
      <c r="AC728" s="2043">
        <v>116348314</v>
      </c>
      <c r="AD728">
        <v>264601</v>
      </c>
      <c r="AE728" s="2043">
        <v>865530</v>
      </c>
      <c r="AF728">
        <v>0.96340000000000003</v>
      </c>
      <c r="AG728">
        <v>0</v>
      </c>
      <c r="AH728">
        <v>0</v>
      </c>
      <c r="AI728">
        <v>0</v>
      </c>
      <c r="AJ728">
        <v>81.225000000000009</v>
      </c>
      <c r="AK728">
        <v>1476</v>
      </c>
      <c r="AL728">
        <v>0</v>
      </c>
      <c r="AM728">
        <v>0</v>
      </c>
      <c r="AN728">
        <v>13.906000000000001</v>
      </c>
      <c r="AO728">
        <v>0</v>
      </c>
      <c r="AP728">
        <v>0</v>
      </c>
      <c r="AQ728">
        <v>0</v>
      </c>
      <c r="AR728">
        <v>8.5280000000000005</v>
      </c>
      <c r="AS728">
        <v>0</v>
      </c>
      <c r="AT728">
        <v>0</v>
      </c>
      <c r="AU728">
        <v>1.117</v>
      </c>
      <c r="AV728">
        <v>0</v>
      </c>
      <c r="AW728">
        <v>9.6450000000000014</v>
      </c>
      <c r="AX728">
        <v>0</v>
      </c>
      <c r="AY728">
        <v>31.169</v>
      </c>
      <c r="AZ728">
        <v>0</v>
      </c>
      <c r="BA728">
        <v>7536490</v>
      </c>
      <c r="BB728">
        <v>1130131</v>
      </c>
      <c r="BC728">
        <v>0</v>
      </c>
      <c r="BD728">
        <v>0</v>
      </c>
      <c r="BE728">
        <v>0</v>
      </c>
      <c r="BF728">
        <v>0</v>
      </c>
      <c r="BG728">
        <v>0</v>
      </c>
      <c r="BH728">
        <v>0</v>
      </c>
      <c r="BI728">
        <v>0</v>
      </c>
      <c r="BJ728">
        <v>0</v>
      </c>
      <c r="BK728">
        <v>0</v>
      </c>
      <c r="BL728">
        <v>92033656</v>
      </c>
      <c r="BM728">
        <v>0</v>
      </c>
      <c r="BN728">
        <v>4626</v>
      </c>
      <c r="BO728">
        <v>3231</v>
      </c>
      <c r="BP728">
        <v>0</v>
      </c>
      <c r="BQ728">
        <v>0</v>
      </c>
      <c r="BR728">
        <v>0.91339999999999999</v>
      </c>
      <c r="BS728">
        <v>0.91339999999999999</v>
      </c>
      <c r="BT728">
        <v>0</v>
      </c>
      <c r="BU728">
        <v>0</v>
      </c>
      <c r="BV728">
        <v>102</v>
      </c>
      <c r="BW728">
        <v>106</v>
      </c>
      <c r="BX728">
        <v>40</v>
      </c>
      <c r="BY728">
        <v>44</v>
      </c>
      <c r="BZ728">
        <v>42</v>
      </c>
      <c r="CA728">
        <v>334</v>
      </c>
      <c r="CB728">
        <v>0</v>
      </c>
      <c r="CC728">
        <v>0</v>
      </c>
      <c r="CD728">
        <v>0</v>
      </c>
      <c r="CE728">
        <v>31</v>
      </c>
      <c r="CF728">
        <v>65.884</v>
      </c>
      <c r="CG728">
        <v>0</v>
      </c>
      <c r="CH728">
        <v>0</v>
      </c>
      <c r="CI728">
        <v>13</v>
      </c>
      <c r="CJ728">
        <v>27</v>
      </c>
      <c r="CK728">
        <v>0</v>
      </c>
      <c r="CL728">
        <v>0</v>
      </c>
      <c r="CM728">
        <v>6.8790000000000004</v>
      </c>
      <c r="CN728">
        <v>0</v>
      </c>
      <c r="CO728">
        <v>0</v>
      </c>
      <c r="CP728">
        <v>0</v>
      </c>
      <c r="CQ728">
        <v>0</v>
      </c>
      <c r="CR728">
        <v>0</v>
      </c>
      <c r="CS728">
        <v>0</v>
      </c>
      <c r="CT728">
        <v>0</v>
      </c>
      <c r="CU728">
        <v>0</v>
      </c>
      <c r="CV728">
        <v>46.329000000000001</v>
      </c>
      <c r="CW728">
        <v>24.968</v>
      </c>
      <c r="CX728">
        <v>0</v>
      </c>
      <c r="CY728" s="2043">
        <v>0</v>
      </c>
      <c r="CZ728" s="2043">
        <v>0</v>
      </c>
      <c r="DA728" s="2043">
        <v>0</v>
      </c>
      <c r="DB728" s="2043">
        <v>0</v>
      </c>
      <c r="DC728" s="2043">
        <v>0</v>
      </c>
      <c r="DI728" t="s">
        <v>5134</v>
      </c>
      <c r="DJ728" t="s">
        <v>5134</v>
      </c>
      <c r="DK728" s="2042">
        <f t="shared" si="13"/>
        <v>0</v>
      </c>
    </row>
    <row r="729" spans="1:115">
      <c r="A729" t="s">
        <v>3100</v>
      </c>
      <c r="B729" t="s">
        <v>2373</v>
      </c>
      <c r="C729">
        <v>208.00200000000001</v>
      </c>
      <c r="D729">
        <v>223.51900000000001</v>
      </c>
      <c r="E729">
        <v>21.148</v>
      </c>
      <c r="F729">
        <v>0</v>
      </c>
      <c r="G729" s="2043">
        <v>62078541</v>
      </c>
      <c r="H729">
        <v>0</v>
      </c>
      <c r="I729" s="2043">
        <v>0</v>
      </c>
      <c r="J729">
        <v>0</v>
      </c>
      <c r="K729">
        <v>0</v>
      </c>
      <c r="L729">
        <v>0</v>
      </c>
      <c r="M729">
        <v>0</v>
      </c>
      <c r="N729">
        <v>0</v>
      </c>
      <c r="O729">
        <v>0</v>
      </c>
      <c r="P729">
        <v>0</v>
      </c>
      <c r="Q729">
        <v>0</v>
      </c>
      <c r="R729" s="2043">
        <v>475137</v>
      </c>
      <c r="S729">
        <v>41479</v>
      </c>
      <c r="T729">
        <v>30227</v>
      </c>
      <c r="U729">
        <v>0.08</v>
      </c>
      <c r="V729">
        <v>0</v>
      </c>
      <c r="W729">
        <v>0</v>
      </c>
      <c r="X729">
        <v>0</v>
      </c>
      <c r="Y729">
        <v>39673</v>
      </c>
      <c r="Z729">
        <v>0</v>
      </c>
      <c r="AA729">
        <v>0</v>
      </c>
      <c r="AB729">
        <v>223.51900000000001</v>
      </c>
      <c r="AC729" s="2043">
        <v>81643659</v>
      </c>
      <c r="AD729">
        <v>0</v>
      </c>
      <c r="AE729" s="2043">
        <v>546843</v>
      </c>
      <c r="AF729">
        <v>1.0547</v>
      </c>
      <c r="AG729">
        <v>0</v>
      </c>
      <c r="AH729">
        <v>0</v>
      </c>
      <c r="AI729">
        <v>0</v>
      </c>
      <c r="AJ729">
        <v>36.713000000000001</v>
      </c>
      <c r="AK729">
        <v>977</v>
      </c>
      <c r="AL729">
        <v>0</v>
      </c>
      <c r="AM729">
        <v>0</v>
      </c>
      <c r="AN729">
        <v>7.1400000000000006</v>
      </c>
      <c r="AO729">
        <v>0</v>
      </c>
      <c r="AP729">
        <v>0</v>
      </c>
      <c r="AQ729">
        <v>0</v>
      </c>
      <c r="AR729">
        <v>4.3920000000000003</v>
      </c>
      <c r="AS729">
        <v>0</v>
      </c>
      <c r="AT729">
        <v>0.67</v>
      </c>
      <c r="AU729">
        <v>0.81400000000000006</v>
      </c>
      <c r="AV729">
        <v>0</v>
      </c>
      <c r="AW729">
        <v>5.8760000000000003</v>
      </c>
      <c r="AX729">
        <v>0</v>
      </c>
      <c r="AY729">
        <v>19.256</v>
      </c>
      <c r="AZ729">
        <v>0</v>
      </c>
      <c r="BA729">
        <v>2414752</v>
      </c>
      <c r="BB729">
        <v>546843</v>
      </c>
      <c r="BC729">
        <v>0</v>
      </c>
      <c r="BD729">
        <v>16170</v>
      </c>
      <c r="BE729">
        <v>0</v>
      </c>
      <c r="BF729">
        <v>25610</v>
      </c>
      <c r="BG729">
        <v>16170</v>
      </c>
      <c r="BH729">
        <v>9440</v>
      </c>
      <c r="BI729">
        <v>0</v>
      </c>
      <c r="BJ729">
        <v>0</v>
      </c>
      <c r="BK729">
        <v>0</v>
      </c>
      <c r="BL729">
        <v>62078541</v>
      </c>
      <c r="BM729">
        <v>0</v>
      </c>
      <c r="BN729">
        <v>720</v>
      </c>
      <c r="BO729">
        <v>749</v>
      </c>
      <c r="BP729">
        <v>0</v>
      </c>
      <c r="BQ729">
        <v>0</v>
      </c>
      <c r="BR729">
        <v>0.91639999999999999</v>
      </c>
      <c r="BS729">
        <v>0.91639999999999999</v>
      </c>
      <c r="BT729">
        <v>0</v>
      </c>
      <c r="BU729">
        <v>0</v>
      </c>
      <c r="BV729">
        <v>0</v>
      </c>
      <c r="BW729">
        <v>127</v>
      </c>
      <c r="BX729">
        <v>13</v>
      </c>
      <c r="BY729">
        <v>0</v>
      </c>
      <c r="BZ729">
        <v>12</v>
      </c>
      <c r="CA729">
        <v>152</v>
      </c>
      <c r="CB729">
        <v>0</v>
      </c>
      <c r="CC729">
        <v>0</v>
      </c>
      <c r="CD729">
        <v>0</v>
      </c>
      <c r="CE729">
        <v>30</v>
      </c>
      <c r="CF729">
        <v>44.646000000000001</v>
      </c>
      <c r="CG729">
        <v>0</v>
      </c>
      <c r="CH729">
        <v>0</v>
      </c>
      <c r="CI729">
        <v>0</v>
      </c>
      <c r="CJ729">
        <v>3</v>
      </c>
      <c r="CK729">
        <v>0</v>
      </c>
      <c r="CL729">
        <v>0</v>
      </c>
      <c r="CM729">
        <v>21.148</v>
      </c>
      <c r="CN729">
        <v>0</v>
      </c>
      <c r="CO729">
        <v>0</v>
      </c>
      <c r="CP729">
        <v>0</v>
      </c>
      <c r="CQ729">
        <v>0</v>
      </c>
      <c r="CR729">
        <v>0</v>
      </c>
      <c r="CS729">
        <v>0</v>
      </c>
      <c r="CT729">
        <v>0</v>
      </c>
      <c r="CU729">
        <v>1.645</v>
      </c>
      <c r="CV729">
        <v>14.905000000000001</v>
      </c>
      <c r="CW729">
        <v>11.065000000000001</v>
      </c>
      <c r="CX729">
        <v>0</v>
      </c>
      <c r="CY729" s="2043">
        <v>39673</v>
      </c>
      <c r="CZ729" s="2043">
        <v>0</v>
      </c>
      <c r="DA729" s="2043">
        <v>0</v>
      </c>
      <c r="DB729" s="2043">
        <v>0</v>
      </c>
      <c r="DC729" s="2043">
        <v>0</v>
      </c>
      <c r="DI729" t="s">
        <v>3100</v>
      </c>
      <c r="DJ729" t="s">
        <v>3100</v>
      </c>
      <c r="DK729" s="2042">
        <f t="shared" si="13"/>
        <v>0</v>
      </c>
    </row>
    <row r="730" spans="1:115">
      <c r="A730" t="s">
        <v>5834</v>
      </c>
      <c r="B730" t="s">
        <v>228</v>
      </c>
      <c r="C730">
        <v>340.38100000000003</v>
      </c>
      <c r="D730">
        <v>338.19499999999999</v>
      </c>
      <c r="E730">
        <v>13.879000000000001</v>
      </c>
      <c r="F730">
        <v>0</v>
      </c>
      <c r="G730" s="2043">
        <v>120467304</v>
      </c>
      <c r="H730">
        <v>0</v>
      </c>
      <c r="I730" s="2043">
        <v>412500</v>
      </c>
      <c r="J730">
        <v>17</v>
      </c>
      <c r="K730">
        <v>46</v>
      </c>
      <c r="L730">
        <v>0</v>
      </c>
      <c r="M730">
        <v>0</v>
      </c>
      <c r="N730">
        <v>0</v>
      </c>
      <c r="O730">
        <v>0</v>
      </c>
      <c r="P730">
        <v>0</v>
      </c>
      <c r="Q730">
        <v>0</v>
      </c>
      <c r="R730" s="2043">
        <v>1046837</v>
      </c>
      <c r="S730">
        <v>95689</v>
      </c>
      <c r="T730">
        <v>69733</v>
      </c>
      <c r="U730">
        <v>0.08</v>
      </c>
      <c r="V730">
        <v>0</v>
      </c>
      <c r="W730">
        <v>0</v>
      </c>
      <c r="X730">
        <v>0</v>
      </c>
      <c r="Y730">
        <v>70049</v>
      </c>
      <c r="Z730">
        <v>0</v>
      </c>
      <c r="AA730">
        <v>0</v>
      </c>
      <c r="AB730">
        <v>336.28900000000004</v>
      </c>
      <c r="AC730" s="2043">
        <v>105355621</v>
      </c>
      <c r="AD730">
        <v>715071</v>
      </c>
      <c r="AE730" s="2043">
        <v>1212259</v>
      </c>
      <c r="AF730">
        <v>1.0135000000000001</v>
      </c>
      <c r="AG730">
        <v>0</v>
      </c>
      <c r="AH730">
        <v>0</v>
      </c>
      <c r="AI730">
        <v>0</v>
      </c>
      <c r="AJ730">
        <v>55.25</v>
      </c>
      <c r="AK730">
        <v>1851</v>
      </c>
      <c r="AL730">
        <v>0</v>
      </c>
      <c r="AM730">
        <v>0</v>
      </c>
      <c r="AN730">
        <v>12.748000000000001</v>
      </c>
      <c r="AO730">
        <v>0</v>
      </c>
      <c r="AP730">
        <v>0</v>
      </c>
      <c r="AQ730">
        <v>0</v>
      </c>
      <c r="AR730">
        <v>10.084</v>
      </c>
      <c r="AS730">
        <v>0</v>
      </c>
      <c r="AT730">
        <v>0.74199999999999999</v>
      </c>
      <c r="AU730">
        <v>1.347</v>
      </c>
      <c r="AV730">
        <v>0</v>
      </c>
      <c r="AW730">
        <v>12.173</v>
      </c>
      <c r="AX730">
        <v>0</v>
      </c>
      <c r="AY730">
        <v>39.213000000000001</v>
      </c>
      <c r="AZ730">
        <v>0</v>
      </c>
      <c r="BA730">
        <v>3619158</v>
      </c>
      <c r="BB730">
        <v>1927330</v>
      </c>
      <c r="BC730">
        <v>0</v>
      </c>
      <c r="BD730">
        <v>18036</v>
      </c>
      <c r="BE730">
        <v>0</v>
      </c>
      <c r="BF730">
        <v>18036</v>
      </c>
      <c r="BG730">
        <v>18036</v>
      </c>
      <c r="BH730">
        <v>0</v>
      </c>
      <c r="BI730">
        <v>0</v>
      </c>
      <c r="BJ730">
        <v>0</v>
      </c>
      <c r="BK730">
        <v>0</v>
      </c>
      <c r="BL730">
        <v>120467304</v>
      </c>
      <c r="BM730">
        <v>0</v>
      </c>
      <c r="BN730">
        <v>1017</v>
      </c>
      <c r="BO730">
        <v>482</v>
      </c>
      <c r="BP730">
        <v>0</v>
      </c>
      <c r="BQ730">
        <v>0</v>
      </c>
      <c r="BR730">
        <v>0.87520000000000009</v>
      </c>
      <c r="BS730">
        <v>0.87520000000000009</v>
      </c>
      <c r="BT730">
        <v>0</v>
      </c>
      <c r="BU730">
        <v>0</v>
      </c>
      <c r="BV730">
        <v>0</v>
      </c>
      <c r="BW730">
        <v>40</v>
      </c>
      <c r="BX730">
        <v>183</v>
      </c>
      <c r="BY730">
        <v>0</v>
      </c>
      <c r="BZ730">
        <v>0</v>
      </c>
      <c r="CA730">
        <v>223</v>
      </c>
      <c r="CB730">
        <v>0</v>
      </c>
      <c r="CC730">
        <v>0</v>
      </c>
      <c r="CD730">
        <v>0</v>
      </c>
      <c r="CE730">
        <v>19</v>
      </c>
      <c r="CF730">
        <v>61.425000000000004</v>
      </c>
      <c r="CG730">
        <v>0</v>
      </c>
      <c r="CH730">
        <v>0</v>
      </c>
      <c r="CI730">
        <v>0</v>
      </c>
      <c r="CJ730">
        <v>1</v>
      </c>
      <c r="CK730">
        <v>0</v>
      </c>
      <c r="CL730">
        <v>0</v>
      </c>
      <c r="CM730">
        <v>13.879000000000001</v>
      </c>
      <c r="CN730">
        <v>0</v>
      </c>
      <c r="CO730">
        <v>0</v>
      </c>
      <c r="CP730">
        <v>0</v>
      </c>
      <c r="CQ730">
        <v>0</v>
      </c>
      <c r="CR730">
        <v>0</v>
      </c>
      <c r="CS730">
        <v>0</v>
      </c>
      <c r="CT730">
        <v>0</v>
      </c>
      <c r="CU730">
        <v>0</v>
      </c>
      <c r="CV730">
        <v>15.67</v>
      </c>
      <c r="CW730">
        <v>5.7510000000000003</v>
      </c>
      <c r="CX730">
        <v>0</v>
      </c>
      <c r="CY730" s="2043">
        <v>70049</v>
      </c>
      <c r="CZ730" s="2043">
        <v>0</v>
      </c>
      <c r="DA730" s="2043">
        <v>0</v>
      </c>
      <c r="DB730" s="2043">
        <v>0</v>
      </c>
      <c r="DC730" s="2043">
        <v>0</v>
      </c>
      <c r="DI730" t="s">
        <v>5834</v>
      </c>
      <c r="DJ730" t="s">
        <v>5834</v>
      </c>
      <c r="DK730" s="2042">
        <f t="shared" si="13"/>
        <v>0</v>
      </c>
    </row>
    <row r="731" spans="1:115">
      <c r="A731" t="s">
        <v>5835</v>
      </c>
      <c r="B731" t="s">
        <v>229</v>
      </c>
      <c r="C731">
        <v>125.46900000000001</v>
      </c>
      <c r="D731">
        <v>120.76100000000001</v>
      </c>
      <c r="E731">
        <v>1.9260000000000002</v>
      </c>
      <c r="F731">
        <v>0</v>
      </c>
      <c r="G731" s="2043">
        <v>136363521</v>
      </c>
      <c r="H731">
        <v>0</v>
      </c>
      <c r="I731" s="2043">
        <v>0</v>
      </c>
      <c r="J731">
        <v>6</v>
      </c>
      <c r="K731">
        <v>16</v>
      </c>
      <c r="L731">
        <v>0</v>
      </c>
      <c r="M731">
        <v>0</v>
      </c>
      <c r="N731">
        <v>0</v>
      </c>
      <c r="O731">
        <v>0</v>
      </c>
      <c r="P731">
        <v>0</v>
      </c>
      <c r="Q731">
        <v>0</v>
      </c>
      <c r="R731" s="2043">
        <v>1037136</v>
      </c>
      <c r="S731">
        <v>100938</v>
      </c>
      <c r="T731">
        <v>73558</v>
      </c>
      <c r="U731">
        <v>0.08</v>
      </c>
      <c r="V731">
        <v>0</v>
      </c>
      <c r="W731">
        <v>0</v>
      </c>
      <c r="X731">
        <v>0</v>
      </c>
      <c r="Y731">
        <v>301008</v>
      </c>
      <c r="Z731">
        <v>0</v>
      </c>
      <c r="AA731">
        <v>0</v>
      </c>
      <c r="AB731">
        <v>120.76100000000001</v>
      </c>
      <c r="AC731" s="2043">
        <v>64737954</v>
      </c>
      <c r="AD731">
        <v>868232</v>
      </c>
      <c r="AE731" s="2043">
        <v>1211632</v>
      </c>
      <c r="AF731">
        <v>0.96030000000000004</v>
      </c>
      <c r="AG731">
        <v>0</v>
      </c>
      <c r="AH731">
        <v>0</v>
      </c>
      <c r="AI731">
        <v>0</v>
      </c>
      <c r="AJ731">
        <v>24.113</v>
      </c>
      <c r="AK731">
        <v>769</v>
      </c>
      <c r="AL731">
        <v>0</v>
      </c>
      <c r="AM731">
        <v>0</v>
      </c>
      <c r="AN731">
        <v>5.7030000000000003</v>
      </c>
      <c r="AO731">
        <v>0</v>
      </c>
      <c r="AP731">
        <v>0</v>
      </c>
      <c r="AQ731">
        <v>0</v>
      </c>
      <c r="AR731">
        <v>4.5369999999999999</v>
      </c>
      <c r="AS731">
        <v>0</v>
      </c>
      <c r="AT731">
        <v>0</v>
      </c>
      <c r="AU731">
        <v>0.24500000000000002</v>
      </c>
      <c r="AV731">
        <v>0</v>
      </c>
      <c r="AW731">
        <v>4.782</v>
      </c>
      <c r="AX731">
        <v>0</v>
      </c>
      <c r="AY731">
        <v>14.836</v>
      </c>
      <c r="AZ731">
        <v>0</v>
      </c>
      <c r="BA731">
        <v>1169022</v>
      </c>
      <c r="BB731">
        <v>2079864</v>
      </c>
      <c r="BC731">
        <v>0</v>
      </c>
      <c r="BD731">
        <v>4080</v>
      </c>
      <c r="BE731">
        <v>0</v>
      </c>
      <c r="BF731">
        <v>38952</v>
      </c>
      <c r="BG731">
        <v>4080</v>
      </c>
      <c r="BH731">
        <v>34872</v>
      </c>
      <c r="BI731">
        <v>0</v>
      </c>
      <c r="BJ731">
        <v>0</v>
      </c>
      <c r="BK731">
        <v>0</v>
      </c>
      <c r="BL731">
        <v>136363521</v>
      </c>
      <c r="BM731">
        <v>0</v>
      </c>
      <c r="BN731">
        <v>639</v>
      </c>
      <c r="BO731">
        <v>64</v>
      </c>
      <c r="BP731">
        <v>0</v>
      </c>
      <c r="BQ731">
        <v>0</v>
      </c>
      <c r="BR731">
        <v>0.82200000000000006</v>
      </c>
      <c r="BS731">
        <v>0.82200000000000006</v>
      </c>
      <c r="BT731">
        <v>0</v>
      </c>
      <c r="BU731">
        <v>0</v>
      </c>
      <c r="BV731">
        <v>1</v>
      </c>
      <c r="BW731">
        <v>73</v>
      </c>
      <c r="BX731">
        <v>24</v>
      </c>
      <c r="BY731">
        <v>0</v>
      </c>
      <c r="BZ731">
        <v>2</v>
      </c>
      <c r="CA731">
        <v>100</v>
      </c>
      <c r="CB731">
        <v>0</v>
      </c>
      <c r="CC731">
        <v>0</v>
      </c>
      <c r="CD731">
        <v>0</v>
      </c>
      <c r="CE731">
        <v>13</v>
      </c>
      <c r="CF731">
        <v>26.35</v>
      </c>
      <c r="CG731">
        <v>0</v>
      </c>
      <c r="CH731">
        <v>0</v>
      </c>
      <c r="CI731">
        <v>3</v>
      </c>
      <c r="CJ731">
        <v>3</v>
      </c>
      <c r="CK731">
        <v>0</v>
      </c>
      <c r="CL731">
        <v>0</v>
      </c>
      <c r="CM731">
        <v>1.9260000000000002</v>
      </c>
      <c r="CN731">
        <v>0</v>
      </c>
      <c r="CO731">
        <v>0</v>
      </c>
      <c r="CP731">
        <v>0</v>
      </c>
      <c r="CQ731">
        <v>0</v>
      </c>
      <c r="CR731">
        <v>0</v>
      </c>
      <c r="CS731">
        <v>0</v>
      </c>
      <c r="CT731">
        <v>0</v>
      </c>
      <c r="CU731">
        <v>0</v>
      </c>
      <c r="CV731">
        <v>7.23</v>
      </c>
      <c r="CW731">
        <v>3.3149999999999999</v>
      </c>
      <c r="CX731">
        <v>0</v>
      </c>
      <c r="CY731" s="2043">
        <v>301008</v>
      </c>
      <c r="CZ731" s="2043">
        <v>0</v>
      </c>
      <c r="DA731" s="2043">
        <v>0</v>
      </c>
      <c r="DB731" s="2043">
        <v>0</v>
      </c>
      <c r="DC731" s="2043">
        <v>0</v>
      </c>
      <c r="DI731" t="s">
        <v>5835</v>
      </c>
      <c r="DJ731" t="s">
        <v>5835</v>
      </c>
      <c r="DK731" s="2042">
        <f t="shared" si="13"/>
        <v>0</v>
      </c>
    </row>
    <row r="732" spans="1:115">
      <c r="A732" t="s">
        <v>3102</v>
      </c>
      <c r="B732" t="s">
        <v>1910</v>
      </c>
      <c r="C732">
        <v>3400.4630000000002</v>
      </c>
      <c r="D732">
        <v>3658.7170000000001</v>
      </c>
      <c r="E732">
        <v>346.08199999999999</v>
      </c>
      <c r="F732">
        <v>0</v>
      </c>
      <c r="G732" s="2043">
        <v>1220467709</v>
      </c>
      <c r="H732">
        <v>0</v>
      </c>
      <c r="I732" s="2043">
        <v>3189095</v>
      </c>
      <c r="J732">
        <v>170.023</v>
      </c>
      <c r="K732">
        <v>465</v>
      </c>
      <c r="L732">
        <v>0</v>
      </c>
      <c r="M732">
        <v>484626</v>
      </c>
      <c r="N732">
        <v>0</v>
      </c>
      <c r="O732">
        <v>484626</v>
      </c>
      <c r="P732">
        <v>0</v>
      </c>
      <c r="Q732">
        <v>0</v>
      </c>
      <c r="R732" s="2043">
        <v>9847042</v>
      </c>
      <c r="S732">
        <v>922764</v>
      </c>
      <c r="T732">
        <v>672464</v>
      </c>
      <c r="U732">
        <v>0.08</v>
      </c>
      <c r="V732">
        <v>0</v>
      </c>
      <c r="W732">
        <v>0</v>
      </c>
      <c r="X732">
        <v>0</v>
      </c>
      <c r="Y732">
        <v>0</v>
      </c>
      <c r="Z732">
        <v>0</v>
      </c>
      <c r="AA732">
        <v>0.42500000000000004</v>
      </c>
      <c r="AB732">
        <v>3352.7570000000001</v>
      </c>
      <c r="AC732" s="2043">
        <v>838686828</v>
      </c>
      <c r="AD732">
        <v>2991049</v>
      </c>
      <c r="AE732" s="2043">
        <v>11442270</v>
      </c>
      <c r="AF732">
        <v>0.99199999999999999</v>
      </c>
      <c r="AG732">
        <v>0</v>
      </c>
      <c r="AH732">
        <v>0</v>
      </c>
      <c r="AI732">
        <v>0</v>
      </c>
      <c r="AJ732">
        <v>775.55000000000007</v>
      </c>
      <c r="AK732">
        <v>12260</v>
      </c>
      <c r="AL732">
        <v>0</v>
      </c>
      <c r="AM732">
        <v>0</v>
      </c>
      <c r="AN732">
        <v>66.427999999999997</v>
      </c>
      <c r="AO732">
        <v>0</v>
      </c>
      <c r="AP732">
        <v>0</v>
      </c>
      <c r="AQ732">
        <v>0.73</v>
      </c>
      <c r="AR732">
        <v>96.89800000000001</v>
      </c>
      <c r="AS732">
        <v>0</v>
      </c>
      <c r="AT732">
        <v>36.362000000000002</v>
      </c>
      <c r="AU732">
        <v>7.2080000000000002</v>
      </c>
      <c r="AV732">
        <v>0</v>
      </c>
      <c r="AW732">
        <v>141.47999999999999</v>
      </c>
      <c r="AX732">
        <v>0.28200000000000003</v>
      </c>
      <c r="AY732">
        <v>436.46899999999999</v>
      </c>
      <c r="AZ732">
        <v>0</v>
      </c>
      <c r="BA732">
        <v>24696123</v>
      </c>
      <c r="BB732">
        <v>14433319</v>
      </c>
      <c r="BC732">
        <v>0</v>
      </c>
      <c r="BD732">
        <v>190960</v>
      </c>
      <c r="BE732">
        <v>19460</v>
      </c>
      <c r="BF732">
        <v>229633</v>
      </c>
      <c r="BG732">
        <v>190960</v>
      </c>
      <c r="BH732">
        <v>19213</v>
      </c>
      <c r="BI732">
        <v>0</v>
      </c>
      <c r="BJ732">
        <v>0</v>
      </c>
      <c r="BK732">
        <v>0</v>
      </c>
      <c r="BL732">
        <v>1220467709</v>
      </c>
      <c r="BM732">
        <v>0</v>
      </c>
      <c r="BN732">
        <v>11349</v>
      </c>
      <c r="BO732">
        <v>7330</v>
      </c>
      <c r="BP732">
        <v>0</v>
      </c>
      <c r="BQ732">
        <v>0</v>
      </c>
      <c r="BR732">
        <v>0.85370000000000001</v>
      </c>
      <c r="BS732">
        <v>0.85370000000000001</v>
      </c>
      <c r="BT732">
        <v>0</v>
      </c>
      <c r="BU732">
        <v>0</v>
      </c>
      <c r="BV732">
        <v>260</v>
      </c>
      <c r="BW732">
        <v>442</v>
      </c>
      <c r="BX732">
        <v>109</v>
      </c>
      <c r="BY732">
        <v>1020</v>
      </c>
      <c r="BZ732">
        <v>1153</v>
      </c>
      <c r="CA732">
        <v>2984</v>
      </c>
      <c r="CB732">
        <v>0</v>
      </c>
      <c r="CC732">
        <v>47.477000000000004</v>
      </c>
      <c r="CD732">
        <v>0</v>
      </c>
      <c r="CE732">
        <v>154</v>
      </c>
      <c r="CF732">
        <v>1017.653</v>
      </c>
      <c r="CG732">
        <v>34.316000000000003</v>
      </c>
      <c r="CH732">
        <v>0.79700000000000004</v>
      </c>
      <c r="CI732">
        <v>0</v>
      </c>
      <c r="CJ732">
        <v>9</v>
      </c>
      <c r="CK732">
        <v>1</v>
      </c>
      <c r="CL732">
        <v>35.113</v>
      </c>
      <c r="CM732">
        <v>346.08199999999999</v>
      </c>
      <c r="CN732">
        <v>0</v>
      </c>
      <c r="CO732">
        <v>0</v>
      </c>
      <c r="CP732">
        <v>0</v>
      </c>
      <c r="CQ732">
        <v>0</v>
      </c>
      <c r="CR732">
        <v>0</v>
      </c>
      <c r="CS732">
        <v>0</v>
      </c>
      <c r="CT732">
        <v>0</v>
      </c>
      <c r="CU732">
        <v>7.7010000000000005</v>
      </c>
      <c r="CV732">
        <v>148.17700000000002</v>
      </c>
      <c r="CW732">
        <v>83.299000000000007</v>
      </c>
      <c r="CX732">
        <v>0</v>
      </c>
      <c r="CY732" s="2043">
        <v>0</v>
      </c>
      <c r="CZ732" s="2043">
        <v>0</v>
      </c>
      <c r="DA732" s="2043">
        <v>0</v>
      </c>
      <c r="DB732" s="2043">
        <v>0</v>
      </c>
      <c r="DC732" s="2043">
        <v>231361</v>
      </c>
      <c r="DI732" t="s">
        <v>5135</v>
      </c>
      <c r="DJ732" t="s">
        <v>3102</v>
      </c>
      <c r="DK732" s="2042">
        <f t="shared" si="13"/>
        <v>-4</v>
      </c>
    </row>
    <row r="733" spans="1:115">
      <c r="A733" t="s">
        <v>5135</v>
      </c>
      <c r="B733" t="s">
        <v>230</v>
      </c>
      <c r="C733">
        <v>1060.5309999999999</v>
      </c>
      <c r="D733">
        <v>992.64800000000002</v>
      </c>
      <c r="E733">
        <v>60.172000000000004</v>
      </c>
      <c r="F733">
        <v>0</v>
      </c>
      <c r="G733" s="2043">
        <v>1129645062</v>
      </c>
      <c r="H733">
        <v>0</v>
      </c>
      <c r="I733" s="2043">
        <v>1891700</v>
      </c>
      <c r="J733">
        <v>53.027000000000001</v>
      </c>
      <c r="K733">
        <v>145</v>
      </c>
      <c r="L733">
        <v>0</v>
      </c>
      <c r="M733">
        <v>0</v>
      </c>
      <c r="N733">
        <v>0</v>
      </c>
      <c r="O733">
        <v>0</v>
      </c>
      <c r="P733">
        <v>0</v>
      </c>
      <c r="Q733">
        <v>0</v>
      </c>
      <c r="R733" s="2043">
        <v>10243420</v>
      </c>
      <c r="S733">
        <v>560730</v>
      </c>
      <c r="T733">
        <v>0</v>
      </c>
      <c r="U733">
        <v>0.05</v>
      </c>
      <c r="V733">
        <v>0</v>
      </c>
      <c r="W733">
        <v>50501</v>
      </c>
      <c r="X733">
        <v>0</v>
      </c>
      <c r="Y733">
        <v>252875</v>
      </c>
      <c r="Z733">
        <v>0</v>
      </c>
      <c r="AA733">
        <v>0</v>
      </c>
      <c r="AB733">
        <v>992.64800000000002</v>
      </c>
      <c r="AC733" s="2043">
        <v>1059875362</v>
      </c>
      <c r="AD733">
        <v>2020710</v>
      </c>
      <c r="AE733" s="2043">
        <v>10804150</v>
      </c>
      <c r="AF733">
        <v>0.96340000000000003</v>
      </c>
      <c r="AG733">
        <v>0</v>
      </c>
      <c r="AH733">
        <v>50501</v>
      </c>
      <c r="AI733">
        <v>0</v>
      </c>
      <c r="AJ733">
        <v>125.738</v>
      </c>
      <c r="AK733">
        <v>4256</v>
      </c>
      <c r="AL733">
        <v>0</v>
      </c>
      <c r="AM733">
        <v>0</v>
      </c>
      <c r="AN733">
        <v>10.876000000000001</v>
      </c>
      <c r="AO733">
        <v>0</v>
      </c>
      <c r="AP733">
        <v>10.716000000000001</v>
      </c>
      <c r="AQ733">
        <v>0</v>
      </c>
      <c r="AR733">
        <v>30.708000000000002</v>
      </c>
      <c r="AS733">
        <v>0</v>
      </c>
      <c r="AT733">
        <v>0.42100000000000004</v>
      </c>
      <c r="AU733">
        <v>2.4530000000000003</v>
      </c>
      <c r="AV733">
        <v>0</v>
      </c>
      <c r="AW733">
        <v>44.298000000000002</v>
      </c>
      <c r="AX733">
        <v>0</v>
      </c>
      <c r="AY733">
        <v>134.58500000000001</v>
      </c>
      <c r="AZ733">
        <v>0</v>
      </c>
      <c r="BA733">
        <v>1048434</v>
      </c>
      <c r="BB733">
        <v>12824860</v>
      </c>
      <c r="BC733">
        <v>0</v>
      </c>
      <c r="BD733">
        <v>142636</v>
      </c>
      <c r="BE733">
        <v>0</v>
      </c>
      <c r="BF733">
        <v>142636</v>
      </c>
      <c r="BG733">
        <v>142636</v>
      </c>
      <c r="BH733">
        <v>0</v>
      </c>
      <c r="BI733">
        <v>0</v>
      </c>
      <c r="BJ733">
        <v>0</v>
      </c>
      <c r="BK733">
        <v>0</v>
      </c>
      <c r="BL733">
        <v>1129645062</v>
      </c>
      <c r="BM733">
        <v>0</v>
      </c>
      <c r="BN733">
        <v>3600</v>
      </c>
      <c r="BO733">
        <v>653</v>
      </c>
      <c r="BP733">
        <v>0</v>
      </c>
      <c r="BQ733">
        <v>0</v>
      </c>
      <c r="BR733">
        <v>0.91339999999999999</v>
      </c>
      <c r="BS733">
        <v>0.91339999999999999</v>
      </c>
      <c r="BT733">
        <v>0</v>
      </c>
      <c r="BU733">
        <v>0</v>
      </c>
      <c r="BV733">
        <v>213</v>
      </c>
      <c r="BW733">
        <v>149</v>
      </c>
      <c r="BX733">
        <v>6</v>
      </c>
      <c r="BY733">
        <v>114</v>
      </c>
      <c r="BZ733">
        <v>40</v>
      </c>
      <c r="CA733">
        <v>522</v>
      </c>
      <c r="CB733">
        <v>0</v>
      </c>
      <c r="CC733">
        <v>0</v>
      </c>
      <c r="CD733">
        <v>0</v>
      </c>
      <c r="CE733">
        <v>185</v>
      </c>
      <c r="CF733">
        <v>185.04900000000001</v>
      </c>
      <c r="CG733">
        <v>0</v>
      </c>
      <c r="CH733">
        <v>0</v>
      </c>
      <c r="CI733">
        <v>0</v>
      </c>
      <c r="CJ733">
        <v>8</v>
      </c>
      <c r="CK733">
        <v>0</v>
      </c>
      <c r="CL733">
        <v>0</v>
      </c>
      <c r="CM733">
        <v>60.172000000000004</v>
      </c>
      <c r="CN733">
        <v>0</v>
      </c>
      <c r="CO733">
        <v>0</v>
      </c>
      <c r="CP733">
        <v>0</v>
      </c>
      <c r="CQ733">
        <v>0</v>
      </c>
      <c r="CR733">
        <v>0</v>
      </c>
      <c r="CS733">
        <v>0</v>
      </c>
      <c r="CT733">
        <v>0</v>
      </c>
      <c r="CU733">
        <v>8.3000000000000007</v>
      </c>
      <c r="CV733">
        <v>52.502000000000002</v>
      </c>
      <c r="CW733">
        <v>49.275000000000006</v>
      </c>
      <c r="CX733">
        <v>0</v>
      </c>
      <c r="CY733" s="2043">
        <v>252875</v>
      </c>
      <c r="CZ733" s="2043">
        <v>0</v>
      </c>
      <c r="DA733" s="2043">
        <v>0</v>
      </c>
      <c r="DB733" s="2043">
        <v>0</v>
      </c>
      <c r="DC733" s="2043">
        <v>0</v>
      </c>
      <c r="DI733" t="s">
        <v>3102</v>
      </c>
      <c r="DJ733" t="s">
        <v>5135</v>
      </c>
      <c r="DK733" s="2042">
        <f t="shared" si="13"/>
        <v>4</v>
      </c>
    </row>
    <row r="734" spans="1:115">
      <c r="A734" t="s">
        <v>5136</v>
      </c>
      <c r="B734" t="s">
        <v>1963</v>
      </c>
      <c r="C734">
        <v>2175.7139999999999</v>
      </c>
      <c r="D734">
        <v>2262.7190000000001</v>
      </c>
      <c r="E734">
        <v>83.478999999999999</v>
      </c>
      <c r="F734">
        <v>0</v>
      </c>
      <c r="G734" s="2043">
        <v>1426690058</v>
      </c>
      <c r="H734">
        <v>0</v>
      </c>
      <c r="I734" s="2043">
        <v>0</v>
      </c>
      <c r="J734">
        <v>108.786</v>
      </c>
      <c r="K734">
        <v>297</v>
      </c>
      <c r="L734">
        <v>0</v>
      </c>
      <c r="M734">
        <v>0</v>
      </c>
      <c r="N734">
        <v>0</v>
      </c>
      <c r="O734">
        <v>0</v>
      </c>
      <c r="P734">
        <v>0</v>
      </c>
      <c r="Q734">
        <v>0</v>
      </c>
      <c r="R734" s="2043">
        <v>12048972</v>
      </c>
      <c r="S734">
        <v>712114</v>
      </c>
      <c r="T734">
        <v>0</v>
      </c>
      <c r="U734">
        <v>0.05</v>
      </c>
      <c r="V734">
        <v>0</v>
      </c>
      <c r="W734">
        <v>0</v>
      </c>
      <c r="X734">
        <v>0</v>
      </c>
      <c r="Y734">
        <v>-7964</v>
      </c>
      <c r="Z734">
        <v>0.96400000000000008</v>
      </c>
      <c r="AA734">
        <v>0.16400000000000001</v>
      </c>
      <c r="AB734">
        <v>2148.71</v>
      </c>
      <c r="AC734" s="2043">
        <v>1295371487</v>
      </c>
      <c r="AD734">
        <v>3497335</v>
      </c>
      <c r="AE734" s="2043">
        <v>12761086</v>
      </c>
      <c r="AF734">
        <v>0.89600000000000002</v>
      </c>
      <c r="AG734">
        <v>0</v>
      </c>
      <c r="AH734">
        <v>0</v>
      </c>
      <c r="AI734">
        <v>0</v>
      </c>
      <c r="AJ734">
        <v>305.7</v>
      </c>
      <c r="AK734">
        <v>9418</v>
      </c>
      <c r="AL734">
        <v>1.0290000000000001</v>
      </c>
      <c r="AM734">
        <v>0</v>
      </c>
      <c r="AN734">
        <v>95.41</v>
      </c>
      <c r="AO734">
        <v>0</v>
      </c>
      <c r="AP734">
        <v>0</v>
      </c>
      <c r="AQ734">
        <v>0.70900000000000007</v>
      </c>
      <c r="AR734">
        <v>45.902000000000001</v>
      </c>
      <c r="AS734">
        <v>0</v>
      </c>
      <c r="AT734">
        <v>32.39</v>
      </c>
      <c r="AU734">
        <v>6.51</v>
      </c>
      <c r="AV734">
        <v>0</v>
      </c>
      <c r="AW734">
        <v>86.593000000000004</v>
      </c>
      <c r="AX734">
        <v>5.3000000000000005E-2</v>
      </c>
      <c r="AY734">
        <v>272.69300000000004</v>
      </c>
      <c r="AZ734">
        <v>0</v>
      </c>
      <c r="BA734">
        <v>8625574</v>
      </c>
      <c r="BB734">
        <v>16258421</v>
      </c>
      <c r="BC734">
        <v>0</v>
      </c>
      <c r="BD734">
        <v>223255</v>
      </c>
      <c r="BE734">
        <v>129113</v>
      </c>
      <c r="BF734">
        <v>352368</v>
      </c>
      <c r="BG734">
        <v>223255</v>
      </c>
      <c r="BH734">
        <v>0</v>
      </c>
      <c r="BI734">
        <v>0</v>
      </c>
      <c r="BJ734">
        <v>-7964</v>
      </c>
      <c r="BK734">
        <v>0</v>
      </c>
      <c r="BL734">
        <v>1426690058</v>
      </c>
      <c r="BM734">
        <v>0</v>
      </c>
      <c r="BN734">
        <v>8505</v>
      </c>
      <c r="BO734">
        <v>2311</v>
      </c>
      <c r="BP734">
        <v>0</v>
      </c>
      <c r="BQ734">
        <v>45000</v>
      </c>
      <c r="BR734">
        <v>0.84600000000000009</v>
      </c>
      <c r="BS734">
        <v>0.84600000000000009</v>
      </c>
      <c r="BT734">
        <v>0</v>
      </c>
      <c r="BU734">
        <v>0</v>
      </c>
      <c r="BV734">
        <v>619</v>
      </c>
      <c r="BW734">
        <v>444</v>
      </c>
      <c r="BX734">
        <v>13</v>
      </c>
      <c r="BY734">
        <v>90</v>
      </c>
      <c r="BZ734">
        <v>124</v>
      </c>
      <c r="CA734">
        <v>1290</v>
      </c>
      <c r="CB734">
        <v>0</v>
      </c>
      <c r="CC734">
        <v>0</v>
      </c>
      <c r="CD734">
        <v>0</v>
      </c>
      <c r="CE734">
        <v>188</v>
      </c>
      <c r="CF734">
        <v>428.74</v>
      </c>
      <c r="CG734">
        <v>0</v>
      </c>
      <c r="CH734">
        <v>2.9430000000000001</v>
      </c>
      <c r="CI734">
        <v>1</v>
      </c>
      <c r="CJ734">
        <v>11</v>
      </c>
      <c r="CK734">
        <v>0</v>
      </c>
      <c r="CL734">
        <v>2.9430000000000001</v>
      </c>
      <c r="CM734">
        <v>83.478999999999999</v>
      </c>
      <c r="CN734">
        <v>0</v>
      </c>
      <c r="CO734">
        <v>0</v>
      </c>
      <c r="CP734">
        <v>0</v>
      </c>
      <c r="CQ734">
        <v>0</v>
      </c>
      <c r="CR734">
        <v>0</v>
      </c>
      <c r="CS734">
        <v>0</v>
      </c>
      <c r="CT734">
        <v>0</v>
      </c>
      <c r="CU734">
        <v>17.358000000000001</v>
      </c>
      <c r="CV734">
        <v>163.602</v>
      </c>
      <c r="CW734">
        <v>85.533000000000001</v>
      </c>
      <c r="CX734">
        <v>0</v>
      </c>
      <c r="CY734" s="2043">
        <v>0</v>
      </c>
      <c r="CZ734" s="2043">
        <v>0</v>
      </c>
      <c r="DA734" s="2043">
        <v>0</v>
      </c>
      <c r="DB734" s="2043">
        <v>0</v>
      </c>
      <c r="DC734" s="2043">
        <v>0</v>
      </c>
      <c r="DI734" t="s">
        <v>5136</v>
      </c>
      <c r="DJ734" t="s">
        <v>5136</v>
      </c>
      <c r="DK734" s="2042">
        <f t="shared" si="13"/>
        <v>0</v>
      </c>
    </row>
    <row r="735" spans="1:115">
      <c r="A735" t="s">
        <v>3103</v>
      </c>
      <c r="B735" t="s">
        <v>2374</v>
      </c>
      <c r="C735">
        <v>1014.1890000000001</v>
      </c>
      <c r="D735">
        <v>1050.6110000000001</v>
      </c>
      <c r="E735">
        <v>30.54</v>
      </c>
      <c r="F735">
        <v>0</v>
      </c>
      <c r="G735" s="2043">
        <v>462084044</v>
      </c>
      <c r="H735">
        <v>0</v>
      </c>
      <c r="I735" s="2043">
        <v>528450</v>
      </c>
      <c r="J735">
        <v>50.709000000000003</v>
      </c>
      <c r="K735">
        <v>139</v>
      </c>
      <c r="L735">
        <v>0</v>
      </c>
      <c r="M735">
        <v>229112</v>
      </c>
      <c r="N735">
        <v>0</v>
      </c>
      <c r="O735">
        <v>229112</v>
      </c>
      <c r="P735">
        <v>0</v>
      </c>
      <c r="Q735">
        <v>0</v>
      </c>
      <c r="R735" s="2043">
        <v>3412973</v>
      </c>
      <c r="S735">
        <v>207602</v>
      </c>
      <c r="T735">
        <v>0</v>
      </c>
      <c r="U735">
        <v>0.05</v>
      </c>
      <c r="V735">
        <v>0</v>
      </c>
      <c r="W735">
        <v>0</v>
      </c>
      <c r="X735">
        <v>0</v>
      </c>
      <c r="Y735">
        <v>0</v>
      </c>
      <c r="Z735">
        <v>0</v>
      </c>
      <c r="AA735">
        <v>3.7999999999999999E-2</v>
      </c>
      <c r="AB735">
        <v>957.97500000000002</v>
      </c>
      <c r="AC735" s="2043">
        <v>235707430</v>
      </c>
      <c r="AD735">
        <v>1286512</v>
      </c>
      <c r="AE735" s="2043">
        <v>3620575</v>
      </c>
      <c r="AF735">
        <v>0.872</v>
      </c>
      <c r="AG735">
        <v>0</v>
      </c>
      <c r="AH735">
        <v>0</v>
      </c>
      <c r="AI735">
        <v>0</v>
      </c>
      <c r="AJ735">
        <v>133.488</v>
      </c>
      <c r="AK735">
        <v>3131</v>
      </c>
      <c r="AL735">
        <v>0</v>
      </c>
      <c r="AM735">
        <v>0</v>
      </c>
      <c r="AN735">
        <v>18.698</v>
      </c>
      <c r="AO735">
        <v>0</v>
      </c>
      <c r="AP735">
        <v>10.947000000000001</v>
      </c>
      <c r="AQ735">
        <v>0</v>
      </c>
      <c r="AR735">
        <v>14.139000000000001</v>
      </c>
      <c r="AS735">
        <v>0</v>
      </c>
      <c r="AT735">
        <v>0.47300000000000003</v>
      </c>
      <c r="AU735">
        <v>2.5350000000000001</v>
      </c>
      <c r="AV735">
        <v>0</v>
      </c>
      <c r="AW735">
        <v>28.094000000000001</v>
      </c>
      <c r="AX735">
        <v>0</v>
      </c>
      <c r="AY735">
        <v>86.067999999999998</v>
      </c>
      <c r="AZ735">
        <v>0</v>
      </c>
      <c r="BA735">
        <v>6910234</v>
      </c>
      <c r="BB735">
        <v>4907087</v>
      </c>
      <c r="BC735">
        <v>0</v>
      </c>
      <c r="BD735">
        <v>131164</v>
      </c>
      <c r="BE735">
        <v>0</v>
      </c>
      <c r="BF735">
        <v>131164</v>
      </c>
      <c r="BG735">
        <v>131164</v>
      </c>
      <c r="BH735">
        <v>0</v>
      </c>
      <c r="BI735">
        <v>0</v>
      </c>
      <c r="BJ735">
        <v>0</v>
      </c>
      <c r="BK735">
        <v>0</v>
      </c>
      <c r="BL735">
        <v>462084044</v>
      </c>
      <c r="BM735">
        <v>0</v>
      </c>
      <c r="BN735">
        <v>3465</v>
      </c>
      <c r="BO735">
        <v>2504</v>
      </c>
      <c r="BP735">
        <v>0</v>
      </c>
      <c r="BQ735">
        <v>0</v>
      </c>
      <c r="BR735">
        <v>0.82200000000000006</v>
      </c>
      <c r="BS735">
        <v>0.82200000000000006</v>
      </c>
      <c r="BT735">
        <v>0</v>
      </c>
      <c r="BU735">
        <v>0</v>
      </c>
      <c r="BV735">
        <v>245</v>
      </c>
      <c r="BW735">
        <v>133</v>
      </c>
      <c r="BX735">
        <v>169</v>
      </c>
      <c r="BY735">
        <v>12</v>
      </c>
      <c r="BZ735">
        <v>5</v>
      </c>
      <c r="CA735">
        <v>564</v>
      </c>
      <c r="CB735">
        <v>0</v>
      </c>
      <c r="CC735">
        <v>0</v>
      </c>
      <c r="CD735">
        <v>0</v>
      </c>
      <c r="CE735">
        <v>124</v>
      </c>
      <c r="CF735">
        <v>191.88200000000001</v>
      </c>
      <c r="CG735">
        <v>0</v>
      </c>
      <c r="CH735">
        <v>0</v>
      </c>
      <c r="CI735">
        <v>3</v>
      </c>
      <c r="CJ735">
        <v>8</v>
      </c>
      <c r="CK735">
        <v>0</v>
      </c>
      <c r="CL735">
        <v>0</v>
      </c>
      <c r="CM735">
        <v>30.54</v>
      </c>
      <c r="CN735">
        <v>0</v>
      </c>
      <c r="CO735">
        <v>0</v>
      </c>
      <c r="CP735">
        <v>0</v>
      </c>
      <c r="CQ735">
        <v>0</v>
      </c>
      <c r="CR735">
        <v>0</v>
      </c>
      <c r="CS735">
        <v>0</v>
      </c>
      <c r="CT735">
        <v>0</v>
      </c>
      <c r="CU735">
        <v>0</v>
      </c>
      <c r="CV735">
        <v>59.418000000000006</v>
      </c>
      <c r="CW735">
        <v>40.124000000000002</v>
      </c>
      <c r="CX735">
        <v>0</v>
      </c>
      <c r="CY735" s="2043">
        <v>0</v>
      </c>
      <c r="CZ735" s="2043">
        <v>0</v>
      </c>
      <c r="DA735" s="2043">
        <v>0</v>
      </c>
      <c r="DB735" s="2043">
        <v>0</v>
      </c>
      <c r="DC735" s="2043">
        <v>0</v>
      </c>
      <c r="DI735" t="s">
        <v>3103</v>
      </c>
      <c r="DJ735" t="s">
        <v>3103</v>
      </c>
      <c r="DK735" s="2042">
        <f t="shared" si="13"/>
        <v>0</v>
      </c>
    </row>
    <row r="736" spans="1:115">
      <c r="A736" t="s">
        <v>5836</v>
      </c>
      <c r="B736" t="s">
        <v>1466</v>
      </c>
      <c r="C736">
        <v>116.30300000000001</v>
      </c>
      <c r="D736">
        <v>121.95800000000001</v>
      </c>
      <c r="E736">
        <v>64.194000000000003</v>
      </c>
      <c r="F736">
        <v>0</v>
      </c>
      <c r="G736" s="2043">
        <v>54392256</v>
      </c>
      <c r="H736">
        <v>0</v>
      </c>
      <c r="I736" s="2043">
        <v>0</v>
      </c>
      <c r="J736">
        <v>5.8150000000000004</v>
      </c>
      <c r="K736">
        <v>16</v>
      </c>
      <c r="L736">
        <v>0</v>
      </c>
      <c r="M736">
        <v>0</v>
      </c>
      <c r="N736">
        <v>0</v>
      </c>
      <c r="O736">
        <v>0</v>
      </c>
      <c r="P736">
        <v>0</v>
      </c>
      <c r="Q736">
        <v>0</v>
      </c>
      <c r="R736" s="2043">
        <v>485039</v>
      </c>
      <c r="S736">
        <v>42482</v>
      </c>
      <c r="T736">
        <v>30959</v>
      </c>
      <c r="U736">
        <v>0.08</v>
      </c>
      <c r="V736">
        <v>0</v>
      </c>
      <c r="W736">
        <v>0</v>
      </c>
      <c r="X736">
        <v>0</v>
      </c>
      <c r="Y736">
        <v>0</v>
      </c>
      <c r="Z736">
        <v>0</v>
      </c>
      <c r="AA736">
        <v>2.5000000000000001E-2</v>
      </c>
      <c r="AB736">
        <v>121.95800000000001</v>
      </c>
      <c r="AC736" s="2043">
        <v>49559089</v>
      </c>
      <c r="AD736">
        <v>0</v>
      </c>
      <c r="AE736" s="2043">
        <v>558480</v>
      </c>
      <c r="AF736">
        <v>1.0517000000000001</v>
      </c>
      <c r="AG736">
        <v>0</v>
      </c>
      <c r="AH736">
        <v>0</v>
      </c>
      <c r="AI736">
        <v>0</v>
      </c>
      <c r="AJ736">
        <v>27.150000000000002</v>
      </c>
      <c r="AK736">
        <v>505</v>
      </c>
      <c r="AL736">
        <v>0</v>
      </c>
      <c r="AM736">
        <v>0</v>
      </c>
      <c r="AN736">
        <v>4.3230000000000004</v>
      </c>
      <c r="AO736">
        <v>0</v>
      </c>
      <c r="AP736">
        <v>0</v>
      </c>
      <c r="AQ736">
        <v>0</v>
      </c>
      <c r="AR736">
        <v>2.6380000000000003</v>
      </c>
      <c r="AS736">
        <v>0</v>
      </c>
      <c r="AT736">
        <v>0</v>
      </c>
      <c r="AU736">
        <v>0.23200000000000001</v>
      </c>
      <c r="AV736">
        <v>0</v>
      </c>
      <c r="AW736">
        <v>2.87</v>
      </c>
      <c r="AX736">
        <v>0</v>
      </c>
      <c r="AY736">
        <v>9.0739999999999998</v>
      </c>
      <c r="AZ736">
        <v>0</v>
      </c>
      <c r="BA736">
        <v>1586424</v>
      </c>
      <c r="BB736">
        <v>558480</v>
      </c>
      <c r="BC736">
        <v>0</v>
      </c>
      <c r="BD736">
        <v>680</v>
      </c>
      <c r="BE736">
        <v>0</v>
      </c>
      <c r="BF736">
        <v>680</v>
      </c>
      <c r="BG736">
        <v>680</v>
      </c>
      <c r="BH736">
        <v>0</v>
      </c>
      <c r="BI736">
        <v>0</v>
      </c>
      <c r="BJ736">
        <v>0</v>
      </c>
      <c r="BK736">
        <v>0</v>
      </c>
      <c r="BL736">
        <v>54392256</v>
      </c>
      <c r="BM736">
        <v>0</v>
      </c>
      <c r="BN736">
        <v>450</v>
      </c>
      <c r="BO736">
        <v>364</v>
      </c>
      <c r="BP736">
        <v>0</v>
      </c>
      <c r="BQ736">
        <v>0</v>
      </c>
      <c r="BR736">
        <v>0.91339999999999999</v>
      </c>
      <c r="BS736">
        <v>0.91339999999999999</v>
      </c>
      <c r="BT736">
        <v>0</v>
      </c>
      <c r="BU736">
        <v>0</v>
      </c>
      <c r="BV736">
        <v>1</v>
      </c>
      <c r="BW736">
        <v>106</v>
      </c>
      <c r="BX736">
        <v>7</v>
      </c>
      <c r="BY736">
        <v>0</v>
      </c>
      <c r="BZ736">
        <v>0</v>
      </c>
      <c r="CA736">
        <v>114</v>
      </c>
      <c r="CB736">
        <v>0</v>
      </c>
      <c r="CC736">
        <v>0</v>
      </c>
      <c r="CD736">
        <v>0</v>
      </c>
      <c r="CE736">
        <v>4</v>
      </c>
      <c r="CF736">
        <v>63.396000000000001</v>
      </c>
      <c r="CG736">
        <v>0</v>
      </c>
      <c r="CH736">
        <v>0</v>
      </c>
      <c r="CI736">
        <v>1</v>
      </c>
      <c r="CJ736">
        <v>0</v>
      </c>
      <c r="CK736">
        <v>0</v>
      </c>
      <c r="CL736">
        <v>0</v>
      </c>
      <c r="CM736">
        <v>64.194000000000003</v>
      </c>
      <c r="CN736">
        <v>0</v>
      </c>
      <c r="CO736">
        <v>0</v>
      </c>
      <c r="CP736">
        <v>0</v>
      </c>
      <c r="CQ736">
        <v>0</v>
      </c>
      <c r="CR736">
        <v>0</v>
      </c>
      <c r="CS736">
        <v>0</v>
      </c>
      <c r="CT736">
        <v>0</v>
      </c>
      <c r="CU736">
        <v>1.9720000000000002</v>
      </c>
      <c r="CV736">
        <v>6.8220000000000001</v>
      </c>
      <c r="CW736">
        <v>4.78</v>
      </c>
      <c r="CX736">
        <v>0</v>
      </c>
      <c r="CY736" s="2043">
        <v>0</v>
      </c>
      <c r="CZ736" s="2043">
        <v>0</v>
      </c>
      <c r="DA736" s="2043">
        <v>0</v>
      </c>
      <c r="DB736" s="2043">
        <v>0</v>
      </c>
      <c r="DC736" s="2043">
        <v>0</v>
      </c>
      <c r="DI736" t="s">
        <v>5836</v>
      </c>
      <c r="DJ736" t="s">
        <v>5836</v>
      </c>
      <c r="DK736" s="2042">
        <f t="shared" si="13"/>
        <v>0</v>
      </c>
    </row>
    <row r="737" spans="1:115">
      <c r="A737" t="s">
        <v>5837</v>
      </c>
      <c r="B737" t="s">
        <v>1467</v>
      </c>
      <c r="C737">
        <v>1126.376</v>
      </c>
      <c r="D737">
        <v>1150.144</v>
      </c>
      <c r="E737">
        <v>98.171000000000006</v>
      </c>
      <c r="F737">
        <v>0</v>
      </c>
      <c r="G737" s="2043">
        <v>295121505</v>
      </c>
      <c r="H737">
        <v>0</v>
      </c>
      <c r="I737" s="2043">
        <v>0</v>
      </c>
      <c r="J737">
        <v>56.319000000000003</v>
      </c>
      <c r="K737">
        <v>154</v>
      </c>
      <c r="L737">
        <v>0</v>
      </c>
      <c r="M737">
        <v>0</v>
      </c>
      <c r="N737">
        <v>0</v>
      </c>
      <c r="O737">
        <v>0</v>
      </c>
      <c r="P737">
        <v>0</v>
      </c>
      <c r="Q737">
        <v>0</v>
      </c>
      <c r="R737" s="2043">
        <v>2238561</v>
      </c>
      <c r="S737">
        <v>128816</v>
      </c>
      <c r="T737">
        <v>0</v>
      </c>
      <c r="U737">
        <v>0.05</v>
      </c>
      <c r="V737">
        <v>0</v>
      </c>
      <c r="W737">
        <v>0</v>
      </c>
      <c r="X737">
        <v>0</v>
      </c>
      <c r="Y737">
        <v>0</v>
      </c>
      <c r="Z737">
        <v>0</v>
      </c>
      <c r="AA737">
        <v>0.44500000000000001</v>
      </c>
      <c r="AB737">
        <v>1164.4260000000002</v>
      </c>
      <c r="AC737" s="2043">
        <v>269909756</v>
      </c>
      <c r="AD737">
        <v>0</v>
      </c>
      <c r="AE737" s="2043">
        <v>2367377</v>
      </c>
      <c r="AF737">
        <v>0.91890000000000005</v>
      </c>
      <c r="AG737">
        <v>0</v>
      </c>
      <c r="AH737">
        <v>0</v>
      </c>
      <c r="AI737">
        <v>0</v>
      </c>
      <c r="AJ737">
        <v>237.613</v>
      </c>
      <c r="AK737">
        <v>5172</v>
      </c>
      <c r="AL737">
        <v>0.02</v>
      </c>
      <c r="AM737">
        <v>0</v>
      </c>
      <c r="AN737">
        <v>26.52</v>
      </c>
      <c r="AO737">
        <v>0</v>
      </c>
      <c r="AP737">
        <v>0</v>
      </c>
      <c r="AQ737">
        <v>0</v>
      </c>
      <c r="AR737">
        <v>30.873000000000001</v>
      </c>
      <c r="AS737">
        <v>0</v>
      </c>
      <c r="AT737">
        <v>16.413</v>
      </c>
      <c r="AU737">
        <v>1.7950000000000002</v>
      </c>
      <c r="AV737">
        <v>0</v>
      </c>
      <c r="AW737">
        <v>49.100999999999999</v>
      </c>
      <c r="AX737">
        <v>0</v>
      </c>
      <c r="AY737">
        <v>150.93300000000002</v>
      </c>
      <c r="AZ737">
        <v>0</v>
      </c>
      <c r="BA737">
        <v>10095637</v>
      </c>
      <c r="BB737">
        <v>2367377</v>
      </c>
      <c r="BC737">
        <v>0</v>
      </c>
      <c r="BD737">
        <v>33471</v>
      </c>
      <c r="BE737">
        <v>3291</v>
      </c>
      <c r="BF737">
        <v>36762</v>
      </c>
      <c r="BG737">
        <v>33471</v>
      </c>
      <c r="BH737">
        <v>0</v>
      </c>
      <c r="BI737">
        <v>0</v>
      </c>
      <c r="BJ737">
        <v>0</v>
      </c>
      <c r="BK737">
        <v>0</v>
      </c>
      <c r="BL737">
        <v>295121505</v>
      </c>
      <c r="BM737">
        <v>0</v>
      </c>
      <c r="BN737">
        <v>3672</v>
      </c>
      <c r="BO737">
        <v>3595</v>
      </c>
      <c r="BP737">
        <v>0</v>
      </c>
      <c r="BQ737">
        <v>0</v>
      </c>
      <c r="BR737">
        <v>0.86890000000000001</v>
      </c>
      <c r="BS737">
        <v>0.86890000000000001</v>
      </c>
      <c r="BT737">
        <v>0</v>
      </c>
      <c r="BU737">
        <v>0</v>
      </c>
      <c r="BV737">
        <v>46</v>
      </c>
      <c r="BW737">
        <v>8</v>
      </c>
      <c r="BX737">
        <v>510</v>
      </c>
      <c r="BY737">
        <v>179</v>
      </c>
      <c r="BZ737">
        <v>185</v>
      </c>
      <c r="CA737">
        <v>928</v>
      </c>
      <c r="CB737">
        <v>0</v>
      </c>
      <c r="CC737">
        <v>0</v>
      </c>
      <c r="CD737">
        <v>0</v>
      </c>
      <c r="CE737">
        <v>80</v>
      </c>
      <c r="CF737">
        <v>295.51800000000003</v>
      </c>
      <c r="CG737">
        <v>0</v>
      </c>
      <c r="CH737">
        <v>0</v>
      </c>
      <c r="CI737">
        <v>2</v>
      </c>
      <c r="CJ737">
        <v>3</v>
      </c>
      <c r="CK737">
        <v>1</v>
      </c>
      <c r="CL737">
        <v>0</v>
      </c>
      <c r="CM737">
        <v>98.171000000000006</v>
      </c>
      <c r="CN737">
        <v>0</v>
      </c>
      <c r="CO737">
        <v>0</v>
      </c>
      <c r="CP737">
        <v>0</v>
      </c>
      <c r="CQ737">
        <v>0</v>
      </c>
      <c r="CR737">
        <v>0</v>
      </c>
      <c r="CS737">
        <v>0</v>
      </c>
      <c r="CT737">
        <v>0</v>
      </c>
      <c r="CU737">
        <v>3.13</v>
      </c>
      <c r="CV737">
        <v>70.070999999999998</v>
      </c>
      <c r="CW737">
        <v>50.963000000000001</v>
      </c>
      <c r="CX737">
        <v>0</v>
      </c>
      <c r="CY737" s="2043">
        <v>0</v>
      </c>
      <c r="CZ737" s="2043">
        <v>0</v>
      </c>
      <c r="DA737" s="2043">
        <v>0</v>
      </c>
      <c r="DB737" s="2043">
        <v>0</v>
      </c>
      <c r="DC737" s="2043">
        <v>0</v>
      </c>
      <c r="DI737" t="s">
        <v>5837</v>
      </c>
      <c r="DJ737" t="s">
        <v>5837</v>
      </c>
      <c r="DK737" s="2042">
        <f t="shared" si="13"/>
        <v>0</v>
      </c>
    </row>
    <row r="738" spans="1:115">
      <c r="A738" t="s">
        <v>4347</v>
      </c>
      <c r="B738" t="s">
        <v>1327</v>
      </c>
      <c r="C738">
        <v>544.34</v>
      </c>
      <c r="D738">
        <v>542.69400000000007</v>
      </c>
      <c r="E738">
        <v>95.01700000000001</v>
      </c>
      <c r="F738">
        <v>0</v>
      </c>
      <c r="G738" s="2043">
        <v>152345976</v>
      </c>
      <c r="H738">
        <v>0</v>
      </c>
      <c r="I738" s="2043">
        <v>0</v>
      </c>
      <c r="J738">
        <v>27.217000000000002</v>
      </c>
      <c r="K738">
        <v>74</v>
      </c>
      <c r="L738">
        <v>0</v>
      </c>
      <c r="M738">
        <v>0</v>
      </c>
      <c r="N738">
        <v>0</v>
      </c>
      <c r="O738">
        <v>0</v>
      </c>
      <c r="P738">
        <v>0</v>
      </c>
      <c r="Q738">
        <v>0</v>
      </c>
      <c r="R738" s="2043">
        <v>1285889</v>
      </c>
      <c r="S738">
        <v>120191</v>
      </c>
      <c r="T738">
        <v>38911</v>
      </c>
      <c r="U738">
        <v>0.08</v>
      </c>
      <c r="V738">
        <v>0</v>
      </c>
      <c r="W738">
        <v>0</v>
      </c>
      <c r="X738">
        <v>0</v>
      </c>
      <c r="Y738">
        <v>0</v>
      </c>
      <c r="Z738">
        <v>0</v>
      </c>
      <c r="AA738">
        <v>0</v>
      </c>
      <c r="AB738">
        <v>544.44299999999998</v>
      </c>
      <c r="AC738" s="2043">
        <v>146226754</v>
      </c>
      <c r="AD738">
        <v>0</v>
      </c>
      <c r="AE738" s="2043">
        <v>1444991</v>
      </c>
      <c r="AF738">
        <v>0.9618000000000001</v>
      </c>
      <c r="AG738">
        <v>0</v>
      </c>
      <c r="AH738">
        <v>0</v>
      </c>
      <c r="AI738">
        <v>0</v>
      </c>
      <c r="AJ738">
        <v>93.638000000000005</v>
      </c>
      <c r="AK738">
        <v>3167</v>
      </c>
      <c r="AL738">
        <v>0</v>
      </c>
      <c r="AM738">
        <v>0</v>
      </c>
      <c r="AN738">
        <v>0.998</v>
      </c>
      <c r="AO738">
        <v>0</v>
      </c>
      <c r="AP738">
        <v>0</v>
      </c>
      <c r="AQ738">
        <v>0</v>
      </c>
      <c r="AR738">
        <v>25.068000000000001</v>
      </c>
      <c r="AS738">
        <v>0</v>
      </c>
      <c r="AT738">
        <v>4.9870000000000001</v>
      </c>
      <c r="AU738">
        <v>0.9860000000000001</v>
      </c>
      <c r="AV738">
        <v>0</v>
      </c>
      <c r="AW738">
        <v>31.041</v>
      </c>
      <c r="AX738">
        <v>0</v>
      </c>
      <c r="AY738">
        <v>95.094999999999999</v>
      </c>
      <c r="AZ738">
        <v>0</v>
      </c>
      <c r="BA738">
        <v>5928305</v>
      </c>
      <c r="BB738">
        <v>1444991</v>
      </c>
      <c r="BC738">
        <v>0</v>
      </c>
      <c r="BD738">
        <v>51014</v>
      </c>
      <c r="BE738">
        <v>0</v>
      </c>
      <c r="BF738">
        <v>51014</v>
      </c>
      <c r="BG738">
        <v>51014</v>
      </c>
      <c r="BH738">
        <v>0</v>
      </c>
      <c r="BI738">
        <v>0</v>
      </c>
      <c r="BJ738">
        <v>0</v>
      </c>
      <c r="BK738">
        <v>0</v>
      </c>
      <c r="BL738">
        <v>152345976</v>
      </c>
      <c r="BM738">
        <v>0</v>
      </c>
      <c r="BN738">
        <v>1953</v>
      </c>
      <c r="BO738">
        <v>1733</v>
      </c>
      <c r="BP738">
        <v>0</v>
      </c>
      <c r="BQ738">
        <v>0</v>
      </c>
      <c r="BR738">
        <v>0.85589999999999999</v>
      </c>
      <c r="BS738">
        <v>0.85589999999999999</v>
      </c>
      <c r="BT738">
        <v>0</v>
      </c>
      <c r="BU738">
        <v>0</v>
      </c>
      <c r="BV738">
        <v>8</v>
      </c>
      <c r="BW738">
        <v>6</v>
      </c>
      <c r="BX738">
        <v>351</v>
      </c>
      <c r="BY738">
        <v>7</v>
      </c>
      <c r="BZ738">
        <v>3</v>
      </c>
      <c r="CA738">
        <v>375</v>
      </c>
      <c r="CB738">
        <v>0</v>
      </c>
      <c r="CC738">
        <v>0</v>
      </c>
      <c r="CD738">
        <v>0</v>
      </c>
      <c r="CE738">
        <v>20</v>
      </c>
      <c r="CF738">
        <v>135.9</v>
      </c>
      <c r="CG738">
        <v>0</v>
      </c>
      <c r="CH738">
        <v>0</v>
      </c>
      <c r="CI738">
        <v>7</v>
      </c>
      <c r="CJ738">
        <v>6</v>
      </c>
      <c r="CK738">
        <v>0</v>
      </c>
      <c r="CL738">
        <v>0</v>
      </c>
      <c r="CM738">
        <v>95.01700000000001</v>
      </c>
      <c r="CN738">
        <v>0</v>
      </c>
      <c r="CO738">
        <v>0</v>
      </c>
      <c r="CP738">
        <v>0</v>
      </c>
      <c r="CQ738">
        <v>0</v>
      </c>
      <c r="CR738">
        <v>0</v>
      </c>
      <c r="CS738">
        <v>0</v>
      </c>
      <c r="CT738">
        <v>0</v>
      </c>
      <c r="CU738">
        <v>0</v>
      </c>
      <c r="CV738">
        <v>29.732000000000003</v>
      </c>
      <c r="CW738">
        <v>16.475000000000001</v>
      </c>
      <c r="CX738">
        <v>0</v>
      </c>
      <c r="CY738" s="2043">
        <v>0</v>
      </c>
      <c r="CZ738" s="2043">
        <v>0</v>
      </c>
      <c r="DA738" s="2043">
        <v>0</v>
      </c>
      <c r="DB738" s="2043">
        <v>0</v>
      </c>
      <c r="DC738" s="2043">
        <v>0</v>
      </c>
      <c r="DI738" t="s">
        <v>4347</v>
      </c>
      <c r="DJ738" t="s">
        <v>4347</v>
      </c>
      <c r="DK738" s="2042">
        <f t="shared" si="13"/>
        <v>0</v>
      </c>
    </row>
    <row r="739" spans="1:115">
      <c r="A739" t="s">
        <v>5838</v>
      </c>
      <c r="B739" t="s">
        <v>2138</v>
      </c>
      <c r="C739">
        <v>274.34200000000004</v>
      </c>
      <c r="D739">
        <v>289.44200000000001</v>
      </c>
      <c r="E739">
        <v>59.982000000000006</v>
      </c>
      <c r="F739">
        <v>0</v>
      </c>
      <c r="G739" s="2043">
        <v>86604746</v>
      </c>
      <c r="H739">
        <v>0</v>
      </c>
      <c r="I739" s="2043">
        <v>0</v>
      </c>
      <c r="J739">
        <v>13.717000000000001</v>
      </c>
      <c r="K739">
        <v>38</v>
      </c>
      <c r="L739">
        <v>0</v>
      </c>
      <c r="M739">
        <v>0</v>
      </c>
      <c r="N739">
        <v>0</v>
      </c>
      <c r="O739">
        <v>0</v>
      </c>
      <c r="P739">
        <v>0</v>
      </c>
      <c r="Q739">
        <v>0</v>
      </c>
      <c r="R739" s="2043">
        <v>839761</v>
      </c>
      <c r="S739">
        <v>76507</v>
      </c>
      <c r="T739">
        <v>55755</v>
      </c>
      <c r="U739">
        <v>0.08</v>
      </c>
      <c r="V739">
        <v>0</v>
      </c>
      <c r="W739">
        <v>0</v>
      </c>
      <c r="X739">
        <v>0</v>
      </c>
      <c r="Y739">
        <v>0</v>
      </c>
      <c r="Z739">
        <v>0</v>
      </c>
      <c r="AA739">
        <v>6.9000000000000006E-2</v>
      </c>
      <c r="AB739">
        <v>270.07</v>
      </c>
      <c r="AC739" s="2043">
        <v>86438759</v>
      </c>
      <c r="AD739">
        <v>0</v>
      </c>
      <c r="AE739" s="2043">
        <v>972023</v>
      </c>
      <c r="AF739">
        <v>1.0164</v>
      </c>
      <c r="AG739">
        <v>0</v>
      </c>
      <c r="AH739">
        <v>0</v>
      </c>
      <c r="AI739">
        <v>0</v>
      </c>
      <c r="AJ739">
        <v>50.913000000000004</v>
      </c>
      <c r="AK739">
        <v>1283</v>
      </c>
      <c r="AL739">
        <v>0</v>
      </c>
      <c r="AM739">
        <v>0</v>
      </c>
      <c r="AN739">
        <v>2.944</v>
      </c>
      <c r="AO739">
        <v>0</v>
      </c>
      <c r="AP739">
        <v>1.3180000000000001</v>
      </c>
      <c r="AQ739">
        <v>0</v>
      </c>
      <c r="AR739">
        <v>7.782</v>
      </c>
      <c r="AS739">
        <v>0</v>
      </c>
      <c r="AT739">
        <v>1.5710000000000002</v>
      </c>
      <c r="AU739">
        <v>0.314</v>
      </c>
      <c r="AV739">
        <v>0</v>
      </c>
      <c r="AW739">
        <v>10.985000000000001</v>
      </c>
      <c r="AX739">
        <v>0</v>
      </c>
      <c r="AY739">
        <v>33.188000000000002</v>
      </c>
      <c r="AZ739">
        <v>0</v>
      </c>
      <c r="BA739">
        <v>3214793</v>
      </c>
      <c r="BB739">
        <v>972023</v>
      </c>
      <c r="BC739">
        <v>0</v>
      </c>
      <c r="BD739">
        <v>28728</v>
      </c>
      <c r="BE739">
        <v>20135</v>
      </c>
      <c r="BF739">
        <v>59148</v>
      </c>
      <c r="BG739">
        <v>28728</v>
      </c>
      <c r="BH739">
        <v>10285</v>
      </c>
      <c r="BI739">
        <v>0</v>
      </c>
      <c r="BJ739">
        <v>0</v>
      </c>
      <c r="BK739">
        <v>0</v>
      </c>
      <c r="BL739">
        <v>86604746</v>
      </c>
      <c r="BM739">
        <v>0</v>
      </c>
      <c r="BN739">
        <v>990</v>
      </c>
      <c r="BO739">
        <v>910</v>
      </c>
      <c r="BP739">
        <v>0</v>
      </c>
      <c r="BQ739">
        <v>0</v>
      </c>
      <c r="BR739">
        <v>0.87809999999999999</v>
      </c>
      <c r="BS739">
        <v>0.87809999999999999</v>
      </c>
      <c r="BT739">
        <v>0</v>
      </c>
      <c r="BU739">
        <v>0</v>
      </c>
      <c r="BV739">
        <v>41</v>
      </c>
      <c r="BW739">
        <v>17</v>
      </c>
      <c r="BX739">
        <v>144</v>
      </c>
      <c r="BY739">
        <v>0</v>
      </c>
      <c r="BZ739">
        <v>6</v>
      </c>
      <c r="CA739">
        <v>208</v>
      </c>
      <c r="CB739">
        <v>0</v>
      </c>
      <c r="CC739">
        <v>0</v>
      </c>
      <c r="CD739">
        <v>0</v>
      </c>
      <c r="CE739">
        <v>14</v>
      </c>
      <c r="CF739">
        <v>79.548000000000002</v>
      </c>
      <c r="CG739">
        <v>0</v>
      </c>
      <c r="CH739">
        <v>0</v>
      </c>
      <c r="CI739">
        <v>1</v>
      </c>
      <c r="CJ739">
        <v>1</v>
      </c>
      <c r="CK739">
        <v>0</v>
      </c>
      <c r="CL739">
        <v>0</v>
      </c>
      <c r="CM739">
        <v>59.982000000000006</v>
      </c>
      <c r="CN739">
        <v>0</v>
      </c>
      <c r="CO739">
        <v>0</v>
      </c>
      <c r="CP739">
        <v>0</v>
      </c>
      <c r="CQ739">
        <v>0</v>
      </c>
      <c r="CR739">
        <v>0</v>
      </c>
      <c r="CS739">
        <v>0</v>
      </c>
      <c r="CT739">
        <v>0</v>
      </c>
      <c r="CU739">
        <v>5.5030000000000001</v>
      </c>
      <c r="CV739">
        <v>21.76</v>
      </c>
      <c r="CW739">
        <v>9.3190000000000008</v>
      </c>
      <c r="CX739">
        <v>0</v>
      </c>
      <c r="CY739" s="2043">
        <v>0</v>
      </c>
      <c r="CZ739" s="2043">
        <v>0</v>
      </c>
      <c r="DA739" s="2043">
        <v>0</v>
      </c>
      <c r="DB739" s="2043">
        <v>0</v>
      </c>
      <c r="DC739" s="2043">
        <v>0</v>
      </c>
      <c r="DI739" t="s">
        <v>5838</v>
      </c>
      <c r="DJ739" t="s">
        <v>5838</v>
      </c>
      <c r="DK739" s="2042">
        <f t="shared" si="13"/>
        <v>0</v>
      </c>
    </row>
    <row r="740" spans="1:115">
      <c r="A740" t="s">
        <v>5137</v>
      </c>
      <c r="B740" t="s">
        <v>2139</v>
      </c>
      <c r="C740">
        <v>444.46000000000004</v>
      </c>
      <c r="D740">
        <v>488.27500000000003</v>
      </c>
      <c r="E740">
        <v>38.111000000000004</v>
      </c>
      <c r="F740">
        <v>0</v>
      </c>
      <c r="G740" s="2043">
        <v>531101602</v>
      </c>
      <c r="H740">
        <v>0</v>
      </c>
      <c r="I740" s="2043">
        <v>901150</v>
      </c>
      <c r="J740">
        <v>22.223000000000003</v>
      </c>
      <c r="K740">
        <v>61</v>
      </c>
      <c r="L740">
        <v>0</v>
      </c>
      <c r="M740">
        <v>0</v>
      </c>
      <c r="N740">
        <v>0</v>
      </c>
      <c r="O740">
        <v>0</v>
      </c>
      <c r="P740">
        <v>0</v>
      </c>
      <c r="Q740">
        <v>0</v>
      </c>
      <c r="R740" s="2043">
        <v>4810493</v>
      </c>
      <c r="S740">
        <v>265246</v>
      </c>
      <c r="T740">
        <v>0</v>
      </c>
      <c r="U740">
        <v>0.05</v>
      </c>
      <c r="V740">
        <v>0</v>
      </c>
      <c r="W740">
        <v>0</v>
      </c>
      <c r="X740">
        <v>0</v>
      </c>
      <c r="Y740">
        <v>109619</v>
      </c>
      <c r="Z740">
        <v>0</v>
      </c>
      <c r="AA740">
        <v>7.9000000000000001E-2</v>
      </c>
      <c r="AB740">
        <v>444.12700000000001</v>
      </c>
      <c r="AC740" s="2043">
        <v>484827729</v>
      </c>
      <c r="AD740">
        <v>939799</v>
      </c>
      <c r="AE740" s="2043">
        <v>5075739</v>
      </c>
      <c r="AF740">
        <v>0.95680000000000009</v>
      </c>
      <c r="AG740">
        <v>0</v>
      </c>
      <c r="AH740">
        <v>0</v>
      </c>
      <c r="AI740">
        <v>0</v>
      </c>
      <c r="AJ740">
        <v>65.888000000000005</v>
      </c>
      <c r="AK740">
        <v>2277</v>
      </c>
      <c r="AL740">
        <v>3.3000000000000002E-2</v>
      </c>
      <c r="AM740">
        <v>0</v>
      </c>
      <c r="AN740">
        <v>34.664999999999999</v>
      </c>
      <c r="AO740">
        <v>0</v>
      </c>
      <c r="AP740">
        <v>1.0310000000000001</v>
      </c>
      <c r="AQ740">
        <v>0</v>
      </c>
      <c r="AR740">
        <v>6.6430000000000007</v>
      </c>
      <c r="AS740">
        <v>0</v>
      </c>
      <c r="AT740">
        <v>0.23100000000000001</v>
      </c>
      <c r="AU740">
        <v>0.85300000000000009</v>
      </c>
      <c r="AV740">
        <v>0</v>
      </c>
      <c r="AW740">
        <v>8.7910000000000004</v>
      </c>
      <c r="AX740">
        <v>0</v>
      </c>
      <c r="AY740">
        <v>27.836000000000002</v>
      </c>
      <c r="AZ740">
        <v>0</v>
      </c>
      <c r="BA740">
        <v>811779</v>
      </c>
      <c r="BB740">
        <v>6015538</v>
      </c>
      <c r="BC740">
        <v>0</v>
      </c>
      <c r="BD740">
        <v>68695</v>
      </c>
      <c r="BE740">
        <v>5064</v>
      </c>
      <c r="BF740">
        <v>73759</v>
      </c>
      <c r="BG740">
        <v>68695</v>
      </c>
      <c r="BH740">
        <v>0</v>
      </c>
      <c r="BI740">
        <v>0</v>
      </c>
      <c r="BJ740">
        <v>0</v>
      </c>
      <c r="BK740">
        <v>0</v>
      </c>
      <c r="BL740">
        <v>531101602</v>
      </c>
      <c r="BM740">
        <v>0</v>
      </c>
      <c r="BN740">
        <v>1368</v>
      </c>
      <c r="BO740">
        <v>1305</v>
      </c>
      <c r="BP740">
        <v>0</v>
      </c>
      <c r="BQ740">
        <v>0</v>
      </c>
      <c r="BR740">
        <v>0.90680000000000005</v>
      </c>
      <c r="BS740">
        <v>0.90680000000000005</v>
      </c>
      <c r="BT740">
        <v>0</v>
      </c>
      <c r="BU740">
        <v>109619</v>
      </c>
      <c r="BV740">
        <v>6</v>
      </c>
      <c r="BW740">
        <v>191</v>
      </c>
      <c r="BX740">
        <v>26</v>
      </c>
      <c r="BY740">
        <v>42</v>
      </c>
      <c r="BZ740">
        <v>6</v>
      </c>
      <c r="CA740">
        <v>271</v>
      </c>
      <c r="CB740">
        <v>0</v>
      </c>
      <c r="CC740">
        <v>0</v>
      </c>
      <c r="CD740">
        <v>0</v>
      </c>
      <c r="CE740">
        <v>30</v>
      </c>
      <c r="CF740">
        <v>82.819000000000003</v>
      </c>
      <c r="CG740">
        <v>0</v>
      </c>
      <c r="CH740">
        <v>0</v>
      </c>
      <c r="CI740">
        <v>4</v>
      </c>
      <c r="CJ740">
        <v>1</v>
      </c>
      <c r="CK740">
        <v>0</v>
      </c>
      <c r="CL740">
        <v>0</v>
      </c>
      <c r="CM740">
        <v>38.111000000000004</v>
      </c>
      <c r="CN740">
        <v>0</v>
      </c>
      <c r="CO740">
        <v>0</v>
      </c>
      <c r="CP740">
        <v>0</v>
      </c>
      <c r="CQ740">
        <v>0</v>
      </c>
      <c r="CR740">
        <v>0</v>
      </c>
      <c r="CS740">
        <v>0</v>
      </c>
      <c r="CT740">
        <v>0</v>
      </c>
      <c r="CU740">
        <v>3.5180000000000002</v>
      </c>
      <c r="CV740">
        <v>28.678000000000001</v>
      </c>
      <c r="CW740">
        <v>15.603000000000002</v>
      </c>
      <c r="CX740">
        <v>0</v>
      </c>
      <c r="CY740" s="2043">
        <v>0</v>
      </c>
      <c r="CZ740" s="2043">
        <v>0</v>
      </c>
      <c r="DA740" s="2043">
        <v>0</v>
      </c>
      <c r="DB740" s="2043">
        <v>0</v>
      </c>
      <c r="DC740" s="2043">
        <v>227987</v>
      </c>
      <c r="DI740" t="s">
        <v>5137</v>
      </c>
      <c r="DJ740" t="s">
        <v>5137</v>
      </c>
      <c r="DK740" s="2042">
        <f t="shared" si="13"/>
        <v>0</v>
      </c>
    </row>
    <row r="741" spans="1:115">
      <c r="A741" t="s">
        <v>5138</v>
      </c>
      <c r="B741" t="s">
        <v>2141</v>
      </c>
      <c r="C741">
        <v>281.90600000000001</v>
      </c>
      <c r="D741">
        <v>372.95100000000002</v>
      </c>
      <c r="E741">
        <v>37.094999999999999</v>
      </c>
      <c r="F741">
        <v>0</v>
      </c>
      <c r="G741" s="2043">
        <v>169355990</v>
      </c>
      <c r="H741">
        <v>0</v>
      </c>
      <c r="I741" s="2043">
        <v>364515</v>
      </c>
      <c r="J741">
        <v>7</v>
      </c>
      <c r="K741">
        <v>19</v>
      </c>
      <c r="L741">
        <v>0</v>
      </c>
      <c r="M741">
        <v>0</v>
      </c>
      <c r="N741">
        <v>0</v>
      </c>
      <c r="O741">
        <v>0</v>
      </c>
      <c r="P741">
        <v>0</v>
      </c>
      <c r="Q741">
        <v>0</v>
      </c>
      <c r="R741" s="2043">
        <v>1340977</v>
      </c>
      <c r="S741">
        <v>81568</v>
      </c>
      <c r="T741">
        <v>0</v>
      </c>
      <c r="U741">
        <v>0.05</v>
      </c>
      <c r="V741">
        <v>0</v>
      </c>
      <c r="W741">
        <v>0</v>
      </c>
      <c r="X741">
        <v>0</v>
      </c>
      <c r="Y741">
        <v>0</v>
      </c>
      <c r="Z741">
        <v>0</v>
      </c>
      <c r="AA741">
        <v>0</v>
      </c>
      <c r="AB741">
        <v>322.28300000000002</v>
      </c>
      <c r="AC741" s="2043">
        <v>141186770</v>
      </c>
      <c r="AD741">
        <v>431884</v>
      </c>
      <c r="AE741" s="2043">
        <v>1422545</v>
      </c>
      <c r="AF741">
        <v>0.872</v>
      </c>
      <c r="AG741">
        <v>0</v>
      </c>
      <c r="AH741">
        <v>0</v>
      </c>
      <c r="AI741">
        <v>0</v>
      </c>
      <c r="AJ741">
        <v>63.275000000000006</v>
      </c>
      <c r="AK741">
        <v>1633</v>
      </c>
      <c r="AL741">
        <v>0</v>
      </c>
      <c r="AM741">
        <v>0</v>
      </c>
      <c r="AN741">
        <v>15.07</v>
      </c>
      <c r="AO741">
        <v>0</v>
      </c>
      <c r="AP741">
        <v>0</v>
      </c>
      <c r="AQ741">
        <v>0.89400000000000002</v>
      </c>
      <c r="AR741">
        <v>5.41</v>
      </c>
      <c r="AS741">
        <v>0</v>
      </c>
      <c r="AT741">
        <v>2.4540000000000002</v>
      </c>
      <c r="AU741">
        <v>0.46600000000000003</v>
      </c>
      <c r="AV741">
        <v>0</v>
      </c>
      <c r="AW741">
        <v>9.2240000000000002</v>
      </c>
      <c r="AX741">
        <v>0</v>
      </c>
      <c r="AY741">
        <v>25.922000000000001</v>
      </c>
      <c r="AZ741">
        <v>0</v>
      </c>
      <c r="BA741">
        <v>2505094</v>
      </c>
      <c r="BB741">
        <v>1854429</v>
      </c>
      <c r="BC741">
        <v>0</v>
      </c>
      <c r="BD741">
        <v>31872</v>
      </c>
      <c r="BE741">
        <v>0</v>
      </c>
      <c r="BF741">
        <v>31872</v>
      </c>
      <c r="BG741">
        <v>31872</v>
      </c>
      <c r="BH741">
        <v>0</v>
      </c>
      <c r="BI741">
        <v>0</v>
      </c>
      <c r="BJ741">
        <v>0</v>
      </c>
      <c r="BK741">
        <v>0</v>
      </c>
      <c r="BL741">
        <v>169355990</v>
      </c>
      <c r="BM741">
        <v>0</v>
      </c>
      <c r="BN741">
        <v>1305</v>
      </c>
      <c r="BO741">
        <v>738</v>
      </c>
      <c r="BP741">
        <v>0</v>
      </c>
      <c r="BQ741">
        <v>0</v>
      </c>
      <c r="BR741">
        <v>0.82200000000000006</v>
      </c>
      <c r="BS741">
        <v>0.82200000000000006</v>
      </c>
      <c r="BT741">
        <v>0</v>
      </c>
      <c r="BU741">
        <v>0</v>
      </c>
      <c r="BV741">
        <v>41</v>
      </c>
      <c r="BW741">
        <v>12</v>
      </c>
      <c r="BX741">
        <v>4</v>
      </c>
      <c r="BY741">
        <v>164</v>
      </c>
      <c r="BZ741">
        <v>26</v>
      </c>
      <c r="CA741">
        <v>247</v>
      </c>
      <c r="CB741">
        <v>23</v>
      </c>
      <c r="CC741">
        <v>0</v>
      </c>
      <c r="CD741">
        <v>0</v>
      </c>
      <c r="CE741">
        <v>30</v>
      </c>
      <c r="CF741">
        <v>77.01100000000001</v>
      </c>
      <c r="CG741">
        <v>16.724</v>
      </c>
      <c r="CH741">
        <v>1.5510000000000002</v>
      </c>
      <c r="CI741">
        <v>2</v>
      </c>
      <c r="CJ741">
        <v>4</v>
      </c>
      <c r="CK741">
        <v>0</v>
      </c>
      <c r="CL741">
        <v>18.275000000000002</v>
      </c>
      <c r="CM741">
        <v>37.094999999999999</v>
      </c>
      <c r="CN741">
        <v>0</v>
      </c>
      <c r="CO741">
        <v>0</v>
      </c>
      <c r="CP741">
        <v>0</v>
      </c>
      <c r="CQ741">
        <v>0</v>
      </c>
      <c r="CR741">
        <v>0</v>
      </c>
      <c r="CS741">
        <v>0</v>
      </c>
      <c r="CT741">
        <v>0</v>
      </c>
      <c r="CU741">
        <v>0.71200000000000008</v>
      </c>
      <c r="CV741">
        <v>12.317</v>
      </c>
      <c r="CW741">
        <v>8.4120000000000008</v>
      </c>
      <c r="CX741">
        <v>0</v>
      </c>
      <c r="CY741" s="2043">
        <v>0</v>
      </c>
      <c r="CZ741" s="2043">
        <v>0</v>
      </c>
      <c r="DA741" s="2043">
        <v>0</v>
      </c>
      <c r="DB741" s="2043">
        <v>0</v>
      </c>
      <c r="DC741" s="2043">
        <v>0</v>
      </c>
      <c r="DI741" t="s">
        <v>3104</v>
      </c>
      <c r="DJ741" t="s">
        <v>5138</v>
      </c>
      <c r="DK741" s="2042">
        <f t="shared" si="13"/>
        <v>-1</v>
      </c>
    </row>
    <row r="742" spans="1:115">
      <c r="A742" t="s">
        <v>3104</v>
      </c>
      <c r="B742" t="s">
        <v>2140</v>
      </c>
      <c r="C742">
        <v>3150.6010000000001</v>
      </c>
      <c r="D742">
        <v>3239.7510000000002</v>
      </c>
      <c r="E742">
        <v>121.405</v>
      </c>
      <c r="F742">
        <v>0</v>
      </c>
      <c r="G742" s="2043">
        <v>1521854919</v>
      </c>
      <c r="H742">
        <v>0</v>
      </c>
      <c r="I742" s="2043">
        <v>3149664</v>
      </c>
      <c r="J742">
        <v>157.53</v>
      </c>
      <c r="K742">
        <v>431</v>
      </c>
      <c r="L742">
        <v>0</v>
      </c>
      <c r="M742">
        <v>800000</v>
      </c>
      <c r="N742">
        <v>0</v>
      </c>
      <c r="O742">
        <v>800000</v>
      </c>
      <c r="P742">
        <v>0</v>
      </c>
      <c r="Q742">
        <v>0</v>
      </c>
      <c r="R742" s="2043">
        <v>12073633</v>
      </c>
      <c r="S742">
        <v>1175049</v>
      </c>
      <c r="T742">
        <v>856318</v>
      </c>
      <c r="U742">
        <v>0.08</v>
      </c>
      <c r="V742">
        <v>0</v>
      </c>
      <c r="W742">
        <v>0</v>
      </c>
      <c r="X742">
        <v>0</v>
      </c>
      <c r="Y742">
        <v>-5680</v>
      </c>
      <c r="Z742">
        <v>0</v>
      </c>
      <c r="AA742">
        <v>0.12200000000000001</v>
      </c>
      <c r="AB742">
        <v>3187.0160000000001</v>
      </c>
      <c r="AC742" s="2043">
        <v>1277358537</v>
      </c>
      <c r="AD742">
        <v>4008000</v>
      </c>
      <c r="AE742" s="2043">
        <v>14105000</v>
      </c>
      <c r="AF742">
        <v>0.96030000000000004</v>
      </c>
      <c r="AG742">
        <v>0</v>
      </c>
      <c r="AH742">
        <v>0</v>
      </c>
      <c r="AI742">
        <v>0</v>
      </c>
      <c r="AJ742">
        <v>486.31300000000005</v>
      </c>
      <c r="AK742">
        <v>15106</v>
      </c>
      <c r="AL742">
        <v>0.26900000000000002</v>
      </c>
      <c r="AM742">
        <v>0</v>
      </c>
      <c r="AN742">
        <v>178.71800000000002</v>
      </c>
      <c r="AO742">
        <v>0</v>
      </c>
      <c r="AP742">
        <v>0</v>
      </c>
      <c r="AQ742">
        <v>0</v>
      </c>
      <c r="AR742">
        <v>93.329000000000008</v>
      </c>
      <c r="AS742">
        <v>0</v>
      </c>
      <c r="AT742">
        <v>34.663000000000004</v>
      </c>
      <c r="AU742">
        <v>7.7920000000000007</v>
      </c>
      <c r="AV742">
        <v>0</v>
      </c>
      <c r="AW742">
        <v>136.053</v>
      </c>
      <c r="AX742">
        <v>0</v>
      </c>
      <c r="AY742">
        <v>424.28100000000001</v>
      </c>
      <c r="AZ742">
        <v>0</v>
      </c>
      <c r="BA742">
        <v>19483170</v>
      </c>
      <c r="BB742">
        <v>18113000</v>
      </c>
      <c r="BC742">
        <v>0</v>
      </c>
      <c r="BD742">
        <v>360150</v>
      </c>
      <c r="BE742">
        <v>106129</v>
      </c>
      <c r="BF742">
        <v>482377</v>
      </c>
      <c r="BG742">
        <v>360150</v>
      </c>
      <c r="BH742">
        <v>16098</v>
      </c>
      <c r="BI742">
        <v>-5680</v>
      </c>
      <c r="BJ742">
        <v>0</v>
      </c>
      <c r="BK742">
        <v>0</v>
      </c>
      <c r="BL742">
        <v>1521854919</v>
      </c>
      <c r="BM742">
        <v>0</v>
      </c>
      <c r="BN742">
        <v>11520</v>
      </c>
      <c r="BO742">
        <v>5896</v>
      </c>
      <c r="BP742">
        <v>0</v>
      </c>
      <c r="BQ742">
        <v>0</v>
      </c>
      <c r="BR742">
        <v>0.82200000000000006</v>
      </c>
      <c r="BS742">
        <v>0.82200000000000006</v>
      </c>
      <c r="BT742">
        <v>0</v>
      </c>
      <c r="BU742">
        <v>0</v>
      </c>
      <c r="BV742">
        <v>1163</v>
      </c>
      <c r="BW742">
        <v>243</v>
      </c>
      <c r="BX742">
        <v>213</v>
      </c>
      <c r="BY742">
        <v>388</v>
      </c>
      <c r="BZ742">
        <v>43</v>
      </c>
      <c r="CA742">
        <v>2050</v>
      </c>
      <c r="CB742">
        <v>0</v>
      </c>
      <c r="CC742">
        <v>0</v>
      </c>
      <c r="CD742">
        <v>0</v>
      </c>
      <c r="CE742">
        <v>371</v>
      </c>
      <c r="CF742">
        <v>648.35800000000006</v>
      </c>
      <c r="CG742">
        <v>0</v>
      </c>
      <c r="CH742">
        <v>0</v>
      </c>
      <c r="CI742">
        <v>10</v>
      </c>
      <c r="CJ742">
        <v>36</v>
      </c>
      <c r="CK742">
        <v>0</v>
      </c>
      <c r="CL742">
        <v>0</v>
      </c>
      <c r="CM742">
        <v>121.405</v>
      </c>
      <c r="CN742">
        <v>0</v>
      </c>
      <c r="CO742">
        <v>0</v>
      </c>
      <c r="CP742">
        <v>0</v>
      </c>
      <c r="CQ742">
        <v>0</v>
      </c>
      <c r="CR742">
        <v>0</v>
      </c>
      <c r="CS742">
        <v>0</v>
      </c>
      <c r="CT742">
        <v>0</v>
      </c>
      <c r="CU742">
        <v>4.8470000000000004</v>
      </c>
      <c r="CV742">
        <v>208.43800000000002</v>
      </c>
      <c r="CW742">
        <v>164.25900000000001</v>
      </c>
      <c r="CX742">
        <v>0</v>
      </c>
      <c r="CY742" s="2043">
        <v>0</v>
      </c>
      <c r="CZ742" s="2043">
        <v>0</v>
      </c>
      <c r="DA742" s="2043">
        <v>0</v>
      </c>
      <c r="DB742" s="2043">
        <v>0</v>
      </c>
      <c r="DC742" s="2043">
        <v>0</v>
      </c>
      <c r="DI742" t="s">
        <v>5138</v>
      </c>
      <c r="DJ742" t="s">
        <v>3104</v>
      </c>
      <c r="DK742" s="2042">
        <f t="shared" si="13"/>
        <v>1</v>
      </c>
    </row>
    <row r="743" spans="1:115">
      <c r="A743" t="s">
        <v>3105</v>
      </c>
      <c r="B743" t="s">
        <v>2263</v>
      </c>
      <c r="C743">
        <v>1081.6849999999999</v>
      </c>
      <c r="D743">
        <v>1161.7270000000001</v>
      </c>
      <c r="E743">
        <v>72.414000000000001</v>
      </c>
      <c r="F743">
        <v>0</v>
      </c>
      <c r="G743" s="2043">
        <v>4868560069</v>
      </c>
      <c r="H743">
        <v>0</v>
      </c>
      <c r="I743" s="2043">
        <v>4865600</v>
      </c>
      <c r="J743">
        <v>54.084000000000003</v>
      </c>
      <c r="K743">
        <v>148</v>
      </c>
      <c r="L743">
        <v>0</v>
      </c>
      <c r="M743">
        <v>156719</v>
      </c>
      <c r="N743">
        <v>0</v>
      </c>
      <c r="O743">
        <v>156719</v>
      </c>
      <c r="P743">
        <v>0</v>
      </c>
      <c r="Q743">
        <v>0</v>
      </c>
      <c r="R743" s="2043">
        <v>42753661</v>
      </c>
      <c r="S743">
        <v>2808430</v>
      </c>
      <c r="T743">
        <v>0</v>
      </c>
      <c r="U743">
        <v>0.06</v>
      </c>
      <c r="V743">
        <v>0</v>
      </c>
      <c r="W743">
        <v>30621330</v>
      </c>
      <c r="X743">
        <v>0</v>
      </c>
      <c r="Y743">
        <v>2959188</v>
      </c>
      <c r="Z743">
        <v>0</v>
      </c>
      <c r="AA743">
        <v>0.217</v>
      </c>
      <c r="AB743">
        <v>1138.346</v>
      </c>
      <c r="AC743" s="2043">
        <v>5389761981</v>
      </c>
      <c r="AD743">
        <v>4098803</v>
      </c>
      <c r="AE743" s="2043">
        <v>45562091</v>
      </c>
      <c r="AF743">
        <v>0.97340000000000004</v>
      </c>
      <c r="AG743">
        <v>0</v>
      </c>
      <c r="AH743">
        <v>30621330</v>
      </c>
      <c r="AI743">
        <v>0</v>
      </c>
      <c r="AJ743">
        <v>259.32499999999999</v>
      </c>
      <c r="AK743">
        <v>6658</v>
      </c>
      <c r="AL743">
        <v>0</v>
      </c>
      <c r="AM743">
        <v>0</v>
      </c>
      <c r="AN743">
        <v>46.926000000000002</v>
      </c>
      <c r="AO743">
        <v>0</v>
      </c>
      <c r="AP743">
        <v>1.274</v>
      </c>
      <c r="AQ743">
        <v>0</v>
      </c>
      <c r="AR743">
        <v>31.165000000000003</v>
      </c>
      <c r="AS743">
        <v>0</v>
      </c>
      <c r="AT743">
        <v>23.836000000000002</v>
      </c>
      <c r="AU743">
        <v>1.9020000000000001</v>
      </c>
      <c r="AV743">
        <v>0</v>
      </c>
      <c r="AW743">
        <v>58.177</v>
      </c>
      <c r="AX743">
        <v>0</v>
      </c>
      <c r="AY743">
        <v>177.953</v>
      </c>
      <c r="AZ743">
        <v>0</v>
      </c>
      <c r="BA743">
        <v>3554997</v>
      </c>
      <c r="BB743">
        <v>49660894</v>
      </c>
      <c r="BC743">
        <v>0</v>
      </c>
      <c r="BD743">
        <v>115040</v>
      </c>
      <c r="BE743">
        <v>29290</v>
      </c>
      <c r="BF743">
        <v>144330</v>
      </c>
      <c r="BG743">
        <v>115040</v>
      </c>
      <c r="BH743">
        <v>0</v>
      </c>
      <c r="BI743">
        <v>0</v>
      </c>
      <c r="BJ743">
        <v>0</v>
      </c>
      <c r="BK743">
        <v>0</v>
      </c>
      <c r="BL743">
        <v>4868560069</v>
      </c>
      <c r="BM743">
        <v>0</v>
      </c>
      <c r="BN743">
        <v>4311</v>
      </c>
      <c r="BO743">
        <v>3563</v>
      </c>
      <c r="BP743">
        <v>0</v>
      </c>
      <c r="BQ743">
        <v>0</v>
      </c>
      <c r="BR743">
        <v>0.91339999999999999</v>
      </c>
      <c r="BS743">
        <v>0.91339999999999999</v>
      </c>
      <c r="BT743">
        <v>0</v>
      </c>
      <c r="BU743">
        <v>0</v>
      </c>
      <c r="BV743">
        <v>235</v>
      </c>
      <c r="BW743">
        <v>8</v>
      </c>
      <c r="BX743">
        <v>798</v>
      </c>
      <c r="BY743">
        <v>14</v>
      </c>
      <c r="BZ743">
        <v>5</v>
      </c>
      <c r="CA743">
        <v>1060</v>
      </c>
      <c r="CB743">
        <v>0</v>
      </c>
      <c r="CC743">
        <v>0</v>
      </c>
      <c r="CD743">
        <v>0</v>
      </c>
      <c r="CE743">
        <v>168</v>
      </c>
      <c r="CF743">
        <v>288.55400000000003</v>
      </c>
      <c r="CG743">
        <v>0</v>
      </c>
      <c r="CH743">
        <v>0</v>
      </c>
      <c r="CI743">
        <v>3</v>
      </c>
      <c r="CJ743">
        <v>4</v>
      </c>
      <c r="CK743">
        <v>0</v>
      </c>
      <c r="CL743">
        <v>0</v>
      </c>
      <c r="CM743">
        <v>72.414000000000001</v>
      </c>
      <c r="CN743">
        <v>0</v>
      </c>
      <c r="CO743">
        <v>0</v>
      </c>
      <c r="CP743">
        <v>0</v>
      </c>
      <c r="CQ743">
        <v>0</v>
      </c>
      <c r="CR743">
        <v>0</v>
      </c>
      <c r="CS743">
        <v>0</v>
      </c>
      <c r="CT743">
        <v>0</v>
      </c>
      <c r="CU743">
        <v>0</v>
      </c>
      <c r="CV743">
        <v>59.743000000000002</v>
      </c>
      <c r="CW743">
        <v>32.837000000000003</v>
      </c>
      <c r="CX743">
        <v>0</v>
      </c>
      <c r="CY743" s="2043">
        <v>2959188</v>
      </c>
      <c r="CZ743" s="2043">
        <v>0</v>
      </c>
      <c r="DA743" s="2043">
        <v>0</v>
      </c>
      <c r="DB743" s="2043">
        <v>0</v>
      </c>
      <c r="DC743" s="2043">
        <v>787353</v>
      </c>
      <c r="DI743" t="s">
        <v>3105</v>
      </c>
      <c r="DJ743" t="s">
        <v>3105</v>
      </c>
      <c r="DK743" s="2042">
        <f t="shared" si="13"/>
        <v>0</v>
      </c>
    </row>
    <row r="744" spans="1:115">
      <c r="A744" t="s">
        <v>5139</v>
      </c>
      <c r="B744" t="s">
        <v>2142</v>
      </c>
      <c r="C744">
        <v>1076.5350000000001</v>
      </c>
      <c r="D744">
        <v>1057.5740000000001</v>
      </c>
      <c r="E744">
        <v>33.785000000000004</v>
      </c>
      <c r="F744">
        <v>0</v>
      </c>
      <c r="G744" s="2043">
        <v>941612109</v>
      </c>
      <c r="H744">
        <v>0</v>
      </c>
      <c r="I744" s="2043">
        <v>1518023</v>
      </c>
      <c r="J744">
        <v>53.827000000000005</v>
      </c>
      <c r="K744">
        <v>147</v>
      </c>
      <c r="L744">
        <v>0</v>
      </c>
      <c r="M744">
        <v>0</v>
      </c>
      <c r="N744">
        <v>0</v>
      </c>
      <c r="O744">
        <v>0</v>
      </c>
      <c r="P744">
        <v>0</v>
      </c>
      <c r="Q744">
        <v>0</v>
      </c>
      <c r="R744" s="2043">
        <v>7736518</v>
      </c>
      <c r="S744">
        <v>470591</v>
      </c>
      <c r="T744">
        <v>0</v>
      </c>
      <c r="U744">
        <v>0.05</v>
      </c>
      <c r="V744">
        <v>0</v>
      </c>
      <c r="W744">
        <v>0</v>
      </c>
      <c r="X744">
        <v>0</v>
      </c>
      <c r="Y744">
        <v>0</v>
      </c>
      <c r="Z744">
        <v>0</v>
      </c>
      <c r="AA744">
        <v>0</v>
      </c>
      <c r="AB744">
        <v>1034.806</v>
      </c>
      <c r="AC744" s="2043">
        <v>798804089</v>
      </c>
      <c r="AD744">
        <v>1940158</v>
      </c>
      <c r="AE744" s="2043">
        <v>8207109</v>
      </c>
      <c r="AF744">
        <v>0.872</v>
      </c>
      <c r="AG744">
        <v>0</v>
      </c>
      <c r="AH744">
        <v>0</v>
      </c>
      <c r="AI744">
        <v>0</v>
      </c>
      <c r="AJ744">
        <v>112.25</v>
      </c>
      <c r="AK744">
        <v>4877</v>
      </c>
      <c r="AL744">
        <v>0</v>
      </c>
      <c r="AM744">
        <v>0</v>
      </c>
      <c r="AN744">
        <v>38.4</v>
      </c>
      <c r="AO744">
        <v>0</v>
      </c>
      <c r="AP744">
        <v>9.4779999999999998</v>
      </c>
      <c r="AQ744">
        <v>0</v>
      </c>
      <c r="AR744">
        <v>29.345000000000002</v>
      </c>
      <c r="AS744">
        <v>0</v>
      </c>
      <c r="AT744">
        <v>0.81900000000000006</v>
      </c>
      <c r="AU744">
        <v>1.3360000000000001</v>
      </c>
      <c r="AV744">
        <v>0</v>
      </c>
      <c r="AW744">
        <v>40.978000000000002</v>
      </c>
      <c r="AX744">
        <v>0</v>
      </c>
      <c r="AY744">
        <v>122.76300000000001</v>
      </c>
      <c r="AZ744">
        <v>0</v>
      </c>
      <c r="BA744">
        <v>3770711</v>
      </c>
      <c r="BB744">
        <v>10147267</v>
      </c>
      <c r="BC744">
        <v>2681</v>
      </c>
      <c r="BD744">
        <v>146016</v>
      </c>
      <c r="BE744">
        <v>18871</v>
      </c>
      <c r="BF744">
        <v>167568</v>
      </c>
      <c r="BG744">
        <v>148697</v>
      </c>
      <c r="BH744">
        <v>0</v>
      </c>
      <c r="BI744">
        <v>0</v>
      </c>
      <c r="BJ744">
        <v>0</v>
      </c>
      <c r="BK744">
        <v>0</v>
      </c>
      <c r="BL744">
        <v>941612109</v>
      </c>
      <c r="BM744">
        <v>0</v>
      </c>
      <c r="BN744">
        <v>3807</v>
      </c>
      <c r="BO744">
        <v>3253</v>
      </c>
      <c r="BP744">
        <v>0</v>
      </c>
      <c r="BQ744">
        <v>0</v>
      </c>
      <c r="BR744">
        <v>0.82200000000000006</v>
      </c>
      <c r="BS744">
        <v>0.82200000000000006</v>
      </c>
      <c r="BT744">
        <v>0</v>
      </c>
      <c r="BU744">
        <v>0</v>
      </c>
      <c r="BV744">
        <v>49</v>
      </c>
      <c r="BW744">
        <v>153</v>
      </c>
      <c r="BX744">
        <v>167</v>
      </c>
      <c r="BY744">
        <v>85</v>
      </c>
      <c r="BZ744">
        <v>3</v>
      </c>
      <c r="CA744">
        <v>457</v>
      </c>
      <c r="CB744">
        <v>0</v>
      </c>
      <c r="CC744">
        <v>0</v>
      </c>
      <c r="CD744">
        <v>0</v>
      </c>
      <c r="CE744">
        <v>63</v>
      </c>
      <c r="CF744">
        <v>126.52</v>
      </c>
      <c r="CG744">
        <v>0</v>
      </c>
      <c r="CH744">
        <v>0</v>
      </c>
      <c r="CI744">
        <v>4</v>
      </c>
      <c r="CJ744">
        <v>14</v>
      </c>
      <c r="CK744">
        <v>0</v>
      </c>
      <c r="CL744">
        <v>0</v>
      </c>
      <c r="CM744">
        <v>33.785000000000004</v>
      </c>
      <c r="CN744">
        <v>0</v>
      </c>
      <c r="CO744">
        <v>0</v>
      </c>
      <c r="CP744">
        <v>0</v>
      </c>
      <c r="CQ744">
        <v>0</v>
      </c>
      <c r="CR744">
        <v>0</v>
      </c>
      <c r="CS744">
        <v>0</v>
      </c>
      <c r="CT744">
        <v>0</v>
      </c>
      <c r="CU744">
        <v>0</v>
      </c>
      <c r="CV744">
        <v>114.301</v>
      </c>
      <c r="CW744">
        <v>46.669000000000004</v>
      </c>
      <c r="CX744">
        <v>0</v>
      </c>
      <c r="CY744" s="2043">
        <v>0</v>
      </c>
      <c r="CZ744" s="2043">
        <v>0</v>
      </c>
      <c r="DA744" s="2043">
        <v>0</v>
      </c>
      <c r="DB744" s="2043">
        <v>0</v>
      </c>
      <c r="DC744" s="2043">
        <v>284758</v>
      </c>
      <c r="DI744" t="s">
        <v>5139</v>
      </c>
      <c r="DJ744" t="s">
        <v>5139</v>
      </c>
      <c r="DK744" s="2042">
        <f t="shared" si="13"/>
        <v>0</v>
      </c>
    </row>
    <row r="745" spans="1:115">
      <c r="A745" t="s">
        <v>5839</v>
      </c>
      <c r="B745" t="s">
        <v>2143</v>
      </c>
      <c r="C745">
        <v>283.14699999999999</v>
      </c>
      <c r="D745">
        <v>261.06900000000002</v>
      </c>
      <c r="E745">
        <v>31.303000000000001</v>
      </c>
      <c r="F745">
        <v>0</v>
      </c>
      <c r="G745" s="2043">
        <v>442304293</v>
      </c>
      <c r="H745">
        <v>0</v>
      </c>
      <c r="I745" s="2043">
        <v>809050</v>
      </c>
      <c r="J745">
        <v>10</v>
      </c>
      <c r="K745">
        <v>27</v>
      </c>
      <c r="L745">
        <v>0</v>
      </c>
      <c r="M745">
        <v>0</v>
      </c>
      <c r="N745">
        <v>0</v>
      </c>
      <c r="O745">
        <v>0</v>
      </c>
      <c r="P745">
        <v>0</v>
      </c>
      <c r="Q745">
        <v>0</v>
      </c>
      <c r="R745" s="2043">
        <v>4001575</v>
      </c>
      <c r="S745">
        <v>219048</v>
      </c>
      <c r="T745">
        <v>0</v>
      </c>
      <c r="U745">
        <v>0.05</v>
      </c>
      <c r="V745">
        <v>0</v>
      </c>
      <c r="W745">
        <v>551195</v>
      </c>
      <c r="X745">
        <v>0</v>
      </c>
      <c r="Y745">
        <v>0</v>
      </c>
      <c r="Z745">
        <v>0</v>
      </c>
      <c r="AA745">
        <v>0</v>
      </c>
      <c r="AB745">
        <v>261.06900000000002</v>
      </c>
      <c r="AC745" s="2043">
        <v>345982315</v>
      </c>
      <c r="AD745">
        <v>860155</v>
      </c>
      <c r="AE745" s="2043">
        <v>4220623</v>
      </c>
      <c r="AF745">
        <v>0.96340000000000003</v>
      </c>
      <c r="AG745">
        <v>0</v>
      </c>
      <c r="AH745">
        <v>551195</v>
      </c>
      <c r="AI745">
        <v>0</v>
      </c>
      <c r="AJ745">
        <v>41.438000000000002</v>
      </c>
      <c r="AK745">
        <v>2125</v>
      </c>
      <c r="AL745">
        <v>0.04</v>
      </c>
      <c r="AM745">
        <v>0</v>
      </c>
      <c r="AN745">
        <v>1.35</v>
      </c>
      <c r="AO745">
        <v>0</v>
      </c>
      <c r="AP745">
        <v>2.1850000000000001</v>
      </c>
      <c r="AQ745">
        <v>0</v>
      </c>
      <c r="AR745">
        <v>16.248000000000001</v>
      </c>
      <c r="AS745">
        <v>0</v>
      </c>
      <c r="AT745">
        <v>0.158</v>
      </c>
      <c r="AU745">
        <v>0.78800000000000003</v>
      </c>
      <c r="AV745">
        <v>0</v>
      </c>
      <c r="AW745">
        <v>19.419</v>
      </c>
      <c r="AX745">
        <v>0</v>
      </c>
      <c r="AY745">
        <v>59.258000000000003</v>
      </c>
      <c r="AZ745">
        <v>0</v>
      </c>
      <c r="BA745">
        <v>192941</v>
      </c>
      <c r="BB745">
        <v>5080778</v>
      </c>
      <c r="BC745">
        <v>0</v>
      </c>
      <c r="BD745">
        <v>27300</v>
      </c>
      <c r="BE745">
        <v>17955</v>
      </c>
      <c r="BF745">
        <v>45255</v>
      </c>
      <c r="BG745">
        <v>27300</v>
      </c>
      <c r="BH745">
        <v>0</v>
      </c>
      <c r="BI745">
        <v>0</v>
      </c>
      <c r="BJ745">
        <v>0</v>
      </c>
      <c r="BK745">
        <v>0</v>
      </c>
      <c r="BL745">
        <v>442304293</v>
      </c>
      <c r="BM745">
        <v>0</v>
      </c>
      <c r="BN745">
        <v>720</v>
      </c>
      <c r="BO745">
        <v>342</v>
      </c>
      <c r="BP745">
        <v>0</v>
      </c>
      <c r="BQ745">
        <v>0</v>
      </c>
      <c r="BR745">
        <v>0.91339999999999999</v>
      </c>
      <c r="BS745">
        <v>0.91339999999999999</v>
      </c>
      <c r="BT745">
        <v>0</v>
      </c>
      <c r="BU745">
        <v>0</v>
      </c>
      <c r="BV745">
        <v>0</v>
      </c>
      <c r="BW745">
        <v>165</v>
      </c>
      <c r="BX745">
        <v>9</v>
      </c>
      <c r="BY745">
        <v>0</v>
      </c>
      <c r="BZ745">
        <v>0</v>
      </c>
      <c r="CA745">
        <v>174</v>
      </c>
      <c r="CB745">
        <v>0</v>
      </c>
      <c r="CC745">
        <v>0</v>
      </c>
      <c r="CD745">
        <v>0</v>
      </c>
      <c r="CE745">
        <v>13</v>
      </c>
      <c r="CF745">
        <v>67.052000000000007</v>
      </c>
      <c r="CG745">
        <v>0</v>
      </c>
      <c r="CH745">
        <v>0</v>
      </c>
      <c r="CI745">
        <v>1</v>
      </c>
      <c r="CJ745">
        <v>7</v>
      </c>
      <c r="CK745">
        <v>0</v>
      </c>
      <c r="CL745">
        <v>0</v>
      </c>
      <c r="CM745">
        <v>31.303000000000001</v>
      </c>
      <c r="CN745">
        <v>0</v>
      </c>
      <c r="CO745">
        <v>0</v>
      </c>
      <c r="CP745">
        <v>0</v>
      </c>
      <c r="CQ745">
        <v>0</v>
      </c>
      <c r="CR745">
        <v>0</v>
      </c>
      <c r="CS745">
        <v>0</v>
      </c>
      <c r="CT745">
        <v>0</v>
      </c>
      <c r="CU745">
        <v>0</v>
      </c>
      <c r="CV745">
        <v>13.615</v>
      </c>
      <c r="CW745">
        <v>8.49</v>
      </c>
      <c r="CX745">
        <v>0</v>
      </c>
      <c r="CY745" s="2043">
        <v>0</v>
      </c>
      <c r="CZ745" s="2043">
        <v>0</v>
      </c>
      <c r="DA745" s="2043">
        <v>0</v>
      </c>
      <c r="DB745" s="2043">
        <v>0</v>
      </c>
      <c r="DC745" s="2043">
        <v>170000</v>
      </c>
      <c r="DI745" t="s">
        <v>5839</v>
      </c>
      <c r="DJ745" t="s">
        <v>5839</v>
      </c>
      <c r="DK745" s="2042">
        <f t="shared" si="13"/>
        <v>0</v>
      </c>
    </row>
    <row r="746" spans="1:115">
      <c r="A746" t="s">
        <v>5840</v>
      </c>
      <c r="B746" t="s">
        <v>2144</v>
      </c>
      <c r="C746">
        <v>659.18100000000004</v>
      </c>
      <c r="D746">
        <v>668.08900000000006</v>
      </c>
      <c r="E746">
        <v>12.828000000000001</v>
      </c>
      <c r="F746">
        <v>0</v>
      </c>
      <c r="G746" s="2043">
        <v>678879701</v>
      </c>
      <c r="H746">
        <v>0</v>
      </c>
      <c r="I746" s="2043">
        <v>396950</v>
      </c>
      <c r="J746">
        <v>24</v>
      </c>
      <c r="K746">
        <v>66</v>
      </c>
      <c r="L746">
        <v>0</v>
      </c>
      <c r="M746">
        <v>0</v>
      </c>
      <c r="N746">
        <v>0</v>
      </c>
      <c r="O746">
        <v>0</v>
      </c>
      <c r="P746">
        <v>0</v>
      </c>
      <c r="Q746">
        <v>0</v>
      </c>
      <c r="R746" s="2043">
        <v>6080620</v>
      </c>
      <c r="S746">
        <v>332856</v>
      </c>
      <c r="T746">
        <v>0</v>
      </c>
      <c r="U746">
        <v>0.05</v>
      </c>
      <c r="V746">
        <v>0</v>
      </c>
      <c r="W746">
        <v>0</v>
      </c>
      <c r="X746">
        <v>0</v>
      </c>
      <c r="Y746">
        <v>488670</v>
      </c>
      <c r="Z746">
        <v>0</v>
      </c>
      <c r="AA746">
        <v>0</v>
      </c>
      <c r="AB746">
        <v>661.11200000000008</v>
      </c>
      <c r="AC746" s="2043">
        <v>663603696</v>
      </c>
      <c r="AD746">
        <v>473117</v>
      </c>
      <c r="AE746" s="2043">
        <v>6413476</v>
      </c>
      <c r="AF746">
        <v>0.96340000000000003</v>
      </c>
      <c r="AG746">
        <v>0</v>
      </c>
      <c r="AH746">
        <v>0</v>
      </c>
      <c r="AI746">
        <v>0</v>
      </c>
      <c r="AJ746">
        <v>43.975000000000001</v>
      </c>
      <c r="AK746">
        <v>3047</v>
      </c>
      <c r="AL746">
        <v>1E-3</v>
      </c>
      <c r="AM746">
        <v>0</v>
      </c>
      <c r="AN746">
        <v>33.743000000000002</v>
      </c>
      <c r="AO746">
        <v>0</v>
      </c>
      <c r="AP746">
        <v>7.5600000000000005</v>
      </c>
      <c r="AQ746">
        <v>0</v>
      </c>
      <c r="AR746">
        <v>9.5500000000000007</v>
      </c>
      <c r="AS746">
        <v>0</v>
      </c>
      <c r="AT746">
        <v>0</v>
      </c>
      <c r="AU746">
        <v>1.6880000000000002</v>
      </c>
      <c r="AV746">
        <v>0</v>
      </c>
      <c r="AW746">
        <v>18.798999999999999</v>
      </c>
      <c r="AX746">
        <v>0</v>
      </c>
      <c r="AY746">
        <v>57.507000000000005</v>
      </c>
      <c r="AZ746">
        <v>0</v>
      </c>
      <c r="BA746">
        <v>1399125</v>
      </c>
      <c r="BB746">
        <v>6886593</v>
      </c>
      <c r="BC746">
        <v>0</v>
      </c>
      <c r="BD746">
        <v>37570</v>
      </c>
      <c r="BE746">
        <v>8221</v>
      </c>
      <c r="BF746">
        <v>45791</v>
      </c>
      <c r="BG746">
        <v>37570</v>
      </c>
      <c r="BH746">
        <v>0</v>
      </c>
      <c r="BI746">
        <v>0</v>
      </c>
      <c r="BJ746">
        <v>0</v>
      </c>
      <c r="BK746">
        <v>0</v>
      </c>
      <c r="BL746">
        <v>678879701</v>
      </c>
      <c r="BM746">
        <v>0</v>
      </c>
      <c r="BN746">
        <v>2394</v>
      </c>
      <c r="BO746">
        <v>1969</v>
      </c>
      <c r="BP746">
        <v>0</v>
      </c>
      <c r="BQ746">
        <v>0</v>
      </c>
      <c r="BR746">
        <v>0.91339999999999999</v>
      </c>
      <c r="BS746">
        <v>0.91339999999999999</v>
      </c>
      <c r="BT746">
        <v>488670</v>
      </c>
      <c r="BU746">
        <v>0</v>
      </c>
      <c r="BV746">
        <v>92</v>
      </c>
      <c r="BW746">
        <v>98</v>
      </c>
      <c r="BX746">
        <v>0</v>
      </c>
      <c r="BY746">
        <v>0</v>
      </c>
      <c r="BZ746">
        <v>0</v>
      </c>
      <c r="CA746">
        <v>190</v>
      </c>
      <c r="CB746">
        <v>0</v>
      </c>
      <c r="CC746">
        <v>0</v>
      </c>
      <c r="CD746">
        <v>0</v>
      </c>
      <c r="CE746">
        <v>34</v>
      </c>
      <c r="CF746">
        <v>50.645000000000003</v>
      </c>
      <c r="CG746">
        <v>0</v>
      </c>
      <c r="CH746">
        <v>0</v>
      </c>
      <c r="CI746">
        <v>1</v>
      </c>
      <c r="CJ746">
        <v>11</v>
      </c>
      <c r="CK746">
        <v>0</v>
      </c>
      <c r="CL746">
        <v>0</v>
      </c>
      <c r="CM746">
        <v>12.828000000000001</v>
      </c>
      <c r="CN746">
        <v>0</v>
      </c>
      <c r="CO746">
        <v>0</v>
      </c>
      <c r="CP746">
        <v>0</v>
      </c>
      <c r="CQ746">
        <v>0</v>
      </c>
      <c r="CR746">
        <v>0</v>
      </c>
      <c r="CS746">
        <v>0</v>
      </c>
      <c r="CT746">
        <v>0</v>
      </c>
      <c r="CU746">
        <v>0</v>
      </c>
      <c r="CV746">
        <v>26.965</v>
      </c>
      <c r="CW746">
        <v>6.157</v>
      </c>
      <c r="CX746">
        <v>488670</v>
      </c>
      <c r="CY746" s="2043">
        <v>0</v>
      </c>
      <c r="CZ746" s="2043">
        <v>0</v>
      </c>
      <c r="DA746" s="2043">
        <v>0</v>
      </c>
      <c r="DB746" s="2043">
        <v>0</v>
      </c>
      <c r="DC746" s="2043">
        <v>188216</v>
      </c>
      <c r="DI746" t="s">
        <v>5840</v>
      </c>
      <c r="DJ746" t="s">
        <v>5840</v>
      </c>
      <c r="DK746" s="2042">
        <f t="shared" si="13"/>
        <v>0</v>
      </c>
    </row>
    <row r="747" spans="1:115">
      <c r="A747" t="s">
        <v>5841</v>
      </c>
      <c r="B747" t="s">
        <v>2145</v>
      </c>
      <c r="C747">
        <v>95.364000000000004</v>
      </c>
      <c r="D747">
        <v>104.979</v>
      </c>
      <c r="E747">
        <v>0</v>
      </c>
      <c r="F747">
        <v>0</v>
      </c>
      <c r="G747" s="2043">
        <v>66680677</v>
      </c>
      <c r="H747">
        <v>0</v>
      </c>
      <c r="I747" s="2043">
        <v>0</v>
      </c>
      <c r="J747">
        <v>4.7679999999999998</v>
      </c>
      <c r="K747">
        <v>13</v>
      </c>
      <c r="L747">
        <v>0</v>
      </c>
      <c r="M747">
        <v>0</v>
      </c>
      <c r="N747">
        <v>0</v>
      </c>
      <c r="O747">
        <v>0</v>
      </c>
      <c r="P747">
        <v>0</v>
      </c>
      <c r="Q747">
        <v>0</v>
      </c>
      <c r="R747" s="2043">
        <v>566211</v>
      </c>
      <c r="S747">
        <v>32503</v>
      </c>
      <c r="T747">
        <v>0</v>
      </c>
      <c r="U747">
        <v>0.05</v>
      </c>
      <c r="V747">
        <v>0</v>
      </c>
      <c r="W747">
        <v>0</v>
      </c>
      <c r="X747">
        <v>0</v>
      </c>
      <c r="Y747">
        <v>0</v>
      </c>
      <c r="Z747">
        <v>0</v>
      </c>
      <c r="AA747">
        <v>0</v>
      </c>
      <c r="AB747">
        <v>100.62400000000001</v>
      </c>
      <c r="AC747" s="2043">
        <v>61565874</v>
      </c>
      <c r="AD747">
        <v>0</v>
      </c>
      <c r="AE747" s="2043">
        <v>598714</v>
      </c>
      <c r="AF747">
        <v>0.92100000000000004</v>
      </c>
      <c r="AG747">
        <v>0</v>
      </c>
      <c r="AH747">
        <v>0</v>
      </c>
      <c r="AI747">
        <v>0</v>
      </c>
      <c r="AJ747">
        <v>12.975000000000001</v>
      </c>
      <c r="AK747">
        <v>423</v>
      </c>
      <c r="AL747">
        <v>0</v>
      </c>
      <c r="AM747">
        <v>0</v>
      </c>
      <c r="AN747">
        <v>0.20400000000000001</v>
      </c>
      <c r="AO747">
        <v>0</v>
      </c>
      <c r="AP747">
        <v>0.97600000000000009</v>
      </c>
      <c r="AQ747">
        <v>0</v>
      </c>
      <c r="AR747">
        <v>2.7</v>
      </c>
      <c r="AS747">
        <v>0</v>
      </c>
      <c r="AT747">
        <v>0</v>
      </c>
      <c r="AU747">
        <v>0.13600000000000001</v>
      </c>
      <c r="AV747">
        <v>0</v>
      </c>
      <c r="AW747">
        <v>3.8120000000000003</v>
      </c>
      <c r="AX747">
        <v>0</v>
      </c>
      <c r="AY747">
        <v>11.415000000000001</v>
      </c>
      <c r="AZ747">
        <v>0</v>
      </c>
      <c r="BA747">
        <v>719482</v>
      </c>
      <c r="BB747">
        <v>598714</v>
      </c>
      <c r="BC747">
        <v>0</v>
      </c>
      <c r="BD747">
        <v>10380</v>
      </c>
      <c r="BE747">
        <v>0</v>
      </c>
      <c r="BF747">
        <v>10380</v>
      </c>
      <c r="BG747">
        <v>10380</v>
      </c>
      <c r="BH747">
        <v>0</v>
      </c>
      <c r="BI747">
        <v>0</v>
      </c>
      <c r="BJ747">
        <v>0</v>
      </c>
      <c r="BK747">
        <v>112165</v>
      </c>
      <c r="BL747">
        <v>66680677</v>
      </c>
      <c r="BM747">
        <v>0</v>
      </c>
      <c r="BN747">
        <v>0</v>
      </c>
      <c r="BO747">
        <v>0</v>
      </c>
      <c r="BP747">
        <v>0</v>
      </c>
      <c r="BQ747">
        <v>0</v>
      </c>
      <c r="BR747">
        <v>0.871</v>
      </c>
      <c r="BS747">
        <v>0.871</v>
      </c>
      <c r="BT747">
        <v>0</v>
      </c>
      <c r="BU747">
        <v>0</v>
      </c>
      <c r="BV747">
        <v>6</v>
      </c>
      <c r="BW747">
        <v>15</v>
      </c>
      <c r="BX747">
        <v>28</v>
      </c>
      <c r="BY747">
        <v>3</v>
      </c>
      <c r="BZ747">
        <v>1</v>
      </c>
      <c r="CA747">
        <v>53</v>
      </c>
      <c r="CB747">
        <v>0</v>
      </c>
      <c r="CC747">
        <v>0</v>
      </c>
      <c r="CD747">
        <v>0</v>
      </c>
      <c r="CE747">
        <v>4</v>
      </c>
      <c r="CF747">
        <v>18.66</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s="2043">
        <v>0</v>
      </c>
      <c r="CZ747" s="2043">
        <v>0</v>
      </c>
      <c r="DA747" s="2043">
        <v>112165</v>
      </c>
      <c r="DB747" s="2043">
        <v>0</v>
      </c>
      <c r="DC747" s="2043">
        <v>0</v>
      </c>
      <c r="DI747" t="s">
        <v>5841</v>
      </c>
      <c r="DJ747" t="s">
        <v>5841</v>
      </c>
      <c r="DK747" s="2042">
        <f t="shared" si="13"/>
        <v>0</v>
      </c>
    </row>
    <row r="748" spans="1:115">
      <c r="A748" t="s">
        <v>5842</v>
      </c>
      <c r="B748" t="s">
        <v>2146</v>
      </c>
      <c r="C748">
        <v>119.551</v>
      </c>
      <c r="D748">
        <v>127.62100000000001</v>
      </c>
      <c r="E748">
        <v>0</v>
      </c>
      <c r="F748">
        <v>0</v>
      </c>
      <c r="G748" s="2043">
        <v>81249236</v>
      </c>
      <c r="H748">
        <v>0</v>
      </c>
      <c r="I748" s="2043">
        <v>0</v>
      </c>
      <c r="J748">
        <v>5.9780000000000006</v>
      </c>
      <c r="K748">
        <v>16</v>
      </c>
      <c r="L748">
        <v>0</v>
      </c>
      <c r="M748">
        <v>0</v>
      </c>
      <c r="N748">
        <v>0</v>
      </c>
      <c r="O748">
        <v>0</v>
      </c>
      <c r="P748">
        <v>0</v>
      </c>
      <c r="Q748">
        <v>0</v>
      </c>
      <c r="R748" s="2043">
        <v>736000</v>
      </c>
      <c r="S748">
        <v>40289</v>
      </c>
      <c r="T748">
        <v>0</v>
      </c>
      <c r="U748">
        <v>0.05</v>
      </c>
      <c r="V748">
        <v>0</v>
      </c>
      <c r="W748">
        <v>0</v>
      </c>
      <c r="X748">
        <v>0</v>
      </c>
      <c r="Y748">
        <v>0</v>
      </c>
      <c r="Z748">
        <v>0</v>
      </c>
      <c r="AA748">
        <v>0</v>
      </c>
      <c r="AB748">
        <v>127.62100000000001</v>
      </c>
      <c r="AC748" s="2043">
        <v>77369750</v>
      </c>
      <c r="AD748">
        <v>0</v>
      </c>
      <c r="AE748" s="2043">
        <v>776289</v>
      </c>
      <c r="AF748">
        <v>0.96340000000000003</v>
      </c>
      <c r="AG748">
        <v>0</v>
      </c>
      <c r="AH748">
        <v>0</v>
      </c>
      <c r="AI748">
        <v>0</v>
      </c>
      <c r="AJ748">
        <v>7.2</v>
      </c>
      <c r="AK748">
        <v>335</v>
      </c>
      <c r="AL748">
        <v>0</v>
      </c>
      <c r="AM748">
        <v>0</v>
      </c>
      <c r="AN748">
        <v>2.6430000000000002</v>
      </c>
      <c r="AO748">
        <v>0</v>
      </c>
      <c r="AP748">
        <v>0</v>
      </c>
      <c r="AQ748">
        <v>0</v>
      </c>
      <c r="AR748">
        <v>1.661</v>
      </c>
      <c r="AS748">
        <v>0</v>
      </c>
      <c r="AT748">
        <v>5.2000000000000005E-2</v>
      </c>
      <c r="AU748">
        <v>0.222</v>
      </c>
      <c r="AV748">
        <v>0</v>
      </c>
      <c r="AW748">
        <v>1.9350000000000001</v>
      </c>
      <c r="AX748">
        <v>0</v>
      </c>
      <c r="AY748">
        <v>6.2490000000000006</v>
      </c>
      <c r="AZ748">
        <v>0</v>
      </c>
      <c r="BA748">
        <v>878501</v>
      </c>
      <c r="BB748">
        <v>776289</v>
      </c>
      <c r="BC748">
        <v>0</v>
      </c>
      <c r="BD748">
        <v>12240</v>
      </c>
      <c r="BE748">
        <v>0</v>
      </c>
      <c r="BF748">
        <v>12240</v>
      </c>
      <c r="BG748">
        <v>12240</v>
      </c>
      <c r="BH748">
        <v>0</v>
      </c>
      <c r="BI748">
        <v>0</v>
      </c>
      <c r="BJ748">
        <v>0</v>
      </c>
      <c r="BK748">
        <v>239473</v>
      </c>
      <c r="BL748">
        <v>81249236</v>
      </c>
      <c r="BM748">
        <v>0</v>
      </c>
      <c r="BN748">
        <v>0</v>
      </c>
      <c r="BO748">
        <v>0</v>
      </c>
      <c r="BP748">
        <v>0</v>
      </c>
      <c r="BQ748">
        <v>0</v>
      </c>
      <c r="BR748">
        <v>0.91339999999999999</v>
      </c>
      <c r="BS748">
        <v>0.91339999999999999</v>
      </c>
      <c r="BT748">
        <v>0</v>
      </c>
      <c r="BU748">
        <v>0</v>
      </c>
      <c r="BV748">
        <v>10</v>
      </c>
      <c r="BW748">
        <v>10</v>
      </c>
      <c r="BX748">
        <v>6</v>
      </c>
      <c r="BY748">
        <v>2</v>
      </c>
      <c r="BZ748">
        <v>2</v>
      </c>
      <c r="CA748">
        <v>30</v>
      </c>
      <c r="CB748">
        <v>0</v>
      </c>
      <c r="CC748">
        <v>0</v>
      </c>
      <c r="CD748">
        <v>0</v>
      </c>
      <c r="CE748">
        <v>6</v>
      </c>
      <c r="CF748">
        <v>14.359</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s="2043">
        <v>0</v>
      </c>
      <c r="CZ748" s="2043">
        <v>0</v>
      </c>
      <c r="DA748" s="2043">
        <v>239473</v>
      </c>
      <c r="DB748" s="2043">
        <v>0</v>
      </c>
      <c r="DC748" s="2043">
        <v>0</v>
      </c>
      <c r="DI748" t="s">
        <v>5842</v>
      </c>
      <c r="DJ748" t="s">
        <v>5842</v>
      </c>
      <c r="DK748" s="2042">
        <f t="shared" si="13"/>
        <v>0</v>
      </c>
    </row>
    <row r="749" spans="1:115">
      <c r="A749" t="s">
        <v>5140</v>
      </c>
      <c r="B749" t="s">
        <v>2443</v>
      </c>
      <c r="C749">
        <v>78.445999999999998</v>
      </c>
      <c r="D749">
        <v>75.418000000000006</v>
      </c>
      <c r="E749">
        <v>0</v>
      </c>
      <c r="F749">
        <v>0</v>
      </c>
      <c r="G749" s="2043">
        <v>94051145</v>
      </c>
      <c r="H749">
        <v>0</v>
      </c>
      <c r="I749" s="2043">
        <v>224575</v>
      </c>
      <c r="J749">
        <v>0</v>
      </c>
      <c r="K749">
        <v>0</v>
      </c>
      <c r="L749">
        <v>0</v>
      </c>
      <c r="M749">
        <v>0</v>
      </c>
      <c r="N749">
        <v>0</v>
      </c>
      <c r="O749">
        <v>0</v>
      </c>
      <c r="P749">
        <v>0</v>
      </c>
      <c r="Q749">
        <v>0</v>
      </c>
      <c r="R749" s="2043">
        <v>794570</v>
      </c>
      <c r="S749">
        <v>44020</v>
      </c>
      <c r="T749">
        <v>0</v>
      </c>
      <c r="U749">
        <v>0.05</v>
      </c>
      <c r="V749">
        <v>0</v>
      </c>
      <c r="W749">
        <v>0</v>
      </c>
      <c r="X749">
        <v>0</v>
      </c>
      <c r="Y749">
        <v>0</v>
      </c>
      <c r="Z749">
        <v>0.88300000000000001</v>
      </c>
      <c r="AA749">
        <v>0</v>
      </c>
      <c r="AB749">
        <v>75.418000000000006</v>
      </c>
      <c r="AC749" s="2043">
        <v>87040467</v>
      </c>
      <c r="AD749">
        <v>237872</v>
      </c>
      <c r="AE749" s="2043">
        <v>838590</v>
      </c>
      <c r="AF749">
        <v>0.95250000000000001</v>
      </c>
      <c r="AG749">
        <v>0</v>
      </c>
      <c r="AH749">
        <v>0</v>
      </c>
      <c r="AI749">
        <v>0</v>
      </c>
      <c r="AJ749">
        <v>12.475000000000001</v>
      </c>
      <c r="AK749">
        <v>226</v>
      </c>
      <c r="AL749">
        <v>0</v>
      </c>
      <c r="AM749">
        <v>0</v>
      </c>
      <c r="AN749">
        <v>1.6920000000000002</v>
      </c>
      <c r="AO749">
        <v>0</v>
      </c>
      <c r="AP749">
        <v>0</v>
      </c>
      <c r="AQ749">
        <v>0</v>
      </c>
      <c r="AR749">
        <v>0.82800000000000007</v>
      </c>
      <c r="AS749">
        <v>0</v>
      </c>
      <c r="AT749">
        <v>0.46</v>
      </c>
      <c r="AU749">
        <v>7.8E-2</v>
      </c>
      <c r="AV749">
        <v>0</v>
      </c>
      <c r="AW749">
        <v>1.3660000000000001</v>
      </c>
      <c r="AX749">
        <v>0</v>
      </c>
      <c r="AY749">
        <v>4.2540000000000004</v>
      </c>
      <c r="AZ749">
        <v>0</v>
      </c>
      <c r="BA749">
        <v>253041</v>
      </c>
      <c r="BB749">
        <v>1076462</v>
      </c>
      <c r="BC749">
        <v>0</v>
      </c>
      <c r="BD749">
        <v>21546</v>
      </c>
      <c r="BE749">
        <v>0</v>
      </c>
      <c r="BF749">
        <v>21546</v>
      </c>
      <c r="BG749">
        <v>21546</v>
      </c>
      <c r="BH749">
        <v>0</v>
      </c>
      <c r="BI749">
        <v>0</v>
      </c>
      <c r="BJ749">
        <v>0</v>
      </c>
      <c r="BK749">
        <v>132560</v>
      </c>
      <c r="BL749">
        <v>94051145</v>
      </c>
      <c r="BM749">
        <v>0</v>
      </c>
      <c r="BN749">
        <v>0</v>
      </c>
      <c r="BO749">
        <v>0</v>
      </c>
      <c r="BP749">
        <v>0</v>
      </c>
      <c r="BQ749">
        <v>0</v>
      </c>
      <c r="BR749">
        <v>0.90250000000000008</v>
      </c>
      <c r="BS749">
        <v>0.90250000000000008</v>
      </c>
      <c r="BT749">
        <v>0</v>
      </c>
      <c r="BU749">
        <v>0</v>
      </c>
      <c r="BV749">
        <v>33</v>
      </c>
      <c r="BW749">
        <v>5</v>
      </c>
      <c r="BX749">
        <v>6</v>
      </c>
      <c r="BY749">
        <v>9</v>
      </c>
      <c r="BZ749">
        <v>0</v>
      </c>
      <c r="CA749">
        <v>53</v>
      </c>
      <c r="CB749">
        <v>0</v>
      </c>
      <c r="CC749">
        <v>0</v>
      </c>
      <c r="CD749">
        <v>0</v>
      </c>
      <c r="CE749">
        <v>2</v>
      </c>
      <c r="CF749">
        <v>20.63</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s="2043">
        <v>0</v>
      </c>
      <c r="CZ749" s="2043">
        <v>0</v>
      </c>
      <c r="DA749" s="2043">
        <v>132560</v>
      </c>
      <c r="DB749" s="2043">
        <v>0</v>
      </c>
      <c r="DC749" s="2043">
        <v>29913</v>
      </c>
      <c r="DI749" t="s">
        <v>5140</v>
      </c>
      <c r="DJ749" t="s">
        <v>5140</v>
      </c>
      <c r="DK749" s="2042">
        <f t="shared" si="13"/>
        <v>0</v>
      </c>
    </row>
    <row r="750" spans="1:115">
      <c r="A750" t="s">
        <v>5141</v>
      </c>
      <c r="B750" t="s">
        <v>2444</v>
      </c>
      <c r="C750">
        <v>1774.3580000000002</v>
      </c>
      <c r="D750">
        <v>1788.0160000000001</v>
      </c>
      <c r="E750">
        <v>209.77500000000001</v>
      </c>
      <c r="F750">
        <v>0</v>
      </c>
      <c r="G750" s="2043">
        <v>957303222</v>
      </c>
      <c r="H750">
        <v>0</v>
      </c>
      <c r="I750" s="2043">
        <v>2340200</v>
      </c>
      <c r="J750">
        <v>88.718000000000004</v>
      </c>
      <c r="K750">
        <v>243</v>
      </c>
      <c r="L750">
        <v>0</v>
      </c>
      <c r="M750">
        <v>0</v>
      </c>
      <c r="N750">
        <v>0</v>
      </c>
      <c r="O750">
        <v>0</v>
      </c>
      <c r="P750">
        <v>0</v>
      </c>
      <c r="Q750">
        <v>0</v>
      </c>
      <c r="R750" s="2043">
        <v>8323043</v>
      </c>
      <c r="S750">
        <v>733793</v>
      </c>
      <c r="T750">
        <v>118324</v>
      </c>
      <c r="U750">
        <v>0.08</v>
      </c>
      <c r="V750">
        <v>0</v>
      </c>
      <c r="W750">
        <v>0</v>
      </c>
      <c r="X750">
        <v>0</v>
      </c>
      <c r="Y750">
        <v>712136</v>
      </c>
      <c r="Z750">
        <v>10.455</v>
      </c>
      <c r="AA750">
        <v>0</v>
      </c>
      <c r="AB750">
        <v>1748.231</v>
      </c>
      <c r="AC750" s="2043">
        <v>827159074</v>
      </c>
      <c r="AD750">
        <v>2117024</v>
      </c>
      <c r="AE750" s="2043">
        <v>9175160</v>
      </c>
      <c r="AF750">
        <v>1.0003</v>
      </c>
      <c r="AG750">
        <v>0</v>
      </c>
      <c r="AH750">
        <v>0</v>
      </c>
      <c r="AI750">
        <v>0</v>
      </c>
      <c r="AJ750">
        <v>328.88800000000003</v>
      </c>
      <c r="AK750">
        <v>5145</v>
      </c>
      <c r="AL750">
        <v>0.34200000000000003</v>
      </c>
      <c r="AM750">
        <v>0</v>
      </c>
      <c r="AN750">
        <v>68.350999999999999</v>
      </c>
      <c r="AO750">
        <v>1.4000000000000001</v>
      </c>
      <c r="AP750">
        <v>0</v>
      </c>
      <c r="AQ750">
        <v>0</v>
      </c>
      <c r="AR750">
        <v>15.205</v>
      </c>
      <c r="AS750">
        <v>0</v>
      </c>
      <c r="AT750">
        <v>17.591000000000001</v>
      </c>
      <c r="AU750">
        <v>3.9450000000000003</v>
      </c>
      <c r="AV750">
        <v>0</v>
      </c>
      <c r="AW750">
        <v>40.869999999999997</v>
      </c>
      <c r="AX750">
        <v>3.7870000000000004</v>
      </c>
      <c r="AY750">
        <v>128.53300000000002</v>
      </c>
      <c r="AZ750">
        <v>0</v>
      </c>
      <c r="BA750">
        <v>9264822</v>
      </c>
      <c r="BB750">
        <v>11292184</v>
      </c>
      <c r="BC750">
        <v>0</v>
      </c>
      <c r="BD750">
        <v>149037</v>
      </c>
      <c r="BE750">
        <v>33125</v>
      </c>
      <c r="BF750">
        <v>182162</v>
      </c>
      <c r="BG750">
        <v>149037</v>
      </c>
      <c r="BH750">
        <v>0</v>
      </c>
      <c r="BI750">
        <v>0</v>
      </c>
      <c r="BJ750">
        <v>0</v>
      </c>
      <c r="BK750">
        <v>0</v>
      </c>
      <c r="BL750">
        <v>957303222</v>
      </c>
      <c r="BM750">
        <v>0</v>
      </c>
      <c r="BN750">
        <v>7641</v>
      </c>
      <c r="BO750">
        <v>4355</v>
      </c>
      <c r="BP750">
        <v>0</v>
      </c>
      <c r="BQ750">
        <v>0</v>
      </c>
      <c r="BR750">
        <v>0.9074000000000001</v>
      </c>
      <c r="BS750">
        <v>0.9074000000000001</v>
      </c>
      <c r="BT750">
        <v>712136</v>
      </c>
      <c r="BU750">
        <v>0</v>
      </c>
      <c r="BV750">
        <v>276</v>
      </c>
      <c r="BW750">
        <v>286</v>
      </c>
      <c r="BX750">
        <v>171</v>
      </c>
      <c r="BY750">
        <v>315</v>
      </c>
      <c r="BZ750">
        <v>267</v>
      </c>
      <c r="CA750">
        <v>1315</v>
      </c>
      <c r="CB750">
        <v>0</v>
      </c>
      <c r="CC750">
        <v>0</v>
      </c>
      <c r="CD750">
        <v>0</v>
      </c>
      <c r="CE750">
        <v>76</v>
      </c>
      <c r="CF750">
        <v>438.09100000000001</v>
      </c>
      <c r="CG750">
        <v>0</v>
      </c>
      <c r="CH750">
        <v>0</v>
      </c>
      <c r="CI750">
        <v>0</v>
      </c>
      <c r="CJ750">
        <v>12</v>
      </c>
      <c r="CK750">
        <v>0</v>
      </c>
      <c r="CL750">
        <v>0</v>
      </c>
      <c r="CM750">
        <v>209.77500000000001</v>
      </c>
      <c r="CN750">
        <v>0</v>
      </c>
      <c r="CO750">
        <v>0</v>
      </c>
      <c r="CP750">
        <v>0</v>
      </c>
      <c r="CQ750">
        <v>0</v>
      </c>
      <c r="CR750">
        <v>0</v>
      </c>
      <c r="CS750">
        <v>0</v>
      </c>
      <c r="CT750">
        <v>0</v>
      </c>
      <c r="CU750">
        <v>4.3650000000000002</v>
      </c>
      <c r="CV750">
        <v>71.623000000000005</v>
      </c>
      <c r="CW750">
        <v>26.941000000000003</v>
      </c>
      <c r="CX750">
        <v>712136</v>
      </c>
      <c r="CY750" s="2043">
        <v>0</v>
      </c>
      <c r="CZ750" s="2043">
        <v>0</v>
      </c>
      <c r="DA750" s="2043">
        <v>0</v>
      </c>
      <c r="DB750" s="2043">
        <v>0</v>
      </c>
      <c r="DC750" s="2043">
        <v>0</v>
      </c>
      <c r="DI750" t="s">
        <v>5141</v>
      </c>
      <c r="DJ750" t="s">
        <v>5141</v>
      </c>
      <c r="DK750" s="2042">
        <f t="shared" si="13"/>
        <v>0</v>
      </c>
    </row>
    <row r="751" spans="1:115">
      <c r="A751" t="s">
        <v>5142</v>
      </c>
      <c r="B751" t="s">
        <v>2445</v>
      </c>
      <c r="C751">
        <v>1015.5360000000001</v>
      </c>
      <c r="D751">
        <v>1012.3190000000001</v>
      </c>
      <c r="E751">
        <v>46.955000000000005</v>
      </c>
      <c r="F751">
        <v>0</v>
      </c>
      <c r="G751" s="2043">
        <v>525884364</v>
      </c>
      <c r="H751">
        <v>0</v>
      </c>
      <c r="I751" s="2043">
        <v>621975</v>
      </c>
      <c r="J751">
        <v>50.777000000000001</v>
      </c>
      <c r="K751">
        <v>139</v>
      </c>
      <c r="L751">
        <v>0</v>
      </c>
      <c r="M751">
        <v>0</v>
      </c>
      <c r="N751">
        <v>0</v>
      </c>
      <c r="O751">
        <v>0</v>
      </c>
      <c r="P751">
        <v>0</v>
      </c>
      <c r="Q751">
        <v>0</v>
      </c>
      <c r="R751" s="2043">
        <v>4314822</v>
      </c>
      <c r="S751">
        <v>419934</v>
      </c>
      <c r="T751">
        <v>306027</v>
      </c>
      <c r="U751">
        <v>0.08</v>
      </c>
      <c r="V751">
        <v>0</v>
      </c>
      <c r="W751">
        <v>0</v>
      </c>
      <c r="X751">
        <v>0</v>
      </c>
      <c r="Y751">
        <v>-1008</v>
      </c>
      <c r="Z751">
        <v>3.7870000000000004</v>
      </c>
      <c r="AA751">
        <v>0</v>
      </c>
      <c r="AB751">
        <v>1004.072</v>
      </c>
      <c r="AC751" s="2043">
        <v>432203733</v>
      </c>
      <c r="AD751">
        <v>689605</v>
      </c>
      <c r="AE751" s="2043">
        <v>5040783</v>
      </c>
      <c r="AF751">
        <v>0.96030000000000004</v>
      </c>
      <c r="AG751">
        <v>0</v>
      </c>
      <c r="AH751">
        <v>0</v>
      </c>
      <c r="AI751">
        <v>0</v>
      </c>
      <c r="AJ751">
        <v>94.5</v>
      </c>
      <c r="AK751">
        <v>4650</v>
      </c>
      <c r="AL751">
        <v>0</v>
      </c>
      <c r="AM751">
        <v>0</v>
      </c>
      <c r="AN751">
        <v>20.907</v>
      </c>
      <c r="AO751">
        <v>0</v>
      </c>
      <c r="AP751">
        <v>0</v>
      </c>
      <c r="AQ751">
        <v>0</v>
      </c>
      <c r="AR751">
        <v>31.068000000000001</v>
      </c>
      <c r="AS751">
        <v>0</v>
      </c>
      <c r="AT751">
        <v>9.1170000000000009</v>
      </c>
      <c r="AU751">
        <v>2.2310000000000003</v>
      </c>
      <c r="AV751">
        <v>0</v>
      </c>
      <c r="AW751">
        <v>42.416000000000004</v>
      </c>
      <c r="AX751">
        <v>0</v>
      </c>
      <c r="AY751">
        <v>131.71</v>
      </c>
      <c r="AZ751">
        <v>0</v>
      </c>
      <c r="BA751">
        <v>7579049</v>
      </c>
      <c r="BB751">
        <v>5730388</v>
      </c>
      <c r="BC751">
        <v>0</v>
      </c>
      <c r="BD751">
        <v>177473</v>
      </c>
      <c r="BE751">
        <v>22467</v>
      </c>
      <c r="BF751">
        <v>224213</v>
      </c>
      <c r="BG751">
        <v>177473</v>
      </c>
      <c r="BH751">
        <v>24273</v>
      </c>
      <c r="BI751">
        <v>0</v>
      </c>
      <c r="BJ751">
        <v>-1008</v>
      </c>
      <c r="BK751">
        <v>0</v>
      </c>
      <c r="BL751">
        <v>525884364</v>
      </c>
      <c r="BM751">
        <v>0</v>
      </c>
      <c r="BN751">
        <v>3609</v>
      </c>
      <c r="BO751">
        <v>3349</v>
      </c>
      <c r="BP751">
        <v>0</v>
      </c>
      <c r="BQ751">
        <v>0</v>
      </c>
      <c r="BR751">
        <v>0.82200000000000006</v>
      </c>
      <c r="BS751">
        <v>0.82200000000000006</v>
      </c>
      <c r="BT751">
        <v>0</v>
      </c>
      <c r="BU751">
        <v>0</v>
      </c>
      <c r="BV751">
        <v>268</v>
      </c>
      <c r="BW751">
        <v>144</v>
      </c>
      <c r="BX751">
        <v>0</v>
      </c>
      <c r="BY751">
        <v>0</v>
      </c>
      <c r="BZ751">
        <v>0</v>
      </c>
      <c r="CA751">
        <v>412</v>
      </c>
      <c r="CB751">
        <v>0</v>
      </c>
      <c r="CC751">
        <v>0</v>
      </c>
      <c r="CD751">
        <v>0</v>
      </c>
      <c r="CE751">
        <v>113</v>
      </c>
      <c r="CF751">
        <v>123.96100000000001</v>
      </c>
      <c r="CG751">
        <v>0</v>
      </c>
      <c r="CH751">
        <v>0</v>
      </c>
      <c r="CI751">
        <v>4</v>
      </c>
      <c r="CJ751">
        <v>14</v>
      </c>
      <c r="CK751">
        <v>0</v>
      </c>
      <c r="CL751">
        <v>0</v>
      </c>
      <c r="CM751">
        <v>46.955000000000005</v>
      </c>
      <c r="CN751">
        <v>0</v>
      </c>
      <c r="CO751">
        <v>0</v>
      </c>
      <c r="CP751">
        <v>0</v>
      </c>
      <c r="CQ751">
        <v>0</v>
      </c>
      <c r="CR751">
        <v>0</v>
      </c>
      <c r="CS751">
        <v>0</v>
      </c>
      <c r="CT751">
        <v>0</v>
      </c>
      <c r="CU751">
        <v>10.372</v>
      </c>
      <c r="CV751">
        <v>89.832999999999998</v>
      </c>
      <c r="CW751">
        <v>68.555999999999997</v>
      </c>
      <c r="CX751">
        <v>0</v>
      </c>
      <c r="CY751" s="2043">
        <v>0</v>
      </c>
      <c r="CZ751" s="2043">
        <v>0</v>
      </c>
      <c r="DA751" s="2043">
        <v>0</v>
      </c>
      <c r="DB751" s="2043">
        <v>0</v>
      </c>
      <c r="DC751" s="2043">
        <v>0</v>
      </c>
      <c r="DI751" t="s">
        <v>5142</v>
      </c>
      <c r="DJ751" t="s">
        <v>5142</v>
      </c>
      <c r="DK751" s="2042">
        <f t="shared" si="13"/>
        <v>0</v>
      </c>
    </row>
    <row r="752" spans="1:115">
      <c r="A752" t="s">
        <v>5843</v>
      </c>
      <c r="B752" t="s">
        <v>2446</v>
      </c>
      <c r="C752">
        <v>166.959</v>
      </c>
      <c r="D752">
        <v>148.54400000000001</v>
      </c>
      <c r="E752">
        <v>25.539000000000001</v>
      </c>
      <c r="F752">
        <v>0</v>
      </c>
      <c r="G752" s="2043">
        <v>156900784</v>
      </c>
      <c r="H752">
        <v>0</v>
      </c>
      <c r="I752" s="2043">
        <v>153900</v>
      </c>
      <c r="J752">
        <v>8.3480000000000008</v>
      </c>
      <c r="K752">
        <v>23</v>
      </c>
      <c r="L752">
        <v>0</v>
      </c>
      <c r="M752">
        <v>0</v>
      </c>
      <c r="N752">
        <v>0</v>
      </c>
      <c r="O752">
        <v>0</v>
      </c>
      <c r="P752">
        <v>0</v>
      </c>
      <c r="Q752">
        <v>0</v>
      </c>
      <c r="R752" s="2043">
        <v>1412362</v>
      </c>
      <c r="S752">
        <v>123702</v>
      </c>
      <c r="T752">
        <v>90147</v>
      </c>
      <c r="U752">
        <v>0.08</v>
      </c>
      <c r="V752">
        <v>0</v>
      </c>
      <c r="W752">
        <v>0</v>
      </c>
      <c r="X752">
        <v>0</v>
      </c>
      <c r="Y752">
        <v>33871</v>
      </c>
      <c r="Z752">
        <v>0</v>
      </c>
      <c r="AA752">
        <v>0</v>
      </c>
      <c r="AB752">
        <v>148.54400000000001</v>
      </c>
      <c r="AC752" s="2043">
        <v>131880905</v>
      </c>
      <c r="AD752">
        <v>154109</v>
      </c>
      <c r="AE752" s="2043">
        <v>1626211</v>
      </c>
      <c r="AF752">
        <v>1.0517000000000001</v>
      </c>
      <c r="AG752">
        <v>0</v>
      </c>
      <c r="AH752">
        <v>0</v>
      </c>
      <c r="AI752">
        <v>0</v>
      </c>
      <c r="AJ752">
        <v>29.875</v>
      </c>
      <c r="AK752">
        <v>1116</v>
      </c>
      <c r="AL752">
        <v>0</v>
      </c>
      <c r="AM752">
        <v>0</v>
      </c>
      <c r="AN752">
        <v>17.89</v>
      </c>
      <c r="AO752">
        <v>0</v>
      </c>
      <c r="AP752">
        <v>0</v>
      </c>
      <c r="AQ752">
        <v>0</v>
      </c>
      <c r="AR752">
        <v>2.504</v>
      </c>
      <c r="AS752">
        <v>0</v>
      </c>
      <c r="AT752">
        <v>0.27500000000000002</v>
      </c>
      <c r="AU752">
        <v>0.45300000000000001</v>
      </c>
      <c r="AV752">
        <v>0</v>
      </c>
      <c r="AW752">
        <v>3.2320000000000002</v>
      </c>
      <c r="AX752">
        <v>0</v>
      </c>
      <c r="AY752">
        <v>10.602</v>
      </c>
      <c r="AZ752">
        <v>0</v>
      </c>
      <c r="BA752">
        <v>986953</v>
      </c>
      <c r="BB752">
        <v>1780320</v>
      </c>
      <c r="BC752">
        <v>0</v>
      </c>
      <c r="BD752">
        <v>21870</v>
      </c>
      <c r="BE752">
        <v>0</v>
      </c>
      <c r="BF752">
        <v>21870</v>
      </c>
      <c r="BG752">
        <v>21870</v>
      </c>
      <c r="BH752">
        <v>0</v>
      </c>
      <c r="BI752">
        <v>0</v>
      </c>
      <c r="BJ752">
        <v>0</v>
      </c>
      <c r="BK752">
        <v>0</v>
      </c>
      <c r="BL752">
        <v>156900784</v>
      </c>
      <c r="BM752">
        <v>0</v>
      </c>
      <c r="BN752">
        <v>477</v>
      </c>
      <c r="BO752">
        <v>449</v>
      </c>
      <c r="BP752">
        <v>0</v>
      </c>
      <c r="BQ752">
        <v>0</v>
      </c>
      <c r="BR752">
        <v>0.91339999999999999</v>
      </c>
      <c r="BS752">
        <v>0.91339999999999999</v>
      </c>
      <c r="BT752">
        <v>0</v>
      </c>
      <c r="BU752">
        <v>0</v>
      </c>
      <c r="BV752">
        <v>4</v>
      </c>
      <c r="BW752">
        <v>122</v>
      </c>
      <c r="BX752">
        <v>0</v>
      </c>
      <c r="BY752">
        <v>0</v>
      </c>
      <c r="BZ752">
        <v>0</v>
      </c>
      <c r="CA752">
        <v>126</v>
      </c>
      <c r="CB752">
        <v>0</v>
      </c>
      <c r="CC752">
        <v>0</v>
      </c>
      <c r="CD752">
        <v>0</v>
      </c>
      <c r="CE752">
        <v>10</v>
      </c>
      <c r="CF752">
        <v>40.356000000000002</v>
      </c>
      <c r="CG752">
        <v>0</v>
      </c>
      <c r="CH752">
        <v>0</v>
      </c>
      <c r="CI752">
        <v>2</v>
      </c>
      <c r="CJ752">
        <v>0</v>
      </c>
      <c r="CK752">
        <v>0</v>
      </c>
      <c r="CL752">
        <v>0</v>
      </c>
      <c r="CM752">
        <v>25.539000000000001</v>
      </c>
      <c r="CN752">
        <v>0</v>
      </c>
      <c r="CO752">
        <v>0</v>
      </c>
      <c r="CP752">
        <v>0</v>
      </c>
      <c r="CQ752">
        <v>0</v>
      </c>
      <c r="CR752">
        <v>0</v>
      </c>
      <c r="CS752">
        <v>0</v>
      </c>
      <c r="CT752">
        <v>0</v>
      </c>
      <c r="CU752">
        <v>0</v>
      </c>
      <c r="CV752">
        <v>9.2530000000000001</v>
      </c>
      <c r="CW752">
        <v>6.7050000000000001</v>
      </c>
      <c r="CX752">
        <v>0</v>
      </c>
      <c r="CY752" s="2043">
        <v>33871</v>
      </c>
      <c r="CZ752" s="2043">
        <v>0</v>
      </c>
      <c r="DA752" s="2043">
        <v>0</v>
      </c>
      <c r="DB752" s="2043">
        <v>0</v>
      </c>
      <c r="DC752" s="2043">
        <v>65199</v>
      </c>
      <c r="DI752" t="s">
        <v>5843</v>
      </c>
      <c r="DJ752" t="s">
        <v>5843</v>
      </c>
      <c r="DK752" s="2042">
        <f t="shared" si="13"/>
        <v>0</v>
      </c>
    </row>
    <row r="753" spans="1:115">
      <c r="A753" t="s">
        <v>5143</v>
      </c>
      <c r="B753" t="s">
        <v>2447</v>
      </c>
      <c r="C753">
        <v>922.31900000000007</v>
      </c>
      <c r="D753">
        <v>874.71199999999999</v>
      </c>
      <c r="E753">
        <v>162.61000000000001</v>
      </c>
      <c r="F753">
        <v>0</v>
      </c>
      <c r="G753" s="2043">
        <v>518052282</v>
      </c>
      <c r="H753">
        <v>0</v>
      </c>
      <c r="I753" s="2043">
        <v>1441072</v>
      </c>
      <c r="J753">
        <v>46.116</v>
      </c>
      <c r="K753">
        <v>126</v>
      </c>
      <c r="L753">
        <v>0</v>
      </c>
      <c r="M753">
        <v>0</v>
      </c>
      <c r="N753">
        <v>0</v>
      </c>
      <c r="O753">
        <v>0</v>
      </c>
      <c r="P753">
        <v>0</v>
      </c>
      <c r="Q753">
        <v>0</v>
      </c>
      <c r="R753" s="2043">
        <v>4404095</v>
      </c>
      <c r="S753">
        <v>405440</v>
      </c>
      <c r="T753">
        <v>295465</v>
      </c>
      <c r="U753">
        <v>0.08</v>
      </c>
      <c r="V753">
        <v>0</v>
      </c>
      <c r="W753">
        <v>0</v>
      </c>
      <c r="X753">
        <v>0</v>
      </c>
      <c r="Y753">
        <v>0</v>
      </c>
      <c r="Z753">
        <v>0</v>
      </c>
      <c r="AA753">
        <v>0.26600000000000001</v>
      </c>
      <c r="AB753">
        <v>874.71199999999999</v>
      </c>
      <c r="AC753" s="2043">
        <v>422157780</v>
      </c>
      <c r="AD753">
        <v>1515000</v>
      </c>
      <c r="AE753" s="2043">
        <v>5105000</v>
      </c>
      <c r="AF753">
        <v>1.0073000000000001</v>
      </c>
      <c r="AG753">
        <v>0</v>
      </c>
      <c r="AH753">
        <v>0</v>
      </c>
      <c r="AI753">
        <v>0</v>
      </c>
      <c r="AJ753">
        <v>171.31300000000002</v>
      </c>
      <c r="AK753">
        <v>3504</v>
      </c>
      <c r="AL753">
        <v>9.0000000000000011E-3</v>
      </c>
      <c r="AM753">
        <v>0</v>
      </c>
      <c r="AN753">
        <v>52.422000000000004</v>
      </c>
      <c r="AO753">
        <v>0</v>
      </c>
      <c r="AP753">
        <v>0</v>
      </c>
      <c r="AQ753">
        <v>0</v>
      </c>
      <c r="AR753">
        <v>9.6669999999999998</v>
      </c>
      <c r="AS753">
        <v>0</v>
      </c>
      <c r="AT753">
        <v>7.1130000000000004</v>
      </c>
      <c r="AU753">
        <v>1.244</v>
      </c>
      <c r="AV753">
        <v>0</v>
      </c>
      <c r="AW753">
        <v>18.033000000000001</v>
      </c>
      <c r="AX753">
        <v>0</v>
      </c>
      <c r="AY753">
        <v>56.605000000000004</v>
      </c>
      <c r="AZ753">
        <v>0</v>
      </c>
      <c r="BA753">
        <v>6658258</v>
      </c>
      <c r="BB753">
        <v>6620000</v>
      </c>
      <c r="BC753">
        <v>0</v>
      </c>
      <c r="BD753">
        <v>96085</v>
      </c>
      <c r="BE753">
        <v>0</v>
      </c>
      <c r="BF753">
        <v>96085</v>
      </c>
      <c r="BG753">
        <v>96085</v>
      </c>
      <c r="BH753">
        <v>0</v>
      </c>
      <c r="BI753">
        <v>0</v>
      </c>
      <c r="BJ753">
        <v>0</v>
      </c>
      <c r="BK753">
        <v>0</v>
      </c>
      <c r="BL753">
        <v>518052282</v>
      </c>
      <c r="BM753">
        <v>0</v>
      </c>
      <c r="BN753">
        <v>3627</v>
      </c>
      <c r="BO753">
        <v>1937</v>
      </c>
      <c r="BP753">
        <v>0</v>
      </c>
      <c r="BQ753">
        <v>0</v>
      </c>
      <c r="BR753">
        <v>0.86899999999999999</v>
      </c>
      <c r="BS753">
        <v>0.86899999999999999</v>
      </c>
      <c r="BT753">
        <v>0</v>
      </c>
      <c r="BU753">
        <v>0</v>
      </c>
      <c r="BV753">
        <v>2</v>
      </c>
      <c r="BW753">
        <v>271</v>
      </c>
      <c r="BX753">
        <v>426</v>
      </c>
      <c r="BY753">
        <v>0</v>
      </c>
      <c r="BZ753">
        <v>0</v>
      </c>
      <c r="CA753">
        <v>699</v>
      </c>
      <c r="CB753">
        <v>0</v>
      </c>
      <c r="CC753">
        <v>0</v>
      </c>
      <c r="CD753">
        <v>0</v>
      </c>
      <c r="CE753">
        <v>23</v>
      </c>
      <c r="CF753">
        <v>258.096</v>
      </c>
      <c r="CG753">
        <v>0</v>
      </c>
      <c r="CH753">
        <v>0</v>
      </c>
      <c r="CI753">
        <v>1</v>
      </c>
      <c r="CJ753">
        <v>4</v>
      </c>
      <c r="CK753">
        <v>0</v>
      </c>
      <c r="CL753">
        <v>0</v>
      </c>
      <c r="CM753">
        <v>162.61000000000001</v>
      </c>
      <c r="CN753">
        <v>0</v>
      </c>
      <c r="CO753">
        <v>0</v>
      </c>
      <c r="CP753">
        <v>0</v>
      </c>
      <c r="CQ753">
        <v>0</v>
      </c>
      <c r="CR753">
        <v>0</v>
      </c>
      <c r="CS753">
        <v>0</v>
      </c>
      <c r="CT753">
        <v>0</v>
      </c>
      <c r="CU753">
        <v>5.798</v>
      </c>
      <c r="CV753">
        <v>64.411000000000001</v>
      </c>
      <c r="CW753">
        <v>43.442</v>
      </c>
      <c r="CX753">
        <v>0</v>
      </c>
      <c r="CY753" s="2043">
        <v>0</v>
      </c>
      <c r="CZ753" s="2043">
        <v>0</v>
      </c>
      <c r="DA753" s="2043">
        <v>0</v>
      </c>
      <c r="DB753" s="2043">
        <v>0</v>
      </c>
      <c r="DC753" s="2043">
        <v>0</v>
      </c>
      <c r="DI753" t="s">
        <v>5143</v>
      </c>
      <c r="DJ753" t="s">
        <v>5143</v>
      </c>
      <c r="DK753" s="2042">
        <f t="shared" si="13"/>
        <v>0</v>
      </c>
    </row>
    <row r="754" spans="1:115">
      <c r="A754" t="s">
        <v>5144</v>
      </c>
      <c r="B754" t="s">
        <v>1305</v>
      </c>
      <c r="C754">
        <v>660.95300000000009</v>
      </c>
      <c r="D754">
        <v>627.851</v>
      </c>
      <c r="E754">
        <v>21.155000000000001</v>
      </c>
      <c r="F754">
        <v>0</v>
      </c>
      <c r="G754" s="2043">
        <v>414628513</v>
      </c>
      <c r="H754">
        <v>0</v>
      </c>
      <c r="I754" s="2043">
        <v>697337</v>
      </c>
      <c r="J754">
        <v>21</v>
      </c>
      <c r="K754">
        <v>57</v>
      </c>
      <c r="L754">
        <v>0</v>
      </c>
      <c r="M754">
        <v>0</v>
      </c>
      <c r="N754">
        <v>0</v>
      </c>
      <c r="O754">
        <v>0</v>
      </c>
      <c r="P754">
        <v>0</v>
      </c>
      <c r="Q754">
        <v>0</v>
      </c>
      <c r="R754" s="2043">
        <v>3364780</v>
      </c>
      <c r="S754">
        <v>196380</v>
      </c>
      <c r="T754">
        <v>0</v>
      </c>
      <c r="U754">
        <v>0.05</v>
      </c>
      <c r="V754">
        <v>0</v>
      </c>
      <c r="W754">
        <v>0</v>
      </c>
      <c r="X754">
        <v>0</v>
      </c>
      <c r="Y754">
        <v>0</v>
      </c>
      <c r="Z754">
        <v>0</v>
      </c>
      <c r="AA754">
        <v>0</v>
      </c>
      <c r="AB754">
        <v>622.41100000000006</v>
      </c>
      <c r="AC754" s="2043">
        <v>314091701</v>
      </c>
      <c r="AD754">
        <v>1479851</v>
      </c>
      <c r="AE754" s="2043">
        <v>3561160</v>
      </c>
      <c r="AF754">
        <v>0.90670000000000006</v>
      </c>
      <c r="AG754">
        <v>0</v>
      </c>
      <c r="AH754">
        <v>0</v>
      </c>
      <c r="AI754">
        <v>0</v>
      </c>
      <c r="AJ754">
        <v>88.45</v>
      </c>
      <c r="AK754">
        <v>2425</v>
      </c>
      <c r="AL754">
        <v>0</v>
      </c>
      <c r="AM754">
        <v>0</v>
      </c>
      <c r="AN754">
        <v>22.316000000000003</v>
      </c>
      <c r="AO754">
        <v>0</v>
      </c>
      <c r="AP754">
        <v>0</v>
      </c>
      <c r="AQ754">
        <v>0</v>
      </c>
      <c r="AR754">
        <v>10.301</v>
      </c>
      <c r="AS754">
        <v>0</v>
      </c>
      <c r="AT754">
        <v>4.6080000000000005</v>
      </c>
      <c r="AU754">
        <v>0.999</v>
      </c>
      <c r="AV754">
        <v>0</v>
      </c>
      <c r="AW754">
        <v>15.908000000000001</v>
      </c>
      <c r="AX754">
        <v>0</v>
      </c>
      <c r="AY754">
        <v>49.722000000000001</v>
      </c>
      <c r="AZ754">
        <v>0</v>
      </c>
      <c r="BA754">
        <v>4284833</v>
      </c>
      <c r="BB754">
        <v>5041011</v>
      </c>
      <c r="BC754">
        <v>0</v>
      </c>
      <c r="BD754">
        <v>123353</v>
      </c>
      <c r="BE754">
        <v>1063</v>
      </c>
      <c r="BF754">
        <v>124416</v>
      </c>
      <c r="BG754">
        <v>123353</v>
      </c>
      <c r="BH754">
        <v>0</v>
      </c>
      <c r="BI754">
        <v>0</v>
      </c>
      <c r="BJ754">
        <v>0</v>
      </c>
      <c r="BK754">
        <v>0</v>
      </c>
      <c r="BL754">
        <v>414628513</v>
      </c>
      <c r="BM754">
        <v>0</v>
      </c>
      <c r="BN754">
        <v>2520</v>
      </c>
      <c r="BO754">
        <v>2022</v>
      </c>
      <c r="BP754">
        <v>0</v>
      </c>
      <c r="BQ754">
        <v>0</v>
      </c>
      <c r="BR754">
        <v>0.85670000000000002</v>
      </c>
      <c r="BS754">
        <v>0.85670000000000002</v>
      </c>
      <c r="BT754">
        <v>0</v>
      </c>
      <c r="BU754">
        <v>0</v>
      </c>
      <c r="BV754">
        <v>0</v>
      </c>
      <c r="BW754">
        <v>166</v>
      </c>
      <c r="BX754">
        <v>151</v>
      </c>
      <c r="BY754">
        <v>0</v>
      </c>
      <c r="BZ754">
        <v>41</v>
      </c>
      <c r="CA754">
        <v>358</v>
      </c>
      <c r="CB754">
        <v>0</v>
      </c>
      <c r="CC754">
        <v>0</v>
      </c>
      <c r="CD754">
        <v>0</v>
      </c>
      <c r="CE754">
        <v>111</v>
      </c>
      <c r="CF754">
        <v>114.518</v>
      </c>
      <c r="CG754">
        <v>0</v>
      </c>
      <c r="CH754">
        <v>0</v>
      </c>
      <c r="CI754">
        <v>0</v>
      </c>
      <c r="CJ754">
        <v>4</v>
      </c>
      <c r="CK754">
        <v>0</v>
      </c>
      <c r="CL754">
        <v>0</v>
      </c>
      <c r="CM754">
        <v>21.155000000000001</v>
      </c>
      <c r="CN754">
        <v>0</v>
      </c>
      <c r="CO754">
        <v>0</v>
      </c>
      <c r="CP754">
        <v>0</v>
      </c>
      <c r="CQ754">
        <v>0</v>
      </c>
      <c r="CR754">
        <v>0</v>
      </c>
      <c r="CS754">
        <v>0</v>
      </c>
      <c r="CT754">
        <v>0</v>
      </c>
      <c r="CU754">
        <v>5.048</v>
      </c>
      <c r="CV754">
        <v>47.179000000000002</v>
      </c>
      <c r="CW754">
        <v>44.47</v>
      </c>
      <c r="CX754">
        <v>0</v>
      </c>
      <c r="CY754" s="2043">
        <v>0</v>
      </c>
      <c r="CZ754" s="2043">
        <v>0</v>
      </c>
      <c r="DA754" s="2043">
        <v>0</v>
      </c>
      <c r="DB754" s="2043">
        <v>0</v>
      </c>
      <c r="DC754" s="2043">
        <v>0</v>
      </c>
      <c r="DI754" t="s">
        <v>5144</v>
      </c>
      <c r="DJ754" t="s">
        <v>5144</v>
      </c>
      <c r="DK754" s="2042">
        <f t="shared" si="13"/>
        <v>0</v>
      </c>
    </row>
    <row r="755" spans="1:115">
      <c r="A755" t="s">
        <v>5146</v>
      </c>
      <c r="B755" t="s">
        <v>2288</v>
      </c>
      <c r="C755">
        <v>209.26100000000002</v>
      </c>
      <c r="D755">
        <v>175.863</v>
      </c>
      <c r="E755">
        <v>5.4170000000000007</v>
      </c>
      <c r="F755">
        <v>0</v>
      </c>
      <c r="G755" s="2043">
        <v>178654556</v>
      </c>
      <c r="H755">
        <v>0</v>
      </c>
      <c r="I755" s="2043">
        <v>223798</v>
      </c>
      <c r="J755">
        <v>7</v>
      </c>
      <c r="K755">
        <v>19</v>
      </c>
      <c r="L755">
        <v>0</v>
      </c>
      <c r="M755">
        <v>0</v>
      </c>
      <c r="N755">
        <v>0</v>
      </c>
      <c r="O755">
        <v>0</v>
      </c>
      <c r="P755">
        <v>0</v>
      </c>
      <c r="Q755">
        <v>0</v>
      </c>
      <c r="R755" s="2043">
        <v>1507700</v>
      </c>
      <c r="S755">
        <v>100547</v>
      </c>
      <c r="T755">
        <v>0</v>
      </c>
      <c r="U755">
        <v>0.06</v>
      </c>
      <c r="V755">
        <v>0</v>
      </c>
      <c r="W755">
        <v>0</v>
      </c>
      <c r="X755">
        <v>0</v>
      </c>
      <c r="Y755">
        <v>0</v>
      </c>
      <c r="Z755">
        <v>0</v>
      </c>
      <c r="AA755">
        <v>0</v>
      </c>
      <c r="AB755">
        <v>175.863</v>
      </c>
      <c r="AC755" s="2043">
        <v>157024523</v>
      </c>
      <c r="AD755">
        <v>316174</v>
      </c>
      <c r="AE755" s="2043">
        <v>1608247</v>
      </c>
      <c r="AF755">
        <v>0.9597</v>
      </c>
      <c r="AG755">
        <v>0</v>
      </c>
      <c r="AH755">
        <v>0</v>
      </c>
      <c r="AI755">
        <v>0</v>
      </c>
      <c r="AJ755">
        <v>49.438000000000002</v>
      </c>
      <c r="AK755">
        <v>806</v>
      </c>
      <c r="AL755">
        <v>4.7E-2</v>
      </c>
      <c r="AM755">
        <v>0</v>
      </c>
      <c r="AN755">
        <v>14.815000000000001</v>
      </c>
      <c r="AO755">
        <v>0</v>
      </c>
      <c r="AP755">
        <v>0</v>
      </c>
      <c r="AQ755">
        <v>0</v>
      </c>
      <c r="AR755">
        <v>1.349</v>
      </c>
      <c r="AS755">
        <v>0</v>
      </c>
      <c r="AT755">
        <v>0</v>
      </c>
      <c r="AU755">
        <v>0.28200000000000003</v>
      </c>
      <c r="AV755">
        <v>0</v>
      </c>
      <c r="AW755">
        <v>1.6780000000000002</v>
      </c>
      <c r="AX755">
        <v>0</v>
      </c>
      <c r="AY755">
        <v>5.6920000000000002</v>
      </c>
      <c r="AZ755">
        <v>0</v>
      </c>
      <c r="BA755">
        <v>1241454</v>
      </c>
      <c r="BB755">
        <v>1924421</v>
      </c>
      <c r="BC755">
        <v>0</v>
      </c>
      <c r="BD755">
        <v>14731</v>
      </c>
      <c r="BE755">
        <v>0</v>
      </c>
      <c r="BF755">
        <v>14731</v>
      </c>
      <c r="BG755">
        <v>14731</v>
      </c>
      <c r="BH755">
        <v>0</v>
      </c>
      <c r="BI755">
        <v>0</v>
      </c>
      <c r="BJ755">
        <v>0</v>
      </c>
      <c r="BK755">
        <v>0</v>
      </c>
      <c r="BL755">
        <v>178654556</v>
      </c>
      <c r="BM755">
        <v>0</v>
      </c>
      <c r="BN755">
        <v>567</v>
      </c>
      <c r="BO755">
        <v>428</v>
      </c>
      <c r="BP755">
        <v>0</v>
      </c>
      <c r="BQ755">
        <v>0</v>
      </c>
      <c r="BR755">
        <v>0.89970000000000006</v>
      </c>
      <c r="BS755">
        <v>0.89970000000000006</v>
      </c>
      <c r="BT755">
        <v>0</v>
      </c>
      <c r="BU755">
        <v>0</v>
      </c>
      <c r="BV755">
        <v>9</v>
      </c>
      <c r="BW755">
        <v>162</v>
      </c>
      <c r="BX755">
        <v>9</v>
      </c>
      <c r="BY755">
        <v>15</v>
      </c>
      <c r="BZ755">
        <v>10</v>
      </c>
      <c r="CA755">
        <v>205</v>
      </c>
      <c r="CB755">
        <v>0</v>
      </c>
      <c r="CC755">
        <v>0</v>
      </c>
      <c r="CD755">
        <v>0</v>
      </c>
      <c r="CE755">
        <v>15</v>
      </c>
      <c r="CF755">
        <v>76.194000000000003</v>
      </c>
      <c r="CG755">
        <v>0</v>
      </c>
      <c r="CH755">
        <v>0</v>
      </c>
      <c r="CI755">
        <v>1</v>
      </c>
      <c r="CJ755">
        <v>0</v>
      </c>
      <c r="CK755">
        <v>0</v>
      </c>
      <c r="CL755">
        <v>0</v>
      </c>
      <c r="CM755">
        <v>5.4170000000000007</v>
      </c>
      <c r="CN755">
        <v>0</v>
      </c>
      <c r="CO755">
        <v>0</v>
      </c>
      <c r="CP755">
        <v>0</v>
      </c>
      <c r="CQ755">
        <v>0</v>
      </c>
      <c r="CR755">
        <v>0</v>
      </c>
      <c r="CS755">
        <v>0</v>
      </c>
      <c r="CT755">
        <v>0</v>
      </c>
      <c r="CU755">
        <v>0.57300000000000006</v>
      </c>
      <c r="CV755">
        <v>13.331000000000001</v>
      </c>
      <c r="CW755">
        <v>10.079000000000001</v>
      </c>
      <c r="CX755">
        <v>0</v>
      </c>
      <c r="CY755" s="2043">
        <v>0</v>
      </c>
      <c r="CZ755" s="2043">
        <v>0</v>
      </c>
      <c r="DA755" s="2043">
        <v>0</v>
      </c>
      <c r="DB755" s="2043">
        <v>0</v>
      </c>
      <c r="DC755" s="2043">
        <v>0</v>
      </c>
      <c r="DI755" t="s">
        <v>5145</v>
      </c>
      <c r="DJ755" t="s">
        <v>5146</v>
      </c>
      <c r="DK755" s="2042">
        <f t="shared" si="13"/>
        <v>-1</v>
      </c>
    </row>
    <row r="756" spans="1:115">
      <c r="A756" t="s">
        <v>5145</v>
      </c>
      <c r="B756" t="s">
        <v>1306</v>
      </c>
      <c r="C756">
        <v>555.61900000000003</v>
      </c>
      <c r="D756">
        <v>545.70900000000006</v>
      </c>
      <c r="E756">
        <v>13.954000000000001</v>
      </c>
      <c r="F756">
        <v>0</v>
      </c>
      <c r="G756" s="2043">
        <v>386462822</v>
      </c>
      <c r="H756">
        <v>0</v>
      </c>
      <c r="I756" s="2043">
        <v>1076770</v>
      </c>
      <c r="J756">
        <v>27.781000000000002</v>
      </c>
      <c r="K756">
        <v>76</v>
      </c>
      <c r="L756">
        <v>0</v>
      </c>
      <c r="M756">
        <v>0</v>
      </c>
      <c r="N756">
        <v>0</v>
      </c>
      <c r="O756">
        <v>0</v>
      </c>
      <c r="P756">
        <v>0</v>
      </c>
      <c r="Q756">
        <v>0</v>
      </c>
      <c r="R756" s="2043">
        <v>3400832</v>
      </c>
      <c r="S756">
        <v>186163</v>
      </c>
      <c r="T756">
        <v>0</v>
      </c>
      <c r="U756">
        <v>0.05</v>
      </c>
      <c r="V756">
        <v>0</v>
      </c>
      <c r="W756">
        <v>0</v>
      </c>
      <c r="X756">
        <v>0</v>
      </c>
      <c r="Y756">
        <v>0</v>
      </c>
      <c r="Z756">
        <v>0</v>
      </c>
      <c r="AA756">
        <v>0</v>
      </c>
      <c r="AB756">
        <v>545.70900000000006</v>
      </c>
      <c r="AC756" s="2043">
        <v>336923611</v>
      </c>
      <c r="AD756">
        <v>1389786</v>
      </c>
      <c r="AE756" s="2043">
        <v>3586995</v>
      </c>
      <c r="AF756">
        <v>0.96340000000000003</v>
      </c>
      <c r="AG756">
        <v>0</v>
      </c>
      <c r="AH756">
        <v>0</v>
      </c>
      <c r="AI756">
        <v>0</v>
      </c>
      <c r="AJ756">
        <v>69.375</v>
      </c>
      <c r="AK756">
        <v>2718</v>
      </c>
      <c r="AL756">
        <v>0</v>
      </c>
      <c r="AM756">
        <v>0</v>
      </c>
      <c r="AN756">
        <v>45.519000000000005</v>
      </c>
      <c r="AO756">
        <v>0</v>
      </c>
      <c r="AP756">
        <v>0</v>
      </c>
      <c r="AQ756">
        <v>0</v>
      </c>
      <c r="AR756">
        <v>4.63</v>
      </c>
      <c r="AS756">
        <v>0</v>
      </c>
      <c r="AT756">
        <v>4.2120000000000006</v>
      </c>
      <c r="AU756">
        <v>0.82400000000000007</v>
      </c>
      <c r="AV756">
        <v>0</v>
      </c>
      <c r="AW756">
        <v>9.6660000000000004</v>
      </c>
      <c r="AX756">
        <v>0</v>
      </c>
      <c r="AY756">
        <v>30.646000000000001</v>
      </c>
      <c r="AZ756">
        <v>0</v>
      </c>
      <c r="BA756">
        <v>3275155</v>
      </c>
      <c r="BB756">
        <v>4976781</v>
      </c>
      <c r="BC756">
        <v>0</v>
      </c>
      <c r="BD756">
        <v>48280</v>
      </c>
      <c r="BE756">
        <v>14229</v>
      </c>
      <c r="BF756">
        <v>63016</v>
      </c>
      <c r="BG756">
        <v>48280</v>
      </c>
      <c r="BH756">
        <v>507</v>
      </c>
      <c r="BI756">
        <v>0</v>
      </c>
      <c r="BJ756">
        <v>0</v>
      </c>
      <c r="BK756">
        <v>0</v>
      </c>
      <c r="BL756">
        <v>386462822</v>
      </c>
      <c r="BM756">
        <v>0</v>
      </c>
      <c r="BN756">
        <v>2052</v>
      </c>
      <c r="BO756">
        <v>1241</v>
      </c>
      <c r="BP756">
        <v>0</v>
      </c>
      <c r="BQ756">
        <v>0</v>
      </c>
      <c r="BR756">
        <v>0.91339999999999999</v>
      </c>
      <c r="BS756">
        <v>0.91339999999999999</v>
      </c>
      <c r="BT756">
        <v>0</v>
      </c>
      <c r="BU756">
        <v>0</v>
      </c>
      <c r="BV756">
        <v>5</v>
      </c>
      <c r="BW756">
        <v>160</v>
      </c>
      <c r="BX756">
        <v>109</v>
      </c>
      <c r="BY756">
        <v>2</v>
      </c>
      <c r="BZ756">
        <v>9</v>
      </c>
      <c r="CA756">
        <v>285</v>
      </c>
      <c r="CB756">
        <v>0</v>
      </c>
      <c r="CC756">
        <v>0</v>
      </c>
      <c r="CD756">
        <v>0</v>
      </c>
      <c r="CE756">
        <v>53</v>
      </c>
      <c r="CF756">
        <v>77.049000000000007</v>
      </c>
      <c r="CG756">
        <v>0</v>
      </c>
      <c r="CH756">
        <v>0</v>
      </c>
      <c r="CI756">
        <v>2</v>
      </c>
      <c r="CJ756">
        <v>7</v>
      </c>
      <c r="CK756">
        <v>0</v>
      </c>
      <c r="CL756">
        <v>0</v>
      </c>
      <c r="CM756">
        <v>13.954000000000001</v>
      </c>
      <c r="CN756">
        <v>0</v>
      </c>
      <c r="CO756">
        <v>0</v>
      </c>
      <c r="CP756">
        <v>0</v>
      </c>
      <c r="CQ756">
        <v>0</v>
      </c>
      <c r="CR756">
        <v>0</v>
      </c>
      <c r="CS756">
        <v>0</v>
      </c>
      <c r="CT756">
        <v>0</v>
      </c>
      <c r="CU756">
        <v>0</v>
      </c>
      <c r="CV756">
        <v>24.994</v>
      </c>
      <c r="CW756">
        <v>35.97</v>
      </c>
      <c r="CX756">
        <v>0</v>
      </c>
      <c r="CY756" s="2043">
        <v>0</v>
      </c>
      <c r="CZ756" s="2043">
        <v>0</v>
      </c>
      <c r="DA756" s="2043">
        <v>0</v>
      </c>
      <c r="DB756" s="2043">
        <v>0</v>
      </c>
      <c r="DC756" s="2043">
        <v>53573</v>
      </c>
      <c r="DI756" t="s">
        <v>5146</v>
      </c>
      <c r="DJ756" t="s">
        <v>5145</v>
      </c>
      <c r="DK756" s="2042">
        <f t="shared" si="13"/>
        <v>1</v>
      </c>
    </row>
    <row r="757" spans="1:115">
      <c r="A757" t="s">
        <v>5147</v>
      </c>
      <c r="B757" t="s">
        <v>1992</v>
      </c>
      <c r="C757">
        <v>665.80000000000007</v>
      </c>
      <c r="D757">
        <v>676.56400000000008</v>
      </c>
      <c r="E757">
        <v>92.439000000000007</v>
      </c>
      <c r="F757">
        <v>0</v>
      </c>
      <c r="G757" s="2043">
        <v>933216408</v>
      </c>
      <c r="H757">
        <v>0</v>
      </c>
      <c r="I757" s="2043">
        <v>1456850</v>
      </c>
      <c r="J757">
        <v>33.29</v>
      </c>
      <c r="K757">
        <v>91</v>
      </c>
      <c r="L757">
        <v>0</v>
      </c>
      <c r="M757">
        <v>0</v>
      </c>
      <c r="N757">
        <v>0</v>
      </c>
      <c r="O757">
        <v>0</v>
      </c>
      <c r="P757">
        <v>0</v>
      </c>
      <c r="Q757">
        <v>0</v>
      </c>
      <c r="R757" s="2043">
        <v>8471013</v>
      </c>
      <c r="S757">
        <v>463708</v>
      </c>
      <c r="T757">
        <v>0</v>
      </c>
      <c r="U757">
        <v>0.05</v>
      </c>
      <c r="V757">
        <v>0</v>
      </c>
      <c r="W757">
        <v>1255012</v>
      </c>
      <c r="X757">
        <v>0</v>
      </c>
      <c r="Y757">
        <v>0</v>
      </c>
      <c r="Z757">
        <v>0.9880000000000001</v>
      </c>
      <c r="AA757">
        <v>0</v>
      </c>
      <c r="AB757">
        <v>676.56400000000008</v>
      </c>
      <c r="AC757" s="2043">
        <v>785073955</v>
      </c>
      <c r="AD757">
        <v>1253592</v>
      </c>
      <c r="AE757" s="2043">
        <v>8934721</v>
      </c>
      <c r="AF757">
        <v>0.96340000000000003</v>
      </c>
      <c r="AG757">
        <v>0</v>
      </c>
      <c r="AH757">
        <v>1255012</v>
      </c>
      <c r="AI757">
        <v>0</v>
      </c>
      <c r="AJ757">
        <v>97.688000000000002</v>
      </c>
      <c r="AK757">
        <v>2518</v>
      </c>
      <c r="AL757">
        <v>8.7000000000000008E-2</v>
      </c>
      <c r="AM757">
        <v>0</v>
      </c>
      <c r="AN757">
        <v>16.821999999999999</v>
      </c>
      <c r="AO757">
        <v>0</v>
      </c>
      <c r="AP757">
        <v>0</v>
      </c>
      <c r="AQ757">
        <v>0</v>
      </c>
      <c r="AR757">
        <v>14.892000000000001</v>
      </c>
      <c r="AS757">
        <v>0</v>
      </c>
      <c r="AT757">
        <v>3.4260000000000002</v>
      </c>
      <c r="AU757">
        <v>0.77900000000000003</v>
      </c>
      <c r="AV757">
        <v>0</v>
      </c>
      <c r="AW757">
        <v>19.184000000000001</v>
      </c>
      <c r="AX757">
        <v>0</v>
      </c>
      <c r="AY757">
        <v>59.284000000000006</v>
      </c>
      <c r="AZ757">
        <v>0</v>
      </c>
      <c r="BA757">
        <v>482834</v>
      </c>
      <c r="BB757">
        <v>10188313</v>
      </c>
      <c r="BC757">
        <v>0</v>
      </c>
      <c r="BD757">
        <v>116964</v>
      </c>
      <c r="BE757">
        <v>9377</v>
      </c>
      <c r="BF757">
        <v>126341</v>
      </c>
      <c r="BG757">
        <v>116964</v>
      </c>
      <c r="BH757">
        <v>0</v>
      </c>
      <c r="BI757">
        <v>0</v>
      </c>
      <c r="BJ757">
        <v>0</v>
      </c>
      <c r="BK757">
        <v>0</v>
      </c>
      <c r="BL757">
        <v>933216408</v>
      </c>
      <c r="BM757">
        <v>0</v>
      </c>
      <c r="BN757">
        <v>2241</v>
      </c>
      <c r="BO757">
        <v>364</v>
      </c>
      <c r="BP757">
        <v>0</v>
      </c>
      <c r="BQ757">
        <v>0</v>
      </c>
      <c r="BR757">
        <v>0.91339999999999999</v>
      </c>
      <c r="BS757">
        <v>0.91339999999999999</v>
      </c>
      <c r="BT757">
        <v>0</v>
      </c>
      <c r="BU757">
        <v>0</v>
      </c>
      <c r="BV757">
        <v>0</v>
      </c>
      <c r="BW757">
        <v>199</v>
      </c>
      <c r="BX757">
        <v>194</v>
      </c>
      <c r="BY757">
        <v>0</v>
      </c>
      <c r="BZ757">
        <v>7</v>
      </c>
      <c r="CA757">
        <v>400</v>
      </c>
      <c r="CB757">
        <v>0</v>
      </c>
      <c r="CC757">
        <v>0</v>
      </c>
      <c r="CD757">
        <v>0</v>
      </c>
      <c r="CE757">
        <v>66</v>
      </c>
      <c r="CF757">
        <v>155.726</v>
      </c>
      <c r="CG757">
        <v>0</v>
      </c>
      <c r="CH757">
        <v>0</v>
      </c>
      <c r="CI757">
        <v>3</v>
      </c>
      <c r="CJ757">
        <v>6</v>
      </c>
      <c r="CK757">
        <v>0</v>
      </c>
      <c r="CL757">
        <v>0</v>
      </c>
      <c r="CM757">
        <v>92.439000000000007</v>
      </c>
      <c r="CN757">
        <v>0</v>
      </c>
      <c r="CO757">
        <v>0</v>
      </c>
      <c r="CP757">
        <v>0</v>
      </c>
      <c r="CQ757">
        <v>0</v>
      </c>
      <c r="CR757">
        <v>0</v>
      </c>
      <c r="CS757">
        <v>0</v>
      </c>
      <c r="CT757">
        <v>0</v>
      </c>
      <c r="CU757">
        <v>11.357000000000001</v>
      </c>
      <c r="CV757">
        <v>37.472999999999999</v>
      </c>
      <c r="CW757">
        <v>33.160000000000004</v>
      </c>
      <c r="CX757">
        <v>0</v>
      </c>
      <c r="CY757" s="2043">
        <v>0</v>
      </c>
      <c r="CZ757" s="2043">
        <v>0</v>
      </c>
      <c r="DA757" s="2043">
        <v>0</v>
      </c>
      <c r="DB757" s="2043">
        <v>0</v>
      </c>
      <c r="DC757" s="2043">
        <v>215448</v>
      </c>
      <c r="DI757" t="s">
        <v>5147</v>
      </c>
      <c r="DJ757" t="s">
        <v>5147</v>
      </c>
      <c r="DK757" s="2042">
        <f t="shared" si="13"/>
        <v>0</v>
      </c>
    </row>
    <row r="758" spans="1:115">
      <c r="A758" t="s">
        <v>3106</v>
      </c>
      <c r="B758" t="s">
        <v>2489</v>
      </c>
      <c r="C758">
        <v>9955.6910000000007</v>
      </c>
      <c r="D758">
        <v>8191.3860000000004</v>
      </c>
      <c r="E758">
        <v>3555.2160000000003</v>
      </c>
      <c r="F758">
        <v>0</v>
      </c>
      <c r="G758" s="2043">
        <v>2678381050</v>
      </c>
      <c r="H758">
        <v>0</v>
      </c>
      <c r="I758" s="2043">
        <v>14773325</v>
      </c>
      <c r="J758">
        <v>497.78500000000003</v>
      </c>
      <c r="K758">
        <v>1361</v>
      </c>
      <c r="L758">
        <v>373071</v>
      </c>
      <c r="M758">
        <v>1343129</v>
      </c>
      <c r="N758">
        <v>373071</v>
      </c>
      <c r="O758">
        <v>1716200</v>
      </c>
      <c r="P758">
        <v>0</v>
      </c>
      <c r="Q758">
        <v>0</v>
      </c>
      <c r="R758" s="2043">
        <v>21810154</v>
      </c>
      <c r="S758">
        <v>1326652</v>
      </c>
      <c r="T758">
        <v>0</v>
      </c>
      <c r="U758">
        <v>0.05</v>
      </c>
      <c r="V758">
        <v>827.01100000000008</v>
      </c>
      <c r="W758">
        <v>0</v>
      </c>
      <c r="X758">
        <v>0</v>
      </c>
      <c r="Y758">
        <v>-4103</v>
      </c>
      <c r="Z758">
        <v>0</v>
      </c>
      <c r="AA758">
        <v>0.56900000000000006</v>
      </c>
      <c r="AB758">
        <v>8127.9370000000008</v>
      </c>
      <c r="AC758" s="2043">
        <v>1474930112</v>
      </c>
      <c r="AD758">
        <v>9547783</v>
      </c>
      <c r="AE758" s="2043">
        <v>23136806</v>
      </c>
      <c r="AF758">
        <v>0.872</v>
      </c>
      <c r="AG758">
        <v>0</v>
      </c>
      <c r="AH758">
        <v>0</v>
      </c>
      <c r="AI758">
        <v>0</v>
      </c>
      <c r="AJ758">
        <v>2615.413</v>
      </c>
      <c r="AK758">
        <v>20165</v>
      </c>
      <c r="AL758">
        <v>0.35400000000000004</v>
      </c>
      <c r="AM758">
        <v>0</v>
      </c>
      <c r="AN758">
        <v>415.33700000000005</v>
      </c>
      <c r="AO758">
        <v>0</v>
      </c>
      <c r="AP758">
        <v>0</v>
      </c>
      <c r="AQ758">
        <v>0</v>
      </c>
      <c r="AR758">
        <v>47.655000000000001</v>
      </c>
      <c r="AS758">
        <v>0</v>
      </c>
      <c r="AT758">
        <v>55.846000000000004</v>
      </c>
      <c r="AU758">
        <v>16.708000000000002</v>
      </c>
      <c r="AV758">
        <v>0</v>
      </c>
      <c r="AW758">
        <v>127.926</v>
      </c>
      <c r="AX758">
        <v>7.3630000000000004</v>
      </c>
      <c r="AY758">
        <v>412.74800000000005</v>
      </c>
      <c r="AZ758">
        <v>0</v>
      </c>
      <c r="BA758">
        <v>94139244</v>
      </c>
      <c r="BB758">
        <v>32684589</v>
      </c>
      <c r="BC758">
        <v>0</v>
      </c>
      <c r="BD758">
        <v>1036260</v>
      </c>
      <c r="BE758">
        <v>439210</v>
      </c>
      <c r="BF758">
        <v>1475470</v>
      </c>
      <c r="BG758">
        <v>1036260</v>
      </c>
      <c r="BH758">
        <v>0</v>
      </c>
      <c r="BI758">
        <v>-4103</v>
      </c>
      <c r="BJ758">
        <v>0</v>
      </c>
      <c r="BK758">
        <v>0</v>
      </c>
      <c r="BL758">
        <v>2678381050</v>
      </c>
      <c r="BM758">
        <v>0</v>
      </c>
      <c r="BN758">
        <v>27432</v>
      </c>
      <c r="BO758">
        <v>18714</v>
      </c>
      <c r="BP758">
        <v>0</v>
      </c>
      <c r="BQ758">
        <v>0</v>
      </c>
      <c r="BR758">
        <v>0.82200000000000006</v>
      </c>
      <c r="BS758">
        <v>0.82200000000000006</v>
      </c>
      <c r="BT758">
        <v>0</v>
      </c>
      <c r="BU758">
        <v>0</v>
      </c>
      <c r="BV758">
        <v>38</v>
      </c>
      <c r="BW758">
        <v>1545</v>
      </c>
      <c r="BX758">
        <v>914</v>
      </c>
      <c r="BY758">
        <v>7254</v>
      </c>
      <c r="BZ758">
        <v>390</v>
      </c>
      <c r="CA758">
        <v>10141</v>
      </c>
      <c r="CB758">
        <v>0</v>
      </c>
      <c r="CC758">
        <v>2110.5840000000003</v>
      </c>
      <c r="CD758">
        <v>0</v>
      </c>
      <c r="CE758">
        <v>380</v>
      </c>
      <c r="CF758">
        <v>4924.6050000000005</v>
      </c>
      <c r="CG758">
        <v>34.550000000000004</v>
      </c>
      <c r="CH758">
        <v>0</v>
      </c>
      <c r="CI758">
        <v>0</v>
      </c>
      <c r="CJ758">
        <v>0</v>
      </c>
      <c r="CK758">
        <v>0</v>
      </c>
      <c r="CL758">
        <v>34.550000000000004</v>
      </c>
      <c r="CM758">
        <v>3555.2160000000003</v>
      </c>
      <c r="CN758">
        <v>0</v>
      </c>
      <c r="CO758">
        <v>0</v>
      </c>
      <c r="CP758">
        <v>0</v>
      </c>
      <c r="CQ758">
        <v>0</v>
      </c>
      <c r="CR758">
        <v>0</v>
      </c>
      <c r="CS758">
        <v>0</v>
      </c>
      <c r="CT758">
        <v>0</v>
      </c>
      <c r="CU758">
        <v>0</v>
      </c>
      <c r="CV758">
        <v>423.601</v>
      </c>
      <c r="CW758">
        <v>140.86700000000002</v>
      </c>
      <c r="CX758">
        <v>0</v>
      </c>
      <c r="CY758" s="2043">
        <v>0</v>
      </c>
      <c r="CZ758" s="2043">
        <v>0</v>
      </c>
      <c r="DA758" s="2043">
        <v>0</v>
      </c>
      <c r="DB758" s="2043">
        <v>0</v>
      </c>
      <c r="DC758" s="2043">
        <v>0</v>
      </c>
      <c r="DI758" t="s">
        <v>3106</v>
      </c>
      <c r="DJ758" t="s">
        <v>3106</v>
      </c>
      <c r="DK758" s="2042">
        <f t="shared" si="13"/>
        <v>0</v>
      </c>
    </row>
    <row r="759" spans="1:115">
      <c r="A759" t="s">
        <v>3107</v>
      </c>
      <c r="B759" t="s">
        <v>2270</v>
      </c>
      <c r="C759">
        <v>5139.0160000000005</v>
      </c>
      <c r="D759">
        <v>5166.5570000000007</v>
      </c>
      <c r="E759">
        <v>968.74600000000009</v>
      </c>
      <c r="F759">
        <v>0</v>
      </c>
      <c r="G759" s="2043">
        <v>2542006048</v>
      </c>
      <c r="H759">
        <v>0</v>
      </c>
      <c r="I759" s="2043">
        <v>6421448</v>
      </c>
      <c r="J759">
        <v>256.95100000000002</v>
      </c>
      <c r="K759">
        <v>702</v>
      </c>
      <c r="L759">
        <v>0</v>
      </c>
      <c r="M759">
        <v>0</v>
      </c>
      <c r="N759">
        <v>0</v>
      </c>
      <c r="O759">
        <v>0</v>
      </c>
      <c r="P759">
        <v>0</v>
      </c>
      <c r="Q759">
        <v>0</v>
      </c>
      <c r="R759" s="2043">
        <v>20560267</v>
      </c>
      <c r="S759">
        <v>1250625</v>
      </c>
      <c r="T759">
        <v>0</v>
      </c>
      <c r="U759">
        <v>0.05</v>
      </c>
      <c r="V759">
        <v>0</v>
      </c>
      <c r="W759">
        <v>0</v>
      </c>
      <c r="X759">
        <v>0</v>
      </c>
      <c r="Y759">
        <v>-11020</v>
      </c>
      <c r="Z759">
        <v>0</v>
      </c>
      <c r="AA759">
        <v>0.23</v>
      </c>
      <c r="AB759">
        <v>5018.2370000000001</v>
      </c>
      <c r="AC759" s="2043">
        <v>2001057704</v>
      </c>
      <c r="AD759">
        <v>7443149</v>
      </c>
      <c r="AE759" s="2043">
        <v>21810892</v>
      </c>
      <c r="AF759">
        <v>0.872</v>
      </c>
      <c r="AG759">
        <v>0</v>
      </c>
      <c r="AH759">
        <v>0</v>
      </c>
      <c r="AI759">
        <v>0</v>
      </c>
      <c r="AJ759">
        <v>864.41300000000001</v>
      </c>
      <c r="AK759">
        <v>19561</v>
      </c>
      <c r="AL759">
        <v>0.876</v>
      </c>
      <c r="AM759">
        <v>0</v>
      </c>
      <c r="AN759">
        <v>216.74200000000002</v>
      </c>
      <c r="AO759">
        <v>11</v>
      </c>
      <c r="AP759">
        <v>4.3570000000000002</v>
      </c>
      <c r="AQ759">
        <v>0</v>
      </c>
      <c r="AR759">
        <v>125.89500000000001</v>
      </c>
      <c r="AS759">
        <v>0</v>
      </c>
      <c r="AT759">
        <v>47.515000000000001</v>
      </c>
      <c r="AU759">
        <v>9.5299999999999994</v>
      </c>
      <c r="AV759">
        <v>0</v>
      </c>
      <c r="AW759">
        <v>188.173</v>
      </c>
      <c r="AX759">
        <v>0</v>
      </c>
      <c r="AY759">
        <v>584.024</v>
      </c>
      <c r="AZ759">
        <v>0</v>
      </c>
      <c r="BA759">
        <v>26929531</v>
      </c>
      <c r="BB759">
        <v>29254041</v>
      </c>
      <c r="BC759">
        <v>0</v>
      </c>
      <c r="BD759">
        <v>577926</v>
      </c>
      <c r="BE759">
        <v>320865</v>
      </c>
      <c r="BF759">
        <v>1014129</v>
      </c>
      <c r="BG759">
        <v>577926</v>
      </c>
      <c r="BH759">
        <v>115338</v>
      </c>
      <c r="BI759">
        <v>-5341</v>
      </c>
      <c r="BJ759">
        <v>-5679</v>
      </c>
      <c r="BK759">
        <v>0</v>
      </c>
      <c r="BL759">
        <v>2542006048</v>
      </c>
      <c r="BM759">
        <v>0</v>
      </c>
      <c r="BN759">
        <v>18288</v>
      </c>
      <c r="BO759">
        <v>12926</v>
      </c>
      <c r="BP759">
        <v>0</v>
      </c>
      <c r="BQ759">
        <v>0</v>
      </c>
      <c r="BR759">
        <v>0.82200000000000006</v>
      </c>
      <c r="BS759">
        <v>0.82200000000000006</v>
      </c>
      <c r="BT759">
        <v>0</v>
      </c>
      <c r="BU759">
        <v>0</v>
      </c>
      <c r="BV759">
        <v>654</v>
      </c>
      <c r="BW759">
        <v>2398</v>
      </c>
      <c r="BX759">
        <v>9</v>
      </c>
      <c r="BY759">
        <v>505</v>
      </c>
      <c r="BZ759">
        <v>47</v>
      </c>
      <c r="CA759">
        <v>3613</v>
      </c>
      <c r="CB759">
        <v>0</v>
      </c>
      <c r="CC759">
        <v>0</v>
      </c>
      <c r="CD759">
        <v>0</v>
      </c>
      <c r="CE759">
        <v>308</v>
      </c>
      <c r="CF759">
        <v>1320.568</v>
      </c>
      <c r="CG759">
        <v>5.569</v>
      </c>
      <c r="CH759">
        <v>0</v>
      </c>
      <c r="CI759">
        <v>6</v>
      </c>
      <c r="CJ759">
        <v>7</v>
      </c>
      <c r="CK759">
        <v>0</v>
      </c>
      <c r="CL759">
        <v>5.569</v>
      </c>
      <c r="CM759">
        <v>968.74600000000009</v>
      </c>
      <c r="CN759">
        <v>0</v>
      </c>
      <c r="CO759">
        <v>0</v>
      </c>
      <c r="CP759">
        <v>0</v>
      </c>
      <c r="CQ759">
        <v>0</v>
      </c>
      <c r="CR759">
        <v>0</v>
      </c>
      <c r="CS759">
        <v>0</v>
      </c>
      <c r="CT759">
        <v>0</v>
      </c>
      <c r="CU759">
        <v>3.8460000000000001</v>
      </c>
      <c r="CV759">
        <v>338.02500000000003</v>
      </c>
      <c r="CW759">
        <v>160.172</v>
      </c>
      <c r="CX759">
        <v>0</v>
      </c>
      <c r="CY759" s="2043">
        <v>0</v>
      </c>
      <c r="CZ759" s="2043">
        <v>0</v>
      </c>
      <c r="DA759" s="2043">
        <v>0</v>
      </c>
      <c r="DB759" s="2043">
        <v>0</v>
      </c>
      <c r="DC759" s="2043">
        <v>0</v>
      </c>
      <c r="DI759" t="s">
        <v>3107</v>
      </c>
      <c r="DJ759" t="s">
        <v>3107</v>
      </c>
      <c r="DK759" s="2042">
        <f t="shared" si="13"/>
        <v>0</v>
      </c>
    </row>
    <row r="760" spans="1:115">
      <c r="A760" t="s">
        <v>5148</v>
      </c>
      <c r="B760" t="s">
        <v>1993</v>
      </c>
      <c r="C760">
        <v>192.596</v>
      </c>
      <c r="D760">
        <v>193.49300000000002</v>
      </c>
      <c r="E760">
        <v>20.593</v>
      </c>
      <c r="F760">
        <v>0</v>
      </c>
      <c r="G760" s="2043">
        <v>210164790</v>
      </c>
      <c r="H760">
        <v>0</v>
      </c>
      <c r="I760" s="2043">
        <v>141400</v>
      </c>
      <c r="J760">
        <v>8</v>
      </c>
      <c r="K760">
        <v>22</v>
      </c>
      <c r="L760">
        <v>0</v>
      </c>
      <c r="M760">
        <v>0</v>
      </c>
      <c r="N760">
        <v>0</v>
      </c>
      <c r="O760">
        <v>0</v>
      </c>
      <c r="P760">
        <v>0</v>
      </c>
      <c r="Q760">
        <v>0</v>
      </c>
      <c r="R760" s="2043">
        <v>1900691</v>
      </c>
      <c r="S760">
        <v>104045</v>
      </c>
      <c r="T760">
        <v>0</v>
      </c>
      <c r="U760">
        <v>0.05</v>
      </c>
      <c r="V760">
        <v>0</v>
      </c>
      <c r="W760">
        <v>0</v>
      </c>
      <c r="X760">
        <v>0</v>
      </c>
      <c r="Y760">
        <v>0</v>
      </c>
      <c r="Z760">
        <v>0</v>
      </c>
      <c r="AA760">
        <v>0</v>
      </c>
      <c r="AB760">
        <v>182.96100000000001</v>
      </c>
      <c r="AC760" s="2043">
        <v>175901987</v>
      </c>
      <c r="AD760">
        <v>145668</v>
      </c>
      <c r="AE760" s="2043">
        <v>2004736</v>
      </c>
      <c r="AF760">
        <v>0.96340000000000003</v>
      </c>
      <c r="AG760">
        <v>0</v>
      </c>
      <c r="AH760">
        <v>0</v>
      </c>
      <c r="AI760">
        <v>0</v>
      </c>
      <c r="AJ760">
        <v>14.8</v>
      </c>
      <c r="AK760">
        <v>823</v>
      </c>
      <c r="AL760">
        <v>0</v>
      </c>
      <c r="AM760">
        <v>0</v>
      </c>
      <c r="AN760">
        <v>5.9220000000000006</v>
      </c>
      <c r="AO760">
        <v>0</v>
      </c>
      <c r="AP760">
        <v>2.6819999999999999</v>
      </c>
      <c r="AQ760">
        <v>0</v>
      </c>
      <c r="AR760">
        <v>2.028</v>
      </c>
      <c r="AS760">
        <v>0</v>
      </c>
      <c r="AT760">
        <v>0.16</v>
      </c>
      <c r="AU760">
        <v>0.52100000000000002</v>
      </c>
      <c r="AV760">
        <v>0</v>
      </c>
      <c r="AW760">
        <v>5.391</v>
      </c>
      <c r="AX760">
        <v>0</v>
      </c>
      <c r="AY760">
        <v>16.41</v>
      </c>
      <c r="AZ760">
        <v>0</v>
      </c>
      <c r="BA760">
        <v>401890</v>
      </c>
      <c r="BB760">
        <v>2150404</v>
      </c>
      <c r="BC760">
        <v>0</v>
      </c>
      <c r="BD760">
        <v>11749</v>
      </c>
      <c r="BE760">
        <v>0</v>
      </c>
      <c r="BF760">
        <v>11749</v>
      </c>
      <c r="BG760">
        <v>11749</v>
      </c>
      <c r="BH760">
        <v>0</v>
      </c>
      <c r="BI760">
        <v>0</v>
      </c>
      <c r="BJ760">
        <v>0</v>
      </c>
      <c r="BK760">
        <v>81824</v>
      </c>
      <c r="BL760">
        <v>210164790</v>
      </c>
      <c r="BM760">
        <v>0</v>
      </c>
      <c r="BN760">
        <v>0</v>
      </c>
      <c r="BO760">
        <v>0</v>
      </c>
      <c r="BP760">
        <v>0</v>
      </c>
      <c r="BQ760">
        <v>0</v>
      </c>
      <c r="BR760">
        <v>0.91339999999999999</v>
      </c>
      <c r="BS760">
        <v>0.91339999999999999</v>
      </c>
      <c r="BT760">
        <v>0</v>
      </c>
      <c r="BU760">
        <v>0</v>
      </c>
      <c r="BV760">
        <v>3</v>
      </c>
      <c r="BW760">
        <v>51</v>
      </c>
      <c r="BX760">
        <v>7</v>
      </c>
      <c r="BY760">
        <v>1</v>
      </c>
      <c r="BZ760">
        <v>0</v>
      </c>
      <c r="CA760">
        <v>62</v>
      </c>
      <c r="CB760">
        <v>0</v>
      </c>
      <c r="CC760">
        <v>0</v>
      </c>
      <c r="CD760">
        <v>0</v>
      </c>
      <c r="CE760">
        <v>11</v>
      </c>
      <c r="CF760">
        <v>25.573</v>
      </c>
      <c r="CG760">
        <v>0</v>
      </c>
      <c r="CH760">
        <v>0</v>
      </c>
      <c r="CI760">
        <v>0</v>
      </c>
      <c r="CJ760">
        <v>0</v>
      </c>
      <c r="CK760">
        <v>0</v>
      </c>
      <c r="CL760">
        <v>0</v>
      </c>
      <c r="CM760">
        <v>20.593</v>
      </c>
      <c r="CN760">
        <v>0</v>
      </c>
      <c r="CO760">
        <v>0</v>
      </c>
      <c r="CP760">
        <v>0</v>
      </c>
      <c r="CQ760">
        <v>0</v>
      </c>
      <c r="CR760">
        <v>0</v>
      </c>
      <c r="CS760">
        <v>0</v>
      </c>
      <c r="CT760">
        <v>0</v>
      </c>
      <c r="CU760">
        <v>0</v>
      </c>
      <c r="CV760">
        <v>0</v>
      </c>
      <c r="CW760">
        <v>0</v>
      </c>
      <c r="CX760">
        <v>0</v>
      </c>
      <c r="CY760" s="2043">
        <v>0</v>
      </c>
      <c r="CZ760" s="2043">
        <v>0</v>
      </c>
      <c r="DA760" s="2043">
        <v>81824</v>
      </c>
      <c r="DB760" s="2043">
        <v>0</v>
      </c>
      <c r="DC760" s="2043">
        <v>55940</v>
      </c>
      <c r="DI760" t="s">
        <v>5148</v>
      </c>
      <c r="DJ760" t="s">
        <v>5148</v>
      </c>
      <c r="DK760" s="2042">
        <f t="shared" si="13"/>
        <v>0</v>
      </c>
    </row>
    <row r="761" spans="1:115">
      <c r="A761" t="s">
        <v>3108</v>
      </c>
      <c r="B761" t="s">
        <v>2375</v>
      </c>
      <c r="C761">
        <v>1201.364</v>
      </c>
      <c r="D761">
        <v>1266.376</v>
      </c>
      <c r="E761">
        <v>38.188000000000002</v>
      </c>
      <c r="F761">
        <v>0</v>
      </c>
      <c r="G761" s="2043">
        <v>550651609</v>
      </c>
      <c r="H761">
        <v>0</v>
      </c>
      <c r="I761" s="2043">
        <v>1382922</v>
      </c>
      <c r="J761">
        <v>60.068000000000005</v>
      </c>
      <c r="K761">
        <v>164</v>
      </c>
      <c r="L761">
        <v>0</v>
      </c>
      <c r="M761">
        <v>80675</v>
      </c>
      <c r="N761">
        <v>0</v>
      </c>
      <c r="O761">
        <v>80675</v>
      </c>
      <c r="P761">
        <v>0</v>
      </c>
      <c r="Q761">
        <v>0</v>
      </c>
      <c r="R761" s="2043">
        <v>4678397</v>
      </c>
      <c r="S761">
        <v>270053</v>
      </c>
      <c r="T761">
        <v>0</v>
      </c>
      <c r="U761">
        <v>0.05</v>
      </c>
      <c r="V761">
        <v>0</v>
      </c>
      <c r="W761">
        <v>0</v>
      </c>
      <c r="X761">
        <v>0</v>
      </c>
      <c r="Y761">
        <v>0</v>
      </c>
      <c r="Z761">
        <v>0</v>
      </c>
      <c r="AA761">
        <v>0</v>
      </c>
      <c r="AB761">
        <v>1167.626</v>
      </c>
      <c r="AC761" s="2043">
        <v>482754308</v>
      </c>
      <c r="AD761">
        <v>1534228</v>
      </c>
      <c r="AE761" s="2043">
        <v>4948450</v>
      </c>
      <c r="AF761">
        <v>0.91620000000000001</v>
      </c>
      <c r="AG761">
        <v>0</v>
      </c>
      <c r="AH761">
        <v>0</v>
      </c>
      <c r="AI761">
        <v>0</v>
      </c>
      <c r="AJ761">
        <v>181.41300000000001</v>
      </c>
      <c r="AK761">
        <v>4091</v>
      </c>
      <c r="AL761">
        <v>0.14300000000000002</v>
      </c>
      <c r="AM761">
        <v>0</v>
      </c>
      <c r="AN761">
        <v>58.550000000000004</v>
      </c>
      <c r="AO761">
        <v>0</v>
      </c>
      <c r="AP761">
        <v>0.34500000000000003</v>
      </c>
      <c r="AQ761">
        <v>0</v>
      </c>
      <c r="AR761">
        <v>14.13</v>
      </c>
      <c r="AS761">
        <v>0</v>
      </c>
      <c r="AT761">
        <v>7.0430000000000001</v>
      </c>
      <c r="AU761">
        <v>2.4790000000000001</v>
      </c>
      <c r="AV761">
        <v>0</v>
      </c>
      <c r="AW761">
        <v>25.063000000000002</v>
      </c>
      <c r="AX761">
        <v>0.92300000000000004</v>
      </c>
      <c r="AY761">
        <v>79.683000000000007</v>
      </c>
      <c r="AZ761">
        <v>0</v>
      </c>
      <c r="BA761">
        <v>7965576</v>
      </c>
      <c r="BB761">
        <v>6482678</v>
      </c>
      <c r="BC761">
        <v>0</v>
      </c>
      <c r="BD761">
        <v>218140</v>
      </c>
      <c r="BE761">
        <v>60873</v>
      </c>
      <c r="BF761">
        <v>279013</v>
      </c>
      <c r="BG761">
        <v>218140</v>
      </c>
      <c r="BH761">
        <v>0</v>
      </c>
      <c r="BI761">
        <v>0</v>
      </c>
      <c r="BJ761">
        <v>0</v>
      </c>
      <c r="BK761">
        <v>0</v>
      </c>
      <c r="BL761">
        <v>550651609</v>
      </c>
      <c r="BM761">
        <v>0</v>
      </c>
      <c r="BN761">
        <v>3843</v>
      </c>
      <c r="BO761">
        <v>3895</v>
      </c>
      <c r="BP761">
        <v>0</v>
      </c>
      <c r="BQ761">
        <v>0</v>
      </c>
      <c r="BR761">
        <v>0.86620000000000008</v>
      </c>
      <c r="BS761">
        <v>0.86620000000000008</v>
      </c>
      <c r="BT761">
        <v>0</v>
      </c>
      <c r="BU761">
        <v>0</v>
      </c>
      <c r="BV761">
        <v>181</v>
      </c>
      <c r="BW761">
        <v>196</v>
      </c>
      <c r="BX761">
        <v>272</v>
      </c>
      <c r="BY761">
        <v>87</v>
      </c>
      <c r="BZ761">
        <v>12</v>
      </c>
      <c r="CA761">
        <v>748</v>
      </c>
      <c r="CB761">
        <v>0</v>
      </c>
      <c r="CC761">
        <v>0</v>
      </c>
      <c r="CD761">
        <v>0</v>
      </c>
      <c r="CE761">
        <v>90</v>
      </c>
      <c r="CF761">
        <v>235.16300000000001</v>
      </c>
      <c r="CG761">
        <v>0</v>
      </c>
      <c r="CH761">
        <v>0</v>
      </c>
      <c r="CI761">
        <v>1</v>
      </c>
      <c r="CJ761">
        <v>0</v>
      </c>
      <c r="CK761">
        <v>0</v>
      </c>
      <c r="CL761">
        <v>0</v>
      </c>
      <c r="CM761">
        <v>38.188000000000002</v>
      </c>
      <c r="CN761">
        <v>0</v>
      </c>
      <c r="CO761">
        <v>0</v>
      </c>
      <c r="CP761">
        <v>0</v>
      </c>
      <c r="CQ761">
        <v>0</v>
      </c>
      <c r="CR761">
        <v>0</v>
      </c>
      <c r="CS761">
        <v>0</v>
      </c>
      <c r="CT761">
        <v>0</v>
      </c>
      <c r="CU761">
        <v>6.7170000000000005</v>
      </c>
      <c r="CV761">
        <v>92.132000000000005</v>
      </c>
      <c r="CW761">
        <v>49.087000000000003</v>
      </c>
      <c r="CX761">
        <v>0</v>
      </c>
      <c r="CY761" s="2043">
        <v>0</v>
      </c>
      <c r="CZ761" s="2043">
        <v>0</v>
      </c>
      <c r="DA761" s="2043">
        <v>0</v>
      </c>
      <c r="DB761" s="2043">
        <v>0</v>
      </c>
      <c r="DC761" s="2043">
        <v>0</v>
      </c>
      <c r="DI761" t="s">
        <v>3108</v>
      </c>
      <c r="DJ761" t="s">
        <v>3108</v>
      </c>
      <c r="DK761" s="2042">
        <f t="shared" si="13"/>
        <v>0</v>
      </c>
    </row>
    <row r="762" spans="1:115">
      <c r="A762" t="s">
        <v>3109</v>
      </c>
      <c r="B762" t="s">
        <v>1051</v>
      </c>
      <c r="C762">
        <v>380.51400000000001</v>
      </c>
      <c r="D762">
        <v>522.202</v>
      </c>
      <c r="E762">
        <v>7.7450000000000001</v>
      </c>
      <c r="F762">
        <v>0</v>
      </c>
      <c r="G762" s="2043">
        <v>280734728</v>
      </c>
      <c r="H762">
        <v>0</v>
      </c>
      <c r="I762" s="2043">
        <v>116462</v>
      </c>
      <c r="J762">
        <v>14</v>
      </c>
      <c r="K762">
        <v>38</v>
      </c>
      <c r="L762">
        <v>0</v>
      </c>
      <c r="M762">
        <v>0</v>
      </c>
      <c r="N762">
        <v>0</v>
      </c>
      <c r="O762">
        <v>0</v>
      </c>
      <c r="P762">
        <v>0</v>
      </c>
      <c r="Q762">
        <v>0</v>
      </c>
      <c r="R762" s="2043">
        <v>2413605</v>
      </c>
      <c r="S762">
        <v>220295</v>
      </c>
      <c r="T762">
        <v>160540</v>
      </c>
      <c r="U762">
        <v>0.08</v>
      </c>
      <c r="V762">
        <v>0</v>
      </c>
      <c r="W762">
        <v>0</v>
      </c>
      <c r="X762">
        <v>0</v>
      </c>
      <c r="Y762">
        <v>0</v>
      </c>
      <c r="Z762">
        <v>0</v>
      </c>
      <c r="AA762">
        <v>0</v>
      </c>
      <c r="AB762">
        <v>496.00700000000001</v>
      </c>
      <c r="AC762" s="2043">
        <v>282532615</v>
      </c>
      <c r="AD762">
        <v>137087</v>
      </c>
      <c r="AE762" s="2043">
        <v>2794440</v>
      </c>
      <c r="AF762">
        <v>1.0148000000000001</v>
      </c>
      <c r="AG762">
        <v>0</v>
      </c>
      <c r="AH762">
        <v>0</v>
      </c>
      <c r="AI762">
        <v>0</v>
      </c>
      <c r="AJ762">
        <v>84.863</v>
      </c>
      <c r="AK762">
        <v>2562</v>
      </c>
      <c r="AL762">
        <v>0</v>
      </c>
      <c r="AM762">
        <v>0</v>
      </c>
      <c r="AN762">
        <v>22.875</v>
      </c>
      <c r="AO762">
        <v>0</v>
      </c>
      <c r="AP762">
        <v>0</v>
      </c>
      <c r="AQ762">
        <v>0</v>
      </c>
      <c r="AR762">
        <v>10.503</v>
      </c>
      <c r="AS762">
        <v>0</v>
      </c>
      <c r="AT762">
        <v>3.7170000000000001</v>
      </c>
      <c r="AU762">
        <v>1.139</v>
      </c>
      <c r="AV762">
        <v>0</v>
      </c>
      <c r="AW762">
        <v>15.540000000000001</v>
      </c>
      <c r="AX762">
        <v>0.18100000000000002</v>
      </c>
      <c r="AY762">
        <v>48.771000000000001</v>
      </c>
      <c r="AZ762">
        <v>0</v>
      </c>
      <c r="BA762">
        <v>2959651</v>
      </c>
      <c r="BB762">
        <v>2931527</v>
      </c>
      <c r="BC762">
        <v>0</v>
      </c>
      <c r="BD762">
        <v>36980</v>
      </c>
      <c r="BE762">
        <v>7616</v>
      </c>
      <c r="BF762">
        <v>144089</v>
      </c>
      <c r="BG762">
        <v>36980</v>
      </c>
      <c r="BH762">
        <v>99493</v>
      </c>
      <c r="BI762">
        <v>0</v>
      </c>
      <c r="BJ762">
        <v>0</v>
      </c>
      <c r="BK762">
        <v>0</v>
      </c>
      <c r="BL762">
        <v>280734728</v>
      </c>
      <c r="BM762">
        <v>0</v>
      </c>
      <c r="BN762">
        <v>1764</v>
      </c>
      <c r="BO762">
        <v>1156</v>
      </c>
      <c r="BP762">
        <v>0</v>
      </c>
      <c r="BQ762">
        <v>0</v>
      </c>
      <c r="BR762">
        <v>0.87650000000000006</v>
      </c>
      <c r="BS762">
        <v>0.87650000000000006</v>
      </c>
      <c r="BT762">
        <v>0</v>
      </c>
      <c r="BU762">
        <v>0</v>
      </c>
      <c r="BV762">
        <v>37</v>
      </c>
      <c r="BW762">
        <v>94</v>
      </c>
      <c r="BX762">
        <v>41</v>
      </c>
      <c r="BY762">
        <v>3</v>
      </c>
      <c r="BZ762">
        <v>157</v>
      </c>
      <c r="CA762">
        <v>332</v>
      </c>
      <c r="CB762">
        <v>0</v>
      </c>
      <c r="CC762">
        <v>0</v>
      </c>
      <c r="CD762">
        <v>0</v>
      </c>
      <c r="CE762">
        <v>60</v>
      </c>
      <c r="CF762">
        <v>103.968</v>
      </c>
      <c r="CG762">
        <v>0</v>
      </c>
      <c r="CH762">
        <v>0</v>
      </c>
      <c r="CI762">
        <v>1</v>
      </c>
      <c r="CJ762">
        <v>0</v>
      </c>
      <c r="CK762">
        <v>0</v>
      </c>
      <c r="CL762">
        <v>0</v>
      </c>
      <c r="CM762">
        <v>7.7450000000000001</v>
      </c>
      <c r="CN762">
        <v>0</v>
      </c>
      <c r="CO762">
        <v>0</v>
      </c>
      <c r="CP762">
        <v>0</v>
      </c>
      <c r="CQ762">
        <v>0</v>
      </c>
      <c r="CR762">
        <v>0</v>
      </c>
      <c r="CS762">
        <v>0</v>
      </c>
      <c r="CT762">
        <v>0</v>
      </c>
      <c r="CU762">
        <v>5.05</v>
      </c>
      <c r="CV762">
        <v>13.949</v>
      </c>
      <c r="CW762">
        <v>13.312000000000001</v>
      </c>
      <c r="CX762">
        <v>0</v>
      </c>
      <c r="CY762" s="2043">
        <v>0</v>
      </c>
      <c r="CZ762" s="2043">
        <v>0</v>
      </c>
      <c r="DA762" s="2043">
        <v>0</v>
      </c>
      <c r="DB762" s="2043">
        <v>0</v>
      </c>
      <c r="DC762" s="2043">
        <v>0</v>
      </c>
      <c r="DI762" t="s">
        <v>3109</v>
      </c>
      <c r="DJ762" t="s">
        <v>3109</v>
      </c>
      <c r="DK762" s="2042">
        <f t="shared" si="13"/>
        <v>0</v>
      </c>
    </row>
    <row r="763" spans="1:115">
      <c r="A763" t="s">
        <v>5149</v>
      </c>
      <c r="B763" t="s">
        <v>1994</v>
      </c>
      <c r="C763">
        <v>2065.308</v>
      </c>
      <c r="D763">
        <v>2122.806</v>
      </c>
      <c r="E763">
        <v>328.69300000000004</v>
      </c>
      <c r="F763">
        <v>0</v>
      </c>
      <c r="G763" s="2043">
        <v>1036451521</v>
      </c>
      <c r="H763">
        <v>0</v>
      </c>
      <c r="I763" s="2043">
        <v>3087387</v>
      </c>
      <c r="J763">
        <v>103.265</v>
      </c>
      <c r="K763">
        <v>282</v>
      </c>
      <c r="L763">
        <v>0</v>
      </c>
      <c r="M763">
        <v>0</v>
      </c>
      <c r="N763">
        <v>0</v>
      </c>
      <c r="O763">
        <v>0</v>
      </c>
      <c r="P763">
        <v>0</v>
      </c>
      <c r="Q763">
        <v>0</v>
      </c>
      <c r="R763" s="2043">
        <v>9643277</v>
      </c>
      <c r="S763">
        <v>633454</v>
      </c>
      <c r="T763">
        <v>0</v>
      </c>
      <c r="U763">
        <v>0.06</v>
      </c>
      <c r="V763">
        <v>0</v>
      </c>
      <c r="W763">
        <v>0</v>
      </c>
      <c r="X763">
        <v>0</v>
      </c>
      <c r="Y763">
        <v>-6605</v>
      </c>
      <c r="Z763">
        <v>0</v>
      </c>
      <c r="AA763">
        <v>0</v>
      </c>
      <c r="AB763">
        <v>2042.4280000000001</v>
      </c>
      <c r="AC763" s="2043">
        <v>960860438</v>
      </c>
      <c r="AD763">
        <v>3445296</v>
      </c>
      <c r="AE763" s="2043">
        <v>10276731</v>
      </c>
      <c r="AF763">
        <v>0.97340000000000004</v>
      </c>
      <c r="AG763">
        <v>0</v>
      </c>
      <c r="AH763">
        <v>0</v>
      </c>
      <c r="AI763">
        <v>0</v>
      </c>
      <c r="AJ763">
        <v>336.02500000000003</v>
      </c>
      <c r="AK763">
        <v>8504</v>
      </c>
      <c r="AL763">
        <v>0</v>
      </c>
      <c r="AM763">
        <v>0</v>
      </c>
      <c r="AN763">
        <v>105.18300000000001</v>
      </c>
      <c r="AO763">
        <v>0.8</v>
      </c>
      <c r="AP763">
        <v>0.29700000000000004</v>
      </c>
      <c r="AQ763">
        <v>0</v>
      </c>
      <c r="AR763">
        <v>36.623000000000005</v>
      </c>
      <c r="AS763">
        <v>0</v>
      </c>
      <c r="AT763">
        <v>26.969000000000001</v>
      </c>
      <c r="AU763">
        <v>6.1059999999999999</v>
      </c>
      <c r="AV763">
        <v>0</v>
      </c>
      <c r="AW763">
        <v>71.274000000000001</v>
      </c>
      <c r="AX763">
        <v>1.2790000000000001</v>
      </c>
      <c r="AY763">
        <v>225.05</v>
      </c>
      <c r="AZ763">
        <v>0</v>
      </c>
      <c r="BA763">
        <v>11138822</v>
      </c>
      <c r="BB763">
        <v>13722027</v>
      </c>
      <c r="BC763">
        <v>0</v>
      </c>
      <c r="BD763">
        <v>108317</v>
      </c>
      <c r="BE763">
        <v>77782</v>
      </c>
      <c r="BF763">
        <v>250868</v>
      </c>
      <c r="BG763">
        <v>108317</v>
      </c>
      <c r="BH763">
        <v>64769</v>
      </c>
      <c r="BI763">
        <v>0</v>
      </c>
      <c r="BJ763">
        <v>-6605</v>
      </c>
      <c r="BK763">
        <v>0</v>
      </c>
      <c r="BL763">
        <v>1036451521</v>
      </c>
      <c r="BM763">
        <v>0</v>
      </c>
      <c r="BN763">
        <v>7695</v>
      </c>
      <c r="BO763">
        <v>4965</v>
      </c>
      <c r="BP763">
        <v>0</v>
      </c>
      <c r="BQ763">
        <v>0</v>
      </c>
      <c r="BR763">
        <v>0.91339999999999999</v>
      </c>
      <c r="BS763">
        <v>0.91339999999999999</v>
      </c>
      <c r="BT763">
        <v>0</v>
      </c>
      <c r="BU763">
        <v>0</v>
      </c>
      <c r="BV763">
        <v>22</v>
      </c>
      <c r="BW763">
        <v>1115</v>
      </c>
      <c r="BX763">
        <v>238</v>
      </c>
      <c r="BY763">
        <v>9</v>
      </c>
      <c r="BZ763">
        <v>16</v>
      </c>
      <c r="CA763">
        <v>1400</v>
      </c>
      <c r="CB763">
        <v>0</v>
      </c>
      <c r="CC763">
        <v>0</v>
      </c>
      <c r="CD763">
        <v>0</v>
      </c>
      <c r="CE763">
        <v>139</v>
      </c>
      <c r="CF763">
        <v>554.61599999999999</v>
      </c>
      <c r="CG763">
        <v>0</v>
      </c>
      <c r="CH763">
        <v>0.22700000000000001</v>
      </c>
      <c r="CI763">
        <v>3</v>
      </c>
      <c r="CJ763">
        <v>9</v>
      </c>
      <c r="CK763">
        <v>0</v>
      </c>
      <c r="CL763">
        <v>0.22700000000000001</v>
      </c>
      <c r="CM763">
        <v>328.69300000000004</v>
      </c>
      <c r="CN763">
        <v>0</v>
      </c>
      <c r="CO763">
        <v>0</v>
      </c>
      <c r="CP763">
        <v>0</v>
      </c>
      <c r="CQ763">
        <v>0</v>
      </c>
      <c r="CR763">
        <v>0</v>
      </c>
      <c r="CS763">
        <v>0</v>
      </c>
      <c r="CT763">
        <v>0</v>
      </c>
      <c r="CU763">
        <v>1.9770000000000001</v>
      </c>
      <c r="CV763">
        <v>136.08700000000002</v>
      </c>
      <c r="CW763">
        <v>93.413000000000011</v>
      </c>
      <c r="CX763">
        <v>0</v>
      </c>
      <c r="CY763" s="2043">
        <v>0</v>
      </c>
      <c r="CZ763" s="2043">
        <v>0</v>
      </c>
      <c r="DA763" s="2043">
        <v>0</v>
      </c>
      <c r="DB763" s="2043">
        <v>0</v>
      </c>
      <c r="DC763" s="2043">
        <v>0</v>
      </c>
      <c r="DI763" t="s">
        <v>5149</v>
      </c>
      <c r="DJ763" t="s">
        <v>5149</v>
      </c>
      <c r="DK763" s="2042">
        <f t="shared" si="13"/>
        <v>0</v>
      </c>
    </row>
    <row r="764" spans="1:115">
      <c r="A764" t="s">
        <v>3110</v>
      </c>
      <c r="B764" t="s">
        <v>914</v>
      </c>
      <c r="C764">
        <v>279.49700000000001</v>
      </c>
      <c r="D764">
        <v>284.99700000000001</v>
      </c>
      <c r="E764">
        <v>34.605000000000004</v>
      </c>
      <c r="F764">
        <v>0</v>
      </c>
      <c r="G764" s="2043">
        <v>82562153</v>
      </c>
      <c r="H764">
        <v>0</v>
      </c>
      <c r="I764" s="2043">
        <v>203494</v>
      </c>
      <c r="J764">
        <v>9</v>
      </c>
      <c r="K764">
        <v>25</v>
      </c>
      <c r="L764">
        <v>30788</v>
      </c>
      <c r="M764">
        <v>44256</v>
      </c>
      <c r="N764">
        <v>30788</v>
      </c>
      <c r="O764">
        <v>75044</v>
      </c>
      <c r="P764">
        <v>0</v>
      </c>
      <c r="Q764">
        <v>0</v>
      </c>
      <c r="R764" s="2043">
        <v>678420</v>
      </c>
      <c r="S764">
        <v>66026</v>
      </c>
      <c r="T764">
        <v>48117</v>
      </c>
      <c r="U764">
        <v>0.08</v>
      </c>
      <c r="V764">
        <v>0</v>
      </c>
      <c r="W764">
        <v>0</v>
      </c>
      <c r="X764">
        <v>0</v>
      </c>
      <c r="Y764">
        <v>0</v>
      </c>
      <c r="Z764">
        <v>0</v>
      </c>
      <c r="AA764">
        <v>0.05</v>
      </c>
      <c r="AB764">
        <v>284.99700000000001</v>
      </c>
      <c r="AC764" s="2043">
        <v>46986010</v>
      </c>
      <c r="AD764">
        <v>157722</v>
      </c>
      <c r="AE764" s="2043">
        <v>792563</v>
      </c>
      <c r="AF764">
        <v>0.96030000000000004</v>
      </c>
      <c r="AG764">
        <v>0</v>
      </c>
      <c r="AH764">
        <v>0</v>
      </c>
      <c r="AI764">
        <v>0</v>
      </c>
      <c r="AJ764">
        <v>61.438000000000002</v>
      </c>
      <c r="AK764">
        <v>2004</v>
      </c>
      <c r="AL764">
        <v>1.4E-2</v>
      </c>
      <c r="AM764">
        <v>0</v>
      </c>
      <c r="AN764">
        <v>15.272</v>
      </c>
      <c r="AO764">
        <v>0</v>
      </c>
      <c r="AP764">
        <v>0</v>
      </c>
      <c r="AQ764">
        <v>0</v>
      </c>
      <c r="AR764">
        <v>7.8690000000000007</v>
      </c>
      <c r="AS764">
        <v>0</v>
      </c>
      <c r="AT764">
        <v>3.7490000000000001</v>
      </c>
      <c r="AU764">
        <v>0.92600000000000005</v>
      </c>
      <c r="AV764">
        <v>0</v>
      </c>
      <c r="AW764">
        <v>12.558</v>
      </c>
      <c r="AX764">
        <v>0</v>
      </c>
      <c r="AY764">
        <v>39.554000000000002</v>
      </c>
      <c r="AZ764">
        <v>0</v>
      </c>
      <c r="BA764">
        <v>3637586</v>
      </c>
      <c r="BB764">
        <v>950285</v>
      </c>
      <c r="BC764">
        <v>0</v>
      </c>
      <c r="BD764">
        <v>15312</v>
      </c>
      <c r="BE764">
        <v>0</v>
      </c>
      <c r="BF764">
        <v>15312</v>
      </c>
      <c r="BG764">
        <v>15312</v>
      </c>
      <c r="BH764">
        <v>0</v>
      </c>
      <c r="BI764">
        <v>0</v>
      </c>
      <c r="BJ764">
        <v>0</v>
      </c>
      <c r="BK764">
        <v>0</v>
      </c>
      <c r="BL764">
        <v>82562153</v>
      </c>
      <c r="BM764">
        <v>0</v>
      </c>
      <c r="BN764">
        <v>1044</v>
      </c>
      <c r="BO764">
        <v>589</v>
      </c>
      <c r="BP764">
        <v>0</v>
      </c>
      <c r="BQ764">
        <v>0</v>
      </c>
      <c r="BR764">
        <v>0.82200000000000006</v>
      </c>
      <c r="BS764">
        <v>0.82200000000000006</v>
      </c>
      <c r="BT764">
        <v>0</v>
      </c>
      <c r="BU764">
        <v>0</v>
      </c>
      <c r="BV764">
        <v>0</v>
      </c>
      <c r="BW764">
        <v>69</v>
      </c>
      <c r="BX764">
        <v>166</v>
      </c>
      <c r="BY764">
        <v>2</v>
      </c>
      <c r="BZ764">
        <v>11</v>
      </c>
      <c r="CA764">
        <v>248</v>
      </c>
      <c r="CB764">
        <v>0</v>
      </c>
      <c r="CC764">
        <v>0</v>
      </c>
      <c r="CD764">
        <v>0</v>
      </c>
      <c r="CE764">
        <v>29</v>
      </c>
      <c r="CF764">
        <v>87.710000000000008</v>
      </c>
      <c r="CG764">
        <v>0</v>
      </c>
      <c r="CH764">
        <v>0</v>
      </c>
      <c r="CI764">
        <v>0</v>
      </c>
      <c r="CJ764">
        <v>4</v>
      </c>
      <c r="CK764">
        <v>0</v>
      </c>
      <c r="CL764">
        <v>0</v>
      </c>
      <c r="CM764">
        <v>34.605000000000004</v>
      </c>
      <c r="CN764">
        <v>0</v>
      </c>
      <c r="CO764">
        <v>0</v>
      </c>
      <c r="CP764">
        <v>0</v>
      </c>
      <c r="CQ764">
        <v>0</v>
      </c>
      <c r="CR764">
        <v>0</v>
      </c>
      <c r="CS764">
        <v>0</v>
      </c>
      <c r="CT764">
        <v>0</v>
      </c>
      <c r="CU764">
        <v>5.5579999999999998</v>
      </c>
      <c r="CV764">
        <v>20.13</v>
      </c>
      <c r="CW764">
        <v>13.831000000000001</v>
      </c>
      <c r="CX764">
        <v>0</v>
      </c>
      <c r="CY764" s="2043">
        <v>0</v>
      </c>
      <c r="CZ764" s="2043">
        <v>0</v>
      </c>
      <c r="DA764" s="2043">
        <v>0</v>
      </c>
      <c r="DB764" s="2043">
        <v>0</v>
      </c>
      <c r="DC764" s="2043">
        <v>0</v>
      </c>
      <c r="DI764" t="s">
        <v>5150</v>
      </c>
      <c r="DJ764" t="s">
        <v>3110</v>
      </c>
      <c r="DK764" s="2042">
        <f t="shared" si="13"/>
        <v>-994</v>
      </c>
    </row>
    <row r="765" spans="1:115">
      <c r="A765" t="s">
        <v>5150</v>
      </c>
      <c r="B765" t="s">
        <v>1995</v>
      </c>
      <c r="C765">
        <v>1694.875</v>
      </c>
      <c r="D765">
        <v>1783.0420000000001</v>
      </c>
      <c r="E765">
        <v>89.765000000000001</v>
      </c>
      <c r="F765">
        <v>0</v>
      </c>
      <c r="G765" s="2043">
        <v>812937484</v>
      </c>
      <c r="H765">
        <v>0</v>
      </c>
      <c r="I765" s="2043">
        <v>724738</v>
      </c>
      <c r="J765">
        <v>84.744</v>
      </c>
      <c r="K765">
        <v>232</v>
      </c>
      <c r="L765">
        <v>0</v>
      </c>
      <c r="M765">
        <v>0</v>
      </c>
      <c r="N765">
        <v>0</v>
      </c>
      <c r="O765">
        <v>0</v>
      </c>
      <c r="P765">
        <v>0</v>
      </c>
      <c r="Q765">
        <v>0</v>
      </c>
      <c r="R765" s="2043">
        <v>6577273</v>
      </c>
      <c r="S765">
        <v>400077</v>
      </c>
      <c r="T765">
        <v>0</v>
      </c>
      <c r="U765">
        <v>0.05</v>
      </c>
      <c r="V765">
        <v>0</v>
      </c>
      <c r="W765">
        <v>0</v>
      </c>
      <c r="X765">
        <v>0</v>
      </c>
      <c r="Y765">
        <v>0</v>
      </c>
      <c r="Z765">
        <v>0</v>
      </c>
      <c r="AA765">
        <v>0</v>
      </c>
      <c r="AB765">
        <v>1635.241</v>
      </c>
      <c r="AC765" s="2043">
        <v>600264133</v>
      </c>
      <c r="AD765">
        <v>772165</v>
      </c>
      <c r="AE765" s="2043">
        <v>6977350</v>
      </c>
      <c r="AF765">
        <v>0.872</v>
      </c>
      <c r="AG765">
        <v>0</v>
      </c>
      <c r="AH765">
        <v>0</v>
      </c>
      <c r="AI765">
        <v>0</v>
      </c>
      <c r="AJ765">
        <v>210.125</v>
      </c>
      <c r="AK765">
        <v>7827</v>
      </c>
      <c r="AL765">
        <v>0.249</v>
      </c>
      <c r="AM765">
        <v>0</v>
      </c>
      <c r="AN765">
        <v>125.07000000000001</v>
      </c>
      <c r="AO765">
        <v>2</v>
      </c>
      <c r="AP765">
        <v>1.0230000000000001</v>
      </c>
      <c r="AQ765">
        <v>0</v>
      </c>
      <c r="AR765">
        <v>31.862000000000002</v>
      </c>
      <c r="AS765">
        <v>0</v>
      </c>
      <c r="AT765">
        <v>16.448</v>
      </c>
      <c r="AU765">
        <v>4.2370000000000001</v>
      </c>
      <c r="AV765">
        <v>0</v>
      </c>
      <c r="AW765">
        <v>53.819000000000003</v>
      </c>
      <c r="AX765">
        <v>0</v>
      </c>
      <c r="AY765">
        <v>170.12200000000001</v>
      </c>
      <c r="AZ765">
        <v>0</v>
      </c>
      <c r="BA765">
        <v>9719056</v>
      </c>
      <c r="BB765">
        <v>7749515</v>
      </c>
      <c r="BC765">
        <v>0</v>
      </c>
      <c r="BD765">
        <v>140666</v>
      </c>
      <c r="BE765">
        <v>95734</v>
      </c>
      <c r="BF765">
        <v>236400</v>
      </c>
      <c r="BG765">
        <v>140666</v>
      </c>
      <c r="BH765">
        <v>0</v>
      </c>
      <c r="BI765">
        <v>0</v>
      </c>
      <c r="BJ765">
        <v>0</v>
      </c>
      <c r="BK765">
        <v>0</v>
      </c>
      <c r="BL765">
        <v>812937484</v>
      </c>
      <c r="BM765">
        <v>0</v>
      </c>
      <c r="BN765">
        <v>4941</v>
      </c>
      <c r="BO765">
        <v>4441</v>
      </c>
      <c r="BP765">
        <v>0</v>
      </c>
      <c r="BQ765">
        <v>0</v>
      </c>
      <c r="BR765">
        <v>0.82200000000000006</v>
      </c>
      <c r="BS765">
        <v>0.82200000000000006</v>
      </c>
      <c r="BT765">
        <v>0</v>
      </c>
      <c r="BU765">
        <v>0</v>
      </c>
      <c r="BV765">
        <v>386</v>
      </c>
      <c r="BW765">
        <v>494</v>
      </c>
      <c r="BX765">
        <v>4</v>
      </c>
      <c r="BY765">
        <v>0</v>
      </c>
      <c r="BZ765">
        <v>18</v>
      </c>
      <c r="CA765">
        <v>902</v>
      </c>
      <c r="CB765">
        <v>0</v>
      </c>
      <c r="CC765">
        <v>0</v>
      </c>
      <c r="CD765">
        <v>0</v>
      </c>
      <c r="CE765">
        <v>132</v>
      </c>
      <c r="CF765">
        <v>359.44499999999999</v>
      </c>
      <c r="CG765">
        <v>0</v>
      </c>
      <c r="CH765">
        <v>0</v>
      </c>
      <c r="CI765">
        <v>5</v>
      </c>
      <c r="CJ765">
        <v>13</v>
      </c>
      <c r="CK765">
        <v>1</v>
      </c>
      <c r="CL765">
        <v>0</v>
      </c>
      <c r="CM765">
        <v>89.765000000000001</v>
      </c>
      <c r="CN765">
        <v>0</v>
      </c>
      <c r="CO765">
        <v>0</v>
      </c>
      <c r="CP765">
        <v>0</v>
      </c>
      <c r="CQ765">
        <v>0</v>
      </c>
      <c r="CR765">
        <v>0</v>
      </c>
      <c r="CS765">
        <v>0</v>
      </c>
      <c r="CT765">
        <v>0</v>
      </c>
      <c r="CU765">
        <v>9.7190000000000012</v>
      </c>
      <c r="CV765">
        <v>136.61100000000002</v>
      </c>
      <c r="CW765">
        <v>53.211000000000006</v>
      </c>
      <c r="CX765">
        <v>0</v>
      </c>
      <c r="CY765" s="2043">
        <v>0</v>
      </c>
      <c r="CZ765" s="2043">
        <v>0</v>
      </c>
      <c r="DA765" s="2043">
        <v>0</v>
      </c>
      <c r="DB765" s="2043">
        <v>0</v>
      </c>
      <c r="DC765" s="2043">
        <v>0</v>
      </c>
      <c r="DI765" t="s">
        <v>3110</v>
      </c>
      <c r="DJ765" t="s">
        <v>5150</v>
      </c>
      <c r="DK765" s="2042">
        <f t="shared" si="13"/>
        <v>994</v>
      </c>
    </row>
    <row r="766" spans="1:115">
      <c r="A766" t="s">
        <v>5151</v>
      </c>
      <c r="B766" t="s">
        <v>1261</v>
      </c>
      <c r="C766">
        <v>1428.0940000000001</v>
      </c>
      <c r="D766">
        <v>1416.646</v>
      </c>
      <c r="E766">
        <v>80.174999999999997</v>
      </c>
      <c r="F766">
        <v>0</v>
      </c>
      <c r="G766" s="2043">
        <v>1304286001</v>
      </c>
      <c r="H766">
        <v>0</v>
      </c>
      <c r="I766" s="2043">
        <v>1748548</v>
      </c>
      <c r="J766">
        <v>71.405000000000001</v>
      </c>
      <c r="K766">
        <v>195</v>
      </c>
      <c r="L766">
        <v>0</v>
      </c>
      <c r="M766">
        <v>0</v>
      </c>
      <c r="N766">
        <v>0</v>
      </c>
      <c r="O766">
        <v>0</v>
      </c>
      <c r="P766">
        <v>0</v>
      </c>
      <c r="Q766">
        <v>0</v>
      </c>
      <c r="R766" s="2043">
        <v>11640209</v>
      </c>
      <c r="S766">
        <v>646032</v>
      </c>
      <c r="T766">
        <v>0</v>
      </c>
      <c r="U766">
        <v>0.05</v>
      </c>
      <c r="V766">
        <v>0</v>
      </c>
      <c r="W766">
        <v>0</v>
      </c>
      <c r="X766">
        <v>0</v>
      </c>
      <c r="Y766">
        <v>0</v>
      </c>
      <c r="Z766">
        <v>58.14</v>
      </c>
      <c r="AA766">
        <v>0</v>
      </c>
      <c r="AB766">
        <v>1416.646</v>
      </c>
      <c r="AC766" s="2043">
        <v>1310258879</v>
      </c>
      <c r="AD766">
        <v>3067208</v>
      </c>
      <c r="AE766" s="2043">
        <v>12286241</v>
      </c>
      <c r="AF766">
        <v>0.95090000000000008</v>
      </c>
      <c r="AG766">
        <v>0</v>
      </c>
      <c r="AH766">
        <v>0</v>
      </c>
      <c r="AI766">
        <v>0</v>
      </c>
      <c r="AJ766">
        <v>241.22500000000002</v>
      </c>
      <c r="AK766">
        <v>5854</v>
      </c>
      <c r="AL766">
        <v>0.46900000000000003</v>
      </c>
      <c r="AM766">
        <v>0</v>
      </c>
      <c r="AN766">
        <v>53.565000000000005</v>
      </c>
      <c r="AO766">
        <v>0</v>
      </c>
      <c r="AP766">
        <v>0</v>
      </c>
      <c r="AQ766">
        <v>0</v>
      </c>
      <c r="AR766">
        <v>35.6</v>
      </c>
      <c r="AS766">
        <v>0</v>
      </c>
      <c r="AT766">
        <v>12.899000000000001</v>
      </c>
      <c r="AU766">
        <v>3.0030000000000001</v>
      </c>
      <c r="AV766">
        <v>0</v>
      </c>
      <c r="AW766">
        <v>51.971000000000004</v>
      </c>
      <c r="AX766">
        <v>0</v>
      </c>
      <c r="AY766">
        <v>162.857</v>
      </c>
      <c r="AZ766">
        <v>0</v>
      </c>
      <c r="BA766">
        <v>2540088</v>
      </c>
      <c r="BB766">
        <v>15353449</v>
      </c>
      <c r="BC766">
        <v>0</v>
      </c>
      <c r="BD766">
        <v>204192</v>
      </c>
      <c r="BE766">
        <v>67148</v>
      </c>
      <c r="BF766">
        <v>275964</v>
      </c>
      <c r="BG766">
        <v>204192</v>
      </c>
      <c r="BH766">
        <v>4624</v>
      </c>
      <c r="BI766">
        <v>0</v>
      </c>
      <c r="BJ766">
        <v>0</v>
      </c>
      <c r="BK766">
        <v>0</v>
      </c>
      <c r="BL766">
        <v>1304286001</v>
      </c>
      <c r="BM766">
        <v>0</v>
      </c>
      <c r="BN766">
        <v>4509</v>
      </c>
      <c r="BO766">
        <v>3360</v>
      </c>
      <c r="BP766">
        <v>0</v>
      </c>
      <c r="BQ766">
        <v>0</v>
      </c>
      <c r="BR766">
        <v>0.90090000000000003</v>
      </c>
      <c r="BS766">
        <v>0.90090000000000003</v>
      </c>
      <c r="BT766">
        <v>0</v>
      </c>
      <c r="BU766">
        <v>0</v>
      </c>
      <c r="BV766">
        <v>191</v>
      </c>
      <c r="BW766">
        <v>432</v>
      </c>
      <c r="BX766">
        <v>219</v>
      </c>
      <c r="BY766">
        <v>116</v>
      </c>
      <c r="BZ766">
        <v>38</v>
      </c>
      <c r="CA766">
        <v>996</v>
      </c>
      <c r="CB766">
        <v>0</v>
      </c>
      <c r="CC766">
        <v>0</v>
      </c>
      <c r="CD766">
        <v>0</v>
      </c>
      <c r="CE766">
        <v>126</v>
      </c>
      <c r="CF766">
        <v>295.30600000000004</v>
      </c>
      <c r="CG766">
        <v>0</v>
      </c>
      <c r="CH766">
        <v>0</v>
      </c>
      <c r="CI766">
        <v>0</v>
      </c>
      <c r="CJ766">
        <v>3</v>
      </c>
      <c r="CK766">
        <v>0</v>
      </c>
      <c r="CL766">
        <v>0</v>
      </c>
      <c r="CM766">
        <v>80.174999999999997</v>
      </c>
      <c r="CN766">
        <v>0</v>
      </c>
      <c r="CO766">
        <v>0</v>
      </c>
      <c r="CP766">
        <v>0</v>
      </c>
      <c r="CQ766">
        <v>0</v>
      </c>
      <c r="CR766">
        <v>0</v>
      </c>
      <c r="CS766">
        <v>0</v>
      </c>
      <c r="CT766">
        <v>0</v>
      </c>
      <c r="CU766">
        <v>32.197000000000003</v>
      </c>
      <c r="CV766">
        <v>76.820999999999998</v>
      </c>
      <c r="CW766">
        <v>45.994</v>
      </c>
      <c r="CX766">
        <v>0</v>
      </c>
      <c r="CY766" s="2043">
        <v>0</v>
      </c>
      <c r="CZ766" s="2043">
        <v>0</v>
      </c>
      <c r="DA766" s="2043">
        <v>0</v>
      </c>
      <c r="DB766" s="2043">
        <v>0</v>
      </c>
      <c r="DC766" s="2043">
        <v>394240</v>
      </c>
      <c r="DI766" t="s">
        <v>5151</v>
      </c>
      <c r="DJ766" t="s">
        <v>5151</v>
      </c>
      <c r="DK766" s="2042">
        <f t="shared" si="13"/>
        <v>0</v>
      </c>
    </row>
    <row r="767" spans="1:115">
      <c r="A767" t="s">
        <v>5152</v>
      </c>
      <c r="B767" t="s">
        <v>1595</v>
      </c>
      <c r="C767">
        <v>1672.99</v>
      </c>
      <c r="D767">
        <v>1760.645</v>
      </c>
      <c r="E767">
        <v>328.16700000000003</v>
      </c>
      <c r="F767">
        <v>0</v>
      </c>
      <c r="G767" s="2043">
        <v>511305214</v>
      </c>
      <c r="H767">
        <v>0</v>
      </c>
      <c r="I767" s="2043">
        <v>1148112</v>
      </c>
      <c r="J767">
        <v>68</v>
      </c>
      <c r="K767">
        <v>186</v>
      </c>
      <c r="L767">
        <v>33695</v>
      </c>
      <c r="M767">
        <v>232058</v>
      </c>
      <c r="N767">
        <v>33695</v>
      </c>
      <c r="O767">
        <v>265753</v>
      </c>
      <c r="P767">
        <v>0</v>
      </c>
      <c r="Q767">
        <v>0</v>
      </c>
      <c r="R767" s="2043">
        <v>4375441</v>
      </c>
      <c r="S767">
        <v>404805</v>
      </c>
      <c r="T767">
        <v>241366</v>
      </c>
      <c r="U767">
        <v>0.08</v>
      </c>
      <c r="V767">
        <v>0</v>
      </c>
      <c r="W767">
        <v>0</v>
      </c>
      <c r="X767">
        <v>0</v>
      </c>
      <c r="Y767">
        <v>0</v>
      </c>
      <c r="Z767">
        <v>0</v>
      </c>
      <c r="AA767">
        <v>5.3999999999999999E-2</v>
      </c>
      <c r="AB767">
        <v>1646.885</v>
      </c>
      <c r="AC767" s="2043">
        <v>458952753</v>
      </c>
      <c r="AD767">
        <v>956511</v>
      </c>
      <c r="AE767" s="2043">
        <v>5021612</v>
      </c>
      <c r="AF767">
        <v>0.99240000000000006</v>
      </c>
      <c r="AG767">
        <v>0</v>
      </c>
      <c r="AH767">
        <v>0</v>
      </c>
      <c r="AI767">
        <v>0</v>
      </c>
      <c r="AJ767">
        <v>397.02500000000003</v>
      </c>
      <c r="AK767">
        <v>8002</v>
      </c>
      <c r="AL767">
        <v>3.6000000000000004E-2</v>
      </c>
      <c r="AM767">
        <v>0</v>
      </c>
      <c r="AN767">
        <v>50.28</v>
      </c>
      <c r="AO767">
        <v>0</v>
      </c>
      <c r="AP767">
        <v>0</v>
      </c>
      <c r="AQ767">
        <v>6.6660000000000004</v>
      </c>
      <c r="AR767">
        <v>53.626000000000005</v>
      </c>
      <c r="AS767">
        <v>0</v>
      </c>
      <c r="AT767">
        <v>19.240000000000002</v>
      </c>
      <c r="AU767">
        <v>4.17</v>
      </c>
      <c r="AV767">
        <v>0</v>
      </c>
      <c r="AW767">
        <v>83.738</v>
      </c>
      <c r="AX767">
        <v>0</v>
      </c>
      <c r="AY767">
        <v>239.62800000000001</v>
      </c>
      <c r="AZ767">
        <v>0</v>
      </c>
      <c r="BA767">
        <v>14618482</v>
      </c>
      <c r="BB767">
        <v>5978123</v>
      </c>
      <c r="BC767">
        <v>0</v>
      </c>
      <c r="BD767">
        <v>87783</v>
      </c>
      <c r="BE767">
        <v>18961</v>
      </c>
      <c r="BF767">
        <v>206669</v>
      </c>
      <c r="BG767">
        <v>87783</v>
      </c>
      <c r="BH767">
        <v>99925</v>
      </c>
      <c r="BI767">
        <v>0</v>
      </c>
      <c r="BJ767">
        <v>0</v>
      </c>
      <c r="BK767">
        <v>0</v>
      </c>
      <c r="BL767">
        <v>511305214</v>
      </c>
      <c r="BM767">
        <v>0</v>
      </c>
      <c r="BN767">
        <v>6624</v>
      </c>
      <c r="BO767">
        <v>5147</v>
      </c>
      <c r="BP767">
        <v>0</v>
      </c>
      <c r="BQ767">
        <v>0</v>
      </c>
      <c r="BR767">
        <v>0.86470000000000002</v>
      </c>
      <c r="BS767">
        <v>0.86470000000000002</v>
      </c>
      <c r="BT767">
        <v>0</v>
      </c>
      <c r="BU767">
        <v>0</v>
      </c>
      <c r="BV767">
        <v>151</v>
      </c>
      <c r="BW767">
        <v>304</v>
      </c>
      <c r="BX767">
        <v>117</v>
      </c>
      <c r="BY767">
        <v>808</v>
      </c>
      <c r="BZ767">
        <v>180</v>
      </c>
      <c r="CA767">
        <v>1560</v>
      </c>
      <c r="CB767">
        <v>0</v>
      </c>
      <c r="CC767">
        <v>0</v>
      </c>
      <c r="CD767">
        <v>0</v>
      </c>
      <c r="CE767">
        <v>115</v>
      </c>
      <c r="CF767">
        <v>575.10599999999999</v>
      </c>
      <c r="CG767">
        <v>8.7390000000000008</v>
      </c>
      <c r="CH767">
        <v>8.7390000000000008</v>
      </c>
      <c r="CI767">
        <v>0</v>
      </c>
      <c r="CJ767">
        <v>0</v>
      </c>
      <c r="CK767">
        <v>0</v>
      </c>
      <c r="CL767">
        <v>17.478000000000002</v>
      </c>
      <c r="CM767">
        <v>328.16700000000003</v>
      </c>
      <c r="CN767">
        <v>0</v>
      </c>
      <c r="CO767">
        <v>0</v>
      </c>
      <c r="CP767">
        <v>0</v>
      </c>
      <c r="CQ767">
        <v>0</v>
      </c>
      <c r="CR767">
        <v>0</v>
      </c>
      <c r="CS767">
        <v>0</v>
      </c>
      <c r="CT767">
        <v>0</v>
      </c>
      <c r="CU767">
        <v>22.35</v>
      </c>
      <c r="CV767">
        <v>99.765000000000001</v>
      </c>
      <c r="CW767">
        <v>73.27</v>
      </c>
      <c r="CX767">
        <v>0</v>
      </c>
      <c r="CY767" s="2043">
        <v>0</v>
      </c>
      <c r="CZ767" s="2043">
        <v>0</v>
      </c>
      <c r="DA767" s="2043">
        <v>0</v>
      </c>
      <c r="DB767" s="2043">
        <v>0</v>
      </c>
      <c r="DC767" s="2043">
        <v>0</v>
      </c>
      <c r="DI767" t="s">
        <v>5152</v>
      </c>
      <c r="DJ767" t="s">
        <v>5152</v>
      </c>
      <c r="DK767" s="2042">
        <f t="shared" si="13"/>
        <v>0</v>
      </c>
    </row>
    <row r="768" spans="1:115">
      <c r="A768" t="s">
        <v>5154</v>
      </c>
      <c r="B768" t="s">
        <v>2416</v>
      </c>
      <c r="C768">
        <v>163.23500000000001</v>
      </c>
      <c r="D768">
        <v>156.24800000000002</v>
      </c>
      <c r="E768">
        <v>17.141000000000002</v>
      </c>
      <c r="F768">
        <v>0</v>
      </c>
      <c r="G768" s="2043">
        <v>89316361</v>
      </c>
      <c r="H768">
        <v>0</v>
      </c>
      <c r="I768" s="2043">
        <v>218300</v>
      </c>
      <c r="J768">
        <v>8.1620000000000008</v>
      </c>
      <c r="K768">
        <v>22</v>
      </c>
      <c r="L768">
        <v>0</v>
      </c>
      <c r="M768">
        <v>0</v>
      </c>
      <c r="N768">
        <v>0</v>
      </c>
      <c r="O768">
        <v>0</v>
      </c>
      <c r="P768">
        <v>0</v>
      </c>
      <c r="Q768">
        <v>0</v>
      </c>
      <c r="R768" s="2043">
        <v>816004</v>
      </c>
      <c r="S768">
        <v>44668</v>
      </c>
      <c r="T768">
        <v>0</v>
      </c>
      <c r="U768">
        <v>0.05</v>
      </c>
      <c r="V768">
        <v>0</v>
      </c>
      <c r="W768">
        <v>0</v>
      </c>
      <c r="X768">
        <v>0</v>
      </c>
      <c r="Y768">
        <v>37202</v>
      </c>
      <c r="Z768">
        <v>0</v>
      </c>
      <c r="AA768">
        <v>0</v>
      </c>
      <c r="AB768">
        <v>156.24800000000002</v>
      </c>
      <c r="AC768" s="2043">
        <v>144767955</v>
      </c>
      <c r="AD768">
        <v>232019</v>
      </c>
      <c r="AE768" s="2043">
        <v>860672</v>
      </c>
      <c r="AF768">
        <v>0.96340000000000003</v>
      </c>
      <c r="AG768">
        <v>0</v>
      </c>
      <c r="AH768">
        <v>0</v>
      </c>
      <c r="AI768">
        <v>0</v>
      </c>
      <c r="AJ768">
        <v>24.225000000000001</v>
      </c>
      <c r="AK768">
        <v>1229</v>
      </c>
      <c r="AL768">
        <v>0</v>
      </c>
      <c r="AM768">
        <v>0</v>
      </c>
      <c r="AN768">
        <v>0.06</v>
      </c>
      <c r="AO768">
        <v>0</v>
      </c>
      <c r="AP768">
        <v>0</v>
      </c>
      <c r="AQ768">
        <v>0</v>
      </c>
      <c r="AR768">
        <v>8.7859999999999996</v>
      </c>
      <c r="AS768">
        <v>0</v>
      </c>
      <c r="AT768">
        <v>1.802</v>
      </c>
      <c r="AU768">
        <v>0.47900000000000004</v>
      </c>
      <c r="AV768">
        <v>0</v>
      </c>
      <c r="AW768">
        <v>11.067</v>
      </c>
      <c r="AX768">
        <v>0</v>
      </c>
      <c r="AY768">
        <v>34.158999999999999</v>
      </c>
      <c r="AZ768">
        <v>0</v>
      </c>
      <c r="BA768">
        <v>1459354</v>
      </c>
      <c r="BB768">
        <v>1092691</v>
      </c>
      <c r="BC768">
        <v>0</v>
      </c>
      <c r="BD768">
        <v>46018</v>
      </c>
      <c r="BE768">
        <v>0</v>
      </c>
      <c r="BF768">
        <v>46018</v>
      </c>
      <c r="BG768">
        <v>46018</v>
      </c>
      <c r="BH768">
        <v>0</v>
      </c>
      <c r="BI768">
        <v>0</v>
      </c>
      <c r="BJ768">
        <v>0</v>
      </c>
      <c r="BK768">
        <v>0</v>
      </c>
      <c r="BL768">
        <v>89316361</v>
      </c>
      <c r="BM768">
        <v>0</v>
      </c>
      <c r="BN768">
        <v>648</v>
      </c>
      <c r="BO768">
        <v>353</v>
      </c>
      <c r="BP768">
        <v>0</v>
      </c>
      <c r="BQ768">
        <v>0</v>
      </c>
      <c r="BR768">
        <v>0.91339999999999999</v>
      </c>
      <c r="BS768">
        <v>0.91339999999999999</v>
      </c>
      <c r="BT768">
        <v>0</v>
      </c>
      <c r="BU768">
        <v>37202</v>
      </c>
      <c r="BV768">
        <v>0</v>
      </c>
      <c r="BW768">
        <v>102</v>
      </c>
      <c r="BX768">
        <v>0</v>
      </c>
      <c r="BY768">
        <v>0</v>
      </c>
      <c r="BZ768">
        <v>0</v>
      </c>
      <c r="CA768">
        <v>102</v>
      </c>
      <c r="CB768">
        <v>0</v>
      </c>
      <c r="CC768">
        <v>0</v>
      </c>
      <c r="CD768">
        <v>0</v>
      </c>
      <c r="CE768">
        <v>11</v>
      </c>
      <c r="CF768">
        <v>33.571000000000005</v>
      </c>
      <c r="CG768">
        <v>0</v>
      </c>
      <c r="CH768">
        <v>0</v>
      </c>
      <c r="CI768">
        <v>0</v>
      </c>
      <c r="CJ768">
        <v>2</v>
      </c>
      <c r="CK768">
        <v>0</v>
      </c>
      <c r="CL768">
        <v>0</v>
      </c>
      <c r="CM768">
        <v>17.141000000000002</v>
      </c>
      <c r="CN768">
        <v>0</v>
      </c>
      <c r="CO768">
        <v>0</v>
      </c>
      <c r="CP768">
        <v>0</v>
      </c>
      <c r="CQ768">
        <v>0</v>
      </c>
      <c r="CR768">
        <v>0</v>
      </c>
      <c r="CS768">
        <v>0</v>
      </c>
      <c r="CT768">
        <v>0</v>
      </c>
      <c r="CU768">
        <v>0</v>
      </c>
      <c r="CV768">
        <v>12.922000000000001</v>
      </c>
      <c r="CW768">
        <v>3.6550000000000002</v>
      </c>
      <c r="CX768">
        <v>0</v>
      </c>
      <c r="CY768" s="2043">
        <v>0</v>
      </c>
      <c r="CZ768" s="2043">
        <v>0</v>
      </c>
      <c r="DA768" s="2043">
        <v>0</v>
      </c>
      <c r="DB768" s="2043">
        <v>0</v>
      </c>
      <c r="DC768" s="2043">
        <v>0</v>
      </c>
      <c r="DI768" t="s">
        <v>5153</v>
      </c>
      <c r="DJ768" t="s">
        <v>5154</v>
      </c>
      <c r="DK768" s="2042">
        <f t="shared" si="13"/>
        <v>-1</v>
      </c>
    </row>
    <row r="769" spans="1:115">
      <c r="A769" t="s">
        <v>5153</v>
      </c>
      <c r="B769" t="s">
        <v>1596</v>
      </c>
      <c r="C769">
        <v>324.69900000000001</v>
      </c>
      <c r="D769">
        <v>335.54900000000004</v>
      </c>
      <c r="E769">
        <v>107.2</v>
      </c>
      <c r="F769">
        <v>0</v>
      </c>
      <c r="G769" s="2043">
        <v>133874984</v>
      </c>
      <c r="H769">
        <v>0</v>
      </c>
      <c r="I769" s="2043">
        <v>0</v>
      </c>
      <c r="J769">
        <v>14</v>
      </c>
      <c r="K769">
        <v>38</v>
      </c>
      <c r="L769">
        <v>0</v>
      </c>
      <c r="M769">
        <v>0</v>
      </c>
      <c r="N769">
        <v>0</v>
      </c>
      <c r="O769">
        <v>0</v>
      </c>
      <c r="P769">
        <v>0</v>
      </c>
      <c r="Q769">
        <v>0</v>
      </c>
      <c r="R769" s="2043">
        <v>1224037</v>
      </c>
      <c r="S769">
        <v>107207</v>
      </c>
      <c r="T769">
        <v>78127</v>
      </c>
      <c r="U769">
        <v>0.08</v>
      </c>
      <c r="V769">
        <v>0</v>
      </c>
      <c r="W769">
        <v>0</v>
      </c>
      <c r="X769">
        <v>0</v>
      </c>
      <c r="Y769">
        <v>0</v>
      </c>
      <c r="Z769">
        <v>0</v>
      </c>
      <c r="AA769">
        <v>0</v>
      </c>
      <c r="AB769">
        <v>336.71</v>
      </c>
      <c r="AC769" s="2043">
        <v>217714712</v>
      </c>
      <c r="AD769">
        <v>0</v>
      </c>
      <c r="AE769" s="2043">
        <v>1409371</v>
      </c>
      <c r="AF769">
        <v>1.0517000000000001</v>
      </c>
      <c r="AG769">
        <v>0</v>
      </c>
      <c r="AH769">
        <v>0</v>
      </c>
      <c r="AI769">
        <v>0</v>
      </c>
      <c r="AJ769">
        <v>60.113</v>
      </c>
      <c r="AK769">
        <v>1234</v>
      </c>
      <c r="AL769">
        <v>0</v>
      </c>
      <c r="AM769">
        <v>0</v>
      </c>
      <c r="AN769">
        <v>22.278000000000002</v>
      </c>
      <c r="AO769">
        <v>0</v>
      </c>
      <c r="AP769">
        <v>0</v>
      </c>
      <c r="AQ769">
        <v>0</v>
      </c>
      <c r="AR769">
        <v>1.724</v>
      </c>
      <c r="AS769">
        <v>0</v>
      </c>
      <c r="AT769">
        <v>0.93500000000000005</v>
      </c>
      <c r="AU769">
        <v>0.40700000000000003</v>
      </c>
      <c r="AV769">
        <v>0</v>
      </c>
      <c r="AW769">
        <v>3.0660000000000003</v>
      </c>
      <c r="AX769">
        <v>0</v>
      </c>
      <c r="AY769">
        <v>10.012</v>
      </c>
      <c r="AZ769">
        <v>0</v>
      </c>
      <c r="BA769">
        <v>3327781</v>
      </c>
      <c r="BB769">
        <v>1409371</v>
      </c>
      <c r="BC769">
        <v>0</v>
      </c>
      <c r="BD769">
        <v>11880</v>
      </c>
      <c r="BE769">
        <v>0</v>
      </c>
      <c r="BF769">
        <v>11880</v>
      </c>
      <c r="BG769">
        <v>11880</v>
      </c>
      <c r="BH769">
        <v>0</v>
      </c>
      <c r="BI769">
        <v>0</v>
      </c>
      <c r="BJ769">
        <v>0</v>
      </c>
      <c r="BK769">
        <v>0</v>
      </c>
      <c r="BL769">
        <v>133874984</v>
      </c>
      <c r="BM769">
        <v>0</v>
      </c>
      <c r="BN769">
        <v>1278</v>
      </c>
      <c r="BO769">
        <v>792</v>
      </c>
      <c r="BP769">
        <v>0</v>
      </c>
      <c r="BQ769">
        <v>0</v>
      </c>
      <c r="BR769">
        <v>0.91339999999999999</v>
      </c>
      <c r="BS769">
        <v>0.91339999999999999</v>
      </c>
      <c r="BT769">
        <v>0</v>
      </c>
      <c r="BU769">
        <v>0</v>
      </c>
      <c r="BV769">
        <v>5</v>
      </c>
      <c r="BW769">
        <v>231</v>
      </c>
      <c r="BX769">
        <v>0</v>
      </c>
      <c r="BY769">
        <v>0</v>
      </c>
      <c r="BZ769">
        <v>15</v>
      </c>
      <c r="CA769">
        <v>251</v>
      </c>
      <c r="CB769">
        <v>0</v>
      </c>
      <c r="CC769">
        <v>0</v>
      </c>
      <c r="CD769">
        <v>0</v>
      </c>
      <c r="CE769">
        <v>14</v>
      </c>
      <c r="CF769">
        <v>111.49300000000001</v>
      </c>
      <c r="CG769">
        <v>0</v>
      </c>
      <c r="CH769">
        <v>0</v>
      </c>
      <c r="CI769">
        <v>0</v>
      </c>
      <c r="CJ769">
        <v>0</v>
      </c>
      <c r="CK769">
        <v>0</v>
      </c>
      <c r="CL769">
        <v>0</v>
      </c>
      <c r="CM769">
        <v>107.2</v>
      </c>
      <c r="CN769">
        <v>0</v>
      </c>
      <c r="CO769">
        <v>0</v>
      </c>
      <c r="CP769">
        <v>0</v>
      </c>
      <c r="CQ769">
        <v>0</v>
      </c>
      <c r="CR769">
        <v>0</v>
      </c>
      <c r="CS769">
        <v>0</v>
      </c>
      <c r="CT769">
        <v>0</v>
      </c>
      <c r="CU769">
        <v>2.5790000000000002</v>
      </c>
      <c r="CV769">
        <v>27.604000000000003</v>
      </c>
      <c r="CW769">
        <v>13.082000000000001</v>
      </c>
      <c r="CX769">
        <v>0</v>
      </c>
      <c r="CY769" s="2043">
        <v>0</v>
      </c>
      <c r="CZ769" s="2043">
        <v>0</v>
      </c>
      <c r="DA769" s="2043">
        <v>0</v>
      </c>
      <c r="DB769" s="2043">
        <v>0</v>
      </c>
      <c r="DC769" s="2043">
        <v>0</v>
      </c>
      <c r="DI769" t="s">
        <v>5154</v>
      </c>
      <c r="DJ769" t="s">
        <v>5153</v>
      </c>
      <c r="DK769" s="2042">
        <f t="shared" si="13"/>
        <v>1</v>
      </c>
    </row>
    <row r="770" spans="1:115">
      <c r="A770" t="s">
        <v>5156</v>
      </c>
      <c r="B770" t="s">
        <v>2513</v>
      </c>
      <c r="C770">
        <v>134.774</v>
      </c>
      <c r="D770">
        <v>124.107</v>
      </c>
      <c r="E770">
        <v>33.515000000000001</v>
      </c>
      <c r="F770">
        <v>0</v>
      </c>
      <c r="G770" s="2043">
        <v>52527877</v>
      </c>
      <c r="H770">
        <v>0</v>
      </c>
      <c r="I770" s="2043">
        <v>319600</v>
      </c>
      <c r="J770">
        <v>6.7389999999999999</v>
      </c>
      <c r="K770">
        <v>18</v>
      </c>
      <c r="L770">
        <v>0</v>
      </c>
      <c r="M770">
        <v>0</v>
      </c>
      <c r="N770">
        <v>0</v>
      </c>
      <c r="O770">
        <v>0</v>
      </c>
      <c r="P770">
        <v>0</v>
      </c>
      <c r="Q770">
        <v>0</v>
      </c>
      <c r="R770" s="2043">
        <v>477532</v>
      </c>
      <c r="S770">
        <v>26140</v>
      </c>
      <c r="T770">
        <v>0</v>
      </c>
      <c r="U770">
        <v>0.05</v>
      </c>
      <c r="V770">
        <v>0</v>
      </c>
      <c r="W770">
        <v>0</v>
      </c>
      <c r="X770">
        <v>0</v>
      </c>
      <c r="Y770">
        <v>62475</v>
      </c>
      <c r="Z770">
        <v>0</v>
      </c>
      <c r="AA770">
        <v>0</v>
      </c>
      <c r="AB770">
        <v>124.107</v>
      </c>
      <c r="AC770" s="2043">
        <v>95131361</v>
      </c>
      <c r="AD770">
        <v>318760</v>
      </c>
      <c r="AE770" s="2043">
        <v>503672</v>
      </c>
      <c r="AF770">
        <v>0.96340000000000003</v>
      </c>
      <c r="AG770">
        <v>0</v>
      </c>
      <c r="AH770">
        <v>0</v>
      </c>
      <c r="AI770">
        <v>0</v>
      </c>
      <c r="AJ770">
        <v>22.688000000000002</v>
      </c>
      <c r="AK770">
        <v>898</v>
      </c>
      <c r="AL770">
        <v>0</v>
      </c>
      <c r="AM770">
        <v>0</v>
      </c>
      <c r="AN770">
        <v>5.9140000000000006</v>
      </c>
      <c r="AO770">
        <v>0</v>
      </c>
      <c r="AP770">
        <v>0</v>
      </c>
      <c r="AQ770">
        <v>0</v>
      </c>
      <c r="AR770">
        <v>5.8340000000000005</v>
      </c>
      <c r="AS770">
        <v>0</v>
      </c>
      <c r="AT770">
        <v>2.5000000000000001E-2</v>
      </c>
      <c r="AU770">
        <v>0.12</v>
      </c>
      <c r="AV770">
        <v>0</v>
      </c>
      <c r="AW770">
        <v>5.9790000000000001</v>
      </c>
      <c r="AX770">
        <v>0</v>
      </c>
      <c r="AY770">
        <v>18.177</v>
      </c>
      <c r="AZ770">
        <v>0</v>
      </c>
      <c r="BA770">
        <v>1674548</v>
      </c>
      <c r="BB770">
        <v>822432</v>
      </c>
      <c r="BC770">
        <v>0</v>
      </c>
      <c r="BD770">
        <v>52668</v>
      </c>
      <c r="BE770">
        <v>0</v>
      </c>
      <c r="BF770">
        <v>52668</v>
      </c>
      <c r="BG770">
        <v>52668</v>
      </c>
      <c r="BH770">
        <v>0</v>
      </c>
      <c r="BI770">
        <v>0</v>
      </c>
      <c r="BJ770">
        <v>0</v>
      </c>
      <c r="BK770">
        <v>0</v>
      </c>
      <c r="BL770">
        <v>52527877</v>
      </c>
      <c r="BM770">
        <v>0</v>
      </c>
      <c r="BN770">
        <v>639</v>
      </c>
      <c r="BO770">
        <v>375</v>
      </c>
      <c r="BP770">
        <v>0</v>
      </c>
      <c r="BQ770">
        <v>0</v>
      </c>
      <c r="BR770">
        <v>0.91339999999999999</v>
      </c>
      <c r="BS770">
        <v>0.91339999999999999</v>
      </c>
      <c r="BT770">
        <v>0</v>
      </c>
      <c r="BU770">
        <v>0</v>
      </c>
      <c r="BV770">
        <v>13</v>
      </c>
      <c r="BW770">
        <v>43</v>
      </c>
      <c r="BX770">
        <v>36</v>
      </c>
      <c r="BY770">
        <v>0</v>
      </c>
      <c r="BZ770">
        <v>2</v>
      </c>
      <c r="CA770">
        <v>94</v>
      </c>
      <c r="CB770">
        <v>0</v>
      </c>
      <c r="CC770">
        <v>0</v>
      </c>
      <c r="CD770">
        <v>0</v>
      </c>
      <c r="CE770">
        <v>8</v>
      </c>
      <c r="CF770">
        <v>41.706000000000003</v>
      </c>
      <c r="CG770">
        <v>0</v>
      </c>
      <c r="CH770">
        <v>0</v>
      </c>
      <c r="CI770">
        <v>0</v>
      </c>
      <c r="CJ770">
        <v>0</v>
      </c>
      <c r="CK770">
        <v>0</v>
      </c>
      <c r="CL770">
        <v>0</v>
      </c>
      <c r="CM770">
        <v>33.515000000000001</v>
      </c>
      <c r="CN770">
        <v>0</v>
      </c>
      <c r="CO770">
        <v>0</v>
      </c>
      <c r="CP770">
        <v>0</v>
      </c>
      <c r="CQ770">
        <v>0</v>
      </c>
      <c r="CR770">
        <v>0</v>
      </c>
      <c r="CS770">
        <v>0</v>
      </c>
      <c r="CT770">
        <v>0</v>
      </c>
      <c r="CU770">
        <v>1.403</v>
      </c>
      <c r="CV770">
        <v>8.048</v>
      </c>
      <c r="CW770">
        <v>5.7060000000000004</v>
      </c>
      <c r="CX770">
        <v>0</v>
      </c>
      <c r="CY770" s="2043">
        <v>62475</v>
      </c>
      <c r="CZ770" s="2043">
        <v>0</v>
      </c>
      <c r="DA770" s="2043">
        <v>0</v>
      </c>
      <c r="DB770" s="2043">
        <v>0</v>
      </c>
      <c r="DC770" s="2043">
        <v>0</v>
      </c>
      <c r="DI770" t="s">
        <v>5156</v>
      </c>
      <c r="DJ770" t="s">
        <v>5156</v>
      </c>
      <c r="DK770" s="2042">
        <f t="shared" si="13"/>
        <v>0</v>
      </c>
    </row>
    <row r="771" spans="1:115">
      <c r="A771" t="s">
        <v>5157</v>
      </c>
      <c r="B771" t="s">
        <v>791</v>
      </c>
      <c r="C771">
        <v>965.9190000000001</v>
      </c>
      <c r="D771">
        <v>1090.0540000000001</v>
      </c>
      <c r="E771">
        <v>40.402000000000001</v>
      </c>
      <c r="F771">
        <v>0</v>
      </c>
      <c r="G771" s="2043">
        <v>836019311</v>
      </c>
      <c r="H771">
        <v>0</v>
      </c>
      <c r="I771" s="2043">
        <v>1900675</v>
      </c>
      <c r="J771">
        <v>48.295999999999999</v>
      </c>
      <c r="K771">
        <v>132</v>
      </c>
      <c r="L771">
        <v>0</v>
      </c>
      <c r="M771">
        <v>0</v>
      </c>
      <c r="N771">
        <v>0</v>
      </c>
      <c r="O771">
        <v>0</v>
      </c>
      <c r="P771">
        <v>0</v>
      </c>
      <c r="Q771">
        <v>0</v>
      </c>
      <c r="R771" s="2043">
        <v>7061173</v>
      </c>
      <c r="S771">
        <v>388361</v>
      </c>
      <c r="T771">
        <v>0</v>
      </c>
      <c r="U771">
        <v>0.05</v>
      </c>
      <c r="V771">
        <v>0</v>
      </c>
      <c r="W771">
        <v>0</v>
      </c>
      <c r="X771">
        <v>0</v>
      </c>
      <c r="Y771">
        <v>0</v>
      </c>
      <c r="Z771">
        <v>0</v>
      </c>
      <c r="AA771">
        <v>8.4000000000000005E-2</v>
      </c>
      <c r="AB771">
        <v>938.57800000000009</v>
      </c>
      <c r="AC771" s="2043">
        <v>783963639</v>
      </c>
      <c r="AD771">
        <v>1846928</v>
      </c>
      <c r="AE771" s="2043">
        <v>7449534</v>
      </c>
      <c r="AF771">
        <v>0.95910000000000006</v>
      </c>
      <c r="AG771">
        <v>0</v>
      </c>
      <c r="AH771">
        <v>0</v>
      </c>
      <c r="AI771">
        <v>0</v>
      </c>
      <c r="AJ771">
        <v>142.125</v>
      </c>
      <c r="AK771">
        <v>3711</v>
      </c>
      <c r="AL771">
        <v>0.16700000000000001</v>
      </c>
      <c r="AM771">
        <v>0</v>
      </c>
      <c r="AN771">
        <v>8.3170000000000002</v>
      </c>
      <c r="AO771">
        <v>0</v>
      </c>
      <c r="AP771">
        <v>0</v>
      </c>
      <c r="AQ771">
        <v>0</v>
      </c>
      <c r="AR771">
        <v>29.827000000000002</v>
      </c>
      <c r="AS771">
        <v>0</v>
      </c>
      <c r="AT771">
        <v>5.7309999999999999</v>
      </c>
      <c r="AU771">
        <v>1.9320000000000002</v>
      </c>
      <c r="AV771">
        <v>0</v>
      </c>
      <c r="AW771">
        <v>37.657000000000004</v>
      </c>
      <c r="AX771">
        <v>0</v>
      </c>
      <c r="AY771">
        <v>117.16900000000001</v>
      </c>
      <c r="AZ771">
        <v>0</v>
      </c>
      <c r="BA771">
        <v>2609465</v>
      </c>
      <c r="BB771">
        <v>9296462</v>
      </c>
      <c r="BC771">
        <v>0</v>
      </c>
      <c r="BD771">
        <v>116550</v>
      </c>
      <c r="BE771">
        <v>34549</v>
      </c>
      <c r="BF771">
        <v>151099</v>
      </c>
      <c r="BG771">
        <v>116550</v>
      </c>
      <c r="BH771">
        <v>0</v>
      </c>
      <c r="BI771">
        <v>0</v>
      </c>
      <c r="BJ771">
        <v>0</v>
      </c>
      <c r="BK771">
        <v>0</v>
      </c>
      <c r="BL771">
        <v>836019311</v>
      </c>
      <c r="BM771">
        <v>0</v>
      </c>
      <c r="BN771">
        <v>3690</v>
      </c>
      <c r="BO771">
        <v>3199</v>
      </c>
      <c r="BP771">
        <v>0</v>
      </c>
      <c r="BQ771">
        <v>0</v>
      </c>
      <c r="BR771">
        <v>0.90910000000000002</v>
      </c>
      <c r="BS771">
        <v>0.90910000000000002</v>
      </c>
      <c r="BT771">
        <v>0</v>
      </c>
      <c r="BU771">
        <v>0</v>
      </c>
      <c r="BV771">
        <v>262</v>
      </c>
      <c r="BW771">
        <v>26</v>
      </c>
      <c r="BX771">
        <v>143</v>
      </c>
      <c r="BY771">
        <v>0</v>
      </c>
      <c r="BZ771">
        <v>150</v>
      </c>
      <c r="CA771">
        <v>581</v>
      </c>
      <c r="CB771">
        <v>0</v>
      </c>
      <c r="CC771">
        <v>0</v>
      </c>
      <c r="CD771">
        <v>0</v>
      </c>
      <c r="CE771">
        <v>86</v>
      </c>
      <c r="CF771">
        <v>210.96800000000002</v>
      </c>
      <c r="CG771">
        <v>0</v>
      </c>
      <c r="CH771">
        <v>0</v>
      </c>
      <c r="CI771">
        <v>0</v>
      </c>
      <c r="CJ771">
        <v>7</v>
      </c>
      <c r="CK771">
        <v>0</v>
      </c>
      <c r="CL771">
        <v>0</v>
      </c>
      <c r="CM771">
        <v>40.402000000000001</v>
      </c>
      <c r="CN771">
        <v>0</v>
      </c>
      <c r="CO771">
        <v>0</v>
      </c>
      <c r="CP771">
        <v>0</v>
      </c>
      <c r="CQ771">
        <v>0</v>
      </c>
      <c r="CR771">
        <v>0</v>
      </c>
      <c r="CS771">
        <v>0</v>
      </c>
      <c r="CT771">
        <v>0</v>
      </c>
      <c r="CU771">
        <v>0</v>
      </c>
      <c r="CV771">
        <v>38.822000000000003</v>
      </c>
      <c r="CW771">
        <v>21.420999999999999</v>
      </c>
      <c r="CX771">
        <v>0</v>
      </c>
      <c r="CY771" s="2043">
        <v>0</v>
      </c>
      <c r="CZ771" s="2043">
        <v>0</v>
      </c>
      <c r="DA771" s="2043">
        <v>0</v>
      </c>
      <c r="DB771" s="2043">
        <v>0</v>
      </c>
      <c r="DC771" s="2043">
        <v>160651</v>
      </c>
      <c r="DI771" t="s">
        <v>5157</v>
      </c>
      <c r="DJ771" t="s">
        <v>5157</v>
      </c>
      <c r="DK771" s="2042">
        <f t="shared" si="13"/>
        <v>0</v>
      </c>
    </row>
    <row r="772" spans="1:115">
      <c r="A772" t="s">
        <v>5158</v>
      </c>
      <c r="B772" t="s">
        <v>80</v>
      </c>
      <c r="C772">
        <v>532.36500000000001</v>
      </c>
      <c r="D772">
        <v>629.14800000000002</v>
      </c>
      <c r="E772">
        <v>24.464000000000002</v>
      </c>
      <c r="F772">
        <v>0</v>
      </c>
      <c r="G772" s="2043">
        <v>2234472802</v>
      </c>
      <c r="H772">
        <v>0</v>
      </c>
      <c r="I772" s="2043">
        <v>2136825</v>
      </c>
      <c r="J772">
        <v>26.618000000000002</v>
      </c>
      <c r="K772">
        <v>73</v>
      </c>
      <c r="L772">
        <v>0</v>
      </c>
      <c r="M772">
        <v>0</v>
      </c>
      <c r="N772">
        <v>0</v>
      </c>
      <c r="O772">
        <v>0</v>
      </c>
      <c r="P772">
        <v>0</v>
      </c>
      <c r="Q772">
        <v>0</v>
      </c>
      <c r="R772" s="2043">
        <v>19727888</v>
      </c>
      <c r="S772">
        <v>1107064</v>
      </c>
      <c r="T772">
        <v>0</v>
      </c>
      <c r="U772">
        <v>0.05</v>
      </c>
      <c r="V772">
        <v>0</v>
      </c>
      <c r="W772">
        <v>13689890</v>
      </c>
      <c r="X772">
        <v>0</v>
      </c>
      <c r="Y772">
        <v>0</v>
      </c>
      <c r="Z772">
        <v>0</v>
      </c>
      <c r="AA772">
        <v>0</v>
      </c>
      <c r="AB772">
        <v>564.85900000000004</v>
      </c>
      <c r="AC772" s="2043">
        <v>1604723018</v>
      </c>
      <c r="AD772">
        <v>2179101</v>
      </c>
      <c r="AE772" s="2043">
        <v>20834952</v>
      </c>
      <c r="AF772">
        <v>0.94100000000000006</v>
      </c>
      <c r="AG772">
        <v>0</v>
      </c>
      <c r="AH772">
        <v>13689890</v>
      </c>
      <c r="AI772">
        <v>0</v>
      </c>
      <c r="AJ772">
        <v>93.288000000000011</v>
      </c>
      <c r="AK772">
        <v>2391</v>
      </c>
      <c r="AL772">
        <v>0</v>
      </c>
      <c r="AM772">
        <v>0</v>
      </c>
      <c r="AN772">
        <v>10.94</v>
      </c>
      <c r="AO772">
        <v>0</v>
      </c>
      <c r="AP772">
        <v>0</v>
      </c>
      <c r="AQ772">
        <v>0</v>
      </c>
      <c r="AR772">
        <v>14.538</v>
      </c>
      <c r="AS772">
        <v>0</v>
      </c>
      <c r="AT772">
        <v>4.306</v>
      </c>
      <c r="AU772">
        <v>0.76200000000000001</v>
      </c>
      <c r="AV772">
        <v>0</v>
      </c>
      <c r="AW772">
        <v>19.606000000000002</v>
      </c>
      <c r="AX772">
        <v>0</v>
      </c>
      <c r="AY772">
        <v>60.342000000000006</v>
      </c>
      <c r="AZ772">
        <v>0</v>
      </c>
      <c r="BA772">
        <v>327892</v>
      </c>
      <c r="BB772">
        <v>23014053</v>
      </c>
      <c r="BC772">
        <v>0</v>
      </c>
      <c r="BD772">
        <v>47888</v>
      </c>
      <c r="BE772">
        <v>21254</v>
      </c>
      <c r="BF772">
        <v>69142</v>
      </c>
      <c r="BG772">
        <v>47888</v>
      </c>
      <c r="BH772">
        <v>0</v>
      </c>
      <c r="BI772">
        <v>0</v>
      </c>
      <c r="BJ772">
        <v>0</v>
      </c>
      <c r="BK772">
        <v>0</v>
      </c>
      <c r="BL772">
        <v>2234472802</v>
      </c>
      <c r="BM772">
        <v>0</v>
      </c>
      <c r="BN772">
        <v>1638</v>
      </c>
      <c r="BO772">
        <v>1102</v>
      </c>
      <c r="BP772">
        <v>0</v>
      </c>
      <c r="BQ772">
        <v>0</v>
      </c>
      <c r="BR772">
        <v>0.89100000000000001</v>
      </c>
      <c r="BS772">
        <v>0.89100000000000001</v>
      </c>
      <c r="BT772">
        <v>0</v>
      </c>
      <c r="BU772">
        <v>0</v>
      </c>
      <c r="BV772">
        <v>64</v>
      </c>
      <c r="BW772">
        <v>34</v>
      </c>
      <c r="BX772">
        <v>280</v>
      </c>
      <c r="BY772">
        <v>1</v>
      </c>
      <c r="BZ772">
        <v>2</v>
      </c>
      <c r="CA772">
        <v>381</v>
      </c>
      <c r="CB772">
        <v>0</v>
      </c>
      <c r="CC772">
        <v>0</v>
      </c>
      <c r="CD772">
        <v>0</v>
      </c>
      <c r="CE772">
        <v>42</v>
      </c>
      <c r="CF772">
        <v>109.518</v>
      </c>
      <c r="CG772">
        <v>0</v>
      </c>
      <c r="CH772">
        <v>0</v>
      </c>
      <c r="CI772">
        <v>1</v>
      </c>
      <c r="CJ772">
        <v>4</v>
      </c>
      <c r="CK772">
        <v>0</v>
      </c>
      <c r="CL772">
        <v>0</v>
      </c>
      <c r="CM772">
        <v>24.464000000000002</v>
      </c>
      <c r="CN772">
        <v>0</v>
      </c>
      <c r="CO772">
        <v>0</v>
      </c>
      <c r="CP772">
        <v>0</v>
      </c>
      <c r="CQ772">
        <v>0</v>
      </c>
      <c r="CR772">
        <v>0</v>
      </c>
      <c r="CS772">
        <v>0</v>
      </c>
      <c r="CT772">
        <v>0</v>
      </c>
      <c r="CU772">
        <v>0</v>
      </c>
      <c r="CV772">
        <v>25.899000000000001</v>
      </c>
      <c r="CW772">
        <v>6.1859999999999999</v>
      </c>
      <c r="CX772">
        <v>0</v>
      </c>
      <c r="CY772" s="2043">
        <v>0</v>
      </c>
      <c r="CZ772" s="2043">
        <v>0</v>
      </c>
      <c r="DA772" s="2043">
        <v>0</v>
      </c>
      <c r="DB772" s="2043">
        <v>0</v>
      </c>
      <c r="DC772" s="2043">
        <v>387809</v>
      </c>
      <c r="DI772" t="s">
        <v>5158</v>
      </c>
      <c r="DJ772" t="s">
        <v>5158</v>
      </c>
      <c r="DK772" s="2042">
        <f t="shared" ref="DK772:DK835" si="14">DI772-DJ772:DJ773</f>
        <v>0</v>
      </c>
    </row>
    <row r="773" spans="1:115">
      <c r="A773" t="s">
        <v>10385</v>
      </c>
      <c r="B773" t="s">
        <v>11375</v>
      </c>
      <c r="C773">
        <v>721</v>
      </c>
      <c r="D773">
        <v>0</v>
      </c>
      <c r="E773">
        <v>0</v>
      </c>
      <c r="F773">
        <v>0</v>
      </c>
      <c r="G773" s="2043">
        <v>0</v>
      </c>
      <c r="H773">
        <v>0</v>
      </c>
      <c r="I773" s="2043">
        <v>0</v>
      </c>
      <c r="J773">
        <v>36.050000000000004</v>
      </c>
      <c r="K773">
        <v>99</v>
      </c>
      <c r="L773">
        <v>0</v>
      </c>
      <c r="M773">
        <v>0</v>
      </c>
      <c r="N773">
        <v>0</v>
      </c>
      <c r="O773">
        <v>0</v>
      </c>
      <c r="P773">
        <v>0</v>
      </c>
      <c r="Q773">
        <v>0</v>
      </c>
      <c r="R773" s="2043">
        <v>0</v>
      </c>
      <c r="S773">
        <v>0</v>
      </c>
      <c r="T773">
        <v>0</v>
      </c>
      <c r="U773">
        <v>0</v>
      </c>
      <c r="V773">
        <v>0</v>
      </c>
      <c r="W773">
        <v>0</v>
      </c>
      <c r="X773">
        <v>0</v>
      </c>
      <c r="Y773">
        <v>0</v>
      </c>
      <c r="Z773">
        <v>0</v>
      </c>
      <c r="AA773">
        <v>0</v>
      </c>
      <c r="AB773">
        <v>0</v>
      </c>
      <c r="AC773" s="2043">
        <v>0</v>
      </c>
      <c r="AD773">
        <v>0</v>
      </c>
      <c r="AE773" s="2043">
        <v>0</v>
      </c>
      <c r="AF773">
        <v>0</v>
      </c>
      <c r="AG773">
        <v>0</v>
      </c>
      <c r="AH773">
        <v>0</v>
      </c>
      <c r="AI773">
        <v>0</v>
      </c>
      <c r="AJ773">
        <v>0</v>
      </c>
      <c r="AK773">
        <v>752</v>
      </c>
      <c r="AL773">
        <v>0</v>
      </c>
      <c r="AM773">
        <v>0</v>
      </c>
      <c r="AN773">
        <v>5.9010000000000007</v>
      </c>
      <c r="AO773">
        <v>0</v>
      </c>
      <c r="AP773">
        <v>0</v>
      </c>
      <c r="AQ773">
        <v>0.39800000000000002</v>
      </c>
      <c r="AR773">
        <v>4.7510000000000003</v>
      </c>
      <c r="AS773">
        <v>0</v>
      </c>
      <c r="AT773">
        <v>0.33100000000000002</v>
      </c>
      <c r="AU773">
        <v>0.18100000000000002</v>
      </c>
      <c r="AV773">
        <v>0</v>
      </c>
      <c r="AW773">
        <v>5.6610000000000005</v>
      </c>
      <c r="AX773">
        <v>0</v>
      </c>
      <c r="AY773">
        <v>16.151</v>
      </c>
      <c r="AZ773">
        <v>0</v>
      </c>
      <c r="BA773">
        <v>6193979</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BX773">
        <v>0</v>
      </c>
      <c r="BY773">
        <v>0</v>
      </c>
      <c r="BZ773">
        <v>0</v>
      </c>
      <c r="CA773">
        <v>0</v>
      </c>
      <c r="CB773">
        <v>0</v>
      </c>
      <c r="CC773">
        <v>0</v>
      </c>
      <c r="CD773">
        <v>0</v>
      </c>
      <c r="CE773">
        <v>3</v>
      </c>
      <c r="CF773">
        <v>2.5000000000000001E-2</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s="2043">
        <v>0</v>
      </c>
      <c r="CZ773" s="2043">
        <v>0</v>
      </c>
      <c r="DA773" s="2043">
        <v>0</v>
      </c>
      <c r="DB773" s="2043">
        <v>0</v>
      </c>
      <c r="DC773" s="2043">
        <v>391137</v>
      </c>
      <c r="DI773" t="s">
        <v>5159</v>
      </c>
      <c r="DJ773" t="s">
        <v>10385</v>
      </c>
      <c r="DK773" s="2042">
        <f t="shared" si="14"/>
        <v>-1603</v>
      </c>
    </row>
    <row r="774" spans="1:115">
      <c r="A774" t="s">
        <v>5159</v>
      </c>
      <c r="B774" t="s">
        <v>81</v>
      </c>
      <c r="C774">
        <v>1724.8030000000001</v>
      </c>
      <c r="D774">
        <v>1622.94</v>
      </c>
      <c r="E774">
        <v>200.20100000000002</v>
      </c>
      <c r="F774">
        <v>0</v>
      </c>
      <c r="G774" s="2043">
        <v>4975900962</v>
      </c>
      <c r="H774">
        <v>0</v>
      </c>
      <c r="I774" s="2043">
        <v>5279031</v>
      </c>
      <c r="J774">
        <v>86.24</v>
      </c>
      <c r="K774">
        <v>236</v>
      </c>
      <c r="L774">
        <v>0</v>
      </c>
      <c r="M774">
        <v>0</v>
      </c>
      <c r="N774">
        <v>0</v>
      </c>
      <c r="O774">
        <v>0</v>
      </c>
      <c r="P774">
        <v>0</v>
      </c>
      <c r="Q774">
        <v>0</v>
      </c>
      <c r="R774" s="2043">
        <v>40105344</v>
      </c>
      <c r="S774">
        <v>2439498</v>
      </c>
      <c r="T774">
        <v>0</v>
      </c>
      <c r="U774">
        <v>0.05</v>
      </c>
      <c r="V774">
        <v>0</v>
      </c>
      <c r="W774">
        <v>24603350</v>
      </c>
      <c r="X774">
        <v>0</v>
      </c>
      <c r="Y774">
        <v>0</v>
      </c>
      <c r="Z774">
        <v>0</v>
      </c>
      <c r="AA774">
        <v>2.7E-2</v>
      </c>
      <c r="AB774">
        <v>1606.046</v>
      </c>
      <c r="AC774" s="2043">
        <v>4055374659</v>
      </c>
      <c r="AD774">
        <v>5725890</v>
      </c>
      <c r="AE774" s="2043">
        <v>42544842</v>
      </c>
      <c r="AF774">
        <v>0.872</v>
      </c>
      <c r="AG774">
        <v>0</v>
      </c>
      <c r="AH774">
        <v>24603350</v>
      </c>
      <c r="AI774">
        <v>0</v>
      </c>
      <c r="AJ774">
        <v>300.71300000000002</v>
      </c>
      <c r="AK774">
        <v>6689</v>
      </c>
      <c r="AL774">
        <v>0.20400000000000001</v>
      </c>
      <c r="AM774">
        <v>0</v>
      </c>
      <c r="AN774">
        <v>72.661000000000001</v>
      </c>
      <c r="AO774">
        <v>0</v>
      </c>
      <c r="AP774">
        <v>0</v>
      </c>
      <c r="AQ774">
        <v>0</v>
      </c>
      <c r="AR774">
        <v>46.073</v>
      </c>
      <c r="AS774">
        <v>0</v>
      </c>
      <c r="AT774">
        <v>12.108000000000001</v>
      </c>
      <c r="AU774">
        <v>2.492</v>
      </c>
      <c r="AV774">
        <v>0</v>
      </c>
      <c r="AW774">
        <v>60.877000000000002</v>
      </c>
      <c r="AX774">
        <v>0</v>
      </c>
      <c r="AY774">
        <v>188.023</v>
      </c>
      <c r="AZ774">
        <v>0</v>
      </c>
      <c r="BA774">
        <v>864953</v>
      </c>
      <c r="BB774">
        <v>48270732</v>
      </c>
      <c r="BC774">
        <v>0</v>
      </c>
      <c r="BD774">
        <v>267102</v>
      </c>
      <c r="BE774">
        <v>50418</v>
      </c>
      <c r="BF774">
        <v>317520</v>
      </c>
      <c r="BG774">
        <v>267102</v>
      </c>
      <c r="BH774">
        <v>0</v>
      </c>
      <c r="BI774">
        <v>0</v>
      </c>
      <c r="BJ774">
        <v>0</v>
      </c>
      <c r="BK774">
        <v>0</v>
      </c>
      <c r="BL774">
        <v>4975900962</v>
      </c>
      <c r="BM774">
        <v>0</v>
      </c>
      <c r="BN774">
        <v>6399</v>
      </c>
      <c r="BO774">
        <v>5008</v>
      </c>
      <c r="BP774">
        <v>0</v>
      </c>
      <c r="BQ774">
        <v>0</v>
      </c>
      <c r="BR774">
        <v>0.82200000000000006</v>
      </c>
      <c r="BS774">
        <v>0.82200000000000006</v>
      </c>
      <c r="BT774">
        <v>0</v>
      </c>
      <c r="BU774">
        <v>0</v>
      </c>
      <c r="BV774">
        <v>207</v>
      </c>
      <c r="BW774">
        <v>335</v>
      </c>
      <c r="BX774">
        <v>453</v>
      </c>
      <c r="BY774">
        <v>220</v>
      </c>
      <c r="BZ774">
        <v>13</v>
      </c>
      <c r="CA774">
        <v>1228</v>
      </c>
      <c r="CB774">
        <v>0</v>
      </c>
      <c r="CC774">
        <v>0</v>
      </c>
      <c r="CD774">
        <v>0</v>
      </c>
      <c r="CE774">
        <v>140</v>
      </c>
      <c r="CF774">
        <v>470.37</v>
      </c>
      <c r="CG774">
        <v>0</v>
      </c>
      <c r="CH774">
        <v>0</v>
      </c>
      <c r="CI774">
        <v>3</v>
      </c>
      <c r="CJ774">
        <v>14</v>
      </c>
      <c r="CK774">
        <v>0</v>
      </c>
      <c r="CL774">
        <v>0</v>
      </c>
      <c r="CM774">
        <v>200.20100000000002</v>
      </c>
      <c r="CN774">
        <v>0</v>
      </c>
      <c r="CO774">
        <v>0</v>
      </c>
      <c r="CP774">
        <v>0</v>
      </c>
      <c r="CQ774">
        <v>0</v>
      </c>
      <c r="CR774">
        <v>0</v>
      </c>
      <c r="CS774">
        <v>0</v>
      </c>
      <c r="CT774">
        <v>0</v>
      </c>
      <c r="CU774">
        <v>6.54</v>
      </c>
      <c r="CV774">
        <v>121.096</v>
      </c>
      <c r="CW774">
        <v>38.271000000000001</v>
      </c>
      <c r="CX774">
        <v>0</v>
      </c>
      <c r="CY774" s="2043">
        <v>0</v>
      </c>
      <c r="CZ774" s="2043">
        <v>0</v>
      </c>
      <c r="DA774" s="2043">
        <v>0</v>
      </c>
      <c r="DB774" s="2043">
        <v>0</v>
      </c>
      <c r="DC774" s="2043">
        <v>0</v>
      </c>
      <c r="DI774" t="s">
        <v>10385</v>
      </c>
      <c r="DJ774" t="s">
        <v>5159</v>
      </c>
      <c r="DK774" s="2042">
        <f t="shared" si="14"/>
        <v>1603</v>
      </c>
    </row>
    <row r="775" spans="1:115">
      <c r="A775" t="s">
        <v>8056</v>
      </c>
      <c r="B775" t="s">
        <v>11376</v>
      </c>
      <c r="C775">
        <v>249.31200000000001</v>
      </c>
      <c r="D775">
        <v>246.96300000000002</v>
      </c>
      <c r="E775">
        <v>0</v>
      </c>
      <c r="F775">
        <v>0</v>
      </c>
      <c r="G775" s="2043">
        <v>0</v>
      </c>
      <c r="H775">
        <v>0</v>
      </c>
      <c r="I775" s="2043">
        <v>0</v>
      </c>
      <c r="J775">
        <v>0</v>
      </c>
      <c r="K775">
        <v>0</v>
      </c>
      <c r="L775">
        <v>0</v>
      </c>
      <c r="M775">
        <v>0</v>
      </c>
      <c r="N775">
        <v>0</v>
      </c>
      <c r="O775">
        <v>0</v>
      </c>
      <c r="P775">
        <v>0</v>
      </c>
      <c r="Q775">
        <v>0</v>
      </c>
      <c r="R775" s="2043">
        <v>0</v>
      </c>
      <c r="S775">
        <v>0</v>
      </c>
      <c r="T775">
        <v>0</v>
      </c>
      <c r="U775">
        <v>0</v>
      </c>
      <c r="V775">
        <v>0</v>
      </c>
      <c r="W775">
        <v>0</v>
      </c>
      <c r="X775">
        <v>0</v>
      </c>
      <c r="Y775">
        <v>44074</v>
      </c>
      <c r="Z775">
        <v>0</v>
      </c>
      <c r="AA775">
        <v>0</v>
      </c>
      <c r="AB775">
        <v>228.04900000000001</v>
      </c>
      <c r="AC775" s="2043">
        <v>0</v>
      </c>
      <c r="AD775">
        <v>0</v>
      </c>
      <c r="AE775" s="2043">
        <v>0</v>
      </c>
      <c r="AF775">
        <v>0</v>
      </c>
      <c r="AG775">
        <v>0</v>
      </c>
      <c r="AH775">
        <v>0</v>
      </c>
      <c r="AI775">
        <v>0</v>
      </c>
      <c r="AJ775">
        <v>65.625</v>
      </c>
      <c r="AK775">
        <v>417</v>
      </c>
      <c r="AL775">
        <v>0</v>
      </c>
      <c r="AM775">
        <v>0</v>
      </c>
      <c r="AN775">
        <v>3.5020000000000002</v>
      </c>
      <c r="AO775">
        <v>0</v>
      </c>
      <c r="AP775">
        <v>0</v>
      </c>
      <c r="AQ775">
        <v>0</v>
      </c>
      <c r="AR775">
        <v>2.7</v>
      </c>
      <c r="AS775">
        <v>0</v>
      </c>
      <c r="AT775">
        <v>0</v>
      </c>
      <c r="AU775">
        <v>1.26</v>
      </c>
      <c r="AV775">
        <v>0</v>
      </c>
      <c r="AW775">
        <v>3.96</v>
      </c>
      <c r="AX775">
        <v>0</v>
      </c>
      <c r="AY775">
        <v>14.4</v>
      </c>
      <c r="AZ775">
        <v>0</v>
      </c>
      <c r="BA775">
        <v>2713806</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70</v>
      </c>
      <c r="BW775">
        <v>26</v>
      </c>
      <c r="BX775">
        <v>18</v>
      </c>
      <c r="BY775">
        <v>76</v>
      </c>
      <c r="BZ775">
        <v>70</v>
      </c>
      <c r="CA775">
        <v>260</v>
      </c>
      <c r="CB775">
        <v>0</v>
      </c>
      <c r="CC775">
        <v>0</v>
      </c>
      <c r="CD775">
        <v>0</v>
      </c>
      <c r="CE775">
        <v>4</v>
      </c>
      <c r="CF775">
        <v>116.64100000000001</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s="2043">
        <v>0</v>
      </c>
      <c r="CZ775" s="2043">
        <v>0</v>
      </c>
      <c r="DA775" s="2043">
        <v>0</v>
      </c>
      <c r="DB775" s="2043">
        <v>0</v>
      </c>
      <c r="DC775" s="2043">
        <v>0</v>
      </c>
      <c r="DI775" t="s">
        <v>8056</v>
      </c>
      <c r="DJ775" t="s">
        <v>8056</v>
      </c>
      <c r="DK775" s="2042">
        <f t="shared" si="14"/>
        <v>0</v>
      </c>
    </row>
    <row r="776" spans="1:115">
      <c r="A776" t="s">
        <v>8057</v>
      </c>
      <c r="B776" t="s">
        <v>11377</v>
      </c>
      <c r="C776">
        <v>130.08700000000002</v>
      </c>
      <c r="D776">
        <v>170.232</v>
      </c>
      <c r="E776">
        <v>2.3160000000000003</v>
      </c>
      <c r="F776">
        <v>0</v>
      </c>
      <c r="G776" s="2043">
        <v>0</v>
      </c>
      <c r="H776">
        <v>0</v>
      </c>
      <c r="I776" s="2043">
        <v>0</v>
      </c>
      <c r="J776">
        <v>0</v>
      </c>
      <c r="K776">
        <v>0</v>
      </c>
      <c r="L776">
        <v>0</v>
      </c>
      <c r="M776">
        <v>0</v>
      </c>
      <c r="N776">
        <v>0</v>
      </c>
      <c r="O776">
        <v>0</v>
      </c>
      <c r="P776">
        <v>0</v>
      </c>
      <c r="Q776">
        <v>0</v>
      </c>
      <c r="R776" s="2043">
        <v>0</v>
      </c>
      <c r="S776">
        <v>0</v>
      </c>
      <c r="T776">
        <v>0</v>
      </c>
      <c r="U776">
        <v>0</v>
      </c>
      <c r="V776">
        <v>0</v>
      </c>
      <c r="W776">
        <v>0</v>
      </c>
      <c r="X776">
        <v>0</v>
      </c>
      <c r="Y776">
        <v>22997</v>
      </c>
      <c r="Z776">
        <v>0</v>
      </c>
      <c r="AA776">
        <v>0.877</v>
      </c>
      <c r="AB776">
        <v>145.58700000000002</v>
      </c>
      <c r="AC776" s="2043">
        <v>0</v>
      </c>
      <c r="AD776">
        <v>0</v>
      </c>
      <c r="AE776" s="2043">
        <v>0</v>
      </c>
      <c r="AF776">
        <v>0</v>
      </c>
      <c r="AG776">
        <v>0</v>
      </c>
      <c r="AH776">
        <v>0</v>
      </c>
      <c r="AI776">
        <v>0</v>
      </c>
      <c r="AJ776">
        <v>39.988</v>
      </c>
      <c r="AK776">
        <v>492</v>
      </c>
      <c r="AL776">
        <v>0</v>
      </c>
      <c r="AM776">
        <v>0</v>
      </c>
      <c r="AN776">
        <v>18.366</v>
      </c>
      <c r="AO776">
        <v>0</v>
      </c>
      <c r="AP776">
        <v>0</v>
      </c>
      <c r="AQ776">
        <v>0</v>
      </c>
      <c r="AR776">
        <v>0.14100000000000001</v>
      </c>
      <c r="AS776">
        <v>0</v>
      </c>
      <c r="AT776">
        <v>0</v>
      </c>
      <c r="AU776">
        <v>3.9E-2</v>
      </c>
      <c r="AV776">
        <v>0</v>
      </c>
      <c r="AW776">
        <v>0.18</v>
      </c>
      <c r="AX776">
        <v>0</v>
      </c>
      <c r="AY776">
        <v>0.61799999999999999</v>
      </c>
      <c r="AZ776">
        <v>0</v>
      </c>
      <c r="BA776">
        <v>1620076</v>
      </c>
      <c r="BB776">
        <v>0</v>
      </c>
      <c r="BC776">
        <v>0</v>
      </c>
      <c r="BD776">
        <v>0</v>
      </c>
      <c r="BE776">
        <v>0</v>
      </c>
      <c r="BF776">
        <v>0</v>
      </c>
      <c r="BG776">
        <v>0</v>
      </c>
      <c r="BH776">
        <v>0</v>
      </c>
      <c r="BI776">
        <v>0</v>
      </c>
      <c r="BJ776">
        <v>0</v>
      </c>
      <c r="BK776">
        <v>0</v>
      </c>
      <c r="BL776">
        <v>0</v>
      </c>
      <c r="BM776">
        <v>0</v>
      </c>
      <c r="BN776">
        <v>2601</v>
      </c>
      <c r="BO776">
        <v>1220</v>
      </c>
      <c r="BP776">
        <v>0</v>
      </c>
      <c r="BQ776">
        <v>0</v>
      </c>
      <c r="BR776">
        <v>0</v>
      </c>
      <c r="BS776">
        <v>0</v>
      </c>
      <c r="BT776">
        <v>0</v>
      </c>
      <c r="BU776">
        <v>0</v>
      </c>
      <c r="BV776">
        <v>25</v>
      </c>
      <c r="BW776">
        <v>16</v>
      </c>
      <c r="BX776">
        <v>15</v>
      </c>
      <c r="BY776">
        <v>33</v>
      </c>
      <c r="BZ776">
        <v>66</v>
      </c>
      <c r="CA776">
        <v>155</v>
      </c>
      <c r="CB776">
        <v>0</v>
      </c>
      <c r="CC776">
        <v>0</v>
      </c>
      <c r="CD776">
        <v>0</v>
      </c>
      <c r="CE776">
        <v>0</v>
      </c>
      <c r="CF776">
        <v>0</v>
      </c>
      <c r="CG776">
        <v>130.08700000000002</v>
      </c>
      <c r="CH776">
        <v>0</v>
      </c>
      <c r="CI776">
        <v>0</v>
      </c>
      <c r="CJ776">
        <v>0</v>
      </c>
      <c r="CK776">
        <v>0</v>
      </c>
      <c r="CL776">
        <v>130.08700000000002</v>
      </c>
      <c r="CM776">
        <v>2.3160000000000003</v>
      </c>
      <c r="CN776">
        <v>0</v>
      </c>
      <c r="CO776">
        <v>0</v>
      </c>
      <c r="CP776">
        <v>0</v>
      </c>
      <c r="CQ776">
        <v>0</v>
      </c>
      <c r="CR776">
        <v>0</v>
      </c>
      <c r="CS776">
        <v>0</v>
      </c>
      <c r="CT776">
        <v>0</v>
      </c>
      <c r="CU776">
        <v>0.69100000000000006</v>
      </c>
      <c r="CV776">
        <v>8.6780000000000008</v>
      </c>
      <c r="CW776">
        <v>8.5020000000000007</v>
      </c>
      <c r="CX776">
        <v>0</v>
      </c>
      <c r="CY776" s="2043">
        <v>0</v>
      </c>
      <c r="CZ776" s="2043">
        <v>0</v>
      </c>
      <c r="DA776" s="2043">
        <v>0</v>
      </c>
      <c r="DB776" s="2043">
        <v>0</v>
      </c>
      <c r="DC776" s="2043">
        <v>0</v>
      </c>
      <c r="DI776" t="s">
        <v>8057</v>
      </c>
      <c r="DJ776" t="s">
        <v>8057</v>
      </c>
      <c r="DK776" s="2042">
        <f t="shared" si="14"/>
        <v>0</v>
      </c>
    </row>
    <row r="777" spans="1:115">
      <c r="A777" t="s">
        <v>8058</v>
      </c>
      <c r="B777" t="s">
        <v>11378</v>
      </c>
      <c r="C777">
        <v>172.24200000000002</v>
      </c>
      <c r="D777">
        <v>134.57599999999999</v>
      </c>
      <c r="E777">
        <v>0</v>
      </c>
      <c r="F777">
        <v>0</v>
      </c>
      <c r="G777" s="2043">
        <v>0</v>
      </c>
      <c r="H777">
        <v>0</v>
      </c>
      <c r="I777" s="2043">
        <v>0</v>
      </c>
      <c r="J777">
        <v>0</v>
      </c>
      <c r="K777">
        <v>0</v>
      </c>
      <c r="L777">
        <v>0</v>
      </c>
      <c r="M777">
        <v>0</v>
      </c>
      <c r="N777">
        <v>0</v>
      </c>
      <c r="O777">
        <v>0</v>
      </c>
      <c r="P777">
        <v>0</v>
      </c>
      <c r="Q777">
        <v>0</v>
      </c>
      <c r="R777" s="2043">
        <v>0</v>
      </c>
      <c r="S777">
        <v>0</v>
      </c>
      <c r="T777">
        <v>0</v>
      </c>
      <c r="U777">
        <v>0</v>
      </c>
      <c r="V777">
        <v>0</v>
      </c>
      <c r="W777">
        <v>0</v>
      </c>
      <c r="X777">
        <v>0</v>
      </c>
      <c r="Y777">
        <v>0</v>
      </c>
      <c r="Z777">
        <v>0</v>
      </c>
      <c r="AA777">
        <v>0</v>
      </c>
      <c r="AB777">
        <v>137.50900000000001</v>
      </c>
      <c r="AC777" s="2043">
        <v>0</v>
      </c>
      <c r="AD777">
        <v>0</v>
      </c>
      <c r="AE777" s="2043">
        <v>0</v>
      </c>
      <c r="AF777">
        <v>0</v>
      </c>
      <c r="AG777">
        <v>0</v>
      </c>
      <c r="AH777">
        <v>0</v>
      </c>
      <c r="AI777">
        <v>0</v>
      </c>
      <c r="AJ777">
        <v>33.6</v>
      </c>
      <c r="AK777">
        <v>2184</v>
      </c>
      <c r="AL777">
        <v>0</v>
      </c>
      <c r="AM777">
        <v>0</v>
      </c>
      <c r="AN777">
        <v>14.301</v>
      </c>
      <c r="AO777">
        <v>0</v>
      </c>
      <c r="AP777">
        <v>0</v>
      </c>
      <c r="AQ777">
        <v>0</v>
      </c>
      <c r="AR777">
        <v>24.971</v>
      </c>
      <c r="AS777">
        <v>0</v>
      </c>
      <c r="AT777">
        <v>0</v>
      </c>
      <c r="AU777">
        <v>1.014</v>
      </c>
      <c r="AV777">
        <v>0</v>
      </c>
      <c r="AW777">
        <v>25.985000000000003</v>
      </c>
      <c r="AX777">
        <v>0</v>
      </c>
      <c r="AY777">
        <v>79.983000000000004</v>
      </c>
      <c r="AZ777">
        <v>0</v>
      </c>
      <c r="BA777">
        <v>2178979</v>
      </c>
      <c r="BB777">
        <v>0</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33</v>
      </c>
      <c r="BW777">
        <v>20</v>
      </c>
      <c r="BX777">
        <v>17</v>
      </c>
      <c r="BY777">
        <v>34</v>
      </c>
      <c r="BZ777">
        <v>30</v>
      </c>
      <c r="CA777">
        <v>134</v>
      </c>
      <c r="CB777">
        <v>0</v>
      </c>
      <c r="CC777">
        <v>0</v>
      </c>
      <c r="CD777">
        <v>0</v>
      </c>
      <c r="CE777">
        <v>39</v>
      </c>
      <c r="CF777">
        <v>84.88300000000001</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s="2043">
        <v>0</v>
      </c>
      <c r="CZ777" s="2043">
        <v>0</v>
      </c>
      <c r="DA777" s="2043">
        <v>0</v>
      </c>
      <c r="DB777" s="2043">
        <v>0</v>
      </c>
      <c r="DC777" s="2043">
        <v>0</v>
      </c>
      <c r="DI777" t="s">
        <v>8058</v>
      </c>
      <c r="DJ777" t="s">
        <v>8058</v>
      </c>
      <c r="DK777" s="2042">
        <f t="shared" si="14"/>
        <v>0</v>
      </c>
    </row>
    <row r="778" spans="1:115">
      <c r="A778" t="s">
        <v>4363</v>
      </c>
      <c r="B778" t="s">
        <v>2160</v>
      </c>
      <c r="C778">
        <v>23247.337</v>
      </c>
      <c r="D778">
        <v>24570.510999999999</v>
      </c>
      <c r="E778">
        <v>940.096</v>
      </c>
      <c r="F778">
        <v>0</v>
      </c>
      <c r="G778" s="2043">
        <v>12178382642</v>
      </c>
      <c r="H778">
        <v>0</v>
      </c>
      <c r="I778" s="2043">
        <v>20417262</v>
      </c>
      <c r="J778">
        <v>1162.367</v>
      </c>
      <c r="K778">
        <v>3178</v>
      </c>
      <c r="L778">
        <v>0</v>
      </c>
      <c r="M778">
        <v>0</v>
      </c>
      <c r="N778">
        <v>0</v>
      </c>
      <c r="O778">
        <v>0</v>
      </c>
      <c r="P778">
        <v>0</v>
      </c>
      <c r="Q778">
        <v>0</v>
      </c>
      <c r="R778" s="2043">
        <v>108212392</v>
      </c>
      <c r="S778">
        <v>7210154</v>
      </c>
      <c r="T778">
        <v>0</v>
      </c>
      <c r="U778">
        <v>0.06</v>
      </c>
      <c r="V778">
        <v>570.96</v>
      </c>
      <c r="W778">
        <v>0</v>
      </c>
      <c r="X778">
        <v>0</v>
      </c>
      <c r="Y778">
        <v>2203762</v>
      </c>
      <c r="Z778">
        <v>10.873000000000001</v>
      </c>
      <c r="AA778">
        <v>4.7370000000000001</v>
      </c>
      <c r="AB778">
        <v>24137.455999999998</v>
      </c>
      <c r="AC778" s="2043">
        <v>11561098444</v>
      </c>
      <c r="AD778">
        <v>21025546</v>
      </c>
      <c r="AE778" s="2043">
        <v>115422546</v>
      </c>
      <c r="AF778">
        <v>0.96050000000000002</v>
      </c>
      <c r="AG778">
        <v>0</v>
      </c>
      <c r="AH778">
        <v>0</v>
      </c>
      <c r="AI778">
        <v>0</v>
      </c>
      <c r="AJ778">
        <v>4662.5380000000005</v>
      </c>
      <c r="AK778">
        <v>91626</v>
      </c>
      <c r="AL778">
        <v>1.548</v>
      </c>
      <c r="AM778">
        <v>7.04</v>
      </c>
      <c r="AN778">
        <v>1011.682</v>
      </c>
      <c r="AO778">
        <v>0</v>
      </c>
      <c r="AP778">
        <v>0</v>
      </c>
      <c r="AQ778">
        <v>8.407</v>
      </c>
      <c r="AR778">
        <v>547.28899999999999</v>
      </c>
      <c r="AS778">
        <v>0</v>
      </c>
      <c r="AT778">
        <v>268.71199999999999</v>
      </c>
      <c r="AU778">
        <v>50.864000000000004</v>
      </c>
      <c r="AV778">
        <v>0</v>
      </c>
      <c r="AW778">
        <v>934.93700000000001</v>
      </c>
      <c r="AX778">
        <v>51.077000000000005</v>
      </c>
      <c r="AY778">
        <v>2848.66</v>
      </c>
      <c r="AZ778">
        <v>0</v>
      </c>
      <c r="BA778">
        <v>111130228</v>
      </c>
      <c r="BB778">
        <v>136448092</v>
      </c>
      <c r="BC778">
        <v>0</v>
      </c>
      <c r="BD778">
        <v>385359</v>
      </c>
      <c r="BE778">
        <v>752186</v>
      </c>
      <c r="BF778">
        <v>1632580</v>
      </c>
      <c r="BG778">
        <v>385359</v>
      </c>
      <c r="BH778">
        <v>495035</v>
      </c>
      <c r="BI778">
        <v>0</v>
      </c>
      <c r="BJ778">
        <v>-5252</v>
      </c>
      <c r="BK778">
        <v>0</v>
      </c>
      <c r="BL778">
        <v>12178382642</v>
      </c>
      <c r="BM778">
        <v>2209014</v>
      </c>
      <c r="BN778">
        <v>85428</v>
      </c>
      <c r="BO778">
        <v>34197</v>
      </c>
      <c r="BP778">
        <v>2304707</v>
      </c>
      <c r="BQ778">
        <v>0</v>
      </c>
      <c r="BR778">
        <v>0.90050000000000008</v>
      </c>
      <c r="BS778">
        <v>0.90050000000000008</v>
      </c>
      <c r="BT778">
        <v>0</v>
      </c>
      <c r="BU778">
        <v>0</v>
      </c>
      <c r="BV778">
        <v>3469</v>
      </c>
      <c r="BW778">
        <v>2580</v>
      </c>
      <c r="BX778">
        <v>2764</v>
      </c>
      <c r="BY778">
        <v>4719</v>
      </c>
      <c r="BZ778">
        <v>4871</v>
      </c>
      <c r="CA778">
        <v>18403</v>
      </c>
      <c r="CB778">
        <v>1</v>
      </c>
      <c r="CC778">
        <v>418.34800000000001</v>
      </c>
      <c r="CD778">
        <v>107.74000000000001</v>
      </c>
      <c r="CE778">
        <v>1468</v>
      </c>
      <c r="CF778">
        <v>5924.9430000000002</v>
      </c>
      <c r="CG778">
        <v>94.866</v>
      </c>
      <c r="CH778">
        <v>24.846</v>
      </c>
      <c r="CI778">
        <v>0</v>
      </c>
      <c r="CJ778">
        <v>174</v>
      </c>
      <c r="CK778">
        <v>2</v>
      </c>
      <c r="CL778">
        <v>119.712</v>
      </c>
      <c r="CM778">
        <v>940.096</v>
      </c>
      <c r="CN778">
        <v>709072</v>
      </c>
      <c r="CO778">
        <v>1010056</v>
      </c>
      <c r="CP778">
        <v>499084</v>
      </c>
      <c r="CQ778">
        <v>86495</v>
      </c>
      <c r="CR778">
        <v>0</v>
      </c>
      <c r="CS778">
        <v>0</v>
      </c>
      <c r="CT778">
        <v>209.947</v>
      </c>
      <c r="CU778">
        <v>18.064</v>
      </c>
      <c r="CV778">
        <v>956.48099999999999</v>
      </c>
      <c r="CW778">
        <v>696.73700000000008</v>
      </c>
      <c r="CX778">
        <v>0</v>
      </c>
      <c r="CY778" s="2043">
        <v>0</v>
      </c>
      <c r="CZ778" s="2043">
        <v>0</v>
      </c>
      <c r="DA778" s="2043">
        <v>0</v>
      </c>
      <c r="DB778" s="2043">
        <v>0</v>
      </c>
      <c r="DC778" s="2043">
        <v>0</v>
      </c>
      <c r="DI778" t="s">
        <v>4363</v>
      </c>
      <c r="DJ778" t="s">
        <v>4363</v>
      </c>
      <c r="DK778" s="2042">
        <f t="shared" si="14"/>
        <v>0</v>
      </c>
    </row>
    <row r="779" spans="1:115">
      <c r="A779" t="s">
        <v>5844</v>
      </c>
      <c r="B779" t="s">
        <v>2272</v>
      </c>
      <c r="C779">
        <v>681.64499999999998</v>
      </c>
      <c r="D779">
        <v>709.11800000000005</v>
      </c>
      <c r="E779">
        <v>23.025000000000002</v>
      </c>
      <c r="F779">
        <v>0</v>
      </c>
      <c r="G779" s="2043">
        <v>437684438</v>
      </c>
      <c r="H779">
        <v>0</v>
      </c>
      <c r="I779" s="2043">
        <v>0</v>
      </c>
      <c r="J779">
        <v>34.082000000000001</v>
      </c>
      <c r="K779">
        <v>93</v>
      </c>
      <c r="L779">
        <v>0</v>
      </c>
      <c r="M779">
        <v>0</v>
      </c>
      <c r="N779">
        <v>0</v>
      </c>
      <c r="O779">
        <v>0</v>
      </c>
      <c r="P779">
        <v>0</v>
      </c>
      <c r="Q779">
        <v>0</v>
      </c>
      <c r="R779" s="2043">
        <v>3758832</v>
      </c>
      <c r="S779">
        <v>350188</v>
      </c>
      <c r="T779">
        <v>218868</v>
      </c>
      <c r="U779">
        <v>0.08</v>
      </c>
      <c r="V779">
        <v>0</v>
      </c>
      <c r="W779">
        <v>0</v>
      </c>
      <c r="X779">
        <v>0</v>
      </c>
      <c r="Y779">
        <v>0</v>
      </c>
      <c r="Z779">
        <v>3.6580000000000004</v>
      </c>
      <c r="AA779">
        <v>0</v>
      </c>
      <c r="AB779">
        <v>704.65800000000002</v>
      </c>
      <c r="AC779" s="2043">
        <v>280145412</v>
      </c>
      <c r="AD779">
        <v>0</v>
      </c>
      <c r="AE779" s="2043">
        <v>4327888</v>
      </c>
      <c r="AF779">
        <v>0.98870000000000002</v>
      </c>
      <c r="AG779">
        <v>0</v>
      </c>
      <c r="AH779">
        <v>0</v>
      </c>
      <c r="AI779">
        <v>0</v>
      </c>
      <c r="AJ779">
        <v>121.738</v>
      </c>
      <c r="AK779">
        <v>2311</v>
      </c>
      <c r="AL779">
        <v>0</v>
      </c>
      <c r="AM779">
        <v>0</v>
      </c>
      <c r="AN779">
        <v>26.842000000000002</v>
      </c>
      <c r="AO779">
        <v>0</v>
      </c>
      <c r="AP779">
        <v>4.181</v>
      </c>
      <c r="AQ779">
        <v>0</v>
      </c>
      <c r="AR779">
        <v>8.5630000000000006</v>
      </c>
      <c r="AS779">
        <v>0</v>
      </c>
      <c r="AT779">
        <v>0.30399999999999999</v>
      </c>
      <c r="AU779">
        <v>0.85200000000000009</v>
      </c>
      <c r="AV779">
        <v>0</v>
      </c>
      <c r="AW779">
        <v>13.9</v>
      </c>
      <c r="AX779">
        <v>0</v>
      </c>
      <c r="AY779">
        <v>42.15</v>
      </c>
      <c r="AZ779">
        <v>0</v>
      </c>
      <c r="BA779">
        <v>4475211</v>
      </c>
      <c r="BB779">
        <v>4327888</v>
      </c>
      <c r="BC779">
        <v>0</v>
      </c>
      <c r="BD779">
        <v>57960</v>
      </c>
      <c r="BE779">
        <v>0</v>
      </c>
      <c r="BF779">
        <v>57960</v>
      </c>
      <c r="BG779">
        <v>57960</v>
      </c>
      <c r="BH779">
        <v>0</v>
      </c>
      <c r="BI779">
        <v>0</v>
      </c>
      <c r="BJ779">
        <v>0</v>
      </c>
      <c r="BK779">
        <v>0</v>
      </c>
      <c r="BL779">
        <v>437684438</v>
      </c>
      <c r="BM779">
        <v>0</v>
      </c>
      <c r="BN779">
        <v>2763</v>
      </c>
      <c r="BO779">
        <v>2429</v>
      </c>
      <c r="BP779">
        <v>0</v>
      </c>
      <c r="BQ779">
        <v>0</v>
      </c>
      <c r="BR779">
        <v>0.85870000000000002</v>
      </c>
      <c r="BS779">
        <v>0.85870000000000002</v>
      </c>
      <c r="BT779">
        <v>0</v>
      </c>
      <c r="BU779">
        <v>0</v>
      </c>
      <c r="BV779">
        <v>102</v>
      </c>
      <c r="BW779">
        <v>307</v>
      </c>
      <c r="BX779">
        <v>79</v>
      </c>
      <c r="BY779">
        <v>16</v>
      </c>
      <c r="BZ779">
        <v>7</v>
      </c>
      <c r="CA779">
        <v>511</v>
      </c>
      <c r="CB779">
        <v>0</v>
      </c>
      <c r="CC779">
        <v>0</v>
      </c>
      <c r="CD779">
        <v>0</v>
      </c>
      <c r="CE779">
        <v>76</v>
      </c>
      <c r="CF779">
        <v>136.91200000000001</v>
      </c>
      <c r="CG779">
        <v>0</v>
      </c>
      <c r="CH779">
        <v>0</v>
      </c>
      <c r="CI779">
        <v>2</v>
      </c>
      <c r="CJ779">
        <v>2</v>
      </c>
      <c r="CK779">
        <v>0</v>
      </c>
      <c r="CL779">
        <v>0</v>
      </c>
      <c r="CM779">
        <v>23.025000000000002</v>
      </c>
      <c r="CN779">
        <v>0</v>
      </c>
      <c r="CO779">
        <v>0</v>
      </c>
      <c r="CP779">
        <v>0</v>
      </c>
      <c r="CQ779">
        <v>0</v>
      </c>
      <c r="CR779">
        <v>0</v>
      </c>
      <c r="CS779">
        <v>0</v>
      </c>
      <c r="CT779">
        <v>0</v>
      </c>
      <c r="CU779">
        <v>0</v>
      </c>
      <c r="CV779">
        <v>45.202000000000005</v>
      </c>
      <c r="CW779">
        <v>15.891</v>
      </c>
      <c r="CX779">
        <v>0</v>
      </c>
      <c r="CY779" s="2043">
        <v>0</v>
      </c>
      <c r="CZ779" s="2043">
        <v>0</v>
      </c>
      <c r="DA779" s="2043">
        <v>0</v>
      </c>
      <c r="DB779" s="2043">
        <v>0</v>
      </c>
      <c r="DC779" s="2043">
        <v>0</v>
      </c>
      <c r="DI779" t="s">
        <v>5844</v>
      </c>
      <c r="DJ779" t="s">
        <v>5844</v>
      </c>
      <c r="DK779" s="2042">
        <f t="shared" si="14"/>
        <v>0</v>
      </c>
    </row>
    <row r="780" spans="1:115">
      <c r="A780" t="s">
        <v>5160</v>
      </c>
      <c r="B780" t="s">
        <v>2273</v>
      </c>
      <c r="C780">
        <v>1160.45</v>
      </c>
      <c r="D780">
        <v>1209.1690000000001</v>
      </c>
      <c r="E780">
        <v>53.909000000000006</v>
      </c>
      <c r="F780">
        <v>0</v>
      </c>
      <c r="G780" s="2043">
        <v>483019470</v>
      </c>
      <c r="H780">
        <v>0</v>
      </c>
      <c r="I780" s="2043">
        <v>723312</v>
      </c>
      <c r="J780">
        <v>58.023000000000003</v>
      </c>
      <c r="K780">
        <v>159</v>
      </c>
      <c r="L780">
        <v>0</v>
      </c>
      <c r="M780">
        <v>290364</v>
      </c>
      <c r="N780">
        <v>0</v>
      </c>
      <c r="O780">
        <v>290364</v>
      </c>
      <c r="P780">
        <v>0</v>
      </c>
      <c r="Q780">
        <v>0</v>
      </c>
      <c r="R780" s="2043">
        <v>4036521</v>
      </c>
      <c r="S780">
        <v>383791</v>
      </c>
      <c r="T780">
        <v>279688</v>
      </c>
      <c r="U780">
        <v>0.08</v>
      </c>
      <c r="V780">
        <v>0</v>
      </c>
      <c r="W780">
        <v>0</v>
      </c>
      <c r="X780">
        <v>0</v>
      </c>
      <c r="Y780">
        <v>0</v>
      </c>
      <c r="Z780">
        <v>0.95400000000000007</v>
      </c>
      <c r="AA780">
        <v>0.33300000000000002</v>
      </c>
      <c r="AB780">
        <v>1209.1690000000001</v>
      </c>
      <c r="AC780" s="2043">
        <v>430986723</v>
      </c>
      <c r="AD780">
        <v>1835000</v>
      </c>
      <c r="AE780" s="2043">
        <v>4700000</v>
      </c>
      <c r="AF780">
        <v>0.97970000000000002</v>
      </c>
      <c r="AG780">
        <v>0</v>
      </c>
      <c r="AH780">
        <v>0</v>
      </c>
      <c r="AI780">
        <v>0</v>
      </c>
      <c r="AJ780">
        <v>226.988</v>
      </c>
      <c r="AK780">
        <v>7632</v>
      </c>
      <c r="AL780">
        <v>4.8000000000000001E-2</v>
      </c>
      <c r="AM780">
        <v>0</v>
      </c>
      <c r="AN780">
        <v>78.293999999999997</v>
      </c>
      <c r="AO780">
        <v>0</v>
      </c>
      <c r="AP780">
        <v>0</v>
      </c>
      <c r="AQ780">
        <v>0</v>
      </c>
      <c r="AR780">
        <v>32.271999999999998</v>
      </c>
      <c r="AS780">
        <v>0</v>
      </c>
      <c r="AT780">
        <v>16.098000000000003</v>
      </c>
      <c r="AU780">
        <v>4.617</v>
      </c>
      <c r="AV780">
        <v>0</v>
      </c>
      <c r="AW780">
        <v>57.946000000000005</v>
      </c>
      <c r="AX780">
        <v>4.9110000000000005</v>
      </c>
      <c r="AY780">
        <v>179.73</v>
      </c>
      <c r="AZ780">
        <v>0</v>
      </c>
      <c r="BA780">
        <v>10563235</v>
      </c>
      <c r="BB780">
        <v>6535000</v>
      </c>
      <c r="BC780">
        <v>0</v>
      </c>
      <c r="BD780">
        <v>26796</v>
      </c>
      <c r="BE780">
        <v>83618</v>
      </c>
      <c r="BF780">
        <v>112355</v>
      </c>
      <c r="BG780">
        <v>26796</v>
      </c>
      <c r="BH780">
        <v>1941</v>
      </c>
      <c r="BI780">
        <v>0</v>
      </c>
      <c r="BJ780">
        <v>0</v>
      </c>
      <c r="BK780">
        <v>0</v>
      </c>
      <c r="BL780">
        <v>483019470</v>
      </c>
      <c r="BM780">
        <v>0</v>
      </c>
      <c r="BN780">
        <v>4725</v>
      </c>
      <c r="BO780">
        <v>4194</v>
      </c>
      <c r="BP780">
        <v>151093</v>
      </c>
      <c r="BQ780">
        <v>45000</v>
      </c>
      <c r="BR780">
        <v>0.84140000000000004</v>
      </c>
      <c r="BS780">
        <v>0.84140000000000004</v>
      </c>
      <c r="BT780">
        <v>0</v>
      </c>
      <c r="BU780">
        <v>0</v>
      </c>
      <c r="BV780">
        <v>298</v>
      </c>
      <c r="BW780">
        <v>408</v>
      </c>
      <c r="BX780">
        <v>225</v>
      </c>
      <c r="BY780">
        <v>7</v>
      </c>
      <c r="BZ780">
        <v>18</v>
      </c>
      <c r="CA780">
        <v>956</v>
      </c>
      <c r="CB780">
        <v>0</v>
      </c>
      <c r="CC780">
        <v>0</v>
      </c>
      <c r="CD780">
        <v>0</v>
      </c>
      <c r="CE780">
        <v>81</v>
      </c>
      <c r="CF780">
        <v>290.91900000000004</v>
      </c>
      <c r="CG780">
        <v>0</v>
      </c>
      <c r="CH780">
        <v>0</v>
      </c>
      <c r="CI780">
        <v>8</v>
      </c>
      <c r="CJ780">
        <v>4</v>
      </c>
      <c r="CK780">
        <v>0</v>
      </c>
      <c r="CL780">
        <v>0</v>
      </c>
      <c r="CM780">
        <v>53.909000000000006</v>
      </c>
      <c r="CN780">
        <v>50335</v>
      </c>
      <c r="CO780">
        <v>66567</v>
      </c>
      <c r="CP780">
        <v>27191</v>
      </c>
      <c r="CQ780">
        <v>7000</v>
      </c>
      <c r="CR780">
        <v>0</v>
      </c>
      <c r="CS780">
        <v>0</v>
      </c>
      <c r="CT780">
        <v>0</v>
      </c>
      <c r="CU780">
        <v>0.36599999999999999</v>
      </c>
      <c r="CV780">
        <v>87.198999999999998</v>
      </c>
      <c r="CW780">
        <v>38.01</v>
      </c>
      <c r="CX780">
        <v>0</v>
      </c>
      <c r="CY780" s="2043">
        <v>0</v>
      </c>
      <c r="CZ780" s="2043">
        <v>0</v>
      </c>
      <c r="DA780" s="2043">
        <v>0</v>
      </c>
      <c r="DB780" s="2043">
        <v>0</v>
      </c>
      <c r="DC780" s="2043">
        <v>0</v>
      </c>
      <c r="DI780" t="s">
        <v>5160</v>
      </c>
      <c r="DJ780" t="s">
        <v>5160</v>
      </c>
      <c r="DK780" s="2042">
        <f t="shared" si="14"/>
        <v>0</v>
      </c>
    </row>
    <row r="781" spans="1:115">
      <c r="A781" t="s">
        <v>3111</v>
      </c>
      <c r="B781" t="s">
        <v>1985</v>
      </c>
      <c r="C781">
        <v>7130.8050000000003</v>
      </c>
      <c r="D781">
        <v>6881.5390000000007</v>
      </c>
      <c r="E781">
        <v>212.21</v>
      </c>
      <c r="F781">
        <v>0</v>
      </c>
      <c r="G781" s="2043">
        <v>4292089032</v>
      </c>
      <c r="H781">
        <v>0</v>
      </c>
      <c r="I781" s="2043">
        <v>19100276</v>
      </c>
      <c r="J781">
        <v>356.54</v>
      </c>
      <c r="K781">
        <v>975</v>
      </c>
      <c r="L781">
        <v>0</v>
      </c>
      <c r="M781">
        <v>445840</v>
      </c>
      <c r="N781">
        <v>0</v>
      </c>
      <c r="O781">
        <v>445840</v>
      </c>
      <c r="P781">
        <v>0</v>
      </c>
      <c r="Q781">
        <v>0</v>
      </c>
      <c r="R781" s="2043">
        <v>34929770</v>
      </c>
      <c r="S781">
        <v>2124682</v>
      </c>
      <c r="T781">
        <v>0</v>
      </c>
      <c r="U781">
        <v>0.05</v>
      </c>
      <c r="V781">
        <v>761.84</v>
      </c>
      <c r="W781">
        <v>0</v>
      </c>
      <c r="X781">
        <v>0</v>
      </c>
      <c r="Y781">
        <v>0</v>
      </c>
      <c r="Z781">
        <v>3.86</v>
      </c>
      <c r="AA781">
        <v>0.27500000000000002</v>
      </c>
      <c r="AB781">
        <v>6839.3310000000001</v>
      </c>
      <c r="AC781" s="2043">
        <v>3355664248</v>
      </c>
      <c r="AD781">
        <v>21236571</v>
      </c>
      <c r="AE781" s="2043">
        <v>37054452</v>
      </c>
      <c r="AF781">
        <v>0.872</v>
      </c>
      <c r="AG781">
        <v>0</v>
      </c>
      <c r="AH781">
        <v>0</v>
      </c>
      <c r="AI781">
        <v>0</v>
      </c>
      <c r="AJ781">
        <v>659.76300000000003</v>
      </c>
      <c r="AK781">
        <v>22036</v>
      </c>
      <c r="AL781">
        <v>0.57600000000000007</v>
      </c>
      <c r="AM781">
        <v>0</v>
      </c>
      <c r="AN781">
        <v>227.89100000000002</v>
      </c>
      <c r="AO781">
        <v>0</v>
      </c>
      <c r="AP781">
        <v>0</v>
      </c>
      <c r="AQ781">
        <v>0</v>
      </c>
      <c r="AR781">
        <v>115.89</v>
      </c>
      <c r="AS781">
        <v>0</v>
      </c>
      <c r="AT781">
        <v>95.198000000000008</v>
      </c>
      <c r="AU781">
        <v>14.93</v>
      </c>
      <c r="AV781">
        <v>0</v>
      </c>
      <c r="AW781">
        <v>226.655</v>
      </c>
      <c r="AX781">
        <v>6.1000000000000006E-2</v>
      </c>
      <c r="AY781">
        <v>710.93400000000008</v>
      </c>
      <c r="AZ781">
        <v>0</v>
      </c>
      <c r="BA781">
        <v>25824814</v>
      </c>
      <c r="BB781">
        <v>58291023</v>
      </c>
      <c r="BC781">
        <v>0</v>
      </c>
      <c r="BD781">
        <v>299200</v>
      </c>
      <c r="BE781">
        <v>69034</v>
      </c>
      <c r="BF781">
        <v>378819</v>
      </c>
      <c r="BG781">
        <v>299200</v>
      </c>
      <c r="BH781">
        <v>10585</v>
      </c>
      <c r="BI781">
        <v>0</v>
      </c>
      <c r="BJ781">
        <v>0</v>
      </c>
      <c r="BK781">
        <v>0</v>
      </c>
      <c r="BL781">
        <v>4292089032</v>
      </c>
      <c r="BM781">
        <v>0</v>
      </c>
      <c r="BN781">
        <v>22968</v>
      </c>
      <c r="BO781">
        <v>15590</v>
      </c>
      <c r="BP781">
        <v>14223</v>
      </c>
      <c r="BQ781">
        <v>137500</v>
      </c>
      <c r="BR781">
        <v>0.82200000000000006</v>
      </c>
      <c r="BS781">
        <v>0.82200000000000006</v>
      </c>
      <c r="BT781">
        <v>0</v>
      </c>
      <c r="BU781">
        <v>0</v>
      </c>
      <c r="BV781">
        <v>1377</v>
      </c>
      <c r="BW781">
        <v>1118</v>
      </c>
      <c r="BX781">
        <v>103</v>
      </c>
      <c r="BY781">
        <v>125</v>
      </c>
      <c r="BZ781">
        <v>94</v>
      </c>
      <c r="CA781">
        <v>2817</v>
      </c>
      <c r="CB781">
        <v>0</v>
      </c>
      <c r="CC781">
        <v>37.914999999999999</v>
      </c>
      <c r="CD781">
        <v>41.394000000000005</v>
      </c>
      <c r="CE781">
        <v>592</v>
      </c>
      <c r="CF781">
        <v>1010.178</v>
      </c>
      <c r="CG781">
        <v>67.42</v>
      </c>
      <c r="CH781">
        <v>0</v>
      </c>
      <c r="CI781">
        <v>0</v>
      </c>
      <c r="CJ781">
        <v>66</v>
      </c>
      <c r="CK781">
        <v>1</v>
      </c>
      <c r="CL781">
        <v>67.42</v>
      </c>
      <c r="CM781">
        <v>212.21</v>
      </c>
      <c r="CN781">
        <v>0</v>
      </c>
      <c r="CO781">
        <v>6963</v>
      </c>
      <c r="CP781">
        <v>7260</v>
      </c>
      <c r="CQ781">
        <v>0</v>
      </c>
      <c r="CR781">
        <v>0</v>
      </c>
      <c r="CS781">
        <v>0</v>
      </c>
      <c r="CT781">
        <v>0</v>
      </c>
      <c r="CU781">
        <v>7.3420000000000005</v>
      </c>
      <c r="CV781">
        <v>634.58100000000002</v>
      </c>
      <c r="CW781">
        <v>305.43400000000003</v>
      </c>
      <c r="CX781">
        <v>0</v>
      </c>
      <c r="CY781" s="2043">
        <v>0</v>
      </c>
      <c r="CZ781" s="2043">
        <v>0</v>
      </c>
      <c r="DA781" s="2043">
        <v>0</v>
      </c>
      <c r="DB781" s="2043">
        <v>0</v>
      </c>
      <c r="DC781" s="2043">
        <v>0</v>
      </c>
      <c r="DI781" t="s">
        <v>3111</v>
      </c>
      <c r="DJ781" t="s">
        <v>3111</v>
      </c>
      <c r="DK781" s="2042">
        <f t="shared" si="14"/>
        <v>0</v>
      </c>
    </row>
    <row r="782" spans="1:115">
      <c r="A782" t="s">
        <v>3112</v>
      </c>
      <c r="B782" t="s">
        <v>1338</v>
      </c>
      <c r="C782">
        <v>10109.507</v>
      </c>
      <c r="D782">
        <v>9906.1280000000006</v>
      </c>
      <c r="E782">
        <v>342.488</v>
      </c>
      <c r="F782">
        <v>0</v>
      </c>
      <c r="G782" s="2043">
        <v>5147440646</v>
      </c>
      <c r="H782">
        <v>0</v>
      </c>
      <c r="I782" s="2043">
        <v>17428119</v>
      </c>
      <c r="J782">
        <v>505.47500000000002</v>
      </c>
      <c r="K782">
        <v>1382</v>
      </c>
      <c r="L782">
        <v>0</v>
      </c>
      <c r="M782">
        <v>1795895</v>
      </c>
      <c r="N782">
        <v>0</v>
      </c>
      <c r="O782">
        <v>1795895</v>
      </c>
      <c r="P782">
        <v>0</v>
      </c>
      <c r="Q782">
        <v>0</v>
      </c>
      <c r="R782" s="2043">
        <v>42721690</v>
      </c>
      <c r="S782">
        <v>3055564</v>
      </c>
      <c r="T782">
        <v>0</v>
      </c>
      <c r="U782">
        <v>0.06</v>
      </c>
      <c r="V782">
        <v>0</v>
      </c>
      <c r="W782">
        <v>0</v>
      </c>
      <c r="X782">
        <v>0</v>
      </c>
      <c r="Y782">
        <v>0</v>
      </c>
      <c r="Z782">
        <v>12.945</v>
      </c>
      <c r="AA782">
        <v>0.78200000000000003</v>
      </c>
      <c r="AB782">
        <v>9834.4920000000002</v>
      </c>
      <c r="AC782" s="2043">
        <v>4417344249</v>
      </c>
      <c r="AD782">
        <v>24527643</v>
      </c>
      <c r="AE782" s="2043">
        <v>45777254</v>
      </c>
      <c r="AF782">
        <v>0.89590000000000003</v>
      </c>
      <c r="AG782">
        <v>0</v>
      </c>
      <c r="AH782">
        <v>0</v>
      </c>
      <c r="AI782">
        <v>0</v>
      </c>
      <c r="AJ782">
        <v>1257.95</v>
      </c>
      <c r="AK782">
        <v>29749</v>
      </c>
      <c r="AL782">
        <v>1.006</v>
      </c>
      <c r="AM782">
        <v>0</v>
      </c>
      <c r="AN782">
        <v>186.79600000000002</v>
      </c>
      <c r="AO782">
        <v>0</v>
      </c>
      <c r="AP782">
        <v>0.72</v>
      </c>
      <c r="AQ782">
        <v>6.476</v>
      </c>
      <c r="AR782">
        <v>233.37300000000002</v>
      </c>
      <c r="AS782">
        <v>0</v>
      </c>
      <c r="AT782">
        <v>91.533000000000001</v>
      </c>
      <c r="AU782">
        <v>18.231999999999999</v>
      </c>
      <c r="AV782">
        <v>0</v>
      </c>
      <c r="AW782">
        <v>351.34000000000003</v>
      </c>
      <c r="AX782">
        <v>0</v>
      </c>
      <c r="AY782">
        <v>1072.8520000000001</v>
      </c>
      <c r="AZ782">
        <v>0</v>
      </c>
      <c r="BA782">
        <v>44514564</v>
      </c>
      <c r="BB782">
        <v>70304897</v>
      </c>
      <c r="BC782">
        <v>749</v>
      </c>
      <c r="BD782">
        <v>391385</v>
      </c>
      <c r="BE782">
        <v>120373</v>
      </c>
      <c r="BF782">
        <v>545914</v>
      </c>
      <c r="BG782">
        <v>392134</v>
      </c>
      <c r="BH782">
        <v>33407</v>
      </c>
      <c r="BI782">
        <v>0</v>
      </c>
      <c r="BJ782">
        <v>0</v>
      </c>
      <c r="BK782">
        <v>0</v>
      </c>
      <c r="BL782">
        <v>5147440646</v>
      </c>
      <c r="BM782">
        <v>0</v>
      </c>
      <c r="BN782">
        <v>32544</v>
      </c>
      <c r="BO782">
        <v>25776</v>
      </c>
      <c r="BP782">
        <v>20569</v>
      </c>
      <c r="BQ782">
        <v>0</v>
      </c>
      <c r="BR782">
        <v>0.83610000000000007</v>
      </c>
      <c r="BS782">
        <v>0.83610000000000007</v>
      </c>
      <c r="BT782">
        <v>0</v>
      </c>
      <c r="BU782">
        <v>0</v>
      </c>
      <c r="BV782">
        <v>2308</v>
      </c>
      <c r="BW782">
        <v>1331</v>
      </c>
      <c r="BX782">
        <v>66</v>
      </c>
      <c r="BY782">
        <v>1265</v>
      </c>
      <c r="BZ782">
        <v>269</v>
      </c>
      <c r="CA782">
        <v>5239</v>
      </c>
      <c r="CB782">
        <v>0</v>
      </c>
      <c r="CC782">
        <v>127.13000000000001</v>
      </c>
      <c r="CD782">
        <v>0</v>
      </c>
      <c r="CE782">
        <v>881</v>
      </c>
      <c r="CF782">
        <v>1782.66</v>
      </c>
      <c r="CG782">
        <v>0</v>
      </c>
      <c r="CH782">
        <v>6.6230000000000002</v>
      </c>
      <c r="CI782">
        <v>20</v>
      </c>
      <c r="CJ782">
        <v>128</v>
      </c>
      <c r="CK782">
        <v>1</v>
      </c>
      <c r="CL782">
        <v>6.6230000000000002</v>
      </c>
      <c r="CM782">
        <v>342.488</v>
      </c>
      <c r="CN782">
        <v>0</v>
      </c>
      <c r="CO782">
        <v>7385</v>
      </c>
      <c r="CP782">
        <v>13184</v>
      </c>
      <c r="CQ782">
        <v>0</v>
      </c>
      <c r="CR782">
        <v>0</v>
      </c>
      <c r="CS782">
        <v>0</v>
      </c>
      <c r="CT782">
        <v>0</v>
      </c>
      <c r="CU782">
        <v>6.5280000000000005</v>
      </c>
      <c r="CV782">
        <v>530.17100000000005</v>
      </c>
      <c r="CW782">
        <v>342.57800000000003</v>
      </c>
      <c r="CX782">
        <v>0</v>
      </c>
      <c r="CY782" s="2043">
        <v>0</v>
      </c>
      <c r="CZ782" s="2043">
        <v>0</v>
      </c>
      <c r="DA782" s="2043">
        <v>0</v>
      </c>
      <c r="DB782" s="2043">
        <v>0</v>
      </c>
      <c r="DC782" s="2043">
        <v>0</v>
      </c>
      <c r="DI782" t="s">
        <v>3112</v>
      </c>
      <c r="DJ782" t="s">
        <v>3112</v>
      </c>
      <c r="DK782" s="2042">
        <f t="shared" si="14"/>
        <v>0</v>
      </c>
    </row>
    <row r="783" spans="1:115">
      <c r="A783" t="s">
        <v>5161</v>
      </c>
      <c r="B783" t="s">
        <v>2274</v>
      </c>
      <c r="C783">
        <v>1032.885</v>
      </c>
      <c r="D783">
        <v>963.65600000000006</v>
      </c>
      <c r="E783">
        <v>46.798999999999999</v>
      </c>
      <c r="F783">
        <v>0</v>
      </c>
      <c r="G783" s="2043">
        <v>275719008</v>
      </c>
      <c r="H783">
        <v>0</v>
      </c>
      <c r="I783" s="2043">
        <v>740300</v>
      </c>
      <c r="J783">
        <v>51.644000000000005</v>
      </c>
      <c r="K783">
        <v>141</v>
      </c>
      <c r="L783">
        <v>0</v>
      </c>
      <c r="M783">
        <v>0</v>
      </c>
      <c r="N783">
        <v>0</v>
      </c>
      <c r="O783">
        <v>0</v>
      </c>
      <c r="P783">
        <v>0</v>
      </c>
      <c r="Q783">
        <v>0</v>
      </c>
      <c r="R783" s="2043">
        <v>2462493</v>
      </c>
      <c r="S783">
        <v>215677</v>
      </c>
      <c r="T783">
        <v>157175</v>
      </c>
      <c r="U783">
        <v>0.08</v>
      </c>
      <c r="V783">
        <v>0</v>
      </c>
      <c r="W783">
        <v>0</v>
      </c>
      <c r="X783">
        <v>0</v>
      </c>
      <c r="Y783">
        <v>0</v>
      </c>
      <c r="Z783">
        <v>6.1760000000000002</v>
      </c>
      <c r="AA783">
        <v>0</v>
      </c>
      <c r="AB783">
        <v>942.572</v>
      </c>
      <c r="AC783" s="2043">
        <v>254015577</v>
      </c>
      <c r="AD783">
        <v>583265</v>
      </c>
      <c r="AE783" s="2043">
        <v>2835345</v>
      </c>
      <c r="AF783">
        <v>1.0517000000000001</v>
      </c>
      <c r="AG783">
        <v>0</v>
      </c>
      <c r="AH783">
        <v>0</v>
      </c>
      <c r="AI783">
        <v>0</v>
      </c>
      <c r="AJ783">
        <v>216.97500000000002</v>
      </c>
      <c r="AK783">
        <v>5965</v>
      </c>
      <c r="AL783">
        <v>0</v>
      </c>
      <c r="AM783">
        <v>0</v>
      </c>
      <c r="AN783">
        <v>42.248000000000005</v>
      </c>
      <c r="AO783">
        <v>0</v>
      </c>
      <c r="AP783">
        <v>0</v>
      </c>
      <c r="AQ783">
        <v>5.5420000000000007</v>
      </c>
      <c r="AR783">
        <v>26.581</v>
      </c>
      <c r="AS783">
        <v>0</v>
      </c>
      <c r="AT783">
        <v>9.7889999999999997</v>
      </c>
      <c r="AU783">
        <v>2.9990000000000001</v>
      </c>
      <c r="AV783">
        <v>0</v>
      </c>
      <c r="AW783">
        <v>47.999000000000002</v>
      </c>
      <c r="AX783">
        <v>3.0880000000000001</v>
      </c>
      <c r="AY783">
        <v>131.20699999999999</v>
      </c>
      <c r="AZ783">
        <v>0</v>
      </c>
      <c r="BA783">
        <v>11139518</v>
      </c>
      <c r="BB783">
        <v>3418610</v>
      </c>
      <c r="BC783">
        <v>0</v>
      </c>
      <c r="BD783">
        <v>94098</v>
      </c>
      <c r="BE783">
        <v>23439</v>
      </c>
      <c r="BF783">
        <v>178603</v>
      </c>
      <c r="BG783">
        <v>94098</v>
      </c>
      <c r="BH783">
        <v>61066</v>
      </c>
      <c r="BI783">
        <v>0</v>
      </c>
      <c r="BJ783">
        <v>0</v>
      </c>
      <c r="BK783">
        <v>0</v>
      </c>
      <c r="BL783">
        <v>275719008</v>
      </c>
      <c r="BM783">
        <v>0</v>
      </c>
      <c r="BN783">
        <v>3411</v>
      </c>
      <c r="BO783">
        <v>3060</v>
      </c>
      <c r="BP783">
        <v>102264</v>
      </c>
      <c r="BQ783">
        <v>0</v>
      </c>
      <c r="BR783">
        <v>0.91339999999999999</v>
      </c>
      <c r="BS783">
        <v>0.91339999999999999</v>
      </c>
      <c r="BT783">
        <v>0</v>
      </c>
      <c r="BU783">
        <v>0</v>
      </c>
      <c r="BV783">
        <v>147</v>
      </c>
      <c r="BW783">
        <v>240</v>
      </c>
      <c r="BX783">
        <v>124</v>
      </c>
      <c r="BY783">
        <v>6</v>
      </c>
      <c r="BZ783">
        <v>343</v>
      </c>
      <c r="CA783">
        <v>860</v>
      </c>
      <c r="CB783">
        <v>0</v>
      </c>
      <c r="CC783">
        <v>0</v>
      </c>
      <c r="CD783">
        <v>0</v>
      </c>
      <c r="CE783">
        <v>83</v>
      </c>
      <c r="CF783">
        <v>219.96200000000002</v>
      </c>
      <c r="CG783">
        <v>0</v>
      </c>
      <c r="CH783">
        <v>11.052000000000001</v>
      </c>
      <c r="CI783">
        <v>0</v>
      </c>
      <c r="CJ783">
        <v>6</v>
      </c>
      <c r="CK783">
        <v>0</v>
      </c>
      <c r="CL783">
        <v>11.052000000000001</v>
      </c>
      <c r="CM783">
        <v>46.798999999999999</v>
      </c>
      <c r="CN783">
        <v>54138</v>
      </c>
      <c r="CO783">
        <v>30084</v>
      </c>
      <c r="CP783">
        <v>15042</v>
      </c>
      <c r="CQ783">
        <v>3000</v>
      </c>
      <c r="CR783">
        <v>0</v>
      </c>
      <c r="CS783">
        <v>0</v>
      </c>
      <c r="CT783">
        <v>0</v>
      </c>
      <c r="CU783">
        <v>5.8920000000000003</v>
      </c>
      <c r="CV783">
        <v>101.92200000000001</v>
      </c>
      <c r="CW783">
        <v>37.463000000000001</v>
      </c>
      <c r="CX783">
        <v>0</v>
      </c>
      <c r="CY783" s="2043">
        <v>0</v>
      </c>
      <c r="CZ783" s="2043">
        <v>0</v>
      </c>
      <c r="DA783" s="2043">
        <v>0</v>
      </c>
      <c r="DB783" s="2043">
        <v>0</v>
      </c>
      <c r="DC783" s="2043">
        <v>0</v>
      </c>
      <c r="DI783" t="s">
        <v>5161</v>
      </c>
      <c r="DJ783" t="s">
        <v>5161</v>
      </c>
      <c r="DK783" s="2042">
        <f t="shared" si="14"/>
        <v>0</v>
      </c>
    </row>
    <row r="784" spans="1:115">
      <c r="A784" t="s">
        <v>3113</v>
      </c>
      <c r="B784" t="s">
        <v>468</v>
      </c>
      <c r="C784">
        <v>1600.8810000000001</v>
      </c>
      <c r="D784">
        <v>1564.8690000000001</v>
      </c>
      <c r="E784">
        <v>53.361000000000004</v>
      </c>
      <c r="F784">
        <v>0</v>
      </c>
      <c r="G784" s="2043">
        <v>428201717</v>
      </c>
      <c r="H784">
        <v>0</v>
      </c>
      <c r="I784" s="2043">
        <v>1778603</v>
      </c>
      <c r="J784">
        <v>80.043999999999997</v>
      </c>
      <c r="K784">
        <v>219</v>
      </c>
      <c r="L784">
        <v>119865</v>
      </c>
      <c r="M784">
        <v>410528</v>
      </c>
      <c r="N784">
        <v>119865</v>
      </c>
      <c r="O784">
        <v>530393</v>
      </c>
      <c r="P784">
        <v>0</v>
      </c>
      <c r="Q784">
        <v>0</v>
      </c>
      <c r="R784" s="2043">
        <v>3554060</v>
      </c>
      <c r="S784">
        <v>338966</v>
      </c>
      <c r="T784">
        <v>247022</v>
      </c>
      <c r="U784">
        <v>0.08</v>
      </c>
      <c r="V784">
        <v>0</v>
      </c>
      <c r="W784">
        <v>0</v>
      </c>
      <c r="X784">
        <v>0</v>
      </c>
      <c r="Y784">
        <v>0</v>
      </c>
      <c r="Z784">
        <v>0</v>
      </c>
      <c r="AA784">
        <v>0.14200000000000002</v>
      </c>
      <c r="AB784">
        <v>1546.41</v>
      </c>
      <c r="AC784" s="2043">
        <v>354208244</v>
      </c>
      <c r="AD784">
        <v>1608448</v>
      </c>
      <c r="AE784" s="2043">
        <v>4140048</v>
      </c>
      <c r="AF784">
        <v>0.97710000000000008</v>
      </c>
      <c r="AG784">
        <v>0</v>
      </c>
      <c r="AH784">
        <v>0</v>
      </c>
      <c r="AI784">
        <v>0</v>
      </c>
      <c r="AJ784">
        <v>154.13800000000001</v>
      </c>
      <c r="AK784">
        <v>4423</v>
      </c>
      <c r="AL784">
        <v>0</v>
      </c>
      <c r="AM784">
        <v>0</v>
      </c>
      <c r="AN784">
        <v>28.524000000000001</v>
      </c>
      <c r="AO784">
        <v>0</v>
      </c>
      <c r="AP784">
        <v>0</v>
      </c>
      <c r="AQ784">
        <v>0</v>
      </c>
      <c r="AR784">
        <v>32.335999999999999</v>
      </c>
      <c r="AS784">
        <v>0</v>
      </c>
      <c r="AT784">
        <v>13.071000000000002</v>
      </c>
      <c r="AU784">
        <v>2.028</v>
      </c>
      <c r="AV784">
        <v>0</v>
      </c>
      <c r="AW784">
        <v>47.435000000000002</v>
      </c>
      <c r="AX784">
        <v>0</v>
      </c>
      <c r="AY784">
        <v>146.36100000000002</v>
      </c>
      <c r="AZ784">
        <v>0</v>
      </c>
      <c r="BA784">
        <v>12120712</v>
      </c>
      <c r="BB784">
        <v>5748496</v>
      </c>
      <c r="BC784">
        <v>0</v>
      </c>
      <c r="BD784">
        <v>75578</v>
      </c>
      <c r="BE784">
        <v>62140</v>
      </c>
      <c r="BF784">
        <v>137718</v>
      </c>
      <c r="BG784">
        <v>75578</v>
      </c>
      <c r="BH784">
        <v>0</v>
      </c>
      <c r="BI784">
        <v>0</v>
      </c>
      <c r="BJ784">
        <v>0</v>
      </c>
      <c r="BK784">
        <v>0</v>
      </c>
      <c r="BL784">
        <v>428201717</v>
      </c>
      <c r="BM784">
        <v>0</v>
      </c>
      <c r="BN784">
        <v>5958</v>
      </c>
      <c r="BO784">
        <v>4965</v>
      </c>
      <c r="BP784">
        <v>0</v>
      </c>
      <c r="BQ784">
        <v>0</v>
      </c>
      <c r="BR784">
        <v>0.83879999999999999</v>
      </c>
      <c r="BS784">
        <v>0.83879999999999999</v>
      </c>
      <c r="BT784">
        <v>0</v>
      </c>
      <c r="BU784">
        <v>0</v>
      </c>
      <c r="BV784">
        <v>162</v>
      </c>
      <c r="BW784">
        <v>197</v>
      </c>
      <c r="BX784">
        <v>162</v>
      </c>
      <c r="BY784">
        <v>98</v>
      </c>
      <c r="BZ784">
        <v>17</v>
      </c>
      <c r="CA784">
        <v>636</v>
      </c>
      <c r="CB784">
        <v>0</v>
      </c>
      <c r="CC784">
        <v>0</v>
      </c>
      <c r="CD784">
        <v>0</v>
      </c>
      <c r="CE784">
        <v>155</v>
      </c>
      <c r="CF784">
        <v>208.62300000000002</v>
      </c>
      <c r="CG784">
        <v>0</v>
      </c>
      <c r="CH784">
        <v>0</v>
      </c>
      <c r="CI784">
        <v>4</v>
      </c>
      <c r="CJ784">
        <v>39</v>
      </c>
      <c r="CK784">
        <v>0</v>
      </c>
      <c r="CL784">
        <v>0</v>
      </c>
      <c r="CM784">
        <v>53.361000000000004</v>
      </c>
      <c r="CN784">
        <v>0</v>
      </c>
      <c r="CO784">
        <v>0</v>
      </c>
      <c r="CP784">
        <v>0</v>
      </c>
      <c r="CQ784">
        <v>0</v>
      </c>
      <c r="CR784">
        <v>0</v>
      </c>
      <c r="CS784">
        <v>0</v>
      </c>
      <c r="CT784">
        <v>0</v>
      </c>
      <c r="CU784">
        <v>23.899000000000001</v>
      </c>
      <c r="CV784">
        <v>97.085999999999999</v>
      </c>
      <c r="CW784">
        <v>29.183</v>
      </c>
      <c r="CX784">
        <v>0</v>
      </c>
      <c r="CY784" s="2043">
        <v>0</v>
      </c>
      <c r="CZ784" s="2043">
        <v>0</v>
      </c>
      <c r="DA784" s="2043">
        <v>0</v>
      </c>
      <c r="DB784" s="2043">
        <v>0</v>
      </c>
      <c r="DC784" s="2043">
        <v>0</v>
      </c>
      <c r="DI784" t="s">
        <v>3113</v>
      </c>
      <c r="DJ784" t="s">
        <v>3113</v>
      </c>
      <c r="DK784" s="2042">
        <f t="shared" si="14"/>
        <v>0</v>
      </c>
    </row>
    <row r="785" spans="1:115">
      <c r="A785" t="s">
        <v>3114</v>
      </c>
      <c r="B785" t="s">
        <v>636</v>
      </c>
      <c r="C785">
        <v>938.17500000000007</v>
      </c>
      <c r="D785">
        <v>904.495</v>
      </c>
      <c r="E785">
        <v>20.449000000000002</v>
      </c>
      <c r="F785">
        <v>0</v>
      </c>
      <c r="G785" s="2043">
        <v>312101063</v>
      </c>
      <c r="H785">
        <v>0</v>
      </c>
      <c r="I785" s="2043">
        <v>872150</v>
      </c>
      <c r="J785">
        <v>46.908999999999999</v>
      </c>
      <c r="K785">
        <v>128</v>
      </c>
      <c r="L785">
        <v>9306</v>
      </c>
      <c r="M785">
        <v>211363</v>
      </c>
      <c r="N785">
        <v>9306</v>
      </c>
      <c r="O785">
        <v>220669</v>
      </c>
      <c r="P785">
        <v>0</v>
      </c>
      <c r="Q785">
        <v>0</v>
      </c>
      <c r="R785" s="2043">
        <v>2847655</v>
      </c>
      <c r="S785">
        <v>249849</v>
      </c>
      <c r="T785">
        <v>213621</v>
      </c>
      <c r="U785">
        <v>0.08</v>
      </c>
      <c r="V785">
        <v>0</v>
      </c>
      <c r="W785">
        <v>0</v>
      </c>
      <c r="X785">
        <v>0</v>
      </c>
      <c r="Y785">
        <v>0</v>
      </c>
      <c r="Z785">
        <v>0</v>
      </c>
      <c r="AA785">
        <v>0</v>
      </c>
      <c r="AB785">
        <v>904.495</v>
      </c>
      <c r="AC785" s="2043">
        <v>285506384</v>
      </c>
      <c r="AD785">
        <v>740855</v>
      </c>
      <c r="AE785" s="2043">
        <v>3311125</v>
      </c>
      <c r="AF785">
        <v>1.0602</v>
      </c>
      <c r="AG785">
        <v>0</v>
      </c>
      <c r="AH785">
        <v>0</v>
      </c>
      <c r="AI785">
        <v>0</v>
      </c>
      <c r="AJ785">
        <v>78.537999999999997</v>
      </c>
      <c r="AK785">
        <v>3652</v>
      </c>
      <c r="AL785">
        <v>6.0000000000000001E-3</v>
      </c>
      <c r="AM785">
        <v>0</v>
      </c>
      <c r="AN785">
        <v>29.87</v>
      </c>
      <c r="AO785">
        <v>0</v>
      </c>
      <c r="AP785">
        <v>0</v>
      </c>
      <c r="AQ785">
        <v>0</v>
      </c>
      <c r="AR785">
        <v>20.692</v>
      </c>
      <c r="AS785">
        <v>0</v>
      </c>
      <c r="AT785">
        <v>7.1220000000000008</v>
      </c>
      <c r="AU785">
        <v>1.01</v>
      </c>
      <c r="AV785">
        <v>0</v>
      </c>
      <c r="AW785">
        <v>28.830000000000002</v>
      </c>
      <c r="AX785">
        <v>0</v>
      </c>
      <c r="AY785">
        <v>88.522000000000006</v>
      </c>
      <c r="AZ785">
        <v>0</v>
      </c>
      <c r="BA785">
        <v>7843710</v>
      </c>
      <c r="BB785">
        <v>4051980</v>
      </c>
      <c r="BC785">
        <v>0</v>
      </c>
      <c r="BD785">
        <v>33817</v>
      </c>
      <c r="BE785">
        <v>0</v>
      </c>
      <c r="BF785">
        <v>33817</v>
      </c>
      <c r="BG785">
        <v>33817</v>
      </c>
      <c r="BH785">
        <v>0</v>
      </c>
      <c r="BI785">
        <v>0</v>
      </c>
      <c r="BJ785">
        <v>0</v>
      </c>
      <c r="BK785">
        <v>0</v>
      </c>
      <c r="BL785">
        <v>312101063</v>
      </c>
      <c r="BM785">
        <v>0</v>
      </c>
      <c r="BN785">
        <v>3636</v>
      </c>
      <c r="BO785">
        <v>2910</v>
      </c>
      <c r="BP785">
        <v>0</v>
      </c>
      <c r="BQ785">
        <v>0</v>
      </c>
      <c r="BR785">
        <v>0.91180000000000005</v>
      </c>
      <c r="BS785">
        <v>0.91180000000000005</v>
      </c>
      <c r="BT785">
        <v>0</v>
      </c>
      <c r="BU785">
        <v>0</v>
      </c>
      <c r="BV785">
        <v>59</v>
      </c>
      <c r="BW785">
        <v>102</v>
      </c>
      <c r="BX785">
        <v>149</v>
      </c>
      <c r="BY785">
        <v>5</v>
      </c>
      <c r="BZ785">
        <v>9</v>
      </c>
      <c r="CA785">
        <v>324</v>
      </c>
      <c r="CB785">
        <v>0</v>
      </c>
      <c r="CC785">
        <v>0</v>
      </c>
      <c r="CD785">
        <v>0</v>
      </c>
      <c r="CE785">
        <v>80</v>
      </c>
      <c r="CF785">
        <v>110.93700000000001</v>
      </c>
      <c r="CG785">
        <v>0</v>
      </c>
      <c r="CH785">
        <v>0</v>
      </c>
      <c r="CI785">
        <v>2</v>
      </c>
      <c r="CJ785">
        <v>11</v>
      </c>
      <c r="CK785">
        <v>0</v>
      </c>
      <c r="CL785">
        <v>0</v>
      </c>
      <c r="CM785">
        <v>20.449000000000002</v>
      </c>
      <c r="CN785">
        <v>0</v>
      </c>
      <c r="CO785">
        <v>0</v>
      </c>
      <c r="CP785">
        <v>0</v>
      </c>
      <c r="CQ785">
        <v>0</v>
      </c>
      <c r="CR785">
        <v>0</v>
      </c>
      <c r="CS785">
        <v>0</v>
      </c>
      <c r="CT785">
        <v>0</v>
      </c>
      <c r="CU785">
        <v>0.33100000000000002</v>
      </c>
      <c r="CV785">
        <v>50.227000000000004</v>
      </c>
      <c r="CW785">
        <v>39.847999999999999</v>
      </c>
      <c r="CX785">
        <v>0</v>
      </c>
      <c r="CY785" s="2043">
        <v>0</v>
      </c>
      <c r="CZ785" s="2043">
        <v>0</v>
      </c>
      <c r="DA785" s="2043">
        <v>0</v>
      </c>
      <c r="DB785" s="2043">
        <v>0</v>
      </c>
      <c r="DC785" s="2043">
        <v>0</v>
      </c>
      <c r="DI785" t="s">
        <v>3114</v>
      </c>
      <c r="DJ785" t="s">
        <v>3114</v>
      </c>
      <c r="DK785" s="2042">
        <f t="shared" si="14"/>
        <v>0</v>
      </c>
    </row>
    <row r="786" spans="1:115">
      <c r="A786" t="s">
        <v>8510</v>
      </c>
      <c r="B786" t="s">
        <v>11379</v>
      </c>
      <c r="C786">
        <v>0</v>
      </c>
      <c r="D786">
        <v>0</v>
      </c>
      <c r="E786">
        <v>0</v>
      </c>
      <c r="F786">
        <v>0</v>
      </c>
      <c r="G786" s="2043">
        <v>0</v>
      </c>
      <c r="H786">
        <v>0</v>
      </c>
      <c r="I786" s="2043">
        <v>0</v>
      </c>
      <c r="J786">
        <v>0</v>
      </c>
      <c r="K786">
        <v>0</v>
      </c>
      <c r="L786">
        <v>0</v>
      </c>
      <c r="M786">
        <v>0</v>
      </c>
      <c r="N786">
        <v>0</v>
      </c>
      <c r="O786">
        <v>0</v>
      </c>
      <c r="P786">
        <v>0</v>
      </c>
      <c r="Q786">
        <v>0</v>
      </c>
      <c r="R786" s="2043">
        <v>0</v>
      </c>
      <c r="S786">
        <v>0</v>
      </c>
      <c r="T786">
        <v>0</v>
      </c>
      <c r="U786">
        <v>0</v>
      </c>
      <c r="V786">
        <v>0</v>
      </c>
      <c r="W786">
        <v>0</v>
      </c>
      <c r="X786">
        <v>0</v>
      </c>
      <c r="Y786">
        <v>116200</v>
      </c>
      <c r="Z786">
        <v>0</v>
      </c>
      <c r="AA786">
        <v>0</v>
      </c>
      <c r="AB786">
        <v>0</v>
      </c>
      <c r="AC786" s="2043">
        <v>0</v>
      </c>
      <c r="AD786">
        <v>0</v>
      </c>
      <c r="AE786" s="2043">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116200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s="2043">
        <v>0</v>
      </c>
      <c r="CZ786" s="2043">
        <v>0</v>
      </c>
      <c r="DA786" s="2043">
        <v>0</v>
      </c>
      <c r="DB786" s="2043">
        <v>0</v>
      </c>
      <c r="DC786" s="2043">
        <v>0</v>
      </c>
      <c r="DI786" t="s">
        <v>8510</v>
      </c>
      <c r="DJ786" t="s">
        <v>8510</v>
      </c>
      <c r="DK786" s="2042">
        <f t="shared" si="14"/>
        <v>0</v>
      </c>
    </row>
    <row r="787" spans="1:115">
      <c r="A787" t="s">
        <v>5162</v>
      </c>
      <c r="B787" t="s">
        <v>2221</v>
      </c>
      <c r="C787">
        <v>279.85200000000003</v>
      </c>
      <c r="D787">
        <v>274.34500000000003</v>
      </c>
      <c r="E787">
        <v>18.612000000000002</v>
      </c>
      <c r="F787">
        <v>0</v>
      </c>
      <c r="G787" s="2043">
        <v>101665988</v>
      </c>
      <c r="H787">
        <v>0</v>
      </c>
      <c r="I787" s="2043">
        <v>951145</v>
      </c>
      <c r="J787">
        <v>13.993</v>
      </c>
      <c r="K787">
        <v>38</v>
      </c>
      <c r="L787">
        <v>0</v>
      </c>
      <c r="M787">
        <v>0</v>
      </c>
      <c r="N787">
        <v>0</v>
      </c>
      <c r="O787">
        <v>0</v>
      </c>
      <c r="P787">
        <v>0</v>
      </c>
      <c r="Q787">
        <v>0</v>
      </c>
      <c r="R787" s="2043">
        <v>889438</v>
      </c>
      <c r="S787">
        <v>77901</v>
      </c>
      <c r="T787">
        <v>4869</v>
      </c>
      <c r="U787">
        <v>0.08</v>
      </c>
      <c r="V787">
        <v>0</v>
      </c>
      <c r="W787">
        <v>0</v>
      </c>
      <c r="X787">
        <v>0</v>
      </c>
      <c r="Y787">
        <v>0</v>
      </c>
      <c r="Z787">
        <v>0</v>
      </c>
      <c r="AA787">
        <v>0</v>
      </c>
      <c r="AB787">
        <v>271.101</v>
      </c>
      <c r="AC787" s="2043">
        <v>119926363</v>
      </c>
      <c r="AD787">
        <v>810226</v>
      </c>
      <c r="AE787" s="2043">
        <v>972208</v>
      </c>
      <c r="AF787">
        <v>0.99840000000000007</v>
      </c>
      <c r="AG787">
        <v>0</v>
      </c>
      <c r="AH787">
        <v>0</v>
      </c>
      <c r="AI787">
        <v>0</v>
      </c>
      <c r="AJ787">
        <v>50.788000000000004</v>
      </c>
      <c r="AK787">
        <v>1438</v>
      </c>
      <c r="AL787">
        <v>0</v>
      </c>
      <c r="AM787">
        <v>0</v>
      </c>
      <c r="AN787">
        <v>16.823</v>
      </c>
      <c r="AO787">
        <v>0</v>
      </c>
      <c r="AP787">
        <v>1.2450000000000001</v>
      </c>
      <c r="AQ787">
        <v>0</v>
      </c>
      <c r="AR787">
        <v>5.0140000000000002</v>
      </c>
      <c r="AS787">
        <v>0</v>
      </c>
      <c r="AT787">
        <v>0</v>
      </c>
      <c r="AU787">
        <v>0.68600000000000005</v>
      </c>
      <c r="AV787">
        <v>0</v>
      </c>
      <c r="AW787">
        <v>6.9450000000000003</v>
      </c>
      <c r="AX787">
        <v>0</v>
      </c>
      <c r="AY787">
        <v>21.834</v>
      </c>
      <c r="AZ787">
        <v>0</v>
      </c>
      <c r="BA787">
        <v>3097988</v>
      </c>
      <c r="BB787">
        <v>1782434</v>
      </c>
      <c r="BC787">
        <v>0</v>
      </c>
      <c r="BD787">
        <v>67660</v>
      </c>
      <c r="BE787">
        <v>0</v>
      </c>
      <c r="BF787">
        <v>67660</v>
      </c>
      <c r="BG787">
        <v>67660</v>
      </c>
      <c r="BH787">
        <v>0</v>
      </c>
      <c r="BI787">
        <v>0</v>
      </c>
      <c r="BJ787">
        <v>0</v>
      </c>
      <c r="BK787">
        <v>0</v>
      </c>
      <c r="BL787">
        <v>101665988</v>
      </c>
      <c r="BM787">
        <v>0</v>
      </c>
      <c r="BN787">
        <v>927</v>
      </c>
      <c r="BO787">
        <v>845</v>
      </c>
      <c r="BP787">
        <v>106711</v>
      </c>
      <c r="BQ787">
        <v>0</v>
      </c>
      <c r="BR787">
        <v>0.91339999999999999</v>
      </c>
      <c r="BS787">
        <v>0.91339999999999999</v>
      </c>
      <c r="BT787">
        <v>0</v>
      </c>
      <c r="BU787">
        <v>0</v>
      </c>
      <c r="BV787">
        <v>29</v>
      </c>
      <c r="BW787">
        <v>21</v>
      </c>
      <c r="BX787">
        <v>142</v>
      </c>
      <c r="BY787">
        <v>6</v>
      </c>
      <c r="BZ787">
        <v>8</v>
      </c>
      <c r="CA787">
        <v>206</v>
      </c>
      <c r="CB787">
        <v>0</v>
      </c>
      <c r="CC787">
        <v>0</v>
      </c>
      <c r="CD787">
        <v>0</v>
      </c>
      <c r="CE787">
        <v>28</v>
      </c>
      <c r="CF787">
        <v>55.410000000000004</v>
      </c>
      <c r="CG787">
        <v>0</v>
      </c>
      <c r="CH787">
        <v>0</v>
      </c>
      <c r="CI787">
        <v>1</v>
      </c>
      <c r="CJ787">
        <v>0</v>
      </c>
      <c r="CK787">
        <v>0</v>
      </c>
      <c r="CL787">
        <v>0</v>
      </c>
      <c r="CM787">
        <v>18.612000000000002</v>
      </c>
      <c r="CN787">
        <v>52396</v>
      </c>
      <c r="CO787">
        <v>29038</v>
      </c>
      <c r="CP787">
        <v>21777</v>
      </c>
      <c r="CQ787">
        <v>3500</v>
      </c>
      <c r="CR787">
        <v>0</v>
      </c>
      <c r="CS787">
        <v>0</v>
      </c>
      <c r="CT787">
        <v>0</v>
      </c>
      <c r="CU787">
        <v>0</v>
      </c>
      <c r="CV787">
        <v>24.25</v>
      </c>
      <c r="CW787">
        <v>3.8740000000000001</v>
      </c>
      <c r="CX787">
        <v>0</v>
      </c>
      <c r="CY787" s="2043">
        <v>0</v>
      </c>
      <c r="CZ787" s="2043">
        <v>0</v>
      </c>
      <c r="DA787" s="2043">
        <v>0</v>
      </c>
      <c r="DB787" s="2043">
        <v>0</v>
      </c>
      <c r="DC787" s="2043">
        <v>0</v>
      </c>
      <c r="DI787" t="s">
        <v>5162</v>
      </c>
      <c r="DJ787" t="s">
        <v>5162</v>
      </c>
      <c r="DK787" s="2042">
        <f t="shared" si="14"/>
        <v>0</v>
      </c>
    </row>
    <row r="788" spans="1:115">
      <c r="A788" t="s">
        <v>5845</v>
      </c>
      <c r="B788" t="s">
        <v>2222</v>
      </c>
      <c r="C788">
        <v>540.529</v>
      </c>
      <c r="D788">
        <v>531.31400000000008</v>
      </c>
      <c r="E788">
        <v>8.8580000000000005</v>
      </c>
      <c r="F788">
        <v>0</v>
      </c>
      <c r="G788" s="2043">
        <v>188259294</v>
      </c>
      <c r="H788">
        <v>0</v>
      </c>
      <c r="I788" s="2043">
        <v>1254715</v>
      </c>
      <c r="J788">
        <v>27.026</v>
      </c>
      <c r="K788">
        <v>74</v>
      </c>
      <c r="L788">
        <v>0</v>
      </c>
      <c r="M788">
        <v>0</v>
      </c>
      <c r="N788">
        <v>0</v>
      </c>
      <c r="O788">
        <v>0</v>
      </c>
      <c r="P788">
        <v>0</v>
      </c>
      <c r="Q788">
        <v>0</v>
      </c>
      <c r="R788" s="2043">
        <v>1718616</v>
      </c>
      <c r="S788">
        <v>152039</v>
      </c>
      <c r="T788">
        <v>110799</v>
      </c>
      <c r="U788">
        <v>0.08</v>
      </c>
      <c r="V788">
        <v>0</v>
      </c>
      <c r="W788">
        <v>0</v>
      </c>
      <c r="X788">
        <v>0</v>
      </c>
      <c r="Y788">
        <v>0</v>
      </c>
      <c r="Z788">
        <v>0</v>
      </c>
      <c r="AA788">
        <v>0</v>
      </c>
      <c r="AB788">
        <v>531.31400000000008</v>
      </c>
      <c r="AC788" s="2043">
        <v>149732534</v>
      </c>
      <c r="AD788">
        <v>1310680</v>
      </c>
      <c r="AE788" s="2043">
        <v>1981454</v>
      </c>
      <c r="AF788">
        <v>1.0426</v>
      </c>
      <c r="AG788">
        <v>0</v>
      </c>
      <c r="AH788">
        <v>0</v>
      </c>
      <c r="AI788">
        <v>0</v>
      </c>
      <c r="AJ788">
        <v>94.538000000000011</v>
      </c>
      <c r="AK788">
        <v>3129</v>
      </c>
      <c r="AL788">
        <v>0</v>
      </c>
      <c r="AM788">
        <v>0</v>
      </c>
      <c r="AN788">
        <v>41.011000000000003</v>
      </c>
      <c r="AO788">
        <v>0</v>
      </c>
      <c r="AP788">
        <v>0</v>
      </c>
      <c r="AQ788">
        <v>0</v>
      </c>
      <c r="AR788">
        <v>8.1170000000000009</v>
      </c>
      <c r="AS788">
        <v>0</v>
      </c>
      <c r="AT788">
        <v>6.1080000000000005</v>
      </c>
      <c r="AU788">
        <v>1.0510000000000002</v>
      </c>
      <c r="AV788">
        <v>0</v>
      </c>
      <c r="AW788">
        <v>15.276000000000002</v>
      </c>
      <c r="AX788">
        <v>0</v>
      </c>
      <c r="AY788">
        <v>47.93</v>
      </c>
      <c r="AZ788">
        <v>0</v>
      </c>
      <c r="BA788">
        <v>5719377</v>
      </c>
      <c r="BB788">
        <v>3292134</v>
      </c>
      <c r="BC788">
        <v>0</v>
      </c>
      <c r="BD788">
        <v>30975</v>
      </c>
      <c r="BE788">
        <v>20917</v>
      </c>
      <c r="BF788">
        <v>51892</v>
      </c>
      <c r="BG788">
        <v>30975</v>
      </c>
      <c r="BH788">
        <v>0</v>
      </c>
      <c r="BI788">
        <v>0</v>
      </c>
      <c r="BJ788">
        <v>0</v>
      </c>
      <c r="BK788">
        <v>0</v>
      </c>
      <c r="BL788">
        <v>188259294</v>
      </c>
      <c r="BM788">
        <v>0</v>
      </c>
      <c r="BN788">
        <v>2034</v>
      </c>
      <c r="BO788">
        <v>1691</v>
      </c>
      <c r="BP788">
        <v>0</v>
      </c>
      <c r="BQ788">
        <v>0</v>
      </c>
      <c r="BR788">
        <v>0.90429999999999999</v>
      </c>
      <c r="BS788">
        <v>0.90429999999999999</v>
      </c>
      <c r="BT788">
        <v>0</v>
      </c>
      <c r="BU788">
        <v>0</v>
      </c>
      <c r="BV788">
        <v>2</v>
      </c>
      <c r="BW788">
        <v>159</v>
      </c>
      <c r="BX788">
        <v>13</v>
      </c>
      <c r="BY788">
        <v>0</v>
      </c>
      <c r="BZ788">
        <v>193</v>
      </c>
      <c r="CA788">
        <v>367</v>
      </c>
      <c r="CB788">
        <v>0</v>
      </c>
      <c r="CC788">
        <v>0</v>
      </c>
      <c r="CD788">
        <v>0</v>
      </c>
      <c r="CE788">
        <v>49</v>
      </c>
      <c r="CF788">
        <v>104.51300000000001</v>
      </c>
      <c r="CG788">
        <v>0</v>
      </c>
      <c r="CH788">
        <v>0</v>
      </c>
      <c r="CI788">
        <v>2</v>
      </c>
      <c r="CJ788">
        <v>4</v>
      </c>
      <c r="CK788">
        <v>1</v>
      </c>
      <c r="CL788">
        <v>0</v>
      </c>
      <c r="CM788">
        <v>8.8580000000000005</v>
      </c>
      <c r="CN788">
        <v>0</v>
      </c>
      <c r="CO788">
        <v>0</v>
      </c>
      <c r="CP788">
        <v>0</v>
      </c>
      <c r="CQ788">
        <v>0</v>
      </c>
      <c r="CR788">
        <v>0</v>
      </c>
      <c r="CS788">
        <v>0</v>
      </c>
      <c r="CT788">
        <v>0</v>
      </c>
      <c r="CU788">
        <v>0</v>
      </c>
      <c r="CV788">
        <v>37.807000000000002</v>
      </c>
      <c r="CW788">
        <v>19.223000000000003</v>
      </c>
      <c r="CX788">
        <v>0</v>
      </c>
      <c r="CY788" s="2043">
        <v>0</v>
      </c>
      <c r="CZ788" s="2043">
        <v>0</v>
      </c>
      <c r="DA788" s="2043">
        <v>0</v>
      </c>
      <c r="DB788" s="2043">
        <v>0</v>
      </c>
      <c r="DC788" s="2043">
        <v>0</v>
      </c>
      <c r="DI788" t="s">
        <v>5845</v>
      </c>
      <c r="DJ788" t="s">
        <v>5845</v>
      </c>
      <c r="DK788" s="2042">
        <f t="shared" si="14"/>
        <v>0</v>
      </c>
    </row>
    <row r="789" spans="1:115">
      <c r="A789" t="s">
        <v>5163</v>
      </c>
      <c r="B789" t="s">
        <v>2223</v>
      </c>
      <c r="C789">
        <v>543.84900000000005</v>
      </c>
      <c r="D789">
        <v>525.88700000000006</v>
      </c>
      <c r="E789">
        <v>9.9340000000000011</v>
      </c>
      <c r="F789">
        <v>0</v>
      </c>
      <c r="G789" s="2043">
        <v>153173888</v>
      </c>
      <c r="H789">
        <v>0</v>
      </c>
      <c r="I789" s="2043">
        <v>863163</v>
      </c>
      <c r="J789">
        <v>27.192</v>
      </c>
      <c r="K789">
        <v>74</v>
      </c>
      <c r="L789">
        <v>0</v>
      </c>
      <c r="M789">
        <v>0</v>
      </c>
      <c r="N789">
        <v>0</v>
      </c>
      <c r="O789">
        <v>0</v>
      </c>
      <c r="P789">
        <v>0</v>
      </c>
      <c r="Q789">
        <v>0</v>
      </c>
      <c r="R789" s="2043">
        <v>1224877</v>
      </c>
      <c r="S789">
        <v>119209</v>
      </c>
      <c r="T789">
        <v>86874</v>
      </c>
      <c r="U789">
        <v>0.08</v>
      </c>
      <c r="V789">
        <v>0</v>
      </c>
      <c r="W789">
        <v>0</v>
      </c>
      <c r="X789">
        <v>0</v>
      </c>
      <c r="Y789">
        <v>0</v>
      </c>
      <c r="Z789">
        <v>0</v>
      </c>
      <c r="AA789">
        <v>0</v>
      </c>
      <c r="AB789">
        <v>519.16</v>
      </c>
      <c r="AC789" s="2043">
        <v>104470936</v>
      </c>
      <c r="AD789">
        <v>767670</v>
      </c>
      <c r="AE789" s="2043">
        <v>1430960</v>
      </c>
      <c r="AF789">
        <v>0.96030000000000004</v>
      </c>
      <c r="AG789">
        <v>0</v>
      </c>
      <c r="AH789">
        <v>0</v>
      </c>
      <c r="AI789">
        <v>0</v>
      </c>
      <c r="AJ789">
        <v>18.100000000000001</v>
      </c>
      <c r="AK789">
        <v>767</v>
      </c>
      <c r="AL789">
        <v>0</v>
      </c>
      <c r="AM789">
        <v>0</v>
      </c>
      <c r="AN789">
        <v>7.1930000000000005</v>
      </c>
      <c r="AO789">
        <v>0</v>
      </c>
      <c r="AP789">
        <v>1.143</v>
      </c>
      <c r="AQ789">
        <v>0</v>
      </c>
      <c r="AR789">
        <v>3.3360000000000003</v>
      </c>
      <c r="AS789">
        <v>0</v>
      </c>
      <c r="AT789">
        <v>0</v>
      </c>
      <c r="AU789">
        <v>0.443</v>
      </c>
      <c r="AV789">
        <v>0</v>
      </c>
      <c r="AW789">
        <v>4.9220000000000006</v>
      </c>
      <c r="AX789">
        <v>0</v>
      </c>
      <c r="AY789">
        <v>15.309000000000001</v>
      </c>
      <c r="AZ789">
        <v>0</v>
      </c>
      <c r="BA789">
        <v>4873169</v>
      </c>
      <c r="BB789">
        <v>2198630</v>
      </c>
      <c r="BC789">
        <v>0</v>
      </c>
      <c r="BD789">
        <v>30617</v>
      </c>
      <c r="BE789">
        <v>0</v>
      </c>
      <c r="BF789">
        <v>30617</v>
      </c>
      <c r="BG789">
        <v>30617</v>
      </c>
      <c r="BH789">
        <v>0</v>
      </c>
      <c r="BI789">
        <v>0</v>
      </c>
      <c r="BJ789">
        <v>0</v>
      </c>
      <c r="BK789">
        <v>0</v>
      </c>
      <c r="BL789">
        <v>153173888</v>
      </c>
      <c r="BM789">
        <v>0</v>
      </c>
      <c r="BN789">
        <v>1404</v>
      </c>
      <c r="BO789">
        <v>1231</v>
      </c>
      <c r="BP789">
        <v>0</v>
      </c>
      <c r="BQ789">
        <v>0</v>
      </c>
      <c r="BR789">
        <v>0.82200000000000006</v>
      </c>
      <c r="BS789">
        <v>0.82200000000000006</v>
      </c>
      <c r="BT789">
        <v>0</v>
      </c>
      <c r="BU789">
        <v>0</v>
      </c>
      <c r="BV789">
        <v>8</v>
      </c>
      <c r="BW789">
        <v>63</v>
      </c>
      <c r="BX789">
        <v>0</v>
      </c>
      <c r="BY789">
        <v>3</v>
      </c>
      <c r="BZ789">
        <v>2</v>
      </c>
      <c r="CA789">
        <v>76</v>
      </c>
      <c r="CB789">
        <v>0</v>
      </c>
      <c r="CC789">
        <v>0</v>
      </c>
      <c r="CD789">
        <v>0</v>
      </c>
      <c r="CE789">
        <v>24</v>
      </c>
      <c r="CF789">
        <v>25.233000000000001</v>
      </c>
      <c r="CG789">
        <v>0</v>
      </c>
      <c r="CH789">
        <v>0</v>
      </c>
      <c r="CI789">
        <v>2</v>
      </c>
      <c r="CJ789">
        <v>3</v>
      </c>
      <c r="CK789">
        <v>0</v>
      </c>
      <c r="CL789">
        <v>0</v>
      </c>
      <c r="CM789">
        <v>9.9340000000000011</v>
      </c>
      <c r="CN789">
        <v>0</v>
      </c>
      <c r="CO789">
        <v>0</v>
      </c>
      <c r="CP789">
        <v>0</v>
      </c>
      <c r="CQ789">
        <v>0</v>
      </c>
      <c r="CR789">
        <v>0</v>
      </c>
      <c r="CS789">
        <v>0</v>
      </c>
      <c r="CT789">
        <v>0</v>
      </c>
      <c r="CU789">
        <v>0</v>
      </c>
      <c r="CV789">
        <v>19.393000000000001</v>
      </c>
      <c r="CW789">
        <v>9.5620000000000012</v>
      </c>
      <c r="CX789">
        <v>0</v>
      </c>
      <c r="CY789" s="2043">
        <v>0</v>
      </c>
      <c r="CZ789" s="2043">
        <v>0</v>
      </c>
      <c r="DA789" s="2043">
        <v>0</v>
      </c>
      <c r="DB789" s="2043">
        <v>0</v>
      </c>
      <c r="DC789" s="2043">
        <v>0</v>
      </c>
      <c r="DI789" t="s">
        <v>5163</v>
      </c>
      <c r="DJ789" t="s">
        <v>5163</v>
      </c>
      <c r="DK789" s="2042">
        <f t="shared" si="14"/>
        <v>0</v>
      </c>
    </row>
    <row r="790" spans="1:115">
      <c r="A790" t="s">
        <v>5846</v>
      </c>
      <c r="B790" t="s">
        <v>1378</v>
      </c>
      <c r="C790">
        <v>118.843</v>
      </c>
      <c r="D790">
        <v>162.62800000000001</v>
      </c>
      <c r="E790">
        <v>8</v>
      </c>
      <c r="F790">
        <v>0</v>
      </c>
      <c r="G790" s="2043">
        <v>82173318</v>
      </c>
      <c r="H790">
        <v>0</v>
      </c>
      <c r="I790" s="2043">
        <v>603500</v>
      </c>
      <c r="J790">
        <v>5.9420000000000002</v>
      </c>
      <c r="K790">
        <v>16</v>
      </c>
      <c r="L790">
        <v>0</v>
      </c>
      <c r="M790">
        <v>0</v>
      </c>
      <c r="N790">
        <v>0</v>
      </c>
      <c r="O790">
        <v>0</v>
      </c>
      <c r="P790">
        <v>0</v>
      </c>
      <c r="Q790">
        <v>0</v>
      </c>
      <c r="R790" s="2043">
        <v>671338</v>
      </c>
      <c r="S790">
        <v>65123</v>
      </c>
      <c r="T790">
        <v>47459</v>
      </c>
      <c r="U790">
        <v>0.08</v>
      </c>
      <c r="V790">
        <v>0</v>
      </c>
      <c r="W790">
        <v>0</v>
      </c>
      <c r="X790">
        <v>0</v>
      </c>
      <c r="Y790">
        <v>0</v>
      </c>
      <c r="Z790">
        <v>1.7870000000000001</v>
      </c>
      <c r="AA790">
        <v>0</v>
      </c>
      <c r="AB790">
        <v>140.459</v>
      </c>
      <c r="AC790" s="2043">
        <v>52970188</v>
      </c>
      <c r="AD790">
        <v>706262</v>
      </c>
      <c r="AE790" s="2043">
        <v>783920</v>
      </c>
      <c r="AF790">
        <v>0.96300000000000008</v>
      </c>
      <c r="AG790">
        <v>0</v>
      </c>
      <c r="AH790">
        <v>0</v>
      </c>
      <c r="AI790">
        <v>0</v>
      </c>
      <c r="AJ790">
        <v>25.088000000000001</v>
      </c>
      <c r="AK790">
        <v>695</v>
      </c>
      <c r="AL790">
        <v>0</v>
      </c>
      <c r="AM790">
        <v>0</v>
      </c>
      <c r="AN790">
        <v>8.718</v>
      </c>
      <c r="AO790">
        <v>0</v>
      </c>
      <c r="AP790">
        <v>0</v>
      </c>
      <c r="AQ790">
        <v>0</v>
      </c>
      <c r="AR790">
        <v>2.7120000000000002</v>
      </c>
      <c r="AS790">
        <v>0</v>
      </c>
      <c r="AT790">
        <v>0</v>
      </c>
      <c r="AU790">
        <v>0.23200000000000001</v>
      </c>
      <c r="AV790">
        <v>0</v>
      </c>
      <c r="AW790">
        <v>2.944</v>
      </c>
      <c r="AX790">
        <v>0</v>
      </c>
      <c r="AY790">
        <v>9.2960000000000012</v>
      </c>
      <c r="AZ790">
        <v>0</v>
      </c>
      <c r="BA790">
        <v>1344285</v>
      </c>
      <c r="BB790">
        <v>1490182</v>
      </c>
      <c r="BC790">
        <v>0</v>
      </c>
      <c r="BD790">
        <v>25896</v>
      </c>
      <c r="BE790">
        <v>2415</v>
      </c>
      <c r="BF790">
        <v>33293</v>
      </c>
      <c r="BG790">
        <v>25896</v>
      </c>
      <c r="BH790">
        <v>4982</v>
      </c>
      <c r="BI790">
        <v>0</v>
      </c>
      <c r="BJ790">
        <v>0</v>
      </c>
      <c r="BK790">
        <v>0</v>
      </c>
      <c r="BL790">
        <v>82173318</v>
      </c>
      <c r="BM790">
        <v>0</v>
      </c>
      <c r="BN790">
        <v>450</v>
      </c>
      <c r="BO790">
        <v>482</v>
      </c>
      <c r="BP790">
        <v>0</v>
      </c>
      <c r="BQ790">
        <v>0</v>
      </c>
      <c r="BR790">
        <v>0.82469999999999999</v>
      </c>
      <c r="BS790">
        <v>0.82469999999999999</v>
      </c>
      <c r="BT790">
        <v>0</v>
      </c>
      <c r="BU790">
        <v>0</v>
      </c>
      <c r="BV790">
        <v>10</v>
      </c>
      <c r="BW790">
        <v>81</v>
      </c>
      <c r="BX790">
        <v>8</v>
      </c>
      <c r="BY790">
        <v>4</v>
      </c>
      <c r="BZ790">
        <v>2</v>
      </c>
      <c r="CA790">
        <v>105</v>
      </c>
      <c r="CB790">
        <v>0</v>
      </c>
      <c r="CC790">
        <v>0</v>
      </c>
      <c r="CD790">
        <v>0</v>
      </c>
      <c r="CE790">
        <v>2</v>
      </c>
      <c r="CF790">
        <v>33.355000000000004</v>
      </c>
      <c r="CG790">
        <v>0</v>
      </c>
      <c r="CH790">
        <v>0</v>
      </c>
      <c r="CI790">
        <v>1</v>
      </c>
      <c r="CJ790">
        <v>1</v>
      </c>
      <c r="CK790">
        <v>0</v>
      </c>
      <c r="CL790">
        <v>0</v>
      </c>
      <c r="CM790">
        <v>8</v>
      </c>
      <c r="CN790">
        <v>0</v>
      </c>
      <c r="CO790">
        <v>0</v>
      </c>
      <c r="CP790">
        <v>0</v>
      </c>
      <c r="CQ790">
        <v>0</v>
      </c>
      <c r="CR790">
        <v>0</v>
      </c>
      <c r="CS790">
        <v>0</v>
      </c>
      <c r="CT790">
        <v>0</v>
      </c>
      <c r="CU790">
        <v>0</v>
      </c>
      <c r="CV790">
        <v>9.5080000000000009</v>
      </c>
      <c r="CW790">
        <v>1.202</v>
      </c>
      <c r="CX790">
        <v>0</v>
      </c>
      <c r="CY790" s="2043">
        <v>0</v>
      </c>
      <c r="CZ790" s="2043">
        <v>0</v>
      </c>
      <c r="DA790" s="2043">
        <v>0</v>
      </c>
      <c r="DB790" s="2043">
        <v>0</v>
      </c>
      <c r="DC790" s="2043">
        <v>0</v>
      </c>
      <c r="DI790" t="s">
        <v>5846</v>
      </c>
      <c r="DJ790" t="s">
        <v>5846</v>
      </c>
      <c r="DK790" s="2042">
        <f t="shared" si="14"/>
        <v>0</v>
      </c>
    </row>
    <row r="791" spans="1:115">
      <c r="A791" t="s">
        <v>3115</v>
      </c>
      <c r="B791" t="s">
        <v>1977</v>
      </c>
      <c r="C791">
        <v>2141.6779999999999</v>
      </c>
      <c r="D791">
        <v>2241.4790000000003</v>
      </c>
      <c r="E791">
        <v>363.976</v>
      </c>
      <c r="F791">
        <v>0</v>
      </c>
      <c r="G791" s="2043">
        <v>933099630</v>
      </c>
      <c r="H791">
        <v>0</v>
      </c>
      <c r="I791" s="2043">
        <v>1495950</v>
      </c>
      <c r="J791">
        <v>21</v>
      </c>
      <c r="K791">
        <v>57</v>
      </c>
      <c r="L791">
        <v>0</v>
      </c>
      <c r="M791">
        <v>417150</v>
      </c>
      <c r="N791">
        <v>0</v>
      </c>
      <c r="O791">
        <v>417150</v>
      </c>
      <c r="P791">
        <v>0</v>
      </c>
      <c r="Q791">
        <v>0</v>
      </c>
      <c r="R791" s="2043">
        <v>8054083</v>
      </c>
      <c r="S791">
        <v>730943</v>
      </c>
      <c r="T791">
        <v>532676</v>
      </c>
      <c r="U791">
        <v>0.08</v>
      </c>
      <c r="V791">
        <v>0</v>
      </c>
      <c r="W791">
        <v>0</v>
      </c>
      <c r="X791">
        <v>0</v>
      </c>
      <c r="Y791">
        <v>0</v>
      </c>
      <c r="Z791">
        <v>0</v>
      </c>
      <c r="AA791">
        <v>0.29100000000000004</v>
      </c>
      <c r="AB791">
        <v>2104.8150000000001</v>
      </c>
      <c r="AC791" s="2043">
        <v>841035246</v>
      </c>
      <c r="AD791">
        <v>1453668</v>
      </c>
      <c r="AE791" s="2043">
        <v>9317702</v>
      </c>
      <c r="AF791">
        <v>1.0198</v>
      </c>
      <c r="AG791">
        <v>0</v>
      </c>
      <c r="AH791">
        <v>0</v>
      </c>
      <c r="AI791">
        <v>0</v>
      </c>
      <c r="AJ791">
        <v>419.91300000000001</v>
      </c>
      <c r="AK791">
        <v>5516</v>
      </c>
      <c r="AL791">
        <v>0.13600000000000001</v>
      </c>
      <c r="AM791">
        <v>0</v>
      </c>
      <c r="AN791">
        <v>99.419000000000011</v>
      </c>
      <c r="AO791">
        <v>1</v>
      </c>
      <c r="AP791">
        <v>0</v>
      </c>
      <c r="AQ791">
        <v>0</v>
      </c>
      <c r="AR791">
        <v>16.141000000000002</v>
      </c>
      <c r="AS791">
        <v>0</v>
      </c>
      <c r="AT791">
        <v>12.290000000000001</v>
      </c>
      <c r="AU791">
        <v>4.3490000000000002</v>
      </c>
      <c r="AV791">
        <v>0</v>
      </c>
      <c r="AW791">
        <v>33.789000000000001</v>
      </c>
      <c r="AX791">
        <v>0.873</v>
      </c>
      <c r="AY791">
        <v>109.726</v>
      </c>
      <c r="AZ791">
        <v>0</v>
      </c>
      <c r="BA791">
        <v>13624654</v>
      </c>
      <c r="BB791">
        <v>10771370</v>
      </c>
      <c r="BC791">
        <v>0</v>
      </c>
      <c r="BD791">
        <v>164509</v>
      </c>
      <c r="BE791">
        <v>35512</v>
      </c>
      <c r="BF791">
        <v>200021</v>
      </c>
      <c r="BG791">
        <v>164509</v>
      </c>
      <c r="BH791">
        <v>0</v>
      </c>
      <c r="BI791">
        <v>0</v>
      </c>
      <c r="BJ791">
        <v>0</v>
      </c>
      <c r="BK791">
        <v>0</v>
      </c>
      <c r="BL791">
        <v>933099630</v>
      </c>
      <c r="BM791">
        <v>0</v>
      </c>
      <c r="BN791">
        <v>7785</v>
      </c>
      <c r="BO791">
        <v>4312</v>
      </c>
      <c r="BP791">
        <v>0</v>
      </c>
      <c r="BQ791">
        <v>0</v>
      </c>
      <c r="BR791">
        <v>0.88150000000000006</v>
      </c>
      <c r="BS791">
        <v>0.88150000000000006</v>
      </c>
      <c r="BT791">
        <v>0</v>
      </c>
      <c r="BU791">
        <v>0</v>
      </c>
      <c r="BV791">
        <v>89</v>
      </c>
      <c r="BW791">
        <v>432</v>
      </c>
      <c r="BX791">
        <v>934</v>
      </c>
      <c r="BY791">
        <v>243</v>
      </c>
      <c r="BZ791">
        <v>0</v>
      </c>
      <c r="CA791">
        <v>1698</v>
      </c>
      <c r="CB791">
        <v>0</v>
      </c>
      <c r="CC791">
        <v>0</v>
      </c>
      <c r="CD791">
        <v>0</v>
      </c>
      <c r="CE791">
        <v>14</v>
      </c>
      <c r="CF791">
        <v>638.21800000000007</v>
      </c>
      <c r="CG791">
        <v>0</v>
      </c>
      <c r="CH791">
        <v>0</v>
      </c>
      <c r="CI791">
        <v>6</v>
      </c>
      <c r="CJ791">
        <v>12</v>
      </c>
      <c r="CK791">
        <v>1</v>
      </c>
      <c r="CL791">
        <v>0</v>
      </c>
      <c r="CM791">
        <v>363.976</v>
      </c>
      <c r="CN791">
        <v>0</v>
      </c>
      <c r="CO791">
        <v>0</v>
      </c>
      <c r="CP791">
        <v>0</v>
      </c>
      <c r="CQ791">
        <v>0</v>
      </c>
      <c r="CR791">
        <v>0</v>
      </c>
      <c r="CS791">
        <v>0</v>
      </c>
      <c r="CT791">
        <v>0</v>
      </c>
      <c r="CU791">
        <v>16.262</v>
      </c>
      <c r="CV791">
        <v>167.786</v>
      </c>
      <c r="CW791">
        <v>81.457000000000008</v>
      </c>
      <c r="CX791">
        <v>0</v>
      </c>
      <c r="CY791" s="2043">
        <v>0</v>
      </c>
      <c r="CZ791" s="2043">
        <v>0</v>
      </c>
      <c r="DA791" s="2043">
        <v>0</v>
      </c>
      <c r="DB791" s="2043">
        <v>0</v>
      </c>
      <c r="DC791" s="2043">
        <v>0</v>
      </c>
      <c r="DI791" t="s">
        <v>3115</v>
      </c>
      <c r="DJ791" t="s">
        <v>3115</v>
      </c>
      <c r="DK791" s="2042">
        <f t="shared" si="14"/>
        <v>0</v>
      </c>
    </row>
    <row r="792" spans="1:115">
      <c r="A792" t="s">
        <v>3116</v>
      </c>
      <c r="B792" t="s">
        <v>1379</v>
      </c>
      <c r="C792">
        <v>294.85000000000002</v>
      </c>
      <c r="D792">
        <v>280.13800000000003</v>
      </c>
      <c r="E792">
        <v>6.55</v>
      </c>
      <c r="F792">
        <v>0</v>
      </c>
      <c r="G792" s="2043">
        <v>223708812</v>
      </c>
      <c r="H792">
        <v>0</v>
      </c>
      <c r="I792" s="2043">
        <v>361650</v>
      </c>
      <c r="J792">
        <v>10</v>
      </c>
      <c r="K792">
        <v>27</v>
      </c>
      <c r="L792">
        <v>0</v>
      </c>
      <c r="M792">
        <v>100000</v>
      </c>
      <c r="N792">
        <v>0</v>
      </c>
      <c r="O792">
        <v>100000</v>
      </c>
      <c r="P792">
        <v>0</v>
      </c>
      <c r="Q792">
        <v>0</v>
      </c>
      <c r="R792" s="2043">
        <v>2034114</v>
      </c>
      <c r="S792">
        <v>178158</v>
      </c>
      <c r="T792">
        <v>28728</v>
      </c>
      <c r="U792">
        <v>0.08</v>
      </c>
      <c r="V792">
        <v>0</v>
      </c>
      <c r="W792">
        <v>0</v>
      </c>
      <c r="X792">
        <v>0</v>
      </c>
      <c r="Y792">
        <v>0</v>
      </c>
      <c r="Z792">
        <v>0</v>
      </c>
      <c r="AA792">
        <v>0</v>
      </c>
      <c r="AB792">
        <v>280.13800000000003</v>
      </c>
      <c r="AC792" s="2043">
        <v>228868151</v>
      </c>
      <c r="AD792">
        <v>372175</v>
      </c>
      <c r="AE792" s="2043">
        <v>2241000</v>
      </c>
      <c r="AF792">
        <v>1.0063</v>
      </c>
      <c r="AG792">
        <v>0</v>
      </c>
      <c r="AH792">
        <v>0</v>
      </c>
      <c r="AI792">
        <v>0</v>
      </c>
      <c r="AJ792">
        <v>47.775000000000006</v>
      </c>
      <c r="AK792">
        <v>1464</v>
      </c>
      <c r="AL792">
        <v>0</v>
      </c>
      <c r="AM792">
        <v>0</v>
      </c>
      <c r="AN792">
        <v>13.864000000000001</v>
      </c>
      <c r="AO792">
        <v>0</v>
      </c>
      <c r="AP792">
        <v>0</v>
      </c>
      <c r="AQ792">
        <v>0</v>
      </c>
      <c r="AR792">
        <v>5.5020000000000007</v>
      </c>
      <c r="AS792">
        <v>0</v>
      </c>
      <c r="AT792">
        <v>1.9040000000000001</v>
      </c>
      <c r="AU792">
        <v>0.747</v>
      </c>
      <c r="AV792">
        <v>0</v>
      </c>
      <c r="AW792">
        <v>8.1530000000000005</v>
      </c>
      <c r="AX792">
        <v>0</v>
      </c>
      <c r="AY792">
        <v>25.953000000000003</v>
      </c>
      <c r="AZ792">
        <v>0</v>
      </c>
      <c r="BA792">
        <v>1931466</v>
      </c>
      <c r="BB792">
        <v>2613175</v>
      </c>
      <c r="BC792">
        <v>0</v>
      </c>
      <c r="BD792">
        <v>20669</v>
      </c>
      <c r="BE792">
        <v>829</v>
      </c>
      <c r="BF792">
        <v>21498</v>
      </c>
      <c r="BG792">
        <v>20669</v>
      </c>
      <c r="BH792">
        <v>0</v>
      </c>
      <c r="BI792">
        <v>0</v>
      </c>
      <c r="BJ792">
        <v>0</v>
      </c>
      <c r="BK792">
        <v>0</v>
      </c>
      <c r="BL792">
        <v>223708812</v>
      </c>
      <c r="BM792">
        <v>0</v>
      </c>
      <c r="BN792">
        <v>900</v>
      </c>
      <c r="BO792">
        <v>952</v>
      </c>
      <c r="BP792">
        <v>0</v>
      </c>
      <c r="BQ792">
        <v>0</v>
      </c>
      <c r="BR792">
        <v>0.91339999999999999</v>
      </c>
      <c r="BS792">
        <v>0.91339999999999999</v>
      </c>
      <c r="BT792">
        <v>0</v>
      </c>
      <c r="BU792">
        <v>0</v>
      </c>
      <c r="BV792">
        <v>0</v>
      </c>
      <c r="BW792">
        <v>190</v>
      </c>
      <c r="BX792">
        <v>4</v>
      </c>
      <c r="BY792">
        <v>0</v>
      </c>
      <c r="BZ792">
        <v>6</v>
      </c>
      <c r="CA792">
        <v>200</v>
      </c>
      <c r="CB792">
        <v>0</v>
      </c>
      <c r="CC792">
        <v>0</v>
      </c>
      <c r="CD792">
        <v>0</v>
      </c>
      <c r="CE792">
        <v>21</v>
      </c>
      <c r="CF792">
        <v>73.051000000000002</v>
      </c>
      <c r="CG792">
        <v>0</v>
      </c>
      <c r="CH792">
        <v>0</v>
      </c>
      <c r="CI792">
        <v>3</v>
      </c>
      <c r="CJ792">
        <v>2</v>
      </c>
      <c r="CK792">
        <v>0</v>
      </c>
      <c r="CL792">
        <v>0</v>
      </c>
      <c r="CM792">
        <v>6.55</v>
      </c>
      <c r="CN792">
        <v>0</v>
      </c>
      <c r="CO792">
        <v>0</v>
      </c>
      <c r="CP792">
        <v>0</v>
      </c>
      <c r="CQ792">
        <v>0</v>
      </c>
      <c r="CR792">
        <v>0</v>
      </c>
      <c r="CS792">
        <v>0</v>
      </c>
      <c r="CT792">
        <v>0</v>
      </c>
      <c r="CU792">
        <v>1.256</v>
      </c>
      <c r="CV792">
        <v>30.483000000000001</v>
      </c>
      <c r="CW792">
        <v>13.383000000000001</v>
      </c>
      <c r="CX792">
        <v>0</v>
      </c>
      <c r="CY792" s="2043">
        <v>0</v>
      </c>
      <c r="CZ792" s="2043">
        <v>0</v>
      </c>
      <c r="DA792" s="2043">
        <v>0</v>
      </c>
      <c r="DB792" s="2043">
        <v>0</v>
      </c>
      <c r="DC792" s="2043">
        <v>0</v>
      </c>
      <c r="DI792" t="s">
        <v>3116</v>
      </c>
      <c r="DJ792" t="s">
        <v>3116</v>
      </c>
      <c r="DK792" s="2042">
        <f t="shared" si="14"/>
        <v>0</v>
      </c>
    </row>
    <row r="793" spans="1:115">
      <c r="A793" t="s">
        <v>5164</v>
      </c>
      <c r="B793" t="s">
        <v>363</v>
      </c>
      <c r="C793">
        <v>1044.6970000000001</v>
      </c>
      <c r="D793">
        <v>1083.6890000000001</v>
      </c>
      <c r="E793">
        <v>11.168000000000001</v>
      </c>
      <c r="F793">
        <v>0</v>
      </c>
      <c r="G793" s="2043">
        <v>669880510</v>
      </c>
      <c r="H793">
        <v>0</v>
      </c>
      <c r="I793" s="2043">
        <v>501169</v>
      </c>
      <c r="J793">
        <v>52.234999999999999</v>
      </c>
      <c r="K793">
        <v>143</v>
      </c>
      <c r="L793">
        <v>0</v>
      </c>
      <c r="M793">
        <v>0</v>
      </c>
      <c r="N793">
        <v>0</v>
      </c>
      <c r="O793">
        <v>0</v>
      </c>
      <c r="P793">
        <v>0</v>
      </c>
      <c r="Q793">
        <v>0</v>
      </c>
      <c r="R793" s="2043">
        <v>5894873</v>
      </c>
      <c r="S793">
        <v>322688</v>
      </c>
      <c r="T793">
        <v>0</v>
      </c>
      <c r="U793">
        <v>0.05</v>
      </c>
      <c r="V793">
        <v>0</v>
      </c>
      <c r="W793">
        <v>0</v>
      </c>
      <c r="X793">
        <v>0</v>
      </c>
      <c r="Y793">
        <v>0</v>
      </c>
      <c r="Z793">
        <v>0</v>
      </c>
      <c r="AA793">
        <v>9.8000000000000004E-2</v>
      </c>
      <c r="AB793">
        <v>1083.6890000000001</v>
      </c>
      <c r="AC793" s="2043">
        <v>655725051</v>
      </c>
      <c r="AD793">
        <v>530577</v>
      </c>
      <c r="AE793" s="2043">
        <v>6217561</v>
      </c>
      <c r="AF793">
        <v>0.96340000000000003</v>
      </c>
      <c r="AG793">
        <v>0</v>
      </c>
      <c r="AH793">
        <v>0</v>
      </c>
      <c r="AI793">
        <v>0</v>
      </c>
      <c r="AJ793">
        <v>211.9</v>
      </c>
      <c r="AK793">
        <v>7015</v>
      </c>
      <c r="AL793">
        <v>0.754</v>
      </c>
      <c r="AM793">
        <v>0</v>
      </c>
      <c r="AN793">
        <v>21.182000000000002</v>
      </c>
      <c r="AO793">
        <v>0</v>
      </c>
      <c r="AP793">
        <v>0.36499999999999999</v>
      </c>
      <c r="AQ793">
        <v>0</v>
      </c>
      <c r="AR793">
        <v>52.605000000000004</v>
      </c>
      <c r="AS793">
        <v>0</v>
      </c>
      <c r="AT793">
        <v>9.1550000000000011</v>
      </c>
      <c r="AU793">
        <v>3.2470000000000003</v>
      </c>
      <c r="AV793">
        <v>0</v>
      </c>
      <c r="AW793">
        <v>69.367000000000004</v>
      </c>
      <c r="AX793">
        <v>3.2410000000000001</v>
      </c>
      <c r="AY793">
        <v>213.72500000000002</v>
      </c>
      <c r="AZ793">
        <v>0</v>
      </c>
      <c r="BA793">
        <v>6523008</v>
      </c>
      <c r="BB793">
        <v>6748138</v>
      </c>
      <c r="BC793">
        <v>0</v>
      </c>
      <c r="BD793">
        <v>191400</v>
      </c>
      <c r="BE793">
        <v>24843</v>
      </c>
      <c r="BF793">
        <v>216243</v>
      </c>
      <c r="BG793">
        <v>191400</v>
      </c>
      <c r="BH793">
        <v>0</v>
      </c>
      <c r="BI793">
        <v>0</v>
      </c>
      <c r="BJ793">
        <v>0</v>
      </c>
      <c r="BK793">
        <v>0</v>
      </c>
      <c r="BL793">
        <v>669880510</v>
      </c>
      <c r="BM793">
        <v>0</v>
      </c>
      <c r="BN793">
        <v>4644</v>
      </c>
      <c r="BO793">
        <v>3927</v>
      </c>
      <c r="BP793">
        <v>103166</v>
      </c>
      <c r="BQ793">
        <v>0</v>
      </c>
      <c r="BR793">
        <v>0.91339999999999999</v>
      </c>
      <c r="BS793">
        <v>0.91339999999999999</v>
      </c>
      <c r="BT793">
        <v>0</v>
      </c>
      <c r="BU793">
        <v>0</v>
      </c>
      <c r="BV793">
        <v>118</v>
      </c>
      <c r="BW793">
        <v>115</v>
      </c>
      <c r="BX793">
        <v>495</v>
      </c>
      <c r="BY793">
        <v>117</v>
      </c>
      <c r="BZ793">
        <v>13</v>
      </c>
      <c r="CA793">
        <v>858</v>
      </c>
      <c r="CB793">
        <v>0</v>
      </c>
      <c r="CC793">
        <v>0</v>
      </c>
      <c r="CD793">
        <v>0</v>
      </c>
      <c r="CE793">
        <v>176</v>
      </c>
      <c r="CF793">
        <v>203.33100000000002</v>
      </c>
      <c r="CG793">
        <v>0</v>
      </c>
      <c r="CH793">
        <v>0</v>
      </c>
      <c r="CI793">
        <v>5</v>
      </c>
      <c r="CJ793">
        <v>0</v>
      </c>
      <c r="CK793">
        <v>0</v>
      </c>
      <c r="CL793">
        <v>0</v>
      </c>
      <c r="CM793">
        <v>11.168000000000001</v>
      </c>
      <c r="CN793">
        <v>0</v>
      </c>
      <c r="CO793">
        <v>45417</v>
      </c>
      <c r="CP793">
        <v>52249</v>
      </c>
      <c r="CQ793">
        <v>5500</v>
      </c>
      <c r="CR793">
        <v>0</v>
      </c>
      <c r="CS793">
        <v>0</v>
      </c>
      <c r="CT793">
        <v>0</v>
      </c>
      <c r="CU793">
        <v>6.8120000000000003</v>
      </c>
      <c r="CV793">
        <v>97.527000000000001</v>
      </c>
      <c r="CW793">
        <v>23.468</v>
      </c>
      <c r="CX793">
        <v>0</v>
      </c>
      <c r="CY793" s="2043">
        <v>0</v>
      </c>
      <c r="CZ793" s="2043">
        <v>0</v>
      </c>
      <c r="DA793" s="2043">
        <v>0</v>
      </c>
      <c r="DB793" s="2043">
        <v>0</v>
      </c>
      <c r="DC793" s="2043">
        <v>0</v>
      </c>
      <c r="DI793" t="s">
        <v>5164</v>
      </c>
      <c r="DJ793" t="s">
        <v>5164</v>
      </c>
      <c r="DK793" s="2042">
        <f t="shared" si="14"/>
        <v>0</v>
      </c>
    </row>
    <row r="794" spans="1:115">
      <c r="A794" t="s">
        <v>5165</v>
      </c>
      <c r="B794" t="s">
        <v>364</v>
      </c>
      <c r="C794">
        <v>1014.874</v>
      </c>
      <c r="D794">
        <v>1075.021</v>
      </c>
      <c r="E794">
        <v>94.317999999999998</v>
      </c>
      <c r="F794">
        <v>0</v>
      </c>
      <c r="G794" s="2043">
        <v>3479403893</v>
      </c>
      <c r="H794">
        <v>0</v>
      </c>
      <c r="I794" s="2043">
        <v>2102775</v>
      </c>
      <c r="J794">
        <v>50.744</v>
      </c>
      <c r="K794">
        <v>139</v>
      </c>
      <c r="L794">
        <v>0</v>
      </c>
      <c r="M794">
        <v>0</v>
      </c>
      <c r="N794">
        <v>0</v>
      </c>
      <c r="O794">
        <v>0</v>
      </c>
      <c r="P794">
        <v>0</v>
      </c>
      <c r="Q794">
        <v>0</v>
      </c>
      <c r="R794" s="2043">
        <v>28915431</v>
      </c>
      <c r="S794">
        <v>1753088</v>
      </c>
      <c r="T794">
        <v>0</v>
      </c>
      <c r="U794">
        <v>0.05</v>
      </c>
      <c r="V794">
        <v>0</v>
      </c>
      <c r="W794">
        <v>18703710</v>
      </c>
      <c r="X794">
        <v>0</v>
      </c>
      <c r="Y794">
        <v>0</v>
      </c>
      <c r="Z794">
        <v>0</v>
      </c>
      <c r="AA794">
        <v>0</v>
      </c>
      <c r="AB794">
        <v>980.77300000000002</v>
      </c>
      <c r="AC794" s="2043">
        <v>2248817630</v>
      </c>
      <c r="AD794">
        <v>6869375</v>
      </c>
      <c r="AE794" s="2043">
        <v>30668519</v>
      </c>
      <c r="AF794">
        <v>0.87470000000000003</v>
      </c>
      <c r="AG794">
        <v>0</v>
      </c>
      <c r="AH794">
        <v>18703710</v>
      </c>
      <c r="AI794">
        <v>0</v>
      </c>
      <c r="AJ794">
        <v>152.238</v>
      </c>
      <c r="AK794">
        <v>3641</v>
      </c>
      <c r="AL794">
        <v>0.13</v>
      </c>
      <c r="AM794">
        <v>0</v>
      </c>
      <c r="AN794">
        <v>18.331</v>
      </c>
      <c r="AO794">
        <v>0</v>
      </c>
      <c r="AP794">
        <v>0</v>
      </c>
      <c r="AQ794">
        <v>0</v>
      </c>
      <c r="AR794">
        <v>25.22</v>
      </c>
      <c r="AS794">
        <v>0</v>
      </c>
      <c r="AT794">
        <v>5.7120000000000006</v>
      </c>
      <c r="AU794">
        <v>2.08</v>
      </c>
      <c r="AV794">
        <v>0</v>
      </c>
      <c r="AW794">
        <v>33.142000000000003</v>
      </c>
      <c r="AX794">
        <v>0</v>
      </c>
      <c r="AY794">
        <v>103.846</v>
      </c>
      <c r="AZ794">
        <v>0</v>
      </c>
      <c r="BA794">
        <v>554475</v>
      </c>
      <c r="BB794">
        <v>37537894</v>
      </c>
      <c r="BC794">
        <v>0</v>
      </c>
      <c r="BD794">
        <v>68926</v>
      </c>
      <c r="BE794">
        <v>8166</v>
      </c>
      <c r="BF794">
        <v>77092</v>
      </c>
      <c r="BG794">
        <v>68926</v>
      </c>
      <c r="BH794">
        <v>0</v>
      </c>
      <c r="BI794">
        <v>0</v>
      </c>
      <c r="BJ794">
        <v>0</v>
      </c>
      <c r="BK794">
        <v>0</v>
      </c>
      <c r="BL794">
        <v>3479403893</v>
      </c>
      <c r="BM794">
        <v>0</v>
      </c>
      <c r="BN794">
        <v>3429</v>
      </c>
      <c r="BO794">
        <v>2846</v>
      </c>
      <c r="BP794">
        <v>0</v>
      </c>
      <c r="BQ794">
        <v>0</v>
      </c>
      <c r="BR794">
        <v>0.82469999999999999</v>
      </c>
      <c r="BS794">
        <v>0.82469999999999999</v>
      </c>
      <c r="BT794">
        <v>0</v>
      </c>
      <c r="BU794">
        <v>0</v>
      </c>
      <c r="BV794">
        <v>263</v>
      </c>
      <c r="BW794">
        <v>142</v>
      </c>
      <c r="BX794">
        <v>13</v>
      </c>
      <c r="BY794">
        <v>1</v>
      </c>
      <c r="BZ794">
        <v>203</v>
      </c>
      <c r="CA794">
        <v>622</v>
      </c>
      <c r="CB794">
        <v>0</v>
      </c>
      <c r="CC794">
        <v>0</v>
      </c>
      <c r="CD794">
        <v>0</v>
      </c>
      <c r="CE794">
        <v>59</v>
      </c>
      <c r="CF794">
        <v>228.649</v>
      </c>
      <c r="CG794">
        <v>0</v>
      </c>
      <c r="CH794">
        <v>0</v>
      </c>
      <c r="CI794">
        <v>3</v>
      </c>
      <c r="CJ794">
        <v>9</v>
      </c>
      <c r="CK794">
        <v>0</v>
      </c>
      <c r="CL794">
        <v>0</v>
      </c>
      <c r="CM794">
        <v>94.317999999999998</v>
      </c>
      <c r="CN794">
        <v>0</v>
      </c>
      <c r="CO794">
        <v>0</v>
      </c>
      <c r="CP794">
        <v>0</v>
      </c>
      <c r="CQ794">
        <v>0</v>
      </c>
      <c r="CR794">
        <v>0</v>
      </c>
      <c r="CS794">
        <v>0</v>
      </c>
      <c r="CT794">
        <v>0</v>
      </c>
      <c r="CU794">
        <v>0.16600000000000001</v>
      </c>
      <c r="CV794">
        <v>59.267000000000003</v>
      </c>
      <c r="CW794">
        <v>39.687000000000005</v>
      </c>
      <c r="CX794">
        <v>0</v>
      </c>
      <c r="CY794" s="2043">
        <v>0</v>
      </c>
      <c r="CZ794" s="2043">
        <v>0</v>
      </c>
      <c r="DA794" s="2043">
        <v>0</v>
      </c>
      <c r="DB794" s="2043">
        <v>0</v>
      </c>
      <c r="DC794" s="2043">
        <v>149395</v>
      </c>
      <c r="DI794" t="s">
        <v>5165</v>
      </c>
      <c r="DJ794" t="s">
        <v>5165</v>
      </c>
      <c r="DK794" s="2042">
        <f t="shared" si="14"/>
        <v>0</v>
      </c>
    </row>
    <row r="795" spans="1:115">
      <c r="A795" t="s">
        <v>5166</v>
      </c>
      <c r="B795" t="s">
        <v>365</v>
      </c>
      <c r="C795">
        <v>234.10400000000001</v>
      </c>
      <c r="D795">
        <v>233.221</v>
      </c>
      <c r="E795">
        <v>12.433</v>
      </c>
      <c r="F795">
        <v>0</v>
      </c>
      <c r="G795" s="2043">
        <v>3444929705</v>
      </c>
      <c r="H795">
        <v>0</v>
      </c>
      <c r="I795" s="2043">
        <v>751931</v>
      </c>
      <c r="J795">
        <v>11.705</v>
      </c>
      <c r="K795">
        <v>32</v>
      </c>
      <c r="L795">
        <v>0</v>
      </c>
      <c r="M795">
        <v>0</v>
      </c>
      <c r="N795">
        <v>0</v>
      </c>
      <c r="O795">
        <v>0</v>
      </c>
      <c r="P795">
        <v>0</v>
      </c>
      <c r="Q795">
        <v>0</v>
      </c>
      <c r="R795" s="2043">
        <v>29413137</v>
      </c>
      <c r="S795">
        <v>1783263</v>
      </c>
      <c r="T795">
        <v>0</v>
      </c>
      <c r="U795">
        <v>0.05</v>
      </c>
      <c r="V795">
        <v>0</v>
      </c>
      <c r="W795">
        <v>25848859</v>
      </c>
      <c r="X795">
        <v>0</v>
      </c>
      <c r="Y795">
        <v>79577</v>
      </c>
      <c r="Z795">
        <v>0</v>
      </c>
      <c r="AA795">
        <v>0</v>
      </c>
      <c r="AB795">
        <v>208.86700000000002</v>
      </c>
      <c r="AC795" s="2043">
        <v>1583118865</v>
      </c>
      <c r="AD795">
        <v>9983380</v>
      </c>
      <c r="AE795" s="2043">
        <v>31196400</v>
      </c>
      <c r="AF795">
        <v>0.87470000000000003</v>
      </c>
      <c r="AG795">
        <v>0</v>
      </c>
      <c r="AH795">
        <v>25848859</v>
      </c>
      <c r="AI795">
        <v>0</v>
      </c>
      <c r="AJ795">
        <v>11.775</v>
      </c>
      <c r="AK795">
        <v>371</v>
      </c>
      <c r="AL795">
        <v>0</v>
      </c>
      <c r="AM795">
        <v>0</v>
      </c>
      <c r="AN795">
        <v>3.5020000000000002</v>
      </c>
      <c r="AO795">
        <v>0</v>
      </c>
      <c r="AP795">
        <v>0</v>
      </c>
      <c r="AQ795">
        <v>0</v>
      </c>
      <c r="AR795">
        <v>1.8440000000000001</v>
      </c>
      <c r="AS795">
        <v>0</v>
      </c>
      <c r="AT795">
        <v>5.5E-2</v>
      </c>
      <c r="AU795">
        <v>0.16400000000000001</v>
      </c>
      <c r="AV795">
        <v>0</v>
      </c>
      <c r="AW795">
        <v>2.0630000000000002</v>
      </c>
      <c r="AX795">
        <v>0</v>
      </c>
      <c r="AY795">
        <v>6.5170000000000003</v>
      </c>
      <c r="AZ795">
        <v>0</v>
      </c>
      <c r="BA795">
        <v>198727</v>
      </c>
      <c r="BB795">
        <v>41179780</v>
      </c>
      <c r="BC795">
        <v>0</v>
      </c>
      <c r="BD795">
        <v>41206</v>
      </c>
      <c r="BE795">
        <v>0</v>
      </c>
      <c r="BF795">
        <v>41206</v>
      </c>
      <c r="BG795">
        <v>41206</v>
      </c>
      <c r="BH795">
        <v>0</v>
      </c>
      <c r="BI795">
        <v>0</v>
      </c>
      <c r="BJ795">
        <v>0</v>
      </c>
      <c r="BK795">
        <v>0</v>
      </c>
      <c r="BL795">
        <v>3444929705</v>
      </c>
      <c r="BM795">
        <v>0</v>
      </c>
      <c r="BN795">
        <v>846</v>
      </c>
      <c r="BO795">
        <v>685</v>
      </c>
      <c r="BP795">
        <v>0</v>
      </c>
      <c r="BQ795">
        <v>0</v>
      </c>
      <c r="BR795">
        <v>0.82469999999999999</v>
      </c>
      <c r="BS795">
        <v>0.82469999999999999</v>
      </c>
      <c r="BT795">
        <v>0</v>
      </c>
      <c r="BU795">
        <v>79577</v>
      </c>
      <c r="BV795">
        <v>8</v>
      </c>
      <c r="BW795">
        <v>34</v>
      </c>
      <c r="BX795">
        <v>1</v>
      </c>
      <c r="BY795">
        <v>0</v>
      </c>
      <c r="BZ795">
        <v>6</v>
      </c>
      <c r="CA795">
        <v>49</v>
      </c>
      <c r="CB795">
        <v>0</v>
      </c>
      <c r="CC795">
        <v>0</v>
      </c>
      <c r="CD795">
        <v>0</v>
      </c>
      <c r="CE795">
        <v>30</v>
      </c>
      <c r="CF795">
        <v>24.436</v>
      </c>
      <c r="CG795">
        <v>0</v>
      </c>
      <c r="CH795">
        <v>0</v>
      </c>
      <c r="CI795">
        <v>1</v>
      </c>
      <c r="CJ795">
        <v>2</v>
      </c>
      <c r="CK795">
        <v>1</v>
      </c>
      <c r="CL795">
        <v>0</v>
      </c>
      <c r="CM795">
        <v>12.433</v>
      </c>
      <c r="CN795">
        <v>0</v>
      </c>
      <c r="CO795">
        <v>0</v>
      </c>
      <c r="CP795">
        <v>0</v>
      </c>
      <c r="CQ795">
        <v>0</v>
      </c>
      <c r="CR795">
        <v>0</v>
      </c>
      <c r="CS795">
        <v>0</v>
      </c>
      <c r="CT795">
        <v>0</v>
      </c>
      <c r="CU795">
        <v>0</v>
      </c>
      <c r="CV795">
        <v>5.2050000000000001</v>
      </c>
      <c r="CW795">
        <v>13.143000000000001</v>
      </c>
      <c r="CX795">
        <v>0</v>
      </c>
      <c r="CY795" s="2043">
        <v>0</v>
      </c>
      <c r="CZ795" s="2043">
        <v>0</v>
      </c>
      <c r="DA795" s="2043">
        <v>0</v>
      </c>
      <c r="DB795" s="2043">
        <v>0</v>
      </c>
      <c r="DC795" s="2043">
        <v>130000</v>
      </c>
      <c r="DI795" t="s">
        <v>5166</v>
      </c>
      <c r="DJ795" t="s">
        <v>5166</v>
      </c>
      <c r="DK795" s="2042">
        <f t="shared" si="14"/>
        <v>0</v>
      </c>
    </row>
    <row r="796" spans="1:115">
      <c r="A796" t="s">
        <v>5167</v>
      </c>
      <c r="B796" t="s">
        <v>1561</v>
      </c>
      <c r="C796">
        <v>690.428</v>
      </c>
      <c r="D796">
        <v>725.10500000000002</v>
      </c>
      <c r="E796">
        <v>68.602000000000004</v>
      </c>
      <c r="F796">
        <v>0</v>
      </c>
      <c r="G796" s="2043">
        <v>515320966</v>
      </c>
      <c r="H796">
        <v>0</v>
      </c>
      <c r="I796" s="2043">
        <v>283825</v>
      </c>
      <c r="J796">
        <v>34.521000000000001</v>
      </c>
      <c r="K796">
        <v>94</v>
      </c>
      <c r="L796">
        <v>0</v>
      </c>
      <c r="M796">
        <v>0</v>
      </c>
      <c r="N796">
        <v>0</v>
      </c>
      <c r="O796">
        <v>0</v>
      </c>
      <c r="P796">
        <v>0</v>
      </c>
      <c r="Q796">
        <v>0</v>
      </c>
      <c r="R796" s="2043">
        <v>4306661</v>
      </c>
      <c r="S796">
        <v>408844</v>
      </c>
      <c r="T796">
        <v>190112</v>
      </c>
      <c r="U796">
        <v>0.08</v>
      </c>
      <c r="V796">
        <v>0</v>
      </c>
      <c r="W796">
        <v>0</v>
      </c>
      <c r="X796">
        <v>0</v>
      </c>
      <c r="Y796">
        <v>-8478</v>
      </c>
      <c r="Z796">
        <v>0</v>
      </c>
      <c r="AA796">
        <v>0.1</v>
      </c>
      <c r="AB796">
        <v>658.91500000000008</v>
      </c>
      <c r="AC796" s="2043">
        <v>368804895</v>
      </c>
      <c r="AD796">
        <v>783519</v>
      </c>
      <c r="AE796" s="2043">
        <v>4905617</v>
      </c>
      <c r="AF796">
        <v>0.95990000000000009</v>
      </c>
      <c r="AG796">
        <v>0</v>
      </c>
      <c r="AH796">
        <v>0</v>
      </c>
      <c r="AI796">
        <v>0</v>
      </c>
      <c r="AJ796">
        <v>95.638000000000005</v>
      </c>
      <c r="AK796">
        <v>2399</v>
      </c>
      <c r="AL796">
        <v>0</v>
      </c>
      <c r="AM796">
        <v>0</v>
      </c>
      <c r="AN796">
        <v>22.891000000000002</v>
      </c>
      <c r="AO796">
        <v>0</v>
      </c>
      <c r="AP796">
        <v>0</v>
      </c>
      <c r="AQ796">
        <v>0</v>
      </c>
      <c r="AR796">
        <v>13.441000000000001</v>
      </c>
      <c r="AS796">
        <v>0</v>
      </c>
      <c r="AT796">
        <v>1.468</v>
      </c>
      <c r="AU796">
        <v>0.96400000000000008</v>
      </c>
      <c r="AV796">
        <v>0</v>
      </c>
      <c r="AW796">
        <v>15.873000000000001</v>
      </c>
      <c r="AX796">
        <v>0</v>
      </c>
      <c r="AY796">
        <v>49.547000000000004</v>
      </c>
      <c r="AZ796">
        <v>0</v>
      </c>
      <c r="BA796">
        <v>3888156</v>
      </c>
      <c r="BB796">
        <v>5689136</v>
      </c>
      <c r="BC796">
        <v>0</v>
      </c>
      <c r="BD796">
        <v>79739</v>
      </c>
      <c r="BE796">
        <v>2824</v>
      </c>
      <c r="BF796">
        <v>82563</v>
      </c>
      <c r="BG796">
        <v>79739</v>
      </c>
      <c r="BH796">
        <v>0</v>
      </c>
      <c r="BI796">
        <v>-8478</v>
      </c>
      <c r="BJ796">
        <v>0</v>
      </c>
      <c r="BK796">
        <v>0</v>
      </c>
      <c r="BL796">
        <v>515320966</v>
      </c>
      <c r="BM796">
        <v>0</v>
      </c>
      <c r="BN796">
        <v>2808</v>
      </c>
      <c r="BO796">
        <v>1766</v>
      </c>
      <c r="BP796">
        <v>0</v>
      </c>
      <c r="BQ796">
        <v>0</v>
      </c>
      <c r="BR796">
        <v>0.8427</v>
      </c>
      <c r="BS796">
        <v>0.8427</v>
      </c>
      <c r="BT796">
        <v>0</v>
      </c>
      <c r="BU796">
        <v>0</v>
      </c>
      <c r="BV796">
        <v>106</v>
      </c>
      <c r="BW796">
        <v>5</v>
      </c>
      <c r="BX796">
        <v>124</v>
      </c>
      <c r="BY796">
        <v>0</v>
      </c>
      <c r="BZ796">
        <v>144</v>
      </c>
      <c r="CA796">
        <v>379</v>
      </c>
      <c r="CB796">
        <v>0</v>
      </c>
      <c r="CC796">
        <v>0</v>
      </c>
      <c r="CD796">
        <v>0</v>
      </c>
      <c r="CE796">
        <v>87</v>
      </c>
      <c r="CF796">
        <v>143.44300000000001</v>
      </c>
      <c r="CG796">
        <v>0</v>
      </c>
      <c r="CH796">
        <v>0</v>
      </c>
      <c r="CI796">
        <v>8</v>
      </c>
      <c r="CJ796">
        <v>25</v>
      </c>
      <c r="CK796">
        <v>0</v>
      </c>
      <c r="CL796">
        <v>0</v>
      </c>
      <c r="CM796">
        <v>68.602000000000004</v>
      </c>
      <c r="CN796">
        <v>0</v>
      </c>
      <c r="CO796">
        <v>0</v>
      </c>
      <c r="CP796">
        <v>0</v>
      </c>
      <c r="CQ796">
        <v>0</v>
      </c>
      <c r="CR796">
        <v>0</v>
      </c>
      <c r="CS796">
        <v>0</v>
      </c>
      <c r="CT796">
        <v>0</v>
      </c>
      <c r="CU796">
        <v>0</v>
      </c>
      <c r="CV796">
        <v>33.396000000000001</v>
      </c>
      <c r="CW796">
        <v>30.895000000000003</v>
      </c>
      <c r="CX796">
        <v>0</v>
      </c>
      <c r="CY796" s="2043">
        <v>0</v>
      </c>
      <c r="CZ796" s="2043">
        <v>0</v>
      </c>
      <c r="DA796" s="2043">
        <v>0</v>
      </c>
      <c r="DB796" s="2043">
        <v>0</v>
      </c>
      <c r="DC796" s="2043">
        <v>0</v>
      </c>
      <c r="DI796" t="s">
        <v>5167</v>
      </c>
      <c r="DJ796" t="s">
        <v>5167</v>
      </c>
      <c r="DK796" s="2042">
        <f t="shared" si="14"/>
        <v>0</v>
      </c>
    </row>
    <row r="797" spans="1:115">
      <c r="A797" t="s">
        <v>5168</v>
      </c>
      <c r="B797" t="s">
        <v>1562</v>
      </c>
      <c r="C797">
        <v>3173.7470000000003</v>
      </c>
      <c r="D797">
        <v>3377.0970000000002</v>
      </c>
      <c r="E797">
        <v>455.23600000000005</v>
      </c>
      <c r="F797">
        <v>0</v>
      </c>
      <c r="G797" s="2043">
        <v>1508786504</v>
      </c>
      <c r="H797">
        <v>0</v>
      </c>
      <c r="I797" s="2043">
        <v>7148024</v>
      </c>
      <c r="J797">
        <v>46</v>
      </c>
      <c r="K797">
        <v>126</v>
      </c>
      <c r="L797">
        <v>0</v>
      </c>
      <c r="M797">
        <v>0</v>
      </c>
      <c r="N797">
        <v>0</v>
      </c>
      <c r="O797">
        <v>0</v>
      </c>
      <c r="P797">
        <v>0</v>
      </c>
      <c r="Q797">
        <v>0</v>
      </c>
      <c r="R797" s="2043">
        <v>13512466</v>
      </c>
      <c r="S797">
        <v>755731</v>
      </c>
      <c r="T797">
        <v>0</v>
      </c>
      <c r="U797">
        <v>0.05</v>
      </c>
      <c r="V797">
        <v>480.00800000000004</v>
      </c>
      <c r="W797">
        <v>0</v>
      </c>
      <c r="X797">
        <v>0</v>
      </c>
      <c r="Y797">
        <v>-9726</v>
      </c>
      <c r="Z797">
        <v>0</v>
      </c>
      <c r="AA797">
        <v>0.79</v>
      </c>
      <c r="AB797">
        <v>3142.453</v>
      </c>
      <c r="AC797" s="2043">
        <v>1377157592</v>
      </c>
      <c r="AD797">
        <v>7634514</v>
      </c>
      <c r="AE797" s="2043">
        <v>14268197</v>
      </c>
      <c r="AF797">
        <v>0.94400000000000006</v>
      </c>
      <c r="AG797">
        <v>0</v>
      </c>
      <c r="AH797">
        <v>0</v>
      </c>
      <c r="AI797">
        <v>0</v>
      </c>
      <c r="AJ797">
        <v>674.875</v>
      </c>
      <c r="AK797">
        <v>10623</v>
      </c>
      <c r="AL797">
        <v>0.313</v>
      </c>
      <c r="AM797">
        <v>0</v>
      </c>
      <c r="AN797">
        <v>127.90300000000001</v>
      </c>
      <c r="AO797">
        <v>0</v>
      </c>
      <c r="AP797">
        <v>4.0860000000000003</v>
      </c>
      <c r="AQ797">
        <v>2.097</v>
      </c>
      <c r="AR797">
        <v>43.873000000000005</v>
      </c>
      <c r="AS797">
        <v>0</v>
      </c>
      <c r="AT797">
        <v>38.877000000000002</v>
      </c>
      <c r="AU797">
        <v>5.6240000000000006</v>
      </c>
      <c r="AV797">
        <v>0</v>
      </c>
      <c r="AW797">
        <v>94.87</v>
      </c>
      <c r="AX797">
        <v>0</v>
      </c>
      <c r="AY797">
        <v>288.96700000000004</v>
      </c>
      <c r="AZ797">
        <v>0</v>
      </c>
      <c r="BA797">
        <v>17406480</v>
      </c>
      <c r="BB797">
        <v>21902711</v>
      </c>
      <c r="BC797">
        <v>0</v>
      </c>
      <c r="BD797">
        <v>89197</v>
      </c>
      <c r="BE797">
        <v>70610</v>
      </c>
      <c r="BF797">
        <v>161718</v>
      </c>
      <c r="BG797">
        <v>89197</v>
      </c>
      <c r="BH797">
        <v>1911</v>
      </c>
      <c r="BI797">
        <v>0</v>
      </c>
      <c r="BJ797">
        <v>-9726</v>
      </c>
      <c r="BK797">
        <v>0</v>
      </c>
      <c r="BL797">
        <v>1508786504</v>
      </c>
      <c r="BM797">
        <v>0</v>
      </c>
      <c r="BN797">
        <v>11484</v>
      </c>
      <c r="BO797">
        <v>6634</v>
      </c>
      <c r="BP797">
        <v>0</v>
      </c>
      <c r="BQ797">
        <v>0</v>
      </c>
      <c r="BR797">
        <v>0.89400000000000002</v>
      </c>
      <c r="BS797">
        <v>0.89400000000000002</v>
      </c>
      <c r="BT797">
        <v>0</v>
      </c>
      <c r="BU797">
        <v>0</v>
      </c>
      <c r="BV797">
        <v>674</v>
      </c>
      <c r="BW797">
        <v>1035</v>
      </c>
      <c r="BX797">
        <v>549</v>
      </c>
      <c r="BY797">
        <v>227</v>
      </c>
      <c r="BZ797">
        <v>293</v>
      </c>
      <c r="CA797">
        <v>2778</v>
      </c>
      <c r="CB797">
        <v>0</v>
      </c>
      <c r="CC797">
        <v>0</v>
      </c>
      <c r="CD797">
        <v>0</v>
      </c>
      <c r="CE797">
        <v>81</v>
      </c>
      <c r="CF797">
        <v>922.36800000000005</v>
      </c>
      <c r="CG797">
        <v>0</v>
      </c>
      <c r="CH797">
        <v>2.7829999999999999</v>
      </c>
      <c r="CI797">
        <v>10</v>
      </c>
      <c r="CJ797">
        <v>14</v>
      </c>
      <c r="CK797">
        <v>0</v>
      </c>
      <c r="CL797">
        <v>2.7829999999999999</v>
      </c>
      <c r="CM797">
        <v>455.23600000000005</v>
      </c>
      <c r="CN797">
        <v>0</v>
      </c>
      <c r="CO797">
        <v>0</v>
      </c>
      <c r="CP797">
        <v>0</v>
      </c>
      <c r="CQ797">
        <v>0</v>
      </c>
      <c r="CR797">
        <v>0</v>
      </c>
      <c r="CS797">
        <v>0</v>
      </c>
      <c r="CT797">
        <v>0</v>
      </c>
      <c r="CU797">
        <v>3.5010000000000003</v>
      </c>
      <c r="CV797">
        <v>205.53100000000001</v>
      </c>
      <c r="CW797">
        <v>80.945000000000007</v>
      </c>
      <c r="CX797">
        <v>0</v>
      </c>
      <c r="CY797" s="2043">
        <v>0</v>
      </c>
      <c r="CZ797" s="2043">
        <v>0</v>
      </c>
      <c r="DA797" s="2043">
        <v>0</v>
      </c>
      <c r="DB797" s="2043">
        <v>0</v>
      </c>
      <c r="DC797" s="2043">
        <v>0</v>
      </c>
      <c r="DI797" t="s">
        <v>5168</v>
      </c>
      <c r="DJ797" t="s">
        <v>5168</v>
      </c>
      <c r="DK797" s="2042">
        <f t="shared" si="14"/>
        <v>0</v>
      </c>
    </row>
    <row r="798" spans="1:115">
      <c r="A798" t="s">
        <v>5169</v>
      </c>
      <c r="B798" t="s">
        <v>163</v>
      </c>
      <c r="C798">
        <v>915.73900000000003</v>
      </c>
      <c r="D798">
        <v>930.524</v>
      </c>
      <c r="E798">
        <v>82.02</v>
      </c>
      <c r="F798">
        <v>0</v>
      </c>
      <c r="G798" s="2043">
        <v>1443857833</v>
      </c>
      <c r="H798">
        <v>0</v>
      </c>
      <c r="I798" s="2043">
        <v>2660722</v>
      </c>
      <c r="J798">
        <v>45.786999999999999</v>
      </c>
      <c r="K798">
        <v>125</v>
      </c>
      <c r="L798">
        <v>0</v>
      </c>
      <c r="M798">
        <v>0</v>
      </c>
      <c r="N798">
        <v>0</v>
      </c>
      <c r="O798">
        <v>0</v>
      </c>
      <c r="P798">
        <v>0</v>
      </c>
      <c r="Q798">
        <v>0</v>
      </c>
      <c r="R798" s="2043">
        <v>11915230</v>
      </c>
      <c r="S798">
        <v>724771</v>
      </c>
      <c r="T798">
        <v>0</v>
      </c>
      <c r="U798">
        <v>0.05</v>
      </c>
      <c r="V798">
        <v>0</v>
      </c>
      <c r="W798">
        <v>2839492</v>
      </c>
      <c r="X798">
        <v>0</v>
      </c>
      <c r="Y798">
        <v>551081</v>
      </c>
      <c r="Z798">
        <v>0</v>
      </c>
      <c r="AA798">
        <v>6.9000000000000006E-2</v>
      </c>
      <c r="AB798">
        <v>882.72500000000002</v>
      </c>
      <c r="AC798" s="2043">
        <v>1207509803</v>
      </c>
      <c r="AD798">
        <v>2689507</v>
      </c>
      <c r="AE798" s="2043">
        <v>12640001</v>
      </c>
      <c r="AF798">
        <v>0.872</v>
      </c>
      <c r="AG798">
        <v>0</v>
      </c>
      <c r="AH798">
        <v>2839492</v>
      </c>
      <c r="AI798">
        <v>0</v>
      </c>
      <c r="AJ798">
        <v>139.65</v>
      </c>
      <c r="AK798">
        <v>2844</v>
      </c>
      <c r="AL798">
        <v>0</v>
      </c>
      <c r="AM798">
        <v>0</v>
      </c>
      <c r="AN798">
        <v>10.989000000000001</v>
      </c>
      <c r="AO798">
        <v>0</v>
      </c>
      <c r="AP798">
        <v>0</v>
      </c>
      <c r="AQ798">
        <v>0</v>
      </c>
      <c r="AR798">
        <v>16.957000000000001</v>
      </c>
      <c r="AS798">
        <v>0</v>
      </c>
      <c r="AT798">
        <v>7.7110000000000003</v>
      </c>
      <c r="AU798">
        <v>1.78</v>
      </c>
      <c r="AV798">
        <v>0</v>
      </c>
      <c r="AW798">
        <v>26.448</v>
      </c>
      <c r="AX798">
        <v>0</v>
      </c>
      <c r="AY798">
        <v>82.904000000000011</v>
      </c>
      <c r="AZ798">
        <v>0</v>
      </c>
      <c r="BA798">
        <v>1067075</v>
      </c>
      <c r="BB798">
        <v>15329508</v>
      </c>
      <c r="BC798">
        <v>0</v>
      </c>
      <c r="BD798">
        <v>93330</v>
      </c>
      <c r="BE798">
        <v>13403</v>
      </c>
      <c r="BF798">
        <v>106733</v>
      </c>
      <c r="BG798">
        <v>93330</v>
      </c>
      <c r="BH798">
        <v>0</v>
      </c>
      <c r="BI798">
        <v>0</v>
      </c>
      <c r="BJ798">
        <v>0</v>
      </c>
      <c r="BK798">
        <v>0</v>
      </c>
      <c r="BL798">
        <v>1443857833</v>
      </c>
      <c r="BM798">
        <v>0</v>
      </c>
      <c r="BN798">
        <v>2682</v>
      </c>
      <c r="BO798">
        <v>1552</v>
      </c>
      <c r="BP798">
        <v>8161</v>
      </c>
      <c r="BQ798">
        <v>0</v>
      </c>
      <c r="BR798">
        <v>0.82200000000000006</v>
      </c>
      <c r="BS798">
        <v>0.82200000000000006</v>
      </c>
      <c r="BT798">
        <v>551081</v>
      </c>
      <c r="BU798">
        <v>0</v>
      </c>
      <c r="BV798">
        <v>84</v>
      </c>
      <c r="BW798">
        <v>481</v>
      </c>
      <c r="BX798">
        <v>12</v>
      </c>
      <c r="BY798">
        <v>5</v>
      </c>
      <c r="BZ798">
        <v>8</v>
      </c>
      <c r="CA798">
        <v>590</v>
      </c>
      <c r="CB798">
        <v>0</v>
      </c>
      <c r="CC798">
        <v>0</v>
      </c>
      <c r="CD798">
        <v>0</v>
      </c>
      <c r="CE798">
        <v>45</v>
      </c>
      <c r="CF798">
        <v>207.911</v>
      </c>
      <c r="CG798">
        <v>0</v>
      </c>
      <c r="CH798">
        <v>0</v>
      </c>
      <c r="CI798">
        <v>1</v>
      </c>
      <c r="CJ798">
        <v>1</v>
      </c>
      <c r="CK798">
        <v>0</v>
      </c>
      <c r="CL798">
        <v>0</v>
      </c>
      <c r="CM798">
        <v>82.02</v>
      </c>
      <c r="CN798">
        <v>0</v>
      </c>
      <c r="CO798">
        <v>0</v>
      </c>
      <c r="CP798">
        <v>6261</v>
      </c>
      <c r="CQ798">
        <v>1900</v>
      </c>
      <c r="CR798">
        <v>0</v>
      </c>
      <c r="CS798">
        <v>0</v>
      </c>
      <c r="CT798">
        <v>0</v>
      </c>
      <c r="CU798">
        <v>1.99</v>
      </c>
      <c r="CV798">
        <v>49.955000000000005</v>
      </c>
      <c r="CW798">
        <v>23.599</v>
      </c>
      <c r="CX798">
        <v>551081</v>
      </c>
      <c r="CY798" s="2043">
        <v>0</v>
      </c>
      <c r="CZ798" s="2043">
        <v>0</v>
      </c>
      <c r="DA798" s="2043">
        <v>0</v>
      </c>
      <c r="DB798" s="2043">
        <v>0</v>
      </c>
      <c r="DC798" s="2043">
        <v>194644</v>
      </c>
      <c r="DI798" t="s">
        <v>5169</v>
      </c>
      <c r="DJ798" t="s">
        <v>5169</v>
      </c>
      <c r="DK798" s="2042">
        <f t="shared" si="14"/>
        <v>0</v>
      </c>
    </row>
    <row r="799" spans="1:115">
      <c r="A799" t="s">
        <v>5170</v>
      </c>
      <c r="B799" t="s">
        <v>2009</v>
      </c>
      <c r="C799">
        <v>83.489000000000004</v>
      </c>
      <c r="D799">
        <v>87.436000000000007</v>
      </c>
      <c r="E799">
        <v>4.7910000000000004</v>
      </c>
      <c r="F799">
        <v>0</v>
      </c>
      <c r="G799" s="2043">
        <v>356956902</v>
      </c>
      <c r="H799">
        <v>0</v>
      </c>
      <c r="I799" s="2043">
        <v>320962</v>
      </c>
      <c r="J799">
        <v>4.1740000000000004</v>
      </c>
      <c r="K799">
        <v>11</v>
      </c>
      <c r="L799">
        <v>0</v>
      </c>
      <c r="M799">
        <v>0</v>
      </c>
      <c r="N799">
        <v>0</v>
      </c>
      <c r="O799">
        <v>0</v>
      </c>
      <c r="P799">
        <v>0</v>
      </c>
      <c r="Q799">
        <v>0</v>
      </c>
      <c r="R799" s="2043">
        <v>2867620</v>
      </c>
      <c r="S799">
        <v>174429</v>
      </c>
      <c r="T799">
        <v>0</v>
      </c>
      <c r="U799">
        <v>0.05</v>
      </c>
      <c r="V799">
        <v>0</v>
      </c>
      <c r="W799">
        <v>1820797</v>
      </c>
      <c r="X799">
        <v>0</v>
      </c>
      <c r="Y799">
        <v>0</v>
      </c>
      <c r="Z799">
        <v>0</v>
      </c>
      <c r="AA799">
        <v>0</v>
      </c>
      <c r="AB799">
        <v>87.436000000000007</v>
      </c>
      <c r="AC799" s="2043">
        <v>312113940</v>
      </c>
      <c r="AD799">
        <v>328937</v>
      </c>
      <c r="AE799" s="2043">
        <v>3042049</v>
      </c>
      <c r="AF799">
        <v>0.872</v>
      </c>
      <c r="AG799">
        <v>0</v>
      </c>
      <c r="AH799">
        <v>1820797</v>
      </c>
      <c r="AI799">
        <v>0</v>
      </c>
      <c r="AJ799">
        <v>17.013000000000002</v>
      </c>
      <c r="AK799">
        <v>380</v>
      </c>
      <c r="AL799">
        <v>0</v>
      </c>
      <c r="AM799">
        <v>0</v>
      </c>
      <c r="AN799">
        <v>1.9100000000000001</v>
      </c>
      <c r="AO799">
        <v>0</v>
      </c>
      <c r="AP799">
        <v>0</v>
      </c>
      <c r="AQ799">
        <v>0</v>
      </c>
      <c r="AR799">
        <v>1.399</v>
      </c>
      <c r="AS799">
        <v>0</v>
      </c>
      <c r="AT799">
        <v>0.86399999999999999</v>
      </c>
      <c r="AU799">
        <v>0.28900000000000003</v>
      </c>
      <c r="AV799">
        <v>0</v>
      </c>
      <c r="AW799">
        <v>2.552</v>
      </c>
      <c r="AX799">
        <v>0</v>
      </c>
      <c r="AY799">
        <v>8.234</v>
      </c>
      <c r="AZ799">
        <v>0</v>
      </c>
      <c r="BA799">
        <v>47307</v>
      </c>
      <c r="BB799">
        <v>3370986</v>
      </c>
      <c r="BC799">
        <v>0</v>
      </c>
      <c r="BD799">
        <v>22203</v>
      </c>
      <c r="BE799">
        <v>0</v>
      </c>
      <c r="BF799">
        <v>22203</v>
      </c>
      <c r="BG799">
        <v>22203</v>
      </c>
      <c r="BH799">
        <v>0</v>
      </c>
      <c r="BI799">
        <v>0</v>
      </c>
      <c r="BJ799">
        <v>0</v>
      </c>
      <c r="BK799">
        <v>0</v>
      </c>
      <c r="BL799">
        <v>356956902</v>
      </c>
      <c r="BM799">
        <v>0</v>
      </c>
      <c r="BN799">
        <v>0</v>
      </c>
      <c r="BO799">
        <v>0</v>
      </c>
      <c r="BP799">
        <v>0</v>
      </c>
      <c r="BQ799">
        <v>0</v>
      </c>
      <c r="BR799">
        <v>0.82200000000000006</v>
      </c>
      <c r="BS799">
        <v>0.82200000000000006</v>
      </c>
      <c r="BT799">
        <v>0</v>
      </c>
      <c r="BU799">
        <v>0</v>
      </c>
      <c r="BV799">
        <v>37</v>
      </c>
      <c r="BW799">
        <v>29</v>
      </c>
      <c r="BX799">
        <v>3</v>
      </c>
      <c r="BY799">
        <v>4</v>
      </c>
      <c r="BZ799">
        <v>0</v>
      </c>
      <c r="CA799">
        <v>73</v>
      </c>
      <c r="CB799">
        <v>0</v>
      </c>
      <c r="CC799">
        <v>0</v>
      </c>
      <c r="CD799">
        <v>0</v>
      </c>
      <c r="CE799">
        <v>7</v>
      </c>
      <c r="CF799">
        <v>28.948</v>
      </c>
      <c r="CG799">
        <v>0</v>
      </c>
      <c r="CH799">
        <v>0</v>
      </c>
      <c r="CI799">
        <v>0</v>
      </c>
      <c r="CJ799">
        <v>0</v>
      </c>
      <c r="CK799">
        <v>0</v>
      </c>
      <c r="CL799">
        <v>0</v>
      </c>
      <c r="CM799">
        <v>4.7910000000000004</v>
      </c>
      <c r="CN799">
        <v>0</v>
      </c>
      <c r="CO799">
        <v>0</v>
      </c>
      <c r="CP799">
        <v>0</v>
      </c>
      <c r="CQ799">
        <v>0</v>
      </c>
      <c r="CR799">
        <v>0</v>
      </c>
      <c r="CS799">
        <v>0</v>
      </c>
      <c r="CT799">
        <v>0</v>
      </c>
      <c r="CU799">
        <v>0</v>
      </c>
      <c r="CV799">
        <v>1.875</v>
      </c>
      <c r="CW799">
        <v>0</v>
      </c>
      <c r="CX799">
        <v>0</v>
      </c>
      <c r="CY799" s="2043">
        <v>0</v>
      </c>
      <c r="CZ799" s="2043">
        <v>0</v>
      </c>
      <c r="DA799" s="2043">
        <v>0</v>
      </c>
      <c r="DB799" s="2043">
        <v>0</v>
      </c>
      <c r="DC799" s="2043">
        <v>43991</v>
      </c>
      <c r="DI799" t="s">
        <v>5170</v>
      </c>
      <c r="DJ799" t="s">
        <v>5170</v>
      </c>
      <c r="DK799" s="2042">
        <f t="shared" si="14"/>
        <v>0</v>
      </c>
    </row>
    <row r="800" spans="1:115">
      <c r="A800" t="s">
        <v>5171</v>
      </c>
      <c r="B800" t="s">
        <v>2010</v>
      </c>
      <c r="C800">
        <v>1223.345</v>
      </c>
      <c r="D800">
        <v>1276.4350000000002</v>
      </c>
      <c r="E800">
        <v>205.167</v>
      </c>
      <c r="F800">
        <v>0</v>
      </c>
      <c r="G800" s="2043">
        <v>1349187359</v>
      </c>
      <c r="H800">
        <v>0</v>
      </c>
      <c r="I800" s="2043">
        <v>874674</v>
      </c>
      <c r="J800">
        <v>61.167000000000002</v>
      </c>
      <c r="K800">
        <v>167</v>
      </c>
      <c r="L800">
        <v>0</v>
      </c>
      <c r="M800">
        <v>0</v>
      </c>
      <c r="N800">
        <v>0</v>
      </c>
      <c r="O800">
        <v>0</v>
      </c>
      <c r="P800">
        <v>0</v>
      </c>
      <c r="Q800">
        <v>0</v>
      </c>
      <c r="R800" s="2043">
        <v>12019476</v>
      </c>
      <c r="S800">
        <v>657952</v>
      </c>
      <c r="T800">
        <v>0</v>
      </c>
      <c r="U800">
        <v>0.05</v>
      </c>
      <c r="V800">
        <v>0</v>
      </c>
      <c r="W800">
        <v>43111</v>
      </c>
      <c r="X800">
        <v>0</v>
      </c>
      <c r="Y800">
        <v>228044</v>
      </c>
      <c r="Z800">
        <v>0</v>
      </c>
      <c r="AA800">
        <v>1.3000000000000001E-2</v>
      </c>
      <c r="AB800">
        <v>1214.7250000000001</v>
      </c>
      <c r="AC800" s="2043">
        <v>1301001364</v>
      </c>
      <c r="AD800">
        <v>4001605</v>
      </c>
      <c r="AE800" s="2043">
        <v>12677428</v>
      </c>
      <c r="AF800">
        <v>0.96340000000000003</v>
      </c>
      <c r="AG800">
        <v>0</v>
      </c>
      <c r="AH800">
        <v>43111</v>
      </c>
      <c r="AI800">
        <v>0</v>
      </c>
      <c r="AJ800">
        <v>221.4</v>
      </c>
      <c r="AK800">
        <v>5140</v>
      </c>
      <c r="AL800">
        <v>0.503</v>
      </c>
      <c r="AM800">
        <v>0</v>
      </c>
      <c r="AN800">
        <v>91.112000000000009</v>
      </c>
      <c r="AO800">
        <v>0</v>
      </c>
      <c r="AP800">
        <v>2.75</v>
      </c>
      <c r="AQ800">
        <v>0</v>
      </c>
      <c r="AR800">
        <v>13.072000000000001</v>
      </c>
      <c r="AS800">
        <v>0</v>
      </c>
      <c r="AT800">
        <v>6.2610000000000001</v>
      </c>
      <c r="AU800">
        <v>2.83</v>
      </c>
      <c r="AV800">
        <v>0</v>
      </c>
      <c r="AW800">
        <v>25.416</v>
      </c>
      <c r="AX800">
        <v>0</v>
      </c>
      <c r="AY800">
        <v>82.088999999999999</v>
      </c>
      <c r="AZ800">
        <v>0</v>
      </c>
      <c r="BA800">
        <v>1198932</v>
      </c>
      <c r="BB800">
        <v>16679033</v>
      </c>
      <c r="BC800">
        <v>0</v>
      </c>
      <c r="BD800">
        <v>73521</v>
      </c>
      <c r="BE800">
        <v>35347</v>
      </c>
      <c r="BF800">
        <v>109363</v>
      </c>
      <c r="BG800">
        <v>73521</v>
      </c>
      <c r="BH800">
        <v>495</v>
      </c>
      <c r="BI800">
        <v>0</v>
      </c>
      <c r="BJ800">
        <v>0</v>
      </c>
      <c r="BK800">
        <v>0</v>
      </c>
      <c r="BL800">
        <v>1349187359</v>
      </c>
      <c r="BM800">
        <v>0</v>
      </c>
      <c r="BN800">
        <v>4320</v>
      </c>
      <c r="BO800">
        <v>3841</v>
      </c>
      <c r="BP800">
        <v>0</v>
      </c>
      <c r="BQ800">
        <v>0</v>
      </c>
      <c r="BR800">
        <v>0.91339999999999999</v>
      </c>
      <c r="BS800">
        <v>0.91339999999999999</v>
      </c>
      <c r="BT800">
        <v>228044</v>
      </c>
      <c r="BU800">
        <v>0</v>
      </c>
      <c r="BV800">
        <v>440</v>
      </c>
      <c r="BW800">
        <v>14</v>
      </c>
      <c r="BX800">
        <v>473</v>
      </c>
      <c r="BY800">
        <v>0</v>
      </c>
      <c r="BZ800">
        <v>3</v>
      </c>
      <c r="CA800">
        <v>930</v>
      </c>
      <c r="CB800">
        <v>0</v>
      </c>
      <c r="CC800">
        <v>0</v>
      </c>
      <c r="CD800">
        <v>0</v>
      </c>
      <c r="CE800">
        <v>28</v>
      </c>
      <c r="CF800">
        <v>341.40800000000002</v>
      </c>
      <c r="CG800">
        <v>0</v>
      </c>
      <c r="CH800">
        <v>0</v>
      </c>
      <c r="CI800">
        <v>12</v>
      </c>
      <c r="CJ800">
        <v>11</v>
      </c>
      <c r="CK800">
        <v>0</v>
      </c>
      <c r="CL800">
        <v>0</v>
      </c>
      <c r="CM800">
        <v>205.167</v>
      </c>
      <c r="CN800">
        <v>0</v>
      </c>
      <c r="CO800">
        <v>0</v>
      </c>
      <c r="CP800">
        <v>0</v>
      </c>
      <c r="CQ800">
        <v>0</v>
      </c>
      <c r="CR800">
        <v>0</v>
      </c>
      <c r="CS800">
        <v>0</v>
      </c>
      <c r="CT800">
        <v>0</v>
      </c>
      <c r="CU800">
        <v>21.584</v>
      </c>
      <c r="CV800">
        <v>74.006</v>
      </c>
      <c r="CW800">
        <v>38.43</v>
      </c>
      <c r="CX800">
        <v>228044</v>
      </c>
      <c r="CY800" s="2043">
        <v>0</v>
      </c>
      <c r="CZ800" s="2043">
        <v>0</v>
      </c>
      <c r="DA800" s="2043">
        <v>0</v>
      </c>
      <c r="DB800" s="2043">
        <v>0</v>
      </c>
      <c r="DC800" s="2043">
        <v>355883</v>
      </c>
      <c r="DI800" t="s">
        <v>5171</v>
      </c>
      <c r="DJ800" t="s">
        <v>5171</v>
      </c>
      <c r="DK800" s="2042">
        <f t="shared" si="14"/>
        <v>0</v>
      </c>
    </row>
    <row r="801" spans="1:115">
      <c r="A801" t="s">
        <v>5847</v>
      </c>
      <c r="B801" t="s">
        <v>2011</v>
      </c>
      <c r="C801">
        <v>1012.6850000000001</v>
      </c>
      <c r="D801">
        <v>1006.0740000000001</v>
      </c>
      <c r="E801">
        <v>27.499000000000002</v>
      </c>
      <c r="F801">
        <v>0</v>
      </c>
      <c r="G801" s="2043">
        <v>745388957</v>
      </c>
      <c r="H801">
        <v>0</v>
      </c>
      <c r="I801" s="2043">
        <v>6060341</v>
      </c>
      <c r="J801">
        <v>50.634</v>
      </c>
      <c r="K801">
        <v>138</v>
      </c>
      <c r="L801">
        <v>0</v>
      </c>
      <c r="M801">
        <v>0</v>
      </c>
      <c r="N801">
        <v>0</v>
      </c>
      <c r="O801">
        <v>0</v>
      </c>
      <c r="P801">
        <v>0</v>
      </c>
      <c r="Q801">
        <v>0</v>
      </c>
      <c r="R801" s="2043">
        <v>5926246</v>
      </c>
      <c r="S801">
        <v>360477</v>
      </c>
      <c r="T801">
        <v>0</v>
      </c>
      <c r="U801">
        <v>0.05</v>
      </c>
      <c r="V801">
        <v>162.398</v>
      </c>
      <c r="W801">
        <v>0</v>
      </c>
      <c r="X801">
        <v>0</v>
      </c>
      <c r="Y801">
        <v>0</v>
      </c>
      <c r="Z801">
        <v>18.097000000000001</v>
      </c>
      <c r="AA801">
        <v>6.4000000000000001E-2</v>
      </c>
      <c r="AB801">
        <v>1002.735</v>
      </c>
      <c r="AC801" s="2043">
        <v>641521194</v>
      </c>
      <c r="AD801">
        <v>6199836</v>
      </c>
      <c r="AE801" s="2043">
        <v>6286723</v>
      </c>
      <c r="AF801">
        <v>0.872</v>
      </c>
      <c r="AG801">
        <v>0</v>
      </c>
      <c r="AH801">
        <v>0</v>
      </c>
      <c r="AI801">
        <v>0</v>
      </c>
      <c r="AJ801">
        <v>139.988</v>
      </c>
      <c r="AK801">
        <v>3192</v>
      </c>
      <c r="AL801">
        <v>0</v>
      </c>
      <c r="AM801">
        <v>0</v>
      </c>
      <c r="AN801">
        <v>43.300000000000004</v>
      </c>
      <c r="AO801">
        <v>1</v>
      </c>
      <c r="AP801">
        <v>0</v>
      </c>
      <c r="AQ801">
        <v>0</v>
      </c>
      <c r="AR801">
        <v>10.163</v>
      </c>
      <c r="AS801">
        <v>0</v>
      </c>
      <c r="AT801">
        <v>6.6030000000000006</v>
      </c>
      <c r="AU801">
        <v>1.5030000000000001</v>
      </c>
      <c r="AV801">
        <v>0</v>
      </c>
      <c r="AW801">
        <v>18.269000000000002</v>
      </c>
      <c r="AX801">
        <v>0</v>
      </c>
      <c r="AY801">
        <v>57.813000000000002</v>
      </c>
      <c r="AZ801">
        <v>0</v>
      </c>
      <c r="BA801">
        <v>4676295</v>
      </c>
      <c r="BB801">
        <v>12486559</v>
      </c>
      <c r="BC801">
        <v>0</v>
      </c>
      <c r="BD801">
        <v>65188</v>
      </c>
      <c r="BE801">
        <v>4087</v>
      </c>
      <c r="BF801">
        <v>69275</v>
      </c>
      <c r="BG801">
        <v>65188</v>
      </c>
      <c r="BH801">
        <v>0</v>
      </c>
      <c r="BI801">
        <v>0</v>
      </c>
      <c r="BJ801">
        <v>0</v>
      </c>
      <c r="BK801">
        <v>0</v>
      </c>
      <c r="BL801">
        <v>745388957</v>
      </c>
      <c r="BM801">
        <v>0</v>
      </c>
      <c r="BN801">
        <v>3843</v>
      </c>
      <c r="BO801">
        <v>2236</v>
      </c>
      <c r="BP801">
        <v>0</v>
      </c>
      <c r="BQ801">
        <v>0</v>
      </c>
      <c r="BR801">
        <v>0.82200000000000006</v>
      </c>
      <c r="BS801">
        <v>0.82200000000000006</v>
      </c>
      <c r="BT801">
        <v>0</v>
      </c>
      <c r="BU801">
        <v>0</v>
      </c>
      <c r="BV801">
        <v>211</v>
      </c>
      <c r="BW801">
        <v>352</v>
      </c>
      <c r="BX801">
        <v>6</v>
      </c>
      <c r="BY801">
        <v>1</v>
      </c>
      <c r="BZ801">
        <v>26</v>
      </c>
      <c r="CA801">
        <v>596</v>
      </c>
      <c r="CB801">
        <v>0</v>
      </c>
      <c r="CC801">
        <v>0</v>
      </c>
      <c r="CD801">
        <v>0</v>
      </c>
      <c r="CE801">
        <v>45</v>
      </c>
      <c r="CF801">
        <v>174.21100000000001</v>
      </c>
      <c r="CG801">
        <v>0</v>
      </c>
      <c r="CH801">
        <v>0</v>
      </c>
      <c r="CI801">
        <v>1</v>
      </c>
      <c r="CJ801">
        <v>7</v>
      </c>
      <c r="CK801">
        <v>0</v>
      </c>
      <c r="CL801">
        <v>0</v>
      </c>
      <c r="CM801">
        <v>27.499000000000002</v>
      </c>
      <c r="CN801">
        <v>0</v>
      </c>
      <c r="CO801">
        <v>0</v>
      </c>
      <c r="CP801">
        <v>0</v>
      </c>
      <c r="CQ801">
        <v>0</v>
      </c>
      <c r="CR801">
        <v>0</v>
      </c>
      <c r="CS801">
        <v>0</v>
      </c>
      <c r="CT801">
        <v>0</v>
      </c>
      <c r="CU801">
        <v>2.746</v>
      </c>
      <c r="CV801">
        <v>77.096000000000004</v>
      </c>
      <c r="CW801">
        <v>38.007000000000005</v>
      </c>
      <c r="CX801">
        <v>0</v>
      </c>
      <c r="CY801" s="2043">
        <v>0</v>
      </c>
      <c r="CZ801" s="2043">
        <v>0</v>
      </c>
      <c r="DA801" s="2043">
        <v>0</v>
      </c>
      <c r="DB801" s="2043">
        <v>0</v>
      </c>
      <c r="DC801" s="2043">
        <v>0</v>
      </c>
      <c r="DI801" t="s">
        <v>5847</v>
      </c>
      <c r="DJ801" t="s">
        <v>5847</v>
      </c>
      <c r="DK801" s="2042">
        <f t="shared" si="14"/>
        <v>0</v>
      </c>
    </row>
    <row r="802" spans="1:115">
      <c r="A802" t="s">
        <v>3117</v>
      </c>
      <c r="B802" t="s">
        <v>1713</v>
      </c>
      <c r="C802">
        <v>12170.858</v>
      </c>
      <c r="D802">
        <v>13239.457</v>
      </c>
      <c r="E802">
        <v>4947.9859999999999</v>
      </c>
      <c r="F802">
        <v>0</v>
      </c>
      <c r="G802" s="2043">
        <v>2730367451</v>
      </c>
      <c r="H802">
        <v>0</v>
      </c>
      <c r="I802" s="2043">
        <v>4239150</v>
      </c>
      <c r="J802">
        <v>608.54300000000001</v>
      </c>
      <c r="K802">
        <v>1664</v>
      </c>
      <c r="L802">
        <v>1074732</v>
      </c>
      <c r="M802">
        <v>1918618</v>
      </c>
      <c r="N802">
        <v>1074732</v>
      </c>
      <c r="O802">
        <v>2993350</v>
      </c>
      <c r="P802">
        <v>0</v>
      </c>
      <c r="Q802">
        <v>0</v>
      </c>
      <c r="R802" s="2043">
        <v>24379903</v>
      </c>
      <c r="S802">
        <v>2136948</v>
      </c>
      <c r="T802">
        <v>1559972</v>
      </c>
      <c r="U802">
        <v>0.08</v>
      </c>
      <c r="V802">
        <v>0</v>
      </c>
      <c r="W802">
        <v>0</v>
      </c>
      <c r="X802">
        <v>0</v>
      </c>
      <c r="Y802">
        <v>-3469</v>
      </c>
      <c r="Z802">
        <v>0</v>
      </c>
      <c r="AA802">
        <v>1.7710000000000001</v>
      </c>
      <c r="AB802">
        <v>12884.965</v>
      </c>
      <c r="AC802" s="2043">
        <v>2557916625</v>
      </c>
      <c r="AD802">
        <v>2589360</v>
      </c>
      <c r="AE802" s="2043">
        <v>28076823</v>
      </c>
      <c r="AF802">
        <v>1.0511000000000001</v>
      </c>
      <c r="AG802">
        <v>0</v>
      </c>
      <c r="AH802">
        <v>0</v>
      </c>
      <c r="AI802">
        <v>0</v>
      </c>
      <c r="AJ802">
        <v>2830.5129999999999</v>
      </c>
      <c r="AK802">
        <v>36401</v>
      </c>
      <c r="AL802">
        <v>1.603</v>
      </c>
      <c r="AM802">
        <v>0</v>
      </c>
      <c r="AN802">
        <v>204.63800000000001</v>
      </c>
      <c r="AO802">
        <v>0</v>
      </c>
      <c r="AP802">
        <v>0</v>
      </c>
      <c r="AQ802">
        <v>0</v>
      </c>
      <c r="AR802">
        <v>288.70600000000002</v>
      </c>
      <c r="AS802">
        <v>0</v>
      </c>
      <c r="AT802">
        <v>102.77</v>
      </c>
      <c r="AU802">
        <v>27.504000000000001</v>
      </c>
      <c r="AV802">
        <v>0</v>
      </c>
      <c r="AW802">
        <v>443.19100000000003</v>
      </c>
      <c r="AX802">
        <v>22.608000000000001</v>
      </c>
      <c r="AY802">
        <v>1371.961</v>
      </c>
      <c r="AZ802">
        <v>0</v>
      </c>
      <c r="BA802">
        <v>101534833</v>
      </c>
      <c r="BB802">
        <v>30666183</v>
      </c>
      <c r="BC802">
        <v>0</v>
      </c>
      <c r="BD802">
        <v>331740</v>
      </c>
      <c r="BE802">
        <v>111586</v>
      </c>
      <c r="BF802">
        <v>568787</v>
      </c>
      <c r="BG802">
        <v>331740</v>
      </c>
      <c r="BH802">
        <v>125461</v>
      </c>
      <c r="BI802">
        <v>0</v>
      </c>
      <c r="BJ802">
        <v>-3469</v>
      </c>
      <c r="BK802">
        <v>0</v>
      </c>
      <c r="BL802">
        <v>2730367451</v>
      </c>
      <c r="BM802">
        <v>0</v>
      </c>
      <c r="BN802">
        <v>51714</v>
      </c>
      <c r="BO802">
        <v>22427</v>
      </c>
      <c r="BP802">
        <v>0</v>
      </c>
      <c r="BQ802">
        <v>0</v>
      </c>
      <c r="BR802">
        <v>0.91270000000000007</v>
      </c>
      <c r="BS802">
        <v>0.91270000000000007</v>
      </c>
      <c r="BT802">
        <v>0</v>
      </c>
      <c r="BU802">
        <v>0</v>
      </c>
      <c r="BV802">
        <v>239</v>
      </c>
      <c r="BW802">
        <v>2318</v>
      </c>
      <c r="BX802">
        <v>2760</v>
      </c>
      <c r="BY802">
        <v>4307</v>
      </c>
      <c r="BZ802">
        <v>1475</v>
      </c>
      <c r="CA802">
        <v>11099</v>
      </c>
      <c r="CB802">
        <v>0</v>
      </c>
      <c r="CC802">
        <v>0</v>
      </c>
      <c r="CD802">
        <v>0</v>
      </c>
      <c r="CE802">
        <v>424</v>
      </c>
      <c r="CF802">
        <v>5067.29</v>
      </c>
      <c r="CG802">
        <v>0</v>
      </c>
      <c r="CH802">
        <v>6.0000000000000001E-3</v>
      </c>
      <c r="CI802">
        <v>93</v>
      </c>
      <c r="CJ802">
        <v>0</v>
      </c>
      <c r="CK802">
        <v>1</v>
      </c>
      <c r="CL802">
        <v>6.0000000000000001E-3</v>
      </c>
      <c r="CM802">
        <v>4947.9859999999999</v>
      </c>
      <c r="CN802">
        <v>0</v>
      </c>
      <c r="CO802">
        <v>0</v>
      </c>
      <c r="CP802">
        <v>0</v>
      </c>
      <c r="CQ802">
        <v>0</v>
      </c>
      <c r="CR802">
        <v>0</v>
      </c>
      <c r="CS802">
        <v>0</v>
      </c>
      <c r="CT802">
        <v>0</v>
      </c>
      <c r="CU802">
        <v>0</v>
      </c>
      <c r="CV802">
        <v>697.16800000000001</v>
      </c>
      <c r="CW802">
        <v>402.76400000000001</v>
      </c>
      <c r="CX802">
        <v>0</v>
      </c>
      <c r="CY802" s="2043">
        <v>0</v>
      </c>
      <c r="CZ802" s="2043">
        <v>0</v>
      </c>
      <c r="DA802" s="2043">
        <v>0</v>
      </c>
      <c r="DB802" s="2043">
        <v>0</v>
      </c>
      <c r="DC802" s="2043">
        <v>0</v>
      </c>
      <c r="DI802" t="s">
        <v>3117</v>
      </c>
      <c r="DJ802" t="s">
        <v>3117</v>
      </c>
      <c r="DK802" s="2042">
        <f t="shared" si="14"/>
        <v>0</v>
      </c>
    </row>
    <row r="803" spans="1:115">
      <c r="A803" t="s">
        <v>3118</v>
      </c>
      <c r="B803" t="s">
        <v>833</v>
      </c>
      <c r="C803">
        <v>874.63499999999999</v>
      </c>
      <c r="D803">
        <v>925.22700000000009</v>
      </c>
      <c r="E803">
        <v>29.315000000000001</v>
      </c>
      <c r="F803">
        <v>0</v>
      </c>
      <c r="G803" s="2043">
        <v>502515133</v>
      </c>
      <c r="H803">
        <v>0</v>
      </c>
      <c r="I803" s="2043">
        <v>1760978</v>
      </c>
      <c r="J803">
        <v>43.731999999999999</v>
      </c>
      <c r="K803">
        <v>120</v>
      </c>
      <c r="L803">
        <v>0</v>
      </c>
      <c r="M803">
        <v>657732</v>
      </c>
      <c r="N803">
        <v>0</v>
      </c>
      <c r="O803">
        <v>657732</v>
      </c>
      <c r="P803">
        <v>0</v>
      </c>
      <c r="Q803">
        <v>0</v>
      </c>
      <c r="R803" s="2043">
        <v>4002482</v>
      </c>
      <c r="S803">
        <v>243460</v>
      </c>
      <c r="T803">
        <v>0</v>
      </c>
      <c r="U803">
        <v>0.05</v>
      </c>
      <c r="V803">
        <v>0</v>
      </c>
      <c r="W803">
        <v>0</v>
      </c>
      <c r="X803">
        <v>0</v>
      </c>
      <c r="Y803">
        <v>0</v>
      </c>
      <c r="Z803">
        <v>0.95200000000000007</v>
      </c>
      <c r="AA803">
        <v>0.16200000000000001</v>
      </c>
      <c r="AB803">
        <v>904</v>
      </c>
      <c r="AC803" s="2043">
        <v>512429442</v>
      </c>
      <c r="AD803">
        <v>1674251</v>
      </c>
      <c r="AE803" s="2043">
        <v>4245942</v>
      </c>
      <c r="AF803">
        <v>0.872</v>
      </c>
      <c r="AG803">
        <v>0</v>
      </c>
      <c r="AH803">
        <v>0</v>
      </c>
      <c r="AI803">
        <v>0</v>
      </c>
      <c r="AJ803">
        <v>164.21299999999999</v>
      </c>
      <c r="AK803">
        <v>3706</v>
      </c>
      <c r="AL803">
        <v>0.13600000000000001</v>
      </c>
      <c r="AM803">
        <v>0</v>
      </c>
      <c r="AN803">
        <v>37.92</v>
      </c>
      <c r="AO803">
        <v>0</v>
      </c>
      <c r="AP803">
        <v>0</v>
      </c>
      <c r="AQ803">
        <v>0</v>
      </c>
      <c r="AR803">
        <v>12.833</v>
      </c>
      <c r="AS803">
        <v>0</v>
      </c>
      <c r="AT803">
        <v>8.92</v>
      </c>
      <c r="AU803">
        <v>2.3980000000000001</v>
      </c>
      <c r="AV803">
        <v>0</v>
      </c>
      <c r="AW803">
        <v>24.821000000000002</v>
      </c>
      <c r="AX803">
        <v>0.53400000000000003</v>
      </c>
      <c r="AY803">
        <v>79.157000000000011</v>
      </c>
      <c r="AZ803">
        <v>0</v>
      </c>
      <c r="BA803">
        <v>5983255</v>
      </c>
      <c r="BB803">
        <v>5920193</v>
      </c>
      <c r="BC803">
        <v>0</v>
      </c>
      <c r="BD803">
        <v>73683</v>
      </c>
      <c r="BE803">
        <v>5157</v>
      </c>
      <c r="BF803">
        <v>78840</v>
      </c>
      <c r="BG803">
        <v>73683</v>
      </c>
      <c r="BH803">
        <v>0</v>
      </c>
      <c r="BI803">
        <v>0</v>
      </c>
      <c r="BJ803">
        <v>0</v>
      </c>
      <c r="BK803">
        <v>0</v>
      </c>
      <c r="BL803">
        <v>502515133</v>
      </c>
      <c r="BM803">
        <v>0</v>
      </c>
      <c r="BN803">
        <v>3285</v>
      </c>
      <c r="BO803">
        <v>2343</v>
      </c>
      <c r="BP803">
        <v>0</v>
      </c>
      <c r="BQ803">
        <v>0</v>
      </c>
      <c r="BR803">
        <v>0.82200000000000006</v>
      </c>
      <c r="BS803">
        <v>0.82200000000000006</v>
      </c>
      <c r="BT803">
        <v>0</v>
      </c>
      <c r="BU803">
        <v>0</v>
      </c>
      <c r="BV803">
        <v>66</v>
      </c>
      <c r="BW803">
        <v>259</v>
      </c>
      <c r="BX803">
        <v>135</v>
      </c>
      <c r="BY803">
        <v>204</v>
      </c>
      <c r="BZ803">
        <v>2</v>
      </c>
      <c r="CA803">
        <v>666</v>
      </c>
      <c r="CB803">
        <v>0</v>
      </c>
      <c r="CC803">
        <v>0</v>
      </c>
      <c r="CD803">
        <v>0</v>
      </c>
      <c r="CE803">
        <v>87</v>
      </c>
      <c r="CF803">
        <v>188.71</v>
      </c>
      <c r="CG803">
        <v>0</v>
      </c>
      <c r="CH803">
        <v>0</v>
      </c>
      <c r="CI803">
        <v>7</v>
      </c>
      <c r="CJ803">
        <v>9</v>
      </c>
      <c r="CK803">
        <v>0</v>
      </c>
      <c r="CL803">
        <v>0</v>
      </c>
      <c r="CM803">
        <v>29.315000000000001</v>
      </c>
      <c r="CN803">
        <v>0</v>
      </c>
      <c r="CO803">
        <v>0</v>
      </c>
      <c r="CP803">
        <v>0</v>
      </c>
      <c r="CQ803">
        <v>0</v>
      </c>
      <c r="CR803">
        <v>0</v>
      </c>
      <c r="CS803">
        <v>0</v>
      </c>
      <c r="CT803">
        <v>0</v>
      </c>
      <c r="CU803">
        <v>0</v>
      </c>
      <c r="CV803">
        <v>56.737000000000002</v>
      </c>
      <c r="CW803">
        <v>25.654</v>
      </c>
      <c r="CX803">
        <v>0</v>
      </c>
      <c r="CY803" s="2043">
        <v>0</v>
      </c>
      <c r="CZ803" s="2043">
        <v>0</v>
      </c>
      <c r="DA803" s="2043">
        <v>0</v>
      </c>
      <c r="DB803" s="2043">
        <v>0</v>
      </c>
      <c r="DC803" s="2043">
        <v>0</v>
      </c>
      <c r="DI803" t="s">
        <v>3118</v>
      </c>
      <c r="DJ803" t="s">
        <v>3118</v>
      </c>
      <c r="DK803" s="2042">
        <f t="shared" si="14"/>
        <v>0</v>
      </c>
    </row>
    <row r="804" spans="1:115">
      <c r="A804" t="s">
        <v>5848</v>
      </c>
      <c r="B804" t="s">
        <v>1318</v>
      </c>
      <c r="C804">
        <v>179.78300000000002</v>
      </c>
      <c r="D804">
        <v>207.27800000000002</v>
      </c>
      <c r="E804">
        <v>0</v>
      </c>
      <c r="F804">
        <v>0</v>
      </c>
      <c r="G804" s="2043">
        <v>156911271</v>
      </c>
      <c r="H804">
        <v>0</v>
      </c>
      <c r="I804" s="2043">
        <v>0</v>
      </c>
      <c r="J804">
        <v>8.9890000000000008</v>
      </c>
      <c r="K804">
        <v>25</v>
      </c>
      <c r="L804">
        <v>0</v>
      </c>
      <c r="M804">
        <v>0</v>
      </c>
      <c r="N804">
        <v>0</v>
      </c>
      <c r="O804">
        <v>0</v>
      </c>
      <c r="P804">
        <v>0</v>
      </c>
      <c r="Q804">
        <v>0</v>
      </c>
      <c r="R804" s="2043">
        <v>1272806</v>
      </c>
      <c r="S804">
        <v>77421</v>
      </c>
      <c r="T804">
        <v>0</v>
      </c>
      <c r="U804">
        <v>0.05</v>
      </c>
      <c r="V804">
        <v>0</v>
      </c>
      <c r="W804">
        <v>0</v>
      </c>
      <c r="X804">
        <v>0</v>
      </c>
      <c r="Y804">
        <v>0</v>
      </c>
      <c r="Z804">
        <v>0</v>
      </c>
      <c r="AA804">
        <v>0</v>
      </c>
      <c r="AB804">
        <v>186.63200000000001</v>
      </c>
      <c r="AC804" s="2043">
        <v>91839912</v>
      </c>
      <c r="AD804">
        <v>0</v>
      </c>
      <c r="AE804" s="2043">
        <v>1350227</v>
      </c>
      <c r="AF804">
        <v>0.872</v>
      </c>
      <c r="AG804">
        <v>0</v>
      </c>
      <c r="AH804">
        <v>0</v>
      </c>
      <c r="AI804">
        <v>0</v>
      </c>
      <c r="AJ804">
        <v>28.263000000000002</v>
      </c>
      <c r="AK804">
        <v>790</v>
      </c>
      <c r="AL804">
        <v>0</v>
      </c>
      <c r="AM804">
        <v>0</v>
      </c>
      <c r="AN804">
        <v>6.625</v>
      </c>
      <c r="AO804">
        <v>0</v>
      </c>
      <c r="AP804">
        <v>0</v>
      </c>
      <c r="AQ804">
        <v>0</v>
      </c>
      <c r="AR804">
        <v>3.9380000000000002</v>
      </c>
      <c r="AS804">
        <v>0</v>
      </c>
      <c r="AT804">
        <v>0.14800000000000002</v>
      </c>
      <c r="AU804">
        <v>0.44900000000000001</v>
      </c>
      <c r="AV804">
        <v>0</v>
      </c>
      <c r="AW804">
        <v>4.5350000000000001</v>
      </c>
      <c r="AX804">
        <v>0</v>
      </c>
      <c r="AY804">
        <v>14.503</v>
      </c>
      <c r="AZ804">
        <v>0</v>
      </c>
      <c r="BA804">
        <v>1165241</v>
      </c>
      <c r="BB804">
        <v>1350227</v>
      </c>
      <c r="BC804">
        <v>0</v>
      </c>
      <c r="BD804">
        <v>35753</v>
      </c>
      <c r="BE804">
        <v>0</v>
      </c>
      <c r="BF804">
        <v>35753</v>
      </c>
      <c r="BG804">
        <v>35753</v>
      </c>
      <c r="BH804">
        <v>0</v>
      </c>
      <c r="BI804">
        <v>0</v>
      </c>
      <c r="BJ804">
        <v>0</v>
      </c>
      <c r="BK804">
        <v>0</v>
      </c>
      <c r="BL804">
        <v>156911271</v>
      </c>
      <c r="BM804">
        <v>0</v>
      </c>
      <c r="BN804">
        <v>666</v>
      </c>
      <c r="BO804">
        <v>460</v>
      </c>
      <c r="BP804">
        <v>104566</v>
      </c>
      <c r="BQ804">
        <v>0</v>
      </c>
      <c r="BR804">
        <v>0.82200000000000006</v>
      </c>
      <c r="BS804">
        <v>0.82200000000000006</v>
      </c>
      <c r="BT804">
        <v>0</v>
      </c>
      <c r="BU804">
        <v>0</v>
      </c>
      <c r="BV804">
        <v>48</v>
      </c>
      <c r="BW804">
        <v>26</v>
      </c>
      <c r="BX804">
        <v>21</v>
      </c>
      <c r="BY804">
        <v>23</v>
      </c>
      <c r="BZ804">
        <v>0</v>
      </c>
      <c r="CA804">
        <v>118</v>
      </c>
      <c r="CB804">
        <v>0</v>
      </c>
      <c r="CC804">
        <v>0</v>
      </c>
      <c r="CD804">
        <v>0</v>
      </c>
      <c r="CE804">
        <v>45</v>
      </c>
      <c r="CF804">
        <v>30.578000000000003</v>
      </c>
      <c r="CG804">
        <v>0</v>
      </c>
      <c r="CH804">
        <v>0</v>
      </c>
      <c r="CI804">
        <v>3</v>
      </c>
      <c r="CJ804">
        <v>2</v>
      </c>
      <c r="CK804">
        <v>1</v>
      </c>
      <c r="CL804">
        <v>0</v>
      </c>
      <c r="CM804">
        <v>0</v>
      </c>
      <c r="CN804">
        <v>69711</v>
      </c>
      <c r="CO804">
        <v>25484</v>
      </c>
      <c r="CP804">
        <v>6371</v>
      </c>
      <c r="CQ804">
        <v>3000</v>
      </c>
      <c r="CR804">
        <v>0</v>
      </c>
      <c r="CS804">
        <v>0</v>
      </c>
      <c r="CT804">
        <v>0</v>
      </c>
      <c r="CU804">
        <v>0</v>
      </c>
      <c r="CV804">
        <v>13.898000000000001</v>
      </c>
      <c r="CW804">
        <v>1.351</v>
      </c>
      <c r="CX804">
        <v>0</v>
      </c>
      <c r="CY804" s="2043">
        <v>0</v>
      </c>
      <c r="CZ804" s="2043">
        <v>0</v>
      </c>
      <c r="DA804" s="2043">
        <v>0</v>
      </c>
      <c r="DB804" s="2043">
        <v>0</v>
      </c>
      <c r="DC804" s="2043">
        <v>0</v>
      </c>
      <c r="DI804" t="s">
        <v>5848</v>
      </c>
      <c r="DJ804" t="s">
        <v>5848</v>
      </c>
      <c r="DK804" s="2042">
        <f t="shared" si="14"/>
        <v>0</v>
      </c>
    </row>
    <row r="805" spans="1:115">
      <c r="A805" t="s">
        <v>3119</v>
      </c>
      <c r="B805" t="s">
        <v>1875</v>
      </c>
      <c r="C805">
        <v>115.328</v>
      </c>
      <c r="D805">
        <v>93.7</v>
      </c>
      <c r="E805">
        <v>0</v>
      </c>
      <c r="F805">
        <v>0</v>
      </c>
      <c r="G805" s="2043">
        <v>106381882</v>
      </c>
      <c r="H805">
        <v>0</v>
      </c>
      <c r="I805" s="2043">
        <v>94015</v>
      </c>
      <c r="J805">
        <v>5</v>
      </c>
      <c r="K805">
        <v>14</v>
      </c>
      <c r="L805">
        <v>0</v>
      </c>
      <c r="M805">
        <v>94015</v>
      </c>
      <c r="N805">
        <v>0</v>
      </c>
      <c r="O805">
        <v>94015</v>
      </c>
      <c r="P805">
        <v>0</v>
      </c>
      <c r="Q805">
        <v>0</v>
      </c>
      <c r="R805" s="2043">
        <v>871875</v>
      </c>
      <c r="S805">
        <v>84854</v>
      </c>
      <c r="T805">
        <v>27471</v>
      </c>
      <c r="U805">
        <v>0.08</v>
      </c>
      <c r="V805">
        <v>0</v>
      </c>
      <c r="W805">
        <v>0</v>
      </c>
      <c r="X805">
        <v>0</v>
      </c>
      <c r="Y805">
        <v>289222</v>
      </c>
      <c r="Z805">
        <v>0</v>
      </c>
      <c r="AA805">
        <v>0</v>
      </c>
      <c r="AB805">
        <v>93.7</v>
      </c>
      <c r="AC805" s="2043">
        <v>62026584</v>
      </c>
      <c r="AD805">
        <v>98774</v>
      </c>
      <c r="AE805" s="2043">
        <v>984200</v>
      </c>
      <c r="AF805">
        <v>0.92790000000000006</v>
      </c>
      <c r="AG805">
        <v>0</v>
      </c>
      <c r="AH805">
        <v>0</v>
      </c>
      <c r="AI805">
        <v>0</v>
      </c>
      <c r="AJ805">
        <v>20.988</v>
      </c>
      <c r="AK805">
        <v>1073</v>
      </c>
      <c r="AL805">
        <v>0</v>
      </c>
      <c r="AM805">
        <v>0</v>
      </c>
      <c r="AN805">
        <v>6.5010000000000003</v>
      </c>
      <c r="AO805">
        <v>0</v>
      </c>
      <c r="AP805">
        <v>0</v>
      </c>
      <c r="AQ805">
        <v>0</v>
      </c>
      <c r="AR805">
        <v>6.88</v>
      </c>
      <c r="AS805">
        <v>0</v>
      </c>
      <c r="AT805">
        <v>0</v>
      </c>
      <c r="AU805">
        <v>0.34600000000000003</v>
      </c>
      <c r="AV805">
        <v>0</v>
      </c>
      <c r="AW805">
        <v>7.226</v>
      </c>
      <c r="AX805">
        <v>0</v>
      </c>
      <c r="AY805">
        <v>22.37</v>
      </c>
      <c r="AZ805">
        <v>0</v>
      </c>
      <c r="BA805">
        <v>1468285</v>
      </c>
      <c r="BB805">
        <v>1082974</v>
      </c>
      <c r="BC805">
        <v>0</v>
      </c>
      <c r="BD805">
        <v>12959</v>
      </c>
      <c r="BE805">
        <v>0</v>
      </c>
      <c r="BF805">
        <v>12959</v>
      </c>
      <c r="BG805">
        <v>12959</v>
      </c>
      <c r="BH805">
        <v>0</v>
      </c>
      <c r="BI805">
        <v>0</v>
      </c>
      <c r="BJ805">
        <v>0</v>
      </c>
      <c r="BK805">
        <v>0</v>
      </c>
      <c r="BL805">
        <v>106381882</v>
      </c>
      <c r="BM805">
        <v>0</v>
      </c>
      <c r="BN805">
        <v>450</v>
      </c>
      <c r="BO805">
        <v>203</v>
      </c>
      <c r="BP805">
        <v>0</v>
      </c>
      <c r="BQ805">
        <v>0</v>
      </c>
      <c r="BR805">
        <v>0.82200000000000006</v>
      </c>
      <c r="BS805">
        <v>0.82200000000000006</v>
      </c>
      <c r="BT805">
        <v>0</v>
      </c>
      <c r="BU805">
        <v>0</v>
      </c>
      <c r="BV805">
        <v>11</v>
      </c>
      <c r="BW805">
        <v>26</v>
      </c>
      <c r="BX805">
        <v>23</v>
      </c>
      <c r="BY805">
        <v>23</v>
      </c>
      <c r="BZ805">
        <v>2</v>
      </c>
      <c r="CA805">
        <v>85</v>
      </c>
      <c r="CB805">
        <v>0</v>
      </c>
      <c r="CC805">
        <v>0</v>
      </c>
      <c r="CD805">
        <v>0</v>
      </c>
      <c r="CE805">
        <v>14</v>
      </c>
      <c r="CF805">
        <v>23.586000000000002</v>
      </c>
      <c r="CG805">
        <v>0</v>
      </c>
      <c r="CH805">
        <v>0</v>
      </c>
      <c r="CI805">
        <v>0</v>
      </c>
      <c r="CJ805">
        <v>1</v>
      </c>
      <c r="CK805">
        <v>0</v>
      </c>
      <c r="CL805">
        <v>0</v>
      </c>
      <c r="CM805">
        <v>0</v>
      </c>
      <c r="CN805">
        <v>0</v>
      </c>
      <c r="CO805">
        <v>0</v>
      </c>
      <c r="CP805">
        <v>0</v>
      </c>
      <c r="CQ805">
        <v>0</v>
      </c>
      <c r="CR805">
        <v>0</v>
      </c>
      <c r="CS805">
        <v>0</v>
      </c>
      <c r="CT805">
        <v>0</v>
      </c>
      <c r="CU805">
        <v>0</v>
      </c>
      <c r="CV805">
        <v>5.0680000000000005</v>
      </c>
      <c r="CW805">
        <v>6.2060000000000004</v>
      </c>
      <c r="CX805">
        <v>0</v>
      </c>
      <c r="CY805" s="2043">
        <v>289222</v>
      </c>
      <c r="CZ805" s="2043">
        <v>0</v>
      </c>
      <c r="DA805" s="2043">
        <v>0</v>
      </c>
      <c r="DB805" s="2043">
        <v>0</v>
      </c>
      <c r="DC805" s="2043">
        <v>0</v>
      </c>
      <c r="DI805" t="s">
        <v>3119</v>
      </c>
      <c r="DJ805" t="s">
        <v>3119</v>
      </c>
      <c r="DK805" s="2042">
        <f t="shared" si="14"/>
        <v>0</v>
      </c>
    </row>
    <row r="806" spans="1:115">
      <c r="A806" t="s">
        <v>8059</v>
      </c>
      <c r="B806" t="s">
        <v>11380</v>
      </c>
      <c r="C806">
        <v>171.40100000000001</v>
      </c>
      <c r="D806">
        <v>221.435</v>
      </c>
      <c r="E806">
        <v>51.350999999999999</v>
      </c>
      <c r="F806">
        <v>0</v>
      </c>
      <c r="G806" s="2043">
        <v>0</v>
      </c>
      <c r="H806">
        <v>0</v>
      </c>
      <c r="I806" s="2043">
        <v>0</v>
      </c>
      <c r="J806">
        <v>6</v>
      </c>
      <c r="K806">
        <v>16</v>
      </c>
      <c r="L806">
        <v>0</v>
      </c>
      <c r="M806">
        <v>0</v>
      </c>
      <c r="N806">
        <v>0</v>
      </c>
      <c r="O806">
        <v>0</v>
      </c>
      <c r="P806">
        <v>0</v>
      </c>
      <c r="Q806">
        <v>0</v>
      </c>
      <c r="R806" s="2043">
        <v>0</v>
      </c>
      <c r="S806">
        <v>0</v>
      </c>
      <c r="T806">
        <v>0</v>
      </c>
      <c r="U806">
        <v>0</v>
      </c>
      <c r="V806">
        <v>0</v>
      </c>
      <c r="W806">
        <v>0</v>
      </c>
      <c r="X806">
        <v>0</v>
      </c>
      <c r="Y806">
        <v>30301</v>
      </c>
      <c r="Z806">
        <v>0</v>
      </c>
      <c r="AA806">
        <v>0</v>
      </c>
      <c r="AB806">
        <v>196.101</v>
      </c>
      <c r="AC806" s="2043">
        <v>0</v>
      </c>
      <c r="AD806">
        <v>0</v>
      </c>
      <c r="AE806" s="2043">
        <v>0</v>
      </c>
      <c r="AF806">
        <v>0</v>
      </c>
      <c r="AG806">
        <v>0</v>
      </c>
      <c r="AH806">
        <v>0</v>
      </c>
      <c r="AI806">
        <v>0</v>
      </c>
      <c r="AJ806">
        <v>44.5</v>
      </c>
      <c r="AK806">
        <v>1155</v>
      </c>
      <c r="AL806">
        <v>0</v>
      </c>
      <c r="AM806">
        <v>0</v>
      </c>
      <c r="AN806">
        <v>3.097</v>
      </c>
      <c r="AO806">
        <v>0</v>
      </c>
      <c r="AP806">
        <v>0</v>
      </c>
      <c r="AQ806">
        <v>0</v>
      </c>
      <c r="AR806">
        <v>14.307</v>
      </c>
      <c r="AS806">
        <v>0</v>
      </c>
      <c r="AT806">
        <v>0</v>
      </c>
      <c r="AU806">
        <v>0.90300000000000002</v>
      </c>
      <c r="AV806">
        <v>0</v>
      </c>
      <c r="AW806">
        <v>15.21</v>
      </c>
      <c r="AX806">
        <v>0</v>
      </c>
      <c r="AY806">
        <v>47.436</v>
      </c>
      <c r="AZ806">
        <v>0</v>
      </c>
      <c r="BA806">
        <v>2119430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3</v>
      </c>
      <c r="BW806">
        <v>5</v>
      </c>
      <c r="BX806">
        <v>5</v>
      </c>
      <c r="BY806">
        <v>77</v>
      </c>
      <c r="BZ806">
        <v>77</v>
      </c>
      <c r="CA806">
        <v>167</v>
      </c>
      <c r="CB806">
        <v>0</v>
      </c>
      <c r="CC806">
        <v>0</v>
      </c>
      <c r="CD806">
        <v>0</v>
      </c>
      <c r="CE806">
        <v>21</v>
      </c>
      <c r="CF806">
        <v>144.30700000000002</v>
      </c>
      <c r="CG806">
        <v>0</v>
      </c>
      <c r="CH806">
        <v>0</v>
      </c>
      <c r="CI806">
        <v>0</v>
      </c>
      <c r="CJ806">
        <v>0</v>
      </c>
      <c r="CK806">
        <v>0</v>
      </c>
      <c r="CL806">
        <v>0</v>
      </c>
      <c r="CM806">
        <v>51.350999999999999</v>
      </c>
      <c r="CN806">
        <v>0</v>
      </c>
      <c r="CO806">
        <v>0</v>
      </c>
      <c r="CP806">
        <v>0</v>
      </c>
      <c r="CQ806">
        <v>0</v>
      </c>
      <c r="CR806">
        <v>0</v>
      </c>
      <c r="CS806">
        <v>0</v>
      </c>
      <c r="CT806">
        <v>0</v>
      </c>
      <c r="CU806">
        <v>0</v>
      </c>
      <c r="CV806">
        <v>0</v>
      </c>
      <c r="CW806">
        <v>0</v>
      </c>
      <c r="CX806">
        <v>0</v>
      </c>
      <c r="CY806" s="2043">
        <v>0</v>
      </c>
      <c r="CZ806" s="2043">
        <v>0</v>
      </c>
      <c r="DA806" s="2043">
        <v>0</v>
      </c>
      <c r="DB806" s="2043">
        <v>0</v>
      </c>
      <c r="DC806" s="2043">
        <v>0</v>
      </c>
      <c r="DI806" t="s">
        <v>8059</v>
      </c>
      <c r="DJ806" t="s">
        <v>8059</v>
      </c>
      <c r="DK806" s="2042">
        <f t="shared" si="14"/>
        <v>0</v>
      </c>
    </row>
    <row r="807" spans="1:115">
      <c r="A807" t="s">
        <v>8060</v>
      </c>
      <c r="B807" t="s">
        <v>11381</v>
      </c>
      <c r="C807">
        <v>771.14499999999998</v>
      </c>
      <c r="D807">
        <v>756.71699999999998</v>
      </c>
      <c r="E807">
        <v>70.293999999999997</v>
      </c>
      <c r="F807">
        <v>0</v>
      </c>
      <c r="G807" s="2043">
        <v>0</v>
      </c>
      <c r="H807">
        <v>0</v>
      </c>
      <c r="I807" s="2043">
        <v>0</v>
      </c>
      <c r="J807">
        <v>0</v>
      </c>
      <c r="K807">
        <v>0</v>
      </c>
      <c r="L807">
        <v>0</v>
      </c>
      <c r="M807">
        <v>0</v>
      </c>
      <c r="N807">
        <v>0</v>
      </c>
      <c r="O807">
        <v>0</v>
      </c>
      <c r="P807">
        <v>0</v>
      </c>
      <c r="Q807">
        <v>0</v>
      </c>
      <c r="R807" s="2043">
        <v>0</v>
      </c>
      <c r="S807">
        <v>0</v>
      </c>
      <c r="T807">
        <v>0</v>
      </c>
      <c r="U807">
        <v>0</v>
      </c>
      <c r="V807">
        <v>0</v>
      </c>
      <c r="W807">
        <v>0</v>
      </c>
      <c r="X807">
        <v>0</v>
      </c>
      <c r="Y807">
        <v>136325</v>
      </c>
      <c r="Z807">
        <v>0</v>
      </c>
      <c r="AA807">
        <v>0</v>
      </c>
      <c r="AB807">
        <v>756.71699999999998</v>
      </c>
      <c r="AC807" s="2043">
        <v>0</v>
      </c>
      <c r="AD807">
        <v>0</v>
      </c>
      <c r="AE807" s="2043">
        <v>0</v>
      </c>
      <c r="AF807">
        <v>0</v>
      </c>
      <c r="AG807">
        <v>0</v>
      </c>
      <c r="AH807">
        <v>0</v>
      </c>
      <c r="AI807">
        <v>0</v>
      </c>
      <c r="AJ807">
        <v>168.26300000000001</v>
      </c>
      <c r="AK807">
        <v>3750</v>
      </c>
      <c r="AL807">
        <v>0</v>
      </c>
      <c r="AM807">
        <v>0</v>
      </c>
      <c r="AN807">
        <v>85.734000000000009</v>
      </c>
      <c r="AO807">
        <v>0</v>
      </c>
      <c r="AP807">
        <v>0</v>
      </c>
      <c r="AQ807">
        <v>0</v>
      </c>
      <c r="AR807">
        <v>17.164999999999999</v>
      </c>
      <c r="AS807">
        <v>0</v>
      </c>
      <c r="AT807">
        <v>1.2050000000000001</v>
      </c>
      <c r="AU807">
        <v>2.3780000000000001</v>
      </c>
      <c r="AV807">
        <v>0</v>
      </c>
      <c r="AW807">
        <v>20.748000000000001</v>
      </c>
      <c r="AX807">
        <v>0</v>
      </c>
      <c r="AY807">
        <v>67</v>
      </c>
      <c r="AZ807">
        <v>0</v>
      </c>
      <c r="BA807">
        <v>9110523</v>
      </c>
      <c r="BB807">
        <v>0</v>
      </c>
      <c r="BC807">
        <v>0</v>
      </c>
      <c r="BD807">
        <v>0</v>
      </c>
      <c r="BE807">
        <v>0</v>
      </c>
      <c r="BF807">
        <v>0</v>
      </c>
      <c r="BG807">
        <v>0</v>
      </c>
      <c r="BH807">
        <v>0</v>
      </c>
      <c r="BI807">
        <v>0</v>
      </c>
      <c r="BJ807">
        <v>0</v>
      </c>
      <c r="BK807">
        <v>0</v>
      </c>
      <c r="BL807">
        <v>0</v>
      </c>
      <c r="BM807">
        <v>0</v>
      </c>
      <c r="BN807">
        <v>2376</v>
      </c>
      <c r="BO807">
        <v>1113</v>
      </c>
      <c r="BP807">
        <v>0</v>
      </c>
      <c r="BQ807">
        <v>0</v>
      </c>
      <c r="BR807">
        <v>0</v>
      </c>
      <c r="BS807">
        <v>0</v>
      </c>
      <c r="BT807">
        <v>0</v>
      </c>
      <c r="BU807">
        <v>0</v>
      </c>
      <c r="BV807">
        <v>59</v>
      </c>
      <c r="BW807">
        <v>41</v>
      </c>
      <c r="BX807">
        <v>76</v>
      </c>
      <c r="BY807">
        <v>174</v>
      </c>
      <c r="BZ807">
        <v>293</v>
      </c>
      <c r="CA807">
        <v>643</v>
      </c>
      <c r="CB807">
        <v>0</v>
      </c>
      <c r="CC807">
        <v>0</v>
      </c>
      <c r="CD807">
        <v>0</v>
      </c>
      <c r="CE807">
        <v>121</v>
      </c>
      <c r="CF807">
        <v>239.65300000000002</v>
      </c>
      <c r="CG807">
        <v>0</v>
      </c>
      <c r="CH807">
        <v>0</v>
      </c>
      <c r="CI807">
        <v>8</v>
      </c>
      <c r="CJ807">
        <v>9</v>
      </c>
      <c r="CK807">
        <v>0</v>
      </c>
      <c r="CL807">
        <v>0</v>
      </c>
      <c r="CM807">
        <v>70.293999999999997</v>
      </c>
      <c r="CN807">
        <v>0</v>
      </c>
      <c r="CO807">
        <v>0</v>
      </c>
      <c r="CP807">
        <v>0</v>
      </c>
      <c r="CQ807">
        <v>0</v>
      </c>
      <c r="CR807">
        <v>0</v>
      </c>
      <c r="CS807">
        <v>149.53300000000002</v>
      </c>
      <c r="CT807">
        <v>0</v>
      </c>
      <c r="CU807">
        <v>0.376</v>
      </c>
      <c r="CV807">
        <v>34.539000000000001</v>
      </c>
      <c r="CW807">
        <v>18.388999999999999</v>
      </c>
      <c r="CX807">
        <v>0</v>
      </c>
      <c r="CY807" s="2043">
        <v>0</v>
      </c>
      <c r="CZ807" s="2043">
        <v>0</v>
      </c>
      <c r="DA807" s="2043">
        <v>0</v>
      </c>
      <c r="DB807" s="2043">
        <v>0</v>
      </c>
      <c r="DC807" s="2043">
        <v>0</v>
      </c>
      <c r="DI807" t="s">
        <v>8060</v>
      </c>
      <c r="DJ807" t="s">
        <v>8060</v>
      </c>
      <c r="DK807" s="2042">
        <f t="shared" si="14"/>
        <v>0</v>
      </c>
    </row>
    <row r="808" spans="1:115">
      <c r="A808" t="s">
        <v>8061</v>
      </c>
      <c r="B808" t="s">
        <v>11382</v>
      </c>
      <c r="C808">
        <v>9235.1769999999997</v>
      </c>
      <c r="D808">
        <v>9538.2240000000002</v>
      </c>
      <c r="E808">
        <v>2661.864</v>
      </c>
      <c r="F808">
        <v>0</v>
      </c>
      <c r="G808" s="2043">
        <v>0</v>
      </c>
      <c r="H808">
        <v>0</v>
      </c>
      <c r="I808" s="2043">
        <v>0</v>
      </c>
      <c r="J808">
        <v>461.75900000000001</v>
      </c>
      <c r="K808">
        <v>1262</v>
      </c>
      <c r="L808">
        <v>0</v>
      </c>
      <c r="M808">
        <v>0</v>
      </c>
      <c r="N808">
        <v>0</v>
      </c>
      <c r="O808">
        <v>0</v>
      </c>
      <c r="P808">
        <v>0</v>
      </c>
      <c r="Q808">
        <v>0</v>
      </c>
      <c r="R808" s="2043">
        <v>0</v>
      </c>
      <c r="S808">
        <v>0</v>
      </c>
      <c r="T808">
        <v>0</v>
      </c>
      <c r="U808">
        <v>0</v>
      </c>
      <c r="V808">
        <v>0</v>
      </c>
      <c r="W808">
        <v>0</v>
      </c>
      <c r="X808">
        <v>0</v>
      </c>
      <c r="Y808">
        <v>1632615</v>
      </c>
      <c r="Z808">
        <v>0</v>
      </c>
      <c r="AA808">
        <v>0</v>
      </c>
      <c r="AB808">
        <v>9538.2240000000002</v>
      </c>
      <c r="AC808" s="2043">
        <v>0</v>
      </c>
      <c r="AD808">
        <v>0</v>
      </c>
      <c r="AE808" s="2043">
        <v>0</v>
      </c>
      <c r="AF808">
        <v>0</v>
      </c>
      <c r="AG808">
        <v>0</v>
      </c>
      <c r="AH808">
        <v>0</v>
      </c>
      <c r="AI808">
        <v>0</v>
      </c>
      <c r="AJ808">
        <v>1643.8</v>
      </c>
      <c r="AK808">
        <v>27821</v>
      </c>
      <c r="AL808">
        <v>0.48900000000000005</v>
      </c>
      <c r="AM808">
        <v>0</v>
      </c>
      <c r="AN808">
        <v>150.15200000000002</v>
      </c>
      <c r="AO808">
        <v>0</v>
      </c>
      <c r="AP808">
        <v>0</v>
      </c>
      <c r="AQ808">
        <v>0</v>
      </c>
      <c r="AR808">
        <v>283.185</v>
      </c>
      <c r="AS808">
        <v>0</v>
      </c>
      <c r="AT808">
        <v>37.558</v>
      </c>
      <c r="AU808">
        <v>18.007999999999999</v>
      </c>
      <c r="AV808">
        <v>0</v>
      </c>
      <c r="AW808">
        <v>339.70100000000002</v>
      </c>
      <c r="AX808">
        <v>0.46100000000000002</v>
      </c>
      <c r="AY808">
        <v>1055.7740000000001</v>
      </c>
      <c r="AZ808">
        <v>0</v>
      </c>
      <c r="BA808">
        <v>103208960</v>
      </c>
      <c r="BB808">
        <v>0</v>
      </c>
      <c r="BC808">
        <v>0</v>
      </c>
      <c r="BD808">
        <v>0</v>
      </c>
      <c r="BE808">
        <v>0</v>
      </c>
      <c r="BF808">
        <v>0</v>
      </c>
      <c r="BG808">
        <v>0</v>
      </c>
      <c r="BH808">
        <v>0</v>
      </c>
      <c r="BI808">
        <v>0</v>
      </c>
      <c r="BJ808">
        <v>0</v>
      </c>
      <c r="BK808">
        <v>0</v>
      </c>
      <c r="BL808">
        <v>0</v>
      </c>
      <c r="BM808">
        <v>0</v>
      </c>
      <c r="BN808">
        <v>31662</v>
      </c>
      <c r="BO808">
        <v>19324</v>
      </c>
      <c r="BP808">
        <v>1868721</v>
      </c>
      <c r="BQ808">
        <v>0</v>
      </c>
      <c r="BR808">
        <v>0</v>
      </c>
      <c r="BS808">
        <v>0</v>
      </c>
      <c r="BT808">
        <v>0</v>
      </c>
      <c r="BU808">
        <v>0</v>
      </c>
      <c r="BV808">
        <v>1266</v>
      </c>
      <c r="BW808">
        <v>1371</v>
      </c>
      <c r="BX808">
        <v>1025</v>
      </c>
      <c r="BY808">
        <v>1765</v>
      </c>
      <c r="BZ808">
        <v>1141</v>
      </c>
      <c r="CA808">
        <v>6568</v>
      </c>
      <c r="CB808">
        <v>0</v>
      </c>
      <c r="CC808">
        <v>0</v>
      </c>
      <c r="CD808">
        <v>0</v>
      </c>
      <c r="CE808">
        <v>450</v>
      </c>
      <c r="CF808">
        <v>2692.3009999999999</v>
      </c>
      <c r="CG808">
        <v>0</v>
      </c>
      <c r="CH808">
        <v>0</v>
      </c>
      <c r="CI808">
        <v>131</v>
      </c>
      <c r="CJ808">
        <v>94</v>
      </c>
      <c r="CK808">
        <v>2</v>
      </c>
      <c r="CL808">
        <v>0</v>
      </c>
      <c r="CM808">
        <v>2661.864</v>
      </c>
      <c r="CN808">
        <v>683584</v>
      </c>
      <c r="CO808">
        <v>772899</v>
      </c>
      <c r="CP808">
        <v>376738</v>
      </c>
      <c r="CQ808">
        <v>35500</v>
      </c>
      <c r="CR808">
        <v>0</v>
      </c>
      <c r="CS808">
        <v>0</v>
      </c>
      <c r="CT808">
        <v>0</v>
      </c>
      <c r="CU808">
        <v>49.27</v>
      </c>
      <c r="CV808">
        <v>286.74</v>
      </c>
      <c r="CW808">
        <v>232.24200000000002</v>
      </c>
      <c r="CX808">
        <v>0</v>
      </c>
      <c r="CY808" s="2043">
        <v>0</v>
      </c>
      <c r="CZ808" s="2043">
        <v>0</v>
      </c>
      <c r="DA808" s="2043">
        <v>0</v>
      </c>
      <c r="DB808" s="2043">
        <v>0</v>
      </c>
      <c r="DC808" s="2043">
        <v>0</v>
      </c>
      <c r="DI808" t="s">
        <v>8061</v>
      </c>
      <c r="DJ808" t="s">
        <v>8061</v>
      </c>
      <c r="DK808" s="2042">
        <f t="shared" si="14"/>
        <v>0</v>
      </c>
    </row>
    <row r="809" spans="1:115">
      <c r="A809" t="s">
        <v>3120</v>
      </c>
      <c r="B809" t="s">
        <v>915</v>
      </c>
      <c r="C809">
        <v>541.178</v>
      </c>
      <c r="D809">
        <v>575.90300000000002</v>
      </c>
      <c r="E809">
        <v>6.9490000000000007</v>
      </c>
      <c r="F809">
        <v>0</v>
      </c>
      <c r="G809" s="2043">
        <v>264263051</v>
      </c>
      <c r="H809">
        <v>0</v>
      </c>
      <c r="I809" s="2043">
        <v>517825</v>
      </c>
      <c r="J809">
        <v>23</v>
      </c>
      <c r="K809">
        <v>63</v>
      </c>
      <c r="L809">
        <v>0</v>
      </c>
      <c r="M809">
        <v>233250</v>
      </c>
      <c r="N809">
        <v>0</v>
      </c>
      <c r="O809">
        <v>233250</v>
      </c>
      <c r="P809">
        <v>0</v>
      </c>
      <c r="Q809">
        <v>0</v>
      </c>
      <c r="R809" s="2043">
        <v>2202773</v>
      </c>
      <c r="S809">
        <v>214382</v>
      </c>
      <c r="T809">
        <v>156231</v>
      </c>
      <c r="U809">
        <v>0.08</v>
      </c>
      <c r="V809">
        <v>0</v>
      </c>
      <c r="W809">
        <v>0</v>
      </c>
      <c r="X809">
        <v>0</v>
      </c>
      <c r="Y809">
        <v>0</v>
      </c>
      <c r="Z809">
        <v>0</v>
      </c>
      <c r="AA809">
        <v>0</v>
      </c>
      <c r="AB809">
        <v>553.94799999999998</v>
      </c>
      <c r="AC809" s="2043">
        <v>212368011</v>
      </c>
      <c r="AD809">
        <v>542143</v>
      </c>
      <c r="AE809" s="2043">
        <v>2573386</v>
      </c>
      <c r="AF809">
        <v>0.96030000000000004</v>
      </c>
      <c r="AG809">
        <v>0</v>
      </c>
      <c r="AH809">
        <v>0</v>
      </c>
      <c r="AI809">
        <v>0</v>
      </c>
      <c r="AJ809">
        <v>21.125</v>
      </c>
      <c r="AK809">
        <v>2828</v>
      </c>
      <c r="AL809">
        <v>0</v>
      </c>
      <c r="AM809">
        <v>0</v>
      </c>
      <c r="AN809">
        <v>6.2590000000000003</v>
      </c>
      <c r="AO809">
        <v>0</v>
      </c>
      <c r="AP809">
        <v>0</v>
      </c>
      <c r="AQ809">
        <v>0</v>
      </c>
      <c r="AR809">
        <v>24.789000000000001</v>
      </c>
      <c r="AS809">
        <v>0</v>
      </c>
      <c r="AT809">
        <v>0</v>
      </c>
      <c r="AU809">
        <v>0.86099999999999999</v>
      </c>
      <c r="AV809">
        <v>0</v>
      </c>
      <c r="AW809">
        <v>25.650000000000002</v>
      </c>
      <c r="AX809">
        <v>0</v>
      </c>
      <c r="AY809">
        <v>78.671999999999997</v>
      </c>
      <c r="AZ809">
        <v>0</v>
      </c>
      <c r="BA809">
        <v>4385757</v>
      </c>
      <c r="BB809">
        <v>3115529</v>
      </c>
      <c r="BC809">
        <v>0</v>
      </c>
      <c r="BD809">
        <v>48906</v>
      </c>
      <c r="BE809">
        <v>13556</v>
      </c>
      <c r="BF809">
        <v>62462</v>
      </c>
      <c r="BG809">
        <v>48906</v>
      </c>
      <c r="BH809">
        <v>0</v>
      </c>
      <c r="BI809">
        <v>0</v>
      </c>
      <c r="BJ809">
        <v>0</v>
      </c>
      <c r="BK809">
        <v>0</v>
      </c>
      <c r="BL809">
        <v>264263051</v>
      </c>
      <c r="BM809">
        <v>0</v>
      </c>
      <c r="BN809">
        <v>2016</v>
      </c>
      <c r="BO809">
        <v>1723</v>
      </c>
      <c r="BP809">
        <v>0</v>
      </c>
      <c r="BQ809">
        <v>0</v>
      </c>
      <c r="BR809">
        <v>0.82200000000000006</v>
      </c>
      <c r="BS809">
        <v>0.82200000000000006</v>
      </c>
      <c r="BT809">
        <v>0</v>
      </c>
      <c r="BU809">
        <v>0</v>
      </c>
      <c r="BV809">
        <v>78</v>
      </c>
      <c r="BW809">
        <v>14</v>
      </c>
      <c r="BX809">
        <v>1</v>
      </c>
      <c r="BY809">
        <v>0</v>
      </c>
      <c r="BZ809">
        <v>0</v>
      </c>
      <c r="CA809">
        <v>93</v>
      </c>
      <c r="CB809">
        <v>0</v>
      </c>
      <c r="CC809">
        <v>0</v>
      </c>
      <c r="CD809">
        <v>0</v>
      </c>
      <c r="CE809">
        <v>48</v>
      </c>
      <c r="CF809">
        <v>37.67</v>
      </c>
      <c r="CG809">
        <v>0</v>
      </c>
      <c r="CH809">
        <v>0</v>
      </c>
      <c r="CI809">
        <v>2</v>
      </c>
      <c r="CJ809">
        <v>8</v>
      </c>
      <c r="CK809">
        <v>0</v>
      </c>
      <c r="CL809">
        <v>0</v>
      </c>
      <c r="CM809">
        <v>6.9490000000000007</v>
      </c>
      <c r="CN809">
        <v>0</v>
      </c>
      <c r="CO809">
        <v>0</v>
      </c>
      <c r="CP809">
        <v>0</v>
      </c>
      <c r="CQ809">
        <v>0</v>
      </c>
      <c r="CR809">
        <v>0</v>
      </c>
      <c r="CS809">
        <v>0</v>
      </c>
      <c r="CT809">
        <v>0</v>
      </c>
      <c r="CU809">
        <v>1.242</v>
      </c>
      <c r="CV809">
        <v>27.121000000000002</v>
      </c>
      <c r="CW809">
        <v>22.287000000000003</v>
      </c>
      <c r="CX809">
        <v>0</v>
      </c>
      <c r="CY809" s="2043">
        <v>0</v>
      </c>
      <c r="CZ809" s="2043">
        <v>0</v>
      </c>
      <c r="DA809" s="2043">
        <v>0</v>
      </c>
      <c r="DB809" s="2043">
        <v>0</v>
      </c>
      <c r="DC809" s="2043">
        <v>0</v>
      </c>
      <c r="DI809" t="s">
        <v>3120</v>
      </c>
      <c r="DJ809" t="s">
        <v>3120</v>
      </c>
      <c r="DK809" s="2042">
        <f t="shared" si="14"/>
        <v>0</v>
      </c>
    </row>
    <row r="810" spans="1:115">
      <c r="A810" t="s">
        <v>5172</v>
      </c>
      <c r="B810" t="s">
        <v>853</v>
      </c>
      <c r="C810">
        <v>7957.4380000000001</v>
      </c>
      <c r="D810">
        <v>8020.009</v>
      </c>
      <c r="E810">
        <v>295.86200000000002</v>
      </c>
      <c r="F810">
        <v>0</v>
      </c>
      <c r="G810" s="2043">
        <v>6311781751</v>
      </c>
      <c r="H810">
        <v>0</v>
      </c>
      <c r="I810" s="2043">
        <v>17592847</v>
      </c>
      <c r="J810">
        <v>397.87200000000001</v>
      </c>
      <c r="K810">
        <v>1088</v>
      </c>
      <c r="L810">
        <v>0</v>
      </c>
      <c r="M810">
        <v>0</v>
      </c>
      <c r="N810">
        <v>0</v>
      </c>
      <c r="O810">
        <v>0</v>
      </c>
      <c r="P810">
        <v>0</v>
      </c>
      <c r="Q810">
        <v>0</v>
      </c>
      <c r="R810" s="2043">
        <v>53029376</v>
      </c>
      <c r="S810">
        <v>3140434</v>
      </c>
      <c r="T810">
        <v>0</v>
      </c>
      <c r="U810">
        <v>0.05</v>
      </c>
      <c r="V810">
        <v>0</v>
      </c>
      <c r="W810">
        <v>0</v>
      </c>
      <c r="X810">
        <v>0</v>
      </c>
      <c r="Y810">
        <v>-9290</v>
      </c>
      <c r="Z810">
        <v>4.8260000000000005</v>
      </c>
      <c r="AA810">
        <v>0.158</v>
      </c>
      <c r="AB810">
        <v>7882.1860000000006</v>
      </c>
      <c r="AC810" s="2043">
        <v>5540117366</v>
      </c>
      <c r="AD810">
        <v>16956964</v>
      </c>
      <c r="AE810" s="2043">
        <v>56169810</v>
      </c>
      <c r="AF810">
        <v>0.89430000000000009</v>
      </c>
      <c r="AG810">
        <v>0</v>
      </c>
      <c r="AH810">
        <v>0</v>
      </c>
      <c r="AI810">
        <v>0</v>
      </c>
      <c r="AJ810">
        <v>646.73800000000006</v>
      </c>
      <c r="AK810">
        <v>27853</v>
      </c>
      <c r="AL810">
        <v>0.73599999999999999</v>
      </c>
      <c r="AM810">
        <v>0</v>
      </c>
      <c r="AN810">
        <v>274.81800000000004</v>
      </c>
      <c r="AO810">
        <v>0</v>
      </c>
      <c r="AP810">
        <v>0</v>
      </c>
      <c r="AQ810">
        <v>1.0530000000000002</v>
      </c>
      <c r="AR810">
        <v>179.047</v>
      </c>
      <c r="AS810">
        <v>0</v>
      </c>
      <c r="AT810">
        <v>86.847999999999999</v>
      </c>
      <c r="AU810">
        <v>17.455000000000002</v>
      </c>
      <c r="AV810">
        <v>0</v>
      </c>
      <c r="AW810">
        <v>294.24100000000004</v>
      </c>
      <c r="AX810">
        <v>9.1020000000000003</v>
      </c>
      <c r="AY810">
        <v>909.57500000000005</v>
      </c>
      <c r="AZ810">
        <v>0</v>
      </c>
      <c r="BA810">
        <v>12287459</v>
      </c>
      <c r="BB810">
        <v>73126774</v>
      </c>
      <c r="BC810">
        <v>0</v>
      </c>
      <c r="BD810">
        <v>356048</v>
      </c>
      <c r="BE810">
        <v>185561</v>
      </c>
      <c r="BF810">
        <v>593292</v>
      </c>
      <c r="BG810">
        <v>356048</v>
      </c>
      <c r="BH810">
        <v>51683</v>
      </c>
      <c r="BI810">
        <v>-9290</v>
      </c>
      <c r="BJ810">
        <v>0</v>
      </c>
      <c r="BK810">
        <v>0</v>
      </c>
      <c r="BL810">
        <v>6311781751</v>
      </c>
      <c r="BM810">
        <v>0</v>
      </c>
      <c r="BN810">
        <v>27018</v>
      </c>
      <c r="BO810">
        <v>16435</v>
      </c>
      <c r="BP810">
        <v>19976</v>
      </c>
      <c r="BQ810">
        <v>0</v>
      </c>
      <c r="BR810">
        <v>0.84430000000000005</v>
      </c>
      <c r="BS810">
        <v>0.84430000000000005</v>
      </c>
      <c r="BT810">
        <v>0</v>
      </c>
      <c r="BU810">
        <v>0</v>
      </c>
      <c r="BV810">
        <v>1404</v>
      </c>
      <c r="BW810">
        <v>639</v>
      </c>
      <c r="BX810">
        <v>430</v>
      </c>
      <c r="BY810">
        <v>236</v>
      </c>
      <c r="BZ810">
        <v>35</v>
      </c>
      <c r="CA810">
        <v>2744</v>
      </c>
      <c r="CB810">
        <v>0</v>
      </c>
      <c r="CC810">
        <v>0</v>
      </c>
      <c r="CD810">
        <v>0</v>
      </c>
      <c r="CE810">
        <v>558</v>
      </c>
      <c r="CF810">
        <v>990.95900000000006</v>
      </c>
      <c r="CG810">
        <v>0</v>
      </c>
      <c r="CH810">
        <v>0</v>
      </c>
      <c r="CI810">
        <v>18</v>
      </c>
      <c r="CJ810">
        <v>108</v>
      </c>
      <c r="CK810">
        <v>1</v>
      </c>
      <c r="CL810">
        <v>0</v>
      </c>
      <c r="CM810">
        <v>295.86200000000002</v>
      </c>
      <c r="CN810">
        <v>0</v>
      </c>
      <c r="CO810">
        <v>7330</v>
      </c>
      <c r="CP810">
        <v>10746</v>
      </c>
      <c r="CQ810">
        <v>1900</v>
      </c>
      <c r="CR810">
        <v>0</v>
      </c>
      <c r="CS810">
        <v>0</v>
      </c>
      <c r="CT810">
        <v>0</v>
      </c>
      <c r="CU810">
        <v>52.435000000000002</v>
      </c>
      <c r="CV810">
        <v>483.51600000000002</v>
      </c>
      <c r="CW810">
        <v>270.858</v>
      </c>
      <c r="CX810">
        <v>0</v>
      </c>
      <c r="CY810" s="2043">
        <v>0</v>
      </c>
      <c r="CZ810" s="2043">
        <v>0</v>
      </c>
      <c r="DA810" s="2043">
        <v>0</v>
      </c>
      <c r="DB810" s="2043">
        <v>0</v>
      </c>
      <c r="DC810" s="2043">
        <v>0</v>
      </c>
      <c r="DI810" t="s">
        <v>5172</v>
      </c>
      <c r="DJ810" t="s">
        <v>5172</v>
      </c>
      <c r="DK810" s="2042">
        <f t="shared" si="14"/>
        <v>0</v>
      </c>
    </row>
    <row r="811" spans="1:115">
      <c r="A811" t="s">
        <v>3121</v>
      </c>
      <c r="B811" t="s">
        <v>661</v>
      </c>
      <c r="C811">
        <v>2774.047</v>
      </c>
      <c r="D811">
        <v>2872.127</v>
      </c>
      <c r="E811">
        <v>489.113</v>
      </c>
      <c r="F811">
        <v>0</v>
      </c>
      <c r="G811" s="2043">
        <v>1075526925</v>
      </c>
      <c r="H811">
        <v>0</v>
      </c>
      <c r="I811" s="2043">
        <v>2293609</v>
      </c>
      <c r="J811">
        <v>127</v>
      </c>
      <c r="K811">
        <v>347</v>
      </c>
      <c r="L811">
        <v>0</v>
      </c>
      <c r="M811">
        <v>1118729</v>
      </c>
      <c r="N811">
        <v>0</v>
      </c>
      <c r="O811">
        <v>1118729</v>
      </c>
      <c r="P811">
        <v>0</v>
      </c>
      <c r="Q811">
        <v>0</v>
      </c>
      <c r="R811" s="2043">
        <v>9299562</v>
      </c>
      <c r="S811">
        <v>847534</v>
      </c>
      <c r="T811">
        <v>617640</v>
      </c>
      <c r="U811">
        <v>0.08</v>
      </c>
      <c r="V811">
        <v>0</v>
      </c>
      <c r="W811">
        <v>0</v>
      </c>
      <c r="X811">
        <v>0</v>
      </c>
      <c r="Y811">
        <v>0</v>
      </c>
      <c r="Z811">
        <v>0</v>
      </c>
      <c r="AA811">
        <v>0.09</v>
      </c>
      <c r="AB811">
        <v>2734.357</v>
      </c>
      <c r="AC811" s="2043">
        <v>956629070</v>
      </c>
      <c r="AD811">
        <v>2595988</v>
      </c>
      <c r="AE811" s="2043">
        <v>10764736</v>
      </c>
      <c r="AF811">
        <v>1.0161</v>
      </c>
      <c r="AG811">
        <v>0</v>
      </c>
      <c r="AH811">
        <v>0</v>
      </c>
      <c r="AI811">
        <v>0</v>
      </c>
      <c r="AJ811">
        <v>746.28800000000001</v>
      </c>
      <c r="AK811">
        <v>6534</v>
      </c>
      <c r="AL811">
        <v>0.156</v>
      </c>
      <c r="AM811">
        <v>0</v>
      </c>
      <c r="AN811">
        <v>51.077000000000005</v>
      </c>
      <c r="AO811">
        <v>0</v>
      </c>
      <c r="AP811">
        <v>0</v>
      </c>
      <c r="AQ811">
        <v>0</v>
      </c>
      <c r="AR811">
        <v>41.539000000000001</v>
      </c>
      <c r="AS811">
        <v>0</v>
      </c>
      <c r="AT811">
        <v>18.990000000000002</v>
      </c>
      <c r="AU811">
        <v>5.9430000000000005</v>
      </c>
      <c r="AV811">
        <v>0</v>
      </c>
      <c r="AW811">
        <v>66.628</v>
      </c>
      <c r="AX811">
        <v>0</v>
      </c>
      <c r="AY811">
        <v>212.08200000000002</v>
      </c>
      <c r="AZ811">
        <v>0</v>
      </c>
      <c r="BA811">
        <v>20311032</v>
      </c>
      <c r="BB811">
        <v>13360724</v>
      </c>
      <c r="BC811">
        <v>0</v>
      </c>
      <c r="BD811">
        <v>144229</v>
      </c>
      <c r="BE811">
        <v>20107</v>
      </c>
      <c r="BF811">
        <v>311610</v>
      </c>
      <c r="BG811">
        <v>144229</v>
      </c>
      <c r="BH811">
        <v>147274</v>
      </c>
      <c r="BI811">
        <v>0</v>
      </c>
      <c r="BJ811">
        <v>0</v>
      </c>
      <c r="BK811">
        <v>0</v>
      </c>
      <c r="BL811">
        <v>1075526925</v>
      </c>
      <c r="BM811">
        <v>0</v>
      </c>
      <c r="BN811">
        <v>11133</v>
      </c>
      <c r="BO811">
        <v>3360</v>
      </c>
      <c r="BP811">
        <v>0</v>
      </c>
      <c r="BQ811">
        <v>0</v>
      </c>
      <c r="BR811">
        <v>0.87780000000000002</v>
      </c>
      <c r="BS811">
        <v>0.87780000000000002</v>
      </c>
      <c r="BT811">
        <v>0</v>
      </c>
      <c r="BU811">
        <v>0</v>
      </c>
      <c r="BV811">
        <v>92</v>
      </c>
      <c r="BW811">
        <v>169</v>
      </c>
      <c r="BX811">
        <v>328</v>
      </c>
      <c r="BY811">
        <v>1576</v>
      </c>
      <c r="BZ811">
        <v>690</v>
      </c>
      <c r="CA811">
        <v>2855</v>
      </c>
      <c r="CB811">
        <v>0</v>
      </c>
      <c r="CC811">
        <v>184.53400000000002</v>
      </c>
      <c r="CD811">
        <v>65.864000000000004</v>
      </c>
      <c r="CE811">
        <v>342</v>
      </c>
      <c r="CF811">
        <v>990.55700000000002</v>
      </c>
      <c r="CG811">
        <v>0</v>
      </c>
      <c r="CH811">
        <v>0</v>
      </c>
      <c r="CI811">
        <v>12</v>
      </c>
      <c r="CJ811">
        <v>0</v>
      </c>
      <c r="CK811">
        <v>0</v>
      </c>
      <c r="CL811">
        <v>0</v>
      </c>
      <c r="CM811">
        <v>489.113</v>
      </c>
      <c r="CN811">
        <v>0</v>
      </c>
      <c r="CO811">
        <v>0</v>
      </c>
      <c r="CP811">
        <v>0</v>
      </c>
      <c r="CQ811">
        <v>0</v>
      </c>
      <c r="CR811">
        <v>0</v>
      </c>
      <c r="CS811">
        <v>23.617000000000001</v>
      </c>
      <c r="CT811">
        <v>0</v>
      </c>
      <c r="CU811">
        <v>9.3330000000000002</v>
      </c>
      <c r="CV811">
        <v>182.405</v>
      </c>
      <c r="CW811">
        <v>126.56500000000001</v>
      </c>
      <c r="CX811">
        <v>0</v>
      </c>
      <c r="CY811" s="2043">
        <v>0</v>
      </c>
      <c r="CZ811" s="2043">
        <v>0</v>
      </c>
      <c r="DA811" s="2043">
        <v>0</v>
      </c>
      <c r="DB811" s="2043">
        <v>0</v>
      </c>
      <c r="DC811" s="2043">
        <v>0</v>
      </c>
      <c r="DI811" t="s">
        <v>3121</v>
      </c>
      <c r="DJ811" t="s">
        <v>3121</v>
      </c>
      <c r="DK811" s="2042">
        <f t="shared" si="14"/>
        <v>0</v>
      </c>
    </row>
    <row r="812" spans="1:115">
      <c r="A812" t="s">
        <v>3122</v>
      </c>
      <c r="B812" t="s">
        <v>916</v>
      </c>
      <c r="C812">
        <v>1667.732</v>
      </c>
      <c r="D812">
        <v>1661.18</v>
      </c>
      <c r="E812">
        <v>31.428000000000001</v>
      </c>
      <c r="F812">
        <v>0</v>
      </c>
      <c r="G812" s="2043">
        <v>716886079</v>
      </c>
      <c r="H812">
        <v>0</v>
      </c>
      <c r="I812" s="2043">
        <v>1971937</v>
      </c>
      <c r="J812">
        <v>83.387</v>
      </c>
      <c r="K812">
        <v>228</v>
      </c>
      <c r="L812">
        <v>0</v>
      </c>
      <c r="M812">
        <v>667467</v>
      </c>
      <c r="N812">
        <v>0</v>
      </c>
      <c r="O812">
        <v>667467</v>
      </c>
      <c r="P812">
        <v>0</v>
      </c>
      <c r="Q812">
        <v>0</v>
      </c>
      <c r="R812" s="2043">
        <v>5845516</v>
      </c>
      <c r="S812">
        <v>568907</v>
      </c>
      <c r="T812">
        <v>414590</v>
      </c>
      <c r="U812">
        <v>0.08</v>
      </c>
      <c r="V812">
        <v>0</v>
      </c>
      <c r="W812">
        <v>0</v>
      </c>
      <c r="X812">
        <v>0</v>
      </c>
      <c r="Y812">
        <v>0</v>
      </c>
      <c r="Z812">
        <v>3.9770000000000003</v>
      </c>
      <c r="AA812">
        <v>0</v>
      </c>
      <c r="AB812">
        <v>1661.18</v>
      </c>
      <c r="AC812" s="2043">
        <v>561220353</v>
      </c>
      <c r="AD812">
        <v>1709405</v>
      </c>
      <c r="AE812" s="2043">
        <v>6829013</v>
      </c>
      <c r="AF812">
        <v>0.96030000000000004</v>
      </c>
      <c r="AG812">
        <v>0</v>
      </c>
      <c r="AH812">
        <v>0</v>
      </c>
      <c r="AI812">
        <v>0</v>
      </c>
      <c r="AJ812">
        <v>114</v>
      </c>
      <c r="AK812">
        <v>5601</v>
      </c>
      <c r="AL812">
        <v>4.1000000000000002E-2</v>
      </c>
      <c r="AM812">
        <v>0</v>
      </c>
      <c r="AN812">
        <v>58.44</v>
      </c>
      <c r="AO812">
        <v>0</v>
      </c>
      <c r="AP812">
        <v>0</v>
      </c>
      <c r="AQ812">
        <v>0</v>
      </c>
      <c r="AR812">
        <v>37.477000000000004</v>
      </c>
      <c r="AS812">
        <v>0</v>
      </c>
      <c r="AT812">
        <v>11.075000000000001</v>
      </c>
      <c r="AU812">
        <v>2.7670000000000003</v>
      </c>
      <c r="AV812">
        <v>0</v>
      </c>
      <c r="AW812">
        <v>51.36</v>
      </c>
      <c r="AX812">
        <v>0</v>
      </c>
      <c r="AY812">
        <v>159.696</v>
      </c>
      <c r="AZ812">
        <v>0</v>
      </c>
      <c r="BA812">
        <v>9744382</v>
      </c>
      <c r="BB812">
        <v>8538418</v>
      </c>
      <c r="BC812">
        <v>0</v>
      </c>
      <c r="BD812">
        <v>76975</v>
      </c>
      <c r="BE812">
        <v>20346</v>
      </c>
      <c r="BF812">
        <v>97321</v>
      </c>
      <c r="BG812">
        <v>76975</v>
      </c>
      <c r="BH812">
        <v>0</v>
      </c>
      <c r="BI812">
        <v>0</v>
      </c>
      <c r="BJ812">
        <v>0</v>
      </c>
      <c r="BK812">
        <v>0</v>
      </c>
      <c r="BL812">
        <v>716886079</v>
      </c>
      <c r="BM812">
        <v>0</v>
      </c>
      <c r="BN812">
        <v>5382</v>
      </c>
      <c r="BO812">
        <v>4387</v>
      </c>
      <c r="BP812">
        <v>0</v>
      </c>
      <c r="BQ812">
        <v>0</v>
      </c>
      <c r="BR812">
        <v>0.82200000000000006</v>
      </c>
      <c r="BS812">
        <v>0.82200000000000006</v>
      </c>
      <c r="BT812">
        <v>0</v>
      </c>
      <c r="BU812">
        <v>0</v>
      </c>
      <c r="BV812">
        <v>390</v>
      </c>
      <c r="BW812">
        <v>105</v>
      </c>
      <c r="BX812">
        <v>2</v>
      </c>
      <c r="BY812">
        <v>1</v>
      </c>
      <c r="BZ812">
        <v>2</v>
      </c>
      <c r="CA812">
        <v>500</v>
      </c>
      <c r="CB812">
        <v>0</v>
      </c>
      <c r="CC812">
        <v>0</v>
      </c>
      <c r="CD812">
        <v>0</v>
      </c>
      <c r="CE812">
        <v>203</v>
      </c>
      <c r="CF812">
        <v>162.065</v>
      </c>
      <c r="CG812">
        <v>0</v>
      </c>
      <c r="CH812">
        <v>0</v>
      </c>
      <c r="CI812">
        <v>6</v>
      </c>
      <c r="CJ812">
        <v>54</v>
      </c>
      <c r="CK812">
        <v>1</v>
      </c>
      <c r="CL812">
        <v>0</v>
      </c>
      <c r="CM812">
        <v>31.428000000000001</v>
      </c>
      <c r="CN812">
        <v>0</v>
      </c>
      <c r="CO812">
        <v>0</v>
      </c>
      <c r="CP812">
        <v>0</v>
      </c>
      <c r="CQ812">
        <v>0</v>
      </c>
      <c r="CR812">
        <v>0</v>
      </c>
      <c r="CS812">
        <v>0</v>
      </c>
      <c r="CT812">
        <v>0</v>
      </c>
      <c r="CU812">
        <v>0.42600000000000005</v>
      </c>
      <c r="CV812">
        <v>164.648</v>
      </c>
      <c r="CW812">
        <v>49.637</v>
      </c>
      <c r="CX812">
        <v>0</v>
      </c>
      <c r="CY812" s="2043">
        <v>0</v>
      </c>
      <c r="CZ812" s="2043">
        <v>0</v>
      </c>
      <c r="DA812" s="2043">
        <v>0</v>
      </c>
      <c r="DB812" s="2043">
        <v>0</v>
      </c>
      <c r="DC812" s="2043">
        <v>0</v>
      </c>
      <c r="DI812" t="s">
        <v>3122</v>
      </c>
      <c r="DJ812" t="s">
        <v>3122</v>
      </c>
      <c r="DK812" s="2042">
        <f t="shared" si="14"/>
        <v>0</v>
      </c>
    </row>
    <row r="813" spans="1:115">
      <c r="A813" t="s">
        <v>3123</v>
      </c>
      <c r="B813" t="s">
        <v>1731</v>
      </c>
      <c r="C813">
        <v>488.18400000000003</v>
      </c>
      <c r="D813">
        <v>481.19400000000002</v>
      </c>
      <c r="E813">
        <v>17.548999999999999</v>
      </c>
      <c r="F813">
        <v>0</v>
      </c>
      <c r="G813" s="2043">
        <v>220970618</v>
      </c>
      <c r="H813">
        <v>0</v>
      </c>
      <c r="I813" s="2043">
        <v>654575</v>
      </c>
      <c r="J813">
        <v>24.409000000000002</v>
      </c>
      <c r="K813">
        <v>67</v>
      </c>
      <c r="L813">
        <v>0</v>
      </c>
      <c r="M813">
        <v>73632</v>
      </c>
      <c r="N813">
        <v>0</v>
      </c>
      <c r="O813">
        <v>73632</v>
      </c>
      <c r="P813">
        <v>0</v>
      </c>
      <c r="Q813">
        <v>0</v>
      </c>
      <c r="R813" s="2043">
        <v>1417182</v>
      </c>
      <c r="S813">
        <v>86203</v>
      </c>
      <c r="T813">
        <v>0</v>
      </c>
      <c r="U813">
        <v>0.05</v>
      </c>
      <c r="V813">
        <v>0</v>
      </c>
      <c r="W813">
        <v>0</v>
      </c>
      <c r="X813">
        <v>0</v>
      </c>
      <c r="Y813">
        <v>449570</v>
      </c>
      <c r="Z813">
        <v>0</v>
      </c>
      <c r="AA813">
        <v>0</v>
      </c>
      <c r="AB813">
        <v>481.19400000000002</v>
      </c>
      <c r="AC813" s="2043">
        <v>144359276</v>
      </c>
      <c r="AD813">
        <v>1885192</v>
      </c>
      <c r="AE813" s="2043">
        <v>1503385</v>
      </c>
      <c r="AF813">
        <v>0.872</v>
      </c>
      <c r="AG813">
        <v>0</v>
      </c>
      <c r="AH813">
        <v>0</v>
      </c>
      <c r="AI813">
        <v>0</v>
      </c>
      <c r="AJ813">
        <v>96.488</v>
      </c>
      <c r="AK813">
        <v>1902</v>
      </c>
      <c r="AL813">
        <v>0</v>
      </c>
      <c r="AM813">
        <v>0</v>
      </c>
      <c r="AN813">
        <v>2.677</v>
      </c>
      <c r="AO813">
        <v>0</v>
      </c>
      <c r="AP813">
        <v>3.5380000000000003</v>
      </c>
      <c r="AQ813">
        <v>0</v>
      </c>
      <c r="AR813">
        <v>14.123000000000001</v>
      </c>
      <c r="AS813">
        <v>0</v>
      </c>
      <c r="AT813">
        <v>3.1E-2</v>
      </c>
      <c r="AU813">
        <v>0.41900000000000004</v>
      </c>
      <c r="AV813">
        <v>0</v>
      </c>
      <c r="AW813">
        <v>18.111000000000001</v>
      </c>
      <c r="AX813">
        <v>0</v>
      </c>
      <c r="AY813">
        <v>54.11</v>
      </c>
      <c r="AZ813">
        <v>0</v>
      </c>
      <c r="BA813">
        <v>4600030</v>
      </c>
      <c r="BB813">
        <v>3388577</v>
      </c>
      <c r="BC813">
        <v>0</v>
      </c>
      <c r="BD813">
        <v>46463</v>
      </c>
      <c r="BE813">
        <v>0</v>
      </c>
      <c r="BF813">
        <v>46463</v>
      </c>
      <c r="BG813">
        <v>46463</v>
      </c>
      <c r="BH813">
        <v>0</v>
      </c>
      <c r="BI813">
        <v>0</v>
      </c>
      <c r="BJ813">
        <v>0</v>
      </c>
      <c r="BK813">
        <v>0</v>
      </c>
      <c r="BL813">
        <v>220970618</v>
      </c>
      <c r="BM813">
        <v>0</v>
      </c>
      <c r="BN813">
        <v>1557</v>
      </c>
      <c r="BO813">
        <v>877</v>
      </c>
      <c r="BP813">
        <v>0</v>
      </c>
      <c r="BQ813">
        <v>0</v>
      </c>
      <c r="BR813">
        <v>0.82200000000000006</v>
      </c>
      <c r="BS813">
        <v>0.82200000000000006</v>
      </c>
      <c r="BT813">
        <v>0</v>
      </c>
      <c r="BU813">
        <v>0</v>
      </c>
      <c r="BV813">
        <v>54</v>
      </c>
      <c r="BW813">
        <v>28</v>
      </c>
      <c r="BX813">
        <v>4</v>
      </c>
      <c r="BY813">
        <v>289</v>
      </c>
      <c r="BZ813">
        <v>3</v>
      </c>
      <c r="CA813">
        <v>378</v>
      </c>
      <c r="CB813">
        <v>0</v>
      </c>
      <c r="CC813">
        <v>0</v>
      </c>
      <c r="CD813">
        <v>0</v>
      </c>
      <c r="CE813">
        <v>35</v>
      </c>
      <c r="CF813">
        <v>111.93400000000001</v>
      </c>
      <c r="CG813">
        <v>1.4040000000000001</v>
      </c>
      <c r="CH813">
        <v>0</v>
      </c>
      <c r="CI813">
        <v>4</v>
      </c>
      <c r="CJ813">
        <v>5</v>
      </c>
      <c r="CK813">
        <v>0</v>
      </c>
      <c r="CL813">
        <v>1.4040000000000001</v>
      </c>
      <c r="CM813">
        <v>17.548999999999999</v>
      </c>
      <c r="CN813">
        <v>0</v>
      </c>
      <c r="CO813">
        <v>0</v>
      </c>
      <c r="CP813">
        <v>0</v>
      </c>
      <c r="CQ813">
        <v>0</v>
      </c>
      <c r="CR813">
        <v>0</v>
      </c>
      <c r="CS813">
        <v>0</v>
      </c>
      <c r="CT813">
        <v>0</v>
      </c>
      <c r="CU813">
        <v>0</v>
      </c>
      <c r="CV813">
        <v>24.317</v>
      </c>
      <c r="CW813">
        <v>16.908000000000001</v>
      </c>
      <c r="CX813">
        <v>0</v>
      </c>
      <c r="CY813" s="2043">
        <v>449570</v>
      </c>
      <c r="CZ813" s="2043">
        <v>0</v>
      </c>
      <c r="DA813" s="2043">
        <v>0</v>
      </c>
      <c r="DB813" s="2043">
        <v>0</v>
      </c>
      <c r="DC813" s="2043">
        <v>0</v>
      </c>
      <c r="DI813" t="s">
        <v>3123</v>
      </c>
      <c r="DJ813" t="s">
        <v>3123</v>
      </c>
      <c r="DK813" s="2042">
        <f t="shared" si="14"/>
        <v>0</v>
      </c>
    </row>
    <row r="814" spans="1:115">
      <c r="A814" t="s">
        <v>3124</v>
      </c>
      <c r="B814" t="s">
        <v>1452</v>
      </c>
      <c r="C814">
        <v>1406.482</v>
      </c>
      <c r="D814">
        <v>1387.3430000000001</v>
      </c>
      <c r="E814">
        <v>169.69800000000001</v>
      </c>
      <c r="F814">
        <v>0</v>
      </c>
      <c r="G814" s="2043">
        <v>562272044</v>
      </c>
      <c r="H814">
        <v>0</v>
      </c>
      <c r="I814" s="2043">
        <v>1226782</v>
      </c>
      <c r="J814">
        <v>70.323999999999998</v>
      </c>
      <c r="K814">
        <v>192</v>
      </c>
      <c r="L814">
        <v>0</v>
      </c>
      <c r="M814">
        <v>571964</v>
      </c>
      <c r="N814">
        <v>0</v>
      </c>
      <c r="O814">
        <v>571964</v>
      </c>
      <c r="P814">
        <v>0</v>
      </c>
      <c r="Q814">
        <v>0</v>
      </c>
      <c r="R814" s="2043">
        <v>4672790</v>
      </c>
      <c r="S814">
        <v>279506</v>
      </c>
      <c r="T814">
        <v>0</v>
      </c>
      <c r="U814">
        <v>0.05</v>
      </c>
      <c r="V814">
        <v>0</v>
      </c>
      <c r="W814">
        <v>0</v>
      </c>
      <c r="X814">
        <v>0</v>
      </c>
      <c r="Y814">
        <v>0</v>
      </c>
      <c r="Z814">
        <v>0</v>
      </c>
      <c r="AA814">
        <v>0.32100000000000001</v>
      </c>
      <c r="AB814">
        <v>1387.3430000000001</v>
      </c>
      <c r="AC814" s="2043">
        <v>464242780</v>
      </c>
      <c r="AD814">
        <v>1268697</v>
      </c>
      <c r="AE814" s="2043">
        <v>4952296</v>
      </c>
      <c r="AF814">
        <v>0.88590000000000002</v>
      </c>
      <c r="AG814">
        <v>0</v>
      </c>
      <c r="AH814">
        <v>0</v>
      </c>
      <c r="AI814">
        <v>0</v>
      </c>
      <c r="AJ814">
        <v>226.363</v>
      </c>
      <c r="AK814">
        <v>5097</v>
      </c>
      <c r="AL814">
        <v>0.58400000000000007</v>
      </c>
      <c r="AM814">
        <v>0</v>
      </c>
      <c r="AN814">
        <v>13.924000000000001</v>
      </c>
      <c r="AO814">
        <v>0</v>
      </c>
      <c r="AP814">
        <v>9.9320000000000004</v>
      </c>
      <c r="AQ814">
        <v>0</v>
      </c>
      <c r="AR814">
        <v>32.535000000000004</v>
      </c>
      <c r="AS814">
        <v>0</v>
      </c>
      <c r="AT814">
        <v>7.423</v>
      </c>
      <c r="AU814">
        <v>3.7790000000000004</v>
      </c>
      <c r="AV814">
        <v>0</v>
      </c>
      <c r="AW814">
        <v>59.721000000000004</v>
      </c>
      <c r="AX814">
        <v>5.468</v>
      </c>
      <c r="AY814">
        <v>181.08200000000002</v>
      </c>
      <c r="AZ814">
        <v>0</v>
      </c>
      <c r="BA814">
        <v>9112110</v>
      </c>
      <c r="BB814">
        <v>6220993</v>
      </c>
      <c r="BC814">
        <v>0</v>
      </c>
      <c r="BD814">
        <v>26492</v>
      </c>
      <c r="BE814">
        <v>24494</v>
      </c>
      <c r="BF814">
        <v>50986</v>
      </c>
      <c r="BG814">
        <v>26492</v>
      </c>
      <c r="BH814">
        <v>0</v>
      </c>
      <c r="BI814">
        <v>0</v>
      </c>
      <c r="BJ814">
        <v>0</v>
      </c>
      <c r="BK814">
        <v>0</v>
      </c>
      <c r="BL814">
        <v>562272044</v>
      </c>
      <c r="BM814">
        <v>0</v>
      </c>
      <c r="BN814">
        <v>4563</v>
      </c>
      <c r="BO814">
        <v>2525</v>
      </c>
      <c r="BP814">
        <v>0</v>
      </c>
      <c r="BQ814">
        <v>0</v>
      </c>
      <c r="BR814">
        <v>0.83590000000000009</v>
      </c>
      <c r="BS814">
        <v>0.83590000000000009</v>
      </c>
      <c r="BT814">
        <v>0</v>
      </c>
      <c r="BU814">
        <v>0</v>
      </c>
      <c r="BV814">
        <v>225</v>
      </c>
      <c r="BW814">
        <v>36</v>
      </c>
      <c r="BX814">
        <v>649</v>
      </c>
      <c r="BY814">
        <v>1</v>
      </c>
      <c r="BZ814">
        <v>17</v>
      </c>
      <c r="CA814">
        <v>928</v>
      </c>
      <c r="CB814">
        <v>0</v>
      </c>
      <c r="CC814">
        <v>0</v>
      </c>
      <c r="CD814">
        <v>0</v>
      </c>
      <c r="CE814">
        <v>77</v>
      </c>
      <c r="CF814">
        <v>305.56800000000004</v>
      </c>
      <c r="CG814">
        <v>0</v>
      </c>
      <c r="CH814">
        <v>0</v>
      </c>
      <c r="CI814">
        <v>10</v>
      </c>
      <c r="CJ814">
        <v>10</v>
      </c>
      <c r="CK814">
        <v>0</v>
      </c>
      <c r="CL814">
        <v>0</v>
      </c>
      <c r="CM814">
        <v>169.69800000000001</v>
      </c>
      <c r="CN814">
        <v>0</v>
      </c>
      <c r="CO814">
        <v>0</v>
      </c>
      <c r="CP814">
        <v>0</v>
      </c>
      <c r="CQ814">
        <v>0</v>
      </c>
      <c r="CR814">
        <v>0</v>
      </c>
      <c r="CS814">
        <v>0</v>
      </c>
      <c r="CT814">
        <v>0</v>
      </c>
      <c r="CU814">
        <v>0.97</v>
      </c>
      <c r="CV814">
        <v>55.713000000000001</v>
      </c>
      <c r="CW814">
        <v>44.759</v>
      </c>
      <c r="CX814">
        <v>0</v>
      </c>
      <c r="CY814" s="2043">
        <v>0</v>
      </c>
      <c r="CZ814" s="2043">
        <v>0</v>
      </c>
      <c r="DA814" s="2043">
        <v>0</v>
      </c>
      <c r="DB814" s="2043">
        <v>0</v>
      </c>
      <c r="DC814" s="2043">
        <v>0</v>
      </c>
      <c r="DI814" t="s">
        <v>3124</v>
      </c>
      <c r="DJ814" t="s">
        <v>3124</v>
      </c>
      <c r="DK814" s="2042">
        <f t="shared" si="14"/>
        <v>0</v>
      </c>
    </row>
    <row r="815" spans="1:115">
      <c r="A815" t="s">
        <v>3125</v>
      </c>
      <c r="B815" t="s">
        <v>104</v>
      </c>
      <c r="C815">
        <v>633.60500000000002</v>
      </c>
      <c r="D815">
        <v>642.86700000000008</v>
      </c>
      <c r="E815">
        <v>66.236000000000004</v>
      </c>
      <c r="F815">
        <v>0</v>
      </c>
      <c r="G815" s="2043">
        <v>256003648</v>
      </c>
      <c r="H815">
        <v>0</v>
      </c>
      <c r="I815" s="2043">
        <v>677162</v>
      </c>
      <c r="J815">
        <v>31.68</v>
      </c>
      <c r="K815">
        <v>87</v>
      </c>
      <c r="L815">
        <v>0</v>
      </c>
      <c r="M815">
        <v>185967</v>
      </c>
      <c r="N815">
        <v>0</v>
      </c>
      <c r="O815">
        <v>185967</v>
      </c>
      <c r="P815">
        <v>0</v>
      </c>
      <c r="Q815">
        <v>0</v>
      </c>
      <c r="R815" s="2043">
        <v>2052614</v>
      </c>
      <c r="S815">
        <v>199768</v>
      </c>
      <c r="T815">
        <v>145580</v>
      </c>
      <c r="U815">
        <v>0.08</v>
      </c>
      <c r="V815">
        <v>0</v>
      </c>
      <c r="W815">
        <v>0</v>
      </c>
      <c r="X815">
        <v>0</v>
      </c>
      <c r="Y815">
        <v>0</v>
      </c>
      <c r="Z815">
        <v>0</v>
      </c>
      <c r="AA815">
        <v>0.03</v>
      </c>
      <c r="AB815">
        <v>621.90300000000002</v>
      </c>
      <c r="AC815" s="2043">
        <v>206252413</v>
      </c>
      <c r="AD815">
        <v>644922</v>
      </c>
      <c r="AE815" s="2043">
        <v>2397962</v>
      </c>
      <c r="AF815">
        <v>0.96030000000000004</v>
      </c>
      <c r="AG815">
        <v>0</v>
      </c>
      <c r="AH815">
        <v>0</v>
      </c>
      <c r="AI815">
        <v>0</v>
      </c>
      <c r="AJ815">
        <v>103.46300000000001</v>
      </c>
      <c r="AK815">
        <v>4088</v>
      </c>
      <c r="AL815">
        <v>0.21100000000000002</v>
      </c>
      <c r="AM815">
        <v>0</v>
      </c>
      <c r="AN815">
        <v>23.435000000000002</v>
      </c>
      <c r="AO815">
        <v>0</v>
      </c>
      <c r="AP815">
        <v>5.218</v>
      </c>
      <c r="AQ815">
        <v>0</v>
      </c>
      <c r="AR815">
        <v>24.544</v>
      </c>
      <c r="AS815">
        <v>0</v>
      </c>
      <c r="AT815">
        <v>1.0820000000000001</v>
      </c>
      <c r="AU815">
        <v>0.83600000000000008</v>
      </c>
      <c r="AV815">
        <v>0</v>
      </c>
      <c r="AW815">
        <v>33.207000000000001</v>
      </c>
      <c r="AX815">
        <v>1.3160000000000001</v>
      </c>
      <c r="AY815">
        <v>99.228000000000009</v>
      </c>
      <c r="AZ815">
        <v>0</v>
      </c>
      <c r="BA815">
        <v>6393261</v>
      </c>
      <c r="BB815">
        <v>3042884</v>
      </c>
      <c r="BC815">
        <v>0</v>
      </c>
      <c r="BD815">
        <v>51680</v>
      </c>
      <c r="BE815">
        <v>23134</v>
      </c>
      <c r="BF815">
        <v>74814</v>
      </c>
      <c r="BG815">
        <v>51680</v>
      </c>
      <c r="BH815">
        <v>0</v>
      </c>
      <c r="BI815">
        <v>0</v>
      </c>
      <c r="BJ815">
        <v>0</v>
      </c>
      <c r="BK815">
        <v>0</v>
      </c>
      <c r="BL815">
        <v>256003648</v>
      </c>
      <c r="BM815">
        <v>0</v>
      </c>
      <c r="BN815">
        <v>2529</v>
      </c>
      <c r="BO815">
        <v>2108</v>
      </c>
      <c r="BP815">
        <v>0</v>
      </c>
      <c r="BQ815">
        <v>0</v>
      </c>
      <c r="BR815">
        <v>0.82200000000000006</v>
      </c>
      <c r="BS815">
        <v>0.82200000000000006</v>
      </c>
      <c r="BT815">
        <v>0</v>
      </c>
      <c r="BU815">
        <v>0</v>
      </c>
      <c r="BV815">
        <v>24</v>
      </c>
      <c r="BW815">
        <v>291</v>
      </c>
      <c r="BX815">
        <v>107</v>
      </c>
      <c r="BY815">
        <v>0</v>
      </c>
      <c r="BZ815">
        <v>8</v>
      </c>
      <c r="CA815">
        <v>430</v>
      </c>
      <c r="CB815">
        <v>0</v>
      </c>
      <c r="CC815">
        <v>0</v>
      </c>
      <c r="CD815">
        <v>0</v>
      </c>
      <c r="CE815">
        <v>58</v>
      </c>
      <c r="CF815">
        <v>139.28400000000002</v>
      </c>
      <c r="CG815">
        <v>0</v>
      </c>
      <c r="CH815">
        <v>0</v>
      </c>
      <c r="CI815">
        <v>1</v>
      </c>
      <c r="CJ815">
        <v>0</v>
      </c>
      <c r="CK815">
        <v>0</v>
      </c>
      <c r="CL815">
        <v>0</v>
      </c>
      <c r="CM815">
        <v>66.236000000000004</v>
      </c>
      <c r="CN815">
        <v>0</v>
      </c>
      <c r="CO815">
        <v>0</v>
      </c>
      <c r="CP815">
        <v>0</v>
      </c>
      <c r="CQ815">
        <v>0</v>
      </c>
      <c r="CR815">
        <v>0</v>
      </c>
      <c r="CS815">
        <v>12.823</v>
      </c>
      <c r="CT815">
        <v>0</v>
      </c>
      <c r="CU815">
        <v>7.4550000000000001</v>
      </c>
      <c r="CV815">
        <v>56.946000000000005</v>
      </c>
      <c r="CW815">
        <v>12.739000000000001</v>
      </c>
      <c r="CX815">
        <v>0</v>
      </c>
      <c r="CY815" s="2043">
        <v>0</v>
      </c>
      <c r="CZ815" s="2043">
        <v>0</v>
      </c>
      <c r="DA815" s="2043">
        <v>0</v>
      </c>
      <c r="DB815" s="2043">
        <v>0</v>
      </c>
      <c r="DC815" s="2043">
        <v>0</v>
      </c>
      <c r="DI815" t="s">
        <v>3125</v>
      </c>
      <c r="DJ815" t="s">
        <v>3125</v>
      </c>
      <c r="DK815" s="2042">
        <f t="shared" si="14"/>
        <v>0</v>
      </c>
    </row>
    <row r="816" spans="1:115">
      <c r="A816" t="s">
        <v>3126</v>
      </c>
      <c r="B816" t="s">
        <v>1973</v>
      </c>
      <c r="C816">
        <v>570.221</v>
      </c>
      <c r="D816">
        <v>597.21600000000001</v>
      </c>
      <c r="E816">
        <v>15.802000000000001</v>
      </c>
      <c r="F816">
        <v>0</v>
      </c>
      <c r="G816" s="2043">
        <v>404364930</v>
      </c>
      <c r="H816">
        <v>0</v>
      </c>
      <c r="I816" s="2043">
        <v>1489475</v>
      </c>
      <c r="J816">
        <v>28.511000000000003</v>
      </c>
      <c r="K816">
        <v>78</v>
      </c>
      <c r="L816">
        <v>0</v>
      </c>
      <c r="M816">
        <v>163827</v>
      </c>
      <c r="N816">
        <v>0</v>
      </c>
      <c r="O816">
        <v>163827</v>
      </c>
      <c r="P816">
        <v>0</v>
      </c>
      <c r="Q816">
        <v>0</v>
      </c>
      <c r="R816" s="2043">
        <v>3443950</v>
      </c>
      <c r="S816">
        <v>197837</v>
      </c>
      <c r="T816">
        <v>0</v>
      </c>
      <c r="U816">
        <v>0.05</v>
      </c>
      <c r="V816">
        <v>0</v>
      </c>
      <c r="W816">
        <v>0</v>
      </c>
      <c r="X816">
        <v>0</v>
      </c>
      <c r="Y816">
        <v>0</v>
      </c>
      <c r="Z816">
        <v>51.595000000000006</v>
      </c>
      <c r="AA816">
        <v>0</v>
      </c>
      <c r="AB816">
        <v>597.21600000000001</v>
      </c>
      <c r="AC816" s="2043">
        <v>489645113</v>
      </c>
      <c r="AD816">
        <v>1844610</v>
      </c>
      <c r="AE816" s="2043">
        <v>3641787</v>
      </c>
      <c r="AF816">
        <v>0.9204</v>
      </c>
      <c r="AG816">
        <v>0</v>
      </c>
      <c r="AH816">
        <v>0</v>
      </c>
      <c r="AI816">
        <v>0</v>
      </c>
      <c r="AJ816">
        <v>75.775000000000006</v>
      </c>
      <c r="AK816">
        <v>2729</v>
      </c>
      <c r="AL816">
        <v>0.11800000000000001</v>
      </c>
      <c r="AM816">
        <v>0</v>
      </c>
      <c r="AN816">
        <v>28.881</v>
      </c>
      <c r="AO816">
        <v>0</v>
      </c>
      <c r="AP816">
        <v>3.8680000000000003</v>
      </c>
      <c r="AQ816">
        <v>0</v>
      </c>
      <c r="AR816">
        <v>11.040000000000001</v>
      </c>
      <c r="AS816">
        <v>0</v>
      </c>
      <c r="AT816">
        <v>0.33900000000000002</v>
      </c>
      <c r="AU816">
        <v>1.0410000000000001</v>
      </c>
      <c r="AV816">
        <v>0</v>
      </c>
      <c r="AW816">
        <v>16.406000000000002</v>
      </c>
      <c r="AX816">
        <v>0</v>
      </c>
      <c r="AY816">
        <v>50.376000000000005</v>
      </c>
      <c r="AZ816">
        <v>0</v>
      </c>
      <c r="BA816">
        <v>3405271</v>
      </c>
      <c r="BB816">
        <v>5486397</v>
      </c>
      <c r="BC816">
        <v>0</v>
      </c>
      <c r="BD816">
        <v>32867</v>
      </c>
      <c r="BE816">
        <v>0</v>
      </c>
      <c r="BF816">
        <v>32867</v>
      </c>
      <c r="BG816">
        <v>32867</v>
      </c>
      <c r="BH816">
        <v>0</v>
      </c>
      <c r="BI816">
        <v>0</v>
      </c>
      <c r="BJ816">
        <v>0</v>
      </c>
      <c r="BK816">
        <v>0</v>
      </c>
      <c r="BL816">
        <v>404364930</v>
      </c>
      <c r="BM816">
        <v>0</v>
      </c>
      <c r="BN816">
        <v>2844</v>
      </c>
      <c r="BO816">
        <v>2311</v>
      </c>
      <c r="BP816">
        <v>0</v>
      </c>
      <c r="BQ816">
        <v>0</v>
      </c>
      <c r="BR816">
        <v>0.87040000000000006</v>
      </c>
      <c r="BS816">
        <v>0.87040000000000006</v>
      </c>
      <c r="BT816">
        <v>0</v>
      </c>
      <c r="BU816">
        <v>0</v>
      </c>
      <c r="BV816">
        <v>42</v>
      </c>
      <c r="BW816">
        <v>240</v>
      </c>
      <c r="BX816">
        <v>10</v>
      </c>
      <c r="BY816">
        <v>4</v>
      </c>
      <c r="BZ816">
        <v>21</v>
      </c>
      <c r="CA816">
        <v>317</v>
      </c>
      <c r="CB816">
        <v>0</v>
      </c>
      <c r="CC816">
        <v>0</v>
      </c>
      <c r="CD816">
        <v>0</v>
      </c>
      <c r="CE816">
        <v>95</v>
      </c>
      <c r="CF816">
        <v>88.738</v>
      </c>
      <c r="CG816">
        <v>0</v>
      </c>
      <c r="CH816">
        <v>0</v>
      </c>
      <c r="CI816">
        <v>3</v>
      </c>
      <c r="CJ816">
        <v>7</v>
      </c>
      <c r="CK816">
        <v>0</v>
      </c>
      <c r="CL816">
        <v>0</v>
      </c>
      <c r="CM816">
        <v>15.802000000000001</v>
      </c>
      <c r="CN816">
        <v>0</v>
      </c>
      <c r="CO816">
        <v>0</v>
      </c>
      <c r="CP816">
        <v>0</v>
      </c>
      <c r="CQ816">
        <v>0</v>
      </c>
      <c r="CR816">
        <v>0</v>
      </c>
      <c r="CS816">
        <v>0</v>
      </c>
      <c r="CT816">
        <v>0</v>
      </c>
      <c r="CU816">
        <v>0.58800000000000008</v>
      </c>
      <c r="CV816">
        <v>37.761000000000003</v>
      </c>
      <c r="CW816">
        <v>19.888999999999999</v>
      </c>
      <c r="CX816">
        <v>0</v>
      </c>
      <c r="CY816" s="2043">
        <v>0</v>
      </c>
      <c r="CZ816" s="2043">
        <v>0</v>
      </c>
      <c r="DA816" s="2043">
        <v>0</v>
      </c>
      <c r="DB816" s="2043">
        <v>0</v>
      </c>
      <c r="DC816" s="2043">
        <v>71799</v>
      </c>
      <c r="DI816" t="s">
        <v>3126</v>
      </c>
      <c r="DJ816" t="s">
        <v>3126</v>
      </c>
      <c r="DK816" s="2042">
        <f t="shared" si="14"/>
        <v>0</v>
      </c>
    </row>
    <row r="817" spans="1:115">
      <c r="A817" t="s">
        <v>3127</v>
      </c>
      <c r="B817" t="s">
        <v>324</v>
      </c>
      <c r="C817">
        <v>12502.687</v>
      </c>
      <c r="D817">
        <v>13537.681</v>
      </c>
      <c r="E817">
        <v>2641.143</v>
      </c>
      <c r="F817">
        <v>0</v>
      </c>
      <c r="G817" s="2043">
        <v>6619558654</v>
      </c>
      <c r="H817">
        <v>0</v>
      </c>
      <c r="I817" s="2043">
        <v>14431517</v>
      </c>
      <c r="J817">
        <v>625.13400000000001</v>
      </c>
      <c r="K817">
        <v>1709</v>
      </c>
      <c r="L817">
        <v>0</v>
      </c>
      <c r="M817">
        <v>2267241</v>
      </c>
      <c r="N817">
        <v>0</v>
      </c>
      <c r="O817">
        <v>2267241</v>
      </c>
      <c r="P817">
        <v>0</v>
      </c>
      <c r="Q817">
        <v>0</v>
      </c>
      <c r="R817" s="2043">
        <v>57450238</v>
      </c>
      <c r="S817">
        <v>5186795</v>
      </c>
      <c r="T817">
        <v>3779877</v>
      </c>
      <c r="U817">
        <v>0.08</v>
      </c>
      <c r="V817">
        <v>0</v>
      </c>
      <c r="W817">
        <v>0</v>
      </c>
      <c r="X817">
        <v>0</v>
      </c>
      <c r="Y817">
        <v>3976581</v>
      </c>
      <c r="Z817">
        <v>1.9280000000000002</v>
      </c>
      <c r="AA817">
        <v>2.661</v>
      </c>
      <c r="AB817">
        <v>13188.498</v>
      </c>
      <c r="AC817" s="2043">
        <v>5950661781</v>
      </c>
      <c r="AD817">
        <v>15431740</v>
      </c>
      <c r="AE817" s="2043">
        <v>66416910</v>
      </c>
      <c r="AF817">
        <v>1.0244</v>
      </c>
      <c r="AG817">
        <v>5358260</v>
      </c>
      <c r="AH817">
        <v>0</v>
      </c>
      <c r="AI817">
        <v>0</v>
      </c>
      <c r="AJ817">
        <v>3343.7130000000002</v>
      </c>
      <c r="AK817">
        <v>40603</v>
      </c>
      <c r="AL817">
        <v>0.64900000000000002</v>
      </c>
      <c r="AM817">
        <v>0</v>
      </c>
      <c r="AN817">
        <v>529.27100000000007</v>
      </c>
      <c r="AO817">
        <v>0</v>
      </c>
      <c r="AP817">
        <v>0</v>
      </c>
      <c r="AQ817">
        <v>0.77300000000000002</v>
      </c>
      <c r="AR817">
        <v>220.85600000000002</v>
      </c>
      <c r="AS817">
        <v>0</v>
      </c>
      <c r="AT817">
        <v>120.438</v>
      </c>
      <c r="AU817">
        <v>28.241</v>
      </c>
      <c r="AV817">
        <v>0</v>
      </c>
      <c r="AW817">
        <v>376.49799999999999</v>
      </c>
      <c r="AX817">
        <v>5.5410000000000004</v>
      </c>
      <c r="AY817">
        <v>1181.076</v>
      </c>
      <c r="AZ817">
        <v>2203090</v>
      </c>
      <c r="BA817">
        <v>72383179</v>
      </c>
      <c r="BB817">
        <v>81848650</v>
      </c>
      <c r="BC817">
        <v>0</v>
      </c>
      <c r="BD817">
        <v>210298</v>
      </c>
      <c r="BE817">
        <v>205081</v>
      </c>
      <c r="BF817">
        <v>660104</v>
      </c>
      <c r="BG817">
        <v>210298</v>
      </c>
      <c r="BH817">
        <v>244725</v>
      </c>
      <c r="BI817">
        <v>-6740</v>
      </c>
      <c r="BJ817">
        <v>-13157</v>
      </c>
      <c r="BK817">
        <v>0</v>
      </c>
      <c r="BL817">
        <v>6619558654</v>
      </c>
      <c r="BM817">
        <v>1793388</v>
      </c>
      <c r="BN817">
        <v>47340</v>
      </c>
      <c r="BO817">
        <v>32453</v>
      </c>
      <c r="BP817">
        <v>538705</v>
      </c>
      <c r="BQ817">
        <v>0</v>
      </c>
      <c r="BR817">
        <v>0.8861</v>
      </c>
      <c r="BS817">
        <v>0.8861</v>
      </c>
      <c r="BT817">
        <v>0</v>
      </c>
      <c r="BU817">
        <v>0</v>
      </c>
      <c r="BV817">
        <v>811</v>
      </c>
      <c r="BW817">
        <v>778</v>
      </c>
      <c r="BX817">
        <v>1123</v>
      </c>
      <c r="BY817">
        <v>4805</v>
      </c>
      <c r="BZ817">
        <v>5216</v>
      </c>
      <c r="CA817">
        <v>12733</v>
      </c>
      <c r="CB817">
        <v>0</v>
      </c>
      <c r="CC817">
        <v>82.945000000000007</v>
      </c>
      <c r="CD817">
        <v>0</v>
      </c>
      <c r="CE817">
        <v>1055</v>
      </c>
      <c r="CF817">
        <v>4723.723</v>
      </c>
      <c r="CG817">
        <v>81.888000000000005</v>
      </c>
      <c r="CH817">
        <v>3.4730000000000003</v>
      </c>
      <c r="CI817">
        <v>24</v>
      </c>
      <c r="CJ817">
        <v>15</v>
      </c>
      <c r="CK817">
        <v>0</v>
      </c>
      <c r="CL817">
        <v>85.361000000000004</v>
      </c>
      <c r="CM817">
        <v>2641.143</v>
      </c>
      <c r="CN817">
        <v>53807</v>
      </c>
      <c r="CO817">
        <v>283026</v>
      </c>
      <c r="CP817">
        <v>178372</v>
      </c>
      <c r="CQ817">
        <v>23500</v>
      </c>
      <c r="CR817">
        <v>0</v>
      </c>
      <c r="CS817">
        <v>0</v>
      </c>
      <c r="CT817">
        <v>0</v>
      </c>
      <c r="CU817">
        <v>74.197000000000003</v>
      </c>
      <c r="CV817">
        <v>592.51100000000008</v>
      </c>
      <c r="CW817">
        <v>515.50099999999998</v>
      </c>
      <c r="CX817">
        <v>0</v>
      </c>
      <c r="CY817" s="2043">
        <v>0</v>
      </c>
      <c r="CZ817" s="2043">
        <v>5358260</v>
      </c>
      <c r="DA817" s="2043">
        <v>0</v>
      </c>
      <c r="DB817" s="2043">
        <v>0</v>
      </c>
      <c r="DC817" s="2043">
        <v>0</v>
      </c>
      <c r="DI817" t="s">
        <v>3127</v>
      </c>
      <c r="DJ817" t="s">
        <v>3127</v>
      </c>
      <c r="DK817" s="2042">
        <f t="shared" si="14"/>
        <v>0</v>
      </c>
    </row>
    <row r="818" spans="1:115">
      <c r="A818" t="s">
        <v>3128</v>
      </c>
      <c r="B818" t="s">
        <v>327</v>
      </c>
      <c r="C818">
        <v>1153.4960000000001</v>
      </c>
      <c r="D818">
        <v>1145.923</v>
      </c>
      <c r="E818">
        <v>42.626000000000005</v>
      </c>
      <c r="F818">
        <v>0</v>
      </c>
      <c r="G818" s="2043">
        <v>587227635</v>
      </c>
      <c r="H818">
        <v>0</v>
      </c>
      <c r="I818" s="2043">
        <v>1880100</v>
      </c>
      <c r="J818">
        <v>57.675000000000004</v>
      </c>
      <c r="K818">
        <v>158</v>
      </c>
      <c r="L818">
        <v>0</v>
      </c>
      <c r="M818">
        <v>489842</v>
      </c>
      <c r="N818">
        <v>0</v>
      </c>
      <c r="O818">
        <v>489842</v>
      </c>
      <c r="P818">
        <v>0</v>
      </c>
      <c r="Q818">
        <v>0</v>
      </c>
      <c r="R818" s="2043">
        <v>4828210</v>
      </c>
      <c r="S818">
        <v>286337</v>
      </c>
      <c r="T818">
        <v>0</v>
      </c>
      <c r="U818">
        <v>0.05</v>
      </c>
      <c r="V818">
        <v>0</v>
      </c>
      <c r="W818">
        <v>0</v>
      </c>
      <c r="X818">
        <v>0</v>
      </c>
      <c r="Y818">
        <v>0</v>
      </c>
      <c r="Z818">
        <v>7.5260000000000007</v>
      </c>
      <c r="AA818">
        <v>9.0000000000000011E-3</v>
      </c>
      <c r="AB818">
        <v>1145.923</v>
      </c>
      <c r="AC818" s="2043">
        <v>491577519</v>
      </c>
      <c r="AD818">
        <v>2716361</v>
      </c>
      <c r="AE818" s="2043">
        <v>5114547</v>
      </c>
      <c r="AF818">
        <v>0.8931</v>
      </c>
      <c r="AG818">
        <v>0</v>
      </c>
      <c r="AH818">
        <v>0</v>
      </c>
      <c r="AI818">
        <v>0</v>
      </c>
      <c r="AJ818">
        <v>121.063</v>
      </c>
      <c r="AK818">
        <v>6639</v>
      </c>
      <c r="AL818">
        <v>0.31900000000000001</v>
      </c>
      <c r="AM818">
        <v>0</v>
      </c>
      <c r="AN818">
        <v>77.19</v>
      </c>
      <c r="AO818">
        <v>0</v>
      </c>
      <c r="AP818">
        <v>0</v>
      </c>
      <c r="AQ818">
        <v>12.05</v>
      </c>
      <c r="AR818">
        <v>25.147000000000002</v>
      </c>
      <c r="AS818">
        <v>0</v>
      </c>
      <c r="AT818">
        <v>4.0270000000000001</v>
      </c>
      <c r="AU818">
        <v>1.8980000000000001</v>
      </c>
      <c r="AV818">
        <v>0</v>
      </c>
      <c r="AW818">
        <v>43.441000000000003</v>
      </c>
      <c r="AX818">
        <v>0</v>
      </c>
      <c r="AY818">
        <v>98.606999999999999</v>
      </c>
      <c r="AZ818">
        <v>0</v>
      </c>
      <c r="BA818">
        <v>7579122</v>
      </c>
      <c r="BB818">
        <v>7830908</v>
      </c>
      <c r="BC818">
        <v>0</v>
      </c>
      <c r="BD818">
        <v>91216</v>
      </c>
      <c r="BE818">
        <v>8813</v>
      </c>
      <c r="BF818">
        <v>100029</v>
      </c>
      <c r="BG818">
        <v>91216</v>
      </c>
      <c r="BH818">
        <v>0</v>
      </c>
      <c r="BI818">
        <v>0</v>
      </c>
      <c r="BJ818">
        <v>0</v>
      </c>
      <c r="BK818">
        <v>0</v>
      </c>
      <c r="BL818">
        <v>587227635</v>
      </c>
      <c r="BM818">
        <v>0</v>
      </c>
      <c r="BN818">
        <v>5706</v>
      </c>
      <c r="BO818">
        <v>4419</v>
      </c>
      <c r="BP818">
        <v>62246</v>
      </c>
      <c r="BQ818">
        <v>0</v>
      </c>
      <c r="BR818">
        <v>0.84310000000000007</v>
      </c>
      <c r="BS818">
        <v>0.84310000000000007</v>
      </c>
      <c r="BT818">
        <v>0</v>
      </c>
      <c r="BU818">
        <v>0</v>
      </c>
      <c r="BV818">
        <v>139</v>
      </c>
      <c r="BW818">
        <v>223</v>
      </c>
      <c r="BX818">
        <v>110</v>
      </c>
      <c r="BY818">
        <v>2</v>
      </c>
      <c r="BZ818">
        <v>32</v>
      </c>
      <c r="CA818">
        <v>506</v>
      </c>
      <c r="CB818">
        <v>0</v>
      </c>
      <c r="CC818">
        <v>0</v>
      </c>
      <c r="CD818">
        <v>0</v>
      </c>
      <c r="CE818">
        <v>133</v>
      </c>
      <c r="CF818">
        <v>110.29700000000001</v>
      </c>
      <c r="CG818">
        <v>31.01</v>
      </c>
      <c r="CH818">
        <v>30.967000000000002</v>
      </c>
      <c r="CI818">
        <v>2</v>
      </c>
      <c r="CJ818">
        <v>16</v>
      </c>
      <c r="CK818">
        <v>0</v>
      </c>
      <c r="CL818">
        <v>61.977000000000004</v>
      </c>
      <c r="CM818">
        <v>42.626000000000005</v>
      </c>
      <c r="CN818">
        <v>0</v>
      </c>
      <c r="CO818">
        <v>46996</v>
      </c>
      <c r="CP818">
        <v>11750</v>
      </c>
      <c r="CQ818">
        <v>3500</v>
      </c>
      <c r="CR818">
        <v>0</v>
      </c>
      <c r="CS818">
        <v>0</v>
      </c>
      <c r="CT818">
        <v>0</v>
      </c>
      <c r="CU818">
        <v>0.79</v>
      </c>
      <c r="CV818">
        <v>57.807000000000002</v>
      </c>
      <c r="CW818">
        <v>62.398000000000003</v>
      </c>
      <c r="CX818">
        <v>0</v>
      </c>
      <c r="CY818" s="2043">
        <v>0</v>
      </c>
      <c r="CZ818" s="2043">
        <v>0</v>
      </c>
      <c r="DA818" s="2043">
        <v>0</v>
      </c>
      <c r="DB818" s="2043">
        <v>0</v>
      </c>
      <c r="DC818" s="2043">
        <v>0</v>
      </c>
      <c r="DI818" t="s">
        <v>3128</v>
      </c>
      <c r="DJ818" t="s">
        <v>3128</v>
      </c>
      <c r="DK818" s="2042">
        <f t="shared" si="14"/>
        <v>0</v>
      </c>
    </row>
    <row r="819" spans="1:115">
      <c r="A819" t="s">
        <v>5849</v>
      </c>
      <c r="B819" t="s">
        <v>2321</v>
      </c>
      <c r="C819">
        <v>701.24800000000005</v>
      </c>
      <c r="D819">
        <v>714.00100000000009</v>
      </c>
      <c r="E819">
        <v>2.585</v>
      </c>
      <c r="F819">
        <v>0</v>
      </c>
      <c r="G819" s="2043">
        <v>198868397</v>
      </c>
      <c r="H819">
        <v>0</v>
      </c>
      <c r="I819" s="2043">
        <v>0</v>
      </c>
      <c r="J819">
        <v>35.062000000000005</v>
      </c>
      <c r="K819">
        <v>96</v>
      </c>
      <c r="L819">
        <v>0</v>
      </c>
      <c r="M819">
        <v>0</v>
      </c>
      <c r="N819">
        <v>0</v>
      </c>
      <c r="O819">
        <v>0</v>
      </c>
      <c r="P819">
        <v>0</v>
      </c>
      <c r="Q819">
        <v>0</v>
      </c>
      <c r="R819" s="2043">
        <v>1614070</v>
      </c>
      <c r="S819">
        <v>157087</v>
      </c>
      <c r="T819">
        <v>114477</v>
      </c>
      <c r="U819">
        <v>0.08</v>
      </c>
      <c r="V819">
        <v>0</v>
      </c>
      <c r="W819">
        <v>0</v>
      </c>
      <c r="X819">
        <v>0</v>
      </c>
      <c r="Y819">
        <v>19582</v>
      </c>
      <c r="Z819">
        <v>2.8720000000000003</v>
      </c>
      <c r="AA819">
        <v>7.9000000000000001E-2</v>
      </c>
      <c r="AB819">
        <v>714.00100000000009</v>
      </c>
      <c r="AC819" s="2043">
        <v>154366116</v>
      </c>
      <c r="AD819">
        <v>0</v>
      </c>
      <c r="AE819" s="2043">
        <v>1885634</v>
      </c>
      <c r="AF819">
        <v>0.96030000000000004</v>
      </c>
      <c r="AG819">
        <v>0</v>
      </c>
      <c r="AH819">
        <v>0</v>
      </c>
      <c r="AI819">
        <v>0</v>
      </c>
      <c r="AJ819">
        <v>86.625</v>
      </c>
      <c r="AK819">
        <v>5731</v>
      </c>
      <c r="AL819">
        <v>4.3000000000000003E-2</v>
      </c>
      <c r="AM819">
        <v>0</v>
      </c>
      <c r="AN819">
        <v>7.3029999999999999</v>
      </c>
      <c r="AO819">
        <v>0</v>
      </c>
      <c r="AP819">
        <v>0</v>
      </c>
      <c r="AQ819">
        <v>24.133000000000003</v>
      </c>
      <c r="AR819">
        <v>20.34</v>
      </c>
      <c r="AS819">
        <v>0</v>
      </c>
      <c r="AT819">
        <v>1.7790000000000001</v>
      </c>
      <c r="AU819">
        <v>1.8470000000000002</v>
      </c>
      <c r="AV819">
        <v>0</v>
      </c>
      <c r="AW819">
        <v>48.142000000000003</v>
      </c>
      <c r="AX819">
        <v>0</v>
      </c>
      <c r="AY819">
        <v>75.807000000000002</v>
      </c>
      <c r="AZ819">
        <v>0</v>
      </c>
      <c r="BA819">
        <v>7726075</v>
      </c>
      <c r="BB819">
        <v>1885634</v>
      </c>
      <c r="BC819">
        <v>0</v>
      </c>
      <c r="BD819">
        <v>42483</v>
      </c>
      <c r="BE819">
        <v>24860</v>
      </c>
      <c r="BF819">
        <v>67343</v>
      </c>
      <c r="BG819">
        <v>42483</v>
      </c>
      <c r="BH819">
        <v>0</v>
      </c>
      <c r="BI819">
        <v>0</v>
      </c>
      <c r="BJ819">
        <v>0</v>
      </c>
      <c r="BK819">
        <v>0</v>
      </c>
      <c r="BL819">
        <v>198868397</v>
      </c>
      <c r="BM819">
        <v>0</v>
      </c>
      <c r="BN819">
        <v>2790</v>
      </c>
      <c r="BO819">
        <v>1359</v>
      </c>
      <c r="BP819">
        <v>0</v>
      </c>
      <c r="BQ819">
        <v>0</v>
      </c>
      <c r="BR819">
        <v>0.82200000000000006</v>
      </c>
      <c r="BS819">
        <v>0.82200000000000006</v>
      </c>
      <c r="BT819">
        <v>0</v>
      </c>
      <c r="BU819">
        <v>0</v>
      </c>
      <c r="BV819">
        <v>50</v>
      </c>
      <c r="BW819">
        <v>241</v>
      </c>
      <c r="BX819">
        <v>7</v>
      </c>
      <c r="BY819">
        <v>9</v>
      </c>
      <c r="BZ819">
        <v>51</v>
      </c>
      <c r="CA819">
        <v>358</v>
      </c>
      <c r="CB819">
        <v>1</v>
      </c>
      <c r="CC819">
        <v>0</v>
      </c>
      <c r="CD819">
        <v>0</v>
      </c>
      <c r="CE819">
        <v>62</v>
      </c>
      <c r="CF819">
        <v>111.96900000000001</v>
      </c>
      <c r="CG819">
        <v>38.972999999999999</v>
      </c>
      <c r="CH819">
        <v>26.696000000000002</v>
      </c>
      <c r="CI819">
        <v>9</v>
      </c>
      <c r="CJ819">
        <v>3</v>
      </c>
      <c r="CK819">
        <v>0</v>
      </c>
      <c r="CL819">
        <v>65.668999999999997</v>
      </c>
      <c r="CM819">
        <v>2.585</v>
      </c>
      <c r="CN819">
        <v>0</v>
      </c>
      <c r="CO819">
        <v>0</v>
      </c>
      <c r="CP819">
        <v>0</v>
      </c>
      <c r="CQ819">
        <v>0</v>
      </c>
      <c r="CR819">
        <v>0</v>
      </c>
      <c r="CS819">
        <v>0</v>
      </c>
      <c r="CT819">
        <v>0</v>
      </c>
      <c r="CU819">
        <v>0</v>
      </c>
      <c r="CV819">
        <v>30.235000000000003</v>
      </c>
      <c r="CW819">
        <v>23.095000000000002</v>
      </c>
      <c r="CX819">
        <v>0</v>
      </c>
      <c r="CY819" s="2043">
        <v>19582</v>
      </c>
      <c r="CZ819" s="2043">
        <v>0</v>
      </c>
      <c r="DA819" s="2043">
        <v>0</v>
      </c>
      <c r="DB819" s="2043">
        <v>0</v>
      </c>
      <c r="DC819" s="2043">
        <v>0</v>
      </c>
      <c r="DI819" t="s">
        <v>5849</v>
      </c>
      <c r="DJ819" t="s">
        <v>5849</v>
      </c>
      <c r="DK819" s="2042">
        <f t="shared" si="14"/>
        <v>0</v>
      </c>
    </row>
    <row r="820" spans="1:115">
      <c r="A820" t="s">
        <v>3129</v>
      </c>
      <c r="B820" t="s">
        <v>2322</v>
      </c>
      <c r="C820">
        <v>574.82500000000005</v>
      </c>
      <c r="D820">
        <v>593.01300000000003</v>
      </c>
      <c r="E820">
        <v>18.958000000000002</v>
      </c>
      <c r="F820">
        <v>0</v>
      </c>
      <c r="G820" s="2043">
        <v>244772271</v>
      </c>
      <c r="H820">
        <v>0</v>
      </c>
      <c r="I820" s="2043">
        <v>421500</v>
      </c>
      <c r="J820">
        <v>28.741</v>
      </c>
      <c r="K820">
        <v>79</v>
      </c>
      <c r="L820">
        <v>0</v>
      </c>
      <c r="M820">
        <v>204185</v>
      </c>
      <c r="N820">
        <v>0</v>
      </c>
      <c r="O820">
        <v>204185</v>
      </c>
      <c r="P820">
        <v>0</v>
      </c>
      <c r="Q820">
        <v>0</v>
      </c>
      <c r="R820" s="2043">
        <v>2110372</v>
      </c>
      <c r="S820">
        <v>197416</v>
      </c>
      <c r="T820">
        <v>143866</v>
      </c>
      <c r="U820">
        <v>0.08</v>
      </c>
      <c r="V820">
        <v>0</v>
      </c>
      <c r="W820">
        <v>0</v>
      </c>
      <c r="X820">
        <v>0</v>
      </c>
      <c r="Y820">
        <v>0</v>
      </c>
      <c r="Z820">
        <v>0</v>
      </c>
      <c r="AA820">
        <v>0</v>
      </c>
      <c r="AB820">
        <v>593.01300000000003</v>
      </c>
      <c r="AC820" s="2043">
        <v>200953623</v>
      </c>
      <c r="AD820">
        <v>390469</v>
      </c>
      <c r="AE820" s="2043">
        <v>2451654</v>
      </c>
      <c r="AF820">
        <v>0.99350000000000005</v>
      </c>
      <c r="AG820">
        <v>0</v>
      </c>
      <c r="AH820">
        <v>0</v>
      </c>
      <c r="AI820">
        <v>0</v>
      </c>
      <c r="AJ820">
        <v>79.95</v>
      </c>
      <c r="AK820">
        <v>4206</v>
      </c>
      <c r="AL820">
        <v>7.1000000000000008E-2</v>
      </c>
      <c r="AM820">
        <v>0</v>
      </c>
      <c r="AN820">
        <v>26.351000000000003</v>
      </c>
      <c r="AO820">
        <v>0</v>
      </c>
      <c r="AP820">
        <v>6.5260000000000007</v>
      </c>
      <c r="AQ820">
        <v>0</v>
      </c>
      <c r="AR820">
        <v>24.322000000000003</v>
      </c>
      <c r="AS820">
        <v>0</v>
      </c>
      <c r="AT820">
        <v>0</v>
      </c>
      <c r="AU820">
        <v>1.1970000000000001</v>
      </c>
      <c r="AV820">
        <v>0</v>
      </c>
      <c r="AW820">
        <v>32.549999999999997</v>
      </c>
      <c r="AX820">
        <v>0.434</v>
      </c>
      <c r="AY820">
        <v>97.924000000000007</v>
      </c>
      <c r="AZ820">
        <v>0</v>
      </c>
      <c r="BA820">
        <v>5723711</v>
      </c>
      <c r="BB820">
        <v>2842123</v>
      </c>
      <c r="BC820">
        <v>0</v>
      </c>
      <c r="BD820">
        <v>42636</v>
      </c>
      <c r="BE820">
        <v>43717</v>
      </c>
      <c r="BF820">
        <v>135444</v>
      </c>
      <c r="BG820">
        <v>42636</v>
      </c>
      <c r="BH820">
        <v>49091</v>
      </c>
      <c r="BI820">
        <v>0</v>
      </c>
      <c r="BJ820">
        <v>0</v>
      </c>
      <c r="BK820">
        <v>0</v>
      </c>
      <c r="BL820">
        <v>244772271</v>
      </c>
      <c r="BM820">
        <v>0</v>
      </c>
      <c r="BN820">
        <v>2520</v>
      </c>
      <c r="BO820">
        <v>1819</v>
      </c>
      <c r="BP820">
        <v>0</v>
      </c>
      <c r="BQ820">
        <v>0</v>
      </c>
      <c r="BR820">
        <v>0.85520000000000007</v>
      </c>
      <c r="BS820">
        <v>0.85520000000000007</v>
      </c>
      <c r="BT820">
        <v>0</v>
      </c>
      <c r="BU820">
        <v>0</v>
      </c>
      <c r="BV820">
        <v>97</v>
      </c>
      <c r="BW820">
        <v>222</v>
      </c>
      <c r="BX820">
        <v>2</v>
      </c>
      <c r="BY820">
        <v>4</v>
      </c>
      <c r="BZ820">
        <v>14</v>
      </c>
      <c r="CA820">
        <v>339</v>
      </c>
      <c r="CB820">
        <v>0</v>
      </c>
      <c r="CC820">
        <v>0</v>
      </c>
      <c r="CD820">
        <v>0</v>
      </c>
      <c r="CE820">
        <v>56</v>
      </c>
      <c r="CF820">
        <v>94.921000000000006</v>
      </c>
      <c r="CG820">
        <v>1.3420000000000001</v>
      </c>
      <c r="CH820">
        <v>0</v>
      </c>
      <c r="CI820">
        <v>0</v>
      </c>
      <c r="CJ820">
        <v>1</v>
      </c>
      <c r="CK820">
        <v>0</v>
      </c>
      <c r="CL820">
        <v>1.3420000000000001</v>
      </c>
      <c r="CM820">
        <v>18.958000000000002</v>
      </c>
      <c r="CN820">
        <v>0</v>
      </c>
      <c r="CO820">
        <v>0</v>
      </c>
      <c r="CP820">
        <v>0</v>
      </c>
      <c r="CQ820">
        <v>0</v>
      </c>
      <c r="CR820">
        <v>0</v>
      </c>
      <c r="CS820">
        <v>0</v>
      </c>
      <c r="CT820">
        <v>0</v>
      </c>
      <c r="CU820">
        <v>0.17100000000000001</v>
      </c>
      <c r="CV820">
        <v>31.294</v>
      </c>
      <c r="CW820">
        <v>31.393000000000001</v>
      </c>
      <c r="CX820">
        <v>0</v>
      </c>
      <c r="CY820" s="2043">
        <v>0</v>
      </c>
      <c r="CZ820" s="2043">
        <v>0</v>
      </c>
      <c r="DA820" s="2043">
        <v>0</v>
      </c>
      <c r="DB820" s="2043">
        <v>0</v>
      </c>
      <c r="DC820" s="2043">
        <v>0</v>
      </c>
      <c r="DI820" t="s">
        <v>3129</v>
      </c>
      <c r="DJ820" t="s">
        <v>3129</v>
      </c>
      <c r="DK820" s="2042">
        <f t="shared" si="14"/>
        <v>0</v>
      </c>
    </row>
    <row r="821" spans="1:115">
      <c r="A821" t="s">
        <v>3130</v>
      </c>
      <c r="B821" t="s">
        <v>70</v>
      </c>
      <c r="C821">
        <v>2811.73</v>
      </c>
      <c r="D821">
        <v>2877.7240000000002</v>
      </c>
      <c r="E821">
        <v>66.38</v>
      </c>
      <c r="F821">
        <v>0</v>
      </c>
      <c r="G821" s="2043">
        <v>1200691194</v>
      </c>
      <c r="H821">
        <v>0</v>
      </c>
      <c r="I821" s="2043">
        <v>2755130</v>
      </c>
      <c r="J821">
        <v>140.58700000000002</v>
      </c>
      <c r="K821">
        <v>384</v>
      </c>
      <c r="L821">
        <v>0</v>
      </c>
      <c r="M821">
        <v>1155998</v>
      </c>
      <c r="N821">
        <v>0</v>
      </c>
      <c r="O821">
        <v>1155998</v>
      </c>
      <c r="P821">
        <v>0</v>
      </c>
      <c r="Q821">
        <v>0</v>
      </c>
      <c r="R821" s="2043">
        <v>9887242</v>
      </c>
      <c r="S821">
        <v>601414</v>
      </c>
      <c r="T821">
        <v>0</v>
      </c>
      <c r="U821">
        <v>0.05</v>
      </c>
      <c r="V821">
        <v>0</v>
      </c>
      <c r="W821">
        <v>0</v>
      </c>
      <c r="X821">
        <v>0</v>
      </c>
      <c r="Y821">
        <v>0</v>
      </c>
      <c r="Z821">
        <v>0</v>
      </c>
      <c r="AA821">
        <v>5.9000000000000004E-2</v>
      </c>
      <c r="AB821">
        <v>2780.172</v>
      </c>
      <c r="AC821" s="2043">
        <v>968538686</v>
      </c>
      <c r="AD821">
        <v>4713579</v>
      </c>
      <c r="AE821" s="2043">
        <v>10488656</v>
      </c>
      <c r="AF821">
        <v>0.872</v>
      </c>
      <c r="AG821">
        <v>0</v>
      </c>
      <c r="AH821">
        <v>0</v>
      </c>
      <c r="AI821">
        <v>0</v>
      </c>
      <c r="AJ821">
        <v>234.31300000000002</v>
      </c>
      <c r="AK821">
        <v>8598</v>
      </c>
      <c r="AL821">
        <v>0.112</v>
      </c>
      <c r="AM821">
        <v>0</v>
      </c>
      <c r="AN821">
        <v>140.68299999999999</v>
      </c>
      <c r="AO821">
        <v>0</v>
      </c>
      <c r="AP821">
        <v>0</v>
      </c>
      <c r="AQ821">
        <v>0</v>
      </c>
      <c r="AR821">
        <v>32.131</v>
      </c>
      <c r="AS821">
        <v>0</v>
      </c>
      <c r="AT821">
        <v>21.668000000000003</v>
      </c>
      <c r="AU821">
        <v>4.9729999999999999</v>
      </c>
      <c r="AV821">
        <v>0</v>
      </c>
      <c r="AW821">
        <v>62.875</v>
      </c>
      <c r="AX821">
        <v>3.9910000000000001</v>
      </c>
      <c r="AY821">
        <v>196.001</v>
      </c>
      <c r="AZ821">
        <v>0</v>
      </c>
      <c r="BA821">
        <v>14782587</v>
      </c>
      <c r="BB821">
        <v>15202235</v>
      </c>
      <c r="BC821">
        <v>0</v>
      </c>
      <c r="BD821">
        <v>186219</v>
      </c>
      <c r="BE821">
        <v>53851</v>
      </c>
      <c r="BF821">
        <v>240070</v>
      </c>
      <c r="BG821">
        <v>186219</v>
      </c>
      <c r="BH821">
        <v>0</v>
      </c>
      <c r="BI821">
        <v>0</v>
      </c>
      <c r="BJ821">
        <v>0</v>
      </c>
      <c r="BK821">
        <v>0</v>
      </c>
      <c r="BL821">
        <v>1200691194</v>
      </c>
      <c r="BM821">
        <v>0</v>
      </c>
      <c r="BN821">
        <v>10503</v>
      </c>
      <c r="BO821">
        <v>6538</v>
      </c>
      <c r="BP821">
        <v>0</v>
      </c>
      <c r="BQ821">
        <v>0</v>
      </c>
      <c r="BR821">
        <v>0.82200000000000006</v>
      </c>
      <c r="BS821">
        <v>0.82200000000000006</v>
      </c>
      <c r="BT821">
        <v>0</v>
      </c>
      <c r="BU821">
        <v>0</v>
      </c>
      <c r="BV821">
        <v>778</v>
      </c>
      <c r="BW821">
        <v>244</v>
      </c>
      <c r="BX821">
        <v>2</v>
      </c>
      <c r="BY821">
        <v>1</v>
      </c>
      <c r="BZ821">
        <v>2</v>
      </c>
      <c r="CA821">
        <v>1027</v>
      </c>
      <c r="CB821">
        <v>0</v>
      </c>
      <c r="CC821">
        <v>0</v>
      </c>
      <c r="CD821">
        <v>0</v>
      </c>
      <c r="CE821">
        <v>337</v>
      </c>
      <c r="CF821">
        <v>357.44</v>
      </c>
      <c r="CG821">
        <v>4.0200000000000005</v>
      </c>
      <c r="CH821">
        <v>0</v>
      </c>
      <c r="CI821">
        <v>5</v>
      </c>
      <c r="CJ821">
        <v>49</v>
      </c>
      <c r="CK821">
        <v>2</v>
      </c>
      <c r="CL821">
        <v>4.0200000000000005</v>
      </c>
      <c r="CM821">
        <v>66.38</v>
      </c>
      <c r="CN821">
        <v>0</v>
      </c>
      <c r="CO821">
        <v>0</v>
      </c>
      <c r="CP821">
        <v>0</v>
      </c>
      <c r="CQ821">
        <v>0</v>
      </c>
      <c r="CR821">
        <v>0</v>
      </c>
      <c r="CS821">
        <v>0</v>
      </c>
      <c r="CT821">
        <v>0</v>
      </c>
      <c r="CU821">
        <v>4.5579999999999998</v>
      </c>
      <c r="CV821">
        <v>145.172</v>
      </c>
      <c r="CW821">
        <v>41.744</v>
      </c>
      <c r="CX821">
        <v>0</v>
      </c>
      <c r="CY821" s="2043">
        <v>0</v>
      </c>
      <c r="CZ821" s="2043">
        <v>0</v>
      </c>
      <c r="DA821" s="2043">
        <v>0</v>
      </c>
      <c r="DB821" s="2043">
        <v>0</v>
      </c>
      <c r="DC821" s="2043">
        <v>0</v>
      </c>
      <c r="DI821" t="s">
        <v>3130</v>
      </c>
      <c r="DJ821" t="s">
        <v>3130</v>
      </c>
      <c r="DK821" s="2042">
        <f t="shared" si="14"/>
        <v>0</v>
      </c>
    </row>
    <row r="822" spans="1:115">
      <c r="A822" t="s">
        <v>3131</v>
      </c>
      <c r="B822" t="s">
        <v>2185</v>
      </c>
      <c r="C822">
        <v>2050.9630000000002</v>
      </c>
      <c r="D822">
        <v>2280.0930000000003</v>
      </c>
      <c r="E822">
        <v>253.768</v>
      </c>
      <c r="F822">
        <v>0</v>
      </c>
      <c r="G822" s="2043">
        <v>887320763</v>
      </c>
      <c r="H822">
        <v>0</v>
      </c>
      <c r="I822" s="2043">
        <v>1828922</v>
      </c>
      <c r="J822">
        <v>102.548</v>
      </c>
      <c r="K822">
        <v>280</v>
      </c>
      <c r="L822">
        <v>0</v>
      </c>
      <c r="M822">
        <v>590544</v>
      </c>
      <c r="N822">
        <v>0</v>
      </c>
      <c r="O822">
        <v>590544</v>
      </c>
      <c r="P822">
        <v>0</v>
      </c>
      <c r="Q822">
        <v>0</v>
      </c>
      <c r="R822" s="2043">
        <v>7359470</v>
      </c>
      <c r="S822">
        <v>694617</v>
      </c>
      <c r="T822">
        <v>506203</v>
      </c>
      <c r="U822">
        <v>0.08</v>
      </c>
      <c r="V822">
        <v>0</v>
      </c>
      <c r="W822">
        <v>0</v>
      </c>
      <c r="X822">
        <v>0</v>
      </c>
      <c r="Y822">
        <v>-6749</v>
      </c>
      <c r="Z822">
        <v>0</v>
      </c>
      <c r="AA822">
        <v>2.1000000000000001E-2</v>
      </c>
      <c r="AB822">
        <v>2118.91</v>
      </c>
      <c r="AC822" s="2043">
        <v>760930724</v>
      </c>
      <c r="AD822">
        <v>1988799</v>
      </c>
      <c r="AE822" s="2043">
        <v>8560290</v>
      </c>
      <c r="AF822">
        <v>0.9859</v>
      </c>
      <c r="AG822">
        <v>0</v>
      </c>
      <c r="AH822">
        <v>0</v>
      </c>
      <c r="AI822">
        <v>0</v>
      </c>
      <c r="AJ822">
        <v>493.01300000000003</v>
      </c>
      <c r="AK822">
        <v>7012</v>
      </c>
      <c r="AL822">
        <v>5.9000000000000004E-2</v>
      </c>
      <c r="AM822">
        <v>0</v>
      </c>
      <c r="AN822">
        <v>39.576000000000001</v>
      </c>
      <c r="AO822">
        <v>0</v>
      </c>
      <c r="AP822">
        <v>0.17800000000000002</v>
      </c>
      <c r="AQ822">
        <v>0</v>
      </c>
      <c r="AR822">
        <v>54.271000000000001</v>
      </c>
      <c r="AS822">
        <v>0</v>
      </c>
      <c r="AT822">
        <v>17.861000000000001</v>
      </c>
      <c r="AU822">
        <v>4.7010000000000005</v>
      </c>
      <c r="AV822">
        <v>0</v>
      </c>
      <c r="AW822">
        <v>77.174999999999997</v>
      </c>
      <c r="AX822">
        <v>0.10500000000000001</v>
      </c>
      <c r="AY822">
        <v>240.91800000000001</v>
      </c>
      <c r="AZ822">
        <v>0</v>
      </c>
      <c r="BA822">
        <v>14176896</v>
      </c>
      <c r="BB822">
        <v>10549089</v>
      </c>
      <c r="BC822">
        <v>0</v>
      </c>
      <c r="BD822">
        <v>118159</v>
      </c>
      <c r="BE822">
        <v>41821</v>
      </c>
      <c r="BF822">
        <v>233921</v>
      </c>
      <c r="BG822">
        <v>118159</v>
      </c>
      <c r="BH822">
        <v>73941</v>
      </c>
      <c r="BI822">
        <v>0</v>
      </c>
      <c r="BJ822">
        <v>-6749</v>
      </c>
      <c r="BK822">
        <v>0</v>
      </c>
      <c r="BL822">
        <v>887320763</v>
      </c>
      <c r="BM822">
        <v>0</v>
      </c>
      <c r="BN822">
        <v>6966</v>
      </c>
      <c r="BO822">
        <v>6645</v>
      </c>
      <c r="BP822">
        <v>16399</v>
      </c>
      <c r="BQ822">
        <v>0</v>
      </c>
      <c r="BR822">
        <v>0.84760000000000002</v>
      </c>
      <c r="BS822">
        <v>0.84760000000000002</v>
      </c>
      <c r="BT822">
        <v>0</v>
      </c>
      <c r="BU822">
        <v>0</v>
      </c>
      <c r="BV822">
        <v>191</v>
      </c>
      <c r="BW822">
        <v>65</v>
      </c>
      <c r="BX822">
        <v>473</v>
      </c>
      <c r="BY822">
        <v>476</v>
      </c>
      <c r="BZ822">
        <v>696</v>
      </c>
      <c r="CA822">
        <v>1901</v>
      </c>
      <c r="CB822">
        <v>0</v>
      </c>
      <c r="CC822">
        <v>0</v>
      </c>
      <c r="CD822">
        <v>0</v>
      </c>
      <c r="CE822">
        <v>214</v>
      </c>
      <c r="CF822">
        <v>615.11800000000005</v>
      </c>
      <c r="CG822">
        <v>0</v>
      </c>
      <c r="CH822">
        <v>0</v>
      </c>
      <c r="CI822">
        <v>12</v>
      </c>
      <c r="CJ822">
        <v>10</v>
      </c>
      <c r="CK822">
        <v>0</v>
      </c>
      <c r="CL822">
        <v>0</v>
      </c>
      <c r="CM822">
        <v>253.768</v>
      </c>
      <c r="CN822">
        <v>0</v>
      </c>
      <c r="CO822">
        <v>16399</v>
      </c>
      <c r="CP822">
        <v>0</v>
      </c>
      <c r="CQ822">
        <v>0</v>
      </c>
      <c r="CR822">
        <v>0</v>
      </c>
      <c r="CS822">
        <v>40.494</v>
      </c>
      <c r="CT822">
        <v>0</v>
      </c>
      <c r="CU822">
        <v>48.591000000000001</v>
      </c>
      <c r="CV822">
        <v>122.05</v>
      </c>
      <c r="CW822">
        <v>43.288000000000004</v>
      </c>
      <c r="CX822">
        <v>0</v>
      </c>
      <c r="CY822" s="2043">
        <v>0</v>
      </c>
      <c r="CZ822" s="2043">
        <v>0</v>
      </c>
      <c r="DA822" s="2043">
        <v>0</v>
      </c>
      <c r="DB822" s="2043">
        <v>0</v>
      </c>
      <c r="DC822" s="2043">
        <v>0</v>
      </c>
      <c r="DI822" t="s">
        <v>3131</v>
      </c>
      <c r="DJ822" t="s">
        <v>3131</v>
      </c>
      <c r="DK822" s="2042">
        <f t="shared" si="14"/>
        <v>0</v>
      </c>
    </row>
    <row r="823" spans="1:115">
      <c r="A823" t="s">
        <v>3132</v>
      </c>
      <c r="B823" t="s">
        <v>155</v>
      </c>
      <c r="C823">
        <v>2272.21</v>
      </c>
      <c r="D823">
        <v>2350.192</v>
      </c>
      <c r="E823">
        <v>49.536999999999999</v>
      </c>
      <c r="F823">
        <v>0</v>
      </c>
      <c r="G823" s="2043">
        <v>930316309</v>
      </c>
      <c r="H823">
        <v>0</v>
      </c>
      <c r="I823" s="2043">
        <v>2029848</v>
      </c>
      <c r="J823">
        <v>113.611</v>
      </c>
      <c r="K823">
        <v>311</v>
      </c>
      <c r="L823">
        <v>0</v>
      </c>
      <c r="M823">
        <v>486000</v>
      </c>
      <c r="N823">
        <v>0</v>
      </c>
      <c r="O823">
        <v>486000</v>
      </c>
      <c r="P823">
        <v>0</v>
      </c>
      <c r="Q823">
        <v>0</v>
      </c>
      <c r="R823" s="2043">
        <v>7643215</v>
      </c>
      <c r="S823">
        <v>740532</v>
      </c>
      <c r="T823">
        <v>539663</v>
      </c>
      <c r="U823">
        <v>0.08</v>
      </c>
      <c r="V823">
        <v>0</v>
      </c>
      <c r="W823">
        <v>0</v>
      </c>
      <c r="X823">
        <v>0</v>
      </c>
      <c r="Y823">
        <v>-4645</v>
      </c>
      <c r="Z823">
        <v>0</v>
      </c>
      <c r="AA823">
        <v>0</v>
      </c>
      <c r="AB823">
        <v>2341.6980000000003</v>
      </c>
      <c r="AC823" s="2043">
        <v>739102162</v>
      </c>
      <c r="AD823">
        <v>1917826</v>
      </c>
      <c r="AE823" s="2043">
        <v>8923410</v>
      </c>
      <c r="AF823">
        <v>0.96400000000000008</v>
      </c>
      <c r="AG823">
        <v>0</v>
      </c>
      <c r="AH823">
        <v>0</v>
      </c>
      <c r="AI823">
        <v>0</v>
      </c>
      <c r="AJ823">
        <v>233.68800000000002</v>
      </c>
      <c r="AK823">
        <v>8068</v>
      </c>
      <c r="AL823">
        <v>0.31900000000000001</v>
      </c>
      <c r="AM823">
        <v>0</v>
      </c>
      <c r="AN823">
        <v>183.167</v>
      </c>
      <c r="AO823">
        <v>0</v>
      </c>
      <c r="AP823">
        <v>0</v>
      </c>
      <c r="AQ823">
        <v>0</v>
      </c>
      <c r="AR823">
        <v>15.689</v>
      </c>
      <c r="AS823">
        <v>0</v>
      </c>
      <c r="AT823">
        <v>14.663</v>
      </c>
      <c r="AU823">
        <v>5.7030000000000003</v>
      </c>
      <c r="AV823">
        <v>0</v>
      </c>
      <c r="AW823">
        <v>36.374000000000002</v>
      </c>
      <c r="AX823">
        <v>0</v>
      </c>
      <c r="AY823">
        <v>121.16600000000001</v>
      </c>
      <c r="AZ823">
        <v>0</v>
      </c>
      <c r="BA823">
        <v>14159053</v>
      </c>
      <c r="BB823">
        <v>10841236</v>
      </c>
      <c r="BC823">
        <v>0</v>
      </c>
      <c r="BD823">
        <v>121896</v>
      </c>
      <c r="BE823">
        <v>19020</v>
      </c>
      <c r="BF823">
        <v>140916</v>
      </c>
      <c r="BG823">
        <v>121896</v>
      </c>
      <c r="BH823">
        <v>0</v>
      </c>
      <c r="BI823">
        <v>0</v>
      </c>
      <c r="BJ823">
        <v>-4645</v>
      </c>
      <c r="BK823">
        <v>0</v>
      </c>
      <c r="BL823">
        <v>930316309</v>
      </c>
      <c r="BM823">
        <v>0</v>
      </c>
      <c r="BN823">
        <v>7695</v>
      </c>
      <c r="BO823">
        <v>5446</v>
      </c>
      <c r="BP823">
        <v>0</v>
      </c>
      <c r="BQ823">
        <v>0</v>
      </c>
      <c r="BR823">
        <v>0.82569999999999999</v>
      </c>
      <c r="BS823">
        <v>0.82569999999999999</v>
      </c>
      <c r="BT823">
        <v>0</v>
      </c>
      <c r="BU823">
        <v>0</v>
      </c>
      <c r="BV823">
        <v>540</v>
      </c>
      <c r="BW823">
        <v>416</v>
      </c>
      <c r="BX823">
        <v>12</v>
      </c>
      <c r="BY823">
        <v>27</v>
      </c>
      <c r="BZ823">
        <v>12</v>
      </c>
      <c r="CA823">
        <v>1007</v>
      </c>
      <c r="CB823">
        <v>0</v>
      </c>
      <c r="CC823">
        <v>0</v>
      </c>
      <c r="CD823">
        <v>0</v>
      </c>
      <c r="CE823">
        <v>232</v>
      </c>
      <c r="CF823">
        <v>306.95600000000002</v>
      </c>
      <c r="CG823">
        <v>0</v>
      </c>
      <c r="CH823">
        <v>0</v>
      </c>
      <c r="CI823">
        <v>3</v>
      </c>
      <c r="CJ823">
        <v>26</v>
      </c>
      <c r="CK823">
        <v>1</v>
      </c>
      <c r="CL823">
        <v>0</v>
      </c>
      <c r="CM823">
        <v>49.536999999999999</v>
      </c>
      <c r="CN823">
        <v>0</v>
      </c>
      <c r="CO823">
        <v>0</v>
      </c>
      <c r="CP823">
        <v>0</v>
      </c>
      <c r="CQ823">
        <v>0</v>
      </c>
      <c r="CR823">
        <v>0</v>
      </c>
      <c r="CS823">
        <v>0</v>
      </c>
      <c r="CT823">
        <v>0</v>
      </c>
      <c r="CU823">
        <v>1.7850000000000001</v>
      </c>
      <c r="CV823">
        <v>113.887</v>
      </c>
      <c r="CW823">
        <v>66.841000000000008</v>
      </c>
      <c r="CX823">
        <v>0</v>
      </c>
      <c r="CY823" s="2043">
        <v>0</v>
      </c>
      <c r="CZ823" s="2043">
        <v>0</v>
      </c>
      <c r="DA823" s="2043">
        <v>0</v>
      </c>
      <c r="DB823" s="2043">
        <v>0</v>
      </c>
      <c r="DC823" s="2043">
        <v>0</v>
      </c>
      <c r="DI823" t="s">
        <v>3132</v>
      </c>
      <c r="DJ823" t="s">
        <v>3132</v>
      </c>
      <c r="DK823" s="2042">
        <f t="shared" si="14"/>
        <v>0</v>
      </c>
    </row>
    <row r="824" spans="1:115">
      <c r="A824" t="s">
        <v>3133</v>
      </c>
      <c r="B824" t="s">
        <v>832</v>
      </c>
      <c r="C824">
        <v>655.18799999999999</v>
      </c>
      <c r="D824">
        <v>691.99800000000005</v>
      </c>
      <c r="E824">
        <v>21.042000000000002</v>
      </c>
      <c r="F824">
        <v>0</v>
      </c>
      <c r="G824" s="2043">
        <v>236375139</v>
      </c>
      <c r="H824">
        <v>0</v>
      </c>
      <c r="I824" s="2043">
        <v>539094</v>
      </c>
      <c r="J824">
        <v>32.759</v>
      </c>
      <c r="K824">
        <v>90</v>
      </c>
      <c r="L824">
        <v>0</v>
      </c>
      <c r="M824">
        <v>55550</v>
      </c>
      <c r="N824">
        <v>0</v>
      </c>
      <c r="O824">
        <v>55550</v>
      </c>
      <c r="P824">
        <v>0</v>
      </c>
      <c r="Q824">
        <v>0</v>
      </c>
      <c r="R824" s="2043">
        <v>1973974</v>
      </c>
      <c r="S824">
        <v>188491</v>
      </c>
      <c r="T824">
        <v>137363</v>
      </c>
      <c r="U824">
        <v>0.08</v>
      </c>
      <c r="V824">
        <v>0</v>
      </c>
      <c r="W824">
        <v>0</v>
      </c>
      <c r="X824">
        <v>0</v>
      </c>
      <c r="Y824">
        <v>0</v>
      </c>
      <c r="Z824">
        <v>0</v>
      </c>
      <c r="AA824">
        <v>0</v>
      </c>
      <c r="AB824">
        <v>691.99800000000005</v>
      </c>
      <c r="AC824" s="2043">
        <v>192416012</v>
      </c>
      <c r="AD824">
        <v>476283</v>
      </c>
      <c r="AE824" s="2043">
        <v>2299828</v>
      </c>
      <c r="AF824">
        <v>0.97610000000000008</v>
      </c>
      <c r="AG824">
        <v>0</v>
      </c>
      <c r="AH824">
        <v>0</v>
      </c>
      <c r="AI824">
        <v>0</v>
      </c>
      <c r="AJ824">
        <v>64.900000000000006</v>
      </c>
      <c r="AK824">
        <v>4222</v>
      </c>
      <c r="AL824">
        <v>0.22700000000000001</v>
      </c>
      <c r="AM824">
        <v>0</v>
      </c>
      <c r="AN824">
        <v>62.146000000000001</v>
      </c>
      <c r="AO824">
        <v>0</v>
      </c>
      <c r="AP824">
        <v>0</v>
      </c>
      <c r="AQ824">
        <v>0</v>
      </c>
      <c r="AR824">
        <v>14.385000000000002</v>
      </c>
      <c r="AS824">
        <v>0</v>
      </c>
      <c r="AT824">
        <v>3.637</v>
      </c>
      <c r="AU824">
        <v>1.0780000000000001</v>
      </c>
      <c r="AV824">
        <v>0</v>
      </c>
      <c r="AW824">
        <v>19.327000000000002</v>
      </c>
      <c r="AX824">
        <v>0</v>
      </c>
      <c r="AY824">
        <v>60.591000000000001</v>
      </c>
      <c r="AZ824">
        <v>0</v>
      </c>
      <c r="BA824">
        <v>6484943</v>
      </c>
      <c r="BB824">
        <v>2776111</v>
      </c>
      <c r="BC824">
        <v>0</v>
      </c>
      <c r="BD824">
        <v>12908</v>
      </c>
      <c r="BE824">
        <v>771</v>
      </c>
      <c r="BF824">
        <v>18593</v>
      </c>
      <c r="BG824">
        <v>12908</v>
      </c>
      <c r="BH824">
        <v>4914</v>
      </c>
      <c r="BI824">
        <v>0</v>
      </c>
      <c r="BJ824">
        <v>0</v>
      </c>
      <c r="BK824">
        <v>0</v>
      </c>
      <c r="BL824">
        <v>236375139</v>
      </c>
      <c r="BM824">
        <v>0</v>
      </c>
      <c r="BN824">
        <v>2448</v>
      </c>
      <c r="BO824">
        <v>2001</v>
      </c>
      <c r="BP824">
        <v>0</v>
      </c>
      <c r="BQ824">
        <v>0</v>
      </c>
      <c r="BR824">
        <v>0.83779999999999999</v>
      </c>
      <c r="BS824">
        <v>0.83779999999999999</v>
      </c>
      <c r="BT824">
        <v>0</v>
      </c>
      <c r="BU824">
        <v>0</v>
      </c>
      <c r="BV824">
        <v>73</v>
      </c>
      <c r="BW824">
        <v>178</v>
      </c>
      <c r="BX824">
        <v>11</v>
      </c>
      <c r="BY824">
        <v>10</v>
      </c>
      <c r="BZ824">
        <v>3</v>
      </c>
      <c r="CA824">
        <v>275</v>
      </c>
      <c r="CB824">
        <v>0</v>
      </c>
      <c r="CC824">
        <v>0</v>
      </c>
      <c r="CD824">
        <v>0</v>
      </c>
      <c r="CE824">
        <v>49</v>
      </c>
      <c r="CF824">
        <v>106.233</v>
      </c>
      <c r="CG824">
        <v>0</v>
      </c>
      <c r="CH824">
        <v>0</v>
      </c>
      <c r="CI824">
        <v>1</v>
      </c>
      <c r="CJ824">
        <v>13</v>
      </c>
      <c r="CK824">
        <v>0</v>
      </c>
      <c r="CL824">
        <v>0</v>
      </c>
      <c r="CM824">
        <v>21.042000000000002</v>
      </c>
      <c r="CN824">
        <v>0</v>
      </c>
      <c r="CO824">
        <v>0</v>
      </c>
      <c r="CP824">
        <v>0</v>
      </c>
      <c r="CQ824">
        <v>0</v>
      </c>
      <c r="CR824">
        <v>0</v>
      </c>
      <c r="CS824">
        <v>0</v>
      </c>
      <c r="CT824">
        <v>0</v>
      </c>
      <c r="CU824">
        <v>0</v>
      </c>
      <c r="CV824">
        <v>50.777000000000001</v>
      </c>
      <c r="CW824">
        <v>14.495000000000001</v>
      </c>
      <c r="CX824">
        <v>0</v>
      </c>
      <c r="CY824" s="2043">
        <v>0</v>
      </c>
      <c r="CZ824" s="2043">
        <v>0</v>
      </c>
      <c r="DA824" s="2043">
        <v>0</v>
      </c>
      <c r="DB824" s="2043">
        <v>0</v>
      </c>
      <c r="DC824" s="2043">
        <v>0</v>
      </c>
      <c r="DI824" t="s">
        <v>3133</v>
      </c>
      <c r="DJ824" t="s">
        <v>3133</v>
      </c>
      <c r="DK824" s="2042">
        <f t="shared" si="14"/>
        <v>0</v>
      </c>
    </row>
    <row r="825" spans="1:115">
      <c r="A825" t="s">
        <v>5173</v>
      </c>
      <c r="B825" t="s">
        <v>1733</v>
      </c>
      <c r="C825">
        <v>144.83000000000001</v>
      </c>
      <c r="D825">
        <v>147.16300000000001</v>
      </c>
      <c r="E825">
        <v>6.0070000000000006</v>
      </c>
      <c r="F825">
        <v>0</v>
      </c>
      <c r="G825" s="2043">
        <v>101430276</v>
      </c>
      <c r="H825">
        <v>0</v>
      </c>
      <c r="I825" s="2043">
        <v>133458</v>
      </c>
      <c r="J825">
        <v>7.242</v>
      </c>
      <c r="K825">
        <v>20</v>
      </c>
      <c r="L825">
        <v>0</v>
      </c>
      <c r="M825">
        <v>0</v>
      </c>
      <c r="N825">
        <v>0</v>
      </c>
      <c r="O825">
        <v>0</v>
      </c>
      <c r="P825">
        <v>0</v>
      </c>
      <c r="Q825">
        <v>0</v>
      </c>
      <c r="R825" s="2043">
        <v>831332</v>
      </c>
      <c r="S825">
        <v>50568</v>
      </c>
      <c r="T825">
        <v>0</v>
      </c>
      <c r="U825">
        <v>0.05</v>
      </c>
      <c r="V825">
        <v>0</v>
      </c>
      <c r="W825">
        <v>0</v>
      </c>
      <c r="X825">
        <v>0</v>
      </c>
      <c r="Y825">
        <v>0</v>
      </c>
      <c r="Z825">
        <v>5.78</v>
      </c>
      <c r="AA825">
        <v>0</v>
      </c>
      <c r="AB825">
        <v>147.16300000000001</v>
      </c>
      <c r="AC825" s="2043">
        <v>83434321</v>
      </c>
      <c r="AD825">
        <v>138614</v>
      </c>
      <c r="AE825" s="2043">
        <v>881900</v>
      </c>
      <c r="AF825">
        <v>0.872</v>
      </c>
      <c r="AG825">
        <v>0</v>
      </c>
      <c r="AH825">
        <v>0</v>
      </c>
      <c r="AI825">
        <v>0</v>
      </c>
      <c r="AJ825">
        <v>19.488</v>
      </c>
      <c r="AK825">
        <v>425</v>
      </c>
      <c r="AL825">
        <v>0</v>
      </c>
      <c r="AM825">
        <v>0</v>
      </c>
      <c r="AN825">
        <v>0</v>
      </c>
      <c r="AO825">
        <v>0</v>
      </c>
      <c r="AP825">
        <v>0</v>
      </c>
      <c r="AQ825">
        <v>0</v>
      </c>
      <c r="AR825">
        <v>3.3890000000000002</v>
      </c>
      <c r="AS825">
        <v>0</v>
      </c>
      <c r="AT825">
        <v>0</v>
      </c>
      <c r="AU825">
        <v>0.33800000000000002</v>
      </c>
      <c r="AV825">
        <v>0</v>
      </c>
      <c r="AW825">
        <v>3.7270000000000003</v>
      </c>
      <c r="AX825">
        <v>0</v>
      </c>
      <c r="AY825">
        <v>11.857000000000001</v>
      </c>
      <c r="AZ825">
        <v>0</v>
      </c>
      <c r="BA825">
        <v>926580</v>
      </c>
      <c r="BB825">
        <v>1020514</v>
      </c>
      <c r="BC825">
        <v>0</v>
      </c>
      <c r="BD825">
        <v>14381</v>
      </c>
      <c r="BE825">
        <v>0</v>
      </c>
      <c r="BF825">
        <v>14381</v>
      </c>
      <c r="BG825">
        <v>14381</v>
      </c>
      <c r="BH825">
        <v>0</v>
      </c>
      <c r="BI825">
        <v>0</v>
      </c>
      <c r="BJ825">
        <v>0</v>
      </c>
      <c r="BK825">
        <v>0</v>
      </c>
      <c r="BL825">
        <v>101430276</v>
      </c>
      <c r="BM825">
        <v>0</v>
      </c>
      <c r="BN825">
        <v>0</v>
      </c>
      <c r="BO825">
        <v>0</v>
      </c>
      <c r="BP825">
        <v>0</v>
      </c>
      <c r="BQ825">
        <v>0</v>
      </c>
      <c r="BR825">
        <v>0.82200000000000006</v>
      </c>
      <c r="BS825">
        <v>0.82200000000000006</v>
      </c>
      <c r="BT825">
        <v>0</v>
      </c>
      <c r="BU825">
        <v>0</v>
      </c>
      <c r="BV825">
        <v>13</v>
      </c>
      <c r="BW825">
        <v>53</v>
      </c>
      <c r="BX825">
        <v>3</v>
      </c>
      <c r="BY825">
        <v>6</v>
      </c>
      <c r="BZ825">
        <v>6</v>
      </c>
      <c r="CA825">
        <v>81</v>
      </c>
      <c r="CB825">
        <v>0</v>
      </c>
      <c r="CC825">
        <v>0</v>
      </c>
      <c r="CD825">
        <v>0</v>
      </c>
      <c r="CE825">
        <v>15</v>
      </c>
      <c r="CF825">
        <v>44.321000000000005</v>
      </c>
      <c r="CG825">
        <v>0</v>
      </c>
      <c r="CH825">
        <v>0</v>
      </c>
      <c r="CI825">
        <v>0</v>
      </c>
      <c r="CJ825">
        <v>0</v>
      </c>
      <c r="CK825">
        <v>0</v>
      </c>
      <c r="CL825">
        <v>0</v>
      </c>
      <c r="CM825">
        <v>6.0070000000000006</v>
      </c>
      <c r="CN825">
        <v>0</v>
      </c>
      <c r="CO825">
        <v>0</v>
      </c>
      <c r="CP825">
        <v>0</v>
      </c>
      <c r="CQ825">
        <v>0</v>
      </c>
      <c r="CR825">
        <v>0</v>
      </c>
      <c r="CS825">
        <v>0</v>
      </c>
      <c r="CT825">
        <v>0</v>
      </c>
      <c r="CU825">
        <v>0</v>
      </c>
      <c r="CV825">
        <v>0</v>
      </c>
      <c r="CW825">
        <v>0</v>
      </c>
      <c r="CX825">
        <v>0</v>
      </c>
      <c r="CY825" s="2043">
        <v>0</v>
      </c>
      <c r="CZ825" s="2043">
        <v>0</v>
      </c>
      <c r="DA825" s="2043">
        <v>0</v>
      </c>
      <c r="DB825" s="2043">
        <v>0</v>
      </c>
      <c r="DC825" s="2043">
        <v>0</v>
      </c>
      <c r="DI825" t="s">
        <v>5173</v>
      </c>
      <c r="DJ825" t="s">
        <v>5173</v>
      </c>
      <c r="DK825" s="2042">
        <f t="shared" si="14"/>
        <v>0</v>
      </c>
    </row>
    <row r="826" spans="1:115">
      <c r="A826" t="s">
        <v>5850</v>
      </c>
      <c r="B826" t="s">
        <v>244</v>
      </c>
      <c r="C826">
        <v>211.62900000000002</v>
      </c>
      <c r="D826">
        <v>232.31800000000001</v>
      </c>
      <c r="E826">
        <v>8.7309999999999999</v>
      </c>
      <c r="F826">
        <v>0</v>
      </c>
      <c r="G826" s="2043">
        <v>72835393</v>
      </c>
      <c r="H826">
        <v>0</v>
      </c>
      <c r="I826" s="2043">
        <v>0</v>
      </c>
      <c r="J826">
        <v>3</v>
      </c>
      <c r="K826">
        <v>8</v>
      </c>
      <c r="L826">
        <v>0</v>
      </c>
      <c r="M826">
        <v>0</v>
      </c>
      <c r="N826">
        <v>0</v>
      </c>
      <c r="O826">
        <v>0</v>
      </c>
      <c r="P826">
        <v>0</v>
      </c>
      <c r="Q826">
        <v>0</v>
      </c>
      <c r="R826" s="2043">
        <v>574080</v>
      </c>
      <c r="S826">
        <v>34920</v>
      </c>
      <c r="T826">
        <v>0</v>
      </c>
      <c r="U826">
        <v>0.05</v>
      </c>
      <c r="V826">
        <v>0</v>
      </c>
      <c r="W826">
        <v>0</v>
      </c>
      <c r="X826">
        <v>0</v>
      </c>
      <c r="Y826">
        <v>0</v>
      </c>
      <c r="Z826">
        <v>2.827</v>
      </c>
      <c r="AA826">
        <v>0</v>
      </c>
      <c r="AB826">
        <v>211.68300000000002</v>
      </c>
      <c r="AC826" s="2043">
        <v>56214979</v>
      </c>
      <c r="AD826">
        <v>0</v>
      </c>
      <c r="AE826" s="2043">
        <v>609000</v>
      </c>
      <c r="AF826">
        <v>0.872</v>
      </c>
      <c r="AG826">
        <v>0</v>
      </c>
      <c r="AH826">
        <v>0</v>
      </c>
      <c r="AI826">
        <v>0</v>
      </c>
      <c r="AJ826">
        <v>37.5</v>
      </c>
      <c r="AK826">
        <v>1221</v>
      </c>
      <c r="AL826">
        <v>0</v>
      </c>
      <c r="AM826">
        <v>0</v>
      </c>
      <c r="AN826">
        <v>14.272</v>
      </c>
      <c r="AO826">
        <v>0</v>
      </c>
      <c r="AP826">
        <v>0</v>
      </c>
      <c r="AQ826">
        <v>0</v>
      </c>
      <c r="AR826">
        <v>2.5569999999999999</v>
      </c>
      <c r="AS826">
        <v>0</v>
      </c>
      <c r="AT826">
        <v>2.0380000000000003</v>
      </c>
      <c r="AU826">
        <v>0.85</v>
      </c>
      <c r="AV826">
        <v>0</v>
      </c>
      <c r="AW826">
        <v>5.4450000000000003</v>
      </c>
      <c r="AX826">
        <v>0</v>
      </c>
      <c r="AY826">
        <v>18.035</v>
      </c>
      <c r="AZ826">
        <v>0</v>
      </c>
      <c r="BA826">
        <v>2272474</v>
      </c>
      <c r="BB826">
        <v>609000</v>
      </c>
      <c r="BC826">
        <v>0</v>
      </c>
      <c r="BD826">
        <v>21384</v>
      </c>
      <c r="BE826">
        <v>1853</v>
      </c>
      <c r="BF826">
        <v>23237</v>
      </c>
      <c r="BG826">
        <v>21384</v>
      </c>
      <c r="BH826">
        <v>0</v>
      </c>
      <c r="BI826">
        <v>0</v>
      </c>
      <c r="BJ826">
        <v>0</v>
      </c>
      <c r="BK826">
        <v>0</v>
      </c>
      <c r="BL826">
        <v>72835393</v>
      </c>
      <c r="BM826">
        <v>0</v>
      </c>
      <c r="BN826">
        <v>549</v>
      </c>
      <c r="BO826">
        <v>631</v>
      </c>
      <c r="BP826">
        <v>0</v>
      </c>
      <c r="BQ826">
        <v>0</v>
      </c>
      <c r="BR826">
        <v>0.82200000000000006</v>
      </c>
      <c r="BS826">
        <v>0.82200000000000006</v>
      </c>
      <c r="BT826">
        <v>0</v>
      </c>
      <c r="BU826">
        <v>0</v>
      </c>
      <c r="BV826">
        <v>9</v>
      </c>
      <c r="BW826">
        <v>134</v>
      </c>
      <c r="BX826">
        <v>7</v>
      </c>
      <c r="BY826">
        <v>2</v>
      </c>
      <c r="BZ826">
        <v>5</v>
      </c>
      <c r="CA826">
        <v>157</v>
      </c>
      <c r="CB826">
        <v>0</v>
      </c>
      <c r="CC826">
        <v>0</v>
      </c>
      <c r="CD826">
        <v>0</v>
      </c>
      <c r="CE826">
        <v>29</v>
      </c>
      <c r="CF826">
        <v>41.347999999999999</v>
      </c>
      <c r="CG826">
        <v>0</v>
      </c>
      <c r="CH826">
        <v>0</v>
      </c>
      <c r="CI826">
        <v>0</v>
      </c>
      <c r="CJ826">
        <v>4</v>
      </c>
      <c r="CK826">
        <v>0</v>
      </c>
      <c r="CL826">
        <v>0</v>
      </c>
      <c r="CM826">
        <v>8.7309999999999999</v>
      </c>
      <c r="CN826">
        <v>0</v>
      </c>
      <c r="CO826">
        <v>0</v>
      </c>
      <c r="CP826">
        <v>0</v>
      </c>
      <c r="CQ826">
        <v>0</v>
      </c>
      <c r="CR826">
        <v>0</v>
      </c>
      <c r="CS826">
        <v>0</v>
      </c>
      <c r="CT826">
        <v>0</v>
      </c>
      <c r="CU826">
        <v>0</v>
      </c>
      <c r="CV826">
        <v>10.403</v>
      </c>
      <c r="CW826">
        <v>7.4140000000000006</v>
      </c>
      <c r="CX826">
        <v>0</v>
      </c>
      <c r="CY826" s="2043">
        <v>0</v>
      </c>
      <c r="CZ826" s="2043">
        <v>0</v>
      </c>
      <c r="DA826" s="2043">
        <v>0</v>
      </c>
      <c r="DB826" s="2043">
        <v>0</v>
      </c>
      <c r="DC826" s="2043">
        <v>0</v>
      </c>
      <c r="DI826" t="s">
        <v>5850</v>
      </c>
      <c r="DJ826" t="s">
        <v>5850</v>
      </c>
      <c r="DK826" s="2042">
        <f t="shared" si="14"/>
        <v>0</v>
      </c>
    </row>
    <row r="827" spans="1:115">
      <c r="A827" t="s">
        <v>8511</v>
      </c>
      <c r="B827" t="s">
        <v>11383</v>
      </c>
      <c r="C827">
        <v>0</v>
      </c>
      <c r="D827">
        <v>0</v>
      </c>
      <c r="E827">
        <v>0</v>
      </c>
      <c r="F827">
        <v>0</v>
      </c>
      <c r="G827" s="2043">
        <v>0</v>
      </c>
      <c r="H827">
        <v>0</v>
      </c>
      <c r="I827" s="2043">
        <v>0</v>
      </c>
      <c r="J827">
        <v>0</v>
      </c>
      <c r="K827">
        <v>0</v>
      </c>
      <c r="L827">
        <v>0</v>
      </c>
      <c r="M827">
        <v>0</v>
      </c>
      <c r="N827">
        <v>0</v>
      </c>
      <c r="O827">
        <v>0</v>
      </c>
      <c r="P827">
        <v>0</v>
      </c>
      <c r="Q827">
        <v>0</v>
      </c>
      <c r="R827" s="2043">
        <v>0</v>
      </c>
      <c r="S827">
        <v>0</v>
      </c>
      <c r="T827">
        <v>0</v>
      </c>
      <c r="U827">
        <v>0</v>
      </c>
      <c r="V827">
        <v>0</v>
      </c>
      <c r="W827">
        <v>0</v>
      </c>
      <c r="X827">
        <v>0</v>
      </c>
      <c r="Y827">
        <v>261438</v>
      </c>
      <c r="Z827">
        <v>0</v>
      </c>
      <c r="AA827">
        <v>0</v>
      </c>
      <c r="AB827">
        <v>0</v>
      </c>
      <c r="AC827" s="2043">
        <v>0</v>
      </c>
      <c r="AD827">
        <v>0</v>
      </c>
      <c r="AE827" s="2043">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261438</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s="2043">
        <v>0</v>
      </c>
      <c r="CZ827" s="2043">
        <v>0</v>
      </c>
      <c r="DA827" s="2043">
        <v>0</v>
      </c>
      <c r="DB827" s="2043">
        <v>0</v>
      </c>
      <c r="DC827" s="2043">
        <v>0</v>
      </c>
      <c r="DI827" t="s">
        <v>8511</v>
      </c>
      <c r="DJ827" t="s">
        <v>8511</v>
      </c>
      <c r="DK827" s="2042">
        <f t="shared" si="14"/>
        <v>0</v>
      </c>
    </row>
    <row r="828" spans="1:115">
      <c r="A828" t="s">
        <v>5174</v>
      </c>
      <c r="B828" t="s">
        <v>1494</v>
      </c>
      <c r="C828">
        <v>262.13600000000002</v>
      </c>
      <c r="D828">
        <v>273.57900000000001</v>
      </c>
      <c r="E828">
        <v>3.2590000000000003</v>
      </c>
      <c r="F828">
        <v>0</v>
      </c>
      <c r="G828" s="2043">
        <v>2828683011</v>
      </c>
      <c r="H828">
        <v>0</v>
      </c>
      <c r="I828" s="2043">
        <v>895763</v>
      </c>
      <c r="J828">
        <v>13.107000000000001</v>
      </c>
      <c r="K828">
        <v>36</v>
      </c>
      <c r="L828">
        <v>0</v>
      </c>
      <c r="M828">
        <v>0</v>
      </c>
      <c r="N828">
        <v>0</v>
      </c>
      <c r="O828">
        <v>0</v>
      </c>
      <c r="P828">
        <v>0</v>
      </c>
      <c r="Q828">
        <v>0</v>
      </c>
      <c r="R828" s="2043">
        <v>25454402</v>
      </c>
      <c r="S828">
        <v>1410841</v>
      </c>
      <c r="T828">
        <v>0</v>
      </c>
      <c r="U828">
        <v>0.05</v>
      </c>
      <c r="V828">
        <v>0</v>
      </c>
      <c r="W828">
        <v>22092019</v>
      </c>
      <c r="X828">
        <v>0</v>
      </c>
      <c r="Y828">
        <v>423179</v>
      </c>
      <c r="Z828">
        <v>0</v>
      </c>
      <c r="AA828">
        <v>0</v>
      </c>
      <c r="AB828">
        <v>273.57900000000001</v>
      </c>
      <c r="AC828" s="2043">
        <v>2674026503</v>
      </c>
      <c r="AD828">
        <v>5005376</v>
      </c>
      <c r="AE828" s="2043">
        <v>26865243</v>
      </c>
      <c r="AF828">
        <v>0.95210000000000006</v>
      </c>
      <c r="AG828">
        <v>0</v>
      </c>
      <c r="AH828">
        <v>22092019</v>
      </c>
      <c r="AI828">
        <v>0</v>
      </c>
      <c r="AJ828">
        <v>18.600000000000001</v>
      </c>
      <c r="AK828">
        <v>626</v>
      </c>
      <c r="AL828">
        <v>0</v>
      </c>
      <c r="AM828">
        <v>0</v>
      </c>
      <c r="AN828">
        <v>6.9210000000000003</v>
      </c>
      <c r="AO828">
        <v>0</v>
      </c>
      <c r="AP828">
        <v>0</v>
      </c>
      <c r="AQ828">
        <v>0</v>
      </c>
      <c r="AR828">
        <v>1.8010000000000002</v>
      </c>
      <c r="AS828">
        <v>0</v>
      </c>
      <c r="AT828">
        <v>0.46600000000000003</v>
      </c>
      <c r="AU828">
        <v>0.41800000000000004</v>
      </c>
      <c r="AV828">
        <v>0</v>
      </c>
      <c r="AW828">
        <v>2.6850000000000001</v>
      </c>
      <c r="AX828">
        <v>0</v>
      </c>
      <c r="AY828">
        <v>8.891</v>
      </c>
      <c r="AZ828">
        <v>0</v>
      </c>
      <c r="BA828">
        <v>562948</v>
      </c>
      <c r="BB828">
        <v>31870619</v>
      </c>
      <c r="BC828">
        <v>0</v>
      </c>
      <c r="BD828">
        <v>97188</v>
      </c>
      <c r="BE828">
        <v>0</v>
      </c>
      <c r="BF828">
        <v>97188</v>
      </c>
      <c r="BG828">
        <v>97188</v>
      </c>
      <c r="BH828">
        <v>0</v>
      </c>
      <c r="BI828">
        <v>0</v>
      </c>
      <c r="BJ828">
        <v>0</v>
      </c>
      <c r="BK828">
        <v>0</v>
      </c>
      <c r="BL828">
        <v>2828683011</v>
      </c>
      <c r="BM828">
        <v>0</v>
      </c>
      <c r="BN828">
        <v>1296</v>
      </c>
      <c r="BO828">
        <v>910</v>
      </c>
      <c r="BP828">
        <v>0</v>
      </c>
      <c r="BQ828">
        <v>0</v>
      </c>
      <c r="BR828">
        <v>0.90210000000000001</v>
      </c>
      <c r="BS828">
        <v>0.90210000000000001</v>
      </c>
      <c r="BT828">
        <v>0</v>
      </c>
      <c r="BU828">
        <v>423179</v>
      </c>
      <c r="BV828">
        <v>10</v>
      </c>
      <c r="BW828">
        <v>58</v>
      </c>
      <c r="BX828">
        <v>7</v>
      </c>
      <c r="BY828">
        <v>0</v>
      </c>
      <c r="BZ828">
        <v>3</v>
      </c>
      <c r="CA828">
        <v>78</v>
      </c>
      <c r="CB828">
        <v>0</v>
      </c>
      <c r="CC828">
        <v>0</v>
      </c>
      <c r="CD828">
        <v>0</v>
      </c>
      <c r="CE828">
        <v>19</v>
      </c>
      <c r="CF828">
        <v>26.699000000000002</v>
      </c>
      <c r="CG828">
        <v>0</v>
      </c>
      <c r="CH828">
        <v>0</v>
      </c>
      <c r="CI828">
        <v>2</v>
      </c>
      <c r="CJ828">
        <v>3</v>
      </c>
      <c r="CK828">
        <v>1</v>
      </c>
      <c r="CL828">
        <v>0</v>
      </c>
      <c r="CM828">
        <v>3.2590000000000003</v>
      </c>
      <c r="CN828">
        <v>0</v>
      </c>
      <c r="CO828">
        <v>0</v>
      </c>
      <c r="CP828">
        <v>0</v>
      </c>
      <c r="CQ828">
        <v>0</v>
      </c>
      <c r="CR828">
        <v>0</v>
      </c>
      <c r="CS828">
        <v>0</v>
      </c>
      <c r="CT828">
        <v>0</v>
      </c>
      <c r="CU828">
        <v>0</v>
      </c>
      <c r="CV828">
        <v>8.870000000000001</v>
      </c>
      <c r="CW828">
        <v>11.446</v>
      </c>
      <c r="CX828">
        <v>0</v>
      </c>
      <c r="CY828" s="2043">
        <v>0</v>
      </c>
      <c r="CZ828" s="2043">
        <v>0</v>
      </c>
      <c r="DA828" s="2043">
        <v>0</v>
      </c>
      <c r="DB828" s="2043">
        <v>0</v>
      </c>
      <c r="DC828" s="2043">
        <v>409470</v>
      </c>
      <c r="DI828" t="s">
        <v>5174</v>
      </c>
      <c r="DJ828" t="s">
        <v>5174</v>
      </c>
      <c r="DK828" s="2042">
        <f t="shared" si="14"/>
        <v>0</v>
      </c>
    </row>
    <row r="829" spans="1:115">
      <c r="A829" t="s">
        <v>3134</v>
      </c>
      <c r="B829" t="s">
        <v>1067</v>
      </c>
      <c r="C829">
        <v>1803.028</v>
      </c>
      <c r="D829">
        <v>1822.2180000000001</v>
      </c>
      <c r="E829">
        <v>84.241</v>
      </c>
      <c r="F829">
        <v>0</v>
      </c>
      <c r="G829" s="2043">
        <v>580119266</v>
      </c>
      <c r="H829">
        <v>0</v>
      </c>
      <c r="I829" s="2043">
        <v>906550</v>
      </c>
      <c r="J829">
        <v>90.15100000000001</v>
      </c>
      <c r="K829">
        <v>246</v>
      </c>
      <c r="L829">
        <v>60116</v>
      </c>
      <c r="M829">
        <v>684634</v>
      </c>
      <c r="N829">
        <v>60116</v>
      </c>
      <c r="O829">
        <v>744750</v>
      </c>
      <c r="P829">
        <v>0</v>
      </c>
      <c r="Q829">
        <v>0</v>
      </c>
      <c r="R829" s="2043">
        <v>4671555</v>
      </c>
      <c r="S829">
        <v>281758</v>
      </c>
      <c r="T829">
        <v>0</v>
      </c>
      <c r="U829">
        <v>0.05</v>
      </c>
      <c r="V829">
        <v>0</v>
      </c>
      <c r="W829">
        <v>0</v>
      </c>
      <c r="X829">
        <v>0</v>
      </c>
      <c r="Y829">
        <v>1443142</v>
      </c>
      <c r="Z829">
        <v>0</v>
      </c>
      <c r="AA829">
        <v>0</v>
      </c>
      <c r="AB829">
        <v>1822.2180000000001</v>
      </c>
      <c r="AC829" s="2043">
        <v>476878462</v>
      </c>
      <c r="AD829">
        <v>1332340</v>
      </c>
      <c r="AE829" s="2043">
        <v>4953313</v>
      </c>
      <c r="AF829">
        <v>0.879</v>
      </c>
      <c r="AG829">
        <v>0</v>
      </c>
      <c r="AH829">
        <v>0</v>
      </c>
      <c r="AI829">
        <v>0</v>
      </c>
      <c r="AJ829">
        <v>298.15000000000003</v>
      </c>
      <c r="AK829">
        <v>6629</v>
      </c>
      <c r="AL829">
        <v>0</v>
      </c>
      <c r="AM829">
        <v>0</v>
      </c>
      <c r="AN829">
        <v>79.61</v>
      </c>
      <c r="AO829">
        <v>0</v>
      </c>
      <c r="AP829">
        <v>0.27500000000000002</v>
      </c>
      <c r="AQ829">
        <v>0.79900000000000004</v>
      </c>
      <c r="AR829">
        <v>32.996000000000002</v>
      </c>
      <c r="AS829">
        <v>0</v>
      </c>
      <c r="AT829">
        <v>13.668000000000001</v>
      </c>
      <c r="AU829">
        <v>6.8719999999999999</v>
      </c>
      <c r="AV829">
        <v>0</v>
      </c>
      <c r="AW829">
        <v>54.61</v>
      </c>
      <c r="AX829">
        <v>0</v>
      </c>
      <c r="AY829">
        <v>175.095</v>
      </c>
      <c r="AZ829">
        <v>0</v>
      </c>
      <c r="BA829">
        <v>13915843</v>
      </c>
      <c r="BB829">
        <v>6285653</v>
      </c>
      <c r="BC829">
        <v>0</v>
      </c>
      <c r="BD829">
        <v>100975</v>
      </c>
      <c r="BE829">
        <v>16535</v>
      </c>
      <c r="BF829">
        <v>118673</v>
      </c>
      <c r="BG829">
        <v>100975</v>
      </c>
      <c r="BH829">
        <v>1163</v>
      </c>
      <c r="BI829">
        <v>0</v>
      </c>
      <c r="BJ829">
        <v>0</v>
      </c>
      <c r="BK829">
        <v>0</v>
      </c>
      <c r="BL829">
        <v>580119266</v>
      </c>
      <c r="BM829">
        <v>0</v>
      </c>
      <c r="BN829">
        <v>6822</v>
      </c>
      <c r="BO829">
        <v>3852</v>
      </c>
      <c r="BP829">
        <v>0</v>
      </c>
      <c r="BQ829">
        <v>0</v>
      </c>
      <c r="BR829">
        <v>0.82900000000000007</v>
      </c>
      <c r="BS829">
        <v>0.82900000000000007</v>
      </c>
      <c r="BT829">
        <v>0</v>
      </c>
      <c r="BU829">
        <v>0</v>
      </c>
      <c r="BV829">
        <v>463</v>
      </c>
      <c r="BW829">
        <v>121</v>
      </c>
      <c r="BX829">
        <v>448</v>
      </c>
      <c r="BY829">
        <v>185</v>
      </c>
      <c r="BZ829">
        <v>17</v>
      </c>
      <c r="CA829">
        <v>1234</v>
      </c>
      <c r="CB829">
        <v>0</v>
      </c>
      <c r="CC829">
        <v>0</v>
      </c>
      <c r="CD829">
        <v>0</v>
      </c>
      <c r="CE829">
        <v>146</v>
      </c>
      <c r="CF829">
        <v>392.101</v>
      </c>
      <c r="CG829">
        <v>0</v>
      </c>
      <c r="CH829">
        <v>0</v>
      </c>
      <c r="CI829">
        <v>0</v>
      </c>
      <c r="CJ829">
        <v>7</v>
      </c>
      <c r="CK829">
        <v>0</v>
      </c>
      <c r="CL829">
        <v>0</v>
      </c>
      <c r="CM829">
        <v>84.241</v>
      </c>
      <c r="CN829">
        <v>0</v>
      </c>
      <c r="CO829">
        <v>0</v>
      </c>
      <c r="CP829">
        <v>0</v>
      </c>
      <c r="CQ829">
        <v>0</v>
      </c>
      <c r="CR829">
        <v>0</v>
      </c>
      <c r="CS829">
        <v>0</v>
      </c>
      <c r="CT829">
        <v>0</v>
      </c>
      <c r="CU829">
        <v>0</v>
      </c>
      <c r="CV829">
        <v>96.18</v>
      </c>
      <c r="CW829">
        <v>42.891000000000005</v>
      </c>
      <c r="CX829">
        <v>0</v>
      </c>
      <c r="CY829" s="2043">
        <v>1443142</v>
      </c>
      <c r="CZ829" s="2043">
        <v>0</v>
      </c>
      <c r="DA829" s="2043">
        <v>0</v>
      </c>
      <c r="DB829" s="2043">
        <v>0</v>
      </c>
      <c r="DC829" s="2043">
        <v>0</v>
      </c>
      <c r="DI829" t="s">
        <v>3134</v>
      </c>
      <c r="DJ829" t="s">
        <v>3134</v>
      </c>
      <c r="DK829" s="2042">
        <f t="shared" si="14"/>
        <v>0</v>
      </c>
    </row>
    <row r="830" spans="1:115">
      <c r="A830" t="s">
        <v>3135</v>
      </c>
      <c r="B830" t="s">
        <v>1876</v>
      </c>
      <c r="C830">
        <v>280.98</v>
      </c>
      <c r="D830">
        <v>315.69900000000001</v>
      </c>
      <c r="E830">
        <v>0.9870000000000001</v>
      </c>
      <c r="F830">
        <v>0</v>
      </c>
      <c r="G830" s="2043">
        <v>237463164</v>
      </c>
      <c r="H830">
        <v>0</v>
      </c>
      <c r="I830" s="2043">
        <v>326186</v>
      </c>
      <c r="J830">
        <v>14.049000000000001</v>
      </c>
      <c r="K830">
        <v>38</v>
      </c>
      <c r="L830">
        <v>0</v>
      </c>
      <c r="M830">
        <v>197113</v>
      </c>
      <c r="N830">
        <v>0</v>
      </c>
      <c r="O830">
        <v>197113</v>
      </c>
      <c r="P830">
        <v>0</v>
      </c>
      <c r="Q830">
        <v>0</v>
      </c>
      <c r="R830" s="2043">
        <v>2034438</v>
      </c>
      <c r="S830">
        <v>121242</v>
      </c>
      <c r="T830">
        <v>0</v>
      </c>
      <c r="U830">
        <v>0.05</v>
      </c>
      <c r="V830">
        <v>0</v>
      </c>
      <c r="W830">
        <v>0</v>
      </c>
      <c r="X830">
        <v>0</v>
      </c>
      <c r="Y830">
        <v>0</v>
      </c>
      <c r="Z830">
        <v>0</v>
      </c>
      <c r="AA830">
        <v>0</v>
      </c>
      <c r="AB830">
        <v>303.01</v>
      </c>
      <c r="AC830" s="2043">
        <v>213104599</v>
      </c>
      <c r="AD830">
        <v>337524</v>
      </c>
      <c r="AE830" s="2043">
        <v>2155680</v>
      </c>
      <c r="AF830">
        <v>0.88900000000000001</v>
      </c>
      <c r="AG830">
        <v>0</v>
      </c>
      <c r="AH830">
        <v>0</v>
      </c>
      <c r="AI830">
        <v>0</v>
      </c>
      <c r="AJ830">
        <v>30.375</v>
      </c>
      <c r="AK830">
        <v>1393</v>
      </c>
      <c r="AL830">
        <v>0</v>
      </c>
      <c r="AM830">
        <v>0</v>
      </c>
      <c r="AN830">
        <v>12.421000000000001</v>
      </c>
      <c r="AO830">
        <v>0</v>
      </c>
      <c r="AP830">
        <v>0</v>
      </c>
      <c r="AQ830">
        <v>0</v>
      </c>
      <c r="AR830">
        <v>5.157</v>
      </c>
      <c r="AS830">
        <v>0</v>
      </c>
      <c r="AT830">
        <v>2.262</v>
      </c>
      <c r="AU830">
        <v>0.65200000000000002</v>
      </c>
      <c r="AV830">
        <v>0</v>
      </c>
      <c r="AW830">
        <v>8.0709999999999997</v>
      </c>
      <c r="AX830">
        <v>0</v>
      </c>
      <c r="AY830">
        <v>25.516999999999999</v>
      </c>
      <c r="AZ830">
        <v>0</v>
      </c>
      <c r="BA830">
        <v>1546628</v>
      </c>
      <c r="BB830">
        <v>2493204</v>
      </c>
      <c r="BC830">
        <v>0</v>
      </c>
      <c r="BD830">
        <v>36183</v>
      </c>
      <c r="BE830">
        <v>0</v>
      </c>
      <c r="BF830">
        <v>36183</v>
      </c>
      <c r="BG830">
        <v>36183</v>
      </c>
      <c r="BH830">
        <v>0</v>
      </c>
      <c r="BI830">
        <v>0</v>
      </c>
      <c r="BJ830">
        <v>0</v>
      </c>
      <c r="BK830">
        <v>0</v>
      </c>
      <c r="BL830">
        <v>237463164</v>
      </c>
      <c r="BM830">
        <v>0</v>
      </c>
      <c r="BN830">
        <v>1242</v>
      </c>
      <c r="BO830">
        <v>674</v>
      </c>
      <c r="BP830">
        <v>0</v>
      </c>
      <c r="BQ830">
        <v>0</v>
      </c>
      <c r="BR830">
        <v>0.83900000000000008</v>
      </c>
      <c r="BS830">
        <v>0.83900000000000008</v>
      </c>
      <c r="BT830">
        <v>0</v>
      </c>
      <c r="BU830">
        <v>0</v>
      </c>
      <c r="BV830">
        <v>119</v>
      </c>
      <c r="BW830">
        <v>1</v>
      </c>
      <c r="BX830">
        <v>4</v>
      </c>
      <c r="BY830">
        <v>9</v>
      </c>
      <c r="BZ830">
        <v>0</v>
      </c>
      <c r="CA830">
        <v>133</v>
      </c>
      <c r="CB830">
        <v>0</v>
      </c>
      <c r="CC830">
        <v>0</v>
      </c>
      <c r="CD830">
        <v>0</v>
      </c>
      <c r="CE830">
        <v>23</v>
      </c>
      <c r="CF830">
        <v>32.474000000000004</v>
      </c>
      <c r="CG830">
        <v>0</v>
      </c>
      <c r="CH830">
        <v>0</v>
      </c>
      <c r="CI830">
        <v>2</v>
      </c>
      <c r="CJ830">
        <v>3</v>
      </c>
      <c r="CK830">
        <v>0</v>
      </c>
      <c r="CL830">
        <v>0</v>
      </c>
      <c r="CM830">
        <v>0.9870000000000001</v>
      </c>
      <c r="CN830">
        <v>0</v>
      </c>
      <c r="CO830">
        <v>0</v>
      </c>
      <c r="CP830">
        <v>0</v>
      </c>
      <c r="CQ830">
        <v>0</v>
      </c>
      <c r="CR830">
        <v>0</v>
      </c>
      <c r="CS830">
        <v>0</v>
      </c>
      <c r="CT830">
        <v>0</v>
      </c>
      <c r="CU830">
        <v>0</v>
      </c>
      <c r="CV830">
        <v>24.325000000000003</v>
      </c>
      <c r="CW830">
        <v>12.151</v>
      </c>
      <c r="CX830">
        <v>0</v>
      </c>
      <c r="CY830" s="2043">
        <v>0</v>
      </c>
      <c r="CZ830" s="2043">
        <v>0</v>
      </c>
      <c r="DA830" s="2043">
        <v>0</v>
      </c>
      <c r="DB830" s="2043">
        <v>0</v>
      </c>
      <c r="DC830" s="2043">
        <v>0</v>
      </c>
      <c r="DI830" t="s">
        <v>3135</v>
      </c>
      <c r="DJ830" t="s">
        <v>3135</v>
      </c>
      <c r="DK830" s="2042">
        <f t="shared" si="14"/>
        <v>0</v>
      </c>
    </row>
    <row r="831" spans="1:115">
      <c r="A831" t="s">
        <v>3137</v>
      </c>
      <c r="B831" t="s">
        <v>162</v>
      </c>
      <c r="C831">
        <v>1631.9650000000001</v>
      </c>
      <c r="D831">
        <v>1722.298</v>
      </c>
      <c r="E831">
        <v>44.672000000000004</v>
      </c>
      <c r="F831">
        <v>0</v>
      </c>
      <c r="G831" s="2043">
        <v>941089021</v>
      </c>
      <c r="H831">
        <v>0</v>
      </c>
      <c r="I831" s="2043">
        <v>2390963</v>
      </c>
      <c r="J831">
        <v>81.597999999999999</v>
      </c>
      <c r="K831">
        <v>223</v>
      </c>
      <c r="L831">
        <v>0</v>
      </c>
      <c r="M831">
        <v>779718</v>
      </c>
      <c r="N831">
        <v>0</v>
      </c>
      <c r="O831">
        <v>779718</v>
      </c>
      <c r="P831">
        <v>0</v>
      </c>
      <c r="Q831">
        <v>0</v>
      </c>
      <c r="R831" s="2043">
        <v>7608369</v>
      </c>
      <c r="S831">
        <v>462796</v>
      </c>
      <c r="T831">
        <v>0</v>
      </c>
      <c r="U831">
        <v>0.05</v>
      </c>
      <c r="V831">
        <v>0</v>
      </c>
      <c r="W831">
        <v>0</v>
      </c>
      <c r="X831">
        <v>0</v>
      </c>
      <c r="Y831">
        <v>0</v>
      </c>
      <c r="Z831">
        <v>0</v>
      </c>
      <c r="AA831">
        <v>0</v>
      </c>
      <c r="AB831">
        <v>1661.385</v>
      </c>
      <c r="AC831" s="2043">
        <v>750279723</v>
      </c>
      <c r="AD831">
        <v>2408988</v>
      </c>
      <c r="AE831" s="2043">
        <v>8071165</v>
      </c>
      <c r="AF831">
        <v>0.872</v>
      </c>
      <c r="AG831">
        <v>0</v>
      </c>
      <c r="AH831">
        <v>0</v>
      </c>
      <c r="AI831">
        <v>0</v>
      </c>
      <c r="AJ831">
        <v>251.13800000000001</v>
      </c>
      <c r="AK831">
        <v>5464</v>
      </c>
      <c r="AL831">
        <v>0.191</v>
      </c>
      <c r="AM831">
        <v>0</v>
      </c>
      <c r="AN831">
        <v>74.677999999999997</v>
      </c>
      <c r="AO831">
        <v>0</v>
      </c>
      <c r="AP831">
        <v>0</v>
      </c>
      <c r="AQ831">
        <v>1.7000000000000001E-2</v>
      </c>
      <c r="AR831">
        <v>27.398</v>
      </c>
      <c r="AS831">
        <v>0</v>
      </c>
      <c r="AT831">
        <v>12.541</v>
      </c>
      <c r="AU831">
        <v>2.9830000000000001</v>
      </c>
      <c r="AV831">
        <v>0</v>
      </c>
      <c r="AW831">
        <v>43.13</v>
      </c>
      <c r="AX831">
        <v>0</v>
      </c>
      <c r="AY831">
        <v>135.68700000000001</v>
      </c>
      <c r="AZ831">
        <v>0</v>
      </c>
      <c r="BA831">
        <v>7580104</v>
      </c>
      <c r="BB831">
        <v>10480153</v>
      </c>
      <c r="BC831">
        <v>0</v>
      </c>
      <c r="BD831">
        <v>156468</v>
      </c>
      <c r="BE831">
        <v>38452</v>
      </c>
      <c r="BF831">
        <v>194920</v>
      </c>
      <c r="BG831">
        <v>156468</v>
      </c>
      <c r="BH831">
        <v>0</v>
      </c>
      <c r="BI831">
        <v>0</v>
      </c>
      <c r="BJ831">
        <v>0</v>
      </c>
      <c r="BK831">
        <v>0</v>
      </c>
      <c r="BL831">
        <v>941089021</v>
      </c>
      <c r="BM831">
        <v>0</v>
      </c>
      <c r="BN831">
        <v>6030</v>
      </c>
      <c r="BO831">
        <v>4665</v>
      </c>
      <c r="BP831">
        <v>0</v>
      </c>
      <c r="BQ831">
        <v>0</v>
      </c>
      <c r="BR831">
        <v>0.82200000000000006</v>
      </c>
      <c r="BS831">
        <v>0.82200000000000006</v>
      </c>
      <c r="BT831">
        <v>0</v>
      </c>
      <c r="BU831">
        <v>0</v>
      </c>
      <c r="BV831">
        <v>325</v>
      </c>
      <c r="BW831">
        <v>385</v>
      </c>
      <c r="BX831">
        <v>236</v>
      </c>
      <c r="BY831">
        <v>104</v>
      </c>
      <c r="BZ831">
        <v>1</v>
      </c>
      <c r="CA831">
        <v>1051</v>
      </c>
      <c r="CB831">
        <v>0</v>
      </c>
      <c r="CC831">
        <v>0</v>
      </c>
      <c r="CD831">
        <v>0</v>
      </c>
      <c r="CE831">
        <v>163</v>
      </c>
      <c r="CF831">
        <v>343.26300000000003</v>
      </c>
      <c r="CG831">
        <v>0</v>
      </c>
      <c r="CH831">
        <v>0</v>
      </c>
      <c r="CI831">
        <v>0</v>
      </c>
      <c r="CJ831">
        <v>5</v>
      </c>
      <c r="CK831">
        <v>0</v>
      </c>
      <c r="CL831">
        <v>0</v>
      </c>
      <c r="CM831">
        <v>44.672000000000004</v>
      </c>
      <c r="CN831">
        <v>0</v>
      </c>
      <c r="CO831">
        <v>0</v>
      </c>
      <c r="CP831">
        <v>0</v>
      </c>
      <c r="CQ831">
        <v>0</v>
      </c>
      <c r="CR831">
        <v>0</v>
      </c>
      <c r="CS831">
        <v>0</v>
      </c>
      <c r="CT831">
        <v>0</v>
      </c>
      <c r="CU831">
        <v>1.9370000000000001</v>
      </c>
      <c r="CV831">
        <v>65.266000000000005</v>
      </c>
      <c r="CW831">
        <v>63.931000000000004</v>
      </c>
      <c r="CX831">
        <v>0</v>
      </c>
      <c r="CY831" s="2043">
        <v>0</v>
      </c>
      <c r="CZ831" s="2043">
        <v>0</v>
      </c>
      <c r="DA831" s="2043">
        <v>0</v>
      </c>
      <c r="DB831" s="2043">
        <v>0</v>
      </c>
      <c r="DC831" s="2043">
        <v>0</v>
      </c>
      <c r="DI831" t="s">
        <v>3136</v>
      </c>
      <c r="DJ831" t="s">
        <v>3137</v>
      </c>
      <c r="DK831" s="2042">
        <f t="shared" si="14"/>
        <v>-1</v>
      </c>
    </row>
    <row r="832" spans="1:115">
      <c r="A832" t="s">
        <v>3136</v>
      </c>
      <c r="B832" t="s">
        <v>872</v>
      </c>
      <c r="C832">
        <v>1029.4370000000001</v>
      </c>
      <c r="D832">
        <v>948.37400000000002</v>
      </c>
      <c r="E832">
        <v>54.26</v>
      </c>
      <c r="F832">
        <v>0</v>
      </c>
      <c r="G832" s="2043">
        <v>301879526</v>
      </c>
      <c r="H832">
        <v>0</v>
      </c>
      <c r="I832" s="2043">
        <v>602025</v>
      </c>
      <c r="J832">
        <v>51.472000000000001</v>
      </c>
      <c r="K832">
        <v>141</v>
      </c>
      <c r="L832">
        <v>0</v>
      </c>
      <c r="M832">
        <v>0</v>
      </c>
      <c r="N832">
        <v>0</v>
      </c>
      <c r="O832">
        <v>0</v>
      </c>
      <c r="P832">
        <v>0</v>
      </c>
      <c r="Q832">
        <v>0</v>
      </c>
      <c r="R832" s="2043">
        <v>2438982</v>
      </c>
      <c r="S832">
        <v>237370</v>
      </c>
      <c r="T832">
        <v>172984</v>
      </c>
      <c r="U832">
        <v>0.08</v>
      </c>
      <c r="V832">
        <v>0</v>
      </c>
      <c r="W832">
        <v>0</v>
      </c>
      <c r="X832">
        <v>0</v>
      </c>
      <c r="Y832">
        <v>0</v>
      </c>
      <c r="Z832">
        <v>0</v>
      </c>
      <c r="AA832">
        <v>0.114</v>
      </c>
      <c r="AB832">
        <v>948.37400000000002</v>
      </c>
      <c r="AC832" s="2043">
        <v>230858527</v>
      </c>
      <c r="AD832">
        <v>968871</v>
      </c>
      <c r="AE832" s="2043">
        <v>2849336</v>
      </c>
      <c r="AF832">
        <v>0.96030000000000004</v>
      </c>
      <c r="AG832">
        <v>0</v>
      </c>
      <c r="AH832">
        <v>0</v>
      </c>
      <c r="AI832">
        <v>0</v>
      </c>
      <c r="AJ832">
        <v>197.95000000000002</v>
      </c>
      <c r="AK832">
        <v>4371</v>
      </c>
      <c r="AL832">
        <v>0.29899999999999999</v>
      </c>
      <c r="AM832">
        <v>0</v>
      </c>
      <c r="AN832">
        <v>82.322000000000003</v>
      </c>
      <c r="AO832">
        <v>0</v>
      </c>
      <c r="AP832">
        <v>0</v>
      </c>
      <c r="AQ832">
        <v>0</v>
      </c>
      <c r="AR832">
        <v>12.284000000000001</v>
      </c>
      <c r="AS832">
        <v>0</v>
      </c>
      <c r="AT832">
        <v>2.2330000000000001</v>
      </c>
      <c r="AU832">
        <v>2.4830000000000001</v>
      </c>
      <c r="AV832">
        <v>0</v>
      </c>
      <c r="AW832">
        <v>17.298999999999999</v>
      </c>
      <c r="AX832">
        <v>0</v>
      </c>
      <c r="AY832">
        <v>57.461000000000006</v>
      </c>
      <c r="AZ832">
        <v>0</v>
      </c>
      <c r="BA832">
        <v>10104761</v>
      </c>
      <c r="BB832">
        <v>3818207</v>
      </c>
      <c r="BC832">
        <v>0</v>
      </c>
      <c r="BD832">
        <v>116586</v>
      </c>
      <c r="BE832">
        <v>34577</v>
      </c>
      <c r="BF832">
        <v>151163</v>
      </c>
      <c r="BG832">
        <v>116586</v>
      </c>
      <c r="BH832">
        <v>0</v>
      </c>
      <c r="BI832">
        <v>0</v>
      </c>
      <c r="BJ832">
        <v>0</v>
      </c>
      <c r="BK832">
        <v>0</v>
      </c>
      <c r="BL832">
        <v>301879526</v>
      </c>
      <c r="BM832">
        <v>0</v>
      </c>
      <c r="BN832">
        <v>3771</v>
      </c>
      <c r="BO832">
        <v>1894</v>
      </c>
      <c r="BP832">
        <v>0</v>
      </c>
      <c r="BQ832">
        <v>0</v>
      </c>
      <c r="BR832">
        <v>0.82200000000000006</v>
      </c>
      <c r="BS832">
        <v>0.82200000000000006</v>
      </c>
      <c r="BT832">
        <v>0</v>
      </c>
      <c r="BU832">
        <v>0</v>
      </c>
      <c r="BV832">
        <v>205</v>
      </c>
      <c r="BW832">
        <v>345</v>
      </c>
      <c r="BX832">
        <v>259</v>
      </c>
      <c r="BY832">
        <v>7</v>
      </c>
      <c r="BZ832">
        <v>12</v>
      </c>
      <c r="CA832">
        <v>828</v>
      </c>
      <c r="CB832">
        <v>0</v>
      </c>
      <c r="CC832">
        <v>0</v>
      </c>
      <c r="CD832">
        <v>0</v>
      </c>
      <c r="CE832">
        <v>74</v>
      </c>
      <c r="CF832">
        <v>246.62900000000002</v>
      </c>
      <c r="CG832">
        <v>0</v>
      </c>
      <c r="CH832">
        <v>0</v>
      </c>
      <c r="CI832">
        <v>3</v>
      </c>
      <c r="CJ832">
        <v>0</v>
      </c>
      <c r="CK832">
        <v>0</v>
      </c>
      <c r="CL832">
        <v>0</v>
      </c>
      <c r="CM832">
        <v>54.26</v>
      </c>
      <c r="CN832">
        <v>0</v>
      </c>
      <c r="CO832">
        <v>0</v>
      </c>
      <c r="CP832">
        <v>0</v>
      </c>
      <c r="CQ832">
        <v>0</v>
      </c>
      <c r="CR832">
        <v>0</v>
      </c>
      <c r="CS832">
        <v>0</v>
      </c>
      <c r="CT832">
        <v>0</v>
      </c>
      <c r="CU832">
        <v>0.26700000000000002</v>
      </c>
      <c r="CV832">
        <v>51.333000000000006</v>
      </c>
      <c r="CW832">
        <v>31.743000000000002</v>
      </c>
      <c r="CX832">
        <v>0</v>
      </c>
      <c r="CY832" s="2043">
        <v>0</v>
      </c>
      <c r="CZ832" s="2043">
        <v>0</v>
      </c>
      <c r="DA832" s="2043">
        <v>0</v>
      </c>
      <c r="DB832" s="2043">
        <v>0</v>
      </c>
      <c r="DC832" s="2043">
        <v>0</v>
      </c>
      <c r="DI832" t="s">
        <v>3137</v>
      </c>
      <c r="DJ832" t="s">
        <v>3136</v>
      </c>
      <c r="DK832" s="2042">
        <f t="shared" si="14"/>
        <v>1</v>
      </c>
    </row>
    <row r="833" spans="1:115">
      <c r="A833" t="s">
        <v>3138</v>
      </c>
      <c r="B833" t="s">
        <v>2390</v>
      </c>
      <c r="C833">
        <v>6403.5460000000003</v>
      </c>
      <c r="D833">
        <v>5930.942</v>
      </c>
      <c r="E833">
        <v>356.03500000000003</v>
      </c>
      <c r="F833">
        <v>0</v>
      </c>
      <c r="G833" s="2043">
        <v>3065704366</v>
      </c>
      <c r="H833">
        <v>0</v>
      </c>
      <c r="I833" s="2043">
        <v>9008900</v>
      </c>
      <c r="J833">
        <v>320.17700000000002</v>
      </c>
      <c r="K833">
        <v>875</v>
      </c>
      <c r="L833">
        <v>0</v>
      </c>
      <c r="M833">
        <v>2490846</v>
      </c>
      <c r="N833">
        <v>0</v>
      </c>
      <c r="O833">
        <v>2490846</v>
      </c>
      <c r="P833">
        <v>0</v>
      </c>
      <c r="Q833">
        <v>0</v>
      </c>
      <c r="R833" s="2043">
        <v>25396360</v>
      </c>
      <c r="S833">
        <v>1544791</v>
      </c>
      <c r="T833">
        <v>0</v>
      </c>
      <c r="U833">
        <v>0.05</v>
      </c>
      <c r="V833">
        <v>512.21500000000003</v>
      </c>
      <c r="W833">
        <v>0</v>
      </c>
      <c r="X833">
        <v>0</v>
      </c>
      <c r="Y833">
        <v>-21216</v>
      </c>
      <c r="Z833">
        <v>0</v>
      </c>
      <c r="AA833">
        <v>0.33400000000000002</v>
      </c>
      <c r="AB833">
        <v>5844.4210000000003</v>
      </c>
      <c r="AC833" s="2043">
        <v>2064744391</v>
      </c>
      <c r="AD833">
        <v>14531351</v>
      </c>
      <c r="AE833" s="2043">
        <v>26941151</v>
      </c>
      <c r="AF833">
        <v>0.872</v>
      </c>
      <c r="AG833">
        <v>0</v>
      </c>
      <c r="AH833">
        <v>0</v>
      </c>
      <c r="AI833">
        <v>0</v>
      </c>
      <c r="AJ833">
        <v>759.88800000000003</v>
      </c>
      <c r="AK833">
        <v>22014</v>
      </c>
      <c r="AL833">
        <v>0.55700000000000005</v>
      </c>
      <c r="AM833">
        <v>0</v>
      </c>
      <c r="AN833">
        <v>389.14699999999999</v>
      </c>
      <c r="AO833">
        <v>7.43</v>
      </c>
      <c r="AP833">
        <v>0</v>
      </c>
      <c r="AQ833">
        <v>2.7070000000000003</v>
      </c>
      <c r="AR833">
        <v>72.978999999999999</v>
      </c>
      <c r="AS833">
        <v>0</v>
      </c>
      <c r="AT833">
        <v>61.895000000000003</v>
      </c>
      <c r="AU833">
        <v>18.725000000000001</v>
      </c>
      <c r="AV833">
        <v>0</v>
      </c>
      <c r="AW833">
        <v>156.863</v>
      </c>
      <c r="AX833">
        <v>0</v>
      </c>
      <c r="AY833">
        <v>501.03200000000004</v>
      </c>
      <c r="AZ833">
        <v>0</v>
      </c>
      <c r="BA833">
        <v>32548182</v>
      </c>
      <c r="BB833">
        <v>41472502</v>
      </c>
      <c r="BC833">
        <v>0</v>
      </c>
      <c r="BD833">
        <v>792274</v>
      </c>
      <c r="BE833">
        <v>207292</v>
      </c>
      <c r="BF833">
        <v>999566</v>
      </c>
      <c r="BG833">
        <v>792274</v>
      </c>
      <c r="BH833">
        <v>0</v>
      </c>
      <c r="BI833">
        <v>0</v>
      </c>
      <c r="BJ833">
        <v>-21216</v>
      </c>
      <c r="BK833">
        <v>0</v>
      </c>
      <c r="BL833">
        <v>3065704366</v>
      </c>
      <c r="BM833">
        <v>0</v>
      </c>
      <c r="BN833">
        <v>20115</v>
      </c>
      <c r="BO833">
        <v>3606</v>
      </c>
      <c r="BP833">
        <v>0</v>
      </c>
      <c r="BQ833">
        <v>0</v>
      </c>
      <c r="BR833">
        <v>0.82200000000000006</v>
      </c>
      <c r="BS833">
        <v>0.82200000000000006</v>
      </c>
      <c r="BT833">
        <v>0</v>
      </c>
      <c r="BU833">
        <v>0</v>
      </c>
      <c r="BV833">
        <v>1338</v>
      </c>
      <c r="BW833">
        <v>1513</v>
      </c>
      <c r="BX833">
        <v>95</v>
      </c>
      <c r="BY833">
        <v>232</v>
      </c>
      <c r="BZ833">
        <v>54</v>
      </c>
      <c r="CA833">
        <v>3232</v>
      </c>
      <c r="CB833">
        <v>0</v>
      </c>
      <c r="CC833">
        <v>0</v>
      </c>
      <c r="CD833">
        <v>0</v>
      </c>
      <c r="CE833">
        <v>312</v>
      </c>
      <c r="CF833">
        <v>1147.7809999999999</v>
      </c>
      <c r="CG833">
        <v>0</v>
      </c>
      <c r="CH833">
        <v>3.0720000000000001</v>
      </c>
      <c r="CI833">
        <v>3</v>
      </c>
      <c r="CJ833">
        <v>30</v>
      </c>
      <c r="CK833">
        <v>0</v>
      </c>
      <c r="CL833">
        <v>3.0720000000000001</v>
      </c>
      <c r="CM833">
        <v>356.03500000000003</v>
      </c>
      <c r="CN833">
        <v>0</v>
      </c>
      <c r="CO833">
        <v>0</v>
      </c>
      <c r="CP833">
        <v>0</v>
      </c>
      <c r="CQ833">
        <v>0</v>
      </c>
      <c r="CR833">
        <v>0</v>
      </c>
      <c r="CS833">
        <v>0</v>
      </c>
      <c r="CT833">
        <v>0</v>
      </c>
      <c r="CU833">
        <v>7.6950000000000003</v>
      </c>
      <c r="CV833">
        <v>467.99800000000005</v>
      </c>
      <c r="CW833">
        <v>278.00400000000002</v>
      </c>
      <c r="CX833">
        <v>0</v>
      </c>
      <c r="CY833" s="2043">
        <v>0</v>
      </c>
      <c r="CZ833" s="2043">
        <v>0</v>
      </c>
      <c r="DA833" s="2043">
        <v>0</v>
      </c>
      <c r="DB833" s="2043">
        <v>0</v>
      </c>
      <c r="DC833" s="2043">
        <v>0</v>
      </c>
      <c r="DI833" t="s">
        <v>3138</v>
      </c>
      <c r="DJ833" t="s">
        <v>3138</v>
      </c>
      <c r="DK833" s="2042">
        <f t="shared" si="14"/>
        <v>0</v>
      </c>
    </row>
    <row r="834" spans="1:115">
      <c r="A834" t="s">
        <v>5851</v>
      </c>
      <c r="B834" t="s">
        <v>2440</v>
      </c>
      <c r="C834">
        <v>275.863</v>
      </c>
      <c r="D834">
        <v>275.46100000000001</v>
      </c>
      <c r="E834">
        <v>12.449</v>
      </c>
      <c r="F834">
        <v>0</v>
      </c>
      <c r="G834" s="2043">
        <v>231151649</v>
      </c>
      <c r="H834">
        <v>0</v>
      </c>
      <c r="I834" s="2043">
        <v>0</v>
      </c>
      <c r="J834">
        <v>13.793000000000001</v>
      </c>
      <c r="K834">
        <v>38</v>
      </c>
      <c r="L834">
        <v>0</v>
      </c>
      <c r="M834">
        <v>0</v>
      </c>
      <c r="N834">
        <v>0</v>
      </c>
      <c r="O834">
        <v>0</v>
      </c>
      <c r="P834">
        <v>0</v>
      </c>
      <c r="Q834">
        <v>0</v>
      </c>
      <c r="R834" s="2043">
        <v>1913865</v>
      </c>
      <c r="S834">
        <v>116415</v>
      </c>
      <c r="T834">
        <v>0</v>
      </c>
      <c r="U834">
        <v>0.05</v>
      </c>
      <c r="V834">
        <v>0</v>
      </c>
      <c r="W834">
        <v>0</v>
      </c>
      <c r="X834">
        <v>0</v>
      </c>
      <c r="Y834">
        <v>0</v>
      </c>
      <c r="Z834">
        <v>0</v>
      </c>
      <c r="AA834">
        <v>0</v>
      </c>
      <c r="AB834">
        <v>251.679</v>
      </c>
      <c r="AC834" s="2043">
        <v>192258751</v>
      </c>
      <c r="AD834">
        <v>0</v>
      </c>
      <c r="AE834" s="2043">
        <v>2030280</v>
      </c>
      <c r="AF834">
        <v>0.872</v>
      </c>
      <c r="AG834">
        <v>0</v>
      </c>
      <c r="AH834">
        <v>0</v>
      </c>
      <c r="AI834">
        <v>0</v>
      </c>
      <c r="AJ834">
        <v>50.300000000000004</v>
      </c>
      <c r="AK834">
        <v>1385</v>
      </c>
      <c r="AL834">
        <v>0</v>
      </c>
      <c r="AM834">
        <v>0</v>
      </c>
      <c r="AN834">
        <v>4.4580000000000002</v>
      </c>
      <c r="AO834">
        <v>0</v>
      </c>
      <c r="AP834">
        <v>0</v>
      </c>
      <c r="AQ834">
        <v>0</v>
      </c>
      <c r="AR834">
        <v>8.7960000000000012</v>
      </c>
      <c r="AS834">
        <v>0</v>
      </c>
      <c r="AT834">
        <v>0.94000000000000006</v>
      </c>
      <c r="AU834">
        <v>0.61099999999999999</v>
      </c>
      <c r="AV834">
        <v>0</v>
      </c>
      <c r="AW834">
        <v>10.347000000000001</v>
      </c>
      <c r="AX834">
        <v>0</v>
      </c>
      <c r="AY834">
        <v>32.262999999999998</v>
      </c>
      <c r="AZ834">
        <v>0</v>
      </c>
      <c r="BA834">
        <v>1820957</v>
      </c>
      <c r="BB834">
        <v>2030280</v>
      </c>
      <c r="BC834">
        <v>0</v>
      </c>
      <c r="BD834">
        <v>41055</v>
      </c>
      <c r="BE834">
        <v>0</v>
      </c>
      <c r="BF834">
        <v>41055</v>
      </c>
      <c r="BG834">
        <v>41055</v>
      </c>
      <c r="BH834">
        <v>0</v>
      </c>
      <c r="BI834">
        <v>0</v>
      </c>
      <c r="BJ834">
        <v>0</v>
      </c>
      <c r="BK834">
        <v>0</v>
      </c>
      <c r="BL834">
        <v>231151649</v>
      </c>
      <c r="BM834">
        <v>0</v>
      </c>
      <c r="BN834">
        <v>810</v>
      </c>
      <c r="BO834">
        <v>385</v>
      </c>
      <c r="BP834">
        <v>0</v>
      </c>
      <c r="BQ834">
        <v>0</v>
      </c>
      <c r="BR834">
        <v>0.82200000000000006</v>
      </c>
      <c r="BS834">
        <v>0.82200000000000006</v>
      </c>
      <c r="BT834">
        <v>0</v>
      </c>
      <c r="BU834">
        <v>0</v>
      </c>
      <c r="BV834">
        <v>19</v>
      </c>
      <c r="BW834">
        <v>122</v>
      </c>
      <c r="BX834">
        <v>0</v>
      </c>
      <c r="BY834">
        <v>0</v>
      </c>
      <c r="BZ834">
        <v>62</v>
      </c>
      <c r="CA834">
        <v>203</v>
      </c>
      <c r="CB834">
        <v>0</v>
      </c>
      <c r="CC834">
        <v>0</v>
      </c>
      <c r="CD834">
        <v>0</v>
      </c>
      <c r="CE834">
        <v>13</v>
      </c>
      <c r="CF834">
        <v>55.814</v>
      </c>
      <c r="CG834">
        <v>0</v>
      </c>
      <c r="CH834">
        <v>0</v>
      </c>
      <c r="CI834">
        <v>0</v>
      </c>
      <c r="CJ834">
        <v>3</v>
      </c>
      <c r="CK834">
        <v>0</v>
      </c>
      <c r="CL834">
        <v>0</v>
      </c>
      <c r="CM834">
        <v>12.449</v>
      </c>
      <c r="CN834">
        <v>0</v>
      </c>
      <c r="CO834">
        <v>0</v>
      </c>
      <c r="CP834">
        <v>0</v>
      </c>
      <c r="CQ834">
        <v>0</v>
      </c>
      <c r="CR834">
        <v>0</v>
      </c>
      <c r="CS834">
        <v>0</v>
      </c>
      <c r="CT834">
        <v>0</v>
      </c>
      <c r="CU834">
        <v>0</v>
      </c>
      <c r="CV834">
        <v>10.242000000000001</v>
      </c>
      <c r="CW834">
        <v>7.7920000000000007</v>
      </c>
      <c r="CX834">
        <v>0</v>
      </c>
      <c r="CY834" s="2043">
        <v>0</v>
      </c>
      <c r="CZ834" s="2043">
        <v>0</v>
      </c>
      <c r="DA834" s="2043">
        <v>0</v>
      </c>
      <c r="DB834" s="2043">
        <v>0</v>
      </c>
      <c r="DC834" s="2043">
        <v>0</v>
      </c>
      <c r="DI834" t="s">
        <v>5851</v>
      </c>
      <c r="DJ834" t="s">
        <v>5851</v>
      </c>
      <c r="DK834" s="2042">
        <f t="shared" si="14"/>
        <v>0</v>
      </c>
    </row>
    <row r="835" spans="1:115">
      <c r="A835" t="s">
        <v>8062</v>
      </c>
      <c r="B835" t="s">
        <v>11384</v>
      </c>
      <c r="C835">
        <v>348.76800000000003</v>
      </c>
      <c r="D835">
        <v>353.59700000000004</v>
      </c>
      <c r="E835">
        <v>13.714</v>
      </c>
      <c r="F835">
        <v>0</v>
      </c>
      <c r="G835" s="2043">
        <v>0</v>
      </c>
      <c r="H835">
        <v>0</v>
      </c>
      <c r="I835" s="2043">
        <v>0</v>
      </c>
      <c r="J835">
        <v>17.438000000000002</v>
      </c>
      <c r="K835">
        <v>48</v>
      </c>
      <c r="L835">
        <v>0</v>
      </c>
      <c r="M835">
        <v>0</v>
      </c>
      <c r="N835">
        <v>0</v>
      </c>
      <c r="O835">
        <v>0</v>
      </c>
      <c r="P835">
        <v>0</v>
      </c>
      <c r="Q835">
        <v>0</v>
      </c>
      <c r="R835" s="2043">
        <v>0</v>
      </c>
      <c r="S835">
        <v>0</v>
      </c>
      <c r="T835">
        <v>0</v>
      </c>
      <c r="U835">
        <v>0</v>
      </c>
      <c r="V835">
        <v>0</v>
      </c>
      <c r="W835">
        <v>0</v>
      </c>
      <c r="X835">
        <v>0</v>
      </c>
      <c r="Y835">
        <v>61656</v>
      </c>
      <c r="Z835">
        <v>0</v>
      </c>
      <c r="AA835">
        <v>0</v>
      </c>
      <c r="AB835">
        <v>348.15500000000003</v>
      </c>
      <c r="AC835" s="2043">
        <v>0</v>
      </c>
      <c r="AD835">
        <v>0</v>
      </c>
      <c r="AE835" s="2043">
        <v>0</v>
      </c>
      <c r="AF835">
        <v>0</v>
      </c>
      <c r="AG835">
        <v>0</v>
      </c>
      <c r="AH835">
        <v>0</v>
      </c>
      <c r="AI835">
        <v>0</v>
      </c>
      <c r="AJ835">
        <v>36.25</v>
      </c>
      <c r="AK835">
        <v>560</v>
      </c>
      <c r="AL835">
        <v>0</v>
      </c>
      <c r="AM835">
        <v>0</v>
      </c>
      <c r="AN835">
        <v>0</v>
      </c>
      <c r="AO835">
        <v>0</v>
      </c>
      <c r="AP835">
        <v>0</v>
      </c>
      <c r="AQ835">
        <v>0</v>
      </c>
      <c r="AR835">
        <v>7.8090000000000002</v>
      </c>
      <c r="AS835">
        <v>0</v>
      </c>
      <c r="AT835">
        <v>0</v>
      </c>
      <c r="AU835">
        <v>0.25700000000000001</v>
      </c>
      <c r="AV835">
        <v>0</v>
      </c>
      <c r="AW835">
        <v>8.0660000000000007</v>
      </c>
      <c r="AX835">
        <v>0</v>
      </c>
      <c r="AY835">
        <v>24.712</v>
      </c>
      <c r="AZ835">
        <v>0</v>
      </c>
      <c r="BA835">
        <v>3353202</v>
      </c>
      <c r="BB835">
        <v>0</v>
      </c>
      <c r="BC835">
        <v>0</v>
      </c>
      <c r="BD835">
        <v>0</v>
      </c>
      <c r="BE835">
        <v>0</v>
      </c>
      <c r="BF835">
        <v>0</v>
      </c>
      <c r="BG835">
        <v>0</v>
      </c>
      <c r="BH835">
        <v>0</v>
      </c>
      <c r="BI835">
        <v>0</v>
      </c>
      <c r="BJ835">
        <v>0</v>
      </c>
      <c r="BK835">
        <v>0</v>
      </c>
      <c r="BL835">
        <v>0</v>
      </c>
      <c r="BM835">
        <v>0</v>
      </c>
      <c r="BN835">
        <v>0</v>
      </c>
      <c r="BO835">
        <v>0</v>
      </c>
      <c r="BP835">
        <v>0</v>
      </c>
      <c r="BQ835">
        <v>0</v>
      </c>
      <c r="BR835">
        <v>0</v>
      </c>
      <c r="BS835">
        <v>0</v>
      </c>
      <c r="BT835">
        <v>0</v>
      </c>
      <c r="BU835">
        <v>0</v>
      </c>
      <c r="BV835">
        <v>33</v>
      </c>
      <c r="BW835">
        <v>24</v>
      </c>
      <c r="BX835">
        <v>51</v>
      </c>
      <c r="BY835">
        <v>28</v>
      </c>
      <c r="BZ835">
        <v>11</v>
      </c>
      <c r="CA835">
        <v>147</v>
      </c>
      <c r="CB835">
        <v>0</v>
      </c>
      <c r="CC835">
        <v>0</v>
      </c>
      <c r="CD835">
        <v>0</v>
      </c>
      <c r="CE835">
        <v>10</v>
      </c>
      <c r="CF835">
        <v>88.65</v>
      </c>
      <c r="CG835">
        <v>0</v>
      </c>
      <c r="CH835">
        <v>0</v>
      </c>
      <c r="CI835">
        <v>0</v>
      </c>
      <c r="CJ835">
        <v>0</v>
      </c>
      <c r="CK835">
        <v>0</v>
      </c>
      <c r="CL835">
        <v>0</v>
      </c>
      <c r="CM835">
        <v>13.714</v>
      </c>
      <c r="CN835">
        <v>0</v>
      </c>
      <c r="CO835">
        <v>0</v>
      </c>
      <c r="CP835">
        <v>0</v>
      </c>
      <c r="CQ835">
        <v>0</v>
      </c>
      <c r="CR835">
        <v>0</v>
      </c>
      <c r="CS835">
        <v>0</v>
      </c>
      <c r="CT835">
        <v>0</v>
      </c>
      <c r="CU835">
        <v>0</v>
      </c>
      <c r="CV835">
        <v>0</v>
      </c>
      <c r="CW835">
        <v>0</v>
      </c>
      <c r="CX835">
        <v>0</v>
      </c>
      <c r="CY835" s="2043">
        <v>0</v>
      </c>
      <c r="CZ835" s="2043">
        <v>0</v>
      </c>
      <c r="DA835" s="2043">
        <v>0</v>
      </c>
      <c r="DB835" s="2043">
        <v>0</v>
      </c>
      <c r="DC835" s="2043">
        <v>0</v>
      </c>
      <c r="DI835" t="s">
        <v>8062</v>
      </c>
      <c r="DJ835" t="s">
        <v>8062</v>
      </c>
      <c r="DK835" s="2042">
        <f t="shared" si="14"/>
        <v>0</v>
      </c>
    </row>
    <row r="836" spans="1:115">
      <c r="A836" t="s">
        <v>3139</v>
      </c>
      <c r="B836" t="s">
        <v>2393</v>
      </c>
      <c r="C836">
        <v>23971.325000000001</v>
      </c>
      <c r="D836">
        <v>24471.870999999999</v>
      </c>
      <c r="E836">
        <v>2541.9760000000001</v>
      </c>
      <c r="F836">
        <v>0</v>
      </c>
      <c r="G836" s="2043">
        <v>35075800152</v>
      </c>
      <c r="H836">
        <v>0</v>
      </c>
      <c r="I836" s="2043">
        <v>12942240</v>
      </c>
      <c r="J836">
        <v>1149</v>
      </c>
      <c r="K836">
        <v>3141</v>
      </c>
      <c r="L836">
        <v>0</v>
      </c>
      <c r="M836">
        <v>0</v>
      </c>
      <c r="N836">
        <v>0</v>
      </c>
      <c r="O836">
        <v>0</v>
      </c>
      <c r="P836">
        <v>0</v>
      </c>
      <c r="Q836">
        <v>0</v>
      </c>
      <c r="R836" s="2043">
        <v>305151686</v>
      </c>
      <c r="S836">
        <v>13363332</v>
      </c>
      <c r="T836">
        <v>0</v>
      </c>
      <c r="U836">
        <v>0.04</v>
      </c>
      <c r="V836">
        <v>0</v>
      </c>
      <c r="W836">
        <v>123679057</v>
      </c>
      <c r="X836">
        <v>0</v>
      </c>
      <c r="Y836">
        <v>62904211</v>
      </c>
      <c r="Z836">
        <v>0</v>
      </c>
      <c r="AA836">
        <v>2.069</v>
      </c>
      <c r="AB836">
        <v>23259.948</v>
      </c>
      <c r="AC836" s="2043">
        <v>26245361438</v>
      </c>
      <c r="AD836">
        <v>23461956</v>
      </c>
      <c r="AE836" s="2043">
        <v>318515018</v>
      </c>
      <c r="AF836">
        <v>0.95340000000000003</v>
      </c>
      <c r="AG836">
        <v>0</v>
      </c>
      <c r="AH836">
        <v>123679057</v>
      </c>
      <c r="AI836">
        <v>0</v>
      </c>
      <c r="AJ836">
        <v>3235.9630000000002</v>
      </c>
      <c r="AK836">
        <v>54768</v>
      </c>
      <c r="AL836">
        <v>0.52200000000000002</v>
      </c>
      <c r="AM836">
        <v>0</v>
      </c>
      <c r="AN836">
        <v>498.94600000000003</v>
      </c>
      <c r="AO836">
        <v>0</v>
      </c>
      <c r="AP836">
        <v>0</v>
      </c>
      <c r="AQ836">
        <v>0.71400000000000008</v>
      </c>
      <c r="AR836">
        <v>371.92099999999999</v>
      </c>
      <c r="AS836">
        <v>0</v>
      </c>
      <c r="AT836">
        <v>141.899</v>
      </c>
      <c r="AU836">
        <v>46.356999999999999</v>
      </c>
      <c r="AV836">
        <v>0</v>
      </c>
      <c r="AW836">
        <v>590.01</v>
      </c>
      <c r="AX836">
        <v>28.597000000000001</v>
      </c>
      <c r="AY836">
        <v>1841.6280000000002</v>
      </c>
      <c r="AZ836">
        <v>0</v>
      </c>
      <c r="BA836">
        <v>75551121</v>
      </c>
      <c r="BB836">
        <v>341976974</v>
      </c>
      <c r="BC836">
        <v>12240</v>
      </c>
      <c r="BD836">
        <v>803268</v>
      </c>
      <c r="BE836">
        <v>468007</v>
      </c>
      <c r="BF836">
        <v>1522409</v>
      </c>
      <c r="BG836">
        <v>815508</v>
      </c>
      <c r="BH836">
        <v>238894</v>
      </c>
      <c r="BI836">
        <v>0</v>
      </c>
      <c r="BJ836">
        <v>-14895</v>
      </c>
      <c r="BK836">
        <v>0</v>
      </c>
      <c r="BL836">
        <v>35075800152</v>
      </c>
      <c r="BM836">
        <v>7772651</v>
      </c>
      <c r="BN836">
        <v>84636</v>
      </c>
      <c r="BO836">
        <v>38488</v>
      </c>
      <c r="BP836">
        <v>4042</v>
      </c>
      <c r="BQ836">
        <v>0</v>
      </c>
      <c r="BR836">
        <v>0.91339999999999999</v>
      </c>
      <c r="BS836">
        <v>0.91339999999999999</v>
      </c>
      <c r="BT836">
        <v>55146455</v>
      </c>
      <c r="BU836">
        <v>0</v>
      </c>
      <c r="BV836">
        <v>3989</v>
      </c>
      <c r="BW836">
        <v>3604</v>
      </c>
      <c r="BX836">
        <v>2890</v>
      </c>
      <c r="BY836">
        <v>1483</v>
      </c>
      <c r="BZ836">
        <v>1348</v>
      </c>
      <c r="CA836">
        <v>13314</v>
      </c>
      <c r="CB836">
        <v>0</v>
      </c>
      <c r="CC836">
        <v>890.53200000000004</v>
      </c>
      <c r="CD836">
        <v>75.033000000000001</v>
      </c>
      <c r="CE836">
        <v>1028</v>
      </c>
      <c r="CF836">
        <v>5694.9769999999999</v>
      </c>
      <c r="CG836">
        <v>61.407000000000004</v>
      </c>
      <c r="CH836">
        <v>5.9530000000000003</v>
      </c>
      <c r="CI836">
        <v>15</v>
      </c>
      <c r="CJ836">
        <v>79</v>
      </c>
      <c r="CK836">
        <v>1</v>
      </c>
      <c r="CL836">
        <v>67.36</v>
      </c>
      <c r="CM836">
        <v>2541.9760000000001</v>
      </c>
      <c r="CN836">
        <v>0</v>
      </c>
      <c r="CO836">
        <v>0</v>
      </c>
      <c r="CP836">
        <v>4042</v>
      </c>
      <c r="CQ836">
        <v>0</v>
      </c>
      <c r="CR836">
        <v>0</v>
      </c>
      <c r="CS836">
        <v>0</v>
      </c>
      <c r="CT836">
        <v>0</v>
      </c>
      <c r="CU836">
        <v>31.301000000000002</v>
      </c>
      <c r="CV836">
        <v>750.94100000000003</v>
      </c>
      <c r="CW836">
        <v>502.197</v>
      </c>
      <c r="CX836">
        <v>55146455</v>
      </c>
      <c r="CY836" s="2043">
        <v>0</v>
      </c>
      <c r="CZ836" s="2043">
        <v>0</v>
      </c>
      <c r="DA836" s="2043">
        <v>0</v>
      </c>
      <c r="DB836" s="2043">
        <v>0</v>
      </c>
      <c r="DC836" s="2043">
        <v>2555399</v>
      </c>
      <c r="DI836" t="s">
        <v>3139</v>
      </c>
      <c r="DJ836" t="s">
        <v>3139</v>
      </c>
      <c r="DK836" s="2042">
        <f t="shared" ref="DK836:DK899" si="15">DI836-DJ836:DJ837</f>
        <v>0</v>
      </c>
    </row>
    <row r="837" spans="1:115">
      <c r="A837" t="s">
        <v>5175</v>
      </c>
      <c r="B837" t="s">
        <v>1225</v>
      </c>
      <c r="C837">
        <v>2856.7510000000002</v>
      </c>
      <c r="D837">
        <v>2860.9590000000003</v>
      </c>
      <c r="E837">
        <v>225.11500000000001</v>
      </c>
      <c r="F837">
        <v>0</v>
      </c>
      <c r="G837" s="2043">
        <v>3238733830</v>
      </c>
      <c r="H837">
        <v>0</v>
      </c>
      <c r="I837" s="2043">
        <v>3487951</v>
      </c>
      <c r="J837">
        <v>142.83799999999999</v>
      </c>
      <c r="K837">
        <v>391</v>
      </c>
      <c r="L837">
        <v>0</v>
      </c>
      <c r="M837">
        <v>0</v>
      </c>
      <c r="N837">
        <v>0</v>
      </c>
      <c r="O837">
        <v>0</v>
      </c>
      <c r="P837">
        <v>0</v>
      </c>
      <c r="Q837">
        <v>0</v>
      </c>
      <c r="R837" s="2043">
        <v>25843989</v>
      </c>
      <c r="S837">
        <v>2503353</v>
      </c>
      <c r="T837">
        <v>1696021</v>
      </c>
      <c r="U837">
        <v>0.08</v>
      </c>
      <c r="V837">
        <v>0</v>
      </c>
      <c r="W837">
        <v>3869531</v>
      </c>
      <c r="X837">
        <v>725175</v>
      </c>
      <c r="Y837">
        <v>6583866</v>
      </c>
      <c r="Z837">
        <v>0</v>
      </c>
      <c r="AA837">
        <v>0</v>
      </c>
      <c r="AB837">
        <v>2754.7850000000003</v>
      </c>
      <c r="AC837" s="2043">
        <v>1881127768</v>
      </c>
      <c r="AD837">
        <v>3761749</v>
      </c>
      <c r="AE837" s="2043">
        <v>30043363</v>
      </c>
      <c r="AF837">
        <v>0.96010000000000006</v>
      </c>
      <c r="AG837">
        <v>0</v>
      </c>
      <c r="AH837">
        <v>4594706</v>
      </c>
      <c r="AI837">
        <v>0</v>
      </c>
      <c r="AJ837">
        <v>242.41300000000001</v>
      </c>
      <c r="AK837">
        <v>7826</v>
      </c>
      <c r="AL837">
        <v>0.24600000000000002</v>
      </c>
      <c r="AM837">
        <v>0</v>
      </c>
      <c r="AN837">
        <v>81.600000000000009</v>
      </c>
      <c r="AO837">
        <v>0</v>
      </c>
      <c r="AP837">
        <v>0.125</v>
      </c>
      <c r="AQ837">
        <v>0</v>
      </c>
      <c r="AR837">
        <v>49.447000000000003</v>
      </c>
      <c r="AS837">
        <v>0</v>
      </c>
      <c r="AT837">
        <v>18.176000000000002</v>
      </c>
      <c r="AU837">
        <v>5.5529999999999999</v>
      </c>
      <c r="AV837">
        <v>0</v>
      </c>
      <c r="AW837">
        <v>73.546999999999997</v>
      </c>
      <c r="AX837">
        <v>0</v>
      </c>
      <c r="AY837">
        <v>232.202</v>
      </c>
      <c r="AZ837">
        <v>0</v>
      </c>
      <c r="BA837">
        <v>8427390</v>
      </c>
      <c r="BB837">
        <v>33805112</v>
      </c>
      <c r="BC837">
        <v>0</v>
      </c>
      <c r="BD837">
        <v>210884</v>
      </c>
      <c r="BE837">
        <v>0</v>
      </c>
      <c r="BF837">
        <v>210884</v>
      </c>
      <c r="BG837">
        <v>210884</v>
      </c>
      <c r="BH837">
        <v>0</v>
      </c>
      <c r="BI837">
        <v>0</v>
      </c>
      <c r="BJ837">
        <v>0</v>
      </c>
      <c r="BK837">
        <v>0</v>
      </c>
      <c r="BL837">
        <v>3238733830</v>
      </c>
      <c r="BM837">
        <v>0</v>
      </c>
      <c r="BN837">
        <v>9072</v>
      </c>
      <c r="BO837">
        <v>4515</v>
      </c>
      <c r="BP837">
        <v>0</v>
      </c>
      <c r="BQ837">
        <v>0</v>
      </c>
      <c r="BR837">
        <v>0.82590000000000008</v>
      </c>
      <c r="BS837">
        <v>0.82590000000000008</v>
      </c>
      <c r="BT837">
        <v>6583866</v>
      </c>
      <c r="BU837">
        <v>0</v>
      </c>
      <c r="BV837">
        <v>618</v>
      </c>
      <c r="BW837">
        <v>13</v>
      </c>
      <c r="BX837">
        <v>340</v>
      </c>
      <c r="BY837">
        <v>10</v>
      </c>
      <c r="BZ837">
        <v>46</v>
      </c>
      <c r="CA837">
        <v>1027</v>
      </c>
      <c r="CB837">
        <v>0</v>
      </c>
      <c r="CC837">
        <v>0</v>
      </c>
      <c r="CD837">
        <v>0</v>
      </c>
      <c r="CE837">
        <v>218</v>
      </c>
      <c r="CF837">
        <v>417.226</v>
      </c>
      <c r="CG837">
        <v>0</v>
      </c>
      <c r="CH837">
        <v>0</v>
      </c>
      <c r="CI837">
        <v>0</v>
      </c>
      <c r="CJ837">
        <v>16</v>
      </c>
      <c r="CK837">
        <v>0</v>
      </c>
      <c r="CL837">
        <v>0</v>
      </c>
      <c r="CM837">
        <v>225.11500000000001</v>
      </c>
      <c r="CN837">
        <v>0</v>
      </c>
      <c r="CO837">
        <v>0</v>
      </c>
      <c r="CP837">
        <v>0</v>
      </c>
      <c r="CQ837">
        <v>0</v>
      </c>
      <c r="CR837">
        <v>0</v>
      </c>
      <c r="CS837">
        <v>0</v>
      </c>
      <c r="CT837">
        <v>0</v>
      </c>
      <c r="CU837">
        <v>0</v>
      </c>
      <c r="CV837">
        <v>149.465</v>
      </c>
      <c r="CW837">
        <v>31.491000000000003</v>
      </c>
      <c r="CX837">
        <v>6583866</v>
      </c>
      <c r="CY837" s="2043">
        <v>0</v>
      </c>
      <c r="CZ837" s="2043">
        <v>0</v>
      </c>
      <c r="DA837" s="2043">
        <v>0</v>
      </c>
      <c r="DB837" s="2043">
        <v>0</v>
      </c>
      <c r="DC837" s="2043">
        <v>225041</v>
      </c>
      <c r="DI837" t="s">
        <v>5175</v>
      </c>
      <c r="DJ837" t="s">
        <v>5175</v>
      </c>
      <c r="DK837" s="2042">
        <f t="shared" si="15"/>
        <v>0</v>
      </c>
    </row>
    <row r="838" spans="1:115">
      <c r="A838" t="s">
        <v>8512</v>
      </c>
      <c r="B838" t="s">
        <v>11385</v>
      </c>
      <c r="C838">
        <v>0</v>
      </c>
      <c r="D838">
        <v>0</v>
      </c>
      <c r="E838">
        <v>0</v>
      </c>
      <c r="F838">
        <v>0</v>
      </c>
      <c r="G838" s="2043">
        <v>0</v>
      </c>
      <c r="H838">
        <v>0</v>
      </c>
      <c r="I838" s="2043">
        <v>0</v>
      </c>
      <c r="J838">
        <v>0</v>
      </c>
      <c r="K838">
        <v>0</v>
      </c>
      <c r="L838">
        <v>0</v>
      </c>
      <c r="M838">
        <v>0</v>
      </c>
      <c r="N838">
        <v>0</v>
      </c>
      <c r="O838">
        <v>0</v>
      </c>
      <c r="P838">
        <v>0</v>
      </c>
      <c r="Q838">
        <v>0</v>
      </c>
      <c r="R838" s="2043">
        <v>0</v>
      </c>
      <c r="S838">
        <v>0</v>
      </c>
      <c r="T838">
        <v>0</v>
      </c>
      <c r="U838">
        <v>0</v>
      </c>
      <c r="V838">
        <v>0</v>
      </c>
      <c r="W838">
        <v>0</v>
      </c>
      <c r="X838">
        <v>0</v>
      </c>
      <c r="Y838">
        <v>99450</v>
      </c>
      <c r="Z838">
        <v>0</v>
      </c>
      <c r="AA838">
        <v>0</v>
      </c>
      <c r="AB838">
        <v>0</v>
      </c>
      <c r="AC838" s="2043">
        <v>0</v>
      </c>
      <c r="AD838">
        <v>0</v>
      </c>
      <c r="AE838" s="2043">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99450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0</v>
      </c>
      <c r="CQ838">
        <v>0</v>
      </c>
      <c r="CR838">
        <v>0</v>
      </c>
      <c r="CS838">
        <v>0</v>
      </c>
      <c r="CT838">
        <v>0</v>
      </c>
      <c r="CU838">
        <v>0</v>
      </c>
      <c r="CV838">
        <v>0</v>
      </c>
      <c r="CW838">
        <v>0</v>
      </c>
      <c r="CX838">
        <v>0</v>
      </c>
      <c r="CY838" s="2043">
        <v>0</v>
      </c>
      <c r="CZ838" s="2043">
        <v>0</v>
      </c>
      <c r="DA838" s="2043">
        <v>0</v>
      </c>
      <c r="DB838" s="2043">
        <v>0</v>
      </c>
      <c r="DC838" s="2043">
        <v>0</v>
      </c>
      <c r="DI838" t="s">
        <v>8512</v>
      </c>
      <c r="DJ838" t="s">
        <v>8512</v>
      </c>
      <c r="DK838" s="2042">
        <f t="shared" si="15"/>
        <v>0</v>
      </c>
    </row>
    <row r="839" spans="1:115">
      <c r="A839" t="s">
        <v>3140</v>
      </c>
      <c r="B839" t="s">
        <v>1780</v>
      </c>
      <c r="C839">
        <v>1422.6950000000002</v>
      </c>
      <c r="D839">
        <v>1466.0440000000001</v>
      </c>
      <c r="E839">
        <v>184.49600000000001</v>
      </c>
      <c r="F839">
        <v>0</v>
      </c>
      <c r="G839" s="2043">
        <v>490823623</v>
      </c>
      <c r="H839">
        <v>0</v>
      </c>
      <c r="I839" s="2043">
        <v>1733012</v>
      </c>
      <c r="J839">
        <v>71.135000000000005</v>
      </c>
      <c r="K839">
        <v>194</v>
      </c>
      <c r="L839">
        <v>11410</v>
      </c>
      <c r="M839">
        <v>786516</v>
      </c>
      <c r="N839">
        <v>11410</v>
      </c>
      <c r="O839">
        <v>797926</v>
      </c>
      <c r="P839">
        <v>0</v>
      </c>
      <c r="Q839">
        <v>0</v>
      </c>
      <c r="R839" s="2043">
        <v>3961190</v>
      </c>
      <c r="S839">
        <v>235030</v>
      </c>
      <c r="T839">
        <v>0</v>
      </c>
      <c r="U839">
        <v>0.05</v>
      </c>
      <c r="V839">
        <v>0</v>
      </c>
      <c r="W839">
        <v>0</v>
      </c>
      <c r="X839">
        <v>0</v>
      </c>
      <c r="Y839">
        <v>0</v>
      </c>
      <c r="Z839">
        <v>0</v>
      </c>
      <c r="AA839">
        <v>0.10100000000000001</v>
      </c>
      <c r="AB839">
        <v>1466.0440000000001</v>
      </c>
      <c r="AC839" s="2043">
        <v>421854167</v>
      </c>
      <c r="AD839">
        <v>1534540</v>
      </c>
      <c r="AE839" s="2043">
        <v>4196220</v>
      </c>
      <c r="AF839">
        <v>0.89270000000000005</v>
      </c>
      <c r="AG839">
        <v>0</v>
      </c>
      <c r="AH839">
        <v>0</v>
      </c>
      <c r="AI839">
        <v>0</v>
      </c>
      <c r="AJ839">
        <v>305.58800000000002</v>
      </c>
      <c r="AK839">
        <v>4165</v>
      </c>
      <c r="AL839">
        <v>3.7000000000000005E-2</v>
      </c>
      <c r="AM839">
        <v>0</v>
      </c>
      <c r="AN839">
        <v>43.268000000000001</v>
      </c>
      <c r="AO839">
        <v>0</v>
      </c>
      <c r="AP839">
        <v>0</v>
      </c>
      <c r="AQ839">
        <v>0</v>
      </c>
      <c r="AR839">
        <v>24.298999999999999</v>
      </c>
      <c r="AS839">
        <v>0</v>
      </c>
      <c r="AT839">
        <v>8.8079999999999998</v>
      </c>
      <c r="AU839">
        <v>2.1859999999999999</v>
      </c>
      <c r="AV839">
        <v>0</v>
      </c>
      <c r="AW839">
        <v>35.33</v>
      </c>
      <c r="AX839">
        <v>0</v>
      </c>
      <c r="AY839">
        <v>110.43600000000001</v>
      </c>
      <c r="AZ839">
        <v>0</v>
      </c>
      <c r="BA839">
        <v>10640421</v>
      </c>
      <c r="BB839">
        <v>5730760</v>
      </c>
      <c r="BC839">
        <v>0</v>
      </c>
      <c r="BD839">
        <v>96443</v>
      </c>
      <c r="BE839">
        <v>2705</v>
      </c>
      <c r="BF839">
        <v>99148</v>
      </c>
      <c r="BG839">
        <v>96443</v>
      </c>
      <c r="BH839">
        <v>0</v>
      </c>
      <c r="BI839">
        <v>0</v>
      </c>
      <c r="BJ839">
        <v>0</v>
      </c>
      <c r="BK839">
        <v>0</v>
      </c>
      <c r="BL839">
        <v>490823623</v>
      </c>
      <c r="BM839">
        <v>0</v>
      </c>
      <c r="BN839">
        <v>5598</v>
      </c>
      <c r="BO839">
        <v>4729</v>
      </c>
      <c r="BP839">
        <v>0</v>
      </c>
      <c r="BQ839">
        <v>0</v>
      </c>
      <c r="BR839">
        <v>0.8427</v>
      </c>
      <c r="BS839">
        <v>0.8427</v>
      </c>
      <c r="BT839">
        <v>0</v>
      </c>
      <c r="BU839">
        <v>0</v>
      </c>
      <c r="BV839">
        <v>13</v>
      </c>
      <c r="BW839">
        <v>121</v>
      </c>
      <c r="BX839">
        <v>1</v>
      </c>
      <c r="BY839">
        <v>1030</v>
      </c>
      <c r="BZ839">
        <v>12</v>
      </c>
      <c r="CA839">
        <v>1177</v>
      </c>
      <c r="CB839">
        <v>0</v>
      </c>
      <c r="CC839">
        <v>0</v>
      </c>
      <c r="CD839">
        <v>0</v>
      </c>
      <c r="CE839">
        <v>112</v>
      </c>
      <c r="CF839">
        <v>368.45800000000003</v>
      </c>
      <c r="CG839">
        <v>0</v>
      </c>
      <c r="CH839">
        <v>0</v>
      </c>
      <c r="CI839">
        <v>2</v>
      </c>
      <c r="CJ839">
        <v>11</v>
      </c>
      <c r="CK839">
        <v>0</v>
      </c>
      <c r="CL839">
        <v>0</v>
      </c>
      <c r="CM839">
        <v>184.49600000000001</v>
      </c>
      <c r="CN839">
        <v>0</v>
      </c>
      <c r="CO839">
        <v>0</v>
      </c>
      <c r="CP839">
        <v>0</v>
      </c>
      <c r="CQ839">
        <v>0</v>
      </c>
      <c r="CR839">
        <v>0</v>
      </c>
      <c r="CS839">
        <v>0</v>
      </c>
      <c r="CT839">
        <v>0</v>
      </c>
      <c r="CU839">
        <v>2.9470000000000001</v>
      </c>
      <c r="CV839">
        <v>92.72</v>
      </c>
      <c r="CW839">
        <v>61.739000000000004</v>
      </c>
      <c r="CX839">
        <v>0</v>
      </c>
      <c r="CY839" s="2043">
        <v>0</v>
      </c>
      <c r="CZ839" s="2043">
        <v>0</v>
      </c>
      <c r="DA839" s="2043">
        <v>0</v>
      </c>
      <c r="DB839" s="2043">
        <v>0</v>
      </c>
      <c r="DC839" s="2043">
        <v>0</v>
      </c>
      <c r="DI839" t="s">
        <v>3140</v>
      </c>
      <c r="DJ839" t="s">
        <v>3140</v>
      </c>
      <c r="DK839" s="2042">
        <f t="shared" si="15"/>
        <v>0</v>
      </c>
    </row>
    <row r="840" spans="1:115">
      <c r="A840" t="s">
        <v>5852</v>
      </c>
      <c r="B840" t="s">
        <v>1284</v>
      </c>
      <c r="C840">
        <v>144.809</v>
      </c>
      <c r="D840">
        <v>157.637</v>
      </c>
      <c r="E840">
        <v>14.131</v>
      </c>
      <c r="F840">
        <v>0</v>
      </c>
      <c r="G840" s="2043">
        <v>192177392</v>
      </c>
      <c r="H840">
        <v>0</v>
      </c>
      <c r="I840" s="2043">
        <v>0</v>
      </c>
      <c r="J840">
        <v>7</v>
      </c>
      <c r="K840">
        <v>19</v>
      </c>
      <c r="L840">
        <v>0</v>
      </c>
      <c r="M840">
        <v>0</v>
      </c>
      <c r="N840">
        <v>0</v>
      </c>
      <c r="O840">
        <v>0</v>
      </c>
      <c r="P840">
        <v>0</v>
      </c>
      <c r="Q840">
        <v>0</v>
      </c>
      <c r="R840" s="2043">
        <v>1687679</v>
      </c>
      <c r="S840">
        <v>102321</v>
      </c>
      <c r="T840">
        <v>0</v>
      </c>
      <c r="U840">
        <v>0.05</v>
      </c>
      <c r="V840">
        <v>0</v>
      </c>
      <c r="W840">
        <v>0</v>
      </c>
      <c r="X840">
        <v>0</v>
      </c>
      <c r="Y840">
        <v>260429</v>
      </c>
      <c r="Z840">
        <v>0</v>
      </c>
      <c r="AA840">
        <v>0</v>
      </c>
      <c r="AB840">
        <v>150.53400000000002</v>
      </c>
      <c r="AC840" s="2043">
        <v>87762163</v>
      </c>
      <c r="AD840">
        <v>0</v>
      </c>
      <c r="AE840" s="2043">
        <v>1790000</v>
      </c>
      <c r="AF840">
        <v>0.87470000000000003</v>
      </c>
      <c r="AG840">
        <v>0</v>
      </c>
      <c r="AH840">
        <v>0</v>
      </c>
      <c r="AI840">
        <v>0</v>
      </c>
      <c r="AJ840">
        <v>26.213000000000001</v>
      </c>
      <c r="AK840">
        <v>403</v>
      </c>
      <c r="AL840">
        <v>0</v>
      </c>
      <c r="AM840">
        <v>0</v>
      </c>
      <c r="AN840">
        <v>2.8380000000000001</v>
      </c>
      <c r="AO840">
        <v>0</v>
      </c>
      <c r="AP840">
        <v>0</v>
      </c>
      <c r="AQ840">
        <v>0</v>
      </c>
      <c r="AR840">
        <v>2.2629999999999999</v>
      </c>
      <c r="AS840">
        <v>0</v>
      </c>
      <c r="AT840">
        <v>0</v>
      </c>
      <c r="AU840">
        <v>0.23900000000000002</v>
      </c>
      <c r="AV840">
        <v>0</v>
      </c>
      <c r="AW840">
        <v>2.5020000000000002</v>
      </c>
      <c r="AX840">
        <v>0</v>
      </c>
      <c r="AY840">
        <v>7.984</v>
      </c>
      <c r="AZ840">
        <v>0</v>
      </c>
      <c r="BA840">
        <v>455026</v>
      </c>
      <c r="BB840">
        <v>1790000</v>
      </c>
      <c r="BC840">
        <v>0</v>
      </c>
      <c r="BD840">
        <v>20010</v>
      </c>
      <c r="BE840">
        <v>0</v>
      </c>
      <c r="BF840">
        <v>20010</v>
      </c>
      <c r="BG840">
        <v>20010</v>
      </c>
      <c r="BH840">
        <v>0</v>
      </c>
      <c r="BI840">
        <v>0</v>
      </c>
      <c r="BJ840">
        <v>0</v>
      </c>
      <c r="BK840">
        <v>0</v>
      </c>
      <c r="BL840">
        <v>192177392</v>
      </c>
      <c r="BM840">
        <v>0</v>
      </c>
      <c r="BN840">
        <v>0</v>
      </c>
      <c r="BO840">
        <v>0</v>
      </c>
      <c r="BP840">
        <v>0</v>
      </c>
      <c r="BQ840">
        <v>0</v>
      </c>
      <c r="BR840">
        <v>0.82469999999999999</v>
      </c>
      <c r="BS840">
        <v>0.82469999999999999</v>
      </c>
      <c r="BT840">
        <v>0</v>
      </c>
      <c r="BU840">
        <v>0</v>
      </c>
      <c r="BV840">
        <v>53</v>
      </c>
      <c r="BW840">
        <v>37</v>
      </c>
      <c r="BX840">
        <v>1</v>
      </c>
      <c r="BY840">
        <v>20</v>
      </c>
      <c r="BZ840">
        <v>0</v>
      </c>
      <c r="CA840">
        <v>111</v>
      </c>
      <c r="CB840">
        <v>0</v>
      </c>
      <c r="CC840">
        <v>0</v>
      </c>
      <c r="CD840">
        <v>0</v>
      </c>
      <c r="CE840">
        <v>22</v>
      </c>
      <c r="CF840">
        <v>49.452000000000005</v>
      </c>
      <c r="CG840">
        <v>0</v>
      </c>
      <c r="CH840">
        <v>0</v>
      </c>
      <c r="CI840">
        <v>0</v>
      </c>
      <c r="CJ840">
        <v>0</v>
      </c>
      <c r="CK840">
        <v>0</v>
      </c>
      <c r="CL840">
        <v>0</v>
      </c>
      <c r="CM840">
        <v>14.131</v>
      </c>
      <c r="CN840">
        <v>0</v>
      </c>
      <c r="CO840">
        <v>0</v>
      </c>
      <c r="CP840">
        <v>0</v>
      </c>
      <c r="CQ840">
        <v>0</v>
      </c>
      <c r="CR840">
        <v>0</v>
      </c>
      <c r="CS840">
        <v>0</v>
      </c>
      <c r="CT840">
        <v>0</v>
      </c>
      <c r="CU840">
        <v>0</v>
      </c>
      <c r="CV840">
        <v>0</v>
      </c>
      <c r="CW840">
        <v>0</v>
      </c>
      <c r="CX840">
        <v>0</v>
      </c>
      <c r="CY840" s="2043">
        <v>260429</v>
      </c>
      <c r="CZ840" s="2043">
        <v>0</v>
      </c>
      <c r="DA840" s="2043">
        <v>0</v>
      </c>
      <c r="DB840" s="2043">
        <v>0</v>
      </c>
      <c r="DC840" s="2043">
        <v>35205</v>
      </c>
      <c r="DI840" t="s">
        <v>5852</v>
      </c>
      <c r="DJ840" t="s">
        <v>5852</v>
      </c>
      <c r="DK840" s="2042">
        <f t="shared" si="15"/>
        <v>0</v>
      </c>
    </row>
    <row r="841" spans="1:115">
      <c r="A841" t="s">
        <v>5176</v>
      </c>
      <c r="B841" t="s">
        <v>2394</v>
      </c>
      <c r="C841">
        <v>370.31100000000004</v>
      </c>
      <c r="D841">
        <v>392.733</v>
      </c>
      <c r="E841">
        <v>19.940000000000001</v>
      </c>
      <c r="F841">
        <v>0</v>
      </c>
      <c r="G841" s="2043">
        <v>144127732</v>
      </c>
      <c r="H841">
        <v>0</v>
      </c>
      <c r="I841" s="2043">
        <v>445006</v>
      </c>
      <c r="J841">
        <v>18.516000000000002</v>
      </c>
      <c r="K841">
        <v>51</v>
      </c>
      <c r="L841">
        <v>0</v>
      </c>
      <c r="M841">
        <v>0</v>
      </c>
      <c r="N841">
        <v>0</v>
      </c>
      <c r="O841">
        <v>0</v>
      </c>
      <c r="P841">
        <v>0</v>
      </c>
      <c r="Q841">
        <v>0</v>
      </c>
      <c r="R841" s="2043">
        <v>1262649</v>
      </c>
      <c r="S841">
        <v>113420</v>
      </c>
      <c r="T841">
        <v>82655</v>
      </c>
      <c r="U841">
        <v>0.08</v>
      </c>
      <c r="V841">
        <v>0</v>
      </c>
      <c r="W841">
        <v>0</v>
      </c>
      <c r="X841">
        <v>0</v>
      </c>
      <c r="Y841">
        <v>0</v>
      </c>
      <c r="Z841">
        <v>0</v>
      </c>
      <c r="AA841">
        <v>0.11</v>
      </c>
      <c r="AB841">
        <v>352.54599999999999</v>
      </c>
      <c r="AC841" s="2043">
        <v>114838246</v>
      </c>
      <c r="AD841">
        <v>450028</v>
      </c>
      <c r="AE841" s="2043">
        <v>1458724</v>
      </c>
      <c r="AF841">
        <v>1.0289000000000001</v>
      </c>
      <c r="AG841">
        <v>0</v>
      </c>
      <c r="AH841">
        <v>0</v>
      </c>
      <c r="AI841">
        <v>0</v>
      </c>
      <c r="AJ841">
        <v>48.300000000000004</v>
      </c>
      <c r="AK841">
        <v>899</v>
      </c>
      <c r="AL841">
        <v>2.5000000000000001E-2</v>
      </c>
      <c r="AM841">
        <v>0</v>
      </c>
      <c r="AN841">
        <v>5.4889999999999999</v>
      </c>
      <c r="AO841">
        <v>0</v>
      </c>
      <c r="AP841">
        <v>0</v>
      </c>
      <c r="AQ841">
        <v>0</v>
      </c>
      <c r="AR841">
        <v>5.5790000000000006</v>
      </c>
      <c r="AS841">
        <v>0</v>
      </c>
      <c r="AT841">
        <v>0.57900000000000007</v>
      </c>
      <c r="AU841">
        <v>0.23400000000000001</v>
      </c>
      <c r="AV841">
        <v>0</v>
      </c>
      <c r="AW841">
        <v>6.4170000000000007</v>
      </c>
      <c r="AX841">
        <v>0</v>
      </c>
      <c r="AY841">
        <v>19.769000000000002</v>
      </c>
      <c r="AZ841">
        <v>0</v>
      </c>
      <c r="BA841">
        <v>3613108</v>
      </c>
      <c r="BB841">
        <v>1908752</v>
      </c>
      <c r="BC841">
        <v>0</v>
      </c>
      <c r="BD841">
        <v>26010</v>
      </c>
      <c r="BE841">
        <v>0</v>
      </c>
      <c r="BF841">
        <v>26010</v>
      </c>
      <c r="BG841">
        <v>26010</v>
      </c>
      <c r="BH841">
        <v>0</v>
      </c>
      <c r="BI841">
        <v>0</v>
      </c>
      <c r="BJ841">
        <v>0</v>
      </c>
      <c r="BK841">
        <v>0</v>
      </c>
      <c r="BL841">
        <v>144127732</v>
      </c>
      <c r="BM841">
        <v>0</v>
      </c>
      <c r="BN841">
        <v>1764</v>
      </c>
      <c r="BO841">
        <v>1391</v>
      </c>
      <c r="BP841">
        <v>0</v>
      </c>
      <c r="BQ841">
        <v>0</v>
      </c>
      <c r="BR841">
        <v>0.89060000000000006</v>
      </c>
      <c r="BS841">
        <v>0.89060000000000006</v>
      </c>
      <c r="BT841">
        <v>0</v>
      </c>
      <c r="BU841">
        <v>0</v>
      </c>
      <c r="BV841">
        <v>96</v>
      </c>
      <c r="BW841">
        <v>11</v>
      </c>
      <c r="BX841">
        <v>78</v>
      </c>
      <c r="BY841">
        <v>7</v>
      </c>
      <c r="BZ841">
        <v>10</v>
      </c>
      <c r="CA841">
        <v>202</v>
      </c>
      <c r="CB841">
        <v>0</v>
      </c>
      <c r="CC841">
        <v>0</v>
      </c>
      <c r="CD841">
        <v>0</v>
      </c>
      <c r="CE841">
        <v>35</v>
      </c>
      <c r="CF841">
        <v>64.52</v>
      </c>
      <c r="CG841">
        <v>0</v>
      </c>
      <c r="CH841">
        <v>0</v>
      </c>
      <c r="CI841">
        <v>3</v>
      </c>
      <c r="CJ841">
        <v>2</v>
      </c>
      <c r="CK841">
        <v>0</v>
      </c>
      <c r="CL841">
        <v>0</v>
      </c>
      <c r="CM841">
        <v>19.940000000000001</v>
      </c>
      <c r="CN841">
        <v>0</v>
      </c>
      <c r="CO841">
        <v>0</v>
      </c>
      <c r="CP841">
        <v>0</v>
      </c>
      <c r="CQ841">
        <v>0</v>
      </c>
      <c r="CR841">
        <v>0</v>
      </c>
      <c r="CS841">
        <v>0</v>
      </c>
      <c r="CT841">
        <v>0</v>
      </c>
      <c r="CU841">
        <v>0.53900000000000003</v>
      </c>
      <c r="CV841">
        <v>40.68</v>
      </c>
      <c r="CW841">
        <v>26.804000000000002</v>
      </c>
      <c r="CX841">
        <v>0</v>
      </c>
      <c r="CY841" s="2043">
        <v>0</v>
      </c>
      <c r="CZ841" s="2043">
        <v>0</v>
      </c>
      <c r="DA841" s="2043">
        <v>0</v>
      </c>
      <c r="DB841" s="2043">
        <v>0</v>
      </c>
      <c r="DC841" s="2043">
        <v>0</v>
      </c>
      <c r="DI841" t="s">
        <v>5176</v>
      </c>
      <c r="DJ841" t="s">
        <v>5176</v>
      </c>
      <c r="DK841" s="2042">
        <f t="shared" si="15"/>
        <v>0</v>
      </c>
    </row>
    <row r="842" spans="1:115">
      <c r="A842" t="s">
        <v>5177</v>
      </c>
      <c r="B842" t="s">
        <v>2074</v>
      </c>
      <c r="C842">
        <v>1324.5610000000001</v>
      </c>
      <c r="D842">
        <v>1366.71</v>
      </c>
      <c r="E842">
        <v>75.58</v>
      </c>
      <c r="F842">
        <v>0</v>
      </c>
      <c r="G842" s="2043">
        <v>645105085</v>
      </c>
      <c r="H842">
        <v>0</v>
      </c>
      <c r="I842" s="2043">
        <v>1713229</v>
      </c>
      <c r="J842">
        <v>66.228000000000009</v>
      </c>
      <c r="K842">
        <v>181</v>
      </c>
      <c r="L842">
        <v>0</v>
      </c>
      <c r="M842">
        <v>0</v>
      </c>
      <c r="N842">
        <v>0</v>
      </c>
      <c r="O842">
        <v>0</v>
      </c>
      <c r="P842">
        <v>0</v>
      </c>
      <c r="Q842">
        <v>0</v>
      </c>
      <c r="R842" s="2043">
        <v>4723715</v>
      </c>
      <c r="S842">
        <v>459729</v>
      </c>
      <c r="T842">
        <v>335027</v>
      </c>
      <c r="U842">
        <v>0.08</v>
      </c>
      <c r="V842">
        <v>0</v>
      </c>
      <c r="W842">
        <v>0</v>
      </c>
      <c r="X842">
        <v>0</v>
      </c>
      <c r="Y842">
        <v>48740</v>
      </c>
      <c r="Z842">
        <v>0</v>
      </c>
      <c r="AA842">
        <v>0.32900000000000001</v>
      </c>
      <c r="AB842">
        <v>1311.547</v>
      </c>
      <c r="AC842" s="2043">
        <v>501438470</v>
      </c>
      <c r="AD842">
        <v>1791044</v>
      </c>
      <c r="AE842" s="2043">
        <v>5518471</v>
      </c>
      <c r="AF842">
        <v>0.96030000000000004</v>
      </c>
      <c r="AG842">
        <v>0</v>
      </c>
      <c r="AH842">
        <v>0</v>
      </c>
      <c r="AI842">
        <v>0</v>
      </c>
      <c r="AJ842">
        <v>247.21300000000002</v>
      </c>
      <c r="AK842">
        <v>3169</v>
      </c>
      <c r="AL842">
        <v>0.183</v>
      </c>
      <c r="AM842">
        <v>0</v>
      </c>
      <c r="AN842">
        <v>39.774000000000001</v>
      </c>
      <c r="AO842">
        <v>0</v>
      </c>
      <c r="AP842">
        <v>0</v>
      </c>
      <c r="AQ842">
        <v>0</v>
      </c>
      <c r="AR842">
        <v>8.6850000000000005</v>
      </c>
      <c r="AS842">
        <v>0</v>
      </c>
      <c r="AT842">
        <v>11.316000000000001</v>
      </c>
      <c r="AU842">
        <v>2.4670000000000001</v>
      </c>
      <c r="AV842">
        <v>0</v>
      </c>
      <c r="AW842">
        <v>22.651</v>
      </c>
      <c r="AX842">
        <v>0</v>
      </c>
      <c r="AY842">
        <v>73.253</v>
      </c>
      <c r="AZ842">
        <v>0</v>
      </c>
      <c r="BA842">
        <v>8623155</v>
      </c>
      <c r="BB842">
        <v>7309515</v>
      </c>
      <c r="BC842">
        <v>0</v>
      </c>
      <c r="BD842">
        <v>135180</v>
      </c>
      <c r="BE842">
        <v>21384</v>
      </c>
      <c r="BF842">
        <v>156564</v>
      </c>
      <c r="BG842">
        <v>135180</v>
      </c>
      <c r="BH842">
        <v>0</v>
      </c>
      <c r="BI842">
        <v>0</v>
      </c>
      <c r="BJ842">
        <v>0</v>
      </c>
      <c r="BK842">
        <v>0</v>
      </c>
      <c r="BL842">
        <v>645105085</v>
      </c>
      <c r="BM842">
        <v>0</v>
      </c>
      <c r="BN842">
        <v>5319</v>
      </c>
      <c r="BO842">
        <v>4280</v>
      </c>
      <c r="BP842">
        <v>0</v>
      </c>
      <c r="BQ842">
        <v>0</v>
      </c>
      <c r="BR842">
        <v>0.82200000000000006</v>
      </c>
      <c r="BS842">
        <v>0.82200000000000006</v>
      </c>
      <c r="BT842">
        <v>0</v>
      </c>
      <c r="BU842">
        <v>0</v>
      </c>
      <c r="BV842">
        <v>355</v>
      </c>
      <c r="BW842">
        <v>232</v>
      </c>
      <c r="BX842">
        <v>106</v>
      </c>
      <c r="BY842">
        <v>5</v>
      </c>
      <c r="BZ842">
        <v>307</v>
      </c>
      <c r="CA842">
        <v>1005</v>
      </c>
      <c r="CB842">
        <v>0</v>
      </c>
      <c r="CC842">
        <v>0</v>
      </c>
      <c r="CD842">
        <v>0</v>
      </c>
      <c r="CE842">
        <v>50</v>
      </c>
      <c r="CF842">
        <v>338.46</v>
      </c>
      <c r="CG842">
        <v>0</v>
      </c>
      <c r="CH842">
        <v>0</v>
      </c>
      <c r="CI842">
        <v>0</v>
      </c>
      <c r="CJ842">
        <v>7</v>
      </c>
      <c r="CK842">
        <v>0</v>
      </c>
      <c r="CL842">
        <v>0</v>
      </c>
      <c r="CM842">
        <v>75.58</v>
      </c>
      <c r="CN842">
        <v>0</v>
      </c>
      <c r="CO842">
        <v>0</v>
      </c>
      <c r="CP842">
        <v>0</v>
      </c>
      <c r="CQ842">
        <v>0</v>
      </c>
      <c r="CR842">
        <v>0</v>
      </c>
      <c r="CS842">
        <v>0</v>
      </c>
      <c r="CT842">
        <v>0</v>
      </c>
      <c r="CU842">
        <v>6.032</v>
      </c>
      <c r="CV842">
        <v>86.936999999999998</v>
      </c>
      <c r="CW842">
        <v>48.557000000000002</v>
      </c>
      <c r="CX842">
        <v>0</v>
      </c>
      <c r="CY842" s="2043">
        <v>48740</v>
      </c>
      <c r="CZ842" s="2043">
        <v>0</v>
      </c>
      <c r="DA842" s="2043">
        <v>0</v>
      </c>
      <c r="DB842" s="2043">
        <v>0</v>
      </c>
      <c r="DC842" s="2043">
        <v>0</v>
      </c>
      <c r="DI842" t="s">
        <v>5177</v>
      </c>
      <c r="DJ842" t="s">
        <v>5177</v>
      </c>
      <c r="DK842" s="2042">
        <f t="shared" si="15"/>
        <v>0</v>
      </c>
    </row>
    <row r="843" spans="1:115">
      <c r="A843" t="s">
        <v>5178</v>
      </c>
      <c r="B843" t="s">
        <v>882</v>
      </c>
      <c r="C843">
        <v>562.86700000000008</v>
      </c>
      <c r="D843">
        <v>541.16100000000006</v>
      </c>
      <c r="E843">
        <v>61.484999999999999</v>
      </c>
      <c r="F843">
        <v>0</v>
      </c>
      <c r="G843" s="2043">
        <v>223544906</v>
      </c>
      <c r="H843">
        <v>0</v>
      </c>
      <c r="I843" s="2043">
        <v>0</v>
      </c>
      <c r="J843">
        <v>26</v>
      </c>
      <c r="K843">
        <v>71</v>
      </c>
      <c r="L843">
        <v>0</v>
      </c>
      <c r="M843">
        <v>0</v>
      </c>
      <c r="N843">
        <v>0</v>
      </c>
      <c r="O843">
        <v>0</v>
      </c>
      <c r="P843">
        <v>0</v>
      </c>
      <c r="Q843">
        <v>0</v>
      </c>
      <c r="R843" s="2043">
        <v>1840951</v>
      </c>
      <c r="S843">
        <v>177078</v>
      </c>
      <c r="T843">
        <v>129046</v>
      </c>
      <c r="U843">
        <v>0.08</v>
      </c>
      <c r="V843">
        <v>0</v>
      </c>
      <c r="W843">
        <v>0</v>
      </c>
      <c r="X843">
        <v>0</v>
      </c>
      <c r="Y843">
        <v>-3978</v>
      </c>
      <c r="Z843">
        <v>0</v>
      </c>
      <c r="AA843">
        <v>0</v>
      </c>
      <c r="AB843">
        <v>541.16100000000006</v>
      </c>
      <c r="AC843" s="2043">
        <v>177359949</v>
      </c>
      <c r="AD843">
        <v>82</v>
      </c>
      <c r="AE843" s="2043">
        <v>2147075</v>
      </c>
      <c r="AF843">
        <v>0.97</v>
      </c>
      <c r="AG843">
        <v>0</v>
      </c>
      <c r="AH843">
        <v>0</v>
      </c>
      <c r="AI843">
        <v>0</v>
      </c>
      <c r="AJ843">
        <v>67.924999999999997</v>
      </c>
      <c r="AK843">
        <v>2250</v>
      </c>
      <c r="AL843">
        <v>0.24100000000000002</v>
      </c>
      <c r="AM843">
        <v>0</v>
      </c>
      <c r="AN843">
        <v>20.785</v>
      </c>
      <c r="AO843">
        <v>0</v>
      </c>
      <c r="AP843">
        <v>0</v>
      </c>
      <c r="AQ843">
        <v>0</v>
      </c>
      <c r="AR843">
        <v>9.4530000000000012</v>
      </c>
      <c r="AS843">
        <v>0</v>
      </c>
      <c r="AT843">
        <v>3.992</v>
      </c>
      <c r="AU843">
        <v>0.60099999999999998</v>
      </c>
      <c r="AV843">
        <v>0</v>
      </c>
      <c r="AW843">
        <v>14.287000000000001</v>
      </c>
      <c r="AX843">
        <v>0</v>
      </c>
      <c r="AY843">
        <v>44.545000000000002</v>
      </c>
      <c r="AZ843">
        <v>0</v>
      </c>
      <c r="BA843">
        <v>5337437</v>
      </c>
      <c r="BB843">
        <v>2147157</v>
      </c>
      <c r="BC843">
        <v>0</v>
      </c>
      <c r="BD843">
        <v>47190</v>
      </c>
      <c r="BE843">
        <v>35967</v>
      </c>
      <c r="BF843">
        <v>83157</v>
      </c>
      <c r="BG843">
        <v>47190</v>
      </c>
      <c r="BH843">
        <v>0</v>
      </c>
      <c r="BI843">
        <v>0</v>
      </c>
      <c r="BJ843">
        <v>-3978</v>
      </c>
      <c r="BK843">
        <v>0</v>
      </c>
      <c r="BL843">
        <v>223544906</v>
      </c>
      <c r="BM843">
        <v>0</v>
      </c>
      <c r="BN843">
        <v>2538</v>
      </c>
      <c r="BO843">
        <v>1455</v>
      </c>
      <c r="BP843">
        <v>0</v>
      </c>
      <c r="BQ843">
        <v>0</v>
      </c>
      <c r="BR843">
        <v>0.83169999999999999</v>
      </c>
      <c r="BS843">
        <v>0.83169999999999999</v>
      </c>
      <c r="BT843">
        <v>0</v>
      </c>
      <c r="BU843">
        <v>0</v>
      </c>
      <c r="BV843">
        <v>5</v>
      </c>
      <c r="BW843">
        <v>272</v>
      </c>
      <c r="BX843">
        <v>0</v>
      </c>
      <c r="BY843">
        <v>0</v>
      </c>
      <c r="BZ843">
        <v>8</v>
      </c>
      <c r="CA843">
        <v>285</v>
      </c>
      <c r="CB843">
        <v>0</v>
      </c>
      <c r="CC843">
        <v>0</v>
      </c>
      <c r="CD843">
        <v>0</v>
      </c>
      <c r="CE843">
        <v>49</v>
      </c>
      <c r="CF843">
        <v>100.80900000000001</v>
      </c>
      <c r="CG843">
        <v>0</v>
      </c>
      <c r="CH843">
        <v>0</v>
      </c>
      <c r="CI843">
        <v>2</v>
      </c>
      <c r="CJ843">
        <v>6</v>
      </c>
      <c r="CK843">
        <v>0</v>
      </c>
      <c r="CL843">
        <v>0</v>
      </c>
      <c r="CM843">
        <v>61.484999999999999</v>
      </c>
      <c r="CN843">
        <v>0</v>
      </c>
      <c r="CO843">
        <v>0</v>
      </c>
      <c r="CP843">
        <v>0</v>
      </c>
      <c r="CQ843">
        <v>0</v>
      </c>
      <c r="CR843">
        <v>0</v>
      </c>
      <c r="CS843">
        <v>0</v>
      </c>
      <c r="CT843">
        <v>0</v>
      </c>
      <c r="CU843">
        <v>9.94</v>
      </c>
      <c r="CV843">
        <v>44.88</v>
      </c>
      <c r="CW843">
        <v>22.834</v>
      </c>
      <c r="CX843">
        <v>0</v>
      </c>
      <c r="CY843" s="2043">
        <v>0</v>
      </c>
      <c r="CZ843" s="2043">
        <v>0</v>
      </c>
      <c r="DA843" s="2043">
        <v>0</v>
      </c>
      <c r="DB843" s="2043">
        <v>0</v>
      </c>
      <c r="DC843" s="2043">
        <v>0</v>
      </c>
      <c r="DI843" t="s">
        <v>5178</v>
      </c>
      <c r="DJ843" t="s">
        <v>5178</v>
      </c>
      <c r="DK843" s="2042">
        <f t="shared" si="15"/>
        <v>0</v>
      </c>
    </row>
    <row r="844" spans="1:115">
      <c r="A844" t="s">
        <v>3141</v>
      </c>
      <c r="B844" t="s">
        <v>356</v>
      </c>
      <c r="C844">
        <v>130.232</v>
      </c>
      <c r="D844">
        <v>128.89100000000002</v>
      </c>
      <c r="E844">
        <v>7.9080000000000004</v>
      </c>
      <c r="F844">
        <v>0</v>
      </c>
      <c r="G844" s="2043">
        <v>42813142</v>
      </c>
      <c r="H844">
        <v>0</v>
      </c>
      <c r="I844" s="2043">
        <v>86196</v>
      </c>
      <c r="J844">
        <v>4</v>
      </c>
      <c r="K844">
        <v>11</v>
      </c>
      <c r="L844">
        <v>59836</v>
      </c>
      <c r="M844">
        <v>26360</v>
      </c>
      <c r="N844">
        <v>59836</v>
      </c>
      <c r="O844">
        <v>86196</v>
      </c>
      <c r="P844">
        <v>0</v>
      </c>
      <c r="Q844">
        <v>0</v>
      </c>
      <c r="R844" s="2043">
        <v>380589</v>
      </c>
      <c r="S844">
        <v>21025</v>
      </c>
      <c r="T844">
        <v>0</v>
      </c>
      <c r="U844">
        <v>0.05</v>
      </c>
      <c r="V844">
        <v>0</v>
      </c>
      <c r="W844">
        <v>0</v>
      </c>
      <c r="X844">
        <v>0</v>
      </c>
      <c r="Y844">
        <v>0</v>
      </c>
      <c r="Z844">
        <v>0</v>
      </c>
      <c r="AA844">
        <v>0</v>
      </c>
      <c r="AB844">
        <v>128.89100000000002</v>
      </c>
      <c r="AC844" s="2043">
        <v>37731022</v>
      </c>
      <c r="AD844">
        <v>24776</v>
      </c>
      <c r="AE844" s="2043">
        <v>401614</v>
      </c>
      <c r="AF844">
        <v>0.95510000000000006</v>
      </c>
      <c r="AG844">
        <v>0</v>
      </c>
      <c r="AH844">
        <v>0</v>
      </c>
      <c r="AI844">
        <v>0</v>
      </c>
      <c r="AJ844">
        <v>29.338000000000001</v>
      </c>
      <c r="AK844">
        <v>789</v>
      </c>
      <c r="AL844">
        <v>0</v>
      </c>
      <c r="AM844">
        <v>0</v>
      </c>
      <c r="AN844">
        <v>9.0410000000000004</v>
      </c>
      <c r="AO844">
        <v>0</v>
      </c>
      <c r="AP844">
        <v>0</v>
      </c>
      <c r="AQ844">
        <v>0</v>
      </c>
      <c r="AR844">
        <v>1.2930000000000001</v>
      </c>
      <c r="AS844">
        <v>0</v>
      </c>
      <c r="AT844">
        <v>1.8380000000000001</v>
      </c>
      <c r="AU844">
        <v>0.43</v>
      </c>
      <c r="AV844">
        <v>0</v>
      </c>
      <c r="AW844">
        <v>3.5610000000000004</v>
      </c>
      <c r="AX844">
        <v>0</v>
      </c>
      <c r="AY844">
        <v>11.543000000000001</v>
      </c>
      <c r="AZ844">
        <v>0</v>
      </c>
      <c r="BA844">
        <v>1810356</v>
      </c>
      <c r="BB844">
        <v>426390</v>
      </c>
      <c r="BC844">
        <v>0</v>
      </c>
      <c r="BD844">
        <v>9180</v>
      </c>
      <c r="BE844">
        <v>0</v>
      </c>
      <c r="BF844">
        <v>9180</v>
      </c>
      <c r="BG844">
        <v>9180</v>
      </c>
      <c r="BH844">
        <v>0</v>
      </c>
      <c r="BI844">
        <v>0</v>
      </c>
      <c r="BJ844">
        <v>0</v>
      </c>
      <c r="BK844">
        <v>0</v>
      </c>
      <c r="BL844">
        <v>42813142</v>
      </c>
      <c r="BM844">
        <v>0</v>
      </c>
      <c r="BN844">
        <v>450</v>
      </c>
      <c r="BO844">
        <v>107</v>
      </c>
      <c r="BP844">
        <v>0</v>
      </c>
      <c r="BQ844">
        <v>0</v>
      </c>
      <c r="BR844">
        <v>0.90510000000000002</v>
      </c>
      <c r="BS844">
        <v>0.90510000000000002</v>
      </c>
      <c r="BT844">
        <v>0</v>
      </c>
      <c r="BU844">
        <v>0</v>
      </c>
      <c r="BV844">
        <v>1</v>
      </c>
      <c r="BW844">
        <v>107</v>
      </c>
      <c r="BX844">
        <v>2</v>
      </c>
      <c r="BY844">
        <v>8</v>
      </c>
      <c r="BZ844">
        <v>4</v>
      </c>
      <c r="CA844">
        <v>122</v>
      </c>
      <c r="CB844">
        <v>0</v>
      </c>
      <c r="CC844">
        <v>0</v>
      </c>
      <c r="CD844">
        <v>0</v>
      </c>
      <c r="CE844">
        <v>1</v>
      </c>
      <c r="CF844">
        <v>42.858000000000004</v>
      </c>
      <c r="CG844">
        <v>0</v>
      </c>
      <c r="CH844">
        <v>0</v>
      </c>
      <c r="CI844">
        <v>1</v>
      </c>
      <c r="CJ844">
        <v>0</v>
      </c>
      <c r="CK844">
        <v>0</v>
      </c>
      <c r="CL844">
        <v>0</v>
      </c>
      <c r="CM844">
        <v>7.9080000000000004</v>
      </c>
      <c r="CN844">
        <v>0</v>
      </c>
      <c r="CO844">
        <v>0</v>
      </c>
      <c r="CP844">
        <v>0</v>
      </c>
      <c r="CQ844">
        <v>0</v>
      </c>
      <c r="CR844">
        <v>0</v>
      </c>
      <c r="CS844">
        <v>4.9510000000000005</v>
      </c>
      <c r="CT844">
        <v>0</v>
      </c>
      <c r="CU844">
        <v>0</v>
      </c>
      <c r="CV844">
        <v>14.028</v>
      </c>
      <c r="CW844">
        <v>7.7010000000000005</v>
      </c>
      <c r="CX844">
        <v>0</v>
      </c>
      <c r="CY844" s="2043">
        <v>0</v>
      </c>
      <c r="CZ844" s="2043">
        <v>0</v>
      </c>
      <c r="DA844" s="2043">
        <v>0</v>
      </c>
      <c r="DB844" s="2043">
        <v>0</v>
      </c>
      <c r="DC844" s="2043">
        <v>0</v>
      </c>
      <c r="DI844" t="s">
        <v>3141</v>
      </c>
      <c r="DJ844" t="s">
        <v>3141</v>
      </c>
      <c r="DK844" s="2042">
        <f t="shared" si="15"/>
        <v>0</v>
      </c>
    </row>
    <row r="845" spans="1:115">
      <c r="A845" t="s">
        <v>5853</v>
      </c>
      <c r="B845" t="s">
        <v>2524</v>
      </c>
      <c r="C845">
        <v>204.232</v>
      </c>
      <c r="D845">
        <v>220.345</v>
      </c>
      <c r="E845">
        <v>7.2110000000000003</v>
      </c>
      <c r="F845">
        <v>0</v>
      </c>
      <c r="G845" s="2043">
        <v>136381794</v>
      </c>
      <c r="H845">
        <v>0</v>
      </c>
      <c r="I845" s="2043">
        <v>0</v>
      </c>
      <c r="J845">
        <v>2</v>
      </c>
      <c r="K845">
        <v>5</v>
      </c>
      <c r="L845">
        <v>0</v>
      </c>
      <c r="M845">
        <v>0</v>
      </c>
      <c r="N845">
        <v>0</v>
      </c>
      <c r="O845">
        <v>0</v>
      </c>
      <c r="P845">
        <v>0</v>
      </c>
      <c r="Q845">
        <v>0</v>
      </c>
      <c r="R845" s="2043">
        <v>1227474</v>
      </c>
      <c r="S845">
        <v>53062</v>
      </c>
      <c r="T845">
        <v>0</v>
      </c>
      <c r="U845">
        <v>0.04</v>
      </c>
      <c r="V845">
        <v>0</v>
      </c>
      <c r="W845">
        <v>0</v>
      </c>
      <c r="X845">
        <v>0</v>
      </c>
      <c r="Y845">
        <v>37950</v>
      </c>
      <c r="Z845">
        <v>0</v>
      </c>
      <c r="AA845">
        <v>0</v>
      </c>
      <c r="AB845">
        <v>1</v>
      </c>
      <c r="AC845" s="2043">
        <v>118671829</v>
      </c>
      <c r="AD845">
        <v>0</v>
      </c>
      <c r="AE845" s="2043">
        <v>1280536</v>
      </c>
      <c r="AF845">
        <v>0.94359999999999999</v>
      </c>
      <c r="AG845">
        <v>0</v>
      </c>
      <c r="AH845">
        <v>0</v>
      </c>
      <c r="AI845">
        <v>0</v>
      </c>
      <c r="AJ845">
        <v>45.463000000000001</v>
      </c>
      <c r="AK845">
        <v>4491</v>
      </c>
      <c r="AL845">
        <v>0</v>
      </c>
      <c r="AM845">
        <v>0</v>
      </c>
      <c r="AN845">
        <v>15.256</v>
      </c>
      <c r="AO845">
        <v>0</v>
      </c>
      <c r="AP845">
        <v>0</v>
      </c>
      <c r="AQ845">
        <v>24.534000000000002</v>
      </c>
      <c r="AR845">
        <v>2.5180000000000002</v>
      </c>
      <c r="AS845">
        <v>0</v>
      </c>
      <c r="AT845">
        <v>0</v>
      </c>
      <c r="AU845">
        <v>0.45100000000000001</v>
      </c>
      <c r="AV845">
        <v>0</v>
      </c>
      <c r="AW845">
        <v>27.503</v>
      </c>
      <c r="AX845">
        <v>0</v>
      </c>
      <c r="AY845">
        <v>9.8090000000000011</v>
      </c>
      <c r="AZ845">
        <v>0</v>
      </c>
      <c r="BA845">
        <v>2352195</v>
      </c>
      <c r="BB845">
        <v>1280536</v>
      </c>
      <c r="BC845">
        <v>0</v>
      </c>
      <c r="BD845">
        <v>26929</v>
      </c>
      <c r="BE845">
        <v>0</v>
      </c>
      <c r="BF845">
        <v>26929</v>
      </c>
      <c r="BG845">
        <v>26929</v>
      </c>
      <c r="BH845">
        <v>0</v>
      </c>
      <c r="BI845">
        <v>0</v>
      </c>
      <c r="BJ845">
        <v>0</v>
      </c>
      <c r="BK845">
        <v>0</v>
      </c>
      <c r="BL845">
        <v>136381794</v>
      </c>
      <c r="BM845">
        <v>0</v>
      </c>
      <c r="BN845">
        <v>1989</v>
      </c>
      <c r="BO845">
        <v>353</v>
      </c>
      <c r="BP845">
        <v>0</v>
      </c>
      <c r="BQ845">
        <v>0</v>
      </c>
      <c r="BR845">
        <v>0.90450000000000008</v>
      </c>
      <c r="BS845">
        <v>0.90450000000000008</v>
      </c>
      <c r="BT845">
        <v>0</v>
      </c>
      <c r="BU845">
        <v>0</v>
      </c>
      <c r="BV845">
        <v>6</v>
      </c>
      <c r="BW845">
        <v>59</v>
      </c>
      <c r="BX845">
        <v>6</v>
      </c>
      <c r="BY845">
        <v>0</v>
      </c>
      <c r="BZ845">
        <v>104</v>
      </c>
      <c r="CA845">
        <v>175</v>
      </c>
      <c r="CB845">
        <v>0</v>
      </c>
      <c r="CC845">
        <v>0</v>
      </c>
      <c r="CD845">
        <v>0</v>
      </c>
      <c r="CE845">
        <v>9</v>
      </c>
      <c r="CF845">
        <v>22.168000000000003</v>
      </c>
      <c r="CG845">
        <v>92.123000000000005</v>
      </c>
      <c r="CH845">
        <v>33.626000000000005</v>
      </c>
      <c r="CI845">
        <v>2</v>
      </c>
      <c r="CJ845">
        <v>0</v>
      </c>
      <c r="CK845">
        <v>0</v>
      </c>
      <c r="CL845">
        <v>125.74900000000001</v>
      </c>
      <c r="CM845">
        <v>7.2110000000000003</v>
      </c>
      <c r="CN845">
        <v>0</v>
      </c>
      <c r="CO845">
        <v>0</v>
      </c>
      <c r="CP845">
        <v>0</v>
      </c>
      <c r="CQ845">
        <v>0</v>
      </c>
      <c r="CR845">
        <v>0</v>
      </c>
      <c r="CS845">
        <v>0</v>
      </c>
      <c r="CT845">
        <v>0</v>
      </c>
      <c r="CU845">
        <v>3.278</v>
      </c>
      <c r="CV845">
        <v>20.787000000000003</v>
      </c>
      <c r="CW845">
        <v>3.391</v>
      </c>
      <c r="CX845">
        <v>0</v>
      </c>
      <c r="CY845" s="2043">
        <v>37950</v>
      </c>
      <c r="CZ845" s="2043">
        <v>0</v>
      </c>
      <c r="DA845" s="2043">
        <v>0</v>
      </c>
      <c r="DB845" s="2043">
        <v>0</v>
      </c>
      <c r="DC845" s="2043">
        <v>0</v>
      </c>
      <c r="DI845" t="s">
        <v>3142</v>
      </c>
      <c r="DJ845" t="s">
        <v>5853</v>
      </c>
      <c r="DK845" s="2042">
        <f t="shared" si="15"/>
        <v>-1</v>
      </c>
    </row>
    <row r="846" spans="1:115">
      <c r="A846" t="s">
        <v>3142</v>
      </c>
      <c r="B846" t="s">
        <v>1190</v>
      </c>
      <c r="C846">
        <v>500.97700000000003</v>
      </c>
      <c r="D846">
        <v>505.07300000000004</v>
      </c>
      <c r="E846">
        <v>22.891000000000002</v>
      </c>
      <c r="F846">
        <v>166038</v>
      </c>
      <c r="G846" s="2043">
        <v>332026027</v>
      </c>
      <c r="H846">
        <v>0</v>
      </c>
      <c r="I846" s="2043">
        <v>1390874</v>
      </c>
      <c r="J846">
        <v>25.048999999999999</v>
      </c>
      <c r="K846">
        <v>68</v>
      </c>
      <c r="L846">
        <v>0</v>
      </c>
      <c r="M846">
        <v>147605</v>
      </c>
      <c r="N846">
        <v>0</v>
      </c>
      <c r="O846">
        <v>147605</v>
      </c>
      <c r="P846">
        <v>0</v>
      </c>
      <c r="Q846">
        <v>0</v>
      </c>
      <c r="R846" s="2043">
        <v>2892589</v>
      </c>
      <c r="S846">
        <v>161003</v>
      </c>
      <c r="T846">
        <v>0</v>
      </c>
      <c r="U846">
        <v>0.05</v>
      </c>
      <c r="V846">
        <v>0</v>
      </c>
      <c r="W846">
        <v>0</v>
      </c>
      <c r="X846">
        <v>0</v>
      </c>
      <c r="Y846">
        <v>166038</v>
      </c>
      <c r="Z846">
        <v>0.96300000000000008</v>
      </c>
      <c r="AA846">
        <v>0</v>
      </c>
      <c r="AB846">
        <v>482.28700000000003</v>
      </c>
      <c r="AC846" s="2043">
        <v>295200659</v>
      </c>
      <c r="AD846">
        <v>1362215</v>
      </c>
      <c r="AE846" s="2043">
        <v>3053592</v>
      </c>
      <c r="AF846">
        <v>0.94830000000000003</v>
      </c>
      <c r="AG846">
        <v>0</v>
      </c>
      <c r="AH846">
        <v>0</v>
      </c>
      <c r="AI846">
        <v>0</v>
      </c>
      <c r="AJ846">
        <v>53.488</v>
      </c>
      <c r="AK846">
        <v>2188</v>
      </c>
      <c r="AL846">
        <v>0</v>
      </c>
      <c r="AM846">
        <v>0</v>
      </c>
      <c r="AN846">
        <v>19.791</v>
      </c>
      <c r="AO846">
        <v>0</v>
      </c>
      <c r="AP846">
        <v>0</v>
      </c>
      <c r="AQ846">
        <v>0</v>
      </c>
      <c r="AR846">
        <v>9.27</v>
      </c>
      <c r="AS846">
        <v>0</v>
      </c>
      <c r="AT846">
        <v>3.4090000000000003</v>
      </c>
      <c r="AU846">
        <v>0.90900000000000003</v>
      </c>
      <c r="AV846">
        <v>0</v>
      </c>
      <c r="AW846">
        <v>13.588000000000001</v>
      </c>
      <c r="AX846">
        <v>0</v>
      </c>
      <c r="AY846">
        <v>42.582000000000001</v>
      </c>
      <c r="AZ846">
        <v>0</v>
      </c>
      <c r="BA846">
        <v>3381432</v>
      </c>
      <c r="BB846">
        <v>4415807</v>
      </c>
      <c r="BC846">
        <v>0</v>
      </c>
      <c r="BD846">
        <v>62100</v>
      </c>
      <c r="BE846">
        <v>15085</v>
      </c>
      <c r="BF846">
        <v>77185</v>
      </c>
      <c r="BG846">
        <v>62100</v>
      </c>
      <c r="BH846">
        <v>0</v>
      </c>
      <c r="BI846">
        <v>0</v>
      </c>
      <c r="BJ846">
        <v>0</v>
      </c>
      <c r="BK846">
        <v>0</v>
      </c>
      <c r="BL846">
        <v>332026027</v>
      </c>
      <c r="BM846">
        <v>0</v>
      </c>
      <c r="BN846">
        <v>1755</v>
      </c>
      <c r="BO846">
        <v>877</v>
      </c>
      <c r="BP846">
        <v>0</v>
      </c>
      <c r="BQ846">
        <v>0</v>
      </c>
      <c r="BR846">
        <v>0.8983000000000001</v>
      </c>
      <c r="BS846">
        <v>0.8983000000000001</v>
      </c>
      <c r="BT846">
        <v>0</v>
      </c>
      <c r="BU846">
        <v>0</v>
      </c>
      <c r="BV846">
        <v>27</v>
      </c>
      <c r="BW846">
        <v>133</v>
      </c>
      <c r="BX846">
        <v>60</v>
      </c>
      <c r="BY846">
        <v>0</v>
      </c>
      <c r="BZ846">
        <v>3</v>
      </c>
      <c r="CA846">
        <v>223</v>
      </c>
      <c r="CB846">
        <v>0</v>
      </c>
      <c r="CC846">
        <v>0</v>
      </c>
      <c r="CD846">
        <v>0</v>
      </c>
      <c r="CE846">
        <v>100</v>
      </c>
      <c r="CF846">
        <v>86.846000000000004</v>
      </c>
      <c r="CG846">
        <v>0</v>
      </c>
      <c r="CH846">
        <v>0</v>
      </c>
      <c r="CI846">
        <v>3</v>
      </c>
      <c r="CJ846">
        <v>8</v>
      </c>
      <c r="CK846">
        <v>0</v>
      </c>
      <c r="CL846">
        <v>0</v>
      </c>
      <c r="CM846">
        <v>22.891000000000002</v>
      </c>
      <c r="CN846">
        <v>0</v>
      </c>
      <c r="CO846">
        <v>0</v>
      </c>
      <c r="CP846">
        <v>0</v>
      </c>
      <c r="CQ846">
        <v>0</v>
      </c>
      <c r="CR846">
        <v>0</v>
      </c>
      <c r="CS846">
        <v>0</v>
      </c>
      <c r="CT846">
        <v>0</v>
      </c>
      <c r="CU846">
        <v>5.3050000000000006</v>
      </c>
      <c r="CV846">
        <v>39.01</v>
      </c>
      <c r="CW846">
        <v>38.652999999999999</v>
      </c>
      <c r="CX846">
        <v>0</v>
      </c>
      <c r="CY846" s="2043">
        <v>0</v>
      </c>
      <c r="CZ846" s="2043">
        <v>0</v>
      </c>
      <c r="DA846" s="2043">
        <v>0</v>
      </c>
      <c r="DB846" s="2043">
        <v>166038</v>
      </c>
      <c r="DC846" s="2043">
        <v>0</v>
      </c>
      <c r="DI846" t="s">
        <v>5853</v>
      </c>
      <c r="DJ846" t="s">
        <v>3142</v>
      </c>
      <c r="DK846" s="2042">
        <f t="shared" si="15"/>
        <v>1</v>
      </c>
    </row>
    <row r="847" spans="1:115">
      <c r="A847" t="s">
        <v>3143</v>
      </c>
      <c r="B847" t="s">
        <v>1877</v>
      </c>
      <c r="C847">
        <v>108.51900000000001</v>
      </c>
      <c r="D847">
        <v>97.831000000000003</v>
      </c>
      <c r="E847">
        <v>0</v>
      </c>
      <c r="F847">
        <v>0</v>
      </c>
      <c r="G847" s="2043">
        <v>48133467</v>
      </c>
      <c r="H847">
        <v>0</v>
      </c>
      <c r="I847" s="2043">
        <v>152130</v>
      </c>
      <c r="J847">
        <v>5.4260000000000002</v>
      </c>
      <c r="K847">
        <v>15</v>
      </c>
      <c r="L847">
        <v>0</v>
      </c>
      <c r="M847">
        <v>0</v>
      </c>
      <c r="N847">
        <v>0</v>
      </c>
      <c r="O847">
        <v>0</v>
      </c>
      <c r="P847">
        <v>0</v>
      </c>
      <c r="Q847">
        <v>0</v>
      </c>
      <c r="R847" s="2043">
        <v>422672</v>
      </c>
      <c r="S847">
        <v>9162</v>
      </c>
      <c r="T847">
        <v>0</v>
      </c>
      <c r="U847">
        <v>0.02</v>
      </c>
      <c r="V847">
        <v>0</v>
      </c>
      <c r="W847">
        <v>0</v>
      </c>
      <c r="X847">
        <v>0</v>
      </c>
      <c r="Y847">
        <v>0</v>
      </c>
      <c r="Z847">
        <v>0.9880000000000001</v>
      </c>
      <c r="AA847">
        <v>0</v>
      </c>
      <c r="AB847">
        <v>97.831000000000003</v>
      </c>
      <c r="AC847" s="2043">
        <v>138204266</v>
      </c>
      <c r="AD847">
        <v>150070</v>
      </c>
      <c r="AE847" s="2043">
        <v>431834</v>
      </c>
      <c r="AF847">
        <v>0.872</v>
      </c>
      <c r="AG847">
        <v>0</v>
      </c>
      <c r="AH847">
        <v>0</v>
      </c>
      <c r="AI847">
        <v>0</v>
      </c>
      <c r="AJ847">
        <v>22.688000000000002</v>
      </c>
      <c r="AK847">
        <v>431</v>
      </c>
      <c r="AL847">
        <v>0</v>
      </c>
      <c r="AM847">
        <v>0</v>
      </c>
      <c r="AN847">
        <v>6.9560000000000004</v>
      </c>
      <c r="AO847">
        <v>0</v>
      </c>
      <c r="AP847">
        <v>0</v>
      </c>
      <c r="AQ847">
        <v>0</v>
      </c>
      <c r="AR847">
        <v>0.82500000000000007</v>
      </c>
      <c r="AS847">
        <v>0</v>
      </c>
      <c r="AT847">
        <v>8.3000000000000004E-2</v>
      </c>
      <c r="AU847">
        <v>0.254</v>
      </c>
      <c r="AV847">
        <v>0</v>
      </c>
      <c r="AW847">
        <v>1.1620000000000001</v>
      </c>
      <c r="AX847">
        <v>0</v>
      </c>
      <c r="AY847">
        <v>3.9940000000000002</v>
      </c>
      <c r="AZ847">
        <v>0</v>
      </c>
      <c r="BA847">
        <v>1564547</v>
      </c>
      <c r="BB847">
        <v>581904</v>
      </c>
      <c r="BC847">
        <v>0</v>
      </c>
      <c r="BD847">
        <v>18975</v>
      </c>
      <c r="BE847">
        <v>0</v>
      </c>
      <c r="BF847">
        <v>18975</v>
      </c>
      <c r="BG847">
        <v>18975</v>
      </c>
      <c r="BH847">
        <v>0</v>
      </c>
      <c r="BI847">
        <v>0</v>
      </c>
      <c r="BJ847">
        <v>0</v>
      </c>
      <c r="BK847">
        <v>0</v>
      </c>
      <c r="BL847">
        <v>48133467</v>
      </c>
      <c r="BM847">
        <v>0</v>
      </c>
      <c r="BN847">
        <v>486</v>
      </c>
      <c r="BO847">
        <v>150</v>
      </c>
      <c r="BP847">
        <v>0</v>
      </c>
      <c r="BQ847">
        <v>0</v>
      </c>
      <c r="BR847">
        <v>0.85350000000000004</v>
      </c>
      <c r="BS847">
        <v>0.85350000000000004</v>
      </c>
      <c r="BT847">
        <v>0</v>
      </c>
      <c r="BU847">
        <v>0</v>
      </c>
      <c r="BV847">
        <v>14</v>
      </c>
      <c r="BW847">
        <v>58</v>
      </c>
      <c r="BX847">
        <v>22</v>
      </c>
      <c r="BY847">
        <v>1</v>
      </c>
      <c r="BZ847">
        <v>0</v>
      </c>
      <c r="CA847">
        <v>95</v>
      </c>
      <c r="CB847">
        <v>0</v>
      </c>
      <c r="CC847">
        <v>0</v>
      </c>
      <c r="CD847">
        <v>0</v>
      </c>
      <c r="CE847">
        <v>6</v>
      </c>
      <c r="CF847">
        <v>21.32</v>
      </c>
      <c r="CG847">
        <v>0</v>
      </c>
      <c r="CH847">
        <v>0</v>
      </c>
      <c r="CI847">
        <v>1</v>
      </c>
      <c r="CJ847">
        <v>1</v>
      </c>
      <c r="CK847">
        <v>0</v>
      </c>
      <c r="CL847">
        <v>0</v>
      </c>
      <c r="CM847">
        <v>0</v>
      </c>
      <c r="CN847">
        <v>0</v>
      </c>
      <c r="CO847">
        <v>0</v>
      </c>
      <c r="CP847">
        <v>0</v>
      </c>
      <c r="CQ847">
        <v>0</v>
      </c>
      <c r="CR847">
        <v>0</v>
      </c>
      <c r="CS847">
        <v>0</v>
      </c>
      <c r="CT847">
        <v>0</v>
      </c>
      <c r="CU847">
        <v>0</v>
      </c>
      <c r="CV847">
        <v>7.7540000000000004</v>
      </c>
      <c r="CW847">
        <v>17.574999999999999</v>
      </c>
      <c r="CX847">
        <v>0</v>
      </c>
      <c r="CY847" s="2043">
        <v>0</v>
      </c>
      <c r="CZ847" s="2043">
        <v>0</v>
      </c>
      <c r="DA847" s="2043">
        <v>0</v>
      </c>
      <c r="DB847" s="2043">
        <v>0</v>
      </c>
      <c r="DC847" s="2043">
        <v>0</v>
      </c>
      <c r="DI847" t="s">
        <v>3143</v>
      </c>
      <c r="DJ847" t="s">
        <v>3143</v>
      </c>
      <c r="DK847" s="2042">
        <f t="shared" si="15"/>
        <v>0</v>
      </c>
    </row>
    <row r="848" spans="1:115">
      <c r="A848" t="s">
        <v>5179</v>
      </c>
      <c r="B848" t="s">
        <v>2526</v>
      </c>
      <c r="C848">
        <v>775.10900000000004</v>
      </c>
      <c r="D848">
        <v>857.73800000000006</v>
      </c>
      <c r="E848">
        <v>37.859000000000002</v>
      </c>
      <c r="F848">
        <v>0</v>
      </c>
      <c r="G848" s="2043">
        <v>528891224</v>
      </c>
      <c r="H848">
        <v>0</v>
      </c>
      <c r="I848" s="2043">
        <v>1623282</v>
      </c>
      <c r="J848">
        <v>15</v>
      </c>
      <c r="K848">
        <v>41</v>
      </c>
      <c r="L848">
        <v>0</v>
      </c>
      <c r="M848">
        <v>0</v>
      </c>
      <c r="N848">
        <v>0</v>
      </c>
      <c r="O848">
        <v>0</v>
      </c>
      <c r="P848">
        <v>0</v>
      </c>
      <c r="Q848">
        <v>0</v>
      </c>
      <c r="R848" s="2043">
        <v>4730894</v>
      </c>
      <c r="S848">
        <v>415537</v>
      </c>
      <c r="T848">
        <v>302823</v>
      </c>
      <c r="U848">
        <v>0.08</v>
      </c>
      <c r="V848">
        <v>0</v>
      </c>
      <c r="W848">
        <v>0</v>
      </c>
      <c r="X848">
        <v>0</v>
      </c>
      <c r="Y848">
        <v>-9710</v>
      </c>
      <c r="Z848">
        <v>0</v>
      </c>
      <c r="AA848">
        <v>0</v>
      </c>
      <c r="AB848">
        <v>765.59699999999998</v>
      </c>
      <c r="AC848" s="2043">
        <v>455266597</v>
      </c>
      <c r="AD848">
        <v>1984454</v>
      </c>
      <c r="AE848" s="2043">
        <v>5449254</v>
      </c>
      <c r="AF848">
        <v>1.0491000000000001</v>
      </c>
      <c r="AG848">
        <v>0</v>
      </c>
      <c r="AH848">
        <v>0</v>
      </c>
      <c r="AI848">
        <v>0</v>
      </c>
      <c r="AJ848">
        <v>128.57500000000002</v>
      </c>
      <c r="AK848">
        <v>4265</v>
      </c>
      <c r="AL848">
        <v>0.111</v>
      </c>
      <c r="AM848">
        <v>0</v>
      </c>
      <c r="AN848">
        <v>11.159000000000001</v>
      </c>
      <c r="AO848">
        <v>0</v>
      </c>
      <c r="AP848">
        <v>0</v>
      </c>
      <c r="AQ848">
        <v>0</v>
      </c>
      <c r="AR848">
        <v>28.77</v>
      </c>
      <c r="AS848">
        <v>0</v>
      </c>
      <c r="AT848">
        <v>9.5129999999999999</v>
      </c>
      <c r="AU848">
        <v>1.6280000000000001</v>
      </c>
      <c r="AV848">
        <v>0</v>
      </c>
      <c r="AW848">
        <v>40.273000000000003</v>
      </c>
      <c r="AX848">
        <v>0.251</v>
      </c>
      <c r="AY848">
        <v>124.12100000000001</v>
      </c>
      <c r="AZ848">
        <v>0</v>
      </c>
      <c r="BA848">
        <v>4668629</v>
      </c>
      <c r="BB848">
        <v>7433708</v>
      </c>
      <c r="BC848">
        <v>0</v>
      </c>
      <c r="BD848">
        <v>17217</v>
      </c>
      <c r="BE848">
        <v>11146</v>
      </c>
      <c r="BF848">
        <v>28363</v>
      </c>
      <c r="BG848">
        <v>17217</v>
      </c>
      <c r="BH848">
        <v>0</v>
      </c>
      <c r="BI848">
        <v>0</v>
      </c>
      <c r="BJ848">
        <v>-9710</v>
      </c>
      <c r="BK848">
        <v>0</v>
      </c>
      <c r="BL848">
        <v>528891224</v>
      </c>
      <c r="BM848">
        <v>0</v>
      </c>
      <c r="BN848">
        <v>2439</v>
      </c>
      <c r="BO848">
        <v>2375</v>
      </c>
      <c r="BP848">
        <v>0</v>
      </c>
      <c r="BQ848">
        <v>0</v>
      </c>
      <c r="BR848">
        <v>0.91080000000000005</v>
      </c>
      <c r="BS848">
        <v>0.91080000000000005</v>
      </c>
      <c r="BT848">
        <v>0</v>
      </c>
      <c r="BU848">
        <v>0</v>
      </c>
      <c r="BV848">
        <v>219</v>
      </c>
      <c r="BW848">
        <v>160</v>
      </c>
      <c r="BX848">
        <v>163</v>
      </c>
      <c r="BY848">
        <v>0</v>
      </c>
      <c r="BZ848">
        <v>2</v>
      </c>
      <c r="CA848">
        <v>544</v>
      </c>
      <c r="CB848">
        <v>0</v>
      </c>
      <c r="CC848">
        <v>0</v>
      </c>
      <c r="CD848">
        <v>0</v>
      </c>
      <c r="CE848">
        <v>61</v>
      </c>
      <c r="CF848">
        <v>176.66500000000002</v>
      </c>
      <c r="CG848">
        <v>8.1390000000000011</v>
      </c>
      <c r="CH848">
        <v>0</v>
      </c>
      <c r="CI848">
        <v>6</v>
      </c>
      <c r="CJ848">
        <v>18</v>
      </c>
      <c r="CK848">
        <v>0</v>
      </c>
      <c r="CL848">
        <v>8.1390000000000011</v>
      </c>
      <c r="CM848">
        <v>37.859000000000002</v>
      </c>
      <c r="CN848">
        <v>0</v>
      </c>
      <c r="CO848">
        <v>0</v>
      </c>
      <c r="CP848">
        <v>0</v>
      </c>
      <c r="CQ848">
        <v>0</v>
      </c>
      <c r="CR848">
        <v>0</v>
      </c>
      <c r="CS848">
        <v>0</v>
      </c>
      <c r="CT848">
        <v>0</v>
      </c>
      <c r="CU848">
        <v>0</v>
      </c>
      <c r="CV848">
        <v>42.509</v>
      </c>
      <c r="CW848">
        <v>30.142000000000003</v>
      </c>
      <c r="CX848">
        <v>0</v>
      </c>
      <c r="CY848" s="2043">
        <v>0</v>
      </c>
      <c r="CZ848" s="2043">
        <v>0</v>
      </c>
      <c r="DA848" s="2043">
        <v>0</v>
      </c>
      <c r="DB848" s="2043">
        <v>0</v>
      </c>
      <c r="DC848" s="2043">
        <v>0</v>
      </c>
      <c r="DI848" t="s">
        <v>5179</v>
      </c>
      <c r="DJ848" t="s">
        <v>5179</v>
      </c>
      <c r="DK848" s="2042">
        <f t="shared" si="15"/>
        <v>0</v>
      </c>
    </row>
    <row r="849" spans="1:115">
      <c r="A849" t="s">
        <v>5180</v>
      </c>
      <c r="B849" t="s">
        <v>2527</v>
      </c>
      <c r="C849">
        <v>115.59</v>
      </c>
      <c r="D849">
        <v>144.84100000000001</v>
      </c>
      <c r="E849">
        <v>4.1020000000000003</v>
      </c>
      <c r="F849">
        <v>0</v>
      </c>
      <c r="G849" s="2043">
        <v>169548335</v>
      </c>
      <c r="H849">
        <v>0</v>
      </c>
      <c r="I849" s="2043">
        <v>715300</v>
      </c>
      <c r="J849">
        <v>5.78</v>
      </c>
      <c r="K849">
        <v>16</v>
      </c>
      <c r="L849">
        <v>0</v>
      </c>
      <c r="M849">
        <v>0</v>
      </c>
      <c r="N849">
        <v>0</v>
      </c>
      <c r="O849">
        <v>0</v>
      </c>
      <c r="P849">
        <v>0</v>
      </c>
      <c r="Q849">
        <v>0</v>
      </c>
      <c r="R849" s="2043">
        <v>1468998</v>
      </c>
      <c r="S849">
        <v>83684</v>
      </c>
      <c r="T849">
        <v>0</v>
      </c>
      <c r="U849">
        <v>0.05</v>
      </c>
      <c r="V849">
        <v>0</v>
      </c>
      <c r="W849">
        <v>0</v>
      </c>
      <c r="X849">
        <v>0</v>
      </c>
      <c r="Y849">
        <v>0</v>
      </c>
      <c r="Z849">
        <v>0</v>
      </c>
      <c r="AA849">
        <v>0.34300000000000003</v>
      </c>
      <c r="AB849">
        <v>144.84100000000001</v>
      </c>
      <c r="AC849" s="2043">
        <v>189922518</v>
      </c>
      <c r="AD849">
        <v>757069</v>
      </c>
      <c r="AE849" s="2043">
        <v>1552682</v>
      </c>
      <c r="AF849">
        <v>0.92770000000000008</v>
      </c>
      <c r="AG849">
        <v>0</v>
      </c>
      <c r="AH849">
        <v>0</v>
      </c>
      <c r="AI849">
        <v>0</v>
      </c>
      <c r="AJ849">
        <v>19.588000000000001</v>
      </c>
      <c r="AK849">
        <v>912</v>
      </c>
      <c r="AL849">
        <v>0</v>
      </c>
      <c r="AM849">
        <v>0</v>
      </c>
      <c r="AN849">
        <v>11.109</v>
      </c>
      <c r="AO849">
        <v>0</v>
      </c>
      <c r="AP849">
        <v>0</v>
      </c>
      <c r="AQ849">
        <v>0</v>
      </c>
      <c r="AR849">
        <v>3.625</v>
      </c>
      <c r="AS849">
        <v>0</v>
      </c>
      <c r="AT849">
        <v>0</v>
      </c>
      <c r="AU849">
        <v>0.33900000000000002</v>
      </c>
      <c r="AV849">
        <v>0</v>
      </c>
      <c r="AW849">
        <v>3.964</v>
      </c>
      <c r="AX849">
        <v>0</v>
      </c>
      <c r="AY849">
        <v>12.57</v>
      </c>
      <c r="AZ849">
        <v>0</v>
      </c>
      <c r="BA849">
        <v>436324</v>
      </c>
      <c r="BB849">
        <v>2309751</v>
      </c>
      <c r="BC849">
        <v>0</v>
      </c>
      <c r="BD849">
        <v>16844</v>
      </c>
      <c r="BE849">
        <v>0</v>
      </c>
      <c r="BF849">
        <v>16844</v>
      </c>
      <c r="BG849">
        <v>16844</v>
      </c>
      <c r="BH849">
        <v>0</v>
      </c>
      <c r="BI849">
        <v>0</v>
      </c>
      <c r="BJ849">
        <v>0</v>
      </c>
      <c r="BK849">
        <v>0</v>
      </c>
      <c r="BL849">
        <v>169548335</v>
      </c>
      <c r="BM849">
        <v>0</v>
      </c>
      <c r="BN849">
        <v>468</v>
      </c>
      <c r="BO849">
        <v>364</v>
      </c>
      <c r="BP849">
        <v>0</v>
      </c>
      <c r="BQ849">
        <v>0</v>
      </c>
      <c r="BR849">
        <v>0.87770000000000004</v>
      </c>
      <c r="BS849">
        <v>0.87770000000000004</v>
      </c>
      <c r="BT849">
        <v>0</v>
      </c>
      <c r="BU849">
        <v>0</v>
      </c>
      <c r="BV849">
        <v>8</v>
      </c>
      <c r="BW849">
        <v>63</v>
      </c>
      <c r="BX849">
        <v>8</v>
      </c>
      <c r="BY849">
        <v>0</v>
      </c>
      <c r="BZ849">
        <v>3</v>
      </c>
      <c r="CA849">
        <v>82</v>
      </c>
      <c r="CB849">
        <v>0</v>
      </c>
      <c r="CC849">
        <v>0</v>
      </c>
      <c r="CD849">
        <v>0</v>
      </c>
      <c r="CE849">
        <v>12</v>
      </c>
      <c r="CF849">
        <v>21.384</v>
      </c>
      <c r="CG849">
        <v>0</v>
      </c>
      <c r="CH849">
        <v>0</v>
      </c>
      <c r="CI849">
        <v>2</v>
      </c>
      <c r="CJ849">
        <v>1</v>
      </c>
      <c r="CK849">
        <v>0</v>
      </c>
      <c r="CL849">
        <v>0</v>
      </c>
      <c r="CM849">
        <v>4.1020000000000003</v>
      </c>
      <c r="CN849">
        <v>0</v>
      </c>
      <c r="CO849">
        <v>0</v>
      </c>
      <c r="CP849">
        <v>0</v>
      </c>
      <c r="CQ849">
        <v>0</v>
      </c>
      <c r="CR849">
        <v>0</v>
      </c>
      <c r="CS849">
        <v>0</v>
      </c>
      <c r="CT849">
        <v>0</v>
      </c>
      <c r="CU849">
        <v>0</v>
      </c>
      <c r="CV849">
        <v>4.8070000000000004</v>
      </c>
      <c r="CW849">
        <v>6.4640000000000004</v>
      </c>
      <c r="CX849">
        <v>0</v>
      </c>
      <c r="CY849" s="2043">
        <v>0</v>
      </c>
      <c r="CZ849" s="2043">
        <v>0</v>
      </c>
      <c r="DA849" s="2043">
        <v>0</v>
      </c>
      <c r="DB849" s="2043">
        <v>0</v>
      </c>
      <c r="DC849" s="2043">
        <v>57362</v>
      </c>
      <c r="DI849" t="s">
        <v>5180</v>
      </c>
      <c r="DJ849" t="s">
        <v>5180</v>
      </c>
      <c r="DK849" s="2042">
        <f t="shared" si="15"/>
        <v>0</v>
      </c>
    </row>
    <row r="850" spans="1:115">
      <c r="A850" t="s">
        <v>5854</v>
      </c>
      <c r="B850" t="s">
        <v>1398</v>
      </c>
      <c r="C850">
        <v>228.93100000000001</v>
      </c>
      <c r="D850">
        <v>214.87300000000002</v>
      </c>
      <c r="E850">
        <v>0</v>
      </c>
      <c r="F850">
        <v>0</v>
      </c>
      <c r="G850" s="2043">
        <v>251100379</v>
      </c>
      <c r="H850">
        <v>0</v>
      </c>
      <c r="I850" s="2043">
        <v>0</v>
      </c>
      <c r="J850">
        <v>6</v>
      </c>
      <c r="K850">
        <v>16</v>
      </c>
      <c r="L850">
        <v>0</v>
      </c>
      <c r="M850">
        <v>0</v>
      </c>
      <c r="N850">
        <v>0</v>
      </c>
      <c r="O850">
        <v>0</v>
      </c>
      <c r="P850">
        <v>0</v>
      </c>
      <c r="Q850">
        <v>0</v>
      </c>
      <c r="R850" s="2043">
        <v>2250676</v>
      </c>
      <c r="S850">
        <v>123203</v>
      </c>
      <c r="T850">
        <v>0</v>
      </c>
      <c r="U850">
        <v>0.05</v>
      </c>
      <c r="V850">
        <v>0</v>
      </c>
      <c r="W850">
        <v>0</v>
      </c>
      <c r="X850">
        <v>0</v>
      </c>
      <c r="Y850">
        <v>286863</v>
      </c>
      <c r="Z850">
        <v>0</v>
      </c>
      <c r="AA850">
        <v>0</v>
      </c>
      <c r="AB850">
        <v>209.43200000000002</v>
      </c>
      <c r="AC850" s="2043">
        <v>297725680</v>
      </c>
      <c r="AD850">
        <v>0</v>
      </c>
      <c r="AE850" s="2043">
        <v>2373879</v>
      </c>
      <c r="AF850">
        <v>0.96340000000000003</v>
      </c>
      <c r="AG850">
        <v>0</v>
      </c>
      <c r="AH850">
        <v>0</v>
      </c>
      <c r="AI850">
        <v>0</v>
      </c>
      <c r="AJ850">
        <v>24.150000000000002</v>
      </c>
      <c r="AK850">
        <v>1065</v>
      </c>
      <c r="AL850">
        <v>0</v>
      </c>
      <c r="AM850">
        <v>0</v>
      </c>
      <c r="AN850">
        <v>9.9619999999999997</v>
      </c>
      <c r="AO850">
        <v>0</v>
      </c>
      <c r="AP850">
        <v>0</v>
      </c>
      <c r="AQ850">
        <v>0</v>
      </c>
      <c r="AR850">
        <v>5.8890000000000002</v>
      </c>
      <c r="AS850">
        <v>0</v>
      </c>
      <c r="AT850">
        <v>0</v>
      </c>
      <c r="AU850">
        <v>0.19900000000000001</v>
      </c>
      <c r="AV850">
        <v>0</v>
      </c>
      <c r="AW850">
        <v>6.0880000000000001</v>
      </c>
      <c r="AX850">
        <v>0</v>
      </c>
      <c r="AY850">
        <v>18.662000000000003</v>
      </c>
      <c r="AZ850">
        <v>0</v>
      </c>
      <c r="BA850">
        <v>829693</v>
      </c>
      <c r="BB850">
        <v>2373879</v>
      </c>
      <c r="BC850">
        <v>0</v>
      </c>
      <c r="BD850">
        <v>24843</v>
      </c>
      <c r="BE850">
        <v>0</v>
      </c>
      <c r="BF850">
        <v>24843</v>
      </c>
      <c r="BG850">
        <v>24843</v>
      </c>
      <c r="BH850">
        <v>0</v>
      </c>
      <c r="BI850">
        <v>0</v>
      </c>
      <c r="BJ850">
        <v>0</v>
      </c>
      <c r="BK850">
        <v>0</v>
      </c>
      <c r="BL850">
        <v>251100379</v>
      </c>
      <c r="BM850">
        <v>0</v>
      </c>
      <c r="BN850">
        <v>738</v>
      </c>
      <c r="BO850">
        <v>599</v>
      </c>
      <c r="BP850">
        <v>0</v>
      </c>
      <c r="BQ850">
        <v>0</v>
      </c>
      <c r="BR850">
        <v>0.91339999999999999</v>
      </c>
      <c r="BS850">
        <v>0.91339999999999999</v>
      </c>
      <c r="BT850">
        <v>0</v>
      </c>
      <c r="BU850">
        <v>286863</v>
      </c>
      <c r="BV850">
        <v>70</v>
      </c>
      <c r="BW850">
        <v>28</v>
      </c>
      <c r="BX850">
        <v>7</v>
      </c>
      <c r="BY850">
        <v>0</v>
      </c>
      <c r="BZ850">
        <v>0</v>
      </c>
      <c r="CA850">
        <v>105</v>
      </c>
      <c r="CB850">
        <v>0</v>
      </c>
      <c r="CC850">
        <v>0</v>
      </c>
      <c r="CD850">
        <v>0</v>
      </c>
      <c r="CE850">
        <v>21</v>
      </c>
      <c r="CF850">
        <v>25.783000000000001</v>
      </c>
      <c r="CG850">
        <v>0</v>
      </c>
      <c r="CH850">
        <v>0</v>
      </c>
      <c r="CI850">
        <v>1</v>
      </c>
      <c r="CJ850">
        <v>1</v>
      </c>
      <c r="CK850">
        <v>0</v>
      </c>
      <c r="CL850">
        <v>0</v>
      </c>
      <c r="CM850">
        <v>0</v>
      </c>
      <c r="CN850">
        <v>0</v>
      </c>
      <c r="CO850">
        <v>0</v>
      </c>
      <c r="CP850">
        <v>0</v>
      </c>
      <c r="CQ850">
        <v>0</v>
      </c>
      <c r="CR850">
        <v>0</v>
      </c>
      <c r="CS850">
        <v>0</v>
      </c>
      <c r="CT850">
        <v>0</v>
      </c>
      <c r="CU850">
        <v>0</v>
      </c>
      <c r="CV850">
        <v>12.823</v>
      </c>
      <c r="CW850">
        <v>13.865</v>
      </c>
      <c r="CX850">
        <v>0</v>
      </c>
      <c r="CY850" s="2043">
        <v>0</v>
      </c>
      <c r="CZ850" s="2043">
        <v>0</v>
      </c>
      <c r="DA850" s="2043">
        <v>0</v>
      </c>
      <c r="DB850" s="2043">
        <v>0</v>
      </c>
      <c r="DC850" s="2043">
        <v>57687</v>
      </c>
      <c r="DI850" t="s">
        <v>5854</v>
      </c>
      <c r="DJ850" t="s">
        <v>5854</v>
      </c>
      <c r="DK850" s="2042">
        <f t="shared" si="15"/>
        <v>0</v>
      </c>
    </row>
    <row r="851" spans="1:115">
      <c r="A851" t="s">
        <v>3144</v>
      </c>
      <c r="B851" t="s">
        <v>1242</v>
      </c>
      <c r="C851">
        <v>1570.43</v>
      </c>
      <c r="D851">
        <v>1535.7260000000001</v>
      </c>
      <c r="E851">
        <v>105.251</v>
      </c>
      <c r="F851">
        <v>0</v>
      </c>
      <c r="G851" s="2043">
        <v>1037843002</v>
      </c>
      <c r="H851">
        <v>0</v>
      </c>
      <c r="I851" s="2043">
        <v>1606455</v>
      </c>
      <c r="J851">
        <v>78.522000000000006</v>
      </c>
      <c r="K851">
        <v>215</v>
      </c>
      <c r="L851">
        <v>0</v>
      </c>
      <c r="M851">
        <v>357946</v>
      </c>
      <c r="N851">
        <v>0</v>
      </c>
      <c r="O851">
        <v>357946</v>
      </c>
      <c r="P851">
        <v>0</v>
      </c>
      <c r="Q851">
        <v>0</v>
      </c>
      <c r="R851" s="2043">
        <v>9220577</v>
      </c>
      <c r="S851">
        <v>515750</v>
      </c>
      <c r="T851">
        <v>0</v>
      </c>
      <c r="U851">
        <v>0.05</v>
      </c>
      <c r="V851">
        <v>0</v>
      </c>
      <c r="W851">
        <v>0</v>
      </c>
      <c r="X851">
        <v>0</v>
      </c>
      <c r="Y851">
        <v>0</v>
      </c>
      <c r="Z851">
        <v>0.93100000000000005</v>
      </c>
      <c r="AA851">
        <v>0</v>
      </c>
      <c r="AB851">
        <v>1535.7260000000001</v>
      </c>
      <c r="AC851" s="2043">
        <v>983844890</v>
      </c>
      <c r="AD851">
        <v>1864052</v>
      </c>
      <c r="AE851" s="2043">
        <v>9736327</v>
      </c>
      <c r="AF851">
        <v>0.94390000000000007</v>
      </c>
      <c r="AG851">
        <v>0</v>
      </c>
      <c r="AH851">
        <v>0</v>
      </c>
      <c r="AI851">
        <v>0</v>
      </c>
      <c r="AJ851">
        <v>216.45000000000002</v>
      </c>
      <c r="AK851">
        <v>7134</v>
      </c>
      <c r="AL851">
        <v>0</v>
      </c>
      <c r="AM851">
        <v>0</v>
      </c>
      <c r="AN851">
        <v>80.875</v>
      </c>
      <c r="AO851">
        <v>0</v>
      </c>
      <c r="AP851">
        <v>0</v>
      </c>
      <c r="AQ851">
        <v>0</v>
      </c>
      <c r="AR851">
        <v>45.606000000000002</v>
      </c>
      <c r="AS851">
        <v>0</v>
      </c>
      <c r="AT851">
        <v>11.955</v>
      </c>
      <c r="AU851">
        <v>3.6990000000000003</v>
      </c>
      <c r="AV851">
        <v>0</v>
      </c>
      <c r="AW851">
        <v>62.179000000000002</v>
      </c>
      <c r="AX851">
        <v>0.91900000000000004</v>
      </c>
      <c r="AY851">
        <v>193.292</v>
      </c>
      <c r="AZ851">
        <v>0</v>
      </c>
      <c r="BA851">
        <v>5874393</v>
      </c>
      <c r="BB851">
        <v>11600379</v>
      </c>
      <c r="BC851">
        <v>0</v>
      </c>
      <c r="BD851">
        <v>106709</v>
      </c>
      <c r="BE851">
        <v>53111</v>
      </c>
      <c r="BF851">
        <v>159820</v>
      </c>
      <c r="BG851">
        <v>106709</v>
      </c>
      <c r="BH851">
        <v>0</v>
      </c>
      <c r="BI851">
        <v>0</v>
      </c>
      <c r="BJ851">
        <v>0</v>
      </c>
      <c r="BK851">
        <v>0</v>
      </c>
      <c r="BL851">
        <v>1037843002</v>
      </c>
      <c r="BM851">
        <v>0</v>
      </c>
      <c r="BN851">
        <v>5400</v>
      </c>
      <c r="BO851">
        <v>4847</v>
      </c>
      <c r="BP851">
        <v>0</v>
      </c>
      <c r="BQ851">
        <v>0</v>
      </c>
      <c r="BR851">
        <v>0.89390000000000003</v>
      </c>
      <c r="BS851">
        <v>0.89390000000000003</v>
      </c>
      <c r="BT851">
        <v>0</v>
      </c>
      <c r="BU851">
        <v>0</v>
      </c>
      <c r="BV851">
        <v>180</v>
      </c>
      <c r="BW851">
        <v>447</v>
      </c>
      <c r="BX851">
        <v>100</v>
      </c>
      <c r="BY851">
        <v>157</v>
      </c>
      <c r="BZ851">
        <v>13</v>
      </c>
      <c r="CA851">
        <v>897</v>
      </c>
      <c r="CB851">
        <v>0</v>
      </c>
      <c r="CC851">
        <v>0</v>
      </c>
      <c r="CD851">
        <v>0</v>
      </c>
      <c r="CE851">
        <v>231</v>
      </c>
      <c r="CF851">
        <v>317.37100000000004</v>
      </c>
      <c r="CG851">
        <v>0</v>
      </c>
      <c r="CH851">
        <v>0</v>
      </c>
      <c r="CI851">
        <v>3</v>
      </c>
      <c r="CJ851">
        <v>8</v>
      </c>
      <c r="CK851">
        <v>0</v>
      </c>
      <c r="CL851">
        <v>0</v>
      </c>
      <c r="CM851">
        <v>105.251</v>
      </c>
      <c r="CN851">
        <v>0</v>
      </c>
      <c r="CO851">
        <v>0</v>
      </c>
      <c r="CP851">
        <v>0</v>
      </c>
      <c r="CQ851">
        <v>0</v>
      </c>
      <c r="CR851">
        <v>0</v>
      </c>
      <c r="CS851">
        <v>0</v>
      </c>
      <c r="CT851">
        <v>0</v>
      </c>
      <c r="CU851">
        <v>13.557</v>
      </c>
      <c r="CV851">
        <v>102.82600000000001</v>
      </c>
      <c r="CW851">
        <v>42.876000000000005</v>
      </c>
      <c r="CX851">
        <v>0</v>
      </c>
      <c r="CY851" s="2043">
        <v>0</v>
      </c>
      <c r="CZ851" s="2043">
        <v>0</v>
      </c>
      <c r="DA851" s="2043">
        <v>0</v>
      </c>
      <c r="DB851" s="2043">
        <v>0</v>
      </c>
      <c r="DC851" s="2043">
        <v>0</v>
      </c>
      <c r="DI851" t="s">
        <v>3144</v>
      </c>
      <c r="DJ851" t="s">
        <v>3144</v>
      </c>
      <c r="DK851" s="2042">
        <f t="shared" si="15"/>
        <v>0</v>
      </c>
    </row>
    <row r="852" spans="1:115">
      <c r="A852" t="s">
        <v>5855</v>
      </c>
      <c r="B852" t="s">
        <v>1347</v>
      </c>
      <c r="C852">
        <v>742.16</v>
      </c>
      <c r="D852">
        <v>724.77</v>
      </c>
      <c r="E852">
        <v>98.739000000000004</v>
      </c>
      <c r="F852">
        <v>0</v>
      </c>
      <c r="G852" s="2043">
        <v>305422962</v>
      </c>
      <c r="H852">
        <v>0</v>
      </c>
      <c r="I852" s="2043">
        <v>0</v>
      </c>
      <c r="J852">
        <v>37.108000000000004</v>
      </c>
      <c r="K852">
        <v>101</v>
      </c>
      <c r="L852">
        <v>0</v>
      </c>
      <c r="M852">
        <v>0</v>
      </c>
      <c r="N852">
        <v>0</v>
      </c>
      <c r="O852">
        <v>0</v>
      </c>
      <c r="P852">
        <v>0</v>
      </c>
      <c r="Q852">
        <v>0</v>
      </c>
      <c r="R852" s="2043">
        <v>2575271</v>
      </c>
      <c r="S852">
        <v>152889</v>
      </c>
      <c r="T852">
        <v>0</v>
      </c>
      <c r="U852">
        <v>0.05</v>
      </c>
      <c r="V852">
        <v>0</v>
      </c>
      <c r="W852">
        <v>0</v>
      </c>
      <c r="X852">
        <v>0</v>
      </c>
      <c r="Y852">
        <v>0</v>
      </c>
      <c r="Z852">
        <v>0</v>
      </c>
      <c r="AA852">
        <v>0.15</v>
      </c>
      <c r="AB852">
        <v>724.77</v>
      </c>
      <c r="AC852" s="2043">
        <v>263265544</v>
      </c>
      <c r="AD852">
        <v>0</v>
      </c>
      <c r="AE852" s="2043">
        <v>2728160</v>
      </c>
      <c r="AF852">
        <v>0.89219999999999999</v>
      </c>
      <c r="AG852">
        <v>0</v>
      </c>
      <c r="AH852">
        <v>0</v>
      </c>
      <c r="AI852">
        <v>0</v>
      </c>
      <c r="AJ852">
        <v>118.63800000000001</v>
      </c>
      <c r="AK852">
        <v>5035</v>
      </c>
      <c r="AL852">
        <v>0</v>
      </c>
      <c r="AM852">
        <v>0</v>
      </c>
      <c r="AN852">
        <v>42.411999999999999</v>
      </c>
      <c r="AO852">
        <v>0</v>
      </c>
      <c r="AP852">
        <v>0</v>
      </c>
      <c r="AQ852">
        <v>0</v>
      </c>
      <c r="AR852">
        <v>27.231000000000002</v>
      </c>
      <c r="AS852">
        <v>0</v>
      </c>
      <c r="AT852">
        <v>6.5280000000000005</v>
      </c>
      <c r="AU852">
        <v>2.0070000000000001</v>
      </c>
      <c r="AV852">
        <v>0</v>
      </c>
      <c r="AW852">
        <v>35.765999999999998</v>
      </c>
      <c r="AX852">
        <v>0</v>
      </c>
      <c r="AY852">
        <v>111.31200000000001</v>
      </c>
      <c r="AZ852">
        <v>0</v>
      </c>
      <c r="BA852">
        <v>6604672</v>
      </c>
      <c r="BB852">
        <v>2728160</v>
      </c>
      <c r="BC852">
        <v>0</v>
      </c>
      <c r="BD852">
        <v>38462</v>
      </c>
      <c r="BE852">
        <v>2307</v>
      </c>
      <c r="BF852">
        <v>40769</v>
      </c>
      <c r="BG852">
        <v>38462</v>
      </c>
      <c r="BH852">
        <v>0</v>
      </c>
      <c r="BI852">
        <v>0</v>
      </c>
      <c r="BJ852">
        <v>0</v>
      </c>
      <c r="BK852">
        <v>0</v>
      </c>
      <c r="BL852">
        <v>305422962</v>
      </c>
      <c r="BM852">
        <v>0</v>
      </c>
      <c r="BN852">
        <v>3042</v>
      </c>
      <c r="BO852">
        <v>2161</v>
      </c>
      <c r="BP852">
        <v>0</v>
      </c>
      <c r="BQ852">
        <v>0</v>
      </c>
      <c r="BR852">
        <v>0.84220000000000006</v>
      </c>
      <c r="BS852">
        <v>0.84220000000000006</v>
      </c>
      <c r="BT852">
        <v>0</v>
      </c>
      <c r="BU852">
        <v>0</v>
      </c>
      <c r="BV852">
        <v>26</v>
      </c>
      <c r="BW852">
        <v>90</v>
      </c>
      <c r="BX852">
        <v>122</v>
      </c>
      <c r="BY852">
        <v>231</v>
      </c>
      <c r="BZ852">
        <v>1</v>
      </c>
      <c r="CA852">
        <v>470</v>
      </c>
      <c r="CB852">
        <v>0</v>
      </c>
      <c r="CC852">
        <v>0</v>
      </c>
      <c r="CD852">
        <v>0</v>
      </c>
      <c r="CE852">
        <v>65</v>
      </c>
      <c r="CF852">
        <v>161.52100000000002</v>
      </c>
      <c r="CG852">
        <v>0</v>
      </c>
      <c r="CH852">
        <v>0</v>
      </c>
      <c r="CI852">
        <v>2</v>
      </c>
      <c r="CJ852">
        <v>1</v>
      </c>
      <c r="CK852">
        <v>0</v>
      </c>
      <c r="CL852">
        <v>0</v>
      </c>
      <c r="CM852">
        <v>98.739000000000004</v>
      </c>
      <c r="CN852">
        <v>0</v>
      </c>
      <c r="CO852">
        <v>0</v>
      </c>
      <c r="CP852">
        <v>0</v>
      </c>
      <c r="CQ852">
        <v>0</v>
      </c>
      <c r="CR852">
        <v>0</v>
      </c>
      <c r="CS852">
        <v>0</v>
      </c>
      <c r="CT852">
        <v>0</v>
      </c>
      <c r="CU852">
        <v>3.669</v>
      </c>
      <c r="CV852">
        <v>51.323</v>
      </c>
      <c r="CW852">
        <v>22.962</v>
      </c>
      <c r="CX852">
        <v>0</v>
      </c>
      <c r="CY852" s="2043">
        <v>0</v>
      </c>
      <c r="CZ852" s="2043">
        <v>0</v>
      </c>
      <c r="DA852" s="2043">
        <v>0</v>
      </c>
      <c r="DB852" s="2043">
        <v>0</v>
      </c>
      <c r="DC852" s="2043">
        <v>0</v>
      </c>
      <c r="DI852" t="s">
        <v>5855</v>
      </c>
      <c r="DJ852" t="s">
        <v>5855</v>
      </c>
      <c r="DK852" s="2042">
        <f t="shared" si="15"/>
        <v>0</v>
      </c>
    </row>
    <row r="853" spans="1:115">
      <c r="A853" t="s">
        <v>5181</v>
      </c>
      <c r="B853" t="s">
        <v>758</v>
      </c>
      <c r="C853">
        <v>126.77</v>
      </c>
      <c r="D853">
        <v>123.93900000000001</v>
      </c>
      <c r="E853">
        <v>9.6010000000000009</v>
      </c>
      <c r="F853">
        <v>0</v>
      </c>
      <c r="G853" s="2043">
        <v>144513222</v>
      </c>
      <c r="H853">
        <v>0</v>
      </c>
      <c r="I853" s="2043">
        <v>0</v>
      </c>
      <c r="J853">
        <v>6.3390000000000004</v>
      </c>
      <c r="K853">
        <v>17</v>
      </c>
      <c r="L853">
        <v>0</v>
      </c>
      <c r="M853">
        <v>0</v>
      </c>
      <c r="N853">
        <v>0</v>
      </c>
      <c r="O853">
        <v>0</v>
      </c>
      <c r="P853">
        <v>0</v>
      </c>
      <c r="Q853">
        <v>0</v>
      </c>
      <c r="R853" s="2043">
        <v>1182155</v>
      </c>
      <c r="S853">
        <v>71907</v>
      </c>
      <c r="T853">
        <v>0</v>
      </c>
      <c r="U853">
        <v>0.05</v>
      </c>
      <c r="V853">
        <v>0</v>
      </c>
      <c r="W853">
        <v>0</v>
      </c>
      <c r="X853">
        <v>0</v>
      </c>
      <c r="Y853">
        <v>0</v>
      </c>
      <c r="Z853">
        <v>0</v>
      </c>
      <c r="AA853">
        <v>0</v>
      </c>
      <c r="AB853">
        <v>123.93900000000001</v>
      </c>
      <c r="AC853" s="2043">
        <v>111763332</v>
      </c>
      <c r="AD853">
        <v>0</v>
      </c>
      <c r="AE853" s="2043">
        <v>1254062</v>
      </c>
      <c r="AF853">
        <v>0.872</v>
      </c>
      <c r="AG853">
        <v>0</v>
      </c>
      <c r="AH853">
        <v>0</v>
      </c>
      <c r="AI853">
        <v>0</v>
      </c>
      <c r="AJ853">
        <v>22.75</v>
      </c>
      <c r="AK853">
        <v>891</v>
      </c>
      <c r="AL853">
        <v>0</v>
      </c>
      <c r="AM853">
        <v>0</v>
      </c>
      <c r="AN853">
        <v>12.44</v>
      </c>
      <c r="AO853">
        <v>0</v>
      </c>
      <c r="AP853">
        <v>0</v>
      </c>
      <c r="AQ853">
        <v>0</v>
      </c>
      <c r="AR853">
        <v>2.9450000000000003</v>
      </c>
      <c r="AS853">
        <v>0</v>
      </c>
      <c r="AT853">
        <v>0</v>
      </c>
      <c r="AU853">
        <v>0.32800000000000001</v>
      </c>
      <c r="AV853">
        <v>0</v>
      </c>
      <c r="AW853">
        <v>3.2730000000000001</v>
      </c>
      <c r="AX853">
        <v>0</v>
      </c>
      <c r="AY853">
        <v>10.475</v>
      </c>
      <c r="AZ853">
        <v>0</v>
      </c>
      <c r="BA853">
        <v>823501</v>
      </c>
      <c r="BB853">
        <v>1254062</v>
      </c>
      <c r="BC853">
        <v>0</v>
      </c>
      <c r="BD853">
        <v>32550</v>
      </c>
      <c r="BE853">
        <v>0</v>
      </c>
      <c r="BF853">
        <v>32550</v>
      </c>
      <c r="BG853">
        <v>32550</v>
      </c>
      <c r="BH853">
        <v>0</v>
      </c>
      <c r="BI853">
        <v>0</v>
      </c>
      <c r="BJ853">
        <v>0</v>
      </c>
      <c r="BK853">
        <v>0</v>
      </c>
      <c r="BL853">
        <v>144513222</v>
      </c>
      <c r="BM853">
        <v>0</v>
      </c>
      <c r="BN853">
        <v>540</v>
      </c>
      <c r="BO853">
        <v>289</v>
      </c>
      <c r="BP853">
        <v>0</v>
      </c>
      <c r="BQ853">
        <v>0</v>
      </c>
      <c r="BR853">
        <v>0.82200000000000006</v>
      </c>
      <c r="BS853">
        <v>0.82200000000000006</v>
      </c>
      <c r="BT853">
        <v>0</v>
      </c>
      <c r="BU853">
        <v>0</v>
      </c>
      <c r="BV853">
        <v>12</v>
      </c>
      <c r="BW853">
        <v>66</v>
      </c>
      <c r="BX853">
        <v>8</v>
      </c>
      <c r="BY853">
        <v>8</v>
      </c>
      <c r="BZ853">
        <v>1</v>
      </c>
      <c r="CA853">
        <v>95</v>
      </c>
      <c r="CB853">
        <v>0</v>
      </c>
      <c r="CC853">
        <v>0</v>
      </c>
      <c r="CD853">
        <v>0</v>
      </c>
      <c r="CE853">
        <v>13</v>
      </c>
      <c r="CF853">
        <v>18.612000000000002</v>
      </c>
      <c r="CG853">
        <v>0</v>
      </c>
      <c r="CH853">
        <v>0</v>
      </c>
      <c r="CI853">
        <v>1</v>
      </c>
      <c r="CJ853">
        <v>1</v>
      </c>
      <c r="CK853">
        <v>0</v>
      </c>
      <c r="CL853">
        <v>0</v>
      </c>
      <c r="CM853">
        <v>9.6010000000000009</v>
      </c>
      <c r="CN853">
        <v>0</v>
      </c>
      <c r="CO853">
        <v>0</v>
      </c>
      <c r="CP853">
        <v>0</v>
      </c>
      <c r="CQ853">
        <v>0</v>
      </c>
      <c r="CR853">
        <v>0</v>
      </c>
      <c r="CS853">
        <v>0</v>
      </c>
      <c r="CT853">
        <v>0</v>
      </c>
      <c r="CU853">
        <v>0</v>
      </c>
      <c r="CV853">
        <v>9.0020000000000007</v>
      </c>
      <c r="CW853">
        <v>6.0640000000000001</v>
      </c>
      <c r="CX853">
        <v>0</v>
      </c>
      <c r="CY853" s="2043">
        <v>0</v>
      </c>
      <c r="CZ853" s="2043">
        <v>0</v>
      </c>
      <c r="DA853" s="2043">
        <v>0</v>
      </c>
      <c r="DB853" s="2043">
        <v>0</v>
      </c>
      <c r="DC853" s="2043">
        <v>0</v>
      </c>
      <c r="DI853" t="s">
        <v>5181</v>
      </c>
      <c r="DJ853" t="s">
        <v>5181</v>
      </c>
      <c r="DK853" s="2042">
        <f t="shared" si="15"/>
        <v>0</v>
      </c>
    </row>
    <row r="854" spans="1:115">
      <c r="A854" t="s">
        <v>5857</v>
      </c>
      <c r="B854" t="s">
        <v>1408</v>
      </c>
      <c r="C854">
        <v>137.91500000000002</v>
      </c>
      <c r="D854">
        <v>139.08100000000002</v>
      </c>
      <c r="E854">
        <v>0</v>
      </c>
      <c r="F854">
        <v>0</v>
      </c>
      <c r="G854" s="2043">
        <v>94761534</v>
      </c>
      <c r="H854">
        <v>0</v>
      </c>
      <c r="I854" s="2043">
        <v>0</v>
      </c>
      <c r="J854">
        <v>6.8959999999999999</v>
      </c>
      <c r="K854">
        <v>19</v>
      </c>
      <c r="L854">
        <v>0</v>
      </c>
      <c r="M854">
        <v>0</v>
      </c>
      <c r="N854">
        <v>0</v>
      </c>
      <c r="O854">
        <v>0</v>
      </c>
      <c r="P854">
        <v>0</v>
      </c>
      <c r="Q854">
        <v>0</v>
      </c>
      <c r="R854" s="2043">
        <v>851228</v>
      </c>
      <c r="S854">
        <v>46597</v>
      </c>
      <c r="T854">
        <v>0</v>
      </c>
      <c r="U854">
        <v>0.05</v>
      </c>
      <c r="V854">
        <v>0</v>
      </c>
      <c r="W854">
        <v>0</v>
      </c>
      <c r="X854">
        <v>0</v>
      </c>
      <c r="Y854">
        <v>0</v>
      </c>
      <c r="Z854">
        <v>0</v>
      </c>
      <c r="AA854">
        <v>0</v>
      </c>
      <c r="AB854">
        <v>139.08100000000002</v>
      </c>
      <c r="AC854" s="2043">
        <v>94484419</v>
      </c>
      <c r="AD854">
        <v>0</v>
      </c>
      <c r="AE854" s="2043">
        <v>897825</v>
      </c>
      <c r="AF854">
        <v>0.96340000000000003</v>
      </c>
      <c r="AG854">
        <v>0</v>
      </c>
      <c r="AH854">
        <v>0</v>
      </c>
      <c r="AI854">
        <v>0</v>
      </c>
      <c r="AJ854">
        <v>20.663</v>
      </c>
      <c r="AK854">
        <v>752</v>
      </c>
      <c r="AL854">
        <v>0</v>
      </c>
      <c r="AM854">
        <v>0</v>
      </c>
      <c r="AN854">
        <v>8.7970000000000006</v>
      </c>
      <c r="AO854">
        <v>0</v>
      </c>
      <c r="AP854">
        <v>0</v>
      </c>
      <c r="AQ854">
        <v>0</v>
      </c>
      <c r="AR854">
        <v>2.798</v>
      </c>
      <c r="AS854">
        <v>0</v>
      </c>
      <c r="AT854">
        <v>0.33600000000000002</v>
      </c>
      <c r="AU854">
        <v>0.28000000000000003</v>
      </c>
      <c r="AV854">
        <v>0</v>
      </c>
      <c r="AW854">
        <v>3.4140000000000001</v>
      </c>
      <c r="AX854">
        <v>0</v>
      </c>
      <c r="AY854">
        <v>10.802000000000001</v>
      </c>
      <c r="AZ854">
        <v>0</v>
      </c>
      <c r="BA854">
        <v>1150278</v>
      </c>
      <c r="BB854">
        <v>897825</v>
      </c>
      <c r="BC854">
        <v>0</v>
      </c>
      <c r="BD854">
        <v>23644</v>
      </c>
      <c r="BE854">
        <v>0</v>
      </c>
      <c r="BF854">
        <v>23644</v>
      </c>
      <c r="BG854">
        <v>23644</v>
      </c>
      <c r="BH854">
        <v>0</v>
      </c>
      <c r="BI854">
        <v>0</v>
      </c>
      <c r="BJ854">
        <v>0</v>
      </c>
      <c r="BK854">
        <v>0</v>
      </c>
      <c r="BL854">
        <v>94761534</v>
      </c>
      <c r="BM854">
        <v>0</v>
      </c>
      <c r="BN854">
        <v>585</v>
      </c>
      <c r="BO854">
        <v>482</v>
      </c>
      <c r="BP854">
        <v>0</v>
      </c>
      <c r="BQ854">
        <v>0</v>
      </c>
      <c r="BR854">
        <v>0.91339999999999999</v>
      </c>
      <c r="BS854">
        <v>0.91339999999999999</v>
      </c>
      <c r="BT854">
        <v>0</v>
      </c>
      <c r="BU854">
        <v>0</v>
      </c>
      <c r="BV854">
        <v>17</v>
      </c>
      <c r="BW854">
        <v>43</v>
      </c>
      <c r="BX854">
        <v>17</v>
      </c>
      <c r="BY854">
        <v>8</v>
      </c>
      <c r="BZ854">
        <v>1</v>
      </c>
      <c r="CA854">
        <v>86</v>
      </c>
      <c r="CB854">
        <v>0</v>
      </c>
      <c r="CC854">
        <v>0.125</v>
      </c>
      <c r="CD854">
        <v>0</v>
      </c>
      <c r="CE854">
        <v>6</v>
      </c>
      <c r="CF854">
        <v>27.428000000000001</v>
      </c>
      <c r="CG854">
        <v>0</v>
      </c>
      <c r="CH854">
        <v>0</v>
      </c>
      <c r="CI854">
        <v>2</v>
      </c>
      <c r="CJ854">
        <v>1</v>
      </c>
      <c r="CK854">
        <v>0</v>
      </c>
      <c r="CL854">
        <v>0</v>
      </c>
      <c r="CM854">
        <v>0</v>
      </c>
      <c r="CN854">
        <v>0</v>
      </c>
      <c r="CO854">
        <v>0</v>
      </c>
      <c r="CP854">
        <v>0</v>
      </c>
      <c r="CQ854">
        <v>0</v>
      </c>
      <c r="CR854">
        <v>0</v>
      </c>
      <c r="CS854">
        <v>0</v>
      </c>
      <c r="CT854">
        <v>0</v>
      </c>
      <c r="CU854">
        <v>0.158</v>
      </c>
      <c r="CV854">
        <v>9.1790000000000003</v>
      </c>
      <c r="CW854">
        <v>8.5210000000000008</v>
      </c>
      <c r="CX854">
        <v>0</v>
      </c>
      <c r="CY854" s="2043">
        <v>0</v>
      </c>
      <c r="CZ854" s="2043">
        <v>0</v>
      </c>
      <c r="DA854" s="2043">
        <v>0</v>
      </c>
      <c r="DB854" s="2043">
        <v>0</v>
      </c>
      <c r="DC854" s="2043">
        <v>0</v>
      </c>
      <c r="DI854" t="s">
        <v>5856</v>
      </c>
      <c r="DJ854" t="s">
        <v>5857</v>
      </c>
      <c r="DK854" s="2042">
        <f t="shared" si="15"/>
        <v>-1</v>
      </c>
    </row>
    <row r="855" spans="1:115">
      <c r="A855" t="s">
        <v>5856</v>
      </c>
      <c r="B855" t="s">
        <v>1407</v>
      </c>
      <c r="C855">
        <v>128.70600000000002</v>
      </c>
      <c r="D855">
        <v>166.179</v>
      </c>
      <c r="E855">
        <v>0</v>
      </c>
      <c r="F855">
        <v>0</v>
      </c>
      <c r="G855" s="2043">
        <v>40890916</v>
      </c>
      <c r="H855">
        <v>0</v>
      </c>
      <c r="I855" s="2043">
        <v>0</v>
      </c>
      <c r="J855">
        <v>6</v>
      </c>
      <c r="K855">
        <v>16</v>
      </c>
      <c r="L855">
        <v>0</v>
      </c>
      <c r="M855">
        <v>0</v>
      </c>
      <c r="N855">
        <v>0</v>
      </c>
      <c r="O855">
        <v>0</v>
      </c>
      <c r="P855">
        <v>0</v>
      </c>
      <c r="Q855">
        <v>0</v>
      </c>
      <c r="R855" s="2043">
        <v>359129</v>
      </c>
      <c r="S855">
        <v>32087</v>
      </c>
      <c r="T855">
        <v>23383</v>
      </c>
      <c r="U855">
        <v>0.08</v>
      </c>
      <c r="V855">
        <v>0</v>
      </c>
      <c r="W855">
        <v>0</v>
      </c>
      <c r="X855">
        <v>0</v>
      </c>
      <c r="Y855">
        <v>0</v>
      </c>
      <c r="Z855">
        <v>0</v>
      </c>
      <c r="AA855">
        <v>0</v>
      </c>
      <c r="AB855">
        <v>155.47400000000002</v>
      </c>
      <c r="AC855" s="2043">
        <v>37132034</v>
      </c>
      <c r="AD855">
        <v>0</v>
      </c>
      <c r="AE855" s="2043">
        <v>414599</v>
      </c>
      <c r="AF855">
        <v>1.0337000000000001</v>
      </c>
      <c r="AG855">
        <v>0</v>
      </c>
      <c r="AH855">
        <v>0</v>
      </c>
      <c r="AI855">
        <v>0</v>
      </c>
      <c r="AJ855">
        <v>13.475000000000001</v>
      </c>
      <c r="AK855">
        <v>649</v>
      </c>
      <c r="AL855">
        <v>0</v>
      </c>
      <c r="AM855">
        <v>0</v>
      </c>
      <c r="AN855">
        <v>1.0030000000000001</v>
      </c>
      <c r="AO855">
        <v>0</v>
      </c>
      <c r="AP855">
        <v>0</v>
      </c>
      <c r="AQ855">
        <v>0</v>
      </c>
      <c r="AR855">
        <v>4.88</v>
      </c>
      <c r="AS855">
        <v>0</v>
      </c>
      <c r="AT855">
        <v>0</v>
      </c>
      <c r="AU855">
        <v>0.443</v>
      </c>
      <c r="AV855">
        <v>0</v>
      </c>
      <c r="AW855">
        <v>5.3230000000000004</v>
      </c>
      <c r="AX855">
        <v>0</v>
      </c>
      <c r="AY855">
        <v>16.855</v>
      </c>
      <c r="AZ855">
        <v>0</v>
      </c>
      <c r="BA855">
        <v>1370835</v>
      </c>
      <c r="BB855">
        <v>414599</v>
      </c>
      <c r="BC855">
        <v>0</v>
      </c>
      <c r="BD855">
        <v>10260</v>
      </c>
      <c r="BE855">
        <v>0</v>
      </c>
      <c r="BF855">
        <v>10260</v>
      </c>
      <c r="BG855">
        <v>10260</v>
      </c>
      <c r="BH855">
        <v>0</v>
      </c>
      <c r="BI855">
        <v>0</v>
      </c>
      <c r="BJ855">
        <v>0</v>
      </c>
      <c r="BK855">
        <v>0</v>
      </c>
      <c r="BL855">
        <v>40890916</v>
      </c>
      <c r="BM855">
        <v>0</v>
      </c>
      <c r="BN855">
        <v>0</v>
      </c>
      <c r="BO855">
        <v>0</v>
      </c>
      <c r="BP855">
        <v>0</v>
      </c>
      <c r="BQ855">
        <v>0</v>
      </c>
      <c r="BR855">
        <v>0.89540000000000008</v>
      </c>
      <c r="BS855">
        <v>0.89540000000000008</v>
      </c>
      <c r="BT855">
        <v>0</v>
      </c>
      <c r="BU855">
        <v>0</v>
      </c>
      <c r="BV855">
        <v>18</v>
      </c>
      <c r="BW855">
        <v>31</v>
      </c>
      <c r="BX855">
        <v>3</v>
      </c>
      <c r="BY855">
        <v>5</v>
      </c>
      <c r="BZ855">
        <v>0</v>
      </c>
      <c r="CA855">
        <v>57</v>
      </c>
      <c r="CB855">
        <v>0</v>
      </c>
      <c r="CC855">
        <v>0</v>
      </c>
      <c r="CD855">
        <v>0</v>
      </c>
      <c r="CE855">
        <v>23</v>
      </c>
      <c r="CF855">
        <v>25.053000000000001</v>
      </c>
      <c r="CG855">
        <v>0</v>
      </c>
      <c r="CH855">
        <v>0</v>
      </c>
      <c r="CI855">
        <v>0</v>
      </c>
      <c r="CJ855">
        <v>0</v>
      </c>
      <c r="CK855">
        <v>0</v>
      </c>
      <c r="CL855">
        <v>0</v>
      </c>
      <c r="CM855">
        <v>0</v>
      </c>
      <c r="CN855">
        <v>0</v>
      </c>
      <c r="CO855">
        <v>0</v>
      </c>
      <c r="CP855">
        <v>0</v>
      </c>
      <c r="CQ855">
        <v>0</v>
      </c>
      <c r="CR855">
        <v>0</v>
      </c>
      <c r="CS855">
        <v>0</v>
      </c>
      <c r="CT855">
        <v>0</v>
      </c>
      <c r="CU855">
        <v>0</v>
      </c>
      <c r="CV855">
        <v>3.2050000000000001</v>
      </c>
      <c r="CW855">
        <v>0</v>
      </c>
      <c r="CX855">
        <v>0</v>
      </c>
      <c r="CY855" s="2043">
        <v>0</v>
      </c>
      <c r="CZ855" s="2043">
        <v>0</v>
      </c>
      <c r="DA855" s="2043">
        <v>0</v>
      </c>
      <c r="DB855" s="2043">
        <v>0</v>
      </c>
      <c r="DC855" s="2043">
        <v>0</v>
      </c>
      <c r="DI855" t="s">
        <v>5857</v>
      </c>
      <c r="DJ855" t="s">
        <v>5856</v>
      </c>
      <c r="DK855" s="2042">
        <f t="shared" si="15"/>
        <v>1</v>
      </c>
    </row>
    <row r="856" spans="1:115">
      <c r="A856" t="s">
        <v>5182</v>
      </c>
      <c r="B856" t="s">
        <v>1198</v>
      </c>
      <c r="C856">
        <v>157.66300000000001</v>
      </c>
      <c r="D856">
        <v>151.40700000000001</v>
      </c>
      <c r="E856">
        <v>0</v>
      </c>
      <c r="F856">
        <v>0</v>
      </c>
      <c r="G856" s="2043">
        <v>189285085</v>
      </c>
      <c r="H856">
        <v>0</v>
      </c>
      <c r="I856" s="2043">
        <v>0</v>
      </c>
      <c r="J856">
        <v>7.883</v>
      </c>
      <c r="K856">
        <v>22</v>
      </c>
      <c r="L856">
        <v>0</v>
      </c>
      <c r="M856">
        <v>0</v>
      </c>
      <c r="N856">
        <v>0</v>
      </c>
      <c r="O856">
        <v>0</v>
      </c>
      <c r="P856">
        <v>0</v>
      </c>
      <c r="Q856">
        <v>0</v>
      </c>
      <c r="R856" s="2043">
        <v>1685592</v>
      </c>
      <c r="S856">
        <v>92270</v>
      </c>
      <c r="T856">
        <v>0</v>
      </c>
      <c r="U856">
        <v>0.05</v>
      </c>
      <c r="V856">
        <v>0</v>
      </c>
      <c r="W856">
        <v>0</v>
      </c>
      <c r="X856">
        <v>0</v>
      </c>
      <c r="Y856">
        <v>0</v>
      </c>
      <c r="Z856">
        <v>0</v>
      </c>
      <c r="AA856">
        <v>0</v>
      </c>
      <c r="AB856">
        <v>151.40700000000001</v>
      </c>
      <c r="AC856" s="2043">
        <v>227714345</v>
      </c>
      <c r="AD856">
        <v>0</v>
      </c>
      <c r="AE856" s="2043">
        <v>1777862</v>
      </c>
      <c r="AF856">
        <v>0.96340000000000003</v>
      </c>
      <c r="AG856">
        <v>0</v>
      </c>
      <c r="AH856">
        <v>0</v>
      </c>
      <c r="AI856">
        <v>0</v>
      </c>
      <c r="AJ856">
        <v>19.288</v>
      </c>
      <c r="AK856">
        <v>1211</v>
      </c>
      <c r="AL856">
        <v>0.17</v>
      </c>
      <c r="AM856">
        <v>0</v>
      </c>
      <c r="AN856">
        <v>12.335000000000001</v>
      </c>
      <c r="AO856">
        <v>0</v>
      </c>
      <c r="AP856">
        <v>0</v>
      </c>
      <c r="AQ856">
        <v>0</v>
      </c>
      <c r="AR856">
        <v>3.1260000000000003</v>
      </c>
      <c r="AS856">
        <v>0</v>
      </c>
      <c r="AT856">
        <v>1.6160000000000001</v>
      </c>
      <c r="AU856">
        <v>0.89700000000000002</v>
      </c>
      <c r="AV856">
        <v>0</v>
      </c>
      <c r="AW856">
        <v>5.8090000000000002</v>
      </c>
      <c r="AX856">
        <v>0</v>
      </c>
      <c r="AY856">
        <v>19.561</v>
      </c>
      <c r="AZ856">
        <v>0</v>
      </c>
      <c r="BA856">
        <v>409135</v>
      </c>
      <c r="BB856">
        <v>1777862</v>
      </c>
      <c r="BC856">
        <v>0</v>
      </c>
      <c r="BD856">
        <v>24990</v>
      </c>
      <c r="BE856">
        <v>0</v>
      </c>
      <c r="BF856">
        <v>42248</v>
      </c>
      <c r="BG856">
        <v>24990</v>
      </c>
      <c r="BH856">
        <v>17258</v>
      </c>
      <c r="BI856">
        <v>0</v>
      </c>
      <c r="BJ856">
        <v>0</v>
      </c>
      <c r="BK856">
        <v>0</v>
      </c>
      <c r="BL856">
        <v>189285085</v>
      </c>
      <c r="BM856">
        <v>0</v>
      </c>
      <c r="BN856">
        <v>603</v>
      </c>
      <c r="BO856">
        <v>482</v>
      </c>
      <c r="BP856">
        <v>0</v>
      </c>
      <c r="BQ856">
        <v>0</v>
      </c>
      <c r="BR856">
        <v>0.91339999999999999</v>
      </c>
      <c r="BS856">
        <v>0.91339999999999999</v>
      </c>
      <c r="BT856">
        <v>0</v>
      </c>
      <c r="BU856">
        <v>0</v>
      </c>
      <c r="BV856">
        <v>57</v>
      </c>
      <c r="BW856">
        <v>24</v>
      </c>
      <c r="BX856">
        <v>2</v>
      </c>
      <c r="BY856">
        <v>1</v>
      </c>
      <c r="BZ856">
        <v>0</v>
      </c>
      <c r="CA856">
        <v>84</v>
      </c>
      <c r="CB856">
        <v>0</v>
      </c>
      <c r="CC856">
        <v>0</v>
      </c>
      <c r="CD856">
        <v>0</v>
      </c>
      <c r="CE856">
        <v>18</v>
      </c>
      <c r="CF856">
        <v>28.582000000000001</v>
      </c>
      <c r="CG856">
        <v>0</v>
      </c>
      <c r="CH856">
        <v>0</v>
      </c>
      <c r="CI856">
        <v>0</v>
      </c>
      <c r="CJ856">
        <v>1</v>
      </c>
      <c r="CK856">
        <v>0</v>
      </c>
      <c r="CL856">
        <v>0</v>
      </c>
      <c r="CM856">
        <v>0</v>
      </c>
      <c r="CN856">
        <v>0</v>
      </c>
      <c r="CO856">
        <v>0</v>
      </c>
      <c r="CP856">
        <v>0</v>
      </c>
      <c r="CQ856">
        <v>0</v>
      </c>
      <c r="CR856">
        <v>0</v>
      </c>
      <c r="CS856">
        <v>0</v>
      </c>
      <c r="CT856">
        <v>0</v>
      </c>
      <c r="CU856">
        <v>0</v>
      </c>
      <c r="CV856">
        <v>7.43</v>
      </c>
      <c r="CW856">
        <v>7.0090000000000003</v>
      </c>
      <c r="CX856">
        <v>0</v>
      </c>
      <c r="CY856" s="2043">
        <v>0</v>
      </c>
      <c r="CZ856" s="2043">
        <v>0</v>
      </c>
      <c r="DA856" s="2043">
        <v>0</v>
      </c>
      <c r="DB856" s="2043">
        <v>0</v>
      </c>
      <c r="DC856" s="2043">
        <v>0</v>
      </c>
      <c r="DI856" t="s">
        <v>5182</v>
      </c>
      <c r="DJ856" t="s">
        <v>5182</v>
      </c>
      <c r="DK856" s="2042">
        <f t="shared" si="15"/>
        <v>0</v>
      </c>
    </row>
    <row r="857" spans="1:115">
      <c r="A857" t="s">
        <v>5183</v>
      </c>
      <c r="B857" t="s">
        <v>1441</v>
      </c>
      <c r="C857">
        <v>286.22399999999999</v>
      </c>
      <c r="D857">
        <v>302.93799999999999</v>
      </c>
      <c r="E857">
        <v>0</v>
      </c>
      <c r="F857">
        <v>0</v>
      </c>
      <c r="G857" s="2043">
        <v>203753720</v>
      </c>
      <c r="H857">
        <v>0</v>
      </c>
      <c r="I857" s="2043">
        <v>400731</v>
      </c>
      <c r="J857">
        <v>14.311</v>
      </c>
      <c r="K857">
        <v>39</v>
      </c>
      <c r="L857">
        <v>0</v>
      </c>
      <c r="M857">
        <v>0</v>
      </c>
      <c r="N857">
        <v>0</v>
      </c>
      <c r="O857">
        <v>0</v>
      </c>
      <c r="P857">
        <v>0</v>
      </c>
      <c r="Q857">
        <v>0</v>
      </c>
      <c r="R857" s="2043">
        <v>1715643</v>
      </c>
      <c r="S857">
        <v>160266</v>
      </c>
      <c r="T857">
        <v>116793</v>
      </c>
      <c r="U857">
        <v>0.08</v>
      </c>
      <c r="V857">
        <v>0</v>
      </c>
      <c r="W857">
        <v>0</v>
      </c>
      <c r="X857">
        <v>0</v>
      </c>
      <c r="Y857">
        <v>0</v>
      </c>
      <c r="Z857">
        <v>0</v>
      </c>
      <c r="AA857">
        <v>0</v>
      </c>
      <c r="AB857">
        <v>286.45600000000002</v>
      </c>
      <c r="AC857" s="2043">
        <v>199948922</v>
      </c>
      <c r="AD857">
        <v>538764</v>
      </c>
      <c r="AE857" s="2043">
        <v>1992702</v>
      </c>
      <c r="AF857">
        <v>0.99470000000000003</v>
      </c>
      <c r="AG857">
        <v>0</v>
      </c>
      <c r="AH857">
        <v>0</v>
      </c>
      <c r="AI857">
        <v>0</v>
      </c>
      <c r="AJ857">
        <v>33.675000000000004</v>
      </c>
      <c r="AK857">
        <v>1855</v>
      </c>
      <c r="AL857">
        <v>0.14200000000000002</v>
      </c>
      <c r="AM857">
        <v>0</v>
      </c>
      <c r="AN857">
        <v>16.831</v>
      </c>
      <c r="AO857">
        <v>0</v>
      </c>
      <c r="AP857">
        <v>0</v>
      </c>
      <c r="AQ857">
        <v>0</v>
      </c>
      <c r="AR857">
        <v>6.7970000000000006</v>
      </c>
      <c r="AS857">
        <v>0</v>
      </c>
      <c r="AT857">
        <v>2.1970000000000001</v>
      </c>
      <c r="AU857">
        <v>1.1860000000000002</v>
      </c>
      <c r="AV857">
        <v>0</v>
      </c>
      <c r="AW857">
        <v>10.322000000000001</v>
      </c>
      <c r="AX857">
        <v>0</v>
      </c>
      <c r="AY857">
        <v>33.622</v>
      </c>
      <c r="AZ857">
        <v>0</v>
      </c>
      <c r="BA857">
        <v>2173335</v>
      </c>
      <c r="BB857">
        <v>2531466</v>
      </c>
      <c r="BC857">
        <v>0</v>
      </c>
      <c r="BD857">
        <v>44370</v>
      </c>
      <c r="BE857">
        <v>674</v>
      </c>
      <c r="BF857">
        <v>45044</v>
      </c>
      <c r="BG857">
        <v>44370</v>
      </c>
      <c r="BH857">
        <v>0</v>
      </c>
      <c r="BI857">
        <v>0</v>
      </c>
      <c r="BJ857">
        <v>0</v>
      </c>
      <c r="BK857">
        <v>0</v>
      </c>
      <c r="BL857">
        <v>203753720</v>
      </c>
      <c r="BM857">
        <v>0</v>
      </c>
      <c r="BN857">
        <v>981</v>
      </c>
      <c r="BO857">
        <v>589</v>
      </c>
      <c r="BP857">
        <v>0</v>
      </c>
      <c r="BQ857">
        <v>0</v>
      </c>
      <c r="BR857">
        <v>0.85640000000000005</v>
      </c>
      <c r="BS857">
        <v>0.85640000000000005</v>
      </c>
      <c r="BT857">
        <v>0</v>
      </c>
      <c r="BU857">
        <v>0</v>
      </c>
      <c r="BV857">
        <v>50</v>
      </c>
      <c r="BW857">
        <v>7</v>
      </c>
      <c r="BX857">
        <v>82</v>
      </c>
      <c r="BY857">
        <v>1</v>
      </c>
      <c r="BZ857">
        <v>0</v>
      </c>
      <c r="CA857">
        <v>140</v>
      </c>
      <c r="CB857">
        <v>0</v>
      </c>
      <c r="CC857">
        <v>0</v>
      </c>
      <c r="CD857">
        <v>0</v>
      </c>
      <c r="CE857">
        <v>21</v>
      </c>
      <c r="CF857">
        <v>38.545000000000002</v>
      </c>
      <c r="CG857">
        <v>0</v>
      </c>
      <c r="CH857">
        <v>0</v>
      </c>
      <c r="CI857">
        <v>1</v>
      </c>
      <c r="CJ857">
        <v>1</v>
      </c>
      <c r="CK857">
        <v>0</v>
      </c>
      <c r="CL857">
        <v>0</v>
      </c>
      <c r="CM857">
        <v>0</v>
      </c>
      <c r="CN857">
        <v>0</v>
      </c>
      <c r="CO857">
        <v>0</v>
      </c>
      <c r="CP857">
        <v>0</v>
      </c>
      <c r="CQ857">
        <v>0</v>
      </c>
      <c r="CR857">
        <v>0</v>
      </c>
      <c r="CS857">
        <v>0</v>
      </c>
      <c r="CT857">
        <v>0</v>
      </c>
      <c r="CU857">
        <v>0</v>
      </c>
      <c r="CV857">
        <v>29.403000000000002</v>
      </c>
      <c r="CW857">
        <v>11.509</v>
      </c>
      <c r="CX857">
        <v>0</v>
      </c>
      <c r="CY857" s="2043">
        <v>0</v>
      </c>
      <c r="CZ857" s="2043">
        <v>0</v>
      </c>
      <c r="DA857" s="2043">
        <v>0</v>
      </c>
      <c r="DB857" s="2043">
        <v>0</v>
      </c>
      <c r="DC857" s="2043">
        <v>0</v>
      </c>
      <c r="DI857" t="s">
        <v>5183</v>
      </c>
      <c r="DJ857" t="s">
        <v>5183</v>
      </c>
      <c r="DK857" s="2042">
        <f t="shared" si="15"/>
        <v>0</v>
      </c>
    </row>
    <row r="858" spans="1:115">
      <c r="A858" t="s">
        <v>8063</v>
      </c>
      <c r="B858" t="s">
        <v>11386</v>
      </c>
      <c r="C858">
        <v>293.73200000000003</v>
      </c>
      <c r="D858">
        <v>393.01800000000003</v>
      </c>
      <c r="E858">
        <v>76.977000000000004</v>
      </c>
      <c r="F858">
        <v>0</v>
      </c>
      <c r="G858" s="2043">
        <v>0</v>
      </c>
      <c r="H858">
        <v>0</v>
      </c>
      <c r="I858" s="2043">
        <v>0</v>
      </c>
      <c r="J858">
        <v>0</v>
      </c>
      <c r="K858">
        <v>0</v>
      </c>
      <c r="L858">
        <v>0</v>
      </c>
      <c r="M858">
        <v>0</v>
      </c>
      <c r="N858">
        <v>0</v>
      </c>
      <c r="O858">
        <v>0</v>
      </c>
      <c r="P858">
        <v>0</v>
      </c>
      <c r="Q858">
        <v>0</v>
      </c>
      <c r="R858" s="2043">
        <v>0</v>
      </c>
      <c r="S858">
        <v>0</v>
      </c>
      <c r="T858">
        <v>0</v>
      </c>
      <c r="U858">
        <v>0</v>
      </c>
      <c r="V858">
        <v>0</v>
      </c>
      <c r="W858">
        <v>0</v>
      </c>
      <c r="X858">
        <v>0</v>
      </c>
      <c r="Y858">
        <v>118192</v>
      </c>
      <c r="Z858">
        <v>0</v>
      </c>
      <c r="AA858">
        <v>0</v>
      </c>
      <c r="AB858">
        <v>382.19400000000002</v>
      </c>
      <c r="AC858" s="2043">
        <v>0</v>
      </c>
      <c r="AD858">
        <v>0</v>
      </c>
      <c r="AE858" s="2043">
        <v>0</v>
      </c>
      <c r="AF858">
        <v>0</v>
      </c>
      <c r="AG858">
        <v>0</v>
      </c>
      <c r="AH858">
        <v>0</v>
      </c>
      <c r="AI858">
        <v>0</v>
      </c>
      <c r="AJ858">
        <v>71.275000000000006</v>
      </c>
      <c r="AK858">
        <v>713</v>
      </c>
      <c r="AL858">
        <v>0</v>
      </c>
      <c r="AM858">
        <v>0</v>
      </c>
      <c r="AN858">
        <v>10.493</v>
      </c>
      <c r="AO858">
        <v>0</v>
      </c>
      <c r="AP858">
        <v>0</v>
      </c>
      <c r="AQ858">
        <v>0</v>
      </c>
      <c r="AR858">
        <v>5.9930000000000003</v>
      </c>
      <c r="AS858">
        <v>0</v>
      </c>
      <c r="AT858">
        <v>0</v>
      </c>
      <c r="AU858">
        <v>0.28900000000000003</v>
      </c>
      <c r="AV858">
        <v>0</v>
      </c>
      <c r="AW858">
        <v>6.282</v>
      </c>
      <c r="AX858">
        <v>0</v>
      </c>
      <c r="AY858">
        <v>19.423999999999999</v>
      </c>
      <c r="AZ858">
        <v>0</v>
      </c>
      <c r="BA858">
        <v>3409549</v>
      </c>
      <c r="BB858">
        <v>0</v>
      </c>
      <c r="BC858">
        <v>0</v>
      </c>
      <c r="BD858">
        <v>84598</v>
      </c>
      <c r="BE858">
        <v>0</v>
      </c>
      <c r="BF858">
        <v>84598</v>
      </c>
      <c r="BG858">
        <v>84598</v>
      </c>
      <c r="BH858">
        <v>0</v>
      </c>
      <c r="BI858">
        <v>0</v>
      </c>
      <c r="BJ858">
        <v>0</v>
      </c>
      <c r="BK858">
        <v>0</v>
      </c>
      <c r="BL858">
        <v>0</v>
      </c>
      <c r="BM858">
        <v>0</v>
      </c>
      <c r="BN858">
        <v>0</v>
      </c>
      <c r="BO858">
        <v>0</v>
      </c>
      <c r="BP858">
        <v>0</v>
      </c>
      <c r="BQ858">
        <v>0</v>
      </c>
      <c r="BR858">
        <v>0</v>
      </c>
      <c r="BS858">
        <v>0</v>
      </c>
      <c r="BT858">
        <v>0</v>
      </c>
      <c r="BU858">
        <v>0</v>
      </c>
      <c r="BV858">
        <v>15</v>
      </c>
      <c r="BW858">
        <v>15</v>
      </c>
      <c r="BX858">
        <v>35</v>
      </c>
      <c r="BY858">
        <v>63</v>
      </c>
      <c r="BZ858">
        <v>142</v>
      </c>
      <c r="CA858">
        <v>270</v>
      </c>
      <c r="CB858">
        <v>0</v>
      </c>
      <c r="CC858">
        <v>5.4359999999999999</v>
      </c>
      <c r="CD858">
        <v>1.5570000000000002</v>
      </c>
      <c r="CE858">
        <v>14</v>
      </c>
      <c r="CF858">
        <v>112.869</v>
      </c>
      <c r="CG858">
        <v>0</v>
      </c>
      <c r="CH858">
        <v>0</v>
      </c>
      <c r="CI858">
        <v>0</v>
      </c>
      <c r="CJ858">
        <v>0</v>
      </c>
      <c r="CK858">
        <v>0</v>
      </c>
      <c r="CL858">
        <v>0</v>
      </c>
      <c r="CM858">
        <v>76.977000000000004</v>
      </c>
      <c r="CN858">
        <v>0</v>
      </c>
      <c r="CO858">
        <v>0</v>
      </c>
      <c r="CP858">
        <v>0</v>
      </c>
      <c r="CQ858">
        <v>0</v>
      </c>
      <c r="CR858">
        <v>0</v>
      </c>
      <c r="CS858">
        <v>0</v>
      </c>
      <c r="CT858">
        <v>0</v>
      </c>
      <c r="CU858">
        <v>0</v>
      </c>
      <c r="CV858">
        <v>0</v>
      </c>
      <c r="CW858">
        <v>0</v>
      </c>
      <c r="CX858">
        <v>0</v>
      </c>
      <c r="CY858" s="2043">
        <v>66265</v>
      </c>
      <c r="CZ858" s="2043">
        <v>0</v>
      </c>
      <c r="DA858" s="2043">
        <v>0</v>
      </c>
      <c r="DB858" s="2043">
        <v>0</v>
      </c>
      <c r="DC858" s="2043">
        <v>0</v>
      </c>
      <c r="DI858" t="s">
        <v>8063</v>
      </c>
      <c r="DJ858" t="s">
        <v>8063</v>
      </c>
      <c r="DK858" s="2042">
        <f t="shared" si="15"/>
        <v>0</v>
      </c>
    </row>
    <row r="859" spans="1:115">
      <c r="A859" t="s">
        <v>5184</v>
      </c>
      <c r="B859" t="s">
        <v>1442</v>
      </c>
      <c r="C859">
        <v>8733.232</v>
      </c>
      <c r="D859">
        <v>8567.6820000000007</v>
      </c>
      <c r="E859">
        <v>141.10900000000001</v>
      </c>
      <c r="F859">
        <v>0</v>
      </c>
      <c r="G859" s="2043">
        <v>7279561506</v>
      </c>
      <c r="H859">
        <v>0</v>
      </c>
      <c r="I859" s="2043">
        <v>27380521</v>
      </c>
      <c r="J859">
        <v>436.66200000000003</v>
      </c>
      <c r="K859">
        <v>1194</v>
      </c>
      <c r="L859">
        <v>0</v>
      </c>
      <c r="M859">
        <v>0</v>
      </c>
      <c r="N859">
        <v>0</v>
      </c>
      <c r="O859">
        <v>0</v>
      </c>
      <c r="P859">
        <v>0</v>
      </c>
      <c r="Q859">
        <v>0</v>
      </c>
      <c r="R859" s="2043">
        <v>60479806</v>
      </c>
      <c r="S859">
        <v>3618512</v>
      </c>
      <c r="T859">
        <v>0</v>
      </c>
      <c r="U859">
        <v>0.05</v>
      </c>
      <c r="V859">
        <v>0</v>
      </c>
      <c r="W859">
        <v>0</v>
      </c>
      <c r="X859">
        <v>0</v>
      </c>
      <c r="Y859">
        <v>0</v>
      </c>
      <c r="Z859">
        <v>0</v>
      </c>
      <c r="AA859">
        <v>0.19400000000000001</v>
      </c>
      <c r="AB859">
        <v>8401.9950000000008</v>
      </c>
      <c r="AC859" s="2043">
        <v>6134545109</v>
      </c>
      <c r="AD859">
        <v>27010002</v>
      </c>
      <c r="AE859" s="2043">
        <v>64098318</v>
      </c>
      <c r="AF859">
        <v>0.88570000000000004</v>
      </c>
      <c r="AG859">
        <v>0</v>
      </c>
      <c r="AH859">
        <v>0</v>
      </c>
      <c r="AI859">
        <v>0</v>
      </c>
      <c r="AJ859">
        <v>669.46300000000008</v>
      </c>
      <c r="AK859">
        <v>23460</v>
      </c>
      <c r="AL859">
        <v>0.89</v>
      </c>
      <c r="AM859">
        <v>0</v>
      </c>
      <c r="AN859">
        <v>322.75200000000001</v>
      </c>
      <c r="AO859">
        <v>1</v>
      </c>
      <c r="AP859">
        <v>0.17300000000000001</v>
      </c>
      <c r="AQ859">
        <v>0</v>
      </c>
      <c r="AR859">
        <v>136.30799999999999</v>
      </c>
      <c r="AS859">
        <v>0</v>
      </c>
      <c r="AT859">
        <v>58.920999999999999</v>
      </c>
      <c r="AU859">
        <v>14.156000000000001</v>
      </c>
      <c r="AV859">
        <v>0</v>
      </c>
      <c r="AW859">
        <v>211.15200000000002</v>
      </c>
      <c r="AX859">
        <v>0.70400000000000007</v>
      </c>
      <c r="AY859">
        <v>663.00300000000004</v>
      </c>
      <c r="AZ859">
        <v>0</v>
      </c>
      <c r="BA859">
        <v>10177342</v>
      </c>
      <c r="BB859">
        <v>91108320</v>
      </c>
      <c r="BC859">
        <v>0</v>
      </c>
      <c r="BD859">
        <v>878924</v>
      </c>
      <c r="BE859">
        <v>247012</v>
      </c>
      <c r="BF859">
        <v>1136317</v>
      </c>
      <c r="BG859">
        <v>878924</v>
      </c>
      <c r="BH859">
        <v>10381</v>
      </c>
      <c r="BI859">
        <v>0</v>
      </c>
      <c r="BJ859">
        <v>0</v>
      </c>
      <c r="BK859">
        <v>0</v>
      </c>
      <c r="BL859">
        <v>7279561506</v>
      </c>
      <c r="BM859">
        <v>0</v>
      </c>
      <c r="BN859">
        <v>34992</v>
      </c>
      <c r="BO859">
        <v>24760</v>
      </c>
      <c r="BP859">
        <v>0</v>
      </c>
      <c r="BQ859">
        <v>0</v>
      </c>
      <c r="BR859">
        <v>0.8357</v>
      </c>
      <c r="BS859">
        <v>0.8357</v>
      </c>
      <c r="BT859">
        <v>0</v>
      </c>
      <c r="BU859">
        <v>0</v>
      </c>
      <c r="BV859">
        <v>2108</v>
      </c>
      <c r="BW859">
        <v>775</v>
      </c>
      <c r="BX859">
        <v>17</v>
      </c>
      <c r="BY859">
        <v>2</v>
      </c>
      <c r="BZ859">
        <v>23</v>
      </c>
      <c r="CA859">
        <v>2925</v>
      </c>
      <c r="CB859">
        <v>0</v>
      </c>
      <c r="CC859">
        <v>91.14800000000001</v>
      </c>
      <c r="CD859">
        <v>32.914000000000001</v>
      </c>
      <c r="CE859">
        <v>778</v>
      </c>
      <c r="CF859">
        <v>883.01200000000006</v>
      </c>
      <c r="CG859">
        <v>0</v>
      </c>
      <c r="CH859">
        <v>0</v>
      </c>
      <c r="CI859">
        <v>9</v>
      </c>
      <c r="CJ859">
        <v>149</v>
      </c>
      <c r="CK859">
        <v>1</v>
      </c>
      <c r="CL859">
        <v>0</v>
      </c>
      <c r="CM859">
        <v>141.10900000000001</v>
      </c>
      <c r="CN859">
        <v>0</v>
      </c>
      <c r="CO859">
        <v>0</v>
      </c>
      <c r="CP859">
        <v>0</v>
      </c>
      <c r="CQ859">
        <v>0</v>
      </c>
      <c r="CR859">
        <v>0</v>
      </c>
      <c r="CS859">
        <v>0</v>
      </c>
      <c r="CT859">
        <v>0</v>
      </c>
      <c r="CU859">
        <v>149.91200000000001</v>
      </c>
      <c r="CV859">
        <v>487.49800000000005</v>
      </c>
      <c r="CW859">
        <v>306.428</v>
      </c>
      <c r="CX859">
        <v>0</v>
      </c>
      <c r="CY859" s="2043">
        <v>0</v>
      </c>
      <c r="CZ859" s="2043">
        <v>0</v>
      </c>
      <c r="DA859" s="2043">
        <v>0</v>
      </c>
      <c r="DB859" s="2043">
        <v>0</v>
      </c>
      <c r="DC859" s="2043">
        <v>3860781</v>
      </c>
      <c r="DI859" t="s">
        <v>3145</v>
      </c>
      <c r="DJ859" t="s">
        <v>5184</v>
      </c>
      <c r="DK859" s="2042">
        <f t="shared" si="15"/>
        <v>-1</v>
      </c>
    </row>
    <row r="860" spans="1:115">
      <c r="A860" t="s">
        <v>3145</v>
      </c>
      <c r="B860" t="s">
        <v>2186</v>
      </c>
      <c r="C860">
        <v>63707.985000000001</v>
      </c>
      <c r="D860">
        <v>62851.190999999999</v>
      </c>
      <c r="E860">
        <v>6025.6730000000007</v>
      </c>
      <c r="F860">
        <v>0</v>
      </c>
      <c r="G860" s="2043">
        <v>42513716676</v>
      </c>
      <c r="H860">
        <v>0</v>
      </c>
      <c r="I860" s="2043">
        <v>107978947</v>
      </c>
      <c r="J860">
        <v>3185.3990000000003</v>
      </c>
      <c r="K860">
        <v>8708</v>
      </c>
      <c r="L860">
        <v>0</v>
      </c>
      <c r="M860">
        <v>0</v>
      </c>
      <c r="N860">
        <v>0</v>
      </c>
      <c r="O860">
        <v>0</v>
      </c>
      <c r="P860">
        <v>0</v>
      </c>
      <c r="Q860">
        <v>0</v>
      </c>
      <c r="R860" s="2043">
        <v>367730177</v>
      </c>
      <c r="S860">
        <v>21231534</v>
      </c>
      <c r="T860">
        <v>0</v>
      </c>
      <c r="U860">
        <v>0.05</v>
      </c>
      <c r="V860">
        <v>444.76300000000003</v>
      </c>
      <c r="W860">
        <v>0</v>
      </c>
      <c r="X860">
        <v>0</v>
      </c>
      <c r="Y860">
        <v>-16512</v>
      </c>
      <c r="Z860">
        <v>0</v>
      </c>
      <c r="AA860">
        <v>3.843</v>
      </c>
      <c r="AB860">
        <v>61416.565999999999</v>
      </c>
      <c r="AC860" s="2043">
        <v>37943409112</v>
      </c>
      <c r="AD860">
        <v>110403979</v>
      </c>
      <c r="AE860" s="2043">
        <v>388961711</v>
      </c>
      <c r="AF860">
        <v>0.91600000000000004</v>
      </c>
      <c r="AG860">
        <v>0</v>
      </c>
      <c r="AH860">
        <v>0</v>
      </c>
      <c r="AI860">
        <v>0</v>
      </c>
      <c r="AJ860">
        <v>6643.05</v>
      </c>
      <c r="AK860">
        <v>153708</v>
      </c>
      <c r="AL860">
        <v>3.4820000000000002</v>
      </c>
      <c r="AM860">
        <v>0.248</v>
      </c>
      <c r="AN860">
        <v>1499.0260000000001</v>
      </c>
      <c r="AO860">
        <v>5</v>
      </c>
      <c r="AP860">
        <v>3.9390000000000001</v>
      </c>
      <c r="AQ860">
        <v>9.4390000000000001</v>
      </c>
      <c r="AR860">
        <v>909.40500000000009</v>
      </c>
      <c r="AS860">
        <v>0</v>
      </c>
      <c r="AT860">
        <v>582.13</v>
      </c>
      <c r="AU860">
        <v>100.81200000000001</v>
      </c>
      <c r="AV860">
        <v>0</v>
      </c>
      <c r="AW860">
        <v>1613.5330000000001</v>
      </c>
      <c r="AX860">
        <v>4.0780000000000003</v>
      </c>
      <c r="AY860">
        <v>5016.8339999999998</v>
      </c>
      <c r="AZ860">
        <v>0</v>
      </c>
      <c r="BA860">
        <v>172812302</v>
      </c>
      <c r="BB860">
        <v>499365690</v>
      </c>
      <c r="BC860">
        <v>0</v>
      </c>
      <c r="BD860">
        <v>4465830</v>
      </c>
      <c r="BE860">
        <v>2184522</v>
      </c>
      <c r="BF860">
        <v>6764739</v>
      </c>
      <c r="BG860">
        <v>4465830</v>
      </c>
      <c r="BH860">
        <v>114387</v>
      </c>
      <c r="BI860">
        <v>-8256</v>
      </c>
      <c r="BJ860">
        <v>-8256</v>
      </c>
      <c r="BK860">
        <v>0</v>
      </c>
      <c r="BL860">
        <v>42513716676</v>
      </c>
      <c r="BM860">
        <v>0</v>
      </c>
      <c r="BN860">
        <v>231525</v>
      </c>
      <c r="BO860">
        <v>65933</v>
      </c>
      <c r="BP860">
        <v>7942</v>
      </c>
      <c r="BQ860">
        <v>0</v>
      </c>
      <c r="BR860">
        <v>0.86599999999999999</v>
      </c>
      <c r="BS860">
        <v>0.86599999999999999</v>
      </c>
      <c r="BT860">
        <v>0</v>
      </c>
      <c r="BU860">
        <v>0</v>
      </c>
      <c r="BV860">
        <v>8854</v>
      </c>
      <c r="BW860">
        <v>6538</v>
      </c>
      <c r="BX860">
        <v>5490</v>
      </c>
      <c r="BY860">
        <v>3168</v>
      </c>
      <c r="BZ860">
        <v>3251</v>
      </c>
      <c r="CA860">
        <v>27301</v>
      </c>
      <c r="CB860">
        <v>0</v>
      </c>
      <c r="CC860">
        <v>4557.9800000000005</v>
      </c>
      <c r="CD860">
        <v>142.43200000000002</v>
      </c>
      <c r="CE860">
        <v>4274</v>
      </c>
      <c r="CF860">
        <v>11839.428</v>
      </c>
      <c r="CG860">
        <v>158.08600000000001</v>
      </c>
      <c r="CH860">
        <v>16.348000000000003</v>
      </c>
      <c r="CI860">
        <v>103</v>
      </c>
      <c r="CJ860">
        <v>1079</v>
      </c>
      <c r="CK860">
        <v>9</v>
      </c>
      <c r="CL860">
        <v>174.434</v>
      </c>
      <c r="CM860">
        <v>6025.6730000000007</v>
      </c>
      <c r="CN860">
        <v>0</v>
      </c>
      <c r="CO860">
        <v>0</v>
      </c>
      <c r="CP860">
        <v>7942</v>
      </c>
      <c r="CQ860">
        <v>0</v>
      </c>
      <c r="CR860">
        <v>0</v>
      </c>
      <c r="CS860">
        <v>0</v>
      </c>
      <c r="CT860">
        <v>0</v>
      </c>
      <c r="CU860">
        <v>93.858000000000004</v>
      </c>
      <c r="CV860">
        <v>2097.7510000000002</v>
      </c>
      <c r="CW860">
        <v>1344.4360000000001</v>
      </c>
      <c r="CX860">
        <v>0</v>
      </c>
      <c r="CY860" s="2043">
        <v>0</v>
      </c>
      <c r="CZ860" s="2043">
        <v>0</v>
      </c>
      <c r="DA860" s="2043">
        <v>0</v>
      </c>
      <c r="DB860" s="2043">
        <v>0</v>
      </c>
      <c r="DC860" s="2043">
        <v>696294</v>
      </c>
      <c r="DI860" t="s">
        <v>5184</v>
      </c>
      <c r="DJ860" t="s">
        <v>3145</v>
      </c>
      <c r="DK860" s="2042">
        <f t="shared" si="15"/>
        <v>1</v>
      </c>
    </row>
    <row r="861" spans="1:115">
      <c r="A861" t="s">
        <v>3146</v>
      </c>
      <c r="B861" t="s">
        <v>1111</v>
      </c>
      <c r="C861">
        <v>7831.8290000000006</v>
      </c>
      <c r="D861">
        <v>7568.741</v>
      </c>
      <c r="E861">
        <v>701.48599999999999</v>
      </c>
      <c r="F861">
        <v>0</v>
      </c>
      <c r="G861" s="2043">
        <v>4934856313</v>
      </c>
      <c r="H861">
        <v>0</v>
      </c>
      <c r="I861" s="2043">
        <v>14138238</v>
      </c>
      <c r="J861">
        <v>391.59100000000001</v>
      </c>
      <c r="K861">
        <v>1071</v>
      </c>
      <c r="L861">
        <v>0</v>
      </c>
      <c r="M861">
        <v>2609982</v>
      </c>
      <c r="N861">
        <v>0</v>
      </c>
      <c r="O861">
        <v>2609982</v>
      </c>
      <c r="P861">
        <v>0</v>
      </c>
      <c r="Q861">
        <v>0</v>
      </c>
      <c r="R861" s="2043">
        <v>40285191</v>
      </c>
      <c r="S861">
        <v>2450437</v>
      </c>
      <c r="T861">
        <v>0</v>
      </c>
      <c r="U861">
        <v>0.05</v>
      </c>
      <c r="V861">
        <v>0</v>
      </c>
      <c r="W861">
        <v>0</v>
      </c>
      <c r="X861">
        <v>0</v>
      </c>
      <c r="Y861">
        <v>0</v>
      </c>
      <c r="Z861">
        <v>11.021000000000001</v>
      </c>
      <c r="AA861">
        <v>0.65700000000000003</v>
      </c>
      <c r="AB861">
        <v>7493.4360000000006</v>
      </c>
      <c r="AC861" s="2043">
        <v>3779732880</v>
      </c>
      <c r="AD861">
        <v>14679388</v>
      </c>
      <c r="AE861" s="2043">
        <v>42735628</v>
      </c>
      <c r="AF861">
        <v>0.872</v>
      </c>
      <c r="AG861">
        <v>0</v>
      </c>
      <c r="AH861">
        <v>0</v>
      </c>
      <c r="AI861">
        <v>0</v>
      </c>
      <c r="AJ861">
        <v>1156.2</v>
      </c>
      <c r="AK861">
        <v>20690</v>
      </c>
      <c r="AL861">
        <v>0.28700000000000003</v>
      </c>
      <c r="AM861">
        <v>0</v>
      </c>
      <c r="AN861">
        <v>341.38600000000002</v>
      </c>
      <c r="AO861">
        <v>0.78600000000000003</v>
      </c>
      <c r="AP861">
        <v>0</v>
      </c>
      <c r="AQ861">
        <v>1.524</v>
      </c>
      <c r="AR861">
        <v>76.673000000000002</v>
      </c>
      <c r="AS861">
        <v>0</v>
      </c>
      <c r="AT861">
        <v>72.494</v>
      </c>
      <c r="AU861">
        <v>12.921000000000001</v>
      </c>
      <c r="AV861">
        <v>0</v>
      </c>
      <c r="AW861">
        <v>163.899</v>
      </c>
      <c r="AX861">
        <v>0</v>
      </c>
      <c r="AY861">
        <v>513.54100000000005</v>
      </c>
      <c r="AZ861">
        <v>0</v>
      </c>
      <c r="BA861">
        <v>27635801</v>
      </c>
      <c r="BB861">
        <v>57415016</v>
      </c>
      <c r="BC861">
        <v>0</v>
      </c>
      <c r="BD861">
        <v>717332</v>
      </c>
      <c r="BE861">
        <v>195680</v>
      </c>
      <c r="BF861">
        <v>917978</v>
      </c>
      <c r="BG861">
        <v>717332</v>
      </c>
      <c r="BH861">
        <v>4966</v>
      </c>
      <c r="BI861">
        <v>0</v>
      </c>
      <c r="BJ861">
        <v>0</v>
      </c>
      <c r="BK861">
        <v>0</v>
      </c>
      <c r="BL861">
        <v>4934856313</v>
      </c>
      <c r="BM861">
        <v>0</v>
      </c>
      <c r="BN861">
        <v>29025</v>
      </c>
      <c r="BO861">
        <v>9288</v>
      </c>
      <c r="BP861">
        <v>0</v>
      </c>
      <c r="BQ861">
        <v>0</v>
      </c>
      <c r="BR861">
        <v>0.82200000000000006</v>
      </c>
      <c r="BS861">
        <v>0.82200000000000006</v>
      </c>
      <c r="BT861">
        <v>0</v>
      </c>
      <c r="BU861">
        <v>0</v>
      </c>
      <c r="BV861">
        <v>941</v>
      </c>
      <c r="BW861">
        <v>2045</v>
      </c>
      <c r="BX861">
        <v>1034</v>
      </c>
      <c r="BY861">
        <v>609</v>
      </c>
      <c r="BZ861">
        <v>147</v>
      </c>
      <c r="CA861">
        <v>4776</v>
      </c>
      <c r="CB861">
        <v>0</v>
      </c>
      <c r="CC861">
        <v>453.822</v>
      </c>
      <c r="CD861">
        <v>0</v>
      </c>
      <c r="CE861">
        <v>357</v>
      </c>
      <c r="CF861">
        <v>1824.4090000000001</v>
      </c>
      <c r="CG861">
        <v>0</v>
      </c>
      <c r="CH861">
        <v>2.843</v>
      </c>
      <c r="CI861">
        <v>12</v>
      </c>
      <c r="CJ861">
        <v>23</v>
      </c>
      <c r="CK861">
        <v>0</v>
      </c>
      <c r="CL861">
        <v>2.843</v>
      </c>
      <c r="CM861">
        <v>701.48599999999999</v>
      </c>
      <c r="CN861">
        <v>0</v>
      </c>
      <c r="CO861">
        <v>0</v>
      </c>
      <c r="CP861">
        <v>0</v>
      </c>
      <c r="CQ861">
        <v>0</v>
      </c>
      <c r="CR861">
        <v>0</v>
      </c>
      <c r="CS861">
        <v>0</v>
      </c>
      <c r="CT861">
        <v>0</v>
      </c>
      <c r="CU861">
        <v>68.051000000000002</v>
      </c>
      <c r="CV861">
        <v>413.08300000000003</v>
      </c>
      <c r="CW861">
        <v>224.108</v>
      </c>
      <c r="CX861">
        <v>0</v>
      </c>
      <c r="CY861" s="2043">
        <v>0</v>
      </c>
      <c r="CZ861" s="2043">
        <v>0</v>
      </c>
      <c r="DA861" s="2043">
        <v>0</v>
      </c>
      <c r="DB861" s="2043">
        <v>0</v>
      </c>
      <c r="DC861" s="2043">
        <v>0</v>
      </c>
      <c r="DI861" t="s">
        <v>3146</v>
      </c>
      <c r="DJ861" t="s">
        <v>3146</v>
      </c>
      <c r="DK861" s="2042">
        <f t="shared" si="15"/>
        <v>0</v>
      </c>
    </row>
    <row r="862" spans="1:115">
      <c r="A862" t="s">
        <v>3147</v>
      </c>
      <c r="B862" t="s">
        <v>329</v>
      </c>
      <c r="C862">
        <v>12748.085999999999</v>
      </c>
      <c r="D862">
        <v>12509.918</v>
      </c>
      <c r="E862">
        <v>1441.413</v>
      </c>
      <c r="F862">
        <v>0</v>
      </c>
      <c r="G862" s="2043">
        <v>8277952939</v>
      </c>
      <c r="H862">
        <v>0</v>
      </c>
      <c r="I862" s="2043">
        <v>14926834</v>
      </c>
      <c r="J862">
        <v>637.404</v>
      </c>
      <c r="K862">
        <v>1743</v>
      </c>
      <c r="L862">
        <v>0</v>
      </c>
      <c r="M862">
        <v>1704169</v>
      </c>
      <c r="N862">
        <v>0</v>
      </c>
      <c r="O862">
        <v>1704169</v>
      </c>
      <c r="P862">
        <v>0</v>
      </c>
      <c r="Q862">
        <v>0</v>
      </c>
      <c r="R862" s="2043">
        <v>68016250</v>
      </c>
      <c r="S862">
        <v>4108750</v>
      </c>
      <c r="T862">
        <v>0</v>
      </c>
      <c r="U862">
        <v>0.05</v>
      </c>
      <c r="V862">
        <v>0</v>
      </c>
      <c r="W862">
        <v>0</v>
      </c>
      <c r="X862">
        <v>0</v>
      </c>
      <c r="Y862">
        <v>-7963</v>
      </c>
      <c r="Z862">
        <v>0</v>
      </c>
      <c r="AA862">
        <v>0.13100000000000001</v>
      </c>
      <c r="AB862">
        <v>12250.021000000001</v>
      </c>
      <c r="AC862" s="2043">
        <v>6640470106</v>
      </c>
      <c r="AD862">
        <v>25425000</v>
      </c>
      <c r="AE862" s="2043">
        <v>72125000</v>
      </c>
      <c r="AF862">
        <v>0.87770000000000004</v>
      </c>
      <c r="AG862">
        <v>0</v>
      </c>
      <c r="AH862">
        <v>0</v>
      </c>
      <c r="AI862">
        <v>0</v>
      </c>
      <c r="AJ862">
        <v>1561.75</v>
      </c>
      <c r="AK862">
        <v>42982</v>
      </c>
      <c r="AL862">
        <v>0.56500000000000006</v>
      </c>
      <c r="AM862">
        <v>0</v>
      </c>
      <c r="AN862">
        <v>515.51700000000005</v>
      </c>
      <c r="AO862">
        <v>1</v>
      </c>
      <c r="AP862">
        <v>0.36799999999999999</v>
      </c>
      <c r="AQ862">
        <v>0</v>
      </c>
      <c r="AR862">
        <v>281.38300000000004</v>
      </c>
      <c r="AS862">
        <v>0</v>
      </c>
      <c r="AT862">
        <v>98.527000000000001</v>
      </c>
      <c r="AU862">
        <v>31.952000000000002</v>
      </c>
      <c r="AV862">
        <v>0</v>
      </c>
      <c r="AW862">
        <v>412.79500000000002</v>
      </c>
      <c r="AX862">
        <v>0</v>
      </c>
      <c r="AY862">
        <v>1303.309</v>
      </c>
      <c r="AZ862">
        <v>0</v>
      </c>
      <c r="BA862">
        <v>41736736</v>
      </c>
      <c r="BB862">
        <v>97550000</v>
      </c>
      <c r="BC862">
        <v>0</v>
      </c>
      <c r="BD862">
        <v>1042383</v>
      </c>
      <c r="BE862">
        <v>558377</v>
      </c>
      <c r="BF862">
        <v>1658784</v>
      </c>
      <c r="BG862">
        <v>1042383</v>
      </c>
      <c r="BH862">
        <v>58024</v>
      </c>
      <c r="BI862">
        <v>0</v>
      </c>
      <c r="BJ862">
        <v>-7963</v>
      </c>
      <c r="BK862">
        <v>0</v>
      </c>
      <c r="BL862">
        <v>8277952939</v>
      </c>
      <c r="BM862">
        <v>0</v>
      </c>
      <c r="BN862">
        <v>46989</v>
      </c>
      <c r="BO862">
        <v>17730</v>
      </c>
      <c r="BP862">
        <v>0</v>
      </c>
      <c r="BQ862">
        <v>0</v>
      </c>
      <c r="BR862">
        <v>0.82769999999999999</v>
      </c>
      <c r="BS862">
        <v>0.82769999999999999</v>
      </c>
      <c r="BT862">
        <v>0</v>
      </c>
      <c r="BU862">
        <v>0</v>
      </c>
      <c r="BV862">
        <v>3467</v>
      </c>
      <c r="BW862">
        <v>1758</v>
      </c>
      <c r="BX862">
        <v>907</v>
      </c>
      <c r="BY862">
        <v>514</v>
      </c>
      <c r="BZ862">
        <v>9</v>
      </c>
      <c r="CA862">
        <v>6655</v>
      </c>
      <c r="CB862">
        <v>0</v>
      </c>
      <c r="CC862">
        <v>633.90300000000002</v>
      </c>
      <c r="CD862">
        <v>0</v>
      </c>
      <c r="CE862">
        <v>1112</v>
      </c>
      <c r="CF862">
        <v>2440.1840000000002</v>
      </c>
      <c r="CG862">
        <v>47.986000000000004</v>
      </c>
      <c r="CH862">
        <v>0</v>
      </c>
      <c r="CI862">
        <v>18</v>
      </c>
      <c r="CJ862">
        <v>168</v>
      </c>
      <c r="CK862">
        <v>2</v>
      </c>
      <c r="CL862">
        <v>47.986000000000004</v>
      </c>
      <c r="CM862">
        <v>1441.413</v>
      </c>
      <c r="CN862">
        <v>0</v>
      </c>
      <c r="CO862">
        <v>0</v>
      </c>
      <c r="CP862">
        <v>0</v>
      </c>
      <c r="CQ862">
        <v>0</v>
      </c>
      <c r="CR862">
        <v>0</v>
      </c>
      <c r="CS862">
        <v>0</v>
      </c>
      <c r="CT862">
        <v>0</v>
      </c>
      <c r="CU862">
        <v>81.930999999999997</v>
      </c>
      <c r="CV862">
        <v>361.46500000000003</v>
      </c>
      <c r="CW862">
        <v>236.209</v>
      </c>
      <c r="CX862">
        <v>0</v>
      </c>
      <c r="CY862" s="2043">
        <v>0</v>
      </c>
      <c r="CZ862" s="2043">
        <v>0</v>
      </c>
      <c r="DA862" s="2043">
        <v>0</v>
      </c>
      <c r="DB862" s="2043">
        <v>0</v>
      </c>
      <c r="DC862" s="2043">
        <v>0</v>
      </c>
      <c r="DI862" t="s">
        <v>3147</v>
      </c>
      <c r="DJ862" t="s">
        <v>3147</v>
      </c>
      <c r="DK862" s="2042">
        <f t="shared" si="15"/>
        <v>0</v>
      </c>
    </row>
    <row r="863" spans="1:115">
      <c r="A863" t="s">
        <v>3149</v>
      </c>
      <c r="B863" t="s">
        <v>662</v>
      </c>
      <c r="C863">
        <v>15808.251</v>
      </c>
      <c r="D863">
        <v>15532.404</v>
      </c>
      <c r="E863">
        <v>2990.0830000000001</v>
      </c>
      <c r="F863">
        <v>0</v>
      </c>
      <c r="G863" s="2043">
        <v>5903702157</v>
      </c>
      <c r="H863">
        <v>0</v>
      </c>
      <c r="I863" s="2043">
        <v>27786688</v>
      </c>
      <c r="J863">
        <v>790.41300000000001</v>
      </c>
      <c r="K863">
        <v>2161</v>
      </c>
      <c r="L863">
        <v>0</v>
      </c>
      <c r="M863">
        <v>7193844</v>
      </c>
      <c r="N863">
        <v>0</v>
      </c>
      <c r="O863">
        <v>7193844</v>
      </c>
      <c r="P863">
        <v>0</v>
      </c>
      <c r="Q863">
        <v>0</v>
      </c>
      <c r="R863" s="2043">
        <v>48260746</v>
      </c>
      <c r="S863">
        <v>4696910</v>
      </c>
      <c r="T863">
        <v>3422872</v>
      </c>
      <c r="U863">
        <v>0.08</v>
      </c>
      <c r="V863">
        <v>908.83199999999999</v>
      </c>
      <c r="W863">
        <v>0</v>
      </c>
      <c r="X863">
        <v>0</v>
      </c>
      <c r="Y863">
        <v>-5841</v>
      </c>
      <c r="Z863">
        <v>0</v>
      </c>
      <c r="AA863">
        <v>1.071</v>
      </c>
      <c r="AB863">
        <v>14745.136</v>
      </c>
      <c r="AC863" s="2043">
        <v>4576547572</v>
      </c>
      <c r="AD863">
        <v>29324499</v>
      </c>
      <c r="AE863" s="2043">
        <v>56380528</v>
      </c>
      <c r="AF863">
        <v>0.96030000000000004</v>
      </c>
      <c r="AG863">
        <v>0</v>
      </c>
      <c r="AH863">
        <v>0</v>
      </c>
      <c r="AI863">
        <v>0</v>
      </c>
      <c r="AJ863">
        <v>2754.3130000000001</v>
      </c>
      <c r="AK863">
        <v>40670</v>
      </c>
      <c r="AL863">
        <v>1.591</v>
      </c>
      <c r="AM863">
        <v>0</v>
      </c>
      <c r="AN863">
        <v>818.46300000000008</v>
      </c>
      <c r="AO863">
        <v>1</v>
      </c>
      <c r="AP863">
        <v>0.254</v>
      </c>
      <c r="AQ863">
        <v>3.7350000000000003</v>
      </c>
      <c r="AR863">
        <v>130.79300000000001</v>
      </c>
      <c r="AS863">
        <v>0</v>
      </c>
      <c r="AT863">
        <v>93.378</v>
      </c>
      <c r="AU863">
        <v>28.421000000000003</v>
      </c>
      <c r="AV863">
        <v>0</v>
      </c>
      <c r="AW863">
        <v>264.54000000000002</v>
      </c>
      <c r="AX863">
        <v>6.3680000000000003</v>
      </c>
      <c r="AY863">
        <v>837.90500000000009</v>
      </c>
      <c r="AZ863">
        <v>0</v>
      </c>
      <c r="BA863">
        <v>110481188</v>
      </c>
      <c r="BB863">
        <v>85705027</v>
      </c>
      <c r="BC863">
        <v>0</v>
      </c>
      <c r="BD863">
        <v>954702</v>
      </c>
      <c r="BE863">
        <v>356224</v>
      </c>
      <c r="BF863">
        <v>1354752</v>
      </c>
      <c r="BG863">
        <v>954702</v>
      </c>
      <c r="BH863">
        <v>43826</v>
      </c>
      <c r="BI863">
        <v>-5841</v>
      </c>
      <c r="BJ863">
        <v>0</v>
      </c>
      <c r="BK863">
        <v>0</v>
      </c>
      <c r="BL863">
        <v>5903702157</v>
      </c>
      <c r="BM863">
        <v>0</v>
      </c>
      <c r="BN863">
        <v>56484</v>
      </c>
      <c r="BO863">
        <v>37600</v>
      </c>
      <c r="BP863">
        <v>3917</v>
      </c>
      <c r="BQ863">
        <v>0</v>
      </c>
      <c r="BR863">
        <v>0.82200000000000006</v>
      </c>
      <c r="BS863">
        <v>0.82200000000000006</v>
      </c>
      <c r="BT863">
        <v>0</v>
      </c>
      <c r="BU863">
        <v>0</v>
      </c>
      <c r="BV863">
        <v>3500</v>
      </c>
      <c r="BW863">
        <v>3493</v>
      </c>
      <c r="BX863">
        <v>3095</v>
      </c>
      <c r="BY863">
        <v>1194</v>
      </c>
      <c r="BZ863">
        <v>182</v>
      </c>
      <c r="CA863">
        <v>11464</v>
      </c>
      <c r="CB863">
        <v>0</v>
      </c>
      <c r="CC863">
        <v>2084.636</v>
      </c>
      <c r="CD863">
        <v>502.83700000000005</v>
      </c>
      <c r="CE863">
        <v>1572</v>
      </c>
      <c r="CF863">
        <v>4907.424</v>
      </c>
      <c r="CG863">
        <v>0</v>
      </c>
      <c r="CH863">
        <v>6.6430000000000007</v>
      </c>
      <c r="CI863">
        <v>31</v>
      </c>
      <c r="CJ863">
        <v>19</v>
      </c>
      <c r="CK863">
        <v>1</v>
      </c>
      <c r="CL863">
        <v>6.6430000000000007</v>
      </c>
      <c r="CM863">
        <v>2990.0830000000001</v>
      </c>
      <c r="CN863">
        <v>0</v>
      </c>
      <c r="CO863">
        <v>0</v>
      </c>
      <c r="CP863">
        <v>3917</v>
      </c>
      <c r="CQ863">
        <v>0</v>
      </c>
      <c r="CR863">
        <v>0</v>
      </c>
      <c r="CS863">
        <v>0</v>
      </c>
      <c r="CT863">
        <v>0</v>
      </c>
      <c r="CU863">
        <v>31.942</v>
      </c>
      <c r="CV863">
        <v>996.31600000000003</v>
      </c>
      <c r="CW863">
        <v>493.40200000000004</v>
      </c>
      <c r="CX863">
        <v>0</v>
      </c>
      <c r="CY863" s="2043">
        <v>0</v>
      </c>
      <c r="CZ863" s="2043">
        <v>0</v>
      </c>
      <c r="DA863" s="2043">
        <v>0</v>
      </c>
      <c r="DB863" s="2043">
        <v>0</v>
      </c>
      <c r="DC863" s="2043">
        <v>0</v>
      </c>
      <c r="DI863" t="s">
        <v>3148</v>
      </c>
      <c r="DJ863" t="s">
        <v>3149</v>
      </c>
      <c r="DK863" s="2042">
        <f t="shared" si="15"/>
        <v>-1</v>
      </c>
    </row>
    <row r="864" spans="1:115">
      <c r="A864" t="s">
        <v>3148</v>
      </c>
      <c r="B864" t="s">
        <v>1419</v>
      </c>
      <c r="C864">
        <v>4008.0790000000002</v>
      </c>
      <c r="D864">
        <v>3891.31</v>
      </c>
      <c r="E864">
        <v>654.93700000000001</v>
      </c>
      <c r="F864">
        <v>0</v>
      </c>
      <c r="G864" s="2043">
        <v>1097540274</v>
      </c>
      <c r="H864">
        <v>0</v>
      </c>
      <c r="I864" s="2043">
        <v>7136793</v>
      </c>
      <c r="J864">
        <v>200.404</v>
      </c>
      <c r="K864">
        <v>548</v>
      </c>
      <c r="L864">
        <v>487754</v>
      </c>
      <c r="M864">
        <v>1753556</v>
      </c>
      <c r="N864">
        <v>487754</v>
      </c>
      <c r="O864">
        <v>2241310</v>
      </c>
      <c r="P864">
        <v>0</v>
      </c>
      <c r="Q864">
        <v>0</v>
      </c>
      <c r="R864" s="2043">
        <v>8945017</v>
      </c>
      <c r="S864">
        <v>870561</v>
      </c>
      <c r="T864">
        <v>634422</v>
      </c>
      <c r="U864">
        <v>0.08</v>
      </c>
      <c r="V864">
        <v>99.969000000000008</v>
      </c>
      <c r="W864">
        <v>0</v>
      </c>
      <c r="X864">
        <v>0</v>
      </c>
      <c r="Y864">
        <v>0</v>
      </c>
      <c r="Z864">
        <v>0</v>
      </c>
      <c r="AA864">
        <v>0.182</v>
      </c>
      <c r="AB864">
        <v>3747.2380000000003</v>
      </c>
      <c r="AC864" s="2043">
        <v>804736436</v>
      </c>
      <c r="AD864">
        <v>4823973</v>
      </c>
      <c r="AE864" s="2043">
        <v>10450000</v>
      </c>
      <c r="AF864">
        <v>0.96030000000000004</v>
      </c>
      <c r="AG864">
        <v>0</v>
      </c>
      <c r="AH864">
        <v>0</v>
      </c>
      <c r="AI864">
        <v>0</v>
      </c>
      <c r="AJ864">
        <v>639.72500000000002</v>
      </c>
      <c r="AK864">
        <v>13036</v>
      </c>
      <c r="AL864">
        <v>0.12200000000000001</v>
      </c>
      <c r="AM864">
        <v>0</v>
      </c>
      <c r="AN864">
        <v>163.327</v>
      </c>
      <c r="AO864">
        <v>5</v>
      </c>
      <c r="AP864">
        <v>0</v>
      </c>
      <c r="AQ864">
        <v>0</v>
      </c>
      <c r="AR864">
        <v>71.334000000000003</v>
      </c>
      <c r="AS864">
        <v>0</v>
      </c>
      <c r="AT864">
        <v>31.849</v>
      </c>
      <c r="AU864">
        <v>9.6950000000000003</v>
      </c>
      <c r="AV864">
        <v>0</v>
      </c>
      <c r="AW864">
        <v>113</v>
      </c>
      <c r="AX864">
        <v>0</v>
      </c>
      <c r="AY864">
        <v>358.63400000000001</v>
      </c>
      <c r="AZ864">
        <v>0</v>
      </c>
      <c r="BA864">
        <v>33501288</v>
      </c>
      <c r="BB864">
        <v>15273973</v>
      </c>
      <c r="BC864">
        <v>0</v>
      </c>
      <c r="BD864">
        <v>359737</v>
      </c>
      <c r="BE864">
        <v>172185</v>
      </c>
      <c r="BF864">
        <v>558326</v>
      </c>
      <c r="BG864">
        <v>359737</v>
      </c>
      <c r="BH864">
        <v>26404</v>
      </c>
      <c r="BI864">
        <v>0</v>
      </c>
      <c r="BJ864">
        <v>0</v>
      </c>
      <c r="BK864">
        <v>0</v>
      </c>
      <c r="BL864">
        <v>1097540274</v>
      </c>
      <c r="BM864">
        <v>0</v>
      </c>
      <c r="BN864">
        <v>14256</v>
      </c>
      <c r="BO864">
        <v>6944</v>
      </c>
      <c r="BP864">
        <v>0</v>
      </c>
      <c r="BQ864">
        <v>86000</v>
      </c>
      <c r="BR864">
        <v>0.82200000000000006</v>
      </c>
      <c r="BS864">
        <v>0.82200000000000006</v>
      </c>
      <c r="BT864">
        <v>0</v>
      </c>
      <c r="BU864">
        <v>0</v>
      </c>
      <c r="BV864">
        <v>72</v>
      </c>
      <c r="BW864">
        <v>1698</v>
      </c>
      <c r="BX864">
        <v>835</v>
      </c>
      <c r="BY864">
        <v>26</v>
      </c>
      <c r="BZ864">
        <v>17</v>
      </c>
      <c r="CA864">
        <v>2648</v>
      </c>
      <c r="CB864">
        <v>0</v>
      </c>
      <c r="CC864">
        <v>212.99100000000001</v>
      </c>
      <c r="CD864">
        <v>89.174000000000007</v>
      </c>
      <c r="CE864">
        <v>300</v>
      </c>
      <c r="CF864">
        <v>1074.472</v>
      </c>
      <c r="CG864">
        <v>0</v>
      </c>
      <c r="CH864">
        <v>0</v>
      </c>
      <c r="CI864">
        <v>7</v>
      </c>
      <c r="CJ864">
        <v>7</v>
      </c>
      <c r="CK864">
        <v>0</v>
      </c>
      <c r="CL864">
        <v>0</v>
      </c>
      <c r="CM864">
        <v>654.93700000000001</v>
      </c>
      <c r="CN864">
        <v>0</v>
      </c>
      <c r="CO864">
        <v>0</v>
      </c>
      <c r="CP864">
        <v>0</v>
      </c>
      <c r="CQ864">
        <v>0</v>
      </c>
      <c r="CR864">
        <v>0</v>
      </c>
      <c r="CS864">
        <v>0</v>
      </c>
      <c r="CT864">
        <v>0</v>
      </c>
      <c r="CU864">
        <v>0.49100000000000005</v>
      </c>
      <c r="CV864">
        <v>235.88</v>
      </c>
      <c r="CW864">
        <v>146.46200000000002</v>
      </c>
      <c r="CX864">
        <v>0</v>
      </c>
      <c r="CY864" s="2043">
        <v>0</v>
      </c>
      <c r="CZ864" s="2043">
        <v>0</v>
      </c>
      <c r="DA864" s="2043">
        <v>0</v>
      </c>
      <c r="DB864" s="2043">
        <v>0</v>
      </c>
      <c r="DC864" s="2043">
        <v>0</v>
      </c>
      <c r="DI864" t="s">
        <v>3149</v>
      </c>
      <c r="DJ864" t="s">
        <v>3148</v>
      </c>
      <c r="DK864" s="2042">
        <f t="shared" si="15"/>
        <v>1</v>
      </c>
    </row>
    <row r="865" spans="1:115">
      <c r="A865" t="s">
        <v>5185</v>
      </c>
      <c r="B865" t="s">
        <v>1764</v>
      </c>
      <c r="C865">
        <v>3944.8010000000004</v>
      </c>
      <c r="D865">
        <v>3984.1680000000001</v>
      </c>
      <c r="E865">
        <v>1437.5650000000001</v>
      </c>
      <c r="F865">
        <v>0</v>
      </c>
      <c r="G865" s="2043">
        <v>1966162748</v>
      </c>
      <c r="H865">
        <v>0</v>
      </c>
      <c r="I865" s="2043">
        <v>5712206</v>
      </c>
      <c r="J865">
        <v>197.24</v>
      </c>
      <c r="K865">
        <v>539</v>
      </c>
      <c r="L865">
        <v>0</v>
      </c>
      <c r="M865">
        <v>0</v>
      </c>
      <c r="N865">
        <v>0</v>
      </c>
      <c r="O865">
        <v>0</v>
      </c>
      <c r="P865">
        <v>0</v>
      </c>
      <c r="Q865">
        <v>0</v>
      </c>
      <c r="R865" s="2043">
        <v>17612658</v>
      </c>
      <c r="S865">
        <v>970394</v>
      </c>
      <c r="T865">
        <v>0</v>
      </c>
      <c r="U865">
        <v>0.05</v>
      </c>
      <c r="V865">
        <v>0</v>
      </c>
      <c r="W865">
        <v>0</v>
      </c>
      <c r="X865">
        <v>0</v>
      </c>
      <c r="Y865">
        <v>0</v>
      </c>
      <c r="Z865">
        <v>0</v>
      </c>
      <c r="AA865">
        <v>0.96700000000000008</v>
      </c>
      <c r="AB865">
        <v>3775.7130000000002</v>
      </c>
      <c r="AC865" s="2043">
        <v>1986513346</v>
      </c>
      <c r="AD865">
        <v>8121155</v>
      </c>
      <c r="AE865" s="2043">
        <v>18583052</v>
      </c>
      <c r="AF865">
        <v>0.95750000000000002</v>
      </c>
      <c r="AG865">
        <v>0</v>
      </c>
      <c r="AH865">
        <v>0</v>
      </c>
      <c r="AI865">
        <v>0</v>
      </c>
      <c r="AJ865">
        <v>703.30000000000007</v>
      </c>
      <c r="AK865">
        <v>10462</v>
      </c>
      <c r="AL865">
        <v>0.13900000000000001</v>
      </c>
      <c r="AM865">
        <v>0</v>
      </c>
      <c r="AN865">
        <v>147.13</v>
      </c>
      <c r="AO865">
        <v>0</v>
      </c>
      <c r="AP865">
        <v>0</v>
      </c>
      <c r="AQ865">
        <v>0</v>
      </c>
      <c r="AR865">
        <v>53.396000000000001</v>
      </c>
      <c r="AS865">
        <v>0</v>
      </c>
      <c r="AT865">
        <v>23.518000000000001</v>
      </c>
      <c r="AU865">
        <v>8.4410000000000007</v>
      </c>
      <c r="AV865">
        <v>0</v>
      </c>
      <c r="AW865">
        <v>87.245000000000005</v>
      </c>
      <c r="AX865">
        <v>1.7510000000000001</v>
      </c>
      <c r="AY865">
        <v>277.66900000000004</v>
      </c>
      <c r="AZ865">
        <v>0</v>
      </c>
      <c r="BA865">
        <v>18447329</v>
      </c>
      <c r="BB865">
        <v>26704207</v>
      </c>
      <c r="BC865">
        <v>0</v>
      </c>
      <c r="BD865">
        <v>189764</v>
      </c>
      <c r="BE865">
        <v>88097</v>
      </c>
      <c r="BF865">
        <v>277861</v>
      </c>
      <c r="BG865">
        <v>189764</v>
      </c>
      <c r="BH865">
        <v>0</v>
      </c>
      <c r="BI865">
        <v>0</v>
      </c>
      <c r="BJ865">
        <v>0</v>
      </c>
      <c r="BK865">
        <v>0</v>
      </c>
      <c r="BL865">
        <v>1966162748</v>
      </c>
      <c r="BM865">
        <v>0</v>
      </c>
      <c r="BN865">
        <v>14103</v>
      </c>
      <c r="BO865">
        <v>4622</v>
      </c>
      <c r="BP865">
        <v>0</v>
      </c>
      <c r="BQ865">
        <v>0</v>
      </c>
      <c r="BR865">
        <v>0.90750000000000008</v>
      </c>
      <c r="BS865">
        <v>0.90750000000000008</v>
      </c>
      <c r="BT865">
        <v>0</v>
      </c>
      <c r="BU865">
        <v>0</v>
      </c>
      <c r="BV865">
        <v>334</v>
      </c>
      <c r="BW865">
        <v>669</v>
      </c>
      <c r="BX865">
        <v>473</v>
      </c>
      <c r="BY865">
        <v>1047</v>
      </c>
      <c r="BZ865">
        <v>277</v>
      </c>
      <c r="CA865">
        <v>2800</v>
      </c>
      <c r="CB865">
        <v>0</v>
      </c>
      <c r="CC865">
        <v>0</v>
      </c>
      <c r="CD865">
        <v>0</v>
      </c>
      <c r="CE865">
        <v>131</v>
      </c>
      <c r="CF865">
        <v>1522.3590000000002</v>
      </c>
      <c r="CG865">
        <v>38.096000000000004</v>
      </c>
      <c r="CH865">
        <v>0</v>
      </c>
      <c r="CI865">
        <v>5</v>
      </c>
      <c r="CJ865">
        <v>0</v>
      </c>
      <c r="CK865">
        <v>0</v>
      </c>
      <c r="CL865">
        <v>38.096000000000004</v>
      </c>
      <c r="CM865">
        <v>1437.5650000000001</v>
      </c>
      <c r="CN865">
        <v>0</v>
      </c>
      <c r="CO865">
        <v>0</v>
      </c>
      <c r="CP865">
        <v>0</v>
      </c>
      <c r="CQ865">
        <v>0</v>
      </c>
      <c r="CR865">
        <v>0</v>
      </c>
      <c r="CS865">
        <v>0</v>
      </c>
      <c r="CT865">
        <v>0</v>
      </c>
      <c r="CU865">
        <v>0</v>
      </c>
      <c r="CV865">
        <v>166.71200000000002</v>
      </c>
      <c r="CW865">
        <v>41.72</v>
      </c>
      <c r="CX865">
        <v>0</v>
      </c>
      <c r="CY865" s="2043">
        <v>0</v>
      </c>
      <c r="CZ865" s="2043">
        <v>0</v>
      </c>
      <c r="DA865" s="2043">
        <v>0</v>
      </c>
      <c r="DB865" s="2043">
        <v>0</v>
      </c>
      <c r="DC865" s="2043">
        <v>0</v>
      </c>
      <c r="DI865" t="s">
        <v>5185</v>
      </c>
      <c r="DJ865" t="s">
        <v>5185</v>
      </c>
      <c r="DK865" s="2042">
        <f t="shared" si="15"/>
        <v>0</v>
      </c>
    </row>
    <row r="866" spans="1:115">
      <c r="A866" t="s">
        <v>5186</v>
      </c>
      <c r="B866" t="s">
        <v>1765</v>
      </c>
      <c r="C866">
        <v>547.34100000000001</v>
      </c>
      <c r="D866">
        <v>524.91800000000001</v>
      </c>
      <c r="E866">
        <v>83.033000000000001</v>
      </c>
      <c r="F866">
        <v>0</v>
      </c>
      <c r="G866" s="2043">
        <v>276192248</v>
      </c>
      <c r="H866">
        <v>0</v>
      </c>
      <c r="I866" s="2043">
        <v>1078948</v>
      </c>
      <c r="J866">
        <v>21</v>
      </c>
      <c r="K866">
        <v>57</v>
      </c>
      <c r="L866">
        <v>0</v>
      </c>
      <c r="M866">
        <v>0</v>
      </c>
      <c r="N866">
        <v>0</v>
      </c>
      <c r="O866">
        <v>0</v>
      </c>
      <c r="P866">
        <v>0</v>
      </c>
      <c r="Q866">
        <v>0</v>
      </c>
      <c r="R866" s="2043">
        <v>2370542</v>
      </c>
      <c r="S866">
        <v>126461</v>
      </c>
      <c r="T866">
        <v>0</v>
      </c>
      <c r="U866">
        <v>0.05</v>
      </c>
      <c r="V866">
        <v>0</v>
      </c>
      <c r="W866">
        <v>0</v>
      </c>
      <c r="X866">
        <v>0</v>
      </c>
      <c r="Y866">
        <v>0</v>
      </c>
      <c r="Z866">
        <v>0</v>
      </c>
      <c r="AA866">
        <v>0</v>
      </c>
      <c r="AB866">
        <v>524.91800000000001</v>
      </c>
      <c r="AC866" s="2043">
        <v>282783565</v>
      </c>
      <c r="AD866">
        <v>1260253</v>
      </c>
      <c r="AE866" s="2043">
        <v>2497003</v>
      </c>
      <c r="AF866">
        <v>0.93</v>
      </c>
      <c r="AG866">
        <v>0</v>
      </c>
      <c r="AH866">
        <v>0</v>
      </c>
      <c r="AI866">
        <v>0</v>
      </c>
      <c r="AJ866">
        <v>64.150000000000006</v>
      </c>
      <c r="AK866">
        <v>2573</v>
      </c>
      <c r="AL866">
        <v>0</v>
      </c>
      <c r="AM866">
        <v>0</v>
      </c>
      <c r="AN866">
        <v>33.792999999999999</v>
      </c>
      <c r="AO866">
        <v>0</v>
      </c>
      <c r="AP866">
        <v>0</v>
      </c>
      <c r="AQ866">
        <v>0</v>
      </c>
      <c r="AR866">
        <v>8.8960000000000008</v>
      </c>
      <c r="AS866">
        <v>0</v>
      </c>
      <c r="AT866">
        <v>2.3260000000000001</v>
      </c>
      <c r="AU866">
        <v>1.06</v>
      </c>
      <c r="AV866">
        <v>0</v>
      </c>
      <c r="AW866">
        <v>12.282</v>
      </c>
      <c r="AX866">
        <v>0</v>
      </c>
      <c r="AY866">
        <v>38.966000000000001</v>
      </c>
      <c r="AZ866">
        <v>0</v>
      </c>
      <c r="BA866">
        <v>4252933</v>
      </c>
      <c r="BB866">
        <v>3757256</v>
      </c>
      <c r="BC866">
        <v>0</v>
      </c>
      <c r="BD866">
        <v>22779</v>
      </c>
      <c r="BE866">
        <v>0</v>
      </c>
      <c r="BF866">
        <v>23091</v>
      </c>
      <c r="BG866">
        <v>22779</v>
      </c>
      <c r="BH866">
        <v>312</v>
      </c>
      <c r="BI866">
        <v>0</v>
      </c>
      <c r="BJ866">
        <v>0</v>
      </c>
      <c r="BK866">
        <v>0</v>
      </c>
      <c r="BL866">
        <v>276192248</v>
      </c>
      <c r="BM866">
        <v>0</v>
      </c>
      <c r="BN866">
        <v>1728</v>
      </c>
      <c r="BO866">
        <v>1487</v>
      </c>
      <c r="BP866">
        <v>0</v>
      </c>
      <c r="BQ866">
        <v>0</v>
      </c>
      <c r="BR866">
        <v>0.88290000000000002</v>
      </c>
      <c r="BS866">
        <v>0.88290000000000002</v>
      </c>
      <c r="BT866">
        <v>0</v>
      </c>
      <c r="BU866">
        <v>0</v>
      </c>
      <c r="BV866">
        <v>22</v>
      </c>
      <c r="BW866">
        <v>98</v>
      </c>
      <c r="BX866">
        <v>131</v>
      </c>
      <c r="BY866">
        <v>10</v>
      </c>
      <c r="BZ866">
        <v>2</v>
      </c>
      <c r="CA866">
        <v>263</v>
      </c>
      <c r="CB866">
        <v>0</v>
      </c>
      <c r="CC866">
        <v>0</v>
      </c>
      <c r="CD866">
        <v>0</v>
      </c>
      <c r="CE866">
        <v>45</v>
      </c>
      <c r="CF866">
        <v>96.741</v>
      </c>
      <c r="CG866">
        <v>0</v>
      </c>
      <c r="CH866">
        <v>0</v>
      </c>
      <c r="CI866">
        <v>1</v>
      </c>
      <c r="CJ866">
        <v>5</v>
      </c>
      <c r="CK866">
        <v>0</v>
      </c>
      <c r="CL866">
        <v>0</v>
      </c>
      <c r="CM866">
        <v>83.033000000000001</v>
      </c>
      <c r="CN866">
        <v>0</v>
      </c>
      <c r="CO866">
        <v>0</v>
      </c>
      <c r="CP866">
        <v>0</v>
      </c>
      <c r="CQ866">
        <v>0</v>
      </c>
      <c r="CR866">
        <v>0</v>
      </c>
      <c r="CS866">
        <v>0</v>
      </c>
      <c r="CT866">
        <v>0</v>
      </c>
      <c r="CU866">
        <v>0</v>
      </c>
      <c r="CV866">
        <v>65.629000000000005</v>
      </c>
      <c r="CW866">
        <v>19.103000000000002</v>
      </c>
      <c r="CX866">
        <v>0</v>
      </c>
      <c r="CY866" s="2043">
        <v>0</v>
      </c>
      <c r="CZ866" s="2043">
        <v>0</v>
      </c>
      <c r="DA866" s="2043">
        <v>0</v>
      </c>
      <c r="DB866" s="2043">
        <v>0</v>
      </c>
      <c r="DC866" s="2043">
        <v>0</v>
      </c>
      <c r="DI866" t="s">
        <v>5186</v>
      </c>
      <c r="DJ866" t="s">
        <v>5186</v>
      </c>
      <c r="DK866" s="2042">
        <f t="shared" si="15"/>
        <v>0</v>
      </c>
    </row>
    <row r="867" spans="1:115">
      <c r="A867" t="s">
        <v>5188</v>
      </c>
      <c r="B867" t="s">
        <v>1767</v>
      </c>
      <c r="C867">
        <v>793.42900000000009</v>
      </c>
      <c r="D867">
        <v>771.85800000000006</v>
      </c>
      <c r="E867">
        <v>54.035000000000004</v>
      </c>
      <c r="F867">
        <v>0</v>
      </c>
      <c r="G867" s="2043">
        <v>326606859</v>
      </c>
      <c r="H867">
        <v>0</v>
      </c>
      <c r="I867" s="2043">
        <v>177700</v>
      </c>
      <c r="J867">
        <v>30</v>
      </c>
      <c r="K867">
        <v>82</v>
      </c>
      <c r="L867">
        <v>0</v>
      </c>
      <c r="M867">
        <v>0</v>
      </c>
      <c r="N867">
        <v>0</v>
      </c>
      <c r="O867">
        <v>0</v>
      </c>
      <c r="P867">
        <v>0</v>
      </c>
      <c r="Q867">
        <v>0</v>
      </c>
      <c r="R867" s="2043">
        <v>2873684</v>
      </c>
      <c r="S867">
        <v>160005</v>
      </c>
      <c r="T867">
        <v>0</v>
      </c>
      <c r="U867">
        <v>0.05</v>
      </c>
      <c r="V867">
        <v>0</v>
      </c>
      <c r="W867">
        <v>0</v>
      </c>
      <c r="X867">
        <v>0</v>
      </c>
      <c r="Y867">
        <v>0</v>
      </c>
      <c r="Z867">
        <v>0</v>
      </c>
      <c r="AA867">
        <v>0</v>
      </c>
      <c r="AB867">
        <v>771.85800000000006</v>
      </c>
      <c r="AC867" s="2043">
        <v>292002548</v>
      </c>
      <c r="AD867">
        <v>222466</v>
      </c>
      <c r="AE867" s="2043">
        <v>3033689</v>
      </c>
      <c r="AF867">
        <v>0.94800000000000006</v>
      </c>
      <c r="AG867">
        <v>0</v>
      </c>
      <c r="AH867">
        <v>0</v>
      </c>
      <c r="AI867">
        <v>0</v>
      </c>
      <c r="AJ867">
        <v>156.77500000000001</v>
      </c>
      <c r="AK867">
        <v>4832</v>
      </c>
      <c r="AL867">
        <v>0.14200000000000002</v>
      </c>
      <c r="AM867">
        <v>0</v>
      </c>
      <c r="AN867">
        <v>45.041000000000004</v>
      </c>
      <c r="AO867">
        <v>0</v>
      </c>
      <c r="AP867">
        <v>0</v>
      </c>
      <c r="AQ867">
        <v>0</v>
      </c>
      <c r="AR867">
        <v>21.361000000000001</v>
      </c>
      <c r="AS867">
        <v>0</v>
      </c>
      <c r="AT867">
        <v>8.0500000000000007</v>
      </c>
      <c r="AU867">
        <v>2.8960000000000004</v>
      </c>
      <c r="AV867">
        <v>0</v>
      </c>
      <c r="AW867">
        <v>32.448999999999998</v>
      </c>
      <c r="AX867">
        <v>0</v>
      </c>
      <c r="AY867">
        <v>103.423</v>
      </c>
      <c r="AZ867">
        <v>0</v>
      </c>
      <c r="BA867">
        <v>6990959</v>
      </c>
      <c r="BB867">
        <v>3256155</v>
      </c>
      <c r="BC867">
        <v>816</v>
      </c>
      <c r="BD867">
        <v>78381</v>
      </c>
      <c r="BE867">
        <v>21660</v>
      </c>
      <c r="BF867">
        <v>100857</v>
      </c>
      <c r="BG867">
        <v>79197</v>
      </c>
      <c r="BH867">
        <v>0</v>
      </c>
      <c r="BI867">
        <v>0</v>
      </c>
      <c r="BJ867">
        <v>0</v>
      </c>
      <c r="BK867">
        <v>0</v>
      </c>
      <c r="BL867">
        <v>326606859</v>
      </c>
      <c r="BM867">
        <v>0</v>
      </c>
      <c r="BN867">
        <v>2871</v>
      </c>
      <c r="BO867">
        <v>1712</v>
      </c>
      <c r="BP867">
        <v>0</v>
      </c>
      <c r="BQ867">
        <v>0</v>
      </c>
      <c r="BR867">
        <v>0.89800000000000002</v>
      </c>
      <c r="BS867">
        <v>0.89800000000000002</v>
      </c>
      <c r="BT867">
        <v>0</v>
      </c>
      <c r="BU867">
        <v>0</v>
      </c>
      <c r="BV867">
        <v>182</v>
      </c>
      <c r="BW867">
        <v>84</v>
      </c>
      <c r="BX867">
        <v>174</v>
      </c>
      <c r="BY867">
        <v>188</v>
      </c>
      <c r="BZ867">
        <v>11</v>
      </c>
      <c r="CA867">
        <v>639</v>
      </c>
      <c r="CB867">
        <v>0</v>
      </c>
      <c r="CC867">
        <v>0</v>
      </c>
      <c r="CD867">
        <v>0</v>
      </c>
      <c r="CE867">
        <v>76</v>
      </c>
      <c r="CF867">
        <v>184.08100000000002</v>
      </c>
      <c r="CG867">
        <v>0</v>
      </c>
      <c r="CH867">
        <v>0</v>
      </c>
      <c r="CI867">
        <v>5</v>
      </c>
      <c r="CJ867">
        <v>1</v>
      </c>
      <c r="CK867">
        <v>0</v>
      </c>
      <c r="CL867">
        <v>0</v>
      </c>
      <c r="CM867">
        <v>54.035000000000004</v>
      </c>
      <c r="CN867">
        <v>0</v>
      </c>
      <c r="CO867">
        <v>0</v>
      </c>
      <c r="CP867">
        <v>0</v>
      </c>
      <c r="CQ867">
        <v>0</v>
      </c>
      <c r="CR867">
        <v>0</v>
      </c>
      <c r="CS867">
        <v>0</v>
      </c>
      <c r="CT867">
        <v>0</v>
      </c>
      <c r="CU867">
        <v>4.4480000000000004</v>
      </c>
      <c r="CV867">
        <v>54.045000000000002</v>
      </c>
      <c r="CW867">
        <v>38.629000000000005</v>
      </c>
      <c r="CX867">
        <v>0</v>
      </c>
      <c r="CY867" s="2043">
        <v>0</v>
      </c>
      <c r="CZ867" s="2043">
        <v>0</v>
      </c>
      <c r="DA867" s="2043">
        <v>0</v>
      </c>
      <c r="DB867" s="2043">
        <v>0</v>
      </c>
      <c r="DC867" s="2043">
        <v>0</v>
      </c>
      <c r="DI867" t="s">
        <v>5187</v>
      </c>
      <c r="DJ867" t="s">
        <v>5188</v>
      </c>
      <c r="DK867" s="2042">
        <f t="shared" si="15"/>
        <v>-3</v>
      </c>
    </row>
    <row r="868" spans="1:115">
      <c r="A868" t="s">
        <v>5187</v>
      </c>
      <c r="B868" t="s">
        <v>1766</v>
      </c>
      <c r="C868">
        <v>907.69600000000003</v>
      </c>
      <c r="D868">
        <v>948.37900000000002</v>
      </c>
      <c r="E868">
        <v>98.673000000000002</v>
      </c>
      <c r="F868">
        <v>0</v>
      </c>
      <c r="G868" s="2043">
        <v>690758928</v>
      </c>
      <c r="H868">
        <v>0</v>
      </c>
      <c r="I868" s="2043">
        <v>839131</v>
      </c>
      <c r="J868">
        <v>45.385000000000005</v>
      </c>
      <c r="K868">
        <v>124</v>
      </c>
      <c r="L868">
        <v>0</v>
      </c>
      <c r="M868">
        <v>0</v>
      </c>
      <c r="N868">
        <v>0</v>
      </c>
      <c r="O868">
        <v>0</v>
      </c>
      <c r="P868">
        <v>0</v>
      </c>
      <c r="Q868">
        <v>0</v>
      </c>
      <c r="R868" s="2043">
        <v>6217437</v>
      </c>
      <c r="S868">
        <v>340346</v>
      </c>
      <c r="T868">
        <v>0</v>
      </c>
      <c r="U868">
        <v>0.05</v>
      </c>
      <c r="V868">
        <v>0</v>
      </c>
      <c r="W868">
        <v>0</v>
      </c>
      <c r="X868">
        <v>0</v>
      </c>
      <c r="Y868">
        <v>0</v>
      </c>
      <c r="Z868">
        <v>0</v>
      </c>
      <c r="AA868">
        <v>0.35100000000000003</v>
      </c>
      <c r="AB868">
        <v>947.06100000000004</v>
      </c>
      <c r="AC868" s="2043">
        <v>745034806</v>
      </c>
      <c r="AD868">
        <v>910056</v>
      </c>
      <c r="AE868" s="2043">
        <v>6557783</v>
      </c>
      <c r="AF868">
        <v>0.96340000000000003</v>
      </c>
      <c r="AG868">
        <v>0</v>
      </c>
      <c r="AH868">
        <v>0</v>
      </c>
      <c r="AI868">
        <v>0</v>
      </c>
      <c r="AJ868">
        <v>217.75</v>
      </c>
      <c r="AK868">
        <v>6446</v>
      </c>
      <c r="AL868">
        <v>1.6E-2</v>
      </c>
      <c r="AM868">
        <v>0</v>
      </c>
      <c r="AN868">
        <v>21.246000000000002</v>
      </c>
      <c r="AO868">
        <v>0</v>
      </c>
      <c r="AP868">
        <v>0</v>
      </c>
      <c r="AQ868">
        <v>0</v>
      </c>
      <c r="AR868">
        <v>41.024999999999999</v>
      </c>
      <c r="AS868">
        <v>0</v>
      </c>
      <c r="AT868">
        <v>16.208000000000002</v>
      </c>
      <c r="AU868">
        <v>3.548</v>
      </c>
      <c r="AV868">
        <v>0</v>
      </c>
      <c r="AW868">
        <v>60.797000000000004</v>
      </c>
      <c r="AX868">
        <v>0</v>
      </c>
      <c r="AY868">
        <v>189.51900000000001</v>
      </c>
      <c r="AZ868">
        <v>0</v>
      </c>
      <c r="BA868">
        <v>4897253</v>
      </c>
      <c r="BB868">
        <v>7467839</v>
      </c>
      <c r="BC868">
        <v>0</v>
      </c>
      <c r="BD868">
        <v>113778</v>
      </c>
      <c r="BE868">
        <v>21177</v>
      </c>
      <c r="BF868">
        <v>137939</v>
      </c>
      <c r="BG868">
        <v>113778</v>
      </c>
      <c r="BH868">
        <v>2984</v>
      </c>
      <c r="BI868">
        <v>0</v>
      </c>
      <c r="BJ868">
        <v>0</v>
      </c>
      <c r="BK868">
        <v>0</v>
      </c>
      <c r="BL868">
        <v>690758928</v>
      </c>
      <c r="BM868">
        <v>0</v>
      </c>
      <c r="BN868">
        <v>3348</v>
      </c>
      <c r="BO868">
        <v>2910</v>
      </c>
      <c r="BP868">
        <v>0</v>
      </c>
      <c r="BQ868">
        <v>0</v>
      </c>
      <c r="BR868">
        <v>0.91339999999999999</v>
      </c>
      <c r="BS868">
        <v>0.91339999999999999</v>
      </c>
      <c r="BT868">
        <v>0</v>
      </c>
      <c r="BU868">
        <v>0</v>
      </c>
      <c r="BV868">
        <v>117</v>
      </c>
      <c r="BW868">
        <v>160</v>
      </c>
      <c r="BX868">
        <v>89</v>
      </c>
      <c r="BY868">
        <v>374</v>
      </c>
      <c r="BZ868">
        <v>120</v>
      </c>
      <c r="CA868">
        <v>860</v>
      </c>
      <c r="CB868">
        <v>0</v>
      </c>
      <c r="CC868">
        <v>0</v>
      </c>
      <c r="CD868">
        <v>0</v>
      </c>
      <c r="CE868">
        <v>90</v>
      </c>
      <c r="CF868">
        <v>254.26100000000002</v>
      </c>
      <c r="CG868">
        <v>0</v>
      </c>
      <c r="CH868">
        <v>0</v>
      </c>
      <c r="CI868">
        <v>0</v>
      </c>
      <c r="CJ868">
        <v>3</v>
      </c>
      <c r="CK868">
        <v>0</v>
      </c>
      <c r="CL868">
        <v>0</v>
      </c>
      <c r="CM868">
        <v>98.673000000000002</v>
      </c>
      <c r="CN868">
        <v>0</v>
      </c>
      <c r="CO868">
        <v>0</v>
      </c>
      <c r="CP868">
        <v>0</v>
      </c>
      <c r="CQ868">
        <v>0</v>
      </c>
      <c r="CR868">
        <v>0</v>
      </c>
      <c r="CS868">
        <v>0</v>
      </c>
      <c r="CT868">
        <v>0</v>
      </c>
      <c r="CU868">
        <v>4.8100000000000005</v>
      </c>
      <c r="CV868">
        <v>39.978999999999999</v>
      </c>
      <c r="CW868">
        <v>28.103000000000002</v>
      </c>
      <c r="CX868">
        <v>0</v>
      </c>
      <c r="CY868" s="2043">
        <v>0</v>
      </c>
      <c r="CZ868" s="2043">
        <v>0</v>
      </c>
      <c r="DA868" s="2043">
        <v>0</v>
      </c>
      <c r="DB868" s="2043">
        <v>0</v>
      </c>
      <c r="DC868" s="2043">
        <v>0</v>
      </c>
      <c r="DI868" t="s">
        <v>5188</v>
      </c>
      <c r="DJ868" t="s">
        <v>5187</v>
      </c>
      <c r="DK868" s="2042">
        <f t="shared" si="15"/>
        <v>3</v>
      </c>
    </row>
    <row r="869" spans="1:115">
      <c r="A869" t="s">
        <v>5858</v>
      </c>
      <c r="B869" t="s">
        <v>2227</v>
      </c>
      <c r="C869">
        <v>143.70500000000001</v>
      </c>
      <c r="D869">
        <v>147.40800000000002</v>
      </c>
      <c r="E869">
        <v>0</v>
      </c>
      <c r="F869">
        <v>0</v>
      </c>
      <c r="G869" s="2043">
        <v>117922979</v>
      </c>
      <c r="H869">
        <v>0</v>
      </c>
      <c r="I869" s="2043">
        <v>0</v>
      </c>
      <c r="J869">
        <v>7.1850000000000005</v>
      </c>
      <c r="K869">
        <v>20</v>
      </c>
      <c r="L869">
        <v>0</v>
      </c>
      <c r="M869">
        <v>0</v>
      </c>
      <c r="N869">
        <v>0</v>
      </c>
      <c r="O869">
        <v>0</v>
      </c>
      <c r="P869">
        <v>0</v>
      </c>
      <c r="Q869">
        <v>0</v>
      </c>
      <c r="R869" s="2043">
        <v>1083071</v>
      </c>
      <c r="S869">
        <v>94861</v>
      </c>
      <c r="T869">
        <v>62845</v>
      </c>
      <c r="U869">
        <v>0.08</v>
      </c>
      <c r="V869">
        <v>0</v>
      </c>
      <c r="W869">
        <v>0</v>
      </c>
      <c r="X869">
        <v>0</v>
      </c>
      <c r="Y869">
        <v>0</v>
      </c>
      <c r="Z869">
        <v>0</v>
      </c>
      <c r="AA869">
        <v>0</v>
      </c>
      <c r="AB869">
        <v>147.40800000000002</v>
      </c>
      <c r="AC869" s="2043">
        <v>119470699</v>
      </c>
      <c r="AD869">
        <v>0</v>
      </c>
      <c r="AE869" s="2043">
        <v>1240777</v>
      </c>
      <c r="AF869">
        <v>1.0464</v>
      </c>
      <c r="AG869">
        <v>0</v>
      </c>
      <c r="AH869">
        <v>0</v>
      </c>
      <c r="AI869">
        <v>0</v>
      </c>
      <c r="AJ869">
        <v>28.75</v>
      </c>
      <c r="AK869">
        <v>715</v>
      </c>
      <c r="AL869">
        <v>0</v>
      </c>
      <c r="AM869">
        <v>0</v>
      </c>
      <c r="AN869">
        <v>7.7090000000000005</v>
      </c>
      <c r="AO869">
        <v>0</v>
      </c>
      <c r="AP869">
        <v>0</v>
      </c>
      <c r="AQ869">
        <v>0</v>
      </c>
      <c r="AR869">
        <v>2.4770000000000003</v>
      </c>
      <c r="AS869">
        <v>0</v>
      </c>
      <c r="AT869">
        <v>0.45700000000000002</v>
      </c>
      <c r="AU869">
        <v>0.20200000000000001</v>
      </c>
      <c r="AV869">
        <v>0</v>
      </c>
      <c r="AW869">
        <v>3.1360000000000001</v>
      </c>
      <c r="AX869">
        <v>0</v>
      </c>
      <c r="AY869">
        <v>9.8120000000000012</v>
      </c>
      <c r="AZ869">
        <v>0</v>
      </c>
      <c r="BA869">
        <v>1179392</v>
      </c>
      <c r="BB869">
        <v>1240777</v>
      </c>
      <c r="BC869">
        <v>0</v>
      </c>
      <c r="BD869">
        <v>54887</v>
      </c>
      <c r="BE869">
        <v>0</v>
      </c>
      <c r="BF869">
        <v>54887</v>
      </c>
      <c r="BG869">
        <v>54887</v>
      </c>
      <c r="BH869">
        <v>0</v>
      </c>
      <c r="BI869">
        <v>0</v>
      </c>
      <c r="BJ869">
        <v>0</v>
      </c>
      <c r="BK869">
        <v>0</v>
      </c>
      <c r="BL869">
        <v>117922979</v>
      </c>
      <c r="BM869">
        <v>0</v>
      </c>
      <c r="BN869">
        <v>567</v>
      </c>
      <c r="BO869">
        <v>460</v>
      </c>
      <c r="BP869">
        <v>0</v>
      </c>
      <c r="BQ869">
        <v>0</v>
      </c>
      <c r="BR869">
        <v>0.91339999999999999</v>
      </c>
      <c r="BS869">
        <v>0.91339999999999999</v>
      </c>
      <c r="BT869">
        <v>0</v>
      </c>
      <c r="BU869">
        <v>0</v>
      </c>
      <c r="BV869">
        <v>0</v>
      </c>
      <c r="BW869">
        <v>0</v>
      </c>
      <c r="BX869">
        <v>115</v>
      </c>
      <c r="BY869">
        <v>0</v>
      </c>
      <c r="BZ869">
        <v>0</v>
      </c>
      <c r="CA869">
        <v>115</v>
      </c>
      <c r="CB869">
        <v>0</v>
      </c>
      <c r="CC869">
        <v>0</v>
      </c>
      <c r="CD869">
        <v>0</v>
      </c>
      <c r="CE869">
        <v>13</v>
      </c>
      <c r="CF869">
        <v>20.521000000000001</v>
      </c>
      <c r="CG869">
        <v>0</v>
      </c>
      <c r="CH869">
        <v>0</v>
      </c>
      <c r="CI869">
        <v>3</v>
      </c>
      <c r="CJ869">
        <v>1</v>
      </c>
      <c r="CK869">
        <v>0</v>
      </c>
      <c r="CL869">
        <v>0</v>
      </c>
      <c r="CM869">
        <v>0</v>
      </c>
      <c r="CN869">
        <v>0</v>
      </c>
      <c r="CO869">
        <v>0</v>
      </c>
      <c r="CP869">
        <v>0</v>
      </c>
      <c r="CQ869">
        <v>0</v>
      </c>
      <c r="CR869">
        <v>0</v>
      </c>
      <c r="CS869">
        <v>0</v>
      </c>
      <c r="CT869">
        <v>0</v>
      </c>
      <c r="CU869">
        <v>2.6520000000000001</v>
      </c>
      <c r="CV869">
        <v>11.700000000000001</v>
      </c>
      <c r="CW869">
        <v>3.84</v>
      </c>
      <c r="CX869">
        <v>0</v>
      </c>
      <c r="CY869" s="2043">
        <v>0</v>
      </c>
      <c r="CZ869" s="2043">
        <v>0</v>
      </c>
      <c r="DA869" s="2043">
        <v>0</v>
      </c>
      <c r="DB869" s="2043">
        <v>0</v>
      </c>
      <c r="DC869" s="2043">
        <v>0</v>
      </c>
      <c r="DI869" t="s">
        <v>5858</v>
      </c>
      <c r="DJ869" t="s">
        <v>5858</v>
      </c>
      <c r="DK869" s="2042">
        <f t="shared" si="15"/>
        <v>0</v>
      </c>
    </row>
    <row r="870" spans="1:115">
      <c r="A870" t="s">
        <v>8064</v>
      </c>
      <c r="B870" t="s">
        <v>11387</v>
      </c>
      <c r="C870">
        <v>249.99200000000002</v>
      </c>
      <c r="D870">
        <v>250.74200000000002</v>
      </c>
      <c r="E870">
        <v>5.7480000000000002</v>
      </c>
      <c r="F870">
        <v>0</v>
      </c>
      <c r="G870" s="2043">
        <v>0</v>
      </c>
      <c r="H870">
        <v>0</v>
      </c>
      <c r="I870" s="2043">
        <v>0</v>
      </c>
      <c r="J870">
        <v>0</v>
      </c>
      <c r="K870">
        <v>0</v>
      </c>
      <c r="L870">
        <v>0</v>
      </c>
      <c r="M870">
        <v>0</v>
      </c>
      <c r="N870">
        <v>0</v>
      </c>
      <c r="O870">
        <v>0</v>
      </c>
      <c r="P870">
        <v>0</v>
      </c>
      <c r="Q870">
        <v>0</v>
      </c>
      <c r="R870" s="2043">
        <v>0</v>
      </c>
      <c r="S870">
        <v>0</v>
      </c>
      <c r="T870">
        <v>0</v>
      </c>
      <c r="U870">
        <v>0</v>
      </c>
      <c r="V870">
        <v>0</v>
      </c>
      <c r="W870">
        <v>0</v>
      </c>
      <c r="X870">
        <v>0</v>
      </c>
      <c r="Y870">
        <v>44194</v>
      </c>
      <c r="Z870">
        <v>0</v>
      </c>
      <c r="AA870">
        <v>0</v>
      </c>
      <c r="AB870">
        <v>250.74200000000002</v>
      </c>
      <c r="AC870" s="2043">
        <v>0</v>
      </c>
      <c r="AD870">
        <v>0</v>
      </c>
      <c r="AE870" s="2043">
        <v>0</v>
      </c>
      <c r="AF870">
        <v>0</v>
      </c>
      <c r="AG870">
        <v>0</v>
      </c>
      <c r="AH870">
        <v>0</v>
      </c>
      <c r="AI870">
        <v>0</v>
      </c>
      <c r="AJ870">
        <v>6</v>
      </c>
      <c r="AK870">
        <v>410</v>
      </c>
      <c r="AL870">
        <v>0</v>
      </c>
      <c r="AM870">
        <v>0</v>
      </c>
      <c r="AN870">
        <v>5.1059999999999999</v>
      </c>
      <c r="AO870">
        <v>0</v>
      </c>
      <c r="AP870">
        <v>0</v>
      </c>
      <c r="AQ870">
        <v>0</v>
      </c>
      <c r="AR870">
        <v>3.1350000000000002</v>
      </c>
      <c r="AS870">
        <v>0</v>
      </c>
      <c r="AT870">
        <v>0</v>
      </c>
      <c r="AU870">
        <v>0.56500000000000006</v>
      </c>
      <c r="AV870">
        <v>0</v>
      </c>
      <c r="AW870">
        <v>3.7</v>
      </c>
      <c r="AX870">
        <v>0</v>
      </c>
      <c r="AY870">
        <v>12.23</v>
      </c>
      <c r="AZ870">
        <v>0</v>
      </c>
      <c r="BA870">
        <v>2248125</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3</v>
      </c>
      <c r="BW870">
        <v>6</v>
      </c>
      <c r="BX870">
        <v>7</v>
      </c>
      <c r="BY870">
        <v>4</v>
      </c>
      <c r="BZ870">
        <v>4</v>
      </c>
      <c r="CA870">
        <v>24</v>
      </c>
      <c r="CB870">
        <v>0</v>
      </c>
      <c r="CC870">
        <v>0</v>
      </c>
      <c r="CD870">
        <v>0</v>
      </c>
      <c r="CE870">
        <v>9</v>
      </c>
      <c r="CF870">
        <v>21.354000000000003</v>
      </c>
      <c r="CG870">
        <v>0</v>
      </c>
      <c r="CH870">
        <v>0</v>
      </c>
      <c r="CI870">
        <v>0</v>
      </c>
      <c r="CJ870">
        <v>0</v>
      </c>
      <c r="CK870">
        <v>0</v>
      </c>
      <c r="CL870">
        <v>0</v>
      </c>
      <c r="CM870">
        <v>5.7480000000000002</v>
      </c>
      <c r="CN870">
        <v>0</v>
      </c>
      <c r="CO870">
        <v>0</v>
      </c>
      <c r="CP870">
        <v>0</v>
      </c>
      <c r="CQ870">
        <v>0</v>
      </c>
      <c r="CR870">
        <v>0</v>
      </c>
      <c r="CS870">
        <v>0</v>
      </c>
      <c r="CT870">
        <v>0</v>
      </c>
      <c r="CU870">
        <v>0</v>
      </c>
      <c r="CV870">
        <v>0</v>
      </c>
      <c r="CW870">
        <v>0</v>
      </c>
      <c r="CX870">
        <v>0</v>
      </c>
      <c r="CY870" s="2043">
        <v>0</v>
      </c>
      <c r="CZ870" s="2043">
        <v>0</v>
      </c>
      <c r="DA870" s="2043">
        <v>0</v>
      </c>
      <c r="DB870" s="2043">
        <v>0</v>
      </c>
      <c r="DC870" s="2043">
        <v>0</v>
      </c>
      <c r="DI870" t="s">
        <v>8064</v>
      </c>
      <c r="DJ870" t="s">
        <v>8064</v>
      </c>
      <c r="DK870" s="2042">
        <f t="shared" si="15"/>
        <v>0</v>
      </c>
    </row>
    <row r="871" spans="1:115">
      <c r="A871" t="s">
        <v>3150</v>
      </c>
      <c r="B871" t="s">
        <v>663</v>
      </c>
      <c r="C871">
        <v>381.46899999999999</v>
      </c>
      <c r="D871">
        <v>363.30900000000003</v>
      </c>
      <c r="E871">
        <v>30.952000000000002</v>
      </c>
      <c r="F871">
        <v>0</v>
      </c>
      <c r="G871" s="2043">
        <v>247777486</v>
      </c>
      <c r="H871">
        <v>0</v>
      </c>
      <c r="I871" s="2043">
        <v>72057</v>
      </c>
      <c r="J871">
        <v>19.073</v>
      </c>
      <c r="K871">
        <v>52</v>
      </c>
      <c r="L871">
        <v>0</v>
      </c>
      <c r="M871">
        <v>72057</v>
      </c>
      <c r="N871">
        <v>0</v>
      </c>
      <c r="O871">
        <v>72057</v>
      </c>
      <c r="P871">
        <v>0</v>
      </c>
      <c r="Q871">
        <v>0</v>
      </c>
      <c r="R871" s="2043">
        <v>2162710</v>
      </c>
      <c r="S871">
        <v>199719</v>
      </c>
      <c r="T871">
        <v>33952</v>
      </c>
      <c r="U871">
        <v>0.08</v>
      </c>
      <c r="V871">
        <v>0</v>
      </c>
      <c r="W871">
        <v>0</v>
      </c>
      <c r="X871">
        <v>0</v>
      </c>
      <c r="Y871">
        <v>0</v>
      </c>
      <c r="Z871">
        <v>2.8820000000000001</v>
      </c>
      <c r="AA871">
        <v>0</v>
      </c>
      <c r="AB871">
        <v>363.30900000000003</v>
      </c>
      <c r="AC871" s="2043">
        <v>176259604</v>
      </c>
      <c r="AD871">
        <v>0</v>
      </c>
      <c r="AE871" s="2043">
        <v>2396381</v>
      </c>
      <c r="AF871">
        <v>0.95990000000000009</v>
      </c>
      <c r="AG871">
        <v>0</v>
      </c>
      <c r="AH871">
        <v>0</v>
      </c>
      <c r="AI871">
        <v>0</v>
      </c>
      <c r="AJ871">
        <v>60.738</v>
      </c>
      <c r="AK871">
        <v>2669</v>
      </c>
      <c r="AL871">
        <v>0</v>
      </c>
      <c r="AM871">
        <v>0</v>
      </c>
      <c r="AN871">
        <v>19.09</v>
      </c>
      <c r="AO871">
        <v>0</v>
      </c>
      <c r="AP871">
        <v>0</v>
      </c>
      <c r="AQ871">
        <v>0</v>
      </c>
      <c r="AR871">
        <v>11.722000000000001</v>
      </c>
      <c r="AS871">
        <v>0</v>
      </c>
      <c r="AT871">
        <v>5.2210000000000001</v>
      </c>
      <c r="AU871">
        <v>1.042</v>
      </c>
      <c r="AV871">
        <v>0</v>
      </c>
      <c r="AW871">
        <v>17.984999999999999</v>
      </c>
      <c r="AX871">
        <v>0</v>
      </c>
      <c r="AY871">
        <v>56.039000000000001</v>
      </c>
      <c r="AZ871">
        <v>0</v>
      </c>
      <c r="BA871">
        <v>3033147</v>
      </c>
      <c r="BB871">
        <v>2396381</v>
      </c>
      <c r="BC871">
        <v>0</v>
      </c>
      <c r="BD871">
        <v>33096</v>
      </c>
      <c r="BE871">
        <v>13427</v>
      </c>
      <c r="BF871">
        <v>46523</v>
      </c>
      <c r="BG871">
        <v>33096</v>
      </c>
      <c r="BH871">
        <v>0</v>
      </c>
      <c r="BI871">
        <v>0</v>
      </c>
      <c r="BJ871">
        <v>0</v>
      </c>
      <c r="BK871">
        <v>0</v>
      </c>
      <c r="BL871">
        <v>247777486</v>
      </c>
      <c r="BM871">
        <v>0</v>
      </c>
      <c r="BN871">
        <v>1467</v>
      </c>
      <c r="BO871">
        <v>952</v>
      </c>
      <c r="BP871">
        <v>0</v>
      </c>
      <c r="BQ871">
        <v>0</v>
      </c>
      <c r="BR871">
        <v>0.86630000000000007</v>
      </c>
      <c r="BS871">
        <v>0.86630000000000007</v>
      </c>
      <c r="BT871">
        <v>0</v>
      </c>
      <c r="BU871">
        <v>0</v>
      </c>
      <c r="BV871">
        <v>87</v>
      </c>
      <c r="BW871">
        <v>169</v>
      </c>
      <c r="BX871">
        <v>2</v>
      </c>
      <c r="BY871">
        <v>2</v>
      </c>
      <c r="BZ871">
        <v>0</v>
      </c>
      <c r="CA871">
        <v>260</v>
      </c>
      <c r="CB871">
        <v>0</v>
      </c>
      <c r="CC871">
        <v>0</v>
      </c>
      <c r="CD871">
        <v>0</v>
      </c>
      <c r="CE871">
        <v>13</v>
      </c>
      <c r="CF871">
        <v>87.341000000000008</v>
      </c>
      <c r="CG871">
        <v>0</v>
      </c>
      <c r="CH871">
        <v>0</v>
      </c>
      <c r="CI871">
        <v>1</v>
      </c>
      <c r="CJ871">
        <v>1</v>
      </c>
      <c r="CK871">
        <v>0</v>
      </c>
      <c r="CL871">
        <v>0</v>
      </c>
      <c r="CM871">
        <v>30.952000000000002</v>
      </c>
      <c r="CN871">
        <v>0</v>
      </c>
      <c r="CO871">
        <v>0</v>
      </c>
      <c r="CP871">
        <v>0</v>
      </c>
      <c r="CQ871">
        <v>0</v>
      </c>
      <c r="CR871">
        <v>0</v>
      </c>
      <c r="CS871">
        <v>0</v>
      </c>
      <c r="CT871">
        <v>0</v>
      </c>
      <c r="CU871">
        <v>4.0220000000000002</v>
      </c>
      <c r="CV871">
        <v>25.504000000000001</v>
      </c>
      <c r="CW871">
        <v>11.814</v>
      </c>
      <c r="CX871">
        <v>0</v>
      </c>
      <c r="CY871" s="2043">
        <v>0</v>
      </c>
      <c r="CZ871" s="2043">
        <v>0</v>
      </c>
      <c r="DA871" s="2043">
        <v>0</v>
      </c>
      <c r="DB871" s="2043">
        <v>0</v>
      </c>
      <c r="DC871" s="2043">
        <v>0</v>
      </c>
      <c r="DI871" t="s">
        <v>3150</v>
      </c>
      <c r="DJ871" t="s">
        <v>3150</v>
      </c>
      <c r="DK871" s="2042">
        <f t="shared" si="15"/>
        <v>0</v>
      </c>
    </row>
    <row r="872" spans="1:115">
      <c r="A872" t="s">
        <v>5189</v>
      </c>
      <c r="B872" t="s">
        <v>491</v>
      </c>
      <c r="C872">
        <v>512.88099999999997</v>
      </c>
      <c r="D872">
        <v>528.56500000000005</v>
      </c>
      <c r="E872">
        <v>26.397000000000002</v>
      </c>
      <c r="F872">
        <v>0</v>
      </c>
      <c r="G872" s="2043">
        <v>187535626</v>
      </c>
      <c r="H872">
        <v>0</v>
      </c>
      <c r="I872" s="2043">
        <v>962217</v>
      </c>
      <c r="J872">
        <v>25.644000000000002</v>
      </c>
      <c r="K872">
        <v>70</v>
      </c>
      <c r="L872">
        <v>0</v>
      </c>
      <c r="M872">
        <v>0</v>
      </c>
      <c r="N872">
        <v>0</v>
      </c>
      <c r="O872">
        <v>0</v>
      </c>
      <c r="P872">
        <v>0</v>
      </c>
      <c r="Q872">
        <v>0</v>
      </c>
      <c r="R872" s="2043">
        <v>1562616</v>
      </c>
      <c r="S872">
        <v>85538</v>
      </c>
      <c r="T872">
        <v>0</v>
      </c>
      <c r="U872">
        <v>0.05</v>
      </c>
      <c r="V872">
        <v>0</v>
      </c>
      <c r="W872">
        <v>0</v>
      </c>
      <c r="X872">
        <v>0</v>
      </c>
      <c r="Y872">
        <v>0</v>
      </c>
      <c r="Z872">
        <v>0.95300000000000007</v>
      </c>
      <c r="AA872">
        <v>0.55400000000000005</v>
      </c>
      <c r="AB872">
        <v>528.56500000000005</v>
      </c>
      <c r="AC872" s="2043">
        <v>232700293</v>
      </c>
      <c r="AD872">
        <v>461645</v>
      </c>
      <c r="AE872" s="2043">
        <v>1648154</v>
      </c>
      <c r="AF872">
        <v>0.96340000000000003</v>
      </c>
      <c r="AG872">
        <v>0</v>
      </c>
      <c r="AH872">
        <v>0</v>
      </c>
      <c r="AI872">
        <v>0</v>
      </c>
      <c r="AJ872">
        <v>81.438000000000002</v>
      </c>
      <c r="AK872">
        <v>3314</v>
      </c>
      <c r="AL872">
        <v>0.36699999999999999</v>
      </c>
      <c r="AM872">
        <v>0</v>
      </c>
      <c r="AN872">
        <v>2.0140000000000002</v>
      </c>
      <c r="AO872">
        <v>0</v>
      </c>
      <c r="AP872">
        <v>0</v>
      </c>
      <c r="AQ872">
        <v>0</v>
      </c>
      <c r="AR872">
        <v>21.149000000000001</v>
      </c>
      <c r="AS872">
        <v>0</v>
      </c>
      <c r="AT872">
        <v>6.43</v>
      </c>
      <c r="AU872">
        <v>1.5650000000000002</v>
      </c>
      <c r="AV872">
        <v>0</v>
      </c>
      <c r="AW872">
        <v>31.667000000000002</v>
      </c>
      <c r="AX872">
        <v>2.1560000000000001</v>
      </c>
      <c r="AY872">
        <v>97.356000000000009</v>
      </c>
      <c r="AZ872">
        <v>0</v>
      </c>
      <c r="BA872">
        <v>4828237</v>
      </c>
      <c r="BB872">
        <v>2109799</v>
      </c>
      <c r="BC872">
        <v>0</v>
      </c>
      <c r="BD872">
        <v>46740</v>
      </c>
      <c r="BE872">
        <v>20563</v>
      </c>
      <c r="BF872">
        <v>67303</v>
      </c>
      <c r="BG872">
        <v>46740</v>
      </c>
      <c r="BH872">
        <v>0</v>
      </c>
      <c r="BI872">
        <v>0</v>
      </c>
      <c r="BJ872">
        <v>0</v>
      </c>
      <c r="BK872">
        <v>0</v>
      </c>
      <c r="BL872">
        <v>187535626</v>
      </c>
      <c r="BM872">
        <v>0</v>
      </c>
      <c r="BN872">
        <v>1845</v>
      </c>
      <c r="BO872">
        <v>1605</v>
      </c>
      <c r="BP872">
        <v>0</v>
      </c>
      <c r="BQ872">
        <v>0</v>
      </c>
      <c r="BR872">
        <v>0.91339999999999999</v>
      </c>
      <c r="BS872">
        <v>0.91339999999999999</v>
      </c>
      <c r="BT872">
        <v>0</v>
      </c>
      <c r="BU872">
        <v>0</v>
      </c>
      <c r="BV872">
        <v>71</v>
      </c>
      <c r="BW872">
        <v>136</v>
      </c>
      <c r="BX872">
        <v>125</v>
      </c>
      <c r="BY872">
        <v>1</v>
      </c>
      <c r="BZ872">
        <v>6</v>
      </c>
      <c r="CA872">
        <v>339</v>
      </c>
      <c r="CB872">
        <v>0</v>
      </c>
      <c r="CC872">
        <v>0</v>
      </c>
      <c r="CD872">
        <v>0</v>
      </c>
      <c r="CE872">
        <v>45</v>
      </c>
      <c r="CF872">
        <v>110.747</v>
      </c>
      <c r="CG872">
        <v>0</v>
      </c>
      <c r="CH872">
        <v>0</v>
      </c>
      <c r="CI872">
        <v>3</v>
      </c>
      <c r="CJ872">
        <v>1</v>
      </c>
      <c r="CK872">
        <v>0</v>
      </c>
      <c r="CL872">
        <v>0</v>
      </c>
      <c r="CM872">
        <v>26.397000000000002</v>
      </c>
      <c r="CN872">
        <v>0</v>
      </c>
      <c r="CO872">
        <v>0</v>
      </c>
      <c r="CP872">
        <v>0</v>
      </c>
      <c r="CQ872">
        <v>0</v>
      </c>
      <c r="CR872">
        <v>0</v>
      </c>
      <c r="CS872">
        <v>0</v>
      </c>
      <c r="CT872">
        <v>0</v>
      </c>
      <c r="CU872">
        <v>0</v>
      </c>
      <c r="CV872">
        <v>33.594999999999999</v>
      </c>
      <c r="CW872">
        <v>18.236000000000001</v>
      </c>
      <c r="CX872">
        <v>0</v>
      </c>
      <c r="CY872" s="2043">
        <v>0</v>
      </c>
      <c r="CZ872" s="2043">
        <v>0</v>
      </c>
      <c r="DA872" s="2043">
        <v>0</v>
      </c>
      <c r="DB872" s="2043">
        <v>0</v>
      </c>
      <c r="DC872" s="2043">
        <v>45198</v>
      </c>
      <c r="DI872" t="s">
        <v>5189</v>
      </c>
      <c r="DJ872" t="s">
        <v>5189</v>
      </c>
      <c r="DK872" s="2042">
        <f t="shared" si="15"/>
        <v>0</v>
      </c>
    </row>
    <row r="873" spans="1:115">
      <c r="A873" t="s">
        <v>3151</v>
      </c>
      <c r="B873" t="s">
        <v>664</v>
      </c>
      <c r="C873">
        <v>679.24</v>
      </c>
      <c r="D873">
        <v>654.94299999999998</v>
      </c>
      <c r="E873">
        <v>18.085000000000001</v>
      </c>
      <c r="F873">
        <v>0</v>
      </c>
      <c r="G873" s="2043">
        <v>157641956</v>
      </c>
      <c r="H873">
        <v>0</v>
      </c>
      <c r="I873" s="2043">
        <v>148044</v>
      </c>
      <c r="J873">
        <v>33.962000000000003</v>
      </c>
      <c r="K873">
        <v>93</v>
      </c>
      <c r="L873">
        <v>49876</v>
      </c>
      <c r="M873">
        <v>98168</v>
      </c>
      <c r="N873">
        <v>49876</v>
      </c>
      <c r="O873">
        <v>148044</v>
      </c>
      <c r="P873">
        <v>0</v>
      </c>
      <c r="Q873">
        <v>0</v>
      </c>
      <c r="R873" s="2043">
        <v>1310641</v>
      </c>
      <c r="S873">
        <v>114792</v>
      </c>
      <c r="T873">
        <v>66867</v>
      </c>
      <c r="U873">
        <v>0.08</v>
      </c>
      <c r="V873">
        <v>0</v>
      </c>
      <c r="W873">
        <v>0</v>
      </c>
      <c r="X873">
        <v>0</v>
      </c>
      <c r="Y873">
        <v>-3138</v>
      </c>
      <c r="Z873">
        <v>6.4860000000000007</v>
      </c>
      <c r="AA873">
        <v>0</v>
      </c>
      <c r="AB873">
        <v>636.84300000000007</v>
      </c>
      <c r="AC873" s="2043">
        <v>155650712</v>
      </c>
      <c r="AD873">
        <v>459970</v>
      </c>
      <c r="AE873" s="2043">
        <v>1492300</v>
      </c>
      <c r="AF873">
        <v>1.04</v>
      </c>
      <c r="AG873">
        <v>0</v>
      </c>
      <c r="AH873">
        <v>0</v>
      </c>
      <c r="AI873">
        <v>0</v>
      </c>
      <c r="AJ873">
        <v>115.97500000000001</v>
      </c>
      <c r="AK873">
        <v>3180</v>
      </c>
      <c r="AL873">
        <v>0</v>
      </c>
      <c r="AM873">
        <v>0</v>
      </c>
      <c r="AN873">
        <v>11.81</v>
      </c>
      <c r="AO873">
        <v>0</v>
      </c>
      <c r="AP873">
        <v>6.8980000000000006</v>
      </c>
      <c r="AQ873">
        <v>0</v>
      </c>
      <c r="AR873">
        <v>19.702999999999999</v>
      </c>
      <c r="AS873">
        <v>0</v>
      </c>
      <c r="AT873">
        <v>0</v>
      </c>
      <c r="AU873">
        <v>1.661</v>
      </c>
      <c r="AV873">
        <v>0</v>
      </c>
      <c r="AW873">
        <v>28.427</v>
      </c>
      <c r="AX873">
        <v>0.16500000000000001</v>
      </c>
      <c r="AY873">
        <v>86.418000000000006</v>
      </c>
      <c r="AZ873">
        <v>0</v>
      </c>
      <c r="BA873">
        <v>7250801</v>
      </c>
      <c r="BB873">
        <v>1952270</v>
      </c>
      <c r="BC873">
        <v>0</v>
      </c>
      <c r="BD873">
        <v>64908</v>
      </c>
      <c r="BE873">
        <v>24419</v>
      </c>
      <c r="BF873">
        <v>90774</v>
      </c>
      <c r="BG873">
        <v>64908</v>
      </c>
      <c r="BH873">
        <v>1447</v>
      </c>
      <c r="BI873">
        <v>-3138</v>
      </c>
      <c r="BJ873">
        <v>0</v>
      </c>
      <c r="BK873">
        <v>0</v>
      </c>
      <c r="BL873">
        <v>157641956</v>
      </c>
      <c r="BM873">
        <v>0</v>
      </c>
      <c r="BN873">
        <v>2691</v>
      </c>
      <c r="BO873">
        <v>1412</v>
      </c>
      <c r="BP873">
        <v>0</v>
      </c>
      <c r="BQ873">
        <v>0</v>
      </c>
      <c r="BR873">
        <v>0.91339999999999999</v>
      </c>
      <c r="BS873">
        <v>0.91339999999999999</v>
      </c>
      <c r="BT873">
        <v>0</v>
      </c>
      <c r="BU873">
        <v>0</v>
      </c>
      <c r="BV873">
        <v>15</v>
      </c>
      <c r="BW873">
        <v>285</v>
      </c>
      <c r="BX873">
        <v>20</v>
      </c>
      <c r="BY873">
        <v>151</v>
      </c>
      <c r="BZ873">
        <v>1</v>
      </c>
      <c r="CA873">
        <v>472</v>
      </c>
      <c r="CB873">
        <v>0</v>
      </c>
      <c r="CC873">
        <v>0</v>
      </c>
      <c r="CD873">
        <v>0</v>
      </c>
      <c r="CE873">
        <v>50</v>
      </c>
      <c r="CF873">
        <v>130.523</v>
      </c>
      <c r="CG873">
        <v>0</v>
      </c>
      <c r="CH873">
        <v>0</v>
      </c>
      <c r="CI873">
        <v>1</v>
      </c>
      <c r="CJ873">
        <v>10</v>
      </c>
      <c r="CK873">
        <v>0</v>
      </c>
      <c r="CL873">
        <v>0</v>
      </c>
      <c r="CM873">
        <v>18.085000000000001</v>
      </c>
      <c r="CN873">
        <v>0</v>
      </c>
      <c r="CO873">
        <v>0</v>
      </c>
      <c r="CP873">
        <v>0</v>
      </c>
      <c r="CQ873">
        <v>0</v>
      </c>
      <c r="CR873">
        <v>0</v>
      </c>
      <c r="CS873">
        <v>0</v>
      </c>
      <c r="CT873">
        <v>0</v>
      </c>
      <c r="CU873">
        <v>0</v>
      </c>
      <c r="CV873">
        <v>29.533000000000001</v>
      </c>
      <c r="CW873">
        <v>31.766000000000002</v>
      </c>
      <c r="CX873">
        <v>0</v>
      </c>
      <c r="CY873" s="2043">
        <v>0</v>
      </c>
      <c r="CZ873" s="2043">
        <v>0</v>
      </c>
      <c r="DA873" s="2043">
        <v>0</v>
      </c>
      <c r="DB873" s="2043">
        <v>0</v>
      </c>
      <c r="DC873" s="2043">
        <v>0</v>
      </c>
      <c r="DI873" t="s">
        <v>3151</v>
      </c>
      <c r="DJ873" t="s">
        <v>3151</v>
      </c>
      <c r="DK873" s="2042">
        <f t="shared" si="15"/>
        <v>0</v>
      </c>
    </row>
    <row r="874" spans="1:115">
      <c r="A874" t="s">
        <v>5190</v>
      </c>
      <c r="B874" t="s">
        <v>492</v>
      </c>
      <c r="C874">
        <v>5377.049</v>
      </c>
      <c r="D874">
        <v>5647.5380000000005</v>
      </c>
      <c r="E874">
        <v>1187.787</v>
      </c>
      <c r="F874">
        <v>0</v>
      </c>
      <c r="G874" s="2043">
        <v>2431621080</v>
      </c>
      <c r="H874">
        <v>0</v>
      </c>
      <c r="I874" s="2043">
        <v>6883550</v>
      </c>
      <c r="J874">
        <v>268.85200000000003</v>
      </c>
      <c r="K874">
        <v>735</v>
      </c>
      <c r="L874">
        <v>0</v>
      </c>
      <c r="M874">
        <v>0</v>
      </c>
      <c r="N874">
        <v>0</v>
      </c>
      <c r="O874">
        <v>0</v>
      </c>
      <c r="P874">
        <v>0</v>
      </c>
      <c r="Q874">
        <v>0</v>
      </c>
      <c r="R874" s="2043">
        <v>19832012</v>
      </c>
      <c r="S874">
        <v>1796785</v>
      </c>
      <c r="T874">
        <v>1309407</v>
      </c>
      <c r="U874">
        <v>0.08</v>
      </c>
      <c r="V874">
        <v>0</v>
      </c>
      <c r="W874">
        <v>0</v>
      </c>
      <c r="X874">
        <v>0</v>
      </c>
      <c r="Y874">
        <v>-5511</v>
      </c>
      <c r="Z874">
        <v>0</v>
      </c>
      <c r="AA874">
        <v>0.64100000000000001</v>
      </c>
      <c r="AB874">
        <v>5240.6500000000005</v>
      </c>
      <c r="AC874" s="2043">
        <v>2215732172</v>
      </c>
      <c r="AD874">
        <v>5683073</v>
      </c>
      <c r="AE874" s="2043">
        <v>22938204</v>
      </c>
      <c r="AF874">
        <v>1.0213000000000001</v>
      </c>
      <c r="AG874">
        <v>0</v>
      </c>
      <c r="AH874">
        <v>0</v>
      </c>
      <c r="AI874">
        <v>0</v>
      </c>
      <c r="AJ874">
        <v>1260.25</v>
      </c>
      <c r="AK874">
        <v>19388</v>
      </c>
      <c r="AL874">
        <v>0.20300000000000001</v>
      </c>
      <c r="AM874">
        <v>0</v>
      </c>
      <c r="AN874">
        <v>102.51300000000001</v>
      </c>
      <c r="AO874">
        <v>0</v>
      </c>
      <c r="AP874">
        <v>0</v>
      </c>
      <c r="AQ874">
        <v>0</v>
      </c>
      <c r="AR874">
        <v>151.886</v>
      </c>
      <c r="AS874">
        <v>0</v>
      </c>
      <c r="AT874">
        <v>72.722999999999999</v>
      </c>
      <c r="AU874">
        <v>11.370000000000001</v>
      </c>
      <c r="AV874">
        <v>0</v>
      </c>
      <c r="AW874">
        <v>236.18200000000002</v>
      </c>
      <c r="AX874">
        <v>0</v>
      </c>
      <c r="AY874">
        <v>731.69200000000001</v>
      </c>
      <c r="AZ874">
        <v>0</v>
      </c>
      <c r="BA874">
        <v>32566374</v>
      </c>
      <c r="BB874">
        <v>28621277</v>
      </c>
      <c r="BC874">
        <v>2446</v>
      </c>
      <c r="BD874">
        <v>552575</v>
      </c>
      <c r="BE874">
        <v>134956</v>
      </c>
      <c r="BF874">
        <v>692479</v>
      </c>
      <c r="BG874">
        <v>555021</v>
      </c>
      <c r="BH874">
        <v>2502</v>
      </c>
      <c r="BI874">
        <v>-5511</v>
      </c>
      <c r="BJ874">
        <v>0</v>
      </c>
      <c r="BK874">
        <v>0</v>
      </c>
      <c r="BL874">
        <v>2431621080</v>
      </c>
      <c r="BM874">
        <v>0</v>
      </c>
      <c r="BN874">
        <v>21663</v>
      </c>
      <c r="BO874">
        <v>1830</v>
      </c>
      <c r="BP874">
        <v>12278</v>
      </c>
      <c r="BQ874">
        <v>0</v>
      </c>
      <c r="BR874">
        <v>0.88300000000000001</v>
      </c>
      <c r="BS874">
        <v>0.88300000000000001</v>
      </c>
      <c r="BT874">
        <v>0</v>
      </c>
      <c r="BU874">
        <v>0</v>
      </c>
      <c r="BV874">
        <v>193</v>
      </c>
      <c r="BW874">
        <v>1086</v>
      </c>
      <c r="BX874">
        <v>565</v>
      </c>
      <c r="BY874">
        <v>1292</v>
      </c>
      <c r="BZ874">
        <v>1740</v>
      </c>
      <c r="CA874">
        <v>4876</v>
      </c>
      <c r="CB874">
        <v>0</v>
      </c>
      <c r="CC874">
        <v>337.54500000000002</v>
      </c>
      <c r="CD874">
        <v>47.835000000000001</v>
      </c>
      <c r="CE874">
        <v>34</v>
      </c>
      <c r="CF874">
        <v>1864.91</v>
      </c>
      <c r="CG874">
        <v>35.466000000000001</v>
      </c>
      <c r="CH874">
        <v>0</v>
      </c>
      <c r="CI874">
        <v>21</v>
      </c>
      <c r="CJ874">
        <v>43</v>
      </c>
      <c r="CK874">
        <v>0</v>
      </c>
      <c r="CL874">
        <v>35.466000000000001</v>
      </c>
      <c r="CM874">
        <v>1187.787</v>
      </c>
      <c r="CN874">
        <v>0</v>
      </c>
      <c r="CO874">
        <v>12278</v>
      </c>
      <c r="CP874">
        <v>0</v>
      </c>
      <c r="CQ874">
        <v>0</v>
      </c>
      <c r="CR874">
        <v>0</v>
      </c>
      <c r="CS874">
        <v>0</v>
      </c>
      <c r="CT874">
        <v>0</v>
      </c>
      <c r="CU874">
        <v>22.431000000000001</v>
      </c>
      <c r="CV874">
        <v>277.09399999999999</v>
      </c>
      <c r="CW874">
        <v>145.185</v>
      </c>
      <c r="CX874">
        <v>0</v>
      </c>
      <c r="CY874" s="2043">
        <v>0</v>
      </c>
      <c r="CZ874" s="2043">
        <v>0</v>
      </c>
      <c r="DA874" s="2043">
        <v>0</v>
      </c>
      <c r="DB874" s="2043">
        <v>0</v>
      </c>
      <c r="DC874" s="2043">
        <v>0</v>
      </c>
      <c r="DI874" t="s">
        <v>5190</v>
      </c>
      <c r="DJ874" t="s">
        <v>5190</v>
      </c>
      <c r="DK874" s="2042">
        <f t="shared" si="15"/>
        <v>0</v>
      </c>
    </row>
    <row r="875" spans="1:115">
      <c r="A875" t="s">
        <v>3152</v>
      </c>
      <c r="B875" t="s">
        <v>357</v>
      </c>
      <c r="C875">
        <v>695.274</v>
      </c>
      <c r="D875">
        <v>758.65300000000002</v>
      </c>
      <c r="E875">
        <v>85.024000000000001</v>
      </c>
      <c r="F875">
        <v>0</v>
      </c>
      <c r="G875" s="2043">
        <v>229711266</v>
      </c>
      <c r="H875">
        <v>0</v>
      </c>
      <c r="I875" s="2043">
        <v>635575</v>
      </c>
      <c r="J875">
        <v>34.764000000000003</v>
      </c>
      <c r="K875">
        <v>95</v>
      </c>
      <c r="L875">
        <v>9693</v>
      </c>
      <c r="M875">
        <v>163307</v>
      </c>
      <c r="N875">
        <v>9693</v>
      </c>
      <c r="O875">
        <v>173000</v>
      </c>
      <c r="P875">
        <v>0</v>
      </c>
      <c r="Q875">
        <v>0</v>
      </c>
      <c r="R875" s="2043">
        <v>1793128</v>
      </c>
      <c r="S875">
        <v>172624</v>
      </c>
      <c r="T875">
        <v>40566</v>
      </c>
      <c r="U875">
        <v>0.08</v>
      </c>
      <c r="V875">
        <v>0</v>
      </c>
      <c r="W875">
        <v>0</v>
      </c>
      <c r="X875">
        <v>0</v>
      </c>
      <c r="Y875">
        <v>0</v>
      </c>
      <c r="Z875">
        <v>37.661000000000001</v>
      </c>
      <c r="AA875">
        <v>0</v>
      </c>
      <c r="AB875">
        <v>684.72700000000009</v>
      </c>
      <c r="AC875" s="2043">
        <v>200709519</v>
      </c>
      <c r="AD875">
        <v>468127</v>
      </c>
      <c r="AE875" s="2043">
        <v>2006318</v>
      </c>
      <c r="AF875">
        <v>0.92980000000000007</v>
      </c>
      <c r="AG875">
        <v>0</v>
      </c>
      <c r="AH875">
        <v>0</v>
      </c>
      <c r="AI875">
        <v>0</v>
      </c>
      <c r="AJ875">
        <v>104.625</v>
      </c>
      <c r="AK875">
        <v>2039</v>
      </c>
      <c r="AL875">
        <v>0.10300000000000001</v>
      </c>
      <c r="AM875">
        <v>0</v>
      </c>
      <c r="AN875">
        <v>28.473000000000003</v>
      </c>
      <c r="AO875">
        <v>0</v>
      </c>
      <c r="AP875">
        <v>0</v>
      </c>
      <c r="AQ875">
        <v>0</v>
      </c>
      <c r="AR875">
        <v>2.7250000000000001</v>
      </c>
      <c r="AS875">
        <v>0</v>
      </c>
      <c r="AT875">
        <v>6.1870000000000003</v>
      </c>
      <c r="AU875">
        <v>0.92200000000000004</v>
      </c>
      <c r="AV875">
        <v>0</v>
      </c>
      <c r="AW875">
        <v>9.9370000000000012</v>
      </c>
      <c r="AX875">
        <v>0</v>
      </c>
      <c r="AY875">
        <v>31.861000000000001</v>
      </c>
      <c r="AZ875">
        <v>0</v>
      </c>
      <c r="BA875">
        <v>6607079</v>
      </c>
      <c r="BB875">
        <v>2474445</v>
      </c>
      <c r="BC875">
        <v>0</v>
      </c>
      <c r="BD875">
        <v>53894</v>
      </c>
      <c r="BE875">
        <v>0</v>
      </c>
      <c r="BF875">
        <v>53894</v>
      </c>
      <c r="BG875">
        <v>53894</v>
      </c>
      <c r="BH875">
        <v>0</v>
      </c>
      <c r="BI875">
        <v>0</v>
      </c>
      <c r="BJ875">
        <v>0</v>
      </c>
      <c r="BK875">
        <v>0</v>
      </c>
      <c r="BL875">
        <v>229711266</v>
      </c>
      <c r="BM875">
        <v>0</v>
      </c>
      <c r="BN875">
        <v>2313</v>
      </c>
      <c r="BO875">
        <v>1648</v>
      </c>
      <c r="BP875">
        <v>0</v>
      </c>
      <c r="BQ875">
        <v>0</v>
      </c>
      <c r="BR875">
        <v>0.83100000000000007</v>
      </c>
      <c r="BS875">
        <v>0.83100000000000007</v>
      </c>
      <c r="BT875">
        <v>0</v>
      </c>
      <c r="BU875">
        <v>0</v>
      </c>
      <c r="BV875">
        <v>26</v>
      </c>
      <c r="BW875">
        <v>300</v>
      </c>
      <c r="BX875">
        <v>30</v>
      </c>
      <c r="BY875">
        <v>4</v>
      </c>
      <c r="BZ875">
        <v>69</v>
      </c>
      <c r="CA875">
        <v>429</v>
      </c>
      <c r="CB875">
        <v>0</v>
      </c>
      <c r="CC875">
        <v>0</v>
      </c>
      <c r="CD875">
        <v>0</v>
      </c>
      <c r="CE875">
        <v>40</v>
      </c>
      <c r="CF875">
        <v>159.24600000000001</v>
      </c>
      <c r="CG875">
        <v>0</v>
      </c>
      <c r="CH875">
        <v>0</v>
      </c>
      <c r="CI875">
        <v>8</v>
      </c>
      <c r="CJ875">
        <v>8</v>
      </c>
      <c r="CK875">
        <v>0</v>
      </c>
      <c r="CL875">
        <v>0</v>
      </c>
      <c r="CM875">
        <v>85.024000000000001</v>
      </c>
      <c r="CN875">
        <v>0</v>
      </c>
      <c r="CO875">
        <v>0</v>
      </c>
      <c r="CP875">
        <v>0</v>
      </c>
      <c r="CQ875">
        <v>0</v>
      </c>
      <c r="CR875">
        <v>0</v>
      </c>
      <c r="CS875">
        <v>0</v>
      </c>
      <c r="CT875">
        <v>0</v>
      </c>
      <c r="CU875">
        <v>1.9530000000000001</v>
      </c>
      <c r="CV875">
        <v>40.268000000000001</v>
      </c>
      <c r="CW875">
        <v>27.624000000000002</v>
      </c>
      <c r="CX875">
        <v>0</v>
      </c>
      <c r="CY875" s="2043">
        <v>0</v>
      </c>
      <c r="CZ875" s="2043">
        <v>0</v>
      </c>
      <c r="DA875" s="2043">
        <v>0</v>
      </c>
      <c r="DB875" s="2043">
        <v>0</v>
      </c>
      <c r="DC875" s="2043">
        <v>0</v>
      </c>
      <c r="DI875" t="s">
        <v>3152</v>
      </c>
      <c r="DJ875" t="s">
        <v>3152</v>
      </c>
      <c r="DK875" s="2042">
        <f t="shared" si="15"/>
        <v>0</v>
      </c>
    </row>
    <row r="876" spans="1:115">
      <c r="A876" t="s">
        <v>3153</v>
      </c>
      <c r="B876" t="s">
        <v>493</v>
      </c>
      <c r="C876">
        <v>1066.2730000000001</v>
      </c>
      <c r="D876">
        <v>1135.2750000000001</v>
      </c>
      <c r="E876">
        <v>56.484999999999999</v>
      </c>
      <c r="F876">
        <v>0</v>
      </c>
      <c r="G876" s="2043">
        <v>165158164</v>
      </c>
      <c r="H876">
        <v>0</v>
      </c>
      <c r="I876" s="2043">
        <v>876382</v>
      </c>
      <c r="J876">
        <v>53.314</v>
      </c>
      <c r="K876">
        <v>146</v>
      </c>
      <c r="L876">
        <v>98419</v>
      </c>
      <c r="M876">
        <v>78133</v>
      </c>
      <c r="N876">
        <v>98419</v>
      </c>
      <c r="O876">
        <v>176552</v>
      </c>
      <c r="P876">
        <v>0</v>
      </c>
      <c r="Q876">
        <v>0</v>
      </c>
      <c r="R876" s="2043">
        <v>1258380</v>
      </c>
      <c r="S876">
        <v>71801</v>
      </c>
      <c r="T876">
        <v>0</v>
      </c>
      <c r="U876">
        <v>0.05</v>
      </c>
      <c r="V876">
        <v>0</v>
      </c>
      <c r="W876">
        <v>0</v>
      </c>
      <c r="X876">
        <v>0</v>
      </c>
      <c r="Y876">
        <v>0</v>
      </c>
      <c r="Z876">
        <v>0</v>
      </c>
      <c r="AA876">
        <v>0</v>
      </c>
      <c r="AB876">
        <v>1046.606</v>
      </c>
      <c r="AC876" s="2043">
        <v>144364370</v>
      </c>
      <c r="AD876">
        <v>459859</v>
      </c>
      <c r="AE876" s="2043">
        <v>1330181</v>
      </c>
      <c r="AF876">
        <v>0.92630000000000001</v>
      </c>
      <c r="AG876">
        <v>0</v>
      </c>
      <c r="AH876">
        <v>0</v>
      </c>
      <c r="AI876">
        <v>0</v>
      </c>
      <c r="AJ876">
        <v>116.52500000000001</v>
      </c>
      <c r="AK876">
        <v>2977</v>
      </c>
      <c r="AL876">
        <v>0</v>
      </c>
      <c r="AM876">
        <v>0</v>
      </c>
      <c r="AN876">
        <v>17.812000000000001</v>
      </c>
      <c r="AO876">
        <v>0</v>
      </c>
      <c r="AP876">
        <v>7.274</v>
      </c>
      <c r="AQ876">
        <v>0</v>
      </c>
      <c r="AR876">
        <v>16.722000000000001</v>
      </c>
      <c r="AS876">
        <v>0</v>
      </c>
      <c r="AT876">
        <v>2.161</v>
      </c>
      <c r="AU876">
        <v>1.35</v>
      </c>
      <c r="AV876">
        <v>0</v>
      </c>
      <c r="AW876">
        <v>27.581000000000003</v>
      </c>
      <c r="AX876">
        <v>7.400000000000001E-2</v>
      </c>
      <c r="AY876">
        <v>83.209000000000003</v>
      </c>
      <c r="AZ876">
        <v>0</v>
      </c>
      <c r="BA876">
        <v>10012323</v>
      </c>
      <c r="BB876">
        <v>1790040</v>
      </c>
      <c r="BC876">
        <v>0</v>
      </c>
      <c r="BD876">
        <v>57156</v>
      </c>
      <c r="BE876">
        <v>11405</v>
      </c>
      <c r="BF876">
        <v>68561</v>
      </c>
      <c r="BG876">
        <v>57156</v>
      </c>
      <c r="BH876">
        <v>0</v>
      </c>
      <c r="BI876">
        <v>0</v>
      </c>
      <c r="BJ876">
        <v>0</v>
      </c>
      <c r="BK876">
        <v>0</v>
      </c>
      <c r="BL876">
        <v>165158164</v>
      </c>
      <c r="BM876">
        <v>0</v>
      </c>
      <c r="BN876">
        <v>3771</v>
      </c>
      <c r="BO876">
        <v>3670</v>
      </c>
      <c r="BP876">
        <v>0</v>
      </c>
      <c r="BQ876">
        <v>0</v>
      </c>
      <c r="BR876">
        <v>0.87630000000000008</v>
      </c>
      <c r="BS876">
        <v>0.87630000000000008</v>
      </c>
      <c r="BT876">
        <v>0</v>
      </c>
      <c r="BU876">
        <v>0</v>
      </c>
      <c r="BV876">
        <v>75</v>
      </c>
      <c r="BW876">
        <v>276</v>
      </c>
      <c r="BX876">
        <v>128</v>
      </c>
      <c r="BY876">
        <v>8</v>
      </c>
      <c r="BZ876">
        <v>0</v>
      </c>
      <c r="CA876">
        <v>487</v>
      </c>
      <c r="CB876">
        <v>0</v>
      </c>
      <c r="CC876">
        <v>0</v>
      </c>
      <c r="CD876">
        <v>0</v>
      </c>
      <c r="CE876">
        <v>59</v>
      </c>
      <c r="CF876">
        <v>157.44</v>
      </c>
      <c r="CG876">
        <v>0</v>
      </c>
      <c r="CH876">
        <v>0</v>
      </c>
      <c r="CI876">
        <v>1</v>
      </c>
      <c r="CJ876">
        <v>24</v>
      </c>
      <c r="CK876">
        <v>0</v>
      </c>
      <c r="CL876">
        <v>0</v>
      </c>
      <c r="CM876">
        <v>56.484999999999999</v>
      </c>
      <c r="CN876">
        <v>0</v>
      </c>
      <c r="CO876">
        <v>0</v>
      </c>
      <c r="CP876">
        <v>0</v>
      </c>
      <c r="CQ876">
        <v>0</v>
      </c>
      <c r="CR876">
        <v>0</v>
      </c>
      <c r="CS876">
        <v>0</v>
      </c>
      <c r="CT876">
        <v>0</v>
      </c>
      <c r="CU876">
        <v>0</v>
      </c>
      <c r="CV876">
        <v>61.016000000000005</v>
      </c>
      <c r="CW876">
        <v>46.52</v>
      </c>
      <c r="CX876">
        <v>0</v>
      </c>
      <c r="CY876" s="2043">
        <v>0</v>
      </c>
      <c r="CZ876" s="2043">
        <v>0</v>
      </c>
      <c r="DA876" s="2043">
        <v>0</v>
      </c>
      <c r="DB876" s="2043">
        <v>0</v>
      </c>
      <c r="DC876" s="2043">
        <v>0</v>
      </c>
      <c r="DI876" t="s">
        <v>3153</v>
      </c>
      <c r="DJ876" t="s">
        <v>3153</v>
      </c>
      <c r="DK876" s="2042">
        <f t="shared" si="15"/>
        <v>0</v>
      </c>
    </row>
    <row r="877" spans="1:115">
      <c r="A877" t="s">
        <v>4500</v>
      </c>
      <c r="B877" t="s">
        <v>494</v>
      </c>
      <c r="C877">
        <v>312.04500000000002</v>
      </c>
      <c r="D877">
        <v>324.51900000000001</v>
      </c>
      <c r="E877">
        <v>18.494</v>
      </c>
      <c r="F877">
        <v>0</v>
      </c>
      <c r="G877" s="2043">
        <v>90846920</v>
      </c>
      <c r="H877">
        <v>0</v>
      </c>
      <c r="I877" s="2043">
        <v>313102</v>
      </c>
      <c r="J877">
        <v>15.602</v>
      </c>
      <c r="K877">
        <v>43</v>
      </c>
      <c r="L877">
        <v>35109</v>
      </c>
      <c r="M877">
        <v>64891</v>
      </c>
      <c r="N877">
        <v>35109</v>
      </c>
      <c r="O877">
        <v>100000</v>
      </c>
      <c r="P877">
        <v>0</v>
      </c>
      <c r="Q877">
        <v>0</v>
      </c>
      <c r="R877" s="2043">
        <v>704335</v>
      </c>
      <c r="S877">
        <v>68548</v>
      </c>
      <c r="T877">
        <v>77117</v>
      </c>
      <c r="U877">
        <v>0.08</v>
      </c>
      <c r="V877">
        <v>0</v>
      </c>
      <c r="W877">
        <v>0</v>
      </c>
      <c r="X877">
        <v>0</v>
      </c>
      <c r="Y877">
        <v>0</v>
      </c>
      <c r="Z877">
        <v>2.8149999999999999</v>
      </c>
      <c r="AA877">
        <v>0</v>
      </c>
      <c r="AB877">
        <v>317.16000000000003</v>
      </c>
      <c r="AC877" s="2043">
        <v>78590243</v>
      </c>
      <c r="AD877">
        <v>136000</v>
      </c>
      <c r="AE877" s="2043">
        <v>850000</v>
      </c>
      <c r="AF877">
        <v>0.99199999999999999</v>
      </c>
      <c r="AG877">
        <v>0</v>
      </c>
      <c r="AH877">
        <v>0</v>
      </c>
      <c r="AI877">
        <v>0</v>
      </c>
      <c r="AJ877">
        <v>41.75</v>
      </c>
      <c r="AK877">
        <v>1577</v>
      </c>
      <c r="AL877">
        <v>0</v>
      </c>
      <c r="AM877">
        <v>0</v>
      </c>
      <c r="AN877">
        <v>10.758000000000001</v>
      </c>
      <c r="AO877">
        <v>0</v>
      </c>
      <c r="AP877">
        <v>1.5210000000000001</v>
      </c>
      <c r="AQ877">
        <v>0</v>
      </c>
      <c r="AR877">
        <v>8.16</v>
      </c>
      <c r="AS877">
        <v>0</v>
      </c>
      <c r="AT877">
        <v>0</v>
      </c>
      <c r="AU877">
        <v>0.8580000000000001</v>
      </c>
      <c r="AV877">
        <v>0</v>
      </c>
      <c r="AW877">
        <v>10.539</v>
      </c>
      <c r="AX877">
        <v>0</v>
      </c>
      <c r="AY877">
        <v>32.877000000000002</v>
      </c>
      <c r="AZ877">
        <v>0</v>
      </c>
      <c r="BA877">
        <v>3741012</v>
      </c>
      <c r="BB877">
        <v>986000</v>
      </c>
      <c r="BC877">
        <v>0</v>
      </c>
      <c r="BD877">
        <v>24135</v>
      </c>
      <c r="BE877">
        <v>13721</v>
      </c>
      <c r="BF877">
        <v>37856</v>
      </c>
      <c r="BG877">
        <v>24135</v>
      </c>
      <c r="BH877">
        <v>0</v>
      </c>
      <c r="BI877">
        <v>0</v>
      </c>
      <c r="BJ877">
        <v>0</v>
      </c>
      <c r="BK877">
        <v>0</v>
      </c>
      <c r="BL877">
        <v>90846920</v>
      </c>
      <c r="BM877">
        <v>0</v>
      </c>
      <c r="BN877">
        <v>1359</v>
      </c>
      <c r="BO877">
        <v>1209</v>
      </c>
      <c r="BP877">
        <v>0</v>
      </c>
      <c r="BQ877">
        <v>0</v>
      </c>
      <c r="BR877">
        <v>0.82200000000000006</v>
      </c>
      <c r="BS877">
        <v>0.82200000000000006</v>
      </c>
      <c r="BT877">
        <v>0</v>
      </c>
      <c r="BU877">
        <v>0</v>
      </c>
      <c r="BV877">
        <v>77</v>
      </c>
      <c r="BW877">
        <v>73</v>
      </c>
      <c r="BX877">
        <v>10</v>
      </c>
      <c r="BY877">
        <v>7</v>
      </c>
      <c r="BZ877">
        <v>10</v>
      </c>
      <c r="CA877">
        <v>177</v>
      </c>
      <c r="CB877">
        <v>0</v>
      </c>
      <c r="CC877">
        <v>0</v>
      </c>
      <c r="CD877">
        <v>0</v>
      </c>
      <c r="CE877">
        <v>34</v>
      </c>
      <c r="CF877">
        <v>56.527000000000001</v>
      </c>
      <c r="CG877">
        <v>0</v>
      </c>
      <c r="CH877">
        <v>0</v>
      </c>
      <c r="CI877">
        <v>1</v>
      </c>
      <c r="CJ877">
        <v>4</v>
      </c>
      <c r="CK877">
        <v>0</v>
      </c>
      <c r="CL877">
        <v>0</v>
      </c>
      <c r="CM877">
        <v>18.494</v>
      </c>
      <c r="CN877">
        <v>0</v>
      </c>
      <c r="CO877">
        <v>0</v>
      </c>
      <c r="CP877">
        <v>0</v>
      </c>
      <c r="CQ877">
        <v>0</v>
      </c>
      <c r="CR877">
        <v>0</v>
      </c>
      <c r="CS877">
        <v>0</v>
      </c>
      <c r="CT877">
        <v>0</v>
      </c>
      <c r="CU877">
        <v>3.88</v>
      </c>
      <c r="CV877">
        <v>22.5</v>
      </c>
      <c r="CW877">
        <v>22.388000000000002</v>
      </c>
      <c r="CX877">
        <v>0</v>
      </c>
      <c r="CY877" s="2043">
        <v>0</v>
      </c>
      <c r="CZ877" s="2043">
        <v>0</v>
      </c>
      <c r="DA877" s="2043">
        <v>0</v>
      </c>
      <c r="DB877" s="2043">
        <v>0</v>
      </c>
      <c r="DC877" s="2043">
        <v>0</v>
      </c>
      <c r="DI877" t="s">
        <v>4500</v>
      </c>
      <c r="DJ877" t="s">
        <v>4500</v>
      </c>
      <c r="DK877" s="2042">
        <f t="shared" si="15"/>
        <v>0</v>
      </c>
    </row>
    <row r="878" spans="1:115">
      <c r="A878" t="s">
        <v>5191</v>
      </c>
      <c r="B878" t="s">
        <v>729</v>
      </c>
      <c r="C878">
        <v>82.731999999999999</v>
      </c>
      <c r="D878">
        <v>78.587000000000003</v>
      </c>
      <c r="E878">
        <v>0</v>
      </c>
      <c r="F878">
        <v>0</v>
      </c>
      <c r="G878" s="2043">
        <v>77721823</v>
      </c>
      <c r="H878">
        <v>0</v>
      </c>
      <c r="I878" s="2043">
        <v>152300</v>
      </c>
      <c r="J878">
        <v>4.1370000000000005</v>
      </c>
      <c r="K878">
        <v>11</v>
      </c>
      <c r="L878">
        <v>0</v>
      </c>
      <c r="M878">
        <v>0</v>
      </c>
      <c r="N878">
        <v>0</v>
      </c>
      <c r="O878">
        <v>0</v>
      </c>
      <c r="P878">
        <v>0</v>
      </c>
      <c r="Q878">
        <v>0</v>
      </c>
      <c r="R878" s="2043">
        <v>562806</v>
      </c>
      <c r="S878">
        <v>49293</v>
      </c>
      <c r="T878">
        <v>35923</v>
      </c>
      <c r="U878">
        <v>0.08</v>
      </c>
      <c r="V878">
        <v>0</v>
      </c>
      <c r="W878">
        <v>0</v>
      </c>
      <c r="X878">
        <v>0</v>
      </c>
      <c r="Y878">
        <v>1770</v>
      </c>
      <c r="Z878">
        <v>0</v>
      </c>
      <c r="AA878">
        <v>0</v>
      </c>
      <c r="AB878">
        <v>78.587000000000003</v>
      </c>
      <c r="AC878" s="2043">
        <v>64513756</v>
      </c>
      <c r="AD878">
        <v>160364</v>
      </c>
      <c r="AE878" s="2043">
        <v>648022</v>
      </c>
      <c r="AF878">
        <v>1.0517000000000001</v>
      </c>
      <c r="AG878">
        <v>0</v>
      </c>
      <c r="AH878">
        <v>0</v>
      </c>
      <c r="AI878">
        <v>0</v>
      </c>
      <c r="AJ878">
        <v>19.275000000000002</v>
      </c>
      <c r="AK878">
        <v>659</v>
      </c>
      <c r="AL878">
        <v>0</v>
      </c>
      <c r="AM878">
        <v>0</v>
      </c>
      <c r="AN878">
        <v>6.0840000000000005</v>
      </c>
      <c r="AO878">
        <v>0</v>
      </c>
      <c r="AP878">
        <v>1.518</v>
      </c>
      <c r="AQ878">
        <v>0</v>
      </c>
      <c r="AR878">
        <v>1.728</v>
      </c>
      <c r="AS878">
        <v>0</v>
      </c>
      <c r="AT878">
        <v>0</v>
      </c>
      <c r="AU878">
        <v>0.36499999999999999</v>
      </c>
      <c r="AV878">
        <v>0</v>
      </c>
      <c r="AW878">
        <v>3.6110000000000002</v>
      </c>
      <c r="AX878">
        <v>0</v>
      </c>
      <c r="AY878">
        <v>11.108000000000001</v>
      </c>
      <c r="AZ878">
        <v>0</v>
      </c>
      <c r="BA878">
        <v>519686</v>
      </c>
      <c r="BB878">
        <v>808386</v>
      </c>
      <c r="BC878">
        <v>0</v>
      </c>
      <c r="BD878">
        <v>46278</v>
      </c>
      <c r="BE878">
        <v>0</v>
      </c>
      <c r="BF878">
        <v>46278</v>
      </c>
      <c r="BG878">
        <v>46278</v>
      </c>
      <c r="BH878">
        <v>0</v>
      </c>
      <c r="BI878">
        <v>0</v>
      </c>
      <c r="BJ878">
        <v>0</v>
      </c>
      <c r="BK878">
        <v>0</v>
      </c>
      <c r="BL878">
        <v>77721823</v>
      </c>
      <c r="BM878">
        <v>0</v>
      </c>
      <c r="BN878">
        <v>0</v>
      </c>
      <c r="BO878">
        <v>0</v>
      </c>
      <c r="BP878">
        <v>0</v>
      </c>
      <c r="BQ878">
        <v>0</v>
      </c>
      <c r="BR878">
        <v>0.91339999999999999</v>
      </c>
      <c r="BS878">
        <v>0.91339999999999999</v>
      </c>
      <c r="BT878">
        <v>0</v>
      </c>
      <c r="BU878">
        <v>0</v>
      </c>
      <c r="BV878">
        <v>3</v>
      </c>
      <c r="BW878">
        <v>75</v>
      </c>
      <c r="BX878">
        <v>1</v>
      </c>
      <c r="BY878">
        <v>1</v>
      </c>
      <c r="BZ878">
        <v>1</v>
      </c>
      <c r="CA878">
        <v>81</v>
      </c>
      <c r="CB878">
        <v>0</v>
      </c>
      <c r="CC878">
        <v>0</v>
      </c>
      <c r="CD878">
        <v>0</v>
      </c>
      <c r="CE878">
        <v>6</v>
      </c>
      <c r="CF878">
        <v>30.286000000000001</v>
      </c>
      <c r="CG878">
        <v>0</v>
      </c>
      <c r="CH878">
        <v>0</v>
      </c>
      <c r="CI878">
        <v>0</v>
      </c>
      <c r="CJ878">
        <v>0</v>
      </c>
      <c r="CK878">
        <v>0</v>
      </c>
      <c r="CL878">
        <v>0</v>
      </c>
      <c r="CM878">
        <v>0</v>
      </c>
      <c r="CN878">
        <v>0</v>
      </c>
      <c r="CO878">
        <v>0</v>
      </c>
      <c r="CP878">
        <v>0</v>
      </c>
      <c r="CQ878">
        <v>0</v>
      </c>
      <c r="CR878">
        <v>0</v>
      </c>
      <c r="CS878">
        <v>0</v>
      </c>
      <c r="CT878">
        <v>0</v>
      </c>
      <c r="CU878">
        <v>0</v>
      </c>
      <c r="CV878">
        <v>0</v>
      </c>
      <c r="CW878">
        <v>0</v>
      </c>
      <c r="CX878">
        <v>0</v>
      </c>
      <c r="CY878" s="2043">
        <v>1770</v>
      </c>
      <c r="CZ878" s="2043">
        <v>0</v>
      </c>
      <c r="DA878" s="2043">
        <v>0</v>
      </c>
      <c r="DB878" s="2043">
        <v>0</v>
      </c>
      <c r="DC878" s="2043">
        <v>0</v>
      </c>
      <c r="DI878" t="s">
        <v>5191</v>
      </c>
      <c r="DJ878" t="s">
        <v>5191</v>
      </c>
      <c r="DK878" s="2042">
        <f t="shared" si="15"/>
        <v>0</v>
      </c>
    </row>
    <row r="879" spans="1:115">
      <c r="A879" t="s">
        <v>5859</v>
      </c>
      <c r="B879" t="s">
        <v>495</v>
      </c>
      <c r="C879">
        <v>431.16700000000003</v>
      </c>
      <c r="D879">
        <v>431.73900000000003</v>
      </c>
      <c r="E879">
        <v>28.024000000000001</v>
      </c>
      <c r="F879">
        <v>0</v>
      </c>
      <c r="G879" s="2043">
        <v>185602734</v>
      </c>
      <c r="H879">
        <v>0</v>
      </c>
      <c r="I879" s="2043">
        <v>0</v>
      </c>
      <c r="J879">
        <v>21.558</v>
      </c>
      <c r="K879">
        <v>59</v>
      </c>
      <c r="L879">
        <v>0</v>
      </c>
      <c r="M879">
        <v>0</v>
      </c>
      <c r="N879">
        <v>0</v>
      </c>
      <c r="O879">
        <v>0</v>
      </c>
      <c r="P879">
        <v>0</v>
      </c>
      <c r="Q879">
        <v>0</v>
      </c>
      <c r="R879" s="2043">
        <v>1481944</v>
      </c>
      <c r="S879">
        <v>84173</v>
      </c>
      <c r="T879">
        <v>0</v>
      </c>
      <c r="U879">
        <v>0.05</v>
      </c>
      <c r="V879">
        <v>0</v>
      </c>
      <c r="W879">
        <v>0</v>
      </c>
      <c r="X879">
        <v>0</v>
      </c>
      <c r="Y879">
        <v>0</v>
      </c>
      <c r="Z879">
        <v>0</v>
      </c>
      <c r="AA879">
        <v>2.8000000000000001E-2</v>
      </c>
      <c r="AB879">
        <v>426.255</v>
      </c>
      <c r="AC879" s="2043">
        <v>171618879</v>
      </c>
      <c r="AD879">
        <v>0</v>
      </c>
      <c r="AE879" s="2043">
        <v>1566117</v>
      </c>
      <c r="AF879">
        <v>0.93030000000000002</v>
      </c>
      <c r="AG879">
        <v>0</v>
      </c>
      <c r="AH879">
        <v>0</v>
      </c>
      <c r="AI879">
        <v>0</v>
      </c>
      <c r="AJ879">
        <v>44.813000000000002</v>
      </c>
      <c r="AK879">
        <v>1948</v>
      </c>
      <c r="AL879">
        <v>0</v>
      </c>
      <c r="AM879">
        <v>0</v>
      </c>
      <c r="AN879">
        <v>3.3360000000000003</v>
      </c>
      <c r="AO879">
        <v>0</v>
      </c>
      <c r="AP879">
        <v>4.4640000000000004</v>
      </c>
      <c r="AQ879">
        <v>0</v>
      </c>
      <c r="AR879">
        <v>13.064</v>
      </c>
      <c r="AS879">
        <v>0</v>
      </c>
      <c r="AT879">
        <v>0</v>
      </c>
      <c r="AU879">
        <v>0.48500000000000004</v>
      </c>
      <c r="AV879">
        <v>0</v>
      </c>
      <c r="AW879">
        <v>18.013000000000002</v>
      </c>
      <c r="AX879">
        <v>0</v>
      </c>
      <c r="AY879">
        <v>53.67</v>
      </c>
      <c r="AZ879">
        <v>0</v>
      </c>
      <c r="BA879">
        <v>3549860</v>
      </c>
      <c r="BB879">
        <v>1566117</v>
      </c>
      <c r="BC879">
        <v>0</v>
      </c>
      <c r="BD879">
        <v>26832</v>
      </c>
      <c r="BE879">
        <v>18335</v>
      </c>
      <c r="BF879">
        <v>45167</v>
      </c>
      <c r="BG879">
        <v>26832</v>
      </c>
      <c r="BH879">
        <v>0</v>
      </c>
      <c r="BI879">
        <v>0</v>
      </c>
      <c r="BJ879">
        <v>0</v>
      </c>
      <c r="BK879">
        <v>0</v>
      </c>
      <c r="BL879">
        <v>185602734</v>
      </c>
      <c r="BM879">
        <v>0</v>
      </c>
      <c r="BN879">
        <v>1575</v>
      </c>
      <c r="BO879">
        <v>1327</v>
      </c>
      <c r="BP879">
        <v>0</v>
      </c>
      <c r="BQ879">
        <v>0</v>
      </c>
      <c r="BR879">
        <v>0.88030000000000008</v>
      </c>
      <c r="BS879">
        <v>0.88030000000000008</v>
      </c>
      <c r="BT879">
        <v>0</v>
      </c>
      <c r="BU879">
        <v>0</v>
      </c>
      <c r="BV879">
        <v>2</v>
      </c>
      <c r="BW879">
        <v>174</v>
      </c>
      <c r="BX879">
        <v>9</v>
      </c>
      <c r="BY879">
        <v>3</v>
      </c>
      <c r="BZ879">
        <v>0</v>
      </c>
      <c r="CA879">
        <v>188</v>
      </c>
      <c r="CB879">
        <v>0</v>
      </c>
      <c r="CC879">
        <v>0</v>
      </c>
      <c r="CD879">
        <v>0</v>
      </c>
      <c r="CE879">
        <v>42</v>
      </c>
      <c r="CF879">
        <v>51.454000000000001</v>
      </c>
      <c r="CG879">
        <v>0</v>
      </c>
      <c r="CH879">
        <v>0</v>
      </c>
      <c r="CI879">
        <v>2</v>
      </c>
      <c r="CJ879">
        <v>4</v>
      </c>
      <c r="CK879">
        <v>0</v>
      </c>
      <c r="CL879">
        <v>0</v>
      </c>
      <c r="CM879">
        <v>28.024000000000001</v>
      </c>
      <c r="CN879">
        <v>0</v>
      </c>
      <c r="CO879">
        <v>0</v>
      </c>
      <c r="CP879">
        <v>0</v>
      </c>
      <c r="CQ879">
        <v>0</v>
      </c>
      <c r="CR879">
        <v>0</v>
      </c>
      <c r="CS879">
        <v>0</v>
      </c>
      <c r="CT879">
        <v>0</v>
      </c>
      <c r="CU879">
        <v>8.7160000000000011</v>
      </c>
      <c r="CV879">
        <v>30.511000000000003</v>
      </c>
      <c r="CW879">
        <v>13.428000000000001</v>
      </c>
      <c r="CX879">
        <v>0</v>
      </c>
      <c r="CY879" s="2043">
        <v>0</v>
      </c>
      <c r="CZ879" s="2043">
        <v>0</v>
      </c>
      <c r="DA879" s="2043">
        <v>0</v>
      </c>
      <c r="DB879" s="2043">
        <v>0</v>
      </c>
      <c r="DC879" s="2043">
        <v>0</v>
      </c>
      <c r="DI879" t="s">
        <v>5859</v>
      </c>
      <c r="DJ879" t="s">
        <v>5859</v>
      </c>
      <c r="DK879" s="2042">
        <f t="shared" si="15"/>
        <v>0</v>
      </c>
    </row>
    <row r="880" spans="1:115">
      <c r="A880" t="s">
        <v>5192</v>
      </c>
      <c r="B880" t="s">
        <v>496</v>
      </c>
      <c r="C880">
        <v>817.92900000000009</v>
      </c>
      <c r="D880">
        <v>865.91800000000001</v>
      </c>
      <c r="E880">
        <v>133.63400000000001</v>
      </c>
      <c r="F880">
        <v>0</v>
      </c>
      <c r="G880" s="2043">
        <v>291544758</v>
      </c>
      <c r="H880">
        <v>0</v>
      </c>
      <c r="I880" s="2043">
        <v>178850</v>
      </c>
      <c r="J880">
        <v>40.896000000000001</v>
      </c>
      <c r="K880">
        <v>112</v>
      </c>
      <c r="L880">
        <v>0</v>
      </c>
      <c r="M880">
        <v>0</v>
      </c>
      <c r="N880">
        <v>0</v>
      </c>
      <c r="O880">
        <v>0</v>
      </c>
      <c r="P880">
        <v>0</v>
      </c>
      <c r="Q880">
        <v>0</v>
      </c>
      <c r="R880" s="2043">
        <v>2368514</v>
      </c>
      <c r="S880">
        <v>230512</v>
      </c>
      <c r="T880">
        <v>0</v>
      </c>
      <c r="U880">
        <v>0.08</v>
      </c>
      <c r="V880">
        <v>0</v>
      </c>
      <c r="W880">
        <v>0</v>
      </c>
      <c r="X880">
        <v>0</v>
      </c>
      <c r="Y880">
        <v>0</v>
      </c>
      <c r="Z880">
        <v>7.3360000000000003</v>
      </c>
      <c r="AA880">
        <v>0</v>
      </c>
      <c r="AB880">
        <v>790.85300000000007</v>
      </c>
      <c r="AC880" s="2043">
        <v>219931530</v>
      </c>
      <c r="AD880">
        <v>167381</v>
      </c>
      <c r="AE880" s="2043">
        <v>2599026</v>
      </c>
      <c r="AF880">
        <v>0.90200000000000002</v>
      </c>
      <c r="AG880">
        <v>0</v>
      </c>
      <c r="AH880">
        <v>0</v>
      </c>
      <c r="AI880">
        <v>0</v>
      </c>
      <c r="AJ880">
        <v>126.075</v>
      </c>
      <c r="AK880">
        <v>2428</v>
      </c>
      <c r="AL880">
        <v>0</v>
      </c>
      <c r="AM880">
        <v>0</v>
      </c>
      <c r="AN880">
        <v>29.547000000000001</v>
      </c>
      <c r="AO880">
        <v>0</v>
      </c>
      <c r="AP880">
        <v>0</v>
      </c>
      <c r="AQ880">
        <v>0.48800000000000004</v>
      </c>
      <c r="AR880">
        <v>10.429</v>
      </c>
      <c r="AS880">
        <v>0</v>
      </c>
      <c r="AT880">
        <v>2.1430000000000002</v>
      </c>
      <c r="AU880">
        <v>0.91500000000000004</v>
      </c>
      <c r="AV880">
        <v>0</v>
      </c>
      <c r="AW880">
        <v>14.735000000000001</v>
      </c>
      <c r="AX880">
        <v>0.76</v>
      </c>
      <c r="AY880">
        <v>44.039000000000001</v>
      </c>
      <c r="AZ880">
        <v>0</v>
      </c>
      <c r="BA880">
        <v>7080472</v>
      </c>
      <c r="BB880">
        <v>2766407</v>
      </c>
      <c r="BC880">
        <v>0</v>
      </c>
      <c r="BD880">
        <v>87857</v>
      </c>
      <c r="BE880">
        <v>13555</v>
      </c>
      <c r="BF880">
        <v>101412</v>
      </c>
      <c r="BG880">
        <v>87857</v>
      </c>
      <c r="BH880">
        <v>0</v>
      </c>
      <c r="BI880">
        <v>0</v>
      </c>
      <c r="BJ880">
        <v>0</v>
      </c>
      <c r="BK880">
        <v>0</v>
      </c>
      <c r="BL880">
        <v>291544758</v>
      </c>
      <c r="BM880">
        <v>0</v>
      </c>
      <c r="BN880">
        <v>3663</v>
      </c>
      <c r="BO880">
        <v>2161</v>
      </c>
      <c r="BP880">
        <v>0</v>
      </c>
      <c r="BQ880">
        <v>0</v>
      </c>
      <c r="BR880">
        <v>0.82200000000000006</v>
      </c>
      <c r="BS880">
        <v>0.82200000000000006</v>
      </c>
      <c r="BT880">
        <v>0</v>
      </c>
      <c r="BU880">
        <v>0</v>
      </c>
      <c r="BV880">
        <v>4</v>
      </c>
      <c r="BW880">
        <v>131</v>
      </c>
      <c r="BX880">
        <v>334</v>
      </c>
      <c r="BY880">
        <v>13</v>
      </c>
      <c r="BZ880">
        <v>26</v>
      </c>
      <c r="CA880">
        <v>508</v>
      </c>
      <c r="CB880">
        <v>0</v>
      </c>
      <c r="CC880">
        <v>0</v>
      </c>
      <c r="CD880">
        <v>0</v>
      </c>
      <c r="CE880">
        <v>51</v>
      </c>
      <c r="CF880">
        <v>199.30100000000002</v>
      </c>
      <c r="CG880">
        <v>0</v>
      </c>
      <c r="CH880">
        <v>2.0960000000000001</v>
      </c>
      <c r="CI880">
        <v>1</v>
      </c>
      <c r="CJ880">
        <v>3</v>
      </c>
      <c r="CK880">
        <v>0</v>
      </c>
      <c r="CL880">
        <v>2.0960000000000001</v>
      </c>
      <c r="CM880">
        <v>133.63400000000001</v>
      </c>
      <c r="CN880">
        <v>0</v>
      </c>
      <c r="CO880">
        <v>0</v>
      </c>
      <c r="CP880">
        <v>0</v>
      </c>
      <c r="CQ880">
        <v>0</v>
      </c>
      <c r="CR880">
        <v>0</v>
      </c>
      <c r="CS880">
        <v>0</v>
      </c>
      <c r="CT880">
        <v>0</v>
      </c>
      <c r="CU880">
        <v>0</v>
      </c>
      <c r="CV880">
        <v>34.228999999999999</v>
      </c>
      <c r="CW880">
        <v>20.026</v>
      </c>
      <c r="CX880">
        <v>0</v>
      </c>
      <c r="CY880" s="2043">
        <v>0</v>
      </c>
      <c r="CZ880" s="2043">
        <v>0</v>
      </c>
      <c r="DA880" s="2043">
        <v>0</v>
      </c>
      <c r="DB880" s="2043">
        <v>0</v>
      </c>
      <c r="DC880" s="2043">
        <v>0</v>
      </c>
      <c r="DI880" t="s">
        <v>5192</v>
      </c>
      <c r="DJ880" t="s">
        <v>5192</v>
      </c>
      <c r="DK880" s="2042">
        <f t="shared" si="15"/>
        <v>0</v>
      </c>
    </row>
    <row r="881" spans="1:115">
      <c r="A881" t="s">
        <v>3154</v>
      </c>
      <c r="B881" t="s">
        <v>2262</v>
      </c>
      <c r="C881">
        <v>5483.6329999999998</v>
      </c>
      <c r="D881">
        <v>5654.01</v>
      </c>
      <c r="E881">
        <v>1330.0070000000001</v>
      </c>
      <c r="F881">
        <v>0</v>
      </c>
      <c r="G881" s="2043">
        <v>2194262105</v>
      </c>
      <c r="H881">
        <v>0</v>
      </c>
      <c r="I881" s="2043">
        <v>6083789</v>
      </c>
      <c r="J881">
        <v>274.18200000000002</v>
      </c>
      <c r="K881">
        <v>750</v>
      </c>
      <c r="L881">
        <v>0</v>
      </c>
      <c r="M881">
        <v>2558149</v>
      </c>
      <c r="N881">
        <v>0</v>
      </c>
      <c r="O881">
        <v>2558149</v>
      </c>
      <c r="P881">
        <v>0</v>
      </c>
      <c r="Q881">
        <v>0</v>
      </c>
      <c r="R881" s="2043">
        <v>20289350</v>
      </c>
      <c r="S881">
        <v>1110650</v>
      </c>
      <c r="T881">
        <v>0</v>
      </c>
      <c r="U881">
        <v>0.05</v>
      </c>
      <c r="V881">
        <v>0</v>
      </c>
      <c r="W881">
        <v>0</v>
      </c>
      <c r="X881">
        <v>0</v>
      </c>
      <c r="Y881">
        <v>0</v>
      </c>
      <c r="Z881">
        <v>0</v>
      </c>
      <c r="AA881">
        <v>0.65900000000000003</v>
      </c>
      <c r="AB881">
        <v>5464.1469999999999</v>
      </c>
      <c r="AC881" s="2043">
        <v>1764810385</v>
      </c>
      <c r="AD881">
        <v>6160000</v>
      </c>
      <c r="AE881" s="2043">
        <v>21400000</v>
      </c>
      <c r="AF881">
        <v>0.96340000000000003</v>
      </c>
      <c r="AG881">
        <v>0</v>
      </c>
      <c r="AH881">
        <v>0</v>
      </c>
      <c r="AI881">
        <v>0</v>
      </c>
      <c r="AJ881">
        <v>1081.713</v>
      </c>
      <c r="AK881">
        <v>18930</v>
      </c>
      <c r="AL881">
        <v>1.202</v>
      </c>
      <c r="AM881">
        <v>0</v>
      </c>
      <c r="AN881">
        <v>133.11100000000002</v>
      </c>
      <c r="AO881">
        <v>0</v>
      </c>
      <c r="AP881">
        <v>2.5310000000000001</v>
      </c>
      <c r="AQ881">
        <v>13.932</v>
      </c>
      <c r="AR881">
        <v>116.128</v>
      </c>
      <c r="AS881">
        <v>0</v>
      </c>
      <c r="AT881">
        <v>64.618000000000009</v>
      </c>
      <c r="AU881">
        <v>13.641</v>
      </c>
      <c r="AV881">
        <v>0</v>
      </c>
      <c r="AW881">
        <v>212.05200000000002</v>
      </c>
      <c r="AX881">
        <v>0</v>
      </c>
      <c r="AY881">
        <v>623.28700000000003</v>
      </c>
      <c r="AZ881">
        <v>0</v>
      </c>
      <c r="BA881">
        <v>32093127</v>
      </c>
      <c r="BB881">
        <v>27560000</v>
      </c>
      <c r="BC881">
        <v>0</v>
      </c>
      <c r="BD881">
        <v>194877</v>
      </c>
      <c r="BE881">
        <v>161583</v>
      </c>
      <c r="BF881">
        <v>378791</v>
      </c>
      <c r="BG881">
        <v>194877</v>
      </c>
      <c r="BH881">
        <v>22331</v>
      </c>
      <c r="BI881">
        <v>0</v>
      </c>
      <c r="BJ881">
        <v>0</v>
      </c>
      <c r="BK881">
        <v>0</v>
      </c>
      <c r="BL881">
        <v>2194262105</v>
      </c>
      <c r="BM881">
        <v>0</v>
      </c>
      <c r="BN881">
        <v>19944</v>
      </c>
      <c r="BO881">
        <v>5446</v>
      </c>
      <c r="BP881">
        <v>0</v>
      </c>
      <c r="BQ881">
        <v>0</v>
      </c>
      <c r="BR881">
        <v>0.91339999999999999</v>
      </c>
      <c r="BS881">
        <v>0.91339999999999999</v>
      </c>
      <c r="BT881">
        <v>0</v>
      </c>
      <c r="BU881">
        <v>0</v>
      </c>
      <c r="BV881">
        <v>686</v>
      </c>
      <c r="BW881">
        <v>857</v>
      </c>
      <c r="BX881">
        <v>692</v>
      </c>
      <c r="BY881">
        <v>1430</v>
      </c>
      <c r="BZ881">
        <v>638</v>
      </c>
      <c r="CA881">
        <v>4303</v>
      </c>
      <c r="CB881">
        <v>0</v>
      </c>
      <c r="CC881">
        <v>139.517</v>
      </c>
      <c r="CD881">
        <v>126.732</v>
      </c>
      <c r="CE881">
        <v>665</v>
      </c>
      <c r="CF881">
        <v>1887.7460000000001</v>
      </c>
      <c r="CG881">
        <v>0</v>
      </c>
      <c r="CH881">
        <v>15.06</v>
      </c>
      <c r="CI881">
        <v>40</v>
      </c>
      <c r="CJ881">
        <v>42</v>
      </c>
      <c r="CK881">
        <v>1</v>
      </c>
      <c r="CL881">
        <v>15.06</v>
      </c>
      <c r="CM881">
        <v>1330.0070000000001</v>
      </c>
      <c r="CN881">
        <v>0</v>
      </c>
      <c r="CO881">
        <v>0</v>
      </c>
      <c r="CP881">
        <v>0</v>
      </c>
      <c r="CQ881">
        <v>0</v>
      </c>
      <c r="CR881">
        <v>0</v>
      </c>
      <c r="CS881">
        <v>0</v>
      </c>
      <c r="CT881">
        <v>0</v>
      </c>
      <c r="CU881">
        <v>15.068000000000001</v>
      </c>
      <c r="CV881">
        <v>326.13100000000003</v>
      </c>
      <c r="CW881">
        <v>112.78400000000001</v>
      </c>
      <c r="CX881">
        <v>0</v>
      </c>
      <c r="CY881" s="2043">
        <v>0</v>
      </c>
      <c r="CZ881" s="2043">
        <v>0</v>
      </c>
      <c r="DA881" s="2043">
        <v>0</v>
      </c>
      <c r="DB881" s="2043">
        <v>0</v>
      </c>
      <c r="DC881" s="2043">
        <v>0</v>
      </c>
      <c r="DI881" t="s">
        <v>3154</v>
      </c>
      <c r="DJ881" t="s">
        <v>3154</v>
      </c>
      <c r="DK881" s="2042">
        <f t="shared" si="15"/>
        <v>0</v>
      </c>
    </row>
    <row r="882" spans="1:115">
      <c r="A882" t="s">
        <v>3155</v>
      </c>
      <c r="B882" t="s">
        <v>2269</v>
      </c>
      <c r="C882">
        <v>493.44200000000001</v>
      </c>
      <c r="D882">
        <v>530.28700000000003</v>
      </c>
      <c r="E882">
        <v>32.508000000000003</v>
      </c>
      <c r="F882">
        <v>0</v>
      </c>
      <c r="G882" s="2043">
        <v>213981935</v>
      </c>
      <c r="H882">
        <v>0</v>
      </c>
      <c r="I882" s="2043">
        <v>598925</v>
      </c>
      <c r="J882">
        <v>24.672000000000001</v>
      </c>
      <c r="K882">
        <v>67</v>
      </c>
      <c r="L882">
        <v>0</v>
      </c>
      <c r="M882">
        <v>45525</v>
      </c>
      <c r="N882">
        <v>0</v>
      </c>
      <c r="O882">
        <v>45525</v>
      </c>
      <c r="P882">
        <v>0</v>
      </c>
      <c r="Q882">
        <v>0</v>
      </c>
      <c r="R882" s="2043">
        <v>1742630</v>
      </c>
      <c r="S882">
        <v>126323</v>
      </c>
      <c r="T882">
        <v>0</v>
      </c>
      <c r="U882">
        <v>0.06</v>
      </c>
      <c r="V882">
        <v>0</v>
      </c>
      <c r="W882">
        <v>0</v>
      </c>
      <c r="X882">
        <v>0</v>
      </c>
      <c r="Y882">
        <v>0</v>
      </c>
      <c r="Z882">
        <v>0</v>
      </c>
      <c r="AA882">
        <v>0</v>
      </c>
      <c r="AB882">
        <v>477.15600000000001</v>
      </c>
      <c r="AC882" s="2043">
        <v>163636328</v>
      </c>
      <c r="AD882">
        <v>602622</v>
      </c>
      <c r="AE882" s="2043">
        <v>1868953</v>
      </c>
      <c r="AF882">
        <v>0.88770000000000004</v>
      </c>
      <c r="AG882">
        <v>0</v>
      </c>
      <c r="AH882">
        <v>0</v>
      </c>
      <c r="AI882">
        <v>0</v>
      </c>
      <c r="AJ882">
        <v>76.463000000000008</v>
      </c>
      <c r="AK882">
        <v>2821</v>
      </c>
      <c r="AL882">
        <v>0</v>
      </c>
      <c r="AM882">
        <v>0</v>
      </c>
      <c r="AN882">
        <v>20.333000000000002</v>
      </c>
      <c r="AO882">
        <v>0</v>
      </c>
      <c r="AP882">
        <v>0</v>
      </c>
      <c r="AQ882">
        <v>0</v>
      </c>
      <c r="AR882">
        <v>16.437000000000001</v>
      </c>
      <c r="AS882">
        <v>0</v>
      </c>
      <c r="AT882">
        <v>2.54</v>
      </c>
      <c r="AU882">
        <v>0.83900000000000008</v>
      </c>
      <c r="AV882">
        <v>0</v>
      </c>
      <c r="AW882">
        <v>19.816000000000003</v>
      </c>
      <c r="AX882">
        <v>0</v>
      </c>
      <c r="AY882">
        <v>61.126000000000005</v>
      </c>
      <c r="AZ882">
        <v>0</v>
      </c>
      <c r="BA882">
        <v>4631209</v>
      </c>
      <c r="BB882">
        <v>2471575</v>
      </c>
      <c r="BC882">
        <v>0</v>
      </c>
      <c r="BD882">
        <v>76560</v>
      </c>
      <c r="BE882">
        <v>0</v>
      </c>
      <c r="BF882">
        <v>76560</v>
      </c>
      <c r="BG882">
        <v>76560</v>
      </c>
      <c r="BH882">
        <v>0</v>
      </c>
      <c r="BI882">
        <v>0</v>
      </c>
      <c r="BJ882">
        <v>0</v>
      </c>
      <c r="BK882">
        <v>0</v>
      </c>
      <c r="BL882">
        <v>213981935</v>
      </c>
      <c r="BM882">
        <v>0</v>
      </c>
      <c r="BN882">
        <v>1764</v>
      </c>
      <c r="BO882">
        <v>1873</v>
      </c>
      <c r="BP882">
        <v>0</v>
      </c>
      <c r="BQ882">
        <v>0</v>
      </c>
      <c r="BR882">
        <v>0.82769999999999999</v>
      </c>
      <c r="BS882">
        <v>0.82769999999999999</v>
      </c>
      <c r="BT882">
        <v>0</v>
      </c>
      <c r="BU882">
        <v>0</v>
      </c>
      <c r="BV882">
        <v>1</v>
      </c>
      <c r="BW882">
        <v>151</v>
      </c>
      <c r="BX882">
        <v>154</v>
      </c>
      <c r="BY882">
        <v>4</v>
      </c>
      <c r="BZ882">
        <v>3</v>
      </c>
      <c r="CA882">
        <v>313</v>
      </c>
      <c r="CB882">
        <v>0</v>
      </c>
      <c r="CC882">
        <v>0</v>
      </c>
      <c r="CD882">
        <v>0</v>
      </c>
      <c r="CE882">
        <v>37</v>
      </c>
      <c r="CF882">
        <v>93.786000000000001</v>
      </c>
      <c r="CG882">
        <v>0</v>
      </c>
      <c r="CH882">
        <v>0</v>
      </c>
      <c r="CI882">
        <v>4</v>
      </c>
      <c r="CJ882">
        <v>1</v>
      </c>
      <c r="CK882">
        <v>0</v>
      </c>
      <c r="CL882">
        <v>0</v>
      </c>
      <c r="CM882">
        <v>32.508000000000003</v>
      </c>
      <c r="CN882">
        <v>0</v>
      </c>
      <c r="CO882">
        <v>0</v>
      </c>
      <c r="CP882">
        <v>0</v>
      </c>
      <c r="CQ882">
        <v>0</v>
      </c>
      <c r="CR882">
        <v>0</v>
      </c>
      <c r="CS882">
        <v>0</v>
      </c>
      <c r="CT882">
        <v>0</v>
      </c>
      <c r="CU882">
        <v>5.0720000000000001</v>
      </c>
      <c r="CV882">
        <v>32.112000000000002</v>
      </c>
      <c r="CW882">
        <v>21.251000000000001</v>
      </c>
      <c r="CX882">
        <v>0</v>
      </c>
      <c r="CY882" s="2043">
        <v>0</v>
      </c>
      <c r="CZ882" s="2043">
        <v>0</v>
      </c>
      <c r="DA882" s="2043">
        <v>0</v>
      </c>
      <c r="DB882" s="2043">
        <v>0</v>
      </c>
      <c r="DC882" s="2043">
        <v>0</v>
      </c>
      <c r="DI882" t="s">
        <v>3155</v>
      </c>
      <c r="DJ882" t="s">
        <v>3155</v>
      </c>
      <c r="DK882" s="2042">
        <f t="shared" si="15"/>
        <v>0</v>
      </c>
    </row>
    <row r="883" spans="1:115">
      <c r="A883" t="s">
        <v>5193</v>
      </c>
      <c r="B883" t="s">
        <v>19</v>
      </c>
      <c r="C883">
        <v>401.87900000000002</v>
      </c>
      <c r="D883">
        <v>411.27700000000004</v>
      </c>
      <c r="E883">
        <v>63.026000000000003</v>
      </c>
      <c r="F883">
        <v>0</v>
      </c>
      <c r="G883" s="2043">
        <v>205081028</v>
      </c>
      <c r="H883">
        <v>0</v>
      </c>
      <c r="I883" s="2043">
        <v>547817</v>
      </c>
      <c r="J883">
        <v>20.094000000000001</v>
      </c>
      <c r="K883">
        <v>55</v>
      </c>
      <c r="L883">
        <v>0</v>
      </c>
      <c r="M883">
        <v>0</v>
      </c>
      <c r="N883">
        <v>0</v>
      </c>
      <c r="O883">
        <v>0</v>
      </c>
      <c r="P883">
        <v>0</v>
      </c>
      <c r="Q883">
        <v>0</v>
      </c>
      <c r="R883" s="2043">
        <v>1664162</v>
      </c>
      <c r="S883">
        <v>161432</v>
      </c>
      <c r="T883">
        <v>117643</v>
      </c>
      <c r="U883">
        <v>0.08</v>
      </c>
      <c r="V883">
        <v>0</v>
      </c>
      <c r="W883">
        <v>0</v>
      </c>
      <c r="X883">
        <v>0</v>
      </c>
      <c r="Y883">
        <v>0</v>
      </c>
      <c r="Z883">
        <v>0</v>
      </c>
      <c r="AA883">
        <v>0</v>
      </c>
      <c r="AB883">
        <v>380.75900000000001</v>
      </c>
      <c r="AC883" s="2043">
        <v>137252980</v>
      </c>
      <c r="AD883">
        <v>558075</v>
      </c>
      <c r="AE883" s="2043">
        <v>1943237</v>
      </c>
      <c r="AF883">
        <v>0.96300000000000008</v>
      </c>
      <c r="AG883">
        <v>0</v>
      </c>
      <c r="AH883">
        <v>0</v>
      </c>
      <c r="AI883">
        <v>0</v>
      </c>
      <c r="AJ883">
        <v>45.625</v>
      </c>
      <c r="AK883">
        <v>1786</v>
      </c>
      <c r="AL883">
        <v>0</v>
      </c>
      <c r="AM883">
        <v>0</v>
      </c>
      <c r="AN883">
        <v>20.902000000000001</v>
      </c>
      <c r="AO883">
        <v>0</v>
      </c>
      <c r="AP883">
        <v>0</v>
      </c>
      <c r="AQ883">
        <v>0</v>
      </c>
      <c r="AR883">
        <v>7.3970000000000002</v>
      </c>
      <c r="AS883">
        <v>0</v>
      </c>
      <c r="AT883">
        <v>0.879</v>
      </c>
      <c r="AU883">
        <v>0.746</v>
      </c>
      <c r="AV883">
        <v>0</v>
      </c>
      <c r="AW883">
        <v>9.0220000000000002</v>
      </c>
      <c r="AX883">
        <v>0</v>
      </c>
      <c r="AY883">
        <v>28.558</v>
      </c>
      <c r="AZ883">
        <v>0</v>
      </c>
      <c r="BA883">
        <v>3533939</v>
      </c>
      <c r="BB883">
        <v>2501312</v>
      </c>
      <c r="BC883">
        <v>0</v>
      </c>
      <c r="BD883">
        <v>16562</v>
      </c>
      <c r="BE883">
        <v>10316</v>
      </c>
      <c r="BF883">
        <v>26878</v>
      </c>
      <c r="BG883">
        <v>16562</v>
      </c>
      <c r="BH883">
        <v>0</v>
      </c>
      <c r="BI883">
        <v>0</v>
      </c>
      <c r="BJ883">
        <v>0</v>
      </c>
      <c r="BK883">
        <v>0</v>
      </c>
      <c r="BL883">
        <v>205081028</v>
      </c>
      <c r="BM883">
        <v>0</v>
      </c>
      <c r="BN883">
        <v>1332</v>
      </c>
      <c r="BO883">
        <v>1209</v>
      </c>
      <c r="BP883">
        <v>0</v>
      </c>
      <c r="BQ883">
        <v>0</v>
      </c>
      <c r="BR883">
        <v>0.82469999999999999</v>
      </c>
      <c r="BS883">
        <v>0.82469999999999999</v>
      </c>
      <c r="BT883">
        <v>0</v>
      </c>
      <c r="BU883">
        <v>0</v>
      </c>
      <c r="BV883">
        <v>20</v>
      </c>
      <c r="BW883">
        <v>70</v>
      </c>
      <c r="BX883">
        <v>86</v>
      </c>
      <c r="BY883">
        <v>2</v>
      </c>
      <c r="BZ883">
        <v>9</v>
      </c>
      <c r="CA883">
        <v>187</v>
      </c>
      <c r="CB883">
        <v>0</v>
      </c>
      <c r="CC883">
        <v>0</v>
      </c>
      <c r="CD883">
        <v>0</v>
      </c>
      <c r="CE883">
        <v>47</v>
      </c>
      <c r="CF883">
        <v>80.986000000000004</v>
      </c>
      <c r="CG883">
        <v>0</v>
      </c>
      <c r="CH883">
        <v>0</v>
      </c>
      <c r="CI883">
        <v>1</v>
      </c>
      <c r="CJ883">
        <v>2</v>
      </c>
      <c r="CK883">
        <v>0</v>
      </c>
      <c r="CL883">
        <v>0</v>
      </c>
      <c r="CM883">
        <v>63.026000000000003</v>
      </c>
      <c r="CN883">
        <v>0</v>
      </c>
      <c r="CO883">
        <v>0</v>
      </c>
      <c r="CP883">
        <v>0</v>
      </c>
      <c r="CQ883">
        <v>0</v>
      </c>
      <c r="CR883">
        <v>0</v>
      </c>
      <c r="CS883">
        <v>0</v>
      </c>
      <c r="CT883">
        <v>0</v>
      </c>
      <c r="CU883">
        <v>0</v>
      </c>
      <c r="CV883">
        <v>24.778000000000002</v>
      </c>
      <c r="CW883">
        <v>16.532</v>
      </c>
      <c r="CX883">
        <v>0</v>
      </c>
      <c r="CY883" s="2043">
        <v>0</v>
      </c>
      <c r="CZ883" s="2043">
        <v>0</v>
      </c>
      <c r="DA883" s="2043">
        <v>0</v>
      </c>
      <c r="DB883" s="2043">
        <v>0</v>
      </c>
      <c r="DC883" s="2043">
        <v>0</v>
      </c>
      <c r="DI883" t="s">
        <v>5193</v>
      </c>
      <c r="DJ883" t="s">
        <v>5193</v>
      </c>
      <c r="DK883" s="2042">
        <f t="shared" si="15"/>
        <v>0</v>
      </c>
    </row>
    <row r="884" spans="1:115">
      <c r="A884" t="s">
        <v>3156</v>
      </c>
      <c r="B884" t="s">
        <v>665</v>
      </c>
      <c r="C884">
        <v>506.52300000000002</v>
      </c>
      <c r="D884">
        <v>504.15300000000002</v>
      </c>
      <c r="E884">
        <v>43.146000000000001</v>
      </c>
      <c r="F884">
        <v>0</v>
      </c>
      <c r="G884" s="2043">
        <v>402003350</v>
      </c>
      <c r="H884">
        <v>0</v>
      </c>
      <c r="I884" s="2043">
        <v>1644225</v>
      </c>
      <c r="J884">
        <v>25.326000000000001</v>
      </c>
      <c r="K884">
        <v>69</v>
      </c>
      <c r="L884">
        <v>0</v>
      </c>
      <c r="M884">
        <v>172700</v>
      </c>
      <c r="N884">
        <v>0</v>
      </c>
      <c r="O884">
        <v>172700</v>
      </c>
      <c r="P884">
        <v>0</v>
      </c>
      <c r="Q884">
        <v>0</v>
      </c>
      <c r="R884" s="2043">
        <v>3391694</v>
      </c>
      <c r="S884">
        <v>206307</v>
      </c>
      <c r="T884">
        <v>0</v>
      </c>
      <c r="U884">
        <v>0.05</v>
      </c>
      <c r="V884">
        <v>0</v>
      </c>
      <c r="W884">
        <v>0</v>
      </c>
      <c r="X884">
        <v>0</v>
      </c>
      <c r="Y884">
        <v>0</v>
      </c>
      <c r="Z884">
        <v>0</v>
      </c>
      <c r="AA884">
        <v>0</v>
      </c>
      <c r="AB884">
        <v>504.15300000000002</v>
      </c>
      <c r="AC884" s="2043">
        <v>287349199</v>
      </c>
      <c r="AD884">
        <v>1306950</v>
      </c>
      <c r="AE884" s="2043">
        <v>3598001</v>
      </c>
      <c r="AF884">
        <v>0.872</v>
      </c>
      <c r="AG884">
        <v>0</v>
      </c>
      <c r="AH884">
        <v>0</v>
      </c>
      <c r="AI884">
        <v>0</v>
      </c>
      <c r="AJ884">
        <v>102.113</v>
      </c>
      <c r="AK884">
        <v>2675</v>
      </c>
      <c r="AL884">
        <v>0</v>
      </c>
      <c r="AM884">
        <v>0</v>
      </c>
      <c r="AN884">
        <v>36.335000000000001</v>
      </c>
      <c r="AO884">
        <v>0</v>
      </c>
      <c r="AP884">
        <v>0</v>
      </c>
      <c r="AQ884">
        <v>0</v>
      </c>
      <c r="AR884">
        <v>9.072000000000001</v>
      </c>
      <c r="AS884">
        <v>0</v>
      </c>
      <c r="AT884">
        <v>2.4060000000000001</v>
      </c>
      <c r="AU884">
        <v>0.41300000000000003</v>
      </c>
      <c r="AV884">
        <v>0</v>
      </c>
      <c r="AW884">
        <v>12.727</v>
      </c>
      <c r="AX884">
        <v>0.83600000000000008</v>
      </c>
      <c r="AY884">
        <v>38.422000000000004</v>
      </c>
      <c r="AZ884">
        <v>0</v>
      </c>
      <c r="BA884">
        <v>3344965</v>
      </c>
      <c r="BB884">
        <v>4904951</v>
      </c>
      <c r="BC884">
        <v>0</v>
      </c>
      <c r="BD884">
        <v>53760</v>
      </c>
      <c r="BE884">
        <v>11102</v>
      </c>
      <c r="BF884">
        <v>64862</v>
      </c>
      <c r="BG884">
        <v>53760</v>
      </c>
      <c r="BH884">
        <v>0</v>
      </c>
      <c r="BI884">
        <v>0</v>
      </c>
      <c r="BJ884">
        <v>0</v>
      </c>
      <c r="BK884">
        <v>0</v>
      </c>
      <c r="BL884">
        <v>402003350</v>
      </c>
      <c r="BM884">
        <v>0</v>
      </c>
      <c r="BN884">
        <v>1485</v>
      </c>
      <c r="BO884">
        <v>1530</v>
      </c>
      <c r="BP884">
        <v>0</v>
      </c>
      <c r="BQ884">
        <v>0</v>
      </c>
      <c r="BR884">
        <v>0.82200000000000006</v>
      </c>
      <c r="BS884">
        <v>0.82200000000000006</v>
      </c>
      <c r="BT884">
        <v>0</v>
      </c>
      <c r="BU884">
        <v>0</v>
      </c>
      <c r="BV884">
        <v>22</v>
      </c>
      <c r="BW884">
        <v>119</v>
      </c>
      <c r="BX884">
        <v>138</v>
      </c>
      <c r="BY884">
        <v>130</v>
      </c>
      <c r="BZ884">
        <v>1</v>
      </c>
      <c r="CA884">
        <v>410</v>
      </c>
      <c r="CB884">
        <v>0</v>
      </c>
      <c r="CC884">
        <v>0</v>
      </c>
      <c r="CD884">
        <v>0</v>
      </c>
      <c r="CE884">
        <v>82</v>
      </c>
      <c r="CF884">
        <v>134.53900000000002</v>
      </c>
      <c r="CG884">
        <v>0</v>
      </c>
      <c r="CH884">
        <v>0</v>
      </c>
      <c r="CI884">
        <v>3</v>
      </c>
      <c r="CJ884">
        <v>2</v>
      </c>
      <c r="CK884">
        <v>0</v>
      </c>
      <c r="CL884">
        <v>0</v>
      </c>
      <c r="CM884">
        <v>43.146000000000001</v>
      </c>
      <c r="CN884">
        <v>0</v>
      </c>
      <c r="CO884">
        <v>0</v>
      </c>
      <c r="CP884">
        <v>0</v>
      </c>
      <c r="CQ884">
        <v>0</v>
      </c>
      <c r="CR884">
        <v>0</v>
      </c>
      <c r="CS884">
        <v>0</v>
      </c>
      <c r="CT884">
        <v>0</v>
      </c>
      <c r="CU884">
        <v>1.4350000000000001</v>
      </c>
      <c r="CV884">
        <v>43.947000000000003</v>
      </c>
      <c r="CW884">
        <v>29.869</v>
      </c>
      <c r="CX884">
        <v>0</v>
      </c>
      <c r="CY884" s="2043">
        <v>0</v>
      </c>
      <c r="CZ884" s="2043">
        <v>0</v>
      </c>
      <c r="DA884" s="2043">
        <v>0</v>
      </c>
      <c r="DB884" s="2043">
        <v>0</v>
      </c>
      <c r="DC884" s="2043">
        <v>0</v>
      </c>
      <c r="DI884" t="s">
        <v>3156</v>
      </c>
      <c r="DJ884" t="s">
        <v>3156</v>
      </c>
      <c r="DK884" s="2042">
        <f t="shared" si="15"/>
        <v>0</v>
      </c>
    </row>
    <row r="885" spans="1:115">
      <c r="A885" t="s">
        <v>3157</v>
      </c>
      <c r="B885" t="s">
        <v>1972</v>
      </c>
      <c r="C885">
        <v>931.58</v>
      </c>
      <c r="D885">
        <v>893.72700000000009</v>
      </c>
      <c r="E885">
        <v>198.09300000000002</v>
      </c>
      <c r="F885">
        <v>0</v>
      </c>
      <c r="G885" s="2043">
        <v>194561723</v>
      </c>
      <c r="H885">
        <v>0</v>
      </c>
      <c r="I885" s="2043">
        <v>1419763</v>
      </c>
      <c r="J885">
        <v>46.579000000000001</v>
      </c>
      <c r="K885">
        <v>127</v>
      </c>
      <c r="L885">
        <v>104520</v>
      </c>
      <c r="M885">
        <v>154655</v>
      </c>
      <c r="N885">
        <v>104520</v>
      </c>
      <c r="O885">
        <v>259175</v>
      </c>
      <c r="P885">
        <v>0</v>
      </c>
      <c r="Q885">
        <v>0</v>
      </c>
      <c r="R885" s="2043">
        <v>1609563</v>
      </c>
      <c r="S885">
        <v>156648</v>
      </c>
      <c r="T885">
        <v>114158</v>
      </c>
      <c r="U885">
        <v>0.08</v>
      </c>
      <c r="V885">
        <v>0</v>
      </c>
      <c r="W885">
        <v>0</v>
      </c>
      <c r="X885">
        <v>0</v>
      </c>
      <c r="Y885">
        <v>0</v>
      </c>
      <c r="Z885">
        <v>0</v>
      </c>
      <c r="AA885">
        <v>0.10300000000000001</v>
      </c>
      <c r="AB885">
        <v>893.72700000000009</v>
      </c>
      <c r="AC885" s="2043">
        <v>145697853</v>
      </c>
      <c r="AD885">
        <v>893329</v>
      </c>
      <c r="AE885" s="2043">
        <v>1880369</v>
      </c>
      <c r="AF885">
        <v>0.96030000000000004</v>
      </c>
      <c r="AG885">
        <v>0</v>
      </c>
      <c r="AH885">
        <v>0</v>
      </c>
      <c r="AI885">
        <v>0</v>
      </c>
      <c r="AJ885">
        <v>197.93800000000002</v>
      </c>
      <c r="AK885">
        <v>3138</v>
      </c>
      <c r="AL885">
        <v>0.14500000000000002</v>
      </c>
      <c r="AM885">
        <v>0</v>
      </c>
      <c r="AN885">
        <v>29.101000000000003</v>
      </c>
      <c r="AO885">
        <v>0</v>
      </c>
      <c r="AP885">
        <v>0</v>
      </c>
      <c r="AQ885">
        <v>0</v>
      </c>
      <c r="AR885">
        <v>20.062000000000001</v>
      </c>
      <c r="AS885">
        <v>0</v>
      </c>
      <c r="AT885">
        <v>1.61</v>
      </c>
      <c r="AU885">
        <v>1.196</v>
      </c>
      <c r="AV885">
        <v>0</v>
      </c>
      <c r="AW885">
        <v>23.013000000000002</v>
      </c>
      <c r="AX885">
        <v>0</v>
      </c>
      <c r="AY885">
        <v>71.721000000000004</v>
      </c>
      <c r="AZ885">
        <v>0</v>
      </c>
      <c r="BA885">
        <v>10984820</v>
      </c>
      <c r="BB885">
        <v>2773698</v>
      </c>
      <c r="BC885">
        <v>0</v>
      </c>
      <c r="BD885">
        <v>52380</v>
      </c>
      <c r="BE885">
        <v>5625</v>
      </c>
      <c r="BF885">
        <v>58005</v>
      </c>
      <c r="BG885">
        <v>52380</v>
      </c>
      <c r="BH885">
        <v>0</v>
      </c>
      <c r="BI885">
        <v>0</v>
      </c>
      <c r="BJ885">
        <v>0</v>
      </c>
      <c r="BK885">
        <v>0</v>
      </c>
      <c r="BL885">
        <v>194561723</v>
      </c>
      <c r="BM885">
        <v>0</v>
      </c>
      <c r="BN885">
        <v>3285</v>
      </c>
      <c r="BO885">
        <v>1659</v>
      </c>
      <c r="BP885">
        <v>251443</v>
      </c>
      <c r="BQ885">
        <v>0</v>
      </c>
      <c r="BR885">
        <v>0.82200000000000006</v>
      </c>
      <c r="BS885">
        <v>0.82200000000000006</v>
      </c>
      <c r="BT885">
        <v>0</v>
      </c>
      <c r="BU885">
        <v>0</v>
      </c>
      <c r="BV885">
        <v>11</v>
      </c>
      <c r="BW885">
        <v>8</v>
      </c>
      <c r="BX885">
        <v>756</v>
      </c>
      <c r="BY885">
        <v>9</v>
      </c>
      <c r="BZ885">
        <v>8</v>
      </c>
      <c r="CA885">
        <v>792</v>
      </c>
      <c r="CB885">
        <v>0</v>
      </c>
      <c r="CC885">
        <v>0</v>
      </c>
      <c r="CD885">
        <v>0</v>
      </c>
      <c r="CE885">
        <v>74</v>
      </c>
      <c r="CF885">
        <v>287.27</v>
      </c>
      <c r="CG885">
        <v>0</v>
      </c>
      <c r="CH885">
        <v>0</v>
      </c>
      <c r="CI885">
        <v>1</v>
      </c>
      <c r="CJ885">
        <v>6</v>
      </c>
      <c r="CK885">
        <v>0</v>
      </c>
      <c r="CL885">
        <v>0</v>
      </c>
      <c r="CM885">
        <v>198.09300000000002</v>
      </c>
      <c r="CN885">
        <v>57496</v>
      </c>
      <c r="CO885">
        <v>95280</v>
      </c>
      <c r="CP885">
        <v>88667</v>
      </c>
      <c r="CQ885">
        <v>10000</v>
      </c>
      <c r="CR885">
        <v>0</v>
      </c>
      <c r="CS885">
        <v>0</v>
      </c>
      <c r="CT885">
        <v>0</v>
      </c>
      <c r="CU885">
        <v>16.641000000000002</v>
      </c>
      <c r="CV885">
        <v>48.266000000000005</v>
      </c>
      <c r="CW885">
        <v>36.151000000000003</v>
      </c>
      <c r="CX885">
        <v>0</v>
      </c>
      <c r="CY885" s="2043">
        <v>0</v>
      </c>
      <c r="CZ885" s="2043">
        <v>0</v>
      </c>
      <c r="DA885" s="2043">
        <v>0</v>
      </c>
      <c r="DB885" s="2043">
        <v>0</v>
      </c>
      <c r="DC885" s="2043">
        <v>0</v>
      </c>
      <c r="DI885" t="s">
        <v>5194</v>
      </c>
      <c r="DJ885" t="s">
        <v>3157</v>
      </c>
      <c r="DK885" s="2042">
        <f t="shared" si="15"/>
        <v>-1</v>
      </c>
    </row>
    <row r="886" spans="1:115">
      <c r="A886" t="s">
        <v>5194</v>
      </c>
      <c r="B886" t="s">
        <v>20</v>
      </c>
      <c r="C886">
        <v>784.55400000000009</v>
      </c>
      <c r="D886">
        <v>748.48400000000004</v>
      </c>
      <c r="E886">
        <v>29.056000000000001</v>
      </c>
      <c r="F886">
        <v>0</v>
      </c>
      <c r="G886" s="2043">
        <v>566741941</v>
      </c>
      <c r="H886">
        <v>0</v>
      </c>
      <c r="I886" s="2043">
        <v>1328437</v>
      </c>
      <c r="J886">
        <v>39.228000000000002</v>
      </c>
      <c r="K886">
        <v>107</v>
      </c>
      <c r="L886">
        <v>0</v>
      </c>
      <c r="M886">
        <v>0</v>
      </c>
      <c r="N886">
        <v>0</v>
      </c>
      <c r="O886">
        <v>0</v>
      </c>
      <c r="P886">
        <v>0</v>
      </c>
      <c r="Q886">
        <v>0</v>
      </c>
      <c r="R886" s="2043">
        <v>4689865</v>
      </c>
      <c r="S886">
        <v>239100</v>
      </c>
      <c r="T886">
        <v>0</v>
      </c>
      <c r="U886">
        <v>0.04</v>
      </c>
      <c r="V886">
        <v>0</v>
      </c>
      <c r="W886">
        <v>0</v>
      </c>
      <c r="X886">
        <v>0</v>
      </c>
      <c r="Y886">
        <v>0</v>
      </c>
      <c r="Z886">
        <v>2.9140000000000001</v>
      </c>
      <c r="AA886">
        <v>0.20300000000000001</v>
      </c>
      <c r="AB886">
        <v>727.13400000000001</v>
      </c>
      <c r="AC886" s="2043">
        <v>456969053</v>
      </c>
      <c r="AD886">
        <v>1347320</v>
      </c>
      <c r="AE886" s="2043">
        <v>4928965</v>
      </c>
      <c r="AF886">
        <v>0.872</v>
      </c>
      <c r="AG886">
        <v>0</v>
      </c>
      <c r="AH886">
        <v>0</v>
      </c>
      <c r="AI886">
        <v>0</v>
      </c>
      <c r="AJ886">
        <v>91.463000000000008</v>
      </c>
      <c r="AK886">
        <v>3134</v>
      </c>
      <c r="AL886">
        <v>8.3000000000000004E-2</v>
      </c>
      <c r="AM886">
        <v>0</v>
      </c>
      <c r="AN886">
        <v>20.521000000000001</v>
      </c>
      <c r="AO886">
        <v>0</v>
      </c>
      <c r="AP886">
        <v>0</v>
      </c>
      <c r="AQ886">
        <v>3.5670000000000002</v>
      </c>
      <c r="AR886">
        <v>15.917000000000002</v>
      </c>
      <c r="AS886">
        <v>0</v>
      </c>
      <c r="AT886">
        <v>3.2610000000000001</v>
      </c>
      <c r="AU886">
        <v>0.92900000000000005</v>
      </c>
      <c r="AV886">
        <v>0</v>
      </c>
      <c r="AW886">
        <v>23.757000000000001</v>
      </c>
      <c r="AX886">
        <v>0</v>
      </c>
      <c r="AY886">
        <v>62.594000000000001</v>
      </c>
      <c r="AZ886">
        <v>0</v>
      </c>
      <c r="BA886">
        <v>4068584</v>
      </c>
      <c r="BB886">
        <v>6276285</v>
      </c>
      <c r="BC886">
        <v>0</v>
      </c>
      <c r="BD886">
        <v>66657</v>
      </c>
      <c r="BE886">
        <v>6474</v>
      </c>
      <c r="BF886">
        <v>73131</v>
      </c>
      <c r="BG886">
        <v>66657</v>
      </c>
      <c r="BH886">
        <v>0</v>
      </c>
      <c r="BI886">
        <v>0</v>
      </c>
      <c r="BJ886">
        <v>0</v>
      </c>
      <c r="BK886">
        <v>0</v>
      </c>
      <c r="BL886">
        <v>566741941</v>
      </c>
      <c r="BM886">
        <v>0</v>
      </c>
      <c r="BN886">
        <v>2943</v>
      </c>
      <c r="BO886">
        <v>2675</v>
      </c>
      <c r="BP886">
        <v>0</v>
      </c>
      <c r="BQ886">
        <v>0</v>
      </c>
      <c r="BR886">
        <v>0.82969999999999999</v>
      </c>
      <c r="BS886">
        <v>0.82969999999999999</v>
      </c>
      <c r="BT886">
        <v>0</v>
      </c>
      <c r="BU886">
        <v>0</v>
      </c>
      <c r="BV886">
        <v>111</v>
      </c>
      <c r="BW886">
        <v>251</v>
      </c>
      <c r="BX886">
        <v>8</v>
      </c>
      <c r="BY886">
        <v>6</v>
      </c>
      <c r="BZ886">
        <v>12</v>
      </c>
      <c r="CA886">
        <v>388</v>
      </c>
      <c r="CB886">
        <v>0</v>
      </c>
      <c r="CC886">
        <v>0</v>
      </c>
      <c r="CD886">
        <v>0</v>
      </c>
      <c r="CE886">
        <v>71</v>
      </c>
      <c r="CF886">
        <v>128.95600000000002</v>
      </c>
      <c r="CG886">
        <v>0</v>
      </c>
      <c r="CH886">
        <v>9.1710000000000012</v>
      </c>
      <c r="CI886">
        <v>2</v>
      </c>
      <c r="CJ886">
        <v>4</v>
      </c>
      <c r="CK886">
        <v>0</v>
      </c>
      <c r="CL886">
        <v>9.1710000000000012</v>
      </c>
      <c r="CM886">
        <v>29.056000000000001</v>
      </c>
      <c r="CN886">
        <v>0</v>
      </c>
      <c r="CO886">
        <v>0</v>
      </c>
      <c r="CP886">
        <v>0</v>
      </c>
      <c r="CQ886">
        <v>0</v>
      </c>
      <c r="CR886">
        <v>0</v>
      </c>
      <c r="CS886">
        <v>0</v>
      </c>
      <c r="CT886">
        <v>0</v>
      </c>
      <c r="CU886">
        <v>5.7629999999999999</v>
      </c>
      <c r="CV886">
        <v>68.290999999999997</v>
      </c>
      <c r="CW886">
        <v>30.742000000000001</v>
      </c>
      <c r="CX886">
        <v>0</v>
      </c>
      <c r="CY886" s="2043">
        <v>0</v>
      </c>
      <c r="CZ886" s="2043">
        <v>0</v>
      </c>
      <c r="DA886" s="2043">
        <v>0</v>
      </c>
      <c r="DB886" s="2043">
        <v>0</v>
      </c>
      <c r="DC886" s="2043">
        <v>0</v>
      </c>
      <c r="DI886" t="s">
        <v>3157</v>
      </c>
      <c r="DJ886" t="s">
        <v>5194</v>
      </c>
      <c r="DK886" s="2042">
        <f t="shared" si="15"/>
        <v>1</v>
      </c>
    </row>
    <row r="887" spans="1:115">
      <c r="A887" t="s">
        <v>5195</v>
      </c>
      <c r="B887" t="s">
        <v>21</v>
      </c>
      <c r="C887">
        <v>203.488</v>
      </c>
      <c r="D887">
        <v>228.27800000000002</v>
      </c>
      <c r="E887">
        <v>0</v>
      </c>
      <c r="F887">
        <v>0</v>
      </c>
      <c r="G887" s="2043">
        <v>257936310</v>
      </c>
      <c r="H887">
        <v>-23314</v>
      </c>
      <c r="I887" s="2043">
        <v>221200</v>
      </c>
      <c r="J887">
        <v>10.174000000000001</v>
      </c>
      <c r="K887">
        <v>28</v>
      </c>
      <c r="L887">
        <v>0</v>
      </c>
      <c r="M887">
        <v>0</v>
      </c>
      <c r="N887">
        <v>0</v>
      </c>
      <c r="O887">
        <v>0</v>
      </c>
      <c r="P887">
        <v>0</v>
      </c>
      <c r="Q887">
        <v>0</v>
      </c>
      <c r="R887" s="2043">
        <v>2077679</v>
      </c>
      <c r="S887">
        <v>194312</v>
      </c>
      <c r="T887">
        <v>141605</v>
      </c>
      <c r="U887">
        <v>0.08</v>
      </c>
      <c r="V887">
        <v>0</v>
      </c>
      <c r="W887">
        <v>0</v>
      </c>
      <c r="X887">
        <v>23314</v>
      </c>
      <c r="Y887">
        <v>-23314</v>
      </c>
      <c r="Z887">
        <v>0</v>
      </c>
      <c r="AA887">
        <v>0</v>
      </c>
      <c r="AB887">
        <v>228.27800000000002</v>
      </c>
      <c r="AC887" s="2043">
        <v>215692807</v>
      </c>
      <c r="AD887">
        <v>228568</v>
      </c>
      <c r="AE887" s="2043">
        <v>2413596</v>
      </c>
      <c r="AF887">
        <v>0.99370000000000003</v>
      </c>
      <c r="AG887">
        <v>0</v>
      </c>
      <c r="AH887">
        <v>23314</v>
      </c>
      <c r="AI887">
        <v>0</v>
      </c>
      <c r="AJ887">
        <v>47.6</v>
      </c>
      <c r="AK887">
        <v>1265</v>
      </c>
      <c r="AL887">
        <v>0</v>
      </c>
      <c r="AM887">
        <v>0</v>
      </c>
      <c r="AN887">
        <v>13.258000000000001</v>
      </c>
      <c r="AO887">
        <v>0</v>
      </c>
      <c r="AP887">
        <v>0</v>
      </c>
      <c r="AQ887">
        <v>0</v>
      </c>
      <c r="AR887">
        <v>4.351</v>
      </c>
      <c r="AS887">
        <v>0</v>
      </c>
      <c r="AT887">
        <v>1.4220000000000002</v>
      </c>
      <c r="AU887">
        <v>0.58500000000000008</v>
      </c>
      <c r="AV887">
        <v>0</v>
      </c>
      <c r="AW887">
        <v>6.3580000000000005</v>
      </c>
      <c r="AX887">
        <v>0</v>
      </c>
      <c r="AY887">
        <v>20.244</v>
      </c>
      <c r="AZ887">
        <v>0</v>
      </c>
      <c r="BA887">
        <v>672565</v>
      </c>
      <c r="BB887">
        <v>2642164</v>
      </c>
      <c r="BC887">
        <v>0</v>
      </c>
      <c r="BD887">
        <v>54284</v>
      </c>
      <c r="BE887">
        <v>0</v>
      </c>
      <c r="BF887">
        <v>75741</v>
      </c>
      <c r="BG887">
        <v>54284</v>
      </c>
      <c r="BH887">
        <v>21457</v>
      </c>
      <c r="BI887">
        <v>0</v>
      </c>
      <c r="BJ887">
        <v>0</v>
      </c>
      <c r="BK887">
        <v>0</v>
      </c>
      <c r="BL887">
        <v>257936310</v>
      </c>
      <c r="BM887">
        <v>0</v>
      </c>
      <c r="BN887">
        <v>1170</v>
      </c>
      <c r="BO887">
        <v>770</v>
      </c>
      <c r="BP887">
        <v>0</v>
      </c>
      <c r="BQ887">
        <v>0</v>
      </c>
      <c r="BR887">
        <v>0.85540000000000005</v>
      </c>
      <c r="BS887">
        <v>0.85540000000000005</v>
      </c>
      <c r="BT887">
        <v>0</v>
      </c>
      <c r="BU887">
        <v>0</v>
      </c>
      <c r="BV887">
        <v>0</v>
      </c>
      <c r="BW887">
        <v>98</v>
      </c>
      <c r="BX887">
        <v>93</v>
      </c>
      <c r="BY887">
        <v>2</v>
      </c>
      <c r="BZ887">
        <v>2</v>
      </c>
      <c r="CA887">
        <v>195</v>
      </c>
      <c r="CB887">
        <v>0</v>
      </c>
      <c r="CC887">
        <v>0</v>
      </c>
      <c r="CD887">
        <v>0</v>
      </c>
      <c r="CE887">
        <v>7</v>
      </c>
      <c r="CF887">
        <v>51.394000000000005</v>
      </c>
      <c r="CG887">
        <v>0</v>
      </c>
      <c r="CH887">
        <v>0</v>
      </c>
      <c r="CI887">
        <v>0</v>
      </c>
      <c r="CJ887">
        <v>0</v>
      </c>
      <c r="CK887">
        <v>0</v>
      </c>
      <c r="CL887">
        <v>0</v>
      </c>
      <c r="CM887">
        <v>0</v>
      </c>
      <c r="CN887">
        <v>0</v>
      </c>
      <c r="CO887">
        <v>0</v>
      </c>
      <c r="CP887">
        <v>0</v>
      </c>
      <c r="CQ887">
        <v>0</v>
      </c>
      <c r="CR887">
        <v>0</v>
      </c>
      <c r="CS887">
        <v>0</v>
      </c>
      <c r="CT887">
        <v>0</v>
      </c>
      <c r="CU887">
        <v>2.4590000000000001</v>
      </c>
      <c r="CV887">
        <v>18.512</v>
      </c>
      <c r="CW887">
        <v>10.593</v>
      </c>
      <c r="CX887">
        <v>0</v>
      </c>
      <c r="CY887" s="2043">
        <v>0</v>
      </c>
      <c r="CZ887" s="2043">
        <v>0</v>
      </c>
      <c r="DA887" s="2043">
        <v>0</v>
      </c>
      <c r="DB887" s="2043">
        <v>0</v>
      </c>
      <c r="DC887" s="2043">
        <v>8762</v>
      </c>
      <c r="DI887" t="s">
        <v>5195</v>
      </c>
      <c r="DJ887" t="s">
        <v>5195</v>
      </c>
      <c r="DK887" s="2042">
        <f t="shared" si="15"/>
        <v>0</v>
      </c>
    </row>
    <row r="888" spans="1:115">
      <c r="A888" t="s">
        <v>3158</v>
      </c>
      <c r="B888" t="s">
        <v>965</v>
      </c>
      <c r="C888">
        <v>885.202</v>
      </c>
      <c r="D888">
        <v>963.71600000000001</v>
      </c>
      <c r="E888">
        <v>1.9570000000000001</v>
      </c>
      <c r="F888">
        <v>0</v>
      </c>
      <c r="G888" s="2043">
        <v>317851816</v>
      </c>
      <c r="H888">
        <v>0</v>
      </c>
      <c r="I888" s="2043">
        <v>747225</v>
      </c>
      <c r="J888">
        <v>44.26</v>
      </c>
      <c r="K888">
        <v>121</v>
      </c>
      <c r="L888">
        <v>0</v>
      </c>
      <c r="M888">
        <v>343700</v>
      </c>
      <c r="N888">
        <v>0</v>
      </c>
      <c r="O888">
        <v>343700</v>
      </c>
      <c r="P888">
        <v>0</v>
      </c>
      <c r="Q888">
        <v>0</v>
      </c>
      <c r="R888" s="2043">
        <v>2428191</v>
      </c>
      <c r="S888">
        <v>219995</v>
      </c>
      <c r="T888">
        <v>159496</v>
      </c>
      <c r="U888">
        <v>0.08</v>
      </c>
      <c r="V888">
        <v>0</v>
      </c>
      <c r="W888">
        <v>0</v>
      </c>
      <c r="X888">
        <v>0</v>
      </c>
      <c r="Y888">
        <v>0</v>
      </c>
      <c r="Z888">
        <v>1.93</v>
      </c>
      <c r="AA888">
        <v>6.4000000000000001E-2</v>
      </c>
      <c r="AB888">
        <v>895.82100000000003</v>
      </c>
      <c r="AC888" s="2043">
        <v>278013381</v>
      </c>
      <c r="AD888">
        <v>683004</v>
      </c>
      <c r="AE888" s="2043">
        <v>2807682</v>
      </c>
      <c r="AF888">
        <v>1.0210000000000001</v>
      </c>
      <c r="AG888">
        <v>0</v>
      </c>
      <c r="AH888">
        <v>0</v>
      </c>
      <c r="AI888">
        <v>0</v>
      </c>
      <c r="AJ888">
        <v>181.28800000000001</v>
      </c>
      <c r="AK888">
        <v>5960</v>
      </c>
      <c r="AL888">
        <v>1.6E-2</v>
      </c>
      <c r="AM888">
        <v>0</v>
      </c>
      <c r="AN888">
        <v>69.387</v>
      </c>
      <c r="AO888">
        <v>0</v>
      </c>
      <c r="AP888">
        <v>0</v>
      </c>
      <c r="AQ888">
        <v>0</v>
      </c>
      <c r="AR888">
        <v>10.962</v>
      </c>
      <c r="AS888">
        <v>0</v>
      </c>
      <c r="AT888">
        <v>22.16</v>
      </c>
      <c r="AU888">
        <v>3.0700000000000003</v>
      </c>
      <c r="AV888">
        <v>0</v>
      </c>
      <c r="AW888">
        <v>36.207999999999998</v>
      </c>
      <c r="AX888">
        <v>0</v>
      </c>
      <c r="AY888">
        <v>114.79600000000001</v>
      </c>
      <c r="AZ888">
        <v>0</v>
      </c>
      <c r="BA888">
        <v>9062504</v>
      </c>
      <c r="BB888">
        <v>3490686</v>
      </c>
      <c r="BC888">
        <v>0</v>
      </c>
      <c r="BD888">
        <v>167298</v>
      </c>
      <c r="BE888">
        <v>64928</v>
      </c>
      <c r="BF888">
        <v>247948</v>
      </c>
      <c r="BG888">
        <v>167298</v>
      </c>
      <c r="BH888">
        <v>15722</v>
      </c>
      <c r="BI888">
        <v>0</v>
      </c>
      <c r="BJ888">
        <v>0</v>
      </c>
      <c r="BK888">
        <v>0</v>
      </c>
      <c r="BL888">
        <v>317851816</v>
      </c>
      <c r="BM888">
        <v>0</v>
      </c>
      <c r="BN888">
        <v>3276</v>
      </c>
      <c r="BO888">
        <v>2868</v>
      </c>
      <c r="BP888">
        <v>0</v>
      </c>
      <c r="BQ888">
        <v>0</v>
      </c>
      <c r="BR888">
        <v>0.88300000000000001</v>
      </c>
      <c r="BS888">
        <v>0.88300000000000001</v>
      </c>
      <c r="BT888">
        <v>0</v>
      </c>
      <c r="BU888">
        <v>0</v>
      </c>
      <c r="BV888">
        <v>2</v>
      </c>
      <c r="BW888">
        <v>147</v>
      </c>
      <c r="BX888">
        <v>503</v>
      </c>
      <c r="BY888">
        <v>58</v>
      </c>
      <c r="BZ888">
        <v>18</v>
      </c>
      <c r="CA888">
        <v>728</v>
      </c>
      <c r="CB888">
        <v>0</v>
      </c>
      <c r="CC888">
        <v>0</v>
      </c>
      <c r="CD888">
        <v>0</v>
      </c>
      <c r="CE888">
        <v>108</v>
      </c>
      <c r="CF888">
        <v>198.191</v>
      </c>
      <c r="CG888">
        <v>0</v>
      </c>
      <c r="CH888">
        <v>0</v>
      </c>
      <c r="CI888">
        <v>0</v>
      </c>
      <c r="CJ888">
        <v>0</v>
      </c>
      <c r="CK888">
        <v>0</v>
      </c>
      <c r="CL888">
        <v>0</v>
      </c>
      <c r="CM888">
        <v>1.9570000000000001</v>
      </c>
      <c r="CN888">
        <v>0</v>
      </c>
      <c r="CO888">
        <v>0</v>
      </c>
      <c r="CP888">
        <v>0</v>
      </c>
      <c r="CQ888">
        <v>0</v>
      </c>
      <c r="CR888">
        <v>0</v>
      </c>
      <c r="CS888">
        <v>0</v>
      </c>
      <c r="CT888">
        <v>0</v>
      </c>
      <c r="CU888">
        <v>7.4620000000000006</v>
      </c>
      <c r="CV888">
        <v>77.89</v>
      </c>
      <c r="CW888">
        <v>44.557000000000002</v>
      </c>
      <c r="CX888">
        <v>0</v>
      </c>
      <c r="CY888" s="2043">
        <v>0</v>
      </c>
      <c r="CZ888" s="2043">
        <v>0</v>
      </c>
      <c r="DA888" s="2043">
        <v>0</v>
      </c>
      <c r="DB888" s="2043">
        <v>0</v>
      </c>
      <c r="DC888" s="2043">
        <v>0</v>
      </c>
      <c r="DI888" t="s">
        <v>3158</v>
      </c>
      <c r="DJ888" t="s">
        <v>3158</v>
      </c>
      <c r="DK888" s="2042">
        <f t="shared" si="15"/>
        <v>0</v>
      </c>
    </row>
    <row r="889" spans="1:115">
      <c r="A889" t="s">
        <v>3159</v>
      </c>
      <c r="B889" t="s">
        <v>1878</v>
      </c>
      <c r="C889">
        <v>479.46900000000005</v>
      </c>
      <c r="D889">
        <v>475.01500000000004</v>
      </c>
      <c r="E889">
        <v>1.042</v>
      </c>
      <c r="F889">
        <v>0</v>
      </c>
      <c r="G889" s="2043">
        <v>593183290</v>
      </c>
      <c r="H889">
        <v>0</v>
      </c>
      <c r="I889" s="2043">
        <v>784000</v>
      </c>
      <c r="J889">
        <v>23.973000000000003</v>
      </c>
      <c r="K889">
        <v>66</v>
      </c>
      <c r="L889">
        <v>0</v>
      </c>
      <c r="M889">
        <v>173765</v>
      </c>
      <c r="N889">
        <v>0</v>
      </c>
      <c r="O889">
        <v>173765</v>
      </c>
      <c r="P889">
        <v>0</v>
      </c>
      <c r="Q889">
        <v>0</v>
      </c>
      <c r="R889" s="2043">
        <v>4757415</v>
      </c>
      <c r="S889">
        <v>288433</v>
      </c>
      <c r="T889">
        <v>0</v>
      </c>
      <c r="U889">
        <v>0.05</v>
      </c>
      <c r="V889">
        <v>250.47</v>
      </c>
      <c r="W889">
        <v>0</v>
      </c>
      <c r="X889">
        <v>0</v>
      </c>
      <c r="Y889">
        <v>401562</v>
      </c>
      <c r="Z889">
        <v>0</v>
      </c>
      <c r="AA889">
        <v>0</v>
      </c>
      <c r="AB889">
        <v>468.30400000000003</v>
      </c>
      <c r="AC889" s="2043">
        <v>615002740</v>
      </c>
      <c r="AD889">
        <v>955388</v>
      </c>
      <c r="AE889" s="2043">
        <v>5045848</v>
      </c>
      <c r="AF889">
        <v>0.87470000000000003</v>
      </c>
      <c r="AG889">
        <v>0</v>
      </c>
      <c r="AH889">
        <v>0</v>
      </c>
      <c r="AI889">
        <v>0</v>
      </c>
      <c r="AJ889">
        <v>76.688000000000002</v>
      </c>
      <c r="AK889">
        <v>3147</v>
      </c>
      <c r="AL889">
        <v>0.30599999999999999</v>
      </c>
      <c r="AM889">
        <v>0</v>
      </c>
      <c r="AN889">
        <v>5.3290000000000006</v>
      </c>
      <c r="AO889">
        <v>0</v>
      </c>
      <c r="AP889">
        <v>0</v>
      </c>
      <c r="AQ889">
        <v>0</v>
      </c>
      <c r="AR889">
        <v>23.512</v>
      </c>
      <c r="AS889">
        <v>0</v>
      </c>
      <c r="AT889">
        <v>3.4210000000000003</v>
      </c>
      <c r="AU889">
        <v>0.92300000000000004</v>
      </c>
      <c r="AV889">
        <v>0</v>
      </c>
      <c r="AW889">
        <v>28.667000000000002</v>
      </c>
      <c r="AX889">
        <v>0.505</v>
      </c>
      <c r="AY889">
        <v>88.106000000000009</v>
      </c>
      <c r="AZ889">
        <v>0</v>
      </c>
      <c r="BA889">
        <v>1560130</v>
      </c>
      <c r="BB889">
        <v>6001236</v>
      </c>
      <c r="BC889">
        <v>0</v>
      </c>
      <c r="BD889">
        <v>38474</v>
      </c>
      <c r="BE889">
        <v>14363</v>
      </c>
      <c r="BF889">
        <v>52837</v>
      </c>
      <c r="BG889">
        <v>38474</v>
      </c>
      <c r="BH889">
        <v>0</v>
      </c>
      <c r="BI889">
        <v>0</v>
      </c>
      <c r="BJ889">
        <v>0</v>
      </c>
      <c r="BK889">
        <v>0</v>
      </c>
      <c r="BL889">
        <v>593183290</v>
      </c>
      <c r="BM889">
        <v>0</v>
      </c>
      <c r="BN889">
        <v>1629</v>
      </c>
      <c r="BO889">
        <v>1316</v>
      </c>
      <c r="BP889">
        <v>0</v>
      </c>
      <c r="BQ889">
        <v>0</v>
      </c>
      <c r="BR889">
        <v>0.82469999999999999</v>
      </c>
      <c r="BS889">
        <v>0.82469999999999999</v>
      </c>
      <c r="BT889">
        <v>0</v>
      </c>
      <c r="BU889">
        <v>0</v>
      </c>
      <c r="BV889">
        <v>2</v>
      </c>
      <c r="BW889">
        <v>89</v>
      </c>
      <c r="BX889">
        <v>114</v>
      </c>
      <c r="BY889">
        <v>72</v>
      </c>
      <c r="BZ889">
        <v>28</v>
      </c>
      <c r="CA889">
        <v>305</v>
      </c>
      <c r="CB889">
        <v>0</v>
      </c>
      <c r="CC889">
        <v>0</v>
      </c>
      <c r="CD889">
        <v>0</v>
      </c>
      <c r="CE889">
        <v>6</v>
      </c>
      <c r="CF889">
        <v>96.073000000000008</v>
      </c>
      <c r="CG889">
        <v>0</v>
      </c>
      <c r="CH889">
        <v>0</v>
      </c>
      <c r="CI889">
        <v>3</v>
      </c>
      <c r="CJ889">
        <v>1</v>
      </c>
      <c r="CK889">
        <v>0</v>
      </c>
      <c r="CL889">
        <v>0</v>
      </c>
      <c r="CM889">
        <v>1.042</v>
      </c>
      <c r="CN889">
        <v>0</v>
      </c>
      <c r="CO889">
        <v>0</v>
      </c>
      <c r="CP889">
        <v>0</v>
      </c>
      <c r="CQ889">
        <v>0</v>
      </c>
      <c r="CR889">
        <v>0</v>
      </c>
      <c r="CS889">
        <v>0</v>
      </c>
      <c r="CT889">
        <v>0</v>
      </c>
      <c r="CU889">
        <v>0.998</v>
      </c>
      <c r="CV889">
        <v>28.448</v>
      </c>
      <c r="CW889">
        <v>7.6480000000000006</v>
      </c>
      <c r="CX889">
        <v>0</v>
      </c>
      <c r="CY889" s="2043">
        <v>401562</v>
      </c>
      <c r="CZ889" s="2043">
        <v>0</v>
      </c>
      <c r="DA889" s="2043">
        <v>0</v>
      </c>
      <c r="DB889" s="2043">
        <v>0</v>
      </c>
      <c r="DC889" s="2043">
        <v>353574</v>
      </c>
      <c r="DI889" t="s">
        <v>3159</v>
      </c>
      <c r="DJ889" t="s">
        <v>3159</v>
      </c>
      <c r="DK889" s="2042">
        <f t="shared" si="15"/>
        <v>0</v>
      </c>
    </row>
    <row r="890" spans="1:115">
      <c r="A890" t="s">
        <v>3160</v>
      </c>
      <c r="B890" t="s">
        <v>1453</v>
      </c>
      <c r="C890">
        <v>4887.6490000000003</v>
      </c>
      <c r="D890">
        <v>1241.7440000000001</v>
      </c>
      <c r="E890">
        <v>596.37</v>
      </c>
      <c r="F890">
        <v>0</v>
      </c>
      <c r="G890" s="2043">
        <v>348958533</v>
      </c>
      <c r="H890">
        <v>0</v>
      </c>
      <c r="I890" s="2043">
        <v>318568</v>
      </c>
      <c r="J890">
        <v>201</v>
      </c>
      <c r="K890">
        <v>550</v>
      </c>
      <c r="L890">
        <v>0</v>
      </c>
      <c r="M890">
        <v>0</v>
      </c>
      <c r="N890">
        <v>0</v>
      </c>
      <c r="O890">
        <v>0</v>
      </c>
      <c r="P890">
        <v>0</v>
      </c>
      <c r="Q890">
        <v>0</v>
      </c>
      <c r="R890" s="2043">
        <v>2969122</v>
      </c>
      <c r="S890">
        <v>275941</v>
      </c>
      <c r="T890">
        <v>201092</v>
      </c>
      <c r="U890">
        <v>0.08</v>
      </c>
      <c r="V890">
        <v>0</v>
      </c>
      <c r="W890">
        <v>0</v>
      </c>
      <c r="X890">
        <v>0</v>
      </c>
      <c r="Y890">
        <v>9177338</v>
      </c>
      <c r="Z890">
        <v>0</v>
      </c>
      <c r="AA890">
        <v>3.6000000000000004E-2</v>
      </c>
      <c r="AB890">
        <v>1249.922</v>
      </c>
      <c r="AC890" s="2043">
        <v>340234105</v>
      </c>
      <c r="AD890">
        <v>1214305</v>
      </c>
      <c r="AE890" s="2043">
        <v>3446155</v>
      </c>
      <c r="AF890">
        <v>0.9991000000000001</v>
      </c>
      <c r="AG890">
        <v>0</v>
      </c>
      <c r="AH890">
        <v>0</v>
      </c>
      <c r="AI890">
        <v>0</v>
      </c>
      <c r="AJ890">
        <v>478.55</v>
      </c>
      <c r="AK890">
        <v>12594</v>
      </c>
      <c r="AL890">
        <v>0</v>
      </c>
      <c r="AM890">
        <v>0</v>
      </c>
      <c r="AN890">
        <v>54.331000000000003</v>
      </c>
      <c r="AO890">
        <v>0</v>
      </c>
      <c r="AP890">
        <v>0</v>
      </c>
      <c r="AQ890">
        <v>0</v>
      </c>
      <c r="AR890">
        <v>129.821</v>
      </c>
      <c r="AS890">
        <v>0</v>
      </c>
      <c r="AT890">
        <v>9.7070000000000007</v>
      </c>
      <c r="AU890">
        <v>14.022</v>
      </c>
      <c r="AV890">
        <v>0</v>
      </c>
      <c r="AW890">
        <v>153.55000000000001</v>
      </c>
      <c r="AX890">
        <v>0</v>
      </c>
      <c r="AY890">
        <v>488.69400000000002</v>
      </c>
      <c r="AZ890">
        <v>0</v>
      </c>
      <c r="BA890">
        <v>50588629</v>
      </c>
      <c r="BB890">
        <v>4660460</v>
      </c>
      <c r="BC890">
        <v>0</v>
      </c>
      <c r="BD890">
        <v>25938</v>
      </c>
      <c r="BE890">
        <v>0</v>
      </c>
      <c r="BF890">
        <v>25938</v>
      </c>
      <c r="BG890">
        <v>25938</v>
      </c>
      <c r="BH890">
        <v>0</v>
      </c>
      <c r="BI890">
        <v>0</v>
      </c>
      <c r="BJ890">
        <v>0</v>
      </c>
      <c r="BK890">
        <v>0</v>
      </c>
      <c r="BL890">
        <v>348958533</v>
      </c>
      <c r="BM890">
        <v>550617</v>
      </c>
      <c r="BN890">
        <v>1782</v>
      </c>
      <c r="BO890">
        <v>1006</v>
      </c>
      <c r="BP890">
        <v>0</v>
      </c>
      <c r="BQ890">
        <v>0</v>
      </c>
      <c r="BR890">
        <v>0.86080000000000001</v>
      </c>
      <c r="BS890">
        <v>0.86080000000000001</v>
      </c>
      <c r="BT890">
        <v>8626721</v>
      </c>
      <c r="BU890">
        <v>0</v>
      </c>
      <c r="BV890">
        <v>416</v>
      </c>
      <c r="BW890">
        <v>513</v>
      </c>
      <c r="BX890">
        <v>367</v>
      </c>
      <c r="BY890">
        <v>349</v>
      </c>
      <c r="BZ890">
        <v>290</v>
      </c>
      <c r="CA890">
        <v>1935</v>
      </c>
      <c r="CB890">
        <v>0</v>
      </c>
      <c r="CC890">
        <v>0</v>
      </c>
      <c r="CD890">
        <v>0</v>
      </c>
      <c r="CE890">
        <v>205</v>
      </c>
      <c r="CF890">
        <v>2208.16</v>
      </c>
      <c r="CG890">
        <v>0</v>
      </c>
      <c r="CH890">
        <v>0</v>
      </c>
      <c r="CI890">
        <v>4</v>
      </c>
      <c r="CJ890">
        <v>12</v>
      </c>
      <c r="CK890">
        <v>0</v>
      </c>
      <c r="CL890">
        <v>0</v>
      </c>
      <c r="CM890">
        <v>596.37</v>
      </c>
      <c r="CN890">
        <v>0</v>
      </c>
      <c r="CO890">
        <v>0</v>
      </c>
      <c r="CP890">
        <v>0</v>
      </c>
      <c r="CQ890">
        <v>0</v>
      </c>
      <c r="CR890">
        <v>0</v>
      </c>
      <c r="CS890">
        <v>169.95500000000001</v>
      </c>
      <c r="CT890">
        <v>0</v>
      </c>
      <c r="CU890">
        <v>11.548</v>
      </c>
      <c r="CV890">
        <v>45.711000000000006</v>
      </c>
      <c r="CW890">
        <v>32.241</v>
      </c>
      <c r="CX890">
        <v>8626721</v>
      </c>
      <c r="CY890" s="2043">
        <v>0</v>
      </c>
      <c r="CZ890" s="2043">
        <v>0</v>
      </c>
      <c r="DA890" s="2043">
        <v>0</v>
      </c>
      <c r="DB890" s="2043">
        <v>0</v>
      </c>
      <c r="DC890" s="2043">
        <v>0</v>
      </c>
      <c r="DI890" t="s">
        <v>3160</v>
      </c>
      <c r="DJ890" t="s">
        <v>3160</v>
      </c>
      <c r="DK890" s="2042">
        <f t="shared" si="15"/>
        <v>0</v>
      </c>
    </row>
    <row r="891" spans="1:115">
      <c r="A891" t="s">
        <v>5196</v>
      </c>
      <c r="B891" t="s">
        <v>1774</v>
      </c>
      <c r="C891">
        <v>1739.365</v>
      </c>
      <c r="D891">
        <v>1874.8020000000001</v>
      </c>
      <c r="E891">
        <v>51.541000000000004</v>
      </c>
      <c r="F891">
        <v>0</v>
      </c>
      <c r="G891" s="2043">
        <v>950774789</v>
      </c>
      <c r="H891">
        <v>0</v>
      </c>
      <c r="I891" s="2043">
        <v>830250</v>
      </c>
      <c r="J891">
        <v>86.968000000000004</v>
      </c>
      <c r="K891">
        <v>238</v>
      </c>
      <c r="L891">
        <v>0</v>
      </c>
      <c r="M891">
        <v>0</v>
      </c>
      <c r="N891">
        <v>0</v>
      </c>
      <c r="O891">
        <v>0</v>
      </c>
      <c r="P891">
        <v>0</v>
      </c>
      <c r="Q891">
        <v>0</v>
      </c>
      <c r="R891" s="2043">
        <v>7939041</v>
      </c>
      <c r="S891">
        <v>747820</v>
      </c>
      <c r="T891">
        <v>90673</v>
      </c>
      <c r="U891">
        <v>0.08</v>
      </c>
      <c r="V891">
        <v>0</v>
      </c>
      <c r="W891">
        <v>0</v>
      </c>
      <c r="X891">
        <v>0</v>
      </c>
      <c r="Y891">
        <v>-5363</v>
      </c>
      <c r="Z891">
        <v>0</v>
      </c>
      <c r="AA891">
        <v>0.2</v>
      </c>
      <c r="AB891">
        <v>1816.8320000000001</v>
      </c>
      <c r="AC891" s="2043">
        <v>829445078</v>
      </c>
      <c r="AD891">
        <v>836994</v>
      </c>
      <c r="AE891" s="2043">
        <v>8777534</v>
      </c>
      <c r="AF891">
        <v>0.93900000000000006</v>
      </c>
      <c r="AG891">
        <v>0</v>
      </c>
      <c r="AH891">
        <v>0</v>
      </c>
      <c r="AI891">
        <v>0</v>
      </c>
      <c r="AJ891">
        <v>362.6</v>
      </c>
      <c r="AK891">
        <v>9294</v>
      </c>
      <c r="AL891">
        <v>0</v>
      </c>
      <c r="AM891">
        <v>0</v>
      </c>
      <c r="AN891">
        <v>139.82</v>
      </c>
      <c r="AO891">
        <v>0</v>
      </c>
      <c r="AP891">
        <v>0</v>
      </c>
      <c r="AQ891">
        <v>0</v>
      </c>
      <c r="AR891">
        <v>48.708000000000006</v>
      </c>
      <c r="AS891">
        <v>0</v>
      </c>
      <c r="AT891">
        <v>15.885000000000002</v>
      </c>
      <c r="AU891">
        <v>4.5880000000000001</v>
      </c>
      <c r="AV891">
        <v>0</v>
      </c>
      <c r="AW891">
        <v>69.180999999999997</v>
      </c>
      <c r="AX891">
        <v>0</v>
      </c>
      <c r="AY891">
        <v>216.71900000000002</v>
      </c>
      <c r="AZ891">
        <v>0</v>
      </c>
      <c r="BA891">
        <v>10168545</v>
      </c>
      <c r="BB891">
        <v>9614528</v>
      </c>
      <c r="BC891">
        <v>0</v>
      </c>
      <c r="BD891">
        <v>41581</v>
      </c>
      <c r="BE891">
        <v>16469</v>
      </c>
      <c r="BF891">
        <v>58050</v>
      </c>
      <c r="BG891">
        <v>41581</v>
      </c>
      <c r="BH891">
        <v>0</v>
      </c>
      <c r="BI891">
        <v>0</v>
      </c>
      <c r="BJ891">
        <v>-5363</v>
      </c>
      <c r="BK891">
        <v>0</v>
      </c>
      <c r="BL891">
        <v>950774789</v>
      </c>
      <c r="BM891">
        <v>0</v>
      </c>
      <c r="BN891">
        <v>7092</v>
      </c>
      <c r="BO891">
        <v>1648</v>
      </c>
      <c r="BP891">
        <v>0</v>
      </c>
      <c r="BQ891">
        <v>0</v>
      </c>
      <c r="BR891">
        <v>0.84930000000000005</v>
      </c>
      <c r="BS891">
        <v>0.84930000000000005</v>
      </c>
      <c r="BT891">
        <v>0</v>
      </c>
      <c r="BU891">
        <v>0</v>
      </c>
      <c r="BV891">
        <v>63</v>
      </c>
      <c r="BW891">
        <v>303</v>
      </c>
      <c r="BX891">
        <v>252</v>
      </c>
      <c r="BY891">
        <v>347</v>
      </c>
      <c r="BZ891">
        <v>445</v>
      </c>
      <c r="CA891">
        <v>1410</v>
      </c>
      <c r="CB891">
        <v>0</v>
      </c>
      <c r="CC891">
        <v>0</v>
      </c>
      <c r="CD891">
        <v>0</v>
      </c>
      <c r="CE891">
        <v>175</v>
      </c>
      <c r="CF891">
        <v>379.94100000000003</v>
      </c>
      <c r="CG891">
        <v>0</v>
      </c>
      <c r="CH891">
        <v>0</v>
      </c>
      <c r="CI891">
        <v>2</v>
      </c>
      <c r="CJ891">
        <v>16</v>
      </c>
      <c r="CK891">
        <v>0</v>
      </c>
      <c r="CL891">
        <v>0</v>
      </c>
      <c r="CM891">
        <v>51.541000000000004</v>
      </c>
      <c r="CN891">
        <v>0</v>
      </c>
      <c r="CO891">
        <v>0</v>
      </c>
      <c r="CP891">
        <v>0</v>
      </c>
      <c r="CQ891">
        <v>0</v>
      </c>
      <c r="CR891">
        <v>0</v>
      </c>
      <c r="CS891">
        <v>0</v>
      </c>
      <c r="CT891">
        <v>0</v>
      </c>
      <c r="CU891">
        <v>14.065000000000001</v>
      </c>
      <c r="CV891">
        <v>81.582999999999998</v>
      </c>
      <c r="CW891">
        <v>55.555</v>
      </c>
      <c r="CX891">
        <v>0</v>
      </c>
      <c r="CY891" s="2043">
        <v>0</v>
      </c>
      <c r="CZ891" s="2043">
        <v>0</v>
      </c>
      <c r="DA891" s="2043">
        <v>0</v>
      </c>
      <c r="DB891" s="2043">
        <v>0</v>
      </c>
      <c r="DC891" s="2043">
        <v>0</v>
      </c>
      <c r="DI891" t="s">
        <v>5196</v>
      </c>
      <c r="DJ891" t="s">
        <v>5196</v>
      </c>
      <c r="DK891" s="2042">
        <f t="shared" si="15"/>
        <v>0</v>
      </c>
    </row>
    <row r="892" spans="1:115">
      <c r="A892" t="s">
        <v>5197</v>
      </c>
      <c r="B892" t="s">
        <v>2184</v>
      </c>
      <c r="C892">
        <v>146.01900000000001</v>
      </c>
      <c r="D892">
        <v>152.446</v>
      </c>
      <c r="E892">
        <v>2.8580000000000001</v>
      </c>
      <c r="F892">
        <v>0</v>
      </c>
      <c r="G892" s="2043">
        <v>679675762</v>
      </c>
      <c r="H892">
        <v>0</v>
      </c>
      <c r="I892" s="2043">
        <v>0</v>
      </c>
      <c r="J892">
        <v>7.3010000000000002</v>
      </c>
      <c r="K892">
        <v>20</v>
      </c>
      <c r="L892">
        <v>0</v>
      </c>
      <c r="M892">
        <v>0</v>
      </c>
      <c r="N892">
        <v>0</v>
      </c>
      <c r="O892">
        <v>0</v>
      </c>
      <c r="P892">
        <v>0</v>
      </c>
      <c r="Q892">
        <v>0</v>
      </c>
      <c r="R892" s="2043">
        <v>5940502</v>
      </c>
      <c r="S892">
        <v>338336</v>
      </c>
      <c r="T892">
        <v>0</v>
      </c>
      <c r="U892">
        <v>0.05</v>
      </c>
      <c r="V892">
        <v>0</v>
      </c>
      <c r="W892">
        <v>4082283</v>
      </c>
      <c r="X892">
        <v>0</v>
      </c>
      <c r="Y892">
        <v>4333041</v>
      </c>
      <c r="Z892">
        <v>0</v>
      </c>
      <c r="AA892">
        <v>0</v>
      </c>
      <c r="AB892">
        <v>152.446</v>
      </c>
      <c r="AC892" s="2043">
        <v>896688181</v>
      </c>
      <c r="AD892">
        <v>0</v>
      </c>
      <c r="AE892" s="2043">
        <v>6278838</v>
      </c>
      <c r="AF892">
        <v>0.92790000000000006</v>
      </c>
      <c r="AG892">
        <v>0</v>
      </c>
      <c r="AH892">
        <v>4082283</v>
      </c>
      <c r="AI892">
        <v>0</v>
      </c>
      <c r="AJ892">
        <v>14.588000000000001</v>
      </c>
      <c r="AK892">
        <v>738</v>
      </c>
      <c r="AL892">
        <v>0</v>
      </c>
      <c r="AM892">
        <v>0</v>
      </c>
      <c r="AN892">
        <v>11.933</v>
      </c>
      <c r="AO892">
        <v>0</v>
      </c>
      <c r="AP892">
        <v>0</v>
      </c>
      <c r="AQ892">
        <v>0</v>
      </c>
      <c r="AR892">
        <v>1.2290000000000001</v>
      </c>
      <c r="AS892">
        <v>0</v>
      </c>
      <c r="AT892">
        <v>0.45300000000000001</v>
      </c>
      <c r="AU892">
        <v>0.35200000000000004</v>
      </c>
      <c r="AV892">
        <v>0</v>
      </c>
      <c r="AW892">
        <v>2.0340000000000003</v>
      </c>
      <c r="AX892">
        <v>0</v>
      </c>
      <c r="AY892">
        <v>6.806</v>
      </c>
      <c r="AZ892">
        <v>0</v>
      </c>
      <c r="BA892">
        <v>4410924</v>
      </c>
      <c r="BB892">
        <v>6278838</v>
      </c>
      <c r="BC892">
        <v>0</v>
      </c>
      <c r="BD892">
        <v>72141</v>
      </c>
      <c r="BE892">
        <v>2989</v>
      </c>
      <c r="BF892">
        <v>75130</v>
      </c>
      <c r="BG892">
        <v>72141</v>
      </c>
      <c r="BH892">
        <v>0</v>
      </c>
      <c r="BI892">
        <v>0</v>
      </c>
      <c r="BJ892">
        <v>0</v>
      </c>
      <c r="BK892">
        <v>0</v>
      </c>
      <c r="BL892">
        <v>679675762</v>
      </c>
      <c r="BM892">
        <v>0</v>
      </c>
      <c r="BN892">
        <v>558</v>
      </c>
      <c r="BO892">
        <v>567</v>
      </c>
      <c r="BP892">
        <v>0</v>
      </c>
      <c r="BQ892">
        <v>0</v>
      </c>
      <c r="BR892">
        <v>0.87790000000000001</v>
      </c>
      <c r="BS892">
        <v>0.87790000000000001</v>
      </c>
      <c r="BT892">
        <v>0</v>
      </c>
      <c r="BU892">
        <v>0</v>
      </c>
      <c r="BV892">
        <v>15</v>
      </c>
      <c r="BW892">
        <v>34</v>
      </c>
      <c r="BX892">
        <v>6</v>
      </c>
      <c r="BY892">
        <v>1</v>
      </c>
      <c r="BZ892">
        <v>5</v>
      </c>
      <c r="CA892">
        <v>61</v>
      </c>
      <c r="CB892">
        <v>0</v>
      </c>
      <c r="CC892">
        <v>0</v>
      </c>
      <c r="CD892">
        <v>0</v>
      </c>
      <c r="CE892">
        <v>8</v>
      </c>
      <c r="CF892">
        <v>18.695</v>
      </c>
      <c r="CG892">
        <v>0</v>
      </c>
      <c r="CH892">
        <v>0</v>
      </c>
      <c r="CI892">
        <v>0</v>
      </c>
      <c r="CJ892">
        <v>2</v>
      </c>
      <c r="CK892">
        <v>0</v>
      </c>
      <c r="CL892">
        <v>0</v>
      </c>
      <c r="CM892">
        <v>2.8580000000000001</v>
      </c>
      <c r="CN892">
        <v>0</v>
      </c>
      <c r="CO892">
        <v>0</v>
      </c>
      <c r="CP892">
        <v>0</v>
      </c>
      <c r="CQ892">
        <v>0</v>
      </c>
      <c r="CR892">
        <v>0</v>
      </c>
      <c r="CS892">
        <v>0</v>
      </c>
      <c r="CT892">
        <v>0</v>
      </c>
      <c r="CU892">
        <v>0</v>
      </c>
      <c r="CV892">
        <v>7.1670000000000007</v>
      </c>
      <c r="CW892">
        <v>8.1950000000000003</v>
      </c>
      <c r="CX892">
        <v>0</v>
      </c>
      <c r="CY892" s="2043">
        <v>4333041</v>
      </c>
      <c r="CZ892" s="2043">
        <v>0</v>
      </c>
      <c r="DA892" s="2043">
        <v>0</v>
      </c>
      <c r="DB892" s="2043">
        <v>0</v>
      </c>
      <c r="DC892" s="2043">
        <v>93844</v>
      </c>
      <c r="DI892" t="s">
        <v>5197</v>
      </c>
      <c r="DJ892" t="s">
        <v>5197</v>
      </c>
      <c r="DK892" s="2042">
        <f t="shared" si="15"/>
        <v>0</v>
      </c>
    </row>
    <row r="893" spans="1:115">
      <c r="A893" t="s">
        <v>5198</v>
      </c>
      <c r="B893" t="s">
        <v>402</v>
      </c>
      <c r="C893">
        <v>206.447</v>
      </c>
      <c r="D893">
        <v>218.63200000000001</v>
      </c>
      <c r="E893">
        <v>0</v>
      </c>
      <c r="F893">
        <v>0</v>
      </c>
      <c r="G893" s="2043">
        <v>365660747</v>
      </c>
      <c r="H893">
        <v>0</v>
      </c>
      <c r="I893" s="2043">
        <v>834925</v>
      </c>
      <c r="J893">
        <v>10.322000000000001</v>
      </c>
      <c r="K893">
        <v>28</v>
      </c>
      <c r="L893">
        <v>0</v>
      </c>
      <c r="M893">
        <v>0</v>
      </c>
      <c r="N893">
        <v>0</v>
      </c>
      <c r="O893">
        <v>0</v>
      </c>
      <c r="P893">
        <v>0</v>
      </c>
      <c r="Q893">
        <v>0</v>
      </c>
      <c r="R893" s="2043">
        <v>2998486</v>
      </c>
      <c r="S893">
        <v>291823</v>
      </c>
      <c r="T893">
        <v>188956</v>
      </c>
      <c r="U893">
        <v>0.08</v>
      </c>
      <c r="V893">
        <v>0</v>
      </c>
      <c r="W893">
        <v>713015</v>
      </c>
      <c r="X893">
        <v>91240</v>
      </c>
      <c r="Y893">
        <v>467204</v>
      </c>
      <c r="Z893">
        <v>0</v>
      </c>
      <c r="AA893">
        <v>0</v>
      </c>
      <c r="AB893">
        <v>205.37900000000002</v>
      </c>
      <c r="AC893" s="2043">
        <v>282005314</v>
      </c>
      <c r="AD893">
        <v>840105</v>
      </c>
      <c r="AE893" s="2043">
        <v>3479265</v>
      </c>
      <c r="AF893">
        <v>0.95380000000000009</v>
      </c>
      <c r="AG893">
        <v>0</v>
      </c>
      <c r="AH893">
        <v>804256</v>
      </c>
      <c r="AI893">
        <v>0</v>
      </c>
      <c r="AJ893">
        <v>13.85</v>
      </c>
      <c r="AK893">
        <v>811</v>
      </c>
      <c r="AL893">
        <v>0</v>
      </c>
      <c r="AM893">
        <v>0</v>
      </c>
      <c r="AN893">
        <v>4.2149999999999999</v>
      </c>
      <c r="AO893">
        <v>0</v>
      </c>
      <c r="AP893">
        <v>0</v>
      </c>
      <c r="AQ893">
        <v>0</v>
      </c>
      <c r="AR893">
        <v>5.7280000000000006</v>
      </c>
      <c r="AS893">
        <v>0</v>
      </c>
      <c r="AT893">
        <v>0</v>
      </c>
      <c r="AU893">
        <v>0.161</v>
      </c>
      <c r="AV893">
        <v>0</v>
      </c>
      <c r="AW893">
        <v>5.8890000000000002</v>
      </c>
      <c r="AX893">
        <v>0</v>
      </c>
      <c r="AY893">
        <v>17.989000000000001</v>
      </c>
      <c r="AZ893">
        <v>0</v>
      </c>
      <c r="BA893">
        <v>589674</v>
      </c>
      <c r="BB893">
        <v>4319370</v>
      </c>
      <c r="BC893">
        <v>0</v>
      </c>
      <c r="BD893">
        <v>18817</v>
      </c>
      <c r="BE893">
        <v>0</v>
      </c>
      <c r="BF893">
        <v>18817</v>
      </c>
      <c r="BG893">
        <v>18817</v>
      </c>
      <c r="BH893">
        <v>0</v>
      </c>
      <c r="BI893">
        <v>0</v>
      </c>
      <c r="BJ893">
        <v>0</v>
      </c>
      <c r="BK893">
        <v>0</v>
      </c>
      <c r="BL893">
        <v>365660747</v>
      </c>
      <c r="BM893">
        <v>0</v>
      </c>
      <c r="BN893">
        <v>855</v>
      </c>
      <c r="BO893">
        <v>792</v>
      </c>
      <c r="BP893">
        <v>0</v>
      </c>
      <c r="BQ893">
        <v>0</v>
      </c>
      <c r="BR893">
        <v>0.82200000000000006</v>
      </c>
      <c r="BS893">
        <v>0.82200000000000006</v>
      </c>
      <c r="BT893">
        <v>0</v>
      </c>
      <c r="BU893">
        <v>467204</v>
      </c>
      <c r="BV893">
        <v>28</v>
      </c>
      <c r="BW893">
        <v>16</v>
      </c>
      <c r="BX893">
        <v>4</v>
      </c>
      <c r="BY893">
        <v>0</v>
      </c>
      <c r="BZ893">
        <v>10</v>
      </c>
      <c r="CA893">
        <v>58</v>
      </c>
      <c r="CB893">
        <v>0</v>
      </c>
      <c r="CC893">
        <v>0</v>
      </c>
      <c r="CD893">
        <v>0</v>
      </c>
      <c r="CE893">
        <v>14</v>
      </c>
      <c r="CF893">
        <v>13.780000000000001</v>
      </c>
      <c r="CG893">
        <v>0</v>
      </c>
      <c r="CH893">
        <v>0</v>
      </c>
      <c r="CI893">
        <v>1</v>
      </c>
      <c r="CJ893">
        <v>1</v>
      </c>
      <c r="CK893">
        <v>0</v>
      </c>
      <c r="CL893">
        <v>0</v>
      </c>
      <c r="CM893">
        <v>0</v>
      </c>
      <c r="CN893">
        <v>0</v>
      </c>
      <c r="CO893">
        <v>0</v>
      </c>
      <c r="CP893">
        <v>0</v>
      </c>
      <c r="CQ893">
        <v>0</v>
      </c>
      <c r="CR893">
        <v>0</v>
      </c>
      <c r="CS893">
        <v>0</v>
      </c>
      <c r="CT893">
        <v>0</v>
      </c>
      <c r="CU893">
        <v>0</v>
      </c>
      <c r="CV893">
        <v>14.4</v>
      </c>
      <c r="CW893">
        <v>7.8790000000000004</v>
      </c>
      <c r="CX893">
        <v>0</v>
      </c>
      <c r="CY893" s="2043">
        <v>0</v>
      </c>
      <c r="CZ893" s="2043">
        <v>0</v>
      </c>
      <c r="DA893" s="2043">
        <v>0</v>
      </c>
      <c r="DB893" s="2043">
        <v>0</v>
      </c>
      <c r="DC893" s="2043">
        <v>54442</v>
      </c>
      <c r="DI893" t="s">
        <v>5198</v>
      </c>
      <c r="DJ893" t="s">
        <v>5198</v>
      </c>
      <c r="DK893" s="2042">
        <f t="shared" si="15"/>
        <v>0</v>
      </c>
    </row>
    <row r="894" spans="1:115">
      <c r="A894" t="s">
        <v>8066</v>
      </c>
      <c r="B894" t="s">
        <v>11388</v>
      </c>
      <c r="C894">
        <v>112.65100000000001</v>
      </c>
      <c r="D894">
        <v>125.55500000000001</v>
      </c>
      <c r="E894">
        <v>4.6450000000000005</v>
      </c>
      <c r="F894">
        <v>0</v>
      </c>
      <c r="G894" s="2043">
        <v>0</v>
      </c>
      <c r="H894">
        <v>0</v>
      </c>
      <c r="I894" s="2043">
        <v>0</v>
      </c>
      <c r="J894">
        <v>0</v>
      </c>
      <c r="K894">
        <v>0</v>
      </c>
      <c r="L894">
        <v>0</v>
      </c>
      <c r="M894">
        <v>0</v>
      </c>
      <c r="N894">
        <v>0</v>
      </c>
      <c r="O894">
        <v>0</v>
      </c>
      <c r="P894">
        <v>0</v>
      </c>
      <c r="Q894">
        <v>0</v>
      </c>
      <c r="R894" s="2043">
        <v>0</v>
      </c>
      <c r="S894">
        <v>0</v>
      </c>
      <c r="T894">
        <v>0</v>
      </c>
      <c r="U894">
        <v>0</v>
      </c>
      <c r="V894">
        <v>0</v>
      </c>
      <c r="W894">
        <v>0</v>
      </c>
      <c r="X894">
        <v>0</v>
      </c>
      <c r="Y894">
        <v>19915</v>
      </c>
      <c r="Z894">
        <v>0</v>
      </c>
      <c r="AA894">
        <v>0</v>
      </c>
      <c r="AB894">
        <v>126.53</v>
      </c>
      <c r="AC894" s="2043">
        <v>0</v>
      </c>
      <c r="AD894">
        <v>0</v>
      </c>
      <c r="AE894" s="2043">
        <v>0</v>
      </c>
      <c r="AF894">
        <v>0</v>
      </c>
      <c r="AG894">
        <v>0</v>
      </c>
      <c r="AH894">
        <v>0</v>
      </c>
      <c r="AI894">
        <v>0</v>
      </c>
      <c r="AJ894">
        <v>5.9630000000000001</v>
      </c>
      <c r="AK894">
        <v>291</v>
      </c>
      <c r="AL894">
        <v>0</v>
      </c>
      <c r="AM894">
        <v>0</v>
      </c>
      <c r="AN894">
        <v>0</v>
      </c>
      <c r="AO894">
        <v>0</v>
      </c>
      <c r="AP894">
        <v>0</v>
      </c>
      <c r="AQ894">
        <v>0</v>
      </c>
      <c r="AR894">
        <v>3.8370000000000002</v>
      </c>
      <c r="AS894">
        <v>0</v>
      </c>
      <c r="AT894">
        <v>0</v>
      </c>
      <c r="AU894">
        <v>0.26900000000000002</v>
      </c>
      <c r="AV894">
        <v>0</v>
      </c>
      <c r="AW894">
        <v>4.1059999999999999</v>
      </c>
      <c r="AX894">
        <v>0</v>
      </c>
      <c r="AY894">
        <v>12.856</v>
      </c>
      <c r="AZ894">
        <v>0</v>
      </c>
      <c r="BA894">
        <v>1052079</v>
      </c>
      <c r="BB894">
        <v>0</v>
      </c>
      <c r="BC894">
        <v>0</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3</v>
      </c>
      <c r="BW894">
        <v>10</v>
      </c>
      <c r="BX894">
        <v>2</v>
      </c>
      <c r="BY894">
        <v>5</v>
      </c>
      <c r="BZ894">
        <v>4</v>
      </c>
      <c r="CA894">
        <v>24</v>
      </c>
      <c r="CB894">
        <v>0</v>
      </c>
      <c r="CC894">
        <v>0</v>
      </c>
      <c r="CD894">
        <v>0</v>
      </c>
      <c r="CE894">
        <v>4</v>
      </c>
      <c r="CF894">
        <v>13.339</v>
      </c>
      <c r="CG894">
        <v>0</v>
      </c>
      <c r="CH894">
        <v>0</v>
      </c>
      <c r="CI894">
        <v>0</v>
      </c>
      <c r="CJ894">
        <v>0</v>
      </c>
      <c r="CK894">
        <v>0</v>
      </c>
      <c r="CL894">
        <v>0</v>
      </c>
      <c r="CM894">
        <v>4.6450000000000005</v>
      </c>
      <c r="CN894">
        <v>0</v>
      </c>
      <c r="CO894">
        <v>0</v>
      </c>
      <c r="CP894">
        <v>0</v>
      </c>
      <c r="CQ894">
        <v>0</v>
      </c>
      <c r="CR894">
        <v>0</v>
      </c>
      <c r="CS894">
        <v>0</v>
      </c>
      <c r="CT894">
        <v>0</v>
      </c>
      <c r="CU894">
        <v>0</v>
      </c>
      <c r="CV894">
        <v>0</v>
      </c>
      <c r="CW894">
        <v>0</v>
      </c>
      <c r="CX894">
        <v>0</v>
      </c>
      <c r="CY894" s="2043">
        <v>0</v>
      </c>
      <c r="CZ894" s="2043">
        <v>0</v>
      </c>
      <c r="DA894" s="2043">
        <v>0</v>
      </c>
      <c r="DB894" s="2043">
        <v>0</v>
      </c>
      <c r="DC894" s="2043">
        <v>0</v>
      </c>
      <c r="DI894" t="s">
        <v>8065</v>
      </c>
      <c r="DJ894" t="s">
        <v>8066</v>
      </c>
      <c r="DK894" s="2042">
        <f t="shared" si="15"/>
        <v>-6</v>
      </c>
    </row>
    <row r="895" spans="1:115">
      <c r="A895" t="s">
        <v>8065</v>
      </c>
      <c r="B895" t="s">
        <v>11389</v>
      </c>
      <c r="C895">
        <v>153.31</v>
      </c>
      <c r="D895">
        <v>197.006</v>
      </c>
      <c r="E895">
        <v>24.302</v>
      </c>
      <c r="F895">
        <v>0</v>
      </c>
      <c r="G895" s="2043">
        <v>0</v>
      </c>
      <c r="H895">
        <v>0</v>
      </c>
      <c r="I895" s="2043">
        <v>0</v>
      </c>
      <c r="J895">
        <v>0</v>
      </c>
      <c r="K895">
        <v>0</v>
      </c>
      <c r="L895">
        <v>0</v>
      </c>
      <c r="M895">
        <v>0</v>
      </c>
      <c r="N895">
        <v>0</v>
      </c>
      <c r="O895">
        <v>0</v>
      </c>
      <c r="P895">
        <v>0</v>
      </c>
      <c r="Q895">
        <v>0</v>
      </c>
      <c r="R895" s="2043">
        <v>0</v>
      </c>
      <c r="S895">
        <v>0</v>
      </c>
      <c r="T895">
        <v>0</v>
      </c>
      <c r="U895">
        <v>0</v>
      </c>
      <c r="V895">
        <v>0</v>
      </c>
      <c r="W895">
        <v>0</v>
      </c>
      <c r="X895">
        <v>0</v>
      </c>
      <c r="Y895">
        <v>32541</v>
      </c>
      <c r="Z895">
        <v>0</v>
      </c>
      <c r="AA895">
        <v>0</v>
      </c>
      <c r="AB895">
        <v>198.52800000000002</v>
      </c>
      <c r="AC895" s="2043">
        <v>0</v>
      </c>
      <c r="AD895">
        <v>0</v>
      </c>
      <c r="AE895" s="2043">
        <v>0</v>
      </c>
      <c r="AF895">
        <v>0</v>
      </c>
      <c r="AG895">
        <v>0</v>
      </c>
      <c r="AH895">
        <v>0</v>
      </c>
      <c r="AI895">
        <v>0</v>
      </c>
      <c r="AJ895">
        <v>41.225000000000001</v>
      </c>
      <c r="AK895">
        <v>303</v>
      </c>
      <c r="AL895">
        <v>0</v>
      </c>
      <c r="AM895">
        <v>0</v>
      </c>
      <c r="AN895">
        <v>9.870000000000001</v>
      </c>
      <c r="AO895">
        <v>0</v>
      </c>
      <c r="AP895">
        <v>0</v>
      </c>
      <c r="AQ895">
        <v>0</v>
      </c>
      <c r="AR895">
        <v>0</v>
      </c>
      <c r="AS895">
        <v>0</v>
      </c>
      <c r="AT895">
        <v>0</v>
      </c>
      <c r="AU895">
        <v>0.40400000000000003</v>
      </c>
      <c r="AV895">
        <v>0</v>
      </c>
      <c r="AW895">
        <v>0.40400000000000003</v>
      </c>
      <c r="AX895">
        <v>0</v>
      </c>
      <c r="AY895">
        <v>2.02</v>
      </c>
      <c r="AZ895">
        <v>0</v>
      </c>
      <c r="BA895">
        <v>1731559</v>
      </c>
      <c r="BB895">
        <v>0</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15</v>
      </c>
      <c r="BW895">
        <v>13</v>
      </c>
      <c r="BX895">
        <v>17</v>
      </c>
      <c r="BY895">
        <v>45</v>
      </c>
      <c r="BZ895">
        <v>68</v>
      </c>
      <c r="CA895">
        <v>158</v>
      </c>
      <c r="CB895">
        <v>0</v>
      </c>
      <c r="CC895">
        <v>0</v>
      </c>
      <c r="CD895">
        <v>0</v>
      </c>
      <c r="CE895">
        <v>1</v>
      </c>
      <c r="CF895">
        <v>78.716999999999999</v>
      </c>
      <c r="CG895">
        <v>0</v>
      </c>
      <c r="CH895">
        <v>0</v>
      </c>
      <c r="CI895">
        <v>0</v>
      </c>
      <c r="CJ895">
        <v>0</v>
      </c>
      <c r="CK895">
        <v>0</v>
      </c>
      <c r="CL895">
        <v>0</v>
      </c>
      <c r="CM895">
        <v>24.302</v>
      </c>
      <c r="CN895">
        <v>0</v>
      </c>
      <c r="CO895">
        <v>0</v>
      </c>
      <c r="CP895">
        <v>0</v>
      </c>
      <c r="CQ895">
        <v>0</v>
      </c>
      <c r="CR895">
        <v>0</v>
      </c>
      <c r="CS895">
        <v>0</v>
      </c>
      <c r="CT895">
        <v>0</v>
      </c>
      <c r="CU895">
        <v>0</v>
      </c>
      <c r="CV895">
        <v>0</v>
      </c>
      <c r="CW895">
        <v>0</v>
      </c>
      <c r="CX895">
        <v>0</v>
      </c>
      <c r="CY895" s="2043">
        <v>5439</v>
      </c>
      <c r="CZ895" s="2043">
        <v>0</v>
      </c>
      <c r="DA895" s="2043">
        <v>0</v>
      </c>
      <c r="DB895" s="2043">
        <v>0</v>
      </c>
      <c r="DC895" s="2043">
        <v>0</v>
      </c>
      <c r="DI895" t="s">
        <v>8066</v>
      </c>
      <c r="DJ895" t="s">
        <v>8065</v>
      </c>
      <c r="DK895" s="2042">
        <f t="shared" si="15"/>
        <v>6</v>
      </c>
    </row>
    <row r="896" spans="1:115">
      <c r="A896" t="s">
        <v>8067</v>
      </c>
      <c r="B896" t="s">
        <v>11390</v>
      </c>
      <c r="C896">
        <v>471.779</v>
      </c>
      <c r="D896">
        <v>480.54200000000003</v>
      </c>
      <c r="E896">
        <v>3.645</v>
      </c>
      <c r="F896">
        <v>0</v>
      </c>
      <c r="G896" s="2043">
        <v>0</v>
      </c>
      <c r="H896">
        <v>0</v>
      </c>
      <c r="I896" s="2043">
        <v>0</v>
      </c>
      <c r="J896">
        <v>23.589000000000002</v>
      </c>
      <c r="K896">
        <v>64</v>
      </c>
      <c r="L896">
        <v>0</v>
      </c>
      <c r="M896">
        <v>0</v>
      </c>
      <c r="N896">
        <v>0</v>
      </c>
      <c r="O896">
        <v>0</v>
      </c>
      <c r="P896">
        <v>0</v>
      </c>
      <c r="Q896">
        <v>0</v>
      </c>
      <c r="R896" s="2043">
        <v>0</v>
      </c>
      <c r="S896">
        <v>0</v>
      </c>
      <c r="T896">
        <v>0</v>
      </c>
      <c r="U896">
        <v>0</v>
      </c>
      <c r="V896">
        <v>0</v>
      </c>
      <c r="W896">
        <v>0</v>
      </c>
      <c r="X896">
        <v>0</v>
      </c>
      <c r="Y896">
        <v>83402</v>
      </c>
      <c r="Z896">
        <v>0</v>
      </c>
      <c r="AA896">
        <v>0</v>
      </c>
      <c r="AB896">
        <v>480.54200000000003</v>
      </c>
      <c r="AC896" s="2043">
        <v>0</v>
      </c>
      <c r="AD896">
        <v>0</v>
      </c>
      <c r="AE896" s="2043">
        <v>0</v>
      </c>
      <c r="AF896">
        <v>0</v>
      </c>
      <c r="AG896">
        <v>0</v>
      </c>
      <c r="AH896">
        <v>0</v>
      </c>
      <c r="AI896">
        <v>0</v>
      </c>
      <c r="AJ896">
        <v>1.6</v>
      </c>
      <c r="AK896">
        <v>838</v>
      </c>
      <c r="AL896">
        <v>0</v>
      </c>
      <c r="AM896">
        <v>0</v>
      </c>
      <c r="AN896">
        <v>9.3930000000000007</v>
      </c>
      <c r="AO896">
        <v>0</v>
      </c>
      <c r="AP896">
        <v>0</v>
      </c>
      <c r="AQ896">
        <v>0</v>
      </c>
      <c r="AR896">
        <v>6.9250000000000007</v>
      </c>
      <c r="AS896">
        <v>0</v>
      </c>
      <c r="AT896">
        <v>0</v>
      </c>
      <c r="AU896">
        <v>1.089</v>
      </c>
      <c r="AV896">
        <v>0</v>
      </c>
      <c r="AW896">
        <v>8.0140000000000011</v>
      </c>
      <c r="AX896">
        <v>0</v>
      </c>
      <c r="AY896">
        <v>26.22</v>
      </c>
      <c r="AZ896">
        <v>0</v>
      </c>
      <c r="BA896">
        <v>4187195</v>
      </c>
      <c r="BB896">
        <v>0</v>
      </c>
      <c r="BC896">
        <v>0</v>
      </c>
      <c r="BD896">
        <v>0</v>
      </c>
      <c r="BE896">
        <v>0</v>
      </c>
      <c r="BF896">
        <v>0</v>
      </c>
      <c r="BG896">
        <v>0</v>
      </c>
      <c r="BH896">
        <v>0</v>
      </c>
      <c r="BI896">
        <v>0</v>
      </c>
      <c r="BJ896">
        <v>0</v>
      </c>
      <c r="BK896">
        <v>0</v>
      </c>
      <c r="BL896">
        <v>0</v>
      </c>
      <c r="BM896">
        <v>0</v>
      </c>
      <c r="BN896">
        <v>0</v>
      </c>
      <c r="BO896">
        <v>0</v>
      </c>
      <c r="BP896">
        <v>0</v>
      </c>
      <c r="BQ896">
        <v>0</v>
      </c>
      <c r="BR896">
        <v>0</v>
      </c>
      <c r="BS896">
        <v>0</v>
      </c>
      <c r="BT896">
        <v>0</v>
      </c>
      <c r="BU896">
        <v>0</v>
      </c>
      <c r="BV896">
        <v>5</v>
      </c>
      <c r="BW896">
        <v>2</v>
      </c>
      <c r="BX896">
        <v>0</v>
      </c>
      <c r="BY896">
        <v>0</v>
      </c>
      <c r="BZ896">
        <v>0</v>
      </c>
      <c r="CA896">
        <v>6</v>
      </c>
      <c r="CB896">
        <v>0</v>
      </c>
      <c r="CC896">
        <v>0</v>
      </c>
      <c r="CD896">
        <v>0</v>
      </c>
      <c r="CE896">
        <v>41</v>
      </c>
      <c r="CF896">
        <v>1.72</v>
      </c>
      <c r="CG896">
        <v>0</v>
      </c>
      <c r="CH896">
        <v>0</v>
      </c>
      <c r="CI896">
        <v>0</v>
      </c>
      <c r="CJ896">
        <v>0</v>
      </c>
      <c r="CK896">
        <v>0</v>
      </c>
      <c r="CL896">
        <v>0</v>
      </c>
      <c r="CM896">
        <v>3.645</v>
      </c>
      <c r="CN896">
        <v>0</v>
      </c>
      <c r="CO896">
        <v>0</v>
      </c>
      <c r="CP896">
        <v>0</v>
      </c>
      <c r="CQ896">
        <v>0</v>
      </c>
      <c r="CR896">
        <v>0</v>
      </c>
      <c r="CS896">
        <v>0</v>
      </c>
      <c r="CT896">
        <v>0</v>
      </c>
      <c r="CU896">
        <v>0</v>
      </c>
      <c r="CV896">
        <v>1.897</v>
      </c>
      <c r="CW896">
        <v>0</v>
      </c>
      <c r="CX896">
        <v>0</v>
      </c>
      <c r="CY896" s="2043">
        <v>0</v>
      </c>
      <c r="CZ896" s="2043">
        <v>0</v>
      </c>
      <c r="DA896" s="2043">
        <v>0</v>
      </c>
      <c r="DB896" s="2043">
        <v>0</v>
      </c>
      <c r="DC896" s="2043">
        <v>0</v>
      </c>
      <c r="DI896" t="s">
        <v>8067</v>
      </c>
      <c r="DJ896" t="s">
        <v>8067</v>
      </c>
      <c r="DK896" s="2042">
        <f t="shared" si="15"/>
        <v>0</v>
      </c>
    </row>
    <row r="897" spans="1:115">
      <c r="A897" t="s">
        <v>5199</v>
      </c>
      <c r="B897" t="s">
        <v>2358</v>
      </c>
      <c r="C897">
        <v>377.17500000000001</v>
      </c>
      <c r="D897">
        <v>382.78500000000003</v>
      </c>
      <c r="E897">
        <v>5.89</v>
      </c>
      <c r="F897">
        <v>0</v>
      </c>
      <c r="G897" s="2043">
        <v>182962093</v>
      </c>
      <c r="H897">
        <v>0</v>
      </c>
      <c r="I897" s="2043">
        <v>278100</v>
      </c>
      <c r="J897">
        <v>14</v>
      </c>
      <c r="K897">
        <v>38</v>
      </c>
      <c r="L897">
        <v>0</v>
      </c>
      <c r="M897">
        <v>0</v>
      </c>
      <c r="N897">
        <v>0</v>
      </c>
      <c r="O897">
        <v>0</v>
      </c>
      <c r="P897">
        <v>0</v>
      </c>
      <c r="Q897">
        <v>0</v>
      </c>
      <c r="R897" s="2043">
        <v>1505256</v>
      </c>
      <c r="S897">
        <v>145330</v>
      </c>
      <c r="T897">
        <v>105909</v>
      </c>
      <c r="U897">
        <v>0.08</v>
      </c>
      <c r="V897">
        <v>0</v>
      </c>
      <c r="W897">
        <v>0</v>
      </c>
      <c r="X897">
        <v>0</v>
      </c>
      <c r="Y897">
        <v>0</v>
      </c>
      <c r="Z897">
        <v>0</v>
      </c>
      <c r="AA897">
        <v>0</v>
      </c>
      <c r="AB897">
        <v>374.00600000000003</v>
      </c>
      <c r="AC897" s="2043">
        <v>138782032</v>
      </c>
      <c r="AD897">
        <v>435274</v>
      </c>
      <c r="AE897" s="2043">
        <v>1756495</v>
      </c>
      <c r="AF897">
        <v>0.96690000000000009</v>
      </c>
      <c r="AG897">
        <v>0</v>
      </c>
      <c r="AH897">
        <v>0</v>
      </c>
      <c r="AI897">
        <v>0</v>
      </c>
      <c r="AJ897">
        <v>77.537999999999997</v>
      </c>
      <c r="AK897">
        <v>1278</v>
      </c>
      <c r="AL897">
        <v>0</v>
      </c>
      <c r="AM897">
        <v>0</v>
      </c>
      <c r="AN897">
        <v>2.6750000000000003</v>
      </c>
      <c r="AO897">
        <v>0</v>
      </c>
      <c r="AP897">
        <v>0</v>
      </c>
      <c r="AQ897">
        <v>0</v>
      </c>
      <c r="AR897">
        <v>9.3460000000000001</v>
      </c>
      <c r="AS897">
        <v>0</v>
      </c>
      <c r="AT897">
        <v>1.242</v>
      </c>
      <c r="AU897">
        <v>0.55600000000000005</v>
      </c>
      <c r="AV897">
        <v>0</v>
      </c>
      <c r="AW897">
        <v>11.144</v>
      </c>
      <c r="AX897">
        <v>0</v>
      </c>
      <c r="AY897">
        <v>34.544000000000004</v>
      </c>
      <c r="AZ897">
        <v>0</v>
      </c>
      <c r="BA897">
        <v>3358945</v>
      </c>
      <c r="BB897">
        <v>2191769</v>
      </c>
      <c r="BC897">
        <v>0</v>
      </c>
      <c r="BD897">
        <v>10124</v>
      </c>
      <c r="BE897">
        <v>15073</v>
      </c>
      <c r="BF897">
        <v>37826</v>
      </c>
      <c r="BG897">
        <v>10124</v>
      </c>
      <c r="BH897">
        <v>12629</v>
      </c>
      <c r="BI897">
        <v>0</v>
      </c>
      <c r="BJ897">
        <v>0</v>
      </c>
      <c r="BK897">
        <v>0</v>
      </c>
      <c r="BL897">
        <v>182962093</v>
      </c>
      <c r="BM897">
        <v>0</v>
      </c>
      <c r="BN897">
        <v>1359</v>
      </c>
      <c r="BO897">
        <v>503</v>
      </c>
      <c r="BP897">
        <v>0</v>
      </c>
      <c r="BQ897">
        <v>0</v>
      </c>
      <c r="BR897">
        <v>0.8286</v>
      </c>
      <c r="BS897">
        <v>0.8286</v>
      </c>
      <c r="BT897">
        <v>0</v>
      </c>
      <c r="BU897">
        <v>0</v>
      </c>
      <c r="BV897">
        <v>24</v>
      </c>
      <c r="BW897">
        <v>11</v>
      </c>
      <c r="BX897">
        <v>217</v>
      </c>
      <c r="BY897">
        <v>54</v>
      </c>
      <c r="BZ897">
        <v>4</v>
      </c>
      <c r="CA897">
        <v>310</v>
      </c>
      <c r="CB897">
        <v>0</v>
      </c>
      <c r="CC897">
        <v>0</v>
      </c>
      <c r="CD897">
        <v>0</v>
      </c>
      <c r="CE897">
        <v>26</v>
      </c>
      <c r="CF897">
        <v>83.319000000000003</v>
      </c>
      <c r="CG897">
        <v>0</v>
      </c>
      <c r="CH897">
        <v>0</v>
      </c>
      <c r="CI897">
        <v>0</v>
      </c>
      <c r="CJ897">
        <v>0</v>
      </c>
      <c r="CK897">
        <v>0</v>
      </c>
      <c r="CL897">
        <v>0</v>
      </c>
      <c r="CM897">
        <v>5.89</v>
      </c>
      <c r="CN897">
        <v>0</v>
      </c>
      <c r="CO897">
        <v>0</v>
      </c>
      <c r="CP897">
        <v>0</v>
      </c>
      <c r="CQ897">
        <v>0</v>
      </c>
      <c r="CR897">
        <v>0</v>
      </c>
      <c r="CS897">
        <v>0</v>
      </c>
      <c r="CT897">
        <v>0</v>
      </c>
      <c r="CU897">
        <v>0</v>
      </c>
      <c r="CV897">
        <v>12.271000000000001</v>
      </c>
      <c r="CW897">
        <v>3.7630000000000003</v>
      </c>
      <c r="CX897">
        <v>0</v>
      </c>
      <c r="CY897" s="2043">
        <v>0</v>
      </c>
      <c r="CZ897" s="2043">
        <v>0</v>
      </c>
      <c r="DA897" s="2043">
        <v>0</v>
      </c>
      <c r="DB897" s="2043">
        <v>0</v>
      </c>
      <c r="DC897" s="2043">
        <v>0</v>
      </c>
      <c r="DI897" t="s">
        <v>5199</v>
      </c>
      <c r="DJ897" t="s">
        <v>5199</v>
      </c>
      <c r="DK897" s="2042">
        <f t="shared" si="15"/>
        <v>0</v>
      </c>
    </row>
    <row r="898" spans="1:115">
      <c r="A898" t="s">
        <v>5200</v>
      </c>
      <c r="B898" t="s">
        <v>1102</v>
      </c>
      <c r="C898">
        <v>1354.0550000000001</v>
      </c>
      <c r="D898">
        <v>1550.0990000000002</v>
      </c>
      <c r="E898">
        <v>59.356000000000002</v>
      </c>
      <c r="F898">
        <v>0</v>
      </c>
      <c r="G898" s="2043">
        <v>896241722</v>
      </c>
      <c r="H898">
        <v>0</v>
      </c>
      <c r="I898" s="2043">
        <v>2336850</v>
      </c>
      <c r="J898">
        <v>67</v>
      </c>
      <c r="K898">
        <v>183</v>
      </c>
      <c r="L898">
        <v>0</v>
      </c>
      <c r="M898">
        <v>0</v>
      </c>
      <c r="N898">
        <v>0</v>
      </c>
      <c r="O898">
        <v>0</v>
      </c>
      <c r="P898">
        <v>0</v>
      </c>
      <c r="Q898">
        <v>0</v>
      </c>
      <c r="R898" s="2043">
        <v>7181871</v>
      </c>
      <c r="S898">
        <v>435423</v>
      </c>
      <c r="T898">
        <v>0</v>
      </c>
      <c r="U898">
        <v>0.05</v>
      </c>
      <c r="V898">
        <v>0</v>
      </c>
      <c r="W898">
        <v>0</v>
      </c>
      <c r="X898">
        <v>0</v>
      </c>
      <c r="Y898">
        <v>589796</v>
      </c>
      <c r="Z898">
        <v>0</v>
      </c>
      <c r="AA898">
        <v>0</v>
      </c>
      <c r="AB898">
        <v>1490.951</v>
      </c>
      <c r="AC898" s="2043">
        <v>627804116</v>
      </c>
      <c r="AD898">
        <v>2298938</v>
      </c>
      <c r="AE898" s="2043">
        <v>7617294</v>
      </c>
      <c r="AF898">
        <v>0.87470000000000003</v>
      </c>
      <c r="AG898">
        <v>0</v>
      </c>
      <c r="AH898">
        <v>0</v>
      </c>
      <c r="AI898">
        <v>0</v>
      </c>
      <c r="AJ898">
        <v>233.875</v>
      </c>
      <c r="AK898">
        <v>5158</v>
      </c>
      <c r="AL898">
        <v>1.8000000000000002E-2</v>
      </c>
      <c r="AM898">
        <v>0</v>
      </c>
      <c r="AN898">
        <v>49.538000000000004</v>
      </c>
      <c r="AO898">
        <v>0</v>
      </c>
      <c r="AP898">
        <v>0</v>
      </c>
      <c r="AQ898">
        <v>0</v>
      </c>
      <c r="AR898">
        <v>26.004000000000001</v>
      </c>
      <c r="AS898">
        <v>0</v>
      </c>
      <c r="AT898">
        <v>12.079000000000001</v>
      </c>
      <c r="AU898">
        <v>4.0950000000000006</v>
      </c>
      <c r="AV898">
        <v>0</v>
      </c>
      <c r="AW898">
        <v>42.196000000000005</v>
      </c>
      <c r="AX898">
        <v>0</v>
      </c>
      <c r="AY898">
        <v>134.81399999999999</v>
      </c>
      <c r="AZ898">
        <v>0</v>
      </c>
      <c r="BA898">
        <v>7218666</v>
      </c>
      <c r="BB898">
        <v>9916232</v>
      </c>
      <c r="BC898">
        <v>0</v>
      </c>
      <c r="BD898">
        <v>83029</v>
      </c>
      <c r="BE898">
        <v>17264</v>
      </c>
      <c r="BF898">
        <v>114067</v>
      </c>
      <c r="BG898">
        <v>83029</v>
      </c>
      <c r="BH898">
        <v>13774</v>
      </c>
      <c r="BI898">
        <v>0</v>
      </c>
      <c r="BJ898">
        <v>0</v>
      </c>
      <c r="BK898">
        <v>0</v>
      </c>
      <c r="BL898">
        <v>896241722</v>
      </c>
      <c r="BM898">
        <v>0</v>
      </c>
      <c r="BN898">
        <v>5643</v>
      </c>
      <c r="BO898">
        <v>5190</v>
      </c>
      <c r="BP898">
        <v>0</v>
      </c>
      <c r="BQ898">
        <v>0</v>
      </c>
      <c r="BR898">
        <v>0.82469999999999999</v>
      </c>
      <c r="BS898">
        <v>0.82469999999999999</v>
      </c>
      <c r="BT898">
        <v>0</v>
      </c>
      <c r="BU898">
        <v>0</v>
      </c>
      <c r="BV898">
        <v>161</v>
      </c>
      <c r="BW898">
        <v>237</v>
      </c>
      <c r="BX898">
        <v>51</v>
      </c>
      <c r="BY898">
        <v>249</v>
      </c>
      <c r="BZ898">
        <v>230</v>
      </c>
      <c r="CA898">
        <v>928</v>
      </c>
      <c r="CB898">
        <v>0</v>
      </c>
      <c r="CC898">
        <v>0</v>
      </c>
      <c r="CD898">
        <v>0</v>
      </c>
      <c r="CE898">
        <v>93</v>
      </c>
      <c r="CF898">
        <v>240.309</v>
      </c>
      <c r="CG898">
        <v>0</v>
      </c>
      <c r="CH898">
        <v>0</v>
      </c>
      <c r="CI898">
        <v>0</v>
      </c>
      <c r="CJ898">
        <v>0</v>
      </c>
      <c r="CK898">
        <v>0</v>
      </c>
      <c r="CL898">
        <v>0</v>
      </c>
      <c r="CM898">
        <v>59.356000000000002</v>
      </c>
      <c r="CN898">
        <v>0</v>
      </c>
      <c r="CO898">
        <v>0</v>
      </c>
      <c r="CP898">
        <v>0</v>
      </c>
      <c r="CQ898">
        <v>0</v>
      </c>
      <c r="CR898">
        <v>0</v>
      </c>
      <c r="CS898">
        <v>0</v>
      </c>
      <c r="CT898">
        <v>0</v>
      </c>
      <c r="CU898">
        <v>0.47200000000000003</v>
      </c>
      <c r="CV898">
        <v>113.52300000000001</v>
      </c>
      <c r="CW898">
        <v>66.644000000000005</v>
      </c>
      <c r="CX898">
        <v>0</v>
      </c>
      <c r="CY898" s="2043">
        <v>589796</v>
      </c>
      <c r="CZ898" s="2043">
        <v>0</v>
      </c>
      <c r="DA898" s="2043">
        <v>0</v>
      </c>
      <c r="DB898" s="2043">
        <v>0</v>
      </c>
      <c r="DC898" s="2043">
        <v>0</v>
      </c>
      <c r="DI898" t="s">
        <v>5200</v>
      </c>
      <c r="DJ898" t="s">
        <v>5200</v>
      </c>
      <c r="DK898" s="2042">
        <f t="shared" si="15"/>
        <v>0</v>
      </c>
    </row>
    <row r="899" spans="1:115">
      <c r="A899" t="s">
        <v>3161</v>
      </c>
      <c r="B899" t="s">
        <v>2261</v>
      </c>
      <c r="C899">
        <v>30148.705000000002</v>
      </c>
      <c r="D899">
        <v>32874.472000000002</v>
      </c>
      <c r="E899">
        <v>2039.3050000000001</v>
      </c>
      <c r="F899">
        <v>0</v>
      </c>
      <c r="G899" s="2043">
        <v>18136789891</v>
      </c>
      <c r="H899">
        <v>0</v>
      </c>
      <c r="I899" s="2043">
        <v>45468149</v>
      </c>
      <c r="J899">
        <v>1173</v>
      </c>
      <c r="K899">
        <v>3207</v>
      </c>
      <c r="L899">
        <v>0</v>
      </c>
      <c r="M899">
        <v>1202205</v>
      </c>
      <c r="N899">
        <v>0</v>
      </c>
      <c r="O899">
        <v>1202205</v>
      </c>
      <c r="P899">
        <v>0</v>
      </c>
      <c r="Q899">
        <v>0</v>
      </c>
      <c r="R899" s="2043">
        <v>155259886</v>
      </c>
      <c r="S899">
        <v>10344912</v>
      </c>
      <c r="T899">
        <v>0</v>
      </c>
      <c r="U899">
        <v>0.06</v>
      </c>
      <c r="V899">
        <v>0</v>
      </c>
      <c r="W899">
        <v>0</v>
      </c>
      <c r="X899">
        <v>0</v>
      </c>
      <c r="Y899">
        <v>-7161</v>
      </c>
      <c r="Z899">
        <v>3.8810000000000002</v>
      </c>
      <c r="AA899">
        <v>3.9580000000000002</v>
      </c>
      <c r="AB899">
        <v>31077.251</v>
      </c>
      <c r="AC899" s="2043">
        <v>17114609704</v>
      </c>
      <c r="AD899">
        <v>48307993</v>
      </c>
      <c r="AE899" s="2043">
        <v>165604798</v>
      </c>
      <c r="AF899">
        <v>0.96050000000000002</v>
      </c>
      <c r="AG899">
        <v>0</v>
      </c>
      <c r="AH899">
        <v>0</v>
      </c>
      <c r="AI899">
        <v>0</v>
      </c>
      <c r="AJ899">
        <v>6083.7750000000005</v>
      </c>
      <c r="AK899">
        <v>94462</v>
      </c>
      <c r="AL899">
        <v>1.8370000000000002</v>
      </c>
      <c r="AM899">
        <v>0.24</v>
      </c>
      <c r="AN899">
        <v>643.94600000000003</v>
      </c>
      <c r="AO899">
        <v>0</v>
      </c>
      <c r="AP899">
        <v>11.642000000000001</v>
      </c>
      <c r="AQ899">
        <v>0.28900000000000003</v>
      </c>
      <c r="AR899">
        <v>697.86300000000006</v>
      </c>
      <c r="AS899">
        <v>0</v>
      </c>
      <c r="AT899">
        <v>276.37400000000002</v>
      </c>
      <c r="AU899">
        <v>71.731999999999999</v>
      </c>
      <c r="AV899">
        <v>0</v>
      </c>
      <c r="AW899">
        <v>1106.306</v>
      </c>
      <c r="AX899">
        <v>46.329000000000001</v>
      </c>
      <c r="AY899">
        <v>3429.2660000000001</v>
      </c>
      <c r="AZ899">
        <v>0</v>
      </c>
      <c r="BA899">
        <v>107365217</v>
      </c>
      <c r="BB899">
        <v>213912791</v>
      </c>
      <c r="BC899">
        <v>0</v>
      </c>
      <c r="BD899">
        <v>462672</v>
      </c>
      <c r="BE899">
        <v>628032</v>
      </c>
      <c r="BF899">
        <v>1853467</v>
      </c>
      <c r="BG899">
        <v>462672</v>
      </c>
      <c r="BH899">
        <v>762763</v>
      </c>
      <c r="BI899">
        <v>0</v>
      </c>
      <c r="BJ899">
        <v>-7161</v>
      </c>
      <c r="BK899">
        <v>0</v>
      </c>
      <c r="BL899">
        <v>18136789891</v>
      </c>
      <c r="BM899">
        <v>0</v>
      </c>
      <c r="BN899">
        <v>123975</v>
      </c>
      <c r="BO899">
        <v>68437</v>
      </c>
      <c r="BP899">
        <v>21007</v>
      </c>
      <c r="BQ899">
        <v>0</v>
      </c>
      <c r="BR899">
        <v>0.90050000000000008</v>
      </c>
      <c r="BS899">
        <v>0.90050000000000008</v>
      </c>
      <c r="BT899">
        <v>0</v>
      </c>
      <c r="BU899">
        <v>0</v>
      </c>
      <c r="BV899">
        <v>5021</v>
      </c>
      <c r="BW899">
        <v>3207</v>
      </c>
      <c r="BX899">
        <v>4910</v>
      </c>
      <c r="BY899">
        <v>5447</v>
      </c>
      <c r="BZ899">
        <v>5582</v>
      </c>
      <c r="CA899">
        <v>24167</v>
      </c>
      <c r="CB899">
        <v>3</v>
      </c>
      <c r="CC899">
        <v>23.919</v>
      </c>
      <c r="CD899">
        <v>80.72</v>
      </c>
      <c r="CE899">
        <v>1706</v>
      </c>
      <c r="CF899">
        <v>7515.1950000000006</v>
      </c>
      <c r="CG899">
        <v>119.929</v>
      </c>
      <c r="CH899">
        <v>35.152000000000001</v>
      </c>
      <c r="CI899">
        <v>112</v>
      </c>
      <c r="CJ899">
        <v>203</v>
      </c>
      <c r="CK899">
        <v>6</v>
      </c>
      <c r="CL899">
        <v>155.08100000000002</v>
      </c>
      <c r="CM899">
        <v>2039.3050000000001</v>
      </c>
      <c r="CN899">
        <v>0</v>
      </c>
      <c r="CO899">
        <v>0</v>
      </c>
      <c r="CP899">
        <v>21007</v>
      </c>
      <c r="CQ899">
        <v>0</v>
      </c>
      <c r="CR899">
        <v>0</v>
      </c>
      <c r="CS899">
        <v>48.481000000000002</v>
      </c>
      <c r="CT899">
        <v>0</v>
      </c>
      <c r="CU899">
        <v>24.996000000000002</v>
      </c>
      <c r="CV899">
        <v>867.3180000000001</v>
      </c>
      <c r="CW899">
        <v>844.649</v>
      </c>
      <c r="CX899">
        <v>0</v>
      </c>
      <c r="CY899" s="2043">
        <v>0</v>
      </c>
      <c r="CZ899" s="2043">
        <v>0</v>
      </c>
      <c r="DA899" s="2043">
        <v>0</v>
      </c>
      <c r="DB899" s="2043">
        <v>0</v>
      </c>
      <c r="DC899" s="2043">
        <v>0</v>
      </c>
      <c r="DI899" t="s">
        <v>5201</v>
      </c>
      <c r="DJ899" t="s">
        <v>3161</v>
      </c>
      <c r="DK899" s="2042">
        <f t="shared" si="15"/>
        <v>-1</v>
      </c>
    </row>
    <row r="900" spans="1:115">
      <c r="A900" t="s">
        <v>5201</v>
      </c>
      <c r="B900" t="s">
        <v>1103</v>
      </c>
      <c r="C900">
        <v>3648.0510000000004</v>
      </c>
      <c r="D900">
        <v>3852.8140000000003</v>
      </c>
      <c r="E900">
        <v>111.64400000000001</v>
      </c>
      <c r="F900">
        <v>169952</v>
      </c>
      <c r="G900" s="2043">
        <v>1898957755</v>
      </c>
      <c r="H900">
        <v>0</v>
      </c>
      <c r="I900" s="2043">
        <v>4625284</v>
      </c>
      <c r="J900">
        <v>182.40300000000002</v>
      </c>
      <c r="K900">
        <v>499</v>
      </c>
      <c r="L900">
        <v>0</v>
      </c>
      <c r="M900">
        <v>0</v>
      </c>
      <c r="N900">
        <v>0</v>
      </c>
      <c r="O900">
        <v>0</v>
      </c>
      <c r="P900">
        <v>0</v>
      </c>
      <c r="Q900">
        <v>0</v>
      </c>
      <c r="R900" s="2043">
        <v>15861580</v>
      </c>
      <c r="S900">
        <v>1490575</v>
      </c>
      <c r="T900">
        <v>1086256</v>
      </c>
      <c r="U900">
        <v>0.08</v>
      </c>
      <c r="V900">
        <v>532.57400000000007</v>
      </c>
      <c r="W900">
        <v>0</v>
      </c>
      <c r="X900">
        <v>0</v>
      </c>
      <c r="Y900">
        <v>163309</v>
      </c>
      <c r="Z900">
        <v>0</v>
      </c>
      <c r="AA900">
        <v>1.8000000000000002E-2</v>
      </c>
      <c r="AB900">
        <v>3762.6820000000002</v>
      </c>
      <c r="AC900" s="2043">
        <v>1642181434</v>
      </c>
      <c r="AD900">
        <v>6215050</v>
      </c>
      <c r="AE900" s="2043">
        <v>18438411</v>
      </c>
      <c r="AF900">
        <v>0.98960000000000004</v>
      </c>
      <c r="AG900">
        <v>0</v>
      </c>
      <c r="AH900">
        <v>0</v>
      </c>
      <c r="AI900">
        <v>0</v>
      </c>
      <c r="AJ900">
        <v>472.92500000000001</v>
      </c>
      <c r="AK900">
        <v>12338</v>
      </c>
      <c r="AL900">
        <v>0.65600000000000003</v>
      </c>
      <c r="AM900">
        <v>0</v>
      </c>
      <c r="AN900">
        <v>99.192000000000007</v>
      </c>
      <c r="AO900">
        <v>0</v>
      </c>
      <c r="AP900">
        <v>0</v>
      </c>
      <c r="AQ900">
        <v>0</v>
      </c>
      <c r="AR900">
        <v>91.95</v>
      </c>
      <c r="AS900">
        <v>0</v>
      </c>
      <c r="AT900">
        <v>24.155000000000001</v>
      </c>
      <c r="AU900">
        <v>9.0820000000000007</v>
      </c>
      <c r="AV900">
        <v>0</v>
      </c>
      <c r="AW900">
        <v>130.55799999999999</v>
      </c>
      <c r="AX900">
        <v>4.7149999999999999</v>
      </c>
      <c r="AY900">
        <v>407.85</v>
      </c>
      <c r="AZ900">
        <v>0</v>
      </c>
      <c r="BA900">
        <v>17979088</v>
      </c>
      <c r="BB900">
        <v>24653461</v>
      </c>
      <c r="BC900">
        <v>0</v>
      </c>
      <c r="BD900">
        <v>157088</v>
      </c>
      <c r="BE900">
        <v>47300</v>
      </c>
      <c r="BF900">
        <v>354986</v>
      </c>
      <c r="BG900">
        <v>157088</v>
      </c>
      <c r="BH900">
        <v>150598</v>
      </c>
      <c r="BI900">
        <v>-6643</v>
      </c>
      <c r="BJ900">
        <v>0</v>
      </c>
      <c r="BK900">
        <v>0</v>
      </c>
      <c r="BL900">
        <v>1898957755</v>
      </c>
      <c r="BM900">
        <v>0</v>
      </c>
      <c r="BN900">
        <v>14112</v>
      </c>
      <c r="BO900">
        <v>6217</v>
      </c>
      <c r="BP900">
        <v>0</v>
      </c>
      <c r="BQ900">
        <v>0</v>
      </c>
      <c r="BR900">
        <v>0.85130000000000006</v>
      </c>
      <c r="BS900">
        <v>0.85130000000000006</v>
      </c>
      <c r="BT900">
        <v>0</v>
      </c>
      <c r="BU900">
        <v>0</v>
      </c>
      <c r="BV900">
        <v>848</v>
      </c>
      <c r="BW900">
        <v>576</v>
      </c>
      <c r="BX900">
        <v>519</v>
      </c>
      <c r="BY900">
        <v>8</v>
      </c>
      <c r="BZ900">
        <v>49</v>
      </c>
      <c r="CA900">
        <v>2000</v>
      </c>
      <c r="CB900">
        <v>0</v>
      </c>
      <c r="CC900">
        <v>0</v>
      </c>
      <c r="CD900">
        <v>0</v>
      </c>
      <c r="CE900">
        <v>203</v>
      </c>
      <c r="CF900">
        <v>673.61700000000008</v>
      </c>
      <c r="CG900">
        <v>0</v>
      </c>
      <c r="CH900">
        <v>0</v>
      </c>
      <c r="CI900">
        <v>12</v>
      </c>
      <c r="CJ900">
        <v>73</v>
      </c>
      <c r="CK900">
        <v>2</v>
      </c>
      <c r="CL900">
        <v>0</v>
      </c>
      <c r="CM900">
        <v>111.64400000000001</v>
      </c>
      <c r="CN900">
        <v>0</v>
      </c>
      <c r="CO900">
        <v>0</v>
      </c>
      <c r="CP900">
        <v>0</v>
      </c>
      <c r="CQ900">
        <v>0</v>
      </c>
      <c r="CR900">
        <v>0</v>
      </c>
      <c r="CS900">
        <v>0</v>
      </c>
      <c r="CT900">
        <v>0</v>
      </c>
      <c r="CU900">
        <v>0</v>
      </c>
      <c r="CV900">
        <v>187.977</v>
      </c>
      <c r="CW900">
        <v>81.147000000000006</v>
      </c>
      <c r="CX900">
        <v>0</v>
      </c>
      <c r="CY900" s="2043">
        <v>0</v>
      </c>
      <c r="CZ900" s="2043">
        <v>0</v>
      </c>
      <c r="DA900" s="2043">
        <v>0</v>
      </c>
      <c r="DB900" s="2043">
        <v>169952</v>
      </c>
      <c r="DC900" s="2043">
        <v>0</v>
      </c>
      <c r="DI900" t="s">
        <v>3161</v>
      </c>
      <c r="DJ900" t="s">
        <v>5201</v>
      </c>
      <c r="DK900" s="2042">
        <f t="shared" ref="DK900:DK963" si="16">DI900-DJ900:DJ901</f>
        <v>1</v>
      </c>
    </row>
    <row r="901" spans="1:115">
      <c r="A901" t="s">
        <v>5202</v>
      </c>
      <c r="B901" t="s">
        <v>535</v>
      </c>
      <c r="C901">
        <v>251.81</v>
      </c>
      <c r="D901">
        <v>271.84100000000001</v>
      </c>
      <c r="E901">
        <v>7.8650000000000002</v>
      </c>
      <c r="F901">
        <v>0</v>
      </c>
      <c r="G901" s="2043">
        <v>87908950</v>
      </c>
      <c r="H901">
        <v>0</v>
      </c>
      <c r="I901" s="2043">
        <v>456921</v>
      </c>
      <c r="J901">
        <v>12.591000000000001</v>
      </c>
      <c r="K901">
        <v>34</v>
      </c>
      <c r="L901">
        <v>0</v>
      </c>
      <c r="M901">
        <v>0</v>
      </c>
      <c r="N901">
        <v>0</v>
      </c>
      <c r="O901">
        <v>0</v>
      </c>
      <c r="P901">
        <v>0</v>
      </c>
      <c r="Q901">
        <v>0</v>
      </c>
      <c r="R901" s="2043">
        <v>745691</v>
      </c>
      <c r="S901">
        <v>43029</v>
      </c>
      <c r="T901">
        <v>0</v>
      </c>
      <c r="U901">
        <v>0.05</v>
      </c>
      <c r="V901">
        <v>0</v>
      </c>
      <c r="W901">
        <v>0</v>
      </c>
      <c r="X901">
        <v>0</v>
      </c>
      <c r="Y901">
        <v>0</v>
      </c>
      <c r="Z901">
        <v>0.95800000000000007</v>
      </c>
      <c r="AA901">
        <v>0</v>
      </c>
      <c r="AB901">
        <v>265.70300000000003</v>
      </c>
      <c r="AC901" s="2043">
        <v>110497509</v>
      </c>
      <c r="AD901">
        <v>414127</v>
      </c>
      <c r="AE901" s="2043">
        <v>788720</v>
      </c>
      <c r="AF901">
        <v>0.91650000000000009</v>
      </c>
      <c r="AG901">
        <v>0</v>
      </c>
      <c r="AH901">
        <v>0</v>
      </c>
      <c r="AI901">
        <v>0</v>
      </c>
      <c r="AJ901">
        <v>64.513000000000005</v>
      </c>
      <c r="AK901">
        <v>1060</v>
      </c>
      <c r="AL901">
        <v>0</v>
      </c>
      <c r="AM901">
        <v>0</v>
      </c>
      <c r="AN901">
        <v>2.4130000000000003</v>
      </c>
      <c r="AO901">
        <v>0</v>
      </c>
      <c r="AP901">
        <v>0</v>
      </c>
      <c r="AQ901">
        <v>0</v>
      </c>
      <c r="AR901">
        <v>7.3550000000000004</v>
      </c>
      <c r="AS901">
        <v>0</v>
      </c>
      <c r="AT901">
        <v>0.91200000000000003</v>
      </c>
      <c r="AU901">
        <v>0.55400000000000005</v>
      </c>
      <c r="AV901">
        <v>0</v>
      </c>
      <c r="AW901">
        <v>8.8209999999999997</v>
      </c>
      <c r="AX901">
        <v>0</v>
      </c>
      <c r="AY901">
        <v>27.571000000000002</v>
      </c>
      <c r="AZ901">
        <v>0</v>
      </c>
      <c r="BA901">
        <v>2919317</v>
      </c>
      <c r="BB901">
        <v>1202847</v>
      </c>
      <c r="BC901">
        <v>0</v>
      </c>
      <c r="BD901">
        <v>64356</v>
      </c>
      <c r="BE901">
        <v>0</v>
      </c>
      <c r="BF901">
        <v>64356</v>
      </c>
      <c r="BG901">
        <v>64356</v>
      </c>
      <c r="BH901">
        <v>0</v>
      </c>
      <c r="BI901">
        <v>0</v>
      </c>
      <c r="BJ901">
        <v>0</v>
      </c>
      <c r="BK901">
        <v>308022</v>
      </c>
      <c r="BL901">
        <v>87908950</v>
      </c>
      <c r="BM901">
        <v>0</v>
      </c>
      <c r="BN901">
        <v>0</v>
      </c>
      <c r="BO901">
        <v>0</v>
      </c>
      <c r="BP901">
        <v>0</v>
      </c>
      <c r="BQ901">
        <v>0</v>
      </c>
      <c r="BR901">
        <v>0.86650000000000005</v>
      </c>
      <c r="BS901">
        <v>0.86650000000000005</v>
      </c>
      <c r="BT901">
        <v>0</v>
      </c>
      <c r="BU901">
        <v>0</v>
      </c>
      <c r="BV901">
        <v>18</v>
      </c>
      <c r="BW901">
        <v>27</v>
      </c>
      <c r="BX901">
        <v>68</v>
      </c>
      <c r="BY901">
        <v>6</v>
      </c>
      <c r="BZ901">
        <v>129</v>
      </c>
      <c r="CA901">
        <v>248</v>
      </c>
      <c r="CB901">
        <v>0</v>
      </c>
      <c r="CC901">
        <v>0</v>
      </c>
      <c r="CD901">
        <v>0</v>
      </c>
      <c r="CE901">
        <v>7</v>
      </c>
      <c r="CF901">
        <v>101.02900000000001</v>
      </c>
      <c r="CG901">
        <v>0</v>
      </c>
      <c r="CH901">
        <v>0</v>
      </c>
      <c r="CI901">
        <v>0</v>
      </c>
      <c r="CJ901">
        <v>0</v>
      </c>
      <c r="CK901">
        <v>0</v>
      </c>
      <c r="CL901">
        <v>0</v>
      </c>
      <c r="CM901">
        <v>7.8650000000000002</v>
      </c>
      <c r="CN901">
        <v>0</v>
      </c>
      <c r="CO901">
        <v>0</v>
      </c>
      <c r="CP901">
        <v>0</v>
      </c>
      <c r="CQ901">
        <v>0</v>
      </c>
      <c r="CR901">
        <v>0</v>
      </c>
      <c r="CS901">
        <v>0</v>
      </c>
      <c r="CT901">
        <v>0</v>
      </c>
      <c r="CU901">
        <v>0</v>
      </c>
      <c r="CV901">
        <v>0</v>
      </c>
      <c r="CW901">
        <v>0</v>
      </c>
      <c r="CX901">
        <v>0</v>
      </c>
      <c r="CY901" s="2043">
        <v>0</v>
      </c>
      <c r="CZ901" s="2043">
        <v>0</v>
      </c>
      <c r="DA901" s="2043">
        <v>308022</v>
      </c>
      <c r="DB901" s="2043">
        <v>0</v>
      </c>
      <c r="DC901" s="2043">
        <v>0</v>
      </c>
      <c r="DI901" t="s">
        <v>5202</v>
      </c>
      <c r="DJ901" t="s">
        <v>5202</v>
      </c>
      <c r="DK901" s="2042">
        <f t="shared" si="16"/>
        <v>0</v>
      </c>
    </row>
    <row r="902" spans="1:115">
      <c r="A902" t="s">
        <v>5203</v>
      </c>
      <c r="B902" t="s">
        <v>544</v>
      </c>
      <c r="C902">
        <v>1350.462</v>
      </c>
      <c r="D902">
        <v>1218.5450000000001</v>
      </c>
      <c r="E902">
        <v>9.9969999999999999</v>
      </c>
      <c r="F902">
        <v>0</v>
      </c>
      <c r="G902" s="2043">
        <v>708720548</v>
      </c>
      <c r="H902">
        <v>0</v>
      </c>
      <c r="I902" s="2043">
        <v>2137740</v>
      </c>
      <c r="J902">
        <v>67.522999999999996</v>
      </c>
      <c r="K902">
        <v>185</v>
      </c>
      <c r="L902">
        <v>0</v>
      </c>
      <c r="M902">
        <v>0</v>
      </c>
      <c r="N902">
        <v>0</v>
      </c>
      <c r="O902">
        <v>0</v>
      </c>
      <c r="P902">
        <v>0</v>
      </c>
      <c r="Q902">
        <v>0</v>
      </c>
      <c r="R902" s="2043">
        <v>5998064</v>
      </c>
      <c r="S902">
        <v>342551</v>
      </c>
      <c r="T902">
        <v>0</v>
      </c>
      <c r="U902">
        <v>0.05</v>
      </c>
      <c r="V902">
        <v>0</v>
      </c>
      <c r="W902">
        <v>0</v>
      </c>
      <c r="X902">
        <v>0</v>
      </c>
      <c r="Y902">
        <v>0</v>
      </c>
      <c r="Z902">
        <v>0</v>
      </c>
      <c r="AA902">
        <v>0</v>
      </c>
      <c r="AB902">
        <v>1205.0220000000002</v>
      </c>
      <c r="AC902" s="2043">
        <v>747247161</v>
      </c>
      <c r="AD902">
        <v>1887793</v>
      </c>
      <c r="AE902" s="2043">
        <v>6340615</v>
      </c>
      <c r="AF902">
        <v>0.92549999999999999</v>
      </c>
      <c r="AG902">
        <v>0</v>
      </c>
      <c r="AH902">
        <v>0</v>
      </c>
      <c r="AI902">
        <v>0</v>
      </c>
      <c r="AJ902">
        <v>49.563000000000002</v>
      </c>
      <c r="AK902">
        <v>1812</v>
      </c>
      <c r="AL902">
        <v>0</v>
      </c>
      <c r="AM902">
        <v>0</v>
      </c>
      <c r="AN902">
        <v>24.565000000000001</v>
      </c>
      <c r="AO902">
        <v>0</v>
      </c>
      <c r="AP902">
        <v>0</v>
      </c>
      <c r="AQ902">
        <v>0</v>
      </c>
      <c r="AR902">
        <v>10.658000000000001</v>
      </c>
      <c r="AS902">
        <v>0</v>
      </c>
      <c r="AT902">
        <v>0.876</v>
      </c>
      <c r="AU902">
        <v>1.4160000000000001</v>
      </c>
      <c r="AV902">
        <v>0</v>
      </c>
      <c r="AW902">
        <v>12.950000000000001</v>
      </c>
      <c r="AX902">
        <v>0</v>
      </c>
      <c r="AY902">
        <v>41.682000000000002</v>
      </c>
      <c r="AZ902">
        <v>0</v>
      </c>
      <c r="BA902">
        <v>5402779</v>
      </c>
      <c r="BB902">
        <v>8228408</v>
      </c>
      <c r="BC902">
        <v>0</v>
      </c>
      <c r="BD902">
        <v>88426</v>
      </c>
      <c r="BE902">
        <v>0</v>
      </c>
      <c r="BF902">
        <v>107998</v>
      </c>
      <c r="BG902">
        <v>88426</v>
      </c>
      <c r="BH902">
        <v>19572</v>
      </c>
      <c r="BI902">
        <v>0</v>
      </c>
      <c r="BJ902">
        <v>0</v>
      </c>
      <c r="BK902">
        <v>0</v>
      </c>
      <c r="BL902">
        <v>708720548</v>
      </c>
      <c r="BM902">
        <v>0</v>
      </c>
      <c r="BN902">
        <v>4977</v>
      </c>
      <c r="BO902">
        <v>910</v>
      </c>
      <c r="BP902">
        <v>0</v>
      </c>
      <c r="BQ902">
        <v>0</v>
      </c>
      <c r="BR902">
        <v>0.87550000000000006</v>
      </c>
      <c r="BS902">
        <v>0.87550000000000006</v>
      </c>
      <c r="BT902">
        <v>0</v>
      </c>
      <c r="BU902">
        <v>0</v>
      </c>
      <c r="BV902">
        <v>73</v>
      </c>
      <c r="BW902">
        <v>43</v>
      </c>
      <c r="BX902">
        <v>68</v>
      </c>
      <c r="BY902">
        <v>10</v>
      </c>
      <c r="BZ902">
        <v>12</v>
      </c>
      <c r="CA902">
        <v>206</v>
      </c>
      <c r="CB902">
        <v>0</v>
      </c>
      <c r="CC902">
        <v>0</v>
      </c>
      <c r="CD902">
        <v>0</v>
      </c>
      <c r="CE902">
        <v>84</v>
      </c>
      <c r="CF902">
        <v>50.114000000000004</v>
      </c>
      <c r="CG902">
        <v>0</v>
      </c>
      <c r="CH902">
        <v>0</v>
      </c>
      <c r="CI902">
        <v>8</v>
      </c>
      <c r="CJ902">
        <v>43</v>
      </c>
      <c r="CK902">
        <v>0</v>
      </c>
      <c r="CL902">
        <v>0</v>
      </c>
      <c r="CM902">
        <v>9.9969999999999999</v>
      </c>
      <c r="CN902">
        <v>0</v>
      </c>
      <c r="CO902">
        <v>0</v>
      </c>
      <c r="CP902">
        <v>0</v>
      </c>
      <c r="CQ902">
        <v>0</v>
      </c>
      <c r="CR902">
        <v>0</v>
      </c>
      <c r="CS902">
        <v>0</v>
      </c>
      <c r="CT902">
        <v>0</v>
      </c>
      <c r="CU902">
        <v>3.9590000000000001</v>
      </c>
      <c r="CV902">
        <v>51.660000000000004</v>
      </c>
      <c r="CW902">
        <v>42.262</v>
      </c>
      <c r="CX902">
        <v>0</v>
      </c>
      <c r="CY902" s="2043">
        <v>0</v>
      </c>
      <c r="CZ902" s="2043">
        <v>0</v>
      </c>
      <c r="DA902" s="2043">
        <v>0</v>
      </c>
      <c r="DB902" s="2043">
        <v>0</v>
      </c>
      <c r="DC902" s="2043">
        <v>0</v>
      </c>
      <c r="DI902" t="s">
        <v>5203</v>
      </c>
      <c r="DJ902" t="s">
        <v>5203</v>
      </c>
      <c r="DK902" s="2042">
        <f t="shared" si="16"/>
        <v>0</v>
      </c>
    </row>
    <row r="903" spans="1:115">
      <c r="A903" t="s">
        <v>3162</v>
      </c>
      <c r="B903" t="s">
        <v>156</v>
      </c>
      <c r="C903">
        <v>2127.2310000000002</v>
      </c>
      <c r="D903">
        <v>2329.078</v>
      </c>
      <c r="E903">
        <v>87.529000000000011</v>
      </c>
      <c r="F903">
        <v>0</v>
      </c>
      <c r="G903" s="2043">
        <v>636345980</v>
      </c>
      <c r="H903">
        <v>0</v>
      </c>
      <c r="I903" s="2043">
        <v>4253195</v>
      </c>
      <c r="J903">
        <v>106.36200000000001</v>
      </c>
      <c r="K903">
        <v>291</v>
      </c>
      <c r="L903">
        <v>347497</v>
      </c>
      <c r="M903">
        <v>2277668</v>
      </c>
      <c r="N903">
        <v>347497</v>
      </c>
      <c r="O903">
        <v>2625165</v>
      </c>
      <c r="P903">
        <v>0</v>
      </c>
      <c r="Q903">
        <v>0</v>
      </c>
      <c r="R903" s="2043">
        <v>5690092</v>
      </c>
      <c r="S903">
        <v>502825</v>
      </c>
      <c r="T903">
        <v>366434</v>
      </c>
      <c r="U903">
        <v>0.08</v>
      </c>
      <c r="V903">
        <v>0</v>
      </c>
      <c r="W903">
        <v>0</v>
      </c>
      <c r="X903">
        <v>0</v>
      </c>
      <c r="Y903">
        <v>-9744</v>
      </c>
      <c r="Z903">
        <v>0</v>
      </c>
      <c r="AA903">
        <v>8.6000000000000007E-2</v>
      </c>
      <c r="AB903">
        <v>2056.8200000000002</v>
      </c>
      <c r="AC903" s="2043">
        <v>624103046</v>
      </c>
      <c r="AD903">
        <v>3254956</v>
      </c>
      <c r="AE903" s="2043">
        <v>6559351</v>
      </c>
      <c r="AF903">
        <v>1.0436000000000001</v>
      </c>
      <c r="AG903">
        <v>0</v>
      </c>
      <c r="AH903">
        <v>0</v>
      </c>
      <c r="AI903">
        <v>0</v>
      </c>
      <c r="AJ903">
        <v>579.5</v>
      </c>
      <c r="AK903">
        <v>6877</v>
      </c>
      <c r="AL903">
        <v>0.27800000000000002</v>
      </c>
      <c r="AM903">
        <v>0</v>
      </c>
      <c r="AN903">
        <v>86.602000000000004</v>
      </c>
      <c r="AO903">
        <v>0</v>
      </c>
      <c r="AP903">
        <v>0</v>
      </c>
      <c r="AQ903">
        <v>0</v>
      </c>
      <c r="AR903">
        <v>18.919</v>
      </c>
      <c r="AS903">
        <v>0</v>
      </c>
      <c r="AT903">
        <v>32.042000000000002</v>
      </c>
      <c r="AU903">
        <v>5.577</v>
      </c>
      <c r="AV903">
        <v>0</v>
      </c>
      <c r="AW903">
        <v>56.816000000000003</v>
      </c>
      <c r="AX903">
        <v>0</v>
      </c>
      <c r="AY903">
        <v>182.15800000000002</v>
      </c>
      <c r="AZ903">
        <v>0</v>
      </c>
      <c r="BA903">
        <v>17921495</v>
      </c>
      <c r="BB903">
        <v>9814307</v>
      </c>
      <c r="BC903">
        <v>0</v>
      </c>
      <c r="BD903">
        <v>41773</v>
      </c>
      <c r="BE903">
        <v>27972</v>
      </c>
      <c r="BF903">
        <v>77806</v>
      </c>
      <c r="BG903">
        <v>41773</v>
      </c>
      <c r="BH903">
        <v>8061</v>
      </c>
      <c r="BI903">
        <v>0</v>
      </c>
      <c r="BJ903">
        <v>-9744</v>
      </c>
      <c r="BK903">
        <v>0</v>
      </c>
      <c r="BL903">
        <v>636345980</v>
      </c>
      <c r="BM903">
        <v>0</v>
      </c>
      <c r="BN903">
        <v>8361</v>
      </c>
      <c r="BO903">
        <v>5211</v>
      </c>
      <c r="BP903">
        <v>0</v>
      </c>
      <c r="BQ903">
        <v>0</v>
      </c>
      <c r="BR903">
        <v>0.90529999999999999</v>
      </c>
      <c r="BS903">
        <v>0.90529999999999999</v>
      </c>
      <c r="BT903">
        <v>0</v>
      </c>
      <c r="BU903">
        <v>0</v>
      </c>
      <c r="BV903">
        <v>314</v>
      </c>
      <c r="BW903">
        <v>151</v>
      </c>
      <c r="BX903">
        <v>298</v>
      </c>
      <c r="BY903">
        <v>505</v>
      </c>
      <c r="BZ903">
        <v>967</v>
      </c>
      <c r="CA903">
        <v>2235</v>
      </c>
      <c r="CB903">
        <v>0</v>
      </c>
      <c r="CC903">
        <v>0</v>
      </c>
      <c r="CD903">
        <v>0</v>
      </c>
      <c r="CE903">
        <v>47</v>
      </c>
      <c r="CF903">
        <v>633.54500000000007</v>
      </c>
      <c r="CG903">
        <v>11.062000000000001</v>
      </c>
      <c r="CH903">
        <v>0</v>
      </c>
      <c r="CI903">
        <v>12</v>
      </c>
      <c r="CJ903">
        <v>5</v>
      </c>
      <c r="CK903">
        <v>0</v>
      </c>
      <c r="CL903">
        <v>11.062000000000001</v>
      </c>
      <c r="CM903">
        <v>87.529000000000011</v>
      </c>
      <c r="CN903">
        <v>0</v>
      </c>
      <c r="CO903">
        <v>0</v>
      </c>
      <c r="CP903">
        <v>0</v>
      </c>
      <c r="CQ903">
        <v>0</v>
      </c>
      <c r="CR903">
        <v>0</v>
      </c>
      <c r="CS903">
        <v>0</v>
      </c>
      <c r="CT903">
        <v>0</v>
      </c>
      <c r="CU903">
        <v>7.4999999999999997E-2</v>
      </c>
      <c r="CV903">
        <v>115.79700000000001</v>
      </c>
      <c r="CW903">
        <v>67.47</v>
      </c>
      <c r="CX903">
        <v>0</v>
      </c>
      <c r="CY903" s="2043">
        <v>0</v>
      </c>
      <c r="CZ903" s="2043">
        <v>0</v>
      </c>
      <c r="DA903" s="2043">
        <v>0</v>
      </c>
      <c r="DB903" s="2043">
        <v>0</v>
      </c>
      <c r="DC903" s="2043">
        <v>344931</v>
      </c>
      <c r="DI903" t="s">
        <v>5204</v>
      </c>
      <c r="DJ903" t="s">
        <v>3162</v>
      </c>
      <c r="DK903" s="2042">
        <f t="shared" si="16"/>
        <v>-1</v>
      </c>
    </row>
    <row r="904" spans="1:115">
      <c r="A904" t="s">
        <v>5204</v>
      </c>
      <c r="B904" t="s">
        <v>545</v>
      </c>
      <c r="C904">
        <v>481.85500000000002</v>
      </c>
      <c r="D904">
        <v>469.78000000000003</v>
      </c>
      <c r="E904">
        <v>10.565000000000001</v>
      </c>
      <c r="F904">
        <v>0</v>
      </c>
      <c r="G904" s="2043">
        <v>3196199480</v>
      </c>
      <c r="H904">
        <v>0</v>
      </c>
      <c r="I904" s="2043">
        <v>1195748</v>
      </c>
      <c r="J904">
        <v>24.093</v>
      </c>
      <c r="K904">
        <v>66</v>
      </c>
      <c r="L904">
        <v>0</v>
      </c>
      <c r="M904">
        <v>0</v>
      </c>
      <c r="N904">
        <v>0</v>
      </c>
      <c r="O904">
        <v>0</v>
      </c>
      <c r="P904">
        <v>0</v>
      </c>
      <c r="Q904">
        <v>0</v>
      </c>
      <c r="R904" s="2043">
        <v>25687837</v>
      </c>
      <c r="S904">
        <v>1562520</v>
      </c>
      <c r="T904">
        <v>0</v>
      </c>
      <c r="U904">
        <v>0.05</v>
      </c>
      <c r="V904">
        <v>0</v>
      </c>
      <c r="W904">
        <v>20467292</v>
      </c>
      <c r="X904">
        <v>0</v>
      </c>
      <c r="Y904">
        <v>0</v>
      </c>
      <c r="Z904">
        <v>0</v>
      </c>
      <c r="AA904">
        <v>0</v>
      </c>
      <c r="AB904">
        <v>469.78000000000003</v>
      </c>
      <c r="AC904" s="2043">
        <v>2378766475</v>
      </c>
      <c r="AD904">
        <v>1945154</v>
      </c>
      <c r="AE904" s="2043">
        <v>27250357</v>
      </c>
      <c r="AF904">
        <v>0.872</v>
      </c>
      <c r="AG904">
        <v>0</v>
      </c>
      <c r="AH904">
        <v>20467292</v>
      </c>
      <c r="AI904">
        <v>0</v>
      </c>
      <c r="AJ904">
        <v>36</v>
      </c>
      <c r="AK904">
        <v>1876</v>
      </c>
      <c r="AL904">
        <v>0</v>
      </c>
      <c r="AM904">
        <v>0</v>
      </c>
      <c r="AN904">
        <v>13.586</v>
      </c>
      <c r="AO904">
        <v>0</v>
      </c>
      <c r="AP904">
        <v>0</v>
      </c>
      <c r="AQ904">
        <v>0</v>
      </c>
      <c r="AR904">
        <v>10.466000000000001</v>
      </c>
      <c r="AS904">
        <v>0</v>
      </c>
      <c r="AT904">
        <v>2.2530000000000001</v>
      </c>
      <c r="AU904">
        <v>0.56100000000000005</v>
      </c>
      <c r="AV904">
        <v>0</v>
      </c>
      <c r="AW904">
        <v>13.280000000000001</v>
      </c>
      <c r="AX904">
        <v>0</v>
      </c>
      <c r="AY904">
        <v>40.962000000000003</v>
      </c>
      <c r="AZ904">
        <v>0</v>
      </c>
      <c r="BA904">
        <v>241973</v>
      </c>
      <c r="BB904">
        <v>29195511</v>
      </c>
      <c r="BC904">
        <v>0</v>
      </c>
      <c r="BD904">
        <v>10197</v>
      </c>
      <c r="BE904">
        <v>0</v>
      </c>
      <c r="BF904">
        <v>10197</v>
      </c>
      <c r="BG904">
        <v>10197</v>
      </c>
      <c r="BH904">
        <v>0</v>
      </c>
      <c r="BI904">
        <v>0</v>
      </c>
      <c r="BJ904">
        <v>0</v>
      </c>
      <c r="BK904">
        <v>0</v>
      </c>
      <c r="BL904">
        <v>3196199480</v>
      </c>
      <c r="BM904">
        <v>0</v>
      </c>
      <c r="BN904">
        <v>2385</v>
      </c>
      <c r="BO904">
        <v>696</v>
      </c>
      <c r="BP904">
        <v>0</v>
      </c>
      <c r="BQ904">
        <v>0</v>
      </c>
      <c r="BR904">
        <v>0.82200000000000006</v>
      </c>
      <c r="BS904">
        <v>0.82200000000000006</v>
      </c>
      <c r="BT904">
        <v>0</v>
      </c>
      <c r="BU904">
        <v>0</v>
      </c>
      <c r="BV904">
        <v>27</v>
      </c>
      <c r="BW904">
        <v>115</v>
      </c>
      <c r="BX904">
        <v>4</v>
      </c>
      <c r="BY904">
        <v>3</v>
      </c>
      <c r="BZ904">
        <v>3</v>
      </c>
      <c r="CA904">
        <v>152</v>
      </c>
      <c r="CB904">
        <v>0</v>
      </c>
      <c r="CC904">
        <v>0</v>
      </c>
      <c r="CD904">
        <v>0</v>
      </c>
      <c r="CE904">
        <v>57</v>
      </c>
      <c r="CF904">
        <v>49.96</v>
      </c>
      <c r="CG904">
        <v>0</v>
      </c>
      <c r="CH904">
        <v>0</v>
      </c>
      <c r="CI904">
        <v>6</v>
      </c>
      <c r="CJ904">
        <v>8</v>
      </c>
      <c r="CK904">
        <v>0</v>
      </c>
      <c r="CL904">
        <v>0</v>
      </c>
      <c r="CM904">
        <v>10.565000000000001</v>
      </c>
      <c r="CN904">
        <v>0</v>
      </c>
      <c r="CO904">
        <v>0</v>
      </c>
      <c r="CP904">
        <v>0</v>
      </c>
      <c r="CQ904">
        <v>0</v>
      </c>
      <c r="CR904">
        <v>0</v>
      </c>
      <c r="CS904">
        <v>0</v>
      </c>
      <c r="CT904">
        <v>0</v>
      </c>
      <c r="CU904">
        <v>0</v>
      </c>
      <c r="CV904">
        <v>20.098000000000003</v>
      </c>
      <c r="CW904">
        <v>8.6059999999999999</v>
      </c>
      <c r="CX904">
        <v>0</v>
      </c>
      <c r="CY904" s="2043">
        <v>0</v>
      </c>
      <c r="CZ904" s="2043">
        <v>0</v>
      </c>
      <c r="DA904" s="2043">
        <v>0</v>
      </c>
      <c r="DB904" s="2043">
        <v>0</v>
      </c>
      <c r="DC904" s="2043">
        <v>0</v>
      </c>
      <c r="DI904" t="s">
        <v>3162</v>
      </c>
      <c r="DJ904" t="s">
        <v>5204</v>
      </c>
      <c r="DK904" s="2042">
        <f t="shared" si="16"/>
        <v>1</v>
      </c>
    </row>
    <row r="905" spans="1:115">
      <c r="A905" t="s">
        <v>5205</v>
      </c>
      <c r="B905" t="s">
        <v>722</v>
      </c>
      <c r="C905">
        <v>3425.75</v>
      </c>
      <c r="D905">
        <v>3671.808</v>
      </c>
      <c r="E905">
        <v>234.80100000000002</v>
      </c>
      <c r="F905">
        <v>0</v>
      </c>
      <c r="G905" s="2043">
        <v>3335117237</v>
      </c>
      <c r="H905">
        <v>0</v>
      </c>
      <c r="I905" s="2043">
        <v>5127794</v>
      </c>
      <c r="J905">
        <v>171.28800000000001</v>
      </c>
      <c r="K905">
        <v>468</v>
      </c>
      <c r="L905">
        <v>0</v>
      </c>
      <c r="M905">
        <v>0</v>
      </c>
      <c r="N905">
        <v>0</v>
      </c>
      <c r="O905">
        <v>0</v>
      </c>
      <c r="P905">
        <v>0</v>
      </c>
      <c r="Q905">
        <v>0</v>
      </c>
      <c r="R905" s="2043">
        <v>26461754</v>
      </c>
      <c r="S905">
        <v>2372985</v>
      </c>
      <c r="T905">
        <v>1729314</v>
      </c>
      <c r="U905">
        <v>0.08</v>
      </c>
      <c r="V905">
        <v>0</v>
      </c>
      <c r="W905">
        <v>0</v>
      </c>
      <c r="X905">
        <v>517451</v>
      </c>
      <c r="Y905">
        <v>2312533</v>
      </c>
      <c r="Z905">
        <v>0</v>
      </c>
      <c r="AA905">
        <v>0</v>
      </c>
      <c r="AB905">
        <v>3525.3980000000001</v>
      </c>
      <c r="AC905" s="2043">
        <v>2990348347</v>
      </c>
      <c r="AD905">
        <v>5222290</v>
      </c>
      <c r="AE905" s="2043">
        <v>30564053</v>
      </c>
      <c r="AF905">
        <v>1.0304</v>
      </c>
      <c r="AG905">
        <v>0</v>
      </c>
      <c r="AH905">
        <v>517451</v>
      </c>
      <c r="AI905">
        <v>0</v>
      </c>
      <c r="AJ905">
        <v>588.28800000000001</v>
      </c>
      <c r="AK905">
        <v>8258</v>
      </c>
      <c r="AL905">
        <v>0.28000000000000003</v>
      </c>
      <c r="AM905">
        <v>0</v>
      </c>
      <c r="AN905">
        <v>84.222999999999999</v>
      </c>
      <c r="AO905">
        <v>0</v>
      </c>
      <c r="AP905">
        <v>0</v>
      </c>
      <c r="AQ905">
        <v>0</v>
      </c>
      <c r="AR905">
        <v>40.637</v>
      </c>
      <c r="AS905">
        <v>0</v>
      </c>
      <c r="AT905">
        <v>31.119</v>
      </c>
      <c r="AU905">
        <v>7.01</v>
      </c>
      <c r="AV905">
        <v>0</v>
      </c>
      <c r="AW905">
        <v>79.046000000000006</v>
      </c>
      <c r="AX905">
        <v>0</v>
      </c>
      <c r="AY905">
        <v>251.71800000000002</v>
      </c>
      <c r="AZ905">
        <v>0</v>
      </c>
      <c r="BA905">
        <v>5156928</v>
      </c>
      <c r="BB905">
        <v>35786343</v>
      </c>
      <c r="BC905">
        <v>0</v>
      </c>
      <c r="BD905">
        <v>119379</v>
      </c>
      <c r="BE905">
        <v>57480</v>
      </c>
      <c r="BF905">
        <v>176859</v>
      </c>
      <c r="BG905">
        <v>119379</v>
      </c>
      <c r="BH905">
        <v>0</v>
      </c>
      <c r="BI905">
        <v>0</v>
      </c>
      <c r="BJ905">
        <v>0</v>
      </c>
      <c r="BK905">
        <v>0</v>
      </c>
      <c r="BL905">
        <v>3335117237</v>
      </c>
      <c r="BM905">
        <v>0</v>
      </c>
      <c r="BN905">
        <v>12438</v>
      </c>
      <c r="BO905">
        <v>8111</v>
      </c>
      <c r="BP905">
        <v>0</v>
      </c>
      <c r="BQ905">
        <v>0</v>
      </c>
      <c r="BR905">
        <v>0.8921</v>
      </c>
      <c r="BS905">
        <v>0.8921</v>
      </c>
      <c r="BT905">
        <v>2312533</v>
      </c>
      <c r="BU905">
        <v>0</v>
      </c>
      <c r="BV905">
        <v>152</v>
      </c>
      <c r="BW905">
        <v>1115</v>
      </c>
      <c r="BX905">
        <v>271</v>
      </c>
      <c r="BY905">
        <v>648</v>
      </c>
      <c r="BZ905">
        <v>187</v>
      </c>
      <c r="CA905">
        <v>2373</v>
      </c>
      <c r="CB905">
        <v>0</v>
      </c>
      <c r="CC905">
        <v>0</v>
      </c>
      <c r="CD905">
        <v>0</v>
      </c>
      <c r="CE905">
        <v>314</v>
      </c>
      <c r="CF905">
        <v>801.596</v>
      </c>
      <c r="CG905">
        <v>33.518999999999998</v>
      </c>
      <c r="CH905">
        <v>0</v>
      </c>
      <c r="CI905">
        <v>23</v>
      </c>
      <c r="CJ905">
        <v>44</v>
      </c>
      <c r="CK905">
        <v>0</v>
      </c>
      <c r="CL905">
        <v>33.518999999999998</v>
      </c>
      <c r="CM905">
        <v>234.80100000000002</v>
      </c>
      <c r="CN905">
        <v>0</v>
      </c>
      <c r="CO905">
        <v>0</v>
      </c>
      <c r="CP905">
        <v>0</v>
      </c>
      <c r="CQ905">
        <v>0</v>
      </c>
      <c r="CR905">
        <v>0</v>
      </c>
      <c r="CS905">
        <v>0</v>
      </c>
      <c r="CT905">
        <v>0</v>
      </c>
      <c r="CU905">
        <v>0</v>
      </c>
      <c r="CV905">
        <v>131.161</v>
      </c>
      <c r="CW905">
        <v>59.037000000000006</v>
      </c>
      <c r="CX905">
        <v>2312533</v>
      </c>
      <c r="CY905" s="2043">
        <v>0</v>
      </c>
      <c r="CZ905" s="2043">
        <v>0</v>
      </c>
      <c r="DA905" s="2043">
        <v>0</v>
      </c>
      <c r="DB905" s="2043">
        <v>0</v>
      </c>
      <c r="DC905" s="2043">
        <v>456530</v>
      </c>
      <c r="DI905" t="s">
        <v>5205</v>
      </c>
      <c r="DJ905" t="s">
        <v>5205</v>
      </c>
      <c r="DK905" s="2042">
        <f t="shared" si="16"/>
        <v>0</v>
      </c>
    </row>
    <row r="906" spans="1:115">
      <c r="A906" t="s">
        <v>3163</v>
      </c>
      <c r="B906" t="s">
        <v>911</v>
      </c>
      <c r="C906">
        <v>798.50100000000009</v>
      </c>
      <c r="D906">
        <v>813.59700000000009</v>
      </c>
      <c r="E906">
        <v>18.038</v>
      </c>
      <c r="F906">
        <v>0</v>
      </c>
      <c r="G906" s="2043">
        <v>664316023</v>
      </c>
      <c r="H906">
        <v>0</v>
      </c>
      <c r="I906" s="2043">
        <v>1081738</v>
      </c>
      <c r="J906">
        <v>39.925000000000004</v>
      </c>
      <c r="K906">
        <v>109</v>
      </c>
      <c r="L906">
        <v>0</v>
      </c>
      <c r="M906">
        <v>148780</v>
      </c>
      <c r="N906">
        <v>0</v>
      </c>
      <c r="O906">
        <v>148780</v>
      </c>
      <c r="P906">
        <v>0</v>
      </c>
      <c r="Q906">
        <v>0</v>
      </c>
      <c r="R906" s="2043">
        <v>5877496</v>
      </c>
      <c r="S906">
        <v>525245</v>
      </c>
      <c r="T906">
        <v>382773</v>
      </c>
      <c r="U906">
        <v>0.08</v>
      </c>
      <c r="V906">
        <v>0</v>
      </c>
      <c r="W906">
        <v>0</v>
      </c>
      <c r="X906">
        <v>0</v>
      </c>
      <c r="Y906">
        <v>0</v>
      </c>
      <c r="Z906">
        <v>0</v>
      </c>
      <c r="AA906">
        <v>0</v>
      </c>
      <c r="AB906">
        <v>752.14700000000005</v>
      </c>
      <c r="AC906" s="2043">
        <v>441100526</v>
      </c>
      <c r="AD906">
        <v>2126098</v>
      </c>
      <c r="AE906" s="2043">
        <v>6785514</v>
      </c>
      <c r="AF906">
        <v>1.0335000000000001</v>
      </c>
      <c r="AG906">
        <v>0</v>
      </c>
      <c r="AH906">
        <v>0</v>
      </c>
      <c r="AI906">
        <v>0</v>
      </c>
      <c r="AJ906">
        <v>122.83800000000001</v>
      </c>
      <c r="AK906">
        <v>3078</v>
      </c>
      <c r="AL906">
        <v>0.14899999999999999</v>
      </c>
      <c r="AM906">
        <v>0</v>
      </c>
      <c r="AN906">
        <v>32.322000000000003</v>
      </c>
      <c r="AO906">
        <v>0</v>
      </c>
      <c r="AP906">
        <v>0</v>
      </c>
      <c r="AQ906">
        <v>0</v>
      </c>
      <c r="AR906">
        <v>16.538</v>
      </c>
      <c r="AS906">
        <v>0</v>
      </c>
      <c r="AT906">
        <v>1.9580000000000002</v>
      </c>
      <c r="AU906">
        <v>1.3840000000000001</v>
      </c>
      <c r="AV906">
        <v>0</v>
      </c>
      <c r="AW906">
        <v>20.029</v>
      </c>
      <c r="AX906">
        <v>0</v>
      </c>
      <c r="AY906">
        <v>63.153000000000006</v>
      </c>
      <c r="AZ906">
        <v>0</v>
      </c>
      <c r="BA906">
        <v>3268685</v>
      </c>
      <c r="BB906">
        <v>8911612</v>
      </c>
      <c r="BC906">
        <v>0</v>
      </c>
      <c r="BD906">
        <v>70556</v>
      </c>
      <c r="BE906">
        <v>324</v>
      </c>
      <c r="BF906">
        <v>91573</v>
      </c>
      <c r="BG906">
        <v>70556</v>
      </c>
      <c r="BH906">
        <v>20693</v>
      </c>
      <c r="BI906">
        <v>0</v>
      </c>
      <c r="BJ906">
        <v>0</v>
      </c>
      <c r="BK906">
        <v>0</v>
      </c>
      <c r="BL906">
        <v>664316023</v>
      </c>
      <c r="BM906">
        <v>0</v>
      </c>
      <c r="BN906">
        <v>3006</v>
      </c>
      <c r="BO906">
        <v>1787</v>
      </c>
      <c r="BP906">
        <v>0</v>
      </c>
      <c r="BQ906">
        <v>0</v>
      </c>
      <c r="BR906">
        <v>0.8952</v>
      </c>
      <c r="BS906">
        <v>0.8952</v>
      </c>
      <c r="BT906">
        <v>0</v>
      </c>
      <c r="BU906">
        <v>0</v>
      </c>
      <c r="BV906">
        <v>312</v>
      </c>
      <c r="BW906">
        <v>10</v>
      </c>
      <c r="BX906">
        <v>174</v>
      </c>
      <c r="BY906">
        <v>9</v>
      </c>
      <c r="BZ906">
        <v>16</v>
      </c>
      <c r="CA906">
        <v>521</v>
      </c>
      <c r="CB906">
        <v>0</v>
      </c>
      <c r="CC906">
        <v>0</v>
      </c>
      <c r="CD906">
        <v>0</v>
      </c>
      <c r="CE906">
        <v>53</v>
      </c>
      <c r="CF906">
        <v>141.43700000000001</v>
      </c>
      <c r="CG906">
        <v>0</v>
      </c>
      <c r="CH906">
        <v>0</v>
      </c>
      <c r="CI906">
        <v>15</v>
      </c>
      <c r="CJ906">
        <v>9</v>
      </c>
      <c r="CK906">
        <v>1</v>
      </c>
      <c r="CL906">
        <v>0</v>
      </c>
      <c r="CM906">
        <v>18.038</v>
      </c>
      <c r="CN906">
        <v>0</v>
      </c>
      <c r="CO906">
        <v>0</v>
      </c>
      <c r="CP906">
        <v>0</v>
      </c>
      <c r="CQ906">
        <v>0</v>
      </c>
      <c r="CR906">
        <v>0</v>
      </c>
      <c r="CS906">
        <v>21.974</v>
      </c>
      <c r="CT906">
        <v>0</v>
      </c>
      <c r="CU906">
        <v>0</v>
      </c>
      <c r="CV906">
        <v>39.774000000000001</v>
      </c>
      <c r="CW906">
        <v>25.198</v>
      </c>
      <c r="CX906">
        <v>0</v>
      </c>
      <c r="CY906" s="2043">
        <v>0</v>
      </c>
      <c r="CZ906" s="2043">
        <v>0</v>
      </c>
      <c r="DA906" s="2043">
        <v>0</v>
      </c>
      <c r="DB906" s="2043">
        <v>0</v>
      </c>
      <c r="DC906" s="2043">
        <v>0</v>
      </c>
      <c r="DI906" t="s">
        <v>3163</v>
      </c>
      <c r="DJ906" t="s">
        <v>3163</v>
      </c>
      <c r="DK906" s="2042">
        <f t="shared" si="16"/>
        <v>0</v>
      </c>
    </row>
    <row r="907" spans="1:115">
      <c r="A907" t="s">
        <v>5206</v>
      </c>
      <c r="B907" t="s">
        <v>2019</v>
      </c>
      <c r="C907">
        <v>5149.4970000000003</v>
      </c>
      <c r="D907">
        <v>5367.6580000000004</v>
      </c>
      <c r="E907">
        <v>154.48500000000001</v>
      </c>
      <c r="F907">
        <v>0</v>
      </c>
      <c r="G907" s="2043">
        <v>3624647092</v>
      </c>
      <c r="H907">
        <v>0</v>
      </c>
      <c r="I907" s="2043">
        <v>2722996</v>
      </c>
      <c r="J907">
        <v>257.47500000000002</v>
      </c>
      <c r="K907">
        <v>704</v>
      </c>
      <c r="L907">
        <v>0</v>
      </c>
      <c r="M907">
        <v>0</v>
      </c>
      <c r="N907">
        <v>0</v>
      </c>
      <c r="O907">
        <v>0</v>
      </c>
      <c r="P907">
        <v>0</v>
      </c>
      <c r="Q907">
        <v>0</v>
      </c>
      <c r="R907" s="2043">
        <v>30326851</v>
      </c>
      <c r="S907">
        <v>2846589</v>
      </c>
      <c r="T907">
        <v>0</v>
      </c>
      <c r="U907">
        <v>0.08</v>
      </c>
      <c r="V907">
        <v>0</v>
      </c>
      <c r="W907">
        <v>0</v>
      </c>
      <c r="X907">
        <v>0</v>
      </c>
      <c r="Y907">
        <v>0</v>
      </c>
      <c r="Z907">
        <v>0</v>
      </c>
      <c r="AA907">
        <v>0.183</v>
      </c>
      <c r="AB907">
        <v>5223.4620000000004</v>
      </c>
      <c r="AC907" s="2043">
        <v>3229232497</v>
      </c>
      <c r="AD907">
        <v>2609569</v>
      </c>
      <c r="AE907" s="2043">
        <v>33173440</v>
      </c>
      <c r="AF907">
        <v>0.93230000000000002</v>
      </c>
      <c r="AG907">
        <v>0</v>
      </c>
      <c r="AH907">
        <v>0</v>
      </c>
      <c r="AI907">
        <v>0</v>
      </c>
      <c r="AJ907">
        <v>662.06299999999999</v>
      </c>
      <c r="AK907">
        <v>16677</v>
      </c>
      <c r="AL907">
        <v>0.96400000000000008</v>
      </c>
      <c r="AM907">
        <v>0</v>
      </c>
      <c r="AN907">
        <v>213.24100000000001</v>
      </c>
      <c r="AO907">
        <v>0</v>
      </c>
      <c r="AP907">
        <v>0</v>
      </c>
      <c r="AQ907">
        <v>0</v>
      </c>
      <c r="AR907">
        <v>71.141000000000005</v>
      </c>
      <c r="AS907">
        <v>0</v>
      </c>
      <c r="AT907">
        <v>62.965000000000003</v>
      </c>
      <c r="AU907">
        <v>11.698</v>
      </c>
      <c r="AV907">
        <v>0</v>
      </c>
      <c r="AW907">
        <v>154.67500000000001</v>
      </c>
      <c r="AX907">
        <v>7.907</v>
      </c>
      <c r="AY907">
        <v>483.81400000000002</v>
      </c>
      <c r="AZ907">
        <v>0</v>
      </c>
      <c r="BA907">
        <v>13821938</v>
      </c>
      <c r="BB907">
        <v>35783009</v>
      </c>
      <c r="BC907">
        <v>0</v>
      </c>
      <c r="BD907">
        <v>158665</v>
      </c>
      <c r="BE907">
        <v>55401</v>
      </c>
      <c r="BF907">
        <v>378692</v>
      </c>
      <c r="BG907">
        <v>158665</v>
      </c>
      <c r="BH907">
        <v>164626</v>
      </c>
      <c r="BI907">
        <v>0</v>
      </c>
      <c r="BJ907">
        <v>0</v>
      </c>
      <c r="BK907">
        <v>0</v>
      </c>
      <c r="BL907">
        <v>3624647092</v>
      </c>
      <c r="BM907">
        <v>0</v>
      </c>
      <c r="BN907">
        <v>21951</v>
      </c>
      <c r="BO907">
        <v>5650</v>
      </c>
      <c r="BP907">
        <v>14490</v>
      </c>
      <c r="BQ907">
        <v>0</v>
      </c>
      <c r="BR907">
        <v>0.85230000000000006</v>
      </c>
      <c r="BS907">
        <v>0.85230000000000006</v>
      </c>
      <c r="BT907">
        <v>0</v>
      </c>
      <c r="BU907">
        <v>0</v>
      </c>
      <c r="BV907">
        <v>529</v>
      </c>
      <c r="BW907">
        <v>1038</v>
      </c>
      <c r="BX907">
        <v>344</v>
      </c>
      <c r="BY907">
        <v>231</v>
      </c>
      <c r="BZ907">
        <v>545</v>
      </c>
      <c r="CA907">
        <v>2687</v>
      </c>
      <c r="CB907">
        <v>0</v>
      </c>
      <c r="CC907">
        <v>0</v>
      </c>
      <c r="CD907">
        <v>0</v>
      </c>
      <c r="CE907">
        <v>412</v>
      </c>
      <c r="CF907">
        <v>817.31900000000007</v>
      </c>
      <c r="CG907">
        <v>0</v>
      </c>
      <c r="CH907">
        <v>0</v>
      </c>
      <c r="CI907">
        <v>21</v>
      </c>
      <c r="CJ907">
        <v>79</v>
      </c>
      <c r="CK907">
        <v>2</v>
      </c>
      <c r="CL907">
        <v>0</v>
      </c>
      <c r="CM907">
        <v>154.48500000000001</v>
      </c>
      <c r="CN907">
        <v>0</v>
      </c>
      <c r="CO907">
        <v>0</v>
      </c>
      <c r="CP907">
        <v>13240</v>
      </c>
      <c r="CQ907">
        <v>1250</v>
      </c>
      <c r="CR907">
        <v>0</v>
      </c>
      <c r="CS907">
        <v>0</v>
      </c>
      <c r="CT907">
        <v>0</v>
      </c>
      <c r="CU907">
        <v>1.1760000000000002</v>
      </c>
      <c r="CV907">
        <v>308.23</v>
      </c>
      <c r="CW907">
        <v>88.204999999999998</v>
      </c>
      <c r="CX907">
        <v>0</v>
      </c>
      <c r="CY907" s="2043">
        <v>0</v>
      </c>
      <c r="CZ907" s="2043">
        <v>0</v>
      </c>
      <c r="DA907" s="2043">
        <v>0</v>
      </c>
      <c r="DB907" s="2043">
        <v>0</v>
      </c>
      <c r="DC907" s="2043">
        <v>0</v>
      </c>
      <c r="DI907" t="s">
        <v>5206</v>
      </c>
      <c r="DJ907" t="s">
        <v>5206</v>
      </c>
      <c r="DK907" s="2042">
        <f t="shared" si="16"/>
        <v>0</v>
      </c>
    </row>
    <row r="908" spans="1:115">
      <c r="A908" t="s">
        <v>3164</v>
      </c>
      <c r="B908" t="s">
        <v>2020</v>
      </c>
      <c r="C908">
        <v>1776.875</v>
      </c>
      <c r="D908">
        <v>1909.7030000000002</v>
      </c>
      <c r="E908">
        <v>129.21</v>
      </c>
      <c r="F908">
        <v>0</v>
      </c>
      <c r="G908" s="2043">
        <v>880230691</v>
      </c>
      <c r="H908">
        <v>0</v>
      </c>
      <c r="I908" s="2043">
        <v>2755062</v>
      </c>
      <c r="J908">
        <v>88.844000000000008</v>
      </c>
      <c r="K908">
        <v>243</v>
      </c>
      <c r="L908">
        <v>0</v>
      </c>
      <c r="M908">
        <v>243416</v>
      </c>
      <c r="N908">
        <v>0</v>
      </c>
      <c r="O908">
        <v>243416</v>
      </c>
      <c r="P908">
        <v>0</v>
      </c>
      <c r="Q908">
        <v>0</v>
      </c>
      <c r="R908" s="2043">
        <v>7933615</v>
      </c>
      <c r="S908">
        <v>434290</v>
      </c>
      <c r="T908">
        <v>0</v>
      </c>
      <c r="U908">
        <v>0.05</v>
      </c>
      <c r="V908">
        <v>0</v>
      </c>
      <c r="W908">
        <v>0</v>
      </c>
      <c r="X908">
        <v>0</v>
      </c>
      <c r="Y908">
        <v>-4730</v>
      </c>
      <c r="Z908">
        <v>0</v>
      </c>
      <c r="AA908">
        <v>0.36899999999999999</v>
      </c>
      <c r="AB908">
        <v>1699.277</v>
      </c>
      <c r="AC908" s="2043">
        <v>842698157</v>
      </c>
      <c r="AD908">
        <v>2680228</v>
      </c>
      <c r="AE908" s="2043">
        <v>8367905</v>
      </c>
      <c r="AF908">
        <v>0.96340000000000003</v>
      </c>
      <c r="AG908">
        <v>0</v>
      </c>
      <c r="AH908">
        <v>0</v>
      </c>
      <c r="AI908">
        <v>0</v>
      </c>
      <c r="AJ908">
        <v>510.76300000000003</v>
      </c>
      <c r="AK908">
        <v>6786</v>
      </c>
      <c r="AL908">
        <v>0.31900000000000001</v>
      </c>
      <c r="AM908">
        <v>0</v>
      </c>
      <c r="AN908">
        <v>1.528</v>
      </c>
      <c r="AO908">
        <v>0</v>
      </c>
      <c r="AP908">
        <v>5.7000000000000002E-2</v>
      </c>
      <c r="AQ908">
        <v>0</v>
      </c>
      <c r="AR908">
        <v>65.05</v>
      </c>
      <c r="AS908">
        <v>0</v>
      </c>
      <c r="AT908">
        <v>18.57</v>
      </c>
      <c r="AU908">
        <v>4.3330000000000002</v>
      </c>
      <c r="AV908">
        <v>0</v>
      </c>
      <c r="AW908">
        <v>88.329000000000008</v>
      </c>
      <c r="AX908">
        <v>0</v>
      </c>
      <c r="AY908">
        <v>274.274</v>
      </c>
      <c r="AZ908">
        <v>0</v>
      </c>
      <c r="BA908">
        <v>10050672</v>
      </c>
      <c r="BB908">
        <v>11048133</v>
      </c>
      <c r="BC908">
        <v>0</v>
      </c>
      <c r="BD908">
        <v>37607</v>
      </c>
      <c r="BE908">
        <v>16689</v>
      </c>
      <c r="BF908">
        <v>55272</v>
      </c>
      <c r="BG908">
        <v>37607</v>
      </c>
      <c r="BH908">
        <v>976</v>
      </c>
      <c r="BI908">
        <v>-6199</v>
      </c>
      <c r="BJ908">
        <v>0</v>
      </c>
      <c r="BK908">
        <v>0</v>
      </c>
      <c r="BL908">
        <v>880230691</v>
      </c>
      <c r="BM908">
        <v>0</v>
      </c>
      <c r="BN908">
        <v>6759</v>
      </c>
      <c r="BO908">
        <v>3456</v>
      </c>
      <c r="BP908">
        <v>0</v>
      </c>
      <c r="BQ908">
        <v>51000</v>
      </c>
      <c r="BR908">
        <v>0.91339999999999999</v>
      </c>
      <c r="BS908">
        <v>0.91339999999999999</v>
      </c>
      <c r="BT908">
        <v>1469</v>
      </c>
      <c r="BU908">
        <v>0</v>
      </c>
      <c r="BV908">
        <v>49</v>
      </c>
      <c r="BW908">
        <v>84</v>
      </c>
      <c r="BX908">
        <v>483</v>
      </c>
      <c r="BY908">
        <v>559</v>
      </c>
      <c r="BZ908">
        <v>772</v>
      </c>
      <c r="CA908">
        <v>1947</v>
      </c>
      <c r="CB908">
        <v>0</v>
      </c>
      <c r="CC908">
        <v>0</v>
      </c>
      <c r="CD908">
        <v>0</v>
      </c>
      <c r="CE908">
        <v>36</v>
      </c>
      <c r="CF908">
        <v>545.98099999999999</v>
      </c>
      <c r="CG908">
        <v>0</v>
      </c>
      <c r="CH908">
        <v>0</v>
      </c>
      <c r="CI908">
        <v>1</v>
      </c>
      <c r="CJ908">
        <v>2</v>
      </c>
      <c r="CK908">
        <v>1</v>
      </c>
      <c r="CL908">
        <v>0</v>
      </c>
      <c r="CM908">
        <v>129.21</v>
      </c>
      <c r="CN908">
        <v>0</v>
      </c>
      <c r="CO908">
        <v>0</v>
      </c>
      <c r="CP908">
        <v>0</v>
      </c>
      <c r="CQ908">
        <v>0</v>
      </c>
      <c r="CR908">
        <v>0</v>
      </c>
      <c r="CS908">
        <v>0</v>
      </c>
      <c r="CT908">
        <v>0</v>
      </c>
      <c r="CU908">
        <v>10.958</v>
      </c>
      <c r="CV908">
        <v>57.375</v>
      </c>
      <c r="CW908">
        <v>40.477000000000004</v>
      </c>
      <c r="CX908">
        <v>1469</v>
      </c>
      <c r="CY908" s="2043">
        <v>0</v>
      </c>
      <c r="CZ908" s="2043">
        <v>0</v>
      </c>
      <c r="DA908" s="2043">
        <v>0</v>
      </c>
      <c r="DB908" s="2043">
        <v>0</v>
      </c>
      <c r="DC908" s="2043">
        <v>0</v>
      </c>
      <c r="DI908" t="s">
        <v>3164</v>
      </c>
      <c r="DJ908" t="s">
        <v>3164</v>
      </c>
      <c r="DK908" s="2042">
        <f t="shared" si="16"/>
        <v>0</v>
      </c>
    </row>
    <row r="909" spans="1:115">
      <c r="A909" t="s">
        <v>8513</v>
      </c>
      <c r="B909" t="s">
        <v>11391</v>
      </c>
      <c r="C909">
        <v>0</v>
      </c>
      <c r="D909">
        <v>0</v>
      </c>
      <c r="E909">
        <v>0</v>
      </c>
      <c r="F909">
        <v>0</v>
      </c>
      <c r="G909" s="2043">
        <v>0</v>
      </c>
      <c r="H909">
        <v>0</v>
      </c>
      <c r="I909" s="2043">
        <v>0</v>
      </c>
      <c r="J909">
        <v>0</v>
      </c>
      <c r="K909">
        <v>0</v>
      </c>
      <c r="L909">
        <v>0</v>
      </c>
      <c r="M909">
        <v>0</v>
      </c>
      <c r="N909">
        <v>0</v>
      </c>
      <c r="O909">
        <v>0</v>
      </c>
      <c r="P909">
        <v>0</v>
      </c>
      <c r="Q909">
        <v>0</v>
      </c>
      <c r="R909" s="2043">
        <v>0</v>
      </c>
      <c r="S909">
        <v>0</v>
      </c>
      <c r="T909">
        <v>0</v>
      </c>
      <c r="U909">
        <v>0</v>
      </c>
      <c r="V909">
        <v>0</v>
      </c>
      <c r="W909">
        <v>0</v>
      </c>
      <c r="X909">
        <v>0</v>
      </c>
      <c r="Y909">
        <v>128242</v>
      </c>
      <c r="Z909">
        <v>0</v>
      </c>
      <c r="AA909">
        <v>0</v>
      </c>
      <c r="AB909">
        <v>0</v>
      </c>
      <c r="AC909" s="2043">
        <v>0</v>
      </c>
      <c r="AD909">
        <v>0</v>
      </c>
      <c r="AE909" s="2043">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128242</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BX909">
        <v>0</v>
      </c>
      <c r="BY909">
        <v>0</v>
      </c>
      <c r="BZ909">
        <v>0</v>
      </c>
      <c r="CA909">
        <v>0</v>
      </c>
      <c r="CB909">
        <v>0</v>
      </c>
      <c r="CC909">
        <v>0</v>
      </c>
      <c r="CD909">
        <v>0</v>
      </c>
      <c r="CE909">
        <v>0</v>
      </c>
      <c r="CF909">
        <v>0</v>
      </c>
      <c r="CG909">
        <v>0</v>
      </c>
      <c r="CH909">
        <v>0</v>
      </c>
      <c r="CI909">
        <v>0</v>
      </c>
      <c r="CJ909">
        <v>0</v>
      </c>
      <c r="CK909">
        <v>0</v>
      </c>
      <c r="CL909">
        <v>0</v>
      </c>
      <c r="CM909">
        <v>0</v>
      </c>
      <c r="CN909">
        <v>0</v>
      </c>
      <c r="CO909">
        <v>0</v>
      </c>
      <c r="CP909">
        <v>0</v>
      </c>
      <c r="CQ909">
        <v>0</v>
      </c>
      <c r="CR909">
        <v>0</v>
      </c>
      <c r="CS909">
        <v>0</v>
      </c>
      <c r="CT909">
        <v>0</v>
      </c>
      <c r="CU909">
        <v>0</v>
      </c>
      <c r="CV909">
        <v>0</v>
      </c>
      <c r="CW909">
        <v>0</v>
      </c>
      <c r="CX909">
        <v>0</v>
      </c>
      <c r="CY909" s="2043">
        <v>0</v>
      </c>
      <c r="CZ909" s="2043">
        <v>0</v>
      </c>
      <c r="DA909" s="2043">
        <v>0</v>
      </c>
      <c r="DB909" s="2043">
        <v>0</v>
      </c>
      <c r="DC909" s="2043">
        <v>0</v>
      </c>
      <c r="DI909" t="s">
        <v>8513</v>
      </c>
      <c r="DJ909" t="s">
        <v>8513</v>
      </c>
      <c r="DK909" s="2042">
        <f t="shared" si="16"/>
        <v>0</v>
      </c>
    </row>
    <row r="910" spans="1:115">
      <c r="A910" t="s">
        <v>3165</v>
      </c>
      <c r="B910" t="s">
        <v>195</v>
      </c>
      <c r="C910">
        <v>1892.5620000000001</v>
      </c>
      <c r="D910">
        <v>2038.681</v>
      </c>
      <c r="E910">
        <v>528.35199999999998</v>
      </c>
      <c r="F910">
        <v>116212</v>
      </c>
      <c r="G910" s="2043">
        <v>913164391</v>
      </c>
      <c r="H910">
        <v>0</v>
      </c>
      <c r="I910" s="2043">
        <v>1099863</v>
      </c>
      <c r="J910">
        <v>94.628</v>
      </c>
      <c r="K910">
        <v>259</v>
      </c>
      <c r="L910">
        <v>0</v>
      </c>
      <c r="M910">
        <v>0</v>
      </c>
      <c r="N910">
        <v>0</v>
      </c>
      <c r="O910">
        <v>0</v>
      </c>
      <c r="P910">
        <v>0</v>
      </c>
      <c r="Q910">
        <v>0</v>
      </c>
      <c r="R910" s="2043">
        <v>8188968</v>
      </c>
      <c r="S910">
        <v>448268</v>
      </c>
      <c r="T910">
        <v>0</v>
      </c>
      <c r="U910">
        <v>0.05</v>
      </c>
      <c r="V910">
        <v>0</v>
      </c>
      <c r="W910">
        <v>0</v>
      </c>
      <c r="X910">
        <v>0</v>
      </c>
      <c r="Y910">
        <v>116212</v>
      </c>
      <c r="Z910">
        <v>0</v>
      </c>
      <c r="AA910">
        <v>4.5999999999999999E-2</v>
      </c>
      <c r="AB910">
        <v>1965.7080000000001</v>
      </c>
      <c r="AC910" s="2043">
        <v>1273051926</v>
      </c>
      <c r="AD910">
        <v>1111571</v>
      </c>
      <c r="AE910" s="2043">
        <v>8637236</v>
      </c>
      <c r="AF910">
        <v>0.96340000000000003</v>
      </c>
      <c r="AG910">
        <v>0</v>
      </c>
      <c r="AH910">
        <v>0</v>
      </c>
      <c r="AI910">
        <v>0</v>
      </c>
      <c r="AJ910">
        <v>310.43799999999999</v>
      </c>
      <c r="AK910">
        <v>5748</v>
      </c>
      <c r="AL910">
        <v>5.1000000000000004E-2</v>
      </c>
      <c r="AM910">
        <v>0</v>
      </c>
      <c r="AN910">
        <v>50.948</v>
      </c>
      <c r="AO910">
        <v>0</v>
      </c>
      <c r="AP910">
        <v>0</v>
      </c>
      <c r="AQ910">
        <v>0</v>
      </c>
      <c r="AR910">
        <v>49.438000000000002</v>
      </c>
      <c r="AS910">
        <v>0</v>
      </c>
      <c r="AT910">
        <v>5.8840000000000003</v>
      </c>
      <c r="AU910">
        <v>1.9000000000000001</v>
      </c>
      <c r="AV910">
        <v>0</v>
      </c>
      <c r="AW910">
        <v>57.273000000000003</v>
      </c>
      <c r="AX910">
        <v>0</v>
      </c>
      <c r="AY910">
        <v>175.721</v>
      </c>
      <c r="AZ910">
        <v>0</v>
      </c>
      <c r="BA910">
        <v>9711352</v>
      </c>
      <c r="BB910">
        <v>9748807</v>
      </c>
      <c r="BC910">
        <v>0</v>
      </c>
      <c r="BD910">
        <v>54244</v>
      </c>
      <c r="BE910">
        <v>8062</v>
      </c>
      <c r="BF910">
        <v>62306</v>
      </c>
      <c r="BG910">
        <v>54244</v>
      </c>
      <c r="BH910">
        <v>0</v>
      </c>
      <c r="BI910">
        <v>0</v>
      </c>
      <c r="BJ910">
        <v>0</v>
      </c>
      <c r="BK910">
        <v>0</v>
      </c>
      <c r="BL910">
        <v>913164391</v>
      </c>
      <c r="BM910">
        <v>0</v>
      </c>
      <c r="BN910">
        <v>7641</v>
      </c>
      <c r="BO910">
        <v>6227</v>
      </c>
      <c r="BP910">
        <v>0</v>
      </c>
      <c r="BQ910">
        <v>0</v>
      </c>
      <c r="BR910">
        <v>0.91339999999999999</v>
      </c>
      <c r="BS910">
        <v>0.91339999999999999</v>
      </c>
      <c r="BT910">
        <v>0</v>
      </c>
      <c r="BU910">
        <v>0</v>
      </c>
      <c r="BV910">
        <v>145</v>
      </c>
      <c r="BW910">
        <v>185</v>
      </c>
      <c r="BX910">
        <v>919</v>
      </c>
      <c r="BY910">
        <v>0</v>
      </c>
      <c r="BZ910">
        <v>15</v>
      </c>
      <c r="CA910">
        <v>1264</v>
      </c>
      <c r="CB910">
        <v>0</v>
      </c>
      <c r="CC910">
        <v>60.233000000000004</v>
      </c>
      <c r="CD910">
        <v>0</v>
      </c>
      <c r="CE910">
        <v>77</v>
      </c>
      <c r="CF910">
        <v>574.69000000000005</v>
      </c>
      <c r="CG910">
        <v>18.505000000000003</v>
      </c>
      <c r="CH910">
        <v>0</v>
      </c>
      <c r="CI910">
        <v>0</v>
      </c>
      <c r="CJ910">
        <v>6</v>
      </c>
      <c r="CK910">
        <v>0</v>
      </c>
      <c r="CL910">
        <v>18.505000000000003</v>
      </c>
      <c r="CM910">
        <v>528.35199999999998</v>
      </c>
      <c r="CN910">
        <v>0</v>
      </c>
      <c r="CO910">
        <v>0</v>
      </c>
      <c r="CP910">
        <v>0</v>
      </c>
      <c r="CQ910">
        <v>0</v>
      </c>
      <c r="CR910">
        <v>0</v>
      </c>
      <c r="CS910">
        <v>0</v>
      </c>
      <c r="CT910">
        <v>0</v>
      </c>
      <c r="CU910">
        <v>0</v>
      </c>
      <c r="CV910">
        <v>119.06</v>
      </c>
      <c r="CW910">
        <v>48.538000000000004</v>
      </c>
      <c r="CX910">
        <v>0</v>
      </c>
      <c r="CY910" s="2043">
        <v>0</v>
      </c>
      <c r="CZ910" s="2043">
        <v>0</v>
      </c>
      <c r="DA910" s="2043">
        <v>0</v>
      </c>
      <c r="DB910" s="2043">
        <v>116212</v>
      </c>
      <c r="DC910" s="2043">
        <v>0</v>
      </c>
      <c r="DI910" t="s">
        <v>3165</v>
      </c>
      <c r="DJ910" t="s">
        <v>3165</v>
      </c>
      <c r="DK910" s="2042">
        <f t="shared" si="16"/>
        <v>0</v>
      </c>
    </row>
    <row r="911" spans="1:115">
      <c r="A911" t="s">
        <v>7356</v>
      </c>
      <c r="B911" t="s">
        <v>11392</v>
      </c>
      <c r="C911">
        <v>175.25200000000001</v>
      </c>
      <c r="D911">
        <v>302.83800000000002</v>
      </c>
      <c r="E911">
        <v>5.8</v>
      </c>
      <c r="F911">
        <v>0</v>
      </c>
      <c r="G911" s="2043">
        <v>0</v>
      </c>
      <c r="H911">
        <v>0</v>
      </c>
      <c r="I911" s="2043">
        <v>0</v>
      </c>
      <c r="J911">
        <v>8.7629999999999999</v>
      </c>
      <c r="K911">
        <v>24</v>
      </c>
      <c r="L911">
        <v>0</v>
      </c>
      <c r="M911">
        <v>0</v>
      </c>
      <c r="N911">
        <v>0</v>
      </c>
      <c r="O911">
        <v>0</v>
      </c>
      <c r="P911">
        <v>0</v>
      </c>
      <c r="Q911">
        <v>0</v>
      </c>
      <c r="R911" s="2043">
        <v>0</v>
      </c>
      <c r="S911">
        <v>0</v>
      </c>
      <c r="T911">
        <v>0</v>
      </c>
      <c r="U911">
        <v>0</v>
      </c>
      <c r="V911">
        <v>0</v>
      </c>
      <c r="W911">
        <v>0</v>
      </c>
      <c r="X911">
        <v>0</v>
      </c>
      <c r="Y911">
        <v>0</v>
      </c>
      <c r="Z911">
        <v>0</v>
      </c>
      <c r="AA911">
        <v>0</v>
      </c>
      <c r="AB911">
        <v>1</v>
      </c>
      <c r="AC911" s="2043">
        <v>0</v>
      </c>
      <c r="AD911">
        <v>0</v>
      </c>
      <c r="AE911" s="2043">
        <v>0</v>
      </c>
      <c r="AF911">
        <v>0</v>
      </c>
      <c r="AG911">
        <v>0</v>
      </c>
      <c r="AH911">
        <v>0</v>
      </c>
      <c r="AI911">
        <v>0</v>
      </c>
      <c r="AJ911">
        <v>28.35</v>
      </c>
      <c r="AK911">
        <v>2943</v>
      </c>
      <c r="AL911">
        <v>0</v>
      </c>
      <c r="AM911">
        <v>0</v>
      </c>
      <c r="AN911">
        <v>7.2650000000000006</v>
      </c>
      <c r="AO911">
        <v>0</v>
      </c>
      <c r="AP911">
        <v>0</v>
      </c>
      <c r="AQ911">
        <v>15.811</v>
      </c>
      <c r="AR911">
        <v>2.843</v>
      </c>
      <c r="AS911">
        <v>0</v>
      </c>
      <c r="AT911">
        <v>0</v>
      </c>
      <c r="AU911">
        <v>0.36499999999999999</v>
      </c>
      <c r="AV911">
        <v>0</v>
      </c>
      <c r="AW911">
        <v>19.019000000000002</v>
      </c>
      <c r="AX911">
        <v>0</v>
      </c>
      <c r="AY911">
        <v>10.354000000000001</v>
      </c>
      <c r="AZ911">
        <v>0</v>
      </c>
      <c r="BA911">
        <v>2659226</v>
      </c>
      <c r="BB911">
        <v>0</v>
      </c>
      <c r="BC911">
        <v>0</v>
      </c>
      <c r="BD911">
        <v>0</v>
      </c>
      <c r="BE911">
        <v>0</v>
      </c>
      <c r="BF911">
        <v>0</v>
      </c>
      <c r="BG911">
        <v>0</v>
      </c>
      <c r="BH911">
        <v>0</v>
      </c>
      <c r="BI911">
        <v>0</v>
      </c>
      <c r="BJ911">
        <v>0</v>
      </c>
      <c r="BK911">
        <v>0</v>
      </c>
      <c r="BL911">
        <v>0</v>
      </c>
      <c r="BM911">
        <v>0</v>
      </c>
      <c r="BN911">
        <v>1764</v>
      </c>
      <c r="BO911">
        <v>749</v>
      </c>
      <c r="BP911">
        <v>0</v>
      </c>
      <c r="BQ911">
        <v>0</v>
      </c>
      <c r="BR911">
        <v>0</v>
      </c>
      <c r="BS911">
        <v>0</v>
      </c>
      <c r="BT911">
        <v>0</v>
      </c>
      <c r="BU911">
        <v>0</v>
      </c>
      <c r="BV911">
        <v>126</v>
      </c>
      <c r="BW911">
        <v>0</v>
      </c>
      <c r="BX911">
        <v>0</v>
      </c>
      <c r="BY911">
        <v>0</v>
      </c>
      <c r="BZ911">
        <v>0</v>
      </c>
      <c r="CA911">
        <v>126</v>
      </c>
      <c r="CB911">
        <v>0</v>
      </c>
      <c r="CC911">
        <v>0</v>
      </c>
      <c r="CD911">
        <v>0</v>
      </c>
      <c r="CE911">
        <v>17</v>
      </c>
      <c r="CF911">
        <v>0</v>
      </c>
      <c r="CG911">
        <v>103.65900000000001</v>
      </c>
      <c r="CH911">
        <v>18.07</v>
      </c>
      <c r="CI911">
        <v>4</v>
      </c>
      <c r="CJ911">
        <v>1</v>
      </c>
      <c r="CK911">
        <v>1</v>
      </c>
      <c r="CL911">
        <v>121.729</v>
      </c>
      <c r="CM911">
        <v>5.8</v>
      </c>
      <c r="CN911">
        <v>0</v>
      </c>
      <c r="CO911">
        <v>0</v>
      </c>
      <c r="CP911">
        <v>0</v>
      </c>
      <c r="CQ911">
        <v>0</v>
      </c>
      <c r="CR911">
        <v>0</v>
      </c>
      <c r="CS911">
        <v>0</v>
      </c>
      <c r="CT911">
        <v>0</v>
      </c>
      <c r="CU911">
        <v>0</v>
      </c>
      <c r="CV911">
        <v>14.552000000000001</v>
      </c>
      <c r="CW911">
        <v>5.0289999999999999</v>
      </c>
      <c r="CX911">
        <v>0</v>
      </c>
      <c r="CY911" s="2043">
        <v>0</v>
      </c>
      <c r="CZ911" s="2043">
        <v>0</v>
      </c>
      <c r="DA911" s="2043">
        <v>0</v>
      </c>
      <c r="DB911" s="2043">
        <v>0</v>
      </c>
      <c r="DC911" s="2043">
        <v>0</v>
      </c>
      <c r="DI911" t="s">
        <v>7356</v>
      </c>
      <c r="DJ911" t="s">
        <v>7356</v>
      </c>
      <c r="DK911" s="2042">
        <f t="shared" si="16"/>
        <v>0</v>
      </c>
    </row>
    <row r="912" spans="1:115">
      <c r="A912" t="s">
        <v>5207</v>
      </c>
      <c r="B912" t="s">
        <v>918</v>
      </c>
      <c r="C912">
        <v>342.80400000000003</v>
      </c>
      <c r="D912">
        <v>363.25600000000003</v>
      </c>
      <c r="E912">
        <v>18.788</v>
      </c>
      <c r="F912">
        <v>244602</v>
      </c>
      <c r="G912" s="2043">
        <v>324875141</v>
      </c>
      <c r="H912">
        <v>0</v>
      </c>
      <c r="I912" s="2043">
        <v>1405467</v>
      </c>
      <c r="J912">
        <v>12</v>
      </c>
      <c r="K912">
        <v>33</v>
      </c>
      <c r="L912">
        <v>0</v>
      </c>
      <c r="M912">
        <v>0</v>
      </c>
      <c r="N912">
        <v>0</v>
      </c>
      <c r="O912">
        <v>0</v>
      </c>
      <c r="P912">
        <v>0</v>
      </c>
      <c r="Q912">
        <v>0</v>
      </c>
      <c r="R912" s="2043">
        <v>2628383</v>
      </c>
      <c r="S912">
        <v>159354</v>
      </c>
      <c r="T912">
        <v>0</v>
      </c>
      <c r="U912">
        <v>0.05</v>
      </c>
      <c r="V912">
        <v>0</v>
      </c>
      <c r="W912">
        <v>0</v>
      </c>
      <c r="X912">
        <v>0</v>
      </c>
      <c r="Y912">
        <v>244602</v>
      </c>
      <c r="Z912">
        <v>0</v>
      </c>
      <c r="AA912">
        <v>0</v>
      </c>
      <c r="AB912">
        <v>354.97900000000004</v>
      </c>
      <c r="AC912" s="2043">
        <v>171592772</v>
      </c>
      <c r="AD912">
        <v>1940842</v>
      </c>
      <c r="AE912" s="2043">
        <v>2787737</v>
      </c>
      <c r="AF912">
        <v>0.87470000000000003</v>
      </c>
      <c r="AG912">
        <v>0</v>
      </c>
      <c r="AH912">
        <v>0</v>
      </c>
      <c r="AI912">
        <v>0</v>
      </c>
      <c r="AJ912">
        <v>19.175000000000001</v>
      </c>
      <c r="AK912">
        <v>1266</v>
      </c>
      <c r="AL912">
        <v>0</v>
      </c>
      <c r="AM912">
        <v>0</v>
      </c>
      <c r="AN912">
        <v>10.496</v>
      </c>
      <c r="AO912">
        <v>0</v>
      </c>
      <c r="AP912">
        <v>0</v>
      </c>
      <c r="AQ912">
        <v>0</v>
      </c>
      <c r="AR912">
        <v>7.0490000000000004</v>
      </c>
      <c r="AS912">
        <v>0</v>
      </c>
      <c r="AT912">
        <v>0</v>
      </c>
      <c r="AU912">
        <v>0.70400000000000007</v>
      </c>
      <c r="AV912">
        <v>0</v>
      </c>
      <c r="AW912">
        <v>7.7530000000000001</v>
      </c>
      <c r="AX912">
        <v>0</v>
      </c>
      <c r="AY912">
        <v>24.667000000000002</v>
      </c>
      <c r="AZ912">
        <v>0</v>
      </c>
      <c r="BA912">
        <v>1570739</v>
      </c>
      <c r="BB912">
        <v>4728579</v>
      </c>
      <c r="BC912">
        <v>0</v>
      </c>
      <c r="BD912">
        <v>38220</v>
      </c>
      <c r="BE912">
        <v>0</v>
      </c>
      <c r="BF912">
        <v>38220</v>
      </c>
      <c r="BG912">
        <v>38220</v>
      </c>
      <c r="BH912">
        <v>0</v>
      </c>
      <c r="BI912">
        <v>0</v>
      </c>
      <c r="BJ912">
        <v>0</v>
      </c>
      <c r="BK912">
        <v>0</v>
      </c>
      <c r="BL912">
        <v>324875141</v>
      </c>
      <c r="BM912">
        <v>0</v>
      </c>
      <c r="BN912">
        <v>1332</v>
      </c>
      <c r="BO912">
        <v>1102</v>
      </c>
      <c r="BP912">
        <v>0</v>
      </c>
      <c r="BQ912">
        <v>0</v>
      </c>
      <c r="BR912">
        <v>0.82469999999999999</v>
      </c>
      <c r="BS912">
        <v>0.82469999999999999</v>
      </c>
      <c r="BT912">
        <v>0</v>
      </c>
      <c r="BU912">
        <v>0</v>
      </c>
      <c r="BV912">
        <v>72</v>
      </c>
      <c r="BW912">
        <v>3</v>
      </c>
      <c r="BX912">
        <v>8</v>
      </c>
      <c r="BY912">
        <v>1</v>
      </c>
      <c r="BZ912">
        <v>0</v>
      </c>
      <c r="CA912">
        <v>84</v>
      </c>
      <c r="CB912">
        <v>0</v>
      </c>
      <c r="CC912">
        <v>0</v>
      </c>
      <c r="CD912">
        <v>0</v>
      </c>
      <c r="CE912">
        <v>26</v>
      </c>
      <c r="CF912">
        <v>28.378</v>
      </c>
      <c r="CG912">
        <v>0</v>
      </c>
      <c r="CH912">
        <v>0</v>
      </c>
      <c r="CI912">
        <v>0</v>
      </c>
      <c r="CJ912">
        <v>8</v>
      </c>
      <c r="CK912">
        <v>0</v>
      </c>
      <c r="CL912">
        <v>0</v>
      </c>
      <c r="CM912">
        <v>18.788</v>
      </c>
      <c r="CN912">
        <v>0</v>
      </c>
      <c r="CO912">
        <v>0</v>
      </c>
      <c r="CP912">
        <v>0</v>
      </c>
      <c r="CQ912">
        <v>0</v>
      </c>
      <c r="CR912">
        <v>0</v>
      </c>
      <c r="CS912">
        <v>0</v>
      </c>
      <c r="CT912">
        <v>0</v>
      </c>
      <c r="CU912">
        <v>0</v>
      </c>
      <c r="CV912">
        <v>22.841000000000001</v>
      </c>
      <c r="CW912">
        <v>16.941000000000003</v>
      </c>
      <c r="CX912">
        <v>0</v>
      </c>
      <c r="CY912" s="2043">
        <v>0</v>
      </c>
      <c r="CZ912" s="2043">
        <v>0</v>
      </c>
      <c r="DA912" s="2043">
        <v>0</v>
      </c>
      <c r="DB912" s="2043">
        <v>244602</v>
      </c>
      <c r="DC912" s="2043">
        <v>0</v>
      </c>
      <c r="DI912" t="s">
        <v>5207</v>
      </c>
      <c r="DJ912" t="s">
        <v>5207</v>
      </c>
      <c r="DK912" s="2042">
        <f t="shared" si="16"/>
        <v>0</v>
      </c>
    </row>
    <row r="913" spans="1:115">
      <c r="A913" t="s">
        <v>5860</v>
      </c>
      <c r="B913" t="s">
        <v>919</v>
      </c>
      <c r="C913">
        <v>105.205</v>
      </c>
      <c r="D913">
        <v>125.35000000000001</v>
      </c>
      <c r="E913">
        <v>7.7810000000000006</v>
      </c>
      <c r="F913">
        <v>66912</v>
      </c>
      <c r="G913" s="2043">
        <v>65809401</v>
      </c>
      <c r="H913">
        <v>0</v>
      </c>
      <c r="I913" s="2043">
        <v>648250</v>
      </c>
      <c r="J913">
        <v>2</v>
      </c>
      <c r="K913">
        <v>5</v>
      </c>
      <c r="L913">
        <v>0</v>
      </c>
      <c r="M913">
        <v>0</v>
      </c>
      <c r="N913">
        <v>0</v>
      </c>
      <c r="O913">
        <v>0</v>
      </c>
      <c r="P913">
        <v>0</v>
      </c>
      <c r="Q913">
        <v>0</v>
      </c>
      <c r="R913" s="2043">
        <v>529716</v>
      </c>
      <c r="S913">
        <v>29860</v>
      </c>
      <c r="T913">
        <v>0</v>
      </c>
      <c r="U913">
        <v>0.05</v>
      </c>
      <c r="V913">
        <v>0</v>
      </c>
      <c r="W913">
        <v>0</v>
      </c>
      <c r="X913">
        <v>0</v>
      </c>
      <c r="Y913">
        <v>66912</v>
      </c>
      <c r="Z913">
        <v>0</v>
      </c>
      <c r="AA913">
        <v>0</v>
      </c>
      <c r="AB913">
        <v>125.35000000000001</v>
      </c>
      <c r="AC913" s="2043">
        <v>61706348</v>
      </c>
      <c r="AD913">
        <v>665067</v>
      </c>
      <c r="AE913" s="2043">
        <v>559576</v>
      </c>
      <c r="AF913">
        <v>0.93700000000000006</v>
      </c>
      <c r="AG913">
        <v>0</v>
      </c>
      <c r="AH913">
        <v>0</v>
      </c>
      <c r="AI913">
        <v>0</v>
      </c>
      <c r="AJ913">
        <v>17.375</v>
      </c>
      <c r="AK913">
        <v>513</v>
      </c>
      <c r="AL913">
        <v>0</v>
      </c>
      <c r="AM913">
        <v>0</v>
      </c>
      <c r="AN913">
        <v>6.74</v>
      </c>
      <c r="AO913">
        <v>0</v>
      </c>
      <c r="AP913">
        <v>0</v>
      </c>
      <c r="AQ913">
        <v>0</v>
      </c>
      <c r="AR913">
        <v>1.8800000000000001</v>
      </c>
      <c r="AS913">
        <v>0</v>
      </c>
      <c r="AT913">
        <v>0</v>
      </c>
      <c r="AU913">
        <v>0.17700000000000002</v>
      </c>
      <c r="AV913">
        <v>0</v>
      </c>
      <c r="AW913">
        <v>2.0569999999999999</v>
      </c>
      <c r="AX913">
        <v>0</v>
      </c>
      <c r="AY913">
        <v>6.5250000000000004</v>
      </c>
      <c r="AZ913">
        <v>0</v>
      </c>
      <c r="BA913">
        <v>1527589</v>
      </c>
      <c r="BB913">
        <v>1224643</v>
      </c>
      <c r="BC913">
        <v>0</v>
      </c>
      <c r="BD913">
        <v>128778</v>
      </c>
      <c r="BE913">
        <v>0</v>
      </c>
      <c r="BF913">
        <v>128778</v>
      </c>
      <c r="BG913">
        <v>128778</v>
      </c>
      <c r="BH913">
        <v>0</v>
      </c>
      <c r="BI913">
        <v>0</v>
      </c>
      <c r="BJ913">
        <v>0</v>
      </c>
      <c r="BK913">
        <v>0</v>
      </c>
      <c r="BL913">
        <v>65809401</v>
      </c>
      <c r="BM913">
        <v>0</v>
      </c>
      <c r="BN913">
        <v>486</v>
      </c>
      <c r="BO913">
        <v>407</v>
      </c>
      <c r="BP913">
        <v>0</v>
      </c>
      <c r="BQ913">
        <v>0</v>
      </c>
      <c r="BR913">
        <v>0.88700000000000001</v>
      </c>
      <c r="BS913">
        <v>0.88700000000000001</v>
      </c>
      <c r="BT913">
        <v>0</v>
      </c>
      <c r="BU913">
        <v>0</v>
      </c>
      <c r="BV913">
        <v>30</v>
      </c>
      <c r="BW913">
        <v>11</v>
      </c>
      <c r="BX913">
        <v>13</v>
      </c>
      <c r="BY913">
        <v>15</v>
      </c>
      <c r="BZ913">
        <v>3</v>
      </c>
      <c r="CA913">
        <v>72</v>
      </c>
      <c r="CB913">
        <v>0</v>
      </c>
      <c r="CC913">
        <v>0</v>
      </c>
      <c r="CD913">
        <v>0</v>
      </c>
      <c r="CE913">
        <v>19</v>
      </c>
      <c r="CF913">
        <v>18.868000000000002</v>
      </c>
      <c r="CG913">
        <v>0</v>
      </c>
      <c r="CH913">
        <v>0</v>
      </c>
      <c r="CI913">
        <v>1</v>
      </c>
      <c r="CJ913">
        <v>0</v>
      </c>
      <c r="CK913">
        <v>0</v>
      </c>
      <c r="CL913">
        <v>0</v>
      </c>
      <c r="CM913">
        <v>7.7810000000000006</v>
      </c>
      <c r="CN913">
        <v>0</v>
      </c>
      <c r="CO913">
        <v>0</v>
      </c>
      <c r="CP913">
        <v>0</v>
      </c>
      <c r="CQ913">
        <v>0</v>
      </c>
      <c r="CR913">
        <v>0</v>
      </c>
      <c r="CS913">
        <v>0</v>
      </c>
      <c r="CT913">
        <v>0</v>
      </c>
      <c r="CU913">
        <v>0.59499999999999997</v>
      </c>
      <c r="CV913">
        <v>11.685</v>
      </c>
      <c r="CW913">
        <v>7.4660000000000002</v>
      </c>
      <c r="CX913">
        <v>0</v>
      </c>
      <c r="CY913" s="2043">
        <v>0</v>
      </c>
      <c r="CZ913" s="2043">
        <v>0</v>
      </c>
      <c r="DA913" s="2043">
        <v>0</v>
      </c>
      <c r="DB913" s="2043">
        <v>66912</v>
      </c>
      <c r="DC913" s="2043">
        <v>0</v>
      </c>
      <c r="DI913" t="s">
        <v>5860</v>
      </c>
      <c r="DJ913" t="s">
        <v>5860</v>
      </c>
      <c r="DK913" s="2042">
        <f t="shared" si="16"/>
        <v>0</v>
      </c>
    </row>
    <row r="914" spans="1:115">
      <c r="A914" t="s">
        <v>5208</v>
      </c>
      <c r="B914" t="s">
        <v>920</v>
      </c>
      <c r="C914">
        <v>209.667</v>
      </c>
      <c r="D914">
        <v>201.76400000000001</v>
      </c>
      <c r="E914">
        <v>0.54900000000000004</v>
      </c>
      <c r="F914">
        <v>0</v>
      </c>
      <c r="G914" s="2043">
        <v>203140742</v>
      </c>
      <c r="H914">
        <v>0</v>
      </c>
      <c r="I914" s="2043">
        <v>787394</v>
      </c>
      <c r="J914">
        <v>7</v>
      </c>
      <c r="K914">
        <v>19</v>
      </c>
      <c r="L914">
        <v>0</v>
      </c>
      <c r="M914">
        <v>0</v>
      </c>
      <c r="N914">
        <v>0</v>
      </c>
      <c r="O914">
        <v>0</v>
      </c>
      <c r="P914">
        <v>0</v>
      </c>
      <c r="Q914">
        <v>0</v>
      </c>
      <c r="R914" s="2043">
        <v>1830429</v>
      </c>
      <c r="S914">
        <v>100199</v>
      </c>
      <c r="T914">
        <v>0</v>
      </c>
      <c r="U914">
        <v>0.05</v>
      </c>
      <c r="V914">
        <v>0</v>
      </c>
      <c r="W914">
        <v>0</v>
      </c>
      <c r="X914">
        <v>0</v>
      </c>
      <c r="Y914">
        <v>0</v>
      </c>
      <c r="Z914">
        <v>0</v>
      </c>
      <c r="AA914">
        <v>0</v>
      </c>
      <c r="AB914">
        <v>201.76400000000001</v>
      </c>
      <c r="AC914" s="2043">
        <v>114662862</v>
      </c>
      <c r="AD914">
        <v>1239044</v>
      </c>
      <c r="AE914" s="2043">
        <v>1930628</v>
      </c>
      <c r="AF914">
        <v>0.96340000000000003</v>
      </c>
      <c r="AG914">
        <v>0</v>
      </c>
      <c r="AH914">
        <v>0</v>
      </c>
      <c r="AI914">
        <v>0</v>
      </c>
      <c r="AJ914">
        <v>14.213000000000001</v>
      </c>
      <c r="AK914">
        <v>847</v>
      </c>
      <c r="AL914">
        <v>0</v>
      </c>
      <c r="AM914">
        <v>0</v>
      </c>
      <c r="AN914">
        <v>4.7460000000000004</v>
      </c>
      <c r="AO914">
        <v>0</v>
      </c>
      <c r="AP914">
        <v>0</v>
      </c>
      <c r="AQ914">
        <v>0</v>
      </c>
      <c r="AR914">
        <v>5.0620000000000003</v>
      </c>
      <c r="AS914">
        <v>0</v>
      </c>
      <c r="AT914">
        <v>0.46200000000000002</v>
      </c>
      <c r="AU914">
        <v>0.376</v>
      </c>
      <c r="AV914">
        <v>0</v>
      </c>
      <c r="AW914">
        <v>5.9</v>
      </c>
      <c r="AX914">
        <v>0</v>
      </c>
      <c r="AY914">
        <v>18.452000000000002</v>
      </c>
      <c r="AZ914">
        <v>0</v>
      </c>
      <c r="BA914">
        <v>634102</v>
      </c>
      <c r="BB914">
        <v>3169672</v>
      </c>
      <c r="BC914">
        <v>0</v>
      </c>
      <c r="BD914">
        <v>20125</v>
      </c>
      <c r="BE914">
        <v>0</v>
      </c>
      <c r="BF914">
        <v>20125</v>
      </c>
      <c r="BG914">
        <v>20125</v>
      </c>
      <c r="BH914">
        <v>0</v>
      </c>
      <c r="BI914">
        <v>0</v>
      </c>
      <c r="BJ914">
        <v>0</v>
      </c>
      <c r="BK914">
        <v>0</v>
      </c>
      <c r="BL914">
        <v>203140742</v>
      </c>
      <c r="BM914">
        <v>0</v>
      </c>
      <c r="BN914">
        <v>1008</v>
      </c>
      <c r="BO914">
        <v>139</v>
      </c>
      <c r="BP914">
        <v>0</v>
      </c>
      <c r="BQ914">
        <v>0</v>
      </c>
      <c r="BR914">
        <v>0.91339999999999999</v>
      </c>
      <c r="BS914">
        <v>0.91339999999999999</v>
      </c>
      <c r="BT914">
        <v>0</v>
      </c>
      <c r="BU914">
        <v>0</v>
      </c>
      <c r="BV914">
        <v>29</v>
      </c>
      <c r="BW914">
        <v>7</v>
      </c>
      <c r="BX914">
        <v>22</v>
      </c>
      <c r="BY914">
        <v>2</v>
      </c>
      <c r="BZ914">
        <v>0</v>
      </c>
      <c r="CA914">
        <v>60</v>
      </c>
      <c r="CB914">
        <v>0</v>
      </c>
      <c r="CC914">
        <v>0</v>
      </c>
      <c r="CD914">
        <v>0</v>
      </c>
      <c r="CE914">
        <v>23</v>
      </c>
      <c r="CF914">
        <v>22.623000000000001</v>
      </c>
      <c r="CG914">
        <v>0</v>
      </c>
      <c r="CH914">
        <v>0</v>
      </c>
      <c r="CI914">
        <v>0</v>
      </c>
      <c r="CJ914">
        <v>0</v>
      </c>
      <c r="CK914">
        <v>0</v>
      </c>
      <c r="CL914">
        <v>0</v>
      </c>
      <c r="CM914">
        <v>0.54900000000000004</v>
      </c>
      <c r="CN914">
        <v>0</v>
      </c>
      <c r="CO914">
        <v>0</v>
      </c>
      <c r="CP914">
        <v>0</v>
      </c>
      <c r="CQ914">
        <v>0</v>
      </c>
      <c r="CR914">
        <v>0</v>
      </c>
      <c r="CS914">
        <v>0</v>
      </c>
      <c r="CT914">
        <v>0</v>
      </c>
      <c r="CU914">
        <v>0</v>
      </c>
      <c r="CV914">
        <v>3.7850000000000001</v>
      </c>
      <c r="CW914">
        <v>9.5180000000000007</v>
      </c>
      <c r="CX914">
        <v>0</v>
      </c>
      <c r="CY914" s="2043">
        <v>0</v>
      </c>
      <c r="CZ914" s="2043">
        <v>0</v>
      </c>
      <c r="DA914" s="2043">
        <v>0</v>
      </c>
      <c r="DB914" s="2043">
        <v>0</v>
      </c>
      <c r="DC914" s="2043">
        <v>35000</v>
      </c>
      <c r="DI914" t="s">
        <v>5208</v>
      </c>
      <c r="DJ914" t="s">
        <v>5208</v>
      </c>
      <c r="DK914" s="2042">
        <f t="shared" si="16"/>
        <v>0</v>
      </c>
    </row>
    <row r="915" spans="1:115">
      <c r="A915" t="s">
        <v>3166</v>
      </c>
      <c r="B915" t="s">
        <v>1844</v>
      </c>
      <c r="C915">
        <v>2882.6320000000001</v>
      </c>
      <c r="D915">
        <v>2836.442</v>
      </c>
      <c r="E915">
        <v>164.791</v>
      </c>
      <c r="F915">
        <v>0</v>
      </c>
      <c r="G915" s="2043">
        <v>1232284186</v>
      </c>
      <c r="H915">
        <v>0</v>
      </c>
      <c r="I915" s="2043">
        <v>1203012</v>
      </c>
      <c r="J915">
        <v>58</v>
      </c>
      <c r="K915">
        <v>159</v>
      </c>
      <c r="L915">
        <v>0</v>
      </c>
      <c r="M915">
        <v>571570</v>
      </c>
      <c r="N915">
        <v>0</v>
      </c>
      <c r="O915">
        <v>571570</v>
      </c>
      <c r="P915">
        <v>0</v>
      </c>
      <c r="Q915">
        <v>0</v>
      </c>
      <c r="R915" s="2043">
        <v>10442721</v>
      </c>
      <c r="S915">
        <v>598849</v>
      </c>
      <c r="T915">
        <v>0</v>
      </c>
      <c r="U915">
        <v>0.05</v>
      </c>
      <c r="V915">
        <v>0</v>
      </c>
      <c r="W915">
        <v>0</v>
      </c>
      <c r="X915">
        <v>0</v>
      </c>
      <c r="Y915">
        <v>0</v>
      </c>
      <c r="Z915">
        <v>0</v>
      </c>
      <c r="AA915">
        <v>0.12200000000000001</v>
      </c>
      <c r="AB915">
        <v>2836.442</v>
      </c>
      <c r="AC915" s="2043">
        <v>1100115755</v>
      </c>
      <c r="AD915">
        <v>1101343</v>
      </c>
      <c r="AE915" s="2043">
        <v>11041570</v>
      </c>
      <c r="AF915">
        <v>0.92190000000000005</v>
      </c>
      <c r="AG915">
        <v>0</v>
      </c>
      <c r="AH915">
        <v>0</v>
      </c>
      <c r="AI915">
        <v>0</v>
      </c>
      <c r="AJ915">
        <v>295.10000000000002</v>
      </c>
      <c r="AK915">
        <v>9131</v>
      </c>
      <c r="AL915">
        <v>0.108</v>
      </c>
      <c r="AM915">
        <v>0</v>
      </c>
      <c r="AN915">
        <v>137.38400000000001</v>
      </c>
      <c r="AO915">
        <v>2.3000000000000003</v>
      </c>
      <c r="AP915">
        <v>0</v>
      </c>
      <c r="AQ915">
        <v>0</v>
      </c>
      <c r="AR915">
        <v>44.079000000000001</v>
      </c>
      <c r="AS915">
        <v>0</v>
      </c>
      <c r="AT915">
        <v>20.159000000000002</v>
      </c>
      <c r="AU915">
        <v>4.8109999999999999</v>
      </c>
      <c r="AV915">
        <v>0</v>
      </c>
      <c r="AW915">
        <v>69.156999999999996</v>
      </c>
      <c r="AX915">
        <v>0</v>
      </c>
      <c r="AY915">
        <v>217.309</v>
      </c>
      <c r="AZ915">
        <v>0</v>
      </c>
      <c r="BA915">
        <v>14965723</v>
      </c>
      <c r="BB915">
        <v>12142913</v>
      </c>
      <c r="BC915">
        <v>0</v>
      </c>
      <c r="BD915">
        <v>93420</v>
      </c>
      <c r="BE915">
        <v>29108</v>
      </c>
      <c r="BF915">
        <v>122528</v>
      </c>
      <c r="BG915">
        <v>93420</v>
      </c>
      <c r="BH915">
        <v>0</v>
      </c>
      <c r="BI915">
        <v>0</v>
      </c>
      <c r="BJ915">
        <v>0</v>
      </c>
      <c r="BK915">
        <v>0</v>
      </c>
      <c r="BL915">
        <v>1232284186</v>
      </c>
      <c r="BM915">
        <v>0</v>
      </c>
      <c r="BN915">
        <v>9261</v>
      </c>
      <c r="BO915">
        <v>5703</v>
      </c>
      <c r="BP915">
        <v>0</v>
      </c>
      <c r="BQ915">
        <v>0</v>
      </c>
      <c r="BR915">
        <v>0.87190000000000001</v>
      </c>
      <c r="BS915">
        <v>0.87190000000000001</v>
      </c>
      <c r="BT915">
        <v>0</v>
      </c>
      <c r="BU915">
        <v>0</v>
      </c>
      <c r="BV915">
        <v>824</v>
      </c>
      <c r="BW915">
        <v>266</v>
      </c>
      <c r="BX915">
        <v>8</v>
      </c>
      <c r="BY915">
        <v>112</v>
      </c>
      <c r="BZ915">
        <v>55</v>
      </c>
      <c r="CA915">
        <v>1265</v>
      </c>
      <c r="CB915">
        <v>0</v>
      </c>
      <c r="CC915">
        <v>0</v>
      </c>
      <c r="CD915">
        <v>0</v>
      </c>
      <c r="CE915">
        <v>114</v>
      </c>
      <c r="CF915">
        <v>452.541</v>
      </c>
      <c r="CG915">
        <v>0</v>
      </c>
      <c r="CH915">
        <v>0</v>
      </c>
      <c r="CI915">
        <v>7</v>
      </c>
      <c r="CJ915">
        <v>13</v>
      </c>
      <c r="CK915">
        <v>1</v>
      </c>
      <c r="CL915">
        <v>0</v>
      </c>
      <c r="CM915">
        <v>164.791</v>
      </c>
      <c r="CN915">
        <v>0</v>
      </c>
      <c r="CO915">
        <v>0</v>
      </c>
      <c r="CP915">
        <v>0</v>
      </c>
      <c r="CQ915">
        <v>0</v>
      </c>
      <c r="CR915">
        <v>0</v>
      </c>
      <c r="CS915">
        <v>0</v>
      </c>
      <c r="CT915">
        <v>0</v>
      </c>
      <c r="CU915">
        <v>2.859</v>
      </c>
      <c r="CV915">
        <v>216.09300000000002</v>
      </c>
      <c r="CW915">
        <v>118.28400000000001</v>
      </c>
      <c r="CX915">
        <v>0</v>
      </c>
      <c r="CY915" s="2043">
        <v>0</v>
      </c>
      <c r="CZ915" s="2043">
        <v>0</v>
      </c>
      <c r="DA915" s="2043">
        <v>0</v>
      </c>
      <c r="DB915" s="2043">
        <v>0</v>
      </c>
      <c r="DC915" s="2043">
        <v>0</v>
      </c>
      <c r="DI915" t="s">
        <v>3166</v>
      </c>
      <c r="DJ915" t="s">
        <v>3166</v>
      </c>
      <c r="DK915" s="2042">
        <f t="shared" si="16"/>
        <v>0</v>
      </c>
    </row>
    <row r="916" spans="1:115">
      <c r="A916" t="s">
        <v>5209</v>
      </c>
      <c r="B916" t="s">
        <v>921</v>
      </c>
      <c r="C916">
        <v>1738.0320000000002</v>
      </c>
      <c r="D916">
        <v>1700.5260000000001</v>
      </c>
      <c r="E916">
        <v>40.594999999999999</v>
      </c>
      <c r="F916">
        <v>0</v>
      </c>
      <c r="G916" s="2043">
        <v>721772657</v>
      </c>
      <c r="H916">
        <v>0</v>
      </c>
      <c r="I916" s="2043">
        <v>574994</v>
      </c>
      <c r="J916">
        <v>86.902000000000001</v>
      </c>
      <c r="K916">
        <v>238</v>
      </c>
      <c r="L916">
        <v>0</v>
      </c>
      <c r="M916">
        <v>0</v>
      </c>
      <c r="N916">
        <v>0</v>
      </c>
      <c r="O916">
        <v>0</v>
      </c>
      <c r="P916">
        <v>0</v>
      </c>
      <c r="Q916">
        <v>0</v>
      </c>
      <c r="R916" s="2043">
        <v>5671531</v>
      </c>
      <c r="S916">
        <v>530050</v>
      </c>
      <c r="T916">
        <v>596305</v>
      </c>
      <c r="U916">
        <v>0.08</v>
      </c>
      <c r="V916">
        <v>0</v>
      </c>
      <c r="W916">
        <v>0</v>
      </c>
      <c r="X916">
        <v>0</v>
      </c>
      <c r="Y916">
        <v>0</v>
      </c>
      <c r="Z916">
        <v>0</v>
      </c>
      <c r="AA916">
        <v>0.01</v>
      </c>
      <c r="AB916">
        <v>1697.8690000000001</v>
      </c>
      <c r="AC916" s="2043">
        <v>613416028</v>
      </c>
      <c r="AD916">
        <v>565160</v>
      </c>
      <c r="AE916" s="2043">
        <v>6797886</v>
      </c>
      <c r="AF916">
        <v>1.026</v>
      </c>
      <c r="AG916">
        <v>0</v>
      </c>
      <c r="AH916">
        <v>0</v>
      </c>
      <c r="AI916">
        <v>0</v>
      </c>
      <c r="AJ916">
        <v>129.27500000000001</v>
      </c>
      <c r="AK916">
        <v>5825</v>
      </c>
      <c r="AL916">
        <v>0.12</v>
      </c>
      <c r="AM916">
        <v>0</v>
      </c>
      <c r="AN916">
        <v>49.698</v>
      </c>
      <c r="AO916">
        <v>0</v>
      </c>
      <c r="AP916">
        <v>0</v>
      </c>
      <c r="AQ916">
        <v>0</v>
      </c>
      <c r="AR916">
        <v>40.115000000000002</v>
      </c>
      <c r="AS916">
        <v>0</v>
      </c>
      <c r="AT916">
        <v>13.815000000000001</v>
      </c>
      <c r="AU916">
        <v>3.4420000000000002</v>
      </c>
      <c r="AV916">
        <v>0</v>
      </c>
      <c r="AW916">
        <v>57.492000000000004</v>
      </c>
      <c r="AX916">
        <v>0</v>
      </c>
      <c r="AY916">
        <v>179.6</v>
      </c>
      <c r="AZ916">
        <v>0</v>
      </c>
      <c r="BA916">
        <v>10002561</v>
      </c>
      <c r="BB916">
        <v>7363046</v>
      </c>
      <c r="BC916">
        <v>0</v>
      </c>
      <c r="BD916">
        <v>155480</v>
      </c>
      <c r="BE916">
        <v>54508</v>
      </c>
      <c r="BF916">
        <v>209988</v>
      </c>
      <c r="BG916">
        <v>155480</v>
      </c>
      <c r="BH916">
        <v>0</v>
      </c>
      <c r="BI916">
        <v>0</v>
      </c>
      <c r="BJ916">
        <v>0</v>
      </c>
      <c r="BK916">
        <v>0</v>
      </c>
      <c r="BL916">
        <v>721772657</v>
      </c>
      <c r="BM916">
        <v>0</v>
      </c>
      <c r="BN916">
        <v>5985</v>
      </c>
      <c r="BO916">
        <v>4205</v>
      </c>
      <c r="BP916">
        <v>0</v>
      </c>
      <c r="BQ916">
        <v>0</v>
      </c>
      <c r="BR916">
        <v>0.85600000000000009</v>
      </c>
      <c r="BS916">
        <v>0.85600000000000009</v>
      </c>
      <c r="BT916">
        <v>0</v>
      </c>
      <c r="BU916">
        <v>0</v>
      </c>
      <c r="BV916">
        <v>417</v>
      </c>
      <c r="BW916">
        <v>137</v>
      </c>
      <c r="BX916">
        <v>3</v>
      </c>
      <c r="BY916">
        <v>3</v>
      </c>
      <c r="BZ916">
        <v>5</v>
      </c>
      <c r="CA916">
        <v>565</v>
      </c>
      <c r="CB916">
        <v>0</v>
      </c>
      <c r="CC916">
        <v>0</v>
      </c>
      <c r="CD916">
        <v>0</v>
      </c>
      <c r="CE916">
        <v>81</v>
      </c>
      <c r="CF916">
        <v>192.54400000000001</v>
      </c>
      <c r="CG916">
        <v>0</v>
      </c>
      <c r="CH916">
        <v>0</v>
      </c>
      <c r="CI916">
        <v>15</v>
      </c>
      <c r="CJ916">
        <v>20</v>
      </c>
      <c r="CK916">
        <v>0</v>
      </c>
      <c r="CL916">
        <v>0</v>
      </c>
      <c r="CM916">
        <v>40.594999999999999</v>
      </c>
      <c r="CN916">
        <v>0</v>
      </c>
      <c r="CO916">
        <v>0</v>
      </c>
      <c r="CP916">
        <v>0</v>
      </c>
      <c r="CQ916">
        <v>0</v>
      </c>
      <c r="CR916">
        <v>0</v>
      </c>
      <c r="CS916">
        <v>0</v>
      </c>
      <c r="CT916">
        <v>0</v>
      </c>
      <c r="CU916">
        <v>2.2450000000000001</v>
      </c>
      <c r="CV916">
        <v>86.926000000000002</v>
      </c>
      <c r="CW916">
        <v>45.384</v>
      </c>
      <c r="CX916">
        <v>0</v>
      </c>
      <c r="CY916" s="2043">
        <v>0</v>
      </c>
      <c r="CZ916" s="2043">
        <v>0</v>
      </c>
      <c r="DA916" s="2043">
        <v>0</v>
      </c>
      <c r="DB916" s="2043">
        <v>0</v>
      </c>
      <c r="DC916" s="2043">
        <v>0</v>
      </c>
      <c r="DI916" t="s">
        <v>5209</v>
      </c>
      <c r="DJ916" t="s">
        <v>5209</v>
      </c>
      <c r="DK916" s="2042">
        <f t="shared" si="16"/>
        <v>0</v>
      </c>
    </row>
    <row r="917" spans="1:115">
      <c r="A917" t="s">
        <v>3167</v>
      </c>
      <c r="B917" t="s">
        <v>1380</v>
      </c>
      <c r="C917">
        <v>3939.8330000000001</v>
      </c>
      <c r="D917">
        <v>3918.2830000000004</v>
      </c>
      <c r="E917">
        <v>93.332000000000008</v>
      </c>
      <c r="F917">
        <v>0</v>
      </c>
      <c r="G917" s="2043">
        <v>1516796081</v>
      </c>
      <c r="H917">
        <v>0</v>
      </c>
      <c r="I917" s="2043">
        <v>1299050</v>
      </c>
      <c r="J917">
        <v>196.99200000000002</v>
      </c>
      <c r="K917">
        <v>539</v>
      </c>
      <c r="L917">
        <v>0</v>
      </c>
      <c r="M917">
        <v>1101750</v>
      </c>
      <c r="N917">
        <v>0</v>
      </c>
      <c r="O917">
        <v>1101750</v>
      </c>
      <c r="P917">
        <v>0</v>
      </c>
      <c r="Q917">
        <v>0</v>
      </c>
      <c r="R917" s="2043">
        <v>13075027</v>
      </c>
      <c r="S917">
        <v>1171860</v>
      </c>
      <c r="T917">
        <v>73241</v>
      </c>
      <c r="U917">
        <v>0.08</v>
      </c>
      <c r="V917">
        <v>0</v>
      </c>
      <c r="W917">
        <v>0</v>
      </c>
      <c r="X917">
        <v>0</v>
      </c>
      <c r="Y917">
        <v>431263</v>
      </c>
      <c r="Z917">
        <v>12.413</v>
      </c>
      <c r="AA917">
        <v>0.47800000000000004</v>
      </c>
      <c r="AB917">
        <v>3918.2830000000004</v>
      </c>
      <c r="AC917" s="2043">
        <v>1205351963</v>
      </c>
      <c r="AD917">
        <v>1411786</v>
      </c>
      <c r="AE917" s="2043">
        <v>14320128</v>
      </c>
      <c r="AF917">
        <v>0.97760000000000002</v>
      </c>
      <c r="AG917">
        <v>0</v>
      </c>
      <c r="AH917">
        <v>0</v>
      </c>
      <c r="AI917">
        <v>0</v>
      </c>
      <c r="AJ917">
        <v>591.35</v>
      </c>
      <c r="AK917">
        <v>17566</v>
      </c>
      <c r="AL917">
        <v>0.192</v>
      </c>
      <c r="AM917">
        <v>0</v>
      </c>
      <c r="AN917">
        <v>156.68200000000002</v>
      </c>
      <c r="AO917">
        <v>1</v>
      </c>
      <c r="AP917">
        <v>0</v>
      </c>
      <c r="AQ917">
        <v>0</v>
      </c>
      <c r="AR917">
        <v>126.152</v>
      </c>
      <c r="AS917">
        <v>0</v>
      </c>
      <c r="AT917">
        <v>41.667999999999999</v>
      </c>
      <c r="AU917">
        <v>9.0150000000000006</v>
      </c>
      <c r="AV917">
        <v>0</v>
      </c>
      <c r="AW917">
        <v>183.31200000000001</v>
      </c>
      <c r="AX917">
        <v>6.2850000000000001</v>
      </c>
      <c r="AY917">
        <v>563.95100000000002</v>
      </c>
      <c r="AZ917">
        <v>0</v>
      </c>
      <c r="BA917">
        <v>24653396</v>
      </c>
      <c r="BB917">
        <v>15731914</v>
      </c>
      <c r="BC917">
        <v>0</v>
      </c>
      <c r="BD917">
        <v>175228</v>
      </c>
      <c r="BE917">
        <v>76231</v>
      </c>
      <c r="BF917">
        <v>251459</v>
      </c>
      <c r="BG917">
        <v>175228</v>
      </c>
      <c r="BH917">
        <v>0</v>
      </c>
      <c r="BI917">
        <v>0</v>
      </c>
      <c r="BJ917">
        <v>0</v>
      </c>
      <c r="BK917">
        <v>0</v>
      </c>
      <c r="BL917">
        <v>1516796081</v>
      </c>
      <c r="BM917">
        <v>0</v>
      </c>
      <c r="BN917">
        <v>12879</v>
      </c>
      <c r="BO917">
        <v>11428</v>
      </c>
      <c r="BP917">
        <v>0</v>
      </c>
      <c r="BQ917">
        <v>0</v>
      </c>
      <c r="BR917">
        <v>0.89260000000000006</v>
      </c>
      <c r="BS917">
        <v>0.89260000000000006</v>
      </c>
      <c r="BT917">
        <v>431263</v>
      </c>
      <c r="BU917">
        <v>0</v>
      </c>
      <c r="BV917">
        <v>732</v>
      </c>
      <c r="BW917">
        <v>1114</v>
      </c>
      <c r="BX917">
        <v>221</v>
      </c>
      <c r="BY917">
        <v>276</v>
      </c>
      <c r="BZ917">
        <v>125</v>
      </c>
      <c r="CA917">
        <v>2468</v>
      </c>
      <c r="CB917">
        <v>0</v>
      </c>
      <c r="CC917">
        <v>0</v>
      </c>
      <c r="CD917">
        <v>0</v>
      </c>
      <c r="CE917">
        <v>447</v>
      </c>
      <c r="CF917">
        <v>827.84</v>
      </c>
      <c r="CG917">
        <v>0</v>
      </c>
      <c r="CH917">
        <v>0</v>
      </c>
      <c r="CI917">
        <v>7</v>
      </c>
      <c r="CJ917">
        <v>4</v>
      </c>
      <c r="CK917">
        <v>1</v>
      </c>
      <c r="CL917">
        <v>0</v>
      </c>
      <c r="CM917">
        <v>93.332000000000008</v>
      </c>
      <c r="CN917">
        <v>0</v>
      </c>
      <c r="CO917">
        <v>0</v>
      </c>
      <c r="CP917">
        <v>0</v>
      </c>
      <c r="CQ917">
        <v>0</v>
      </c>
      <c r="CR917">
        <v>0</v>
      </c>
      <c r="CS917">
        <v>0</v>
      </c>
      <c r="CT917">
        <v>0</v>
      </c>
      <c r="CU917">
        <v>2.6080000000000001</v>
      </c>
      <c r="CV917">
        <v>207.62900000000002</v>
      </c>
      <c r="CW917">
        <v>146.922</v>
      </c>
      <c r="CX917">
        <v>431263</v>
      </c>
      <c r="CY917" s="2043">
        <v>0</v>
      </c>
      <c r="CZ917" s="2043">
        <v>0</v>
      </c>
      <c r="DA917" s="2043">
        <v>0</v>
      </c>
      <c r="DB917" s="2043">
        <v>0</v>
      </c>
      <c r="DC917" s="2043">
        <v>408642</v>
      </c>
      <c r="DI917" t="s">
        <v>5210</v>
      </c>
      <c r="DJ917" t="s">
        <v>3167</v>
      </c>
      <c r="DK917" s="2042">
        <f t="shared" si="16"/>
        <v>-1</v>
      </c>
    </row>
    <row r="918" spans="1:115">
      <c r="A918" t="s">
        <v>5210</v>
      </c>
      <c r="B918" t="s">
        <v>922</v>
      </c>
      <c r="C918">
        <v>2193.33</v>
      </c>
      <c r="D918">
        <v>2229.326</v>
      </c>
      <c r="E918">
        <v>106.899</v>
      </c>
      <c r="F918">
        <v>0</v>
      </c>
      <c r="G918" s="2043">
        <v>1944555215</v>
      </c>
      <c r="H918">
        <v>0</v>
      </c>
      <c r="I918" s="2043">
        <v>5155252</v>
      </c>
      <c r="J918">
        <v>109.667</v>
      </c>
      <c r="K918">
        <v>300</v>
      </c>
      <c r="L918">
        <v>0</v>
      </c>
      <c r="M918">
        <v>0</v>
      </c>
      <c r="N918">
        <v>0</v>
      </c>
      <c r="O918">
        <v>0</v>
      </c>
      <c r="P918">
        <v>0</v>
      </c>
      <c r="Q918">
        <v>0</v>
      </c>
      <c r="R918" s="2043">
        <v>17335952</v>
      </c>
      <c r="S918">
        <v>1518367</v>
      </c>
      <c r="T918">
        <v>800938</v>
      </c>
      <c r="U918">
        <v>0.08</v>
      </c>
      <c r="V918">
        <v>0</v>
      </c>
      <c r="W918">
        <v>0</v>
      </c>
      <c r="X918">
        <v>119655</v>
      </c>
      <c r="Y918">
        <v>0</v>
      </c>
      <c r="Z918">
        <v>0</v>
      </c>
      <c r="AA918">
        <v>0</v>
      </c>
      <c r="AB918">
        <v>2129.5730000000003</v>
      </c>
      <c r="AC918" s="2043">
        <v>1900306115</v>
      </c>
      <c r="AD918">
        <v>4820000</v>
      </c>
      <c r="AE918" s="2043">
        <v>19655257</v>
      </c>
      <c r="AF918">
        <v>1.0356000000000001</v>
      </c>
      <c r="AG918">
        <v>0</v>
      </c>
      <c r="AH918">
        <v>119655</v>
      </c>
      <c r="AI918">
        <v>0</v>
      </c>
      <c r="AJ918">
        <v>593</v>
      </c>
      <c r="AK918">
        <v>6864</v>
      </c>
      <c r="AL918">
        <v>0.19500000000000001</v>
      </c>
      <c r="AM918">
        <v>0</v>
      </c>
      <c r="AN918">
        <v>57.69</v>
      </c>
      <c r="AO918">
        <v>2</v>
      </c>
      <c r="AP918">
        <v>0</v>
      </c>
      <c r="AQ918">
        <v>0</v>
      </c>
      <c r="AR918">
        <v>37.926000000000002</v>
      </c>
      <c r="AS918">
        <v>0</v>
      </c>
      <c r="AT918">
        <v>23.263999999999999</v>
      </c>
      <c r="AU918">
        <v>5.5</v>
      </c>
      <c r="AV918">
        <v>0</v>
      </c>
      <c r="AW918">
        <v>66.885000000000005</v>
      </c>
      <c r="AX918">
        <v>0</v>
      </c>
      <c r="AY918">
        <v>212.04500000000002</v>
      </c>
      <c r="AZ918">
        <v>0</v>
      </c>
      <c r="BA918">
        <v>4130013</v>
      </c>
      <c r="BB918">
        <v>24475257</v>
      </c>
      <c r="BC918">
        <v>0</v>
      </c>
      <c r="BD918">
        <v>103475</v>
      </c>
      <c r="BE918">
        <v>44565</v>
      </c>
      <c r="BF918">
        <v>165949</v>
      </c>
      <c r="BG918">
        <v>103475</v>
      </c>
      <c r="BH918">
        <v>17909</v>
      </c>
      <c r="BI918">
        <v>0</v>
      </c>
      <c r="BJ918">
        <v>0</v>
      </c>
      <c r="BK918">
        <v>0</v>
      </c>
      <c r="BL918">
        <v>1944555215</v>
      </c>
      <c r="BM918">
        <v>0</v>
      </c>
      <c r="BN918">
        <v>7236</v>
      </c>
      <c r="BO918">
        <v>5639</v>
      </c>
      <c r="BP918">
        <v>0</v>
      </c>
      <c r="BQ918">
        <v>0</v>
      </c>
      <c r="BR918">
        <v>0.91339999999999999</v>
      </c>
      <c r="BS918">
        <v>0.91339999999999999</v>
      </c>
      <c r="BT918">
        <v>0</v>
      </c>
      <c r="BU918">
        <v>0</v>
      </c>
      <c r="BV918">
        <v>116</v>
      </c>
      <c r="BW918">
        <v>182</v>
      </c>
      <c r="BX918">
        <v>915</v>
      </c>
      <c r="BY918">
        <v>606</v>
      </c>
      <c r="BZ918">
        <v>494</v>
      </c>
      <c r="CA918">
        <v>2313</v>
      </c>
      <c r="CB918">
        <v>0</v>
      </c>
      <c r="CC918">
        <v>25.869</v>
      </c>
      <c r="CD918">
        <v>0</v>
      </c>
      <c r="CE918">
        <v>82</v>
      </c>
      <c r="CF918">
        <v>711.26900000000001</v>
      </c>
      <c r="CG918">
        <v>0</v>
      </c>
      <c r="CH918">
        <v>0</v>
      </c>
      <c r="CI918">
        <v>0</v>
      </c>
      <c r="CJ918">
        <v>4</v>
      </c>
      <c r="CK918">
        <v>0</v>
      </c>
      <c r="CL918">
        <v>0</v>
      </c>
      <c r="CM918">
        <v>106.899</v>
      </c>
      <c r="CN918">
        <v>0</v>
      </c>
      <c r="CO918">
        <v>0</v>
      </c>
      <c r="CP918">
        <v>0</v>
      </c>
      <c r="CQ918">
        <v>0</v>
      </c>
      <c r="CR918">
        <v>0</v>
      </c>
      <c r="CS918">
        <v>0</v>
      </c>
      <c r="CT918">
        <v>0</v>
      </c>
      <c r="CU918">
        <v>0</v>
      </c>
      <c r="CV918">
        <v>89.558999999999997</v>
      </c>
      <c r="CW918">
        <v>53.707000000000001</v>
      </c>
      <c r="CX918">
        <v>0</v>
      </c>
      <c r="CY918" s="2043">
        <v>0</v>
      </c>
      <c r="CZ918" s="2043">
        <v>0</v>
      </c>
      <c r="DA918" s="2043">
        <v>0</v>
      </c>
      <c r="DB918" s="2043">
        <v>0</v>
      </c>
      <c r="DC918" s="2043">
        <v>0</v>
      </c>
      <c r="DI918" t="s">
        <v>3167</v>
      </c>
      <c r="DJ918" t="s">
        <v>5210</v>
      </c>
      <c r="DK918" s="2042">
        <f t="shared" si="16"/>
        <v>1</v>
      </c>
    </row>
    <row r="919" spans="1:115">
      <c r="A919" t="s">
        <v>5211</v>
      </c>
      <c r="B919" t="s">
        <v>1030</v>
      </c>
      <c r="C919">
        <v>3000.5170000000003</v>
      </c>
      <c r="D919">
        <v>2963.8530000000001</v>
      </c>
      <c r="E919">
        <v>77.613</v>
      </c>
      <c r="F919">
        <v>0</v>
      </c>
      <c r="G919" s="2043">
        <v>1164961832</v>
      </c>
      <c r="H919">
        <v>0</v>
      </c>
      <c r="I919" s="2043">
        <v>4437896</v>
      </c>
      <c r="J919">
        <v>118</v>
      </c>
      <c r="K919">
        <v>323</v>
      </c>
      <c r="L919">
        <v>0</v>
      </c>
      <c r="M919">
        <v>306518</v>
      </c>
      <c r="N919">
        <v>0</v>
      </c>
      <c r="O919">
        <v>306518</v>
      </c>
      <c r="P919">
        <v>0</v>
      </c>
      <c r="Q919">
        <v>0</v>
      </c>
      <c r="R919" s="2043">
        <v>9357906</v>
      </c>
      <c r="S919">
        <v>858031</v>
      </c>
      <c r="T919">
        <v>214508</v>
      </c>
      <c r="U919">
        <v>0.08</v>
      </c>
      <c r="V919">
        <v>0</v>
      </c>
      <c r="W919">
        <v>0</v>
      </c>
      <c r="X919">
        <v>0</v>
      </c>
      <c r="Y919">
        <v>0</v>
      </c>
      <c r="Z919">
        <v>8.2900000000000009</v>
      </c>
      <c r="AA919">
        <v>0</v>
      </c>
      <c r="AB919">
        <v>2932.3290000000002</v>
      </c>
      <c r="AC919" s="2043">
        <v>1025208485</v>
      </c>
      <c r="AD919">
        <v>3959960</v>
      </c>
      <c r="AE919" s="2043">
        <v>10430445</v>
      </c>
      <c r="AF919">
        <v>0.97250000000000003</v>
      </c>
      <c r="AG919">
        <v>0</v>
      </c>
      <c r="AH919">
        <v>0</v>
      </c>
      <c r="AI919">
        <v>0</v>
      </c>
      <c r="AJ919">
        <v>376.90000000000003</v>
      </c>
      <c r="AK919">
        <v>13462</v>
      </c>
      <c r="AL919">
        <v>0.58500000000000008</v>
      </c>
      <c r="AM919">
        <v>0</v>
      </c>
      <c r="AN919">
        <v>169.51300000000001</v>
      </c>
      <c r="AO919">
        <v>2</v>
      </c>
      <c r="AP919">
        <v>0</v>
      </c>
      <c r="AQ919">
        <v>2.173</v>
      </c>
      <c r="AR919">
        <v>78.02600000000001</v>
      </c>
      <c r="AS919">
        <v>0</v>
      </c>
      <c r="AT919">
        <v>28.766000000000002</v>
      </c>
      <c r="AU919">
        <v>6.4050000000000002</v>
      </c>
      <c r="AV919">
        <v>0</v>
      </c>
      <c r="AW919">
        <v>115.95500000000001</v>
      </c>
      <c r="AX919">
        <v>0</v>
      </c>
      <c r="AY919">
        <v>355.32600000000002</v>
      </c>
      <c r="AZ919">
        <v>0</v>
      </c>
      <c r="BA919">
        <v>18553550</v>
      </c>
      <c r="BB919">
        <v>14390405</v>
      </c>
      <c r="BC919">
        <v>0</v>
      </c>
      <c r="BD919">
        <v>220985</v>
      </c>
      <c r="BE919">
        <v>94872</v>
      </c>
      <c r="BF919">
        <v>315857</v>
      </c>
      <c r="BG919">
        <v>220985</v>
      </c>
      <c r="BH919">
        <v>0</v>
      </c>
      <c r="BI919">
        <v>0</v>
      </c>
      <c r="BJ919">
        <v>0</v>
      </c>
      <c r="BK919">
        <v>0</v>
      </c>
      <c r="BL919">
        <v>1164961832</v>
      </c>
      <c r="BM919">
        <v>0</v>
      </c>
      <c r="BN919">
        <v>11772</v>
      </c>
      <c r="BO919">
        <v>8057</v>
      </c>
      <c r="BP919">
        <v>0</v>
      </c>
      <c r="BQ919">
        <v>0</v>
      </c>
      <c r="BR919">
        <v>0.87250000000000005</v>
      </c>
      <c r="BS919">
        <v>0.87250000000000005</v>
      </c>
      <c r="BT919">
        <v>0</v>
      </c>
      <c r="BU919">
        <v>0</v>
      </c>
      <c r="BV919">
        <v>926</v>
      </c>
      <c r="BW919">
        <v>554</v>
      </c>
      <c r="BX919">
        <v>107</v>
      </c>
      <c r="BY919">
        <v>18</v>
      </c>
      <c r="BZ919">
        <v>20</v>
      </c>
      <c r="CA919">
        <v>1625</v>
      </c>
      <c r="CB919">
        <v>0</v>
      </c>
      <c r="CC919">
        <v>0</v>
      </c>
      <c r="CD919">
        <v>0</v>
      </c>
      <c r="CE919">
        <v>301</v>
      </c>
      <c r="CF919">
        <v>533.68299999999999</v>
      </c>
      <c r="CG919">
        <v>0</v>
      </c>
      <c r="CH919">
        <v>3.2280000000000002</v>
      </c>
      <c r="CI919">
        <v>7</v>
      </c>
      <c r="CJ919">
        <v>30</v>
      </c>
      <c r="CK919">
        <v>1</v>
      </c>
      <c r="CL919">
        <v>3.2280000000000002</v>
      </c>
      <c r="CM919">
        <v>77.613</v>
      </c>
      <c r="CN919">
        <v>0</v>
      </c>
      <c r="CO919">
        <v>0</v>
      </c>
      <c r="CP919">
        <v>0</v>
      </c>
      <c r="CQ919">
        <v>0</v>
      </c>
      <c r="CR919">
        <v>0</v>
      </c>
      <c r="CS919">
        <v>0</v>
      </c>
      <c r="CT919">
        <v>0</v>
      </c>
      <c r="CU919">
        <v>10.565000000000001</v>
      </c>
      <c r="CV919">
        <v>105.12700000000001</v>
      </c>
      <c r="CW919">
        <v>50.344999999999999</v>
      </c>
      <c r="CX919">
        <v>0</v>
      </c>
      <c r="CY919" s="2043">
        <v>0</v>
      </c>
      <c r="CZ919" s="2043">
        <v>0</v>
      </c>
      <c r="DA919" s="2043">
        <v>0</v>
      </c>
      <c r="DB919" s="2043">
        <v>0</v>
      </c>
      <c r="DC919" s="2043">
        <v>0</v>
      </c>
      <c r="DI919" t="s">
        <v>5211</v>
      </c>
      <c r="DJ919" t="s">
        <v>5211</v>
      </c>
      <c r="DK919" s="2042">
        <f t="shared" si="16"/>
        <v>0</v>
      </c>
    </row>
    <row r="920" spans="1:115">
      <c r="A920" t="s">
        <v>8514</v>
      </c>
      <c r="B920" t="s">
        <v>11393</v>
      </c>
      <c r="C920">
        <v>0</v>
      </c>
      <c r="D920">
        <v>0</v>
      </c>
      <c r="E920">
        <v>0</v>
      </c>
      <c r="F920">
        <v>0</v>
      </c>
      <c r="G920" s="2043">
        <v>0</v>
      </c>
      <c r="H920">
        <v>0</v>
      </c>
      <c r="I920" s="2043">
        <v>0</v>
      </c>
      <c r="J920">
        <v>0</v>
      </c>
      <c r="K920">
        <v>0</v>
      </c>
      <c r="L920">
        <v>0</v>
      </c>
      <c r="M920">
        <v>0</v>
      </c>
      <c r="N920">
        <v>0</v>
      </c>
      <c r="O920">
        <v>0</v>
      </c>
      <c r="P920">
        <v>0</v>
      </c>
      <c r="Q920">
        <v>0</v>
      </c>
      <c r="R920" s="2043">
        <v>0</v>
      </c>
      <c r="S920">
        <v>0</v>
      </c>
      <c r="T920">
        <v>0</v>
      </c>
      <c r="U920">
        <v>0</v>
      </c>
      <c r="V920">
        <v>0</v>
      </c>
      <c r="W920">
        <v>0</v>
      </c>
      <c r="X920">
        <v>0</v>
      </c>
      <c r="Y920">
        <v>130800</v>
      </c>
      <c r="Z920">
        <v>0</v>
      </c>
      <c r="AA920">
        <v>0</v>
      </c>
      <c r="AB920">
        <v>0</v>
      </c>
      <c r="AC920" s="2043">
        <v>0</v>
      </c>
      <c r="AD920">
        <v>0</v>
      </c>
      <c r="AE920" s="2043">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130800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c r="CN920">
        <v>0</v>
      </c>
      <c r="CO920">
        <v>0</v>
      </c>
      <c r="CP920">
        <v>0</v>
      </c>
      <c r="CQ920">
        <v>0</v>
      </c>
      <c r="CR920">
        <v>0</v>
      </c>
      <c r="CS920">
        <v>0</v>
      </c>
      <c r="CT920">
        <v>0</v>
      </c>
      <c r="CU920">
        <v>0</v>
      </c>
      <c r="CV920">
        <v>0</v>
      </c>
      <c r="CW920">
        <v>0</v>
      </c>
      <c r="CX920">
        <v>0</v>
      </c>
      <c r="CY920" s="2043">
        <v>0</v>
      </c>
      <c r="CZ920" s="2043">
        <v>0</v>
      </c>
      <c r="DA920" s="2043">
        <v>0</v>
      </c>
      <c r="DB920" s="2043">
        <v>0</v>
      </c>
      <c r="DC920" s="2043">
        <v>0</v>
      </c>
      <c r="DI920" t="s">
        <v>8514</v>
      </c>
      <c r="DJ920" t="s">
        <v>8514</v>
      </c>
      <c r="DK920" s="2042">
        <f t="shared" si="16"/>
        <v>0</v>
      </c>
    </row>
    <row r="921" spans="1:115">
      <c r="A921" t="s">
        <v>5212</v>
      </c>
      <c r="B921" t="s">
        <v>1031</v>
      </c>
      <c r="C921">
        <v>232.614</v>
      </c>
      <c r="D921">
        <v>206.20700000000002</v>
      </c>
      <c r="E921">
        <v>17.265000000000001</v>
      </c>
      <c r="F921">
        <v>0</v>
      </c>
      <c r="G921" s="2043">
        <v>198988833</v>
      </c>
      <c r="H921">
        <v>0</v>
      </c>
      <c r="I921" s="2043">
        <v>0</v>
      </c>
      <c r="J921">
        <v>11.631</v>
      </c>
      <c r="K921">
        <v>32</v>
      </c>
      <c r="L921">
        <v>0</v>
      </c>
      <c r="M921">
        <v>0</v>
      </c>
      <c r="N921">
        <v>0</v>
      </c>
      <c r="O921">
        <v>0</v>
      </c>
      <c r="P921">
        <v>0</v>
      </c>
      <c r="Q921">
        <v>0</v>
      </c>
      <c r="R921" s="2043">
        <v>1538540</v>
      </c>
      <c r="S921">
        <v>91460</v>
      </c>
      <c r="T921">
        <v>0</v>
      </c>
      <c r="U921">
        <v>0.05</v>
      </c>
      <c r="V921">
        <v>0</v>
      </c>
      <c r="W921">
        <v>0</v>
      </c>
      <c r="X921">
        <v>0</v>
      </c>
      <c r="Y921">
        <v>0</v>
      </c>
      <c r="Z921">
        <v>0</v>
      </c>
      <c r="AA921">
        <v>0</v>
      </c>
      <c r="AB921">
        <v>205.393</v>
      </c>
      <c r="AC921" s="2043">
        <v>172287230</v>
      </c>
      <c r="AD921">
        <v>0</v>
      </c>
      <c r="AE921" s="2043">
        <v>1630000</v>
      </c>
      <c r="AF921">
        <v>0.8911</v>
      </c>
      <c r="AG921">
        <v>0</v>
      </c>
      <c r="AH921">
        <v>0</v>
      </c>
      <c r="AI921">
        <v>0</v>
      </c>
      <c r="AJ921">
        <v>35.35</v>
      </c>
      <c r="AK921">
        <v>808</v>
      </c>
      <c r="AL921">
        <v>0</v>
      </c>
      <c r="AM921">
        <v>0</v>
      </c>
      <c r="AN921">
        <v>11.696</v>
      </c>
      <c r="AO921">
        <v>0</v>
      </c>
      <c r="AP921">
        <v>0.874</v>
      </c>
      <c r="AQ921">
        <v>0</v>
      </c>
      <c r="AR921">
        <v>1.8820000000000001</v>
      </c>
      <c r="AS921">
        <v>0</v>
      </c>
      <c r="AT921">
        <v>0</v>
      </c>
      <c r="AU921">
        <v>0.27400000000000002</v>
      </c>
      <c r="AV921">
        <v>0</v>
      </c>
      <c r="AW921">
        <v>3.0300000000000002</v>
      </c>
      <c r="AX921">
        <v>0</v>
      </c>
      <c r="AY921">
        <v>9.3760000000000012</v>
      </c>
      <c r="AZ921">
        <v>0</v>
      </c>
      <c r="BA921">
        <v>1305594</v>
      </c>
      <c r="BB921">
        <v>1630000</v>
      </c>
      <c r="BC921">
        <v>0</v>
      </c>
      <c r="BD921">
        <v>19967</v>
      </c>
      <c r="BE921">
        <v>4982</v>
      </c>
      <c r="BF921">
        <v>24949</v>
      </c>
      <c r="BG921">
        <v>19967</v>
      </c>
      <c r="BH921">
        <v>0</v>
      </c>
      <c r="BI921">
        <v>0</v>
      </c>
      <c r="BJ921">
        <v>0</v>
      </c>
      <c r="BK921">
        <v>0</v>
      </c>
      <c r="BL921">
        <v>198988833</v>
      </c>
      <c r="BM921">
        <v>0</v>
      </c>
      <c r="BN921">
        <v>774</v>
      </c>
      <c r="BO921">
        <v>535</v>
      </c>
      <c r="BP921">
        <v>0</v>
      </c>
      <c r="BQ921">
        <v>0</v>
      </c>
      <c r="BR921">
        <v>0.84110000000000007</v>
      </c>
      <c r="BS921">
        <v>0.84110000000000007</v>
      </c>
      <c r="BT921">
        <v>0</v>
      </c>
      <c r="BU921">
        <v>0</v>
      </c>
      <c r="BV921">
        <v>28</v>
      </c>
      <c r="BW921">
        <v>106</v>
      </c>
      <c r="BX921">
        <v>10</v>
      </c>
      <c r="BY921">
        <v>0</v>
      </c>
      <c r="BZ921">
        <v>5</v>
      </c>
      <c r="CA921">
        <v>149</v>
      </c>
      <c r="CB921">
        <v>0</v>
      </c>
      <c r="CC921">
        <v>0</v>
      </c>
      <c r="CD921">
        <v>0</v>
      </c>
      <c r="CE921">
        <v>15</v>
      </c>
      <c r="CF921">
        <v>50.471000000000004</v>
      </c>
      <c r="CG921">
        <v>0</v>
      </c>
      <c r="CH921">
        <v>0</v>
      </c>
      <c r="CI921">
        <v>2</v>
      </c>
      <c r="CJ921">
        <v>2</v>
      </c>
      <c r="CK921">
        <v>0</v>
      </c>
      <c r="CL921">
        <v>0</v>
      </c>
      <c r="CM921">
        <v>17.265000000000001</v>
      </c>
      <c r="CN921">
        <v>0</v>
      </c>
      <c r="CO921">
        <v>0</v>
      </c>
      <c r="CP921">
        <v>0</v>
      </c>
      <c r="CQ921">
        <v>0</v>
      </c>
      <c r="CR921">
        <v>0</v>
      </c>
      <c r="CS921">
        <v>0</v>
      </c>
      <c r="CT921">
        <v>0</v>
      </c>
      <c r="CU921">
        <v>2.2270000000000003</v>
      </c>
      <c r="CV921">
        <v>21.981000000000002</v>
      </c>
      <c r="CW921">
        <v>11.843</v>
      </c>
      <c r="CX921">
        <v>0</v>
      </c>
      <c r="CY921" s="2043">
        <v>0</v>
      </c>
      <c r="CZ921" s="2043">
        <v>0</v>
      </c>
      <c r="DA921" s="2043">
        <v>0</v>
      </c>
      <c r="DB921" s="2043">
        <v>0</v>
      </c>
      <c r="DC921" s="2043">
        <v>39096</v>
      </c>
      <c r="DI921" t="s">
        <v>5212</v>
      </c>
      <c r="DJ921" t="s">
        <v>5212</v>
      </c>
      <c r="DK921" s="2042">
        <f t="shared" si="16"/>
        <v>0</v>
      </c>
    </row>
    <row r="922" spans="1:115">
      <c r="A922" t="s">
        <v>5213</v>
      </c>
      <c r="B922" t="s">
        <v>1032</v>
      </c>
      <c r="C922">
        <v>297.26800000000003</v>
      </c>
      <c r="D922">
        <v>318.79599999999999</v>
      </c>
      <c r="E922">
        <v>13.969000000000001</v>
      </c>
      <c r="F922">
        <v>0</v>
      </c>
      <c r="G922" s="2043">
        <v>1134218041</v>
      </c>
      <c r="H922">
        <v>0</v>
      </c>
      <c r="I922" s="2043">
        <v>744698</v>
      </c>
      <c r="J922">
        <v>14.863000000000001</v>
      </c>
      <c r="K922">
        <v>41</v>
      </c>
      <c r="L922">
        <v>0</v>
      </c>
      <c r="M922">
        <v>0</v>
      </c>
      <c r="N922">
        <v>0</v>
      </c>
      <c r="O922">
        <v>0</v>
      </c>
      <c r="P922">
        <v>0</v>
      </c>
      <c r="Q922">
        <v>0</v>
      </c>
      <c r="R922" s="2043">
        <v>9801668</v>
      </c>
      <c r="S922">
        <v>498332</v>
      </c>
      <c r="T922">
        <v>0</v>
      </c>
      <c r="U922">
        <v>0.04</v>
      </c>
      <c r="V922">
        <v>0</v>
      </c>
      <c r="W922">
        <v>6167883</v>
      </c>
      <c r="X922">
        <v>0</v>
      </c>
      <c r="Y922">
        <v>0</v>
      </c>
      <c r="Z922">
        <v>0</v>
      </c>
      <c r="AA922">
        <v>0</v>
      </c>
      <c r="AB922">
        <v>292.77300000000002</v>
      </c>
      <c r="AC922" s="2043">
        <v>1039723905</v>
      </c>
      <c r="AD922">
        <v>700000</v>
      </c>
      <c r="AE922" s="2043">
        <v>10300000</v>
      </c>
      <c r="AF922">
        <v>0.90529999999999999</v>
      </c>
      <c r="AG922">
        <v>0</v>
      </c>
      <c r="AH922">
        <v>6167883</v>
      </c>
      <c r="AI922">
        <v>0</v>
      </c>
      <c r="AJ922">
        <v>39.800000000000004</v>
      </c>
      <c r="AK922">
        <v>1539</v>
      </c>
      <c r="AL922">
        <v>0</v>
      </c>
      <c r="AM922">
        <v>0</v>
      </c>
      <c r="AN922">
        <v>5.8740000000000006</v>
      </c>
      <c r="AO922">
        <v>0</v>
      </c>
      <c r="AP922">
        <v>2.9540000000000002</v>
      </c>
      <c r="AQ922">
        <v>0</v>
      </c>
      <c r="AR922">
        <v>8</v>
      </c>
      <c r="AS922">
        <v>0</v>
      </c>
      <c r="AT922">
        <v>0.47700000000000004</v>
      </c>
      <c r="AU922">
        <v>0.41100000000000003</v>
      </c>
      <c r="AV922">
        <v>0</v>
      </c>
      <c r="AW922">
        <v>12.721</v>
      </c>
      <c r="AX922">
        <v>0.879</v>
      </c>
      <c r="AY922">
        <v>37.484000000000002</v>
      </c>
      <c r="AZ922">
        <v>0</v>
      </c>
      <c r="BA922">
        <v>166552</v>
      </c>
      <c r="BB922">
        <v>11000000</v>
      </c>
      <c r="BC922">
        <v>0</v>
      </c>
      <c r="BD922">
        <v>100275</v>
      </c>
      <c r="BE922">
        <v>0</v>
      </c>
      <c r="BF922">
        <v>100275</v>
      </c>
      <c r="BG922">
        <v>100275</v>
      </c>
      <c r="BH922">
        <v>0</v>
      </c>
      <c r="BI922">
        <v>0</v>
      </c>
      <c r="BJ922">
        <v>0</v>
      </c>
      <c r="BK922">
        <v>0</v>
      </c>
      <c r="BL922">
        <v>1134218041</v>
      </c>
      <c r="BM922">
        <v>0</v>
      </c>
      <c r="BN922">
        <v>711</v>
      </c>
      <c r="BO922">
        <v>663</v>
      </c>
      <c r="BP922">
        <v>0</v>
      </c>
      <c r="BQ922">
        <v>0</v>
      </c>
      <c r="BR922">
        <v>0.86150000000000004</v>
      </c>
      <c r="BS922">
        <v>0.86150000000000004</v>
      </c>
      <c r="BT922">
        <v>0</v>
      </c>
      <c r="BU922">
        <v>0</v>
      </c>
      <c r="BV922">
        <v>102</v>
      </c>
      <c r="BW922">
        <v>2</v>
      </c>
      <c r="BX922">
        <v>60</v>
      </c>
      <c r="BY922">
        <v>0</v>
      </c>
      <c r="BZ922">
        <v>5</v>
      </c>
      <c r="CA922">
        <v>169</v>
      </c>
      <c r="CB922">
        <v>0</v>
      </c>
      <c r="CC922">
        <v>0</v>
      </c>
      <c r="CD922">
        <v>0</v>
      </c>
      <c r="CE922">
        <v>22</v>
      </c>
      <c r="CF922">
        <v>55.952000000000005</v>
      </c>
      <c r="CG922">
        <v>0</v>
      </c>
      <c r="CH922">
        <v>0</v>
      </c>
      <c r="CI922">
        <v>1</v>
      </c>
      <c r="CJ922">
        <v>3</v>
      </c>
      <c r="CK922">
        <v>0</v>
      </c>
      <c r="CL922">
        <v>0</v>
      </c>
      <c r="CM922">
        <v>13.969000000000001</v>
      </c>
      <c r="CN922">
        <v>0</v>
      </c>
      <c r="CO922">
        <v>0</v>
      </c>
      <c r="CP922">
        <v>0</v>
      </c>
      <c r="CQ922">
        <v>0</v>
      </c>
      <c r="CR922">
        <v>0</v>
      </c>
      <c r="CS922">
        <v>0</v>
      </c>
      <c r="CT922">
        <v>0</v>
      </c>
      <c r="CU922">
        <v>0</v>
      </c>
      <c r="CV922">
        <v>12.479000000000001</v>
      </c>
      <c r="CW922">
        <v>11.389000000000001</v>
      </c>
      <c r="CX922">
        <v>0</v>
      </c>
      <c r="CY922" s="2043">
        <v>0</v>
      </c>
      <c r="CZ922" s="2043">
        <v>0</v>
      </c>
      <c r="DA922" s="2043">
        <v>0</v>
      </c>
      <c r="DB922" s="2043">
        <v>0</v>
      </c>
      <c r="DC922" s="2043">
        <v>240000</v>
      </c>
      <c r="DI922" t="s">
        <v>5213</v>
      </c>
      <c r="DJ922" t="s">
        <v>5213</v>
      </c>
      <c r="DK922" s="2042">
        <f t="shared" si="16"/>
        <v>0</v>
      </c>
    </row>
    <row r="923" spans="1:115">
      <c r="A923" t="s">
        <v>3168</v>
      </c>
      <c r="B923" t="s">
        <v>2396</v>
      </c>
      <c r="C923">
        <v>2921.0390000000002</v>
      </c>
      <c r="D923">
        <v>2841.7090000000003</v>
      </c>
      <c r="E923">
        <v>403.83600000000001</v>
      </c>
      <c r="F923">
        <v>0</v>
      </c>
      <c r="G923" s="2043">
        <v>1066728142</v>
      </c>
      <c r="H923">
        <v>0</v>
      </c>
      <c r="I923" s="2043">
        <v>3377999</v>
      </c>
      <c r="J923">
        <v>130</v>
      </c>
      <c r="K923">
        <v>355</v>
      </c>
      <c r="L923">
        <v>0</v>
      </c>
      <c r="M923">
        <v>1516968</v>
      </c>
      <c r="N923">
        <v>0</v>
      </c>
      <c r="O923">
        <v>1516968</v>
      </c>
      <c r="P923">
        <v>0</v>
      </c>
      <c r="Q923">
        <v>0</v>
      </c>
      <c r="R923" s="2043">
        <v>8487845</v>
      </c>
      <c r="S923">
        <v>817613</v>
      </c>
      <c r="T923">
        <v>595836</v>
      </c>
      <c r="U923">
        <v>0.08</v>
      </c>
      <c r="V923">
        <v>0</v>
      </c>
      <c r="W923">
        <v>0</v>
      </c>
      <c r="X923">
        <v>0</v>
      </c>
      <c r="Y923">
        <v>465303</v>
      </c>
      <c r="Z923">
        <v>0</v>
      </c>
      <c r="AA923">
        <v>0.59400000000000008</v>
      </c>
      <c r="AB923">
        <v>2841.7090000000003</v>
      </c>
      <c r="AC923" s="2043">
        <v>839491780</v>
      </c>
      <c r="AD923">
        <v>3489897</v>
      </c>
      <c r="AE923" s="2043">
        <v>9901294</v>
      </c>
      <c r="AF923">
        <v>0.96879999999999999</v>
      </c>
      <c r="AG923">
        <v>218296</v>
      </c>
      <c r="AH923">
        <v>0</v>
      </c>
      <c r="AI923">
        <v>0</v>
      </c>
      <c r="AJ923">
        <v>599.83800000000008</v>
      </c>
      <c r="AK923">
        <v>11146</v>
      </c>
      <c r="AL923">
        <v>0.221</v>
      </c>
      <c r="AM923">
        <v>0</v>
      </c>
      <c r="AN923">
        <v>28.67</v>
      </c>
      <c r="AO923">
        <v>0</v>
      </c>
      <c r="AP923">
        <v>0</v>
      </c>
      <c r="AQ923">
        <v>0</v>
      </c>
      <c r="AR923">
        <v>74.548000000000002</v>
      </c>
      <c r="AS923">
        <v>0</v>
      </c>
      <c r="AT923">
        <v>52.389000000000003</v>
      </c>
      <c r="AU923">
        <v>8.120000000000001</v>
      </c>
      <c r="AV923">
        <v>0</v>
      </c>
      <c r="AW923">
        <v>138.66200000000001</v>
      </c>
      <c r="AX923">
        <v>3.3840000000000003</v>
      </c>
      <c r="AY923">
        <v>430.29900000000004</v>
      </c>
      <c r="AZ923">
        <v>0</v>
      </c>
      <c r="BA923">
        <v>21718316</v>
      </c>
      <c r="BB923">
        <v>13391191</v>
      </c>
      <c r="BC923">
        <v>0</v>
      </c>
      <c r="BD923">
        <v>161288</v>
      </c>
      <c r="BE923">
        <v>97331</v>
      </c>
      <c r="BF923">
        <v>261480</v>
      </c>
      <c r="BG923">
        <v>161288</v>
      </c>
      <c r="BH923">
        <v>2861</v>
      </c>
      <c r="BI923">
        <v>0</v>
      </c>
      <c r="BJ923">
        <v>0</v>
      </c>
      <c r="BK923">
        <v>0</v>
      </c>
      <c r="BL923">
        <v>1066728142</v>
      </c>
      <c r="BM923">
        <v>0</v>
      </c>
      <c r="BN923">
        <v>10053</v>
      </c>
      <c r="BO923">
        <v>5371</v>
      </c>
      <c r="BP923">
        <v>0</v>
      </c>
      <c r="BQ923">
        <v>0</v>
      </c>
      <c r="BR923">
        <v>0.83050000000000002</v>
      </c>
      <c r="BS923">
        <v>0.83050000000000002</v>
      </c>
      <c r="BT923">
        <v>0</v>
      </c>
      <c r="BU923">
        <v>0</v>
      </c>
      <c r="BV923">
        <v>375</v>
      </c>
      <c r="BW923">
        <v>541</v>
      </c>
      <c r="BX923">
        <v>509</v>
      </c>
      <c r="BY923">
        <v>276</v>
      </c>
      <c r="BZ923">
        <v>681</v>
      </c>
      <c r="CA923">
        <v>2382</v>
      </c>
      <c r="CB923">
        <v>0</v>
      </c>
      <c r="CC923">
        <v>0</v>
      </c>
      <c r="CD923">
        <v>0</v>
      </c>
      <c r="CE923">
        <v>226</v>
      </c>
      <c r="CF923">
        <v>885.85</v>
      </c>
      <c r="CG923">
        <v>17.349</v>
      </c>
      <c r="CH923">
        <v>0</v>
      </c>
      <c r="CI923">
        <v>3</v>
      </c>
      <c r="CJ923">
        <v>14</v>
      </c>
      <c r="CK923">
        <v>1</v>
      </c>
      <c r="CL923">
        <v>17.349</v>
      </c>
      <c r="CM923">
        <v>403.83600000000001</v>
      </c>
      <c r="CN923">
        <v>0</v>
      </c>
      <c r="CO923">
        <v>0</v>
      </c>
      <c r="CP923">
        <v>0</v>
      </c>
      <c r="CQ923">
        <v>0</v>
      </c>
      <c r="CR923">
        <v>0</v>
      </c>
      <c r="CS923">
        <v>0</v>
      </c>
      <c r="CT923">
        <v>0</v>
      </c>
      <c r="CU923">
        <v>22.382000000000001</v>
      </c>
      <c r="CV923">
        <v>149.80200000000002</v>
      </c>
      <c r="CW923">
        <v>106.732</v>
      </c>
      <c r="CX923">
        <v>0</v>
      </c>
      <c r="CY923" s="2043">
        <v>465303</v>
      </c>
      <c r="CZ923" s="2043">
        <v>218296</v>
      </c>
      <c r="DA923" s="2043">
        <v>0</v>
      </c>
      <c r="DB923" s="2043">
        <v>0</v>
      </c>
      <c r="DC923" s="2043">
        <v>0</v>
      </c>
      <c r="DI923" t="s">
        <v>3168</v>
      </c>
      <c r="DJ923" t="s">
        <v>3168</v>
      </c>
      <c r="DK923" s="2042">
        <f t="shared" si="16"/>
        <v>0</v>
      </c>
    </row>
    <row r="924" spans="1:115">
      <c r="A924" t="s">
        <v>5214</v>
      </c>
      <c r="B924" t="s">
        <v>1277</v>
      </c>
      <c r="C924">
        <v>454.59000000000003</v>
      </c>
      <c r="D924">
        <v>440.92700000000002</v>
      </c>
      <c r="E924">
        <v>19.085000000000001</v>
      </c>
      <c r="F924">
        <v>0</v>
      </c>
      <c r="G924" s="2043">
        <v>402237233</v>
      </c>
      <c r="H924">
        <v>0</v>
      </c>
      <c r="I924" s="2043">
        <v>0</v>
      </c>
      <c r="J924">
        <v>22.73</v>
      </c>
      <c r="K924">
        <v>62</v>
      </c>
      <c r="L924">
        <v>0</v>
      </c>
      <c r="M924">
        <v>0</v>
      </c>
      <c r="N924">
        <v>0</v>
      </c>
      <c r="O924">
        <v>0</v>
      </c>
      <c r="P924">
        <v>0</v>
      </c>
      <c r="Q924">
        <v>0</v>
      </c>
      <c r="R924" s="2043">
        <v>3216258</v>
      </c>
      <c r="S924">
        <v>313018</v>
      </c>
      <c r="T924">
        <v>228112</v>
      </c>
      <c r="U924">
        <v>0.08</v>
      </c>
      <c r="V924">
        <v>0</v>
      </c>
      <c r="W924">
        <v>0</v>
      </c>
      <c r="X924">
        <v>0</v>
      </c>
      <c r="Y924">
        <v>0</v>
      </c>
      <c r="Z924">
        <v>0</v>
      </c>
      <c r="AA924">
        <v>0</v>
      </c>
      <c r="AB924">
        <v>426.32400000000001</v>
      </c>
      <c r="AC924" s="2043">
        <v>303479305</v>
      </c>
      <c r="AD924">
        <v>0</v>
      </c>
      <c r="AE924" s="2043">
        <v>3757388</v>
      </c>
      <c r="AF924">
        <v>0.96030000000000004</v>
      </c>
      <c r="AG924">
        <v>0</v>
      </c>
      <c r="AH924">
        <v>0</v>
      </c>
      <c r="AI924">
        <v>0</v>
      </c>
      <c r="AJ924">
        <v>45.538000000000004</v>
      </c>
      <c r="AK924">
        <v>1936</v>
      </c>
      <c r="AL924">
        <v>0</v>
      </c>
      <c r="AM924">
        <v>0</v>
      </c>
      <c r="AN924">
        <v>25.257000000000001</v>
      </c>
      <c r="AO924">
        <v>0</v>
      </c>
      <c r="AP924">
        <v>3.6520000000000001</v>
      </c>
      <c r="AQ924">
        <v>0</v>
      </c>
      <c r="AR924">
        <v>4.6450000000000005</v>
      </c>
      <c r="AS924">
        <v>0</v>
      </c>
      <c r="AT924">
        <v>0.29899999999999999</v>
      </c>
      <c r="AU924">
        <v>0.79600000000000004</v>
      </c>
      <c r="AV924">
        <v>0</v>
      </c>
      <c r="AW924">
        <v>9.3920000000000012</v>
      </c>
      <c r="AX924">
        <v>0</v>
      </c>
      <c r="AY924">
        <v>28.672000000000001</v>
      </c>
      <c r="AZ924">
        <v>0</v>
      </c>
      <c r="BA924">
        <v>2288474</v>
      </c>
      <c r="BB924">
        <v>3757388</v>
      </c>
      <c r="BC924">
        <v>0</v>
      </c>
      <c r="BD924">
        <v>64574</v>
      </c>
      <c r="BE924">
        <v>59694</v>
      </c>
      <c r="BF924">
        <v>124268</v>
      </c>
      <c r="BG924">
        <v>64574</v>
      </c>
      <c r="BH924">
        <v>0</v>
      </c>
      <c r="BI924">
        <v>0</v>
      </c>
      <c r="BJ924">
        <v>0</v>
      </c>
      <c r="BK924">
        <v>0</v>
      </c>
      <c r="BL924">
        <v>402237233</v>
      </c>
      <c r="BM924">
        <v>0</v>
      </c>
      <c r="BN924">
        <v>1935</v>
      </c>
      <c r="BO924">
        <v>1552</v>
      </c>
      <c r="BP924">
        <v>0</v>
      </c>
      <c r="BQ924">
        <v>0</v>
      </c>
      <c r="BR924">
        <v>0.82200000000000006</v>
      </c>
      <c r="BS924">
        <v>0.82200000000000006</v>
      </c>
      <c r="BT924">
        <v>0</v>
      </c>
      <c r="BU924">
        <v>0</v>
      </c>
      <c r="BV924">
        <v>141</v>
      </c>
      <c r="BW924">
        <v>49</v>
      </c>
      <c r="BX924">
        <v>1</v>
      </c>
      <c r="BY924">
        <v>0</v>
      </c>
      <c r="BZ924">
        <v>7</v>
      </c>
      <c r="CA924">
        <v>198</v>
      </c>
      <c r="CB924">
        <v>0</v>
      </c>
      <c r="CC924">
        <v>0</v>
      </c>
      <c r="CD924">
        <v>0</v>
      </c>
      <c r="CE924">
        <v>51</v>
      </c>
      <c r="CF924">
        <v>58.86</v>
      </c>
      <c r="CG924">
        <v>0</v>
      </c>
      <c r="CH924">
        <v>0</v>
      </c>
      <c r="CI924">
        <v>2</v>
      </c>
      <c r="CJ924">
        <v>2</v>
      </c>
      <c r="CK924">
        <v>0</v>
      </c>
      <c r="CL924">
        <v>0</v>
      </c>
      <c r="CM924">
        <v>19.085000000000001</v>
      </c>
      <c r="CN924">
        <v>0</v>
      </c>
      <c r="CO924">
        <v>0</v>
      </c>
      <c r="CP924">
        <v>0</v>
      </c>
      <c r="CQ924">
        <v>0</v>
      </c>
      <c r="CR924">
        <v>0</v>
      </c>
      <c r="CS924">
        <v>0</v>
      </c>
      <c r="CT924">
        <v>0</v>
      </c>
      <c r="CU924">
        <v>0</v>
      </c>
      <c r="CV924">
        <v>24.496000000000002</v>
      </c>
      <c r="CW924">
        <v>22.69</v>
      </c>
      <c r="CX924">
        <v>0</v>
      </c>
      <c r="CY924" s="2043">
        <v>0</v>
      </c>
      <c r="CZ924" s="2043">
        <v>0</v>
      </c>
      <c r="DA924" s="2043">
        <v>0</v>
      </c>
      <c r="DB924" s="2043">
        <v>0</v>
      </c>
      <c r="DC924" s="2043">
        <v>0</v>
      </c>
      <c r="DI924" t="s">
        <v>5214</v>
      </c>
      <c r="DJ924" t="s">
        <v>5214</v>
      </c>
      <c r="DK924" s="2042">
        <f t="shared" si="16"/>
        <v>0</v>
      </c>
    </row>
    <row r="925" spans="1:115">
      <c r="A925" t="s">
        <v>5861</v>
      </c>
      <c r="B925" t="s">
        <v>1278</v>
      </c>
      <c r="C925">
        <v>145.96299999999999</v>
      </c>
      <c r="D925">
        <v>140.48099999999999</v>
      </c>
      <c r="E925">
        <v>21.524000000000001</v>
      </c>
      <c r="F925">
        <v>0</v>
      </c>
      <c r="G925" s="2043">
        <v>61518299</v>
      </c>
      <c r="H925">
        <v>0</v>
      </c>
      <c r="I925" s="2043">
        <v>0</v>
      </c>
      <c r="J925">
        <v>4</v>
      </c>
      <c r="K925">
        <v>11</v>
      </c>
      <c r="L925">
        <v>0</v>
      </c>
      <c r="M925">
        <v>0</v>
      </c>
      <c r="N925">
        <v>0</v>
      </c>
      <c r="O925">
        <v>0</v>
      </c>
      <c r="P925">
        <v>0</v>
      </c>
      <c r="Q925">
        <v>0</v>
      </c>
      <c r="R925" s="2043">
        <v>536376</v>
      </c>
      <c r="S925">
        <v>47715</v>
      </c>
      <c r="T925">
        <v>34772</v>
      </c>
      <c r="U925">
        <v>0.08</v>
      </c>
      <c r="V925">
        <v>0</v>
      </c>
      <c r="W925">
        <v>0</v>
      </c>
      <c r="X925">
        <v>0</v>
      </c>
      <c r="Y925">
        <v>0</v>
      </c>
      <c r="Z925">
        <v>0</v>
      </c>
      <c r="AA925">
        <v>0</v>
      </c>
      <c r="AB925">
        <v>140.48099999999999</v>
      </c>
      <c r="AC925" s="2043">
        <v>55658400</v>
      </c>
      <c r="AD925">
        <v>0</v>
      </c>
      <c r="AE925" s="2043">
        <v>618863</v>
      </c>
      <c r="AF925">
        <v>1.0376000000000001</v>
      </c>
      <c r="AG925">
        <v>0</v>
      </c>
      <c r="AH925">
        <v>0</v>
      </c>
      <c r="AI925">
        <v>0</v>
      </c>
      <c r="AJ925">
        <v>25.925000000000001</v>
      </c>
      <c r="AK925">
        <v>608</v>
      </c>
      <c r="AL925">
        <v>0</v>
      </c>
      <c r="AM925">
        <v>0</v>
      </c>
      <c r="AN925">
        <v>8.952</v>
      </c>
      <c r="AO925">
        <v>0</v>
      </c>
      <c r="AP925">
        <v>4.0000000000000001E-3</v>
      </c>
      <c r="AQ925">
        <v>0</v>
      </c>
      <c r="AR925">
        <v>1.9510000000000001</v>
      </c>
      <c r="AS925">
        <v>0</v>
      </c>
      <c r="AT925">
        <v>1.5000000000000001E-2</v>
      </c>
      <c r="AU925">
        <v>0.14000000000000001</v>
      </c>
      <c r="AV925">
        <v>0</v>
      </c>
      <c r="AW925">
        <v>2.11</v>
      </c>
      <c r="AX925">
        <v>0</v>
      </c>
      <c r="AY925">
        <v>6.609</v>
      </c>
      <c r="AZ925">
        <v>0</v>
      </c>
      <c r="BA925">
        <v>1628104</v>
      </c>
      <c r="BB925">
        <v>618863</v>
      </c>
      <c r="BC925">
        <v>0</v>
      </c>
      <c r="BD925">
        <v>18534</v>
      </c>
      <c r="BE925">
        <v>0</v>
      </c>
      <c r="BF925">
        <v>18534</v>
      </c>
      <c r="BG925">
        <v>18534</v>
      </c>
      <c r="BH925">
        <v>0</v>
      </c>
      <c r="BI925">
        <v>0</v>
      </c>
      <c r="BJ925">
        <v>0</v>
      </c>
      <c r="BK925">
        <v>0</v>
      </c>
      <c r="BL925">
        <v>61518299</v>
      </c>
      <c r="BM925">
        <v>0</v>
      </c>
      <c r="BN925">
        <v>522</v>
      </c>
      <c r="BO925">
        <v>139</v>
      </c>
      <c r="BP925">
        <v>0</v>
      </c>
      <c r="BQ925">
        <v>0</v>
      </c>
      <c r="BR925">
        <v>0.89929999999999999</v>
      </c>
      <c r="BS925">
        <v>0.89929999999999999</v>
      </c>
      <c r="BT925">
        <v>0</v>
      </c>
      <c r="BU925">
        <v>0</v>
      </c>
      <c r="BV925">
        <v>1</v>
      </c>
      <c r="BW925">
        <v>12</v>
      </c>
      <c r="BX925">
        <v>87</v>
      </c>
      <c r="BY925">
        <v>0</v>
      </c>
      <c r="BZ925">
        <v>4</v>
      </c>
      <c r="CA925">
        <v>104</v>
      </c>
      <c r="CB925">
        <v>0</v>
      </c>
      <c r="CC925">
        <v>0</v>
      </c>
      <c r="CD925">
        <v>0</v>
      </c>
      <c r="CE925">
        <v>0</v>
      </c>
      <c r="CF925">
        <v>30.189</v>
      </c>
      <c r="CG925">
        <v>0</v>
      </c>
      <c r="CH925">
        <v>0</v>
      </c>
      <c r="CI925">
        <v>4</v>
      </c>
      <c r="CJ925">
        <v>1</v>
      </c>
      <c r="CK925">
        <v>0</v>
      </c>
      <c r="CL925">
        <v>0</v>
      </c>
      <c r="CM925">
        <v>21.524000000000001</v>
      </c>
      <c r="CN925">
        <v>0</v>
      </c>
      <c r="CO925">
        <v>0</v>
      </c>
      <c r="CP925">
        <v>0</v>
      </c>
      <c r="CQ925">
        <v>0</v>
      </c>
      <c r="CR925">
        <v>0</v>
      </c>
      <c r="CS925">
        <v>0</v>
      </c>
      <c r="CT925">
        <v>0</v>
      </c>
      <c r="CU925">
        <v>0</v>
      </c>
      <c r="CV925">
        <v>14.212000000000002</v>
      </c>
      <c r="CW925">
        <v>6.08</v>
      </c>
      <c r="CX925">
        <v>0</v>
      </c>
      <c r="CY925" s="2043">
        <v>0</v>
      </c>
      <c r="CZ925" s="2043">
        <v>0</v>
      </c>
      <c r="DA925" s="2043">
        <v>0</v>
      </c>
      <c r="DB925" s="2043">
        <v>0</v>
      </c>
      <c r="DC925" s="2043">
        <v>0</v>
      </c>
      <c r="DI925" t="s">
        <v>5861</v>
      </c>
      <c r="DJ925" t="s">
        <v>5861</v>
      </c>
      <c r="DK925" s="2042">
        <f t="shared" si="16"/>
        <v>0</v>
      </c>
    </row>
    <row r="926" spans="1:115">
      <c r="A926" t="s">
        <v>8068</v>
      </c>
      <c r="B926" t="s">
        <v>11394</v>
      </c>
      <c r="C926">
        <v>194.31300000000002</v>
      </c>
      <c r="D926">
        <v>182.94500000000002</v>
      </c>
      <c r="E926">
        <v>0</v>
      </c>
      <c r="F926">
        <v>0</v>
      </c>
      <c r="G926" s="2043">
        <v>0</v>
      </c>
      <c r="H926">
        <v>0</v>
      </c>
      <c r="I926" s="2043">
        <v>0</v>
      </c>
      <c r="J926">
        <v>9.7160000000000011</v>
      </c>
      <c r="K926">
        <v>27</v>
      </c>
      <c r="L926">
        <v>0</v>
      </c>
      <c r="M926">
        <v>0</v>
      </c>
      <c r="N926">
        <v>0</v>
      </c>
      <c r="O926">
        <v>0</v>
      </c>
      <c r="P926">
        <v>0</v>
      </c>
      <c r="Q926">
        <v>0</v>
      </c>
      <c r="R926" s="2043">
        <v>0</v>
      </c>
      <c r="S926">
        <v>0</v>
      </c>
      <c r="T926">
        <v>0</v>
      </c>
      <c r="U926">
        <v>0</v>
      </c>
      <c r="V926">
        <v>0</v>
      </c>
      <c r="W926">
        <v>0</v>
      </c>
      <c r="X926">
        <v>0</v>
      </c>
      <c r="Y926">
        <v>140972</v>
      </c>
      <c r="Z926">
        <v>0</v>
      </c>
      <c r="AA926">
        <v>0.114</v>
      </c>
      <c r="AB926">
        <v>182.94500000000002</v>
      </c>
      <c r="AC926" s="2043">
        <v>0</v>
      </c>
      <c r="AD926">
        <v>0</v>
      </c>
      <c r="AE926" s="2043">
        <v>0</v>
      </c>
      <c r="AF926">
        <v>0</v>
      </c>
      <c r="AG926">
        <v>0</v>
      </c>
      <c r="AH926">
        <v>0</v>
      </c>
      <c r="AI926">
        <v>0</v>
      </c>
      <c r="AJ926">
        <v>15.325000000000001</v>
      </c>
      <c r="AK926">
        <v>318</v>
      </c>
      <c r="AL926">
        <v>0</v>
      </c>
      <c r="AM926">
        <v>0</v>
      </c>
      <c r="AN926">
        <v>9.7940000000000005</v>
      </c>
      <c r="AO926">
        <v>0</v>
      </c>
      <c r="AP926">
        <v>0</v>
      </c>
      <c r="AQ926">
        <v>0</v>
      </c>
      <c r="AR926">
        <v>0.876</v>
      </c>
      <c r="AS926">
        <v>0</v>
      </c>
      <c r="AT926">
        <v>0</v>
      </c>
      <c r="AU926">
        <v>3.3000000000000002E-2</v>
      </c>
      <c r="AV926">
        <v>0</v>
      </c>
      <c r="AW926">
        <v>0.90900000000000003</v>
      </c>
      <c r="AX926">
        <v>0</v>
      </c>
      <c r="AY926">
        <v>2.7930000000000001</v>
      </c>
      <c r="AZ926">
        <v>0</v>
      </c>
      <c r="BA926">
        <v>2031392</v>
      </c>
      <c r="BB926">
        <v>0</v>
      </c>
      <c r="BC926">
        <v>0</v>
      </c>
      <c r="BD926">
        <v>0</v>
      </c>
      <c r="BE926">
        <v>0</v>
      </c>
      <c r="BF926">
        <v>0</v>
      </c>
      <c r="BG926">
        <v>0</v>
      </c>
      <c r="BH926">
        <v>0</v>
      </c>
      <c r="BI926">
        <v>0</v>
      </c>
      <c r="BJ926">
        <v>0</v>
      </c>
      <c r="BK926">
        <v>0</v>
      </c>
      <c r="BL926">
        <v>0</v>
      </c>
      <c r="BM926">
        <v>0</v>
      </c>
      <c r="BN926">
        <v>1737</v>
      </c>
      <c r="BO926">
        <v>1455</v>
      </c>
      <c r="BP926">
        <v>0</v>
      </c>
      <c r="BQ926">
        <v>0</v>
      </c>
      <c r="BR926">
        <v>0</v>
      </c>
      <c r="BS926">
        <v>0</v>
      </c>
      <c r="BT926">
        <v>106621</v>
      </c>
      <c r="BU926">
        <v>0</v>
      </c>
      <c r="BV926">
        <v>11</v>
      </c>
      <c r="BW926">
        <v>25</v>
      </c>
      <c r="BX926">
        <v>4</v>
      </c>
      <c r="BY926">
        <v>11</v>
      </c>
      <c r="BZ926">
        <v>11</v>
      </c>
      <c r="CA926">
        <v>62</v>
      </c>
      <c r="CB926">
        <v>0</v>
      </c>
      <c r="CC926">
        <v>0.59799999999999998</v>
      </c>
      <c r="CD926">
        <v>0</v>
      </c>
      <c r="CE926">
        <v>17</v>
      </c>
      <c r="CF926">
        <v>0</v>
      </c>
      <c r="CG926">
        <v>0</v>
      </c>
      <c r="CH926">
        <v>0</v>
      </c>
      <c r="CI926">
        <v>3</v>
      </c>
      <c r="CJ926">
        <v>5</v>
      </c>
      <c r="CK926">
        <v>0</v>
      </c>
      <c r="CL926">
        <v>0</v>
      </c>
      <c r="CM926">
        <v>0</v>
      </c>
      <c r="CN926">
        <v>0</v>
      </c>
      <c r="CO926">
        <v>0</v>
      </c>
      <c r="CP926">
        <v>0</v>
      </c>
      <c r="CQ926">
        <v>0</v>
      </c>
      <c r="CR926">
        <v>0</v>
      </c>
      <c r="CS926">
        <v>0</v>
      </c>
      <c r="CT926">
        <v>0</v>
      </c>
      <c r="CU926">
        <v>2.0580000000000003</v>
      </c>
      <c r="CV926">
        <v>17.002000000000002</v>
      </c>
      <c r="CW926">
        <v>2.7760000000000002</v>
      </c>
      <c r="CX926">
        <v>106621</v>
      </c>
      <c r="CY926" s="2043">
        <v>0</v>
      </c>
      <c r="CZ926" s="2043">
        <v>0</v>
      </c>
      <c r="DA926" s="2043">
        <v>0</v>
      </c>
      <c r="DB926" s="2043">
        <v>0</v>
      </c>
      <c r="DC926" s="2043">
        <v>124344</v>
      </c>
      <c r="DI926" t="s">
        <v>5215</v>
      </c>
      <c r="DJ926" t="s">
        <v>8068</v>
      </c>
      <c r="DK926" s="2042">
        <f t="shared" si="16"/>
        <v>-895</v>
      </c>
    </row>
    <row r="927" spans="1:115">
      <c r="A927" t="s">
        <v>5215</v>
      </c>
      <c r="B927" t="s">
        <v>1279</v>
      </c>
      <c r="C927">
        <v>77.652000000000001</v>
      </c>
      <c r="D927">
        <v>78.405000000000001</v>
      </c>
      <c r="E927">
        <v>2.6550000000000002</v>
      </c>
      <c r="F927">
        <v>0</v>
      </c>
      <c r="G927" s="2043">
        <v>605593914</v>
      </c>
      <c r="H927">
        <v>0</v>
      </c>
      <c r="I927" s="2043">
        <v>240575</v>
      </c>
      <c r="J927">
        <v>3.883</v>
      </c>
      <c r="K927">
        <v>11</v>
      </c>
      <c r="L927">
        <v>0</v>
      </c>
      <c r="M927">
        <v>0</v>
      </c>
      <c r="N927">
        <v>0</v>
      </c>
      <c r="O927">
        <v>0</v>
      </c>
      <c r="P927">
        <v>0</v>
      </c>
      <c r="Q927">
        <v>0</v>
      </c>
      <c r="R927" s="2043">
        <v>5093950</v>
      </c>
      <c r="S927">
        <v>351307</v>
      </c>
      <c r="T927">
        <v>0</v>
      </c>
      <c r="U927">
        <v>0.06</v>
      </c>
      <c r="V927">
        <v>0</v>
      </c>
      <c r="W927">
        <v>4137051</v>
      </c>
      <c r="X927">
        <v>0</v>
      </c>
      <c r="Y927">
        <v>18314</v>
      </c>
      <c r="Z927">
        <v>0.86799999999999999</v>
      </c>
      <c r="AA927">
        <v>0</v>
      </c>
      <c r="AB927">
        <v>75.606999999999999</v>
      </c>
      <c r="AC927" s="2043">
        <v>567290517</v>
      </c>
      <c r="AD927">
        <v>275261</v>
      </c>
      <c r="AE927" s="2043">
        <v>5445257</v>
      </c>
      <c r="AF927">
        <v>0.93</v>
      </c>
      <c r="AG927">
        <v>0</v>
      </c>
      <c r="AH927">
        <v>4137051</v>
      </c>
      <c r="AI927">
        <v>0</v>
      </c>
      <c r="AJ927">
        <v>10.200000000000001</v>
      </c>
      <c r="AK927">
        <v>88</v>
      </c>
      <c r="AL927">
        <v>0</v>
      </c>
      <c r="AM927">
        <v>0</v>
      </c>
      <c r="AN927">
        <v>1.641</v>
      </c>
      <c r="AO927">
        <v>0</v>
      </c>
      <c r="AP927">
        <v>0</v>
      </c>
      <c r="AQ927">
        <v>0</v>
      </c>
      <c r="AR927">
        <v>0</v>
      </c>
      <c r="AS927">
        <v>0</v>
      </c>
      <c r="AT927">
        <v>0</v>
      </c>
      <c r="AU927">
        <v>0.10600000000000001</v>
      </c>
      <c r="AV927">
        <v>0</v>
      </c>
      <c r="AW927">
        <v>0.10600000000000001</v>
      </c>
      <c r="AX927">
        <v>0</v>
      </c>
      <c r="AY927">
        <v>0.53</v>
      </c>
      <c r="AZ927">
        <v>0</v>
      </c>
      <c r="BA927">
        <v>59497</v>
      </c>
      <c r="BB927">
        <v>5720518</v>
      </c>
      <c r="BC927">
        <v>0</v>
      </c>
      <c r="BD927">
        <v>25714</v>
      </c>
      <c r="BE927">
        <v>0</v>
      </c>
      <c r="BF927">
        <v>25714</v>
      </c>
      <c r="BG927">
        <v>25714</v>
      </c>
      <c r="BH927">
        <v>0</v>
      </c>
      <c r="BI927">
        <v>0</v>
      </c>
      <c r="BJ927">
        <v>0</v>
      </c>
      <c r="BK927">
        <v>0</v>
      </c>
      <c r="BL927">
        <v>605593914</v>
      </c>
      <c r="BM927">
        <v>0</v>
      </c>
      <c r="BN927">
        <v>0</v>
      </c>
      <c r="BO927">
        <v>0</v>
      </c>
      <c r="BP927">
        <v>0</v>
      </c>
      <c r="BQ927">
        <v>0</v>
      </c>
      <c r="BR927">
        <v>0.87</v>
      </c>
      <c r="BS927">
        <v>0.87</v>
      </c>
      <c r="BT927">
        <v>0</v>
      </c>
      <c r="BU927">
        <v>0</v>
      </c>
      <c r="BV927">
        <v>5</v>
      </c>
      <c r="BW927">
        <v>25</v>
      </c>
      <c r="BX927">
        <v>6</v>
      </c>
      <c r="BY927">
        <v>1</v>
      </c>
      <c r="BZ927">
        <v>5</v>
      </c>
      <c r="CA927">
        <v>42</v>
      </c>
      <c r="CB927">
        <v>0</v>
      </c>
      <c r="CC927">
        <v>0</v>
      </c>
      <c r="CD927">
        <v>0</v>
      </c>
      <c r="CE927">
        <v>2</v>
      </c>
      <c r="CF927">
        <v>21.903000000000002</v>
      </c>
      <c r="CG927">
        <v>0</v>
      </c>
      <c r="CH927">
        <v>0</v>
      </c>
      <c r="CI927">
        <v>0</v>
      </c>
      <c r="CJ927">
        <v>0</v>
      </c>
      <c r="CK927">
        <v>0</v>
      </c>
      <c r="CL927">
        <v>0</v>
      </c>
      <c r="CM927">
        <v>2.6550000000000002</v>
      </c>
      <c r="CN927">
        <v>0</v>
      </c>
      <c r="CO927">
        <v>0</v>
      </c>
      <c r="CP927">
        <v>0</v>
      </c>
      <c r="CQ927">
        <v>0</v>
      </c>
      <c r="CR927">
        <v>0</v>
      </c>
      <c r="CS927">
        <v>0</v>
      </c>
      <c r="CT927">
        <v>0</v>
      </c>
      <c r="CU927">
        <v>0</v>
      </c>
      <c r="CV927">
        <v>0</v>
      </c>
      <c r="CW927">
        <v>0</v>
      </c>
      <c r="CX927">
        <v>0</v>
      </c>
      <c r="CY927" s="2043">
        <v>18314</v>
      </c>
      <c r="CZ927" s="2043">
        <v>0</v>
      </c>
      <c r="DA927" s="2043">
        <v>0</v>
      </c>
      <c r="DB927" s="2043">
        <v>0</v>
      </c>
      <c r="DC927" s="2043">
        <v>0</v>
      </c>
      <c r="DI927" t="s">
        <v>8068</v>
      </c>
      <c r="DJ927" t="s">
        <v>5215</v>
      </c>
      <c r="DK927" s="2042">
        <f t="shared" si="16"/>
        <v>895</v>
      </c>
    </row>
    <row r="928" spans="1:115">
      <c r="A928" t="s">
        <v>5216</v>
      </c>
      <c r="B928" t="s">
        <v>1280</v>
      </c>
      <c r="C928">
        <v>627.41100000000006</v>
      </c>
      <c r="D928">
        <v>617.54700000000003</v>
      </c>
      <c r="E928">
        <v>16.423999999999999</v>
      </c>
      <c r="F928">
        <v>0</v>
      </c>
      <c r="G928" s="2043">
        <v>401462512</v>
      </c>
      <c r="H928">
        <v>0</v>
      </c>
      <c r="I928" s="2043">
        <v>0</v>
      </c>
      <c r="J928">
        <v>13</v>
      </c>
      <c r="K928">
        <v>36</v>
      </c>
      <c r="L928">
        <v>0</v>
      </c>
      <c r="M928">
        <v>0</v>
      </c>
      <c r="N928">
        <v>0</v>
      </c>
      <c r="O928">
        <v>0</v>
      </c>
      <c r="P928">
        <v>0</v>
      </c>
      <c r="Q928">
        <v>0</v>
      </c>
      <c r="R928" s="2043">
        <v>3217758</v>
      </c>
      <c r="S928">
        <v>193143</v>
      </c>
      <c r="T928">
        <v>0</v>
      </c>
      <c r="U928">
        <v>0.05</v>
      </c>
      <c r="V928">
        <v>0</v>
      </c>
      <c r="W928">
        <v>0</v>
      </c>
      <c r="X928">
        <v>0</v>
      </c>
      <c r="Y928">
        <v>0</v>
      </c>
      <c r="Z928">
        <v>0</v>
      </c>
      <c r="AA928">
        <v>0</v>
      </c>
      <c r="AB928">
        <v>607.08400000000006</v>
      </c>
      <c r="AC928" s="2043">
        <v>386991591</v>
      </c>
      <c r="AD928">
        <v>4000</v>
      </c>
      <c r="AE928" s="2043">
        <v>3410901</v>
      </c>
      <c r="AF928">
        <v>0.88300000000000001</v>
      </c>
      <c r="AG928">
        <v>0</v>
      </c>
      <c r="AH928">
        <v>0</v>
      </c>
      <c r="AI928">
        <v>0</v>
      </c>
      <c r="AJ928">
        <v>53.2</v>
      </c>
      <c r="AK928">
        <v>2928</v>
      </c>
      <c r="AL928">
        <v>0</v>
      </c>
      <c r="AM928">
        <v>0</v>
      </c>
      <c r="AN928">
        <v>23.615000000000002</v>
      </c>
      <c r="AO928">
        <v>0</v>
      </c>
      <c r="AP928">
        <v>0</v>
      </c>
      <c r="AQ928">
        <v>0</v>
      </c>
      <c r="AR928">
        <v>11.56</v>
      </c>
      <c r="AS928">
        <v>0</v>
      </c>
      <c r="AT928">
        <v>7.1950000000000003</v>
      </c>
      <c r="AU928">
        <v>1.431</v>
      </c>
      <c r="AV928">
        <v>0</v>
      </c>
      <c r="AW928">
        <v>20.186</v>
      </c>
      <c r="AX928">
        <v>0</v>
      </c>
      <c r="AY928">
        <v>63.42</v>
      </c>
      <c r="AZ928">
        <v>0</v>
      </c>
      <c r="BA928">
        <v>3926184</v>
      </c>
      <c r="BB928">
        <v>3414901</v>
      </c>
      <c r="BC928">
        <v>0</v>
      </c>
      <c r="BD928">
        <v>43318</v>
      </c>
      <c r="BE928">
        <v>4929</v>
      </c>
      <c r="BF928">
        <v>51691</v>
      </c>
      <c r="BG928">
        <v>43318</v>
      </c>
      <c r="BH928">
        <v>3444</v>
      </c>
      <c r="BI928">
        <v>0</v>
      </c>
      <c r="BJ928">
        <v>0</v>
      </c>
      <c r="BK928">
        <v>0</v>
      </c>
      <c r="BL928">
        <v>401462512</v>
      </c>
      <c r="BM928">
        <v>0</v>
      </c>
      <c r="BN928">
        <v>2088</v>
      </c>
      <c r="BO928">
        <v>2054</v>
      </c>
      <c r="BP928">
        <v>0</v>
      </c>
      <c r="BQ928">
        <v>0</v>
      </c>
      <c r="BR928">
        <v>0.83300000000000007</v>
      </c>
      <c r="BS928">
        <v>0.83300000000000007</v>
      </c>
      <c r="BT928">
        <v>0</v>
      </c>
      <c r="BU928">
        <v>0</v>
      </c>
      <c r="BV928">
        <v>3</v>
      </c>
      <c r="BW928">
        <v>136</v>
      </c>
      <c r="BX928">
        <v>5</v>
      </c>
      <c r="BY928">
        <v>0</v>
      </c>
      <c r="BZ928">
        <v>69</v>
      </c>
      <c r="CA928">
        <v>213</v>
      </c>
      <c r="CB928">
        <v>0</v>
      </c>
      <c r="CC928">
        <v>0</v>
      </c>
      <c r="CD928">
        <v>0</v>
      </c>
      <c r="CE928">
        <v>69</v>
      </c>
      <c r="CF928">
        <v>92.98</v>
      </c>
      <c r="CG928">
        <v>0</v>
      </c>
      <c r="CH928">
        <v>0</v>
      </c>
      <c r="CI928">
        <v>3</v>
      </c>
      <c r="CJ928">
        <v>1</v>
      </c>
      <c r="CK928">
        <v>0</v>
      </c>
      <c r="CL928">
        <v>0</v>
      </c>
      <c r="CM928">
        <v>16.423999999999999</v>
      </c>
      <c r="CN928">
        <v>0</v>
      </c>
      <c r="CO928">
        <v>0</v>
      </c>
      <c r="CP928">
        <v>0</v>
      </c>
      <c r="CQ928">
        <v>0</v>
      </c>
      <c r="CR928">
        <v>0</v>
      </c>
      <c r="CS928">
        <v>0</v>
      </c>
      <c r="CT928">
        <v>0</v>
      </c>
      <c r="CU928">
        <v>3.04</v>
      </c>
      <c r="CV928">
        <v>39.655999999999999</v>
      </c>
      <c r="CW928">
        <v>32.919000000000004</v>
      </c>
      <c r="CX928">
        <v>0</v>
      </c>
      <c r="CY928" s="2043">
        <v>0</v>
      </c>
      <c r="CZ928" s="2043">
        <v>0</v>
      </c>
      <c r="DA928" s="2043">
        <v>0</v>
      </c>
      <c r="DB928" s="2043">
        <v>0</v>
      </c>
      <c r="DC928" s="2043">
        <v>0</v>
      </c>
      <c r="DI928" t="s">
        <v>5216</v>
      </c>
      <c r="DJ928" t="s">
        <v>5216</v>
      </c>
      <c r="DK928" s="2042">
        <f t="shared" si="16"/>
        <v>0</v>
      </c>
    </row>
    <row r="929" spans="1:115">
      <c r="A929" t="s">
        <v>5217</v>
      </c>
      <c r="B929" t="s">
        <v>1281</v>
      </c>
      <c r="C929">
        <v>2427.8209999999999</v>
      </c>
      <c r="D929">
        <v>2488.067</v>
      </c>
      <c r="E929">
        <v>211.898</v>
      </c>
      <c r="F929">
        <v>0</v>
      </c>
      <c r="G929" s="2043">
        <v>3020303622</v>
      </c>
      <c r="H929">
        <v>0</v>
      </c>
      <c r="I929" s="2043">
        <v>6147187</v>
      </c>
      <c r="J929">
        <v>121.39100000000001</v>
      </c>
      <c r="K929">
        <v>332</v>
      </c>
      <c r="L929">
        <v>0</v>
      </c>
      <c r="M929">
        <v>0</v>
      </c>
      <c r="N929">
        <v>0</v>
      </c>
      <c r="O929">
        <v>0</v>
      </c>
      <c r="P929">
        <v>0</v>
      </c>
      <c r="Q929">
        <v>0</v>
      </c>
      <c r="R929" s="2043">
        <v>28342268</v>
      </c>
      <c r="S929">
        <v>1546898</v>
      </c>
      <c r="T929">
        <v>0</v>
      </c>
      <c r="U929">
        <v>0.05</v>
      </c>
      <c r="V929">
        <v>0</v>
      </c>
      <c r="W929">
        <v>6932190</v>
      </c>
      <c r="X929">
        <v>0</v>
      </c>
      <c r="Y929">
        <v>1705904</v>
      </c>
      <c r="Z929">
        <v>0.77500000000000002</v>
      </c>
      <c r="AA929">
        <v>0</v>
      </c>
      <c r="AB929">
        <v>2431.8230000000003</v>
      </c>
      <c r="AC929" s="2043">
        <v>2674905631</v>
      </c>
      <c r="AD929">
        <v>7113305</v>
      </c>
      <c r="AE929" s="2043">
        <v>29889166</v>
      </c>
      <c r="AF929">
        <v>0.96610000000000007</v>
      </c>
      <c r="AG929">
        <v>0</v>
      </c>
      <c r="AH929">
        <v>6932190</v>
      </c>
      <c r="AI929">
        <v>0</v>
      </c>
      <c r="AJ929">
        <v>383.375</v>
      </c>
      <c r="AK929">
        <v>9191</v>
      </c>
      <c r="AL929">
        <v>0.59300000000000008</v>
      </c>
      <c r="AM929">
        <v>0</v>
      </c>
      <c r="AN929">
        <v>40.14</v>
      </c>
      <c r="AO929">
        <v>0</v>
      </c>
      <c r="AP929">
        <v>0</v>
      </c>
      <c r="AQ929">
        <v>0</v>
      </c>
      <c r="AR929">
        <v>76.468000000000004</v>
      </c>
      <c r="AS929">
        <v>0</v>
      </c>
      <c r="AT929">
        <v>22.159000000000002</v>
      </c>
      <c r="AU929">
        <v>4.5510000000000002</v>
      </c>
      <c r="AV929">
        <v>0</v>
      </c>
      <c r="AW929">
        <v>108.18900000000001</v>
      </c>
      <c r="AX929">
        <v>4.4180000000000001</v>
      </c>
      <c r="AY929">
        <v>331.762</v>
      </c>
      <c r="AZ929">
        <v>0</v>
      </c>
      <c r="BA929">
        <v>3207049</v>
      </c>
      <c r="BB929">
        <v>37002471</v>
      </c>
      <c r="BC929">
        <v>0</v>
      </c>
      <c r="BD929">
        <v>356778</v>
      </c>
      <c r="BE929">
        <v>63040</v>
      </c>
      <c r="BF929">
        <v>431075</v>
      </c>
      <c r="BG929">
        <v>356778</v>
      </c>
      <c r="BH929">
        <v>11257</v>
      </c>
      <c r="BI929">
        <v>0</v>
      </c>
      <c r="BJ929">
        <v>0</v>
      </c>
      <c r="BK929">
        <v>0</v>
      </c>
      <c r="BL929">
        <v>3020303622</v>
      </c>
      <c r="BM929">
        <v>0</v>
      </c>
      <c r="BN929">
        <v>9909</v>
      </c>
      <c r="BO929">
        <v>7265</v>
      </c>
      <c r="BP929">
        <v>0</v>
      </c>
      <c r="BQ929">
        <v>0</v>
      </c>
      <c r="BR929">
        <v>0.91610000000000003</v>
      </c>
      <c r="BS929">
        <v>0.91610000000000003</v>
      </c>
      <c r="BT929">
        <v>1705904</v>
      </c>
      <c r="BU929">
        <v>0</v>
      </c>
      <c r="BV929">
        <v>299</v>
      </c>
      <c r="BW929">
        <v>722</v>
      </c>
      <c r="BX929">
        <v>148</v>
      </c>
      <c r="BY929">
        <v>234</v>
      </c>
      <c r="BZ929">
        <v>168</v>
      </c>
      <c r="CA929">
        <v>1571</v>
      </c>
      <c r="CB929">
        <v>0</v>
      </c>
      <c r="CC929">
        <v>0</v>
      </c>
      <c r="CD929">
        <v>0</v>
      </c>
      <c r="CE929">
        <v>146</v>
      </c>
      <c r="CF929">
        <v>500.05100000000004</v>
      </c>
      <c r="CG929">
        <v>0</v>
      </c>
      <c r="CH929">
        <v>0</v>
      </c>
      <c r="CI929">
        <v>4</v>
      </c>
      <c r="CJ929">
        <v>17</v>
      </c>
      <c r="CK929">
        <v>0</v>
      </c>
      <c r="CL929">
        <v>0</v>
      </c>
      <c r="CM929">
        <v>211.898</v>
      </c>
      <c r="CN929">
        <v>0</v>
      </c>
      <c r="CO929">
        <v>0</v>
      </c>
      <c r="CP929">
        <v>0</v>
      </c>
      <c r="CQ929">
        <v>0</v>
      </c>
      <c r="CR929">
        <v>0</v>
      </c>
      <c r="CS929">
        <v>0</v>
      </c>
      <c r="CT929">
        <v>0</v>
      </c>
      <c r="CU929">
        <v>20.688000000000002</v>
      </c>
      <c r="CV929">
        <v>169.10900000000001</v>
      </c>
      <c r="CW929">
        <v>82.76700000000001</v>
      </c>
      <c r="CX929">
        <v>1705904</v>
      </c>
      <c r="CY929" s="2043">
        <v>0</v>
      </c>
      <c r="CZ929" s="2043">
        <v>0</v>
      </c>
      <c r="DA929" s="2043">
        <v>0</v>
      </c>
      <c r="DB929" s="2043">
        <v>0</v>
      </c>
      <c r="DC929" s="2043">
        <v>439440</v>
      </c>
      <c r="DI929" t="s">
        <v>5217</v>
      </c>
      <c r="DJ929" t="s">
        <v>5217</v>
      </c>
      <c r="DK929" s="2042">
        <f t="shared" si="16"/>
        <v>0</v>
      </c>
    </row>
    <row r="930" spans="1:115">
      <c r="A930" t="s">
        <v>3169</v>
      </c>
      <c r="B930" t="s">
        <v>2436</v>
      </c>
      <c r="C930">
        <v>430.10500000000002</v>
      </c>
      <c r="D930">
        <v>445.94600000000003</v>
      </c>
      <c r="E930">
        <v>0.71500000000000008</v>
      </c>
      <c r="F930">
        <v>0</v>
      </c>
      <c r="G930" s="2043">
        <v>135722109</v>
      </c>
      <c r="H930">
        <v>0</v>
      </c>
      <c r="I930" s="2043">
        <v>979288</v>
      </c>
      <c r="J930">
        <v>15</v>
      </c>
      <c r="K930">
        <v>41</v>
      </c>
      <c r="L930">
        <v>0</v>
      </c>
      <c r="M930">
        <v>98110</v>
      </c>
      <c r="N930">
        <v>0</v>
      </c>
      <c r="O930">
        <v>98110</v>
      </c>
      <c r="P930">
        <v>0</v>
      </c>
      <c r="Q930">
        <v>0</v>
      </c>
      <c r="R930" s="2043">
        <v>1136233</v>
      </c>
      <c r="S930">
        <v>62198</v>
      </c>
      <c r="T930">
        <v>0</v>
      </c>
      <c r="U930">
        <v>0.05</v>
      </c>
      <c r="V930">
        <v>0</v>
      </c>
      <c r="W930">
        <v>0</v>
      </c>
      <c r="X930">
        <v>0</v>
      </c>
      <c r="Y930">
        <v>0</v>
      </c>
      <c r="Z930">
        <v>0</v>
      </c>
      <c r="AA930">
        <v>0</v>
      </c>
      <c r="AB930">
        <v>430.16500000000002</v>
      </c>
      <c r="AC930" s="2043">
        <v>167757817</v>
      </c>
      <c r="AD930">
        <v>597337</v>
      </c>
      <c r="AE930" s="2043">
        <v>1198431</v>
      </c>
      <c r="AF930">
        <v>0.96340000000000003</v>
      </c>
      <c r="AG930">
        <v>0</v>
      </c>
      <c r="AH930">
        <v>0</v>
      </c>
      <c r="AI930">
        <v>0</v>
      </c>
      <c r="AJ930">
        <v>57.35</v>
      </c>
      <c r="AK930">
        <v>1975</v>
      </c>
      <c r="AL930">
        <v>0</v>
      </c>
      <c r="AM930">
        <v>0</v>
      </c>
      <c r="AN930">
        <v>12.362</v>
      </c>
      <c r="AO930">
        <v>0</v>
      </c>
      <c r="AP930">
        <v>0</v>
      </c>
      <c r="AQ930">
        <v>0</v>
      </c>
      <c r="AR930">
        <v>11.516</v>
      </c>
      <c r="AS930">
        <v>0</v>
      </c>
      <c r="AT930">
        <v>1.6320000000000001</v>
      </c>
      <c r="AU930">
        <v>1.036</v>
      </c>
      <c r="AV930">
        <v>0</v>
      </c>
      <c r="AW930">
        <v>14.184000000000001</v>
      </c>
      <c r="AX930">
        <v>0</v>
      </c>
      <c r="AY930">
        <v>44.624000000000002</v>
      </c>
      <c r="AZ930">
        <v>0</v>
      </c>
      <c r="BA930">
        <v>4047693</v>
      </c>
      <c r="BB930">
        <v>1795768</v>
      </c>
      <c r="BC930">
        <v>0</v>
      </c>
      <c r="BD930">
        <v>40202</v>
      </c>
      <c r="BE930">
        <v>12574</v>
      </c>
      <c r="BF930">
        <v>52776</v>
      </c>
      <c r="BG930">
        <v>40202</v>
      </c>
      <c r="BH930">
        <v>0</v>
      </c>
      <c r="BI930">
        <v>0</v>
      </c>
      <c r="BJ930">
        <v>0</v>
      </c>
      <c r="BK930">
        <v>0</v>
      </c>
      <c r="BL930">
        <v>135722109</v>
      </c>
      <c r="BM930">
        <v>0</v>
      </c>
      <c r="BN930">
        <v>1629</v>
      </c>
      <c r="BO930">
        <v>706</v>
      </c>
      <c r="BP930">
        <v>0</v>
      </c>
      <c r="BQ930">
        <v>0</v>
      </c>
      <c r="BR930">
        <v>0.91339999999999999</v>
      </c>
      <c r="BS930">
        <v>0.91339999999999999</v>
      </c>
      <c r="BT930">
        <v>0</v>
      </c>
      <c r="BU930">
        <v>0</v>
      </c>
      <c r="BV930">
        <v>17</v>
      </c>
      <c r="BW930">
        <v>203</v>
      </c>
      <c r="BX930">
        <v>17</v>
      </c>
      <c r="BY930">
        <v>3</v>
      </c>
      <c r="BZ930">
        <v>1</v>
      </c>
      <c r="CA930">
        <v>241</v>
      </c>
      <c r="CB930">
        <v>0</v>
      </c>
      <c r="CC930">
        <v>0</v>
      </c>
      <c r="CD930">
        <v>0</v>
      </c>
      <c r="CE930">
        <v>30</v>
      </c>
      <c r="CF930">
        <v>72.311000000000007</v>
      </c>
      <c r="CG930">
        <v>0</v>
      </c>
      <c r="CH930">
        <v>0</v>
      </c>
      <c r="CI930">
        <v>1</v>
      </c>
      <c r="CJ930">
        <v>1</v>
      </c>
      <c r="CK930">
        <v>0</v>
      </c>
      <c r="CL930">
        <v>0</v>
      </c>
      <c r="CM930">
        <v>0.71500000000000008</v>
      </c>
      <c r="CN930">
        <v>0</v>
      </c>
      <c r="CO930">
        <v>0</v>
      </c>
      <c r="CP930">
        <v>0</v>
      </c>
      <c r="CQ930">
        <v>0</v>
      </c>
      <c r="CR930">
        <v>0</v>
      </c>
      <c r="CS930">
        <v>0</v>
      </c>
      <c r="CT930">
        <v>0</v>
      </c>
      <c r="CU930">
        <v>0.752</v>
      </c>
      <c r="CV930">
        <v>11.906000000000001</v>
      </c>
      <c r="CW930">
        <v>8.4150000000000009</v>
      </c>
      <c r="CX930">
        <v>0</v>
      </c>
      <c r="CY930" s="2043">
        <v>0</v>
      </c>
      <c r="CZ930" s="2043">
        <v>0</v>
      </c>
      <c r="DA930" s="2043">
        <v>0</v>
      </c>
      <c r="DB930" s="2043">
        <v>0</v>
      </c>
      <c r="DC930" s="2043">
        <v>0</v>
      </c>
      <c r="DI930" t="s">
        <v>3169</v>
      </c>
      <c r="DJ930" t="s">
        <v>3169</v>
      </c>
      <c r="DK930" s="2042">
        <f t="shared" si="16"/>
        <v>0</v>
      </c>
    </row>
    <row r="931" spans="1:115">
      <c r="A931" t="s">
        <v>8069</v>
      </c>
      <c r="B931" t="s">
        <v>11395</v>
      </c>
      <c r="C931">
        <v>133.95400000000001</v>
      </c>
      <c r="D931">
        <v>138.97499999999999</v>
      </c>
      <c r="E931">
        <v>0</v>
      </c>
      <c r="F931">
        <v>0</v>
      </c>
      <c r="G931" s="2043">
        <v>0</v>
      </c>
      <c r="H931">
        <v>0</v>
      </c>
      <c r="I931" s="2043">
        <v>0</v>
      </c>
      <c r="J931">
        <v>0</v>
      </c>
      <c r="K931">
        <v>0</v>
      </c>
      <c r="L931">
        <v>0</v>
      </c>
      <c r="M931">
        <v>0</v>
      </c>
      <c r="N931">
        <v>0</v>
      </c>
      <c r="O931">
        <v>0</v>
      </c>
      <c r="P931">
        <v>0</v>
      </c>
      <c r="Q931">
        <v>0</v>
      </c>
      <c r="R931" s="2043">
        <v>0</v>
      </c>
      <c r="S931">
        <v>0</v>
      </c>
      <c r="T931">
        <v>0</v>
      </c>
      <c r="U931">
        <v>0</v>
      </c>
      <c r="V931">
        <v>0</v>
      </c>
      <c r="W931">
        <v>0</v>
      </c>
      <c r="X931">
        <v>0</v>
      </c>
      <c r="Y931">
        <v>23681</v>
      </c>
      <c r="Z931">
        <v>0</v>
      </c>
      <c r="AA931">
        <v>0.52700000000000002</v>
      </c>
      <c r="AB931">
        <v>133.685</v>
      </c>
      <c r="AC931" s="2043">
        <v>0</v>
      </c>
      <c r="AD931">
        <v>0</v>
      </c>
      <c r="AE931" s="2043">
        <v>0</v>
      </c>
      <c r="AF931">
        <v>0</v>
      </c>
      <c r="AG931">
        <v>0</v>
      </c>
      <c r="AH931">
        <v>0</v>
      </c>
      <c r="AI931">
        <v>0</v>
      </c>
      <c r="AJ931">
        <v>16.975000000000001</v>
      </c>
      <c r="AK931">
        <v>409</v>
      </c>
      <c r="AL931">
        <v>0</v>
      </c>
      <c r="AM931">
        <v>0</v>
      </c>
      <c r="AN931">
        <v>15.449000000000002</v>
      </c>
      <c r="AO931">
        <v>0</v>
      </c>
      <c r="AP931">
        <v>0</v>
      </c>
      <c r="AQ931">
        <v>0</v>
      </c>
      <c r="AR931">
        <v>0</v>
      </c>
      <c r="AS931">
        <v>0</v>
      </c>
      <c r="AT931">
        <v>0</v>
      </c>
      <c r="AU931">
        <v>0.06</v>
      </c>
      <c r="AV931">
        <v>0</v>
      </c>
      <c r="AW931">
        <v>0.06</v>
      </c>
      <c r="AX931">
        <v>0</v>
      </c>
      <c r="AY931">
        <v>0.3</v>
      </c>
      <c r="AZ931">
        <v>0</v>
      </c>
      <c r="BA931">
        <v>1509651</v>
      </c>
      <c r="BB931">
        <v>0</v>
      </c>
      <c r="BC931">
        <v>0</v>
      </c>
      <c r="BD931">
        <v>0</v>
      </c>
      <c r="BE931">
        <v>0</v>
      </c>
      <c r="BF931">
        <v>0</v>
      </c>
      <c r="BG931">
        <v>0</v>
      </c>
      <c r="BH931">
        <v>0</v>
      </c>
      <c r="BI931">
        <v>0</v>
      </c>
      <c r="BJ931">
        <v>0</v>
      </c>
      <c r="BK931">
        <v>0</v>
      </c>
      <c r="BL931">
        <v>0</v>
      </c>
      <c r="BM931">
        <v>0</v>
      </c>
      <c r="BN931">
        <v>1341</v>
      </c>
      <c r="BO931">
        <v>0</v>
      </c>
      <c r="BP931">
        <v>0</v>
      </c>
      <c r="BQ931">
        <v>0</v>
      </c>
      <c r="BR931">
        <v>0</v>
      </c>
      <c r="BS931">
        <v>0</v>
      </c>
      <c r="BT931">
        <v>0</v>
      </c>
      <c r="BU931">
        <v>0</v>
      </c>
      <c r="BV931">
        <v>26</v>
      </c>
      <c r="BW931">
        <v>20</v>
      </c>
      <c r="BX931">
        <v>19</v>
      </c>
      <c r="BY931">
        <v>2</v>
      </c>
      <c r="BZ931">
        <v>4</v>
      </c>
      <c r="CA931">
        <v>71</v>
      </c>
      <c r="CB931">
        <v>0</v>
      </c>
      <c r="CC931">
        <v>0</v>
      </c>
      <c r="CD931">
        <v>0</v>
      </c>
      <c r="CE931">
        <v>15</v>
      </c>
      <c r="CF931">
        <v>0</v>
      </c>
      <c r="CG931">
        <v>133.95400000000001</v>
      </c>
      <c r="CH931">
        <v>0</v>
      </c>
      <c r="CI931">
        <v>0</v>
      </c>
      <c r="CJ931">
        <v>0</v>
      </c>
      <c r="CK931">
        <v>0</v>
      </c>
      <c r="CL931">
        <v>133.95400000000001</v>
      </c>
      <c r="CM931">
        <v>0</v>
      </c>
      <c r="CN931">
        <v>0</v>
      </c>
      <c r="CO931">
        <v>0</v>
      </c>
      <c r="CP931">
        <v>0</v>
      </c>
      <c r="CQ931">
        <v>0</v>
      </c>
      <c r="CR931">
        <v>0</v>
      </c>
      <c r="CS931">
        <v>0</v>
      </c>
      <c r="CT931">
        <v>0</v>
      </c>
      <c r="CU931">
        <v>8.5330000000000013</v>
      </c>
      <c r="CV931">
        <v>31.906000000000002</v>
      </c>
      <c r="CW931">
        <v>3.2690000000000001</v>
      </c>
      <c r="CX931">
        <v>0</v>
      </c>
      <c r="CY931" s="2043">
        <v>0</v>
      </c>
      <c r="CZ931" s="2043">
        <v>0</v>
      </c>
      <c r="DA931" s="2043">
        <v>0</v>
      </c>
      <c r="DB931" s="2043">
        <v>0</v>
      </c>
      <c r="DC931" s="2043">
        <v>0</v>
      </c>
      <c r="DI931" t="s">
        <v>8069</v>
      </c>
      <c r="DJ931" t="s">
        <v>8069</v>
      </c>
      <c r="DK931" s="2042">
        <f t="shared" si="16"/>
        <v>0</v>
      </c>
    </row>
    <row r="932" spans="1:115">
      <c r="A932" t="s">
        <v>3170</v>
      </c>
      <c r="B932" t="s">
        <v>666</v>
      </c>
      <c r="C932">
        <v>587.928</v>
      </c>
      <c r="D932">
        <v>513.18399999999997</v>
      </c>
      <c r="E932">
        <v>54.79</v>
      </c>
      <c r="F932">
        <v>0</v>
      </c>
      <c r="G932" s="2043">
        <v>332868615</v>
      </c>
      <c r="H932">
        <v>0</v>
      </c>
      <c r="I932" s="2043">
        <v>443153</v>
      </c>
      <c r="J932">
        <v>23</v>
      </c>
      <c r="K932">
        <v>63</v>
      </c>
      <c r="L932">
        <v>0</v>
      </c>
      <c r="M932">
        <v>107925</v>
      </c>
      <c r="N932">
        <v>0</v>
      </c>
      <c r="O932">
        <v>107925</v>
      </c>
      <c r="P932">
        <v>0</v>
      </c>
      <c r="Q932">
        <v>0</v>
      </c>
      <c r="R932" s="2043">
        <v>2777591</v>
      </c>
      <c r="S932">
        <v>270325</v>
      </c>
      <c r="T932">
        <v>197000</v>
      </c>
      <c r="U932">
        <v>0.08</v>
      </c>
      <c r="V932">
        <v>0</v>
      </c>
      <c r="W932">
        <v>0</v>
      </c>
      <c r="X932">
        <v>0</v>
      </c>
      <c r="Y932">
        <v>0</v>
      </c>
      <c r="Z932">
        <v>0</v>
      </c>
      <c r="AA932">
        <v>0</v>
      </c>
      <c r="AB932">
        <v>508.971</v>
      </c>
      <c r="AC932" s="2043">
        <v>224068121</v>
      </c>
      <c r="AD932">
        <v>670143</v>
      </c>
      <c r="AE932" s="2043">
        <v>3244916</v>
      </c>
      <c r="AF932">
        <v>0.96030000000000004</v>
      </c>
      <c r="AG932">
        <v>0</v>
      </c>
      <c r="AH932">
        <v>0</v>
      </c>
      <c r="AI932">
        <v>0</v>
      </c>
      <c r="AJ932">
        <v>83.674999999999997</v>
      </c>
      <c r="AK932">
        <v>1948</v>
      </c>
      <c r="AL932">
        <v>0</v>
      </c>
      <c r="AM932">
        <v>0</v>
      </c>
      <c r="AN932">
        <v>22.887</v>
      </c>
      <c r="AO932">
        <v>0</v>
      </c>
      <c r="AP932">
        <v>0</v>
      </c>
      <c r="AQ932">
        <v>0</v>
      </c>
      <c r="AR932">
        <v>6.7549999999999999</v>
      </c>
      <c r="AS932">
        <v>0</v>
      </c>
      <c r="AT932">
        <v>2.5030000000000001</v>
      </c>
      <c r="AU932">
        <v>1.21</v>
      </c>
      <c r="AV932">
        <v>0</v>
      </c>
      <c r="AW932">
        <v>10.468</v>
      </c>
      <c r="AX932">
        <v>0</v>
      </c>
      <c r="AY932">
        <v>33.824000000000005</v>
      </c>
      <c r="AZ932">
        <v>0</v>
      </c>
      <c r="BA932">
        <v>4490611</v>
      </c>
      <c r="BB932">
        <v>3915059</v>
      </c>
      <c r="BC932">
        <v>0</v>
      </c>
      <c r="BD932">
        <v>53253</v>
      </c>
      <c r="BE932">
        <v>8732</v>
      </c>
      <c r="BF932">
        <v>61985</v>
      </c>
      <c r="BG932">
        <v>53253</v>
      </c>
      <c r="BH932">
        <v>0</v>
      </c>
      <c r="BI932">
        <v>0</v>
      </c>
      <c r="BJ932">
        <v>0</v>
      </c>
      <c r="BK932">
        <v>0</v>
      </c>
      <c r="BL932">
        <v>332868615</v>
      </c>
      <c r="BM932">
        <v>0</v>
      </c>
      <c r="BN932">
        <v>1782</v>
      </c>
      <c r="BO932">
        <v>1081</v>
      </c>
      <c r="BP932">
        <v>0</v>
      </c>
      <c r="BQ932">
        <v>0</v>
      </c>
      <c r="BR932">
        <v>0.82200000000000006</v>
      </c>
      <c r="BS932">
        <v>0.82200000000000006</v>
      </c>
      <c r="BT932">
        <v>0</v>
      </c>
      <c r="BU932">
        <v>0</v>
      </c>
      <c r="BV932">
        <v>124</v>
      </c>
      <c r="BW932">
        <v>222</v>
      </c>
      <c r="BX932">
        <v>10</v>
      </c>
      <c r="BY932">
        <v>0</v>
      </c>
      <c r="BZ932">
        <v>2</v>
      </c>
      <c r="CA932">
        <v>358</v>
      </c>
      <c r="CB932">
        <v>0</v>
      </c>
      <c r="CC932">
        <v>0</v>
      </c>
      <c r="CD932">
        <v>0</v>
      </c>
      <c r="CE932">
        <v>38</v>
      </c>
      <c r="CF932">
        <v>135.62100000000001</v>
      </c>
      <c r="CG932">
        <v>0</v>
      </c>
      <c r="CH932">
        <v>0</v>
      </c>
      <c r="CI932">
        <v>1</v>
      </c>
      <c r="CJ932">
        <v>0</v>
      </c>
      <c r="CK932">
        <v>0</v>
      </c>
      <c r="CL932">
        <v>0</v>
      </c>
      <c r="CM932">
        <v>54.79</v>
      </c>
      <c r="CN932">
        <v>0</v>
      </c>
      <c r="CO932">
        <v>0</v>
      </c>
      <c r="CP932">
        <v>0</v>
      </c>
      <c r="CQ932">
        <v>0</v>
      </c>
      <c r="CR932">
        <v>0</v>
      </c>
      <c r="CS932">
        <v>0</v>
      </c>
      <c r="CT932">
        <v>0</v>
      </c>
      <c r="CU932">
        <v>0</v>
      </c>
      <c r="CV932">
        <v>22.095000000000002</v>
      </c>
      <c r="CW932">
        <v>30.847000000000001</v>
      </c>
      <c r="CX932">
        <v>0</v>
      </c>
      <c r="CY932" s="2043">
        <v>0</v>
      </c>
      <c r="CZ932" s="2043">
        <v>0</v>
      </c>
      <c r="DA932" s="2043">
        <v>0</v>
      </c>
      <c r="DB932" s="2043">
        <v>0</v>
      </c>
      <c r="DC932" s="2043">
        <v>0</v>
      </c>
      <c r="DI932" t="s">
        <v>3170</v>
      </c>
      <c r="DJ932" t="s">
        <v>3170</v>
      </c>
      <c r="DK932" s="2042">
        <f t="shared" si="16"/>
        <v>0</v>
      </c>
    </row>
    <row r="933" spans="1:115">
      <c r="A933" t="s">
        <v>3171</v>
      </c>
      <c r="B933" t="s">
        <v>1421</v>
      </c>
      <c r="C933">
        <v>3642.4460000000004</v>
      </c>
      <c r="D933">
        <v>3399.172</v>
      </c>
      <c r="E933">
        <v>108.01300000000001</v>
      </c>
      <c r="F933">
        <v>0</v>
      </c>
      <c r="G933" s="2043">
        <v>1873234396</v>
      </c>
      <c r="H933">
        <v>0</v>
      </c>
      <c r="I933" s="2043">
        <v>3970112</v>
      </c>
      <c r="J933">
        <v>179</v>
      </c>
      <c r="K933">
        <v>489</v>
      </c>
      <c r="L933">
        <v>0</v>
      </c>
      <c r="M933">
        <v>1524288</v>
      </c>
      <c r="N933">
        <v>0</v>
      </c>
      <c r="O933">
        <v>1524288</v>
      </c>
      <c r="P933">
        <v>0</v>
      </c>
      <c r="Q933">
        <v>0</v>
      </c>
      <c r="R933" s="2043">
        <v>15478984</v>
      </c>
      <c r="S933">
        <v>1506470</v>
      </c>
      <c r="T933">
        <v>1097841</v>
      </c>
      <c r="U933">
        <v>0.08</v>
      </c>
      <c r="V933">
        <v>0</v>
      </c>
      <c r="W933">
        <v>0</v>
      </c>
      <c r="X933">
        <v>0</v>
      </c>
      <c r="Y933">
        <v>1216013</v>
      </c>
      <c r="Z933">
        <v>0</v>
      </c>
      <c r="AA933">
        <v>0.318</v>
      </c>
      <c r="AB933">
        <v>3399.172</v>
      </c>
      <c r="AC933" s="2043">
        <v>1186634996</v>
      </c>
      <c r="AD933">
        <v>3444603</v>
      </c>
      <c r="AE933" s="2043">
        <v>18083295</v>
      </c>
      <c r="AF933">
        <v>0.96030000000000004</v>
      </c>
      <c r="AG933">
        <v>0</v>
      </c>
      <c r="AH933">
        <v>0</v>
      </c>
      <c r="AI933">
        <v>0</v>
      </c>
      <c r="AJ933">
        <v>459.2</v>
      </c>
      <c r="AK933">
        <v>13873</v>
      </c>
      <c r="AL933">
        <v>7.3000000000000009E-2</v>
      </c>
      <c r="AM933">
        <v>0</v>
      </c>
      <c r="AN933">
        <v>201.376</v>
      </c>
      <c r="AO933">
        <v>2.5</v>
      </c>
      <c r="AP933">
        <v>0</v>
      </c>
      <c r="AQ933">
        <v>0</v>
      </c>
      <c r="AR933">
        <v>79.89200000000001</v>
      </c>
      <c r="AS933">
        <v>0</v>
      </c>
      <c r="AT933">
        <v>24.999000000000002</v>
      </c>
      <c r="AU933">
        <v>7.048</v>
      </c>
      <c r="AV933">
        <v>0</v>
      </c>
      <c r="AW933">
        <v>112.012</v>
      </c>
      <c r="AX933">
        <v>0</v>
      </c>
      <c r="AY933">
        <v>350.27800000000002</v>
      </c>
      <c r="AZ933">
        <v>0</v>
      </c>
      <c r="BA933">
        <v>19966249</v>
      </c>
      <c r="BB933">
        <v>21527898</v>
      </c>
      <c r="BC933">
        <v>0</v>
      </c>
      <c r="BD933">
        <v>266682</v>
      </c>
      <c r="BE933">
        <v>103826</v>
      </c>
      <c r="BF933">
        <v>370508</v>
      </c>
      <c r="BG933">
        <v>266682</v>
      </c>
      <c r="BH933">
        <v>0</v>
      </c>
      <c r="BI933">
        <v>0</v>
      </c>
      <c r="BJ933">
        <v>0</v>
      </c>
      <c r="BK933">
        <v>0</v>
      </c>
      <c r="BL933">
        <v>1873234396</v>
      </c>
      <c r="BM933">
        <v>0</v>
      </c>
      <c r="BN933">
        <v>12951</v>
      </c>
      <c r="BO933">
        <v>9084</v>
      </c>
      <c r="BP933">
        <v>0</v>
      </c>
      <c r="BQ933">
        <v>0</v>
      </c>
      <c r="BR933">
        <v>0.82200000000000006</v>
      </c>
      <c r="BS933">
        <v>0.82200000000000006</v>
      </c>
      <c r="BT933">
        <v>1216013</v>
      </c>
      <c r="BU933">
        <v>0</v>
      </c>
      <c r="BV933">
        <v>477</v>
      </c>
      <c r="BW933">
        <v>967</v>
      </c>
      <c r="BX933">
        <v>424</v>
      </c>
      <c r="BY933">
        <v>1</v>
      </c>
      <c r="BZ933">
        <v>58</v>
      </c>
      <c r="CA933">
        <v>1927</v>
      </c>
      <c r="CB933">
        <v>0</v>
      </c>
      <c r="CC933">
        <v>0</v>
      </c>
      <c r="CD933">
        <v>0</v>
      </c>
      <c r="CE933">
        <v>267</v>
      </c>
      <c r="CF933">
        <v>590.83199999999999</v>
      </c>
      <c r="CG933">
        <v>0</v>
      </c>
      <c r="CH933">
        <v>0</v>
      </c>
      <c r="CI933">
        <v>11</v>
      </c>
      <c r="CJ933">
        <v>19</v>
      </c>
      <c r="CK933">
        <v>0</v>
      </c>
      <c r="CL933">
        <v>0</v>
      </c>
      <c r="CM933">
        <v>108.01300000000001</v>
      </c>
      <c r="CN933">
        <v>0</v>
      </c>
      <c r="CO933">
        <v>0</v>
      </c>
      <c r="CP933">
        <v>0</v>
      </c>
      <c r="CQ933">
        <v>0</v>
      </c>
      <c r="CR933">
        <v>0</v>
      </c>
      <c r="CS933">
        <v>0</v>
      </c>
      <c r="CT933">
        <v>0</v>
      </c>
      <c r="CU933">
        <v>20.734999999999999</v>
      </c>
      <c r="CV933">
        <v>209.827</v>
      </c>
      <c r="CW933">
        <v>102.114</v>
      </c>
      <c r="CX933">
        <v>1216013</v>
      </c>
      <c r="CY933" s="2043">
        <v>0</v>
      </c>
      <c r="CZ933" s="2043">
        <v>0</v>
      </c>
      <c r="DA933" s="2043">
        <v>0</v>
      </c>
      <c r="DB933" s="2043">
        <v>0</v>
      </c>
      <c r="DC933" s="2043">
        <v>0</v>
      </c>
      <c r="DI933" t="s">
        <v>3171</v>
      </c>
      <c r="DJ933" t="s">
        <v>3171</v>
      </c>
      <c r="DK933" s="2042">
        <f t="shared" si="16"/>
        <v>0</v>
      </c>
    </row>
    <row r="934" spans="1:115">
      <c r="A934" t="s">
        <v>3172</v>
      </c>
      <c r="B934" t="s">
        <v>1381</v>
      </c>
      <c r="C934">
        <v>7465.1570000000002</v>
      </c>
      <c r="D934">
        <v>7615.6510000000007</v>
      </c>
      <c r="E934">
        <v>537.68500000000006</v>
      </c>
      <c r="F934">
        <v>0</v>
      </c>
      <c r="G934" s="2043">
        <v>5866648891</v>
      </c>
      <c r="H934">
        <v>-438975</v>
      </c>
      <c r="I934" s="2043">
        <v>11295275</v>
      </c>
      <c r="J934">
        <v>373.25800000000004</v>
      </c>
      <c r="K934">
        <v>1020</v>
      </c>
      <c r="L934">
        <v>0</v>
      </c>
      <c r="M934">
        <v>239999</v>
      </c>
      <c r="N934">
        <v>0</v>
      </c>
      <c r="O934">
        <v>239999</v>
      </c>
      <c r="P934">
        <v>0</v>
      </c>
      <c r="Q934">
        <v>0</v>
      </c>
      <c r="R934" s="2043">
        <v>48137445</v>
      </c>
      <c r="S934">
        <v>4684909</v>
      </c>
      <c r="T934">
        <v>3414128</v>
      </c>
      <c r="U934">
        <v>0.08</v>
      </c>
      <c r="V934">
        <v>0</v>
      </c>
      <c r="W934">
        <v>0</v>
      </c>
      <c r="X934">
        <v>438975</v>
      </c>
      <c r="Y934">
        <v>-438975</v>
      </c>
      <c r="Z934">
        <v>0</v>
      </c>
      <c r="AA934">
        <v>8.6000000000000007E-2</v>
      </c>
      <c r="AB934">
        <v>7339.1390000000001</v>
      </c>
      <c r="AC934" s="2043">
        <v>4543120768</v>
      </c>
      <c r="AD934">
        <v>16319606</v>
      </c>
      <c r="AE934" s="2043">
        <v>56236482</v>
      </c>
      <c r="AF934">
        <v>0.96030000000000004</v>
      </c>
      <c r="AG934">
        <v>0</v>
      </c>
      <c r="AH934">
        <v>438975</v>
      </c>
      <c r="AI934">
        <v>0</v>
      </c>
      <c r="AJ934">
        <v>903.56299999999999</v>
      </c>
      <c r="AK934">
        <v>33960</v>
      </c>
      <c r="AL934">
        <v>9.6000000000000002E-2</v>
      </c>
      <c r="AM934">
        <v>0</v>
      </c>
      <c r="AN934">
        <v>622.49200000000008</v>
      </c>
      <c r="AO934">
        <v>1</v>
      </c>
      <c r="AP934">
        <v>0</v>
      </c>
      <c r="AQ934">
        <v>0</v>
      </c>
      <c r="AR934">
        <v>137.83100000000002</v>
      </c>
      <c r="AS934">
        <v>0</v>
      </c>
      <c r="AT934">
        <v>78.03</v>
      </c>
      <c r="AU934">
        <v>21.233000000000001</v>
      </c>
      <c r="AV934">
        <v>0</v>
      </c>
      <c r="AW934">
        <v>249.23600000000002</v>
      </c>
      <c r="AX934">
        <v>12.046000000000001</v>
      </c>
      <c r="AY934">
        <v>781.93400000000008</v>
      </c>
      <c r="AZ934">
        <v>0</v>
      </c>
      <c r="BA934">
        <v>19516284</v>
      </c>
      <c r="BB934">
        <v>72556088</v>
      </c>
      <c r="BC934">
        <v>0</v>
      </c>
      <c r="BD934">
        <v>416232</v>
      </c>
      <c r="BE934">
        <v>185799</v>
      </c>
      <c r="BF934">
        <v>758449</v>
      </c>
      <c r="BG934">
        <v>416232</v>
      </c>
      <c r="BH934">
        <v>156418</v>
      </c>
      <c r="BI934">
        <v>0</v>
      </c>
      <c r="BJ934">
        <v>0</v>
      </c>
      <c r="BK934">
        <v>0</v>
      </c>
      <c r="BL934">
        <v>5866648891</v>
      </c>
      <c r="BM934">
        <v>0</v>
      </c>
      <c r="BN934">
        <v>28188</v>
      </c>
      <c r="BO934">
        <v>18040</v>
      </c>
      <c r="BP934">
        <v>0</v>
      </c>
      <c r="BQ934">
        <v>0</v>
      </c>
      <c r="BR934">
        <v>0.82200000000000006</v>
      </c>
      <c r="BS934">
        <v>0.82200000000000006</v>
      </c>
      <c r="BT934">
        <v>0</v>
      </c>
      <c r="BU934">
        <v>0</v>
      </c>
      <c r="BV934">
        <v>1983</v>
      </c>
      <c r="BW934">
        <v>376</v>
      </c>
      <c r="BX934">
        <v>1007</v>
      </c>
      <c r="BY934">
        <v>263</v>
      </c>
      <c r="BZ934">
        <v>172</v>
      </c>
      <c r="CA934">
        <v>3801</v>
      </c>
      <c r="CB934">
        <v>0</v>
      </c>
      <c r="CC934">
        <v>143.89500000000001</v>
      </c>
      <c r="CD934">
        <v>0</v>
      </c>
      <c r="CE934">
        <v>1001</v>
      </c>
      <c r="CF934">
        <v>1361.915</v>
      </c>
      <c r="CG934">
        <v>0</v>
      </c>
      <c r="CH934">
        <v>0.33600000000000002</v>
      </c>
      <c r="CI934">
        <v>9</v>
      </c>
      <c r="CJ934">
        <v>80</v>
      </c>
      <c r="CK934">
        <v>1</v>
      </c>
      <c r="CL934">
        <v>0.33600000000000002</v>
      </c>
      <c r="CM934">
        <v>537.68500000000006</v>
      </c>
      <c r="CN934">
        <v>0</v>
      </c>
      <c r="CO934">
        <v>0</v>
      </c>
      <c r="CP934">
        <v>0</v>
      </c>
      <c r="CQ934">
        <v>0</v>
      </c>
      <c r="CR934">
        <v>0</v>
      </c>
      <c r="CS934">
        <v>0</v>
      </c>
      <c r="CT934">
        <v>0</v>
      </c>
      <c r="CU934">
        <v>158.77100000000002</v>
      </c>
      <c r="CV934">
        <v>551.74800000000005</v>
      </c>
      <c r="CW934">
        <v>333.26500000000004</v>
      </c>
      <c r="CX934">
        <v>0</v>
      </c>
      <c r="CY934" s="2043">
        <v>0</v>
      </c>
      <c r="CZ934" s="2043">
        <v>0</v>
      </c>
      <c r="DA934" s="2043">
        <v>0</v>
      </c>
      <c r="DB934" s="2043">
        <v>0</v>
      </c>
      <c r="DC934" s="2043">
        <v>1151417</v>
      </c>
      <c r="DI934" t="s">
        <v>3172</v>
      </c>
      <c r="DJ934" t="s">
        <v>3172</v>
      </c>
      <c r="DK934" s="2042">
        <f t="shared" si="16"/>
        <v>0</v>
      </c>
    </row>
    <row r="935" spans="1:115">
      <c r="A935" t="s">
        <v>3173</v>
      </c>
      <c r="B935" t="s">
        <v>2395</v>
      </c>
      <c r="C935">
        <v>1010.2750000000001</v>
      </c>
      <c r="D935">
        <v>993.38200000000006</v>
      </c>
      <c r="E935">
        <v>29.916</v>
      </c>
      <c r="F935">
        <v>0</v>
      </c>
      <c r="G935" s="2043">
        <v>532782243</v>
      </c>
      <c r="H935">
        <v>0</v>
      </c>
      <c r="I935" s="2043">
        <v>1342062</v>
      </c>
      <c r="J935">
        <v>50.514000000000003</v>
      </c>
      <c r="K935">
        <v>138</v>
      </c>
      <c r="L935">
        <v>0</v>
      </c>
      <c r="M935">
        <v>360568</v>
      </c>
      <c r="N935">
        <v>0</v>
      </c>
      <c r="O935">
        <v>360568</v>
      </c>
      <c r="P935">
        <v>0</v>
      </c>
      <c r="Q935">
        <v>0</v>
      </c>
      <c r="R935" s="2043">
        <v>4393805</v>
      </c>
      <c r="S935">
        <v>427621</v>
      </c>
      <c r="T935">
        <v>311629</v>
      </c>
      <c r="U935">
        <v>0.08</v>
      </c>
      <c r="V935">
        <v>0</v>
      </c>
      <c r="W935">
        <v>0</v>
      </c>
      <c r="X935">
        <v>0</v>
      </c>
      <c r="Y935">
        <v>0</v>
      </c>
      <c r="Z935">
        <v>0</v>
      </c>
      <c r="AA935">
        <v>0</v>
      </c>
      <c r="AB935">
        <v>989.1880000000001</v>
      </c>
      <c r="AC935" s="2043">
        <v>383901279</v>
      </c>
      <c r="AD935">
        <v>1682840</v>
      </c>
      <c r="AE935" s="2043">
        <v>5133055</v>
      </c>
      <c r="AF935">
        <v>0.96030000000000004</v>
      </c>
      <c r="AG935">
        <v>0</v>
      </c>
      <c r="AH935">
        <v>0</v>
      </c>
      <c r="AI935">
        <v>0</v>
      </c>
      <c r="AJ935">
        <v>117.575</v>
      </c>
      <c r="AK935">
        <v>4514</v>
      </c>
      <c r="AL935">
        <v>3.0000000000000001E-3</v>
      </c>
      <c r="AM935">
        <v>0</v>
      </c>
      <c r="AN935">
        <v>50.699000000000005</v>
      </c>
      <c r="AO935">
        <v>0</v>
      </c>
      <c r="AP935">
        <v>0</v>
      </c>
      <c r="AQ935">
        <v>0</v>
      </c>
      <c r="AR935">
        <v>23.541</v>
      </c>
      <c r="AS935">
        <v>0</v>
      </c>
      <c r="AT935">
        <v>4.8620000000000001</v>
      </c>
      <c r="AU935">
        <v>1.8490000000000002</v>
      </c>
      <c r="AV935">
        <v>0</v>
      </c>
      <c r="AW935">
        <v>30.255000000000003</v>
      </c>
      <c r="AX935">
        <v>0</v>
      </c>
      <c r="AY935">
        <v>94.469000000000008</v>
      </c>
      <c r="AZ935">
        <v>0</v>
      </c>
      <c r="BA935">
        <v>7397040</v>
      </c>
      <c r="BB935">
        <v>6815895</v>
      </c>
      <c r="BC935">
        <v>0</v>
      </c>
      <c r="BD935">
        <v>89936</v>
      </c>
      <c r="BE935">
        <v>11785</v>
      </c>
      <c r="BF935">
        <v>101721</v>
      </c>
      <c r="BG935">
        <v>89936</v>
      </c>
      <c r="BH935">
        <v>0</v>
      </c>
      <c r="BI935">
        <v>0</v>
      </c>
      <c r="BJ935">
        <v>0</v>
      </c>
      <c r="BK935">
        <v>0</v>
      </c>
      <c r="BL935">
        <v>532782243</v>
      </c>
      <c r="BM935">
        <v>0</v>
      </c>
      <c r="BN935">
        <v>3690</v>
      </c>
      <c r="BO935">
        <v>3050</v>
      </c>
      <c r="BP935">
        <v>0</v>
      </c>
      <c r="BQ935">
        <v>0</v>
      </c>
      <c r="BR935">
        <v>0.82200000000000006</v>
      </c>
      <c r="BS935">
        <v>0.82200000000000006</v>
      </c>
      <c r="BT935">
        <v>0</v>
      </c>
      <c r="BU935">
        <v>0</v>
      </c>
      <c r="BV935">
        <v>298</v>
      </c>
      <c r="BW935">
        <v>157</v>
      </c>
      <c r="BX935">
        <v>27</v>
      </c>
      <c r="BY935">
        <v>9</v>
      </c>
      <c r="BZ935">
        <v>15</v>
      </c>
      <c r="CA935">
        <v>506</v>
      </c>
      <c r="CB935">
        <v>0</v>
      </c>
      <c r="CC935">
        <v>0</v>
      </c>
      <c r="CD935">
        <v>0</v>
      </c>
      <c r="CE935">
        <v>105</v>
      </c>
      <c r="CF935">
        <v>142.124</v>
      </c>
      <c r="CG935">
        <v>0</v>
      </c>
      <c r="CH935">
        <v>0</v>
      </c>
      <c r="CI935">
        <v>9</v>
      </c>
      <c r="CJ935">
        <v>11</v>
      </c>
      <c r="CK935">
        <v>1</v>
      </c>
      <c r="CL935">
        <v>0</v>
      </c>
      <c r="CM935">
        <v>29.916</v>
      </c>
      <c r="CN935">
        <v>0</v>
      </c>
      <c r="CO935">
        <v>0</v>
      </c>
      <c r="CP935">
        <v>0</v>
      </c>
      <c r="CQ935">
        <v>0</v>
      </c>
      <c r="CR935">
        <v>0</v>
      </c>
      <c r="CS935">
        <v>0</v>
      </c>
      <c r="CT935">
        <v>0</v>
      </c>
      <c r="CU935">
        <v>25.886000000000003</v>
      </c>
      <c r="CV935">
        <v>62.555</v>
      </c>
      <c r="CW935">
        <v>52.92</v>
      </c>
      <c r="CX935">
        <v>0</v>
      </c>
      <c r="CY935" s="2043">
        <v>0</v>
      </c>
      <c r="CZ935" s="2043">
        <v>0</v>
      </c>
      <c r="DA935" s="2043">
        <v>0</v>
      </c>
      <c r="DB935" s="2043">
        <v>0</v>
      </c>
      <c r="DC935" s="2043">
        <v>0</v>
      </c>
      <c r="DI935" t="s">
        <v>3173</v>
      </c>
      <c r="DJ935" t="s">
        <v>3173</v>
      </c>
      <c r="DK935" s="2042">
        <f t="shared" si="16"/>
        <v>0</v>
      </c>
    </row>
    <row r="936" spans="1:115">
      <c r="A936" t="s">
        <v>5218</v>
      </c>
      <c r="B936" t="s">
        <v>1307</v>
      </c>
      <c r="C936">
        <v>7015.9690000000001</v>
      </c>
      <c r="D936">
        <v>6510.2550000000001</v>
      </c>
      <c r="E936">
        <v>181.39500000000001</v>
      </c>
      <c r="F936">
        <v>0</v>
      </c>
      <c r="G936" s="2043">
        <v>4758417033</v>
      </c>
      <c r="H936">
        <v>-348259</v>
      </c>
      <c r="I936" s="2043">
        <v>18249839</v>
      </c>
      <c r="J936">
        <v>350.798</v>
      </c>
      <c r="K936">
        <v>959</v>
      </c>
      <c r="L936">
        <v>0</v>
      </c>
      <c r="M936">
        <v>0</v>
      </c>
      <c r="N936">
        <v>0</v>
      </c>
      <c r="O936">
        <v>0</v>
      </c>
      <c r="P936">
        <v>0</v>
      </c>
      <c r="Q936">
        <v>0</v>
      </c>
      <c r="R936" s="2043">
        <v>39569240</v>
      </c>
      <c r="S936">
        <v>3815742</v>
      </c>
      <c r="T936">
        <v>2780721</v>
      </c>
      <c r="U936">
        <v>0.08</v>
      </c>
      <c r="V936">
        <v>733.82500000000005</v>
      </c>
      <c r="W936">
        <v>0</v>
      </c>
      <c r="X936">
        <v>348259</v>
      </c>
      <c r="Y936">
        <v>1352380</v>
      </c>
      <c r="Z936">
        <v>0</v>
      </c>
      <c r="AA936">
        <v>0</v>
      </c>
      <c r="AB936">
        <v>6466.0780000000004</v>
      </c>
      <c r="AC936" s="2043">
        <v>3649195777</v>
      </c>
      <c r="AD936">
        <v>20245601</v>
      </c>
      <c r="AE936" s="2043">
        <v>46165703</v>
      </c>
      <c r="AF936">
        <v>0.96790000000000009</v>
      </c>
      <c r="AG936">
        <v>0</v>
      </c>
      <c r="AH936">
        <v>348259</v>
      </c>
      <c r="AI936">
        <v>0</v>
      </c>
      <c r="AJ936">
        <v>220.33800000000002</v>
      </c>
      <c r="AK936">
        <v>17508</v>
      </c>
      <c r="AL936">
        <v>0.307</v>
      </c>
      <c r="AM936">
        <v>0</v>
      </c>
      <c r="AN936">
        <v>166.39500000000001</v>
      </c>
      <c r="AO936">
        <v>0.3</v>
      </c>
      <c r="AP936">
        <v>1.119</v>
      </c>
      <c r="AQ936">
        <v>0</v>
      </c>
      <c r="AR936">
        <v>135.55199999999999</v>
      </c>
      <c r="AS936">
        <v>0</v>
      </c>
      <c r="AT936">
        <v>30.162000000000003</v>
      </c>
      <c r="AU936">
        <v>14.141</v>
      </c>
      <c r="AV936">
        <v>0</v>
      </c>
      <c r="AW936">
        <v>185.09700000000001</v>
      </c>
      <c r="AX936">
        <v>3.8160000000000003</v>
      </c>
      <c r="AY936">
        <v>581.18000000000006</v>
      </c>
      <c r="AZ936">
        <v>0</v>
      </c>
      <c r="BA936">
        <v>18122725</v>
      </c>
      <c r="BB936">
        <v>66411304</v>
      </c>
      <c r="BC936">
        <v>0</v>
      </c>
      <c r="BD936">
        <v>453181</v>
      </c>
      <c r="BE936">
        <v>178034</v>
      </c>
      <c r="BF936">
        <v>647547</v>
      </c>
      <c r="BG936">
        <v>453181</v>
      </c>
      <c r="BH936">
        <v>16332</v>
      </c>
      <c r="BI936">
        <v>0</v>
      </c>
      <c r="BJ936">
        <v>0</v>
      </c>
      <c r="BK936">
        <v>0</v>
      </c>
      <c r="BL936">
        <v>4758417033</v>
      </c>
      <c r="BM936">
        <v>0</v>
      </c>
      <c r="BN936">
        <v>22734</v>
      </c>
      <c r="BO936">
        <v>7800</v>
      </c>
      <c r="BP936">
        <v>0</v>
      </c>
      <c r="BQ936">
        <v>0</v>
      </c>
      <c r="BR936">
        <v>0.8296</v>
      </c>
      <c r="BS936">
        <v>0.8296</v>
      </c>
      <c r="BT936">
        <v>1700640</v>
      </c>
      <c r="BU936">
        <v>0</v>
      </c>
      <c r="BV936">
        <v>929</v>
      </c>
      <c r="BW936">
        <v>10</v>
      </c>
      <c r="BX936">
        <v>5</v>
      </c>
      <c r="BY936">
        <v>1</v>
      </c>
      <c r="BZ936">
        <v>27</v>
      </c>
      <c r="CA936">
        <v>972</v>
      </c>
      <c r="CB936">
        <v>0</v>
      </c>
      <c r="CC936">
        <v>0</v>
      </c>
      <c r="CD936">
        <v>0</v>
      </c>
      <c r="CE936">
        <v>699</v>
      </c>
      <c r="CF936">
        <v>339.09800000000001</v>
      </c>
      <c r="CG936">
        <v>0</v>
      </c>
      <c r="CH936">
        <v>0</v>
      </c>
      <c r="CI936">
        <v>5</v>
      </c>
      <c r="CJ936">
        <v>160</v>
      </c>
      <c r="CK936">
        <v>1</v>
      </c>
      <c r="CL936">
        <v>0</v>
      </c>
      <c r="CM936">
        <v>181.39500000000001</v>
      </c>
      <c r="CN936">
        <v>0</v>
      </c>
      <c r="CO936">
        <v>0</v>
      </c>
      <c r="CP936">
        <v>0</v>
      </c>
      <c r="CQ936">
        <v>0</v>
      </c>
      <c r="CR936">
        <v>0</v>
      </c>
      <c r="CS936">
        <v>0</v>
      </c>
      <c r="CT936">
        <v>0</v>
      </c>
      <c r="CU936">
        <v>25.609000000000002</v>
      </c>
      <c r="CV936">
        <v>269.226</v>
      </c>
      <c r="CW936">
        <v>182.458</v>
      </c>
      <c r="CX936">
        <v>1700640</v>
      </c>
      <c r="CY936" s="2043">
        <v>0</v>
      </c>
      <c r="CZ936" s="2043">
        <v>0</v>
      </c>
      <c r="DA936" s="2043">
        <v>0</v>
      </c>
      <c r="DB936" s="2043">
        <v>0</v>
      </c>
      <c r="DC936" s="2043">
        <v>855100</v>
      </c>
      <c r="DI936" t="s">
        <v>5218</v>
      </c>
      <c r="DJ936" t="s">
        <v>5218</v>
      </c>
      <c r="DK936" s="2042">
        <f t="shared" si="16"/>
        <v>0</v>
      </c>
    </row>
    <row r="937" spans="1:115">
      <c r="A937" t="s">
        <v>3174</v>
      </c>
      <c r="B937" t="s">
        <v>194</v>
      </c>
      <c r="C937">
        <v>1544.691</v>
      </c>
      <c r="D937">
        <v>1342.249</v>
      </c>
      <c r="E937">
        <v>39.86</v>
      </c>
      <c r="F937">
        <v>0</v>
      </c>
      <c r="G937" s="2043">
        <v>565430188</v>
      </c>
      <c r="H937">
        <v>0</v>
      </c>
      <c r="I937" s="2043">
        <v>1797948</v>
      </c>
      <c r="J937">
        <v>77.234999999999999</v>
      </c>
      <c r="K937">
        <v>211</v>
      </c>
      <c r="L937">
        <v>0</v>
      </c>
      <c r="M937">
        <v>632398</v>
      </c>
      <c r="N937">
        <v>0</v>
      </c>
      <c r="O937">
        <v>632398</v>
      </c>
      <c r="P937">
        <v>0</v>
      </c>
      <c r="Q937">
        <v>0</v>
      </c>
      <c r="R937" s="2043">
        <v>4617319</v>
      </c>
      <c r="S937">
        <v>280859</v>
      </c>
      <c r="T937">
        <v>0</v>
      </c>
      <c r="U937">
        <v>0.05</v>
      </c>
      <c r="V937">
        <v>0</v>
      </c>
      <c r="W937">
        <v>0</v>
      </c>
      <c r="X937">
        <v>0</v>
      </c>
      <c r="Y937">
        <v>740640</v>
      </c>
      <c r="Z937">
        <v>0</v>
      </c>
      <c r="AA937">
        <v>0</v>
      </c>
      <c r="AB937">
        <v>1329.229</v>
      </c>
      <c r="AC937" s="2043">
        <v>361269401</v>
      </c>
      <c r="AD937">
        <v>2795276</v>
      </c>
      <c r="AE937" s="2043">
        <v>4898178</v>
      </c>
      <c r="AF937">
        <v>0.872</v>
      </c>
      <c r="AG937">
        <v>0</v>
      </c>
      <c r="AH937">
        <v>0</v>
      </c>
      <c r="AI937">
        <v>0</v>
      </c>
      <c r="AJ937">
        <v>102.05</v>
      </c>
      <c r="AK937">
        <v>3167</v>
      </c>
      <c r="AL937">
        <v>0</v>
      </c>
      <c r="AM937">
        <v>0</v>
      </c>
      <c r="AN937">
        <v>56.072000000000003</v>
      </c>
      <c r="AO937">
        <v>0</v>
      </c>
      <c r="AP937">
        <v>0</v>
      </c>
      <c r="AQ937">
        <v>0</v>
      </c>
      <c r="AR937">
        <v>15.139000000000001</v>
      </c>
      <c r="AS937">
        <v>0</v>
      </c>
      <c r="AT937">
        <v>3.0260000000000002</v>
      </c>
      <c r="AU937">
        <v>1.8760000000000001</v>
      </c>
      <c r="AV937">
        <v>0</v>
      </c>
      <c r="AW937">
        <v>20.041</v>
      </c>
      <c r="AX937">
        <v>0</v>
      </c>
      <c r="AY937">
        <v>63.875</v>
      </c>
      <c r="AZ937">
        <v>0</v>
      </c>
      <c r="BA937">
        <v>9327545</v>
      </c>
      <c r="BB937">
        <v>7693454</v>
      </c>
      <c r="BC937">
        <v>0</v>
      </c>
      <c r="BD937">
        <v>75492</v>
      </c>
      <c r="BE937">
        <v>17896</v>
      </c>
      <c r="BF937">
        <v>93388</v>
      </c>
      <c r="BG937">
        <v>75492</v>
      </c>
      <c r="BH937">
        <v>0</v>
      </c>
      <c r="BI937">
        <v>0</v>
      </c>
      <c r="BJ937">
        <v>0</v>
      </c>
      <c r="BK937">
        <v>0</v>
      </c>
      <c r="BL937">
        <v>565430188</v>
      </c>
      <c r="BM937">
        <v>0</v>
      </c>
      <c r="BN937">
        <v>5148</v>
      </c>
      <c r="BO937">
        <v>3135</v>
      </c>
      <c r="BP937">
        <v>0</v>
      </c>
      <c r="BQ937">
        <v>0</v>
      </c>
      <c r="BR937">
        <v>0.82200000000000006</v>
      </c>
      <c r="BS937">
        <v>0.82200000000000006</v>
      </c>
      <c r="BT937">
        <v>740640</v>
      </c>
      <c r="BU937">
        <v>0</v>
      </c>
      <c r="BV937">
        <v>77</v>
      </c>
      <c r="BW937">
        <v>43</v>
      </c>
      <c r="BX937">
        <v>285</v>
      </c>
      <c r="BY937">
        <v>3</v>
      </c>
      <c r="BZ937">
        <v>9</v>
      </c>
      <c r="CA937">
        <v>417</v>
      </c>
      <c r="CB937">
        <v>0</v>
      </c>
      <c r="CC937">
        <v>0</v>
      </c>
      <c r="CD937">
        <v>0</v>
      </c>
      <c r="CE937">
        <v>94</v>
      </c>
      <c r="CF937">
        <v>142.34399999999999</v>
      </c>
      <c r="CG937">
        <v>0</v>
      </c>
      <c r="CH937">
        <v>0</v>
      </c>
      <c r="CI937">
        <v>2</v>
      </c>
      <c r="CJ937">
        <v>12</v>
      </c>
      <c r="CK937">
        <v>0</v>
      </c>
      <c r="CL937">
        <v>0</v>
      </c>
      <c r="CM937">
        <v>39.86</v>
      </c>
      <c r="CN937">
        <v>0</v>
      </c>
      <c r="CO937">
        <v>0</v>
      </c>
      <c r="CP937">
        <v>0</v>
      </c>
      <c r="CQ937">
        <v>0</v>
      </c>
      <c r="CR937">
        <v>0</v>
      </c>
      <c r="CS937">
        <v>0</v>
      </c>
      <c r="CT937">
        <v>0</v>
      </c>
      <c r="CU937">
        <v>6.633</v>
      </c>
      <c r="CV937">
        <v>68.052000000000007</v>
      </c>
      <c r="CW937">
        <v>28.14</v>
      </c>
      <c r="CX937">
        <v>740640</v>
      </c>
      <c r="CY937" s="2043">
        <v>0</v>
      </c>
      <c r="CZ937" s="2043">
        <v>0</v>
      </c>
      <c r="DA937" s="2043">
        <v>0</v>
      </c>
      <c r="DB937" s="2043">
        <v>0</v>
      </c>
      <c r="DC937" s="2043">
        <v>0</v>
      </c>
      <c r="DI937" t="s">
        <v>3174</v>
      </c>
      <c r="DJ937" t="s">
        <v>3174</v>
      </c>
      <c r="DK937" s="2042">
        <f t="shared" si="16"/>
        <v>0</v>
      </c>
    </row>
    <row r="938" spans="1:115">
      <c r="A938" t="s">
        <v>3175</v>
      </c>
      <c r="B938" t="s">
        <v>1773</v>
      </c>
      <c r="C938">
        <v>1914.5360000000001</v>
      </c>
      <c r="D938">
        <v>1676.894</v>
      </c>
      <c r="E938">
        <v>30.804000000000002</v>
      </c>
      <c r="F938">
        <v>0</v>
      </c>
      <c r="G938" s="2043">
        <v>1001010958</v>
      </c>
      <c r="H938">
        <v>0</v>
      </c>
      <c r="I938" s="2043">
        <v>4160744</v>
      </c>
      <c r="J938">
        <v>95.727000000000004</v>
      </c>
      <c r="K938">
        <v>262</v>
      </c>
      <c r="L938">
        <v>0</v>
      </c>
      <c r="M938">
        <v>61208</v>
      </c>
      <c r="N938">
        <v>0</v>
      </c>
      <c r="O938">
        <v>61208</v>
      </c>
      <c r="P938">
        <v>0</v>
      </c>
      <c r="Q938">
        <v>0</v>
      </c>
      <c r="R938" s="2043">
        <v>8345829</v>
      </c>
      <c r="S938">
        <v>812246</v>
      </c>
      <c r="T938">
        <v>591925</v>
      </c>
      <c r="U938">
        <v>0.08</v>
      </c>
      <c r="V938">
        <v>0</v>
      </c>
      <c r="W938">
        <v>0</v>
      </c>
      <c r="X938">
        <v>0</v>
      </c>
      <c r="Y938">
        <v>397444</v>
      </c>
      <c r="Z938">
        <v>0</v>
      </c>
      <c r="AA938">
        <v>0</v>
      </c>
      <c r="AB938">
        <v>1676.894</v>
      </c>
      <c r="AC938" s="2043">
        <v>680797024</v>
      </c>
      <c r="AD938">
        <v>4350000</v>
      </c>
      <c r="AE938" s="2043">
        <v>9750000</v>
      </c>
      <c r="AF938">
        <v>0.96030000000000004</v>
      </c>
      <c r="AG938">
        <v>0</v>
      </c>
      <c r="AH938">
        <v>0</v>
      </c>
      <c r="AI938">
        <v>0</v>
      </c>
      <c r="AJ938">
        <v>31.138000000000002</v>
      </c>
      <c r="AK938">
        <v>4305</v>
      </c>
      <c r="AL938">
        <v>6.0000000000000001E-3</v>
      </c>
      <c r="AM938">
        <v>0</v>
      </c>
      <c r="AN938">
        <v>17.504000000000001</v>
      </c>
      <c r="AO938">
        <v>0</v>
      </c>
      <c r="AP938">
        <v>0</v>
      </c>
      <c r="AQ938">
        <v>0</v>
      </c>
      <c r="AR938">
        <v>42.210999999999999</v>
      </c>
      <c r="AS938">
        <v>0</v>
      </c>
      <c r="AT938">
        <v>3.6980000000000004</v>
      </c>
      <c r="AU938">
        <v>3.5460000000000003</v>
      </c>
      <c r="AV938">
        <v>0</v>
      </c>
      <c r="AW938">
        <v>49.461000000000006</v>
      </c>
      <c r="AX938">
        <v>0</v>
      </c>
      <c r="AY938">
        <v>155.48699999999999</v>
      </c>
      <c r="AZ938">
        <v>0</v>
      </c>
      <c r="BA938">
        <v>8379611</v>
      </c>
      <c r="BB938">
        <v>14100000</v>
      </c>
      <c r="BC938">
        <v>0</v>
      </c>
      <c r="BD938">
        <v>132940</v>
      </c>
      <c r="BE938">
        <v>23269</v>
      </c>
      <c r="BF938">
        <v>156209</v>
      </c>
      <c r="BG938">
        <v>132940</v>
      </c>
      <c r="BH938">
        <v>0</v>
      </c>
      <c r="BI938">
        <v>0</v>
      </c>
      <c r="BJ938">
        <v>0</v>
      </c>
      <c r="BK938">
        <v>0</v>
      </c>
      <c r="BL938">
        <v>1001010958</v>
      </c>
      <c r="BM938">
        <v>0</v>
      </c>
      <c r="BN938">
        <v>5310</v>
      </c>
      <c r="BO938">
        <v>3542</v>
      </c>
      <c r="BP938">
        <v>0</v>
      </c>
      <c r="BQ938">
        <v>0</v>
      </c>
      <c r="BR938">
        <v>0.82200000000000006</v>
      </c>
      <c r="BS938">
        <v>0.82200000000000006</v>
      </c>
      <c r="BT938">
        <v>397444</v>
      </c>
      <c r="BU938">
        <v>0</v>
      </c>
      <c r="BV938">
        <v>93</v>
      </c>
      <c r="BW938">
        <v>43</v>
      </c>
      <c r="BX938">
        <v>0</v>
      </c>
      <c r="BY938">
        <v>0</v>
      </c>
      <c r="BZ938">
        <v>0</v>
      </c>
      <c r="CA938">
        <v>136</v>
      </c>
      <c r="CB938">
        <v>0</v>
      </c>
      <c r="CC938">
        <v>0</v>
      </c>
      <c r="CD938">
        <v>0</v>
      </c>
      <c r="CE938">
        <v>85</v>
      </c>
      <c r="CF938">
        <v>92.227000000000004</v>
      </c>
      <c r="CG938">
        <v>0</v>
      </c>
      <c r="CH938">
        <v>0</v>
      </c>
      <c r="CI938">
        <v>3</v>
      </c>
      <c r="CJ938">
        <v>67</v>
      </c>
      <c r="CK938">
        <v>0</v>
      </c>
      <c r="CL938">
        <v>0</v>
      </c>
      <c r="CM938">
        <v>30.804000000000002</v>
      </c>
      <c r="CN938">
        <v>0</v>
      </c>
      <c r="CO938">
        <v>0</v>
      </c>
      <c r="CP938">
        <v>0</v>
      </c>
      <c r="CQ938">
        <v>0</v>
      </c>
      <c r="CR938">
        <v>0</v>
      </c>
      <c r="CS938">
        <v>0</v>
      </c>
      <c r="CT938">
        <v>0</v>
      </c>
      <c r="CU938">
        <v>0.64100000000000001</v>
      </c>
      <c r="CV938">
        <v>113.369</v>
      </c>
      <c r="CW938">
        <v>44.864000000000004</v>
      </c>
      <c r="CX938">
        <v>397444</v>
      </c>
      <c r="CY938" s="2043">
        <v>0</v>
      </c>
      <c r="CZ938" s="2043">
        <v>0</v>
      </c>
      <c r="DA938" s="2043">
        <v>0</v>
      </c>
      <c r="DB938" s="2043">
        <v>0</v>
      </c>
      <c r="DC938" s="2043">
        <v>0</v>
      </c>
      <c r="DI938" t="s">
        <v>3175</v>
      </c>
      <c r="DJ938" t="s">
        <v>3175</v>
      </c>
      <c r="DK938" s="2042">
        <f t="shared" si="16"/>
        <v>0</v>
      </c>
    </row>
    <row r="939" spans="1:115">
      <c r="A939" t="s">
        <v>5219</v>
      </c>
      <c r="B939" t="s">
        <v>1542</v>
      </c>
      <c r="C939">
        <v>229.89400000000001</v>
      </c>
      <c r="D939">
        <v>199.86700000000002</v>
      </c>
      <c r="E939">
        <v>10.256</v>
      </c>
      <c r="F939">
        <v>0</v>
      </c>
      <c r="G939" s="2043">
        <v>247787905</v>
      </c>
      <c r="H939">
        <v>0</v>
      </c>
      <c r="I939" s="2043">
        <v>159525</v>
      </c>
      <c r="J939">
        <v>11.495000000000001</v>
      </c>
      <c r="K939">
        <v>31</v>
      </c>
      <c r="L939">
        <v>0</v>
      </c>
      <c r="M939">
        <v>0</v>
      </c>
      <c r="N939">
        <v>0</v>
      </c>
      <c r="O939">
        <v>0</v>
      </c>
      <c r="P939">
        <v>0</v>
      </c>
      <c r="Q939">
        <v>0</v>
      </c>
      <c r="R939" s="2043">
        <v>1997919</v>
      </c>
      <c r="S939">
        <v>121528</v>
      </c>
      <c r="T939">
        <v>0</v>
      </c>
      <c r="U939">
        <v>0.05</v>
      </c>
      <c r="V939">
        <v>0</v>
      </c>
      <c r="W939">
        <v>0</v>
      </c>
      <c r="X939">
        <v>0</v>
      </c>
      <c r="Y939">
        <v>0</v>
      </c>
      <c r="Z939">
        <v>0</v>
      </c>
      <c r="AA939">
        <v>0</v>
      </c>
      <c r="AB939">
        <v>199.86700000000002</v>
      </c>
      <c r="AC939" s="2043">
        <v>184158803</v>
      </c>
      <c r="AD939">
        <v>155975</v>
      </c>
      <c r="AE939" s="2043">
        <v>2119447</v>
      </c>
      <c r="AF939">
        <v>0.872</v>
      </c>
      <c r="AG939">
        <v>0</v>
      </c>
      <c r="AH939">
        <v>0</v>
      </c>
      <c r="AI939">
        <v>0</v>
      </c>
      <c r="AJ939">
        <v>31.225000000000001</v>
      </c>
      <c r="AK939">
        <v>2023</v>
      </c>
      <c r="AL939">
        <v>8.3000000000000004E-2</v>
      </c>
      <c r="AM939">
        <v>0</v>
      </c>
      <c r="AN939">
        <v>8.3450000000000006</v>
      </c>
      <c r="AO939">
        <v>0</v>
      </c>
      <c r="AP939">
        <v>0</v>
      </c>
      <c r="AQ939">
        <v>0</v>
      </c>
      <c r="AR939">
        <v>13.138</v>
      </c>
      <c r="AS939">
        <v>0</v>
      </c>
      <c r="AT939">
        <v>1.25</v>
      </c>
      <c r="AU939">
        <v>0.79</v>
      </c>
      <c r="AV939">
        <v>0</v>
      </c>
      <c r="AW939">
        <v>15.261000000000001</v>
      </c>
      <c r="AX939">
        <v>0</v>
      </c>
      <c r="AY939">
        <v>47.529000000000003</v>
      </c>
      <c r="AZ939">
        <v>0</v>
      </c>
      <c r="BA939">
        <v>1028462</v>
      </c>
      <c r="BB939">
        <v>2275422</v>
      </c>
      <c r="BC939">
        <v>0</v>
      </c>
      <c r="BD939">
        <v>31525</v>
      </c>
      <c r="BE939">
        <v>0</v>
      </c>
      <c r="BF939">
        <v>31525</v>
      </c>
      <c r="BG939">
        <v>31525</v>
      </c>
      <c r="BH939">
        <v>0</v>
      </c>
      <c r="BI939">
        <v>0</v>
      </c>
      <c r="BJ939">
        <v>0</v>
      </c>
      <c r="BK939">
        <v>0</v>
      </c>
      <c r="BL939">
        <v>247787905</v>
      </c>
      <c r="BM939">
        <v>0</v>
      </c>
      <c r="BN939">
        <v>0</v>
      </c>
      <c r="BO939">
        <v>0</v>
      </c>
      <c r="BP939">
        <v>0</v>
      </c>
      <c r="BQ939">
        <v>0</v>
      </c>
      <c r="BR939">
        <v>0.82200000000000006</v>
      </c>
      <c r="BS939">
        <v>0.82200000000000006</v>
      </c>
      <c r="BT939">
        <v>0</v>
      </c>
      <c r="BU939">
        <v>0</v>
      </c>
      <c r="BV939">
        <v>93</v>
      </c>
      <c r="BW939">
        <v>18</v>
      </c>
      <c r="BX939">
        <v>8</v>
      </c>
      <c r="BY939">
        <v>8</v>
      </c>
      <c r="BZ939">
        <v>7</v>
      </c>
      <c r="CA939">
        <v>134</v>
      </c>
      <c r="CB939">
        <v>0</v>
      </c>
      <c r="CC939">
        <v>0</v>
      </c>
      <c r="CD939">
        <v>0</v>
      </c>
      <c r="CE939">
        <v>26</v>
      </c>
      <c r="CF939">
        <v>58.803000000000004</v>
      </c>
      <c r="CG939">
        <v>0</v>
      </c>
      <c r="CH939">
        <v>0</v>
      </c>
      <c r="CI939">
        <v>0</v>
      </c>
      <c r="CJ939">
        <v>0</v>
      </c>
      <c r="CK939">
        <v>0</v>
      </c>
      <c r="CL939">
        <v>0</v>
      </c>
      <c r="CM939">
        <v>10.256</v>
      </c>
      <c r="CN939">
        <v>0</v>
      </c>
      <c r="CO939">
        <v>0</v>
      </c>
      <c r="CP939">
        <v>0</v>
      </c>
      <c r="CQ939">
        <v>0</v>
      </c>
      <c r="CR939">
        <v>0</v>
      </c>
      <c r="CS939">
        <v>0</v>
      </c>
      <c r="CT939">
        <v>0</v>
      </c>
      <c r="CU939">
        <v>8.2780000000000005</v>
      </c>
      <c r="CV939">
        <v>14.555000000000001</v>
      </c>
      <c r="CW939">
        <v>0.54200000000000004</v>
      </c>
      <c r="CX939">
        <v>0</v>
      </c>
      <c r="CY939" s="2043">
        <v>0</v>
      </c>
      <c r="CZ939" s="2043">
        <v>0</v>
      </c>
      <c r="DA939" s="2043">
        <v>0</v>
      </c>
      <c r="DB939" s="2043">
        <v>0</v>
      </c>
      <c r="DC939" s="2043">
        <v>43831</v>
      </c>
      <c r="DI939" t="s">
        <v>5219</v>
      </c>
      <c r="DJ939" t="s">
        <v>5219</v>
      </c>
      <c r="DK939" s="2042">
        <f t="shared" si="16"/>
        <v>0</v>
      </c>
    </row>
    <row r="940" spans="1:115">
      <c r="A940" t="s">
        <v>5862</v>
      </c>
      <c r="B940" t="s">
        <v>1543</v>
      </c>
      <c r="C940">
        <v>423.63300000000004</v>
      </c>
      <c r="D940">
        <v>425.29500000000002</v>
      </c>
      <c r="E940">
        <v>115.277</v>
      </c>
      <c r="F940">
        <v>48170</v>
      </c>
      <c r="G940" s="2043">
        <v>115448367</v>
      </c>
      <c r="H940">
        <v>0</v>
      </c>
      <c r="I940" s="2043">
        <v>0</v>
      </c>
      <c r="J940">
        <v>21.182000000000002</v>
      </c>
      <c r="K940">
        <v>58</v>
      </c>
      <c r="L940">
        <v>0</v>
      </c>
      <c r="M940">
        <v>0</v>
      </c>
      <c r="N940">
        <v>0</v>
      </c>
      <c r="O940">
        <v>0</v>
      </c>
      <c r="P940">
        <v>0</v>
      </c>
      <c r="Q940">
        <v>0</v>
      </c>
      <c r="R940" s="2043">
        <v>1047530</v>
      </c>
      <c r="S940">
        <v>57342</v>
      </c>
      <c r="T940">
        <v>0</v>
      </c>
      <c r="U940">
        <v>0.05</v>
      </c>
      <c r="V940">
        <v>0</v>
      </c>
      <c r="W940">
        <v>0</v>
      </c>
      <c r="X940">
        <v>0</v>
      </c>
      <c r="Y940">
        <v>48170</v>
      </c>
      <c r="Z940">
        <v>0</v>
      </c>
      <c r="AA940">
        <v>0</v>
      </c>
      <c r="AB940">
        <v>425.29500000000002</v>
      </c>
      <c r="AC940" s="2043">
        <v>115986047</v>
      </c>
      <c r="AD940">
        <v>0</v>
      </c>
      <c r="AE940" s="2043">
        <v>1104872</v>
      </c>
      <c r="AF940">
        <v>0.96340000000000003</v>
      </c>
      <c r="AG940">
        <v>0</v>
      </c>
      <c r="AH940">
        <v>0</v>
      </c>
      <c r="AI940">
        <v>0</v>
      </c>
      <c r="AJ940">
        <v>100.03800000000001</v>
      </c>
      <c r="AK940">
        <v>2691</v>
      </c>
      <c r="AL940">
        <v>0</v>
      </c>
      <c r="AM940">
        <v>0</v>
      </c>
      <c r="AN940">
        <v>29.531000000000002</v>
      </c>
      <c r="AO940">
        <v>0</v>
      </c>
      <c r="AP940">
        <v>0</v>
      </c>
      <c r="AQ940">
        <v>0</v>
      </c>
      <c r="AR940">
        <v>13.308</v>
      </c>
      <c r="AS940">
        <v>0</v>
      </c>
      <c r="AT940">
        <v>0.42900000000000005</v>
      </c>
      <c r="AU940">
        <v>0.95300000000000007</v>
      </c>
      <c r="AV940">
        <v>0</v>
      </c>
      <c r="AW940">
        <v>14.69</v>
      </c>
      <c r="AX940">
        <v>0</v>
      </c>
      <c r="AY940">
        <v>45.975999999999999</v>
      </c>
      <c r="AZ940">
        <v>0</v>
      </c>
      <c r="BA940">
        <v>4794313</v>
      </c>
      <c r="BB940">
        <v>1104872</v>
      </c>
      <c r="BC940">
        <v>0</v>
      </c>
      <c r="BD940">
        <v>24424</v>
      </c>
      <c r="BE940">
        <v>0</v>
      </c>
      <c r="BF940">
        <v>24424</v>
      </c>
      <c r="BG940">
        <v>24424</v>
      </c>
      <c r="BH940">
        <v>0</v>
      </c>
      <c r="BI940">
        <v>0</v>
      </c>
      <c r="BJ940">
        <v>0</v>
      </c>
      <c r="BK940">
        <v>0</v>
      </c>
      <c r="BL940">
        <v>115448367</v>
      </c>
      <c r="BM940">
        <v>0</v>
      </c>
      <c r="BN940">
        <v>1314</v>
      </c>
      <c r="BO940">
        <v>877</v>
      </c>
      <c r="BP940">
        <v>0</v>
      </c>
      <c r="BQ940">
        <v>0</v>
      </c>
      <c r="BR940">
        <v>0.91339999999999999</v>
      </c>
      <c r="BS940">
        <v>0.91339999999999999</v>
      </c>
      <c r="BT940">
        <v>0</v>
      </c>
      <c r="BU940">
        <v>0</v>
      </c>
      <c r="BV940">
        <v>0</v>
      </c>
      <c r="BW940">
        <v>33</v>
      </c>
      <c r="BX940">
        <v>0</v>
      </c>
      <c r="BY940">
        <v>346</v>
      </c>
      <c r="BZ940">
        <v>5</v>
      </c>
      <c r="CA940">
        <v>384</v>
      </c>
      <c r="CB940">
        <v>0</v>
      </c>
      <c r="CC940">
        <v>0</v>
      </c>
      <c r="CD940">
        <v>0</v>
      </c>
      <c r="CE940">
        <v>48</v>
      </c>
      <c r="CF940">
        <v>150.10599999999999</v>
      </c>
      <c r="CG940">
        <v>0</v>
      </c>
      <c r="CH940">
        <v>0</v>
      </c>
      <c r="CI940">
        <v>4</v>
      </c>
      <c r="CJ940">
        <v>1</v>
      </c>
      <c r="CK940">
        <v>0</v>
      </c>
      <c r="CL940">
        <v>0</v>
      </c>
      <c r="CM940">
        <v>115.277</v>
      </c>
      <c r="CN940">
        <v>0</v>
      </c>
      <c r="CO940">
        <v>0</v>
      </c>
      <c r="CP940">
        <v>0</v>
      </c>
      <c r="CQ940">
        <v>0</v>
      </c>
      <c r="CR940">
        <v>0</v>
      </c>
      <c r="CS940">
        <v>0</v>
      </c>
      <c r="CT940">
        <v>0</v>
      </c>
      <c r="CU940">
        <v>0</v>
      </c>
      <c r="CV940">
        <v>14.917000000000002</v>
      </c>
      <c r="CW940">
        <v>10.225</v>
      </c>
      <c r="CX940">
        <v>0</v>
      </c>
      <c r="CY940" s="2043">
        <v>0</v>
      </c>
      <c r="CZ940" s="2043">
        <v>0</v>
      </c>
      <c r="DA940" s="2043">
        <v>0</v>
      </c>
      <c r="DB940" s="2043">
        <v>48170</v>
      </c>
      <c r="DC940" s="2043">
        <v>0</v>
      </c>
      <c r="DI940" t="s">
        <v>5862</v>
      </c>
      <c r="DJ940" t="s">
        <v>5862</v>
      </c>
      <c r="DK940" s="2042">
        <f t="shared" si="16"/>
        <v>0</v>
      </c>
    </row>
    <row r="941" spans="1:115">
      <c r="A941" t="s">
        <v>5863</v>
      </c>
      <c r="B941" t="s">
        <v>1544</v>
      </c>
      <c r="C941">
        <v>545.33000000000004</v>
      </c>
      <c r="D941">
        <v>536.26100000000008</v>
      </c>
      <c r="E941">
        <v>93.057000000000002</v>
      </c>
      <c r="F941">
        <v>0</v>
      </c>
      <c r="G941" s="2043">
        <v>173063518</v>
      </c>
      <c r="H941">
        <v>0</v>
      </c>
      <c r="I941" s="2043">
        <v>636231</v>
      </c>
      <c r="J941">
        <v>27.267000000000003</v>
      </c>
      <c r="K941">
        <v>75</v>
      </c>
      <c r="L941">
        <v>0</v>
      </c>
      <c r="M941">
        <v>0</v>
      </c>
      <c r="N941">
        <v>0</v>
      </c>
      <c r="O941">
        <v>0</v>
      </c>
      <c r="P941">
        <v>0</v>
      </c>
      <c r="Q941">
        <v>0</v>
      </c>
      <c r="R941" s="2043">
        <v>1583498</v>
      </c>
      <c r="S941">
        <v>142883</v>
      </c>
      <c r="T941">
        <v>104126</v>
      </c>
      <c r="U941">
        <v>0.08</v>
      </c>
      <c r="V941">
        <v>0</v>
      </c>
      <c r="W941">
        <v>0</v>
      </c>
      <c r="X941">
        <v>0</v>
      </c>
      <c r="Y941">
        <v>0</v>
      </c>
      <c r="Z941">
        <v>0</v>
      </c>
      <c r="AA941">
        <v>0</v>
      </c>
      <c r="AB941">
        <v>521.59</v>
      </c>
      <c r="AC941" s="2043">
        <v>184613032</v>
      </c>
      <c r="AD941">
        <v>676474</v>
      </c>
      <c r="AE941" s="2043">
        <v>1830507</v>
      </c>
      <c r="AF941">
        <v>1.0249000000000001</v>
      </c>
      <c r="AG941">
        <v>0</v>
      </c>
      <c r="AH941">
        <v>0</v>
      </c>
      <c r="AI941">
        <v>0</v>
      </c>
      <c r="AJ941">
        <v>69.238</v>
      </c>
      <c r="AK941">
        <v>2577</v>
      </c>
      <c r="AL941">
        <v>0</v>
      </c>
      <c r="AM941">
        <v>0</v>
      </c>
      <c r="AN941">
        <v>46.577000000000005</v>
      </c>
      <c r="AO941">
        <v>0</v>
      </c>
      <c r="AP941">
        <v>0</v>
      </c>
      <c r="AQ941">
        <v>0</v>
      </c>
      <c r="AR941">
        <v>5.64</v>
      </c>
      <c r="AS941">
        <v>0</v>
      </c>
      <c r="AT941">
        <v>1.385</v>
      </c>
      <c r="AU941">
        <v>0.77400000000000002</v>
      </c>
      <c r="AV941">
        <v>0</v>
      </c>
      <c r="AW941">
        <v>7.7990000000000004</v>
      </c>
      <c r="AX941">
        <v>0</v>
      </c>
      <c r="AY941">
        <v>24.945</v>
      </c>
      <c r="AZ941">
        <v>0</v>
      </c>
      <c r="BA941">
        <v>5781266</v>
      </c>
      <c r="BB941">
        <v>2506981</v>
      </c>
      <c r="BC941">
        <v>0</v>
      </c>
      <c r="BD941">
        <v>25552</v>
      </c>
      <c r="BE941">
        <v>0</v>
      </c>
      <c r="BF941">
        <v>25552</v>
      </c>
      <c r="BG941">
        <v>25552</v>
      </c>
      <c r="BH941">
        <v>0</v>
      </c>
      <c r="BI941">
        <v>0</v>
      </c>
      <c r="BJ941">
        <v>0</v>
      </c>
      <c r="BK941">
        <v>0</v>
      </c>
      <c r="BL941">
        <v>173063518</v>
      </c>
      <c r="BM941">
        <v>0</v>
      </c>
      <c r="BN941">
        <v>2268</v>
      </c>
      <c r="BO941">
        <v>781</v>
      </c>
      <c r="BP941">
        <v>0</v>
      </c>
      <c r="BQ941">
        <v>0</v>
      </c>
      <c r="BR941">
        <v>0.88660000000000005</v>
      </c>
      <c r="BS941">
        <v>0.88660000000000005</v>
      </c>
      <c r="BT941">
        <v>0</v>
      </c>
      <c r="BU941">
        <v>0</v>
      </c>
      <c r="BV941">
        <v>6</v>
      </c>
      <c r="BW941">
        <v>248</v>
      </c>
      <c r="BX941">
        <v>0</v>
      </c>
      <c r="BY941">
        <v>29</v>
      </c>
      <c r="BZ941">
        <v>5</v>
      </c>
      <c r="CA941">
        <v>288</v>
      </c>
      <c r="CB941">
        <v>0</v>
      </c>
      <c r="CC941">
        <v>0</v>
      </c>
      <c r="CD941">
        <v>0</v>
      </c>
      <c r="CE941">
        <v>23</v>
      </c>
      <c r="CF941">
        <v>107.18700000000001</v>
      </c>
      <c r="CG941">
        <v>0</v>
      </c>
      <c r="CH941">
        <v>0</v>
      </c>
      <c r="CI941">
        <v>2</v>
      </c>
      <c r="CJ941">
        <v>1</v>
      </c>
      <c r="CK941">
        <v>0</v>
      </c>
      <c r="CL941">
        <v>0</v>
      </c>
      <c r="CM941">
        <v>93.057000000000002</v>
      </c>
      <c r="CN941">
        <v>0</v>
      </c>
      <c r="CO941">
        <v>0</v>
      </c>
      <c r="CP941">
        <v>0</v>
      </c>
      <c r="CQ941">
        <v>0</v>
      </c>
      <c r="CR941">
        <v>0</v>
      </c>
      <c r="CS941">
        <v>0</v>
      </c>
      <c r="CT941">
        <v>0</v>
      </c>
      <c r="CU941">
        <v>3.4240000000000004</v>
      </c>
      <c r="CV941">
        <v>35.734000000000002</v>
      </c>
      <c r="CW941">
        <v>21.19</v>
      </c>
      <c r="CX941">
        <v>0</v>
      </c>
      <c r="CY941" s="2043">
        <v>0</v>
      </c>
      <c r="CZ941" s="2043">
        <v>0</v>
      </c>
      <c r="DA941" s="2043">
        <v>0</v>
      </c>
      <c r="DB941" s="2043">
        <v>0</v>
      </c>
      <c r="DC941" s="2043">
        <v>0</v>
      </c>
      <c r="DI941" t="s">
        <v>5863</v>
      </c>
      <c r="DJ941" t="s">
        <v>5863</v>
      </c>
      <c r="DK941" s="2042">
        <f t="shared" si="16"/>
        <v>0</v>
      </c>
    </row>
    <row r="942" spans="1:115">
      <c r="A942" t="s">
        <v>5220</v>
      </c>
      <c r="B942" t="s">
        <v>1545</v>
      </c>
      <c r="C942">
        <v>973.51</v>
      </c>
      <c r="D942">
        <v>1059.4390000000001</v>
      </c>
      <c r="E942">
        <v>327.94</v>
      </c>
      <c r="F942">
        <v>0</v>
      </c>
      <c r="G942" s="2043">
        <v>458646204</v>
      </c>
      <c r="H942">
        <v>0</v>
      </c>
      <c r="I942" s="2043">
        <v>1555163</v>
      </c>
      <c r="J942">
        <v>45</v>
      </c>
      <c r="K942">
        <v>123</v>
      </c>
      <c r="L942">
        <v>0</v>
      </c>
      <c r="M942">
        <v>0</v>
      </c>
      <c r="N942">
        <v>0</v>
      </c>
      <c r="O942">
        <v>0</v>
      </c>
      <c r="P942">
        <v>0</v>
      </c>
      <c r="Q942">
        <v>0</v>
      </c>
      <c r="R942" s="2043">
        <v>4109317</v>
      </c>
      <c r="S942">
        <v>236521</v>
      </c>
      <c r="T942">
        <v>0</v>
      </c>
      <c r="U942">
        <v>0.05</v>
      </c>
      <c r="V942">
        <v>0</v>
      </c>
      <c r="W942">
        <v>0</v>
      </c>
      <c r="X942">
        <v>0</v>
      </c>
      <c r="Y942">
        <v>0</v>
      </c>
      <c r="Z942">
        <v>6.5129999999999999</v>
      </c>
      <c r="AA942">
        <v>0.39800000000000002</v>
      </c>
      <c r="AB942">
        <v>989.09800000000007</v>
      </c>
      <c r="AC942" s="2043">
        <v>409879859</v>
      </c>
      <c r="AD942">
        <v>1937683</v>
      </c>
      <c r="AE942" s="2043">
        <v>4345838</v>
      </c>
      <c r="AF942">
        <v>0.91870000000000007</v>
      </c>
      <c r="AG942">
        <v>0</v>
      </c>
      <c r="AH942">
        <v>0</v>
      </c>
      <c r="AI942">
        <v>0</v>
      </c>
      <c r="AJ942">
        <v>196.18800000000002</v>
      </c>
      <c r="AK942">
        <v>3559</v>
      </c>
      <c r="AL942">
        <v>0.27800000000000002</v>
      </c>
      <c r="AM942">
        <v>0</v>
      </c>
      <c r="AN942">
        <v>45.241</v>
      </c>
      <c r="AO942">
        <v>0</v>
      </c>
      <c r="AP942">
        <v>0</v>
      </c>
      <c r="AQ942">
        <v>0</v>
      </c>
      <c r="AR942">
        <v>16.336000000000002</v>
      </c>
      <c r="AS942">
        <v>0</v>
      </c>
      <c r="AT942">
        <v>3.09</v>
      </c>
      <c r="AU942">
        <v>2.1430000000000002</v>
      </c>
      <c r="AV942">
        <v>0</v>
      </c>
      <c r="AW942">
        <v>21.847000000000001</v>
      </c>
      <c r="AX942">
        <v>0</v>
      </c>
      <c r="AY942">
        <v>70.38300000000001</v>
      </c>
      <c r="AZ942">
        <v>0</v>
      </c>
      <c r="BA942">
        <v>7151701</v>
      </c>
      <c r="BB942">
        <v>6283521</v>
      </c>
      <c r="BC942">
        <v>0</v>
      </c>
      <c r="BD942">
        <v>60914</v>
      </c>
      <c r="BE942">
        <v>2680</v>
      </c>
      <c r="BF942">
        <v>71468</v>
      </c>
      <c r="BG942">
        <v>60914</v>
      </c>
      <c r="BH942">
        <v>7874</v>
      </c>
      <c r="BI942">
        <v>0</v>
      </c>
      <c r="BJ942">
        <v>0</v>
      </c>
      <c r="BK942">
        <v>0</v>
      </c>
      <c r="BL942">
        <v>458646204</v>
      </c>
      <c r="BM942">
        <v>0</v>
      </c>
      <c r="BN942">
        <v>3249</v>
      </c>
      <c r="BO942">
        <v>2151</v>
      </c>
      <c r="BP942">
        <v>0</v>
      </c>
      <c r="BQ942">
        <v>0</v>
      </c>
      <c r="BR942">
        <v>0.86870000000000003</v>
      </c>
      <c r="BS942">
        <v>0.86870000000000003</v>
      </c>
      <c r="BT942">
        <v>0</v>
      </c>
      <c r="BU942">
        <v>0</v>
      </c>
      <c r="BV942">
        <v>0</v>
      </c>
      <c r="BW942">
        <v>281</v>
      </c>
      <c r="BX942">
        <v>229</v>
      </c>
      <c r="BY942">
        <v>274</v>
      </c>
      <c r="BZ942">
        <v>1</v>
      </c>
      <c r="CA942">
        <v>785</v>
      </c>
      <c r="CB942">
        <v>0</v>
      </c>
      <c r="CC942">
        <v>0</v>
      </c>
      <c r="CD942">
        <v>0</v>
      </c>
      <c r="CE942">
        <v>65</v>
      </c>
      <c r="CF942">
        <v>381.59200000000004</v>
      </c>
      <c r="CG942">
        <v>0</v>
      </c>
      <c r="CH942">
        <v>0</v>
      </c>
      <c r="CI942">
        <v>4</v>
      </c>
      <c r="CJ942">
        <v>4</v>
      </c>
      <c r="CK942">
        <v>0</v>
      </c>
      <c r="CL942">
        <v>0</v>
      </c>
      <c r="CM942">
        <v>327.94</v>
      </c>
      <c r="CN942">
        <v>0</v>
      </c>
      <c r="CO942">
        <v>0</v>
      </c>
      <c r="CP942">
        <v>0</v>
      </c>
      <c r="CQ942">
        <v>0</v>
      </c>
      <c r="CR942">
        <v>0</v>
      </c>
      <c r="CS942">
        <v>0</v>
      </c>
      <c r="CT942">
        <v>0</v>
      </c>
      <c r="CU942">
        <v>0</v>
      </c>
      <c r="CV942">
        <v>29.602</v>
      </c>
      <c r="CW942">
        <v>31.733000000000001</v>
      </c>
      <c r="CX942">
        <v>0</v>
      </c>
      <c r="CY942" s="2043">
        <v>0</v>
      </c>
      <c r="CZ942" s="2043">
        <v>0</v>
      </c>
      <c r="DA942" s="2043">
        <v>0</v>
      </c>
      <c r="DB942" s="2043">
        <v>0</v>
      </c>
      <c r="DC942" s="2043">
        <v>0</v>
      </c>
      <c r="DI942" t="s">
        <v>5220</v>
      </c>
      <c r="DJ942" t="s">
        <v>5220</v>
      </c>
      <c r="DK942" s="2042">
        <f t="shared" si="16"/>
        <v>0</v>
      </c>
    </row>
    <row r="943" spans="1:115">
      <c r="A943" t="s">
        <v>5864</v>
      </c>
      <c r="B943" t="s">
        <v>1546</v>
      </c>
      <c r="C943">
        <v>149.70099999999999</v>
      </c>
      <c r="D943">
        <v>169.97400000000002</v>
      </c>
      <c r="E943">
        <v>25.292000000000002</v>
      </c>
      <c r="F943">
        <v>0</v>
      </c>
      <c r="G943" s="2043">
        <v>60512843</v>
      </c>
      <c r="H943">
        <v>0</v>
      </c>
      <c r="I943" s="2043">
        <v>0</v>
      </c>
      <c r="J943">
        <v>7.4850000000000003</v>
      </c>
      <c r="K943">
        <v>20</v>
      </c>
      <c r="L943">
        <v>0</v>
      </c>
      <c r="M943">
        <v>0</v>
      </c>
      <c r="N943">
        <v>0</v>
      </c>
      <c r="O943">
        <v>0</v>
      </c>
      <c r="P943">
        <v>0</v>
      </c>
      <c r="Q943">
        <v>0</v>
      </c>
      <c r="R943" s="2043">
        <v>580169</v>
      </c>
      <c r="S943">
        <v>50814</v>
      </c>
      <c r="T943">
        <v>16197</v>
      </c>
      <c r="U943">
        <v>0.08</v>
      </c>
      <c r="V943">
        <v>0</v>
      </c>
      <c r="W943">
        <v>0</v>
      </c>
      <c r="X943">
        <v>0</v>
      </c>
      <c r="Y943">
        <v>0</v>
      </c>
      <c r="Z943">
        <v>0</v>
      </c>
      <c r="AA943">
        <v>0</v>
      </c>
      <c r="AB943">
        <v>169.97400000000002</v>
      </c>
      <c r="AC943" s="2043">
        <v>68339296</v>
      </c>
      <c r="AD943">
        <v>216226</v>
      </c>
      <c r="AE943" s="2043">
        <v>647180</v>
      </c>
      <c r="AF943">
        <v>1.0189000000000001</v>
      </c>
      <c r="AG943">
        <v>0</v>
      </c>
      <c r="AH943">
        <v>0</v>
      </c>
      <c r="AI943">
        <v>0</v>
      </c>
      <c r="AJ943">
        <v>26.838000000000001</v>
      </c>
      <c r="AK943">
        <v>882</v>
      </c>
      <c r="AL943">
        <v>0</v>
      </c>
      <c r="AM943">
        <v>0</v>
      </c>
      <c r="AN943">
        <v>11.159000000000001</v>
      </c>
      <c r="AO943">
        <v>0</v>
      </c>
      <c r="AP943">
        <v>0</v>
      </c>
      <c r="AQ943">
        <v>0</v>
      </c>
      <c r="AR943">
        <v>3.5580000000000003</v>
      </c>
      <c r="AS943">
        <v>0</v>
      </c>
      <c r="AT943">
        <v>0</v>
      </c>
      <c r="AU943">
        <v>0.20100000000000001</v>
      </c>
      <c r="AV943">
        <v>0</v>
      </c>
      <c r="AW943">
        <v>3.7590000000000003</v>
      </c>
      <c r="AX943">
        <v>0</v>
      </c>
      <c r="AY943">
        <v>11.679</v>
      </c>
      <c r="AZ943">
        <v>0</v>
      </c>
      <c r="BA943">
        <v>1706133</v>
      </c>
      <c r="BB943">
        <v>863406</v>
      </c>
      <c r="BC943">
        <v>0</v>
      </c>
      <c r="BD943">
        <v>28056</v>
      </c>
      <c r="BE943">
        <v>0</v>
      </c>
      <c r="BF943">
        <v>28056</v>
      </c>
      <c r="BG943">
        <v>28056</v>
      </c>
      <c r="BH943">
        <v>0</v>
      </c>
      <c r="BI943">
        <v>0</v>
      </c>
      <c r="BJ943">
        <v>0</v>
      </c>
      <c r="BK943">
        <v>0</v>
      </c>
      <c r="BL943">
        <v>60512843</v>
      </c>
      <c r="BM943">
        <v>0</v>
      </c>
      <c r="BN943">
        <v>522</v>
      </c>
      <c r="BO943">
        <v>321</v>
      </c>
      <c r="BP943">
        <v>0</v>
      </c>
      <c r="BQ943">
        <v>0</v>
      </c>
      <c r="BR943">
        <v>0.91339999999999999</v>
      </c>
      <c r="BS943">
        <v>0.91339999999999999</v>
      </c>
      <c r="BT943">
        <v>0</v>
      </c>
      <c r="BU943">
        <v>0</v>
      </c>
      <c r="BV943">
        <v>16</v>
      </c>
      <c r="BW943">
        <v>83</v>
      </c>
      <c r="BX943">
        <v>12</v>
      </c>
      <c r="BY943">
        <v>2</v>
      </c>
      <c r="BZ943">
        <v>0</v>
      </c>
      <c r="CA943">
        <v>113</v>
      </c>
      <c r="CB943">
        <v>0</v>
      </c>
      <c r="CC943">
        <v>0</v>
      </c>
      <c r="CD943">
        <v>0</v>
      </c>
      <c r="CE943">
        <v>18</v>
      </c>
      <c r="CF943">
        <v>40.399000000000001</v>
      </c>
      <c r="CG943">
        <v>0</v>
      </c>
      <c r="CH943">
        <v>0</v>
      </c>
      <c r="CI943">
        <v>2</v>
      </c>
      <c r="CJ943">
        <v>2</v>
      </c>
      <c r="CK943">
        <v>0</v>
      </c>
      <c r="CL943">
        <v>0</v>
      </c>
      <c r="CM943">
        <v>25.292000000000002</v>
      </c>
      <c r="CN943">
        <v>0</v>
      </c>
      <c r="CO943">
        <v>0</v>
      </c>
      <c r="CP943">
        <v>0</v>
      </c>
      <c r="CQ943">
        <v>0</v>
      </c>
      <c r="CR943">
        <v>0</v>
      </c>
      <c r="CS943">
        <v>0</v>
      </c>
      <c r="CT943">
        <v>0</v>
      </c>
      <c r="CU943">
        <v>0</v>
      </c>
      <c r="CV943">
        <v>14.192</v>
      </c>
      <c r="CW943">
        <v>4.2709999999999999</v>
      </c>
      <c r="CX943">
        <v>0</v>
      </c>
      <c r="CY943" s="2043">
        <v>0</v>
      </c>
      <c r="CZ943" s="2043">
        <v>0</v>
      </c>
      <c r="DA943" s="2043">
        <v>0</v>
      </c>
      <c r="DB943" s="2043">
        <v>0</v>
      </c>
      <c r="DC943" s="2043">
        <v>0</v>
      </c>
      <c r="DI943" t="s">
        <v>5864</v>
      </c>
      <c r="DJ943" t="s">
        <v>5864</v>
      </c>
      <c r="DK943" s="2042">
        <f t="shared" si="16"/>
        <v>0</v>
      </c>
    </row>
    <row r="944" spans="1:115">
      <c r="A944" t="s">
        <v>5221</v>
      </c>
      <c r="B944" t="s">
        <v>1770</v>
      </c>
      <c r="C944">
        <v>204.10600000000002</v>
      </c>
      <c r="D944">
        <v>202.36</v>
      </c>
      <c r="E944">
        <v>32.931000000000004</v>
      </c>
      <c r="F944">
        <v>764289</v>
      </c>
      <c r="G944" s="2043">
        <v>906105362</v>
      </c>
      <c r="H944">
        <v>0</v>
      </c>
      <c r="I944" s="2043">
        <v>0</v>
      </c>
      <c r="J944">
        <v>10.205</v>
      </c>
      <c r="K944">
        <v>28</v>
      </c>
      <c r="L944">
        <v>0</v>
      </c>
      <c r="M944">
        <v>0</v>
      </c>
      <c r="N944">
        <v>0</v>
      </c>
      <c r="O944">
        <v>0</v>
      </c>
      <c r="P944">
        <v>0</v>
      </c>
      <c r="Q944">
        <v>0</v>
      </c>
      <c r="R944" s="2043">
        <v>7302389</v>
      </c>
      <c r="S944">
        <v>407864</v>
      </c>
      <c r="T944">
        <v>0</v>
      </c>
      <c r="U944">
        <v>0.05</v>
      </c>
      <c r="V944">
        <v>0</v>
      </c>
      <c r="W944">
        <v>4991932</v>
      </c>
      <c r="X944">
        <v>0</v>
      </c>
      <c r="Y944">
        <v>856234</v>
      </c>
      <c r="Z944">
        <v>0</v>
      </c>
      <c r="AA944">
        <v>0</v>
      </c>
      <c r="AB944">
        <v>187.61200000000002</v>
      </c>
      <c r="AC944" s="2043">
        <v>386552155</v>
      </c>
      <c r="AD944">
        <v>0</v>
      </c>
      <c r="AE944" s="2043">
        <v>7710253</v>
      </c>
      <c r="AF944">
        <v>0.94520000000000004</v>
      </c>
      <c r="AG944">
        <v>0</v>
      </c>
      <c r="AH944">
        <v>4991932</v>
      </c>
      <c r="AI944">
        <v>0</v>
      </c>
      <c r="AJ944">
        <v>28.438000000000002</v>
      </c>
      <c r="AK944">
        <v>330</v>
      </c>
      <c r="AL944">
        <v>0</v>
      </c>
      <c r="AM944">
        <v>0</v>
      </c>
      <c r="AN944">
        <v>3.87</v>
      </c>
      <c r="AO944">
        <v>0</v>
      </c>
      <c r="AP944">
        <v>0</v>
      </c>
      <c r="AQ944">
        <v>0</v>
      </c>
      <c r="AR944">
        <v>1.278</v>
      </c>
      <c r="AS944">
        <v>0</v>
      </c>
      <c r="AT944">
        <v>0</v>
      </c>
      <c r="AU944">
        <v>0.20900000000000002</v>
      </c>
      <c r="AV944">
        <v>0</v>
      </c>
      <c r="AW944">
        <v>1.4870000000000001</v>
      </c>
      <c r="AX944">
        <v>0</v>
      </c>
      <c r="AY944">
        <v>4.8790000000000004</v>
      </c>
      <c r="AZ944">
        <v>0</v>
      </c>
      <c r="BA944">
        <v>959618</v>
      </c>
      <c r="BB944">
        <v>7710253</v>
      </c>
      <c r="BC944">
        <v>0</v>
      </c>
      <c r="BD944">
        <v>21546</v>
      </c>
      <c r="BE944">
        <v>0</v>
      </c>
      <c r="BF944">
        <v>21546</v>
      </c>
      <c r="BG944">
        <v>21546</v>
      </c>
      <c r="BH944">
        <v>0</v>
      </c>
      <c r="BI944">
        <v>0</v>
      </c>
      <c r="BJ944">
        <v>0</v>
      </c>
      <c r="BK944">
        <v>0</v>
      </c>
      <c r="BL944">
        <v>906105362</v>
      </c>
      <c r="BM944">
        <v>0</v>
      </c>
      <c r="BN944">
        <v>918</v>
      </c>
      <c r="BO944">
        <v>642</v>
      </c>
      <c r="BP944">
        <v>0</v>
      </c>
      <c r="BQ944">
        <v>0</v>
      </c>
      <c r="BR944">
        <v>0.8952</v>
      </c>
      <c r="BS944">
        <v>0.8952</v>
      </c>
      <c r="BT944">
        <v>0</v>
      </c>
      <c r="BU944">
        <v>91945</v>
      </c>
      <c r="BV944">
        <v>6</v>
      </c>
      <c r="BW944">
        <v>84</v>
      </c>
      <c r="BX944">
        <v>17</v>
      </c>
      <c r="BY944">
        <v>11</v>
      </c>
      <c r="BZ944">
        <v>0</v>
      </c>
      <c r="CA944">
        <v>118</v>
      </c>
      <c r="CB944">
        <v>0</v>
      </c>
      <c r="CC944">
        <v>0</v>
      </c>
      <c r="CD944">
        <v>0</v>
      </c>
      <c r="CE944">
        <v>3</v>
      </c>
      <c r="CF944">
        <v>43.459000000000003</v>
      </c>
      <c r="CG944">
        <v>0</v>
      </c>
      <c r="CH944">
        <v>0</v>
      </c>
      <c r="CI944">
        <v>2</v>
      </c>
      <c r="CJ944">
        <v>3</v>
      </c>
      <c r="CK944">
        <v>0</v>
      </c>
      <c r="CL944">
        <v>0</v>
      </c>
      <c r="CM944">
        <v>32.931000000000004</v>
      </c>
      <c r="CN944">
        <v>0</v>
      </c>
      <c r="CO944">
        <v>0</v>
      </c>
      <c r="CP944">
        <v>0</v>
      </c>
      <c r="CQ944">
        <v>0</v>
      </c>
      <c r="CR944">
        <v>0</v>
      </c>
      <c r="CS944">
        <v>0</v>
      </c>
      <c r="CT944">
        <v>0</v>
      </c>
      <c r="CU944">
        <v>0</v>
      </c>
      <c r="CV944">
        <v>3.8920000000000003</v>
      </c>
      <c r="CW944">
        <v>4.6909999999999998</v>
      </c>
      <c r="CX944">
        <v>0</v>
      </c>
      <c r="CY944" s="2043">
        <v>0</v>
      </c>
      <c r="CZ944" s="2043">
        <v>0</v>
      </c>
      <c r="DA944" s="2043">
        <v>0</v>
      </c>
      <c r="DB944" s="2043">
        <v>764289</v>
      </c>
      <c r="DC944" s="2043">
        <v>86833</v>
      </c>
      <c r="DI944" t="s">
        <v>5221</v>
      </c>
      <c r="DJ944" t="s">
        <v>5221</v>
      </c>
      <c r="DK944" s="2042">
        <f t="shared" si="16"/>
        <v>0</v>
      </c>
    </row>
    <row r="945" spans="1:115">
      <c r="A945" t="s">
        <v>5222</v>
      </c>
      <c r="B945" t="s">
        <v>2178</v>
      </c>
      <c r="C945">
        <v>2016.2930000000001</v>
      </c>
      <c r="D945">
        <v>2227.7420000000002</v>
      </c>
      <c r="E945">
        <v>197.84400000000002</v>
      </c>
      <c r="F945">
        <v>0</v>
      </c>
      <c r="G945" s="2043">
        <v>2705867905</v>
      </c>
      <c r="H945">
        <v>0</v>
      </c>
      <c r="I945" s="2043">
        <v>3707375</v>
      </c>
      <c r="J945">
        <v>100.815</v>
      </c>
      <c r="K945">
        <v>276</v>
      </c>
      <c r="L945">
        <v>0</v>
      </c>
      <c r="M945">
        <v>0</v>
      </c>
      <c r="N945">
        <v>0</v>
      </c>
      <c r="O945">
        <v>0</v>
      </c>
      <c r="P945">
        <v>0</v>
      </c>
      <c r="Q945">
        <v>0</v>
      </c>
      <c r="R945" s="2043">
        <v>21325573</v>
      </c>
      <c r="S945">
        <v>1285912</v>
      </c>
      <c r="T945">
        <v>0</v>
      </c>
      <c r="U945">
        <v>0.05</v>
      </c>
      <c r="V945">
        <v>0</v>
      </c>
      <c r="W945">
        <v>3973300</v>
      </c>
      <c r="X945">
        <v>0</v>
      </c>
      <c r="Y945">
        <v>4016539</v>
      </c>
      <c r="Z945">
        <v>0</v>
      </c>
      <c r="AA945">
        <v>0.192</v>
      </c>
      <c r="AB945">
        <v>2052.7260000000001</v>
      </c>
      <c r="AC945" s="2043">
        <v>1711294053</v>
      </c>
      <c r="AD945">
        <v>7490364</v>
      </c>
      <c r="AE945" s="2043">
        <v>22611485</v>
      </c>
      <c r="AF945">
        <v>0.87920000000000009</v>
      </c>
      <c r="AG945">
        <v>0</v>
      </c>
      <c r="AH945">
        <v>3973300</v>
      </c>
      <c r="AI945">
        <v>0</v>
      </c>
      <c r="AJ945">
        <v>413.40000000000003</v>
      </c>
      <c r="AK945">
        <v>6405</v>
      </c>
      <c r="AL945">
        <v>0</v>
      </c>
      <c r="AM945">
        <v>0</v>
      </c>
      <c r="AN945">
        <v>70.534999999999997</v>
      </c>
      <c r="AO945">
        <v>0</v>
      </c>
      <c r="AP945">
        <v>0</v>
      </c>
      <c r="AQ945">
        <v>0</v>
      </c>
      <c r="AR945">
        <v>30.721</v>
      </c>
      <c r="AS945">
        <v>0</v>
      </c>
      <c r="AT945">
        <v>20.263000000000002</v>
      </c>
      <c r="AU945">
        <v>5.5310000000000006</v>
      </c>
      <c r="AV945">
        <v>0</v>
      </c>
      <c r="AW945">
        <v>56.515000000000001</v>
      </c>
      <c r="AX945">
        <v>0</v>
      </c>
      <c r="AY945">
        <v>180.607</v>
      </c>
      <c r="AZ945">
        <v>0</v>
      </c>
      <c r="BA945">
        <v>5270304</v>
      </c>
      <c r="BB945">
        <v>30101849</v>
      </c>
      <c r="BC945">
        <v>0</v>
      </c>
      <c r="BD945">
        <v>108897</v>
      </c>
      <c r="BE945">
        <v>39639</v>
      </c>
      <c r="BF945">
        <v>148536</v>
      </c>
      <c r="BG945">
        <v>108897</v>
      </c>
      <c r="BH945">
        <v>0</v>
      </c>
      <c r="BI945">
        <v>0</v>
      </c>
      <c r="BJ945">
        <v>0</v>
      </c>
      <c r="BK945">
        <v>0</v>
      </c>
      <c r="BL945">
        <v>2705867905</v>
      </c>
      <c r="BM945">
        <v>0</v>
      </c>
      <c r="BN945">
        <v>8757</v>
      </c>
      <c r="BO945">
        <v>3552</v>
      </c>
      <c r="BP945">
        <v>0</v>
      </c>
      <c r="BQ945">
        <v>0</v>
      </c>
      <c r="BR945">
        <v>0.82920000000000005</v>
      </c>
      <c r="BS945">
        <v>0.82920000000000005</v>
      </c>
      <c r="BT945">
        <v>4016539</v>
      </c>
      <c r="BU945">
        <v>0</v>
      </c>
      <c r="BV945">
        <v>158</v>
      </c>
      <c r="BW945">
        <v>410</v>
      </c>
      <c r="BX945">
        <v>810</v>
      </c>
      <c r="BY945">
        <v>274</v>
      </c>
      <c r="BZ945">
        <v>22</v>
      </c>
      <c r="CA945">
        <v>1674</v>
      </c>
      <c r="CB945">
        <v>0</v>
      </c>
      <c r="CC945">
        <v>0</v>
      </c>
      <c r="CD945">
        <v>0</v>
      </c>
      <c r="CE945">
        <v>84</v>
      </c>
      <c r="CF945">
        <v>519.98500000000001</v>
      </c>
      <c r="CG945">
        <v>0</v>
      </c>
      <c r="CH945">
        <v>0</v>
      </c>
      <c r="CI945">
        <v>0</v>
      </c>
      <c r="CJ945">
        <v>2</v>
      </c>
      <c r="CK945">
        <v>0</v>
      </c>
      <c r="CL945">
        <v>0</v>
      </c>
      <c r="CM945">
        <v>197.84400000000002</v>
      </c>
      <c r="CN945">
        <v>0</v>
      </c>
      <c r="CO945">
        <v>0</v>
      </c>
      <c r="CP945">
        <v>0</v>
      </c>
      <c r="CQ945">
        <v>0</v>
      </c>
      <c r="CR945">
        <v>0</v>
      </c>
      <c r="CS945">
        <v>0</v>
      </c>
      <c r="CT945">
        <v>0</v>
      </c>
      <c r="CU945">
        <v>5.593</v>
      </c>
      <c r="CV945">
        <v>138.13200000000001</v>
      </c>
      <c r="CW945">
        <v>39.402000000000001</v>
      </c>
      <c r="CX945">
        <v>4016539</v>
      </c>
      <c r="CY945" s="2043">
        <v>0</v>
      </c>
      <c r="CZ945" s="2043">
        <v>0</v>
      </c>
      <c r="DA945" s="2043">
        <v>0</v>
      </c>
      <c r="DB945" s="2043">
        <v>0</v>
      </c>
      <c r="DC945" s="2043">
        <v>299702</v>
      </c>
      <c r="DI945" t="s">
        <v>5222</v>
      </c>
      <c r="DJ945" t="s">
        <v>5222</v>
      </c>
      <c r="DK945" s="2042">
        <f t="shared" si="16"/>
        <v>0</v>
      </c>
    </row>
    <row r="946" spans="1:115">
      <c r="A946" t="s">
        <v>5223</v>
      </c>
      <c r="B946" t="s">
        <v>2167</v>
      </c>
      <c r="C946">
        <v>295.39800000000002</v>
      </c>
      <c r="D946">
        <v>316.88100000000003</v>
      </c>
      <c r="E946">
        <v>45.606999999999999</v>
      </c>
      <c r="F946">
        <v>0</v>
      </c>
      <c r="G946" s="2043">
        <v>803258411</v>
      </c>
      <c r="H946">
        <v>0</v>
      </c>
      <c r="I946" s="2043">
        <v>2082748</v>
      </c>
      <c r="J946">
        <v>12</v>
      </c>
      <c r="K946">
        <v>33</v>
      </c>
      <c r="L946">
        <v>0</v>
      </c>
      <c r="M946">
        <v>0</v>
      </c>
      <c r="N946">
        <v>0</v>
      </c>
      <c r="O946">
        <v>0</v>
      </c>
      <c r="P946">
        <v>0</v>
      </c>
      <c r="Q946">
        <v>0</v>
      </c>
      <c r="R946" s="2043">
        <v>7227145</v>
      </c>
      <c r="S946">
        <v>474741</v>
      </c>
      <c r="T946">
        <v>0</v>
      </c>
      <c r="U946">
        <v>0.06</v>
      </c>
      <c r="V946">
        <v>0</v>
      </c>
      <c r="W946">
        <v>3834575</v>
      </c>
      <c r="X946">
        <v>0</v>
      </c>
      <c r="Y946">
        <v>115928</v>
      </c>
      <c r="Z946">
        <v>0</v>
      </c>
      <c r="AA946">
        <v>0</v>
      </c>
      <c r="AB946">
        <v>306.45100000000002</v>
      </c>
      <c r="AC946" s="2043">
        <v>1024344142</v>
      </c>
      <c r="AD946">
        <v>1669635</v>
      </c>
      <c r="AE946" s="2043">
        <v>7701886</v>
      </c>
      <c r="AF946">
        <v>0.97340000000000004</v>
      </c>
      <c r="AG946">
        <v>0</v>
      </c>
      <c r="AH946">
        <v>3834575</v>
      </c>
      <c r="AI946">
        <v>0</v>
      </c>
      <c r="AJ946">
        <v>42.45</v>
      </c>
      <c r="AK946">
        <v>909</v>
      </c>
      <c r="AL946">
        <v>0</v>
      </c>
      <c r="AM946">
        <v>0</v>
      </c>
      <c r="AN946">
        <v>14.165000000000001</v>
      </c>
      <c r="AO946">
        <v>0</v>
      </c>
      <c r="AP946">
        <v>0</v>
      </c>
      <c r="AQ946">
        <v>0</v>
      </c>
      <c r="AR946">
        <v>1.456</v>
      </c>
      <c r="AS946">
        <v>0</v>
      </c>
      <c r="AT946">
        <v>0.81800000000000006</v>
      </c>
      <c r="AU946">
        <v>0.60899999999999999</v>
      </c>
      <c r="AV946">
        <v>0</v>
      </c>
      <c r="AW946">
        <v>2.883</v>
      </c>
      <c r="AX946">
        <v>0</v>
      </c>
      <c r="AY946">
        <v>9.8670000000000009</v>
      </c>
      <c r="AZ946">
        <v>0</v>
      </c>
      <c r="BA946">
        <v>280381</v>
      </c>
      <c r="BB946">
        <v>9371521</v>
      </c>
      <c r="BC946">
        <v>0</v>
      </c>
      <c r="BD946">
        <v>33660</v>
      </c>
      <c r="BE946">
        <v>121</v>
      </c>
      <c r="BF946">
        <v>38120</v>
      </c>
      <c r="BG946">
        <v>33660</v>
      </c>
      <c r="BH946">
        <v>4339</v>
      </c>
      <c r="BI946">
        <v>0</v>
      </c>
      <c r="BJ946">
        <v>0</v>
      </c>
      <c r="BK946">
        <v>0</v>
      </c>
      <c r="BL946">
        <v>803258411</v>
      </c>
      <c r="BM946">
        <v>0</v>
      </c>
      <c r="BN946">
        <v>711</v>
      </c>
      <c r="BO946">
        <v>674</v>
      </c>
      <c r="BP946">
        <v>0</v>
      </c>
      <c r="BQ946">
        <v>0</v>
      </c>
      <c r="BR946">
        <v>0.91339999999999999</v>
      </c>
      <c r="BS946">
        <v>0.91339999999999999</v>
      </c>
      <c r="BT946">
        <v>0</v>
      </c>
      <c r="BU946">
        <v>115928</v>
      </c>
      <c r="BV946">
        <v>100</v>
      </c>
      <c r="BW946">
        <v>84</v>
      </c>
      <c r="BX946">
        <v>0</v>
      </c>
      <c r="BY946">
        <v>0</v>
      </c>
      <c r="BZ946">
        <v>0</v>
      </c>
      <c r="CA946">
        <v>184</v>
      </c>
      <c r="CB946">
        <v>0</v>
      </c>
      <c r="CC946">
        <v>0</v>
      </c>
      <c r="CD946">
        <v>0</v>
      </c>
      <c r="CE946">
        <v>5</v>
      </c>
      <c r="CF946">
        <v>64.442000000000007</v>
      </c>
      <c r="CG946">
        <v>0</v>
      </c>
      <c r="CH946">
        <v>0</v>
      </c>
      <c r="CI946">
        <v>3</v>
      </c>
      <c r="CJ946">
        <v>3</v>
      </c>
      <c r="CK946">
        <v>0</v>
      </c>
      <c r="CL946">
        <v>0</v>
      </c>
      <c r="CM946">
        <v>45.606999999999999</v>
      </c>
      <c r="CN946">
        <v>0</v>
      </c>
      <c r="CO946">
        <v>0</v>
      </c>
      <c r="CP946">
        <v>0</v>
      </c>
      <c r="CQ946">
        <v>0</v>
      </c>
      <c r="CR946">
        <v>0</v>
      </c>
      <c r="CS946">
        <v>0</v>
      </c>
      <c r="CT946">
        <v>0</v>
      </c>
      <c r="CU946">
        <v>0</v>
      </c>
      <c r="CV946">
        <v>19.608000000000001</v>
      </c>
      <c r="CW946">
        <v>8.6740000000000013</v>
      </c>
      <c r="CX946">
        <v>0</v>
      </c>
      <c r="CY946" s="2043">
        <v>0</v>
      </c>
      <c r="CZ946" s="2043">
        <v>0</v>
      </c>
      <c r="DA946" s="2043">
        <v>0</v>
      </c>
      <c r="DB946" s="2043">
        <v>0</v>
      </c>
      <c r="DC946" s="2043">
        <v>97833</v>
      </c>
      <c r="DI946" t="s">
        <v>5223</v>
      </c>
      <c r="DJ946" t="s">
        <v>5223</v>
      </c>
      <c r="DK946" s="2042">
        <f t="shared" si="16"/>
        <v>0</v>
      </c>
    </row>
    <row r="947" spans="1:115">
      <c r="A947" t="s">
        <v>5224</v>
      </c>
      <c r="B947" t="s">
        <v>1226</v>
      </c>
      <c r="C947">
        <v>486.03500000000003</v>
      </c>
      <c r="D947">
        <v>457.81400000000002</v>
      </c>
      <c r="E947">
        <v>1.9650000000000001</v>
      </c>
      <c r="F947">
        <v>0</v>
      </c>
      <c r="G947" s="2043">
        <v>182902634</v>
      </c>
      <c r="H947">
        <v>0</v>
      </c>
      <c r="I947" s="2043">
        <v>291306</v>
      </c>
      <c r="J947">
        <v>24.302</v>
      </c>
      <c r="K947">
        <v>66</v>
      </c>
      <c r="L947">
        <v>0</v>
      </c>
      <c r="M947">
        <v>0</v>
      </c>
      <c r="N947">
        <v>0</v>
      </c>
      <c r="O947">
        <v>0</v>
      </c>
      <c r="P947">
        <v>0</v>
      </c>
      <c r="Q947">
        <v>0</v>
      </c>
      <c r="R947" s="2043">
        <v>1569030</v>
      </c>
      <c r="S947">
        <v>137423</v>
      </c>
      <c r="T947">
        <v>100148</v>
      </c>
      <c r="U947">
        <v>0.08</v>
      </c>
      <c r="V947">
        <v>0</v>
      </c>
      <c r="W947">
        <v>0</v>
      </c>
      <c r="X947">
        <v>0</v>
      </c>
      <c r="Y947">
        <v>0</v>
      </c>
      <c r="Z947">
        <v>0</v>
      </c>
      <c r="AA947">
        <v>0</v>
      </c>
      <c r="AB947">
        <v>457.81400000000002</v>
      </c>
      <c r="AC947" s="2043">
        <v>283599103</v>
      </c>
      <c r="AD947">
        <v>279235</v>
      </c>
      <c r="AE947" s="2043">
        <v>1806601</v>
      </c>
      <c r="AF947">
        <v>1.0517000000000001</v>
      </c>
      <c r="AG947">
        <v>0</v>
      </c>
      <c r="AH947">
        <v>0</v>
      </c>
      <c r="AI947">
        <v>0</v>
      </c>
      <c r="AJ947">
        <v>72.325000000000003</v>
      </c>
      <c r="AK947">
        <v>2940</v>
      </c>
      <c r="AL947">
        <v>0</v>
      </c>
      <c r="AM947">
        <v>0</v>
      </c>
      <c r="AN947">
        <v>14.992000000000001</v>
      </c>
      <c r="AO947">
        <v>0</v>
      </c>
      <c r="AP947">
        <v>0</v>
      </c>
      <c r="AQ947">
        <v>0</v>
      </c>
      <c r="AR947">
        <v>15.64</v>
      </c>
      <c r="AS947">
        <v>0</v>
      </c>
      <c r="AT947">
        <v>6.5090000000000003</v>
      </c>
      <c r="AU947">
        <v>0.88500000000000001</v>
      </c>
      <c r="AV947">
        <v>0</v>
      </c>
      <c r="AW947">
        <v>23.034000000000002</v>
      </c>
      <c r="AX947">
        <v>0</v>
      </c>
      <c r="AY947">
        <v>70.872</v>
      </c>
      <c r="AZ947">
        <v>0</v>
      </c>
      <c r="BA947">
        <v>4913138</v>
      </c>
      <c r="BB947">
        <v>2085836</v>
      </c>
      <c r="BC947">
        <v>0</v>
      </c>
      <c r="BD947">
        <v>95864</v>
      </c>
      <c r="BE947">
        <v>10973</v>
      </c>
      <c r="BF947">
        <v>106837</v>
      </c>
      <c r="BG947">
        <v>95864</v>
      </c>
      <c r="BH947">
        <v>0</v>
      </c>
      <c r="BI947">
        <v>0</v>
      </c>
      <c r="BJ947">
        <v>0</v>
      </c>
      <c r="BK947">
        <v>0</v>
      </c>
      <c r="BL947">
        <v>182902634</v>
      </c>
      <c r="BM947">
        <v>0</v>
      </c>
      <c r="BN947">
        <v>1548</v>
      </c>
      <c r="BO947">
        <v>1487</v>
      </c>
      <c r="BP947">
        <v>0</v>
      </c>
      <c r="BQ947">
        <v>0</v>
      </c>
      <c r="BR947">
        <v>0.91339999999999999</v>
      </c>
      <c r="BS947">
        <v>0.91339999999999999</v>
      </c>
      <c r="BT947">
        <v>0</v>
      </c>
      <c r="BU947">
        <v>0</v>
      </c>
      <c r="BV947">
        <v>7</v>
      </c>
      <c r="BW947">
        <v>253</v>
      </c>
      <c r="BX947">
        <v>1</v>
      </c>
      <c r="BY947">
        <v>25</v>
      </c>
      <c r="BZ947">
        <v>14</v>
      </c>
      <c r="CA947">
        <v>300</v>
      </c>
      <c r="CB947">
        <v>0</v>
      </c>
      <c r="CC947">
        <v>0</v>
      </c>
      <c r="CD947">
        <v>0</v>
      </c>
      <c r="CE947">
        <v>67</v>
      </c>
      <c r="CF947">
        <v>89.754000000000005</v>
      </c>
      <c r="CG947">
        <v>0</v>
      </c>
      <c r="CH947">
        <v>0</v>
      </c>
      <c r="CI947">
        <v>7</v>
      </c>
      <c r="CJ947">
        <v>6</v>
      </c>
      <c r="CK947">
        <v>0</v>
      </c>
      <c r="CL947">
        <v>0</v>
      </c>
      <c r="CM947">
        <v>1.9650000000000001</v>
      </c>
      <c r="CN947">
        <v>0</v>
      </c>
      <c r="CO947">
        <v>0</v>
      </c>
      <c r="CP947">
        <v>0</v>
      </c>
      <c r="CQ947">
        <v>0</v>
      </c>
      <c r="CR947">
        <v>0</v>
      </c>
      <c r="CS947">
        <v>0</v>
      </c>
      <c r="CT947">
        <v>0</v>
      </c>
      <c r="CU947">
        <v>0</v>
      </c>
      <c r="CV947">
        <v>33.200000000000003</v>
      </c>
      <c r="CW947">
        <v>13.112</v>
      </c>
      <c r="CX947">
        <v>0</v>
      </c>
      <c r="CY947" s="2043">
        <v>0</v>
      </c>
      <c r="CZ947" s="2043">
        <v>0</v>
      </c>
      <c r="DA947" s="2043">
        <v>0</v>
      </c>
      <c r="DB947" s="2043">
        <v>0</v>
      </c>
      <c r="DC947" s="2043">
        <v>0</v>
      </c>
      <c r="DI947" t="s">
        <v>5224</v>
      </c>
      <c r="DJ947" t="s">
        <v>5224</v>
      </c>
      <c r="DK947" s="2042">
        <f t="shared" si="16"/>
        <v>0</v>
      </c>
    </row>
    <row r="948" spans="1:115">
      <c r="A948" t="s">
        <v>5865</v>
      </c>
      <c r="B948" t="s">
        <v>651</v>
      </c>
      <c r="C948">
        <v>219.32500000000002</v>
      </c>
      <c r="D948">
        <v>248.768</v>
      </c>
      <c r="E948">
        <v>55.074000000000005</v>
      </c>
      <c r="F948">
        <v>0</v>
      </c>
      <c r="G948" s="2043">
        <v>165530942</v>
      </c>
      <c r="H948">
        <v>0</v>
      </c>
      <c r="I948" s="2043">
        <v>163150</v>
      </c>
      <c r="J948">
        <v>1</v>
      </c>
      <c r="K948">
        <v>3</v>
      </c>
      <c r="L948">
        <v>0</v>
      </c>
      <c r="M948">
        <v>40895</v>
      </c>
      <c r="N948">
        <v>0</v>
      </c>
      <c r="O948">
        <v>40895</v>
      </c>
      <c r="P948">
        <v>0</v>
      </c>
      <c r="Q948">
        <v>0</v>
      </c>
      <c r="R948" s="2043">
        <v>1336797</v>
      </c>
      <c r="S948">
        <v>130102</v>
      </c>
      <c r="T948">
        <v>94812</v>
      </c>
      <c r="U948">
        <v>0.08</v>
      </c>
      <c r="V948">
        <v>0</v>
      </c>
      <c r="W948">
        <v>0</v>
      </c>
      <c r="X948">
        <v>0</v>
      </c>
      <c r="Y948">
        <v>0</v>
      </c>
      <c r="Z948">
        <v>0</v>
      </c>
      <c r="AA948">
        <v>0</v>
      </c>
      <c r="AB948">
        <v>225.625</v>
      </c>
      <c r="AC948" s="2043">
        <v>114789778</v>
      </c>
      <c r="AD948">
        <v>171403</v>
      </c>
      <c r="AE948" s="2043">
        <v>1561711</v>
      </c>
      <c r="AF948">
        <v>0.96030000000000004</v>
      </c>
      <c r="AG948">
        <v>0</v>
      </c>
      <c r="AH948">
        <v>0</v>
      </c>
      <c r="AI948">
        <v>0</v>
      </c>
      <c r="AJ948">
        <v>51.088000000000001</v>
      </c>
      <c r="AK948">
        <v>830</v>
      </c>
      <c r="AL948">
        <v>0</v>
      </c>
      <c r="AM948">
        <v>0</v>
      </c>
      <c r="AN948">
        <v>9.8640000000000008</v>
      </c>
      <c r="AO948">
        <v>0</v>
      </c>
      <c r="AP948">
        <v>0</v>
      </c>
      <c r="AQ948">
        <v>0</v>
      </c>
      <c r="AR948">
        <v>2.8109999999999999</v>
      </c>
      <c r="AS948">
        <v>0</v>
      </c>
      <c r="AT948">
        <v>0.82300000000000006</v>
      </c>
      <c r="AU948">
        <v>0.24200000000000002</v>
      </c>
      <c r="AV948">
        <v>0</v>
      </c>
      <c r="AW948">
        <v>3.8760000000000003</v>
      </c>
      <c r="AX948">
        <v>0</v>
      </c>
      <c r="AY948">
        <v>12.112</v>
      </c>
      <c r="AZ948">
        <v>0</v>
      </c>
      <c r="BA948">
        <v>1723600</v>
      </c>
      <c r="BB948">
        <v>1733114</v>
      </c>
      <c r="BC948">
        <v>0</v>
      </c>
      <c r="BD948">
        <v>21769</v>
      </c>
      <c r="BE948">
        <v>1633</v>
      </c>
      <c r="BF948">
        <v>23402</v>
      </c>
      <c r="BG948">
        <v>21769</v>
      </c>
      <c r="BH948">
        <v>0</v>
      </c>
      <c r="BI948">
        <v>0</v>
      </c>
      <c r="BJ948">
        <v>0</v>
      </c>
      <c r="BK948">
        <v>0</v>
      </c>
      <c r="BL948">
        <v>165530942</v>
      </c>
      <c r="BM948">
        <v>0</v>
      </c>
      <c r="BN948">
        <v>828</v>
      </c>
      <c r="BO948">
        <v>385</v>
      </c>
      <c r="BP948">
        <v>0</v>
      </c>
      <c r="BQ948">
        <v>0</v>
      </c>
      <c r="BR948">
        <v>0.82200000000000006</v>
      </c>
      <c r="BS948">
        <v>0.82200000000000006</v>
      </c>
      <c r="BT948">
        <v>0</v>
      </c>
      <c r="BU948">
        <v>0</v>
      </c>
      <c r="BV948">
        <v>21</v>
      </c>
      <c r="BW948">
        <v>28</v>
      </c>
      <c r="BX948">
        <v>36</v>
      </c>
      <c r="BY948">
        <v>117</v>
      </c>
      <c r="BZ948">
        <v>0</v>
      </c>
      <c r="CA948">
        <v>202</v>
      </c>
      <c r="CB948">
        <v>0</v>
      </c>
      <c r="CC948">
        <v>0</v>
      </c>
      <c r="CD948">
        <v>0</v>
      </c>
      <c r="CE948">
        <v>13</v>
      </c>
      <c r="CF948">
        <v>90.850000000000009</v>
      </c>
      <c r="CG948">
        <v>0</v>
      </c>
      <c r="CH948">
        <v>0</v>
      </c>
      <c r="CI948">
        <v>1</v>
      </c>
      <c r="CJ948">
        <v>1</v>
      </c>
      <c r="CK948">
        <v>0</v>
      </c>
      <c r="CL948">
        <v>0</v>
      </c>
      <c r="CM948">
        <v>55.074000000000005</v>
      </c>
      <c r="CN948">
        <v>0</v>
      </c>
      <c r="CO948">
        <v>0</v>
      </c>
      <c r="CP948">
        <v>0</v>
      </c>
      <c r="CQ948">
        <v>0</v>
      </c>
      <c r="CR948">
        <v>0</v>
      </c>
      <c r="CS948">
        <v>0</v>
      </c>
      <c r="CT948">
        <v>0</v>
      </c>
      <c r="CU948">
        <v>2.0620000000000003</v>
      </c>
      <c r="CV948">
        <v>14.669</v>
      </c>
      <c r="CW948">
        <v>5.4320000000000004</v>
      </c>
      <c r="CX948">
        <v>0</v>
      </c>
      <c r="CY948" s="2043">
        <v>0</v>
      </c>
      <c r="CZ948" s="2043">
        <v>0</v>
      </c>
      <c r="DA948" s="2043">
        <v>0</v>
      </c>
      <c r="DB948" s="2043">
        <v>0</v>
      </c>
      <c r="DC948" s="2043">
        <v>0</v>
      </c>
      <c r="DI948" t="s">
        <v>5865</v>
      </c>
      <c r="DJ948" t="s">
        <v>5865</v>
      </c>
      <c r="DK948" s="2042">
        <f t="shared" si="16"/>
        <v>0</v>
      </c>
    </row>
    <row r="949" spans="1:115">
      <c r="A949" t="s">
        <v>5225</v>
      </c>
      <c r="B949" t="s">
        <v>2407</v>
      </c>
      <c r="C949">
        <v>746.29399999999998</v>
      </c>
      <c r="D949">
        <v>740.96</v>
      </c>
      <c r="E949">
        <v>68.94</v>
      </c>
      <c r="F949">
        <v>0</v>
      </c>
      <c r="G949" s="2043">
        <v>444527624</v>
      </c>
      <c r="H949">
        <v>0</v>
      </c>
      <c r="I949" s="2043">
        <v>579319</v>
      </c>
      <c r="J949">
        <v>37.315000000000005</v>
      </c>
      <c r="K949">
        <v>102</v>
      </c>
      <c r="L949">
        <v>0</v>
      </c>
      <c r="M949">
        <v>0</v>
      </c>
      <c r="N949">
        <v>0</v>
      </c>
      <c r="O949">
        <v>0</v>
      </c>
      <c r="P949">
        <v>0</v>
      </c>
      <c r="Q949">
        <v>0</v>
      </c>
      <c r="R949" s="2043">
        <v>3805260</v>
      </c>
      <c r="S949">
        <v>214550</v>
      </c>
      <c r="T949">
        <v>0</v>
      </c>
      <c r="U949">
        <v>0.05</v>
      </c>
      <c r="V949">
        <v>0</v>
      </c>
      <c r="W949">
        <v>0</v>
      </c>
      <c r="X949">
        <v>0</v>
      </c>
      <c r="Y949">
        <v>0</v>
      </c>
      <c r="Z949">
        <v>0</v>
      </c>
      <c r="AA949">
        <v>7.5999999999999998E-2</v>
      </c>
      <c r="AB949">
        <v>732.61800000000005</v>
      </c>
      <c r="AC949" s="2043">
        <v>418263058</v>
      </c>
      <c r="AD949">
        <v>865565</v>
      </c>
      <c r="AE949" s="2043">
        <v>4019810</v>
      </c>
      <c r="AF949">
        <v>0.93680000000000008</v>
      </c>
      <c r="AG949">
        <v>0</v>
      </c>
      <c r="AH949">
        <v>0</v>
      </c>
      <c r="AI949">
        <v>0</v>
      </c>
      <c r="AJ949">
        <v>149.738</v>
      </c>
      <c r="AK949">
        <v>3368</v>
      </c>
      <c r="AL949">
        <v>0</v>
      </c>
      <c r="AM949">
        <v>0</v>
      </c>
      <c r="AN949">
        <v>37.780999999999999</v>
      </c>
      <c r="AO949">
        <v>0</v>
      </c>
      <c r="AP949">
        <v>0</v>
      </c>
      <c r="AQ949">
        <v>0.22700000000000001</v>
      </c>
      <c r="AR949">
        <v>16.205000000000002</v>
      </c>
      <c r="AS949">
        <v>0</v>
      </c>
      <c r="AT949">
        <v>2.3069999999999999</v>
      </c>
      <c r="AU949">
        <v>1.4330000000000001</v>
      </c>
      <c r="AV949">
        <v>0</v>
      </c>
      <c r="AW949">
        <v>20.172000000000001</v>
      </c>
      <c r="AX949">
        <v>0</v>
      </c>
      <c r="AY949">
        <v>62.701000000000001</v>
      </c>
      <c r="AZ949">
        <v>0</v>
      </c>
      <c r="BA949">
        <v>5175144</v>
      </c>
      <c r="BB949">
        <v>4885375</v>
      </c>
      <c r="BC949">
        <v>0</v>
      </c>
      <c r="BD949">
        <v>85211</v>
      </c>
      <c r="BE949">
        <v>10708</v>
      </c>
      <c r="BF949">
        <v>95919</v>
      </c>
      <c r="BG949">
        <v>85211</v>
      </c>
      <c r="BH949">
        <v>0</v>
      </c>
      <c r="BI949">
        <v>0</v>
      </c>
      <c r="BJ949">
        <v>0</v>
      </c>
      <c r="BK949">
        <v>0</v>
      </c>
      <c r="BL949">
        <v>444527624</v>
      </c>
      <c r="BM949">
        <v>0</v>
      </c>
      <c r="BN949">
        <v>2925</v>
      </c>
      <c r="BO949">
        <v>2461</v>
      </c>
      <c r="BP949">
        <v>0</v>
      </c>
      <c r="BQ949">
        <v>0</v>
      </c>
      <c r="BR949">
        <v>0.88680000000000003</v>
      </c>
      <c r="BS949">
        <v>0.88680000000000003</v>
      </c>
      <c r="BT949">
        <v>0</v>
      </c>
      <c r="BU949">
        <v>0</v>
      </c>
      <c r="BV949">
        <v>22</v>
      </c>
      <c r="BW949">
        <v>281</v>
      </c>
      <c r="BX949">
        <v>175</v>
      </c>
      <c r="BY949">
        <v>6</v>
      </c>
      <c r="BZ949">
        <v>119</v>
      </c>
      <c r="CA949">
        <v>603</v>
      </c>
      <c r="CB949">
        <v>0</v>
      </c>
      <c r="CC949">
        <v>0</v>
      </c>
      <c r="CD949">
        <v>0</v>
      </c>
      <c r="CE949">
        <v>60</v>
      </c>
      <c r="CF949">
        <v>186.245</v>
      </c>
      <c r="CG949">
        <v>0</v>
      </c>
      <c r="CH949">
        <v>0.45500000000000002</v>
      </c>
      <c r="CI949">
        <v>5</v>
      </c>
      <c r="CJ949">
        <v>3</v>
      </c>
      <c r="CK949">
        <v>0</v>
      </c>
      <c r="CL949">
        <v>0.45500000000000002</v>
      </c>
      <c r="CM949">
        <v>68.94</v>
      </c>
      <c r="CN949">
        <v>0</v>
      </c>
      <c r="CO949">
        <v>0</v>
      </c>
      <c r="CP949">
        <v>0</v>
      </c>
      <c r="CQ949">
        <v>0</v>
      </c>
      <c r="CR949">
        <v>0</v>
      </c>
      <c r="CS949">
        <v>0</v>
      </c>
      <c r="CT949">
        <v>0</v>
      </c>
      <c r="CU949">
        <v>12.994</v>
      </c>
      <c r="CV949">
        <v>59.601000000000006</v>
      </c>
      <c r="CW949">
        <v>26.275000000000002</v>
      </c>
      <c r="CX949">
        <v>0</v>
      </c>
      <c r="CY949" s="2043">
        <v>0</v>
      </c>
      <c r="CZ949" s="2043">
        <v>0</v>
      </c>
      <c r="DA949" s="2043">
        <v>0</v>
      </c>
      <c r="DB949" s="2043">
        <v>0</v>
      </c>
      <c r="DC949" s="2043">
        <v>0</v>
      </c>
      <c r="DI949" t="s">
        <v>5225</v>
      </c>
      <c r="DJ949" t="s">
        <v>5225</v>
      </c>
      <c r="DK949" s="2042">
        <f t="shared" si="16"/>
        <v>0</v>
      </c>
    </row>
    <row r="950" spans="1:115">
      <c r="A950" t="s">
        <v>5226</v>
      </c>
      <c r="B950" t="s">
        <v>652</v>
      </c>
      <c r="C950">
        <v>194.816</v>
      </c>
      <c r="D950">
        <v>194.767</v>
      </c>
      <c r="E950">
        <v>4.8250000000000002</v>
      </c>
      <c r="F950">
        <v>0</v>
      </c>
      <c r="G950" s="2043">
        <v>95194176</v>
      </c>
      <c r="H950">
        <v>0</v>
      </c>
      <c r="I950" s="2043">
        <v>263125</v>
      </c>
      <c r="J950">
        <v>6</v>
      </c>
      <c r="K950">
        <v>16</v>
      </c>
      <c r="L950">
        <v>0</v>
      </c>
      <c r="M950">
        <v>0</v>
      </c>
      <c r="N950">
        <v>0</v>
      </c>
      <c r="O950">
        <v>0</v>
      </c>
      <c r="P950">
        <v>0</v>
      </c>
      <c r="Q950">
        <v>0</v>
      </c>
      <c r="R950" s="2043">
        <v>852652</v>
      </c>
      <c r="S950">
        <v>47348</v>
      </c>
      <c r="T950">
        <v>0</v>
      </c>
      <c r="U950">
        <v>0.05</v>
      </c>
      <c r="V950">
        <v>0</v>
      </c>
      <c r="W950">
        <v>0</v>
      </c>
      <c r="X950">
        <v>0</v>
      </c>
      <c r="Y950">
        <v>0</v>
      </c>
      <c r="Z950">
        <v>0</v>
      </c>
      <c r="AA950">
        <v>0</v>
      </c>
      <c r="AB950">
        <v>188.50900000000001</v>
      </c>
      <c r="AC950" s="2043">
        <v>99879997</v>
      </c>
      <c r="AD950">
        <v>280000</v>
      </c>
      <c r="AE950" s="2043">
        <v>900000</v>
      </c>
      <c r="AF950">
        <v>0.95040000000000002</v>
      </c>
      <c r="AG950">
        <v>0</v>
      </c>
      <c r="AH950">
        <v>0</v>
      </c>
      <c r="AI950">
        <v>0</v>
      </c>
      <c r="AJ950">
        <v>41.663000000000004</v>
      </c>
      <c r="AK950">
        <v>1149</v>
      </c>
      <c r="AL950">
        <v>0</v>
      </c>
      <c r="AM950">
        <v>0</v>
      </c>
      <c r="AN950">
        <v>7.7050000000000001</v>
      </c>
      <c r="AO950">
        <v>0</v>
      </c>
      <c r="AP950">
        <v>0</v>
      </c>
      <c r="AQ950">
        <v>0</v>
      </c>
      <c r="AR950">
        <v>4.5590000000000002</v>
      </c>
      <c r="AS950">
        <v>0</v>
      </c>
      <c r="AT950">
        <v>2.637</v>
      </c>
      <c r="AU950">
        <v>0.38200000000000001</v>
      </c>
      <c r="AV950">
        <v>0</v>
      </c>
      <c r="AW950">
        <v>7.5780000000000003</v>
      </c>
      <c r="AX950">
        <v>0</v>
      </c>
      <c r="AY950">
        <v>23.498000000000001</v>
      </c>
      <c r="AZ950">
        <v>0</v>
      </c>
      <c r="BA950">
        <v>1798171</v>
      </c>
      <c r="BB950">
        <v>1180000</v>
      </c>
      <c r="BC950">
        <v>0</v>
      </c>
      <c r="BD950">
        <v>25740</v>
      </c>
      <c r="BE950">
        <v>10138</v>
      </c>
      <c r="BF950">
        <v>48697</v>
      </c>
      <c r="BG950">
        <v>25740</v>
      </c>
      <c r="BH950">
        <v>12819</v>
      </c>
      <c r="BI950">
        <v>0</v>
      </c>
      <c r="BJ950">
        <v>0</v>
      </c>
      <c r="BK950">
        <v>0</v>
      </c>
      <c r="BL950">
        <v>95194176</v>
      </c>
      <c r="BM950">
        <v>0</v>
      </c>
      <c r="BN950">
        <v>486</v>
      </c>
      <c r="BO950">
        <v>439</v>
      </c>
      <c r="BP950">
        <v>0</v>
      </c>
      <c r="BQ950">
        <v>0</v>
      </c>
      <c r="BR950">
        <v>0.90040000000000009</v>
      </c>
      <c r="BS950">
        <v>0.90040000000000009</v>
      </c>
      <c r="BT950">
        <v>0</v>
      </c>
      <c r="BU950">
        <v>0</v>
      </c>
      <c r="BV950">
        <v>88</v>
      </c>
      <c r="BW950">
        <v>91</v>
      </c>
      <c r="BX950">
        <v>1</v>
      </c>
      <c r="BY950">
        <v>0</v>
      </c>
      <c r="BZ950">
        <v>0</v>
      </c>
      <c r="CA950">
        <v>180</v>
      </c>
      <c r="CB950">
        <v>0</v>
      </c>
      <c r="CC950">
        <v>0</v>
      </c>
      <c r="CD950">
        <v>0</v>
      </c>
      <c r="CE950">
        <v>6</v>
      </c>
      <c r="CF950">
        <v>57.834000000000003</v>
      </c>
      <c r="CG950">
        <v>0</v>
      </c>
      <c r="CH950">
        <v>0</v>
      </c>
      <c r="CI950">
        <v>2</v>
      </c>
      <c r="CJ950">
        <v>0</v>
      </c>
      <c r="CK950">
        <v>0</v>
      </c>
      <c r="CL950">
        <v>0</v>
      </c>
      <c r="CM950">
        <v>4.8250000000000002</v>
      </c>
      <c r="CN950">
        <v>0</v>
      </c>
      <c r="CO950">
        <v>0</v>
      </c>
      <c r="CP950">
        <v>0</v>
      </c>
      <c r="CQ950">
        <v>0</v>
      </c>
      <c r="CR950">
        <v>0</v>
      </c>
      <c r="CS950">
        <v>0</v>
      </c>
      <c r="CT950">
        <v>0</v>
      </c>
      <c r="CU950">
        <v>0</v>
      </c>
      <c r="CV950">
        <v>6.8320000000000007</v>
      </c>
      <c r="CW950">
        <v>0.60599999999999998</v>
      </c>
      <c r="CX950">
        <v>0</v>
      </c>
      <c r="CY950" s="2043">
        <v>0</v>
      </c>
      <c r="CZ950" s="2043">
        <v>0</v>
      </c>
      <c r="DA950" s="2043">
        <v>0</v>
      </c>
      <c r="DB950" s="2043">
        <v>0</v>
      </c>
      <c r="DC950" s="2043">
        <v>0</v>
      </c>
      <c r="DI950" t="s">
        <v>5226</v>
      </c>
      <c r="DJ950" t="s">
        <v>5226</v>
      </c>
      <c r="DK950" s="2042">
        <f t="shared" si="16"/>
        <v>0</v>
      </c>
    </row>
    <row r="951" spans="1:115">
      <c r="A951" t="s">
        <v>3176</v>
      </c>
      <c r="B951" t="s">
        <v>1676</v>
      </c>
      <c r="C951">
        <v>3723.933</v>
      </c>
      <c r="D951">
        <v>3658.348</v>
      </c>
      <c r="E951">
        <v>365.43600000000004</v>
      </c>
      <c r="F951">
        <v>0</v>
      </c>
      <c r="G951" s="2043">
        <v>1971590999</v>
      </c>
      <c r="H951">
        <v>0</v>
      </c>
      <c r="I951" s="2043">
        <v>4289293</v>
      </c>
      <c r="J951">
        <v>175</v>
      </c>
      <c r="K951">
        <v>478</v>
      </c>
      <c r="L951">
        <v>0</v>
      </c>
      <c r="M951">
        <v>1819200</v>
      </c>
      <c r="N951">
        <v>0</v>
      </c>
      <c r="O951">
        <v>1819200</v>
      </c>
      <c r="P951">
        <v>0</v>
      </c>
      <c r="Q951">
        <v>0</v>
      </c>
      <c r="R951" s="2043">
        <v>16560268</v>
      </c>
      <c r="S951">
        <v>1570438</v>
      </c>
      <c r="T951">
        <v>1144456</v>
      </c>
      <c r="U951">
        <v>0.08</v>
      </c>
      <c r="V951">
        <v>0</v>
      </c>
      <c r="W951">
        <v>0</v>
      </c>
      <c r="X951">
        <v>0</v>
      </c>
      <c r="Y951">
        <v>-13670</v>
      </c>
      <c r="Z951">
        <v>0</v>
      </c>
      <c r="AA951">
        <v>0.53</v>
      </c>
      <c r="AB951">
        <v>3586.04</v>
      </c>
      <c r="AC951" s="2043">
        <v>1689667029</v>
      </c>
      <c r="AD951">
        <v>4989279</v>
      </c>
      <c r="AE951" s="2043">
        <v>19275162</v>
      </c>
      <c r="AF951">
        <v>0.9819</v>
      </c>
      <c r="AG951">
        <v>0</v>
      </c>
      <c r="AH951">
        <v>0</v>
      </c>
      <c r="AI951">
        <v>0</v>
      </c>
      <c r="AJ951">
        <v>577.88800000000003</v>
      </c>
      <c r="AK951">
        <v>15150</v>
      </c>
      <c r="AL951">
        <v>0.34200000000000003</v>
      </c>
      <c r="AM951">
        <v>0</v>
      </c>
      <c r="AN951">
        <v>207.256</v>
      </c>
      <c r="AO951">
        <v>2.0209999999999999</v>
      </c>
      <c r="AP951">
        <v>0</v>
      </c>
      <c r="AQ951">
        <v>0</v>
      </c>
      <c r="AR951">
        <v>68.137</v>
      </c>
      <c r="AS951">
        <v>0</v>
      </c>
      <c r="AT951">
        <v>44.116</v>
      </c>
      <c r="AU951">
        <v>7.851</v>
      </c>
      <c r="AV951">
        <v>0</v>
      </c>
      <c r="AW951">
        <v>129.30100000000002</v>
      </c>
      <c r="AX951">
        <v>8.8550000000000004</v>
      </c>
      <c r="AY951">
        <v>398.09100000000001</v>
      </c>
      <c r="AZ951">
        <v>0</v>
      </c>
      <c r="BA951">
        <v>19880779</v>
      </c>
      <c r="BB951">
        <v>24264441</v>
      </c>
      <c r="BC951">
        <v>0</v>
      </c>
      <c r="BD951">
        <v>459008</v>
      </c>
      <c r="BE951">
        <v>148936</v>
      </c>
      <c r="BF951">
        <v>676118</v>
      </c>
      <c r="BG951">
        <v>459008</v>
      </c>
      <c r="BH951">
        <v>68174</v>
      </c>
      <c r="BI951">
        <v>-13670</v>
      </c>
      <c r="BJ951">
        <v>0</v>
      </c>
      <c r="BK951">
        <v>0</v>
      </c>
      <c r="BL951">
        <v>1971590999</v>
      </c>
      <c r="BM951">
        <v>0</v>
      </c>
      <c r="BN951">
        <v>12294</v>
      </c>
      <c r="BO951">
        <v>7522</v>
      </c>
      <c r="BP951">
        <v>0</v>
      </c>
      <c r="BQ951">
        <v>0</v>
      </c>
      <c r="BR951">
        <v>0.84360000000000002</v>
      </c>
      <c r="BS951">
        <v>0.84360000000000002</v>
      </c>
      <c r="BT951">
        <v>0</v>
      </c>
      <c r="BU951">
        <v>0</v>
      </c>
      <c r="BV951">
        <v>397</v>
      </c>
      <c r="BW951">
        <v>886</v>
      </c>
      <c r="BX951">
        <v>182</v>
      </c>
      <c r="BY951">
        <v>705</v>
      </c>
      <c r="BZ951">
        <v>173</v>
      </c>
      <c r="CA951">
        <v>2343</v>
      </c>
      <c r="CB951">
        <v>0</v>
      </c>
      <c r="CC951">
        <v>0</v>
      </c>
      <c r="CD951">
        <v>0</v>
      </c>
      <c r="CE951">
        <v>165</v>
      </c>
      <c r="CF951">
        <v>880.28100000000006</v>
      </c>
      <c r="CG951">
        <v>7.9810000000000008</v>
      </c>
      <c r="CH951">
        <v>0</v>
      </c>
      <c r="CI951">
        <v>2</v>
      </c>
      <c r="CJ951">
        <v>2</v>
      </c>
      <c r="CK951">
        <v>1</v>
      </c>
      <c r="CL951">
        <v>7.9810000000000008</v>
      </c>
      <c r="CM951">
        <v>365.43600000000004</v>
      </c>
      <c r="CN951">
        <v>0</v>
      </c>
      <c r="CO951">
        <v>0</v>
      </c>
      <c r="CP951">
        <v>0</v>
      </c>
      <c r="CQ951">
        <v>0</v>
      </c>
      <c r="CR951">
        <v>0</v>
      </c>
      <c r="CS951">
        <v>0</v>
      </c>
      <c r="CT951">
        <v>0</v>
      </c>
      <c r="CU951">
        <v>14.563000000000001</v>
      </c>
      <c r="CV951">
        <v>248.63200000000001</v>
      </c>
      <c r="CW951">
        <v>149.239</v>
      </c>
      <c r="CX951">
        <v>0</v>
      </c>
      <c r="CY951" s="2043">
        <v>0</v>
      </c>
      <c r="CZ951" s="2043">
        <v>0</v>
      </c>
      <c r="DA951" s="2043">
        <v>0</v>
      </c>
      <c r="DB951" s="2043">
        <v>0</v>
      </c>
      <c r="DC951" s="2043">
        <v>0</v>
      </c>
      <c r="DI951" t="s">
        <v>3176</v>
      </c>
      <c r="DJ951" t="s">
        <v>3176</v>
      </c>
      <c r="DK951" s="2042">
        <f t="shared" si="16"/>
        <v>0</v>
      </c>
    </row>
    <row r="952" spans="1:115">
      <c r="A952" t="s">
        <v>5227</v>
      </c>
      <c r="B952" t="s">
        <v>1142</v>
      </c>
      <c r="C952">
        <v>1109.154</v>
      </c>
      <c r="D952">
        <v>1088.644</v>
      </c>
      <c r="E952">
        <v>19.106999999999999</v>
      </c>
      <c r="F952">
        <v>0</v>
      </c>
      <c r="G952" s="2043">
        <v>677396672</v>
      </c>
      <c r="H952">
        <v>0</v>
      </c>
      <c r="I952" s="2043">
        <v>1022075</v>
      </c>
      <c r="J952">
        <v>55.458000000000006</v>
      </c>
      <c r="K952">
        <v>152</v>
      </c>
      <c r="L952">
        <v>0</v>
      </c>
      <c r="M952">
        <v>0</v>
      </c>
      <c r="N952">
        <v>0</v>
      </c>
      <c r="O952">
        <v>0</v>
      </c>
      <c r="P952">
        <v>0</v>
      </c>
      <c r="Q952">
        <v>0</v>
      </c>
      <c r="R952" s="2043">
        <v>5599338</v>
      </c>
      <c r="S952">
        <v>395899</v>
      </c>
      <c r="T952">
        <v>0</v>
      </c>
      <c r="U952">
        <v>0.06</v>
      </c>
      <c r="V952">
        <v>0</v>
      </c>
      <c r="W952">
        <v>0</v>
      </c>
      <c r="X952">
        <v>0</v>
      </c>
      <c r="Y952">
        <v>0</v>
      </c>
      <c r="Z952">
        <v>14.695</v>
      </c>
      <c r="AA952">
        <v>0.17500000000000002</v>
      </c>
      <c r="AB952">
        <v>1041.7360000000001</v>
      </c>
      <c r="AC952" s="2043">
        <v>585442976</v>
      </c>
      <c r="AD952">
        <v>1156520</v>
      </c>
      <c r="AE952" s="2043">
        <v>5995237</v>
      </c>
      <c r="AF952">
        <v>0.90860000000000007</v>
      </c>
      <c r="AG952">
        <v>0</v>
      </c>
      <c r="AH952">
        <v>0</v>
      </c>
      <c r="AI952">
        <v>0</v>
      </c>
      <c r="AJ952">
        <v>239.82500000000002</v>
      </c>
      <c r="AK952">
        <v>5529</v>
      </c>
      <c r="AL952">
        <v>0.14300000000000002</v>
      </c>
      <c r="AM952">
        <v>0</v>
      </c>
      <c r="AN952">
        <v>54.143000000000001</v>
      </c>
      <c r="AO952">
        <v>0</v>
      </c>
      <c r="AP952">
        <v>0</v>
      </c>
      <c r="AQ952">
        <v>0</v>
      </c>
      <c r="AR952">
        <v>22.984000000000002</v>
      </c>
      <c r="AS952">
        <v>0</v>
      </c>
      <c r="AT952">
        <v>17.237000000000002</v>
      </c>
      <c r="AU952">
        <v>1.9850000000000001</v>
      </c>
      <c r="AV952">
        <v>0</v>
      </c>
      <c r="AW952">
        <v>42.349000000000004</v>
      </c>
      <c r="AX952">
        <v>0</v>
      </c>
      <c r="AY952">
        <v>131.303</v>
      </c>
      <c r="AZ952">
        <v>0</v>
      </c>
      <c r="BA952">
        <v>7039368</v>
      </c>
      <c r="BB952">
        <v>7151757</v>
      </c>
      <c r="BC952">
        <v>0</v>
      </c>
      <c r="BD952">
        <v>65735</v>
      </c>
      <c r="BE952">
        <v>22684</v>
      </c>
      <c r="BF952">
        <v>88419</v>
      </c>
      <c r="BG952">
        <v>65735</v>
      </c>
      <c r="BH952">
        <v>0</v>
      </c>
      <c r="BI952">
        <v>0</v>
      </c>
      <c r="BJ952">
        <v>0</v>
      </c>
      <c r="BK952">
        <v>0</v>
      </c>
      <c r="BL952">
        <v>677396672</v>
      </c>
      <c r="BM952">
        <v>0</v>
      </c>
      <c r="BN952">
        <v>3384</v>
      </c>
      <c r="BO952">
        <v>2953</v>
      </c>
      <c r="BP952">
        <v>0</v>
      </c>
      <c r="BQ952">
        <v>0</v>
      </c>
      <c r="BR952">
        <v>0.84860000000000002</v>
      </c>
      <c r="BS952">
        <v>0.84860000000000002</v>
      </c>
      <c r="BT952">
        <v>0</v>
      </c>
      <c r="BU952">
        <v>0</v>
      </c>
      <c r="BV952">
        <v>84</v>
      </c>
      <c r="BW952">
        <v>344</v>
      </c>
      <c r="BX952">
        <v>258</v>
      </c>
      <c r="BY952">
        <v>270</v>
      </c>
      <c r="BZ952">
        <v>14</v>
      </c>
      <c r="CA952">
        <v>970</v>
      </c>
      <c r="CB952">
        <v>0</v>
      </c>
      <c r="CC952">
        <v>0</v>
      </c>
      <c r="CD952">
        <v>0</v>
      </c>
      <c r="CE952">
        <v>66</v>
      </c>
      <c r="CF952">
        <v>293.51400000000001</v>
      </c>
      <c r="CG952">
        <v>0</v>
      </c>
      <c r="CH952">
        <v>0</v>
      </c>
      <c r="CI952">
        <v>0</v>
      </c>
      <c r="CJ952">
        <v>4</v>
      </c>
      <c r="CK952">
        <v>0</v>
      </c>
      <c r="CL952">
        <v>0</v>
      </c>
      <c r="CM952">
        <v>19.106999999999999</v>
      </c>
      <c r="CN952">
        <v>0</v>
      </c>
      <c r="CO952">
        <v>0</v>
      </c>
      <c r="CP952">
        <v>0</v>
      </c>
      <c r="CQ952">
        <v>0</v>
      </c>
      <c r="CR952">
        <v>0</v>
      </c>
      <c r="CS952">
        <v>0</v>
      </c>
      <c r="CT952">
        <v>0</v>
      </c>
      <c r="CU952">
        <v>2.5300000000000002</v>
      </c>
      <c r="CV952">
        <v>72.820999999999998</v>
      </c>
      <c r="CW952">
        <v>44.344000000000001</v>
      </c>
      <c r="CX952">
        <v>0</v>
      </c>
      <c r="CY952" s="2043">
        <v>0</v>
      </c>
      <c r="CZ952" s="2043">
        <v>0</v>
      </c>
      <c r="DA952" s="2043">
        <v>0</v>
      </c>
      <c r="DB952" s="2043">
        <v>0</v>
      </c>
      <c r="DC952" s="2043">
        <v>0</v>
      </c>
      <c r="DI952" t="s">
        <v>5227</v>
      </c>
      <c r="DJ952" t="s">
        <v>5227</v>
      </c>
      <c r="DK952" s="2042">
        <f t="shared" si="16"/>
        <v>0</v>
      </c>
    </row>
    <row r="953" spans="1:115">
      <c r="A953" t="s">
        <v>3178</v>
      </c>
      <c r="B953" t="s">
        <v>185</v>
      </c>
      <c r="C953">
        <v>1226.5050000000001</v>
      </c>
      <c r="D953">
        <v>1151.538</v>
      </c>
      <c r="E953">
        <v>60.396000000000001</v>
      </c>
      <c r="F953">
        <v>0</v>
      </c>
      <c r="G953" s="2043">
        <v>337823883</v>
      </c>
      <c r="H953">
        <v>0</v>
      </c>
      <c r="I953" s="2043">
        <v>1155278</v>
      </c>
      <c r="J953">
        <v>48</v>
      </c>
      <c r="K953">
        <v>131</v>
      </c>
      <c r="L953">
        <v>0</v>
      </c>
      <c r="M953">
        <v>0</v>
      </c>
      <c r="N953">
        <v>0</v>
      </c>
      <c r="O953">
        <v>0</v>
      </c>
      <c r="P953">
        <v>0</v>
      </c>
      <c r="Q953">
        <v>0</v>
      </c>
      <c r="R953" s="2043">
        <v>2680138</v>
      </c>
      <c r="S953">
        <v>240021</v>
      </c>
      <c r="T953">
        <v>19202</v>
      </c>
      <c r="U953">
        <v>0.08</v>
      </c>
      <c r="V953">
        <v>0</v>
      </c>
      <c r="W953">
        <v>0</v>
      </c>
      <c r="X953">
        <v>0</v>
      </c>
      <c r="Y953">
        <v>0</v>
      </c>
      <c r="Z953">
        <v>0</v>
      </c>
      <c r="AA953">
        <v>9.8000000000000004E-2</v>
      </c>
      <c r="AB953">
        <v>1151.538</v>
      </c>
      <c r="AC953" s="2043">
        <v>283133038</v>
      </c>
      <c r="AD953">
        <v>780653</v>
      </c>
      <c r="AE953" s="2043">
        <v>2939361</v>
      </c>
      <c r="AF953">
        <v>0.97970000000000002</v>
      </c>
      <c r="AG953">
        <v>0</v>
      </c>
      <c r="AH953">
        <v>0</v>
      </c>
      <c r="AI953">
        <v>0</v>
      </c>
      <c r="AJ953">
        <v>175.56300000000002</v>
      </c>
      <c r="AK953">
        <v>7443</v>
      </c>
      <c r="AL953">
        <v>0</v>
      </c>
      <c r="AM953">
        <v>0</v>
      </c>
      <c r="AN953">
        <v>36</v>
      </c>
      <c r="AO953">
        <v>0</v>
      </c>
      <c r="AP953">
        <v>0</v>
      </c>
      <c r="AQ953">
        <v>0.84900000000000009</v>
      </c>
      <c r="AR953">
        <v>62.849000000000004</v>
      </c>
      <c r="AS953">
        <v>0</v>
      </c>
      <c r="AT953">
        <v>6.5289999999999999</v>
      </c>
      <c r="AU953">
        <v>3.056</v>
      </c>
      <c r="AV953">
        <v>0</v>
      </c>
      <c r="AW953">
        <v>73.38900000000001</v>
      </c>
      <c r="AX953">
        <v>0.10600000000000001</v>
      </c>
      <c r="AY953">
        <v>223.65800000000002</v>
      </c>
      <c r="AZ953">
        <v>0</v>
      </c>
      <c r="BA953">
        <v>11045919</v>
      </c>
      <c r="BB953">
        <v>3720014</v>
      </c>
      <c r="BC953">
        <v>0</v>
      </c>
      <c r="BD953">
        <v>69968</v>
      </c>
      <c r="BE953">
        <v>17146</v>
      </c>
      <c r="BF953">
        <v>93015</v>
      </c>
      <c r="BG953">
        <v>69968</v>
      </c>
      <c r="BH953">
        <v>5901</v>
      </c>
      <c r="BI953">
        <v>0</v>
      </c>
      <c r="BJ953">
        <v>0</v>
      </c>
      <c r="BK953">
        <v>0</v>
      </c>
      <c r="BL953">
        <v>337823883</v>
      </c>
      <c r="BM953">
        <v>0</v>
      </c>
      <c r="BN953">
        <v>4995</v>
      </c>
      <c r="BO953">
        <v>4152</v>
      </c>
      <c r="BP953">
        <v>0</v>
      </c>
      <c r="BQ953">
        <v>0</v>
      </c>
      <c r="BR953">
        <v>0.89330000000000009</v>
      </c>
      <c r="BS953">
        <v>0.89330000000000009</v>
      </c>
      <c r="BT953">
        <v>0</v>
      </c>
      <c r="BU953">
        <v>0</v>
      </c>
      <c r="BV953">
        <v>254</v>
      </c>
      <c r="BW953">
        <v>351</v>
      </c>
      <c r="BX953">
        <v>66</v>
      </c>
      <c r="BY953">
        <v>34</v>
      </c>
      <c r="BZ953">
        <v>35</v>
      </c>
      <c r="CA953">
        <v>740</v>
      </c>
      <c r="CB953">
        <v>0</v>
      </c>
      <c r="CC953">
        <v>0</v>
      </c>
      <c r="CD953">
        <v>0</v>
      </c>
      <c r="CE953">
        <v>108</v>
      </c>
      <c r="CF953">
        <v>196.49300000000002</v>
      </c>
      <c r="CG953">
        <v>0</v>
      </c>
      <c r="CH953">
        <v>0.126</v>
      </c>
      <c r="CI953">
        <v>1</v>
      </c>
      <c r="CJ953">
        <v>3</v>
      </c>
      <c r="CK953">
        <v>0</v>
      </c>
      <c r="CL953">
        <v>0.126</v>
      </c>
      <c r="CM953">
        <v>60.396000000000001</v>
      </c>
      <c r="CN953">
        <v>0</v>
      </c>
      <c r="CO953">
        <v>0</v>
      </c>
      <c r="CP953">
        <v>0</v>
      </c>
      <c r="CQ953">
        <v>0</v>
      </c>
      <c r="CR953">
        <v>0</v>
      </c>
      <c r="CS953">
        <v>0</v>
      </c>
      <c r="CT953">
        <v>0</v>
      </c>
      <c r="CU953">
        <v>24.567</v>
      </c>
      <c r="CV953">
        <v>58.595000000000006</v>
      </c>
      <c r="CW953">
        <v>30.616000000000003</v>
      </c>
      <c r="CX953">
        <v>0</v>
      </c>
      <c r="CY953" s="2043">
        <v>0</v>
      </c>
      <c r="CZ953" s="2043">
        <v>0</v>
      </c>
      <c r="DA953" s="2043">
        <v>0</v>
      </c>
      <c r="DB953" s="2043">
        <v>0</v>
      </c>
      <c r="DC953" s="2043">
        <v>0</v>
      </c>
      <c r="DI953" t="s">
        <v>3177</v>
      </c>
      <c r="DJ953" t="s">
        <v>3178</v>
      </c>
      <c r="DK953" s="2042">
        <f t="shared" si="16"/>
        <v>-1</v>
      </c>
    </row>
    <row r="954" spans="1:115">
      <c r="A954" t="s">
        <v>3177</v>
      </c>
      <c r="B954" t="s">
        <v>1547</v>
      </c>
      <c r="C954">
        <v>27876.201000000001</v>
      </c>
      <c r="D954">
        <v>28907.745999999999</v>
      </c>
      <c r="E954">
        <v>4036.6370000000002</v>
      </c>
      <c r="F954">
        <v>0</v>
      </c>
      <c r="G954" s="2043">
        <v>9743652149</v>
      </c>
      <c r="H954">
        <v>0</v>
      </c>
      <c r="I954" s="2043">
        <v>16120292</v>
      </c>
      <c r="J954">
        <v>1393.81</v>
      </c>
      <c r="K954">
        <v>3810</v>
      </c>
      <c r="L954">
        <v>3847</v>
      </c>
      <c r="M954">
        <v>2888171</v>
      </c>
      <c r="N954">
        <v>3847</v>
      </c>
      <c r="O954">
        <v>2892018</v>
      </c>
      <c r="P954">
        <v>0</v>
      </c>
      <c r="Q954">
        <v>0</v>
      </c>
      <c r="R954" s="2043">
        <v>88447077</v>
      </c>
      <c r="S954">
        <v>7770444</v>
      </c>
      <c r="T954">
        <v>0</v>
      </c>
      <c r="U954">
        <v>0.08</v>
      </c>
      <c r="V954">
        <v>0</v>
      </c>
      <c r="W954">
        <v>0</v>
      </c>
      <c r="X954">
        <v>0</v>
      </c>
      <c r="Y954">
        <v>-2392</v>
      </c>
      <c r="Z954">
        <v>0</v>
      </c>
      <c r="AA954">
        <v>3.294</v>
      </c>
      <c r="AB954">
        <v>28191.423999999999</v>
      </c>
      <c r="AC954" s="2043">
        <v>9312489042</v>
      </c>
      <c r="AD954">
        <v>15429069</v>
      </c>
      <c r="AE954" s="2043">
        <v>96217521</v>
      </c>
      <c r="AF954">
        <v>0.99060000000000004</v>
      </c>
      <c r="AG954">
        <v>0</v>
      </c>
      <c r="AH954">
        <v>0</v>
      </c>
      <c r="AI954">
        <v>0</v>
      </c>
      <c r="AJ954">
        <v>5252.5250000000005</v>
      </c>
      <c r="AK954">
        <v>104730</v>
      </c>
      <c r="AL954">
        <v>1.288</v>
      </c>
      <c r="AM954">
        <v>0</v>
      </c>
      <c r="AN954">
        <v>1637.1610000000001</v>
      </c>
      <c r="AO954">
        <v>0</v>
      </c>
      <c r="AP954">
        <v>0</v>
      </c>
      <c r="AQ954">
        <v>7.6220000000000008</v>
      </c>
      <c r="AR954">
        <v>426.464</v>
      </c>
      <c r="AS954">
        <v>0</v>
      </c>
      <c r="AT954">
        <v>289.435</v>
      </c>
      <c r="AU954">
        <v>82.082999999999998</v>
      </c>
      <c r="AV954">
        <v>0</v>
      </c>
      <c r="AW954">
        <v>870.61700000000008</v>
      </c>
      <c r="AX954">
        <v>63.725000000000001</v>
      </c>
      <c r="AY954">
        <v>2711.12</v>
      </c>
      <c r="AZ954">
        <v>0</v>
      </c>
      <c r="BA954">
        <v>180755830</v>
      </c>
      <c r="BB954">
        <v>111646590</v>
      </c>
      <c r="BC954">
        <v>543</v>
      </c>
      <c r="BD954">
        <v>279043</v>
      </c>
      <c r="BE954">
        <v>459945</v>
      </c>
      <c r="BF954">
        <v>1088157</v>
      </c>
      <c r="BG954">
        <v>279586</v>
      </c>
      <c r="BH954">
        <v>348626</v>
      </c>
      <c r="BI954">
        <v>-2392</v>
      </c>
      <c r="BJ954">
        <v>0</v>
      </c>
      <c r="BK954">
        <v>0</v>
      </c>
      <c r="BL954">
        <v>9743652149</v>
      </c>
      <c r="BM954">
        <v>0</v>
      </c>
      <c r="BN954">
        <v>101979</v>
      </c>
      <c r="BO954">
        <v>22395</v>
      </c>
      <c r="BP954">
        <v>0</v>
      </c>
      <c r="BQ954">
        <v>0</v>
      </c>
      <c r="BR954">
        <v>0.91060000000000008</v>
      </c>
      <c r="BS954">
        <v>0.91060000000000008</v>
      </c>
      <c r="BT954">
        <v>0</v>
      </c>
      <c r="BU954">
        <v>0</v>
      </c>
      <c r="BV954">
        <v>2578</v>
      </c>
      <c r="BW954">
        <v>2734</v>
      </c>
      <c r="BX954">
        <v>4918</v>
      </c>
      <c r="BY954">
        <v>5088</v>
      </c>
      <c r="BZ954">
        <v>5302</v>
      </c>
      <c r="CA954">
        <v>20620</v>
      </c>
      <c r="CB954">
        <v>0</v>
      </c>
      <c r="CC954">
        <v>598.88300000000004</v>
      </c>
      <c r="CD954">
        <v>0</v>
      </c>
      <c r="CE954">
        <v>1938</v>
      </c>
      <c r="CF954">
        <v>8004.6080000000002</v>
      </c>
      <c r="CG954">
        <v>72.331000000000003</v>
      </c>
      <c r="CH954">
        <v>9.3280000000000012</v>
      </c>
      <c r="CI954">
        <v>210</v>
      </c>
      <c r="CJ954">
        <v>290</v>
      </c>
      <c r="CK954">
        <v>5</v>
      </c>
      <c r="CL954">
        <v>81.659000000000006</v>
      </c>
      <c r="CM954">
        <v>4036.6370000000002</v>
      </c>
      <c r="CN954">
        <v>0</v>
      </c>
      <c r="CO954">
        <v>0</v>
      </c>
      <c r="CP954">
        <v>0</v>
      </c>
      <c r="CQ954">
        <v>0</v>
      </c>
      <c r="CR954">
        <v>0</v>
      </c>
      <c r="CS954">
        <v>0</v>
      </c>
      <c r="CT954">
        <v>0</v>
      </c>
      <c r="CU954">
        <v>193.52200000000002</v>
      </c>
      <c r="CV954">
        <v>1228.7670000000001</v>
      </c>
      <c r="CW954">
        <v>678.35700000000008</v>
      </c>
      <c r="CX954">
        <v>0</v>
      </c>
      <c r="CY954" s="2043">
        <v>0</v>
      </c>
      <c r="CZ954" s="2043">
        <v>0</v>
      </c>
      <c r="DA954" s="2043">
        <v>0</v>
      </c>
      <c r="DB954" s="2043">
        <v>0</v>
      </c>
      <c r="DC954" s="2043">
        <v>0</v>
      </c>
      <c r="DI954" t="s">
        <v>3178</v>
      </c>
      <c r="DJ954" t="s">
        <v>3177</v>
      </c>
      <c r="DK954" s="2042">
        <f t="shared" si="16"/>
        <v>1</v>
      </c>
    </row>
    <row r="955" spans="1:115">
      <c r="A955" t="s">
        <v>5228</v>
      </c>
      <c r="B955" t="s">
        <v>537</v>
      </c>
      <c r="C955">
        <v>756.05100000000004</v>
      </c>
      <c r="D955">
        <v>848.34900000000005</v>
      </c>
      <c r="E955">
        <v>62.673999999999999</v>
      </c>
      <c r="F955">
        <v>0</v>
      </c>
      <c r="G955" s="2043">
        <v>1377355157</v>
      </c>
      <c r="H955">
        <v>0</v>
      </c>
      <c r="I955" s="2043">
        <v>1735544</v>
      </c>
      <c r="J955">
        <v>37.803000000000004</v>
      </c>
      <c r="K955">
        <v>103</v>
      </c>
      <c r="L955">
        <v>0</v>
      </c>
      <c r="M955">
        <v>0</v>
      </c>
      <c r="N955">
        <v>0</v>
      </c>
      <c r="O955">
        <v>0</v>
      </c>
      <c r="P955">
        <v>0</v>
      </c>
      <c r="Q955">
        <v>0</v>
      </c>
      <c r="R955" s="2043">
        <v>12507046</v>
      </c>
      <c r="S955">
        <v>689625</v>
      </c>
      <c r="T955">
        <v>0</v>
      </c>
      <c r="U955">
        <v>0.05</v>
      </c>
      <c r="V955">
        <v>0</v>
      </c>
      <c r="W955">
        <v>4444320</v>
      </c>
      <c r="X955">
        <v>0</v>
      </c>
      <c r="Y955">
        <v>0</v>
      </c>
      <c r="Z955">
        <v>0</v>
      </c>
      <c r="AA955">
        <v>0</v>
      </c>
      <c r="AB955">
        <v>799.673</v>
      </c>
      <c r="AC955" s="2043">
        <v>1356602988</v>
      </c>
      <c r="AD955">
        <v>1762256</v>
      </c>
      <c r="AE955" s="2043">
        <v>13196671</v>
      </c>
      <c r="AF955">
        <v>0.95680000000000009</v>
      </c>
      <c r="AG955">
        <v>0</v>
      </c>
      <c r="AH955">
        <v>4444320</v>
      </c>
      <c r="AI955">
        <v>0</v>
      </c>
      <c r="AJ955">
        <v>115.66300000000001</v>
      </c>
      <c r="AK955">
        <v>3490</v>
      </c>
      <c r="AL955">
        <v>0</v>
      </c>
      <c r="AM955">
        <v>0</v>
      </c>
      <c r="AN955">
        <v>58.358000000000004</v>
      </c>
      <c r="AO955">
        <v>0</v>
      </c>
      <c r="AP955">
        <v>0</v>
      </c>
      <c r="AQ955">
        <v>0</v>
      </c>
      <c r="AR955">
        <v>12.094000000000001</v>
      </c>
      <c r="AS955">
        <v>0</v>
      </c>
      <c r="AT955">
        <v>0.61099999999999999</v>
      </c>
      <c r="AU955">
        <v>1.4510000000000001</v>
      </c>
      <c r="AV955">
        <v>0</v>
      </c>
      <c r="AW955">
        <v>14.156000000000001</v>
      </c>
      <c r="AX955">
        <v>0</v>
      </c>
      <c r="AY955">
        <v>45.37</v>
      </c>
      <c r="AZ955">
        <v>0</v>
      </c>
      <c r="BA955">
        <v>434608</v>
      </c>
      <c r="BB955">
        <v>14958927</v>
      </c>
      <c r="BC955">
        <v>0</v>
      </c>
      <c r="BD955">
        <v>46675</v>
      </c>
      <c r="BE955">
        <v>17522</v>
      </c>
      <c r="BF955">
        <v>64197</v>
      </c>
      <c r="BG955">
        <v>46675</v>
      </c>
      <c r="BH955">
        <v>0</v>
      </c>
      <c r="BI955">
        <v>0</v>
      </c>
      <c r="BJ955">
        <v>0</v>
      </c>
      <c r="BK955">
        <v>0</v>
      </c>
      <c r="BL955">
        <v>1377355157</v>
      </c>
      <c r="BM955">
        <v>0</v>
      </c>
      <c r="BN955">
        <v>2871</v>
      </c>
      <c r="BO955">
        <v>995</v>
      </c>
      <c r="BP955">
        <v>0</v>
      </c>
      <c r="BQ955">
        <v>0</v>
      </c>
      <c r="BR955">
        <v>0.90680000000000005</v>
      </c>
      <c r="BS955">
        <v>0.90680000000000005</v>
      </c>
      <c r="BT955">
        <v>0</v>
      </c>
      <c r="BU955">
        <v>0</v>
      </c>
      <c r="BV955">
        <v>46</v>
      </c>
      <c r="BW955">
        <v>50</v>
      </c>
      <c r="BX955">
        <v>328</v>
      </c>
      <c r="BY955">
        <v>31</v>
      </c>
      <c r="BZ955">
        <v>12</v>
      </c>
      <c r="CA955">
        <v>467</v>
      </c>
      <c r="CB955">
        <v>0</v>
      </c>
      <c r="CC955">
        <v>0</v>
      </c>
      <c r="CD955">
        <v>0</v>
      </c>
      <c r="CE955">
        <v>94</v>
      </c>
      <c r="CF955">
        <v>143.339</v>
      </c>
      <c r="CG955">
        <v>0</v>
      </c>
      <c r="CH955">
        <v>0</v>
      </c>
      <c r="CI955">
        <v>9</v>
      </c>
      <c r="CJ955">
        <v>4</v>
      </c>
      <c r="CK955">
        <v>0</v>
      </c>
      <c r="CL955">
        <v>0</v>
      </c>
      <c r="CM955">
        <v>62.673999999999999</v>
      </c>
      <c r="CN955">
        <v>0</v>
      </c>
      <c r="CO955">
        <v>0</v>
      </c>
      <c r="CP955">
        <v>0</v>
      </c>
      <c r="CQ955">
        <v>0</v>
      </c>
      <c r="CR955">
        <v>0</v>
      </c>
      <c r="CS955">
        <v>0</v>
      </c>
      <c r="CT955">
        <v>0</v>
      </c>
      <c r="CU955">
        <v>5.5670000000000002</v>
      </c>
      <c r="CV955">
        <v>47.565000000000005</v>
      </c>
      <c r="CW955">
        <v>14.253</v>
      </c>
      <c r="CX955">
        <v>0</v>
      </c>
      <c r="CY955" s="2043">
        <v>0</v>
      </c>
      <c r="CZ955" s="2043">
        <v>0</v>
      </c>
      <c r="DA955" s="2043">
        <v>0</v>
      </c>
      <c r="DB955" s="2043">
        <v>0</v>
      </c>
      <c r="DC955" s="2043">
        <v>152762</v>
      </c>
      <c r="DI955" t="s">
        <v>5228</v>
      </c>
      <c r="DJ955" t="s">
        <v>5228</v>
      </c>
      <c r="DK955" s="2042">
        <f t="shared" si="16"/>
        <v>0</v>
      </c>
    </row>
    <row r="956" spans="1:115">
      <c r="A956" t="s">
        <v>5229</v>
      </c>
      <c r="B956" t="s">
        <v>2059</v>
      </c>
      <c r="C956">
        <v>1457.5020000000002</v>
      </c>
      <c r="D956">
        <v>1378.1790000000001</v>
      </c>
      <c r="E956">
        <v>12.098000000000001</v>
      </c>
      <c r="F956">
        <v>0</v>
      </c>
      <c r="G956" s="2043">
        <v>1429454819</v>
      </c>
      <c r="H956">
        <v>0</v>
      </c>
      <c r="I956" s="2043">
        <v>1841163</v>
      </c>
      <c r="J956">
        <v>72.875</v>
      </c>
      <c r="K956">
        <v>199</v>
      </c>
      <c r="L956">
        <v>0</v>
      </c>
      <c r="M956">
        <v>0</v>
      </c>
      <c r="N956">
        <v>0</v>
      </c>
      <c r="O956">
        <v>0</v>
      </c>
      <c r="P956">
        <v>0</v>
      </c>
      <c r="Q956">
        <v>0</v>
      </c>
      <c r="R956" s="2043">
        <v>13134493</v>
      </c>
      <c r="S956">
        <v>718989</v>
      </c>
      <c r="T956">
        <v>0</v>
      </c>
      <c r="U956">
        <v>0.05</v>
      </c>
      <c r="V956">
        <v>0</v>
      </c>
      <c r="W956">
        <v>958796</v>
      </c>
      <c r="X956">
        <v>0</v>
      </c>
      <c r="Y956">
        <v>507852</v>
      </c>
      <c r="Z956">
        <v>0</v>
      </c>
      <c r="AA956">
        <v>0</v>
      </c>
      <c r="AB956">
        <v>1377.415</v>
      </c>
      <c r="AC956" s="2043">
        <v>1378531904</v>
      </c>
      <c r="AD956">
        <v>2777907</v>
      </c>
      <c r="AE956" s="2043">
        <v>13853482</v>
      </c>
      <c r="AF956">
        <v>0.96340000000000003</v>
      </c>
      <c r="AG956">
        <v>0</v>
      </c>
      <c r="AH956">
        <v>958796</v>
      </c>
      <c r="AI956">
        <v>0</v>
      </c>
      <c r="AJ956">
        <v>61.963000000000001</v>
      </c>
      <c r="AK956">
        <v>6191</v>
      </c>
      <c r="AL956">
        <v>7.3000000000000009E-2</v>
      </c>
      <c r="AM956">
        <v>0</v>
      </c>
      <c r="AN956">
        <v>73.082000000000008</v>
      </c>
      <c r="AO956">
        <v>0</v>
      </c>
      <c r="AP956">
        <v>0</v>
      </c>
      <c r="AQ956">
        <v>0</v>
      </c>
      <c r="AR956">
        <v>37.770000000000003</v>
      </c>
      <c r="AS956">
        <v>0</v>
      </c>
      <c r="AT956">
        <v>7.5290000000000008</v>
      </c>
      <c r="AU956">
        <v>3.9340000000000002</v>
      </c>
      <c r="AV956">
        <v>0</v>
      </c>
      <c r="AW956">
        <v>49.306000000000004</v>
      </c>
      <c r="AX956">
        <v>0</v>
      </c>
      <c r="AY956">
        <v>155.93200000000002</v>
      </c>
      <c r="AZ956">
        <v>0</v>
      </c>
      <c r="BA956">
        <v>1531400</v>
      </c>
      <c r="BB956">
        <v>16631389</v>
      </c>
      <c r="BC956">
        <v>0</v>
      </c>
      <c r="BD956">
        <v>117125</v>
      </c>
      <c r="BE956">
        <v>20866</v>
      </c>
      <c r="BF956">
        <v>137991</v>
      </c>
      <c r="BG956">
        <v>117125</v>
      </c>
      <c r="BH956">
        <v>0</v>
      </c>
      <c r="BI956">
        <v>0</v>
      </c>
      <c r="BJ956">
        <v>0</v>
      </c>
      <c r="BK956">
        <v>0</v>
      </c>
      <c r="BL956">
        <v>1429454819</v>
      </c>
      <c r="BM956">
        <v>0</v>
      </c>
      <c r="BN956">
        <v>5940</v>
      </c>
      <c r="BO956">
        <v>3296</v>
      </c>
      <c r="BP956">
        <v>0</v>
      </c>
      <c r="BQ956">
        <v>0</v>
      </c>
      <c r="BR956">
        <v>0.91339999999999999</v>
      </c>
      <c r="BS956">
        <v>0.91339999999999999</v>
      </c>
      <c r="BT956">
        <v>507852</v>
      </c>
      <c r="BU956">
        <v>0</v>
      </c>
      <c r="BV956">
        <v>249</v>
      </c>
      <c r="BW956">
        <v>7</v>
      </c>
      <c r="BX956">
        <v>2</v>
      </c>
      <c r="BY956">
        <v>6</v>
      </c>
      <c r="BZ956">
        <v>8</v>
      </c>
      <c r="CA956">
        <v>272</v>
      </c>
      <c r="CB956">
        <v>0</v>
      </c>
      <c r="CC956">
        <v>0</v>
      </c>
      <c r="CD956">
        <v>0</v>
      </c>
      <c r="CE956">
        <v>187</v>
      </c>
      <c r="CF956">
        <v>78.874000000000009</v>
      </c>
      <c r="CG956">
        <v>0</v>
      </c>
      <c r="CH956">
        <v>0</v>
      </c>
      <c r="CI956">
        <v>1</v>
      </c>
      <c r="CJ956">
        <v>23</v>
      </c>
      <c r="CK956">
        <v>0</v>
      </c>
      <c r="CL956">
        <v>0</v>
      </c>
      <c r="CM956">
        <v>12.098000000000001</v>
      </c>
      <c r="CN956">
        <v>0</v>
      </c>
      <c r="CO956">
        <v>0</v>
      </c>
      <c r="CP956">
        <v>0</v>
      </c>
      <c r="CQ956">
        <v>0</v>
      </c>
      <c r="CR956">
        <v>0</v>
      </c>
      <c r="CS956">
        <v>0</v>
      </c>
      <c r="CT956">
        <v>0</v>
      </c>
      <c r="CU956">
        <v>1.327</v>
      </c>
      <c r="CV956">
        <v>74.75</v>
      </c>
      <c r="CW956">
        <v>80.049000000000007</v>
      </c>
      <c r="CX956">
        <v>507852</v>
      </c>
      <c r="CY956" s="2043">
        <v>0</v>
      </c>
      <c r="CZ956" s="2043">
        <v>0</v>
      </c>
      <c r="DA956" s="2043">
        <v>0</v>
      </c>
      <c r="DB956" s="2043">
        <v>0</v>
      </c>
      <c r="DC956" s="2043">
        <v>167533</v>
      </c>
      <c r="DI956" t="s">
        <v>5229</v>
      </c>
      <c r="DJ956" t="s">
        <v>5229</v>
      </c>
      <c r="DK956" s="2042">
        <f t="shared" si="16"/>
        <v>0</v>
      </c>
    </row>
    <row r="957" spans="1:115">
      <c r="A957" t="s">
        <v>8515</v>
      </c>
      <c r="B957" t="s">
        <v>11396</v>
      </c>
      <c r="C957">
        <v>0</v>
      </c>
      <c r="D957">
        <v>0</v>
      </c>
      <c r="E957">
        <v>0</v>
      </c>
      <c r="F957">
        <v>0</v>
      </c>
      <c r="G957" s="2043">
        <v>0</v>
      </c>
      <c r="H957">
        <v>0</v>
      </c>
      <c r="I957" s="2043">
        <v>0</v>
      </c>
      <c r="J957">
        <v>0</v>
      </c>
      <c r="K957">
        <v>0</v>
      </c>
      <c r="L957">
        <v>0</v>
      </c>
      <c r="M957">
        <v>0</v>
      </c>
      <c r="N957">
        <v>0</v>
      </c>
      <c r="O957">
        <v>0</v>
      </c>
      <c r="P957">
        <v>0</v>
      </c>
      <c r="Q957">
        <v>0</v>
      </c>
      <c r="R957" s="2043">
        <v>0</v>
      </c>
      <c r="S957">
        <v>0</v>
      </c>
      <c r="T957">
        <v>0</v>
      </c>
      <c r="U957">
        <v>0</v>
      </c>
      <c r="V957">
        <v>0</v>
      </c>
      <c r="W957">
        <v>0</v>
      </c>
      <c r="X957">
        <v>0</v>
      </c>
      <c r="Y957">
        <v>392008</v>
      </c>
      <c r="Z957">
        <v>0</v>
      </c>
      <c r="AA957">
        <v>0</v>
      </c>
      <c r="AB957">
        <v>0</v>
      </c>
      <c r="AC957" s="2043">
        <v>0</v>
      </c>
      <c r="AD957">
        <v>0</v>
      </c>
      <c r="AE957" s="2043">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392008</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N957">
        <v>0</v>
      </c>
      <c r="CO957">
        <v>0</v>
      </c>
      <c r="CP957">
        <v>0</v>
      </c>
      <c r="CQ957">
        <v>0</v>
      </c>
      <c r="CR957">
        <v>0</v>
      </c>
      <c r="CS957">
        <v>0</v>
      </c>
      <c r="CT957">
        <v>0</v>
      </c>
      <c r="CU957">
        <v>0</v>
      </c>
      <c r="CV957">
        <v>0</v>
      </c>
      <c r="CW957">
        <v>0</v>
      </c>
      <c r="CX957">
        <v>0</v>
      </c>
      <c r="CY957" s="2043">
        <v>0</v>
      </c>
      <c r="CZ957" s="2043">
        <v>0</v>
      </c>
      <c r="DA957" s="2043">
        <v>0</v>
      </c>
      <c r="DB957" s="2043">
        <v>0</v>
      </c>
      <c r="DC957" s="2043">
        <v>0</v>
      </c>
      <c r="DI957" t="s">
        <v>8515</v>
      </c>
      <c r="DJ957" t="s">
        <v>8515</v>
      </c>
      <c r="DK957" s="2042">
        <f t="shared" si="16"/>
        <v>0</v>
      </c>
    </row>
    <row r="958" spans="1:115">
      <c r="A958" t="s">
        <v>3179</v>
      </c>
      <c r="B958" t="s">
        <v>1382</v>
      </c>
      <c r="C958">
        <v>240.56800000000001</v>
      </c>
      <c r="D958">
        <v>291.83300000000003</v>
      </c>
      <c r="E958">
        <v>37.454000000000001</v>
      </c>
      <c r="F958">
        <v>0</v>
      </c>
      <c r="G958" s="2043">
        <v>477648381</v>
      </c>
      <c r="H958">
        <v>0</v>
      </c>
      <c r="I958" s="2043">
        <v>435403</v>
      </c>
      <c r="J958">
        <v>1</v>
      </c>
      <c r="K958">
        <v>3</v>
      </c>
      <c r="L958">
        <v>0</v>
      </c>
      <c r="M958">
        <v>241412</v>
      </c>
      <c r="N958">
        <v>0</v>
      </c>
      <c r="O958">
        <v>241412</v>
      </c>
      <c r="P958">
        <v>0</v>
      </c>
      <c r="Q958">
        <v>0</v>
      </c>
      <c r="R958" s="2043">
        <v>3856733</v>
      </c>
      <c r="S958">
        <v>234594</v>
      </c>
      <c r="T958">
        <v>0</v>
      </c>
      <c r="U958">
        <v>0.05</v>
      </c>
      <c r="V958">
        <v>0</v>
      </c>
      <c r="W958">
        <v>1098689</v>
      </c>
      <c r="X958">
        <v>0</v>
      </c>
      <c r="Y958">
        <v>0</v>
      </c>
      <c r="Z958">
        <v>0</v>
      </c>
      <c r="AA958">
        <v>0</v>
      </c>
      <c r="AB958">
        <v>270.93400000000003</v>
      </c>
      <c r="AC958" s="2043">
        <v>418290017</v>
      </c>
      <c r="AD958">
        <v>646690</v>
      </c>
      <c r="AE958" s="2043">
        <v>4091327</v>
      </c>
      <c r="AF958">
        <v>0.872</v>
      </c>
      <c r="AG958">
        <v>0</v>
      </c>
      <c r="AH958">
        <v>1098689</v>
      </c>
      <c r="AI958">
        <v>0</v>
      </c>
      <c r="AJ958">
        <v>36.838000000000001</v>
      </c>
      <c r="AK958">
        <v>1401</v>
      </c>
      <c r="AL958">
        <v>0</v>
      </c>
      <c r="AM958">
        <v>0</v>
      </c>
      <c r="AN958">
        <v>10.059000000000001</v>
      </c>
      <c r="AO958">
        <v>0</v>
      </c>
      <c r="AP958">
        <v>0</v>
      </c>
      <c r="AQ958">
        <v>0</v>
      </c>
      <c r="AR958">
        <v>6.3780000000000001</v>
      </c>
      <c r="AS958">
        <v>0</v>
      </c>
      <c r="AT958">
        <v>2.339</v>
      </c>
      <c r="AU958">
        <v>0.438</v>
      </c>
      <c r="AV958">
        <v>0</v>
      </c>
      <c r="AW958">
        <v>9.1550000000000011</v>
      </c>
      <c r="AX958">
        <v>0</v>
      </c>
      <c r="AY958">
        <v>28.341000000000001</v>
      </c>
      <c r="AZ958">
        <v>0</v>
      </c>
      <c r="BA958">
        <v>153939</v>
      </c>
      <c r="BB958">
        <v>4738017</v>
      </c>
      <c r="BC958">
        <v>0</v>
      </c>
      <c r="BD958">
        <v>0</v>
      </c>
      <c r="BE958">
        <v>3213</v>
      </c>
      <c r="BF958">
        <v>3213</v>
      </c>
      <c r="BG958">
        <v>0</v>
      </c>
      <c r="BH958">
        <v>0</v>
      </c>
      <c r="BI958">
        <v>0</v>
      </c>
      <c r="BJ958">
        <v>0</v>
      </c>
      <c r="BK958">
        <v>0</v>
      </c>
      <c r="BL958">
        <v>477648381</v>
      </c>
      <c r="BM958">
        <v>0</v>
      </c>
      <c r="BN958">
        <v>990</v>
      </c>
      <c r="BO958">
        <v>64</v>
      </c>
      <c r="BP958">
        <v>0</v>
      </c>
      <c r="BQ958">
        <v>0</v>
      </c>
      <c r="BR958">
        <v>0.82200000000000006</v>
      </c>
      <c r="BS958">
        <v>0.82200000000000006</v>
      </c>
      <c r="BT958">
        <v>0</v>
      </c>
      <c r="BU958">
        <v>0</v>
      </c>
      <c r="BV958">
        <v>0</v>
      </c>
      <c r="BW958">
        <v>26</v>
      </c>
      <c r="BX958">
        <v>67</v>
      </c>
      <c r="BY958">
        <v>53</v>
      </c>
      <c r="BZ958">
        <v>0</v>
      </c>
      <c r="CA958">
        <v>146</v>
      </c>
      <c r="CB958">
        <v>0</v>
      </c>
      <c r="CC958">
        <v>0</v>
      </c>
      <c r="CD958">
        <v>0</v>
      </c>
      <c r="CE958">
        <v>13</v>
      </c>
      <c r="CF958">
        <v>46.935000000000002</v>
      </c>
      <c r="CG958">
        <v>0</v>
      </c>
      <c r="CH958">
        <v>0</v>
      </c>
      <c r="CI958">
        <v>0</v>
      </c>
      <c r="CJ958">
        <v>1</v>
      </c>
      <c r="CK958">
        <v>0</v>
      </c>
      <c r="CL958">
        <v>0</v>
      </c>
      <c r="CM958">
        <v>37.454000000000001</v>
      </c>
      <c r="CN958">
        <v>0</v>
      </c>
      <c r="CO958">
        <v>0</v>
      </c>
      <c r="CP958">
        <v>0</v>
      </c>
      <c r="CQ958">
        <v>0</v>
      </c>
      <c r="CR958">
        <v>0</v>
      </c>
      <c r="CS958">
        <v>0</v>
      </c>
      <c r="CT958">
        <v>0</v>
      </c>
      <c r="CU958">
        <v>0</v>
      </c>
      <c r="CV958">
        <v>6.7150000000000007</v>
      </c>
      <c r="CW958">
        <v>0.56100000000000005</v>
      </c>
      <c r="CX958">
        <v>0</v>
      </c>
      <c r="CY958" s="2043">
        <v>0</v>
      </c>
      <c r="CZ958" s="2043">
        <v>0</v>
      </c>
      <c r="DA958" s="2043">
        <v>0</v>
      </c>
      <c r="DB958" s="2043">
        <v>0</v>
      </c>
      <c r="DC958" s="2043">
        <v>0</v>
      </c>
      <c r="DI958" t="s">
        <v>3179</v>
      </c>
      <c r="DJ958" t="s">
        <v>3179</v>
      </c>
      <c r="DK958" s="2042">
        <f t="shared" si="16"/>
        <v>0</v>
      </c>
    </row>
    <row r="959" spans="1:115">
      <c r="A959">
        <v>189902</v>
      </c>
      <c r="B959" t="s">
        <v>203</v>
      </c>
      <c r="C959">
        <v>945.4140000000001</v>
      </c>
      <c r="D959">
        <v>1029.915</v>
      </c>
      <c r="E959">
        <v>543.37900000000002</v>
      </c>
      <c r="F959">
        <v>0</v>
      </c>
      <c r="G959" s="2043">
        <v>230730869</v>
      </c>
      <c r="H959">
        <v>0</v>
      </c>
      <c r="I959" s="2043">
        <v>672750</v>
      </c>
      <c r="J959">
        <v>47.271000000000001</v>
      </c>
      <c r="K959">
        <v>129</v>
      </c>
      <c r="L959">
        <v>136634</v>
      </c>
      <c r="M959">
        <v>314737</v>
      </c>
      <c r="N959">
        <v>136634</v>
      </c>
      <c r="O959">
        <v>451371</v>
      </c>
      <c r="P959">
        <v>0</v>
      </c>
      <c r="Q959">
        <v>0</v>
      </c>
      <c r="R959" s="2043">
        <v>1734985</v>
      </c>
      <c r="S959">
        <v>158918</v>
      </c>
      <c r="T959">
        <v>115811</v>
      </c>
      <c r="U959">
        <v>0.08</v>
      </c>
      <c r="V959">
        <v>0</v>
      </c>
      <c r="W959">
        <v>0</v>
      </c>
      <c r="X959">
        <v>0</v>
      </c>
      <c r="Y959">
        <v>0</v>
      </c>
      <c r="Z959">
        <v>0</v>
      </c>
      <c r="AA959">
        <v>1.5000000000000001E-2</v>
      </c>
      <c r="AB959">
        <v>857.48800000000006</v>
      </c>
      <c r="AC959" s="2043">
        <v>190704397</v>
      </c>
      <c r="AD959">
        <v>355332</v>
      </c>
      <c r="AE959" s="2043">
        <v>2009714</v>
      </c>
      <c r="AF959">
        <v>1.0117</v>
      </c>
      <c r="AG959">
        <v>0</v>
      </c>
      <c r="AH959">
        <v>0</v>
      </c>
      <c r="AI959">
        <v>0</v>
      </c>
      <c r="AJ959">
        <v>252.97500000000002</v>
      </c>
      <c r="AK959">
        <v>2610</v>
      </c>
      <c r="AL959">
        <v>0</v>
      </c>
      <c r="AM959">
        <v>0</v>
      </c>
      <c r="AN959">
        <v>21.605</v>
      </c>
      <c r="AO959">
        <v>0</v>
      </c>
      <c r="AP959">
        <v>0</v>
      </c>
      <c r="AQ959">
        <v>0</v>
      </c>
      <c r="AR959">
        <v>14.6</v>
      </c>
      <c r="AS959">
        <v>0</v>
      </c>
      <c r="AT959">
        <v>5.093</v>
      </c>
      <c r="AU959">
        <v>0.996</v>
      </c>
      <c r="AV959">
        <v>0</v>
      </c>
      <c r="AW959">
        <v>20.689</v>
      </c>
      <c r="AX959">
        <v>0</v>
      </c>
      <c r="AY959">
        <v>64.058999999999997</v>
      </c>
      <c r="AZ959">
        <v>0</v>
      </c>
      <c r="BA959">
        <v>10219510</v>
      </c>
      <c r="BB959">
        <v>2365046</v>
      </c>
      <c r="BC959">
        <v>0</v>
      </c>
      <c r="BD959">
        <v>70526</v>
      </c>
      <c r="BE959">
        <v>7346</v>
      </c>
      <c r="BF959">
        <v>77872</v>
      </c>
      <c r="BG959">
        <v>70526</v>
      </c>
      <c r="BH959">
        <v>0</v>
      </c>
      <c r="BI959">
        <v>0</v>
      </c>
      <c r="BJ959">
        <v>0</v>
      </c>
      <c r="BK959">
        <v>0</v>
      </c>
      <c r="BL959">
        <v>230730869</v>
      </c>
      <c r="BM959">
        <v>0</v>
      </c>
      <c r="BN959">
        <v>4356</v>
      </c>
      <c r="BO959">
        <v>257</v>
      </c>
      <c r="BP959">
        <v>0</v>
      </c>
      <c r="BQ959">
        <v>0</v>
      </c>
      <c r="BR959">
        <v>0.87340000000000007</v>
      </c>
      <c r="BS959">
        <v>0.87340000000000007</v>
      </c>
      <c r="BT959">
        <v>0</v>
      </c>
      <c r="BU959">
        <v>0</v>
      </c>
      <c r="BV959">
        <v>0</v>
      </c>
      <c r="BW959">
        <v>13</v>
      </c>
      <c r="BX959">
        <v>34</v>
      </c>
      <c r="BY959">
        <v>467</v>
      </c>
      <c r="BZ959">
        <v>432</v>
      </c>
      <c r="CA959">
        <v>946</v>
      </c>
      <c r="CB959">
        <v>0</v>
      </c>
      <c r="CC959">
        <v>0</v>
      </c>
      <c r="CD959">
        <v>0</v>
      </c>
      <c r="CE959">
        <v>31</v>
      </c>
      <c r="CF959">
        <v>395.34100000000001</v>
      </c>
      <c r="CG959">
        <v>0</v>
      </c>
      <c r="CH959">
        <v>0</v>
      </c>
      <c r="CI959">
        <v>31</v>
      </c>
      <c r="CJ959">
        <v>4</v>
      </c>
      <c r="CK959">
        <v>1</v>
      </c>
      <c r="CL959">
        <v>0</v>
      </c>
      <c r="CM959">
        <v>543.37900000000002</v>
      </c>
      <c r="CN959">
        <v>0</v>
      </c>
      <c r="CO959">
        <v>0</v>
      </c>
      <c r="CP959">
        <v>0</v>
      </c>
      <c r="CQ959">
        <v>0</v>
      </c>
      <c r="CR959">
        <v>0</v>
      </c>
      <c r="CS959">
        <v>0</v>
      </c>
      <c r="CT959">
        <v>0</v>
      </c>
      <c r="CU959">
        <v>5.4130000000000003</v>
      </c>
      <c r="CV959">
        <v>45.201000000000001</v>
      </c>
      <c r="CW959">
        <v>15.11</v>
      </c>
      <c r="CX959">
        <v>0</v>
      </c>
      <c r="CY959" s="2043">
        <v>0</v>
      </c>
      <c r="CZ959" s="2043">
        <v>0</v>
      </c>
      <c r="DA959" s="2043">
        <v>0</v>
      </c>
      <c r="DB959" s="2043">
        <v>0</v>
      </c>
      <c r="DC959" s="2043">
        <v>0</v>
      </c>
      <c r="DI959" t="s">
        <v>3180</v>
      </c>
      <c r="DJ959">
        <v>189902</v>
      </c>
      <c r="DK959" s="2042">
        <f t="shared" si="16"/>
        <v>0</v>
      </c>
    </row>
    <row r="960" spans="1:115">
      <c r="A960" t="s">
        <v>5230</v>
      </c>
      <c r="B960" t="s">
        <v>1214</v>
      </c>
      <c r="C960">
        <v>1603.7620000000002</v>
      </c>
      <c r="D960">
        <v>1619.518</v>
      </c>
      <c r="E960">
        <v>103.774</v>
      </c>
      <c r="F960">
        <v>0</v>
      </c>
      <c r="G960" s="2043">
        <v>852330010</v>
      </c>
      <c r="H960">
        <v>0</v>
      </c>
      <c r="I960" s="2043">
        <v>1059288</v>
      </c>
      <c r="J960">
        <v>80.188000000000002</v>
      </c>
      <c r="K960">
        <v>219</v>
      </c>
      <c r="L960">
        <v>0</v>
      </c>
      <c r="M960">
        <v>0</v>
      </c>
      <c r="N960">
        <v>0</v>
      </c>
      <c r="O960">
        <v>0</v>
      </c>
      <c r="P960">
        <v>0</v>
      </c>
      <c r="Q960">
        <v>0</v>
      </c>
      <c r="R960" s="2043">
        <v>6975688</v>
      </c>
      <c r="S960">
        <v>424312</v>
      </c>
      <c r="T960">
        <v>0</v>
      </c>
      <c r="U960">
        <v>0.05</v>
      </c>
      <c r="V960">
        <v>0</v>
      </c>
      <c r="W960">
        <v>0</v>
      </c>
      <c r="X960">
        <v>0</v>
      </c>
      <c r="Y960">
        <v>-4206</v>
      </c>
      <c r="Z960">
        <v>0</v>
      </c>
      <c r="AA960">
        <v>9.4E-2</v>
      </c>
      <c r="AB960">
        <v>1610.298</v>
      </c>
      <c r="AC960" s="2043">
        <v>608496266</v>
      </c>
      <c r="AD960">
        <v>1024000</v>
      </c>
      <c r="AE960" s="2043">
        <v>7400000</v>
      </c>
      <c r="AF960">
        <v>0.872</v>
      </c>
      <c r="AG960">
        <v>0</v>
      </c>
      <c r="AH960">
        <v>0</v>
      </c>
      <c r="AI960">
        <v>0</v>
      </c>
      <c r="AJ960">
        <v>237</v>
      </c>
      <c r="AK960">
        <v>6346</v>
      </c>
      <c r="AL960">
        <v>0.36</v>
      </c>
      <c r="AM960">
        <v>0</v>
      </c>
      <c r="AN960">
        <v>25.298999999999999</v>
      </c>
      <c r="AO960">
        <v>1</v>
      </c>
      <c r="AP960">
        <v>0</v>
      </c>
      <c r="AQ960">
        <v>0</v>
      </c>
      <c r="AR960">
        <v>55.144000000000005</v>
      </c>
      <c r="AS960">
        <v>0</v>
      </c>
      <c r="AT960">
        <v>13.222000000000001</v>
      </c>
      <c r="AU960">
        <v>3.4250000000000003</v>
      </c>
      <c r="AV960">
        <v>0</v>
      </c>
      <c r="AW960">
        <v>72.593000000000004</v>
      </c>
      <c r="AX960">
        <v>0.442</v>
      </c>
      <c r="AY960">
        <v>225.04</v>
      </c>
      <c r="AZ960">
        <v>0</v>
      </c>
      <c r="BA960">
        <v>8480547</v>
      </c>
      <c r="BB960">
        <v>8424000</v>
      </c>
      <c r="BC960">
        <v>0</v>
      </c>
      <c r="BD960">
        <v>160648</v>
      </c>
      <c r="BE960">
        <v>35666</v>
      </c>
      <c r="BF960">
        <v>196314</v>
      </c>
      <c r="BG960">
        <v>160648</v>
      </c>
      <c r="BH960">
        <v>0</v>
      </c>
      <c r="BI960">
        <v>-4206</v>
      </c>
      <c r="BJ960">
        <v>0</v>
      </c>
      <c r="BK960">
        <v>0</v>
      </c>
      <c r="BL960">
        <v>852330010</v>
      </c>
      <c r="BM960">
        <v>0</v>
      </c>
      <c r="BN960">
        <v>5787</v>
      </c>
      <c r="BO960">
        <v>3157</v>
      </c>
      <c r="BP960">
        <v>0</v>
      </c>
      <c r="BQ960">
        <v>0</v>
      </c>
      <c r="BR960">
        <v>0.82200000000000006</v>
      </c>
      <c r="BS960">
        <v>0.82200000000000006</v>
      </c>
      <c r="BT960">
        <v>0</v>
      </c>
      <c r="BU960">
        <v>0</v>
      </c>
      <c r="BV960">
        <v>718</v>
      </c>
      <c r="BW960">
        <v>12</v>
      </c>
      <c r="BX960">
        <v>264</v>
      </c>
      <c r="BY960">
        <v>0</v>
      </c>
      <c r="BZ960">
        <v>24</v>
      </c>
      <c r="CA960">
        <v>1018</v>
      </c>
      <c r="CB960">
        <v>0</v>
      </c>
      <c r="CC960">
        <v>0</v>
      </c>
      <c r="CD960">
        <v>0</v>
      </c>
      <c r="CE960">
        <v>441</v>
      </c>
      <c r="CF960">
        <v>300.45699999999999</v>
      </c>
      <c r="CG960">
        <v>0</v>
      </c>
      <c r="CH960">
        <v>0</v>
      </c>
      <c r="CI960">
        <v>5</v>
      </c>
      <c r="CJ960">
        <v>8</v>
      </c>
      <c r="CK960">
        <v>1</v>
      </c>
      <c r="CL960">
        <v>0</v>
      </c>
      <c r="CM960">
        <v>103.774</v>
      </c>
      <c r="CN960">
        <v>0</v>
      </c>
      <c r="CO960">
        <v>0</v>
      </c>
      <c r="CP960">
        <v>0</v>
      </c>
      <c r="CQ960">
        <v>0</v>
      </c>
      <c r="CR960">
        <v>0</v>
      </c>
      <c r="CS960">
        <v>0</v>
      </c>
      <c r="CT960">
        <v>0</v>
      </c>
      <c r="CU960">
        <v>16.067</v>
      </c>
      <c r="CV960">
        <v>86.551000000000002</v>
      </c>
      <c r="CW960">
        <v>66.784999999999997</v>
      </c>
      <c r="CX960">
        <v>0</v>
      </c>
      <c r="CY960" s="2043">
        <v>0</v>
      </c>
      <c r="CZ960" s="2043">
        <v>0</v>
      </c>
      <c r="DA960" s="2043">
        <v>0</v>
      </c>
      <c r="DB960" s="2043">
        <v>0</v>
      </c>
      <c r="DC960" s="2043">
        <v>0</v>
      </c>
      <c r="DI960" t="s">
        <v>5230</v>
      </c>
      <c r="DJ960" t="s">
        <v>5230</v>
      </c>
      <c r="DK960" s="2042">
        <f t="shared" si="16"/>
        <v>0</v>
      </c>
    </row>
    <row r="961" spans="1:115">
      <c r="A961" t="s">
        <v>5231</v>
      </c>
      <c r="B961" t="s">
        <v>1215</v>
      </c>
      <c r="C961">
        <v>10102.596</v>
      </c>
      <c r="D961">
        <v>9980.6319999999996</v>
      </c>
      <c r="E961">
        <v>297.27300000000002</v>
      </c>
      <c r="F961">
        <v>0</v>
      </c>
      <c r="G961" s="2043">
        <v>5863487649</v>
      </c>
      <c r="H961">
        <v>0</v>
      </c>
      <c r="I961" s="2043">
        <v>18369140</v>
      </c>
      <c r="J961">
        <v>505.13</v>
      </c>
      <c r="K961">
        <v>1381</v>
      </c>
      <c r="L961">
        <v>0</v>
      </c>
      <c r="M961">
        <v>0</v>
      </c>
      <c r="N961">
        <v>0</v>
      </c>
      <c r="O961">
        <v>0</v>
      </c>
      <c r="P961">
        <v>0</v>
      </c>
      <c r="Q961">
        <v>0</v>
      </c>
      <c r="R961" s="2043">
        <v>51035342</v>
      </c>
      <c r="S961">
        <v>2930371</v>
      </c>
      <c r="T961">
        <v>0</v>
      </c>
      <c r="U961">
        <v>0.05</v>
      </c>
      <c r="V961">
        <v>444.76800000000003</v>
      </c>
      <c r="W961">
        <v>0</v>
      </c>
      <c r="X961">
        <v>0</v>
      </c>
      <c r="Y961">
        <v>0</v>
      </c>
      <c r="Z961">
        <v>0</v>
      </c>
      <c r="AA961">
        <v>0.45700000000000002</v>
      </c>
      <c r="AB961">
        <v>9568.755000000001</v>
      </c>
      <c r="AC961" s="2043">
        <v>5194514623</v>
      </c>
      <c r="AD961">
        <v>18376286</v>
      </c>
      <c r="AE961" s="2043">
        <v>53965713</v>
      </c>
      <c r="AF961">
        <v>0.92080000000000006</v>
      </c>
      <c r="AG961">
        <v>0</v>
      </c>
      <c r="AH961">
        <v>0</v>
      </c>
      <c r="AI961">
        <v>0</v>
      </c>
      <c r="AJ961">
        <v>846.95</v>
      </c>
      <c r="AK961">
        <v>31895</v>
      </c>
      <c r="AL961">
        <v>0.77300000000000002</v>
      </c>
      <c r="AM961">
        <v>1.673</v>
      </c>
      <c r="AN961">
        <v>336.38400000000001</v>
      </c>
      <c r="AO961">
        <v>0</v>
      </c>
      <c r="AP961">
        <v>0</v>
      </c>
      <c r="AQ961">
        <v>16.977</v>
      </c>
      <c r="AR961">
        <v>189.45400000000001</v>
      </c>
      <c r="AS961">
        <v>0</v>
      </c>
      <c r="AT961">
        <v>78.989000000000004</v>
      </c>
      <c r="AU961">
        <v>25.956</v>
      </c>
      <c r="AV961">
        <v>0</v>
      </c>
      <c r="AW961">
        <v>317.99299999999999</v>
      </c>
      <c r="AX961">
        <v>4.1710000000000003</v>
      </c>
      <c r="AY961">
        <v>953.58600000000001</v>
      </c>
      <c r="AZ961">
        <v>0</v>
      </c>
      <c r="BA961">
        <v>32301915</v>
      </c>
      <c r="BB961">
        <v>72341999</v>
      </c>
      <c r="BC961">
        <v>0</v>
      </c>
      <c r="BD961">
        <v>505391</v>
      </c>
      <c r="BE961">
        <v>214216</v>
      </c>
      <c r="BF961">
        <v>837608</v>
      </c>
      <c r="BG961">
        <v>505391</v>
      </c>
      <c r="BH961">
        <v>118001</v>
      </c>
      <c r="BI961">
        <v>0</v>
      </c>
      <c r="BJ961">
        <v>0</v>
      </c>
      <c r="BK961">
        <v>0</v>
      </c>
      <c r="BL961">
        <v>5863487649</v>
      </c>
      <c r="BM961">
        <v>0</v>
      </c>
      <c r="BN961">
        <v>33714</v>
      </c>
      <c r="BO961">
        <v>14124</v>
      </c>
      <c r="BP961">
        <v>0</v>
      </c>
      <c r="BQ961">
        <v>0</v>
      </c>
      <c r="BR961">
        <v>0.87080000000000002</v>
      </c>
      <c r="BS961">
        <v>0.87080000000000002</v>
      </c>
      <c r="BT961">
        <v>0</v>
      </c>
      <c r="BU961">
        <v>0</v>
      </c>
      <c r="BV961">
        <v>2460</v>
      </c>
      <c r="BW961">
        <v>426</v>
      </c>
      <c r="BX961">
        <v>561</v>
      </c>
      <c r="BY961">
        <v>128</v>
      </c>
      <c r="BZ961">
        <v>67</v>
      </c>
      <c r="CA961">
        <v>3642</v>
      </c>
      <c r="CB961">
        <v>0</v>
      </c>
      <c r="CC961">
        <v>0</v>
      </c>
      <c r="CD961">
        <v>0</v>
      </c>
      <c r="CE961">
        <v>617</v>
      </c>
      <c r="CF961">
        <v>1268.4350000000002</v>
      </c>
      <c r="CG961">
        <v>95.323999999999998</v>
      </c>
      <c r="CH961">
        <v>23.297000000000001</v>
      </c>
      <c r="CI961">
        <v>8</v>
      </c>
      <c r="CJ961">
        <v>109</v>
      </c>
      <c r="CK961">
        <v>1</v>
      </c>
      <c r="CL961">
        <v>118.62100000000001</v>
      </c>
      <c r="CM961">
        <v>297.27300000000002</v>
      </c>
      <c r="CN961">
        <v>0</v>
      </c>
      <c r="CO961">
        <v>0</v>
      </c>
      <c r="CP961">
        <v>0</v>
      </c>
      <c r="CQ961">
        <v>0</v>
      </c>
      <c r="CR961">
        <v>0</v>
      </c>
      <c r="CS961">
        <v>0</v>
      </c>
      <c r="CT961">
        <v>0</v>
      </c>
      <c r="CU961">
        <v>3.8260000000000001</v>
      </c>
      <c r="CV961">
        <v>364.25600000000003</v>
      </c>
      <c r="CW961">
        <v>281.12900000000002</v>
      </c>
      <c r="CX961">
        <v>0</v>
      </c>
      <c r="CY961" s="2043">
        <v>0</v>
      </c>
      <c r="CZ961" s="2043">
        <v>0</v>
      </c>
      <c r="DA961" s="2043">
        <v>0</v>
      </c>
      <c r="DB961" s="2043">
        <v>0</v>
      </c>
      <c r="DC961" s="2043">
        <v>0</v>
      </c>
      <c r="DI961" t="s">
        <v>5231</v>
      </c>
      <c r="DJ961" t="s">
        <v>5231</v>
      </c>
      <c r="DK961" s="2042">
        <f t="shared" si="16"/>
        <v>0</v>
      </c>
    </row>
    <row r="962" spans="1:115">
      <c r="A962" t="s">
        <v>8070</v>
      </c>
      <c r="B962" t="s">
        <v>11397</v>
      </c>
      <c r="C962">
        <v>171.38300000000001</v>
      </c>
      <c r="D962">
        <v>196.61500000000001</v>
      </c>
      <c r="E962">
        <v>0</v>
      </c>
      <c r="F962">
        <v>0</v>
      </c>
      <c r="G962" s="2043">
        <v>0</v>
      </c>
      <c r="H962">
        <v>0</v>
      </c>
      <c r="I962" s="2043">
        <v>0</v>
      </c>
      <c r="J962">
        <v>0</v>
      </c>
      <c r="K962">
        <v>0</v>
      </c>
      <c r="L962">
        <v>0</v>
      </c>
      <c r="M962">
        <v>0</v>
      </c>
      <c r="N962">
        <v>0</v>
      </c>
      <c r="O962">
        <v>0</v>
      </c>
      <c r="P962">
        <v>0</v>
      </c>
      <c r="Q962">
        <v>0</v>
      </c>
      <c r="R962" s="2043">
        <v>0</v>
      </c>
      <c r="S962">
        <v>0</v>
      </c>
      <c r="T962">
        <v>0</v>
      </c>
      <c r="U962">
        <v>0</v>
      </c>
      <c r="V962">
        <v>0</v>
      </c>
      <c r="W962">
        <v>0</v>
      </c>
      <c r="X962">
        <v>0</v>
      </c>
      <c r="Y962">
        <v>30297</v>
      </c>
      <c r="Z962">
        <v>0</v>
      </c>
      <c r="AA962">
        <v>0</v>
      </c>
      <c r="AB962">
        <v>199.06200000000001</v>
      </c>
      <c r="AC962" s="2043">
        <v>0</v>
      </c>
      <c r="AD962">
        <v>0</v>
      </c>
      <c r="AE962" s="2043">
        <v>0</v>
      </c>
      <c r="AF962">
        <v>0</v>
      </c>
      <c r="AG962">
        <v>0</v>
      </c>
      <c r="AH962">
        <v>0</v>
      </c>
      <c r="AI962">
        <v>0</v>
      </c>
      <c r="AJ962">
        <v>49.388000000000005</v>
      </c>
      <c r="AK962">
        <v>5169</v>
      </c>
      <c r="AL962">
        <v>0</v>
      </c>
      <c r="AM962">
        <v>0</v>
      </c>
      <c r="AN962">
        <v>7.4590000000000005</v>
      </c>
      <c r="AO962">
        <v>0</v>
      </c>
      <c r="AP962">
        <v>0</v>
      </c>
      <c r="AQ962">
        <v>42.882000000000005</v>
      </c>
      <c r="AR962">
        <v>14.484</v>
      </c>
      <c r="AS962">
        <v>0</v>
      </c>
      <c r="AT962">
        <v>0.57800000000000007</v>
      </c>
      <c r="AU962">
        <v>0.59300000000000008</v>
      </c>
      <c r="AV962">
        <v>0</v>
      </c>
      <c r="AW962">
        <v>58.537000000000006</v>
      </c>
      <c r="AX962">
        <v>0</v>
      </c>
      <c r="AY962">
        <v>48.151000000000003</v>
      </c>
      <c r="AZ962">
        <v>0</v>
      </c>
      <c r="BA962">
        <v>3056074</v>
      </c>
      <c r="BB962">
        <v>0</v>
      </c>
      <c r="BC962">
        <v>0</v>
      </c>
      <c r="BD962">
        <v>121996</v>
      </c>
      <c r="BE962">
        <v>0</v>
      </c>
      <c r="BF962">
        <v>121996</v>
      </c>
      <c r="BG962">
        <v>121996</v>
      </c>
      <c r="BH962">
        <v>0</v>
      </c>
      <c r="BI962">
        <v>0</v>
      </c>
      <c r="BJ962">
        <v>0</v>
      </c>
      <c r="BK962">
        <v>0</v>
      </c>
      <c r="BL962">
        <v>0</v>
      </c>
      <c r="BM962">
        <v>0</v>
      </c>
      <c r="BN962">
        <v>900</v>
      </c>
      <c r="BO962">
        <v>0</v>
      </c>
      <c r="BP962">
        <v>0</v>
      </c>
      <c r="BQ962">
        <v>0</v>
      </c>
      <c r="BR962">
        <v>0</v>
      </c>
      <c r="BS962">
        <v>0</v>
      </c>
      <c r="BT962">
        <v>0</v>
      </c>
      <c r="BU962">
        <v>0</v>
      </c>
      <c r="BV962">
        <v>3</v>
      </c>
      <c r="BW962">
        <v>39</v>
      </c>
      <c r="BX962">
        <v>16</v>
      </c>
      <c r="BY962">
        <v>24</v>
      </c>
      <c r="BZ962">
        <v>106</v>
      </c>
      <c r="CA962">
        <v>188</v>
      </c>
      <c r="CB962">
        <v>1</v>
      </c>
      <c r="CC962">
        <v>0</v>
      </c>
      <c r="CD962">
        <v>0</v>
      </c>
      <c r="CE962">
        <v>23</v>
      </c>
      <c r="CF962">
        <v>26.058</v>
      </c>
      <c r="CG962">
        <v>0</v>
      </c>
      <c r="CH962">
        <v>46.498000000000005</v>
      </c>
      <c r="CI962">
        <v>0</v>
      </c>
      <c r="CJ962">
        <v>0</v>
      </c>
      <c r="CK962">
        <v>0</v>
      </c>
      <c r="CL962">
        <v>46.498000000000005</v>
      </c>
      <c r="CM962">
        <v>0</v>
      </c>
      <c r="CN962">
        <v>0</v>
      </c>
      <c r="CO962">
        <v>0</v>
      </c>
      <c r="CP962">
        <v>0</v>
      </c>
      <c r="CQ962">
        <v>0</v>
      </c>
      <c r="CR962">
        <v>0</v>
      </c>
      <c r="CS962">
        <v>0</v>
      </c>
      <c r="CT962">
        <v>0</v>
      </c>
      <c r="CU962">
        <v>0</v>
      </c>
      <c r="CV962">
        <v>2.2330000000000001</v>
      </c>
      <c r="CW962">
        <v>2.68</v>
      </c>
      <c r="CX962">
        <v>0</v>
      </c>
      <c r="CY962" s="2043">
        <v>0</v>
      </c>
      <c r="CZ962" s="2043">
        <v>0</v>
      </c>
      <c r="DA962" s="2043">
        <v>0</v>
      </c>
      <c r="DB962" s="2043">
        <v>0</v>
      </c>
      <c r="DC962" s="2043">
        <v>335122</v>
      </c>
      <c r="DI962" t="s">
        <v>5232</v>
      </c>
      <c r="DJ962" t="s">
        <v>8070</v>
      </c>
      <c r="DK962" s="2042">
        <f t="shared" si="16"/>
        <v>-900</v>
      </c>
    </row>
    <row r="963" spans="1:115">
      <c r="A963" t="s">
        <v>5232</v>
      </c>
      <c r="B963" t="s">
        <v>2381</v>
      </c>
      <c r="C963">
        <v>724.51900000000001</v>
      </c>
      <c r="D963">
        <v>869.529</v>
      </c>
      <c r="E963">
        <v>119.57000000000001</v>
      </c>
      <c r="F963">
        <v>0</v>
      </c>
      <c r="G963" s="2043">
        <v>4623095106</v>
      </c>
      <c r="H963">
        <v>0</v>
      </c>
      <c r="I963" s="2043">
        <v>2614175</v>
      </c>
      <c r="J963">
        <v>36.225999999999999</v>
      </c>
      <c r="K963">
        <v>99</v>
      </c>
      <c r="L963">
        <v>0</v>
      </c>
      <c r="M963">
        <v>0</v>
      </c>
      <c r="N963">
        <v>0</v>
      </c>
      <c r="O963">
        <v>0</v>
      </c>
      <c r="P963">
        <v>0</v>
      </c>
      <c r="Q963">
        <v>0</v>
      </c>
      <c r="R963" s="2043">
        <v>42969908</v>
      </c>
      <c r="S963">
        <v>3763513</v>
      </c>
      <c r="T963">
        <v>2131089</v>
      </c>
      <c r="U963">
        <v>0.08</v>
      </c>
      <c r="V963">
        <v>0</v>
      </c>
      <c r="W963">
        <v>34473100</v>
      </c>
      <c r="X963">
        <v>1839639</v>
      </c>
      <c r="Y963">
        <v>0</v>
      </c>
      <c r="Z963">
        <v>0</v>
      </c>
      <c r="AA963">
        <v>4.5999999999999999E-2</v>
      </c>
      <c r="AB963">
        <v>803.18799999999999</v>
      </c>
      <c r="AC963" s="2043">
        <v>3128272615</v>
      </c>
      <c r="AD963">
        <v>3356433</v>
      </c>
      <c r="AE963" s="2043">
        <v>48864510</v>
      </c>
      <c r="AF963">
        <v>1.0387</v>
      </c>
      <c r="AG963">
        <v>0</v>
      </c>
      <c r="AH963">
        <v>36312739</v>
      </c>
      <c r="AI963">
        <v>0</v>
      </c>
      <c r="AJ963">
        <v>115.063</v>
      </c>
      <c r="AK963">
        <v>2904</v>
      </c>
      <c r="AL963">
        <v>0</v>
      </c>
      <c r="AM963">
        <v>0</v>
      </c>
      <c r="AN963">
        <v>20.477</v>
      </c>
      <c r="AO963">
        <v>0</v>
      </c>
      <c r="AP963">
        <v>0</v>
      </c>
      <c r="AQ963">
        <v>0</v>
      </c>
      <c r="AR963">
        <v>12.167</v>
      </c>
      <c r="AS963">
        <v>0</v>
      </c>
      <c r="AT963">
        <v>7.4279999999999999</v>
      </c>
      <c r="AU963">
        <v>2.0980000000000003</v>
      </c>
      <c r="AV963">
        <v>0</v>
      </c>
      <c r="AW963">
        <v>21.693000000000001</v>
      </c>
      <c r="AX963">
        <v>0</v>
      </c>
      <c r="AY963">
        <v>69.275000000000006</v>
      </c>
      <c r="AZ963">
        <v>0</v>
      </c>
      <c r="BA963">
        <v>446310</v>
      </c>
      <c r="BB963">
        <v>52220943</v>
      </c>
      <c r="BC963">
        <v>0</v>
      </c>
      <c r="BD963">
        <v>38606</v>
      </c>
      <c r="BE963">
        <v>0</v>
      </c>
      <c r="BF963">
        <v>38606</v>
      </c>
      <c r="BG963">
        <v>38606</v>
      </c>
      <c r="BH963">
        <v>0</v>
      </c>
      <c r="BI963">
        <v>0</v>
      </c>
      <c r="BJ963">
        <v>0</v>
      </c>
      <c r="BK963">
        <v>0</v>
      </c>
      <c r="BL963">
        <v>4623095106</v>
      </c>
      <c r="BM963">
        <v>0</v>
      </c>
      <c r="BN963">
        <v>2682</v>
      </c>
      <c r="BO963">
        <v>2504</v>
      </c>
      <c r="BP963">
        <v>0</v>
      </c>
      <c r="BQ963">
        <v>0</v>
      </c>
      <c r="BR963">
        <v>0.91339999999999999</v>
      </c>
      <c r="BS963">
        <v>0.91339999999999999</v>
      </c>
      <c r="BT963">
        <v>0</v>
      </c>
      <c r="BU963">
        <v>0</v>
      </c>
      <c r="BV963">
        <v>0</v>
      </c>
      <c r="BW963">
        <v>305</v>
      </c>
      <c r="BX963">
        <v>165</v>
      </c>
      <c r="BY963">
        <v>0</v>
      </c>
      <c r="BZ963">
        <v>5</v>
      </c>
      <c r="CA963">
        <v>475</v>
      </c>
      <c r="CB963">
        <v>0</v>
      </c>
      <c r="CC963">
        <v>0</v>
      </c>
      <c r="CD963">
        <v>0</v>
      </c>
      <c r="CE963">
        <v>61</v>
      </c>
      <c r="CF963">
        <v>202.71600000000001</v>
      </c>
      <c r="CG963">
        <v>0</v>
      </c>
      <c r="CH963">
        <v>0</v>
      </c>
      <c r="CI963">
        <v>1</v>
      </c>
      <c r="CJ963">
        <v>3</v>
      </c>
      <c r="CK963">
        <v>0</v>
      </c>
      <c r="CL963">
        <v>0</v>
      </c>
      <c r="CM963">
        <v>119.57000000000001</v>
      </c>
      <c r="CN963">
        <v>0</v>
      </c>
      <c r="CO963">
        <v>0</v>
      </c>
      <c r="CP963">
        <v>0</v>
      </c>
      <c r="CQ963">
        <v>0</v>
      </c>
      <c r="CR963">
        <v>0</v>
      </c>
      <c r="CS963">
        <v>0</v>
      </c>
      <c r="CT963">
        <v>0</v>
      </c>
      <c r="CU963">
        <v>0</v>
      </c>
      <c r="CV963">
        <v>41.335000000000001</v>
      </c>
      <c r="CW963">
        <v>14.237</v>
      </c>
      <c r="CX963">
        <v>0</v>
      </c>
      <c r="CY963" s="2043">
        <v>0</v>
      </c>
      <c r="CZ963" s="2043">
        <v>0</v>
      </c>
      <c r="DA963" s="2043">
        <v>0</v>
      </c>
      <c r="DB963" s="2043">
        <v>0</v>
      </c>
      <c r="DC963" s="2043">
        <v>0</v>
      </c>
      <c r="DI963" t="s">
        <v>8070</v>
      </c>
      <c r="DJ963" t="s">
        <v>5232</v>
      </c>
      <c r="DK963" s="2042">
        <f t="shared" si="16"/>
        <v>900</v>
      </c>
    </row>
    <row r="964" spans="1:115">
      <c r="A964" t="s">
        <v>5233</v>
      </c>
      <c r="B964" t="s">
        <v>747</v>
      </c>
      <c r="C964">
        <v>299.685</v>
      </c>
      <c r="D964">
        <v>254.923</v>
      </c>
      <c r="E964">
        <v>16.081</v>
      </c>
      <c r="F964">
        <v>0</v>
      </c>
      <c r="G964" s="2043">
        <v>534137076</v>
      </c>
      <c r="H964">
        <v>0</v>
      </c>
      <c r="I964" s="2043">
        <v>463344</v>
      </c>
      <c r="J964">
        <v>13</v>
      </c>
      <c r="K964">
        <v>36</v>
      </c>
      <c r="L964">
        <v>0</v>
      </c>
      <c r="M964">
        <v>0</v>
      </c>
      <c r="N964">
        <v>0</v>
      </c>
      <c r="O964">
        <v>0</v>
      </c>
      <c r="P964">
        <v>0</v>
      </c>
      <c r="Q964">
        <v>0</v>
      </c>
      <c r="R964" s="2043">
        <v>4195885</v>
      </c>
      <c r="S964">
        <v>238457</v>
      </c>
      <c r="T964">
        <v>0</v>
      </c>
      <c r="U964">
        <v>0.05</v>
      </c>
      <c r="V964">
        <v>0</v>
      </c>
      <c r="W964">
        <v>267897</v>
      </c>
      <c r="X964">
        <v>0</v>
      </c>
      <c r="Y964">
        <v>0</v>
      </c>
      <c r="Z964">
        <v>0</v>
      </c>
      <c r="AA964">
        <v>0</v>
      </c>
      <c r="AB964">
        <v>254.923</v>
      </c>
      <c r="AC964" s="2043">
        <v>355944268</v>
      </c>
      <c r="AD964">
        <v>731995</v>
      </c>
      <c r="AE964" s="2043">
        <v>4434342</v>
      </c>
      <c r="AF964">
        <v>0.92980000000000007</v>
      </c>
      <c r="AG964">
        <v>0</v>
      </c>
      <c r="AH964">
        <v>267897</v>
      </c>
      <c r="AI964">
        <v>0</v>
      </c>
      <c r="AJ964">
        <v>46.050000000000004</v>
      </c>
      <c r="AK964">
        <v>2383</v>
      </c>
      <c r="AL964">
        <v>0</v>
      </c>
      <c r="AM964">
        <v>0</v>
      </c>
      <c r="AN964">
        <v>17.824999999999999</v>
      </c>
      <c r="AO964">
        <v>0</v>
      </c>
      <c r="AP964">
        <v>0</v>
      </c>
      <c r="AQ964">
        <v>0</v>
      </c>
      <c r="AR964">
        <v>10.735000000000001</v>
      </c>
      <c r="AS964">
        <v>0</v>
      </c>
      <c r="AT964">
        <v>2.94</v>
      </c>
      <c r="AU964">
        <v>0.59799999999999998</v>
      </c>
      <c r="AV964">
        <v>0</v>
      </c>
      <c r="AW964">
        <v>14.273000000000001</v>
      </c>
      <c r="AX964">
        <v>0</v>
      </c>
      <c r="AY964">
        <v>44.015000000000001</v>
      </c>
      <c r="AZ964">
        <v>0</v>
      </c>
      <c r="BA964">
        <v>181114</v>
      </c>
      <c r="BB964">
        <v>5166337</v>
      </c>
      <c r="BC964">
        <v>0</v>
      </c>
      <c r="BD964">
        <v>49864</v>
      </c>
      <c r="BE964">
        <v>828</v>
      </c>
      <c r="BF964">
        <v>50692</v>
      </c>
      <c r="BG964">
        <v>49864</v>
      </c>
      <c r="BH964">
        <v>0</v>
      </c>
      <c r="BI964">
        <v>0</v>
      </c>
      <c r="BJ964">
        <v>0</v>
      </c>
      <c r="BK964">
        <v>0</v>
      </c>
      <c r="BL964">
        <v>534137076</v>
      </c>
      <c r="BM964">
        <v>0</v>
      </c>
      <c r="BN964">
        <v>873</v>
      </c>
      <c r="BO964">
        <v>332</v>
      </c>
      <c r="BP964">
        <v>0</v>
      </c>
      <c r="BQ964">
        <v>0</v>
      </c>
      <c r="BR964">
        <v>0.87980000000000003</v>
      </c>
      <c r="BS964">
        <v>0.87980000000000003</v>
      </c>
      <c r="BT964">
        <v>0</v>
      </c>
      <c r="BU964">
        <v>0</v>
      </c>
      <c r="BV964">
        <v>2</v>
      </c>
      <c r="BW964">
        <v>153</v>
      </c>
      <c r="BX964">
        <v>36</v>
      </c>
      <c r="BY964">
        <v>1</v>
      </c>
      <c r="BZ964">
        <v>0</v>
      </c>
      <c r="CA964">
        <v>192</v>
      </c>
      <c r="CB964">
        <v>0</v>
      </c>
      <c r="CC964">
        <v>0</v>
      </c>
      <c r="CD964">
        <v>0</v>
      </c>
      <c r="CE964">
        <v>34</v>
      </c>
      <c r="CF964">
        <v>54.068000000000005</v>
      </c>
      <c r="CG964">
        <v>0</v>
      </c>
      <c r="CH964">
        <v>0</v>
      </c>
      <c r="CI964">
        <v>3</v>
      </c>
      <c r="CJ964">
        <v>3</v>
      </c>
      <c r="CK964">
        <v>0</v>
      </c>
      <c r="CL964">
        <v>0</v>
      </c>
      <c r="CM964">
        <v>16.081</v>
      </c>
      <c r="CN964">
        <v>0</v>
      </c>
      <c r="CO964">
        <v>0</v>
      </c>
      <c r="CP964">
        <v>0</v>
      </c>
      <c r="CQ964">
        <v>0</v>
      </c>
      <c r="CR964">
        <v>0</v>
      </c>
      <c r="CS964">
        <v>0</v>
      </c>
      <c r="CT964">
        <v>0</v>
      </c>
      <c r="CU964">
        <v>1.9650000000000001</v>
      </c>
      <c r="CV964">
        <v>17.621000000000002</v>
      </c>
      <c r="CW964">
        <v>8.7960000000000012</v>
      </c>
      <c r="CX964">
        <v>0</v>
      </c>
      <c r="CY964" s="2043">
        <v>0</v>
      </c>
      <c r="CZ964" s="2043">
        <v>0</v>
      </c>
      <c r="DA964" s="2043">
        <v>0</v>
      </c>
      <c r="DB964" s="2043">
        <v>0</v>
      </c>
      <c r="DC964" s="2043">
        <v>298010</v>
      </c>
      <c r="DI964" t="s">
        <v>5233</v>
      </c>
      <c r="DJ964" t="s">
        <v>5233</v>
      </c>
      <c r="DK964" s="2042">
        <f t="shared" ref="DK964:DK1027" si="17">DI964-DJ964:DJ965</f>
        <v>0</v>
      </c>
    </row>
    <row r="965" spans="1:115">
      <c r="A965" t="s">
        <v>5866</v>
      </c>
      <c r="B965" t="s">
        <v>105</v>
      </c>
      <c r="C965">
        <v>317.48900000000003</v>
      </c>
      <c r="D965">
        <v>305.85599999999999</v>
      </c>
      <c r="E965">
        <v>4.1950000000000003</v>
      </c>
      <c r="F965">
        <v>0</v>
      </c>
      <c r="G965" s="2043">
        <v>65753669</v>
      </c>
      <c r="H965">
        <v>0</v>
      </c>
      <c r="I965" s="2043">
        <v>0</v>
      </c>
      <c r="J965">
        <v>15.874000000000001</v>
      </c>
      <c r="K965">
        <v>43</v>
      </c>
      <c r="L965">
        <v>0</v>
      </c>
      <c r="M965">
        <v>0</v>
      </c>
      <c r="N965">
        <v>0</v>
      </c>
      <c r="O965">
        <v>0</v>
      </c>
      <c r="P965">
        <v>0</v>
      </c>
      <c r="Q965">
        <v>0</v>
      </c>
      <c r="R965" s="2043">
        <v>491021</v>
      </c>
      <c r="S965">
        <v>47788</v>
      </c>
      <c r="T965">
        <v>34825</v>
      </c>
      <c r="U965">
        <v>0.08</v>
      </c>
      <c r="V965">
        <v>0</v>
      </c>
      <c r="W965">
        <v>0</v>
      </c>
      <c r="X965">
        <v>0</v>
      </c>
      <c r="Y965">
        <v>0</v>
      </c>
      <c r="Z965">
        <v>0</v>
      </c>
      <c r="AA965">
        <v>0</v>
      </c>
      <c r="AB965">
        <v>305.85599999999999</v>
      </c>
      <c r="AC965" s="2043">
        <v>53379010</v>
      </c>
      <c r="AD965">
        <v>0</v>
      </c>
      <c r="AE965" s="2043">
        <v>573634</v>
      </c>
      <c r="AF965">
        <v>0.96030000000000004</v>
      </c>
      <c r="AG965">
        <v>0</v>
      </c>
      <c r="AH965">
        <v>0</v>
      </c>
      <c r="AI965">
        <v>0</v>
      </c>
      <c r="AJ965">
        <v>52.575000000000003</v>
      </c>
      <c r="AK965">
        <v>1773</v>
      </c>
      <c r="AL965">
        <v>0</v>
      </c>
      <c r="AM965">
        <v>0</v>
      </c>
      <c r="AN965">
        <v>3.9080000000000004</v>
      </c>
      <c r="AO965">
        <v>0</v>
      </c>
      <c r="AP965">
        <v>2.5090000000000003</v>
      </c>
      <c r="AQ965">
        <v>0</v>
      </c>
      <c r="AR965">
        <v>11.379000000000001</v>
      </c>
      <c r="AS965">
        <v>0</v>
      </c>
      <c r="AT965">
        <v>0.46</v>
      </c>
      <c r="AU965">
        <v>0.83900000000000008</v>
      </c>
      <c r="AV965">
        <v>0</v>
      </c>
      <c r="AW965">
        <v>15.187000000000001</v>
      </c>
      <c r="AX965">
        <v>0</v>
      </c>
      <c r="AY965">
        <v>46.486000000000004</v>
      </c>
      <c r="AZ965">
        <v>0</v>
      </c>
      <c r="BA965">
        <v>3941343</v>
      </c>
      <c r="BB965">
        <v>573634</v>
      </c>
      <c r="BC965">
        <v>0</v>
      </c>
      <c r="BD965">
        <v>45484</v>
      </c>
      <c r="BE965">
        <v>0</v>
      </c>
      <c r="BF965">
        <v>45484</v>
      </c>
      <c r="BG965">
        <v>45484</v>
      </c>
      <c r="BH965">
        <v>0</v>
      </c>
      <c r="BI965">
        <v>0</v>
      </c>
      <c r="BJ965">
        <v>0</v>
      </c>
      <c r="BK965">
        <v>0</v>
      </c>
      <c r="BL965">
        <v>65753669</v>
      </c>
      <c r="BM965">
        <v>0</v>
      </c>
      <c r="BN965">
        <v>1026</v>
      </c>
      <c r="BO965">
        <v>803</v>
      </c>
      <c r="BP965">
        <v>0</v>
      </c>
      <c r="BQ965">
        <v>0</v>
      </c>
      <c r="BR965">
        <v>0.82200000000000006</v>
      </c>
      <c r="BS965">
        <v>0.82200000000000006</v>
      </c>
      <c r="BT965">
        <v>0</v>
      </c>
      <c r="BU965">
        <v>0</v>
      </c>
      <c r="BV965">
        <v>46</v>
      </c>
      <c r="BW965">
        <v>118</v>
      </c>
      <c r="BX965">
        <v>21</v>
      </c>
      <c r="BY965">
        <v>10</v>
      </c>
      <c r="BZ965">
        <v>23</v>
      </c>
      <c r="CA965">
        <v>218</v>
      </c>
      <c r="CB965">
        <v>0</v>
      </c>
      <c r="CC965">
        <v>0</v>
      </c>
      <c r="CD965">
        <v>0</v>
      </c>
      <c r="CE965">
        <v>44</v>
      </c>
      <c r="CF965">
        <v>68.89800000000001</v>
      </c>
      <c r="CG965">
        <v>0</v>
      </c>
      <c r="CH965">
        <v>0</v>
      </c>
      <c r="CI965">
        <v>2</v>
      </c>
      <c r="CJ965">
        <v>3</v>
      </c>
      <c r="CK965">
        <v>0</v>
      </c>
      <c r="CL965">
        <v>0</v>
      </c>
      <c r="CM965">
        <v>4.1950000000000003</v>
      </c>
      <c r="CN965">
        <v>0</v>
      </c>
      <c r="CO965">
        <v>0</v>
      </c>
      <c r="CP965">
        <v>0</v>
      </c>
      <c r="CQ965">
        <v>0</v>
      </c>
      <c r="CR965">
        <v>0</v>
      </c>
      <c r="CS965">
        <v>0</v>
      </c>
      <c r="CT965">
        <v>0</v>
      </c>
      <c r="CU965">
        <v>1.171</v>
      </c>
      <c r="CV965">
        <v>26.957000000000001</v>
      </c>
      <c r="CW965">
        <v>13.614000000000001</v>
      </c>
      <c r="CX965">
        <v>0</v>
      </c>
      <c r="CY965" s="2043">
        <v>0</v>
      </c>
      <c r="CZ965" s="2043">
        <v>0</v>
      </c>
      <c r="DA965" s="2043">
        <v>0</v>
      </c>
      <c r="DB965" s="2043">
        <v>0</v>
      </c>
      <c r="DC965" s="2043">
        <v>0</v>
      </c>
      <c r="DI965" t="s">
        <v>5866</v>
      </c>
      <c r="DJ965" t="s">
        <v>5866</v>
      </c>
      <c r="DK965" s="2042">
        <f t="shared" si="17"/>
        <v>0</v>
      </c>
    </row>
    <row r="966" spans="1:115">
      <c r="A966" t="s">
        <v>3181</v>
      </c>
      <c r="B966" t="s">
        <v>2508</v>
      </c>
      <c r="C966">
        <v>623.71699999999998</v>
      </c>
      <c r="D966">
        <v>680.80200000000002</v>
      </c>
      <c r="E966">
        <v>36.914999999999999</v>
      </c>
      <c r="F966">
        <v>0</v>
      </c>
      <c r="G966" s="2043">
        <v>249162225</v>
      </c>
      <c r="H966">
        <v>0</v>
      </c>
      <c r="I966" s="2043">
        <v>500525</v>
      </c>
      <c r="J966">
        <v>31.186</v>
      </c>
      <c r="K966">
        <v>85</v>
      </c>
      <c r="L966">
        <v>0</v>
      </c>
      <c r="M966">
        <v>338974</v>
      </c>
      <c r="N966">
        <v>0</v>
      </c>
      <c r="O966">
        <v>338974</v>
      </c>
      <c r="P966">
        <v>0</v>
      </c>
      <c r="Q966">
        <v>0</v>
      </c>
      <c r="R966" s="2043">
        <v>2194892</v>
      </c>
      <c r="S966">
        <v>192239</v>
      </c>
      <c r="T966">
        <v>140095</v>
      </c>
      <c r="U966">
        <v>0.08</v>
      </c>
      <c r="V966">
        <v>0</v>
      </c>
      <c r="W966">
        <v>0</v>
      </c>
      <c r="X966">
        <v>0</v>
      </c>
      <c r="Y966">
        <v>0</v>
      </c>
      <c r="Z966">
        <v>0</v>
      </c>
      <c r="AA966">
        <v>9.2999999999999999E-2</v>
      </c>
      <c r="AB966">
        <v>609.95699999999999</v>
      </c>
      <c r="AC966" s="2043">
        <v>228228050</v>
      </c>
      <c r="AD966">
        <v>544177</v>
      </c>
      <c r="AE966" s="2043">
        <v>2527226</v>
      </c>
      <c r="AF966">
        <v>1.0517000000000001</v>
      </c>
      <c r="AG966">
        <v>0</v>
      </c>
      <c r="AH966">
        <v>0</v>
      </c>
      <c r="AI966">
        <v>0</v>
      </c>
      <c r="AJ966">
        <v>115.375</v>
      </c>
      <c r="AK966">
        <v>2371</v>
      </c>
      <c r="AL966">
        <v>0.215</v>
      </c>
      <c r="AM966">
        <v>0</v>
      </c>
      <c r="AN966">
        <v>4.452</v>
      </c>
      <c r="AO966">
        <v>0</v>
      </c>
      <c r="AP966">
        <v>0</v>
      </c>
      <c r="AQ966">
        <v>0</v>
      </c>
      <c r="AR966">
        <v>14.298</v>
      </c>
      <c r="AS966">
        <v>0</v>
      </c>
      <c r="AT966">
        <v>5.8450000000000006</v>
      </c>
      <c r="AU966">
        <v>1.363</v>
      </c>
      <c r="AV966">
        <v>0</v>
      </c>
      <c r="AW966">
        <v>21.721</v>
      </c>
      <c r="AX966">
        <v>0</v>
      </c>
      <c r="AY966">
        <v>68.319000000000003</v>
      </c>
      <c r="AZ966">
        <v>0</v>
      </c>
      <c r="BA966">
        <v>5814463</v>
      </c>
      <c r="BB966">
        <v>3071403</v>
      </c>
      <c r="BC966">
        <v>0</v>
      </c>
      <c r="BD966">
        <v>98962</v>
      </c>
      <c r="BE966">
        <v>13738</v>
      </c>
      <c r="BF966">
        <v>112700</v>
      </c>
      <c r="BG966">
        <v>98962</v>
      </c>
      <c r="BH966">
        <v>0</v>
      </c>
      <c r="BI966">
        <v>0</v>
      </c>
      <c r="BJ966">
        <v>0</v>
      </c>
      <c r="BK966">
        <v>0</v>
      </c>
      <c r="BL966">
        <v>249162225</v>
      </c>
      <c r="BM966">
        <v>0</v>
      </c>
      <c r="BN966">
        <v>1755</v>
      </c>
      <c r="BO966">
        <v>1798</v>
      </c>
      <c r="BP966">
        <v>0</v>
      </c>
      <c r="BQ966">
        <v>0</v>
      </c>
      <c r="BR966">
        <v>0.91339999999999999</v>
      </c>
      <c r="BS966">
        <v>0.91339999999999999</v>
      </c>
      <c r="BT966">
        <v>0</v>
      </c>
      <c r="BU966">
        <v>0</v>
      </c>
      <c r="BV966">
        <v>105</v>
      </c>
      <c r="BW966">
        <v>42</v>
      </c>
      <c r="BX966">
        <v>79</v>
      </c>
      <c r="BY966">
        <v>230</v>
      </c>
      <c r="BZ966">
        <v>6</v>
      </c>
      <c r="CA966">
        <v>462</v>
      </c>
      <c r="CB966">
        <v>0</v>
      </c>
      <c r="CC966">
        <v>0</v>
      </c>
      <c r="CD966">
        <v>0</v>
      </c>
      <c r="CE966">
        <v>93</v>
      </c>
      <c r="CF966">
        <v>140.797</v>
      </c>
      <c r="CG966">
        <v>0</v>
      </c>
      <c r="CH966">
        <v>0</v>
      </c>
      <c r="CI966">
        <v>3</v>
      </c>
      <c r="CJ966">
        <v>3</v>
      </c>
      <c r="CK966">
        <v>0</v>
      </c>
      <c r="CL966">
        <v>0</v>
      </c>
      <c r="CM966">
        <v>36.914999999999999</v>
      </c>
      <c r="CN966">
        <v>0</v>
      </c>
      <c r="CO966">
        <v>0</v>
      </c>
      <c r="CP966">
        <v>0</v>
      </c>
      <c r="CQ966">
        <v>0</v>
      </c>
      <c r="CR966">
        <v>0</v>
      </c>
      <c r="CS966">
        <v>0</v>
      </c>
      <c r="CT966">
        <v>0</v>
      </c>
      <c r="CU966">
        <v>2.2040000000000002</v>
      </c>
      <c r="CV966">
        <v>40.719000000000001</v>
      </c>
      <c r="CW966">
        <v>23.188000000000002</v>
      </c>
      <c r="CX966">
        <v>0</v>
      </c>
      <c r="CY966" s="2043">
        <v>0</v>
      </c>
      <c r="CZ966" s="2043">
        <v>0</v>
      </c>
      <c r="DA966" s="2043">
        <v>0</v>
      </c>
      <c r="DB966" s="2043">
        <v>0</v>
      </c>
      <c r="DC966" s="2043">
        <v>0</v>
      </c>
      <c r="DI966" t="s">
        <v>3181</v>
      </c>
      <c r="DJ966" t="s">
        <v>3181</v>
      </c>
      <c r="DK966" s="2042">
        <f t="shared" si="17"/>
        <v>0</v>
      </c>
    </row>
    <row r="967" spans="1:115">
      <c r="A967" t="s">
        <v>5867</v>
      </c>
      <c r="B967" t="s">
        <v>2151</v>
      </c>
      <c r="C967">
        <v>460.517</v>
      </c>
      <c r="D967">
        <v>451.745</v>
      </c>
      <c r="E967">
        <v>47.585000000000001</v>
      </c>
      <c r="F967">
        <v>0</v>
      </c>
      <c r="G967" s="2043">
        <v>261430097</v>
      </c>
      <c r="H967">
        <v>0</v>
      </c>
      <c r="I967" s="2043">
        <v>0</v>
      </c>
      <c r="J967">
        <v>23.026</v>
      </c>
      <c r="K967">
        <v>63</v>
      </c>
      <c r="L967">
        <v>0</v>
      </c>
      <c r="M967">
        <v>0</v>
      </c>
      <c r="N967">
        <v>0</v>
      </c>
      <c r="O967">
        <v>0</v>
      </c>
      <c r="P967">
        <v>0</v>
      </c>
      <c r="Q967">
        <v>0</v>
      </c>
      <c r="R967" s="2043">
        <v>2147989</v>
      </c>
      <c r="S967">
        <v>197949</v>
      </c>
      <c r="T967">
        <v>144255</v>
      </c>
      <c r="U967">
        <v>0.08</v>
      </c>
      <c r="V967">
        <v>0</v>
      </c>
      <c r="W967">
        <v>0</v>
      </c>
      <c r="X967">
        <v>0</v>
      </c>
      <c r="Y967">
        <v>0</v>
      </c>
      <c r="Z967">
        <v>0</v>
      </c>
      <c r="AA967">
        <v>3.2000000000000001E-2</v>
      </c>
      <c r="AB967">
        <v>417.81700000000001</v>
      </c>
      <c r="AC967" s="2043">
        <v>226116052</v>
      </c>
      <c r="AD967">
        <v>0</v>
      </c>
      <c r="AE967" s="2043">
        <v>2490193</v>
      </c>
      <c r="AF967">
        <v>1.0064</v>
      </c>
      <c r="AG967">
        <v>0</v>
      </c>
      <c r="AH967">
        <v>0</v>
      </c>
      <c r="AI967">
        <v>0</v>
      </c>
      <c r="AJ967">
        <v>125.10000000000001</v>
      </c>
      <c r="AK967">
        <v>2637</v>
      </c>
      <c r="AL967">
        <v>0</v>
      </c>
      <c r="AM967">
        <v>0</v>
      </c>
      <c r="AN967">
        <v>2.3890000000000002</v>
      </c>
      <c r="AO967">
        <v>0</v>
      </c>
      <c r="AP967">
        <v>0</v>
      </c>
      <c r="AQ967">
        <v>0</v>
      </c>
      <c r="AR967">
        <v>14.540000000000001</v>
      </c>
      <c r="AS967">
        <v>0</v>
      </c>
      <c r="AT967">
        <v>4.1509999999999998</v>
      </c>
      <c r="AU967">
        <v>1.421</v>
      </c>
      <c r="AV967">
        <v>0</v>
      </c>
      <c r="AW967">
        <v>25.737000000000002</v>
      </c>
      <c r="AX967">
        <v>5.625</v>
      </c>
      <c r="AY967">
        <v>76.116</v>
      </c>
      <c r="AZ967">
        <v>0</v>
      </c>
      <c r="BA967">
        <v>4109391</v>
      </c>
      <c r="BB967">
        <v>2490193</v>
      </c>
      <c r="BC967">
        <v>0</v>
      </c>
      <c r="BD967">
        <v>63372</v>
      </c>
      <c r="BE967">
        <v>9677</v>
      </c>
      <c r="BF967">
        <v>89819</v>
      </c>
      <c r="BG967">
        <v>63372</v>
      </c>
      <c r="BH967">
        <v>16770</v>
      </c>
      <c r="BI967">
        <v>0</v>
      </c>
      <c r="BJ967">
        <v>0</v>
      </c>
      <c r="BK967">
        <v>0</v>
      </c>
      <c r="BL967">
        <v>261430097</v>
      </c>
      <c r="BM967">
        <v>0</v>
      </c>
      <c r="BN967">
        <v>1206</v>
      </c>
      <c r="BO967">
        <v>792</v>
      </c>
      <c r="BP967">
        <v>0</v>
      </c>
      <c r="BQ967">
        <v>0</v>
      </c>
      <c r="BR967">
        <v>0.86810000000000009</v>
      </c>
      <c r="BS967">
        <v>0.86810000000000009</v>
      </c>
      <c r="BT967">
        <v>0</v>
      </c>
      <c r="BU967">
        <v>0</v>
      </c>
      <c r="BV967">
        <v>166</v>
      </c>
      <c r="BW967">
        <v>34</v>
      </c>
      <c r="BX967">
        <v>127</v>
      </c>
      <c r="BY967">
        <v>170</v>
      </c>
      <c r="BZ967">
        <v>12</v>
      </c>
      <c r="CA967">
        <v>509</v>
      </c>
      <c r="CB967">
        <v>0</v>
      </c>
      <c r="CC967">
        <v>0</v>
      </c>
      <c r="CD967">
        <v>0</v>
      </c>
      <c r="CE967">
        <v>42</v>
      </c>
      <c r="CF967">
        <v>146.351</v>
      </c>
      <c r="CG967">
        <v>0</v>
      </c>
      <c r="CH967">
        <v>0</v>
      </c>
      <c r="CI967">
        <v>2</v>
      </c>
      <c r="CJ967">
        <v>0</v>
      </c>
      <c r="CK967">
        <v>0</v>
      </c>
      <c r="CL967">
        <v>0</v>
      </c>
      <c r="CM967">
        <v>47.585000000000001</v>
      </c>
      <c r="CN967">
        <v>0</v>
      </c>
      <c r="CO967">
        <v>0</v>
      </c>
      <c r="CP967">
        <v>0</v>
      </c>
      <c r="CQ967">
        <v>0</v>
      </c>
      <c r="CR967">
        <v>0</v>
      </c>
      <c r="CS967">
        <v>0</v>
      </c>
      <c r="CT967">
        <v>0</v>
      </c>
      <c r="CU967">
        <v>0</v>
      </c>
      <c r="CV967">
        <v>18.850000000000001</v>
      </c>
      <c r="CW967">
        <v>7.2380000000000004</v>
      </c>
      <c r="CX967">
        <v>0</v>
      </c>
      <c r="CY967" s="2043">
        <v>0</v>
      </c>
      <c r="CZ967" s="2043">
        <v>0</v>
      </c>
      <c r="DA967" s="2043">
        <v>0</v>
      </c>
      <c r="DB967" s="2043">
        <v>0</v>
      </c>
      <c r="DC967" s="2043">
        <v>0</v>
      </c>
      <c r="DI967" t="s">
        <v>5867</v>
      </c>
      <c r="DJ967" t="s">
        <v>5867</v>
      </c>
      <c r="DK967" s="2042">
        <f t="shared" si="17"/>
        <v>0</v>
      </c>
    </row>
    <row r="968" spans="1:115">
      <c r="A968" t="s">
        <v>3182</v>
      </c>
      <c r="B968" t="s">
        <v>358</v>
      </c>
      <c r="C968">
        <v>481.399</v>
      </c>
      <c r="D968">
        <v>470.01900000000001</v>
      </c>
      <c r="E968">
        <v>1.4520000000000002</v>
      </c>
      <c r="F968">
        <v>0</v>
      </c>
      <c r="G968" s="2043">
        <v>92020644</v>
      </c>
      <c r="H968">
        <v>0</v>
      </c>
      <c r="I968" s="2043">
        <v>386275</v>
      </c>
      <c r="J968">
        <v>24.07</v>
      </c>
      <c r="K968">
        <v>66</v>
      </c>
      <c r="L968">
        <v>100312</v>
      </c>
      <c r="M968">
        <v>120713</v>
      </c>
      <c r="N968">
        <v>100312</v>
      </c>
      <c r="O968">
        <v>221025</v>
      </c>
      <c r="P968">
        <v>0</v>
      </c>
      <c r="Q968">
        <v>0</v>
      </c>
      <c r="R968" s="2043">
        <v>727875</v>
      </c>
      <c r="S968">
        <v>70839</v>
      </c>
      <c r="T968">
        <v>51625</v>
      </c>
      <c r="U968">
        <v>0.08</v>
      </c>
      <c r="V968">
        <v>0</v>
      </c>
      <c r="W968">
        <v>0</v>
      </c>
      <c r="X968">
        <v>0</v>
      </c>
      <c r="Y968">
        <v>0</v>
      </c>
      <c r="Z968">
        <v>0</v>
      </c>
      <c r="AA968">
        <v>0</v>
      </c>
      <c r="AB968">
        <v>470.01900000000001</v>
      </c>
      <c r="AC968" s="2043">
        <v>72075622</v>
      </c>
      <c r="AD968">
        <v>232239</v>
      </c>
      <c r="AE968" s="2043">
        <v>850339</v>
      </c>
      <c r="AF968">
        <v>0.96030000000000004</v>
      </c>
      <c r="AG968">
        <v>0</v>
      </c>
      <c r="AH968">
        <v>0</v>
      </c>
      <c r="AI968">
        <v>0</v>
      </c>
      <c r="AJ968">
        <v>83.863</v>
      </c>
      <c r="AK968">
        <v>2921</v>
      </c>
      <c r="AL968">
        <v>1.2E-2</v>
      </c>
      <c r="AM968">
        <v>0</v>
      </c>
      <c r="AN968">
        <v>14.904</v>
      </c>
      <c r="AO968">
        <v>0</v>
      </c>
      <c r="AP968">
        <v>0.24700000000000003</v>
      </c>
      <c r="AQ968">
        <v>0</v>
      </c>
      <c r="AR968">
        <v>18.734999999999999</v>
      </c>
      <c r="AS968">
        <v>0</v>
      </c>
      <c r="AT968">
        <v>2.57</v>
      </c>
      <c r="AU968">
        <v>0.95200000000000007</v>
      </c>
      <c r="AV968">
        <v>0</v>
      </c>
      <c r="AW968">
        <v>22.516000000000002</v>
      </c>
      <c r="AX968">
        <v>0</v>
      </c>
      <c r="AY968">
        <v>69.402000000000001</v>
      </c>
      <c r="AZ968">
        <v>0</v>
      </c>
      <c r="BA968">
        <v>6255312</v>
      </c>
      <c r="BB968">
        <v>1082578</v>
      </c>
      <c r="BC968">
        <v>0</v>
      </c>
      <c r="BD968">
        <v>66285</v>
      </c>
      <c r="BE968">
        <v>1694</v>
      </c>
      <c r="BF968">
        <v>67979</v>
      </c>
      <c r="BG968">
        <v>66285</v>
      </c>
      <c r="BH968">
        <v>0</v>
      </c>
      <c r="BI968">
        <v>0</v>
      </c>
      <c r="BJ968">
        <v>0</v>
      </c>
      <c r="BK968">
        <v>0</v>
      </c>
      <c r="BL968">
        <v>92020644</v>
      </c>
      <c r="BM968">
        <v>0</v>
      </c>
      <c r="BN968">
        <v>1404</v>
      </c>
      <c r="BO968">
        <v>1616</v>
      </c>
      <c r="BP968">
        <v>0</v>
      </c>
      <c r="BQ968">
        <v>0</v>
      </c>
      <c r="BR968">
        <v>0.82200000000000006</v>
      </c>
      <c r="BS968">
        <v>0.82200000000000006</v>
      </c>
      <c r="BT968">
        <v>0</v>
      </c>
      <c r="BU968">
        <v>0</v>
      </c>
      <c r="BV968">
        <v>39</v>
      </c>
      <c r="BW968">
        <v>77</v>
      </c>
      <c r="BX968">
        <v>203</v>
      </c>
      <c r="BY968">
        <v>22</v>
      </c>
      <c r="BZ968">
        <v>1</v>
      </c>
      <c r="CA968">
        <v>342</v>
      </c>
      <c r="CB968">
        <v>0</v>
      </c>
      <c r="CC968">
        <v>0</v>
      </c>
      <c r="CD968">
        <v>0</v>
      </c>
      <c r="CE968">
        <v>89</v>
      </c>
      <c r="CF968">
        <v>91.204000000000008</v>
      </c>
      <c r="CG968">
        <v>0</v>
      </c>
      <c r="CH968">
        <v>0</v>
      </c>
      <c r="CI968">
        <v>0</v>
      </c>
      <c r="CJ968">
        <v>0</v>
      </c>
      <c r="CK968">
        <v>0</v>
      </c>
      <c r="CL968">
        <v>0</v>
      </c>
      <c r="CM968">
        <v>1.4520000000000002</v>
      </c>
      <c r="CN968">
        <v>0</v>
      </c>
      <c r="CO968">
        <v>0</v>
      </c>
      <c r="CP968">
        <v>0</v>
      </c>
      <c r="CQ968">
        <v>0</v>
      </c>
      <c r="CR968">
        <v>0</v>
      </c>
      <c r="CS968">
        <v>0</v>
      </c>
      <c r="CT968">
        <v>0</v>
      </c>
      <c r="CU968">
        <v>11.778</v>
      </c>
      <c r="CV968">
        <v>50.802</v>
      </c>
      <c r="CW968">
        <v>22.53</v>
      </c>
      <c r="CX968">
        <v>0</v>
      </c>
      <c r="CY968" s="2043">
        <v>0</v>
      </c>
      <c r="CZ968" s="2043">
        <v>0</v>
      </c>
      <c r="DA968" s="2043">
        <v>0</v>
      </c>
      <c r="DB968" s="2043">
        <v>0</v>
      </c>
      <c r="DC968" s="2043">
        <v>0</v>
      </c>
      <c r="DI968" t="s">
        <v>3182</v>
      </c>
      <c r="DJ968" t="s">
        <v>3182</v>
      </c>
      <c r="DK968" s="2042">
        <f t="shared" si="17"/>
        <v>0</v>
      </c>
    </row>
    <row r="969" spans="1:115">
      <c r="A969" t="s">
        <v>5234</v>
      </c>
      <c r="B969" t="s">
        <v>932</v>
      </c>
      <c r="C969">
        <v>2422.0770000000002</v>
      </c>
      <c r="D969">
        <v>2729.51</v>
      </c>
      <c r="E969">
        <v>294.827</v>
      </c>
      <c r="F969">
        <v>0</v>
      </c>
      <c r="G969" s="2043">
        <v>14409903687</v>
      </c>
      <c r="H969">
        <v>0</v>
      </c>
      <c r="I969" s="2043">
        <v>224000</v>
      </c>
      <c r="J969">
        <v>121.104</v>
      </c>
      <c r="K969">
        <v>331</v>
      </c>
      <c r="L969">
        <v>0</v>
      </c>
      <c r="M969">
        <v>0</v>
      </c>
      <c r="N969">
        <v>0</v>
      </c>
      <c r="O969">
        <v>0</v>
      </c>
      <c r="P969">
        <v>0</v>
      </c>
      <c r="Q969">
        <v>0</v>
      </c>
      <c r="R969" s="2043">
        <v>158266185</v>
      </c>
      <c r="S969">
        <v>8663575</v>
      </c>
      <c r="T969">
        <v>0</v>
      </c>
      <c r="U969">
        <v>0.05</v>
      </c>
      <c r="V969">
        <v>0</v>
      </c>
      <c r="W969">
        <v>110570743</v>
      </c>
      <c r="X969">
        <v>0</v>
      </c>
      <c r="Y969">
        <v>0</v>
      </c>
      <c r="Z969">
        <v>0</v>
      </c>
      <c r="AA969">
        <v>0.52300000000000002</v>
      </c>
      <c r="AB969">
        <v>2411.335</v>
      </c>
      <c r="AC969" s="2043">
        <v>12866432584</v>
      </c>
      <c r="AD969">
        <v>17631841</v>
      </c>
      <c r="AE969" s="2043">
        <v>166929760</v>
      </c>
      <c r="AF969">
        <v>0.96340000000000003</v>
      </c>
      <c r="AG969">
        <v>0</v>
      </c>
      <c r="AH969">
        <v>110570743</v>
      </c>
      <c r="AI969">
        <v>0</v>
      </c>
      <c r="AJ969">
        <v>442.488</v>
      </c>
      <c r="AK969">
        <v>6750</v>
      </c>
      <c r="AL969">
        <v>0</v>
      </c>
      <c r="AM969">
        <v>0</v>
      </c>
      <c r="AN969">
        <v>157.03300000000002</v>
      </c>
      <c r="AO969">
        <v>0</v>
      </c>
      <c r="AP969">
        <v>0</v>
      </c>
      <c r="AQ969">
        <v>0</v>
      </c>
      <c r="AR969">
        <v>4.79</v>
      </c>
      <c r="AS969">
        <v>0</v>
      </c>
      <c r="AT969">
        <v>19.258000000000003</v>
      </c>
      <c r="AU969">
        <v>5.1350000000000007</v>
      </c>
      <c r="AV969">
        <v>0</v>
      </c>
      <c r="AW969">
        <v>29.183</v>
      </c>
      <c r="AX969">
        <v>0</v>
      </c>
      <c r="AY969">
        <v>97.819000000000003</v>
      </c>
      <c r="AZ969">
        <v>0</v>
      </c>
      <c r="BA969">
        <v>1394479</v>
      </c>
      <c r="BB969">
        <v>184561601</v>
      </c>
      <c r="BC969">
        <v>0</v>
      </c>
      <c r="BD969">
        <v>118134</v>
      </c>
      <c r="BE969">
        <v>9117</v>
      </c>
      <c r="BF969">
        <v>130519</v>
      </c>
      <c r="BG969">
        <v>118134</v>
      </c>
      <c r="BH969">
        <v>3268</v>
      </c>
      <c r="BI969">
        <v>0</v>
      </c>
      <c r="BJ969">
        <v>0</v>
      </c>
      <c r="BK969">
        <v>0</v>
      </c>
      <c r="BL969">
        <v>14409903687</v>
      </c>
      <c r="BM969">
        <v>0</v>
      </c>
      <c r="BN969">
        <v>7848</v>
      </c>
      <c r="BO969">
        <v>4655</v>
      </c>
      <c r="BP969">
        <v>0</v>
      </c>
      <c r="BQ969">
        <v>0</v>
      </c>
      <c r="BR969">
        <v>0.91339999999999999</v>
      </c>
      <c r="BS969">
        <v>0.91339999999999999</v>
      </c>
      <c r="BT969">
        <v>0</v>
      </c>
      <c r="BU969">
        <v>0</v>
      </c>
      <c r="BV969">
        <v>227</v>
      </c>
      <c r="BW969">
        <v>516</v>
      </c>
      <c r="BX969">
        <v>649</v>
      </c>
      <c r="BY969">
        <v>249</v>
      </c>
      <c r="BZ969">
        <v>150</v>
      </c>
      <c r="CA969">
        <v>1791</v>
      </c>
      <c r="CB969">
        <v>0</v>
      </c>
      <c r="CC969">
        <v>0</v>
      </c>
      <c r="CD969">
        <v>0</v>
      </c>
      <c r="CE969">
        <v>62</v>
      </c>
      <c r="CF969">
        <v>676.87</v>
      </c>
      <c r="CG969">
        <v>0</v>
      </c>
      <c r="CH969">
        <v>0</v>
      </c>
      <c r="CI969">
        <v>0</v>
      </c>
      <c r="CJ969">
        <v>0</v>
      </c>
      <c r="CK969">
        <v>0</v>
      </c>
      <c r="CL969">
        <v>0</v>
      </c>
      <c r="CM969">
        <v>294.827</v>
      </c>
      <c r="CN969">
        <v>0</v>
      </c>
      <c r="CO969">
        <v>0</v>
      </c>
      <c r="CP969">
        <v>0</v>
      </c>
      <c r="CQ969">
        <v>0</v>
      </c>
      <c r="CR969">
        <v>0</v>
      </c>
      <c r="CS969">
        <v>0</v>
      </c>
      <c r="CT969">
        <v>0</v>
      </c>
      <c r="CU969">
        <v>0</v>
      </c>
      <c r="CV969">
        <v>165.57500000000002</v>
      </c>
      <c r="CW969">
        <v>51.027000000000001</v>
      </c>
      <c r="CX969">
        <v>0</v>
      </c>
      <c r="CY969" s="2043">
        <v>0</v>
      </c>
      <c r="CZ969" s="2043">
        <v>0</v>
      </c>
      <c r="DA969" s="2043">
        <v>0</v>
      </c>
      <c r="DB969" s="2043">
        <v>0</v>
      </c>
      <c r="DC969" s="2043">
        <v>916869</v>
      </c>
      <c r="DI969" t="s">
        <v>5234</v>
      </c>
      <c r="DJ969" t="s">
        <v>5234</v>
      </c>
      <c r="DK969" s="2042">
        <f t="shared" si="17"/>
        <v>0</v>
      </c>
    </row>
    <row r="970" spans="1:115">
      <c r="A970" t="s">
        <v>3183</v>
      </c>
      <c r="B970" t="s">
        <v>1620</v>
      </c>
      <c r="C970">
        <v>133.34700000000001</v>
      </c>
      <c r="D970">
        <v>140.744</v>
      </c>
      <c r="E970">
        <v>11.28</v>
      </c>
      <c r="F970">
        <v>0</v>
      </c>
      <c r="G970" s="2043">
        <v>468203622</v>
      </c>
      <c r="H970">
        <v>0</v>
      </c>
      <c r="I970" s="2043">
        <v>2057850</v>
      </c>
      <c r="J970">
        <v>2</v>
      </c>
      <c r="K970">
        <v>5</v>
      </c>
      <c r="L970">
        <v>0</v>
      </c>
      <c r="M970">
        <v>62400</v>
      </c>
      <c r="N970">
        <v>0</v>
      </c>
      <c r="O970">
        <v>62400</v>
      </c>
      <c r="P970">
        <v>0</v>
      </c>
      <c r="Q970">
        <v>0</v>
      </c>
      <c r="R970" s="2043">
        <v>4489965</v>
      </c>
      <c r="S970">
        <v>228870</v>
      </c>
      <c r="T970">
        <v>0</v>
      </c>
      <c r="U970">
        <v>0.05</v>
      </c>
      <c r="V970">
        <v>0</v>
      </c>
      <c r="W970">
        <v>2643441</v>
      </c>
      <c r="X970">
        <v>0</v>
      </c>
      <c r="Y970">
        <v>0</v>
      </c>
      <c r="Z970">
        <v>0</v>
      </c>
      <c r="AA970">
        <v>0.16700000000000001</v>
      </c>
      <c r="AB970">
        <v>140.744</v>
      </c>
      <c r="AC970" s="2043">
        <v>110627470</v>
      </c>
      <c r="AD970">
        <v>2242923</v>
      </c>
      <c r="AE970" s="2043">
        <v>4718835</v>
      </c>
      <c r="AF970">
        <v>1.0309000000000001</v>
      </c>
      <c r="AG970">
        <v>0</v>
      </c>
      <c r="AH970">
        <v>2643441</v>
      </c>
      <c r="AI970">
        <v>0</v>
      </c>
      <c r="AJ970">
        <v>30.675000000000001</v>
      </c>
      <c r="AK970">
        <v>756</v>
      </c>
      <c r="AL970">
        <v>0</v>
      </c>
      <c r="AM970">
        <v>0</v>
      </c>
      <c r="AN970">
        <v>11.615</v>
      </c>
      <c r="AO970">
        <v>0</v>
      </c>
      <c r="AP970">
        <v>0</v>
      </c>
      <c r="AQ970">
        <v>0</v>
      </c>
      <c r="AR970">
        <v>2.0449999999999999</v>
      </c>
      <c r="AS970">
        <v>0</v>
      </c>
      <c r="AT970">
        <v>0.36799999999999999</v>
      </c>
      <c r="AU970">
        <v>8.7000000000000008E-2</v>
      </c>
      <c r="AV970">
        <v>0</v>
      </c>
      <c r="AW970">
        <v>2.5</v>
      </c>
      <c r="AX970">
        <v>0</v>
      </c>
      <c r="AY970">
        <v>7.6740000000000004</v>
      </c>
      <c r="AZ970">
        <v>0</v>
      </c>
      <c r="BA970">
        <v>72060</v>
      </c>
      <c r="BB970">
        <v>6961758</v>
      </c>
      <c r="BC970">
        <v>2239</v>
      </c>
      <c r="BD970">
        <v>6471</v>
      </c>
      <c r="BE970">
        <v>0</v>
      </c>
      <c r="BF970">
        <v>8710</v>
      </c>
      <c r="BG970">
        <v>8710</v>
      </c>
      <c r="BH970">
        <v>0</v>
      </c>
      <c r="BI970">
        <v>0</v>
      </c>
      <c r="BJ970">
        <v>0</v>
      </c>
      <c r="BK970">
        <v>0</v>
      </c>
      <c r="BL970">
        <v>468203622</v>
      </c>
      <c r="BM970">
        <v>0</v>
      </c>
      <c r="BN970">
        <v>495</v>
      </c>
      <c r="BO970">
        <v>342</v>
      </c>
      <c r="BP970">
        <v>0</v>
      </c>
      <c r="BQ970">
        <v>0</v>
      </c>
      <c r="BR970">
        <v>0.98089999999999999</v>
      </c>
      <c r="BS970">
        <v>0.98089999999999999</v>
      </c>
      <c r="BT970">
        <v>0</v>
      </c>
      <c r="BU970">
        <v>0</v>
      </c>
      <c r="BV970">
        <v>0</v>
      </c>
      <c r="BW970">
        <v>128</v>
      </c>
      <c r="BX970">
        <v>0</v>
      </c>
      <c r="BY970">
        <v>0</v>
      </c>
      <c r="BZ970">
        <v>1</v>
      </c>
      <c r="CA970">
        <v>129</v>
      </c>
      <c r="CB970">
        <v>0</v>
      </c>
      <c r="CC970">
        <v>0</v>
      </c>
      <c r="CD970">
        <v>0</v>
      </c>
      <c r="CE970">
        <v>5</v>
      </c>
      <c r="CF970">
        <v>28.665000000000003</v>
      </c>
      <c r="CG970">
        <v>0</v>
      </c>
      <c r="CH970">
        <v>0</v>
      </c>
      <c r="CI970">
        <v>3</v>
      </c>
      <c r="CJ970">
        <v>2</v>
      </c>
      <c r="CK970">
        <v>0</v>
      </c>
      <c r="CL970">
        <v>0</v>
      </c>
      <c r="CM970">
        <v>11.28</v>
      </c>
      <c r="CN970">
        <v>0</v>
      </c>
      <c r="CO970">
        <v>0</v>
      </c>
      <c r="CP970">
        <v>0</v>
      </c>
      <c r="CQ970">
        <v>0</v>
      </c>
      <c r="CR970">
        <v>0</v>
      </c>
      <c r="CS970">
        <v>0</v>
      </c>
      <c r="CT970">
        <v>0</v>
      </c>
      <c r="CU970">
        <v>0</v>
      </c>
      <c r="CV970">
        <v>9.136000000000001</v>
      </c>
      <c r="CW970">
        <v>2.9910000000000001</v>
      </c>
      <c r="CX970">
        <v>0</v>
      </c>
      <c r="CY970" s="2043">
        <v>0</v>
      </c>
      <c r="CZ970" s="2043">
        <v>0</v>
      </c>
      <c r="DA970" s="2043">
        <v>0</v>
      </c>
      <c r="DB970" s="2043">
        <v>0</v>
      </c>
      <c r="DC970" s="2043">
        <v>40294</v>
      </c>
      <c r="DI970" t="s">
        <v>3183</v>
      </c>
      <c r="DJ970" t="s">
        <v>3183</v>
      </c>
      <c r="DK970" s="2042">
        <f t="shared" si="17"/>
        <v>0</v>
      </c>
    </row>
    <row r="971" spans="1:115">
      <c r="A971" t="s">
        <v>5236</v>
      </c>
      <c r="B971" t="s">
        <v>655</v>
      </c>
      <c r="C971">
        <v>396.02800000000002</v>
      </c>
      <c r="D971">
        <v>417.99299999999999</v>
      </c>
      <c r="E971">
        <v>1.907</v>
      </c>
      <c r="F971">
        <v>0</v>
      </c>
      <c r="G971" s="2043">
        <v>269722707</v>
      </c>
      <c r="H971">
        <v>0</v>
      </c>
      <c r="I971" s="2043">
        <v>909713</v>
      </c>
      <c r="J971">
        <v>19.801000000000002</v>
      </c>
      <c r="K971">
        <v>54</v>
      </c>
      <c r="L971">
        <v>0</v>
      </c>
      <c r="M971">
        <v>0</v>
      </c>
      <c r="N971">
        <v>0</v>
      </c>
      <c r="O971">
        <v>0</v>
      </c>
      <c r="P971">
        <v>0</v>
      </c>
      <c r="Q971">
        <v>0</v>
      </c>
      <c r="R971" s="2043">
        <v>2084866</v>
      </c>
      <c r="S971">
        <v>198087</v>
      </c>
      <c r="T971">
        <v>143613</v>
      </c>
      <c r="U971">
        <v>0.08</v>
      </c>
      <c r="V971">
        <v>0</v>
      </c>
      <c r="W971">
        <v>0</v>
      </c>
      <c r="X971">
        <v>0</v>
      </c>
      <c r="Y971">
        <v>0</v>
      </c>
      <c r="Z971">
        <v>0</v>
      </c>
      <c r="AA971">
        <v>0</v>
      </c>
      <c r="AB971">
        <v>402.86200000000002</v>
      </c>
      <c r="AC971" s="2043">
        <v>291931592</v>
      </c>
      <c r="AD971">
        <v>1151065</v>
      </c>
      <c r="AE971" s="2043">
        <v>2426566</v>
      </c>
      <c r="AF971">
        <v>0.98</v>
      </c>
      <c r="AG971">
        <v>0</v>
      </c>
      <c r="AH971">
        <v>0</v>
      </c>
      <c r="AI971">
        <v>0</v>
      </c>
      <c r="AJ971">
        <v>67.75</v>
      </c>
      <c r="AK971">
        <v>3049</v>
      </c>
      <c r="AL971">
        <v>1.4E-2</v>
      </c>
      <c r="AM971">
        <v>0</v>
      </c>
      <c r="AN971">
        <v>9.9749999999999996</v>
      </c>
      <c r="AO971">
        <v>0</v>
      </c>
      <c r="AP971">
        <v>0</v>
      </c>
      <c r="AQ971">
        <v>0</v>
      </c>
      <c r="AR971">
        <v>21.301000000000002</v>
      </c>
      <c r="AS971">
        <v>0</v>
      </c>
      <c r="AT971">
        <v>2.6890000000000001</v>
      </c>
      <c r="AU971">
        <v>1.0530000000000002</v>
      </c>
      <c r="AV971">
        <v>0</v>
      </c>
      <c r="AW971">
        <v>25.282</v>
      </c>
      <c r="AX971">
        <v>0.22500000000000001</v>
      </c>
      <c r="AY971">
        <v>77.823000000000008</v>
      </c>
      <c r="AZ971">
        <v>0</v>
      </c>
      <c r="BA971">
        <v>3162065</v>
      </c>
      <c r="BB971">
        <v>3577631</v>
      </c>
      <c r="BC971">
        <v>0</v>
      </c>
      <c r="BD971">
        <v>15027</v>
      </c>
      <c r="BE971">
        <v>53</v>
      </c>
      <c r="BF971">
        <v>43743</v>
      </c>
      <c r="BG971">
        <v>15027</v>
      </c>
      <c r="BH971">
        <v>28663</v>
      </c>
      <c r="BI971">
        <v>0</v>
      </c>
      <c r="BJ971">
        <v>0</v>
      </c>
      <c r="BK971">
        <v>0</v>
      </c>
      <c r="BL971">
        <v>269722707</v>
      </c>
      <c r="BM971">
        <v>0</v>
      </c>
      <c r="BN971">
        <v>1188</v>
      </c>
      <c r="BO971">
        <v>353</v>
      </c>
      <c r="BP971">
        <v>0</v>
      </c>
      <c r="BQ971">
        <v>0</v>
      </c>
      <c r="BR971">
        <v>0.84200000000000008</v>
      </c>
      <c r="BS971">
        <v>0.84200000000000008</v>
      </c>
      <c r="BT971">
        <v>0</v>
      </c>
      <c r="BU971">
        <v>0</v>
      </c>
      <c r="BV971">
        <v>3</v>
      </c>
      <c r="BW971">
        <v>82</v>
      </c>
      <c r="BX971">
        <v>65</v>
      </c>
      <c r="BY971">
        <v>88</v>
      </c>
      <c r="BZ971">
        <v>30</v>
      </c>
      <c r="CA971">
        <v>268</v>
      </c>
      <c r="CB971">
        <v>0</v>
      </c>
      <c r="CC971">
        <v>0</v>
      </c>
      <c r="CD971">
        <v>0</v>
      </c>
      <c r="CE971">
        <v>34</v>
      </c>
      <c r="CF971">
        <v>79.043000000000006</v>
      </c>
      <c r="CG971">
        <v>0</v>
      </c>
      <c r="CH971">
        <v>0</v>
      </c>
      <c r="CI971">
        <v>3</v>
      </c>
      <c r="CJ971">
        <v>2</v>
      </c>
      <c r="CK971">
        <v>0</v>
      </c>
      <c r="CL971">
        <v>0</v>
      </c>
      <c r="CM971">
        <v>1.907</v>
      </c>
      <c r="CN971">
        <v>0</v>
      </c>
      <c r="CO971">
        <v>0</v>
      </c>
      <c r="CP971">
        <v>0</v>
      </c>
      <c r="CQ971">
        <v>0</v>
      </c>
      <c r="CR971">
        <v>0</v>
      </c>
      <c r="CS971">
        <v>0</v>
      </c>
      <c r="CT971">
        <v>0</v>
      </c>
      <c r="CU971">
        <v>0</v>
      </c>
      <c r="CV971">
        <v>19.487000000000002</v>
      </c>
      <c r="CW971">
        <v>20.199000000000002</v>
      </c>
      <c r="CX971">
        <v>0</v>
      </c>
      <c r="CY971" s="2043">
        <v>0</v>
      </c>
      <c r="CZ971" s="2043">
        <v>0</v>
      </c>
      <c r="DA971" s="2043">
        <v>0</v>
      </c>
      <c r="DB971" s="2043">
        <v>0</v>
      </c>
      <c r="DC971" s="2043">
        <v>69227</v>
      </c>
      <c r="DI971" t="s">
        <v>5235</v>
      </c>
      <c r="DJ971" t="s">
        <v>5236</v>
      </c>
      <c r="DK971" s="2042">
        <f t="shared" si="17"/>
        <v>-1</v>
      </c>
    </row>
    <row r="972" spans="1:115">
      <c r="A972" t="s">
        <v>5235</v>
      </c>
      <c r="B972" t="s">
        <v>654</v>
      </c>
      <c r="C972">
        <v>122.66300000000001</v>
      </c>
      <c r="D972">
        <v>117.13500000000001</v>
      </c>
      <c r="E972">
        <v>2.9220000000000002</v>
      </c>
      <c r="F972">
        <v>0</v>
      </c>
      <c r="G972" s="2043">
        <v>192184407</v>
      </c>
      <c r="H972">
        <v>0</v>
      </c>
      <c r="I972" s="2043">
        <v>915650</v>
      </c>
      <c r="J972">
        <v>6.133</v>
      </c>
      <c r="K972">
        <v>17</v>
      </c>
      <c r="L972">
        <v>0</v>
      </c>
      <c r="M972">
        <v>0</v>
      </c>
      <c r="N972">
        <v>0</v>
      </c>
      <c r="O972">
        <v>0</v>
      </c>
      <c r="P972">
        <v>0</v>
      </c>
      <c r="Q972">
        <v>0</v>
      </c>
      <c r="R972" s="2043">
        <v>1747895</v>
      </c>
      <c r="S972">
        <v>153089</v>
      </c>
      <c r="T972">
        <v>111564</v>
      </c>
      <c r="U972">
        <v>0.08</v>
      </c>
      <c r="V972">
        <v>0</v>
      </c>
      <c r="W972">
        <v>0</v>
      </c>
      <c r="X972">
        <v>21204</v>
      </c>
      <c r="Y972">
        <v>97483</v>
      </c>
      <c r="Z972">
        <v>0</v>
      </c>
      <c r="AA972">
        <v>0</v>
      </c>
      <c r="AB972">
        <v>117.13500000000001</v>
      </c>
      <c r="AC972" s="2043">
        <v>223548165</v>
      </c>
      <c r="AD972">
        <v>913238</v>
      </c>
      <c r="AE972" s="2043">
        <v>2012548</v>
      </c>
      <c r="AF972">
        <v>1.0517000000000001</v>
      </c>
      <c r="AG972">
        <v>0</v>
      </c>
      <c r="AH972">
        <v>21204</v>
      </c>
      <c r="AI972">
        <v>0</v>
      </c>
      <c r="AJ972">
        <v>20.638000000000002</v>
      </c>
      <c r="AK972">
        <v>1547</v>
      </c>
      <c r="AL972">
        <v>0.14400000000000002</v>
      </c>
      <c r="AM972">
        <v>0</v>
      </c>
      <c r="AN972">
        <v>6.6990000000000007</v>
      </c>
      <c r="AO972">
        <v>0</v>
      </c>
      <c r="AP972">
        <v>0</v>
      </c>
      <c r="AQ972">
        <v>0</v>
      </c>
      <c r="AR972">
        <v>10.299000000000001</v>
      </c>
      <c r="AS972">
        <v>0</v>
      </c>
      <c r="AT972">
        <v>0.46200000000000002</v>
      </c>
      <c r="AU972">
        <v>0.46</v>
      </c>
      <c r="AV972">
        <v>0</v>
      </c>
      <c r="AW972">
        <v>11.365</v>
      </c>
      <c r="AX972">
        <v>0</v>
      </c>
      <c r="AY972">
        <v>35.303000000000004</v>
      </c>
      <c r="AZ972">
        <v>0</v>
      </c>
      <c r="BA972">
        <v>407130</v>
      </c>
      <c r="BB972">
        <v>2925786</v>
      </c>
      <c r="BC972">
        <v>0</v>
      </c>
      <c r="BD972">
        <v>38837</v>
      </c>
      <c r="BE972">
        <v>0</v>
      </c>
      <c r="BF972">
        <v>38837</v>
      </c>
      <c r="BG972">
        <v>38837</v>
      </c>
      <c r="BH972">
        <v>0</v>
      </c>
      <c r="BI972">
        <v>0</v>
      </c>
      <c r="BJ972">
        <v>0</v>
      </c>
      <c r="BK972">
        <v>0</v>
      </c>
      <c r="BL972">
        <v>192184407</v>
      </c>
      <c r="BM972">
        <v>0</v>
      </c>
      <c r="BN972">
        <v>450</v>
      </c>
      <c r="BO972">
        <v>54</v>
      </c>
      <c r="BP972">
        <v>0</v>
      </c>
      <c r="BQ972">
        <v>0</v>
      </c>
      <c r="BR972">
        <v>0.91339999999999999</v>
      </c>
      <c r="BS972">
        <v>0.91339999999999999</v>
      </c>
      <c r="BT972">
        <v>0</v>
      </c>
      <c r="BU972">
        <v>97483</v>
      </c>
      <c r="BV972">
        <v>0</v>
      </c>
      <c r="BW972">
        <v>11</v>
      </c>
      <c r="BX972">
        <v>71</v>
      </c>
      <c r="BY972">
        <v>0</v>
      </c>
      <c r="BZ972">
        <v>1</v>
      </c>
      <c r="CA972">
        <v>83</v>
      </c>
      <c r="CB972">
        <v>0</v>
      </c>
      <c r="CC972">
        <v>0</v>
      </c>
      <c r="CD972">
        <v>0</v>
      </c>
      <c r="CE972">
        <v>8</v>
      </c>
      <c r="CF972">
        <v>19.391999999999999</v>
      </c>
      <c r="CG972">
        <v>0</v>
      </c>
      <c r="CH972">
        <v>0</v>
      </c>
      <c r="CI972">
        <v>0</v>
      </c>
      <c r="CJ972">
        <v>0</v>
      </c>
      <c r="CK972">
        <v>0</v>
      </c>
      <c r="CL972">
        <v>0</v>
      </c>
      <c r="CM972">
        <v>2.9220000000000002</v>
      </c>
      <c r="CN972">
        <v>0</v>
      </c>
      <c r="CO972">
        <v>0</v>
      </c>
      <c r="CP972">
        <v>0</v>
      </c>
      <c r="CQ972">
        <v>0</v>
      </c>
      <c r="CR972">
        <v>0</v>
      </c>
      <c r="CS972">
        <v>0</v>
      </c>
      <c r="CT972">
        <v>0</v>
      </c>
      <c r="CU972">
        <v>0</v>
      </c>
      <c r="CV972">
        <v>3.6640000000000001</v>
      </c>
      <c r="CW972">
        <v>2.9220000000000002</v>
      </c>
      <c r="CX972">
        <v>0</v>
      </c>
      <c r="CY972" s="2043">
        <v>0</v>
      </c>
      <c r="CZ972" s="2043">
        <v>0</v>
      </c>
      <c r="DA972" s="2043">
        <v>0</v>
      </c>
      <c r="DB972" s="2043">
        <v>0</v>
      </c>
      <c r="DC972" s="2043">
        <v>199708</v>
      </c>
      <c r="DI972" t="s">
        <v>5236</v>
      </c>
      <c r="DJ972" t="s">
        <v>5235</v>
      </c>
      <c r="DK972" s="2042">
        <f t="shared" si="17"/>
        <v>1</v>
      </c>
    </row>
    <row r="973" spans="1:115">
      <c r="A973" t="s">
        <v>5237</v>
      </c>
      <c r="B973" t="s">
        <v>656</v>
      </c>
      <c r="C973">
        <v>636.84900000000005</v>
      </c>
      <c r="D973">
        <v>628.40200000000004</v>
      </c>
      <c r="E973">
        <v>33.869</v>
      </c>
      <c r="F973">
        <v>0</v>
      </c>
      <c r="G973" s="2043">
        <v>377043311</v>
      </c>
      <c r="H973">
        <v>0</v>
      </c>
      <c r="I973" s="2043">
        <v>1182300</v>
      </c>
      <c r="J973">
        <v>11</v>
      </c>
      <c r="K973">
        <v>30</v>
      </c>
      <c r="L973">
        <v>0</v>
      </c>
      <c r="M973">
        <v>0</v>
      </c>
      <c r="N973">
        <v>0</v>
      </c>
      <c r="O973">
        <v>0</v>
      </c>
      <c r="P973">
        <v>0</v>
      </c>
      <c r="Q973">
        <v>0</v>
      </c>
      <c r="R973" s="2043">
        <v>3245246</v>
      </c>
      <c r="S973">
        <v>177647</v>
      </c>
      <c r="T973">
        <v>0</v>
      </c>
      <c r="U973">
        <v>0.05</v>
      </c>
      <c r="V973">
        <v>0</v>
      </c>
      <c r="W973">
        <v>0</v>
      </c>
      <c r="X973">
        <v>0</v>
      </c>
      <c r="Y973">
        <v>0</v>
      </c>
      <c r="Z973">
        <v>0</v>
      </c>
      <c r="AA973">
        <v>0.24200000000000002</v>
      </c>
      <c r="AB973">
        <v>628.40200000000004</v>
      </c>
      <c r="AC973" s="2043">
        <v>367621472</v>
      </c>
      <c r="AD973">
        <v>1206535</v>
      </c>
      <c r="AE973" s="2043">
        <v>3422893</v>
      </c>
      <c r="AF973">
        <v>0.96340000000000003</v>
      </c>
      <c r="AG973">
        <v>0</v>
      </c>
      <c r="AH973">
        <v>0</v>
      </c>
      <c r="AI973">
        <v>0</v>
      </c>
      <c r="AJ973">
        <v>125.825</v>
      </c>
      <c r="AK973">
        <v>3865</v>
      </c>
      <c r="AL973">
        <v>0</v>
      </c>
      <c r="AM973">
        <v>0</v>
      </c>
      <c r="AN973">
        <v>13.687000000000001</v>
      </c>
      <c r="AO973">
        <v>0</v>
      </c>
      <c r="AP973">
        <v>0</v>
      </c>
      <c r="AQ973">
        <v>0</v>
      </c>
      <c r="AR973">
        <v>27.575000000000003</v>
      </c>
      <c r="AS973">
        <v>0</v>
      </c>
      <c r="AT973">
        <v>4.2090000000000005</v>
      </c>
      <c r="AU973">
        <v>1.9540000000000002</v>
      </c>
      <c r="AV973">
        <v>0</v>
      </c>
      <c r="AW973">
        <v>33.738</v>
      </c>
      <c r="AX973">
        <v>0</v>
      </c>
      <c r="AY973">
        <v>105.122</v>
      </c>
      <c r="AZ973">
        <v>0</v>
      </c>
      <c r="BA973">
        <v>4362459</v>
      </c>
      <c r="BB973">
        <v>4629428</v>
      </c>
      <c r="BC973">
        <v>0</v>
      </c>
      <c r="BD973">
        <v>40230</v>
      </c>
      <c r="BE973">
        <v>1390</v>
      </c>
      <c r="BF973">
        <v>41620</v>
      </c>
      <c r="BG973">
        <v>40230</v>
      </c>
      <c r="BH973">
        <v>0</v>
      </c>
      <c r="BI973">
        <v>0</v>
      </c>
      <c r="BJ973">
        <v>0</v>
      </c>
      <c r="BK973">
        <v>0</v>
      </c>
      <c r="BL973">
        <v>377043311</v>
      </c>
      <c r="BM973">
        <v>0</v>
      </c>
      <c r="BN973">
        <v>2187</v>
      </c>
      <c r="BO973">
        <v>984</v>
      </c>
      <c r="BP973">
        <v>0</v>
      </c>
      <c r="BQ973">
        <v>0</v>
      </c>
      <c r="BR973">
        <v>0.91339999999999999</v>
      </c>
      <c r="BS973">
        <v>0.91339999999999999</v>
      </c>
      <c r="BT973">
        <v>0</v>
      </c>
      <c r="BU973">
        <v>0</v>
      </c>
      <c r="BV973">
        <v>117</v>
      </c>
      <c r="BW973">
        <v>208</v>
      </c>
      <c r="BX973">
        <v>8</v>
      </c>
      <c r="BY973">
        <v>2</v>
      </c>
      <c r="BZ973">
        <v>173</v>
      </c>
      <c r="CA973">
        <v>508</v>
      </c>
      <c r="CB973">
        <v>0</v>
      </c>
      <c r="CC973">
        <v>0</v>
      </c>
      <c r="CD973">
        <v>0</v>
      </c>
      <c r="CE973">
        <v>72</v>
      </c>
      <c r="CF973">
        <v>151.56700000000001</v>
      </c>
      <c r="CG973">
        <v>0</v>
      </c>
      <c r="CH973">
        <v>0</v>
      </c>
      <c r="CI973">
        <v>5</v>
      </c>
      <c r="CJ973">
        <v>6</v>
      </c>
      <c r="CK973">
        <v>0</v>
      </c>
      <c r="CL973">
        <v>0</v>
      </c>
      <c r="CM973">
        <v>33.869</v>
      </c>
      <c r="CN973">
        <v>0</v>
      </c>
      <c r="CO973">
        <v>0</v>
      </c>
      <c r="CP973">
        <v>0</v>
      </c>
      <c r="CQ973">
        <v>0</v>
      </c>
      <c r="CR973">
        <v>0</v>
      </c>
      <c r="CS973">
        <v>0</v>
      </c>
      <c r="CT973">
        <v>0</v>
      </c>
      <c r="CU973">
        <v>0</v>
      </c>
      <c r="CV973">
        <v>24.137</v>
      </c>
      <c r="CW973">
        <v>9.4480000000000004</v>
      </c>
      <c r="CX973">
        <v>0</v>
      </c>
      <c r="CY973" s="2043">
        <v>0</v>
      </c>
      <c r="CZ973" s="2043">
        <v>0</v>
      </c>
      <c r="DA973" s="2043">
        <v>0</v>
      </c>
      <c r="DB973" s="2043">
        <v>0</v>
      </c>
      <c r="DC973" s="2043">
        <v>0</v>
      </c>
      <c r="DI973" t="s">
        <v>5237</v>
      </c>
      <c r="DJ973" t="s">
        <v>5237</v>
      </c>
      <c r="DK973" s="2042">
        <f t="shared" si="17"/>
        <v>0</v>
      </c>
    </row>
    <row r="974" spans="1:115">
      <c r="A974" t="s">
        <v>5238</v>
      </c>
      <c r="B974" t="s">
        <v>1371</v>
      </c>
      <c r="C974">
        <v>177.53200000000001</v>
      </c>
      <c r="D974">
        <v>182.303</v>
      </c>
      <c r="E974">
        <v>1.9770000000000001</v>
      </c>
      <c r="F974">
        <v>231573</v>
      </c>
      <c r="G974" s="2043">
        <v>286943939</v>
      </c>
      <c r="H974">
        <v>0</v>
      </c>
      <c r="I974" s="2043">
        <v>1421558</v>
      </c>
      <c r="J974">
        <v>8.8770000000000007</v>
      </c>
      <c r="K974">
        <v>24</v>
      </c>
      <c r="L974">
        <v>0</v>
      </c>
      <c r="M974">
        <v>0</v>
      </c>
      <c r="N974">
        <v>0</v>
      </c>
      <c r="O974">
        <v>0</v>
      </c>
      <c r="P974">
        <v>0</v>
      </c>
      <c r="Q974">
        <v>0</v>
      </c>
      <c r="R974" s="2043">
        <v>2436427</v>
      </c>
      <c r="S974">
        <v>154444</v>
      </c>
      <c r="T974">
        <v>0</v>
      </c>
      <c r="U974">
        <v>0.06</v>
      </c>
      <c r="V974">
        <v>0</v>
      </c>
      <c r="W974">
        <v>332029</v>
      </c>
      <c r="X974">
        <v>0</v>
      </c>
      <c r="Y974">
        <v>231573</v>
      </c>
      <c r="Z974">
        <v>0</v>
      </c>
      <c r="AA974">
        <v>0</v>
      </c>
      <c r="AB974">
        <v>182.303</v>
      </c>
      <c r="AC974" s="2043">
        <v>535770419</v>
      </c>
      <c r="AD974">
        <v>1449111</v>
      </c>
      <c r="AE974" s="2043">
        <v>2590871</v>
      </c>
      <c r="AF974">
        <v>0.97130000000000005</v>
      </c>
      <c r="AG974">
        <v>0</v>
      </c>
      <c r="AH974">
        <v>332029</v>
      </c>
      <c r="AI974">
        <v>0</v>
      </c>
      <c r="AJ974">
        <v>13.425000000000001</v>
      </c>
      <c r="AK974">
        <v>452</v>
      </c>
      <c r="AL974">
        <v>0</v>
      </c>
      <c r="AM974">
        <v>0</v>
      </c>
      <c r="AN974">
        <v>0</v>
      </c>
      <c r="AO974">
        <v>0</v>
      </c>
      <c r="AP974">
        <v>0</v>
      </c>
      <c r="AQ974">
        <v>0</v>
      </c>
      <c r="AR974">
        <v>3.4250000000000003</v>
      </c>
      <c r="AS974">
        <v>0</v>
      </c>
      <c r="AT974">
        <v>0</v>
      </c>
      <c r="AU974">
        <v>0.32600000000000001</v>
      </c>
      <c r="AV974">
        <v>0</v>
      </c>
      <c r="AW974">
        <v>3.7510000000000003</v>
      </c>
      <c r="AX974">
        <v>0</v>
      </c>
      <c r="AY974">
        <v>11.905000000000001</v>
      </c>
      <c r="AZ974">
        <v>0</v>
      </c>
      <c r="BA974">
        <v>360878</v>
      </c>
      <c r="BB974">
        <v>4039982</v>
      </c>
      <c r="BC974">
        <v>0</v>
      </c>
      <c r="BD974">
        <v>68663</v>
      </c>
      <c r="BE974">
        <v>0</v>
      </c>
      <c r="BF974">
        <v>68663</v>
      </c>
      <c r="BG974">
        <v>68663</v>
      </c>
      <c r="BH974">
        <v>0</v>
      </c>
      <c r="BI974">
        <v>0</v>
      </c>
      <c r="BJ974">
        <v>0</v>
      </c>
      <c r="BK974">
        <v>0</v>
      </c>
      <c r="BL974">
        <v>286943939</v>
      </c>
      <c r="BM974">
        <v>0</v>
      </c>
      <c r="BN974">
        <v>567</v>
      </c>
      <c r="BO974">
        <v>225</v>
      </c>
      <c r="BP974">
        <v>0</v>
      </c>
      <c r="BQ974">
        <v>0</v>
      </c>
      <c r="BR974">
        <v>0.91339999999999999</v>
      </c>
      <c r="BS974">
        <v>0.91339999999999999</v>
      </c>
      <c r="BT974">
        <v>0</v>
      </c>
      <c r="BU974">
        <v>0</v>
      </c>
      <c r="BV974">
        <v>43</v>
      </c>
      <c r="BW974">
        <v>7</v>
      </c>
      <c r="BX974">
        <v>3</v>
      </c>
      <c r="BY974">
        <v>3</v>
      </c>
      <c r="BZ974">
        <v>2</v>
      </c>
      <c r="CA974">
        <v>58</v>
      </c>
      <c r="CB974">
        <v>0</v>
      </c>
      <c r="CC974">
        <v>0</v>
      </c>
      <c r="CD974">
        <v>0</v>
      </c>
      <c r="CE974">
        <v>30</v>
      </c>
      <c r="CF974">
        <v>20.064</v>
      </c>
      <c r="CG974">
        <v>0</v>
      </c>
      <c r="CH974">
        <v>0</v>
      </c>
      <c r="CI974">
        <v>1</v>
      </c>
      <c r="CJ974">
        <v>5</v>
      </c>
      <c r="CK974">
        <v>0</v>
      </c>
      <c r="CL974">
        <v>0</v>
      </c>
      <c r="CM974">
        <v>1.9770000000000001</v>
      </c>
      <c r="CN974">
        <v>0</v>
      </c>
      <c r="CO974">
        <v>0</v>
      </c>
      <c r="CP974">
        <v>0</v>
      </c>
      <c r="CQ974">
        <v>0</v>
      </c>
      <c r="CR974">
        <v>0</v>
      </c>
      <c r="CS974">
        <v>0</v>
      </c>
      <c r="CT974">
        <v>0</v>
      </c>
      <c r="CU974">
        <v>1.1400000000000001</v>
      </c>
      <c r="CV974">
        <v>9.468</v>
      </c>
      <c r="CW974">
        <v>3.048</v>
      </c>
      <c r="CX974">
        <v>0</v>
      </c>
      <c r="CY974" s="2043">
        <v>0</v>
      </c>
      <c r="CZ974" s="2043">
        <v>0</v>
      </c>
      <c r="DA974" s="2043">
        <v>0</v>
      </c>
      <c r="DB974" s="2043">
        <v>231573</v>
      </c>
      <c r="DC974" s="2043">
        <v>113239</v>
      </c>
      <c r="DI974" t="s">
        <v>5238</v>
      </c>
      <c r="DJ974" t="s">
        <v>5238</v>
      </c>
      <c r="DK974" s="2042">
        <f t="shared" si="17"/>
        <v>0</v>
      </c>
    </row>
    <row r="975" spans="1:115">
      <c r="A975" t="s">
        <v>5239</v>
      </c>
      <c r="B975" t="s">
        <v>1372</v>
      </c>
      <c r="C975">
        <v>451.45400000000001</v>
      </c>
      <c r="D975">
        <v>450.25200000000001</v>
      </c>
      <c r="E975">
        <v>18.395</v>
      </c>
      <c r="F975">
        <v>0</v>
      </c>
      <c r="G975" s="2043">
        <v>277896254</v>
      </c>
      <c r="H975">
        <v>0</v>
      </c>
      <c r="I975" s="2043">
        <v>917650</v>
      </c>
      <c r="J975">
        <v>20</v>
      </c>
      <c r="K975">
        <v>55</v>
      </c>
      <c r="L975">
        <v>0</v>
      </c>
      <c r="M975">
        <v>0</v>
      </c>
      <c r="N975">
        <v>0</v>
      </c>
      <c r="O975">
        <v>0</v>
      </c>
      <c r="P975">
        <v>0</v>
      </c>
      <c r="Q975">
        <v>0</v>
      </c>
      <c r="R975" s="2043">
        <v>2489864</v>
      </c>
      <c r="S975">
        <v>136296</v>
      </c>
      <c r="T975">
        <v>0</v>
      </c>
      <c r="U975">
        <v>0.05</v>
      </c>
      <c r="V975">
        <v>0</v>
      </c>
      <c r="W975">
        <v>0</v>
      </c>
      <c r="X975">
        <v>0</v>
      </c>
      <c r="Y975">
        <v>0</v>
      </c>
      <c r="Z975">
        <v>0</v>
      </c>
      <c r="AA975">
        <v>6.7000000000000004E-2</v>
      </c>
      <c r="AB975">
        <v>438.06600000000003</v>
      </c>
      <c r="AC975" s="2043">
        <v>285231972</v>
      </c>
      <c r="AD975">
        <v>829000</v>
      </c>
      <c r="AE975" s="2043">
        <v>2626160</v>
      </c>
      <c r="AF975">
        <v>0.96340000000000003</v>
      </c>
      <c r="AG975">
        <v>0</v>
      </c>
      <c r="AH975">
        <v>0</v>
      </c>
      <c r="AI975">
        <v>0</v>
      </c>
      <c r="AJ975">
        <v>61.9</v>
      </c>
      <c r="AK975">
        <v>1782</v>
      </c>
      <c r="AL975">
        <v>0</v>
      </c>
      <c r="AM975">
        <v>2.7850000000000001</v>
      </c>
      <c r="AN975">
        <v>19.039000000000001</v>
      </c>
      <c r="AO975">
        <v>0</v>
      </c>
      <c r="AP975">
        <v>0</v>
      </c>
      <c r="AQ975">
        <v>0</v>
      </c>
      <c r="AR975">
        <v>4.3820000000000006</v>
      </c>
      <c r="AS975">
        <v>0</v>
      </c>
      <c r="AT975">
        <v>1.8050000000000002</v>
      </c>
      <c r="AU975">
        <v>0.874</v>
      </c>
      <c r="AV975">
        <v>0</v>
      </c>
      <c r="AW975">
        <v>9.8460000000000001</v>
      </c>
      <c r="AX975">
        <v>0</v>
      </c>
      <c r="AY975">
        <v>31.286000000000001</v>
      </c>
      <c r="AZ975">
        <v>0</v>
      </c>
      <c r="BA975">
        <v>2986185</v>
      </c>
      <c r="BB975">
        <v>3455160</v>
      </c>
      <c r="BC975">
        <v>0</v>
      </c>
      <c r="BD975">
        <v>49767</v>
      </c>
      <c r="BE975">
        <v>7212</v>
      </c>
      <c r="BF975">
        <v>56979</v>
      </c>
      <c r="BG975">
        <v>49767</v>
      </c>
      <c r="BH975">
        <v>0</v>
      </c>
      <c r="BI975">
        <v>0</v>
      </c>
      <c r="BJ975">
        <v>0</v>
      </c>
      <c r="BK975">
        <v>0</v>
      </c>
      <c r="BL975">
        <v>277896254</v>
      </c>
      <c r="BM975">
        <v>0</v>
      </c>
      <c r="BN975">
        <v>1701</v>
      </c>
      <c r="BO975">
        <v>1081</v>
      </c>
      <c r="BP975">
        <v>0</v>
      </c>
      <c r="BQ975">
        <v>0</v>
      </c>
      <c r="BR975">
        <v>0.91339999999999999</v>
      </c>
      <c r="BS975">
        <v>0.91339999999999999</v>
      </c>
      <c r="BT975">
        <v>0</v>
      </c>
      <c r="BU975">
        <v>0</v>
      </c>
      <c r="BV975">
        <v>0</v>
      </c>
      <c r="BW975">
        <v>106</v>
      </c>
      <c r="BX975">
        <v>13</v>
      </c>
      <c r="BY975">
        <v>116</v>
      </c>
      <c r="BZ975">
        <v>11</v>
      </c>
      <c r="CA975">
        <v>246</v>
      </c>
      <c r="CB975">
        <v>0</v>
      </c>
      <c r="CC975">
        <v>0</v>
      </c>
      <c r="CD975">
        <v>0</v>
      </c>
      <c r="CE975">
        <v>52</v>
      </c>
      <c r="CF975">
        <v>76.838000000000008</v>
      </c>
      <c r="CG975">
        <v>0</v>
      </c>
      <c r="CH975">
        <v>3.859</v>
      </c>
      <c r="CI975">
        <v>4</v>
      </c>
      <c r="CJ975">
        <v>4</v>
      </c>
      <c r="CK975">
        <v>0</v>
      </c>
      <c r="CL975">
        <v>3.859</v>
      </c>
      <c r="CM975">
        <v>18.395</v>
      </c>
      <c r="CN975">
        <v>0</v>
      </c>
      <c r="CO975">
        <v>0</v>
      </c>
      <c r="CP975">
        <v>0</v>
      </c>
      <c r="CQ975">
        <v>0</v>
      </c>
      <c r="CR975">
        <v>0</v>
      </c>
      <c r="CS975">
        <v>0</v>
      </c>
      <c r="CT975">
        <v>0</v>
      </c>
      <c r="CU975">
        <v>1.3640000000000001</v>
      </c>
      <c r="CV975">
        <v>27.903000000000002</v>
      </c>
      <c r="CW975">
        <v>11.554</v>
      </c>
      <c r="CX975">
        <v>0</v>
      </c>
      <c r="CY975" s="2043">
        <v>0</v>
      </c>
      <c r="CZ975" s="2043">
        <v>0</v>
      </c>
      <c r="DA975" s="2043">
        <v>0</v>
      </c>
      <c r="DB975" s="2043">
        <v>0</v>
      </c>
      <c r="DC975" s="2043">
        <v>0</v>
      </c>
      <c r="DI975" t="s">
        <v>5239</v>
      </c>
      <c r="DJ975" t="s">
        <v>5239</v>
      </c>
      <c r="DK975" s="2042">
        <f t="shared" si="17"/>
        <v>0</v>
      </c>
    </row>
    <row r="976" spans="1:115">
      <c r="A976" t="s">
        <v>5868</v>
      </c>
      <c r="B976" t="s">
        <v>1373</v>
      </c>
      <c r="C976">
        <v>124.726</v>
      </c>
      <c r="D976">
        <v>137.578</v>
      </c>
      <c r="E976">
        <v>0</v>
      </c>
      <c r="F976">
        <v>0</v>
      </c>
      <c r="G976" s="2043">
        <v>172911684</v>
      </c>
      <c r="H976">
        <v>-11669</v>
      </c>
      <c r="I976" s="2043">
        <v>0</v>
      </c>
      <c r="J976">
        <v>3</v>
      </c>
      <c r="K976">
        <v>8</v>
      </c>
      <c r="L976">
        <v>0</v>
      </c>
      <c r="M976">
        <v>0</v>
      </c>
      <c r="N976">
        <v>0</v>
      </c>
      <c r="O976">
        <v>0</v>
      </c>
      <c r="P976">
        <v>0</v>
      </c>
      <c r="Q976">
        <v>0</v>
      </c>
      <c r="R976" s="2043">
        <v>1392350</v>
      </c>
      <c r="S976">
        <v>135508</v>
      </c>
      <c r="T976">
        <v>86387</v>
      </c>
      <c r="U976">
        <v>0.08</v>
      </c>
      <c r="V976">
        <v>0</v>
      </c>
      <c r="W976">
        <v>0</v>
      </c>
      <c r="X976">
        <v>11669</v>
      </c>
      <c r="Y976">
        <v>-11669</v>
      </c>
      <c r="Z976">
        <v>0</v>
      </c>
      <c r="AA976">
        <v>0</v>
      </c>
      <c r="AB976">
        <v>137.578</v>
      </c>
      <c r="AC976" s="2043">
        <v>123555841</v>
      </c>
      <c r="AD976">
        <v>466684</v>
      </c>
      <c r="AE976" s="2043">
        <v>1614245</v>
      </c>
      <c r="AF976">
        <v>0.95300000000000007</v>
      </c>
      <c r="AG976">
        <v>0</v>
      </c>
      <c r="AH976">
        <v>11669</v>
      </c>
      <c r="AI976">
        <v>0</v>
      </c>
      <c r="AJ976">
        <v>33.963000000000001</v>
      </c>
      <c r="AK976">
        <v>720</v>
      </c>
      <c r="AL976">
        <v>0</v>
      </c>
      <c r="AM976">
        <v>0</v>
      </c>
      <c r="AN976">
        <v>11.935</v>
      </c>
      <c r="AO976">
        <v>0</v>
      </c>
      <c r="AP976">
        <v>0</v>
      </c>
      <c r="AQ976">
        <v>0</v>
      </c>
      <c r="AR976">
        <v>0.88800000000000001</v>
      </c>
      <c r="AS976">
        <v>0</v>
      </c>
      <c r="AT976">
        <v>0.84700000000000009</v>
      </c>
      <c r="AU976">
        <v>0.218</v>
      </c>
      <c r="AV976">
        <v>0</v>
      </c>
      <c r="AW976">
        <v>1.9530000000000001</v>
      </c>
      <c r="AX976">
        <v>0</v>
      </c>
      <c r="AY976">
        <v>6.2949999999999999</v>
      </c>
      <c r="AZ976">
        <v>0</v>
      </c>
      <c r="BA976">
        <v>564465</v>
      </c>
      <c r="BB976">
        <v>2080929</v>
      </c>
      <c r="BC976">
        <v>0</v>
      </c>
      <c r="BD976">
        <v>23346</v>
      </c>
      <c r="BE976">
        <v>0</v>
      </c>
      <c r="BF976">
        <v>35068</v>
      </c>
      <c r="BG976">
        <v>23346</v>
      </c>
      <c r="BH976">
        <v>11722</v>
      </c>
      <c r="BI976">
        <v>0</v>
      </c>
      <c r="BJ976">
        <v>0</v>
      </c>
      <c r="BK976">
        <v>0</v>
      </c>
      <c r="BL976">
        <v>172911684</v>
      </c>
      <c r="BM976">
        <v>0</v>
      </c>
      <c r="BN976">
        <v>495</v>
      </c>
      <c r="BO976">
        <v>482</v>
      </c>
      <c r="BP976">
        <v>0</v>
      </c>
      <c r="BQ976">
        <v>0</v>
      </c>
      <c r="BR976">
        <v>0.82200000000000006</v>
      </c>
      <c r="BS976">
        <v>0.82200000000000006</v>
      </c>
      <c r="BT976">
        <v>0</v>
      </c>
      <c r="BU976">
        <v>0</v>
      </c>
      <c r="BV976">
        <v>0</v>
      </c>
      <c r="BW976">
        <v>18</v>
      </c>
      <c r="BX976">
        <v>33</v>
      </c>
      <c r="BY976">
        <v>1</v>
      </c>
      <c r="BZ976">
        <v>77</v>
      </c>
      <c r="CA976">
        <v>129</v>
      </c>
      <c r="CB976">
        <v>0</v>
      </c>
      <c r="CC976">
        <v>0</v>
      </c>
      <c r="CD976">
        <v>0</v>
      </c>
      <c r="CE976">
        <v>11</v>
      </c>
      <c r="CF976">
        <v>34.978999999999999</v>
      </c>
      <c r="CG976">
        <v>0</v>
      </c>
      <c r="CH976">
        <v>0</v>
      </c>
      <c r="CI976">
        <v>0</v>
      </c>
      <c r="CJ976">
        <v>0</v>
      </c>
      <c r="CK976">
        <v>0</v>
      </c>
      <c r="CL976">
        <v>0</v>
      </c>
      <c r="CM976">
        <v>0</v>
      </c>
      <c r="CN976">
        <v>0</v>
      </c>
      <c r="CO976">
        <v>0</v>
      </c>
      <c r="CP976">
        <v>0</v>
      </c>
      <c r="CQ976">
        <v>0</v>
      </c>
      <c r="CR976">
        <v>0</v>
      </c>
      <c r="CS976">
        <v>0</v>
      </c>
      <c r="CT976">
        <v>0</v>
      </c>
      <c r="CU976">
        <v>1.74</v>
      </c>
      <c r="CV976">
        <v>7.6130000000000004</v>
      </c>
      <c r="CW976">
        <v>2.944</v>
      </c>
      <c r="CX976">
        <v>0</v>
      </c>
      <c r="CY976" s="2043">
        <v>0</v>
      </c>
      <c r="CZ976" s="2043">
        <v>0</v>
      </c>
      <c r="DA976" s="2043">
        <v>0</v>
      </c>
      <c r="DB976" s="2043">
        <v>0</v>
      </c>
      <c r="DC976" s="2043">
        <v>31260</v>
      </c>
      <c r="DI976" t="s">
        <v>5868</v>
      </c>
      <c r="DJ976" t="s">
        <v>5868</v>
      </c>
      <c r="DK976" s="2042">
        <f t="shared" si="17"/>
        <v>0</v>
      </c>
    </row>
    <row r="977" spans="1:115">
      <c r="A977" t="s">
        <v>5240</v>
      </c>
      <c r="B977" t="s">
        <v>1374</v>
      </c>
      <c r="C977">
        <v>1223.3990000000001</v>
      </c>
      <c r="D977">
        <v>1149.057</v>
      </c>
      <c r="E977">
        <v>42.978999999999999</v>
      </c>
      <c r="F977">
        <v>0</v>
      </c>
      <c r="G977" s="2043">
        <v>1735177559</v>
      </c>
      <c r="H977">
        <v>0</v>
      </c>
      <c r="I977" s="2043">
        <v>813550</v>
      </c>
      <c r="J977">
        <v>61.17</v>
      </c>
      <c r="K977">
        <v>167</v>
      </c>
      <c r="L977">
        <v>0</v>
      </c>
      <c r="M977">
        <v>0</v>
      </c>
      <c r="N977">
        <v>0</v>
      </c>
      <c r="O977">
        <v>0</v>
      </c>
      <c r="P977">
        <v>0</v>
      </c>
      <c r="Q977">
        <v>0</v>
      </c>
      <c r="R977" s="2043">
        <v>15655992</v>
      </c>
      <c r="S977">
        <v>1312950</v>
      </c>
      <c r="T977">
        <v>0</v>
      </c>
      <c r="U977">
        <v>0.08</v>
      </c>
      <c r="V977">
        <v>0</v>
      </c>
      <c r="W977">
        <v>4292882</v>
      </c>
      <c r="X977">
        <v>0</v>
      </c>
      <c r="Y977">
        <v>0</v>
      </c>
      <c r="Z977">
        <v>0</v>
      </c>
      <c r="AA977">
        <v>4.4000000000000004E-2</v>
      </c>
      <c r="AB977">
        <v>1149.057</v>
      </c>
      <c r="AC977" s="2043">
        <v>1799561701</v>
      </c>
      <c r="AD977">
        <v>2064691</v>
      </c>
      <c r="AE977" s="2043">
        <v>16968942</v>
      </c>
      <c r="AF977">
        <v>0.99</v>
      </c>
      <c r="AG977">
        <v>0</v>
      </c>
      <c r="AH977">
        <v>4292882</v>
      </c>
      <c r="AI977">
        <v>0</v>
      </c>
      <c r="AJ977">
        <v>133.988</v>
      </c>
      <c r="AK977">
        <v>5120</v>
      </c>
      <c r="AL977">
        <v>0</v>
      </c>
      <c r="AM977">
        <v>0</v>
      </c>
      <c r="AN977">
        <v>89.124000000000009</v>
      </c>
      <c r="AO977">
        <v>0</v>
      </c>
      <c r="AP977">
        <v>0</v>
      </c>
      <c r="AQ977">
        <v>0</v>
      </c>
      <c r="AR977">
        <v>18.169</v>
      </c>
      <c r="AS977">
        <v>0</v>
      </c>
      <c r="AT977">
        <v>7.2949999999999999</v>
      </c>
      <c r="AU977">
        <v>1.8640000000000001</v>
      </c>
      <c r="AV977">
        <v>0</v>
      </c>
      <c r="AW977">
        <v>27.328000000000003</v>
      </c>
      <c r="AX977">
        <v>0</v>
      </c>
      <c r="AY977">
        <v>85.712000000000003</v>
      </c>
      <c r="AZ977">
        <v>0</v>
      </c>
      <c r="BA977">
        <v>690239</v>
      </c>
      <c r="BB977">
        <v>19033633</v>
      </c>
      <c r="BC977">
        <v>0</v>
      </c>
      <c r="BD977">
        <v>122458</v>
      </c>
      <c r="BE977">
        <v>9960</v>
      </c>
      <c r="BF977">
        <v>132418</v>
      </c>
      <c r="BG977">
        <v>122458</v>
      </c>
      <c r="BH977">
        <v>0</v>
      </c>
      <c r="BI977">
        <v>0</v>
      </c>
      <c r="BJ977">
        <v>0</v>
      </c>
      <c r="BK977">
        <v>0</v>
      </c>
      <c r="BL977">
        <v>1735177559</v>
      </c>
      <c r="BM977">
        <v>0</v>
      </c>
      <c r="BN977">
        <v>4347</v>
      </c>
      <c r="BO977">
        <v>3403</v>
      </c>
      <c r="BP977">
        <v>0</v>
      </c>
      <c r="BQ977">
        <v>0</v>
      </c>
      <c r="BR977">
        <v>0.91339999999999999</v>
      </c>
      <c r="BS977">
        <v>0.91339999999999999</v>
      </c>
      <c r="BT977">
        <v>0</v>
      </c>
      <c r="BU977">
        <v>0</v>
      </c>
      <c r="BV977">
        <v>60</v>
      </c>
      <c r="BW977">
        <v>193</v>
      </c>
      <c r="BX977">
        <v>290</v>
      </c>
      <c r="BY977">
        <v>4</v>
      </c>
      <c r="BZ977">
        <v>4</v>
      </c>
      <c r="CA977">
        <v>551</v>
      </c>
      <c r="CB977">
        <v>0</v>
      </c>
      <c r="CC977">
        <v>0</v>
      </c>
      <c r="CD977">
        <v>0</v>
      </c>
      <c r="CE977">
        <v>129</v>
      </c>
      <c r="CF977">
        <v>165.02200000000002</v>
      </c>
      <c r="CG977">
        <v>0</v>
      </c>
      <c r="CH977">
        <v>0</v>
      </c>
      <c r="CI977">
        <v>4</v>
      </c>
      <c r="CJ977">
        <v>23</v>
      </c>
      <c r="CK977">
        <v>1</v>
      </c>
      <c r="CL977">
        <v>0</v>
      </c>
      <c r="CM977">
        <v>42.978999999999999</v>
      </c>
      <c r="CN977">
        <v>0</v>
      </c>
      <c r="CO977">
        <v>0</v>
      </c>
      <c r="CP977">
        <v>0</v>
      </c>
      <c r="CQ977">
        <v>0</v>
      </c>
      <c r="CR977">
        <v>0</v>
      </c>
      <c r="CS977">
        <v>0</v>
      </c>
      <c r="CT977">
        <v>0</v>
      </c>
      <c r="CU977">
        <v>15.583</v>
      </c>
      <c r="CV977">
        <v>60.120000000000005</v>
      </c>
      <c r="CW977">
        <v>23.217000000000002</v>
      </c>
      <c r="CX977">
        <v>0</v>
      </c>
      <c r="CY977" s="2043">
        <v>0</v>
      </c>
      <c r="CZ977" s="2043">
        <v>0</v>
      </c>
      <c r="DA977" s="2043">
        <v>0</v>
      </c>
      <c r="DB977" s="2043">
        <v>0</v>
      </c>
      <c r="DC977" s="2043">
        <v>455421</v>
      </c>
      <c r="DI977" t="s">
        <v>5240</v>
      </c>
      <c r="DJ977" t="s">
        <v>5240</v>
      </c>
      <c r="DK977" s="2042">
        <f t="shared" si="17"/>
        <v>0</v>
      </c>
    </row>
    <row r="978" spans="1:115">
      <c r="A978" t="s">
        <v>5241</v>
      </c>
      <c r="B978" t="s">
        <v>1375</v>
      </c>
      <c r="C978">
        <v>647.93500000000006</v>
      </c>
      <c r="D978">
        <v>654.46699999999998</v>
      </c>
      <c r="E978">
        <v>124.995</v>
      </c>
      <c r="F978">
        <v>0</v>
      </c>
      <c r="G978" s="2043">
        <v>543268834</v>
      </c>
      <c r="H978">
        <v>0</v>
      </c>
      <c r="I978" s="2043">
        <v>877000</v>
      </c>
      <c r="J978">
        <v>11</v>
      </c>
      <c r="K978">
        <v>30</v>
      </c>
      <c r="L978">
        <v>0</v>
      </c>
      <c r="M978">
        <v>0</v>
      </c>
      <c r="N978">
        <v>0</v>
      </c>
      <c r="O978">
        <v>0</v>
      </c>
      <c r="P978">
        <v>0</v>
      </c>
      <c r="Q978">
        <v>0</v>
      </c>
      <c r="R978" s="2043">
        <v>4512420</v>
      </c>
      <c r="S978">
        <v>273580</v>
      </c>
      <c r="T978">
        <v>0</v>
      </c>
      <c r="U978">
        <v>0.05</v>
      </c>
      <c r="V978">
        <v>0</v>
      </c>
      <c r="W978">
        <v>0</v>
      </c>
      <c r="X978">
        <v>0</v>
      </c>
      <c r="Y978">
        <v>568585</v>
      </c>
      <c r="Z978">
        <v>0</v>
      </c>
      <c r="AA978">
        <v>0.215</v>
      </c>
      <c r="AB978">
        <v>654.46699999999998</v>
      </c>
      <c r="AC978" s="2043">
        <v>425562916</v>
      </c>
      <c r="AD978">
        <v>827000</v>
      </c>
      <c r="AE978" s="2043">
        <v>4786000</v>
      </c>
      <c r="AF978">
        <v>0.87470000000000003</v>
      </c>
      <c r="AG978">
        <v>0</v>
      </c>
      <c r="AH978">
        <v>0</v>
      </c>
      <c r="AI978">
        <v>0</v>
      </c>
      <c r="AJ978">
        <v>173.26300000000001</v>
      </c>
      <c r="AK978">
        <v>4488</v>
      </c>
      <c r="AL978">
        <v>0</v>
      </c>
      <c r="AM978">
        <v>0</v>
      </c>
      <c r="AN978">
        <v>37.280999999999999</v>
      </c>
      <c r="AO978">
        <v>0</v>
      </c>
      <c r="AP978">
        <v>0</v>
      </c>
      <c r="AQ978">
        <v>0</v>
      </c>
      <c r="AR978">
        <v>13.605</v>
      </c>
      <c r="AS978">
        <v>0</v>
      </c>
      <c r="AT978">
        <v>16.066000000000003</v>
      </c>
      <c r="AU978">
        <v>1.532</v>
      </c>
      <c r="AV978">
        <v>0</v>
      </c>
      <c r="AW978">
        <v>31.203000000000003</v>
      </c>
      <c r="AX978">
        <v>0</v>
      </c>
      <c r="AY978">
        <v>96.673000000000002</v>
      </c>
      <c r="AZ978">
        <v>0</v>
      </c>
      <c r="BA978">
        <v>4656176</v>
      </c>
      <c r="BB978">
        <v>5613000</v>
      </c>
      <c r="BC978">
        <v>0</v>
      </c>
      <c r="BD978">
        <v>32025</v>
      </c>
      <c r="BE978">
        <v>1890</v>
      </c>
      <c r="BF978">
        <v>33915</v>
      </c>
      <c r="BG978">
        <v>32025</v>
      </c>
      <c r="BH978">
        <v>0</v>
      </c>
      <c r="BI978">
        <v>0</v>
      </c>
      <c r="BJ978">
        <v>0</v>
      </c>
      <c r="BK978">
        <v>0</v>
      </c>
      <c r="BL978">
        <v>543268834</v>
      </c>
      <c r="BM978">
        <v>0</v>
      </c>
      <c r="BN978">
        <v>2295</v>
      </c>
      <c r="BO978">
        <v>1969</v>
      </c>
      <c r="BP978">
        <v>0</v>
      </c>
      <c r="BQ978">
        <v>25000</v>
      </c>
      <c r="BR978">
        <v>0.82469999999999999</v>
      </c>
      <c r="BS978">
        <v>0.82469999999999999</v>
      </c>
      <c r="BT978">
        <v>0</v>
      </c>
      <c r="BU978">
        <v>0</v>
      </c>
      <c r="BV978">
        <v>8</v>
      </c>
      <c r="BW978">
        <v>527</v>
      </c>
      <c r="BX978">
        <v>1</v>
      </c>
      <c r="BY978">
        <v>166</v>
      </c>
      <c r="BZ978">
        <v>9</v>
      </c>
      <c r="CA978">
        <v>711</v>
      </c>
      <c r="CB978">
        <v>0</v>
      </c>
      <c r="CC978">
        <v>0</v>
      </c>
      <c r="CD978">
        <v>0</v>
      </c>
      <c r="CE978">
        <v>33</v>
      </c>
      <c r="CF978">
        <v>202.001</v>
      </c>
      <c r="CG978">
        <v>0</v>
      </c>
      <c r="CH978">
        <v>0</v>
      </c>
      <c r="CI978">
        <v>0</v>
      </c>
      <c r="CJ978">
        <v>0</v>
      </c>
      <c r="CK978">
        <v>0</v>
      </c>
      <c r="CL978">
        <v>0</v>
      </c>
      <c r="CM978">
        <v>124.995</v>
      </c>
      <c r="CN978">
        <v>0</v>
      </c>
      <c r="CO978">
        <v>0</v>
      </c>
      <c r="CP978">
        <v>0</v>
      </c>
      <c r="CQ978">
        <v>0</v>
      </c>
      <c r="CR978">
        <v>0</v>
      </c>
      <c r="CS978">
        <v>0</v>
      </c>
      <c r="CT978">
        <v>0</v>
      </c>
      <c r="CU978">
        <v>7.3140000000000001</v>
      </c>
      <c r="CV978">
        <v>38.685000000000002</v>
      </c>
      <c r="CW978">
        <v>21.113</v>
      </c>
      <c r="CX978">
        <v>0</v>
      </c>
      <c r="CY978" s="2043">
        <v>568585</v>
      </c>
      <c r="CZ978" s="2043">
        <v>0</v>
      </c>
      <c r="DA978" s="2043">
        <v>0</v>
      </c>
      <c r="DB978" s="2043">
        <v>0</v>
      </c>
      <c r="DC978" s="2043">
        <v>0</v>
      </c>
      <c r="DI978" t="s">
        <v>5241</v>
      </c>
      <c r="DJ978" t="s">
        <v>5241</v>
      </c>
      <c r="DK978" s="2042">
        <f t="shared" si="17"/>
        <v>0</v>
      </c>
    </row>
    <row r="979" spans="1:115">
      <c r="A979" t="s">
        <v>5869</v>
      </c>
      <c r="B979" t="s">
        <v>1376</v>
      </c>
      <c r="C979">
        <v>549.32299999999998</v>
      </c>
      <c r="D979">
        <v>558.96800000000007</v>
      </c>
      <c r="E979">
        <v>98.233000000000004</v>
      </c>
      <c r="F979">
        <v>0</v>
      </c>
      <c r="G979" s="2043">
        <v>109548291</v>
      </c>
      <c r="H979">
        <v>0</v>
      </c>
      <c r="I979" s="2043">
        <v>0</v>
      </c>
      <c r="J979">
        <v>27.466000000000001</v>
      </c>
      <c r="K979">
        <v>75</v>
      </c>
      <c r="L979">
        <v>0</v>
      </c>
      <c r="M979">
        <v>0</v>
      </c>
      <c r="N979">
        <v>0</v>
      </c>
      <c r="O979">
        <v>0</v>
      </c>
      <c r="P979">
        <v>0</v>
      </c>
      <c r="Q979">
        <v>0</v>
      </c>
      <c r="R979" s="2043">
        <v>968735</v>
      </c>
      <c r="S979">
        <v>54265</v>
      </c>
      <c r="T979">
        <v>0</v>
      </c>
      <c r="U979">
        <v>0.05</v>
      </c>
      <c r="V979">
        <v>0</v>
      </c>
      <c r="W979">
        <v>0</v>
      </c>
      <c r="X979">
        <v>0</v>
      </c>
      <c r="Y979">
        <v>78518</v>
      </c>
      <c r="Z979">
        <v>0</v>
      </c>
      <c r="AA979">
        <v>0</v>
      </c>
      <c r="AB979">
        <v>550.90300000000002</v>
      </c>
      <c r="AC979" s="2043">
        <v>58836685</v>
      </c>
      <c r="AD979">
        <v>0</v>
      </c>
      <c r="AE979" s="2043">
        <v>1023000</v>
      </c>
      <c r="AF979">
        <v>0.94259999999999999</v>
      </c>
      <c r="AG979">
        <v>0</v>
      </c>
      <c r="AH979">
        <v>0</v>
      </c>
      <c r="AI979">
        <v>0</v>
      </c>
      <c r="AJ979">
        <v>86.8</v>
      </c>
      <c r="AK979">
        <v>1366</v>
      </c>
      <c r="AL979">
        <v>0</v>
      </c>
      <c r="AM979">
        <v>0</v>
      </c>
      <c r="AN979">
        <v>9.9920000000000009</v>
      </c>
      <c r="AO979">
        <v>0</v>
      </c>
      <c r="AP979">
        <v>0</v>
      </c>
      <c r="AQ979">
        <v>0</v>
      </c>
      <c r="AR979">
        <v>8.5010000000000012</v>
      </c>
      <c r="AS979">
        <v>0</v>
      </c>
      <c r="AT979">
        <v>0</v>
      </c>
      <c r="AU979">
        <v>1.022</v>
      </c>
      <c r="AV979">
        <v>0</v>
      </c>
      <c r="AW979">
        <v>9.5229999999999997</v>
      </c>
      <c r="AX979">
        <v>0</v>
      </c>
      <c r="AY979">
        <v>30.613000000000003</v>
      </c>
      <c r="AZ979">
        <v>0</v>
      </c>
      <c r="BA979">
        <v>5487566</v>
      </c>
      <c r="BB979">
        <v>1023000</v>
      </c>
      <c r="BC979">
        <v>0</v>
      </c>
      <c r="BD979">
        <v>13169</v>
      </c>
      <c r="BE979">
        <v>0</v>
      </c>
      <c r="BF979">
        <v>13169</v>
      </c>
      <c r="BG979">
        <v>13169</v>
      </c>
      <c r="BH979">
        <v>0</v>
      </c>
      <c r="BI979">
        <v>0</v>
      </c>
      <c r="BJ979">
        <v>0</v>
      </c>
      <c r="BK979">
        <v>0</v>
      </c>
      <c r="BL979">
        <v>109548291</v>
      </c>
      <c r="BM979">
        <v>0</v>
      </c>
      <c r="BN979">
        <v>1728</v>
      </c>
      <c r="BO979">
        <v>770</v>
      </c>
      <c r="BP979">
        <v>0</v>
      </c>
      <c r="BQ979">
        <v>0</v>
      </c>
      <c r="BR979">
        <v>0.89260000000000006</v>
      </c>
      <c r="BS979">
        <v>0.89260000000000006</v>
      </c>
      <c r="BT979">
        <v>78518</v>
      </c>
      <c r="BU979">
        <v>0</v>
      </c>
      <c r="BV979">
        <v>25</v>
      </c>
      <c r="BW979">
        <v>213</v>
      </c>
      <c r="BX979">
        <v>16</v>
      </c>
      <c r="BY979">
        <v>95</v>
      </c>
      <c r="BZ979">
        <v>6</v>
      </c>
      <c r="CA979">
        <v>355</v>
      </c>
      <c r="CB979">
        <v>0</v>
      </c>
      <c r="CC979">
        <v>0</v>
      </c>
      <c r="CD979">
        <v>0</v>
      </c>
      <c r="CE979">
        <v>25</v>
      </c>
      <c r="CF979">
        <v>143.375</v>
      </c>
      <c r="CG979">
        <v>0</v>
      </c>
      <c r="CH979">
        <v>0</v>
      </c>
      <c r="CI979">
        <v>6</v>
      </c>
      <c r="CJ979">
        <v>5</v>
      </c>
      <c r="CK979">
        <v>0</v>
      </c>
      <c r="CL979">
        <v>0</v>
      </c>
      <c r="CM979">
        <v>98.233000000000004</v>
      </c>
      <c r="CN979">
        <v>0</v>
      </c>
      <c r="CO979">
        <v>0</v>
      </c>
      <c r="CP979">
        <v>0</v>
      </c>
      <c r="CQ979">
        <v>0</v>
      </c>
      <c r="CR979">
        <v>0</v>
      </c>
      <c r="CS979">
        <v>0</v>
      </c>
      <c r="CT979">
        <v>0</v>
      </c>
      <c r="CU979">
        <v>3.4020000000000001</v>
      </c>
      <c r="CV979">
        <v>14.040000000000001</v>
      </c>
      <c r="CW979">
        <v>4.827</v>
      </c>
      <c r="CX979">
        <v>78518</v>
      </c>
      <c r="CY979" s="2043">
        <v>0</v>
      </c>
      <c r="CZ979" s="2043">
        <v>0</v>
      </c>
      <c r="DA979" s="2043">
        <v>0</v>
      </c>
      <c r="DB979" s="2043">
        <v>0</v>
      </c>
      <c r="DC979" s="2043">
        <v>0</v>
      </c>
      <c r="DI979" t="s">
        <v>5869</v>
      </c>
      <c r="DJ979" t="s">
        <v>5869</v>
      </c>
      <c r="DK979" s="2042">
        <f t="shared" si="17"/>
        <v>0</v>
      </c>
    </row>
    <row r="980" spans="1:115">
      <c r="A980" t="s">
        <v>3184</v>
      </c>
      <c r="B980" t="s">
        <v>1712</v>
      </c>
      <c r="C980">
        <v>7174.1390000000001</v>
      </c>
      <c r="D980">
        <v>6679.7049999999999</v>
      </c>
      <c r="E980">
        <v>733.51</v>
      </c>
      <c r="F980">
        <v>0</v>
      </c>
      <c r="G980" s="2043">
        <v>3074404252</v>
      </c>
      <c r="H980">
        <v>0</v>
      </c>
      <c r="I980" s="2043">
        <v>10763639</v>
      </c>
      <c r="J980">
        <v>358.70699999999999</v>
      </c>
      <c r="K980">
        <v>981</v>
      </c>
      <c r="L980">
        <v>0</v>
      </c>
      <c r="M980">
        <v>736893</v>
      </c>
      <c r="N980">
        <v>0</v>
      </c>
      <c r="O980">
        <v>736893</v>
      </c>
      <c r="P980">
        <v>0</v>
      </c>
      <c r="Q980">
        <v>0</v>
      </c>
      <c r="R980" s="2043">
        <v>25410609</v>
      </c>
      <c r="S980">
        <v>2473052</v>
      </c>
      <c r="T980">
        <v>1802237</v>
      </c>
      <c r="U980">
        <v>0.08</v>
      </c>
      <c r="V980">
        <v>109.41500000000001</v>
      </c>
      <c r="W980">
        <v>0</v>
      </c>
      <c r="X980">
        <v>0</v>
      </c>
      <c r="Y980">
        <v>0</v>
      </c>
      <c r="Z980">
        <v>0</v>
      </c>
      <c r="AA980">
        <v>0.46400000000000002</v>
      </c>
      <c r="AB980">
        <v>6643.2860000000001</v>
      </c>
      <c r="AC980" s="2043">
        <v>2049872650</v>
      </c>
      <c r="AD980">
        <v>15439458</v>
      </c>
      <c r="AE980" s="2043">
        <v>29685898</v>
      </c>
      <c r="AF980">
        <v>0.96030000000000004</v>
      </c>
      <c r="AG980">
        <v>0</v>
      </c>
      <c r="AH980">
        <v>0</v>
      </c>
      <c r="AI980">
        <v>0</v>
      </c>
      <c r="AJ980">
        <v>741.82500000000005</v>
      </c>
      <c r="AK980">
        <v>25238</v>
      </c>
      <c r="AL980">
        <v>0</v>
      </c>
      <c r="AM980">
        <v>0</v>
      </c>
      <c r="AN980">
        <v>325.31100000000004</v>
      </c>
      <c r="AO980">
        <v>1</v>
      </c>
      <c r="AP980">
        <v>0.14400000000000002</v>
      </c>
      <c r="AQ980">
        <v>0</v>
      </c>
      <c r="AR980">
        <v>158.62100000000001</v>
      </c>
      <c r="AS980">
        <v>0</v>
      </c>
      <c r="AT980">
        <v>52.637</v>
      </c>
      <c r="AU980">
        <v>20.882000000000001</v>
      </c>
      <c r="AV980">
        <v>0</v>
      </c>
      <c r="AW980">
        <v>232.28400000000002</v>
      </c>
      <c r="AX980">
        <v>0</v>
      </c>
      <c r="AY980">
        <v>738.57299999999998</v>
      </c>
      <c r="AZ980">
        <v>0</v>
      </c>
      <c r="BA980">
        <v>40287461</v>
      </c>
      <c r="BB980">
        <v>45125356</v>
      </c>
      <c r="BC980">
        <v>0</v>
      </c>
      <c r="BD980">
        <v>432399</v>
      </c>
      <c r="BE980">
        <v>164461</v>
      </c>
      <c r="BF980">
        <v>596860</v>
      </c>
      <c r="BG980">
        <v>432399</v>
      </c>
      <c r="BH980">
        <v>0</v>
      </c>
      <c r="BI980">
        <v>0</v>
      </c>
      <c r="BJ980">
        <v>0</v>
      </c>
      <c r="BK980">
        <v>0</v>
      </c>
      <c r="BL980">
        <v>3074404252</v>
      </c>
      <c r="BM980">
        <v>0</v>
      </c>
      <c r="BN980">
        <v>23310</v>
      </c>
      <c r="BO980">
        <v>15622</v>
      </c>
      <c r="BP980">
        <v>3559</v>
      </c>
      <c r="BQ980">
        <v>0</v>
      </c>
      <c r="BR980">
        <v>0.82200000000000006</v>
      </c>
      <c r="BS980">
        <v>0.82200000000000006</v>
      </c>
      <c r="BT980">
        <v>0</v>
      </c>
      <c r="BU980">
        <v>0</v>
      </c>
      <c r="BV980">
        <v>2787</v>
      </c>
      <c r="BW980">
        <v>462</v>
      </c>
      <c r="BX980">
        <v>5</v>
      </c>
      <c r="BY980">
        <v>6</v>
      </c>
      <c r="BZ980">
        <v>8</v>
      </c>
      <c r="CA980">
        <v>3268</v>
      </c>
      <c r="CB980">
        <v>0</v>
      </c>
      <c r="CC980">
        <v>142.46800000000002</v>
      </c>
      <c r="CD980">
        <v>0</v>
      </c>
      <c r="CE980">
        <v>673</v>
      </c>
      <c r="CF980">
        <v>1255.395</v>
      </c>
      <c r="CG980">
        <v>0</v>
      </c>
      <c r="CH980">
        <v>0</v>
      </c>
      <c r="CI980">
        <v>14</v>
      </c>
      <c r="CJ980">
        <v>43</v>
      </c>
      <c r="CK980">
        <v>1</v>
      </c>
      <c r="CL980">
        <v>0</v>
      </c>
      <c r="CM980">
        <v>733.51</v>
      </c>
      <c r="CN980">
        <v>0</v>
      </c>
      <c r="CO980">
        <v>0</v>
      </c>
      <c r="CP980">
        <v>3559</v>
      </c>
      <c r="CQ980">
        <v>0</v>
      </c>
      <c r="CR980">
        <v>0</v>
      </c>
      <c r="CS980">
        <v>32.103999999999999</v>
      </c>
      <c r="CT980">
        <v>0</v>
      </c>
      <c r="CU980">
        <v>3.3920000000000003</v>
      </c>
      <c r="CV980">
        <v>275.98200000000003</v>
      </c>
      <c r="CW980">
        <v>137.57500000000002</v>
      </c>
      <c r="CX980">
        <v>0</v>
      </c>
      <c r="CY980" s="2043">
        <v>0</v>
      </c>
      <c r="CZ980" s="2043">
        <v>0</v>
      </c>
      <c r="DA980" s="2043">
        <v>0</v>
      </c>
      <c r="DB980" s="2043">
        <v>0</v>
      </c>
      <c r="DC980" s="2043">
        <v>1532000</v>
      </c>
      <c r="DI980" t="s">
        <v>5242</v>
      </c>
      <c r="DJ980" t="s">
        <v>3184</v>
      </c>
      <c r="DK980" s="2042">
        <f t="shared" si="17"/>
        <v>-1</v>
      </c>
    </row>
    <row r="981" spans="1:115">
      <c r="A981" t="s">
        <v>5242</v>
      </c>
      <c r="B981" t="s">
        <v>1578</v>
      </c>
      <c r="C981">
        <v>16732.904000000002</v>
      </c>
      <c r="D981">
        <v>16355.530999999999</v>
      </c>
      <c r="E981">
        <v>1093.9460000000001</v>
      </c>
      <c r="F981">
        <v>0</v>
      </c>
      <c r="G981" s="2043">
        <v>11934673724</v>
      </c>
      <c r="H981">
        <v>0</v>
      </c>
      <c r="I981" s="2043">
        <v>40680743</v>
      </c>
      <c r="J981">
        <v>836.6450000000001</v>
      </c>
      <c r="K981">
        <v>2287</v>
      </c>
      <c r="L981">
        <v>0</v>
      </c>
      <c r="M981">
        <v>0</v>
      </c>
      <c r="N981">
        <v>0</v>
      </c>
      <c r="O981">
        <v>0</v>
      </c>
      <c r="P981">
        <v>0</v>
      </c>
      <c r="Q981">
        <v>0</v>
      </c>
      <c r="R981" s="2043">
        <v>101707441</v>
      </c>
      <c r="S981">
        <v>5957559</v>
      </c>
      <c r="T981">
        <v>0</v>
      </c>
      <c r="U981">
        <v>0.05</v>
      </c>
      <c r="V981">
        <v>533.69600000000003</v>
      </c>
      <c r="W981">
        <v>0</v>
      </c>
      <c r="X981">
        <v>0</v>
      </c>
      <c r="Y981">
        <v>0</v>
      </c>
      <c r="Z981">
        <v>0</v>
      </c>
      <c r="AA981">
        <v>0.10200000000000001</v>
      </c>
      <c r="AB981">
        <v>16289.413</v>
      </c>
      <c r="AC981" s="2043">
        <v>10086134560</v>
      </c>
      <c r="AD981">
        <v>43535000</v>
      </c>
      <c r="AE981" s="2043">
        <v>107665000</v>
      </c>
      <c r="AF981">
        <v>0.90360000000000007</v>
      </c>
      <c r="AG981">
        <v>0</v>
      </c>
      <c r="AH981">
        <v>0</v>
      </c>
      <c r="AI981">
        <v>0</v>
      </c>
      <c r="AJ981">
        <v>1066.1500000000001</v>
      </c>
      <c r="AK981">
        <v>50583</v>
      </c>
      <c r="AL981">
        <v>0.90900000000000003</v>
      </c>
      <c r="AM981">
        <v>0</v>
      </c>
      <c r="AN981">
        <v>697.36900000000003</v>
      </c>
      <c r="AO981">
        <v>1</v>
      </c>
      <c r="AP981">
        <v>4.9000000000000002E-2</v>
      </c>
      <c r="AQ981">
        <v>0</v>
      </c>
      <c r="AR981">
        <v>286.33300000000003</v>
      </c>
      <c r="AS981">
        <v>0</v>
      </c>
      <c r="AT981">
        <v>118.435</v>
      </c>
      <c r="AU981">
        <v>39.210999999999999</v>
      </c>
      <c r="AV981">
        <v>0</v>
      </c>
      <c r="AW981">
        <v>451.363</v>
      </c>
      <c r="AX981">
        <v>6.4260000000000002</v>
      </c>
      <c r="AY981">
        <v>1429.816</v>
      </c>
      <c r="AZ981">
        <v>0</v>
      </c>
      <c r="BA981">
        <v>35256416</v>
      </c>
      <c r="BB981">
        <v>151200000</v>
      </c>
      <c r="BC981">
        <v>0</v>
      </c>
      <c r="BD981">
        <v>773800</v>
      </c>
      <c r="BE981">
        <v>464335</v>
      </c>
      <c r="BF981">
        <v>1856682</v>
      </c>
      <c r="BG981">
        <v>773800</v>
      </c>
      <c r="BH981">
        <v>618547</v>
      </c>
      <c r="BI981">
        <v>0</v>
      </c>
      <c r="BJ981">
        <v>0</v>
      </c>
      <c r="BK981">
        <v>0</v>
      </c>
      <c r="BL981">
        <v>11934673724</v>
      </c>
      <c r="BM981">
        <v>0</v>
      </c>
      <c r="BN981">
        <v>64971</v>
      </c>
      <c r="BO981">
        <v>15087</v>
      </c>
      <c r="BP981">
        <v>13350</v>
      </c>
      <c r="BQ981">
        <v>0</v>
      </c>
      <c r="BR981">
        <v>0.85360000000000003</v>
      </c>
      <c r="BS981">
        <v>0.85360000000000003</v>
      </c>
      <c r="BT981">
        <v>0</v>
      </c>
      <c r="BU981">
        <v>0</v>
      </c>
      <c r="BV981">
        <v>3187</v>
      </c>
      <c r="BW981">
        <v>670</v>
      </c>
      <c r="BX981">
        <v>276</v>
      </c>
      <c r="BY981">
        <v>444</v>
      </c>
      <c r="BZ981">
        <v>16</v>
      </c>
      <c r="CA981">
        <v>4593</v>
      </c>
      <c r="CB981">
        <v>0</v>
      </c>
      <c r="CC981">
        <v>355.96199999999999</v>
      </c>
      <c r="CD981">
        <v>0</v>
      </c>
      <c r="CE981">
        <v>1788</v>
      </c>
      <c r="CF981">
        <v>1691.0060000000001</v>
      </c>
      <c r="CG981">
        <v>37.129000000000005</v>
      </c>
      <c r="CH981">
        <v>0</v>
      </c>
      <c r="CI981">
        <v>42</v>
      </c>
      <c r="CJ981">
        <v>302</v>
      </c>
      <c r="CK981">
        <v>4</v>
      </c>
      <c r="CL981">
        <v>37.129000000000005</v>
      </c>
      <c r="CM981">
        <v>1093.9460000000001</v>
      </c>
      <c r="CN981">
        <v>0</v>
      </c>
      <c r="CO981">
        <v>0</v>
      </c>
      <c r="CP981">
        <v>13350</v>
      </c>
      <c r="CQ981">
        <v>0</v>
      </c>
      <c r="CR981">
        <v>0</v>
      </c>
      <c r="CS981">
        <v>0</v>
      </c>
      <c r="CT981">
        <v>0</v>
      </c>
      <c r="CU981">
        <v>12.586</v>
      </c>
      <c r="CV981">
        <v>705.63400000000001</v>
      </c>
      <c r="CW981">
        <v>449.97500000000002</v>
      </c>
      <c r="CX981">
        <v>0</v>
      </c>
      <c r="CY981" s="2043">
        <v>0</v>
      </c>
      <c r="CZ981" s="2043">
        <v>0</v>
      </c>
      <c r="DA981" s="2043">
        <v>0</v>
      </c>
      <c r="DB981" s="2043">
        <v>0</v>
      </c>
      <c r="DC981" s="2043">
        <v>0</v>
      </c>
      <c r="DI981" t="s">
        <v>3184</v>
      </c>
      <c r="DJ981" t="s">
        <v>5242</v>
      </c>
      <c r="DK981" s="2042">
        <f t="shared" si="17"/>
        <v>1</v>
      </c>
    </row>
    <row r="982" spans="1:115">
      <c r="A982" t="s">
        <v>5870</v>
      </c>
      <c r="B982" t="s">
        <v>1579</v>
      </c>
      <c r="C982">
        <v>772.45100000000002</v>
      </c>
      <c r="D982">
        <v>845.28800000000001</v>
      </c>
      <c r="E982">
        <v>14.677000000000001</v>
      </c>
      <c r="F982">
        <v>0</v>
      </c>
      <c r="G982" s="2043">
        <v>418094491</v>
      </c>
      <c r="H982">
        <v>0</v>
      </c>
      <c r="I982" s="2043">
        <v>0</v>
      </c>
      <c r="J982">
        <v>38.623000000000005</v>
      </c>
      <c r="K982">
        <v>106</v>
      </c>
      <c r="L982">
        <v>0</v>
      </c>
      <c r="M982">
        <v>0</v>
      </c>
      <c r="N982">
        <v>0</v>
      </c>
      <c r="O982">
        <v>0</v>
      </c>
      <c r="P982">
        <v>0</v>
      </c>
      <c r="Q982">
        <v>0</v>
      </c>
      <c r="R982" s="2043">
        <v>3449609</v>
      </c>
      <c r="S982">
        <v>335728</v>
      </c>
      <c r="T982">
        <v>244663</v>
      </c>
      <c r="U982">
        <v>0.08</v>
      </c>
      <c r="V982">
        <v>0</v>
      </c>
      <c r="W982">
        <v>0</v>
      </c>
      <c r="X982">
        <v>0</v>
      </c>
      <c r="Y982">
        <v>0</v>
      </c>
      <c r="Z982">
        <v>5.468</v>
      </c>
      <c r="AA982">
        <v>2.3E-2</v>
      </c>
      <c r="AB982">
        <v>783.13300000000004</v>
      </c>
      <c r="AC982" s="2043">
        <v>332534459</v>
      </c>
      <c r="AD982">
        <v>0</v>
      </c>
      <c r="AE982" s="2043">
        <v>4030000</v>
      </c>
      <c r="AF982">
        <v>0.96030000000000004</v>
      </c>
      <c r="AG982">
        <v>0</v>
      </c>
      <c r="AH982">
        <v>0</v>
      </c>
      <c r="AI982">
        <v>0</v>
      </c>
      <c r="AJ982">
        <v>129.46299999999999</v>
      </c>
      <c r="AK982">
        <v>3784</v>
      </c>
      <c r="AL982">
        <v>0</v>
      </c>
      <c r="AM982">
        <v>0</v>
      </c>
      <c r="AN982">
        <v>10.401</v>
      </c>
      <c r="AO982">
        <v>0</v>
      </c>
      <c r="AP982">
        <v>0</v>
      </c>
      <c r="AQ982">
        <v>0</v>
      </c>
      <c r="AR982">
        <v>23.284000000000002</v>
      </c>
      <c r="AS982">
        <v>0</v>
      </c>
      <c r="AT982">
        <v>10.057</v>
      </c>
      <c r="AU982">
        <v>1.9750000000000001</v>
      </c>
      <c r="AV982">
        <v>0</v>
      </c>
      <c r="AW982">
        <v>35.316000000000003</v>
      </c>
      <c r="AX982">
        <v>0</v>
      </c>
      <c r="AY982">
        <v>109.89800000000001</v>
      </c>
      <c r="AZ982">
        <v>0</v>
      </c>
      <c r="BA982">
        <v>5978613</v>
      </c>
      <c r="BB982">
        <v>4030000</v>
      </c>
      <c r="BC982">
        <v>0</v>
      </c>
      <c r="BD982">
        <v>54005</v>
      </c>
      <c r="BE982">
        <v>8354</v>
      </c>
      <c r="BF982">
        <v>62359</v>
      </c>
      <c r="BG982">
        <v>54005</v>
      </c>
      <c r="BH982">
        <v>0</v>
      </c>
      <c r="BI982">
        <v>0</v>
      </c>
      <c r="BJ982">
        <v>0</v>
      </c>
      <c r="BK982">
        <v>0</v>
      </c>
      <c r="BL982">
        <v>418094491</v>
      </c>
      <c r="BM982">
        <v>0</v>
      </c>
      <c r="BN982">
        <v>3420</v>
      </c>
      <c r="BO982">
        <v>2151</v>
      </c>
      <c r="BP982">
        <v>0</v>
      </c>
      <c r="BQ982">
        <v>0</v>
      </c>
      <c r="BR982">
        <v>0.82200000000000006</v>
      </c>
      <c r="BS982">
        <v>0.82200000000000006</v>
      </c>
      <c r="BT982">
        <v>0</v>
      </c>
      <c r="BU982">
        <v>0</v>
      </c>
      <c r="BV982">
        <v>66</v>
      </c>
      <c r="BW982">
        <v>180</v>
      </c>
      <c r="BX982">
        <v>199</v>
      </c>
      <c r="BY982">
        <v>79</v>
      </c>
      <c r="BZ982">
        <v>5</v>
      </c>
      <c r="CA982">
        <v>529</v>
      </c>
      <c r="CB982">
        <v>0</v>
      </c>
      <c r="CC982">
        <v>0</v>
      </c>
      <c r="CD982">
        <v>0</v>
      </c>
      <c r="CE982">
        <v>80</v>
      </c>
      <c r="CF982">
        <v>149.03900000000002</v>
      </c>
      <c r="CG982">
        <v>1.8720000000000001</v>
      </c>
      <c r="CH982">
        <v>0</v>
      </c>
      <c r="CI982">
        <v>1</v>
      </c>
      <c r="CJ982">
        <v>8</v>
      </c>
      <c r="CK982">
        <v>0</v>
      </c>
      <c r="CL982">
        <v>1.8720000000000001</v>
      </c>
      <c r="CM982">
        <v>14.677000000000001</v>
      </c>
      <c r="CN982">
        <v>0</v>
      </c>
      <c r="CO982">
        <v>0</v>
      </c>
      <c r="CP982">
        <v>0</v>
      </c>
      <c r="CQ982">
        <v>0</v>
      </c>
      <c r="CR982">
        <v>0</v>
      </c>
      <c r="CS982">
        <v>0</v>
      </c>
      <c r="CT982">
        <v>0</v>
      </c>
      <c r="CU982">
        <v>6.5000000000000002E-2</v>
      </c>
      <c r="CV982">
        <v>41.501000000000005</v>
      </c>
      <c r="CW982">
        <v>23.258000000000003</v>
      </c>
      <c r="CX982">
        <v>0</v>
      </c>
      <c r="CY982" s="2043">
        <v>0</v>
      </c>
      <c r="CZ982" s="2043">
        <v>0</v>
      </c>
      <c r="DA982" s="2043">
        <v>0</v>
      </c>
      <c r="DB982" s="2043">
        <v>0</v>
      </c>
      <c r="DC982" s="2043">
        <v>0</v>
      </c>
      <c r="DI982" t="s">
        <v>5870</v>
      </c>
      <c r="DJ982" t="s">
        <v>5870</v>
      </c>
      <c r="DK982" s="2042">
        <f t="shared" si="17"/>
        <v>0</v>
      </c>
    </row>
    <row r="983" spans="1:115">
      <c r="A983" t="s">
        <v>3185</v>
      </c>
      <c r="B983" t="s">
        <v>359</v>
      </c>
      <c r="C983">
        <v>464.661</v>
      </c>
      <c r="D983">
        <v>500.37200000000001</v>
      </c>
      <c r="E983">
        <v>37.542000000000002</v>
      </c>
      <c r="F983">
        <v>0</v>
      </c>
      <c r="G983" s="2043">
        <v>116586369</v>
      </c>
      <c r="H983">
        <v>0</v>
      </c>
      <c r="I983" s="2043">
        <v>491976</v>
      </c>
      <c r="J983">
        <v>23.233000000000001</v>
      </c>
      <c r="K983">
        <v>64</v>
      </c>
      <c r="L983">
        <v>58776</v>
      </c>
      <c r="M983">
        <v>148825</v>
      </c>
      <c r="N983">
        <v>58776</v>
      </c>
      <c r="O983">
        <v>207601</v>
      </c>
      <c r="P983">
        <v>0</v>
      </c>
      <c r="Q983">
        <v>0</v>
      </c>
      <c r="R983" s="2043">
        <v>992801</v>
      </c>
      <c r="S983">
        <v>92720</v>
      </c>
      <c r="T983">
        <v>67570</v>
      </c>
      <c r="U983">
        <v>0.08</v>
      </c>
      <c r="V983">
        <v>0</v>
      </c>
      <c r="W983">
        <v>0</v>
      </c>
      <c r="X983">
        <v>0</v>
      </c>
      <c r="Y983">
        <v>0</v>
      </c>
      <c r="Z983">
        <v>2.8640000000000003</v>
      </c>
      <c r="AA983">
        <v>0</v>
      </c>
      <c r="AB983">
        <v>480.017</v>
      </c>
      <c r="AC983" s="2043">
        <v>100122886</v>
      </c>
      <c r="AD983">
        <v>347057</v>
      </c>
      <c r="AE983" s="2043">
        <v>1153091</v>
      </c>
      <c r="AF983">
        <v>0.99490000000000001</v>
      </c>
      <c r="AG983">
        <v>0</v>
      </c>
      <c r="AH983">
        <v>0</v>
      </c>
      <c r="AI983">
        <v>0</v>
      </c>
      <c r="AJ983">
        <v>53.113</v>
      </c>
      <c r="AK983">
        <v>1344</v>
      </c>
      <c r="AL983">
        <v>0</v>
      </c>
      <c r="AM983">
        <v>0</v>
      </c>
      <c r="AN983">
        <v>4.3170000000000002</v>
      </c>
      <c r="AO983">
        <v>0</v>
      </c>
      <c r="AP983">
        <v>0</v>
      </c>
      <c r="AQ983">
        <v>0</v>
      </c>
      <c r="AR983">
        <v>6.9030000000000005</v>
      </c>
      <c r="AS983">
        <v>0</v>
      </c>
      <c r="AT983">
        <v>3.4170000000000003</v>
      </c>
      <c r="AU983">
        <v>0.82400000000000007</v>
      </c>
      <c r="AV983">
        <v>0</v>
      </c>
      <c r="AW983">
        <v>11.144</v>
      </c>
      <c r="AX983">
        <v>0</v>
      </c>
      <c r="AY983">
        <v>35.08</v>
      </c>
      <c r="AZ983">
        <v>0</v>
      </c>
      <c r="BA983">
        <v>5093693</v>
      </c>
      <c r="BB983">
        <v>1500148</v>
      </c>
      <c r="BC983">
        <v>0</v>
      </c>
      <c r="BD983">
        <v>44255</v>
      </c>
      <c r="BE983">
        <v>0</v>
      </c>
      <c r="BF983">
        <v>44255</v>
      </c>
      <c r="BG983">
        <v>44255</v>
      </c>
      <c r="BH983">
        <v>0</v>
      </c>
      <c r="BI983">
        <v>0</v>
      </c>
      <c r="BJ983">
        <v>0</v>
      </c>
      <c r="BK983">
        <v>0</v>
      </c>
      <c r="BL983">
        <v>116586369</v>
      </c>
      <c r="BM983">
        <v>0</v>
      </c>
      <c r="BN983">
        <v>1566</v>
      </c>
      <c r="BO983">
        <v>1412</v>
      </c>
      <c r="BP983">
        <v>0</v>
      </c>
      <c r="BQ983">
        <v>0</v>
      </c>
      <c r="BR983">
        <v>0.85660000000000003</v>
      </c>
      <c r="BS983">
        <v>0.85660000000000003</v>
      </c>
      <c r="BT983">
        <v>0</v>
      </c>
      <c r="BU983">
        <v>0</v>
      </c>
      <c r="BV983">
        <v>7</v>
      </c>
      <c r="BW983">
        <v>201</v>
      </c>
      <c r="BX983">
        <v>2</v>
      </c>
      <c r="BY983">
        <v>0</v>
      </c>
      <c r="BZ983">
        <v>12</v>
      </c>
      <c r="CA983">
        <v>222</v>
      </c>
      <c r="CB983">
        <v>0</v>
      </c>
      <c r="CC983">
        <v>0</v>
      </c>
      <c r="CD983">
        <v>0</v>
      </c>
      <c r="CE983">
        <v>58</v>
      </c>
      <c r="CF983">
        <v>84.38900000000001</v>
      </c>
      <c r="CG983">
        <v>0</v>
      </c>
      <c r="CH983">
        <v>0</v>
      </c>
      <c r="CI983">
        <v>1</v>
      </c>
      <c r="CJ983">
        <v>8</v>
      </c>
      <c r="CK983">
        <v>1</v>
      </c>
      <c r="CL983">
        <v>0</v>
      </c>
      <c r="CM983">
        <v>37.542000000000002</v>
      </c>
      <c r="CN983">
        <v>0</v>
      </c>
      <c r="CO983">
        <v>0</v>
      </c>
      <c r="CP983">
        <v>0</v>
      </c>
      <c r="CQ983">
        <v>0</v>
      </c>
      <c r="CR983">
        <v>0</v>
      </c>
      <c r="CS983">
        <v>0</v>
      </c>
      <c r="CT983">
        <v>0</v>
      </c>
      <c r="CU983">
        <v>13.235000000000001</v>
      </c>
      <c r="CV983">
        <v>30.662000000000003</v>
      </c>
      <c r="CW983">
        <v>15.355</v>
      </c>
      <c r="CX983">
        <v>0</v>
      </c>
      <c r="CY983" s="2043">
        <v>0</v>
      </c>
      <c r="CZ983" s="2043">
        <v>0</v>
      </c>
      <c r="DA983" s="2043">
        <v>0</v>
      </c>
      <c r="DB983" s="2043">
        <v>0</v>
      </c>
      <c r="DC983" s="2043">
        <v>0</v>
      </c>
      <c r="DI983" t="s">
        <v>3185</v>
      </c>
      <c r="DJ983" t="s">
        <v>3185</v>
      </c>
      <c r="DK983" s="2042">
        <f t="shared" si="17"/>
        <v>0</v>
      </c>
    </row>
    <row r="984" spans="1:115">
      <c r="A984" t="s">
        <v>3186</v>
      </c>
      <c r="B984" t="s">
        <v>360</v>
      </c>
      <c r="C984">
        <v>134.68200000000002</v>
      </c>
      <c r="D984">
        <v>134.88900000000001</v>
      </c>
      <c r="E984">
        <v>1.98</v>
      </c>
      <c r="F984">
        <v>0</v>
      </c>
      <c r="G984" s="2043">
        <v>12813283</v>
      </c>
      <c r="H984">
        <v>0</v>
      </c>
      <c r="I984" s="2043">
        <v>84600</v>
      </c>
      <c r="J984">
        <v>6.734</v>
      </c>
      <c r="K984">
        <v>18</v>
      </c>
      <c r="L984">
        <v>76857</v>
      </c>
      <c r="M984">
        <v>7743</v>
      </c>
      <c r="N984">
        <v>76857</v>
      </c>
      <c r="O984">
        <v>84600</v>
      </c>
      <c r="P984">
        <v>0</v>
      </c>
      <c r="Q984">
        <v>0</v>
      </c>
      <c r="R984" s="2043">
        <v>109285</v>
      </c>
      <c r="S984">
        <v>10305</v>
      </c>
      <c r="T984">
        <v>7510</v>
      </c>
      <c r="U984">
        <v>0.08</v>
      </c>
      <c r="V984">
        <v>0</v>
      </c>
      <c r="W984">
        <v>0</v>
      </c>
      <c r="X984">
        <v>0</v>
      </c>
      <c r="Y984">
        <v>0</v>
      </c>
      <c r="Z984">
        <v>8.6289999999999996</v>
      </c>
      <c r="AA984">
        <v>0</v>
      </c>
      <c r="AB984">
        <v>134.88900000000001</v>
      </c>
      <c r="AC984" s="2043">
        <v>11206907</v>
      </c>
      <c r="AD984">
        <v>8285</v>
      </c>
      <c r="AE984" s="2043">
        <v>127100</v>
      </c>
      <c r="AF984">
        <v>0.98670000000000002</v>
      </c>
      <c r="AG984">
        <v>0</v>
      </c>
      <c r="AH984">
        <v>0</v>
      </c>
      <c r="AI984">
        <v>0</v>
      </c>
      <c r="AJ984">
        <v>25.725000000000001</v>
      </c>
      <c r="AK984">
        <v>1108</v>
      </c>
      <c r="AL984">
        <v>0</v>
      </c>
      <c r="AM984">
        <v>0</v>
      </c>
      <c r="AN984">
        <v>2.964</v>
      </c>
      <c r="AO984">
        <v>0</v>
      </c>
      <c r="AP984">
        <v>4.7160000000000002</v>
      </c>
      <c r="AQ984">
        <v>0</v>
      </c>
      <c r="AR984">
        <v>4.3689999999999998</v>
      </c>
      <c r="AS984">
        <v>0</v>
      </c>
      <c r="AT984">
        <v>0</v>
      </c>
      <c r="AU984">
        <v>0.311</v>
      </c>
      <c r="AV984">
        <v>0</v>
      </c>
      <c r="AW984">
        <v>9.3960000000000008</v>
      </c>
      <c r="AX984">
        <v>0</v>
      </c>
      <c r="AY984">
        <v>27.395</v>
      </c>
      <c r="AZ984">
        <v>0</v>
      </c>
      <c r="BA984">
        <v>2203118</v>
      </c>
      <c r="BB984">
        <v>135385</v>
      </c>
      <c r="BC984">
        <v>0</v>
      </c>
      <c r="BD984">
        <v>35498</v>
      </c>
      <c r="BE984">
        <v>18689</v>
      </c>
      <c r="BF984">
        <v>54187</v>
      </c>
      <c r="BG984">
        <v>35498</v>
      </c>
      <c r="BH984">
        <v>0</v>
      </c>
      <c r="BI984">
        <v>0</v>
      </c>
      <c r="BJ984">
        <v>0</v>
      </c>
      <c r="BK984">
        <v>0</v>
      </c>
      <c r="BL984">
        <v>12813283</v>
      </c>
      <c r="BM984">
        <v>0</v>
      </c>
      <c r="BN984">
        <v>639</v>
      </c>
      <c r="BO984">
        <v>171</v>
      </c>
      <c r="BP984">
        <v>0</v>
      </c>
      <c r="BQ984">
        <v>0</v>
      </c>
      <c r="BR984">
        <v>0.84840000000000004</v>
      </c>
      <c r="BS984">
        <v>0.84840000000000004</v>
      </c>
      <c r="BT984">
        <v>0</v>
      </c>
      <c r="BU984">
        <v>0</v>
      </c>
      <c r="BV984">
        <v>31</v>
      </c>
      <c r="BW984">
        <v>25</v>
      </c>
      <c r="BX984">
        <v>16</v>
      </c>
      <c r="BY984">
        <v>21</v>
      </c>
      <c r="BZ984">
        <v>12</v>
      </c>
      <c r="CA984">
        <v>105</v>
      </c>
      <c r="CB984">
        <v>0</v>
      </c>
      <c r="CC984">
        <v>0</v>
      </c>
      <c r="CD984">
        <v>0</v>
      </c>
      <c r="CE984">
        <v>2</v>
      </c>
      <c r="CF984">
        <v>31.162000000000003</v>
      </c>
      <c r="CG984">
        <v>0</v>
      </c>
      <c r="CH984">
        <v>0</v>
      </c>
      <c r="CI984">
        <v>0</v>
      </c>
      <c r="CJ984">
        <v>0</v>
      </c>
      <c r="CK984">
        <v>0</v>
      </c>
      <c r="CL984">
        <v>0</v>
      </c>
      <c r="CM984">
        <v>1.98</v>
      </c>
      <c r="CN984">
        <v>0</v>
      </c>
      <c r="CO984">
        <v>0</v>
      </c>
      <c r="CP984">
        <v>0</v>
      </c>
      <c r="CQ984">
        <v>0</v>
      </c>
      <c r="CR984">
        <v>0</v>
      </c>
      <c r="CS984">
        <v>0</v>
      </c>
      <c r="CT984">
        <v>0</v>
      </c>
      <c r="CU984">
        <v>0</v>
      </c>
      <c r="CV984">
        <v>5.7610000000000001</v>
      </c>
      <c r="CW984">
        <v>1.9410000000000001</v>
      </c>
      <c r="CX984">
        <v>0</v>
      </c>
      <c r="CY984" s="2043">
        <v>0</v>
      </c>
      <c r="CZ984" s="2043">
        <v>0</v>
      </c>
      <c r="DA984" s="2043">
        <v>0</v>
      </c>
      <c r="DB984" s="2043">
        <v>0</v>
      </c>
      <c r="DC984" s="2043">
        <v>0</v>
      </c>
      <c r="DI984" t="s">
        <v>4591</v>
      </c>
      <c r="DJ984" t="s">
        <v>3186</v>
      </c>
      <c r="DK984" s="2042">
        <f t="shared" si="17"/>
        <v>-2</v>
      </c>
    </row>
    <row r="985" spans="1:115">
      <c r="A985" t="s">
        <v>4591</v>
      </c>
      <c r="B985" t="s">
        <v>1112</v>
      </c>
      <c r="C985">
        <v>492.86500000000001</v>
      </c>
      <c r="D985">
        <v>505.55500000000001</v>
      </c>
      <c r="E985">
        <v>18.884</v>
      </c>
      <c r="F985">
        <v>0</v>
      </c>
      <c r="G985" s="2043">
        <v>220537358</v>
      </c>
      <c r="H985">
        <v>0</v>
      </c>
      <c r="I985" s="2043">
        <v>0</v>
      </c>
      <c r="J985">
        <v>24.643000000000001</v>
      </c>
      <c r="K985">
        <v>67</v>
      </c>
      <c r="L985">
        <v>0</v>
      </c>
      <c r="M985">
        <v>0</v>
      </c>
      <c r="N985">
        <v>0</v>
      </c>
      <c r="O985">
        <v>0</v>
      </c>
      <c r="P985">
        <v>0</v>
      </c>
      <c r="Q985">
        <v>0</v>
      </c>
      <c r="R985" s="2043">
        <v>1952190</v>
      </c>
      <c r="S985">
        <v>106864</v>
      </c>
      <c r="T985">
        <v>0</v>
      </c>
      <c r="U985">
        <v>0.05</v>
      </c>
      <c r="V985">
        <v>0</v>
      </c>
      <c r="W985">
        <v>0</v>
      </c>
      <c r="X985">
        <v>0</v>
      </c>
      <c r="Y985">
        <v>0</v>
      </c>
      <c r="Z985">
        <v>1.304</v>
      </c>
      <c r="AA985">
        <v>0.255</v>
      </c>
      <c r="AB985">
        <v>502.08600000000001</v>
      </c>
      <c r="AC985" s="2043">
        <v>220315967</v>
      </c>
      <c r="AD985">
        <v>0</v>
      </c>
      <c r="AE985" s="2043">
        <v>2059054</v>
      </c>
      <c r="AF985">
        <v>0.96340000000000003</v>
      </c>
      <c r="AG985">
        <v>0</v>
      </c>
      <c r="AH985">
        <v>0</v>
      </c>
      <c r="AI985">
        <v>0</v>
      </c>
      <c r="AJ985">
        <v>99.9</v>
      </c>
      <c r="AK985">
        <v>3137</v>
      </c>
      <c r="AL985">
        <v>0.14899999999999999</v>
      </c>
      <c r="AM985">
        <v>0</v>
      </c>
      <c r="AN985">
        <v>24.423999999999999</v>
      </c>
      <c r="AO985">
        <v>1</v>
      </c>
      <c r="AP985">
        <v>0</v>
      </c>
      <c r="AQ985">
        <v>0</v>
      </c>
      <c r="AR985">
        <v>15.855</v>
      </c>
      <c r="AS985">
        <v>0</v>
      </c>
      <c r="AT985">
        <v>3.5680000000000001</v>
      </c>
      <c r="AU985">
        <v>1.008</v>
      </c>
      <c r="AV985">
        <v>0</v>
      </c>
      <c r="AW985">
        <v>20.580000000000002</v>
      </c>
      <c r="AX985">
        <v>0</v>
      </c>
      <c r="AY985">
        <v>64.054000000000002</v>
      </c>
      <c r="AZ985">
        <v>0</v>
      </c>
      <c r="BA985">
        <v>4526437</v>
      </c>
      <c r="BB985">
        <v>2059054</v>
      </c>
      <c r="BC985">
        <v>0</v>
      </c>
      <c r="BD985">
        <v>67298</v>
      </c>
      <c r="BE985">
        <v>1579</v>
      </c>
      <c r="BF985">
        <v>68877</v>
      </c>
      <c r="BG985">
        <v>67298</v>
      </c>
      <c r="BH985">
        <v>0</v>
      </c>
      <c r="BI985">
        <v>0</v>
      </c>
      <c r="BJ985">
        <v>0</v>
      </c>
      <c r="BK985">
        <v>0</v>
      </c>
      <c r="BL985">
        <v>220537358</v>
      </c>
      <c r="BM985">
        <v>0</v>
      </c>
      <c r="BN985">
        <v>1863</v>
      </c>
      <c r="BO985">
        <v>1830</v>
      </c>
      <c r="BP985">
        <v>0</v>
      </c>
      <c r="BQ985">
        <v>0</v>
      </c>
      <c r="BR985">
        <v>0.91339999999999999</v>
      </c>
      <c r="BS985">
        <v>0.91339999999999999</v>
      </c>
      <c r="BT985">
        <v>0</v>
      </c>
      <c r="BU985">
        <v>0</v>
      </c>
      <c r="BV985">
        <v>101</v>
      </c>
      <c r="BW985">
        <v>39</v>
      </c>
      <c r="BX985">
        <v>1</v>
      </c>
      <c r="BY985">
        <v>153</v>
      </c>
      <c r="BZ985">
        <v>100</v>
      </c>
      <c r="CA985">
        <v>394</v>
      </c>
      <c r="CB985">
        <v>0</v>
      </c>
      <c r="CC985">
        <v>0</v>
      </c>
      <c r="CD985">
        <v>0</v>
      </c>
      <c r="CE985">
        <v>66</v>
      </c>
      <c r="CF985">
        <v>124.44</v>
      </c>
      <c r="CG985">
        <v>1.2850000000000001</v>
      </c>
      <c r="CH985">
        <v>0</v>
      </c>
      <c r="CI985">
        <v>1</v>
      </c>
      <c r="CJ985">
        <v>2</v>
      </c>
      <c r="CK985">
        <v>0</v>
      </c>
      <c r="CL985">
        <v>1.2850000000000001</v>
      </c>
      <c r="CM985">
        <v>18.884</v>
      </c>
      <c r="CN985">
        <v>0</v>
      </c>
      <c r="CO985">
        <v>0</v>
      </c>
      <c r="CP985">
        <v>0</v>
      </c>
      <c r="CQ985">
        <v>0</v>
      </c>
      <c r="CR985">
        <v>0</v>
      </c>
      <c r="CS985">
        <v>0</v>
      </c>
      <c r="CT985">
        <v>0</v>
      </c>
      <c r="CU985">
        <v>7.774</v>
      </c>
      <c r="CV985">
        <v>32.039000000000001</v>
      </c>
      <c r="CW985">
        <v>21.956</v>
      </c>
      <c r="CX985">
        <v>0</v>
      </c>
      <c r="CY985" s="2043">
        <v>0</v>
      </c>
      <c r="CZ985" s="2043">
        <v>0</v>
      </c>
      <c r="DA985" s="2043">
        <v>0</v>
      </c>
      <c r="DB985" s="2043">
        <v>0</v>
      </c>
      <c r="DC985" s="2043">
        <v>0</v>
      </c>
      <c r="DI985" t="s">
        <v>3186</v>
      </c>
      <c r="DJ985" t="s">
        <v>4591</v>
      </c>
      <c r="DK985" s="2042">
        <f t="shared" si="17"/>
        <v>2</v>
      </c>
    </row>
    <row r="986" spans="1:115">
      <c r="A986" t="s">
        <v>5243</v>
      </c>
      <c r="B986" t="s">
        <v>1580</v>
      </c>
      <c r="C986">
        <v>3146.8270000000002</v>
      </c>
      <c r="D986">
        <v>3135.2250000000004</v>
      </c>
      <c r="E986">
        <v>421.26100000000002</v>
      </c>
      <c r="F986">
        <v>0</v>
      </c>
      <c r="G986" s="2043">
        <v>1598438439</v>
      </c>
      <c r="H986">
        <v>0</v>
      </c>
      <c r="I986" s="2043">
        <v>3330804</v>
      </c>
      <c r="J986">
        <v>157.34100000000001</v>
      </c>
      <c r="K986">
        <v>430</v>
      </c>
      <c r="L986">
        <v>0</v>
      </c>
      <c r="M986">
        <v>0</v>
      </c>
      <c r="N986">
        <v>0</v>
      </c>
      <c r="O986">
        <v>0</v>
      </c>
      <c r="P986">
        <v>0</v>
      </c>
      <c r="Q986">
        <v>0</v>
      </c>
      <c r="R986" s="2043">
        <v>13889446</v>
      </c>
      <c r="S986">
        <v>760316</v>
      </c>
      <c r="T986">
        <v>0</v>
      </c>
      <c r="U986">
        <v>0.05</v>
      </c>
      <c r="V986">
        <v>0</v>
      </c>
      <c r="W986">
        <v>0</v>
      </c>
      <c r="X986">
        <v>0</v>
      </c>
      <c r="Y986">
        <v>-6348</v>
      </c>
      <c r="Z986">
        <v>0</v>
      </c>
      <c r="AA986">
        <v>0.29799999999999999</v>
      </c>
      <c r="AB986">
        <v>3135.2250000000004</v>
      </c>
      <c r="AC986" s="2043">
        <v>1622746984</v>
      </c>
      <c r="AD986">
        <v>3584116</v>
      </c>
      <c r="AE986" s="2043">
        <v>14649762</v>
      </c>
      <c r="AF986">
        <v>0.96340000000000003</v>
      </c>
      <c r="AG986">
        <v>0</v>
      </c>
      <c r="AH986">
        <v>0</v>
      </c>
      <c r="AI986">
        <v>0</v>
      </c>
      <c r="AJ986">
        <v>509.40000000000003</v>
      </c>
      <c r="AK986">
        <v>12694</v>
      </c>
      <c r="AL986">
        <v>0.42</v>
      </c>
      <c r="AM986">
        <v>0</v>
      </c>
      <c r="AN986">
        <v>101.48400000000001</v>
      </c>
      <c r="AO986">
        <v>0</v>
      </c>
      <c r="AP986">
        <v>0.54200000000000004</v>
      </c>
      <c r="AQ986">
        <v>0</v>
      </c>
      <c r="AR986">
        <v>86.784000000000006</v>
      </c>
      <c r="AS986">
        <v>0</v>
      </c>
      <c r="AT986">
        <v>40.141000000000005</v>
      </c>
      <c r="AU986">
        <v>5.718</v>
      </c>
      <c r="AV986">
        <v>0</v>
      </c>
      <c r="AW986">
        <v>133.60500000000002</v>
      </c>
      <c r="AX986">
        <v>0</v>
      </c>
      <c r="AY986">
        <v>412.928</v>
      </c>
      <c r="AZ986">
        <v>0</v>
      </c>
      <c r="BA986">
        <v>15279611</v>
      </c>
      <c r="BB986">
        <v>18233878</v>
      </c>
      <c r="BC986">
        <v>0</v>
      </c>
      <c r="BD986">
        <v>252175</v>
      </c>
      <c r="BE986">
        <v>90773</v>
      </c>
      <c r="BF986">
        <v>342948</v>
      </c>
      <c r="BG986">
        <v>252175</v>
      </c>
      <c r="BH986">
        <v>0</v>
      </c>
      <c r="BI986">
        <v>0</v>
      </c>
      <c r="BJ986">
        <v>-6348</v>
      </c>
      <c r="BK986">
        <v>0</v>
      </c>
      <c r="BL986">
        <v>1598438439</v>
      </c>
      <c r="BM986">
        <v>0</v>
      </c>
      <c r="BN986">
        <v>11601</v>
      </c>
      <c r="BO986">
        <v>9737</v>
      </c>
      <c r="BP986">
        <v>0</v>
      </c>
      <c r="BQ986">
        <v>0</v>
      </c>
      <c r="BR986">
        <v>0.91339999999999999</v>
      </c>
      <c r="BS986">
        <v>0.91339999999999999</v>
      </c>
      <c r="BT986">
        <v>0</v>
      </c>
      <c r="BU986">
        <v>0</v>
      </c>
      <c r="BV986">
        <v>285</v>
      </c>
      <c r="BW986">
        <v>826</v>
      </c>
      <c r="BX986">
        <v>450</v>
      </c>
      <c r="BY986">
        <v>424</v>
      </c>
      <c r="BZ986">
        <v>92</v>
      </c>
      <c r="CA986">
        <v>2077</v>
      </c>
      <c r="CB986">
        <v>0</v>
      </c>
      <c r="CC986">
        <v>65.914000000000001</v>
      </c>
      <c r="CD986">
        <v>0</v>
      </c>
      <c r="CE986">
        <v>192</v>
      </c>
      <c r="CF986">
        <v>769.529</v>
      </c>
      <c r="CG986">
        <v>0</v>
      </c>
      <c r="CH986">
        <v>1.9E-2</v>
      </c>
      <c r="CI986">
        <v>0</v>
      </c>
      <c r="CJ986">
        <v>1</v>
      </c>
      <c r="CK986">
        <v>1</v>
      </c>
      <c r="CL986">
        <v>1.9E-2</v>
      </c>
      <c r="CM986">
        <v>421.26100000000002</v>
      </c>
      <c r="CN986">
        <v>0</v>
      </c>
      <c r="CO986">
        <v>0</v>
      </c>
      <c r="CP986">
        <v>0</v>
      </c>
      <c r="CQ986">
        <v>0</v>
      </c>
      <c r="CR986">
        <v>0</v>
      </c>
      <c r="CS986">
        <v>0</v>
      </c>
      <c r="CT986">
        <v>0</v>
      </c>
      <c r="CU986">
        <v>3.0790000000000002</v>
      </c>
      <c r="CV986">
        <v>189.608</v>
      </c>
      <c r="CW986">
        <v>153.11199999999999</v>
      </c>
      <c r="CX986">
        <v>0</v>
      </c>
      <c r="CY986" s="2043">
        <v>0</v>
      </c>
      <c r="CZ986" s="2043">
        <v>0</v>
      </c>
      <c r="DA986" s="2043">
        <v>0</v>
      </c>
      <c r="DB986" s="2043">
        <v>0</v>
      </c>
      <c r="DC986" s="2043">
        <v>0</v>
      </c>
      <c r="DI986" t="s">
        <v>5243</v>
      </c>
      <c r="DJ986" t="s">
        <v>5243</v>
      </c>
      <c r="DK986" s="2042">
        <f t="shared" si="17"/>
        <v>0</v>
      </c>
    </row>
    <row r="987" spans="1:115">
      <c r="A987" t="s">
        <v>5871</v>
      </c>
      <c r="B987" t="s">
        <v>1581</v>
      </c>
      <c r="C987">
        <v>137.672</v>
      </c>
      <c r="D987">
        <v>151.429</v>
      </c>
      <c r="E987">
        <v>21.364000000000001</v>
      </c>
      <c r="F987">
        <v>0</v>
      </c>
      <c r="G987" s="2043">
        <v>106352934</v>
      </c>
      <c r="H987">
        <v>0</v>
      </c>
      <c r="I987" s="2043">
        <v>0</v>
      </c>
      <c r="J987">
        <v>6.8840000000000003</v>
      </c>
      <c r="K987">
        <v>19</v>
      </c>
      <c r="L987">
        <v>0</v>
      </c>
      <c r="M987">
        <v>0</v>
      </c>
      <c r="N987">
        <v>0</v>
      </c>
      <c r="O987">
        <v>0</v>
      </c>
      <c r="P987">
        <v>0</v>
      </c>
      <c r="Q987">
        <v>0</v>
      </c>
      <c r="R987" s="2043">
        <v>861196</v>
      </c>
      <c r="S987">
        <v>78131</v>
      </c>
      <c r="T987">
        <v>56937</v>
      </c>
      <c r="U987">
        <v>0.08</v>
      </c>
      <c r="V987">
        <v>0</v>
      </c>
      <c r="W987">
        <v>0</v>
      </c>
      <c r="X987">
        <v>0</v>
      </c>
      <c r="Y987">
        <v>0</v>
      </c>
      <c r="Z987">
        <v>0</v>
      </c>
      <c r="AA987">
        <v>0</v>
      </c>
      <c r="AB987">
        <v>151.429</v>
      </c>
      <c r="AC987" s="2043">
        <v>95977827</v>
      </c>
      <c r="AD987">
        <v>0</v>
      </c>
      <c r="AE987" s="2043">
        <v>996264</v>
      </c>
      <c r="AF987">
        <v>1.0201</v>
      </c>
      <c r="AG987">
        <v>0</v>
      </c>
      <c r="AH987">
        <v>0</v>
      </c>
      <c r="AI987">
        <v>0</v>
      </c>
      <c r="AJ987">
        <v>31.488000000000003</v>
      </c>
      <c r="AK987">
        <v>878</v>
      </c>
      <c r="AL987">
        <v>2.1000000000000001E-2</v>
      </c>
      <c r="AM987">
        <v>0</v>
      </c>
      <c r="AN987">
        <v>2.0740000000000003</v>
      </c>
      <c r="AO987">
        <v>0</v>
      </c>
      <c r="AP987">
        <v>0</v>
      </c>
      <c r="AQ987">
        <v>0</v>
      </c>
      <c r="AR987">
        <v>4.6770000000000005</v>
      </c>
      <c r="AS987">
        <v>0</v>
      </c>
      <c r="AT987">
        <v>1.9630000000000001</v>
      </c>
      <c r="AU987">
        <v>0.40100000000000002</v>
      </c>
      <c r="AV987">
        <v>0</v>
      </c>
      <c r="AW987">
        <v>7.0620000000000003</v>
      </c>
      <c r="AX987">
        <v>0</v>
      </c>
      <c r="AY987">
        <v>22.03</v>
      </c>
      <c r="AZ987">
        <v>0</v>
      </c>
      <c r="BA987">
        <v>1343616</v>
      </c>
      <c r="BB987">
        <v>996264</v>
      </c>
      <c r="BC987">
        <v>0</v>
      </c>
      <c r="BD987">
        <v>30780</v>
      </c>
      <c r="BE987">
        <v>2265</v>
      </c>
      <c r="BF987">
        <v>33045</v>
      </c>
      <c r="BG987">
        <v>30780</v>
      </c>
      <c r="BH987">
        <v>0</v>
      </c>
      <c r="BI987">
        <v>0</v>
      </c>
      <c r="BJ987">
        <v>0</v>
      </c>
      <c r="BK987">
        <v>0</v>
      </c>
      <c r="BL987">
        <v>106352934</v>
      </c>
      <c r="BM987">
        <v>0</v>
      </c>
      <c r="BN987">
        <v>702</v>
      </c>
      <c r="BO987">
        <v>556</v>
      </c>
      <c r="BP987">
        <v>0</v>
      </c>
      <c r="BQ987">
        <v>0</v>
      </c>
      <c r="BR987">
        <v>0.88180000000000003</v>
      </c>
      <c r="BS987">
        <v>0.88180000000000003</v>
      </c>
      <c r="BT987">
        <v>0</v>
      </c>
      <c r="BU987">
        <v>0</v>
      </c>
      <c r="BV987">
        <v>1</v>
      </c>
      <c r="BW987">
        <v>106</v>
      </c>
      <c r="BX987">
        <v>20</v>
      </c>
      <c r="BY987">
        <v>1</v>
      </c>
      <c r="BZ987">
        <v>3</v>
      </c>
      <c r="CA987">
        <v>131</v>
      </c>
      <c r="CB987">
        <v>0</v>
      </c>
      <c r="CC987">
        <v>0</v>
      </c>
      <c r="CD987">
        <v>0</v>
      </c>
      <c r="CE987">
        <v>9</v>
      </c>
      <c r="CF987">
        <v>45.234000000000002</v>
      </c>
      <c r="CG987">
        <v>0</v>
      </c>
      <c r="CH987">
        <v>0</v>
      </c>
      <c r="CI987">
        <v>1</v>
      </c>
      <c r="CJ987">
        <v>0</v>
      </c>
      <c r="CK987">
        <v>0</v>
      </c>
      <c r="CL987">
        <v>0</v>
      </c>
      <c r="CM987">
        <v>21.364000000000001</v>
      </c>
      <c r="CN987">
        <v>0</v>
      </c>
      <c r="CO987">
        <v>0</v>
      </c>
      <c r="CP987">
        <v>0</v>
      </c>
      <c r="CQ987">
        <v>0</v>
      </c>
      <c r="CR987">
        <v>0</v>
      </c>
      <c r="CS987">
        <v>0</v>
      </c>
      <c r="CT987">
        <v>0</v>
      </c>
      <c r="CU987">
        <v>2.052</v>
      </c>
      <c r="CV987">
        <v>10.469000000000001</v>
      </c>
      <c r="CW987">
        <v>9.7510000000000012</v>
      </c>
      <c r="CX987">
        <v>0</v>
      </c>
      <c r="CY987" s="2043">
        <v>0</v>
      </c>
      <c r="CZ987" s="2043">
        <v>0</v>
      </c>
      <c r="DA987" s="2043">
        <v>0</v>
      </c>
      <c r="DB987" s="2043">
        <v>0</v>
      </c>
      <c r="DC987" s="2043">
        <v>0</v>
      </c>
      <c r="DI987" t="s">
        <v>5871</v>
      </c>
      <c r="DJ987" t="s">
        <v>5871</v>
      </c>
      <c r="DK987" s="2042">
        <f t="shared" si="17"/>
        <v>0</v>
      </c>
    </row>
    <row r="988" spans="1:115">
      <c r="A988" t="s">
        <v>5872</v>
      </c>
      <c r="B988" t="s">
        <v>1582</v>
      </c>
      <c r="C988">
        <v>221.46900000000002</v>
      </c>
      <c r="D988">
        <v>217.50200000000001</v>
      </c>
      <c r="E988">
        <v>62.625</v>
      </c>
      <c r="F988">
        <v>0</v>
      </c>
      <c r="G988" s="2043">
        <v>32454035</v>
      </c>
      <c r="H988">
        <v>0</v>
      </c>
      <c r="I988" s="2043">
        <v>0</v>
      </c>
      <c r="J988">
        <v>0</v>
      </c>
      <c r="K988">
        <v>0</v>
      </c>
      <c r="L988">
        <v>0</v>
      </c>
      <c r="M988">
        <v>0</v>
      </c>
      <c r="N988">
        <v>0</v>
      </c>
      <c r="O988">
        <v>0</v>
      </c>
      <c r="P988">
        <v>0</v>
      </c>
      <c r="Q988">
        <v>0</v>
      </c>
      <c r="R988" s="2043">
        <v>290997</v>
      </c>
      <c r="S988">
        <v>25487</v>
      </c>
      <c r="T988">
        <v>18573</v>
      </c>
      <c r="U988">
        <v>0.08</v>
      </c>
      <c r="V988">
        <v>0</v>
      </c>
      <c r="W988">
        <v>0</v>
      </c>
      <c r="X988">
        <v>0</v>
      </c>
      <c r="Y988">
        <v>0</v>
      </c>
      <c r="Z988">
        <v>0</v>
      </c>
      <c r="AA988">
        <v>0</v>
      </c>
      <c r="AB988">
        <v>217.50200000000001</v>
      </c>
      <c r="AC988" s="2043">
        <v>32504990</v>
      </c>
      <c r="AD988">
        <v>0</v>
      </c>
      <c r="AE988" s="2043">
        <v>335057</v>
      </c>
      <c r="AF988">
        <v>1.0517000000000001</v>
      </c>
      <c r="AG988">
        <v>0</v>
      </c>
      <c r="AH988">
        <v>0</v>
      </c>
      <c r="AI988">
        <v>0</v>
      </c>
      <c r="AJ988">
        <v>43.675000000000004</v>
      </c>
      <c r="AK988">
        <v>1352</v>
      </c>
      <c r="AL988">
        <v>1.5000000000000001E-2</v>
      </c>
      <c r="AM988">
        <v>0</v>
      </c>
      <c r="AN988">
        <v>6.7960000000000003</v>
      </c>
      <c r="AO988">
        <v>0</v>
      </c>
      <c r="AP988">
        <v>0</v>
      </c>
      <c r="AQ988">
        <v>0</v>
      </c>
      <c r="AR988">
        <v>7.65</v>
      </c>
      <c r="AS988">
        <v>0</v>
      </c>
      <c r="AT988">
        <v>1.736</v>
      </c>
      <c r="AU988">
        <v>0.433</v>
      </c>
      <c r="AV988">
        <v>0</v>
      </c>
      <c r="AW988">
        <v>9.8339999999999996</v>
      </c>
      <c r="AX988">
        <v>0</v>
      </c>
      <c r="AY988">
        <v>30.398</v>
      </c>
      <c r="AZ988">
        <v>0</v>
      </c>
      <c r="BA988">
        <v>2977338</v>
      </c>
      <c r="BB988">
        <v>335057</v>
      </c>
      <c r="BC988">
        <v>0</v>
      </c>
      <c r="BD988">
        <v>12480</v>
      </c>
      <c r="BE988">
        <v>2678</v>
      </c>
      <c r="BF988">
        <v>15158</v>
      </c>
      <c r="BG988">
        <v>12480</v>
      </c>
      <c r="BH988">
        <v>0</v>
      </c>
      <c r="BI988">
        <v>0</v>
      </c>
      <c r="BJ988">
        <v>0</v>
      </c>
      <c r="BK988">
        <v>0</v>
      </c>
      <c r="BL988">
        <v>32454035</v>
      </c>
      <c r="BM988">
        <v>0</v>
      </c>
      <c r="BN988">
        <v>693</v>
      </c>
      <c r="BO988">
        <v>503</v>
      </c>
      <c r="BP988">
        <v>0</v>
      </c>
      <c r="BQ988">
        <v>0</v>
      </c>
      <c r="BR988">
        <v>0.91339999999999999</v>
      </c>
      <c r="BS988">
        <v>0.91339999999999999</v>
      </c>
      <c r="BT988">
        <v>0</v>
      </c>
      <c r="BU988">
        <v>0</v>
      </c>
      <c r="BV988">
        <v>5</v>
      </c>
      <c r="BW988">
        <v>157</v>
      </c>
      <c r="BX988">
        <v>4</v>
      </c>
      <c r="BY988">
        <v>11</v>
      </c>
      <c r="BZ988">
        <v>5</v>
      </c>
      <c r="CA988">
        <v>182</v>
      </c>
      <c r="CB988">
        <v>0</v>
      </c>
      <c r="CC988">
        <v>0</v>
      </c>
      <c r="CD988">
        <v>0</v>
      </c>
      <c r="CE988">
        <v>17</v>
      </c>
      <c r="CF988">
        <v>62.673000000000002</v>
      </c>
      <c r="CG988">
        <v>0</v>
      </c>
      <c r="CH988">
        <v>0</v>
      </c>
      <c r="CI988">
        <v>1</v>
      </c>
      <c r="CJ988">
        <v>1</v>
      </c>
      <c r="CK988">
        <v>0</v>
      </c>
      <c r="CL988">
        <v>0</v>
      </c>
      <c r="CM988">
        <v>62.625</v>
      </c>
      <c r="CN988">
        <v>0</v>
      </c>
      <c r="CO988">
        <v>0</v>
      </c>
      <c r="CP988">
        <v>0</v>
      </c>
      <c r="CQ988">
        <v>0</v>
      </c>
      <c r="CR988">
        <v>0</v>
      </c>
      <c r="CS988">
        <v>0</v>
      </c>
      <c r="CT988">
        <v>0</v>
      </c>
      <c r="CU988">
        <v>1.4850000000000001</v>
      </c>
      <c r="CV988">
        <v>10.59</v>
      </c>
      <c r="CW988">
        <v>4.2110000000000003</v>
      </c>
      <c r="CX988">
        <v>0</v>
      </c>
      <c r="CY988" s="2043">
        <v>0</v>
      </c>
      <c r="CZ988" s="2043">
        <v>0</v>
      </c>
      <c r="DA988" s="2043">
        <v>0</v>
      </c>
      <c r="DB988" s="2043">
        <v>0</v>
      </c>
      <c r="DC988" s="2043">
        <v>0</v>
      </c>
      <c r="DI988" t="s">
        <v>5872</v>
      </c>
      <c r="DJ988" t="s">
        <v>5872</v>
      </c>
      <c r="DK988" s="2042">
        <f t="shared" si="17"/>
        <v>0</v>
      </c>
    </row>
    <row r="989" spans="1:115">
      <c r="A989" t="s">
        <v>4595</v>
      </c>
      <c r="B989" t="s">
        <v>2330</v>
      </c>
      <c r="C989">
        <v>426.49</v>
      </c>
      <c r="D989">
        <v>383.55200000000002</v>
      </c>
      <c r="E989">
        <v>17.364000000000001</v>
      </c>
      <c r="F989">
        <v>0</v>
      </c>
      <c r="G989" s="2043">
        <v>71911320</v>
      </c>
      <c r="H989">
        <v>0</v>
      </c>
      <c r="I989" s="2043">
        <v>184481</v>
      </c>
      <c r="J989">
        <v>21.324999999999999</v>
      </c>
      <c r="K989">
        <v>58</v>
      </c>
      <c r="L989">
        <v>0</v>
      </c>
      <c r="M989">
        <v>0</v>
      </c>
      <c r="N989">
        <v>0</v>
      </c>
      <c r="O989">
        <v>0</v>
      </c>
      <c r="P989">
        <v>0</v>
      </c>
      <c r="Q989">
        <v>0</v>
      </c>
      <c r="R989" s="2043">
        <v>567587</v>
      </c>
      <c r="S989">
        <v>52897</v>
      </c>
      <c r="T989">
        <v>38549</v>
      </c>
      <c r="U989">
        <v>0.08</v>
      </c>
      <c r="V989">
        <v>0</v>
      </c>
      <c r="W989">
        <v>0</v>
      </c>
      <c r="X989">
        <v>0</v>
      </c>
      <c r="Y989">
        <v>0</v>
      </c>
      <c r="Z989">
        <v>0.86199999999999999</v>
      </c>
      <c r="AA989">
        <v>0</v>
      </c>
      <c r="AB989">
        <v>380.41</v>
      </c>
      <c r="AC989" s="2043">
        <v>65230444</v>
      </c>
      <c r="AD989">
        <v>43228</v>
      </c>
      <c r="AE989" s="2043">
        <v>659033</v>
      </c>
      <c r="AF989">
        <v>0.99670000000000003</v>
      </c>
      <c r="AG989">
        <v>0</v>
      </c>
      <c r="AH989">
        <v>0</v>
      </c>
      <c r="AI989">
        <v>0</v>
      </c>
      <c r="AJ989">
        <v>73.463000000000008</v>
      </c>
      <c r="AK989">
        <v>2254</v>
      </c>
      <c r="AL989">
        <v>0</v>
      </c>
      <c r="AM989">
        <v>0</v>
      </c>
      <c r="AN989">
        <v>28.538</v>
      </c>
      <c r="AO989">
        <v>0</v>
      </c>
      <c r="AP989">
        <v>0</v>
      </c>
      <c r="AQ989">
        <v>0</v>
      </c>
      <c r="AR989">
        <v>7.7460000000000004</v>
      </c>
      <c r="AS989">
        <v>0</v>
      </c>
      <c r="AT989">
        <v>1.8440000000000001</v>
      </c>
      <c r="AU989">
        <v>1.0720000000000001</v>
      </c>
      <c r="AV989">
        <v>0</v>
      </c>
      <c r="AW989">
        <v>10.662000000000001</v>
      </c>
      <c r="AX989">
        <v>0</v>
      </c>
      <c r="AY989">
        <v>34.130000000000003</v>
      </c>
      <c r="AZ989">
        <v>0</v>
      </c>
      <c r="BA989">
        <v>5271377</v>
      </c>
      <c r="BB989">
        <v>702261</v>
      </c>
      <c r="BC989">
        <v>0</v>
      </c>
      <c r="BD989">
        <v>22028</v>
      </c>
      <c r="BE989">
        <v>0</v>
      </c>
      <c r="BF989">
        <v>22028</v>
      </c>
      <c r="BG989">
        <v>22028</v>
      </c>
      <c r="BH989">
        <v>0</v>
      </c>
      <c r="BI989">
        <v>0</v>
      </c>
      <c r="BJ989">
        <v>0</v>
      </c>
      <c r="BK989">
        <v>0</v>
      </c>
      <c r="BL989">
        <v>71911320</v>
      </c>
      <c r="BM989">
        <v>0</v>
      </c>
      <c r="BN989">
        <v>1206</v>
      </c>
      <c r="BO989">
        <v>931</v>
      </c>
      <c r="BP989">
        <v>0</v>
      </c>
      <c r="BQ989">
        <v>0</v>
      </c>
      <c r="BR989">
        <v>0.85840000000000005</v>
      </c>
      <c r="BS989">
        <v>0.85840000000000005</v>
      </c>
      <c r="BT989">
        <v>0</v>
      </c>
      <c r="BU989">
        <v>0</v>
      </c>
      <c r="BV989">
        <v>26</v>
      </c>
      <c r="BW989">
        <v>235</v>
      </c>
      <c r="BX989">
        <v>32</v>
      </c>
      <c r="BY989">
        <v>4</v>
      </c>
      <c r="BZ989">
        <v>10</v>
      </c>
      <c r="CA989">
        <v>307</v>
      </c>
      <c r="CB989">
        <v>0</v>
      </c>
      <c r="CC989">
        <v>0</v>
      </c>
      <c r="CD989">
        <v>0</v>
      </c>
      <c r="CE989">
        <v>40</v>
      </c>
      <c r="CF989">
        <v>95.974000000000004</v>
      </c>
      <c r="CG989">
        <v>0</v>
      </c>
      <c r="CH989">
        <v>0</v>
      </c>
      <c r="CI989">
        <v>0</v>
      </c>
      <c r="CJ989">
        <v>2</v>
      </c>
      <c r="CK989">
        <v>0</v>
      </c>
      <c r="CL989">
        <v>0</v>
      </c>
      <c r="CM989">
        <v>17.364000000000001</v>
      </c>
      <c r="CN989">
        <v>0</v>
      </c>
      <c r="CO989">
        <v>0</v>
      </c>
      <c r="CP989">
        <v>0</v>
      </c>
      <c r="CQ989">
        <v>0</v>
      </c>
      <c r="CR989">
        <v>0</v>
      </c>
      <c r="CS989">
        <v>0</v>
      </c>
      <c r="CT989">
        <v>0</v>
      </c>
      <c r="CU989">
        <v>2.931</v>
      </c>
      <c r="CV989">
        <v>17.045000000000002</v>
      </c>
      <c r="CW989">
        <v>11.569000000000001</v>
      </c>
      <c r="CX989">
        <v>0</v>
      </c>
      <c r="CY989" s="2043">
        <v>0</v>
      </c>
      <c r="CZ989" s="2043">
        <v>0</v>
      </c>
      <c r="DA989" s="2043">
        <v>0</v>
      </c>
      <c r="DB989" s="2043">
        <v>0</v>
      </c>
      <c r="DC989" s="2043">
        <v>0</v>
      </c>
      <c r="DI989" t="s">
        <v>4595</v>
      </c>
      <c r="DJ989" t="s">
        <v>4595</v>
      </c>
      <c r="DK989" s="2042">
        <f t="shared" si="17"/>
        <v>0</v>
      </c>
    </row>
    <row r="990" spans="1:115">
      <c r="A990" t="s">
        <v>3187</v>
      </c>
      <c r="B990" t="s">
        <v>2331</v>
      </c>
      <c r="C990">
        <v>429.18900000000002</v>
      </c>
      <c r="D990">
        <v>455.84100000000001</v>
      </c>
      <c r="E990">
        <v>8.479000000000001</v>
      </c>
      <c r="F990">
        <v>0</v>
      </c>
      <c r="G990" s="2043">
        <v>87362221</v>
      </c>
      <c r="H990">
        <v>0</v>
      </c>
      <c r="I990" s="2043">
        <v>603031</v>
      </c>
      <c r="J990">
        <v>21.459</v>
      </c>
      <c r="K990">
        <v>59</v>
      </c>
      <c r="L990">
        <v>98129</v>
      </c>
      <c r="M990">
        <v>136392</v>
      </c>
      <c r="N990">
        <v>98129</v>
      </c>
      <c r="O990">
        <v>234521</v>
      </c>
      <c r="P990">
        <v>0</v>
      </c>
      <c r="Q990">
        <v>0</v>
      </c>
      <c r="R990" s="2043">
        <v>891907</v>
      </c>
      <c r="S990">
        <v>78118</v>
      </c>
      <c r="T990">
        <v>56928</v>
      </c>
      <c r="U990">
        <v>0.08</v>
      </c>
      <c r="V990">
        <v>0</v>
      </c>
      <c r="W990">
        <v>0</v>
      </c>
      <c r="X990">
        <v>0</v>
      </c>
      <c r="Y990">
        <v>0</v>
      </c>
      <c r="Z990">
        <v>0.94900000000000007</v>
      </c>
      <c r="AA990">
        <v>0</v>
      </c>
      <c r="AB990">
        <v>442.39800000000002</v>
      </c>
      <c r="AC990" s="2043">
        <v>79671115</v>
      </c>
      <c r="AD990">
        <v>265177</v>
      </c>
      <c r="AE990" s="2043">
        <v>1026953</v>
      </c>
      <c r="AF990">
        <v>1.0517000000000001</v>
      </c>
      <c r="AG990">
        <v>0</v>
      </c>
      <c r="AH990">
        <v>0</v>
      </c>
      <c r="AI990">
        <v>0</v>
      </c>
      <c r="AJ990">
        <v>73.900000000000006</v>
      </c>
      <c r="AK990">
        <v>1924</v>
      </c>
      <c r="AL990">
        <v>0</v>
      </c>
      <c r="AM990">
        <v>0</v>
      </c>
      <c r="AN990">
        <v>19.701000000000001</v>
      </c>
      <c r="AO990">
        <v>0</v>
      </c>
      <c r="AP990">
        <v>0</v>
      </c>
      <c r="AQ990">
        <v>0</v>
      </c>
      <c r="AR990">
        <v>7.7790000000000008</v>
      </c>
      <c r="AS990">
        <v>0</v>
      </c>
      <c r="AT990">
        <v>1.605</v>
      </c>
      <c r="AU990">
        <v>1.1890000000000001</v>
      </c>
      <c r="AV990">
        <v>0</v>
      </c>
      <c r="AW990">
        <v>10.573</v>
      </c>
      <c r="AX990">
        <v>0</v>
      </c>
      <c r="AY990">
        <v>34.097000000000001</v>
      </c>
      <c r="AZ990">
        <v>0</v>
      </c>
      <c r="BA990">
        <v>5439108</v>
      </c>
      <c r="BB990">
        <v>1292130</v>
      </c>
      <c r="BC990">
        <v>0</v>
      </c>
      <c r="BD990">
        <v>8230</v>
      </c>
      <c r="BE990">
        <v>0</v>
      </c>
      <c r="BF990">
        <v>11695</v>
      </c>
      <c r="BG990">
        <v>8230</v>
      </c>
      <c r="BH990">
        <v>3465</v>
      </c>
      <c r="BI990">
        <v>0</v>
      </c>
      <c r="BJ990">
        <v>0</v>
      </c>
      <c r="BK990">
        <v>0</v>
      </c>
      <c r="BL990">
        <v>87362221</v>
      </c>
      <c r="BM990">
        <v>0</v>
      </c>
      <c r="BN990">
        <v>1485</v>
      </c>
      <c r="BO990">
        <v>1477</v>
      </c>
      <c r="BP990">
        <v>0</v>
      </c>
      <c r="BQ990">
        <v>0</v>
      </c>
      <c r="BR990">
        <v>0.91339999999999999</v>
      </c>
      <c r="BS990">
        <v>0.91339999999999999</v>
      </c>
      <c r="BT990">
        <v>0</v>
      </c>
      <c r="BU990">
        <v>0</v>
      </c>
      <c r="BV990">
        <v>14</v>
      </c>
      <c r="BW990">
        <v>64</v>
      </c>
      <c r="BX990">
        <v>209</v>
      </c>
      <c r="BY990">
        <v>0</v>
      </c>
      <c r="BZ990">
        <v>12</v>
      </c>
      <c r="CA990">
        <v>299</v>
      </c>
      <c r="CB990">
        <v>0</v>
      </c>
      <c r="CC990">
        <v>0</v>
      </c>
      <c r="CD990">
        <v>0</v>
      </c>
      <c r="CE990">
        <v>74</v>
      </c>
      <c r="CF990">
        <v>78.019000000000005</v>
      </c>
      <c r="CG990">
        <v>0</v>
      </c>
      <c r="CH990">
        <v>0</v>
      </c>
      <c r="CI990">
        <v>0</v>
      </c>
      <c r="CJ990">
        <v>2</v>
      </c>
      <c r="CK990">
        <v>0</v>
      </c>
      <c r="CL990">
        <v>0</v>
      </c>
      <c r="CM990">
        <v>8.479000000000001</v>
      </c>
      <c r="CN990">
        <v>0</v>
      </c>
      <c r="CO990">
        <v>0</v>
      </c>
      <c r="CP990">
        <v>0</v>
      </c>
      <c r="CQ990">
        <v>0</v>
      </c>
      <c r="CR990">
        <v>0</v>
      </c>
      <c r="CS990">
        <v>0</v>
      </c>
      <c r="CT990">
        <v>0</v>
      </c>
      <c r="CU990">
        <v>3.2910000000000004</v>
      </c>
      <c r="CV990">
        <v>42.097000000000001</v>
      </c>
      <c r="CW990">
        <v>15.72</v>
      </c>
      <c r="CX990">
        <v>0</v>
      </c>
      <c r="CY990" s="2043">
        <v>0</v>
      </c>
      <c r="CZ990" s="2043">
        <v>0</v>
      </c>
      <c r="DA990" s="2043">
        <v>0</v>
      </c>
      <c r="DB990" s="2043">
        <v>0</v>
      </c>
      <c r="DC990" s="2043">
        <v>0</v>
      </c>
      <c r="DI990" t="s">
        <v>3187</v>
      </c>
      <c r="DJ990" t="s">
        <v>3187</v>
      </c>
      <c r="DK990" s="2042">
        <f t="shared" si="17"/>
        <v>0</v>
      </c>
    </row>
    <row r="991" spans="1:115">
      <c r="A991" t="s">
        <v>5244</v>
      </c>
      <c r="B991" t="s">
        <v>1583</v>
      </c>
      <c r="C991">
        <v>1388.0050000000001</v>
      </c>
      <c r="D991">
        <v>1390.0810000000001</v>
      </c>
      <c r="E991">
        <v>201.75400000000002</v>
      </c>
      <c r="F991">
        <v>0</v>
      </c>
      <c r="G991" s="2043">
        <v>811187537</v>
      </c>
      <c r="H991">
        <v>0</v>
      </c>
      <c r="I991" s="2043">
        <v>1565450</v>
      </c>
      <c r="J991">
        <v>69.400000000000006</v>
      </c>
      <c r="K991">
        <v>190</v>
      </c>
      <c r="L991">
        <v>0</v>
      </c>
      <c r="M991">
        <v>0</v>
      </c>
      <c r="N991">
        <v>0</v>
      </c>
      <c r="O991">
        <v>0</v>
      </c>
      <c r="P991">
        <v>0</v>
      </c>
      <c r="Q991">
        <v>0</v>
      </c>
      <c r="R991" s="2043">
        <v>6981955</v>
      </c>
      <c r="S991">
        <v>382196</v>
      </c>
      <c r="T991">
        <v>0</v>
      </c>
      <c r="U991">
        <v>0.05</v>
      </c>
      <c r="V991">
        <v>0</v>
      </c>
      <c r="W991">
        <v>0</v>
      </c>
      <c r="X991">
        <v>0</v>
      </c>
      <c r="Y991">
        <v>0</v>
      </c>
      <c r="Z991">
        <v>0</v>
      </c>
      <c r="AA991">
        <v>0</v>
      </c>
      <c r="AB991">
        <v>1390.0810000000001</v>
      </c>
      <c r="AC991" s="2043">
        <v>868188713</v>
      </c>
      <c r="AD991">
        <v>1937304</v>
      </c>
      <c r="AE991" s="2043">
        <v>7364151</v>
      </c>
      <c r="AF991">
        <v>0.96340000000000003</v>
      </c>
      <c r="AG991">
        <v>0</v>
      </c>
      <c r="AH991">
        <v>0</v>
      </c>
      <c r="AI991">
        <v>0</v>
      </c>
      <c r="AJ991">
        <v>190.43800000000002</v>
      </c>
      <c r="AK991">
        <v>4399</v>
      </c>
      <c r="AL991">
        <v>4.5000000000000005E-2</v>
      </c>
      <c r="AM991">
        <v>0</v>
      </c>
      <c r="AN991">
        <v>37.496000000000002</v>
      </c>
      <c r="AO991">
        <v>0</v>
      </c>
      <c r="AP991">
        <v>0</v>
      </c>
      <c r="AQ991">
        <v>0</v>
      </c>
      <c r="AR991">
        <v>28.806000000000001</v>
      </c>
      <c r="AS991">
        <v>0</v>
      </c>
      <c r="AT991">
        <v>8.532</v>
      </c>
      <c r="AU991">
        <v>2.4730000000000003</v>
      </c>
      <c r="AV991">
        <v>0</v>
      </c>
      <c r="AW991">
        <v>39.856000000000002</v>
      </c>
      <c r="AX991">
        <v>0</v>
      </c>
      <c r="AY991">
        <v>124.604</v>
      </c>
      <c r="AZ991">
        <v>0</v>
      </c>
      <c r="BA991">
        <v>6060994</v>
      </c>
      <c r="BB991">
        <v>9301455</v>
      </c>
      <c r="BC991">
        <v>0</v>
      </c>
      <c r="BD991">
        <v>72562</v>
      </c>
      <c r="BE991">
        <v>36665</v>
      </c>
      <c r="BF991">
        <v>109227</v>
      </c>
      <c r="BG991">
        <v>72562</v>
      </c>
      <c r="BH991">
        <v>0</v>
      </c>
      <c r="BI991">
        <v>0</v>
      </c>
      <c r="BJ991">
        <v>0</v>
      </c>
      <c r="BK991">
        <v>0</v>
      </c>
      <c r="BL991">
        <v>811187537</v>
      </c>
      <c r="BM991">
        <v>0</v>
      </c>
      <c r="BN991">
        <v>5949</v>
      </c>
      <c r="BO991">
        <v>5115</v>
      </c>
      <c r="BP991">
        <v>0</v>
      </c>
      <c r="BQ991">
        <v>0</v>
      </c>
      <c r="BR991">
        <v>0.91339999999999999</v>
      </c>
      <c r="BS991">
        <v>0.91339999999999999</v>
      </c>
      <c r="BT991">
        <v>0</v>
      </c>
      <c r="BU991">
        <v>0</v>
      </c>
      <c r="BV991">
        <v>282</v>
      </c>
      <c r="BW991">
        <v>295</v>
      </c>
      <c r="BX991">
        <v>17</v>
      </c>
      <c r="BY991">
        <v>54</v>
      </c>
      <c r="BZ991">
        <v>140</v>
      </c>
      <c r="CA991">
        <v>788</v>
      </c>
      <c r="CB991">
        <v>0</v>
      </c>
      <c r="CC991">
        <v>0</v>
      </c>
      <c r="CD991">
        <v>0</v>
      </c>
      <c r="CE991">
        <v>85</v>
      </c>
      <c r="CF991">
        <v>307.74700000000001</v>
      </c>
      <c r="CG991">
        <v>0</v>
      </c>
      <c r="CH991">
        <v>0</v>
      </c>
      <c r="CI991">
        <v>0</v>
      </c>
      <c r="CJ991">
        <v>3</v>
      </c>
      <c r="CK991">
        <v>0</v>
      </c>
      <c r="CL991">
        <v>0</v>
      </c>
      <c r="CM991">
        <v>201.75400000000002</v>
      </c>
      <c r="CN991">
        <v>0</v>
      </c>
      <c r="CO991">
        <v>0</v>
      </c>
      <c r="CP991">
        <v>0</v>
      </c>
      <c r="CQ991">
        <v>0</v>
      </c>
      <c r="CR991">
        <v>0</v>
      </c>
      <c r="CS991">
        <v>0</v>
      </c>
      <c r="CT991">
        <v>0</v>
      </c>
      <c r="CU991">
        <v>0</v>
      </c>
      <c r="CV991">
        <v>98.875</v>
      </c>
      <c r="CW991">
        <v>44.394000000000005</v>
      </c>
      <c r="CX991">
        <v>0</v>
      </c>
      <c r="CY991" s="2043">
        <v>0</v>
      </c>
      <c r="CZ991" s="2043">
        <v>0</v>
      </c>
      <c r="DA991" s="2043">
        <v>0</v>
      </c>
      <c r="DB991" s="2043">
        <v>0</v>
      </c>
      <c r="DC991" s="2043">
        <v>0</v>
      </c>
      <c r="DI991" t="s">
        <v>5244</v>
      </c>
      <c r="DJ991" t="s">
        <v>5244</v>
      </c>
      <c r="DK991" s="2042">
        <f t="shared" si="17"/>
        <v>0</v>
      </c>
    </row>
    <row r="992" spans="1:115">
      <c r="A992" t="s">
        <v>3188</v>
      </c>
      <c r="B992" t="s">
        <v>176</v>
      </c>
      <c r="C992">
        <v>557.51800000000003</v>
      </c>
      <c r="D992">
        <v>558.48300000000006</v>
      </c>
      <c r="E992">
        <v>147.13</v>
      </c>
      <c r="F992">
        <v>0</v>
      </c>
      <c r="G992" s="2043">
        <v>143340858</v>
      </c>
      <c r="H992">
        <v>0</v>
      </c>
      <c r="I992" s="2043">
        <v>676570</v>
      </c>
      <c r="J992">
        <v>27.876000000000001</v>
      </c>
      <c r="K992">
        <v>76</v>
      </c>
      <c r="L992">
        <v>89362</v>
      </c>
      <c r="M992">
        <v>247331</v>
      </c>
      <c r="N992">
        <v>89362</v>
      </c>
      <c r="O992">
        <v>336693</v>
      </c>
      <c r="P992">
        <v>0</v>
      </c>
      <c r="Q992">
        <v>0</v>
      </c>
      <c r="R992" s="2043">
        <v>1142932</v>
      </c>
      <c r="S992">
        <v>101809</v>
      </c>
      <c r="T992">
        <v>71139</v>
      </c>
      <c r="U992">
        <v>0.08</v>
      </c>
      <c r="V992">
        <v>0</v>
      </c>
      <c r="W992">
        <v>0</v>
      </c>
      <c r="X992">
        <v>0</v>
      </c>
      <c r="Y992">
        <v>0</v>
      </c>
      <c r="Z992">
        <v>0</v>
      </c>
      <c r="AA992">
        <v>0</v>
      </c>
      <c r="AB992">
        <v>558.48300000000006</v>
      </c>
      <c r="AC992" s="2043">
        <v>134484841</v>
      </c>
      <c r="AD992">
        <v>483820</v>
      </c>
      <c r="AE992" s="2043">
        <v>1315880</v>
      </c>
      <c r="AF992">
        <v>1.034</v>
      </c>
      <c r="AG992">
        <v>0</v>
      </c>
      <c r="AH992">
        <v>0</v>
      </c>
      <c r="AI992">
        <v>0</v>
      </c>
      <c r="AJ992">
        <v>115.075</v>
      </c>
      <c r="AK992">
        <v>2937</v>
      </c>
      <c r="AL992">
        <v>0.13300000000000001</v>
      </c>
      <c r="AM992">
        <v>0</v>
      </c>
      <c r="AN992">
        <v>17.372</v>
      </c>
      <c r="AO992">
        <v>0</v>
      </c>
      <c r="AP992">
        <v>0</v>
      </c>
      <c r="AQ992">
        <v>0</v>
      </c>
      <c r="AR992">
        <v>17.539000000000001</v>
      </c>
      <c r="AS992">
        <v>0</v>
      </c>
      <c r="AT992">
        <v>2.7829999999999999</v>
      </c>
      <c r="AU992">
        <v>1.597</v>
      </c>
      <c r="AV992">
        <v>0</v>
      </c>
      <c r="AW992">
        <v>22.052</v>
      </c>
      <c r="AX992">
        <v>0</v>
      </c>
      <c r="AY992">
        <v>69.616</v>
      </c>
      <c r="AZ992">
        <v>0</v>
      </c>
      <c r="BA992">
        <v>6587615</v>
      </c>
      <c r="BB992">
        <v>1799700</v>
      </c>
      <c r="BC992">
        <v>0</v>
      </c>
      <c r="BD992">
        <v>56160</v>
      </c>
      <c r="BE992">
        <v>6610</v>
      </c>
      <c r="BF992">
        <v>80813</v>
      </c>
      <c r="BG992">
        <v>56160</v>
      </c>
      <c r="BH992">
        <v>18043</v>
      </c>
      <c r="BI992">
        <v>0</v>
      </c>
      <c r="BJ992">
        <v>0</v>
      </c>
      <c r="BK992">
        <v>0</v>
      </c>
      <c r="BL992">
        <v>143340858</v>
      </c>
      <c r="BM992">
        <v>0</v>
      </c>
      <c r="BN992">
        <v>1962</v>
      </c>
      <c r="BO992">
        <v>1744</v>
      </c>
      <c r="BP992">
        <v>0</v>
      </c>
      <c r="BQ992">
        <v>0</v>
      </c>
      <c r="BR992">
        <v>0.89810000000000001</v>
      </c>
      <c r="BS992">
        <v>0.89810000000000001</v>
      </c>
      <c r="BT992">
        <v>0</v>
      </c>
      <c r="BU992">
        <v>0</v>
      </c>
      <c r="BV992">
        <v>17</v>
      </c>
      <c r="BW992">
        <v>150</v>
      </c>
      <c r="BX992">
        <v>272</v>
      </c>
      <c r="BY992">
        <v>28</v>
      </c>
      <c r="BZ992">
        <v>1</v>
      </c>
      <c r="CA992">
        <v>468</v>
      </c>
      <c r="CB992">
        <v>0</v>
      </c>
      <c r="CC992">
        <v>0</v>
      </c>
      <c r="CD992">
        <v>0</v>
      </c>
      <c r="CE992">
        <v>36</v>
      </c>
      <c r="CF992">
        <v>201.3</v>
      </c>
      <c r="CG992">
        <v>0</v>
      </c>
      <c r="CH992">
        <v>0</v>
      </c>
      <c r="CI992">
        <v>2</v>
      </c>
      <c r="CJ992">
        <v>1</v>
      </c>
      <c r="CK992">
        <v>0</v>
      </c>
      <c r="CL992">
        <v>0</v>
      </c>
      <c r="CM992">
        <v>147.13</v>
      </c>
      <c r="CN992">
        <v>0</v>
      </c>
      <c r="CO992">
        <v>0</v>
      </c>
      <c r="CP992">
        <v>0</v>
      </c>
      <c r="CQ992">
        <v>0</v>
      </c>
      <c r="CR992">
        <v>0</v>
      </c>
      <c r="CS992">
        <v>0</v>
      </c>
      <c r="CT992">
        <v>0</v>
      </c>
      <c r="CU992">
        <v>0.63400000000000001</v>
      </c>
      <c r="CV992">
        <v>28.612000000000002</v>
      </c>
      <c r="CW992">
        <v>24.746000000000002</v>
      </c>
      <c r="CX992">
        <v>0</v>
      </c>
      <c r="CY992" s="2043">
        <v>0</v>
      </c>
      <c r="CZ992" s="2043">
        <v>0</v>
      </c>
      <c r="DA992" s="2043">
        <v>0</v>
      </c>
      <c r="DB992" s="2043">
        <v>0</v>
      </c>
      <c r="DC992" s="2043">
        <v>0</v>
      </c>
      <c r="DI992" t="s">
        <v>3188</v>
      </c>
      <c r="DJ992" t="s">
        <v>3188</v>
      </c>
      <c r="DK992" s="2042">
        <f t="shared" si="17"/>
        <v>0</v>
      </c>
    </row>
    <row r="993" spans="1:115">
      <c r="A993" t="s">
        <v>5873</v>
      </c>
      <c r="B993" t="s">
        <v>1310</v>
      </c>
      <c r="C993">
        <v>804.90100000000007</v>
      </c>
      <c r="D993">
        <v>802.69200000000001</v>
      </c>
      <c r="E993">
        <v>15.953000000000001</v>
      </c>
      <c r="F993">
        <v>0</v>
      </c>
      <c r="G993" s="2043">
        <v>700757183</v>
      </c>
      <c r="H993">
        <v>0</v>
      </c>
      <c r="I993" s="2043">
        <v>0</v>
      </c>
      <c r="J993">
        <v>40.245000000000005</v>
      </c>
      <c r="K993">
        <v>110</v>
      </c>
      <c r="L993">
        <v>0</v>
      </c>
      <c r="M993">
        <v>0</v>
      </c>
      <c r="N993">
        <v>0</v>
      </c>
      <c r="O993">
        <v>0</v>
      </c>
      <c r="P993">
        <v>0</v>
      </c>
      <c r="Q993">
        <v>0</v>
      </c>
      <c r="R993" s="2043">
        <v>4790005</v>
      </c>
      <c r="S993">
        <v>289566</v>
      </c>
      <c r="T993">
        <v>0</v>
      </c>
      <c r="U993">
        <v>0.05</v>
      </c>
      <c r="V993">
        <v>0</v>
      </c>
      <c r="W993">
        <v>0</v>
      </c>
      <c r="X993">
        <v>0</v>
      </c>
      <c r="Y993">
        <v>747102</v>
      </c>
      <c r="Z993">
        <v>0</v>
      </c>
      <c r="AA993">
        <v>0.39700000000000002</v>
      </c>
      <c r="AB993">
        <v>802.69200000000001</v>
      </c>
      <c r="AC993" s="2043">
        <v>494304317</v>
      </c>
      <c r="AD993">
        <v>0</v>
      </c>
      <c r="AE993" s="2043">
        <v>5079571</v>
      </c>
      <c r="AF993">
        <v>0.87709999999999999</v>
      </c>
      <c r="AG993">
        <v>0</v>
      </c>
      <c r="AH993">
        <v>0</v>
      </c>
      <c r="AI993">
        <v>0</v>
      </c>
      <c r="AJ993">
        <v>130.863</v>
      </c>
      <c r="AK993">
        <v>4117</v>
      </c>
      <c r="AL993">
        <v>0</v>
      </c>
      <c r="AM993">
        <v>0</v>
      </c>
      <c r="AN993">
        <v>13.102</v>
      </c>
      <c r="AO993">
        <v>0</v>
      </c>
      <c r="AP993">
        <v>0</v>
      </c>
      <c r="AQ993">
        <v>0</v>
      </c>
      <c r="AR993">
        <v>26.235000000000003</v>
      </c>
      <c r="AS993">
        <v>0</v>
      </c>
      <c r="AT993">
        <v>11.382</v>
      </c>
      <c r="AU993">
        <v>1.302</v>
      </c>
      <c r="AV993">
        <v>0</v>
      </c>
      <c r="AW993">
        <v>38.919000000000004</v>
      </c>
      <c r="AX993">
        <v>0</v>
      </c>
      <c r="AY993">
        <v>119.361</v>
      </c>
      <c r="AZ993">
        <v>0</v>
      </c>
      <c r="BA993">
        <v>3991518</v>
      </c>
      <c r="BB993">
        <v>5079571</v>
      </c>
      <c r="BC993">
        <v>0</v>
      </c>
      <c r="BD993">
        <v>124210</v>
      </c>
      <c r="BE993">
        <v>28607</v>
      </c>
      <c r="BF993">
        <v>152817</v>
      </c>
      <c r="BG993">
        <v>124210</v>
      </c>
      <c r="BH993">
        <v>0</v>
      </c>
      <c r="BI993">
        <v>0</v>
      </c>
      <c r="BJ993">
        <v>0</v>
      </c>
      <c r="BK993">
        <v>0</v>
      </c>
      <c r="BL993">
        <v>700757183</v>
      </c>
      <c r="BM993">
        <v>0</v>
      </c>
      <c r="BN993">
        <v>3348</v>
      </c>
      <c r="BO993">
        <v>2707</v>
      </c>
      <c r="BP993">
        <v>0</v>
      </c>
      <c r="BQ993">
        <v>0</v>
      </c>
      <c r="BR993">
        <v>0.82710000000000006</v>
      </c>
      <c r="BS993">
        <v>0.82710000000000006</v>
      </c>
      <c r="BT993">
        <v>0</v>
      </c>
      <c r="BU993">
        <v>0</v>
      </c>
      <c r="BV993">
        <v>142</v>
      </c>
      <c r="BW993">
        <v>215</v>
      </c>
      <c r="BX993">
        <v>33</v>
      </c>
      <c r="BY993">
        <v>132</v>
      </c>
      <c r="BZ993">
        <v>18</v>
      </c>
      <c r="CA993">
        <v>540</v>
      </c>
      <c r="CB993">
        <v>0</v>
      </c>
      <c r="CC993">
        <v>0</v>
      </c>
      <c r="CD993">
        <v>0</v>
      </c>
      <c r="CE993">
        <v>48</v>
      </c>
      <c r="CF993">
        <v>149.30100000000002</v>
      </c>
      <c r="CG993">
        <v>0</v>
      </c>
      <c r="CH993">
        <v>0</v>
      </c>
      <c r="CI993">
        <v>0</v>
      </c>
      <c r="CJ993">
        <v>1</v>
      </c>
      <c r="CK993">
        <v>0</v>
      </c>
      <c r="CL993">
        <v>0</v>
      </c>
      <c r="CM993">
        <v>15.953000000000001</v>
      </c>
      <c r="CN993">
        <v>0</v>
      </c>
      <c r="CO993">
        <v>0</v>
      </c>
      <c r="CP993">
        <v>0</v>
      </c>
      <c r="CQ993">
        <v>0</v>
      </c>
      <c r="CR993">
        <v>0</v>
      </c>
      <c r="CS993">
        <v>0</v>
      </c>
      <c r="CT993">
        <v>0</v>
      </c>
      <c r="CU993">
        <v>3.6080000000000001</v>
      </c>
      <c r="CV993">
        <v>23.187000000000001</v>
      </c>
      <c r="CW993">
        <v>19.789000000000001</v>
      </c>
      <c r="CX993">
        <v>0</v>
      </c>
      <c r="CY993" s="2043">
        <v>747102</v>
      </c>
      <c r="CZ993" s="2043">
        <v>0</v>
      </c>
      <c r="DA993" s="2043">
        <v>0</v>
      </c>
      <c r="DB993" s="2043">
        <v>0</v>
      </c>
      <c r="DC993" s="2043">
        <v>0</v>
      </c>
      <c r="DI993" t="s">
        <v>5245</v>
      </c>
      <c r="DJ993" t="s">
        <v>5873</v>
      </c>
      <c r="DK993" s="2042">
        <f t="shared" si="17"/>
        <v>-989</v>
      </c>
    </row>
    <row r="994" spans="1:115">
      <c r="A994" t="s">
        <v>5245</v>
      </c>
      <c r="B994" t="s">
        <v>1584</v>
      </c>
      <c r="C994">
        <v>984.27600000000007</v>
      </c>
      <c r="D994">
        <v>959.73599999999999</v>
      </c>
      <c r="E994">
        <v>116.738</v>
      </c>
      <c r="F994">
        <v>0</v>
      </c>
      <c r="G994" s="2043">
        <v>335479239</v>
      </c>
      <c r="H994">
        <v>0</v>
      </c>
      <c r="I994" s="2043">
        <v>1085888</v>
      </c>
      <c r="J994">
        <v>49.214000000000006</v>
      </c>
      <c r="K994">
        <v>135</v>
      </c>
      <c r="L994">
        <v>0</v>
      </c>
      <c r="M994">
        <v>0</v>
      </c>
      <c r="N994">
        <v>0</v>
      </c>
      <c r="O994">
        <v>0</v>
      </c>
      <c r="P994">
        <v>0</v>
      </c>
      <c r="Q994">
        <v>0</v>
      </c>
      <c r="R994" s="2043">
        <v>2817432</v>
      </c>
      <c r="S994">
        <v>154228</v>
      </c>
      <c r="T994">
        <v>0</v>
      </c>
      <c r="U994">
        <v>0.05</v>
      </c>
      <c r="V994">
        <v>0</v>
      </c>
      <c r="W994">
        <v>0</v>
      </c>
      <c r="X994">
        <v>0</v>
      </c>
      <c r="Y994">
        <v>0</v>
      </c>
      <c r="Z994">
        <v>0</v>
      </c>
      <c r="AA994">
        <v>0.29200000000000004</v>
      </c>
      <c r="AB994">
        <v>959.73599999999999</v>
      </c>
      <c r="AC994" s="2043">
        <v>385044735</v>
      </c>
      <c r="AD994">
        <v>1008002</v>
      </c>
      <c r="AE994" s="2043">
        <v>2971660</v>
      </c>
      <c r="AF994">
        <v>0.96340000000000003</v>
      </c>
      <c r="AG994">
        <v>0</v>
      </c>
      <c r="AH994">
        <v>0</v>
      </c>
      <c r="AI994">
        <v>0</v>
      </c>
      <c r="AJ994">
        <v>185.01300000000001</v>
      </c>
      <c r="AK994">
        <v>4235</v>
      </c>
      <c r="AL994">
        <v>0</v>
      </c>
      <c r="AM994">
        <v>0</v>
      </c>
      <c r="AN994">
        <v>25.529</v>
      </c>
      <c r="AO994">
        <v>0</v>
      </c>
      <c r="AP994">
        <v>0</v>
      </c>
      <c r="AQ994">
        <v>0</v>
      </c>
      <c r="AR994">
        <v>28.617000000000001</v>
      </c>
      <c r="AS994">
        <v>0</v>
      </c>
      <c r="AT994">
        <v>5.87</v>
      </c>
      <c r="AU994">
        <v>2.5870000000000002</v>
      </c>
      <c r="AV994">
        <v>0</v>
      </c>
      <c r="AW994">
        <v>37.074000000000005</v>
      </c>
      <c r="AX994">
        <v>0</v>
      </c>
      <c r="AY994">
        <v>116.396</v>
      </c>
      <c r="AZ994">
        <v>0</v>
      </c>
      <c r="BA994">
        <v>8080059</v>
      </c>
      <c r="BB994">
        <v>3979662</v>
      </c>
      <c r="BC994">
        <v>0</v>
      </c>
      <c r="BD994">
        <v>96410</v>
      </c>
      <c r="BE994">
        <v>52264</v>
      </c>
      <c r="BF994">
        <v>155762</v>
      </c>
      <c r="BG994">
        <v>96410</v>
      </c>
      <c r="BH994">
        <v>7088</v>
      </c>
      <c r="BI994">
        <v>0</v>
      </c>
      <c r="BJ994">
        <v>0</v>
      </c>
      <c r="BK994">
        <v>0</v>
      </c>
      <c r="BL994">
        <v>335479239</v>
      </c>
      <c r="BM994">
        <v>0</v>
      </c>
      <c r="BN994">
        <v>3960</v>
      </c>
      <c r="BO994">
        <v>2215</v>
      </c>
      <c r="BP994">
        <v>0</v>
      </c>
      <c r="BQ994">
        <v>0</v>
      </c>
      <c r="BR994">
        <v>0.91339999999999999</v>
      </c>
      <c r="BS994">
        <v>0.91339999999999999</v>
      </c>
      <c r="BT994">
        <v>0</v>
      </c>
      <c r="BU994">
        <v>0</v>
      </c>
      <c r="BV994">
        <v>135</v>
      </c>
      <c r="BW994">
        <v>313</v>
      </c>
      <c r="BX994">
        <v>166</v>
      </c>
      <c r="BY994">
        <v>86</v>
      </c>
      <c r="BZ994">
        <v>59</v>
      </c>
      <c r="CA994">
        <v>759</v>
      </c>
      <c r="CB994">
        <v>0</v>
      </c>
      <c r="CC994">
        <v>0</v>
      </c>
      <c r="CD994">
        <v>0</v>
      </c>
      <c r="CE994">
        <v>63</v>
      </c>
      <c r="CF994">
        <v>241.37700000000001</v>
      </c>
      <c r="CG994">
        <v>0</v>
      </c>
      <c r="CH994">
        <v>0</v>
      </c>
      <c r="CI994">
        <v>3</v>
      </c>
      <c r="CJ994">
        <v>1</v>
      </c>
      <c r="CK994">
        <v>0</v>
      </c>
      <c r="CL994">
        <v>0</v>
      </c>
      <c r="CM994">
        <v>116.738</v>
      </c>
      <c r="CN994">
        <v>0</v>
      </c>
      <c r="CO994">
        <v>0</v>
      </c>
      <c r="CP994">
        <v>0</v>
      </c>
      <c r="CQ994">
        <v>0</v>
      </c>
      <c r="CR994">
        <v>0</v>
      </c>
      <c r="CS994">
        <v>0</v>
      </c>
      <c r="CT994">
        <v>0</v>
      </c>
      <c r="CU994">
        <v>2.8810000000000002</v>
      </c>
      <c r="CV994">
        <v>37.108000000000004</v>
      </c>
      <c r="CW994">
        <v>14.429</v>
      </c>
      <c r="CX994">
        <v>0</v>
      </c>
      <c r="CY994" s="2043">
        <v>0</v>
      </c>
      <c r="CZ994" s="2043">
        <v>0</v>
      </c>
      <c r="DA994" s="2043">
        <v>0</v>
      </c>
      <c r="DB994" s="2043">
        <v>0</v>
      </c>
      <c r="DC994" s="2043">
        <v>0</v>
      </c>
      <c r="DI994" t="s">
        <v>5873</v>
      </c>
      <c r="DJ994" t="s">
        <v>5245</v>
      </c>
      <c r="DK994" s="2042">
        <f t="shared" si="17"/>
        <v>989</v>
      </c>
    </row>
    <row r="995" spans="1:115">
      <c r="A995" t="s">
        <v>3189</v>
      </c>
      <c r="B995" t="s">
        <v>1311</v>
      </c>
      <c r="C995">
        <v>503.99</v>
      </c>
      <c r="D995">
        <v>495.64300000000003</v>
      </c>
      <c r="E995">
        <v>2.4830000000000001</v>
      </c>
      <c r="F995">
        <v>0</v>
      </c>
      <c r="G995" s="2043">
        <v>175915941</v>
      </c>
      <c r="H995">
        <v>0</v>
      </c>
      <c r="I995" s="2043">
        <v>559425</v>
      </c>
      <c r="J995">
        <v>25.2</v>
      </c>
      <c r="K995">
        <v>69</v>
      </c>
      <c r="L995">
        <v>388</v>
      </c>
      <c r="M995">
        <v>142191</v>
      </c>
      <c r="N995">
        <v>388</v>
      </c>
      <c r="O995">
        <v>142579</v>
      </c>
      <c r="P995">
        <v>0</v>
      </c>
      <c r="Q995">
        <v>0</v>
      </c>
      <c r="R995" s="2043">
        <v>1438091</v>
      </c>
      <c r="S995">
        <v>83756</v>
      </c>
      <c r="T995">
        <v>0</v>
      </c>
      <c r="U995">
        <v>0.05</v>
      </c>
      <c r="V995">
        <v>0</v>
      </c>
      <c r="W995">
        <v>0</v>
      </c>
      <c r="X995">
        <v>0</v>
      </c>
      <c r="Y995">
        <v>0</v>
      </c>
      <c r="Z995">
        <v>0</v>
      </c>
      <c r="AA995">
        <v>9.5000000000000001E-2</v>
      </c>
      <c r="AB995">
        <v>495.64300000000003</v>
      </c>
      <c r="AC995" s="2043">
        <v>132695694</v>
      </c>
      <c r="AD995">
        <v>535450</v>
      </c>
      <c r="AE995" s="2043">
        <v>1521847</v>
      </c>
      <c r="AF995">
        <v>0.90850000000000009</v>
      </c>
      <c r="AG995">
        <v>0</v>
      </c>
      <c r="AH995">
        <v>0</v>
      </c>
      <c r="AI995">
        <v>0</v>
      </c>
      <c r="AJ995">
        <v>102.21300000000001</v>
      </c>
      <c r="AK995">
        <v>3558</v>
      </c>
      <c r="AL995">
        <v>5.3999999999999999E-2</v>
      </c>
      <c r="AM995">
        <v>0</v>
      </c>
      <c r="AN995">
        <v>34.576999999999998</v>
      </c>
      <c r="AO995">
        <v>0</v>
      </c>
      <c r="AP995">
        <v>7.5180000000000007</v>
      </c>
      <c r="AQ995">
        <v>0</v>
      </c>
      <c r="AR995">
        <v>13.368</v>
      </c>
      <c r="AS995">
        <v>0</v>
      </c>
      <c r="AT995">
        <v>0.41500000000000004</v>
      </c>
      <c r="AU995">
        <v>0.96500000000000008</v>
      </c>
      <c r="AV995">
        <v>0</v>
      </c>
      <c r="AW995">
        <v>22.32</v>
      </c>
      <c r="AX995">
        <v>0</v>
      </c>
      <c r="AY995">
        <v>66.743000000000009</v>
      </c>
      <c r="AZ995">
        <v>0</v>
      </c>
      <c r="BA995">
        <v>5296891</v>
      </c>
      <c r="BB995">
        <v>2057297</v>
      </c>
      <c r="BC995">
        <v>0</v>
      </c>
      <c r="BD995">
        <v>32921</v>
      </c>
      <c r="BE995">
        <v>10988</v>
      </c>
      <c r="BF995">
        <v>43909</v>
      </c>
      <c r="BG995">
        <v>32921</v>
      </c>
      <c r="BH995">
        <v>0</v>
      </c>
      <c r="BI995">
        <v>0</v>
      </c>
      <c r="BJ995">
        <v>0</v>
      </c>
      <c r="BK995">
        <v>0</v>
      </c>
      <c r="BL995">
        <v>175915941</v>
      </c>
      <c r="BM995">
        <v>0</v>
      </c>
      <c r="BN995">
        <v>1710</v>
      </c>
      <c r="BO995">
        <v>1562</v>
      </c>
      <c r="BP995">
        <v>0</v>
      </c>
      <c r="BQ995">
        <v>0</v>
      </c>
      <c r="BR995">
        <v>0.85850000000000004</v>
      </c>
      <c r="BS995">
        <v>0.85850000000000004</v>
      </c>
      <c r="BT995">
        <v>0</v>
      </c>
      <c r="BU995">
        <v>0</v>
      </c>
      <c r="BV995">
        <v>16</v>
      </c>
      <c r="BW995">
        <v>114</v>
      </c>
      <c r="BX995">
        <v>99</v>
      </c>
      <c r="BY995">
        <v>173</v>
      </c>
      <c r="BZ995">
        <v>5</v>
      </c>
      <c r="CA995">
        <v>407</v>
      </c>
      <c r="CB995">
        <v>0</v>
      </c>
      <c r="CC995">
        <v>0</v>
      </c>
      <c r="CD995">
        <v>0</v>
      </c>
      <c r="CE995">
        <v>34</v>
      </c>
      <c r="CF995">
        <v>119.985</v>
      </c>
      <c r="CG995">
        <v>0</v>
      </c>
      <c r="CH995">
        <v>0</v>
      </c>
      <c r="CI995">
        <v>1</v>
      </c>
      <c r="CJ995">
        <v>2</v>
      </c>
      <c r="CK995">
        <v>0</v>
      </c>
      <c r="CL995">
        <v>0</v>
      </c>
      <c r="CM995">
        <v>2.4830000000000001</v>
      </c>
      <c r="CN995">
        <v>0</v>
      </c>
      <c r="CO995">
        <v>0</v>
      </c>
      <c r="CP995">
        <v>0</v>
      </c>
      <c r="CQ995">
        <v>0</v>
      </c>
      <c r="CR995">
        <v>0</v>
      </c>
      <c r="CS995">
        <v>0</v>
      </c>
      <c r="CT995">
        <v>0</v>
      </c>
      <c r="CU995">
        <v>8.5969999999999995</v>
      </c>
      <c r="CV995">
        <v>31.195</v>
      </c>
      <c r="CW995">
        <v>29.728000000000002</v>
      </c>
      <c r="CX995">
        <v>0</v>
      </c>
      <c r="CY995" s="2043">
        <v>0</v>
      </c>
      <c r="CZ995" s="2043">
        <v>0</v>
      </c>
      <c r="DA995" s="2043">
        <v>0</v>
      </c>
      <c r="DB995" s="2043">
        <v>0</v>
      </c>
      <c r="DC995" s="2043">
        <v>0</v>
      </c>
      <c r="DI995" t="s">
        <v>3189</v>
      </c>
      <c r="DJ995" t="s">
        <v>3189</v>
      </c>
      <c r="DK995" s="2042">
        <f t="shared" si="17"/>
        <v>0</v>
      </c>
    </row>
    <row r="996" spans="1:115">
      <c r="A996" t="s">
        <v>3190</v>
      </c>
      <c r="B996" t="s">
        <v>1312</v>
      </c>
      <c r="C996">
        <v>587.41399999999999</v>
      </c>
      <c r="D996">
        <v>652.21800000000007</v>
      </c>
      <c r="E996">
        <v>76.38600000000001</v>
      </c>
      <c r="F996">
        <v>0</v>
      </c>
      <c r="G996" s="2043">
        <v>455680031</v>
      </c>
      <c r="H996">
        <v>0</v>
      </c>
      <c r="I996" s="2043">
        <v>1357390</v>
      </c>
      <c r="J996">
        <v>23</v>
      </c>
      <c r="K996">
        <v>63</v>
      </c>
      <c r="L996">
        <v>0</v>
      </c>
      <c r="M996">
        <v>0</v>
      </c>
      <c r="N996">
        <v>0</v>
      </c>
      <c r="O996">
        <v>0</v>
      </c>
      <c r="P996">
        <v>0</v>
      </c>
      <c r="Q996">
        <v>0</v>
      </c>
      <c r="R996" s="2043">
        <v>4845515</v>
      </c>
      <c r="S996">
        <v>319485</v>
      </c>
      <c r="T996">
        <v>0</v>
      </c>
      <c r="U996">
        <v>0.06</v>
      </c>
      <c r="V996">
        <v>0</v>
      </c>
      <c r="W996">
        <v>0</v>
      </c>
      <c r="X996">
        <v>0</v>
      </c>
      <c r="Y996">
        <v>0</v>
      </c>
      <c r="Z996">
        <v>0</v>
      </c>
      <c r="AA996">
        <v>0.154</v>
      </c>
      <c r="AB996">
        <v>597.12700000000007</v>
      </c>
      <c r="AC996" s="2043">
        <v>371465059</v>
      </c>
      <c r="AD996">
        <v>1610000</v>
      </c>
      <c r="AE996" s="2043">
        <v>5165000</v>
      </c>
      <c r="AF996">
        <v>0.97</v>
      </c>
      <c r="AG996">
        <v>0</v>
      </c>
      <c r="AH996">
        <v>0</v>
      </c>
      <c r="AI996">
        <v>0</v>
      </c>
      <c r="AJ996">
        <v>131.81300000000002</v>
      </c>
      <c r="AK996">
        <v>3730</v>
      </c>
      <c r="AL996">
        <v>0.16500000000000001</v>
      </c>
      <c r="AM996">
        <v>0</v>
      </c>
      <c r="AN996">
        <v>38.003</v>
      </c>
      <c r="AO996">
        <v>0</v>
      </c>
      <c r="AP996">
        <v>0</v>
      </c>
      <c r="AQ996">
        <v>0</v>
      </c>
      <c r="AR996">
        <v>13.59</v>
      </c>
      <c r="AS996">
        <v>0</v>
      </c>
      <c r="AT996">
        <v>6.9420000000000002</v>
      </c>
      <c r="AU996">
        <v>1.6360000000000001</v>
      </c>
      <c r="AV996">
        <v>0</v>
      </c>
      <c r="AW996">
        <v>22.333000000000002</v>
      </c>
      <c r="AX996">
        <v>0</v>
      </c>
      <c r="AY996">
        <v>70.600999999999999</v>
      </c>
      <c r="AZ996">
        <v>0</v>
      </c>
      <c r="BA996">
        <v>3700394</v>
      </c>
      <c r="BB996">
        <v>6775000</v>
      </c>
      <c r="BC996">
        <v>816</v>
      </c>
      <c r="BD996">
        <v>82560</v>
      </c>
      <c r="BE996">
        <v>20183</v>
      </c>
      <c r="BF996">
        <v>103559</v>
      </c>
      <c r="BG996">
        <v>83376</v>
      </c>
      <c r="BH996">
        <v>0</v>
      </c>
      <c r="BI996">
        <v>0</v>
      </c>
      <c r="BJ996">
        <v>0</v>
      </c>
      <c r="BK996">
        <v>0</v>
      </c>
      <c r="BL996">
        <v>455680031</v>
      </c>
      <c r="BM996">
        <v>0</v>
      </c>
      <c r="BN996">
        <v>2304</v>
      </c>
      <c r="BO996">
        <v>1466</v>
      </c>
      <c r="BP996">
        <v>0</v>
      </c>
      <c r="BQ996">
        <v>0</v>
      </c>
      <c r="BR996">
        <v>0.91</v>
      </c>
      <c r="BS996">
        <v>0.91</v>
      </c>
      <c r="BT996">
        <v>0</v>
      </c>
      <c r="BU996">
        <v>0</v>
      </c>
      <c r="BV996">
        <v>0</v>
      </c>
      <c r="BW996">
        <v>136</v>
      </c>
      <c r="BX996">
        <v>82</v>
      </c>
      <c r="BY996">
        <v>301</v>
      </c>
      <c r="BZ996">
        <v>0</v>
      </c>
      <c r="CA996">
        <v>519</v>
      </c>
      <c r="CB996">
        <v>0</v>
      </c>
      <c r="CC996">
        <v>0</v>
      </c>
      <c r="CD996">
        <v>0</v>
      </c>
      <c r="CE996">
        <v>47</v>
      </c>
      <c r="CF996">
        <v>149.21299999999999</v>
      </c>
      <c r="CG996">
        <v>0</v>
      </c>
      <c r="CH996">
        <v>0</v>
      </c>
      <c r="CI996">
        <v>1</v>
      </c>
      <c r="CJ996">
        <v>0</v>
      </c>
      <c r="CK996">
        <v>0</v>
      </c>
      <c r="CL996">
        <v>0</v>
      </c>
      <c r="CM996">
        <v>76.38600000000001</v>
      </c>
      <c r="CN996">
        <v>0</v>
      </c>
      <c r="CO996">
        <v>0</v>
      </c>
      <c r="CP996">
        <v>0</v>
      </c>
      <c r="CQ996">
        <v>0</v>
      </c>
      <c r="CR996">
        <v>0</v>
      </c>
      <c r="CS996">
        <v>0</v>
      </c>
      <c r="CT996">
        <v>0</v>
      </c>
      <c r="CU996">
        <v>0.184</v>
      </c>
      <c r="CV996">
        <v>42.984999999999999</v>
      </c>
      <c r="CW996">
        <v>24.348000000000003</v>
      </c>
      <c r="CX996">
        <v>0</v>
      </c>
      <c r="CY996" s="2043">
        <v>0</v>
      </c>
      <c r="CZ996" s="2043">
        <v>0</v>
      </c>
      <c r="DA996" s="2043">
        <v>0</v>
      </c>
      <c r="DB996" s="2043">
        <v>0</v>
      </c>
      <c r="DC996" s="2043">
        <v>0</v>
      </c>
      <c r="DI996" t="s">
        <v>3190</v>
      </c>
      <c r="DJ996" t="s">
        <v>3190</v>
      </c>
      <c r="DK996" s="2042">
        <f t="shared" si="17"/>
        <v>0</v>
      </c>
    </row>
    <row r="997" spans="1:115">
      <c r="A997" t="s">
        <v>5874</v>
      </c>
      <c r="B997" t="s">
        <v>1540</v>
      </c>
      <c r="C997">
        <v>327.36400000000003</v>
      </c>
      <c r="D997">
        <v>338.06800000000004</v>
      </c>
      <c r="E997">
        <v>13.842000000000001</v>
      </c>
      <c r="F997">
        <v>0</v>
      </c>
      <c r="G997" s="2043">
        <v>529263817</v>
      </c>
      <c r="H997">
        <v>0</v>
      </c>
      <c r="I997" s="2043">
        <v>0</v>
      </c>
      <c r="J997">
        <v>16.368000000000002</v>
      </c>
      <c r="K997">
        <v>45</v>
      </c>
      <c r="L997">
        <v>0</v>
      </c>
      <c r="M997">
        <v>0</v>
      </c>
      <c r="N997">
        <v>0</v>
      </c>
      <c r="O997">
        <v>0</v>
      </c>
      <c r="P997">
        <v>0</v>
      </c>
      <c r="Q997">
        <v>0</v>
      </c>
      <c r="R997" s="2043">
        <v>4888117</v>
      </c>
      <c r="S997">
        <v>249383</v>
      </c>
      <c r="T997">
        <v>0</v>
      </c>
      <c r="U997">
        <v>0.05</v>
      </c>
      <c r="V997">
        <v>0</v>
      </c>
      <c r="W997">
        <v>586559</v>
      </c>
      <c r="X997">
        <v>0</v>
      </c>
      <c r="Y997">
        <v>211760</v>
      </c>
      <c r="Z997">
        <v>0</v>
      </c>
      <c r="AA997">
        <v>0.10300000000000001</v>
      </c>
      <c r="AB997">
        <v>333.39800000000002</v>
      </c>
      <c r="AC997" s="2043">
        <v>358544936</v>
      </c>
      <c r="AD997">
        <v>741188</v>
      </c>
      <c r="AE997" s="2043">
        <v>5137500</v>
      </c>
      <c r="AF997">
        <v>0.96</v>
      </c>
      <c r="AG997">
        <v>0</v>
      </c>
      <c r="AH997">
        <v>586559</v>
      </c>
      <c r="AI997">
        <v>0</v>
      </c>
      <c r="AJ997">
        <v>70.513000000000005</v>
      </c>
      <c r="AK997">
        <v>2140</v>
      </c>
      <c r="AL997">
        <v>0.114</v>
      </c>
      <c r="AM997">
        <v>0</v>
      </c>
      <c r="AN997">
        <v>28.988000000000003</v>
      </c>
      <c r="AO997">
        <v>0</v>
      </c>
      <c r="AP997">
        <v>0</v>
      </c>
      <c r="AQ997">
        <v>0</v>
      </c>
      <c r="AR997">
        <v>2.3090000000000002</v>
      </c>
      <c r="AS997">
        <v>0</v>
      </c>
      <c r="AT997">
        <v>5.88</v>
      </c>
      <c r="AU997">
        <v>0.60199999999999998</v>
      </c>
      <c r="AV997">
        <v>0</v>
      </c>
      <c r="AW997">
        <v>8.9050000000000011</v>
      </c>
      <c r="AX997">
        <v>0</v>
      </c>
      <c r="AY997">
        <v>28.147000000000002</v>
      </c>
      <c r="AZ997">
        <v>0</v>
      </c>
      <c r="BA997">
        <v>459007</v>
      </c>
      <c r="BB997">
        <v>5878688</v>
      </c>
      <c r="BC997">
        <v>0</v>
      </c>
      <c r="BD997">
        <v>83867</v>
      </c>
      <c r="BE997">
        <v>22291</v>
      </c>
      <c r="BF997">
        <v>106158</v>
      </c>
      <c r="BG997">
        <v>83867</v>
      </c>
      <c r="BH997">
        <v>0</v>
      </c>
      <c r="BI997">
        <v>0</v>
      </c>
      <c r="BJ997">
        <v>0</v>
      </c>
      <c r="BK997">
        <v>0</v>
      </c>
      <c r="BL997">
        <v>529263817</v>
      </c>
      <c r="BM997">
        <v>0</v>
      </c>
      <c r="BN997">
        <v>1179</v>
      </c>
      <c r="BO997">
        <v>1102</v>
      </c>
      <c r="BP997">
        <v>0</v>
      </c>
      <c r="BQ997">
        <v>0</v>
      </c>
      <c r="BR997">
        <v>0.91339999999999999</v>
      </c>
      <c r="BS997">
        <v>0.91339999999999999</v>
      </c>
      <c r="BT997">
        <v>0</v>
      </c>
      <c r="BU997">
        <v>0</v>
      </c>
      <c r="BV997">
        <v>3</v>
      </c>
      <c r="BW997">
        <v>204</v>
      </c>
      <c r="BX997">
        <v>77</v>
      </c>
      <c r="BY997">
        <v>5</v>
      </c>
      <c r="BZ997">
        <v>3</v>
      </c>
      <c r="CA997">
        <v>292</v>
      </c>
      <c r="CB997">
        <v>0</v>
      </c>
      <c r="CC997">
        <v>0</v>
      </c>
      <c r="CD997">
        <v>0</v>
      </c>
      <c r="CE997">
        <v>26</v>
      </c>
      <c r="CF997">
        <v>83.381</v>
      </c>
      <c r="CG997">
        <v>0</v>
      </c>
      <c r="CH997">
        <v>0</v>
      </c>
      <c r="CI997">
        <v>0</v>
      </c>
      <c r="CJ997">
        <v>0</v>
      </c>
      <c r="CK997">
        <v>0</v>
      </c>
      <c r="CL997">
        <v>0</v>
      </c>
      <c r="CM997">
        <v>13.842000000000001</v>
      </c>
      <c r="CN997">
        <v>0</v>
      </c>
      <c r="CO997">
        <v>0</v>
      </c>
      <c r="CP997">
        <v>0</v>
      </c>
      <c r="CQ997">
        <v>0</v>
      </c>
      <c r="CR997">
        <v>0</v>
      </c>
      <c r="CS997">
        <v>0</v>
      </c>
      <c r="CT997">
        <v>0</v>
      </c>
      <c r="CU997">
        <v>10.502000000000001</v>
      </c>
      <c r="CV997">
        <v>29.192</v>
      </c>
      <c r="CW997">
        <v>20.465</v>
      </c>
      <c r="CX997">
        <v>0</v>
      </c>
      <c r="CY997" s="2043">
        <v>211760</v>
      </c>
      <c r="CZ997" s="2043">
        <v>0</v>
      </c>
      <c r="DA997" s="2043">
        <v>0</v>
      </c>
      <c r="DB997" s="2043">
        <v>0</v>
      </c>
      <c r="DC997" s="2043">
        <v>147258</v>
      </c>
      <c r="DI997" t="s">
        <v>5874</v>
      </c>
      <c r="DJ997" t="s">
        <v>5874</v>
      </c>
      <c r="DK997" s="2042">
        <f t="shared" si="17"/>
        <v>0</v>
      </c>
    </row>
    <row r="998" spans="1:115">
      <c r="A998" t="s">
        <v>5246</v>
      </c>
      <c r="B998" t="s">
        <v>1541</v>
      </c>
      <c r="C998">
        <v>1422.018</v>
      </c>
      <c r="D998">
        <v>1394.0890000000002</v>
      </c>
      <c r="E998">
        <v>17.542000000000002</v>
      </c>
      <c r="F998">
        <v>0</v>
      </c>
      <c r="G998" s="2043">
        <v>1651792693</v>
      </c>
      <c r="H998">
        <v>0</v>
      </c>
      <c r="I998" s="2043">
        <v>1337875</v>
      </c>
      <c r="J998">
        <v>71.100999999999999</v>
      </c>
      <c r="K998">
        <v>194</v>
      </c>
      <c r="L998">
        <v>0</v>
      </c>
      <c r="M998">
        <v>0</v>
      </c>
      <c r="N998">
        <v>0</v>
      </c>
      <c r="O998">
        <v>0</v>
      </c>
      <c r="P998">
        <v>0</v>
      </c>
      <c r="Q998">
        <v>0</v>
      </c>
      <c r="R998" s="2043">
        <v>13558860</v>
      </c>
      <c r="S998">
        <v>808253</v>
      </c>
      <c r="T998">
        <v>0</v>
      </c>
      <c r="U998">
        <v>0.05</v>
      </c>
      <c r="V998">
        <v>0</v>
      </c>
      <c r="W998">
        <v>0</v>
      </c>
      <c r="X998">
        <v>0</v>
      </c>
      <c r="Y998">
        <v>762975</v>
      </c>
      <c r="Z998">
        <v>0</v>
      </c>
      <c r="AA998">
        <v>0</v>
      </c>
      <c r="AB998">
        <v>1378.9760000000001</v>
      </c>
      <c r="AC998" s="2043">
        <v>1311390007</v>
      </c>
      <c r="AD998">
        <v>1261766</v>
      </c>
      <c r="AE998" s="2043">
        <v>14367113</v>
      </c>
      <c r="AF998">
        <v>0.871</v>
      </c>
      <c r="AG998">
        <v>0</v>
      </c>
      <c r="AH998">
        <v>0</v>
      </c>
      <c r="AI998">
        <v>0</v>
      </c>
      <c r="AJ998">
        <v>247.08800000000002</v>
      </c>
      <c r="AK998">
        <v>6772</v>
      </c>
      <c r="AL998">
        <v>0.189</v>
      </c>
      <c r="AM998">
        <v>0</v>
      </c>
      <c r="AN998">
        <v>65.245000000000005</v>
      </c>
      <c r="AO998">
        <v>0</v>
      </c>
      <c r="AP998">
        <v>1.1480000000000001</v>
      </c>
      <c r="AQ998">
        <v>0</v>
      </c>
      <c r="AR998">
        <v>47.369</v>
      </c>
      <c r="AS998">
        <v>0</v>
      </c>
      <c r="AT998">
        <v>7.6460000000000008</v>
      </c>
      <c r="AU998">
        <v>2.2909999999999999</v>
      </c>
      <c r="AV998">
        <v>0</v>
      </c>
      <c r="AW998">
        <v>58.903000000000006</v>
      </c>
      <c r="AX998">
        <v>0.26</v>
      </c>
      <c r="AY998">
        <v>181.143</v>
      </c>
      <c r="AZ998">
        <v>0</v>
      </c>
      <c r="BA998">
        <v>1854153</v>
      </c>
      <c r="BB998">
        <v>15628879</v>
      </c>
      <c r="BC998">
        <v>0</v>
      </c>
      <c r="BD998">
        <v>268758</v>
      </c>
      <c r="BE998">
        <v>101477</v>
      </c>
      <c r="BF998">
        <v>370235</v>
      </c>
      <c r="BG998">
        <v>268758</v>
      </c>
      <c r="BH998">
        <v>0</v>
      </c>
      <c r="BI998">
        <v>0</v>
      </c>
      <c r="BJ998">
        <v>0</v>
      </c>
      <c r="BK998">
        <v>0</v>
      </c>
      <c r="BL998">
        <v>1651792693</v>
      </c>
      <c r="BM998">
        <v>0</v>
      </c>
      <c r="BN998">
        <v>5472</v>
      </c>
      <c r="BO998">
        <v>3146</v>
      </c>
      <c r="BP998">
        <v>0</v>
      </c>
      <c r="BQ998">
        <v>0</v>
      </c>
      <c r="BR998">
        <v>0.82200000000000006</v>
      </c>
      <c r="BS998">
        <v>0.82200000000000006</v>
      </c>
      <c r="BT998">
        <v>762975</v>
      </c>
      <c r="BU998">
        <v>0</v>
      </c>
      <c r="BV998">
        <v>206</v>
      </c>
      <c r="BW998">
        <v>496</v>
      </c>
      <c r="BX998">
        <v>299</v>
      </c>
      <c r="BY998">
        <v>5</v>
      </c>
      <c r="BZ998">
        <v>25</v>
      </c>
      <c r="CA998">
        <v>1031</v>
      </c>
      <c r="CB998">
        <v>0</v>
      </c>
      <c r="CC998">
        <v>0</v>
      </c>
      <c r="CD998">
        <v>0</v>
      </c>
      <c r="CE998">
        <v>81</v>
      </c>
      <c r="CF998">
        <v>292.46700000000004</v>
      </c>
      <c r="CG998">
        <v>0</v>
      </c>
      <c r="CH998">
        <v>0</v>
      </c>
      <c r="CI998">
        <v>3</v>
      </c>
      <c r="CJ998">
        <v>0</v>
      </c>
      <c r="CK998">
        <v>0</v>
      </c>
      <c r="CL998">
        <v>0</v>
      </c>
      <c r="CM998">
        <v>17.542000000000002</v>
      </c>
      <c r="CN998">
        <v>0</v>
      </c>
      <c r="CO998">
        <v>0</v>
      </c>
      <c r="CP998">
        <v>0</v>
      </c>
      <c r="CQ998">
        <v>0</v>
      </c>
      <c r="CR998">
        <v>0</v>
      </c>
      <c r="CS998">
        <v>0</v>
      </c>
      <c r="CT998">
        <v>0</v>
      </c>
      <c r="CU998">
        <v>5.5340000000000007</v>
      </c>
      <c r="CV998">
        <v>107.351</v>
      </c>
      <c r="CW998">
        <v>68.14500000000001</v>
      </c>
      <c r="CX998">
        <v>762975</v>
      </c>
      <c r="CY998" s="2043">
        <v>0</v>
      </c>
      <c r="CZ998" s="2043">
        <v>0</v>
      </c>
      <c r="DA998" s="2043">
        <v>0</v>
      </c>
      <c r="DB998" s="2043">
        <v>0</v>
      </c>
      <c r="DC998" s="2043">
        <v>578432</v>
      </c>
      <c r="DI998" t="s">
        <v>5246</v>
      </c>
      <c r="DJ998" t="s">
        <v>5246</v>
      </c>
      <c r="DK998" s="2042">
        <f t="shared" si="17"/>
        <v>0</v>
      </c>
    </row>
    <row r="999" spans="1:115">
      <c r="A999" t="s">
        <v>3191</v>
      </c>
      <c r="B999" t="s">
        <v>2294</v>
      </c>
      <c r="C999">
        <v>1741.1990000000001</v>
      </c>
      <c r="D999">
        <v>1829.8220000000001</v>
      </c>
      <c r="E999">
        <v>335.27500000000003</v>
      </c>
      <c r="F999">
        <v>0</v>
      </c>
      <c r="G999" s="2043">
        <v>547763042</v>
      </c>
      <c r="H999">
        <v>0</v>
      </c>
      <c r="I999" s="2043">
        <v>1471665</v>
      </c>
      <c r="J999">
        <v>87.06</v>
      </c>
      <c r="K999">
        <v>238</v>
      </c>
      <c r="L999">
        <v>57607</v>
      </c>
      <c r="M999">
        <v>511800</v>
      </c>
      <c r="N999">
        <v>57607</v>
      </c>
      <c r="O999">
        <v>569407</v>
      </c>
      <c r="P999">
        <v>0</v>
      </c>
      <c r="Q999">
        <v>0</v>
      </c>
      <c r="R999" s="2043">
        <v>4236801</v>
      </c>
      <c r="S999">
        <v>412341</v>
      </c>
      <c r="T999">
        <v>300493</v>
      </c>
      <c r="U999">
        <v>0.08</v>
      </c>
      <c r="V999">
        <v>0</v>
      </c>
      <c r="W999">
        <v>0</v>
      </c>
      <c r="X999">
        <v>0</v>
      </c>
      <c r="Y999">
        <v>483111</v>
      </c>
      <c r="Z999">
        <v>0</v>
      </c>
      <c r="AA999">
        <v>4.7E-2</v>
      </c>
      <c r="AB999">
        <v>1729.7060000000001</v>
      </c>
      <c r="AC999" s="2043">
        <v>399630055</v>
      </c>
      <c r="AD999">
        <v>1047461</v>
      </c>
      <c r="AE999" s="2043">
        <v>4949635</v>
      </c>
      <c r="AF999">
        <v>0.96030000000000004</v>
      </c>
      <c r="AG999">
        <v>0</v>
      </c>
      <c r="AH999">
        <v>0</v>
      </c>
      <c r="AI999">
        <v>0</v>
      </c>
      <c r="AJ999">
        <v>373.90000000000003</v>
      </c>
      <c r="AK999">
        <v>6201</v>
      </c>
      <c r="AL999">
        <v>0.24600000000000002</v>
      </c>
      <c r="AM999">
        <v>0</v>
      </c>
      <c r="AN999">
        <v>106.623</v>
      </c>
      <c r="AO999">
        <v>2</v>
      </c>
      <c r="AP999">
        <v>1.2570000000000001</v>
      </c>
      <c r="AQ999">
        <v>0</v>
      </c>
      <c r="AR999">
        <v>27.321000000000002</v>
      </c>
      <c r="AS999">
        <v>0</v>
      </c>
      <c r="AT999">
        <v>8.1120000000000001</v>
      </c>
      <c r="AU999">
        <v>2.9250000000000003</v>
      </c>
      <c r="AV999">
        <v>0</v>
      </c>
      <c r="AW999">
        <v>39.861000000000004</v>
      </c>
      <c r="AX999">
        <v>0</v>
      </c>
      <c r="AY999">
        <v>125.548</v>
      </c>
      <c r="AZ999">
        <v>0</v>
      </c>
      <c r="BA999">
        <v>15068260</v>
      </c>
      <c r="BB999">
        <v>5997096</v>
      </c>
      <c r="BC999">
        <v>0</v>
      </c>
      <c r="BD999">
        <v>174486</v>
      </c>
      <c r="BE999">
        <v>62666</v>
      </c>
      <c r="BF999">
        <v>241589</v>
      </c>
      <c r="BG999">
        <v>174486</v>
      </c>
      <c r="BH999">
        <v>4437</v>
      </c>
      <c r="BI999">
        <v>0</v>
      </c>
      <c r="BJ999">
        <v>0</v>
      </c>
      <c r="BK999">
        <v>0</v>
      </c>
      <c r="BL999">
        <v>547763042</v>
      </c>
      <c r="BM999">
        <v>0</v>
      </c>
      <c r="BN999">
        <v>6480</v>
      </c>
      <c r="BO999">
        <v>5446</v>
      </c>
      <c r="BP999">
        <v>0</v>
      </c>
      <c r="BQ999">
        <v>0</v>
      </c>
      <c r="BR999">
        <v>0.82200000000000006</v>
      </c>
      <c r="BS999">
        <v>0.82200000000000006</v>
      </c>
      <c r="BT999">
        <v>483111</v>
      </c>
      <c r="BU999">
        <v>0</v>
      </c>
      <c r="BV999">
        <v>7</v>
      </c>
      <c r="BW999">
        <v>742</v>
      </c>
      <c r="BX999">
        <v>502</v>
      </c>
      <c r="BY999">
        <v>226</v>
      </c>
      <c r="BZ999">
        <v>41</v>
      </c>
      <c r="CA999">
        <v>1518</v>
      </c>
      <c r="CB999">
        <v>0</v>
      </c>
      <c r="CC999">
        <v>0</v>
      </c>
      <c r="CD999">
        <v>0</v>
      </c>
      <c r="CE999">
        <v>95</v>
      </c>
      <c r="CF999">
        <v>507.976</v>
      </c>
      <c r="CG999">
        <v>0</v>
      </c>
      <c r="CH999">
        <v>0</v>
      </c>
      <c r="CI999">
        <v>4</v>
      </c>
      <c r="CJ999">
        <v>1</v>
      </c>
      <c r="CK999">
        <v>0</v>
      </c>
      <c r="CL999">
        <v>0</v>
      </c>
      <c r="CM999">
        <v>335.27500000000003</v>
      </c>
      <c r="CN999">
        <v>0</v>
      </c>
      <c r="CO999">
        <v>0</v>
      </c>
      <c r="CP999">
        <v>0</v>
      </c>
      <c r="CQ999">
        <v>0</v>
      </c>
      <c r="CR999">
        <v>0</v>
      </c>
      <c r="CS999">
        <v>0</v>
      </c>
      <c r="CT999">
        <v>0</v>
      </c>
      <c r="CU999">
        <v>18.544</v>
      </c>
      <c r="CV999">
        <v>152.202</v>
      </c>
      <c r="CW999">
        <v>71.915999999999997</v>
      </c>
      <c r="CX999">
        <v>483111</v>
      </c>
      <c r="CY999" s="2043">
        <v>0</v>
      </c>
      <c r="CZ999" s="2043">
        <v>0</v>
      </c>
      <c r="DA999" s="2043">
        <v>0</v>
      </c>
      <c r="DB999" s="2043">
        <v>0</v>
      </c>
      <c r="DC999" s="2043">
        <v>0</v>
      </c>
      <c r="DI999" t="s">
        <v>3191</v>
      </c>
      <c r="DJ999" t="s">
        <v>3191</v>
      </c>
      <c r="DK999" s="2042">
        <f t="shared" si="17"/>
        <v>0</v>
      </c>
    </row>
    <row r="1000" spans="1:115">
      <c r="A1000" t="s">
        <v>3192</v>
      </c>
      <c r="B1000" t="s">
        <v>1144</v>
      </c>
      <c r="C1000">
        <v>1523.2440000000001</v>
      </c>
      <c r="D1000">
        <v>1482.7340000000002</v>
      </c>
      <c r="E1000">
        <v>127.18100000000001</v>
      </c>
      <c r="F1000">
        <v>0</v>
      </c>
      <c r="G1000" s="2043">
        <v>1015335650</v>
      </c>
      <c r="H1000">
        <v>0</v>
      </c>
      <c r="I1000" s="2043">
        <v>1350250</v>
      </c>
      <c r="J1000">
        <v>76.162000000000006</v>
      </c>
      <c r="K1000">
        <v>208</v>
      </c>
      <c r="L1000">
        <v>0</v>
      </c>
      <c r="M1000">
        <v>154546</v>
      </c>
      <c r="N1000">
        <v>0</v>
      </c>
      <c r="O1000">
        <v>154546</v>
      </c>
      <c r="P1000">
        <v>0</v>
      </c>
      <c r="Q1000">
        <v>0</v>
      </c>
      <c r="R1000" s="2043">
        <v>8173140</v>
      </c>
      <c r="S1000">
        <v>497150</v>
      </c>
      <c r="T1000">
        <v>0</v>
      </c>
      <c r="U1000">
        <v>0.05</v>
      </c>
      <c r="V1000">
        <v>0</v>
      </c>
      <c r="W1000">
        <v>0</v>
      </c>
      <c r="X1000">
        <v>0</v>
      </c>
      <c r="Y1000">
        <v>643501</v>
      </c>
      <c r="Z1000">
        <v>0</v>
      </c>
      <c r="AA1000">
        <v>0.46400000000000002</v>
      </c>
      <c r="AB1000">
        <v>1482.7340000000002</v>
      </c>
      <c r="AC1000" s="2043">
        <v>715355158</v>
      </c>
      <c r="AD1000">
        <v>1315900</v>
      </c>
      <c r="AE1000" s="2043">
        <v>8670290</v>
      </c>
      <c r="AF1000">
        <v>0.872</v>
      </c>
      <c r="AG1000">
        <v>0</v>
      </c>
      <c r="AH1000">
        <v>0</v>
      </c>
      <c r="AI1000">
        <v>0</v>
      </c>
      <c r="AJ1000">
        <v>320.363</v>
      </c>
      <c r="AK1000">
        <v>4426</v>
      </c>
      <c r="AL1000">
        <v>0.28400000000000003</v>
      </c>
      <c r="AM1000">
        <v>0</v>
      </c>
      <c r="AN1000">
        <v>26.584</v>
      </c>
      <c r="AO1000">
        <v>0</v>
      </c>
      <c r="AP1000">
        <v>0</v>
      </c>
      <c r="AQ1000">
        <v>4.1000000000000002E-2</v>
      </c>
      <c r="AR1000">
        <v>30.449000000000002</v>
      </c>
      <c r="AS1000">
        <v>0</v>
      </c>
      <c r="AT1000">
        <v>13.224</v>
      </c>
      <c r="AU1000">
        <v>3.2190000000000003</v>
      </c>
      <c r="AV1000">
        <v>0</v>
      </c>
      <c r="AW1000">
        <v>47.216999999999999</v>
      </c>
      <c r="AX1000">
        <v>0</v>
      </c>
      <c r="AY1000">
        <v>148.53400000000002</v>
      </c>
      <c r="AZ1000">
        <v>0</v>
      </c>
      <c r="BA1000">
        <v>6731682</v>
      </c>
      <c r="BB1000">
        <v>9986190</v>
      </c>
      <c r="BC1000">
        <v>0</v>
      </c>
      <c r="BD1000">
        <v>14108</v>
      </c>
      <c r="BE1000">
        <v>9049</v>
      </c>
      <c r="BF1000">
        <v>69663</v>
      </c>
      <c r="BG1000">
        <v>14108</v>
      </c>
      <c r="BH1000">
        <v>46506</v>
      </c>
      <c r="BI1000">
        <v>0</v>
      </c>
      <c r="BJ1000">
        <v>0</v>
      </c>
      <c r="BK1000">
        <v>0</v>
      </c>
      <c r="BL1000">
        <v>1015335650</v>
      </c>
      <c r="BM1000">
        <v>0</v>
      </c>
      <c r="BN1000">
        <v>6174</v>
      </c>
      <c r="BO1000">
        <v>867</v>
      </c>
      <c r="BP1000">
        <v>0</v>
      </c>
      <c r="BQ1000">
        <v>0</v>
      </c>
      <c r="BR1000">
        <v>0.82200000000000006</v>
      </c>
      <c r="BS1000">
        <v>0.82200000000000006</v>
      </c>
      <c r="BT1000">
        <v>535494</v>
      </c>
      <c r="BU1000">
        <v>0</v>
      </c>
      <c r="BV1000">
        <v>218</v>
      </c>
      <c r="BW1000">
        <v>519</v>
      </c>
      <c r="BX1000">
        <v>3</v>
      </c>
      <c r="BY1000">
        <v>514</v>
      </c>
      <c r="BZ1000">
        <v>45</v>
      </c>
      <c r="CA1000">
        <v>1299</v>
      </c>
      <c r="CB1000">
        <v>0</v>
      </c>
      <c r="CC1000">
        <v>0</v>
      </c>
      <c r="CD1000">
        <v>0</v>
      </c>
      <c r="CE1000">
        <v>114</v>
      </c>
      <c r="CF1000">
        <v>438.35200000000003</v>
      </c>
      <c r="CG1000">
        <v>0</v>
      </c>
      <c r="CH1000">
        <v>0</v>
      </c>
      <c r="CI1000">
        <v>5</v>
      </c>
      <c r="CJ1000">
        <v>0</v>
      </c>
      <c r="CK1000">
        <v>0</v>
      </c>
      <c r="CL1000">
        <v>0</v>
      </c>
      <c r="CM1000">
        <v>127.18100000000001</v>
      </c>
      <c r="CN1000">
        <v>0</v>
      </c>
      <c r="CO1000">
        <v>0</v>
      </c>
      <c r="CP1000">
        <v>0</v>
      </c>
      <c r="CQ1000">
        <v>0</v>
      </c>
      <c r="CR1000">
        <v>0</v>
      </c>
      <c r="CS1000">
        <v>0</v>
      </c>
      <c r="CT1000">
        <v>0</v>
      </c>
      <c r="CU1000">
        <v>0.314</v>
      </c>
      <c r="CV1000">
        <v>47.384</v>
      </c>
      <c r="CW1000">
        <v>31.274000000000001</v>
      </c>
      <c r="CX1000">
        <v>535494</v>
      </c>
      <c r="CY1000" s="2043">
        <v>108007</v>
      </c>
      <c r="CZ1000" s="2043">
        <v>0</v>
      </c>
      <c r="DA1000" s="2043">
        <v>0</v>
      </c>
      <c r="DB1000" s="2043">
        <v>0</v>
      </c>
      <c r="DC1000" s="2043">
        <v>0</v>
      </c>
      <c r="DI1000" t="s">
        <v>3192</v>
      </c>
      <c r="DJ1000" t="s">
        <v>3192</v>
      </c>
      <c r="DK1000" s="2042">
        <f t="shared" si="17"/>
        <v>0</v>
      </c>
    </row>
    <row r="1001" spans="1:115">
      <c r="A1001" t="s">
        <v>5247</v>
      </c>
      <c r="B1001" t="s">
        <v>2295</v>
      </c>
      <c r="C1001">
        <v>4379.9070000000002</v>
      </c>
      <c r="D1001">
        <v>4350.9890000000005</v>
      </c>
      <c r="E1001">
        <v>203.68</v>
      </c>
      <c r="F1001">
        <v>1380173</v>
      </c>
      <c r="G1001" s="2043">
        <v>3598117973</v>
      </c>
      <c r="H1001">
        <v>-378157</v>
      </c>
      <c r="I1001" s="2043">
        <v>17696651</v>
      </c>
      <c r="J1001">
        <v>218.995</v>
      </c>
      <c r="K1001">
        <v>599</v>
      </c>
      <c r="L1001">
        <v>0</v>
      </c>
      <c r="M1001">
        <v>0</v>
      </c>
      <c r="N1001">
        <v>0</v>
      </c>
      <c r="O1001">
        <v>0</v>
      </c>
      <c r="P1001">
        <v>0</v>
      </c>
      <c r="Q1001">
        <v>0</v>
      </c>
      <c r="R1001" s="2043">
        <v>28625408</v>
      </c>
      <c r="S1001">
        <v>2785928</v>
      </c>
      <c r="T1001">
        <v>2030245</v>
      </c>
      <c r="U1001">
        <v>0.08</v>
      </c>
      <c r="V1001">
        <v>1082.846</v>
      </c>
      <c r="W1001">
        <v>0</v>
      </c>
      <c r="X1001">
        <v>378157</v>
      </c>
      <c r="Y1001">
        <v>1921344</v>
      </c>
      <c r="Z1001">
        <v>0</v>
      </c>
      <c r="AA1001">
        <v>0.13900000000000001</v>
      </c>
      <c r="AB1001">
        <v>4350.9890000000005</v>
      </c>
      <c r="AC1001" s="2043">
        <v>2140230830</v>
      </c>
      <c r="AD1001">
        <v>27253951</v>
      </c>
      <c r="AE1001" s="2043">
        <v>33441581</v>
      </c>
      <c r="AF1001">
        <v>0.96030000000000004</v>
      </c>
      <c r="AG1001">
        <v>0</v>
      </c>
      <c r="AH1001">
        <v>378157</v>
      </c>
      <c r="AI1001">
        <v>0</v>
      </c>
      <c r="AJ1001">
        <v>663.47500000000002</v>
      </c>
      <c r="AK1001">
        <v>13704</v>
      </c>
      <c r="AL1001">
        <v>0.23600000000000002</v>
      </c>
      <c r="AM1001">
        <v>0</v>
      </c>
      <c r="AN1001">
        <v>143.71299999999999</v>
      </c>
      <c r="AO1001">
        <v>0</v>
      </c>
      <c r="AP1001">
        <v>0</v>
      </c>
      <c r="AQ1001">
        <v>0</v>
      </c>
      <c r="AR1001">
        <v>95.891000000000005</v>
      </c>
      <c r="AS1001">
        <v>0</v>
      </c>
      <c r="AT1001">
        <v>28.797000000000001</v>
      </c>
      <c r="AU1001">
        <v>9.9269999999999996</v>
      </c>
      <c r="AV1001">
        <v>0</v>
      </c>
      <c r="AW1001">
        <v>134.851</v>
      </c>
      <c r="AX1001">
        <v>0</v>
      </c>
      <c r="AY1001">
        <v>424.87900000000002</v>
      </c>
      <c r="AZ1001">
        <v>0</v>
      </c>
      <c r="BA1001">
        <v>11741777</v>
      </c>
      <c r="BB1001">
        <v>60695532</v>
      </c>
      <c r="BC1001">
        <v>0</v>
      </c>
      <c r="BD1001">
        <v>53235</v>
      </c>
      <c r="BE1001">
        <v>42527</v>
      </c>
      <c r="BF1001">
        <v>327881</v>
      </c>
      <c r="BG1001">
        <v>53235</v>
      </c>
      <c r="BH1001">
        <v>232119</v>
      </c>
      <c r="BI1001">
        <v>0</v>
      </c>
      <c r="BJ1001">
        <v>0</v>
      </c>
      <c r="BK1001">
        <v>0</v>
      </c>
      <c r="BL1001">
        <v>3598117973</v>
      </c>
      <c r="BM1001">
        <v>0</v>
      </c>
      <c r="BN1001">
        <v>16299</v>
      </c>
      <c r="BO1001">
        <v>7223</v>
      </c>
      <c r="BP1001">
        <v>0</v>
      </c>
      <c r="BQ1001">
        <v>0</v>
      </c>
      <c r="BR1001">
        <v>0.82200000000000006</v>
      </c>
      <c r="BS1001">
        <v>0.82200000000000006</v>
      </c>
      <c r="BT1001">
        <v>919329</v>
      </c>
      <c r="BU1001">
        <v>0</v>
      </c>
      <c r="BV1001">
        <v>1039</v>
      </c>
      <c r="BW1001">
        <v>530</v>
      </c>
      <c r="BX1001">
        <v>8</v>
      </c>
      <c r="BY1001">
        <v>1132</v>
      </c>
      <c r="BZ1001">
        <v>17</v>
      </c>
      <c r="CA1001">
        <v>2726</v>
      </c>
      <c r="CB1001">
        <v>0</v>
      </c>
      <c r="CC1001">
        <v>0</v>
      </c>
      <c r="CD1001">
        <v>0</v>
      </c>
      <c r="CE1001">
        <v>427</v>
      </c>
      <c r="CF1001">
        <v>885.16600000000005</v>
      </c>
      <c r="CG1001">
        <v>0</v>
      </c>
      <c r="CH1001">
        <v>0</v>
      </c>
      <c r="CI1001">
        <v>10</v>
      </c>
      <c r="CJ1001">
        <v>49</v>
      </c>
      <c r="CK1001">
        <v>0</v>
      </c>
      <c r="CL1001">
        <v>0</v>
      </c>
      <c r="CM1001">
        <v>203.68</v>
      </c>
      <c r="CN1001">
        <v>0</v>
      </c>
      <c r="CO1001">
        <v>0</v>
      </c>
      <c r="CP1001">
        <v>0</v>
      </c>
      <c r="CQ1001">
        <v>0</v>
      </c>
      <c r="CR1001">
        <v>0</v>
      </c>
      <c r="CS1001">
        <v>0</v>
      </c>
      <c r="CT1001">
        <v>0</v>
      </c>
      <c r="CU1001">
        <v>1.9660000000000002</v>
      </c>
      <c r="CV1001">
        <v>215.96800000000002</v>
      </c>
      <c r="CW1001">
        <v>40.975999999999999</v>
      </c>
      <c r="CX1001">
        <v>919329</v>
      </c>
      <c r="CY1001" s="2043">
        <v>0</v>
      </c>
      <c r="CZ1001" s="2043">
        <v>0</v>
      </c>
      <c r="DA1001" s="2043">
        <v>0</v>
      </c>
      <c r="DB1001" s="2043">
        <v>1380173</v>
      </c>
      <c r="DC1001" s="2043">
        <v>760542</v>
      </c>
      <c r="DI1001" t="s">
        <v>5247</v>
      </c>
      <c r="DJ1001" t="s">
        <v>5247</v>
      </c>
      <c r="DK1001" s="2042">
        <f t="shared" si="17"/>
        <v>0</v>
      </c>
    </row>
    <row r="1002" spans="1:115">
      <c r="A1002" t="s">
        <v>5248</v>
      </c>
      <c r="B1002" t="s">
        <v>1368</v>
      </c>
      <c r="C1002">
        <v>1849.7320000000002</v>
      </c>
      <c r="D1002">
        <v>1975.393</v>
      </c>
      <c r="E1002">
        <v>160.184</v>
      </c>
      <c r="F1002">
        <v>637581</v>
      </c>
      <c r="G1002" s="2043">
        <v>2737195456</v>
      </c>
      <c r="H1002">
        <v>0</v>
      </c>
      <c r="I1002" s="2043">
        <v>3607700</v>
      </c>
      <c r="J1002">
        <v>59</v>
      </c>
      <c r="K1002">
        <v>161</v>
      </c>
      <c r="L1002">
        <v>0</v>
      </c>
      <c r="M1002">
        <v>0</v>
      </c>
      <c r="N1002">
        <v>0</v>
      </c>
      <c r="O1002">
        <v>0</v>
      </c>
      <c r="P1002">
        <v>0</v>
      </c>
      <c r="Q1002">
        <v>0</v>
      </c>
      <c r="R1002" s="2043">
        <v>22009071</v>
      </c>
      <c r="S1002">
        <v>1338751</v>
      </c>
      <c r="T1002">
        <v>0</v>
      </c>
      <c r="U1002">
        <v>0.05</v>
      </c>
      <c r="V1002">
        <v>0</v>
      </c>
      <c r="W1002">
        <v>5845238</v>
      </c>
      <c r="X1002">
        <v>0</v>
      </c>
      <c r="Y1002">
        <v>637581</v>
      </c>
      <c r="Z1002">
        <v>0</v>
      </c>
      <c r="AA1002">
        <v>0</v>
      </c>
      <c r="AB1002">
        <v>1969.683</v>
      </c>
      <c r="AC1002" s="2043">
        <v>2131796200</v>
      </c>
      <c r="AD1002">
        <v>3114775</v>
      </c>
      <c r="AE1002" s="2043">
        <v>23347822</v>
      </c>
      <c r="AF1002">
        <v>0.872</v>
      </c>
      <c r="AG1002">
        <v>0</v>
      </c>
      <c r="AH1002">
        <v>5845238</v>
      </c>
      <c r="AI1002">
        <v>0</v>
      </c>
      <c r="AJ1002">
        <v>361.66300000000001</v>
      </c>
      <c r="AK1002">
        <v>7176</v>
      </c>
      <c r="AL1002">
        <v>0.21100000000000002</v>
      </c>
      <c r="AM1002">
        <v>0</v>
      </c>
      <c r="AN1002">
        <v>56.225000000000001</v>
      </c>
      <c r="AO1002">
        <v>0</v>
      </c>
      <c r="AP1002">
        <v>8.1449999999999996</v>
      </c>
      <c r="AQ1002">
        <v>0</v>
      </c>
      <c r="AR1002">
        <v>41.904000000000003</v>
      </c>
      <c r="AS1002">
        <v>0</v>
      </c>
      <c r="AT1002">
        <v>16.858000000000001</v>
      </c>
      <c r="AU1002">
        <v>5.6590000000000007</v>
      </c>
      <c r="AV1002">
        <v>0</v>
      </c>
      <c r="AW1002">
        <v>72.777000000000001</v>
      </c>
      <c r="AX1002">
        <v>0</v>
      </c>
      <c r="AY1002">
        <v>227.62800000000001</v>
      </c>
      <c r="AZ1002">
        <v>0</v>
      </c>
      <c r="BA1002">
        <v>1649652</v>
      </c>
      <c r="BB1002">
        <v>26462597</v>
      </c>
      <c r="BC1002">
        <v>0</v>
      </c>
      <c r="BD1002">
        <v>2297</v>
      </c>
      <c r="BE1002">
        <v>17603</v>
      </c>
      <c r="BF1002">
        <v>66666</v>
      </c>
      <c r="BG1002">
        <v>2297</v>
      </c>
      <c r="BH1002">
        <v>46766</v>
      </c>
      <c r="BI1002">
        <v>0</v>
      </c>
      <c r="BJ1002">
        <v>0</v>
      </c>
      <c r="BK1002">
        <v>0</v>
      </c>
      <c r="BL1002">
        <v>2737195456</v>
      </c>
      <c r="BM1002">
        <v>0</v>
      </c>
      <c r="BN1002">
        <v>7965</v>
      </c>
      <c r="BO1002">
        <v>5264</v>
      </c>
      <c r="BP1002">
        <v>0</v>
      </c>
      <c r="BQ1002">
        <v>0</v>
      </c>
      <c r="BR1002">
        <v>0.82200000000000006</v>
      </c>
      <c r="BS1002">
        <v>0.82200000000000006</v>
      </c>
      <c r="BT1002">
        <v>0</v>
      </c>
      <c r="BU1002">
        <v>0</v>
      </c>
      <c r="BV1002">
        <v>351</v>
      </c>
      <c r="BW1002">
        <v>668</v>
      </c>
      <c r="BX1002">
        <v>168</v>
      </c>
      <c r="BY1002">
        <v>301</v>
      </c>
      <c r="BZ1002">
        <v>11</v>
      </c>
      <c r="CA1002">
        <v>1499</v>
      </c>
      <c r="CB1002">
        <v>0</v>
      </c>
      <c r="CC1002">
        <v>0</v>
      </c>
      <c r="CD1002">
        <v>0</v>
      </c>
      <c r="CE1002">
        <v>185</v>
      </c>
      <c r="CF1002">
        <v>476.81600000000003</v>
      </c>
      <c r="CG1002">
        <v>0</v>
      </c>
      <c r="CH1002">
        <v>0</v>
      </c>
      <c r="CI1002">
        <v>18</v>
      </c>
      <c r="CJ1002">
        <v>15</v>
      </c>
      <c r="CK1002">
        <v>0</v>
      </c>
      <c r="CL1002">
        <v>0</v>
      </c>
      <c r="CM1002">
        <v>160.184</v>
      </c>
      <c r="CN1002">
        <v>0</v>
      </c>
      <c r="CO1002">
        <v>0</v>
      </c>
      <c r="CP1002">
        <v>0</v>
      </c>
      <c r="CQ1002">
        <v>0</v>
      </c>
      <c r="CR1002">
        <v>0</v>
      </c>
      <c r="CS1002">
        <v>0</v>
      </c>
      <c r="CT1002">
        <v>0</v>
      </c>
      <c r="CU1002">
        <v>0</v>
      </c>
      <c r="CV1002">
        <v>115.51600000000001</v>
      </c>
      <c r="CW1002">
        <v>22.119</v>
      </c>
      <c r="CX1002">
        <v>0</v>
      </c>
      <c r="CY1002" s="2043">
        <v>0</v>
      </c>
      <c r="CZ1002" s="2043">
        <v>0</v>
      </c>
      <c r="DA1002" s="2043">
        <v>0</v>
      </c>
      <c r="DB1002" s="2043">
        <v>637581</v>
      </c>
      <c r="DC1002" s="2043">
        <v>331541</v>
      </c>
      <c r="DI1002" t="s">
        <v>5248</v>
      </c>
      <c r="DJ1002" t="s">
        <v>5248</v>
      </c>
      <c r="DK1002" s="2042">
        <f t="shared" si="17"/>
        <v>0</v>
      </c>
    </row>
    <row r="1003" spans="1:115">
      <c r="A1003" t="s">
        <v>3193</v>
      </c>
      <c r="B1003" t="s">
        <v>2386</v>
      </c>
      <c r="C1003">
        <v>1334.78</v>
      </c>
      <c r="D1003">
        <v>1404.819</v>
      </c>
      <c r="E1003">
        <v>9.2680000000000007</v>
      </c>
      <c r="F1003">
        <v>0</v>
      </c>
      <c r="G1003" s="2043">
        <v>548444167</v>
      </c>
      <c r="H1003">
        <v>0</v>
      </c>
      <c r="I1003" s="2043">
        <v>1200975</v>
      </c>
      <c r="J1003">
        <v>66.739000000000004</v>
      </c>
      <c r="K1003">
        <v>182</v>
      </c>
      <c r="L1003">
        <v>0</v>
      </c>
      <c r="M1003">
        <v>756939</v>
      </c>
      <c r="N1003">
        <v>0</v>
      </c>
      <c r="O1003">
        <v>756939</v>
      </c>
      <c r="P1003">
        <v>0</v>
      </c>
      <c r="Q1003">
        <v>0</v>
      </c>
      <c r="R1003" s="2043">
        <v>4281060</v>
      </c>
      <c r="S1003">
        <v>416648</v>
      </c>
      <c r="T1003">
        <v>303632</v>
      </c>
      <c r="U1003">
        <v>0.08</v>
      </c>
      <c r="V1003">
        <v>0</v>
      </c>
      <c r="W1003">
        <v>0</v>
      </c>
      <c r="X1003">
        <v>0</v>
      </c>
      <c r="Y1003">
        <v>1379</v>
      </c>
      <c r="Z1003">
        <v>0</v>
      </c>
      <c r="AA1003">
        <v>0.156</v>
      </c>
      <c r="AB1003">
        <v>1357.827</v>
      </c>
      <c r="AC1003" s="2043">
        <v>363354937</v>
      </c>
      <c r="AD1003">
        <v>2687145</v>
      </c>
      <c r="AE1003" s="2043">
        <v>5001340</v>
      </c>
      <c r="AF1003">
        <v>0.96030000000000004</v>
      </c>
      <c r="AG1003">
        <v>0</v>
      </c>
      <c r="AH1003">
        <v>0</v>
      </c>
      <c r="AI1003">
        <v>0</v>
      </c>
      <c r="AJ1003">
        <v>305.738</v>
      </c>
      <c r="AK1003">
        <v>5192</v>
      </c>
      <c r="AL1003">
        <v>3.9E-2</v>
      </c>
      <c r="AM1003">
        <v>0</v>
      </c>
      <c r="AN1003">
        <v>55.432000000000002</v>
      </c>
      <c r="AO1003">
        <v>0</v>
      </c>
      <c r="AP1003">
        <v>0</v>
      </c>
      <c r="AQ1003">
        <v>0</v>
      </c>
      <c r="AR1003">
        <v>20.473000000000003</v>
      </c>
      <c r="AS1003">
        <v>0</v>
      </c>
      <c r="AT1003">
        <v>17.723000000000003</v>
      </c>
      <c r="AU1003">
        <v>3.8850000000000002</v>
      </c>
      <c r="AV1003">
        <v>0</v>
      </c>
      <c r="AW1003">
        <v>42.12</v>
      </c>
      <c r="AX1003">
        <v>0</v>
      </c>
      <c r="AY1003">
        <v>134.208</v>
      </c>
      <c r="AZ1003">
        <v>0</v>
      </c>
      <c r="BA1003">
        <v>10039558</v>
      </c>
      <c r="BB1003">
        <v>7688485</v>
      </c>
      <c r="BC1003">
        <v>0</v>
      </c>
      <c r="BD1003">
        <v>70084</v>
      </c>
      <c r="BE1003">
        <v>11208</v>
      </c>
      <c r="BF1003">
        <v>81292</v>
      </c>
      <c r="BG1003">
        <v>70084</v>
      </c>
      <c r="BH1003">
        <v>0</v>
      </c>
      <c r="BI1003">
        <v>0</v>
      </c>
      <c r="BJ1003">
        <v>0</v>
      </c>
      <c r="BK1003">
        <v>0</v>
      </c>
      <c r="BL1003">
        <v>548444167</v>
      </c>
      <c r="BM1003">
        <v>0</v>
      </c>
      <c r="BN1003">
        <v>5319</v>
      </c>
      <c r="BO1003">
        <v>2397</v>
      </c>
      <c r="BP1003">
        <v>0</v>
      </c>
      <c r="BQ1003">
        <v>0</v>
      </c>
      <c r="BR1003">
        <v>0.82200000000000006</v>
      </c>
      <c r="BS1003">
        <v>0.82200000000000006</v>
      </c>
      <c r="BT1003">
        <v>0</v>
      </c>
      <c r="BU1003">
        <v>0</v>
      </c>
      <c r="BV1003">
        <v>42</v>
      </c>
      <c r="BW1003">
        <v>198</v>
      </c>
      <c r="BX1003">
        <v>151</v>
      </c>
      <c r="BY1003">
        <v>305</v>
      </c>
      <c r="BZ1003">
        <v>478</v>
      </c>
      <c r="CA1003">
        <v>1174</v>
      </c>
      <c r="CB1003">
        <v>0</v>
      </c>
      <c r="CC1003">
        <v>0</v>
      </c>
      <c r="CD1003">
        <v>0</v>
      </c>
      <c r="CE1003">
        <v>52</v>
      </c>
      <c r="CF1003">
        <v>305.84399999999999</v>
      </c>
      <c r="CG1003">
        <v>0</v>
      </c>
      <c r="CH1003">
        <v>0</v>
      </c>
      <c r="CI1003">
        <v>0</v>
      </c>
      <c r="CJ1003">
        <v>0</v>
      </c>
      <c r="CK1003">
        <v>0</v>
      </c>
      <c r="CL1003">
        <v>0</v>
      </c>
      <c r="CM1003">
        <v>9.2680000000000007</v>
      </c>
      <c r="CN1003">
        <v>0</v>
      </c>
      <c r="CO1003">
        <v>0</v>
      </c>
      <c r="CP1003">
        <v>0</v>
      </c>
      <c r="CQ1003">
        <v>0</v>
      </c>
      <c r="CR1003">
        <v>0</v>
      </c>
      <c r="CS1003">
        <v>0</v>
      </c>
      <c r="CT1003">
        <v>0</v>
      </c>
      <c r="CU1003">
        <v>0</v>
      </c>
      <c r="CV1003">
        <v>55.109000000000002</v>
      </c>
      <c r="CW1003">
        <v>32.907000000000004</v>
      </c>
      <c r="CX1003">
        <v>0</v>
      </c>
      <c r="CY1003" s="2043">
        <v>1379</v>
      </c>
      <c r="CZ1003" s="2043">
        <v>0</v>
      </c>
      <c r="DA1003" s="2043">
        <v>0</v>
      </c>
      <c r="DB1003" s="2043">
        <v>0</v>
      </c>
      <c r="DC1003" s="2043">
        <v>0</v>
      </c>
      <c r="DI1003" t="s">
        <v>3193</v>
      </c>
      <c r="DJ1003" t="s">
        <v>3193</v>
      </c>
      <c r="DK1003" s="2042">
        <f t="shared" si="17"/>
        <v>0</v>
      </c>
    </row>
    <row r="1004" spans="1:115">
      <c r="A1004" t="s">
        <v>3194</v>
      </c>
      <c r="B1004" t="s">
        <v>1326</v>
      </c>
      <c r="C1004">
        <v>775.30400000000009</v>
      </c>
      <c r="D1004">
        <v>745.25700000000006</v>
      </c>
      <c r="E1004">
        <v>20.163</v>
      </c>
      <c r="F1004">
        <v>0</v>
      </c>
      <c r="G1004" s="2043">
        <v>431772093</v>
      </c>
      <c r="H1004">
        <v>0</v>
      </c>
      <c r="I1004" s="2043">
        <v>1693713</v>
      </c>
      <c r="J1004">
        <v>38.765000000000001</v>
      </c>
      <c r="K1004">
        <v>106</v>
      </c>
      <c r="L1004">
        <v>0</v>
      </c>
      <c r="M1004">
        <v>644938</v>
      </c>
      <c r="N1004">
        <v>0</v>
      </c>
      <c r="O1004">
        <v>644938</v>
      </c>
      <c r="P1004">
        <v>0</v>
      </c>
      <c r="Q1004">
        <v>0</v>
      </c>
      <c r="R1004" s="2043">
        <v>3508974</v>
      </c>
      <c r="S1004">
        <v>341506</v>
      </c>
      <c r="T1004">
        <v>248872</v>
      </c>
      <c r="U1004">
        <v>0.08</v>
      </c>
      <c r="V1004">
        <v>0</v>
      </c>
      <c r="W1004">
        <v>0</v>
      </c>
      <c r="X1004">
        <v>0</v>
      </c>
      <c r="Y1004">
        <v>249413</v>
      </c>
      <c r="Z1004">
        <v>0</v>
      </c>
      <c r="AA1004">
        <v>0</v>
      </c>
      <c r="AB1004">
        <v>746.90700000000004</v>
      </c>
      <c r="AC1004" s="2043">
        <v>291968556</v>
      </c>
      <c r="AD1004">
        <v>1717269</v>
      </c>
      <c r="AE1004" s="2043">
        <v>4099352</v>
      </c>
      <c r="AF1004">
        <v>0.96030000000000004</v>
      </c>
      <c r="AG1004">
        <v>0</v>
      </c>
      <c r="AH1004">
        <v>0</v>
      </c>
      <c r="AI1004">
        <v>0</v>
      </c>
      <c r="AJ1004">
        <v>146.68800000000002</v>
      </c>
      <c r="AK1004">
        <v>2465</v>
      </c>
      <c r="AL1004">
        <v>0</v>
      </c>
      <c r="AM1004">
        <v>0</v>
      </c>
      <c r="AN1004">
        <v>20.086000000000002</v>
      </c>
      <c r="AO1004">
        <v>0</v>
      </c>
      <c r="AP1004">
        <v>0.28300000000000003</v>
      </c>
      <c r="AQ1004">
        <v>0</v>
      </c>
      <c r="AR1004">
        <v>10.3</v>
      </c>
      <c r="AS1004">
        <v>0</v>
      </c>
      <c r="AT1004">
        <v>6.0580000000000007</v>
      </c>
      <c r="AU1004">
        <v>1.411</v>
      </c>
      <c r="AV1004">
        <v>0</v>
      </c>
      <c r="AW1004">
        <v>18.052</v>
      </c>
      <c r="AX1004">
        <v>0</v>
      </c>
      <c r="AY1004">
        <v>56.893000000000001</v>
      </c>
      <c r="AZ1004">
        <v>0</v>
      </c>
      <c r="BA1004">
        <v>6010671</v>
      </c>
      <c r="BB1004">
        <v>5816621</v>
      </c>
      <c r="BC1004">
        <v>0</v>
      </c>
      <c r="BD1004">
        <v>28896</v>
      </c>
      <c r="BE1004">
        <v>31158</v>
      </c>
      <c r="BF1004">
        <v>128353</v>
      </c>
      <c r="BG1004">
        <v>28896</v>
      </c>
      <c r="BH1004">
        <v>68299</v>
      </c>
      <c r="BI1004">
        <v>0</v>
      </c>
      <c r="BJ1004">
        <v>0</v>
      </c>
      <c r="BK1004">
        <v>0</v>
      </c>
      <c r="BL1004">
        <v>431772093</v>
      </c>
      <c r="BM1004">
        <v>0</v>
      </c>
      <c r="BN1004">
        <v>3429</v>
      </c>
      <c r="BO1004">
        <v>888</v>
      </c>
      <c r="BP1004">
        <v>0</v>
      </c>
      <c r="BQ1004">
        <v>0</v>
      </c>
      <c r="BR1004">
        <v>0.82200000000000006</v>
      </c>
      <c r="BS1004">
        <v>0.82200000000000006</v>
      </c>
      <c r="BT1004">
        <v>0</v>
      </c>
      <c r="BU1004">
        <v>0</v>
      </c>
      <c r="BV1004">
        <v>9</v>
      </c>
      <c r="BW1004">
        <v>157</v>
      </c>
      <c r="BX1004">
        <v>135</v>
      </c>
      <c r="BY1004">
        <v>160</v>
      </c>
      <c r="BZ1004">
        <v>115</v>
      </c>
      <c r="CA1004">
        <v>576</v>
      </c>
      <c r="CB1004">
        <v>0</v>
      </c>
      <c r="CC1004">
        <v>0</v>
      </c>
      <c r="CD1004">
        <v>0</v>
      </c>
      <c r="CE1004">
        <v>59</v>
      </c>
      <c r="CF1004">
        <v>149.989</v>
      </c>
      <c r="CG1004">
        <v>0</v>
      </c>
      <c r="CH1004">
        <v>0</v>
      </c>
      <c r="CI1004">
        <v>5</v>
      </c>
      <c r="CJ1004">
        <v>4</v>
      </c>
      <c r="CK1004">
        <v>0</v>
      </c>
      <c r="CL1004">
        <v>0</v>
      </c>
      <c r="CM1004">
        <v>20.163</v>
      </c>
      <c r="CN1004">
        <v>0</v>
      </c>
      <c r="CO1004">
        <v>0</v>
      </c>
      <c r="CP1004">
        <v>0</v>
      </c>
      <c r="CQ1004">
        <v>0</v>
      </c>
      <c r="CR1004">
        <v>0</v>
      </c>
      <c r="CS1004">
        <v>0</v>
      </c>
      <c r="CT1004">
        <v>0</v>
      </c>
      <c r="CU1004">
        <v>0</v>
      </c>
      <c r="CV1004">
        <v>37.335999999999999</v>
      </c>
      <c r="CW1004">
        <v>21.755000000000003</v>
      </c>
      <c r="CX1004">
        <v>0</v>
      </c>
      <c r="CY1004" s="2043">
        <v>249413</v>
      </c>
      <c r="CZ1004" s="2043">
        <v>0</v>
      </c>
      <c r="DA1004" s="2043">
        <v>0</v>
      </c>
      <c r="DB1004" s="2043">
        <v>0</v>
      </c>
      <c r="DC1004" s="2043">
        <v>0</v>
      </c>
      <c r="DI1004" t="s">
        <v>3194</v>
      </c>
      <c r="DJ1004" t="s">
        <v>3194</v>
      </c>
      <c r="DK1004" s="2042">
        <f t="shared" si="17"/>
        <v>0</v>
      </c>
    </row>
    <row r="1005" spans="1:115">
      <c r="A1005" t="s">
        <v>3195</v>
      </c>
      <c r="B1005" t="s">
        <v>1241</v>
      </c>
      <c r="C1005">
        <v>1827.7090000000001</v>
      </c>
      <c r="D1005">
        <v>1939.18</v>
      </c>
      <c r="E1005">
        <v>32.853999999999999</v>
      </c>
      <c r="F1005">
        <v>0</v>
      </c>
      <c r="G1005" s="2043">
        <v>1125490490</v>
      </c>
      <c r="H1005">
        <v>0</v>
      </c>
      <c r="I1005" s="2043">
        <v>3072922</v>
      </c>
      <c r="J1005">
        <v>91.385000000000005</v>
      </c>
      <c r="K1005">
        <v>250</v>
      </c>
      <c r="L1005">
        <v>0</v>
      </c>
      <c r="M1005">
        <v>435675</v>
      </c>
      <c r="N1005">
        <v>0</v>
      </c>
      <c r="O1005">
        <v>435675</v>
      </c>
      <c r="P1005">
        <v>313883</v>
      </c>
      <c r="Q1005">
        <v>0</v>
      </c>
      <c r="R1005" s="2043">
        <v>8881903</v>
      </c>
      <c r="S1005">
        <v>864419</v>
      </c>
      <c r="T1005">
        <v>629945</v>
      </c>
      <c r="U1005">
        <v>0.08</v>
      </c>
      <c r="V1005">
        <v>0</v>
      </c>
      <c r="W1005">
        <v>0</v>
      </c>
      <c r="X1005">
        <v>0</v>
      </c>
      <c r="Y1005">
        <v>1915480</v>
      </c>
      <c r="Z1005">
        <v>0</v>
      </c>
      <c r="AA1005">
        <v>0.112</v>
      </c>
      <c r="AB1005">
        <v>1906.0450000000001</v>
      </c>
      <c r="AC1005" s="2043">
        <v>544497278</v>
      </c>
      <c r="AD1005">
        <v>5310239</v>
      </c>
      <c r="AE1005" s="2043">
        <v>10376267</v>
      </c>
      <c r="AF1005">
        <v>0.96030000000000004</v>
      </c>
      <c r="AG1005">
        <v>0</v>
      </c>
      <c r="AH1005">
        <v>0</v>
      </c>
      <c r="AI1005">
        <v>0</v>
      </c>
      <c r="AJ1005">
        <v>359.08800000000002</v>
      </c>
      <c r="AK1005">
        <v>8007</v>
      </c>
      <c r="AL1005">
        <v>0.24600000000000002</v>
      </c>
      <c r="AM1005">
        <v>0</v>
      </c>
      <c r="AN1005">
        <v>74.323000000000008</v>
      </c>
      <c r="AO1005">
        <v>0</v>
      </c>
      <c r="AP1005">
        <v>0</v>
      </c>
      <c r="AQ1005">
        <v>1.4550000000000001</v>
      </c>
      <c r="AR1005">
        <v>42.307000000000002</v>
      </c>
      <c r="AS1005">
        <v>0</v>
      </c>
      <c r="AT1005">
        <v>29.241</v>
      </c>
      <c r="AU1005">
        <v>3.71</v>
      </c>
      <c r="AV1005">
        <v>0</v>
      </c>
      <c r="AW1005">
        <v>77.039000000000001</v>
      </c>
      <c r="AX1005">
        <v>0.08</v>
      </c>
      <c r="AY1005">
        <v>234.608</v>
      </c>
      <c r="AZ1005">
        <v>0</v>
      </c>
      <c r="BA1005">
        <v>11152851</v>
      </c>
      <c r="BB1005">
        <v>15686506</v>
      </c>
      <c r="BC1005">
        <v>0</v>
      </c>
      <c r="BD1005">
        <v>45729</v>
      </c>
      <c r="BE1005">
        <v>27091</v>
      </c>
      <c r="BF1005">
        <v>119492</v>
      </c>
      <c r="BG1005">
        <v>45729</v>
      </c>
      <c r="BH1005">
        <v>46672</v>
      </c>
      <c r="BI1005">
        <v>0</v>
      </c>
      <c r="BJ1005">
        <v>0</v>
      </c>
      <c r="BK1005">
        <v>0</v>
      </c>
      <c r="BL1005">
        <v>1125490490</v>
      </c>
      <c r="BM1005">
        <v>0</v>
      </c>
      <c r="BN1005">
        <v>7407</v>
      </c>
      <c r="BO1005">
        <v>3724</v>
      </c>
      <c r="BP1005">
        <v>0</v>
      </c>
      <c r="BQ1005">
        <v>0</v>
      </c>
      <c r="BR1005">
        <v>0.82200000000000006</v>
      </c>
      <c r="BS1005">
        <v>0.82200000000000006</v>
      </c>
      <c r="BT1005">
        <v>1915480</v>
      </c>
      <c r="BU1005">
        <v>0</v>
      </c>
      <c r="BV1005">
        <v>126</v>
      </c>
      <c r="BW1005">
        <v>366</v>
      </c>
      <c r="BX1005">
        <v>343</v>
      </c>
      <c r="BY1005">
        <v>5</v>
      </c>
      <c r="BZ1005">
        <v>570</v>
      </c>
      <c r="CA1005">
        <v>1410</v>
      </c>
      <c r="CB1005">
        <v>0</v>
      </c>
      <c r="CC1005">
        <v>0</v>
      </c>
      <c r="CD1005">
        <v>0</v>
      </c>
      <c r="CE1005">
        <v>188</v>
      </c>
      <c r="CF1005">
        <v>409.66700000000003</v>
      </c>
      <c r="CG1005">
        <v>6.766</v>
      </c>
      <c r="CH1005">
        <v>2.8360000000000003</v>
      </c>
      <c r="CI1005">
        <v>8</v>
      </c>
      <c r="CJ1005">
        <v>15</v>
      </c>
      <c r="CK1005">
        <v>0</v>
      </c>
      <c r="CL1005">
        <v>9.6020000000000003</v>
      </c>
      <c r="CM1005">
        <v>32.853999999999999</v>
      </c>
      <c r="CN1005">
        <v>0</v>
      </c>
      <c r="CO1005">
        <v>0</v>
      </c>
      <c r="CP1005">
        <v>0</v>
      </c>
      <c r="CQ1005">
        <v>0</v>
      </c>
      <c r="CR1005">
        <v>0</v>
      </c>
      <c r="CS1005">
        <v>0</v>
      </c>
      <c r="CT1005">
        <v>0</v>
      </c>
      <c r="CU1005">
        <v>6.3959999999999999</v>
      </c>
      <c r="CV1005">
        <v>72.099000000000004</v>
      </c>
      <c r="CW1005">
        <v>70.975999999999999</v>
      </c>
      <c r="CX1005">
        <v>1915480</v>
      </c>
      <c r="CY1005" s="2043">
        <v>0</v>
      </c>
      <c r="CZ1005" s="2043">
        <v>0</v>
      </c>
      <c r="DA1005" s="2043">
        <v>0</v>
      </c>
      <c r="DB1005" s="2043">
        <v>0</v>
      </c>
      <c r="DC1005" s="2043">
        <v>0</v>
      </c>
      <c r="DI1005" t="s">
        <v>3195</v>
      </c>
      <c r="DJ1005" t="s">
        <v>3195</v>
      </c>
      <c r="DK1005" s="2042">
        <f t="shared" si="17"/>
        <v>0</v>
      </c>
    </row>
    <row r="1006" spans="1:115">
      <c r="A1006" t="s">
        <v>3196</v>
      </c>
      <c r="B1006" t="s">
        <v>177</v>
      </c>
      <c r="C1006">
        <v>787.28500000000008</v>
      </c>
      <c r="D1006">
        <v>837.85</v>
      </c>
      <c r="E1006">
        <v>21.879000000000001</v>
      </c>
      <c r="F1006">
        <v>0</v>
      </c>
      <c r="G1006" s="2043">
        <v>793032509</v>
      </c>
      <c r="H1006">
        <v>0</v>
      </c>
      <c r="I1006" s="2043">
        <v>1562827</v>
      </c>
      <c r="J1006">
        <v>39.364000000000004</v>
      </c>
      <c r="K1006">
        <v>108</v>
      </c>
      <c r="L1006">
        <v>0</v>
      </c>
      <c r="M1006">
        <v>582988</v>
      </c>
      <c r="N1006">
        <v>0</v>
      </c>
      <c r="O1006">
        <v>582988</v>
      </c>
      <c r="P1006">
        <v>0</v>
      </c>
      <c r="Q1006">
        <v>0</v>
      </c>
      <c r="R1006" s="2043">
        <v>6166517</v>
      </c>
      <c r="S1006">
        <v>600148</v>
      </c>
      <c r="T1006">
        <v>437357</v>
      </c>
      <c r="U1006">
        <v>0.08</v>
      </c>
      <c r="V1006">
        <v>0</v>
      </c>
      <c r="W1006">
        <v>0</v>
      </c>
      <c r="X1006">
        <v>0</v>
      </c>
      <c r="Y1006">
        <v>2492835</v>
      </c>
      <c r="Z1006">
        <v>0</v>
      </c>
      <c r="AA1006">
        <v>0.13100000000000001</v>
      </c>
      <c r="AB1006">
        <v>837.85</v>
      </c>
      <c r="AC1006" s="2043">
        <v>364324167</v>
      </c>
      <c r="AD1006">
        <v>2098497</v>
      </c>
      <c r="AE1006" s="2043">
        <v>7204022</v>
      </c>
      <c r="AF1006">
        <v>0.96030000000000004</v>
      </c>
      <c r="AG1006">
        <v>0</v>
      </c>
      <c r="AH1006">
        <v>0</v>
      </c>
      <c r="AI1006">
        <v>0</v>
      </c>
      <c r="AJ1006">
        <v>204.738</v>
      </c>
      <c r="AK1006">
        <v>3406</v>
      </c>
      <c r="AL1006">
        <v>0</v>
      </c>
      <c r="AM1006">
        <v>0</v>
      </c>
      <c r="AN1006">
        <v>19.089000000000002</v>
      </c>
      <c r="AO1006">
        <v>0</v>
      </c>
      <c r="AP1006">
        <v>0</v>
      </c>
      <c r="AQ1006">
        <v>0</v>
      </c>
      <c r="AR1006">
        <v>17.808</v>
      </c>
      <c r="AS1006">
        <v>0</v>
      </c>
      <c r="AT1006">
        <v>7.0860000000000003</v>
      </c>
      <c r="AU1006">
        <v>2.758</v>
      </c>
      <c r="AV1006">
        <v>0</v>
      </c>
      <c r="AW1006">
        <v>27.652000000000001</v>
      </c>
      <c r="AX1006">
        <v>0</v>
      </c>
      <c r="AY1006">
        <v>88.472000000000008</v>
      </c>
      <c r="AZ1006">
        <v>0</v>
      </c>
      <c r="BA1006">
        <v>5442775</v>
      </c>
      <c r="BB1006">
        <v>9302519</v>
      </c>
      <c r="BC1006">
        <v>0</v>
      </c>
      <c r="BD1006">
        <v>20950</v>
      </c>
      <c r="BE1006">
        <v>1215</v>
      </c>
      <c r="BF1006">
        <v>30894</v>
      </c>
      <c r="BG1006">
        <v>20950</v>
      </c>
      <c r="BH1006">
        <v>8729</v>
      </c>
      <c r="BI1006">
        <v>0</v>
      </c>
      <c r="BJ1006">
        <v>0</v>
      </c>
      <c r="BK1006">
        <v>0</v>
      </c>
      <c r="BL1006">
        <v>793032509</v>
      </c>
      <c r="BM1006">
        <v>0</v>
      </c>
      <c r="BN1006">
        <v>3069</v>
      </c>
      <c r="BO1006">
        <v>2044</v>
      </c>
      <c r="BP1006">
        <v>0</v>
      </c>
      <c r="BQ1006">
        <v>0</v>
      </c>
      <c r="BR1006">
        <v>0.82200000000000006</v>
      </c>
      <c r="BS1006">
        <v>0.82200000000000006</v>
      </c>
      <c r="BT1006">
        <v>0</v>
      </c>
      <c r="BU1006">
        <v>0</v>
      </c>
      <c r="BV1006">
        <v>195</v>
      </c>
      <c r="BW1006">
        <v>2</v>
      </c>
      <c r="BX1006">
        <v>182</v>
      </c>
      <c r="BY1006">
        <v>5</v>
      </c>
      <c r="BZ1006">
        <v>413</v>
      </c>
      <c r="CA1006">
        <v>797</v>
      </c>
      <c r="CB1006">
        <v>0</v>
      </c>
      <c r="CC1006">
        <v>0</v>
      </c>
      <c r="CD1006">
        <v>0</v>
      </c>
      <c r="CE1006">
        <v>48</v>
      </c>
      <c r="CF1006">
        <v>213.25700000000001</v>
      </c>
      <c r="CG1006">
        <v>0</v>
      </c>
      <c r="CH1006">
        <v>0</v>
      </c>
      <c r="CI1006">
        <v>0</v>
      </c>
      <c r="CJ1006">
        <v>0</v>
      </c>
      <c r="CK1006">
        <v>0</v>
      </c>
      <c r="CL1006">
        <v>0</v>
      </c>
      <c r="CM1006">
        <v>21.879000000000001</v>
      </c>
      <c r="CN1006">
        <v>0</v>
      </c>
      <c r="CO1006">
        <v>0</v>
      </c>
      <c r="CP1006">
        <v>0</v>
      </c>
      <c r="CQ1006">
        <v>0</v>
      </c>
      <c r="CR1006">
        <v>0</v>
      </c>
      <c r="CS1006">
        <v>0</v>
      </c>
      <c r="CT1006">
        <v>0</v>
      </c>
      <c r="CU1006">
        <v>3.3620000000000001</v>
      </c>
      <c r="CV1006">
        <v>41.657000000000004</v>
      </c>
      <c r="CW1006">
        <v>19.074000000000002</v>
      </c>
      <c r="CX1006">
        <v>0</v>
      </c>
      <c r="CY1006" s="2043">
        <v>2492835</v>
      </c>
      <c r="CZ1006" s="2043">
        <v>0</v>
      </c>
      <c r="DA1006" s="2043">
        <v>0</v>
      </c>
      <c r="DB1006" s="2043">
        <v>0</v>
      </c>
      <c r="DC1006" s="2043">
        <v>0</v>
      </c>
      <c r="DI1006" t="s">
        <v>3196</v>
      </c>
      <c r="DJ1006" t="s">
        <v>3196</v>
      </c>
      <c r="DK1006" s="2042">
        <f t="shared" si="17"/>
        <v>0</v>
      </c>
    </row>
    <row r="1007" spans="1:115">
      <c r="A1007" t="s">
        <v>3197</v>
      </c>
      <c r="B1007" t="s">
        <v>461</v>
      </c>
      <c r="C1007">
        <v>661.00700000000006</v>
      </c>
      <c r="D1007">
        <v>711.846</v>
      </c>
      <c r="E1007">
        <v>138.316</v>
      </c>
      <c r="F1007">
        <v>0</v>
      </c>
      <c r="G1007" s="2043">
        <v>450407273</v>
      </c>
      <c r="H1007">
        <v>0</v>
      </c>
      <c r="I1007" s="2043">
        <v>519080</v>
      </c>
      <c r="J1007">
        <v>33.049999999999997</v>
      </c>
      <c r="K1007">
        <v>90</v>
      </c>
      <c r="L1007">
        <v>0</v>
      </c>
      <c r="M1007">
        <v>180400</v>
      </c>
      <c r="N1007">
        <v>0</v>
      </c>
      <c r="O1007">
        <v>180400</v>
      </c>
      <c r="P1007">
        <v>0</v>
      </c>
      <c r="Q1007">
        <v>0</v>
      </c>
      <c r="R1007" s="2043">
        <v>3656702</v>
      </c>
      <c r="S1007">
        <v>222427</v>
      </c>
      <c r="T1007">
        <v>0</v>
      </c>
      <c r="U1007">
        <v>0.05</v>
      </c>
      <c r="V1007">
        <v>0</v>
      </c>
      <c r="W1007">
        <v>0</v>
      </c>
      <c r="X1007">
        <v>0</v>
      </c>
      <c r="Y1007">
        <v>0</v>
      </c>
      <c r="Z1007">
        <v>0</v>
      </c>
      <c r="AA1007">
        <v>0</v>
      </c>
      <c r="AB1007">
        <v>642.71199999999999</v>
      </c>
      <c r="AC1007" s="2043">
        <v>286451619</v>
      </c>
      <c r="AD1007">
        <v>1288091</v>
      </c>
      <c r="AE1007" s="2043">
        <v>3879129</v>
      </c>
      <c r="AF1007">
        <v>0.872</v>
      </c>
      <c r="AG1007">
        <v>0</v>
      </c>
      <c r="AH1007">
        <v>0</v>
      </c>
      <c r="AI1007">
        <v>0</v>
      </c>
      <c r="AJ1007">
        <v>115.78800000000001</v>
      </c>
      <c r="AK1007">
        <v>2708</v>
      </c>
      <c r="AL1007">
        <v>0.11600000000000001</v>
      </c>
      <c r="AM1007">
        <v>0</v>
      </c>
      <c r="AN1007">
        <v>28.317</v>
      </c>
      <c r="AO1007">
        <v>0</v>
      </c>
      <c r="AP1007">
        <v>0</v>
      </c>
      <c r="AQ1007">
        <v>0</v>
      </c>
      <c r="AR1007">
        <v>13.231</v>
      </c>
      <c r="AS1007">
        <v>0</v>
      </c>
      <c r="AT1007">
        <v>2.4279999999999999</v>
      </c>
      <c r="AU1007">
        <v>1.0609999999999999</v>
      </c>
      <c r="AV1007">
        <v>0</v>
      </c>
      <c r="AW1007">
        <v>16.836000000000002</v>
      </c>
      <c r="AX1007">
        <v>0</v>
      </c>
      <c r="AY1007">
        <v>52.862000000000002</v>
      </c>
      <c r="AZ1007">
        <v>0</v>
      </c>
      <c r="BA1007">
        <v>4148484</v>
      </c>
      <c r="BB1007">
        <v>5167220</v>
      </c>
      <c r="BC1007">
        <v>0</v>
      </c>
      <c r="BD1007">
        <v>44336</v>
      </c>
      <c r="BE1007">
        <v>2817</v>
      </c>
      <c r="BF1007">
        <v>47153</v>
      </c>
      <c r="BG1007">
        <v>44336</v>
      </c>
      <c r="BH1007">
        <v>0</v>
      </c>
      <c r="BI1007">
        <v>0</v>
      </c>
      <c r="BJ1007">
        <v>0</v>
      </c>
      <c r="BK1007">
        <v>0</v>
      </c>
      <c r="BL1007">
        <v>450407273</v>
      </c>
      <c r="BM1007">
        <v>0</v>
      </c>
      <c r="BN1007">
        <v>2268</v>
      </c>
      <c r="BO1007">
        <v>1648</v>
      </c>
      <c r="BP1007">
        <v>0</v>
      </c>
      <c r="BQ1007">
        <v>0</v>
      </c>
      <c r="BR1007">
        <v>0.82200000000000006</v>
      </c>
      <c r="BS1007">
        <v>0.82200000000000006</v>
      </c>
      <c r="BT1007">
        <v>0</v>
      </c>
      <c r="BU1007">
        <v>0</v>
      </c>
      <c r="BV1007">
        <v>0</v>
      </c>
      <c r="BW1007">
        <v>25</v>
      </c>
      <c r="BX1007">
        <v>273</v>
      </c>
      <c r="BY1007">
        <v>148</v>
      </c>
      <c r="BZ1007">
        <v>10</v>
      </c>
      <c r="CA1007">
        <v>456</v>
      </c>
      <c r="CB1007">
        <v>0</v>
      </c>
      <c r="CC1007">
        <v>0</v>
      </c>
      <c r="CD1007">
        <v>0</v>
      </c>
      <c r="CE1007">
        <v>76</v>
      </c>
      <c r="CF1007">
        <v>195.119</v>
      </c>
      <c r="CG1007">
        <v>0</v>
      </c>
      <c r="CH1007">
        <v>0</v>
      </c>
      <c r="CI1007">
        <v>1</v>
      </c>
      <c r="CJ1007">
        <v>3</v>
      </c>
      <c r="CK1007">
        <v>0</v>
      </c>
      <c r="CL1007">
        <v>0</v>
      </c>
      <c r="CM1007">
        <v>138.316</v>
      </c>
      <c r="CN1007">
        <v>0</v>
      </c>
      <c r="CO1007">
        <v>0</v>
      </c>
      <c r="CP1007">
        <v>0</v>
      </c>
      <c r="CQ1007">
        <v>0</v>
      </c>
      <c r="CR1007">
        <v>0</v>
      </c>
      <c r="CS1007">
        <v>51.836000000000006</v>
      </c>
      <c r="CT1007">
        <v>0</v>
      </c>
      <c r="CU1007">
        <v>0.20900000000000002</v>
      </c>
      <c r="CV1007">
        <v>26.719000000000001</v>
      </c>
      <c r="CW1007">
        <v>16.891999999999999</v>
      </c>
      <c r="CX1007">
        <v>0</v>
      </c>
      <c r="CY1007" s="2043">
        <v>0</v>
      </c>
      <c r="CZ1007" s="2043">
        <v>0</v>
      </c>
      <c r="DA1007" s="2043">
        <v>0</v>
      </c>
      <c r="DB1007" s="2043">
        <v>0</v>
      </c>
      <c r="DC1007" s="2043">
        <v>0</v>
      </c>
      <c r="DI1007" t="s">
        <v>3197</v>
      </c>
      <c r="DJ1007" t="s">
        <v>3197</v>
      </c>
      <c r="DK1007" s="2042">
        <f t="shared" si="17"/>
        <v>0</v>
      </c>
    </row>
    <row r="1008" spans="1:115">
      <c r="A1008" t="s">
        <v>5875</v>
      </c>
      <c r="B1008" t="s">
        <v>1369</v>
      </c>
      <c r="C1008">
        <v>115.03100000000001</v>
      </c>
      <c r="D1008">
        <v>105.76300000000001</v>
      </c>
      <c r="E1008">
        <v>1.9280000000000002</v>
      </c>
      <c r="F1008">
        <v>0</v>
      </c>
      <c r="G1008" s="2043">
        <v>112933606</v>
      </c>
      <c r="H1008">
        <v>0</v>
      </c>
      <c r="I1008" s="2043">
        <v>154750</v>
      </c>
      <c r="J1008">
        <v>4</v>
      </c>
      <c r="K1008">
        <v>11</v>
      </c>
      <c r="L1008">
        <v>0</v>
      </c>
      <c r="M1008">
        <v>0</v>
      </c>
      <c r="N1008">
        <v>0</v>
      </c>
      <c r="O1008">
        <v>0</v>
      </c>
      <c r="P1008">
        <v>0</v>
      </c>
      <c r="Q1008">
        <v>0</v>
      </c>
      <c r="R1008" s="2043">
        <v>903148</v>
      </c>
      <c r="S1008">
        <v>87898</v>
      </c>
      <c r="T1008">
        <v>33511</v>
      </c>
      <c r="U1008">
        <v>0.08</v>
      </c>
      <c r="V1008">
        <v>0</v>
      </c>
      <c r="W1008">
        <v>0</v>
      </c>
      <c r="X1008">
        <v>0</v>
      </c>
      <c r="Y1008">
        <v>116232</v>
      </c>
      <c r="Z1008">
        <v>0</v>
      </c>
      <c r="AA1008">
        <v>0</v>
      </c>
      <c r="AB1008">
        <v>105.76300000000001</v>
      </c>
      <c r="AC1008" s="2043">
        <v>94022444</v>
      </c>
      <c r="AD1008">
        <v>172872</v>
      </c>
      <c r="AE1008" s="2043">
        <v>1024557</v>
      </c>
      <c r="AF1008">
        <v>0.9325</v>
      </c>
      <c r="AG1008">
        <v>0</v>
      </c>
      <c r="AH1008">
        <v>0</v>
      </c>
      <c r="AI1008">
        <v>0</v>
      </c>
      <c r="AJ1008">
        <v>14.063000000000001</v>
      </c>
      <c r="AK1008">
        <v>660</v>
      </c>
      <c r="AL1008">
        <v>1.6E-2</v>
      </c>
      <c r="AM1008">
        <v>0</v>
      </c>
      <c r="AN1008">
        <v>5.6970000000000001</v>
      </c>
      <c r="AO1008">
        <v>0</v>
      </c>
      <c r="AP1008">
        <v>0</v>
      </c>
      <c r="AQ1008">
        <v>0</v>
      </c>
      <c r="AR1008">
        <v>3.3520000000000003</v>
      </c>
      <c r="AS1008">
        <v>0</v>
      </c>
      <c r="AT1008">
        <v>0</v>
      </c>
      <c r="AU1008">
        <v>0.33100000000000002</v>
      </c>
      <c r="AV1008">
        <v>0</v>
      </c>
      <c r="AW1008">
        <v>3.6990000000000003</v>
      </c>
      <c r="AX1008">
        <v>0</v>
      </c>
      <c r="AY1008">
        <v>11.791</v>
      </c>
      <c r="AZ1008">
        <v>0</v>
      </c>
      <c r="BA1008">
        <v>1134366</v>
      </c>
      <c r="BB1008">
        <v>1197429</v>
      </c>
      <c r="BC1008">
        <v>0</v>
      </c>
      <c r="BD1008">
        <v>9506</v>
      </c>
      <c r="BE1008">
        <v>0</v>
      </c>
      <c r="BF1008">
        <v>9506</v>
      </c>
      <c r="BG1008">
        <v>9506</v>
      </c>
      <c r="BH1008">
        <v>0</v>
      </c>
      <c r="BI1008">
        <v>0</v>
      </c>
      <c r="BJ1008">
        <v>0</v>
      </c>
      <c r="BK1008">
        <v>0</v>
      </c>
      <c r="BL1008">
        <v>112933606</v>
      </c>
      <c r="BM1008">
        <v>0</v>
      </c>
      <c r="BN1008">
        <v>468</v>
      </c>
      <c r="BO1008">
        <v>289</v>
      </c>
      <c r="BP1008">
        <v>0</v>
      </c>
      <c r="BQ1008">
        <v>0</v>
      </c>
      <c r="BR1008">
        <v>0.82200000000000006</v>
      </c>
      <c r="BS1008">
        <v>0.82200000000000006</v>
      </c>
      <c r="BT1008">
        <v>0</v>
      </c>
      <c r="BU1008">
        <v>0</v>
      </c>
      <c r="BV1008">
        <v>4</v>
      </c>
      <c r="BW1008">
        <v>47</v>
      </c>
      <c r="BX1008">
        <v>8</v>
      </c>
      <c r="BY1008">
        <v>0</v>
      </c>
      <c r="BZ1008">
        <v>0</v>
      </c>
      <c r="CA1008">
        <v>59</v>
      </c>
      <c r="CB1008">
        <v>0</v>
      </c>
      <c r="CC1008">
        <v>0</v>
      </c>
      <c r="CD1008">
        <v>0</v>
      </c>
      <c r="CE1008">
        <v>17</v>
      </c>
      <c r="CF1008">
        <v>21.701000000000001</v>
      </c>
      <c r="CG1008">
        <v>0</v>
      </c>
      <c r="CH1008">
        <v>0</v>
      </c>
      <c r="CI1008">
        <v>2</v>
      </c>
      <c r="CJ1008">
        <v>2</v>
      </c>
      <c r="CK1008">
        <v>1</v>
      </c>
      <c r="CL1008">
        <v>0</v>
      </c>
      <c r="CM1008">
        <v>1.9280000000000002</v>
      </c>
      <c r="CN1008">
        <v>0</v>
      </c>
      <c r="CO1008">
        <v>0</v>
      </c>
      <c r="CP1008">
        <v>0</v>
      </c>
      <c r="CQ1008">
        <v>0</v>
      </c>
      <c r="CR1008">
        <v>0</v>
      </c>
      <c r="CS1008">
        <v>0</v>
      </c>
      <c r="CT1008">
        <v>0</v>
      </c>
      <c r="CU1008">
        <v>0</v>
      </c>
      <c r="CV1008">
        <v>12.681000000000001</v>
      </c>
      <c r="CW1008">
        <v>2.9730000000000003</v>
      </c>
      <c r="CX1008">
        <v>0</v>
      </c>
      <c r="CY1008" s="2043">
        <v>116232</v>
      </c>
      <c r="CZ1008" s="2043">
        <v>0</v>
      </c>
      <c r="DA1008" s="2043">
        <v>0</v>
      </c>
      <c r="DB1008" s="2043">
        <v>0</v>
      </c>
      <c r="DC1008" s="2043">
        <v>0</v>
      </c>
      <c r="DI1008" t="s">
        <v>5875</v>
      </c>
      <c r="DJ1008" t="s">
        <v>5875</v>
      </c>
      <c r="DK1008" s="2042">
        <f t="shared" si="17"/>
        <v>0</v>
      </c>
    </row>
    <row r="1009" spans="1:115">
      <c r="A1009" t="s">
        <v>5876</v>
      </c>
      <c r="B1009" t="s">
        <v>1370</v>
      </c>
      <c r="C1009">
        <v>121.40600000000001</v>
      </c>
      <c r="D1009">
        <v>123.28200000000001</v>
      </c>
      <c r="E1009">
        <v>1.5090000000000001</v>
      </c>
      <c r="F1009">
        <v>0</v>
      </c>
      <c r="G1009" s="2043">
        <v>80280975</v>
      </c>
      <c r="H1009">
        <v>0</v>
      </c>
      <c r="I1009" s="2043">
        <v>0</v>
      </c>
      <c r="J1009">
        <v>6.07</v>
      </c>
      <c r="K1009">
        <v>17</v>
      </c>
      <c r="L1009">
        <v>0</v>
      </c>
      <c r="M1009">
        <v>0</v>
      </c>
      <c r="N1009">
        <v>0</v>
      </c>
      <c r="O1009">
        <v>0</v>
      </c>
      <c r="P1009">
        <v>0</v>
      </c>
      <c r="Q1009">
        <v>0</v>
      </c>
      <c r="R1009" s="2043">
        <v>651825</v>
      </c>
      <c r="S1009">
        <v>63438</v>
      </c>
      <c r="T1009">
        <v>46230</v>
      </c>
      <c r="U1009">
        <v>0.08</v>
      </c>
      <c r="V1009">
        <v>0</v>
      </c>
      <c r="W1009">
        <v>0</v>
      </c>
      <c r="X1009">
        <v>0</v>
      </c>
      <c r="Y1009">
        <v>0</v>
      </c>
      <c r="Z1009">
        <v>0</v>
      </c>
      <c r="AA1009">
        <v>0</v>
      </c>
      <c r="AB1009">
        <v>123.28200000000001</v>
      </c>
      <c r="AC1009" s="2043">
        <v>66158510</v>
      </c>
      <c r="AD1009">
        <v>0</v>
      </c>
      <c r="AE1009" s="2043">
        <v>761493</v>
      </c>
      <c r="AF1009">
        <v>0.96030000000000004</v>
      </c>
      <c r="AG1009">
        <v>0</v>
      </c>
      <c r="AH1009">
        <v>0</v>
      </c>
      <c r="AI1009">
        <v>0</v>
      </c>
      <c r="AJ1009">
        <v>16.488</v>
      </c>
      <c r="AK1009">
        <v>1205</v>
      </c>
      <c r="AL1009">
        <v>0</v>
      </c>
      <c r="AM1009">
        <v>0</v>
      </c>
      <c r="AN1009">
        <v>5.1660000000000004</v>
      </c>
      <c r="AO1009">
        <v>0</v>
      </c>
      <c r="AP1009">
        <v>0</v>
      </c>
      <c r="AQ1009">
        <v>5.6230000000000002</v>
      </c>
      <c r="AR1009">
        <v>1.5250000000000001</v>
      </c>
      <c r="AS1009">
        <v>0</v>
      </c>
      <c r="AT1009">
        <v>0</v>
      </c>
      <c r="AU1009">
        <v>0.10100000000000001</v>
      </c>
      <c r="AV1009">
        <v>0</v>
      </c>
      <c r="AW1009">
        <v>7.2490000000000006</v>
      </c>
      <c r="AX1009">
        <v>0</v>
      </c>
      <c r="AY1009">
        <v>5.08</v>
      </c>
      <c r="AZ1009">
        <v>0</v>
      </c>
      <c r="BA1009">
        <v>1525873</v>
      </c>
      <c r="BB1009">
        <v>761493</v>
      </c>
      <c r="BC1009">
        <v>0</v>
      </c>
      <c r="BD1009">
        <v>9804</v>
      </c>
      <c r="BE1009">
        <v>0</v>
      </c>
      <c r="BF1009">
        <v>9804</v>
      </c>
      <c r="BG1009">
        <v>9804</v>
      </c>
      <c r="BH1009">
        <v>0</v>
      </c>
      <c r="BI1009">
        <v>0</v>
      </c>
      <c r="BJ1009">
        <v>0</v>
      </c>
      <c r="BK1009">
        <v>0</v>
      </c>
      <c r="BL1009">
        <v>80280975</v>
      </c>
      <c r="BM1009">
        <v>0</v>
      </c>
      <c r="BN1009">
        <v>486</v>
      </c>
      <c r="BO1009">
        <v>310</v>
      </c>
      <c r="BP1009">
        <v>0</v>
      </c>
      <c r="BQ1009">
        <v>0</v>
      </c>
      <c r="BR1009">
        <v>0.82200000000000006</v>
      </c>
      <c r="BS1009">
        <v>0.82200000000000006</v>
      </c>
      <c r="BT1009">
        <v>0</v>
      </c>
      <c r="BU1009">
        <v>0</v>
      </c>
      <c r="BV1009">
        <v>2</v>
      </c>
      <c r="BW1009">
        <v>0</v>
      </c>
      <c r="BX1009">
        <v>62</v>
      </c>
      <c r="BY1009">
        <v>1</v>
      </c>
      <c r="BZ1009">
        <v>1</v>
      </c>
      <c r="CA1009">
        <v>66</v>
      </c>
      <c r="CB1009">
        <v>0</v>
      </c>
      <c r="CC1009">
        <v>0</v>
      </c>
      <c r="CD1009">
        <v>0</v>
      </c>
      <c r="CE1009">
        <v>8</v>
      </c>
      <c r="CF1009">
        <v>18.446000000000002</v>
      </c>
      <c r="CG1009">
        <v>0</v>
      </c>
      <c r="CH1009">
        <v>20.301000000000002</v>
      </c>
      <c r="CI1009">
        <v>1</v>
      </c>
      <c r="CJ1009">
        <v>2</v>
      </c>
      <c r="CK1009">
        <v>0</v>
      </c>
      <c r="CL1009">
        <v>20.301000000000002</v>
      </c>
      <c r="CM1009">
        <v>1.5090000000000001</v>
      </c>
      <c r="CN1009">
        <v>0</v>
      </c>
      <c r="CO1009">
        <v>0</v>
      </c>
      <c r="CP1009">
        <v>0</v>
      </c>
      <c r="CQ1009">
        <v>0</v>
      </c>
      <c r="CR1009">
        <v>0</v>
      </c>
      <c r="CS1009">
        <v>0</v>
      </c>
      <c r="CT1009">
        <v>0</v>
      </c>
      <c r="CU1009">
        <v>0</v>
      </c>
      <c r="CV1009">
        <v>6.69</v>
      </c>
      <c r="CW1009">
        <v>8.9150000000000009</v>
      </c>
      <c r="CX1009">
        <v>0</v>
      </c>
      <c r="CY1009" s="2043">
        <v>0</v>
      </c>
      <c r="CZ1009" s="2043">
        <v>0</v>
      </c>
      <c r="DA1009" s="2043">
        <v>0</v>
      </c>
      <c r="DB1009" s="2043">
        <v>0</v>
      </c>
      <c r="DC1009" s="2043">
        <v>0</v>
      </c>
      <c r="DI1009" t="s">
        <v>5876</v>
      </c>
      <c r="DJ1009" t="s">
        <v>5876</v>
      </c>
      <c r="DK1009" s="2042">
        <f t="shared" si="17"/>
        <v>0</v>
      </c>
    </row>
    <row r="1010" spans="1:115">
      <c r="A1010" t="s">
        <v>5249</v>
      </c>
      <c r="B1010" t="s">
        <v>1302</v>
      </c>
      <c r="C1010">
        <v>226.59300000000002</v>
      </c>
      <c r="D1010">
        <v>231.41900000000001</v>
      </c>
      <c r="E1010">
        <v>14.748000000000001</v>
      </c>
      <c r="F1010">
        <v>579850</v>
      </c>
      <c r="G1010" s="2043">
        <v>352455173</v>
      </c>
      <c r="H1010">
        <v>0</v>
      </c>
      <c r="I1010" s="2043">
        <v>702090</v>
      </c>
      <c r="J1010">
        <v>11.33</v>
      </c>
      <c r="K1010">
        <v>31</v>
      </c>
      <c r="L1010">
        <v>0</v>
      </c>
      <c r="M1010">
        <v>0</v>
      </c>
      <c r="N1010">
        <v>0</v>
      </c>
      <c r="O1010">
        <v>0</v>
      </c>
      <c r="P1010">
        <v>0</v>
      </c>
      <c r="Q1010">
        <v>0</v>
      </c>
      <c r="R1010" s="2043">
        <v>2442624</v>
      </c>
      <c r="S1010">
        <v>148578</v>
      </c>
      <c r="T1010">
        <v>0</v>
      </c>
      <c r="U1010">
        <v>0.05</v>
      </c>
      <c r="V1010">
        <v>0</v>
      </c>
      <c r="W1010">
        <v>0</v>
      </c>
      <c r="X1010">
        <v>0</v>
      </c>
      <c r="Y1010">
        <v>579850</v>
      </c>
      <c r="Z1010">
        <v>0</v>
      </c>
      <c r="AA1010">
        <v>0</v>
      </c>
      <c r="AB1010">
        <v>231.41900000000001</v>
      </c>
      <c r="AC1010" s="2043">
        <v>202889153</v>
      </c>
      <c r="AD1010">
        <v>626256</v>
      </c>
      <c r="AE1010" s="2043">
        <v>2591202</v>
      </c>
      <c r="AF1010">
        <v>0.872</v>
      </c>
      <c r="AG1010">
        <v>0</v>
      </c>
      <c r="AH1010">
        <v>0</v>
      </c>
      <c r="AI1010">
        <v>0</v>
      </c>
      <c r="AJ1010">
        <v>28.688000000000002</v>
      </c>
      <c r="AK1010">
        <v>751</v>
      </c>
      <c r="AL1010">
        <v>0</v>
      </c>
      <c r="AM1010">
        <v>0</v>
      </c>
      <c r="AN1010">
        <v>10.652000000000001</v>
      </c>
      <c r="AO1010">
        <v>0</v>
      </c>
      <c r="AP1010">
        <v>0</v>
      </c>
      <c r="AQ1010">
        <v>0</v>
      </c>
      <c r="AR1010">
        <v>2.56</v>
      </c>
      <c r="AS1010">
        <v>0</v>
      </c>
      <c r="AT1010">
        <v>8.900000000000001E-2</v>
      </c>
      <c r="AU1010">
        <v>0.222</v>
      </c>
      <c r="AV1010">
        <v>0</v>
      </c>
      <c r="AW1010">
        <v>2.871</v>
      </c>
      <c r="AX1010">
        <v>0</v>
      </c>
      <c r="AY1010">
        <v>9.0570000000000004</v>
      </c>
      <c r="AZ1010">
        <v>0</v>
      </c>
      <c r="BA1010">
        <v>730225</v>
      </c>
      <c r="BB1010">
        <v>3217458</v>
      </c>
      <c r="BC1010">
        <v>0</v>
      </c>
      <c r="BD1010">
        <v>17381</v>
      </c>
      <c r="BE1010">
        <v>0</v>
      </c>
      <c r="BF1010">
        <v>17381</v>
      </c>
      <c r="BG1010">
        <v>17381</v>
      </c>
      <c r="BH1010">
        <v>0</v>
      </c>
      <c r="BI1010">
        <v>0</v>
      </c>
      <c r="BJ1010">
        <v>0</v>
      </c>
      <c r="BK1010">
        <v>0</v>
      </c>
      <c r="BL1010">
        <v>352455173</v>
      </c>
      <c r="BM1010">
        <v>0</v>
      </c>
      <c r="BN1010">
        <v>828</v>
      </c>
      <c r="BO1010">
        <v>696</v>
      </c>
      <c r="BP1010">
        <v>0</v>
      </c>
      <c r="BQ1010">
        <v>0</v>
      </c>
      <c r="BR1010">
        <v>0.82200000000000006</v>
      </c>
      <c r="BS1010">
        <v>0.82200000000000006</v>
      </c>
      <c r="BT1010">
        <v>0</v>
      </c>
      <c r="BU1010">
        <v>0</v>
      </c>
      <c r="BV1010">
        <v>16</v>
      </c>
      <c r="BW1010">
        <v>74</v>
      </c>
      <c r="BX1010">
        <v>9</v>
      </c>
      <c r="BY1010">
        <v>19</v>
      </c>
      <c r="BZ1010">
        <v>1</v>
      </c>
      <c r="CA1010">
        <v>119</v>
      </c>
      <c r="CB1010">
        <v>0</v>
      </c>
      <c r="CC1010">
        <v>0</v>
      </c>
      <c r="CD1010">
        <v>0</v>
      </c>
      <c r="CE1010">
        <v>14</v>
      </c>
      <c r="CF1010">
        <v>34.791000000000004</v>
      </c>
      <c r="CG1010">
        <v>0</v>
      </c>
      <c r="CH1010">
        <v>0</v>
      </c>
      <c r="CI1010">
        <v>1</v>
      </c>
      <c r="CJ1010">
        <v>1</v>
      </c>
      <c r="CK1010">
        <v>0</v>
      </c>
      <c r="CL1010">
        <v>0</v>
      </c>
      <c r="CM1010">
        <v>14.748000000000001</v>
      </c>
      <c r="CN1010">
        <v>0</v>
      </c>
      <c r="CO1010">
        <v>0</v>
      </c>
      <c r="CP1010">
        <v>0</v>
      </c>
      <c r="CQ1010">
        <v>0</v>
      </c>
      <c r="CR1010">
        <v>0</v>
      </c>
      <c r="CS1010">
        <v>0</v>
      </c>
      <c r="CT1010">
        <v>0</v>
      </c>
      <c r="CU1010">
        <v>0</v>
      </c>
      <c r="CV1010">
        <v>10.591000000000001</v>
      </c>
      <c r="CW1010">
        <v>5.3959999999999999</v>
      </c>
      <c r="CX1010">
        <v>0</v>
      </c>
      <c r="CY1010" s="2043">
        <v>0</v>
      </c>
      <c r="CZ1010" s="2043">
        <v>0</v>
      </c>
      <c r="DA1010" s="2043">
        <v>0</v>
      </c>
      <c r="DB1010" s="2043">
        <v>579850</v>
      </c>
      <c r="DC1010" s="2043">
        <v>0</v>
      </c>
      <c r="DI1010" t="s">
        <v>5877</v>
      </c>
      <c r="DJ1010" t="s">
        <v>5249</v>
      </c>
      <c r="DK1010" s="2042">
        <f t="shared" si="17"/>
        <v>-1000</v>
      </c>
    </row>
    <row r="1011" spans="1:115">
      <c r="A1011" t="s">
        <v>5877</v>
      </c>
      <c r="B1011" t="s">
        <v>1301</v>
      </c>
      <c r="C1011">
        <v>465.23200000000003</v>
      </c>
      <c r="D1011">
        <v>468.05500000000001</v>
      </c>
      <c r="E1011">
        <v>51.251000000000005</v>
      </c>
      <c r="F1011">
        <v>0</v>
      </c>
      <c r="G1011" s="2043">
        <v>373174747</v>
      </c>
      <c r="H1011">
        <v>0</v>
      </c>
      <c r="I1011" s="2043">
        <v>0</v>
      </c>
      <c r="J1011">
        <v>23.262</v>
      </c>
      <c r="K1011">
        <v>64</v>
      </c>
      <c r="L1011">
        <v>0</v>
      </c>
      <c r="M1011">
        <v>0</v>
      </c>
      <c r="N1011">
        <v>0</v>
      </c>
      <c r="O1011">
        <v>0</v>
      </c>
      <c r="P1011">
        <v>0</v>
      </c>
      <c r="Q1011">
        <v>0</v>
      </c>
      <c r="R1011" s="2043">
        <v>2938847</v>
      </c>
      <c r="S1011">
        <v>286019</v>
      </c>
      <c r="T1011">
        <v>208794</v>
      </c>
      <c r="U1011">
        <v>0.08</v>
      </c>
      <c r="V1011">
        <v>0</v>
      </c>
      <c r="W1011">
        <v>0</v>
      </c>
      <c r="X1011">
        <v>0</v>
      </c>
      <c r="Y1011">
        <v>0</v>
      </c>
      <c r="Z1011">
        <v>0</v>
      </c>
      <c r="AA1011">
        <v>0.23600000000000002</v>
      </c>
      <c r="AB1011">
        <v>468.05500000000001</v>
      </c>
      <c r="AC1011" s="2043">
        <v>293112939</v>
      </c>
      <c r="AD1011">
        <v>0</v>
      </c>
      <c r="AE1011" s="2043">
        <v>3433660</v>
      </c>
      <c r="AF1011">
        <v>0.96040000000000003</v>
      </c>
      <c r="AG1011">
        <v>0</v>
      </c>
      <c r="AH1011">
        <v>0</v>
      </c>
      <c r="AI1011">
        <v>0</v>
      </c>
      <c r="AJ1011">
        <v>76.113</v>
      </c>
      <c r="AK1011">
        <v>1435</v>
      </c>
      <c r="AL1011">
        <v>0</v>
      </c>
      <c r="AM1011">
        <v>0</v>
      </c>
      <c r="AN1011">
        <v>9.641</v>
      </c>
      <c r="AO1011">
        <v>0</v>
      </c>
      <c r="AP1011">
        <v>0</v>
      </c>
      <c r="AQ1011">
        <v>0</v>
      </c>
      <c r="AR1011">
        <v>8.2149999999999999</v>
      </c>
      <c r="AS1011">
        <v>0</v>
      </c>
      <c r="AT1011">
        <v>1.3980000000000001</v>
      </c>
      <c r="AU1011">
        <v>0.59400000000000008</v>
      </c>
      <c r="AV1011">
        <v>0</v>
      </c>
      <c r="AW1011">
        <v>10.207000000000001</v>
      </c>
      <c r="AX1011">
        <v>0</v>
      </c>
      <c r="AY1011">
        <v>31.809000000000001</v>
      </c>
      <c r="AZ1011">
        <v>0</v>
      </c>
      <c r="BA1011">
        <v>2659576</v>
      </c>
      <c r="BB1011">
        <v>3433660</v>
      </c>
      <c r="BC1011">
        <v>0</v>
      </c>
      <c r="BD1011">
        <v>41243</v>
      </c>
      <c r="BE1011">
        <v>0</v>
      </c>
      <c r="BF1011">
        <v>41243</v>
      </c>
      <c r="BG1011">
        <v>41243</v>
      </c>
      <c r="BH1011">
        <v>0</v>
      </c>
      <c r="BI1011">
        <v>0</v>
      </c>
      <c r="BJ1011">
        <v>0</v>
      </c>
      <c r="BK1011">
        <v>0</v>
      </c>
      <c r="BL1011">
        <v>373174747</v>
      </c>
      <c r="BM1011">
        <v>0</v>
      </c>
      <c r="BN1011">
        <v>1809</v>
      </c>
      <c r="BO1011">
        <v>1552</v>
      </c>
      <c r="BP1011">
        <v>0</v>
      </c>
      <c r="BQ1011">
        <v>0</v>
      </c>
      <c r="BR1011">
        <v>0.82200000000000006</v>
      </c>
      <c r="BS1011">
        <v>0.82200000000000006</v>
      </c>
      <c r="BT1011">
        <v>0</v>
      </c>
      <c r="BU1011">
        <v>0</v>
      </c>
      <c r="BV1011">
        <v>25</v>
      </c>
      <c r="BW1011">
        <v>291</v>
      </c>
      <c r="BX1011">
        <v>0</v>
      </c>
      <c r="BY1011">
        <v>0</v>
      </c>
      <c r="BZ1011">
        <v>5</v>
      </c>
      <c r="CA1011">
        <v>321</v>
      </c>
      <c r="CB1011">
        <v>0</v>
      </c>
      <c r="CC1011">
        <v>0</v>
      </c>
      <c r="CD1011">
        <v>0</v>
      </c>
      <c r="CE1011">
        <v>21</v>
      </c>
      <c r="CF1011">
        <v>101.72</v>
      </c>
      <c r="CG1011">
        <v>0</v>
      </c>
      <c r="CH1011">
        <v>0</v>
      </c>
      <c r="CI1011">
        <v>1</v>
      </c>
      <c r="CJ1011">
        <v>4</v>
      </c>
      <c r="CK1011">
        <v>0</v>
      </c>
      <c r="CL1011">
        <v>0</v>
      </c>
      <c r="CM1011">
        <v>51.251000000000005</v>
      </c>
      <c r="CN1011">
        <v>0</v>
      </c>
      <c r="CO1011">
        <v>0</v>
      </c>
      <c r="CP1011">
        <v>0</v>
      </c>
      <c r="CQ1011">
        <v>0</v>
      </c>
      <c r="CR1011">
        <v>0</v>
      </c>
      <c r="CS1011">
        <v>0</v>
      </c>
      <c r="CT1011">
        <v>0</v>
      </c>
      <c r="CU1011">
        <v>0</v>
      </c>
      <c r="CV1011">
        <v>32.923000000000002</v>
      </c>
      <c r="CW1011">
        <v>15.539000000000001</v>
      </c>
      <c r="CX1011">
        <v>0</v>
      </c>
      <c r="CY1011" s="2043">
        <v>0</v>
      </c>
      <c r="CZ1011" s="2043">
        <v>0</v>
      </c>
      <c r="DA1011" s="2043">
        <v>0</v>
      </c>
      <c r="DB1011" s="2043">
        <v>0</v>
      </c>
      <c r="DC1011" s="2043">
        <v>85560</v>
      </c>
      <c r="DI1011" t="s">
        <v>5249</v>
      </c>
      <c r="DJ1011" t="s">
        <v>5877</v>
      </c>
      <c r="DK1011" s="2042">
        <f t="shared" si="17"/>
        <v>1000</v>
      </c>
    </row>
    <row r="1012" spans="1:115">
      <c r="A1012" t="s">
        <v>5250</v>
      </c>
      <c r="B1012" t="s">
        <v>1303</v>
      </c>
      <c r="C1012">
        <v>2339.86</v>
      </c>
      <c r="D1012">
        <v>2424.7290000000003</v>
      </c>
      <c r="E1012">
        <v>170.33</v>
      </c>
      <c r="F1012">
        <v>0</v>
      </c>
      <c r="G1012" s="2043">
        <v>1939446399</v>
      </c>
      <c r="H1012">
        <v>0</v>
      </c>
      <c r="I1012" s="2043">
        <v>1676475</v>
      </c>
      <c r="J1012">
        <v>116.99300000000001</v>
      </c>
      <c r="K1012">
        <v>320</v>
      </c>
      <c r="L1012">
        <v>0</v>
      </c>
      <c r="M1012">
        <v>0</v>
      </c>
      <c r="N1012">
        <v>0</v>
      </c>
      <c r="O1012">
        <v>0</v>
      </c>
      <c r="P1012">
        <v>0</v>
      </c>
      <c r="Q1012">
        <v>0</v>
      </c>
      <c r="R1012" s="2043">
        <v>15529886</v>
      </c>
      <c r="S1012">
        <v>850114</v>
      </c>
      <c r="T1012">
        <v>0</v>
      </c>
      <c r="U1012">
        <v>0.05</v>
      </c>
      <c r="V1012">
        <v>0</v>
      </c>
      <c r="W1012">
        <v>0</v>
      </c>
      <c r="X1012">
        <v>0</v>
      </c>
      <c r="Y1012">
        <v>1490689</v>
      </c>
      <c r="Z1012">
        <v>0</v>
      </c>
      <c r="AA1012">
        <v>0.58800000000000008</v>
      </c>
      <c r="AB1012">
        <v>2275.2940000000003</v>
      </c>
      <c r="AC1012" s="2043">
        <v>2333532055</v>
      </c>
      <c r="AD1012">
        <v>1320000</v>
      </c>
      <c r="AE1012" s="2043">
        <v>16380000</v>
      </c>
      <c r="AF1012">
        <v>0.96340000000000003</v>
      </c>
      <c r="AG1012">
        <v>0</v>
      </c>
      <c r="AH1012">
        <v>0</v>
      </c>
      <c r="AI1012">
        <v>0</v>
      </c>
      <c r="AJ1012">
        <v>416.67500000000001</v>
      </c>
      <c r="AK1012">
        <v>7562</v>
      </c>
      <c r="AL1012">
        <v>0.1</v>
      </c>
      <c r="AM1012">
        <v>0</v>
      </c>
      <c r="AN1012">
        <v>56.366</v>
      </c>
      <c r="AO1012">
        <v>0</v>
      </c>
      <c r="AP1012">
        <v>0</v>
      </c>
      <c r="AQ1012">
        <v>0</v>
      </c>
      <c r="AR1012">
        <v>50.334000000000003</v>
      </c>
      <c r="AS1012">
        <v>0</v>
      </c>
      <c r="AT1012">
        <v>21.988</v>
      </c>
      <c r="AU1012">
        <v>5.7010000000000005</v>
      </c>
      <c r="AV1012">
        <v>0</v>
      </c>
      <c r="AW1012">
        <v>78.123000000000005</v>
      </c>
      <c r="AX1012">
        <v>0</v>
      </c>
      <c r="AY1012">
        <v>245.971</v>
      </c>
      <c r="AZ1012">
        <v>0</v>
      </c>
      <c r="BA1012">
        <v>5569972</v>
      </c>
      <c r="BB1012">
        <v>17700000</v>
      </c>
      <c r="BC1012">
        <v>0</v>
      </c>
      <c r="BD1012">
        <v>118692</v>
      </c>
      <c r="BE1012">
        <v>24144</v>
      </c>
      <c r="BF1012">
        <v>142836</v>
      </c>
      <c r="BG1012">
        <v>118692</v>
      </c>
      <c r="BH1012">
        <v>0</v>
      </c>
      <c r="BI1012">
        <v>0</v>
      </c>
      <c r="BJ1012">
        <v>0</v>
      </c>
      <c r="BK1012">
        <v>0</v>
      </c>
      <c r="BL1012">
        <v>1939446399</v>
      </c>
      <c r="BM1012">
        <v>0</v>
      </c>
      <c r="BN1012">
        <v>8919</v>
      </c>
      <c r="BO1012">
        <v>5361</v>
      </c>
      <c r="BP1012">
        <v>131502</v>
      </c>
      <c r="BQ1012">
        <v>0</v>
      </c>
      <c r="BR1012">
        <v>0.91339999999999999</v>
      </c>
      <c r="BS1012">
        <v>0.91339999999999999</v>
      </c>
      <c r="BT1012">
        <v>1490689</v>
      </c>
      <c r="BU1012">
        <v>0</v>
      </c>
      <c r="BV1012">
        <v>276</v>
      </c>
      <c r="BW1012">
        <v>440</v>
      </c>
      <c r="BX1012">
        <v>411</v>
      </c>
      <c r="BY1012">
        <v>556</v>
      </c>
      <c r="BZ1012">
        <v>5</v>
      </c>
      <c r="CA1012">
        <v>1688</v>
      </c>
      <c r="CB1012">
        <v>0</v>
      </c>
      <c r="CC1012">
        <v>124.58200000000001</v>
      </c>
      <c r="CD1012">
        <v>32.371000000000002</v>
      </c>
      <c r="CE1012">
        <v>71</v>
      </c>
      <c r="CF1012">
        <v>599.07299999999998</v>
      </c>
      <c r="CG1012">
        <v>0</v>
      </c>
      <c r="CH1012">
        <v>0</v>
      </c>
      <c r="CI1012">
        <v>2</v>
      </c>
      <c r="CJ1012">
        <v>13</v>
      </c>
      <c r="CK1012">
        <v>0</v>
      </c>
      <c r="CL1012">
        <v>0</v>
      </c>
      <c r="CM1012">
        <v>170.33</v>
      </c>
      <c r="CN1012">
        <v>0</v>
      </c>
      <c r="CO1012">
        <v>83845</v>
      </c>
      <c r="CP1012">
        <v>41657</v>
      </c>
      <c r="CQ1012">
        <v>6000</v>
      </c>
      <c r="CR1012">
        <v>0</v>
      </c>
      <c r="CS1012">
        <v>288.06100000000004</v>
      </c>
      <c r="CT1012">
        <v>0</v>
      </c>
      <c r="CU1012">
        <v>8.0609999999999999</v>
      </c>
      <c r="CV1012">
        <v>168.393</v>
      </c>
      <c r="CW1012">
        <v>57.227000000000004</v>
      </c>
      <c r="CX1012">
        <v>1490689</v>
      </c>
      <c r="CY1012" s="2043">
        <v>0</v>
      </c>
      <c r="CZ1012" s="2043">
        <v>0</v>
      </c>
      <c r="DA1012" s="2043">
        <v>0</v>
      </c>
      <c r="DB1012" s="2043">
        <v>0</v>
      </c>
      <c r="DC1012" s="2043">
        <v>476000</v>
      </c>
      <c r="DI1012" t="s">
        <v>5250</v>
      </c>
      <c r="DJ1012" t="s">
        <v>5250</v>
      </c>
      <c r="DK1012" s="2042">
        <f t="shared" si="17"/>
        <v>0</v>
      </c>
    </row>
    <row r="1013" spans="1:115">
      <c r="A1013" t="s">
        <v>5251</v>
      </c>
      <c r="B1013" t="s">
        <v>1387</v>
      </c>
      <c r="C1013">
        <v>266.80600000000004</v>
      </c>
      <c r="D1013">
        <v>264.69</v>
      </c>
      <c r="E1013">
        <v>5.8959999999999999</v>
      </c>
      <c r="F1013">
        <v>0</v>
      </c>
      <c r="G1013" s="2043">
        <v>102783047</v>
      </c>
      <c r="H1013">
        <v>0</v>
      </c>
      <c r="I1013" s="2043">
        <v>651900</v>
      </c>
      <c r="J1013">
        <v>5</v>
      </c>
      <c r="K1013">
        <v>14</v>
      </c>
      <c r="L1013">
        <v>0</v>
      </c>
      <c r="M1013">
        <v>0</v>
      </c>
      <c r="N1013">
        <v>0</v>
      </c>
      <c r="O1013">
        <v>0</v>
      </c>
      <c r="P1013">
        <v>0</v>
      </c>
      <c r="Q1013">
        <v>0</v>
      </c>
      <c r="R1013" s="2043">
        <v>939107</v>
      </c>
      <c r="S1013">
        <v>51407</v>
      </c>
      <c r="T1013">
        <v>0</v>
      </c>
      <c r="U1013">
        <v>0.05</v>
      </c>
      <c r="V1013">
        <v>0</v>
      </c>
      <c r="W1013">
        <v>0</v>
      </c>
      <c r="X1013">
        <v>0</v>
      </c>
      <c r="Y1013">
        <v>0</v>
      </c>
      <c r="Z1013">
        <v>0</v>
      </c>
      <c r="AA1013">
        <v>0</v>
      </c>
      <c r="AB1013">
        <v>264.69</v>
      </c>
      <c r="AC1013" s="2043">
        <v>143144922</v>
      </c>
      <c r="AD1013">
        <v>648900</v>
      </c>
      <c r="AE1013" s="2043">
        <v>990514</v>
      </c>
      <c r="AF1013">
        <v>0.96340000000000003</v>
      </c>
      <c r="AG1013">
        <v>0</v>
      </c>
      <c r="AH1013">
        <v>0</v>
      </c>
      <c r="AI1013">
        <v>0</v>
      </c>
      <c r="AJ1013">
        <v>16.913</v>
      </c>
      <c r="AK1013">
        <v>800</v>
      </c>
      <c r="AL1013">
        <v>0</v>
      </c>
      <c r="AM1013">
        <v>0</v>
      </c>
      <c r="AN1013">
        <v>0.153</v>
      </c>
      <c r="AO1013">
        <v>0</v>
      </c>
      <c r="AP1013">
        <v>0</v>
      </c>
      <c r="AQ1013">
        <v>0</v>
      </c>
      <c r="AR1013">
        <v>6.9279999999999999</v>
      </c>
      <c r="AS1013">
        <v>0</v>
      </c>
      <c r="AT1013">
        <v>4.1000000000000002E-2</v>
      </c>
      <c r="AU1013">
        <v>0.36399999999999999</v>
      </c>
      <c r="AV1013">
        <v>0</v>
      </c>
      <c r="AW1013">
        <v>7.3330000000000002</v>
      </c>
      <c r="AX1013">
        <v>0</v>
      </c>
      <c r="AY1013">
        <v>22.727</v>
      </c>
      <c r="AZ1013">
        <v>0</v>
      </c>
      <c r="BA1013">
        <v>2121194</v>
      </c>
      <c r="BB1013">
        <v>1639414</v>
      </c>
      <c r="BC1013">
        <v>0</v>
      </c>
      <c r="BD1013">
        <v>0</v>
      </c>
      <c r="BE1013">
        <v>0</v>
      </c>
      <c r="BF1013">
        <v>0</v>
      </c>
      <c r="BG1013">
        <v>0</v>
      </c>
      <c r="BH1013">
        <v>0</v>
      </c>
      <c r="BI1013">
        <v>0</v>
      </c>
      <c r="BJ1013">
        <v>0</v>
      </c>
      <c r="BK1013">
        <v>0</v>
      </c>
      <c r="BL1013">
        <v>102783047</v>
      </c>
      <c r="BM1013">
        <v>0</v>
      </c>
      <c r="BN1013">
        <v>1071</v>
      </c>
      <c r="BO1013">
        <v>824</v>
      </c>
      <c r="BP1013">
        <v>0</v>
      </c>
      <c r="BQ1013">
        <v>0</v>
      </c>
      <c r="BR1013">
        <v>0.91339999999999999</v>
      </c>
      <c r="BS1013">
        <v>0.91339999999999999</v>
      </c>
      <c r="BT1013">
        <v>0</v>
      </c>
      <c r="BU1013">
        <v>0</v>
      </c>
      <c r="BV1013">
        <v>54</v>
      </c>
      <c r="BW1013">
        <v>4</v>
      </c>
      <c r="BX1013">
        <v>11</v>
      </c>
      <c r="BY1013">
        <v>3</v>
      </c>
      <c r="BZ1013">
        <v>1</v>
      </c>
      <c r="CA1013">
        <v>73</v>
      </c>
      <c r="CB1013">
        <v>0</v>
      </c>
      <c r="CC1013">
        <v>0</v>
      </c>
      <c r="CD1013">
        <v>0</v>
      </c>
      <c r="CE1013">
        <v>22</v>
      </c>
      <c r="CF1013">
        <v>14.055000000000001</v>
      </c>
      <c r="CG1013">
        <v>0</v>
      </c>
      <c r="CH1013">
        <v>0</v>
      </c>
      <c r="CI1013">
        <v>1</v>
      </c>
      <c r="CJ1013">
        <v>0</v>
      </c>
      <c r="CK1013">
        <v>0</v>
      </c>
      <c r="CL1013">
        <v>0</v>
      </c>
      <c r="CM1013">
        <v>5.8959999999999999</v>
      </c>
      <c r="CN1013">
        <v>0</v>
      </c>
      <c r="CO1013">
        <v>0</v>
      </c>
      <c r="CP1013">
        <v>0</v>
      </c>
      <c r="CQ1013">
        <v>0</v>
      </c>
      <c r="CR1013">
        <v>0</v>
      </c>
      <c r="CS1013">
        <v>0</v>
      </c>
      <c r="CT1013">
        <v>0</v>
      </c>
      <c r="CU1013">
        <v>0</v>
      </c>
      <c r="CV1013">
        <v>15.55</v>
      </c>
      <c r="CW1013">
        <v>1.01</v>
      </c>
      <c r="CX1013">
        <v>0</v>
      </c>
      <c r="CY1013" s="2043">
        <v>0</v>
      </c>
      <c r="CZ1013" s="2043">
        <v>0</v>
      </c>
      <c r="DA1013" s="2043">
        <v>0</v>
      </c>
      <c r="DB1013" s="2043">
        <v>0</v>
      </c>
      <c r="DC1013" s="2043">
        <v>0</v>
      </c>
      <c r="DI1013" t="s">
        <v>5251</v>
      </c>
      <c r="DJ1013" t="s">
        <v>5251</v>
      </c>
      <c r="DK1013" s="2042">
        <f t="shared" si="17"/>
        <v>0</v>
      </c>
    </row>
    <row r="1014" spans="1:115">
      <c r="A1014" t="s">
        <v>5878</v>
      </c>
      <c r="B1014" t="s">
        <v>908</v>
      </c>
      <c r="C1014">
        <v>468.41500000000002</v>
      </c>
      <c r="D1014">
        <v>502.22200000000004</v>
      </c>
      <c r="E1014">
        <v>10.468</v>
      </c>
      <c r="F1014">
        <v>0</v>
      </c>
      <c r="G1014" s="2043">
        <v>325479089</v>
      </c>
      <c r="H1014">
        <v>0</v>
      </c>
      <c r="I1014" s="2043">
        <v>0</v>
      </c>
      <c r="J1014">
        <v>19</v>
      </c>
      <c r="K1014">
        <v>52</v>
      </c>
      <c r="L1014">
        <v>0</v>
      </c>
      <c r="M1014">
        <v>0</v>
      </c>
      <c r="N1014">
        <v>0</v>
      </c>
      <c r="O1014">
        <v>0</v>
      </c>
      <c r="P1014">
        <v>0</v>
      </c>
      <c r="Q1014">
        <v>0</v>
      </c>
      <c r="R1014" s="2043">
        <v>2904134</v>
      </c>
      <c r="S1014">
        <v>158974</v>
      </c>
      <c r="T1014">
        <v>0</v>
      </c>
      <c r="U1014">
        <v>0.05</v>
      </c>
      <c r="V1014">
        <v>0</v>
      </c>
      <c r="W1014">
        <v>0</v>
      </c>
      <c r="X1014">
        <v>0</v>
      </c>
      <c r="Y1014">
        <v>0</v>
      </c>
      <c r="Z1014">
        <v>0.9890000000000001</v>
      </c>
      <c r="AA1014">
        <v>0</v>
      </c>
      <c r="AB1014">
        <v>478.762</v>
      </c>
      <c r="AC1014" s="2043">
        <v>382223726</v>
      </c>
      <c r="AD1014">
        <v>0</v>
      </c>
      <c r="AE1014" s="2043">
        <v>3063108</v>
      </c>
      <c r="AF1014">
        <v>0.96340000000000003</v>
      </c>
      <c r="AG1014">
        <v>0</v>
      </c>
      <c r="AH1014">
        <v>0</v>
      </c>
      <c r="AI1014">
        <v>0</v>
      </c>
      <c r="AJ1014">
        <v>50.063000000000002</v>
      </c>
      <c r="AK1014">
        <v>2502</v>
      </c>
      <c r="AL1014">
        <v>9.0000000000000011E-3</v>
      </c>
      <c r="AM1014">
        <v>0</v>
      </c>
      <c r="AN1014">
        <v>7.218</v>
      </c>
      <c r="AO1014">
        <v>0</v>
      </c>
      <c r="AP1014">
        <v>0</v>
      </c>
      <c r="AQ1014">
        <v>1.498</v>
      </c>
      <c r="AR1014">
        <v>17.849</v>
      </c>
      <c r="AS1014">
        <v>0</v>
      </c>
      <c r="AT1014">
        <v>0.60899999999999999</v>
      </c>
      <c r="AU1014">
        <v>0.79700000000000004</v>
      </c>
      <c r="AV1014">
        <v>0</v>
      </c>
      <c r="AW1014">
        <v>21.09</v>
      </c>
      <c r="AX1014">
        <v>0.32800000000000001</v>
      </c>
      <c r="AY1014">
        <v>60.158000000000001</v>
      </c>
      <c r="AZ1014">
        <v>0</v>
      </c>
      <c r="BA1014">
        <v>2665481</v>
      </c>
      <c r="BB1014">
        <v>3063108</v>
      </c>
      <c r="BC1014">
        <v>0</v>
      </c>
      <c r="BD1014">
        <v>14133</v>
      </c>
      <c r="BE1014">
        <v>0</v>
      </c>
      <c r="BF1014">
        <v>14133</v>
      </c>
      <c r="BG1014">
        <v>14133</v>
      </c>
      <c r="BH1014">
        <v>0</v>
      </c>
      <c r="BI1014">
        <v>0</v>
      </c>
      <c r="BJ1014">
        <v>0</v>
      </c>
      <c r="BK1014">
        <v>0</v>
      </c>
      <c r="BL1014">
        <v>325479089</v>
      </c>
      <c r="BM1014">
        <v>0</v>
      </c>
      <c r="BN1014">
        <v>1602</v>
      </c>
      <c r="BO1014">
        <v>867</v>
      </c>
      <c r="BP1014">
        <v>0</v>
      </c>
      <c r="BQ1014">
        <v>0</v>
      </c>
      <c r="BR1014">
        <v>0.91339999999999999</v>
      </c>
      <c r="BS1014">
        <v>0.91339999999999999</v>
      </c>
      <c r="BT1014">
        <v>0</v>
      </c>
      <c r="BU1014">
        <v>0</v>
      </c>
      <c r="BV1014">
        <v>55</v>
      </c>
      <c r="BW1014">
        <v>82</v>
      </c>
      <c r="BX1014">
        <v>0</v>
      </c>
      <c r="BY1014">
        <v>61</v>
      </c>
      <c r="BZ1014">
        <v>8</v>
      </c>
      <c r="CA1014">
        <v>206</v>
      </c>
      <c r="CB1014">
        <v>0</v>
      </c>
      <c r="CC1014">
        <v>0</v>
      </c>
      <c r="CD1014">
        <v>0</v>
      </c>
      <c r="CE1014">
        <v>32</v>
      </c>
      <c r="CF1014">
        <v>67.206000000000003</v>
      </c>
      <c r="CG1014">
        <v>0</v>
      </c>
      <c r="CH1014">
        <v>8.657</v>
      </c>
      <c r="CI1014">
        <v>1</v>
      </c>
      <c r="CJ1014">
        <v>5</v>
      </c>
      <c r="CK1014">
        <v>0</v>
      </c>
      <c r="CL1014">
        <v>8.657</v>
      </c>
      <c r="CM1014">
        <v>10.468</v>
      </c>
      <c r="CN1014">
        <v>0</v>
      </c>
      <c r="CO1014">
        <v>0</v>
      </c>
      <c r="CP1014">
        <v>0</v>
      </c>
      <c r="CQ1014">
        <v>0</v>
      </c>
      <c r="CR1014">
        <v>0</v>
      </c>
      <c r="CS1014">
        <v>0</v>
      </c>
      <c r="CT1014">
        <v>0</v>
      </c>
      <c r="CU1014">
        <v>3.34</v>
      </c>
      <c r="CV1014">
        <v>27.011000000000003</v>
      </c>
      <c r="CW1014">
        <v>26.121000000000002</v>
      </c>
      <c r="CX1014">
        <v>0</v>
      </c>
      <c r="CY1014" s="2043">
        <v>0</v>
      </c>
      <c r="CZ1014" s="2043">
        <v>0</v>
      </c>
      <c r="DA1014" s="2043">
        <v>0</v>
      </c>
      <c r="DB1014" s="2043">
        <v>0</v>
      </c>
      <c r="DC1014" s="2043">
        <v>0</v>
      </c>
      <c r="DI1014" t="s">
        <v>5878</v>
      </c>
      <c r="DJ1014" t="s">
        <v>5878</v>
      </c>
      <c r="DK1014" s="2042">
        <f t="shared" si="17"/>
        <v>0</v>
      </c>
    </row>
    <row r="1015" spans="1:115">
      <c r="A1015" t="s">
        <v>5879</v>
      </c>
      <c r="B1015" t="s">
        <v>909</v>
      </c>
      <c r="C1015">
        <v>98.222000000000008</v>
      </c>
      <c r="D1015">
        <v>104.78800000000001</v>
      </c>
      <c r="E1015">
        <v>0</v>
      </c>
      <c r="F1015">
        <v>0</v>
      </c>
      <c r="G1015" s="2043">
        <v>54454192</v>
      </c>
      <c r="H1015">
        <v>0</v>
      </c>
      <c r="I1015" s="2043">
        <v>0</v>
      </c>
      <c r="J1015">
        <v>1</v>
      </c>
      <c r="K1015">
        <v>3</v>
      </c>
      <c r="L1015">
        <v>0</v>
      </c>
      <c r="M1015">
        <v>0</v>
      </c>
      <c r="N1015">
        <v>0</v>
      </c>
      <c r="O1015">
        <v>0</v>
      </c>
      <c r="P1015">
        <v>0</v>
      </c>
      <c r="Q1015">
        <v>0</v>
      </c>
      <c r="R1015" s="2043">
        <v>446395</v>
      </c>
      <c r="S1015">
        <v>26395</v>
      </c>
      <c r="T1015">
        <v>0</v>
      </c>
      <c r="U1015">
        <v>0.05</v>
      </c>
      <c r="V1015">
        <v>0</v>
      </c>
      <c r="W1015">
        <v>0</v>
      </c>
      <c r="X1015">
        <v>0</v>
      </c>
      <c r="Y1015">
        <v>0</v>
      </c>
      <c r="Z1015">
        <v>0</v>
      </c>
      <c r="AA1015">
        <v>0</v>
      </c>
      <c r="AB1015">
        <v>104.78800000000001</v>
      </c>
      <c r="AC1015" s="2043">
        <v>67327364</v>
      </c>
      <c r="AD1015">
        <v>0</v>
      </c>
      <c r="AE1015" s="2043">
        <v>472790</v>
      </c>
      <c r="AF1015">
        <v>0.89560000000000006</v>
      </c>
      <c r="AG1015">
        <v>0</v>
      </c>
      <c r="AH1015">
        <v>0</v>
      </c>
      <c r="AI1015">
        <v>0</v>
      </c>
      <c r="AJ1015">
        <v>23.013000000000002</v>
      </c>
      <c r="AK1015">
        <v>642</v>
      </c>
      <c r="AL1015">
        <v>0</v>
      </c>
      <c r="AM1015">
        <v>0</v>
      </c>
      <c r="AN1015">
        <v>8.7050000000000001</v>
      </c>
      <c r="AO1015">
        <v>0</v>
      </c>
      <c r="AP1015">
        <v>0</v>
      </c>
      <c r="AQ1015">
        <v>0</v>
      </c>
      <c r="AR1015">
        <v>2.2350000000000003</v>
      </c>
      <c r="AS1015">
        <v>0</v>
      </c>
      <c r="AT1015">
        <v>7.5999999999999998E-2</v>
      </c>
      <c r="AU1015">
        <v>0.183</v>
      </c>
      <c r="AV1015">
        <v>0</v>
      </c>
      <c r="AW1015">
        <v>2.4940000000000002</v>
      </c>
      <c r="AX1015">
        <v>0</v>
      </c>
      <c r="AY1015">
        <v>7.8480000000000008</v>
      </c>
      <c r="AZ1015">
        <v>0</v>
      </c>
      <c r="BA1015">
        <v>1666354</v>
      </c>
      <c r="BB1015">
        <v>472790</v>
      </c>
      <c r="BC1015">
        <v>0</v>
      </c>
      <c r="BD1015">
        <v>31500</v>
      </c>
      <c r="BE1015">
        <v>0</v>
      </c>
      <c r="BF1015">
        <v>67799</v>
      </c>
      <c r="BG1015">
        <v>31500</v>
      </c>
      <c r="BH1015">
        <v>36299</v>
      </c>
      <c r="BI1015">
        <v>0</v>
      </c>
      <c r="BJ1015">
        <v>0</v>
      </c>
      <c r="BK1015">
        <v>0</v>
      </c>
      <c r="BL1015">
        <v>54454192</v>
      </c>
      <c r="BM1015">
        <v>0</v>
      </c>
      <c r="BN1015">
        <v>450</v>
      </c>
      <c r="BO1015">
        <v>375</v>
      </c>
      <c r="BP1015">
        <v>0</v>
      </c>
      <c r="BQ1015">
        <v>0</v>
      </c>
      <c r="BR1015">
        <v>0.84560000000000002</v>
      </c>
      <c r="BS1015">
        <v>0.84560000000000002</v>
      </c>
      <c r="BT1015">
        <v>0</v>
      </c>
      <c r="BU1015">
        <v>0</v>
      </c>
      <c r="BV1015">
        <v>61</v>
      </c>
      <c r="BW1015">
        <v>8</v>
      </c>
      <c r="BX1015">
        <v>9</v>
      </c>
      <c r="BY1015">
        <v>7</v>
      </c>
      <c r="BZ1015">
        <v>12</v>
      </c>
      <c r="CA1015">
        <v>97</v>
      </c>
      <c r="CB1015">
        <v>0</v>
      </c>
      <c r="CC1015">
        <v>0</v>
      </c>
      <c r="CD1015">
        <v>0</v>
      </c>
      <c r="CE1015">
        <v>15</v>
      </c>
      <c r="CF1015">
        <v>19.416</v>
      </c>
      <c r="CG1015">
        <v>0</v>
      </c>
      <c r="CH1015">
        <v>0</v>
      </c>
      <c r="CI1015">
        <v>1</v>
      </c>
      <c r="CJ1015">
        <v>1</v>
      </c>
      <c r="CK1015">
        <v>0</v>
      </c>
      <c r="CL1015">
        <v>0</v>
      </c>
      <c r="CM1015">
        <v>0</v>
      </c>
      <c r="CN1015">
        <v>0</v>
      </c>
      <c r="CO1015">
        <v>0</v>
      </c>
      <c r="CP1015">
        <v>0</v>
      </c>
      <c r="CQ1015">
        <v>0</v>
      </c>
      <c r="CR1015">
        <v>0</v>
      </c>
      <c r="CS1015">
        <v>0</v>
      </c>
      <c r="CT1015">
        <v>0</v>
      </c>
      <c r="CU1015">
        <v>1.9100000000000001</v>
      </c>
      <c r="CV1015">
        <v>15.283000000000001</v>
      </c>
      <c r="CW1015">
        <v>7.266</v>
      </c>
      <c r="CX1015">
        <v>0</v>
      </c>
      <c r="CY1015" s="2043">
        <v>0</v>
      </c>
      <c r="CZ1015" s="2043">
        <v>0</v>
      </c>
      <c r="DA1015" s="2043">
        <v>0</v>
      </c>
      <c r="DB1015" s="2043">
        <v>0</v>
      </c>
      <c r="DC1015" s="2043">
        <v>0</v>
      </c>
      <c r="DI1015" t="s">
        <v>5879</v>
      </c>
      <c r="DJ1015" t="s">
        <v>5879</v>
      </c>
      <c r="DK1015" s="2042">
        <f t="shared" si="17"/>
        <v>0</v>
      </c>
    </row>
    <row r="1016" spans="1:115">
      <c r="A1016" t="s">
        <v>3198</v>
      </c>
      <c r="B1016" t="s">
        <v>910</v>
      </c>
      <c r="C1016">
        <v>2281.6860000000001</v>
      </c>
      <c r="D1016">
        <v>2430.192</v>
      </c>
      <c r="E1016">
        <v>735.452</v>
      </c>
      <c r="F1016">
        <v>0</v>
      </c>
      <c r="G1016" s="2043">
        <v>617246692</v>
      </c>
      <c r="H1016">
        <v>0</v>
      </c>
      <c r="I1016" s="2043">
        <v>2352601</v>
      </c>
      <c r="J1016">
        <v>64</v>
      </c>
      <c r="K1016">
        <v>175</v>
      </c>
      <c r="L1016">
        <v>56023</v>
      </c>
      <c r="M1016">
        <v>190689</v>
      </c>
      <c r="N1016">
        <v>56023</v>
      </c>
      <c r="O1016">
        <v>246712</v>
      </c>
      <c r="P1016">
        <v>0</v>
      </c>
      <c r="Q1016">
        <v>0</v>
      </c>
      <c r="R1016" s="2043">
        <v>5293450</v>
      </c>
      <c r="S1016">
        <v>469538</v>
      </c>
      <c r="T1016">
        <v>342175</v>
      </c>
      <c r="U1016">
        <v>0.08</v>
      </c>
      <c r="V1016">
        <v>0</v>
      </c>
      <c r="W1016">
        <v>0</v>
      </c>
      <c r="X1016">
        <v>0</v>
      </c>
      <c r="Y1016">
        <v>0</v>
      </c>
      <c r="Z1016">
        <v>0</v>
      </c>
      <c r="AA1016">
        <v>0.20300000000000001</v>
      </c>
      <c r="AB1016">
        <v>2214.4349999999999</v>
      </c>
      <c r="AC1016" s="2043">
        <v>589939744</v>
      </c>
      <c r="AD1016">
        <v>1678822</v>
      </c>
      <c r="AE1016" s="2043">
        <v>6105163</v>
      </c>
      <c r="AF1016">
        <v>1.0402</v>
      </c>
      <c r="AG1016">
        <v>0</v>
      </c>
      <c r="AH1016">
        <v>0</v>
      </c>
      <c r="AI1016">
        <v>0</v>
      </c>
      <c r="AJ1016">
        <v>450.96300000000002</v>
      </c>
      <c r="AK1016">
        <v>9578</v>
      </c>
      <c r="AL1016">
        <v>0.58500000000000008</v>
      </c>
      <c r="AM1016">
        <v>0</v>
      </c>
      <c r="AN1016">
        <v>17.222000000000001</v>
      </c>
      <c r="AO1016">
        <v>0</v>
      </c>
      <c r="AP1016">
        <v>0</v>
      </c>
      <c r="AQ1016">
        <v>0</v>
      </c>
      <c r="AR1016">
        <v>89.656000000000006</v>
      </c>
      <c r="AS1016">
        <v>0</v>
      </c>
      <c r="AT1016">
        <v>24.11</v>
      </c>
      <c r="AU1016">
        <v>5.6030000000000006</v>
      </c>
      <c r="AV1016">
        <v>0</v>
      </c>
      <c r="AW1016">
        <v>120.706</v>
      </c>
      <c r="AX1016">
        <v>0.752</v>
      </c>
      <c r="AY1016">
        <v>373.96800000000002</v>
      </c>
      <c r="AZ1016">
        <v>0</v>
      </c>
      <c r="BA1016">
        <v>19273419</v>
      </c>
      <c r="BB1016">
        <v>7783985</v>
      </c>
      <c r="BC1016">
        <v>0</v>
      </c>
      <c r="BD1016">
        <v>214512</v>
      </c>
      <c r="BE1016">
        <v>71202</v>
      </c>
      <c r="BF1016">
        <v>285714</v>
      </c>
      <c r="BG1016">
        <v>214512</v>
      </c>
      <c r="BH1016">
        <v>0</v>
      </c>
      <c r="BI1016">
        <v>0</v>
      </c>
      <c r="BJ1016">
        <v>0</v>
      </c>
      <c r="BK1016">
        <v>0</v>
      </c>
      <c r="BL1016">
        <v>617246692</v>
      </c>
      <c r="BM1016">
        <v>0</v>
      </c>
      <c r="BN1016">
        <v>8613</v>
      </c>
      <c r="BO1016">
        <v>4312</v>
      </c>
      <c r="BP1016">
        <v>0</v>
      </c>
      <c r="BQ1016">
        <v>40000</v>
      </c>
      <c r="BR1016">
        <v>0.90190000000000003</v>
      </c>
      <c r="BS1016">
        <v>0.90190000000000003</v>
      </c>
      <c r="BT1016">
        <v>0</v>
      </c>
      <c r="BU1016">
        <v>0</v>
      </c>
      <c r="BV1016">
        <v>295</v>
      </c>
      <c r="BW1016">
        <v>918</v>
      </c>
      <c r="BX1016">
        <v>113</v>
      </c>
      <c r="BY1016">
        <v>1</v>
      </c>
      <c r="BZ1016">
        <v>502</v>
      </c>
      <c r="CA1016">
        <v>1829</v>
      </c>
      <c r="CB1016">
        <v>0</v>
      </c>
      <c r="CC1016">
        <v>0</v>
      </c>
      <c r="CD1016">
        <v>0</v>
      </c>
      <c r="CE1016">
        <v>192</v>
      </c>
      <c r="CF1016">
        <v>786.28899999999999</v>
      </c>
      <c r="CG1016">
        <v>35.599000000000004</v>
      </c>
      <c r="CH1016">
        <v>0</v>
      </c>
      <c r="CI1016">
        <v>1</v>
      </c>
      <c r="CJ1016">
        <v>1</v>
      </c>
      <c r="CK1016">
        <v>0</v>
      </c>
      <c r="CL1016">
        <v>35.599000000000004</v>
      </c>
      <c r="CM1016">
        <v>735.452</v>
      </c>
      <c r="CN1016">
        <v>0</v>
      </c>
      <c r="CO1016">
        <v>0</v>
      </c>
      <c r="CP1016">
        <v>0</v>
      </c>
      <c r="CQ1016">
        <v>0</v>
      </c>
      <c r="CR1016">
        <v>0</v>
      </c>
      <c r="CS1016">
        <v>0</v>
      </c>
      <c r="CT1016">
        <v>0</v>
      </c>
      <c r="CU1016">
        <v>0.47400000000000003</v>
      </c>
      <c r="CV1016">
        <v>84.102000000000004</v>
      </c>
      <c r="CW1016">
        <v>37.686</v>
      </c>
      <c r="CX1016">
        <v>0</v>
      </c>
      <c r="CY1016" s="2043">
        <v>0</v>
      </c>
      <c r="CZ1016" s="2043">
        <v>0</v>
      </c>
      <c r="DA1016" s="2043">
        <v>0</v>
      </c>
      <c r="DB1016" s="2043">
        <v>0</v>
      </c>
      <c r="DC1016" s="2043">
        <v>0</v>
      </c>
      <c r="DI1016" t="s">
        <v>3198</v>
      </c>
      <c r="DJ1016" t="s">
        <v>3198</v>
      </c>
      <c r="DK1016" s="2042">
        <f t="shared" si="17"/>
        <v>0</v>
      </c>
    </row>
    <row r="1017" spans="1:115">
      <c r="A1017" t="s">
        <v>5252</v>
      </c>
      <c r="B1017" t="s">
        <v>1027</v>
      </c>
      <c r="C1017">
        <v>623.68799999999999</v>
      </c>
      <c r="D1017">
        <v>598.71500000000003</v>
      </c>
      <c r="E1017">
        <v>44.002000000000002</v>
      </c>
      <c r="F1017">
        <v>0</v>
      </c>
      <c r="G1017" s="2043">
        <v>225818524</v>
      </c>
      <c r="H1017">
        <v>0</v>
      </c>
      <c r="I1017" s="2043">
        <v>963219</v>
      </c>
      <c r="J1017">
        <v>31.184000000000001</v>
      </c>
      <c r="K1017">
        <v>85</v>
      </c>
      <c r="L1017">
        <v>0</v>
      </c>
      <c r="M1017">
        <v>0</v>
      </c>
      <c r="N1017">
        <v>0</v>
      </c>
      <c r="O1017">
        <v>0</v>
      </c>
      <c r="P1017">
        <v>0</v>
      </c>
      <c r="Q1017">
        <v>0</v>
      </c>
      <c r="R1017" s="2043">
        <v>1899406</v>
      </c>
      <c r="S1017">
        <v>166359</v>
      </c>
      <c r="T1017">
        <v>121235</v>
      </c>
      <c r="U1017">
        <v>0.08</v>
      </c>
      <c r="V1017">
        <v>0</v>
      </c>
      <c r="W1017">
        <v>0</v>
      </c>
      <c r="X1017">
        <v>0</v>
      </c>
      <c r="Y1017">
        <v>0</v>
      </c>
      <c r="Z1017">
        <v>0</v>
      </c>
      <c r="AA1017">
        <v>0</v>
      </c>
      <c r="AB1017">
        <v>598.71500000000003</v>
      </c>
      <c r="AC1017" s="2043">
        <v>193722131</v>
      </c>
      <c r="AD1017">
        <v>970000</v>
      </c>
      <c r="AE1017" s="2043">
        <v>2187000</v>
      </c>
      <c r="AF1017">
        <v>1.0517000000000001</v>
      </c>
      <c r="AG1017">
        <v>0</v>
      </c>
      <c r="AH1017">
        <v>0</v>
      </c>
      <c r="AI1017">
        <v>0</v>
      </c>
      <c r="AJ1017">
        <v>100.77500000000001</v>
      </c>
      <c r="AK1017">
        <v>6487</v>
      </c>
      <c r="AL1017">
        <v>0</v>
      </c>
      <c r="AM1017">
        <v>0</v>
      </c>
      <c r="AN1017">
        <v>10.688000000000001</v>
      </c>
      <c r="AO1017">
        <v>0</v>
      </c>
      <c r="AP1017">
        <v>0</v>
      </c>
      <c r="AQ1017">
        <v>0</v>
      </c>
      <c r="AR1017">
        <v>45.374000000000002</v>
      </c>
      <c r="AS1017">
        <v>0</v>
      </c>
      <c r="AT1017">
        <v>11.367000000000001</v>
      </c>
      <c r="AU1017">
        <v>3.15</v>
      </c>
      <c r="AV1017">
        <v>0</v>
      </c>
      <c r="AW1017">
        <v>59.891000000000005</v>
      </c>
      <c r="AX1017">
        <v>0</v>
      </c>
      <c r="AY1017">
        <v>185.97300000000001</v>
      </c>
      <c r="AZ1017">
        <v>0</v>
      </c>
      <c r="BA1017">
        <v>6924041</v>
      </c>
      <c r="BB1017">
        <v>3157000</v>
      </c>
      <c r="BC1017">
        <v>0</v>
      </c>
      <c r="BD1017">
        <v>76281</v>
      </c>
      <c r="BE1017">
        <v>24516</v>
      </c>
      <c r="BF1017">
        <v>100797</v>
      </c>
      <c r="BG1017">
        <v>76281</v>
      </c>
      <c r="BH1017">
        <v>0</v>
      </c>
      <c r="BI1017">
        <v>0</v>
      </c>
      <c r="BJ1017">
        <v>0</v>
      </c>
      <c r="BK1017">
        <v>0</v>
      </c>
      <c r="BL1017">
        <v>225818524</v>
      </c>
      <c r="BM1017">
        <v>0</v>
      </c>
      <c r="BN1017">
        <v>2268</v>
      </c>
      <c r="BO1017">
        <v>1969</v>
      </c>
      <c r="BP1017">
        <v>0</v>
      </c>
      <c r="BQ1017">
        <v>0</v>
      </c>
      <c r="BR1017">
        <v>0.91339999999999999</v>
      </c>
      <c r="BS1017">
        <v>0.91339999999999999</v>
      </c>
      <c r="BT1017">
        <v>0</v>
      </c>
      <c r="BU1017">
        <v>0</v>
      </c>
      <c r="BV1017">
        <v>133</v>
      </c>
      <c r="BW1017">
        <v>31</v>
      </c>
      <c r="BX1017">
        <v>90</v>
      </c>
      <c r="BY1017">
        <v>153</v>
      </c>
      <c r="BZ1017">
        <v>3</v>
      </c>
      <c r="CA1017">
        <v>410</v>
      </c>
      <c r="CB1017">
        <v>0</v>
      </c>
      <c r="CC1017">
        <v>0</v>
      </c>
      <c r="CD1017">
        <v>0</v>
      </c>
      <c r="CE1017">
        <v>89</v>
      </c>
      <c r="CF1017">
        <v>136.46200000000002</v>
      </c>
      <c r="CG1017">
        <v>0</v>
      </c>
      <c r="CH1017">
        <v>0</v>
      </c>
      <c r="CI1017">
        <v>0</v>
      </c>
      <c r="CJ1017">
        <v>3</v>
      </c>
      <c r="CK1017">
        <v>0</v>
      </c>
      <c r="CL1017">
        <v>0</v>
      </c>
      <c r="CM1017">
        <v>44.002000000000002</v>
      </c>
      <c r="CN1017">
        <v>0</v>
      </c>
      <c r="CO1017">
        <v>0</v>
      </c>
      <c r="CP1017">
        <v>0</v>
      </c>
      <c r="CQ1017">
        <v>0</v>
      </c>
      <c r="CR1017">
        <v>0</v>
      </c>
      <c r="CS1017">
        <v>0</v>
      </c>
      <c r="CT1017">
        <v>0</v>
      </c>
      <c r="CU1017">
        <v>0</v>
      </c>
      <c r="CV1017">
        <v>40.678000000000004</v>
      </c>
      <c r="CW1017">
        <v>34.963000000000001</v>
      </c>
      <c r="CX1017">
        <v>0</v>
      </c>
      <c r="CY1017" s="2043">
        <v>0</v>
      </c>
      <c r="CZ1017" s="2043">
        <v>0</v>
      </c>
      <c r="DA1017" s="2043">
        <v>0</v>
      </c>
      <c r="DB1017" s="2043">
        <v>0</v>
      </c>
      <c r="DC1017" s="2043">
        <v>0</v>
      </c>
      <c r="DI1017" t="s">
        <v>5252</v>
      </c>
      <c r="DJ1017" t="s">
        <v>5252</v>
      </c>
      <c r="DK1017" s="2042">
        <f t="shared" si="17"/>
        <v>0</v>
      </c>
    </row>
    <row r="1018" spans="1:115">
      <c r="A1018" t="s">
        <v>3199</v>
      </c>
      <c r="B1018" t="s">
        <v>178</v>
      </c>
      <c r="C1018">
        <v>707.46400000000006</v>
      </c>
      <c r="D1018">
        <v>697.601</v>
      </c>
      <c r="E1018">
        <v>37.091999999999999</v>
      </c>
      <c r="F1018">
        <v>0</v>
      </c>
      <c r="G1018" s="2043">
        <v>244767487</v>
      </c>
      <c r="H1018">
        <v>0</v>
      </c>
      <c r="I1018" s="2043">
        <v>155300</v>
      </c>
      <c r="J1018">
        <v>35.373000000000005</v>
      </c>
      <c r="K1018">
        <v>97</v>
      </c>
      <c r="L1018">
        <v>1784</v>
      </c>
      <c r="M1018">
        <v>153516</v>
      </c>
      <c r="N1018">
        <v>1784</v>
      </c>
      <c r="O1018">
        <v>155300</v>
      </c>
      <c r="P1018">
        <v>0</v>
      </c>
      <c r="Q1018">
        <v>0</v>
      </c>
      <c r="R1018" s="2043">
        <v>2208509</v>
      </c>
      <c r="S1018">
        <v>193432</v>
      </c>
      <c r="T1018">
        <v>46907</v>
      </c>
      <c r="U1018">
        <v>0.08</v>
      </c>
      <c r="V1018">
        <v>0</v>
      </c>
      <c r="W1018">
        <v>0</v>
      </c>
      <c r="X1018">
        <v>0</v>
      </c>
      <c r="Y1018">
        <v>0</v>
      </c>
      <c r="Z1018">
        <v>0</v>
      </c>
      <c r="AA1018">
        <v>0</v>
      </c>
      <c r="AB1018">
        <v>697.18100000000004</v>
      </c>
      <c r="AC1018" s="2043">
        <v>233885184</v>
      </c>
      <c r="AD1018">
        <v>155911</v>
      </c>
      <c r="AE1018" s="2043">
        <v>2448848</v>
      </c>
      <c r="AF1018">
        <v>1.0128000000000001</v>
      </c>
      <c r="AG1018">
        <v>0</v>
      </c>
      <c r="AH1018">
        <v>0</v>
      </c>
      <c r="AI1018">
        <v>0</v>
      </c>
      <c r="AJ1018">
        <v>105.988</v>
      </c>
      <c r="AK1018">
        <v>3453</v>
      </c>
      <c r="AL1018">
        <v>0</v>
      </c>
      <c r="AM1018">
        <v>0</v>
      </c>
      <c r="AN1018">
        <v>6.3490000000000002</v>
      </c>
      <c r="AO1018">
        <v>0</v>
      </c>
      <c r="AP1018">
        <v>0</v>
      </c>
      <c r="AQ1018">
        <v>0</v>
      </c>
      <c r="AR1018">
        <v>29.229000000000003</v>
      </c>
      <c r="AS1018">
        <v>0</v>
      </c>
      <c r="AT1018">
        <v>1.7630000000000001</v>
      </c>
      <c r="AU1018">
        <v>1.8120000000000001</v>
      </c>
      <c r="AV1018">
        <v>0</v>
      </c>
      <c r="AW1018">
        <v>32.804000000000002</v>
      </c>
      <c r="AX1018">
        <v>0</v>
      </c>
      <c r="AY1018">
        <v>102.036</v>
      </c>
      <c r="AZ1018">
        <v>0</v>
      </c>
      <c r="BA1018">
        <v>6470062</v>
      </c>
      <c r="BB1018">
        <v>2604759</v>
      </c>
      <c r="BC1018">
        <v>0</v>
      </c>
      <c r="BD1018">
        <v>117163</v>
      </c>
      <c r="BE1018">
        <v>0</v>
      </c>
      <c r="BF1018">
        <v>117163</v>
      </c>
      <c r="BG1018">
        <v>117163</v>
      </c>
      <c r="BH1018">
        <v>0</v>
      </c>
      <c r="BI1018">
        <v>0</v>
      </c>
      <c r="BJ1018">
        <v>0</v>
      </c>
      <c r="BK1018">
        <v>0</v>
      </c>
      <c r="BL1018">
        <v>244767487</v>
      </c>
      <c r="BM1018">
        <v>0</v>
      </c>
      <c r="BN1018">
        <v>2277</v>
      </c>
      <c r="BO1018">
        <v>2311</v>
      </c>
      <c r="BP1018">
        <v>0</v>
      </c>
      <c r="BQ1018">
        <v>0</v>
      </c>
      <c r="BR1018">
        <v>0.91339999999999999</v>
      </c>
      <c r="BS1018">
        <v>0.91339999999999999</v>
      </c>
      <c r="BT1018">
        <v>0</v>
      </c>
      <c r="BU1018">
        <v>0</v>
      </c>
      <c r="BV1018">
        <v>5</v>
      </c>
      <c r="BW1018">
        <v>297</v>
      </c>
      <c r="BX1018">
        <v>132</v>
      </c>
      <c r="BY1018">
        <v>4</v>
      </c>
      <c r="BZ1018">
        <v>1</v>
      </c>
      <c r="CA1018">
        <v>439</v>
      </c>
      <c r="CB1018">
        <v>0</v>
      </c>
      <c r="CC1018">
        <v>0</v>
      </c>
      <c r="CD1018">
        <v>0</v>
      </c>
      <c r="CE1018">
        <v>53</v>
      </c>
      <c r="CF1018">
        <v>119.751</v>
      </c>
      <c r="CG1018">
        <v>0</v>
      </c>
      <c r="CH1018">
        <v>0</v>
      </c>
      <c r="CI1018">
        <v>1</v>
      </c>
      <c r="CJ1018">
        <v>0</v>
      </c>
      <c r="CK1018">
        <v>0</v>
      </c>
      <c r="CL1018">
        <v>0</v>
      </c>
      <c r="CM1018">
        <v>37.091999999999999</v>
      </c>
      <c r="CN1018">
        <v>0</v>
      </c>
      <c r="CO1018">
        <v>0</v>
      </c>
      <c r="CP1018">
        <v>0</v>
      </c>
      <c r="CQ1018">
        <v>0</v>
      </c>
      <c r="CR1018">
        <v>0</v>
      </c>
      <c r="CS1018">
        <v>0</v>
      </c>
      <c r="CT1018">
        <v>0</v>
      </c>
      <c r="CU1018">
        <v>0</v>
      </c>
      <c r="CV1018">
        <v>35.898000000000003</v>
      </c>
      <c r="CW1018">
        <v>24.608000000000001</v>
      </c>
      <c r="CX1018">
        <v>0</v>
      </c>
      <c r="CY1018" s="2043">
        <v>0</v>
      </c>
      <c r="CZ1018" s="2043">
        <v>0</v>
      </c>
      <c r="DA1018" s="2043">
        <v>0</v>
      </c>
      <c r="DB1018" s="2043">
        <v>0</v>
      </c>
      <c r="DC1018" s="2043">
        <v>0</v>
      </c>
      <c r="DI1018" t="s">
        <v>3199</v>
      </c>
      <c r="DJ1018" t="s">
        <v>3199</v>
      </c>
      <c r="DK1018" s="2042">
        <f t="shared" si="17"/>
        <v>0</v>
      </c>
    </row>
    <row r="1019" spans="1:115">
      <c r="A1019" t="s">
        <v>5880</v>
      </c>
      <c r="B1019" t="s">
        <v>1029</v>
      </c>
      <c r="C1019">
        <v>598.32400000000007</v>
      </c>
      <c r="D1019">
        <v>692.83199999999999</v>
      </c>
      <c r="E1019">
        <v>40.774999999999999</v>
      </c>
      <c r="F1019">
        <v>0</v>
      </c>
      <c r="G1019" s="2043">
        <v>154592827</v>
      </c>
      <c r="H1019">
        <v>0</v>
      </c>
      <c r="I1019" s="2043">
        <v>532212</v>
      </c>
      <c r="J1019">
        <v>9</v>
      </c>
      <c r="K1019">
        <v>25</v>
      </c>
      <c r="L1019">
        <v>0</v>
      </c>
      <c r="M1019">
        <v>0</v>
      </c>
      <c r="N1019">
        <v>0</v>
      </c>
      <c r="O1019">
        <v>0</v>
      </c>
      <c r="P1019">
        <v>0</v>
      </c>
      <c r="Q1019">
        <v>0</v>
      </c>
      <c r="R1019" s="2043">
        <v>1278676</v>
      </c>
      <c r="S1019">
        <v>114718</v>
      </c>
      <c r="T1019">
        <v>83601</v>
      </c>
      <c r="U1019">
        <v>0.08</v>
      </c>
      <c r="V1019">
        <v>0</v>
      </c>
      <c r="W1019">
        <v>0</v>
      </c>
      <c r="X1019">
        <v>0</v>
      </c>
      <c r="Y1019">
        <v>0</v>
      </c>
      <c r="Z1019">
        <v>0</v>
      </c>
      <c r="AA1019">
        <v>0</v>
      </c>
      <c r="AB1019">
        <v>597.19799999999998</v>
      </c>
      <c r="AC1019" s="2043">
        <v>144668420</v>
      </c>
      <c r="AD1019">
        <v>324698</v>
      </c>
      <c r="AE1019" s="2043">
        <v>1476995</v>
      </c>
      <c r="AF1019">
        <v>1.03</v>
      </c>
      <c r="AG1019">
        <v>0</v>
      </c>
      <c r="AH1019">
        <v>0</v>
      </c>
      <c r="AI1019">
        <v>0</v>
      </c>
      <c r="AJ1019">
        <v>103.51300000000001</v>
      </c>
      <c r="AK1019">
        <v>3470</v>
      </c>
      <c r="AL1019">
        <v>0.66500000000000004</v>
      </c>
      <c r="AM1019">
        <v>0</v>
      </c>
      <c r="AN1019">
        <v>0</v>
      </c>
      <c r="AO1019">
        <v>0</v>
      </c>
      <c r="AP1019">
        <v>0</v>
      </c>
      <c r="AQ1019">
        <v>0</v>
      </c>
      <c r="AR1019">
        <v>23.115000000000002</v>
      </c>
      <c r="AS1019">
        <v>0</v>
      </c>
      <c r="AT1019">
        <v>9.0299999999999994</v>
      </c>
      <c r="AU1019">
        <v>1.0170000000000001</v>
      </c>
      <c r="AV1019">
        <v>0</v>
      </c>
      <c r="AW1019">
        <v>33.826999999999998</v>
      </c>
      <c r="AX1019">
        <v>0</v>
      </c>
      <c r="AY1019">
        <v>104.845</v>
      </c>
      <c r="AZ1019">
        <v>0</v>
      </c>
      <c r="BA1019">
        <v>7151794</v>
      </c>
      <c r="BB1019">
        <v>1801693</v>
      </c>
      <c r="BC1019">
        <v>0</v>
      </c>
      <c r="BD1019">
        <v>83229</v>
      </c>
      <c r="BE1019">
        <v>24786</v>
      </c>
      <c r="BF1019">
        <v>108015</v>
      </c>
      <c r="BG1019">
        <v>83229</v>
      </c>
      <c r="BH1019">
        <v>0</v>
      </c>
      <c r="BI1019">
        <v>0</v>
      </c>
      <c r="BJ1019">
        <v>0</v>
      </c>
      <c r="BK1019">
        <v>0</v>
      </c>
      <c r="BL1019">
        <v>154592827</v>
      </c>
      <c r="BM1019">
        <v>0</v>
      </c>
      <c r="BN1019">
        <v>2277</v>
      </c>
      <c r="BO1019">
        <v>2140</v>
      </c>
      <c r="BP1019">
        <v>0</v>
      </c>
      <c r="BQ1019">
        <v>0</v>
      </c>
      <c r="BR1019">
        <v>0.89170000000000005</v>
      </c>
      <c r="BS1019">
        <v>0.89170000000000005</v>
      </c>
      <c r="BT1019">
        <v>0</v>
      </c>
      <c r="BU1019">
        <v>0</v>
      </c>
      <c r="BV1019">
        <v>1</v>
      </c>
      <c r="BW1019">
        <v>105</v>
      </c>
      <c r="BX1019">
        <v>306</v>
      </c>
      <c r="BY1019">
        <v>6</v>
      </c>
      <c r="BZ1019">
        <v>1</v>
      </c>
      <c r="CA1019">
        <v>419</v>
      </c>
      <c r="CB1019">
        <v>0</v>
      </c>
      <c r="CC1019">
        <v>0</v>
      </c>
      <c r="CD1019">
        <v>0</v>
      </c>
      <c r="CE1019">
        <v>57</v>
      </c>
      <c r="CF1019">
        <v>126.19600000000001</v>
      </c>
      <c r="CG1019">
        <v>0</v>
      </c>
      <c r="CH1019">
        <v>1.8130000000000002</v>
      </c>
      <c r="CI1019">
        <v>3</v>
      </c>
      <c r="CJ1019">
        <v>6</v>
      </c>
      <c r="CK1019">
        <v>0</v>
      </c>
      <c r="CL1019">
        <v>1.8130000000000002</v>
      </c>
      <c r="CM1019">
        <v>40.774999999999999</v>
      </c>
      <c r="CN1019">
        <v>0</v>
      </c>
      <c r="CO1019">
        <v>0</v>
      </c>
      <c r="CP1019">
        <v>0</v>
      </c>
      <c r="CQ1019">
        <v>0</v>
      </c>
      <c r="CR1019">
        <v>0</v>
      </c>
      <c r="CS1019">
        <v>0</v>
      </c>
      <c r="CT1019">
        <v>0</v>
      </c>
      <c r="CU1019">
        <v>7.0620000000000003</v>
      </c>
      <c r="CV1019">
        <v>61.552</v>
      </c>
      <c r="CW1019">
        <v>49.21</v>
      </c>
      <c r="CX1019">
        <v>0</v>
      </c>
      <c r="CY1019" s="2043">
        <v>0</v>
      </c>
      <c r="CZ1019" s="2043">
        <v>0</v>
      </c>
      <c r="DA1019" s="2043">
        <v>0</v>
      </c>
      <c r="DB1019" s="2043">
        <v>0</v>
      </c>
      <c r="DC1019" s="2043">
        <v>0</v>
      </c>
      <c r="DI1019" t="s">
        <v>5253</v>
      </c>
      <c r="DJ1019" t="s">
        <v>5880</v>
      </c>
      <c r="DK1019" s="2042">
        <f t="shared" si="17"/>
        <v>-1</v>
      </c>
    </row>
    <row r="1020" spans="1:115">
      <c r="A1020" t="s">
        <v>5253</v>
      </c>
      <c r="B1020" t="s">
        <v>1028</v>
      </c>
      <c r="C1020">
        <v>438.69300000000004</v>
      </c>
      <c r="D1020">
        <v>460.74400000000003</v>
      </c>
      <c r="E1020">
        <v>95.12</v>
      </c>
      <c r="F1020">
        <v>0</v>
      </c>
      <c r="G1020" s="2043">
        <v>117493046</v>
      </c>
      <c r="H1020">
        <v>0</v>
      </c>
      <c r="I1020" s="2043">
        <v>233800</v>
      </c>
      <c r="J1020">
        <v>19</v>
      </c>
      <c r="K1020">
        <v>52</v>
      </c>
      <c r="L1020">
        <v>0</v>
      </c>
      <c r="M1020">
        <v>0</v>
      </c>
      <c r="N1020">
        <v>0</v>
      </c>
      <c r="O1020">
        <v>0</v>
      </c>
      <c r="P1020">
        <v>0</v>
      </c>
      <c r="Q1020">
        <v>0</v>
      </c>
      <c r="R1020" s="2043">
        <v>1032746</v>
      </c>
      <c r="S1020">
        <v>56533</v>
      </c>
      <c r="T1020">
        <v>0</v>
      </c>
      <c r="U1020">
        <v>0.05</v>
      </c>
      <c r="V1020">
        <v>0</v>
      </c>
      <c r="W1020">
        <v>0</v>
      </c>
      <c r="X1020">
        <v>0</v>
      </c>
      <c r="Y1020">
        <v>0</v>
      </c>
      <c r="Z1020">
        <v>0</v>
      </c>
      <c r="AA1020">
        <v>0.113</v>
      </c>
      <c r="AB1020">
        <v>460.74400000000003</v>
      </c>
      <c r="AC1020" s="2043">
        <v>110343693</v>
      </c>
      <c r="AD1020">
        <v>163728</v>
      </c>
      <c r="AE1020" s="2043">
        <v>1089279</v>
      </c>
      <c r="AF1020">
        <v>0.96340000000000003</v>
      </c>
      <c r="AG1020">
        <v>0</v>
      </c>
      <c r="AH1020">
        <v>0</v>
      </c>
      <c r="AI1020">
        <v>0</v>
      </c>
      <c r="AJ1020">
        <v>106.76300000000001</v>
      </c>
      <c r="AK1020">
        <v>3610</v>
      </c>
      <c r="AL1020">
        <v>4.5000000000000005E-2</v>
      </c>
      <c r="AM1020">
        <v>0</v>
      </c>
      <c r="AN1020">
        <v>5.1989999999999998</v>
      </c>
      <c r="AO1020">
        <v>0</v>
      </c>
      <c r="AP1020">
        <v>0</v>
      </c>
      <c r="AQ1020">
        <v>0</v>
      </c>
      <c r="AR1020">
        <v>24.913</v>
      </c>
      <c r="AS1020">
        <v>0</v>
      </c>
      <c r="AT1020">
        <v>0.999</v>
      </c>
      <c r="AU1020">
        <v>0.879</v>
      </c>
      <c r="AV1020">
        <v>0</v>
      </c>
      <c r="AW1020">
        <v>34.590000000000003</v>
      </c>
      <c r="AX1020">
        <v>7.7540000000000004</v>
      </c>
      <c r="AY1020">
        <v>100.19</v>
      </c>
      <c r="AZ1020">
        <v>0</v>
      </c>
      <c r="BA1020">
        <v>5154583</v>
      </c>
      <c r="BB1020">
        <v>1253007</v>
      </c>
      <c r="BC1020">
        <v>0</v>
      </c>
      <c r="BD1020">
        <v>43172</v>
      </c>
      <c r="BE1020">
        <v>929</v>
      </c>
      <c r="BF1020">
        <v>68885</v>
      </c>
      <c r="BG1020">
        <v>43172</v>
      </c>
      <c r="BH1020">
        <v>24784</v>
      </c>
      <c r="BI1020">
        <v>0</v>
      </c>
      <c r="BJ1020">
        <v>0</v>
      </c>
      <c r="BK1020">
        <v>0</v>
      </c>
      <c r="BL1020">
        <v>117493046</v>
      </c>
      <c r="BM1020">
        <v>0</v>
      </c>
      <c r="BN1020">
        <v>1440</v>
      </c>
      <c r="BO1020">
        <v>1402</v>
      </c>
      <c r="BP1020">
        <v>0</v>
      </c>
      <c r="BQ1020">
        <v>0</v>
      </c>
      <c r="BR1020">
        <v>0.91339999999999999</v>
      </c>
      <c r="BS1020">
        <v>0.91339999999999999</v>
      </c>
      <c r="BT1020">
        <v>0</v>
      </c>
      <c r="BU1020">
        <v>0</v>
      </c>
      <c r="BV1020">
        <v>13</v>
      </c>
      <c r="BW1020">
        <v>17</v>
      </c>
      <c r="BX1020">
        <v>353</v>
      </c>
      <c r="BY1020">
        <v>0</v>
      </c>
      <c r="BZ1020">
        <v>42</v>
      </c>
      <c r="CA1020">
        <v>425</v>
      </c>
      <c r="CB1020">
        <v>0</v>
      </c>
      <c r="CC1020">
        <v>0</v>
      </c>
      <c r="CD1020">
        <v>0</v>
      </c>
      <c r="CE1020">
        <v>7</v>
      </c>
      <c r="CF1020">
        <v>132.197</v>
      </c>
      <c r="CG1020">
        <v>0</v>
      </c>
      <c r="CH1020">
        <v>0</v>
      </c>
      <c r="CI1020">
        <v>1</v>
      </c>
      <c r="CJ1020">
        <v>0</v>
      </c>
      <c r="CK1020">
        <v>0</v>
      </c>
      <c r="CL1020">
        <v>0</v>
      </c>
      <c r="CM1020">
        <v>95.12</v>
      </c>
      <c r="CN1020">
        <v>0</v>
      </c>
      <c r="CO1020">
        <v>0</v>
      </c>
      <c r="CP1020">
        <v>0</v>
      </c>
      <c r="CQ1020">
        <v>0</v>
      </c>
      <c r="CR1020">
        <v>0</v>
      </c>
      <c r="CS1020">
        <v>0</v>
      </c>
      <c r="CT1020">
        <v>0</v>
      </c>
      <c r="CU1020">
        <v>5.9260000000000002</v>
      </c>
      <c r="CV1020">
        <v>38.006</v>
      </c>
      <c r="CW1020">
        <v>13.731</v>
      </c>
      <c r="CX1020">
        <v>0</v>
      </c>
      <c r="CY1020" s="2043">
        <v>0</v>
      </c>
      <c r="CZ1020" s="2043">
        <v>0</v>
      </c>
      <c r="DA1020" s="2043">
        <v>0</v>
      </c>
      <c r="DB1020" s="2043">
        <v>0</v>
      </c>
      <c r="DC1020" s="2043">
        <v>0</v>
      </c>
      <c r="DI1020" t="s">
        <v>5880</v>
      </c>
      <c r="DJ1020" t="s">
        <v>5253</v>
      </c>
      <c r="DK1020" s="2042">
        <f t="shared" si="17"/>
        <v>1</v>
      </c>
    </row>
    <row r="1021" spans="1:115">
      <c r="A1021" t="s">
        <v>5881</v>
      </c>
      <c r="B1021" t="s">
        <v>1166</v>
      </c>
      <c r="C1021">
        <v>62.673000000000002</v>
      </c>
      <c r="D1021">
        <v>66.588999999999999</v>
      </c>
      <c r="E1021">
        <v>8.6790000000000003</v>
      </c>
      <c r="F1021">
        <v>0</v>
      </c>
      <c r="G1021" s="2043">
        <v>34151012</v>
      </c>
      <c r="H1021">
        <v>0</v>
      </c>
      <c r="I1021" s="2043">
        <v>0</v>
      </c>
      <c r="J1021">
        <v>0</v>
      </c>
      <c r="K1021">
        <v>0</v>
      </c>
      <c r="L1021">
        <v>0</v>
      </c>
      <c r="M1021">
        <v>0</v>
      </c>
      <c r="N1021">
        <v>0</v>
      </c>
      <c r="O1021">
        <v>0</v>
      </c>
      <c r="P1021">
        <v>0</v>
      </c>
      <c r="Q1021">
        <v>0</v>
      </c>
      <c r="R1021" s="2043">
        <v>288576</v>
      </c>
      <c r="S1021">
        <v>25275</v>
      </c>
      <c r="T1021">
        <v>18419</v>
      </c>
      <c r="U1021">
        <v>0.08</v>
      </c>
      <c r="V1021">
        <v>0</v>
      </c>
      <c r="W1021">
        <v>0</v>
      </c>
      <c r="X1021">
        <v>0</v>
      </c>
      <c r="Y1021">
        <v>19450</v>
      </c>
      <c r="Z1021">
        <v>0</v>
      </c>
      <c r="AA1021">
        <v>0</v>
      </c>
      <c r="AB1021">
        <v>66.588999999999999</v>
      </c>
      <c r="AC1021" s="2043">
        <v>44137431</v>
      </c>
      <c r="AD1021">
        <v>0</v>
      </c>
      <c r="AE1021" s="2043">
        <v>332270</v>
      </c>
      <c r="AF1021">
        <v>1.0517000000000001</v>
      </c>
      <c r="AG1021">
        <v>0</v>
      </c>
      <c r="AH1021">
        <v>0</v>
      </c>
      <c r="AI1021">
        <v>0</v>
      </c>
      <c r="AJ1021">
        <v>11.688000000000001</v>
      </c>
      <c r="AK1021">
        <v>297</v>
      </c>
      <c r="AL1021">
        <v>0</v>
      </c>
      <c r="AM1021">
        <v>0</v>
      </c>
      <c r="AN1021">
        <v>4.6310000000000002</v>
      </c>
      <c r="AO1021">
        <v>0</v>
      </c>
      <c r="AP1021">
        <v>0</v>
      </c>
      <c r="AQ1021">
        <v>0</v>
      </c>
      <c r="AR1021">
        <v>0.74</v>
      </c>
      <c r="AS1021">
        <v>0</v>
      </c>
      <c r="AT1021">
        <v>0</v>
      </c>
      <c r="AU1021">
        <v>0.12100000000000001</v>
      </c>
      <c r="AV1021">
        <v>0</v>
      </c>
      <c r="AW1021">
        <v>0.86099999999999999</v>
      </c>
      <c r="AX1021">
        <v>0</v>
      </c>
      <c r="AY1021">
        <v>2.8250000000000002</v>
      </c>
      <c r="AZ1021">
        <v>0</v>
      </c>
      <c r="BA1021">
        <v>768285</v>
      </c>
      <c r="BB1021">
        <v>332270</v>
      </c>
      <c r="BC1021">
        <v>0</v>
      </c>
      <c r="BD1021">
        <v>19566</v>
      </c>
      <c r="BE1021">
        <v>5717</v>
      </c>
      <c r="BF1021">
        <v>25283</v>
      </c>
      <c r="BG1021">
        <v>19566</v>
      </c>
      <c r="BH1021">
        <v>0</v>
      </c>
      <c r="BI1021">
        <v>0</v>
      </c>
      <c r="BJ1021">
        <v>0</v>
      </c>
      <c r="BK1021">
        <v>8517</v>
      </c>
      <c r="BL1021">
        <v>34151012</v>
      </c>
      <c r="BM1021">
        <v>0</v>
      </c>
      <c r="BN1021">
        <v>0</v>
      </c>
      <c r="BO1021">
        <v>0</v>
      </c>
      <c r="BP1021">
        <v>0</v>
      </c>
      <c r="BQ1021">
        <v>0</v>
      </c>
      <c r="BR1021">
        <v>0.91339999999999999</v>
      </c>
      <c r="BS1021">
        <v>0.91339999999999999</v>
      </c>
      <c r="BT1021">
        <v>0</v>
      </c>
      <c r="BU1021">
        <v>0</v>
      </c>
      <c r="BV1021">
        <v>0</v>
      </c>
      <c r="BW1021">
        <v>45</v>
      </c>
      <c r="BX1021">
        <v>4</v>
      </c>
      <c r="BY1021">
        <v>0</v>
      </c>
      <c r="BZ1021">
        <v>0</v>
      </c>
      <c r="CA1021">
        <v>49</v>
      </c>
      <c r="CB1021">
        <v>0</v>
      </c>
      <c r="CC1021">
        <v>0</v>
      </c>
      <c r="CD1021">
        <v>0</v>
      </c>
      <c r="CE1021">
        <v>9</v>
      </c>
      <c r="CF1021">
        <v>22.467000000000002</v>
      </c>
      <c r="CG1021">
        <v>0</v>
      </c>
      <c r="CH1021">
        <v>0</v>
      </c>
      <c r="CI1021">
        <v>0</v>
      </c>
      <c r="CJ1021">
        <v>0</v>
      </c>
      <c r="CK1021">
        <v>0</v>
      </c>
      <c r="CL1021">
        <v>0</v>
      </c>
      <c r="CM1021">
        <v>8.6790000000000003</v>
      </c>
      <c r="CN1021">
        <v>0</v>
      </c>
      <c r="CO1021">
        <v>0</v>
      </c>
      <c r="CP1021">
        <v>0</v>
      </c>
      <c r="CQ1021">
        <v>0</v>
      </c>
      <c r="CR1021">
        <v>0</v>
      </c>
      <c r="CS1021">
        <v>0</v>
      </c>
      <c r="CT1021">
        <v>0</v>
      </c>
      <c r="CU1021">
        <v>0</v>
      </c>
      <c r="CV1021">
        <v>0</v>
      </c>
      <c r="CW1021">
        <v>0</v>
      </c>
      <c r="CX1021">
        <v>0</v>
      </c>
      <c r="CY1021" s="2043">
        <v>19450</v>
      </c>
      <c r="CZ1021" s="2043">
        <v>0</v>
      </c>
      <c r="DA1021" s="2043">
        <v>8517</v>
      </c>
      <c r="DB1021" s="2043">
        <v>0</v>
      </c>
      <c r="DC1021" s="2043">
        <v>0</v>
      </c>
      <c r="DI1021" t="s">
        <v>5881</v>
      </c>
      <c r="DJ1021" t="s">
        <v>5881</v>
      </c>
      <c r="DK1021" s="2042">
        <f t="shared" si="17"/>
        <v>0</v>
      </c>
    </row>
    <row r="1022" spans="1:115">
      <c r="A1022" t="s">
        <v>5254</v>
      </c>
      <c r="B1022" t="s">
        <v>1167</v>
      </c>
      <c r="C1022">
        <v>85.033000000000001</v>
      </c>
      <c r="D1022">
        <v>83.341000000000008</v>
      </c>
      <c r="E1022">
        <v>26.539000000000001</v>
      </c>
      <c r="F1022">
        <v>0</v>
      </c>
      <c r="G1022" s="2043">
        <v>95280897</v>
      </c>
      <c r="H1022">
        <v>0</v>
      </c>
      <c r="I1022" s="2043">
        <v>0</v>
      </c>
      <c r="J1022">
        <v>4.2519999999999998</v>
      </c>
      <c r="K1022">
        <v>12</v>
      </c>
      <c r="L1022">
        <v>0</v>
      </c>
      <c r="M1022">
        <v>0</v>
      </c>
      <c r="N1022">
        <v>0</v>
      </c>
      <c r="O1022">
        <v>0</v>
      </c>
      <c r="P1022">
        <v>0</v>
      </c>
      <c r="Q1022">
        <v>0</v>
      </c>
      <c r="R1022" s="2043">
        <v>726661</v>
      </c>
      <c r="S1022">
        <v>43125</v>
      </c>
      <c r="T1022">
        <v>0</v>
      </c>
      <c r="U1022">
        <v>0.05</v>
      </c>
      <c r="V1022">
        <v>0</v>
      </c>
      <c r="W1022">
        <v>0</v>
      </c>
      <c r="X1022">
        <v>0</v>
      </c>
      <c r="Y1022">
        <v>0</v>
      </c>
      <c r="Z1022">
        <v>0</v>
      </c>
      <c r="AA1022">
        <v>0</v>
      </c>
      <c r="AB1022">
        <v>83.341000000000008</v>
      </c>
      <c r="AC1022" s="2043">
        <v>97836396</v>
      </c>
      <c r="AD1022">
        <v>0</v>
      </c>
      <c r="AE1022" s="2043">
        <v>769786</v>
      </c>
      <c r="AF1022">
        <v>0.89250000000000007</v>
      </c>
      <c r="AG1022">
        <v>0</v>
      </c>
      <c r="AH1022">
        <v>0</v>
      </c>
      <c r="AI1022">
        <v>0</v>
      </c>
      <c r="AJ1022">
        <v>10.85</v>
      </c>
      <c r="AK1022">
        <v>635</v>
      </c>
      <c r="AL1022">
        <v>0</v>
      </c>
      <c r="AM1022">
        <v>0</v>
      </c>
      <c r="AN1022">
        <v>6.9870000000000001</v>
      </c>
      <c r="AO1022">
        <v>0</v>
      </c>
      <c r="AP1022">
        <v>0</v>
      </c>
      <c r="AQ1022">
        <v>0</v>
      </c>
      <c r="AR1022">
        <v>2.734</v>
      </c>
      <c r="AS1022">
        <v>0</v>
      </c>
      <c r="AT1022">
        <v>0</v>
      </c>
      <c r="AU1022">
        <v>0.28400000000000003</v>
      </c>
      <c r="AV1022">
        <v>0</v>
      </c>
      <c r="AW1022">
        <v>3.0180000000000002</v>
      </c>
      <c r="AX1022">
        <v>0</v>
      </c>
      <c r="AY1022">
        <v>9.6219999999999999</v>
      </c>
      <c r="AZ1022">
        <v>0</v>
      </c>
      <c r="BA1022">
        <v>827083</v>
      </c>
      <c r="BB1022">
        <v>769786</v>
      </c>
      <c r="BC1022">
        <v>0</v>
      </c>
      <c r="BD1022">
        <v>17400</v>
      </c>
      <c r="BE1022">
        <v>0</v>
      </c>
      <c r="BF1022">
        <v>17400</v>
      </c>
      <c r="BG1022">
        <v>17400</v>
      </c>
      <c r="BH1022">
        <v>0</v>
      </c>
      <c r="BI1022">
        <v>0</v>
      </c>
      <c r="BJ1022">
        <v>0</v>
      </c>
      <c r="BK1022">
        <v>0</v>
      </c>
      <c r="BL1022">
        <v>95280897</v>
      </c>
      <c r="BM1022">
        <v>0</v>
      </c>
      <c r="BN1022">
        <v>468</v>
      </c>
      <c r="BO1022">
        <v>0</v>
      </c>
      <c r="BP1022">
        <v>0</v>
      </c>
      <c r="BQ1022">
        <v>0</v>
      </c>
      <c r="BR1022">
        <v>0.84250000000000003</v>
      </c>
      <c r="BS1022">
        <v>0.84250000000000003</v>
      </c>
      <c r="BT1022">
        <v>0</v>
      </c>
      <c r="BU1022">
        <v>0</v>
      </c>
      <c r="BV1022">
        <v>47</v>
      </c>
      <c r="BW1022">
        <v>0</v>
      </c>
      <c r="BX1022">
        <v>0</v>
      </c>
      <c r="BY1022">
        <v>0</v>
      </c>
      <c r="BZ1022">
        <v>1</v>
      </c>
      <c r="CA1022">
        <v>48</v>
      </c>
      <c r="CB1022">
        <v>0</v>
      </c>
      <c r="CC1022">
        <v>0</v>
      </c>
      <c r="CD1022">
        <v>0</v>
      </c>
      <c r="CE1022">
        <v>9</v>
      </c>
      <c r="CF1022">
        <v>13.161000000000001</v>
      </c>
      <c r="CG1022">
        <v>0</v>
      </c>
      <c r="CH1022">
        <v>0</v>
      </c>
      <c r="CI1022">
        <v>0</v>
      </c>
      <c r="CJ1022">
        <v>0</v>
      </c>
      <c r="CK1022">
        <v>0</v>
      </c>
      <c r="CL1022">
        <v>0</v>
      </c>
      <c r="CM1022">
        <v>26.539000000000001</v>
      </c>
      <c r="CN1022">
        <v>0</v>
      </c>
      <c r="CO1022">
        <v>0</v>
      </c>
      <c r="CP1022">
        <v>0</v>
      </c>
      <c r="CQ1022">
        <v>0</v>
      </c>
      <c r="CR1022">
        <v>0</v>
      </c>
      <c r="CS1022">
        <v>0</v>
      </c>
      <c r="CT1022">
        <v>0</v>
      </c>
      <c r="CU1022">
        <v>0</v>
      </c>
      <c r="CV1022">
        <v>0</v>
      </c>
      <c r="CW1022">
        <v>0</v>
      </c>
      <c r="CX1022">
        <v>0</v>
      </c>
      <c r="CY1022" s="2043">
        <v>0</v>
      </c>
      <c r="CZ1022" s="2043">
        <v>0</v>
      </c>
      <c r="DA1022" s="2043">
        <v>0</v>
      </c>
      <c r="DB1022" s="2043">
        <v>0</v>
      </c>
      <c r="DC1022" s="2043">
        <v>30000</v>
      </c>
      <c r="DI1022" t="s">
        <v>5254</v>
      </c>
      <c r="DJ1022" t="s">
        <v>5254</v>
      </c>
      <c r="DK1022" s="2042">
        <f t="shared" si="17"/>
        <v>0</v>
      </c>
    </row>
    <row r="1023" spans="1:115">
      <c r="A1023" t="s">
        <v>5882</v>
      </c>
      <c r="B1023" t="s">
        <v>1702</v>
      </c>
      <c r="C1023">
        <v>530.52499999999998</v>
      </c>
      <c r="D1023">
        <v>526.577</v>
      </c>
      <c r="E1023">
        <v>113.11800000000001</v>
      </c>
      <c r="F1023">
        <v>0</v>
      </c>
      <c r="G1023" s="2043">
        <v>476752817</v>
      </c>
      <c r="H1023">
        <v>0</v>
      </c>
      <c r="I1023" s="2043">
        <v>773830</v>
      </c>
      <c r="J1023">
        <v>12</v>
      </c>
      <c r="K1023">
        <v>33</v>
      </c>
      <c r="L1023">
        <v>0</v>
      </c>
      <c r="M1023">
        <v>0</v>
      </c>
      <c r="N1023">
        <v>0</v>
      </c>
      <c r="O1023">
        <v>0</v>
      </c>
      <c r="P1023">
        <v>0</v>
      </c>
      <c r="Q1023">
        <v>0</v>
      </c>
      <c r="R1023" s="2043">
        <v>3703549</v>
      </c>
      <c r="S1023">
        <v>346450</v>
      </c>
      <c r="T1023">
        <v>252475</v>
      </c>
      <c r="U1023">
        <v>0.08</v>
      </c>
      <c r="V1023">
        <v>0</v>
      </c>
      <c r="W1023">
        <v>0</v>
      </c>
      <c r="X1023">
        <v>0</v>
      </c>
      <c r="Y1023">
        <v>0</v>
      </c>
      <c r="Z1023">
        <v>0</v>
      </c>
      <c r="AA1023">
        <v>0</v>
      </c>
      <c r="AB1023">
        <v>528.24800000000005</v>
      </c>
      <c r="AC1023" s="2043">
        <v>441670040</v>
      </c>
      <c r="AD1023">
        <v>346270</v>
      </c>
      <c r="AE1023" s="2043">
        <v>4302474</v>
      </c>
      <c r="AF1023">
        <v>0.99350000000000005</v>
      </c>
      <c r="AG1023">
        <v>0</v>
      </c>
      <c r="AH1023">
        <v>0</v>
      </c>
      <c r="AI1023">
        <v>0</v>
      </c>
      <c r="AJ1023">
        <v>81.725000000000009</v>
      </c>
      <c r="AK1023">
        <v>2696</v>
      </c>
      <c r="AL1023">
        <v>0</v>
      </c>
      <c r="AM1023">
        <v>0</v>
      </c>
      <c r="AN1023">
        <v>16.153000000000002</v>
      </c>
      <c r="AO1023">
        <v>0</v>
      </c>
      <c r="AP1023">
        <v>0</v>
      </c>
      <c r="AQ1023">
        <v>0</v>
      </c>
      <c r="AR1023">
        <v>17.377000000000002</v>
      </c>
      <c r="AS1023">
        <v>0</v>
      </c>
      <c r="AT1023">
        <v>2.6710000000000003</v>
      </c>
      <c r="AU1023">
        <v>0.63800000000000001</v>
      </c>
      <c r="AV1023">
        <v>0</v>
      </c>
      <c r="AW1023">
        <v>20.686</v>
      </c>
      <c r="AX1023">
        <v>0</v>
      </c>
      <c r="AY1023">
        <v>63.334000000000003</v>
      </c>
      <c r="AZ1023">
        <v>0</v>
      </c>
      <c r="BA1023">
        <v>2505466</v>
      </c>
      <c r="BB1023">
        <v>4648744</v>
      </c>
      <c r="BC1023">
        <v>1245</v>
      </c>
      <c r="BD1023">
        <v>81712</v>
      </c>
      <c r="BE1023">
        <v>0</v>
      </c>
      <c r="BF1023">
        <v>82957</v>
      </c>
      <c r="BG1023">
        <v>82957</v>
      </c>
      <c r="BH1023">
        <v>0</v>
      </c>
      <c r="BI1023">
        <v>0</v>
      </c>
      <c r="BJ1023">
        <v>0</v>
      </c>
      <c r="BK1023">
        <v>0</v>
      </c>
      <c r="BL1023">
        <v>476752817</v>
      </c>
      <c r="BM1023">
        <v>0</v>
      </c>
      <c r="BN1023">
        <v>1890</v>
      </c>
      <c r="BO1023">
        <v>1252</v>
      </c>
      <c r="BP1023">
        <v>0</v>
      </c>
      <c r="BQ1023">
        <v>0</v>
      </c>
      <c r="BR1023">
        <v>0.85520000000000007</v>
      </c>
      <c r="BS1023">
        <v>0.85520000000000007</v>
      </c>
      <c r="BT1023">
        <v>0</v>
      </c>
      <c r="BU1023">
        <v>0</v>
      </c>
      <c r="BV1023">
        <v>51</v>
      </c>
      <c r="BW1023">
        <v>0</v>
      </c>
      <c r="BX1023">
        <v>281</v>
      </c>
      <c r="BY1023">
        <v>0</v>
      </c>
      <c r="BZ1023">
        <v>0</v>
      </c>
      <c r="CA1023">
        <v>332</v>
      </c>
      <c r="CB1023">
        <v>0</v>
      </c>
      <c r="CC1023">
        <v>0</v>
      </c>
      <c r="CD1023">
        <v>0</v>
      </c>
      <c r="CE1023">
        <v>20</v>
      </c>
      <c r="CF1023">
        <v>129.25200000000001</v>
      </c>
      <c r="CG1023">
        <v>0</v>
      </c>
      <c r="CH1023">
        <v>0</v>
      </c>
      <c r="CI1023">
        <v>1</v>
      </c>
      <c r="CJ1023">
        <v>4</v>
      </c>
      <c r="CK1023">
        <v>0</v>
      </c>
      <c r="CL1023">
        <v>0</v>
      </c>
      <c r="CM1023">
        <v>113.11800000000001</v>
      </c>
      <c r="CN1023">
        <v>0</v>
      </c>
      <c r="CO1023">
        <v>0</v>
      </c>
      <c r="CP1023">
        <v>0</v>
      </c>
      <c r="CQ1023">
        <v>0</v>
      </c>
      <c r="CR1023">
        <v>0</v>
      </c>
      <c r="CS1023">
        <v>0</v>
      </c>
      <c r="CT1023">
        <v>0</v>
      </c>
      <c r="CU1023">
        <v>0</v>
      </c>
      <c r="CV1023">
        <v>27.135000000000002</v>
      </c>
      <c r="CW1023">
        <v>16.137</v>
      </c>
      <c r="CX1023">
        <v>0</v>
      </c>
      <c r="CY1023" s="2043">
        <v>0</v>
      </c>
      <c r="CZ1023" s="2043">
        <v>0</v>
      </c>
      <c r="DA1023" s="2043">
        <v>0</v>
      </c>
      <c r="DB1023" s="2043">
        <v>0</v>
      </c>
      <c r="DC1023" s="2043">
        <v>153117</v>
      </c>
      <c r="DI1023" t="s">
        <v>5882</v>
      </c>
      <c r="DJ1023" t="s">
        <v>5882</v>
      </c>
      <c r="DK1023" s="2042">
        <f t="shared" si="17"/>
        <v>0</v>
      </c>
    </row>
    <row r="1024" spans="1:115">
      <c r="A1024" t="s">
        <v>8071</v>
      </c>
      <c r="B1024" t="s">
        <v>11398</v>
      </c>
      <c r="C1024">
        <v>1812.7340000000002</v>
      </c>
      <c r="D1024">
        <v>2000.9830000000002</v>
      </c>
      <c r="E1024">
        <v>109.14500000000001</v>
      </c>
      <c r="F1024">
        <v>0</v>
      </c>
      <c r="G1024" s="2043">
        <v>0</v>
      </c>
      <c r="H1024">
        <v>0</v>
      </c>
      <c r="I1024" s="2043">
        <v>0</v>
      </c>
      <c r="J1024">
        <v>0</v>
      </c>
      <c r="K1024">
        <v>0</v>
      </c>
      <c r="L1024">
        <v>0</v>
      </c>
      <c r="M1024">
        <v>0</v>
      </c>
      <c r="N1024">
        <v>0</v>
      </c>
      <c r="O1024">
        <v>0</v>
      </c>
      <c r="P1024">
        <v>0</v>
      </c>
      <c r="Q1024">
        <v>0</v>
      </c>
      <c r="R1024" s="2043">
        <v>0</v>
      </c>
      <c r="S1024">
        <v>0</v>
      </c>
      <c r="T1024">
        <v>0</v>
      </c>
      <c r="U1024">
        <v>0</v>
      </c>
      <c r="V1024">
        <v>0</v>
      </c>
      <c r="W1024">
        <v>0</v>
      </c>
      <c r="X1024">
        <v>0</v>
      </c>
      <c r="Y1024">
        <v>320459</v>
      </c>
      <c r="Z1024">
        <v>0</v>
      </c>
      <c r="AA1024">
        <v>0</v>
      </c>
      <c r="AB1024">
        <v>1883.413</v>
      </c>
      <c r="AC1024" s="2043">
        <v>0</v>
      </c>
      <c r="AD1024">
        <v>0</v>
      </c>
      <c r="AE1024" s="2043">
        <v>0</v>
      </c>
      <c r="AF1024">
        <v>0</v>
      </c>
      <c r="AG1024">
        <v>0</v>
      </c>
      <c r="AH1024">
        <v>0</v>
      </c>
      <c r="AI1024">
        <v>0</v>
      </c>
      <c r="AJ1024">
        <v>217.07500000000002</v>
      </c>
      <c r="AK1024">
        <v>5533</v>
      </c>
      <c r="AL1024">
        <v>2.1000000000000001E-2</v>
      </c>
      <c r="AM1024">
        <v>0</v>
      </c>
      <c r="AN1024">
        <v>45.282000000000004</v>
      </c>
      <c r="AO1024">
        <v>0</v>
      </c>
      <c r="AP1024">
        <v>0</v>
      </c>
      <c r="AQ1024">
        <v>0</v>
      </c>
      <c r="AR1024">
        <v>50.119</v>
      </c>
      <c r="AS1024">
        <v>0</v>
      </c>
      <c r="AT1024">
        <v>9.0690000000000008</v>
      </c>
      <c r="AU1024">
        <v>2.915</v>
      </c>
      <c r="AV1024">
        <v>0</v>
      </c>
      <c r="AW1024">
        <v>62.124000000000002</v>
      </c>
      <c r="AX1024">
        <v>0</v>
      </c>
      <c r="AY1024">
        <v>192.244</v>
      </c>
      <c r="AZ1024">
        <v>0</v>
      </c>
      <c r="BA1024">
        <v>18729104</v>
      </c>
      <c r="BB1024">
        <v>0</v>
      </c>
      <c r="BC1024">
        <v>0</v>
      </c>
      <c r="BD1024">
        <v>0</v>
      </c>
      <c r="BE1024">
        <v>0</v>
      </c>
      <c r="BF1024">
        <v>0</v>
      </c>
      <c r="BG1024">
        <v>0</v>
      </c>
      <c r="BH1024">
        <v>0</v>
      </c>
      <c r="BI1024">
        <v>0</v>
      </c>
      <c r="BJ1024">
        <v>0</v>
      </c>
      <c r="BK1024">
        <v>0</v>
      </c>
      <c r="BL1024">
        <v>0</v>
      </c>
      <c r="BM1024">
        <v>0</v>
      </c>
      <c r="BN1024">
        <v>8082</v>
      </c>
      <c r="BO1024">
        <v>2365</v>
      </c>
      <c r="BP1024">
        <v>0</v>
      </c>
      <c r="BQ1024">
        <v>0</v>
      </c>
      <c r="BR1024">
        <v>0</v>
      </c>
      <c r="BS1024">
        <v>0</v>
      </c>
      <c r="BT1024">
        <v>0</v>
      </c>
      <c r="BU1024">
        <v>0</v>
      </c>
      <c r="BV1024">
        <v>291</v>
      </c>
      <c r="BW1024">
        <v>202</v>
      </c>
      <c r="BX1024">
        <v>175</v>
      </c>
      <c r="BY1024">
        <v>138</v>
      </c>
      <c r="BZ1024">
        <v>86</v>
      </c>
      <c r="CA1024">
        <v>892</v>
      </c>
      <c r="CB1024">
        <v>0</v>
      </c>
      <c r="CC1024">
        <v>0</v>
      </c>
      <c r="CD1024">
        <v>0</v>
      </c>
      <c r="CE1024">
        <v>203</v>
      </c>
      <c r="CF1024">
        <v>261.71699999999998</v>
      </c>
      <c r="CG1024">
        <v>0</v>
      </c>
      <c r="CH1024">
        <v>0</v>
      </c>
      <c r="CI1024">
        <v>0</v>
      </c>
      <c r="CJ1024">
        <v>2</v>
      </c>
      <c r="CK1024">
        <v>1</v>
      </c>
      <c r="CL1024">
        <v>0</v>
      </c>
      <c r="CM1024">
        <v>109.14500000000001</v>
      </c>
      <c r="CN1024">
        <v>0</v>
      </c>
      <c r="CO1024">
        <v>0</v>
      </c>
      <c r="CP1024">
        <v>0</v>
      </c>
      <c r="CQ1024">
        <v>0</v>
      </c>
      <c r="CR1024">
        <v>0</v>
      </c>
      <c r="CS1024">
        <v>0</v>
      </c>
      <c r="CT1024">
        <v>0</v>
      </c>
      <c r="CU1024">
        <v>11.022</v>
      </c>
      <c r="CV1024">
        <v>124.46100000000001</v>
      </c>
      <c r="CW1024">
        <v>53.536000000000001</v>
      </c>
      <c r="CX1024">
        <v>0</v>
      </c>
      <c r="CY1024" s="2043">
        <v>0</v>
      </c>
      <c r="CZ1024" s="2043">
        <v>0</v>
      </c>
      <c r="DA1024" s="2043">
        <v>0</v>
      </c>
      <c r="DB1024" s="2043">
        <v>0</v>
      </c>
      <c r="DC1024" s="2043">
        <v>0</v>
      </c>
      <c r="DI1024" t="s">
        <v>8071</v>
      </c>
      <c r="DJ1024" t="s">
        <v>8071</v>
      </c>
      <c r="DK1024" s="2042">
        <f t="shared" si="17"/>
        <v>0</v>
      </c>
    </row>
    <row r="1025" spans="1:115">
      <c r="A1025" t="s">
        <v>8072</v>
      </c>
      <c r="B1025" t="s">
        <v>11399</v>
      </c>
      <c r="C1025">
        <v>805.80900000000008</v>
      </c>
      <c r="D1025">
        <v>871.67700000000002</v>
      </c>
      <c r="E1025">
        <v>19.339000000000002</v>
      </c>
      <c r="F1025">
        <v>0</v>
      </c>
      <c r="G1025" s="2043">
        <v>0</v>
      </c>
      <c r="H1025">
        <v>0</v>
      </c>
      <c r="I1025" s="2043">
        <v>0</v>
      </c>
      <c r="J1025">
        <v>40.29</v>
      </c>
      <c r="K1025">
        <v>110</v>
      </c>
      <c r="L1025">
        <v>0</v>
      </c>
      <c r="M1025">
        <v>0</v>
      </c>
      <c r="N1025">
        <v>0</v>
      </c>
      <c r="O1025">
        <v>0</v>
      </c>
      <c r="P1025">
        <v>0</v>
      </c>
      <c r="Q1025">
        <v>0</v>
      </c>
      <c r="R1025" s="2043">
        <v>0</v>
      </c>
      <c r="S1025">
        <v>0</v>
      </c>
      <c r="T1025">
        <v>0</v>
      </c>
      <c r="U1025">
        <v>0</v>
      </c>
      <c r="V1025">
        <v>0</v>
      </c>
      <c r="W1025">
        <v>0</v>
      </c>
      <c r="X1025">
        <v>0</v>
      </c>
      <c r="Y1025">
        <v>142453</v>
      </c>
      <c r="Z1025">
        <v>0</v>
      </c>
      <c r="AA1025">
        <v>0</v>
      </c>
      <c r="AB1025">
        <v>839.23500000000001</v>
      </c>
      <c r="AC1025" s="2043">
        <v>0</v>
      </c>
      <c r="AD1025">
        <v>0</v>
      </c>
      <c r="AE1025" s="2043">
        <v>0</v>
      </c>
      <c r="AF1025">
        <v>0</v>
      </c>
      <c r="AG1025">
        <v>0</v>
      </c>
      <c r="AH1025">
        <v>0</v>
      </c>
      <c r="AI1025">
        <v>0</v>
      </c>
      <c r="AJ1025">
        <v>70.963000000000008</v>
      </c>
      <c r="AK1025">
        <v>1613</v>
      </c>
      <c r="AL1025">
        <v>0</v>
      </c>
      <c r="AM1025">
        <v>0</v>
      </c>
      <c r="AN1025">
        <v>20.676000000000002</v>
      </c>
      <c r="AO1025">
        <v>0</v>
      </c>
      <c r="AP1025">
        <v>0</v>
      </c>
      <c r="AQ1025">
        <v>0</v>
      </c>
      <c r="AR1025">
        <v>12.455</v>
      </c>
      <c r="AS1025">
        <v>0</v>
      </c>
      <c r="AT1025">
        <v>0</v>
      </c>
      <c r="AU1025">
        <v>2.0129999999999999</v>
      </c>
      <c r="AV1025">
        <v>0</v>
      </c>
      <c r="AW1025">
        <v>14.468</v>
      </c>
      <c r="AX1025">
        <v>0</v>
      </c>
      <c r="AY1025">
        <v>47.43</v>
      </c>
      <c r="AZ1025">
        <v>0</v>
      </c>
      <c r="BA1025">
        <v>8000029</v>
      </c>
      <c r="BB1025">
        <v>0</v>
      </c>
      <c r="BC1025">
        <v>0</v>
      </c>
      <c r="BD1025">
        <v>0</v>
      </c>
      <c r="BE1025">
        <v>0</v>
      </c>
      <c r="BF1025">
        <v>0</v>
      </c>
      <c r="BG1025">
        <v>0</v>
      </c>
      <c r="BH1025">
        <v>0</v>
      </c>
      <c r="BI1025">
        <v>0</v>
      </c>
      <c r="BJ1025">
        <v>0</v>
      </c>
      <c r="BK1025">
        <v>0</v>
      </c>
      <c r="BL1025">
        <v>0</v>
      </c>
      <c r="BM1025">
        <v>0</v>
      </c>
      <c r="BN1025">
        <v>2484</v>
      </c>
      <c r="BO1025">
        <v>2429</v>
      </c>
      <c r="BP1025">
        <v>0</v>
      </c>
      <c r="BQ1025">
        <v>0</v>
      </c>
      <c r="BR1025">
        <v>0</v>
      </c>
      <c r="BS1025">
        <v>0</v>
      </c>
      <c r="BT1025">
        <v>0</v>
      </c>
      <c r="BU1025">
        <v>0</v>
      </c>
      <c r="BV1025">
        <v>54</v>
      </c>
      <c r="BW1025">
        <v>62</v>
      </c>
      <c r="BX1025">
        <v>70</v>
      </c>
      <c r="BY1025">
        <v>73</v>
      </c>
      <c r="BZ1025">
        <v>27</v>
      </c>
      <c r="CA1025">
        <v>286</v>
      </c>
      <c r="CB1025">
        <v>0</v>
      </c>
      <c r="CC1025">
        <v>0</v>
      </c>
      <c r="CD1025">
        <v>0</v>
      </c>
      <c r="CE1025">
        <v>84</v>
      </c>
      <c r="CF1025">
        <v>113.807</v>
      </c>
      <c r="CG1025">
        <v>0</v>
      </c>
      <c r="CH1025">
        <v>0</v>
      </c>
      <c r="CI1025">
        <v>5</v>
      </c>
      <c r="CJ1025">
        <v>11</v>
      </c>
      <c r="CK1025">
        <v>3</v>
      </c>
      <c r="CL1025">
        <v>0</v>
      </c>
      <c r="CM1025">
        <v>19.339000000000002</v>
      </c>
      <c r="CN1025">
        <v>0</v>
      </c>
      <c r="CO1025">
        <v>0</v>
      </c>
      <c r="CP1025">
        <v>0</v>
      </c>
      <c r="CQ1025">
        <v>0</v>
      </c>
      <c r="CR1025">
        <v>0</v>
      </c>
      <c r="CS1025">
        <v>0</v>
      </c>
      <c r="CT1025">
        <v>0</v>
      </c>
      <c r="CU1025">
        <v>19.202999999999999</v>
      </c>
      <c r="CV1025">
        <v>24.548000000000002</v>
      </c>
      <c r="CW1025">
        <v>23.626000000000001</v>
      </c>
      <c r="CX1025">
        <v>0</v>
      </c>
      <c r="CY1025" s="2043">
        <v>0</v>
      </c>
      <c r="CZ1025" s="2043">
        <v>0</v>
      </c>
      <c r="DA1025" s="2043">
        <v>0</v>
      </c>
      <c r="DB1025" s="2043">
        <v>0</v>
      </c>
      <c r="DC1025" s="2043">
        <v>0</v>
      </c>
      <c r="DI1025" t="s">
        <v>8072</v>
      </c>
      <c r="DJ1025" t="s">
        <v>8072</v>
      </c>
      <c r="DK1025" s="2042">
        <f t="shared" si="17"/>
        <v>0</v>
      </c>
    </row>
    <row r="1026" spans="1:115">
      <c r="A1026" t="s">
        <v>3200</v>
      </c>
      <c r="B1026" t="s">
        <v>260</v>
      </c>
      <c r="C1026">
        <v>856.93200000000002</v>
      </c>
      <c r="D1026">
        <v>811.61800000000005</v>
      </c>
      <c r="E1026">
        <v>28.747</v>
      </c>
      <c r="F1026">
        <v>0</v>
      </c>
      <c r="G1026" s="2043">
        <v>420999645</v>
      </c>
      <c r="H1026">
        <v>0</v>
      </c>
      <c r="I1026" s="2043">
        <v>1162107</v>
      </c>
      <c r="J1026">
        <v>42.847000000000001</v>
      </c>
      <c r="K1026">
        <v>117</v>
      </c>
      <c r="L1026">
        <v>0</v>
      </c>
      <c r="M1026">
        <v>219258</v>
      </c>
      <c r="N1026">
        <v>0</v>
      </c>
      <c r="O1026">
        <v>219258</v>
      </c>
      <c r="P1026">
        <v>0</v>
      </c>
      <c r="Q1026">
        <v>0</v>
      </c>
      <c r="R1026" s="2043">
        <v>3355130</v>
      </c>
      <c r="S1026">
        <v>306930</v>
      </c>
      <c r="T1026">
        <v>223675</v>
      </c>
      <c r="U1026">
        <v>0.08</v>
      </c>
      <c r="V1026">
        <v>0</v>
      </c>
      <c r="W1026">
        <v>0</v>
      </c>
      <c r="X1026">
        <v>0</v>
      </c>
      <c r="Y1026">
        <v>0</v>
      </c>
      <c r="Z1026">
        <v>3.718</v>
      </c>
      <c r="AA1026">
        <v>0</v>
      </c>
      <c r="AB1026">
        <v>811.61800000000005</v>
      </c>
      <c r="AC1026" s="2043">
        <v>379780882</v>
      </c>
      <c r="AD1026">
        <v>1296402</v>
      </c>
      <c r="AE1026" s="2043">
        <v>3885735</v>
      </c>
      <c r="AF1026">
        <v>1.0128000000000001</v>
      </c>
      <c r="AG1026">
        <v>0</v>
      </c>
      <c r="AH1026">
        <v>0</v>
      </c>
      <c r="AI1026">
        <v>0</v>
      </c>
      <c r="AJ1026">
        <v>120.91300000000001</v>
      </c>
      <c r="AK1026">
        <v>3550</v>
      </c>
      <c r="AL1026">
        <v>0.128</v>
      </c>
      <c r="AM1026">
        <v>0</v>
      </c>
      <c r="AN1026">
        <v>32.767000000000003</v>
      </c>
      <c r="AO1026">
        <v>0</v>
      </c>
      <c r="AP1026">
        <v>0</v>
      </c>
      <c r="AQ1026">
        <v>0</v>
      </c>
      <c r="AR1026">
        <v>20.423999999999999</v>
      </c>
      <c r="AS1026">
        <v>0</v>
      </c>
      <c r="AT1026">
        <v>3.1340000000000003</v>
      </c>
      <c r="AU1026">
        <v>1.6580000000000001</v>
      </c>
      <c r="AV1026">
        <v>0</v>
      </c>
      <c r="AW1026">
        <v>25.344000000000001</v>
      </c>
      <c r="AX1026">
        <v>0</v>
      </c>
      <c r="AY1026">
        <v>79.603999999999999</v>
      </c>
      <c r="AZ1026">
        <v>0</v>
      </c>
      <c r="BA1026">
        <v>6312159</v>
      </c>
      <c r="BB1026">
        <v>5182137</v>
      </c>
      <c r="BC1026">
        <v>0</v>
      </c>
      <c r="BD1026">
        <v>66633</v>
      </c>
      <c r="BE1026">
        <v>7468</v>
      </c>
      <c r="BF1026">
        <v>74101</v>
      </c>
      <c r="BG1026">
        <v>66633</v>
      </c>
      <c r="BH1026">
        <v>0</v>
      </c>
      <c r="BI1026">
        <v>0</v>
      </c>
      <c r="BJ1026">
        <v>0</v>
      </c>
      <c r="BK1026">
        <v>0</v>
      </c>
      <c r="BL1026">
        <v>420999645</v>
      </c>
      <c r="BM1026">
        <v>0</v>
      </c>
      <c r="BN1026">
        <v>2934</v>
      </c>
      <c r="BO1026">
        <v>1798</v>
      </c>
      <c r="BP1026">
        <v>0</v>
      </c>
      <c r="BQ1026">
        <v>0</v>
      </c>
      <c r="BR1026">
        <v>0.87450000000000006</v>
      </c>
      <c r="BS1026">
        <v>0.87450000000000006</v>
      </c>
      <c r="BT1026">
        <v>0</v>
      </c>
      <c r="BU1026">
        <v>0</v>
      </c>
      <c r="BV1026">
        <v>268</v>
      </c>
      <c r="BW1026">
        <v>179</v>
      </c>
      <c r="BX1026">
        <v>66</v>
      </c>
      <c r="BY1026">
        <v>4</v>
      </c>
      <c r="BZ1026">
        <v>2</v>
      </c>
      <c r="CA1026">
        <v>519</v>
      </c>
      <c r="CB1026">
        <v>0</v>
      </c>
      <c r="CC1026">
        <v>0</v>
      </c>
      <c r="CD1026">
        <v>0</v>
      </c>
      <c r="CE1026">
        <v>90</v>
      </c>
      <c r="CF1026">
        <v>161.00400000000002</v>
      </c>
      <c r="CG1026">
        <v>0</v>
      </c>
      <c r="CH1026">
        <v>0</v>
      </c>
      <c r="CI1026">
        <v>2</v>
      </c>
      <c r="CJ1026">
        <v>3</v>
      </c>
      <c r="CK1026">
        <v>0</v>
      </c>
      <c r="CL1026">
        <v>0</v>
      </c>
      <c r="CM1026">
        <v>28.747</v>
      </c>
      <c r="CN1026">
        <v>0</v>
      </c>
      <c r="CO1026">
        <v>0</v>
      </c>
      <c r="CP1026">
        <v>0</v>
      </c>
      <c r="CQ1026">
        <v>0</v>
      </c>
      <c r="CR1026">
        <v>0</v>
      </c>
      <c r="CS1026">
        <v>0</v>
      </c>
      <c r="CT1026">
        <v>0</v>
      </c>
      <c r="CU1026">
        <v>1.6400000000000001</v>
      </c>
      <c r="CV1026">
        <v>40.603000000000002</v>
      </c>
      <c r="CW1026">
        <v>30.111000000000001</v>
      </c>
      <c r="CX1026">
        <v>0</v>
      </c>
      <c r="CY1026" s="2043">
        <v>0</v>
      </c>
      <c r="CZ1026" s="2043">
        <v>0</v>
      </c>
      <c r="DA1026" s="2043">
        <v>0</v>
      </c>
      <c r="DB1026" s="2043">
        <v>0</v>
      </c>
      <c r="DC1026" s="2043">
        <v>0</v>
      </c>
      <c r="DI1026" t="s">
        <v>3200</v>
      </c>
      <c r="DJ1026" t="s">
        <v>3200</v>
      </c>
      <c r="DK1026" s="2042">
        <f t="shared" si="17"/>
        <v>0</v>
      </c>
    </row>
    <row r="1027" spans="1:115">
      <c r="A1027" t="s">
        <v>5255</v>
      </c>
      <c r="B1027" t="s">
        <v>1631</v>
      </c>
      <c r="C1027">
        <v>2568.877</v>
      </c>
      <c r="D1027">
        <v>2545.306</v>
      </c>
      <c r="E1027">
        <v>65.466000000000008</v>
      </c>
      <c r="F1027">
        <v>0</v>
      </c>
      <c r="G1027" s="2043">
        <v>1372955416</v>
      </c>
      <c r="H1027">
        <v>0</v>
      </c>
      <c r="I1027" s="2043">
        <v>4430838</v>
      </c>
      <c r="J1027">
        <v>128.44400000000002</v>
      </c>
      <c r="K1027">
        <v>351</v>
      </c>
      <c r="L1027">
        <v>0</v>
      </c>
      <c r="M1027">
        <v>0</v>
      </c>
      <c r="N1027">
        <v>0</v>
      </c>
      <c r="O1027">
        <v>0</v>
      </c>
      <c r="P1027">
        <v>0</v>
      </c>
      <c r="Q1027">
        <v>0</v>
      </c>
      <c r="R1027" s="2043">
        <v>11275158</v>
      </c>
      <c r="S1027">
        <v>1097339</v>
      </c>
      <c r="T1027">
        <v>685837</v>
      </c>
      <c r="U1027">
        <v>0.08</v>
      </c>
      <c r="V1027">
        <v>0</v>
      </c>
      <c r="W1027">
        <v>0</v>
      </c>
      <c r="X1027">
        <v>0</v>
      </c>
      <c r="Y1027">
        <v>0</v>
      </c>
      <c r="Z1027">
        <v>0</v>
      </c>
      <c r="AA1027">
        <v>0</v>
      </c>
      <c r="AB1027">
        <v>2512.6959999999999</v>
      </c>
      <c r="AC1027" s="2043">
        <v>1124935434</v>
      </c>
      <c r="AD1027">
        <v>5535958</v>
      </c>
      <c r="AE1027" s="2043">
        <v>13058334</v>
      </c>
      <c r="AF1027">
        <v>0.95200000000000007</v>
      </c>
      <c r="AG1027">
        <v>0</v>
      </c>
      <c r="AH1027">
        <v>0</v>
      </c>
      <c r="AI1027">
        <v>0</v>
      </c>
      <c r="AJ1027">
        <v>220.45000000000002</v>
      </c>
      <c r="AK1027">
        <v>9006</v>
      </c>
      <c r="AL1027">
        <v>0.22600000000000001</v>
      </c>
      <c r="AM1027">
        <v>0</v>
      </c>
      <c r="AN1027">
        <v>84.022000000000006</v>
      </c>
      <c r="AO1027">
        <v>0</v>
      </c>
      <c r="AP1027">
        <v>0</v>
      </c>
      <c r="AQ1027">
        <v>0</v>
      </c>
      <c r="AR1027">
        <v>66.460999999999999</v>
      </c>
      <c r="AS1027">
        <v>0</v>
      </c>
      <c r="AT1027">
        <v>14.551</v>
      </c>
      <c r="AU1027">
        <v>6.1619999999999999</v>
      </c>
      <c r="AV1027">
        <v>0</v>
      </c>
      <c r="AW1027">
        <v>87.4</v>
      </c>
      <c r="AX1027">
        <v>0</v>
      </c>
      <c r="AY1027">
        <v>274.976</v>
      </c>
      <c r="AZ1027">
        <v>0</v>
      </c>
      <c r="BA1027">
        <v>12197230</v>
      </c>
      <c r="BB1027">
        <v>18594292</v>
      </c>
      <c r="BC1027">
        <v>0</v>
      </c>
      <c r="BD1027">
        <v>131236</v>
      </c>
      <c r="BE1027">
        <v>24706</v>
      </c>
      <c r="BF1027">
        <v>155942</v>
      </c>
      <c r="BG1027">
        <v>131236</v>
      </c>
      <c r="BH1027">
        <v>0</v>
      </c>
      <c r="BI1027">
        <v>0</v>
      </c>
      <c r="BJ1027">
        <v>0</v>
      </c>
      <c r="BK1027">
        <v>0</v>
      </c>
      <c r="BL1027">
        <v>1372955416</v>
      </c>
      <c r="BM1027">
        <v>0</v>
      </c>
      <c r="BN1027">
        <v>8892</v>
      </c>
      <c r="BO1027">
        <v>7843</v>
      </c>
      <c r="BP1027">
        <v>0</v>
      </c>
      <c r="BQ1027">
        <v>0</v>
      </c>
      <c r="BR1027">
        <v>0.82200000000000006</v>
      </c>
      <c r="BS1027">
        <v>0.82200000000000006</v>
      </c>
      <c r="BT1027">
        <v>0</v>
      </c>
      <c r="BU1027">
        <v>0</v>
      </c>
      <c r="BV1027">
        <v>324</v>
      </c>
      <c r="BW1027">
        <v>608</v>
      </c>
      <c r="BX1027">
        <v>4</v>
      </c>
      <c r="BY1027">
        <v>4</v>
      </c>
      <c r="BZ1027">
        <v>4</v>
      </c>
      <c r="CA1027">
        <v>944</v>
      </c>
      <c r="CB1027">
        <v>0</v>
      </c>
      <c r="CC1027">
        <v>0</v>
      </c>
      <c r="CD1027">
        <v>0</v>
      </c>
      <c r="CE1027">
        <v>226</v>
      </c>
      <c r="CF1027">
        <v>320.21100000000001</v>
      </c>
      <c r="CG1027">
        <v>0</v>
      </c>
      <c r="CH1027">
        <v>0</v>
      </c>
      <c r="CI1027">
        <v>6</v>
      </c>
      <c r="CJ1027">
        <v>34</v>
      </c>
      <c r="CK1027">
        <v>1</v>
      </c>
      <c r="CL1027">
        <v>0</v>
      </c>
      <c r="CM1027">
        <v>65.466000000000008</v>
      </c>
      <c r="CN1027">
        <v>0</v>
      </c>
      <c r="CO1027">
        <v>0</v>
      </c>
      <c r="CP1027">
        <v>0</v>
      </c>
      <c r="CQ1027">
        <v>0</v>
      </c>
      <c r="CR1027">
        <v>0</v>
      </c>
      <c r="CS1027">
        <v>0</v>
      </c>
      <c r="CT1027">
        <v>0</v>
      </c>
      <c r="CU1027">
        <v>24.111000000000001</v>
      </c>
      <c r="CV1027">
        <v>151.779</v>
      </c>
      <c r="CW1027">
        <v>112.32400000000001</v>
      </c>
      <c r="CX1027">
        <v>0</v>
      </c>
      <c r="CY1027" s="2043">
        <v>0</v>
      </c>
      <c r="CZ1027" s="2043">
        <v>0</v>
      </c>
      <c r="DA1027" s="2043">
        <v>0</v>
      </c>
      <c r="DB1027" s="2043">
        <v>0</v>
      </c>
      <c r="DC1027" s="2043">
        <v>0</v>
      </c>
      <c r="DI1027" t="s">
        <v>5255</v>
      </c>
      <c r="DJ1027" t="s">
        <v>5255</v>
      </c>
      <c r="DK1027" s="2042">
        <f t="shared" si="17"/>
        <v>0</v>
      </c>
    </row>
    <row r="1028" spans="1:115">
      <c r="A1028" t="s">
        <v>3201</v>
      </c>
      <c r="B1028" t="s">
        <v>1632</v>
      </c>
      <c r="C1028">
        <v>4035.3850000000002</v>
      </c>
      <c r="D1028">
        <v>3941.366</v>
      </c>
      <c r="E1028">
        <v>150.17700000000002</v>
      </c>
      <c r="F1028">
        <v>0</v>
      </c>
      <c r="G1028" s="2043">
        <v>1907416516</v>
      </c>
      <c r="H1028">
        <v>0</v>
      </c>
      <c r="I1028" s="2043">
        <v>5412076</v>
      </c>
      <c r="J1028">
        <v>201.76900000000001</v>
      </c>
      <c r="K1028">
        <v>552</v>
      </c>
      <c r="L1028">
        <v>0</v>
      </c>
      <c r="M1028">
        <v>863361</v>
      </c>
      <c r="N1028">
        <v>0</v>
      </c>
      <c r="O1028">
        <v>863361</v>
      </c>
      <c r="P1028">
        <v>0</v>
      </c>
      <c r="Q1028">
        <v>0</v>
      </c>
      <c r="R1028" s="2043">
        <v>15623751</v>
      </c>
      <c r="S1028">
        <v>1520560</v>
      </c>
      <c r="T1028">
        <v>0</v>
      </c>
      <c r="U1028">
        <v>0.08</v>
      </c>
      <c r="V1028">
        <v>0</v>
      </c>
      <c r="W1028">
        <v>0</v>
      </c>
      <c r="X1028">
        <v>0</v>
      </c>
      <c r="Y1028">
        <v>0</v>
      </c>
      <c r="Z1028">
        <v>0</v>
      </c>
      <c r="AA1028">
        <v>0</v>
      </c>
      <c r="AB1028">
        <v>3941.366</v>
      </c>
      <c r="AC1028" s="2043">
        <v>1518524414</v>
      </c>
      <c r="AD1028">
        <v>5510532</v>
      </c>
      <c r="AE1028" s="2043">
        <v>17144311</v>
      </c>
      <c r="AF1028">
        <v>0.90200000000000002</v>
      </c>
      <c r="AG1028">
        <v>0</v>
      </c>
      <c r="AH1028">
        <v>0</v>
      </c>
      <c r="AI1028">
        <v>0</v>
      </c>
      <c r="AJ1028">
        <v>497.82500000000005</v>
      </c>
      <c r="AK1028">
        <v>17971</v>
      </c>
      <c r="AL1028">
        <v>0.32500000000000001</v>
      </c>
      <c r="AM1028">
        <v>0</v>
      </c>
      <c r="AN1028">
        <v>119.857</v>
      </c>
      <c r="AO1028">
        <v>0</v>
      </c>
      <c r="AP1028">
        <v>0</v>
      </c>
      <c r="AQ1028">
        <v>0.83100000000000007</v>
      </c>
      <c r="AR1028">
        <v>126.896</v>
      </c>
      <c r="AS1028">
        <v>0</v>
      </c>
      <c r="AT1028">
        <v>55.661000000000001</v>
      </c>
      <c r="AU1028">
        <v>14.853000000000002</v>
      </c>
      <c r="AV1028">
        <v>0</v>
      </c>
      <c r="AW1028">
        <v>198.566</v>
      </c>
      <c r="AX1028">
        <v>0</v>
      </c>
      <c r="AY1028">
        <v>623.56100000000004</v>
      </c>
      <c r="AZ1028">
        <v>0</v>
      </c>
      <c r="BA1028">
        <v>21973114</v>
      </c>
      <c r="BB1028">
        <v>22654843</v>
      </c>
      <c r="BC1028">
        <v>0</v>
      </c>
      <c r="BD1028">
        <v>170419</v>
      </c>
      <c r="BE1028">
        <v>81356</v>
      </c>
      <c r="BF1028">
        <v>251775</v>
      </c>
      <c r="BG1028">
        <v>170419</v>
      </c>
      <c r="BH1028">
        <v>0</v>
      </c>
      <c r="BI1028">
        <v>0</v>
      </c>
      <c r="BJ1028">
        <v>0</v>
      </c>
      <c r="BK1028">
        <v>0</v>
      </c>
      <c r="BL1028">
        <v>1907416516</v>
      </c>
      <c r="BM1028">
        <v>0</v>
      </c>
      <c r="BN1028">
        <v>15039</v>
      </c>
      <c r="BO1028">
        <v>12198</v>
      </c>
      <c r="BP1028">
        <v>0</v>
      </c>
      <c r="BQ1028">
        <v>0</v>
      </c>
      <c r="BR1028">
        <v>0.82200000000000006</v>
      </c>
      <c r="BS1028">
        <v>0.82200000000000006</v>
      </c>
      <c r="BT1028">
        <v>0</v>
      </c>
      <c r="BU1028">
        <v>0</v>
      </c>
      <c r="BV1028">
        <v>1006</v>
      </c>
      <c r="BW1028">
        <v>563</v>
      </c>
      <c r="BX1028">
        <v>528</v>
      </c>
      <c r="BY1028">
        <v>1</v>
      </c>
      <c r="BZ1028">
        <v>20</v>
      </c>
      <c r="CA1028">
        <v>2118</v>
      </c>
      <c r="CB1028">
        <v>0</v>
      </c>
      <c r="CC1028">
        <v>0</v>
      </c>
      <c r="CD1028">
        <v>0</v>
      </c>
      <c r="CE1028">
        <v>389</v>
      </c>
      <c r="CF1028">
        <v>733.91600000000005</v>
      </c>
      <c r="CG1028">
        <v>0</v>
      </c>
      <c r="CH1028">
        <v>2.5329999999999999</v>
      </c>
      <c r="CI1028">
        <v>23</v>
      </c>
      <c r="CJ1028">
        <v>63</v>
      </c>
      <c r="CK1028">
        <v>0</v>
      </c>
      <c r="CL1028">
        <v>2.5329999999999999</v>
      </c>
      <c r="CM1028">
        <v>150.17700000000002</v>
      </c>
      <c r="CN1028">
        <v>0</v>
      </c>
      <c r="CO1028">
        <v>0</v>
      </c>
      <c r="CP1028">
        <v>0</v>
      </c>
      <c r="CQ1028">
        <v>0</v>
      </c>
      <c r="CR1028">
        <v>0</v>
      </c>
      <c r="CS1028">
        <v>0</v>
      </c>
      <c r="CT1028">
        <v>0</v>
      </c>
      <c r="CU1028">
        <v>1.1910000000000001</v>
      </c>
      <c r="CV1028">
        <v>265.98099999999999</v>
      </c>
      <c r="CW1028">
        <v>79.335000000000008</v>
      </c>
      <c r="CX1028">
        <v>0</v>
      </c>
      <c r="CY1028" s="2043">
        <v>0</v>
      </c>
      <c r="CZ1028" s="2043">
        <v>0</v>
      </c>
      <c r="DA1028" s="2043">
        <v>0</v>
      </c>
      <c r="DB1028" s="2043">
        <v>0</v>
      </c>
      <c r="DC1028" s="2043">
        <v>0</v>
      </c>
      <c r="DI1028" t="s">
        <v>3201</v>
      </c>
      <c r="DJ1028" t="s">
        <v>3201</v>
      </c>
      <c r="DK1028" s="2042">
        <f t="shared" ref="DK1028:DK1091" si="18">DI1028-DJ1028:DJ1029</f>
        <v>0</v>
      </c>
    </row>
    <row r="1029" spans="1:115">
      <c r="A1029" t="s">
        <v>5256</v>
      </c>
      <c r="B1029" t="s">
        <v>952</v>
      </c>
      <c r="C1029">
        <v>974.30400000000009</v>
      </c>
      <c r="D1029">
        <v>1031.8900000000001</v>
      </c>
      <c r="E1029">
        <v>38.391000000000005</v>
      </c>
      <c r="F1029">
        <v>0</v>
      </c>
      <c r="G1029" s="2043">
        <v>414473855</v>
      </c>
      <c r="H1029">
        <v>0</v>
      </c>
      <c r="I1029" s="2043">
        <v>486580</v>
      </c>
      <c r="J1029">
        <v>48.715000000000003</v>
      </c>
      <c r="K1029">
        <v>133</v>
      </c>
      <c r="L1029">
        <v>0</v>
      </c>
      <c r="M1029">
        <v>0</v>
      </c>
      <c r="N1029">
        <v>0</v>
      </c>
      <c r="O1029">
        <v>0</v>
      </c>
      <c r="P1029">
        <v>0</v>
      </c>
      <c r="Q1029">
        <v>0</v>
      </c>
      <c r="R1029" s="2043">
        <v>3776982</v>
      </c>
      <c r="S1029">
        <v>330806</v>
      </c>
      <c r="T1029">
        <v>241076</v>
      </c>
      <c r="U1029">
        <v>0.08</v>
      </c>
      <c r="V1029">
        <v>0</v>
      </c>
      <c r="W1029">
        <v>0</v>
      </c>
      <c r="X1029">
        <v>0</v>
      </c>
      <c r="Y1029">
        <v>0</v>
      </c>
      <c r="Z1029">
        <v>1</v>
      </c>
      <c r="AA1029">
        <v>0</v>
      </c>
      <c r="AB1029">
        <v>991.41600000000005</v>
      </c>
      <c r="AC1029" s="2043">
        <v>379955976</v>
      </c>
      <c r="AD1029">
        <v>476320</v>
      </c>
      <c r="AE1029" s="2043">
        <v>4348864</v>
      </c>
      <c r="AF1029">
        <v>1.0517000000000001</v>
      </c>
      <c r="AG1029">
        <v>0</v>
      </c>
      <c r="AH1029">
        <v>0</v>
      </c>
      <c r="AI1029">
        <v>0</v>
      </c>
      <c r="AJ1029">
        <v>137.08799999999999</v>
      </c>
      <c r="AK1029">
        <v>3865</v>
      </c>
      <c r="AL1029">
        <v>0</v>
      </c>
      <c r="AM1029">
        <v>0</v>
      </c>
      <c r="AN1029">
        <v>24.066000000000003</v>
      </c>
      <c r="AO1029">
        <v>0</v>
      </c>
      <c r="AP1029">
        <v>0</v>
      </c>
      <c r="AQ1029">
        <v>0</v>
      </c>
      <c r="AR1029">
        <v>27.805</v>
      </c>
      <c r="AS1029">
        <v>0</v>
      </c>
      <c r="AT1029">
        <v>4.0390000000000006</v>
      </c>
      <c r="AU1029">
        <v>1.6120000000000001</v>
      </c>
      <c r="AV1029">
        <v>0</v>
      </c>
      <c r="AW1029">
        <v>33.456000000000003</v>
      </c>
      <c r="AX1029">
        <v>0</v>
      </c>
      <c r="AY1029">
        <v>103.592</v>
      </c>
      <c r="AZ1029">
        <v>0</v>
      </c>
      <c r="BA1029">
        <v>7343390</v>
      </c>
      <c r="BB1029">
        <v>4825184</v>
      </c>
      <c r="BC1029">
        <v>0</v>
      </c>
      <c r="BD1029">
        <v>51070</v>
      </c>
      <c r="BE1029">
        <v>6917</v>
      </c>
      <c r="BF1029">
        <v>57987</v>
      </c>
      <c r="BG1029">
        <v>51070</v>
      </c>
      <c r="BH1029">
        <v>0</v>
      </c>
      <c r="BI1029">
        <v>0</v>
      </c>
      <c r="BJ1029">
        <v>0</v>
      </c>
      <c r="BK1029">
        <v>0</v>
      </c>
      <c r="BL1029">
        <v>414473855</v>
      </c>
      <c r="BM1029">
        <v>0</v>
      </c>
      <c r="BN1029">
        <v>3348</v>
      </c>
      <c r="BO1029">
        <v>3071</v>
      </c>
      <c r="BP1029">
        <v>0</v>
      </c>
      <c r="BQ1029">
        <v>0</v>
      </c>
      <c r="BR1029">
        <v>0.91339999999999999</v>
      </c>
      <c r="BS1029">
        <v>0.91339999999999999</v>
      </c>
      <c r="BT1029">
        <v>0</v>
      </c>
      <c r="BU1029">
        <v>0</v>
      </c>
      <c r="BV1029">
        <v>143</v>
      </c>
      <c r="BW1029">
        <v>40</v>
      </c>
      <c r="BX1029">
        <v>203</v>
      </c>
      <c r="BY1029">
        <v>167</v>
      </c>
      <c r="BZ1029">
        <v>3</v>
      </c>
      <c r="CA1029">
        <v>556</v>
      </c>
      <c r="CB1029">
        <v>0</v>
      </c>
      <c r="CC1029">
        <v>0</v>
      </c>
      <c r="CD1029">
        <v>0</v>
      </c>
      <c r="CE1029">
        <v>87</v>
      </c>
      <c r="CF1029">
        <v>170.922</v>
      </c>
      <c r="CG1029">
        <v>0</v>
      </c>
      <c r="CH1029">
        <v>0</v>
      </c>
      <c r="CI1029">
        <v>2</v>
      </c>
      <c r="CJ1029">
        <v>4</v>
      </c>
      <c r="CK1029">
        <v>0</v>
      </c>
      <c r="CL1029">
        <v>0</v>
      </c>
      <c r="CM1029">
        <v>38.391000000000005</v>
      </c>
      <c r="CN1029">
        <v>0</v>
      </c>
      <c r="CO1029">
        <v>0</v>
      </c>
      <c r="CP1029">
        <v>0</v>
      </c>
      <c r="CQ1029">
        <v>0</v>
      </c>
      <c r="CR1029">
        <v>0</v>
      </c>
      <c r="CS1029">
        <v>0</v>
      </c>
      <c r="CT1029">
        <v>0</v>
      </c>
      <c r="CU1029">
        <v>10.122</v>
      </c>
      <c r="CV1029">
        <v>50.904000000000003</v>
      </c>
      <c r="CW1029">
        <v>30.242000000000001</v>
      </c>
      <c r="CX1029">
        <v>0</v>
      </c>
      <c r="CY1029" s="2043">
        <v>0</v>
      </c>
      <c r="CZ1029" s="2043">
        <v>0</v>
      </c>
      <c r="DA1029" s="2043">
        <v>0</v>
      </c>
      <c r="DB1029" s="2043">
        <v>0</v>
      </c>
      <c r="DC1029" s="2043">
        <v>0</v>
      </c>
      <c r="DI1029" t="s">
        <v>5256</v>
      </c>
      <c r="DJ1029" t="s">
        <v>5256</v>
      </c>
      <c r="DK1029" s="2042">
        <f t="shared" si="18"/>
        <v>0</v>
      </c>
    </row>
    <row r="1030" spans="1:115">
      <c r="A1030" t="s">
        <v>5257</v>
      </c>
      <c r="B1030" t="s">
        <v>175</v>
      </c>
      <c r="C1030">
        <v>16638.830000000002</v>
      </c>
      <c r="D1030">
        <v>16979.620999999999</v>
      </c>
      <c r="E1030">
        <v>3106.5810000000001</v>
      </c>
      <c r="F1030">
        <v>0</v>
      </c>
      <c r="G1030" s="2043">
        <v>10492103473</v>
      </c>
      <c r="H1030">
        <v>0</v>
      </c>
      <c r="I1030" s="2043">
        <v>28007084</v>
      </c>
      <c r="J1030">
        <v>831.94200000000001</v>
      </c>
      <c r="K1030">
        <v>2274</v>
      </c>
      <c r="L1030">
        <v>0</v>
      </c>
      <c r="M1030">
        <v>0</v>
      </c>
      <c r="N1030">
        <v>0</v>
      </c>
      <c r="O1030">
        <v>0</v>
      </c>
      <c r="P1030">
        <v>0</v>
      </c>
      <c r="Q1030">
        <v>0</v>
      </c>
      <c r="R1030" s="2043">
        <v>93861115</v>
      </c>
      <c r="S1030">
        <v>5190859</v>
      </c>
      <c r="T1030">
        <v>0</v>
      </c>
      <c r="U1030">
        <v>0.05</v>
      </c>
      <c r="V1030">
        <v>0</v>
      </c>
      <c r="W1030">
        <v>0</v>
      </c>
      <c r="X1030">
        <v>0</v>
      </c>
      <c r="Y1030">
        <v>-16534</v>
      </c>
      <c r="Z1030">
        <v>0</v>
      </c>
      <c r="AA1030">
        <v>0</v>
      </c>
      <c r="AB1030">
        <v>16377.933000000001</v>
      </c>
      <c r="AC1030" s="2043">
        <v>9617060432</v>
      </c>
      <c r="AD1030">
        <v>34778179</v>
      </c>
      <c r="AE1030" s="2043">
        <v>99051974</v>
      </c>
      <c r="AF1030">
        <v>0.95410000000000006</v>
      </c>
      <c r="AG1030">
        <v>0</v>
      </c>
      <c r="AH1030">
        <v>0</v>
      </c>
      <c r="AI1030">
        <v>0</v>
      </c>
      <c r="AJ1030">
        <v>3545.9380000000001</v>
      </c>
      <c r="AK1030">
        <v>41301</v>
      </c>
      <c r="AL1030">
        <v>1.9180000000000001</v>
      </c>
      <c r="AM1030">
        <v>0</v>
      </c>
      <c r="AN1030">
        <v>277.22700000000003</v>
      </c>
      <c r="AO1030">
        <v>0</v>
      </c>
      <c r="AP1030">
        <v>30.608000000000001</v>
      </c>
      <c r="AQ1030">
        <v>2.347</v>
      </c>
      <c r="AR1030">
        <v>270.762</v>
      </c>
      <c r="AS1030">
        <v>0</v>
      </c>
      <c r="AT1030">
        <v>123.479</v>
      </c>
      <c r="AU1030">
        <v>39.864000000000004</v>
      </c>
      <c r="AV1030">
        <v>0</v>
      </c>
      <c r="AW1030">
        <v>478.185</v>
      </c>
      <c r="AX1030">
        <v>9.2070000000000007</v>
      </c>
      <c r="AY1030">
        <v>1495.451</v>
      </c>
      <c r="AZ1030">
        <v>0</v>
      </c>
      <c r="BA1030">
        <v>56636655</v>
      </c>
      <c r="BB1030">
        <v>133830153</v>
      </c>
      <c r="BC1030">
        <v>0</v>
      </c>
      <c r="BD1030">
        <v>661705</v>
      </c>
      <c r="BE1030">
        <v>436088</v>
      </c>
      <c r="BF1030">
        <v>1545620</v>
      </c>
      <c r="BG1030">
        <v>661705</v>
      </c>
      <c r="BH1030">
        <v>447827</v>
      </c>
      <c r="BI1030">
        <v>-8267</v>
      </c>
      <c r="BJ1030">
        <v>-8267</v>
      </c>
      <c r="BK1030">
        <v>0</v>
      </c>
      <c r="BL1030">
        <v>10492103473</v>
      </c>
      <c r="BM1030">
        <v>0</v>
      </c>
      <c r="BN1030">
        <v>57546</v>
      </c>
      <c r="BO1030">
        <v>41709</v>
      </c>
      <c r="BP1030">
        <v>100456</v>
      </c>
      <c r="BQ1030">
        <v>0</v>
      </c>
      <c r="BR1030">
        <v>0.90410000000000001</v>
      </c>
      <c r="BS1030">
        <v>0.90410000000000001</v>
      </c>
      <c r="BT1030">
        <v>0</v>
      </c>
      <c r="BU1030">
        <v>0</v>
      </c>
      <c r="BV1030">
        <v>2577</v>
      </c>
      <c r="BW1030">
        <v>1830</v>
      </c>
      <c r="BX1030">
        <v>3631</v>
      </c>
      <c r="BY1030">
        <v>3069</v>
      </c>
      <c r="BZ1030">
        <v>2975</v>
      </c>
      <c r="CA1030">
        <v>14082</v>
      </c>
      <c r="CB1030">
        <v>0</v>
      </c>
      <c r="CC1030">
        <v>758.86800000000005</v>
      </c>
      <c r="CD1030">
        <v>85.42</v>
      </c>
      <c r="CE1030">
        <v>743</v>
      </c>
      <c r="CF1030">
        <v>5695.0590000000002</v>
      </c>
      <c r="CG1030">
        <v>80.444000000000003</v>
      </c>
      <c r="CH1030">
        <v>2.9650000000000003</v>
      </c>
      <c r="CI1030">
        <v>65</v>
      </c>
      <c r="CJ1030">
        <v>86</v>
      </c>
      <c r="CK1030">
        <v>1</v>
      </c>
      <c r="CL1030">
        <v>83.409000000000006</v>
      </c>
      <c r="CM1030">
        <v>3106.5810000000001</v>
      </c>
      <c r="CN1030">
        <v>23320</v>
      </c>
      <c r="CO1030">
        <v>30589</v>
      </c>
      <c r="CP1030">
        <v>42047</v>
      </c>
      <c r="CQ1030">
        <v>4500</v>
      </c>
      <c r="CR1030">
        <v>0</v>
      </c>
      <c r="CS1030">
        <v>0</v>
      </c>
      <c r="CT1030">
        <v>0</v>
      </c>
      <c r="CU1030">
        <v>14.35</v>
      </c>
      <c r="CV1030">
        <v>758.9</v>
      </c>
      <c r="CW1030">
        <v>552.57299999999998</v>
      </c>
      <c r="CX1030">
        <v>0</v>
      </c>
      <c r="CY1030" s="2043">
        <v>0</v>
      </c>
      <c r="CZ1030" s="2043">
        <v>0</v>
      </c>
      <c r="DA1030" s="2043">
        <v>0</v>
      </c>
      <c r="DB1030" s="2043">
        <v>0</v>
      </c>
      <c r="DC1030" s="2043">
        <v>0</v>
      </c>
      <c r="DI1030" t="s">
        <v>5257</v>
      </c>
      <c r="DJ1030" t="s">
        <v>5257</v>
      </c>
      <c r="DK1030" s="2042">
        <f t="shared" si="18"/>
        <v>0</v>
      </c>
    </row>
    <row r="1031" spans="1:115">
      <c r="A1031" t="s">
        <v>3202</v>
      </c>
      <c r="B1031" t="s">
        <v>1110</v>
      </c>
      <c r="C1031">
        <v>4612.0860000000002</v>
      </c>
      <c r="D1031">
        <v>4679.1480000000001</v>
      </c>
      <c r="E1031">
        <v>198.869</v>
      </c>
      <c r="F1031">
        <v>0</v>
      </c>
      <c r="G1031" s="2043">
        <v>2502631810</v>
      </c>
      <c r="H1031">
        <v>0</v>
      </c>
      <c r="I1031" s="2043">
        <v>7411875</v>
      </c>
      <c r="J1031">
        <v>230.60400000000001</v>
      </c>
      <c r="K1031">
        <v>630</v>
      </c>
      <c r="L1031">
        <v>0</v>
      </c>
      <c r="M1031">
        <v>962500</v>
      </c>
      <c r="N1031">
        <v>0</v>
      </c>
      <c r="O1031">
        <v>962500</v>
      </c>
      <c r="P1031">
        <v>0</v>
      </c>
      <c r="Q1031">
        <v>0</v>
      </c>
      <c r="R1031" s="2043">
        <v>21570303</v>
      </c>
      <c r="S1031">
        <v>1495169</v>
      </c>
      <c r="T1031">
        <v>0</v>
      </c>
      <c r="U1031">
        <v>0.06</v>
      </c>
      <c r="V1031">
        <v>0</v>
      </c>
      <c r="W1031">
        <v>0</v>
      </c>
      <c r="X1031">
        <v>0</v>
      </c>
      <c r="Y1031">
        <v>0</v>
      </c>
      <c r="Z1031">
        <v>0.89700000000000002</v>
      </c>
      <c r="AA1031">
        <v>0.32100000000000001</v>
      </c>
      <c r="AB1031">
        <v>4544.7910000000002</v>
      </c>
      <c r="AC1031" s="2043">
        <v>2180916519</v>
      </c>
      <c r="AD1031">
        <v>7399797</v>
      </c>
      <c r="AE1031" s="2043">
        <v>23065472</v>
      </c>
      <c r="AF1031">
        <v>0.92560000000000009</v>
      </c>
      <c r="AG1031">
        <v>0</v>
      </c>
      <c r="AH1031">
        <v>0</v>
      </c>
      <c r="AI1031">
        <v>0</v>
      </c>
      <c r="AJ1031">
        <v>629.375</v>
      </c>
      <c r="AK1031">
        <v>16793</v>
      </c>
      <c r="AL1031">
        <v>0.312</v>
      </c>
      <c r="AM1031">
        <v>0</v>
      </c>
      <c r="AN1031">
        <v>168.363</v>
      </c>
      <c r="AO1031">
        <v>0</v>
      </c>
      <c r="AP1031">
        <v>0</v>
      </c>
      <c r="AQ1031">
        <v>0</v>
      </c>
      <c r="AR1031">
        <v>97.846000000000004</v>
      </c>
      <c r="AS1031">
        <v>0</v>
      </c>
      <c r="AT1031">
        <v>58.805</v>
      </c>
      <c r="AU1031">
        <v>11.812000000000001</v>
      </c>
      <c r="AV1031">
        <v>0</v>
      </c>
      <c r="AW1031">
        <v>168.77500000000001</v>
      </c>
      <c r="AX1031">
        <v>0</v>
      </c>
      <c r="AY1031">
        <v>530.57299999999998</v>
      </c>
      <c r="AZ1031">
        <v>0</v>
      </c>
      <c r="BA1031">
        <v>19201228</v>
      </c>
      <c r="BB1031">
        <v>30465269</v>
      </c>
      <c r="BC1031">
        <v>0</v>
      </c>
      <c r="BD1031">
        <v>179760</v>
      </c>
      <c r="BE1031">
        <v>48989</v>
      </c>
      <c r="BF1031">
        <v>228749</v>
      </c>
      <c r="BG1031">
        <v>179760</v>
      </c>
      <c r="BH1031">
        <v>0</v>
      </c>
      <c r="BI1031">
        <v>0</v>
      </c>
      <c r="BJ1031">
        <v>0</v>
      </c>
      <c r="BK1031">
        <v>0</v>
      </c>
      <c r="BL1031">
        <v>2502631810</v>
      </c>
      <c r="BM1031">
        <v>0</v>
      </c>
      <c r="BN1031">
        <v>17460</v>
      </c>
      <c r="BO1031">
        <v>11438</v>
      </c>
      <c r="BP1031">
        <v>3709</v>
      </c>
      <c r="BQ1031">
        <v>0</v>
      </c>
      <c r="BR1031">
        <v>0.86560000000000004</v>
      </c>
      <c r="BS1031">
        <v>0.86560000000000004</v>
      </c>
      <c r="BT1031">
        <v>0</v>
      </c>
      <c r="BU1031">
        <v>0</v>
      </c>
      <c r="BV1031">
        <v>1773</v>
      </c>
      <c r="BW1031">
        <v>756</v>
      </c>
      <c r="BX1031">
        <v>172</v>
      </c>
      <c r="BY1031">
        <v>6</v>
      </c>
      <c r="BZ1031">
        <v>23</v>
      </c>
      <c r="CA1031">
        <v>2730</v>
      </c>
      <c r="CB1031">
        <v>0</v>
      </c>
      <c r="CC1031">
        <v>0</v>
      </c>
      <c r="CD1031">
        <v>0</v>
      </c>
      <c r="CE1031">
        <v>200</v>
      </c>
      <c r="CF1031">
        <v>762.2</v>
      </c>
      <c r="CG1031">
        <v>0</v>
      </c>
      <c r="CH1031">
        <v>0</v>
      </c>
      <c r="CI1031">
        <v>9</v>
      </c>
      <c r="CJ1031">
        <v>60</v>
      </c>
      <c r="CK1031">
        <v>1</v>
      </c>
      <c r="CL1031">
        <v>0</v>
      </c>
      <c r="CM1031">
        <v>198.869</v>
      </c>
      <c r="CN1031">
        <v>0</v>
      </c>
      <c r="CO1031">
        <v>0</v>
      </c>
      <c r="CP1031">
        <v>3709</v>
      </c>
      <c r="CQ1031">
        <v>0</v>
      </c>
      <c r="CR1031">
        <v>0</v>
      </c>
      <c r="CS1031">
        <v>0</v>
      </c>
      <c r="CT1031">
        <v>0</v>
      </c>
      <c r="CU1031">
        <v>4.3260000000000005</v>
      </c>
      <c r="CV1031">
        <v>276.01600000000002</v>
      </c>
      <c r="CW1031">
        <v>114.89200000000001</v>
      </c>
      <c r="CX1031">
        <v>0</v>
      </c>
      <c r="CY1031" s="2043">
        <v>0</v>
      </c>
      <c r="CZ1031" s="2043">
        <v>0</v>
      </c>
      <c r="DA1031" s="2043">
        <v>0</v>
      </c>
      <c r="DB1031" s="2043">
        <v>0</v>
      </c>
      <c r="DC1031" s="2043">
        <v>0</v>
      </c>
      <c r="DI1031" t="s">
        <v>3202</v>
      </c>
      <c r="DJ1031" t="s">
        <v>3202</v>
      </c>
      <c r="DK1031" s="2042">
        <f t="shared" si="18"/>
        <v>0</v>
      </c>
    </row>
    <row r="1032" spans="1:115">
      <c r="A1032" t="s">
        <v>3203</v>
      </c>
      <c r="B1032" t="s">
        <v>1264</v>
      </c>
      <c r="C1032">
        <v>3113.1660000000002</v>
      </c>
      <c r="D1032">
        <v>3237.4340000000002</v>
      </c>
      <c r="E1032">
        <v>365.76900000000001</v>
      </c>
      <c r="F1032">
        <v>0</v>
      </c>
      <c r="G1032" s="2043">
        <v>1471408854</v>
      </c>
      <c r="H1032">
        <v>0</v>
      </c>
      <c r="I1032" s="2043">
        <v>1413594</v>
      </c>
      <c r="J1032">
        <v>155.65800000000002</v>
      </c>
      <c r="K1032">
        <v>426</v>
      </c>
      <c r="L1032">
        <v>0</v>
      </c>
      <c r="M1032">
        <v>722890</v>
      </c>
      <c r="N1032">
        <v>0</v>
      </c>
      <c r="O1032">
        <v>722890</v>
      </c>
      <c r="P1032">
        <v>0</v>
      </c>
      <c r="Q1032">
        <v>0</v>
      </c>
      <c r="R1032" s="2043">
        <v>13084178</v>
      </c>
      <c r="S1032">
        <v>1185295</v>
      </c>
      <c r="T1032">
        <v>383740</v>
      </c>
      <c r="U1032">
        <v>0.08</v>
      </c>
      <c r="V1032">
        <v>0</v>
      </c>
      <c r="W1032">
        <v>0</v>
      </c>
      <c r="X1032">
        <v>0</v>
      </c>
      <c r="Y1032">
        <v>0</v>
      </c>
      <c r="Z1032">
        <v>2.8340000000000001</v>
      </c>
      <c r="AA1032">
        <v>1.37</v>
      </c>
      <c r="AB1032">
        <v>3185.54</v>
      </c>
      <c r="AC1032" s="2043">
        <v>1367449247</v>
      </c>
      <c r="AD1032">
        <v>1630917</v>
      </c>
      <c r="AE1032" s="2043">
        <v>14653213</v>
      </c>
      <c r="AF1032">
        <v>0.9890000000000001</v>
      </c>
      <c r="AG1032">
        <v>0</v>
      </c>
      <c r="AH1032">
        <v>0</v>
      </c>
      <c r="AI1032">
        <v>0</v>
      </c>
      <c r="AJ1032">
        <v>684.97500000000002</v>
      </c>
      <c r="AK1032">
        <v>13246</v>
      </c>
      <c r="AL1032">
        <v>0.32600000000000001</v>
      </c>
      <c r="AM1032">
        <v>0</v>
      </c>
      <c r="AN1032">
        <v>105.13200000000001</v>
      </c>
      <c r="AO1032">
        <v>2</v>
      </c>
      <c r="AP1032">
        <v>0</v>
      </c>
      <c r="AQ1032">
        <v>0</v>
      </c>
      <c r="AR1032">
        <v>90.093000000000004</v>
      </c>
      <c r="AS1032">
        <v>0</v>
      </c>
      <c r="AT1032">
        <v>34.347999999999999</v>
      </c>
      <c r="AU1032">
        <v>8.5210000000000008</v>
      </c>
      <c r="AV1032">
        <v>0</v>
      </c>
      <c r="AW1032">
        <v>137.148</v>
      </c>
      <c r="AX1032">
        <v>3.86</v>
      </c>
      <c r="AY1032">
        <v>426.43600000000004</v>
      </c>
      <c r="AZ1032">
        <v>0</v>
      </c>
      <c r="BA1032">
        <v>20132857</v>
      </c>
      <c r="BB1032">
        <v>16284130</v>
      </c>
      <c r="BC1032">
        <v>0</v>
      </c>
      <c r="BD1032">
        <v>259623</v>
      </c>
      <c r="BE1032">
        <v>105358</v>
      </c>
      <c r="BF1032">
        <v>394777</v>
      </c>
      <c r="BG1032">
        <v>259623</v>
      </c>
      <c r="BH1032">
        <v>29796</v>
      </c>
      <c r="BI1032">
        <v>0</v>
      </c>
      <c r="BJ1032">
        <v>0</v>
      </c>
      <c r="BK1032">
        <v>0</v>
      </c>
      <c r="BL1032">
        <v>1471408854</v>
      </c>
      <c r="BM1032">
        <v>0</v>
      </c>
      <c r="BN1032">
        <v>12195</v>
      </c>
      <c r="BO1032">
        <v>10989</v>
      </c>
      <c r="BP1032">
        <v>0</v>
      </c>
      <c r="BQ1032">
        <v>0</v>
      </c>
      <c r="BR1032">
        <v>0.8831</v>
      </c>
      <c r="BS1032">
        <v>0.8831</v>
      </c>
      <c r="BT1032">
        <v>0</v>
      </c>
      <c r="BU1032">
        <v>0</v>
      </c>
      <c r="BV1032">
        <v>590</v>
      </c>
      <c r="BW1032">
        <v>248</v>
      </c>
      <c r="BX1032">
        <v>1232</v>
      </c>
      <c r="BY1032">
        <v>464</v>
      </c>
      <c r="BZ1032">
        <v>231</v>
      </c>
      <c r="CA1032">
        <v>2765</v>
      </c>
      <c r="CB1032">
        <v>0</v>
      </c>
      <c r="CC1032">
        <v>412.94600000000003</v>
      </c>
      <c r="CD1032">
        <v>0</v>
      </c>
      <c r="CE1032">
        <v>311</v>
      </c>
      <c r="CF1032">
        <v>1010.897</v>
      </c>
      <c r="CG1032">
        <v>0</v>
      </c>
      <c r="CH1032">
        <v>0</v>
      </c>
      <c r="CI1032">
        <v>0</v>
      </c>
      <c r="CJ1032">
        <v>5</v>
      </c>
      <c r="CK1032">
        <v>0</v>
      </c>
      <c r="CL1032">
        <v>0</v>
      </c>
      <c r="CM1032">
        <v>365.76900000000001</v>
      </c>
      <c r="CN1032">
        <v>0</v>
      </c>
      <c r="CO1032">
        <v>0</v>
      </c>
      <c r="CP1032">
        <v>0</v>
      </c>
      <c r="CQ1032">
        <v>0</v>
      </c>
      <c r="CR1032">
        <v>0</v>
      </c>
      <c r="CS1032">
        <v>0</v>
      </c>
      <c r="CT1032">
        <v>0</v>
      </c>
      <c r="CU1032">
        <v>63.173999999999999</v>
      </c>
      <c r="CV1032">
        <v>254.76900000000001</v>
      </c>
      <c r="CW1032">
        <v>141.637</v>
      </c>
      <c r="CX1032">
        <v>0</v>
      </c>
      <c r="CY1032" s="2043">
        <v>0</v>
      </c>
      <c r="CZ1032" s="2043">
        <v>0</v>
      </c>
      <c r="DA1032" s="2043">
        <v>0</v>
      </c>
      <c r="DB1032" s="2043">
        <v>0</v>
      </c>
      <c r="DC1032" s="2043">
        <v>0</v>
      </c>
      <c r="DI1032" t="s">
        <v>3203</v>
      </c>
      <c r="DJ1032" t="s">
        <v>3203</v>
      </c>
      <c r="DK1032" s="2042">
        <f t="shared" si="18"/>
        <v>0</v>
      </c>
    </row>
    <row r="1033" spans="1:115">
      <c r="A1033" t="s">
        <v>5258</v>
      </c>
      <c r="B1033" t="s">
        <v>1265</v>
      </c>
      <c r="C1033">
        <v>975.86500000000001</v>
      </c>
      <c r="D1033">
        <v>981.85900000000004</v>
      </c>
      <c r="E1033">
        <v>166.482</v>
      </c>
      <c r="F1033">
        <v>0</v>
      </c>
      <c r="G1033" s="2043">
        <v>655470898</v>
      </c>
      <c r="H1033">
        <v>0</v>
      </c>
      <c r="I1033" s="2043">
        <v>1574607</v>
      </c>
      <c r="J1033">
        <v>35</v>
      </c>
      <c r="K1033">
        <v>96</v>
      </c>
      <c r="L1033">
        <v>0</v>
      </c>
      <c r="M1033">
        <v>0</v>
      </c>
      <c r="N1033">
        <v>0</v>
      </c>
      <c r="O1033">
        <v>0</v>
      </c>
      <c r="P1033">
        <v>0</v>
      </c>
      <c r="Q1033">
        <v>0</v>
      </c>
      <c r="R1033" s="2043">
        <v>5755725</v>
      </c>
      <c r="S1033">
        <v>326030</v>
      </c>
      <c r="T1033">
        <v>0</v>
      </c>
      <c r="U1033">
        <v>0.05</v>
      </c>
      <c r="V1033">
        <v>0</v>
      </c>
      <c r="W1033">
        <v>0</v>
      </c>
      <c r="X1033">
        <v>0</v>
      </c>
      <c r="Y1033">
        <v>0</v>
      </c>
      <c r="Z1033">
        <v>0</v>
      </c>
      <c r="AA1033">
        <v>0</v>
      </c>
      <c r="AB1033">
        <v>950.13</v>
      </c>
      <c r="AC1033" s="2043">
        <v>480881537</v>
      </c>
      <c r="AD1033">
        <v>1862108</v>
      </c>
      <c r="AE1033" s="2043">
        <v>6081755</v>
      </c>
      <c r="AF1033">
        <v>0.93270000000000008</v>
      </c>
      <c r="AG1033">
        <v>0</v>
      </c>
      <c r="AH1033">
        <v>0</v>
      </c>
      <c r="AI1033">
        <v>0</v>
      </c>
      <c r="AJ1033">
        <v>223.76300000000001</v>
      </c>
      <c r="AK1033">
        <v>5263</v>
      </c>
      <c r="AL1033">
        <v>0.39500000000000002</v>
      </c>
      <c r="AM1033">
        <v>0</v>
      </c>
      <c r="AN1033">
        <v>22.373000000000001</v>
      </c>
      <c r="AO1033">
        <v>0</v>
      </c>
      <c r="AP1033">
        <v>0</v>
      </c>
      <c r="AQ1033">
        <v>0</v>
      </c>
      <c r="AR1033">
        <v>35.437000000000005</v>
      </c>
      <c r="AS1033">
        <v>0</v>
      </c>
      <c r="AT1033">
        <v>11.023</v>
      </c>
      <c r="AU1033">
        <v>2.2190000000000003</v>
      </c>
      <c r="AV1033">
        <v>0</v>
      </c>
      <c r="AW1033">
        <v>49.074000000000005</v>
      </c>
      <c r="AX1033">
        <v>0</v>
      </c>
      <c r="AY1033">
        <v>152.45000000000002</v>
      </c>
      <c r="AZ1033">
        <v>0</v>
      </c>
      <c r="BA1033">
        <v>6001652</v>
      </c>
      <c r="BB1033">
        <v>7943863</v>
      </c>
      <c r="BC1033">
        <v>0</v>
      </c>
      <c r="BD1033">
        <v>94172</v>
      </c>
      <c r="BE1033">
        <v>20294</v>
      </c>
      <c r="BF1033">
        <v>170839</v>
      </c>
      <c r="BG1033">
        <v>94172</v>
      </c>
      <c r="BH1033">
        <v>56373</v>
      </c>
      <c r="BI1033">
        <v>0</v>
      </c>
      <c r="BJ1033">
        <v>0</v>
      </c>
      <c r="BK1033">
        <v>0</v>
      </c>
      <c r="BL1033">
        <v>655470898</v>
      </c>
      <c r="BM1033">
        <v>0</v>
      </c>
      <c r="BN1033">
        <v>3105</v>
      </c>
      <c r="BO1033">
        <v>2418</v>
      </c>
      <c r="BP1033">
        <v>83124</v>
      </c>
      <c r="BQ1033">
        <v>0</v>
      </c>
      <c r="BR1033">
        <v>0.88270000000000004</v>
      </c>
      <c r="BS1033">
        <v>0.88270000000000004</v>
      </c>
      <c r="BT1033">
        <v>0</v>
      </c>
      <c r="BU1033">
        <v>0</v>
      </c>
      <c r="BV1033">
        <v>14</v>
      </c>
      <c r="BW1033">
        <v>764</v>
      </c>
      <c r="BX1033">
        <v>82</v>
      </c>
      <c r="BY1033">
        <v>47</v>
      </c>
      <c r="BZ1033">
        <v>23</v>
      </c>
      <c r="CA1033">
        <v>930</v>
      </c>
      <c r="CB1033">
        <v>0</v>
      </c>
      <c r="CC1033">
        <v>0</v>
      </c>
      <c r="CD1033">
        <v>0</v>
      </c>
      <c r="CE1033">
        <v>82</v>
      </c>
      <c r="CF1033">
        <v>321.05600000000004</v>
      </c>
      <c r="CG1033">
        <v>0</v>
      </c>
      <c r="CH1033">
        <v>0</v>
      </c>
      <c r="CI1033">
        <v>1</v>
      </c>
      <c r="CJ1033">
        <v>2</v>
      </c>
      <c r="CK1033">
        <v>0</v>
      </c>
      <c r="CL1033">
        <v>0</v>
      </c>
      <c r="CM1033">
        <v>166.482</v>
      </c>
      <c r="CN1033">
        <v>53453</v>
      </c>
      <c r="CO1033">
        <v>29671</v>
      </c>
      <c r="CP1033">
        <v>0</v>
      </c>
      <c r="CQ1033">
        <v>0</v>
      </c>
      <c r="CR1033">
        <v>0</v>
      </c>
      <c r="CS1033">
        <v>0</v>
      </c>
      <c r="CT1033">
        <v>0</v>
      </c>
      <c r="CU1033">
        <v>0</v>
      </c>
      <c r="CV1033">
        <v>56.042999999999999</v>
      </c>
      <c r="CW1033">
        <v>31.339000000000002</v>
      </c>
      <c r="CX1033">
        <v>0</v>
      </c>
      <c r="CY1033" s="2043">
        <v>0</v>
      </c>
      <c r="CZ1033" s="2043">
        <v>0</v>
      </c>
      <c r="DA1033" s="2043">
        <v>0</v>
      </c>
      <c r="DB1033" s="2043">
        <v>0</v>
      </c>
      <c r="DC1033" s="2043">
        <v>0</v>
      </c>
      <c r="DI1033" t="s">
        <v>5258</v>
      </c>
      <c r="DJ1033" t="s">
        <v>5258</v>
      </c>
      <c r="DK1033" s="2042">
        <f t="shared" si="18"/>
        <v>0</v>
      </c>
    </row>
    <row r="1034" spans="1:115">
      <c r="A1034" t="s">
        <v>8073</v>
      </c>
      <c r="B1034" t="s">
        <v>11400</v>
      </c>
      <c r="C1034">
        <v>184.29300000000001</v>
      </c>
      <c r="D1034">
        <v>204.68100000000001</v>
      </c>
      <c r="E1034">
        <v>3.8560000000000003</v>
      </c>
      <c r="F1034">
        <v>0</v>
      </c>
      <c r="G1034" s="2043">
        <v>0</v>
      </c>
      <c r="H1034">
        <v>0</v>
      </c>
      <c r="I1034" s="2043">
        <v>0</v>
      </c>
      <c r="J1034">
        <v>0</v>
      </c>
      <c r="K1034">
        <v>0</v>
      </c>
      <c r="L1034">
        <v>0</v>
      </c>
      <c r="M1034">
        <v>0</v>
      </c>
      <c r="N1034">
        <v>0</v>
      </c>
      <c r="O1034">
        <v>0</v>
      </c>
      <c r="P1034">
        <v>0</v>
      </c>
      <c r="Q1034">
        <v>0</v>
      </c>
      <c r="R1034" s="2043">
        <v>0</v>
      </c>
      <c r="S1034">
        <v>0</v>
      </c>
      <c r="T1034">
        <v>0</v>
      </c>
      <c r="U1034">
        <v>0</v>
      </c>
      <c r="V1034">
        <v>0</v>
      </c>
      <c r="W1034">
        <v>0</v>
      </c>
      <c r="X1034">
        <v>0</v>
      </c>
      <c r="Y1034">
        <v>41578</v>
      </c>
      <c r="Z1034">
        <v>0</v>
      </c>
      <c r="AA1034">
        <v>0</v>
      </c>
      <c r="AB1034">
        <v>199.32</v>
      </c>
      <c r="AC1034" s="2043">
        <v>0</v>
      </c>
      <c r="AD1034">
        <v>0</v>
      </c>
      <c r="AE1034" s="2043">
        <v>0</v>
      </c>
      <c r="AF1034">
        <v>0</v>
      </c>
      <c r="AG1034">
        <v>0</v>
      </c>
      <c r="AH1034">
        <v>0</v>
      </c>
      <c r="AI1034">
        <v>0</v>
      </c>
      <c r="AJ1034">
        <v>24.663</v>
      </c>
      <c r="AK1034">
        <v>1363</v>
      </c>
      <c r="AL1034">
        <v>0</v>
      </c>
      <c r="AM1034">
        <v>9.4809999999999999</v>
      </c>
      <c r="AN1034">
        <v>26.3</v>
      </c>
      <c r="AO1034">
        <v>0</v>
      </c>
      <c r="AP1034">
        <v>0</v>
      </c>
      <c r="AQ1034">
        <v>0</v>
      </c>
      <c r="AR1034">
        <v>0.28200000000000003</v>
      </c>
      <c r="AS1034">
        <v>0</v>
      </c>
      <c r="AT1034">
        <v>0</v>
      </c>
      <c r="AU1034">
        <v>0.129</v>
      </c>
      <c r="AV1034">
        <v>0</v>
      </c>
      <c r="AW1034">
        <v>9.8920000000000012</v>
      </c>
      <c r="AX1034">
        <v>0</v>
      </c>
      <c r="AY1034">
        <v>29.934000000000001</v>
      </c>
      <c r="AZ1034">
        <v>0</v>
      </c>
      <c r="BA1034">
        <v>2184237</v>
      </c>
      <c r="BB1034">
        <v>0</v>
      </c>
      <c r="BC1034">
        <v>0</v>
      </c>
      <c r="BD1034">
        <v>0</v>
      </c>
      <c r="BE1034">
        <v>0</v>
      </c>
      <c r="BF1034">
        <v>0</v>
      </c>
      <c r="BG1034">
        <v>0</v>
      </c>
      <c r="BH1034">
        <v>0</v>
      </c>
      <c r="BI1034">
        <v>0</v>
      </c>
      <c r="BJ1034">
        <v>0</v>
      </c>
      <c r="BK1034">
        <v>0</v>
      </c>
      <c r="BL1034">
        <v>0</v>
      </c>
      <c r="BM1034">
        <v>0</v>
      </c>
      <c r="BN1034">
        <v>1692</v>
      </c>
      <c r="BO1034">
        <v>0</v>
      </c>
      <c r="BP1034">
        <v>0</v>
      </c>
      <c r="BQ1034">
        <v>0</v>
      </c>
      <c r="BR1034">
        <v>0</v>
      </c>
      <c r="BS1034">
        <v>0</v>
      </c>
      <c r="BT1034">
        <v>8998</v>
      </c>
      <c r="BU1034">
        <v>0</v>
      </c>
      <c r="BV1034">
        <v>25</v>
      </c>
      <c r="BW1034">
        <v>21</v>
      </c>
      <c r="BX1034">
        <v>15</v>
      </c>
      <c r="BY1034">
        <v>12</v>
      </c>
      <c r="BZ1034">
        <v>26</v>
      </c>
      <c r="CA1034">
        <v>99</v>
      </c>
      <c r="CB1034">
        <v>13</v>
      </c>
      <c r="CC1034">
        <v>0.89100000000000001</v>
      </c>
      <c r="CD1034">
        <v>0</v>
      </c>
      <c r="CE1034">
        <v>36</v>
      </c>
      <c r="CF1034">
        <v>6.3360000000000003</v>
      </c>
      <c r="CG1034">
        <v>184.29300000000001</v>
      </c>
      <c r="CH1034">
        <v>0</v>
      </c>
      <c r="CI1034">
        <v>0</v>
      </c>
      <c r="CJ1034">
        <v>0</v>
      </c>
      <c r="CK1034">
        <v>0</v>
      </c>
      <c r="CL1034">
        <v>184.29300000000001</v>
      </c>
      <c r="CM1034">
        <v>3.8560000000000003</v>
      </c>
      <c r="CN1034">
        <v>0</v>
      </c>
      <c r="CO1034">
        <v>0</v>
      </c>
      <c r="CP1034">
        <v>0</v>
      </c>
      <c r="CQ1034">
        <v>0</v>
      </c>
      <c r="CR1034">
        <v>0</v>
      </c>
      <c r="CS1034">
        <v>0</v>
      </c>
      <c r="CT1034">
        <v>0</v>
      </c>
      <c r="CU1034">
        <v>4.4450000000000003</v>
      </c>
      <c r="CV1034">
        <v>7.7650000000000006</v>
      </c>
      <c r="CW1034">
        <v>1.8160000000000001</v>
      </c>
      <c r="CX1034">
        <v>8998</v>
      </c>
      <c r="CY1034" s="2043">
        <v>0</v>
      </c>
      <c r="CZ1034" s="2043">
        <v>0</v>
      </c>
      <c r="DA1034" s="2043">
        <v>0</v>
      </c>
      <c r="DB1034" s="2043">
        <v>0</v>
      </c>
      <c r="DC1034" s="2043">
        <v>0</v>
      </c>
      <c r="DI1034" t="s">
        <v>8073</v>
      </c>
      <c r="DJ1034" t="s">
        <v>8073</v>
      </c>
      <c r="DK1034" s="2042">
        <f t="shared" si="18"/>
        <v>0</v>
      </c>
    </row>
    <row r="1035" spans="1:115">
      <c r="A1035" t="s">
        <v>5259</v>
      </c>
      <c r="B1035" t="s">
        <v>1266</v>
      </c>
      <c r="C1035">
        <v>1866.682</v>
      </c>
      <c r="D1035">
        <v>1902.2060000000001</v>
      </c>
      <c r="E1035">
        <v>167.203</v>
      </c>
      <c r="F1035">
        <v>0</v>
      </c>
      <c r="G1035" s="2043">
        <v>2529097979</v>
      </c>
      <c r="H1035">
        <v>0</v>
      </c>
      <c r="I1035" s="2043">
        <v>2268900</v>
      </c>
      <c r="J1035">
        <v>93.334000000000003</v>
      </c>
      <c r="K1035">
        <v>255</v>
      </c>
      <c r="L1035">
        <v>0</v>
      </c>
      <c r="M1035">
        <v>0</v>
      </c>
      <c r="N1035">
        <v>0</v>
      </c>
      <c r="O1035">
        <v>0</v>
      </c>
      <c r="P1035">
        <v>0</v>
      </c>
      <c r="Q1035">
        <v>0</v>
      </c>
      <c r="R1035" s="2043">
        <v>20798092</v>
      </c>
      <c r="S1035">
        <v>1260949</v>
      </c>
      <c r="T1035">
        <v>0</v>
      </c>
      <c r="U1035">
        <v>0.05</v>
      </c>
      <c r="V1035">
        <v>0</v>
      </c>
      <c r="W1035">
        <v>5519987</v>
      </c>
      <c r="X1035">
        <v>0</v>
      </c>
      <c r="Y1035">
        <v>3465036</v>
      </c>
      <c r="Z1035">
        <v>0</v>
      </c>
      <c r="AA1035">
        <v>0</v>
      </c>
      <c r="AB1035">
        <v>1879.413</v>
      </c>
      <c r="AC1035" s="2043">
        <v>2468029803</v>
      </c>
      <c r="AD1035">
        <v>2532642</v>
      </c>
      <c r="AE1035" s="2043">
        <v>22059041</v>
      </c>
      <c r="AF1035">
        <v>0.87470000000000003</v>
      </c>
      <c r="AG1035">
        <v>0</v>
      </c>
      <c r="AH1035">
        <v>5519987</v>
      </c>
      <c r="AI1035">
        <v>0</v>
      </c>
      <c r="AJ1035">
        <v>170.93800000000002</v>
      </c>
      <c r="AK1035">
        <v>5458</v>
      </c>
      <c r="AL1035">
        <v>0</v>
      </c>
      <c r="AM1035">
        <v>0</v>
      </c>
      <c r="AN1035">
        <v>51.045000000000002</v>
      </c>
      <c r="AO1035">
        <v>0</v>
      </c>
      <c r="AP1035">
        <v>0</v>
      </c>
      <c r="AQ1035">
        <v>0</v>
      </c>
      <c r="AR1035">
        <v>31.985000000000003</v>
      </c>
      <c r="AS1035">
        <v>0</v>
      </c>
      <c r="AT1035">
        <v>13.667</v>
      </c>
      <c r="AU1035">
        <v>5.18</v>
      </c>
      <c r="AV1035">
        <v>0</v>
      </c>
      <c r="AW1035">
        <v>51.004000000000005</v>
      </c>
      <c r="AX1035">
        <v>0.17200000000000001</v>
      </c>
      <c r="AY1035">
        <v>163.25200000000001</v>
      </c>
      <c r="AZ1035">
        <v>0</v>
      </c>
      <c r="BA1035">
        <v>4467295</v>
      </c>
      <c r="BB1035">
        <v>24591683</v>
      </c>
      <c r="BC1035">
        <v>0</v>
      </c>
      <c r="BD1035">
        <v>118612</v>
      </c>
      <c r="BE1035">
        <v>48267</v>
      </c>
      <c r="BF1035">
        <v>204764</v>
      </c>
      <c r="BG1035">
        <v>118612</v>
      </c>
      <c r="BH1035">
        <v>37885</v>
      </c>
      <c r="BI1035">
        <v>0</v>
      </c>
      <c r="BJ1035">
        <v>0</v>
      </c>
      <c r="BK1035">
        <v>0</v>
      </c>
      <c r="BL1035">
        <v>2529097979</v>
      </c>
      <c r="BM1035">
        <v>0</v>
      </c>
      <c r="BN1035">
        <v>6525</v>
      </c>
      <c r="BO1035">
        <v>5072</v>
      </c>
      <c r="BP1035">
        <v>0</v>
      </c>
      <c r="BQ1035">
        <v>0</v>
      </c>
      <c r="BR1035">
        <v>0.82469999999999999</v>
      </c>
      <c r="BS1035">
        <v>0.82469999999999999</v>
      </c>
      <c r="BT1035">
        <v>0</v>
      </c>
      <c r="BU1035">
        <v>3465036</v>
      </c>
      <c r="BV1035">
        <v>192</v>
      </c>
      <c r="BW1035">
        <v>315</v>
      </c>
      <c r="BX1035">
        <v>188</v>
      </c>
      <c r="BY1035">
        <v>10</v>
      </c>
      <c r="BZ1035">
        <v>12</v>
      </c>
      <c r="CA1035">
        <v>717</v>
      </c>
      <c r="CB1035">
        <v>0</v>
      </c>
      <c r="CC1035">
        <v>0</v>
      </c>
      <c r="CD1035">
        <v>0</v>
      </c>
      <c r="CE1035">
        <v>147</v>
      </c>
      <c r="CF1035">
        <v>314.87400000000002</v>
      </c>
      <c r="CG1035">
        <v>0</v>
      </c>
      <c r="CH1035">
        <v>0</v>
      </c>
      <c r="CI1035">
        <v>9</v>
      </c>
      <c r="CJ1035">
        <v>25</v>
      </c>
      <c r="CK1035">
        <v>0</v>
      </c>
      <c r="CL1035">
        <v>0</v>
      </c>
      <c r="CM1035">
        <v>167.203</v>
      </c>
      <c r="CN1035">
        <v>0</v>
      </c>
      <c r="CO1035">
        <v>0</v>
      </c>
      <c r="CP1035">
        <v>0</v>
      </c>
      <c r="CQ1035">
        <v>0</v>
      </c>
      <c r="CR1035">
        <v>0</v>
      </c>
      <c r="CS1035">
        <v>0</v>
      </c>
      <c r="CT1035">
        <v>0</v>
      </c>
      <c r="CU1035">
        <v>16.342000000000002</v>
      </c>
      <c r="CV1035">
        <v>142.90100000000001</v>
      </c>
      <c r="CW1035">
        <v>88.474000000000004</v>
      </c>
      <c r="CX1035">
        <v>0</v>
      </c>
      <c r="CY1035" s="2043">
        <v>0</v>
      </c>
      <c r="CZ1035" s="2043">
        <v>0</v>
      </c>
      <c r="DA1035" s="2043">
        <v>0</v>
      </c>
      <c r="DB1035" s="2043">
        <v>0</v>
      </c>
      <c r="DC1035" s="2043">
        <v>452924</v>
      </c>
      <c r="DI1035" t="s">
        <v>5259</v>
      </c>
      <c r="DJ1035" t="s">
        <v>5259</v>
      </c>
      <c r="DK1035" s="2042">
        <f t="shared" si="18"/>
        <v>0</v>
      </c>
    </row>
    <row r="1036" spans="1:115">
      <c r="A1036" t="s">
        <v>3204</v>
      </c>
      <c r="B1036" t="s">
        <v>2507</v>
      </c>
      <c r="C1036">
        <v>8171.3460000000005</v>
      </c>
      <c r="D1036">
        <v>9366.6509999999998</v>
      </c>
      <c r="E1036">
        <v>3480.5920000000001</v>
      </c>
      <c r="F1036">
        <v>722059</v>
      </c>
      <c r="G1036" s="2043">
        <v>1503952867</v>
      </c>
      <c r="H1036">
        <v>0</v>
      </c>
      <c r="I1036" s="2043">
        <v>7640115</v>
      </c>
      <c r="J1036">
        <v>408.56700000000001</v>
      </c>
      <c r="K1036">
        <v>1117</v>
      </c>
      <c r="L1036">
        <v>1635170</v>
      </c>
      <c r="M1036">
        <v>5337470</v>
      </c>
      <c r="N1036">
        <v>1635170</v>
      </c>
      <c r="O1036">
        <v>6972640</v>
      </c>
      <c r="P1036">
        <v>0</v>
      </c>
      <c r="Q1036">
        <v>0</v>
      </c>
      <c r="R1036" s="2043">
        <v>9817235</v>
      </c>
      <c r="S1036">
        <v>946354</v>
      </c>
      <c r="T1036">
        <v>29573</v>
      </c>
      <c r="U1036">
        <v>0.08</v>
      </c>
      <c r="V1036">
        <v>0</v>
      </c>
      <c r="W1036">
        <v>0</v>
      </c>
      <c r="X1036">
        <v>0</v>
      </c>
      <c r="Y1036">
        <v>722059</v>
      </c>
      <c r="Z1036">
        <v>0</v>
      </c>
      <c r="AA1036">
        <v>1.073</v>
      </c>
      <c r="AB1036">
        <v>9307.2960000000003</v>
      </c>
      <c r="AC1036" s="2043">
        <v>1148772794</v>
      </c>
      <c r="AD1036">
        <v>5672736</v>
      </c>
      <c r="AE1036" s="2043">
        <v>10793162</v>
      </c>
      <c r="AF1036">
        <v>0.91239999999999999</v>
      </c>
      <c r="AG1036">
        <v>0</v>
      </c>
      <c r="AH1036">
        <v>0</v>
      </c>
      <c r="AI1036">
        <v>0</v>
      </c>
      <c r="AJ1036">
        <v>2215.375</v>
      </c>
      <c r="AK1036">
        <v>23362</v>
      </c>
      <c r="AL1036">
        <v>4.4880000000000004</v>
      </c>
      <c r="AM1036">
        <v>0</v>
      </c>
      <c r="AN1036">
        <v>194.64700000000002</v>
      </c>
      <c r="AO1036">
        <v>0</v>
      </c>
      <c r="AP1036">
        <v>0</v>
      </c>
      <c r="AQ1036">
        <v>0</v>
      </c>
      <c r="AR1036">
        <v>157.43600000000001</v>
      </c>
      <c r="AS1036">
        <v>0</v>
      </c>
      <c r="AT1036">
        <v>71.496000000000009</v>
      </c>
      <c r="AU1036">
        <v>13.545</v>
      </c>
      <c r="AV1036">
        <v>0</v>
      </c>
      <c r="AW1036">
        <v>260.33</v>
      </c>
      <c r="AX1036">
        <v>13.365</v>
      </c>
      <c r="AY1036">
        <v>807.70100000000002</v>
      </c>
      <c r="AZ1036">
        <v>0</v>
      </c>
      <c r="BA1036">
        <v>76863454</v>
      </c>
      <c r="BB1036">
        <v>16465898</v>
      </c>
      <c r="BC1036">
        <v>0</v>
      </c>
      <c r="BD1036">
        <v>805317</v>
      </c>
      <c r="BE1036">
        <v>154316</v>
      </c>
      <c r="BF1036">
        <v>1267062</v>
      </c>
      <c r="BG1036">
        <v>805317</v>
      </c>
      <c r="BH1036">
        <v>307429</v>
      </c>
      <c r="BI1036">
        <v>0</v>
      </c>
      <c r="BJ1036">
        <v>0</v>
      </c>
      <c r="BK1036">
        <v>0</v>
      </c>
      <c r="BL1036">
        <v>1503952867</v>
      </c>
      <c r="BM1036">
        <v>0</v>
      </c>
      <c r="BN1036">
        <v>35829</v>
      </c>
      <c r="BO1036">
        <v>12819</v>
      </c>
      <c r="BP1036">
        <v>0</v>
      </c>
      <c r="BQ1036">
        <v>0</v>
      </c>
      <c r="BR1036">
        <v>0.82990000000000008</v>
      </c>
      <c r="BS1036">
        <v>0.82990000000000008</v>
      </c>
      <c r="BT1036">
        <v>0</v>
      </c>
      <c r="BU1036">
        <v>0</v>
      </c>
      <c r="BV1036">
        <v>995</v>
      </c>
      <c r="BW1036">
        <v>358</v>
      </c>
      <c r="BX1036">
        <v>2268</v>
      </c>
      <c r="BY1036">
        <v>2908</v>
      </c>
      <c r="BZ1036">
        <v>2095</v>
      </c>
      <c r="CA1036">
        <v>8624</v>
      </c>
      <c r="CB1036">
        <v>0</v>
      </c>
      <c r="CC1036">
        <v>2856.8130000000001</v>
      </c>
      <c r="CD1036">
        <v>0</v>
      </c>
      <c r="CE1036">
        <v>489</v>
      </c>
      <c r="CF1036">
        <v>3967.357</v>
      </c>
      <c r="CG1036">
        <v>0</v>
      </c>
      <c r="CH1036">
        <v>0</v>
      </c>
      <c r="CI1036">
        <v>114</v>
      </c>
      <c r="CJ1036">
        <v>38</v>
      </c>
      <c r="CK1036">
        <v>1</v>
      </c>
      <c r="CL1036">
        <v>0</v>
      </c>
      <c r="CM1036">
        <v>3480.5920000000001</v>
      </c>
      <c r="CN1036">
        <v>0</v>
      </c>
      <c r="CO1036">
        <v>0</v>
      </c>
      <c r="CP1036">
        <v>0</v>
      </c>
      <c r="CQ1036">
        <v>0</v>
      </c>
      <c r="CR1036">
        <v>0</v>
      </c>
      <c r="CS1036">
        <v>0</v>
      </c>
      <c r="CT1036">
        <v>0</v>
      </c>
      <c r="CU1036">
        <v>19.150000000000002</v>
      </c>
      <c r="CV1036">
        <v>413.80799999999999</v>
      </c>
      <c r="CW1036">
        <v>170.73699999999999</v>
      </c>
      <c r="CX1036">
        <v>0</v>
      </c>
      <c r="CY1036" s="2043">
        <v>0</v>
      </c>
      <c r="CZ1036" s="2043">
        <v>0</v>
      </c>
      <c r="DA1036" s="2043">
        <v>0</v>
      </c>
      <c r="DB1036" s="2043">
        <v>722059</v>
      </c>
      <c r="DC1036" s="2043">
        <v>0</v>
      </c>
      <c r="DI1036" t="s">
        <v>3204</v>
      </c>
      <c r="DJ1036" t="s">
        <v>3204</v>
      </c>
      <c r="DK1036" s="2042">
        <f t="shared" si="18"/>
        <v>0</v>
      </c>
    </row>
    <row r="1037" spans="1:115">
      <c r="A1037" t="s">
        <v>3205</v>
      </c>
      <c r="B1037" t="s">
        <v>179</v>
      </c>
      <c r="C1037">
        <v>5271.7310000000007</v>
      </c>
      <c r="D1037">
        <v>5648.1779999999999</v>
      </c>
      <c r="E1037">
        <v>4234.2710000000006</v>
      </c>
      <c r="F1037">
        <v>20724</v>
      </c>
      <c r="G1037" s="2043">
        <v>671633101</v>
      </c>
      <c r="H1037">
        <v>0</v>
      </c>
      <c r="I1037" s="2043">
        <v>6031306</v>
      </c>
      <c r="J1037">
        <v>263.58699999999999</v>
      </c>
      <c r="K1037">
        <v>721</v>
      </c>
      <c r="L1037">
        <v>2762401</v>
      </c>
      <c r="M1037">
        <v>3103590</v>
      </c>
      <c r="N1037">
        <v>2762401</v>
      </c>
      <c r="O1037">
        <v>5865991</v>
      </c>
      <c r="P1037">
        <v>0</v>
      </c>
      <c r="Q1037">
        <v>0</v>
      </c>
      <c r="R1037" s="2043">
        <v>4439039</v>
      </c>
      <c r="S1037">
        <v>399688</v>
      </c>
      <c r="T1037">
        <v>291273</v>
      </c>
      <c r="U1037">
        <v>0.08</v>
      </c>
      <c r="V1037">
        <v>0</v>
      </c>
      <c r="W1037">
        <v>0</v>
      </c>
      <c r="X1037">
        <v>0</v>
      </c>
      <c r="Y1037">
        <v>20724</v>
      </c>
      <c r="Z1037">
        <v>0</v>
      </c>
      <c r="AA1037">
        <v>0</v>
      </c>
      <c r="AB1037">
        <v>5701.7280000000001</v>
      </c>
      <c r="AC1037" s="2043">
        <v>481697242</v>
      </c>
      <c r="AD1037">
        <v>2850000</v>
      </c>
      <c r="AE1037" s="2043">
        <v>5130000</v>
      </c>
      <c r="AF1037">
        <v>1.0268000000000002</v>
      </c>
      <c r="AG1037">
        <v>0</v>
      </c>
      <c r="AH1037">
        <v>0</v>
      </c>
      <c r="AI1037">
        <v>0</v>
      </c>
      <c r="AJ1037">
        <v>1265.3</v>
      </c>
      <c r="AK1037">
        <v>12732</v>
      </c>
      <c r="AL1037">
        <v>1.675</v>
      </c>
      <c r="AM1037">
        <v>0</v>
      </c>
      <c r="AN1037">
        <v>47.69</v>
      </c>
      <c r="AO1037">
        <v>0</v>
      </c>
      <c r="AP1037">
        <v>0</v>
      </c>
      <c r="AQ1037">
        <v>0</v>
      </c>
      <c r="AR1037">
        <v>114.94900000000001</v>
      </c>
      <c r="AS1037">
        <v>0</v>
      </c>
      <c r="AT1037">
        <v>29.275000000000002</v>
      </c>
      <c r="AU1037">
        <v>11.776</v>
      </c>
      <c r="AV1037">
        <v>0</v>
      </c>
      <c r="AW1037">
        <v>159.904</v>
      </c>
      <c r="AX1037">
        <v>2.2290000000000001</v>
      </c>
      <c r="AY1037">
        <v>505.05400000000003</v>
      </c>
      <c r="AZ1037">
        <v>0</v>
      </c>
      <c r="BA1037">
        <v>51525813</v>
      </c>
      <c r="BB1037">
        <v>7980000</v>
      </c>
      <c r="BC1037">
        <v>0</v>
      </c>
      <c r="BD1037">
        <v>435960</v>
      </c>
      <c r="BE1037">
        <v>145495</v>
      </c>
      <c r="BF1037">
        <v>581455</v>
      </c>
      <c r="BG1037">
        <v>435960</v>
      </c>
      <c r="BH1037">
        <v>0</v>
      </c>
      <c r="BI1037">
        <v>0</v>
      </c>
      <c r="BJ1037">
        <v>0</v>
      </c>
      <c r="BK1037">
        <v>0</v>
      </c>
      <c r="BL1037">
        <v>671633101</v>
      </c>
      <c r="BM1037">
        <v>0</v>
      </c>
      <c r="BN1037">
        <v>22158</v>
      </c>
      <c r="BO1037">
        <v>18383</v>
      </c>
      <c r="BP1037">
        <v>0</v>
      </c>
      <c r="BQ1037">
        <v>0</v>
      </c>
      <c r="BR1037">
        <v>0.88850000000000007</v>
      </c>
      <c r="BS1037">
        <v>0.88850000000000007</v>
      </c>
      <c r="BT1037">
        <v>0</v>
      </c>
      <c r="BU1037">
        <v>0</v>
      </c>
      <c r="BV1037">
        <v>7</v>
      </c>
      <c r="BW1037">
        <v>13</v>
      </c>
      <c r="BX1037">
        <v>630</v>
      </c>
      <c r="BY1037">
        <v>3489</v>
      </c>
      <c r="BZ1037">
        <v>681</v>
      </c>
      <c r="CA1037">
        <v>4820</v>
      </c>
      <c r="CB1037">
        <v>0</v>
      </c>
      <c r="CC1037">
        <v>0</v>
      </c>
      <c r="CD1037">
        <v>0</v>
      </c>
      <c r="CE1037">
        <v>5</v>
      </c>
      <c r="CF1037">
        <v>2526.6620000000003</v>
      </c>
      <c r="CG1037">
        <v>0</v>
      </c>
      <c r="CH1037">
        <v>0</v>
      </c>
      <c r="CI1037">
        <v>131</v>
      </c>
      <c r="CJ1037">
        <v>29</v>
      </c>
      <c r="CK1037">
        <v>0</v>
      </c>
      <c r="CL1037">
        <v>0</v>
      </c>
      <c r="CM1037">
        <v>4234.2710000000006</v>
      </c>
      <c r="CN1037">
        <v>0</v>
      </c>
      <c r="CO1037">
        <v>0</v>
      </c>
      <c r="CP1037">
        <v>0</v>
      </c>
      <c r="CQ1037">
        <v>0</v>
      </c>
      <c r="CR1037">
        <v>0</v>
      </c>
      <c r="CS1037">
        <v>0</v>
      </c>
      <c r="CT1037">
        <v>0</v>
      </c>
      <c r="CU1037">
        <v>0</v>
      </c>
      <c r="CV1037">
        <v>212.87200000000001</v>
      </c>
      <c r="CW1037">
        <v>60.53</v>
      </c>
      <c r="CX1037">
        <v>0</v>
      </c>
      <c r="CY1037" s="2043">
        <v>0</v>
      </c>
      <c r="CZ1037" s="2043">
        <v>0</v>
      </c>
      <c r="DA1037" s="2043">
        <v>0</v>
      </c>
      <c r="DB1037" s="2043">
        <v>20724</v>
      </c>
      <c r="DC1037" s="2043">
        <v>0</v>
      </c>
      <c r="DI1037" t="s">
        <v>5260</v>
      </c>
      <c r="DJ1037" t="s">
        <v>3205</v>
      </c>
      <c r="DK1037" s="2042">
        <f t="shared" si="18"/>
        <v>-1</v>
      </c>
    </row>
    <row r="1038" spans="1:115">
      <c r="A1038" t="s">
        <v>5260</v>
      </c>
      <c r="B1038" t="s">
        <v>1633</v>
      </c>
      <c r="C1038">
        <v>181.79</v>
      </c>
      <c r="D1038">
        <v>189.61500000000001</v>
      </c>
      <c r="E1038">
        <v>24.889000000000003</v>
      </c>
      <c r="F1038">
        <v>0</v>
      </c>
      <c r="G1038" s="2043">
        <v>127357271</v>
      </c>
      <c r="H1038">
        <v>0</v>
      </c>
      <c r="I1038" s="2043">
        <v>0</v>
      </c>
      <c r="J1038">
        <v>7</v>
      </c>
      <c r="K1038">
        <v>19</v>
      </c>
      <c r="L1038">
        <v>0</v>
      </c>
      <c r="M1038">
        <v>0</v>
      </c>
      <c r="N1038">
        <v>0</v>
      </c>
      <c r="O1038">
        <v>0</v>
      </c>
      <c r="P1038">
        <v>0</v>
      </c>
      <c r="Q1038">
        <v>0</v>
      </c>
      <c r="R1038" s="2043">
        <v>1211496</v>
      </c>
      <c r="S1038">
        <v>106109</v>
      </c>
      <c r="T1038">
        <v>77326</v>
      </c>
      <c r="U1038">
        <v>0.08</v>
      </c>
      <c r="V1038">
        <v>0</v>
      </c>
      <c r="W1038">
        <v>0</v>
      </c>
      <c r="X1038">
        <v>0</v>
      </c>
      <c r="Y1038">
        <v>0</v>
      </c>
      <c r="Z1038">
        <v>0</v>
      </c>
      <c r="AA1038">
        <v>0</v>
      </c>
      <c r="AB1038">
        <v>189.61500000000001</v>
      </c>
      <c r="AC1038" s="2043">
        <v>204317577</v>
      </c>
      <c r="AD1038">
        <v>0</v>
      </c>
      <c r="AE1038" s="2043">
        <v>1394931</v>
      </c>
      <c r="AF1038">
        <v>1.0517000000000001</v>
      </c>
      <c r="AG1038">
        <v>0</v>
      </c>
      <c r="AH1038">
        <v>0</v>
      </c>
      <c r="AI1038">
        <v>0</v>
      </c>
      <c r="AJ1038">
        <v>45.125</v>
      </c>
      <c r="AK1038">
        <v>1104</v>
      </c>
      <c r="AL1038">
        <v>0</v>
      </c>
      <c r="AM1038">
        <v>0</v>
      </c>
      <c r="AN1038">
        <v>12.617000000000001</v>
      </c>
      <c r="AO1038">
        <v>0</v>
      </c>
      <c r="AP1038">
        <v>0</v>
      </c>
      <c r="AQ1038">
        <v>0</v>
      </c>
      <c r="AR1038">
        <v>4.3109999999999999</v>
      </c>
      <c r="AS1038">
        <v>0</v>
      </c>
      <c r="AT1038">
        <v>0.34600000000000003</v>
      </c>
      <c r="AU1038">
        <v>0.47800000000000004</v>
      </c>
      <c r="AV1038">
        <v>0</v>
      </c>
      <c r="AW1038">
        <v>5.1350000000000007</v>
      </c>
      <c r="AX1038">
        <v>0</v>
      </c>
      <c r="AY1038">
        <v>16.361000000000001</v>
      </c>
      <c r="AZ1038">
        <v>0</v>
      </c>
      <c r="BA1038">
        <v>1607763</v>
      </c>
      <c r="BB1038">
        <v>1394931</v>
      </c>
      <c r="BC1038">
        <v>816</v>
      </c>
      <c r="BD1038">
        <v>74304</v>
      </c>
      <c r="BE1038">
        <v>4087</v>
      </c>
      <c r="BF1038">
        <v>79207</v>
      </c>
      <c r="BG1038">
        <v>75120</v>
      </c>
      <c r="BH1038">
        <v>0</v>
      </c>
      <c r="BI1038">
        <v>0</v>
      </c>
      <c r="BJ1038">
        <v>0</v>
      </c>
      <c r="BK1038">
        <v>0</v>
      </c>
      <c r="BL1038">
        <v>127357271</v>
      </c>
      <c r="BM1038">
        <v>0</v>
      </c>
      <c r="BN1038">
        <v>927</v>
      </c>
      <c r="BO1038">
        <v>749</v>
      </c>
      <c r="BP1038">
        <v>0</v>
      </c>
      <c r="BQ1038">
        <v>0</v>
      </c>
      <c r="BR1038">
        <v>0.91339999999999999</v>
      </c>
      <c r="BS1038">
        <v>0.91339999999999999</v>
      </c>
      <c r="BT1038">
        <v>0</v>
      </c>
      <c r="BU1038">
        <v>0</v>
      </c>
      <c r="BV1038">
        <v>1</v>
      </c>
      <c r="BW1038">
        <v>155</v>
      </c>
      <c r="BX1038">
        <v>25</v>
      </c>
      <c r="BY1038">
        <v>7</v>
      </c>
      <c r="BZ1038">
        <v>0</v>
      </c>
      <c r="CA1038">
        <v>188</v>
      </c>
      <c r="CB1038">
        <v>0</v>
      </c>
      <c r="CC1038">
        <v>0</v>
      </c>
      <c r="CD1038">
        <v>0</v>
      </c>
      <c r="CE1038">
        <v>3</v>
      </c>
      <c r="CF1038">
        <v>52.856999999999999</v>
      </c>
      <c r="CG1038">
        <v>0</v>
      </c>
      <c r="CH1038">
        <v>0</v>
      </c>
      <c r="CI1038">
        <v>1</v>
      </c>
      <c r="CJ1038">
        <v>0</v>
      </c>
      <c r="CK1038">
        <v>0</v>
      </c>
      <c r="CL1038">
        <v>0</v>
      </c>
      <c r="CM1038">
        <v>24.889000000000003</v>
      </c>
      <c r="CN1038">
        <v>0</v>
      </c>
      <c r="CO1038">
        <v>0</v>
      </c>
      <c r="CP1038">
        <v>0</v>
      </c>
      <c r="CQ1038">
        <v>0</v>
      </c>
      <c r="CR1038">
        <v>0</v>
      </c>
      <c r="CS1038">
        <v>0</v>
      </c>
      <c r="CT1038">
        <v>0</v>
      </c>
      <c r="CU1038">
        <v>0</v>
      </c>
      <c r="CV1038">
        <v>19.004000000000001</v>
      </c>
      <c r="CW1038">
        <v>5.3680000000000003</v>
      </c>
      <c r="CX1038">
        <v>0</v>
      </c>
      <c r="CY1038" s="2043">
        <v>0</v>
      </c>
      <c r="CZ1038" s="2043">
        <v>0</v>
      </c>
      <c r="DA1038" s="2043">
        <v>0</v>
      </c>
      <c r="DB1038" s="2043">
        <v>0</v>
      </c>
      <c r="DC1038" s="2043">
        <v>0</v>
      </c>
      <c r="DI1038" t="s">
        <v>3205</v>
      </c>
      <c r="DJ1038" t="s">
        <v>5260</v>
      </c>
      <c r="DK1038" s="2042">
        <f t="shared" si="18"/>
        <v>1</v>
      </c>
    </row>
    <row r="1039" spans="1:115">
      <c r="A1039" t="s">
        <v>5261</v>
      </c>
      <c r="B1039" t="s">
        <v>1634</v>
      </c>
      <c r="C1039">
        <v>1303.8590000000002</v>
      </c>
      <c r="D1039">
        <v>1290.348</v>
      </c>
      <c r="E1039">
        <v>103.95100000000001</v>
      </c>
      <c r="F1039">
        <v>0</v>
      </c>
      <c r="G1039" s="2043">
        <v>541013389</v>
      </c>
      <c r="H1039">
        <v>0</v>
      </c>
      <c r="I1039" s="2043">
        <v>600375</v>
      </c>
      <c r="J1039">
        <v>65.192999999999998</v>
      </c>
      <c r="K1039">
        <v>178</v>
      </c>
      <c r="L1039">
        <v>0</v>
      </c>
      <c r="M1039">
        <v>0</v>
      </c>
      <c r="N1039">
        <v>0</v>
      </c>
      <c r="O1039">
        <v>0</v>
      </c>
      <c r="P1039">
        <v>0</v>
      </c>
      <c r="Q1039">
        <v>0</v>
      </c>
      <c r="R1039" s="2043">
        <v>4316913</v>
      </c>
      <c r="S1039">
        <v>405630</v>
      </c>
      <c r="T1039">
        <v>295602</v>
      </c>
      <c r="U1039">
        <v>0.08</v>
      </c>
      <c r="V1039">
        <v>0</v>
      </c>
      <c r="W1039">
        <v>0</v>
      </c>
      <c r="X1039">
        <v>0</v>
      </c>
      <c r="Y1039">
        <v>0</v>
      </c>
      <c r="Z1039">
        <v>0</v>
      </c>
      <c r="AA1039">
        <v>0</v>
      </c>
      <c r="AB1039">
        <v>1290.348</v>
      </c>
      <c r="AC1039" s="2043">
        <v>520880788</v>
      </c>
      <c r="AD1039">
        <v>2606</v>
      </c>
      <c r="AE1039" s="2043">
        <v>5018145</v>
      </c>
      <c r="AF1039">
        <v>0.98970000000000002</v>
      </c>
      <c r="AG1039">
        <v>0</v>
      </c>
      <c r="AH1039">
        <v>0</v>
      </c>
      <c r="AI1039">
        <v>0</v>
      </c>
      <c r="AJ1039">
        <v>230.28800000000001</v>
      </c>
      <c r="AK1039">
        <v>5162</v>
      </c>
      <c r="AL1039">
        <v>0</v>
      </c>
      <c r="AM1039">
        <v>0</v>
      </c>
      <c r="AN1039">
        <v>21.195</v>
      </c>
      <c r="AO1039">
        <v>0</v>
      </c>
      <c r="AP1039">
        <v>0</v>
      </c>
      <c r="AQ1039">
        <v>0</v>
      </c>
      <c r="AR1039">
        <v>37.597000000000001</v>
      </c>
      <c r="AS1039">
        <v>0</v>
      </c>
      <c r="AT1039">
        <v>10.531000000000001</v>
      </c>
      <c r="AU1039">
        <v>4.1399999999999997</v>
      </c>
      <c r="AV1039">
        <v>0</v>
      </c>
      <c r="AW1039">
        <v>53.03</v>
      </c>
      <c r="AX1039">
        <v>0.76200000000000001</v>
      </c>
      <c r="AY1039">
        <v>166.83700000000002</v>
      </c>
      <c r="AZ1039">
        <v>0</v>
      </c>
      <c r="BA1039">
        <v>9573896</v>
      </c>
      <c r="BB1039">
        <v>5020751</v>
      </c>
      <c r="BC1039">
        <v>0</v>
      </c>
      <c r="BD1039">
        <v>71248</v>
      </c>
      <c r="BE1039">
        <v>6091</v>
      </c>
      <c r="BF1039">
        <v>77339</v>
      </c>
      <c r="BG1039">
        <v>71248</v>
      </c>
      <c r="BH1039">
        <v>0</v>
      </c>
      <c r="BI1039">
        <v>0</v>
      </c>
      <c r="BJ1039">
        <v>0</v>
      </c>
      <c r="BK1039">
        <v>0</v>
      </c>
      <c r="BL1039">
        <v>541013389</v>
      </c>
      <c r="BM1039">
        <v>0</v>
      </c>
      <c r="BN1039">
        <v>4815</v>
      </c>
      <c r="BO1039">
        <v>3884</v>
      </c>
      <c r="BP1039">
        <v>0</v>
      </c>
      <c r="BQ1039">
        <v>0</v>
      </c>
      <c r="BR1039">
        <v>0.85140000000000005</v>
      </c>
      <c r="BS1039">
        <v>0.85140000000000005</v>
      </c>
      <c r="BT1039">
        <v>0</v>
      </c>
      <c r="BU1039">
        <v>0</v>
      </c>
      <c r="BV1039">
        <v>41</v>
      </c>
      <c r="BW1039">
        <v>285</v>
      </c>
      <c r="BX1039">
        <v>231</v>
      </c>
      <c r="BY1039">
        <v>336</v>
      </c>
      <c r="BZ1039">
        <v>27</v>
      </c>
      <c r="CA1039">
        <v>920</v>
      </c>
      <c r="CB1039">
        <v>0</v>
      </c>
      <c r="CC1039">
        <v>0</v>
      </c>
      <c r="CD1039">
        <v>0</v>
      </c>
      <c r="CE1039">
        <v>136</v>
      </c>
      <c r="CF1039">
        <v>312.233</v>
      </c>
      <c r="CG1039">
        <v>0</v>
      </c>
      <c r="CH1039">
        <v>0</v>
      </c>
      <c r="CI1039">
        <v>1</v>
      </c>
      <c r="CJ1039">
        <v>6</v>
      </c>
      <c r="CK1039">
        <v>0</v>
      </c>
      <c r="CL1039">
        <v>0</v>
      </c>
      <c r="CM1039">
        <v>103.95100000000001</v>
      </c>
      <c r="CN1039">
        <v>0</v>
      </c>
      <c r="CO1039">
        <v>0</v>
      </c>
      <c r="CP1039">
        <v>0</v>
      </c>
      <c r="CQ1039">
        <v>0</v>
      </c>
      <c r="CR1039">
        <v>0</v>
      </c>
      <c r="CS1039">
        <v>0</v>
      </c>
      <c r="CT1039">
        <v>0</v>
      </c>
      <c r="CU1039">
        <v>9.2889999999999997</v>
      </c>
      <c r="CV1039">
        <v>85.257000000000005</v>
      </c>
      <c r="CW1039">
        <v>36.304000000000002</v>
      </c>
      <c r="CX1039">
        <v>0</v>
      </c>
      <c r="CY1039" s="2043">
        <v>0</v>
      </c>
      <c r="CZ1039" s="2043">
        <v>0</v>
      </c>
      <c r="DA1039" s="2043">
        <v>0</v>
      </c>
      <c r="DB1039" s="2043">
        <v>0</v>
      </c>
      <c r="DC1039" s="2043">
        <v>0</v>
      </c>
      <c r="DI1039" t="s">
        <v>5261</v>
      </c>
      <c r="DJ1039" t="s">
        <v>5261</v>
      </c>
      <c r="DK1039" s="2042">
        <f t="shared" si="18"/>
        <v>0</v>
      </c>
    </row>
    <row r="1040" spans="1:115">
      <c r="A1040" t="s">
        <v>5262</v>
      </c>
      <c r="B1040" t="s">
        <v>2441</v>
      </c>
      <c r="C1040">
        <v>317.60000000000002</v>
      </c>
      <c r="D1040">
        <v>312.07800000000003</v>
      </c>
      <c r="E1040">
        <v>27.591000000000001</v>
      </c>
      <c r="F1040">
        <v>0</v>
      </c>
      <c r="G1040" s="2043">
        <v>781663003</v>
      </c>
      <c r="H1040">
        <v>0</v>
      </c>
      <c r="I1040" s="2043">
        <v>1381360</v>
      </c>
      <c r="J1040">
        <v>7</v>
      </c>
      <c r="K1040">
        <v>19</v>
      </c>
      <c r="L1040">
        <v>0</v>
      </c>
      <c r="M1040">
        <v>0</v>
      </c>
      <c r="N1040">
        <v>0</v>
      </c>
      <c r="O1040">
        <v>0</v>
      </c>
      <c r="P1040">
        <v>0</v>
      </c>
      <c r="Q1040">
        <v>0</v>
      </c>
      <c r="R1040" s="2043">
        <v>7106013</v>
      </c>
      <c r="S1040">
        <v>388987</v>
      </c>
      <c r="T1040">
        <v>0</v>
      </c>
      <c r="U1040">
        <v>0.05</v>
      </c>
      <c r="V1040">
        <v>0</v>
      </c>
      <c r="W1040">
        <v>2870206</v>
      </c>
      <c r="X1040">
        <v>0</v>
      </c>
      <c r="Y1040">
        <v>0</v>
      </c>
      <c r="Z1040">
        <v>0</v>
      </c>
      <c r="AA1040">
        <v>0</v>
      </c>
      <c r="AB1040">
        <v>312.07800000000003</v>
      </c>
      <c r="AC1040" s="2043">
        <v>919660183</v>
      </c>
      <c r="AD1040">
        <v>2060000</v>
      </c>
      <c r="AE1040" s="2043">
        <v>7495000</v>
      </c>
      <c r="AF1040">
        <v>0.96340000000000003</v>
      </c>
      <c r="AG1040">
        <v>0</v>
      </c>
      <c r="AH1040">
        <v>2870206</v>
      </c>
      <c r="AI1040">
        <v>0</v>
      </c>
      <c r="AJ1040">
        <v>40.274999999999999</v>
      </c>
      <c r="AK1040">
        <v>2925</v>
      </c>
      <c r="AL1040">
        <v>0</v>
      </c>
      <c r="AM1040">
        <v>0</v>
      </c>
      <c r="AN1040">
        <v>35.395000000000003</v>
      </c>
      <c r="AO1040">
        <v>0</v>
      </c>
      <c r="AP1040">
        <v>6.7510000000000003</v>
      </c>
      <c r="AQ1040">
        <v>0</v>
      </c>
      <c r="AR1040">
        <v>5.6829999999999998</v>
      </c>
      <c r="AS1040">
        <v>0</v>
      </c>
      <c r="AT1040">
        <v>0</v>
      </c>
      <c r="AU1040">
        <v>0.67400000000000004</v>
      </c>
      <c r="AV1040">
        <v>0</v>
      </c>
      <c r="AW1040">
        <v>13.108000000000001</v>
      </c>
      <c r="AX1040">
        <v>0</v>
      </c>
      <c r="AY1040">
        <v>38.646999999999998</v>
      </c>
      <c r="AZ1040">
        <v>0</v>
      </c>
      <c r="BA1040">
        <v>162788</v>
      </c>
      <c r="BB1040">
        <v>9555000</v>
      </c>
      <c r="BC1040">
        <v>0</v>
      </c>
      <c r="BD1040">
        <v>0</v>
      </c>
      <c r="BE1040">
        <v>0</v>
      </c>
      <c r="BF1040">
        <v>0</v>
      </c>
      <c r="BG1040">
        <v>0</v>
      </c>
      <c r="BH1040">
        <v>0</v>
      </c>
      <c r="BI1040">
        <v>0</v>
      </c>
      <c r="BJ1040">
        <v>0</v>
      </c>
      <c r="BK1040">
        <v>0</v>
      </c>
      <c r="BL1040">
        <v>781663003</v>
      </c>
      <c r="BM1040">
        <v>0</v>
      </c>
      <c r="BN1040">
        <v>1125</v>
      </c>
      <c r="BO1040">
        <v>995</v>
      </c>
      <c r="BP1040">
        <v>0</v>
      </c>
      <c r="BQ1040">
        <v>0</v>
      </c>
      <c r="BR1040">
        <v>0.91339999999999999</v>
      </c>
      <c r="BS1040">
        <v>0.91339999999999999</v>
      </c>
      <c r="BT1040">
        <v>0</v>
      </c>
      <c r="BU1040">
        <v>0</v>
      </c>
      <c r="BV1040">
        <v>0</v>
      </c>
      <c r="BW1040">
        <v>2</v>
      </c>
      <c r="BX1040">
        <v>157</v>
      </c>
      <c r="BY1040">
        <v>0</v>
      </c>
      <c r="BZ1040">
        <v>2</v>
      </c>
      <c r="CA1040">
        <v>161</v>
      </c>
      <c r="CB1040">
        <v>0</v>
      </c>
      <c r="CC1040">
        <v>0</v>
      </c>
      <c r="CD1040">
        <v>0</v>
      </c>
      <c r="CE1040">
        <v>25</v>
      </c>
      <c r="CF1040">
        <v>53.361000000000004</v>
      </c>
      <c r="CG1040">
        <v>0</v>
      </c>
      <c r="CH1040">
        <v>0</v>
      </c>
      <c r="CI1040">
        <v>1</v>
      </c>
      <c r="CJ1040">
        <v>2</v>
      </c>
      <c r="CK1040">
        <v>0</v>
      </c>
      <c r="CL1040">
        <v>0</v>
      </c>
      <c r="CM1040">
        <v>27.591000000000001</v>
      </c>
      <c r="CN1040">
        <v>0</v>
      </c>
      <c r="CO1040">
        <v>0</v>
      </c>
      <c r="CP1040">
        <v>0</v>
      </c>
      <c r="CQ1040">
        <v>0</v>
      </c>
      <c r="CR1040">
        <v>0</v>
      </c>
      <c r="CS1040">
        <v>0</v>
      </c>
      <c r="CT1040">
        <v>0</v>
      </c>
      <c r="CU1040">
        <v>1.895</v>
      </c>
      <c r="CV1040">
        <v>26.184000000000001</v>
      </c>
      <c r="CW1040">
        <v>11.578000000000001</v>
      </c>
      <c r="CX1040">
        <v>0</v>
      </c>
      <c r="CY1040" s="2043">
        <v>0</v>
      </c>
      <c r="CZ1040" s="2043">
        <v>0</v>
      </c>
      <c r="DA1040" s="2043">
        <v>0</v>
      </c>
      <c r="DB1040" s="2043">
        <v>0</v>
      </c>
      <c r="DC1040" s="2043">
        <v>168328</v>
      </c>
      <c r="DI1040" t="s">
        <v>5262</v>
      </c>
      <c r="DJ1040" t="s">
        <v>5262</v>
      </c>
      <c r="DK1040" s="2042">
        <f t="shared" si="18"/>
        <v>0</v>
      </c>
    </row>
    <row r="1041" spans="1:115">
      <c r="A1041" t="s">
        <v>5263</v>
      </c>
      <c r="B1041" t="s">
        <v>706</v>
      </c>
      <c r="C1041">
        <v>171.32900000000001</v>
      </c>
      <c r="D1041">
        <v>199.63500000000002</v>
      </c>
      <c r="E1041">
        <v>4.9489999999999998</v>
      </c>
      <c r="F1041">
        <v>0</v>
      </c>
      <c r="G1041" s="2043">
        <v>169859015</v>
      </c>
      <c r="H1041">
        <v>0</v>
      </c>
      <c r="I1041" s="2043">
        <v>550038</v>
      </c>
      <c r="J1041">
        <v>8.5660000000000007</v>
      </c>
      <c r="K1041">
        <v>23</v>
      </c>
      <c r="L1041">
        <v>0</v>
      </c>
      <c r="M1041">
        <v>0</v>
      </c>
      <c r="N1041">
        <v>0</v>
      </c>
      <c r="O1041">
        <v>0</v>
      </c>
      <c r="P1041">
        <v>0</v>
      </c>
      <c r="Q1041">
        <v>0</v>
      </c>
      <c r="R1041" s="2043">
        <v>1445261</v>
      </c>
      <c r="S1041">
        <v>83397</v>
      </c>
      <c r="T1041">
        <v>0</v>
      </c>
      <c r="U1041">
        <v>0.05</v>
      </c>
      <c r="V1041">
        <v>0</v>
      </c>
      <c r="W1041">
        <v>0</v>
      </c>
      <c r="X1041">
        <v>0</v>
      </c>
      <c r="Y1041">
        <v>0</v>
      </c>
      <c r="Z1041">
        <v>0</v>
      </c>
      <c r="AA1041">
        <v>0</v>
      </c>
      <c r="AB1041">
        <v>187.31200000000001</v>
      </c>
      <c r="AC1041" s="2043">
        <v>176787410</v>
      </c>
      <c r="AD1041">
        <v>547096</v>
      </c>
      <c r="AE1041" s="2043">
        <v>1528658</v>
      </c>
      <c r="AF1041">
        <v>0.91650000000000009</v>
      </c>
      <c r="AG1041">
        <v>0</v>
      </c>
      <c r="AH1041">
        <v>0</v>
      </c>
      <c r="AI1041">
        <v>0</v>
      </c>
      <c r="AJ1041">
        <v>22.75</v>
      </c>
      <c r="AK1041">
        <v>853</v>
      </c>
      <c r="AL1041">
        <v>0</v>
      </c>
      <c r="AM1041">
        <v>0</v>
      </c>
      <c r="AN1041">
        <v>3.6930000000000001</v>
      </c>
      <c r="AO1041">
        <v>0</v>
      </c>
      <c r="AP1041">
        <v>0</v>
      </c>
      <c r="AQ1041">
        <v>0</v>
      </c>
      <c r="AR1041">
        <v>5.1450000000000005</v>
      </c>
      <c r="AS1041">
        <v>0</v>
      </c>
      <c r="AT1041">
        <v>0.46500000000000002</v>
      </c>
      <c r="AU1041">
        <v>0.26400000000000001</v>
      </c>
      <c r="AV1041">
        <v>0</v>
      </c>
      <c r="AW1041">
        <v>5.8740000000000006</v>
      </c>
      <c r="AX1041">
        <v>0</v>
      </c>
      <c r="AY1041">
        <v>18.150000000000002</v>
      </c>
      <c r="AZ1041">
        <v>0</v>
      </c>
      <c r="BA1041">
        <v>846746</v>
      </c>
      <c r="BB1041">
        <v>2075754</v>
      </c>
      <c r="BC1041">
        <v>0</v>
      </c>
      <c r="BD1041">
        <v>29635</v>
      </c>
      <c r="BE1041">
        <v>467</v>
      </c>
      <c r="BF1041">
        <v>30102</v>
      </c>
      <c r="BG1041">
        <v>29635</v>
      </c>
      <c r="BH1041">
        <v>0</v>
      </c>
      <c r="BI1041">
        <v>0</v>
      </c>
      <c r="BJ1041">
        <v>0</v>
      </c>
      <c r="BK1041">
        <v>0</v>
      </c>
      <c r="BL1041">
        <v>169859015</v>
      </c>
      <c r="BM1041">
        <v>0</v>
      </c>
      <c r="BN1041">
        <v>639</v>
      </c>
      <c r="BO1041">
        <v>524</v>
      </c>
      <c r="BP1041">
        <v>0</v>
      </c>
      <c r="BQ1041">
        <v>0</v>
      </c>
      <c r="BR1041">
        <v>0.86650000000000005</v>
      </c>
      <c r="BS1041">
        <v>0.86650000000000005</v>
      </c>
      <c r="BT1041">
        <v>0</v>
      </c>
      <c r="BU1041">
        <v>0</v>
      </c>
      <c r="BV1041">
        <v>38</v>
      </c>
      <c r="BW1041">
        <v>0</v>
      </c>
      <c r="BX1041">
        <v>48</v>
      </c>
      <c r="BY1041">
        <v>0</v>
      </c>
      <c r="BZ1041">
        <v>8</v>
      </c>
      <c r="CA1041">
        <v>94</v>
      </c>
      <c r="CB1041">
        <v>0</v>
      </c>
      <c r="CC1041">
        <v>0</v>
      </c>
      <c r="CD1041">
        <v>0</v>
      </c>
      <c r="CE1041">
        <v>16</v>
      </c>
      <c r="CF1041">
        <v>34.042999999999999</v>
      </c>
      <c r="CG1041">
        <v>0</v>
      </c>
      <c r="CH1041">
        <v>0</v>
      </c>
      <c r="CI1041">
        <v>0</v>
      </c>
      <c r="CJ1041">
        <v>0</v>
      </c>
      <c r="CK1041">
        <v>0</v>
      </c>
      <c r="CL1041">
        <v>0</v>
      </c>
      <c r="CM1041">
        <v>4.9489999999999998</v>
      </c>
      <c r="CN1041">
        <v>0</v>
      </c>
      <c r="CO1041">
        <v>0</v>
      </c>
      <c r="CP1041">
        <v>0</v>
      </c>
      <c r="CQ1041">
        <v>0</v>
      </c>
      <c r="CR1041">
        <v>0</v>
      </c>
      <c r="CS1041">
        <v>0</v>
      </c>
      <c r="CT1041">
        <v>0</v>
      </c>
      <c r="CU1041">
        <v>0</v>
      </c>
      <c r="CV1041">
        <v>6.0840000000000005</v>
      </c>
      <c r="CW1041">
        <v>9.6959999999999997</v>
      </c>
      <c r="CX1041">
        <v>0</v>
      </c>
      <c r="CY1041" s="2043">
        <v>0</v>
      </c>
      <c r="CZ1041" s="2043">
        <v>0</v>
      </c>
      <c r="DA1041" s="2043">
        <v>0</v>
      </c>
      <c r="DB1041" s="2043">
        <v>0</v>
      </c>
      <c r="DC1041" s="2043">
        <v>0</v>
      </c>
      <c r="DI1041" t="s">
        <v>5263</v>
      </c>
      <c r="DJ1041" t="s">
        <v>5263</v>
      </c>
      <c r="DK1041" s="2042">
        <f t="shared" si="18"/>
        <v>0</v>
      </c>
    </row>
    <row r="1042" spans="1:115">
      <c r="A1042" t="s">
        <v>5264</v>
      </c>
      <c r="B1042" t="s">
        <v>707</v>
      </c>
      <c r="C1042">
        <v>651.94100000000003</v>
      </c>
      <c r="D1042">
        <v>719.06700000000001</v>
      </c>
      <c r="E1042">
        <v>108.301</v>
      </c>
      <c r="F1042">
        <v>0</v>
      </c>
      <c r="G1042" s="2043">
        <v>638508154</v>
      </c>
      <c r="H1042">
        <v>0</v>
      </c>
      <c r="I1042" s="2043">
        <v>335915</v>
      </c>
      <c r="J1042">
        <v>3</v>
      </c>
      <c r="K1042">
        <v>8</v>
      </c>
      <c r="L1042">
        <v>0</v>
      </c>
      <c r="M1042">
        <v>0</v>
      </c>
      <c r="N1042">
        <v>0</v>
      </c>
      <c r="O1042">
        <v>0</v>
      </c>
      <c r="P1042">
        <v>0</v>
      </c>
      <c r="Q1042">
        <v>0</v>
      </c>
      <c r="R1042" s="2043">
        <v>5475043</v>
      </c>
      <c r="S1042">
        <v>374533</v>
      </c>
      <c r="T1042">
        <v>0</v>
      </c>
      <c r="U1042">
        <v>0.06</v>
      </c>
      <c r="V1042">
        <v>0</v>
      </c>
      <c r="W1042">
        <v>0</v>
      </c>
      <c r="X1042">
        <v>0</v>
      </c>
      <c r="Y1042">
        <v>0</v>
      </c>
      <c r="Z1042">
        <v>0</v>
      </c>
      <c r="AA1042">
        <v>0</v>
      </c>
      <c r="AB1042">
        <v>677.15800000000002</v>
      </c>
      <c r="AC1042" s="2043">
        <v>563182847</v>
      </c>
      <c r="AD1042">
        <v>351886</v>
      </c>
      <c r="AE1042" s="2043">
        <v>5849576</v>
      </c>
      <c r="AF1042">
        <v>0.93710000000000004</v>
      </c>
      <c r="AG1042">
        <v>0</v>
      </c>
      <c r="AH1042">
        <v>0</v>
      </c>
      <c r="AI1042">
        <v>0</v>
      </c>
      <c r="AJ1042">
        <v>87.575000000000003</v>
      </c>
      <c r="AK1042">
        <v>2801</v>
      </c>
      <c r="AL1042">
        <v>0</v>
      </c>
      <c r="AM1042">
        <v>0</v>
      </c>
      <c r="AN1042">
        <v>11.163</v>
      </c>
      <c r="AO1042">
        <v>0</v>
      </c>
      <c r="AP1042">
        <v>0</v>
      </c>
      <c r="AQ1042">
        <v>0</v>
      </c>
      <c r="AR1042">
        <v>17.52</v>
      </c>
      <c r="AS1042">
        <v>0</v>
      </c>
      <c r="AT1042">
        <v>4.4860000000000007</v>
      </c>
      <c r="AU1042">
        <v>1.6140000000000001</v>
      </c>
      <c r="AV1042">
        <v>0</v>
      </c>
      <c r="AW1042">
        <v>23.62</v>
      </c>
      <c r="AX1042">
        <v>0</v>
      </c>
      <c r="AY1042">
        <v>74.088000000000008</v>
      </c>
      <c r="AZ1042">
        <v>0</v>
      </c>
      <c r="BA1042">
        <v>1973192</v>
      </c>
      <c r="BB1042">
        <v>6201462</v>
      </c>
      <c r="BC1042">
        <v>0</v>
      </c>
      <c r="BD1042">
        <v>33138</v>
      </c>
      <c r="BE1042">
        <v>0</v>
      </c>
      <c r="BF1042">
        <v>33138</v>
      </c>
      <c r="BG1042">
        <v>33138</v>
      </c>
      <c r="BH1042">
        <v>0</v>
      </c>
      <c r="BI1042">
        <v>0</v>
      </c>
      <c r="BJ1042">
        <v>0</v>
      </c>
      <c r="BK1042">
        <v>0</v>
      </c>
      <c r="BL1042">
        <v>638508154</v>
      </c>
      <c r="BM1042">
        <v>0</v>
      </c>
      <c r="BN1042">
        <v>2448</v>
      </c>
      <c r="BO1042">
        <v>1552</v>
      </c>
      <c r="BP1042">
        <v>0</v>
      </c>
      <c r="BQ1042">
        <v>0</v>
      </c>
      <c r="BR1042">
        <v>0.87709999999999999</v>
      </c>
      <c r="BS1042">
        <v>0.87709999999999999</v>
      </c>
      <c r="BT1042">
        <v>0</v>
      </c>
      <c r="BU1042">
        <v>0</v>
      </c>
      <c r="BV1042">
        <v>58</v>
      </c>
      <c r="BW1042">
        <v>67</v>
      </c>
      <c r="BX1042">
        <v>0</v>
      </c>
      <c r="BY1042">
        <v>217</v>
      </c>
      <c r="BZ1042">
        <v>6</v>
      </c>
      <c r="CA1042">
        <v>348</v>
      </c>
      <c r="CB1042">
        <v>0</v>
      </c>
      <c r="CC1042">
        <v>0</v>
      </c>
      <c r="CD1042">
        <v>0</v>
      </c>
      <c r="CE1042">
        <v>33</v>
      </c>
      <c r="CF1042">
        <v>147.65600000000001</v>
      </c>
      <c r="CG1042">
        <v>0</v>
      </c>
      <c r="CH1042">
        <v>0</v>
      </c>
      <c r="CI1042">
        <v>0</v>
      </c>
      <c r="CJ1042">
        <v>4</v>
      </c>
      <c r="CK1042">
        <v>0</v>
      </c>
      <c r="CL1042">
        <v>0</v>
      </c>
      <c r="CM1042">
        <v>108.301</v>
      </c>
      <c r="CN1042">
        <v>0</v>
      </c>
      <c r="CO1042">
        <v>0</v>
      </c>
      <c r="CP1042">
        <v>0</v>
      </c>
      <c r="CQ1042">
        <v>0</v>
      </c>
      <c r="CR1042">
        <v>0</v>
      </c>
      <c r="CS1042">
        <v>0</v>
      </c>
      <c r="CT1042">
        <v>0</v>
      </c>
      <c r="CU1042">
        <v>9.120000000000001</v>
      </c>
      <c r="CV1042">
        <v>53.578000000000003</v>
      </c>
      <c r="CW1042">
        <v>21.928000000000001</v>
      </c>
      <c r="CX1042">
        <v>0</v>
      </c>
      <c r="CY1042" s="2043">
        <v>0</v>
      </c>
      <c r="CZ1042" s="2043">
        <v>0</v>
      </c>
      <c r="DA1042" s="2043">
        <v>0</v>
      </c>
      <c r="DB1042" s="2043">
        <v>0</v>
      </c>
      <c r="DC1042" s="2043">
        <v>193327</v>
      </c>
      <c r="DI1042" t="s">
        <v>5264</v>
      </c>
      <c r="DJ1042" t="s">
        <v>5264</v>
      </c>
      <c r="DK1042" s="2042">
        <f t="shared" si="18"/>
        <v>0</v>
      </c>
    </row>
    <row r="1043" spans="1:115">
      <c r="A1043" t="s">
        <v>5883</v>
      </c>
      <c r="B1043" t="s">
        <v>756</v>
      </c>
      <c r="C1043">
        <v>238.97800000000001</v>
      </c>
      <c r="D1043">
        <v>252.464</v>
      </c>
      <c r="E1043">
        <v>10.429</v>
      </c>
      <c r="F1043">
        <v>0</v>
      </c>
      <c r="G1043" s="2043">
        <v>97803373</v>
      </c>
      <c r="H1043">
        <v>0</v>
      </c>
      <c r="I1043" s="2043">
        <v>0</v>
      </c>
      <c r="J1043">
        <v>8</v>
      </c>
      <c r="K1043">
        <v>22</v>
      </c>
      <c r="L1043">
        <v>0</v>
      </c>
      <c r="M1043">
        <v>0</v>
      </c>
      <c r="N1043">
        <v>0</v>
      </c>
      <c r="O1043">
        <v>0</v>
      </c>
      <c r="P1043">
        <v>0</v>
      </c>
      <c r="Q1043">
        <v>0</v>
      </c>
      <c r="R1043" s="2043">
        <v>816001</v>
      </c>
      <c r="S1043">
        <v>46999</v>
      </c>
      <c r="T1043">
        <v>0</v>
      </c>
      <c r="U1043">
        <v>0.05</v>
      </c>
      <c r="V1043">
        <v>0</v>
      </c>
      <c r="W1043">
        <v>0</v>
      </c>
      <c r="X1043">
        <v>0</v>
      </c>
      <c r="Y1043">
        <v>0</v>
      </c>
      <c r="Z1043">
        <v>0</v>
      </c>
      <c r="AA1043">
        <v>0</v>
      </c>
      <c r="AB1043">
        <v>246.595</v>
      </c>
      <c r="AC1043" s="2043">
        <v>85756350</v>
      </c>
      <c r="AD1043">
        <v>0</v>
      </c>
      <c r="AE1043" s="2043">
        <v>863000</v>
      </c>
      <c r="AF1043">
        <v>0.91810000000000003</v>
      </c>
      <c r="AG1043">
        <v>0</v>
      </c>
      <c r="AH1043">
        <v>0</v>
      </c>
      <c r="AI1043">
        <v>0</v>
      </c>
      <c r="AJ1043">
        <v>20.238</v>
      </c>
      <c r="AK1043">
        <v>1206</v>
      </c>
      <c r="AL1043">
        <v>0</v>
      </c>
      <c r="AM1043">
        <v>0</v>
      </c>
      <c r="AN1043">
        <v>1.2910000000000001</v>
      </c>
      <c r="AO1043">
        <v>0</v>
      </c>
      <c r="AP1043">
        <v>0</v>
      </c>
      <c r="AQ1043">
        <v>0</v>
      </c>
      <c r="AR1043">
        <v>9.1829999999999998</v>
      </c>
      <c r="AS1043">
        <v>0</v>
      </c>
      <c r="AT1043">
        <v>0.88</v>
      </c>
      <c r="AU1043">
        <v>0.48200000000000004</v>
      </c>
      <c r="AV1043">
        <v>0</v>
      </c>
      <c r="AW1043">
        <v>10.545</v>
      </c>
      <c r="AX1043">
        <v>0</v>
      </c>
      <c r="AY1043">
        <v>32.599000000000004</v>
      </c>
      <c r="AZ1043">
        <v>0</v>
      </c>
      <c r="BA1043">
        <v>2203530</v>
      </c>
      <c r="BB1043">
        <v>863000</v>
      </c>
      <c r="BC1043">
        <v>0</v>
      </c>
      <c r="BD1043">
        <v>35466</v>
      </c>
      <c r="BE1043">
        <v>959</v>
      </c>
      <c r="BF1043">
        <v>38994</v>
      </c>
      <c r="BG1043">
        <v>35466</v>
      </c>
      <c r="BH1043">
        <v>2569</v>
      </c>
      <c r="BI1043">
        <v>0</v>
      </c>
      <c r="BJ1043">
        <v>0</v>
      </c>
      <c r="BK1043">
        <v>0</v>
      </c>
      <c r="BL1043">
        <v>97803373</v>
      </c>
      <c r="BM1043">
        <v>0</v>
      </c>
      <c r="BN1043">
        <v>1026</v>
      </c>
      <c r="BO1043">
        <v>781</v>
      </c>
      <c r="BP1043">
        <v>0</v>
      </c>
      <c r="BQ1043">
        <v>0</v>
      </c>
      <c r="BR1043">
        <v>0.86810000000000009</v>
      </c>
      <c r="BS1043">
        <v>0.86810000000000009</v>
      </c>
      <c r="BT1043">
        <v>0</v>
      </c>
      <c r="BU1043">
        <v>0</v>
      </c>
      <c r="BV1043">
        <v>18</v>
      </c>
      <c r="BW1043">
        <v>67</v>
      </c>
      <c r="BX1043">
        <v>0</v>
      </c>
      <c r="BY1043">
        <v>0</v>
      </c>
      <c r="BZ1043">
        <v>1</v>
      </c>
      <c r="CA1043">
        <v>86</v>
      </c>
      <c r="CB1043">
        <v>0</v>
      </c>
      <c r="CC1043">
        <v>0</v>
      </c>
      <c r="CD1043">
        <v>0</v>
      </c>
      <c r="CE1043">
        <v>31</v>
      </c>
      <c r="CF1043">
        <v>22.952999999999999</v>
      </c>
      <c r="CG1043">
        <v>0</v>
      </c>
      <c r="CH1043">
        <v>0</v>
      </c>
      <c r="CI1043">
        <v>1</v>
      </c>
      <c r="CJ1043">
        <v>9</v>
      </c>
      <c r="CK1043">
        <v>1</v>
      </c>
      <c r="CL1043">
        <v>0</v>
      </c>
      <c r="CM1043">
        <v>10.429</v>
      </c>
      <c r="CN1043">
        <v>0</v>
      </c>
      <c r="CO1043">
        <v>0</v>
      </c>
      <c r="CP1043">
        <v>0</v>
      </c>
      <c r="CQ1043">
        <v>0</v>
      </c>
      <c r="CR1043">
        <v>0</v>
      </c>
      <c r="CS1043">
        <v>0</v>
      </c>
      <c r="CT1043">
        <v>0</v>
      </c>
      <c r="CU1043">
        <v>0.80900000000000005</v>
      </c>
      <c r="CV1043">
        <v>21.788</v>
      </c>
      <c r="CW1043">
        <v>11.409000000000001</v>
      </c>
      <c r="CX1043">
        <v>0</v>
      </c>
      <c r="CY1043" s="2043">
        <v>0</v>
      </c>
      <c r="CZ1043" s="2043">
        <v>0</v>
      </c>
      <c r="DA1043" s="2043">
        <v>0</v>
      </c>
      <c r="DB1043" s="2043">
        <v>0</v>
      </c>
      <c r="DC1043" s="2043">
        <v>0</v>
      </c>
      <c r="DI1043" t="s">
        <v>5883</v>
      </c>
      <c r="DJ1043" t="s">
        <v>5883</v>
      </c>
      <c r="DK1043" s="2042">
        <f t="shared" si="18"/>
        <v>0</v>
      </c>
    </row>
    <row r="1044" spans="1:115">
      <c r="A1044" t="s">
        <v>5884</v>
      </c>
      <c r="B1044" t="s">
        <v>533</v>
      </c>
      <c r="C1044">
        <v>852.79600000000005</v>
      </c>
      <c r="D1044">
        <v>841.96500000000003</v>
      </c>
      <c r="E1044">
        <v>68.555999999999997</v>
      </c>
      <c r="F1044">
        <v>0</v>
      </c>
      <c r="G1044" s="2043">
        <v>218543425</v>
      </c>
      <c r="H1044">
        <v>0</v>
      </c>
      <c r="I1044" s="2043">
        <v>821600</v>
      </c>
      <c r="J1044">
        <v>35</v>
      </c>
      <c r="K1044">
        <v>96</v>
      </c>
      <c r="L1044">
        <v>0</v>
      </c>
      <c r="M1044">
        <v>0</v>
      </c>
      <c r="N1044">
        <v>0</v>
      </c>
      <c r="O1044">
        <v>0</v>
      </c>
      <c r="P1044">
        <v>0</v>
      </c>
      <c r="Q1044">
        <v>0</v>
      </c>
      <c r="R1044" s="2043">
        <v>1969654</v>
      </c>
      <c r="S1044">
        <v>173691</v>
      </c>
      <c r="T1044">
        <v>112465</v>
      </c>
      <c r="U1044">
        <v>0.08</v>
      </c>
      <c r="V1044">
        <v>0</v>
      </c>
      <c r="W1044">
        <v>0</v>
      </c>
      <c r="X1044">
        <v>0</v>
      </c>
      <c r="Y1044">
        <v>0</v>
      </c>
      <c r="Z1044">
        <v>0</v>
      </c>
      <c r="AA1044">
        <v>0.153</v>
      </c>
      <c r="AB1044">
        <v>841.96500000000003</v>
      </c>
      <c r="AC1044" s="2043">
        <v>160498086</v>
      </c>
      <c r="AD1044">
        <v>885845</v>
      </c>
      <c r="AE1044" s="2043">
        <v>2255810</v>
      </c>
      <c r="AF1044">
        <v>1.0390000000000001</v>
      </c>
      <c r="AG1044">
        <v>0</v>
      </c>
      <c r="AH1044">
        <v>0</v>
      </c>
      <c r="AI1044">
        <v>0</v>
      </c>
      <c r="AJ1044">
        <v>203.5</v>
      </c>
      <c r="AK1044">
        <v>4482</v>
      </c>
      <c r="AL1044">
        <v>0</v>
      </c>
      <c r="AM1044">
        <v>0</v>
      </c>
      <c r="AN1044">
        <v>46.664999999999999</v>
      </c>
      <c r="AO1044">
        <v>0</v>
      </c>
      <c r="AP1044">
        <v>3.6070000000000002</v>
      </c>
      <c r="AQ1044">
        <v>0</v>
      </c>
      <c r="AR1044">
        <v>21.323</v>
      </c>
      <c r="AS1044">
        <v>0</v>
      </c>
      <c r="AT1044">
        <v>3.3540000000000001</v>
      </c>
      <c r="AU1044">
        <v>2.0569999999999999</v>
      </c>
      <c r="AV1044">
        <v>0</v>
      </c>
      <c r="AW1044">
        <v>30.341000000000001</v>
      </c>
      <c r="AX1044">
        <v>0</v>
      </c>
      <c r="AY1044">
        <v>94.055000000000007</v>
      </c>
      <c r="AZ1044">
        <v>0</v>
      </c>
      <c r="BA1044">
        <v>9513919</v>
      </c>
      <c r="BB1044">
        <v>3141655</v>
      </c>
      <c r="BC1044">
        <v>0</v>
      </c>
      <c r="BD1044">
        <v>56206</v>
      </c>
      <c r="BE1044">
        <v>77240</v>
      </c>
      <c r="BF1044">
        <v>133446</v>
      </c>
      <c r="BG1044">
        <v>56206</v>
      </c>
      <c r="BH1044">
        <v>0</v>
      </c>
      <c r="BI1044">
        <v>0</v>
      </c>
      <c r="BJ1044">
        <v>0</v>
      </c>
      <c r="BK1044">
        <v>0</v>
      </c>
      <c r="BL1044">
        <v>218543425</v>
      </c>
      <c r="BM1044">
        <v>0</v>
      </c>
      <c r="BN1044">
        <v>3474</v>
      </c>
      <c r="BO1044">
        <v>2568</v>
      </c>
      <c r="BP1044">
        <v>0</v>
      </c>
      <c r="BQ1044">
        <v>0</v>
      </c>
      <c r="BR1044">
        <v>0.90720000000000001</v>
      </c>
      <c r="BS1044">
        <v>0.90720000000000001</v>
      </c>
      <c r="BT1044">
        <v>0</v>
      </c>
      <c r="BU1044">
        <v>0</v>
      </c>
      <c r="BV1044">
        <v>0</v>
      </c>
      <c r="BW1044">
        <v>287</v>
      </c>
      <c r="BX1044">
        <v>97</v>
      </c>
      <c r="BY1044">
        <v>1</v>
      </c>
      <c r="BZ1044">
        <v>403</v>
      </c>
      <c r="CA1044">
        <v>788</v>
      </c>
      <c r="CB1044">
        <v>0</v>
      </c>
      <c r="CC1044">
        <v>0</v>
      </c>
      <c r="CD1044">
        <v>0</v>
      </c>
      <c r="CE1044">
        <v>53</v>
      </c>
      <c r="CF1044">
        <v>219.375</v>
      </c>
      <c r="CG1044">
        <v>0</v>
      </c>
      <c r="CH1044">
        <v>0</v>
      </c>
      <c r="CI1044">
        <v>0</v>
      </c>
      <c r="CJ1044">
        <v>4</v>
      </c>
      <c r="CK1044">
        <v>0</v>
      </c>
      <c r="CL1044">
        <v>0</v>
      </c>
      <c r="CM1044">
        <v>68.555999999999997</v>
      </c>
      <c r="CN1044">
        <v>0</v>
      </c>
      <c r="CO1044">
        <v>0</v>
      </c>
      <c r="CP1044">
        <v>0</v>
      </c>
      <c r="CQ1044">
        <v>0</v>
      </c>
      <c r="CR1044">
        <v>0</v>
      </c>
      <c r="CS1044">
        <v>0</v>
      </c>
      <c r="CT1044">
        <v>0</v>
      </c>
      <c r="CU1044">
        <v>0</v>
      </c>
      <c r="CV1044">
        <v>43.480000000000004</v>
      </c>
      <c r="CW1044">
        <v>28.094000000000001</v>
      </c>
      <c r="CX1044">
        <v>0</v>
      </c>
      <c r="CY1044" s="2043">
        <v>0</v>
      </c>
      <c r="CZ1044" s="2043">
        <v>0</v>
      </c>
      <c r="DA1044" s="2043">
        <v>0</v>
      </c>
      <c r="DB1044" s="2043">
        <v>0</v>
      </c>
      <c r="DC1044" s="2043">
        <v>0</v>
      </c>
      <c r="DI1044" t="s">
        <v>5884</v>
      </c>
      <c r="DJ1044" t="s">
        <v>5884</v>
      </c>
      <c r="DK1044" s="2042">
        <f t="shared" si="18"/>
        <v>0</v>
      </c>
    </row>
    <row r="1045" spans="1:115">
      <c r="A1045" t="s">
        <v>5265</v>
      </c>
      <c r="B1045" t="s">
        <v>534</v>
      </c>
      <c r="C1045">
        <v>255.51500000000001</v>
      </c>
      <c r="D1045">
        <v>282.79900000000004</v>
      </c>
      <c r="E1045">
        <v>15.723000000000001</v>
      </c>
      <c r="F1045">
        <v>0</v>
      </c>
      <c r="G1045" s="2043">
        <v>118758412</v>
      </c>
      <c r="H1045">
        <v>0</v>
      </c>
      <c r="I1045" s="2043">
        <v>201850</v>
      </c>
      <c r="J1045">
        <v>5</v>
      </c>
      <c r="K1045">
        <v>14</v>
      </c>
      <c r="L1045">
        <v>0</v>
      </c>
      <c r="M1045">
        <v>0</v>
      </c>
      <c r="N1045">
        <v>0</v>
      </c>
      <c r="O1045">
        <v>0</v>
      </c>
      <c r="P1045">
        <v>0</v>
      </c>
      <c r="Q1045">
        <v>0</v>
      </c>
      <c r="R1045" s="2043">
        <v>1061311</v>
      </c>
      <c r="S1045">
        <v>92650</v>
      </c>
      <c r="T1045">
        <v>67520</v>
      </c>
      <c r="U1045">
        <v>0.08</v>
      </c>
      <c r="V1045">
        <v>0</v>
      </c>
      <c r="W1045">
        <v>0</v>
      </c>
      <c r="X1045">
        <v>0</v>
      </c>
      <c r="Y1045">
        <v>0</v>
      </c>
      <c r="Z1045">
        <v>0</v>
      </c>
      <c r="AA1045">
        <v>0</v>
      </c>
      <c r="AB1045">
        <v>259.88300000000004</v>
      </c>
      <c r="AC1045" s="2043">
        <v>92980461</v>
      </c>
      <c r="AD1045">
        <v>290995</v>
      </c>
      <c r="AE1045" s="2043">
        <v>1221481</v>
      </c>
      <c r="AF1045">
        <v>1.0547</v>
      </c>
      <c r="AG1045">
        <v>0</v>
      </c>
      <c r="AH1045">
        <v>0</v>
      </c>
      <c r="AI1045">
        <v>0</v>
      </c>
      <c r="AJ1045">
        <v>43.524999999999999</v>
      </c>
      <c r="AK1045">
        <v>1031</v>
      </c>
      <c r="AL1045">
        <v>0</v>
      </c>
      <c r="AM1045">
        <v>0</v>
      </c>
      <c r="AN1045">
        <v>0</v>
      </c>
      <c r="AO1045">
        <v>0</v>
      </c>
      <c r="AP1045">
        <v>0</v>
      </c>
      <c r="AQ1045">
        <v>0</v>
      </c>
      <c r="AR1045">
        <v>9.572000000000001</v>
      </c>
      <c r="AS1045">
        <v>0</v>
      </c>
      <c r="AT1045">
        <v>0</v>
      </c>
      <c r="AU1045">
        <v>0.13400000000000001</v>
      </c>
      <c r="AV1045">
        <v>0</v>
      </c>
      <c r="AW1045">
        <v>9.7060000000000013</v>
      </c>
      <c r="AX1045">
        <v>0</v>
      </c>
      <c r="AY1045">
        <v>29.386000000000003</v>
      </c>
      <c r="AZ1045">
        <v>0</v>
      </c>
      <c r="BA1045">
        <v>2333026</v>
      </c>
      <c r="BB1045">
        <v>1512476</v>
      </c>
      <c r="BC1045">
        <v>0</v>
      </c>
      <c r="BD1045">
        <v>30752</v>
      </c>
      <c r="BE1045">
        <v>0</v>
      </c>
      <c r="BF1045">
        <v>30752</v>
      </c>
      <c r="BG1045">
        <v>30752</v>
      </c>
      <c r="BH1045">
        <v>0</v>
      </c>
      <c r="BI1045">
        <v>0</v>
      </c>
      <c r="BJ1045">
        <v>0</v>
      </c>
      <c r="BK1045">
        <v>0</v>
      </c>
      <c r="BL1045">
        <v>118758412</v>
      </c>
      <c r="BM1045">
        <v>0</v>
      </c>
      <c r="BN1045">
        <v>1260</v>
      </c>
      <c r="BO1045">
        <v>738</v>
      </c>
      <c r="BP1045">
        <v>0</v>
      </c>
      <c r="BQ1045">
        <v>0</v>
      </c>
      <c r="BR1045">
        <v>0.91639999999999999</v>
      </c>
      <c r="BS1045">
        <v>0.91639999999999999</v>
      </c>
      <c r="BT1045">
        <v>0</v>
      </c>
      <c r="BU1045">
        <v>0</v>
      </c>
      <c r="BV1045">
        <v>3</v>
      </c>
      <c r="BW1045">
        <v>48</v>
      </c>
      <c r="BX1045">
        <v>116</v>
      </c>
      <c r="BY1045">
        <v>2</v>
      </c>
      <c r="BZ1045">
        <v>7</v>
      </c>
      <c r="CA1045">
        <v>176</v>
      </c>
      <c r="CB1045">
        <v>0</v>
      </c>
      <c r="CC1045">
        <v>0</v>
      </c>
      <c r="CD1045">
        <v>0</v>
      </c>
      <c r="CE1045">
        <v>41</v>
      </c>
      <c r="CF1045">
        <v>45.978000000000002</v>
      </c>
      <c r="CG1045">
        <v>0</v>
      </c>
      <c r="CH1045">
        <v>0</v>
      </c>
      <c r="CI1045">
        <v>1</v>
      </c>
      <c r="CJ1045">
        <v>0</v>
      </c>
      <c r="CK1045">
        <v>0</v>
      </c>
      <c r="CL1045">
        <v>0</v>
      </c>
      <c r="CM1045">
        <v>15.723000000000001</v>
      </c>
      <c r="CN1045">
        <v>0</v>
      </c>
      <c r="CO1045">
        <v>0</v>
      </c>
      <c r="CP1045">
        <v>0</v>
      </c>
      <c r="CQ1045">
        <v>0</v>
      </c>
      <c r="CR1045">
        <v>0</v>
      </c>
      <c r="CS1045">
        <v>0</v>
      </c>
      <c r="CT1045">
        <v>0</v>
      </c>
      <c r="CU1045">
        <v>0</v>
      </c>
      <c r="CV1045">
        <v>14.797000000000001</v>
      </c>
      <c r="CW1045">
        <v>5.1850000000000005</v>
      </c>
      <c r="CX1045">
        <v>0</v>
      </c>
      <c r="CY1045" s="2043">
        <v>0</v>
      </c>
      <c r="CZ1045" s="2043">
        <v>0</v>
      </c>
      <c r="DA1045" s="2043">
        <v>0</v>
      </c>
      <c r="DB1045" s="2043">
        <v>0</v>
      </c>
      <c r="DC1045" s="2043">
        <v>0</v>
      </c>
      <c r="DI1045" t="s">
        <v>5265</v>
      </c>
      <c r="DJ1045" t="s">
        <v>5265</v>
      </c>
      <c r="DK1045" s="2042">
        <f t="shared" si="18"/>
        <v>0</v>
      </c>
    </row>
    <row r="1046" spans="1:115">
      <c r="A1046" t="s">
        <v>8075</v>
      </c>
      <c r="B1046" t="s">
        <v>11401</v>
      </c>
      <c r="C1046">
        <v>1479.9930000000002</v>
      </c>
      <c r="D1046">
        <v>1506.3410000000001</v>
      </c>
      <c r="E1046">
        <v>132.69200000000001</v>
      </c>
      <c r="F1046">
        <v>0</v>
      </c>
      <c r="G1046" s="2043">
        <v>0</v>
      </c>
      <c r="H1046">
        <v>0</v>
      </c>
      <c r="I1046" s="2043">
        <v>0</v>
      </c>
      <c r="J1046">
        <v>0</v>
      </c>
      <c r="K1046">
        <v>0</v>
      </c>
      <c r="L1046">
        <v>0</v>
      </c>
      <c r="M1046">
        <v>0</v>
      </c>
      <c r="N1046">
        <v>0</v>
      </c>
      <c r="O1046">
        <v>0</v>
      </c>
      <c r="P1046">
        <v>0</v>
      </c>
      <c r="Q1046">
        <v>0</v>
      </c>
      <c r="R1046" s="2043">
        <v>0</v>
      </c>
      <c r="S1046">
        <v>0</v>
      </c>
      <c r="T1046">
        <v>0</v>
      </c>
      <c r="U1046">
        <v>0</v>
      </c>
      <c r="V1046">
        <v>0</v>
      </c>
      <c r="W1046">
        <v>0</v>
      </c>
      <c r="X1046">
        <v>0</v>
      </c>
      <c r="Y1046">
        <v>261636</v>
      </c>
      <c r="Z1046">
        <v>0</v>
      </c>
      <c r="AA1046">
        <v>0</v>
      </c>
      <c r="AB1046">
        <v>1506.3410000000001</v>
      </c>
      <c r="AC1046" s="2043">
        <v>0</v>
      </c>
      <c r="AD1046">
        <v>0</v>
      </c>
      <c r="AE1046" s="2043">
        <v>0</v>
      </c>
      <c r="AF1046">
        <v>0</v>
      </c>
      <c r="AG1046">
        <v>0</v>
      </c>
      <c r="AH1046">
        <v>0</v>
      </c>
      <c r="AI1046">
        <v>0</v>
      </c>
      <c r="AJ1046">
        <v>104.438</v>
      </c>
      <c r="AK1046">
        <v>1697</v>
      </c>
      <c r="AL1046">
        <v>0</v>
      </c>
      <c r="AM1046">
        <v>0</v>
      </c>
      <c r="AN1046">
        <v>33.634</v>
      </c>
      <c r="AO1046">
        <v>0</v>
      </c>
      <c r="AP1046">
        <v>0</v>
      </c>
      <c r="AQ1046">
        <v>0</v>
      </c>
      <c r="AR1046">
        <v>9.1980000000000004</v>
      </c>
      <c r="AS1046">
        <v>0</v>
      </c>
      <c r="AT1046">
        <v>0.74399999999999999</v>
      </c>
      <c r="AU1046">
        <v>1.2890000000000001</v>
      </c>
      <c r="AV1046">
        <v>0</v>
      </c>
      <c r="AW1046">
        <v>11.231</v>
      </c>
      <c r="AX1046">
        <v>0</v>
      </c>
      <c r="AY1046">
        <v>36.271000000000001</v>
      </c>
      <c r="AZ1046">
        <v>0</v>
      </c>
      <c r="BA1046">
        <v>13853719</v>
      </c>
      <c r="BB1046">
        <v>0</v>
      </c>
      <c r="BC1046">
        <v>0</v>
      </c>
      <c r="BD1046">
        <v>0</v>
      </c>
      <c r="BE1046">
        <v>0</v>
      </c>
      <c r="BF1046">
        <v>0</v>
      </c>
      <c r="BG1046">
        <v>0</v>
      </c>
      <c r="BH1046">
        <v>0</v>
      </c>
      <c r="BI1046">
        <v>0</v>
      </c>
      <c r="BJ1046">
        <v>0</v>
      </c>
      <c r="BK1046">
        <v>0</v>
      </c>
      <c r="BL1046">
        <v>0</v>
      </c>
      <c r="BM1046">
        <v>0</v>
      </c>
      <c r="BN1046">
        <v>0</v>
      </c>
      <c r="BO1046">
        <v>0</v>
      </c>
      <c r="BP1046">
        <v>0</v>
      </c>
      <c r="BQ1046">
        <v>0</v>
      </c>
      <c r="BR1046">
        <v>0</v>
      </c>
      <c r="BS1046">
        <v>0</v>
      </c>
      <c r="BT1046">
        <v>0</v>
      </c>
      <c r="BU1046">
        <v>0</v>
      </c>
      <c r="BV1046">
        <v>143</v>
      </c>
      <c r="BW1046">
        <v>92</v>
      </c>
      <c r="BX1046">
        <v>62</v>
      </c>
      <c r="BY1046">
        <v>89</v>
      </c>
      <c r="BZ1046">
        <v>42</v>
      </c>
      <c r="CA1046">
        <v>428</v>
      </c>
      <c r="CB1046">
        <v>0</v>
      </c>
      <c r="CC1046">
        <v>0</v>
      </c>
      <c r="CD1046">
        <v>0</v>
      </c>
      <c r="CE1046">
        <v>48</v>
      </c>
      <c r="CF1046">
        <v>287.339</v>
      </c>
      <c r="CG1046">
        <v>0</v>
      </c>
      <c r="CH1046">
        <v>0</v>
      </c>
      <c r="CI1046">
        <v>0</v>
      </c>
      <c r="CJ1046">
        <v>0</v>
      </c>
      <c r="CK1046">
        <v>0</v>
      </c>
      <c r="CL1046">
        <v>0</v>
      </c>
      <c r="CM1046">
        <v>132.69200000000001</v>
      </c>
      <c r="CN1046">
        <v>0</v>
      </c>
      <c r="CO1046">
        <v>0</v>
      </c>
      <c r="CP1046">
        <v>0</v>
      </c>
      <c r="CQ1046">
        <v>0</v>
      </c>
      <c r="CR1046">
        <v>0</v>
      </c>
      <c r="CS1046">
        <v>0</v>
      </c>
      <c r="CT1046">
        <v>0</v>
      </c>
      <c r="CU1046">
        <v>0</v>
      </c>
      <c r="CV1046">
        <v>11.631</v>
      </c>
      <c r="CW1046">
        <v>0</v>
      </c>
      <c r="CX1046">
        <v>0</v>
      </c>
      <c r="CY1046" s="2043">
        <v>0</v>
      </c>
      <c r="CZ1046" s="2043">
        <v>0</v>
      </c>
      <c r="DA1046" s="2043">
        <v>0</v>
      </c>
      <c r="DB1046" s="2043">
        <v>0</v>
      </c>
      <c r="DC1046" s="2043">
        <v>0</v>
      </c>
      <c r="DI1046" t="s">
        <v>8074</v>
      </c>
      <c r="DJ1046" t="s">
        <v>8075</v>
      </c>
      <c r="DK1046" s="2042">
        <f t="shared" si="18"/>
        <v>-1</v>
      </c>
    </row>
    <row r="1047" spans="1:115">
      <c r="A1047" t="s">
        <v>8074</v>
      </c>
      <c r="B1047" t="s">
        <v>11402</v>
      </c>
      <c r="C1047">
        <v>306.73200000000003</v>
      </c>
      <c r="D1047">
        <v>378.73099999999999</v>
      </c>
      <c r="E1047">
        <v>2.875</v>
      </c>
      <c r="F1047">
        <v>0</v>
      </c>
      <c r="G1047" s="2043">
        <v>0</v>
      </c>
      <c r="H1047">
        <v>0</v>
      </c>
      <c r="I1047" s="2043">
        <v>0</v>
      </c>
      <c r="J1047">
        <v>0</v>
      </c>
      <c r="K1047">
        <v>0</v>
      </c>
      <c r="L1047">
        <v>0</v>
      </c>
      <c r="M1047">
        <v>0</v>
      </c>
      <c r="N1047">
        <v>0</v>
      </c>
      <c r="O1047">
        <v>0</v>
      </c>
      <c r="P1047">
        <v>0</v>
      </c>
      <c r="Q1047">
        <v>0</v>
      </c>
      <c r="R1047" s="2043">
        <v>0</v>
      </c>
      <c r="S1047">
        <v>0</v>
      </c>
      <c r="T1047">
        <v>0</v>
      </c>
      <c r="U1047">
        <v>0</v>
      </c>
      <c r="V1047">
        <v>0</v>
      </c>
      <c r="W1047">
        <v>0</v>
      </c>
      <c r="X1047">
        <v>0</v>
      </c>
      <c r="Y1047">
        <v>54225</v>
      </c>
      <c r="Z1047">
        <v>0</v>
      </c>
      <c r="AA1047">
        <v>0</v>
      </c>
      <c r="AB1047">
        <v>378.73099999999999</v>
      </c>
      <c r="AC1047" s="2043">
        <v>0</v>
      </c>
      <c r="AD1047">
        <v>0</v>
      </c>
      <c r="AE1047" s="2043">
        <v>0</v>
      </c>
      <c r="AF1047">
        <v>0</v>
      </c>
      <c r="AG1047">
        <v>0</v>
      </c>
      <c r="AH1047">
        <v>0</v>
      </c>
      <c r="AI1047">
        <v>0</v>
      </c>
      <c r="AJ1047">
        <v>16.125</v>
      </c>
      <c r="AK1047">
        <v>441</v>
      </c>
      <c r="AL1047">
        <v>0</v>
      </c>
      <c r="AM1047">
        <v>0</v>
      </c>
      <c r="AN1047">
        <v>11.376000000000001</v>
      </c>
      <c r="AO1047">
        <v>0</v>
      </c>
      <c r="AP1047">
        <v>0</v>
      </c>
      <c r="AQ1047">
        <v>0</v>
      </c>
      <c r="AR1047">
        <v>0.88900000000000001</v>
      </c>
      <c r="AS1047">
        <v>0</v>
      </c>
      <c r="AT1047">
        <v>0</v>
      </c>
      <c r="AU1047">
        <v>0.749</v>
      </c>
      <c r="AV1047">
        <v>0</v>
      </c>
      <c r="AW1047">
        <v>1.6380000000000001</v>
      </c>
      <c r="AX1047">
        <v>0</v>
      </c>
      <c r="AY1047">
        <v>6.4119999999999999</v>
      </c>
      <c r="AZ1047">
        <v>0</v>
      </c>
      <c r="BA1047">
        <v>2862869</v>
      </c>
      <c r="BB1047">
        <v>0</v>
      </c>
      <c r="BC1047">
        <v>0</v>
      </c>
      <c r="BD1047">
        <v>0</v>
      </c>
      <c r="BE1047">
        <v>0</v>
      </c>
      <c r="BF1047">
        <v>0</v>
      </c>
      <c r="BG1047">
        <v>0</v>
      </c>
      <c r="BH1047">
        <v>0</v>
      </c>
      <c r="BI1047">
        <v>0</v>
      </c>
      <c r="BJ1047">
        <v>0</v>
      </c>
      <c r="BK1047">
        <v>0</v>
      </c>
      <c r="BL1047">
        <v>0</v>
      </c>
      <c r="BM1047">
        <v>0</v>
      </c>
      <c r="BN1047">
        <v>504</v>
      </c>
      <c r="BO1047">
        <v>0</v>
      </c>
      <c r="BP1047">
        <v>0</v>
      </c>
      <c r="BQ1047">
        <v>0</v>
      </c>
      <c r="BR1047">
        <v>0</v>
      </c>
      <c r="BS1047">
        <v>0</v>
      </c>
      <c r="BT1047">
        <v>0</v>
      </c>
      <c r="BU1047">
        <v>0</v>
      </c>
      <c r="BV1047">
        <v>24</v>
      </c>
      <c r="BW1047">
        <v>11</v>
      </c>
      <c r="BX1047">
        <v>10</v>
      </c>
      <c r="BY1047">
        <v>13</v>
      </c>
      <c r="BZ1047">
        <v>8</v>
      </c>
      <c r="CA1047">
        <v>66</v>
      </c>
      <c r="CB1047">
        <v>0</v>
      </c>
      <c r="CC1047">
        <v>0</v>
      </c>
      <c r="CD1047">
        <v>0</v>
      </c>
      <c r="CE1047">
        <v>14</v>
      </c>
      <c r="CF1047">
        <v>19.958000000000002</v>
      </c>
      <c r="CG1047">
        <v>0</v>
      </c>
      <c r="CH1047">
        <v>0</v>
      </c>
      <c r="CI1047">
        <v>0</v>
      </c>
      <c r="CJ1047">
        <v>1</v>
      </c>
      <c r="CK1047">
        <v>0</v>
      </c>
      <c r="CL1047">
        <v>0</v>
      </c>
      <c r="CM1047">
        <v>2.875</v>
      </c>
      <c r="CN1047">
        <v>0</v>
      </c>
      <c r="CO1047">
        <v>0</v>
      </c>
      <c r="CP1047">
        <v>0</v>
      </c>
      <c r="CQ1047">
        <v>0</v>
      </c>
      <c r="CR1047">
        <v>0</v>
      </c>
      <c r="CS1047">
        <v>0</v>
      </c>
      <c r="CT1047">
        <v>0</v>
      </c>
      <c r="CU1047">
        <v>0</v>
      </c>
      <c r="CV1047">
        <v>10.050000000000001</v>
      </c>
      <c r="CW1047">
        <v>4.4910000000000005</v>
      </c>
      <c r="CX1047">
        <v>0</v>
      </c>
      <c r="CY1047" s="2043">
        <v>0</v>
      </c>
      <c r="CZ1047" s="2043">
        <v>0</v>
      </c>
      <c r="DA1047" s="2043">
        <v>0</v>
      </c>
      <c r="DB1047" s="2043">
        <v>0</v>
      </c>
      <c r="DC1047" s="2043">
        <v>0</v>
      </c>
      <c r="DI1047" t="s">
        <v>8075</v>
      </c>
      <c r="DJ1047" t="s">
        <v>8074</v>
      </c>
      <c r="DK1047" s="2042">
        <f t="shared" si="18"/>
        <v>1</v>
      </c>
    </row>
    <row r="1048" spans="1:115">
      <c r="A1048" t="s">
        <v>8076</v>
      </c>
      <c r="B1048" t="s">
        <v>11403</v>
      </c>
      <c r="C1048">
        <v>621.01600000000008</v>
      </c>
      <c r="D1048">
        <v>604.92600000000004</v>
      </c>
      <c r="E1048">
        <v>9.7080000000000002</v>
      </c>
      <c r="F1048">
        <v>0</v>
      </c>
      <c r="G1048" s="2043">
        <v>0</v>
      </c>
      <c r="H1048">
        <v>0</v>
      </c>
      <c r="I1048" s="2043">
        <v>0</v>
      </c>
      <c r="J1048">
        <v>31.051000000000002</v>
      </c>
      <c r="K1048">
        <v>85</v>
      </c>
      <c r="L1048">
        <v>0</v>
      </c>
      <c r="M1048">
        <v>0</v>
      </c>
      <c r="N1048">
        <v>0</v>
      </c>
      <c r="O1048">
        <v>0</v>
      </c>
      <c r="P1048">
        <v>0</v>
      </c>
      <c r="Q1048">
        <v>0</v>
      </c>
      <c r="R1048" s="2043">
        <v>0</v>
      </c>
      <c r="S1048">
        <v>0</v>
      </c>
      <c r="T1048">
        <v>0</v>
      </c>
      <c r="U1048">
        <v>0</v>
      </c>
      <c r="V1048">
        <v>0</v>
      </c>
      <c r="W1048">
        <v>0</v>
      </c>
      <c r="X1048">
        <v>0</v>
      </c>
      <c r="Y1048">
        <v>109785</v>
      </c>
      <c r="Z1048">
        <v>0</v>
      </c>
      <c r="AA1048">
        <v>0</v>
      </c>
      <c r="AB1048">
        <v>604.92600000000004</v>
      </c>
      <c r="AC1048" s="2043">
        <v>0</v>
      </c>
      <c r="AD1048">
        <v>0</v>
      </c>
      <c r="AE1048" s="2043">
        <v>0</v>
      </c>
      <c r="AF1048">
        <v>0</v>
      </c>
      <c r="AG1048">
        <v>0</v>
      </c>
      <c r="AH1048">
        <v>0</v>
      </c>
      <c r="AI1048">
        <v>0</v>
      </c>
      <c r="AJ1048">
        <v>24.05</v>
      </c>
      <c r="AK1048">
        <v>990</v>
      </c>
      <c r="AL1048">
        <v>0</v>
      </c>
      <c r="AM1048">
        <v>0</v>
      </c>
      <c r="AN1048">
        <v>10.181000000000001</v>
      </c>
      <c r="AO1048">
        <v>0</v>
      </c>
      <c r="AP1048">
        <v>0</v>
      </c>
      <c r="AQ1048">
        <v>0</v>
      </c>
      <c r="AR1048">
        <v>8.7089999999999996</v>
      </c>
      <c r="AS1048">
        <v>0</v>
      </c>
      <c r="AT1048">
        <v>0.93200000000000005</v>
      </c>
      <c r="AU1048">
        <v>0.61899999999999999</v>
      </c>
      <c r="AV1048">
        <v>0</v>
      </c>
      <c r="AW1048">
        <v>10.26</v>
      </c>
      <c r="AX1048">
        <v>0</v>
      </c>
      <c r="AY1048">
        <v>32.018000000000001</v>
      </c>
      <c r="AZ1048">
        <v>0</v>
      </c>
      <c r="BA1048">
        <v>5812221</v>
      </c>
      <c r="BB1048">
        <v>0</v>
      </c>
      <c r="BC1048">
        <v>0</v>
      </c>
      <c r="BD1048">
        <v>0</v>
      </c>
      <c r="BE1048">
        <v>0</v>
      </c>
      <c r="BF1048">
        <v>0</v>
      </c>
      <c r="BG1048">
        <v>0</v>
      </c>
      <c r="BH1048">
        <v>0</v>
      </c>
      <c r="BI1048">
        <v>0</v>
      </c>
      <c r="BJ1048">
        <v>0</v>
      </c>
      <c r="BK1048">
        <v>0</v>
      </c>
      <c r="BL1048">
        <v>0</v>
      </c>
      <c r="BM1048">
        <v>0</v>
      </c>
      <c r="BN1048">
        <v>2025</v>
      </c>
      <c r="BO1048">
        <v>96</v>
      </c>
      <c r="BP1048">
        <v>0</v>
      </c>
      <c r="BQ1048">
        <v>0</v>
      </c>
      <c r="BR1048">
        <v>0</v>
      </c>
      <c r="BS1048">
        <v>0</v>
      </c>
      <c r="BT1048">
        <v>0</v>
      </c>
      <c r="BU1048">
        <v>0</v>
      </c>
      <c r="BV1048">
        <v>33</v>
      </c>
      <c r="BW1048">
        <v>13</v>
      </c>
      <c r="BX1048">
        <v>25</v>
      </c>
      <c r="BY1048">
        <v>11</v>
      </c>
      <c r="BZ1048">
        <v>16</v>
      </c>
      <c r="CA1048">
        <v>98</v>
      </c>
      <c r="CB1048">
        <v>0</v>
      </c>
      <c r="CC1048">
        <v>0</v>
      </c>
      <c r="CD1048">
        <v>0</v>
      </c>
      <c r="CE1048">
        <v>20</v>
      </c>
      <c r="CF1048">
        <v>11.825000000000001</v>
      </c>
      <c r="CG1048">
        <v>0</v>
      </c>
      <c r="CH1048">
        <v>0</v>
      </c>
      <c r="CI1048">
        <v>4</v>
      </c>
      <c r="CJ1048">
        <v>19</v>
      </c>
      <c r="CK1048">
        <v>0</v>
      </c>
      <c r="CL1048">
        <v>0</v>
      </c>
      <c r="CM1048">
        <v>9.7080000000000002</v>
      </c>
      <c r="CN1048">
        <v>0</v>
      </c>
      <c r="CO1048">
        <v>0</v>
      </c>
      <c r="CP1048">
        <v>0</v>
      </c>
      <c r="CQ1048">
        <v>0</v>
      </c>
      <c r="CR1048">
        <v>0</v>
      </c>
      <c r="CS1048">
        <v>0</v>
      </c>
      <c r="CT1048">
        <v>0</v>
      </c>
      <c r="CU1048">
        <v>1.6</v>
      </c>
      <c r="CV1048">
        <v>34.027999999999999</v>
      </c>
      <c r="CW1048">
        <v>8.42</v>
      </c>
      <c r="CX1048">
        <v>0</v>
      </c>
      <c r="CY1048" s="2043">
        <v>0</v>
      </c>
      <c r="CZ1048" s="2043">
        <v>0</v>
      </c>
      <c r="DA1048" s="2043">
        <v>0</v>
      </c>
      <c r="DB1048" s="2043">
        <v>0</v>
      </c>
      <c r="DC1048" s="2043">
        <v>0</v>
      </c>
      <c r="DI1048" t="s">
        <v>8076</v>
      </c>
      <c r="DJ1048" t="s">
        <v>8076</v>
      </c>
      <c r="DK1048" s="2042">
        <f t="shared" si="18"/>
        <v>0</v>
      </c>
    </row>
    <row r="1049" spans="1:115">
      <c r="A1049" t="s">
        <v>8077</v>
      </c>
      <c r="B1049" t="s">
        <v>11404</v>
      </c>
      <c r="C1049">
        <v>844.82500000000005</v>
      </c>
      <c r="D1049">
        <v>893.70300000000009</v>
      </c>
      <c r="E1049">
        <v>17.434000000000001</v>
      </c>
      <c r="F1049">
        <v>0</v>
      </c>
      <c r="G1049" s="2043">
        <v>0</v>
      </c>
      <c r="H1049">
        <v>0</v>
      </c>
      <c r="I1049" s="2043">
        <v>0</v>
      </c>
      <c r="J1049">
        <v>0</v>
      </c>
      <c r="K1049">
        <v>0</v>
      </c>
      <c r="L1049">
        <v>0</v>
      </c>
      <c r="M1049">
        <v>0</v>
      </c>
      <c r="N1049">
        <v>0</v>
      </c>
      <c r="O1049">
        <v>0</v>
      </c>
      <c r="P1049">
        <v>0</v>
      </c>
      <c r="Q1049">
        <v>0</v>
      </c>
      <c r="R1049" s="2043">
        <v>0</v>
      </c>
      <c r="S1049">
        <v>0</v>
      </c>
      <c r="T1049">
        <v>0</v>
      </c>
      <c r="U1049">
        <v>0</v>
      </c>
      <c r="V1049">
        <v>0</v>
      </c>
      <c r="W1049">
        <v>0</v>
      </c>
      <c r="X1049">
        <v>0</v>
      </c>
      <c r="Y1049">
        <v>149350</v>
      </c>
      <c r="Z1049">
        <v>0</v>
      </c>
      <c r="AA1049">
        <v>0</v>
      </c>
      <c r="AB1049">
        <v>893.70300000000009</v>
      </c>
      <c r="AC1049" s="2043">
        <v>0</v>
      </c>
      <c r="AD1049">
        <v>0</v>
      </c>
      <c r="AE1049" s="2043">
        <v>0</v>
      </c>
      <c r="AF1049">
        <v>0</v>
      </c>
      <c r="AG1049">
        <v>0</v>
      </c>
      <c r="AH1049">
        <v>0</v>
      </c>
      <c r="AI1049">
        <v>0</v>
      </c>
      <c r="AJ1049">
        <v>5.3500000000000005</v>
      </c>
      <c r="AK1049">
        <v>1084</v>
      </c>
      <c r="AL1049">
        <v>0</v>
      </c>
      <c r="AM1049">
        <v>0</v>
      </c>
      <c r="AN1049">
        <v>2.1720000000000002</v>
      </c>
      <c r="AO1049">
        <v>0</v>
      </c>
      <c r="AP1049">
        <v>0</v>
      </c>
      <c r="AQ1049">
        <v>0</v>
      </c>
      <c r="AR1049">
        <v>12.86</v>
      </c>
      <c r="AS1049">
        <v>0</v>
      </c>
      <c r="AT1049">
        <v>0</v>
      </c>
      <c r="AU1049">
        <v>1.36</v>
      </c>
      <c r="AV1049">
        <v>0</v>
      </c>
      <c r="AW1049">
        <v>14.22</v>
      </c>
      <c r="AX1049">
        <v>0</v>
      </c>
      <c r="AY1049">
        <v>45.38</v>
      </c>
      <c r="AZ1049">
        <v>0</v>
      </c>
      <c r="BA1049">
        <v>7622996</v>
      </c>
      <c r="BB1049">
        <v>0</v>
      </c>
      <c r="BC1049">
        <v>0</v>
      </c>
      <c r="BD1049">
        <v>0</v>
      </c>
      <c r="BE1049">
        <v>0</v>
      </c>
      <c r="BF1049">
        <v>0</v>
      </c>
      <c r="BG1049">
        <v>0</v>
      </c>
      <c r="BH1049">
        <v>0</v>
      </c>
      <c r="BI1049">
        <v>0</v>
      </c>
      <c r="BJ1049">
        <v>0</v>
      </c>
      <c r="BK1049">
        <v>0</v>
      </c>
      <c r="BL1049">
        <v>0</v>
      </c>
      <c r="BM1049">
        <v>0</v>
      </c>
      <c r="BN1049">
        <v>3537</v>
      </c>
      <c r="BO1049">
        <v>0</v>
      </c>
      <c r="BP1049">
        <v>0</v>
      </c>
      <c r="BQ1049">
        <v>0</v>
      </c>
      <c r="BR1049">
        <v>0</v>
      </c>
      <c r="BS1049">
        <v>0</v>
      </c>
      <c r="BT1049">
        <v>0</v>
      </c>
      <c r="BU1049">
        <v>0</v>
      </c>
      <c r="BV1049">
        <v>14</v>
      </c>
      <c r="BW1049">
        <v>6</v>
      </c>
      <c r="BX1049">
        <v>1</v>
      </c>
      <c r="BY1049">
        <v>2</v>
      </c>
      <c r="BZ1049">
        <v>0</v>
      </c>
      <c r="CA1049">
        <v>23</v>
      </c>
      <c r="CB1049">
        <v>0</v>
      </c>
      <c r="CC1049">
        <v>0</v>
      </c>
      <c r="CD1049">
        <v>0</v>
      </c>
      <c r="CE1049">
        <v>32</v>
      </c>
      <c r="CF1049">
        <v>13.394</v>
      </c>
      <c r="CG1049">
        <v>0</v>
      </c>
      <c r="CH1049">
        <v>0</v>
      </c>
      <c r="CI1049">
        <v>1</v>
      </c>
      <c r="CJ1049">
        <v>34</v>
      </c>
      <c r="CK1049">
        <v>0</v>
      </c>
      <c r="CL1049">
        <v>0</v>
      </c>
      <c r="CM1049">
        <v>17.434000000000001</v>
      </c>
      <c r="CN1049">
        <v>0</v>
      </c>
      <c r="CO1049">
        <v>0</v>
      </c>
      <c r="CP1049">
        <v>0</v>
      </c>
      <c r="CQ1049">
        <v>0</v>
      </c>
      <c r="CR1049">
        <v>0</v>
      </c>
      <c r="CS1049">
        <v>0</v>
      </c>
      <c r="CT1049">
        <v>0</v>
      </c>
      <c r="CU1049">
        <v>7.9450000000000003</v>
      </c>
      <c r="CV1049">
        <v>15.127000000000001</v>
      </c>
      <c r="CW1049">
        <v>28.908000000000001</v>
      </c>
      <c r="CX1049">
        <v>0</v>
      </c>
      <c r="CY1049" s="2043">
        <v>0</v>
      </c>
      <c r="CZ1049" s="2043">
        <v>0</v>
      </c>
      <c r="DA1049" s="2043">
        <v>0</v>
      </c>
      <c r="DB1049" s="2043">
        <v>0</v>
      </c>
      <c r="DC1049" s="2043">
        <v>0</v>
      </c>
      <c r="DI1049" t="s">
        <v>8077</v>
      </c>
      <c r="DJ1049" t="s">
        <v>8077</v>
      </c>
      <c r="DK1049" s="2042">
        <f t="shared" si="18"/>
        <v>0</v>
      </c>
    </row>
    <row r="1050" spans="1:115">
      <c r="A1050" t="s">
        <v>8078</v>
      </c>
      <c r="B1050" t="s">
        <v>11405</v>
      </c>
      <c r="C1050">
        <v>169.33700000000002</v>
      </c>
      <c r="D1050">
        <v>194.886</v>
      </c>
      <c r="E1050">
        <v>53.423999999999999</v>
      </c>
      <c r="F1050">
        <v>0</v>
      </c>
      <c r="G1050" s="2043">
        <v>0</v>
      </c>
      <c r="H1050">
        <v>0</v>
      </c>
      <c r="I1050" s="2043">
        <v>0</v>
      </c>
      <c r="J1050">
        <v>8.4670000000000005</v>
      </c>
      <c r="K1050">
        <v>23</v>
      </c>
      <c r="L1050">
        <v>0</v>
      </c>
      <c r="M1050">
        <v>0</v>
      </c>
      <c r="N1050">
        <v>0</v>
      </c>
      <c r="O1050">
        <v>0</v>
      </c>
      <c r="P1050">
        <v>0</v>
      </c>
      <c r="Q1050">
        <v>0</v>
      </c>
      <c r="R1050" s="2043">
        <v>0</v>
      </c>
      <c r="S1050">
        <v>0</v>
      </c>
      <c r="T1050">
        <v>0</v>
      </c>
      <c r="U1050">
        <v>0</v>
      </c>
      <c r="V1050">
        <v>0</v>
      </c>
      <c r="W1050">
        <v>0</v>
      </c>
      <c r="X1050">
        <v>0</v>
      </c>
      <c r="Y1050">
        <v>29936</v>
      </c>
      <c r="Z1050">
        <v>0</v>
      </c>
      <c r="AA1050">
        <v>0</v>
      </c>
      <c r="AB1050">
        <v>198.64400000000001</v>
      </c>
      <c r="AC1050" s="2043">
        <v>0</v>
      </c>
      <c r="AD1050">
        <v>0</v>
      </c>
      <c r="AE1050" s="2043">
        <v>0</v>
      </c>
      <c r="AF1050">
        <v>0</v>
      </c>
      <c r="AG1050">
        <v>0</v>
      </c>
      <c r="AH1050">
        <v>0</v>
      </c>
      <c r="AI1050">
        <v>0</v>
      </c>
      <c r="AJ1050">
        <v>37.325000000000003</v>
      </c>
      <c r="AK1050">
        <v>205</v>
      </c>
      <c r="AL1050">
        <v>0</v>
      </c>
      <c r="AM1050">
        <v>0</v>
      </c>
      <c r="AN1050">
        <v>1.875</v>
      </c>
      <c r="AO1050">
        <v>0</v>
      </c>
      <c r="AP1050">
        <v>0</v>
      </c>
      <c r="AQ1050">
        <v>0</v>
      </c>
      <c r="AR1050">
        <v>1.468</v>
      </c>
      <c r="AS1050">
        <v>0</v>
      </c>
      <c r="AT1050">
        <v>0.36799999999999999</v>
      </c>
      <c r="AU1050">
        <v>0.28000000000000003</v>
      </c>
      <c r="AV1050">
        <v>0</v>
      </c>
      <c r="AW1050">
        <v>2.1160000000000001</v>
      </c>
      <c r="AX1050">
        <v>0</v>
      </c>
      <c r="AY1050">
        <v>6.9080000000000004</v>
      </c>
      <c r="AZ1050">
        <v>0</v>
      </c>
      <c r="BA1050">
        <v>1847595</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16</v>
      </c>
      <c r="BW1050">
        <v>22</v>
      </c>
      <c r="BX1050">
        <v>31</v>
      </c>
      <c r="BY1050">
        <v>34</v>
      </c>
      <c r="BZ1050">
        <v>43</v>
      </c>
      <c r="CA1050">
        <v>146</v>
      </c>
      <c r="CB1050">
        <v>0</v>
      </c>
      <c r="CC1050">
        <v>0</v>
      </c>
      <c r="CD1050">
        <v>0</v>
      </c>
      <c r="CE1050">
        <v>3</v>
      </c>
      <c r="CF1050">
        <v>126.045</v>
      </c>
      <c r="CG1050">
        <v>0</v>
      </c>
      <c r="CH1050">
        <v>0</v>
      </c>
      <c r="CI1050">
        <v>0</v>
      </c>
      <c r="CJ1050">
        <v>0</v>
      </c>
      <c r="CK1050">
        <v>0</v>
      </c>
      <c r="CL1050">
        <v>0</v>
      </c>
      <c r="CM1050">
        <v>53.423999999999999</v>
      </c>
      <c r="CN1050">
        <v>0</v>
      </c>
      <c r="CO1050">
        <v>0</v>
      </c>
      <c r="CP1050">
        <v>0</v>
      </c>
      <c r="CQ1050">
        <v>0</v>
      </c>
      <c r="CR1050">
        <v>0</v>
      </c>
      <c r="CS1050">
        <v>0</v>
      </c>
      <c r="CT1050">
        <v>0</v>
      </c>
      <c r="CU1050">
        <v>0</v>
      </c>
      <c r="CV1050">
        <v>0</v>
      </c>
      <c r="CW1050">
        <v>0</v>
      </c>
      <c r="CX1050">
        <v>0</v>
      </c>
      <c r="CY1050" s="2043">
        <v>0</v>
      </c>
      <c r="CZ1050" s="2043">
        <v>0</v>
      </c>
      <c r="DA1050" s="2043">
        <v>0</v>
      </c>
      <c r="DB1050" s="2043">
        <v>0</v>
      </c>
      <c r="DC1050" s="2043">
        <v>0</v>
      </c>
      <c r="DI1050" t="s">
        <v>8078</v>
      </c>
      <c r="DJ1050" t="s">
        <v>8078</v>
      </c>
      <c r="DK1050" s="2042">
        <f t="shared" si="18"/>
        <v>0</v>
      </c>
    </row>
    <row r="1051" spans="1:115">
      <c r="A1051" t="s">
        <v>8081</v>
      </c>
      <c r="B1051" t="s">
        <v>11406</v>
      </c>
      <c r="C1051">
        <v>2751.4540000000002</v>
      </c>
      <c r="D1051">
        <v>3219.7510000000002</v>
      </c>
      <c r="E1051">
        <v>350.07600000000002</v>
      </c>
      <c r="F1051">
        <v>0</v>
      </c>
      <c r="G1051" s="2043">
        <v>0</v>
      </c>
      <c r="H1051">
        <v>0</v>
      </c>
      <c r="I1051" s="2043">
        <v>0</v>
      </c>
      <c r="J1051">
        <v>137.57300000000001</v>
      </c>
      <c r="K1051">
        <v>376</v>
      </c>
      <c r="L1051">
        <v>0</v>
      </c>
      <c r="M1051">
        <v>0</v>
      </c>
      <c r="N1051">
        <v>0</v>
      </c>
      <c r="O1051">
        <v>0</v>
      </c>
      <c r="P1051">
        <v>0</v>
      </c>
      <c r="Q1051">
        <v>0</v>
      </c>
      <c r="R1051" s="2043">
        <v>0</v>
      </c>
      <c r="S1051">
        <v>0</v>
      </c>
      <c r="T1051">
        <v>0</v>
      </c>
      <c r="U1051">
        <v>0</v>
      </c>
      <c r="V1051">
        <v>0</v>
      </c>
      <c r="W1051">
        <v>0</v>
      </c>
      <c r="X1051">
        <v>0</v>
      </c>
      <c r="Y1051">
        <v>486408</v>
      </c>
      <c r="Z1051">
        <v>0</v>
      </c>
      <c r="AA1051">
        <v>0</v>
      </c>
      <c r="AB1051">
        <v>3038.85</v>
      </c>
      <c r="AC1051" s="2043">
        <v>0</v>
      </c>
      <c r="AD1051">
        <v>0</v>
      </c>
      <c r="AE1051" s="2043">
        <v>0</v>
      </c>
      <c r="AF1051">
        <v>0</v>
      </c>
      <c r="AG1051">
        <v>0</v>
      </c>
      <c r="AH1051">
        <v>0</v>
      </c>
      <c r="AI1051">
        <v>0</v>
      </c>
      <c r="AJ1051">
        <v>426.08800000000002</v>
      </c>
      <c r="AK1051">
        <v>4012</v>
      </c>
      <c r="AL1051">
        <v>0</v>
      </c>
      <c r="AM1051">
        <v>0</v>
      </c>
      <c r="AN1051">
        <v>64.498000000000005</v>
      </c>
      <c r="AO1051">
        <v>0</v>
      </c>
      <c r="AP1051">
        <v>0</v>
      </c>
      <c r="AQ1051">
        <v>0</v>
      </c>
      <c r="AR1051">
        <v>23.656000000000002</v>
      </c>
      <c r="AS1051">
        <v>0</v>
      </c>
      <c r="AT1051">
        <v>4.165</v>
      </c>
      <c r="AU1051">
        <v>3.6070000000000002</v>
      </c>
      <c r="AV1051">
        <v>0</v>
      </c>
      <c r="AW1051">
        <v>32.08</v>
      </c>
      <c r="AX1051">
        <v>0.65200000000000002</v>
      </c>
      <c r="AY1051">
        <v>102.998</v>
      </c>
      <c r="AZ1051">
        <v>0</v>
      </c>
      <c r="BA1051">
        <v>28330475</v>
      </c>
      <c r="BB1051">
        <v>0</v>
      </c>
      <c r="BC1051">
        <v>0</v>
      </c>
      <c r="BD1051">
        <v>2650</v>
      </c>
      <c r="BE1051">
        <v>0</v>
      </c>
      <c r="BF1051">
        <v>2650</v>
      </c>
      <c r="BG1051">
        <v>2650</v>
      </c>
      <c r="BH1051">
        <v>0</v>
      </c>
      <c r="BI1051">
        <v>0</v>
      </c>
      <c r="BJ1051">
        <v>0</v>
      </c>
      <c r="BK1051">
        <v>0</v>
      </c>
      <c r="BL1051">
        <v>0</v>
      </c>
      <c r="BM1051">
        <v>0</v>
      </c>
      <c r="BN1051">
        <v>6417</v>
      </c>
      <c r="BO1051">
        <v>3938</v>
      </c>
      <c r="BP1051">
        <v>77879</v>
      </c>
      <c r="BQ1051">
        <v>0</v>
      </c>
      <c r="BR1051">
        <v>0</v>
      </c>
      <c r="BS1051">
        <v>0</v>
      </c>
      <c r="BT1051">
        <v>0</v>
      </c>
      <c r="BU1051">
        <v>0</v>
      </c>
      <c r="BV1051">
        <v>419</v>
      </c>
      <c r="BW1051">
        <v>405</v>
      </c>
      <c r="BX1051">
        <v>345</v>
      </c>
      <c r="BY1051">
        <v>260</v>
      </c>
      <c r="BZ1051">
        <v>295</v>
      </c>
      <c r="CA1051">
        <v>1724</v>
      </c>
      <c r="CB1051">
        <v>0</v>
      </c>
      <c r="CC1051">
        <v>0</v>
      </c>
      <c r="CD1051">
        <v>0</v>
      </c>
      <c r="CE1051">
        <v>106</v>
      </c>
      <c r="CF1051">
        <v>711.59199999999998</v>
      </c>
      <c r="CG1051">
        <v>0</v>
      </c>
      <c r="CH1051">
        <v>0</v>
      </c>
      <c r="CI1051">
        <v>1</v>
      </c>
      <c r="CJ1051">
        <v>0</v>
      </c>
      <c r="CK1051">
        <v>0</v>
      </c>
      <c r="CL1051">
        <v>0</v>
      </c>
      <c r="CM1051">
        <v>350.07600000000002</v>
      </c>
      <c r="CN1051">
        <v>0</v>
      </c>
      <c r="CO1051">
        <v>62757</v>
      </c>
      <c r="CP1051">
        <v>11622</v>
      </c>
      <c r="CQ1051">
        <v>3500</v>
      </c>
      <c r="CR1051">
        <v>0</v>
      </c>
      <c r="CS1051">
        <v>0</v>
      </c>
      <c r="CT1051">
        <v>0</v>
      </c>
      <c r="CU1051">
        <v>0</v>
      </c>
      <c r="CV1051">
        <v>118.88</v>
      </c>
      <c r="CW1051">
        <v>52.099000000000004</v>
      </c>
      <c r="CX1051">
        <v>0</v>
      </c>
      <c r="CY1051" s="2043">
        <v>0</v>
      </c>
      <c r="CZ1051" s="2043">
        <v>0</v>
      </c>
      <c r="DA1051" s="2043">
        <v>0</v>
      </c>
      <c r="DB1051" s="2043">
        <v>0</v>
      </c>
      <c r="DC1051" s="2043">
        <v>0</v>
      </c>
      <c r="DI1051" t="s">
        <v>8079</v>
      </c>
      <c r="DJ1051" t="s">
        <v>8081</v>
      </c>
      <c r="DK1051" s="2042">
        <f t="shared" si="18"/>
        <v>-3</v>
      </c>
    </row>
    <row r="1052" spans="1:115">
      <c r="A1052" t="s">
        <v>8079</v>
      </c>
      <c r="B1052" t="s">
        <v>11407</v>
      </c>
      <c r="C1052">
        <v>282.43</v>
      </c>
      <c r="D1052">
        <v>298.71600000000001</v>
      </c>
      <c r="E1052">
        <v>30.836000000000002</v>
      </c>
      <c r="F1052">
        <v>0</v>
      </c>
      <c r="G1052" s="2043">
        <v>0</v>
      </c>
      <c r="H1052">
        <v>0</v>
      </c>
      <c r="I1052" s="2043">
        <v>0</v>
      </c>
      <c r="J1052">
        <v>14.122</v>
      </c>
      <c r="K1052">
        <v>39</v>
      </c>
      <c r="L1052">
        <v>0</v>
      </c>
      <c r="M1052">
        <v>0</v>
      </c>
      <c r="N1052">
        <v>0</v>
      </c>
      <c r="O1052">
        <v>0</v>
      </c>
      <c r="P1052">
        <v>0</v>
      </c>
      <c r="Q1052">
        <v>0</v>
      </c>
      <c r="R1052" s="2043">
        <v>0</v>
      </c>
      <c r="S1052">
        <v>0</v>
      </c>
      <c r="T1052">
        <v>0</v>
      </c>
      <c r="U1052">
        <v>0</v>
      </c>
      <c r="V1052">
        <v>0</v>
      </c>
      <c r="W1052">
        <v>0</v>
      </c>
      <c r="X1052">
        <v>0</v>
      </c>
      <c r="Y1052">
        <v>49929</v>
      </c>
      <c r="Z1052">
        <v>0</v>
      </c>
      <c r="AA1052">
        <v>0</v>
      </c>
      <c r="AB1052">
        <v>294.78000000000003</v>
      </c>
      <c r="AC1052" s="2043">
        <v>0</v>
      </c>
      <c r="AD1052">
        <v>0</v>
      </c>
      <c r="AE1052" s="2043">
        <v>0</v>
      </c>
      <c r="AF1052">
        <v>0</v>
      </c>
      <c r="AG1052">
        <v>0</v>
      </c>
      <c r="AH1052">
        <v>0</v>
      </c>
      <c r="AI1052">
        <v>0</v>
      </c>
      <c r="AJ1052">
        <v>16.899999999999999</v>
      </c>
      <c r="AK1052">
        <v>487</v>
      </c>
      <c r="AL1052">
        <v>6.0000000000000001E-3</v>
      </c>
      <c r="AM1052">
        <v>0</v>
      </c>
      <c r="AN1052">
        <v>0</v>
      </c>
      <c r="AO1052">
        <v>0</v>
      </c>
      <c r="AP1052">
        <v>0</v>
      </c>
      <c r="AQ1052">
        <v>0</v>
      </c>
      <c r="AR1052">
        <v>6.4039999999999999</v>
      </c>
      <c r="AS1052">
        <v>0</v>
      </c>
      <c r="AT1052">
        <v>0</v>
      </c>
      <c r="AU1052">
        <v>0.45600000000000002</v>
      </c>
      <c r="AV1052">
        <v>0</v>
      </c>
      <c r="AW1052">
        <v>6.8660000000000005</v>
      </c>
      <c r="AX1052">
        <v>0</v>
      </c>
      <c r="AY1052">
        <v>21.522000000000002</v>
      </c>
      <c r="AZ1052">
        <v>0</v>
      </c>
      <c r="BA1052">
        <v>2653269</v>
      </c>
      <c r="BB1052">
        <v>0</v>
      </c>
      <c r="BC1052">
        <v>0</v>
      </c>
      <c r="BD1052">
        <v>0</v>
      </c>
      <c r="BE1052">
        <v>0</v>
      </c>
      <c r="BF1052">
        <v>0</v>
      </c>
      <c r="BG1052">
        <v>0</v>
      </c>
      <c r="BH1052">
        <v>0</v>
      </c>
      <c r="BI1052">
        <v>0</v>
      </c>
      <c r="BJ1052">
        <v>0</v>
      </c>
      <c r="BK1052">
        <v>0</v>
      </c>
      <c r="BL1052">
        <v>0</v>
      </c>
      <c r="BM1052">
        <v>0</v>
      </c>
      <c r="BN1052">
        <v>0</v>
      </c>
      <c r="BO1052">
        <v>0</v>
      </c>
      <c r="BP1052">
        <v>0</v>
      </c>
      <c r="BQ1052">
        <v>0</v>
      </c>
      <c r="BR1052">
        <v>0</v>
      </c>
      <c r="BS1052">
        <v>0</v>
      </c>
      <c r="BT1052">
        <v>0</v>
      </c>
      <c r="BU1052">
        <v>0</v>
      </c>
      <c r="BV1052">
        <v>18</v>
      </c>
      <c r="BW1052">
        <v>15</v>
      </c>
      <c r="BX1052">
        <v>19</v>
      </c>
      <c r="BY1052">
        <v>11</v>
      </c>
      <c r="BZ1052">
        <v>6</v>
      </c>
      <c r="CA1052">
        <v>69</v>
      </c>
      <c r="CB1052">
        <v>0</v>
      </c>
      <c r="CC1052">
        <v>0</v>
      </c>
      <c r="CD1052">
        <v>0</v>
      </c>
      <c r="CE1052">
        <v>19</v>
      </c>
      <c r="CF1052">
        <v>64.828000000000003</v>
      </c>
      <c r="CG1052">
        <v>0</v>
      </c>
      <c r="CH1052">
        <v>0</v>
      </c>
      <c r="CI1052">
        <v>0</v>
      </c>
      <c r="CJ1052">
        <v>0</v>
      </c>
      <c r="CK1052">
        <v>0</v>
      </c>
      <c r="CL1052">
        <v>0</v>
      </c>
      <c r="CM1052">
        <v>30.836000000000002</v>
      </c>
      <c r="CN1052">
        <v>0</v>
      </c>
      <c r="CO1052">
        <v>0</v>
      </c>
      <c r="CP1052">
        <v>0</v>
      </c>
      <c r="CQ1052">
        <v>0</v>
      </c>
      <c r="CR1052">
        <v>0</v>
      </c>
      <c r="CS1052">
        <v>0</v>
      </c>
      <c r="CT1052">
        <v>0</v>
      </c>
      <c r="CU1052">
        <v>0</v>
      </c>
      <c r="CV1052">
        <v>0</v>
      </c>
      <c r="CW1052">
        <v>0</v>
      </c>
      <c r="CX1052">
        <v>0</v>
      </c>
      <c r="CY1052" s="2043">
        <v>0</v>
      </c>
      <c r="CZ1052" s="2043">
        <v>0</v>
      </c>
      <c r="DA1052" s="2043">
        <v>0</v>
      </c>
      <c r="DB1052" s="2043">
        <v>0</v>
      </c>
      <c r="DC1052" s="2043">
        <v>0</v>
      </c>
      <c r="DI1052" t="s">
        <v>8080</v>
      </c>
      <c r="DJ1052" t="s">
        <v>8079</v>
      </c>
      <c r="DK1052" s="2042">
        <f t="shared" si="18"/>
        <v>1</v>
      </c>
    </row>
    <row r="1053" spans="1:115">
      <c r="A1053" t="s">
        <v>8080</v>
      </c>
      <c r="B1053" t="s">
        <v>11408</v>
      </c>
      <c r="C1053">
        <v>618.36300000000006</v>
      </c>
      <c r="D1053">
        <v>697</v>
      </c>
      <c r="E1053">
        <v>77.109000000000009</v>
      </c>
      <c r="F1053">
        <v>0</v>
      </c>
      <c r="G1053" s="2043">
        <v>0</v>
      </c>
      <c r="H1053">
        <v>0</v>
      </c>
      <c r="I1053" s="2043">
        <v>0</v>
      </c>
      <c r="J1053">
        <v>30.918000000000003</v>
      </c>
      <c r="K1053">
        <v>85</v>
      </c>
      <c r="L1053">
        <v>0</v>
      </c>
      <c r="M1053">
        <v>0</v>
      </c>
      <c r="N1053">
        <v>0</v>
      </c>
      <c r="O1053">
        <v>0</v>
      </c>
      <c r="P1053">
        <v>0</v>
      </c>
      <c r="Q1053">
        <v>0</v>
      </c>
      <c r="R1053" s="2043">
        <v>0</v>
      </c>
      <c r="S1053">
        <v>0</v>
      </c>
      <c r="T1053">
        <v>0</v>
      </c>
      <c r="U1053">
        <v>0</v>
      </c>
      <c r="V1053">
        <v>0</v>
      </c>
      <c r="W1053">
        <v>0</v>
      </c>
      <c r="X1053">
        <v>0</v>
      </c>
      <c r="Y1053">
        <v>109316</v>
      </c>
      <c r="Z1053">
        <v>0</v>
      </c>
      <c r="AA1053">
        <v>0</v>
      </c>
      <c r="AB1053">
        <v>692.36800000000005</v>
      </c>
      <c r="AC1053" s="2043">
        <v>0</v>
      </c>
      <c r="AD1053">
        <v>0</v>
      </c>
      <c r="AE1053" s="2043">
        <v>0</v>
      </c>
      <c r="AF1053">
        <v>0</v>
      </c>
      <c r="AG1053">
        <v>0</v>
      </c>
      <c r="AH1053">
        <v>0</v>
      </c>
      <c r="AI1053">
        <v>0</v>
      </c>
      <c r="AJ1053">
        <v>111.41300000000001</v>
      </c>
      <c r="AK1053">
        <v>1262</v>
      </c>
      <c r="AL1053">
        <v>0</v>
      </c>
      <c r="AM1053">
        <v>0</v>
      </c>
      <c r="AN1053">
        <v>3.6440000000000001</v>
      </c>
      <c r="AO1053">
        <v>0</v>
      </c>
      <c r="AP1053">
        <v>0</v>
      </c>
      <c r="AQ1053">
        <v>0</v>
      </c>
      <c r="AR1053">
        <v>14.619000000000002</v>
      </c>
      <c r="AS1053">
        <v>0</v>
      </c>
      <c r="AT1053">
        <v>0</v>
      </c>
      <c r="AU1053">
        <v>1.5390000000000001</v>
      </c>
      <c r="AV1053">
        <v>0</v>
      </c>
      <c r="AW1053">
        <v>16.158000000000001</v>
      </c>
      <c r="AX1053">
        <v>0</v>
      </c>
      <c r="AY1053">
        <v>51.552</v>
      </c>
      <c r="AZ1053">
        <v>0</v>
      </c>
      <c r="BA1053">
        <v>6409949</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0</v>
      </c>
      <c r="BV1053">
        <v>64</v>
      </c>
      <c r="BW1053">
        <v>130</v>
      </c>
      <c r="BX1053">
        <v>99</v>
      </c>
      <c r="BY1053">
        <v>77</v>
      </c>
      <c r="BZ1053">
        <v>77</v>
      </c>
      <c r="CA1053">
        <v>447</v>
      </c>
      <c r="CB1053">
        <v>0</v>
      </c>
      <c r="CC1053">
        <v>0</v>
      </c>
      <c r="CD1053">
        <v>0</v>
      </c>
      <c r="CE1053">
        <v>24</v>
      </c>
      <c r="CF1053">
        <v>201.10900000000001</v>
      </c>
      <c r="CG1053">
        <v>0</v>
      </c>
      <c r="CH1053">
        <v>0</v>
      </c>
      <c r="CI1053">
        <v>0</v>
      </c>
      <c r="CJ1053">
        <v>0</v>
      </c>
      <c r="CK1053">
        <v>0</v>
      </c>
      <c r="CL1053">
        <v>0</v>
      </c>
      <c r="CM1053">
        <v>77.109000000000009</v>
      </c>
      <c r="CN1053">
        <v>0</v>
      </c>
      <c r="CO1053">
        <v>0</v>
      </c>
      <c r="CP1053">
        <v>0</v>
      </c>
      <c r="CQ1053">
        <v>0</v>
      </c>
      <c r="CR1053">
        <v>0</v>
      </c>
      <c r="CS1053">
        <v>0</v>
      </c>
      <c r="CT1053">
        <v>0</v>
      </c>
      <c r="CU1053">
        <v>0</v>
      </c>
      <c r="CV1053">
        <v>0</v>
      </c>
      <c r="CW1053">
        <v>0</v>
      </c>
      <c r="CX1053">
        <v>0</v>
      </c>
      <c r="CY1053" s="2043">
        <v>0</v>
      </c>
      <c r="CZ1053" s="2043">
        <v>0</v>
      </c>
      <c r="DA1053" s="2043">
        <v>0</v>
      </c>
      <c r="DB1053" s="2043">
        <v>0</v>
      </c>
      <c r="DC1053" s="2043">
        <v>0</v>
      </c>
      <c r="DI1053" t="s">
        <v>8081</v>
      </c>
      <c r="DJ1053" t="s">
        <v>8080</v>
      </c>
      <c r="DK1053" s="2042">
        <f t="shared" si="18"/>
        <v>2</v>
      </c>
    </row>
    <row r="1054" spans="1:115">
      <c r="A1054" t="s">
        <v>8082</v>
      </c>
      <c r="B1054" t="s">
        <v>11409</v>
      </c>
      <c r="C1054">
        <v>1351.4870000000001</v>
      </c>
      <c r="D1054">
        <v>1497.6190000000001</v>
      </c>
      <c r="E1054">
        <v>96.061999999999998</v>
      </c>
      <c r="F1054">
        <v>0</v>
      </c>
      <c r="G1054" s="2043">
        <v>0</v>
      </c>
      <c r="H1054">
        <v>0</v>
      </c>
      <c r="I1054" s="2043">
        <v>0</v>
      </c>
      <c r="J1054">
        <v>67.573999999999998</v>
      </c>
      <c r="K1054">
        <v>185</v>
      </c>
      <c r="L1054">
        <v>0</v>
      </c>
      <c r="M1054">
        <v>0</v>
      </c>
      <c r="N1054">
        <v>0</v>
      </c>
      <c r="O1054">
        <v>0</v>
      </c>
      <c r="P1054">
        <v>0</v>
      </c>
      <c r="Q1054">
        <v>0</v>
      </c>
      <c r="R1054" s="2043">
        <v>0</v>
      </c>
      <c r="S1054">
        <v>0</v>
      </c>
      <c r="T1054">
        <v>0</v>
      </c>
      <c r="U1054">
        <v>0</v>
      </c>
      <c r="V1054">
        <v>0</v>
      </c>
      <c r="W1054">
        <v>0</v>
      </c>
      <c r="X1054">
        <v>0</v>
      </c>
      <c r="Y1054">
        <v>238919</v>
      </c>
      <c r="Z1054">
        <v>0</v>
      </c>
      <c r="AA1054">
        <v>0</v>
      </c>
      <c r="AB1054">
        <v>1497.6190000000001</v>
      </c>
      <c r="AC1054" s="2043">
        <v>0</v>
      </c>
      <c r="AD1054">
        <v>0</v>
      </c>
      <c r="AE1054" s="2043">
        <v>0</v>
      </c>
      <c r="AF1054">
        <v>0</v>
      </c>
      <c r="AG1054">
        <v>0</v>
      </c>
      <c r="AH1054">
        <v>0</v>
      </c>
      <c r="AI1054">
        <v>0</v>
      </c>
      <c r="AJ1054">
        <v>309.10000000000002</v>
      </c>
      <c r="AK1054">
        <v>3635</v>
      </c>
      <c r="AL1054">
        <v>0</v>
      </c>
      <c r="AM1054">
        <v>0</v>
      </c>
      <c r="AN1054">
        <v>61.064</v>
      </c>
      <c r="AO1054">
        <v>0</v>
      </c>
      <c r="AP1054">
        <v>0</v>
      </c>
      <c r="AQ1054">
        <v>0</v>
      </c>
      <c r="AR1054">
        <v>23.44</v>
      </c>
      <c r="AS1054">
        <v>0</v>
      </c>
      <c r="AT1054">
        <v>1.304</v>
      </c>
      <c r="AU1054">
        <v>3.206</v>
      </c>
      <c r="AV1054">
        <v>0</v>
      </c>
      <c r="AW1054">
        <v>27.95</v>
      </c>
      <c r="AX1054">
        <v>0</v>
      </c>
      <c r="AY1054">
        <v>90.262</v>
      </c>
      <c r="AZ1054">
        <v>0</v>
      </c>
      <c r="BA1054">
        <v>14728704</v>
      </c>
      <c r="BB1054">
        <v>0</v>
      </c>
      <c r="BC1054">
        <v>0</v>
      </c>
      <c r="BD1054">
        <v>0</v>
      </c>
      <c r="BE1054">
        <v>0</v>
      </c>
      <c r="BF1054">
        <v>0</v>
      </c>
      <c r="BG1054">
        <v>0</v>
      </c>
      <c r="BH1054">
        <v>0</v>
      </c>
      <c r="BI1054">
        <v>0</v>
      </c>
      <c r="BJ1054">
        <v>0</v>
      </c>
      <c r="BK1054">
        <v>0</v>
      </c>
      <c r="BL1054">
        <v>0</v>
      </c>
      <c r="BM1054">
        <v>0</v>
      </c>
      <c r="BN1054">
        <v>3006</v>
      </c>
      <c r="BO1054">
        <v>0</v>
      </c>
      <c r="BP1054">
        <v>0</v>
      </c>
      <c r="BQ1054">
        <v>0</v>
      </c>
      <c r="BR1054">
        <v>0</v>
      </c>
      <c r="BS1054">
        <v>0</v>
      </c>
      <c r="BT1054">
        <v>0</v>
      </c>
      <c r="BU1054">
        <v>0</v>
      </c>
      <c r="BV1054">
        <v>409</v>
      </c>
      <c r="BW1054">
        <v>314</v>
      </c>
      <c r="BX1054">
        <v>244</v>
      </c>
      <c r="BY1054">
        <v>146</v>
      </c>
      <c r="BZ1054">
        <v>157</v>
      </c>
      <c r="CA1054">
        <v>1270</v>
      </c>
      <c r="CB1054">
        <v>0</v>
      </c>
      <c r="CC1054">
        <v>0</v>
      </c>
      <c r="CD1054">
        <v>0</v>
      </c>
      <c r="CE1054">
        <v>133</v>
      </c>
      <c r="CF1054">
        <v>193.327</v>
      </c>
      <c r="CG1054">
        <v>0</v>
      </c>
      <c r="CH1054">
        <v>0</v>
      </c>
      <c r="CI1054">
        <v>0</v>
      </c>
      <c r="CJ1054">
        <v>0</v>
      </c>
      <c r="CK1054">
        <v>0</v>
      </c>
      <c r="CL1054">
        <v>0</v>
      </c>
      <c r="CM1054">
        <v>96.061999999999998</v>
      </c>
      <c r="CN1054">
        <v>0</v>
      </c>
      <c r="CO1054">
        <v>0</v>
      </c>
      <c r="CP1054">
        <v>0</v>
      </c>
      <c r="CQ1054">
        <v>0</v>
      </c>
      <c r="CR1054">
        <v>0</v>
      </c>
      <c r="CS1054">
        <v>0</v>
      </c>
      <c r="CT1054">
        <v>0</v>
      </c>
      <c r="CU1054">
        <v>0</v>
      </c>
      <c r="CV1054">
        <v>17.62</v>
      </c>
      <c r="CW1054">
        <v>15.622</v>
      </c>
      <c r="CX1054">
        <v>0</v>
      </c>
      <c r="CY1054" s="2043">
        <v>0</v>
      </c>
      <c r="CZ1054" s="2043">
        <v>0</v>
      </c>
      <c r="DA1054" s="2043">
        <v>0</v>
      </c>
      <c r="DB1054" s="2043">
        <v>0</v>
      </c>
      <c r="DC1054" s="2043">
        <v>0</v>
      </c>
      <c r="DI1054" t="s">
        <v>8082</v>
      </c>
      <c r="DJ1054" t="s">
        <v>8082</v>
      </c>
      <c r="DK1054" s="2042">
        <f t="shared" si="18"/>
        <v>0</v>
      </c>
    </row>
    <row r="1055" spans="1:115">
      <c r="A1055" t="s">
        <v>3206</v>
      </c>
      <c r="B1055" t="s">
        <v>2174</v>
      </c>
      <c r="C1055">
        <v>50317.048000000003</v>
      </c>
      <c r="D1055">
        <v>53428.934999999998</v>
      </c>
      <c r="E1055">
        <v>14795.929</v>
      </c>
      <c r="F1055">
        <v>0</v>
      </c>
      <c r="G1055" s="2043">
        <v>33624787450</v>
      </c>
      <c r="H1055">
        <v>0</v>
      </c>
      <c r="I1055" s="2043">
        <v>100839340</v>
      </c>
      <c r="J1055">
        <v>2515.8520000000003</v>
      </c>
      <c r="K1055">
        <v>6878</v>
      </c>
      <c r="L1055">
        <v>0</v>
      </c>
      <c r="M1055">
        <v>0</v>
      </c>
      <c r="N1055">
        <v>0</v>
      </c>
      <c r="O1055">
        <v>0</v>
      </c>
      <c r="P1055">
        <v>0</v>
      </c>
      <c r="Q1055">
        <v>0</v>
      </c>
      <c r="R1055" s="2043">
        <v>294053590</v>
      </c>
      <c r="S1055">
        <v>26428814</v>
      </c>
      <c r="T1055">
        <v>29732416</v>
      </c>
      <c r="U1055">
        <v>0.08</v>
      </c>
      <c r="V1055">
        <v>329.35</v>
      </c>
      <c r="W1055">
        <v>0</v>
      </c>
      <c r="X1055">
        <v>0</v>
      </c>
      <c r="Y1055">
        <v>-8805</v>
      </c>
      <c r="Z1055">
        <v>58.088000000000001</v>
      </c>
      <c r="AA1055">
        <v>5.9130000000000003</v>
      </c>
      <c r="AB1055">
        <v>51548.093000000001</v>
      </c>
      <c r="AC1055" s="2043">
        <v>29746640992</v>
      </c>
      <c r="AD1055">
        <v>99351575</v>
      </c>
      <c r="AE1055" s="2043">
        <v>350214820</v>
      </c>
      <c r="AF1055">
        <v>1.0601</v>
      </c>
      <c r="AG1055">
        <v>0</v>
      </c>
      <c r="AH1055">
        <v>0</v>
      </c>
      <c r="AI1055">
        <v>0</v>
      </c>
      <c r="AJ1055">
        <v>10376.700000000001</v>
      </c>
      <c r="AK1055">
        <v>138976</v>
      </c>
      <c r="AL1055">
        <v>0.96300000000000008</v>
      </c>
      <c r="AM1055">
        <v>0</v>
      </c>
      <c r="AN1055">
        <v>1406.2520000000002</v>
      </c>
      <c r="AO1055">
        <v>0</v>
      </c>
      <c r="AP1055">
        <v>0</v>
      </c>
      <c r="AQ1055">
        <v>5.4279999999999999</v>
      </c>
      <c r="AR1055">
        <v>835.74800000000005</v>
      </c>
      <c r="AS1055">
        <v>0</v>
      </c>
      <c r="AT1055">
        <v>477.39</v>
      </c>
      <c r="AU1055">
        <v>106.989</v>
      </c>
      <c r="AV1055">
        <v>0</v>
      </c>
      <c r="AW1055">
        <v>1434.5240000000001</v>
      </c>
      <c r="AX1055">
        <v>8.0060000000000002</v>
      </c>
      <c r="AY1055">
        <v>4497.5880000000006</v>
      </c>
      <c r="AZ1055">
        <v>0</v>
      </c>
      <c r="BA1055">
        <v>169296372</v>
      </c>
      <c r="BB1055">
        <v>449566395</v>
      </c>
      <c r="BC1055">
        <v>0</v>
      </c>
      <c r="BD1055">
        <v>1207681</v>
      </c>
      <c r="BE1055">
        <v>1246299</v>
      </c>
      <c r="BF1055">
        <v>3578192</v>
      </c>
      <c r="BG1055">
        <v>1207681</v>
      </c>
      <c r="BH1055">
        <v>1124212</v>
      </c>
      <c r="BI1055">
        <v>-8805</v>
      </c>
      <c r="BJ1055">
        <v>0</v>
      </c>
      <c r="BK1055">
        <v>0</v>
      </c>
      <c r="BL1055">
        <v>33624787450</v>
      </c>
      <c r="BM1055">
        <v>0</v>
      </c>
      <c r="BN1055">
        <v>206595</v>
      </c>
      <c r="BO1055">
        <v>73274</v>
      </c>
      <c r="BP1055">
        <v>29471</v>
      </c>
      <c r="BQ1055">
        <v>0</v>
      </c>
      <c r="BR1055">
        <v>0.8901</v>
      </c>
      <c r="BS1055">
        <v>0.8901</v>
      </c>
      <c r="BT1055">
        <v>0</v>
      </c>
      <c r="BU1055">
        <v>0</v>
      </c>
      <c r="BV1055">
        <v>5579</v>
      </c>
      <c r="BW1055">
        <v>8557</v>
      </c>
      <c r="BX1055">
        <v>7394</v>
      </c>
      <c r="BY1055">
        <v>8143</v>
      </c>
      <c r="BZ1055">
        <v>11284</v>
      </c>
      <c r="CA1055">
        <v>40957</v>
      </c>
      <c r="CB1055">
        <v>0</v>
      </c>
      <c r="CC1055">
        <v>238.46300000000002</v>
      </c>
      <c r="CD1055">
        <v>0</v>
      </c>
      <c r="CE1055">
        <v>1961</v>
      </c>
      <c r="CF1055">
        <v>15422.273000000001</v>
      </c>
      <c r="CG1055">
        <v>388.54700000000003</v>
      </c>
      <c r="CH1055">
        <v>4.6989999999999998</v>
      </c>
      <c r="CI1055">
        <v>283</v>
      </c>
      <c r="CJ1055">
        <v>329</v>
      </c>
      <c r="CK1055">
        <v>7</v>
      </c>
      <c r="CL1055">
        <v>393.24600000000004</v>
      </c>
      <c r="CM1055">
        <v>14795.929</v>
      </c>
      <c r="CN1055">
        <v>0</v>
      </c>
      <c r="CO1055">
        <v>0</v>
      </c>
      <c r="CP1055">
        <v>29471</v>
      </c>
      <c r="CQ1055">
        <v>0</v>
      </c>
      <c r="CR1055">
        <v>0</v>
      </c>
      <c r="CS1055">
        <v>78.055999999999997</v>
      </c>
      <c r="CT1055">
        <v>0</v>
      </c>
      <c r="CU1055">
        <v>69.853000000000009</v>
      </c>
      <c r="CV1055">
        <v>2479.152</v>
      </c>
      <c r="CW1055">
        <v>1064.4690000000001</v>
      </c>
      <c r="CX1055">
        <v>0</v>
      </c>
      <c r="CY1055" s="2043">
        <v>0</v>
      </c>
      <c r="CZ1055" s="2043">
        <v>0</v>
      </c>
      <c r="DA1055" s="2043">
        <v>0</v>
      </c>
      <c r="DB1055" s="2043">
        <v>0</v>
      </c>
      <c r="DC1055" s="2043">
        <v>0</v>
      </c>
      <c r="DI1055" t="s">
        <v>3206</v>
      </c>
      <c r="DJ1055" t="s">
        <v>3206</v>
      </c>
      <c r="DK1055" s="2042">
        <f t="shared" si="18"/>
        <v>0</v>
      </c>
    </row>
    <row r="1056" spans="1:115">
      <c r="A1056" t="s">
        <v>3207</v>
      </c>
      <c r="B1056" t="s">
        <v>826</v>
      </c>
      <c r="C1056">
        <v>20789.47</v>
      </c>
      <c r="D1056">
        <v>21913.066999999999</v>
      </c>
      <c r="E1056">
        <v>3272.1990000000001</v>
      </c>
      <c r="F1056">
        <v>0</v>
      </c>
      <c r="G1056" s="2043">
        <v>12220432396</v>
      </c>
      <c r="H1056">
        <v>0</v>
      </c>
      <c r="I1056" s="2043">
        <v>47819657</v>
      </c>
      <c r="J1056">
        <v>1039.4740000000002</v>
      </c>
      <c r="K1056">
        <v>2842</v>
      </c>
      <c r="L1056">
        <v>0</v>
      </c>
      <c r="M1056">
        <v>3274941</v>
      </c>
      <c r="N1056">
        <v>0</v>
      </c>
      <c r="O1056">
        <v>3274941</v>
      </c>
      <c r="P1056">
        <v>0</v>
      </c>
      <c r="Q1056">
        <v>0</v>
      </c>
      <c r="R1056" s="2043">
        <v>105408404</v>
      </c>
      <c r="S1056">
        <v>6029539</v>
      </c>
      <c r="T1056">
        <v>0</v>
      </c>
      <c r="U1056">
        <v>0.05</v>
      </c>
      <c r="V1056">
        <v>2658.0750000000003</v>
      </c>
      <c r="W1056">
        <v>0</v>
      </c>
      <c r="X1056">
        <v>0</v>
      </c>
      <c r="Y1056">
        <v>-12829</v>
      </c>
      <c r="Z1056">
        <v>0</v>
      </c>
      <c r="AA1056">
        <v>1.6180000000000001</v>
      </c>
      <c r="AB1056">
        <v>21347.128000000001</v>
      </c>
      <c r="AC1056" s="2043">
        <v>10645294025</v>
      </c>
      <c r="AD1056">
        <v>49884586</v>
      </c>
      <c r="AE1056" s="2043">
        <v>111437943</v>
      </c>
      <c r="AF1056">
        <v>0.92410000000000003</v>
      </c>
      <c r="AG1056">
        <v>0</v>
      </c>
      <c r="AH1056">
        <v>0</v>
      </c>
      <c r="AI1056">
        <v>0</v>
      </c>
      <c r="AJ1056">
        <v>3316.7630000000004</v>
      </c>
      <c r="AK1056">
        <v>68408</v>
      </c>
      <c r="AL1056">
        <v>0.93900000000000006</v>
      </c>
      <c r="AM1056">
        <v>0</v>
      </c>
      <c r="AN1056">
        <v>453.22400000000005</v>
      </c>
      <c r="AO1056">
        <v>0.47300000000000003</v>
      </c>
      <c r="AP1056">
        <v>0</v>
      </c>
      <c r="AQ1056">
        <v>0.33700000000000002</v>
      </c>
      <c r="AR1056">
        <v>431.63100000000003</v>
      </c>
      <c r="AS1056">
        <v>0</v>
      </c>
      <c r="AT1056">
        <v>295.60200000000003</v>
      </c>
      <c r="AU1056">
        <v>53.221000000000004</v>
      </c>
      <c r="AV1056">
        <v>0</v>
      </c>
      <c r="AW1056">
        <v>801.16500000000008</v>
      </c>
      <c r="AX1056">
        <v>19.435000000000002</v>
      </c>
      <c r="AY1056">
        <v>2497.2000000000003</v>
      </c>
      <c r="AZ1056">
        <v>0</v>
      </c>
      <c r="BA1056">
        <v>80581615</v>
      </c>
      <c r="BB1056">
        <v>161322529</v>
      </c>
      <c r="BC1056">
        <v>0</v>
      </c>
      <c r="BD1056">
        <v>334989</v>
      </c>
      <c r="BE1056">
        <v>401476</v>
      </c>
      <c r="BF1056">
        <v>1449456</v>
      </c>
      <c r="BG1056">
        <v>334989</v>
      </c>
      <c r="BH1056">
        <v>712991</v>
      </c>
      <c r="BI1056">
        <v>-5342</v>
      </c>
      <c r="BJ1056">
        <v>-7487</v>
      </c>
      <c r="BK1056">
        <v>0</v>
      </c>
      <c r="BL1056">
        <v>12220432396</v>
      </c>
      <c r="BM1056">
        <v>0</v>
      </c>
      <c r="BN1056">
        <v>83502</v>
      </c>
      <c r="BO1056">
        <v>32870</v>
      </c>
      <c r="BP1056">
        <v>25827</v>
      </c>
      <c r="BQ1056">
        <v>0</v>
      </c>
      <c r="BR1056">
        <v>0.87409999999999999</v>
      </c>
      <c r="BS1056">
        <v>0.87409999999999999</v>
      </c>
      <c r="BT1056">
        <v>0</v>
      </c>
      <c r="BU1056">
        <v>0</v>
      </c>
      <c r="BV1056">
        <v>2301</v>
      </c>
      <c r="BW1056">
        <v>2860</v>
      </c>
      <c r="BX1056">
        <v>3822</v>
      </c>
      <c r="BY1056">
        <v>3525</v>
      </c>
      <c r="BZ1056">
        <v>869</v>
      </c>
      <c r="CA1056">
        <v>13377</v>
      </c>
      <c r="CB1056">
        <v>0</v>
      </c>
      <c r="CC1056">
        <v>1572.5840000000001</v>
      </c>
      <c r="CD1056">
        <v>1.006</v>
      </c>
      <c r="CE1056">
        <v>1784</v>
      </c>
      <c r="CF1056">
        <v>5391.0709999999999</v>
      </c>
      <c r="CG1056">
        <v>106.81800000000001</v>
      </c>
      <c r="CH1056">
        <v>0</v>
      </c>
      <c r="CI1056">
        <v>108</v>
      </c>
      <c r="CJ1056">
        <v>229</v>
      </c>
      <c r="CK1056">
        <v>1</v>
      </c>
      <c r="CL1056">
        <v>106.81800000000001</v>
      </c>
      <c r="CM1056">
        <v>3272.1990000000001</v>
      </c>
      <c r="CN1056">
        <v>21905</v>
      </c>
      <c r="CO1056">
        <v>0</v>
      </c>
      <c r="CP1056">
        <v>3922</v>
      </c>
      <c r="CQ1056">
        <v>0</v>
      </c>
      <c r="CR1056">
        <v>0</v>
      </c>
      <c r="CS1056">
        <v>0</v>
      </c>
      <c r="CT1056">
        <v>0</v>
      </c>
      <c r="CU1056">
        <v>92.529000000000011</v>
      </c>
      <c r="CV1056">
        <v>809.06299999999999</v>
      </c>
      <c r="CW1056">
        <v>645.49</v>
      </c>
      <c r="CX1056">
        <v>0</v>
      </c>
      <c r="CY1056" s="2043">
        <v>0</v>
      </c>
      <c r="CZ1056" s="2043">
        <v>0</v>
      </c>
      <c r="DA1056" s="2043">
        <v>0</v>
      </c>
      <c r="DB1056" s="2043">
        <v>0</v>
      </c>
      <c r="DC1056" s="2043">
        <v>0</v>
      </c>
      <c r="DI1056" t="s">
        <v>3207</v>
      </c>
      <c r="DJ1056" t="s">
        <v>3207</v>
      </c>
      <c r="DK1056" s="2042">
        <f t="shared" si="18"/>
        <v>0</v>
      </c>
    </row>
    <row r="1057" spans="1:115">
      <c r="A1057" t="s">
        <v>3208</v>
      </c>
      <c r="B1057" t="s">
        <v>1745</v>
      </c>
      <c r="C1057">
        <v>4989.8590000000004</v>
      </c>
      <c r="D1057">
        <v>5567.8180000000002</v>
      </c>
      <c r="E1057">
        <v>1134.913</v>
      </c>
      <c r="F1057">
        <v>0</v>
      </c>
      <c r="G1057" s="2043">
        <v>1800110437</v>
      </c>
      <c r="H1057">
        <v>0</v>
      </c>
      <c r="I1057" s="2043">
        <v>7539472</v>
      </c>
      <c r="J1057">
        <v>239</v>
      </c>
      <c r="K1057">
        <v>653</v>
      </c>
      <c r="L1057">
        <v>0</v>
      </c>
      <c r="M1057">
        <v>2353412</v>
      </c>
      <c r="N1057">
        <v>0</v>
      </c>
      <c r="O1057">
        <v>2353412</v>
      </c>
      <c r="P1057">
        <v>0</v>
      </c>
      <c r="Q1057">
        <v>0</v>
      </c>
      <c r="R1057" s="2043">
        <v>15249623</v>
      </c>
      <c r="S1057">
        <v>1426365</v>
      </c>
      <c r="T1057">
        <v>1201712</v>
      </c>
      <c r="U1057">
        <v>0.08</v>
      </c>
      <c r="V1057">
        <v>0</v>
      </c>
      <c r="W1057">
        <v>0</v>
      </c>
      <c r="X1057">
        <v>0</v>
      </c>
      <c r="Y1057">
        <v>0</v>
      </c>
      <c r="Z1057">
        <v>0</v>
      </c>
      <c r="AA1057">
        <v>1.0430000000000001</v>
      </c>
      <c r="AB1057">
        <v>5456.72</v>
      </c>
      <c r="AC1057" s="2043">
        <v>1465186030</v>
      </c>
      <c r="AD1057">
        <v>6550566</v>
      </c>
      <c r="AE1057" s="2043">
        <v>17877700</v>
      </c>
      <c r="AF1057">
        <v>1.0027000000000001</v>
      </c>
      <c r="AG1057">
        <v>0</v>
      </c>
      <c r="AH1057">
        <v>0</v>
      </c>
      <c r="AI1057">
        <v>0</v>
      </c>
      <c r="AJ1057">
        <v>1303.925</v>
      </c>
      <c r="AK1057">
        <v>15810</v>
      </c>
      <c r="AL1057">
        <v>0.36300000000000004</v>
      </c>
      <c r="AM1057">
        <v>0.10200000000000001</v>
      </c>
      <c r="AN1057">
        <v>160.70100000000002</v>
      </c>
      <c r="AO1057">
        <v>0</v>
      </c>
      <c r="AP1057">
        <v>0.184</v>
      </c>
      <c r="AQ1057">
        <v>1.9340000000000002</v>
      </c>
      <c r="AR1057">
        <v>89.738</v>
      </c>
      <c r="AS1057">
        <v>0</v>
      </c>
      <c r="AT1057">
        <v>51.581000000000003</v>
      </c>
      <c r="AU1057">
        <v>11.92</v>
      </c>
      <c r="AV1057">
        <v>0</v>
      </c>
      <c r="AW1057">
        <v>158.155</v>
      </c>
      <c r="AX1057">
        <v>2.3330000000000002</v>
      </c>
      <c r="AY1057">
        <v>491.541</v>
      </c>
      <c r="AZ1057">
        <v>0</v>
      </c>
      <c r="BA1057">
        <v>38527182</v>
      </c>
      <c r="BB1057">
        <v>24428266</v>
      </c>
      <c r="BC1057">
        <v>0</v>
      </c>
      <c r="BD1057">
        <v>152510</v>
      </c>
      <c r="BE1057">
        <v>50886</v>
      </c>
      <c r="BF1057">
        <v>385697</v>
      </c>
      <c r="BG1057">
        <v>152510</v>
      </c>
      <c r="BH1057">
        <v>182301</v>
      </c>
      <c r="BI1057">
        <v>0</v>
      </c>
      <c r="BJ1057">
        <v>0</v>
      </c>
      <c r="BK1057">
        <v>0</v>
      </c>
      <c r="BL1057">
        <v>1800110437</v>
      </c>
      <c r="BM1057">
        <v>0</v>
      </c>
      <c r="BN1057">
        <v>22833</v>
      </c>
      <c r="BO1057">
        <v>12904</v>
      </c>
      <c r="BP1057">
        <v>0</v>
      </c>
      <c r="BQ1057">
        <v>0</v>
      </c>
      <c r="BR1057">
        <v>0.85530000000000006</v>
      </c>
      <c r="BS1057">
        <v>0.85530000000000006</v>
      </c>
      <c r="BT1057">
        <v>0</v>
      </c>
      <c r="BU1057">
        <v>0</v>
      </c>
      <c r="BV1057">
        <v>21</v>
      </c>
      <c r="BW1057">
        <v>964</v>
      </c>
      <c r="BX1057">
        <v>863</v>
      </c>
      <c r="BY1057">
        <v>2898</v>
      </c>
      <c r="BZ1057">
        <v>341</v>
      </c>
      <c r="CA1057">
        <v>5087</v>
      </c>
      <c r="CB1057">
        <v>0</v>
      </c>
      <c r="CC1057">
        <v>545.07299999999998</v>
      </c>
      <c r="CD1057">
        <v>0.14500000000000002</v>
      </c>
      <c r="CE1057">
        <v>251</v>
      </c>
      <c r="CF1057">
        <v>1855.5420000000001</v>
      </c>
      <c r="CG1057">
        <v>56.076000000000001</v>
      </c>
      <c r="CH1057">
        <v>1.9620000000000002</v>
      </c>
      <c r="CI1057">
        <v>38</v>
      </c>
      <c r="CJ1057">
        <v>10</v>
      </c>
      <c r="CK1057">
        <v>0</v>
      </c>
      <c r="CL1057">
        <v>58.038000000000004</v>
      </c>
      <c r="CM1057">
        <v>1134.913</v>
      </c>
      <c r="CN1057">
        <v>0</v>
      </c>
      <c r="CO1057">
        <v>0</v>
      </c>
      <c r="CP1057">
        <v>0</v>
      </c>
      <c r="CQ1057">
        <v>0</v>
      </c>
      <c r="CR1057">
        <v>0</v>
      </c>
      <c r="CS1057">
        <v>50.556000000000004</v>
      </c>
      <c r="CT1057">
        <v>0</v>
      </c>
      <c r="CU1057">
        <v>146.542</v>
      </c>
      <c r="CV1057">
        <v>291.40500000000003</v>
      </c>
      <c r="CW1057">
        <v>210.25500000000002</v>
      </c>
      <c r="CX1057">
        <v>0</v>
      </c>
      <c r="CY1057" s="2043">
        <v>0</v>
      </c>
      <c r="CZ1057" s="2043">
        <v>0</v>
      </c>
      <c r="DA1057" s="2043">
        <v>0</v>
      </c>
      <c r="DB1057" s="2043">
        <v>0</v>
      </c>
      <c r="DC1057" s="2043">
        <v>0</v>
      </c>
      <c r="DI1057" t="s">
        <v>3208</v>
      </c>
      <c r="DJ1057" t="s">
        <v>3208</v>
      </c>
      <c r="DK1057" s="2042">
        <f t="shared" si="18"/>
        <v>0</v>
      </c>
    </row>
    <row r="1058" spans="1:115">
      <c r="A1058" t="s">
        <v>5266</v>
      </c>
      <c r="B1058" t="s">
        <v>1905</v>
      </c>
      <c r="C1058">
        <v>66814.226999999999</v>
      </c>
      <c r="D1058">
        <v>73849.508000000002</v>
      </c>
      <c r="E1058">
        <v>14806.227999999999</v>
      </c>
      <c r="F1058">
        <v>0</v>
      </c>
      <c r="G1058" s="2043">
        <v>44421289326</v>
      </c>
      <c r="H1058">
        <v>0</v>
      </c>
      <c r="I1058" s="2043">
        <v>122358611</v>
      </c>
      <c r="J1058">
        <v>3340.7110000000002</v>
      </c>
      <c r="K1058">
        <v>9133</v>
      </c>
      <c r="L1058">
        <v>0</v>
      </c>
      <c r="M1058">
        <v>0</v>
      </c>
      <c r="N1058">
        <v>0</v>
      </c>
      <c r="O1058">
        <v>0</v>
      </c>
      <c r="P1058">
        <v>0</v>
      </c>
      <c r="Q1058">
        <v>0</v>
      </c>
      <c r="R1058" s="2043">
        <v>384296273</v>
      </c>
      <c r="S1058">
        <v>34888450</v>
      </c>
      <c r="T1058">
        <v>39249505</v>
      </c>
      <c r="U1058">
        <v>0.08</v>
      </c>
      <c r="V1058">
        <v>0</v>
      </c>
      <c r="W1058">
        <v>0</v>
      </c>
      <c r="X1058">
        <v>0</v>
      </c>
      <c r="Y1058">
        <v>2029821</v>
      </c>
      <c r="Z1058">
        <v>0</v>
      </c>
      <c r="AA1058">
        <v>9.43</v>
      </c>
      <c r="AB1058">
        <v>68188.073999999993</v>
      </c>
      <c r="AC1058" s="2043">
        <v>37816670606</v>
      </c>
      <c r="AD1058">
        <v>127230162</v>
      </c>
      <c r="AE1058" s="2043">
        <v>458434228</v>
      </c>
      <c r="AF1058">
        <v>1.0512000000000001</v>
      </c>
      <c r="AG1058">
        <v>0</v>
      </c>
      <c r="AH1058">
        <v>0</v>
      </c>
      <c r="AI1058">
        <v>0</v>
      </c>
      <c r="AJ1058">
        <v>16562.974999999999</v>
      </c>
      <c r="AK1058">
        <v>189695</v>
      </c>
      <c r="AL1058">
        <v>4.3639999999999999</v>
      </c>
      <c r="AM1058">
        <v>1.913</v>
      </c>
      <c r="AN1058">
        <v>2588.5709999999999</v>
      </c>
      <c r="AO1058">
        <v>0</v>
      </c>
      <c r="AP1058">
        <v>107.76600000000001</v>
      </c>
      <c r="AQ1058">
        <v>15.73</v>
      </c>
      <c r="AR1058">
        <v>705.12600000000009</v>
      </c>
      <c r="AS1058">
        <v>0</v>
      </c>
      <c r="AT1058">
        <v>609.99099999999999</v>
      </c>
      <c r="AU1058">
        <v>184.78100000000001</v>
      </c>
      <c r="AV1058">
        <v>0</v>
      </c>
      <c r="AW1058">
        <v>1694.2040000000002</v>
      </c>
      <c r="AX1058">
        <v>64.533000000000001</v>
      </c>
      <c r="AY1058">
        <v>5336.2089999999998</v>
      </c>
      <c r="AZ1058">
        <v>0</v>
      </c>
      <c r="BA1058">
        <v>264322285</v>
      </c>
      <c r="BB1058">
        <v>585664390</v>
      </c>
      <c r="BC1058">
        <v>0</v>
      </c>
      <c r="BD1058">
        <v>2786771</v>
      </c>
      <c r="BE1058">
        <v>1410899</v>
      </c>
      <c r="BF1058">
        <v>4425341</v>
      </c>
      <c r="BG1058">
        <v>2786771</v>
      </c>
      <c r="BH1058">
        <v>227671</v>
      </c>
      <c r="BI1058">
        <v>-15917</v>
      </c>
      <c r="BJ1058">
        <v>-16754</v>
      </c>
      <c r="BK1058">
        <v>0</v>
      </c>
      <c r="BL1058">
        <v>44421289326</v>
      </c>
      <c r="BM1058">
        <v>2062492</v>
      </c>
      <c r="BN1058">
        <v>268263</v>
      </c>
      <c r="BO1058">
        <v>117657</v>
      </c>
      <c r="BP1058">
        <v>30499</v>
      </c>
      <c r="BQ1058">
        <v>0</v>
      </c>
      <c r="BR1058">
        <v>0.88120000000000009</v>
      </c>
      <c r="BS1058">
        <v>0.88120000000000009</v>
      </c>
      <c r="BT1058">
        <v>0</v>
      </c>
      <c r="BU1058">
        <v>0</v>
      </c>
      <c r="BV1058">
        <v>5199</v>
      </c>
      <c r="BW1058">
        <v>4492</v>
      </c>
      <c r="BX1058">
        <v>10847</v>
      </c>
      <c r="BY1058">
        <v>17910</v>
      </c>
      <c r="BZ1058">
        <v>25139</v>
      </c>
      <c r="CA1058">
        <v>63587</v>
      </c>
      <c r="CB1058">
        <v>0</v>
      </c>
      <c r="CC1058">
        <v>9493.6280000000006</v>
      </c>
      <c r="CD1058">
        <v>560.38700000000006</v>
      </c>
      <c r="CE1058">
        <v>4134</v>
      </c>
      <c r="CF1058">
        <v>23870.073</v>
      </c>
      <c r="CG1058">
        <v>757.93400000000008</v>
      </c>
      <c r="CH1058">
        <v>39.932000000000002</v>
      </c>
      <c r="CI1058">
        <v>345</v>
      </c>
      <c r="CJ1058">
        <v>293</v>
      </c>
      <c r="CK1058">
        <v>6</v>
      </c>
      <c r="CL1058">
        <v>797.86599999999999</v>
      </c>
      <c r="CM1058">
        <v>14806.227999999999</v>
      </c>
      <c r="CN1058">
        <v>0</v>
      </c>
      <c r="CO1058">
        <v>23726</v>
      </c>
      <c r="CP1058">
        <v>6773</v>
      </c>
      <c r="CQ1058">
        <v>0</v>
      </c>
      <c r="CR1058">
        <v>0</v>
      </c>
      <c r="CS1058">
        <v>737.80900000000008</v>
      </c>
      <c r="CT1058">
        <v>273.20500000000004</v>
      </c>
      <c r="CU1058">
        <v>509.13500000000005</v>
      </c>
      <c r="CV1058">
        <v>2676.317</v>
      </c>
      <c r="CW1058">
        <v>1211.172</v>
      </c>
      <c r="CX1058">
        <v>0</v>
      </c>
      <c r="CY1058" s="2043">
        <v>0</v>
      </c>
      <c r="CZ1058" s="2043">
        <v>0</v>
      </c>
      <c r="DA1058" s="2043">
        <v>0</v>
      </c>
      <c r="DB1058" s="2043">
        <v>0</v>
      </c>
      <c r="DC1058" s="2043">
        <v>0</v>
      </c>
      <c r="DI1058" t="s">
        <v>5266</v>
      </c>
      <c r="DJ1058" t="s">
        <v>5266</v>
      </c>
      <c r="DK1058" s="2042">
        <f t="shared" si="18"/>
        <v>0</v>
      </c>
    </row>
    <row r="1059" spans="1:115">
      <c r="A1059" t="s">
        <v>5267</v>
      </c>
      <c r="B1059" t="s">
        <v>2060</v>
      </c>
      <c r="C1059">
        <v>13011.667000000001</v>
      </c>
      <c r="D1059">
        <v>13408.934999999999</v>
      </c>
      <c r="E1059">
        <v>888.029</v>
      </c>
      <c r="F1059">
        <v>0</v>
      </c>
      <c r="G1059" s="2043">
        <v>16630223484</v>
      </c>
      <c r="H1059">
        <v>0</v>
      </c>
      <c r="I1059" s="2043">
        <v>49141536</v>
      </c>
      <c r="J1059">
        <v>650.58300000000008</v>
      </c>
      <c r="K1059">
        <v>1779</v>
      </c>
      <c r="L1059">
        <v>0</v>
      </c>
      <c r="M1059">
        <v>0</v>
      </c>
      <c r="N1059">
        <v>0</v>
      </c>
      <c r="O1059">
        <v>0</v>
      </c>
      <c r="P1059">
        <v>0</v>
      </c>
      <c r="Q1059">
        <v>0</v>
      </c>
      <c r="R1059" s="2043">
        <v>149498198</v>
      </c>
      <c r="S1059">
        <v>6546888</v>
      </c>
      <c r="T1059">
        <v>0</v>
      </c>
      <c r="U1059">
        <v>0.04</v>
      </c>
      <c r="V1059">
        <v>0</v>
      </c>
      <c r="W1059">
        <v>56552488</v>
      </c>
      <c r="X1059">
        <v>0</v>
      </c>
      <c r="Y1059">
        <v>7617821</v>
      </c>
      <c r="Z1059">
        <v>9</v>
      </c>
      <c r="AA1059">
        <v>0.127</v>
      </c>
      <c r="AB1059">
        <v>13129.787</v>
      </c>
      <c r="AC1059" s="2043">
        <v>15617254833</v>
      </c>
      <c r="AD1059">
        <v>54783974</v>
      </c>
      <c r="AE1059" s="2043">
        <v>156045086</v>
      </c>
      <c r="AF1059">
        <v>0.95340000000000003</v>
      </c>
      <c r="AG1059">
        <v>6300040</v>
      </c>
      <c r="AH1059">
        <v>56552488</v>
      </c>
      <c r="AI1059">
        <v>0</v>
      </c>
      <c r="AJ1059">
        <v>765.03800000000001</v>
      </c>
      <c r="AK1059">
        <v>36730</v>
      </c>
      <c r="AL1059">
        <v>0.83500000000000008</v>
      </c>
      <c r="AM1059">
        <v>0</v>
      </c>
      <c r="AN1059">
        <v>448.642</v>
      </c>
      <c r="AO1059">
        <v>0</v>
      </c>
      <c r="AP1059">
        <v>0</v>
      </c>
      <c r="AQ1059">
        <v>0</v>
      </c>
      <c r="AR1059">
        <v>251.79100000000003</v>
      </c>
      <c r="AS1059">
        <v>0</v>
      </c>
      <c r="AT1059">
        <v>60.844000000000001</v>
      </c>
      <c r="AU1059">
        <v>22.431000000000001</v>
      </c>
      <c r="AV1059">
        <v>0</v>
      </c>
      <c r="AW1059">
        <v>358.35300000000001</v>
      </c>
      <c r="AX1059">
        <v>22.452000000000002</v>
      </c>
      <c r="AY1059">
        <v>1105.875</v>
      </c>
      <c r="AZ1059">
        <v>3579486</v>
      </c>
      <c r="BA1059">
        <v>14794286</v>
      </c>
      <c r="BB1059">
        <v>210829060</v>
      </c>
      <c r="BC1059">
        <v>0</v>
      </c>
      <c r="BD1059">
        <v>313697</v>
      </c>
      <c r="BE1059">
        <v>167701</v>
      </c>
      <c r="BF1059">
        <v>616832</v>
      </c>
      <c r="BG1059">
        <v>313697</v>
      </c>
      <c r="BH1059">
        <v>135434</v>
      </c>
      <c r="BI1059">
        <v>0</v>
      </c>
      <c r="BJ1059">
        <v>0</v>
      </c>
      <c r="BK1059">
        <v>0</v>
      </c>
      <c r="BL1059">
        <v>16630223484</v>
      </c>
      <c r="BM1059">
        <v>0</v>
      </c>
      <c r="BN1059">
        <v>54549</v>
      </c>
      <c r="BO1059">
        <v>4205</v>
      </c>
      <c r="BP1059">
        <v>3587</v>
      </c>
      <c r="BQ1059">
        <v>0</v>
      </c>
      <c r="BR1059">
        <v>0.91339999999999999</v>
      </c>
      <c r="BS1059">
        <v>0.91339999999999999</v>
      </c>
      <c r="BT1059">
        <v>4038335</v>
      </c>
      <c r="BU1059">
        <v>0</v>
      </c>
      <c r="BV1059">
        <v>833</v>
      </c>
      <c r="BW1059">
        <v>1277</v>
      </c>
      <c r="BX1059">
        <v>79</v>
      </c>
      <c r="BY1059">
        <v>666</v>
      </c>
      <c r="BZ1059">
        <v>290</v>
      </c>
      <c r="CA1059">
        <v>3145</v>
      </c>
      <c r="CB1059">
        <v>0</v>
      </c>
      <c r="CC1059">
        <v>397.68700000000001</v>
      </c>
      <c r="CD1059">
        <v>142.54900000000001</v>
      </c>
      <c r="CE1059">
        <v>1076</v>
      </c>
      <c r="CF1059">
        <v>1326.182</v>
      </c>
      <c r="CG1059">
        <v>37.263000000000005</v>
      </c>
      <c r="CH1059">
        <v>0</v>
      </c>
      <c r="CI1059">
        <v>50</v>
      </c>
      <c r="CJ1059">
        <v>370</v>
      </c>
      <c r="CK1059">
        <v>3</v>
      </c>
      <c r="CL1059">
        <v>37.263000000000005</v>
      </c>
      <c r="CM1059">
        <v>888.029</v>
      </c>
      <c r="CN1059">
        <v>0</v>
      </c>
      <c r="CO1059">
        <v>0</v>
      </c>
      <c r="CP1059">
        <v>3587</v>
      </c>
      <c r="CQ1059">
        <v>0</v>
      </c>
      <c r="CR1059">
        <v>0</v>
      </c>
      <c r="CS1059">
        <v>0</v>
      </c>
      <c r="CT1059">
        <v>0</v>
      </c>
      <c r="CU1059">
        <v>18.256</v>
      </c>
      <c r="CV1059">
        <v>651.26800000000003</v>
      </c>
      <c r="CW1059">
        <v>267.738</v>
      </c>
      <c r="CX1059">
        <v>4038335</v>
      </c>
      <c r="CY1059" s="2043">
        <v>0</v>
      </c>
      <c r="CZ1059" s="2043">
        <v>6300040</v>
      </c>
      <c r="DA1059" s="2043">
        <v>0</v>
      </c>
      <c r="DB1059" s="2043">
        <v>0</v>
      </c>
      <c r="DC1059" s="2043">
        <v>1017412</v>
      </c>
      <c r="DI1059" t="s">
        <v>5267</v>
      </c>
      <c r="DJ1059" t="s">
        <v>5267</v>
      </c>
      <c r="DK1059" s="2042">
        <f t="shared" si="18"/>
        <v>0</v>
      </c>
    </row>
    <row r="1060" spans="1:115">
      <c r="A1060" t="s">
        <v>3209</v>
      </c>
      <c r="B1060" t="s">
        <v>48</v>
      </c>
      <c r="C1060">
        <v>32015.626</v>
      </c>
      <c r="D1060">
        <v>33614.332999999999</v>
      </c>
      <c r="E1060">
        <v>2409.3940000000002</v>
      </c>
      <c r="F1060">
        <v>0</v>
      </c>
      <c r="G1060" s="2043">
        <v>21391227934</v>
      </c>
      <c r="H1060">
        <v>-938827</v>
      </c>
      <c r="I1060" s="2043">
        <v>76331562</v>
      </c>
      <c r="J1060">
        <v>1600.7810000000002</v>
      </c>
      <c r="K1060">
        <v>4376</v>
      </c>
      <c r="L1060">
        <v>0</v>
      </c>
      <c r="M1060">
        <v>8082239</v>
      </c>
      <c r="N1060">
        <v>0</v>
      </c>
      <c r="O1060">
        <v>8082239</v>
      </c>
      <c r="P1060">
        <v>0</v>
      </c>
      <c r="Q1060">
        <v>0</v>
      </c>
      <c r="R1060" s="2043">
        <v>183999985</v>
      </c>
      <c r="S1060">
        <v>17003580</v>
      </c>
      <c r="T1060">
        <v>12391358</v>
      </c>
      <c r="U1060">
        <v>0.08</v>
      </c>
      <c r="V1060">
        <v>1012.394</v>
      </c>
      <c r="W1060">
        <v>0</v>
      </c>
      <c r="X1060">
        <v>938827</v>
      </c>
      <c r="Y1060">
        <v>371530</v>
      </c>
      <c r="Z1060">
        <v>2.7130000000000001</v>
      </c>
      <c r="AA1060">
        <v>0.91500000000000004</v>
      </c>
      <c r="AB1060">
        <v>32774.906999999999</v>
      </c>
      <c r="AC1060" s="2043">
        <v>18980299831</v>
      </c>
      <c r="AD1060">
        <v>72254829</v>
      </c>
      <c r="AE1060" s="2043">
        <v>213394923</v>
      </c>
      <c r="AF1060">
        <v>1.004</v>
      </c>
      <c r="AG1060">
        <v>0</v>
      </c>
      <c r="AH1060">
        <v>938827</v>
      </c>
      <c r="AI1060">
        <v>0</v>
      </c>
      <c r="AJ1060">
        <v>2084.4499999999998</v>
      </c>
      <c r="AK1060">
        <v>102522</v>
      </c>
      <c r="AL1060">
        <v>1.272</v>
      </c>
      <c r="AM1060">
        <v>0</v>
      </c>
      <c r="AN1060">
        <v>869.56600000000003</v>
      </c>
      <c r="AO1060">
        <v>1.9000000000000001</v>
      </c>
      <c r="AP1060">
        <v>0</v>
      </c>
      <c r="AQ1060">
        <v>6.2380000000000004</v>
      </c>
      <c r="AR1060">
        <v>719.43600000000004</v>
      </c>
      <c r="AS1060">
        <v>0</v>
      </c>
      <c r="AT1060">
        <v>375.74400000000003</v>
      </c>
      <c r="AU1060">
        <v>31.378</v>
      </c>
      <c r="AV1060">
        <v>0</v>
      </c>
      <c r="AW1060">
        <v>1155.7540000000001</v>
      </c>
      <c r="AX1060">
        <v>21.686</v>
      </c>
      <c r="AY1060">
        <v>3498.6680000000001</v>
      </c>
      <c r="AZ1060">
        <v>0</v>
      </c>
      <c r="BA1060">
        <v>81038087</v>
      </c>
      <c r="BB1060">
        <v>285649752</v>
      </c>
      <c r="BC1060">
        <v>0</v>
      </c>
      <c r="BD1060">
        <v>848211</v>
      </c>
      <c r="BE1060">
        <v>823916</v>
      </c>
      <c r="BF1060">
        <v>2279036</v>
      </c>
      <c r="BG1060">
        <v>848211</v>
      </c>
      <c r="BH1060">
        <v>606909</v>
      </c>
      <c r="BI1060">
        <v>0</v>
      </c>
      <c r="BJ1060">
        <v>-17488</v>
      </c>
      <c r="BK1060">
        <v>0</v>
      </c>
      <c r="BL1060">
        <v>21391227934</v>
      </c>
      <c r="BM1060">
        <v>0</v>
      </c>
      <c r="BN1060">
        <v>132687</v>
      </c>
      <c r="BO1060">
        <v>87590</v>
      </c>
      <c r="BP1060">
        <v>3347</v>
      </c>
      <c r="BQ1060">
        <v>0</v>
      </c>
      <c r="BR1060">
        <v>0.86570000000000003</v>
      </c>
      <c r="BS1060">
        <v>0.86570000000000003</v>
      </c>
      <c r="BT1060">
        <v>1327845</v>
      </c>
      <c r="BU1060">
        <v>0</v>
      </c>
      <c r="BV1060">
        <v>5771</v>
      </c>
      <c r="BW1060">
        <v>2286</v>
      </c>
      <c r="BX1060">
        <v>778</v>
      </c>
      <c r="BY1060">
        <v>32</v>
      </c>
      <c r="BZ1060">
        <v>146</v>
      </c>
      <c r="CA1060">
        <v>9013</v>
      </c>
      <c r="CB1060">
        <v>0</v>
      </c>
      <c r="CC1060">
        <v>616.44200000000001</v>
      </c>
      <c r="CD1060">
        <v>48.298000000000002</v>
      </c>
      <c r="CE1060">
        <v>3305</v>
      </c>
      <c r="CF1060">
        <v>3606.52</v>
      </c>
      <c r="CG1060">
        <v>49.752000000000002</v>
      </c>
      <c r="CH1060">
        <v>7.1130000000000004</v>
      </c>
      <c r="CI1060">
        <v>125</v>
      </c>
      <c r="CJ1060">
        <v>717</v>
      </c>
      <c r="CK1060">
        <v>9</v>
      </c>
      <c r="CL1060">
        <v>56.865000000000002</v>
      </c>
      <c r="CM1060">
        <v>2409.3940000000002</v>
      </c>
      <c r="CN1060">
        <v>0</v>
      </c>
      <c r="CO1060">
        <v>0</v>
      </c>
      <c r="CP1060">
        <v>3347</v>
      </c>
      <c r="CQ1060">
        <v>0</v>
      </c>
      <c r="CR1060">
        <v>0</v>
      </c>
      <c r="CS1060">
        <v>0</v>
      </c>
      <c r="CT1060">
        <v>0</v>
      </c>
      <c r="CU1060">
        <v>210.31100000000001</v>
      </c>
      <c r="CV1060">
        <v>1450.06</v>
      </c>
      <c r="CW1060">
        <v>1176.8330000000001</v>
      </c>
      <c r="CX1060">
        <v>1327845</v>
      </c>
      <c r="CY1060" s="2043">
        <v>0</v>
      </c>
      <c r="CZ1060" s="2043">
        <v>0</v>
      </c>
      <c r="DA1060" s="2043">
        <v>0</v>
      </c>
      <c r="DB1060" s="2043">
        <v>0</v>
      </c>
      <c r="DC1060" s="2043">
        <v>1312741</v>
      </c>
      <c r="DI1060" t="s">
        <v>3209</v>
      </c>
      <c r="DJ1060" t="s">
        <v>3209</v>
      </c>
      <c r="DK1060" s="2042">
        <f t="shared" si="18"/>
        <v>0</v>
      </c>
    </row>
    <row r="1061" spans="1:115">
      <c r="A1061" t="s">
        <v>3210</v>
      </c>
      <c r="B1061" t="s">
        <v>330</v>
      </c>
      <c r="C1061">
        <v>33171.086000000003</v>
      </c>
      <c r="D1061">
        <v>34035.300000000003</v>
      </c>
      <c r="E1061">
        <v>3135.8230000000003</v>
      </c>
      <c r="F1061">
        <v>0</v>
      </c>
      <c r="G1061" s="2043">
        <v>17223596771</v>
      </c>
      <c r="H1061">
        <v>0</v>
      </c>
      <c r="I1061" s="2043">
        <v>61249536</v>
      </c>
      <c r="J1061">
        <v>1658.5540000000001</v>
      </c>
      <c r="K1061">
        <v>4534</v>
      </c>
      <c r="L1061">
        <v>0</v>
      </c>
      <c r="M1061">
        <v>18488189</v>
      </c>
      <c r="N1061">
        <v>0</v>
      </c>
      <c r="O1061">
        <v>18488189</v>
      </c>
      <c r="P1061">
        <v>0</v>
      </c>
      <c r="Q1061">
        <v>0</v>
      </c>
      <c r="R1061" s="2043">
        <v>150778280</v>
      </c>
      <c r="S1061">
        <v>13579041</v>
      </c>
      <c r="T1061">
        <v>15276422</v>
      </c>
      <c r="U1061">
        <v>0.08</v>
      </c>
      <c r="V1061">
        <v>1928.6840000000002</v>
      </c>
      <c r="W1061">
        <v>0</v>
      </c>
      <c r="X1061">
        <v>0</v>
      </c>
      <c r="Y1061">
        <v>-13877</v>
      </c>
      <c r="Z1061">
        <v>0</v>
      </c>
      <c r="AA1061">
        <v>0.97800000000000009</v>
      </c>
      <c r="AB1061">
        <v>33188.510999999999</v>
      </c>
      <c r="AC1061" s="2043">
        <v>14588516427</v>
      </c>
      <c r="AD1061">
        <v>61404429</v>
      </c>
      <c r="AE1061" s="2043">
        <v>179633743</v>
      </c>
      <c r="AF1061">
        <v>1.0583</v>
      </c>
      <c r="AG1061">
        <v>0</v>
      </c>
      <c r="AH1061">
        <v>0</v>
      </c>
      <c r="AI1061">
        <v>0</v>
      </c>
      <c r="AJ1061">
        <v>3497.5880000000002</v>
      </c>
      <c r="AK1061">
        <v>102011</v>
      </c>
      <c r="AL1061">
        <v>2.2310000000000003</v>
      </c>
      <c r="AM1061">
        <v>0.27900000000000003</v>
      </c>
      <c r="AN1061">
        <v>477.76800000000003</v>
      </c>
      <c r="AO1061">
        <v>0</v>
      </c>
      <c r="AP1061">
        <v>0</v>
      </c>
      <c r="AQ1061">
        <v>3.3330000000000002</v>
      </c>
      <c r="AR1061">
        <v>904.76300000000003</v>
      </c>
      <c r="AS1061">
        <v>0</v>
      </c>
      <c r="AT1061">
        <v>273.39300000000003</v>
      </c>
      <c r="AU1061">
        <v>66.912999999999997</v>
      </c>
      <c r="AV1061">
        <v>0</v>
      </c>
      <c r="AW1061">
        <v>1277.22</v>
      </c>
      <c r="AX1061">
        <v>26.308</v>
      </c>
      <c r="AY1061">
        <v>3941.5330000000004</v>
      </c>
      <c r="AZ1061">
        <v>0</v>
      </c>
      <c r="BA1061">
        <v>137979048</v>
      </c>
      <c r="BB1061">
        <v>241038172</v>
      </c>
      <c r="BC1061">
        <v>0</v>
      </c>
      <c r="BD1061">
        <v>1943365</v>
      </c>
      <c r="BE1061">
        <v>826426</v>
      </c>
      <c r="BF1061">
        <v>3649044</v>
      </c>
      <c r="BG1061">
        <v>1943365</v>
      </c>
      <c r="BH1061">
        <v>879253</v>
      </c>
      <c r="BI1061">
        <v>-7109</v>
      </c>
      <c r="BJ1061">
        <v>-6768</v>
      </c>
      <c r="BK1061">
        <v>0</v>
      </c>
      <c r="BL1061">
        <v>17223596771</v>
      </c>
      <c r="BM1061">
        <v>0</v>
      </c>
      <c r="BN1061">
        <v>133767</v>
      </c>
      <c r="BO1061">
        <v>39547</v>
      </c>
      <c r="BP1061">
        <v>24364</v>
      </c>
      <c r="BQ1061">
        <v>0</v>
      </c>
      <c r="BR1061">
        <v>0.88830000000000009</v>
      </c>
      <c r="BS1061">
        <v>0.88830000000000009</v>
      </c>
      <c r="BT1061">
        <v>0</v>
      </c>
      <c r="BU1061">
        <v>0</v>
      </c>
      <c r="BV1061">
        <v>10481</v>
      </c>
      <c r="BW1061">
        <v>1704</v>
      </c>
      <c r="BX1061">
        <v>1216</v>
      </c>
      <c r="BY1061">
        <v>1473</v>
      </c>
      <c r="BZ1061">
        <v>160</v>
      </c>
      <c r="CA1061">
        <v>15034</v>
      </c>
      <c r="CB1061">
        <v>0</v>
      </c>
      <c r="CC1061">
        <v>673.08600000000001</v>
      </c>
      <c r="CD1061">
        <v>197.39000000000001</v>
      </c>
      <c r="CE1061">
        <v>1716</v>
      </c>
      <c r="CF1061">
        <v>5525.6570000000002</v>
      </c>
      <c r="CG1061">
        <v>42.679000000000002</v>
      </c>
      <c r="CH1061">
        <v>3.0070000000000001</v>
      </c>
      <c r="CI1061">
        <v>182</v>
      </c>
      <c r="CJ1061">
        <v>421</v>
      </c>
      <c r="CK1061">
        <v>4</v>
      </c>
      <c r="CL1061">
        <v>45.686</v>
      </c>
      <c r="CM1061">
        <v>3135.8230000000003</v>
      </c>
      <c r="CN1061">
        <v>12782</v>
      </c>
      <c r="CO1061">
        <v>0</v>
      </c>
      <c r="CP1061">
        <v>10332</v>
      </c>
      <c r="CQ1061">
        <v>1250</v>
      </c>
      <c r="CR1061">
        <v>0</v>
      </c>
      <c r="CS1061">
        <v>0</v>
      </c>
      <c r="CT1061">
        <v>0</v>
      </c>
      <c r="CU1061">
        <v>42.358000000000004</v>
      </c>
      <c r="CV1061">
        <v>1706.5840000000001</v>
      </c>
      <c r="CW1061">
        <v>588.64300000000003</v>
      </c>
      <c r="CX1061">
        <v>0</v>
      </c>
      <c r="CY1061" s="2043">
        <v>0</v>
      </c>
      <c r="CZ1061" s="2043">
        <v>0</v>
      </c>
      <c r="DA1061" s="2043">
        <v>0</v>
      </c>
      <c r="DB1061" s="2043">
        <v>0</v>
      </c>
      <c r="DC1061" s="2043">
        <v>0</v>
      </c>
      <c r="DI1061" t="s">
        <v>3210</v>
      </c>
      <c r="DJ1061" t="s">
        <v>3210</v>
      </c>
      <c r="DK1061" s="2042">
        <f t="shared" si="18"/>
        <v>0</v>
      </c>
    </row>
    <row r="1062" spans="1:115">
      <c r="A1062" t="s">
        <v>3211</v>
      </c>
      <c r="B1062" t="s">
        <v>1670</v>
      </c>
      <c r="C1062">
        <v>3202.538</v>
      </c>
      <c r="D1062">
        <v>3404.029</v>
      </c>
      <c r="E1062">
        <v>544.26800000000003</v>
      </c>
      <c r="F1062">
        <v>0</v>
      </c>
      <c r="G1062" s="2043">
        <v>1206865094</v>
      </c>
      <c r="H1062">
        <v>0</v>
      </c>
      <c r="I1062" s="2043">
        <v>5369259</v>
      </c>
      <c r="J1062">
        <v>139</v>
      </c>
      <c r="K1062">
        <v>380</v>
      </c>
      <c r="L1062">
        <v>0</v>
      </c>
      <c r="M1062">
        <v>1039299</v>
      </c>
      <c r="N1062">
        <v>0</v>
      </c>
      <c r="O1062">
        <v>1039299</v>
      </c>
      <c r="P1062">
        <v>0</v>
      </c>
      <c r="Q1062">
        <v>0</v>
      </c>
      <c r="R1062" s="2043">
        <v>10468859</v>
      </c>
      <c r="S1062">
        <v>950850</v>
      </c>
      <c r="T1062">
        <v>692932</v>
      </c>
      <c r="U1062">
        <v>0.08</v>
      </c>
      <c r="V1062">
        <v>0</v>
      </c>
      <c r="W1062">
        <v>0</v>
      </c>
      <c r="X1062">
        <v>0</v>
      </c>
      <c r="Y1062">
        <v>0</v>
      </c>
      <c r="Z1062">
        <v>2.645</v>
      </c>
      <c r="AA1062">
        <v>0.45800000000000002</v>
      </c>
      <c r="AB1062">
        <v>3019.2840000000001</v>
      </c>
      <c r="AC1062" s="2043">
        <v>1072045081</v>
      </c>
      <c r="AD1062">
        <v>5938567</v>
      </c>
      <c r="AE1062" s="2043">
        <v>12112641</v>
      </c>
      <c r="AF1062">
        <v>1.0191000000000001</v>
      </c>
      <c r="AG1062">
        <v>0</v>
      </c>
      <c r="AH1062">
        <v>0</v>
      </c>
      <c r="AI1062">
        <v>0</v>
      </c>
      <c r="AJ1062">
        <v>820.46300000000008</v>
      </c>
      <c r="AK1062">
        <v>11014</v>
      </c>
      <c r="AL1062">
        <v>0.11800000000000001</v>
      </c>
      <c r="AM1062">
        <v>0</v>
      </c>
      <c r="AN1062">
        <v>104.989</v>
      </c>
      <c r="AO1062">
        <v>0</v>
      </c>
      <c r="AP1062">
        <v>0</v>
      </c>
      <c r="AQ1062">
        <v>0</v>
      </c>
      <c r="AR1062">
        <v>68.739999999999995</v>
      </c>
      <c r="AS1062">
        <v>0</v>
      </c>
      <c r="AT1062">
        <v>31.237000000000002</v>
      </c>
      <c r="AU1062">
        <v>7.9240000000000004</v>
      </c>
      <c r="AV1062">
        <v>0</v>
      </c>
      <c r="AW1062">
        <v>108.01900000000001</v>
      </c>
      <c r="AX1062">
        <v>0</v>
      </c>
      <c r="AY1062">
        <v>340.14100000000002</v>
      </c>
      <c r="AZ1062">
        <v>0</v>
      </c>
      <c r="BA1062">
        <v>23558075</v>
      </c>
      <c r="BB1062">
        <v>18051208</v>
      </c>
      <c r="BC1062">
        <v>0</v>
      </c>
      <c r="BD1062">
        <v>132709</v>
      </c>
      <c r="BE1062">
        <v>54649</v>
      </c>
      <c r="BF1062">
        <v>187358</v>
      </c>
      <c r="BG1062">
        <v>132709</v>
      </c>
      <c r="BH1062">
        <v>0</v>
      </c>
      <c r="BI1062">
        <v>0</v>
      </c>
      <c r="BJ1062">
        <v>0</v>
      </c>
      <c r="BK1062">
        <v>0</v>
      </c>
      <c r="BL1062">
        <v>1206865094</v>
      </c>
      <c r="BM1062">
        <v>0</v>
      </c>
      <c r="BN1062">
        <v>11052</v>
      </c>
      <c r="BO1062">
        <v>5414</v>
      </c>
      <c r="BP1062">
        <v>0</v>
      </c>
      <c r="BQ1062">
        <v>0</v>
      </c>
      <c r="BR1062">
        <v>0.88080000000000003</v>
      </c>
      <c r="BS1062">
        <v>0.88080000000000003</v>
      </c>
      <c r="BT1062">
        <v>0</v>
      </c>
      <c r="BU1062">
        <v>0</v>
      </c>
      <c r="BV1062">
        <v>340</v>
      </c>
      <c r="BW1062">
        <v>199</v>
      </c>
      <c r="BX1062">
        <v>607</v>
      </c>
      <c r="BY1062">
        <v>536</v>
      </c>
      <c r="BZ1062">
        <v>1470</v>
      </c>
      <c r="CA1062">
        <v>3152</v>
      </c>
      <c r="CB1062">
        <v>0</v>
      </c>
      <c r="CC1062">
        <v>236.619</v>
      </c>
      <c r="CD1062">
        <v>0</v>
      </c>
      <c r="CE1062">
        <v>81</v>
      </c>
      <c r="CF1062">
        <v>1067.336</v>
      </c>
      <c r="CG1062">
        <v>0</v>
      </c>
      <c r="CH1062">
        <v>0</v>
      </c>
      <c r="CI1062">
        <v>5</v>
      </c>
      <c r="CJ1062">
        <v>2</v>
      </c>
      <c r="CK1062">
        <v>0</v>
      </c>
      <c r="CL1062">
        <v>0</v>
      </c>
      <c r="CM1062">
        <v>544.26800000000003</v>
      </c>
      <c r="CN1062">
        <v>0</v>
      </c>
      <c r="CO1062">
        <v>0</v>
      </c>
      <c r="CP1062">
        <v>0</v>
      </c>
      <c r="CQ1062">
        <v>0</v>
      </c>
      <c r="CR1062">
        <v>0</v>
      </c>
      <c r="CS1062">
        <v>0</v>
      </c>
      <c r="CT1062">
        <v>0</v>
      </c>
      <c r="CU1062">
        <v>3.4930000000000003</v>
      </c>
      <c r="CV1062">
        <v>190.45600000000002</v>
      </c>
      <c r="CW1062">
        <v>105.123</v>
      </c>
      <c r="CX1062">
        <v>0</v>
      </c>
      <c r="CY1062" s="2043">
        <v>0</v>
      </c>
      <c r="CZ1062" s="2043">
        <v>0</v>
      </c>
      <c r="DA1062" s="2043">
        <v>0</v>
      </c>
      <c r="DB1062" s="2043">
        <v>0</v>
      </c>
      <c r="DC1062" s="2043">
        <v>0</v>
      </c>
      <c r="DI1062" t="s">
        <v>3211</v>
      </c>
      <c r="DJ1062" t="s">
        <v>3211</v>
      </c>
      <c r="DK1062" s="2042">
        <f t="shared" si="18"/>
        <v>0</v>
      </c>
    </row>
    <row r="1063" spans="1:115">
      <c r="A1063" t="s">
        <v>3212</v>
      </c>
      <c r="B1063" t="s">
        <v>2267</v>
      </c>
      <c r="C1063">
        <v>14653.453000000001</v>
      </c>
      <c r="D1063">
        <v>15040.412</v>
      </c>
      <c r="E1063">
        <v>1668.047</v>
      </c>
      <c r="F1063">
        <v>0</v>
      </c>
      <c r="G1063" s="2043">
        <v>8932588156</v>
      </c>
      <c r="H1063">
        <v>0</v>
      </c>
      <c r="I1063" s="2043">
        <v>35321606</v>
      </c>
      <c r="J1063">
        <v>732.673</v>
      </c>
      <c r="K1063">
        <v>2003</v>
      </c>
      <c r="L1063">
        <v>0</v>
      </c>
      <c r="M1063">
        <v>9360187</v>
      </c>
      <c r="N1063">
        <v>0</v>
      </c>
      <c r="O1063">
        <v>9360187</v>
      </c>
      <c r="P1063">
        <v>0</v>
      </c>
      <c r="Q1063">
        <v>0</v>
      </c>
      <c r="R1063" s="2043">
        <v>71235289</v>
      </c>
      <c r="S1063">
        <v>6737790</v>
      </c>
      <c r="T1063">
        <v>4910165</v>
      </c>
      <c r="U1063">
        <v>0.08</v>
      </c>
      <c r="V1063">
        <v>3600.509</v>
      </c>
      <c r="W1063">
        <v>0</v>
      </c>
      <c r="X1063">
        <v>0</v>
      </c>
      <c r="Y1063">
        <v>-4292</v>
      </c>
      <c r="Z1063">
        <v>0</v>
      </c>
      <c r="AA1063">
        <v>1.0350000000000001</v>
      </c>
      <c r="AB1063">
        <v>14896.305</v>
      </c>
      <c r="AC1063" s="2043">
        <v>7147023743</v>
      </c>
      <c r="AD1063">
        <v>41974920</v>
      </c>
      <c r="AE1063" s="2043">
        <v>82883244</v>
      </c>
      <c r="AF1063">
        <v>0.98410000000000009</v>
      </c>
      <c r="AG1063">
        <v>0</v>
      </c>
      <c r="AH1063">
        <v>0</v>
      </c>
      <c r="AI1063">
        <v>0</v>
      </c>
      <c r="AJ1063">
        <v>2812.8380000000002</v>
      </c>
      <c r="AK1063">
        <v>48937</v>
      </c>
      <c r="AL1063">
        <v>2.169</v>
      </c>
      <c r="AM1063">
        <v>0</v>
      </c>
      <c r="AN1063">
        <v>698.80700000000002</v>
      </c>
      <c r="AO1063">
        <v>1.034</v>
      </c>
      <c r="AP1063">
        <v>0.11600000000000001</v>
      </c>
      <c r="AQ1063">
        <v>2.6510000000000002</v>
      </c>
      <c r="AR1063">
        <v>231.17500000000001</v>
      </c>
      <c r="AS1063">
        <v>0</v>
      </c>
      <c r="AT1063">
        <v>171.898</v>
      </c>
      <c r="AU1063">
        <v>24.463000000000001</v>
      </c>
      <c r="AV1063">
        <v>0</v>
      </c>
      <c r="AW1063">
        <v>433.39600000000002</v>
      </c>
      <c r="AX1063">
        <v>0.92400000000000004</v>
      </c>
      <c r="AY1063">
        <v>1344.817</v>
      </c>
      <c r="AZ1063">
        <v>0</v>
      </c>
      <c r="BA1063">
        <v>66857372</v>
      </c>
      <c r="BB1063">
        <v>124858164</v>
      </c>
      <c r="BC1063">
        <v>0</v>
      </c>
      <c r="BD1063">
        <v>754845</v>
      </c>
      <c r="BE1063">
        <v>557910</v>
      </c>
      <c r="BF1063">
        <v>2132475</v>
      </c>
      <c r="BG1063">
        <v>754845</v>
      </c>
      <c r="BH1063">
        <v>819720</v>
      </c>
      <c r="BI1063">
        <v>0</v>
      </c>
      <c r="BJ1063">
        <v>-4292</v>
      </c>
      <c r="BK1063">
        <v>0</v>
      </c>
      <c r="BL1063">
        <v>8932588156</v>
      </c>
      <c r="BM1063">
        <v>0</v>
      </c>
      <c r="BN1063">
        <v>58239</v>
      </c>
      <c r="BO1063">
        <v>32838</v>
      </c>
      <c r="BP1063">
        <v>0</v>
      </c>
      <c r="BQ1063">
        <v>0</v>
      </c>
      <c r="BR1063">
        <v>0.8458</v>
      </c>
      <c r="BS1063">
        <v>0.8458</v>
      </c>
      <c r="BT1063">
        <v>0</v>
      </c>
      <c r="BU1063">
        <v>0</v>
      </c>
      <c r="BV1063">
        <v>3130</v>
      </c>
      <c r="BW1063">
        <v>5318</v>
      </c>
      <c r="BX1063">
        <v>1486</v>
      </c>
      <c r="BY1063">
        <v>839</v>
      </c>
      <c r="BZ1063">
        <v>923</v>
      </c>
      <c r="CA1063">
        <v>11696</v>
      </c>
      <c r="CB1063">
        <v>0</v>
      </c>
      <c r="CC1063">
        <v>798.39</v>
      </c>
      <c r="CD1063">
        <v>63.221000000000004</v>
      </c>
      <c r="CE1063">
        <v>1210</v>
      </c>
      <c r="CF1063">
        <v>3867.8490000000002</v>
      </c>
      <c r="CG1063">
        <v>0</v>
      </c>
      <c r="CH1063">
        <v>3.1640000000000001</v>
      </c>
      <c r="CI1063">
        <v>5</v>
      </c>
      <c r="CJ1063">
        <v>42</v>
      </c>
      <c r="CK1063">
        <v>2</v>
      </c>
      <c r="CL1063">
        <v>3.1640000000000001</v>
      </c>
      <c r="CM1063">
        <v>1668.047</v>
      </c>
      <c r="CN1063">
        <v>0</v>
      </c>
      <c r="CO1063">
        <v>0</v>
      </c>
      <c r="CP1063">
        <v>0</v>
      </c>
      <c r="CQ1063">
        <v>0</v>
      </c>
      <c r="CR1063">
        <v>0</v>
      </c>
      <c r="CS1063">
        <v>38.288000000000004</v>
      </c>
      <c r="CT1063">
        <v>0</v>
      </c>
      <c r="CU1063">
        <v>51.164000000000001</v>
      </c>
      <c r="CV1063">
        <v>525.45699999999999</v>
      </c>
      <c r="CW1063">
        <v>473.80500000000001</v>
      </c>
      <c r="CX1063">
        <v>0</v>
      </c>
      <c r="CY1063" s="2043">
        <v>0</v>
      </c>
      <c r="CZ1063" s="2043">
        <v>0</v>
      </c>
      <c r="DA1063" s="2043">
        <v>0</v>
      </c>
      <c r="DB1063" s="2043">
        <v>0</v>
      </c>
      <c r="DC1063" s="2043">
        <v>0</v>
      </c>
      <c r="DI1063" t="s">
        <v>3212</v>
      </c>
      <c r="DJ1063" t="s">
        <v>3212</v>
      </c>
      <c r="DK1063" s="2042">
        <f t="shared" si="18"/>
        <v>0</v>
      </c>
    </row>
    <row r="1064" spans="1:115">
      <c r="A1064" t="s">
        <v>3213</v>
      </c>
      <c r="B1064" t="s">
        <v>50</v>
      </c>
      <c r="C1064">
        <v>2669.0540000000001</v>
      </c>
      <c r="D1064">
        <v>2725.6610000000001</v>
      </c>
      <c r="E1064">
        <v>314.303</v>
      </c>
      <c r="F1064">
        <v>0</v>
      </c>
      <c r="G1064" s="2043">
        <v>1756935811</v>
      </c>
      <c r="H1064">
        <v>0</v>
      </c>
      <c r="I1064" s="2043">
        <v>3491662</v>
      </c>
      <c r="J1064">
        <v>133.453</v>
      </c>
      <c r="K1064">
        <v>365</v>
      </c>
      <c r="L1064">
        <v>0</v>
      </c>
      <c r="M1064">
        <v>446149</v>
      </c>
      <c r="N1064">
        <v>0</v>
      </c>
      <c r="O1064">
        <v>446149</v>
      </c>
      <c r="P1064">
        <v>0</v>
      </c>
      <c r="Q1064">
        <v>0</v>
      </c>
      <c r="R1064" s="2043">
        <v>15294922</v>
      </c>
      <c r="S1064">
        <v>1391871</v>
      </c>
      <c r="T1064">
        <v>1014326</v>
      </c>
      <c r="U1064">
        <v>0.08</v>
      </c>
      <c r="V1064">
        <v>0</v>
      </c>
      <c r="W1064">
        <v>0</v>
      </c>
      <c r="X1064">
        <v>0</v>
      </c>
      <c r="Y1064">
        <v>73585</v>
      </c>
      <c r="Z1064">
        <v>0</v>
      </c>
      <c r="AA1064">
        <v>0.187</v>
      </c>
      <c r="AB1064">
        <v>2716.0520000000001</v>
      </c>
      <c r="AC1064" s="2043">
        <v>1504435866</v>
      </c>
      <c r="AD1064">
        <v>4900796</v>
      </c>
      <c r="AE1064" s="2043">
        <v>17701119</v>
      </c>
      <c r="AF1064">
        <v>1.0174000000000001</v>
      </c>
      <c r="AG1064">
        <v>0</v>
      </c>
      <c r="AH1064">
        <v>0</v>
      </c>
      <c r="AI1064">
        <v>0</v>
      </c>
      <c r="AJ1064">
        <v>298.738</v>
      </c>
      <c r="AK1064">
        <v>7327</v>
      </c>
      <c r="AL1064">
        <v>1.4E-2</v>
      </c>
      <c r="AM1064">
        <v>0</v>
      </c>
      <c r="AN1064">
        <v>53.652000000000001</v>
      </c>
      <c r="AO1064">
        <v>0.3</v>
      </c>
      <c r="AP1064">
        <v>0</v>
      </c>
      <c r="AQ1064">
        <v>3.2490000000000001</v>
      </c>
      <c r="AR1064">
        <v>52.819000000000003</v>
      </c>
      <c r="AS1064">
        <v>0</v>
      </c>
      <c r="AT1064">
        <v>16.938000000000002</v>
      </c>
      <c r="AU1064">
        <v>3.7120000000000002</v>
      </c>
      <c r="AV1064">
        <v>0</v>
      </c>
      <c r="AW1064">
        <v>76.731999999999999</v>
      </c>
      <c r="AX1064">
        <v>0</v>
      </c>
      <c r="AY1064">
        <v>227.90100000000001</v>
      </c>
      <c r="AZ1064">
        <v>0</v>
      </c>
      <c r="BA1064">
        <v>8661881</v>
      </c>
      <c r="BB1064">
        <v>22601915</v>
      </c>
      <c r="BC1064">
        <v>0</v>
      </c>
      <c r="BD1064">
        <v>101376</v>
      </c>
      <c r="BE1064">
        <v>34024</v>
      </c>
      <c r="BF1064">
        <v>142168</v>
      </c>
      <c r="BG1064">
        <v>101376</v>
      </c>
      <c r="BH1064">
        <v>6768</v>
      </c>
      <c r="BI1064">
        <v>0</v>
      </c>
      <c r="BJ1064">
        <v>0</v>
      </c>
      <c r="BK1064">
        <v>0</v>
      </c>
      <c r="BL1064">
        <v>1756935811</v>
      </c>
      <c r="BM1064">
        <v>0</v>
      </c>
      <c r="BN1064">
        <v>10035</v>
      </c>
      <c r="BO1064">
        <v>9865</v>
      </c>
      <c r="BP1064">
        <v>0</v>
      </c>
      <c r="BQ1064">
        <v>0</v>
      </c>
      <c r="BR1064">
        <v>0.87909999999999999</v>
      </c>
      <c r="BS1064">
        <v>0.87909999999999999</v>
      </c>
      <c r="BT1064">
        <v>73585</v>
      </c>
      <c r="BU1064">
        <v>0</v>
      </c>
      <c r="BV1064">
        <v>923</v>
      </c>
      <c r="BW1064">
        <v>125</v>
      </c>
      <c r="BX1064">
        <v>88</v>
      </c>
      <c r="BY1064">
        <v>128</v>
      </c>
      <c r="BZ1064">
        <v>21</v>
      </c>
      <c r="CA1064">
        <v>1285</v>
      </c>
      <c r="CB1064">
        <v>0</v>
      </c>
      <c r="CC1064">
        <v>0</v>
      </c>
      <c r="CD1064">
        <v>0</v>
      </c>
      <c r="CE1064">
        <v>194</v>
      </c>
      <c r="CF1064">
        <v>453.46700000000004</v>
      </c>
      <c r="CG1064">
        <v>0</v>
      </c>
      <c r="CH1064">
        <v>3.8610000000000002</v>
      </c>
      <c r="CI1064">
        <v>6</v>
      </c>
      <c r="CJ1064">
        <v>36</v>
      </c>
      <c r="CK1064">
        <v>0</v>
      </c>
      <c r="CL1064">
        <v>3.8610000000000002</v>
      </c>
      <c r="CM1064">
        <v>314.303</v>
      </c>
      <c r="CN1064">
        <v>0</v>
      </c>
      <c r="CO1064">
        <v>0</v>
      </c>
      <c r="CP1064">
        <v>0</v>
      </c>
      <c r="CQ1064">
        <v>0</v>
      </c>
      <c r="CR1064">
        <v>0</v>
      </c>
      <c r="CS1064">
        <v>0</v>
      </c>
      <c r="CT1064">
        <v>0</v>
      </c>
      <c r="CU1064">
        <v>19.358000000000001</v>
      </c>
      <c r="CV1064">
        <v>161.37200000000001</v>
      </c>
      <c r="CW1064">
        <v>106.65700000000001</v>
      </c>
      <c r="CX1064">
        <v>73585</v>
      </c>
      <c r="CY1064" s="2043">
        <v>0</v>
      </c>
      <c r="CZ1064" s="2043">
        <v>0</v>
      </c>
      <c r="DA1064" s="2043">
        <v>0</v>
      </c>
      <c r="DB1064" s="2043">
        <v>0</v>
      </c>
      <c r="DC1064" s="2043">
        <v>0</v>
      </c>
      <c r="DI1064" t="s">
        <v>3213</v>
      </c>
      <c r="DJ1064" t="s">
        <v>3213</v>
      </c>
      <c r="DK1064" s="2042">
        <f t="shared" si="18"/>
        <v>0</v>
      </c>
    </row>
    <row r="1065" spans="1:115">
      <c r="A1065" t="s">
        <v>3214</v>
      </c>
      <c r="B1065" t="s">
        <v>1587</v>
      </c>
      <c r="C1065">
        <v>6394.3360000000002</v>
      </c>
      <c r="D1065">
        <v>6543.3630000000003</v>
      </c>
      <c r="E1065">
        <v>386.12600000000003</v>
      </c>
      <c r="F1065">
        <v>0</v>
      </c>
      <c r="G1065" s="2043">
        <v>3635769256</v>
      </c>
      <c r="H1065">
        <v>0</v>
      </c>
      <c r="I1065" s="2043">
        <v>6832225</v>
      </c>
      <c r="J1065">
        <v>319.71700000000004</v>
      </c>
      <c r="K1065">
        <v>874</v>
      </c>
      <c r="L1065">
        <v>0</v>
      </c>
      <c r="M1065">
        <v>1377910</v>
      </c>
      <c r="N1065">
        <v>0</v>
      </c>
      <c r="O1065">
        <v>1377910</v>
      </c>
      <c r="P1065">
        <v>0</v>
      </c>
      <c r="Q1065">
        <v>0</v>
      </c>
      <c r="R1065" s="2043">
        <v>29902898</v>
      </c>
      <c r="S1065">
        <v>2847217</v>
      </c>
      <c r="T1065">
        <v>1843573</v>
      </c>
      <c r="U1065">
        <v>0.08</v>
      </c>
      <c r="V1065">
        <v>0</v>
      </c>
      <c r="W1065">
        <v>0</v>
      </c>
      <c r="X1065">
        <v>0</v>
      </c>
      <c r="Y1065">
        <v>0</v>
      </c>
      <c r="Z1065">
        <v>0</v>
      </c>
      <c r="AA1065">
        <v>0.12</v>
      </c>
      <c r="AB1065">
        <v>6188.5940000000001</v>
      </c>
      <c r="AC1065" s="2043">
        <v>2945861965</v>
      </c>
      <c r="AD1065">
        <v>8915619</v>
      </c>
      <c r="AE1065" s="2043">
        <v>34593688</v>
      </c>
      <c r="AF1065">
        <v>0.97200000000000009</v>
      </c>
      <c r="AG1065">
        <v>0</v>
      </c>
      <c r="AH1065">
        <v>0</v>
      </c>
      <c r="AI1065">
        <v>0</v>
      </c>
      <c r="AJ1065">
        <v>802.78800000000001</v>
      </c>
      <c r="AK1065">
        <v>23593</v>
      </c>
      <c r="AL1065">
        <v>0.45900000000000002</v>
      </c>
      <c r="AM1065">
        <v>0</v>
      </c>
      <c r="AN1065">
        <v>301.40300000000002</v>
      </c>
      <c r="AO1065">
        <v>1</v>
      </c>
      <c r="AP1065">
        <v>0</v>
      </c>
      <c r="AQ1065">
        <v>2.5640000000000001</v>
      </c>
      <c r="AR1065">
        <v>110.89200000000001</v>
      </c>
      <c r="AS1065">
        <v>0</v>
      </c>
      <c r="AT1065">
        <v>88.855000000000004</v>
      </c>
      <c r="AU1065">
        <v>16.330000000000002</v>
      </c>
      <c r="AV1065">
        <v>0</v>
      </c>
      <c r="AW1065">
        <v>219.1</v>
      </c>
      <c r="AX1065">
        <v>0</v>
      </c>
      <c r="AY1065">
        <v>683.18600000000004</v>
      </c>
      <c r="AZ1065">
        <v>0</v>
      </c>
      <c r="BA1065">
        <v>27157634</v>
      </c>
      <c r="BB1065">
        <v>43509307</v>
      </c>
      <c r="BC1065">
        <v>171</v>
      </c>
      <c r="BD1065">
        <v>486472</v>
      </c>
      <c r="BE1065">
        <v>132661</v>
      </c>
      <c r="BF1065">
        <v>619304</v>
      </c>
      <c r="BG1065">
        <v>486643</v>
      </c>
      <c r="BH1065">
        <v>0</v>
      </c>
      <c r="BI1065">
        <v>0</v>
      </c>
      <c r="BJ1065">
        <v>0</v>
      </c>
      <c r="BK1065">
        <v>0</v>
      </c>
      <c r="BL1065">
        <v>3635769256</v>
      </c>
      <c r="BM1065">
        <v>0</v>
      </c>
      <c r="BN1065">
        <v>22887</v>
      </c>
      <c r="BO1065">
        <v>13739</v>
      </c>
      <c r="BP1065">
        <v>0</v>
      </c>
      <c r="BQ1065">
        <v>0</v>
      </c>
      <c r="BR1065">
        <v>0.84020000000000006</v>
      </c>
      <c r="BS1065">
        <v>0.84020000000000006</v>
      </c>
      <c r="BT1065">
        <v>0</v>
      </c>
      <c r="BU1065">
        <v>0</v>
      </c>
      <c r="BV1065">
        <v>1337</v>
      </c>
      <c r="BW1065">
        <v>1301</v>
      </c>
      <c r="BX1065">
        <v>315</v>
      </c>
      <c r="BY1065">
        <v>300</v>
      </c>
      <c r="BZ1065">
        <v>129</v>
      </c>
      <c r="CA1065">
        <v>3382</v>
      </c>
      <c r="CB1065">
        <v>0</v>
      </c>
      <c r="CC1065">
        <v>54.716000000000001</v>
      </c>
      <c r="CD1065">
        <v>0</v>
      </c>
      <c r="CE1065">
        <v>478</v>
      </c>
      <c r="CF1065">
        <v>923.50200000000007</v>
      </c>
      <c r="CG1065">
        <v>41.713999999999999</v>
      </c>
      <c r="CH1065">
        <v>0</v>
      </c>
      <c r="CI1065">
        <v>14</v>
      </c>
      <c r="CJ1065">
        <v>53</v>
      </c>
      <c r="CK1065">
        <v>0</v>
      </c>
      <c r="CL1065">
        <v>41.713999999999999</v>
      </c>
      <c r="CM1065">
        <v>386.12600000000003</v>
      </c>
      <c r="CN1065">
        <v>0</v>
      </c>
      <c r="CO1065">
        <v>0</v>
      </c>
      <c r="CP1065">
        <v>0</v>
      </c>
      <c r="CQ1065">
        <v>0</v>
      </c>
      <c r="CR1065">
        <v>0</v>
      </c>
      <c r="CS1065">
        <v>0</v>
      </c>
      <c r="CT1065">
        <v>0</v>
      </c>
      <c r="CU1065">
        <v>11.792</v>
      </c>
      <c r="CV1065">
        <v>537.61700000000008</v>
      </c>
      <c r="CW1065">
        <v>142.55600000000001</v>
      </c>
      <c r="CX1065">
        <v>0</v>
      </c>
      <c r="CY1065" s="2043">
        <v>0</v>
      </c>
      <c r="CZ1065" s="2043">
        <v>0</v>
      </c>
      <c r="DA1065" s="2043">
        <v>0</v>
      </c>
      <c r="DB1065" s="2043">
        <v>0</v>
      </c>
      <c r="DC1065" s="2043">
        <v>0</v>
      </c>
      <c r="DI1065" t="s">
        <v>3214</v>
      </c>
      <c r="DJ1065" t="s">
        <v>3214</v>
      </c>
      <c r="DK1065" s="2042">
        <f t="shared" si="18"/>
        <v>0</v>
      </c>
    </row>
    <row r="1066" spans="1:115">
      <c r="A1066" t="s">
        <v>3215</v>
      </c>
      <c r="B1066" t="s">
        <v>1054</v>
      </c>
      <c r="C1066">
        <v>21333.550999999999</v>
      </c>
      <c r="D1066">
        <v>22580.768</v>
      </c>
      <c r="E1066">
        <v>3945.0210000000002</v>
      </c>
      <c r="F1066">
        <v>0</v>
      </c>
      <c r="G1066" s="2043">
        <v>16894556386</v>
      </c>
      <c r="H1066">
        <v>0</v>
      </c>
      <c r="I1066" s="2043">
        <v>36784564</v>
      </c>
      <c r="J1066">
        <v>1066.6780000000001</v>
      </c>
      <c r="K1066">
        <v>2916</v>
      </c>
      <c r="L1066">
        <v>0</v>
      </c>
      <c r="M1066">
        <v>4462566</v>
      </c>
      <c r="N1066">
        <v>0</v>
      </c>
      <c r="O1066">
        <v>4462566</v>
      </c>
      <c r="P1066">
        <v>0</v>
      </c>
      <c r="Q1066">
        <v>0</v>
      </c>
      <c r="R1066" s="2043">
        <v>146083317</v>
      </c>
      <c r="S1066">
        <v>8345711</v>
      </c>
      <c r="T1066">
        <v>0</v>
      </c>
      <c r="U1066">
        <v>0.05</v>
      </c>
      <c r="V1066">
        <v>136.52000000000001</v>
      </c>
      <c r="W1066">
        <v>0</v>
      </c>
      <c r="X1066">
        <v>0</v>
      </c>
      <c r="Y1066">
        <v>3981005</v>
      </c>
      <c r="Z1066">
        <v>0</v>
      </c>
      <c r="AA1066">
        <v>0.87</v>
      </c>
      <c r="AB1066">
        <v>21527.07</v>
      </c>
      <c r="AC1066" s="2043">
        <v>14414473200</v>
      </c>
      <c r="AD1066">
        <v>39329320</v>
      </c>
      <c r="AE1066" s="2043">
        <v>154429028</v>
      </c>
      <c r="AF1066">
        <v>0.92520000000000002</v>
      </c>
      <c r="AG1066">
        <v>0</v>
      </c>
      <c r="AH1066">
        <v>0</v>
      </c>
      <c r="AI1066">
        <v>0</v>
      </c>
      <c r="AJ1066">
        <v>3419.3250000000003</v>
      </c>
      <c r="AK1066">
        <v>68496</v>
      </c>
      <c r="AL1066">
        <v>1.7350000000000001</v>
      </c>
      <c r="AM1066">
        <v>0</v>
      </c>
      <c r="AN1066">
        <v>616.05600000000004</v>
      </c>
      <c r="AO1066">
        <v>0</v>
      </c>
      <c r="AP1066">
        <v>0</v>
      </c>
      <c r="AQ1066">
        <v>3.9210000000000003</v>
      </c>
      <c r="AR1066">
        <v>462.66900000000004</v>
      </c>
      <c r="AS1066">
        <v>0</v>
      </c>
      <c r="AT1066">
        <v>212.98700000000002</v>
      </c>
      <c r="AU1066">
        <v>49.733000000000004</v>
      </c>
      <c r="AV1066">
        <v>0</v>
      </c>
      <c r="AW1066">
        <v>737.98700000000008</v>
      </c>
      <c r="AX1066">
        <v>6.9420000000000002</v>
      </c>
      <c r="AY1066">
        <v>2300.2750000000001</v>
      </c>
      <c r="AZ1066">
        <v>0</v>
      </c>
      <c r="BA1066">
        <v>40672862</v>
      </c>
      <c r="BB1066">
        <v>193758348</v>
      </c>
      <c r="BC1066">
        <v>4221</v>
      </c>
      <c r="BD1066">
        <v>362995</v>
      </c>
      <c r="BE1066">
        <v>171728</v>
      </c>
      <c r="BF1066">
        <v>666367</v>
      </c>
      <c r="BG1066">
        <v>367216</v>
      </c>
      <c r="BH1066">
        <v>127423</v>
      </c>
      <c r="BI1066">
        <v>0</v>
      </c>
      <c r="BJ1066">
        <v>-1515</v>
      </c>
      <c r="BK1066">
        <v>0</v>
      </c>
      <c r="BL1066">
        <v>16894556386</v>
      </c>
      <c r="BM1066">
        <v>0</v>
      </c>
      <c r="BN1066">
        <v>76545</v>
      </c>
      <c r="BO1066">
        <v>29564</v>
      </c>
      <c r="BP1066">
        <v>21409</v>
      </c>
      <c r="BQ1066">
        <v>0</v>
      </c>
      <c r="BR1066">
        <v>0.87520000000000009</v>
      </c>
      <c r="BS1066">
        <v>0.87520000000000009</v>
      </c>
      <c r="BT1066">
        <v>3982520</v>
      </c>
      <c r="BU1066">
        <v>0</v>
      </c>
      <c r="BV1066">
        <v>3906</v>
      </c>
      <c r="BW1066">
        <v>2892</v>
      </c>
      <c r="BX1066">
        <v>2130</v>
      </c>
      <c r="BY1066">
        <v>2814</v>
      </c>
      <c r="BZ1066">
        <v>2118</v>
      </c>
      <c r="CA1066">
        <v>13860</v>
      </c>
      <c r="CB1066">
        <v>0</v>
      </c>
      <c r="CC1066">
        <v>0</v>
      </c>
      <c r="CD1066">
        <v>0</v>
      </c>
      <c r="CE1066">
        <v>1405</v>
      </c>
      <c r="CF1066">
        <v>5691.384</v>
      </c>
      <c r="CG1066">
        <v>54.833000000000006</v>
      </c>
      <c r="CH1066">
        <v>4.67</v>
      </c>
      <c r="CI1066">
        <v>126</v>
      </c>
      <c r="CJ1066">
        <v>241</v>
      </c>
      <c r="CK1066">
        <v>5</v>
      </c>
      <c r="CL1066">
        <v>59.503</v>
      </c>
      <c r="CM1066">
        <v>3945.0210000000002</v>
      </c>
      <c r="CN1066">
        <v>21409</v>
      </c>
      <c r="CO1066">
        <v>0</v>
      </c>
      <c r="CP1066">
        <v>0</v>
      </c>
      <c r="CQ1066">
        <v>0</v>
      </c>
      <c r="CR1066">
        <v>0</v>
      </c>
      <c r="CS1066">
        <v>0</v>
      </c>
      <c r="CT1066">
        <v>0</v>
      </c>
      <c r="CU1066">
        <v>67.421999999999997</v>
      </c>
      <c r="CV1066">
        <v>828.51499999999999</v>
      </c>
      <c r="CW1066">
        <v>252.43300000000002</v>
      </c>
      <c r="CX1066">
        <v>3982520</v>
      </c>
      <c r="CY1066" s="2043">
        <v>0</v>
      </c>
      <c r="CZ1066" s="2043">
        <v>0</v>
      </c>
      <c r="DA1066" s="2043">
        <v>0</v>
      </c>
      <c r="DB1066" s="2043">
        <v>0</v>
      </c>
      <c r="DC1066" s="2043">
        <v>893772</v>
      </c>
      <c r="DI1066" t="s">
        <v>3215</v>
      </c>
      <c r="DJ1066" t="s">
        <v>3215</v>
      </c>
      <c r="DK1066" s="2042">
        <f t="shared" si="18"/>
        <v>0</v>
      </c>
    </row>
    <row r="1067" spans="1:115">
      <c r="A1067" t="s">
        <v>3216</v>
      </c>
      <c r="B1067" t="s">
        <v>1743</v>
      </c>
      <c r="C1067">
        <v>3343.9300000000003</v>
      </c>
      <c r="D1067">
        <v>3307.241</v>
      </c>
      <c r="E1067">
        <v>696.73400000000004</v>
      </c>
      <c r="F1067">
        <v>0</v>
      </c>
      <c r="G1067" s="2043">
        <v>1042544699</v>
      </c>
      <c r="H1067">
        <v>0</v>
      </c>
      <c r="I1067" s="2043">
        <v>2978100</v>
      </c>
      <c r="J1067">
        <v>167.197</v>
      </c>
      <c r="K1067">
        <v>457</v>
      </c>
      <c r="L1067">
        <v>80384</v>
      </c>
      <c r="M1067">
        <v>763457</v>
      </c>
      <c r="N1067">
        <v>80384</v>
      </c>
      <c r="O1067">
        <v>843841</v>
      </c>
      <c r="P1067">
        <v>0</v>
      </c>
      <c r="Q1067">
        <v>0</v>
      </c>
      <c r="R1067" s="2043">
        <v>8489467</v>
      </c>
      <c r="S1067">
        <v>826226</v>
      </c>
      <c r="T1067">
        <v>516391</v>
      </c>
      <c r="U1067">
        <v>0.08</v>
      </c>
      <c r="V1067">
        <v>0</v>
      </c>
      <c r="W1067">
        <v>0</v>
      </c>
      <c r="X1067">
        <v>0</v>
      </c>
      <c r="Y1067">
        <v>0</v>
      </c>
      <c r="Z1067">
        <v>0</v>
      </c>
      <c r="AA1067">
        <v>0.23700000000000002</v>
      </c>
      <c r="AB1067">
        <v>3346.7130000000002</v>
      </c>
      <c r="AC1067" s="2043">
        <v>781510615</v>
      </c>
      <c r="AD1067">
        <v>3764802</v>
      </c>
      <c r="AE1067" s="2043">
        <v>9832084</v>
      </c>
      <c r="AF1067">
        <v>0.95200000000000007</v>
      </c>
      <c r="AG1067">
        <v>0</v>
      </c>
      <c r="AH1067">
        <v>0</v>
      </c>
      <c r="AI1067">
        <v>0</v>
      </c>
      <c r="AJ1067">
        <v>812.78800000000001</v>
      </c>
      <c r="AK1067">
        <v>13128</v>
      </c>
      <c r="AL1067">
        <v>0.193</v>
      </c>
      <c r="AM1067">
        <v>0</v>
      </c>
      <c r="AN1067">
        <v>160.02600000000001</v>
      </c>
      <c r="AO1067">
        <v>0</v>
      </c>
      <c r="AP1067">
        <v>0</v>
      </c>
      <c r="AQ1067">
        <v>0</v>
      </c>
      <c r="AR1067">
        <v>74.686000000000007</v>
      </c>
      <c r="AS1067">
        <v>0</v>
      </c>
      <c r="AT1067">
        <v>31.841000000000001</v>
      </c>
      <c r="AU1067">
        <v>9.1920000000000002</v>
      </c>
      <c r="AV1067">
        <v>0</v>
      </c>
      <c r="AW1067">
        <v>115.91200000000001</v>
      </c>
      <c r="AX1067">
        <v>0</v>
      </c>
      <c r="AY1067">
        <v>366.50600000000003</v>
      </c>
      <c r="AZ1067">
        <v>0</v>
      </c>
      <c r="BA1067">
        <v>28250671</v>
      </c>
      <c r="BB1067">
        <v>13596886</v>
      </c>
      <c r="BC1067">
        <v>0</v>
      </c>
      <c r="BD1067">
        <v>31860</v>
      </c>
      <c r="BE1067">
        <v>19725</v>
      </c>
      <c r="BF1067">
        <v>56240</v>
      </c>
      <c r="BG1067">
        <v>31860</v>
      </c>
      <c r="BH1067">
        <v>4655</v>
      </c>
      <c r="BI1067">
        <v>0</v>
      </c>
      <c r="BJ1067">
        <v>0</v>
      </c>
      <c r="BK1067">
        <v>0</v>
      </c>
      <c r="BL1067">
        <v>1042544699</v>
      </c>
      <c r="BM1067">
        <v>0</v>
      </c>
      <c r="BN1067">
        <v>12321</v>
      </c>
      <c r="BO1067">
        <v>4473</v>
      </c>
      <c r="BP1067">
        <v>6057</v>
      </c>
      <c r="BQ1067">
        <v>0</v>
      </c>
      <c r="BR1067">
        <v>0.82200000000000006</v>
      </c>
      <c r="BS1067">
        <v>0.82200000000000006</v>
      </c>
      <c r="BT1067">
        <v>0</v>
      </c>
      <c r="BU1067">
        <v>0</v>
      </c>
      <c r="BV1067">
        <v>41</v>
      </c>
      <c r="BW1067">
        <v>584</v>
      </c>
      <c r="BX1067">
        <v>1325</v>
      </c>
      <c r="BY1067">
        <v>701</v>
      </c>
      <c r="BZ1067">
        <v>544</v>
      </c>
      <c r="CA1067">
        <v>3195</v>
      </c>
      <c r="CB1067">
        <v>0</v>
      </c>
      <c r="CC1067">
        <v>548.40899999999999</v>
      </c>
      <c r="CD1067">
        <v>0</v>
      </c>
      <c r="CE1067">
        <v>195</v>
      </c>
      <c r="CF1067">
        <v>1281.884</v>
      </c>
      <c r="CG1067">
        <v>21.881</v>
      </c>
      <c r="CH1067">
        <v>0</v>
      </c>
      <c r="CI1067">
        <v>4</v>
      </c>
      <c r="CJ1067">
        <v>0</v>
      </c>
      <c r="CK1067">
        <v>0</v>
      </c>
      <c r="CL1067">
        <v>21.881</v>
      </c>
      <c r="CM1067">
        <v>696.73400000000004</v>
      </c>
      <c r="CN1067">
        <v>0</v>
      </c>
      <c r="CO1067">
        <v>0</v>
      </c>
      <c r="CP1067">
        <v>6057</v>
      </c>
      <c r="CQ1067">
        <v>0</v>
      </c>
      <c r="CR1067">
        <v>0</v>
      </c>
      <c r="CS1067">
        <v>0</v>
      </c>
      <c r="CT1067">
        <v>0</v>
      </c>
      <c r="CU1067">
        <v>23.663</v>
      </c>
      <c r="CV1067">
        <v>220.02500000000001</v>
      </c>
      <c r="CW1067">
        <v>98.881</v>
      </c>
      <c r="CX1067">
        <v>0</v>
      </c>
      <c r="CY1067" s="2043">
        <v>0</v>
      </c>
      <c r="CZ1067" s="2043">
        <v>0</v>
      </c>
      <c r="DA1067" s="2043">
        <v>0</v>
      </c>
      <c r="DB1067" s="2043">
        <v>0</v>
      </c>
      <c r="DC1067" s="2043">
        <v>0</v>
      </c>
      <c r="DI1067" t="s">
        <v>3216</v>
      </c>
      <c r="DJ1067" t="s">
        <v>3216</v>
      </c>
      <c r="DK1067" s="2042">
        <f t="shared" si="18"/>
        <v>0</v>
      </c>
    </row>
    <row r="1068" spans="1:115">
      <c r="A1068" t="s">
        <v>3217</v>
      </c>
      <c r="B1068" t="s">
        <v>2100</v>
      </c>
      <c r="C1068">
        <v>20898.863000000001</v>
      </c>
      <c r="D1068">
        <v>20730.633999999998</v>
      </c>
      <c r="E1068">
        <v>2175.25</v>
      </c>
      <c r="F1068">
        <v>0</v>
      </c>
      <c r="G1068" s="2043">
        <v>12282596363</v>
      </c>
      <c r="H1068">
        <v>0</v>
      </c>
      <c r="I1068" s="2043">
        <v>48525479</v>
      </c>
      <c r="J1068">
        <v>1044.943</v>
      </c>
      <c r="K1068">
        <v>2857</v>
      </c>
      <c r="L1068">
        <v>0</v>
      </c>
      <c r="M1068">
        <v>4072152</v>
      </c>
      <c r="N1068">
        <v>0</v>
      </c>
      <c r="O1068">
        <v>4072152</v>
      </c>
      <c r="P1068">
        <v>0</v>
      </c>
      <c r="Q1068">
        <v>0</v>
      </c>
      <c r="R1068" s="2043">
        <v>101303992</v>
      </c>
      <c r="S1068">
        <v>9793739</v>
      </c>
      <c r="T1068">
        <v>6121087</v>
      </c>
      <c r="U1068">
        <v>0.08</v>
      </c>
      <c r="V1068">
        <v>525.39</v>
      </c>
      <c r="W1068">
        <v>0</v>
      </c>
      <c r="X1068">
        <v>0</v>
      </c>
      <c r="Y1068">
        <v>-8796</v>
      </c>
      <c r="Z1068">
        <v>0</v>
      </c>
      <c r="AA1068">
        <v>1.27</v>
      </c>
      <c r="AB1068">
        <v>20272.16</v>
      </c>
      <c r="AC1068" s="2043">
        <v>9987879527</v>
      </c>
      <c r="AD1068">
        <v>61124855</v>
      </c>
      <c r="AE1068" s="2043">
        <v>117218818</v>
      </c>
      <c r="AF1068">
        <v>0.95750000000000002</v>
      </c>
      <c r="AG1068">
        <v>0</v>
      </c>
      <c r="AH1068">
        <v>0</v>
      </c>
      <c r="AI1068">
        <v>0</v>
      </c>
      <c r="AJ1068">
        <v>2305.8130000000001</v>
      </c>
      <c r="AK1068">
        <v>75985</v>
      </c>
      <c r="AL1068">
        <v>0.60099999999999998</v>
      </c>
      <c r="AM1068">
        <v>0</v>
      </c>
      <c r="AN1068">
        <v>268.928</v>
      </c>
      <c r="AO1068">
        <v>0</v>
      </c>
      <c r="AP1068">
        <v>7.0000000000000001E-3</v>
      </c>
      <c r="AQ1068">
        <v>0</v>
      </c>
      <c r="AR1068">
        <v>773.38100000000009</v>
      </c>
      <c r="AS1068">
        <v>0</v>
      </c>
      <c r="AT1068">
        <v>155.22200000000001</v>
      </c>
      <c r="AU1068">
        <v>51.381</v>
      </c>
      <c r="AV1068">
        <v>0</v>
      </c>
      <c r="AW1068">
        <v>980.64</v>
      </c>
      <c r="AX1068">
        <v>4.8000000000000001E-2</v>
      </c>
      <c r="AY1068">
        <v>3045.848</v>
      </c>
      <c r="AZ1068">
        <v>0</v>
      </c>
      <c r="BA1068">
        <v>82550819</v>
      </c>
      <c r="BB1068">
        <v>178343673</v>
      </c>
      <c r="BC1068">
        <v>0</v>
      </c>
      <c r="BD1068">
        <v>371314</v>
      </c>
      <c r="BE1068">
        <v>202135</v>
      </c>
      <c r="BF1068">
        <v>798945</v>
      </c>
      <c r="BG1068">
        <v>371314</v>
      </c>
      <c r="BH1068">
        <v>225496</v>
      </c>
      <c r="BI1068">
        <v>-8796</v>
      </c>
      <c r="BJ1068">
        <v>0</v>
      </c>
      <c r="BK1068">
        <v>0</v>
      </c>
      <c r="BL1068">
        <v>12282596363</v>
      </c>
      <c r="BM1068">
        <v>0</v>
      </c>
      <c r="BN1068">
        <v>77535</v>
      </c>
      <c r="BO1068">
        <v>27135</v>
      </c>
      <c r="BP1068">
        <v>3613</v>
      </c>
      <c r="BQ1068">
        <v>0</v>
      </c>
      <c r="BR1068">
        <v>0.82750000000000001</v>
      </c>
      <c r="BS1068">
        <v>0.82750000000000001</v>
      </c>
      <c r="BT1068">
        <v>0</v>
      </c>
      <c r="BU1068">
        <v>0</v>
      </c>
      <c r="BV1068">
        <v>5886</v>
      </c>
      <c r="BW1068">
        <v>1968</v>
      </c>
      <c r="BX1068">
        <v>1782</v>
      </c>
      <c r="BY1068">
        <v>81</v>
      </c>
      <c r="BZ1068">
        <v>172</v>
      </c>
      <c r="CA1068">
        <v>9889</v>
      </c>
      <c r="CB1068">
        <v>0</v>
      </c>
      <c r="CC1068">
        <v>542.27100000000007</v>
      </c>
      <c r="CD1068">
        <v>0</v>
      </c>
      <c r="CE1068">
        <v>1488</v>
      </c>
      <c r="CF1068">
        <v>3696.4670000000001</v>
      </c>
      <c r="CG1068">
        <v>77.997</v>
      </c>
      <c r="CH1068">
        <v>0</v>
      </c>
      <c r="CI1068">
        <v>54</v>
      </c>
      <c r="CJ1068">
        <v>92</v>
      </c>
      <c r="CK1068">
        <v>3</v>
      </c>
      <c r="CL1068">
        <v>77.997</v>
      </c>
      <c r="CM1068">
        <v>2175.25</v>
      </c>
      <c r="CN1068">
        <v>0</v>
      </c>
      <c r="CO1068">
        <v>0</v>
      </c>
      <c r="CP1068">
        <v>3613</v>
      </c>
      <c r="CQ1068">
        <v>0</v>
      </c>
      <c r="CR1068">
        <v>0</v>
      </c>
      <c r="CS1068">
        <v>0</v>
      </c>
      <c r="CT1068">
        <v>0</v>
      </c>
      <c r="CU1068">
        <v>0</v>
      </c>
      <c r="CV1068">
        <v>910.55100000000004</v>
      </c>
      <c r="CW1068">
        <v>381.04300000000001</v>
      </c>
      <c r="CX1068">
        <v>0</v>
      </c>
      <c r="CY1068" s="2043">
        <v>0</v>
      </c>
      <c r="CZ1068" s="2043">
        <v>0</v>
      </c>
      <c r="DA1068" s="2043">
        <v>0</v>
      </c>
      <c r="DB1068" s="2043">
        <v>0</v>
      </c>
      <c r="DC1068" s="2043">
        <v>0</v>
      </c>
      <c r="DI1068" t="s">
        <v>3217</v>
      </c>
      <c r="DJ1068" t="s">
        <v>3217</v>
      </c>
      <c r="DK1068" s="2042">
        <f t="shared" si="18"/>
        <v>0</v>
      </c>
    </row>
    <row r="1069" spans="1:115">
      <c r="A1069" t="s">
        <v>4710</v>
      </c>
      <c r="B1069" t="s">
        <v>1742</v>
      </c>
      <c r="C1069">
        <v>7947.5940000000001</v>
      </c>
      <c r="D1069">
        <v>8145.9880000000003</v>
      </c>
      <c r="E1069">
        <v>231.31700000000001</v>
      </c>
      <c r="F1069">
        <v>0</v>
      </c>
      <c r="G1069" s="2043">
        <v>9777793366</v>
      </c>
      <c r="H1069">
        <v>0</v>
      </c>
      <c r="I1069" s="2043">
        <v>30708891</v>
      </c>
      <c r="J1069">
        <v>397.38</v>
      </c>
      <c r="K1069">
        <v>1086</v>
      </c>
      <c r="L1069">
        <v>0</v>
      </c>
      <c r="M1069">
        <v>693277</v>
      </c>
      <c r="N1069">
        <v>0</v>
      </c>
      <c r="O1069">
        <v>693277</v>
      </c>
      <c r="P1069">
        <v>0</v>
      </c>
      <c r="Q1069">
        <v>0</v>
      </c>
      <c r="R1069" s="2043">
        <v>85485277</v>
      </c>
      <c r="S1069">
        <v>4810110</v>
      </c>
      <c r="T1069">
        <v>0</v>
      </c>
      <c r="U1069">
        <v>0.05</v>
      </c>
      <c r="V1069">
        <v>0</v>
      </c>
      <c r="W1069">
        <v>34445540</v>
      </c>
      <c r="X1069">
        <v>0</v>
      </c>
      <c r="Y1069">
        <v>2755298</v>
      </c>
      <c r="Z1069">
        <v>0</v>
      </c>
      <c r="AA1069">
        <v>0</v>
      </c>
      <c r="AB1069">
        <v>8084.6220000000003</v>
      </c>
      <c r="AC1069" s="2043">
        <v>8903507772</v>
      </c>
      <c r="AD1069">
        <v>33369355</v>
      </c>
      <c r="AE1069" s="2043">
        <v>90295387</v>
      </c>
      <c r="AF1069">
        <v>0.93859999999999999</v>
      </c>
      <c r="AG1069">
        <v>4606560</v>
      </c>
      <c r="AH1069">
        <v>34445540</v>
      </c>
      <c r="AI1069">
        <v>0</v>
      </c>
      <c r="AJ1069">
        <v>27.613000000000003</v>
      </c>
      <c r="AK1069">
        <v>16198</v>
      </c>
      <c r="AL1069">
        <v>8.2000000000000003E-2</v>
      </c>
      <c r="AM1069">
        <v>0</v>
      </c>
      <c r="AN1069">
        <v>52.083000000000006</v>
      </c>
      <c r="AO1069">
        <v>0</v>
      </c>
      <c r="AP1069">
        <v>0</v>
      </c>
      <c r="AQ1069">
        <v>0</v>
      </c>
      <c r="AR1069">
        <v>163.94400000000002</v>
      </c>
      <c r="AS1069">
        <v>0</v>
      </c>
      <c r="AT1069">
        <v>29.571000000000002</v>
      </c>
      <c r="AU1069">
        <v>11.801</v>
      </c>
      <c r="AV1069">
        <v>0</v>
      </c>
      <c r="AW1069">
        <v>212.08100000000002</v>
      </c>
      <c r="AX1069">
        <v>6.6830000000000007</v>
      </c>
      <c r="AY1069">
        <v>655.33100000000002</v>
      </c>
      <c r="AZ1069">
        <v>2755298</v>
      </c>
      <c r="BA1069">
        <v>7065591</v>
      </c>
      <c r="BB1069">
        <v>123664742</v>
      </c>
      <c r="BC1069">
        <v>0</v>
      </c>
      <c r="BD1069">
        <v>0</v>
      </c>
      <c r="BE1069">
        <v>0</v>
      </c>
      <c r="BF1069">
        <v>0</v>
      </c>
      <c r="BG1069">
        <v>0</v>
      </c>
      <c r="BH1069">
        <v>0</v>
      </c>
      <c r="BI1069">
        <v>0</v>
      </c>
      <c r="BJ1069">
        <v>0</v>
      </c>
      <c r="BK1069">
        <v>0</v>
      </c>
      <c r="BL1069">
        <v>9777793366</v>
      </c>
      <c r="BM1069">
        <v>0</v>
      </c>
      <c r="BN1069">
        <v>32616</v>
      </c>
      <c r="BO1069">
        <v>12883</v>
      </c>
      <c r="BP1069">
        <v>0</v>
      </c>
      <c r="BQ1069">
        <v>0</v>
      </c>
      <c r="BR1069">
        <v>0.88860000000000006</v>
      </c>
      <c r="BS1069">
        <v>0.88860000000000006</v>
      </c>
      <c r="BT1069">
        <v>0</v>
      </c>
      <c r="BU1069">
        <v>0</v>
      </c>
      <c r="BV1069">
        <v>82</v>
      </c>
      <c r="BW1069">
        <v>33</v>
      </c>
      <c r="BX1069">
        <v>2</v>
      </c>
      <c r="BY1069">
        <v>0</v>
      </c>
      <c r="BZ1069">
        <v>3</v>
      </c>
      <c r="CA1069">
        <v>120</v>
      </c>
      <c r="CB1069">
        <v>0</v>
      </c>
      <c r="CC1069">
        <v>0</v>
      </c>
      <c r="CD1069">
        <v>0</v>
      </c>
      <c r="CE1069">
        <v>328</v>
      </c>
      <c r="CF1069">
        <v>147.197</v>
      </c>
      <c r="CG1069">
        <v>0</v>
      </c>
      <c r="CH1069">
        <v>0</v>
      </c>
      <c r="CI1069">
        <v>4</v>
      </c>
      <c r="CJ1069">
        <v>386</v>
      </c>
      <c r="CK1069">
        <v>7</v>
      </c>
      <c r="CL1069">
        <v>0</v>
      </c>
      <c r="CM1069">
        <v>231.31700000000001</v>
      </c>
      <c r="CN1069">
        <v>0</v>
      </c>
      <c r="CO1069">
        <v>0</v>
      </c>
      <c r="CP1069">
        <v>0</v>
      </c>
      <c r="CQ1069">
        <v>0</v>
      </c>
      <c r="CR1069">
        <v>0</v>
      </c>
      <c r="CS1069">
        <v>0</v>
      </c>
      <c r="CT1069">
        <v>0</v>
      </c>
      <c r="CU1069">
        <v>2.157</v>
      </c>
      <c r="CV1069">
        <v>202.15600000000001</v>
      </c>
      <c r="CW1069">
        <v>163.845</v>
      </c>
      <c r="CX1069">
        <v>0</v>
      </c>
      <c r="CY1069" s="2043">
        <v>0</v>
      </c>
      <c r="CZ1069" s="2043">
        <v>4606560</v>
      </c>
      <c r="DA1069" s="2043">
        <v>0</v>
      </c>
      <c r="DB1069" s="2043">
        <v>0</v>
      </c>
      <c r="DC1069" s="2043">
        <v>630000</v>
      </c>
      <c r="DI1069" t="s">
        <v>4710</v>
      </c>
      <c r="DJ1069" t="s">
        <v>4710</v>
      </c>
      <c r="DK1069" s="2042">
        <f t="shared" si="18"/>
        <v>0</v>
      </c>
    </row>
    <row r="1070" spans="1:115">
      <c r="A1070" t="s">
        <v>3218</v>
      </c>
      <c r="B1070" t="s">
        <v>1109</v>
      </c>
      <c r="C1070">
        <v>6428.1120000000001</v>
      </c>
      <c r="D1070">
        <v>6549.2390000000005</v>
      </c>
      <c r="E1070">
        <v>504.44500000000005</v>
      </c>
      <c r="F1070">
        <v>0</v>
      </c>
      <c r="G1070" s="2043">
        <v>2693368257</v>
      </c>
      <c r="H1070">
        <v>0</v>
      </c>
      <c r="I1070" s="2043">
        <v>9703916</v>
      </c>
      <c r="J1070">
        <v>321.40600000000001</v>
      </c>
      <c r="K1070">
        <v>879</v>
      </c>
      <c r="L1070">
        <v>0</v>
      </c>
      <c r="M1070">
        <v>1433532</v>
      </c>
      <c r="N1070">
        <v>0</v>
      </c>
      <c r="O1070">
        <v>1433532</v>
      </c>
      <c r="P1070">
        <v>0</v>
      </c>
      <c r="Q1070">
        <v>0</v>
      </c>
      <c r="R1070" s="2043">
        <v>22475579</v>
      </c>
      <c r="S1070">
        <v>2114602</v>
      </c>
      <c r="T1070">
        <v>1321627</v>
      </c>
      <c r="U1070">
        <v>0.08</v>
      </c>
      <c r="V1070">
        <v>0</v>
      </c>
      <c r="W1070">
        <v>0</v>
      </c>
      <c r="X1070">
        <v>0</v>
      </c>
      <c r="Y1070">
        <v>0</v>
      </c>
      <c r="Z1070">
        <v>0</v>
      </c>
      <c r="AA1070">
        <v>0.12</v>
      </c>
      <c r="AB1070">
        <v>6187.3530000000001</v>
      </c>
      <c r="AC1070" s="2043">
        <v>2149098643</v>
      </c>
      <c r="AD1070">
        <v>12682515</v>
      </c>
      <c r="AE1070" s="2043">
        <v>25911808</v>
      </c>
      <c r="AF1070">
        <v>0.98030000000000006</v>
      </c>
      <c r="AG1070">
        <v>0</v>
      </c>
      <c r="AH1070">
        <v>0</v>
      </c>
      <c r="AI1070">
        <v>0</v>
      </c>
      <c r="AJ1070">
        <v>953.57500000000005</v>
      </c>
      <c r="AK1070">
        <v>18568</v>
      </c>
      <c r="AL1070">
        <v>0.9840000000000001</v>
      </c>
      <c r="AM1070">
        <v>0</v>
      </c>
      <c r="AN1070">
        <v>279.45500000000004</v>
      </c>
      <c r="AO1070">
        <v>0</v>
      </c>
      <c r="AP1070">
        <v>0</v>
      </c>
      <c r="AQ1070">
        <v>0</v>
      </c>
      <c r="AR1070">
        <v>88.858000000000004</v>
      </c>
      <c r="AS1070">
        <v>0</v>
      </c>
      <c r="AT1070">
        <v>45.691000000000003</v>
      </c>
      <c r="AU1070">
        <v>15.464</v>
      </c>
      <c r="AV1070">
        <v>0</v>
      </c>
      <c r="AW1070">
        <v>156.47400000000002</v>
      </c>
      <c r="AX1070">
        <v>5.4770000000000003</v>
      </c>
      <c r="AY1070">
        <v>498.48400000000004</v>
      </c>
      <c r="AZ1070">
        <v>0</v>
      </c>
      <c r="BA1070">
        <v>35357806</v>
      </c>
      <c r="BB1070">
        <v>38594323</v>
      </c>
      <c r="BC1070">
        <v>0</v>
      </c>
      <c r="BD1070">
        <v>128838</v>
      </c>
      <c r="BE1070">
        <v>73597</v>
      </c>
      <c r="BF1070">
        <v>202435</v>
      </c>
      <c r="BG1070">
        <v>128838</v>
      </c>
      <c r="BH1070">
        <v>0</v>
      </c>
      <c r="BI1070">
        <v>0</v>
      </c>
      <c r="BJ1070">
        <v>0</v>
      </c>
      <c r="BK1070">
        <v>0</v>
      </c>
      <c r="BL1070">
        <v>2693368257</v>
      </c>
      <c r="BM1070">
        <v>0</v>
      </c>
      <c r="BN1070">
        <v>25164</v>
      </c>
      <c r="BO1070">
        <v>12455</v>
      </c>
      <c r="BP1070">
        <v>0</v>
      </c>
      <c r="BQ1070">
        <v>0</v>
      </c>
      <c r="BR1070">
        <v>0.85030000000000006</v>
      </c>
      <c r="BS1070">
        <v>0.85030000000000006</v>
      </c>
      <c r="BT1070">
        <v>0</v>
      </c>
      <c r="BU1070">
        <v>0</v>
      </c>
      <c r="BV1070">
        <v>814</v>
      </c>
      <c r="BW1070">
        <v>704</v>
      </c>
      <c r="BX1070">
        <v>1465</v>
      </c>
      <c r="BY1070">
        <v>358</v>
      </c>
      <c r="BZ1070">
        <v>520</v>
      </c>
      <c r="CA1070">
        <v>3861</v>
      </c>
      <c r="CB1070">
        <v>0</v>
      </c>
      <c r="CC1070">
        <v>407.44600000000003</v>
      </c>
      <c r="CD1070">
        <v>149.506</v>
      </c>
      <c r="CE1070">
        <v>479</v>
      </c>
      <c r="CF1070">
        <v>1402.1780000000001</v>
      </c>
      <c r="CG1070">
        <v>0</v>
      </c>
      <c r="CH1070">
        <v>0</v>
      </c>
      <c r="CI1070">
        <v>11</v>
      </c>
      <c r="CJ1070">
        <v>12</v>
      </c>
      <c r="CK1070">
        <v>1</v>
      </c>
      <c r="CL1070">
        <v>0</v>
      </c>
      <c r="CM1070">
        <v>504.44500000000005</v>
      </c>
      <c r="CN1070">
        <v>0</v>
      </c>
      <c r="CO1070">
        <v>0</v>
      </c>
      <c r="CP1070">
        <v>0</v>
      </c>
      <c r="CQ1070">
        <v>0</v>
      </c>
      <c r="CR1070">
        <v>0</v>
      </c>
      <c r="CS1070">
        <v>0</v>
      </c>
      <c r="CT1070">
        <v>0</v>
      </c>
      <c r="CU1070">
        <v>0.66300000000000003</v>
      </c>
      <c r="CV1070">
        <v>270.637</v>
      </c>
      <c r="CW1070">
        <v>108.39500000000001</v>
      </c>
      <c r="CX1070">
        <v>0</v>
      </c>
      <c r="CY1070" s="2043">
        <v>0</v>
      </c>
      <c r="CZ1070" s="2043">
        <v>0</v>
      </c>
      <c r="DA1070" s="2043">
        <v>0</v>
      </c>
      <c r="DB1070" s="2043">
        <v>0</v>
      </c>
      <c r="DC1070" s="2043">
        <v>0</v>
      </c>
      <c r="DI1070" t="s">
        <v>3218</v>
      </c>
      <c r="DJ1070" t="s">
        <v>3218</v>
      </c>
      <c r="DK1070" s="2042">
        <f t="shared" si="18"/>
        <v>0</v>
      </c>
    </row>
    <row r="1071" spans="1:115">
      <c r="A1071" t="s">
        <v>8516</v>
      </c>
      <c r="B1071" t="s">
        <v>11410</v>
      </c>
      <c r="C1071">
        <v>0</v>
      </c>
      <c r="D1071">
        <v>0</v>
      </c>
      <c r="E1071">
        <v>0</v>
      </c>
      <c r="F1071">
        <v>0</v>
      </c>
      <c r="G1071" s="2043">
        <v>0</v>
      </c>
      <c r="H1071">
        <v>0</v>
      </c>
      <c r="I1071" s="2043">
        <v>0</v>
      </c>
      <c r="J1071">
        <v>0</v>
      </c>
      <c r="K1071">
        <v>0</v>
      </c>
      <c r="L1071">
        <v>0</v>
      </c>
      <c r="M1071">
        <v>0</v>
      </c>
      <c r="N1071">
        <v>0</v>
      </c>
      <c r="O1071">
        <v>0</v>
      </c>
      <c r="P1071">
        <v>0</v>
      </c>
      <c r="Q1071">
        <v>0</v>
      </c>
      <c r="R1071" s="2043">
        <v>0</v>
      </c>
      <c r="S1071">
        <v>0</v>
      </c>
      <c r="T1071">
        <v>0</v>
      </c>
      <c r="U1071">
        <v>0</v>
      </c>
      <c r="V1071">
        <v>0</v>
      </c>
      <c r="W1071">
        <v>0</v>
      </c>
      <c r="X1071">
        <v>0</v>
      </c>
      <c r="Y1071">
        <v>277279</v>
      </c>
      <c r="Z1071">
        <v>0</v>
      </c>
      <c r="AA1071">
        <v>0</v>
      </c>
      <c r="AB1071">
        <v>0</v>
      </c>
      <c r="AC1071" s="2043">
        <v>0</v>
      </c>
      <c r="AD1071">
        <v>0</v>
      </c>
      <c r="AE1071" s="2043">
        <v>0</v>
      </c>
      <c r="AF1071">
        <v>0</v>
      </c>
      <c r="AG1071">
        <v>0</v>
      </c>
      <c r="AH1071">
        <v>0</v>
      </c>
      <c r="AI1071">
        <v>0</v>
      </c>
      <c r="AJ1071">
        <v>0</v>
      </c>
      <c r="AK1071">
        <v>0</v>
      </c>
      <c r="AL1071">
        <v>0</v>
      </c>
      <c r="AM1071">
        <v>0</v>
      </c>
      <c r="AN1071">
        <v>0</v>
      </c>
      <c r="AO1071">
        <v>0</v>
      </c>
      <c r="AP1071">
        <v>0</v>
      </c>
      <c r="AQ1071">
        <v>0</v>
      </c>
      <c r="AR1071">
        <v>0</v>
      </c>
      <c r="AS1071">
        <v>0</v>
      </c>
      <c r="AT1071">
        <v>0</v>
      </c>
      <c r="AU1071">
        <v>0</v>
      </c>
      <c r="AV1071">
        <v>0</v>
      </c>
      <c r="AW1071">
        <v>0</v>
      </c>
      <c r="AX1071">
        <v>0</v>
      </c>
      <c r="AY1071">
        <v>0</v>
      </c>
      <c r="AZ1071">
        <v>0</v>
      </c>
      <c r="BA1071">
        <v>277279</v>
      </c>
      <c r="BB1071">
        <v>0</v>
      </c>
      <c r="BC1071">
        <v>0</v>
      </c>
      <c r="BD1071">
        <v>0</v>
      </c>
      <c r="BE1071">
        <v>0</v>
      </c>
      <c r="BF1071">
        <v>0</v>
      </c>
      <c r="BG1071">
        <v>0</v>
      </c>
      <c r="BH1071">
        <v>0</v>
      </c>
      <c r="BI1071">
        <v>0</v>
      </c>
      <c r="BJ1071">
        <v>0</v>
      </c>
      <c r="BK1071">
        <v>0</v>
      </c>
      <c r="BL1071">
        <v>0</v>
      </c>
      <c r="BM1071">
        <v>0</v>
      </c>
      <c r="BN1071">
        <v>0</v>
      </c>
      <c r="BO1071">
        <v>0</v>
      </c>
      <c r="BP1071">
        <v>0</v>
      </c>
      <c r="BQ1071">
        <v>0</v>
      </c>
      <c r="BR1071">
        <v>0</v>
      </c>
      <c r="BS1071">
        <v>0</v>
      </c>
      <c r="BT1071">
        <v>0</v>
      </c>
      <c r="BU1071">
        <v>0</v>
      </c>
      <c r="BV1071">
        <v>0</v>
      </c>
      <c r="BW1071">
        <v>0</v>
      </c>
      <c r="BX1071">
        <v>0</v>
      </c>
      <c r="BY1071">
        <v>0</v>
      </c>
      <c r="BZ1071">
        <v>0</v>
      </c>
      <c r="CA1071">
        <v>0</v>
      </c>
      <c r="CB1071">
        <v>0</v>
      </c>
      <c r="CC1071">
        <v>0</v>
      </c>
      <c r="CD1071">
        <v>0</v>
      </c>
      <c r="CE1071">
        <v>0</v>
      </c>
      <c r="CF1071">
        <v>0</v>
      </c>
      <c r="CG1071">
        <v>0</v>
      </c>
      <c r="CH1071">
        <v>0</v>
      </c>
      <c r="CI1071">
        <v>0</v>
      </c>
      <c r="CJ1071">
        <v>0</v>
      </c>
      <c r="CK1071">
        <v>0</v>
      </c>
      <c r="CL1071">
        <v>0</v>
      </c>
      <c r="CM1071">
        <v>0</v>
      </c>
      <c r="CN1071">
        <v>0</v>
      </c>
      <c r="CO1071">
        <v>0</v>
      </c>
      <c r="CP1071">
        <v>0</v>
      </c>
      <c r="CQ1071">
        <v>0</v>
      </c>
      <c r="CR1071">
        <v>0</v>
      </c>
      <c r="CS1071">
        <v>0</v>
      </c>
      <c r="CT1071">
        <v>0</v>
      </c>
      <c r="CU1071">
        <v>0</v>
      </c>
      <c r="CV1071">
        <v>0</v>
      </c>
      <c r="CW1071">
        <v>0</v>
      </c>
      <c r="CX1071">
        <v>0</v>
      </c>
      <c r="CY1071" s="2043">
        <v>0</v>
      </c>
      <c r="CZ1071" s="2043">
        <v>0</v>
      </c>
      <c r="DA1071" s="2043">
        <v>0</v>
      </c>
      <c r="DB1071" s="2043">
        <v>0</v>
      </c>
      <c r="DC1071" s="2043">
        <v>0</v>
      </c>
      <c r="DI1071" t="s">
        <v>8516</v>
      </c>
      <c r="DJ1071" t="s">
        <v>8516</v>
      </c>
      <c r="DK1071" s="2042">
        <f t="shared" si="18"/>
        <v>0</v>
      </c>
    </row>
    <row r="1072" spans="1:115">
      <c r="A1072" t="s">
        <v>8083</v>
      </c>
      <c r="B1072" t="s">
        <v>11411</v>
      </c>
      <c r="C1072">
        <v>14429.984</v>
      </c>
      <c r="D1072">
        <v>15110.99</v>
      </c>
      <c r="E1072">
        <v>1453.287</v>
      </c>
      <c r="F1072">
        <v>0</v>
      </c>
      <c r="G1072" s="2043">
        <v>0</v>
      </c>
      <c r="H1072">
        <v>0</v>
      </c>
      <c r="I1072" s="2043">
        <v>0</v>
      </c>
      <c r="J1072">
        <v>0</v>
      </c>
      <c r="K1072">
        <v>0</v>
      </c>
      <c r="L1072">
        <v>0</v>
      </c>
      <c r="M1072">
        <v>0</v>
      </c>
      <c r="N1072">
        <v>0</v>
      </c>
      <c r="O1072">
        <v>0</v>
      </c>
      <c r="P1072">
        <v>0</v>
      </c>
      <c r="Q1072">
        <v>0</v>
      </c>
      <c r="R1072" s="2043">
        <v>0</v>
      </c>
      <c r="S1072">
        <v>0</v>
      </c>
      <c r="T1072">
        <v>0</v>
      </c>
      <c r="U1072">
        <v>0</v>
      </c>
      <c r="V1072">
        <v>1128.366</v>
      </c>
      <c r="W1072">
        <v>0</v>
      </c>
      <c r="X1072">
        <v>0</v>
      </c>
      <c r="Y1072">
        <v>2550965</v>
      </c>
      <c r="Z1072">
        <v>0</v>
      </c>
      <c r="AA1072">
        <v>0</v>
      </c>
      <c r="AB1072">
        <v>14966.678</v>
      </c>
      <c r="AC1072" s="2043">
        <v>0</v>
      </c>
      <c r="AD1072">
        <v>0</v>
      </c>
      <c r="AE1072" s="2043">
        <v>0</v>
      </c>
      <c r="AF1072">
        <v>0</v>
      </c>
      <c r="AG1072">
        <v>0</v>
      </c>
      <c r="AH1072">
        <v>0</v>
      </c>
      <c r="AI1072">
        <v>0</v>
      </c>
      <c r="AJ1072">
        <v>1486.4380000000001</v>
      </c>
      <c r="AK1072">
        <v>24753</v>
      </c>
      <c r="AL1072">
        <v>0.01</v>
      </c>
      <c r="AM1072">
        <v>0</v>
      </c>
      <c r="AN1072">
        <v>308.41700000000003</v>
      </c>
      <c r="AO1072">
        <v>0</v>
      </c>
      <c r="AP1072">
        <v>0</v>
      </c>
      <c r="AQ1072">
        <v>0</v>
      </c>
      <c r="AR1072">
        <v>208.202</v>
      </c>
      <c r="AS1072">
        <v>0</v>
      </c>
      <c r="AT1072">
        <v>19.807000000000002</v>
      </c>
      <c r="AU1072">
        <v>10.842000000000001</v>
      </c>
      <c r="AV1072">
        <v>0</v>
      </c>
      <c r="AW1072">
        <v>238.86100000000002</v>
      </c>
      <c r="AX1072">
        <v>0</v>
      </c>
      <c r="AY1072">
        <v>738.28700000000003</v>
      </c>
      <c r="AZ1072">
        <v>0</v>
      </c>
      <c r="BA1072">
        <v>141529920</v>
      </c>
      <c r="BB1072">
        <v>0</v>
      </c>
      <c r="BC1072">
        <v>0</v>
      </c>
      <c r="BD1072">
        <v>144</v>
      </c>
      <c r="BE1072">
        <v>0</v>
      </c>
      <c r="BF1072">
        <v>144</v>
      </c>
      <c r="BG1072">
        <v>144</v>
      </c>
      <c r="BH1072">
        <v>0</v>
      </c>
      <c r="BI1072">
        <v>0</v>
      </c>
      <c r="BJ1072">
        <v>0</v>
      </c>
      <c r="BK1072">
        <v>0</v>
      </c>
      <c r="BL1072">
        <v>0</v>
      </c>
      <c r="BM1072">
        <v>0</v>
      </c>
      <c r="BN1072">
        <v>33669</v>
      </c>
      <c r="BO1072">
        <v>407</v>
      </c>
      <c r="BP1072">
        <v>0</v>
      </c>
      <c r="BQ1072">
        <v>0</v>
      </c>
      <c r="BR1072">
        <v>0</v>
      </c>
      <c r="BS1072">
        <v>0</v>
      </c>
      <c r="BT1072">
        <v>0</v>
      </c>
      <c r="BU1072">
        <v>0</v>
      </c>
      <c r="BV1072">
        <v>1573</v>
      </c>
      <c r="BW1072">
        <v>1222</v>
      </c>
      <c r="BX1072">
        <v>1079</v>
      </c>
      <c r="BY1072">
        <v>1255</v>
      </c>
      <c r="BZ1072">
        <v>884</v>
      </c>
      <c r="CA1072">
        <v>6013</v>
      </c>
      <c r="CB1072">
        <v>0</v>
      </c>
      <c r="CC1072">
        <v>0</v>
      </c>
      <c r="CD1072">
        <v>0</v>
      </c>
      <c r="CE1072">
        <v>747</v>
      </c>
      <c r="CF1072">
        <v>2748.71</v>
      </c>
      <c r="CG1072">
        <v>0</v>
      </c>
      <c r="CH1072">
        <v>0</v>
      </c>
      <c r="CI1072">
        <v>21</v>
      </c>
      <c r="CJ1072">
        <v>86</v>
      </c>
      <c r="CK1072">
        <v>3</v>
      </c>
      <c r="CL1072">
        <v>0</v>
      </c>
      <c r="CM1072">
        <v>1453.287</v>
      </c>
      <c r="CN1072">
        <v>0</v>
      </c>
      <c r="CO1072">
        <v>0</v>
      </c>
      <c r="CP1072">
        <v>0</v>
      </c>
      <c r="CQ1072">
        <v>0</v>
      </c>
      <c r="CR1072">
        <v>0</v>
      </c>
      <c r="CS1072">
        <v>201.358</v>
      </c>
      <c r="CT1072">
        <v>0</v>
      </c>
      <c r="CU1072">
        <v>6.6370000000000005</v>
      </c>
      <c r="CV1072">
        <v>58.495000000000005</v>
      </c>
      <c r="CW1072">
        <v>52.772000000000006</v>
      </c>
      <c r="CX1072">
        <v>0</v>
      </c>
      <c r="CY1072" s="2043">
        <v>0</v>
      </c>
      <c r="CZ1072" s="2043">
        <v>0</v>
      </c>
      <c r="DA1072" s="2043">
        <v>0</v>
      </c>
      <c r="DB1072" s="2043">
        <v>0</v>
      </c>
      <c r="DC1072" s="2043">
        <v>0</v>
      </c>
      <c r="DI1072" t="s">
        <v>8083</v>
      </c>
      <c r="DJ1072" t="s">
        <v>8083</v>
      </c>
      <c r="DK1072" s="2042">
        <f t="shared" si="18"/>
        <v>0</v>
      </c>
    </row>
    <row r="1073" spans="1:115">
      <c r="A1073" t="s">
        <v>5268</v>
      </c>
      <c r="B1073" t="s">
        <v>2101</v>
      </c>
      <c r="C1073">
        <v>13806.895</v>
      </c>
      <c r="D1073">
        <v>14949.973</v>
      </c>
      <c r="E1073">
        <v>620.44600000000003</v>
      </c>
      <c r="F1073">
        <v>0</v>
      </c>
      <c r="G1073" s="2043">
        <v>5394710556</v>
      </c>
      <c r="H1073">
        <v>0</v>
      </c>
      <c r="I1073" s="2043">
        <v>17405212</v>
      </c>
      <c r="J1073">
        <v>690.34500000000003</v>
      </c>
      <c r="K1073">
        <v>1887</v>
      </c>
      <c r="L1073">
        <v>0</v>
      </c>
      <c r="M1073">
        <v>2870323</v>
      </c>
      <c r="N1073">
        <v>0</v>
      </c>
      <c r="O1073">
        <v>2870323</v>
      </c>
      <c r="P1073">
        <v>0</v>
      </c>
      <c r="Q1073">
        <v>0</v>
      </c>
      <c r="R1073" s="2043">
        <v>46115952</v>
      </c>
      <c r="S1073">
        <v>2635498</v>
      </c>
      <c r="T1073">
        <v>0</v>
      </c>
      <c r="U1073">
        <v>0.05</v>
      </c>
      <c r="V1073">
        <v>1747.6020000000001</v>
      </c>
      <c r="W1073">
        <v>0</v>
      </c>
      <c r="X1073">
        <v>0</v>
      </c>
      <c r="Y1073">
        <v>-4542</v>
      </c>
      <c r="Z1073">
        <v>0</v>
      </c>
      <c r="AA1073">
        <v>2.64</v>
      </c>
      <c r="AB1073">
        <v>14265.608</v>
      </c>
      <c r="AC1073" s="2043">
        <v>5019491634</v>
      </c>
      <c r="AD1073">
        <v>18587805</v>
      </c>
      <c r="AE1073" s="2043">
        <v>48751450</v>
      </c>
      <c r="AF1073">
        <v>0.92490000000000006</v>
      </c>
      <c r="AG1073">
        <v>0</v>
      </c>
      <c r="AH1073">
        <v>0</v>
      </c>
      <c r="AI1073">
        <v>0</v>
      </c>
      <c r="AJ1073">
        <v>2540.538</v>
      </c>
      <c r="AK1073">
        <v>59539</v>
      </c>
      <c r="AL1073">
        <v>1.377</v>
      </c>
      <c r="AM1073">
        <v>0.58500000000000008</v>
      </c>
      <c r="AN1073">
        <v>224.55</v>
      </c>
      <c r="AO1073">
        <v>1</v>
      </c>
      <c r="AP1073">
        <v>0</v>
      </c>
      <c r="AQ1073">
        <v>11.891</v>
      </c>
      <c r="AR1073">
        <v>503.02300000000002</v>
      </c>
      <c r="AS1073">
        <v>0</v>
      </c>
      <c r="AT1073">
        <v>187.23600000000002</v>
      </c>
      <c r="AU1073">
        <v>37.231999999999999</v>
      </c>
      <c r="AV1073">
        <v>0</v>
      </c>
      <c r="AW1073">
        <v>765.62700000000007</v>
      </c>
      <c r="AX1073">
        <v>24.283000000000001</v>
      </c>
      <c r="AY1073">
        <v>2321.4280000000003</v>
      </c>
      <c r="AZ1073">
        <v>0</v>
      </c>
      <c r="BA1073">
        <v>81136236</v>
      </c>
      <c r="BB1073">
        <v>67339255</v>
      </c>
      <c r="BC1073">
        <v>0</v>
      </c>
      <c r="BD1073">
        <v>514566</v>
      </c>
      <c r="BE1073">
        <v>360056</v>
      </c>
      <c r="BF1073">
        <v>1390798</v>
      </c>
      <c r="BG1073">
        <v>514566</v>
      </c>
      <c r="BH1073">
        <v>516176</v>
      </c>
      <c r="BI1073">
        <v>0</v>
      </c>
      <c r="BJ1073">
        <v>-4542</v>
      </c>
      <c r="BK1073">
        <v>0</v>
      </c>
      <c r="BL1073">
        <v>5394710556</v>
      </c>
      <c r="BM1073">
        <v>0</v>
      </c>
      <c r="BN1073">
        <v>50913</v>
      </c>
      <c r="BO1073">
        <v>26525</v>
      </c>
      <c r="BP1073">
        <v>180078</v>
      </c>
      <c r="BQ1073">
        <v>0</v>
      </c>
      <c r="BR1073">
        <v>0.87490000000000001</v>
      </c>
      <c r="BS1073">
        <v>0.87490000000000001</v>
      </c>
      <c r="BT1073">
        <v>0</v>
      </c>
      <c r="BU1073">
        <v>0</v>
      </c>
      <c r="BV1073">
        <v>922</v>
      </c>
      <c r="BW1073">
        <v>1618</v>
      </c>
      <c r="BX1073">
        <v>2198</v>
      </c>
      <c r="BY1073">
        <v>2697</v>
      </c>
      <c r="BZ1073">
        <v>2514</v>
      </c>
      <c r="CA1073">
        <v>9949</v>
      </c>
      <c r="CB1073">
        <v>3</v>
      </c>
      <c r="CC1073">
        <v>161.70400000000001</v>
      </c>
      <c r="CD1073">
        <v>0</v>
      </c>
      <c r="CE1073">
        <v>563</v>
      </c>
      <c r="CF1073">
        <v>3185.357</v>
      </c>
      <c r="CG1073">
        <v>122.164</v>
      </c>
      <c r="CH1073">
        <v>11.836</v>
      </c>
      <c r="CI1073">
        <v>9</v>
      </c>
      <c r="CJ1073">
        <v>46</v>
      </c>
      <c r="CK1073">
        <v>2</v>
      </c>
      <c r="CL1073">
        <v>134</v>
      </c>
      <c r="CM1073">
        <v>620.44600000000003</v>
      </c>
      <c r="CN1073">
        <v>25730</v>
      </c>
      <c r="CO1073">
        <v>98309</v>
      </c>
      <c r="CP1073">
        <v>44639</v>
      </c>
      <c r="CQ1073">
        <v>11400</v>
      </c>
      <c r="CR1073">
        <v>0</v>
      </c>
      <c r="CS1073">
        <v>0</v>
      </c>
      <c r="CT1073">
        <v>0</v>
      </c>
      <c r="CU1073">
        <v>17.269000000000002</v>
      </c>
      <c r="CV1073">
        <v>846.07800000000009</v>
      </c>
      <c r="CW1073">
        <v>383.59800000000001</v>
      </c>
      <c r="CX1073">
        <v>0</v>
      </c>
      <c r="CY1073" s="2043">
        <v>0</v>
      </c>
      <c r="CZ1073" s="2043">
        <v>0</v>
      </c>
      <c r="DA1073" s="2043">
        <v>0</v>
      </c>
      <c r="DB1073" s="2043">
        <v>0</v>
      </c>
      <c r="DC1073" s="2043">
        <v>0</v>
      </c>
      <c r="DI1073" t="s">
        <v>5268</v>
      </c>
      <c r="DJ1073" t="s">
        <v>5268</v>
      </c>
      <c r="DK1073" s="2042">
        <f t="shared" si="18"/>
        <v>0</v>
      </c>
    </row>
    <row r="1074" spans="1:115">
      <c r="A1074" t="s">
        <v>5269</v>
      </c>
      <c r="B1074" t="s">
        <v>2102</v>
      </c>
      <c r="C1074">
        <v>986.85300000000007</v>
      </c>
      <c r="D1074">
        <v>995.23300000000006</v>
      </c>
      <c r="E1074">
        <v>22.504000000000001</v>
      </c>
      <c r="F1074">
        <v>0</v>
      </c>
      <c r="G1074" s="2043">
        <v>467660199</v>
      </c>
      <c r="H1074">
        <v>0</v>
      </c>
      <c r="I1074" s="2043">
        <v>942481</v>
      </c>
      <c r="J1074">
        <v>49.343000000000004</v>
      </c>
      <c r="K1074">
        <v>135</v>
      </c>
      <c r="L1074">
        <v>0</v>
      </c>
      <c r="M1074">
        <v>0</v>
      </c>
      <c r="N1074">
        <v>0</v>
      </c>
      <c r="O1074">
        <v>0</v>
      </c>
      <c r="P1074">
        <v>0</v>
      </c>
      <c r="Q1074">
        <v>0</v>
      </c>
      <c r="R1074" s="2043">
        <v>4249528</v>
      </c>
      <c r="S1074">
        <v>233825</v>
      </c>
      <c r="T1074">
        <v>0</v>
      </c>
      <c r="U1074">
        <v>0.05</v>
      </c>
      <c r="V1074">
        <v>0</v>
      </c>
      <c r="W1074">
        <v>0</v>
      </c>
      <c r="X1074">
        <v>0</v>
      </c>
      <c r="Y1074">
        <v>0</v>
      </c>
      <c r="Z1074">
        <v>0</v>
      </c>
      <c r="AA1074">
        <v>0.29300000000000004</v>
      </c>
      <c r="AB1074">
        <v>995.23300000000006</v>
      </c>
      <c r="AC1074" s="2043">
        <v>471727264</v>
      </c>
      <c r="AD1074">
        <v>949033</v>
      </c>
      <c r="AE1074" s="2043">
        <v>4483353</v>
      </c>
      <c r="AF1074">
        <v>0.9587</v>
      </c>
      <c r="AG1074">
        <v>0</v>
      </c>
      <c r="AH1074">
        <v>0</v>
      </c>
      <c r="AI1074">
        <v>0</v>
      </c>
      <c r="AJ1074">
        <v>129.67500000000001</v>
      </c>
      <c r="AK1074">
        <v>7308</v>
      </c>
      <c r="AL1074">
        <v>0.16300000000000001</v>
      </c>
      <c r="AM1074">
        <v>0</v>
      </c>
      <c r="AN1074">
        <v>33.947000000000003</v>
      </c>
      <c r="AO1074">
        <v>0</v>
      </c>
      <c r="AP1074">
        <v>0</v>
      </c>
      <c r="AQ1074">
        <v>0</v>
      </c>
      <c r="AR1074">
        <v>49.844000000000001</v>
      </c>
      <c r="AS1074">
        <v>0</v>
      </c>
      <c r="AT1074">
        <v>11.998000000000001</v>
      </c>
      <c r="AU1074">
        <v>3.754</v>
      </c>
      <c r="AV1074">
        <v>0</v>
      </c>
      <c r="AW1074">
        <v>65.759</v>
      </c>
      <c r="AX1074">
        <v>0</v>
      </c>
      <c r="AY1074">
        <v>205.11100000000002</v>
      </c>
      <c r="AZ1074">
        <v>0</v>
      </c>
      <c r="BA1074">
        <v>7426080</v>
      </c>
      <c r="BB1074">
        <v>5432386</v>
      </c>
      <c r="BC1074">
        <v>0</v>
      </c>
      <c r="BD1074">
        <v>78318</v>
      </c>
      <c r="BE1074">
        <v>26152</v>
      </c>
      <c r="BF1074">
        <v>104470</v>
      </c>
      <c r="BG1074">
        <v>78318</v>
      </c>
      <c r="BH1074">
        <v>0</v>
      </c>
      <c r="BI1074">
        <v>0</v>
      </c>
      <c r="BJ1074">
        <v>0</v>
      </c>
      <c r="BK1074">
        <v>0</v>
      </c>
      <c r="BL1074">
        <v>467660199</v>
      </c>
      <c r="BM1074">
        <v>0</v>
      </c>
      <c r="BN1074">
        <v>3708</v>
      </c>
      <c r="BO1074">
        <v>1851</v>
      </c>
      <c r="BP1074">
        <v>0</v>
      </c>
      <c r="BQ1074">
        <v>0</v>
      </c>
      <c r="BR1074">
        <v>0.90870000000000006</v>
      </c>
      <c r="BS1074">
        <v>0.90870000000000006</v>
      </c>
      <c r="BT1074">
        <v>0</v>
      </c>
      <c r="BU1074">
        <v>0</v>
      </c>
      <c r="BV1074">
        <v>12</v>
      </c>
      <c r="BW1074">
        <v>247</v>
      </c>
      <c r="BX1074">
        <v>246</v>
      </c>
      <c r="BY1074">
        <v>5</v>
      </c>
      <c r="BZ1074">
        <v>20</v>
      </c>
      <c r="CA1074">
        <v>530</v>
      </c>
      <c r="CB1074">
        <v>0</v>
      </c>
      <c r="CC1074">
        <v>0</v>
      </c>
      <c r="CD1074">
        <v>0</v>
      </c>
      <c r="CE1074">
        <v>60</v>
      </c>
      <c r="CF1074">
        <v>172.46200000000002</v>
      </c>
      <c r="CG1074">
        <v>0</v>
      </c>
      <c r="CH1074">
        <v>0</v>
      </c>
      <c r="CI1074">
        <v>0</v>
      </c>
      <c r="CJ1074">
        <v>2</v>
      </c>
      <c r="CK1074">
        <v>0</v>
      </c>
      <c r="CL1074">
        <v>0</v>
      </c>
      <c r="CM1074">
        <v>22.504000000000001</v>
      </c>
      <c r="CN1074">
        <v>0</v>
      </c>
      <c r="CO1074">
        <v>0</v>
      </c>
      <c r="CP1074">
        <v>0</v>
      </c>
      <c r="CQ1074">
        <v>0</v>
      </c>
      <c r="CR1074">
        <v>0</v>
      </c>
      <c r="CS1074">
        <v>0</v>
      </c>
      <c r="CT1074">
        <v>0</v>
      </c>
      <c r="CU1074">
        <v>0</v>
      </c>
      <c r="CV1074">
        <v>75.81</v>
      </c>
      <c r="CW1074">
        <v>49.377000000000002</v>
      </c>
      <c r="CX1074">
        <v>0</v>
      </c>
      <c r="CY1074" s="2043">
        <v>0</v>
      </c>
      <c r="CZ1074" s="2043">
        <v>0</v>
      </c>
      <c r="DA1074" s="2043">
        <v>0</v>
      </c>
      <c r="DB1074" s="2043">
        <v>0</v>
      </c>
      <c r="DC1074" s="2043">
        <v>0</v>
      </c>
      <c r="DI1074" t="s">
        <v>5269</v>
      </c>
      <c r="DJ1074" t="s">
        <v>5269</v>
      </c>
      <c r="DK1074" s="2042">
        <f t="shared" si="18"/>
        <v>0</v>
      </c>
    </row>
    <row r="1075" spans="1:115">
      <c r="A1075" t="s">
        <v>5270</v>
      </c>
      <c r="B1075" t="s">
        <v>2509</v>
      </c>
      <c r="C1075">
        <v>120.075</v>
      </c>
      <c r="D1075">
        <v>120.85000000000001</v>
      </c>
      <c r="E1075">
        <v>2.0760000000000001</v>
      </c>
      <c r="F1075">
        <v>144930</v>
      </c>
      <c r="G1075" s="2043">
        <v>207745467</v>
      </c>
      <c r="H1075">
        <v>0</v>
      </c>
      <c r="I1075" s="2043">
        <v>481653</v>
      </c>
      <c r="J1075">
        <v>6</v>
      </c>
      <c r="K1075">
        <v>16</v>
      </c>
      <c r="L1075">
        <v>0</v>
      </c>
      <c r="M1075">
        <v>0</v>
      </c>
      <c r="N1075">
        <v>0</v>
      </c>
      <c r="O1075">
        <v>0</v>
      </c>
      <c r="P1075">
        <v>0</v>
      </c>
      <c r="Q1075">
        <v>0</v>
      </c>
      <c r="R1075" s="2043">
        <v>1781695</v>
      </c>
      <c r="S1075">
        <v>156050</v>
      </c>
      <c r="T1075">
        <v>113721</v>
      </c>
      <c r="U1075">
        <v>0.08</v>
      </c>
      <c r="V1075">
        <v>0</v>
      </c>
      <c r="W1075">
        <v>0</v>
      </c>
      <c r="X1075">
        <v>27764</v>
      </c>
      <c r="Y1075">
        <v>177394</v>
      </c>
      <c r="Z1075">
        <v>0</v>
      </c>
      <c r="AA1075">
        <v>0</v>
      </c>
      <c r="AB1075">
        <v>120.85000000000001</v>
      </c>
      <c r="AC1075" s="2043">
        <v>154277038</v>
      </c>
      <c r="AD1075">
        <v>493245</v>
      </c>
      <c r="AE1075" s="2043">
        <v>2051466</v>
      </c>
      <c r="AF1075">
        <v>1.0517000000000001</v>
      </c>
      <c r="AG1075">
        <v>0</v>
      </c>
      <c r="AH1075">
        <v>27764</v>
      </c>
      <c r="AI1075">
        <v>0</v>
      </c>
      <c r="AJ1075">
        <v>21.313000000000002</v>
      </c>
      <c r="AK1075">
        <v>1137</v>
      </c>
      <c r="AL1075">
        <v>0</v>
      </c>
      <c r="AM1075">
        <v>0</v>
      </c>
      <c r="AN1075">
        <v>12.457000000000001</v>
      </c>
      <c r="AO1075">
        <v>0</v>
      </c>
      <c r="AP1075">
        <v>0</v>
      </c>
      <c r="AQ1075">
        <v>0</v>
      </c>
      <c r="AR1075">
        <v>4.3140000000000001</v>
      </c>
      <c r="AS1075">
        <v>0</v>
      </c>
      <c r="AT1075">
        <v>0.8570000000000001</v>
      </c>
      <c r="AU1075">
        <v>0.35800000000000004</v>
      </c>
      <c r="AV1075">
        <v>0</v>
      </c>
      <c r="AW1075">
        <v>5.5289999999999999</v>
      </c>
      <c r="AX1075">
        <v>0</v>
      </c>
      <c r="AY1075">
        <v>17.303000000000001</v>
      </c>
      <c r="AZ1075">
        <v>0</v>
      </c>
      <c r="BA1075">
        <v>346151</v>
      </c>
      <c r="BB1075">
        <v>2544711</v>
      </c>
      <c r="BC1075">
        <v>0</v>
      </c>
      <c r="BD1075">
        <v>34652</v>
      </c>
      <c r="BE1075">
        <v>1028</v>
      </c>
      <c r="BF1075">
        <v>35680</v>
      </c>
      <c r="BG1075">
        <v>34652</v>
      </c>
      <c r="BH1075">
        <v>0</v>
      </c>
      <c r="BI1075">
        <v>0</v>
      </c>
      <c r="BJ1075">
        <v>0</v>
      </c>
      <c r="BK1075">
        <v>0</v>
      </c>
      <c r="BL1075">
        <v>207745467</v>
      </c>
      <c r="BM1075">
        <v>0</v>
      </c>
      <c r="BN1075">
        <v>558</v>
      </c>
      <c r="BO1075">
        <v>310</v>
      </c>
      <c r="BP1075">
        <v>0</v>
      </c>
      <c r="BQ1075">
        <v>0</v>
      </c>
      <c r="BR1075">
        <v>0.91339999999999999</v>
      </c>
      <c r="BS1075">
        <v>0.91339999999999999</v>
      </c>
      <c r="BT1075">
        <v>0</v>
      </c>
      <c r="BU1075">
        <v>0</v>
      </c>
      <c r="BV1075">
        <v>40</v>
      </c>
      <c r="BW1075">
        <v>13</v>
      </c>
      <c r="BX1075">
        <v>24</v>
      </c>
      <c r="BY1075">
        <v>6</v>
      </c>
      <c r="BZ1075">
        <v>6</v>
      </c>
      <c r="CA1075">
        <v>89</v>
      </c>
      <c r="CB1075">
        <v>0</v>
      </c>
      <c r="CC1075">
        <v>0</v>
      </c>
      <c r="CD1075">
        <v>0</v>
      </c>
      <c r="CE1075">
        <v>3</v>
      </c>
      <c r="CF1075">
        <v>19.628</v>
      </c>
      <c r="CG1075">
        <v>0</v>
      </c>
      <c r="CH1075">
        <v>0</v>
      </c>
      <c r="CI1075">
        <v>1</v>
      </c>
      <c r="CJ1075">
        <v>3</v>
      </c>
      <c r="CK1075">
        <v>0</v>
      </c>
      <c r="CL1075">
        <v>0</v>
      </c>
      <c r="CM1075">
        <v>2.0760000000000001</v>
      </c>
      <c r="CN1075">
        <v>0</v>
      </c>
      <c r="CO1075">
        <v>0</v>
      </c>
      <c r="CP1075">
        <v>0</v>
      </c>
      <c r="CQ1075">
        <v>0</v>
      </c>
      <c r="CR1075">
        <v>0</v>
      </c>
      <c r="CS1075">
        <v>0</v>
      </c>
      <c r="CT1075">
        <v>0</v>
      </c>
      <c r="CU1075">
        <v>1.0250000000000001</v>
      </c>
      <c r="CV1075">
        <v>7.4220000000000006</v>
      </c>
      <c r="CW1075">
        <v>6.9880000000000004</v>
      </c>
      <c r="CX1075">
        <v>0</v>
      </c>
      <c r="CY1075" s="2043">
        <v>32464</v>
      </c>
      <c r="CZ1075" s="2043">
        <v>0</v>
      </c>
      <c r="DA1075" s="2043">
        <v>0</v>
      </c>
      <c r="DB1075" s="2043">
        <v>144930</v>
      </c>
      <c r="DC1075" s="2043">
        <v>40000</v>
      </c>
      <c r="DI1075" t="s">
        <v>5270</v>
      </c>
      <c r="DJ1075" t="s">
        <v>5270</v>
      </c>
      <c r="DK1075" s="2042">
        <f t="shared" si="18"/>
        <v>0</v>
      </c>
    </row>
    <row r="1076" spans="1:115">
      <c r="A1076" t="s">
        <v>5271</v>
      </c>
      <c r="B1076" t="s">
        <v>2510</v>
      </c>
      <c r="C1076">
        <v>1496.8920000000001</v>
      </c>
      <c r="D1076">
        <v>1381.1390000000001</v>
      </c>
      <c r="E1076">
        <v>7.1970000000000001</v>
      </c>
      <c r="F1076">
        <v>0</v>
      </c>
      <c r="G1076" s="2043">
        <v>729948264</v>
      </c>
      <c r="H1076">
        <v>0</v>
      </c>
      <c r="I1076" s="2043">
        <v>2033350</v>
      </c>
      <c r="J1076">
        <v>74.844999999999999</v>
      </c>
      <c r="K1076">
        <v>205</v>
      </c>
      <c r="L1076">
        <v>0</v>
      </c>
      <c r="M1076">
        <v>0</v>
      </c>
      <c r="N1076">
        <v>0</v>
      </c>
      <c r="O1076">
        <v>0</v>
      </c>
      <c r="P1076">
        <v>0</v>
      </c>
      <c r="Q1076">
        <v>0</v>
      </c>
      <c r="R1076" s="2043">
        <v>5738159</v>
      </c>
      <c r="S1076">
        <v>336115</v>
      </c>
      <c r="T1076">
        <v>0</v>
      </c>
      <c r="U1076">
        <v>0.05</v>
      </c>
      <c r="V1076">
        <v>0</v>
      </c>
      <c r="W1076">
        <v>0</v>
      </c>
      <c r="X1076">
        <v>0</v>
      </c>
      <c r="Y1076">
        <v>0</v>
      </c>
      <c r="Z1076">
        <v>0</v>
      </c>
      <c r="AA1076">
        <v>0</v>
      </c>
      <c r="AB1076">
        <v>1357.443</v>
      </c>
      <c r="AC1076" s="2043">
        <v>621482461</v>
      </c>
      <c r="AD1076">
        <v>2033350</v>
      </c>
      <c r="AE1076" s="2043">
        <v>6074274</v>
      </c>
      <c r="AF1076">
        <v>0.90360000000000007</v>
      </c>
      <c r="AG1076">
        <v>0</v>
      </c>
      <c r="AH1076">
        <v>0</v>
      </c>
      <c r="AI1076">
        <v>0</v>
      </c>
      <c r="AJ1076">
        <v>71.863</v>
      </c>
      <c r="AK1076">
        <v>5248</v>
      </c>
      <c r="AL1076">
        <v>0</v>
      </c>
      <c r="AM1076">
        <v>0</v>
      </c>
      <c r="AN1076">
        <v>19.613</v>
      </c>
      <c r="AO1076">
        <v>0</v>
      </c>
      <c r="AP1076">
        <v>0</v>
      </c>
      <c r="AQ1076">
        <v>0</v>
      </c>
      <c r="AR1076">
        <v>49.045999999999999</v>
      </c>
      <c r="AS1076">
        <v>0</v>
      </c>
      <c r="AT1076">
        <v>6.5340000000000007</v>
      </c>
      <c r="AU1076">
        <v>3.5130000000000003</v>
      </c>
      <c r="AV1076">
        <v>0</v>
      </c>
      <c r="AW1076">
        <v>59.093000000000004</v>
      </c>
      <c r="AX1076">
        <v>0</v>
      </c>
      <c r="AY1076">
        <v>184.30500000000001</v>
      </c>
      <c r="AZ1076">
        <v>0</v>
      </c>
      <c r="BA1076">
        <v>6880103</v>
      </c>
      <c r="BB1076">
        <v>8107624</v>
      </c>
      <c r="BC1076">
        <v>2448</v>
      </c>
      <c r="BD1076">
        <v>118776</v>
      </c>
      <c r="BE1076">
        <v>11413</v>
      </c>
      <c r="BF1076">
        <v>132637</v>
      </c>
      <c r="BG1076">
        <v>121224</v>
      </c>
      <c r="BH1076">
        <v>0</v>
      </c>
      <c r="BI1076">
        <v>0</v>
      </c>
      <c r="BJ1076">
        <v>0</v>
      </c>
      <c r="BK1076">
        <v>0</v>
      </c>
      <c r="BL1076">
        <v>729948264</v>
      </c>
      <c r="BM1076">
        <v>0</v>
      </c>
      <c r="BN1076">
        <v>5103</v>
      </c>
      <c r="BO1076">
        <v>2868</v>
      </c>
      <c r="BP1076">
        <v>0</v>
      </c>
      <c r="BQ1076">
        <v>0</v>
      </c>
      <c r="BR1076">
        <v>0.85360000000000003</v>
      </c>
      <c r="BS1076">
        <v>0.85360000000000003</v>
      </c>
      <c r="BT1076">
        <v>0</v>
      </c>
      <c r="BU1076">
        <v>0</v>
      </c>
      <c r="BV1076">
        <v>305</v>
      </c>
      <c r="BW1076">
        <v>9</v>
      </c>
      <c r="BX1076">
        <v>0</v>
      </c>
      <c r="BY1076">
        <v>0</v>
      </c>
      <c r="BZ1076">
        <v>4</v>
      </c>
      <c r="CA1076">
        <v>318</v>
      </c>
      <c r="CB1076">
        <v>0</v>
      </c>
      <c r="CC1076">
        <v>0</v>
      </c>
      <c r="CD1076">
        <v>0</v>
      </c>
      <c r="CE1076">
        <v>64</v>
      </c>
      <c r="CF1076">
        <v>112.04300000000001</v>
      </c>
      <c r="CG1076">
        <v>0</v>
      </c>
      <c r="CH1076">
        <v>0</v>
      </c>
      <c r="CI1076">
        <v>2</v>
      </c>
      <c r="CJ1076">
        <v>11</v>
      </c>
      <c r="CK1076">
        <v>0</v>
      </c>
      <c r="CL1076">
        <v>0</v>
      </c>
      <c r="CM1076">
        <v>7.1970000000000001</v>
      </c>
      <c r="CN1076">
        <v>0</v>
      </c>
      <c r="CO1076">
        <v>0</v>
      </c>
      <c r="CP1076">
        <v>0</v>
      </c>
      <c r="CQ1076">
        <v>0</v>
      </c>
      <c r="CR1076">
        <v>0</v>
      </c>
      <c r="CS1076">
        <v>0</v>
      </c>
      <c r="CT1076">
        <v>0</v>
      </c>
      <c r="CU1076">
        <v>20.122</v>
      </c>
      <c r="CV1076">
        <v>71.237000000000009</v>
      </c>
      <c r="CW1076">
        <v>46.585000000000001</v>
      </c>
      <c r="CX1076">
        <v>0</v>
      </c>
      <c r="CY1076" s="2043">
        <v>0</v>
      </c>
      <c r="CZ1076" s="2043">
        <v>0</v>
      </c>
      <c r="DA1076" s="2043">
        <v>0</v>
      </c>
      <c r="DB1076" s="2043">
        <v>0</v>
      </c>
      <c r="DC1076" s="2043">
        <v>0</v>
      </c>
      <c r="DI1076" t="s">
        <v>5271</v>
      </c>
      <c r="DJ1076" t="s">
        <v>5271</v>
      </c>
      <c r="DK1076" s="2042">
        <f t="shared" si="18"/>
        <v>0</v>
      </c>
    </row>
    <row r="1077" spans="1:115">
      <c r="A1077" t="s">
        <v>5272</v>
      </c>
      <c r="B1077" t="s">
        <v>2511</v>
      </c>
      <c r="C1077">
        <v>4819.2939999999999</v>
      </c>
      <c r="D1077">
        <v>4642.2930000000006</v>
      </c>
      <c r="E1077">
        <v>92.100000000000009</v>
      </c>
      <c r="F1077">
        <v>0</v>
      </c>
      <c r="G1077" s="2043">
        <v>2417145825</v>
      </c>
      <c r="H1077">
        <v>0</v>
      </c>
      <c r="I1077" s="2043">
        <v>4855144</v>
      </c>
      <c r="J1077">
        <v>240.965</v>
      </c>
      <c r="K1077">
        <v>659</v>
      </c>
      <c r="L1077">
        <v>0</v>
      </c>
      <c r="M1077">
        <v>0</v>
      </c>
      <c r="N1077">
        <v>0</v>
      </c>
      <c r="O1077">
        <v>0</v>
      </c>
      <c r="P1077">
        <v>0</v>
      </c>
      <c r="Q1077">
        <v>0</v>
      </c>
      <c r="R1077" s="2043">
        <v>21294341</v>
      </c>
      <c r="S1077">
        <v>1205659</v>
      </c>
      <c r="T1077">
        <v>0</v>
      </c>
      <c r="U1077">
        <v>0.05</v>
      </c>
      <c r="V1077">
        <v>191.56300000000002</v>
      </c>
      <c r="W1077">
        <v>0</v>
      </c>
      <c r="X1077">
        <v>0</v>
      </c>
      <c r="Y1077">
        <v>0</v>
      </c>
      <c r="Z1077">
        <v>0</v>
      </c>
      <c r="AA1077">
        <v>8.7000000000000008E-2</v>
      </c>
      <c r="AB1077">
        <v>4642.2930000000006</v>
      </c>
      <c r="AC1077" s="2043">
        <v>2160259106</v>
      </c>
      <c r="AD1077">
        <v>4510000</v>
      </c>
      <c r="AE1077" s="2043">
        <v>22500000</v>
      </c>
      <c r="AF1077">
        <v>0.93310000000000004</v>
      </c>
      <c r="AG1077">
        <v>0</v>
      </c>
      <c r="AH1077">
        <v>0</v>
      </c>
      <c r="AI1077">
        <v>0</v>
      </c>
      <c r="AJ1077">
        <v>242.863</v>
      </c>
      <c r="AK1077">
        <v>11541</v>
      </c>
      <c r="AL1077">
        <v>9.0000000000000011E-3</v>
      </c>
      <c r="AM1077">
        <v>0</v>
      </c>
      <c r="AN1077">
        <v>136.304</v>
      </c>
      <c r="AO1077">
        <v>0</v>
      </c>
      <c r="AP1077">
        <v>0</v>
      </c>
      <c r="AQ1077">
        <v>0</v>
      </c>
      <c r="AR1077">
        <v>67.75800000000001</v>
      </c>
      <c r="AS1077">
        <v>0</v>
      </c>
      <c r="AT1077">
        <v>30.271000000000001</v>
      </c>
      <c r="AU1077">
        <v>9.984</v>
      </c>
      <c r="AV1077">
        <v>0</v>
      </c>
      <c r="AW1077">
        <v>108.197</v>
      </c>
      <c r="AX1077">
        <v>0.17500000000000002</v>
      </c>
      <c r="AY1077">
        <v>344.45500000000004</v>
      </c>
      <c r="AZ1077">
        <v>0</v>
      </c>
      <c r="BA1077">
        <v>17410611</v>
      </c>
      <c r="BB1077">
        <v>27010000</v>
      </c>
      <c r="BC1077">
        <v>0</v>
      </c>
      <c r="BD1077">
        <v>357591</v>
      </c>
      <c r="BE1077">
        <v>79407</v>
      </c>
      <c r="BF1077">
        <v>436998</v>
      </c>
      <c r="BG1077">
        <v>357591</v>
      </c>
      <c r="BH1077">
        <v>0</v>
      </c>
      <c r="BI1077">
        <v>0</v>
      </c>
      <c r="BJ1077">
        <v>0</v>
      </c>
      <c r="BK1077">
        <v>0</v>
      </c>
      <c r="BL1077">
        <v>2417145825</v>
      </c>
      <c r="BM1077">
        <v>0</v>
      </c>
      <c r="BN1077">
        <v>16029</v>
      </c>
      <c r="BO1077">
        <v>9352</v>
      </c>
      <c r="BP1077">
        <v>0</v>
      </c>
      <c r="BQ1077">
        <v>0</v>
      </c>
      <c r="BR1077">
        <v>0.8831</v>
      </c>
      <c r="BS1077">
        <v>0.8831</v>
      </c>
      <c r="BT1077">
        <v>0</v>
      </c>
      <c r="BU1077">
        <v>0</v>
      </c>
      <c r="BV1077">
        <v>857</v>
      </c>
      <c r="BW1077">
        <v>131</v>
      </c>
      <c r="BX1077">
        <v>43</v>
      </c>
      <c r="BY1077">
        <v>6</v>
      </c>
      <c r="BZ1077">
        <v>24</v>
      </c>
      <c r="CA1077">
        <v>1061</v>
      </c>
      <c r="CB1077">
        <v>0</v>
      </c>
      <c r="CC1077">
        <v>0</v>
      </c>
      <c r="CD1077">
        <v>0</v>
      </c>
      <c r="CE1077">
        <v>289</v>
      </c>
      <c r="CF1077">
        <v>308.75</v>
      </c>
      <c r="CG1077">
        <v>0</v>
      </c>
      <c r="CH1077">
        <v>0.92900000000000005</v>
      </c>
      <c r="CI1077">
        <v>2</v>
      </c>
      <c r="CJ1077">
        <v>64</v>
      </c>
      <c r="CK1077">
        <v>0</v>
      </c>
      <c r="CL1077">
        <v>0.92900000000000005</v>
      </c>
      <c r="CM1077">
        <v>92.100000000000009</v>
      </c>
      <c r="CN1077">
        <v>0</v>
      </c>
      <c r="CO1077">
        <v>0</v>
      </c>
      <c r="CP1077">
        <v>0</v>
      </c>
      <c r="CQ1077">
        <v>0</v>
      </c>
      <c r="CR1077">
        <v>0</v>
      </c>
      <c r="CS1077">
        <v>0</v>
      </c>
      <c r="CT1077">
        <v>0</v>
      </c>
      <c r="CU1077">
        <v>2.7</v>
      </c>
      <c r="CV1077">
        <v>265.30600000000004</v>
      </c>
      <c r="CW1077">
        <v>114.76100000000001</v>
      </c>
      <c r="CX1077">
        <v>0</v>
      </c>
      <c r="CY1077" s="2043">
        <v>0</v>
      </c>
      <c r="CZ1077" s="2043">
        <v>0</v>
      </c>
      <c r="DA1077" s="2043">
        <v>0</v>
      </c>
      <c r="DB1077" s="2043">
        <v>0</v>
      </c>
      <c r="DC1077" s="2043">
        <v>0</v>
      </c>
      <c r="DI1077" t="s">
        <v>5272</v>
      </c>
      <c r="DJ1077" t="s">
        <v>5272</v>
      </c>
      <c r="DK1077" s="2042">
        <f t="shared" si="18"/>
        <v>0</v>
      </c>
    </row>
    <row r="1078" spans="1:115">
      <c r="A1078" t="s">
        <v>8517</v>
      </c>
      <c r="B1078" t="s">
        <v>11412</v>
      </c>
      <c r="C1078">
        <v>0</v>
      </c>
      <c r="D1078">
        <v>0</v>
      </c>
      <c r="E1078">
        <v>0</v>
      </c>
      <c r="F1078">
        <v>0</v>
      </c>
      <c r="G1078" s="2043">
        <v>0</v>
      </c>
      <c r="H1078">
        <v>0</v>
      </c>
      <c r="I1078" s="2043">
        <v>0</v>
      </c>
      <c r="J1078">
        <v>0</v>
      </c>
      <c r="K1078">
        <v>0</v>
      </c>
      <c r="L1078">
        <v>0</v>
      </c>
      <c r="M1078">
        <v>0</v>
      </c>
      <c r="N1078">
        <v>0</v>
      </c>
      <c r="O1078">
        <v>0</v>
      </c>
      <c r="P1078">
        <v>0</v>
      </c>
      <c r="Q1078">
        <v>0</v>
      </c>
      <c r="R1078" s="2043">
        <v>0</v>
      </c>
      <c r="S1078">
        <v>0</v>
      </c>
      <c r="T1078">
        <v>0</v>
      </c>
      <c r="U1078">
        <v>0</v>
      </c>
      <c r="V1078">
        <v>0</v>
      </c>
      <c r="W1078">
        <v>0</v>
      </c>
      <c r="X1078">
        <v>0</v>
      </c>
      <c r="Y1078">
        <v>210058</v>
      </c>
      <c r="Z1078">
        <v>0</v>
      </c>
      <c r="AA1078">
        <v>0</v>
      </c>
      <c r="AB1078">
        <v>0</v>
      </c>
      <c r="AC1078" s="2043">
        <v>0</v>
      </c>
      <c r="AD1078">
        <v>0</v>
      </c>
      <c r="AE1078" s="2043">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210058</v>
      </c>
      <c r="BB1078">
        <v>0</v>
      </c>
      <c r="BC1078">
        <v>0</v>
      </c>
      <c r="BD1078">
        <v>0</v>
      </c>
      <c r="BE1078">
        <v>0</v>
      </c>
      <c r="BF1078">
        <v>0</v>
      </c>
      <c r="BG1078">
        <v>0</v>
      </c>
      <c r="BH1078">
        <v>0</v>
      </c>
      <c r="BI1078">
        <v>0</v>
      </c>
      <c r="BJ1078">
        <v>0</v>
      </c>
      <c r="BK1078">
        <v>0</v>
      </c>
      <c r="BL1078">
        <v>0</v>
      </c>
      <c r="BM1078">
        <v>0</v>
      </c>
      <c r="BN1078">
        <v>0</v>
      </c>
      <c r="BO1078">
        <v>0</v>
      </c>
      <c r="BP1078">
        <v>0</v>
      </c>
      <c r="BQ1078">
        <v>0</v>
      </c>
      <c r="BR1078">
        <v>0</v>
      </c>
      <c r="BS1078">
        <v>0</v>
      </c>
      <c r="BT1078">
        <v>0</v>
      </c>
      <c r="BU1078">
        <v>0</v>
      </c>
      <c r="BV1078">
        <v>0</v>
      </c>
      <c r="BW1078">
        <v>0</v>
      </c>
      <c r="BX1078">
        <v>0</v>
      </c>
      <c r="BY1078">
        <v>0</v>
      </c>
      <c r="BZ1078">
        <v>0</v>
      </c>
      <c r="CA1078">
        <v>0</v>
      </c>
      <c r="CB1078">
        <v>0</v>
      </c>
      <c r="CC1078">
        <v>0</v>
      </c>
      <c r="CD1078">
        <v>0</v>
      </c>
      <c r="CE1078">
        <v>0</v>
      </c>
      <c r="CF1078">
        <v>0</v>
      </c>
      <c r="CG1078">
        <v>0</v>
      </c>
      <c r="CH1078">
        <v>0</v>
      </c>
      <c r="CI1078">
        <v>0</v>
      </c>
      <c r="CJ1078">
        <v>0</v>
      </c>
      <c r="CK1078">
        <v>0</v>
      </c>
      <c r="CL1078">
        <v>0</v>
      </c>
      <c r="CM1078">
        <v>0</v>
      </c>
      <c r="CN1078">
        <v>0</v>
      </c>
      <c r="CO1078">
        <v>0</v>
      </c>
      <c r="CP1078">
        <v>0</v>
      </c>
      <c r="CQ1078">
        <v>0</v>
      </c>
      <c r="CR1078">
        <v>0</v>
      </c>
      <c r="CS1078">
        <v>0</v>
      </c>
      <c r="CT1078">
        <v>0</v>
      </c>
      <c r="CU1078">
        <v>0</v>
      </c>
      <c r="CV1078">
        <v>0</v>
      </c>
      <c r="CW1078">
        <v>0</v>
      </c>
      <c r="CX1078">
        <v>0</v>
      </c>
      <c r="CY1078" s="2043">
        <v>0</v>
      </c>
      <c r="CZ1078" s="2043">
        <v>0</v>
      </c>
      <c r="DA1078" s="2043">
        <v>0</v>
      </c>
      <c r="DB1078" s="2043">
        <v>0</v>
      </c>
      <c r="DC1078" s="2043">
        <v>0</v>
      </c>
      <c r="DI1078" t="s">
        <v>8517</v>
      </c>
      <c r="DJ1078" t="s">
        <v>8517</v>
      </c>
      <c r="DK1078" s="2042">
        <f t="shared" si="18"/>
        <v>0</v>
      </c>
    </row>
    <row r="1079" spans="1:115">
      <c r="A1079" t="s">
        <v>5273</v>
      </c>
      <c r="B1079" t="s">
        <v>2512</v>
      </c>
      <c r="C1079">
        <v>115.613</v>
      </c>
      <c r="D1079">
        <v>111.05600000000001</v>
      </c>
      <c r="E1079">
        <v>6.2170000000000005</v>
      </c>
      <c r="F1079">
        <v>0</v>
      </c>
      <c r="G1079" s="2043">
        <v>195395384</v>
      </c>
      <c r="H1079">
        <v>0</v>
      </c>
      <c r="I1079" s="2043">
        <v>924066</v>
      </c>
      <c r="J1079">
        <v>5.7810000000000006</v>
      </c>
      <c r="K1079">
        <v>16</v>
      </c>
      <c r="L1079">
        <v>0</v>
      </c>
      <c r="M1079">
        <v>0</v>
      </c>
      <c r="N1079">
        <v>0</v>
      </c>
      <c r="O1079">
        <v>0</v>
      </c>
      <c r="P1079">
        <v>0</v>
      </c>
      <c r="Q1079">
        <v>0</v>
      </c>
      <c r="R1079" s="2043">
        <v>1734076</v>
      </c>
      <c r="S1079">
        <v>95594</v>
      </c>
      <c r="T1079">
        <v>0</v>
      </c>
      <c r="U1079">
        <v>0.05</v>
      </c>
      <c r="V1079">
        <v>0</v>
      </c>
      <c r="W1079">
        <v>0</v>
      </c>
      <c r="X1079">
        <v>0</v>
      </c>
      <c r="Y1079">
        <v>0</v>
      </c>
      <c r="Z1079">
        <v>0</v>
      </c>
      <c r="AA1079">
        <v>0</v>
      </c>
      <c r="AB1079">
        <v>111.05600000000001</v>
      </c>
      <c r="AC1079" s="2043">
        <v>253227953</v>
      </c>
      <c r="AD1079">
        <v>909263</v>
      </c>
      <c r="AE1079" s="2043">
        <v>1829670</v>
      </c>
      <c r="AF1079">
        <v>0.95700000000000007</v>
      </c>
      <c r="AG1079">
        <v>0</v>
      </c>
      <c r="AH1079">
        <v>0</v>
      </c>
      <c r="AI1079">
        <v>0</v>
      </c>
      <c r="AJ1079">
        <v>16.463000000000001</v>
      </c>
      <c r="AK1079">
        <v>996</v>
      </c>
      <c r="AL1079">
        <v>0</v>
      </c>
      <c r="AM1079">
        <v>0</v>
      </c>
      <c r="AN1079">
        <v>11.871</v>
      </c>
      <c r="AO1079">
        <v>0</v>
      </c>
      <c r="AP1079">
        <v>0</v>
      </c>
      <c r="AQ1079">
        <v>0</v>
      </c>
      <c r="AR1079">
        <v>2.8330000000000002</v>
      </c>
      <c r="AS1079">
        <v>0</v>
      </c>
      <c r="AT1079">
        <v>0.45700000000000002</v>
      </c>
      <c r="AU1079">
        <v>0.499</v>
      </c>
      <c r="AV1079">
        <v>0</v>
      </c>
      <c r="AW1079">
        <v>3.7890000000000001</v>
      </c>
      <c r="AX1079">
        <v>0</v>
      </c>
      <c r="AY1079">
        <v>12.365</v>
      </c>
      <c r="AZ1079">
        <v>0</v>
      </c>
      <c r="BA1079">
        <v>180828</v>
      </c>
      <c r="BB1079">
        <v>2738933</v>
      </c>
      <c r="BC1079">
        <v>0</v>
      </c>
      <c r="BD1079">
        <v>18743</v>
      </c>
      <c r="BE1079">
        <v>0</v>
      </c>
      <c r="BF1079">
        <v>18743</v>
      </c>
      <c r="BG1079">
        <v>18743</v>
      </c>
      <c r="BH1079">
        <v>0</v>
      </c>
      <c r="BI1079">
        <v>0</v>
      </c>
      <c r="BJ1079">
        <v>0</v>
      </c>
      <c r="BK1079">
        <v>0</v>
      </c>
      <c r="BL1079">
        <v>195395384</v>
      </c>
      <c r="BM1079">
        <v>0</v>
      </c>
      <c r="BN1079">
        <v>522</v>
      </c>
      <c r="BO1079">
        <v>214</v>
      </c>
      <c r="BP1079">
        <v>0</v>
      </c>
      <c r="BQ1079">
        <v>0</v>
      </c>
      <c r="BR1079">
        <v>0.90700000000000003</v>
      </c>
      <c r="BS1079">
        <v>0.90700000000000003</v>
      </c>
      <c r="BT1079">
        <v>0</v>
      </c>
      <c r="BU1079">
        <v>0</v>
      </c>
      <c r="BV1079">
        <v>0</v>
      </c>
      <c r="BW1079">
        <v>67</v>
      </c>
      <c r="BX1079">
        <v>0</v>
      </c>
      <c r="BY1079">
        <v>0</v>
      </c>
      <c r="BZ1079">
        <v>2</v>
      </c>
      <c r="CA1079">
        <v>69</v>
      </c>
      <c r="CB1079">
        <v>0</v>
      </c>
      <c r="CC1079">
        <v>0</v>
      </c>
      <c r="CD1079">
        <v>0</v>
      </c>
      <c r="CE1079">
        <v>5</v>
      </c>
      <c r="CF1079">
        <v>24.87</v>
      </c>
      <c r="CG1079">
        <v>0</v>
      </c>
      <c r="CH1079">
        <v>0</v>
      </c>
      <c r="CI1079">
        <v>0</v>
      </c>
      <c r="CJ1079">
        <v>3</v>
      </c>
      <c r="CK1079">
        <v>0</v>
      </c>
      <c r="CL1079">
        <v>0</v>
      </c>
      <c r="CM1079">
        <v>6.2170000000000005</v>
      </c>
      <c r="CN1079">
        <v>0</v>
      </c>
      <c r="CO1079">
        <v>0</v>
      </c>
      <c r="CP1079">
        <v>0</v>
      </c>
      <c r="CQ1079">
        <v>0</v>
      </c>
      <c r="CR1079">
        <v>0</v>
      </c>
      <c r="CS1079">
        <v>0</v>
      </c>
      <c r="CT1079">
        <v>0</v>
      </c>
      <c r="CU1079">
        <v>0</v>
      </c>
      <c r="CV1079">
        <v>7.3210000000000006</v>
      </c>
      <c r="CW1079">
        <v>0.97500000000000009</v>
      </c>
      <c r="CX1079">
        <v>0</v>
      </c>
      <c r="CY1079" s="2043">
        <v>0</v>
      </c>
      <c r="CZ1079" s="2043">
        <v>0</v>
      </c>
      <c r="DA1079" s="2043">
        <v>0</v>
      </c>
      <c r="DB1079" s="2043">
        <v>0</v>
      </c>
      <c r="DC1079" s="2043">
        <v>83766</v>
      </c>
      <c r="DI1079" t="s">
        <v>5273</v>
      </c>
      <c r="DJ1079" t="s">
        <v>5273</v>
      </c>
      <c r="DK1079" s="2042">
        <f t="shared" si="18"/>
        <v>0</v>
      </c>
    </row>
    <row r="1080" spans="1:115">
      <c r="A1080" t="s">
        <v>5274</v>
      </c>
      <c r="B1080" t="s">
        <v>1100</v>
      </c>
      <c r="C1080">
        <v>1469.53</v>
      </c>
      <c r="D1080">
        <v>1451.3610000000001</v>
      </c>
      <c r="E1080">
        <v>129.995</v>
      </c>
      <c r="F1080">
        <v>0</v>
      </c>
      <c r="G1080" s="2043">
        <v>476422696</v>
      </c>
      <c r="H1080">
        <v>0</v>
      </c>
      <c r="I1080" s="2043">
        <v>2663475</v>
      </c>
      <c r="J1080">
        <v>73.477000000000004</v>
      </c>
      <c r="K1080">
        <v>201</v>
      </c>
      <c r="L1080">
        <v>0</v>
      </c>
      <c r="M1080">
        <v>0</v>
      </c>
      <c r="N1080">
        <v>0</v>
      </c>
      <c r="O1080">
        <v>0</v>
      </c>
      <c r="P1080">
        <v>0</v>
      </c>
      <c r="Q1080">
        <v>0</v>
      </c>
      <c r="R1080" s="2043">
        <v>4383769</v>
      </c>
      <c r="S1080">
        <v>383952</v>
      </c>
      <c r="T1080">
        <v>279804</v>
      </c>
      <c r="U1080">
        <v>0.08</v>
      </c>
      <c r="V1080">
        <v>367.86</v>
      </c>
      <c r="W1080">
        <v>0</v>
      </c>
      <c r="X1080">
        <v>0</v>
      </c>
      <c r="Y1080">
        <v>-4954</v>
      </c>
      <c r="Z1080">
        <v>0</v>
      </c>
      <c r="AA1080">
        <v>1.022</v>
      </c>
      <c r="AB1080">
        <v>1461.3020000000001</v>
      </c>
      <c r="AC1080" s="2043">
        <v>660138576</v>
      </c>
      <c r="AD1080">
        <v>2294094</v>
      </c>
      <c r="AE1080" s="2043">
        <v>5047525</v>
      </c>
      <c r="AF1080">
        <v>1.0517000000000001</v>
      </c>
      <c r="AG1080">
        <v>0</v>
      </c>
      <c r="AH1080">
        <v>0</v>
      </c>
      <c r="AI1080">
        <v>0</v>
      </c>
      <c r="AJ1080">
        <v>349.15000000000003</v>
      </c>
      <c r="AK1080">
        <v>7257</v>
      </c>
      <c r="AL1080">
        <v>0.1</v>
      </c>
      <c r="AM1080">
        <v>0</v>
      </c>
      <c r="AN1080">
        <v>78.320999999999998</v>
      </c>
      <c r="AO1080">
        <v>0</v>
      </c>
      <c r="AP1080">
        <v>0</v>
      </c>
      <c r="AQ1080">
        <v>0</v>
      </c>
      <c r="AR1080">
        <v>38.291000000000004</v>
      </c>
      <c r="AS1080">
        <v>0</v>
      </c>
      <c r="AT1080">
        <v>18.494</v>
      </c>
      <c r="AU1080">
        <v>4.9960000000000004</v>
      </c>
      <c r="AV1080">
        <v>0</v>
      </c>
      <c r="AW1080">
        <v>61.881</v>
      </c>
      <c r="AX1080">
        <v>0</v>
      </c>
      <c r="AY1080">
        <v>195.83500000000001</v>
      </c>
      <c r="AZ1080">
        <v>0</v>
      </c>
      <c r="BA1080">
        <v>12941054</v>
      </c>
      <c r="BB1080">
        <v>7341619</v>
      </c>
      <c r="BC1080">
        <v>0</v>
      </c>
      <c r="BD1080">
        <v>51899</v>
      </c>
      <c r="BE1080">
        <v>33443</v>
      </c>
      <c r="BF1080">
        <v>118324</v>
      </c>
      <c r="BG1080">
        <v>51899</v>
      </c>
      <c r="BH1080">
        <v>32982</v>
      </c>
      <c r="BI1080">
        <v>0</v>
      </c>
      <c r="BJ1080">
        <v>-4954</v>
      </c>
      <c r="BK1080">
        <v>0</v>
      </c>
      <c r="BL1080">
        <v>476422696</v>
      </c>
      <c r="BM1080">
        <v>0</v>
      </c>
      <c r="BN1080">
        <v>4869</v>
      </c>
      <c r="BO1080">
        <v>3467</v>
      </c>
      <c r="BP1080">
        <v>14159</v>
      </c>
      <c r="BQ1080">
        <v>0</v>
      </c>
      <c r="BR1080">
        <v>0.91339999999999999</v>
      </c>
      <c r="BS1080">
        <v>0.91339999999999999</v>
      </c>
      <c r="BT1080">
        <v>0</v>
      </c>
      <c r="BU1080">
        <v>0</v>
      </c>
      <c r="BV1080">
        <v>495</v>
      </c>
      <c r="BW1080">
        <v>209</v>
      </c>
      <c r="BX1080">
        <v>1</v>
      </c>
      <c r="BY1080">
        <v>391</v>
      </c>
      <c r="BZ1080">
        <v>310</v>
      </c>
      <c r="CA1080">
        <v>1406</v>
      </c>
      <c r="CB1080">
        <v>0</v>
      </c>
      <c r="CC1080">
        <v>0</v>
      </c>
      <c r="CD1080">
        <v>0</v>
      </c>
      <c r="CE1080">
        <v>133</v>
      </c>
      <c r="CF1080">
        <v>410.02500000000003</v>
      </c>
      <c r="CG1080">
        <v>30.907</v>
      </c>
      <c r="CH1080">
        <v>0</v>
      </c>
      <c r="CI1080">
        <v>0</v>
      </c>
      <c r="CJ1080">
        <v>1</v>
      </c>
      <c r="CK1080">
        <v>0</v>
      </c>
      <c r="CL1080">
        <v>30.907</v>
      </c>
      <c r="CM1080">
        <v>129.995</v>
      </c>
      <c r="CN1080">
        <v>0</v>
      </c>
      <c r="CO1080">
        <v>14159</v>
      </c>
      <c r="CP1080">
        <v>0</v>
      </c>
      <c r="CQ1080">
        <v>0</v>
      </c>
      <c r="CR1080">
        <v>0</v>
      </c>
      <c r="CS1080">
        <v>0</v>
      </c>
      <c r="CT1080">
        <v>0</v>
      </c>
      <c r="CU1080">
        <v>0.57000000000000006</v>
      </c>
      <c r="CV1080">
        <v>49.844000000000001</v>
      </c>
      <c r="CW1080">
        <v>59.071000000000005</v>
      </c>
      <c r="CX1080">
        <v>0</v>
      </c>
      <c r="CY1080" s="2043">
        <v>0</v>
      </c>
      <c r="CZ1080" s="2043">
        <v>0</v>
      </c>
      <c r="DA1080" s="2043">
        <v>0</v>
      </c>
      <c r="DB1080" s="2043">
        <v>0</v>
      </c>
      <c r="DC1080" s="2043">
        <v>0</v>
      </c>
      <c r="DI1080" t="s">
        <v>5274</v>
      </c>
      <c r="DJ1080" t="s">
        <v>5274</v>
      </c>
      <c r="DK1080" s="2042">
        <f t="shared" si="18"/>
        <v>0</v>
      </c>
    </row>
    <row r="1081" spans="1:115">
      <c r="A1081" t="s">
        <v>3219</v>
      </c>
      <c r="B1081" t="s">
        <v>1741</v>
      </c>
      <c r="C1081">
        <v>248.79700000000003</v>
      </c>
      <c r="D1081">
        <v>256.03000000000003</v>
      </c>
      <c r="E1081">
        <v>13.779</v>
      </c>
      <c r="F1081">
        <v>0</v>
      </c>
      <c r="G1081" s="2043">
        <v>57129603</v>
      </c>
      <c r="H1081">
        <v>0</v>
      </c>
      <c r="I1081" s="2043">
        <v>89200</v>
      </c>
      <c r="J1081">
        <v>12.44</v>
      </c>
      <c r="K1081">
        <v>34</v>
      </c>
      <c r="L1081">
        <v>52800</v>
      </c>
      <c r="M1081">
        <v>36400</v>
      </c>
      <c r="N1081">
        <v>52800</v>
      </c>
      <c r="O1081">
        <v>89200</v>
      </c>
      <c r="P1081">
        <v>0</v>
      </c>
      <c r="Q1081">
        <v>0</v>
      </c>
      <c r="R1081" s="2043">
        <v>528617</v>
      </c>
      <c r="S1081">
        <v>46299</v>
      </c>
      <c r="T1081">
        <v>26217</v>
      </c>
      <c r="U1081">
        <v>0.08</v>
      </c>
      <c r="V1081">
        <v>0</v>
      </c>
      <c r="W1081">
        <v>0</v>
      </c>
      <c r="X1081">
        <v>0</v>
      </c>
      <c r="Y1081">
        <v>0</v>
      </c>
      <c r="Z1081">
        <v>2.9090000000000003</v>
      </c>
      <c r="AA1081">
        <v>0</v>
      </c>
      <c r="AB1081">
        <v>245.988</v>
      </c>
      <c r="AC1081" s="2043">
        <v>58641620</v>
      </c>
      <c r="AD1081">
        <v>33720</v>
      </c>
      <c r="AE1081" s="2043">
        <v>601133</v>
      </c>
      <c r="AF1081">
        <v>1.0387</v>
      </c>
      <c r="AG1081">
        <v>0</v>
      </c>
      <c r="AH1081">
        <v>0</v>
      </c>
      <c r="AI1081">
        <v>0</v>
      </c>
      <c r="AJ1081">
        <v>45.35</v>
      </c>
      <c r="AK1081">
        <v>1139</v>
      </c>
      <c r="AL1081">
        <v>1.5000000000000001E-2</v>
      </c>
      <c r="AM1081">
        <v>0</v>
      </c>
      <c r="AN1081">
        <v>23.831</v>
      </c>
      <c r="AO1081">
        <v>0</v>
      </c>
      <c r="AP1081">
        <v>0</v>
      </c>
      <c r="AQ1081">
        <v>0</v>
      </c>
      <c r="AR1081">
        <v>1.3010000000000002</v>
      </c>
      <c r="AS1081">
        <v>0</v>
      </c>
      <c r="AT1081">
        <v>0</v>
      </c>
      <c r="AU1081">
        <v>0.16900000000000001</v>
      </c>
      <c r="AV1081">
        <v>0</v>
      </c>
      <c r="AW1081">
        <v>1.4850000000000001</v>
      </c>
      <c r="AX1081">
        <v>0</v>
      </c>
      <c r="AY1081">
        <v>4.8230000000000004</v>
      </c>
      <c r="AZ1081">
        <v>0</v>
      </c>
      <c r="BA1081">
        <v>3223434</v>
      </c>
      <c r="BB1081">
        <v>634853</v>
      </c>
      <c r="BC1081">
        <v>0</v>
      </c>
      <c r="BD1081">
        <v>19116</v>
      </c>
      <c r="BE1081">
        <v>0</v>
      </c>
      <c r="BF1081">
        <v>19116</v>
      </c>
      <c r="BG1081">
        <v>19116</v>
      </c>
      <c r="BH1081">
        <v>0</v>
      </c>
      <c r="BI1081">
        <v>0</v>
      </c>
      <c r="BJ1081">
        <v>0</v>
      </c>
      <c r="BK1081">
        <v>0</v>
      </c>
      <c r="BL1081">
        <v>57129603</v>
      </c>
      <c r="BM1081">
        <v>0</v>
      </c>
      <c r="BN1081">
        <v>1260</v>
      </c>
      <c r="BO1081">
        <v>952</v>
      </c>
      <c r="BP1081">
        <v>0</v>
      </c>
      <c r="BQ1081">
        <v>0</v>
      </c>
      <c r="BR1081">
        <v>0.91339999999999999</v>
      </c>
      <c r="BS1081">
        <v>0.91339999999999999</v>
      </c>
      <c r="BT1081">
        <v>0</v>
      </c>
      <c r="BU1081">
        <v>0</v>
      </c>
      <c r="BV1081">
        <v>27</v>
      </c>
      <c r="BW1081">
        <v>123</v>
      </c>
      <c r="BX1081">
        <v>6</v>
      </c>
      <c r="BY1081">
        <v>19</v>
      </c>
      <c r="BZ1081">
        <v>13</v>
      </c>
      <c r="CA1081">
        <v>188</v>
      </c>
      <c r="CB1081">
        <v>0</v>
      </c>
      <c r="CC1081">
        <v>0</v>
      </c>
      <c r="CD1081">
        <v>0</v>
      </c>
      <c r="CE1081">
        <v>16</v>
      </c>
      <c r="CF1081">
        <v>50.334000000000003</v>
      </c>
      <c r="CG1081">
        <v>0</v>
      </c>
      <c r="CH1081">
        <v>0</v>
      </c>
      <c r="CI1081">
        <v>3</v>
      </c>
      <c r="CJ1081">
        <v>0</v>
      </c>
      <c r="CK1081">
        <v>0</v>
      </c>
      <c r="CL1081">
        <v>0</v>
      </c>
      <c r="CM1081">
        <v>13.779</v>
      </c>
      <c r="CN1081">
        <v>0</v>
      </c>
      <c r="CO1081">
        <v>0</v>
      </c>
      <c r="CP1081">
        <v>0</v>
      </c>
      <c r="CQ1081">
        <v>0</v>
      </c>
      <c r="CR1081">
        <v>0</v>
      </c>
      <c r="CS1081">
        <v>0</v>
      </c>
      <c r="CT1081">
        <v>0</v>
      </c>
      <c r="CU1081">
        <v>2.6630000000000003</v>
      </c>
      <c r="CV1081">
        <v>21.905000000000001</v>
      </c>
      <c r="CW1081">
        <v>24.076000000000001</v>
      </c>
      <c r="CX1081">
        <v>0</v>
      </c>
      <c r="CY1081" s="2043">
        <v>0</v>
      </c>
      <c r="CZ1081" s="2043">
        <v>0</v>
      </c>
      <c r="DA1081" s="2043">
        <v>0</v>
      </c>
      <c r="DB1081" s="2043">
        <v>0</v>
      </c>
      <c r="DC1081" s="2043">
        <v>0</v>
      </c>
      <c r="DI1081" t="s">
        <v>3219</v>
      </c>
      <c r="DJ1081" t="s">
        <v>3219</v>
      </c>
      <c r="DK1081" s="2042">
        <f t="shared" si="18"/>
        <v>0</v>
      </c>
    </row>
    <row r="1082" spans="1:115">
      <c r="A1082" t="s">
        <v>5275</v>
      </c>
      <c r="B1082" t="s">
        <v>1101</v>
      </c>
      <c r="C1082">
        <v>257.60900000000004</v>
      </c>
      <c r="D1082">
        <v>284.60200000000003</v>
      </c>
      <c r="E1082">
        <v>36.465000000000003</v>
      </c>
      <c r="F1082">
        <v>0</v>
      </c>
      <c r="G1082" s="2043">
        <v>126643799</v>
      </c>
      <c r="H1082">
        <v>0</v>
      </c>
      <c r="I1082" s="2043">
        <v>1024280</v>
      </c>
      <c r="J1082">
        <v>12.88</v>
      </c>
      <c r="K1082">
        <v>35</v>
      </c>
      <c r="L1082">
        <v>0</v>
      </c>
      <c r="M1082">
        <v>0</v>
      </c>
      <c r="N1082">
        <v>0</v>
      </c>
      <c r="O1082">
        <v>0</v>
      </c>
      <c r="P1082">
        <v>0</v>
      </c>
      <c r="Q1082">
        <v>0</v>
      </c>
      <c r="R1082" s="2043">
        <v>1169963</v>
      </c>
      <c r="S1082">
        <v>100037</v>
      </c>
      <c r="T1082">
        <v>0</v>
      </c>
      <c r="U1082">
        <v>0.08</v>
      </c>
      <c r="V1082">
        <v>0</v>
      </c>
      <c r="W1082">
        <v>0</v>
      </c>
      <c r="X1082">
        <v>0</v>
      </c>
      <c r="Y1082">
        <v>4424</v>
      </c>
      <c r="Z1082">
        <v>0</v>
      </c>
      <c r="AA1082">
        <v>0</v>
      </c>
      <c r="AB1082">
        <v>286.21700000000004</v>
      </c>
      <c r="AC1082" s="2043">
        <v>220543939</v>
      </c>
      <c r="AD1082">
        <v>750000</v>
      </c>
      <c r="AE1082" s="2043">
        <v>1270000</v>
      </c>
      <c r="AF1082">
        <v>0.99150000000000005</v>
      </c>
      <c r="AG1082">
        <v>0</v>
      </c>
      <c r="AH1082">
        <v>0</v>
      </c>
      <c r="AI1082">
        <v>0</v>
      </c>
      <c r="AJ1082">
        <v>36.113</v>
      </c>
      <c r="AK1082">
        <v>1186</v>
      </c>
      <c r="AL1082">
        <v>0</v>
      </c>
      <c r="AM1082">
        <v>0</v>
      </c>
      <c r="AN1082">
        <v>16.846</v>
      </c>
      <c r="AO1082">
        <v>0</v>
      </c>
      <c r="AP1082">
        <v>1.284</v>
      </c>
      <c r="AQ1082">
        <v>0</v>
      </c>
      <c r="AR1082">
        <v>1.8940000000000001</v>
      </c>
      <c r="AS1082">
        <v>0</v>
      </c>
      <c r="AT1082">
        <v>1.375</v>
      </c>
      <c r="AU1082">
        <v>0.223</v>
      </c>
      <c r="AV1082">
        <v>0</v>
      </c>
      <c r="AW1082">
        <v>4.7759999999999998</v>
      </c>
      <c r="AX1082">
        <v>0</v>
      </c>
      <c r="AY1082">
        <v>14.389000000000001</v>
      </c>
      <c r="AZ1082">
        <v>0</v>
      </c>
      <c r="BA1082">
        <v>2345136</v>
      </c>
      <c r="BB1082">
        <v>2020000</v>
      </c>
      <c r="BC1082">
        <v>0</v>
      </c>
      <c r="BD1082">
        <v>26600</v>
      </c>
      <c r="BE1082">
        <v>0</v>
      </c>
      <c r="BF1082">
        <v>26600</v>
      </c>
      <c r="BG1082">
        <v>26600</v>
      </c>
      <c r="BH1082">
        <v>0</v>
      </c>
      <c r="BI1082">
        <v>0</v>
      </c>
      <c r="BJ1082">
        <v>0</v>
      </c>
      <c r="BK1082">
        <v>0</v>
      </c>
      <c r="BL1082">
        <v>126643799</v>
      </c>
      <c r="BM1082">
        <v>0</v>
      </c>
      <c r="BN1082">
        <v>729</v>
      </c>
      <c r="BO1082">
        <v>738</v>
      </c>
      <c r="BP1082">
        <v>0</v>
      </c>
      <c r="BQ1082">
        <v>0</v>
      </c>
      <c r="BR1082">
        <v>0.91339999999999999</v>
      </c>
      <c r="BS1082">
        <v>0.91339999999999999</v>
      </c>
      <c r="BT1082">
        <v>0</v>
      </c>
      <c r="BU1082">
        <v>4424</v>
      </c>
      <c r="BV1082">
        <v>41</v>
      </c>
      <c r="BW1082">
        <v>83</v>
      </c>
      <c r="BX1082">
        <v>0</v>
      </c>
      <c r="BY1082">
        <v>20</v>
      </c>
      <c r="BZ1082">
        <v>7</v>
      </c>
      <c r="CA1082">
        <v>151</v>
      </c>
      <c r="CB1082">
        <v>0</v>
      </c>
      <c r="CC1082">
        <v>0</v>
      </c>
      <c r="CD1082">
        <v>0</v>
      </c>
      <c r="CE1082">
        <v>23</v>
      </c>
      <c r="CF1082">
        <v>57.952000000000005</v>
      </c>
      <c r="CG1082">
        <v>0</v>
      </c>
      <c r="CH1082">
        <v>0</v>
      </c>
      <c r="CI1082">
        <v>2</v>
      </c>
      <c r="CJ1082">
        <v>2</v>
      </c>
      <c r="CK1082">
        <v>0</v>
      </c>
      <c r="CL1082">
        <v>0</v>
      </c>
      <c r="CM1082">
        <v>36.465000000000003</v>
      </c>
      <c r="CN1082">
        <v>0</v>
      </c>
      <c r="CO1082">
        <v>0</v>
      </c>
      <c r="CP1082">
        <v>0</v>
      </c>
      <c r="CQ1082">
        <v>0</v>
      </c>
      <c r="CR1082">
        <v>0</v>
      </c>
      <c r="CS1082">
        <v>0</v>
      </c>
      <c r="CT1082">
        <v>0</v>
      </c>
      <c r="CU1082">
        <v>1.5690000000000002</v>
      </c>
      <c r="CV1082">
        <v>18.614000000000001</v>
      </c>
      <c r="CW1082">
        <v>8.886000000000001</v>
      </c>
      <c r="CX1082">
        <v>0</v>
      </c>
      <c r="CY1082" s="2043">
        <v>0</v>
      </c>
      <c r="CZ1082" s="2043">
        <v>0</v>
      </c>
      <c r="DA1082" s="2043">
        <v>0</v>
      </c>
      <c r="DB1082" s="2043">
        <v>0</v>
      </c>
      <c r="DC1082" s="2043">
        <v>0</v>
      </c>
      <c r="DI1082" t="s">
        <v>5275</v>
      </c>
      <c r="DJ1082" t="s">
        <v>5275</v>
      </c>
      <c r="DK1082" s="2042">
        <f t="shared" si="18"/>
        <v>0</v>
      </c>
    </row>
    <row r="1083" spans="1:115">
      <c r="A1083" t="s">
        <v>5885</v>
      </c>
      <c r="B1083" t="s">
        <v>1495</v>
      </c>
      <c r="C1083">
        <v>138.99299999999999</v>
      </c>
      <c r="D1083">
        <v>168.267</v>
      </c>
      <c r="E1083">
        <v>0.22600000000000001</v>
      </c>
      <c r="F1083">
        <v>0</v>
      </c>
      <c r="G1083" s="2043">
        <v>135428095</v>
      </c>
      <c r="H1083">
        <v>0</v>
      </c>
      <c r="I1083" s="2043">
        <v>0</v>
      </c>
      <c r="J1083">
        <v>6.95</v>
      </c>
      <c r="K1083">
        <v>19</v>
      </c>
      <c r="L1083">
        <v>0</v>
      </c>
      <c r="M1083">
        <v>0</v>
      </c>
      <c r="N1083">
        <v>0</v>
      </c>
      <c r="O1083">
        <v>0</v>
      </c>
      <c r="P1083">
        <v>0</v>
      </c>
      <c r="Q1083">
        <v>0</v>
      </c>
      <c r="R1083" s="2043">
        <v>1151951</v>
      </c>
      <c r="S1083">
        <v>107508</v>
      </c>
      <c r="T1083">
        <v>78347</v>
      </c>
      <c r="U1083">
        <v>0.08</v>
      </c>
      <c r="V1083">
        <v>0</v>
      </c>
      <c r="W1083">
        <v>0</v>
      </c>
      <c r="X1083">
        <v>0</v>
      </c>
      <c r="Y1083">
        <v>0</v>
      </c>
      <c r="Z1083">
        <v>0</v>
      </c>
      <c r="AA1083">
        <v>0</v>
      </c>
      <c r="AB1083">
        <v>155.256</v>
      </c>
      <c r="AC1083" s="2043">
        <v>138688712</v>
      </c>
      <c r="AD1083">
        <v>403842</v>
      </c>
      <c r="AE1083" s="2043">
        <v>1337806</v>
      </c>
      <c r="AF1083">
        <v>0.99550000000000005</v>
      </c>
      <c r="AG1083">
        <v>0</v>
      </c>
      <c r="AH1083">
        <v>0</v>
      </c>
      <c r="AI1083">
        <v>0</v>
      </c>
      <c r="AJ1083">
        <v>14.963000000000001</v>
      </c>
      <c r="AK1083">
        <v>315</v>
      </c>
      <c r="AL1083">
        <v>0</v>
      </c>
      <c r="AM1083">
        <v>0</v>
      </c>
      <c r="AN1083">
        <v>4.7450000000000001</v>
      </c>
      <c r="AO1083">
        <v>0</v>
      </c>
      <c r="AP1083">
        <v>0</v>
      </c>
      <c r="AQ1083">
        <v>0</v>
      </c>
      <c r="AR1083">
        <v>0.70500000000000007</v>
      </c>
      <c r="AS1083">
        <v>0</v>
      </c>
      <c r="AT1083">
        <v>6.9000000000000006E-2</v>
      </c>
      <c r="AU1083">
        <v>0.158</v>
      </c>
      <c r="AV1083">
        <v>0</v>
      </c>
      <c r="AW1083">
        <v>1.0190000000000001</v>
      </c>
      <c r="AX1083">
        <v>8.7000000000000008E-2</v>
      </c>
      <c r="AY1083">
        <v>3.3120000000000003</v>
      </c>
      <c r="AZ1083">
        <v>0</v>
      </c>
      <c r="BA1083">
        <v>942444</v>
      </c>
      <c r="BB1083">
        <v>1741648</v>
      </c>
      <c r="BC1083">
        <v>0</v>
      </c>
      <c r="BD1083">
        <v>42900</v>
      </c>
      <c r="BE1083">
        <v>0</v>
      </c>
      <c r="BF1083">
        <v>44131</v>
      </c>
      <c r="BG1083">
        <v>42900</v>
      </c>
      <c r="BH1083">
        <v>1231</v>
      </c>
      <c r="BI1083">
        <v>0</v>
      </c>
      <c r="BJ1083">
        <v>0</v>
      </c>
      <c r="BK1083">
        <v>0</v>
      </c>
      <c r="BL1083">
        <v>135428095</v>
      </c>
      <c r="BM1083">
        <v>0</v>
      </c>
      <c r="BN1083">
        <v>576</v>
      </c>
      <c r="BO1083">
        <v>460</v>
      </c>
      <c r="BP1083">
        <v>0</v>
      </c>
      <c r="BQ1083">
        <v>0</v>
      </c>
      <c r="BR1083">
        <v>0.85720000000000007</v>
      </c>
      <c r="BS1083">
        <v>0.85720000000000007</v>
      </c>
      <c r="BT1083">
        <v>0</v>
      </c>
      <c r="BU1083">
        <v>0</v>
      </c>
      <c r="BV1083">
        <v>0</v>
      </c>
      <c r="BW1083">
        <v>41</v>
      </c>
      <c r="BX1083">
        <v>0</v>
      </c>
      <c r="BY1083">
        <v>0</v>
      </c>
      <c r="BZ1083">
        <v>19</v>
      </c>
      <c r="CA1083">
        <v>60</v>
      </c>
      <c r="CB1083">
        <v>0</v>
      </c>
      <c r="CC1083">
        <v>0</v>
      </c>
      <c r="CD1083">
        <v>0</v>
      </c>
      <c r="CE1083">
        <v>24</v>
      </c>
      <c r="CF1083">
        <v>19.005000000000003</v>
      </c>
      <c r="CG1083">
        <v>0</v>
      </c>
      <c r="CH1083">
        <v>0</v>
      </c>
      <c r="CI1083">
        <v>1</v>
      </c>
      <c r="CJ1083">
        <v>3</v>
      </c>
      <c r="CK1083">
        <v>0</v>
      </c>
      <c r="CL1083">
        <v>0</v>
      </c>
      <c r="CM1083">
        <v>0.22600000000000001</v>
      </c>
      <c r="CN1083">
        <v>0</v>
      </c>
      <c r="CO1083">
        <v>0</v>
      </c>
      <c r="CP1083">
        <v>0</v>
      </c>
      <c r="CQ1083">
        <v>0</v>
      </c>
      <c r="CR1083">
        <v>0</v>
      </c>
      <c r="CS1083">
        <v>50.567</v>
      </c>
      <c r="CT1083">
        <v>0</v>
      </c>
      <c r="CU1083">
        <v>7.5630000000000006</v>
      </c>
      <c r="CV1083">
        <v>15.802000000000001</v>
      </c>
      <c r="CW1083">
        <v>9.4930000000000003</v>
      </c>
      <c r="CX1083">
        <v>0</v>
      </c>
      <c r="CY1083" s="2043">
        <v>0</v>
      </c>
      <c r="CZ1083" s="2043">
        <v>0</v>
      </c>
      <c r="DA1083" s="2043">
        <v>0</v>
      </c>
      <c r="DB1083" s="2043">
        <v>0</v>
      </c>
      <c r="DC1083" s="2043">
        <v>0</v>
      </c>
      <c r="DI1083" t="s">
        <v>5885</v>
      </c>
      <c r="DJ1083" t="s">
        <v>5885</v>
      </c>
      <c r="DK1083" s="2042">
        <f t="shared" si="18"/>
        <v>0</v>
      </c>
    </row>
    <row r="1084" spans="1:115">
      <c r="A1084" t="s">
        <v>5886</v>
      </c>
      <c r="B1084" t="s">
        <v>1496</v>
      </c>
      <c r="C1084">
        <v>146.928</v>
      </c>
      <c r="D1084">
        <v>143.77800000000002</v>
      </c>
      <c r="E1084">
        <v>0</v>
      </c>
      <c r="F1084">
        <v>0</v>
      </c>
      <c r="G1084" s="2043">
        <v>40191431</v>
      </c>
      <c r="H1084">
        <v>0</v>
      </c>
      <c r="I1084" s="2043">
        <v>0</v>
      </c>
      <c r="J1084">
        <v>7</v>
      </c>
      <c r="K1084">
        <v>19</v>
      </c>
      <c r="L1084">
        <v>0</v>
      </c>
      <c r="M1084">
        <v>0</v>
      </c>
      <c r="N1084">
        <v>0</v>
      </c>
      <c r="O1084">
        <v>0</v>
      </c>
      <c r="P1084">
        <v>0</v>
      </c>
      <c r="Q1084">
        <v>0</v>
      </c>
      <c r="R1084" s="2043">
        <v>359628</v>
      </c>
      <c r="S1084">
        <v>31498</v>
      </c>
      <c r="T1084">
        <v>22954</v>
      </c>
      <c r="U1084">
        <v>0.08</v>
      </c>
      <c r="V1084">
        <v>0</v>
      </c>
      <c r="W1084">
        <v>0</v>
      </c>
      <c r="X1084">
        <v>0</v>
      </c>
      <c r="Y1084">
        <v>0</v>
      </c>
      <c r="Z1084">
        <v>0</v>
      </c>
      <c r="AA1084">
        <v>0</v>
      </c>
      <c r="AB1084">
        <v>143.77800000000002</v>
      </c>
      <c r="AC1084" s="2043">
        <v>41137338</v>
      </c>
      <c r="AD1084">
        <v>0</v>
      </c>
      <c r="AE1084" s="2043">
        <v>414080</v>
      </c>
      <c r="AF1084">
        <v>1.0517000000000001</v>
      </c>
      <c r="AG1084">
        <v>0</v>
      </c>
      <c r="AH1084">
        <v>0</v>
      </c>
      <c r="AI1084">
        <v>0</v>
      </c>
      <c r="AJ1084">
        <v>20.975000000000001</v>
      </c>
      <c r="AK1084">
        <v>684</v>
      </c>
      <c r="AL1084">
        <v>7.4999999999999997E-2</v>
      </c>
      <c r="AM1084">
        <v>0</v>
      </c>
      <c r="AN1084">
        <v>7.8320000000000007</v>
      </c>
      <c r="AO1084">
        <v>0</v>
      </c>
      <c r="AP1084">
        <v>0</v>
      </c>
      <c r="AQ1084">
        <v>0</v>
      </c>
      <c r="AR1084">
        <v>1.17</v>
      </c>
      <c r="AS1084">
        <v>0</v>
      </c>
      <c r="AT1084">
        <v>1.089</v>
      </c>
      <c r="AU1084">
        <v>0.57400000000000007</v>
      </c>
      <c r="AV1084">
        <v>0</v>
      </c>
      <c r="AW1084">
        <v>2.9079999999999999</v>
      </c>
      <c r="AX1084">
        <v>0</v>
      </c>
      <c r="AY1084">
        <v>10.022</v>
      </c>
      <c r="AZ1084">
        <v>0</v>
      </c>
      <c r="BA1084">
        <v>2113170</v>
      </c>
      <c r="BB1084">
        <v>414080</v>
      </c>
      <c r="BC1084">
        <v>0</v>
      </c>
      <c r="BD1084">
        <v>15595</v>
      </c>
      <c r="BE1084">
        <v>0</v>
      </c>
      <c r="BF1084">
        <v>15595</v>
      </c>
      <c r="BG1084">
        <v>15595</v>
      </c>
      <c r="BH1084">
        <v>0</v>
      </c>
      <c r="BI1084">
        <v>0</v>
      </c>
      <c r="BJ1084">
        <v>0</v>
      </c>
      <c r="BK1084">
        <v>0</v>
      </c>
      <c r="BL1084">
        <v>40191431</v>
      </c>
      <c r="BM1084">
        <v>0</v>
      </c>
      <c r="BN1084">
        <v>702</v>
      </c>
      <c r="BO1084">
        <v>556</v>
      </c>
      <c r="BP1084">
        <v>0</v>
      </c>
      <c r="BQ1084">
        <v>0</v>
      </c>
      <c r="BR1084">
        <v>0.91339999999999999</v>
      </c>
      <c r="BS1084">
        <v>0.91339999999999999</v>
      </c>
      <c r="BT1084">
        <v>0</v>
      </c>
      <c r="BU1084">
        <v>0</v>
      </c>
      <c r="BV1084">
        <v>4</v>
      </c>
      <c r="BW1084">
        <v>62</v>
      </c>
      <c r="BX1084">
        <v>13</v>
      </c>
      <c r="BY1084">
        <v>8</v>
      </c>
      <c r="BZ1084">
        <v>0</v>
      </c>
      <c r="CA1084">
        <v>87</v>
      </c>
      <c r="CB1084">
        <v>0</v>
      </c>
      <c r="CC1084">
        <v>0</v>
      </c>
      <c r="CD1084">
        <v>0</v>
      </c>
      <c r="CE1084">
        <v>15</v>
      </c>
      <c r="CF1084">
        <v>26.682000000000002</v>
      </c>
      <c r="CG1084">
        <v>0</v>
      </c>
      <c r="CH1084">
        <v>0</v>
      </c>
      <c r="CI1084">
        <v>2</v>
      </c>
      <c r="CJ1084">
        <v>1</v>
      </c>
      <c r="CK1084">
        <v>0</v>
      </c>
      <c r="CL1084">
        <v>0</v>
      </c>
      <c r="CM1084">
        <v>0</v>
      </c>
      <c r="CN1084">
        <v>0</v>
      </c>
      <c r="CO1084">
        <v>0</v>
      </c>
      <c r="CP1084">
        <v>0</v>
      </c>
      <c r="CQ1084">
        <v>0</v>
      </c>
      <c r="CR1084">
        <v>0</v>
      </c>
      <c r="CS1084">
        <v>0</v>
      </c>
      <c r="CT1084">
        <v>0</v>
      </c>
      <c r="CU1084">
        <v>5.9460000000000006</v>
      </c>
      <c r="CV1084">
        <v>23.622</v>
      </c>
      <c r="CW1084">
        <v>11.177000000000001</v>
      </c>
      <c r="CX1084">
        <v>0</v>
      </c>
      <c r="CY1084" s="2043">
        <v>0</v>
      </c>
      <c r="CZ1084" s="2043">
        <v>0</v>
      </c>
      <c r="DA1084" s="2043">
        <v>0</v>
      </c>
      <c r="DB1084" s="2043">
        <v>0</v>
      </c>
      <c r="DC1084" s="2043">
        <v>0</v>
      </c>
      <c r="DI1084" t="s">
        <v>5886</v>
      </c>
      <c r="DJ1084" t="s">
        <v>5886</v>
      </c>
      <c r="DK1084" s="2042">
        <f t="shared" si="18"/>
        <v>0</v>
      </c>
    </row>
    <row r="1085" spans="1:115">
      <c r="A1085" t="s">
        <v>5276</v>
      </c>
      <c r="B1085" t="s">
        <v>1497</v>
      </c>
      <c r="C1085">
        <v>4624.8950000000004</v>
      </c>
      <c r="D1085">
        <v>4779.4630000000006</v>
      </c>
      <c r="E1085">
        <v>1809.6860000000001</v>
      </c>
      <c r="F1085">
        <v>0</v>
      </c>
      <c r="G1085" s="2043">
        <v>1624088279</v>
      </c>
      <c r="H1085">
        <v>0</v>
      </c>
      <c r="I1085" s="2043">
        <v>5306162</v>
      </c>
      <c r="J1085">
        <v>231.245</v>
      </c>
      <c r="K1085">
        <v>632</v>
      </c>
      <c r="L1085">
        <v>0</v>
      </c>
      <c r="M1085">
        <v>0</v>
      </c>
      <c r="N1085">
        <v>0</v>
      </c>
      <c r="O1085">
        <v>0</v>
      </c>
      <c r="P1085">
        <v>0</v>
      </c>
      <c r="Q1085">
        <v>0</v>
      </c>
      <c r="R1085" s="2043">
        <v>13796681</v>
      </c>
      <c r="S1085">
        <v>769046</v>
      </c>
      <c r="T1085">
        <v>0</v>
      </c>
      <c r="U1085">
        <v>0.05</v>
      </c>
      <c r="V1085">
        <v>0</v>
      </c>
      <c r="W1085">
        <v>0</v>
      </c>
      <c r="X1085">
        <v>0</v>
      </c>
      <c r="Y1085">
        <v>0</v>
      </c>
      <c r="Z1085">
        <v>0</v>
      </c>
      <c r="AA1085">
        <v>1.018</v>
      </c>
      <c r="AB1085">
        <v>4699.1469999999999</v>
      </c>
      <c r="AC1085" s="2043">
        <v>1458244052</v>
      </c>
      <c r="AD1085">
        <v>4739881</v>
      </c>
      <c r="AE1085" s="2043">
        <v>14565727</v>
      </c>
      <c r="AF1085">
        <v>0.94700000000000006</v>
      </c>
      <c r="AG1085">
        <v>0</v>
      </c>
      <c r="AH1085">
        <v>0</v>
      </c>
      <c r="AI1085">
        <v>0</v>
      </c>
      <c r="AJ1085">
        <v>1021.9630000000001</v>
      </c>
      <c r="AK1085">
        <v>17155</v>
      </c>
      <c r="AL1085">
        <v>0.59100000000000008</v>
      </c>
      <c r="AM1085">
        <v>0</v>
      </c>
      <c r="AN1085">
        <v>108.947</v>
      </c>
      <c r="AO1085">
        <v>0</v>
      </c>
      <c r="AP1085">
        <v>0.27800000000000002</v>
      </c>
      <c r="AQ1085">
        <v>0</v>
      </c>
      <c r="AR1085">
        <v>116.486</v>
      </c>
      <c r="AS1085">
        <v>0</v>
      </c>
      <c r="AT1085">
        <v>60.905000000000001</v>
      </c>
      <c r="AU1085">
        <v>13.593</v>
      </c>
      <c r="AV1085">
        <v>0</v>
      </c>
      <c r="AW1085">
        <v>195.279</v>
      </c>
      <c r="AX1085">
        <v>3.4260000000000002</v>
      </c>
      <c r="AY1085">
        <v>611.72300000000007</v>
      </c>
      <c r="AZ1085">
        <v>0</v>
      </c>
      <c r="BA1085">
        <v>32552230</v>
      </c>
      <c r="BB1085">
        <v>19305608</v>
      </c>
      <c r="BC1085">
        <v>0</v>
      </c>
      <c r="BD1085">
        <v>314691</v>
      </c>
      <c r="BE1085">
        <v>84175</v>
      </c>
      <c r="BF1085">
        <v>487453</v>
      </c>
      <c r="BG1085">
        <v>314691</v>
      </c>
      <c r="BH1085">
        <v>88587</v>
      </c>
      <c r="BI1085">
        <v>0</v>
      </c>
      <c r="BJ1085">
        <v>0</v>
      </c>
      <c r="BK1085">
        <v>0</v>
      </c>
      <c r="BL1085">
        <v>1624088279</v>
      </c>
      <c r="BM1085">
        <v>0</v>
      </c>
      <c r="BN1085">
        <v>19125</v>
      </c>
      <c r="BO1085">
        <v>10005</v>
      </c>
      <c r="BP1085">
        <v>0</v>
      </c>
      <c r="BQ1085">
        <v>0</v>
      </c>
      <c r="BR1085">
        <v>0.89700000000000002</v>
      </c>
      <c r="BS1085">
        <v>0.89700000000000002</v>
      </c>
      <c r="BT1085">
        <v>0</v>
      </c>
      <c r="BU1085">
        <v>0</v>
      </c>
      <c r="BV1085">
        <v>196</v>
      </c>
      <c r="BW1085">
        <v>977</v>
      </c>
      <c r="BX1085">
        <v>1323</v>
      </c>
      <c r="BY1085">
        <v>1378</v>
      </c>
      <c r="BZ1085">
        <v>194</v>
      </c>
      <c r="CA1085">
        <v>4068</v>
      </c>
      <c r="CB1085">
        <v>0</v>
      </c>
      <c r="CC1085">
        <v>403.65700000000004</v>
      </c>
      <c r="CD1085">
        <v>129.904</v>
      </c>
      <c r="CE1085">
        <v>610</v>
      </c>
      <c r="CF1085">
        <v>1702.26</v>
      </c>
      <c r="CG1085">
        <v>0</v>
      </c>
      <c r="CH1085">
        <v>0</v>
      </c>
      <c r="CI1085">
        <v>0</v>
      </c>
      <c r="CJ1085">
        <v>13</v>
      </c>
      <c r="CK1085">
        <v>0</v>
      </c>
      <c r="CL1085">
        <v>0</v>
      </c>
      <c r="CM1085">
        <v>1809.6860000000001</v>
      </c>
      <c r="CN1085">
        <v>0</v>
      </c>
      <c r="CO1085">
        <v>0</v>
      </c>
      <c r="CP1085">
        <v>0</v>
      </c>
      <c r="CQ1085">
        <v>0</v>
      </c>
      <c r="CR1085">
        <v>0</v>
      </c>
      <c r="CS1085">
        <v>0</v>
      </c>
      <c r="CT1085">
        <v>0</v>
      </c>
      <c r="CU1085">
        <v>2.8490000000000002</v>
      </c>
      <c r="CV1085">
        <v>252.40300000000002</v>
      </c>
      <c r="CW1085">
        <v>283.49799999999999</v>
      </c>
      <c r="CX1085">
        <v>0</v>
      </c>
      <c r="CY1085" s="2043">
        <v>0</v>
      </c>
      <c r="CZ1085" s="2043">
        <v>0</v>
      </c>
      <c r="DA1085" s="2043">
        <v>0</v>
      </c>
      <c r="DB1085" s="2043">
        <v>0</v>
      </c>
      <c r="DC1085" s="2043">
        <v>0</v>
      </c>
      <c r="DI1085" t="s">
        <v>5276</v>
      </c>
      <c r="DJ1085" t="s">
        <v>5276</v>
      </c>
      <c r="DK1085" s="2042">
        <f t="shared" si="18"/>
        <v>0</v>
      </c>
    </row>
    <row r="1086" spans="1:115">
      <c r="A1086" t="s">
        <v>3220</v>
      </c>
      <c r="B1086" t="s">
        <v>261</v>
      </c>
      <c r="C1086">
        <v>968.04600000000005</v>
      </c>
      <c r="D1086">
        <v>994.173</v>
      </c>
      <c r="E1086">
        <v>170.874</v>
      </c>
      <c r="F1086">
        <v>0</v>
      </c>
      <c r="G1086" s="2043">
        <v>165959225</v>
      </c>
      <c r="H1086">
        <v>0</v>
      </c>
      <c r="I1086" s="2043">
        <v>700361</v>
      </c>
      <c r="J1086">
        <v>48.402000000000001</v>
      </c>
      <c r="K1086">
        <v>132</v>
      </c>
      <c r="L1086">
        <v>146918</v>
      </c>
      <c r="M1086">
        <v>141055</v>
      </c>
      <c r="N1086">
        <v>146918</v>
      </c>
      <c r="O1086">
        <v>287973</v>
      </c>
      <c r="P1086">
        <v>0</v>
      </c>
      <c r="Q1086">
        <v>0</v>
      </c>
      <c r="R1086" s="2043">
        <v>1368652</v>
      </c>
      <c r="S1086">
        <v>133121</v>
      </c>
      <c r="T1086">
        <v>70222</v>
      </c>
      <c r="U1086">
        <v>0.08</v>
      </c>
      <c r="V1086">
        <v>0</v>
      </c>
      <c r="W1086">
        <v>0</v>
      </c>
      <c r="X1086">
        <v>0</v>
      </c>
      <c r="Y1086">
        <v>0</v>
      </c>
      <c r="Z1086">
        <v>4.2700000000000005</v>
      </c>
      <c r="AA1086">
        <v>0</v>
      </c>
      <c r="AB1086">
        <v>916.69500000000005</v>
      </c>
      <c r="AC1086" s="2043">
        <v>141370986</v>
      </c>
      <c r="AD1086">
        <v>178154</v>
      </c>
      <c r="AE1086" s="2043">
        <v>1571995</v>
      </c>
      <c r="AF1086">
        <v>0.9447000000000001</v>
      </c>
      <c r="AG1086">
        <v>0</v>
      </c>
      <c r="AH1086">
        <v>0</v>
      </c>
      <c r="AI1086">
        <v>0</v>
      </c>
      <c r="AJ1086">
        <v>108.438</v>
      </c>
      <c r="AK1086">
        <v>4314</v>
      </c>
      <c r="AL1086">
        <v>0.14800000000000002</v>
      </c>
      <c r="AM1086">
        <v>0</v>
      </c>
      <c r="AN1086">
        <v>9.7970000000000006</v>
      </c>
      <c r="AO1086">
        <v>0</v>
      </c>
      <c r="AP1086">
        <v>0</v>
      </c>
      <c r="AQ1086">
        <v>0</v>
      </c>
      <c r="AR1086">
        <v>39.624000000000002</v>
      </c>
      <c r="AS1086">
        <v>0</v>
      </c>
      <c r="AT1086">
        <v>2.536</v>
      </c>
      <c r="AU1086">
        <v>1.357</v>
      </c>
      <c r="AV1086">
        <v>0</v>
      </c>
      <c r="AW1086">
        <v>43.664999999999999</v>
      </c>
      <c r="AX1086">
        <v>0</v>
      </c>
      <c r="AY1086">
        <v>134.005</v>
      </c>
      <c r="AZ1086">
        <v>0</v>
      </c>
      <c r="BA1086">
        <v>10313726</v>
      </c>
      <c r="BB1086">
        <v>1750149</v>
      </c>
      <c r="BC1086">
        <v>0</v>
      </c>
      <c r="BD1086">
        <v>40506</v>
      </c>
      <c r="BE1086">
        <v>4407</v>
      </c>
      <c r="BF1086">
        <v>47621</v>
      </c>
      <c r="BG1086">
        <v>40506</v>
      </c>
      <c r="BH1086">
        <v>2708</v>
      </c>
      <c r="BI1086">
        <v>0</v>
      </c>
      <c r="BJ1086">
        <v>0</v>
      </c>
      <c r="BK1086">
        <v>0</v>
      </c>
      <c r="BL1086">
        <v>165959225</v>
      </c>
      <c r="BM1086">
        <v>0</v>
      </c>
      <c r="BN1086">
        <v>3960</v>
      </c>
      <c r="BO1086">
        <v>1605</v>
      </c>
      <c r="BP1086">
        <v>0</v>
      </c>
      <c r="BQ1086">
        <v>0</v>
      </c>
      <c r="BR1086">
        <v>0.82250000000000001</v>
      </c>
      <c r="BS1086">
        <v>0.82250000000000001</v>
      </c>
      <c r="BT1086">
        <v>0</v>
      </c>
      <c r="BU1086">
        <v>0</v>
      </c>
      <c r="BV1086">
        <v>230</v>
      </c>
      <c r="BW1086">
        <v>96</v>
      </c>
      <c r="BX1086">
        <v>111</v>
      </c>
      <c r="BY1086">
        <v>15</v>
      </c>
      <c r="BZ1086">
        <v>8</v>
      </c>
      <c r="CA1086">
        <v>460</v>
      </c>
      <c r="CB1086">
        <v>0</v>
      </c>
      <c r="CC1086">
        <v>0</v>
      </c>
      <c r="CD1086">
        <v>0</v>
      </c>
      <c r="CE1086">
        <v>126</v>
      </c>
      <c r="CF1086">
        <v>187.56900000000002</v>
      </c>
      <c r="CG1086">
        <v>0</v>
      </c>
      <c r="CH1086">
        <v>0</v>
      </c>
      <c r="CI1086">
        <v>7</v>
      </c>
      <c r="CJ1086">
        <v>14</v>
      </c>
      <c r="CK1086">
        <v>0</v>
      </c>
      <c r="CL1086">
        <v>0</v>
      </c>
      <c r="CM1086">
        <v>170.874</v>
      </c>
      <c r="CN1086">
        <v>0</v>
      </c>
      <c r="CO1086">
        <v>0</v>
      </c>
      <c r="CP1086">
        <v>0</v>
      </c>
      <c r="CQ1086">
        <v>0</v>
      </c>
      <c r="CR1086">
        <v>0</v>
      </c>
      <c r="CS1086">
        <v>0</v>
      </c>
      <c r="CT1086">
        <v>0</v>
      </c>
      <c r="CU1086">
        <v>2.6990000000000003</v>
      </c>
      <c r="CV1086">
        <v>53.365000000000002</v>
      </c>
      <c r="CW1086">
        <v>46.131</v>
      </c>
      <c r="CX1086">
        <v>0</v>
      </c>
      <c r="CY1086" s="2043">
        <v>0</v>
      </c>
      <c r="CZ1086" s="2043">
        <v>0</v>
      </c>
      <c r="DA1086" s="2043">
        <v>0</v>
      </c>
      <c r="DB1086" s="2043">
        <v>0</v>
      </c>
      <c r="DC1086" s="2043">
        <v>0</v>
      </c>
      <c r="DI1086" t="s">
        <v>3220</v>
      </c>
      <c r="DJ1086" t="s">
        <v>3220</v>
      </c>
      <c r="DK1086" s="2042">
        <f t="shared" si="18"/>
        <v>0</v>
      </c>
    </row>
    <row r="1087" spans="1:115">
      <c r="A1087" t="s">
        <v>5887</v>
      </c>
      <c r="B1087" t="s">
        <v>1716</v>
      </c>
      <c r="C1087">
        <v>742.66200000000003</v>
      </c>
      <c r="D1087">
        <v>658.25900000000001</v>
      </c>
      <c r="E1087">
        <v>188.79300000000001</v>
      </c>
      <c r="F1087">
        <v>0</v>
      </c>
      <c r="G1087" s="2043">
        <v>194791552</v>
      </c>
      <c r="H1087">
        <v>0</v>
      </c>
      <c r="I1087" s="2043">
        <v>0</v>
      </c>
      <c r="J1087">
        <v>18</v>
      </c>
      <c r="K1087">
        <v>49</v>
      </c>
      <c r="L1087">
        <v>0</v>
      </c>
      <c r="M1087">
        <v>0</v>
      </c>
      <c r="N1087">
        <v>0</v>
      </c>
      <c r="O1087">
        <v>0</v>
      </c>
      <c r="P1087">
        <v>0</v>
      </c>
      <c r="Q1087">
        <v>0</v>
      </c>
      <c r="R1087" s="2043">
        <v>1608634</v>
      </c>
      <c r="S1087">
        <v>96164</v>
      </c>
      <c r="T1087">
        <v>0</v>
      </c>
      <c r="U1087">
        <v>0.05</v>
      </c>
      <c r="V1087">
        <v>54.486000000000004</v>
      </c>
      <c r="W1087">
        <v>0</v>
      </c>
      <c r="X1087">
        <v>0</v>
      </c>
      <c r="Y1087">
        <v>49121</v>
      </c>
      <c r="Z1087">
        <v>0</v>
      </c>
      <c r="AA1087">
        <v>0</v>
      </c>
      <c r="AB1087">
        <v>658.25900000000001</v>
      </c>
      <c r="AC1087" s="2043">
        <v>162993546</v>
      </c>
      <c r="AD1087">
        <v>0</v>
      </c>
      <c r="AE1087" s="2043">
        <v>1704798</v>
      </c>
      <c r="AF1087">
        <v>0.88640000000000008</v>
      </c>
      <c r="AG1087">
        <v>0</v>
      </c>
      <c r="AH1087">
        <v>0</v>
      </c>
      <c r="AI1087">
        <v>0</v>
      </c>
      <c r="AJ1087">
        <v>121.45</v>
      </c>
      <c r="AK1087">
        <v>2326</v>
      </c>
      <c r="AL1087">
        <v>0</v>
      </c>
      <c r="AM1087">
        <v>0</v>
      </c>
      <c r="AN1087">
        <v>7.1680000000000001</v>
      </c>
      <c r="AO1087">
        <v>0</v>
      </c>
      <c r="AP1087">
        <v>3.976</v>
      </c>
      <c r="AQ1087">
        <v>0</v>
      </c>
      <c r="AR1087">
        <v>16.108000000000001</v>
      </c>
      <c r="AS1087">
        <v>0</v>
      </c>
      <c r="AT1087">
        <v>0</v>
      </c>
      <c r="AU1087">
        <v>1.6240000000000001</v>
      </c>
      <c r="AV1087">
        <v>0</v>
      </c>
      <c r="AW1087">
        <v>21.708000000000002</v>
      </c>
      <c r="AX1087">
        <v>0</v>
      </c>
      <c r="AY1087">
        <v>67.179000000000002</v>
      </c>
      <c r="AZ1087">
        <v>0</v>
      </c>
      <c r="BA1087">
        <v>7097497</v>
      </c>
      <c r="BB1087">
        <v>1704798</v>
      </c>
      <c r="BC1087">
        <v>0</v>
      </c>
      <c r="BD1087">
        <v>19908</v>
      </c>
      <c r="BE1087">
        <v>0</v>
      </c>
      <c r="BF1087">
        <v>19908</v>
      </c>
      <c r="BG1087">
        <v>19908</v>
      </c>
      <c r="BH1087">
        <v>0</v>
      </c>
      <c r="BI1087">
        <v>0</v>
      </c>
      <c r="BJ1087">
        <v>0</v>
      </c>
      <c r="BK1087">
        <v>95703</v>
      </c>
      <c r="BL1087">
        <v>194791552</v>
      </c>
      <c r="BM1087">
        <v>0</v>
      </c>
      <c r="BN1087">
        <v>0</v>
      </c>
      <c r="BO1087">
        <v>0</v>
      </c>
      <c r="BP1087">
        <v>0</v>
      </c>
      <c r="BQ1087">
        <v>0</v>
      </c>
      <c r="BR1087">
        <v>0.83640000000000003</v>
      </c>
      <c r="BS1087">
        <v>0.83640000000000003</v>
      </c>
      <c r="BT1087">
        <v>0</v>
      </c>
      <c r="BU1087">
        <v>0</v>
      </c>
      <c r="BV1087">
        <v>8</v>
      </c>
      <c r="BW1087">
        <v>243</v>
      </c>
      <c r="BX1087">
        <v>193</v>
      </c>
      <c r="BY1087">
        <v>27</v>
      </c>
      <c r="BZ1087">
        <v>24</v>
      </c>
      <c r="CA1087">
        <v>495</v>
      </c>
      <c r="CB1087">
        <v>0</v>
      </c>
      <c r="CC1087">
        <v>43.824000000000005</v>
      </c>
      <c r="CD1087">
        <v>36.192</v>
      </c>
      <c r="CE1087">
        <v>167</v>
      </c>
      <c r="CF1087">
        <v>262.89100000000002</v>
      </c>
      <c r="CG1087">
        <v>0</v>
      </c>
      <c r="CH1087">
        <v>0</v>
      </c>
      <c r="CI1087">
        <v>0</v>
      </c>
      <c r="CJ1087">
        <v>0</v>
      </c>
      <c r="CK1087">
        <v>0</v>
      </c>
      <c r="CL1087">
        <v>0</v>
      </c>
      <c r="CM1087">
        <v>188.79300000000001</v>
      </c>
      <c r="CN1087">
        <v>0</v>
      </c>
      <c r="CO1087">
        <v>0</v>
      </c>
      <c r="CP1087">
        <v>0</v>
      </c>
      <c r="CQ1087">
        <v>0</v>
      </c>
      <c r="CR1087">
        <v>0</v>
      </c>
      <c r="CS1087">
        <v>0</v>
      </c>
      <c r="CT1087">
        <v>0</v>
      </c>
      <c r="CU1087">
        <v>0.747</v>
      </c>
      <c r="CV1087">
        <v>21.008000000000003</v>
      </c>
      <c r="CW1087">
        <v>3.9</v>
      </c>
      <c r="CX1087">
        <v>0</v>
      </c>
      <c r="CY1087" s="2043">
        <v>49121</v>
      </c>
      <c r="CZ1087" s="2043">
        <v>0</v>
      </c>
      <c r="DA1087" s="2043">
        <v>95703</v>
      </c>
      <c r="DB1087" s="2043">
        <v>0</v>
      </c>
      <c r="DC1087" s="2043">
        <v>0</v>
      </c>
      <c r="DI1087" t="s">
        <v>5887</v>
      </c>
      <c r="DJ1087" t="s">
        <v>5887</v>
      </c>
      <c r="DK1087" s="2042">
        <f t="shared" si="18"/>
        <v>0</v>
      </c>
    </row>
    <row r="1088" spans="1:115">
      <c r="A1088" t="s">
        <v>8518</v>
      </c>
      <c r="B1088" t="s">
        <v>11413</v>
      </c>
      <c r="C1088">
        <v>0</v>
      </c>
      <c r="D1088">
        <v>0</v>
      </c>
      <c r="E1088">
        <v>0</v>
      </c>
      <c r="F1088">
        <v>0</v>
      </c>
      <c r="G1088" s="2043">
        <v>0</v>
      </c>
      <c r="H1088">
        <v>0</v>
      </c>
      <c r="I1088" s="2043">
        <v>0</v>
      </c>
      <c r="J1088">
        <v>0</v>
      </c>
      <c r="K1088">
        <v>0</v>
      </c>
      <c r="L1088">
        <v>0</v>
      </c>
      <c r="M1088">
        <v>0</v>
      </c>
      <c r="N1088">
        <v>0</v>
      </c>
      <c r="O1088">
        <v>0</v>
      </c>
      <c r="P1088">
        <v>0</v>
      </c>
      <c r="Q1088">
        <v>0</v>
      </c>
      <c r="R1088" s="2043">
        <v>0</v>
      </c>
      <c r="S1088">
        <v>0</v>
      </c>
      <c r="T1088">
        <v>0</v>
      </c>
      <c r="U1088">
        <v>0</v>
      </c>
      <c r="V1088">
        <v>0</v>
      </c>
      <c r="W1088">
        <v>0</v>
      </c>
      <c r="X1088">
        <v>0</v>
      </c>
      <c r="Y1088">
        <v>140084</v>
      </c>
      <c r="Z1088">
        <v>0</v>
      </c>
      <c r="AA1088">
        <v>0</v>
      </c>
      <c r="AB1088">
        <v>0</v>
      </c>
      <c r="AC1088" s="2043">
        <v>0</v>
      </c>
      <c r="AD1088">
        <v>0</v>
      </c>
      <c r="AE1088" s="2043">
        <v>0</v>
      </c>
      <c r="AF1088">
        <v>0</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140084</v>
      </c>
      <c r="BB1088">
        <v>0</v>
      </c>
      <c r="BC1088">
        <v>0</v>
      </c>
      <c r="BD1088">
        <v>0</v>
      </c>
      <c r="BE1088">
        <v>0</v>
      </c>
      <c r="BF1088">
        <v>0</v>
      </c>
      <c r="BG1088">
        <v>0</v>
      </c>
      <c r="BH1088">
        <v>0</v>
      </c>
      <c r="BI1088">
        <v>0</v>
      </c>
      <c r="BJ1088">
        <v>0</v>
      </c>
      <c r="BK1088">
        <v>0</v>
      </c>
      <c r="BL1088">
        <v>0</v>
      </c>
      <c r="BM1088">
        <v>0</v>
      </c>
      <c r="BN1088">
        <v>0</v>
      </c>
      <c r="BO1088">
        <v>0</v>
      </c>
      <c r="BP1088">
        <v>0</v>
      </c>
      <c r="BQ1088">
        <v>0</v>
      </c>
      <c r="BR1088">
        <v>0</v>
      </c>
      <c r="BS1088">
        <v>0</v>
      </c>
      <c r="BT1088">
        <v>0</v>
      </c>
      <c r="BU1088">
        <v>0</v>
      </c>
      <c r="BV1088">
        <v>0</v>
      </c>
      <c r="BW1088">
        <v>0</v>
      </c>
      <c r="BX1088">
        <v>0</v>
      </c>
      <c r="BY1088">
        <v>0</v>
      </c>
      <c r="BZ1088">
        <v>0</v>
      </c>
      <c r="CA1088">
        <v>0</v>
      </c>
      <c r="CB1088">
        <v>0</v>
      </c>
      <c r="CC1088">
        <v>0</v>
      </c>
      <c r="CD1088">
        <v>0</v>
      </c>
      <c r="CE1088">
        <v>0</v>
      </c>
      <c r="CF1088">
        <v>0</v>
      </c>
      <c r="CG1088">
        <v>0</v>
      </c>
      <c r="CH1088">
        <v>0</v>
      </c>
      <c r="CI1088">
        <v>0</v>
      </c>
      <c r="CJ1088">
        <v>0</v>
      </c>
      <c r="CK1088">
        <v>0</v>
      </c>
      <c r="CL1088">
        <v>0</v>
      </c>
      <c r="CM1088">
        <v>0</v>
      </c>
      <c r="CN1088">
        <v>0</v>
      </c>
      <c r="CO1088">
        <v>0</v>
      </c>
      <c r="CP1088">
        <v>0</v>
      </c>
      <c r="CQ1088">
        <v>0</v>
      </c>
      <c r="CR1088">
        <v>0</v>
      </c>
      <c r="CS1088">
        <v>0</v>
      </c>
      <c r="CT1088">
        <v>0</v>
      </c>
      <c r="CU1088">
        <v>0</v>
      </c>
      <c r="CV1088">
        <v>0</v>
      </c>
      <c r="CW1088">
        <v>0</v>
      </c>
      <c r="CX1088">
        <v>0</v>
      </c>
      <c r="CY1088" s="2043">
        <v>0</v>
      </c>
      <c r="CZ1088" s="2043">
        <v>0</v>
      </c>
      <c r="DA1088" s="2043">
        <v>0</v>
      </c>
      <c r="DB1088" s="2043">
        <v>0</v>
      </c>
      <c r="DC1088" s="2043">
        <v>0</v>
      </c>
      <c r="DI1088" t="s">
        <v>8518</v>
      </c>
      <c r="DJ1088" t="s">
        <v>8518</v>
      </c>
      <c r="DK1088" s="2042">
        <f t="shared" si="18"/>
        <v>0</v>
      </c>
    </row>
    <row r="1089" spans="1:115">
      <c r="A1089" t="s">
        <v>8084</v>
      </c>
      <c r="B1089" t="s">
        <v>11414</v>
      </c>
      <c r="C1089">
        <v>3302.0170000000003</v>
      </c>
      <c r="D1089">
        <v>2880.4110000000001</v>
      </c>
      <c r="E1089">
        <v>93.966999999999999</v>
      </c>
      <c r="F1089">
        <v>0</v>
      </c>
      <c r="G1089" s="2043">
        <v>0</v>
      </c>
      <c r="H1089">
        <v>0</v>
      </c>
      <c r="I1089" s="2043">
        <v>0</v>
      </c>
      <c r="J1089">
        <v>0</v>
      </c>
      <c r="K1089">
        <v>0</v>
      </c>
      <c r="L1089">
        <v>0</v>
      </c>
      <c r="M1089">
        <v>0</v>
      </c>
      <c r="N1089">
        <v>0</v>
      </c>
      <c r="O1089">
        <v>0</v>
      </c>
      <c r="P1089">
        <v>0</v>
      </c>
      <c r="Q1089">
        <v>0</v>
      </c>
      <c r="R1089" s="2043">
        <v>0</v>
      </c>
      <c r="S1089">
        <v>0</v>
      </c>
      <c r="T1089">
        <v>0</v>
      </c>
      <c r="U1089">
        <v>0</v>
      </c>
      <c r="V1089">
        <v>0</v>
      </c>
      <c r="W1089">
        <v>0</v>
      </c>
      <c r="X1089">
        <v>0</v>
      </c>
      <c r="Y1089">
        <v>583738</v>
      </c>
      <c r="Z1089">
        <v>0</v>
      </c>
      <c r="AA1089">
        <v>0</v>
      </c>
      <c r="AB1089">
        <v>2680.866</v>
      </c>
      <c r="AC1089" s="2043">
        <v>0</v>
      </c>
      <c r="AD1089">
        <v>0</v>
      </c>
      <c r="AE1089" s="2043">
        <v>0</v>
      </c>
      <c r="AF1089">
        <v>0</v>
      </c>
      <c r="AG1089">
        <v>0</v>
      </c>
      <c r="AH1089">
        <v>0</v>
      </c>
      <c r="AI1089">
        <v>0</v>
      </c>
      <c r="AJ1089">
        <v>461.2</v>
      </c>
      <c r="AK1089">
        <v>7166</v>
      </c>
      <c r="AL1089">
        <v>0</v>
      </c>
      <c r="AM1089">
        <v>0</v>
      </c>
      <c r="AN1089">
        <v>85.37700000000001</v>
      </c>
      <c r="AO1089">
        <v>0</v>
      </c>
      <c r="AP1089">
        <v>0</v>
      </c>
      <c r="AQ1089">
        <v>3.5580000000000003</v>
      </c>
      <c r="AR1089">
        <v>51.095000000000006</v>
      </c>
      <c r="AS1089">
        <v>0</v>
      </c>
      <c r="AT1089">
        <v>9.6</v>
      </c>
      <c r="AU1089">
        <v>4.3820000000000006</v>
      </c>
      <c r="AV1089">
        <v>0</v>
      </c>
      <c r="AW1089">
        <v>68.635000000000005</v>
      </c>
      <c r="AX1089">
        <v>0</v>
      </c>
      <c r="AY1089">
        <v>203.995</v>
      </c>
      <c r="AZ1089">
        <v>0</v>
      </c>
      <c r="BA1089">
        <v>33677917</v>
      </c>
      <c r="BB1089">
        <v>0</v>
      </c>
      <c r="BC1089">
        <v>0</v>
      </c>
      <c r="BD1089">
        <v>75758</v>
      </c>
      <c r="BE1089">
        <v>0</v>
      </c>
      <c r="BF1089">
        <v>75758</v>
      </c>
      <c r="BG1089">
        <v>75758</v>
      </c>
      <c r="BH1089">
        <v>0</v>
      </c>
      <c r="BI1089">
        <v>0</v>
      </c>
      <c r="BJ1089">
        <v>0</v>
      </c>
      <c r="BK1089">
        <v>0</v>
      </c>
      <c r="BL1089">
        <v>0</v>
      </c>
      <c r="BM1089">
        <v>0</v>
      </c>
      <c r="BN1089">
        <v>6822</v>
      </c>
      <c r="BO1089">
        <v>824</v>
      </c>
      <c r="BP1089">
        <v>0</v>
      </c>
      <c r="BQ1089">
        <v>0</v>
      </c>
      <c r="BR1089">
        <v>0</v>
      </c>
      <c r="BS1089">
        <v>0</v>
      </c>
      <c r="BT1089">
        <v>0</v>
      </c>
      <c r="BU1089">
        <v>0</v>
      </c>
      <c r="BV1089">
        <v>416</v>
      </c>
      <c r="BW1089">
        <v>392</v>
      </c>
      <c r="BX1089">
        <v>370</v>
      </c>
      <c r="BY1089">
        <v>422</v>
      </c>
      <c r="BZ1089">
        <v>259</v>
      </c>
      <c r="CA1089">
        <v>1859</v>
      </c>
      <c r="CB1089">
        <v>0</v>
      </c>
      <c r="CC1089">
        <v>0</v>
      </c>
      <c r="CD1089">
        <v>0</v>
      </c>
      <c r="CE1089">
        <v>180</v>
      </c>
      <c r="CF1089">
        <v>691.20400000000006</v>
      </c>
      <c r="CG1089">
        <v>0</v>
      </c>
      <c r="CH1089">
        <v>18.789000000000001</v>
      </c>
      <c r="CI1089">
        <v>0</v>
      </c>
      <c r="CJ1089">
        <v>1</v>
      </c>
      <c r="CK1089">
        <v>0</v>
      </c>
      <c r="CL1089">
        <v>18.789000000000001</v>
      </c>
      <c r="CM1089">
        <v>93.966999999999999</v>
      </c>
      <c r="CN1089">
        <v>0</v>
      </c>
      <c r="CO1089">
        <v>0</v>
      </c>
      <c r="CP1089">
        <v>0</v>
      </c>
      <c r="CQ1089">
        <v>0</v>
      </c>
      <c r="CR1089">
        <v>0</v>
      </c>
      <c r="CS1089">
        <v>0</v>
      </c>
      <c r="CT1089">
        <v>0</v>
      </c>
      <c r="CU1089">
        <v>20.083000000000002</v>
      </c>
      <c r="CV1089">
        <v>176.494</v>
      </c>
      <c r="CW1089">
        <v>30.785</v>
      </c>
      <c r="CX1089">
        <v>0</v>
      </c>
      <c r="CY1089" s="2043">
        <v>0</v>
      </c>
      <c r="CZ1089" s="2043">
        <v>0</v>
      </c>
      <c r="DA1089" s="2043">
        <v>0</v>
      </c>
      <c r="DB1089" s="2043">
        <v>0</v>
      </c>
      <c r="DC1089" s="2043">
        <v>0</v>
      </c>
      <c r="DI1089" t="s">
        <v>8084</v>
      </c>
      <c r="DJ1089" t="s">
        <v>8084</v>
      </c>
      <c r="DK1089" s="2042">
        <f t="shared" si="18"/>
        <v>0</v>
      </c>
    </row>
    <row r="1090" spans="1:115">
      <c r="A1090" t="s">
        <v>5277</v>
      </c>
      <c r="B1090" t="s">
        <v>2301</v>
      </c>
      <c r="C1090">
        <v>532.34900000000005</v>
      </c>
      <c r="D1090">
        <v>522.38800000000003</v>
      </c>
      <c r="E1090">
        <v>1.6970000000000001</v>
      </c>
      <c r="F1090">
        <v>0</v>
      </c>
      <c r="G1090" s="2043">
        <v>333335613</v>
      </c>
      <c r="H1090">
        <v>0</v>
      </c>
      <c r="I1090" s="2043">
        <v>87888</v>
      </c>
      <c r="J1090">
        <v>26.617000000000001</v>
      </c>
      <c r="K1090">
        <v>73</v>
      </c>
      <c r="L1090">
        <v>0</v>
      </c>
      <c r="M1090">
        <v>0</v>
      </c>
      <c r="N1090">
        <v>0</v>
      </c>
      <c r="O1090">
        <v>0</v>
      </c>
      <c r="P1090">
        <v>0</v>
      </c>
      <c r="Q1090">
        <v>0</v>
      </c>
      <c r="R1090" s="2043">
        <v>2701471</v>
      </c>
      <c r="S1090">
        <v>262917</v>
      </c>
      <c r="T1090">
        <v>191601</v>
      </c>
      <c r="U1090">
        <v>0.08</v>
      </c>
      <c r="V1090">
        <v>0</v>
      </c>
      <c r="W1090">
        <v>0</v>
      </c>
      <c r="X1090">
        <v>0</v>
      </c>
      <c r="Y1090">
        <v>0</v>
      </c>
      <c r="Z1090">
        <v>2.3820000000000001</v>
      </c>
      <c r="AA1090">
        <v>0</v>
      </c>
      <c r="AB1090">
        <v>522.38800000000003</v>
      </c>
      <c r="AC1090" s="2043">
        <v>266733340</v>
      </c>
      <c r="AD1090">
        <v>2275</v>
      </c>
      <c r="AE1090" s="2043">
        <v>3155989</v>
      </c>
      <c r="AF1090">
        <v>0.96030000000000004</v>
      </c>
      <c r="AG1090">
        <v>0</v>
      </c>
      <c r="AH1090">
        <v>0</v>
      </c>
      <c r="AI1090">
        <v>0</v>
      </c>
      <c r="AJ1090">
        <v>36.738</v>
      </c>
      <c r="AK1090">
        <v>2883</v>
      </c>
      <c r="AL1090">
        <v>0</v>
      </c>
      <c r="AM1090">
        <v>0</v>
      </c>
      <c r="AN1090">
        <v>13.694000000000001</v>
      </c>
      <c r="AO1090">
        <v>0</v>
      </c>
      <c r="AP1090">
        <v>5.4880000000000004</v>
      </c>
      <c r="AQ1090">
        <v>0</v>
      </c>
      <c r="AR1090">
        <v>17.309000000000001</v>
      </c>
      <c r="AS1090">
        <v>0</v>
      </c>
      <c r="AT1090">
        <v>0</v>
      </c>
      <c r="AU1090">
        <v>0.80100000000000005</v>
      </c>
      <c r="AV1090">
        <v>0</v>
      </c>
      <c r="AW1090">
        <v>23.598000000000003</v>
      </c>
      <c r="AX1090">
        <v>0</v>
      </c>
      <c r="AY1090">
        <v>70.75</v>
      </c>
      <c r="AZ1090">
        <v>0</v>
      </c>
      <c r="BA1090">
        <v>3947025</v>
      </c>
      <c r="BB1090">
        <v>3158264</v>
      </c>
      <c r="BC1090">
        <v>0</v>
      </c>
      <c r="BD1090">
        <v>60429</v>
      </c>
      <c r="BE1090">
        <v>28885</v>
      </c>
      <c r="BF1090">
        <v>89314</v>
      </c>
      <c r="BG1090">
        <v>60429</v>
      </c>
      <c r="BH1090">
        <v>0</v>
      </c>
      <c r="BI1090">
        <v>0</v>
      </c>
      <c r="BJ1090">
        <v>0</v>
      </c>
      <c r="BK1090">
        <v>0</v>
      </c>
      <c r="BL1090">
        <v>333335613</v>
      </c>
      <c r="BM1090">
        <v>0</v>
      </c>
      <c r="BN1090">
        <v>2106</v>
      </c>
      <c r="BO1090">
        <v>1744</v>
      </c>
      <c r="BP1090">
        <v>0</v>
      </c>
      <c r="BQ1090">
        <v>0</v>
      </c>
      <c r="BR1090">
        <v>0.82200000000000006</v>
      </c>
      <c r="BS1090">
        <v>0.82200000000000006</v>
      </c>
      <c r="BT1090">
        <v>0</v>
      </c>
      <c r="BU1090">
        <v>0</v>
      </c>
      <c r="BV1090">
        <v>145</v>
      </c>
      <c r="BW1090">
        <v>6</v>
      </c>
      <c r="BX1090">
        <v>1</v>
      </c>
      <c r="BY1090">
        <v>3</v>
      </c>
      <c r="BZ1090">
        <v>6</v>
      </c>
      <c r="CA1090">
        <v>161</v>
      </c>
      <c r="CB1090">
        <v>0</v>
      </c>
      <c r="CC1090">
        <v>0</v>
      </c>
      <c r="CD1090">
        <v>0</v>
      </c>
      <c r="CE1090">
        <v>31</v>
      </c>
      <c r="CF1090">
        <v>39.340000000000003</v>
      </c>
      <c r="CG1090">
        <v>0</v>
      </c>
      <c r="CH1090">
        <v>0</v>
      </c>
      <c r="CI1090">
        <v>1</v>
      </c>
      <c r="CJ1090">
        <v>2</v>
      </c>
      <c r="CK1090">
        <v>0</v>
      </c>
      <c r="CL1090">
        <v>0</v>
      </c>
      <c r="CM1090">
        <v>1.6970000000000001</v>
      </c>
      <c r="CN1090">
        <v>0</v>
      </c>
      <c r="CO1090">
        <v>0</v>
      </c>
      <c r="CP1090">
        <v>0</v>
      </c>
      <c r="CQ1090">
        <v>0</v>
      </c>
      <c r="CR1090">
        <v>0</v>
      </c>
      <c r="CS1090">
        <v>0</v>
      </c>
      <c r="CT1090">
        <v>0</v>
      </c>
      <c r="CU1090">
        <v>7.7510000000000003</v>
      </c>
      <c r="CV1090">
        <v>37.079000000000001</v>
      </c>
      <c r="CW1090">
        <v>43.185000000000002</v>
      </c>
      <c r="CX1090">
        <v>0</v>
      </c>
      <c r="CY1090" s="2043">
        <v>0</v>
      </c>
      <c r="CZ1090" s="2043">
        <v>0</v>
      </c>
      <c r="DA1090" s="2043">
        <v>0</v>
      </c>
      <c r="DB1090" s="2043">
        <v>0</v>
      </c>
      <c r="DC1090" s="2043">
        <v>0</v>
      </c>
      <c r="DI1090" t="s">
        <v>5277</v>
      </c>
      <c r="DJ1090" t="s">
        <v>5277</v>
      </c>
      <c r="DK1090" s="2042">
        <f t="shared" si="18"/>
        <v>0</v>
      </c>
    </row>
    <row r="1091" spans="1:115">
      <c r="A1091" t="s">
        <v>3221</v>
      </c>
      <c r="B1091" t="s">
        <v>1237</v>
      </c>
      <c r="C1091">
        <v>12734.31</v>
      </c>
      <c r="D1091">
        <v>13453.495000000001</v>
      </c>
      <c r="E1091">
        <v>687.40500000000009</v>
      </c>
      <c r="F1091">
        <v>0</v>
      </c>
      <c r="G1091" s="2043">
        <v>5921531301</v>
      </c>
      <c r="H1091">
        <v>0</v>
      </c>
      <c r="I1091" s="2043">
        <v>8327997</v>
      </c>
      <c r="J1091">
        <v>636.71600000000001</v>
      </c>
      <c r="K1091">
        <v>1741</v>
      </c>
      <c r="L1091">
        <v>0</v>
      </c>
      <c r="M1091">
        <v>3492500</v>
      </c>
      <c r="N1091">
        <v>0</v>
      </c>
      <c r="O1091">
        <v>3492500</v>
      </c>
      <c r="P1091">
        <v>0</v>
      </c>
      <c r="Q1091">
        <v>0</v>
      </c>
      <c r="R1091" s="2043">
        <v>53893374</v>
      </c>
      <c r="S1091">
        <v>2956626</v>
      </c>
      <c r="T1091">
        <v>0</v>
      </c>
      <c r="U1091">
        <v>0.05</v>
      </c>
      <c r="V1091">
        <v>0</v>
      </c>
      <c r="W1091">
        <v>0</v>
      </c>
      <c r="X1091">
        <v>0</v>
      </c>
      <c r="Y1091">
        <v>0</v>
      </c>
      <c r="Z1091">
        <v>2.71</v>
      </c>
      <c r="AA1091">
        <v>1.4440000000000002</v>
      </c>
      <c r="AB1091">
        <v>12556.632</v>
      </c>
      <c r="AC1091" s="2043">
        <v>5428269831</v>
      </c>
      <c r="AD1091">
        <v>8200000</v>
      </c>
      <c r="AE1091" s="2043">
        <v>56850000</v>
      </c>
      <c r="AF1091">
        <v>0.96140000000000003</v>
      </c>
      <c r="AG1091">
        <v>0</v>
      </c>
      <c r="AH1091">
        <v>0</v>
      </c>
      <c r="AI1091">
        <v>0</v>
      </c>
      <c r="AJ1091">
        <v>2178.7750000000001</v>
      </c>
      <c r="AK1091">
        <v>43022</v>
      </c>
      <c r="AL1091">
        <v>0.33200000000000002</v>
      </c>
      <c r="AM1091">
        <v>0.49</v>
      </c>
      <c r="AN1091">
        <v>478.95300000000003</v>
      </c>
      <c r="AO1091">
        <v>0</v>
      </c>
      <c r="AP1091">
        <v>0</v>
      </c>
      <c r="AQ1091">
        <v>9.7680000000000007</v>
      </c>
      <c r="AR1091">
        <v>232.131</v>
      </c>
      <c r="AS1091">
        <v>0</v>
      </c>
      <c r="AT1091">
        <v>140.56</v>
      </c>
      <c r="AU1091">
        <v>27.711000000000002</v>
      </c>
      <c r="AV1091">
        <v>0</v>
      </c>
      <c r="AW1091">
        <v>432.738</v>
      </c>
      <c r="AX1091">
        <v>21.746000000000002</v>
      </c>
      <c r="AY1091">
        <v>1309.7740000000001</v>
      </c>
      <c r="AZ1091">
        <v>0</v>
      </c>
      <c r="BA1091">
        <v>58384290</v>
      </c>
      <c r="BB1091">
        <v>65050000</v>
      </c>
      <c r="BC1091">
        <v>186</v>
      </c>
      <c r="BD1091">
        <v>362286</v>
      </c>
      <c r="BE1091">
        <v>208170</v>
      </c>
      <c r="BF1091">
        <v>758441</v>
      </c>
      <c r="BG1091">
        <v>362472</v>
      </c>
      <c r="BH1091">
        <v>187799</v>
      </c>
      <c r="BI1091">
        <v>0</v>
      </c>
      <c r="BJ1091">
        <v>0</v>
      </c>
      <c r="BK1091">
        <v>0</v>
      </c>
      <c r="BL1091">
        <v>5921531301</v>
      </c>
      <c r="BM1091">
        <v>0</v>
      </c>
      <c r="BN1091">
        <v>49707</v>
      </c>
      <c r="BO1091">
        <v>20244</v>
      </c>
      <c r="BP1091">
        <v>7506</v>
      </c>
      <c r="BQ1091">
        <v>0</v>
      </c>
      <c r="BR1091">
        <v>0.9114000000000001</v>
      </c>
      <c r="BS1091">
        <v>0.9114000000000001</v>
      </c>
      <c r="BT1091">
        <v>0</v>
      </c>
      <c r="BU1091">
        <v>0</v>
      </c>
      <c r="BV1091">
        <v>1253</v>
      </c>
      <c r="BW1091">
        <v>2470</v>
      </c>
      <c r="BX1091">
        <v>1312</v>
      </c>
      <c r="BY1091">
        <v>2074</v>
      </c>
      <c r="BZ1091">
        <v>1592</v>
      </c>
      <c r="CA1091">
        <v>8701</v>
      </c>
      <c r="CB1091">
        <v>0</v>
      </c>
      <c r="CC1091">
        <v>0</v>
      </c>
      <c r="CD1091">
        <v>0</v>
      </c>
      <c r="CE1091">
        <v>228</v>
      </c>
      <c r="CF1091">
        <v>2772.4280000000003</v>
      </c>
      <c r="CG1091">
        <v>0</v>
      </c>
      <c r="CH1091">
        <v>8.3060000000000009</v>
      </c>
      <c r="CI1091">
        <v>33</v>
      </c>
      <c r="CJ1091">
        <v>136</v>
      </c>
      <c r="CK1091">
        <v>2</v>
      </c>
      <c r="CL1091">
        <v>8.3060000000000009</v>
      </c>
      <c r="CM1091">
        <v>687.40500000000009</v>
      </c>
      <c r="CN1091">
        <v>0</v>
      </c>
      <c r="CO1091">
        <v>0</v>
      </c>
      <c r="CP1091">
        <v>7506</v>
      </c>
      <c r="CQ1091">
        <v>0</v>
      </c>
      <c r="CR1091">
        <v>0</v>
      </c>
      <c r="CS1091">
        <v>0</v>
      </c>
      <c r="CT1091">
        <v>0</v>
      </c>
      <c r="CU1091">
        <v>17.379000000000001</v>
      </c>
      <c r="CV1091">
        <v>480.92900000000003</v>
      </c>
      <c r="CW1091">
        <v>265.18400000000003</v>
      </c>
      <c r="CX1091">
        <v>0</v>
      </c>
      <c r="CY1091" s="2043">
        <v>0</v>
      </c>
      <c r="CZ1091" s="2043">
        <v>0</v>
      </c>
      <c r="DA1091" s="2043">
        <v>0</v>
      </c>
      <c r="DB1091" s="2043">
        <v>0</v>
      </c>
      <c r="DC1091" s="2043">
        <v>0</v>
      </c>
      <c r="DI1091" t="s">
        <v>3221</v>
      </c>
      <c r="DJ1091" t="s">
        <v>3221</v>
      </c>
      <c r="DK1091" s="2042">
        <f t="shared" si="18"/>
        <v>0</v>
      </c>
    </row>
    <row r="1092" spans="1:115">
      <c r="A1092" t="s">
        <v>5278</v>
      </c>
      <c r="B1092" t="s">
        <v>2289</v>
      </c>
      <c r="C1092">
        <v>334.55500000000001</v>
      </c>
      <c r="D1092">
        <v>298.983</v>
      </c>
      <c r="E1092">
        <v>8.3810000000000002</v>
      </c>
      <c r="F1092">
        <v>0</v>
      </c>
      <c r="G1092" s="2043">
        <v>212047321</v>
      </c>
      <c r="H1092">
        <v>0</v>
      </c>
      <c r="I1092" s="2043">
        <v>1173281</v>
      </c>
      <c r="J1092">
        <v>16.728000000000002</v>
      </c>
      <c r="K1092">
        <v>46</v>
      </c>
      <c r="L1092">
        <v>0</v>
      </c>
      <c r="M1092">
        <v>0</v>
      </c>
      <c r="N1092">
        <v>0</v>
      </c>
      <c r="O1092">
        <v>0</v>
      </c>
      <c r="P1092">
        <v>0</v>
      </c>
      <c r="Q1092">
        <v>0</v>
      </c>
      <c r="R1092" s="2043">
        <v>1702741</v>
      </c>
      <c r="S1092">
        <v>165174</v>
      </c>
      <c r="T1092">
        <v>120371</v>
      </c>
      <c r="U1092">
        <v>0.08</v>
      </c>
      <c r="V1092">
        <v>0</v>
      </c>
      <c r="W1092">
        <v>0</v>
      </c>
      <c r="X1092">
        <v>0</v>
      </c>
      <c r="Y1092">
        <v>209120</v>
      </c>
      <c r="Z1092">
        <v>0.9880000000000001</v>
      </c>
      <c r="AA1092">
        <v>0</v>
      </c>
      <c r="AB1092">
        <v>298.983</v>
      </c>
      <c r="AC1092" s="2043">
        <v>168078036</v>
      </c>
      <c r="AD1092">
        <v>2369308</v>
      </c>
      <c r="AE1092" s="2043">
        <v>1988286</v>
      </c>
      <c r="AF1092">
        <v>0.96300000000000008</v>
      </c>
      <c r="AG1092">
        <v>0</v>
      </c>
      <c r="AH1092">
        <v>0</v>
      </c>
      <c r="AI1092">
        <v>0</v>
      </c>
      <c r="AJ1092">
        <v>37.6</v>
      </c>
      <c r="AK1092">
        <v>3181</v>
      </c>
      <c r="AL1092">
        <v>0</v>
      </c>
      <c r="AM1092">
        <v>0</v>
      </c>
      <c r="AN1092">
        <v>11.132</v>
      </c>
      <c r="AO1092">
        <v>0</v>
      </c>
      <c r="AP1092">
        <v>4.8150000000000004</v>
      </c>
      <c r="AQ1092">
        <v>0.69300000000000006</v>
      </c>
      <c r="AR1092">
        <v>16.228000000000002</v>
      </c>
      <c r="AS1092">
        <v>0</v>
      </c>
      <c r="AT1092">
        <v>0.64600000000000002</v>
      </c>
      <c r="AU1092">
        <v>1.097</v>
      </c>
      <c r="AV1092">
        <v>2.5190000000000001</v>
      </c>
      <c r="AW1092">
        <v>25.998000000000001</v>
      </c>
      <c r="AX1092">
        <v>0</v>
      </c>
      <c r="AY1092">
        <v>69.108000000000004</v>
      </c>
      <c r="AZ1092">
        <v>0</v>
      </c>
      <c r="BA1092">
        <v>3156932</v>
      </c>
      <c r="BB1092">
        <v>4357594</v>
      </c>
      <c r="BC1092">
        <v>0</v>
      </c>
      <c r="BD1092">
        <v>37277</v>
      </c>
      <c r="BE1092">
        <v>17963</v>
      </c>
      <c r="BF1092">
        <v>55240</v>
      </c>
      <c r="BG1092">
        <v>37277</v>
      </c>
      <c r="BH1092">
        <v>0</v>
      </c>
      <c r="BI1092">
        <v>0</v>
      </c>
      <c r="BJ1092">
        <v>0</v>
      </c>
      <c r="BK1092">
        <v>0</v>
      </c>
      <c r="BL1092">
        <v>212047321</v>
      </c>
      <c r="BM1092">
        <v>0</v>
      </c>
      <c r="BN1092">
        <v>1125</v>
      </c>
      <c r="BO1092">
        <v>803</v>
      </c>
      <c r="BP1092">
        <v>0</v>
      </c>
      <c r="BQ1092">
        <v>0</v>
      </c>
      <c r="BR1092">
        <v>0.82469999999999999</v>
      </c>
      <c r="BS1092">
        <v>0.82469999999999999</v>
      </c>
      <c r="BT1092">
        <v>0</v>
      </c>
      <c r="BU1092">
        <v>0</v>
      </c>
      <c r="BV1092">
        <v>155</v>
      </c>
      <c r="BW1092">
        <v>2</v>
      </c>
      <c r="BX1092">
        <v>9</v>
      </c>
      <c r="BY1092">
        <v>0</v>
      </c>
      <c r="BZ1092">
        <v>0</v>
      </c>
      <c r="CA1092">
        <v>166</v>
      </c>
      <c r="CB1092">
        <v>0</v>
      </c>
      <c r="CC1092">
        <v>0</v>
      </c>
      <c r="CD1092">
        <v>0</v>
      </c>
      <c r="CE1092">
        <v>19</v>
      </c>
      <c r="CF1092">
        <v>46.315000000000005</v>
      </c>
      <c r="CG1092">
        <v>2.2210000000000001</v>
      </c>
      <c r="CH1092">
        <v>3.3069999999999999</v>
      </c>
      <c r="CI1092">
        <v>1</v>
      </c>
      <c r="CJ1092">
        <v>5</v>
      </c>
      <c r="CK1092">
        <v>0</v>
      </c>
      <c r="CL1092">
        <v>5.5280000000000005</v>
      </c>
      <c r="CM1092">
        <v>8.3810000000000002</v>
      </c>
      <c r="CN1092">
        <v>0</v>
      </c>
      <c r="CO1092">
        <v>0</v>
      </c>
      <c r="CP1092">
        <v>0</v>
      </c>
      <c r="CQ1092">
        <v>0</v>
      </c>
      <c r="CR1092">
        <v>0</v>
      </c>
      <c r="CS1092">
        <v>0</v>
      </c>
      <c r="CT1092">
        <v>0</v>
      </c>
      <c r="CU1092">
        <v>1.464</v>
      </c>
      <c r="CV1092">
        <v>15.894</v>
      </c>
      <c r="CW1092">
        <v>18.702999999999999</v>
      </c>
      <c r="CX1092">
        <v>0</v>
      </c>
      <c r="CY1092" s="2043">
        <v>209120</v>
      </c>
      <c r="CZ1092" s="2043">
        <v>0</v>
      </c>
      <c r="DA1092" s="2043">
        <v>0</v>
      </c>
      <c r="DB1092" s="2043">
        <v>0</v>
      </c>
      <c r="DC1092" s="2043">
        <v>0</v>
      </c>
      <c r="DI1092" t="s">
        <v>5278</v>
      </c>
      <c r="DJ1092" t="s">
        <v>5278</v>
      </c>
      <c r="DK1092" s="2042">
        <f t="shared" ref="DK1092:DK1155" si="19">DI1092-DJ1092:DJ1093</f>
        <v>0</v>
      </c>
    </row>
    <row r="1093" spans="1:115">
      <c r="A1093" t="s">
        <v>3222</v>
      </c>
      <c r="B1093" t="s">
        <v>325</v>
      </c>
      <c r="C1093">
        <v>1240.825</v>
      </c>
      <c r="D1093">
        <v>1254.384</v>
      </c>
      <c r="E1093">
        <v>13.005000000000001</v>
      </c>
      <c r="F1093">
        <v>0</v>
      </c>
      <c r="G1093" s="2043">
        <v>527885455</v>
      </c>
      <c r="H1093">
        <v>0</v>
      </c>
      <c r="I1093" s="2043">
        <v>1204512</v>
      </c>
      <c r="J1093">
        <v>62.041000000000004</v>
      </c>
      <c r="K1093">
        <v>170</v>
      </c>
      <c r="L1093">
        <v>0</v>
      </c>
      <c r="M1093">
        <v>207563</v>
      </c>
      <c r="N1093">
        <v>0</v>
      </c>
      <c r="O1093">
        <v>207563</v>
      </c>
      <c r="P1093">
        <v>0</v>
      </c>
      <c r="Q1093">
        <v>0</v>
      </c>
      <c r="R1093" s="2043">
        <v>4572970</v>
      </c>
      <c r="S1093">
        <v>262091</v>
      </c>
      <c r="T1093">
        <v>0</v>
      </c>
      <c r="U1093">
        <v>0.05</v>
      </c>
      <c r="V1093">
        <v>0</v>
      </c>
      <c r="W1093">
        <v>0</v>
      </c>
      <c r="X1093">
        <v>0</v>
      </c>
      <c r="Y1093">
        <v>0</v>
      </c>
      <c r="Z1093">
        <v>3.8490000000000002</v>
      </c>
      <c r="AA1093">
        <v>0</v>
      </c>
      <c r="AB1093">
        <v>1217.7670000000001</v>
      </c>
      <c r="AC1093" s="2043">
        <v>461177020</v>
      </c>
      <c r="AD1093">
        <v>1374576</v>
      </c>
      <c r="AE1093" s="2043">
        <v>4835061</v>
      </c>
      <c r="AF1093">
        <v>0.9224</v>
      </c>
      <c r="AG1093">
        <v>0</v>
      </c>
      <c r="AH1093">
        <v>0</v>
      </c>
      <c r="AI1093">
        <v>0</v>
      </c>
      <c r="AJ1093">
        <v>51.413000000000004</v>
      </c>
      <c r="AK1093">
        <v>2946</v>
      </c>
      <c r="AL1093">
        <v>7.0000000000000007E-2</v>
      </c>
      <c r="AM1093">
        <v>0</v>
      </c>
      <c r="AN1093">
        <v>34.151000000000003</v>
      </c>
      <c r="AO1093">
        <v>0</v>
      </c>
      <c r="AP1093">
        <v>2.2320000000000002</v>
      </c>
      <c r="AQ1093">
        <v>0</v>
      </c>
      <c r="AR1093">
        <v>14.119000000000002</v>
      </c>
      <c r="AS1093">
        <v>0</v>
      </c>
      <c r="AT1093">
        <v>5</v>
      </c>
      <c r="AU1093">
        <v>1.2530000000000001</v>
      </c>
      <c r="AV1093">
        <v>0</v>
      </c>
      <c r="AW1093">
        <v>22.673999999999999</v>
      </c>
      <c r="AX1093">
        <v>0</v>
      </c>
      <c r="AY1093">
        <v>69.998000000000005</v>
      </c>
      <c r="AZ1093">
        <v>0</v>
      </c>
      <c r="BA1093">
        <v>6873460</v>
      </c>
      <c r="BB1093">
        <v>6209637</v>
      </c>
      <c r="BC1093">
        <v>0</v>
      </c>
      <c r="BD1093">
        <v>159593</v>
      </c>
      <c r="BE1093">
        <v>121901</v>
      </c>
      <c r="BF1093">
        <v>281494</v>
      </c>
      <c r="BG1093">
        <v>159593</v>
      </c>
      <c r="BH1093">
        <v>0</v>
      </c>
      <c r="BI1093">
        <v>0</v>
      </c>
      <c r="BJ1093">
        <v>0</v>
      </c>
      <c r="BK1093">
        <v>0</v>
      </c>
      <c r="BL1093">
        <v>527885455</v>
      </c>
      <c r="BM1093">
        <v>0</v>
      </c>
      <c r="BN1093">
        <v>3636</v>
      </c>
      <c r="BO1093">
        <v>1937</v>
      </c>
      <c r="BP1093">
        <v>0</v>
      </c>
      <c r="BQ1093">
        <v>0</v>
      </c>
      <c r="BR1093">
        <v>0.87240000000000006</v>
      </c>
      <c r="BS1093">
        <v>0.87240000000000006</v>
      </c>
      <c r="BT1093">
        <v>0</v>
      </c>
      <c r="BU1093">
        <v>0</v>
      </c>
      <c r="BV1093">
        <v>189</v>
      </c>
      <c r="BW1093">
        <v>8</v>
      </c>
      <c r="BX1093">
        <v>14</v>
      </c>
      <c r="BY1093">
        <v>7</v>
      </c>
      <c r="BZ1093">
        <v>6</v>
      </c>
      <c r="CA1093">
        <v>224</v>
      </c>
      <c r="CB1093">
        <v>0</v>
      </c>
      <c r="CC1093">
        <v>0</v>
      </c>
      <c r="CD1093">
        <v>0</v>
      </c>
      <c r="CE1093">
        <v>66</v>
      </c>
      <c r="CF1093">
        <v>84.75200000000001</v>
      </c>
      <c r="CG1093">
        <v>0</v>
      </c>
      <c r="CH1093">
        <v>0</v>
      </c>
      <c r="CI1093">
        <v>4</v>
      </c>
      <c r="CJ1093">
        <v>27</v>
      </c>
      <c r="CK1093">
        <v>1</v>
      </c>
      <c r="CL1093">
        <v>0</v>
      </c>
      <c r="CM1093">
        <v>13.005000000000001</v>
      </c>
      <c r="CN1093">
        <v>0</v>
      </c>
      <c r="CO1093">
        <v>0</v>
      </c>
      <c r="CP1093">
        <v>0</v>
      </c>
      <c r="CQ1093">
        <v>0</v>
      </c>
      <c r="CR1093">
        <v>0</v>
      </c>
      <c r="CS1093">
        <v>0</v>
      </c>
      <c r="CT1093">
        <v>0</v>
      </c>
      <c r="CU1093">
        <v>0.77900000000000003</v>
      </c>
      <c r="CV1093">
        <v>58.776000000000003</v>
      </c>
      <c r="CW1093">
        <v>34.298000000000002</v>
      </c>
      <c r="CX1093">
        <v>0</v>
      </c>
      <c r="CY1093" s="2043">
        <v>0</v>
      </c>
      <c r="CZ1093" s="2043">
        <v>0</v>
      </c>
      <c r="DA1093" s="2043">
        <v>0</v>
      </c>
      <c r="DB1093" s="2043">
        <v>0</v>
      </c>
      <c r="DC1093" s="2043">
        <v>0</v>
      </c>
      <c r="DI1093" t="s">
        <v>3222</v>
      </c>
      <c r="DJ1093" t="s">
        <v>3222</v>
      </c>
      <c r="DK1093" s="2042">
        <f t="shared" si="19"/>
        <v>0</v>
      </c>
    </row>
    <row r="1094" spans="1:115">
      <c r="A1094" t="s">
        <v>3223</v>
      </c>
      <c r="B1094" t="s">
        <v>1231</v>
      </c>
      <c r="C1094">
        <v>1051.586</v>
      </c>
      <c r="D1094">
        <v>1107.68</v>
      </c>
      <c r="E1094">
        <v>55.728999999999999</v>
      </c>
      <c r="F1094">
        <v>0</v>
      </c>
      <c r="G1094" s="2043">
        <v>370598153</v>
      </c>
      <c r="H1094">
        <v>0</v>
      </c>
      <c r="I1094" s="2043">
        <v>704875</v>
      </c>
      <c r="J1094">
        <v>52.579000000000001</v>
      </c>
      <c r="K1094">
        <v>144</v>
      </c>
      <c r="L1094">
        <v>0</v>
      </c>
      <c r="M1094">
        <v>0</v>
      </c>
      <c r="N1094">
        <v>0</v>
      </c>
      <c r="O1094">
        <v>0</v>
      </c>
      <c r="P1094">
        <v>0</v>
      </c>
      <c r="Q1094">
        <v>0</v>
      </c>
      <c r="R1094" s="2043">
        <v>3074679</v>
      </c>
      <c r="S1094">
        <v>291992</v>
      </c>
      <c r="T1094">
        <v>212790</v>
      </c>
      <c r="U1094">
        <v>0.08</v>
      </c>
      <c r="V1094">
        <v>0</v>
      </c>
      <c r="W1094">
        <v>0</v>
      </c>
      <c r="X1094">
        <v>0</v>
      </c>
      <c r="Y1094">
        <v>0</v>
      </c>
      <c r="Z1094">
        <v>8.6959999999999997</v>
      </c>
      <c r="AA1094">
        <v>0</v>
      </c>
      <c r="AB1094">
        <v>1057.4670000000001</v>
      </c>
      <c r="AC1094" s="2043">
        <v>318718018</v>
      </c>
      <c r="AD1094">
        <v>717339</v>
      </c>
      <c r="AE1094" s="2043">
        <v>3579461</v>
      </c>
      <c r="AF1094">
        <v>0.98070000000000002</v>
      </c>
      <c r="AG1094">
        <v>0</v>
      </c>
      <c r="AH1094">
        <v>0</v>
      </c>
      <c r="AI1094">
        <v>0</v>
      </c>
      <c r="AJ1094">
        <v>183.76300000000001</v>
      </c>
      <c r="AK1094">
        <v>8605</v>
      </c>
      <c r="AL1094">
        <v>0</v>
      </c>
      <c r="AM1094">
        <v>0</v>
      </c>
      <c r="AN1094">
        <v>75.460000000000008</v>
      </c>
      <c r="AO1094">
        <v>0</v>
      </c>
      <c r="AP1094">
        <v>0</v>
      </c>
      <c r="AQ1094">
        <v>0</v>
      </c>
      <c r="AR1094">
        <v>53.943000000000005</v>
      </c>
      <c r="AS1094">
        <v>0</v>
      </c>
      <c r="AT1094">
        <v>12.32</v>
      </c>
      <c r="AU1094">
        <v>2.6180000000000003</v>
      </c>
      <c r="AV1094">
        <v>0</v>
      </c>
      <c r="AW1094">
        <v>68.881</v>
      </c>
      <c r="AX1094">
        <v>0</v>
      </c>
      <c r="AY1094">
        <v>211.87900000000002</v>
      </c>
      <c r="AZ1094">
        <v>0</v>
      </c>
      <c r="BA1094">
        <v>10332068</v>
      </c>
      <c r="BB1094">
        <v>4296800</v>
      </c>
      <c r="BC1094">
        <v>0</v>
      </c>
      <c r="BD1094">
        <v>175351</v>
      </c>
      <c r="BE1094">
        <v>12759</v>
      </c>
      <c r="BF1094">
        <v>188110</v>
      </c>
      <c r="BG1094">
        <v>175351</v>
      </c>
      <c r="BH1094">
        <v>0</v>
      </c>
      <c r="BI1094">
        <v>0</v>
      </c>
      <c r="BJ1094">
        <v>0</v>
      </c>
      <c r="BK1094">
        <v>0</v>
      </c>
      <c r="BL1094">
        <v>370598153</v>
      </c>
      <c r="BM1094">
        <v>0</v>
      </c>
      <c r="BN1094">
        <v>3672</v>
      </c>
      <c r="BO1094">
        <v>2761</v>
      </c>
      <c r="BP1094">
        <v>0</v>
      </c>
      <c r="BQ1094">
        <v>0</v>
      </c>
      <c r="BR1094">
        <v>0.84240000000000004</v>
      </c>
      <c r="BS1094">
        <v>0.84240000000000004</v>
      </c>
      <c r="BT1094">
        <v>0</v>
      </c>
      <c r="BU1094">
        <v>0</v>
      </c>
      <c r="BV1094">
        <v>244</v>
      </c>
      <c r="BW1094">
        <v>19</v>
      </c>
      <c r="BX1094">
        <v>466</v>
      </c>
      <c r="BY1094">
        <v>10</v>
      </c>
      <c r="BZ1094">
        <v>19</v>
      </c>
      <c r="CA1094">
        <v>758</v>
      </c>
      <c r="CB1094">
        <v>0</v>
      </c>
      <c r="CC1094">
        <v>0</v>
      </c>
      <c r="CD1094">
        <v>0</v>
      </c>
      <c r="CE1094">
        <v>81</v>
      </c>
      <c r="CF1094">
        <v>245.13800000000001</v>
      </c>
      <c r="CG1094">
        <v>5.548</v>
      </c>
      <c r="CH1094">
        <v>0</v>
      </c>
      <c r="CI1094">
        <v>4</v>
      </c>
      <c r="CJ1094">
        <v>5</v>
      </c>
      <c r="CK1094">
        <v>0</v>
      </c>
      <c r="CL1094">
        <v>5.548</v>
      </c>
      <c r="CM1094">
        <v>55.728999999999999</v>
      </c>
      <c r="CN1094">
        <v>0</v>
      </c>
      <c r="CO1094">
        <v>0</v>
      </c>
      <c r="CP1094">
        <v>0</v>
      </c>
      <c r="CQ1094">
        <v>0</v>
      </c>
      <c r="CR1094">
        <v>0</v>
      </c>
      <c r="CS1094">
        <v>0</v>
      </c>
      <c r="CT1094">
        <v>0</v>
      </c>
      <c r="CU1094">
        <v>9.5000000000000001E-2</v>
      </c>
      <c r="CV1094">
        <v>49.755000000000003</v>
      </c>
      <c r="CW1094">
        <v>13.533000000000001</v>
      </c>
      <c r="CX1094">
        <v>0</v>
      </c>
      <c r="CY1094" s="2043">
        <v>0</v>
      </c>
      <c r="CZ1094" s="2043">
        <v>0</v>
      </c>
      <c r="DA1094" s="2043">
        <v>0</v>
      </c>
      <c r="DB1094" s="2043">
        <v>0</v>
      </c>
      <c r="DC1094" s="2043">
        <v>0</v>
      </c>
      <c r="DI1094" t="s">
        <v>3223</v>
      </c>
      <c r="DJ1094" t="s">
        <v>3223</v>
      </c>
      <c r="DK1094" s="2042">
        <f t="shared" si="19"/>
        <v>0</v>
      </c>
    </row>
    <row r="1095" spans="1:115">
      <c r="A1095" t="s">
        <v>3224</v>
      </c>
      <c r="B1095" t="s">
        <v>1179</v>
      </c>
      <c r="C1095">
        <v>245.45700000000002</v>
      </c>
      <c r="D1095">
        <v>230.001</v>
      </c>
      <c r="E1095">
        <v>13.182</v>
      </c>
      <c r="F1095">
        <v>0</v>
      </c>
      <c r="G1095" s="2043">
        <v>165013373</v>
      </c>
      <c r="H1095">
        <v>0</v>
      </c>
      <c r="I1095" s="2043">
        <v>100800</v>
      </c>
      <c r="J1095">
        <v>12</v>
      </c>
      <c r="K1095">
        <v>33</v>
      </c>
      <c r="L1095">
        <v>0</v>
      </c>
      <c r="M1095">
        <v>100000</v>
      </c>
      <c r="N1095">
        <v>0</v>
      </c>
      <c r="O1095">
        <v>100000</v>
      </c>
      <c r="P1095">
        <v>0</v>
      </c>
      <c r="Q1095">
        <v>0</v>
      </c>
      <c r="R1095" s="2043">
        <v>1472661</v>
      </c>
      <c r="S1095">
        <v>129068</v>
      </c>
      <c r="T1095">
        <v>94058</v>
      </c>
      <c r="U1095">
        <v>0.08</v>
      </c>
      <c r="V1095">
        <v>0</v>
      </c>
      <c r="W1095">
        <v>0</v>
      </c>
      <c r="X1095">
        <v>0</v>
      </c>
      <c r="Y1095">
        <v>0</v>
      </c>
      <c r="Z1095">
        <v>11.334000000000001</v>
      </c>
      <c r="AA1095">
        <v>0</v>
      </c>
      <c r="AB1095">
        <v>230.001</v>
      </c>
      <c r="AC1095" s="2043">
        <v>139136102</v>
      </c>
      <c r="AD1095">
        <v>193450</v>
      </c>
      <c r="AE1095" s="2043">
        <v>1695787</v>
      </c>
      <c r="AF1095">
        <v>1.0511000000000001</v>
      </c>
      <c r="AG1095">
        <v>0</v>
      </c>
      <c r="AH1095">
        <v>0</v>
      </c>
      <c r="AI1095">
        <v>0</v>
      </c>
      <c r="AJ1095">
        <v>25.938000000000002</v>
      </c>
      <c r="AK1095">
        <v>1253</v>
      </c>
      <c r="AL1095">
        <v>0</v>
      </c>
      <c r="AM1095">
        <v>0</v>
      </c>
      <c r="AN1095">
        <v>6.4330000000000007</v>
      </c>
      <c r="AO1095">
        <v>0</v>
      </c>
      <c r="AP1095">
        <v>3.306</v>
      </c>
      <c r="AQ1095">
        <v>0</v>
      </c>
      <c r="AR1095">
        <v>5.3879999999999999</v>
      </c>
      <c r="AS1095">
        <v>0</v>
      </c>
      <c r="AT1095">
        <v>0.26500000000000001</v>
      </c>
      <c r="AU1095">
        <v>0.45400000000000001</v>
      </c>
      <c r="AV1095">
        <v>0</v>
      </c>
      <c r="AW1095">
        <v>9.4130000000000003</v>
      </c>
      <c r="AX1095">
        <v>0</v>
      </c>
      <c r="AY1095">
        <v>28.155000000000001</v>
      </c>
      <c r="AZ1095">
        <v>0</v>
      </c>
      <c r="BA1095">
        <v>1742589</v>
      </c>
      <c r="BB1095">
        <v>1889237</v>
      </c>
      <c r="BC1095">
        <v>0</v>
      </c>
      <c r="BD1095">
        <v>39528</v>
      </c>
      <c r="BE1095">
        <v>6224</v>
      </c>
      <c r="BF1095">
        <v>45752</v>
      </c>
      <c r="BG1095">
        <v>39528</v>
      </c>
      <c r="BH1095">
        <v>0</v>
      </c>
      <c r="BI1095">
        <v>0</v>
      </c>
      <c r="BJ1095">
        <v>0</v>
      </c>
      <c r="BK1095">
        <v>0</v>
      </c>
      <c r="BL1095">
        <v>165013373</v>
      </c>
      <c r="BM1095">
        <v>0</v>
      </c>
      <c r="BN1095">
        <v>873</v>
      </c>
      <c r="BO1095">
        <v>674</v>
      </c>
      <c r="BP1095">
        <v>0</v>
      </c>
      <c r="BQ1095">
        <v>0</v>
      </c>
      <c r="BR1095">
        <v>0.91280000000000006</v>
      </c>
      <c r="BS1095">
        <v>0.91280000000000006</v>
      </c>
      <c r="BT1095">
        <v>0</v>
      </c>
      <c r="BU1095">
        <v>0</v>
      </c>
      <c r="BV1095">
        <v>67</v>
      </c>
      <c r="BW1095">
        <v>27</v>
      </c>
      <c r="BX1095">
        <v>5</v>
      </c>
      <c r="BY1095">
        <v>8</v>
      </c>
      <c r="BZ1095">
        <v>4</v>
      </c>
      <c r="CA1095">
        <v>111</v>
      </c>
      <c r="CB1095">
        <v>0</v>
      </c>
      <c r="CC1095">
        <v>0</v>
      </c>
      <c r="CD1095">
        <v>0</v>
      </c>
      <c r="CE1095">
        <v>16</v>
      </c>
      <c r="CF1095">
        <v>37.103999999999999</v>
      </c>
      <c r="CG1095">
        <v>0</v>
      </c>
      <c r="CH1095">
        <v>0</v>
      </c>
      <c r="CI1095">
        <v>1</v>
      </c>
      <c r="CJ1095">
        <v>0</v>
      </c>
      <c r="CK1095">
        <v>0</v>
      </c>
      <c r="CL1095">
        <v>0</v>
      </c>
      <c r="CM1095">
        <v>13.182</v>
      </c>
      <c r="CN1095">
        <v>0</v>
      </c>
      <c r="CO1095">
        <v>0</v>
      </c>
      <c r="CP1095">
        <v>0</v>
      </c>
      <c r="CQ1095">
        <v>0</v>
      </c>
      <c r="CR1095">
        <v>0</v>
      </c>
      <c r="CS1095">
        <v>0</v>
      </c>
      <c r="CT1095">
        <v>0</v>
      </c>
      <c r="CU1095">
        <v>0.98</v>
      </c>
      <c r="CV1095">
        <v>18.465</v>
      </c>
      <c r="CW1095">
        <v>7.6370000000000005</v>
      </c>
      <c r="CX1095">
        <v>0</v>
      </c>
      <c r="CY1095" s="2043">
        <v>0</v>
      </c>
      <c r="CZ1095" s="2043">
        <v>0</v>
      </c>
      <c r="DA1095" s="2043">
        <v>0</v>
      </c>
      <c r="DB1095" s="2043">
        <v>0</v>
      </c>
      <c r="DC1095" s="2043">
        <v>0</v>
      </c>
      <c r="DI1095" t="s">
        <v>3224</v>
      </c>
      <c r="DJ1095" t="s">
        <v>3224</v>
      </c>
      <c r="DK1095" s="2042">
        <f t="shared" si="19"/>
        <v>0</v>
      </c>
    </row>
    <row r="1096" spans="1:115">
      <c r="A1096" t="s">
        <v>8519</v>
      </c>
      <c r="B1096" t="s">
        <v>11415</v>
      </c>
      <c r="C1096">
        <v>0</v>
      </c>
      <c r="D1096">
        <v>0</v>
      </c>
      <c r="E1096">
        <v>0</v>
      </c>
      <c r="F1096">
        <v>0</v>
      </c>
      <c r="G1096" s="2043">
        <v>0</v>
      </c>
      <c r="H1096">
        <v>0</v>
      </c>
      <c r="I1096" s="2043">
        <v>0</v>
      </c>
      <c r="J1096">
        <v>0</v>
      </c>
      <c r="K1096">
        <v>0</v>
      </c>
      <c r="L1096">
        <v>0</v>
      </c>
      <c r="M1096">
        <v>0</v>
      </c>
      <c r="N1096">
        <v>0</v>
      </c>
      <c r="O1096">
        <v>0</v>
      </c>
      <c r="P1096">
        <v>0</v>
      </c>
      <c r="Q1096">
        <v>0</v>
      </c>
      <c r="R1096" s="2043">
        <v>0</v>
      </c>
      <c r="S1096">
        <v>0</v>
      </c>
      <c r="T1096">
        <v>0</v>
      </c>
      <c r="U1096">
        <v>0</v>
      </c>
      <c r="V1096">
        <v>0</v>
      </c>
      <c r="W1096">
        <v>0</v>
      </c>
      <c r="X1096">
        <v>0</v>
      </c>
      <c r="Y1096">
        <v>188846</v>
      </c>
      <c r="Z1096">
        <v>0</v>
      </c>
      <c r="AA1096">
        <v>0</v>
      </c>
      <c r="AB1096">
        <v>0</v>
      </c>
      <c r="AC1096" s="2043">
        <v>0</v>
      </c>
      <c r="AD1096">
        <v>0</v>
      </c>
      <c r="AE1096" s="2043">
        <v>0</v>
      </c>
      <c r="AF1096">
        <v>0</v>
      </c>
      <c r="AG1096">
        <v>0</v>
      </c>
      <c r="AH1096">
        <v>0</v>
      </c>
      <c r="AI1096">
        <v>0</v>
      </c>
      <c r="AJ1096">
        <v>0</v>
      </c>
      <c r="AK1096">
        <v>0</v>
      </c>
      <c r="AL1096">
        <v>0</v>
      </c>
      <c r="AM1096">
        <v>0</v>
      </c>
      <c r="AN1096">
        <v>0</v>
      </c>
      <c r="AO1096">
        <v>0</v>
      </c>
      <c r="AP1096">
        <v>0</v>
      </c>
      <c r="AQ1096">
        <v>0</v>
      </c>
      <c r="AR1096">
        <v>0</v>
      </c>
      <c r="AS1096">
        <v>0</v>
      </c>
      <c r="AT1096">
        <v>0</v>
      </c>
      <c r="AU1096">
        <v>0</v>
      </c>
      <c r="AV1096">
        <v>0</v>
      </c>
      <c r="AW1096">
        <v>0</v>
      </c>
      <c r="AX1096">
        <v>0</v>
      </c>
      <c r="AY1096">
        <v>0</v>
      </c>
      <c r="AZ1096">
        <v>0</v>
      </c>
      <c r="BA1096">
        <v>188846</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BX1096">
        <v>0</v>
      </c>
      <c r="BY1096">
        <v>0</v>
      </c>
      <c r="BZ1096">
        <v>0</v>
      </c>
      <c r="CA1096">
        <v>0</v>
      </c>
      <c r="CB1096">
        <v>0</v>
      </c>
      <c r="CC1096">
        <v>0</v>
      </c>
      <c r="CD1096">
        <v>0</v>
      </c>
      <c r="CE1096">
        <v>0</v>
      </c>
      <c r="CF1096">
        <v>0</v>
      </c>
      <c r="CG1096">
        <v>0</v>
      </c>
      <c r="CH1096">
        <v>0</v>
      </c>
      <c r="CI1096">
        <v>0</v>
      </c>
      <c r="CJ1096">
        <v>0</v>
      </c>
      <c r="CK1096">
        <v>0</v>
      </c>
      <c r="CL1096">
        <v>0</v>
      </c>
      <c r="CM1096">
        <v>0</v>
      </c>
      <c r="CN1096">
        <v>0</v>
      </c>
      <c r="CO1096">
        <v>0</v>
      </c>
      <c r="CP1096">
        <v>0</v>
      </c>
      <c r="CQ1096">
        <v>0</v>
      </c>
      <c r="CR1096">
        <v>0</v>
      </c>
      <c r="CS1096">
        <v>0</v>
      </c>
      <c r="CT1096">
        <v>0</v>
      </c>
      <c r="CU1096">
        <v>0</v>
      </c>
      <c r="CV1096">
        <v>0</v>
      </c>
      <c r="CW1096">
        <v>0</v>
      </c>
      <c r="CX1096">
        <v>0</v>
      </c>
      <c r="CY1096" s="2043">
        <v>0</v>
      </c>
      <c r="CZ1096" s="2043">
        <v>0</v>
      </c>
      <c r="DA1096" s="2043">
        <v>0</v>
      </c>
      <c r="DB1096" s="2043">
        <v>0</v>
      </c>
      <c r="DC1096" s="2043">
        <v>0</v>
      </c>
      <c r="DI1096" t="s">
        <v>8519</v>
      </c>
      <c r="DJ1096" t="s">
        <v>8519</v>
      </c>
      <c r="DK1096" s="2042">
        <f t="shared" si="19"/>
        <v>0</v>
      </c>
    </row>
    <row r="1097" spans="1:115">
      <c r="A1097" t="s">
        <v>8774</v>
      </c>
      <c r="B1097" t="s">
        <v>11416</v>
      </c>
      <c r="C1097">
        <v>445.25</v>
      </c>
      <c r="D1097">
        <v>0</v>
      </c>
      <c r="E1097">
        <v>11.639000000000001</v>
      </c>
      <c r="F1097">
        <v>0</v>
      </c>
      <c r="G1097" s="2043">
        <v>0</v>
      </c>
      <c r="H1097">
        <v>0</v>
      </c>
      <c r="I1097" s="2043">
        <v>0</v>
      </c>
      <c r="J1097">
        <v>22.263000000000002</v>
      </c>
      <c r="K1097">
        <v>61</v>
      </c>
      <c r="L1097">
        <v>0</v>
      </c>
      <c r="M1097">
        <v>0</v>
      </c>
      <c r="N1097">
        <v>0</v>
      </c>
      <c r="O1097">
        <v>0</v>
      </c>
      <c r="P1097">
        <v>0</v>
      </c>
      <c r="Q1097">
        <v>0</v>
      </c>
      <c r="R1097" s="2043">
        <v>0</v>
      </c>
      <c r="S1097">
        <v>0</v>
      </c>
      <c r="T1097">
        <v>0</v>
      </c>
      <c r="U1097">
        <v>0</v>
      </c>
      <c r="V1097">
        <v>0</v>
      </c>
      <c r="W1097">
        <v>0</v>
      </c>
      <c r="X1097">
        <v>0</v>
      </c>
      <c r="Y1097">
        <v>0</v>
      </c>
      <c r="Z1097">
        <v>0</v>
      </c>
      <c r="AA1097">
        <v>0</v>
      </c>
      <c r="AB1097">
        <v>0</v>
      </c>
      <c r="AC1097" s="2043">
        <v>0</v>
      </c>
      <c r="AD1097">
        <v>0</v>
      </c>
      <c r="AE1097" s="2043">
        <v>0</v>
      </c>
      <c r="AF1097">
        <v>0</v>
      </c>
      <c r="AG1097">
        <v>0</v>
      </c>
      <c r="AH1097">
        <v>0</v>
      </c>
      <c r="AI1097">
        <v>0</v>
      </c>
      <c r="AJ1097">
        <v>22.838000000000001</v>
      </c>
      <c r="AK1097">
        <v>1314</v>
      </c>
      <c r="AL1097">
        <v>0</v>
      </c>
      <c r="AM1097">
        <v>0</v>
      </c>
      <c r="AN1097">
        <v>31.95</v>
      </c>
      <c r="AO1097">
        <v>0</v>
      </c>
      <c r="AP1097">
        <v>0</v>
      </c>
      <c r="AQ1097">
        <v>0</v>
      </c>
      <c r="AR1097">
        <v>0.90600000000000003</v>
      </c>
      <c r="AS1097">
        <v>0</v>
      </c>
      <c r="AT1097">
        <v>0</v>
      </c>
      <c r="AU1097">
        <v>0</v>
      </c>
      <c r="AV1097">
        <v>0</v>
      </c>
      <c r="AW1097">
        <v>0.90600000000000003</v>
      </c>
      <c r="AX1097">
        <v>0</v>
      </c>
      <c r="AY1097">
        <v>2.718</v>
      </c>
      <c r="AZ1097">
        <v>0</v>
      </c>
      <c r="BA1097">
        <v>4629258</v>
      </c>
      <c r="BB1097">
        <v>0</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37</v>
      </c>
      <c r="BW1097">
        <v>24</v>
      </c>
      <c r="BX1097">
        <v>16</v>
      </c>
      <c r="BY1097">
        <v>11</v>
      </c>
      <c r="BZ1097">
        <v>7</v>
      </c>
      <c r="CA1097">
        <v>95</v>
      </c>
      <c r="CB1097">
        <v>0</v>
      </c>
      <c r="CC1097">
        <v>0</v>
      </c>
      <c r="CD1097">
        <v>0</v>
      </c>
      <c r="CE1097">
        <v>51</v>
      </c>
      <c r="CF1097">
        <v>0</v>
      </c>
      <c r="CG1097">
        <v>0</v>
      </c>
      <c r="CH1097">
        <v>0</v>
      </c>
      <c r="CI1097">
        <v>0</v>
      </c>
      <c r="CJ1097">
        <v>0</v>
      </c>
      <c r="CK1097">
        <v>0</v>
      </c>
      <c r="CL1097">
        <v>0</v>
      </c>
      <c r="CM1097">
        <v>11.639000000000001</v>
      </c>
      <c r="CN1097">
        <v>0</v>
      </c>
      <c r="CO1097">
        <v>0</v>
      </c>
      <c r="CP1097">
        <v>0</v>
      </c>
      <c r="CQ1097">
        <v>0</v>
      </c>
      <c r="CR1097">
        <v>0</v>
      </c>
      <c r="CS1097">
        <v>0</v>
      </c>
      <c r="CT1097">
        <v>0</v>
      </c>
      <c r="CU1097">
        <v>0</v>
      </c>
      <c r="CV1097">
        <v>21.375</v>
      </c>
      <c r="CW1097">
        <v>0</v>
      </c>
      <c r="CX1097">
        <v>0</v>
      </c>
      <c r="CY1097" s="2043">
        <v>0</v>
      </c>
      <c r="CZ1097" s="2043">
        <v>0</v>
      </c>
      <c r="DA1097" s="2043">
        <v>0</v>
      </c>
      <c r="DB1097" s="2043">
        <v>0</v>
      </c>
      <c r="DC1097" s="2043">
        <v>0</v>
      </c>
      <c r="DI1097" t="s">
        <v>8774</v>
      </c>
      <c r="DJ1097" t="s">
        <v>8774</v>
      </c>
      <c r="DK1097" s="2042">
        <f t="shared" si="19"/>
        <v>0</v>
      </c>
    </row>
    <row r="1098" spans="1:115">
      <c r="A1098" t="s">
        <v>8085</v>
      </c>
      <c r="B1098" t="s">
        <v>11417</v>
      </c>
      <c r="C1098">
        <v>588.87800000000004</v>
      </c>
      <c r="D1098">
        <v>764</v>
      </c>
      <c r="E1098">
        <v>0</v>
      </c>
      <c r="F1098">
        <v>0</v>
      </c>
      <c r="G1098" s="2043">
        <v>0</v>
      </c>
      <c r="H1098">
        <v>0</v>
      </c>
      <c r="I1098" s="2043">
        <v>0</v>
      </c>
      <c r="J1098">
        <v>0</v>
      </c>
      <c r="K1098">
        <v>0</v>
      </c>
      <c r="L1098">
        <v>0</v>
      </c>
      <c r="M1098">
        <v>0</v>
      </c>
      <c r="N1098">
        <v>0</v>
      </c>
      <c r="O1098">
        <v>0</v>
      </c>
      <c r="P1098">
        <v>0</v>
      </c>
      <c r="Q1098">
        <v>0</v>
      </c>
      <c r="R1098" s="2043">
        <v>0</v>
      </c>
      <c r="S1098">
        <v>0</v>
      </c>
      <c r="T1098">
        <v>0</v>
      </c>
      <c r="U1098">
        <v>0</v>
      </c>
      <c r="V1098">
        <v>0</v>
      </c>
      <c r="W1098">
        <v>0</v>
      </c>
      <c r="X1098">
        <v>0</v>
      </c>
      <c r="Y1098">
        <v>0</v>
      </c>
      <c r="Z1098">
        <v>0</v>
      </c>
      <c r="AA1098">
        <v>0</v>
      </c>
      <c r="AB1098">
        <v>764</v>
      </c>
      <c r="AC1098" s="2043">
        <v>0</v>
      </c>
      <c r="AD1098">
        <v>0</v>
      </c>
      <c r="AE1098" s="2043">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c r="BA1098">
        <v>3627488</v>
      </c>
      <c r="BB1098">
        <v>0</v>
      </c>
      <c r="BC1098">
        <v>0</v>
      </c>
      <c r="BD1098">
        <v>0</v>
      </c>
      <c r="BE1098">
        <v>0</v>
      </c>
      <c r="BF1098">
        <v>0</v>
      </c>
      <c r="BG1098">
        <v>0</v>
      </c>
      <c r="BH1098">
        <v>0</v>
      </c>
      <c r="BI1098">
        <v>0</v>
      </c>
      <c r="BJ1098">
        <v>0</v>
      </c>
      <c r="BK1098">
        <v>0</v>
      </c>
      <c r="BL1098">
        <v>0</v>
      </c>
      <c r="BM1098">
        <v>0</v>
      </c>
      <c r="BN1098">
        <v>0</v>
      </c>
      <c r="BO1098">
        <v>0</v>
      </c>
      <c r="BP1098">
        <v>0</v>
      </c>
      <c r="BQ1098">
        <v>0</v>
      </c>
      <c r="BR1098">
        <v>0</v>
      </c>
      <c r="BS1098">
        <v>0</v>
      </c>
      <c r="BT1098">
        <v>0</v>
      </c>
      <c r="BU1098">
        <v>0</v>
      </c>
      <c r="BV1098">
        <v>0</v>
      </c>
      <c r="BW1098">
        <v>0</v>
      </c>
      <c r="BX1098">
        <v>0</v>
      </c>
      <c r="BY1098">
        <v>0</v>
      </c>
      <c r="BZ1098">
        <v>0</v>
      </c>
      <c r="CA1098">
        <v>0</v>
      </c>
      <c r="CB1098">
        <v>0</v>
      </c>
      <c r="CC1098">
        <v>0</v>
      </c>
      <c r="CD1098">
        <v>0</v>
      </c>
      <c r="CE1098">
        <v>0</v>
      </c>
      <c r="CF1098">
        <v>0</v>
      </c>
      <c r="CG1098">
        <v>0</v>
      </c>
      <c r="CH1098">
        <v>0</v>
      </c>
      <c r="CI1098">
        <v>0</v>
      </c>
      <c r="CJ1098">
        <v>0</v>
      </c>
      <c r="CK1098">
        <v>0</v>
      </c>
      <c r="CL1098">
        <v>0</v>
      </c>
      <c r="CM1098">
        <v>0</v>
      </c>
      <c r="CN1098">
        <v>0</v>
      </c>
      <c r="CO1098">
        <v>0</v>
      </c>
      <c r="CP1098">
        <v>0</v>
      </c>
      <c r="CQ1098">
        <v>0</v>
      </c>
      <c r="CR1098">
        <v>0</v>
      </c>
      <c r="CS1098">
        <v>0</v>
      </c>
      <c r="CT1098">
        <v>0</v>
      </c>
      <c r="CU1098">
        <v>0</v>
      </c>
      <c r="CV1098">
        <v>0</v>
      </c>
      <c r="CW1098">
        <v>0</v>
      </c>
      <c r="CX1098">
        <v>0</v>
      </c>
      <c r="CY1098" s="2043">
        <v>0</v>
      </c>
      <c r="CZ1098" s="2043">
        <v>0</v>
      </c>
      <c r="DA1098" s="2043">
        <v>0</v>
      </c>
      <c r="DB1098" s="2043">
        <v>0</v>
      </c>
      <c r="DC1098" s="2043">
        <v>0</v>
      </c>
      <c r="DI1098" t="s">
        <v>8085</v>
      </c>
      <c r="DJ1098" t="s">
        <v>8085</v>
      </c>
      <c r="DK1098" s="2042">
        <f t="shared" si="19"/>
        <v>0</v>
      </c>
    </row>
    <row r="1099" spans="1:115">
      <c r="A1099" t="s">
        <v>8087</v>
      </c>
      <c r="B1099" t="s">
        <v>11418</v>
      </c>
      <c r="C1099">
        <v>1472.3320000000001</v>
      </c>
      <c r="D1099">
        <v>1764.402</v>
      </c>
      <c r="E1099">
        <v>642.27300000000002</v>
      </c>
      <c r="F1099">
        <v>0</v>
      </c>
      <c r="G1099" s="2043">
        <v>0</v>
      </c>
      <c r="H1099">
        <v>0</v>
      </c>
      <c r="I1099" s="2043">
        <v>0</v>
      </c>
      <c r="J1099">
        <v>0</v>
      </c>
      <c r="K1099">
        <v>0</v>
      </c>
      <c r="L1099">
        <v>0</v>
      </c>
      <c r="M1099">
        <v>0</v>
      </c>
      <c r="N1099">
        <v>0</v>
      </c>
      <c r="O1099">
        <v>0</v>
      </c>
      <c r="P1099">
        <v>0</v>
      </c>
      <c r="Q1099">
        <v>0</v>
      </c>
      <c r="R1099" s="2043">
        <v>0</v>
      </c>
      <c r="S1099">
        <v>0</v>
      </c>
      <c r="T1099">
        <v>0</v>
      </c>
      <c r="U1099">
        <v>0</v>
      </c>
      <c r="V1099">
        <v>0</v>
      </c>
      <c r="W1099">
        <v>0</v>
      </c>
      <c r="X1099">
        <v>0</v>
      </c>
      <c r="Y1099">
        <v>260282</v>
      </c>
      <c r="Z1099">
        <v>0</v>
      </c>
      <c r="AA1099">
        <v>0</v>
      </c>
      <c r="AB1099">
        <v>1691.566</v>
      </c>
      <c r="AC1099" s="2043">
        <v>0</v>
      </c>
      <c r="AD1099">
        <v>0</v>
      </c>
      <c r="AE1099" s="2043">
        <v>0</v>
      </c>
      <c r="AF1099">
        <v>0</v>
      </c>
      <c r="AG1099">
        <v>0</v>
      </c>
      <c r="AH1099">
        <v>0</v>
      </c>
      <c r="AI1099">
        <v>0</v>
      </c>
      <c r="AJ1099">
        <v>326.60000000000002</v>
      </c>
      <c r="AK1099">
        <v>5488</v>
      </c>
      <c r="AL1099">
        <v>0</v>
      </c>
      <c r="AM1099">
        <v>0</v>
      </c>
      <c r="AN1099">
        <v>53.028000000000006</v>
      </c>
      <c r="AO1099">
        <v>0</v>
      </c>
      <c r="AP1099">
        <v>0</v>
      </c>
      <c r="AQ1099">
        <v>0</v>
      </c>
      <c r="AR1099">
        <v>51.555</v>
      </c>
      <c r="AS1099">
        <v>0</v>
      </c>
      <c r="AT1099">
        <v>4.6349999999999998</v>
      </c>
      <c r="AU1099">
        <v>2.5500000000000003</v>
      </c>
      <c r="AV1099">
        <v>0</v>
      </c>
      <c r="AW1099">
        <v>58.74</v>
      </c>
      <c r="AX1099">
        <v>0</v>
      </c>
      <c r="AY1099">
        <v>181.32</v>
      </c>
      <c r="AZ1099">
        <v>0</v>
      </c>
      <c r="BA1099">
        <v>16893757</v>
      </c>
      <c r="BB1099">
        <v>0</v>
      </c>
      <c r="BC1099">
        <v>0</v>
      </c>
      <c r="BD1099">
        <v>0</v>
      </c>
      <c r="BE1099">
        <v>0</v>
      </c>
      <c r="BF1099">
        <v>0</v>
      </c>
      <c r="BG1099">
        <v>0</v>
      </c>
      <c r="BH1099">
        <v>0</v>
      </c>
      <c r="BI1099">
        <v>0</v>
      </c>
      <c r="BJ1099">
        <v>0</v>
      </c>
      <c r="BK1099">
        <v>0</v>
      </c>
      <c r="BL1099">
        <v>0</v>
      </c>
      <c r="BM1099">
        <v>0</v>
      </c>
      <c r="BN1099">
        <v>3555</v>
      </c>
      <c r="BO1099">
        <v>1766</v>
      </c>
      <c r="BP1099">
        <v>0</v>
      </c>
      <c r="BQ1099">
        <v>0</v>
      </c>
      <c r="BR1099">
        <v>0</v>
      </c>
      <c r="BS1099">
        <v>0</v>
      </c>
      <c r="BT1099">
        <v>0</v>
      </c>
      <c r="BU1099">
        <v>0</v>
      </c>
      <c r="BV1099">
        <v>190</v>
      </c>
      <c r="BW1099">
        <v>247</v>
      </c>
      <c r="BX1099">
        <v>360</v>
      </c>
      <c r="BY1099">
        <v>273</v>
      </c>
      <c r="BZ1099">
        <v>231</v>
      </c>
      <c r="CA1099">
        <v>1301</v>
      </c>
      <c r="CB1099">
        <v>0</v>
      </c>
      <c r="CC1099">
        <v>0</v>
      </c>
      <c r="CD1099">
        <v>0</v>
      </c>
      <c r="CE1099">
        <v>117</v>
      </c>
      <c r="CF1099">
        <v>711.67700000000002</v>
      </c>
      <c r="CG1099">
        <v>0</v>
      </c>
      <c r="CH1099">
        <v>0</v>
      </c>
      <c r="CI1099">
        <v>0</v>
      </c>
      <c r="CJ1099">
        <v>0</v>
      </c>
      <c r="CK1099">
        <v>1</v>
      </c>
      <c r="CL1099">
        <v>0</v>
      </c>
      <c r="CM1099">
        <v>642.27300000000002</v>
      </c>
      <c r="CN1099">
        <v>0</v>
      </c>
      <c r="CO1099">
        <v>0</v>
      </c>
      <c r="CP1099">
        <v>0</v>
      </c>
      <c r="CQ1099">
        <v>0</v>
      </c>
      <c r="CR1099">
        <v>0</v>
      </c>
      <c r="CS1099">
        <v>0</v>
      </c>
      <c r="CT1099">
        <v>0</v>
      </c>
      <c r="CU1099">
        <v>0</v>
      </c>
      <c r="CV1099">
        <v>40.395000000000003</v>
      </c>
      <c r="CW1099">
        <v>8.2859999999999996</v>
      </c>
      <c r="CX1099">
        <v>0</v>
      </c>
      <c r="CY1099" s="2043">
        <v>0</v>
      </c>
      <c r="CZ1099" s="2043">
        <v>0</v>
      </c>
      <c r="DA1099" s="2043">
        <v>0</v>
      </c>
      <c r="DB1099" s="2043">
        <v>0</v>
      </c>
      <c r="DC1099" s="2043">
        <v>0</v>
      </c>
      <c r="DI1099" t="s">
        <v>8087</v>
      </c>
      <c r="DJ1099" t="s">
        <v>8087</v>
      </c>
      <c r="DK1099" s="2042">
        <f t="shared" si="19"/>
        <v>0</v>
      </c>
    </row>
    <row r="1100" spans="1:115">
      <c r="A1100" t="s">
        <v>8088</v>
      </c>
      <c r="B1100" t="s">
        <v>11419</v>
      </c>
      <c r="C1100">
        <v>1325.375</v>
      </c>
      <c r="D1100">
        <v>1010.807</v>
      </c>
      <c r="E1100">
        <v>260.67599999999999</v>
      </c>
      <c r="F1100">
        <v>0</v>
      </c>
      <c r="G1100" s="2043">
        <v>0</v>
      </c>
      <c r="H1100">
        <v>0</v>
      </c>
      <c r="I1100" s="2043">
        <v>0</v>
      </c>
      <c r="J1100">
        <v>0</v>
      </c>
      <c r="K1100">
        <v>0</v>
      </c>
      <c r="L1100">
        <v>0</v>
      </c>
      <c r="M1100">
        <v>0</v>
      </c>
      <c r="N1100">
        <v>0</v>
      </c>
      <c r="O1100">
        <v>0</v>
      </c>
      <c r="P1100">
        <v>0</v>
      </c>
      <c r="Q1100">
        <v>0</v>
      </c>
      <c r="R1100" s="2043">
        <v>0</v>
      </c>
      <c r="S1100">
        <v>0</v>
      </c>
      <c r="T1100">
        <v>0</v>
      </c>
      <c r="U1100">
        <v>0</v>
      </c>
      <c r="V1100">
        <v>1050.9490000000001</v>
      </c>
      <c r="W1100">
        <v>0</v>
      </c>
      <c r="X1100">
        <v>0</v>
      </c>
      <c r="Y1100">
        <v>234303</v>
      </c>
      <c r="Z1100">
        <v>0</v>
      </c>
      <c r="AA1100">
        <v>0</v>
      </c>
      <c r="AB1100">
        <v>1008.561</v>
      </c>
      <c r="AC1100" s="2043">
        <v>0</v>
      </c>
      <c r="AD1100">
        <v>0</v>
      </c>
      <c r="AE1100" s="2043">
        <v>0</v>
      </c>
      <c r="AF1100">
        <v>0</v>
      </c>
      <c r="AG1100">
        <v>0</v>
      </c>
      <c r="AH1100">
        <v>0</v>
      </c>
      <c r="AI1100">
        <v>0</v>
      </c>
      <c r="AJ1100">
        <v>114.92500000000001</v>
      </c>
      <c r="AK1100">
        <v>3720</v>
      </c>
      <c r="AL1100">
        <v>0.08</v>
      </c>
      <c r="AM1100">
        <v>0</v>
      </c>
      <c r="AN1100">
        <v>46.859000000000002</v>
      </c>
      <c r="AO1100">
        <v>0</v>
      </c>
      <c r="AP1100">
        <v>0</v>
      </c>
      <c r="AQ1100">
        <v>0</v>
      </c>
      <c r="AR1100">
        <v>29.957000000000001</v>
      </c>
      <c r="AS1100">
        <v>0</v>
      </c>
      <c r="AT1100">
        <v>2.194</v>
      </c>
      <c r="AU1100">
        <v>2.7</v>
      </c>
      <c r="AV1100">
        <v>0</v>
      </c>
      <c r="AW1100">
        <v>34.931000000000004</v>
      </c>
      <c r="AX1100">
        <v>0</v>
      </c>
      <c r="AY1100">
        <v>110.35300000000001</v>
      </c>
      <c r="AZ1100">
        <v>0</v>
      </c>
      <c r="BA1100">
        <v>14297935</v>
      </c>
      <c r="BB1100">
        <v>0</v>
      </c>
      <c r="BC1100">
        <v>0</v>
      </c>
      <c r="BD1100">
        <v>0</v>
      </c>
      <c r="BE1100">
        <v>0</v>
      </c>
      <c r="BF1100">
        <v>0</v>
      </c>
      <c r="BG1100">
        <v>0</v>
      </c>
      <c r="BH1100">
        <v>0</v>
      </c>
      <c r="BI1100">
        <v>0</v>
      </c>
      <c r="BJ1100">
        <v>0</v>
      </c>
      <c r="BK1100">
        <v>0</v>
      </c>
      <c r="BL1100">
        <v>0</v>
      </c>
      <c r="BM1100">
        <v>0</v>
      </c>
      <c r="BN1100">
        <v>3429</v>
      </c>
      <c r="BO1100">
        <v>150</v>
      </c>
      <c r="BP1100">
        <v>3764</v>
      </c>
      <c r="BQ1100">
        <v>0</v>
      </c>
      <c r="BR1100">
        <v>0</v>
      </c>
      <c r="BS1100">
        <v>0</v>
      </c>
      <c r="BT1100">
        <v>0</v>
      </c>
      <c r="BU1100">
        <v>0</v>
      </c>
      <c r="BV1100">
        <v>126</v>
      </c>
      <c r="BW1100">
        <v>164</v>
      </c>
      <c r="BX1100">
        <v>133</v>
      </c>
      <c r="BY1100">
        <v>38</v>
      </c>
      <c r="BZ1100">
        <v>16</v>
      </c>
      <c r="CA1100">
        <v>477</v>
      </c>
      <c r="CB1100">
        <v>0</v>
      </c>
      <c r="CC1100">
        <v>0</v>
      </c>
      <c r="CD1100">
        <v>0</v>
      </c>
      <c r="CE1100">
        <v>72</v>
      </c>
      <c r="CF1100">
        <v>319.98</v>
      </c>
      <c r="CG1100">
        <v>0</v>
      </c>
      <c r="CH1100">
        <v>0</v>
      </c>
      <c r="CI1100">
        <v>3</v>
      </c>
      <c r="CJ1100">
        <v>10</v>
      </c>
      <c r="CK1100">
        <v>0</v>
      </c>
      <c r="CL1100">
        <v>0</v>
      </c>
      <c r="CM1100">
        <v>260.67599999999999</v>
      </c>
      <c r="CN1100">
        <v>0</v>
      </c>
      <c r="CO1100">
        <v>0</v>
      </c>
      <c r="CP1100">
        <v>3764</v>
      </c>
      <c r="CQ1100">
        <v>0</v>
      </c>
      <c r="CR1100">
        <v>0</v>
      </c>
      <c r="CS1100">
        <v>0</v>
      </c>
      <c r="CT1100">
        <v>0</v>
      </c>
      <c r="CU1100">
        <v>0.629</v>
      </c>
      <c r="CV1100">
        <v>59.142000000000003</v>
      </c>
      <c r="CW1100">
        <v>12.581000000000001</v>
      </c>
      <c r="CX1100">
        <v>0</v>
      </c>
      <c r="CY1100" s="2043">
        <v>0</v>
      </c>
      <c r="CZ1100" s="2043">
        <v>0</v>
      </c>
      <c r="DA1100" s="2043">
        <v>0</v>
      </c>
      <c r="DB1100" s="2043">
        <v>0</v>
      </c>
      <c r="DC1100" s="2043">
        <v>0</v>
      </c>
      <c r="DI1100" t="s">
        <v>8088</v>
      </c>
      <c r="DJ1100" t="s">
        <v>8088</v>
      </c>
      <c r="DK1100" s="2042">
        <f t="shared" si="19"/>
        <v>0</v>
      </c>
    </row>
    <row r="1101" spans="1:115">
      <c r="A1101" t="s">
        <v>8089</v>
      </c>
      <c r="B1101" t="s">
        <v>11420</v>
      </c>
      <c r="C1101">
        <v>342.64</v>
      </c>
      <c r="D1101">
        <v>374.61700000000002</v>
      </c>
      <c r="E1101">
        <v>0</v>
      </c>
      <c r="F1101">
        <v>0</v>
      </c>
      <c r="G1101" s="2043">
        <v>0</v>
      </c>
      <c r="H1101">
        <v>0</v>
      </c>
      <c r="I1101" s="2043">
        <v>0</v>
      </c>
      <c r="J1101">
        <v>0</v>
      </c>
      <c r="K1101">
        <v>0</v>
      </c>
      <c r="L1101">
        <v>0</v>
      </c>
      <c r="M1101">
        <v>0</v>
      </c>
      <c r="N1101">
        <v>0</v>
      </c>
      <c r="O1101">
        <v>0</v>
      </c>
      <c r="P1101">
        <v>0</v>
      </c>
      <c r="Q1101">
        <v>0</v>
      </c>
      <c r="R1101" s="2043">
        <v>0</v>
      </c>
      <c r="S1101">
        <v>0</v>
      </c>
      <c r="T1101">
        <v>0</v>
      </c>
      <c r="U1101">
        <v>0</v>
      </c>
      <c r="V1101">
        <v>0</v>
      </c>
      <c r="W1101">
        <v>0</v>
      </c>
      <c r="X1101">
        <v>0</v>
      </c>
      <c r="Y1101">
        <v>133827</v>
      </c>
      <c r="Z1101">
        <v>0</v>
      </c>
      <c r="AA1101">
        <v>0</v>
      </c>
      <c r="AB1101">
        <v>329.30099999999999</v>
      </c>
      <c r="AC1101" s="2043">
        <v>0</v>
      </c>
      <c r="AD1101">
        <v>0</v>
      </c>
      <c r="AE1101" s="2043">
        <v>0</v>
      </c>
      <c r="AF1101">
        <v>0</v>
      </c>
      <c r="AG1101">
        <v>0</v>
      </c>
      <c r="AH1101">
        <v>0</v>
      </c>
      <c r="AI1101">
        <v>0</v>
      </c>
      <c r="AJ1101">
        <v>57.413000000000004</v>
      </c>
      <c r="AK1101">
        <v>1130</v>
      </c>
      <c r="AL1101">
        <v>0</v>
      </c>
      <c r="AM1101">
        <v>0</v>
      </c>
      <c r="AN1101">
        <v>7.5660000000000007</v>
      </c>
      <c r="AO1101">
        <v>0</v>
      </c>
      <c r="AP1101">
        <v>0</v>
      </c>
      <c r="AQ1101">
        <v>0</v>
      </c>
      <c r="AR1101">
        <v>12.579000000000001</v>
      </c>
      <c r="AS1101">
        <v>0</v>
      </c>
      <c r="AT1101">
        <v>0.436</v>
      </c>
      <c r="AU1101">
        <v>0.433</v>
      </c>
      <c r="AV1101">
        <v>0</v>
      </c>
      <c r="AW1101">
        <v>13.448</v>
      </c>
      <c r="AX1101">
        <v>0</v>
      </c>
      <c r="AY1101">
        <v>41.21</v>
      </c>
      <c r="AZ1101">
        <v>0</v>
      </c>
      <c r="BA1101">
        <v>3591120</v>
      </c>
      <c r="BB1101">
        <v>0</v>
      </c>
      <c r="BC1101">
        <v>0</v>
      </c>
      <c r="BD1101">
        <v>0</v>
      </c>
      <c r="BE1101">
        <v>0</v>
      </c>
      <c r="BF1101">
        <v>0</v>
      </c>
      <c r="BG1101">
        <v>0</v>
      </c>
      <c r="BH1101">
        <v>0</v>
      </c>
      <c r="BI1101">
        <v>0</v>
      </c>
      <c r="BJ1101">
        <v>0</v>
      </c>
      <c r="BK1101">
        <v>0</v>
      </c>
      <c r="BL1101">
        <v>0</v>
      </c>
      <c r="BM1101">
        <v>0</v>
      </c>
      <c r="BN1101">
        <v>594</v>
      </c>
      <c r="BO1101">
        <v>0</v>
      </c>
      <c r="BP1101">
        <v>0</v>
      </c>
      <c r="BQ1101">
        <v>0</v>
      </c>
      <c r="BR1101">
        <v>0</v>
      </c>
      <c r="BS1101">
        <v>0</v>
      </c>
      <c r="BT1101">
        <v>73254</v>
      </c>
      <c r="BU1101">
        <v>0</v>
      </c>
      <c r="BV1101">
        <v>32</v>
      </c>
      <c r="BW1101">
        <v>54</v>
      </c>
      <c r="BX1101">
        <v>56</v>
      </c>
      <c r="BY1101">
        <v>43</v>
      </c>
      <c r="BZ1101">
        <v>44</v>
      </c>
      <c r="CA1101">
        <v>229</v>
      </c>
      <c r="CB1101">
        <v>0</v>
      </c>
      <c r="CC1101">
        <v>0</v>
      </c>
      <c r="CD1101">
        <v>0</v>
      </c>
      <c r="CE1101">
        <v>2</v>
      </c>
      <c r="CF1101">
        <v>31.635000000000002</v>
      </c>
      <c r="CG1101">
        <v>0</v>
      </c>
      <c r="CH1101">
        <v>0</v>
      </c>
      <c r="CI1101">
        <v>0</v>
      </c>
      <c r="CJ1101">
        <v>0</v>
      </c>
      <c r="CK1101">
        <v>0</v>
      </c>
      <c r="CL1101">
        <v>0</v>
      </c>
      <c r="CM1101">
        <v>0</v>
      </c>
      <c r="CN1101">
        <v>0</v>
      </c>
      <c r="CO1101">
        <v>0</v>
      </c>
      <c r="CP1101">
        <v>0</v>
      </c>
      <c r="CQ1101">
        <v>0</v>
      </c>
      <c r="CR1101">
        <v>0</v>
      </c>
      <c r="CS1101">
        <v>0</v>
      </c>
      <c r="CT1101">
        <v>0</v>
      </c>
      <c r="CU1101">
        <v>0.156</v>
      </c>
      <c r="CV1101">
        <v>0.67</v>
      </c>
      <c r="CW1101">
        <v>0</v>
      </c>
      <c r="CX1101">
        <v>73254</v>
      </c>
      <c r="CY1101" s="2043">
        <v>0</v>
      </c>
      <c r="CZ1101" s="2043">
        <v>0</v>
      </c>
      <c r="DA1101" s="2043">
        <v>0</v>
      </c>
      <c r="DB1101" s="2043">
        <v>0</v>
      </c>
      <c r="DC1101" s="2043">
        <v>0</v>
      </c>
      <c r="DI1101" t="s">
        <v>8089</v>
      </c>
      <c r="DJ1101" t="s">
        <v>8089</v>
      </c>
      <c r="DK1101" s="2042">
        <f t="shared" si="19"/>
        <v>0</v>
      </c>
    </row>
    <row r="1102" spans="1:115">
      <c r="A1102" t="s">
        <v>8090</v>
      </c>
      <c r="B1102" t="s">
        <v>11421</v>
      </c>
      <c r="C1102">
        <v>480.517</v>
      </c>
      <c r="D1102">
        <v>559.94500000000005</v>
      </c>
      <c r="E1102">
        <v>19.218</v>
      </c>
      <c r="F1102">
        <v>0</v>
      </c>
      <c r="G1102" s="2043">
        <v>0</v>
      </c>
      <c r="H1102">
        <v>0</v>
      </c>
      <c r="I1102" s="2043">
        <v>0</v>
      </c>
      <c r="J1102">
        <v>8</v>
      </c>
      <c r="K1102">
        <v>22</v>
      </c>
      <c r="L1102">
        <v>0</v>
      </c>
      <c r="M1102">
        <v>0</v>
      </c>
      <c r="N1102">
        <v>0</v>
      </c>
      <c r="O1102">
        <v>0</v>
      </c>
      <c r="P1102">
        <v>0</v>
      </c>
      <c r="Q1102">
        <v>0</v>
      </c>
      <c r="R1102" s="2043">
        <v>0</v>
      </c>
      <c r="S1102">
        <v>0</v>
      </c>
      <c r="T1102">
        <v>0</v>
      </c>
      <c r="U1102">
        <v>0</v>
      </c>
      <c r="V1102">
        <v>0</v>
      </c>
      <c r="W1102">
        <v>0</v>
      </c>
      <c r="X1102">
        <v>0</v>
      </c>
      <c r="Y1102">
        <v>379906</v>
      </c>
      <c r="Z1102">
        <v>0</v>
      </c>
      <c r="AA1102">
        <v>0.68900000000000006</v>
      </c>
      <c r="AB1102">
        <v>559.94500000000005</v>
      </c>
      <c r="AC1102" s="2043">
        <v>0</v>
      </c>
      <c r="AD1102">
        <v>0</v>
      </c>
      <c r="AE1102" s="2043">
        <v>0</v>
      </c>
      <c r="AF1102">
        <v>0</v>
      </c>
      <c r="AG1102">
        <v>0</v>
      </c>
      <c r="AH1102">
        <v>0</v>
      </c>
      <c r="AI1102">
        <v>0</v>
      </c>
      <c r="AJ1102">
        <v>72.424999999999997</v>
      </c>
      <c r="AK1102">
        <v>16290</v>
      </c>
      <c r="AL1102">
        <v>0</v>
      </c>
      <c r="AM1102">
        <v>0</v>
      </c>
      <c r="AN1102">
        <v>13.699</v>
      </c>
      <c r="AO1102">
        <v>0</v>
      </c>
      <c r="AP1102">
        <v>0</v>
      </c>
      <c r="AQ1102">
        <v>172.76400000000001</v>
      </c>
      <c r="AR1102">
        <v>1.657</v>
      </c>
      <c r="AS1102">
        <v>0</v>
      </c>
      <c r="AT1102">
        <v>0</v>
      </c>
      <c r="AU1102">
        <v>1.502</v>
      </c>
      <c r="AV1102">
        <v>0</v>
      </c>
      <c r="AW1102">
        <v>175.923</v>
      </c>
      <c r="AX1102">
        <v>0</v>
      </c>
      <c r="AY1102">
        <v>12.481</v>
      </c>
      <c r="AZ1102">
        <v>0</v>
      </c>
      <c r="BA1102">
        <v>8728374</v>
      </c>
      <c r="BB1102">
        <v>0</v>
      </c>
      <c r="BC1102">
        <v>0</v>
      </c>
      <c r="BD1102">
        <v>0</v>
      </c>
      <c r="BE1102">
        <v>0</v>
      </c>
      <c r="BF1102">
        <v>0</v>
      </c>
      <c r="BG1102">
        <v>0</v>
      </c>
      <c r="BH1102">
        <v>0</v>
      </c>
      <c r="BI1102">
        <v>0</v>
      </c>
      <c r="BJ1102">
        <v>0</v>
      </c>
      <c r="BK1102">
        <v>0</v>
      </c>
      <c r="BL1102">
        <v>0</v>
      </c>
      <c r="BM1102">
        <v>0</v>
      </c>
      <c r="BN1102">
        <v>4050</v>
      </c>
      <c r="BO1102">
        <v>278</v>
      </c>
      <c r="BP1102">
        <v>0</v>
      </c>
      <c r="BQ1102">
        <v>0</v>
      </c>
      <c r="BR1102">
        <v>0</v>
      </c>
      <c r="BS1102">
        <v>0</v>
      </c>
      <c r="BT1102">
        <v>0</v>
      </c>
      <c r="BU1102">
        <v>0</v>
      </c>
      <c r="BV1102">
        <v>8</v>
      </c>
      <c r="BW1102">
        <v>5</v>
      </c>
      <c r="BX1102">
        <v>3</v>
      </c>
      <c r="BY1102">
        <v>5</v>
      </c>
      <c r="BZ1102">
        <v>245</v>
      </c>
      <c r="CA1102">
        <v>266</v>
      </c>
      <c r="CB1102">
        <v>98</v>
      </c>
      <c r="CC1102">
        <v>0</v>
      </c>
      <c r="CD1102">
        <v>0</v>
      </c>
      <c r="CE1102">
        <v>92</v>
      </c>
      <c r="CF1102">
        <v>8.718</v>
      </c>
      <c r="CG1102">
        <v>320.161</v>
      </c>
      <c r="CH1102">
        <v>192.017</v>
      </c>
      <c r="CI1102">
        <v>1</v>
      </c>
      <c r="CJ1102">
        <v>2</v>
      </c>
      <c r="CK1102">
        <v>1</v>
      </c>
      <c r="CL1102">
        <v>512.178</v>
      </c>
      <c r="CM1102">
        <v>19.218</v>
      </c>
      <c r="CN1102">
        <v>0</v>
      </c>
      <c r="CO1102">
        <v>0</v>
      </c>
      <c r="CP1102">
        <v>0</v>
      </c>
      <c r="CQ1102">
        <v>0</v>
      </c>
      <c r="CR1102">
        <v>0</v>
      </c>
      <c r="CS1102">
        <v>0</v>
      </c>
      <c r="CT1102">
        <v>0</v>
      </c>
      <c r="CU1102">
        <v>0</v>
      </c>
      <c r="CV1102">
        <v>0</v>
      </c>
      <c r="CW1102">
        <v>0</v>
      </c>
      <c r="CX1102">
        <v>0</v>
      </c>
      <c r="CY1102" s="2043">
        <v>294959</v>
      </c>
      <c r="CZ1102" s="2043">
        <v>0</v>
      </c>
      <c r="DA1102" s="2043">
        <v>0</v>
      </c>
      <c r="DB1102" s="2043">
        <v>0</v>
      </c>
      <c r="DC1102" s="2043">
        <v>0</v>
      </c>
      <c r="DI1102" t="s">
        <v>8090</v>
      </c>
      <c r="DJ1102" t="s">
        <v>8090</v>
      </c>
      <c r="DK1102" s="2042">
        <f t="shared" si="19"/>
        <v>0</v>
      </c>
    </row>
    <row r="1103" spans="1:115">
      <c r="A1103" t="s">
        <v>8091</v>
      </c>
      <c r="B1103" t="s">
        <v>11422</v>
      </c>
      <c r="C1103">
        <v>335.04300000000001</v>
      </c>
      <c r="D1103">
        <v>349.673</v>
      </c>
      <c r="E1103">
        <v>40.792999999999999</v>
      </c>
      <c r="F1103">
        <v>0</v>
      </c>
      <c r="G1103" s="2043">
        <v>0</v>
      </c>
      <c r="H1103">
        <v>0</v>
      </c>
      <c r="I1103" s="2043">
        <v>0</v>
      </c>
      <c r="J1103">
        <v>0</v>
      </c>
      <c r="K1103">
        <v>0</v>
      </c>
      <c r="L1103">
        <v>0</v>
      </c>
      <c r="M1103">
        <v>0</v>
      </c>
      <c r="N1103">
        <v>0</v>
      </c>
      <c r="O1103">
        <v>0</v>
      </c>
      <c r="P1103">
        <v>0</v>
      </c>
      <c r="Q1103">
        <v>0</v>
      </c>
      <c r="R1103" s="2043">
        <v>0</v>
      </c>
      <c r="S1103">
        <v>0</v>
      </c>
      <c r="T1103">
        <v>0</v>
      </c>
      <c r="U1103">
        <v>0</v>
      </c>
      <c r="V1103">
        <v>0</v>
      </c>
      <c r="W1103">
        <v>0</v>
      </c>
      <c r="X1103">
        <v>0</v>
      </c>
      <c r="Y1103">
        <v>59230</v>
      </c>
      <c r="Z1103">
        <v>0</v>
      </c>
      <c r="AA1103">
        <v>0</v>
      </c>
      <c r="AB1103">
        <v>349.673</v>
      </c>
      <c r="AC1103" s="2043">
        <v>0</v>
      </c>
      <c r="AD1103">
        <v>0</v>
      </c>
      <c r="AE1103" s="2043">
        <v>0</v>
      </c>
      <c r="AF1103">
        <v>0</v>
      </c>
      <c r="AG1103">
        <v>0</v>
      </c>
      <c r="AH1103">
        <v>0</v>
      </c>
      <c r="AI1103">
        <v>0</v>
      </c>
      <c r="AJ1103">
        <v>5.875</v>
      </c>
      <c r="AK1103">
        <v>189</v>
      </c>
      <c r="AL1103">
        <v>0</v>
      </c>
      <c r="AM1103">
        <v>0</v>
      </c>
      <c r="AN1103">
        <v>6.2930000000000001</v>
      </c>
      <c r="AO1103">
        <v>0</v>
      </c>
      <c r="AP1103">
        <v>0</v>
      </c>
      <c r="AQ1103">
        <v>0</v>
      </c>
      <c r="AR1103">
        <v>0.12100000000000001</v>
      </c>
      <c r="AS1103">
        <v>0</v>
      </c>
      <c r="AT1103">
        <v>0</v>
      </c>
      <c r="AU1103">
        <v>0.14500000000000002</v>
      </c>
      <c r="AV1103">
        <v>0</v>
      </c>
      <c r="AW1103">
        <v>0.26600000000000001</v>
      </c>
      <c r="AX1103">
        <v>0</v>
      </c>
      <c r="AY1103">
        <v>1.0880000000000001</v>
      </c>
      <c r="AZ1103">
        <v>0</v>
      </c>
      <c r="BA1103">
        <v>2997401</v>
      </c>
      <c r="BB1103">
        <v>0</v>
      </c>
      <c r="BC1103">
        <v>0</v>
      </c>
      <c r="BD1103">
        <v>0</v>
      </c>
      <c r="BE1103">
        <v>0</v>
      </c>
      <c r="BF1103">
        <v>0</v>
      </c>
      <c r="BG1103">
        <v>0</v>
      </c>
      <c r="BH1103">
        <v>0</v>
      </c>
      <c r="BI1103">
        <v>0</v>
      </c>
      <c r="BJ1103">
        <v>0</v>
      </c>
      <c r="BK1103">
        <v>0</v>
      </c>
      <c r="BL1103">
        <v>0</v>
      </c>
      <c r="BM1103">
        <v>0</v>
      </c>
      <c r="BN1103">
        <v>1251</v>
      </c>
      <c r="BO1103">
        <v>407</v>
      </c>
      <c r="BP1103">
        <v>0</v>
      </c>
      <c r="BQ1103">
        <v>0</v>
      </c>
      <c r="BR1103">
        <v>0</v>
      </c>
      <c r="BS1103">
        <v>0</v>
      </c>
      <c r="BT1103">
        <v>0</v>
      </c>
      <c r="BU1103">
        <v>0</v>
      </c>
      <c r="BV1103">
        <v>8</v>
      </c>
      <c r="BW1103">
        <v>3</v>
      </c>
      <c r="BX1103">
        <v>7</v>
      </c>
      <c r="BY1103">
        <v>3</v>
      </c>
      <c r="BZ1103">
        <v>3</v>
      </c>
      <c r="CA1103">
        <v>24</v>
      </c>
      <c r="CB1103">
        <v>0</v>
      </c>
      <c r="CC1103">
        <v>0</v>
      </c>
      <c r="CD1103">
        <v>0</v>
      </c>
      <c r="CE1103">
        <v>5</v>
      </c>
      <c r="CF1103">
        <v>30.542000000000002</v>
      </c>
      <c r="CG1103">
        <v>0</v>
      </c>
      <c r="CH1103">
        <v>0</v>
      </c>
      <c r="CI1103">
        <v>0</v>
      </c>
      <c r="CJ1103">
        <v>13</v>
      </c>
      <c r="CK1103">
        <v>0</v>
      </c>
      <c r="CL1103">
        <v>0</v>
      </c>
      <c r="CM1103">
        <v>40.792999999999999</v>
      </c>
      <c r="CN1103">
        <v>0</v>
      </c>
      <c r="CO1103">
        <v>0</v>
      </c>
      <c r="CP1103">
        <v>0</v>
      </c>
      <c r="CQ1103">
        <v>0</v>
      </c>
      <c r="CR1103">
        <v>0</v>
      </c>
      <c r="CS1103">
        <v>0</v>
      </c>
      <c r="CT1103">
        <v>0</v>
      </c>
      <c r="CU1103">
        <v>0</v>
      </c>
      <c r="CV1103">
        <v>0</v>
      </c>
      <c r="CW1103">
        <v>1.629</v>
      </c>
      <c r="CX1103">
        <v>0</v>
      </c>
      <c r="CY1103" s="2043">
        <v>0</v>
      </c>
      <c r="CZ1103" s="2043">
        <v>0</v>
      </c>
      <c r="DA1103" s="2043">
        <v>0</v>
      </c>
      <c r="DB1103" s="2043">
        <v>0</v>
      </c>
      <c r="DC1103" s="2043">
        <v>0</v>
      </c>
      <c r="DI1103" t="s">
        <v>8091</v>
      </c>
      <c r="DJ1103" t="s">
        <v>8091</v>
      </c>
      <c r="DK1103" s="2042">
        <f t="shared" si="19"/>
        <v>0</v>
      </c>
    </row>
    <row r="1104" spans="1:115">
      <c r="A1104" t="s">
        <v>8092</v>
      </c>
      <c r="B1104" t="s">
        <v>11423</v>
      </c>
      <c r="C1104">
        <v>3908.172</v>
      </c>
      <c r="D1104">
        <v>4199.0839999999998</v>
      </c>
      <c r="E1104">
        <v>1800.5210000000002</v>
      </c>
      <c r="F1104">
        <v>0</v>
      </c>
      <c r="G1104" s="2043">
        <v>0</v>
      </c>
      <c r="H1104">
        <v>0</v>
      </c>
      <c r="I1104" s="2043">
        <v>0</v>
      </c>
      <c r="J1104">
        <v>195.40900000000002</v>
      </c>
      <c r="K1104">
        <v>534</v>
      </c>
      <c r="L1104">
        <v>0</v>
      </c>
      <c r="M1104">
        <v>0</v>
      </c>
      <c r="N1104">
        <v>0</v>
      </c>
      <c r="O1104">
        <v>0</v>
      </c>
      <c r="P1104">
        <v>0</v>
      </c>
      <c r="Q1104">
        <v>0</v>
      </c>
      <c r="R1104" s="2043">
        <v>0</v>
      </c>
      <c r="S1104">
        <v>0</v>
      </c>
      <c r="T1104">
        <v>0</v>
      </c>
      <c r="U1104">
        <v>0</v>
      </c>
      <c r="V1104">
        <v>0</v>
      </c>
      <c r="W1104">
        <v>0</v>
      </c>
      <c r="X1104">
        <v>0</v>
      </c>
      <c r="Y1104">
        <v>690895</v>
      </c>
      <c r="Z1104">
        <v>0</v>
      </c>
      <c r="AA1104">
        <v>0</v>
      </c>
      <c r="AB1104">
        <v>4199.0839999999998</v>
      </c>
      <c r="AC1104" s="2043">
        <v>0</v>
      </c>
      <c r="AD1104">
        <v>0</v>
      </c>
      <c r="AE1104" s="2043">
        <v>0</v>
      </c>
      <c r="AF1104">
        <v>0</v>
      </c>
      <c r="AG1104">
        <v>0</v>
      </c>
      <c r="AH1104">
        <v>0</v>
      </c>
      <c r="AI1104">
        <v>0</v>
      </c>
      <c r="AJ1104">
        <v>701.28800000000001</v>
      </c>
      <c r="AK1104">
        <v>7439</v>
      </c>
      <c r="AL1104">
        <v>0</v>
      </c>
      <c r="AM1104">
        <v>0</v>
      </c>
      <c r="AN1104">
        <v>73.945999999999998</v>
      </c>
      <c r="AO1104">
        <v>0</v>
      </c>
      <c r="AP1104">
        <v>0</v>
      </c>
      <c r="AQ1104">
        <v>0</v>
      </c>
      <c r="AR1104">
        <v>61.214000000000006</v>
      </c>
      <c r="AS1104">
        <v>0</v>
      </c>
      <c r="AT1104">
        <v>10.383000000000001</v>
      </c>
      <c r="AU1104">
        <v>5.726</v>
      </c>
      <c r="AV1104">
        <v>0</v>
      </c>
      <c r="AW1104">
        <v>77.323000000000008</v>
      </c>
      <c r="AX1104">
        <v>0</v>
      </c>
      <c r="AY1104">
        <v>243.42100000000002</v>
      </c>
      <c r="AZ1104">
        <v>0</v>
      </c>
      <c r="BA1104">
        <v>43301524</v>
      </c>
      <c r="BB1104">
        <v>0</v>
      </c>
      <c r="BC1104">
        <v>0</v>
      </c>
      <c r="BD1104">
        <v>112752</v>
      </c>
      <c r="BE1104">
        <v>0</v>
      </c>
      <c r="BF1104">
        <v>112752</v>
      </c>
      <c r="BG1104">
        <v>112752</v>
      </c>
      <c r="BH1104">
        <v>0</v>
      </c>
      <c r="BI1104">
        <v>0</v>
      </c>
      <c r="BJ1104">
        <v>0</v>
      </c>
      <c r="BK1104">
        <v>0</v>
      </c>
      <c r="BL1104">
        <v>0</v>
      </c>
      <c r="BM1104">
        <v>0</v>
      </c>
      <c r="BN1104">
        <v>10359</v>
      </c>
      <c r="BO1104">
        <v>653</v>
      </c>
      <c r="BP1104">
        <v>768056</v>
      </c>
      <c r="BQ1104">
        <v>0</v>
      </c>
      <c r="BR1104">
        <v>0</v>
      </c>
      <c r="BS1104">
        <v>0</v>
      </c>
      <c r="BT1104">
        <v>0</v>
      </c>
      <c r="BU1104">
        <v>0</v>
      </c>
      <c r="BV1104">
        <v>527</v>
      </c>
      <c r="BW1104">
        <v>633</v>
      </c>
      <c r="BX1104">
        <v>542</v>
      </c>
      <c r="BY1104">
        <v>582</v>
      </c>
      <c r="BZ1104">
        <v>524</v>
      </c>
      <c r="CA1104">
        <v>2808</v>
      </c>
      <c r="CB1104">
        <v>0</v>
      </c>
      <c r="CC1104">
        <v>0</v>
      </c>
      <c r="CD1104">
        <v>0</v>
      </c>
      <c r="CE1104">
        <v>165</v>
      </c>
      <c r="CF1104">
        <v>1297.847</v>
      </c>
      <c r="CG1104">
        <v>0</v>
      </c>
      <c r="CH1104">
        <v>0</v>
      </c>
      <c r="CI1104">
        <v>33</v>
      </c>
      <c r="CJ1104">
        <v>32</v>
      </c>
      <c r="CK1104">
        <v>2</v>
      </c>
      <c r="CL1104">
        <v>0</v>
      </c>
      <c r="CM1104">
        <v>1800.5210000000002</v>
      </c>
      <c r="CN1104">
        <v>162540</v>
      </c>
      <c r="CO1104">
        <v>361016</v>
      </c>
      <c r="CP1104">
        <v>211500</v>
      </c>
      <c r="CQ1104">
        <v>33000</v>
      </c>
      <c r="CR1104">
        <v>0</v>
      </c>
      <c r="CS1104">
        <v>0</v>
      </c>
      <c r="CT1104">
        <v>0</v>
      </c>
      <c r="CU1104">
        <v>0</v>
      </c>
      <c r="CV1104">
        <v>104.02800000000001</v>
      </c>
      <c r="CW1104">
        <v>81.444000000000003</v>
      </c>
      <c r="CX1104">
        <v>0</v>
      </c>
      <c r="CY1104" s="2043">
        <v>0</v>
      </c>
      <c r="CZ1104" s="2043">
        <v>0</v>
      </c>
      <c r="DA1104" s="2043">
        <v>0</v>
      </c>
      <c r="DB1104" s="2043">
        <v>0</v>
      </c>
      <c r="DC1104" s="2043">
        <v>0</v>
      </c>
      <c r="DI1104" t="s">
        <v>8092</v>
      </c>
      <c r="DJ1104" t="s">
        <v>8092</v>
      </c>
      <c r="DK1104" s="2042">
        <f t="shared" si="19"/>
        <v>0</v>
      </c>
    </row>
    <row r="1105" spans="1:115">
      <c r="A1105" t="s">
        <v>8093</v>
      </c>
      <c r="B1105" t="s">
        <v>11424</v>
      </c>
      <c r="C1105">
        <v>447.38900000000001</v>
      </c>
      <c r="D1105">
        <v>457.11900000000003</v>
      </c>
      <c r="E1105">
        <v>230.09100000000001</v>
      </c>
      <c r="F1105">
        <v>0</v>
      </c>
      <c r="G1105" s="2043">
        <v>0</v>
      </c>
      <c r="H1105">
        <v>0</v>
      </c>
      <c r="I1105" s="2043">
        <v>0</v>
      </c>
      <c r="J1105">
        <v>14</v>
      </c>
      <c r="K1105">
        <v>38</v>
      </c>
      <c r="L1105">
        <v>0</v>
      </c>
      <c r="M1105">
        <v>0</v>
      </c>
      <c r="N1105">
        <v>0</v>
      </c>
      <c r="O1105">
        <v>0</v>
      </c>
      <c r="P1105">
        <v>0</v>
      </c>
      <c r="Q1105">
        <v>0</v>
      </c>
      <c r="R1105" s="2043">
        <v>0</v>
      </c>
      <c r="S1105">
        <v>0</v>
      </c>
      <c r="T1105">
        <v>0</v>
      </c>
      <c r="U1105">
        <v>0</v>
      </c>
      <c r="V1105">
        <v>0</v>
      </c>
      <c r="W1105">
        <v>0</v>
      </c>
      <c r="X1105">
        <v>0</v>
      </c>
      <c r="Y1105">
        <v>79090</v>
      </c>
      <c r="Z1105">
        <v>0</v>
      </c>
      <c r="AA1105">
        <v>0</v>
      </c>
      <c r="AB1105">
        <v>457.11900000000003</v>
      </c>
      <c r="AC1105" s="2043">
        <v>0</v>
      </c>
      <c r="AD1105">
        <v>0</v>
      </c>
      <c r="AE1105" s="2043">
        <v>0</v>
      </c>
      <c r="AF1105">
        <v>0</v>
      </c>
      <c r="AG1105">
        <v>0</v>
      </c>
      <c r="AH1105">
        <v>0</v>
      </c>
      <c r="AI1105">
        <v>0</v>
      </c>
      <c r="AJ1105">
        <v>102.7</v>
      </c>
      <c r="AK1105">
        <v>2268</v>
      </c>
      <c r="AL1105">
        <v>0</v>
      </c>
      <c r="AM1105">
        <v>0</v>
      </c>
      <c r="AN1105">
        <v>28.463000000000001</v>
      </c>
      <c r="AO1105">
        <v>0</v>
      </c>
      <c r="AP1105">
        <v>0</v>
      </c>
      <c r="AQ1105">
        <v>0</v>
      </c>
      <c r="AR1105">
        <v>20.098000000000003</v>
      </c>
      <c r="AS1105">
        <v>0</v>
      </c>
      <c r="AT1105">
        <v>0.374</v>
      </c>
      <c r="AU1105">
        <v>1.202</v>
      </c>
      <c r="AV1105">
        <v>0</v>
      </c>
      <c r="AW1105">
        <v>21.673999999999999</v>
      </c>
      <c r="AX1105">
        <v>0</v>
      </c>
      <c r="AY1105">
        <v>67.426000000000002</v>
      </c>
      <c r="AZ1105">
        <v>0</v>
      </c>
      <c r="BA1105">
        <v>5376337</v>
      </c>
      <c r="BB1105">
        <v>0</v>
      </c>
      <c r="BC1105">
        <v>0</v>
      </c>
      <c r="BD1105">
        <v>0</v>
      </c>
      <c r="BE1105">
        <v>0</v>
      </c>
      <c r="BF1105">
        <v>0</v>
      </c>
      <c r="BG1105">
        <v>0</v>
      </c>
      <c r="BH1105">
        <v>0</v>
      </c>
      <c r="BI1105">
        <v>0</v>
      </c>
      <c r="BJ1105">
        <v>0</v>
      </c>
      <c r="BK1105">
        <v>0</v>
      </c>
      <c r="BL1105">
        <v>0</v>
      </c>
      <c r="BM1105">
        <v>0</v>
      </c>
      <c r="BN1105">
        <v>1143</v>
      </c>
      <c r="BO1105">
        <v>1156</v>
      </c>
      <c r="BP1105">
        <v>0</v>
      </c>
      <c r="BQ1105">
        <v>0</v>
      </c>
      <c r="BR1105">
        <v>0</v>
      </c>
      <c r="BS1105">
        <v>0</v>
      </c>
      <c r="BT1105">
        <v>0</v>
      </c>
      <c r="BU1105">
        <v>0</v>
      </c>
      <c r="BV1105">
        <v>86</v>
      </c>
      <c r="BW1105">
        <v>54</v>
      </c>
      <c r="BX1105">
        <v>61</v>
      </c>
      <c r="BY1105">
        <v>88</v>
      </c>
      <c r="BZ1105">
        <v>117</v>
      </c>
      <c r="CA1105">
        <v>406</v>
      </c>
      <c r="CB1105">
        <v>0</v>
      </c>
      <c r="CC1105">
        <v>0</v>
      </c>
      <c r="CD1105">
        <v>0</v>
      </c>
      <c r="CE1105">
        <v>62</v>
      </c>
      <c r="CF1105">
        <v>240.63200000000001</v>
      </c>
      <c r="CG1105">
        <v>0</v>
      </c>
      <c r="CH1105">
        <v>0</v>
      </c>
      <c r="CI1105">
        <v>1</v>
      </c>
      <c r="CJ1105">
        <v>0</v>
      </c>
      <c r="CK1105">
        <v>0</v>
      </c>
      <c r="CL1105">
        <v>0</v>
      </c>
      <c r="CM1105">
        <v>230.09100000000001</v>
      </c>
      <c r="CN1105">
        <v>0</v>
      </c>
      <c r="CO1105">
        <v>0</v>
      </c>
      <c r="CP1105">
        <v>0</v>
      </c>
      <c r="CQ1105">
        <v>0</v>
      </c>
      <c r="CR1105">
        <v>0</v>
      </c>
      <c r="CS1105">
        <v>0</v>
      </c>
      <c r="CT1105">
        <v>180.399</v>
      </c>
      <c r="CU1105">
        <v>3.7720000000000002</v>
      </c>
      <c r="CV1105">
        <v>6.8690000000000007</v>
      </c>
      <c r="CW1105">
        <v>1.1160000000000001</v>
      </c>
      <c r="CX1105">
        <v>0</v>
      </c>
      <c r="CY1105" s="2043">
        <v>0</v>
      </c>
      <c r="CZ1105" s="2043">
        <v>0</v>
      </c>
      <c r="DA1105" s="2043">
        <v>0</v>
      </c>
      <c r="DB1105" s="2043">
        <v>0</v>
      </c>
      <c r="DC1105" s="2043">
        <v>0</v>
      </c>
      <c r="DI1105" t="s">
        <v>8093</v>
      </c>
      <c r="DJ1105" t="s">
        <v>8093</v>
      </c>
      <c r="DK1105" s="2042">
        <f t="shared" si="19"/>
        <v>0</v>
      </c>
    </row>
    <row r="1106" spans="1:115">
      <c r="A1106" t="s">
        <v>8094</v>
      </c>
      <c r="B1106" t="s">
        <v>11425</v>
      </c>
      <c r="C1106">
        <v>261.37</v>
      </c>
      <c r="D1106">
        <v>261.66200000000003</v>
      </c>
      <c r="E1106">
        <v>35.383000000000003</v>
      </c>
      <c r="F1106">
        <v>0</v>
      </c>
      <c r="G1106" s="2043">
        <v>0</v>
      </c>
      <c r="H1106">
        <v>0</v>
      </c>
      <c r="I1106" s="2043">
        <v>0</v>
      </c>
      <c r="J1106">
        <v>13.069000000000001</v>
      </c>
      <c r="K1106">
        <v>36</v>
      </c>
      <c r="L1106">
        <v>0</v>
      </c>
      <c r="M1106">
        <v>0</v>
      </c>
      <c r="N1106">
        <v>0</v>
      </c>
      <c r="O1106">
        <v>0</v>
      </c>
      <c r="P1106">
        <v>0</v>
      </c>
      <c r="Q1106">
        <v>0</v>
      </c>
      <c r="R1106" s="2043">
        <v>0</v>
      </c>
      <c r="S1106">
        <v>0</v>
      </c>
      <c r="T1106">
        <v>0</v>
      </c>
      <c r="U1106">
        <v>0</v>
      </c>
      <c r="V1106">
        <v>0</v>
      </c>
      <c r="W1106">
        <v>0</v>
      </c>
      <c r="X1106">
        <v>0</v>
      </c>
      <c r="Y1106">
        <v>46206</v>
      </c>
      <c r="Z1106">
        <v>0</v>
      </c>
      <c r="AA1106">
        <v>0</v>
      </c>
      <c r="AB1106">
        <v>261.66200000000003</v>
      </c>
      <c r="AC1106" s="2043">
        <v>0</v>
      </c>
      <c r="AD1106">
        <v>0</v>
      </c>
      <c r="AE1106" s="2043">
        <v>0</v>
      </c>
      <c r="AF1106">
        <v>0</v>
      </c>
      <c r="AG1106">
        <v>0</v>
      </c>
      <c r="AH1106">
        <v>0</v>
      </c>
      <c r="AI1106">
        <v>0</v>
      </c>
      <c r="AJ1106">
        <v>45.325000000000003</v>
      </c>
      <c r="AK1106">
        <v>1229</v>
      </c>
      <c r="AL1106">
        <v>0</v>
      </c>
      <c r="AM1106">
        <v>0</v>
      </c>
      <c r="AN1106">
        <v>2.8620000000000001</v>
      </c>
      <c r="AO1106">
        <v>0</v>
      </c>
      <c r="AP1106">
        <v>0</v>
      </c>
      <c r="AQ1106">
        <v>0</v>
      </c>
      <c r="AR1106">
        <v>12.708</v>
      </c>
      <c r="AS1106">
        <v>0</v>
      </c>
      <c r="AT1106">
        <v>2.1160000000000001</v>
      </c>
      <c r="AU1106">
        <v>1.3010000000000002</v>
      </c>
      <c r="AV1106">
        <v>0</v>
      </c>
      <c r="AW1106">
        <v>16.125</v>
      </c>
      <c r="AX1106">
        <v>0</v>
      </c>
      <c r="AY1106">
        <v>50.977000000000004</v>
      </c>
      <c r="AZ1106">
        <v>0</v>
      </c>
      <c r="BA1106">
        <v>2870780</v>
      </c>
      <c r="BB1106">
        <v>0</v>
      </c>
      <c r="BC1106">
        <v>0</v>
      </c>
      <c r="BD1106">
        <v>0</v>
      </c>
      <c r="BE1106">
        <v>0</v>
      </c>
      <c r="BF1106">
        <v>0</v>
      </c>
      <c r="BG1106">
        <v>0</v>
      </c>
      <c r="BH1106">
        <v>0</v>
      </c>
      <c r="BI1106">
        <v>0</v>
      </c>
      <c r="BJ1106">
        <v>0</v>
      </c>
      <c r="BK1106">
        <v>0</v>
      </c>
      <c r="BL1106">
        <v>0</v>
      </c>
      <c r="BM1106">
        <v>0</v>
      </c>
      <c r="BN1106">
        <v>0</v>
      </c>
      <c r="BO1106">
        <v>0</v>
      </c>
      <c r="BP1106">
        <v>4784</v>
      </c>
      <c r="BQ1106">
        <v>0</v>
      </c>
      <c r="BR1106">
        <v>0</v>
      </c>
      <c r="BS1106">
        <v>0</v>
      </c>
      <c r="BT1106">
        <v>0</v>
      </c>
      <c r="BU1106">
        <v>0</v>
      </c>
      <c r="BV1106">
        <v>50</v>
      </c>
      <c r="BW1106">
        <v>36</v>
      </c>
      <c r="BX1106">
        <v>36</v>
      </c>
      <c r="BY1106">
        <v>42</v>
      </c>
      <c r="BZ1106">
        <v>20</v>
      </c>
      <c r="CA1106">
        <v>184</v>
      </c>
      <c r="CB1106">
        <v>0</v>
      </c>
      <c r="CC1106">
        <v>0</v>
      </c>
      <c r="CD1106">
        <v>0</v>
      </c>
      <c r="CE1106">
        <v>21</v>
      </c>
      <c r="CF1106">
        <v>117.979</v>
      </c>
      <c r="CG1106">
        <v>0</v>
      </c>
      <c r="CH1106">
        <v>0</v>
      </c>
      <c r="CI1106">
        <v>0</v>
      </c>
      <c r="CJ1106">
        <v>0</v>
      </c>
      <c r="CK1106">
        <v>0</v>
      </c>
      <c r="CL1106">
        <v>0</v>
      </c>
      <c r="CM1106">
        <v>35.383000000000003</v>
      </c>
      <c r="CN1106">
        <v>0</v>
      </c>
      <c r="CO1106">
        <v>0</v>
      </c>
      <c r="CP1106">
        <v>4784</v>
      </c>
      <c r="CQ1106">
        <v>0</v>
      </c>
      <c r="CR1106">
        <v>0</v>
      </c>
      <c r="CS1106">
        <v>0</v>
      </c>
      <c r="CT1106">
        <v>0</v>
      </c>
      <c r="CU1106">
        <v>0</v>
      </c>
      <c r="CV1106">
        <v>0</v>
      </c>
      <c r="CW1106">
        <v>0</v>
      </c>
      <c r="CX1106">
        <v>0</v>
      </c>
      <c r="CY1106" s="2043">
        <v>0</v>
      </c>
      <c r="CZ1106" s="2043">
        <v>0</v>
      </c>
      <c r="DA1106" s="2043">
        <v>0</v>
      </c>
      <c r="DB1106" s="2043">
        <v>0</v>
      </c>
      <c r="DC1106" s="2043">
        <v>0</v>
      </c>
      <c r="DI1106" t="s">
        <v>8094</v>
      </c>
      <c r="DJ1106" t="s">
        <v>8094</v>
      </c>
      <c r="DK1106" s="2042">
        <f t="shared" si="19"/>
        <v>0</v>
      </c>
    </row>
    <row r="1107" spans="1:115">
      <c r="A1107" t="s">
        <v>8095</v>
      </c>
      <c r="B1107" t="s">
        <v>11426</v>
      </c>
      <c r="C1107">
        <v>28590.481</v>
      </c>
      <c r="D1107">
        <v>28093.574000000001</v>
      </c>
      <c r="E1107">
        <v>10852.795</v>
      </c>
      <c r="F1107">
        <v>0</v>
      </c>
      <c r="G1107" s="2043">
        <v>0</v>
      </c>
      <c r="H1107">
        <v>0</v>
      </c>
      <c r="I1107" s="2043">
        <v>0</v>
      </c>
      <c r="J1107">
        <v>0</v>
      </c>
      <c r="K1107">
        <v>0</v>
      </c>
      <c r="L1107">
        <v>0</v>
      </c>
      <c r="M1107">
        <v>0</v>
      </c>
      <c r="N1107">
        <v>0</v>
      </c>
      <c r="O1107">
        <v>0</v>
      </c>
      <c r="P1107">
        <v>0</v>
      </c>
      <c r="Q1107">
        <v>0</v>
      </c>
      <c r="R1107" s="2043">
        <v>0</v>
      </c>
      <c r="S1107">
        <v>0</v>
      </c>
      <c r="T1107">
        <v>0</v>
      </c>
      <c r="U1107">
        <v>0</v>
      </c>
      <c r="V1107">
        <v>1430.0910000000001</v>
      </c>
      <c r="W1107">
        <v>0</v>
      </c>
      <c r="X1107">
        <v>0</v>
      </c>
      <c r="Y1107">
        <v>5054290</v>
      </c>
      <c r="Z1107">
        <v>0</v>
      </c>
      <c r="AA1107">
        <v>0</v>
      </c>
      <c r="AB1107">
        <v>28093.574000000001</v>
      </c>
      <c r="AC1107" s="2043">
        <v>0</v>
      </c>
      <c r="AD1107">
        <v>0</v>
      </c>
      <c r="AE1107" s="2043">
        <v>0</v>
      </c>
      <c r="AF1107">
        <v>0</v>
      </c>
      <c r="AG1107">
        <v>0</v>
      </c>
      <c r="AH1107">
        <v>0</v>
      </c>
      <c r="AI1107">
        <v>0</v>
      </c>
      <c r="AJ1107">
        <v>7499.3380000000006</v>
      </c>
      <c r="AK1107">
        <v>70280</v>
      </c>
      <c r="AL1107">
        <v>0.67900000000000005</v>
      </c>
      <c r="AM1107">
        <v>0</v>
      </c>
      <c r="AN1107">
        <v>879.096</v>
      </c>
      <c r="AO1107">
        <v>0</v>
      </c>
      <c r="AP1107">
        <v>0.27600000000000002</v>
      </c>
      <c r="AQ1107">
        <v>0</v>
      </c>
      <c r="AR1107">
        <v>522.72900000000004</v>
      </c>
      <c r="AS1107">
        <v>0</v>
      </c>
      <c r="AT1107">
        <v>97.382000000000005</v>
      </c>
      <c r="AU1107">
        <v>45.559000000000005</v>
      </c>
      <c r="AV1107">
        <v>0</v>
      </c>
      <c r="AW1107">
        <v>666.625</v>
      </c>
      <c r="AX1107">
        <v>0</v>
      </c>
      <c r="AY1107">
        <v>2092.268</v>
      </c>
      <c r="AZ1107">
        <v>0</v>
      </c>
      <c r="BA1107">
        <v>327265320</v>
      </c>
      <c r="BB1107">
        <v>0</v>
      </c>
      <c r="BC1107">
        <v>40618</v>
      </c>
      <c r="BD1107">
        <v>1275705</v>
      </c>
      <c r="BE1107">
        <v>501421</v>
      </c>
      <c r="BF1107">
        <v>1817744</v>
      </c>
      <c r="BG1107">
        <v>1316323</v>
      </c>
      <c r="BH1107">
        <v>0</v>
      </c>
      <c r="BI1107">
        <v>0</v>
      </c>
      <c r="BJ1107">
        <v>0</v>
      </c>
      <c r="BK1107">
        <v>0</v>
      </c>
      <c r="BL1107">
        <v>0</v>
      </c>
      <c r="BM1107">
        <v>0</v>
      </c>
      <c r="BN1107">
        <v>69921</v>
      </c>
      <c r="BO1107">
        <v>1990</v>
      </c>
      <c r="BP1107">
        <v>12867</v>
      </c>
      <c r="BQ1107">
        <v>0</v>
      </c>
      <c r="BR1107">
        <v>0</v>
      </c>
      <c r="BS1107">
        <v>0</v>
      </c>
      <c r="BT1107">
        <v>0</v>
      </c>
      <c r="BU1107">
        <v>0</v>
      </c>
      <c r="BV1107">
        <v>5229</v>
      </c>
      <c r="BW1107">
        <v>3443</v>
      </c>
      <c r="BX1107">
        <v>4729</v>
      </c>
      <c r="BY1107">
        <v>6898</v>
      </c>
      <c r="BZ1107">
        <v>9135</v>
      </c>
      <c r="CA1107">
        <v>29434</v>
      </c>
      <c r="CB1107">
        <v>0</v>
      </c>
      <c r="CC1107">
        <v>0</v>
      </c>
      <c r="CD1107">
        <v>0</v>
      </c>
      <c r="CE1107">
        <v>793</v>
      </c>
      <c r="CF1107">
        <v>11600.172</v>
      </c>
      <c r="CG1107">
        <v>0</v>
      </c>
      <c r="CH1107">
        <v>0</v>
      </c>
      <c r="CI1107">
        <v>19</v>
      </c>
      <c r="CJ1107">
        <v>0</v>
      </c>
      <c r="CK1107">
        <v>0</v>
      </c>
      <c r="CL1107">
        <v>0</v>
      </c>
      <c r="CM1107">
        <v>10852.795</v>
      </c>
      <c r="CN1107">
        <v>0</v>
      </c>
      <c r="CO1107">
        <v>0</v>
      </c>
      <c r="CP1107">
        <v>12867</v>
      </c>
      <c r="CQ1107">
        <v>0</v>
      </c>
      <c r="CR1107">
        <v>0</v>
      </c>
      <c r="CS1107">
        <v>0</v>
      </c>
      <c r="CT1107">
        <v>0</v>
      </c>
      <c r="CU1107">
        <v>19.127000000000002</v>
      </c>
      <c r="CV1107">
        <v>414.21300000000002</v>
      </c>
      <c r="CW1107">
        <v>112.72200000000001</v>
      </c>
      <c r="CX1107">
        <v>0</v>
      </c>
      <c r="CY1107" s="2043">
        <v>0</v>
      </c>
      <c r="CZ1107" s="2043">
        <v>0</v>
      </c>
      <c r="DA1107" s="2043">
        <v>0</v>
      </c>
      <c r="DB1107" s="2043">
        <v>0</v>
      </c>
      <c r="DC1107" s="2043">
        <v>0</v>
      </c>
      <c r="DI1107" t="s">
        <v>8095</v>
      </c>
      <c r="DJ1107" t="s">
        <v>8095</v>
      </c>
      <c r="DK1107" s="2042">
        <f t="shared" si="19"/>
        <v>0</v>
      </c>
    </row>
    <row r="1108" spans="1:115">
      <c r="A1108" t="s">
        <v>8096</v>
      </c>
      <c r="B1108" t="s">
        <v>11427</v>
      </c>
      <c r="C1108">
        <v>393.7</v>
      </c>
      <c r="D1108">
        <v>406</v>
      </c>
      <c r="E1108">
        <v>2.722</v>
      </c>
      <c r="F1108">
        <v>0</v>
      </c>
      <c r="G1108" s="2043">
        <v>0</v>
      </c>
      <c r="H1108">
        <v>0</v>
      </c>
      <c r="I1108" s="2043">
        <v>0</v>
      </c>
      <c r="J1108">
        <v>0</v>
      </c>
      <c r="K1108">
        <v>0</v>
      </c>
      <c r="L1108">
        <v>0</v>
      </c>
      <c r="M1108">
        <v>0</v>
      </c>
      <c r="N1108">
        <v>0</v>
      </c>
      <c r="O1108">
        <v>0</v>
      </c>
      <c r="P1108">
        <v>0</v>
      </c>
      <c r="Q1108">
        <v>0</v>
      </c>
      <c r="R1108" s="2043">
        <v>0</v>
      </c>
      <c r="S1108">
        <v>0</v>
      </c>
      <c r="T1108">
        <v>0</v>
      </c>
      <c r="U1108">
        <v>0</v>
      </c>
      <c r="V1108">
        <v>0</v>
      </c>
      <c r="W1108">
        <v>0</v>
      </c>
      <c r="X1108">
        <v>0</v>
      </c>
      <c r="Y1108">
        <v>69599</v>
      </c>
      <c r="Z1108">
        <v>0</v>
      </c>
      <c r="AA1108">
        <v>0</v>
      </c>
      <c r="AB1108">
        <v>406</v>
      </c>
      <c r="AC1108" s="2043">
        <v>0</v>
      </c>
      <c r="AD1108">
        <v>0</v>
      </c>
      <c r="AE1108" s="2043">
        <v>0</v>
      </c>
      <c r="AF1108">
        <v>0</v>
      </c>
      <c r="AG1108">
        <v>0</v>
      </c>
      <c r="AH1108">
        <v>0</v>
      </c>
      <c r="AI1108">
        <v>0</v>
      </c>
      <c r="AJ1108">
        <v>11.738000000000001</v>
      </c>
      <c r="AK1108">
        <v>1572</v>
      </c>
      <c r="AL1108">
        <v>0</v>
      </c>
      <c r="AM1108">
        <v>0</v>
      </c>
      <c r="AN1108">
        <v>6.6190000000000007</v>
      </c>
      <c r="AO1108">
        <v>0</v>
      </c>
      <c r="AP1108">
        <v>0</v>
      </c>
      <c r="AQ1108">
        <v>0</v>
      </c>
      <c r="AR1108">
        <v>17.625</v>
      </c>
      <c r="AS1108">
        <v>0</v>
      </c>
      <c r="AT1108">
        <v>1.669</v>
      </c>
      <c r="AU1108">
        <v>0.78800000000000003</v>
      </c>
      <c r="AV1108">
        <v>0</v>
      </c>
      <c r="AW1108">
        <v>20.082000000000001</v>
      </c>
      <c r="AX1108">
        <v>0</v>
      </c>
      <c r="AY1108">
        <v>61.822000000000003</v>
      </c>
      <c r="AZ1108">
        <v>0</v>
      </c>
      <c r="BA1108">
        <v>3738604</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10</v>
      </c>
      <c r="BW1108">
        <v>12</v>
      </c>
      <c r="BX1108">
        <v>19</v>
      </c>
      <c r="BY1108">
        <v>3</v>
      </c>
      <c r="BZ1108">
        <v>4</v>
      </c>
      <c r="CA1108">
        <v>48</v>
      </c>
      <c r="CB1108">
        <v>0</v>
      </c>
      <c r="CC1108">
        <v>0</v>
      </c>
      <c r="CD1108">
        <v>0</v>
      </c>
      <c r="CE1108">
        <v>54</v>
      </c>
      <c r="CF1108">
        <v>23.636000000000003</v>
      </c>
      <c r="CG1108">
        <v>0</v>
      </c>
      <c r="CH1108">
        <v>0</v>
      </c>
      <c r="CI1108">
        <v>0</v>
      </c>
      <c r="CJ1108">
        <v>0</v>
      </c>
      <c r="CK1108">
        <v>0</v>
      </c>
      <c r="CL1108">
        <v>0</v>
      </c>
      <c r="CM1108">
        <v>2.722</v>
      </c>
      <c r="CN1108">
        <v>0</v>
      </c>
      <c r="CO1108">
        <v>0</v>
      </c>
      <c r="CP1108">
        <v>0</v>
      </c>
      <c r="CQ1108">
        <v>0</v>
      </c>
      <c r="CR1108">
        <v>0</v>
      </c>
      <c r="CS1108">
        <v>0</v>
      </c>
      <c r="CT1108">
        <v>0</v>
      </c>
      <c r="CU1108">
        <v>0</v>
      </c>
      <c r="CV1108">
        <v>0</v>
      </c>
      <c r="CW1108">
        <v>0</v>
      </c>
      <c r="CX1108">
        <v>0</v>
      </c>
      <c r="CY1108" s="2043">
        <v>0</v>
      </c>
      <c r="CZ1108" s="2043">
        <v>0</v>
      </c>
      <c r="DA1108" s="2043">
        <v>0</v>
      </c>
      <c r="DB1108" s="2043">
        <v>0</v>
      </c>
      <c r="DC1108" s="2043">
        <v>0</v>
      </c>
      <c r="DI1108" t="s">
        <v>8096</v>
      </c>
      <c r="DJ1108" t="s">
        <v>8096</v>
      </c>
      <c r="DK1108" s="2042">
        <f t="shared" si="19"/>
        <v>0</v>
      </c>
    </row>
    <row r="1109" spans="1:115">
      <c r="A1109" t="s">
        <v>8097</v>
      </c>
      <c r="B1109" t="s">
        <v>11428</v>
      </c>
      <c r="C1109">
        <v>854.03</v>
      </c>
      <c r="D1109">
        <v>1084.5810000000001</v>
      </c>
      <c r="E1109">
        <v>305.858</v>
      </c>
      <c r="F1109">
        <v>0</v>
      </c>
      <c r="G1109" s="2043">
        <v>0</v>
      </c>
      <c r="H1109">
        <v>0</v>
      </c>
      <c r="I1109" s="2043">
        <v>0</v>
      </c>
      <c r="J1109">
        <v>0</v>
      </c>
      <c r="K1109">
        <v>0</v>
      </c>
      <c r="L1109">
        <v>0</v>
      </c>
      <c r="M1109">
        <v>0</v>
      </c>
      <c r="N1109">
        <v>0</v>
      </c>
      <c r="O1109">
        <v>0</v>
      </c>
      <c r="P1109">
        <v>0</v>
      </c>
      <c r="Q1109">
        <v>0</v>
      </c>
      <c r="R1109" s="2043">
        <v>0</v>
      </c>
      <c r="S1109">
        <v>0</v>
      </c>
      <c r="T1109">
        <v>0</v>
      </c>
      <c r="U1109">
        <v>0</v>
      </c>
      <c r="V1109">
        <v>0</v>
      </c>
      <c r="W1109">
        <v>0</v>
      </c>
      <c r="X1109">
        <v>0</v>
      </c>
      <c r="Y1109">
        <v>150977</v>
      </c>
      <c r="Z1109">
        <v>0</v>
      </c>
      <c r="AA1109">
        <v>0</v>
      </c>
      <c r="AB1109">
        <v>982.71300000000008</v>
      </c>
      <c r="AC1109" s="2043">
        <v>0</v>
      </c>
      <c r="AD1109">
        <v>0</v>
      </c>
      <c r="AE1109" s="2043">
        <v>0</v>
      </c>
      <c r="AF1109">
        <v>0</v>
      </c>
      <c r="AG1109">
        <v>0</v>
      </c>
      <c r="AH1109">
        <v>0</v>
      </c>
      <c r="AI1109">
        <v>0</v>
      </c>
      <c r="AJ1109">
        <v>232.32500000000002</v>
      </c>
      <c r="AK1109">
        <v>1540</v>
      </c>
      <c r="AL1109">
        <v>0</v>
      </c>
      <c r="AM1109">
        <v>0</v>
      </c>
      <c r="AN1109">
        <v>32.558</v>
      </c>
      <c r="AO1109">
        <v>0</v>
      </c>
      <c r="AP1109">
        <v>0</v>
      </c>
      <c r="AQ1109">
        <v>0</v>
      </c>
      <c r="AR1109">
        <v>7.3730000000000002</v>
      </c>
      <c r="AS1109">
        <v>0</v>
      </c>
      <c r="AT1109">
        <v>0</v>
      </c>
      <c r="AU1109">
        <v>1.6860000000000002</v>
      </c>
      <c r="AV1109">
        <v>0</v>
      </c>
      <c r="AW1109">
        <v>9.0590000000000011</v>
      </c>
      <c r="AX1109">
        <v>0</v>
      </c>
      <c r="AY1109">
        <v>30.549000000000003</v>
      </c>
      <c r="AZ1109">
        <v>0</v>
      </c>
      <c r="BA1109">
        <v>9821139</v>
      </c>
      <c r="BB1109">
        <v>0</v>
      </c>
      <c r="BC1109">
        <v>0</v>
      </c>
      <c r="BD1109">
        <v>100170</v>
      </c>
      <c r="BE1109">
        <v>0</v>
      </c>
      <c r="BF1109">
        <v>100170</v>
      </c>
      <c r="BG1109">
        <v>100170</v>
      </c>
      <c r="BH1109">
        <v>0</v>
      </c>
      <c r="BI1109">
        <v>0</v>
      </c>
      <c r="BJ1109">
        <v>0</v>
      </c>
      <c r="BK1109">
        <v>0</v>
      </c>
      <c r="BL1109">
        <v>0</v>
      </c>
      <c r="BM1109">
        <v>0</v>
      </c>
      <c r="BN1109">
        <v>2394</v>
      </c>
      <c r="BO1109">
        <v>0</v>
      </c>
      <c r="BP1109">
        <v>0</v>
      </c>
      <c r="BQ1109">
        <v>0</v>
      </c>
      <c r="BR1109">
        <v>0</v>
      </c>
      <c r="BS1109">
        <v>0</v>
      </c>
      <c r="BT1109">
        <v>0</v>
      </c>
      <c r="BU1109">
        <v>0</v>
      </c>
      <c r="BV1109">
        <v>96</v>
      </c>
      <c r="BW1109">
        <v>175</v>
      </c>
      <c r="BX1109">
        <v>179</v>
      </c>
      <c r="BY1109">
        <v>233</v>
      </c>
      <c r="BZ1109">
        <v>230</v>
      </c>
      <c r="CA1109">
        <v>913</v>
      </c>
      <c r="CB1109">
        <v>0</v>
      </c>
      <c r="CC1109">
        <v>0</v>
      </c>
      <c r="CD1109">
        <v>0</v>
      </c>
      <c r="CE1109">
        <v>28</v>
      </c>
      <c r="CF1109">
        <v>455.82300000000004</v>
      </c>
      <c r="CG1109">
        <v>0</v>
      </c>
      <c r="CH1109">
        <v>0</v>
      </c>
      <c r="CI1109">
        <v>7</v>
      </c>
      <c r="CJ1109">
        <v>0</v>
      </c>
      <c r="CK1109">
        <v>0</v>
      </c>
      <c r="CL1109">
        <v>0</v>
      </c>
      <c r="CM1109">
        <v>305.858</v>
      </c>
      <c r="CN1109">
        <v>0</v>
      </c>
      <c r="CO1109">
        <v>0</v>
      </c>
      <c r="CP1109">
        <v>0</v>
      </c>
      <c r="CQ1109">
        <v>0</v>
      </c>
      <c r="CR1109">
        <v>0</v>
      </c>
      <c r="CS1109">
        <v>0</v>
      </c>
      <c r="CT1109">
        <v>0</v>
      </c>
      <c r="CU1109">
        <v>0</v>
      </c>
      <c r="CV1109">
        <v>0</v>
      </c>
      <c r="CW1109">
        <v>0</v>
      </c>
      <c r="CX1109">
        <v>0</v>
      </c>
      <c r="CY1109" s="2043">
        <v>0</v>
      </c>
      <c r="CZ1109" s="2043">
        <v>0</v>
      </c>
      <c r="DA1109" s="2043">
        <v>0</v>
      </c>
      <c r="DB1109" s="2043">
        <v>0</v>
      </c>
      <c r="DC1109" s="2043">
        <v>0</v>
      </c>
      <c r="DI1109" t="s">
        <v>8097</v>
      </c>
      <c r="DJ1109" t="s">
        <v>8097</v>
      </c>
      <c r="DK1109" s="2042">
        <f t="shared" si="19"/>
        <v>0</v>
      </c>
    </row>
    <row r="1110" spans="1:115">
      <c r="A1110" t="s">
        <v>8098</v>
      </c>
      <c r="B1110" t="s">
        <v>11429</v>
      </c>
      <c r="C1110">
        <v>2060.4230000000002</v>
      </c>
      <c r="D1110">
        <v>2037</v>
      </c>
      <c r="E1110">
        <v>1190.511</v>
      </c>
      <c r="F1110">
        <v>0</v>
      </c>
      <c r="G1110" s="2043">
        <v>0</v>
      </c>
      <c r="H1110">
        <v>0</v>
      </c>
      <c r="I1110" s="2043">
        <v>0</v>
      </c>
      <c r="J1110">
        <v>0</v>
      </c>
      <c r="K1110">
        <v>0</v>
      </c>
      <c r="L1110">
        <v>0</v>
      </c>
      <c r="M1110">
        <v>0</v>
      </c>
      <c r="N1110">
        <v>0</v>
      </c>
      <c r="O1110">
        <v>0</v>
      </c>
      <c r="P1110">
        <v>0</v>
      </c>
      <c r="Q1110">
        <v>0</v>
      </c>
      <c r="R1110" s="2043">
        <v>0</v>
      </c>
      <c r="S1110">
        <v>0</v>
      </c>
      <c r="T1110">
        <v>0</v>
      </c>
      <c r="U1110">
        <v>0</v>
      </c>
      <c r="V1110">
        <v>0</v>
      </c>
      <c r="W1110">
        <v>0</v>
      </c>
      <c r="X1110">
        <v>0</v>
      </c>
      <c r="Y1110">
        <v>364246</v>
      </c>
      <c r="Z1110">
        <v>0</v>
      </c>
      <c r="AA1110">
        <v>7.1000000000000008E-2</v>
      </c>
      <c r="AB1110">
        <v>1930.116</v>
      </c>
      <c r="AC1110" s="2043">
        <v>0</v>
      </c>
      <c r="AD1110">
        <v>0</v>
      </c>
      <c r="AE1110" s="2043">
        <v>0</v>
      </c>
      <c r="AF1110">
        <v>0</v>
      </c>
      <c r="AG1110">
        <v>0</v>
      </c>
      <c r="AH1110">
        <v>0</v>
      </c>
      <c r="AI1110">
        <v>0</v>
      </c>
      <c r="AJ1110">
        <v>534.53800000000001</v>
      </c>
      <c r="AK1110">
        <v>5754</v>
      </c>
      <c r="AL1110">
        <v>0</v>
      </c>
      <c r="AM1110">
        <v>0</v>
      </c>
      <c r="AN1110">
        <v>99.246000000000009</v>
      </c>
      <c r="AO1110">
        <v>0</v>
      </c>
      <c r="AP1110">
        <v>0</v>
      </c>
      <c r="AQ1110">
        <v>0</v>
      </c>
      <c r="AR1110">
        <v>33.100999999999999</v>
      </c>
      <c r="AS1110">
        <v>0</v>
      </c>
      <c r="AT1110">
        <v>7.9010000000000007</v>
      </c>
      <c r="AU1110">
        <v>3.383</v>
      </c>
      <c r="AV1110">
        <v>0</v>
      </c>
      <c r="AW1110">
        <v>44.385000000000005</v>
      </c>
      <c r="AX1110">
        <v>0</v>
      </c>
      <c r="AY1110">
        <v>139.92100000000002</v>
      </c>
      <c r="AZ1110">
        <v>0</v>
      </c>
      <c r="BA1110">
        <v>23924594</v>
      </c>
      <c r="BB1110">
        <v>0</v>
      </c>
      <c r="BC1110">
        <v>0</v>
      </c>
      <c r="BD1110">
        <v>47772</v>
      </c>
      <c r="BE1110">
        <v>0</v>
      </c>
      <c r="BF1110">
        <v>47772</v>
      </c>
      <c r="BG1110">
        <v>47772</v>
      </c>
      <c r="BH1110">
        <v>0</v>
      </c>
      <c r="BI1110">
        <v>0</v>
      </c>
      <c r="BJ1110">
        <v>0</v>
      </c>
      <c r="BK1110">
        <v>0</v>
      </c>
      <c r="BL1110">
        <v>0</v>
      </c>
      <c r="BM1110">
        <v>0</v>
      </c>
      <c r="BN1110">
        <v>7173</v>
      </c>
      <c r="BO1110">
        <v>0</v>
      </c>
      <c r="BP1110">
        <v>0</v>
      </c>
      <c r="BQ1110">
        <v>0</v>
      </c>
      <c r="BR1110">
        <v>0</v>
      </c>
      <c r="BS1110">
        <v>0</v>
      </c>
      <c r="BT1110">
        <v>0</v>
      </c>
      <c r="BU1110">
        <v>0</v>
      </c>
      <c r="BV1110">
        <v>221</v>
      </c>
      <c r="BW1110">
        <v>315</v>
      </c>
      <c r="BX1110">
        <v>363</v>
      </c>
      <c r="BY1110">
        <v>574</v>
      </c>
      <c r="BZ1110">
        <v>613</v>
      </c>
      <c r="CA1110">
        <v>2086</v>
      </c>
      <c r="CB1110">
        <v>0</v>
      </c>
      <c r="CC1110">
        <v>0</v>
      </c>
      <c r="CD1110">
        <v>0</v>
      </c>
      <c r="CE1110">
        <v>69</v>
      </c>
      <c r="CF1110">
        <v>754.24099999999999</v>
      </c>
      <c r="CG1110">
        <v>0</v>
      </c>
      <c r="CH1110">
        <v>0</v>
      </c>
      <c r="CI1110">
        <v>9</v>
      </c>
      <c r="CJ1110">
        <v>2</v>
      </c>
      <c r="CK1110">
        <v>0</v>
      </c>
      <c r="CL1110">
        <v>0</v>
      </c>
      <c r="CM1110">
        <v>1190.511</v>
      </c>
      <c r="CN1110">
        <v>0</v>
      </c>
      <c r="CO1110">
        <v>0</v>
      </c>
      <c r="CP1110">
        <v>0</v>
      </c>
      <c r="CQ1110">
        <v>0</v>
      </c>
      <c r="CR1110">
        <v>0</v>
      </c>
      <c r="CS1110">
        <v>0</v>
      </c>
      <c r="CT1110">
        <v>0</v>
      </c>
      <c r="CU1110">
        <v>0</v>
      </c>
      <c r="CV1110">
        <v>35.981000000000002</v>
      </c>
      <c r="CW1110">
        <v>11.541</v>
      </c>
      <c r="CX1110">
        <v>0</v>
      </c>
      <c r="CY1110" s="2043">
        <v>0</v>
      </c>
      <c r="CZ1110" s="2043">
        <v>0</v>
      </c>
      <c r="DA1110" s="2043">
        <v>0</v>
      </c>
      <c r="DB1110" s="2043">
        <v>0</v>
      </c>
      <c r="DC1110" s="2043">
        <v>0</v>
      </c>
      <c r="DI1110" t="s">
        <v>8098</v>
      </c>
      <c r="DJ1110" t="s">
        <v>8098</v>
      </c>
      <c r="DK1110" s="2042">
        <f t="shared" si="19"/>
        <v>0</v>
      </c>
    </row>
    <row r="1111" spans="1:115">
      <c r="A1111" t="s">
        <v>8099</v>
      </c>
      <c r="B1111" t="s">
        <v>11430</v>
      </c>
      <c r="C1111">
        <v>370.07800000000003</v>
      </c>
      <c r="D1111">
        <v>396.846</v>
      </c>
      <c r="E1111">
        <v>88.129000000000005</v>
      </c>
      <c r="F1111">
        <v>0</v>
      </c>
      <c r="G1111" s="2043">
        <v>0</v>
      </c>
      <c r="H1111">
        <v>0</v>
      </c>
      <c r="I1111" s="2043">
        <v>0</v>
      </c>
      <c r="J1111">
        <v>0</v>
      </c>
      <c r="K1111">
        <v>0</v>
      </c>
      <c r="L1111">
        <v>0</v>
      </c>
      <c r="M1111">
        <v>0</v>
      </c>
      <c r="N1111">
        <v>0</v>
      </c>
      <c r="O1111">
        <v>0</v>
      </c>
      <c r="P1111">
        <v>0</v>
      </c>
      <c r="Q1111">
        <v>0</v>
      </c>
      <c r="R1111" s="2043">
        <v>0</v>
      </c>
      <c r="S1111">
        <v>0</v>
      </c>
      <c r="T1111">
        <v>0</v>
      </c>
      <c r="U1111">
        <v>0</v>
      </c>
      <c r="V1111">
        <v>0</v>
      </c>
      <c r="W1111">
        <v>0</v>
      </c>
      <c r="X1111">
        <v>0</v>
      </c>
      <c r="Y1111">
        <v>65423</v>
      </c>
      <c r="Z1111">
        <v>0</v>
      </c>
      <c r="AA1111">
        <v>0</v>
      </c>
      <c r="AB1111">
        <v>405.40700000000004</v>
      </c>
      <c r="AC1111" s="2043">
        <v>0</v>
      </c>
      <c r="AD1111">
        <v>0</v>
      </c>
      <c r="AE1111" s="2043">
        <v>0</v>
      </c>
      <c r="AF1111">
        <v>0</v>
      </c>
      <c r="AG1111">
        <v>0</v>
      </c>
      <c r="AH1111">
        <v>0</v>
      </c>
      <c r="AI1111">
        <v>0</v>
      </c>
      <c r="AJ1111">
        <v>51.463000000000001</v>
      </c>
      <c r="AK1111">
        <v>1130</v>
      </c>
      <c r="AL1111">
        <v>0</v>
      </c>
      <c r="AM1111">
        <v>0</v>
      </c>
      <c r="AN1111">
        <v>3.0130000000000003</v>
      </c>
      <c r="AO1111">
        <v>0</v>
      </c>
      <c r="AP1111">
        <v>0</v>
      </c>
      <c r="AQ1111">
        <v>0</v>
      </c>
      <c r="AR1111">
        <v>11.316000000000001</v>
      </c>
      <c r="AS1111">
        <v>0</v>
      </c>
      <c r="AT1111">
        <v>2.5920000000000001</v>
      </c>
      <c r="AU1111">
        <v>0.94400000000000006</v>
      </c>
      <c r="AV1111">
        <v>0</v>
      </c>
      <c r="AW1111">
        <v>14.852</v>
      </c>
      <c r="AX1111">
        <v>0</v>
      </c>
      <c r="AY1111">
        <v>46.444000000000003</v>
      </c>
      <c r="AZ1111">
        <v>0</v>
      </c>
      <c r="BA1111">
        <v>3872110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41</v>
      </c>
      <c r="BW1111">
        <v>58</v>
      </c>
      <c r="BX1111">
        <v>32</v>
      </c>
      <c r="BY1111">
        <v>57</v>
      </c>
      <c r="BZ1111">
        <v>20</v>
      </c>
      <c r="CA1111">
        <v>208</v>
      </c>
      <c r="CB1111">
        <v>0</v>
      </c>
      <c r="CC1111">
        <v>0</v>
      </c>
      <c r="CD1111">
        <v>0</v>
      </c>
      <c r="CE1111">
        <v>42</v>
      </c>
      <c r="CF1111">
        <v>163.69400000000002</v>
      </c>
      <c r="CG1111">
        <v>0</v>
      </c>
      <c r="CH1111">
        <v>0</v>
      </c>
      <c r="CI1111">
        <v>0</v>
      </c>
      <c r="CJ1111">
        <v>0</v>
      </c>
      <c r="CK1111">
        <v>0</v>
      </c>
      <c r="CL1111">
        <v>0</v>
      </c>
      <c r="CM1111">
        <v>88.129000000000005</v>
      </c>
      <c r="CN1111">
        <v>0</v>
      </c>
      <c r="CO1111">
        <v>0</v>
      </c>
      <c r="CP1111">
        <v>0</v>
      </c>
      <c r="CQ1111">
        <v>0</v>
      </c>
      <c r="CR1111">
        <v>0</v>
      </c>
      <c r="CS1111">
        <v>0</v>
      </c>
      <c r="CT1111">
        <v>0</v>
      </c>
      <c r="CU1111">
        <v>0</v>
      </c>
      <c r="CV1111">
        <v>0</v>
      </c>
      <c r="CW1111">
        <v>0</v>
      </c>
      <c r="CX1111">
        <v>0</v>
      </c>
      <c r="CY1111" s="2043">
        <v>0</v>
      </c>
      <c r="CZ1111" s="2043">
        <v>0</v>
      </c>
      <c r="DA1111" s="2043">
        <v>0</v>
      </c>
      <c r="DB1111" s="2043">
        <v>0</v>
      </c>
      <c r="DC1111" s="2043">
        <v>0</v>
      </c>
      <c r="DI1111" t="s">
        <v>8099</v>
      </c>
      <c r="DJ1111" t="s">
        <v>8099</v>
      </c>
      <c r="DK1111" s="2042">
        <f t="shared" si="19"/>
        <v>0</v>
      </c>
    </row>
    <row r="1112" spans="1:115">
      <c r="A1112" t="s">
        <v>8100</v>
      </c>
      <c r="B1112" t="s">
        <v>11431</v>
      </c>
      <c r="C1112">
        <v>678.97199999999998</v>
      </c>
      <c r="D1112">
        <v>546.07600000000002</v>
      </c>
      <c r="E1112">
        <v>114.43900000000001</v>
      </c>
      <c r="F1112">
        <v>0</v>
      </c>
      <c r="G1112" s="2043">
        <v>0</v>
      </c>
      <c r="H1112">
        <v>0</v>
      </c>
      <c r="I1112" s="2043">
        <v>0</v>
      </c>
      <c r="J1112">
        <v>0</v>
      </c>
      <c r="K1112">
        <v>0</v>
      </c>
      <c r="L1112">
        <v>0</v>
      </c>
      <c r="M1112">
        <v>0</v>
      </c>
      <c r="N1112">
        <v>0</v>
      </c>
      <c r="O1112">
        <v>0</v>
      </c>
      <c r="P1112">
        <v>0</v>
      </c>
      <c r="Q1112">
        <v>0</v>
      </c>
      <c r="R1112" s="2043">
        <v>0</v>
      </c>
      <c r="S1112">
        <v>0</v>
      </c>
      <c r="T1112">
        <v>0</v>
      </c>
      <c r="U1112">
        <v>0</v>
      </c>
      <c r="V1112">
        <v>0</v>
      </c>
      <c r="W1112">
        <v>0</v>
      </c>
      <c r="X1112">
        <v>0</v>
      </c>
      <c r="Y1112">
        <v>0</v>
      </c>
      <c r="Z1112">
        <v>0</v>
      </c>
      <c r="AA1112">
        <v>0.108</v>
      </c>
      <c r="AB1112">
        <v>546.07600000000002</v>
      </c>
      <c r="AC1112" s="2043">
        <v>0</v>
      </c>
      <c r="AD1112">
        <v>0</v>
      </c>
      <c r="AE1112" s="2043">
        <v>0</v>
      </c>
      <c r="AF1112">
        <v>0</v>
      </c>
      <c r="AG1112">
        <v>0</v>
      </c>
      <c r="AH1112">
        <v>0</v>
      </c>
      <c r="AI1112">
        <v>0</v>
      </c>
      <c r="AJ1112">
        <v>191.97500000000002</v>
      </c>
      <c r="AK1112">
        <v>253</v>
      </c>
      <c r="AL1112">
        <v>0</v>
      </c>
      <c r="AM1112">
        <v>0</v>
      </c>
      <c r="AN1112">
        <v>6.4530000000000003</v>
      </c>
      <c r="AO1112">
        <v>0</v>
      </c>
      <c r="AP1112">
        <v>0</v>
      </c>
      <c r="AQ1112">
        <v>0</v>
      </c>
      <c r="AR1112">
        <v>1.2470000000000001</v>
      </c>
      <c r="AS1112">
        <v>0</v>
      </c>
      <c r="AT1112">
        <v>0</v>
      </c>
      <c r="AU1112">
        <v>0</v>
      </c>
      <c r="AV1112">
        <v>0</v>
      </c>
      <c r="AW1112">
        <v>1.2470000000000001</v>
      </c>
      <c r="AX1112">
        <v>0</v>
      </c>
      <c r="AY1112">
        <v>3.7410000000000001</v>
      </c>
      <c r="AZ1112">
        <v>0</v>
      </c>
      <c r="BA1112">
        <v>7386099</v>
      </c>
      <c r="BB1112">
        <v>0</v>
      </c>
      <c r="BC1112">
        <v>0</v>
      </c>
      <c r="BD1112">
        <v>5310</v>
      </c>
      <c r="BE1112">
        <v>0</v>
      </c>
      <c r="BF1112">
        <v>5310</v>
      </c>
      <c r="BG1112">
        <v>5310</v>
      </c>
      <c r="BH1112">
        <v>0</v>
      </c>
      <c r="BI1112">
        <v>0</v>
      </c>
      <c r="BJ1112">
        <v>0</v>
      </c>
      <c r="BK1112">
        <v>0</v>
      </c>
      <c r="BL1112">
        <v>0</v>
      </c>
      <c r="BM1112">
        <v>0</v>
      </c>
      <c r="BN1112">
        <v>12978</v>
      </c>
      <c r="BO1112">
        <v>5703</v>
      </c>
      <c r="BP1112">
        <v>0</v>
      </c>
      <c r="BQ1112">
        <v>0</v>
      </c>
      <c r="BR1112">
        <v>0</v>
      </c>
      <c r="BS1112">
        <v>0</v>
      </c>
      <c r="BT1112">
        <v>0</v>
      </c>
      <c r="BU1112">
        <v>0</v>
      </c>
      <c r="BV1112">
        <v>69</v>
      </c>
      <c r="BW1112">
        <v>281</v>
      </c>
      <c r="BX1112">
        <v>90</v>
      </c>
      <c r="BY1112">
        <v>261</v>
      </c>
      <c r="BZ1112">
        <v>68</v>
      </c>
      <c r="CA1112">
        <v>769</v>
      </c>
      <c r="CB1112">
        <v>0</v>
      </c>
      <c r="CC1112">
        <v>0</v>
      </c>
      <c r="CD1112">
        <v>0</v>
      </c>
      <c r="CE1112">
        <v>2</v>
      </c>
      <c r="CF1112">
        <v>0</v>
      </c>
      <c r="CG1112">
        <v>605.08699999999999</v>
      </c>
      <c r="CH1112">
        <v>0</v>
      </c>
      <c r="CI1112">
        <v>0</v>
      </c>
      <c r="CJ1112">
        <v>0</v>
      </c>
      <c r="CK1112">
        <v>0</v>
      </c>
      <c r="CL1112">
        <v>605.08699999999999</v>
      </c>
      <c r="CM1112">
        <v>114.43900000000001</v>
      </c>
      <c r="CN1112">
        <v>0</v>
      </c>
      <c r="CO1112">
        <v>0</v>
      </c>
      <c r="CP1112">
        <v>0</v>
      </c>
      <c r="CQ1112">
        <v>0</v>
      </c>
      <c r="CR1112">
        <v>0</v>
      </c>
      <c r="CS1112">
        <v>0</v>
      </c>
      <c r="CT1112">
        <v>0</v>
      </c>
      <c r="CU1112">
        <v>23.007000000000001</v>
      </c>
      <c r="CV1112">
        <v>64.894999999999996</v>
      </c>
      <c r="CW1112">
        <v>0.68600000000000005</v>
      </c>
      <c r="CX1112">
        <v>0</v>
      </c>
      <c r="CY1112" s="2043">
        <v>0</v>
      </c>
      <c r="CZ1112" s="2043">
        <v>0</v>
      </c>
      <c r="DA1112" s="2043">
        <v>0</v>
      </c>
      <c r="DB1112" s="2043">
        <v>0</v>
      </c>
      <c r="DC1112" s="2043">
        <v>0</v>
      </c>
      <c r="DI1112" t="s">
        <v>8100</v>
      </c>
      <c r="DJ1112" t="s">
        <v>8100</v>
      </c>
      <c r="DK1112" s="2042">
        <f t="shared" si="19"/>
        <v>0</v>
      </c>
    </row>
    <row r="1113" spans="1:115">
      <c r="A1113" t="s">
        <v>8102</v>
      </c>
      <c r="B1113" t="s">
        <v>11432</v>
      </c>
      <c r="C1113">
        <v>1318.6770000000001</v>
      </c>
      <c r="D1113">
        <v>1051.3430000000001</v>
      </c>
      <c r="E1113">
        <v>66.701000000000008</v>
      </c>
      <c r="F1113">
        <v>0</v>
      </c>
      <c r="G1113" s="2043">
        <v>0</v>
      </c>
      <c r="H1113">
        <v>0</v>
      </c>
      <c r="I1113" s="2043">
        <v>0</v>
      </c>
      <c r="J1113">
        <v>0</v>
      </c>
      <c r="K1113">
        <v>0</v>
      </c>
      <c r="L1113">
        <v>0</v>
      </c>
      <c r="M1113">
        <v>0</v>
      </c>
      <c r="N1113">
        <v>0</v>
      </c>
      <c r="O1113">
        <v>0</v>
      </c>
      <c r="P1113">
        <v>0</v>
      </c>
      <c r="Q1113">
        <v>0</v>
      </c>
      <c r="R1113" s="2043">
        <v>0</v>
      </c>
      <c r="S1113">
        <v>0</v>
      </c>
      <c r="T1113">
        <v>0</v>
      </c>
      <c r="U1113">
        <v>0</v>
      </c>
      <c r="V1113">
        <v>175.07500000000002</v>
      </c>
      <c r="W1113">
        <v>0</v>
      </c>
      <c r="X1113">
        <v>0</v>
      </c>
      <c r="Y1113">
        <v>233119</v>
      </c>
      <c r="Z1113">
        <v>0</v>
      </c>
      <c r="AA1113">
        <v>0</v>
      </c>
      <c r="AB1113">
        <v>1051.3430000000001</v>
      </c>
      <c r="AC1113" s="2043">
        <v>0</v>
      </c>
      <c r="AD1113">
        <v>0</v>
      </c>
      <c r="AE1113" s="2043">
        <v>0</v>
      </c>
      <c r="AF1113">
        <v>0</v>
      </c>
      <c r="AG1113">
        <v>0</v>
      </c>
      <c r="AH1113">
        <v>0</v>
      </c>
      <c r="AI1113">
        <v>0</v>
      </c>
      <c r="AJ1113">
        <v>73.174999999999997</v>
      </c>
      <c r="AK1113">
        <v>2907</v>
      </c>
      <c r="AL1113">
        <v>0</v>
      </c>
      <c r="AM1113">
        <v>0</v>
      </c>
      <c r="AN1113">
        <v>11.324</v>
      </c>
      <c r="AO1113">
        <v>0</v>
      </c>
      <c r="AP1113">
        <v>0</v>
      </c>
      <c r="AQ1113">
        <v>0</v>
      </c>
      <c r="AR1113">
        <v>33.185000000000002</v>
      </c>
      <c r="AS1113">
        <v>0</v>
      </c>
      <c r="AT1113">
        <v>1.6620000000000001</v>
      </c>
      <c r="AU1113">
        <v>2.1579999999999999</v>
      </c>
      <c r="AV1113">
        <v>0</v>
      </c>
      <c r="AW1113">
        <v>37.005000000000003</v>
      </c>
      <c r="AX1113">
        <v>0</v>
      </c>
      <c r="AY1113">
        <v>115.331</v>
      </c>
      <c r="AZ1113">
        <v>0</v>
      </c>
      <c r="BA1113">
        <v>12486841</v>
      </c>
      <c r="BB1113">
        <v>0</v>
      </c>
      <c r="BC1113">
        <v>0</v>
      </c>
      <c r="BD1113">
        <v>0</v>
      </c>
      <c r="BE1113">
        <v>0</v>
      </c>
      <c r="BF1113">
        <v>0</v>
      </c>
      <c r="BG1113">
        <v>0</v>
      </c>
      <c r="BH1113">
        <v>0</v>
      </c>
      <c r="BI1113">
        <v>0</v>
      </c>
      <c r="BJ1113">
        <v>0</v>
      </c>
      <c r="BK1113">
        <v>0</v>
      </c>
      <c r="BL1113">
        <v>0</v>
      </c>
      <c r="BM1113">
        <v>0</v>
      </c>
      <c r="BN1113">
        <v>0</v>
      </c>
      <c r="BO1113">
        <v>0</v>
      </c>
      <c r="BP1113">
        <v>0</v>
      </c>
      <c r="BQ1113">
        <v>0</v>
      </c>
      <c r="BR1113">
        <v>0</v>
      </c>
      <c r="BS1113">
        <v>0</v>
      </c>
      <c r="BT1113">
        <v>0</v>
      </c>
      <c r="BU1113">
        <v>0</v>
      </c>
      <c r="BV1113">
        <v>141</v>
      </c>
      <c r="BW1113">
        <v>85</v>
      </c>
      <c r="BX1113">
        <v>40</v>
      </c>
      <c r="BY1113">
        <v>23</v>
      </c>
      <c r="BZ1113">
        <v>19</v>
      </c>
      <c r="CA1113">
        <v>308</v>
      </c>
      <c r="CB1113">
        <v>0</v>
      </c>
      <c r="CC1113">
        <v>0</v>
      </c>
      <c r="CD1113">
        <v>0</v>
      </c>
      <c r="CE1113">
        <v>121</v>
      </c>
      <c r="CF1113">
        <v>157.98699999999999</v>
      </c>
      <c r="CG1113">
        <v>0</v>
      </c>
      <c r="CH1113">
        <v>0</v>
      </c>
      <c r="CI1113">
        <v>0</v>
      </c>
      <c r="CJ1113">
        <v>0</v>
      </c>
      <c r="CK1113">
        <v>0</v>
      </c>
      <c r="CL1113">
        <v>0</v>
      </c>
      <c r="CM1113">
        <v>66.701000000000008</v>
      </c>
      <c r="CN1113">
        <v>0</v>
      </c>
      <c r="CO1113">
        <v>0</v>
      </c>
      <c r="CP1113">
        <v>0</v>
      </c>
      <c r="CQ1113">
        <v>0</v>
      </c>
      <c r="CR1113">
        <v>0</v>
      </c>
      <c r="CS1113">
        <v>0</v>
      </c>
      <c r="CT1113">
        <v>0</v>
      </c>
      <c r="CU1113">
        <v>0</v>
      </c>
      <c r="CV1113">
        <v>0</v>
      </c>
      <c r="CW1113">
        <v>0</v>
      </c>
      <c r="CX1113">
        <v>0</v>
      </c>
      <c r="CY1113" s="2043">
        <v>0</v>
      </c>
      <c r="CZ1113" s="2043">
        <v>0</v>
      </c>
      <c r="DA1113" s="2043">
        <v>0</v>
      </c>
      <c r="DB1113" s="2043">
        <v>0</v>
      </c>
      <c r="DC1113" s="2043">
        <v>0</v>
      </c>
      <c r="DI1113" t="s">
        <v>8102</v>
      </c>
      <c r="DJ1113" t="s">
        <v>8102</v>
      </c>
      <c r="DK1113" s="2042">
        <f t="shared" si="19"/>
        <v>0</v>
      </c>
    </row>
    <row r="1114" spans="1:115">
      <c r="A1114" t="s">
        <v>5279</v>
      </c>
      <c r="B1114" t="s">
        <v>249</v>
      </c>
      <c r="C1114">
        <v>65983.358999999997</v>
      </c>
      <c r="D1114">
        <v>73088.63</v>
      </c>
      <c r="E1114">
        <v>9507.5709999999999</v>
      </c>
      <c r="F1114">
        <v>0</v>
      </c>
      <c r="G1114" s="2043">
        <v>152727684977</v>
      </c>
      <c r="H1114">
        <v>0</v>
      </c>
      <c r="I1114" s="2043">
        <v>109755246</v>
      </c>
      <c r="J1114">
        <v>3299.1680000000001</v>
      </c>
      <c r="K1114">
        <v>9019</v>
      </c>
      <c r="L1114">
        <v>0</v>
      </c>
      <c r="M1114">
        <v>0</v>
      </c>
      <c r="N1114">
        <v>0</v>
      </c>
      <c r="O1114">
        <v>0</v>
      </c>
      <c r="P1114">
        <v>0</v>
      </c>
      <c r="Q1114">
        <v>0</v>
      </c>
      <c r="R1114" s="2043">
        <v>1298279630</v>
      </c>
      <c r="S1114">
        <v>117930425</v>
      </c>
      <c r="T1114">
        <v>0</v>
      </c>
      <c r="U1114">
        <v>0.08</v>
      </c>
      <c r="V1114">
        <v>153.57500000000002</v>
      </c>
      <c r="W1114">
        <v>762800885</v>
      </c>
      <c r="X1114">
        <v>0</v>
      </c>
      <c r="Y1114">
        <v>-3544562</v>
      </c>
      <c r="Z1114">
        <v>0</v>
      </c>
      <c r="AA1114">
        <v>3.3920000000000003</v>
      </c>
      <c r="AB1114">
        <v>68755.752000000008</v>
      </c>
      <c r="AC1114" s="2043">
        <v>128933419745</v>
      </c>
      <c r="AD1114">
        <v>168685292</v>
      </c>
      <c r="AE1114" s="2043">
        <v>1416210055</v>
      </c>
      <c r="AF1114">
        <v>0.9487000000000001</v>
      </c>
      <c r="AG1114">
        <v>0</v>
      </c>
      <c r="AH1114">
        <v>762800885</v>
      </c>
      <c r="AI1114">
        <v>0</v>
      </c>
      <c r="AJ1114">
        <v>9586.85</v>
      </c>
      <c r="AK1114">
        <v>242187</v>
      </c>
      <c r="AL1114">
        <v>4.8970000000000002</v>
      </c>
      <c r="AM1114">
        <v>2.6459999999999999</v>
      </c>
      <c r="AN1114">
        <v>2432.0329999999999</v>
      </c>
      <c r="AO1114">
        <v>0</v>
      </c>
      <c r="AP1114">
        <v>69.272000000000006</v>
      </c>
      <c r="AQ1114">
        <v>20.502000000000002</v>
      </c>
      <c r="AR1114">
        <v>1902.32</v>
      </c>
      <c r="AS1114">
        <v>0</v>
      </c>
      <c r="AT1114">
        <v>502.21900000000005</v>
      </c>
      <c r="AU1114">
        <v>73.841999999999999</v>
      </c>
      <c r="AV1114">
        <v>0</v>
      </c>
      <c r="AW1114">
        <v>2581.1930000000002</v>
      </c>
      <c r="AX1114">
        <v>5.4950000000000001</v>
      </c>
      <c r="AY1114">
        <v>7814.9230000000007</v>
      </c>
      <c r="AZ1114">
        <v>0</v>
      </c>
      <c r="BA1114">
        <v>34228516</v>
      </c>
      <c r="BB1114">
        <v>1584895347</v>
      </c>
      <c r="BC1114">
        <v>0</v>
      </c>
      <c r="BD1114">
        <v>2935746</v>
      </c>
      <c r="BE1114">
        <v>2068140</v>
      </c>
      <c r="BF1114">
        <v>6497041</v>
      </c>
      <c r="BG1114">
        <v>2935746</v>
      </c>
      <c r="BH1114">
        <v>1493155</v>
      </c>
      <c r="BI1114">
        <v>-95949</v>
      </c>
      <c r="BJ1114">
        <v>-4082384</v>
      </c>
      <c r="BK1114">
        <v>0</v>
      </c>
      <c r="BL1114">
        <v>152727684977</v>
      </c>
      <c r="BM1114">
        <v>633771</v>
      </c>
      <c r="BN1114">
        <v>247239</v>
      </c>
      <c r="BO1114">
        <v>75489</v>
      </c>
      <c r="BP1114">
        <v>728988</v>
      </c>
      <c r="BQ1114">
        <v>49500</v>
      </c>
      <c r="BR1114">
        <v>0.86970000000000003</v>
      </c>
      <c r="BS1114">
        <v>0.86970000000000003</v>
      </c>
      <c r="BT1114">
        <v>0</v>
      </c>
      <c r="BU1114">
        <v>0</v>
      </c>
      <c r="BV1114">
        <v>6719</v>
      </c>
      <c r="BW1114">
        <v>6063</v>
      </c>
      <c r="BX1114">
        <v>6212</v>
      </c>
      <c r="BY1114">
        <v>9539</v>
      </c>
      <c r="BZ1114">
        <v>9375</v>
      </c>
      <c r="CA1114">
        <v>37908</v>
      </c>
      <c r="CB1114">
        <v>13</v>
      </c>
      <c r="CC1114">
        <v>8910.0619999999999</v>
      </c>
      <c r="CD1114">
        <v>2353.4700000000003</v>
      </c>
      <c r="CE1114">
        <v>6801</v>
      </c>
      <c r="CF1114">
        <v>17440.589</v>
      </c>
      <c r="CG1114">
        <v>452.32300000000004</v>
      </c>
      <c r="CH1114">
        <v>30.708000000000002</v>
      </c>
      <c r="CI1114">
        <v>426</v>
      </c>
      <c r="CJ1114">
        <v>1219</v>
      </c>
      <c r="CK1114">
        <v>38</v>
      </c>
      <c r="CL1114">
        <v>483.03100000000001</v>
      </c>
      <c r="CM1114">
        <v>9507.5709999999999</v>
      </c>
      <c r="CN1114">
        <v>0</v>
      </c>
      <c r="CO1114">
        <v>0</v>
      </c>
      <c r="CP1114">
        <v>693528</v>
      </c>
      <c r="CQ1114">
        <v>35460</v>
      </c>
      <c r="CR1114">
        <v>0</v>
      </c>
      <c r="CS1114">
        <v>311.15000000000003</v>
      </c>
      <c r="CT1114">
        <v>0</v>
      </c>
      <c r="CU1114">
        <v>219.52800000000002</v>
      </c>
      <c r="CV1114">
        <v>2495.16</v>
      </c>
      <c r="CW1114">
        <v>1291.9880000000001</v>
      </c>
      <c r="CX1114">
        <v>0</v>
      </c>
      <c r="CY1114" s="2043">
        <v>0</v>
      </c>
      <c r="CZ1114" s="2043">
        <v>0</v>
      </c>
      <c r="DA1114" s="2043">
        <v>0</v>
      </c>
      <c r="DB1114" s="2043">
        <v>0</v>
      </c>
      <c r="DC1114" s="2043">
        <v>7009862</v>
      </c>
      <c r="DI1114" t="s">
        <v>5279</v>
      </c>
      <c r="DJ1114" t="s">
        <v>5279</v>
      </c>
      <c r="DK1114" s="2042">
        <f t="shared" si="19"/>
        <v>0</v>
      </c>
    </row>
    <row r="1115" spans="1:115">
      <c r="A1115" t="s">
        <v>8103</v>
      </c>
      <c r="B1115" t="s">
        <v>11433</v>
      </c>
      <c r="C1115">
        <v>124.9</v>
      </c>
      <c r="D1115">
        <v>125.60000000000001</v>
      </c>
      <c r="E1115">
        <v>0</v>
      </c>
      <c r="F1115">
        <v>0</v>
      </c>
      <c r="G1115" s="2043">
        <v>0</v>
      </c>
      <c r="H1115">
        <v>0</v>
      </c>
      <c r="I1115" s="2043">
        <v>0</v>
      </c>
      <c r="J1115">
        <v>0</v>
      </c>
      <c r="K1115">
        <v>0</v>
      </c>
      <c r="L1115">
        <v>0</v>
      </c>
      <c r="M1115">
        <v>0</v>
      </c>
      <c r="N1115">
        <v>0</v>
      </c>
      <c r="O1115">
        <v>0</v>
      </c>
      <c r="P1115">
        <v>0</v>
      </c>
      <c r="Q1115">
        <v>0</v>
      </c>
      <c r="R1115" s="2043">
        <v>0</v>
      </c>
      <c r="S1115">
        <v>0</v>
      </c>
      <c r="T1115">
        <v>0</v>
      </c>
      <c r="U1115">
        <v>0</v>
      </c>
      <c r="V1115">
        <v>0</v>
      </c>
      <c r="W1115">
        <v>0</v>
      </c>
      <c r="X1115">
        <v>0</v>
      </c>
      <c r="Y1115">
        <v>1368646</v>
      </c>
      <c r="Z1115">
        <v>0</v>
      </c>
      <c r="AA1115">
        <v>0</v>
      </c>
      <c r="AB1115">
        <v>125.60000000000001</v>
      </c>
      <c r="AC1115" s="2043">
        <v>0</v>
      </c>
      <c r="AD1115">
        <v>0</v>
      </c>
      <c r="AE1115" s="2043">
        <v>0</v>
      </c>
      <c r="AF1115">
        <v>0</v>
      </c>
      <c r="AG1115">
        <v>0</v>
      </c>
      <c r="AH1115">
        <v>0</v>
      </c>
      <c r="AI1115">
        <v>0</v>
      </c>
      <c r="AJ1115">
        <v>0</v>
      </c>
      <c r="AK1115">
        <v>0</v>
      </c>
      <c r="AL1115">
        <v>0</v>
      </c>
      <c r="AM1115">
        <v>0</v>
      </c>
      <c r="AN1115">
        <v>0</v>
      </c>
      <c r="AO1115">
        <v>0</v>
      </c>
      <c r="AP1115">
        <v>0</v>
      </c>
      <c r="AQ1115">
        <v>0</v>
      </c>
      <c r="AR1115">
        <v>0</v>
      </c>
      <c r="AS1115">
        <v>0</v>
      </c>
      <c r="AT1115">
        <v>0</v>
      </c>
      <c r="AU1115">
        <v>0</v>
      </c>
      <c r="AV1115">
        <v>0</v>
      </c>
      <c r="AW1115">
        <v>0</v>
      </c>
      <c r="AX1115">
        <v>0</v>
      </c>
      <c r="AY1115">
        <v>0</v>
      </c>
      <c r="AZ1115">
        <v>0</v>
      </c>
      <c r="BA1115">
        <v>1368646</v>
      </c>
      <c r="BB1115">
        <v>0</v>
      </c>
      <c r="BC1115">
        <v>0</v>
      </c>
      <c r="BD1115">
        <v>0</v>
      </c>
      <c r="BE1115">
        <v>0</v>
      </c>
      <c r="BF1115">
        <v>0</v>
      </c>
      <c r="BG1115">
        <v>0</v>
      </c>
      <c r="BH1115">
        <v>0</v>
      </c>
      <c r="BI1115">
        <v>1026510</v>
      </c>
      <c r="BJ1115">
        <v>0</v>
      </c>
      <c r="BK1115">
        <v>0</v>
      </c>
      <c r="BL1115">
        <v>0</v>
      </c>
      <c r="BM1115">
        <v>0</v>
      </c>
      <c r="BN1115">
        <v>0</v>
      </c>
      <c r="BO1115">
        <v>0</v>
      </c>
      <c r="BP1115">
        <v>0</v>
      </c>
      <c r="BQ1115">
        <v>0</v>
      </c>
      <c r="BR1115">
        <v>0</v>
      </c>
      <c r="BS1115">
        <v>0</v>
      </c>
      <c r="BT1115">
        <v>0</v>
      </c>
      <c r="BU1115">
        <v>0</v>
      </c>
      <c r="BV1115">
        <v>0</v>
      </c>
      <c r="BW1115">
        <v>0</v>
      </c>
      <c r="BX1115">
        <v>0</v>
      </c>
      <c r="BY1115">
        <v>0</v>
      </c>
      <c r="BZ1115">
        <v>0</v>
      </c>
      <c r="CA1115">
        <v>0</v>
      </c>
      <c r="CB1115">
        <v>0</v>
      </c>
      <c r="CC1115">
        <v>0</v>
      </c>
      <c r="CD1115">
        <v>0</v>
      </c>
      <c r="CE1115">
        <v>0</v>
      </c>
      <c r="CF1115">
        <v>0</v>
      </c>
      <c r="CG1115">
        <v>0</v>
      </c>
      <c r="CH1115">
        <v>0</v>
      </c>
      <c r="CI1115">
        <v>0</v>
      </c>
      <c r="CJ1115">
        <v>0</v>
      </c>
      <c r="CK1115">
        <v>0</v>
      </c>
      <c r="CL1115">
        <v>0</v>
      </c>
      <c r="CM1115">
        <v>0</v>
      </c>
      <c r="CN1115">
        <v>0</v>
      </c>
      <c r="CO1115">
        <v>0</v>
      </c>
      <c r="CP1115">
        <v>0</v>
      </c>
      <c r="CQ1115">
        <v>0</v>
      </c>
      <c r="CR1115">
        <v>0</v>
      </c>
      <c r="CS1115">
        <v>0</v>
      </c>
      <c r="CT1115">
        <v>0</v>
      </c>
      <c r="CU1115">
        <v>0</v>
      </c>
      <c r="CV1115">
        <v>0</v>
      </c>
      <c r="CW1115">
        <v>0</v>
      </c>
      <c r="CX1115">
        <v>0</v>
      </c>
      <c r="CY1115" s="2043">
        <v>0</v>
      </c>
      <c r="CZ1115" s="2043">
        <v>0</v>
      </c>
      <c r="DA1115" s="2043">
        <v>0</v>
      </c>
      <c r="DB1115" s="2043">
        <v>0</v>
      </c>
      <c r="DC1115" s="2043">
        <v>1187612</v>
      </c>
      <c r="DI1115" t="s">
        <v>3225</v>
      </c>
      <c r="DJ1115" t="s">
        <v>8103</v>
      </c>
      <c r="DK1115" s="2042">
        <f t="shared" si="19"/>
        <v>-1</v>
      </c>
    </row>
    <row r="1116" spans="1:115">
      <c r="A1116" t="s">
        <v>3225</v>
      </c>
      <c r="B1116" t="s">
        <v>196</v>
      </c>
      <c r="C1116">
        <v>23378.657999999999</v>
      </c>
      <c r="D1116">
        <v>25399.343000000001</v>
      </c>
      <c r="E1116">
        <v>3713.0190000000002</v>
      </c>
      <c r="F1116">
        <v>0</v>
      </c>
      <c r="G1116" s="2043">
        <v>19332067668</v>
      </c>
      <c r="H1116">
        <v>0</v>
      </c>
      <c r="I1116" s="2043">
        <v>67636048</v>
      </c>
      <c r="J1116">
        <v>1168.933</v>
      </c>
      <c r="K1116">
        <v>3196</v>
      </c>
      <c r="L1116">
        <v>0</v>
      </c>
      <c r="M1116">
        <v>5151250</v>
      </c>
      <c r="N1116">
        <v>0</v>
      </c>
      <c r="O1116">
        <v>5151250</v>
      </c>
      <c r="P1116">
        <v>0</v>
      </c>
      <c r="Q1116">
        <v>0</v>
      </c>
      <c r="R1116" s="2043">
        <v>166964485</v>
      </c>
      <c r="S1116">
        <v>11541324</v>
      </c>
      <c r="T1116">
        <v>0</v>
      </c>
      <c r="U1116">
        <v>0.06</v>
      </c>
      <c r="V1116">
        <v>1219.0730000000001</v>
      </c>
      <c r="W1116">
        <v>0</v>
      </c>
      <c r="X1116">
        <v>0</v>
      </c>
      <c r="Y1116">
        <v>-145118</v>
      </c>
      <c r="Z1116">
        <v>0</v>
      </c>
      <c r="AA1116">
        <v>0.61499999999999999</v>
      </c>
      <c r="AB1116">
        <v>23747.649000000001</v>
      </c>
      <c r="AC1116" s="2043">
        <v>15040293450</v>
      </c>
      <c r="AD1116">
        <v>88536710</v>
      </c>
      <c r="AE1116" s="2043">
        <v>178505809</v>
      </c>
      <c r="AF1116">
        <v>0.92800000000000005</v>
      </c>
      <c r="AG1116">
        <v>0</v>
      </c>
      <c r="AH1116">
        <v>0</v>
      </c>
      <c r="AI1116">
        <v>0</v>
      </c>
      <c r="AJ1116">
        <v>2763.038</v>
      </c>
      <c r="AK1116">
        <v>77169</v>
      </c>
      <c r="AL1116">
        <v>3.8620000000000001</v>
      </c>
      <c r="AM1116">
        <v>0</v>
      </c>
      <c r="AN1116">
        <v>837.29500000000007</v>
      </c>
      <c r="AO1116">
        <v>1</v>
      </c>
      <c r="AP1116">
        <v>4.0000000000000001E-3</v>
      </c>
      <c r="AQ1116">
        <v>6.4550000000000001</v>
      </c>
      <c r="AR1116">
        <v>507.67500000000001</v>
      </c>
      <c r="AS1116">
        <v>0</v>
      </c>
      <c r="AT1116">
        <v>165.566</v>
      </c>
      <c r="AU1116">
        <v>57.673999999999999</v>
      </c>
      <c r="AV1116">
        <v>0</v>
      </c>
      <c r="AW1116">
        <v>780.173</v>
      </c>
      <c r="AX1116">
        <v>38.937000000000005</v>
      </c>
      <c r="AY1116">
        <v>2416.9690000000001</v>
      </c>
      <c r="AZ1116">
        <v>0</v>
      </c>
      <c r="BA1116">
        <v>35172202</v>
      </c>
      <c r="BB1116">
        <v>267042519</v>
      </c>
      <c r="BC1116">
        <v>0</v>
      </c>
      <c r="BD1116">
        <v>937351</v>
      </c>
      <c r="BE1116">
        <v>568330</v>
      </c>
      <c r="BF1116">
        <v>1521266</v>
      </c>
      <c r="BG1116">
        <v>937351</v>
      </c>
      <c r="BH1116">
        <v>15585</v>
      </c>
      <c r="BI1116">
        <v>-11300</v>
      </c>
      <c r="BJ1116">
        <v>-133818</v>
      </c>
      <c r="BK1116">
        <v>0</v>
      </c>
      <c r="BL1116">
        <v>19332067668</v>
      </c>
      <c r="BM1116">
        <v>0</v>
      </c>
      <c r="BN1116">
        <v>91296</v>
      </c>
      <c r="BO1116">
        <v>16478</v>
      </c>
      <c r="BP1116">
        <v>27626</v>
      </c>
      <c r="BQ1116">
        <v>0</v>
      </c>
      <c r="BR1116">
        <v>0.86799999999999999</v>
      </c>
      <c r="BS1116">
        <v>0.86799999999999999</v>
      </c>
      <c r="BT1116">
        <v>0</v>
      </c>
      <c r="BU1116">
        <v>0</v>
      </c>
      <c r="BV1116">
        <v>4329</v>
      </c>
      <c r="BW1116">
        <v>3356</v>
      </c>
      <c r="BX1116">
        <v>3454</v>
      </c>
      <c r="BY1116">
        <v>107</v>
      </c>
      <c r="BZ1116">
        <v>365</v>
      </c>
      <c r="CA1116">
        <v>11611</v>
      </c>
      <c r="CB1116">
        <v>0</v>
      </c>
      <c r="CC1116">
        <v>1928.8420000000001</v>
      </c>
      <c r="CD1116">
        <v>140.559</v>
      </c>
      <c r="CE1116">
        <v>1325</v>
      </c>
      <c r="CF1116">
        <v>5126.47</v>
      </c>
      <c r="CG1116">
        <v>0</v>
      </c>
      <c r="CH1116">
        <v>7.0529999999999999</v>
      </c>
      <c r="CI1116">
        <v>137</v>
      </c>
      <c r="CJ1116">
        <v>223</v>
      </c>
      <c r="CK1116">
        <v>2</v>
      </c>
      <c r="CL1116">
        <v>7.0529999999999999</v>
      </c>
      <c r="CM1116">
        <v>3713.0190000000002</v>
      </c>
      <c r="CN1116">
        <v>0</v>
      </c>
      <c r="CO1116">
        <v>0</v>
      </c>
      <c r="CP1116">
        <v>27626</v>
      </c>
      <c r="CQ1116">
        <v>0</v>
      </c>
      <c r="CR1116">
        <v>0</v>
      </c>
      <c r="CS1116">
        <v>44.743000000000002</v>
      </c>
      <c r="CT1116">
        <v>0</v>
      </c>
      <c r="CU1116">
        <v>57.254000000000005</v>
      </c>
      <c r="CV1116">
        <v>1044.48</v>
      </c>
      <c r="CW1116">
        <v>502.33200000000005</v>
      </c>
      <c r="CX1116">
        <v>0</v>
      </c>
      <c r="CY1116" s="2043">
        <v>0</v>
      </c>
      <c r="CZ1116" s="2043">
        <v>0</v>
      </c>
      <c r="DA1116" s="2043">
        <v>0</v>
      </c>
      <c r="DB1116" s="2043">
        <v>0</v>
      </c>
      <c r="DC1116" s="2043">
        <v>0</v>
      </c>
      <c r="DI1116" t="s">
        <v>8103</v>
      </c>
      <c r="DJ1116" t="s">
        <v>3225</v>
      </c>
      <c r="DK1116" s="2042">
        <f t="shared" si="19"/>
        <v>1</v>
      </c>
    </row>
    <row r="1117" spans="1:115">
      <c r="A1117" t="s">
        <v>8105</v>
      </c>
      <c r="B1117" t="s">
        <v>11434</v>
      </c>
      <c r="C1117">
        <v>485.13900000000001</v>
      </c>
      <c r="D1117">
        <v>496.69</v>
      </c>
      <c r="E1117">
        <v>0</v>
      </c>
      <c r="F1117">
        <v>0</v>
      </c>
      <c r="G1117" s="2043">
        <v>0</v>
      </c>
      <c r="H1117">
        <v>0</v>
      </c>
      <c r="I1117" s="2043">
        <v>0</v>
      </c>
      <c r="J1117">
        <v>10</v>
      </c>
      <c r="K1117">
        <v>0</v>
      </c>
      <c r="L1117">
        <v>0</v>
      </c>
      <c r="M1117">
        <v>0</v>
      </c>
      <c r="N1117">
        <v>0</v>
      </c>
      <c r="O1117">
        <v>0</v>
      </c>
      <c r="P1117">
        <v>0</v>
      </c>
      <c r="Q1117">
        <v>0</v>
      </c>
      <c r="R1117" s="2043">
        <v>0</v>
      </c>
      <c r="S1117">
        <v>0</v>
      </c>
      <c r="T1117">
        <v>0</v>
      </c>
      <c r="U1117">
        <v>0</v>
      </c>
      <c r="V1117">
        <v>0</v>
      </c>
      <c r="W1117">
        <v>0</v>
      </c>
      <c r="X1117">
        <v>0</v>
      </c>
      <c r="Y1117">
        <v>9136076</v>
      </c>
      <c r="Z1117">
        <v>0</v>
      </c>
      <c r="AA1117">
        <v>0</v>
      </c>
      <c r="AB1117">
        <v>496.69</v>
      </c>
      <c r="AC1117" s="2043">
        <v>0</v>
      </c>
      <c r="AD1117">
        <v>0</v>
      </c>
      <c r="AE1117" s="2043">
        <v>0</v>
      </c>
      <c r="AF1117">
        <v>0</v>
      </c>
      <c r="AG1117">
        <v>0</v>
      </c>
      <c r="AH1117">
        <v>0</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9451210</v>
      </c>
      <c r="BB1117">
        <v>0</v>
      </c>
      <c r="BC1117">
        <v>0</v>
      </c>
      <c r="BD1117">
        <v>0</v>
      </c>
      <c r="BE1117">
        <v>315134</v>
      </c>
      <c r="BF1117">
        <v>315134</v>
      </c>
      <c r="BG1117">
        <v>0</v>
      </c>
      <c r="BH1117">
        <v>0</v>
      </c>
      <c r="BI1117">
        <v>0</v>
      </c>
      <c r="BJ1117">
        <v>6852228</v>
      </c>
      <c r="BK1117">
        <v>0</v>
      </c>
      <c r="BL1117">
        <v>0</v>
      </c>
      <c r="BM1117">
        <v>0</v>
      </c>
      <c r="BN1117">
        <v>0</v>
      </c>
      <c r="BO1117">
        <v>0</v>
      </c>
      <c r="BP1117">
        <v>0</v>
      </c>
      <c r="BQ1117">
        <v>0</v>
      </c>
      <c r="BR1117">
        <v>0</v>
      </c>
      <c r="BS1117">
        <v>0</v>
      </c>
      <c r="BT1117">
        <v>0</v>
      </c>
      <c r="BU1117">
        <v>0</v>
      </c>
      <c r="BV1117">
        <v>0</v>
      </c>
      <c r="BW1117">
        <v>0</v>
      </c>
      <c r="BX1117">
        <v>0</v>
      </c>
      <c r="BY1117">
        <v>0</v>
      </c>
      <c r="BZ1117">
        <v>0</v>
      </c>
      <c r="CA1117">
        <v>0</v>
      </c>
      <c r="CB1117">
        <v>0</v>
      </c>
      <c r="CC1117">
        <v>0</v>
      </c>
      <c r="CD1117">
        <v>0</v>
      </c>
      <c r="CE1117">
        <v>0</v>
      </c>
      <c r="CF1117">
        <v>0</v>
      </c>
      <c r="CG1117">
        <v>0</v>
      </c>
      <c r="CH1117">
        <v>0</v>
      </c>
      <c r="CI1117">
        <v>0</v>
      </c>
      <c r="CJ1117">
        <v>0</v>
      </c>
      <c r="CK1117">
        <v>0</v>
      </c>
      <c r="CL1117">
        <v>0</v>
      </c>
      <c r="CM1117">
        <v>0</v>
      </c>
      <c r="CN1117">
        <v>0</v>
      </c>
      <c r="CO1117">
        <v>0</v>
      </c>
      <c r="CP1117">
        <v>0</v>
      </c>
      <c r="CQ1117">
        <v>0</v>
      </c>
      <c r="CR1117">
        <v>0</v>
      </c>
      <c r="CS1117">
        <v>0</v>
      </c>
      <c r="CT1117">
        <v>0</v>
      </c>
      <c r="CU1117">
        <v>0</v>
      </c>
      <c r="CV1117">
        <v>0</v>
      </c>
      <c r="CW1117">
        <v>0</v>
      </c>
      <c r="CX1117">
        <v>0</v>
      </c>
      <c r="CY1117" s="2043">
        <v>0</v>
      </c>
      <c r="CZ1117" s="2043">
        <v>0</v>
      </c>
      <c r="DA1117" s="2043">
        <v>0</v>
      </c>
      <c r="DB1117" s="2043">
        <v>0</v>
      </c>
      <c r="DC1117" s="2043">
        <v>0</v>
      </c>
      <c r="DI1117" t="s">
        <v>8105</v>
      </c>
      <c r="DJ1117" t="s">
        <v>8105</v>
      </c>
      <c r="DK1117" s="2042">
        <f t="shared" si="19"/>
        <v>0</v>
      </c>
    </row>
    <row r="1118" spans="1:115">
      <c r="A1118" t="s">
        <v>5280</v>
      </c>
      <c r="B1118" t="s">
        <v>250</v>
      </c>
      <c r="C1118">
        <v>8344.5390000000007</v>
      </c>
      <c r="D1118">
        <v>8933.634</v>
      </c>
      <c r="E1118">
        <v>3023.703</v>
      </c>
      <c r="F1118">
        <v>1431491</v>
      </c>
      <c r="G1118" s="2043">
        <v>6959902014</v>
      </c>
      <c r="H1118">
        <v>0</v>
      </c>
      <c r="I1118" s="2043">
        <v>29531470</v>
      </c>
      <c r="J1118">
        <v>417.22700000000003</v>
      </c>
      <c r="K1118">
        <v>1141</v>
      </c>
      <c r="L1118">
        <v>0</v>
      </c>
      <c r="M1118">
        <v>0</v>
      </c>
      <c r="N1118">
        <v>0</v>
      </c>
      <c r="O1118">
        <v>0</v>
      </c>
      <c r="P1118">
        <v>0</v>
      </c>
      <c r="Q1118">
        <v>0</v>
      </c>
      <c r="R1118" s="2043">
        <v>57612146</v>
      </c>
      <c r="S1118">
        <v>3504388</v>
      </c>
      <c r="T1118">
        <v>0</v>
      </c>
      <c r="U1118">
        <v>0.05</v>
      </c>
      <c r="V1118">
        <v>0</v>
      </c>
      <c r="W1118">
        <v>0</v>
      </c>
      <c r="X1118">
        <v>0</v>
      </c>
      <c r="Y1118">
        <v>1310263</v>
      </c>
      <c r="Z1118">
        <v>11.473000000000001</v>
      </c>
      <c r="AA1118">
        <v>0.751</v>
      </c>
      <c r="AB1118">
        <v>8505.9080000000013</v>
      </c>
      <c r="AC1118" s="2043">
        <v>5272197786</v>
      </c>
      <c r="AD1118">
        <v>33884321</v>
      </c>
      <c r="AE1118" s="2043">
        <v>61116534</v>
      </c>
      <c r="AF1118">
        <v>0.872</v>
      </c>
      <c r="AG1118">
        <v>0</v>
      </c>
      <c r="AH1118">
        <v>0</v>
      </c>
      <c r="AI1118">
        <v>0</v>
      </c>
      <c r="AJ1118">
        <v>1754.05</v>
      </c>
      <c r="AK1118">
        <v>24063</v>
      </c>
      <c r="AL1118">
        <v>3.7000000000000005E-2</v>
      </c>
      <c r="AM1118">
        <v>0</v>
      </c>
      <c r="AN1118">
        <v>231.88400000000001</v>
      </c>
      <c r="AO1118">
        <v>0</v>
      </c>
      <c r="AP1118">
        <v>0</v>
      </c>
      <c r="AQ1118">
        <v>0</v>
      </c>
      <c r="AR1118">
        <v>146.88</v>
      </c>
      <c r="AS1118">
        <v>0</v>
      </c>
      <c r="AT1118">
        <v>91.503</v>
      </c>
      <c r="AU1118">
        <v>15.271000000000001</v>
      </c>
      <c r="AV1118">
        <v>0</v>
      </c>
      <c r="AW1118">
        <v>255.48600000000002</v>
      </c>
      <c r="AX1118">
        <v>1.7950000000000002</v>
      </c>
      <c r="AY1118">
        <v>795.81799999999998</v>
      </c>
      <c r="AZ1118">
        <v>0</v>
      </c>
      <c r="BA1118">
        <v>21160163</v>
      </c>
      <c r="BB1118">
        <v>95000855</v>
      </c>
      <c r="BC1118">
        <v>0</v>
      </c>
      <c r="BD1118">
        <v>500456</v>
      </c>
      <c r="BE1118">
        <v>260102</v>
      </c>
      <c r="BF1118">
        <v>855210</v>
      </c>
      <c r="BG1118">
        <v>500456</v>
      </c>
      <c r="BH1118">
        <v>94652</v>
      </c>
      <c r="BI1118">
        <v>0</v>
      </c>
      <c r="BJ1118">
        <v>-121228</v>
      </c>
      <c r="BK1118">
        <v>0</v>
      </c>
      <c r="BL1118">
        <v>6959902014</v>
      </c>
      <c r="BM1118">
        <v>0</v>
      </c>
      <c r="BN1118">
        <v>32184</v>
      </c>
      <c r="BO1118">
        <v>26996</v>
      </c>
      <c r="BP1118">
        <v>0</v>
      </c>
      <c r="BQ1118">
        <v>0</v>
      </c>
      <c r="BR1118">
        <v>0.82200000000000006</v>
      </c>
      <c r="BS1118">
        <v>0.82200000000000006</v>
      </c>
      <c r="BT1118">
        <v>0</v>
      </c>
      <c r="BU1118">
        <v>0</v>
      </c>
      <c r="BV1118">
        <v>1767</v>
      </c>
      <c r="BW1118">
        <v>3223</v>
      </c>
      <c r="BX1118">
        <v>1501</v>
      </c>
      <c r="BY1118">
        <v>119</v>
      </c>
      <c r="BZ1118">
        <v>671</v>
      </c>
      <c r="CA1118">
        <v>7281</v>
      </c>
      <c r="CB1118">
        <v>0</v>
      </c>
      <c r="CC1118">
        <v>666.596</v>
      </c>
      <c r="CD1118">
        <v>26.853000000000002</v>
      </c>
      <c r="CE1118">
        <v>336</v>
      </c>
      <c r="CF1118">
        <v>3048.5340000000001</v>
      </c>
      <c r="CG1118">
        <v>48.594000000000001</v>
      </c>
      <c r="CH1118">
        <v>9.2999999999999999E-2</v>
      </c>
      <c r="CI1118">
        <v>15</v>
      </c>
      <c r="CJ1118">
        <v>0</v>
      </c>
      <c r="CK1118">
        <v>0</v>
      </c>
      <c r="CL1118">
        <v>48.687000000000005</v>
      </c>
      <c r="CM1118">
        <v>3023.703</v>
      </c>
      <c r="CN1118">
        <v>0</v>
      </c>
      <c r="CO1118">
        <v>0</v>
      </c>
      <c r="CP1118">
        <v>0</v>
      </c>
      <c r="CQ1118">
        <v>0</v>
      </c>
      <c r="CR1118">
        <v>0</v>
      </c>
      <c r="CS1118">
        <v>0</v>
      </c>
      <c r="CT1118">
        <v>1002.614</v>
      </c>
      <c r="CU1118">
        <v>68.128</v>
      </c>
      <c r="CV1118">
        <v>167.46600000000001</v>
      </c>
      <c r="CW1118">
        <v>118.06700000000001</v>
      </c>
      <c r="CX1118">
        <v>0</v>
      </c>
      <c r="CY1118" s="2043">
        <v>0</v>
      </c>
      <c r="CZ1118" s="2043">
        <v>0</v>
      </c>
      <c r="DA1118" s="2043">
        <v>0</v>
      </c>
      <c r="DB1118" s="2043">
        <v>1431491</v>
      </c>
      <c r="DC1118" s="2043">
        <v>48416</v>
      </c>
      <c r="DI1118" t="s">
        <v>5280</v>
      </c>
      <c r="DJ1118" t="s">
        <v>5280</v>
      </c>
      <c r="DK1118" s="2042">
        <f t="shared" si="19"/>
        <v>0</v>
      </c>
    </row>
    <row r="1119" spans="1:115">
      <c r="A1119" t="s">
        <v>5281</v>
      </c>
      <c r="B1119" t="s">
        <v>251</v>
      </c>
      <c r="C1119">
        <v>7498.2790000000005</v>
      </c>
      <c r="D1119">
        <v>7873.3460000000005</v>
      </c>
      <c r="E1119">
        <v>170.75800000000001</v>
      </c>
      <c r="F1119">
        <v>0</v>
      </c>
      <c r="G1119" s="2043">
        <v>18165191287</v>
      </c>
      <c r="H1119">
        <v>0</v>
      </c>
      <c r="I1119" s="2043">
        <v>21295667</v>
      </c>
      <c r="J1119">
        <v>374.91400000000004</v>
      </c>
      <c r="K1119">
        <v>1025</v>
      </c>
      <c r="L1119">
        <v>0</v>
      </c>
      <c r="M1119">
        <v>0</v>
      </c>
      <c r="N1119">
        <v>0</v>
      </c>
      <c r="O1119">
        <v>0</v>
      </c>
      <c r="P1119">
        <v>0</v>
      </c>
      <c r="Q1119">
        <v>0</v>
      </c>
      <c r="R1119" s="2043">
        <v>155839818</v>
      </c>
      <c r="S1119">
        <v>14483255</v>
      </c>
      <c r="T1119">
        <v>0</v>
      </c>
      <c r="U1119">
        <v>0.08</v>
      </c>
      <c r="V1119">
        <v>0</v>
      </c>
      <c r="W1119">
        <v>105390680</v>
      </c>
      <c r="X1119">
        <v>0</v>
      </c>
      <c r="Y1119">
        <v>-108764</v>
      </c>
      <c r="Z1119">
        <v>0</v>
      </c>
      <c r="AA1119">
        <v>0</v>
      </c>
      <c r="AB1119">
        <v>7820.1630000000005</v>
      </c>
      <c r="AC1119" s="2043">
        <v>16266051226</v>
      </c>
      <c r="AD1119">
        <v>21717520</v>
      </c>
      <c r="AE1119" s="2043">
        <v>170323073</v>
      </c>
      <c r="AF1119">
        <v>0.94080000000000008</v>
      </c>
      <c r="AG1119">
        <v>0</v>
      </c>
      <c r="AH1119">
        <v>105390680</v>
      </c>
      <c r="AI1119">
        <v>0</v>
      </c>
      <c r="AJ1119">
        <v>65.213000000000008</v>
      </c>
      <c r="AK1119">
        <v>21999</v>
      </c>
      <c r="AL1119">
        <v>0.94800000000000006</v>
      </c>
      <c r="AM1119">
        <v>0</v>
      </c>
      <c r="AN1119">
        <v>179.89600000000002</v>
      </c>
      <c r="AO1119">
        <v>3</v>
      </c>
      <c r="AP1119">
        <v>0</v>
      </c>
      <c r="AQ1119">
        <v>0</v>
      </c>
      <c r="AR1119">
        <v>193.005</v>
      </c>
      <c r="AS1119">
        <v>0</v>
      </c>
      <c r="AT1119">
        <v>43.187000000000005</v>
      </c>
      <c r="AU1119">
        <v>9.218</v>
      </c>
      <c r="AV1119">
        <v>0</v>
      </c>
      <c r="AW1119">
        <v>246.358</v>
      </c>
      <c r="AX1119">
        <v>0</v>
      </c>
      <c r="AY1119">
        <v>759.40600000000006</v>
      </c>
      <c r="AZ1119">
        <v>0</v>
      </c>
      <c r="BA1119">
        <v>3987214</v>
      </c>
      <c r="BB1119">
        <v>192040593</v>
      </c>
      <c r="BC1119">
        <v>0</v>
      </c>
      <c r="BD1119">
        <v>246447</v>
      </c>
      <c r="BE1119">
        <v>96063</v>
      </c>
      <c r="BF1119">
        <v>342510</v>
      </c>
      <c r="BG1119">
        <v>246447</v>
      </c>
      <c r="BH1119">
        <v>0</v>
      </c>
      <c r="BI1119">
        <v>-59326</v>
      </c>
      <c r="BJ1119">
        <v>-49438</v>
      </c>
      <c r="BK1119">
        <v>0</v>
      </c>
      <c r="BL1119">
        <v>18165191287</v>
      </c>
      <c r="BM1119">
        <v>0</v>
      </c>
      <c r="BN1119">
        <v>31968</v>
      </c>
      <c r="BO1119">
        <v>8945</v>
      </c>
      <c r="BP1119">
        <v>3038</v>
      </c>
      <c r="BQ1119">
        <v>0</v>
      </c>
      <c r="BR1119">
        <v>0.86080000000000001</v>
      </c>
      <c r="BS1119">
        <v>0.86080000000000001</v>
      </c>
      <c r="BT1119">
        <v>0</v>
      </c>
      <c r="BU1119">
        <v>0</v>
      </c>
      <c r="BV1119">
        <v>213</v>
      </c>
      <c r="BW1119">
        <v>20</v>
      </c>
      <c r="BX1119">
        <v>36</v>
      </c>
      <c r="BY1119">
        <v>3</v>
      </c>
      <c r="BZ1119">
        <v>10</v>
      </c>
      <c r="CA1119">
        <v>282</v>
      </c>
      <c r="CB1119">
        <v>0</v>
      </c>
      <c r="CC1119">
        <v>0</v>
      </c>
      <c r="CD1119">
        <v>0</v>
      </c>
      <c r="CE1119">
        <v>659</v>
      </c>
      <c r="CF1119">
        <v>137.333</v>
      </c>
      <c r="CG1119">
        <v>0</v>
      </c>
      <c r="CH1119">
        <v>0</v>
      </c>
      <c r="CI1119">
        <v>10</v>
      </c>
      <c r="CJ1119">
        <v>317</v>
      </c>
      <c r="CK1119">
        <v>11</v>
      </c>
      <c r="CL1119">
        <v>0</v>
      </c>
      <c r="CM1119">
        <v>170.75800000000001</v>
      </c>
      <c r="CN1119">
        <v>0</v>
      </c>
      <c r="CO1119">
        <v>0</v>
      </c>
      <c r="CP1119">
        <v>3038</v>
      </c>
      <c r="CQ1119">
        <v>0</v>
      </c>
      <c r="CR1119">
        <v>0</v>
      </c>
      <c r="CS1119">
        <v>0</v>
      </c>
      <c r="CT1119">
        <v>0</v>
      </c>
      <c r="CU1119">
        <v>0.61699999999999999</v>
      </c>
      <c r="CV1119">
        <v>196.3</v>
      </c>
      <c r="CW1119">
        <v>131.554</v>
      </c>
      <c r="CX1119">
        <v>0</v>
      </c>
      <c r="CY1119" s="2043">
        <v>0</v>
      </c>
      <c r="CZ1119" s="2043">
        <v>0</v>
      </c>
      <c r="DA1119" s="2043">
        <v>0</v>
      </c>
      <c r="DB1119" s="2043">
        <v>0</v>
      </c>
      <c r="DC1119" s="2043">
        <v>770000</v>
      </c>
      <c r="DI1119" t="s">
        <v>5281</v>
      </c>
      <c r="DJ1119" t="s">
        <v>5281</v>
      </c>
      <c r="DK1119" s="2042">
        <f t="shared" si="19"/>
        <v>0</v>
      </c>
    </row>
    <row r="1120" spans="1:115">
      <c r="A1120" t="s">
        <v>5282</v>
      </c>
      <c r="B1120" t="s">
        <v>2307</v>
      </c>
      <c r="C1120">
        <v>1695.6190000000001</v>
      </c>
      <c r="D1120">
        <v>1550.585</v>
      </c>
      <c r="E1120">
        <v>112.52</v>
      </c>
      <c r="F1120">
        <v>0</v>
      </c>
      <c r="G1120" s="2043">
        <v>2401228584</v>
      </c>
      <c r="H1120">
        <v>0</v>
      </c>
      <c r="I1120" s="2043">
        <v>4797300</v>
      </c>
      <c r="J1120">
        <v>84.781000000000006</v>
      </c>
      <c r="K1120">
        <v>232</v>
      </c>
      <c r="L1120">
        <v>0</v>
      </c>
      <c r="M1120">
        <v>0</v>
      </c>
      <c r="N1120">
        <v>0</v>
      </c>
      <c r="O1120">
        <v>0</v>
      </c>
      <c r="P1120">
        <v>0</v>
      </c>
      <c r="Q1120">
        <v>0</v>
      </c>
      <c r="R1120" s="2043">
        <v>17971343</v>
      </c>
      <c r="S1120">
        <v>1311777</v>
      </c>
      <c r="T1120">
        <v>0</v>
      </c>
      <c r="U1120">
        <v>0.06</v>
      </c>
      <c r="V1120">
        <v>0</v>
      </c>
      <c r="W1120">
        <v>4714783</v>
      </c>
      <c r="X1120">
        <v>0</v>
      </c>
      <c r="Y1120">
        <v>121201</v>
      </c>
      <c r="Z1120">
        <v>0</v>
      </c>
      <c r="AA1120">
        <v>1.4E-2</v>
      </c>
      <c r="AB1120">
        <v>1550.585</v>
      </c>
      <c r="AC1120" s="2043">
        <v>1854525345</v>
      </c>
      <c r="AD1120">
        <v>6987510</v>
      </c>
      <c r="AE1120" s="2043">
        <v>19283120</v>
      </c>
      <c r="AF1120">
        <v>0.88200000000000001</v>
      </c>
      <c r="AG1120">
        <v>0</v>
      </c>
      <c r="AH1120">
        <v>4714783</v>
      </c>
      <c r="AI1120">
        <v>0</v>
      </c>
      <c r="AJ1120">
        <v>89.113</v>
      </c>
      <c r="AK1120">
        <v>5677</v>
      </c>
      <c r="AL1120">
        <v>0</v>
      </c>
      <c r="AM1120">
        <v>0</v>
      </c>
      <c r="AN1120">
        <v>49.211000000000006</v>
      </c>
      <c r="AO1120">
        <v>0</v>
      </c>
      <c r="AP1120">
        <v>0</v>
      </c>
      <c r="AQ1120">
        <v>0</v>
      </c>
      <c r="AR1120">
        <v>41.585999999999999</v>
      </c>
      <c r="AS1120">
        <v>0</v>
      </c>
      <c r="AT1120">
        <v>10.774000000000001</v>
      </c>
      <c r="AU1120">
        <v>2.6030000000000002</v>
      </c>
      <c r="AV1120">
        <v>0</v>
      </c>
      <c r="AW1120">
        <v>56.53</v>
      </c>
      <c r="AX1120">
        <v>1.5670000000000002</v>
      </c>
      <c r="AY1120">
        <v>173.69900000000001</v>
      </c>
      <c r="AZ1120">
        <v>0</v>
      </c>
      <c r="BA1120">
        <v>968915</v>
      </c>
      <c r="BB1120">
        <v>26270630</v>
      </c>
      <c r="BC1120">
        <v>0</v>
      </c>
      <c r="BD1120">
        <v>98879</v>
      </c>
      <c r="BE1120">
        <v>24607</v>
      </c>
      <c r="BF1120">
        <v>123486</v>
      </c>
      <c r="BG1120">
        <v>98879</v>
      </c>
      <c r="BH1120">
        <v>0</v>
      </c>
      <c r="BI1120">
        <v>0</v>
      </c>
      <c r="BJ1120">
        <v>0</v>
      </c>
      <c r="BK1120">
        <v>0</v>
      </c>
      <c r="BL1120">
        <v>2401228584</v>
      </c>
      <c r="BM1120">
        <v>0</v>
      </c>
      <c r="BN1120">
        <v>6057</v>
      </c>
      <c r="BO1120">
        <v>4494</v>
      </c>
      <c r="BP1120">
        <v>0</v>
      </c>
      <c r="BQ1120">
        <v>0</v>
      </c>
      <c r="BR1120">
        <v>0.82200000000000006</v>
      </c>
      <c r="BS1120">
        <v>0.82200000000000006</v>
      </c>
      <c r="BT1120">
        <v>121201</v>
      </c>
      <c r="BU1120">
        <v>0</v>
      </c>
      <c r="BV1120">
        <v>389</v>
      </c>
      <c r="BW1120">
        <v>1</v>
      </c>
      <c r="BX1120">
        <v>1</v>
      </c>
      <c r="BY1120">
        <v>0</v>
      </c>
      <c r="BZ1120">
        <v>4</v>
      </c>
      <c r="CA1120">
        <v>395</v>
      </c>
      <c r="CB1120">
        <v>0</v>
      </c>
      <c r="CC1120">
        <v>0</v>
      </c>
      <c r="CD1120">
        <v>0</v>
      </c>
      <c r="CE1120">
        <v>52</v>
      </c>
      <c r="CF1120">
        <v>118.941</v>
      </c>
      <c r="CG1120">
        <v>0</v>
      </c>
      <c r="CH1120">
        <v>0</v>
      </c>
      <c r="CI1120">
        <v>2</v>
      </c>
      <c r="CJ1120">
        <v>19</v>
      </c>
      <c r="CK1120">
        <v>0</v>
      </c>
      <c r="CL1120">
        <v>0</v>
      </c>
      <c r="CM1120">
        <v>112.52</v>
      </c>
      <c r="CN1120">
        <v>0</v>
      </c>
      <c r="CO1120">
        <v>0</v>
      </c>
      <c r="CP1120">
        <v>0</v>
      </c>
      <c r="CQ1120">
        <v>0</v>
      </c>
      <c r="CR1120">
        <v>0</v>
      </c>
      <c r="CS1120">
        <v>0</v>
      </c>
      <c r="CT1120">
        <v>0</v>
      </c>
      <c r="CU1120">
        <v>0.128</v>
      </c>
      <c r="CV1120">
        <v>112.012</v>
      </c>
      <c r="CW1120">
        <v>65.350999999999999</v>
      </c>
      <c r="CX1120">
        <v>121201</v>
      </c>
      <c r="CY1120" s="2043">
        <v>0</v>
      </c>
      <c r="CZ1120" s="2043">
        <v>0</v>
      </c>
      <c r="DA1120" s="2043">
        <v>0</v>
      </c>
      <c r="DB1120" s="2043">
        <v>0</v>
      </c>
      <c r="DC1120" s="2043">
        <v>490341</v>
      </c>
      <c r="DI1120" t="s">
        <v>3226</v>
      </c>
      <c r="DJ1120" t="s">
        <v>5282</v>
      </c>
      <c r="DK1120" s="2042">
        <f t="shared" si="19"/>
        <v>-2</v>
      </c>
    </row>
    <row r="1121" spans="1:115">
      <c r="A1121" t="s">
        <v>3226</v>
      </c>
      <c r="B1121" t="s">
        <v>1066</v>
      </c>
      <c r="C1121">
        <v>9675.1419999999998</v>
      </c>
      <c r="D1121">
        <v>9901.1820000000007</v>
      </c>
      <c r="E1121">
        <v>2741.578</v>
      </c>
      <c r="F1121">
        <v>0</v>
      </c>
      <c r="G1121" s="2043">
        <v>9592563392</v>
      </c>
      <c r="H1121">
        <v>0</v>
      </c>
      <c r="I1121" s="2043">
        <v>20930238</v>
      </c>
      <c r="J1121">
        <v>483.75700000000001</v>
      </c>
      <c r="K1121">
        <v>1323</v>
      </c>
      <c r="L1121">
        <v>0</v>
      </c>
      <c r="M1121">
        <v>0</v>
      </c>
      <c r="N1121">
        <v>0</v>
      </c>
      <c r="O1121">
        <v>0</v>
      </c>
      <c r="P1121">
        <v>0</v>
      </c>
      <c r="Q1121">
        <v>0</v>
      </c>
      <c r="R1121" s="2043">
        <v>76674331</v>
      </c>
      <c r="S1121">
        <v>4663889</v>
      </c>
      <c r="T1121">
        <v>0</v>
      </c>
      <c r="U1121">
        <v>0.05</v>
      </c>
      <c r="V1121">
        <v>0</v>
      </c>
      <c r="W1121">
        <v>0</v>
      </c>
      <c r="X1121">
        <v>0</v>
      </c>
      <c r="Y1121">
        <v>-144195</v>
      </c>
      <c r="Z1121">
        <v>0</v>
      </c>
      <c r="AA1121">
        <v>0.91700000000000004</v>
      </c>
      <c r="AB1121">
        <v>9767.7929999999997</v>
      </c>
      <c r="AC1121" s="2043">
        <v>6572223974</v>
      </c>
      <c r="AD1121">
        <v>30795683</v>
      </c>
      <c r="AE1121" s="2043">
        <v>81338220</v>
      </c>
      <c r="AF1121">
        <v>0.872</v>
      </c>
      <c r="AG1121">
        <v>0</v>
      </c>
      <c r="AH1121">
        <v>0</v>
      </c>
      <c r="AI1121">
        <v>0</v>
      </c>
      <c r="AJ1121">
        <v>2396</v>
      </c>
      <c r="AK1121">
        <v>39365</v>
      </c>
      <c r="AL1121">
        <v>1.1040000000000001</v>
      </c>
      <c r="AM1121">
        <v>0</v>
      </c>
      <c r="AN1121">
        <v>696.33300000000008</v>
      </c>
      <c r="AO1121">
        <v>0.99099999999999999</v>
      </c>
      <c r="AP1121">
        <v>0.69400000000000006</v>
      </c>
      <c r="AQ1121">
        <v>0.20900000000000002</v>
      </c>
      <c r="AR1121">
        <v>173.17500000000001</v>
      </c>
      <c r="AS1121">
        <v>0</v>
      </c>
      <c r="AT1121">
        <v>92.799000000000007</v>
      </c>
      <c r="AU1121">
        <v>19.866</v>
      </c>
      <c r="AV1121">
        <v>0</v>
      </c>
      <c r="AW1121">
        <v>300.97399999999999</v>
      </c>
      <c r="AX1121">
        <v>13.127000000000001</v>
      </c>
      <c r="AY1121">
        <v>934.83800000000008</v>
      </c>
      <c r="AZ1121">
        <v>0</v>
      </c>
      <c r="BA1121">
        <v>16757967</v>
      </c>
      <c r="BB1121">
        <v>112133903</v>
      </c>
      <c r="BC1121">
        <v>0</v>
      </c>
      <c r="BD1121">
        <v>1209345</v>
      </c>
      <c r="BE1121">
        <v>423858</v>
      </c>
      <c r="BF1121">
        <v>1763586</v>
      </c>
      <c r="BG1121">
        <v>1209345</v>
      </c>
      <c r="BH1121">
        <v>130383</v>
      </c>
      <c r="BI1121">
        <v>-23093</v>
      </c>
      <c r="BJ1121">
        <v>-121102</v>
      </c>
      <c r="BK1121">
        <v>0</v>
      </c>
      <c r="BL1121">
        <v>9592563392</v>
      </c>
      <c r="BM1121">
        <v>0</v>
      </c>
      <c r="BN1121">
        <v>41679</v>
      </c>
      <c r="BO1121">
        <v>15590</v>
      </c>
      <c r="BP1121">
        <v>0</v>
      </c>
      <c r="BQ1121">
        <v>137500</v>
      </c>
      <c r="BR1121">
        <v>0.82200000000000006</v>
      </c>
      <c r="BS1121">
        <v>0.82200000000000006</v>
      </c>
      <c r="BT1121">
        <v>0</v>
      </c>
      <c r="BU1121">
        <v>0</v>
      </c>
      <c r="BV1121">
        <v>671</v>
      </c>
      <c r="BW1121">
        <v>3077</v>
      </c>
      <c r="BX1121">
        <v>4247</v>
      </c>
      <c r="BY1121">
        <v>1135</v>
      </c>
      <c r="BZ1121">
        <v>562</v>
      </c>
      <c r="CA1121">
        <v>9692</v>
      </c>
      <c r="CB1121">
        <v>0</v>
      </c>
      <c r="CC1121">
        <v>1659.539</v>
      </c>
      <c r="CD1121">
        <v>201.136</v>
      </c>
      <c r="CE1121">
        <v>814</v>
      </c>
      <c r="CF1121">
        <v>3632.16</v>
      </c>
      <c r="CG1121">
        <v>133.38300000000001</v>
      </c>
      <c r="CH1121">
        <v>3.81</v>
      </c>
      <c r="CI1121">
        <v>45</v>
      </c>
      <c r="CJ1121">
        <v>1</v>
      </c>
      <c r="CK1121">
        <v>2</v>
      </c>
      <c r="CL1121">
        <v>137.19300000000001</v>
      </c>
      <c r="CM1121">
        <v>2741.578</v>
      </c>
      <c r="CN1121">
        <v>0</v>
      </c>
      <c r="CO1121">
        <v>0</v>
      </c>
      <c r="CP1121">
        <v>0</v>
      </c>
      <c r="CQ1121">
        <v>0</v>
      </c>
      <c r="CR1121">
        <v>0</v>
      </c>
      <c r="CS1121">
        <v>0</v>
      </c>
      <c r="CT1121">
        <v>0</v>
      </c>
      <c r="CU1121">
        <v>19.330000000000002</v>
      </c>
      <c r="CV1121">
        <v>470.62100000000004</v>
      </c>
      <c r="CW1121">
        <v>231.26900000000001</v>
      </c>
      <c r="CX1121">
        <v>0</v>
      </c>
      <c r="CY1121" s="2043">
        <v>0</v>
      </c>
      <c r="CZ1121" s="2043">
        <v>0</v>
      </c>
      <c r="DA1121" s="2043">
        <v>0</v>
      </c>
      <c r="DB1121" s="2043">
        <v>0</v>
      </c>
      <c r="DC1121" s="2043">
        <v>109000</v>
      </c>
      <c r="DI1121" t="s">
        <v>5282</v>
      </c>
      <c r="DJ1121" t="s">
        <v>3226</v>
      </c>
      <c r="DK1121" s="2042">
        <f t="shared" si="19"/>
        <v>2</v>
      </c>
    </row>
    <row r="1122" spans="1:115">
      <c r="A1122" t="s">
        <v>5283</v>
      </c>
      <c r="B1122" t="s">
        <v>1244</v>
      </c>
      <c r="C1122">
        <v>10463.763999999999</v>
      </c>
      <c r="D1122">
        <v>10794.76</v>
      </c>
      <c r="E1122">
        <v>430.99400000000003</v>
      </c>
      <c r="F1122">
        <v>0</v>
      </c>
      <c r="G1122" s="2043">
        <v>16369051544</v>
      </c>
      <c r="H1122">
        <v>0</v>
      </c>
      <c r="I1122" s="2043">
        <v>25973010</v>
      </c>
      <c r="J1122">
        <v>523.18799999999999</v>
      </c>
      <c r="K1122">
        <v>1430</v>
      </c>
      <c r="L1122">
        <v>0</v>
      </c>
      <c r="M1122">
        <v>0</v>
      </c>
      <c r="N1122">
        <v>0</v>
      </c>
      <c r="O1122">
        <v>0</v>
      </c>
      <c r="P1122">
        <v>0</v>
      </c>
      <c r="Q1122">
        <v>0</v>
      </c>
      <c r="R1122" s="2043">
        <v>120236683</v>
      </c>
      <c r="S1122">
        <v>11693332</v>
      </c>
      <c r="T1122">
        <v>0</v>
      </c>
      <c r="U1122">
        <v>0.08</v>
      </c>
      <c r="V1122">
        <v>0</v>
      </c>
      <c r="W1122">
        <v>45489978</v>
      </c>
      <c r="X1122">
        <v>0</v>
      </c>
      <c r="Y1122">
        <v>-51581</v>
      </c>
      <c r="Z1122">
        <v>0</v>
      </c>
      <c r="AA1122">
        <v>0</v>
      </c>
      <c r="AB1122">
        <v>10583.394</v>
      </c>
      <c r="AC1122" s="2043">
        <v>13837218745</v>
      </c>
      <c r="AD1122">
        <v>47869577</v>
      </c>
      <c r="AE1122" s="2043">
        <v>131930015</v>
      </c>
      <c r="AF1122">
        <v>0.90260000000000007</v>
      </c>
      <c r="AG1122">
        <v>0</v>
      </c>
      <c r="AH1122">
        <v>45489978</v>
      </c>
      <c r="AI1122">
        <v>0</v>
      </c>
      <c r="AJ1122">
        <v>245.96300000000002</v>
      </c>
      <c r="AK1122">
        <v>30138</v>
      </c>
      <c r="AL1122">
        <v>0.60099999999999998</v>
      </c>
      <c r="AM1122">
        <v>0</v>
      </c>
      <c r="AN1122">
        <v>234.73100000000002</v>
      </c>
      <c r="AO1122">
        <v>1.2</v>
      </c>
      <c r="AP1122">
        <v>10.013</v>
      </c>
      <c r="AQ1122">
        <v>0</v>
      </c>
      <c r="AR1122">
        <v>246.31400000000002</v>
      </c>
      <c r="AS1122">
        <v>0</v>
      </c>
      <c r="AT1122">
        <v>58.798999999999999</v>
      </c>
      <c r="AU1122">
        <v>22.678000000000001</v>
      </c>
      <c r="AV1122">
        <v>0</v>
      </c>
      <c r="AW1122">
        <v>338.40500000000003</v>
      </c>
      <c r="AX1122">
        <v>0</v>
      </c>
      <c r="AY1122">
        <v>1058.769</v>
      </c>
      <c r="AZ1122">
        <v>0</v>
      </c>
      <c r="BA1122">
        <v>5614909</v>
      </c>
      <c r="BB1122">
        <v>179799592</v>
      </c>
      <c r="BC1122">
        <v>0</v>
      </c>
      <c r="BD1122">
        <v>631241</v>
      </c>
      <c r="BE1122">
        <v>252396</v>
      </c>
      <c r="BF1122">
        <v>949959</v>
      </c>
      <c r="BG1122">
        <v>631241</v>
      </c>
      <c r="BH1122">
        <v>66322</v>
      </c>
      <c r="BI1122">
        <v>-17274</v>
      </c>
      <c r="BJ1122">
        <v>-34307</v>
      </c>
      <c r="BK1122">
        <v>0</v>
      </c>
      <c r="BL1122">
        <v>16369051544</v>
      </c>
      <c r="BM1122">
        <v>0</v>
      </c>
      <c r="BN1122">
        <v>40518</v>
      </c>
      <c r="BO1122">
        <v>10946</v>
      </c>
      <c r="BP1122">
        <v>9108</v>
      </c>
      <c r="BQ1122">
        <v>0</v>
      </c>
      <c r="BR1122">
        <v>0.8226</v>
      </c>
      <c r="BS1122">
        <v>0.8226</v>
      </c>
      <c r="BT1122">
        <v>0</v>
      </c>
      <c r="BU1122">
        <v>0</v>
      </c>
      <c r="BV1122">
        <v>1048</v>
      </c>
      <c r="BW1122">
        <v>7</v>
      </c>
      <c r="BX1122">
        <v>0</v>
      </c>
      <c r="BY1122">
        <v>2</v>
      </c>
      <c r="BZ1122">
        <v>29</v>
      </c>
      <c r="CA1122">
        <v>1086</v>
      </c>
      <c r="CB1122">
        <v>0</v>
      </c>
      <c r="CC1122">
        <v>240.65900000000002</v>
      </c>
      <c r="CD1122">
        <v>0</v>
      </c>
      <c r="CE1122">
        <v>644</v>
      </c>
      <c r="CF1122">
        <v>458.38300000000004</v>
      </c>
      <c r="CG1122">
        <v>0</v>
      </c>
      <c r="CH1122">
        <v>0</v>
      </c>
      <c r="CI1122">
        <v>8</v>
      </c>
      <c r="CJ1122">
        <v>249</v>
      </c>
      <c r="CK1122">
        <v>4</v>
      </c>
      <c r="CL1122">
        <v>0</v>
      </c>
      <c r="CM1122">
        <v>430.99400000000003</v>
      </c>
      <c r="CN1122">
        <v>0</v>
      </c>
      <c r="CO1122">
        <v>0</v>
      </c>
      <c r="CP1122">
        <v>9108</v>
      </c>
      <c r="CQ1122">
        <v>0</v>
      </c>
      <c r="CR1122">
        <v>0</v>
      </c>
      <c r="CS1122">
        <v>0</v>
      </c>
      <c r="CT1122">
        <v>0</v>
      </c>
      <c r="CU1122">
        <v>79.593000000000004</v>
      </c>
      <c r="CV1122">
        <v>646.83800000000008</v>
      </c>
      <c r="CW1122">
        <v>271.23</v>
      </c>
      <c r="CX1122">
        <v>0</v>
      </c>
      <c r="CY1122" s="2043">
        <v>0</v>
      </c>
      <c r="CZ1122" s="2043">
        <v>0</v>
      </c>
      <c r="DA1122" s="2043">
        <v>0</v>
      </c>
      <c r="DB1122" s="2043">
        <v>0</v>
      </c>
      <c r="DC1122" s="2043">
        <v>800000</v>
      </c>
      <c r="DI1122" t="s">
        <v>5283</v>
      </c>
      <c r="DJ1122" t="s">
        <v>5283</v>
      </c>
      <c r="DK1122" s="2042">
        <f t="shared" si="19"/>
        <v>0</v>
      </c>
    </row>
    <row r="1123" spans="1:115">
      <c r="A1123" t="s">
        <v>8520</v>
      </c>
      <c r="B1123" t="s">
        <v>11435</v>
      </c>
      <c r="C1123">
        <v>0</v>
      </c>
      <c r="D1123">
        <v>0</v>
      </c>
      <c r="E1123">
        <v>0</v>
      </c>
      <c r="F1123">
        <v>0</v>
      </c>
      <c r="G1123" s="2043">
        <v>0</v>
      </c>
      <c r="H1123">
        <v>0</v>
      </c>
      <c r="I1123" s="2043">
        <v>0</v>
      </c>
      <c r="J1123">
        <v>0</v>
      </c>
      <c r="K1123">
        <v>0</v>
      </c>
      <c r="L1123">
        <v>0</v>
      </c>
      <c r="M1123">
        <v>0</v>
      </c>
      <c r="N1123">
        <v>0</v>
      </c>
      <c r="O1123">
        <v>0</v>
      </c>
      <c r="P1123">
        <v>0</v>
      </c>
      <c r="Q1123">
        <v>0</v>
      </c>
      <c r="R1123" s="2043">
        <v>0</v>
      </c>
      <c r="S1123">
        <v>0</v>
      </c>
      <c r="T1123">
        <v>0</v>
      </c>
      <c r="U1123">
        <v>0</v>
      </c>
      <c r="V1123">
        <v>0</v>
      </c>
      <c r="W1123">
        <v>0</v>
      </c>
      <c r="X1123">
        <v>0</v>
      </c>
      <c r="Y1123">
        <v>280292</v>
      </c>
      <c r="Z1123">
        <v>0</v>
      </c>
      <c r="AA1123">
        <v>0</v>
      </c>
      <c r="AB1123">
        <v>0</v>
      </c>
      <c r="AC1123" s="2043">
        <v>0</v>
      </c>
      <c r="AD1123">
        <v>0</v>
      </c>
      <c r="AE1123" s="2043">
        <v>0</v>
      </c>
      <c r="AF1123">
        <v>0</v>
      </c>
      <c r="AG1123">
        <v>0</v>
      </c>
      <c r="AH1123">
        <v>0</v>
      </c>
      <c r="AI1123">
        <v>0</v>
      </c>
      <c r="AJ1123">
        <v>0</v>
      </c>
      <c r="AK1123">
        <v>0</v>
      </c>
      <c r="AL1123">
        <v>0</v>
      </c>
      <c r="AM1123">
        <v>0</v>
      </c>
      <c r="AN1123">
        <v>0</v>
      </c>
      <c r="AO1123">
        <v>0</v>
      </c>
      <c r="AP1123">
        <v>0</v>
      </c>
      <c r="AQ1123">
        <v>0</v>
      </c>
      <c r="AR1123">
        <v>0</v>
      </c>
      <c r="AS1123">
        <v>0</v>
      </c>
      <c r="AT1123">
        <v>0</v>
      </c>
      <c r="AU1123">
        <v>0</v>
      </c>
      <c r="AV1123">
        <v>0</v>
      </c>
      <c r="AW1123">
        <v>0</v>
      </c>
      <c r="AX1123">
        <v>0</v>
      </c>
      <c r="AY1123">
        <v>0</v>
      </c>
      <c r="AZ1123">
        <v>0</v>
      </c>
      <c r="BA1123">
        <v>280292</v>
      </c>
      <c r="BB1123">
        <v>0</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BX1123">
        <v>0</v>
      </c>
      <c r="BY1123">
        <v>0</v>
      </c>
      <c r="BZ1123">
        <v>0</v>
      </c>
      <c r="CA1123">
        <v>0</v>
      </c>
      <c r="CB1123">
        <v>0</v>
      </c>
      <c r="CC1123">
        <v>0</v>
      </c>
      <c r="CD1123">
        <v>0</v>
      </c>
      <c r="CE1123">
        <v>0</v>
      </c>
      <c r="CF1123">
        <v>0</v>
      </c>
      <c r="CG1123">
        <v>0</v>
      </c>
      <c r="CH1123">
        <v>0</v>
      </c>
      <c r="CI1123">
        <v>0</v>
      </c>
      <c r="CJ1123">
        <v>0</v>
      </c>
      <c r="CK1123">
        <v>0</v>
      </c>
      <c r="CL1123">
        <v>0</v>
      </c>
      <c r="CM1123">
        <v>0</v>
      </c>
      <c r="CN1123">
        <v>0</v>
      </c>
      <c r="CO1123">
        <v>0</v>
      </c>
      <c r="CP1123">
        <v>0</v>
      </c>
      <c r="CQ1123">
        <v>0</v>
      </c>
      <c r="CR1123">
        <v>0</v>
      </c>
      <c r="CS1123">
        <v>0</v>
      </c>
      <c r="CT1123">
        <v>0</v>
      </c>
      <c r="CU1123">
        <v>0</v>
      </c>
      <c r="CV1123">
        <v>0</v>
      </c>
      <c r="CW1123">
        <v>0</v>
      </c>
      <c r="CX1123">
        <v>0</v>
      </c>
      <c r="CY1123" s="2043">
        <v>0</v>
      </c>
      <c r="CZ1123" s="2043">
        <v>0</v>
      </c>
      <c r="DA1123" s="2043">
        <v>0</v>
      </c>
      <c r="DB1123" s="2043">
        <v>0</v>
      </c>
      <c r="DC1123" s="2043">
        <v>0</v>
      </c>
      <c r="DI1123" t="s">
        <v>8520</v>
      </c>
      <c r="DJ1123" t="s">
        <v>8520</v>
      </c>
      <c r="DK1123" s="2042">
        <f t="shared" si="19"/>
        <v>0</v>
      </c>
    </row>
    <row r="1124" spans="1:115">
      <c r="A1124" t="s">
        <v>5888</v>
      </c>
      <c r="B1124" t="s">
        <v>1245</v>
      </c>
      <c r="C1124">
        <v>697.58100000000002</v>
      </c>
      <c r="D1124">
        <v>724.95300000000009</v>
      </c>
      <c r="E1124">
        <v>9.2409999999999997</v>
      </c>
      <c r="F1124">
        <v>0</v>
      </c>
      <c r="G1124" s="2043">
        <v>379621889</v>
      </c>
      <c r="H1124">
        <v>0</v>
      </c>
      <c r="I1124" s="2043">
        <v>0</v>
      </c>
      <c r="J1124">
        <v>34.879000000000005</v>
      </c>
      <c r="K1124">
        <v>95</v>
      </c>
      <c r="L1124">
        <v>0</v>
      </c>
      <c r="M1124">
        <v>0</v>
      </c>
      <c r="N1124">
        <v>0</v>
      </c>
      <c r="O1124">
        <v>0</v>
      </c>
      <c r="P1124">
        <v>0</v>
      </c>
      <c r="Q1124">
        <v>0</v>
      </c>
      <c r="R1124" s="2043">
        <v>3159665</v>
      </c>
      <c r="S1124">
        <v>184970</v>
      </c>
      <c r="T1124">
        <v>0</v>
      </c>
      <c r="U1124">
        <v>0.05</v>
      </c>
      <c r="V1124">
        <v>0</v>
      </c>
      <c r="W1124">
        <v>0</v>
      </c>
      <c r="X1124">
        <v>0</v>
      </c>
      <c r="Y1124">
        <v>0</v>
      </c>
      <c r="Z1124">
        <v>0</v>
      </c>
      <c r="AA1124">
        <v>0</v>
      </c>
      <c r="AB1124">
        <v>697.25600000000009</v>
      </c>
      <c r="AC1124" s="2043">
        <v>327549886</v>
      </c>
      <c r="AD1124">
        <v>0</v>
      </c>
      <c r="AE1124" s="2043">
        <v>3344635</v>
      </c>
      <c r="AF1124">
        <v>0.90410000000000001</v>
      </c>
      <c r="AG1124">
        <v>0</v>
      </c>
      <c r="AH1124">
        <v>0</v>
      </c>
      <c r="AI1124">
        <v>0</v>
      </c>
      <c r="AJ1124">
        <v>107.625</v>
      </c>
      <c r="AK1124">
        <v>4407</v>
      </c>
      <c r="AL1124">
        <v>0.23100000000000001</v>
      </c>
      <c r="AM1124">
        <v>0</v>
      </c>
      <c r="AN1124">
        <v>26.702000000000002</v>
      </c>
      <c r="AO1124">
        <v>0</v>
      </c>
      <c r="AP1124">
        <v>0</v>
      </c>
      <c r="AQ1124">
        <v>0</v>
      </c>
      <c r="AR1124">
        <v>17.238</v>
      </c>
      <c r="AS1124">
        <v>0</v>
      </c>
      <c r="AT1124">
        <v>16.589000000000002</v>
      </c>
      <c r="AU1124">
        <v>1.1840000000000002</v>
      </c>
      <c r="AV1124">
        <v>0</v>
      </c>
      <c r="AW1124">
        <v>35.242000000000004</v>
      </c>
      <c r="AX1124">
        <v>0</v>
      </c>
      <c r="AY1124">
        <v>108.55600000000001</v>
      </c>
      <c r="AZ1124">
        <v>0</v>
      </c>
      <c r="BA1124">
        <v>5245914</v>
      </c>
      <c r="BB1124">
        <v>3344635</v>
      </c>
      <c r="BC1124">
        <v>0</v>
      </c>
      <c r="BD1124">
        <v>112216</v>
      </c>
      <c r="BE1124">
        <v>20625</v>
      </c>
      <c r="BF1124">
        <v>132841</v>
      </c>
      <c r="BG1124">
        <v>112216</v>
      </c>
      <c r="BH1124">
        <v>0</v>
      </c>
      <c r="BI1124">
        <v>0</v>
      </c>
      <c r="BJ1124">
        <v>0</v>
      </c>
      <c r="BK1124">
        <v>0</v>
      </c>
      <c r="BL1124">
        <v>379621889</v>
      </c>
      <c r="BM1124">
        <v>0</v>
      </c>
      <c r="BN1124">
        <v>2655</v>
      </c>
      <c r="BO1124">
        <v>1691</v>
      </c>
      <c r="BP1124">
        <v>0</v>
      </c>
      <c r="BQ1124">
        <v>0</v>
      </c>
      <c r="BR1124">
        <v>0.85410000000000008</v>
      </c>
      <c r="BS1124">
        <v>0.85410000000000008</v>
      </c>
      <c r="BT1124">
        <v>0</v>
      </c>
      <c r="BU1124">
        <v>0</v>
      </c>
      <c r="BV1124">
        <v>8</v>
      </c>
      <c r="BW1124">
        <v>269</v>
      </c>
      <c r="BX1124">
        <v>10</v>
      </c>
      <c r="BY1124">
        <v>145</v>
      </c>
      <c r="BZ1124">
        <v>5</v>
      </c>
      <c r="CA1124">
        <v>437</v>
      </c>
      <c r="CB1124">
        <v>0</v>
      </c>
      <c r="CC1124">
        <v>0</v>
      </c>
      <c r="CD1124">
        <v>0</v>
      </c>
      <c r="CE1124">
        <v>26</v>
      </c>
      <c r="CF1124">
        <v>148.51900000000001</v>
      </c>
      <c r="CG1124">
        <v>0</v>
      </c>
      <c r="CH1124">
        <v>0</v>
      </c>
      <c r="CI1124">
        <v>5</v>
      </c>
      <c r="CJ1124">
        <v>7</v>
      </c>
      <c r="CK1124">
        <v>0</v>
      </c>
      <c r="CL1124">
        <v>0</v>
      </c>
      <c r="CM1124">
        <v>9.2409999999999997</v>
      </c>
      <c r="CN1124">
        <v>0</v>
      </c>
      <c r="CO1124">
        <v>0</v>
      </c>
      <c r="CP1124">
        <v>0</v>
      </c>
      <c r="CQ1124">
        <v>0</v>
      </c>
      <c r="CR1124">
        <v>0</v>
      </c>
      <c r="CS1124">
        <v>0</v>
      </c>
      <c r="CT1124">
        <v>0</v>
      </c>
      <c r="CU1124">
        <v>0</v>
      </c>
      <c r="CV1124">
        <v>28.498000000000001</v>
      </c>
      <c r="CW1124">
        <v>27.265000000000001</v>
      </c>
      <c r="CX1124">
        <v>0</v>
      </c>
      <c r="CY1124" s="2043">
        <v>0</v>
      </c>
      <c r="CZ1124" s="2043">
        <v>0</v>
      </c>
      <c r="DA1124" s="2043">
        <v>0</v>
      </c>
      <c r="DB1124" s="2043">
        <v>0</v>
      </c>
      <c r="DC1124" s="2043">
        <v>0</v>
      </c>
      <c r="DI1124" t="s">
        <v>5888</v>
      </c>
      <c r="DJ1124" t="s">
        <v>5888</v>
      </c>
      <c r="DK1124" s="2042">
        <f t="shared" si="19"/>
        <v>0</v>
      </c>
    </row>
    <row r="1125" spans="1:115">
      <c r="A1125" t="s">
        <v>5284</v>
      </c>
      <c r="B1125" t="s">
        <v>1246</v>
      </c>
      <c r="C1125">
        <v>1051.9290000000001</v>
      </c>
      <c r="D1125">
        <v>1092.423</v>
      </c>
      <c r="E1125">
        <v>90.710999999999999</v>
      </c>
      <c r="F1125">
        <v>0</v>
      </c>
      <c r="G1125" s="2043">
        <v>508157929</v>
      </c>
      <c r="H1125">
        <v>0</v>
      </c>
      <c r="I1125" s="2043">
        <v>830113</v>
      </c>
      <c r="J1125">
        <v>51</v>
      </c>
      <c r="K1125">
        <v>139</v>
      </c>
      <c r="L1125">
        <v>0</v>
      </c>
      <c r="M1125">
        <v>0</v>
      </c>
      <c r="N1125">
        <v>0</v>
      </c>
      <c r="O1125">
        <v>0</v>
      </c>
      <c r="P1125">
        <v>0</v>
      </c>
      <c r="Q1125">
        <v>0</v>
      </c>
      <c r="R1125" s="2043">
        <v>4380653</v>
      </c>
      <c r="S1125">
        <v>324797</v>
      </c>
      <c r="T1125">
        <v>0</v>
      </c>
      <c r="U1125">
        <v>7.0000000000000007E-2</v>
      </c>
      <c r="V1125">
        <v>0</v>
      </c>
      <c r="W1125">
        <v>0</v>
      </c>
      <c r="X1125">
        <v>0</v>
      </c>
      <c r="Y1125">
        <v>0</v>
      </c>
      <c r="Z1125">
        <v>0</v>
      </c>
      <c r="AA1125">
        <v>0.57400000000000007</v>
      </c>
      <c r="AB1125">
        <v>1058.415</v>
      </c>
      <c r="AC1125" s="2043">
        <v>426112107</v>
      </c>
      <c r="AD1125">
        <v>956355</v>
      </c>
      <c r="AE1125" s="2043">
        <v>4705450</v>
      </c>
      <c r="AF1125">
        <v>0.97500000000000009</v>
      </c>
      <c r="AG1125">
        <v>0</v>
      </c>
      <c r="AH1125">
        <v>0</v>
      </c>
      <c r="AI1125">
        <v>0</v>
      </c>
      <c r="AJ1125">
        <v>257.738</v>
      </c>
      <c r="AK1125">
        <v>3997</v>
      </c>
      <c r="AL1125">
        <v>4.4000000000000004E-2</v>
      </c>
      <c r="AM1125">
        <v>0</v>
      </c>
      <c r="AN1125">
        <v>48.688000000000002</v>
      </c>
      <c r="AO1125">
        <v>0</v>
      </c>
      <c r="AP1125">
        <v>0</v>
      </c>
      <c r="AQ1125">
        <v>0</v>
      </c>
      <c r="AR1125">
        <v>18.641000000000002</v>
      </c>
      <c r="AS1125">
        <v>0</v>
      </c>
      <c r="AT1125">
        <v>5.9790000000000001</v>
      </c>
      <c r="AU1125">
        <v>1.53</v>
      </c>
      <c r="AV1125">
        <v>0</v>
      </c>
      <c r="AW1125">
        <v>26.194000000000003</v>
      </c>
      <c r="AX1125">
        <v>0</v>
      </c>
      <c r="AY1125">
        <v>81.73</v>
      </c>
      <c r="AZ1125">
        <v>0</v>
      </c>
      <c r="BA1125">
        <v>7827678</v>
      </c>
      <c r="BB1125">
        <v>5661805</v>
      </c>
      <c r="BC1125">
        <v>0</v>
      </c>
      <c r="BD1125">
        <v>128816</v>
      </c>
      <c r="BE1125">
        <v>6275</v>
      </c>
      <c r="BF1125">
        <v>135091</v>
      </c>
      <c r="BG1125">
        <v>128816</v>
      </c>
      <c r="BH1125">
        <v>0</v>
      </c>
      <c r="BI1125">
        <v>0</v>
      </c>
      <c r="BJ1125">
        <v>0</v>
      </c>
      <c r="BK1125">
        <v>0</v>
      </c>
      <c r="BL1125">
        <v>508157929</v>
      </c>
      <c r="BM1125">
        <v>0</v>
      </c>
      <c r="BN1125">
        <v>3987</v>
      </c>
      <c r="BO1125">
        <v>3274</v>
      </c>
      <c r="BP1125">
        <v>0</v>
      </c>
      <c r="BQ1125">
        <v>0</v>
      </c>
      <c r="BR1125">
        <v>0.90770000000000006</v>
      </c>
      <c r="BS1125">
        <v>0.90770000000000006</v>
      </c>
      <c r="BT1125">
        <v>0</v>
      </c>
      <c r="BU1125">
        <v>0</v>
      </c>
      <c r="BV1125">
        <v>21</v>
      </c>
      <c r="BW1125">
        <v>346</v>
      </c>
      <c r="BX1125">
        <v>268</v>
      </c>
      <c r="BY1125">
        <v>141</v>
      </c>
      <c r="BZ1125">
        <v>243</v>
      </c>
      <c r="CA1125">
        <v>1019</v>
      </c>
      <c r="CB1125">
        <v>0</v>
      </c>
      <c r="CC1125">
        <v>0</v>
      </c>
      <c r="CD1125">
        <v>0</v>
      </c>
      <c r="CE1125">
        <v>69</v>
      </c>
      <c r="CF1125">
        <v>289.565</v>
      </c>
      <c r="CG1125">
        <v>0</v>
      </c>
      <c r="CH1125">
        <v>0</v>
      </c>
      <c r="CI1125">
        <v>0</v>
      </c>
      <c r="CJ1125">
        <v>3</v>
      </c>
      <c r="CK1125">
        <v>0</v>
      </c>
      <c r="CL1125">
        <v>0</v>
      </c>
      <c r="CM1125">
        <v>90.710999999999999</v>
      </c>
      <c r="CN1125">
        <v>0</v>
      </c>
      <c r="CO1125">
        <v>0</v>
      </c>
      <c r="CP1125">
        <v>0</v>
      </c>
      <c r="CQ1125">
        <v>0</v>
      </c>
      <c r="CR1125">
        <v>0</v>
      </c>
      <c r="CS1125">
        <v>0</v>
      </c>
      <c r="CT1125">
        <v>0</v>
      </c>
      <c r="CU1125">
        <v>7.4130000000000003</v>
      </c>
      <c r="CV1125">
        <v>73.504000000000005</v>
      </c>
      <c r="CW1125">
        <v>48.435000000000002</v>
      </c>
      <c r="CX1125">
        <v>0</v>
      </c>
      <c r="CY1125" s="2043">
        <v>0</v>
      </c>
      <c r="CZ1125" s="2043">
        <v>0</v>
      </c>
      <c r="DA1125" s="2043">
        <v>0</v>
      </c>
      <c r="DB1125" s="2043">
        <v>0</v>
      </c>
      <c r="DC1125" s="2043">
        <v>0</v>
      </c>
      <c r="DI1125" t="s">
        <v>5284</v>
      </c>
      <c r="DJ1125" t="s">
        <v>5284</v>
      </c>
      <c r="DK1125" s="2042">
        <f t="shared" si="19"/>
        <v>0</v>
      </c>
    </row>
    <row r="1126" spans="1:115">
      <c r="A1126" t="s">
        <v>5889</v>
      </c>
      <c r="B1126" t="s">
        <v>1247</v>
      </c>
      <c r="C1126">
        <v>120.83900000000001</v>
      </c>
      <c r="D1126">
        <v>163.63200000000001</v>
      </c>
      <c r="E1126">
        <v>0</v>
      </c>
      <c r="F1126">
        <v>0</v>
      </c>
      <c r="G1126" s="2043">
        <v>39745533</v>
      </c>
      <c r="H1126">
        <v>0</v>
      </c>
      <c r="I1126" s="2043">
        <v>0</v>
      </c>
      <c r="J1126">
        <v>6.0420000000000007</v>
      </c>
      <c r="K1126">
        <v>17</v>
      </c>
      <c r="L1126">
        <v>0</v>
      </c>
      <c r="M1126">
        <v>0</v>
      </c>
      <c r="N1126">
        <v>0</v>
      </c>
      <c r="O1126">
        <v>0</v>
      </c>
      <c r="P1126">
        <v>0</v>
      </c>
      <c r="Q1126">
        <v>0</v>
      </c>
      <c r="R1126" s="2043">
        <v>305191</v>
      </c>
      <c r="S1126">
        <v>28812</v>
      </c>
      <c r="T1126">
        <v>20997</v>
      </c>
      <c r="U1126">
        <v>0.08</v>
      </c>
      <c r="V1126">
        <v>0</v>
      </c>
      <c r="W1126">
        <v>0</v>
      </c>
      <c r="X1126">
        <v>0</v>
      </c>
      <c r="Y1126">
        <v>0</v>
      </c>
      <c r="Z1126">
        <v>0</v>
      </c>
      <c r="AA1126">
        <v>0</v>
      </c>
      <c r="AB1126">
        <v>160.75400000000002</v>
      </c>
      <c r="AC1126" s="2043">
        <v>34922499</v>
      </c>
      <c r="AD1126">
        <v>0</v>
      </c>
      <c r="AE1126" s="2043">
        <v>355000</v>
      </c>
      <c r="AF1126">
        <v>0.98570000000000002</v>
      </c>
      <c r="AG1126">
        <v>0</v>
      </c>
      <c r="AH1126">
        <v>0</v>
      </c>
      <c r="AI1126">
        <v>0</v>
      </c>
      <c r="AJ1126">
        <v>18.2</v>
      </c>
      <c r="AK1126">
        <v>533</v>
      </c>
      <c r="AL1126">
        <v>0.16900000000000001</v>
      </c>
      <c r="AM1126">
        <v>0</v>
      </c>
      <c r="AN1126">
        <v>2.843</v>
      </c>
      <c r="AO1126">
        <v>0</v>
      </c>
      <c r="AP1126">
        <v>0</v>
      </c>
      <c r="AQ1126">
        <v>0</v>
      </c>
      <c r="AR1126">
        <v>3.3050000000000002</v>
      </c>
      <c r="AS1126">
        <v>0</v>
      </c>
      <c r="AT1126">
        <v>4.5000000000000005E-2</v>
      </c>
      <c r="AU1126">
        <v>0.13100000000000001</v>
      </c>
      <c r="AV1126">
        <v>0</v>
      </c>
      <c r="AW1126">
        <v>3.65</v>
      </c>
      <c r="AX1126">
        <v>0</v>
      </c>
      <c r="AY1126">
        <v>11.55</v>
      </c>
      <c r="AZ1126">
        <v>0</v>
      </c>
      <c r="BA1126">
        <v>1821085</v>
      </c>
      <c r="BB1126">
        <v>355000</v>
      </c>
      <c r="BC1126">
        <v>0</v>
      </c>
      <c r="BD1126">
        <v>42120</v>
      </c>
      <c r="BE1126">
        <v>0</v>
      </c>
      <c r="BF1126">
        <v>42120</v>
      </c>
      <c r="BG1126">
        <v>42120</v>
      </c>
      <c r="BH1126">
        <v>0</v>
      </c>
      <c r="BI1126">
        <v>0</v>
      </c>
      <c r="BJ1126">
        <v>0</v>
      </c>
      <c r="BK1126">
        <v>0</v>
      </c>
      <c r="BL1126">
        <v>39745533</v>
      </c>
      <c r="BM1126">
        <v>0</v>
      </c>
      <c r="BN1126">
        <v>540</v>
      </c>
      <c r="BO1126">
        <v>289</v>
      </c>
      <c r="BP1126">
        <v>0</v>
      </c>
      <c r="BQ1126">
        <v>0</v>
      </c>
      <c r="BR1126">
        <v>0.84740000000000004</v>
      </c>
      <c r="BS1126">
        <v>0.84740000000000004</v>
      </c>
      <c r="BT1126">
        <v>0</v>
      </c>
      <c r="BU1126">
        <v>0</v>
      </c>
      <c r="BV1126">
        <v>13</v>
      </c>
      <c r="BW1126">
        <v>59</v>
      </c>
      <c r="BX1126">
        <v>4</v>
      </c>
      <c r="BY1126">
        <v>1</v>
      </c>
      <c r="BZ1126">
        <v>0</v>
      </c>
      <c r="CA1126">
        <v>77</v>
      </c>
      <c r="CB1126">
        <v>0</v>
      </c>
      <c r="CC1126">
        <v>0</v>
      </c>
      <c r="CD1126">
        <v>0</v>
      </c>
      <c r="CE1126">
        <v>11</v>
      </c>
      <c r="CF1126">
        <v>13.048</v>
      </c>
      <c r="CG1126">
        <v>0</v>
      </c>
      <c r="CH1126">
        <v>0</v>
      </c>
      <c r="CI1126">
        <v>1</v>
      </c>
      <c r="CJ1126">
        <v>1</v>
      </c>
      <c r="CK1126">
        <v>0</v>
      </c>
      <c r="CL1126">
        <v>0</v>
      </c>
      <c r="CM1126">
        <v>0</v>
      </c>
      <c r="CN1126">
        <v>0</v>
      </c>
      <c r="CO1126">
        <v>0</v>
      </c>
      <c r="CP1126">
        <v>0</v>
      </c>
      <c r="CQ1126">
        <v>0</v>
      </c>
      <c r="CR1126">
        <v>0</v>
      </c>
      <c r="CS1126">
        <v>0</v>
      </c>
      <c r="CT1126">
        <v>0</v>
      </c>
      <c r="CU1126">
        <v>0</v>
      </c>
      <c r="CV1126">
        <v>13.273000000000001</v>
      </c>
      <c r="CW1126">
        <v>9.6260000000000012</v>
      </c>
      <c r="CX1126">
        <v>0</v>
      </c>
      <c r="CY1126" s="2043">
        <v>0</v>
      </c>
      <c r="CZ1126" s="2043">
        <v>0</v>
      </c>
      <c r="DA1126" s="2043">
        <v>0</v>
      </c>
      <c r="DB1126" s="2043">
        <v>0</v>
      </c>
      <c r="DC1126" s="2043">
        <v>0</v>
      </c>
      <c r="DI1126" t="s">
        <v>5889</v>
      </c>
      <c r="DJ1126" t="s">
        <v>5889</v>
      </c>
      <c r="DK1126" s="2042">
        <f t="shared" si="19"/>
        <v>0</v>
      </c>
    </row>
    <row r="1127" spans="1:115">
      <c r="A1127" t="s">
        <v>5890</v>
      </c>
      <c r="B1127" t="s">
        <v>1248</v>
      </c>
      <c r="C1127">
        <v>185.82600000000002</v>
      </c>
      <c r="D1127">
        <v>184.952</v>
      </c>
      <c r="E1127">
        <v>0</v>
      </c>
      <c r="F1127">
        <v>0</v>
      </c>
      <c r="G1127" s="2043">
        <v>58285327</v>
      </c>
      <c r="H1127">
        <v>0</v>
      </c>
      <c r="I1127" s="2043">
        <v>0</v>
      </c>
      <c r="J1127">
        <v>9.2910000000000004</v>
      </c>
      <c r="K1127">
        <v>25</v>
      </c>
      <c r="L1127">
        <v>0</v>
      </c>
      <c r="M1127">
        <v>0</v>
      </c>
      <c r="N1127">
        <v>0</v>
      </c>
      <c r="O1127">
        <v>0</v>
      </c>
      <c r="P1127">
        <v>0</v>
      </c>
      <c r="Q1127">
        <v>0</v>
      </c>
      <c r="R1127" s="2043">
        <v>472999</v>
      </c>
      <c r="S1127">
        <v>27001</v>
      </c>
      <c r="T1127">
        <v>0</v>
      </c>
      <c r="U1127">
        <v>0.05</v>
      </c>
      <c r="V1127">
        <v>0</v>
      </c>
      <c r="W1127">
        <v>0</v>
      </c>
      <c r="X1127">
        <v>0</v>
      </c>
      <c r="Y1127">
        <v>32720</v>
      </c>
      <c r="Z1127">
        <v>0</v>
      </c>
      <c r="AA1127">
        <v>0</v>
      </c>
      <c r="AB1127">
        <v>184.952</v>
      </c>
      <c r="AC1127" s="2043">
        <v>50021915</v>
      </c>
      <c r="AD1127">
        <v>0</v>
      </c>
      <c r="AE1127" s="2043">
        <v>500000</v>
      </c>
      <c r="AF1127">
        <v>0.92590000000000006</v>
      </c>
      <c r="AG1127">
        <v>0</v>
      </c>
      <c r="AH1127">
        <v>0</v>
      </c>
      <c r="AI1127">
        <v>0</v>
      </c>
      <c r="AJ1127">
        <v>28.7</v>
      </c>
      <c r="AK1127">
        <v>1036</v>
      </c>
      <c r="AL1127">
        <v>0</v>
      </c>
      <c r="AM1127">
        <v>1.6E-2</v>
      </c>
      <c r="AN1127">
        <v>3.88</v>
      </c>
      <c r="AO1127">
        <v>0</v>
      </c>
      <c r="AP1127">
        <v>0</v>
      </c>
      <c r="AQ1127">
        <v>0</v>
      </c>
      <c r="AR1127">
        <v>4.298</v>
      </c>
      <c r="AS1127">
        <v>0</v>
      </c>
      <c r="AT1127">
        <v>2.5449999999999999</v>
      </c>
      <c r="AU1127">
        <v>0.80500000000000005</v>
      </c>
      <c r="AV1127">
        <v>0</v>
      </c>
      <c r="AW1127">
        <v>7.6640000000000006</v>
      </c>
      <c r="AX1127">
        <v>0</v>
      </c>
      <c r="AY1127">
        <v>24.602</v>
      </c>
      <c r="AZ1127">
        <v>0</v>
      </c>
      <c r="BA1127">
        <v>1992183</v>
      </c>
      <c r="BB1127">
        <v>500000</v>
      </c>
      <c r="BC1127">
        <v>0</v>
      </c>
      <c r="BD1127">
        <v>33354</v>
      </c>
      <c r="BE1127">
        <v>3966</v>
      </c>
      <c r="BF1127">
        <v>37320</v>
      </c>
      <c r="BG1127">
        <v>33354</v>
      </c>
      <c r="BH1127">
        <v>0</v>
      </c>
      <c r="BI1127">
        <v>0</v>
      </c>
      <c r="BJ1127">
        <v>0</v>
      </c>
      <c r="BK1127">
        <v>0</v>
      </c>
      <c r="BL1127">
        <v>58285327</v>
      </c>
      <c r="BM1127">
        <v>0</v>
      </c>
      <c r="BN1127">
        <v>486</v>
      </c>
      <c r="BO1127">
        <v>214</v>
      </c>
      <c r="BP1127">
        <v>0</v>
      </c>
      <c r="BQ1127">
        <v>0</v>
      </c>
      <c r="BR1127">
        <v>0.87590000000000001</v>
      </c>
      <c r="BS1127">
        <v>0.87590000000000001</v>
      </c>
      <c r="BT1127">
        <v>0</v>
      </c>
      <c r="BU1127">
        <v>0</v>
      </c>
      <c r="BV1127">
        <v>5</v>
      </c>
      <c r="BW1127">
        <v>114</v>
      </c>
      <c r="BX1127">
        <v>2</v>
      </c>
      <c r="BY1127">
        <v>0</v>
      </c>
      <c r="BZ1127">
        <v>0</v>
      </c>
      <c r="CA1127">
        <v>121</v>
      </c>
      <c r="CB1127">
        <v>0</v>
      </c>
      <c r="CC1127">
        <v>0</v>
      </c>
      <c r="CD1127">
        <v>0</v>
      </c>
      <c r="CE1127">
        <v>13</v>
      </c>
      <c r="CF1127">
        <v>42.978000000000002</v>
      </c>
      <c r="CG1127">
        <v>0</v>
      </c>
      <c r="CH1127">
        <v>0</v>
      </c>
      <c r="CI1127">
        <v>2</v>
      </c>
      <c r="CJ1127">
        <v>0</v>
      </c>
      <c r="CK1127">
        <v>0</v>
      </c>
      <c r="CL1127">
        <v>0</v>
      </c>
      <c r="CM1127">
        <v>0</v>
      </c>
      <c r="CN1127">
        <v>0</v>
      </c>
      <c r="CO1127">
        <v>0</v>
      </c>
      <c r="CP1127">
        <v>0</v>
      </c>
      <c r="CQ1127">
        <v>0</v>
      </c>
      <c r="CR1127">
        <v>0</v>
      </c>
      <c r="CS1127">
        <v>0</v>
      </c>
      <c r="CT1127">
        <v>0</v>
      </c>
      <c r="CU1127">
        <v>0.64100000000000001</v>
      </c>
      <c r="CV1127">
        <v>5.71</v>
      </c>
      <c r="CW1127">
        <v>5.8719999999999999</v>
      </c>
      <c r="CX1127">
        <v>0</v>
      </c>
      <c r="CY1127" s="2043">
        <v>32720</v>
      </c>
      <c r="CZ1127" s="2043">
        <v>0</v>
      </c>
      <c r="DA1127" s="2043">
        <v>0</v>
      </c>
      <c r="DB1127" s="2043">
        <v>0</v>
      </c>
      <c r="DC1127" s="2043">
        <v>0</v>
      </c>
      <c r="DI1127" t="s">
        <v>5890</v>
      </c>
      <c r="DJ1127" t="s">
        <v>5890</v>
      </c>
      <c r="DK1127" s="2042">
        <f t="shared" si="19"/>
        <v>0</v>
      </c>
    </row>
    <row r="1128" spans="1:115">
      <c r="A1128" t="s">
        <v>4736</v>
      </c>
      <c r="B1128" t="s">
        <v>1349</v>
      </c>
      <c r="C1128">
        <v>416.20500000000004</v>
      </c>
      <c r="D1128">
        <v>463.02300000000002</v>
      </c>
      <c r="E1128">
        <v>0</v>
      </c>
      <c r="F1128">
        <v>0</v>
      </c>
      <c r="G1128" s="2043">
        <v>179053329</v>
      </c>
      <c r="H1128">
        <v>0</v>
      </c>
      <c r="I1128" s="2043">
        <v>99915</v>
      </c>
      <c r="J1128">
        <v>2</v>
      </c>
      <c r="K1128">
        <v>5</v>
      </c>
      <c r="L1128">
        <v>0</v>
      </c>
      <c r="M1128">
        <v>0</v>
      </c>
      <c r="N1128">
        <v>0</v>
      </c>
      <c r="O1128">
        <v>0</v>
      </c>
      <c r="P1128">
        <v>0</v>
      </c>
      <c r="Q1128">
        <v>0</v>
      </c>
      <c r="R1128" s="2043">
        <v>1313361</v>
      </c>
      <c r="S1128">
        <v>97639</v>
      </c>
      <c r="T1128">
        <v>0</v>
      </c>
      <c r="U1128">
        <v>0.06</v>
      </c>
      <c r="V1128">
        <v>0</v>
      </c>
      <c r="W1128">
        <v>0</v>
      </c>
      <c r="X1128">
        <v>0</v>
      </c>
      <c r="Y1128">
        <v>0</v>
      </c>
      <c r="Z1128">
        <v>0</v>
      </c>
      <c r="AA1128">
        <v>1.7000000000000001E-2</v>
      </c>
      <c r="AB1128">
        <v>427.13500000000005</v>
      </c>
      <c r="AC1128" s="2043">
        <v>132526020</v>
      </c>
      <c r="AD1128">
        <v>0</v>
      </c>
      <c r="AE1128" s="2043">
        <v>1411000</v>
      </c>
      <c r="AF1128">
        <v>0.93210000000000004</v>
      </c>
      <c r="AG1128">
        <v>0</v>
      </c>
      <c r="AH1128">
        <v>0</v>
      </c>
      <c r="AI1128">
        <v>0</v>
      </c>
      <c r="AJ1128">
        <v>77.8</v>
      </c>
      <c r="AK1128">
        <v>1698</v>
      </c>
      <c r="AL1128">
        <v>0</v>
      </c>
      <c r="AM1128">
        <v>0</v>
      </c>
      <c r="AN1128">
        <v>22.01</v>
      </c>
      <c r="AO1128">
        <v>0</v>
      </c>
      <c r="AP1128">
        <v>3.2520000000000002</v>
      </c>
      <c r="AQ1128">
        <v>0</v>
      </c>
      <c r="AR1128">
        <v>4.3650000000000002</v>
      </c>
      <c r="AS1128">
        <v>0</v>
      </c>
      <c r="AT1128">
        <v>0</v>
      </c>
      <c r="AU1128">
        <v>0.59899999999999998</v>
      </c>
      <c r="AV1128">
        <v>0</v>
      </c>
      <c r="AW1128">
        <v>8.2160000000000011</v>
      </c>
      <c r="AX1128">
        <v>0</v>
      </c>
      <c r="AY1128">
        <v>24.87</v>
      </c>
      <c r="AZ1128">
        <v>0</v>
      </c>
      <c r="BA1128">
        <v>3749314</v>
      </c>
      <c r="BB1128">
        <v>1411000</v>
      </c>
      <c r="BC1128">
        <v>0</v>
      </c>
      <c r="BD1128">
        <v>41440</v>
      </c>
      <c r="BE1128">
        <v>18360</v>
      </c>
      <c r="BF1128">
        <v>59800</v>
      </c>
      <c r="BG1128">
        <v>41440</v>
      </c>
      <c r="BH1128">
        <v>0</v>
      </c>
      <c r="BI1128">
        <v>0</v>
      </c>
      <c r="BJ1128">
        <v>0</v>
      </c>
      <c r="BK1128">
        <v>0</v>
      </c>
      <c r="BL1128">
        <v>179053329</v>
      </c>
      <c r="BM1128">
        <v>0</v>
      </c>
      <c r="BN1128">
        <v>1647</v>
      </c>
      <c r="BO1128">
        <v>1177</v>
      </c>
      <c r="BP1128">
        <v>0</v>
      </c>
      <c r="BQ1128">
        <v>0</v>
      </c>
      <c r="BR1128">
        <v>0.86760000000000004</v>
      </c>
      <c r="BS1128">
        <v>0.86760000000000004</v>
      </c>
      <c r="BT1128">
        <v>0</v>
      </c>
      <c r="BU1128">
        <v>0</v>
      </c>
      <c r="BV1128">
        <v>0</v>
      </c>
      <c r="BW1128">
        <v>281</v>
      </c>
      <c r="BX1128">
        <v>0</v>
      </c>
      <c r="BY1128">
        <v>39</v>
      </c>
      <c r="BZ1128">
        <v>3</v>
      </c>
      <c r="CA1128">
        <v>323</v>
      </c>
      <c r="CB1128">
        <v>0</v>
      </c>
      <c r="CC1128">
        <v>0</v>
      </c>
      <c r="CD1128">
        <v>0</v>
      </c>
      <c r="CE1128">
        <v>25</v>
      </c>
      <c r="CF1128">
        <v>91.843000000000004</v>
      </c>
      <c r="CG1128">
        <v>0</v>
      </c>
      <c r="CH1128">
        <v>0</v>
      </c>
      <c r="CI1128">
        <v>1</v>
      </c>
      <c r="CJ1128">
        <v>3</v>
      </c>
      <c r="CK1128">
        <v>0</v>
      </c>
      <c r="CL1128">
        <v>0</v>
      </c>
      <c r="CM1128">
        <v>0</v>
      </c>
      <c r="CN1128">
        <v>0</v>
      </c>
      <c r="CO1128">
        <v>0</v>
      </c>
      <c r="CP1128">
        <v>0</v>
      </c>
      <c r="CQ1128">
        <v>0</v>
      </c>
      <c r="CR1128">
        <v>0</v>
      </c>
      <c r="CS1128">
        <v>0</v>
      </c>
      <c r="CT1128">
        <v>0</v>
      </c>
      <c r="CU1128">
        <v>2.629</v>
      </c>
      <c r="CV1128">
        <v>27.925000000000001</v>
      </c>
      <c r="CW1128">
        <v>11.749000000000001</v>
      </c>
      <c r="CX1128">
        <v>0</v>
      </c>
      <c r="CY1128" s="2043">
        <v>0</v>
      </c>
      <c r="CZ1128" s="2043">
        <v>0</v>
      </c>
      <c r="DA1128" s="2043">
        <v>0</v>
      </c>
      <c r="DB1128" s="2043">
        <v>0</v>
      </c>
      <c r="DC1128" s="2043">
        <v>0</v>
      </c>
      <c r="DI1128" t="s">
        <v>4736</v>
      </c>
      <c r="DJ1128" t="s">
        <v>4736</v>
      </c>
      <c r="DK1128" s="2042">
        <f t="shared" si="19"/>
        <v>0</v>
      </c>
    </row>
    <row r="1129" spans="1:115">
      <c r="A1129" t="s">
        <v>3227</v>
      </c>
      <c r="B1129" t="s">
        <v>1708</v>
      </c>
      <c r="C1129">
        <v>1171.1120000000001</v>
      </c>
      <c r="D1129">
        <v>1163.1880000000001</v>
      </c>
      <c r="E1129">
        <v>15.164000000000001</v>
      </c>
      <c r="F1129">
        <v>0</v>
      </c>
      <c r="G1129" s="2043">
        <v>345074059</v>
      </c>
      <c r="H1129">
        <v>0</v>
      </c>
      <c r="I1129" s="2043">
        <v>1387835</v>
      </c>
      <c r="J1129">
        <v>58.556000000000004</v>
      </c>
      <c r="K1129">
        <v>160</v>
      </c>
      <c r="L1129">
        <v>78016</v>
      </c>
      <c r="M1129">
        <v>415347</v>
      </c>
      <c r="N1129">
        <v>78016</v>
      </c>
      <c r="O1129">
        <v>493363</v>
      </c>
      <c r="P1129">
        <v>0</v>
      </c>
      <c r="Q1129">
        <v>0</v>
      </c>
      <c r="R1129" s="2043">
        <v>2759449</v>
      </c>
      <c r="S1129">
        <v>263024</v>
      </c>
      <c r="T1129">
        <v>191678</v>
      </c>
      <c r="U1129">
        <v>0.08</v>
      </c>
      <c r="V1129">
        <v>0</v>
      </c>
      <c r="W1129">
        <v>0</v>
      </c>
      <c r="X1129">
        <v>0</v>
      </c>
      <c r="Y1129">
        <v>283454</v>
      </c>
      <c r="Z1129">
        <v>0</v>
      </c>
      <c r="AA1129">
        <v>0</v>
      </c>
      <c r="AB1129">
        <v>1163.1880000000001</v>
      </c>
      <c r="AC1129" s="2043">
        <v>288060165</v>
      </c>
      <c r="AD1129">
        <v>1173823</v>
      </c>
      <c r="AE1129" s="2043">
        <v>3214151</v>
      </c>
      <c r="AF1129">
        <v>0.97760000000000002</v>
      </c>
      <c r="AG1129">
        <v>0</v>
      </c>
      <c r="AH1129">
        <v>0</v>
      </c>
      <c r="AI1129">
        <v>0</v>
      </c>
      <c r="AJ1129">
        <v>175.93800000000002</v>
      </c>
      <c r="AK1129">
        <v>4773</v>
      </c>
      <c r="AL1129">
        <v>0</v>
      </c>
      <c r="AM1129">
        <v>0</v>
      </c>
      <c r="AN1129">
        <v>59.176000000000002</v>
      </c>
      <c r="AO1129">
        <v>0</v>
      </c>
      <c r="AP1129">
        <v>10.864000000000001</v>
      </c>
      <c r="AQ1129">
        <v>0</v>
      </c>
      <c r="AR1129">
        <v>19.202000000000002</v>
      </c>
      <c r="AS1129">
        <v>0</v>
      </c>
      <c r="AT1129">
        <v>0.46800000000000003</v>
      </c>
      <c r="AU1129">
        <v>2.8240000000000003</v>
      </c>
      <c r="AV1129">
        <v>0</v>
      </c>
      <c r="AW1129">
        <v>33.358000000000004</v>
      </c>
      <c r="AX1129">
        <v>0</v>
      </c>
      <c r="AY1129">
        <v>102.46300000000001</v>
      </c>
      <c r="AZ1129">
        <v>0</v>
      </c>
      <c r="BA1129">
        <v>11121716</v>
      </c>
      <c r="BB1129">
        <v>4387974</v>
      </c>
      <c r="BC1129">
        <v>0</v>
      </c>
      <c r="BD1129">
        <v>152908</v>
      </c>
      <c r="BE1129">
        <v>96841</v>
      </c>
      <c r="BF1129">
        <v>249749</v>
      </c>
      <c r="BG1129">
        <v>152908</v>
      </c>
      <c r="BH1129">
        <v>0</v>
      </c>
      <c r="BI1129">
        <v>0</v>
      </c>
      <c r="BJ1129">
        <v>0</v>
      </c>
      <c r="BK1129">
        <v>0</v>
      </c>
      <c r="BL1129">
        <v>345074059</v>
      </c>
      <c r="BM1129">
        <v>0</v>
      </c>
      <c r="BN1129">
        <v>4221</v>
      </c>
      <c r="BO1129">
        <v>3499</v>
      </c>
      <c r="BP1129">
        <v>0</v>
      </c>
      <c r="BQ1129">
        <v>0</v>
      </c>
      <c r="BR1129">
        <v>0.83930000000000005</v>
      </c>
      <c r="BS1129">
        <v>0.83930000000000005</v>
      </c>
      <c r="BT1129">
        <v>0</v>
      </c>
      <c r="BU1129">
        <v>0</v>
      </c>
      <c r="BV1129">
        <v>270</v>
      </c>
      <c r="BW1129">
        <v>318</v>
      </c>
      <c r="BX1129">
        <v>151</v>
      </c>
      <c r="BY1129">
        <v>1</v>
      </c>
      <c r="BZ1129">
        <v>6</v>
      </c>
      <c r="CA1129">
        <v>746</v>
      </c>
      <c r="CB1129">
        <v>0</v>
      </c>
      <c r="CC1129">
        <v>0</v>
      </c>
      <c r="CD1129">
        <v>0</v>
      </c>
      <c r="CE1129">
        <v>99</v>
      </c>
      <c r="CF1129">
        <v>239.86600000000001</v>
      </c>
      <c r="CG1129">
        <v>0</v>
      </c>
      <c r="CH1129">
        <v>0</v>
      </c>
      <c r="CI1129">
        <v>5</v>
      </c>
      <c r="CJ1129">
        <v>10</v>
      </c>
      <c r="CK1129">
        <v>0</v>
      </c>
      <c r="CL1129">
        <v>0</v>
      </c>
      <c r="CM1129">
        <v>15.164000000000001</v>
      </c>
      <c r="CN1129">
        <v>0</v>
      </c>
      <c r="CO1129">
        <v>0</v>
      </c>
      <c r="CP1129">
        <v>0</v>
      </c>
      <c r="CQ1129">
        <v>0</v>
      </c>
      <c r="CR1129">
        <v>0</v>
      </c>
      <c r="CS1129">
        <v>0</v>
      </c>
      <c r="CT1129">
        <v>0</v>
      </c>
      <c r="CU1129">
        <v>0.79900000000000004</v>
      </c>
      <c r="CV1129">
        <v>89.113</v>
      </c>
      <c r="CW1129">
        <v>37.742000000000004</v>
      </c>
      <c r="CX1129">
        <v>0</v>
      </c>
      <c r="CY1129" s="2043">
        <v>283454</v>
      </c>
      <c r="CZ1129" s="2043">
        <v>0</v>
      </c>
      <c r="DA1129" s="2043">
        <v>0</v>
      </c>
      <c r="DB1129" s="2043">
        <v>0</v>
      </c>
      <c r="DC1129" s="2043">
        <v>0</v>
      </c>
      <c r="DI1129" t="s">
        <v>5285</v>
      </c>
      <c r="DJ1129" t="s">
        <v>3227</v>
      </c>
      <c r="DK1129" s="2042">
        <f t="shared" si="19"/>
        <v>-1</v>
      </c>
    </row>
    <row r="1130" spans="1:115">
      <c r="A1130" t="s">
        <v>5285</v>
      </c>
      <c r="B1130" t="s">
        <v>1707</v>
      </c>
      <c r="C1130">
        <v>1169.5620000000001</v>
      </c>
      <c r="D1130">
        <v>1258.104</v>
      </c>
      <c r="E1130">
        <v>27.107000000000003</v>
      </c>
      <c r="F1130">
        <v>44550</v>
      </c>
      <c r="G1130" s="2043">
        <v>633463413</v>
      </c>
      <c r="H1130">
        <v>0</v>
      </c>
      <c r="I1130" s="2043">
        <v>0</v>
      </c>
      <c r="J1130">
        <v>58.478000000000002</v>
      </c>
      <c r="K1130">
        <v>160</v>
      </c>
      <c r="L1130">
        <v>0</v>
      </c>
      <c r="M1130">
        <v>0</v>
      </c>
      <c r="N1130">
        <v>0</v>
      </c>
      <c r="O1130">
        <v>0</v>
      </c>
      <c r="P1130">
        <v>0</v>
      </c>
      <c r="Q1130">
        <v>0</v>
      </c>
      <c r="R1130" s="2043">
        <v>5202554</v>
      </c>
      <c r="S1130">
        <v>309308</v>
      </c>
      <c r="T1130">
        <v>0</v>
      </c>
      <c r="U1130">
        <v>0.05</v>
      </c>
      <c r="V1130">
        <v>0</v>
      </c>
      <c r="W1130">
        <v>0</v>
      </c>
      <c r="X1130">
        <v>0</v>
      </c>
      <c r="Y1130">
        <v>44550</v>
      </c>
      <c r="Z1130">
        <v>0</v>
      </c>
      <c r="AA1130">
        <v>0.127</v>
      </c>
      <c r="AB1130">
        <v>1130.4650000000001</v>
      </c>
      <c r="AC1130" s="2043">
        <v>575665492</v>
      </c>
      <c r="AD1130">
        <v>10196</v>
      </c>
      <c r="AE1130" s="2043">
        <v>5511862</v>
      </c>
      <c r="AF1130">
        <v>0.89100000000000001</v>
      </c>
      <c r="AG1130">
        <v>0</v>
      </c>
      <c r="AH1130">
        <v>0</v>
      </c>
      <c r="AI1130">
        <v>0</v>
      </c>
      <c r="AJ1130">
        <v>236.91300000000001</v>
      </c>
      <c r="AK1130">
        <v>6500</v>
      </c>
      <c r="AL1130">
        <v>1.9E-2</v>
      </c>
      <c r="AM1130">
        <v>0</v>
      </c>
      <c r="AN1130">
        <v>49.716000000000001</v>
      </c>
      <c r="AO1130">
        <v>0</v>
      </c>
      <c r="AP1130">
        <v>0</v>
      </c>
      <c r="AQ1130">
        <v>4.609</v>
      </c>
      <c r="AR1130">
        <v>34.097999999999999</v>
      </c>
      <c r="AS1130">
        <v>0</v>
      </c>
      <c r="AT1130">
        <v>12.386000000000001</v>
      </c>
      <c r="AU1130">
        <v>3.0680000000000001</v>
      </c>
      <c r="AV1130">
        <v>0</v>
      </c>
      <c r="AW1130">
        <v>54.18</v>
      </c>
      <c r="AX1130">
        <v>0</v>
      </c>
      <c r="AY1130">
        <v>154.887</v>
      </c>
      <c r="AZ1130">
        <v>0</v>
      </c>
      <c r="BA1130">
        <v>8020214</v>
      </c>
      <c r="BB1130">
        <v>5522058</v>
      </c>
      <c r="BC1130">
        <v>816</v>
      </c>
      <c r="BD1130">
        <v>120490</v>
      </c>
      <c r="BE1130">
        <v>29386</v>
      </c>
      <c r="BF1130">
        <v>150692</v>
      </c>
      <c r="BG1130">
        <v>121306</v>
      </c>
      <c r="BH1130">
        <v>0</v>
      </c>
      <c r="BI1130">
        <v>0</v>
      </c>
      <c r="BJ1130">
        <v>0</v>
      </c>
      <c r="BK1130">
        <v>0</v>
      </c>
      <c r="BL1130">
        <v>633463413</v>
      </c>
      <c r="BM1130">
        <v>0</v>
      </c>
      <c r="BN1130">
        <v>3789</v>
      </c>
      <c r="BO1130">
        <v>2440</v>
      </c>
      <c r="BP1130">
        <v>0</v>
      </c>
      <c r="BQ1130">
        <v>0</v>
      </c>
      <c r="BR1130">
        <v>0.84100000000000008</v>
      </c>
      <c r="BS1130">
        <v>0.84100000000000008</v>
      </c>
      <c r="BT1130">
        <v>0</v>
      </c>
      <c r="BU1130">
        <v>0</v>
      </c>
      <c r="BV1130">
        <v>58</v>
      </c>
      <c r="BW1130">
        <v>426</v>
      </c>
      <c r="BX1130">
        <v>173</v>
      </c>
      <c r="BY1130">
        <v>113</v>
      </c>
      <c r="BZ1130">
        <v>181</v>
      </c>
      <c r="CA1130">
        <v>951</v>
      </c>
      <c r="CB1130">
        <v>0</v>
      </c>
      <c r="CC1130">
        <v>0</v>
      </c>
      <c r="CD1130">
        <v>0</v>
      </c>
      <c r="CE1130">
        <v>124</v>
      </c>
      <c r="CF1130">
        <v>311.06400000000002</v>
      </c>
      <c r="CG1130">
        <v>0</v>
      </c>
      <c r="CH1130">
        <v>12.376000000000001</v>
      </c>
      <c r="CI1130">
        <v>6</v>
      </c>
      <c r="CJ1130">
        <v>5</v>
      </c>
      <c r="CK1130">
        <v>0</v>
      </c>
      <c r="CL1130">
        <v>12.376000000000001</v>
      </c>
      <c r="CM1130">
        <v>27.107000000000003</v>
      </c>
      <c r="CN1130">
        <v>0</v>
      </c>
      <c r="CO1130">
        <v>0</v>
      </c>
      <c r="CP1130">
        <v>0</v>
      </c>
      <c r="CQ1130">
        <v>0</v>
      </c>
      <c r="CR1130">
        <v>0</v>
      </c>
      <c r="CS1130">
        <v>0</v>
      </c>
      <c r="CT1130">
        <v>0</v>
      </c>
      <c r="CU1130">
        <v>0</v>
      </c>
      <c r="CV1130">
        <v>88.474000000000004</v>
      </c>
      <c r="CW1130">
        <v>39.812000000000005</v>
      </c>
      <c r="CX1130">
        <v>0</v>
      </c>
      <c r="CY1130" s="2043">
        <v>0</v>
      </c>
      <c r="CZ1130" s="2043">
        <v>0</v>
      </c>
      <c r="DA1130" s="2043">
        <v>0</v>
      </c>
      <c r="DB1130" s="2043">
        <v>44550</v>
      </c>
      <c r="DC1130" s="2043">
        <v>0</v>
      </c>
      <c r="DI1130" t="s">
        <v>3227</v>
      </c>
      <c r="DJ1130" t="s">
        <v>5285</v>
      </c>
      <c r="DK1130" s="2042">
        <f t="shared" si="19"/>
        <v>1</v>
      </c>
    </row>
    <row r="1131" spans="1:115">
      <c r="A1131" t="s">
        <v>3228</v>
      </c>
      <c r="B1131" t="s">
        <v>1180</v>
      </c>
      <c r="C1131">
        <v>333.36400000000003</v>
      </c>
      <c r="D1131">
        <v>381.91200000000003</v>
      </c>
      <c r="E1131">
        <v>10.43</v>
      </c>
      <c r="F1131">
        <v>0</v>
      </c>
      <c r="G1131" s="2043">
        <v>98628226</v>
      </c>
      <c r="H1131">
        <v>0</v>
      </c>
      <c r="I1131" s="2043">
        <v>178650</v>
      </c>
      <c r="J1131">
        <v>16.667999999999999</v>
      </c>
      <c r="K1131">
        <v>46</v>
      </c>
      <c r="L1131">
        <v>30537</v>
      </c>
      <c r="M1131">
        <v>72798</v>
      </c>
      <c r="N1131">
        <v>30537</v>
      </c>
      <c r="O1131">
        <v>103335</v>
      </c>
      <c r="P1131">
        <v>0</v>
      </c>
      <c r="Q1131">
        <v>0</v>
      </c>
      <c r="R1131" s="2043">
        <v>840529</v>
      </c>
      <c r="S1131">
        <v>76963</v>
      </c>
      <c r="T1131">
        <v>48101</v>
      </c>
      <c r="U1131">
        <v>0.08</v>
      </c>
      <c r="V1131">
        <v>0</v>
      </c>
      <c r="W1131">
        <v>0</v>
      </c>
      <c r="X1131">
        <v>0</v>
      </c>
      <c r="Y1131">
        <v>0</v>
      </c>
      <c r="Z1131">
        <v>0</v>
      </c>
      <c r="AA1131">
        <v>0</v>
      </c>
      <c r="AB1131">
        <v>349.24400000000003</v>
      </c>
      <c r="AC1131" s="2043">
        <v>91009021</v>
      </c>
      <c r="AD1131">
        <v>19550</v>
      </c>
      <c r="AE1131" s="2043">
        <v>965593</v>
      </c>
      <c r="AF1131">
        <v>1.0037</v>
      </c>
      <c r="AG1131">
        <v>0</v>
      </c>
      <c r="AH1131">
        <v>0</v>
      </c>
      <c r="AI1131">
        <v>0</v>
      </c>
      <c r="AJ1131">
        <v>59.475000000000001</v>
      </c>
      <c r="AK1131">
        <v>2281</v>
      </c>
      <c r="AL1131">
        <v>0</v>
      </c>
      <c r="AM1131">
        <v>0</v>
      </c>
      <c r="AN1131">
        <v>22.195</v>
      </c>
      <c r="AO1131">
        <v>0</v>
      </c>
      <c r="AP1131">
        <v>3.1670000000000003</v>
      </c>
      <c r="AQ1131">
        <v>0</v>
      </c>
      <c r="AR1131">
        <v>9.0510000000000002</v>
      </c>
      <c r="AS1131">
        <v>0</v>
      </c>
      <c r="AT1131">
        <v>0</v>
      </c>
      <c r="AU1131">
        <v>0.94900000000000007</v>
      </c>
      <c r="AV1131">
        <v>0</v>
      </c>
      <c r="AW1131">
        <v>13.167</v>
      </c>
      <c r="AX1131">
        <v>0</v>
      </c>
      <c r="AY1131">
        <v>40.449000000000005</v>
      </c>
      <c r="AZ1131">
        <v>0</v>
      </c>
      <c r="BA1131">
        <v>3998372</v>
      </c>
      <c r="BB1131">
        <v>985143</v>
      </c>
      <c r="BC1131">
        <v>0</v>
      </c>
      <c r="BD1131">
        <v>31500</v>
      </c>
      <c r="BE1131">
        <v>26460</v>
      </c>
      <c r="BF1131">
        <v>57960</v>
      </c>
      <c r="BG1131">
        <v>31500</v>
      </c>
      <c r="BH1131">
        <v>0</v>
      </c>
      <c r="BI1131">
        <v>0</v>
      </c>
      <c r="BJ1131">
        <v>0</v>
      </c>
      <c r="BK1131">
        <v>0</v>
      </c>
      <c r="BL1131">
        <v>98628226</v>
      </c>
      <c r="BM1131">
        <v>0</v>
      </c>
      <c r="BN1131">
        <v>1071</v>
      </c>
      <c r="BO1131">
        <v>1102</v>
      </c>
      <c r="BP1131">
        <v>0</v>
      </c>
      <c r="BQ1131">
        <v>0</v>
      </c>
      <c r="BR1131">
        <v>0.87370000000000003</v>
      </c>
      <c r="BS1131">
        <v>0.87370000000000003</v>
      </c>
      <c r="BT1131">
        <v>0</v>
      </c>
      <c r="BU1131">
        <v>0</v>
      </c>
      <c r="BV1131">
        <v>7</v>
      </c>
      <c r="BW1131">
        <v>110</v>
      </c>
      <c r="BX1131">
        <v>114</v>
      </c>
      <c r="BY1131">
        <v>2</v>
      </c>
      <c r="BZ1131">
        <v>10</v>
      </c>
      <c r="CA1131">
        <v>243</v>
      </c>
      <c r="CB1131">
        <v>0</v>
      </c>
      <c r="CC1131">
        <v>0</v>
      </c>
      <c r="CD1131">
        <v>0</v>
      </c>
      <c r="CE1131">
        <v>15</v>
      </c>
      <c r="CF1131">
        <v>75.984999999999999</v>
      </c>
      <c r="CG1131">
        <v>0</v>
      </c>
      <c r="CH1131">
        <v>0</v>
      </c>
      <c r="CI1131">
        <v>0</v>
      </c>
      <c r="CJ1131">
        <v>2</v>
      </c>
      <c r="CK1131">
        <v>0</v>
      </c>
      <c r="CL1131">
        <v>0</v>
      </c>
      <c r="CM1131">
        <v>10.43</v>
      </c>
      <c r="CN1131">
        <v>0</v>
      </c>
      <c r="CO1131">
        <v>0</v>
      </c>
      <c r="CP1131">
        <v>0</v>
      </c>
      <c r="CQ1131">
        <v>0</v>
      </c>
      <c r="CR1131">
        <v>0</v>
      </c>
      <c r="CS1131">
        <v>0</v>
      </c>
      <c r="CT1131">
        <v>0</v>
      </c>
      <c r="CU1131">
        <v>0</v>
      </c>
      <c r="CV1131">
        <v>20.379000000000001</v>
      </c>
      <c r="CW1131">
        <v>16.245000000000001</v>
      </c>
      <c r="CX1131">
        <v>0</v>
      </c>
      <c r="CY1131" s="2043">
        <v>0</v>
      </c>
      <c r="CZ1131" s="2043">
        <v>0</v>
      </c>
      <c r="DA1131" s="2043">
        <v>0</v>
      </c>
      <c r="DB1131" s="2043">
        <v>0</v>
      </c>
      <c r="DC1131" s="2043">
        <v>0</v>
      </c>
      <c r="DI1131" t="s">
        <v>3228</v>
      </c>
      <c r="DJ1131" t="s">
        <v>3228</v>
      </c>
      <c r="DK1131" s="2042">
        <f t="shared" si="19"/>
        <v>0</v>
      </c>
    </row>
    <row r="1132" spans="1:115">
      <c r="A1132" t="s">
        <v>3229</v>
      </c>
      <c r="B1132" t="s">
        <v>68</v>
      </c>
      <c r="C1132">
        <v>203.084</v>
      </c>
      <c r="D1132">
        <v>193.46300000000002</v>
      </c>
      <c r="E1132">
        <v>0</v>
      </c>
      <c r="F1132">
        <v>0</v>
      </c>
      <c r="G1132" s="2043">
        <v>95677285</v>
      </c>
      <c r="H1132">
        <v>0</v>
      </c>
      <c r="I1132" s="2043">
        <v>0</v>
      </c>
      <c r="J1132">
        <v>6</v>
      </c>
      <c r="K1132">
        <v>16</v>
      </c>
      <c r="L1132">
        <v>0</v>
      </c>
      <c r="M1132">
        <v>0</v>
      </c>
      <c r="N1132">
        <v>0</v>
      </c>
      <c r="O1132">
        <v>0</v>
      </c>
      <c r="P1132">
        <v>0</v>
      </c>
      <c r="Q1132">
        <v>0</v>
      </c>
      <c r="R1132" s="2043">
        <v>808910</v>
      </c>
      <c r="S1132">
        <v>78707</v>
      </c>
      <c r="T1132">
        <v>57161</v>
      </c>
      <c r="U1132">
        <v>0.08</v>
      </c>
      <c r="V1132">
        <v>0</v>
      </c>
      <c r="W1132">
        <v>0</v>
      </c>
      <c r="X1132">
        <v>0</v>
      </c>
      <c r="Y1132">
        <v>0</v>
      </c>
      <c r="Z1132">
        <v>0</v>
      </c>
      <c r="AA1132">
        <v>3.5000000000000003E-2</v>
      </c>
      <c r="AB1132">
        <v>193.46300000000002</v>
      </c>
      <c r="AC1132" s="2043">
        <v>75815524</v>
      </c>
      <c r="AD1132">
        <v>1049</v>
      </c>
      <c r="AE1132" s="2043">
        <v>944778</v>
      </c>
      <c r="AF1132">
        <v>0.96030000000000004</v>
      </c>
      <c r="AG1132">
        <v>0</v>
      </c>
      <c r="AH1132">
        <v>0</v>
      </c>
      <c r="AI1132">
        <v>0</v>
      </c>
      <c r="AJ1132">
        <v>28.738000000000003</v>
      </c>
      <c r="AK1132">
        <v>753</v>
      </c>
      <c r="AL1132">
        <v>0</v>
      </c>
      <c r="AM1132">
        <v>0</v>
      </c>
      <c r="AN1132">
        <v>10.901</v>
      </c>
      <c r="AO1132">
        <v>0</v>
      </c>
      <c r="AP1132">
        <v>1.9020000000000001</v>
      </c>
      <c r="AQ1132">
        <v>0</v>
      </c>
      <c r="AR1132">
        <v>0.53500000000000003</v>
      </c>
      <c r="AS1132">
        <v>0</v>
      </c>
      <c r="AT1132">
        <v>0</v>
      </c>
      <c r="AU1132">
        <v>0.38</v>
      </c>
      <c r="AV1132">
        <v>0</v>
      </c>
      <c r="AW1132">
        <v>2.8170000000000002</v>
      </c>
      <c r="AX1132">
        <v>0</v>
      </c>
      <c r="AY1132">
        <v>8.64</v>
      </c>
      <c r="AZ1132">
        <v>0</v>
      </c>
      <c r="BA1132">
        <v>1983756</v>
      </c>
      <c r="BB1132">
        <v>945827</v>
      </c>
      <c r="BC1132">
        <v>0</v>
      </c>
      <c r="BD1132">
        <v>18396</v>
      </c>
      <c r="BE1132">
        <v>13495</v>
      </c>
      <c r="BF1132">
        <v>31891</v>
      </c>
      <c r="BG1132">
        <v>18396</v>
      </c>
      <c r="BH1132">
        <v>0</v>
      </c>
      <c r="BI1132">
        <v>0</v>
      </c>
      <c r="BJ1132">
        <v>0</v>
      </c>
      <c r="BK1132">
        <v>0</v>
      </c>
      <c r="BL1132">
        <v>95677285</v>
      </c>
      <c r="BM1132">
        <v>0</v>
      </c>
      <c r="BN1132">
        <v>729</v>
      </c>
      <c r="BO1132">
        <v>364</v>
      </c>
      <c r="BP1132">
        <v>0</v>
      </c>
      <c r="BQ1132">
        <v>0</v>
      </c>
      <c r="BR1132">
        <v>0.82220000000000004</v>
      </c>
      <c r="BS1132">
        <v>0.82220000000000004</v>
      </c>
      <c r="BT1132">
        <v>0</v>
      </c>
      <c r="BU1132">
        <v>0</v>
      </c>
      <c r="BV1132">
        <v>0</v>
      </c>
      <c r="BW1132">
        <v>102</v>
      </c>
      <c r="BX1132">
        <v>17</v>
      </c>
      <c r="BY1132">
        <v>1</v>
      </c>
      <c r="BZ1132">
        <v>0</v>
      </c>
      <c r="CA1132">
        <v>120</v>
      </c>
      <c r="CB1132">
        <v>0</v>
      </c>
      <c r="CC1132">
        <v>0</v>
      </c>
      <c r="CD1132">
        <v>0</v>
      </c>
      <c r="CE1132">
        <v>14</v>
      </c>
      <c r="CF1132">
        <v>25.555</v>
      </c>
      <c r="CG1132">
        <v>0</v>
      </c>
      <c r="CH1132">
        <v>0</v>
      </c>
      <c r="CI1132">
        <v>1</v>
      </c>
      <c r="CJ1132">
        <v>1</v>
      </c>
      <c r="CK1132">
        <v>0</v>
      </c>
      <c r="CL1132">
        <v>0</v>
      </c>
      <c r="CM1132">
        <v>0</v>
      </c>
      <c r="CN1132">
        <v>0</v>
      </c>
      <c r="CO1132">
        <v>0</v>
      </c>
      <c r="CP1132">
        <v>0</v>
      </c>
      <c r="CQ1132">
        <v>0</v>
      </c>
      <c r="CR1132">
        <v>0</v>
      </c>
      <c r="CS1132">
        <v>0</v>
      </c>
      <c r="CT1132">
        <v>0</v>
      </c>
      <c r="CU1132">
        <v>0.16</v>
      </c>
      <c r="CV1132">
        <v>17.312000000000001</v>
      </c>
      <c r="CW1132">
        <v>7.4740000000000002</v>
      </c>
      <c r="CX1132">
        <v>0</v>
      </c>
      <c r="CY1132" s="2043">
        <v>0</v>
      </c>
      <c r="CZ1132" s="2043">
        <v>0</v>
      </c>
      <c r="DA1132" s="2043">
        <v>0</v>
      </c>
      <c r="DB1132" s="2043">
        <v>0</v>
      </c>
      <c r="DC1132" s="2043">
        <v>0</v>
      </c>
      <c r="DI1132" t="s">
        <v>3229</v>
      </c>
      <c r="DJ1132" t="s">
        <v>3229</v>
      </c>
      <c r="DK1132" s="2042">
        <f t="shared" si="19"/>
        <v>0</v>
      </c>
    </row>
    <row r="1133" spans="1:115">
      <c r="A1133" t="s">
        <v>5286</v>
      </c>
      <c r="B1133" t="s">
        <v>1709</v>
      </c>
      <c r="C1133">
        <v>605.18600000000004</v>
      </c>
      <c r="D1133">
        <v>591.42200000000003</v>
      </c>
      <c r="E1133">
        <v>36.786999999999999</v>
      </c>
      <c r="F1133">
        <v>0</v>
      </c>
      <c r="G1133" s="2043">
        <v>237591899</v>
      </c>
      <c r="H1133">
        <v>0</v>
      </c>
      <c r="I1133" s="2043">
        <v>484672</v>
      </c>
      <c r="J1133">
        <v>30.259</v>
      </c>
      <c r="K1133">
        <v>83</v>
      </c>
      <c r="L1133">
        <v>0</v>
      </c>
      <c r="M1133">
        <v>0</v>
      </c>
      <c r="N1133">
        <v>0</v>
      </c>
      <c r="O1133">
        <v>0</v>
      </c>
      <c r="P1133">
        <v>0</v>
      </c>
      <c r="Q1133">
        <v>0</v>
      </c>
      <c r="R1133" s="2043">
        <v>1839962</v>
      </c>
      <c r="S1133">
        <v>100720</v>
      </c>
      <c r="T1133">
        <v>0</v>
      </c>
      <c r="U1133">
        <v>0.05</v>
      </c>
      <c r="V1133">
        <v>0</v>
      </c>
      <c r="W1133">
        <v>0</v>
      </c>
      <c r="X1133">
        <v>0</v>
      </c>
      <c r="Y1133">
        <v>0</v>
      </c>
      <c r="Z1133">
        <v>0.92600000000000005</v>
      </c>
      <c r="AA1133">
        <v>0</v>
      </c>
      <c r="AB1133">
        <v>591.42200000000003</v>
      </c>
      <c r="AC1133" s="2043">
        <v>236239246</v>
      </c>
      <c r="AD1133">
        <v>352365</v>
      </c>
      <c r="AE1133" s="2043">
        <v>1940682</v>
      </c>
      <c r="AF1133">
        <v>0.96340000000000003</v>
      </c>
      <c r="AG1133">
        <v>0</v>
      </c>
      <c r="AH1133">
        <v>0</v>
      </c>
      <c r="AI1133">
        <v>0</v>
      </c>
      <c r="AJ1133">
        <v>117.438</v>
      </c>
      <c r="AK1133">
        <v>3727</v>
      </c>
      <c r="AL1133">
        <v>0</v>
      </c>
      <c r="AM1133">
        <v>0</v>
      </c>
      <c r="AN1133">
        <v>47.188000000000002</v>
      </c>
      <c r="AO1133">
        <v>0</v>
      </c>
      <c r="AP1133">
        <v>1.204</v>
      </c>
      <c r="AQ1133">
        <v>0</v>
      </c>
      <c r="AR1133">
        <v>10.8</v>
      </c>
      <c r="AS1133">
        <v>0</v>
      </c>
      <c r="AT1133">
        <v>5.9649999999999999</v>
      </c>
      <c r="AU1133">
        <v>1.353</v>
      </c>
      <c r="AV1133">
        <v>0</v>
      </c>
      <c r="AW1133">
        <v>19.321999999999999</v>
      </c>
      <c r="AX1133">
        <v>0</v>
      </c>
      <c r="AY1133">
        <v>60.311</v>
      </c>
      <c r="AZ1133">
        <v>0</v>
      </c>
      <c r="BA1133">
        <v>5637672</v>
      </c>
      <c r="BB1133">
        <v>2293047</v>
      </c>
      <c r="BC1133">
        <v>0</v>
      </c>
      <c r="BD1133">
        <v>49573</v>
      </c>
      <c r="BE1133">
        <v>23916</v>
      </c>
      <c r="BF1133">
        <v>73489</v>
      </c>
      <c r="BG1133">
        <v>49573</v>
      </c>
      <c r="BH1133">
        <v>0</v>
      </c>
      <c r="BI1133">
        <v>0</v>
      </c>
      <c r="BJ1133">
        <v>0</v>
      </c>
      <c r="BK1133">
        <v>0</v>
      </c>
      <c r="BL1133">
        <v>237591899</v>
      </c>
      <c r="BM1133">
        <v>0</v>
      </c>
      <c r="BN1133">
        <v>2205</v>
      </c>
      <c r="BO1133">
        <v>2076</v>
      </c>
      <c r="BP1133">
        <v>0</v>
      </c>
      <c r="BQ1133">
        <v>0</v>
      </c>
      <c r="BR1133">
        <v>0.91339999999999999</v>
      </c>
      <c r="BS1133">
        <v>0.91339999999999999</v>
      </c>
      <c r="BT1133">
        <v>0</v>
      </c>
      <c r="BU1133">
        <v>0</v>
      </c>
      <c r="BV1133">
        <v>58</v>
      </c>
      <c r="BW1133">
        <v>160</v>
      </c>
      <c r="BX1133">
        <v>126</v>
      </c>
      <c r="BY1133">
        <v>113</v>
      </c>
      <c r="BZ1133">
        <v>19</v>
      </c>
      <c r="CA1133">
        <v>476</v>
      </c>
      <c r="CB1133">
        <v>0</v>
      </c>
      <c r="CC1133">
        <v>0</v>
      </c>
      <c r="CD1133">
        <v>0</v>
      </c>
      <c r="CE1133">
        <v>48</v>
      </c>
      <c r="CF1133">
        <v>148.86000000000001</v>
      </c>
      <c r="CG1133">
        <v>0</v>
      </c>
      <c r="CH1133">
        <v>0</v>
      </c>
      <c r="CI1133">
        <v>2</v>
      </c>
      <c r="CJ1133">
        <v>5</v>
      </c>
      <c r="CK1133">
        <v>0</v>
      </c>
      <c r="CL1133">
        <v>0</v>
      </c>
      <c r="CM1133">
        <v>36.786999999999999</v>
      </c>
      <c r="CN1133">
        <v>0</v>
      </c>
      <c r="CO1133">
        <v>0</v>
      </c>
      <c r="CP1133">
        <v>0</v>
      </c>
      <c r="CQ1133">
        <v>0</v>
      </c>
      <c r="CR1133">
        <v>0</v>
      </c>
      <c r="CS1133">
        <v>0</v>
      </c>
      <c r="CT1133">
        <v>0</v>
      </c>
      <c r="CU1133">
        <v>18.001000000000001</v>
      </c>
      <c r="CV1133">
        <v>26.188000000000002</v>
      </c>
      <c r="CW1133">
        <v>32.306000000000004</v>
      </c>
      <c r="CX1133">
        <v>0</v>
      </c>
      <c r="CY1133" s="2043">
        <v>0</v>
      </c>
      <c r="CZ1133" s="2043">
        <v>0</v>
      </c>
      <c r="DA1133" s="2043">
        <v>0</v>
      </c>
      <c r="DB1133" s="2043">
        <v>0</v>
      </c>
      <c r="DC1133" s="2043">
        <v>0</v>
      </c>
      <c r="DI1133" t="s">
        <v>5286</v>
      </c>
      <c r="DJ1133" t="s">
        <v>5286</v>
      </c>
      <c r="DK1133" s="2042">
        <f t="shared" si="19"/>
        <v>0</v>
      </c>
    </row>
    <row r="1134" spans="1:115">
      <c r="A1134" t="s">
        <v>5287</v>
      </c>
      <c r="B1134" t="s">
        <v>1710</v>
      </c>
      <c r="C1134">
        <v>2439.3760000000002</v>
      </c>
      <c r="D1134">
        <v>2442.14</v>
      </c>
      <c r="E1134">
        <v>223.68900000000002</v>
      </c>
      <c r="F1134">
        <v>0</v>
      </c>
      <c r="G1134" s="2043">
        <v>925850307</v>
      </c>
      <c r="H1134">
        <v>0</v>
      </c>
      <c r="I1134" s="2043">
        <v>3128400</v>
      </c>
      <c r="J1134">
        <v>121.96900000000001</v>
      </c>
      <c r="K1134">
        <v>333</v>
      </c>
      <c r="L1134">
        <v>0</v>
      </c>
      <c r="M1134">
        <v>0</v>
      </c>
      <c r="N1134">
        <v>0</v>
      </c>
      <c r="O1134">
        <v>0</v>
      </c>
      <c r="P1134">
        <v>0</v>
      </c>
      <c r="Q1134">
        <v>0</v>
      </c>
      <c r="R1134" s="2043">
        <v>8245291</v>
      </c>
      <c r="S1134">
        <v>729995</v>
      </c>
      <c r="T1134">
        <v>531983</v>
      </c>
      <c r="U1134">
        <v>0.08</v>
      </c>
      <c r="V1134">
        <v>58.033000000000001</v>
      </c>
      <c r="W1134">
        <v>0</v>
      </c>
      <c r="X1134">
        <v>0</v>
      </c>
      <c r="Y1134">
        <v>0</v>
      </c>
      <c r="Z1134">
        <v>0</v>
      </c>
      <c r="AA1134">
        <v>0.158</v>
      </c>
      <c r="AB1134">
        <v>2293.431</v>
      </c>
      <c r="AC1134" s="2043">
        <v>906482984</v>
      </c>
      <c r="AD1134">
        <v>3202000</v>
      </c>
      <c r="AE1134" s="2043">
        <v>9507269</v>
      </c>
      <c r="AF1134">
        <v>1.0419</v>
      </c>
      <c r="AG1134">
        <v>0</v>
      </c>
      <c r="AH1134">
        <v>0</v>
      </c>
      <c r="AI1134">
        <v>0</v>
      </c>
      <c r="AJ1134">
        <v>550.625</v>
      </c>
      <c r="AK1134">
        <v>7402</v>
      </c>
      <c r="AL1134">
        <v>0.59599999999999997</v>
      </c>
      <c r="AM1134">
        <v>0</v>
      </c>
      <c r="AN1134">
        <v>68.858000000000004</v>
      </c>
      <c r="AO1134">
        <v>0</v>
      </c>
      <c r="AP1134">
        <v>3.2990000000000004</v>
      </c>
      <c r="AQ1134">
        <v>0</v>
      </c>
      <c r="AR1134">
        <v>47.792000000000002</v>
      </c>
      <c r="AS1134">
        <v>0</v>
      </c>
      <c r="AT1134">
        <v>16.425000000000001</v>
      </c>
      <c r="AU1134">
        <v>4.33</v>
      </c>
      <c r="AV1134">
        <v>0</v>
      </c>
      <c r="AW1134">
        <v>72.442000000000007</v>
      </c>
      <c r="AX1134">
        <v>0</v>
      </c>
      <c r="AY1134">
        <v>226.18800000000002</v>
      </c>
      <c r="AZ1134">
        <v>0</v>
      </c>
      <c r="BA1134">
        <v>17182190</v>
      </c>
      <c r="BB1134">
        <v>12709269</v>
      </c>
      <c r="BC1134">
        <v>0</v>
      </c>
      <c r="BD1134">
        <v>252300</v>
      </c>
      <c r="BE1134">
        <v>45852</v>
      </c>
      <c r="BF1134">
        <v>298152</v>
      </c>
      <c r="BG1134">
        <v>252300</v>
      </c>
      <c r="BH1134">
        <v>0</v>
      </c>
      <c r="BI1134">
        <v>0</v>
      </c>
      <c r="BJ1134">
        <v>0</v>
      </c>
      <c r="BK1134">
        <v>0</v>
      </c>
      <c r="BL1134">
        <v>925850307</v>
      </c>
      <c r="BM1134">
        <v>0</v>
      </c>
      <c r="BN1134">
        <v>8055</v>
      </c>
      <c r="BO1134">
        <v>6784</v>
      </c>
      <c r="BP1134">
        <v>0</v>
      </c>
      <c r="BQ1134">
        <v>0</v>
      </c>
      <c r="BR1134">
        <v>0.90360000000000007</v>
      </c>
      <c r="BS1134">
        <v>0.90360000000000007</v>
      </c>
      <c r="BT1134">
        <v>0</v>
      </c>
      <c r="BU1134">
        <v>0</v>
      </c>
      <c r="BV1134">
        <v>534</v>
      </c>
      <c r="BW1134">
        <v>625</v>
      </c>
      <c r="BX1134">
        <v>816</v>
      </c>
      <c r="BY1134">
        <v>225</v>
      </c>
      <c r="BZ1134">
        <v>69</v>
      </c>
      <c r="CA1134">
        <v>2269</v>
      </c>
      <c r="CB1134">
        <v>0</v>
      </c>
      <c r="CC1134">
        <v>0</v>
      </c>
      <c r="CD1134">
        <v>0</v>
      </c>
      <c r="CE1134">
        <v>161</v>
      </c>
      <c r="CF1134">
        <v>642.73099999999999</v>
      </c>
      <c r="CG1134">
        <v>0</v>
      </c>
      <c r="CH1134">
        <v>0</v>
      </c>
      <c r="CI1134">
        <v>18</v>
      </c>
      <c r="CJ1134">
        <v>25</v>
      </c>
      <c r="CK1134">
        <v>0</v>
      </c>
      <c r="CL1134">
        <v>0</v>
      </c>
      <c r="CM1134">
        <v>223.68900000000002</v>
      </c>
      <c r="CN1134">
        <v>0</v>
      </c>
      <c r="CO1134">
        <v>0</v>
      </c>
      <c r="CP1134">
        <v>0</v>
      </c>
      <c r="CQ1134">
        <v>0</v>
      </c>
      <c r="CR1134">
        <v>0</v>
      </c>
      <c r="CS1134">
        <v>0</v>
      </c>
      <c r="CT1134">
        <v>0</v>
      </c>
      <c r="CU1134">
        <v>1.6680000000000001</v>
      </c>
      <c r="CV1134">
        <v>109.89</v>
      </c>
      <c r="CW1134">
        <v>64.88900000000001</v>
      </c>
      <c r="CX1134">
        <v>0</v>
      </c>
      <c r="CY1134" s="2043">
        <v>0</v>
      </c>
      <c r="CZ1134" s="2043">
        <v>0</v>
      </c>
      <c r="DA1134" s="2043">
        <v>0</v>
      </c>
      <c r="DB1134" s="2043">
        <v>0</v>
      </c>
      <c r="DC1134" s="2043">
        <v>0</v>
      </c>
      <c r="DI1134" t="s">
        <v>5287</v>
      </c>
      <c r="DJ1134" t="s">
        <v>5287</v>
      </c>
      <c r="DK1134" s="2042">
        <f t="shared" si="19"/>
        <v>0</v>
      </c>
    </row>
    <row r="1135" spans="1:115">
      <c r="A1135" t="s">
        <v>3230</v>
      </c>
      <c r="B1135" t="s">
        <v>1329</v>
      </c>
      <c r="C1135">
        <v>794.35500000000002</v>
      </c>
      <c r="D1135">
        <v>931.154</v>
      </c>
      <c r="E1135">
        <v>65.147000000000006</v>
      </c>
      <c r="F1135">
        <v>0</v>
      </c>
      <c r="G1135" s="2043">
        <v>168434879</v>
      </c>
      <c r="H1135">
        <v>0</v>
      </c>
      <c r="I1135" s="2043">
        <v>583875</v>
      </c>
      <c r="J1135">
        <v>32</v>
      </c>
      <c r="K1135">
        <v>87</v>
      </c>
      <c r="L1135">
        <v>144276</v>
      </c>
      <c r="M1135">
        <v>221748</v>
      </c>
      <c r="N1135">
        <v>144276</v>
      </c>
      <c r="O1135">
        <v>366024</v>
      </c>
      <c r="P1135">
        <v>0</v>
      </c>
      <c r="Q1135">
        <v>0</v>
      </c>
      <c r="R1135" s="2043">
        <v>1548172</v>
      </c>
      <c r="S1135">
        <v>136178</v>
      </c>
      <c r="T1135">
        <v>99240</v>
      </c>
      <c r="U1135">
        <v>0.08</v>
      </c>
      <c r="V1135">
        <v>0</v>
      </c>
      <c r="W1135">
        <v>0</v>
      </c>
      <c r="X1135">
        <v>0</v>
      </c>
      <c r="Y1135">
        <v>0</v>
      </c>
      <c r="Z1135">
        <v>0</v>
      </c>
      <c r="AA1135">
        <v>0.34700000000000003</v>
      </c>
      <c r="AB1135">
        <v>824.74</v>
      </c>
      <c r="AC1135" s="2043">
        <v>163210493</v>
      </c>
      <c r="AD1135">
        <v>624679</v>
      </c>
      <c r="AE1135" s="2043">
        <v>1783590</v>
      </c>
      <c r="AF1135">
        <v>1.0478000000000001</v>
      </c>
      <c r="AG1135">
        <v>0</v>
      </c>
      <c r="AH1135">
        <v>0</v>
      </c>
      <c r="AI1135">
        <v>0</v>
      </c>
      <c r="AJ1135">
        <v>145.35</v>
      </c>
      <c r="AK1135">
        <v>3496</v>
      </c>
      <c r="AL1135">
        <v>0</v>
      </c>
      <c r="AM1135">
        <v>0</v>
      </c>
      <c r="AN1135">
        <v>12.737</v>
      </c>
      <c r="AO1135">
        <v>0</v>
      </c>
      <c r="AP1135">
        <v>1.6860000000000002</v>
      </c>
      <c r="AQ1135">
        <v>0</v>
      </c>
      <c r="AR1135">
        <v>22.245000000000001</v>
      </c>
      <c r="AS1135">
        <v>0</v>
      </c>
      <c r="AT1135">
        <v>7.4180000000000001</v>
      </c>
      <c r="AU1135">
        <v>1.0110000000000001</v>
      </c>
      <c r="AV1135">
        <v>0</v>
      </c>
      <c r="AW1135">
        <v>32.36</v>
      </c>
      <c r="AX1135">
        <v>0</v>
      </c>
      <c r="AY1135">
        <v>98.596000000000004</v>
      </c>
      <c r="AZ1135">
        <v>0</v>
      </c>
      <c r="BA1135">
        <v>8892049</v>
      </c>
      <c r="BB1135">
        <v>2408269</v>
      </c>
      <c r="BC1135">
        <v>0</v>
      </c>
      <c r="BD1135">
        <v>62530</v>
      </c>
      <c r="BE1135">
        <v>52125</v>
      </c>
      <c r="BF1135">
        <v>114655</v>
      </c>
      <c r="BG1135">
        <v>62530</v>
      </c>
      <c r="BH1135">
        <v>0</v>
      </c>
      <c r="BI1135">
        <v>0</v>
      </c>
      <c r="BJ1135">
        <v>0</v>
      </c>
      <c r="BK1135">
        <v>0</v>
      </c>
      <c r="BL1135">
        <v>168434879</v>
      </c>
      <c r="BM1135">
        <v>0</v>
      </c>
      <c r="BN1135">
        <v>2853</v>
      </c>
      <c r="BO1135">
        <v>2643</v>
      </c>
      <c r="BP1135">
        <v>0</v>
      </c>
      <c r="BQ1135">
        <v>0</v>
      </c>
      <c r="BR1135">
        <v>0.90950000000000009</v>
      </c>
      <c r="BS1135">
        <v>0.90950000000000009</v>
      </c>
      <c r="BT1135">
        <v>0</v>
      </c>
      <c r="BU1135">
        <v>0</v>
      </c>
      <c r="BV1135">
        <v>98</v>
      </c>
      <c r="BW1135">
        <v>177</v>
      </c>
      <c r="BX1135">
        <v>142</v>
      </c>
      <c r="BY1135">
        <v>167</v>
      </c>
      <c r="BZ1135">
        <v>7</v>
      </c>
      <c r="CA1135">
        <v>591</v>
      </c>
      <c r="CB1135">
        <v>0</v>
      </c>
      <c r="CC1135">
        <v>0</v>
      </c>
      <c r="CD1135">
        <v>0</v>
      </c>
      <c r="CE1135">
        <v>83</v>
      </c>
      <c r="CF1135">
        <v>197.245</v>
      </c>
      <c r="CG1135">
        <v>0</v>
      </c>
      <c r="CH1135">
        <v>0</v>
      </c>
      <c r="CI1135">
        <v>5</v>
      </c>
      <c r="CJ1135">
        <v>2</v>
      </c>
      <c r="CK1135">
        <v>0</v>
      </c>
      <c r="CL1135">
        <v>0</v>
      </c>
      <c r="CM1135">
        <v>65.147000000000006</v>
      </c>
      <c r="CN1135">
        <v>0</v>
      </c>
      <c r="CO1135">
        <v>0</v>
      </c>
      <c r="CP1135">
        <v>0</v>
      </c>
      <c r="CQ1135">
        <v>0</v>
      </c>
      <c r="CR1135">
        <v>0</v>
      </c>
      <c r="CS1135">
        <v>0</v>
      </c>
      <c r="CT1135">
        <v>0</v>
      </c>
      <c r="CU1135">
        <v>2.29</v>
      </c>
      <c r="CV1135">
        <v>50.744</v>
      </c>
      <c r="CW1135">
        <v>16.957000000000001</v>
      </c>
      <c r="CX1135">
        <v>0</v>
      </c>
      <c r="CY1135" s="2043">
        <v>0</v>
      </c>
      <c r="CZ1135" s="2043">
        <v>0</v>
      </c>
      <c r="DA1135" s="2043">
        <v>0</v>
      </c>
      <c r="DB1135" s="2043">
        <v>0</v>
      </c>
      <c r="DC1135" s="2043">
        <v>0</v>
      </c>
      <c r="DI1135" t="s">
        <v>3230</v>
      </c>
      <c r="DJ1135" t="s">
        <v>3230</v>
      </c>
      <c r="DK1135" s="2042">
        <f t="shared" si="19"/>
        <v>0</v>
      </c>
    </row>
    <row r="1136" spans="1:115">
      <c r="A1136" t="s">
        <v>5891</v>
      </c>
      <c r="B1136" t="s">
        <v>1021</v>
      </c>
      <c r="C1136">
        <v>266.23200000000003</v>
      </c>
      <c r="D1136">
        <v>294.964</v>
      </c>
      <c r="E1136">
        <v>5.577</v>
      </c>
      <c r="F1136">
        <v>0</v>
      </c>
      <c r="G1136" s="2043">
        <v>99698550</v>
      </c>
      <c r="H1136">
        <v>0</v>
      </c>
      <c r="I1136" s="2043">
        <v>0</v>
      </c>
      <c r="J1136">
        <v>4</v>
      </c>
      <c r="K1136">
        <v>11</v>
      </c>
      <c r="L1136">
        <v>0</v>
      </c>
      <c r="M1136">
        <v>0</v>
      </c>
      <c r="N1136">
        <v>0</v>
      </c>
      <c r="O1136">
        <v>0</v>
      </c>
      <c r="P1136">
        <v>0</v>
      </c>
      <c r="Q1136">
        <v>0</v>
      </c>
      <c r="R1136" s="2043">
        <v>881725</v>
      </c>
      <c r="S1136">
        <v>79551</v>
      </c>
      <c r="T1136">
        <v>57973</v>
      </c>
      <c r="U1136">
        <v>0.08</v>
      </c>
      <c r="V1136">
        <v>0</v>
      </c>
      <c r="W1136">
        <v>0</v>
      </c>
      <c r="X1136">
        <v>0</v>
      </c>
      <c r="Y1136">
        <v>0</v>
      </c>
      <c r="Z1136">
        <v>0</v>
      </c>
      <c r="AA1136">
        <v>0.14300000000000002</v>
      </c>
      <c r="AB1136">
        <v>294.17700000000002</v>
      </c>
      <c r="AC1136" s="2043">
        <v>89870102</v>
      </c>
      <c r="AD1136">
        <v>0</v>
      </c>
      <c r="AE1136" s="2043">
        <v>1019249</v>
      </c>
      <c r="AF1136">
        <v>1.0250000000000001</v>
      </c>
      <c r="AG1136">
        <v>0</v>
      </c>
      <c r="AH1136">
        <v>0</v>
      </c>
      <c r="AI1136">
        <v>0</v>
      </c>
      <c r="AJ1136">
        <v>46.35</v>
      </c>
      <c r="AK1136">
        <v>912</v>
      </c>
      <c r="AL1136">
        <v>0.16800000000000001</v>
      </c>
      <c r="AM1136">
        <v>0</v>
      </c>
      <c r="AN1136">
        <v>10.172000000000001</v>
      </c>
      <c r="AO1136">
        <v>0</v>
      </c>
      <c r="AP1136">
        <v>0</v>
      </c>
      <c r="AQ1136">
        <v>0</v>
      </c>
      <c r="AR1136">
        <v>3.31</v>
      </c>
      <c r="AS1136">
        <v>0</v>
      </c>
      <c r="AT1136">
        <v>0.46600000000000003</v>
      </c>
      <c r="AU1136">
        <v>0.43099999999999999</v>
      </c>
      <c r="AV1136">
        <v>0</v>
      </c>
      <c r="AW1136">
        <v>4.375</v>
      </c>
      <c r="AX1136">
        <v>0</v>
      </c>
      <c r="AY1136">
        <v>14.323</v>
      </c>
      <c r="AZ1136">
        <v>0</v>
      </c>
      <c r="BA1136">
        <v>2790159</v>
      </c>
      <c r="BB1136">
        <v>1019249</v>
      </c>
      <c r="BC1136">
        <v>0</v>
      </c>
      <c r="BD1136">
        <v>32784</v>
      </c>
      <c r="BE1136">
        <v>2351</v>
      </c>
      <c r="BF1136">
        <v>35135</v>
      </c>
      <c r="BG1136">
        <v>32784</v>
      </c>
      <c r="BH1136">
        <v>0</v>
      </c>
      <c r="BI1136">
        <v>0</v>
      </c>
      <c r="BJ1136">
        <v>0</v>
      </c>
      <c r="BK1136">
        <v>0</v>
      </c>
      <c r="BL1136">
        <v>99698550</v>
      </c>
      <c r="BM1136">
        <v>0</v>
      </c>
      <c r="BN1136">
        <v>990</v>
      </c>
      <c r="BO1136">
        <v>920</v>
      </c>
      <c r="BP1136">
        <v>0</v>
      </c>
      <c r="BQ1136">
        <v>0</v>
      </c>
      <c r="BR1136">
        <v>0.88670000000000004</v>
      </c>
      <c r="BS1136">
        <v>0.88670000000000004</v>
      </c>
      <c r="BT1136">
        <v>0</v>
      </c>
      <c r="BU1136">
        <v>0</v>
      </c>
      <c r="BV1136">
        <v>27</v>
      </c>
      <c r="BW1136">
        <v>159</v>
      </c>
      <c r="BX1136">
        <v>9</v>
      </c>
      <c r="BY1136">
        <v>1</v>
      </c>
      <c r="BZ1136">
        <v>0</v>
      </c>
      <c r="CA1136">
        <v>196</v>
      </c>
      <c r="CB1136">
        <v>0</v>
      </c>
      <c r="CC1136">
        <v>0</v>
      </c>
      <c r="CD1136">
        <v>0</v>
      </c>
      <c r="CE1136">
        <v>30</v>
      </c>
      <c r="CF1136">
        <v>60.074000000000005</v>
      </c>
      <c r="CG1136">
        <v>0</v>
      </c>
      <c r="CH1136">
        <v>0</v>
      </c>
      <c r="CI1136">
        <v>3</v>
      </c>
      <c r="CJ1136">
        <v>0</v>
      </c>
      <c r="CK1136">
        <v>0</v>
      </c>
      <c r="CL1136">
        <v>0</v>
      </c>
      <c r="CM1136">
        <v>5.577</v>
      </c>
      <c r="CN1136">
        <v>0</v>
      </c>
      <c r="CO1136">
        <v>0</v>
      </c>
      <c r="CP1136">
        <v>0</v>
      </c>
      <c r="CQ1136">
        <v>0</v>
      </c>
      <c r="CR1136">
        <v>0</v>
      </c>
      <c r="CS1136">
        <v>0</v>
      </c>
      <c r="CT1136">
        <v>0</v>
      </c>
      <c r="CU1136">
        <v>3.2350000000000003</v>
      </c>
      <c r="CV1136">
        <v>17.662000000000003</v>
      </c>
      <c r="CW1136">
        <v>11.962</v>
      </c>
      <c r="CX1136">
        <v>0</v>
      </c>
      <c r="CY1136" s="2043">
        <v>0</v>
      </c>
      <c r="CZ1136" s="2043">
        <v>0</v>
      </c>
      <c r="DA1136" s="2043">
        <v>0</v>
      </c>
      <c r="DB1136" s="2043">
        <v>0</v>
      </c>
      <c r="DC1136" s="2043">
        <v>0</v>
      </c>
      <c r="DI1136" t="s">
        <v>5891</v>
      </c>
      <c r="DJ1136" t="s">
        <v>5891</v>
      </c>
      <c r="DK1136" s="2042">
        <f t="shared" si="19"/>
        <v>0</v>
      </c>
    </row>
    <row r="1137" spans="1:115">
      <c r="A1137" t="s">
        <v>3231</v>
      </c>
      <c r="B1137" t="s">
        <v>1757</v>
      </c>
      <c r="C1137">
        <v>957.43400000000008</v>
      </c>
      <c r="D1137">
        <v>1011.3630000000001</v>
      </c>
      <c r="E1137">
        <v>48.889000000000003</v>
      </c>
      <c r="F1137">
        <v>0</v>
      </c>
      <c r="G1137" s="2043">
        <v>490271252</v>
      </c>
      <c r="H1137">
        <v>0</v>
      </c>
      <c r="I1137" s="2043">
        <v>242700</v>
      </c>
      <c r="J1137">
        <v>47.872</v>
      </c>
      <c r="K1137">
        <v>131</v>
      </c>
      <c r="L1137">
        <v>0</v>
      </c>
      <c r="M1137">
        <v>205210</v>
      </c>
      <c r="N1137">
        <v>0</v>
      </c>
      <c r="O1137">
        <v>205210</v>
      </c>
      <c r="P1137">
        <v>0</v>
      </c>
      <c r="Q1137">
        <v>0</v>
      </c>
      <c r="R1137" s="2043">
        <v>4124875</v>
      </c>
      <c r="S1137">
        <v>388681</v>
      </c>
      <c r="T1137">
        <v>283251</v>
      </c>
      <c r="U1137">
        <v>0.08</v>
      </c>
      <c r="V1137">
        <v>0</v>
      </c>
      <c r="W1137">
        <v>0</v>
      </c>
      <c r="X1137">
        <v>0</v>
      </c>
      <c r="Y1137">
        <v>0</v>
      </c>
      <c r="Z1137">
        <v>0</v>
      </c>
      <c r="AA1137">
        <v>0</v>
      </c>
      <c r="AB1137">
        <v>991.476</v>
      </c>
      <c r="AC1137" s="2043">
        <v>419941570</v>
      </c>
      <c r="AD1137">
        <v>253058</v>
      </c>
      <c r="AE1137" s="2043">
        <v>4796807</v>
      </c>
      <c r="AF1137">
        <v>0.98730000000000007</v>
      </c>
      <c r="AG1137">
        <v>0</v>
      </c>
      <c r="AH1137">
        <v>0</v>
      </c>
      <c r="AI1137">
        <v>0</v>
      </c>
      <c r="AJ1137">
        <v>134.71299999999999</v>
      </c>
      <c r="AK1137">
        <v>2721</v>
      </c>
      <c r="AL1137">
        <v>0.13700000000000001</v>
      </c>
      <c r="AM1137">
        <v>0</v>
      </c>
      <c r="AN1137">
        <v>17.093</v>
      </c>
      <c r="AO1137">
        <v>0</v>
      </c>
      <c r="AP1137">
        <v>1.0780000000000001</v>
      </c>
      <c r="AQ1137">
        <v>0</v>
      </c>
      <c r="AR1137">
        <v>14.797000000000001</v>
      </c>
      <c r="AS1137">
        <v>0</v>
      </c>
      <c r="AT1137">
        <v>5.5250000000000004</v>
      </c>
      <c r="AU1137">
        <v>1.464</v>
      </c>
      <c r="AV1137">
        <v>0</v>
      </c>
      <c r="AW1137">
        <v>23.001000000000001</v>
      </c>
      <c r="AX1137">
        <v>0</v>
      </c>
      <c r="AY1137">
        <v>71.882000000000005</v>
      </c>
      <c r="AZ1137">
        <v>0</v>
      </c>
      <c r="BA1137">
        <v>6686852</v>
      </c>
      <c r="BB1137">
        <v>5049865</v>
      </c>
      <c r="BC1137">
        <v>0</v>
      </c>
      <c r="BD1137">
        <v>128554</v>
      </c>
      <c r="BE1137">
        <v>4632</v>
      </c>
      <c r="BF1137">
        <v>133186</v>
      </c>
      <c r="BG1137">
        <v>128554</v>
      </c>
      <c r="BH1137">
        <v>0</v>
      </c>
      <c r="BI1137">
        <v>0</v>
      </c>
      <c r="BJ1137">
        <v>0</v>
      </c>
      <c r="BK1137">
        <v>0</v>
      </c>
      <c r="BL1137">
        <v>490271252</v>
      </c>
      <c r="BM1137">
        <v>0</v>
      </c>
      <c r="BN1137">
        <v>3285</v>
      </c>
      <c r="BO1137">
        <v>2311</v>
      </c>
      <c r="BP1137">
        <v>0</v>
      </c>
      <c r="BQ1137">
        <v>0</v>
      </c>
      <c r="BR1137">
        <v>0.84900000000000009</v>
      </c>
      <c r="BS1137">
        <v>0.84900000000000009</v>
      </c>
      <c r="BT1137">
        <v>0</v>
      </c>
      <c r="BU1137">
        <v>0</v>
      </c>
      <c r="BV1137">
        <v>169</v>
      </c>
      <c r="BW1137">
        <v>199</v>
      </c>
      <c r="BX1137">
        <v>189</v>
      </c>
      <c r="BY1137">
        <v>2</v>
      </c>
      <c r="BZ1137">
        <v>6</v>
      </c>
      <c r="CA1137">
        <v>565</v>
      </c>
      <c r="CB1137">
        <v>0</v>
      </c>
      <c r="CC1137">
        <v>0</v>
      </c>
      <c r="CD1137">
        <v>0</v>
      </c>
      <c r="CE1137">
        <v>95</v>
      </c>
      <c r="CF1137">
        <v>207.666</v>
      </c>
      <c r="CG1137">
        <v>0</v>
      </c>
      <c r="CH1137">
        <v>0</v>
      </c>
      <c r="CI1137">
        <v>2</v>
      </c>
      <c r="CJ1137">
        <v>10</v>
      </c>
      <c r="CK1137">
        <v>0</v>
      </c>
      <c r="CL1137">
        <v>0</v>
      </c>
      <c r="CM1137">
        <v>48.889000000000003</v>
      </c>
      <c r="CN1137">
        <v>0</v>
      </c>
      <c r="CO1137">
        <v>0</v>
      </c>
      <c r="CP1137">
        <v>0</v>
      </c>
      <c r="CQ1137">
        <v>0</v>
      </c>
      <c r="CR1137">
        <v>0</v>
      </c>
      <c r="CS1137">
        <v>0</v>
      </c>
      <c r="CT1137">
        <v>0</v>
      </c>
      <c r="CU1137">
        <v>14.319000000000001</v>
      </c>
      <c r="CV1137">
        <v>72.097000000000008</v>
      </c>
      <c r="CW1137">
        <v>29.351000000000003</v>
      </c>
      <c r="CX1137">
        <v>0</v>
      </c>
      <c r="CY1137" s="2043">
        <v>0</v>
      </c>
      <c r="CZ1137" s="2043">
        <v>0</v>
      </c>
      <c r="DA1137" s="2043">
        <v>0</v>
      </c>
      <c r="DB1137" s="2043">
        <v>0</v>
      </c>
      <c r="DC1137" s="2043">
        <v>0</v>
      </c>
      <c r="DI1137" t="s">
        <v>3231</v>
      </c>
      <c r="DJ1137" t="s">
        <v>3231</v>
      </c>
      <c r="DK1137" s="2042">
        <f t="shared" si="19"/>
        <v>0</v>
      </c>
    </row>
    <row r="1138" spans="1:115">
      <c r="A1138" t="s">
        <v>3232</v>
      </c>
      <c r="B1138" t="s">
        <v>1022</v>
      </c>
      <c r="C1138">
        <v>1117.482</v>
      </c>
      <c r="D1138">
        <v>1186.0920000000001</v>
      </c>
      <c r="E1138">
        <v>16.207000000000001</v>
      </c>
      <c r="F1138">
        <v>0</v>
      </c>
      <c r="G1138" s="2043">
        <v>257690305</v>
      </c>
      <c r="H1138">
        <v>0</v>
      </c>
      <c r="I1138" s="2043">
        <v>538518</v>
      </c>
      <c r="J1138">
        <v>55.874000000000002</v>
      </c>
      <c r="K1138">
        <v>153</v>
      </c>
      <c r="L1138">
        <v>70789</v>
      </c>
      <c r="M1138">
        <v>136711</v>
      </c>
      <c r="N1138">
        <v>70789</v>
      </c>
      <c r="O1138">
        <v>207500</v>
      </c>
      <c r="P1138">
        <v>0</v>
      </c>
      <c r="Q1138">
        <v>0</v>
      </c>
      <c r="R1138" s="2043">
        <v>2265890</v>
      </c>
      <c r="S1138">
        <v>176586</v>
      </c>
      <c r="T1138">
        <v>0</v>
      </c>
      <c r="U1138">
        <v>7.0000000000000007E-2</v>
      </c>
      <c r="V1138">
        <v>0</v>
      </c>
      <c r="W1138">
        <v>0</v>
      </c>
      <c r="X1138">
        <v>0</v>
      </c>
      <c r="Y1138">
        <v>0</v>
      </c>
      <c r="Z1138">
        <v>0</v>
      </c>
      <c r="AA1138">
        <v>0</v>
      </c>
      <c r="AB1138">
        <v>1069.875</v>
      </c>
      <c r="AC1138" s="2043">
        <v>232778006</v>
      </c>
      <c r="AD1138">
        <v>311603</v>
      </c>
      <c r="AE1138" s="2043">
        <v>2442476</v>
      </c>
      <c r="AF1138">
        <v>0.96130000000000004</v>
      </c>
      <c r="AG1138">
        <v>0</v>
      </c>
      <c r="AH1138">
        <v>0</v>
      </c>
      <c r="AI1138">
        <v>0</v>
      </c>
      <c r="AJ1138">
        <v>113.125</v>
      </c>
      <c r="AK1138">
        <v>2412</v>
      </c>
      <c r="AL1138">
        <v>4.9000000000000002E-2</v>
      </c>
      <c r="AM1138">
        <v>0</v>
      </c>
      <c r="AN1138">
        <v>24.04</v>
      </c>
      <c r="AO1138">
        <v>0</v>
      </c>
      <c r="AP1138">
        <v>0</v>
      </c>
      <c r="AQ1138">
        <v>0</v>
      </c>
      <c r="AR1138">
        <v>13.337000000000002</v>
      </c>
      <c r="AS1138">
        <v>0</v>
      </c>
      <c r="AT1138">
        <v>4.7010000000000005</v>
      </c>
      <c r="AU1138">
        <v>0.82700000000000007</v>
      </c>
      <c r="AV1138">
        <v>0</v>
      </c>
      <c r="AW1138">
        <v>18.914000000000001</v>
      </c>
      <c r="AX1138">
        <v>0</v>
      </c>
      <c r="AY1138">
        <v>58.494</v>
      </c>
      <c r="AZ1138">
        <v>0</v>
      </c>
      <c r="BA1138">
        <v>9156428</v>
      </c>
      <c r="BB1138">
        <v>2754079</v>
      </c>
      <c r="BC1138">
        <v>0</v>
      </c>
      <c r="BD1138">
        <v>47296</v>
      </c>
      <c r="BE1138">
        <v>11853</v>
      </c>
      <c r="BF1138">
        <v>59149</v>
      </c>
      <c r="BG1138">
        <v>47296</v>
      </c>
      <c r="BH1138">
        <v>0</v>
      </c>
      <c r="BI1138">
        <v>0</v>
      </c>
      <c r="BJ1138">
        <v>0</v>
      </c>
      <c r="BK1138">
        <v>0</v>
      </c>
      <c r="BL1138">
        <v>257690305</v>
      </c>
      <c r="BM1138">
        <v>0</v>
      </c>
      <c r="BN1138">
        <v>3708</v>
      </c>
      <c r="BO1138">
        <v>2054</v>
      </c>
      <c r="BP1138">
        <v>0</v>
      </c>
      <c r="BQ1138">
        <v>0</v>
      </c>
      <c r="BR1138">
        <v>0.89180000000000004</v>
      </c>
      <c r="BS1138">
        <v>0.89180000000000004</v>
      </c>
      <c r="BT1138">
        <v>0</v>
      </c>
      <c r="BU1138">
        <v>0</v>
      </c>
      <c r="BV1138">
        <v>475</v>
      </c>
      <c r="BW1138">
        <v>2</v>
      </c>
      <c r="BX1138">
        <v>21</v>
      </c>
      <c r="BY1138">
        <v>2</v>
      </c>
      <c r="BZ1138">
        <v>0</v>
      </c>
      <c r="CA1138">
        <v>500</v>
      </c>
      <c r="CB1138">
        <v>0</v>
      </c>
      <c r="CC1138">
        <v>0</v>
      </c>
      <c r="CD1138">
        <v>0</v>
      </c>
      <c r="CE1138">
        <v>86</v>
      </c>
      <c r="CF1138">
        <v>136.94499999999999</v>
      </c>
      <c r="CG1138">
        <v>0</v>
      </c>
      <c r="CH1138">
        <v>0</v>
      </c>
      <c r="CI1138">
        <v>2</v>
      </c>
      <c r="CJ1138">
        <v>2</v>
      </c>
      <c r="CK1138">
        <v>0</v>
      </c>
      <c r="CL1138">
        <v>0</v>
      </c>
      <c r="CM1138">
        <v>16.207000000000001</v>
      </c>
      <c r="CN1138">
        <v>0</v>
      </c>
      <c r="CO1138">
        <v>0</v>
      </c>
      <c r="CP1138">
        <v>0</v>
      </c>
      <c r="CQ1138">
        <v>0</v>
      </c>
      <c r="CR1138">
        <v>0</v>
      </c>
      <c r="CS1138">
        <v>0</v>
      </c>
      <c r="CT1138">
        <v>0</v>
      </c>
      <c r="CU1138">
        <v>0</v>
      </c>
      <c r="CV1138">
        <v>52.769000000000005</v>
      </c>
      <c r="CW1138">
        <v>36.661000000000001</v>
      </c>
      <c r="CX1138">
        <v>0</v>
      </c>
      <c r="CY1138" s="2043">
        <v>0</v>
      </c>
      <c r="CZ1138" s="2043">
        <v>0</v>
      </c>
      <c r="DA1138" s="2043">
        <v>0</v>
      </c>
      <c r="DB1138" s="2043">
        <v>0</v>
      </c>
      <c r="DC1138" s="2043">
        <v>0</v>
      </c>
      <c r="DI1138" t="s">
        <v>3232</v>
      </c>
      <c r="DJ1138" t="s">
        <v>3232</v>
      </c>
      <c r="DK1138" s="2042">
        <f t="shared" si="19"/>
        <v>0</v>
      </c>
    </row>
    <row r="1139" spans="1:115">
      <c r="A1139" t="s">
        <v>5288</v>
      </c>
      <c r="B1139" t="s">
        <v>1023</v>
      </c>
      <c r="C1139">
        <v>667.923</v>
      </c>
      <c r="D1139">
        <v>730.34100000000001</v>
      </c>
      <c r="E1139">
        <v>15.65</v>
      </c>
      <c r="F1139">
        <v>0</v>
      </c>
      <c r="G1139" s="2043">
        <v>162610552</v>
      </c>
      <c r="H1139">
        <v>0</v>
      </c>
      <c r="I1139" s="2043">
        <v>820875</v>
      </c>
      <c r="J1139">
        <v>33.396000000000001</v>
      </c>
      <c r="K1139">
        <v>91</v>
      </c>
      <c r="L1139">
        <v>0</v>
      </c>
      <c r="M1139">
        <v>0</v>
      </c>
      <c r="N1139">
        <v>0</v>
      </c>
      <c r="O1139">
        <v>0</v>
      </c>
      <c r="P1139">
        <v>0</v>
      </c>
      <c r="Q1139">
        <v>0</v>
      </c>
      <c r="R1139" s="2043">
        <v>1461824</v>
      </c>
      <c r="S1139">
        <v>129753</v>
      </c>
      <c r="T1139">
        <v>94395</v>
      </c>
      <c r="U1139">
        <v>0.08</v>
      </c>
      <c r="V1139">
        <v>0</v>
      </c>
      <c r="W1139">
        <v>0</v>
      </c>
      <c r="X1139">
        <v>0</v>
      </c>
      <c r="Y1139">
        <v>0</v>
      </c>
      <c r="Z1139">
        <v>0</v>
      </c>
      <c r="AA1139">
        <v>0</v>
      </c>
      <c r="AB1139">
        <v>692.59300000000007</v>
      </c>
      <c r="AC1139" s="2043">
        <v>156019205</v>
      </c>
      <c r="AD1139">
        <v>513719</v>
      </c>
      <c r="AE1139" s="2043">
        <v>1685972</v>
      </c>
      <c r="AF1139">
        <v>1.0395000000000001</v>
      </c>
      <c r="AG1139">
        <v>0</v>
      </c>
      <c r="AH1139">
        <v>0</v>
      </c>
      <c r="AI1139">
        <v>0</v>
      </c>
      <c r="AJ1139">
        <v>68.575000000000003</v>
      </c>
      <c r="AK1139">
        <v>1965</v>
      </c>
      <c r="AL1139">
        <v>0.161</v>
      </c>
      <c r="AM1139">
        <v>0</v>
      </c>
      <c r="AN1139">
        <v>7.2960000000000003</v>
      </c>
      <c r="AO1139">
        <v>0</v>
      </c>
      <c r="AP1139">
        <v>0.43</v>
      </c>
      <c r="AQ1139">
        <v>0</v>
      </c>
      <c r="AR1139">
        <v>11.834000000000001</v>
      </c>
      <c r="AS1139">
        <v>0</v>
      </c>
      <c r="AT1139">
        <v>3.8140000000000001</v>
      </c>
      <c r="AU1139">
        <v>0.85600000000000009</v>
      </c>
      <c r="AV1139">
        <v>0</v>
      </c>
      <c r="AW1139">
        <v>17.095000000000002</v>
      </c>
      <c r="AX1139">
        <v>0</v>
      </c>
      <c r="AY1139">
        <v>53.19</v>
      </c>
      <c r="AZ1139">
        <v>0</v>
      </c>
      <c r="BA1139">
        <v>6858244</v>
      </c>
      <c r="BB1139">
        <v>2199691</v>
      </c>
      <c r="BC1139">
        <v>0</v>
      </c>
      <c r="BD1139">
        <v>34396</v>
      </c>
      <c r="BE1139">
        <v>7896</v>
      </c>
      <c r="BF1139">
        <v>42292</v>
      </c>
      <c r="BG1139">
        <v>34396</v>
      </c>
      <c r="BH1139">
        <v>0</v>
      </c>
      <c r="BI1139">
        <v>0</v>
      </c>
      <c r="BJ1139">
        <v>0</v>
      </c>
      <c r="BK1139">
        <v>0</v>
      </c>
      <c r="BL1139">
        <v>162610552</v>
      </c>
      <c r="BM1139">
        <v>0</v>
      </c>
      <c r="BN1139">
        <v>2448</v>
      </c>
      <c r="BO1139">
        <v>1915</v>
      </c>
      <c r="BP1139">
        <v>0</v>
      </c>
      <c r="BQ1139">
        <v>0</v>
      </c>
      <c r="BR1139">
        <v>0.90129999999999999</v>
      </c>
      <c r="BS1139">
        <v>0.90129999999999999</v>
      </c>
      <c r="BT1139">
        <v>0</v>
      </c>
      <c r="BU1139">
        <v>0</v>
      </c>
      <c r="BV1139">
        <v>160</v>
      </c>
      <c r="BW1139">
        <v>125</v>
      </c>
      <c r="BX1139">
        <v>4</v>
      </c>
      <c r="BY1139">
        <v>3</v>
      </c>
      <c r="BZ1139">
        <v>4</v>
      </c>
      <c r="CA1139">
        <v>296</v>
      </c>
      <c r="CB1139">
        <v>0</v>
      </c>
      <c r="CC1139">
        <v>0</v>
      </c>
      <c r="CD1139">
        <v>0</v>
      </c>
      <c r="CE1139">
        <v>67</v>
      </c>
      <c r="CF1139">
        <v>100.54600000000001</v>
      </c>
      <c r="CG1139">
        <v>0</v>
      </c>
      <c r="CH1139">
        <v>0</v>
      </c>
      <c r="CI1139">
        <v>2</v>
      </c>
      <c r="CJ1139">
        <v>8</v>
      </c>
      <c r="CK1139">
        <v>0</v>
      </c>
      <c r="CL1139">
        <v>0</v>
      </c>
      <c r="CM1139">
        <v>15.65</v>
      </c>
      <c r="CN1139">
        <v>0</v>
      </c>
      <c r="CO1139">
        <v>0</v>
      </c>
      <c r="CP1139">
        <v>0</v>
      </c>
      <c r="CQ1139">
        <v>0</v>
      </c>
      <c r="CR1139">
        <v>0</v>
      </c>
      <c r="CS1139">
        <v>0</v>
      </c>
      <c r="CT1139">
        <v>0</v>
      </c>
      <c r="CU1139">
        <v>0</v>
      </c>
      <c r="CV1139">
        <v>50.334000000000003</v>
      </c>
      <c r="CW1139">
        <v>22.153000000000002</v>
      </c>
      <c r="CX1139">
        <v>0</v>
      </c>
      <c r="CY1139" s="2043">
        <v>0</v>
      </c>
      <c r="CZ1139" s="2043">
        <v>0</v>
      </c>
      <c r="DA1139" s="2043">
        <v>0</v>
      </c>
      <c r="DB1139" s="2043">
        <v>0</v>
      </c>
      <c r="DC1139" s="2043">
        <v>0</v>
      </c>
      <c r="DI1139" t="s">
        <v>5288</v>
      </c>
      <c r="DJ1139" t="s">
        <v>5288</v>
      </c>
      <c r="DK1139" s="2042">
        <f t="shared" si="19"/>
        <v>0</v>
      </c>
    </row>
    <row r="1140" spans="1:115">
      <c r="A1140" t="s">
        <v>5892</v>
      </c>
      <c r="B1140" t="s">
        <v>1024</v>
      </c>
      <c r="C1140">
        <v>468.53900000000004</v>
      </c>
      <c r="D1140">
        <v>495.803</v>
      </c>
      <c r="E1140">
        <v>24.826000000000001</v>
      </c>
      <c r="F1140">
        <v>0</v>
      </c>
      <c r="G1140" s="2043">
        <v>928995216</v>
      </c>
      <c r="H1140">
        <v>0</v>
      </c>
      <c r="I1140" s="2043">
        <v>2954125</v>
      </c>
      <c r="J1140">
        <v>23.427</v>
      </c>
      <c r="K1140">
        <v>64</v>
      </c>
      <c r="L1140">
        <v>0</v>
      </c>
      <c r="M1140">
        <v>0</v>
      </c>
      <c r="N1140">
        <v>0</v>
      </c>
      <c r="O1140">
        <v>0</v>
      </c>
      <c r="P1140">
        <v>0</v>
      </c>
      <c r="Q1140">
        <v>0</v>
      </c>
      <c r="R1140" s="2043">
        <v>8154069</v>
      </c>
      <c r="S1140">
        <v>463141</v>
      </c>
      <c r="T1140">
        <v>0</v>
      </c>
      <c r="U1140">
        <v>0.05</v>
      </c>
      <c r="V1140">
        <v>0</v>
      </c>
      <c r="W1140">
        <v>3059596</v>
      </c>
      <c r="X1140">
        <v>0</v>
      </c>
      <c r="Y1140">
        <v>0</v>
      </c>
      <c r="Z1140">
        <v>0</v>
      </c>
      <c r="AA1140">
        <v>0</v>
      </c>
      <c r="AB1140">
        <v>463.279</v>
      </c>
      <c r="AC1140" s="2043">
        <v>786230958</v>
      </c>
      <c r="AD1140">
        <v>3008360</v>
      </c>
      <c r="AE1140" s="2043">
        <v>8617210</v>
      </c>
      <c r="AF1140">
        <v>0.93030000000000002</v>
      </c>
      <c r="AG1140">
        <v>0</v>
      </c>
      <c r="AH1140">
        <v>3059596</v>
      </c>
      <c r="AI1140">
        <v>0</v>
      </c>
      <c r="AJ1140">
        <v>85.513000000000005</v>
      </c>
      <c r="AK1140">
        <v>1999</v>
      </c>
      <c r="AL1140">
        <v>0</v>
      </c>
      <c r="AM1140">
        <v>0</v>
      </c>
      <c r="AN1140">
        <v>18.468</v>
      </c>
      <c r="AO1140">
        <v>0</v>
      </c>
      <c r="AP1140">
        <v>0</v>
      </c>
      <c r="AQ1140">
        <v>0</v>
      </c>
      <c r="AR1140">
        <v>9.0470000000000006</v>
      </c>
      <c r="AS1140">
        <v>0</v>
      </c>
      <c r="AT1140">
        <v>3.0430000000000001</v>
      </c>
      <c r="AU1140">
        <v>0.59899999999999998</v>
      </c>
      <c r="AV1140">
        <v>0</v>
      </c>
      <c r="AW1140">
        <v>12.689</v>
      </c>
      <c r="AX1140">
        <v>0</v>
      </c>
      <c r="AY1140">
        <v>39.265000000000001</v>
      </c>
      <c r="AZ1140">
        <v>0</v>
      </c>
      <c r="BA1140">
        <v>253301</v>
      </c>
      <c r="BB1140">
        <v>11625570</v>
      </c>
      <c r="BC1140">
        <v>0</v>
      </c>
      <c r="BD1140">
        <v>0</v>
      </c>
      <c r="BE1140">
        <v>0</v>
      </c>
      <c r="BF1140">
        <v>0</v>
      </c>
      <c r="BG1140">
        <v>0</v>
      </c>
      <c r="BH1140">
        <v>0</v>
      </c>
      <c r="BI1140">
        <v>0</v>
      </c>
      <c r="BJ1140">
        <v>0</v>
      </c>
      <c r="BK1140">
        <v>0</v>
      </c>
      <c r="BL1140">
        <v>928995216</v>
      </c>
      <c r="BM1140">
        <v>0</v>
      </c>
      <c r="BN1140">
        <v>1845</v>
      </c>
      <c r="BO1140">
        <v>449</v>
      </c>
      <c r="BP1140">
        <v>0</v>
      </c>
      <c r="BQ1140">
        <v>0</v>
      </c>
      <c r="BR1140">
        <v>0.88030000000000008</v>
      </c>
      <c r="BS1140">
        <v>0.88030000000000008</v>
      </c>
      <c r="BT1140">
        <v>0</v>
      </c>
      <c r="BU1140">
        <v>0</v>
      </c>
      <c r="BV1140">
        <v>0</v>
      </c>
      <c r="BW1140">
        <v>99</v>
      </c>
      <c r="BX1140">
        <v>248</v>
      </c>
      <c r="BY1140">
        <v>0</v>
      </c>
      <c r="BZ1140">
        <v>0</v>
      </c>
      <c r="CA1140">
        <v>347</v>
      </c>
      <c r="CB1140">
        <v>0</v>
      </c>
      <c r="CC1140">
        <v>0</v>
      </c>
      <c r="CD1140">
        <v>0</v>
      </c>
      <c r="CE1140">
        <v>29</v>
      </c>
      <c r="CF1140">
        <v>111.087</v>
      </c>
      <c r="CG1140">
        <v>0</v>
      </c>
      <c r="CH1140">
        <v>0</v>
      </c>
      <c r="CI1140">
        <v>0</v>
      </c>
      <c r="CJ1140">
        <v>0</v>
      </c>
      <c r="CK1140">
        <v>0</v>
      </c>
      <c r="CL1140">
        <v>0</v>
      </c>
      <c r="CM1140">
        <v>24.826000000000001</v>
      </c>
      <c r="CN1140">
        <v>0</v>
      </c>
      <c r="CO1140">
        <v>0</v>
      </c>
      <c r="CP1140">
        <v>0</v>
      </c>
      <c r="CQ1140">
        <v>0</v>
      </c>
      <c r="CR1140">
        <v>0</v>
      </c>
      <c r="CS1140">
        <v>0</v>
      </c>
      <c r="CT1140">
        <v>0</v>
      </c>
      <c r="CU1140">
        <v>0</v>
      </c>
      <c r="CV1140">
        <v>2.7160000000000002</v>
      </c>
      <c r="CW1140">
        <v>0.75900000000000001</v>
      </c>
      <c r="CX1140">
        <v>0</v>
      </c>
      <c r="CY1140" s="2043">
        <v>0</v>
      </c>
      <c r="CZ1140" s="2043">
        <v>0</v>
      </c>
      <c r="DA1140" s="2043">
        <v>0</v>
      </c>
      <c r="DB1140" s="2043">
        <v>0</v>
      </c>
      <c r="DC1140" s="2043">
        <v>57713</v>
      </c>
      <c r="DI1140" t="s">
        <v>5892</v>
      </c>
      <c r="DJ1140" t="s">
        <v>5892</v>
      </c>
      <c r="DK1140" s="2042">
        <f t="shared" si="19"/>
        <v>0</v>
      </c>
    </row>
    <row r="1141" spans="1:115">
      <c r="A1141" t="s">
        <v>5289</v>
      </c>
      <c r="B1141" t="s">
        <v>1025</v>
      </c>
      <c r="C1141">
        <v>289.76400000000001</v>
      </c>
      <c r="D1141">
        <v>270.90300000000002</v>
      </c>
      <c r="E1141">
        <v>28.528000000000002</v>
      </c>
      <c r="F1141">
        <v>125554</v>
      </c>
      <c r="G1141" s="2043">
        <v>6271836923</v>
      </c>
      <c r="H1141">
        <v>0</v>
      </c>
      <c r="I1141" s="2043">
        <v>2199750</v>
      </c>
      <c r="J1141">
        <v>2</v>
      </c>
      <c r="K1141">
        <v>5</v>
      </c>
      <c r="L1141">
        <v>0</v>
      </c>
      <c r="M1141">
        <v>0</v>
      </c>
      <c r="N1141">
        <v>0</v>
      </c>
      <c r="O1141">
        <v>0</v>
      </c>
      <c r="P1141">
        <v>0</v>
      </c>
      <c r="Q1141">
        <v>0</v>
      </c>
      <c r="R1141" s="2043">
        <v>52131223</v>
      </c>
      <c r="S1141">
        <v>5073598</v>
      </c>
      <c r="T1141">
        <v>0</v>
      </c>
      <c r="U1141">
        <v>0.08</v>
      </c>
      <c r="V1141">
        <v>0</v>
      </c>
      <c r="W1141">
        <v>47902196</v>
      </c>
      <c r="X1141">
        <v>0</v>
      </c>
      <c r="Y1141">
        <v>125554</v>
      </c>
      <c r="Z1141">
        <v>0</v>
      </c>
      <c r="AA1141">
        <v>0</v>
      </c>
      <c r="AB1141">
        <v>267.02699999999999</v>
      </c>
      <c r="AC1141" s="2043">
        <v>3756628521</v>
      </c>
      <c r="AD1141">
        <v>15834872</v>
      </c>
      <c r="AE1141" s="2043">
        <v>57204821</v>
      </c>
      <c r="AF1141">
        <v>0.90200000000000002</v>
      </c>
      <c r="AG1141">
        <v>0</v>
      </c>
      <c r="AH1141">
        <v>47902196</v>
      </c>
      <c r="AI1141">
        <v>0</v>
      </c>
      <c r="AJ1141">
        <v>29.738000000000003</v>
      </c>
      <c r="AK1141">
        <v>1158</v>
      </c>
      <c r="AL1141">
        <v>0.126</v>
      </c>
      <c r="AM1141">
        <v>0</v>
      </c>
      <c r="AN1141">
        <v>14.808</v>
      </c>
      <c r="AO1141">
        <v>0</v>
      </c>
      <c r="AP1141">
        <v>0</v>
      </c>
      <c r="AQ1141">
        <v>0</v>
      </c>
      <c r="AR1141">
        <v>4.5940000000000003</v>
      </c>
      <c r="AS1141">
        <v>0</v>
      </c>
      <c r="AT1141">
        <v>0</v>
      </c>
      <c r="AU1141">
        <v>0.34</v>
      </c>
      <c r="AV1141">
        <v>0</v>
      </c>
      <c r="AW1141">
        <v>5.0600000000000005</v>
      </c>
      <c r="AX1141">
        <v>0</v>
      </c>
      <c r="AY1141">
        <v>16.112000000000002</v>
      </c>
      <c r="AZ1141">
        <v>0</v>
      </c>
      <c r="BA1141">
        <v>264103</v>
      </c>
      <c r="BB1141">
        <v>73039693</v>
      </c>
      <c r="BC1141">
        <v>0</v>
      </c>
      <c r="BD1141">
        <v>83700</v>
      </c>
      <c r="BE1141">
        <v>4509</v>
      </c>
      <c r="BF1141">
        <v>88720</v>
      </c>
      <c r="BG1141">
        <v>83700</v>
      </c>
      <c r="BH1141">
        <v>511</v>
      </c>
      <c r="BI1141">
        <v>0</v>
      </c>
      <c r="BJ1141">
        <v>0</v>
      </c>
      <c r="BK1141">
        <v>0</v>
      </c>
      <c r="BL1141">
        <v>6271836923</v>
      </c>
      <c r="BM1141">
        <v>0</v>
      </c>
      <c r="BN1141">
        <v>1530</v>
      </c>
      <c r="BO1141">
        <v>54</v>
      </c>
      <c r="BP1141">
        <v>0</v>
      </c>
      <c r="BQ1141">
        <v>0</v>
      </c>
      <c r="BR1141">
        <v>0.82200000000000006</v>
      </c>
      <c r="BS1141">
        <v>0.82200000000000006</v>
      </c>
      <c r="BT1141">
        <v>0</v>
      </c>
      <c r="BU1141">
        <v>0</v>
      </c>
      <c r="BV1141">
        <v>5</v>
      </c>
      <c r="BW1141">
        <v>109</v>
      </c>
      <c r="BX1141">
        <v>0</v>
      </c>
      <c r="BY1141">
        <v>2</v>
      </c>
      <c r="BZ1141">
        <v>8</v>
      </c>
      <c r="CA1141">
        <v>124</v>
      </c>
      <c r="CB1141">
        <v>0</v>
      </c>
      <c r="CC1141">
        <v>0</v>
      </c>
      <c r="CD1141">
        <v>0</v>
      </c>
      <c r="CE1141">
        <v>31</v>
      </c>
      <c r="CF1141">
        <v>49.685000000000002</v>
      </c>
      <c r="CG1141">
        <v>0</v>
      </c>
      <c r="CH1141">
        <v>0</v>
      </c>
      <c r="CI1141">
        <v>3</v>
      </c>
      <c r="CJ1141">
        <v>6</v>
      </c>
      <c r="CK1141">
        <v>0</v>
      </c>
      <c r="CL1141">
        <v>0</v>
      </c>
      <c r="CM1141">
        <v>28.528000000000002</v>
      </c>
      <c r="CN1141">
        <v>0</v>
      </c>
      <c r="CO1141">
        <v>0</v>
      </c>
      <c r="CP1141">
        <v>0</v>
      </c>
      <c r="CQ1141">
        <v>0</v>
      </c>
      <c r="CR1141">
        <v>0</v>
      </c>
      <c r="CS1141">
        <v>0</v>
      </c>
      <c r="CT1141">
        <v>0</v>
      </c>
      <c r="CU1141">
        <v>1.8230000000000002</v>
      </c>
      <c r="CV1141">
        <v>18.914999999999999</v>
      </c>
      <c r="CW1141">
        <v>22.056000000000001</v>
      </c>
      <c r="CX1141">
        <v>0</v>
      </c>
      <c r="CY1141" s="2043">
        <v>0</v>
      </c>
      <c r="CZ1141" s="2043">
        <v>0</v>
      </c>
      <c r="DA1141" s="2043">
        <v>0</v>
      </c>
      <c r="DB1141" s="2043">
        <v>125554</v>
      </c>
      <c r="DC1141" s="2043">
        <v>265688</v>
      </c>
      <c r="DI1141" t="s">
        <v>5289</v>
      </c>
      <c r="DJ1141" t="s">
        <v>5289</v>
      </c>
      <c r="DK1141" s="2042">
        <f t="shared" si="19"/>
        <v>0</v>
      </c>
    </row>
    <row r="1142" spans="1:115">
      <c r="A1142" t="s">
        <v>3233</v>
      </c>
      <c r="B1142" t="s">
        <v>54</v>
      </c>
      <c r="C1142">
        <v>364.44</v>
      </c>
      <c r="D1142">
        <v>408.44499999999999</v>
      </c>
      <c r="E1142">
        <v>11.374000000000001</v>
      </c>
      <c r="F1142">
        <v>0</v>
      </c>
      <c r="G1142" s="2043">
        <v>94594313</v>
      </c>
      <c r="H1142">
        <v>0</v>
      </c>
      <c r="I1142" s="2043">
        <v>223800</v>
      </c>
      <c r="J1142">
        <v>18.222000000000001</v>
      </c>
      <c r="K1142">
        <v>50</v>
      </c>
      <c r="L1142">
        <v>0</v>
      </c>
      <c r="M1142">
        <v>0</v>
      </c>
      <c r="N1142">
        <v>0</v>
      </c>
      <c r="O1142">
        <v>0</v>
      </c>
      <c r="P1142">
        <v>0</v>
      </c>
      <c r="Q1142">
        <v>0</v>
      </c>
      <c r="R1142" s="2043">
        <v>886448</v>
      </c>
      <c r="S1142">
        <v>80761</v>
      </c>
      <c r="T1142">
        <v>58854</v>
      </c>
      <c r="U1142">
        <v>0.08</v>
      </c>
      <c r="V1142">
        <v>0</v>
      </c>
      <c r="W1142">
        <v>0</v>
      </c>
      <c r="X1142">
        <v>0</v>
      </c>
      <c r="Y1142">
        <v>0</v>
      </c>
      <c r="Z1142">
        <v>0</v>
      </c>
      <c r="AA1142">
        <v>0</v>
      </c>
      <c r="AB1142">
        <v>408.32800000000003</v>
      </c>
      <c r="AC1142" s="2043">
        <v>88592875</v>
      </c>
      <c r="AD1142">
        <v>190568</v>
      </c>
      <c r="AE1142" s="2043">
        <v>1026063</v>
      </c>
      <c r="AF1142">
        <v>1.0164</v>
      </c>
      <c r="AG1142">
        <v>0</v>
      </c>
      <c r="AH1142">
        <v>0</v>
      </c>
      <c r="AI1142">
        <v>0</v>
      </c>
      <c r="AJ1142">
        <v>32.65</v>
      </c>
      <c r="AK1142">
        <v>1447</v>
      </c>
      <c r="AL1142">
        <v>0</v>
      </c>
      <c r="AM1142">
        <v>0</v>
      </c>
      <c r="AN1142">
        <v>2.3220000000000001</v>
      </c>
      <c r="AO1142">
        <v>0</v>
      </c>
      <c r="AP1142">
        <v>0</v>
      </c>
      <c r="AQ1142">
        <v>0</v>
      </c>
      <c r="AR1142">
        <v>11.934000000000001</v>
      </c>
      <c r="AS1142">
        <v>0</v>
      </c>
      <c r="AT1142">
        <v>0.50800000000000001</v>
      </c>
      <c r="AU1142">
        <v>0.47600000000000003</v>
      </c>
      <c r="AV1142">
        <v>0</v>
      </c>
      <c r="AW1142">
        <v>12.918000000000001</v>
      </c>
      <c r="AX1142">
        <v>0</v>
      </c>
      <c r="AY1142">
        <v>39.706000000000003</v>
      </c>
      <c r="AZ1142">
        <v>0</v>
      </c>
      <c r="BA1142">
        <v>3924083</v>
      </c>
      <c r="BB1142">
        <v>1216631</v>
      </c>
      <c r="BC1142">
        <v>0</v>
      </c>
      <c r="BD1142">
        <v>5743</v>
      </c>
      <c r="BE1142">
        <v>0</v>
      </c>
      <c r="BF1142">
        <v>5743</v>
      </c>
      <c r="BG1142">
        <v>5743</v>
      </c>
      <c r="BH1142">
        <v>0</v>
      </c>
      <c r="BI1142">
        <v>0</v>
      </c>
      <c r="BJ1142">
        <v>0</v>
      </c>
      <c r="BK1142">
        <v>0</v>
      </c>
      <c r="BL1142">
        <v>94594313</v>
      </c>
      <c r="BM1142">
        <v>0</v>
      </c>
      <c r="BN1142">
        <v>990</v>
      </c>
      <c r="BO1142">
        <v>118</v>
      </c>
      <c r="BP1142">
        <v>0</v>
      </c>
      <c r="BQ1142">
        <v>0</v>
      </c>
      <c r="BR1142">
        <v>0.87809999999999999</v>
      </c>
      <c r="BS1142">
        <v>0.87809999999999999</v>
      </c>
      <c r="BT1142">
        <v>0</v>
      </c>
      <c r="BU1142">
        <v>0</v>
      </c>
      <c r="BV1142">
        <v>3</v>
      </c>
      <c r="BW1142">
        <v>14</v>
      </c>
      <c r="BX1142">
        <v>107</v>
      </c>
      <c r="BY1142">
        <v>2</v>
      </c>
      <c r="BZ1142">
        <v>5</v>
      </c>
      <c r="CA1142">
        <v>131</v>
      </c>
      <c r="CB1142">
        <v>0</v>
      </c>
      <c r="CC1142">
        <v>0</v>
      </c>
      <c r="CD1142">
        <v>0</v>
      </c>
      <c r="CE1142">
        <v>17</v>
      </c>
      <c r="CF1142">
        <v>57.292000000000002</v>
      </c>
      <c r="CG1142">
        <v>0</v>
      </c>
      <c r="CH1142">
        <v>0</v>
      </c>
      <c r="CI1142">
        <v>7</v>
      </c>
      <c r="CJ1142">
        <v>13</v>
      </c>
      <c r="CK1142">
        <v>0</v>
      </c>
      <c r="CL1142">
        <v>0</v>
      </c>
      <c r="CM1142">
        <v>11.374000000000001</v>
      </c>
      <c r="CN1142">
        <v>0</v>
      </c>
      <c r="CO1142">
        <v>0</v>
      </c>
      <c r="CP1142">
        <v>0</v>
      </c>
      <c r="CQ1142">
        <v>0</v>
      </c>
      <c r="CR1142">
        <v>0</v>
      </c>
      <c r="CS1142">
        <v>0</v>
      </c>
      <c r="CT1142">
        <v>0</v>
      </c>
      <c r="CU1142">
        <v>1.994</v>
      </c>
      <c r="CV1142">
        <v>15.693000000000001</v>
      </c>
      <c r="CW1142">
        <v>2.6550000000000002</v>
      </c>
      <c r="CX1142">
        <v>0</v>
      </c>
      <c r="CY1142" s="2043">
        <v>0</v>
      </c>
      <c r="CZ1142" s="2043">
        <v>0</v>
      </c>
      <c r="DA1142" s="2043">
        <v>0</v>
      </c>
      <c r="DB1142" s="2043">
        <v>0</v>
      </c>
      <c r="DC1142" s="2043">
        <v>0</v>
      </c>
      <c r="DI1142" t="s">
        <v>3233</v>
      </c>
      <c r="DJ1142" t="s">
        <v>3233</v>
      </c>
      <c r="DK1142" s="2042">
        <f t="shared" si="19"/>
        <v>0</v>
      </c>
    </row>
    <row r="1143" spans="1:115">
      <c r="A1143" t="s">
        <v>3234</v>
      </c>
      <c r="B1143" t="s">
        <v>1454</v>
      </c>
      <c r="C1143">
        <v>354.56100000000004</v>
      </c>
      <c r="D1143">
        <v>376.59000000000003</v>
      </c>
      <c r="E1143">
        <v>14.936</v>
      </c>
      <c r="F1143">
        <v>0</v>
      </c>
      <c r="G1143" s="2043">
        <v>445704896</v>
      </c>
      <c r="H1143">
        <v>0</v>
      </c>
      <c r="I1143" s="2043">
        <v>22550</v>
      </c>
      <c r="J1143">
        <v>17.728000000000002</v>
      </c>
      <c r="K1143">
        <v>48</v>
      </c>
      <c r="L1143">
        <v>0</v>
      </c>
      <c r="M1143">
        <v>38612</v>
      </c>
      <c r="N1143">
        <v>0</v>
      </c>
      <c r="O1143">
        <v>38612</v>
      </c>
      <c r="P1143">
        <v>0</v>
      </c>
      <c r="Q1143">
        <v>0</v>
      </c>
      <c r="R1143" s="2043">
        <v>3897495</v>
      </c>
      <c r="S1143">
        <v>223122</v>
      </c>
      <c r="T1143">
        <v>0</v>
      </c>
      <c r="U1143">
        <v>0.05</v>
      </c>
      <c r="V1143">
        <v>0</v>
      </c>
      <c r="W1143">
        <v>0</v>
      </c>
      <c r="X1143">
        <v>0</v>
      </c>
      <c r="Y1143">
        <v>0</v>
      </c>
      <c r="Z1143">
        <v>8.2370000000000001</v>
      </c>
      <c r="AA1143">
        <v>0</v>
      </c>
      <c r="AB1143">
        <v>376.59000000000003</v>
      </c>
      <c r="AC1143" s="2043">
        <v>361025724</v>
      </c>
      <c r="AD1143">
        <v>407078</v>
      </c>
      <c r="AE1143" s="2043">
        <v>4120617</v>
      </c>
      <c r="AF1143">
        <v>0.9234</v>
      </c>
      <c r="AG1143">
        <v>0</v>
      </c>
      <c r="AH1143">
        <v>0</v>
      </c>
      <c r="AI1143">
        <v>0</v>
      </c>
      <c r="AJ1143">
        <v>78.738</v>
      </c>
      <c r="AK1143">
        <v>3054</v>
      </c>
      <c r="AL1143">
        <v>0</v>
      </c>
      <c r="AM1143">
        <v>0</v>
      </c>
      <c r="AN1143">
        <v>11.927000000000001</v>
      </c>
      <c r="AO1143">
        <v>0</v>
      </c>
      <c r="AP1143">
        <v>0</v>
      </c>
      <c r="AQ1143">
        <v>0</v>
      </c>
      <c r="AR1143">
        <v>22.711000000000002</v>
      </c>
      <c r="AS1143">
        <v>0</v>
      </c>
      <c r="AT1143">
        <v>1.0150000000000001</v>
      </c>
      <c r="AU1143">
        <v>0.79100000000000004</v>
      </c>
      <c r="AV1143">
        <v>0</v>
      </c>
      <c r="AW1143">
        <v>24.516999999999999</v>
      </c>
      <c r="AX1143">
        <v>0</v>
      </c>
      <c r="AY1143">
        <v>75.13300000000001</v>
      </c>
      <c r="AZ1143">
        <v>0</v>
      </c>
      <c r="BA1143">
        <v>903924</v>
      </c>
      <c r="BB1143">
        <v>4527695</v>
      </c>
      <c r="BC1143">
        <v>0</v>
      </c>
      <c r="BD1143">
        <v>17992</v>
      </c>
      <c r="BE1143">
        <v>7834</v>
      </c>
      <c r="BF1143">
        <v>25826</v>
      </c>
      <c r="BG1143">
        <v>17992</v>
      </c>
      <c r="BH1143">
        <v>0</v>
      </c>
      <c r="BI1143">
        <v>0</v>
      </c>
      <c r="BJ1143">
        <v>0</v>
      </c>
      <c r="BK1143">
        <v>0</v>
      </c>
      <c r="BL1143">
        <v>445704896</v>
      </c>
      <c r="BM1143">
        <v>0</v>
      </c>
      <c r="BN1143">
        <v>1530</v>
      </c>
      <c r="BO1143">
        <v>1231</v>
      </c>
      <c r="BP1143">
        <v>0</v>
      </c>
      <c r="BQ1143">
        <v>0</v>
      </c>
      <c r="BR1143">
        <v>0.87340000000000007</v>
      </c>
      <c r="BS1143">
        <v>0.87340000000000007</v>
      </c>
      <c r="BT1143">
        <v>0</v>
      </c>
      <c r="BU1143">
        <v>0</v>
      </c>
      <c r="BV1143">
        <v>4</v>
      </c>
      <c r="BW1143">
        <v>36</v>
      </c>
      <c r="BX1143">
        <v>154</v>
      </c>
      <c r="BY1143">
        <v>111</v>
      </c>
      <c r="BZ1143">
        <v>6</v>
      </c>
      <c r="CA1143">
        <v>311</v>
      </c>
      <c r="CB1143">
        <v>0</v>
      </c>
      <c r="CC1143">
        <v>0</v>
      </c>
      <c r="CD1143">
        <v>0</v>
      </c>
      <c r="CE1143">
        <v>58</v>
      </c>
      <c r="CF1143">
        <v>84.838999999999999</v>
      </c>
      <c r="CG1143">
        <v>0</v>
      </c>
      <c r="CH1143">
        <v>0</v>
      </c>
      <c r="CI1143">
        <v>2</v>
      </c>
      <c r="CJ1143">
        <v>4</v>
      </c>
      <c r="CK1143">
        <v>0</v>
      </c>
      <c r="CL1143">
        <v>0</v>
      </c>
      <c r="CM1143">
        <v>14.936</v>
      </c>
      <c r="CN1143">
        <v>0</v>
      </c>
      <c r="CO1143">
        <v>0</v>
      </c>
      <c r="CP1143">
        <v>0</v>
      </c>
      <c r="CQ1143">
        <v>0</v>
      </c>
      <c r="CR1143">
        <v>0</v>
      </c>
      <c r="CS1143">
        <v>0</v>
      </c>
      <c r="CT1143">
        <v>0</v>
      </c>
      <c r="CU1143">
        <v>0</v>
      </c>
      <c r="CV1143">
        <v>13.247</v>
      </c>
      <c r="CW1143">
        <v>11.604000000000001</v>
      </c>
      <c r="CX1143">
        <v>0</v>
      </c>
      <c r="CY1143" s="2043">
        <v>0</v>
      </c>
      <c r="CZ1143" s="2043">
        <v>0</v>
      </c>
      <c r="DA1143" s="2043">
        <v>0</v>
      </c>
      <c r="DB1143" s="2043">
        <v>0</v>
      </c>
      <c r="DC1143" s="2043">
        <v>88176</v>
      </c>
      <c r="DI1143" t="s">
        <v>3234</v>
      </c>
      <c r="DJ1143" t="s">
        <v>3234</v>
      </c>
      <c r="DK1143" s="2042">
        <f t="shared" si="19"/>
        <v>0</v>
      </c>
    </row>
    <row r="1144" spans="1:115">
      <c r="A1144" t="s">
        <v>3235</v>
      </c>
      <c r="B1144" t="s">
        <v>1432</v>
      </c>
      <c r="C1144">
        <v>3585.6670000000004</v>
      </c>
      <c r="D1144">
        <v>3743.962</v>
      </c>
      <c r="E1144">
        <v>88.795000000000002</v>
      </c>
      <c r="F1144">
        <v>0</v>
      </c>
      <c r="G1144" s="2043">
        <v>1419952041</v>
      </c>
      <c r="H1144">
        <v>0</v>
      </c>
      <c r="I1144" s="2043">
        <v>2651332</v>
      </c>
      <c r="J1144">
        <v>179.28300000000002</v>
      </c>
      <c r="K1144">
        <v>490</v>
      </c>
      <c r="L1144">
        <v>0</v>
      </c>
      <c r="M1144">
        <v>2400155</v>
      </c>
      <c r="N1144">
        <v>0</v>
      </c>
      <c r="O1144">
        <v>2400155</v>
      </c>
      <c r="P1144">
        <v>0</v>
      </c>
      <c r="Q1144">
        <v>0</v>
      </c>
      <c r="R1144" s="2043">
        <v>13369948</v>
      </c>
      <c r="S1144">
        <v>1219330</v>
      </c>
      <c r="T1144">
        <v>21338</v>
      </c>
      <c r="U1144">
        <v>0.08</v>
      </c>
      <c r="V1144">
        <v>0</v>
      </c>
      <c r="W1144">
        <v>0</v>
      </c>
      <c r="X1144">
        <v>0</v>
      </c>
      <c r="Y1144">
        <v>0</v>
      </c>
      <c r="Z1144">
        <v>0</v>
      </c>
      <c r="AA1144">
        <v>0.441</v>
      </c>
      <c r="AB1144">
        <v>3548.4380000000001</v>
      </c>
      <c r="AC1144" s="2043">
        <v>1241273668</v>
      </c>
      <c r="AD1144">
        <v>1019201</v>
      </c>
      <c r="AE1144" s="2043">
        <v>14610616</v>
      </c>
      <c r="AF1144">
        <v>0.95860000000000001</v>
      </c>
      <c r="AG1144">
        <v>0</v>
      </c>
      <c r="AH1144">
        <v>0</v>
      </c>
      <c r="AI1144">
        <v>0</v>
      </c>
      <c r="AJ1144">
        <v>818.2</v>
      </c>
      <c r="AK1144">
        <v>9788</v>
      </c>
      <c r="AL1144">
        <v>0.77900000000000003</v>
      </c>
      <c r="AM1144">
        <v>0</v>
      </c>
      <c r="AN1144">
        <v>190.839</v>
      </c>
      <c r="AO1144">
        <v>0</v>
      </c>
      <c r="AP1144">
        <v>0</v>
      </c>
      <c r="AQ1144">
        <v>0</v>
      </c>
      <c r="AR1144">
        <v>8.6</v>
      </c>
      <c r="AS1144">
        <v>0</v>
      </c>
      <c r="AT1144">
        <v>40.703000000000003</v>
      </c>
      <c r="AU1144">
        <v>8.67</v>
      </c>
      <c r="AV1144">
        <v>0</v>
      </c>
      <c r="AW1144">
        <v>58.752000000000002</v>
      </c>
      <c r="AX1144">
        <v>0</v>
      </c>
      <c r="AY1144">
        <v>195.154</v>
      </c>
      <c r="AZ1144">
        <v>0</v>
      </c>
      <c r="BA1144">
        <v>23306036</v>
      </c>
      <c r="BB1144">
        <v>15629817</v>
      </c>
      <c r="BC1144">
        <v>0</v>
      </c>
      <c r="BD1144">
        <v>381505</v>
      </c>
      <c r="BE1144">
        <v>98109</v>
      </c>
      <c r="BF1144">
        <v>504667</v>
      </c>
      <c r="BG1144">
        <v>381505</v>
      </c>
      <c r="BH1144">
        <v>25053</v>
      </c>
      <c r="BI1144">
        <v>0</v>
      </c>
      <c r="BJ1144">
        <v>0</v>
      </c>
      <c r="BK1144">
        <v>0</v>
      </c>
      <c r="BL1144">
        <v>1419952041</v>
      </c>
      <c r="BM1144">
        <v>0</v>
      </c>
      <c r="BN1144">
        <v>15750</v>
      </c>
      <c r="BO1144">
        <v>9480</v>
      </c>
      <c r="BP1144">
        <v>0</v>
      </c>
      <c r="BQ1144">
        <v>0</v>
      </c>
      <c r="BR1144">
        <v>0.87720000000000009</v>
      </c>
      <c r="BS1144">
        <v>0.87720000000000009</v>
      </c>
      <c r="BT1144">
        <v>0</v>
      </c>
      <c r="BU1144">
        <v>0</v>
      </c>
      <c r="BV1144">
        <v>812</v>
      </c>
      <c r="BW1144">
        <v>277</v>
      </c>
      <c r="BX1144">
        <v>1347</v>
      </c>
      <c r="BY1144">
        <v>481</v>
      </c>
      <c r="BZ1144">
        <v>388</v>
      </c>
      <c r="CA1144">
        <v>3305</v>
      </c>
      <c r="CB1144">
        <v>0</v>
      </c>
      <c r="CC1144">
        <v>132.429</v>
      </c>
      <c r="CD1144">
        <v>261.87700000000001</v>
      </c>
      <c r="CE1144">
        <v>177</v>
      </c>
      <c r="CF1144">
        <v>958.78500000000008</v>
      </c>
      <c r="CG1144">
        <v>33.905999999999999</v>
      </c>
      <c r="CH1144">
        <v>0</v>
      </c>
      <c r="CI1144">
        <v>8</v>
      </c>
      <c r="CJ1144">
        <v>13</v>
      </c>
      <c r="CK1144">
        <v>1</v>
      </c>
      <c r="CL1144">
        <v>33.905999999999999</v>
      </c>
      <c r="CM1144">
        <v>88.795000000000002</v>
      </c>
      <c r="CN1144">
        <v>0</v>
      </c>
      <c r="CO1144">
        <v>0</v>
      </c>
      <c r="CP1144">
        <v>0</v>
      </c>
      <c r="CQ1144">
        <v>0</v>
      </c>
      <c r="CR1144">
        <v>0</v>
      </c>
      <c r="CS1144">
        <v>0</v>
      </c>
      <c r="CT1144">
        <v>0</v>
      </c>
      <c r="CU1144">
        <v>4.8470000000000004</v>
      </c>
      <c r="CV1144">
        <v>129.10599999999999</v>
      </c>
      <c r="CW1144">
        <v>88.933000000000007</v>
      </c>
      <c r="CX1144">
        <v>0</v>
      </c>
      <c r="CY1144" s="2043">
        <v>0</v>
      </c>
      <c r="CZ1144" s="2043">
        <v>0</v>
      </c>
      <c r="DA1144" s="2043">
        <v>0</v>
      </c>
      <c r="DB1144" s="2043">
        <v>0</v>
      </c>
      <c r="DC1144" s="2043">
        <v>0</v>
      </c>
      <c r="DI1144" t="s">
        <v>3235</v>
      </c>
      <c r="DJ1144" t="s">
        <v>3235</v>
      </c>
      <c r="DK1144" s="2042">
        <f t="shared" si="19"/>
        <v>0</v>
      </c>
    </row>
    <row r="1145" spans="1:115">
      <c r="A1145" t="s">
        <v>5893</v>
      </c>
      <c r="B1145" t="s">
        <v>1243</v>
      </c>
      <c r="C1145">
        <v>193.99800000000002</v>
      </c>
      <c r="D1145">
        <v>194.03700000000001</v>
      </c>
      <c r="E1145">
        <v>6.5440000000000005</v>
      </c>
      <c r="F1145">
        <v>0</v>
      </c>
      <c r="G1145" s="2043">
        <v>259642238</v>
      </c>
      <c r="H1145">
        <v>0</v>
      </c>
      <c r="I1145" s="2043">
        <v>0</v>
      </c>
      <c r="J1145">
        <v>9.7000000000000011</v>
      </c>
      <c r="K1145">
        <v>27</v>
      </c>
      <c r="L1145">
        <v>0</v>
      </c>
      <c r="M1145">
        <v>0</v>
      </c>
      <c r="N1145">
        <v>0</v>
      </c>
      <c r="O1145">
        <v>0</v>
      </c>
      <c r="P1145">
        <v>0</v>
      </c>
      <c r="Q1145">
        <v>0</v>
      </c>
      <c r="R1145" s="2043">
        <v>2123515</v>
      </c>
      <c r="S1145">
        <v>129168</v>
      </c>
      <c r="T1145">
        <v>0</v>
      </c>
      <c r="U1145">
        <v>0.05</v>
      </c>
      <c r="V1145">
        <v>0</v>
      </c>
      <c r="W1145">
        <v>0</v>
      </c>
      <c r="X1145">
        <v>0</v>
      </c>
      <c r="Y1145">
        <v>0</v>
      </c>
      <c r="Z1145">
        <v>0</v>
      </c>
      <c r="AA1145">
        <v>0</v>
      </c>
      <c r="AB1145">
        <v>192.89500000000001</v>
      </c>
      <c r="AC1145" s="2043">
        <v>228213881</v>
      </c>
      <c r="AD1145">
        <v>0</v>
      </c>
      <c r="AE1145" s="2043">
        <v>2252683</v>
      </c>
      <c r="AF1145">
        <v>0.872</v>
      </c>
      <c r="AG1145">
        <v>0</v>
      </c>
      <c r="AH1145">
        <v>0</v>
      </c>
      <c r="AI1145">
        <v>0</v>
      </c>
      <c r="AJ1145">
        <v>21.2</v>
      </c>
      <c r="AK1145">
        <v>1211</v>
      </c>
      <c r="AL1145">
        <v>0</v>
      </c>
      <c r="AM1145">
        <v>0</v>
      </c>
      <c r="AN1145">
        <v>5.351</v>
      </c>
      <c r="AO1145">
        <v>0</v>
      </c>
      <c r="AP1145">
        <v>0</v>
      </c>
      <c r="AQ1145">
        <v>0</v>
      </c>
      <c r="AR1145">
        <v>5.5049999999999999</v>
      </c>
      <c r="AS1145">
        <v>0</v>
      </c>
      <c r="AT1145">
        <v>3.0290000000000004</v>
      </c>
      <c r="AU1145">
        <v>0.436</v>
      </c>
      <c r="AV1145">
        <v>0</v>
      </c>
      <c r="AW1145">
        <v>8.9700000000000006</v>
      </c>
      <c r="AX1145">
        <v>0</v>
      </c>
      <c r="AY1145">
        <v>27.782</v>
      </c>
      <c r="AZ1145">
        <v>0</v>
      </c>
      <c r="BA1145">
        <v>378307</v>
      </c>
      <c r="BB1145">
        <v>2252683</v>
      </c>
      <c r="BC1145">
        <v>0</v>
      </c>
      <c r="BD1145">
        <v>54696</v>
      </c>
      <c r="BE1145">
        <v>0</v>
      </c>
      <c r="BF1145">
        <v>54696</v>
      </c>
      <c r="BG1145">
        <v>54696</v>
      </c>
      <c r="BH1145">
        <v>0</v>
      </c>
      <c r="BI1145">
        <v>0</v>
      </c>
      <c r="BJ1145">
        <v>0</v>
      </c>
      <c r="BK1145">
        <v>0</v>
      </c>
      <c r="BL1145">
        <v>259642238</v>
      </c>
      <c r="BM1145">
        <v>0</v>
      </c>
      <c r="BN1145">
        <v>693</v>
      </c>
      <c r="BO1145">
        <v>663</v>
      </c>
      <c r="BP1145">
        <v>0</v>
      </c>
      <c r="BQ1145">
        <v>0</v>
      </c>
      <c r="BR1145">
        <v>0.82200000000000006</v>
      </c>
      <c r="BS1145">
        <v>0.82200000000000006</v>
      </c>
      <c r="BT1145">
        <v>0</v>
      </c>
      <c r="BU1145">
        <v>0</v>
      </c>
      <c r="BV1145">
        <v>27</v>
      </c>
      <c r="BW1145">
        <v>41</v>
      </c>
      <c r="BX1145">
        <v>10</v>
      </c>
      <c r="BY1145">
        <v>11</v>
      </c>
      <c r="BZ1145">
        <v>0</v>
      </c>
      <c r="CA1145">
        <v>89</v>
      </c>
      <c r="CB1145">
        <v>0</v>
      </c>
      <c r="CC1145">
        <v>0</v>
      </c>
      <c r="CD1145">
        <v>0</v>
      </c>
      <c r="CE1145">
        <v>21</v>
      </c>
      <c r="CF1145">
        <v>24.838000000000001</v>
      </c>
      <c r="CG1145">
        <v>0</v>
      </c>
      <c r="CH1145">
        <v>0</v>
      </c>
      <c r="CI1145">
        <v>1</v>
      </c>
      <c r="CJ1145">
        <v>3</v>
      </c>
      <c r="CK1145">
        <v>0</v>
      </c>
      <c r="CL1145">
        <v>0</v>
      </c>
      <c r="CM1145">
        <v>6.5440000000000005</v>
      </c>
      <c r="CN1145">
        <v>0</v>
      </c>
      <c r="CO1145">
        <v>0</v>
      </c>
      <c r="CP1145">
        <v>0</v>
      </c>
      <c r="CQ1145">
        <v>0</v>
      </c>
      <c r="CR1145">
        <v>0</v>
      </c>
      <c r="CS1145">
        <v>0</v>
      </c>
      <c r="CT1145">
        <v>0</v>
      </c>
      <c r="CU1145">
        <v>2.7090000000000001</v>
      </c>
      <c r="CV1145">
        <v>12.576000000000001</v>
      </c>
      <c r="CW1145">
        <v>8.3719999999999999</v>
      </c>
      <c r="CX1145">
        <v>0</v>
      </c>
      <c r="CY1145" s="2043">
        <v>0</v>
      </c>
      <c r="CZ1145" s="2043">
        <v>0</v>
      </c>
      <c r="DA1145" s="2043">
        <v>0</v>
      </c>
      <c r="DB1145" s="2043">
        <v>0</v>
      </c>
      <c r="DC1145" s="2043">
        <v>68000</v>
      </c>
      <c r="DI1145" t="s">
        <v>5893</v>
      </c>
      <c r="DJ1145" t="s">
        <v>5893</v>
      </c>
      <c r="DK1145" s="2042">
        <f t="shared" si="19"/>
        <v>0</v>
      </c>
    </row>
    <row r="1146" spans="1:115">
      <c r="A1146" t="s">
        <v>3236</v>
      </c>
      <c r="B1146" t="s">
        <v>460</v>
      </c>
      <c r="C1146">
        <v>8914.5609999999997</v>
      </c>
      <c r="D1146">
        <v>9369.8829999999998</v>
      </c>
      <c r="E1146">
        <v>1606.5120000000002</v>
      </c>
      <c r="F1146">
        <v>0</v>
      </c>
      <c r="G1146" s="2043">
        <v>2467908428</v>
      </c>
      <c r="H1146">
        <v>0</v>
      </c>
      <c r="I1146" s="2043">
        <v>5016150</v>
      </c>
      <c r="J1146">
        <v>445.72800000000001</v>
      </c>
      <c r="K1146">
        <v>1219</v>
      </c>
      <c r="L1146">
        <v>331528</v>
      </c>
      <c r="M1146">
        <v>3196864</v>
      </c>
      <c r="N1146">
        <v>331528</v>
      </c>
      <c r="O1146">
        <v>3528392</v>
      </c>
      <c r="P1146">
        <v>0</v>
      </c>
      <c r="Q1146">
        <v>0</v>
      </c>
      <c r="R1146" s="2043">
        <v>18700723</v>
      </c>
      <c r="S1146">
        <v>1773631</v>
      </c>
      <c r="T1146">
        <v>1146209</v>
      </c>
      <c r="U1146">
        <v>0.08</v>
      </c>
      <c r="V1146">
        <v>0</v>
      </c>
      <c r="W1146">
        <v>0</v>
      </c>
      <c r="X1146">
        <v>0</v>
      </c>
      <c r="Y1146">
        <v>-2548</v>
      </c>
      <c r="Z1146">
        <v>0</v>
      </c>
      <c r="AA1146">
        <v>0.90800000000000003</v>
      </c>
      <c r="AB1146">
        <v>9115.2440000000006</v>
      </c>
      <c r="AC1146" s="2043">
        <v>2070757084</v>
      </c>
      <c r="AD1146">
        <v>1254500</v>
      </c>
      <c r="AE1146" s="2043">
        <v>21620563</v>
      </c>
      <c r="AF1146">
        <v>0.97520000000000007</v>
      </c>
      <c r="AG1146">
        <v>0</v>
      </c>
      <c r="AH1146">
        <v>0</v>
      </c>
      <c r="AI1146">
        <v>0</v>
      </c>
      <c r="AJ1146">
        <v>1775.4750000000001</v>
      </c>
      <c r="AK1146">
        <v>29021</v>
      </c>
      <c r="AL1146">
        <v>1.8220000000000001</v>
      </c>
      <c r="AM1146">
        <v>0</v>
      </c>
      <c r="AN1146">
        <v>560</v>
      </c>
      <c r="AO1146">
        <v>0</v>
      </c>
      <c r="AP1146">
        <v>0</v>
      </c>
      <c r="AQ1146">
        <v>0</v>
      </c>
      <c r="AR1146">
        <v>95.834000000000003</v>
      </c>
      <c r="AS1146">
        <v>0</v>
      </c>
      <c r="AT1146">
        <v>65.625</v>
      </c>
      <c r="AU1146">
        <v>19.783000000000001</v>
      </c>
      <c r="AV1146">
        <v>0</v>
      </c>
      <c r="AW1146">
        <v>202.62800000000001</v>
      </c>
      <c r="AX1146">
        <v>19.564</v>
      </c>
      <c r="AY1146">
        <v>637.399</v>
      </c>
      <c r="AZ1146">
        <v>0</v>
      </c>
      <c r="BA1146">
        <v>66919292</v>
      </c>
      <c r="BB1146">
        <v>22875063</v>
      </c>
      <c r="BC1146">
        <v>0</v>
      </c>
      <c r="BD1146">
        <v>322465</v>
      </c>
      <c r="BE1146">
        <v>101468</v>
      </c>
      <c r="BF1146">
        <v>534854</v>
      </c>
      <c r="BG1146">
        <v>322465</v>
      </c>
      <c r="BH1146">
        <v>110921</v>
      </c>
      <c r="BI1146">
        <v>0</v>
      </c>
      <c r="BJ1146">
        <v>-2548</v>
      </c>
      <c r="BK1146">
        <v>0</v>
      </c>
      <c r="BL1146">
        <v>2467908428</v>
      </c>
      <c r="BM1146">
        <v>0</v>
      </c>
      <c r="BN1146">
        <v>35541</v>
      </c>
      <c r="BO1146">
        <v>27488</v>
      </c>
      <c r="BP1146">
        <v>0</v>
      </c>
      <c r="BQ1146">
        <v>0</v>
      </c>
      <c r="BR1146">
        <v>0.84350000000000003</v>
      </c>
      <c r="BS1146">
        <v>0.84350000000000003</v>
      </c>
      <c r="BT1146">
        <v>0</v>
      </c>
      <c r="BU1146">
        <v>0</v>
      </c>
      <c r="BV1146">
        <v>1390</v>
      </c>
      <c r="BW1146">
        <v>1008</v>
      </c>
      <c r="BX1146">
        <v>1791</v>
      </c>
      <c r="BY1146">
        <v>2084</v>
      </c>
      <c r="BZ1146">
        <v>831</v>
      </c>
      <c r="CA1146">
        <v>7104</v>
      </c>
      <c r="CB1146">
        <v>0</v>
      </c>
      <c r="CC1146">
        <v>0</v>
      </c>
      <c r="CD1146">
        <v>0</v>
      </c>
      <c r="CE1146">
        <v>544</v>
      </c>
      <c r="CF1146">
        <v>2735.6950000000002</v>
      </c>
      <c r="CG1146">
        <v>98.749000000000009</v>
      </c>
      <c r="CH1146">
        <v>0</v>
      </c>
      <c r="CI1146">
        <v>64</v>
      </c>
      <c r="CJ1146">
        <v>62</v>
      </c>
      <c r="CK1146">
        <v>1</v>
      </c>
      <c r="CL1146">
        <v>98.749000000000009</v>
      </c>
      <c r="CM1146">
        <v>1606.5120000000002</v>
      </c>
      <c r="CN1146">
        <v>0</v>
      </c>
      <c r="CO1146">
        <v>0</v>
      </c>
      <c r="CP1146">
        <v>0</v>
      </c>
      <c r="CQ1146">
        <v>0</v>
      </c>
      <c r="CR1146">
        <v>0</v>
      </c>
      <c r="CS1146">
        <v>83.89200000000001</v>
      </c>
      <c r="CT1146">
        <v>0</v>
      </c>
      <c r="CU1146">
        <v>23.238</v>
      </c>
      <c r="CV1146">
        <v>550.22199999999998</v>
      </c>
      <c r="CW1146">
        <v>202.977</v>
      </c>
      <c r="CX1146">
        <v>0</v>
      </c>
      <c r="CY1146" s="2043">
        <v>0</v>
      </c>
      <c r="CZ1146" s="2043">
        <v>0</v>
      </c>
      <c r="DA1146" s="2043">
        <v>0</v>
      </c>
      <c r="DB1146" s="2043">
        <v>0</v>
      </c>
      <c r="DC1146" s="2043">
        <v>0</v>
      </c>
      <c r="DI1146" t="s">
        <v>3236</v>
      </c>
      <c r="DJ1146" t="s">
        <v>3236</v>
      </c>
      <c r="DK1146" s="2042">
        <f t="shared" si="19"/>
        <v>0</v>
      </c>
    </row>
    <row r="1147" spans="1:115">
      <c r="A1147" t="s">
        <v>5290</v>
      </c>
      <c r="B1147" t="s">
        <v>785</v>
      </c>
      <c r="C1147">
        <v>223.21100000000001</v>
      </c>
      <c r="D1147">
        <v>220.91300000000001</v>
      </c>
      <c r="E1147">
        <v>8.3019999999999996</v>
      </c>
      <c r="F1147">
        <v>0</v>
      </c>
      <c r="G1147" s="2043">
        <v>347247199</v>
      </c>
      <c r="H1147">
        <v>0</v>
      </c>
      <c r="I1147" s="2043">
        <v>272709</v>
      </c>
      <c r="J1147">
        <v>11.161000000000001</v>
      </c>
      <c r="K1147">
        <v>31</v>
      </c>
      <c r="L1147">
        <v>0</v>
      </c>
      <c r="M1147">
        <v>0</v>
      </c>
      <c r="N1147">
        <v>0</v>
      </c>
      <c r="O1147">
        <v>0</v>
      </c>
      <c r="P1147">
        <v>0</v>
      </c>
      <c r="Q1147">
        <v>0</v>
      </c>
      <c r="R1147" s="2043">
        <v>2803094</v>
      </c>
      <c r="S1147">
        <v>271914</v>
      </c>
      <c r="T1147">
        <v>178104</v>
      </c>
      <c r="U1147">
        <v>0.08</v>
      </c>
      <c r="V1147">
        <v>0</v>
      </c>
      <c r="W1147">
        <v>370194</v>
      </c>
      <c r="X1147">
        <v>76865</v>
      </c>
      <c r="Y1147">
        <v>0</v>
      </c>
      <c r="Z1147">
        <v>0</v>
      </c>
      <c r="AA1147">
        <v>0</v>
      </c>
      <c r="AB1147">
        <v>220.91300000000001</v>
      </c>
      <c r="AC1147" s="2043">
        <v>225865150</v>
      </c>
      <c r="AD1147">
        <v>404999</v>
      </c>
      <c r="AE1147" s="2043">
        <v>3253112</v>
      </c>
      <c r="AF1147">
        <v>0.95710000000000006</v>
      </c>
      <c r="AG1147">
        <v>0</v>
      </c>
      <c r="AH1147">
        <v>447059</v>
      </c>
      <c r="AI1147">
        <v>0</v>
      </c>
      <c r="AJ1147">
        <v>21.25</v>
      </c>
      <c r="AK1147">
        <v>451</v>
      </c>
      <c r="AL1147">
        <v>0</v>
      </c>
      <c r="AM1147">
        <v>0</v>
      </c>
      <c r="AN1147">
        <v>4.1749999999999998</v>
      </c>
      <c r="AO1147">
        <v>0</v>
      </c>
      <c r="AP1147">
        <v>0</v>
      </c>
      <c r="AQ1147">
        <v>0</v>
      </c>
      <c r="AR1147">
        <v>1.742</v>
      </c>
      <c r="AS1147">
        <v>0</v>
      </c>
      <c r="AT1147">
        <v>0</v>
      </c>
      <c r="AU1147">
        <v>0.55000000000000004</v>
      </c>
      <c r="AV1147">
        <v>0</v>
      </c>
      <c r="AW1147">
        <v>2.2920000000000003</v>
      </c>
      <c r="AX1147">
        <v>0</v>
      </c>
      <c r="AY1147">
        <v>7.976</v>
      </c>
      <c r="AZ1147">
        <v>0</v>
      </c>
      <c r="BA1147">
        <v>151170</v>
      </c>
      <c r="BB1147">
        <v>3658111</v>
      </c>
      <c r="BC1147">
        <v>0</v>
      </c>
      <c r="BD1147">
        <v>65404</v>
      </c>
      <c r="BE1147">
        <v>0</v>
      </c>
      <c r="BF1147">
        <v>65404</v>
      </c>
      <c r="BG1147">
        <v>65404</v>
      </c>
      <c r="BH1147">
        <v>0</v>
      </c>
      <c r="BI1147">
        <v>0</v>
      </c>
      <c r="BJ1147">
        <v>0</v>
      </c>
      <c r="BK1147">
        <v>0</v>
      </c>
      <c r="BL1147">
        <v>347247199</v>
      </c>
      <c r="BM1147">
        <v>0</v>
      </c>
      <c r="BN1147">
        <v>774</v>
      </c>
      <c r="BO1147">
        <v>321</v>
      </c>
      <c r="BP1147">
        <v>0</v>
      </c>
      <c r="BQ1147">
        <v>0</v>
      </c>
      <c r="BR1147">
        <v>0.82469999999999999</v>
      </c>
      <c r="BS1147">
        <v>0.82469999999999999</v>
      </c>
      <c r="BT1147">
        <v>0</v>
      </c>
      <c r="BU1147">
        <v>0</v>
      </c>
      <c r="BV1147">
        <v>21</v>
      </c>
      <c r="BW1147">
        <v>25</v>
      </c>
      <c r="BX1147">
        <v>20</v>
      </c>
      <c r="BY1147">
        <v>15</v>
      </c>
      <c r="BZ1147">
        <v>6</v>
      </c>
      <c r="CA1147">
        <v>87</v>
      </c>
      <c r="CB1147">
        <v>0</v>
      </c>
      <c r="CC1147">
        <v>0</v>
      </c>
      <c r="CD1147">
        <v>0</v>
      </c>
      <c r="CE1147">
        <v>7</v>
      </c>
      <c r="CF1147">
        <v>26.011000000000003</v>
      </c>
      <c r="CG1147">
        <v>0</v>
      </c>
      <c r="CH1147">
        <v>0</v>
      </c>
      <c r="CI1147">
        <v>1</v>
      </c>
      <c r="CJ1147">
        <v>3</v>
      </c>
      <c r="CK1147">
        <v>0</v>
      </c>
      <c r="CL1147">
        <v>0</v>
      </c>
      <c r="CM1147">
        <v>8.3019999999999996</v>
      </c>
      <c r="CN1147">
        <v>0</v>
      </c>
      <c r="CO1147">
        <v>0</v>
      </c>
      <c r="CP1147">
        <v>0</v>
      </c>
      <c r="CQ1147">
        <v>0</v>
      </c>
      <c r="CR1147">
        <v>0</v>
      </c>
      <c r="CS1147">
        <v>0</v>
      </c>
      <c r="CT1147">
        <v>0</v>
      </c>
      <c r="CU1147">
        <v>0</v>
      </c>
      <c r="CV1147">
        <v>9.7080000000000002</v>
      </c>
      <c r="CW1147">
        <v>4.9210000000000003</v>
      </c>
      <c r="CX1147">
        <v>0</v>
      </c>
      <c r="CY1147" s="2043">
        <v>0</v>
      </c>
      <c r="CZ1147" s="2043">
        <v>0</v>
      </c>
      <c r="DA1147" s="2043">
        <v>0</v>
      </c>
      <c r="DB1147" s="2043">
        <v>0</v>
      </c>
      <c r="DC1147" s="2043">
        <v>85660</v>
      </c>
      <c r="DI1147" t="s">
        <v>5290</v>
      </c>
      <c r="DJ1147" t="s">
        <v>5290</v>
      </c>
      <c r="DK1147" s="2042">
        <f t="shared" si="19"/>
        <v>0</v>
      </c>
    </row>
    <row r="1148" spans="1:115">
      <c r="A1148" t="s">
        <v>8107</v>
      </c>
      <c r="B1148" t="s">
        <v>11436</v>
      </c>
      <c r="C1148">
        <v>66.040999999999997</v>
      </c>
      <c r="D1148">
        <v>60.385000000000005</v>
      </c>
      <c r="E1148">
        <v>0</v>
      </c>
      <c r="F1148">
        <v>0</v>
      </c>
      <c r="G1148" s="2043">
        <v>0</v>
      </c>
      <c r="H1148">
        <v>0</v>
      </c>
      <c r="I1148" s="2043">
        <v>0</v>
      </c>
      <c r="J1148">
        <v>0</v>
      </c>
      <c r="K1148">
        <v>0</v>
      </c>
      <c r="L1148">
        <v>0</v>
      </c>
      <c r="M1148">
        <v>0</v>
      </c>
      <c r="N1148">
        <v>0</v>
      </c>
      <c r="O1148">
        <v>0</v>
      </c>
      <c r="P1148">
        <v>0</v>
      </c>
      <c r="Q1148">
        <v>0</v>
      </c>
      <c r="R1148" s="2043">
        <v>0</v>
      </c>
      <c r="S1148">
        <v>0</v>
      </c>
      <c r="T1148">
        <v>0</v>
      </c>
      <c r="U1148">
        <v>0</v>
      </c>
      <c r="V1148">
        <v>0</v>
      </c>
      <c r="W1148">
        <v>0</v>
      </c>
      <c r="X1148">
        <v>0</v>
      </c>
      <c r="Y1148">
        <v>11675</v>
      </c>
      <c r="Z1148">
        <v>0</v>
      </c>
      <c r="AA1148">
        <v>7.6999999999999999E-2</v>
      </c>
      <c r="AB1148">
        <v>57.28</v>
      </c>
      <c r="AC1148" s="2043">
        <v>0</v>
      </c>
      <c r="AD1148">
        <v>0</v>
      </c>
      <c r="AE1148" s="2043">
        <v>0</v>
      </c>
      <c r="AF1148">
        <v>0</v>
      </c>
      <c r="AG1148">
        <v>0</v>
      </c>
      <c r="AH1148">
        <v>0</v>
      </c>
      <c r="AI1148">
        <v>0</v>
      </c>
      <c r="AJ1148">
        <v>16.263000000000002</v>
      </c>
      <c r="AK1148">
        <v>739</v>
      </c>
      <c r="AL1148">
        <v>0</v>
      </c>
      <c r="AM1148">
        <v>0</v>
      </c>
      <c r="AN1148">
        <v>4.0780000000000003</v>
      </c>
      <c r="AO1148">
        <v>0</v>
      </c>
      <c r="AP1148">
        <v>0</v>
      </c>
      <c r="AQ1148">
        <v>4.0710000000000006</v>
      </c>
      <c r="AR1148">
        <v>3.891</v>
      </c>
      <c r="AS1148">
        <v>0</v>
      </c>
      <c r="AT1148">
        <v>0</v>
      </c>
      <c r="AU1148">
        <v>0</v>
      </c>
      <c r="AV1148">
        <v>0</v>
      </c>
      <c r="AW1148">
        <v>7.9620000000000006</v>
      </c>
      <c r="AX1148">
        <v>0</v>
      </c>
      <c r="AY1148">
        <v>11.673</v>
      </c>
      <c r="AZ1148">
        <v>0</v>
      </c>
      <c r="BA1148">
        <v>866088</v>
      </c>
      <c r="BB1148">
        <v>0</v>
      </c>
      <c r="BC1148">
        <v>0</v>
      </c>
      <c r="BD1148">
        <v>0</v>
      </c>
      <c r="BE1148">
        <v>0</v>
      </c>
      <c r="BF1148">
        <v>0</v>
      </c>
      <c r="BG1148">
        <v>0</v>
      </c>
      <c r="BH1148">
        <v>0</v>
      </c>
      <c r="BI1148">
        <v>0</v>
      </c>
      <c r="BJ1148">
        <v>0</v>
      </c>
      <c r="BK1148">
        <v>0</v>
      </c>
      <c r="BL1148">
        <v>0</v>
      </c>
      <c r="BM1148">
        <v>0</v>
      </c>
      <c r="BN1148">
        <v>549</v>
      </c>
      <c r="BO1148">
        <v>0</v>
      </c>
      <c r="BP1148">
        <v>0</v>
      </c>
      <c r="BQ1148">
        <v>0</v>
      </c>
      <c r="BR1148">
        <v>0</v>
      </c>
      <c r="BS1148">
        <v>0</v>
      </c>
      <c r="BT1148">
        <v>0</v>
      </c>
      <c r="BU1148">
        <v>0</v>
      </c>
      <c r="BV1148">
        <v>10</v>
      </c>
      <c r="BW1148">
        <v>17</v>
      </c>
      <c r="BX1148">
        <v>7</v>
      </c>
      <c r="BY1148">
        <v>2</v>
      </c>
      <c r="BZ1148">
        <v>28</v>
      </c>
      <c r="CA1148">
        <v>64</v>
      </c>
      <c r="CB1148">
        <v>3</v>
      </c>
      <c r="CC1148">
        <v>0</v>
      </c>
      <c r="CD1148">
        <v>0</v>
      </c>
      <c r="CE1148">
        <v>12</v>
      </c>
      <c r="CF1148">
        <v>0</v>
      </c>
      <c r="CG1148">
        <v>66.040999999999997</v>
      </c>
      <c r="CH1148">
        <v>22.28</v>
      </c>
      <c r="CI1148">
        <v>0</v>
      </c>
      <c r="CJ1148">
        <v>1</v>
      </c>
      <c r="CK1148">
        <v>0</v>
      </c>
      <c r="CL1148">
        <v>88.320999999999998</v>
      </c>
      <c r="CM1148">
        <v>0</v>
      </c>
      <c r="CN1148">
        <v>0</v>
      </c>
      <c r="CO1148">
        <v>0</v>
      </c>
      <c r="CP1148">
        <v>0</v>
      </c>
      <c r="CQ1148">
        <v>0</v>
      </c>
      <c r="CR1148">
        <v>0</v>
      </c>
      <c r="CS1148">
        <v>0</v>
      </c>
      <c r="CT1148">
        <v>0</v>
      </c>
      <c r="CU1148">
        <v>0</v>
      </c>
      <c r="CV1148">
        <v>0</v>
      </c>
      <c r="CW1148">
        <v>0</v>
      </c>
      <c r="CX1148">
        <v>0</v>
      </c>
      <c r="CY1148" s="2043">
        <v>0</v>
      </c>
      <c r="CZ1148" s="2043">
        <v>0</v>
      </c>
      <c r="DA1148" s="2043">
        <v>0</v>
      </c>
      <c r="DB1148" s="2043">
        <v>0</v>
      </c>
      <c r="DC1148" s="2043">
        <v>0</v>
      </c>
      <c r="DI1148" t="s">
        <v>8107</v>
      </c>
      <c r="DJ1148" t="s">
        <v>8107</v>
      </c>
      <c r="DK1148" s="2042">
        <f t="shared" si="19"/>
        <v>0</v>
      </c>
    </row>
    <row r="1149" spans="1:115">
      <c r="A1149" t="s">
        <v>3237</v>
      </c>
      <c r="B1149" t="s">
        <v>787</v>
      </c>
      <c r="C1149">
        <v>2149.0450000000001</v>
      </c>
      <c r="D1149">
        <v>2091.0750000000003</v>
      </c>
      <c r="E1149">
        <v>80.179000000000002</v>
      </c>
      <c r="F1149">
        <v>0</v>
      </c>
      <c r="G1149" s="2043">
        <v>1011321490</v>
      </c>
      <c r="H1149">
        <v>0</v>
      </c>
      <c r="I1149" s="2043">
        <v>1622291</v>
      </c>
      <c r="J1149">
        <v>107.452</v>
      </c>
      <c r="K1149">
        <v>294</v>
      </c>
      <c r="L1149">
        <v>0</v>
      </c>
      <c r="M1149">
        <v>944379</v>
      </c>
      <c r="N1149">
        <v>0</v>
      </c>
      <c r="O1149">
        <v>944379</v>
      </c>
      <c r="P1149">
        <v>0</v>
      </c>
      <c r="Q1149">
        <v>0</v>
      </c>
      <c r="R1149" s="2043">
        <v>8256132</v>
      </c>
      <c r="S1149">
        <v>502198</v>
      </c>
      <c r="T1149">
        <v>0</v>
      </c>
      <c r="U1149">
        <v>0.05</v>
      </c>
      <c r="V1149">
        <v>0</v>
      </c>
      <c r="W1149">
        <v>0</v>
      </c>
      <c r="X1149">
        <v>0</v>
      </c>
      <c r="Y1149">
        <v>-6325</v>
      </c>
      <c r="Z1149">
        <v>0</v>
      </c>
      <c r="AA1149">
        <v>0</v>
      </c>
      <c r="AB1149">
        <v>2079.3310000000001</v>
      </c>
      <c r="AC1149" s="2043">
        <v>768226969</v>
      </c>
      <c r="AD1149">
        <v>4309355</v>
      </c>
      <c r="AE1149" s="2043">
        <v>8758330</v>
      </c>
      <c r="AF1149">
        <v>0.872</v>
      </c>
      <c r="AG1149">
        <v>0</v>
      </c>
      <c r="AH1149">
        <v>0</v>
      </c>
      <c r="AI1149">
        <v>0</v>
      </c>
      <c r="AJ1149">
        <v>240.83800000000002</v>
      </c>
      <c r="AK1149">
        <v>6066</v>
      </c>
      <c r="AL1149">
        <v>0</v>
      </c>
      <c r="AM1149">
        <v>0</v>
      </c>
      <c r="AN1149">
        <v>73.573000000000008</v>
      </c>
      <c r="AO1149">
        <v>0</v>
      </c>
      <c r="AP1149">
        <v>0</v>
      </c>
      <c r="AQ1149">
        <v>2.4610000000000003</v>
      </c>
      <c r="AR1149">
        <v>27.203000000000003</v>
      </c>
      <c r="AS1149">
        <v>0</v>
      </c>
      <c r="AT1149">
        <v>16.992000000000001</v>
      </c>
      <c r="AU1149">
        <v>4.2240000000000002</v>
      </c>
      <c r="AV1149">
        <v>0</v>
      </c>
      <c r="AW1149">
        <v>50.88</v>
      </c>
      <c r="AX1149">
        <v>0</v>
      </c>
      <c r="AY1149">
        <v>153.70500000000001</v>
      </c>
      <c r="AZ1149">
        <v>0</v>
      </c>
      <c r="BA1149">
        <v>11296464</v>
      </c>
      <c r="BB1149">
        <v>13067685</v>
      </c>
      <c r="BC1149">
        <v>0</v>
      </c>
      <c r="BD1149">
        <v>155034</v>
      </c>
      <c r="BE1149">
        <v>37033</v>
      </c>
      <c r="BF1149">
        <v>192067</v>
      </c>
      <c r="BG1149">
        <v>155034</v>
      </c>
      <c r="BH1149">
        <v>0</v>
      </c>
      <c r="BI1149">
        <v>-6325</v>
      </c>
      <c r="BJ1149">
        <v>0</v>
      </c>
      <c r="BK1149">
        <v>0</v>
      </c>
      <c r="BL1149">
        <v>1011321490</v>
      </c>
      <c r="BM1149">
        <v>0</v>
      </c>
      <c r="BN1149">
        <v>7263</v>
      </c>
      <c r="BO1149">
        <v>6163</v>
      </c>
      <c r="BP1149">
        <v>0</v>
      </c>
      <c r="BQ1149">
        <v>0</v>
      </c>
      <c r="BR1149">
        <v>0.82200000000000006</v>
      </c>
      <c r="BS1149">
        <v>0.82200000000000006</v>
      </c>
      <c r="BT1149">
        <v>0</v>
      </c>
      <c r="BU1149">
        <v>0</v>
      </c>
      <c r="BV1149">
        <v>323</v>
      </c>
      <c r="BW1149">
        <v>541</v>
      </c>
      <c r="BX1149">
        <v>151</v>
      </c>
      <c r="BY1149">
        <v>0</v>
      </c>
      <c r="BZ1149">
        <v>7</v>
      </c>
      <c r="CA1149">
        <v>1022</v>
      </c>
      <c r="CB1149">
        <v>0</v>
      </c>
      <c r="CC1149">
        <v>0</v>
      </c>
      <c r="CD1149">
        <v>0</v>
      </c>
      <c r="CE1149">
        <v>237</v>
      </c>
      <c r="CF1149">
        <v>357.90300000000002</v>
      </c>
      <c r="CG1149">
        <v>0</v>
      </c>
      <c r="CH1149">
        <v>2.6870000000000003</v>
      </c>
      <c r="CI1149">
        <v>10</v>
      </c>
      <c r="CJ1149">
        <v>74</v>
      </c>
      <c r="CK1149">
        <v>0</v>
      </c>
      <c r="CL1149">
        <v>2.6870000000000003</v>
      </c>
      <c r="CM1149">
        <v>80.179000000000002</v>
      </c>
      <c r="CN1149">
        <v>0</v>
      </c>
      <c r="CO1149">
        <v>0</v>
      </c>
      <c r="CP1149">
        <v>0</v>
      </c>
      <c r="CQ1149">
        <v>0</v>
      </c>
      <c r="CR1149">
        <v>0</v>
      </c>
      <c r="CS1149">
        <v>0</v>
      </c>
      <c r="CT1149">
        <v>0</v>
      </c>
      <c r="CU1149">
        <v>7.3690000000000007</v>
      </c>
      <c r="CV1149">
        <v>211.30600000000001</v>
      </c>
      <c r="CW1149">
        <v>54.916000000000004</v>
      </c>
      <c r="CX1149">
        <v>0</v>
      </c>
      <c r="CY1149" s="2043">
        <v>0</v>
      </c>
      <c r="CZ1149" s="2043">
        <v>0</v>
      </c>
      <c r="DA1149" s="2043">
        <v>0</v>
      </c>
      <c r="DB1149" s="2043">
        <v>0</v>
      </c>
      <c r="DC1149" s="2043">
        <v>0</v>
      </c>
      <c r="DI1149" t="s">
        <v>3237</v>
      </c>
      <c r="DJ1149" t="s">
        <v>3237</v>
      </c>
      <c r="DK1149" s="2042">
        <f t="shared" si="19"/>
        <v>0</v>
      </c>
    </row>
    <row r="1150" spans="1:115">
      <c r="A1150" t="s">
        <v>5291</v>
      </c>
      <c r="B1150" t="s">
        <v>788</v>
      </c>
      <c r="C1150">
        <v>968.82900000000006</v>
      </c>
      <c r="D1150">
        <v>912.35500000000002</v>
      </c>
      <c r="E1150">
        <v>21.656000000000002</v>
      </c>
      <c r="F1150">
        <v>0</v>
      </c>
      <c r="G1150" s="2043">
        <v>348581641</v>
      </c>
      <c r="H1150">
        <v>0</v>
      </c>
      <c r="I1150" s="2043">
        <v>527200</v>
      </c>
      <c r="J1150">
        <v>48.441000000000003</v>
      </c>
      <c r="K1150">
        <v>132</v>
      </c>
      <c r="L1150">
        <v>0</v>
      </c>
      <c r="M1150">
        <v>0</v>
      </c>
      <c r="N1150">
        <v>0</v>
      </c>
      <c r="O1150">
        <v>0</v>
      </c>
      <c r="P1150">
        <v>0</v>
      </c>
      <c r="Q1150">
        <v>0</v>
      </c>
      <c r="R1150" s="2043">
        <v>2827010</v>
      </c>
      <c r="S1150">
        <v>275135</v>
      </c>
      <c r="T1150">
        <v>200504</v>
      </c>
      <c r="U1150">
        <v>0.08</v>
      </c>
      <c r="V1150">
        <v>0</v>
      </c>
      <c r="W1150">
        <v>0</v>
      </c>
      <c r="X1150">
        <v>0</v>
      </c>
      <c r="Y1150">
        <v>0</v>
      </c>
      <c r="Z1150">
        <v>0</v>
      </c>
      <c r="AA1150">
        <v>0</v>
      </c>
      <c r="AB1150">
        <v>891.38800000000003</v>
      </c>
      <c r="AC1150" s="2043">
        <v>253244791</v>
      </c>
      <c r="AD1150">
        <v>603430</v>
      </c>
      <c r="AE1150" s="2043">
        <v>3302649</v>
      </c>
      <c r="AF1150">
        <v>0.96030000000000004</v>
      </c>
      <c r="AG1150">
        <v>0</v>
      </c>
      <c r="AH1150">
        <v>0</v>
      </c>
      <c r="AI1150">
        <v>0</v>
      </c>
      <c r="AJ1150">
        <v>117.65</v>
      </c>
      <c r="AK1150">
        <v>5310</v>
      </c>
      <c r="AL1150">
        <v>0.36699999999999999</v>
      </c>
      <c r="AM1150">
        <v>0</v>
      </c>
      <c r="AN1150">
        <v>30.560000000000002</v>
      </c>
      <c r="AO1150">
        <v>0</v>
      </c>
      <c r="AP1150">
        <v>0</v>
      </c>
      <c r="AQ1150">
        <v>0</v>
      </c>
      <c r="AR1150">
        <v>34.005000000000003</v>
      </c>
      <c r="AS1150">
        <v>0</v>
      </c>
      <c r="AT1150">
        <v>8.6449999999999996</v>
      </c>
      <c r="AU1150">
        <v>2.2989999999999999</v>
      </c>
      <c r="AV1150">
        <v>0</v>
      </c>
      <c r="AW1150">
        <v>45.316000000000003</v>
      </c>
      <c r="AX1150">
        <v>0</v>
      </c>
      <c r="AY1150">
        <v>141.28</v>
      </c>
      <c r="AZ1150">
        <v>0</v>
      </c>
      <c r="BA1150">
        <v>9027467</v>
      </c>
      <c r="BB1150">
        <v>3906079</v>
      </c>
      <c r="BC1150">
        <v>0</v>
      </c>
      <c r="BD1150">
        <v>51728</v>
      </c>
      <c r="BE1150">
        <v>15242</v>
      </c>
      <c r="BF1150">
        <v>66970</v>
      </c>
      <c r="BG1150">
        <v>51728</v>
      </c>
      <c r="BH1150">
        <v>0</v>
      </c>
      <c r="BI1150">
        <v>0</v>
      </c>
      <c r="BJ1150">
        <v>0</v>
      </c>
      <c r="BK1150">
        <v>0</v>
      </c>
      <c r="BL1150">
        <v>348581641</v>
      </c>
      <c r="BM1150">
        <v>0</v>
      </c>
      <c r="BN1150">
        <v>3744</v>
      </c>
      <c r="BO1150">
        <v>3317</v>
      </c>
      <c r="BP1150">
        <v>0</v>
      </c>
      <c r="BQ1150">
        <v>0</v>
      </c>
      <c r="BR1150">
        <v>0.82200000000000006</v>
      </c>
      <c r="BS1150">
        <v>0.82200000000000006</v>
      </c>
      <c r="BT1150">
        <v>0</v>
      </c>
      <c r="BU1150">
        <v>0</v>
      </c>
      <c r="BV1150">
        <v>131</v>
      </c>
      <c r="BW1150">
        <v>174</v>
      </c>
      <c r="BX1150">
        <v>181</v>
      </c>
      <c r="BY1150">
        <v>4</v>
      </c>
      <c r="BZ1150">
        <v>2</v>
      </c>
      <c r="CA1150">
        <v>492</v>
      </c>
      <c r="CB1150">
        <v>0</v>
      </c>
      <c r="CC1150">
        <v>0</v>
      </c>
      <c r="CD1150">
        <v>0</v>
      </c>
      <c r="CE1150">
        <v>93</v>
      </c>
      <c r="CF1150">
        <v>166.935</v>
      </c>
      <c r="CG1150">
        <v>0</v>
      </c>
      <c r="CH1150">
        <v>0</v>
      </c>
      <c r="CI1150">
        <v>3</v>
      </c>
      <c r="CJ1150">
        <v>6</v>
      </c>
      <c r="CK1150">
        <v>0</v>
      </c>
      <c r="CL1150">
        <v>0</v>
      </c>
      <c r="CM1150">
        <v>21.656000000000002</v>
      </c>
      <c r="CN1150">
        <v>0</v>
      </c>
      <c r="CO1150">
        <v>0</v>
      </c>
      <c r="CP1150">
        <v>0</v>
      </c>
      <c r="CQ1150">
        <v>0</v>
      </c>
      <c r="CR1150">
        <v>0</v>
      </c>
      <c r="CS1150">
        <v>0</v>
      </c>
      <c r="CT1150">
        <v>0</v>
      </c>
      <c r="CU1150">
        <v>6.3330000000000002</v>
      </c>
      <c r="CV1150">
        <v>77.84</v>
      </c>
      <c r="CW1150">
        <v>61.409000000000006</v>
      </c>
      <c r="CX1150">
        <v>0</v>
      </c>
      <c r="CY1150" s="2043">
        <v>0</v>
      </c>
      <c r="CZ1150" s="2043">
        <v>0</v>
      </c>
      <c r="DA1150" s="2043">
        <v>0</v>
      </c>
      <c r="DB1150" s="2043">
        <v>0</v>
      </c>
      <c r="DC1150" s="2043">
        <v>0</v>
      </c>
      <c r="DI1150" t="s">
        <v>5291</v>
      </c>
      <c r="DJ1150" t="s">
        <v>5291</v>
      </c>
      <c r="DK1150" s="2042">
        <f t="shared" si="19"/>
        <v>0</v>
      </c>
    </row>
    <row r="1151" spans="1:115">
      <c r="A1151" t="s">
        <v>3238</v>
      </c>
      <c r="B1151" t="s">
        <v>1443</v>
      </c>
      <c r="C1151">
        <v>1066.117</v>
      </c>
      <c r="D1151">
        <v>1016.9930000000001</v>
      </c>
      <c r="E1151">
        <v>125.834</v>
      </c>
      <c r="F1151">
        <v>0</v>
      </c>
      <c r="G1151" s="2043">
        <v>376916639</v>
      </c>
      <c r="H1151">
        <v>0</v>
      </c>
      <c r="I1151" s="2043">
        <v>926481</v>
      </c>
      <c r="J1151">
        <v>53.306000000000004</v>
      </c>
      <c r="K1151">
        <v>146</v>
      </c>
      <c r="L1151">
        <v>0</v>
      </c>
      <c r="M1151">
        <v>287500</v>
      </c>
      <c r="N1151">
        <v>0</v>
      </c>
      <c r="O1151">
        <v>287500</v>
      </c>
      <c r="P1151">
        <v>0</v>
      </c>
      <c r="Q1151">
        <v>0</v>
      </c>
      <c r="R1151" s="2043">
        <v>2866206</v>
      </c>
      <c r="S1151">
        <v>278949</v>
      </c>
      <c r="T1151">
        <v>203285</v>
      </c>
      <c r="U1151">
        <v>0.08</v>
      </c>
      <c r="V1151">
        <v>0</v>
      </c>
      <c r="W1151">
        <v>0</v>
      </c>
      <c r="X1151">
        <v>0</v>
      </c>
      <c r="Y1151">
        <v>0</v>
      </c>
      <c r="Z1151">
        <v>0</v>
      </c>
      <c r="AA1151">
        <v>0.12</v>
      </c>
      <c r="AB1151">
        <v>1016.9930000000001</v>
      </c>
      <c r="AC1151" s="2043">
        <v>281216148</v>
      </c>
      <c r="AD1151">
        <v>900561</v>
      </c>
      <c r="AE1151" s="2043">
        <v>3348440</v>
      </c>
      <c r="AF1151">
        <v>0.96030000000000004</v>
      </c>
      <c r="AG1151">
        <v>0</v>
      </c>
      <c r="AH1151">
        <v>0</v>
      </c>
      <c r="AI1151">
        <v>0</v>
      </c>
      <c r="AJ1151">
        <v>170.63800000000001</v>
      </c>
      <c r="AK1151">
        <v>5148</v>
      </c>
      <c r="AL1151">
        <v>0.63800000000000001</v>
      </c>
      <c r="AM1151">
        <v>0</v>
      </c>
      <c r="AN1151">
        <v>36.679000000000002</v>
      </c>
      <c r="AO1151">
        <v>0</v>
      </c>
      <c r="AP1151">
        <v>0</v>
      </c>
      <c r="AQ1151">
        <v>2.2030000000000003</v>
      </c>
      <c r="AR1151">
        <v>29.345000000000002</v>
      </c>
      <c r="AS1151">
        <v>0</v>
      </c>
      <c r="AT1151">
        <v>7.843</v>
      </c>
      <c r="AU1151">
        <v>2.54</v>
      </c>
      <c r="AV1151">
        <v>0</v>
      </c>
      <c r="AW1151">
        <v>42.569000000000003</v>
      </c>
      <c r="AX1151">
        <v>0</v>
      </c>
      <c r="AY1151">
        <v>127.45400000000001</v>
      </c>
      <c r="AZ1151">
        <v>0</v>
      </c>
      <c r="BA1151">
        <v>9642590</v>
      </c>
      <c r="BB1151">
        <v>4249001</v>
      </c>
      <c r="BC1151">
        <v>0</v>
      </c>
      <c r="BD1151">
        <v>58559</v>
      </c>
      <c r="BE1151">
        <v>14784</v>
      </c>
      <c r="BF1151">
        <v>100244</v>
      </c>
      <c r="BG1151">
        <v>58559</v>
      </c>
      <c r="BH1151">
        <v>26901</v>
      </c>
      <c r="BI1151">
        <v>0</v>
      </c>
      <c r="BJ1151">
        <v>0</v>
      </c>
      <c r="BK1151">
        <v>0</v>
      </c>
      <c r="BL1151">
        <v>376916639</v>
      </c>
      <c r="BM1151">
        <v>0</v>
      </c>
      <c r="BN1151">
        <v>4077</v>
      </c>
      <c r="BO1151">
        <v>3028</v>
      </c>
      <c r="BP1151">
        <v>0</v>
      </c>
      <c r="BQ1151">
        <v>0</v>
      </c>
      <c r="BR1151">
        <v>0.82200000000000006</v>
      </c>
      <c r="BS1151">
        <v>0.82200000000000006</v>
      </c>
      <c r="BT1151">
        <v>0</v>
      </c>
      <c r="BU1151">
        <v>0</v>
      </c>
      <c r="BV1151">
        <v>97</v>
      </c>
      <c r="BW1151">
        <v>58</v>
      </c>
      <c r="BX1151">
        <v>209</v>
      </c>
      <c r="BY1151">
        <v>307</v>
      </c>
      <c r="BZ1151">
        <v>8</v>
      </c>
      <c r="CA1151">
        <v>679</v>
      </c>
      <c r="CB1151">
        <v>0</v>
      </c>
      <c r="CC1151">
        <v>0</v>
      </c>
      <c r="CD1151">
        <v>0</v>
      </c>
      <c r="CE1151">
        <v>132</v>
      </c>
      <c r="CF1151">
        <v>253.964</v>
      </c>
      <c r="CG1151">
        <v>9.8780000000000001</v>
      </c>
      <c r="CH1151">
        <v>2.4090000000000003</v>
      </c>
      <c r="CI1151">
        <v>1</v>
      </c>
      <c r="CJ1151">
        <v>6</v>
      </c>
      <c r="CK1151">
        <v>0</v>
      </c>
      <c r="CL1151">
        <v>12.287000000000001</v>
      </c>
      <c r="CM1151">
        <v>125.834</v>
      </c>
      <c r="CN1151">
        <v>0</v>
      </c>
      <c r="CO1151">
        <v>0</v>
      </c>
      <c r="CP1151">
        <v>0</v>
      </c>
      <c r="CQ1151">
        <v>0</v>
      </c>
      <c r="CR1151">
        <v>0</v>
      </c>
      <c r="CS1151">
        <v>0</v>
      </c>
      <c r="CT1151">
        <v>0</v>
      </c>
      <c r="CU1151">
        <v>6.5090000000000003</v>
      </c>
      <c r="CV1151">
        <v>47.132000000000005</v>
      </c>
      <c r="CW1151">
        <v>54.209000000000003</v>
      </c>
      <c r="CX1151">
        <v>0</v>
      </c>
      <c r="CY1151" s="2043">
        <v>0</v>
      </c>
      <c r="CZ1151" s="2043">
        <v>0</v>
      </c>
      <c r="DA1151" s="2043">
        <v>0</v>
      </c>
      <c r="DB1151" s="2043">
        <v>0</v>
      </c>
      <c r="DC1151" s="2043">
        <v>0</v>
      </c>
      <c r="DI1151" t="s">
        <v>3238</v>
      </c>
      <c r="DJ1151" t="s">
        <v>3238</v>
      </c>
      <c r="DK1151" s="2042">
        <f t="shared" si="19"/>
        <v>0</v>
      </c>
    </row>
    <row r="1152" spans="1:115">
      <c r="A1152" t="s">
        <v>3239</v>
      </c>
      <c r="B1152" t="s">
        <v>1732</v>
      </c>
      <c r="C1152">
        <v>474.69800000000004</v>
      </c>
      <c r="D1152">
        <v>471.44500000000005</v>
      </c>
      <c r="E1152">
        <v>51.657000000000004</v>
      </c>
      <c r="F1152">
        <v>0</v>
      </c>
      <c r="G1152" s="2043">
        <v>161712180</v>
      </c>
      <c r="H1152">
        <v>0</v>
      </c>
      <c r="I1152" s="2043">
        <v>225808</v>
      </c>
      <c r="J1152">
        <v>23.734999999999999</v>
      </c>
      <c r="K1152">
        <v>65</v>
      </c>
      <c r="L1152">
        <v>1703</v>
      </c>
      <c r="M1152">
        <v>183364</v>
      </c>
      <c r="N1152">
        <v>1703</v>
      </c>
      <c r="O1152">
        <v>185067</v>
      </c>
      <c r="P1152">
        <v>0</v>
      </c>
      <c r="Q1152">
        <v>0</v>
      </c>
      <c r="R1152" s="2043">
        <v>1326615</v>
      </c>
      <c r="S1152">
        <v>80694</v>
      </c>
      <c r="T1152">
        <v>0</v>
      </c>
      <c r="U1152">
        <v>0.05</v>
      </c>
      <c r="V1152">
        <v>0</v>
      </c>
      <c r="W1152">
        <v>0</v>
      </c>
      <c r="X1152">
        <v>0</v>
      </c>
      <c r="Y1152">
        <v>0</v>
      </c>
      <c r="Z1152">
        <v>0</v>
      </c>
      <c r="AA1152">
        <v>0</v>
      </c>
      <c r="AB1152">
        <v>413.53500000000003</v>
      </c>
      <c r="AC1152" s="2043">
        <v>116275546</v>
      </c>
      <c r="AD1152">
        <v>229854</v>
      </c>
      <c r="AE1152" s="2043">
        <v>1407309</v>
      </c>
      <c r="AF1152">
        <v>0.872</v>
      </c>
      <c r="AG1152">
        <v>0</v>
      </c>
      <c r="AH1152">
        <v>0</v>
      </c>
      <c r="AI1152">
        <v>0</v>
      </c>
      <c r="AJ1152">
        <v>57.213000000000001</v>
      </c>
      <c r="AK1152">
        <v>1861</v>
      </c>
      <c r="AL1152">
        <v>0</v>
      </c>
      <c r="AM1152">
        <v>0</v>
      </c>
      <c r="AN1152">
        <v>14.949</v>
      </c>
      <c r="AO1152">
        <v>0</v>
      </c>
      <c r="AP1152">
        <v>0</v>
      </c>
      <c r="AQ1152">
        <v>0</v>
      </c>
      <c r="AR1152">
        <v>7.8470000000000004</v>
      </c>
      <c r="AS1152">
        <v>0</v>
      </c>
      <c r="AT1152">
        <v>3.42</v>
      </c>
      <c r="AU1152">
        <v>0.95500000000000007</v>
      </c>
      <c r="AV1152">
        <v>0</v>
      </c>
      <c r="AW1152">
        <v>12.222000000000001</v>
      </c>
      <c r="AX1152">
        <v>0</v>
      </c>
      <c r="AY1152">
        <v>38.576000000000001</v>
      </c>
      <c r="AZ1152">
        <v>0</v>
      </c>
      <c r="BA1152">
        <v>4437159</v>
      </c>
      <c r="BB1152">
        <v>1637163</v>
      </c>
      <c r="BC1152">
        <v>0</v>
      </c>
      <c r="BD1152">
        <v>40912</v>
      </c>
      <c r="BE1152">
        <v>6464</v>
      </c>
      <c r="BF1152">
        <v>47376</v>
      </c>
      <c r="BG1152">
        <v>40912</v>
      </c>
      <c r="BH1152">
        <v>0</v>
      </c>
      <c r="BI1152">
        <v>0</v>
      </c>
      <c r="BJ1152">
        <v>0</v>
      </c>
      <c r="BK1152">
        <v>0</v>
      </c>
      <c r="BL1152">
        <v>161712180</v>
      </c>
      <c r="BM1152">
        <v>0</v>
      </c>
      <c r="BN1152">
        <v>1566</v>
      </c>
      <c r="BO1152">
        <v>1455</v>
      </c>
      <c r="BP1152">
        <v>0</v>
      </c>
      <c r="BQ1152">
        <v>0</v>
      </c>
      <c r="BR1152">
        <v>0.82200000000000006</v>
      </c>
      <c r="BS1152">
        <v>0.82200000000000006</v>
      </c>
      <c r="BT1152">
        <v>0</v>
      </c>
      <c r="BU1152">
        <v>0</v>
      </c>
      <c r="BV1152">
        <v>110</v>
      </c>
      <c r="BW1152">
        <v>131</v>
      </c>
      <c r="BX1152">
        <v>1</v>
      </c>
      <c r="BY1152">
        <v>0</v>
      </c>
      <c r="BZ1152">
        <v>4</v>
      </c>
      <c r="CA1152">
        <v>246</v>
      </c>
      <c r="CB1152">
        <v>0</v>
      </c>
      <c r="CC1152">
        <v>0</v>
      </c>
      <c r="CD1152">
        <v>0</v>
      </c>
      <c r="CE1152">
        <v>45</v>
      </c>
      <c r="CF1152">
        <v>76.013000000000005</v>
      </c>
      <c r="CG1152">
        <v>0</v>
      </c>
      <c r="CH1152">
        <v>0</v>
      </c>
      <c r="CI1152">
        <v>2</v>
      </c>
      <c r="CJ1152">
        <v>7</v>
      </c>
      <c r="CK1152">
        <v>0</v>
      </c>
      <c r="CL1152">
        <v>0</v>
      </c>
      <c r="CM1152">
        <v>51.657000000000004</v>
      </c>
      <c r="CN1152">
        <v>0</v>
      </c>
      <c r="CO1152">
        <v>0</v>
      </c>
      <c r="CP1152">
        <v>0</v>
      </c>
      <c r="CQ1152">
        <v>0</v>
      </c>
      <c r="CR1152">
        <v>0</v>
      </c>
      <c r="CS1152">
        <v>0</v>
      </c>
      <c r="CT1152">
        <v>0</v>
      </c>
      <c r="CU1152">
        <v>1.071</v>
      </c>
      <c r="CV1152">
        <v>20.326000000000001</v>
      </c>
      <c r="CW1152">
        <v>24.132000000000001</v>
      </c>
      <c r="CX1152">
        <v>0</v>
      </c>
      <c r="CY1152" s="2043">
        <v>0</v>
      </c>
      <c r="CZ1152" s="2043">
        <v>0</v>
      </c>
      <c r="DA1152" s="2043">
        <v>0</v>
      </c>
      <c r="DB1152" s="2043">
        <v>0</v>
      </c>
      <c r="DC1152" s="2043">
        <v>0</v>
      </c>
      <c r="DI1152" t="s">
        <v>3239</v>
      </c>
      <c r="DJ1152" t="s">
        <v>3239</v>
      </c>
      <c r="DK1152" s="2042">
        <f t="shared" si="19"/>
        <v>0</v>
      </c>
    </row>
    <row r="1153" spans="1:115">
      <c r="A1153" t="s">
        <v>3240</v>
      </c>
      <c r="B1153" t="s">
        <v>789</v>
      </c>
      <c r="C1153">
        <v>2215.665</v>
      </c>
      <c r="D1153">
        <v>2213.2220000000002</v>
      </c>
      <c r="E1153">
        <v>152.05100000000002</v>
      </c>
      <c r="F1153">
        <v>0</v>
      </c>
      <c r="G1153" s="2043">
        <v>958807629</v>
      </c>
      <c r="H1153">
        <v>0</v>
      </c>
      <c r="I1153" s="2043">
        <v>2689987</v>
      </c>
      <c r="J1153">
        <v>110.783</v>
      </c>
      <c r="K1153">
        <v>303</v>
      </c>
      <c r="L1153">
        <v>0</v>
      </c>
      <c r="M1153">
        <v>518746</v>
      </c>
      <c r="N1153">
        <v>0</v>
      </c>
      <c r="O1153">
        <v>518746</v>
      </c>
      <c r="P1153">
        <v>0</v>
      </c>
      <c r="Q1153">
        <v>0</v>
      </c>
      <c r="R1153" s="2043">
        <v>7135783</v>
      </c>
      <c r="S1153">
        <v>694480</v>
      </c>
      <c r="T1153">
        <v>506103</v>
      </c>
      <c r="U1153">
        <v>0.08</v>
      </c>
      <c r="V1153">
        <v>0</v>
      </c>
      <c r="W1153">
        <v>0</v>
      </c>
      <c r="X1153">
        <v>0</v>
      </c>
      <c r="Y1153">
        <v>-10252</v>
      </c>
      <c r="Z1153">
        <v>0</v>
      </c>
      <c r="AA1153">
        <v>0</v>
      </c>
      <c r="AB1153">
        <v>2213.2220000000002</v>
      </c>
      <c r="AC1153" s="2043">
        <v>680964278</v>
      </c>
      <c r="AD1153">
        <v>2780809</v>
      </c>
      <c r="AE1153" s="2043">
        <v>8336366</v>
      </c>
      <c r="AF1153">
        <v>0.96030000000000004</v>
      </c>
      <c r="AG1153">
        <v>0</v>
      </c>
      <c r="AH1153">
        <v>0</v>
      </c>
      <c r="AI1153">
        <v>0</v>
      </c>
      <c r="AJ1153">
        <v>336.40000000000003</v>
      </c>
      <c r="AK1153">
        <v>7626</v>
      </c>
      <c r="AL1153">
        <v>0.64600000000000002</v>
      </c>
      <c r="AM1153">
        <v>0</v>
      </c>
      <c r="AN1153">
        <v>32.86</v>
      </c>
      <c r="AO1153">
        <v>0</v>
      </c>
      <c r="AP1153">
        <v>0</v>
      </c>
      <c r="AQ1153">
        <v>0</v>
      </c>
      <c r="AR1153">
        <v>71.745000000000005</v>
      </c>
      <c r="AS1153">
        <v>0</v>
      </c>
      <c r="AT1153">
        <v>11.299000000000001</v>
      </c>
      <c r="AU1153">
        <v>4.3140000000000001</v>
      </c>
      <c r="AV1153">
        <v>0</v>
      </c>
      <c r="AW1153">
        <v>88.004000000000005</v>
      </c>
      <c r="AX1153">
        <v>0</v>
      </c>
      <c r="AY1153">
        <v>273.93200000000002</v>
      </c>
      <c r="AZ1153">
        <v>0</v>
      </c>
      <c r="BA1153">
        <v>14121135</v>
      </c>
      <c r="BB1153">
        <v>11117175</v>
      </c>
      <c r="BC1153">
        <v>0</v>
      </c>
      <c r="BD1153">
        <v>239020</v>
      </c>
      <c r="BE1153">
        <v>53517</v>
      </c>
      <c r="BF1153">
        <v>338622</v>
      </c>
      <c r="BG1153">
        <v>239020</v>
      </c>
      <c r="BH1153">
        <v>46085</v>
      </c>
      <c r="BI1153">
        <v>-5126</v>
      </c>
      <c r="BJ1153">
        <v>-5126</v>
      </c>
      <c r="BK1153">
        <v>0</v>
      </c>
      <c r="BL1153">
        <v>958807629</v>
      </c>
      <c r="BM1153">
        <v>0</v>
      </c>
      <c r="BN1153">
        <v>8469</v>
      </c>
      <c r="BO1153">
        <v>7383</v>
      </c>
      <c r="BP1153">
        <v>0</v>
      </c>
      <c r="BQ1153">
        <v>0</v>
      </c>
      <c r="BR1153">
        <v>0.82200000000000006</v>
      </c>
      <c r="BS1153">
        <v>0.82200000000000006</v>
      </c>
      <c r="BT1153">
        <v>0</v>
      </c>
      <c r="BU1153">
        <v>0</v>
      </c>
      <c r="BV1153">
        <v>574</v>
      </c>
      <c r="BW1153">
        <v>651</v>
      </c>
      <c r="BX1153">
        <v>190</v>
      </c>
      <c r="BY1153">
        <v>7</v>
      </c>
      <c r="BZ1153">
        <v>12</v>
      </c>
      <c r="CA1153">
        <v>1434</v>
      </c>
      <c r="CB1153">
        <v>0</v>
      </c>
      <c r="CC1153">
        <v>0</v>
      </c>
      <c r="CD1153">
        <v>0</v>
      </c>
      <c r="CE1153">
        <v>169</v>
      </c>
      <c r="CF1153">
        <v>479.21500000000003</v>
      </c>
      <c r="CG1153">
        <v>0</v>
      </c>
      <c r="CH1153">
        <v>0</v>
      </c>
      <c r="CI1153">
        <v>10</v>
      </c>
      <c r="CJ1153">
        <v>13</v>
      </c>
      <c r="CK1153">
        <v>0</v>
      </c>
      <c r="CL1153">
        <v>0</v>
      </c>
      <c r="CM1153">
        <v>152.05100000000002</v>
      </c>
      <c r="CN1153">
        <v>0</v>
      </c>
      <c r="CO1153">
        <v>0</v>
      </c>
      <c r="CP1153">
        <v>0</v>
      </c>
      <c r="CQ1153">
        <v>0</v>
      </c>
      <c r="CR1153">
        <v>0</v>
      </c>
      <c r="CS1153">
        <v>0</v>
      </c>
      <c r="CT1153">
        <v>0</v>
      </c>
      <c r="CU1153">
        <v>30.718</v>
      </c>
      <c r="CV1153">
        <v>194.499</v>
      </c>
      <c r="CW1153">
        <v>109.12400000000001</v>
      </c>
      <c r="CX1153">
        <v>0</v>
      </c>
      <c r="CY1153" s="2043">
        <v>0</v>
      </c>
      <c r="CZ1153" s="2043">
        <v>0</v>
      </c>
      <c r="DA1153" s="2043">
        <v>0</v>
      </c>
      <c r="DB1153" s="2043">
        <v>0</v>
      </c>
      <c r="DC1153" s="2043">
        <v>0</v>
      </c>
      <c r="DI1153" t="s">
        <v>3240</v>
      </c>
      <c r="DJ1153" t="s">
        <v>3240</v>
      </c>
      <c r="DK1153" s="2042">
        <f t="shared" si="19"/>
        <v>0</v>
      </c>
    </row>
    <row r="1154" spans="1:115">
      <c r="A1154" t="s">
        <v>5292</v>
      </c>
      <c r="B1154" t="s">
        <v>790</v>
      </c>
      <c r="C1154">
        <v>2440.8020000000001</v>
      </c>
      <c r="D1154">
        <v>2407.6130000000003</v>
      </c>
      <c r="E1154">
        <v>274.43299999999999</v>
      </c>
      <c r="F1154">
        <v>0</v>
      </c>
      <c r="G1154" s="2043">
        <v>1026997314</v>
      </c>
      <c r="H1154">
        <v>0</v>
      </c>
      <c r="I1154" s="2043">
        <v>0</v>
      </c>
      <c r="J1154">
        <v>122.04</v>
      </c>
      <c r="K1154">
        <v>334</v>
      </c>
      <c r="L1154">
        <v>0</v>
      </c>
      <c r="M1154">
        <v>0</v>
      </c>
      <c r="N1154">
        <v>0</v>
      </c>
      <c r="O1154">
        <v>0</v>
      </c>
      <c r="P1154">
        <v>0</v>
      </c>
      <c r="Q1154">
        <v>0</v>
      </c>
      <c r="R1154" s="2043">
        <v>8239299</v>
      </c>
      <c r="S1154">
        <v>801878</v>
      </c>
      <c r="T1154">
        <v>370869</v>
      </c>
      <c r="U1154">
        <v>0.08</v>
      </c>
      <c r="V1154">
        <v>0</v>
      </c>
      <c r="W1154">
        <v>0</v>
      </c>
      <c r="X1154">
        <v>0</v>
      </c>
      <c r="Y1154">
        <v>0</v>
      </c>
      <c r="Z1154">
        <v>0.92800000000000005</v>
      </c>
      <c r="AA1154">
        <v>2E-3</v>
      </c>
      <c r="AB1154">
        <v>2296.1210000000001</v>
      </c>
      <c r="AC1154" s="2043">
        <v>679116043</v>
      </c>
      <c r="AD1154">
        <v>3500</v>
      </c>
      <c r="AE1154" s="2043">
        <v>9412046</v>
      </c>
      <c r="AF1154">
        <v>0.93900000000000006</v>
      </c>
      <c r="AG1154">
        <v>0</v>
      </c>
      <c r="AH1154">
        <v>0</v>
      </c>
      <c r="AI1154">
        <v>0</v>
      </c>
      <c r="AJ1154">
        <v>400.03800000000001</v>
      </c>
      <c r="AK1154">
        <v>9893</v>
      </c>
      <c r="AL1154">
        <v>0.16</v>
      </c>
      <c r="AM1154">
        <v>0</v>
      </c>
      <c r="AN1154">
        <v>120.19800000000001</v>
      </c>
      <c r="AO1154">
        <v>0</v>
      </c>
      <c r="AP1154">
        <v>0</v>
      </c>
      <c r="AQ1154">
        <v>0</v>
      </c>
      <c r="AR1154">
        <v>57.447000000000003</v>
      </c>
      <c r="AS1154">
        <v>0</v>
      </c>
      <c r="AT1154">
        <v>20.895</v>
      </c>
      <c r="AU1154">
        <v>6.5289999999999999</v>
      </c>
      <c r="AV1154">
        <v>0</v>
      </c>
      <c r="AW1154">
        <v>85.031000000000006</v>
      </c>
      <c r="AX1154">
        <v>0</v>
      </c>
      <c r="AY1154">
        <v>268.471</v>
      </c>
      <c r="AZ1154">
        <v>0</v>
      </c>
      <c r="BA1154">
        <v>16407903</v>
      </c>
      <c r="BB1154">
        <v>9415546</v>
      </c>
      <c r="BC1154">
        <v>0</v>
      </c>
      <c r="BD1154">
        <v>165015</v>
      </c>
      <c r="BE1154">
        <v>61361</v>
      </c>
      <c r="BF1154">
        <v>226376</v>
      </c>
      <c r="BG1154">
        <v>165015</v>
      </c>
      <c r="BH1154">
        <v>0</v>
      </c>
      <c r="BI1154">
        <v>0</v>
      </c>
      <c r="BJ1154">
        <v>0</v>
      </c>
      <c r="BK1154">
        <v>0</v>
      </c>
      <c r="BL1154">
        <v>1026997314</v>
      </c>
      <c r="BM1154">
        <v>0</v>
      </c>
      <c r="BN1154">
        <v>8388</v>
      </c>
      <c r="BO1154">
        <v>7233</v>
      </c>
      <c r="BP1154">
        <v>0</v>
      </c>
      <c r="BQ1154">
        <v>0</v>
      </c>
      <c r="BR1154">
        <v>0.82200000000000006</v>
      </c>
      <c r="BS1154">
        <v>0.82200000000000006</v>
      </c>
      <c r="BT1154">
        <v>0</v>
      </c>
      <c r="BU1154">
        <v>0</v>
      </c>
      <c r="BV1154">
        <v>158</v>
      </c>
      <c r="BW1154">
        <v>938</v>
      </c>
      <c r="BX1154">
        <v>96</v>
      </c>
      <c r="BY1154">
        <v>263</v>
      </c>
      <c r="BZ1154">
        <v>177</v>
      </c>
      <c r="CA1154">
        <v>1632</v>
      </c>
      <c r="CB1154">
        <v>0</v>
      </c>
      <c r="CC1154">
        <v>0</v>
      </c>
      <c r="CD1154">
        <v>0</v>
      </c>
      <c r="CE1154">
        <v>215</v>
      </c>
      <c r="CF1154">
        <v>607.40300000000002</v>
      </c>
      <c r="CG1154">
        <v>0</v>
      </c>
      <c r="CH1154">
        <v>0</v>
      </c>
      <c r="CI1154">
        <v>0</v>
      </c>
      <c r="CJ1154">
        <v>4</v>
      </c>
      <c r="CK1154">
        <v>0</v>
      </c>
      <c r="CL1154">
        <v>0</v>
      </c>
      <c r="CM1154">
        <v>274.43299999999999</v>
      </c>
      <c r="CN1154">
        <v>0</v>
      </c>
      <c r="CO1154">
        <v>0</v>
      </c>
      <c r="CP1154">
        <v>0</v>
      </c>
      <c r="CQ1154">
        <v>0</v>
      </c>
      <c r="CR1154">
        <v>0</v>
      </c>
      <c r="CS1154">
        <v>0</v>
      </c>
      <c r="CT1154">
        <v>0</v>
      </c>
      <c r="CU1154">
        <v>30.896000000000001</v>
      </c>
      <c r="CV1154">
        <v>180.65600000000001</v>
      </c>
      <c r="CW1154">
        <v>108.29900000000001</v>
      </c>
      <c r="CX1154">
        <v>0</v>
      </c>
      <c r="CY1154" s="2043">
        <v>0</v>
      </c>
      <c r="CZ1154" s="2043">
        <v>0</v>
      </c>
      <c r="DA1154" s="2043">
        <v>0</v>
      </c>
      <c r="DB1154" s="2043">
        <v>0</v>
      </c>
      <c r="DC1154" s="2043">
        <v>0</v>
      </c>
      <c r="DI1154" t="s">
        <v>5292</v>
      </c>
      <c r="DJ1154" t="s">
        <v>5292</v>
      </c>
      <c r="DK1154" s="2042">
        <f t="shared" si="19"/>
        <v>0</v>
      </c>
    </row>
    <row r="1155" spans="1:115">
      <c r="A1155" t="s">
        <v>3241</v>
      </c>
      <c r="B1155" t="s">
        <v>1341</v>
      </c>
      <c r="C1155">
        <v>374.20500000000004</v>
      </c>
      <c r="D1155">
        <v>393.03900000000004</v>
      </c>
      <c r="E1155">
        <v>16.760000000000002</v>
      </c>
      <c r="F1155">
        <v>0</v>
      </c>
      <c r="G1155" s="2043">
        <v>73685384</v>
      </c>
      <c r="H1155">
        <v>0</v>
      </c>
      <c r="I1155" s="2043">
        <v>165000</v>
      </c>
      <c r="J1155">
        <v>18.71</v>
      </c>
      <c r="K1155">
        <v>51</v>
      </c>
      <c r="L1155">
        <v>78157</v>
      </c>
      <c r="M1155">
        <v>86843</v>
      </c>
      <c r="N1155">
        <v>78157</v>
      </c>
      <c r="O1155">
        <v>165000</v>
      </c>
      <c r="P1155">
        <v>0</v>
      </c>
      <c r="Q1155">
        <v>0</v>
      </c>
      <c r="R1155" s="2043">
        <v>540843</v>
      </c>
      <c r="S1155">
        <v>52637</v>
      </c>
      <c r="T1155">
        <v>38359</v>
      </c>
      <c r="U1155">
        <v>0.08</v>
      </c>
      <c r="V1155">
        <v>0</v>
      </c>
      <c r="W1155">
        <v>0</v>
      </c>
      <c r="X1155">
        <v>0</v>
      </c>
      <c r="Y1155">
        <v>0</v>
      </c>
      <c r="Z1155">
        <v>0</v>
      </c>
      <c r="AA1155">
        <v>7.3000000000000009E-2</v>
      </c>
      <c r="AB1155">
        <v>388.17</v>
      </c>
      <c r="AC1155" s="2043">
        <v>54363739</v>
      </c>
      <c r="AD1155">
        <v>91803</v>
      </c>
      <c r="AE1155" s="2043">
        <v>631839</v>
      </c>
      <c r="AF1155">
        <v>0.96030000000000004</v>
      </c>
      <c r="AG1155">
        <v>0</v>
      </c>
      <c r="AH1155">
        <v>0</v>
      </c>
      <c r="AI1155">
        <v>0</v>
      </c>
      <c r="AJ1155">
        <v>69.025000000000006</v>
      </c>
      <c r="AK1155">
        <v>2664</v>
      </c>
      <c r="AL1155">
        <v>0</v>
      </c>
      <c r="AM1155">
        <v>0</v>
      </c>
      <c r="AN1155">
        <v>35.791000000000004</v>
      </c>
      <c r="AO1155">
        <v>0</v>
      </c>
      <c r="AP1155">
        <v>0</v>
      </c>
      <c r="AQ1155">
        <v>0</v>
      </c>
      <c r="AR1155">
        <v>8.6539999999999999</v>
      </c>
      <c r="AS1155">
        <v>0</v>
      </c>
      <c r="AT1155">
        <v>2.2589999999999999</v>
      </c>
      <c r="AU1155">
        <v>0.75900000000000001</v>
      </c>
      <c r="AV1155">
        <v>0</v>
      </c>
      <c r="AW1155">
        <v>11.672000000000001</v>
      </c>
      <c r="AX1155">
        <v>0</v>
      </c>
      <c r="AY1155">
        <v>36.533999999999999</v>
      </c>
      <c r="AZ1155">
        <v>0</v>
      </c>
      <c r="BA1155">
        <v>5241309</v>
      </c>
      <c r="BB1155">
        <v>723642</v>
      </c>
      <c r="BC1155">
        <v>0</v>
      </c>
      <c r="BD1155">
        <v>14186</v>
      </c>
      <c r="BE1155">
        <v>1682</v>
      </c>
      <c r="BF1155">
        <v>15868</v>
      </c>
      <c r="BG1155">
        <v>14186</v>
      </c>
      <c r="BH1155">
        <v>0</v>
      </c>
      <c r="BI1155">
        <v>0</v>
      </c>
      <c r="BJ1155">
        <v>0</v>
      </c>
      <c r="BK1155">
        <v>0</v>
      </c>
      <c r="BL1155">
        <v>73685384</v>
      </c>
      <c r="BM1155">
        <v>0</v>
      </c>
      <c r="BN1155">
        <v>1179</v>
      </c>
      <c r="BO1155">
        <v>1017</v>
      </c>
      <c r="BP1155">
        <v>195684</v>
      </c>
      <c r="BQ1155">
        <v>0</v>
      </c>
      <c r="BR1155">
        <v>0.82200000000000006</v>
      </c>
      <c r="BS1155">
        <v>0.82200000000000006</v>
      </c>
      <c r="BT1155">
        <v>0</v>
      </c>
      <c r="BU1155">
        <v>0</v>
      </c>
      <c r="BV1155">
        <v>12</v>
      </c>
      <c r="BW1155">
        <v>59</v>
      </c>
      <c r="BX1155">
        <v>166</v>
      </c>
      <c r="BY1155">
        <v>15</v>
      </c>
      <c r="BZ1155">
        <v>25</v>
      </c>
      <c r="CA1155">
        <v>277</v>
      </c>
      <c r="CB1155">
        <v>0</v>
      </c>
      <c r="CC1155">
        <v>0</v>
      </c>
      <c r="CD1155">
        <v>0</v>
      </c>
      <c r="CE1155">
        <v>64</v>
      </c>
      <c r="CF1155">
        <v>84.424000000000007</v>
      </c>
      <c r="CG1155">
        <v>0</v>
      </c>
      <c r="CH1155">
        <v>0</v>
      </c>
      <c r="CI1155">
        <v>7</v>
      </c>
      <c r="CJ1155">
        <v>3</v>
      </c>
      <c r="CK1155">
        <v>0</v>
      </c>
      <c r="CL1155">
        <v>0</v>
      </c>
      <c r="CM1155">
        <v>16.760000000000002</v>
      </c>
      <c r="CN1155">
        <v>129339</v>
      </c>
      <c r="CO1155">
        <v>56455</v>
      </c>
      <c r="CP1155">
        <v>6890</v>
      </c>
      <c r="CQ1155">
        <v>3000</v>
      </c>
      <c r="CR1155">
        <v>0</v>
      </c>
      <c r="CS1155">
        <v>14.187000000000001</v>
      </c>
      <c r="CT1155">
        <v>0</v>
      </c>
      <c r="CU1155">
        <v>4.5510000000000002</v>
      </c>
      <c r="CV1155">
        <v>28.296000000000003</v>
      </c>
      <c r="CW1155">
        <v>15.091000000000001</v>
      </c>
      <c r="CX1155">
        <v>0</v>
      </c>
      <c r="CY1155" s="2043">
        <v>0</v>
      </c>
      <c r="CZ1155" s="2043">
        <v>0</v>
      </c>
      <c r="DA1155" s="2043">
        <v>0</v>
      </c>
      <c r="DB1155" s="2043">
        <v>0</v>
      </c>
      <c r="DC1155" s="2043">
        <v>0</v>
      </c>
      <c r="DI1155" t="s">
        <v>3241</v>
      </c>
      <c r="DJ1155" t="s">
        <v>3241</v>
      </c>
      <c r="DK1155" s="2042">
        <f t="shared" si="19"/>
        <v>0</v>
      </c>
    </row>
    <row r="1156" spans="1:115">
      <c r="A1156" t="s">
        <v>3242</v>
      </c>
      <c r="B1156" t="s">
        <v>830</v>
      </c>
      <c r="C1156">
        <v>725.93500000000006</v>
      </c>
      <c r="D1156">
        <v>740.48800000000006</v>
      </c>
      <c r="E1156">
        <v>144.34</v>
      </c>
      <c r="F1156">
        <v>0</v>
      </c>
      <c r="G1156" s="2043">
        <v>235248226</v>
      </c>
      <c r="H1156">
        <v>0</v>
      </c>
      <c r="I1156" s="2043">
        <v>707150</v>
      </c>
      <c r="J1156">
        <v>35</v>
      </c>
      <c r="K1156">
        <v>96</v>
      </c>
      <c r="L1156">
        <v>29584</v>
      </c>
      <c r="M1156">
        <v>369615</v>
      </c>
      <c r="N1156">
        <v>29584</v>
      </c>
      <c r="O1156">
        <v>399199</v>
      </c>
      <c r="P1156">
        <v>0</v>
      </c>
      <c r="Q1156">
        <v>0</v>
      </c>
      <c r="R1156" s="2043">
        <v>2107931</v>
      </c>
      <c r="S1156">
        <v>115986</v>
      </c>
      <c r="T1156">
        <v>0</v>
      </c>
      <c r="U1156">
        <v>0.05</v>
      </c>
      <c r="V1156">
        <v>0</v>
      </c>
      <c r="W1156">
        <v>0</v>
      </c>
      <c r="X1156">
        <v>0</v>
      </c>
      <c r="Y1156">
        <v>-2936</v>
      </c>
      <c r="Z1156">
        <v>0</v>
      </c>
      <c r="AA1156">
        <v>0</v>
      </c>
      <c r="AB1156">
        <v>740.48800000000006</v>
      </c>
      <c r="AC1156" s="2043">
        <v>189822438</v>
      </c>
      <c r="AD1156">
        <v>607910</v>
      </c>
      <c r="AE1156" s="2043">
        <v>2223917</v>
      </c>
      <c r="AF1156">
        <v>0.9587</v>
      </c>
      <c r="AG1156">
        <v>0</v>
      </c>
      <c r="AH1156">
        <v>0</v>
      </c>
      <c r="AI1156">
        <v>0</v>
      </c>
      <c r="AJ1156">
        <v>182.96300000000002</v>
      </c>
      <c r="AK1156">
        <v>4173</v>
      </c>
      <c r="AL1156">
        <v>0.41300000000000003</v>
      </c>
      <c r="AM1156">
        <v>0</v>
      </c>
      <c r="AN1156">
        <v>51.411000000000001</v>
      </c>
      <c r="AO1156">
        <v>0</v>
      </c>
      <c r="AP1156">
        <v>0</v>
      </c>
      <c r="AQ1156">
        <v>0</v>
      </c>
      <c r="AR1156">
        <v>11.839</v>
      </c>
      <c r="AS1156">
        <v>0</v>
      </c>
      <c r="AT1156">
        <v>10.029999999999999</v>
      </c>
      <c r="AU1156">
        <v>1.536</v>
      </c>
      <c r="AV1156">
        <v>0</v>
      </c>
      <c r="AW1156">
        <v>23.818000000000001</v>
      </c>
      <c r="AX1156">
        <v>0</v>
      </c>
      <c r="AY1156">
        <v>75.352000000000004</v>
      </c>
      <c r="AZ1156">
        <v>0</v>
      </c>
      <c r="BA1156">
        <v>7174121</v>
      </c>
      <c r="BB1156">
        <v>2831827</v>
      </c>
      <c r="BC1156">
        <v>0</v>
      </c>
      <c r="BD1156">
        <v>52976</v>
      </c>
      <c r="BE1156">
        <v>10027</v>
      </c>
      <c r="BF1156">
        <v>63003</v>
      </c>
      <c r="BG1156">
        <v>52976</v>
      </c>
      <c r="BH1156">
        <v>0</v>
      </c>
      <c r="BI1156">
        <v>0</v>
      </c>
      <c r="BJ1156">
        <v>-2936</v>
      </c>
      <c r="BK1156">
        <v>0</v>
      </c>
      <c r="BL1156">
        <v>235248226</v>
      </c>
      <c r="BM1156">
        <v>0</v>
      </c>
      <c r="BN1156">
        <v>2745</v>
      </c>
      <c r="BO1156">
        <v>1466</v>
      </c>
      <c r="BP1156">
        <v>0</v>
      </c>
      <c r="BQ1156">
        <v>0</v>
      </c>
      <c r="BR1156">
        <v>0.90870000000000006</v>
      </c>
      <c r="BS1156">
        <v>0.90870000000000006</v>
      </c>
      <c r="BT1156">
        <v>0</v>
      </c>
      <c r="BU1156">
        <v>0</v>
      </c>
      <c r="BV1156">
        <v>23</v>
      </c>
      <c r="BW1156">
        <v>71</v>
      </c>
      <c r="BX1156">
        <v>314</v>
      </c>
      <c r="BY1156">
        <v>6</v>
      </c>
      <c r="BZ1156">
        <v>294</v>
      </c>
      <c r="CA1156">
        <v>708</v>
      </c>
      <c r="CB1156">
        <v>0</v>
      </c>
      <c r="CC1156">
        <v>0.60599999999999998</v>
      </c>
      <c r="CD1156">
        <v>0</v>
      </c>
      <c r="CE1156">
        <v>55</v>
      </c>
      <c r="CF1156">
        <v>237.22900000000001</v>
      </c>
      <c r="CG1156">
        <v>16.977</v>
      </c>
      <c r="CH1156">
        <v>0</v>
      </c>
      <c r="CI1156">
        <v>5</v>
      </c>
      <c r="CJ1156">
        <v>1</v>
      </c>
      <c r="CK1156">
        <v>0</v>
      </c>
      <c r="CL1156">
        <v>16.977</v>
      </c>
      <c r="CM1156">
        <v>144.34</v>
      </c>
      <c r="CN1156">
        <v>0</v>
      </c>
      <c r="CO1156">
        <v>0</v>
      </c>
      <c r="CP1156">
        <v>0</v>
      </c>
      <c r="CQ1156">
        <v>0</v>
      </c>
      <c r="CR1156">
        <v>0</v>
      </c>
      <c r="CS1156">
        <v>0</v>
      </c>
      <c r="CT1156">
        <v>0</v>
      </c>
      <c r="CU1156">
        <v>0</v>
      </c>
      <c r="CV1156">
        <v>11.934000000000001</v>
      </c>
      <c r="CW1156">
        <v>15.456000000000001</v>
      </c>
      <c r="CX1156">
        <v>0</v>
      </c>
      <c r="CY1156" s="2043">
        <v>0</v>
      </c>
      <c r="CZ1156" s="2043">
        <v>0</v>
      </c>
      <c r="DA1156" s="2043">
        <v>0</v>
      </c>
      <c r="DB1156" s="2043">
        <v>0</v>
      </c>
      <c r="DC1156" s="2043">
        <v>0</v>
      </c>
      <c r="DI1156" t="s">
        <v>3242</v>
      </c>
      <c r="DJ1156" t="s">
        <v>3242</v>
      </c>
      <c r="DK1156" s="2042">
        <f t="shared" ref="DK1156:DK1219" si="20">DI1156-DJ1156:DJ1157</f>
        <v>0</v>
      </c>
    </row>
    <row r="1157" spans="1:115">
      <c r="A1157" t="s">
        <v>3243</v>
      </c>
      <c r="B1157" t="s">
        <v>323</v>
      </c>
      <c r="C1157">
        <v>11927.713</v>
      </c>
      <c r="D1157">
        <v>12394.326000000001</v>
      </c>
      <c r="E1157">
        <v>772.67000000000007</v>
      </c>
      <c r="F1157">
        <v>0</v>
      </c>
      <c r="G1157" s="2043">
        <v>6738415316</v>
      </c>
      <c r="H1157">
        <v>0</v>
      </c>
      <c r="I1157" s="2043">
        <v>8900147</v>
      </c>
      <c r="J1157">
        <v>596.38600000000008</v>
      </c>
      <c r="K1157">
        <v>1630</v>
      </c>
      <c r="L1157">
        <v>0</v>
      </c>
      <c r="M1157">
        <v>4796885</v>
      </c>
      <c r="N1157">
        <v>0</v>
      </c>
      <c r="O1157">
        <v>4796885</v>
      </c>
      <c r="P1157">
        <v>0</v>
      </c>
      <c r="Q1157">
        <v>0</v>
      </c>
      <c r="R1157" s="2043">
        <v>57277851</v>
      </c>
      <c r="S1157">
        <v>5299211</v>
      </c>
      <c r="T1157">
        <v>0</v>
      </c>
      <c r="U1157">
        <v>0.08</v>
      </c>
      <c r="V1157">
        <v>0</v>
      </c>
      <c r="W1157">
        <v>0</v>
      </c>
      <c r="X1157">
        <v>0</v>
      </c>
      <c r="Y1157">
        <v>-6151</v>
      </c>
      <c r="Z1157">
        <v>0</v>
      </c>
      <c r="AA1157">
        <v>2.61</v>
      </c>
      <c r="AB1157">
        <v>12168.137000000001</v>
      </c>
      <c r="AC1157" s="2043">
        <v>5896477133</v>
      </c>
      <c r="AD1157">
        <v>14792059</v>
      </c>
      <c r="AE1157" s="2043">
        <v>62577062</v>
      </c>
      <c r="AF1157">
        <v>0.9447000000000001</v>
      </c>
      <c r="AG1157">
        <v>0</v>
      </c>
      <c r="AH1157">
        <v>0</v>
      </c>
      <c r="AI1157">
        <v>0</v>
      </c>
      <c r="AJ1157">
        <v>2280.038</v>
      </c>
      <c r="AK1157">
        <v>43583</v>
      </c>
      <c r="AL1157">
        <v>0.67600000000000005</v>
      </c>
      <c r="AM1157">
        <v>0</v>
      </c>
      <c r="AN1157">
        <v>336.34000000000003</v>
      </c>
      <c r="AO1157">
        <v>0</v>
      </c>
      <c r="AP1157">
        <v>0</v>
      </c>
      <c r="AQ1157">
        <v>5.984</v>
      </c>
      <c r="AR1157">
        <v>346.12800000000004</v>
      </c>
      <c r="AS1157">
        <v>0</v>
      </c>
      <c r="AT1157">
        <v>111.00700000000001</v>
      </c>
      <c r="AU1157">
        <v>21.526</v>
      </c>
      <c r="AV1157">
        <v>0</v>
      </c>
      <c r="AW1157">
        <v>498.90900000000005</v>
      </c>
      <c r="AX1157">
        <v>13.588000000000001</v>
      </c>
      <c r="AY1157">
        <v>1513.6670000000001</v>
      </c>
      <c r="AZ1157">
        <v>0</v>
      </c>
      <c r="BA1157">
        <v>50866104</v>
      </c>
      <c r="BB1157">
        <v>77369121</v>
      </c>
      <c r="BC1157">
        <v>0</v>
      </c>
      <c r="BD1157">
        <v>517993</v>
      </c>
      <c r="BE1157">
        <v>143155</v>
      </c>
      <c r="BF1157">
        <v>752185</v>
      </c>
      <c r="BG1157">
        <v>517993</v>
      </c>
      <c r="BH1157">
        <v>91037</v>
      </c>
      <c r="BI1157">
        <v>0</v>
      </c>
      <c r="BJ1157">
        <v>-6151</v>
      </c>
      <c r="BK1157">
        <v>0</v>
      </c>
      <c r="BL1157">
        <v>6738415316</v>
      </c>
      <c r="BM1157">
        <v>0</v>
      </c>
      <c r="BN1157">
        <v>46044</v>
      </c>
      <c r="BO1157">
        <v>11107</v>
      </c>
      <c r="BP1157">
        <v>0</v>
      </c>
      <c r="BQ1157">
        <v>0</v>
      </c>
      <c r="BR1157">
        <v>0.86470000000000002</v>
      </c>
      <c r="BS1157">
        <v>0.86470000000000002</v>
      </c>
      <c r="BT1157">
        <v>0</v>
      </c>
      <c r="BU1157">
        <v>0</v>
      </c>
      <c r="BV1157">
        <v>1685</v>
      </c>
      <c r="BW1157">
        <v>1795</v>
      </c>
      <c r="BX1157">
        <v>1685</v>
      </c>
      <c r="BY1157">
        <v>2214</v>
      </c>
      <c r="BZ1157">
        <v>1717</v>
      </c>
      <c r="CA1157">
        <v>9096</v>
      </c>
      <c r="CB1157">
        <v>0</v>
      </c>
      <c r="CC1157">
        <v>42.434000000000005</v>
      </c>
      <c r="CD1157">
        <v>0</v>
      </c>
      <c r="CE1157">
        <v>732</v>
      </c>
      <c r="CF1157">
        <v>2955.7540000000004</v>
      </c>
      <c r="CG1157">
        <v>158.126</v>
      </c>
      <c r="CH1157">
        <v>33.841000000000001</v>
      </c>
      <c r="CI1157">
        <v>0</v>
      </c>
      <c r="CJ1157">
        <v>56</v>
      </c>
      <c r="CK1157">
        <v>0</v>
      </c>
      <c r="CL1157">
        <v>191.96700000000001</v>
      </c>
      <c r="CM1157">
        <v>772.67000000000007</v>
      </c>
      <c r="CN1157">
        <v>0</v>
      </c>
      <c r="CO1157">
        <v>0</v>
      </c>
      <c r="CP1157">
        <v>0</v>
      </c>
      <c r="CQ1157">
        <v>0</v>
      </c>
      <c r="CR1157">
        <v>0</v>
      </c>
      <c r="CS1157">
        <v>71.15100000000001</v>
      </c>
      <c r="CT1157">
        <v>0</v>
      </c>
      <c r="CU1157">
        <v>14.952</v>
      </c>
      <c r="CV1157">
        <v>218.851</v>
      </c>
      <c r="CW1157">
        <v>212.04</v>
      </c>
      <c r="CX1157">
        <v>0</v>
      </c>
      <c r="CY1157" s="2043">
        <v>0</v>
      </c>
      <c r="CZ1157" s="2043">
        <v>0</v>
      </c>
      <c r="DA1157" s="2043">
        <v>0</v>
      </c>
      <c r="DB1157" s="2043">
        <v>0</v>
      </c>
      <c r="DC1157" s="2043">
        <v>0</v>
      </c>
      <c r="DI1157" t="s">
        <v>3243</v>
      </c>
      <c r="DJ1157" t="s">
        <v>3243</v>
      </c>
      <c r="DK1157" s="2042">
        <f t="shared" si="20"/>
        <v>0</v>
      </c>
    </row>
    <row r="1158" spans="1:115">
      <c r="A1158" t="s">
        <v>5293</v>
      </c>
      <c r="B1158" t="s">
        <v>2453</v>
      </c>
      <c r="C1158">
        <v>120.191</v>
      </c>
      <c r="D1158">
        <v>150.71899999999999</v>
      </c>
      <c r="E1158">
        <v>4.9260000000000002</v>
      </c>
      <c r="F1158">
        <v>0</v>
      </c>
      <c r="G1158" s="2043">
        <v>262550170</v>
      </c>
      <c r="H1158">
        <v>0</v>
      </c>
      <c r="I1158" s="2043">
        <v>224900</v>
      </c>
      <c r="J1158">
        <v>6.01</v>
      </c>
      <c r="K1158">
        <v>16</v>
      </c>
      <c r="L1158">
        <v>0</v>
      </c>
      <c r="M1158">
        <v>0</v>
      </c>
      <c r="N1158">
        <v>0</v>
      </c>
      <c r="O1158">
        <v>0</v>
      </c>
      <c r="P1158">
        <v>0</v>
      </c>
      <c r="Q1158">
        <v>0</v>
      </c>
      <c r="R1158" s="2043">
        <v>2306407</v>
      </c>
      <c r="S1158">
        <v>128376</v>
      </c>
      <c r="T1158">
        <v>0</v>
      </c>
      <c r="U1158">
        <v>0.05</v>
      </c>
      <c r="V1158">
        <v>0</v>
      </c>
      <c r="W1158">
        <v>951740</v>
      </c>
      <c r="X1158">
        <v>0</v>
      </c>
      <c r="Y1158">
        <v>0</v>
      </c>
      <c r="Z1158">
        <v>0</v>
      </c>
      <c r="AA1158">
        <v>0</v>
      </c>
      <c r="AB1158">
        <v>139.78700000000001</v>
      </c>
      <c r="AC1158" s="2043">
        <v>248607409</v>
      </c>
      <c r="AD1158">
        <v>244185</v>
      </c>
      <c r="AE1158" s="2043">
        <v>2434783</v>
      </c>
      <c r="AF1158">
        <v>0.94830000000000003</v>
      </c>
      <c r="AG1158">
        <v>0</v>
      </c>
      <c r="AH1158">
        <v>951740</v>
      </c>
      <c r="AI1158">
        <v>0</v>
      </c>
      <c r="AJ1158">
        <v>14.213000000000001</v>
      </c>
      <c r="AK1158">
        <v>460</v>
      </c>
      <c r="AL1158">
        <v>0</v>
      </c>
      <c r="AM1158">
        <v>0</v>
      </c>
      <c r="AN1158">
        <v>3.7790000000000004</v>
      </c>
      <c r="AO1158">
        <v>0</v>
      </c>
      <c r="AP1158">
        <v>0</v>
      </c>
      <c r="AQ1158">
        <v>0</v>
      </c>
      <c r="AR1158">
        <v>2.0860000000000003</v>
      </c>
      <c r="AS1158">
        <v>0</v>
      </c>
      <c r="AT1158">
        <v>0</v>
      </c>
      <c r="AU1158">
        <v>0.43</v>
      </c>
      <c r="AV1158">
        <v>0</v>
      </c>
      <c r="AW1158">
        <v>2.516</v>
      </c>
      <c r="AX1158">
        <v>0</v>
      </c>
      <c r="AY1158">
        <v>8.4080000000000013</v>
      </c>
      <c r="AZ1158">
        <v>0</v>
      </c>
      <c r="BA1158">
        <v>80422</v>
      </c>
      <c r="BB1158">
        <v>2678968</v>
      </c>
      <c r="BC1158">
        <v>0</v>
      </c>
      <c r="BD1158">
        <v>0</v>
      </c>
      <c r="BE1158">
        <v>0</v>
      </c>
      <c r="BF1158">
        <v>0</v>
      </c>
      <c r="BG1158">
        <v>0</v>
      </c>
      <c r="BH1158">
        <v>0</v>
      </c>
      <c r="BI1158">
        <v>0</v>
      </c>
      <c r="BJ1158">
        <v>0</v>
      </c>
      <c r="BK1158">
        <v>0</v>
      </c>
      <c r="BL1158">
        <v>262550170</v>
      </c>
      <c r="BM1158">
        <v>0</v>
      </c>
      <c r="BN1158">
        <v>0</v>
      </c>
      <c r="BO1158">
        <v>0</v>
      </c>
      <c r="BP1158">
        <v>0</v>
      </c>
      <c r="BQ1158">
        <v>0</v>
      </c>
      <c r="BR1158">
        <v>0.8983000000000001</v>
      </c>
      <c r="BS1158">
        <v>0.8983000000000001</v>
      </c>
      <c r="BT1158">
        <v>0</v>
      </c>
      <c r="BU1158">
        <v>0</v>
      </c>
      <c r="BV1158">
        <v>43</v>
      </c>
      <c r="BW1158">
        <v>17</v>
      </c>
      <c r="BX1158">
        <v>2</v>
      </c>
      <c r="BY1158">
        <v>0</v>
      </c>
      <c r="BZ1158">
        <v>0</v>
      </c>
      <c r="CA1158">
        <v>62</v>
      </c>
      <c r="CB1158">
        <v>0</v>
      </c>
      <c r="CC1158">
        <v>0</v>
      </c>
      <c r="CD1158">
        <v>0</v>
      </c>
      <c r="CE1158">
        <v>11</v>
      </c>
      <c r="CF1158">
        <v>41.795000000000002</v>
      </c>
      <c r="CG1158">
        <v>0</v>
      </c>
      <c r="CH1158">
        <v>0</v>
      </c>
      <c r="CI1158">
        <v>0</v>
      </c>
      <c r="CJ1158">
        <v>0</v>
      </c>
      <c r="CK1158">
        <v>0</v>
      </c>
      <c r="CL1158">
        <v>0</v>
      </c>
      <c r="CM1158">
        <v>4.9260000000000002</v>
      </c>
      <c r="CN1158">
        <v>0</v>
      </c>
      <c r="CO1158">
        <v>0</v>
      </c>
      <c r="CP1158">
        <v>0</v>
      </c>
      <c r="CQ1158">
        <v>0</v>
      </c>
      <c r="CR1158">
        <v>0</v>
      </c>
      <c r="CS1158">
        <v>0</v>
      </c>
      <c r="CT1158">
        <v>0</v>
      </c>
      <c r="CU1158">
        <v>0</v>
      </c>
      <c r="CV1158">
        <v>0</v>
      </c>
      <c r="CW1158">
        <v>0</v>
      </c>
      <c r="CX1158">
        <v>0</v>
      </c>
      <c r="CY1158" s="2043">
        <v>0</v>
      </c>
      <c r="CZ1158" s="2043">
        <v>0</v>
      </c>
      <c r="DA1158" s="2043">
        <v>0</v>
      </c>
      <c r="DB1158" s="2043">
        <v>0</v>
      </c>
      <c r="DC1158" s="2043">
        <v>42000</v>
      </c>
      <c r="DI1158" t="s">
        <v>5293</v>
      </c>
      <c r="DJ1158" t="s">
        <v>5293</v>
      </c>
      <c r="DK1158" s="2042">
        <f t="shared" si="20"/>
        <v>0</v>
      </c>
    </row>
    <row r="1159" spans="1:115">
      <c r="A1159" t="s">
        <v>8521</v>
      </c>
      <c r="B1159" t="s">
        <v>11437</v>
      </c>
      <c r="C1159">
        <v>0</v>
      </c>
      <c r="D1159">
        <v>0</v>
      </c>
      <c r="E1159">
        <v>0</v>
      </c>
      <c r="F1159">
        <v>0</v>
      </c>
      <c r="G1159" s="2043">
        <v>0</v>
      </c>
      <c r="H1159">
        <v>0</v>
      </c>
      <c r="I1159" s="2043">
        <v>0</v>
      </c>
      <c r="J1159">
        <v>0</v>
      </c>
      <c r="K1159">
        <v>0</v>
      </c>
      <c r="L1159">
        <v>0</v>
      </c>
      <c r="M1159">
        <v>0</v>
      </c>
      <c r="N1159">
        <v>0</v>
      </c>
      <c r="O1159">
        <v>0</v>
      </c>
      <c r="P1159">
        <v>0</v>
      </c>
      <c r="Q1159">
        <v>0</v>
      </c>
      <c r="R1159" s="2043">
        <v>0</v>
      </c>
      <c r="S1159">
        <v>0</v>
      </c>
      <c r="T1159">
        <v>0</v>
      </c>
      <c r="U1159">
        <v>0</v>
      </c>
      <c r="V1159">
        <v>0</v>
      </c>
      <c r="W1159">
        <v>0</v>
      </c>
      <c r="X1159">
        <v>0</v>
      </c>
      <c r="Y1159">
        <v>229696</v>
      </c>
      <c r="Z1159">
        <v>0</v>
      </c>
      <c r="AA1159">
        <v>0</v>
      </c>
      <c r="AB1159">
        <v>0</v>
      </c>
      <c r="AC1159" s="2043">
        <v>0</v>
      </c>
      <c r="AD1159">
        <v>0</v>
      </c>
      <c r="AE1159" s="2043">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229696</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BX1159">
        <v>0</v>
      </c>
      <c r="BY1159">
        <v>0</v>
      </c>
      <c r="BZ1159">
        <v>0</v>
      </c>
      <c r="CA1159">
        <v>0</v>
      </c>
      <c r="CB1159">
        <v>0</v>
      </c>
      <c r="CC1159">
        <v>0</v>
      </c>
      <c r="CD1159">
        <v>0</v>
      </c>
      <c r="CE1159">
        <v>0</v>
      </c>
      <c r="CF1159">
        <v>0</v>
      </c>
      <c r="CG1159">
        <v>0</v>
      </c>
      <c r="CH1159">
        <v>0</v>
      </c>
      <c r="CI1159">
        <v>0</v>
      </c>
      <c r="CJ1159">
        <v>0</v>
      </c>
      <c r="CK1159">
        <v>0</v>
      </c>
      <c r="CL1159">
        <v>0</v>
      </c>
      <c r="CM1159">
        <v>0</v>
      </c>
      <c r="CN1159">
        <v>0</v>
      </c>
      <c r="CO1159">
        <v>0</v>
      </c>
      <c r="CP1159">
        <v>0</v>
      </c>
      <c r="CQ1159">
        <v>0</v>
      </c>
      <c r="CR1159">
        <v>0</v>
      </c>
      <c r="CS1159">
        <v>0</v>
      </c>
      <c r="CT1159">
        <v>0</v>
      </c>
      <c r="CU1159">
        <v>0</v>
      </c>
      <c r="CV1159">
        <v>0</v>
      </c>
      <c r="CW1159">
        <v>0</v>
      </c>
      <c r="CX1159">
        <v>0</v>
      </c>
      <c r="CY1159" s="2043">
        <v>0</v>
      </c>
      <c r="CZ1159" s="2043">
        <v>0</v>
      </c>
      <c r="DA1159" s="2043">
        <v>0</v>
      </c>
      <c r="DB1159" s="2043">
        <v>0</v>
      </c>
      <c r="DC1159" s="2043">
        <v>0</v>
      </c>
      <c r="DI1159" t="s">
        <v>8521</v>
      </c>
      <c r="DJ1159" t="s">
        <v>8521</v>
      </c>
      <c r="DK1159" s="2042">
        <f t="shared" si="20"/>
        <v>0</v>
      </c>
    </row>
    <row r="1160" spans="1:115">
      <c r="A1160" t="s">
        <v>8108</v>
      </c>
      <c r="B1160" t="s">
        <v>11438</v>
      </c>
      <c r="C1160">
        <v>26.64</v>
      </c>
      <c r="D1160">
        <v>25.75</v>
      </c>
      <c r="E1160">
        <v>3.43</v>
      </c>
      <c r="F1160">
        <v>0</v>
      </c>
      <c r="G1160" s="2043">
        <v>0</v>
      </c>
      <c r="H1160">
        <v>0</v>
      </c>
      <c r="I1160" s="2043">
        <v>0</v>
      </c>
      <c r="J1160">
        <v>0</v>
      </c>
      <c r="K1160">
        <v>0</v>
      </c>
      <c r="L1160">
        <v>0</v>
      </c>
      <c r="M1160">
        <v>0</v>
      </c>
      <c r="N1160">
        <v>0</v>
      </c>
      <c r="O1160">
        <v>0</v>
      </c>
      <c r="P1160">
        <v>0</v>
      </c>
      <c r="Q1160">
        <v>0</v>
      </c>
      <c r="R1160" s="2043">
        <v>0</v>
      </c>
      <c r="S1160">
        <v>0</v>
      </c>
      <c r="T1160">
        <v>0</v>
      </c>
      <c r="U1160">
        <v>0</v>
      </c>
      <c r="V1160">
        <v>0</v>
      </c>
      <c r="W1160">
        <v>0</v>
      </c>
      <c r="X1160">
        <v>0</v>
      </c>
      <c r="Y1160">
        <v>4709</v>
      </c>
      <c r="Z1160">
        <v>0</v>
      </c>
      <c r="AA1160">
        <v>0</v>
      </c>
      <c r="AB1160">
        <v>1</v>
      </c>
      <c r="AC1160" s="2043">
        <v>0</v>
      </c>
      <c r="AD1160">
        <v>0</v>
      </c>
      <c r="AE1160" s="2043">
        <v>0</v>
      </c>
      <c r="AF1160">
        <v>0</v>
      </c>
      <c r="AG1160">
        <v>0</v>
      </c>
      <c r="AH1160">
        <v>0</v>
      </c>
      <c r="AI1160">
        <v>0</v>
      </c>
      <c r="AJ1160">
        <v>7.3380000000000001</v>
      </c>
      <c r="AK1160">
        <v>379</v>
      </c>
      <c r="AL1160">
        <v>0</v>
      </c>
      <c r="AM1160">
        <v>0</v>
      </c>
      <c r="AN1160">
        <v>0</v>
      </c>
      <c r="AO1160">
        <v>0</v>
      </c>
      <c r="AP1160">
        <v>0</v>
      </c>
      <c r="AQ1160">
        <v>4.181</v>
      </c>
      <c r="AR1160">
        <v>0</v>
      </c>
      <c r="AS1160">
        <v>0</v>
      </c>
      <c r="AT1160">
        <v>0</v>
      </c>
      <c r="AU1160">
        <v>0</v>
      </c>
      <c r="AV1160">
        <v>0</v>
      </c>
      <c r="AW1160">
        <v>4.181</v>
      </c>
      <c r="AX1160">
        <v>0</v>
      </c>
      <c r="AY1160">
        <v>0</v>
      </c>
      <c r="AZ1160">
        <v>0</v>
      </c>
      <c r="BA1160">
        <v>784552</v>
      </c>
      <c r="BB1160">
        <v>0</v>
      </c>
      <c r="BC1160">
        <v>0</v>
      </c>
      <c r="BD1160">
        <v>0</v>
      </c>
      <c r="BE1160">
        <v>0</v>
      </c>
      <c r="BF1160">
        <v>0</v>
      </c>
      <c r="BG1160">
        <v>0</v>
      </c>
      <c r="BH1160">
        <v>0</v>
      </c>
      <c r="BI1160">
        <v>0</v>
      </c>
      <c r="BJ1160">
        <v>0</v>
      </c>
      <c r="BK1160">
        <v>0</v>
      </c>
      <c r="BL1160">
        <v>0</v>
      </c>
      <c r="BM1160">
        <v>0</v>
      </c>
      <c r="BN1160">
        <v>486</v>
      </c>
      <c r="BO1160">
        <v>460</v>
      </c>
      <c r="BP1160">
        <v>0</v>
      </c>
      <c r="BQ1160">
        <v>0</v>
      </c>
      <c r="BR1160">
        <v>0</v>
      </c>
      <c r="BS1160">
        <v>0</v>
      </c>
      <c r="BT1160">
        <v>0</v>
      </c>
      <c r="BU1160">
        <v>0</v>
      </c>
      <c r="BV1160">
        <v>4</v>
      </c>
      <c r="BW1160">
        <v>3</v>
      </c>
      <c r="BX1160">
        <v>9</v>
      </c>
      <c r="BY1160">
        <v>8</v>
      </c>
      <c r="BZ1160">
        <v>5</v>
      </c>
      <c r="CA1160">
        <v>29</v>
      </c>
      <c r="CB1160">
        <v>0</v>
      </c>
      <c r="CC1160">
        <v>0</v>
      </c>
      <c r="CD1160">
        <v>0</v>
      </c>
      <c r="CE1160">
        <v>11</v>
      </c>
      <c r="CF1160">
        <v>0</v>
      </c>
      <c r="CG1160">
        <v>26.64</v>
      </c>
      <c r="CH1160">
        <v>10.671000000000001</v>
      </c>
      <c r="CI1160">
        <v>1</v>
      </c>
      <c r="CJ1160">
        <v>0</v>
      </c>
      <c r="CK1160">
        <v>1</v>
      </c>
      <c r="CL1160">
        <v>37.311</v>
      </c>
      <c r="CM1160">
        <v>3.43</v>
      </c>
      <c r="CN1160">
        <v>0</v>
      </c>
      <c r="CO1160">
        <v>0</v>
      </c>
      <c r="CP1160">
        <v>0</v>
      </c>
      <c r="CQ1160">
        <v>0</v>
      </c>
      <c r="CR1160">
        <v>0</v>
      </c>
      <c r="CS1160">
        <v>0</v>
      </c>
      <c r="CT1160">
        <v>0</v>
      </c>
      <c r="CU1160">
        <v>0</v>
      </c>
      <c r="CV1160">
        <v>8.9240000000000013</v>
      </c>
      <c r="CW1160">
        <v>9.8470000000000013</v>
      </c>
      <c r="CX1160">
        <v>0</v>
      </c>
      <c r="CY1160" s="2043">
        <v>0</v>
      </c>
      <c r="CZ1160" s="2043">
        <v>0</v>
      </c>
      <c r="DA1160" s="2043">
        <v>0</v>
      </c>
      <c r="DB1160" s="2043">
        <v>0</v>
      </c>
      <c r="DC1160" s="2043">
        <v>0</v>
      </c>
      <c r="DI1160" t="s">
        <v>8108</v>
      </c>
      <c r="DJ1160" t="s">
        <v>8108</v>
      </c>
      <c r="DK1160" s="2042">
        <f t="shared" si="20"/>
        <v>0</v>
      </c>
    </row>
    <row r="1161" spans="1:115">
      <c r="A1161" t="s">
        <v>8109</v>
      </c>
      <c r="B1161" t="s">
        <v>11439</v>
      </c>
      <c r="C1161">
        <v>407.65500000000003</v>
      </c>
      <c r="D1161">
        <v>517.22199999999998</v>
      </c>
      <c r="E1161">
        <v>25.891000000000002</v>
      </c>
      <c r="F1161">
        <v>0</v>
      </c>
      <c r="G1161" s="2043">
        <v>0</v>
      </c>
      <c r="H1161">
        <v>0</v>
      </c>
      <c r="I1161" s="2043">
        <v>0</v>
      </c>
      <c r="J1161">
        <v>20.383000000000003</v>
      </c>
      <c r="K1161">
        <v>56</v>
      </c>
      <c r="L1161">
        <v>0</v>
      </c>
      <c r="M1161">
        <v>0</v>
      </c>
      <c r="N1161">
        <v>0</v>
      </c>
      <c r="O1161">
        <v>0</v>
      </c>
      <c r="P1161">
        <v>0</v>
      </c>
      <c r="Q1161">
        <v>0</v>
      </c>
      <c r="R1161" s="2043">
        <v>0</v>
      </c>
      <c r="S1161">
        <v>0</v>
      </c>
      <c r="T1161">
        <v>0</v>
      </c>
      <c r="U1161">
        <v>0</v>
      </c>
      <c r="V1161">
        <v>0</v>
      </c>
      <c r="W1161">
        <v>0</v>
      </c>
      <c r="X1161">
        <v>0</v>
      </c>
      <c r="Y1161">
        <v>72066</v>
      </c>
      <c r="Z1161">
        <v>0</v>
      </c>
      <c r="AA1161">
        <v>0</v>
      </c>
      <c r="AB1161">
        <v>517.22199999999998</v>
      </c>
      <c r="AC1161" s="2043">
        <v>0</v>
      </c>
      <c r="AD1161">
        <v>0</v>
      </c>
      <c r="AE1161" s="2043">
        <v>0</v>
      </c>
      <c r="AF1161">
        <v>0</v>
      </c>
      <c r="AG1161">
        <v>0</v>
      </c>
      <c r="AH1161">
        <v>0</v>
      </c>
      <c r="AI1161">
        <v>0</v>
      </c>
      <c r="AJ1161">
        <v>27.963000000000001</v>
      </c>
      <c r="AK1161">
        <v>779</v>
      </c>
      <c r="AL1161">
        <v>1.2E-2</v>
      </c>
      <c r="AM1161">
        <v>0</v>
      </c>
      <c r="AN1161">
        <v>23.699000000000002</v>
      </c>
      <c r="AO1161">
        <v>0</v>
      </c>
      <c r="AP1161">
        <v>0</v>
      </c>
      <c r="AQ1161">
        <v>0</v>
      </c>
      <c r="AR1161">
        <v>0</v>
      </c>
      <c r="AS1161">
        <v>0</v>
      </c>
      <c r="AT1161">
        <v>0</v>
      </c>
      <c r="AU1161">
        <v>1.419</v>
      </c>
      <c r="AV1161">
        <v>0</v>
      </c>
      <c r="AW1161">
        <v>1.431</v>
      </c>
      <c r="AX1161">
        <v>0</v>
      </c>
      <c r="AY1161">
        <v>7.1550000000000002</v>
      </c>
      <c r="AZ1161">
        <v>0</v>
      </c>
      <c r="BA1161">
        <v>3946627</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32</v>
      </c>
      <c r="BW1161">
        <v>27</v>
      </c>
      <c r="BX1161">
        <v>32</v>
      </c>
      <c r="BY1161">
        <v>20</v>
      </c>
      <c r="BZ1161">
        <v>4</v>
      </c>
      <c r="CA1161">
        <v>115</v>
      </c>
      <c r="CB1161">
        <v>0</v>
      </c>
      <c r="CC1161">
        <v>0</v>
      </c>
      <c r="CD1161">
        <v>0</v>
      </c>
      <c r="CE1161">
        <v>40</v>
      </c>
      <c r="CF1161">
        <v>99.567999999999998</v>
      </c>
      <c r="CG1161">
        <v>0</v>
      </c>
      <c r="CH1161">
        <v>0</v>
      </c>
      <c r="CI1161">
        <v>0</v>
      </c>
      <c r="CJ1161">
        <v>0</v>
      </c>
      <c r="CK1161">
        <v>0</v>
      </c>
      <c r="CL1161">
        <v>0</v>
      </c>
      <c r="CM1161">
        <v>25.891000000000002</v>
      </c>
      <c r="CN1161">
        <v>0</v>
      </c>
      <c r="CO1161">
        <v>0</v>
      </c>
      <c r="CP1161">
        <v>0</v>
      </c>
      <c r="CQ1161">
        <v>0</v>
      </c>
      <c r="CR1161">
        <v>0</v>
      </c>
      <c r="CS1161">
        <v>0</v>
      </c>
      <c r="CT1161">
        <v>0</v>
      </c>
      <c r="CU1161">
        <v>0</v>
      </c>
      <c r="CV1161">
        <v>0</v>
      </c>
      <c r="CW1161">
        <v>0</v>
      </c>
      <c r="CX1161">
        <v>0</v>
      </c>
      <c r="CY1161" s="2043">
        <v>0</v>
      </c>
      <c r="CZ1161" s="2043">
        <v>0</v>
      </c>
      <c r="DA1161" s="2043">
        <v>0</v>
      </c>
      <c r="DB1161" s="2043">
        <v>0</v>
      </c>
      <c r="DC1161" s="2043">
        <v>0</v>
      </c>
      <c r="DI1161" t="s">
        <v>8109</v>
      </c>
      <c r="DJ1161" t="s">
        <v>8109</v>
      </c>
      <c r="DK1161" s="2042">
        <f t="shared" si="20"/>
        <v>0</v>
      </c>
    </row>
    <row r="1162" spans="1:115">
      <c r="A1162" t="s">
        <v>3244</v>
      </c>
      <c r="B1162" t="s">
        <v>966</v>
      </c>
      <c r="C1162">
        <v>938.43299999999999</v>
      </c>
      <c r="D1162">
        <v>966.10200000000009</v>
      </c>
      <c r="E1162">
        <v>29.542000000000002</v>
      </c>
      <c r="F1162">
        <v>0</v>
      </c>
      <c r="G1162" s="2043">
        <v>525888678</v>
      </c>
      <c r="H1162">
        <v>0</v>
      </c>
      <c r="I1162" s="2043">
        <v>790469</v>
      </c>
      <c r="J1162">
        <v>46.922000000000004</v>
      </c>
      <c r="K1162">
        <v>128</v>
      </c>
      <c r="L1162">
        <v>0</v>
      </c>
      <c r="M1162">
        <v>207728</v>
      </c>
      <c r="N1162">
        <v>0</v>
      </c>
      <c r="O1162">
        <v>207728</v>
      </c>
      <c r="P1162">
        <v>0</v>
      </c>
      <c r="Q1162">
        <v>0</v>
      </c>
      <c r="R1162" s="2043">
        <v>4244930</v>
      </c>
      <c r="S1162">
        <v>413132</v>
      </c>
      <c r="T1162">
        <v>301070</v>
      </c>
      <c r="U1162">
        <v>0.08</v>
      </c>
      <c r="V1162">
        <v>0</v>
      </c>
      <c r="W1162">
        <v>0</v>
      </c>
      <c r="X1162">
        <v>0</v>
      </c>
      <c r="Y1162">
        <v>0</v>
      </c>
      <c r="Z1162">
        <v>0</v>
      </c>
      <c r="AA1162">
        <v>0</v>
      </c>
      <c r="AB1162">
        <v>966.10200000000009</v>
      </c>
      <c r="AC1162" s="2043">
        <v>372777356</v>
      </c>
      <c r="AD1162">
        <v>976922</v>
      </c>
      <c r="AE1162" s="2043">
        <v>4959132</v>
      </c>
      <c r="AF1162">
        <v>0.96030000000000004</v>
      </c>
      <c r="AG1162">
        <v>0</v>
      </c>
      <c r="AH1162">
        <v>0</v>
      </c>
      <c r="AI1162">
        <v>0</v>
      </c>
      <c r="AJ1162">
        <v>123.60000000000001</v>
      </c>
      <c r="AK1162">
        <v>3658</v>
      </c>
      <c r="AL1162">
        <v>0.252</v>
      </c>
      <c r="AM1162">
        <v>0</v>
      </c>
      <c r="AN1162">
        <v>13.381</v>
      </c>
      <c r="AO1162">
        <v>0</v>
      </c>
      <c r="AP1162">
        <v>0</v>
      </c>
      <c r="AQ1162">
        <v>0</v>
      </c>
      <c r="AR1162">
        <v>25.855</v>
      </c>
      <c r="AS1162">
        <v>0</v>
      </c>
      <c r="AT1162">
        <v>6.9039999999999999</v>
      </c>
      <c r="AU1162">
        <v>1.7110000000000001</v>
      </c>
      <c r="AV1162">
        <v>0</v>
      </c>
      <c r="AW1162">
        <v>34.722000000000001</v>
      </c>
      <c r="AX1162">
        <v>0</v>
      </c>
      <c r="AY1162">
        <v>108.092</v>
      </c>
      <c r="AZ1162">
        <v>0</v>
      </c>
      <c r="BA1162">
        <v>6193995</v>
      </c>
      <c r="BB1162">
        <v>5936054</v>
      </c>
      <c r="BC1162">
        <v>0</v>
      </c>
      <c r="BD1162">
        <v>116366</v>
      </c>
      <c r="BE1162">
        <v>16012</v>
      </c>
      <c r="BF1162">
        <v>138660</v>
      </c>
      <c r="BG1162">
        <v>116366</v>
      </c>
      <c r="BH1162">
        <v>6282</v>
      </c>
      <c r="BI1162">
        <v>0</v>
      </c>
      <c r="BJ1162">
        <v>0</v>
      </c>
      <c r="BK1162">
        <v>0</v>
      </c>
      <c r="BL1162">
        <v>525888678</v>
      </c>
      <c r="BM1162">
        <v>0</v>
      </c>
      <c r="BN1162">
        <v>3312</v>
      </c>
      <c r="BO1162">
        <v>3082</v>
      </c>
      <c r="BP1162">
        <v>0</v>
      </c>
      <c r="BQ1162">
        <v>0</v>
      </c>
      <c r="BR1162">
        <v>0.82200000000000006</v>
      </c>
      <c r="BS1162">
        <v>0.82200000000000006</v>
      </c>
      <c r="BT1162">
        <v>0</v>
      </c>
      <c r="BU1162">
        <v>0</v>
      </c>
      <c r="BV1162">
        <v>45</v>
      </c>
      <c r="BW1162">
        <v>324</v>
      </c>
      <c r="BX1162">
        <v>4</v>
      </c>
      <c r="BY1162">
        <v>106</v>
      </c>
      <c r="BZ1162">
        <v>28</v>
      </c>
      <c r="CA1162">
        <v>507</v>
      </c>
      <c r="CB1162">
        <v>0</v>
      </c>
      <c r="CC1162">
        <v>0</v>
      </c>
      <c r="CD1162">
        <v>0</v>
      </c>
      <c r="CE1162">
        <v>94</v>
      </c>
      <c r="CF1162">
        <v>133.71100000000001</v>
      </c>
      <c r="CG1162">
        <v>0</v>
      </c>
      <c r="CH1162">
        <v>0</v>
      </c>
      <c r="CI1162">
        <v>3</v>
      </c>
      <c r="CJ1162">
        <v>8</v>
      </c>
      <c r="CK1162">
        <v>0</v>
      </c>
      <c r="CL1162">
        <v>0</v>
      </c>
      <c r="CM1162">
        <v>29.542000000000002</v>
      </c>
      <c r="CN1162">
        <v>0</v>
      </c>
      <c r="CO1162">
        <v>0</v>
      </c>
      <c r="CP1162">
        <v>0</v>
      </c>
      <c r="CQ1162">
        <v>0</v>
      </c>
      <c r="CR1162">
        <v>0</v>
      </c>
      <c r="CS1162">
        <v>0</v>
      </c>
      <c r="CT1162">
        <v>0</v>
      </c>
      <c r="CU1162">
        <v>0.70200000000000007</v>
      </c>
      <c r="CV1162">
        <v>54.429000000000002</v>
      </c>
      <c r="CW1162">
        <v>18.773</v>
      </c>
      <c r="CX1162">
        <v>0</v>
      </c>
      <c r="CY1162" s="2043">
        <v>0</v>
      </c>
      <c r="CZ1162" s="2043">
        <v>0</v>
      </c>
      <c r="DA1162" s="2043">
        <v>0</v>
      </c>
      <c r="DB1162" s="2043">
        <v>0</v>
      </c>
      <c r="DC1162" s="2043">
        <v>0</v>
      </c>
      <c r="DI1162" t="s">
        <v>3244</v>
      </c>
      <c r="DJ1162" t="s">
        <v>3244</v>
      </c>
      <c r="DK1162" s="2042">
        <f t="shared" si="20"/>
        <v>0</v>
      </c>
    </row>
    <row r="1163" spans="1:115">
      <c r="A1163" t="s">
        <v>3245</v>
      </c>
      <c r="B1163" t="s">
        <v>1086</v>
      </c>
      <c r="C1163">
        <v>13568.659</v>
      </c>
      <c r="D1163">
        <v>9857.9140000000007</v>
      </c>
      <c r="E1163">
        <v>1474.3150000000001</v>
      </c>
      <c r="F1163">
        <v>0</v>
      </c>
      <c r="G1163" s="2043">
        <v>4076860029</v>
      </c>
      <c r="H1163">
        <v>0</v>
      </c>
      <c r="I1163" s="2043">
        <v>2017250</v>
      </c>
      <c r="J1163">
        <v>678.43299999999999</v>
      </c>
      <c r="K1163">
        <v>1855</v>
      </c>
      <c r="L1163">
        <v>66583</v>
      </c>
      <c r="M1163">
        <v>0</v>
      </c>
      <c r="N1163">
        <v>0</v>
      </c>
      <c r="O1163">
        <v>0</v>
      </c>
      <c r="P1163">
        <v>403838</v>
      </c>
      <c r="Q1163">
        <v>66583</v>
      </c>
      <c r="R1163" s="2043">
        <v>32396897</v>
      </c>
      <c r="S1163">
        <v>3152983</v>
      </c>
      <c r="T1163">
        <v>508418</v>
      </c>
      <c r="U1163">
        <v>0.08</v>
      </c>
      <c r="V1163">
        <v>0</v>
      </c>
      <c r="W1163">
        <v>0</v>
      </c>
      <c r="X1163">
        <v>0</v>
      </c>
      <c r="Y1163">
        <v>0</v>
      </c>
      <c r="Z1163">
        <v>0</v>
      </c>
      <c r="AA1163">
        <v>3.0000000000000001E-3</v>
      </c>
      <c r="AB1163">
        <v>9788.01</v>
      </c>
      <c r="AC1163" s="2043">
        <v>3057722751</v>
      </c>
      <c r="AD1163">
        <v>5768198</v>
      </c>
      <c r="AE1163" s="2043">
        <v>36058298</v>
      </c>
      <c r="AF1163">
        <v>0.91490000000000005</v>
      </c>
      <c r="AG1163">
        <v>0</v>
      </c>
      <c r="AH1163">
        <v>0</v>
      </c>
      <c r="AI1163">
        <v>0</v>
      </c>
      <c r="AJ1163">
        <v>2056.4630000000002</v>
      </c>
      <c r="AK1163">
        <v>40594</v>
      </c>
      <c r="AL1163">
        <v>0.67600000000000005</v>
      </c>
      <c r="AM1163">
        <v>0</v>
      </c>
      <c r="AN1163">
        <v>361.32400000000001</v>
      </c>
      <c r="AO1163">
        <v>1</v>
      </c>
      <c r="AP1163">
        <v>0</v>
      </c>
      <c r="AQ1163">
        <v>0</v>
      </c>
      <c r="AR1163">
        <v>293.108</v>
      </c>
      <c r="AS1163">
        <v>0</v>
      </c>
      <c r="AT1163">
        <v>115.06700000000001</v>
      </c>
      <c r="AU1163">
        <v>28.789000000000001</v>
      </c>
      <c r="AV1163">
        <v>0</v>
      </c>
      <c r="AW1163">
        <v>439.09900000000005</v>
      </c>
      <c r="AX1163">
        <v>1.4590000000000001</v>
      </c>
      <c r="AY1163">
        <v>1375.2060000000001</v>
      </c>
      <c r="AZ1163">
        <v>0</v>
      </c>
      <c r="BA1163">
        <v>88835883</v>
      </c>
      <c r="BB1163">
        <v>41826496</v>
      </c>
      <c r="BC1163">
        <v>0</v>
      </c>
      <c r="BD1163">
        <v>417053</v>
      </c>
      <c r="BE1163">
        <v>127187</v>
      </c>
      <c r="BF1163">
        <v>547794</v>
      </c>
      <c r="BG1163">
        <v>417053</v>
      </c>
      <c r="BH1163">
        <v>3554</v>
      </c>
      <c r="BI1163">
        <v>0</v>
      </c>
      <c r="BJ1163">
        <v>0</v>
      </c>
      <c r="BK1163">
        <v>0</v>
      </c>
      <c r="BL1163">
        <v>4076860029</v>
      </c>
      <c r="BM1163">
        <v>0</v>
      </c>
      <c r="BN1163">
        <v>42102</v>
      </c>
      <c r="BO1163">
        <v>7854</v>
      </c>
      <c r="BP1163">
        <v>0</v>
      </c>
      <c r="BQ1163">
        <v>0</v>
      </c>
      <c r="BR1163">
        <v>0.82200000000000006</v>
      </c>
      <c r="BS1163">
        <v>0.82200000000000006</v>
      </c>
      <c r="BT1163">
        <v>0</v>
      </c>
      <c r="BU1163">
        <v>0</v>
      </c>
      <c r="BV1163">
        <v>4457</v>
      </c>
      <c r="BW1163">
        <v>1134</v>
      </c>
      <c r="BX1163">
        <v>556</v>
      </c>
      <c r="BY1163">
        <v>1043</v>
      </c>
      <c r="BZ1163">
        <v>1351</v>
      </c>
      <c r="CA1163">
        <v>8541</v>
      </c>
      <c r="CB1163">
        <v>0</v>
      </c>
      <c r="CC1163">
        <v>0</v>
      </c>
      <c r="CD1163">
        <v>0</v>
      </c>
      <c r="CE1163">
        <v>738</v>
      </c>
      <c r="CF1163">
        <v>2365.5920000000001</v>
      </c>
      <c r="CG1163">
        <v>0</v>
      </c>
      <c r="CH1163">
        <v>0</v>
      </c>
      <c r="CI1163">
        <v>0</v>
      </c>
      <c r="CJ1163">
        <v>1</v>
      </c>
      <c r="CK1163">
        <v>1</v>
      </c>
      <c r="CL1163">
        <v>0</v>
      </c>
      <c r="CM1163">
        <v>1474.3150000000001</v>
      </c>
      <c r="CN1163">
        <v>0</v>
      </c>
      <c r="CO1163">
        <v>0</v>
      </c>
      <c r="CP1163">
        <v>0</v>
      </c>
      <c r="CQ1163">
        <v>0</v>
      </c>
      <c r="CR1163">
        <v>0</v>
      </c>
      <c r="CS1163">
        <v>0</v>
      </c>
      <c r="CT1163">
        <v>0</v>
      </c>
      <c r="CU1163">
        <v>32.911999999999999</v>
      </c>
      <c r="CV1163">
        <v>633.64400000000001</v>
      </c>
      <c r="CW1163">
        <v>226.107</v>
      </c>
      <c r="CX1163">
        <v>0</v>
      </c>
      <c r="CY1163" s="2043">
        <v>0</v>
      </c>
      <c r="CZ1163" s="2043">
        <v>0</v>
      </c>
      <c r="DA1163" s="2043">
        <v>0</v>
      </c>
      <c r="DB1163" s="2043">
        <v>0</v>
      </c>
      <c r="DC1163" s="2043">
        <v>0</v>
      </c>
      <c r="DI1163" t="s">
        <v>3245</v>
      </c>
      <c r="DJ1163" t="s">
        <v>3245</v>
      </c>
      <c r="DK1163" s="2042">
        <f t="shared" si="20"/>
        <v>0</v>
      </c>
    </row>
    <row r="1164" spans="1:115">
      <c r="A1164" t="s">
        <v>8110</v>
      </c>
      <c r="B1164" t="s">
        <v>11440</v>
      </c>
      <c r="C1164">
        <v>0</v>
      </c>
      <c r="D1164">
        <v>0</v>
      </c>
      <c r="E1164">
        <v>0</v>
      </c>
      <c r="F1164">
        <v>0</v>
      </c>
      <c r="G1164" s="2043">
        <v>0</v>
      </c>
      <c r="H1164">
        <v>0</v>
      </c>
      <c r="I1164" s="2043">
        <v>0</v>
      </c>
      <c r="J1164">
        <v>0</v>
      </c>
      <c r="K1164">
        <v>0</v>
      </c>
      <c r="L1164">
        <v>0</v>
      </c>
      <c r="M1164">
        <v>0</v>
      </c>
      <c r="N1164">
        <v>0</v>
      </c>
      <c r="O1164">
        <v>0</v>
      </c>
      <c r="P1164">
        <v>0</v>
      </c>
      <c r="Q1164">
        <v>0</v>
      </c>
      <c r="R1164" s="2043">
        <v>0</v>
      </c>
      <c r="S1164">
        <v>0</v>
      </c>
      <c r="T1164">
        <v>0</v>
      </c>
      <c r="U1164">
        <v>0</v>
      </c>
      <c r="V1164">
        <v>0</v>
      </c>
      <c r="W1164">
        <v>0</v>
      </c>
      <c r="X1164">
        <v>0</v>
      </c>
      <c r="Y1164">
        <v>57850464</v>
      </c>
      <c r="Z1164">
        <v>0</v>
      </c>
      <c r="AA1164">
        <v>0</v>
      </c>
      <c r="AB1164">
        <v>0</v>
      </c>
      <c r="AC1164" s="2043">
        <v>0</v>
      </c>
      <c r="AD1164">
        <v>0</v>
      </c>
      <c r="AE1164" s="2043">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c r="BA1164">
        <v>57850464</v>
      </c>
      <c r="BB1164">
        <v>0</v>
      </c>
      <c r="BC1164">
        <v>0</v>
      </c>
      <c r="BD1164">
        <v>0</v>
      </c>
      <c r="BE1164">
        <v>0</v>
      </c>
      <c r="BF1164">
        <v>0</v>
      </c>
      <c r="BG1164">
        <v>0</v>
      </c>
      <c r="BH1164">
        <v>0</v>
      </c>
      <c r="BI1164">
        <v>0</v>
      </c>
      <c r="BJ1164">
        <v>0</v>
      </c>
      <c r="BK1164">
        <v>0</v>
      </c>
      <c r="BL1164">
        <v>0</v>
      </c>
      <c r="BM1164">
        <v>0</v>
      </c>
      <c r="BN1164">
        <v>0</v>
      </c>
      <c r="BO1164">
        <v>0</v>
      </c>
      <c r="BP1164">
        <v>0</v>
      </c>
      <c r="BQ1164">
        <v>0</v>
      </c>
      <c r="BR1164">
        <v>0</v>
      </c>
      <c r="BS1164">
        <v>0</v>
      </c>
      <c r="BT1164">
        <v>0</v>
      </c>
      <c r="BU1164">
        <v>0</v>
      </c>
      <c r="BV1164">
        <v>0</v>
      </c>
      <c r="BW1164">
        <v>0</v>
      </c>
      <c r="BX1164">
        <v>0</v>
      </c>
      <c r="BY1164">
        <v>0</v>
      </c>
      <c r="BZ1164">
        <v>0</v>
      </c>
      <c r="CA1164">
        <v>0</v>
      </c>
      <c r="CB1164">
        <v>0</v>
      </c>
      <c r="CC1164">
        <v>0</v>
      </c>
      <c r="CD1164">
        <v>0</v>
      </c>
      <c r="CE1164">
        <v>0</v>
      </c>
      <c r="CF1164">
        <v>0</v>
      </c>
      <c r="CG1164">
        <v>0</v>
      </c>
      <c r="CH1164">
        <v>0</v>
      </c>
      <c r="CI1164">
        <v>0</v>
      </c>
      <c r="CJ1164">
        <v>0</v>
      </c>
      <c r="CK1164">
        <v>0</v>
      </c>
      <c r="CL1164">
        <v>0</v>
      </c>
      <c r="CM1164">
        <v>0</v>
      </c>
      <c r="CN1164">
        <v>0</v>
      </c>
      <c r="CO1164">
        <v>0</v>
      </c>
      <c r="CP1164">
        <v>0</v>
      </c>
      <c r="CQ1164">
        <v>0</v>
      </c>
      <c r="CR1164">
        <v>0</v>
      </c>
      <c r="CS1164">
        <v>0</v>
      </c>
      <c r="CT1164">
        <v>0</v>
      </c>
      <c r="CU1164">
        <v>0</v>
      </c>
      <c r="CV1164">
        <v>0</v>
      </c>
      <c r="CW1164">
        <v>0</v>
      </c>
      <c r="CX1164">
        <v>0</v>
      </c>
      <c r="CY1164" s="2043">
        <v>0</v>
      </c>
      <c r="CZ1164" s="2043">
        <v>0</v>
      </c>
      <c r="DA1164" s="2043">
        <v>0</v>
      </c>
      <c r="DB1164" s="2043">
        <v>0</v>
      </c>
      <c r="DC1164" s="2043">
        <v>0</v>
      </c>
      <c r="DI1164" t="s">
        <v>8110</v>
      </c>
      <c r="DJ1164" t="s">
        <v>8110</v>
      </c>
      <c r="DK1164" s="2042">
        <f t="shared" si="20"/>
        <v>0</v>
      </c>
    </row>
    <row r="1165" spans="1:115">
      <c r="A1165" t="s">
        <v>8522</v>
      </c>
      <c r="B1165" t="s">
        <v>11441</v>
      </c>
      <c r="C1165">
        <v>0</v>
      </c>
      <c r="D1165">
        <v>0</v>
      </c>
      <c r="E1165">
        <v>0</v>
      </c>
      <c r="F1165">
        <v>0</v>
      </c>
      <c r="G1165" s="2043">
        <v>0</v>
      </c>
      <c r="H1165">
        <v>0</v>
      </c>
      <c r="I1165" s="2043">
        <v>0</v>
      </c>
      <c r="J1165">
        <v>0</v>
      </c>
      <c r="K1165">
        <v>0</v>
      </c>
      <c r="L1165">
        <v>0</v>
      </c>
      <c r="M1165">
        <v>0</v>
      </c>
      <c r="N1165">
        <v>0</v>
      </c>
      <c r="O1165">
        <v>0</v>
      </c>
      <c r="P1165">
        <v>0</v>
      </c>
      <c r="Q1165">
        <v>0</v>
      </c>
      <c r="R1165" s="2043">
        <v>0</v>
      </c>
      <c r="S1165">
        <v>0</v>
      </c>
      <c r="T1165">
        <v>0</v>
      </c>
      <c r="U1165">
        <v>0</v>
      </c>
      <c r="V1165">
        <v>0</v>
      </c>
      <c r="W1165">
        <v>0</v>
      </c>
      <c r="X1165">
        <v>0</v>
      </c>
      <c r="Y1165">
        <v>128959</v>
      </c>
      <c r="Z1165">
        <v>0</v>
      </c>
      <c r="AA1165">
        <v>0</v>
      </c>
      <c r="AB1165">
        <v>0</v>
      </c>
      <c r="AC1165" s="2043">
        <v>0</v>
      </c>
      <c r="AD1165">
        <v>0</v>
      </c>
      <c r="AE1165" s="2043">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c r="BA1165">
        <v>128959</v>
      </c>
      <c r="BB1165">
        <v>0</v>
      </c>
      <c r="BC1165">
        <v>0</v>
      </c>
      <c r="BD1165">
        <v>0</v>
      </c>
      <c r="BE1165">
        <v>0</v>
      </c>
      <c r="BF1165">
        <v>0</v>
      </c>
      <c r="BG1165">
        <v>0</v>
      </c>
      <c r="BH1165">
        <v>0</v>
      </c>
      <c r="BI1165">
        <v>0</v>
      </c>
      <c r="BJ1165">
        <v>0</v>
      </c>
      <c r="BK1165">
        <v>0</v>
      </c>
      <c r="BL1165">
        <v>0</v>
      </c>
      <c r="BM1165">
        <v>0</v>
      </c>
      <c r="BN1165">
        <v>0</v>
      </c>
      <c r="BO1165">
        <v>0</v>
      </c>
      <c r="BP1165">
        <v>0</v>
      </c>
      <c r="BQ1165">
        <v>0</v>
      </c>
      <c r="BR1165">
        <v>0</v>
      </c>
      <c r="BS1165">
        <v>0</v>
      </c>
      <c r="BT1165">
        <v>0</v>
      </c>
      <c r="BU1165">
        <v>0</v>
      </c>
      <c r="BV1165">
        <v>0</v>
      </c>
      <c r="BW1165">
        <v>0</v>
      </c>
      <c r="BX1165">
        <v>0</v>
      </c>
      <c r="BY1165">
        <v>0</v>
      </c>
      <c r="BZ1165">
        <v>0</v>
      </c>
      <c r="CA1165">
        <v>0</v>
      </c>
      <c r="CB1165">
        <v>0</v>
      </c>
      <c r="CC1165">
        <v>0</v>
      </c>
      <c r="CD1165">
        <v>0</v>
      </c>
      <c r="CE1165">
        <v>0</v>
      </c>
      <c r="CF1165">
        <v>0</v>
      </c>
      <c r="CG1165">
        <v>0</v>
      </c>
      <c r="CH1165">
        <v>0</v>
      </c>
      <c r="CI1165">
        <v>0</v>
      </c>
      <c r="CJ1165">
        <v>0</v>
      </c>
      <c r="CK1165">
        <v>0</v>
      </c>
      <c r="CL1165">
        <v>0</v>
      </c>
      <c r="CM1165">
        <v>0</v>
      </c>
      <c r="CN1165">
        <v>0</v>
      </c>
      <c r="CO1165">
        <v>0</v>
      </c>
      <c r="CP1165">
        <v>0</v>
      </c>
      <c r="CQ1165">
        <v>0</v>
      </c>
      <c r="CR1165">
        <v>0</v>
      </c>
      <c r="CS1165">
        <v>0</v>
      </c>
      <c r="CT1165">
        <v>0</v>
      </c>
      <c r="CU1165">
        <v>0</v>
      </c>
      <c r="CV1165">
        <v>0</v>
      </c>
      <c r="CW1165">
        <v>0</v>
      </c>
      <c r="CX1165">
        <v>0</v>
      </c>
      <c r="CY1165" s="2043">
        <v>0</v>
      </c>
      <c r="CZ1165" s="2043">
        <v>0</v>
      </c>
      <c r="DA1165" s="2043">
        <v>0</v>
      </c>
      <c r="DB1165" s="2043">
        <v>0</v>
      </c>
      <c r="DC1165" s="2043">
        <v>0</v>
      </c>
      <c r="DI1165" t="s">
        <v>8522</v>
      </c>
      <c r="DJ1165" t="s">
        <v>8522</v>
      </c>
      <c r="DK1165" s="2042">
        <f t="shared" si="20"/>
        <v>0</v>
      </c>
    </row>
    <row r="1166" spans="1:115">
      <c r="A1166" t="s">
        <v>3246</v>
      </c>
      <c r="B1166" t="s">
        <v>262</v>
      </c>
      <c r="C1166">
        <v>1394.625</v>
      </c>
      <c r="D1166">
        <v>1329.0250000000001</v>
      </c>
      <c r="E1166">
        <v>298.76499999999999</v>
      </c>
      <c r="F1166">
        <v>0</v>
      </c>
      <c r="G1166" s="2043">
        <v>799059313</v>
      </c>
      <c r="H1166">
        <v>0</v>
      </c>
      <c r="I1166" s="2043">
        <v>1329512</v>
      </c>
      <c r="J1166">
        <v>69.731000000000009</v>
      </c>
      <c r="K1166">
        <v>191</v>
      </c>
      <c r="L1166">
        <v>0</v>
      </c>
      <c r="M1166">
        <v>656639</v>
      </c>
      <c r="N1166">
        <v>0</v>
      </c>
      <c r="O1166">
        <v>656639</v>
      </c>
      <c r="P1166">
        <v>0</v>
      </c>
      <c r="Q1166">
        <v>0</v>
      </c>
      <c r="R1166" s="2043">
        <v>6488347</v>
      </c>
      <c r="S1166">
        <v>631469</v>
      </c>
      <c r="T1166">
        <v>460184</v>
      </c>
      <c r="U1166">
        <v>0.08</v>
      </c>
      <c r="V1166">
        <v>0</v>
      </c>
      <c r="W1166">
        <v>0</v>
      </c>
      <c r="X1166">
        <v>0</v>
      </c>
      <c r="Y1166">
        <v>0</v>
      </c>
      <c r="Z1166">
        <v>0</v>
      </c>
      <c r="AA1166">
        <v>0.42</v>
      </c>
      <c r="AB1166">
        <v>1329.0250000000001</v>
      </c>
      <c r="AC1166" s="2043">
        <v>620995589</v>
      </c>
      <c r="AD1166">
        <v>1540000</v>
      </c>
      <c r="AE1166" s="2043">
        <v>7580000</v>
      </c>
      <c r="AF1166">
        <v>0.96030000000000004</v>
      </c>
      <c r="AG1166">
        <v>0</v>
      </c>
      <c r="AH1166">
        <v>0</v>
      </c>
      <c r="AI1166">
        <v>0</v>
      </c>
      <c r="AJ1166">
        <v>349.18800000000005</v>
      </c>
      <c r="AK1166">
        <v>4734</v>
      </c>
      <c r="AL1166">
        <v>0</v>
      </c>
      <c r="AM1166">
        <v>0</v>
      </c>
      <c r="AN1166">
        <v>49.942</v>
      </c>
      <c r="AO1166">
        <v>0</v>
      </c>
      <c r="AP1166">
        <v>0</v>
      </c>
      <c r="AQ1166">
        <v>0</v>
      </c>
      <c r="AR1166">
        <v>18.029</v>
      </c>
      <c r="AS1166">
        <v>0</v>
      </c>
      <c r="AT1166">
        <v>17.875</v>
      </c>
      <c r="AU1166">
        <v>2.2909999999999999</v>
      </c>
      <c r="AV1166">
        <v>0</v>
      </c>
      <c r="AW1166">
        <v>39.822000000000003</v>
      </c>
      <c r="AX1166">
        <v>1.627</v>
      </c>
      <c r="AY1166">
        <v>122.90900000000001</v>
      </c>
      <c r="AZ1166">
        <v>0</v>
      </c>
      <c r="BA1166">
        <v>9110697</v>
      </c>
      <c r="BB1166">
        <v>9120000</v>
      </c>
      <c r="BC1166">
        <v>0</v>
      </c>
      <c r="BD1166">
        <v>83283</v>
      </c>
      <c r="BE1166">
        <v>22267</v>
      </c>
      <c r="BF1166">
        <v>105550</v>
      </c>
      <c r="BG1166">
        <v>83283</v>
      </c>
      <c r="BH1166">
        <v>0</v>
      </c>
      <c r="BI1166">
        <v>0</v>
      </c>
      <c r="BJ1166">
        <v>0</v>
      </c>
      <c r="BK1166">
        <v>0</v>
      </c>
      <c r="BL1166">
        <v>799059313</v>
      </c>
      <c r="BM1166">
        <v>0</v>
      </c>
      <c r="BN1166">
        <v>3618</v>
      </c>
      <c r="BO1166">
        <v>3863</v>
      </c>
      <c r="BP1166">
        <v>0</v>
      </c>
      <c r="BQ1166">
        <v>0</v>
      </c>
      <c r="BR1166">
        <v>0.82200000000000006</v>
      </c>
      <c r="BS1166">
        <v>0.82200000000000006</v>
      </c>
      <c r="BT1166">
        <v>0</v>
      </c>
      <c r="BU1166">
        <v>0</v>
      </c>
      <c r="BV1166">
        <v>65</v>
      </c>
      <c r="BW1166">
        <v>184</v>
      </c>
      <c r="BX1166">
        <v>761</v>
      </c>
      <c r="BY1166">
        <v>355</v>
      </c>
      <c r="BZ1166">
        <v>27</v>
      </c>
      <c r="CA1166">
        <v>1392</v>
      </c>
      <c r="CB1166">
        <v>0</v>
      </c>
      <c r="CC1166">
        <v>147.18899999999999</v>
      </c>
      <c r="CD1166">
        <v>0</v>
      </c>
      <c r="CE1166">
        <v>47</v>
      </c>
      <c r="CF1166">
        <v>541.51300000000003</v>
      </c>
      <c r="CG1166">
        <v>3.7750000000000004</v>
      </c>
      <c r="CH1166">
        <v>0</v>
      </c>
      <c r="CI1166">
        <v>1</v>
      </c>
      <c r="CJ1166">
        <v>1</v>
      </c>
      <c r="CK1166">
        <v>0</v>
      </c>
      <c r="CL1166">
        <v>3.7750000000000004</v>
      </c>
      <c r="CM1166">
        <v>298.76499999999999</v>
      </c>
      <c r="CN1166">
        <v>0</v>
      </c>
      <c r="CO1166">
        <v>0</v>
      </c>
      <c r="CP1166">
        <v>0</v>
      </c>
      <c r="CQ1166">
        <v>0</v>
      </c>
      <c r="CR1166">
        <v>0</v>
      </c>
      <c r="CS1166">
        <v>0</v>
      </c>
      <c r="CT1166">
        <v>0</v>
      </c>
      <c r="CU1166">
        <v>28.892000000000003</v>
      </c>
      <c r="CV1166">
        <v>73.13900000000001</v>
      </c>
      <c r="CW1166">
        <v>50.648000000000003</v>
      </c>
      <c r="CX1166">
        <v>0</v>
      </c>
      <c r="CY1166" s="2043">
        <v>0</v>
      </c>
      <c r="CZ1166" s="2043">
        <v>0</v>
      </c>
      <c r="DA1166" s="2043">
        <v>0</v>
      </c>
      <c r="DB1166" s="2043">
        <v>0</v>
      </c>
      <c r="DC1166" s="2043">
        <v>0</v>
      </c>
      <c r="DI1166" t="s">
        <v>3246</v>
      </c>
      <c r="DJ1166" t="s">
        <v>3246</v>
      </c>
      <c r="DK1166" s="2042">
        <f t="shared" si="20"/>
        <v>0</v>
      </c>
    </row>
    <row r="1167" spans="1:115">
      <c r="A1167" t="s">
        <v>3247</v>
      </c>
      <c r="B1167" t="s">
        <v>263</v>
      </c>
      <c r="C1167">
        <v>7741.3990000000003</v>
      </c>
      <c r="D1167">
        <v>7307.5840000000007</v>
      </c>
      <c r="E1167">
        <v>2365.8389999999999</v>
      </c>
      <c r="F1167">
        <v>0</v>
      </c>
      <c r="G1167" s="2043">
        <v>5003184572</v>
      </c>
      <c r="H1167">
        <v>0</v>
      </c>
      <c r="I1167" s="2043">
        <v>20385488</v>
      </c>
      <c r="J1167">
        <v>387.07</v>
      </c>
      <c r="K1167">
        <v>1058</v>
      </c>
      <c r="L1167">
        <v>0</v>
      </c>
      <c r="M1167">
        <v>1245322</v>
      </c>
      <c r="N1167">
        <v>0</v>
      </c>
      <c r="O1167">
        <v>1245322</v>
      </c>
      <c r="P1167">
        <v>0</v>
      </c>
      <c r="Q1167">
        <v>0</v>
      </c>
      <c r="R1167" s="2043">
        <v>42632712</v>
      </c>
      <c r="S1167">
        <v>2565454</v>
      </c>
      <c r="T1167">
        <v>0</v>
      </c>
      <c r="U1167">
        <v>0.05</v>
      </c>
      <c r="V1167">
        <v>0</v>
      </c>
      <c r="W1167">
        <v>0</v>
      </c>
      <c r="X1167">
        <v>0</v>
      </c>
      <c r="Y1167">
        <v>-17059</v>
      </c>
      <c r="Z1167">
        <v>0</v>
      </c>
      <c r="AA1167">
        <v>0.57100000000000006</v>
      </c>
      <c r="AB1167">
        <v>7307.5840000000007</v>
      </c>
      <c r="AC1167" s="2043">
        <v>3636734105</v>
      </c>
      <c r="AD1167">
        <v>22423176</v>
      </c>
      <c r="AE1167" s="2043">
        <v>45198166</v>
      </c>
      <c r="AF1167">
        <v>0.88090000000000002</v>
      </c>
      <c r="AG1167">
        <v>0</v>
      </c>
      <c r="AH1167">
        <v>0</v>
      </c>
      <c r="AI1167">
        <v>0</v>
      </c>
      <c r="AJ1167">
        <v>1361.1380000000001</v>
      </c>
      <c r="AK1167">
        <v>28435</v>
      </c>
      <c r="AL1167">
        <v>0.71100000000000008</v>
      </c>
      <c r="AM1167">
        <v>0</v>
      </c>
      <c r="AN1167">
        <v>529.697</v>
      </c>
      <c r="AO1167">
        <v>0</v>
      </c>
      <c r="AP1167">
        <v>1.2E-2</v>
      </c>
      <c r="AQ1167">
        <v>4.319</v>
      </c>
      <c r="AR1167">
        <v>93.941000000000003</v>
      </c>
      <c r="AS1167">
        <v>0</v>
      </c>
      <c r="AT1167">
        <v>85.954000000000008</v>
      </c>
      <c r="AU1167">
        <v>17.167000000000002</v>
      </c>
      <c r="AV1167">
        <v>0</v>
      </c>
      <c r="AW1167">
        <v>202.10400000000001</v>
      </c>
      <c r="AX1167">
        <v>0</v>
      </c>
      <c r="AY1167">
        <v>629.10700000000008</v>
      </c>
      <c r="AZ1167">
        <v>0</v>
      </c>
      <c r="BA1167">
        <v>31725421</v>
      </c>
      <c r="BB1167">
        <v>67621342</v>
      </c>
      <c r="BC1167">
        <v>0</v>
      </c>
      <c r="BD1167">
        <v>1160466</v>
      </c>
      <c r="BE1167">
        <v>407262</v>
      </c>
      <c r="BF1167">
        <v>1582474</v>
      </c>
      <c r="BG1167">
        <v>1160466</v>
      </c>
      <c r="BH1167">
        <v>14746</v>
      </c>
      <c r="BI1167">
        <v>-8633</v>
      </c>
      <c r="BJ1167">
        <v>-8426</v>
      </c>
      <c r="BK1167">
        <v>0</v>
      </c>
      <c r="BL1167">
        <v>5003184572</v>
      </c>
      <c r="BM1167">
        <v>0</v>
      </c>
      <c r="BN1167">
        <v>25857</v>
      </c>
      <c r="BO1167">
        <v>13664</v>
      </c>
      <c r="BP1167">
        <v>0</v>
      </c>
      <c r="BQ1167">
        <v>0</v>
      </c>
      <c r="BR1167">
        <v>0.83090000000000008</v>
      </c>
      <c r="BS1167">
        <v>0.83090000000000008</v>
      </c>
      <c r="BT1167">
        <v>0</v>
      </c>
      <c r="BU1167">
        <v>0</v>
      </c>
      <c r="BV1167">
        <v>2648</v>
      </c>
      <c r="BW1167">
        <v>598</v>
      </c>
      <c r="BX1167">
        <v>1254</v>
      </c>
      <c r="BY1167">
        <v>1087</v>
      </c>
      <c r="BZ1167">
        <v>89</v>
      </c>
      <c r="CA1167">
        <v>5676</v>
      </c>
      <c r="CB1167">
        <v>0</v>
      </c>
      <c r="CC1167">
        <v>0</v>
      </c>
      <c r="CD1167">
        <v>0</v>
      </c>
      <c r="CE1167">
        <v>766</v>
      </c>
      <c r="CF1167">
        <v>2314.9079999999999</v>
      </c>
      <c r="CG1167">
        <v>0</v>
      </c>
      <c r="CH1167">
        <v>6.43</v>
      </c>
      <c r="CI1167">
        <v>8</v>
      </c>
      <c r="CJ1167">
        <v>17</v>
      </c>
      <c r="CK1167">
        <v>0</v>
      </c>
      <c r="CL1167">
        <v>6.43</v>
      </c>
      <c r="CM1167">
        <v>2365.8389999999999</v>
      </c>
      <c r="CN1167">
        <v>0</v>
      </c>
      <c r="CO1167">
        <v>0</v>
      </c>
      <c r="CP1167">
        <v>0</v>
      </c>
      <c r="CQ1167">
        <v>0</v>
      </c>
      <c r="CR1167">
        <v>0</v>
      </c>
      <c r="CS1167">
        <v>0</v>
      </c>
      <c r="CT1167">
        <v>0</v>
      </c>
      <c r="CU1167">
        <v>0.92400000000000004</v>
      </c>
      <c r="CV1167">
        <v>375.15300000000002</v>
      </c>
      <c r="CW1167">
        <v>201.62900000000002</v>
      </c>
      <c r="CX1167">
        <v>0</v>
      </c>
      <c r="CY1167" s="2043">
        <v>0</v>
      </c>
      <c r="CZ1167" s="2043">
        <v>0</v>
      </c>
      <c r="DA1167" s="2043">
        <v>0</v>
      </c>
      <c r="DB1167" s="2043">
        <v>0</v>
      </c>
      <c r="DC1167" s="2043">
        <v>0</v>
      </c>
      <c r="DI1167" t="s">
        <v>3247</v>
      </c>
      <c r="DJ1167" t="s">
        <v>3247</v>
      </c>
      <c r="DK1167" s="2042">
        <f t="shared" si="20"/>
        <v>0</v>
      </c>
    </row>
    <row r="1168" spans="1:115">
      <c r="A1168" t="s">
        <v>3248</v>
      </c>
      <c r="B1168" t="s">
        <v>587</v>
      </c>
      <c r="C1168">
        <v>2322.6840000000002</v>
      </c>
      <c r="D1168">
        <v>2325.5250000000001</v>
      </c>
      <c r="E1168">
        <v>954.13</v>
      </c>
      <c r="F1168">
        <v>0</v>
      </c>
      <c r="G1168" s="2043">
        <v>2130261234</v>
      </c>
      <c r="H1168">
        <v>-232872</v>
      </c>
      <c r="I1168" s="2043">
        <v>5217387</v>
      </c>
      <c r="J1168">
        <v>72</v>
      </c>
      <c r="K1168">
        <v>197</v>
      </c>
      <c r="L1168">
        <v>0</v>
      </c>
      <c r="M1168">
        <v>472483</v>
      </c>
      <c r="N1168">
        <v>0</v>
      </c>
      <c r="O1168">
        <v>472483</v>
      </c>
      <c r="P1168">
        <v>0</v>
      </c>
      <c r="Q1168">
        <v>0</v>
      </c>
      <c r="R1168" s="2043">
        <v>17372645</v>
      </c>
      <c r="S1168">
        <v>1690768</v>
      </c>
      <c r="T1168">
        <v>1232148</v>
      </c>
      <c r="U1168">
        <v>0.08</v>
      </c>
      <c r="V1168">
        <v>0</v>
      </c>
      <c r="W1168">
        <v>0</v>
      </c>
      <c r="X1168">
        <v>232872</v>
      </c>
      <c r="Y1168">
        <v>1985831</v>
      </c>
      <c r="Z1168">
        <v>0</v>
      </c>
      <c r="AA1168">
        <v>0.20300000000000001</v>
      </c>
      <c r="AB1168">
        <v>2292.096</v>
      </c>
      <c r="AC1168" s="2043">
        <v>1271873979</v>
      </c>
      <c r="AD1168">
        <v>7566844</v>
      </c>
      <c r="AE1168" s="2043">
        <v>20295561</v>
      </c>
      <c r="AF1168">
        <v>0.96030000000000004</v>
      </c>
      <c r="AG1168">
        <v>0</v>
      </c>
      <c r="AH1168">
        <v>232872</v>
      </c>
      <c r="AI1168">
        <v>0</v>
      </c>
      <c r="AJ1168">
        <v>441.08800000000002</v>
      </c>
      <c r="AK1168">
        <v>6725</v>
      </c>
      <c r="AL1168">
        <v>0.30399999999999999</v>
      </c>
      <c r="AM1168">
        <v>0</v>
      </c>
      <c r="AN1168">
        <v>160.93200000000002</v>
      </c>
      <c r="AO1168">
        <v>0</v>
      </c>
      <c r="AP1168">
        <v>0.64800000000000002</v>
      </c>
      <c r="AQ1168">
        <v>0</v>
      </c>
      <c r="AR1168">
        <v>4.6610000000000005</v>
      </c>
      <c r="AS1168">
        <v>0</v>
      </c>
      <c r="AT1168">
        <v>15.369000000000002</v>
      </c>
      <c r="AU1168">
        <v>5.69</v>
      </c>
      <c r="AV1168">
        <v>0</v>
      </c>
      <c r="AW1168">
        <v>26.672000000000001</v>
      </c>
      <c r="AX1168">
        <v>0</v>
      </c>
      <c r="AY1168">
        <v>91.81</v>
      </c>
      <c r="AZ1168">
        <v>0</v>
      </c>
      <c r="BA1168">
        <v>7272498</v>
      </c>
      <c r="BB1168">
        <v>27862405</v>
      </c>
      <c r="BC1168">
        <v>0</v>
      </c>
      <c r="BD1168">
        <v>157202</v>
      </c>
      <c r="BE1168">
        <v>45086</v>
      </c>
      <c r="BF1168">
        <v>202288</v>
      </c>
      <c r="BG1168">
        <v>157202</v>
      </c>
      <c r="BH1168">
        <v>0</v>
      </c>
      <c r="BI1168">
        <v>0</v>
      </c>
      <c r="BJ1168">
        <v>0</v>
      </c>
      <c r="BK1168">
        <v>0</v>
      </c>
      <c r="BL1168">
        <v>2130261234</v>
      </c>
      <c r="BM1168">
        <v>0</v>
      </c>
      <c r="BN1168">
        <v>8757</v>
      </c>
      <c r="BO1168">
        <v>6655</v>
      </c>
      <c r="BP1168">
        <v>0</v>
      </c>
      <c r="BQ1168">
        <v>0</v>
      </c>
      <c r="BR1168">
        <v>0.82200000000000006</v>
      </c>
      <c r="BS1168">
        <v>0.82200000000000006</v>
      </c>
      <c r="BT1168">
        <v>2218703</v>
      </c>
      <c r="BU1168">
        <v>0</v>
      </c>
      <c r="BV1168">
        <v>1898</v>
      </c>
      <c r="BW1168">
        <v>6</v>
      </c>
      <c r="BX1168">
        <v>1</v>
      </c>
      <c r="BY1168">
        <v>45</v>
      </c>
      <c r="BZ1168">
        <v>2</v>
      </c>
      <c r="CA1168">
        <v>1952</v>
      </c>
      <c r="CB1168">
        <v>0</v>
      </c>
      <c r="CC1168">
        <v>70.576000000000008</v>
      </c>
      <c r="CD1168">
        <v>31.324000000000002</v>
      </c>
      <c r="CE1168">
        <v>141</v>
      </c>
      <c r="CF1168">
        <v>810.77500000000009</v>
      </c>
      <c r="CG1168">
        <v>0</v>
      </c>
      <c r="CH1168">
        <v>0</v>
      </c>
      <c r="CI1168">
        <v>10</v>
      </c>
      <c r="CJ1168">
        <v>6</v>
      </c>
      <c r="CK1168">
        <v>0</v>
      </c>
      <c r="CL1168">
        <v>0</v>
      </c>
      <c r="CM1168">
        <v>954.13</v>
      </c>
      <c r="CN1168">
        <v>0</v>
      </c>
      <c r="CO1168">
        <v>0</v>
      </c>
      <c r="CP1168">
        <v>0</v>
      </c>
      <c r="CQ1168">
        <v>0</v>
      </c>
      <c r="CR1168">
        <v>0</v>
      </c>
      <c r="CS1168">
        <v>0</v>
      </c>
      <c r="CT1168">
        <v>0</v>
      </c>
      <c r="CU1168">
        <v>15.036000000000001</v>
      </c>
      <c r="CV1168">
        <v>115.506</v>
      </c>
      <c r="CW1168">
        <v>63.024000000000001</v>
      </c>
      <c r="CX1168">
        <v>2218703</v>
      </c>
      <c r="CY1168" s="2043">
        <v>0</v>
      </c>
      <c r="CZ1168" s="2043">
        <v>0</v>
      </c>
      <c r="DA1168" s="2043">
        <v>0</v>
      </c>
      <c r="DB1168" s="2043">
        <v>0</v>
      </c>
      <c r="DC1168" s="2043">
        <v>340190</v>
      </c>
      <c r="DI1168" t="s">
        <v>3248</v>
      </c>
      <c r="DJ1168" t="s">
        <v>3248</v>
      </c>
      <c r="DK1168" s="2042">
        <f t="shared" si="20"/>
        <v>0</v>
      </c>
    </row>
    <row r="1169" spans="1:115">
      <c r="A1169" t="s">
        <v>5294</v>
      </c>
      <c r="B1169" t="s">
        <v>588</v>
      </c>
      <c r="C1169">
        <v>1974.74</v>
      </c>
      <c r="D1169">
        <v>2213.4279999999999</v>
      </c>
      <c r="E1169">
        <v>194.79300000000001</v>
      </c>
      <c r="F1169">
        <v>0</v>
      </c>
      <c r="G1169" s="2043">
        <v>2934333883</v>
      </c>
      <c r="H1169">
        <v>0</v>
      </c>
      <c r="I1169" s="2043">
        <v>6399650</v>
      </c>
      <c r="J1169">
        <v>81</v>
      </c>
      <c r="K1169">
        <v>221</v>
      </c>
      <c r="L1169">
        <v>0</v>
      </c>
      <c r="M1169">
        <v>0</v>
      </c>
      <c r="N1169">
        <v>0</v>
      </c>
      <c r="O1169">
        <v>0</v>
      </c>
      <c r="P1169">
        <v>0</v>
      </c>
      <c r="Q1169">
        <v>0</v>
      </c>
      <c r="R1169" s="2043">
        <v>25817094</v>
      </c>
      <c r="S1169">
        <v>1463056</v>
      </c>
      <c r="T1169">
        <v>0</v>
      </c>
      <c r="U1169">
        <v>0.05</v>
      </c>
      <c r="V1169">
        <v>0</v>
      </c>
      <c r="W1169">
        <v>9490820</v>
      </c>
      <c r="X1169">
        <v>0</v>
      </c>
      <c r="Y1169">
        <v>4484433</v>
      </c>
      <c r="Z1169">
        <v>0</v>
      </c>
      <c r="AA1169">
        <v>0</v>
      </c>
      <c r="AB1169">
        <v>2101.9690000000001</v>
      </c>
      <c r="AC1169" s="2043">
        <v>2065772799</v>
      </c>
      <c r="AD1169">
        <v>4356455</v>
      </c>
      <c r="AE1169" s="2043">
        <v>27280150</v>
      </c>
      <c r="AF1169">
        <v>0.93230000000000002</v>
      </c>
      <c r="AG1169">
        <v>0</v>
      </c>
      <c r="AH1169">
        <v>9490820</v>
      </c>
      <c r="AI1169">
        <v>0</v>
      </c>
      <c r="AJ1169">
        <v>152.01300000000001</v>
      </c>
      <c r="AK1169">
        <v>9778</v>
      </c>
      <c r="AL1169">
        <v>0</v>
      </c>
      <c r="AM1169">
        <v>0</v>
      </c>
      <c r="AN1169">
        <v>151.143</v>
      </c>
      <c r="AO1169">
        <v>0</v>
      </c>
      <c r="AP1169">
        <v>0</v>
      </c>
      <c r="AQ1169">
        <v>0</v>
      </c>
      <c r="AR1169">
        <v>48.432000000000002</v>
      </c>
      <c r="AS1169">
        <v>0</v>
      </c>
      <c r="AT1169">
        <v>20.037000000000003</v>
      </c>
      <c r="AU1169">
        <v>4.0220000000000002</v>
      </c>
      <c r="AV1169">
        <v>0</v>
      </c>
      <c r="AW1169">
        <v>72.491</v>
      </c>
      <c r="AX1169">
        <v>0</v>
      </c>
      <c r="AY1169">
        <v>225.51700000000002</v>
      </c>
      <c r="AZ1169">
        <v>0</v>
      </c>
      <c r="BA1169">
        <v>5615251</v>
      </c>
      <c r="BB1169">
        <v>31636605</v>
      </c>
      <c r="BC1169">
        <v>0</v>
      </c>
      <c r="BD1169">
        <v>57171</v>
      </c>
      <c r="BE1169">
        <v>13764</v>
      </c>
      <c r="BF1169">
        <v>70935</v>
      </c>
      <c r="BG1169">
        <v>57171</v>
      </c>
      <c r="BH1169">
        <v>0</v>
      </c>
      <c r="BI1169">
        <v>0</v>
      </c>
      <c r="BJ1169">
        <v>0</v>
      </c>
      <c r="BK1169">
        <v>0</v>
      </c>
      <c r="BL1169">
        <v>2934333883</v>
      </c>
      <c r="BM1169">
        <v>0</v>
      </c>
      <c r="BN1169">
        <v>7290</v>
      </c>
      <c r="BO1169">
        <v>2140</v>
      </c>
      <c r="BP1169">
        <v>0</v>
      </c>
      <c r="BQ1169">
        <v>0</v>
      </c>
      <c r="BR1169">
        <v>0.88230000000000008</v>
      </c>
      <c r="BS1169">
        <v>0.88230000000000008</v>
      </c>
      <c r="BT1169">
        <v>4484433</v>
      </c>
      <c r="BU1169">
        <v>0</v>
      </c>
      <c r="BV1169">
        <v>60</v>
      </c>
      <c r="BW1169">
        <v>378</v>
      </c>
      <c r="BX1169">
        <v>9</v>
      </c>
      <c r="BY1169">
        <v>175</v>
      </c>
      <c r="BZ1169">
        <v>2</v>
      </c>
      <c r="CA1169">
        <v>624</v>
      </c>
      <c r="CB1169">
        <v>0</v>
      </c>
      <c r="CC1169">
        <v>0</v>
      </c>
      <c r="CD1169">
        <v>0</v>
      </c>
      <c r="CE1169">
        <v>309</v>
      </c>
      <c r="CF1169">
        <v>271.56400000000002</v>
      </c>
      <c r="CG1169">
        <v>14.256</v>
      </c>
      <c r="CH1169">
        <v>0</v>
      </c>
      <c r="CI1169">
        <v>2</v>
      </c>
      <c r="CJ1169">
        <v>0</v>
      </c>
      <c r="CK1169">
        <v>0</v>
      </c>
      <c r="CL1169">
        <v>14.256</v>
      </c>
      <c r="CM1169">
        <v>194.79300000000001</v>
      </c>
      <c r="CN1169">
        <v>0</v>
      </c>
      <c r="CO1169">
        <v>0</v>
      </c>
      <c r="CP1169">
        <v>0</v>
      </c>
      <c r="CQ1169">
        <v>0</v>
      </c>
      <c r="CR1169">
        <v>0</v>
      </c>
      <c r="CS1169">
        <v>0</v>
      </c>
      <c r="CT1169">
        <v>0</v>
      </c>
      <c r="CU1169">
        <v>29.232000000000003</v>
      </c>
      <c r="CV1169">
        <v>86.945999999999998</v>
      </c>
      <c r="CW1169">
        <v>35.048000000000002</v>
      </c>
      <c r="CX1169">
        <v>4484433</v>
      </c>
      <c r="CY1169" s="2043">
        <v>0</v>
      </c>
      <c r="CZ1169" s="2043">
        <v>0</v>
      </c>
      <c r="DA1169" s="2043">
        <v>0</v>
      </c>
      <c r="DB1169" s="2043">
        <v>0</v>
      </c>
      <c r="DC1169" s="2043">
        <v>388666</v>
      </c>
      <c r="DI1169" t="s">
        <v>5294</v>
      </c>
      <c r="DJ1169" t="s">
        <v>5294</v>
      </c>
      <c r="DK1169" s="2042">
        <f t="shared" si="20"/>
        <v>0</v>
      </c>
    </row>
    <row r="1170" spans="1:115">
      <c r="A1170" t="s">
        <v>5894</v>
      </c>
      <c r="B1170" t="s">
        <v>589</v>
      </c>
      <c r="C1170">
        <v>127.852</v>
      </c>
      <c r="D1170">
        <v>157.94500000000002</v>
      </c>
      <c r="E1170">
        <v>0.90800000000000003</v>
      </c>
      <c r="F1170">
        <v>0</v>
      </c>
      <c r="G1170" s="2043">
        <v>129135713</v>
      </c>
      <c r="H1170">
        <v>0</v>
      </c>
      <c r="I1170" s="2043">
        <v>748725</v>
      </c>
      <c r="J1170">
        <v>1</v>
      </c>
      <c r="K1170">
        <v>3</v>
      </c>
      <c r="L1170">
        <v>0</v>
      </c>
      <c r="M1170">
        <v>0</v>
      </c>
      <c r="N1170">
        <v>0</v>
      </c>
      <c r="O1170">
        <v>0</v>
      </c>
      <c r="P1170">
        <v>0</v>
      </c>
      <c r="Q1170">
        <v>0</v>
      </c>
      <c r="R1170" s="2043">
        <v>1151998</v>
      </c>
      <c r="S1170">
        <v>63061</v>
      </c>
      <c r="T1170">
        <v>0</v>
      </c>
      <c r="U1170">
        <v>0.05</v>
      </c>
      <c r="V1170">
        <v>0</v>
      </c>
      <c r="W1170">
        <v>0</v>
      </c>
      <c r="X1170">
        <v>0</v>
      </c>
      <c r="Y1170">
        <v>0</v>
      </c>
      <c r="Z1170">
        <v>0</v>
      </c>
      <c r="AA1170">
        <v>0</v>
      </c>
      <c r="AB1170">
        <v>148.547</v>
      </c>
      <c r="AC1170" s="2043">
        <v>117793889</v>
      </c>
      <c r="AD1170">
        <v>693656</v>
      </c>
      <c r="AE1170" s="2043">
        <v>1215059</v>
      </c>
      <c r="AF1170">
        <v>0.96340000000000003</v>
      </c>
      <c r="AG1170">
        <v>0</v>
      </c>
      <c r="AH1170">
        <v>0</v>
      </c>
      <c r="AI1170">
        <v>0</v>
      </c>
      <c r="AJ1170">
        <v>21.663</v>
      </c>
      <c r="AK1170">
        <v>905</v>
      </c>
      <c r="AL1170">
        <v>0</v>
      </c>
      <c r="AM1170">
        <v>0</v>
      </c>
      <c r="AN1170">
        <v>4.9550000000000001</v>
      </c>
      <c r="AO1170">
        <v>0</v>
      </c>
      <c r="AP1170">
        <v>0</v>
      </c>
      <c r="AQ1170">
        <v>0</v>
      </c>
      <c r="AR1170">
        <v>6.2120000000000006</v>
      </c>
      <c r="AS1170">
        <v>0</v>
      </c>
      <c r="AT1170">
        <v>0.129</v>
      </c>
      <c r="AU1170">
        <v>8.7000000000000008E-2</v>
      </c>
      <c r="AV1170">
        <v>0</v>
      </c>
      <c r="AW1170">
        <v>6.4279999999999999</v>
      </c>
      <c r="AX1170">
        <v>0</v>
      </c>
      <c r="AY1170">
        <v>19.458000000000002</v>
      </c>
      <c r="AZ1170">
        <v>0</v>
      </c>
      <c r="BA1170">
        <v>778255</v>
      </c>
      <c r="BB1170">
        <v>1908715</v>
      </c>
      <c r="BC1170">
        <v>0</v>
      </c>
      <c r="BD1170">
        <v>14544</v>
      </c>
      <c r="BE1170">
        <v>0</v>
      </c>
      <c r="BF1170">
        <v>14544</v>
      </c>
      <c r="BG1170">
        <v>14544</v>
      </c>
      <c r="BH1170">
        <v>0</v>
      </c>
      <c r="BI1170">
        <v>0</v>
      </c>
      <c r="BJ1170">
        <v>0</v>
      </c>
      <c r="BK1170">
        <v>0</v>
      </c>
      <c r="BL1170">
        <v>129135713</v>
      </c>
      <c r="BM1170">
        <v>0</v>
      </c>
      <c r="BN1170">
        <v>675</v>
      </c>
      <c r="BO1170">
        <v>417</v>
      </c>
      <c r="BP1170">
        <v>0</v>
      </c>
      <c r="BQ1170">
        <v>0</v>
      </c>
      <c r="BR1170">
        <v>0.91339999999999999</v>
      </c>
      <c r="BS1170">
        <v>0.91339999999999999</v>
      </c>
      <c r="BT1170">
        <v>0</v>
      </c>
      <c r="BU1170">
        <v>0</v>
      </c>
      <c r="BV1170">
        <v>0</v>
      </c>
      <c r="BW1170">
        <v>89</v>
      </c>
      <c r="BX1170">
        <v>0</v>
      </c>
      <c r="BY1170">
        <v>2</v>
      </c>
      <c r="BZ1170">
        <v>0</v>
      </c>
      <c r="CA1170">
        <v>91</v>
      </c>
      <c r="CB1170">
        <v>0</v>
      </c>
      <c r="CC1170">
        <v>1.0050000000000001</v>
      </c>
      <c r="CD1170">
        <v>0</v>
      </c>
      <c r="CE1170">
        <v>4</v>
      </c>
      <c r="CF1170">
        <v>27.581000000000003</v>
      </c>
      <c r="CG1170">
        <v>0</v>
      </c>
      <c r="CH1170">
        <v>0</v>
      </c>
      <c r="CI1170">
        <v>0</v>
      </c>
      <c r="CJ1170">
        <v>0</v>
      </c>
      <c r="CK1170">
        <v>0</v>
      </c>
      <c r="CL1170">
        <v>0</v>
      </c>
      <c r="CM1170">
        <v>0.90800000000000003</v>
      </c>
      <c r="CN1170">
        <v>0</v>
      </c>
      <c r="CO1170">
        <v>0</v>
      </c>
      <c r="CP1170">
        <v>0</v>
      </c>
      <c r="CQ1170">
        <v>0</v>
      </c>
      <c r="CR1170">
        <v>0</v>
      </c>
      <c r="CS1170">
        <v>0</v>
      </c>
      <c r="CT1170">
        <v>0</v>
      </c>
      <c r="CU1170">
        <v>3.1380000000000003</v>
      </c>
      <c r="CV1170">
        <v>9.1120000000000001</v>
      </c>
      <c r="CW1170">
        <v>1.99</v>
      </c>
      <c r="CX1170">
        <v>0</v>
      </c>
      <c r="CY1170" s="2043">
        <v>0</v>
      </c>
      <c r="CZ1170" s="2043">
        <v>0</v>
      </c>
      <c r="DA1170" s="2043">
        <v>0</v>
      </c>
      <c r="DB1170" s="2043">
        <v>0</v>
      </c>
      <c r="DC1170" s="2043">
        <v>0</v>
      </c>
      <c r="DI1170" t="s">
        <v>5894</v>
      </c>
      <c r="DJ1170" t="s">
        <v>5894</v>
      </c>
      <c r="DK1170" s="2042">
        <f t="shared" si="20"/>
        <v>0</v>
      </c>
    </row>
    <row r="1171" spans="1:115">
      <c r="A1171" t="s">
        <v>5295</v>
      </c>
      <c r="B1171" t="s">
        <v>2214</v>
      </c>
      <c r="C1171">
        <v>4464.2629999999999</v>
      </c>
      <c r="D1171">
        <v>4774.1900000000005</v>
      </c>
      <c r="E1171">
        <v>555.22699999999998</v>
      </c>
      <c r="F1171">
        <v>0</v>
      </c>
      <c r="G1171" s="2043">
        <v>3458004067</v>
      </c>
      <c r="H1171">
        <v>0</v>
      </c>
      <c r="I1171" s="2043">
        <v>2144156</v>
      </c>
      <c r="J1171">
        <v>223.21300000000002</v>
      </c>
      <c r="K1171">
        <v>610</v>
      </c>
      <c r="L1171">
        <v>0</v>
      </c>
      <c r="M1171">
        <v>0</v>
      </c>
      <c r="N1171">
        <v>0</v>
      </c>
      <c r="O1171">
        <v>0</v>
      </c>
      <c r="P1171">
        <v>0</v>
      </c>
      <c r="Q1171">
        <v>0</v>
      </c>
      <c r="R1171" s="2043">
        <v>29494623</v>
      </c>
      <c r="S1171">
        <v>1718000</v>
      </c>
      <c r="T1171">
        <v>0</v>
      </c>
      <c r="U1171">
        <v>0.05</v>
      </c>
      <c r="V1171">
        <v>0</v>
      </c>
      <c r="W1171">
        <v>0</v>
      </c>
      <c r="X1171">
        <v>0</v>
      </c>
      <c r="Y1171">
        <v>0</v>
      </c>
      <c r="Z1171">
        <v>10.427000000000001</v>
      </c>
      <c r="AA1171">
        <v>0.308</v>
      </c>
      <c r="AB1171">
        <v>4523.5340000000006</v>
      </c>
      <c r="AC1171" s="2043">
        <v>2903916476</v>
      </c>
      <c r="AD1171">
        <v>2746710</v>
      </c>
      <c r="AE1171" s="2043">
        <v>31212623</v>
      </c>
      <c r="AF1171">
        <v>0.9084000000000001</v>
      </c>
      <c r="AG1171">
        <v>0</v>
      </c>
      <c r="AH1171">
        <v>0</v>
      </c>
      <c r="AI1171">
        <v>0</v>
      </c>
      <c r="AJ1171">
        <v>618.02499999999998</v>
      </c>
      <c r="AK1171">
        <v>19225</v>
      </c>
      <c r="AL1171">
        <v>0.316</v>
      </c>
      <c r="AM1171">
        <v>0.317</v>
      </c>
      <c r="AN1171">
        <v>359.04900000000004</v>
      </c>
      <c r="AO1171">
        <v>3.7</v>
      </c>
      <c r="AP1171">
        <v>0</v>
      </c>
      <c r="AQ1171">
        <v>6.6640000000000006</v>
      </c>
      <c r="AR1171">
        <v>71.775000000000006</v>
      </c>
      <c r="AS1171">
        <v>0</v>
      </c>
      <c r="AT1171">
        <v>31.017000000000003</v>
      </c>
      <c r="AU1171">
        <v>8.843</v>
      </c>
      <c r="AV1171">
        <v>5.0000000000000001E-3</v>
      </c>
      <c r="AW1171">
        <v>128.55500000000001</v>
      </c>
      <c r="AX1171">
        <v>9.6180000000000003</v>
      </c>
      <c r="AY1171">
        <v>377.24299999999999</v>
      </c>
      <c r="AZ1171">
        <v>0</v>
      </c>
      <c r="BA1171">
        <v>11691425</v>
      </c>
      <c r="BB1171">
        <v>33959333</v>
      </c>
      <c r="BC1171">
        <v>0</v>
      </c>
      <c r="BD1171">
        <v>309342</v>
      </c>
      <c r="BE1171">
        <v>172481</v>
      </c>
      <c r="BF1171">
        <v>494953</v>
      </c>
      <c r="BG1171">
        <v>309342</v>
      </c>
      <c r="BH1171">
        <v>13130</v>
      </c>
      <c r="BI1171">
        <v>0</v>
      </c>
      <c r="BJ1171">
        <v>0</v>
      </c>
      <c r="BK1171">
        <v>0</v>
      </c>
      <c r="BL1171">
        <v>3458004067</v>
      </c>
      <c r="BM1171">
        <v>0</v>
      </c>
      <c r="BN1171">
        <v>19071</v>
      </c>
      <c r="BO1171">
        <v>8517</v>
      </c>
      <c r="BP1171">
        <v>0</v>
      </c>
      <c r="BQ1171">
        <v>0</v>
      </c>
      <c r="BR1171">
        <v>0.85840000000000005</v>
      </c>
      <c r="BS1171">
        <v>0.85840000000000005</v>
      </c>
      <c r="BT1171">
        <v>0</v>
      </c>
      <c r="BU1171">
        <v>0</v>
      </c>
      <c r="BV1171">
        <v>1211</v>
      </c>
      <c r="BW1171">
        <v>654</v>
      </c>
      <c r="BX1171">
        <v>283</v>
      </c>
      <c r="BY1171">
        <v>166</v>
      </c>
      <c r="BZ1171">
        <v>276</v>
      </c>
      <c r="CA1171">
        <v>2590</v>
      </c>
      <c r="CB1171">
        <v>0</v>
      </c>
      <c r="CC1171">
        <v>0</v>
      </c>
      <c r="CD1171">
        <v>0</v>
      </c>
      <c r="CE1171">
        <v>383</v>
      </c>
      <c r="CF1171">
        <v>977.375</v>
      </c>
      <c r="CG1171">
        <v>0</v>
      </c>
      <c r="CH1171">
        <v>9.19</v>
      </c>
      <c r="CI1171">
        <v>9</v>
      </c>
      <c r="CJ1171">
        <v>53</v>
      </c>
      <c r="CK1171">
        <v>1</v>
      </c>
      <c r="CL1171">
        <v>9.19</v>
      </c>
      <c r="CM1171">
        <v>555.22699999999998</v>
      </c>
      <c r="CN1171">
        <v>0</v>
      </c>
      <c r="CO1171">
        <v>0</v>
      </c>
      <c r="CP1171">
        <v>0</v>
      </c>
      <c r="CQ1171">
        <v>0</v>
      </c>
      <c r="CR1171">
        <v>0</v>
      </c>
      <c r="CS1171">
        <v>0</v>
      </c>
      <c r="CT1171">
        <v>0</v>
      </c>
      <c r="CU1171">
        <v>9.4480000000000004</v>
      </c>
      <c r="CV1171">
        <v>358.34200000000004</v>
      </c>
      <c r="CW1171">
        <v>218.18100000000001</v>
      </c>
      <c r="CX1171">
        <v>0</v>
      </c>
      <c r="CY1171" s="2043">
        <v>0</v>
      </c>
      <c r="CZ1171" s="2043">
        <v>0</v>
      </c>
      <c r="DA1171" s="2043">
        <v>0</v>
      </c>
      <c r="DB1171" s="2043">
        <v>0</v>
      </c>
      <c r="DC1171" s="2043">
        <v>455450</v>
      </c>
      <c r="DI1171" t="s">
        <v>5295</v>
      </c>
      <c r="DJ1171" t="s">
        <v>5295</v>
      </c>
      <c r="DK1171" s="2042">
        <f t="shared" si="20"/>
        <v>0</v>
      </c>
    </row>
    <row r="1172" spans="1:115">
      <c r="A1172" t="s">
        <v>5296</v>
      </c>
      <c r="B1172" t="s">
        <v>2215</v>
      </c>
      <c r="C1172">
        <v>461.57800000000003</v>
      </c>
      <c r="D1172">
        <v>452.05700000000002</v>
      </c>
      <c r="E1172">
        <v>22.776</v>
      </c>
      <c r="F1172">
        <v>0</v>
      </c>
      <c r="G1172" s="2043">
        <v>774267392</v>
      </c>
      <c r="H1172">
        <v>0</v>
      </c>
      <c r="I1172" s="2043">
        <v>468164</v>
      </c>
      <c r="J1172">
        <v>23.079000000000001</v>
      </c>
      <c r="K1172">
        <v>63</v>
      </c>
      <c r="L1172">
        <v>0</v>
      </c>
      <c r="M1172">
        <v>0</v>
      </c>
      <c r="N1172">
        <v>0</v>
      </c>
      <c r="O1172">
        <v>0</v>
      </c>
      <c r="P1172">
        <v>0</v>
      </c>
      <c r="Q1172">
        <v>0</v>
      </c>
      <c r="R1172" s="2043">
        <v>7293147</v>
      </c>
      <c r="S1172">
        <v>427350</v>
      </c>
      <c r="T1172">
        <v>0</v>
      </c>
      <c r="U1172">
        <v>0.05</v>
      </c>
      <c r="V1172">
        <v>0</v>
      </c>
      <c r="W1172">
        <v>1471851</v>
      </c>
      <c r="X1172">
        <v>0</v>
      </c>
      <c r="Y1172">
        <v>0</v>
      </c>
      <c r="Z1172">
        <v>0</v>
      </c>
      <c r="AA1172">
        <v>0</v>
      </c>
      <c r="AB1172">
        <v>434.63500000000005</v>
      </c>
      <c r="AC1172" s="2043">
        <v>455609912</v>
      </c>
      <c r="AD1172">
        <v>640747</v>
      </c>
      <c r="AE1172" s="2043">
        <v>7720497</v>
      </c>
      <c r="AF1172">
        <v>0.90329999999999999</v>
      </c>
      <c r="AG1172">
        <v>0</v>
      </c>
      <c r="AH1172">
        <v>1471851</v>
      </c>
      <c r="AI1172">
        <v>0</v>
      </c>
      <c r="AJ1172">
        <v>60.063000000000002</v>
      </c>
      <c r="AK1172">
        <v>1679</v>
      </c>
      <c r="AL1172">
        <v>0</v>
      </c>
      <c r="AM1172">
        <v>0</v>
      </c>
      <c r="AN1172">
        <v>21.684000000000001</v>
      </c>
      <c r="AO1172">
        <v>0</v>
      </c>
      <c r="AP1172">
        <v>0</v>
      </c>
      <c r="AQ1172">
        <v>0</v>
      </c>
      <c r="AR1172">
        <v>6.5310000000000006</v>
      </c>
      <c r="AS1172">
        <v>0</v>
      </c>
      <c r="AT1172">
        <v>0.17500000000000002</v>
      </c>
      <c r="AU1172">
        <v>0.97200000000000009</v>
      </c>
      <c r="AV1172">
        <v>0</v>
      </c>
      <c r="AW1172">
        <v>7.6779999999999999</v>
      </c>
      <c r="AX1172">
        <v>0</v>
      </c>
      <c r="AY1172">
        <v>24.978000000000002</v>
      </c>
      <c r="AZ1172">
        <v>0</v>
      </c>
      <c r="BA1172">
        <v>275251</v>
      </c>
      <c r="BB1172">
        <v>8361244</v>
      </c>
      <c r="BC1172">
        <v>0</v>
      </c>
      <c r="BD1172">
        <v>60385</v>
      </c>
      <c r="BE1172">
        <v>0</v>
      </c>
      <c r="BF1172">
        <v>60385</v>
      </c>
      <c r="BG1172">
        <v>60385</v>
      </c>
      <c r="BH1172">
        <v>0</v>
      </c>
      <c r="BI1172">
        <v>0</v>
      </c>
      <c r="BJ1172">
        <v>0</v>
      </c>
      <c r="BK1172">
        <v>0</v>
      </c>
      <c r="BL1172">
        <v>774267392</v>
      </c>
      <c r="BM1172">
        <v>0</v>
      </c>
      <c r="BN1172">
        <v>1521</v>
      </c>
      <c r="BO1172">
        <v>1370</v>
      </c>
      <c r="BP1172">
        <v>0</v>
      </c>
      <c r="BQ1172">
        <v>0</v>
      </c>
      <c r="BR1172">
        <v>0.85330000000000006</v>
      </c>
      <c r="BS1172">
        <v>0.85330000000000006</v>
      </c>
      <c r="BT1172">
        <v>0</v>
      </c>
      <c r="BU1172">
        <v>0</v>
      </c>
      <c r="BV1172">
        <v>74</v>
      </c>
      <c r="BW1172">
        <v>51</v>
      </c>
      <c r="BX1172">
        <v>122</v>
      </c>
      <c r="BY1172">
        <v>2</v>
      </c>
      <c r="BZ1172">
        <v>1</v>
      </c>
      <c r="CA1172">
        <v>250</v>
      </c>
      <c r="CB1172">
        <v>0</v>
      </c>
      <c r="CC1172">
        <v>0</v>
      </c>
      <c r="CD1172">
        <v>0</v>
      </c>
      <c r="CE1172">
        <v>24</v>
      </c>
      <c r="CF1172">
        <v>81.257000000000005</v>
      </c>
      <c r="CG1172">
        <v>0</v>
      </c>
      <c r="CH1172">
        <v>0</v>
      </c>
      <c r="CI1172">
        <v>2</v>
      </c>
      <c r="CJ1172">
        <v>2</v>
      </c>
      <c r="CK1172">
        <v>0</v>
      </c>
      <c r="CL1172">
        <v>0</v>
      </c>
      <c r="CM1172">
        <v>22.776</v>
      </c>
      <c r="CN1172">
        <v>0</v>
      </c>
      <c r="CO1172">
        <v>0</v>
      </c>
      <c r="CP1172">
        <v>0</v>
      </c>
      <c r="CQ1172">
        <v>0</v>
      </c>
      <c r="CR1172">
        <v>0</v>
      </c>
      <c r="CS1172">
        <v>0</v>
      </c>
      <c r="CT1172">
        <v>0</v>
      </c>
      <c r="CU1172">
        <v>18.899000000000001</v>
      </c>
      <c r="CV1172">
        <v>15.732000000000001</v>
      </c>
      <c r="CW1172">
        <v>32.253</v>
      </c>
      <c r="CX1172">
        <v>0</v>
      </c>
      <c r="CY1172" s="2043">
        <v>0</v>
      </c>
      <c r="CZ1172" s="2043">
        <v>0</v>
      </c>
      <c r="DA1172" s="2043">
        <v>0</v>
      </c>
      <c r="DB1172" s="2043">
        <v>0</v>
      </c>
      <c r="DC1172" s="2043">
        <v>100800</v>
      </c>
      <c r="DI1172" t="s">
        <v>5296</v>
      </c>
      <c r="DJ1172" t="s">
        <v>5296</v>
      </c>
      <c r="DK1172" s="2042">
        <f t="shared" si="20"/>
        <v>0</v>
      </c>
    </row>
    <row r="1173" spans="1:115">
      <c r="A1173" t="s">
        <v>8112</v>
      </c>
      <c r="B1173" t="s">
        <v>11442</v>
      </c>
      <c r="C1173">
        <v>78.77300000000001</v>
      </c>
      <c r="D1173">
        <v>98.72</v>
      </c>
      <c r="E1173">
        <v>0</v>
      </c>
      <c r="F1173">
        <v>0</v>
      </c>
      <c r="G1173" s="2043">
        <v>0</v>
      </c>
      <c r="H1173">
        <v>0</v>
      </c>
      <c r="I1173" s="2043">
        <v>0</v>
      </c>
      <c r="J1173">
        <v>0</v>
      </c>
      <c r="K1173">
        <v>0</v>
      </c>
      <c r="L1173">
        <v>0</v>
      </c>
      <c r="M1173">
        <v>0</v>
      </c>
      <c r="N1173">
        <v>0</v>
      </c>
      <c r="O1173">
        <v>0</v>
      </c>
      <c r="P1173">
        <v>0</v>
      </c>
      <c r="Q1173">
        <v>0</v>
      </c>
      <c r="R1173" s="2043">
        <v>0</v>
      </c>
      <c r="S1173">
        <v>0</v>
      </c>
      <c r="T1173">
        <v>0</v>
      </c>
      <c r="U1173">
        <v>0</v>
      </c>
      <c r="V1173">
        <v>0</v>
      </c>
      <c r="W1173">
        <v>0</v>
      </c>
      <c r="X1173">
        <v>0</v>
      </c>
      <c r="Y1173">
        <v>0</v>
      </c>
      <c r="Z1173">
        <v>0</v>
      </c>
      <c r="AA1173">
        <v>0</v>
      </c>
      <c r="AB1173">
        <v>98.72</v>
      </c>
      <c r="AC1173" s="2043">
        <v>0</v>
      </c>
      <c r="AD1173">
        <v>0</v>
      </c>
      <c r="AE1173" s="2043">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0</v>
      </c>
      <c r="AY1173">
        <v>0</v>
      </c>
      <c r="AZ1173">
        <v>0</v>
      </c>
      <c r="BA1173">
        <v>781249</v>
      </c>
      <c r="BB1173">
        <v>0</v>
      </c>
      <c r="BC1173">
        <v>0</v>
      </c>
      <c r="BD1173">
        <v>0</v>
      </c>
      <c r="BE1173">
        <v>0</v>
      </c>
      <c r="BF1173">
        <v>0</v>
      </c>
      <c r="BG1173">
        <v>0</v>
      </c>
      <c r="BH1173">
        <v>0</v>
      </c>
      <c r="BI1173">
        <v>0</v>
      </c>
      <c r="BJ1173">
        <v>0</v>
      </c>
      <c r="BK1173">
        <v>0</v>
      </c>
      <c r="BL1173">
        <v>0</v>
      </c>
      <c r="BM1173">
        <v>0</v>
      </c>
      <c r="BN1173">
        <v>0</v>
      </c>
      <c r="BO1173">
        <v>0</v>
      </c>
      <c r="BP1173">
        <v>0</v>
      </c>
      <c r="BQ1173">
        <v>0</v>
      </c>
      <c r="BR1173">
        <v>0</v>
      </c>
      <c r="BS1173">
        <v>0</v>
      </c>
      <c r="BT1173">
        <v>0</v>
      </c>
      <c r="BU1173">
        <v>0</v>
      </c>
      <c r="BV1173">
        <v>0</v>
      </c>
      <c r="BW1173">
        <v>0</v>
      </c>
      <c r="BX1173">
        <v>0</v>
      </c>
      <c r="BY1173">
        <v>0</v>
      </c>
      <c r="BZ1173">
        <v>0</v>
      </c>
      <c r="CA1173">
        <v>0</v>
      </c>
      <c r="CB1173">
        <v>0</v>
      </c>
      <c r="CC1173">
        <v>0</v>
      </c>
      <c r="CD1173">
        <v>0</v>
      </c>
      <c r="CE1173">
        <v>0</v>
      </c>
      <c r="CF1173">
        <v>0</v>
      </c>
      <c r="CG1173">
        <v>0</v>
      </c>
      <c r="CH1173">
        <v>0</v>
      </c>
      <c r="CI1173">
        <v>0</v>
      </c>
      <c r="CJ1173">
        <v>0</v>
      </c>
      <c r="CK1173">
        <v>0</v>
      </c>
      <c r="CL1173">
        <v>0</v>
      </c>
      <c r="CM1173">
        <v>0</v>
      </c>
      <c r="CN1173">
        <v>0</v>
      </c>
      <c r="CO1173">
        <v>0</v>
      </c>
      <c r="CP1173">
        <v>0</v>
      </c>
      <c r="CQ1173">
        <v>0</v>
      </c>
      <c r="CR1173">
        <v>0</v>
      </c>
      <c r="CS1173">
        <v>0</v>
      </c>
      <c r="CT1173">
        <v>0</v>
      </c>
      <c r="CU1173">
        <v>0</v>
      </c>
      <c r="CV1173">
        <v>0</v>
      </c>
      <c r="CW1173">
        <v>0</v>
      </c>
      <c r="CX1173">
        <v>0</v>
      </c>
      <c r="CY1173" s="2043">
        <v>0</v>
      </c>
      <c r="CZ1173" s="2043">
        <v>0</v>
      </c>
      <c r="DA1173" s="2043">
        <v>0</v>
      </c>
      <c r="DB1173" s="2043">
        <v>0</v>
      </c>
      <c r="DC1173" s="2043">
        <v>0</v>
      </c>
      <c r="DI1173" t="s">
        <v>8112</v>
      </c>
      <c r="DJ1173" t="s">
        <v>8112</v>
      </c>
      <c r="DK1173" s="2042">
        <f t="shared" si="20"/>
        <v>0</v>
      </c>
    </row>
    <row r="1174" spans="1:115">
      <c r="A1174" t="s">
        <v>8114</v>
      </c>
      <c r="B1174" t="s">
        <v>11443</v>
      </c>
      <c r="C1174">
        <v>154.42700000000002</v>
      </c>
      <c r="D1174">
        <v>202.024</v>
      </c>
      <c r="E1174">
        <v>93.236000000000004</v>
      </c>
      <c r="F1174">
        <v>0</v>
      </c>
      <c r="G1174" s="2043">
        <v>0</v>
      </c>
      <c r="H1174">
        <v>0</v>
      </c>
      <c r="I1174" s="2043">
        <v>0</v>
      </c>
      <c r="J1174">
        <v>0</v>
      </c>
      <c r="K1174">
        <v>0</v>
      </c>
      <c r="L1174">
        <v>0</v>
      </c>
      <c r="M1174">
        <v>0</v>
      </c>
      <c r="N1174">
        <v>0</v>
      </c>
      <c r="O1174">
        <v>0</v>
      </c>
      <c r="P1174">
        <v>0</v>
      </c>
      <c r="Q1174">
        <v>0</v>
      </c>
      <c r="R1174" s="2043">
        <v>0</v>
      </c>
      <c r="S1174">
        <v>0</v>
      </c>
      <c r="T1174">
        <v>0</v>
      </c>
      <c r="U1174">
        <v>0</v>
      </c>
      <c r="V1174">
        <v>0</v>
      </c>
      <c r="W1174">
        <v>0</v>
      </c>
      <c r="X1174">
        <v>0</v>
      </c>
      <c r="Y1174">
        <v>27300</v>
      </c>
      <c r="Z1174">
        <v>0</v>
      </c>
      <c r="AA1174">
        <v>0.26500000000000001</v>
      </c>
      <c r="AB1174">
        <v>197.61600000000001</v>
      </c>
      <c r="AC1174" s="2043">
        <v>0</v>
      </c>
      <c r="AD1174">
        <v>0</v>
      </c>
      <c r="AE1174" s="2043">
        <v>0</v>
      </c>
      <c r="AF1174">
        <v>0</v>
      </c>
      <c r="AG1174">
        <v>0</v>
      </c>
      <c r="AH1174">
        <v>0</v>
      </c>
      <c r="AI1174">
        <v>0</v>
      </c>
      <c r="AJ1174">
        <v>46.263000000000005</v>
      </c>
      <c r="AK1174">
        <v>495</v>
      </c>
      <c r="AL1174">
        <v>9.8000000000000004E-2</v>
      </c>
      <c r="AM1174">
        <v>0</v>
      </c>
      <c r="AN1174">
        <v>18.518000000000001</v>
      </c>
      <c r="AO1174">
        <v>0</v>
      </c>
      <c r="AP1174">
        <v>0</v>
      </c>
      <c r="AQ1174">
        <v>0</v>
      </c>
      <c r="AR1174">
        <v>0</v>
      </c>
      <c r="AS1174">
        <v>0</v>
      </c>
      <c r="AT1174">
        <v>0</v>
      </c>
      <c r="AU1174">
        <v>1.4E-2</v>
      </c>
      <c r="AV1174">
        <v>0</v>
      </c>
      <c r="AW1174">
        <v>0.112</v>
      </c>
      <c r="AX1174">
        <v>0</v>
      </c>
      <c r="AY1174">
        <v>0.56000000000000005</v>
      </c>
      <c r="AZ1174">
        <v>0</v>
      </c>
      <c r="BA1174">
        <v>1892250</v>
      </c>
      <c r="BB1174">
        <v>0</v>
      </c>
      <c r="BC1174">
        <v>0</v>
      </c>
      <c r="BD1174">
        <v>0</v>
      </c>
      <c r="BE1174">
        <v>0</v>
      </c>
      <c r="BF1174">
        <v>0</v>
      </c>
      <c r="BG1174">
        <v>0</v>
      </c>
      <c r="BH1174">
        <v>0</v>
      </c>
      <c r="BI1174">
        <v>0</v>
      </c>
      <c r="BJ1174">
        <v>0</v>
      </c>
      <c r="BK1174">
        <v>0</v>
      </c>
      <c r="BL1174">
        <v>0</v>
      </c>
      <c r="BM1174">
        <v>0</v>
      </c>
      <c r="BN1174">
        <v>1665</v>
      </c>
      <c r="BO1174">
        <v>161</v>
      </c>
      <c r="BP1174">
        <v>0</v>
      </c>
      <c r="BQ1174">
        <v>0</v>
      </c>
      <c r="BR1174">
        <v>0</v>
      </c>
      <c r="BS1174">
        <v>0</v>
      </c>
      <c r="BT1174">
        <v>0</v>
      </c>
      <c r="BU1174">
        <v>0</v>
      </c>
      <c r="BV1174">
        <v>10</v>
      </c>
      <c r="BW1174">
        <v>17</v>
      </c>
      <c r="BX1174">
        <v>27</v>
      </c>
      <c r="BY1174">
        <v>48</v>
      </c>
      <c r="BZ1174">
        <v>75</v>
      </c>
      <c r="CA1174">
        <v>177</v>
      </c>
      <c r="CB1174">
        <v>0</v>
      </c>
      <c r="CC1174">
        <v>0</v>
      </c>
      <c r="CD1174">
        <v>0</v>
      </c>
      <c r="CE1174">
        <v>0</v>
      </c>
      <c r="CF1174">
        <v>0</v>
      </c>
      <c r="CG1174">
        <v>154.42700000000002</v>
      </c>
      <c r="CH1174">
        <v>0</v>
      </c>
      <c r="CI1174">
        <v>0</v>
      </c>
      <c r="CJ1174">
        <v>0</v>
      </c>
      <c r="CK1174">
        <v>0</v>
      </c>
      <c r="CL1174">
        <v>154.42700000000002</v>
      </c>
      <c r="CM1174">
        <v>93.236000000000004</v>
      </c>
      <c r="CN1174">
        <v>0</v>
      </c>
      <c r="CO1174">
        <v>0</v>
      </c>
      <c r="CP1174">
        <v>0</v>
      </c>
      <c r="CQ1174">
        <v>0</v>
      </c>
      <c r="CR1174">
        <v>0</v>
      </c>
      <c r="CS1174">
        <v>0</v>
      </c>
      <c r="CT1174">
        <v>0</v>
      </c>
      <c r="CU1174">
        <v>0</v>
      </c>
      <c r="CV1174">
        <v>8.511000000000001</v>
      </c>
      <c r="CW1174">
        <v>8.2000000000000003E-2</v>
      </c>
      <c r="CX1174">
        <v>0</v>
      </c>
      <c r="CY1174" s="2043">
        <v>0</v>
      </c>
      <c r="CZ1174" s="2043">
        <v>0</v>
      </c>
      <c r="DA1174" s="2043">
        <v>0</v>
      </c>
      <c r="DB1174" s="2043">
        <v>0</v>
      </c>
      <c r="DC1174" s="2043">
        <v>0</v>
      </c>
      <c r="DI1174" t="s">
        <v>8114</v>
      </c>
      <c r="DJ1174" t="s">
        <v>8114</v>
      </c>
      <c r="DK1174" s="2042">
        <f t="shared" si="20"/>
        <v>0</v>
      </c>
    </row>
    <row r="1175" spans="1:115">
      <c r="A1175" t="s">
        <v>3249</v>
      </c>
      <c r="B1175" t="s">
        <v>1671</v>
      </c>
      <c r="C1175">
        <v>18018.255000000001</v>
      </c>
      <c r="D1175">
        <v>21334.085999999999</v>
      </c>
      <c r="E1175">
        <v>9825.1419999999998</v>
      </c>
      <c r="F1175">
        <v>0</v>
      </c>
      <c r="G1175" s="2043">
        <v>2567446805</v>
      </c>
      <c r="H1175">
        <v>0</v>
      </c>
      <c r="I1175" s="2043">
        <v>33393450</v>
      </c>
      <c r="J1175">
        <v>900.91300000000001</v>
      </c>
      <c r="K1175">
        <v>2463</v>
      </c>
      <c r="L1175">
        <v>10184774</v>
      </c>
      <c r="M1175">
        <v>6993700</v>
      </c>
      <c r="N1175">
        <v>10184774</v>
      </c>
      <c r="O1175">
        <v>17178474</v>
      </c>
      <c r="P1175">
        <v>0</v>
      </c>
      <c r="Q1175">
        <v>0</v>
      </c>
      <c r="R1175" s="2043">
        <v>21372254</v>
      </c>
      <c r="S1175">
        <v>2002788</v>
      </c>
      <c r="T1175">
        <v>225314</v>
      </c>
      <c r="U1175">
        <v>0.08</v>
      </c>
      <c r="V1175">
        <v>0</v>
      </c>
      <c r="W1175">
        <v>0</v>
      </c>
      <c r="X1175">
        <v>0</v>
      </c>
      <c r="Y1175">
        <v>-1723</v>
      </c>
      <c r="Z1175">
        <v>0</v>
      </c>
      <c r="AA1175">
        <v>3.379</v>
      </c>
      <c r="AB1175">
        <v>20347.017</v>
      </c>
      <c r="AC1175" s="2043">
        <v>2531432993</v>
      </c>
      <c r="AD1175">
        <v>11130453</v>
      </c>
      <c r="AE1175" s="2043">
        <v>23600356</v>
      </c>
      <c r="AF1175">
        <v>0.94270000000000009</v>
      </c>
      <c r="AG1175">
        <v>0</v>
      </c>
      <c r="AH1175">
        <v>0</v>
      </c>
      <c r="AI1175">
        <v>0</v>
      </c>
      <c r="AJ1175">
        <v>5102.6630000000005</v>
      </c>
      <c r="AK1175">
        <v>53491</v>
      </c>
      <c r="AL1175">
        <v>7.2910000000000004</v>
      </c>
      <c r="AM1175">
        <v>0</v>
      </c>
      <c r="AN1175">
        <v>278.28700000000003</v>
      </c>
      <c r="AO1175">
        <v>0</v>
      </c>
      <c r="AP1175">
        <v>0</v>
      </c>
      <c r="AQ1175">
        <v>0</v>
      </c>
      <c r="AR1175">
        <v>410.976</v>
      </c>
      <c r="AS1175">
        <v>0</v>
      </c>
      <c r="AT1175">
        <v>245.10500000000002</v>
      </c>
      <c r="AU1175">
        <v>7.4330000000000007</v>
      </c>
      <c r="AV1175">
        <v>0</v>
      </c>
      <c r="AW1175">
        <v>670.80500000000006</v>
      </c>
      <c r="AX1175">
        <v>0</v>
      </c>
      <c r="AY1175">
        <v>2041.8630000000001</v>
      </c>
      <c r="AZ1175">
        <v>0</v>
      </c>
      <c r="BA1175">
        <v>186019224</v>
      </c>
      <c r="BB1175">
        <v>34730809</v>
      </c>
      <c r="BC1175">
        <v>0</v>
      </c>
      <c r="BD1175">
        <v>96956</v>
      </c>
      <c r="BE1175">
        <v>206361</v>
      </c>
      <c r="BF1175">
        <v>651597</v>
      </c>
      <c r="BG1175">
        <v>96956</v>
      </c>
      <c r="BH1175">
        <v>348280</v>
      </c>
      <c r="BI1175">
        <v>0</v>
      </c>
      <c r="BJ1175">
        <v>-1723</v>
      </c>
      <c r="BK1175">
        <v>0</v>
      </c>
      <c r="BL1175">
        <v>2567446805</v>
      </c>
      <c r="BM1175">
        <v>0</v>
      </c>
      <c r="BN1175">
        <v>72846</v>
      </c>
      <c r="BO1175">
        <v>57812</v>
      </c>
      <c r="BP1175">
        <v>0</v>
      </c>
      <c r="BQ1175">
        <v>0</v>
      </c>
      <c r="BR1175">
        <v>0.85370000000000001</v>
      </c>
      <c r="BS1175">
        <v>0.85370000000000001</v>
      </c>
      <c r="BT1175">
        <v>0</v>
      </c>
      <c r="BU1175">
        <v>0</v>
      </c>
      <c r="BV1175">
        <v>776</v>
      </c>
      <c r="BW1175">
        <v>459</v>
      </c>
      <c r="BX1175">
        <v>1154</v>
      </c>
      <c r="BY1175">
        <v>3460</v>
      </c>
      <c r="BZ1175">
        <v>13172</v>
      </c>
      <c r="CA1175">
        <v>19021</v>
      </c>
      <c r="CB1175">
        <v>0</v>
      </c>
      <c r="CC1175">
        <v>0</v>
      </c>
      <c r="CD1175">
        <v>0</v>
      </c>
      <c r="CE1175">
        <v>745</v>
      </c>
      <c r="CF1175">
        <v>8764.7780000000002</v>
      </c>
      <c r="CG1175">
        <v>0</v>
      </c>
      <c r="CH1175">
        <v>3.8970000000000002</v>
      </c>
      <c r="CI1175">
        <v>57</v>
      </c>
      <c r="CJ1175">
        <v>19</v>
      </c>
      <c r="CK1175">
        <v>3</v>
      </c>
      <c r="CL1175">
        <v>3.8970000000000002</v>
      </c>
      <c r="CM1175">
        <v>9825.1419999999998</v>
      </c>
      <c r="CN1175">
        <v>0</v>
      </c>
      <c r="CO1175">
        <v>0</v>
      </c>
      <c r="CP1175">
        <v>0</v>
      </c>
      <c r="CQ1175">
        <v>0</v>
      </c>
      <c r="CR1175">
        <v>0</v>
      </c>
      <c r="CS1175">
        <v>224.113</v>
      </c>
      <c r="CT1175">
        <v>0</v>
      </c>
      <c r="CU1175">
        <v>46.981000000000002</v>
      </c>
      <c r="CV1175">
        <v>795.63900000000001</v>
      </c>
      <c r="CW1175">
        <v>276.43400000000003</v>
      </c>
      <c r="CX1175">
        <v>0</v>
      </c>
      <c r="CY1175" s="2043">
        <v>0</v>
      </c>
      <c r="CZ1175" s="2043">
        <v>0</v>
      </c>
      <c r="DA1175" s="2043">
        <v>0</v>
      </c>
      <c r="DB1175" s="2043">
        <v>0</v>
      </c>
      <c r="DC1175" s="2043">
        <v>0</v>
      </c>
      <c r="DI1175" t="s">
        <v>3249</v>
      </c>
      <c r="DJ1175" t="s">
        <v>3249</v>
      </c>
      <c r="DK1175" s="2042">
        <f t="shared" si="20"/>
        <v>0</v>
      </c>
    </row>
    <row r="1176" spans="1:115">
      <c r="A1176" t="s">
        <v>3250</v>
      </c>
      <c r="B1176" t="s">
        <v>1431</v>
      </c>
      <c r="C1176">
        <v>36636.044999999998</v>
      </c>
      <c r="D1176">
        <v>39912.726000000002</v>
      </c>
      <c r="E1176">
        <v>12440.244000000001</v>
      </c>
      <c r="F1176">
        <v>0</v>
      </c>
      <c r="G1176" s="2043">
        <v>18229123885</v>
      </c>
      <c r="H1176">
        <v>0</v>
      </c>
      <c r="I1176" s="2043">
        <v>41279573</v>
      </c>
      <c r="J1176">
        <v>1831.8020000000001</v>
      </c>
      <c r="K1176">
        <v>5008</v>
      </c>
      <c r="L1176">
        <v>0</v>
      </c>
      <c r="M1176">
        <v>3960617</v>
      </c>
      <c r="N1176">
        <v>0</v>
      </c>
      <c r="O1176">
        <v>3960617</v>
      </c>
      <c r="P1176">
        <v>0</v>
      </c>
      <c r="Q1176">
        <v>0</v>
      </c>
      <c r="R1176" s="2043">
        <v>156665661</v>
      </c>
      <c r="S1176">
        <v>8749339</v>
      </c>
      <c r="T1176">
        <v>0</v>
      </c>
      <c r="U1176">
        <v>0.05</v>
      </c>
      <c r="V1176">
        <v>366.60700000000003</v>
      </c>
      <c r="W1176">
        <v>0</v>
      </c>
      <c r="X1176">
        <v>0</v>
      </c>
      <c r="Y1176">
        <v>0</v>
      </c>
      <c r="Z1176">
        <v>0</v>
      </c>
      <c r="AA1176">
        <v>5.8290000000000006</v>
      </c>
      <c r="AB1176">
        <v>39745.131999999998</v>
      </c>
      <c r="AC1176" s="2043">
        <v>18546057072</v>
      </c>
      <c r="AD1176">
        <v>40641594</v>
      </c>
      <c r="AE1176" s="2043">
        <v>165415000</v>
      </c>
      <c r="AF1176">
        <v>0.94530000000000003</v>
      </c>
      <c r="AG1176">
        <v>0</v>
      </c>
      <c r="AH1176">
        <v>0</v>
      </c>
      <c r="AI1176">
        <v>0</v>
      </c>
      <c r="AJ1176">
        <v>7398.5380000000005</v>
      </c>
      <c r="AK1176">
        <v>128677</v>
      </c>
      <c r="AL1176">
        <v>11.394</v>
      </c>
      <c r="AM1176">
        <v>1.851</v>
      </c>
      <c r="AN1176">
        <v>1173.9580000000001</v>
      </c>
      <c r="AO1176">
        <v>0.9</v>
      </c>
      <c r="AP1176">
        <v>0</v>
      </c>
      <c r="AQ1176">
        <v>2.4500000000000002</v>
      </c>
      <c r="AR1176">
        <v>864.97300000000007</v>
      </c>
      <c r="AS1176">
        <v>0</v>
      </c>
      <c r="AT1176">
        <v>448.44800000000004</v>
      </c>
      <c r="AU1176">
        <v>63.515000000000001</v>
      </c>
      <c r="AV1176">
        <v>0</v>
      </c>
      <c r="AW1176">
        <v>1392.6310000000001</v>
      </c>
      <c r="AX1176">
        <v>0</v>
      </c>
      <c r="AY1176">
        <v>4320.3609999999999</v>
      </c>
      <c r="AZ1176">
        <v>0</v>
      </c>
      <c r="BA1176">
        <v>181617673</v>
      </c>
      <c r="BB1176">
        <v>206056594</v>
      </c>
      <c r="BC1176">
        <v>0</v>
      </c>
      <c r="BD1176">
        <v>1891709</v>
      </c>
      <c r="BE1176">
        <v>744715</v>
      </c>
      <c r="BF1176">
        <v>2671548</v>
      </c>
      <c r="BG1176">
        <v>1891709</v>
      </c>
      <c r="BH1176">
        <v>35124</v>
      </c>
      <c r="BI1176">
        <v>0</v>
      </c>
      <c r="BJ1176">
        <v>0</v>
      </c>
      <c r="BK1176">
        <v>0</v>
      </c>
      <c r="BL1176">
        <v>18229123885</v>
      </c>
      <c r="BM1176">
        <v>0</v>
      </c>
      <c r="BN1176">
        <v>150732</v>
      </c>
      <c r="BO1176">
        <v>121584</v>
      </c>
      <c r="BP1176">
        <v>0</v>
      </c>
      <c r="BQ1176">
        <v>0</v>
      </c>
      <c r="BR1176">
        <v>0.8953000000000001</v>
      </c>
      <c r="BS1176">
        <v>0.8953000000000001</v>
      </c>
      <c r="BT1176">
        <v>0</v>
      </c>
      <c r="BU1176">
        <v>0</v>
      </c>
      <c r="BV1176">
        <v>3438</v>
      </c>
      <c r="BW1176">
        <v>8675</v>
      </c>
      <c r="BX1176">
        <v>7001</v>
      </c>
      <c r="BY1176">
        <v>5670</v>
      </c>
      <c r="BZ1176">
        <v>4822</v>
      </c>
      <c r="CA1176">
        <v>29606</v>
      </c>
      <c r="CB1176">
        <v>0</v>
      </c>
      <c r="CC1176">
        <v>965.6690000000001</v>
      </c>
      <c r="CD1176">
        <v>937.90700000000004</v>
      </c>
      <c r="CE1176">
        <v>2403</v>
      </c>
      <c r="CF1176">
        <v>12628.975</v>
      </c>
      <c r="CG1176">
        <v>0</v>
      </c>
      <c r="CH1176">
        <v>0</v>
      </c>
      <c r="CI1176">
        <v>435</v>
      </c>
      <c r="CJ1176">
        <v>346</v>
      </c>
      <c r="CK1176">
        <v>4</v>
      </c>
      <c r="CL1176">
        <v>0</v>
      </c>
      <c r="CM1176">
        <v>12440.244000000001</v>
      </c>
      <c r="CN1176">
        <v>0</v>
      </c>
      <c r="CO1176">
        <v>0</v>
      </c>
      <c r="CP1176">
        <v>0</v>
      </c>
      <c r="CQ1176">
        <v>0</v>
      </c>
      <c r="CR1176">
        <v>0</v>
      </c>
      <c r="CS1176">
        <v>342.66700000000003</v>
      </c>
      <c r="CT1176">
        <v>0</v>
      </c>
      <c r="CU1176">
        <v>257.20699999999999</v>
      </c>
      <c r="CV1176">
        <v>1455.3430000000001</v>
      </c>
      <c r="CW1176">
        <v>737.923</v>
      </c>
      <c r="CX1176">
        <v>0</v>
      </c>
      <c r="CY1176" s="2043">
        <v>0</v>
      </c>
      <c r="CZ1176" s="2043">
        <v>0</v>
      </c>
      <c r="DA1176" s="2043">
        <v>0</v>
      </c>
      <c r="DB1176" s="2043">
        <v>0</v>
      </c>
      <c r="DC1176" s="2043">
        <v>0</v>
      </c>
      <c r="DI1176" t="s">
        <v>3250</v>
      </c>
      <c r="DJ1176" t="s">
        <v>3250</v>
      </c>
      <c r="DK1176" s="2042">
        <f t="shared" si="20"/>
        <v>0</v>
      </c>
    </row>
    <row r="1177" spans="1:115">
      <c r="A1177" t="s">
        <v>5297</v>
      </c>
      <c r="B1177" t="s">
        <v>879</v>
      </c>
      <c r="C1177">
        <v>232.09400000000002</v>
      </c>
      <c r="D1177">
        <v>242.70100000000002</v>
      </c>
      <c r="E1177">
        <v>19.224</v>
      </c>
      <c r="F1177">
        <v>149240</v>
      </c>
      <c r="G1177" s="2043">
        <v>587853143</v>
      </c>
      <c r="H1177">
        <v>0</v>
      </c>
      <c r="I1177" s="2043">
        <v>1541125</v>
      </c>
      <c r="J1177">
        <v>11.605</v>
      </c>
      <c r="K1177">
        <v>32</v>
      </c>
      <c r="L1177">
        <v>0</v>
      </c>
      <c r="M1177">
        <v>0</v>
      </c>
      <c r="N1177">
        <v>0</v>
      </c>
      <c r="O1177">
        <v>0</v>
      </c>
      <c r="P1177">
        <v>0</v>
      </c>
      <c r="Q1177">
        <v>0</v>
      </c>
      <c r="R1177" s="2043">
        <v>4929060</v>
      </c>
      <c r="S1177">
        <v>283377</v>
      </c>
      <c r="T1177">
        <v>0</v>
      </c>
      <c r="U1177">
        <v>0.05</v>
      </c>
      <c r="V1177">
        <v>0</v>
      </c>
      <c r="W1177">
        <v>1967044</v>
      </c>
      <c r="X1177">
        <v>0</v>
      </c>
      <c r="Y1177">
        <v>1339763</v>
      </c>
      <c r="Z1177">
        <v>0</v>
      </c>
      <c r="AA1177">
        <v>0</v>
      </c>
      <c r="AB1177">
        <v>242.70100000000002</v>
      </c>
      <c r="AC1177" s="2043">
        <v>610490097</v>
      </c>
      <c r="AD1177">
        <v>1956252</v>
      </c>
      <c r="AE1177" s="2043">
        <v>5212437</v>
      </c>
      <c r="AF1177">
        <v>0.91970000000000007</v>
      </c>
      <c r="AG1177">
        <v>0</v>
      </c>
      <c r="AH1177">
        <v>1967044</v>
      </c>
      <c r="AI1177">
        <v>0</v>
      </c>
      <c r="AJ1177">
        <v>51.063000000000002</v>
      </c>
      <c r="AK1177">
        <v>1706</v>
      </c>
      <c r="AL1177">
        <v>0</v>
      </c>
      <c r="AM1177">
        <v>0</v>
      </c>
      <c r="AN1177">
        <v>19.095000000000002</v>
      </c>
      <c r="AO1177">
        <v>0</v>
      </c>
      <c r="AP1177">
        <v>0</v>
      </c>
      <c r="AQ1177">
        <v>0</v>
      </c>
      <c r="AR1177">
        <v>6.63</v>
      </c>
      <c r="AS1177">
        <v>0</v>
      </c>
      <c r="AT1177">
        <v>1.5</v>
      </c>
      <c r="AU1177">
        <v>0.42800000000000005</v>
      </c>
      <c r="AV1177">
        <v>0</v>
      </c>
      <c r="AW1177">
        <v>8.5579999999999998</v>
      </c>
      <c r="AX1177">
        <v>0</v>
      </c>
      <c r="AY1177">
        <v>26.53</v>
      </c>
      <c r="AZ1177">
        <v>0</v>
      </c>
      <c r="BA1177">
        <v>1463757</v>
      </c>
      <c r="BB1177">
        <v>7168689</v>
      </c>
      <c r="BC1177">
        <v>0</v>
      </c>
      <c r="BD1177">
        <v>69546</v>
      </c>
      <c r="BE1177">
        <v>0</v>
      </c>
      <c r="BF1177">
        <v>69546</v>
      </c>
      <c r="BG1177">
        <v>69546</v>
      </c>
      <c r="BH1177">
        <v>0</v>
      </c>
      <c r="BI1177">
        <v>0</v>
      </c>
      <c r="BJ1177">
        <v>0</v>
      </c>
      <c r="BK1177">
        <v>0</v>
      </c>
      <c r="BL1177">
        <v>587853143</v>
      </c>
      <c r="BM1177">
        <v>0</v>
      </c>
      <c r="BN1177">
        <v>1089</v>
      </c>
      <c r="BO1177">
        <v>556</v>
      </c>
      <c r="BP1177">
        <v>0</v>
      </c>
      <c r="BQ1177">
        <v>0</v>
      </c>
      <c r="BR1177">
        <v>0.86970000000000003</v>
      </c>
      <c r="BS1177">
        <v>0.86970000000000003</v>
      </c>
      <c r="BT1177">
        <v>0</v>
      </c>
      <c r="BU1177">
        <v>499189</v>
      </c>
      <c r="BV1177">
        <v>76</v>
      </c>
      <c r="BW1177">
        <v>112</v>
      </c>
      <c r="BX1177">
        <v>0</v>
      </c>
      <c r="BY1177">
        <v>27</v>
      </c>
      <c r="BZ1177">
        <v>1</v>
      </c>
      <c r="CA1177">
        <v>216</v>
      </c>
      <c r="CB1177">
        <v>0</v>
      </c>
      <c r="CC1177">
        <v>0</v>
      </c>
      <c r="CD1177">
        <v>0</v>
      </c>
      <c r="CE1177">
        <v>4</v>
      </c>
      <c r="CF1177">
        <v>46.04</v>
      </c>
      <c r="CG1177">
        <v>0</v>
      </c>
      <c r="CH1177">
        <v>0</v>
      </c>
      <c r="CI1177">
        <v>2</v>
      </c>
      <c r="CJ1177">
        <v>2</v>
      </c>
      <c r="CK1177">
        <v>0</v>
      </c>
      <c r="CL1177">
        <v>0</v>
      </c>
      <c r="CM1177">
        <v>19.224</v>
      </c>
      <c r="CN1177">
        <v>0</v>
      </c>
      <c r="CO1177">
        <v>0</v>
      </c>
      <c r="CP1177">
        <v>0</v>
      </c>
      <c r="CQ1177">
        <v>0</v>
      </c>
      <c r="CR1177">
        <v>0</v>
      </c>
      <c r="CS1177">
        <v>0</v>
      </c>
      <c r="CT1177">
        <v>0</v>
      </c>
      <c r="CU1177">
        <v>0</v>
      </c>
      <c r="CV1177">
        <v>5.335</v>
      </c>
      <c r="CW1177">
        <v>2.3330000000000002</v>
      </c>
      <c r="CX1177">
        <v>0</v>
      </c>
      <c r="CY1177" s="2043">
        <v>691334</v>
      </c>
      <c r="CZ1177" s="2043">
        <v>0</v>
      </c>
      <c r="DA1177" s="2043">
        <v>0</v>
      </c>
      <c r="DB1177" s="2043">
        <v>149240</v>
      </c>
      <c r="DC1177" s="2043">
        <v>20526</v>
      </c>
      <c r="DI1177" t="s">
        <v>5297</v>
      </c>
      <c r="DJ1177" t="s">
        <v>5297</v>
      </c>
      <c r="DK1177" s="2042">
        <f t="shared" si="20"/>
        <v>0</v>
      </c>
    </row>
    <row r="1178" spans="1:115">
      <c r="A1178" t="s">
        <v>5895</v>
      </c>
      <c r="B1178" t="s">
        <v>880</v>
      </c>
      <c r="C1178">
        <v>1056.7429999999999</v>
      </c>
      <c r="D1178">
        <v>1105.011</v>
      </c>
      <c r="E1178">
        <v>79.662000000000006</v>
      </c>
      <c r="F1178">
        <v>0</v>
      </c>
      <c r="G1178" s="2043">
        <v>462535813</v>
      </c>
      <c r="H1178">
        <v>0</v>
      </c>
      <c r="I1178" s="2043">
        <v>0</v>
      </c>
      <c r="J1178">
        <v>52.837000000000003</v>
      </c>
      <c r="K1178">
        <v>144</v>
      </c>
      <c r="L1178">
        <v>0</v>
      </c>
      <c r="M1178">
        <v>0</v>
      </c>
      <c r="N1178">
        <v>0</v>
      </c>
      <c r="O1178">
        <v>0</v>
      </c>
      <c r="P1178">
        <v>0</v>
      </c>
      <c r="Q1178">
        <v>0</v>
      </c>
      <c r="R1178" s="2043">
        <v>4133804</v>
      </c>
      <c r="S1178">
        <v>230681</v>
      </c>
      <c r="T1178">
        <v>0</v>
      </c>
      <c r="U1178">
        <v>0.05</v>
      </c>
      <c r="V1178">
        <v>0</v>
      </c>
      <c r="W1178">
        <v>0</v>
      </c>
      <c r="X1178">
        <v>0</v>
      </c>
      <c r="Y1178">
        <v>0</v>
      </c>
      <c r="Z1178">
        <v>0</v>
      </c>
      <c r="AA1178">
        <v>0.27400000000000002</v>
      </c>
      <c r="AB1178">
        <v>1029.896</v>
      </c>
      <c r="AC1178" s="2043">
        <v>413628496</v>
      </c>
      <c r="AD1178">
        <v>0</v>
      </c>
      <c r="AE1178" s="2043">
        <v>4364485</v>
      </c>
      <c r="AF1178">
        <v>0.94600000000000006</v>
      </c>
      <c r="AG1178">
        <v>0</v>
      </c>
      <c r="AH1178">
        <v>0</v>
      </c>
      <c r="AI1178">
        <v>0</v>
      </c>
      <c r="AJ1178">
        <v>145.613</v>
      </c>
      <c r="AK1178">
        <v>2950</v>
      </c>
      <c r="AL1178">
        <v>3.1E-2</v>
      </c>
      <c r="AM1178">
        <v>0</v>
      </c>
      <c r="AN1178">
        <v>32.115000000000002</v>
      </c>
      <c r="AO1178">
        <v>0</v>
      </c>
      <c r="AP1178">
        <v>7.0420000000000007</v>
      </c>
      <c r="AQ1178">
        <v>0</v>
      </c>
      <c r="AR1178">
        <v>10.6</v>
      </c>
      <c r="AS1178">
        <v>0</v>
      </c>
      <c r="AT1178">
        <v>0</v>
      </c>
      <c r="AU1178">
        <v>1.78</v>
      </c>
      <c r="AV1178">
        <v>0</v>
      </c>
      <c r="AW1178">
        <v>22.027000000000001</v>
      </c>
      <c r="AX1178">
        <v>2.5740000000000003</v>
      </c>
      <c r="AY1178">
        <v>65.789000000000001</v>
      </c>
      <c r="AZ1178">
        <v>0</v>
      </c>
      <c r="BA1178">
        <v>7025092</v>
      </c>
      <c r="BB1178">
        <v>4364485</v>
      </c>
      <c r="BC1178">
        <v>0</v>
      </c>
      <c r="BD1178">
        <v>143763</v>
      </c>
      <c r="BE1178">
        <v>42786</v>
      </c>
      <c r="BF1178">
        <v>186549</v>
      </c>
      <c r="BG1178">
        <v>143763</v>
      </c>
      <c r="BH1178">
        <v>0</v>
      </c>
      <c r="BI1178">
        <v>0</v>
      </c>
      <c r="BJ1178">
        <v>0</v>
      </c>
      <c r="BK1178">
        <v>0</v>
      </c>
      <c r="BL1178">
        <v>462535813</v>
      </c>
      <c r="BM1178">
        <v>0</v>
      </c>
      <c r="BN1178">
        <v>4140</v>
      </c>
      <c r="BO1178">
        <v>2001</v>
      </c>
      <c r="BP1178">
        <v>0</v>
      </c>
      <c r="BQ1178">
        <v>0</v>
      </c>
      <c r="BR1178">
        <v>0.89600000000000002</v>
      </c>
      <c r="BS1178">
        <v>0.89600000000000002</v>
      </c>
      <c r="BT1178">
        <v>0</v>
      </c>
      <c r="BU1178">
        <v>0</v>
      </c>
      <c r="BV1178">
        <v>140</v>
      </c>
      <c r="BW1178">
        <v>76</v>
      </c>
      <c r="BX1178">
        <v>344</v>
      </c>
      <c r="BY1178">
        <v>9</v>
      </c>
      <c r="BZ1178">
        <v>28</v>
      </c>
      <c r="CA1178">
        <v>597</v>
      </c>
      <c r="CB1178">
        <v>0</v>
      </c>
      <c r="CC1178">
        <v>0</v>
      </c>
      <c r="CD1178">
        <v>0</v>
      </c>
      <c r="CE1178">
        <v>45</v>
      </c>
      <c r="CF1178">
        <v>183.363</v>
      </c>
      <c r="CG1178">
        <v>0</v>
      </c>
      <c r="CH1178">
        <v>0</v>
      </c>
      <c r="CI1178">
        <v>3</v>
      </c>
      <c r="CJ1178">
        <v>8</v>
      </c>
      <c r="CK1178">
        <v>0</v>
      </c>
      <c r="CL1178">
        <v>0</v>
      </c>
      <c r="CM1178">
        <v>79.662000000000006</v>
      </c>
      <c r="CN1178">
        <v>0</v>
      </c>
      <c r="CO1178">
        <v>0</v>
      </c>
      <c r="CP1178">
        <v>0</v>
      </c>
      <c r="CQ1178">
        <v>0</v>
      </c>
      <c r="CR1178">
        <v>0</v>
      </c>
      <c r="CS1178">
        <v>0</v>
      </c>
      <c r="CT1178">
        <v>0</v>
      </c>
      <c r="CU1178">
        <v>0</v>
      </c>
      <c r="CV1178">
        <v>33.405000000000001</v>
      </c>
      <c r="CW1178">
        <v>71.215000000000003</v>
      </c>
      <c r="CX1178">
        <v>0</v>
      </c>
      <c r="CY1178" s="2043">
        <v>0</v>
      </c>
      <c r="CZ1178" s="2043">
        <v>0</v>
      </c>
      <c r="DA1178" s="2043">
        <v>0</v>
      </c>
      <c r="DB1178" s="2043">
        <v>0</v>
      </c>
      <c r="DC1178" s="2043">
        <v>0</v>
      </c>
      <c r="DI1178" t="s">
        <v>5895</v>
      </c>
      <c r="DJ1178" t="s">
        <v>5895</v>
      </c>
      <c r="DK1178" s="2042">
        <f t="shared" si="20"/>
        <v>0</v>
      </c>
    </row>
    <row r="1179" spans="1:115">
      <c r="A1179" t="s">
        <v>5298</v>
      </c>
      <c r="B1179" t="s">
        <v>881</v>
      </c>
      <c r="C1179">
        <v>911.79300000000001</v>
      </c>
      <c r="D1179">
        <v>885.846</v>
      </c>
      <c r="E1179">
        <v>51.069000000000003</v>
      </c>
      <c r="F1179">
        <v>0</v>
      </c>
      <c r="G1179" s="2043">
        <v>474362137</v>
      </c>
      <c r="H1179">
        <v>0</v>
      </c>
      <c r="I1179" s="2043">
        <v>1152012</v>
      </c>
      <c r="J1179">
        <v>45.59</v>
      </c>
      <c r="K1179">
        <v>125</v>
      </c>
      <c r="L1179">
        <v>0</v>
      </c>
      <c r="M1179">
        <v>0</v>
      </c>
      <c r="N1179">
        <v>0</v>
      </c>
      <c r="O1179">
        <v>0</v>
      </c>
      <c r="P1179">
        <v>0</v>
      </c>
      <c r="Q1179">
        <v>0</v>
      </c>
      <c r="R1179" s="2043">
        <v>3941088</v>
      </c>
      <c r="S1179">
        <v>381150</v>
      </c>
      <c r="T1179">
        <v>277762</v>
      </c>
      <c r="U1179">
        <v>0.08</v>
      </c>
      <c r="V1179">
        <v>0</v>
      </c>
      <c r="W1179">
        <v>0</v>
      </c>
      <c r="X1179">
        <v>0</v>
      </c>
      <c r="Y1179">
        <v>0</v>
      </c>
      <c r="Z1179">
        <v>0</v>
      </c>
      <c r="AA1179">
        <v>0</v>
      </c>
      <c r="AB1179">
        <v>885.846</v>
      </c>
      <c r="AC1179" s="2043">
        <v>387339704</v>
      </c>
      <c r="AD1179">
        <v>1150309</v>
      </c>
      <c r="AE1179" s="2043">
        <v>4600000</v>
      </c>
      <c r="AF1179">
        <v>0.96550000000000002</v>
      </c>
      <c r="AG1179">
        <v>0</v>
      </c>
      <c r="AH1179">
        <v>0</v>
      </c>
      <c r="AI1179">
        <v>0</v>
      </c>
      <c r="AJ1179">
        <v>88.825000000000003</v>
      </c>
      <c r="AK1179">
        <v>2799</v>
      </c>
      <c r="AL1179">
        <v>0.161</v>
      </c>
      <c r="AM1179">
        <v>0</v>
      </c>
      <c r="AN1179">
        <v>10.368</v>
      </c>
      <c r="AO1179">
        <v>0</v>
      </c>
      <c r="AP1179">
        <v>6.8570000000000002</v>
      </c>
      <c r="AQ1179">
        <v>0</v>
      </c>
      <c r="AR1179">
        <v>17.313000000000002</v>
      </c>
      <c r="AS1179">
        <v>0</v>
      </c>
      <c r="AT1179">
        <v>0.53400000000000003</v>
      </c>
      <c r="AU1179">
        <v>1.637</v>
      </c>
      <c r="AV1179">
        <v>0</v>
      </c>
      <c r="AW1179">
        <v>26.502000000000002</v>
      </c>
      <c r="AX1179">
        <v>0</v>
      </c>
      <c r="AY1179">
        <v>81.045000000000002</v>
      </c>
      <c r="AZ1179">
        <v>0</v>
      </c>
      <c r="BA1179">
        <v>6252379</v>
      </c>
      <c r="BB1179">
        <v>5750309</v>
      </c>
      <c r="BC1179">
        <v>0</v>
      </c>
      <c r="BD1179">
        <v>53295</v>
      </c>
      <c r="BE1179">
        <v>19645</v>
      </c>
      <c r="BF1179">
        <v>72940</v>
      </c>
      <c r="BG1179">
        <v>53295</v>
      </c>
      <c r="BH1179">
        <v>0</v>
      </c>
      <c r="BI1179">
        <v>0</v>
      </c>
      <c r="BJ1179">
        <v>0</v>
      </c>
      <c r="BK1179">
        <v>0</v>
      </c>
      <c r="BL1179">
        <v>474362137</v>
      </c>
      <c r="BM1179">
        <v>0</v>
      </c>
      <c r="BN1179">
        <v>2997</v>
      </c>
      <c r="BO1179">
        <v>2889</v>
      </c>
      <c r="BP1179">
        <v>0</v>
      </c>
      <c r="BQ1179">
        <v>0</v>
      </c>
      <c r="BR1179">
        <v>0.82720000000000005</v>
      </c>
      <c r="BS1179">
        <v>0.82720000000000005</v>
      </c>
      <c r="BT1179">
        <v>0</v>
      </c>
      <c r="BU1179">
        <v>0</v>
      </c>
      <c r="BV1179">
        <v>165</v>
      </c>
      <c r="BW1179">
        <v>0</v>
      </c>
      <c r="BX1179">
        <v>127</v>
      </c>
      <c r="BY1179">
        <v>76</v>
      </c>
      <c r="BZ1179">
        <v>0</v>
      </c>
      <c r="CA1179">
        <v>368</v>
      </c>
      <c r="CB1179">
        <v>0</v>
      </c>
      <c r="CC1179">
        <v>0</v>
      </c>
      <c r="CD1179">
        <v>0</v>
      </c>
      <c r="CE1179">
        <v>46</v>
      </c>
      <c r="CF1179">
        <v>148.095</v>
      </c>
      <c r="CG1179">
        <v>0</v>
      </c>
      <c r="CH1179">
        <v>0</v>
      </c>
      <c r="CI1179">
        <v>4</v>
      </c>
      <c r="CJ1179">
        <v>30</v>
      </c>
      <c r="CK1179">
        <v>0</v>
      </c>
      <c r="CL1179">
        <v>0</v>
      </c>
      <c r="CM1179">
        <v>51.069000000000003</v>
      </c>
      <c r="CN1179">
        <v>0</v>
      </c>
      <c r="CO1179">
        <v>0</v>
      </c>
      <c r="CP1179">
        <v>0</v>
      </c>
      <c r="CQ1179">
        <v>0</v>
      </c>
      <c r="CR1179">
        <v>0</v>
      </c>
      <c r="CS1179">
        <v>0</v>
      </c>
      <c r="CT1179">
        <v>0</v>
      </c>
      <c r="CU1179">
        <v>8.2040000000000006</v>
      </c>
      <c r="CV1179">
        <v>60.792000000000002</v>
      </c>
      <c r="CW1179">
        <v>40.195</v>
      </c>
      <c r="CX1179">
        <v>0</v>
      </c>
      <c r="CY1179" s="2043">
        <v>0</v>
      </c>
      <c r="CZ1179" s="2043">
        <v>0</v>
      </c>
      <c r="DA1179" s="2043">
        <v>0</v>
      </c>
      <c r="DB1179" s="2043">
        <v>0</v>
      </c>
      <c r="DC1179" s="2043">
        <v>0</v>
      </c>
      <c r="DI1179" t="s">
        <v>5298</v>
      </c>
      <c r="DJ1179" t="s">
        <v>5298</v>
      </c>
      <c r="DK1179" s="2042">
        <f t="shared" si="20"/>
        <v>0</v>
      </c>
    </row>
    <row r="1180" spans="1:115">
      <c r="A1180" t="s">
        <v>5299</v>
      </c>
      <c r="B1180" t="s">
        <v>536</v>
      </c>
      <c r="C1180">
        <v>3099.6220000000003</v>
      </c>
      <c r="D1180">
        <v>3277.1290000000004</v>
      </c>
      <c r="E1180">
        <v>385.24100000000004</v>
      </c>
      <c r="F1180">
        <v>0</v>
      </c>
      <c r="G1180" s="2043">
        <v>1464383332</v>
      </c>
      <c r="H1180">
        <v>0</v>
      </c>
      <c r="I1180" s="2043">
        <v>2131935</v>
      </c>
      <c r="J1180">
        <v>154.98099999999999</v>
      </c>
      <c r="K1180">
        <v>424</v>
      </c>
      <c r="L1180">
        <v>0</v>
      </c>
      <c r="M1180">
        <v>0</v>
      </c>
      <c r="N1180">
        <v>0</v>
      </c>
      <c r="O1180">
        <v>0</v>
      </c>
      <c r="P1180">
        <v>0</v>
      </c>
      <c r="Q1180">
        <v>0</v>
      </c>
      <c r="R1180" s="2043">
        <v>12804017</v>
      </c>
      <c r="S1180">
        <v>1182137</v>
      </c>
      <c r="T1180">
        <v>861482</v>
      </c>
      <c r="U1180">
        <v>0.08</v>
      </c>
      <c r="V1180">
        <v>0</v>
      </c>
      <c r="W1180">
        <v>0</v>
      </c>
      <c r="X1180">
        <v>0</v>
      </c>
      <c r="Y1180">
        <v>0</v>
      </c>
      <c r="Z1180">
        <v>0</v>
      </c>
      <c r="AA1180">
        <v>0.51400000000000001</v>
      </c>
      <c r="AB1180">
        <v>3201.71</v>
      </c>
      <c r="AC1180" s="2043">
        <v>1291548905</v>
      </c>
      <c r="AD1180">
        <v>1054735</v>
      </c>
      <c r="AE1180" s="2043">
        <v>14847636</v>
      </c>
      <c r="AF1180">
        <v>1.0048000000000001</v>
      </c>
      <c r="AG1180">
        <v>0</v>
      </c>
      <c r="AH1180">
        <v>0</v>
      </c>
      <c r="AI1180">
        <v>0</v>
      </c>
      <c r="AJ1180">
        <v>648.03800000000001</v>
      </c>
      <c r="AK1180">
        <v>9722</v>
      </c>
      <c r="AL1180">
        <v>0.08</v>
      </c>
      <c r="AM1180">
        <v>0</v>
      </c>
      <c r="AN1180">
        <v>95.712000000000003</v>
      </c>
      <c r="AO1180">
        <v>2.6</v>
      </c>
      <c r="AP1180">
        <v>0</v>
      </c>
      <c r="AQ1180">
        <v>0</v>
      </c>
      <c r="AR1180">
        <v>51.908000000000001</v>
      </c>
      <c r="AS1180">
        <v>0</v>
      </c>
      <c r="AT1180">
        <v>33.008000000000003</v>
      </c>
      <c r="AU1180">
        <v>7.0960000000000001</v>
      </c>
      <c r="AV1180">
        <v>0</v>
      </c>
      <c r="AW1180">
        <v>92.091999999999999</v>
      </c>
      <c r="AX1180">
        <v>0</v>
      </c>
      <c r="AY1180">
        <v>290.62799999999999</v>
      </c>
      <c r="AZ1180">
        <v>0</v>
      </c>
      <c r="BA1180">
        <v>18829874</v>
      </c>
      <c r="BB1180">
        <v>15902371</v>
      </c>
      <c r="BC1180">
        <v>0</v>
      </c>
      <c r="BD1180">
        <v>157263</v>
      </c>
      <c r="BE1180">
        <v>62806</v>
      </c>
      <c r="BF1180">
        <v>220069</v>
      </c>
      <c r="BG1180">
        <v>157263</v>
      </c>
      <c r="BH1180">
        <v>0</v>
      </c>
      <c r="BI1180">
        <v>0</v>
      </c>
      <c r="BJ1180">
        <v>0</v>
      </c>
      <c r="BK1180">
        <v>0</v>
      </c>
      <c r="BL1180">
        <v>1464383332</v>
      </c>
      <c r="BM1180">
        <v>0</v>
      </c>
      <c r="BN1180">
        <v>13914</v>
      </c>
      <c r="BO1180">
        <v>10390</v>
      </c>
      <c r="BP1180">
        <v>0</v>
      </c>
      <c r="BQ1180">
        <v>0</v>
      </c>
      <c r="BR1180">
        <v>0.86650000000000005</v>
      </c>
      <c r="BS1180">
        <v>0.86650000000000005</v>
      </c>
      <c r="BT1180">
        <v>0</v>
      </c>
      <c r="BU1180">
        <v>0</v>
      </c>
      <c r="BV1180">
        <v>440</v>
      </c>
      <c r="BW1180">
        <v>328</v>
      </c>
      <c r="BX1180">
        <v>301</v>
      </c>
      <c r="BY1180">
        <v>999</v>
      </c>
      <c r="BZ1180">
        <v>486</v>
      </c>
      <c r="CA1180">
        <v>2554</v>
      </c>
      <c r="CB1180">
        <v>0</v>
      </c>
      <c r="CC1180">
        <v>0</v>
      </c>
      <c r="CD1180">
        <v>0</v>
      </c>
      <c r="CE1180">
        <v>185</v>
      </c>
      <c r="CF1180">
        <v>833.86200000000008</v>
      </c>
      <c r="CG1180">
        <v>0</v>
      </c>
      <c r="CH1180">
        <v>0</v>
      </c>
      <c r="CI1180">
        <v>10</v>
      </c>
      <c r="CJ1180">
        <v>39</v>
      </c>
      <c r="CK1180">
        <v>0</v>
      </c>
      <c r="CL1180">
        <v>0</v>
      </c>
      <c r="CM1180">
        <v>385.24100000000004</v>
      </c>
      <c r="CN1180">
        <v>0</v>
      </c>
      <c r="CO1180">
        <v>0</v>
      </c>
      <c r="CP1180">
        <v>0</v>
      </c>
      <c r="CQ1180">
        <v>0</v>
      </c>
      <c r="CR1180">
        <v>0</v>
      </c>
      <c r="CS1180">
        <v>0</v>
      </c>
      <c r="CT1180">
        <v>0</v>
      </c>
      <c r="CU1180">
        <v>1.4670000000000001</v>
      </c>
      <c r="CV1180">
        <v>223.43300000000002</v>
      </c>
      <c r="CW1180">
        <v>163.88800000000001</v>
      </c>
      <c r="CX1180">
        <v>0</v>
      </c>
      <c r="CY1180" s="2043">
        <v>0</v>
      </c>
      <c r="CZ1180" s="2043">
        <v>0</v>
      </c>
      <c r="DA1180" s="2043">
        <v>0</v>
      </c>
      <c r="DB1180" s="2043">
        <v>0</v>
      </c>
      <c r="DC1180" s="2043">
        <v>0</v>
      </c>
      <c r="DI1180" t="s">
        <v>5299</v>
      </c>
      <c r="DJ1180" t="s">
        <v>5299</v>
      </c>
      <c r="DK1180" s="2042">
        <f t="shared" si="20"/>
        <v>0</v>
      </c>
    </row>
    <row r="1181" spans="1:115">
      <c r="A1181" t="s">
        <v>5300</v>
      </c>
      <c r="B1181" t="s">
        <v>855</v>
      </c>
      <c r="C1181">
        <v>1737.5450000000001</v>
      </c>
      <c r="D1181">
        <v>1723.4480000000001</v>
      </c>
      <c r="E1181">
        <v>234.82600000000002</v>
      </c>
      <c r="F1181">
        <v>0</v>
      </c>
      <c r="G1181" s="2043">
        <v>1271754684</v>
      </c>
      <c r="H1181">
        <v>0</v>
      </c>
      <c r="I1181" s="2043">
        <v>4407575</v>
      </c>
      <c r="J1181">
        <v>86.87700000000001</v>
      </c>
      <c r="K1181">
        <v>238</v>
      </c>
      <c r="L1181">
        <v>0</v>
      </c>
      <c r="M1181">
        <v>0</v>
      </c>
      <c r="N1181">
        <v>0</v>
      </c>
      <c r="O1181">
        <v>0</v>
      </c>
      <c r="P1181">
        <v>0</v>
      </c>
      <c r="Q1181">
        <v>0</v>
      </c>
      <c r="R1181" s="2043">
        <v>11508912</v>
      </c>
      <c r="S1181">
        <v>630004</v>
      </c>
      <c r="T1181">
        <v>0</v>
      </c>
      <c r="U1181">
        <v>0.05</v>
      </c>
      <c r="V1181">
        <v>0</v>
      </c>
      <c r="W1181">
        <v>0</v>
      </c>
      <c r="X1181">
        <v>0</v>
      </c>
      <c r="Y1181">
        <v>84156</v>
      </c>
      <c r="Z1181">
        <v>1.931</v>
      </c>
      <c r="AA1181">
        <v>0</v>
      </c>
      <c r="AB1181">
        <v>1689.5250000000001</v>
      </c>
      <c r="AC1181" s="2043">
        <v>1432948008</v>
      </c>
      <c r="AD1181">
        <v>4393442</v>
      </c>
      <c r="AE1181" s="2043">
        <v>12138916</v>
      </c>
      <c r="AF1181">
        <v>0.96340000000000003</v>
      </c>
      <c r="AG1181">
        <v>0</v>
      </c>
      <c r="AH1181">
        <v>0</v>
      </c>
      <c r="AI1181">
        <v>0</v>
      </c>
      <c r="AJ1181">
        <v>423.18800000000005</v>
      </c>
      <c r="AK1181">
        <v>6274</v>
      </c>
      <c r="AL1181">
        <v>0.47800000000000004</v>
      </c>
      <c r="AM1181">
        <v>0</v>
      </c>
      <c r="AN1181">
        <v>54.454000000000001</v>
      </c>
      <c r="AO1181">
        <v>1</v>
      </c>
      <c r="AP1181">
        <v>0</v>
      </c>
      <c r="AQ1181">
        <v>0</v>
      </c>
      <c r="AR1181">
        <v>37.544000000000004</v>
      </c>
      <c r="AS1181">
        <v>0</v>
      </c>
      <c r="AT1181">
        <v>16.614000000000001</v>
      </c>
      <c r="AU1181">
        <v>4.7480000000000002</v>
      </c>
      <c r="AV1181">
        <v>0</v>
      </c>
      <c r="AW1181">
        <v>60.315000000000005</v>
      </c>
      <c r="AX1181">
        <v>0.93100000000000005</v>
      </c>
      <c r="AY1181">
        <v>190.745</v>
      </c>
      <c r="AZ1181">
        <v>0</v>
      </c>
      <c r="BA1181">
        <v>5782633</v>
      </c>
      <c r="BB1181">
        <v>16532358</v>
      </c>
      <c r="BC1181">
        <v>0</v>
      </c>
      <c r="BD1181">
        <v>107793</v>
      </c>
      <c r="BE1181">
        <v>69698</v>
      </c>
      <c r="BF1181">
        <v>177491</v>
      </c>
      <c r="BG1181">
        <v>107793</v>
      </c>
      <c r="BH1181">
        <v>0</v>
      </c>
      <c r="BI1181">
        <v>0</v>
      </c>
      <c r="BJ1181">
        <v>0</v>
      </c>
      <c r="BK1181">
        <v>0</v>
      </c>
      <c r="BL1181">
        <v>1271754684</v>
      </c>
      <c r="BM1181">
        <v>0</v>
      </c>
      <c r="BN1181">
        <v>6687</v>
      </c>
      <c r="BO1181">
        <v>4911</v>
      </c>
      <c r="BP1181">
        <v>0</v>
      </c>
      <c r="BQ1181">
        <v>0</v>
      </c>
      <c r="BR1181">
        <v>0.91339999999999999</v>
      </c>
      <c r="BS1181">
        <v>0.91339999999999999</v>
      </c>
      <c r="BT1181">
        <v>0</v>
      </c>
      <c r="BU1181">
        <v>0</v>
      </c>
      <c r="BV1181">
        <v>125</v>
      </c>
      <c r="BW1181">
        <v>373</v>
      </c>
      <c r="BX1181">
        <v>370</v>
      </c>
      <c r="BY1181">
        <v>130</v>
      </c>
      <c r="BZ1181">
        <v>654</v>
      </c>
      <c r="CA1181">
        <v>1652</v>
      </c>
      <c r="CB1181">
        <v>0</v>
      </c>
      <c r="CC1181">
        <v>0</v>
      </c>
      <c r="CD1181">
        <v>0</v>
      </c>
      <c r="CE1181">
        <v>47</v>
      </c>
      <c r="CF1181">
        <v>481.03800000000001</v>
      </c>
      <c r="CG1181">
        <v>0</v>
      </c>
      <c r="CH1181">
        <v>0</v>
      </c>
      <c r="CI1181">
        <v>9</v>
      </c>
      <c r="CJ1181">
        <v>12</v>
      </c>
      <c r="CK1181">
        <v>0</v>
      </c>
      <c r="CL1181">
        <v>0</v>
      </c>
      <c r="CM1181">
        <v>234.82600000000002</v>
      </c>
      <c r="CN1181">
        <v>0</v>
      </c>
      <c r="CO1181">
        <v>0</v>
      </c>
      <c r="CP1181">
        <v>0</v>
      </c>
      <c r="CQ1181">
        <v>0</v>
      </c>
      <c r="CR1181">
        <v>0</v>
      </c>
      <c r="CS1181">
        <v>32.938000000000002</v>
      </c>
      <c r="CT1181">
        <v>0</v>
      </c>
      <c r="CU1181">
        <v>8.7640000000000011</v>
      </c>
      <c r="CV1181">
        <v>46.2</v>
      </c>
      <c r="CW1181">
        <v>63.351000000000006</v>
      </c>
      <c r="CX1181">
        <v>0</v>
      </c>
      <c r="CY1181" s="2043">
        <v>84156</v>
      </c>
      <c r="CZ1181" s="2043">
        <v>0</v>
      </c>
      <c r="DA1181" s="2043">
        <v>0</v>
      </c>
      <c r="DB1181" s="2043">
        <v>0</v>
      </c>
      <c r="DC1181" s="2043">
        <v>294791</v>
      </c>
      <c r="DI1181" t="s">
        <v>5300</v>
      </c>
      <c r="DJ1181" t="s">
        <v>5300</v>
      </c>
      <c r="DK1181" s="2042">
        <f t="shared" si="20"/>
        <v>0</v>
      </c>
    </row>
    <row r="1182" spans="1:115">
      <c r="A1182" t="s">
        <v>5301</v>
      </c>
      <c r="B1182" t="s">
        <v>856</v>
      </c>
      <c r="C1182">
        <v>462.30100000000004</v>
      </c>
      <c r="D1182">
        <v>498.21100000000001</v>
      </c>
      <c r="E1182">
        <v>61.491</v>
      </c>
      <c r="F1182">
        <v>0</v>
      </c>
      <c r="G1182" s="2043">
        <v>369127414</v>
      </c>
      <c r="H1182">
        <v>0</v>
      </c>
      <c r="I1182" s="2043">
        <v>0</v>
      </c>
      <c r="J1182">
        <v>9</v>
      </c>
      <c r="K1182">
        <v>25</v>
      </c>
      <c r="L1182">
        <v>0</v>
      </c>
      <c r="M1182">
        <v>0</v>
      </c>
      <c r="N1182">
        <v>0</v>
      </c>
      <c r="O1182">
        <v>0</v>
      </c>
      <c r="P1182">
        <v>0</v>
      </c>
      <c r="Q1182">
        <v>0</v>
      </c>
      <c r="R1182" s="2043">
        <v>3256393</v>
      </c>
      <c r="S1182">
        <v>316924</v>
      </c>
      <c r="T1182">
        <v>230958</v>
      </c>
      <c r="U1182">
        <v>0.08</v>
      </c>
      <c r="V1182">
        <v>0</v>
      </c>
      <c r="W1182">
        <v>0</v>
      </c>
      <c r="X1182">
        <v>0</v>
      </c>
      <c r="Y1182">
        <v>0</v>
      </c>
      <c r="Z1182">
        <v>0</v>
      </c>
      <c r="AA1182">
        <v>0</v>
      </c>
      <c r="AB1182">
        <v>461.18400000000003</v>
      </c>
      <c r="AC1182" s="2043">
        <v>284220260</v>
      </c>
      <c r="AD1182">
        <v>1485</v>
      </c>
      <c r="AE1182" s="2043">
        <v>3804275</v>
      </c>
      <c r="AF1182">
        <v>0.96030000000000004</v>
      </c>
      <c r="AG1182">
        <v>0</v>
      </c>
      <c r="AH1182">
        <v>0</v>
      </c>
      <c r="AI1182">
        <v>0</v>
      </c>
      <c r="AJ1182">
        <v>79.463000000000008</v>
      </c>
      <c r="AK1182">
        <v>1233</v>
      </c>
      <c r="AL1182">
        <v>0</v>
      </c>
      <c r="AM1182">
        <v>0</v>
      </c>
      <c r="AN1182">
        <v>19.288</v>
      </c>
      <c r="AO1182">
        <v>0</v>
      </c>
      <c r="AP1182">
        <v>0.92400000000000004</v>
      </c>
      <c r="AQ1182">
        <v>0</v>
      </c>
      <c r="AR1182">
        <v>2.9750000000000001</v>
      </c>
      <c r="AS1182">
        <v>0</v>
      </c>
      <c r="AT1182">
        <v>2.6000000000000002E-2</v>
      </c>
      <c r="AU1182">
        <v>0.64100000000000001</v>
      </c>
      <c r="AV1182">
        <v>0</v>
      </c>
      <c r="AW1182">
        <v>4.5659999999999998</v>
      </c>
      <c r="AX1182">
        <v>0</v>
      </c>
      <c r="AY1182">
        <v>14.703000000000001</v>
      </c>
      <c r="AZ1182">
        <v>0</v>
      </c>
      <c r="BA1182">
        <v>2788749</v>
      </c>
      <c r="BB1182">
        <v>3805760</v>
      </c>
      <c r="BC1182">
        <v>0</v>
      </c>
      <c r="BD1182">
        <v>43788</v>
      </c>
      <c r="BE1182">
        <v>20434</v>
      </c>
      <c r="BF1182">
        <v>64222</v>
      </c>
      <c r="BG1182">
        <v>43788</v>
      </c>
      <c r="BH1182">
        <v>0</v>
      </c>
      <c r="BI1182">
        <v>0</v>
      </c>
      <c r="BJ1182">
        <v>0</v>
      </c>
      <c r="BK1182">
        <v>0</v>
      </c>
      <c r="BL1182">
        <v>369127414</v>
      </c>
      <c r="BM1182">
        <v>0</v>
      </c>
      <c r="BN1182">
        <v>1557</v>
      </c>
      <c r="BO1182">
        <v>1124</v>
      </c>
      <c r="BP1182">
        <v>0</v>
      </c>
      <c r="BQ1182">
        <v>0</v>
      </c>
      <c r="BR1182">
        <v>0.82200000000000006</v>
      </c>
      <c r="BS1182">
        <v>0.82200000000000006</v>
      </c>
      <c r="BT1182">
        <v>0</v>
      </c>
      <c r="BU1182">
        <v>0</v>
      </c>
      <c r="BV1182">
        <v>10</v>
      </c>
      <c r="BW1182">
        <v>248</v>
      </c>
      <c r="BX1182">
        <v>24</v>
      </c>
      <c r="BY1182">
        <v>27</v>
      </c>
      <c r="BZ1182">
        <v>19</v>
      </c>
      <c r="CA1182">
        <v>328</v>
      </c>
      <c r="CB1182">
        <v>0</v>
      </c>
      <c r="CC1182">
        <v>0</v>
      </c>
      <c r="CD1182">
        <v>0</v>
      </c>
      <c r="CE1182">
        <v>22</v>
      </c>
      <c r="CF1182">
        <v>114.203</v>
      </c>
      <c r="CG1182">
        <v>0</v>
      </c>
      <c r="CH1182">
        <v>0</v>
      </c>
      <c r="CI1182">
        <v>0</v>
      </c>
      <c r="CJ1182">
        <v>3</v>
      </c>
      <c r="CK1182">
        <v>0</v>
      </c>
      <c r="CL1182">
        <v>0</v>
      </c>
      <c r="CM1182">
        <v>61.491</v>
      </c>
      <c r="CN1182">
        <v>0</v>
      </c>
      <c r="CO1182">
        <v>0</v>
      </c>
      <c r="CP1182">
        <v>0</v>
      </c>
      <c r="CQ1182">
        <v>0</v>
      </c>
      <c r="CR1182">
        <v>0</v>
      </c>
      <c r="CS1182">
        <v>0</v>
      </c>
      <c r="CT1182">
        <v>0</v>
      </c>
      <c r="CU1182">
        <v>0.88500000000000001</v>
      </c>
      <c r="CV1182">
        <v>28.127000000000002</v>
      </c>
      <c r="CW1182">
        <v>18.702999999999999</v>
      </c>
      <c r="CX1182">
        <v>0</v>
      </c>
      <c r="CY1182" s="2043">
        <v>0</v>
      </c>
      <c r="CZ1182" s="2043">
        <v>0</v>
      </c>
      <c r="DA1182" s="2043">
        <v>0</v>
      </c>
      <c r="DB1182" s="2043">
        <v>0</v>
      </c>
      <c r="DC1182" s="2043">
        <v>0</v>
      </c>
      <c r="DI1182" t="s">
        <v>5301</v>
      </c>
      <c r="DJ1182" t="s">
        <v>5301</v>
      </c>
      <c r="DK1182" s="2042">
        <f t="shared" si="20"/>
        <v>0</v>
      </c>
    </row>
    <row r="1183" spans="1:115">
      <c r="A1183" t="s">
        <v>5896</v>
      </c>
      <c r="B1183" t="s">
        <v>857</v>
      </c>
      <c r="C1183">
        <v>327.21100000000001</v>
      </c>
      <c r="D1183">
        <v>363.39100000000002</v>
      </c>
      <c r="E1183">
        <v>0</v>
      </c>
      <c r="F1183">
        <v>0</v>
      </c>
      <c r="G1183" s="2043">
        <v>134322082</v>
      </c>
      <c r="H1183">
        <v>0</v>
      </c>
      <c r="I1183" s="2043">
        <v>0</v>
      </c>
      <c r="J1183">
        <v>8</v>
      </c>
      <c r="K1183">
        <v>22</v>
      </c>
      <c r="L1183">
        <v>0</v>
      </c>
      <c r="M1183">
        <v>0</v>
      </c>
      <c r="N1183">
        <v>0</v>
      </c>
      <c r="O1183">
        <v>0</v>
      </c>
      <c r="P1183">
        <v>0</v>
      </c>
      <c r="Q1183">
        <v>0</v>
      </c>
      <c r="R1183" s="2043">
        <v>1203732</v>
      </c>
      <c r="S1183">
        <v>65893</v>
      </c>
      <c r="T1183">
        <v>0</v>
      </c>
      <c r="U1183">
        <v>0.05</v>
      </c>
      <c r="V1183">
        <v>0</v>
      </c>
      <c r="W1183">
        <v>0</v>
      </c>
      <c r="X1183">
        <v>0</v>
      </c>
      <c r="Y1183">
        <v>0</v>
      </c>
      <c r="Z1183">
        <v>0</v>
      </c>
      <c r="AA1183">
        <v>0</v>
      </c>
      <c r="AB1183">
        <v>341.59800000000001</v>
      </c>
      <c r="AC1183" s="2043">
        <v>132468633</v>
      </c>
      <c r="AD1183">
        <v>0</v>
      </c>
      <c r="AE1183" s="2043">
        <v>1269625</v>
      </c>
      <c r="AF1183">
        <v>0.96340000000000003</v>
      </c>
      <c r="AG1183">
        <v>0</v>
      </c>
      <c r="AH1183">
        <v>0</v>
      </c>
      <c r="AI1183">
        <v>0</v>
      </c>
      <c r="AJ1183">
        <v>57.888000000000005</v>
      </c>
      <c r="AK1183">
        <v>2962</v>
      </c>
      <c r="AL1183">
        <v>0</v>
      </c>
      <c r="AM1183">
        <v>0</v>
      </c>
      <c r="AN1183">
        <v>0</v>
      </c>
      <c r="AO1183">
        <v>0</v>
      </c>
      <c r="AP1183">
        <v>0</v>
      </c>
      <c r="AQ1183">
        <v>0</v>
      </c>
      <c r="AR1183">
        <v>24.672000000000001</v>
      </c>
      <c r="AS1183">
        <v>0</v>
      </c>
      <c r="AT1183">
        <v>2.3220000000000001</v>
      </c>
      <c r="AU1183">
        <v>0.877</v>
      </c>
      <c r="AV1183">
        <v>0</v>
      </c>
      <c r="AW1183">
        <v>27.871000000000002</v>
      </c>
      <c r="AX1183">
        <v>0</v>
      </c>
      <c r="AY1183">
        <v>85.367000000000004</v>
      </c>
      <c r="AZ1183">
        <v>0</v>
      </c>
      <c r="BA1183">
        <v>3215500</v>
      </c>
      <c r="BB1183">
        <v>1269625</v>
      </c>
      <c r="BC1183">
        <v>0</v>
      </c>
      <c r="BD1183">
        <v>21182</v>
      </c>
      <c r="BE1183">
        <v>0</v>
      </c>
      <c r="BF1183">
        <v>21182</v>
      </c>
      <c r="BG1183">
        <v>21182</v>
      </c>
      <c r="BH1183">
        <v>0</v>
      </c>
      <c r="BI1183">
        <v>0</v>
      </c>
      <c r="BJ1183">
        <v>0</v>
      </c>
      <c r="BK1183">
        <v>0</v>
      </c>
      <c r="BL1183">
        <v>134322082</v>
      </c>
      <c r="BM1183">
        <v>0</v>
      </c>
      <c r="BN1183">
        <v>1710</v>
      </c>
      <c r="BO1183">
        <v>696</v>
      </c>
      <c r="BP1183">
        <v>0</v>
      </c>
      <c r="BQ1183">
        <v>0</v>
      </c>
      <c r="BR1183">
        <v>0.91339999999999999</v>
      </c>
      <c r="BS1183">
        <v>0.91339999999999999</v>
      </c>
      <c r="BT1183">
        <v>0</v>
      </c>
      <c r="BU1183">
        <v>0</v>
      </c>
      <c r="BV1183">
        <v>1</v>
      </c>
      <c r="BW1183">
        <v>1</v>
      </c>
      <c r="BX1183">
        <v>152</v>
      </c>
      <c r="BY1183">
        <v>74</v>
      </c>
      <c r="BZ1183">
        <v>0</v>
      </c>
      <c r="CA1183">
        <v>228</v>
      </c>
      <c r="CB1183">
        <v>0</v>
      </c>
      <c r="CC1183">
        <v>11.392000000000001</v>
      </c>
      <c r="CD1183">
        <v>0</v>
      </c>
      <c r="CE1183">
        <v>45</v>
      </c>
      <c r="CF1183">
        <v>63.269000000000005</v>
      </c>
      <c r="CG1183">
        <v>0</v>
      </c>
      <c r="CH1183">
        <v>0</v>
      </c>
      <c r="CI1183">
        <v>0</v>
      </c>
      <c r="CJ1183">
        <v>0</v>
      </c>
      <c r="CK1183">
        <v>0</v>
      </c>
      <c r="CL1183">
        <v>0</v>
      </c>
      <c r="CM1183">
        <v>0</v>
      </c>
      <c r="CN1183">
        <v>0</v>
      </c>
      <c r="CO1183">
        <v>0</v>
      </c>
      <c r="CP1183">
        <v>0</v>
      </c>
      <c r="CQ1183">
        <v>0</v>
      </c>
      <c r="CR1183">
        <v>0</v>
      </c>
      <c r="CS1183">
        <v>0</v>
      </c>
      <c r="CT1183">
        <v>0</v>
      </c>
      <c r="CU1183">
        <v>2.4420000000000002</v>
      </c>
      <c r="CV1183">
        <v>17.185000000000002</v>
      </c>
      <c r="CW1183">
        <v>9.527000000000001</v>
      </c>
      <c r="CX1183">
        <v>0</v>
      </c>
      <c r="CY1183" s="2043">
        <v>0</v>
      </c>
      <c r="CZ1183" s="2043">
        <v>0</v>
      </c>
      <c r="DA1183" s="2043">
        <v>0</v>
      </c>
      <c r="DB1183" s="2043">
        <v>0</v>
      </c>
      <c r="DC1183" s="2043">
        <v>0</v>
      </c>
      <c r="DI1183" t="s">
        <v>5896</v>
      </c>
      <c r="DJ1183" t="s">
        <v>5896</v>
      </c>
      <c r="DK1183" s="2042">
        <f t="shared" si="20"/>
        <v>0</v>
      </c>
    </row>
    <row r="1184" spans="1:115">
      <c r="A1184" t="s">
        <v>5302</v>
      </c>
      <c r="B1184" t="s">
        <v>858</v>
      </c>
      <c r="C1184">
        <v>373.43400000000003</v>
      </c>
      <c r="D1184">
        <v>423.72500000000002</v>
      </c>
      <c r="E1184">
        <v>82.421000000000006</v>
      </c>
      <c r="F1184">
        <v>0</v>
      </c>
      <c r="G1184" s="2043">
        <v>225971907</v>
      </c>
      <c r="H1184">
        <v>0</v>
      </c>
      <c r="I1184" s="2043">
        <v>325172</v>
      </c>
      <c r="J1184">
        <v>2</v>
      </c>
      <c r="K1184">
        <v>5</v>
      </c>
      <c r="L1184">
        <v>0</v>
      </c>
      <c r="M1184">
        <v>0</v>
      </c>
      <c r="N1184">
        <v>0</v>
      </c>
      <c r="O1184">
        <v>0</v>
      </c>
      <c r="P1184">
        <v>0</v>
      </c>
      <c r="Q1184">
        <v>0</v>
      </c>
      <c r="R1184" s="2043">
        <v>1932896</v>
      </c>
      <c r="S1184">
        <v>105808</v>
      </c>
      <c r="T1184">
        <v>0</v>
      </c>
      <c r="U1184">
        <v>0.05</v>
      </c>
      <c r="V1184">
        <v>0</v>
      </c>
      <c r="W1184">
        <v>0</v>
      </c>
      <c r="X1184">
        <v>0</v>
      </c>
      <c r="Y1184">
        <v>0</v>
      </c>
      <c r="Z1184">
        <v>0</v>
      </c>
      <c r="AA1184">
        <v>0</v>
      </c>
      <c r="AB1184">
        <v>390.41</v>
      </c>
      <c r="AC1184" s="2043">
        <v>294588570</v>
      </c>
      <c r="AD1184">
        <v>407961</v>
      </c>
      <c r="AE1184" s="2043">
        <v>2038704</v>
      </c>
      <c r="AF1184">
        <v>0.96340000000000003</v>
      </c>
      <c r="AG1184">
        <v>0</v>
      </c>
      <c r="AH1184">
        <v>0</v>
      </c>
      <c r="AI1184">
        <v>0</v>
      </c>
      <c r="AJ1184">
        <v>66.825000000000003</v>
      </c>
      <c r="AK1184">
        <v>1957</v>
      </c>
      <c r="AL1184">
        <v>0</v>
      </c>
      <c r="AM1184">
        <v>0</v>
      </c>
      <c r="AN1184">
        <v>0.58700000000000008</v>
      </c>
      <c r="AO1184">
        <v>0</v>
      </c>
      <c r="AP1184">
        <v>0</v>
      </c>
      <c r="AQ1184">
        <v>0</v>
      </c>
      <c r="AR1184">
        <v>17.884</v>
      </c>
      <c r="AS1184">
        <v>0</v>
      </c>
      <c r="AT1184">
        <v>0.45900000000000002</v>
      </c>
      <c r="AU1184">
        <v>0.28999999999999998</v>
      </c>
      <c r="AV1184">
        <v>0</v>
      </c>
      <c r="AW1184">
        <v>18.632999999999999</v>
      </c>
      <c r="AX1184">
        <v>0</v>
      </c>
      <c r="AY1184">
        <v>56.478999999999999</v>
      </c>
      <c r="AZ1184">
        <v>0</v>
      </c>
      <c r="BA1184">
        <v>2722454</v>
      </c>
      <c r="BB1184">
        <v>2446665</v>
      </c>
      <c r="BC1184">
        <v>0</v>
      </c>
      <c r="BD1184">
        <v>11164</v>
      </c>
      <c r="BE1184">
        <v>753</v>
      </c>
      <c r="BF1184">
        <v>11917</v>
      </c>
      <c r="BG1184">
        <v>11164</v>
      </c>
      <c r="BH1184">
        <v>0</v>
      </c>
      <c r="BI1184">
        <v>0</v>
      </c>
      <c r="BJ1184">
        <v>0</v>
      </c>
      <c r="BK1184">
        <v>0</v>
      </c>
      <c r="BL1184">
        <v>225971907</v>
      </c>
      <c r="BM1184">
        <v>0</v>
      </c>
      <c r="BN1184">
        <v>1422</v>
      </c>
      <c r="BO1184">
        <v>1316</v>
      </c>
      <c r="BP1184">
        <v>0</v>
      </c>
      <c r="BQ1184">
        <v>0</v>
      </c>
      <c r="BR1184">
        <v>0.91339999999999999</v>
      </c>
      <c r="BS1184">
        <v>0.91339999999999999</v>
      </c>
      <c r="BT1184">
        <v>0</v>
      </c>
      <c r="BU1184">
        <v>0</v>
      </c>
      <c r="BV1184">
        <v>0</v>
      </c>
      <c r="BW1184">
        <v>16</v>
      </c>
      <c r="BX1184">
        <v>235</v>
      </c>
      <c r="BY1184">
        <v>10</v>
      </c>
      <c r="BZ1184">
        <v>6</v>
      </c>
      <c r="CA1184">
        <v>267</v>
      </c>
      <c r="CB1184">
        <v>0</v>
      </c>
      <c r="CC1184">
        <v>0</v>
      </c>
      <c r="CD1184">
        <v>0</v>
      </c>
      <c r="CE1184">
        <v>25</v>
      </c>
      <c r="CF1184">
        <v>96.75200000000001</v>
      </c>
      <c r="CG1184">
        <v>0</v>
      </c>
      <c r="CH1184">
        <v>0</v>
      </c>
      <c r="CI1184">
        <v>2</v>
      </c>
      <c r="CJ1184">
        <v>4</v>
      </c>
      <c r="CK1184">
        <v>0</v>
      </c>
      <c r="CL1184">
        <v>0</v>
      </c>
      <c r="CM1184">
        <v>82.421000000000006</v>
      </c>
      <c r="CN1184">
        <v>0</v>
      </c>
      <c r="CO1184">
        <v>0</v>
      </c>
      <c r="CP1184">
        <v>0</v>
      </c>
      <c r="CQ1184">
        <v>0</v>
      </c>
      <c r="CR1184">
        <v>0</v>
      </c>
      <c r="CS1184">
        <v>0</v>
      </c>
      <c r="CT1184">
        <v>0</v>
      </c>
      <c r="CU1184">
        <v>0.86899999999999999</v>
      </c>
      <c r="CV1184">
        <v>23.391999999999999</v>
      </c>
      <c r="CW1184">
        <v>10.107000000000001</v>
      </c>
      <c r="CX1184">
        <v>0</v>
      </c>
      <c r="CY1184" s="2043">
        <v>0</v>
      </c>
      <c r="CZ1184" s="2043">
        <v>0</v>
      </c>
      <c r="DA1184" s="2043">
        <v>0</v>
      </c>
      <c r="DB1184" s="2043">
        <v>0</v>
      </c>
      <c r="DC1184" s="2043">
        <v>0</v>
      </c>
      <c r="DI1184" t="s">
        <v>5302</v>
      </c>
      <c r="DJ1184" t="s">
        <v>5302</v>
      </c>
      <c r="DK1184" s="2042">
        <f t="shared" si="20"/>
        <v>0</v>
      </c>
    </row>
    <row r="1185" spans="1:115">
      <c r="A1185" t="s">
        <v>5897</v>
      </c>
      <c r="B1185" t="s">
        <v>1628</v>
      </c>
      <c r="C1185">
        <v>126.801</v>
      </c>
      <c r="D1185">
        <v>109.462</v>
      </c>
      <c r="E1185">
        <v>7.5640000000000001</v>
      </c>
      <c r="F1185">
        <v>0</v>
      </c>
      <c r="G1185" s="2043">
        <v>440676946</v>
      </c>
      <c r="H1185">
        <v>0</v>
      </c>
      <c r="I1185" s="2043">
        <v>538367</v>
      </c>
      <c r="J1185">
        <v>6.34</v>
      </c>
      <c r="K1185">
        <v>17</v>
      </c>
      <c r="L1185">
        <v>0</v>
      </c>
      <c r="M1185">
        <v>0</v>
      </c>
      <c r="N1185">
        <v>0</v>
      </c>
      <c r="O1185">
        <v>0</v>
      </c>
      <c r="P1185">
        <v>0</v>
      </c>
      <c r="Q1185">
        <v>0</v>
      </c>
      <c r="R1185" s="2043">
        <v>3650187</v>
      </c>
      <c r="S1185">
        <v>199813</v>
      </c>
      <c r="T1185">
        <v>0</v>
      </c>
      <c r="U1185">
        <v>0.05</v>
      </c>
      <c r="V1185">
        <v>0</v>
      </c>
      <c r="W1185">
        <v>1869597</v>
      </c>
      <c r="X1185">
        <v>0</v>
      </c>
      <c r="Y1185">
        <v>492674</v>
      </c>
      <c r="Z1185">
        <v>0</v>
      </c>
      <c r="AA1185">
        <v>0</v>
      </c>
      <c r="AB1185">
        <v>109.462</v>
      </c>
      <c r="AC1185" s="2043">
        <v>646560014</v>
      </c>
      <c r="AD1185">
        <v>475297</v>
      </c>
      <c r="AE1185" s="2043">
        <v>3850000</v>
      </c>
      <c r="AF1185">
        <v>0.96340000000000003</v>
      </c>
      <c r="AG1185">
        <v>0</v>
      </c>
      <c r="AH1185">
        <v>1869597</v>
      </c>
      <c r="AI1185">
        <v>0</v>
      </c>
      <c r="AJ1185">
        <v>22.900000000000002</v>
      </c>
      <c r="AK1185">
        <v>624</v>
      </c>
      <c r="AL1185">
        <v>0</v>
      </c>
      <c r="AM1185">
        <v>0</v>
      </c>
      <c r="AN1185">
        <v>0</v>
      </c>
      <c r="AO1185">
        <v>0</v>
      </c>
      <c r="AP1185">
        <v>0</v>
      </c>
      <c r="AQ1185">
        <v>0</v>
      </c>
      <c r="AR1185">
        <v>5.4870000000000001</v>
      </c>
      <c r="AS1185">
        <v>0</v>
      </c>
      <c r="AT1185">
        <v>0</v>
      </c>
      <c r="AU1185">
        <v>0.17800000000000002</v>
      </c>
      <c r="AV1185">
        <v>0</v>
      </c>
      <c r="AW1185">
        <v>5.665</v>
      </c>
      <c r="AX1185">
        <v>0</v>
      </c>
      <c r="AY1185">
        <v>17.350999999999999</v>
      </c>
      <c r="AZ1185">
        <v>0</v>
      </c>
      <c r="BA1185">
        <v>548597</v>
      </c>
      <c r="BB1185">
        <v>4325297</v>
      </c>
      <c r="BC1185">
        <v>0</v>
      </c>
      <c r="BD1185">
        <v>0</v>
      </c>
      <c r="BE1185">
        <v>0</v>
      </c>
      <c r="BF1185">
        <v>0</v>
      </c>
      <c r="BG1185">
        <v>0</v>
      </c>
      <c r="BH1185">
        <v>0</v>
      </c>
      <c r="BI1185">
        <v>0</v>
      </c>
      <c r="BJ1185">
        <v>0</v>
      </c>
      <c r="BK1185">
        <v>0</v>
      </c>
      <c r="BL1185">
        <v>440676946</v>
      </c>
      <c r="BM1185">
        <v>0</v>
      </c>
      <c r="BN1185">
        <v>450</v>
      </c>
      <c r="BO1185">
        <v>75</v>
      </c>
      <c r="BP1185">
        <v>0</v>
      </c>
      <c r="BQ1185">
        <v>0</v>
      </c>
      <c r="BR1185">
        <v>0.91339999999999999</v>
      </c>
      <c r="BS1185">
        <v>0.91339999999999999</v>
      </c>
      <c r="BT1185">
        <v>0</v>
      </c>
      <c r="BU1185">
        <v>252245</v>
      </c>
      <c r="BV1185">
        <v>0</v>
      </c>
      <c r="BW1185">
        <v>23</v>
      </c>
      <c r="BX1185">
        <v>54</v>
      </c>
      <c r="BY1185">
        <v>15</v>
      </c>
      <c r="BZ1185">
        <v>0</v>
      </c>
      <c r="CA1185">
        <v>92</v>
      </c>
      <c r="CB1185">
        <v>0</v>
      </c>
      <c r="CC1185">
        <v>0</v>
      </c>
      <c r="CD1185">
        <v>0</v>
      </c>
      <c r="CE1185">
        <v>13</v>
      </c>
      <c r="CF1185">
        <v>27.205000000000002</v>
      </c>
      <c r="CG1185">
        <v>0</v>
      </c>
      <c r="CH1185">
        <v>0</v>
      </c>
      <c r="CI1185">
        <v>1</v>
      </c>
      <c r="CJ1185">
        <v>0</v>
      </c>
      <c r="CK1185">
        <v>0</v>
      </c>
      <c r="CL1185">
        <v>0</v>
      </c>
      <c r="CM1185">
        <v>7.5640000000000001</v>
      </c>
      <c r="CN1185">
        <v>0</v>
      </c>
      <c r="CO1185">
        <v>0</v>
      </c>
      <c r="CP1185">
        <v>0</v>
      </c>
      <c r="CQ1185">
        <v>0</v>
      </c>
      <c r="CR1185">
        <v>0</v>
      </c>
      <c r="CS1185">
        <v>0</v>
      </c>
      <c r="CT1185">
        <v>0</v>
      </c>
      <c r="CU1185">
        <v>0.47300000000000003</v>
      </c>
      <c r="CV1185">
        <v>6.71</v>
      </c>
      <c r="CW1185">
        <v>3.89</v>
      </c>
      <c r="CX1185">
        <v>0</v>
      </c>
      <c r="CY1185" s="2043">
        <v>240429</v>
      </c>
      <c r="CZ1185" s="2043">
        <v>0</v>
      </c>
      <c r="DA1185" s="2043">
        <v>0</v>
      </c>
      <c r="DB1185" s="2043">
        <v>0</v>
      </c>
      <c r="DC1185" s="2043">
        <v>140399</v>
      </c>
      <c r="DI1185" t="s">
        <v>5897</v>
      </c>
      <c r="DJ1185" t="s">
        <v>5897</v>
      </c>
      <c r="DK1185" s="2042">
        <f t="shared" si="20"/>
        <v>0</v>
      </c>
    </row>
    <row r="1186" spans="1:115">
      <c r="A1186" t="s">
        <v>5303</v>
      </c>
      <c r="B1186" t="s">
        <v>2194</v>
      </c>
      <c r="C1186">
        <v>141.91500000000002</v>
      </c>
      <c r="D1186">
        <v>130.63400000000001</v>
      </c>
      <c r="E1186">
        <v>1.9620000000000002</v>
      </c>
      <c r="F1186">
        <v>93150</v>
      </c>
      <c r="G1186" s="2043">
        <v>767554437</v>
      </c>
      <c r="H1186">
        <v>0</v>
      </c>
      <c r="I1186" s="2043">
        <v>0</v>
      </c>
      <c r="J1186">
        <v>0</v>
      </c>
      <c r="K1186">
        <v>0</v>
      </c>
      <c r="L1186">
        <v>0</v>
      </c>
      <c r="M1186">
        <v>0</v>
      </c>
      <c r="N1186">
        <v>0</v>
      </c>
      <c r="O1186">
        <v>0</v>
      </c>
      <c r="P1186">
        <v>0</v>
      </c>
      <c r="Q1186">
        <v>0</v>
      </c>
      <c r="R1186" s="2043">
        <v>6296552</v>
      </c>
      <c r="S1186">
        <v>344677</v>
      </c>
      <c r="T1186">
        <v>0</v>
      </c>
      <c r="U1186">
        <v>0.05</v>
      </c>
      <c r="V1186">
        <v>0</v>
      </c>
      <c r="W1186">
        <v>4408751</v>
      </c>
      <c r="X1186">
        <v>0</v>
      </c>
      <c r="Y1186">
        <v>367037</v>
      </c>
      <c r="Z1186">
        <v>0</v>
      </c>
      <c r="AA1186">
        <v>0</v>
      </c>
      <c r="AB1186">
        <v>130.63400000000001</v>
      </c>
      <c r="AC1186" s="2043">
        <v>1197029723</v>
      </c>
      <c r="AD1186">
        <v>783121</v>
      </c>
      <c r="AE1186" s="2043">
        <v>6641229</v>
      </c>
      <c r="AF1186">
        <v>0.96340000000000003</v>
      </c>
      <c r="AG1186">
        <v>0</v>
      </c>
      <c r="AH1186">
        <v>4408751</v>
      </c>
      <c r="AI1186">
        <v>0</v>
      </c>
      <c r="AJ1186">
        <v>11.113000000000001</v>
      </c>
      <c r="AK1186">
        <v>841</v>
      </c>
      <c r="AL1186">
        <v>0</v>
      </c>
      <c r="AM1186">
        <v>0</v>
      </c>
      <c r="AN1186">
        <v>0.84400000000000008</v>
      </c>
      <c r="AO1186">
        <v>0</v>
      </c>
      <c r="AP1186">
        <v>0</v>
      </c>
      <c r="AQ1186">
        <v>0</v>
      </c>
      <c r="AR1186">
        <v>6.8920000000000003</v>
      </c>
      <c r="AS1186">
        <v>0</v>
      </c>
      <c r="AT1186">
        <v>0</v>
      </c>
      <c r="AU1186">
        <v>0.34800000000000003</v>
      </c>
      <c r="AV1186">
        <v>0</v>
      </c>
      <c r="AW1186">
        <v>7.24</v>
      </c>
      <c r="AX1186">
        <v>0</v>
      </c>
      <c r="AY1186">
        <v>22.416</v>
      </c>
      <c r="AZ1186">
        <v>0</v>
      </c>
      <c r="BA1186">
        <v>433777</v>
      </c>
      <c r="BB1186">
        <v>7424350</v>
      </c>
      <c r="BC1186">
        <v>0</v>
      </c>
      <c r="BD1186">
        <v>48672</v>
      </c>
      <c r="BE1186">
        <v>0</v>
      </c>
      <c r="BF1186">
        <v>48672</v>
      </c>
      <c r="BG1186">
        <v>48672</v>
      </c>
      <c r="BH1186">
        <v>0</v>
      </c>
      <c r="BI1186">
        <v>0</v>
      </c>
      <c r="BJ1186">
        <v>0</v>
      </c>
      <c r="BK1186">
        <v>0</v>
      </c>
      <c r="BL1186">
        <v>767554437</v>
      </c>
      <c r="BM1186">
        <v>0</v>
      </c>
      <c r="BN1186">
        <v>450</v>
      </c>
      <c r="BO1186">
        <v>407</v>
      </c>
      <c r="BP1186">
        <v>0</v>
      </c>
      <c r="BQ1186">
        <v>0</v>
      </c>
      <c r="BR1186">
        <v>0.91339999999999999</v>
      </c>
      <c r="BS1186">
        <v>0.91339999999999999</v>
      </c>
      <c r="BT1186">
        <v>0</v>
      </c>
      <c r="BU1186">
        <v>273887</v>
      </c>
      <c r="BV1186">
        <v>7</v>
      </c>
      <c r="BW1186">
        <v>37</v>
      </c>
      <c r="BX1186">
        <v>3</v>
      </c>
      <c r="BY1186">
        <v>0</v>
      </c>
      <c r="BZ1186">
        <v>0</v>
      </c>
      <c r="CA1186">
        <v>47</v>
      </c>
      <c r="CB1186">
        <v>0</v>
      </c>
      <c r="CC1186">
        <v>0</v>
      </c>
      <c r="CD1186">
        <v>0</v>
      </c>
      <c r="CE1186">
        <v>8</v>
      </c>
      <c r="CF1186">
        <v>20.762</v>
      </c>
      <c r="CG1186">
        <v>0</v>
      </c>
      <c r="CH1186">
        <v>0</v>
      </c>
      <c r="CI1186">
        <v>1</v>
      </c>
      <c r="CJ1186">
        <v>0</v>
      </c>
      <c r="CK1186">
        <v>0</v>
      </c>
      <c r="CL1186">
        <v>0</v>
      </c>
      <c r="CM1186">
        <v>1.9620000000000002</v>
      </c>
      <c r="CN1186">
        <v>0</v>
      </c>
      <c r="CO1186">
        <v>0</v>
      </c>
      <c r="CP1186">
        <v>0</v>
      </c>
      <c r="CQ1186">
        <v>0</v>
      </c>
      <c r="CR1186">
        <v>0</v>
      </c>
      <c r="CS1186">
        <v>0</v>
      </c>
      <c r="CT1186">
        <v>0</v>
      </c>
      <c r="CU1186">
        <v>0</v>
      </c>
      <c r="CV1186">
        <v>4.1070000000000002</v>
      </c>
      <c r="CW1186">
        <v>5.8650000000000002</v>
      </c>
      <c r="CX1186">
        <v>0</v>
      </c>
      <c r="CY1186" s="2043">
        <v>0</v>
      </c>
      <c r="CZ1186" s="2043">
        <v>0</v>
      </c>
      <c r="DA1186" s="2043">
        <v>0</v>
      </c>
      <c r="DB1186" s="2043">
        <v>93150</v>
      </c>
      <c r="DC1186" s="2043">
        <v>254817</v>
      </c>
      <c r="DI1186" t="s">
        <v>5303</v>
      </c>
      <c r="DJ1186" t="s">
        <v>5303</v>
      </c>
      <c r="DK1186" s="2042">
        <f t="shared" si="20"/>
        <v>0</v>
      </c>
    </row>
    <row r="1187" spans="1:115">
      <c r="A1187" t="s">
        <v>3251</v>
      </c>
      <c r="B1187" t="s">
        <v>837</v>
      </c>
      <c r="C1187">
        <v>3013.2740000000003</v>
      </c>
      <c r="D1187">
        <v>3016.998</v>
      </c>
      <c r="E1187">
        <v>59.936</v>
      </c>
      <c r="F1187">
        <v>0</v>
      </c>
      <c r="G1187" s="2043">
        <v>964737228</v>
      </c>
      <c r="H1187">
        <v>0</v>
      </c>
      <c r="I1187" s="2043">
        <v>3440213</v>
      </c>
      <c r="J1187">
        <v>150.66400000000002</v>
      </c>
      <c r="K1187">
        <v>412</v>
      </c>
      <c r="L1187">
        <v>63347</v>
      </c>
      <c r="M1187">
        <v>689085</v>
      </c>
      <c r="N1187">
        <v>63347</v>
      </c>
      <c r="O1187">
        <v>752432</v>
      </c>
      <c r="P1187">
        <v>0</v>
      </c>
      <c r="Q1187">
        <v>0</v>
      </c>
      <c r="R1187" s="2043">
        <v>8713671</v>
      </c>
      <c r="S1187">
        <v>763186</v>
      </c>
      <c r="T1187">
        <v>556171</v>
      </c>
      <c r="U1187">
        <v>0.08</v>
      </c>
      <c r="V1187">
        <v>0</v>
      </c>
      <c r="W1187">
        <v>0</v>
      </c>
      <c r="X1187">
        <v>0</v>
      </c>
      <c r="Y1187">
        <v>0</v>
      </c>
      <c r="Z1187">
        <v>0</v>
      </c>
      <c r="AA1187">
        <v>0.32800000000000001</v>
      </c>
      <c r="AB1187">
        <v>2964.8920000000003</v>
      </c>
      <c r="AC1187" s="2043">
        <v>890202887</v>
      </c>
      <c r="AD1187">
        <v>3579285</v>
      </c>
      <c r="AE1187" s="2043">
        <v>10033028</v>
      </c>
      <c r="AF1187">
        <v>1.0517000000000001</v>
      </c>
      <c r="AG1187">
        <v>0</v>
      </c>
      <c r="AH1187">
        <v>0</v>
      </c>
      <c r="AI1187">
        <v>0</v>
      </c>
      <c r="AJ1187">
        <v>407.3</v>
      </c>
      <c r="AK1187">
        <v>14712</v>
      </c>
      <c r="AL1187">
        <v>0.16900000000000001</v>
      </c>
      <c r="AM1187">
        <v>0</v>
      </c>
      <c r="AN1187">
        <v>26.762</v>
      </c>
      <c r="AO1187">
        <v>0</v>
      </c>
      <c r="AP1187">
        <v>0</v>
      </c>
      <c r="AQ1187">
        <v>0</v>
      </c>
      <c r="AR1187">
        <v>152.93</v>
      </c>
      <c r="AS1187">
        <v>0</v>
      </c>
      <c r="AT1187">
        <v>28.18</v>
      </c>
      <c r="AU1187">
        <v>7.5340000000000007</v>
      </c>
      <c r="AV1187">
        <v>0</v>
      </c>
      <c r="AW1187">
        <v>188.81300000000002</v>
      </c>
      <c r="AX1187">
        <v>0</v>
      </c>
      <c r="AY1187">
        <v>581.84500000000003</v>
      </c>
      <c r="AZ1187">
        <v>0</v>
      </c>
      <c r="BA1187">
        <v>21305965</v>
      </c>
      <c r="BB1187">
        <v>13612313</v>
      </c>
      <c r="BC1187">
        <v>0</v>
      </c>
      <c r="BD1187">
        <v>108581</v>
      </c>
      <c r="BE1187">
        <v>49897</v>
      </c>
      <c r="BF1187">
        <v>165049</v>
      </c>
      <c r="BG1187">
        <v>108581</v>
      </c>
      <c r="BH1187">
        <v>6571</v>
      </c>
      <c r="BI1187">
        <v>0</v>
      </c>
      <c r="BJ1187">
        <v>0</v>
      </c>
      <c r="BK1187">
        <v>0</v>
      </c>
      <c r="BL1187">
        <v>964737228</v>
      </c>
      <c r="BM1187">
        <v>0</v>
      </c>
      <c r="BN1187">
        <v>9342</v>
      </c>
      <c r="BO1187">
        <v>3734</v>
      </c>
      <c r="BP1187">
        <v>0</v>
      </c>
      <c r="BQ1187">
        <v>0</v>
      </c>
      <c r="BR1187">
        <v>0.91339999999999999</v>
      </c>
      <c r="BS1187">
        <v>0.91339999999999999</v>
      </c>
      <c r="BT1187">
        <v>0</v>
      </c>
      <c r="BU1187">
        <v>0</v>
      </c>
      <c r="BV1187">
        <v>320</v>
      </c>
      <c r="BW1187">
        <v>575</v>
      </c>
      <c r="BX1187">
        <v>186</v>
      </c>
      <c r="BY1187">
        <v>405</v>
      </c>
      <c r="BZ1187">
        <v>167</v>
      </c>
      <c r="CA1187">
        <v>1653</v>
      </c>
      <c r="CB1187">
        <v>0</v>
      </c>
      <c r="CC1187">
        <v>0</v>
      </c>
      <c r="CD1187">
        <v>0</v>
      </c>
      <c r="CE1187">
        <v>243</v>
      </c>
      <c r="CF1187">
        <v>461.01800000000003</v>
      </c>
      <c r="CG1187">
        <v>21.814</v>
      </c>
      <c r="CH1187">
        <v>0</v>
      </c>
      <c r="CI1187">
        <v>6</v>
      </c>
      <c r="CJ1187">
        <v>20</v>
      </c>
      <c r="CK1187">
        <v>0</v>
      </c>
      <c r="CL1187">
        <v>21.814</v>
      </c>
      <c r="CM1187">
        <v>59.936</v>
      </c>
      <c r="CN1187">
        <v>0</v>
      </c>
      <c r="CO1187">
        <v>0</v>
      </c>
      <c r="CP1187">
        <v>0</v>
      </c>
      <c r="CQ1187">
        <v>0</v>
      </c>
      <c r="CR1187">
        <v>0</v>
      </c>
      <c r="CS1187">
        <v>0</v>
      </c>
      <c r="CT1187">
        <v>0</v>
      </c>
      <c r="CU1187">
        <v>1.915</v>
      </c>
      <c r="CV1187">
        <v>154.69</v>
      </c>
      <c r="CW1187">
        <v>81.90100000000001</v>
      </c>
      <c r="CX1187">
        <v>0</v>
      </c>
      <c r="CY1187" s="2043">
        <v>0</v>
      </c>
      <c r="CZ1187" s="2043">
        <v>0</v>
      </c>
      <c r="DA1187" s="2043">
        <v>0</v>
      </c>
      <c r="DB1187" s="2043">
        <v>0</v>
      </c>
      <c r="DC1187" s="2043">
        <v>0</v>
      </c>
      <c r="DI1187" t="s">
        <v>3251</v>
      </c>
      <c r="DJ1187" t="s">
        <v>3251</v>
      </c>
      <c r="DK1187" s="2042">
        <f t="shared" si="20"/>
        <v>0</v>
      </c>
    </row>
    <row r="1188" spans="1:115">
      <c r="A1188" t="s">
        <v>5304</v>
      </c>
      <c r="B1188" t="s">
        <v>1181</v>
      </c>
      <c r="C1188">
        <v>401.03300000000002</v>
      </c>
      <c r="D1188">
        <v>407.28500000000003</v>
      </c>
      <c r="E1188">
        <v>2.8920000000000003</v>
      </c>
      <c r="F1188">
        <v>0</v>
      </c>
      <c r="G1188" s="2043">
        <v>159469105</v>
      </c>
      <c r="H1188">
        <v>0</v>
      </c>
      <c r="I1188" s="2043">
        <v>665156</v>
      </c>
      <c r="J1188">
        <v>20.052</v>
      </c>
      <c r="K1188">
        <v>55</v>
      </c>
      <c r="L1188">
        <v>0</v>
      </c>
      <c r="M1188">
        <v>0</v>
      </c>
      <c r="N1188">
        <v>0</v>
      </c>
      <c r="O1188">
        <v>0</v>
      </c>
      <c r="P1188">
        <v>0</v>
      </c>
      <c r="Q1188">
        <v>0</v>
      </c>
      <c r="R1188" s="2043">
        <v>1457110</v>
      </c>
      <c r="S1188">
        <v>127621</v>
      </c>
      <c r="T1188">
        <v>93003</v>
      </c>
      <c r="U1188">
        <v>0.08</v>
      </c>
      <c r="V1188">
        <v>0</v>
      </c>
      <c r="W1188">
        <v>0</v>
      </c>
      <c r="X1188">
        <v>0</v>
      </c>
      <c r="Y1188">
        <v>0</v>
      </c>
      <c r="Z1188">
        <v>0</v>
      </c>
      <c r="AA1188">
        <v>0</v>
      </c>
      <c r="AB1188">
        <v>407.28500000000003</v>
      </c>
      <c r="AC1188" s="2043">
        <v>182863010</v>
      </c>
      <c r="AD1188">
        <v>584645</v>
      </c>
      <c r="AE1188" s="2043">
        <v>1677734</v>
      </c>
      <c r="AF1188">
        <v>1.0517000000000001</v>
      </c>
      <c r="AG1188">
        <v>0</v>
      </c>
      <c r="AH1188">
        <v>0</v>
      </c>
      <c r="AI1188">
        <v>0</v>
      </c>
      <c r="AJ1188">
        <v>77.424999999999997</v>
      </c>
      <c r="AK1188">
        <v>2763</v>
      </c>
      <c r="AL1188">
        <v>0</v>
      </c>
      <c r="AM1188">
        <v>0</v>
      </c>
      <c r="AN1188">
        <v>45.14</v>
      </c>
      <c r="AO1188">
        <v>0</v>
      </c>
      <c r="AP1188">
        <v>0</v>
      </c>
      <c r="AQ1188">
        <v>0</v>
      </c>
      <c r="AR1188">
        <v>7.4610000000000003</v>
      </c>
      <c r="AS1188">
        <v>0</v>
      </c>
      <c r="AT1188">
        <v>1.516</v>
      </c>
      <c r="AU1188">
        <v>0.53</v>
      </c>
      <c r="AV1188">
        <v>0</v>
      </c>
      <c r="AW1188">
        <v>9.5069999999999997</v>
      </c>
      <c r="AX1188">
        <v>0</v>
      </c>
      <c r="AY1188">
        <v>29.581000000000003</v>
      </c>
      <c r="AZ1188">
        <v>0</v>
      </c>
      <c r="BA1188">
        <v>4296497</v>
      </c>
      <c r="BB1188">
        <v>2262379</v>
      </c>
      <c r="BC1188">
        <v>0</v>
      </c>
      <c r="BD1188">
        <v>15040</v>
      </c>
      <c r="BE1188">
        <v>2074</v>
      </c>
      <c r="BF1188">
        <v>17114</v>
      </c>
      <c r="BG1188">
        <v>15040</v>
      </c>
      <c r="BH1188">
        <v>0</v>
      </c>
      <c r="BI1188">
        <v>0</v>
      </c>
      <c r="BJ1188">
        <v>0</v>
      </c>
      <c r="BK1188">
        <v>0</v>
      </c>
      <c r="BL1188">
        <v>159469105</v>
      </c>
      <c r="BM1188">
        <v>0</v>
      </c>
      <c r="BN1188">
        <v>909</v>
      </c>
      <c r="BO1188">
        <v>514</v>
      </c>
      <c r="BP1188">
        <v>0</v>
      </c>
      <c r="BQ1188">
        <v>0</v>
      </c>
      <c r="BR1188">
        <v>0.91339999999999999</v>
      </c>
      <c r="BS1188">
        <v>0.91339999999999999</v>
      </c>
      <c r="BT1188">
        <v>0</v>
      </c>
      <c r="BU1188">
        <v>0</v>
      </c>
      <c r="BV1188">
        <v>2</v>
      </c>
      <c r="BW1188">
        <v>12</v>
      </c>
      <c r="BX1188">
        <v>203</v>
      </c>
      <c r="BY1188">
        <v>88</v>
      </c>
      <c r="BZ1188">
        <v>1</v>
      </c>
      <c r="CA1188">
        <v>306</v>
      </c>
      <c r="CB1188">
        <v>0</v>
      </c>
      <c r="CC1188">
        <v>0</v>
      </c>
      <c r="CD1188">
        <v>0</v>
      </c>
      <c r="CE1188">
        <v>18</v>
      </c>
      <c r="CF1188">
        <v>106.75200000000001</v>
      </c>
      <c r="CG1188">
        <v>0</v>
      </c>
      <c r="CH1188">
        <v>0</v>
      </c>
      <c r="CI1188">
        <v>3</v>
      </c>
      <c r="CJ1188">
        <v>5</v>
      </c>
      <c r="CK1188">
        <v>0</v>
      </c>
      <c r="CL1188">
        <v>0</v>
      </c>
      <c r="CM1188">
        <v>2.8920000000000003</v>
      </c>
      <c r="CN1188">
        <v>0</v>
      </c>
      <c r="CO1188">
        <v>0</v>
      </c>
      <c r="CP1188">
        <v>0</v>
      </c>
      <c r="CQ1188">
        <v>0</v>
      </c>
      <c r="CR1188">
        <v>0</v>
      </c>
      <c r="CS1188">
        <v>0</v>
      </c>
      <c r="CT1188">
        <v>0</v>
      </c>
      <c r="CU1188">
        <v>1.917</v>
      </c>
      <c r="CV1188">
        <v>24.945</v>
      </c>
      <c r="CW1188">
        <v>6.8170000000000002</v>
      </c>
      <c r="CX1188">
        <v>0</v>
      </c>
      <c r="CY1188" s="2043">
        <v>0</v>
      </c>
      <c r="CZ1188" s="2043">
        <v>0</v>
      </c>
      <c r="DA1188" s="2043">
        <v>0</v>
      </c>
      <c r="DB1188" s="2043">
        <v>0</v>
      </c>
      <c r="DC1188" s="2043">
        <v>0</v>
      </c>
      <c r="DI1188" t="s">
        <v>5304</v>
      </c>
      <c r="DJ1188" t="s">
        <v>5304</v>
      </c>
      <c r="DK1188" s="2042">
        <f t="shared" si="20"/>
        <v>0</v>
      </c>
    </row>
    <row r="1189" spans="1:115">
      <c r="A1189" t="s">
        <v>5305</v>
      </c>
      <c r="B1189" t="s">
        <v>605</v>
      </c>
      <c r="C1189">
        <v>1803.9680000000001</v>
      </c>
      <c r="D1189">
        <v>1840.52</v>
      </c>
      <c r="E1189">
        <v>10.515000000000001</v>
      </c>
      <c r="F1189">
        <v>0</v>
      </c>
      <c r="G1189" s="2043">
        <v>639602212</v>
      </c>
      <c r="H1189">
        <v>0</v>
      </c>
      <c r="I1189" s="2043">
        <v>2332030</v>
      </c>
      <c r="J1189">
        <v>90.198000000000008</v>
      </c>
      <c r="K1189">
        <v>247</v>
      </c>
      <c r="L1189">
        <v>0</v>
      </c>
      <c r="M1189">
        <v>191663</v>
      </c>
      <c r="N1189">
        <v>0</v>
      </c>
      <c r="O1189">
        <v>191663</v>
      </c>
      <c r="P1189">
        <v>0</v>
      </c>
      <c r="Q1189">
        <v>0</v>
      </c>
      <c r="R1189" s="2043">
        <v>5711978</v>
      </c>
      <c r="S1189">
        <v>510112</v>
      </c>
      <c r="T1189">
        <v>371744</v>
      </c>
      <c r="U1189">
        <v>0.08</v>
      </c>
      <c r="V1189">
        <v>0</v>
      </c>
      <c r="W1189">
        <v>0</v>
      </c>
      <c r="X1189">
        <v>0</v>
      </c>
      <c r="Y1189">
        <v>0</v>
      </c>
      <c r="Z1189">
        <v>0</v>
      </c>
      <c r="AA1189">
        <v>0</v>
      </c>
      <c r="AB1189">
        <v>1819.0840000000001</v>
      </c>
      <c r="AC1189" s="2043">
        <v>589118723</v>
      </c>
      <c r="AD1189">
        <v>2388761</v>
      </c>
      <c r="AE1189" s="2043">
        <v>6593834</v>
      </c>
      <c r="AF1189">
        <v>1.0341</v>
      </c>
      <c r="AG1189">
        <v>0</v>
      </c>
      <c r="AH1189">
        <v>0</v>
      </c>
      <c r="AI1189">
        <v>0</v>
      </c>
      <c r="AJ1189">
        <v>169.08800000000002</v>
      </c>
      <c r="AK1189">
        <v>8384</v>
      </c>
      <c r="AL1189">
        <v>0</v>
      </c>
      <c r="AM1189">
        <v>0</v>
      </c>
      <c r="AN1189">
        <v>72.518000000000001</v>
      </c>
      <c r="AO1189">
        <v>0</v>
      </c>
      <c r="AP1189">
        <v>0</v>
      </c>
      <c r="AQ1189">
        <v>0</v>
      </c>
      <c r="AR1189">
        <v>74.781000000000006</v>
      </c>
      <c r="AS1189">
        <v>0</v>
      </c>
      <c r="AT1189">
        <v>4.9510000000000005</v>
      </c>
      <c r="AU1189">
        <v>3.6160000000000001</v>
      </c>
      <c r="AV1189">
        <v>0</v>
      </c>
      <c r="AW1189">
        <v>83.347999999999999</v>
      </c>
      <c r="AX1189">
        <v>0</v>
      </c>
      <c r="AY1189">
        <v>257.27600000000001</v>
      </c>
      <c r="AZ1189">
        <v>0</v>
      </c>
      <c r="BA1189">
        <v>12323393</v>
      </c>
      <c r="BB1189">
        <v>8982595</v>
      </c>
      <c r="BC1189">
        <v>0</v>
      </c>
      <c r="BD1189">
        <v>82950</v>
      </c>
      <c r="BE1189">
        <v>34757</v>
      </c>
      <c r="BF1189">
        <v>131167</v>
      </c>
      <c r="BG1189">
        <v>82950</v>
      </c>
      <c r="BH1189">
        <v>13460</v>
      </c>
      <c r="BI1189">
        <v>0</v>
      </c>
      <c r="BJ1189">
        <v>0</v>
      </c>
      <c r="BK1189">
        <v>0</v>
      </c>
      <c r="BL1189">
        <v>639602212</v>
      </c>
      <c r="BM1189">
        <v>0</v>
      </c>
      <c r="BN1189">
        <v>6336</v>
      </c>
      <c r="BO1189">
        <v>3210</v>
      </c>
      <c r="BP1189">
        <v>0</v>
      </c>
      <c r="BQ1189">
        <v>0</v>
      </c>
      <c r="BR1189">
        <v>0.89580000000000004</v>
      </c>
      <c r="BS1189">
        <v>0.89580000000000004</v>
      </c>
      <c r="BT1189">
        <v>0</v>
      </c>
      <c r="BU1189">
        <v>0</v>
      </c>
      <c r="BV1189">
        <v>423</v>
      </c>
      <c r="BW1189">
        <v>203</v>
      </c>
      <c r="BX1189">
        <v>7</v>
      </c>
      <c r="BY1189">
        <v>86</v>
      </c>
      <c r="BZ1189">
        <v>5</v>
      </c>
      <c r="CA1189">
        <v>724</v>
      </c>
      <c r="CB1189">
        <v>0</v>
      </c>
      <c r="CC1189">
        <v>0</v>
      </c>
      <c r="CD1189">
        <v>0</v>
      </c>
      <c r="CE1189">
        <v>247</v>
      </c>
      <c r="CF1189">
        <v>226.08500000000001</v>
      </c>
      <c r="CG1189">
        <v>0</v>
      </c>
      <c r="CH1189">
        <v>1.01</v>
      </c>
      <c r="CI1189">
        <v>6</v>
      </c>
      <c r="CJ1189">
        <v>25</v>
      </c>
      <c r="CK1189">
        <v>1</v>
      </c>
      <c r="CL1189">
        <v>1.01</v>
      </c>
      <c r="CM1189">
        <v>10.515000000000001</v>
      </c>
      <c r="CN1189">
        <v>0</v>
      </c>
      <c r="CO1189">
        <v>0</v>
      </c>
      <c r="CP1189">
        <v>0</v>
      </c>
      <c r="CQ1189">
        <v>0</v>
      </c>
      <c r="CR1189">
        <v>0</v>
      </c>
      <c r="CS1189">
        <v>0</v>
      </c>
      <c r="CT1189">
        <v>0</v>
      </c>
      <c r="CU1189">
        <v>27.656000000000002</v>
      </c>
      <c r="CV1189">
        <v>102.123</v>
      </c>
      <c r="CW1189">
        <v>57.47</v>
      </c>
      <c r="CX1189">
        <v>0</v>
      </c>
      <c r="CY1189" s="2043">
        <v>0</v>
      </c>
      <c r="CZ1189" s="2043">
        <v>0</v>
      </c>
      <c r="DA1189" s="2043">
        <v>0</v>
      </c>
      <c r="DB1189" s="2043">
        <v>0</v>
      </c>
      <c r="DC1189" s="2043">
        <v>0</v>
      </c>
      <c r="DI1189" t="s">
        <v>5305</v>
      </c>
      <c r="DJ1189" t="s">
        <v>5305</v>
      </c>
      <c r="DK1189" s="2042">
        <f t="shared" si="20"/>
        <v>0</v>
      </c>
    </row>
    <row r="1190" spans="1:115">
      <c r="A1190" t="s">
        <v>3252</v>
      </c>
      <c r="B1190" t="s">
        <v>1724</v>
      </c>
      <c r="C1190">
        <v>12202.358</v>
      </c>
      <c r="D1190">
        <v>12886.133</v>
      </c>
      <c r="E1190">
        <v>1253.8579999999999</v>
      </c>
      <c r="F1190">
        <v>0</v>
      </c>
      <c r="G1190" s="2043">
        <v>4932251136</v>
      </c>
      <c r="H1190">
        <v>0</v>
      </c>
      <c r="I1190" s="2043">
        <v>8398506</v>
      </c>
      <c r="J1190">
        <v>610.11800000000005</v>
      </c>
      <c r="K1190">
        <v>1668</v>
      </c>
      <c r="L1190">
        <v>0</v>
      </c>
      <c r="M1190">
        <v>3370543</v>
      </c>
      <c r="N1190">
        <v>0</v>
      </c>
      <c r="O1190">
        <v>3370543</v>
      </c>
      <c r="P1190">
        <v>0</v>
      </c>
      <c r="Q1190">
        <v>0</v>
      </c>
      <c r="R1190" s="2043">
        <v>43604247</v>
      </c>
      <c r="S1190">
        <v>2449402</v>
      </c>
      <c r="T1190">
        <v>0</v>
      </c>
      <c r="U1190">
        <v>0.05</v>
      </c>
      <c r="V1190">
        <v>0</v>
      </c>
      <c r="W1190">
        <v>0</v>
      </c>
      <c r="X1190">
        <v>0</v>
      </c>
      <c r="Y1190">
        <v>0</v>
      </c>
      <c r="Z1190">
        <v>0</v>
      </c>
      <c r="AA1190">
        <v>0</v>
      </c>
      <c r="AB1190">
        <v>12578.514999999999</v>
      </c>
      <c r="AC1190" s="2043">
        <v>4663226312</v>
      </c>
      <c r="AD1190">
        <v>20658544</v>
      </c>
      <c r="AE1190" s="2043">
        <v>46053649</v>
      </c>
      <c r="AF1190">
        <v>0.94010000000000005</v>
      </c>
      <c r="AG1190">
        <v>0</v>
      </c>
      <c r="AH1190">
        <v>0</v>
      </c>
      <c r="AI1190">
        <v>0</v>
      </c>
      <c r="AJ1190">
        <v>2216.4880000000003</v>
      </c>
      <c r="AK1190">
        <v>51141</v>
      </c>
      <c r="AL1190">
        <v>0.73299999999999998</v>
      </c>
      <c r="AM1190">
        <v>1.7850000000000001</v>
      </c>
      <c r="AN1190">
        <v>739.72300000000007</v>
      </c>
      <c r="AO1190">
        <v>0</v>
      </c>
      <c r="AP1190">
        <v>1.038</v>
      </c>
      <c r="AQ1190">
        <v>2.149</v>
      </c>
      <c r="AR1190">
        <v>205.14000000000001</v>
      </c>
      <c r="AS1190">
        <v>0</v>
      </c>
      <c r="AT1190">
        <v>203.297</v>
      </c>
      <c r="AU1190">
        <v>24.965</v>
      </c>
      <c r="AV1190">
        <v>0</v>
      </c>
      <c r="AW1190">
        <v>455.14500000000004</v>
      </c>
      <c r="AX1190">
        <v>16.038</v>
      </c>
      <c r="AY1190">
        <v>1398.846</v>
      </c>
      <c r="AZ1190">
        <v>0</v>
      </c>
      <c r="BA1190">
        <v>68271391</v>
      </c>
      <c r="BB1190">
        <v>66712193</v>
      </c>
      <c r="BC1190">
        <v>0</v>
      </c>
      <c r="BD1190">
        <v>192405</v>
      </c>
      <c r="BE1190">
        <v>232173</v>
      </c>
      <c r="BF1190">
        <v>743207</v>
      </c>
      <c r="BG1190">
        <v>192405</v>
      </c>
      <c r="BH1190">
        <v>318629</v>
      </c>
      <c r="BI1190">
        <v>0</v>
      </c>
      <c r="BJ1190">
        <v>0</v>
      </c>
      <c r="BK1190">
        <v>0</v>
      </c>
      <c r="BL1190">
        <v>4932251136</v>
      </c>
      <c r="BM1190">
        <v>0</v>
      </c>
      <c r="BN1190">
        <v>42624</v>
      </c>
      <c r="BO1190">
        <v>29939</v>
      </c>
      <c r="BP1190">
        <v>12451</v>
      </c>
      <c r="BQ1190">
        <v>0</v>
      </c>
      <c r="BR1190">
        <v>0.8901</v>
      </c>
      <c r="BS1190">
        <v>0.8901</v>
      </c>
      <c r="BT1190">
        <v>0</v>
      </c>
      <c r="BU1190">
        <v>0</v>
      </c>
      <c r="BV1190">
        <v>2220</v>
      </c>
      <c r="BW1190">
        <v>707</v>
      </c>
      <c r="BX1190">
        <v>1252</v>
      </c>
      <c r="BY1190">
        <v>2336</v>
      </c>
      <c r="BZ1190">
        <v>2265</v>
      </c>
      <c r="CA1190">
        <v>8780</v>
      </c>
      <c r="CB1190">
        <v>0</v>
      </c>
      <c r="CC1190">
        <v>0</v>
      </c>
      <c r="CD1190">
        <v>0</v>
      </c>
      <c r="CE1190">
        <v>953</v>
      </c>
      <c r="CF1190">
        <v>3014.3</v>
      </c>
      <c r="CG1190">
        <v>0</v>
      </c>
      <c r="CH1190">
        <v>11.927000000000001</v>
      </c>
      <c r="CI1190">
        <v>6</v>
      </c>
      <c r="CJ1190">
        <v>61</v>
      </c>
      <c r="CK1190">
        <v>2</v>
      </c>
      <c r="CL1190">
        <v>11.927000000000001</v>
      </c>
      <c r="CM1190">
        <v>1253.8579999999999</v>
      </c>
      <c r="CN1190">
        <v>0</v>
      </c>
      <c r="CO1190">
        <v>0</v>
      </c>
      <c r="CP1190">
        <v>10551</v>
      </c>
      <c r="CQ1190">
        <v>1900</v>
      </c>
      <c r="CR1190">
        <v>0</v>
      </c>
      <c r="CS1190">
        <v>0</v>
      </c>
      <c r="CT1190">
        <v>0</v>
      </c>
      <c r="CU1190">
        <v>43.058</v>
      </c>
      <c r="CV1190">
        <v>359.61600000000004</v>
      </c>
      <c r="CW1190">
        <v>289.5</v>
      </c>
      <c r="CX1190">
        <v>0</v>
      </c>
      <c r="CY1190" s="2043">
        <v>0</v>
      </c>
      <c r="CZ1190" s="2043">
        <v>0</v>
      </c>
      <c r="DA1190" s="2043">
        <v>0</v>
      </c>
      <c r="DB1190" s="2043">
        <v>0</v>
      </c>
      <c r="DC1190" s="2043">
        <v>0</v>
      </c>
      <c r="DI1190" t="s">
        <v>3252</v>
      </c>
      <c r="DJ1190" t="s">
        <v>3252</v>
      </c>
      <c r="DK1190" s="2042">
        <f t="shared" si="20"/>
        <v>0</v>
      </c>
    </row>
    <row r="1191" spans="1:115">
      <c r="A1191" t="s">
        <v>3253</v>
      </c>
      <c r="B1191" t="s">
        <v>538</v>
      </c>
      <c r="C1191">
        <v>1064.7560000000001</v>
      </c>
      <c r="D1191">
        <v>967.24</v>
      </c>
      <c r="E1191">
        <v>28.629000000000001</v>
      </c>
      <c r="F1191">
        <v>0</v>
      </c>
      <c r="G1191" s="2043">
        <v>218156698</v>
      </c>
      <c r="H1191">
        <v>0</v>
      </c>
      <c r="I1191" s="2043">
        <v>1198743</v>
      </c>
      <c r="J1191">
        <v>53.238</v>
      </c>
      <c r="K1191">
        <v>146</v>
      </c>
      <c r="L1191">
        <v>144131</v>
      </c>
      <c r="M1191">
        <v>203507</v>
      </c>
      <c r="N1191">
        <v>144131</v>
      </c>
      <c r="O1191">
        <v>347638</v>
      </c>
      <c r="P1191">
        <v>0</v>
      </c>
      <c r="Q1191">
        <v>0</v>
      </c>
      <c r="R1191" s="2043">
        <v>1967974</v>
      </c>
      <c r="S1191">
        <v>174292</v>
      </c>
      <c r="T1191">
        <v>118519</v>
      </c>
      <c r="U1191">
        <v>0.08</v>
      </c>
      <c r="V1191">
        <v>0</v>
      </c>
      <c r="W1191">
        <v>0</v>
      </c>
      <c r="X1191">
        <v>0</v>
      </c>
      <c r="Y1191">
        <v>0</v>
      </c>
      <c r="Z1191">
        <v>0</v>
      </c>
      <c r="AA1191">
        <v>0.113</v>
      </c>
      <c r="AB1191">
        <v>967.24</v>
      </c>
      <c r="AC1191" s="2043">
        <v>207572410</v>
      </c>
      <c r="AD1191">
        <v>694488</v>
      </c>
      <c r="AE1191" s="2043">
        <v>2260785</v>
      </c>
      <c r="AF1191">
        <v>1.0377000000000001</v>
      </c>
      <c r="AG1191">
        <v>0</v>
      </c>
      <c r="AH1191">
        <v>0</v>
      </c>
      <c r="AI1191">
        <v>0</v>
      </c>
      <c r="AJ1191">
        <v>202.875</v>
      </c>
      <c r="AK1191">
        <v>7080</v>
      </c>
      <c r="AL1191">
        <v>0.13700000000000001</v>
      </c>
      <c r="AM1191">
        <v>0</v>
      </c>
      <c r="AN1191">
        <v>106.17700000000001</v>
      </c>
      <c r="AO1191">
        <v>0.70000000000000007</v>
      </c>
      <c r="AP1191">
        <v>0</v>
      </c>
      <c r="AQ1191">
        <v>0</v>
      </c>
      <c r="AR1191">
        <v>32.164999999999999</v>
      </c>
      <c r="AS1191">
        <v>0</v>
      </c>
      <c r="AT1191">
        <v>4.6950000000000003</v>
      </c>
      <c r="AU1191">
        <v>2.1950000000000003</v>
      </c>
      <c r="AV1191">
        <v>0</v>
      </c>
      <c r="AW1191">
        <v>39.192</v>
      </c>
      <c r="AX1191">
        <v>0</v>
      </c>
      <c r="AY1191">
        <v>122.24000000000001</v>
      </c>
      <c r="AZ1191">
        <v>0</v>
      </c>
      <c r="BA1191">
        <v>12147768</v>
      </c>
      <c r="BB1191">
        <v>2955273</v>
      </c>
      <c r="BC1191">
        <v>0</v>
      </c>
      <c r="BD1191">
        <v>0</v>
      </c>
      <c r="BE1191">
        <v>4693</v>
      </c>
      <c r="BF1191">
        <v>13447</v>
      </c>
      <c r="BG1191">
        <v>0</v>
      </c>
      <c r="BH1191">
        <v>8754</v>
      </c>
      <c r="BI1191">
        <v>0</v>
      </c>
      <c r="BJ1191">
        <v>0</v>
      </c>
      <c r="BK1191">
        <v>0</v>
      </c>
      <c r="BL1191">
        <v>218156698</v>
      </c>
      <c r="BM1191">
        <v>0</v>
      </c>
      <c r="BN1191">
        <v>3177</v>
      </c>
      <c r="BO1191">
        <v>1840</v>
      </c>
      <c r="BP1191">
        <v>0</v>
      </c>
      <c r="BQ1191">
        <v>0</v>
      </c>
      <c r="BR1191">
        <v>0.90329999999999999</v>
      </c>
      <c r="BS1191">
        <v>0.90329999999999999</v>
      </c>
      <c r="BT1191">
        <v>0</v>
      </c>
      <c r="BU1191">
        <v>0</v>
      </c>
      <c r="BV1191">
        <v>82</v>
      </c>
      <c r="BW1191">
        <v>252</v>
      </c>
      <c r="BX1191">
        <v>200</v>
      </c>
      <c r="BY1191">
        <v>238</v>
      </c>
      <c r="BZ1191">
        <v>44</v>
      </c>
      <c r="CA1191">
        <v>816</v>
      </c>
      <c r="CB1191">
        <v>0</v>
      </c>
      <c r="CC1191">
        <v>0</v>
      </c>
      <c r="CD1191">
        <v>0</v>
      </c>
      <c r="CE1191">
        <v>77</v>
      </c>
      <c r="CF1191">
        <v>224.69400000000002</v>
      </c>
      <c r="CG1191">
        <v>0</v>
      </c>
      <c r="CH1191">
        <v>0</v>
      </c>
      <c r="CI1191">
        <v>0</v>
      </c>
      <c r="CJ1191">
        <v>3</v>
      </c>
      <c r="CK1191">
        <v>0</v>
      </c>
      <c r="CL1191">
        <v>0</v>
      </c>
      <c r="CM1191">
        <v>28.629000000000001</v>
      </c>
      <c r="CN1191">
        <v>0</v>
      </c>
      <c r="CO1191">
        <v>0</v>
      </c>
      <c r="CP1191">
        <v>0</v>
      </c>
      <c r="CQ1191">
        <v>0</v>
      </c>
      <c r="CR1191">
        <v>0</v>
      </c>
      <c r="CS1191">
        <v>0</v>
      </c>
      <c r="CT1191">
        <v>0</v>
      </c>
      <c r="CU1191">
        <v>0.80800000000000005</v>
      </c>
      <c r="CV1191">
        <v>76.89500000000001</v>
      </c>
      <c r="CW1191">
        <v>31.008000000000003</v>
      </c>
      <c r="CX1191">
        <v>0</v>
      </c>
      <c r="CY1191" s="2043">
        <v>0</v>
      </c>
      <c r="CZ1191" s="2043">
        <v>0</v>
      </c>
      <c r="DA1191" s="2043">
        <v>0</v>
      </c>
      <c r="DB1191" s="2043">
        <v>0</v>
      </c>
      <c r="DC1191" s="2043">
        <v>0</v>
      </c>
      <c r="DI1191" t="s">
        <v>3253</v>
      </c>
      <c r="DJ1191" t="s">
        <v>3253</v>
      </c>
      <c r="DK1191" s="2042">
        <f t="shared" si="20"/>
        <v>0</v>
      </c>
    </row>
    <row r="1192" spans="1:115">
      <c r="A1192" t="s">
        <v>8523</v>
      </c>
      <c r="B1192" t="s">
        <v>11444</v>
      </c>
      <c r="C1192">
        <v>0</v>
      </c>
      <c r="D1192">
        <v>0</v>
      </c>
      <c r="E1192">
        <v>0</v>
      </c>
      <c r="F1192">
        <v>0</v>
      </c>
      <c r="G1192" s="2043">
        <v>0</v>
      </c>
      <c r="H1192">
        <v>0</v>
      </c>
      <c r="I1192" s="2043">
        <v>0</v>
      </c>
      <c r="J1192">
        <v>0</v>
      </c>
      <c r="K1192">
        <v>0</v>
      </c>
      <c r="L1192">
        <v>0</v>
      </c>
      <c r="M1192">
        <v>0</v>
      </c>
      <c r="N1192">
        <v>0</v>
      </c>
      <c r="O1192">
        <v>0</v>
      </c>
      <c r="P1192">
        <v>0</v>
      </c>
      <c r="Q1192">
        <v>0</v>
      </c>
      <c r="R1192" s="2043">
        <v>0</v>
      </c>
      <c r="S1192">
        <v>0</v>
      </c>
      <c r="T1192">
        <v>0</v>
      </c>
      <c r="U1192">
        <v>0</v>
      </c>
      <c r="V1192">
        <v>0</v>
      </c>
      <c r="W1192">
        <v>0</v>
      </c>
      <c r="X1192">
        <v>0</v>
      </c>
      <c r="Y1192">
        <v>120367</v>
      </c>
      <c r="Z1192">
        <v>0</v>
      </c>
      <c r="AA1192">
        <v>0</v>
      </c>
      <c r="AB1192">
        <v>0</v>
      </c>
      <c r="AC1192" s="2043">
        <v>0</v>
      </c>
      <c r="AD1192">
        <v>0</v>
      </c>
      <c r="AE1192" s="2043">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120367</v>
      </c>
      <c r="BB1192">
        <v>0</v>
      </c>
      <c r="BC1192">
        <v>0</v>
      </c>
      <c r="BD1192">
        <v>0</v>
      </c>
      <c r="BE1192">
        <v>0</v>
      </c>
      <c r="BF1192">
        <v>0</v>
      </c>
      <c r="BG1192">
        <v>0</v>
      </c>
      <c r="BH1192">
        <v>0</v>
      </c>
      <c r="BI1192">
        <v>0</v>
      </c>
      <c r="BJ1192">
        <v>0</v>
      </c>
      <c r="BK1192">
        <v>0</v>
      </c>
      <c r="BL1192">
        <v>0</v>
      </c>
      <c r="BM1192">
        <v>0</v>
      </c>
      <c r="BN1192">
        <v>0</v>
      </c>
      <c r="BO1192">
        <v>0</v>
      </c>
      <c r="BP1192">
        <v>0</v>
      </c>
      <c r="BQ1192">
        <v>0</v>
      </c>
      <c r="BR1192">
        <v>0</v>
      </c>
      <c r="BS1192">
        <v>0</v>
      </c>
      <c r="BT1192">
        <v>0</v>
      </c>
      <c r="BU1192">
        <v>0</v>
      </c>
      <c r="BV1192">
        <v>0</v>
      </c>
      <c r="BW1192">
        <v>0</v>
      </c>
      <c r="BX1192">
        <v>0</v>
      </c>
      <c r="BY1192">
        <v>0</v>
      </c>
      <c r="BZ1192">
        <v>0</v>
      </c>
      <c r="CA1192">
        <v>0</v>
      </c>
      <c r="CB1192">
        <v>0</v>
      </c>
      <c r="CC1192">
        <v>0</v>
      </c>
      <c r="CD1192">
        <v>0</v>
      </c>
      <c r="CE1192">
        <v>0</v>
      </c>
      <c r="CF1192">
        <v>0</v>
      </c>
      <c r="CG1192">
        <v>0</v>
      </c>
      <c r="CH1192">
        <v>0</v>
      </c>
      <c r="CI1192">
        <v>0</v>
      </c>
      <c r="CJ1192">
        <v>0</v>
      </c>
      <c r="CK1192">
        <v>0</v>
      </c>
      <c r="CL1192">
        <v>0</v>
      </c>
      <c r="CM1192">
        <v>0</v>
      </c>
      <c r="CN1192">
        <v>0</v>
      </c>
      <c r="CO1192">
        <v>0</v>
      </c>
      <c r="CP1192">
        <v>0</v>
      </c>
      <c r="CQ1192">
        <v>0</v>
      </c>
      <c r="CR1192">
        <v>0</v>
      </c>
      <c r="CS1192">
        <v>0</v>
      </c>
      <c r="CT1192">
        <v>0</v>
      </c>
      <c r="CU1192">
        <v>0</v>
      </c>
      <c r="CV1192">
        <v>0</v>
      </c>
      <c r="CW1192">
        <v>0</v>
      </c>
      <c r="CX1192">
        <v>0</v>
      </c>
      <c r="CY1192" s="2043">
        <v>0</v>
      </c>
      <c r="CZ1192" s="2043">
        <v>0</v>
      </c>
      <c r="DA1192" s="2043">
        <v>0</v>
      </c>
      <c r="DB1192" s="2043">
        <v>0</v>
      </c>
      <c r="DC1192" s="2043">
        <v>0</v>
      </c>
      <c r="DI1192" t="s">
        <v>8523</v>
      </c>
      <c r="DJ1192" t="s">
        <v>8523</v>
      </c>
      <c r="DK1192" s="2042">
        <f t="shared" si="20"/>
        <v>0</v>
      </c>
    </row>
    <row r="1193" spans="1:115">
      <c r="A1193" t="s">
        <v>5898</v>
      </c>
      <c r="B1193" t="s">
        <v>1282</v>
      </c>
      <c r="C1193">
        <v>101.45100000000001</v>
      </c>
      <c r="D1193">
        <v>101.15300000000001</v>
      </c>
      <c r="E1193">
        <v>0</v>
      </c>
      <c r="F1193">
        <v>0</v>
      </c>
      <c r="G1193" s="2043">
        <v>79931670</v>
      </c>
      <c r="H1193">
        <v>0</v>
      </c>
      <c r="I1193" s="2043">
        <v>0</v>
      </c>
      <c r="J1193">
        <v>5.0730000000000004</v>
      </c>
      <c r="K1193">
        <v>14</v>
      </c>
      <c r="L1193">
        <v>0</v>
      </c>
      <c r="M1193">
        <v>0</v>
      </c>
      <c r="N1193">
        <v>0</v>
      </c>
      <c r="O1193">
        <v>0</v>
      </c>
      <c r="P1193">
        <v>0</v>
      </c>
      <c r="Q1193">
        <v>0</v>
      </c>
      <c r="R1193" s="2043">
        <v>723326</v>
      </c>
      <c r="S1193">
        <v>63352</v>
      </c>
      <c r="T1193">
        <v>46169</v>
      </c>
      <c r="U1193">
        <v>0.08</v>
      </c>
      <c r="V1193">
        <v>0</v>
      </c>
      <c r="W1193">
        <v>0</v>
      </c>
      <c r="X1193">
        <v>0</v>
      </c>
      <c r="Y1193">
        <v>0</v>
      </c>
      <c r="Z1193">
        <v>0</v>
      </c>
      <c r="AA1193">
        <v>0</v>
      </c>
      <c r="AB1193">
        <v>101.15300000000001</v>
      </c>
      <c r="AC1193" s="2043">
        <v>85795731</v>
      </c>
      <c r="AD1193">
        <v>0</v>
      </c>
      <c r="AE1193" s="2043">
        <v>832847</v>
      </c>
      <c r="AF1193">
        <v>1.0517000000000001</v>
      </c>
      <c r="AG1193">
        <v>0</v>
      </c>
      <c r="AH1193">
        <v>0</v>
      </c>
      <c r="AI1193">
        <v>0</v>
      </c>
      <c r="AJ1193">
        <v>14</v>
      </c>
      <c r="AK1193">
        <v>530</v>
      </c>
      <c r="AL1193">
        <v>0</v>
      </c>
      <c r="AM1193">
        <v>0</v>
      </c>
      <c r="AN1193">
        <v>6.6040000000000001</v>
      </c>
      <c r="AO1193">
        <v>0</v>
      </c>
      <c r="AP1193">
        <v>0</v>
      </c>
      <c r="AQ1193">
        <v>0</v>
      </c>
      <c r="AR1193">
        <v>2.25</v>
      </c>
      <c r="AS1193">
        <v>0</v>
      </c>
      <c r="AT1193">
        <v>0</v>
      </c>
      <c r="AU1193">
        <v>8.1000000000000003E-2</v>
      </c>
      <c r="AV1193">
        <v>0</v>
      </c>
      <c r="AW1193">
        <v>2.331</v>
      </c>
      <c r="AX1193">
        <v>0</v>
      </c>
      <c r="AY1193">
        <v>7.1550000000000002</v>
      </c>
      <c r="AZ1193">
        <v>0</v>
      </c>
      <c r="BA1193">
        <v>1009887</v>
      </c>
      <c r="BB1193">
        <v>832847</v>
      </c>
      <c r="BC1193">
        <v>0</v>
      </c>
      <c r="BD1193">
        <v>3508</v>
      </c>
      <c r="BE1193">
        <v>0</v>
      </c>
      <c r="BF1193">
        <v>3508</v>
      </c>
      <c r="BG1193">
        <v>3508</v>
      </c>
      <c r="BH1193">
        <v>0</v>
      </c>
      <c r="BI1193">
        <v>0</v>
      </c>
      <c r="BJ1193">
        <v>0</v>
      </c>
      <c r="BK1193">
        <v>0</v>
      </c>
      <c r="BL1193">
        <v>79931670</v>
      </c>
      <c r="BM1193">
        <v>0</v>
      </c>
      <c r="BN1193">
        <v>450</v>
      </c>
      <c r="BO1193">
        <v>289</v>
      </c>
      <c r="BP1193">
        <v>0</v>
      </c>
      <c r="BQ1193">
        <v>0</v>
      </c>
      <c r="BR1193">
        <v>0.91339999999999999</v>
      </c>
      <c r="BS1193">
        <v>0.91339999999999999</v>
      </c>
      <c r="BT1193">
        <v>0</v>
      </c>
      <c r="BU1193">
        <v>0</v>
      </c>
      <c r="BV1193">
        <v>2</v>
      </c>
      <c r="BW1193">
        <v>30</v>
      </c>
      <c r="BX1193">
        <v>12</v>
      </c>
      <c r="BY1193">
        <v>12</v>
      </c>
      <c r="BZ1193">
        <v>1</v>
      </c>
      <c r="CA1193">
        <v>57</v>
      </c>
      <c r="CB1193">
        <v>0</v>
      </c>
      <c r="CC1193">
        <v>0</v>
      </c>
      <c r="CD1193">
        <v>0</v>
      </c>
      <c r="CE1193">
        <v>6</v>
      </c>
      <c r="CF1193">
        <v>19.298999999999999</v>
      </c>
      <c r="CG1193">
        <v>0</v>
      </c>
      <c r="CH1193">
        <v>0</v>
      </c>
      <c r="CI1193">
        <v>0</v>
      </c>
      <c r="CJ1193">
        <v>0</v>
      </c>
      <c r="CK1193">
        <v>0</v>
      </c>
      <c r="CL1193">
        <v>0</v>
      </c>
      <c r="CM1193">
        <v>0</v>
      </c>
      <c r="CN1193">
        <v>0</v>
      </c>
      <c r="CO1193">
        <v>0</v>
      </c>
      <c r="CP1193">
        <v>0</v>
      </c>
      <c r="CQ1193">
        <v>0</v>
      </c>
      <c r="CR1193">
        <v>0</v>
      </c>
      <c r="CS1193">
        <v>0</v>
      </c>
      <c r="CT1193">
        <v>0</v>
      </c>
      <c r="CU1193">
        <v>0</v>
      </c>
      <c r="CV1193">
        <v>2.298</v>
      </c>
      <c r="CW1193">
        <v>1.653</v>
      </c>
      <c r="CX1193">
        <v>0</v>
      </c>
      <c r="CY1193" s="2043">
        <v>0</v>
      </c>
      <c r="CZ1193" s="2043">
        <v>0</v>
      </c>
      <c r="DA1193" s="2043">
        <v>0</v>
      </c>
      <c r="DB1193" s="2043">
        <v>0</v>
      </c>
      <c r="DC1193" s="2043">
        <v>0</v>
      </c>
      <c r="DI1193" t="s">
        <v>5898</v>
      </c>
      <c r="DJ1193" t="s">
        <v>5898</v>
      </c>
      <c r="DK1193" s="2042">
        <f t="shared" si="20"/>
        <v>0</v>
      </c>
    </row>
    <row r="1194" spans="1:115">
      <c r="A1194" t="s">
        <v>5306</v>
      </c>
      <c r="B1194" t="s">
        <v>9</v>
      </c>
      <c r="C1194">
        <v>1702.645</v>
      </c>
      <c r="D1194">
        <v>1831.162</v>
      </c>
      <c r="E1194">
        <v>248.67200000000003</v>
      </c>
      <c r="F1194">
        <v>0</v>
      </c>
      <c r="G1194" s="2043">
        <v>845456513</v>
      </c>
      <c r="H1194">
        <v>0</v>
      </c>
      <c r="I1194" s="2043">
        <v>0</v>
      </c>
      <c r="J1194">
        <v>71</v>
      </c>
      <c r="K1194">
        <v>194</v>
      </c>
      <c r="L1194">
        <v>0</v>
      </c>
      <c r="M1194">
        <v>0</v>
      </c>
      <c r="N1194">
        <v>0</v>
      </c>
      <c r="O1194">
        <v>0</v>
      </c>
      <c r="P1194">
        <v>0</v>
      </c>
      <c r="Q1194">
        <v>0</v>
      </c>
      <c r="R1194" s="2043">
        <v>7556454</v>
      </c>
      <c r="S1194">
        <v>413644</v>
      </c>
      <c r="T1194">
        <v>0</v>
      </c>
      <c r="U1194">
        <v>0.05</v>
      </c>
      <c r="V1194">
        <v>0</v>
      </c>
      <c r="W1194">
        <v>0</v>
      </c>
      <c r="X1194">
        <v>0</v>
      </c>
      <c r="Y1194">
        <v>0</v>
      </c>
      <c r="Z1194">
        <v>0</v>
      </c>
      <c r="AA1194">
        <v>0.624</v>
      </c>
      <c r="AB1194">
        <v>1724.0810000000001</v>
      </c>
      <c r="AC1194" s="2043">
        <v>930536845</v>
      </c>
      <c r="AD1194">
        <v>0</v>
      </c>
      <c r="AE1194" s="2043">
        <v>7970098</v>
      </c>
      <c r="AF1194">
        <v>0.96340000000000003</v>
      </c>
      <c r="AG1194">
        <v>0</v>
      </c>
      <c r="AH1194">
        <v>0</v>
      </c>
      <c r="AI1194">
        <v>0</v>
      </c>
      <c r="AJ1194">
        <v>347.55</v>
      </c>
      <c r="AK1194">
        <v>8915</v>
      </c>
      <c r="AL1194">
        <v>0.19400000000000001</v>
      </c>
      <c r="AM1194">
        <v>0</v>
      </c>
      <c r="AN1194">
        <v>115.087</v>
      </c>
      <c r="AO1194">
        <v>0</v>
      </c>
      <c r="AP1194">
        <v>0</v>
      </c>
      <c r="AQ1194">
        <v>8.6270000000000007</v>
      </c>
      <c r="AR1194">
        <v>41.238</v>
      </c>
      <c r="AS1194">
        <v>0</v>
      </c>
      <c r="AT1194">
        <v>15.772</v>
      </c>
      <c r="AU1194">
        <v>4.633</v>
      </c>
      <c r="AV1194">
        <v>0</v>
      </c>
      <c r="AW1194">
        <v>70.463999999999999</v>
      </c>
      <c r="AX1194">
        <v>0</v>
      </c>
      <c r="AY1194">
        <v>195.16500000000002</v>
      </c>
      <c r="AZ1194">
        <v>0</v>
      </c>
      <c r="BA1194">
        <v>9694467</v>
      </c>
      <c r="BB1194">
        <v>7970098</v>
      </c>
      <c r="BC1194">
        <v>0</v>
      </c>
      <c r="BD1194">
        <v>76543</v>
      </c>
      <c r="BE1194">
        <v>47649</v>
      </c>
      <c r="BF1194">
        <v>124192</v>
      </c>
      <c r="BG1194">
        <v>76543</v>
      </c>
      <c r="BH1194">
        <v>0</v>
      </c>
      <c r="BI1194">
        <v>0</v>
      </c>
      <c r="BJ1194">
        <v>0</v>
      </c>
      <c r="BK1194">
        <v>0</v>
      </c>
      <c r="BL1194">
        <v>845456513</v>
      </c>
      <c r="BM1194">
        <v>0</v>
      </c>
      <c r="BN1194">
        <v>7461</v>
      </c>
      <c r="BO1194">
        <v>1905</v>
      </c>
      <c r="BP1194">
        <v>0</v>
      </c>
      <c r="BQ1194">
        <v>0</v>
      </c>
      <c r="BR1194">
        <v>0.91339999999999999</v>
      </c>
      <c r="BS1194">
        <v>0.91339999999999999</v>
      </c>
      <c r="BT1194">
        <v>0</v>
      </c>
      <c r="BU1194">
        <v>0</v>
      </c>
      <c r="BV1194">
        <v>9</v>
      </c>
      <c r="BW1194">
        <v>528</v>
      </c>
      <c r="BX1194">
        <v>343</v>
      </c>
      <c r="BY1194">
        <v>250</v>
      </c>
      <c r="BZ1194">
        <v>250</v>
      </c>
      <c r="CA1194">
        <v>1380</v>
      </c>
      <c r="CB1194">
        <v>4</v>
      </c>
      <c r="CC1194">
        <v>0</v>
      </c>
      <c r="CD1194">
        <v>0</v>
      </c>
      <c r="CE1194">
        <v>63</v>
      </c>
      <c r="CF1194">
        <v>482.80500000000001</v>
      </c>
      <c r="CG1194">
        <v>29.536000000000001</v>
      </c>
      <c r="CH1194">
        <v>18.815000000000001</v>
      </c>
      <c r="CI1194">
        <v>5</v>
      </c>
      <c r="CJ1194">
        <v>13</v>
      </c>
      <c r="CK1194">
        <v>0</v>
      </c>
      <c r="CL1194">
        <v>48.350999999999999</v>
      </c>
      <c r="CM1194">
        <v>248.67200000000003</v>
      </c>
      <c r="CN1194">
        <v>0</v>
      </c>
      <c r="CO1194">
        <v>0</v>
      </c>
      <c r="CP1194">
        <v>0</v>
      </c>
      <c r="CQ1194">
        <v>0</v>
      </c>
      <c r="CR1194">
        <v>0</v>
      </c>
      <c r="CS1194">
        <v>0</v>
      </c>
      <c r="CT1194">
        <v>0</v>
      </c>
      <c r="CU1194">
        <v>1.2030000000000001</v>
      </c>
      <c r="CV1194">
        <v>79.331000000000003</v>
      </c>
      <c r="CW1194">
        <v>46.527000000000001</v>
      </c>
      <c r="CX1194">
        <v>0</v>
      </c>
      <c r="CY1194" s="2043">
        <v>0</v>
      </c>
      <c r="CZ1194" s="2043">
        <v>0</v>
      </c>
      <c r="DA1194" s="2043">
        <v>0</v>
      </c>
      <c r="DB1194" s="2043">
        <v>0</v>
      </c>
      <c r="DC1194" s="2043">
        <v>0</v>
      </c>
      <c r="DI1194" t="s">
        <v>5306</v>
      </c>
      <c r="DJ1194" t="s">
        <v>5306</v>
      </c>
      <c r="DK1194" s="2042">
        <f t="shared" si="20"/>
        <v>0</v>
      </c>
    </row>
    <row r="1195" spans="1:115">
      <c r="A1195" t="s">
        <v>3254</v>
      </c>
      <c r="B1195" t="s">
        <v>10</v>
      </c>
      <c r="C1195">
        <v>226.86</v>
      </c>
      <c r="D1195">
        <v>229.916</v>
      </c>
      <c r="E1195">
        <v>0</v>
      </c>
      <c r="F1195">
        <v>39746</v>
      </c>
      <c r="G1195" s="2043">
        <v>37267780</v>
      </c>
      <c r="H1195">
        <v>0</v>
      </c>
      <c r="I1195" s="2043">
        <v>132392</v>
      </c>
      <c r="J1195">
        <v>11.343</v>
      </c>
      <c r="K1195">
        <v>31</v>
      </c>
      <c r="L1195">
        <v>60400</v>
      </c>
      <c r="M1195">
        <v>39600</v>
      </c>
      <c r="N1195">
        <v>60400</v>
      </c>
      <c r="O1195">
        <v>100000</v>
      </c>
      <c r="P1195">
        <v>0</v>
      </c>
      <c r="Q1195">
        <v>0</v>
      </c>
      <c r="R1195" s="2043">
        <v>305200</v>
      </c>
      <c r="S1195">
        <v>26731</v>
      </c>
      <c r="T1195">
        <v>13466</v>
      </c>
      <c r="U1195">
        <v>0.08</v>
      </c>
      <c r="V1195">
        <v>0</v>
      </c>
      <c r="W1195">
        <v>0</v>
      </c>
      <c r="X1195">
        <v>0</v>
      </c>
      <c r="Y1195">
        <v>39746</v>
      </c>
      <c r="Z1195">
        <v>0</v>
      </c>
      <c r="AA1195">
        <v>0</v>
      </c>
      <c r="AB1195">
        <v>227.376</v>
      </c>
      <c r="AC1195" s="2043">
        <v>42143120</v>
      </c>
      <c r="AD1195">
        <v>66724</v>
      </c>
      <c r="AE1195" s="2043">
        <v>345397</v>
      </c>
      <c r="AF1195">
        <v>1.0337000000000001</v>
      </c>
      <c r="AG1195">
        <v>0</v>
      </c>
      <c r="AH1195">
        <v>0</v>
      </c>
      <c r="AI1195">
        <v>0</v>
      </c>
      <c r="AJ1195">
        <v>18.888000000000002</v>
      </c>
      <c r="AK1195">
        <v>795</v>
      </c>
      <c r="AL1195">
        <v>0</v>
      </c>
      <c r="AM1195">
        <v>0</v>
      </c>
      <c r="AN1195">
        <v>15.364000000000001</v>
      </c>
      <c r="AO1195">
        <v>0</v>
      </c>
      <c r="AP1195">
        <v>0</v>
      </c>
      <c r="AQ1195">
        <v>0</v>
      </c>
      <c r="AR1195">
        <v>0.871</v>
      </c>
      <c r="AS1195">
        <v>0</v>
      </c>
      <c r="AT1195">
        <v>0</v>
      </c>
      <c r="AU1195">
        <v>0.45100000000000001</v>
      </c>
      <c r="AV1195">
        <v>0</v>
      </c>
      <c r="AW1195">
        <v>1.3220000000000001</v>
      </c>
      <c r="AX1195">
        <v>0</v>
      </c>
      <c r="AY1195">
        <v>4.8680000000000003</v>
      </c>
      <c r="AZ1195">
        <v>0</v>
      </c>
      <c r="BA1195">
        <v>2743763</v>
      </c>
      <c r="BB1195">
        <v>412121</v>
      </c>
      <c r="BC1195">
        <v>0</v>
      </c>
      <c r="BD1195">
        <v>7612</v>
      </c>
      <c r="BE1195">
        <v>0</v>
      </c>
      <c r="BF1195">
        <v>7612</v>
      </c>
      <c r="BG1195">
        <v>7612</v>
      </c>
      <c r="BH1195">
        <v>0</v>
      </c>
      <c r="BI1195">
        <v>0</v>
      </c>
      <c r="BJ1195">
        <v>0</v>
      </c>
      <c r="BK1195">
        <v>0</v>
      </c>
      <c r="BL1195">
        <v>37267780</v>
      </c>
      <c r="BM1195">
        <v>0</v>
      </c>
      <c r="BN1195">
        <v>864</v>
      </c>
      <c r="BO1195">
        <v>642</v>
      </c>
      <c r="BP1195">
        <v>0</v>
      </c>
      <c r="BQ1195">
        <v>0</v>
      </c>
      <c r="BR1195">
        <v>0.91339999999999999</v>
      </c>
      <c r="BS1195">
        <v>0.91339999999999999</v>
      </c>
      <c r="BT1195">
        <v>0</v>
      </c>
      <c r="BU1195">
        <v>0</v>
      </c>
      <c r="BV1195">
        <v>19</v>
      </c>
      <c r="BW1195">
        <v>30</v>
      </c>
      <c r="BX1195">
        <v>13</v>
      </c>
      <c r="BY1195">
        <v>13</v>
      </c>
      <c r="BZ1195">
        <v>3</v>
      </c>
      <c r="CA1195">
        <v>78</v>
      </c>
      <c r="CB1195">
        <v>0</v>
      </c>
      <c r="CC1195">
        <v>0</v>
      </c>
      <c r="CD1195">
        <v>0</v>
      </c>
      <c r="CE1195">
        <v>9</v>
      </c>
      <c r="CF1195">
        <v>19.304000000000002</v>
      </c>
      <c r="CG1195">
        <v>0</v>
      </c>
      <c r="CH1195">
        <v>0</v>
      </c>
      <c r="CI1195">
        <v>1</v>
      </c>
      <c r="CJ1195">
        <v>1</v>
      </c>
      <c r="CK1195">
        <v>0</v>
      </c>
      <c r="CL1195">
        <v>0</v>
      </c>
      <c r="CM1195">
        <v>0</v>
      </c>
      <c r="CN1195">
        <v>0</v>
      </c>
      <c r="CO1195">
        <v>0</v>
      </c>
      <c r="CP1195">
        <v>0</v>
      </c>
      <c r="CQ1195">
        <v>0</v>
      </c>
      <c r="CR1195">
        <v>0</v>
      </c>
      <c r="CS1195">
        <v>0</v>
      </c>
      <c r="CT1195">
        <v>0</v>
      </c>
      <c r="CU1195">
        <v>0</v>
      </c>
      <c r="CV1195">
        <v>9.4169999999999998</v>
      </c>
      <c r="CW1195">
        <v>12.344000000000001</v>
      </c>
      <c r="CX1195">
        <v>0</v>
      </c>
      <c r="CY1195" s="2043">
        <v>0</v>
      </c>
      <c r="CZ1195" s="2043">
        <v>0</v>
      </c>
      <c r="DA1195" s="2043">
        <v>0</v>
      </c>
      <c r="DB1195" s="2043">
        <v>39746</v>
      </c>
      <c r="DC1195" s="2043">
        <v>0</v>
      </c>
      <c r="DI1195" t="s">
        <v>3254</v>
      </c>
      <c r="DJ1195" t="s">
        <v>3254</v>
      </c>
      <c r="DK1195" s="2042">
        <f t="shared" si="20"/>
        <v>0</v>
      </c>
    </row>
    <row r="1196" spans="1:115">
      <c r="A1196" t="s">
        <v>3255</v>
      </c>
      <c r="B1196" t="s">
        <v>1415</v>
      </c>
      <c r="C1196">
        <v>291.51900000000001</v>
      </c>
      <c r="D1196">
        <v>283.34300000000002</v>
      </c>
      <c r="E1196">
        <v>44.317</v>
      </c>
      <c r="F1196">
        <v>0</v>
      </c>
      <c r="G1196" s="2043">
        <v>39074503</v>
      </c>
      <c r="H1196">
        <v>0</v>
      </c>
      <c r="I1196" s="2043">
        <v>471200</v>
      </c>
      <c r="J1196">
        <v>14.576000000000001</v>
      </c>
      <c r="K1196">
        <v>40</v>
      </c>
      <c r="L1196">
        <v>309861</v>
      </c>
      <c r="M1196">
        <v>119963</v>
      </c>
      <c r="N1196">
        <v>309861</v>
      </c>
      <c r="O1196">
        <v>429824</v>
      </c>
      <c r="P1196">
        <v>0</v>
      </c>
      <c r="Q1196">
        <v>0</v>
      </c>
      <c r="R1196" s="2043">
        <v>317083</v>
      </c>
      <c r="S1196">
        <v>28232</v>
      </c>
      <c r="T1196">
        <v>23292</v>
      </c>
      <c r="U1196">
        <v>0.08</v>
      </c>
      <c r="V1196">
        <v>0</v>
      </c>
      <c r="W1196">
        <v>0</v>
      </c>
      <c r="X1196">
        <v>0</v>
      </c>
      <c r="Y1196">
        <v>0</v>
      </c>
      <c r="Z1196">
        <v>0</v>
      </c>
      <c r="AA1196">
        <v>0</v>
      </c>
      <c r="AB1196">
        <v>286.64300000000003</v>
      </c>
      <c r="AC1196" s="2043">
        <v>37639690</v>
      </c>
      <c r="AD1196">
        <v>122935</v>
      </c>
      <c r="AE1196" s="2043">
        <v>368607</v>
      </c>
      <c r="AF1196">
        <v>1.0445</v>
      </c>
      <c r="AG1196">
        <v>0</v>
      </c>
      <c r="AH1196">
        <v>0</v>
      </c>
      <c r="AI1196">
        <v>0</v>
      </c>
      <c r="AJ1196">
        <v>71.350000000000009</v>
      </c>
      <c r="AK1196">
        <v>1146</v>
      </c>
      <c r="AL1196">
        <v>0.26200000000000001</v>
      </c>
      <c r="AM1196">
        <v>0</v>
      </c>
      <c r="AN1196">
        <v>1.165</v>
      </c>
      <c r="AO1196">
        <v>0</v>
      </c>
      <c r="AP1196">
        <v>0</v>
      </c>
      <c r="AQ1196">
        <v>0</v>
      </c>
      <c r="AR1196">
        <v>5.758</v>
      </c>
      <c r="AS1196">
        <v>0</v>
      </c>
      <c r="AT1196">
        <v>3.399</v>
      </c>
      <c r="AU1196">
        <v>0.53200000000000003</v>
      </c>
      <c r="AV1196">
        <v>0</v>
      </c>
      <c r="AW1196">
        <v>9.9510000000000005</v>
      </c>
      <c r="AX1196">
        <v>0</v>
      </c>
      <c r="AY1196">
        <v>31.441000000000003</v>
      </c>
      <c r="AZ1196">
        <v>0</v>
      </c>
      <c r="BA1196">
        <v>4233077</v>
      </c>
      <c r="BB1196">
        <v>491542</v>
      </c>
      <c r="BC1196">
        <v>0</v>
      </c>
      <c r="BD1196">
        <v>12029</v>
      </c>
      <c r="BE1196">
        <v>7</v>
      </c>
      <c r="BF1196">
        <v>12036</v>
      </c>
      <c r="BG1196">
        <v>12029</v>
      </c>
      <c r="BH1196">
        <v>0</v>
      </c>
      <c r="BI1196">
        <v>0</v>
      </c>
      <c r="BJ1196">
        <v>0</v>
      </c>
      <c r="BK1196">
        <v>0</v>
      </c>
      <c r="BL1196">
        <v>39074503</v>
      </c>
      <c r="BM1196">
        <v>0</v>
      </c>
      <c r="BN1196">
        <v>828</v>
      </c>
      <c r="BO1196">
        <v>278</v>
      </c>
      <c r="BP1196">
        <v>0</v>
      </c>
      <c r="BQ1196">
        <v>0</v>
      </c>
      <c r="BR1196">
        <v>0.89850000000000008</v>
      </c>
      <c r="BS1196">
        <v>0.89850000000000008</v>
      </c>
      <c r="BT1196">
        <v>0</v>
      </c>
      <c r="BU1196">
        <v>0</v>
      </c>
      <c r="BV1196">
        <v>0</v>
      </c>
      <c r="BW1196">
        <v>7</v>
      </c>
      <c r="BX1196">
        <v>247</v>
      </c>
      <c r="BY1196">
        <v>25</v>
      </c>
      <c r="BZ1196">
        <v>5</v>
      </c>
      <c r="CA1196">
        <v>284</v>
      </c>
      <c r="CB1196">
        <v>0</v>
      </c>
      <c r="CC1196">
        <v>0</v>
      </c>
      <c r="CD1196">
        <v>0</v>
      </c>
      <c r="CE1196">
        <v>0</v>
      </c>
      <c r="CF1196">
        <v>75.829000000000008</v>
      </c>
      <c r="CG1196">
        <v>0</v>
      </c>
      <c r="CH1196">
        <v>0</v>
      </c>
      <c r="CI1196">
        <v>6</v>
      </c>
      <c r="CJ1196">
        <v>2</v>
      </c>
      <c r="CK1196">
        <v>1</v>
      </c>
      <c r="CL1196">
        <v>0</v>
      </c>
      <c r="CM1196">
        <v>44.317</v>
      </c>
      <c r="CN1196">
        <v>0</v>
      </c>
      <c r="CO1196">
        <v>0</v>
      </c>
      <c r="CP1196">
        <v>0</v>
      </c>
      <c r="CQ1196">
        <v>0</v>
      </c>
      <c r="CR1196">
        <v>0</v>
      </c>
      <c r="CS1196">
        <v>0</v>
      </c>
      <c r="CT1196">
        <v>0</v>
      </c>
      <c r="CU1196">
        <v>0</v>
      </c>
      <c r="CV1196">
        <v>22.528000000000002</v>
      </c>
      <c r="CW1196">
        <v>16.923000000000002</v>
      </c>
      <c r="CX1196">
        <v>0</v>
      </c>
      <c r="CY1196" s="2043">
        <v>0</v>
      </c>
      <c r="CZ1196" s="2043">
        <v>0</v>
      </c>
      <c r="DA1196" s="2043">
        <v>0</v>
      </c>
      <c r="DB1196" s="2043">
        <v>0</v>
      </c>
      <c r="DC1196" s="2043">
        <v>0</v>
      </c>
      <c r="DI1196" t="s">
        <v>3255</v>
      </c>
      <c r="DJ1196" t="s">
        <v>3255</v>
      </c>
      <c r="DK1196" s="2042">
        <f t="shared" si="20"/>
        <v>0</v>
      </c>
    </row>
    <row r="1197" spans="1:115">
      <c r="A1197" t="s">
        <v>3256</v>
      </c>
      <c r="B1197" t="s">
        <v>1975</v>
      </c>
      <c r="C1197">
        <v>1282.7250000000001</v>
      </c>
      <c r="D1197">
        <v>1290.9660000000001</v>
      </c>
      <c r="E1197">
        <v>103.825</v>
      </c>
      <c r="F1197">
        <v>283324</v>
      </c>
      <c r="G1197" s="2043">
        <v>551777876</v>
      </c>
      <c r="H1197">
        <v>0</v>
      </c>
      <c r="I1197" s="2043">
        <v>754045</v>
      </c>
      <c r="J1197">
        <v>64.13600000000001</v>
      </c>
      <c r="K1197">
        <v>175</v>
      </c>
      <c r="L1197">
        <v>0</v>
      </c>
      <c r="M1197">
        <v>646185</v>
      </c>
      <c r="N1197">
        <v>0</v>
      </c>
      <c r="O1197">
        <v>646185</v>
      </c>
      <c r="P1197">
        <v>0</v>
      </c>
      <c r="Q1197">
        <v>0</v>
      </c>
      <c r="R1197" s="2043">
        <v>3802806</v>
      </c>
      <c r="S1197">
        <v>370103</v>
      </c>
      <c r="T1197">
        <v>269712</v>
      </c>
      <c r="U1197">
        <v>0.08</v>
      </c>
      <c r="V1197">
        <v>0</v>
      </c>
      <c r="W1197">
        <v>0</v>
      </c>
      <c r="X1197">
        <v>0</v>
      </c>
      <c r="Y1197">
        <v>505373</v>
      </c>
      <c r="Z1197">
        <v>0</v>
      </c>
      <c r="AA1197">
        <v>0.29400000000000004</v>
      </c>
      <c r="AB1197">
        <v>1251.1120000000001</v>
      </c>
      <c r="AC1197" s="2043">
        <v>226345792</v>
      </c>
      <c r="AD1197">
        <v>1564015</v>
      </c>
      <c r="AE1197" s="2043">
        <v>4442621</v>
      </c>
      <c r="AF1197">
        <v>0.96030000000000004</v>
      </c>
      <c r="AG1197">
        <v>0</v>
      </c>
      <c r="AH1197">
        <v>0</v>
      </c>
      <c r="AI1197">
        <v>0</v>
      </c>
      <c r="AJ1197">
        <v>282.16300000000001</v>
      </c>
      <c r="AK1197">
        <v>4622</v>
      </c>
      <c r="AL1197">
        <v>0.154</v>
      </c>
      <c r="AM1197">
        <v>0</v>
      </c>
      <c r="AN1197">
        <v>66.637</v>
      </c>
      <c r="AO1197">
        <v>0</v>
      </c>
      <c r="AP1197">
        <v>0</v>
      </c>
      <c r="AQ1197">
        <v>0.80100000000000005</v>
      </c>
      <c r="AR1197">
        <v>10.406000000000001</v>
      </c>
      <c r="AS1197">
        <v>0</v>
      </c>
      <c r="AT1197">
        <v>15.983000000000001</v>
      </c>
      <c r="AU1197">
        <v>1.595</v>
      </c>
      <c r="AV1197">
        <v>0</v>
      </c>
      <c r="AW1197">
        <v>28.939</v>
      </c>
      <c r="AX1197">
        <v>0</v>
      </c>
      <c r="AY1197">
        <v>87.912000000000006</v>
      </c>
      <c r="AZ1197">
        <v>0</v>
      </c>
      <c r="BA1197">
        <v>10766517</v>
      </c>
      <c r="BB1197">
        <v>6006636</v>
      </c>
      <c r="BC1197">
        <v>0</v>
      </c>
      <c r="BD1197">
        <v>96988</v>
      </c>
      <c r="BE1197">
        <v>26958</v>
      </c>
      <c r="BF1197">
        <v>147628</v>
      </c>
      <c r="BG1197">
        <v>96988</v>
      </c>
      <c r="BH1197">
        <v>23682</v>
      </c>
      <c r="BI1197">
        <v>0</v>
      </c>
      <c r="BJ1197">
        <v>0</v>
      </c>
      <c r="BK1197">
        <v>0</v>
      </c>
      <c r="BL1197">
        <v>551777876</v>
      </c>
      <c r="BM1197">
        <v>0</v>
      </c>
      <c r="BN1197">
        <v>5319</v>
      </c>
      <c r="BO1197">
        <v>5093</v>
      </c>
      <c r="BP1197">
        <v>0</v>
      </c>
      <c r="BQ1197">
        <v>0</v>
      </c>
      <c r="BR1197">
        <v>0.82200000000000006</v>
      </c>
      <c r="BS1197">
        <v>0.82200000000000006</v>
      </c>
      <c r="BT1197">
        <v>222049</v>
      </c>
      <c r="BU1197">
        <v>0</v>
      </c>
      <c r="BV1197">
        <v>193</v>
      </c>
      <c r="BW1197">
        <v>43</v>
      </c>
      <c r="BX1197">
        <v>736</v>
      </c>
      <c r="BY1197">
        <v>90</v>
      </c>
      <c r="BZ1197">
        <v>76</v>
      </c>
      <c r="CA1197">
        <v>1138</v>
      </c>
      <c r="CB1197">
        <v>1</v>
      </c>
      <c r="CC1197">
        <v>0</v>
      </c>
      <c r="CD1197">
        <v>0</v>
      </c>
      <c r="CE1197">
        <v>56</v>
      </c>
      <c r="CF1197">
        <v>276.71199999999999</v>
      </c>
      <c r="CG1197">
        <v>0</v>
      </c>
      <c r="CH1197">
        <v>1.1440000000000001</v>
      </c>
      <c r="CI1197">
        <v>28</v>
      </c>
      <c r="CJ1197">
        <v>10</v>
      </c>
      <c r="CK1197">
        <v>1</v>
      </c>
      <c r="CL1197">
        <v>1.1440000000000001</v>
      </c>
      <c r="CM1197">
        <v>103.825</v>
      </c>
      <c r="CN1197">
        <v>0</v>
      </c>
      <c r="CO1197">
        <v>0</v>
      </c>
      <c r="CP1197">
        <v>0</v>
      </c>
      <c r="CQ1197">
        <v>0</v>
      </c>
      <c r="CR1197">
        <v>0</v>
      </c>
      <c r="CS1197">
        <v>0</v>
      </c>
      <c r="CT1197">
        <v>0</v>
      </c>
      <c r="CU1197">
        <v>20.59</v>
      </c>
      <c r="CV1197">
        <v>130.041</v>
      </c>
      <c r="CW1197">
        <v>44.786000000000001</v>
      </c>
      <c r="CX1197">
        <v>222049</v>
      </c>
      <c r="CY1197" s="2043">
        <v>0</v>
      </c>
      <c r="CZ1197" s="2043">
        <v>0</v>
      </c>
      <c r="DA1197" s="2043">
        <v>0</v>
      </c>
      <c r="DB1197" s="2043">
        <v>283324</v>
      </c>
      <c r="DC1197" s="2043">
        <v>0</v>
      </c>
      <c r="DI1197" t="s">
        <v>3256</v>
      </c>
      <c r="DJ1197" t="s">
        <v>3256</v>
      </c>
      <c r="DK1197" s="2042">
        <f t="shared" si="20"/>
        <v>0</v>
      </c>
    </row>
    <row r="1198" spans="1:115">
      <c r="A1198" t="s">
        <v>3257</v>
      </c>
      <c r="B1198" t="s">
        <v>403</v>
      </c>
      <c r="C1198">
        <v>1688.74</v>
      </c>
      <c r="D1198">
        <v>1945.5790000000002</v>
      </c>
      <c r="E1198">
        <v>125.70500000000001</v>
      </c>
      <c r="F1198">
        <v>86088</v>
      </c>
      <c r="G1198" s="2043">
        <v>354947365</v>
      </c>
      <c r="H1198">
        <v>0</v>
      </c>
      <c r="I1198" s="2043">
        <v>1715443</v>
      </c>
      <c r="J1198">
        <v>84.436999999999998</v>
      </c>
      <c r="K1198">
        <v>231</v>
      </c>
      <c r="L1198">
        <v>572380</v>
      </c>
      <c r="M1198">
        <v>1140513</v>
      </c>
      <c r="N1198">
        <v>572380</v>
      </c>
      <c r="O1198">
        <v>1712893</v>
      </c>
      <c r="P1198">
        <v>0</v>
      </c>
      <c r="Q1198">
        <v>0</v>
      </c>
      <c r="R1198" s="2043">
        <v>2892392</v>
      </c>
      <c r="S1198">
        <v>253330</v>
      </c>
      <c r="T1198">
        <v>184614</v>
      </c>
      <c r="U1198">
        <v>0.08</v>
      </c>
      <c r="V1198">
        <v>0</v>
      </c>
      <c r="W1198">
        <v>0</v>
      </c>
      <c r="X1198">
        <v>0</v>
      </c>
      <c r="Y1198">
        <v>86088</v>
      </c>
      <c r="Z1198">
        <v>0</v>
      </c>
      <c r="AA1198">
        <v>0.04</v>
      </c>
      <c r="AB1198">
        <v>1879.5450000000001</v>
      </c>
      <c r="AC1198" s="2043">
        <v>338504757</v>
      </c>
      <c r="AD1198">
        <v>475297</v>
      </c>
      <c r="AE1198" s="2043">
        <v>3330336</v>
      </c>
      <c r="AF1198">
        <v>1.0517000000000001</v>
      </c>
      <c r="AG1198">
        <v>0</v>
      </c>
      <c r="AH1198">
        <v>0</v>
      </c>
      <c r="AI1198">
        <v>0</v>
      </c>
      <c r="AJ1198">
        <v>451.55</v>
      </c>
      <c r="AK1198">
        <v>7548</v>
      </c>
      <c r="AL1198">
        <v>0.57700000000000007</v>
      </c>
      <c r="AM1198">
        <v>0</v>
      </c>
      <c r="AN1198">
        <v>38.436</v>
      </c>
      <c r="AO1198">
        <v>0</v>
      </c>
      <c r="AP1198">
        <v>0</v>
      </c>
      <c r="AQ1198">
        <v>0</v>
      </c>
      <c r="AR1198">
        <v>56.967000000000006</v>
      </c>
      <c r="AS1198">
        <v>0</v>
      </c>
      <c r="AT1198">
        <v>22.522000000000002</v>
      </c>
      <c r="AU1198">
        <v>4.1859999999999999</v>
      </c>
      <c r="AV1198">
        <v>0</v>
      </c>
      <c r="AW1198">
        <v>84.25200000000001</v>
      </c>
      <c r="AX1198">
        <v>0</v>
      </c>
      <c r="AY1198">
        <v>262.28200000000004</v>
      </c>
      <c r="AZ1198">
        <v>0</v>
      </c>
      <c r="BA1198">
        <v>16083750</v>
      </c>
      <c r="BB1198">
        <v>3805633</v>
      </c>
      <c r="BC1198">
        <v>0</v>
      </c>
      <c r="BD1198">
        <v>69120</v>
      </c>
      <c r="BE1198">
        <v>21773</v>
      </c>
      <c r="BF1198">
        <v>90893</v>
      </c>
      <c r="BG1198">
        <v>69120</v>
      </c>
      <c r="BH1198">
        <v>0</v>
      </c>
      <c r="BI1198">
        <v>0</v>
      </c>
      <c r="BJ1198">
        <v>0</v>
      </c>
      <c r="BK1198">
        <v>0</v>
      </c>
      <c r="BL1198">
        <v>354947365</v>
      </c>
      <c r="BM1198">
        <v>0</v>
      </c>
      <c r="BN1198">
        <v>6687</v>
      </c>
      <c r="BO1198">
        <v>5928</v>
      </c>
      <c r="BP1198">
        <v>0</v>
      </c>
      <c r="BQ1198">
        <v>15000</v>
      </c>
      <c r="BR1198">
        <v>0.91339999999999999</v>
      </c>
      <c r="BS1198">
        <v>0.91339999999999999</v>
      </c>
      <c r="BT1198">
        <v>0</v>
      </c>
      <c r="BU1198">
        <v>0</v>
      </c>
      <c r="BV1198">
        <v>11</v>
      </c>
      <c r="BW1198">
        <v>216</v>
      </c>
      <c r="BX1198">
        <v>65</v>
      </c>
      <c r="BY1198">
        <v>1114</v>
      </c>
      <c r="BZ1198">
        <v>324</v>
      </c>
      <c r="CA1198">
        <v>1730</v>
      </c>
      <c r="CB1198">
        <v>0</v>
      </c>
      <c r="CC1198">
        <v>0</v>
      </c>
      <c r="CD1198">
        <v>0</v>
      </c>
      <c r="CE1198">
        <v>48</v>
      </c>
      <c r="CF1198">
        <v>530.75700000000006</v>
      </c>
      <c r="CG1198">
        <v>28.403000000000002</v>
      </c>
      <c r="CH1198">
        <v>0</v>
      </c>
      <c r="CI1198">
        <v>18</v>
      </c>
      <c r="CJ1198">
        <v>6</v>
      </c>
      <c r="CK1198">
        <v>1</v>
      </c>
      <c r="CL1198">
        <v>28.403000000000002</v>
      </c>
      <c r="CM1198">
        <v>125.70500000000001</v>
      </c>
      <c r="CN1198">
        <v>0</v>
      </c>
      <c r="CO1198">
        <v>0</v>
      </c>
      <c r="CP1198">
        <v>0</v>
      </c>
      <c r="CQ1198">
        <v>0</v>
      </c>
      <c r="CR1198">
        <v>0</v>
      </c>
      <c r="CS1198">
        <v>446.55400000000003</v>
      </c>
      <c r="CT1198">
        <v>0</v>
      </c>
      <c r="CU1198">
        <v>4.3959999999999999</v>
      </c>
      <c r="CV1198">
        <v>82.929000000000002</v>
      </c>
      <c r="CW1198">
        <v>19.946000000000002</v>
      </c>
      <c r="CX1198">
        <v>0</v>
      </c>
      <c r="CY1198" s="2043">
        <v>0</v>
      </c>
      <c r="CZ1198" s="2043">
        <v>0</v>
      </c>
      <c r="DA1198" s="2043">
        <v>0</v>
      </c>
      <c r="DB1198" s="2043">
        <v>86088</v>
      </c>
      <c r="DC1198" s="2043">
        <v>0</v>
      </c>
      <c r="DI1198" t="s">
        <v>3257</v>
      </c>
      <c r="DJ1198" t="s">
        <v>3257</v>
      </c>
      <c r="DK1198" s="2042">
        <f t="shared" si="20"/>
        <v>0</v>
      </c>
    </row>
    <row r="1199" spans="1:115">
      <c r="A1199" t="s">
        <v>3258</v>
      </c>
      <c r="B1199" t="s">
        <v>264</v>
      </c>
      <c r="C1199">
        <v>203.501</v>
      </c>
      <c r="D1199">
        <v>222.05800000000002</v>
      </c>
      <c r="E1199">
        <v>24.147000000000002</v>
      </c>
      <c r="F1199">
        <v>50508</v>
      </c>
      <c r="G1199" s="2043">
        <v>167284677</v>
      </c>
      <c r="H1199">
        <v>0</v>
      </c>
      <c r="I1199" s="2043">
        <v>417175</v>
      </c>
      <c r="J1199">
        <v>10.175000000000001</v>
      </c>
      <c r="K1199">
        <v>28</v>
      </c>
      <c r="L1199">
        <v>0</v>
      </c>
      <c r="M1199">
        <v>290600</v>
      </c>
      <c r="N1199">
        <v>0</v>
      </c>
      <c r="O1199">
        <v>290600</v>
      </c>
      <c r="P1199">
        <v>0</v>
      </c>
      <c r="Q1199">
        <v>0</v>
      </c>
      <c r="R1199" s="2043">
        <v>1040494</v>
      </c>
      <c r="S1199">
        <v>97311</v>
      </c>
      <c r="T1199">
        <v>6082</v>
      </c>
      <c r="U1199">
        <v>0.08</v>
      </c>
      <c r="V1199">
        <v>0</v>
      </c>
      <c r="W1199">
        <v>0</v>
      </c>
      <c r="X1199">
        <v>0</v>
      </c>
      <c r="Y1199">
        <v>293311</v>
      </c>
      <c r="Z1199">
        <v>0</v>
      </c>
      <c r="AA1199">
        <v>0</v>
      </c>
      <c r="AB1199">
        <v>213.22500000000002</v>
      </c>
      <c r="AC1199" s="2043">
        <v>118636134</v>
      </c>
      <c r="AD1199">
        <v>438604</v>
      </c>
      <c r="AE1199" s="2043">
        <v>1143887</v>
      </c>
      <c r="AF1199">
        <v>0.94040000000000001</v>
      </c>
      <c r="AG1199">
        <v>0</v>
      </c>
      <c r="AH1199">
        <v>0</v>
      </c>
      <c r="AI1199">
        <v>0</v>
      </c>
      <c r="AJ1199">
        <v>43.35</v>
      </c>
      <c r="AK1199">
        <v>1075</v>
      </c>
      <c r="AL1199">
        <v>0</v>
      </c>
      <c r="AM1199">
        <v>0</v>
      </c>
      <c r="AN1199">
        <v>7.9060000000000006</v>
      </c>
      <c r="AO1199">
        <v>0</v>
      </c>
      <c r="AP1199">
        <v>0</v>
      </c>
      <c r="AQ1199">
        <v>0</v>
      </c>
      <c r="AR1199">
        <v>3.661</v>
      </c>
      <c r="AS1199">
        <v>0</v>
      </c>
      <c r="AT1199">
        <v>2.7930000000000001</v>
      </c>
      <c r="AU1199">
        <v>0.36399999999999999</v>
      </c>
      <c r="AV1199">
        <v>0</v>
      </c>
      <c r="AW1199">
        <v>6.8180000000000005</v>
      </c>
      <c r="AX1199">
        <v>0</v>
      </c>
      <c r="AY1199">
        <v>21.182000000000002</v>
      </c>
      <c r="AZ1199">
        <v>0</v>
      </c>
      <c r="BA1199">
        <v>1783226</v>
      </c>
      <c r="BB1199">
        <v>1582491</v>
      </c>
      <c r="BC1199">
        <v>0</v>
      </c>
      <c r="BD1199">
        <v>20160</v>
      </c>
      <c r="BE1199">
        <v>0</v>
      </c>
      <c r="BF1199">
        <v>20160</v>
      </c>
      <c r="BG1199">
        <v>20160</v>
      </c>
      <c r="BH1199">
        <v>0</v>
      </c>
      <c r="BI1199">
        <v>0</v>
      </c>
      <c r="BJ1199">
        <v>0</v>
      </c>
      <c r="BK1199">
        <v>0</v>
      </c>
      <c r="BL1199">
        <v>167284677</v>
      </c>
      <c r="BM1199">
        <v>0</v>
      </c>
      <c r="BN1199">
        <v>972</v>
      </c>
      <c r="BO1199">
        <v>877</v>
      </c>
      <c r="BP1199">
        <v>142180</v>
      </c>
      <c r="BQ1199">
        <v>0</v>
      </c>
      <c r="BR1199">
        <v>0.85540000000000005</v>
      </c>
      <c r="BS1199">
        <v>0.85540000000000005</v>
      </c>
      <c r="BT1199">
        <v>0</v>
      </c>
      <c r="BU1199">
        <v>0</v>
      </c>
      <c r="BV1199">
        <v>0</v>
      </c>
      <c r="BW1199">
        <v>5</v>
      </c>
      <c r="BX1199">
        <v>155</v>
      </c>
      <c r="BY1199">
        <v>13</v>
      </c>
      <c r="BZ1199">
        <v>0</v>
      </c>
      <c r="CA1199">
        <v>173</v>
      </c>
      <c r="CB1199">
        <v>0</v>
      </c>
      <c r="CC1199">
        <v>0</v>
      </c>
      <c r="CD1199">
        <v>0</v>
      </c>
      <c r="CE1199">
        <v>4</v>
      </c>
      <c r="CF1199">
        <v>52.501000000000005</v>
      </c>
      <c r="CG1199">
        <v>0</v>
      </c>
      <c r="CH1199">
        <v>0</v>
      </c>
      <c r="CI1199">
        <v>4</v>
      </c>
      <c r="CJ1199">
        <v>4</v>
      </c>
      <c r="CK1199">
        <v>0</v>
      </c>
      <c r="CL1199">
        <v>0</v>
      </c>
      <c r="CM1199">
        <v>24.147000000000002</v>
      </c>
      <c r="CN1199">
        <v>88041</v>
      </c>
      <c r="CO1199">
        <v>29922</v>
      </c>
      <c r="CP1199">
        <v>24217</v>
      </c>
      <c r="CQ1199">
        <v>0</v>
      </c>
      <c r="CR1199">
        <v>0</v>
      </c>
      <c r="CS1199">
        <v>0</v>
      </c>
      <c r="CT1199">
        <v>0</v>
      </c>
      <c r="CU1199">
        <v>0</v>
      </c>
      <c r="CV1199">
        <v>16.896000000000001</v>
      </c>
      <c r="CW1199">
        <v>0.66300000000000003</v>
      </c>
      <c r="CX1199">
        <v>0</v>
      </c>
      <c r="CY1199" s="2043">
        <v>242803</v>
      </c>
      <c r="CZ1199" s="2043">
        <v>0</v>
      </c>
      <c r="DA1199" s="2043">
        <v>0</v>
      </c>
      <c r="DB1199" s="2043">
        <v>50508</v>
      </c>
      <c r="DC1199" s="2043">
        <v>41360</v>
      </c>
      <c r="DI1199" t="s">
        <v>3258</v>
      </c>
      <c r="DJ1199" t="s">
        <v>3258</v>
      </c>
      <c r="DK1199" s="2042">
        <f t="shared" si="20"/>
        <v>0</v>
      </c>
    </row>
    <row r="1200" spans="1:115">
      <c r="A1200" t="s">
        <v>8115</v>
      </c>
      <c r="B1200" t="s">
        <v>11445</v>
      </c>
      <c r="C1200">
        <v>1611.5440000000001</v>
      </c>
      <c r="D1200">
        <v>1650.7170000000001</v>
      </c>
      <c r="E1200">
        <v>145.36799999999999</v>
      </c>
      <c r="F1200">
        <v>0</v>
      </c>
      <c r="G1200" s="2043">
        <v>0</v>
      </c>
      <c r="H1200">
        <v>0</v>
      </c>
      <c r="I1200" s="2043">
        <v>0</v>
      </c>
      <c r="J1200">
        <v>0</v>
      </c>
      <c r="K1200">
        <v>0</v>
      </c>
      <c r="L1200">
        <v>0</v>
      </c>
      <c r="M1200">
        <v>0</v>
      </c>
      <c r="N1200">
        <v>0</v>
      </c>
      <c r="O1200">
        <v>0</v>
      </c>
      <c r="P1200">
        <v>0</v>
      </c>
      <c r="Q1200">
        <v>0</v>
      </c>
      <c r="R1200" s="2043">
        <v>0</v>
      </c>
      <c r="S1200">
        <v>0</v>
      </c>
      <c r="T1200">
        <v>0</v>
      </c>
      <c r="U1200">
        <v>0</v>
      </c>
      <c r="V1200">
        <v>0</v>
      </c>
      <c r="W1200">
        <v>0</v>
      </c>
      <c r="X1200">
        <v>0</v>
      </c>
      <c r="Y1200">
        <v>284892</v>
      </c>
      <c r="Z1200">
        <v>0</v>
      </c>
      <c r="AA1200">
        <v>0</v>
      </c>
      <c r="AB1200">
        <v>1641.4870000000001</v>
      </c>
      <c r="AC1200" s="2043">
        <v>0</v>
      </c>
      <c r="AD1200">
        <v>0</v>
      </c>
      <c r="AE1200" s="2043">
        <v>0</v>
      </c>
      <c r="AF1200">
        <v>0</v>
      </c>
      <c r="AG1200">
        <v>0</v>
      </c>
      <c r="AH1200">
        <v>0</v>
      </c>
      <c r="AI1200">
        <v>0</v>
      </c>
      <c r="AJ1200">
        <v>22.325000000000003</v>
      </c>
      <c r="AK1200">
        <v>4052</v>
      </c>
      <c r="AL1200">
        <v>0</v>
      </c>
      <c r="AM1200">
        <v>0</v>
      </c>
      <c r="AN1200">
        <v>20.206</v>
      </c>
      <c r="AO1200">
        <v>0</v>
      </c>
      <c r="AP1200">
        <v>0</v>
      </c>
      <c r="AQ1200">
        <v>0</v>
      </c>
      <c r="AR1200">
        <v>42.319000000000003</v>
      </c>
      <c r="AS1200">
        <v>0</v>
      </c>
      <c r="AT1200">
        <v>4.0360000000000005</v>
      </c>
      <c r="AU1200">
        <v>3.319</v>
      </c>
      <c r="AV1200">
        <v>0</v>
      </c>
      <c r="AW1200">
        <v>49.673999999999999</v>
      </c>
      <c r="AX1200">
        <v>0</v>
      </c>
      <c r="AY1200">
        <v>155.66</v>
      </c>
      <c r="AZ1200">
        <v>0</v>
      </c>
      <c r="BA1200">
        <v>14778980</v>
      </c>
      <c r="BB1200">
        <v>0</v>
      </c>
      <c r="BC1200">
        <v>0</v>
      </c>
      <c r="BD1200">
        <v>0</v>
      </c>
      <c r="BE1200">
        <v>0</v>
      </c>
      <c r="BF1200">
        <v>0</v>
      </c>
      <c r="BG1200">
        <v>0</v>
      </c>
      <c r="BH1200">
        <v>0</v>
      </c>
      <c r="BI1200">
        <v>0</v>
      </c>
      <c r="BJ1200">
        <v>0</v>
      </c>
      <c r="BK1200">
        <v>0</v>
      </c>
      <c r="BL1200">
        <v>0</v>
      </c>
      <c r="BM1200">
        <v>0</v>
      </c>
      <c r="BN1200">
        <v>4563</v>
      </c>
      <c r="BO1200">
        <v>0</v>
      </c>
      <c r="BP1200">
        <v>0</v>
      </c>
      <c r="BQ1200">
        <v>0</v>
      </c>
      <c r="BR1200">
        <v>0</v>
      </c>
      <c r="BS1200">
        <v>0</v>
      </c>
      <c r="BT1200">
        <v>0</v>
      </c>
      <c r="BU1200">
        <v>0</v>
      </c>
      <c r="BV1200">
        <v>65</v>
      </c>
      <c r="BW1200">
        <v>15</v>
      </c>
      <c r="BX1200">
        <v>8</v>
      </c>
      <c r="BY1200">
        <v>5</v>
      </c>
      <c r="BZ1200">
        <v>3</v>
      </c>
      <c r="CA1200">
        <v>96</v>
      </c>
      <c r="CB1200">
        <v>0</v>
      </c>
      <c r="CC1200">
        <v>0</v>
      </c>
      <c r="CD1200">
        <v>0</v>
      </c>
      <c r="CE1200">
        <v>78</v>
      </c>
      <c r="CF1200">
        <v>122.06200000000001</v>
      </c>
      <c r="CG1200">
        <v>0</v>
      </c>
      <c r="CH1200">
        <v>0</v>
      </c>
      <c r="CI1200">
        <v>2</v>
      </c>
      <c r="CJ1200">
        <v>26</v>
      </c>
      <c r="CK1200">
        <v>0</v>
      </c>
      <c r="CL1200">
        <v>0</v>
      </c>
      <c r="CM1200">
        <v>145.36799999999999</v>
      </c>
      <c r="CN1200">
        <v>0</v>
      </c>
      <c r="CO1200">
        <v>0</v>
      </c>
      <c r="CP1200">
        <v>0</v>
      </c>
      <c r="CQ1200">
        <v>0</v>
      </c>
      <c r="CR1200">
        <v>0</v>
      </c>
      <c r="CS1200">
        <v>0</v>
      </c>
      <c r="CT1200">
        <v>0</v>
      </c>
      <c r="CU1200">
        <v>0</v>
      </c>
      <c r="CV1200">
        <v>0</v>
      </c>
      <c r="CW1200">
        <v>0</v>
      </c>
      <c r="CX1200">
        <v>0</v>
      </c>
      <c r="CY1200" s="2043">
        <v>0</v>
      </c>
      <c r="CZ1200" s="2043">
        <v>0</v>
      </c>
      <c r="DA1200" s="2043">
        <v>0</v>
      </c>
      <c r="DB1200" s="2043">
        <v>0</v>
      </c>
      <c r="DC1200" s="2043">
        <v>0</v>
      </c>
      <c r="DI1200" t="s">
        <v>8115</v>
      </c>
      <c r="DJ1200" t="s">
        <v>8115</v>
      </c>
      <c r="DK1200" s="2042">
        <f t="shared" si="20"/>
        <v>0</v>
      </c>
    </row>
    <row r="1201" spans="1:115">
      <c r="A1201" t="s">
        <v>8116</v>
      </c>
      <c r="B1201" t="s">
        <v>11446</v>
      </c>
      <c r="C1201">
        <v>301.483</v>
      </c>
      <c r="D1201">
        <v>402.61600000000004</v>
      </c>
      <c r="E1201">
        <v>12.825000000000001</v>
      </c>
      <c r="F1201">
        <v>0</v>
      </c>
      <c r="G1201" s="2043">
        <v>0</v>
      </c>
      <c r="H1201">
        <v>0</v>
      </c>
      <c r="I1201" s="2043">
        <v>0</v>
      </c>
      <c r="J1201">
        <v>2</v>
      </c>
      <c r="K1201">
        <v>5</v>
      </c>
      <c r="L1201">
        <v>0</v>
      </c>
      <c r="M1201">
        <v>0</v>
      </c>
      <c r="N1201">
        <v>0</v>
      </c>
      <c r="O1201">
        <v>0</v>
      </c>
      <c r="P1201">
        <v>0</v>
      </c>
      <c r="Q1201">
        <v>0</v>
      </c>
      <c r="R1201" s="2043">
        <v>0</v>
      </c>
      <c r="S1201">
        <v>0</v>
      </c>
      <c r="T1201">
        <v>0</v>
      </c>
      <c r="U1201">
        <v>0</v>
      </c>
      <c r="V1201">
        <v>0</v>
      </c>
      <c r="W1201">
        <v>0</v>
      </c>
      <c r="X1201">
        <v>0</v>
      </c>
      <c r="Y1201">
        <v>53297</v>
      </c>
      <c r="Z1201">
        <v>0</v>
      </c>
      <c r="AA1201">
        <v>0</v>
      </c>
      <c r="AB1201">
        <v>396.536</v>
      </c>
      <c r="AC1201" s="2043">
        <v>0</v>
      </c>
      <c r="AD1201">
        <v>0</v>
      </c>
      <c r="AE1201" s="2043">
        <v>0</v>
      </c>
      <c r="AF1201">
        <v>0</v>
      </c>
      <c r="AG1201">
        <v>0</v>
      </c>
      <c r="AH1201">
        <v>0</v>
      </c>
      <c r="AI1201">
        <v>0</v>
      </c>
      <c r="AJ1201">
        <v>31.25</v>
      </c>
      <c r="AK1201">
        <v>849</v>
      </c>
      <c r="AL1201">
        <v>0</v>
      </c>
      <c r="AM1201">
        <v>0</v>
      </c>
      <c r="AN1201">
        <v>2.1150000000000002</v>
      </c>
      <c r="AO1201">
        <v>0</v>
      </c>
      <c r="AP1201">
        <v>0</v>
      </c>
      <c r="AQ1201">
        <v>0</v>
      </c>
      <c r="AR1201">
        <v>10.308</v>
      </c>
      <c r="AS1201">
        <v>0</v>
      </c>
      <c r="AT1201">
        <v>5.1000000000000004E-2</v>
      </c>
      <c r="AU1201">
        <v>0.79300000000000004</v>
      </c>
      <c r="AV1201">
        <v>0</v>
      </c>
      <c r="AW1201">
        <v>11.152000000000001</v>
      </c>
      <c r="AX1201">
        <v>0</v>
      </c>
      <c r="AY1201">
        <v>35.042000000000002</v>
      </c>
      <c r="AZ1201">
        <v>0</v>
      </c>
      <c r="BA1201">
        <v>2969215</v>
      </c>
      <c r="BB1201">
        <v>0</v>
      </c>
      <c r="BC1201">
        <v>0</v>
      </c>
      <c r="BD1201">
        <v>0</v>
      </c>
      <c r="BE1201">
        <v>0</v>
      </c>
      <c r="BF1201">
        <v>0</v>
      </c>
      <c r="BG1201">
        <v>0</v>
      </c>
      <c r="BH1201">
        <v>0</v>
      </c>
      <c r="BI1201">
        <v>0</v>
      </c>
      <c r="BJ1201">
        <v>0</v>
      </c>
      <c r="BK1201">
        <v>0</v>
      </c>
      <c r="BL1201">
        <v>0</v>
      </c>
      <c r="BM1201">
        <v>0</v>
      </c>
      <c r="BN1201">
        <v>0</v>
      </c>
      <c r="BO1201">
        <v>0</v>
      </c>
      <c r="BP1201">
        <v>0</v>
      </c>
      <c r="BQ1201">
        <v>0</v>
      </c>
      <c r="BR1201">
        <v>0</v>
      </c>
      <c r="BS1201">
        <v>0</v>
      </c>
      <c r="BT1201">
        <v>0</v>
      </c>
      <c r="BU1201">
        <v>0</v>
      </c>
      <c r="BV1201">
        <v>76</v>
      </c>
      <c r="BW1201">
        <v>33</v>
      </c>
      <c r="BX1201">
        <v>21</v>
      </c>
      <c r="BY1201">
        <v>3</v>
      </c>
      <c r="BZ1201">
        <v>1</v>
      </c>
      <c r="CA1201">
        <v>134</v>
      </c>
      <c r="CB1201">
        <v>0</v>
      </c>
      <c r="CC1201">
        <v>0</v>
      </c>
      <c r="CD1201">
        <v>0</v>
      </c>
      <c r="CE1201">
        <v>16</v>
      </c>
      <c r="CF1201">
        <v>68.921000000000006</v>
      </c>
      <c r="CG1201">
        <v>0</v>
      </c>
      <c r="CH1201">
        <v>0</v>
      </c>
      <c r="CI1201">
        <v>0</v>
      </c>
      <c r="CJ1201">
        <v>0</v>
      </c>
      <c r="CK1201">
        <v>0</v>
      </c>
      <c r="CL1201">
        <v>0</v>
      </c>
      <c r="CM1201">
        <v>12.825000000000001</v>
      </c>
      <c r="CN1201">
        <v>0</v>
      </c>
      <c r="CO1201">
        <v>0</v>
      </c>
      <c r="CP1201">
        <v>0</v>
      </c>
      <c r="CQ1201">
        <v>0</v>
      </c>
      <c r="CR1201">
        <v>0</v>
      </c>
      <c r="CS1201">
        <v>0</v>
      </c>
      <c r="CT1201">
        <v>0</v>
      </c>
      <c r="CU1201">
        <v>0</v>
      </c>
      <c r="CV1201">
        <v>0</v>
      </c>
      <c r="CW1201">
        <v>0</v>
      </c>
      <c r="CX1201">
        <v>0</v>
      </c>
      <c r="CY1201" s="2043">
        <v>0</v>
      </c>
      <c r="CZ1201" s="2043">
        <v>0</v>
      </c>
      <c r="DA1201" s="2043">
        <v>0</v>
      </c>
      <c r="DB1201" s="2043">
        <v>0</v>
      </c>
      <c r="DC1201" s="2043">
        <v>0</v>
      </c>
      <c r="DI1201" t="s">
        <v>8116</v>
      </c>
      <c r="DJ1201" t="s">
        <v>8116</v>
      </c>
      <c r="DK1201" s="2042">
        <f t="shared" si="20"/>
        <v>0</v>
      </c>
    </row>
    <row r="1202" spans="1:115">
      <c r="A1202" t="s">
        <v>3259</v>
      </c>
      <c r="B1202" t="s">
        <v>1262</v>
      </c>
      <c r="C1202">
        <v>1034.569</v>
      </c>
      <c r="D1202">
        <v>1010.455</v>
      </c>
      <c r="E1202">
        <v>259.51800000000003</v>
      </c>
      <c r="F1202">
        <v>0</v>
      </c>
      <c r="G1202" s="2043">
        <v>671748943</v>
      </c>
      <c r="H1202">
        <v>0</v>
      </c>
      <c r="I1202" s="2043">
        <v>1116272</v>
      </c>
      <c r="J1202">
        <v>51.728000000000002</v>
      </c>
      <c r="K1202">
        <v>141</v>
      </c>
      <c r="L1202">
        <v>0</v>
      </c>
      <c r="M1202">
        <v>231000</v>
      </c>
      <c r="N1202">
        <v>0</v>
      </c>
      <c r="O1202">
        <v>231000</v>
      </c>
      <c r="P1202">
        <v>0</v>
      </c>
      <c r="Q1202">
        <v>0</v>
      </c>
      <c r="R1202" s="2043">
        <v>5502193</v>
      </c>
      <c r="S1202">
        <v>535493</v>
      </c>
      <c r="T1202">
        <v>390241</v>
      </c>
      <c r="U1202">
        <v>0.08</v>
      </c>
      <c r="V1202">
        <v>0</v>
      </c>
      <c r="W1202">
        <v>0</v>
      </c>
      <c r="X1202">
        <v>0</v>
      </c>
      <c r="Y1202">
        <v>-28743</v>
      </c>
      <c r="Z1202">
        <v>0.92500000000000004</v>
      </c>
      <c r="AA1202">
        <v>0.09</v>
      </c>
      <c r="AB1202">
        <v>1010.455</v>
      </c>
      <c r="AC1202" s="2043">
        <v>418345180</v>
      </c>
      <c r="AD1202">
        <v>1094414</v>
      </c>
      <c r="AE1202" s="2043">
        <v>6427927</v>
      </c>
      <c r="AF1202">
        <v>0.96030000000000004</v>
      </c>
      <c r="AG1202">
        <v>0</v>
      </c>
      <c r="AH1202">
        <v>0</v>
      </c>
      <c r="AI1202">
        <v>0</v>
      </c>
      <c r="AJ1202">
        <v>166.738</v>
      </c>
      <c r="AK1202">
        <v>4899</v>
      </c>
      <c r="AL1202">
        <v>3.7000000000000005E-2</v>
      </c>
      <c r="AM1202">
        <v>0</v>
      </c>
      <c r="AN1202">
        <v>39.994</v>
      </c>
      <c r="AO1202">
        <v>1</v>
      </c>
      <c r="AP1202">
        <v>0</v>
      </c>
      <c r="AQ1202">
        <v>0.59</v>
      </c>
      <c r="AR1202">
        <v>31.84</v>
      </c>
      <c r="AS1202">
        <v>0</v>
      </c>
      <c r="AT1202">
        <v>3.7250000000000001</v>
      </c>
      <c r="AU1202">
        <v>2.59</v>
      </c>
      <c r="AV1202">
        <v>0</v>
      </c>
      <c r="AW1202">
        <v>38.782000000000004</v>
      </c>
      <c r="AX1202">
        <v>0</v>
      </c>
      <c r="AY1202">
        <v>119.83</v>
      </c>
      <c r="AZ1202">
        <v>0</v>
      </c>
      <c r="BA1202">
        <v>6496593</v>
      </c>
      <c r="BB1202">
        <v>7522341</v>
      </c>
      <c r="BC1202">
        <v>0</v>
      </c>
      <c r="BD1202">
        <v>117475</v>
      </c>
      <c r="BE1202">
        <v>36247</v>
      </c>
      <c r="BF1202">
        <v>153722</v>
      </c>
      <c r="BG1202">
        <v>117475</v>
      </c>
      <c r="BH1202">
        <v>0</v>
      </c>
      <c r="BI1202">
        <v>0</v>
      </c>
      <c r="BJ1202">
        <v>-28743</v>
      </c>
      <c r="BK1202">
        <v>0</v>
      </c>
      <c r="BL1202">
        <v>671748943</v>
      </c>
      <c r="BM1202">
        <v>0</v>
      </c>
      <c r="BN1202">
        <v>4131</v>
      </c>
      <c r="BO1202">
        <v>1070</v>
      </c>
      <c r="BP1202">
        <v>0</v>
      </c>
      <c r="BQ1202">
        <v>0</v>
      </c>
      <c r="BR1202">
        <v>0.82200000000000006</v>
      </c>
      <c r="BS1202">
        <v>0.82200000000000006</v>
      </c>
      <c r="BT1202">
        <v>0</v>
      </c>
      <c r="BU1202">
        <v>0</v>
      </c>
      <c r="BV1202">
        <v>151</v>
      </c>
      <c r="BW1202">
        <v>170</v>
      </c>
      <c r="BX1202">
        <v>350</v>
      </c>
      <c r="BY1202">
        <v>5</v>
      </c>
      <c r="BZ1202">
        <v>13</v>
      </c>
      <c r="CA1202">
        <v>689</v>
      </c>
      <c r="CB1202">
        <v>0</v>
      </c>
      <c r="CC1202">
        <v>28.876000000000001</v>
      </c>
      <c r="CD1202">
        <v>0</v>
      </c>
      <c r="CE1202">
        <v>81</v>
      </c>
      <c r="CF1202">
        <v>282.774</v>
      </c>
      <c r="CG1202">
        <v>0</v>
      </c>
      <c r="CH1202">
        <v>0.65</v>
      </c>
      <c r="CI1202">
        <v>1</v>
      </c>
      <c r="CJ1202">
        <v>0</v>
      </c>
      <c r="CK1202">
        <v>0</v>
      </c>
      <c r="CL1202">
        <v>0.65</v>
      </c>
      <c r="CM1202">
        <v>259.51800000000003</v>
      </c>
      <c r="CN1202">
        <v>0</v>
      </c>
      <c r="CO1202">
        <v>0</v>
      </c>
      <c r="CP1202">
        <v>0</v>
      </c>
      <c r="CQ1202">
        <v>0</v>
      </c>
      <c r="CR1202">
        <v>0</v>
      </c>
      <c r="CS1202">
        <v>0</v>
      </c>
      <c r="CT1202">
        <v>0</v>
      </c>
      <c r="CU1202">
        <v>0</v>
      </c>
      <c r="CV1202">
        <v>46.629000000000005</v>
      </c>
      <c r="CW1202">
        <v>32.276000000000003</v>
      </c>
      <c r="CX1202">
        <v>0</v>
      </c>
      <c r="CY1202" s="2043">
        <v>0</v>
      </c>
      <c r="CZ1202" s="2043">
        <v>0</v>
      </c>
      <c r="DA1202" s="2043">
        <v>0</v>
      </c>
      <c r="DB1202" s="2043">
        <v>0</v>
      </c>
      <c r="DC1202" s="2043">
        <v>0</v>
      </c>
      <c r="DI1202" t="s">
        <v>3259</v>
      </c>
      <c r="DJ1202" t="s">
        <v>3259</v>
      </c>
      <c r="DK1202" s="2042">
        <f t="shared" si="20"/>
        <v>0</v>
      </c>
    </row>
    <row r="1203" spans="1:115">
      <c r="A1203" t="s">
        <v>3260</v>
      </c>
      <c r="B1203" t="s">
        <v>2437</v>
      </c>
      <c r="C1203">
        <v>11680.072</v>
      </c>
      <c r="D1203">
        <v>11712.101000000001</v>
      </c>
      <c r="E1203">
        <v>1171.2430000000002</v>
      </c>
      <c r="F1203">
        <v>0</v>
      </c>
      <c r="G1203" s="2043">
        <v>13971211999</v>
      </c>
      <c r="H1203">
        <v>0</v>
      </c>
      <c r="I1203" s="2043">
        <v>35586225</v>
      </c>
      <c r="J1203">
        <v>584.00400000000002</v>
      </c>
      <c r="K1203">
        <v>1597</v>
      </c>
      <c r="L1203">
        <v>0</v>
      </c>
      <c r="M1203">
        <v>0</v>
      </c>
      <c r="N1203">
        <v>0</v>
      </c>
      <c r="O1203">
        <v>0</v>
      </c>
      <c r="P1203">
        <v>0</v>
      </c>
      <c r="Q1203">
        <v>0</v>
      </c>
      <c r="R1203" s="2043">
        <v>114217863</v>
      </c>
      <c r="S1203">
        <v>11116094</v>
      </c>
      <c r="T1203">
        <v>0</v>
      </c>
      <c r="U1203">
        <v>0.08</v>
      </c>
      <c r="V1203">
        <v>0</v>
      </c>
      <c r="W1203">
        <v>23931452</v>
      </c>
      <c r="X1203">
        <v>0</v>
      </c>
      <c r="Y1203">
        <v>-17519</v>
      </c>
      <c r="Z1203">
        <v>0</v>
      </c>
      <c r="AA1203">
        <v>0.33200000000000002</v>
      </c>
      <c r="AB1203">
        <v>11208.166999999999</v>
      </c>
      <c r="AC1203" s="2043">
        <v>10339515226</v>
      </c>
      <c r="AD1203">
        <v>45557733</v>
      </c>
      <c r="AE1203" s="2043">
        <v>125333957</v>
      </c>
      <c r="AF1203">
        <v>0.90200000000000002</v>
      </c>
      <c r="AG1203">
        <v>0</v>
      </c>
      <c r="AH1203">
        <v>23931452</v>
      </c>
      <c r="AI1203">
        <v>0</v>
      </c>
      <c r="AJ1203">
        <v>1047.25</v>
      </c>
      <c r="AK1203">
        <v>43875</v>
      </c>
      <c r="AL1203">
        <v>1.032</v>
      </c>
      <c r="AM1203">
        <v>1.9510000000000001</v>
      </c>
      <c r="AN1203">
        <v>444.50900000000001</v>
      </c>
      <c r="AO1203">
        <v>1.2</v>
      </c>
      <c r="AP1203">
        <v>17.5</v>
      </c>
      <c r="AQ1203">
        <v>0</v>
      </c>
      <c r="AR1203">
        <v>321.41200000000003</v>
      </c>
      <c r="AS1203">
        <v>0</v>
      </c>
      <c r="AT1203">
        <v>87.326999999999998</v>
      </c>
      <c r="AU1203">
        <v>25.563000000000002</v>
      </c>
      <c r="AV1203">
        <v>0</v>
      </c>
      <c r="AW1203">
        <v>459.90100000000001</v>
      </c>
      <c r="AX1203">
        <v>5.1160000000000005</v>
      </c>
      <c r="AY1203">
        <v>1424.0620000000001</v>
      </c>
      <c r="AZ1203">
        <v>0</v>
      </c>
      <c r="BA1203">
        <v>7117255</v>
      </c>
      <c r="BB1203">
        <v>170891690</v>
      </c>
      <c r="BC1203">
        <v>0</v>
      </c>
      <c r="BD1203">
        <v>921704</v>
      </c>
      <c r="BE1203">
        <v>475268</v>
      </c>
      <c r="BF1203">
        <v>1672284</v>
      </c>
      <c r="BG1203">
        <v>921704</v>
      </c>
      <c r="BH1203">
        <v>275312</v>
      </c>
      <c r="BI1203">
        <v>0</v>
      </c>
      <c r="BJ1203">
        <v>-17519</v>
      </c>
      <c r="BK1203">
        <v>0</v>
      </c>
      <c r="BL1203">
        <v>13971211999</v>
      </c>
      <c r="BM1203">
        <v>0</v>
      </c>
      <c r="BN1203">
        <v>44388</v>
      </c>
      <c r="BO1203">
        <v>21218</v>
      </c>
      <c r="BP1203">
        <v>3461</v>
      </c>
      <c r="BQ1203">
        <v>0</v>
      </c>
      <c r="BR1203">
        <v>0.82200000000000006</v>
      </c>
      <c r="BS1203">
        <v>0.82200000000000006</v>
      </c>
      <c r="BT1203">
        <v>0</v>
      </c>
      <c r="BU1203">
        <v>0</v>
      </c>
      <c r="BV1203">
        <v>1379</v>
      </c>
      <c r="BW1203">
        <v>1907</v>
      </c>
      <c r="BX1203">
        <v>798</v>
      </c>
      <c r="BY1203">
        <v>33</v>
      </c>
      <c r="BZ1203">
        <v>276</v>
      </c>
      <c r="CA1203">
        <v>4393</v>
      </c>
      <c r="CB1203">
        <v>1</v>
      </c>
      <c r="CC1203">
        <v>582.56299999999999</v>
      </c>
      <c r="CD1203">
        <v>337.03100000000001</v>
      </c>
      <c r="CE1203">
        <v>1260</v>
      </c>
      <c r="CF1203">
        <v>1818.3510000000001</v>
      </c>
      <c r="CG1203">
        <v>64.322000000000003</v>
      </c>
      <c r="CH1203">
        <v>2.2310000000000003</v>
      </c>
      <c r="CI1203">
        <v>12</v>
      </c>
      <c r="CJ1203">
        <v>140</v>
      </c>
      <c r="CK1203">
        <v>1</v>
      </c>
      <c r="CL1203">
        <v>66.552999999999997</v>
      </c>
      <c r="CM1203">
        <v>1171.2430000000002</v>
      </c>
      <c r="CN1203">
        <v>0</v>
      </c>
      <c r="CO1203">
        <v>0</v>
      </c>
      <c r="CP1203">
        <v>3461</v>
      </c>
      <c r="CQ1203">
        <v>0</v>
      </c>
      <c r="CR1203">
        <v>0</v>
      </c>
      <c r="CS1203">
        <v>0</v>
      </c>
      <c r="CT1203">
        <v>0</v>
      </c>
      <c r="CU1203">
        <v>108.352</v>
      </c>
      <c r="CV1203">
        <v>593.58199999999999</v>
      </c>
      <c r="CW1203">
        <v>388.863</v>
      </c>
      <c r="CX1203">
        <v>0</v>
      </c>
      <c r="CY1203" s="2043">
        <v>0</v>
      </c>
      <c r="CZ1203" s="2043">
        <v>0</v>
      </c>
      <c r="DA1203" s="2043">
        <v>0</v>
      </c>
      <c r="DB1203" s="2043">
        <v>0</v>
      </c>
      <c r="DC1203" s="2043">
        <v>924000</v>
      </c>
      <c r="DI1203" t="s">
        <v>3260</v>
      </c>
      <c r="DJ1203" t="s">
        <v>3260</v>
      </c>
      <c r="DK1203" s="2042">
        <f t="shared" si="20"/>
        <v>0</v>
      </c>
    </row>
    <row r="1204" spans="1:115">
      <c r="A1204" t="s">
        <v>3261</v>
      </c>
      <c r="B1204" t="s">
        <v>1701</v>
      </c>
      <c r="C1204">
        <v>468.84900000000005</v>
      </c>
      <c r="D1204">
        <v>432.06700000000001</v>
      </c>
      <c r="E1204">
        <v>70.335000000000008</v>
      </c>
      <c r="F1204">
        <v>0</v>
      </c>
      <c r="G1204" s="2043">
        <v>201624817</v>
      </c>
      <c r="H1204">
        <v>0</v>
      </c>
      <c r="I1204" s="2043">
        <v>0</v>
      </c>
      <c r="J1204">
        <v>17</v>
      </c>
      <c r="K1204">
        <v>46</v>
      </c>
      <c r="L1204">
        <v>0</v>
      </c>
      <c r="M1204">
        <v>0</v>
      </c>
      <c r="N1204">
        <v>0</v>
      </c>
      <c r="O1204">
        <v>0</v>
      </c>
      <c r="P1204">
        <v>0</v>
      </c>
      <c r="Q1204">
        <v>0</v>
      </c>
      <c r="R1204" s="2043">
        <v>1651699</v>
      </c>
      <c r="S1204">
        <v>160749</v>
      </c>
      <c r="T1204">
        <v>32552</v>
      </c>
      <c r="U1204">
        <v>0.08</v>
      </c>
      <c r="V1204">
        <v>0</v>
      </c>
      <c r="W1204">
        <v>0</v>
      </c>
      <c r="X1204">
        <v>0</v>
      </c>
      <c r="Y1204">
        <v>0</v>
      </c>
      <c r="Z1204">
        <v>0</v>
      </c>
      <c r="AA1204">
        <v>0</v>
      </c>
      <c r="AB1204">
        <v>410.78100000000001</v>
      </c>
      <c r="AC1204" s="2043">
        <v>173123879</v>
      </c>
      <c r="AD1204">
        <v>0</v>
      </c>
      <c r="AE1204" s="2043">
        <v>1845000</v>
      </c>
      <c r="AF1204">
        <v>0.91820000000000002</v>
      </c>
      <c r="AG1204">
        <v>0</v>
      </c>
      <c r="AH1204">
        <v>0</v>
      </c>
      <c r="AI1204">
        <v>0</v>
      </c>
      <c r="AJ1204">
        <v>76.088000000000008</v>
      </c>
      <c r="AK1204">
        <v>2009</v>
      </c>
      <c r="AL1204">
        <v>0</v>
      </c>
      <c r="AM1204">
        <v>0</v>
      </c>
      <c r="AN1204">
        <v>24.794</v>
      </c>
      <c r="AO1204">
        <v>0</v>
      </c>
      <c r="AP1204">
        <v>5.4460000000000006</v>
      </c>
      <c r="AQ1204">
        <v>0</v>
      </c>
      <c r="AR1204">
        <v>4.4569999999999999</v>
      </c>
      <c r="AS1204">
        <v>0</v>
      </c>
      <c r="AT1204">
        <v>0</v>
      </c>
      <c r="AU1204">
        <v>0.70600000000000007</v>
      </c>
      <c r="AV1204">
        <v>0</v>
      </c>
      <c r="AW1204">
        <v>10.609</v>
      </c>
      <c r="AX1204">
        <v>0</v>
      </c>
      <c r="AY1204">
        <v>31.605</v>
      </c>
      <c r="AZ1204">
        <v>0</v>
      </c>
      <c r="BA1204">
        <v>4484753</v>
      </c>
      <c r="BB1204">
        <v>1845000</v>
      </c>
      <c r="BC1204">
        <v>0</v>
      </c>
      <c r="BD1204">
        <v>38442</v>
      </c>
      <c r="BE1204">
        <v>24188</v>
      </c>
      <c r="BF1204">
        <v>62630</v>
      </c>
      <c r="BG1204">
        <v>38442</v>
      </c>
      <c r="BH1204">
        <v>0</v>
      </c>
      <c r="BI1204">
        <v>0</v>
      </c>
      <c r="BJ1204">
        <v>0</v>
      </c>
      <c r="BK1204">
        <v>0</v>
      </c>
      <c r="BL1204">
        <v>201624817</v>
      </c>
      <c r="BM1204">
        <v>0</v>
      </c>
      <c r="BN1204">
        <v>1629</v>
      </c>
      <c r="BO1204">
        <v>1263</v>
      </c>
      <c r="BP1204">
        <v>0</v>
      </c>
      <c r="BQ1204">
        <v>0</v>
      </c>
      <c r="BR1204">
        <v>0.82200000000000006</v>
      </c>
      <c r="BS1204">
        <v>0.82200000000000006</v>
      </c>
      <c r="BT1204">
        <v>0</v>
      </c>
      <c r="BU1204">
        <v>0</v>
      </c>
      <c r="BV1204">
        <v>5</v>
      </c>
      <c r="BW1204">
        <v>174</v>
      </c>
      <c r="BX1204">
        <v>105</v>
      </c>
      <c r="BY1204">
        <v>3</v>
      </c>
      <c r="BZ1204">
        <v>24</v>
      </c>
      <c r="CA1204">
        <v>311</v>
      </c>
      <c r="CB1204">
        <v>0</v>
      </c>
      <c r="CC1204">
        <v>0</v>
      </c>
      <c r="CD1204">
        <v>0</v>
      </c>
      <c r="CE1204">
        <v>24</v>
      </c>
      <c r="CF1204">
        <v>114.01600000000001</v>
      </c>
      <c r="CG1204">
        <v>0</v>
      </c>
      <c r="CH1204">
        <v>0</v>
      </c>
      <c r="CI1204">
        <v>1</v>
      </c>
      <c r="CJ1204">
        <v>1</v>
      </c>
      <c r="CK1204">
        <v>0</v>
      </c>
      <c r="CL1204">
        <v>0</v>
      </c>
      <c r="CM1204">
        <v>70.335000000000008</v>
      </c>
      <c r="CN1204">
        <v>0</v>
      </c>
      <c r="CO1204">
        <v>0</v>
      </c>
      <c r="CP1204">
        <v>0</v>
      </c>
      <c r="CQ1204">
        <v>0</v>
      </c>
      <c r="CR1204">
        <v>0</v>
      </c>
      <c r="CS1204">
        <v>0</v>
      </c>
      <c r="CT1204">
        <v>0</v>
      </c>
      <c r="CU1204">
        <v>4.3769999999999998</v>
      </c>
      <c r="CV1204">
        <v>27.662000000000003</v>
      </c>
      <c r="CW1204">
        <v>15.776000000000002</v>
      </c>
      <c r="CX1204">
        <v>0</v>
      </c>
      <c r="CY1204" s="2043">
        <v>0</v>
      </c>
      <c r="CZ1204" s="2043">
        <v>0</v>
      </c>
      <c r="DA1204" s="2043">
        <v>0</v>
      </c>
      <c r="DB1204" s="2043">
        <v>0</v>
      </c>
      <c r="DC1204" s="2043">
        <v>0</v>
      </c>
      <c r="DI1204" t="s">
        <v>3261</v>
      </c>
      <c r="DJ1204" t="s">
        <v>3261</v>
      </c>
      <c r="DK1204" s="2042">
        <f t="shared" si="20"/>
        <v>0</v>
      </c>
    </row>
    <row r="1205" spans="1:115">
      <c r="A1205" t="s">
        <v>3262</v>
      </c>
      <c r="B1205" t="s">
        <v>38</v>
      </c>
      <c r="C1205">
        <v>8392.764000000001</v>
      </c>
      <c r="D1205">
        <v>7980.6970000000001</v>
      </c>
      <c r="E1205">
        <v>635.60400000000004</v>
      </c>
      <c r="F1205">
        <v>0</v>
      </c>
      <c r="G1205" s="2043">
        <v>5193912559</v>
      </c>
      <c r="H1205">
        <v>0</v>
      </c>
      <c r="I1205" s="2043">
        <v>19749602</v>
      </c>
      <c r="J1205">
        <v>419.63800000000003</v>
      </c>
      <c r="K1205">
        <v>1147</v>
      </c>
      <c r="L1205">
        <v>0</v>
      </c>
      <c r="M1205">
        <v>1775325</v>
      </c>
      <c r="N1205">
        <v>0</v>
      </c>
      <c r="O1205">
        <v>1775325</v>
      </c>
      <c r="P1205">
        <v>0</v>
      </c>
      <c r="Q1205">
        <v>0</v>
      </c>
      <c r="R1205" s="2043">
        <v>42383217</v>
      </c>
      <c r="S1205">
        <v>4124887</v>
      </c>
      <c r="T1205">
        <v>3006012</v>
      </c>
      <c r="U1205">
        <v>0.08</v>
      </c>
      <c r="V1205">
        <v>701.7</v>
      </c>
      <c r="W1205">
        <v>0</v>
      </c>
      <c r="X1205">
        <v>0</v>
      </c>
      <c r="Y1205">
        <v>-18262</v>
      </c>
      <c r="Z1205">
        <v>0.99399999999999999</v>
      </c>
      <c r="AA1205">
        <v>0.30399999999999999</v>
      </c>
      <c r="AB1205">
        <v>7980.6970000000001</v>
      </c>
      <c r="AC1205" s="2043">
        <v>3413249174</v>
      </c>
      <c r="AD1205">
        <v>23661516</v>
      </c>
      <c r="AE1205" s="2043">
        <v>49514116</v>
      </c>
      <c r="AF1205">
        <v>0.96030000000000004</v>
      </c>
      <c r="AG1205">
        <v>0</v>
      </c>
      <c r="AH1205">
        <v>0</v>
      </c>
      <c r="AI1205">
        <v>0</v>
      </c>
      <c r="AJ1205">
        <v>804.55000000000007</v>
      </c>
      <c r="AK1205">
        <v>33483</v>
      </c>
      <c r="AL1205">
        <v>0.56900000000000006</v>
      </c>
      <c r="AM1205">
        <v>4.3000000000000003E-2</v>
      </c>
      <c r="AN1205">
        <v>448.53500000000003</v>
      </c>
      <c r="AO1205">
        <v>1</v>
      </c>
      <c r="AP1205">
        <v>8.702</v>
      </c>
      <c r="AQ1205">
        <v>0</v>
      </c>
      <c r="AR1205">
        <v>179.18800000000002</v>
      </c>
      <c r="AS1205">
        <v>0</v>
      </c>
      <c r="AT1205">
        <v>95.688000000000002</v>
      </c>
      <c r="AU1205">
        <v>21.586000000000002</v>
      </c>
      <c r="AV1205">
        <v>0</v>
      </c>
      <c r="AW1205">
        <v>306.596</v>
      </c>
      <c r="AX1205">
        <v>0.82000000000000006</v>
      </c>
      <c r="AY1205">
        <v>960.91300000000001</v>
      </c>
      <c r="AZ1205">
        <v>0</v>
      </c>
      <c r="BA1205">
        <v>35041737</v>
      </c>
      <c r="BB1205">
        <v>73175632</v>
      </c>
      <c r="BC1205">
        <v>0</v>
      </c>
      <c r="BD1205">
        <v>481090</v>
      </c>
      <c r="BE1205">
        <v>348030</v>
      </c>
      <c r="BF1205">
        <v>881489</v>
      </c>
      <c r="BG1205">
        <v>481090</v>
      </c>
      <c r="BH1205">
        <v>52369</v>
      </c>
      <c r="BI1205">
        <v>-9131</v>
      </c>
      <c r="BJ1205">
        <v>-9131</v>
      </c>
      <c r="BK1205">
        <v>0</v>
      </c>
      <c r="BL1205">
        <v>5193912559</v>
      </c>
      <c r="BM1205">
        <v>0</v>
      </c>
      <c r="BN1205">
        <v>29493</v>
      </c>
      <c r="BO1205">
        <v>19431</v>
      </c>
      <c r="BP1205">
        <v>0</v>
      </c>
      <c r="BQ1205">
        <v>0</v>
      </c>
      <c r="BR1205">
        <v>0.82200000000000006</v>
      </c>
      <c r="BS1205">
        <v>0.82200000000000006</v>
      </c>
      <c r="BT1205">
        <v>0</v>
      </c>
      <c r="BU1205">
        <v>0</v>
      </c>
      <c r="BV1205">
        <v>2606</v>
      </c>
      <c r="BW1205">
        <v>506</v>
      </c>
      <c r="BX1205">
        <v>320</v>
      </c>
      <c r="BY1205">
        <v>10</v>
      </c>
      <c r="BZ1205">
        <v>56</v>
      </c>
      <c r="CA1205">
        <v>3498</v>
      </c>
      <c r="CB1205">
        <v>0</v>
      </c>
      <c r="CC1205">
        <v>448.803</v>
      </c>
      <c r="CD1205">
        <v>167.68800000000002</v>
      </c>
      <c r="CE1205">
        <v>380</v>
      </c>
      <c r="CF1205">
        <v>1249.347</v>
      </c>
      <c r="CG1205">
        <v>0</v>
      </c>
      <c r="CH1205">
        <v>0</v>
      </c>
      <c r="CI1205">
        <v>32</v>
      </c>
      <c r="CJ1205">
        <v>66</v>
      </c>
      <c r="CK1205">
        <v>2</v>
      </c>
      <c r="CL1205">
        <v>0</v>
      </c>
      <c r="CM1205">
        <v>635.60400000000004</v>
      </c>
      <c r="CN1205">
        <v>0</v>
      </c>
      <c r="CO1205">
        <v>0</v>
      </c>
      <c r="CP1205">
        <v>0</v>
      </c>
      <c r="CQ1205">
        <v>0</v>
      </c>
      <c r="CR1205">
        <v>0</v>
      </c>
      <c r="CS1205">
        <v>0</v>
      </c>
      <c r="CT1205">
        <v>0</v>
      </c>
      <c r="CU1205">
        <v>17.746000000000002</v>
      </c>
      <c r="CV1205">
        <v>521.298</v>
      </c>
      <c r="CW1205">
        <v>237.19400000000002</v>
      </c>
      <c r="CX1205">
        <v>0</v>
      </c>
      <c r="CY1205" s="2043">
        <v>0</v>
      </c>
      <c r="CZ1205" s="2043">
        <v>0</v>
      </c>
      <c r="DA1205" s="2043">
        <v>0</v>
      </c>
      <c r="DB1205" s="2043">
        <v>0</v>
      </c>
      <c r="DC1205" s="2043">
        <v>0</v>
      </c>
      <c r="DI1205" t="s">
        <v>3262</v>
      </c>
      <c r="DJ1205" t="s">
        <v>3262</v>
      </c>
      <c r="DK1205" s="2042">
        <f t="shared" si="20"/>
        <v>0</v>
      </c>
    </row>
    <row r="1206" spans="1:115">
      <c r="A1206" t="s">
        <v>5307</v>
      </c>
      <c r="B1206" t="s">
        <v>11</v>
      </c>
      <c r="C1206">
        <v>2667.8050000000003</v>
      </c>
      <c r="D1206">
        <v>2230.3290000000002</v>
      </c>
      <c r="E1206">
        <v>428.85500000000002</v>
      </c>
      <c r="F1206">
        <v>0</v>
      </c>
      <c r="G1206" s="2043">
        <v>2064521468</v>
      </c>
      <c r="H1206">
        <v>0</v>
      </c>
      <c r="I1206" s="2043">
        <v>6371333</v>
      </c>
      <c r="J1206">
        <v>128</v>
      </c>
      <c r="K1206">
        <v>350</v>
      </c>
      <c r="L1206">
        <v>0</v>
      </c>
      <c r="M1206">
        <v>0</v>
      </c>
      <c r="N1206">
        <v>0</v>
      </c>
      <c r="O1206">
        <v>0</v>
      </c>
      <c r="P1206">
        <v>0</v>
      </c>
      <c r="Q1206">
        <v>0</v>
      </c>
      <c r="R1206" s="2043">
        <v>17402473</v>
      </c>
      <c r="S1206">
        <v>1058545</v>
      </c>
      <c r="T1206">
        <v>0</v>
      </c>
      <c r="U1206">
        <v>0.05</v>
      </c>
      <c r="V1206">
        <v>0</v>
      </c>
      <c r="W1206">
        <v>0</v>
      </c>
      <c r="X1206">
        <v>0</v>
      </c>
      <c r="Y1206">
        <v>-12359</v>
      </c>
      <c r="Z1206">
        <v>0</v>
      </c>
      <c r="AA1206">
        <v>0</v>
      </c>
      <c r="AB1206">
        <v>2188.1240000000003</v>
      </c>
      <c r="AC1206" s="2043">
        <v>1309839045</v>
      </c>
      <c r="AD1206">
        <v>10466723</v>
      </c>
      <c r="AE1206" s="2043">
        <v>18461018</v>
      </c>
      <c r="AF1206">
        <v>0.872</v>
      </c>
      <c r="AG1206">
        <v>0</v>
      </c>
      <c r="AH1206">
        <v>0</v>
      </c>
      <c r="AI1206">
        <v>0</v>
      </c>
      <c r="AJ1206">
        <v>345.81299999999999</v>
      </c>
      <c r="AK1206">
        <v>11495</v>
      </c>
      <c r="AL1206">
        <v>0.159</v>
      </c>
      <c r="AM1206">
        <v>0</v>
      </c>
      <c r="AN1206">
        <v>88.11</v>
      </c>
      <c r="AO1206">
        <v>0</v>
      </c>
      <c r="AP1206">
        <v>0</v>
      </c>
      <c r="AQ1206">
        <v>0</v>
      </c>
      <c r="AR1206">
        <v>92.643000000000001</v>
      </c>
      <c r="AS1206">
        <v>0</v>
      </c>
      <c r="AT1206">
        <v>20.959</v>
      </c>
      <c r="AU1206">
        <v>6.516</v>
      </c>
      <c r="AV1206">
        <v>0</v>
      </c>
      <c r="AW1206">
        <v>120.277</v>
      </c>
      <c r="AX1206">
        <v>0</v>
      </c>
      <c r="AY1206">
        <v>374.18100000000004</v>
      </c>
      <c r="AZ1206">
        <v>0</v>
      </c>
      <c r="BA1206">
        <v>8298162</v>
      </c>
      <c r="BB1206">
        <v>28927741</v>
      </c>
      <c r="BC1206">
        <v>0</v>
      </c>
      <c r="BD1206">
        <v>125664</v>
      </c>
      <c r="BE1206">
        <v>44863</v>
      </c>
      <c r="BF1206">
        <v>170527</v>
      </c>
      <c r="BG1206">
        <v>125664</v>
      </c>
      <c r="BH1206">
        <v>0</v>
      </c>
      <c r="BI1206">
        <v>-12359</v>
      </c>
      <c r="BJ1206">
        <v>0</v>
      </c>
      <c r="BK1206">
        <v>0</v>
      </c>
      <c r="BL1206">
        <v>2064521468</v>
      </c>
      <c r="BM1206">
        <v>0</v>
      </c>
      <c r="BN1206">
        <v>7605</v>
      </c>
      <c r="BO1206">
        <v>4430</v>
      </c>
      <c r="BP1206">
        <v>0</v>
      </c>
      <c r="BQ1206">
        <v>0</v>
      </c>
      <c r="BR1206">
        <v>0.82200000000000006</v>
      </c>
      <c r="BS1206">
        <v>0.82200000000000006</v>
      </c>
      <c r="BT1206">
        <v>0</v>
      </c>
      <c r="BU1206">
        <v>0</v>
      </c>
      <c r="BV1206">
        <v>1371</v>
      </c>
      <c r="BW1206">
        <v>129</v>
      </c>
      <c r="BX1206">
        <v>7</v>
      </c>
      <c r="BY1206">
        <v>0</v>
      </c>
      <c r="BZ1206">
        <v>18</v>
      </c>
      <c r="CA1206">
        <v>1525</v>
      </c>
      <c r="CB1206">
        <v>0</v>
      </c>
      <c r="CC1206">
        <v>87.457000000000008</v>
      </c>
      <c r="CD1206">
        <v>12.114000000000001</v>
      </c>
      <c r="CE1206">
        <v>223</v>
      </c>
      <c r="CF1206">
        <v>715.36099999999999</v>
      </c>
      <c r="CG1206">
        <v>0.67500000000000004</v>
      </c>
      <c r="CH1206">
        <v>0</v>
      </c>
      <c r="CI1206">
        <v>3</v>
      </c>
      <c r="CJ1206">
        <v>5</v>
      </c>
      <c r="CK1206">
        <v>1</v>
      </c>
      <c r="CL1206">
        <v>0.67500000000000004</v>
      </c>
      <c r="CM1206">
        <v>428.85500000000002</v>
      </c>
      <c r="CN1206">
        <v>0</v>
      </c>
      <c r="CO1206">
        <v>0</v>
      </c>
      <c r="CP1206">
        <v>0</v>
      </c>
      <c r="CQ1206">
        <v>0</v>
      </c>
      <c r="CR1206">
        <v>0</v>
      </c>
      <c r="CS1206">
        <v>0</v>
      </c>
      <c r="CT1206">
        <v>0</v>
      </c>
      <c r="CU1206">
        <v>14.22</v>
      </c>
      <c r="CV1206">
        <v>166.078</v>
      </c>
      <c r="CW1206">
        <v>61.952000000000005</v>
      </c>
      <c r="CX1206">
        <v>0</v>
      </c>
      <c r="CY1206" s="2043">
        <v>0</v>
      </c>
      <c r="CZ1206" s="2043">
        <v>0</v>
      </c>
      <c r="DA1206" s="2043">
        <v>0</v>
      </c>
      <c r="DB1206" s="2043">
        <v>0</v>
      </c>
      <c r="DC1206" s="2043">
        <v>139559</v>
      </c>
      <c r="DI1206" t="s">
        <v>5307</v>
      </c>
      <c r="DJ1206" t="s">
        <v>5307</v>
      </c>
      <c r="DK1206" s="2042">
        <f t="shared" si="20"/>
        <v>0</v>
      </c>
    </row>
    <row r="1207" spans="1:115">
      <c r="A1207" t="s">
        <v>3263</v>
      </c>
      <c r="B1207" t="s">
        <v>1674</v>
      </c>
      <c r="C1207">
        <v>6547.8110000000006</v>
      </c>
      <c r="D1207">
        <v>5362.5380000000005</v>
      </c>
      <c r="E1207">
        <v>338.25200000000001</v>
      </c>
      <c r="F1207">
        <v>0</v>
      </c>
      <c r="G1207" s="2043">
        <v>4519774969</v>
      </c>
      <c r="H1207">
        <v>0</v>
      </c>
      <c r="I1207" s="2043">
        <v>13397688</v>
      </c>
      <c r="J1207">
        <v>327.39100000000002</v>
      </c>
      <c r="K1207">
        <v>895</v>
      </c>
      <c r="L1207">
        <v>0</v>
      </c>
      <c r="M1207">
        <v>293068</v>
      </c>
      <c r="N1207">
        <v>0</v>
      </c>
      <c r="O1207">
        <v>293068</v>
      </c>
      <c r="P1207">
        <v>0</v>
      </c>
      <c r="Q1207">
        <v>0</v>
      </c>
      <c r="R1207" s="2043">
        <v>36688813</v>
      </c>
      <c r="S1207">
        <v>1785344</v>
      </c>
      <c r="T1207">
        <v>0</v>
      </c>
      <c r="U1207">
        <v>0.04</v>
      </c>
      <c r="V1207">
        <v>884.94600000000003</v>
      </c>
      <c r="W1207">
        <v>0</v>
      </c>
      <c r="X1207">
        <v>0</v>
      </c>
      <c r="Y1207">
        <v>-33774</v>
      </c>
      <c r="Z1207">
        <v>0</v>
      </c>
      <c r="AA1207">
        <v>0</v>
      </c>
      <c r="AB1207">
        <v>5362.5380000000005</v>
      </c>
      <c r="AC1207" s="2043">
        <v>2570588324</v>
      </c>
      <c r="AD1207">
        <v>22257468</v>
      </c>
      <c r="AE1207" s="2043">
        <v>38474157</v>
      </c>
      <c r="AF1207">
        <v>0.86199999999999999</v>
      </c>
      <c r="AG1207">
        <v>0</v>
      </c>
      <c r="AH1207">
        <v>0</v>
      </c>
      <c r="AI1207">
        <v>0</v>
      </c>
      <c r="AJ1207">
        <v>320.125</v>
      </c>
      <c r="AK1207">
        <v>23889</v>
      </c>
      <c r="AL1207">
        <v>0.60099999999999998</v>
      </c>
      <c r="AM1207">
        <v>0</v>
      </c>
      <c r="AN1207">
        <v>238.44</v>
      </c>
      <c r="AO1207">
        <v>0</v>
      </c>
      <c r="AP1207">
        <v>0</v>
      </c>
      <c r="AQ1207">
        <v>16.940000000000001</v>
      </c>
      <c r="AR1207">
        <v>181.05200000000002</v>
      </c>
      <c r="AS1207">
        <v>0</v>
      </c>
      <c r="AT1207">
        <v>32.968000000000004</v>
      </c>
      <c r="AU1207">
        <v>12.743</v>
      </c>
      <c r="AV1207">
        <v>0</v>
      </c>
      <c r="AW1207">
        <v>246.071</v>
      </c>
      <c r="AX1207">
        <v>1.7670000000000001</v>
      </c>
      <c r="AY1207">
        <v>712.84400000000005</v>
      </c>
      <c r="AZ1207">
        <v>0</v>
      </c>
      <c r="BA1207">
        <v>18928172</v>
      </c>
      <c r="BB1207">
        <v>60731625</v>
      </c>
      <c r="BC1207">
        <v>0</v>
      </c>
      <c r="BD1207">
        <v>398988</v>
      </c>
      <c r="BE1207">
        <v>170193</v>
      </c>
      <c r="BF1207">
        <v>576705</v>
      </c>
      <c r="BG1207">
        <v>398988</v>
      </c>
      <c r="BH1207">
        <v>7524</v>
      </c>
      <c r="BI1207">
        <v>0</v>
      </c>
      <c r="BJ1207">
        <v>-33774</v>
      </c>
      <c r="BK1207">
        <v>0</v>
      </c>
      <c r="BL1207">
        <v>4519774969</v>
      </c>
      <c r="BM1207">
        <v>0</v>
      </c>
      <c r="BN1207">
        <v>18081</v>
      </c>
      <c r="BO1207">
        <v>10465</v>
      </c>
      <c r="BP1207">
        <v>0</v>
      </c>
      <c r="BQ1207">
        <v>0</v>
      </c>
      <c r="BR1207">
        <v>0.82200000000000006</v>
      </c>
      <c r="BS1207">
        <v>0.82200000000000006</v>
      </c>
      <c r="BT1207">
        <v>0</v>
      </c>
      <c r="BU1207">
        <v>0</v>
      </c>
      <c r="BV1207">
        <v>1196</v>
      </c>
      <c r="BW1207">
        <v>192</v>
      </c>
      <c r="BX1207">
        <v>3</v>
      </c>
      <c r="BY1207">
        <v>0</v>
      </c>
      <c r="BZ1207">
        <v>17</v>
      </c>
      <c r="CA1207">
        <v>1408</v>
      </c>
      <c r="CB1207">
        <v>0</v>
      </c>
      <c r="CC1207">
        <v>15.469000000000001</v>
      </c>
      <c r="CD1207">
        <v>20.283000000000001</v>
      </c>
      <c r="CE1207">
        <v>523</v>
      </c>
      <c r="CF1207">
        <v>592.63700000000006</v>
      </c>
      <c r="CG1207">
        <v>0</v>
      </c>
      <c r="CH1207">
        <v>19.684000000000001</v>
      </c>
      <c r="CI1207">
        <v>8</v>
      </c>
      <c r="CJ1207">
        <v>80</v>
      </c>
      <c r="CK1207">
        <v>1</v>
      </c>
      <c r="CL1207">
        <v>19.684000000000001</v>
      </c>
      <c r="CM1207">
        <v>338.25200000000001</v>
      </c>
      <c r="CN1207">
        <v>0</v>
      </c>
      <c r="CO1207">
        <v>0</v>
      </c>
      <c r="CP1207">
        <v>0</v>
      </c>
      <c r="CQ1207">
        <v>0</v>
      </c>
      <c r="CR1207">
        <v>0</v>
      </c>
      <c r="CS1207">
        <v>0</v>
      </c>
      <c r="CT1207">
        <v>0</v>
      </c>
      <c r="CU1207">
        <v>8.7350000000000012</v>
      </c>
      <c r="CV1207">
        <v>421.64400000000001</v>
      </c>
      <c r="CW1207">
        <v>157.96800000000002</v>
      </c>
      <c r="CX1207">
        <v>0</v>
      </c>
      <c r="CY1207" s="2043">
        <v>0</v>
      </c>
      <c r="CZ1207" s="2043">
        <v>0</v>
      </c>
      <c r="DA1207" s="2043">
        <v>0</v>
      </c>
      <c r="DB1207" s="2043">
        <v>0</v>
      </c>
      <c r="DC1207" s="2043">
        <v>0</v>
      </c>
      <c r="DI1207" t="s">
        <v>3263</v>
      </c>
      <c r="DJ1207" t="s">
        <v>3263</v>
      </c>
      <c r="DK1207" s="2042">
        <f t="shared" si="20"/>
        <v>0</v>
      </c>
    </row>
    <row r="1208" spans="1:115">
      <c r="A1208" t="s">
        <v>4857</v>
      </c>
      <c r="B1208" t="s">
        <v>1234</v>
      </c>
      <c r="C1208">
        <v>43099.497000000003</v>
      </c>
      <c r="D1208">
        <v>48967.179000000004</v>
      </c>
      <c r="E1208">
        <v>4124.1140000000005</v>
      </c>
      <c r="F1208">
        <v>0</v>
      </c>
      <c r="G1208" s="2043">
        <v>44658041463</v>
      </c>
      <c r="H1208">
        <v>0</v>
      </c>
      <c r="I1208" s="2043">
        <v>103767891</v>
      </c>
      <c r="J1208">
        <v>2154.9749999999999</v>
      </c>
      <c r="K1208">
        <v>5891</v>
      </c>
      <c r="L1208">
        <v>0</v>
      </c>
      <c r="M1208">
        <v>0</v>
      </c>
      <c r="N1208">
        <v>0</v>
      </c>
      <c r="O1208">
        <v>0</v>
      </c>
      <c r="P1208">
        <v>0</v>
      </c>
      <c r="Q1208">
        <v>0</v>
      </c>
      <c r="R1208" s="2043">
        <v>374373520</v>
      </c>
      <c r="S1208">
        <v>22189042</v>
      </c>
      <c r="T1208">
        <v>0</v>
      </c>
      <c r="U1208">
        <v>0.05</v>
      </c>
      <c r="V1208">
        <v>492</v>
      </c>
      <c r="W1208">
        <v>61378903</v>
      </c>
      <c r="X1208">
        <v>0</v>
      </c>
      <c r="Y1208">
        <v>-291002</v>
      </c>
      <c r="Z1208">
        <v>0</v>
      </c>
      <c r="AA1208">
        <v>1.268</v>
      </c>
      <c r="AB1208">
        <v>47053.606</v>
      </c>
      <c r="AC1208" s="2043">
        <v>37874821881</v>
      </c>
      <c r="AD1208">
        <v>106353460</v>
      </c>
      <c r="AE1208" s="2043">
        <v>396562562</v>
      </c>
      <c r="AF1208">
        <v>0.89360000000000006</v>
      </c>
      <c r="AG1208">
        <v>0</v>
      </c>
      <c r="AH1208">
        <v>61378903</v>
      </c>
      <c r="AI1208">
        <v>0</v>
      </c>
      <c r="AJ1208">
        <v>2525.4</v>
      </c>
      <c r="AK1208">
        <v>131818</v>
      </c>
      <c r="AL1208">
        <v>1.4690000000000001</v>
      </c>
      <c r="AM1208">
        <v>3.71</v>
      </c>
      <c r="AN1208">
        <v>1293.376</v>
      </c>
      <c r="AO1208">
        <v>2.8000000000000003</v>
      </c>
      <c r="AP1208">
        <v>24.768000000000001</v>
      </c>
      <c r="AQ1208">
        <v>0.65500000000000003</v>
      </c>
      <c r="AR1208">
        <v>933.54</v>
      </c>
      <c r="AS1208">
        <v>0</v>
      </c>
      <c r="AT1208">
        <v>335.80900000000003</v>
      </c>
      <c r="AU1208">
        <v>81.606999999999999</v>
      </c>
      <c r="AV1208">
        <v>0</v>
      </c>
      <c r="AW1208">
        <v>1392.0810000000001</v>
      </c>
      <c r="AX1208">
        <v>10.523</v>
      </c>
      <c r="AY1208">
        <v>4325.634</v>
      </c>
      <c r="AZ1208">
        <v>0</v>
      </c>
      <c r="BA1208">
        <v>29601282</v>
      </c>
      <c r="BB1208">
        <v>502916022</v>
      </c>
      <c r="BC1208">
        <v>0</v>
      </c>
      <c r="BD1208">
        <v>1572154</v>
      </c>
      <c r="BE1208">
        <v>896079</v>
      </c>
      <c r="BF1208">
        <v>2620384</v>
      </c>
      <c r="BG1208">
        <v>1572154</v>
      </c>
      <c r="BH1208">
        <v>152151</v>
      </c>
      <c r="BI1208">
        <v>-24686</v>
      </c>
      <c r="BJ1208">
        <v>-266316</v>
      </c>
      <c r="BK1208">
        <v>0</v>
      </c>
      <c r="BL1208">
        <v>44658041463</v>
      </c>
      <c r="BM1208">
        <v>0</v>
      </c>
      <c r="BN1208">
        <v>175905</v>
      </c>
      <c r="BO1208">
        <v>110809</v>
      </c>
      <c r="BP1208">
        <v>96244</v>
      </c>
      <c r="BQ1208">
        <v>0</v>
      </c>
      <c r="BR1208">
        <v>0.84360000000000002</v>
      </c>
      <c r="BS1208">
        <v>0.84360000000000002</v>
      </c>
      <c r="BT1208">
        <v>0</v>
      </c>
      <c r="BU1208">
        <v>0</v>
      </c>
      <c r="BV1208">
        <v>3717</v>
      </c>
      <c r="BW1208">
        <v>2164</v>
      </c>
      <c r="BX1208">
        <v>2685</v>
      </c>
      <c r="BY1208">
        <v>1204</v>
      </c>
      <c r="BZ1208">
        <v>683</v>
      </c>
      <c r="CA1208">
        <v>10453</v>
      </c>
      <c r="CB1208">
        <v>1</v>
      </c>
      <c r="CC1208">
        <v>1201.1980000000001</v>
      </c>
      <c r="CD1208">
        <v>316.875</v>
      </c>
      <c r="CE1208">
        <v>2857</v>
      </c>
      <c r="CF1208">
        <v>5408.2070000000003</v>
      </c>
      <c r="CG1208">
        <v>219.18800000000002</v>
      </c>
      <c r="CH1208">
        <v>16.062000000000001</v>
      </c>
      <c r="CI1208">
        <v>212</v>
      </c>
      <c r="CJ1208">
        <v>1410</v>
      </c>
      <c r="CK1208">
        <v>22</v>
      </c>
      <c r="CL1208">
        <v>235.25</v>
      </c>
      <c r="CM1208">
        <v>4124.1140000000005</v>
      </c>
      <c r="CN1208">
        <v>0</v>
      </c>
      <c r="CO1208">
        <v>11548</v>
      </c>
      <c r="CP1208">
        <v>78056</v>
      </c>
      <c r="CQ1208">
        <v>6640</v>
      </c>
      <c r="CR1208">
        <v>0</v>
      </c>
      <c r="CS1208">
        <v>0</v>
      </c>
      <c r="CT1208">
        <v>0</v>
      </c>
      <c r="CU1208">
        <v>175.625</v>
      </c>
      <c r="CV1208">
        <v>1939.241</v>
      </c>
      <c r="CW1208">
        <v>1210.4660000000001</v>
      </c>
      <c r="CX1208">
        <v>0</v>
      </c>
      <c r="CY1208" s="2043">
        <v>0</v>
      </c>
      <c r="CZ1208" s="2043">
        <v>0</v>
      </c>
      <c r="DA1208" s="2043">
        <v>0</v>
      </c>
      <c r="DB1208" s="2043">
        <v>0</v>
      </c>
      <c r="DC1208" s="2043">
        <v>3000000</v>
      </c>
      <c r="DI1208" t="s">
        <v>4857</v>
      </c>
      <c r="DJ1208" t="s">
        <v>4857</v>
      </c>
      <c r="DK1208" s="2042">
        <f t="shared" si="20"/>
        <v>0</v>
      </c>
    </row>
    <row r="1209" spans="1:115">
      <c r="A1209" t="s">
        <v>3264</v>
      </c>
      <c r="B1209" t="s">
        <v>1455</v>
      </c>
      <c r="C1209">
        <v>2751.873</v>
      </c>
      <c r="D1209">
        <v>2807.7550000000001</v>
      </c>
      <c r="E1209">
        <v>269.05200000000002</v>
      </c>
      <c r="F1209">
        <v>0</v>
      </c>
      <c r="G1209" s="2043">
        <v>1578357127</v>
      </c>
      <c r="H1209">
        <v>0</v>
      </c>
      <c r="I1209" s="2043">
        <v>4823241</v>
      </c>
      <c r="J1209">
        <v>137.59399999999999</v>
      </c>
      <c r="K1209">
        <v>376</v>
      </c>
      <c r="L1209">
        <v>0</v>
      </c>
      <c r="M1209">
        <v>472480</v>
      </c>
      <c r="N1209">
        <v>0</v>
      </c>
      <c r="O1209">
        <v>472480</v>
      </c>
      <c r="P1209">
        <v>0</v>
      </c>
      <c r="Q1209">
        <v>0</v>
      </c>
      <c r="R1209" s="2043">
        <v>12919148</v>
      </c>
      <c r="S1209">
        <v>1257338</v>
      </c>
      <c r="T1209">
        <v>916285</v>
      </c>
      <c r="U1209">
        <v>0.08</v>
      </c>
      <c r="V1209">
        <v>0</v>
      </c>
      <c r="W1209">
        <v>0</v>
      </c>
      <c r="X1209">
        <v>0</v>
      </c>
      <c r="Y1209">
        <v>0</v>
      </c>
      <c r="Z1209">
        <v>0</v>
      </c>
      <c r="AA1209">
        <v>0.26600000000000001</v>
      </c>
      <c r="AB1209">
        <v>2766.4180000000001</v>
      </c>
      <c r="AC1209" s="2043">
        <v>1160879984</v>
      </c>
      <c r="AD1209">
        <v>5844774</v>
      </c>
      <c r="AE1209" s="2043">
        <v>15092771</v>
      </c>
      <c r="AF1209">
        <v>0.96030000000000004</v>
      </c>
      <c r="AG1209">
        <v>0</v>
      </c>
      <c r="AH1209">
        <v>0</v>
      </c>
      <c r="AI1209">
        <v>0</v>
      </c>
      <c r="AJ1209">
        <v>374.6</v>
      </c>
      <c r="AK1209">
        <v>10202</v>
      </c>
      <c r="AL1209">
        <v>5.7000000000000002E-2</v>
      </c>
      <c r="AM1209">
        <v>0.76</v>
      </c>
      <c r="AN1209">
        <v>93.352000000000004</v>
      </c>
      <c r="AO1209">
        <v>0</v>
      </c>
      <c r="AP1209">
        <v>0.22600000000000001</v>
      </c>
      <c r="AQ1209">
        <v>0</v>
      </c>
      <c r="AR1209">
        <v>71.628</v>
      </c>
      <c r="AS1209">
        <v>0</v>
      </c>
      <c r="AT1209">
        <v>21.629000000000001</v>
      </c>
      <c r="AU1209">
        <v>6.42</v>
      </c>
      <c r="AV1209">
        <v>0</v>
      </c>
      <c r="AW1209">
        <v>100.72</v>
      </c>
      <c r="AX1209">
        <v>0</v>
      </c>
      <c r="AY1209">
        <v>315.04599999999999</v>
      </c>
      <c r="AZ1209">
        <v>0</v>
      </c>
      <c r="BA1209">
        <v>13643448</v>
      </c>
      <c r="BB1209">
        <v>20937545</v>
      </c>
      <c r="BC1209">
        <v>0</v>
      </c>
      <c r="BD1209">
        <v>134187</v>
      </c>
      <c r="BE1209">
        <v>70003</v>
      </c>
      <c r="BF1209">
        <v>204190</v>
      </c>
      <c r="BG1209">
        <v>134187</v>
      </c>
      <c r="BH1209">
        <v>0</v>
      </c>
      <c r="BI1209">
        <v>0</v>
      </c>
      <c r="BJ1209">
        <v>0</v>
      </c>
      <c r="BK1209">
        <v>0</v>
      </c>
      <c r="BL1209">
        <v>1578357127</v>
      </c>
      <c r="BM1209">
        <v>0</v>
      </c>
      <c r="BN1209">
        <v>12222</v>
      </c>
      <c r="BO1209">
        <v>6078</v>
      </c>
      <c r="BP1209">
        <v>0</v>
      </c>
      <c r="BQ1209">
        <v>0</v>
      </c>
      <c r="BR1209">
        <v>0.82200000000000006</v>
      </c>
      <c r="BS1209">
        <v>0.82200000000000006</v>
      </c>
      <c r="BT1209">
        <v>0</v>
      </c>
      <c r="BU1209">
        <v>0</v>
      </c>
      <c r="BV1209">
        <v>87</v>
      </c>
      <c r="BW1209">
        <v>560</v>
      </c>
      <c r="BX1209">
        <v>385</v>
      </c>
      <c r="BY1209">
        <v>300</v>
      </c>
      <c r="BZ1209">
        <v>171</v>
      </c>
      <c r="CA1209">
        <v>1503</v>
      </c>
      <c r="CB1209">
        <v>0</v>
      </c>
      <c r="CC1209">
        <v>172.32500000000002</v>
      </c>
      <c r="CD1209">
        <v>0</v>
      </c>
      <c r="CE1209">
        <v>212</v>
      </c>
      <c r="CF1209">
        <v>647.18799999999999</v>
      </c>
      <c r="CG1209">
        <v>0</v>
      </c>
      <c r="CH1209">
        <v>1.0130000000000001</v>
      </c>
      <c r="CI1209">
        <v>21</v>
      </c>
      <c r="CJ1209">
        <v>20</v>
      </c>
      <c r="CK1209">
        <v>0</v>
      </c>
      <c r="CL1209">
        <v>1.0130000000000001</v>
      </c>
      <c r="CM1209">
        <v>269.05200000000002</v>
      </c>
      <c r="CN1209">
        <v>0</v>
      </c>
      <c r="CO1209">
        <v>0</v>
      </c>
      <c r="CP1209">
        <v>0</v>
      </c>
      <c r="CQ1209">
        <v>0</v>
      </c>
      <c r="CR1209">
        <v>0</v>
      </c>
      <c r="CS1209">
        <v>0</v>
      </c>
      <c r="CT1209">
        <v>0</v>
      </c>
      <c r="CU1209">
        <v>32.264000000000003</v>
      </c>
      <c r="CV1209">
        <v>170.678</v>
      </c>
      <c r="CW1209">
        <v>105.086</v>
      </c>
      <c r="CX1209">
        <v>0</v>
      </c>
      <c r="CY1209" s="2043">
        <v>0</v>
      </c>
      <c r="CZ1209" s="2043">
        <v>0</v>
      </c>
      <c r="DA1209" s="2043">
        <v>0</v>
      </c>
      <c r="DB1209" s="2043">
        <v>0</v>
      </c>
      <c r="DC1209" s="2043">
        <v>0</v>
      </c>
      <c r="DI1209" t="s">
        <v>3264</v>
      </c>
      <c r="DJ1209" t="s">
        <v>3264</v>
      </c>
      <c r="DK1209" s="2042">
        <f t="shared" si="20"/>
        <v>0</v>
      </c>
    </row>
    <row r="1210" spans="1:115">
      <c r="A1210" t="s">
        <v>3265</v>
      </c>
      <c r="B1210" t="s">
        <v>1426</v>
      </c>
      <c r="C1210">
        <v>734.18799999999999</v>
      </c>
      <c r="D1210">
        <v>714.91399999999999</v>
      </c>
      <c r="E1210">
        <v>27.316000000000003</v>
      </c>
      <c r="F1210">
        <v>0</v>
      </c>
      <c r="G1210" s="2043">
        <v>345334663</v>
      </c>
      <c r="H1210">
        <v>0</v>
      </c>
      <c r="I1210" s="2043">
        <v>913175</v>
      </c>
      <c r="J1210">
        <v>36.709000000000003</v>
      </c>
      <c r="K1210">
        <v>100</v>
      </c>
      <c r="L1210">
        <v>0</v>
      </c>
      <c r="M1210">
        <v>129006</v>
      </c>
      <c r="N1210">
        <v>0</v>
      </c>
      <c r="O1210">
        <v>129006</v>
      </c>
      <c r="P1210">
        <v>0</v>
      </c>
      <c r="Q1210">
        <v>0</v>
      </c>
      <c r="R1210" s="2043">
        <v>2818270</v>
      </c>
      <c r="S1210">
        <v>274284</v>
      </c>
      <c r="T1210">
        <v>199885</v>
      </c>
      <c r="U1210">
        <v>0.08</v>
      </c>
      <c r="V1210">
        <v>0</v>
      </c>
      <c r="W1210">
        <v>0</v>
      </c>
      <c r="X1210">
        <v>0</v>
      </c>
      <c r="Y1210">
        <v>0</v>
      </c>
      <c r="Z1210">
        <v>0.9820000000000001</v>
      </c>
      <c r="AA1210">
        <v>0</v>
      </c>
      <c r="AB1210">
        <v>714.91399999999999</v>
      </c>
      <c r="AC1210" s="2043">
        <v>261156012</v>
      </c>
      <c r="AD1210">
        <v>1122023</v>
      </c>
      <c r="AE1210" s="2043">
        <v>3292439</v>
      </c>
      <c r="AF1210">
        <v>0.96030000000000004</v>
      </c>
      <c r="AG1210">
        <v>0</v>
      </c>
      <c r="AH1210">
        <v>0</v>
      </c>
      <c r="AI1210">
        <v>0</v>
      </c>
      <c r="AJ1210">
        <v>55.288000000000004</v>
      </c>
      <c r="AK1210">
        <v>3097</v>
      </c>
      <c r="AL1210">
        <v>0</v>
      </c>
      <c r="AM1210">
        <v>0</v>
      </c>
      <c r="AN1210">
        <v>23.113</v>
      </c>
      <c r="AO1210">
        <v>0</v>
      </c>
      <c r="AP1210">
        <v>6.5550000000000006</v>
      </c>
      <c r="AQ1210">
        <v>0</v>
      </c>
      <c r="AR1210">
        <v>15.675000000000001</v>
      </c>
      <c r="AS1210">
        <v>0</v>
      </c>
      <c r="AT1210">
        <v>0</v>
      </c>
      <c r="AU1210">
        <v>1.2810000000000001</v>
      </c>
      <c r="AV1210">
        <v>0</v>
      </c>
      <c r="AW1210">
        <v>23.511000000000003</v>
      </c>
      <c r="AX1210">
        <v>0</v>
      </c>
      <c r="AY1210">
        <v>71.129000000000005</v>
      </c>
      <c r="AZ1210">
        <v>0</v>
      </c>
      <c r="BA1210">
        <v>6015792</v>
      </c>
      <c r="BB1210">
        <v>4414462</v>
      </c>
      <c r="BC1210">
        <v>0</v>
      </c>
      <c r="BD1210">
        <v>64854</v>
      </c>
      <c r="BE1210">
        <v>23019</v>
      </c>
      <c r="BF1210">
        <v>87873</v>
      </c>
      <c r="BG1210">
        <v>64854</v>
      </c>
      <c r="BH1210">
        <v>0</v>
      </c>
      <c r="BI1210">
        <v>0</v>
      </c>
      <c r="BJ1210">
        <v>0</v>
      </c>
      <c r="BK1210">
        <v>0</v>
      </c>
      <c r="BL1210">
        <v>345334663</v>
      </c>
      <c r="BM1210">
        <v>0</v>
      </c>
      <c r="BN1210">
        <v>2313</v>
      </c>
      <c r="BO1210">
        <v>2022</v>
      </c>
      <c r="BP1210">
        <v>0</v>
      </c>
      <c r="BQ1210">
        <v>10000</v>
      </c>
      <c r="BR1210">
        <v>0.82200000000000006</v>
      </c>
      <c r="BS1210">
        <v>0.82200000000000006</v>
      </c>
      <c r="BT1210">
        <v>0</v>
      </c>
      <c r="BU1210">
        <v>0</v>
      </c>
      <c r="BV1210">
        <v>50</v>
      </c>
      <c r="BW1210">
        <v>151</v>
      </c>
      <c r="BX1210">
        <v>2</v>
      </c>
      <c r="BY1210">
        <v>2</v>
      </c>
      <c r="BZ1210">
        <v>26</v>
      </c>
      <c r="CA1210">
        <v>231</v>
      </c>
      <c r="CB1210">
        <v>0</v>
      </c>
      <c r="CC1210">
        <v>0</v>
      </c>
      <c r="CD1210">
        <v>0</v>
      </c>
      <c r="CE1210">
        <v>65</v>
      </c>
      <c r="CF1210">
        <v>92.378</v>
      </c>
      <c r="CG1210">
        <v>0</v>
      </c>
      <c r="CH1210">
        <v>0</v>
      </c>
      <c r="CI1210">
        <v>2</v>
      </c>
      <c r="CJ1210">
        <v>11</v>
      </c>
      <c r="CK1210">
        <v>0</v>
      </c>
      <c r="CL1210">
        <v>0</v>
      </c>
      <c r="CM1210">
        <v>27.316000000000003</v>
      </c>
      <c r="CN1210">
        <v>0</v>
      </c>
      <c r="CO1210">
        <v>0</v>
      </c>
      <c r="CP1210">
        <v>0</v>
      </c>
      <c r="CQ1210">
        <v>0</v>
      </c>
      <c r="CR1210">
        <v>0</v>
      </c>
      <c r="CS1210">
        <v>0</v>
      </c>
      <c r="CT1210">
        <v>0</v>
      </c>
      <c r="CU1210">
        <v>10.264000000000001</v>
      </c>
      <c r="CV1210">
        <v>52.06</v>
      </c>
      <c r="CW1210">
        <v>47.31</v>
      </c>
      <c r="CX1210">
        <v>0</v>
      </c>
      <c r="CY1210" s="2043">
        <v>0</v>
      </c>
      <c r="CZ1210" s="2043">
        <v>0</v>
      </c>
      <c r="DA1210" s="2043">
        <v>0</v>
      </c>
      <c r="DB1210" s="2043">
        <v>0</v>
      </c>
      <c r="DC1210" s="2043">
        <v>0</v>
      </c>
      <c r="DI1210" t="s">
        <v>3265</v>
      </c>
      <c r="DJ1210" t="s">
        <v>3265</v>
      </c>
      <c r="DK1210" s="2042">
        <f t="shared" si="20"/>
        <v>0</v>
      </c>
    </row>
    <row r="1211" spans="1:115">
      <c r="A1211" t="s">
        <v>3266</v>
      </c>
      <c r="B1211" t="s">
        <v>1672</v>
      </c>
      <c r="C1211">
        <v>39125.777999999998</v>
      </c>
      <c r="D1211">
        <v>40714.554000000004</v>
      </c>
      <c r="E1211">
        <v>2699.7940000000003</v>
      </c>
      <c r="F1211">
        <v>0</v>
      </c>
      <c r="G1211" s="2043">
        <v>32631397883</v>
      </c>
      <c r="H1211">
        <v>0</v>
      </c>
      <c r="I1211" s="2043">
        <v>109451432</v>
      </c>
      <c r="J1211">
        <v>1956.289</v>
      </c>
      <c r="K1211">
        <v>5348</v>
      </c>
      <c r="L1211">
        <v>0</v>
      </c>
      <c r="M1211">
        <v>293342</v>
      </c>
      <c r="N1211">
        <v>0</v>
      </c>
      <c r="O1211">
        <v>293342</v>
      </c>
      <c r="P1211">
        <v>0</v>
      </c>
      <c r="Q1211">
        <v>0</v>
      </c>
      <c r="R1211" s="2043">
        <v>265897276</v>
      </c>
      <c r="S1211">
        <v>16173800</v>
      </c>
      <c r="T1211">
        <v>0</v>
      </c>
      <c r="U1211">
        <v>0.05</v>
      </c>
      <c r="V1211">
        <v>672.55000000000007</v>
      </c>
      <c r="W1211">
        <v>0</v>
      </c>
      <c r="X1211">
        <v>0</v>
      </c>
      <c r="Y1211">
        <v>-243650</v>
      </c>
      <c r="Z1211">
        <v>0</v>
      </c>
      <c r="AA1211">
        <v>0.52900000000000003</v>
      </c>
      <c r="AB1211">
        <v>39874.201000000001</v>
      </c>
      <c r="AC1211" s="2043">
        <v>26145106080</v>
      </c>
      <c r="AD1211">
        <v>150268753</v>
      </c>
      <c r="AE1211" s="2043">
        <v>282071076</v>
      </c>
      <c r="AF1211">
        <v>0.872</v>
      </c>
      <c r="AG1211">
        <v>0</v>
      </c>
      <c r="AH1211">
        <v>0</v>
      </c>
      <c r="AI1211">
        <v>0</v>
      </c>
      <c r="AJ1211">
        <v>1799.6000000000001</v>
      </c>
      <c r="AK1211">
        <v>149494</v>
      </c>
      <c r="AL1211">
        <v>2.7590000000000003</v>
      </c>
      <c r="AM1211">
        <v>1.764</v>
      </c>
      <c r="AN1211">
        <v>1088.088</v>
      </c>
      <c r="AO1211">
        <v>2.7</v>
      </c>
      <c r="AP1211">
        <v>41.776000000000003</v>
      </c>
      <c r="AQ1211">
        <v>0</v>
      </c>
      <c r="AR1211">
        <v>1232.0060000000001</v>
      </c>
      <c r="AS1211">
        <v>0</v>
      </c>
      <c r="AT1211">
        <v>335.291</v>
      </c>
      <c r="AU1211">
        <v>85.302000000000007</v>
      </c>
      <c r="AV1211">
        <v>0</v>
      </c>
      <c r="AW1211">
        <v>1735.731</v>
      </c>
      <c r="AX1211">
        <v>36.832999999999998</v>
      </c>
      <c r="AY1211">
        <v>5344.9990000000007</v>
      </c>
      <c r="AZ1211">
        <v>0</v>
      </c>
      <c r="BA1211">
        <v>49222061</v>
      </c>
      <c r="BB1211">
        <v>432339829</v>
      </c>
      <c r="BC1211">
        <v>0</v>
      </c>
      <c r="BD1211">
        <v>1516478</v>
      </c>
      <c r="BE1211">
        <v>866746</v>
      </c>
      <c r="BF1211">
        <v>3234603</v>
      </c>
      <c r="BG1211">
        <v>1516478</v>
      </c>
      <c r="BH1211">
        <v>851379</v>
      </c>
      <c r="BI1211">
        <v>-35788</v>
      </c>
      <c r="BJ1211">
        <v>-207862</v>
      </c>
      <c r="BK1211">
        <v>0</v>
      </c>
      <c r="BL1211">
        <v>32631397883</v>
      </c>
      <c r="BM1211">
        <v>0</v>
      </c>
      <c r="BN1211">
        <v>150966</v>
      </c>
      <c r="BO1211">
        <v>42244</v>
      </c>
      <c r="BP1211">
        <v>10898</v>
      </c>
      <c r="BQ1211">
        <v>0</v>
      </c>
      <c r="BR1211">
        <v>0.82200000000000006</v>
      </c>
      <c r="BS1211">
        <v>0.82200000000000006</v>
      </c>
      <c r="BT1211">
        <v>0</v>
      </c>
      <c r="BU1211">
        <v>0</v>
      </c>
      <c r="BV1211">
        <v>4543</v>
      </c>
      <c r="BW1211">
        <v>2085</v>
      </c>
      <c r="BX1211">
        <v>860</v>
      </c>
      <c r="BY1211">
        <v>165</v>
      </c>
      <c r="BZ1211">
        <v>87</v>
      </c>
      <c r="CA1211">
        <v>7740</v>
      </c>
      <c r="CB1211">
        <v>0</v>
      </c>
      <c r="CC1211">
        <v>796.79900000000009</v>
      </c>
      <c r="CD1211">
        <v>325.59300000000002</v>
      </c>
      <c r="CE1211">
        <v>2439</v>
      </c>
      <c r="CF1211">
        <v>3516.7170000000001</v>
      </c>
      <c r="CG1211">
        <v>48.636000000000003</v>
      </c>
      <c r="CH1211">
        <v>4.2839999999999998</v>
      </c>
      <c r="CI1211">
        <v>108</v>
      </c>
      <c r="CJ1211">
        <v>1074</v>
      </c>
      <c r="CK1211">
        <v>18</v>
      </c>
      <c r="CL1211">
        <v>52.92</v>
      </c>
      <c r="CM1211">
        <v>2699.7940000000003</v>
      </c>
      <c r="CN1211">
        <v>0</v>
      </c>
      <c r="CO1211">
        <v>0</v>
      </c>
      <c r="CP1211">
        <v>10898</v>
      </c>
      <c r="CQ1211">
        <v>0</v>
      </c>
      <c r="CR1211">
        <v>0</v>
      </c>
      <c r="CS1211">
        <v>0</v>
      </c>
      <c r="CT1211">
        <v>397.73099999999999</v>
      </c>
      <c r="CU1211">
        <v>103.28200000000001</v>
      </c>
      <c r="CV1211">
        <v>1444.2050000000002</v>
      </c>
      <c r="CW1211">
        <v>789.89600000000007</v>
      </c>
      <c r="CX1211">
        <v>0</v>
      </c>
      <c r="CY1211" s="2043">
        <v>0</v>
      </c>
      <c r="CZ1211" s="2043">
        <v>0</v>
      </c>
      <c r="DA1211" s="2043">
        <v>0</v>
      </c>
      <c r="DB1211" s="2043">
        <v>0</v>
      </c>
      <c r="DC1211" s="2043">
        <v>2363466</v>
      </c>
      <c r="DI1211" t="s">
        <v>3266</v>
      </c>
      <c r="DJ1211" t="s">
        <v>3266</v>
      </c>
      <c r="DK1211" s="2042">
        <f t="shared" si="20"/>
        <v>0</v>
      </c>
    </row>
    <row r="1212" spans="1:115">
      <c r="A1212" t="s">
        <v>5899</v>
      </c>
      <c r="B1212" t="s">
        <v>12</v>
      </c>
      <c r="C1212">
        <v>250.98600000000002</v>
      </c>
      <c r="D1212">
        <v>174.636</v>
      </c>
      <c r="E1212">
        <v>71.298000000000002</v>
      </c>
      <c r="F1212">
        <v>0</v>
      </c>
      <c r="G1212" s="2043">
        <v>173823342</v>
      </c>
      <c r="H1212">
        <v>0</v>
      </c>
      <c r="I1212" s="2043">
        <v>217825</v>
      </c>
      <c r="J1212">
        <v>12</v>
      </c>
      <c r="K1212">
        <v>33</v>
      </c>
      <c r="L1212">
        <v>0</v>
      </c>
      <c r="M1212">
        <v>0</v>
      </c>
      <c r="N1212">
        <v>0</v>
      </c>
      <c r="O1212">
        <v>0</v>
      </c>
      <c r="P1212">
        <v>0</v>
      </c>
      <c r="Q1212">
        <v>0</v>
      </c>
      <c r="R1212" s="2043">
        <v>1418261</v>
      </c>
      <c r="S1212">
        <v>86269</v>
      </c>
      <c r="T1212">
        <v>0</v>
      </c>
      <c r="U1212">
        <v>0.05</v>
      </c>
      <c r="V1212">
        <v>0</v>
      </c>
      <c r="W1212">
        <v>0</v>
      </c>
      <c r="X1212">
        <v>0</v>
      </c>
      <c r="Y1212">
        <v>0</v>
      </c>
      <c r="Z1212">
        <v>17.600999999999999</v>
      </c>
      <c r="AA1212">
        <v>0</v>
      </c>
      <c r="AB1212">
        <v>174.636</v>
      </c>
      <c r="AC1212" s="2043">
        <v>88690562</v>
      </c>
      <c r="AD1212">
        <v>231197</v>
      </c>
      <c r="AE1212" s="2043">
        <v>1504530</v>
      </c>
      <c r="AF1212">
        <v>0.872</v>
      </c>
      <c r="AG1212">
        <v>0</v>
      </c>
      <c r="AH1212">
        <v>0</v>
      </c>
      <c r="AI1212">
        <v>0</v>
      </c>
      <c r="AJ1212">
        <v>35.613</v>
      </c>
      <c r="AK1212">
        <v>885</v>
      </c>
      <c r="AL1212">
        <v>0</v>
      </c>
      <c r="AM1212">
        <v>0</v>
      </c>
      <c r="AN1212">
        <v>12.135</v>
      </c>
      <c r="AO1212">
        <v>0</v>
      </c>
      <c r="AP1212">
        <v>0.33400000000000002</v>
      </c>
      <c r="AQ1212">
        <v>0</v>
      </c>
      <c r="AR1212">
        <v>2.3290000000000002</v>
      </c>
      <c r="AS1212">
        <v>0</v>
      </c>
      <c r="AT1212">
        <v>0</v>
      </c>
      <c r="AU1212">
        <v>0.70300000000000007</v>
      </c>
      <c r="AV1212">
        <v>0</v>
      </c>
      <c r="AW1212">
        <v>3.3660000000000001</v>
      </c>
      <c r="AX1212">
        <v>0</v>
      </c>
      <c r="AY1212">
        <v>11.404</v>
      </c>
      <c r="AZ1212">
        <v>0</v>
      </c>
      <c r="BA1212">
        <v>1859738</v>
      </c>
      <c r="BB1212">
        <v>1735727</v>
      </c>
      <c r="BC1212">
        <v>0</v>
      </c>
      <c r="BD1212">
        <v>34558</v>
      </c>
      <c r="BE1212">
        <v>1034</v>
      </c>
      <c r="BF1212">
        <v>35592</v>
      </c>
      <c r="BG1212">
        <v>34558</v>
      </c>
      <c r="BH1212">
        <v>0</v>
      </c>
      <c r="BI1212">
        <v>0</v>
      </c>
      <c r="BJ1212">
        <v>0</v>
      </c>
      <c r="BK1212">
        <v>0</v>
      </c>
      <c r="BL1212">
        <v>173823342</v>
      </c>
      <c r="BM1212">
        <v>0</v>
      </c>
      <c r="BN1212">
        <v>0</v>
      </c>
      <c r="BO1212">
        <v>0</v>
      </c>
      <c r="BP1212">
        <v>147554</v>
      </c>
      <c r="BQ1212">
        <v>0</v>
      </c>
      <c r="BR1212">
        <v>0.82200000000000006</v>
      </c>
      <c r="BS1212">
        <v>0.82200000000000006</v>
      </c>
      <c r="BT1212">
        <v>0</v>
      </c>
      <c r="BU1212">
        <v>0</v>
      </c>
      <c r="BV1212">
        <v>9</v>
      </c>
      <c r="BW1212">
        <v>135</v>
      </c>
      <c r="BX1212">
        <v>4</v>
      </c>
      <c r="BY1212">
        <v>2</v>
      </c>
      <c r="BZ1212">
        <v>0</v>
      </c>
      <c r="CA1212">
        <v>150</v>
      </c>
      <c r="CB1212">
        <v>0</v>
      </c>
      <c r="CC1212">
        <v>0</v>
      </c>
      <c r="CD1212">
        <v>0</v>
      </c>
      <c r="CE1212">
        <v>25</v>
      </c>
      <c r="CF1212">
        <v>95.347000000000008</v>
      </c>
      <c r="CG1212">
        <v>0</v>
      </c>
      <c r="CH1212">
        <v>0</v>
      </c>
      <c r="CI1212">
        <v>0</v>
      </c>
      <c r="CJ1212">
        <v>0</v>
      </c>
      <c r="CK1212">
        <v>0</v>
      </c>
      <c r="CL1212">
        <v>0</v>
      </c>
      <c r="CM1212">
        <v>71.298000000000002</v>
      </c>
      <c r="CN1212">
        <v>68070</v>
      </c>
      <c r="CO1212">
        <v>62070</v>
      </c>
      <c r="CP1212">
        <v>12414</v>
      </c>
      <c r="CQ1212">
        <v>5000</v>
      </c>
      <c r="CR1212">
        <v>0</v>
      </c>
      <c r="CS1212">
        <v>0</v>
      </c>
      <c r="CT1212">
        <v>0</v>
      </c>
      <c r="CU1212">
        <v>0</v>
      </c>
      <c r="CV1212">
        <v>0</v>
      </c>
      <c r="CW1212">
        <v>0</v>
      </c>
      <c r="CX1212">
        <v>0</v>
      </c>
      <c r="CY1212" s="2043">
        <v>0</v>
      </c>
      <c r="CZ1212" s="2043">
        <v>0</v>
      </c>
      <c r="DA1212" s="2043">
        <v>0</v>
      </c>
      <c r="DB1212" s="2043">
        <v>0</v>
      </c>
      <c r="DC1212" s="2043">
        <v>0</v>
      </c>
      <c r="DI1212" t="s">
        <v>5899</v>
      </c>
      <c r="DJ1212" t="s">
        <v>5899</v>
      </c>
      <c r="DK1212" s="2042">
        <f t="shared" si="20"/>
        <v>0</v>
      </c>
    </row>
    <row r="1213" spans="1:115">
      <c r="A1213" t="s">
        <v>3267</v>
      </c>
      <c r="B1213" t="s">
        <v>2316</v>
      </c>
      <c r="C1213">
        <v>3639.9490000000001</v>
      </c>
      <c r="D1213">
        <v>3842.0220000000004</v>
      </c>
      <c r="E1213">
        <v>178.46300000000002</v>
      </c>
      <c r="F1213">
        <v>0</v>
      </c>
      <c r="G1213" s="2043">
        <v>1810388850</v>
      </c>
      <c r="H1213">
        <v>0</v>
      </c>
      <c r="I1213" s="2043">
        <v>4452069</v>
      </c>
      <c r="J1213">
        <v>181.99700000000001</v>
      </c>
      <c r="K1213">
        <v>498</v>
      </c>
      <c r="L1213">
        <v>0</v>
      </c>
      <c r="M1213">
        <v>1473825</v>
      </c>
      <c r="N1213">
        <v>0</v>
      </c>
      <c r="O1213">
        <v>1473825</v>
      </c>
      <c r="P1213">
        <v>0</v>
      </c>
      <c r="Q1213">
        <v>0</v>
      </c>
      <c r="R1213" s="2043">
        <v>14347294</v>
      </c>
      <c r="S1213">
        <v>872706</v>
      </c>
      <c r="T1213">
        <v>0</v>
      </c>
      <c r="U1213">
        <v>0.05</v>
      </c>
      <c r="V1213">
        <v>0</v>
      </c>
      <c r="W1213">
        <v>0</v>
      </c>
      <c r="X1213">
        <v>0</v>
      </c>
      <c r="Y1213">
        <v>-5245</v>
      </c>
      <c r="Z1213">
        <v>0</v>
      </c>
      <c r="AA1213">
        <v>0.11600000000000001</v>
      </c>
      <c r="AB1213">
        <v>3675.7310000000002</v>
      </c>
      <c r="AC1213" s="2043">
        <v>1395702102</v>
      </c>
      <c r="AD1213">
        <v>4605000</v>
      </c>
      <c r="AE1213" s="2043">
        <v>15220000</v>
      </c>
      <c r="AF1213">
        <v>0.872</v>
      </c>
      <c r="AG1213">
        <v>0</v>
      </c>
      <c r="AH1213">
        <v>0</v>
      </c>
      <c r="AI1213">
        <v>0</v>
      </c>
      <c r="AJ1213">
        <v>513.67500000000007</v>
      </c>
      <c r="AK1213">
        <v>9551</v>
      </c>
      <c r="AL1213">
        <v>0.311</v>
      </c>
      <c r="AM1213">
        <v>0</v>
      </c>
      <c r="AN1213">
        <v>183.03</v>
      </c>
      <c r="AO1213">
        <v>0</v>
      </c>
      <c r="AP1213">
        <v>1.3340000000000001</v>
      </c>
      <c r="AQ1213">
        <v>4.5000000000000005E-2</v>
      </c>
      <c r="AR1213">
        <v>27.965</v>
      </c>
      <c r="AS1213">
        <v>0</v>
      </c>
      <c r="AT1213">
        <v>24.07</v>
      </c>
      <c r="AU1213">
        <v>6.226</v>
      </c>
      <c r="AV1213">
        <v>0</v>
      </c>
      <c r="AW1213">
        <v>59.951000000000001</v>
      </c>
      <c r="AX1213">
        <v>0</v>
      </c>
      <c r="AY1213">
        <v>192.392</v>
      </c>
      <c r="AZ1213">
        <v>0</v>
      </c>
      <c r="BA1213">
        <v>18203414</v>
      </c>
      <c r="BB1213">
        <v>19825000</v>
      </c>
      <c r="BC1213">
        <v>0</v>
      </c>
      <c r="BD1213">
        <v>520604</v>
      </c>
      <c r="BE1213">
        <v>142332</v>
      </c>
      <c r="BF1213">
        <v>719974</v>
      </c>
      <c r="BG1213">
        <v>520604</v>
      </c>
      <c r="BH1213">
        <v>57038</v>
      </c>
      <c r="BI1213">
        <v>-5245</v>
      </c>
      <c r="BJ1213">
        <v>0</v>
      </c>
      <c r="BK1213">
        <v>0</v>
      </c>
      <c r="BL1213">
        <v>1810388850</v>
      </c>
      <c r="BM1213">
        <v>0</v>
      </c>
      <c r="BN1213">
        <v>13950</v>
      </c>
      <c r="BO1213">
        <v>9191</v>
      </c>
      <c r="BP1213">
        <v>0</v>
      </c>
      <c r="BQ1213">
        <v>0</v>
      </c>
      <c r="BR1213">
        <v>0.82200000000000006</v>
      </c>
      <c r="BS1213">
        <v>0.82200000000000006</v>
      </c>
      <c r="BT1213">
        <v>0</v>
      </c>
      <c r="BU1213">
        <v>0</v>
      </c>
      <c r="BV1213">
        <v>400</v>
      </c>
      <c r="BW1213">
        <v>1270</v>
      </c>
      <c r="BX1213">
        <v>233</v>
      </c>
      <c r="BY1213">
        <v>198</v>
      </c>
      <c r="BZ1213">
        <v>43</v>
      </c>
      <c r="CA1213">
        <v>2144</v>
      </c>
      <c r="CB1213">
        <v>0</v>
      </c>
      <c r="CC1213">
        <v>98.297000000000011</v>
      </c>
      <c r="CD1213">
        <v>56.77</v>
      </c>
      <c r="CE1213">
        <v>191</v>
      </c>
      <c r="CF1213">
        <v>683.65800000000002</v>
      </c>
      <c r="CG1213">
        <v>0</v>
      </c>
      <c r="CH1213">
        <v>0</v>
      </c>
      <c r="CI1213">
        <v>1</v>
      </c>
      <c r="CJ1213">
        <v>20</v>
      </c>
      <c r="CK1213">
        <v>1</v>
      </c>
      <c r="CL1213">
        <v>0</v>
      </c>
      <c r="CM1213">
        <v>178.46300000000002</v>
      </c>
      <c r="CN1213">
        <v>0</v>
      </c>
      <c r="CO1213">
        <v>0</v>
      </c>
      <c r="CP1213">
        <v>0</v>
      </c>
      <c r="CQ1213">
        <v>0</v>
      </c>
      <c r="CR1213">
        <v>0</v>
      </c>
      <c r="CS1213">
        <v>0</v>
      </c>
      <c r="CT1213">
        <v>0</v>
      </c>
      <c r="CU1213">
        <v>0</v>
      </c>
      <c r="CV1213">
        <v>298.58100000000002</v>
      </c>
      <c r="CW1213">
        <v>134.11600000000001</v>
      </c>
      <c r="CX1213">
        <v>0</v>
      </c>
      <c r="CY1213" s="2043">
        <v>0</v>
      </c>
      <c r="CZ1213" s="2043">
        <v>0</v>
      </c>
      <c r="DA1213" s="2043">
        <v>0</v>
      </c>
      <c r="DB1213" s="2043">
        <v>0</v>
      </c>
      <c r="DC1213" s="2043">
        <v>0</v>
      </c>
      <c r="DI1213" t="s">
        <v>3267</v>
      </c>
      <c r="DJ1213" t="s">
        <v>3267</v>
      </c>
      <c r="DK1213" s="2042">
        <f t="shared" si="20"/>
        <v>0</v>
      </c>
    </row>
    <row r="1214" spans="1:115">
      <c r="A1214" t="s">
        <v>3268</v>
      </c>
      <c r="B1214" t="s">
        <v>57</v>
      </c>
      <c r="C1214">
        <v>3168.4860000000003</v>
      </c>
      <c r="D1214">
        <v>3180.703</v>
      </c>
      <c r="E1214">
        <v>77.869</v>
      </c>
      <c r="F1214">
        <v>0</v>
      </c>
      <c r="G1214" s="2043">
        <v>1520774036</v>
      </c>
      <c r="H1214">
        <v>0</v>
      </c>
      <c r="I1214" s="2043">
        <v>2580731</v>
      </c>
      <c r="J1214">
        <v>158.42400000000001</v>
      </c>
      <c r="K1214">
        <v>433</v>
      </c>
      <c r="L1214">
        <v>0</v>
      </c>
      <c r="M1214">
        <v>1355085</v>
      </c>
      <c r="N1214">
        <v>0</v>
      </c>
      <c r="O1214">
        <v>1355085</v>
      </c>
      <c r="P1214">
        <v>0</v>
      </c>
      <c r="Q1214">
        <v>0</v>
      </c>
      <c r="R1214" s="2043">
        <v>12025604</v>
      </c>
      <c r="S1214">
        <v>731484</v>
      </c>
      <c r="T1214">
        <v>0</v>
      </c>
      <c r="U1214">
        <v>0.05</v>
      </c>
      <c r="V1214">
        <v>0</v>
      </c>
      <c r="W1214">
        <v>0</v>
      </c>
      <c r="X1214">
        <v>0</v>
      </c>
      <c r="Y1214">
        <v>0</v>
      </c>
      <c r="Z1214">
        <v>0</v>
      </c>
      <c r="AA1214">
        <v>0</v>
      </c>
      <c r="AB1214">
        <v>3047.3940000000002</v>
      </c>
      <c r="AC1214" s="2043">
        <v>1179012262</v>
      </c>
      <c r="AD1214">
        <v>5734035</v>
      </c>
      <c r="AE1214" s="2043">
        <v>12757088</v>
      </c>
      <c r="AF1214">
        <v>0.872</v>
      </c>
      <c r="AG1214">
        <v>0</v>
      </c>
      <c r="AH1214">
        <v>0</v>
      </c>
      <c r="AI1214">
        <v>0</v>
      </c>
      <c r="AJ1214">
        <v>178.55</v>
      </c>
      <c r="AK1214">
        <v>11294</v>
      </c>
      <c r="AL1214">
        <v>0.18100000000000002</v>
      </c>
      <c r="AM1214">
        <v>0</v>
      </c>
      <c r="AN1214">
        <v>170.47900000000001</v>
      </c>
      <c r="AO1214">
        <v>2</v>
      </c>
      <c r="AP1214">
        <v>0</v>
      </c>
      <c r="AQ1214">
        <v>0</v>
      </c>
      <c r="AR1214">
        <v>54.492000000000004</v>
      </c>
      <c r="AS1214">
        <v>0</v>
      </c>
      <c r="AT1214">
        <v>25.29</v>
      </c>
      <c r="AU1214">
        <v>6.444</v>
      </c>
      <c r="AV1214">
        <v>0.32</v>
      </c>
      <c r="AW1214">
        <v>86.727000000000004</v>
      </c>
      <c r="AX1214">
        <v>0</v>
      </c>
      <c r="AY1214">
        <v>272.471</v>
      </c>
      <c r="AZ1214">
        <v>0</v>
      </c>
      <c r="BA1214">
        <v>14888817</v>
      </c>
      <c r="BB1214">
        <v>18491123</v>
      </c>
      <c r="BC1214">
        <v>0</v>
      </c>
      <c r="BD1214">
        <v>256296</v>
      </c>
      <c r="BE1214">
        <v>93345</v>
      </c>
      <c r="BF1214">
        <v>357749</v>
      </c>
      <c r="BG1214">
        <v>256296</v>
      </c>
      <c r="BH1214">
        <v>8108</v>
      </c>
      <c r="BI1214">
        <v>0</v>
      </c>
      <c r="BJ1214">
        <v>0</v>
      </c>
      <c r="BK1214">
        <v>0</v>
      </c>
      <c r="BL1214">
        <v>1520774036</v>
      </c>
      <c r="BM1214">
        <v>0</v>
      </c>
      <c r="BN1214">
        <v>11259</v>
      </c>
      <c r="BO1214">
        <v>4269</v>
      </c>
      <c r="BP1214">
        <v>0</v>
      </c>
      <c r="BQ1214">
        <v>0</v>
      </c>
      <c r="BR1214">
        <v>0.82200000000000006</v>
      </c>
      <c r="BS1214">
        <v>0.82200000000000006</v>
      </c>
      <c r="BT1214">
        <v>0</v>
      </c>
      <c r="BU1214">
        <v>0</v>
      </c>
      <c r="BV1214">
        <v>614</v>
      </c>
      <c r="BW1214">
        <v>169</v>
      </c>
      <c r="BX1214">
        <v>0</v>
      </c>
      <c r="BY1214">
        <v>1</v>
      </c>
      <c r="BZ1214">
        <v>0</v>
      </c>
      <c r="CA1214">
        <v>784</v>
      </c>
      <c r="CB1214">
        <v>0</v>
      </c>
      <c r="CC1214">
        <v>26.47</v>
      </c>
      <c r="CD1214">
        <v>46.751000000000005</v>
      </c>
      <c r="CE1214">
        <v>231</v>
      </c>
      <c r="CF1214">
        <v>248.41300000000001</v>
      </c>
      <c r="CG1214">
        <v>0</v>
      </c>
      <c r="CH1214">
        <v>0</v>
      </c>
      <c r="CI1214">
        <v>3</v>
      </c>
      <c r="CJ1214">
        <v>65</v>
      </c>
      <c r="CK1214">
        <v>1</v>
      </c>
      <c r="CL1214">
        <v>0</v>
      </c>
      <c r="CM1214">
        <v>77.869</v>
      </c>
      <c r="CN1214">
        <v>0</v>
      </c>
      <c r="CO1214">
        <v>0</v>
      </c>
      <c r="CP1214">
        <v>0</v>
      </c>
      <c r="CQ1214">
        <v>0</v>
      </c>
      <c r="CR1214">
        <v>0</v>
      </c>
      <c r="CS1214">
        <v>0</v>
      </c>
      <c r="CT1214">
        <v>0</v>
      </c>
      <c r="CU1214">
        <v>0</v>
      </c>
      <c r="CV1214">
        <v>188.376</v>
      </c>
      <c r="CW1214">
        <v>79.477000000000004</v>
      </c>
      <c r="CX1214">
        <v>0</v>
      </c>
      <c r="CY1214" s="2043">
        <v>0</v>
      </c>
      <c r="CZ1214" s="2043">
        <v>0</v>
      </c>
      <c r="DA1214" s="2043">
        <v>0</v>
      </c>
      <c r="DB1214" s="2043">
        <v>0</v>
      </c>
      <c r="DC1214" s="2043">
        <v>0</v>
      </c>
      <c r="DI1214" t="s">
        <v>3268</v>
      </c>
      <c r="DJ1214" t="s">
        <v>3268</v>
      </c>
      <c r="DK1214" s="2042">
        <f t="shared" si="20"/>
        <v>0</v>
      </c>
    </row>
    <row r="1215" spans="1:115">
      <c r="A1215" t="s">
        <v>3269</v>
      </c>
      <c r="B1215" t="s">
        <v>2317</v>
      </c>
      <c r="C1215">
        <v>875.13700000000006</v>
      </c>
      <c r="D1215">
        <v>842.20699999999999</v>
      </c>
      <c r="E1215">
        <v>51.143000000000001</v>
      </c>
      <c r="F1215">
        <v>0</v>
      </c>
      <c r="G1215" s="2043">
        <v>380741790</v>
      </c>
      <c r="H1215">
        <v>0</v>
      </c>
      <c r="I1215" s="2043">
        <v>989338</v>
      </c>
      <c r="J1215">
        <v>43.757000000000005</v>
      </c>
      <c r="K1215">
        <v>120</v>
      </c>
      <c r="L1215">
        <v>0</v>
      </c>
      <c r="M1215">
        <v>40158</v>
      </c>
      <c r="N1215">
        <v>0</v>
      </c>
      <c r="O1215">
        <v>40158</v>
      </c>
      <c r="P1215">
        <v>0</v>
      </c>
      <c r="Q1215">
        <v>0</v>
      </c>
      <c r="R1215" s="2043">
        <v>2988521</v>
      </c>
      <c r="S1215">
        <v>181784</v>
      </c>
      <c r="T1215">
        <v>0</v>
      </c>
      <c r="U1215">
        <v>0.05</v>
      </c>
      <c r="V1215">
        <v>0</v>
      </c>
      <c r="W1215">
        <v>0</v>
      </c>
      <c r="X1215">
        <v>0</v>
      </c>
      <c r="Y1215">
        <v>0</v>
      </c>
      <c r="Z1215">
        <v>0</v>
      </c>
      <c r="AA1215">
        <v>0</v>
      </c>
      <c r="AB1215">
        <v>815.52200000000005</v>
      </c>
      <c r="AC1215" s="2043">
        <v>335486535</v>
      </c>
      <c r="AD1215">
        <v>954900</v>
      </c>
      <c r="AE1215" s="2043">
        <v>3170305</v>
      </c>
      <c r="AF1215">
        <v>0.872</v>
      </c>
      <c r="AG1215">
        <v>0</v>
      </c>
      <c r="AH1215">
        <v>0</v>
      </c>
      <c r="AI1215">
        <v>0</v>
      </c>
      <c r="AJ1215">
        <v>59.763000000000005</v>
      </c>
      <c r="AK1215">
        <v>3405</v>
      </c>
      <c r="AL1215">
        <v>0</v>
      </c>
      <c r="AM1215">
        <v>0</v>
      </c>
      <c r="AN1215">
        <v>36.691000000000003</v>
      </c>
      <c r="AO1215">
        <v>0</v>
      </c>
      <c r="AP1215">
        <v>0</v>
      </c>
      <c r="AQ1215">
        <v>0</v>
      </c>
      <c r="AR1215">
        <v>15.187000000000001</v>
      </c>
      <c r="AS1215">
        <v>0</v>
      </c>
      <c r="AT1215">
        <v>4.1520000000000001</v>
      </c>
      <c r="AU1215">
        <v>2.3720000000000003</v>
      </c>
      <c r="AV1215">
        <v>0</v>
      </c>
      <c r="AW1215">
        <v>21.711000000000002</v>
      </c>
      <c r="AX1215">
        <v>0</v>
      </c>
      <c r="AY1215">
        <v>69.87700000000001</v>
      </c>
      <c r="AZ1215">
        <v>0</v>
      </c>
      <c r="BA1215">
        <v>6321807</v>
      </c>
      <c r="BB1215">
        <v>4125205</v>
      </c>
      <c r="BC1215">
        <v>0</v>
      </c>
      <c r="BD1215">
        <v>56861</v>
      </c>
      <c r="BE1215">
        <v>26469</v>
      </c>
      <c r="BF1215">
        <v>83330</v>
      </c>
      <c r="BG1215">
        <v>56861</v>
      </c>
      <c r="BH1215">
        <v>0</v>
      </c>
      <c r="BI1215">
        <v>0</v>
      </c>
      <c r="BJ1215">
        <v>0</v>
      </c>
      <c r="BK1215">
        <v>0</v>
      </c>
      <c r="BL1215">
        <v>380741790</v>
      </c>
      <c r="BM1215">
        <v>0</v>
      </c>
      <c r="BN1215">
        <v>2511</v>
      </c>
      <c r="BO1215">
        <v>2461</v>
      </c>
      <c r="BP1215">
        <v>0</v>
      </c>
      <c r="BQ1215">
        <v>0</v>
      </c>
      <c r="BR1215">
        <v>0.82200000000000006</v>
      </c>
      <c r="BS1215">
        <v>0.82200000000000006</v>
      </c>
      <c r="BT1215">
        <v>0</v>
      </c>
      <c r="BU1215">
        <v>0</v>
      </c>
      <c r="BV1215">
        <v>30</v>
      </c>
      <c r="BW1215">
        <v>219</v>
      </c>
      <c r="BX1215">
        <v>4</v>
      </c>
      <c r="BY1215">
        <v>0</v>
      </c>
      <c r="BZ1215">
        <v>0</v>
      </c>
      <c r="CA1215">
        <v>253</v>
      </c>
      <c r="CB1215">
        <v>0</v>
      </c>
      <c r="CC1215">
        <v>0</v>
      </c>
      <c r="CD1215">
        <v>0</v>
      </c>
      <c r="CE1215">
        <v>39</v>
      </c>
      <c r="CF1215">
        <v>98.361000000000004</v>
      </c>
      <c r="CG1215">
        <v>0</v>
      </c>
      <c r="CH1215">
        <v>0</v>
      </c>
      <c r="CI1215">
        <v>3</v>
      </c>
      <c r="CJ1215">
        <v>21</v>
      </c>
      <c r="CK1215">
        <v>0</v>
      </c>
      <c r="CL1215">
        <v>0</v>
      </c>
      <c r="CM1215">
        <v>51.143000000000001</v>
      </c>
      <c r="CN1215">
        <v>0</v>
      </c>
      <c r="CO1215">
        <v>0</v>
      </c>
      <c r="CP1215">
        <v>0</v>
      </c>
      <c r="CQ1215">
        <v>0</v>
      </c>
      <c r="CR1215">
        <v>0</v>
      </c>
      <c r="CS1215">
        <v>0</v>
      </c>
      <c r="CT1215">
        <v>0</v>
      </c>
      <c r="CU1215">
        <v>5.0449999999999999</v>
      </c>
      <c r="CV1215">
        <v>70.673000000000002</v>
      </c>
      <c r="CW1215">
        <v>32.15</v>
      </c>
      <c r="CX1215">
        <v>0</v>
      </c>
      <c r="CY1215" s="2043">
        <v>0</v>
      </c>
      <c r="CZ1215" s="2043">
        <v>0</v>
      </c>
      <c r="DA1215" s="2043">
        <v>0</v>
      </c>
      <c r="DB1215" s="2043">
        <v>0</v>
      </c>
      <c r="DC1215" s="2043">
        <v>0</v>
      </c>
      <c r="DI1215" t="s">
        <v>3269</v>
      </c>
      <c r="DJ1215" t="s">
        <v>3269</v>
      </c>
      <c r="DK1215" s="2042">
        <f t="shared" si="20"/>
        <v>0</v>
      </c>
    </row>
    <row r="1216" spans="1:115">
      <c r="A1216" t="s">
        <v>3270</v>
      </c>
      <c r="B1216" t="s">
        <v>1423</v>
      </c>
      <c r="C1216">
        <v>761.31000000000006</v>
      </c>
      <c r="D1216">
        <v>750.23</v>
      </c>
      <c r="E1216">
        <v>19.443000000000001</v>
      </c>
      <c r="F1216">
        <v>0</v>
      </c>
      <c r="G1216" s="2043">
        <v>296712883</v>
      </c>
      <c r="H1216">
        <v>0</v>
      </c>
      <c r="I1216" s="2043">
        <v>931236</v>
      </c>
      <c r="J1216">
        <v>38.066000000000003</v>
      </c>
      <c r="K1216">
        <v>104</v>
      </c>
      <c r="L1216">
        <v>0</v>
      </c>
      <c r="M1216">
        <v>538354</v>
      </c>
      <c r="N1216">
        <v>0</v>
      </c>
      <c r="O1216">
        <v>538354</v>
      </c>
      <c r="P1216">
        <v>0</v>
      </c>
      <c r="Q1216">
        <v>0</v>
      </c>
      <c r="R1216" s="2043">
        <v>2465188</v>
      </c>
      <c r="S1216">
        <v>149951</v>
      </c>
      <c r="T1216">
        <v>0</v>
      </c>
      <c r="U1216">
        <v>0.05</v>
      </c>
      <c r="V1216">
        <v>0</v>
      </c>
      <c r="W1216">
        <v>0</v>
      </c>
      <c r="X1216">
        <v>0</v>
      </c>
      <c r="Y1216">
        <v>0</v>
      </c>
      <c r="Z1216">
        <v>0</v>
      </c>
      <c r="AA1216">
        <v>2.8000000000000001E-2</v>
      </c>
      <c r="AB1216">
        <v>717.52</v>
      </c>
      <c r="AC1216" s="2043">
        <v>239880957</v>
      </c>
      <c r="AD1216">
        <v>805607</v>
      </c>
      <c r="AE1216" s="2043">
        <v>2615139</v>
      </c>
      <c r="AF1216">
        <v>0.872</v>
      </c>
      <c r="AG1216">
        <v>0</v>
      </c>
      <c r="AH1216">
        <v>0</v>
      </c>
      <c r="AI1216">
        <v>0</v>
      </c>
      <c r="AJ1216">
        <v>74.438000000000002</v>
      </c>
      <c r="AK1216">
        <v>4667</v>
      </c>
      <c r="AL1216">
        <v>0</v>
      </c>
      <c r="AM1216">
        <v>0</v>
      </c>
      <c r="AN1216">
        <v>47.267000000000003</v>
      </c>
      <c r="AO1216">
        <v>0</v>
      </c>
      <c r="AP1216">
        <v>0</v>
      </c>
      <c r="AQ1216">
        <v>0</v>
      </c>
      <c r="AR1216">
        <v>13.477</v>
      </c>
      <c r="AS1216">
        <v>0</v>
      </c>
      <c r="AT1216">
        <v>16.286000000000001</v>
      </c>
      <c r="AU1216">
        <v>1.4670000000000001</v>
      </c>
      <c r="AV1216">
        <v>0</v>
      </c>
      <c r="AW1216">
        <v>31.23</v>
      </c>
      <c r="AX1216">
        <v>0</v>
      </c>
      <c r="AY1216">
        <v>96.624000000000009</v>
      </c>
      <c r="AZ1216">
        <v>0</v>
      </c>
      <c r="BA1216">
        <v>6390933</v>
      </c>
      <c r="BB1216">
        <v>3420746</v>
      </c>
      <c r="BC1216">
        <v>0</v>
      </c>
      <c r="BD1216">
        <v>65601</v>
      </c>
      <c r="BE1216">
        <v>16105</v>
      </c>
      <c r="BF1216">
        <v>81706</v>
      </c>
      <c r="BG1216">
        <v>65601</v>
      </c>
      <c r="BH1216">
        <v>0</v>
      </c>
      <c r="BI1216">
        <v>0</v>
      </c>
      <c r="BJ1216">
        <v>0</v>
      </c>
      <c r="BK1216">
        <v>0</v>
      </c>
      <c r="BL1216">
        <v>296712883</v>
      </c>
      <c r="BM1216">
        <v>0</v>
      </c>
      <c r="BN1216">
        <v>2790</v>
      </c>
      <c r="BO1216">
        <v>1380</v>
      </c>
      <c r="BP1216">
        <v>0</v>
      </c>
      <c r="BQ1216">
        <v>0</v>
      </c>
      <c r="BR1216">
        <v>0.82200000000000006</v>
      </c>
      <c r="BS1216">
        <v>0.82200000000000006</v>
      </c>
      <c r="BT1216">
        <v>0</v>
      </c>
      <c r="BU1216">
        <v>0</v>
      </c>
      <c r="BV1216">
        <v>60</v>
      </c>
      <c r="BW1216">
        <v>245</v>
      </c>
      <c r="BX1216">
        <v>0</v>
      </c>
      <c r="BY1216">
        <v>0</v>
      </c>
      <c r="BZ1216">
        <v>10</v>
      </c>
      <c r="CA1216">
        <v>315</v>
      </c>
      <c r="CB1216">
        <v>0</v>
      </c>
      <c r="CC1216">
        <v>0</v>
      </c>
      <c r="CD1216">
        <v>0</v>
      </c>
      <c r="CE1216">
        <v>77</v>
      </c>
      <c r="CF1216">
        <v>108.28800000000001</v>
      </c>
      <c r="CG1216">
        <v>0</v>
      </c>
      <c r="CH1216">
        <v>0</v>
      </c>
      <c r="CI1216">
        <v>3</v>
      </c>
      <c r="CJ1216">
        <v>4</v>
      </c>
      <c r="CK1216">
        <v>0</v>
      </c>
      <c r="CL1216">
        <v>0</v>
      </c>
      <c r="CM1216">
        <v>19.443000000000001</v>
      </c>
      <c r="CN1216">
        <v>0</v>
      </c>
      <c r="CO1216">
        <v>0</v>
      </c>
      <c r="CP1216">
        <v>0</v>
      </c>
      <c r="CQ1216">
        <v>0</v>
      </c>
      <c r="CR1216">
        <v>0</v>
      </c>
      <c r="CS1216">
        <v>0</v>
      </c>
      <c r="CT1216">
        <v>0</v>
      </c>
      <c r="CU1216">
        <v>0</v>
      </c>
      <c r="CV1216">
        <v>29.168000000000003</v>
      </c>
      <c r="CW1216">
        <v>13.409000000000001</v>
      </c>
      <c r="CX1216">
        <v>0</v>
      </c>
      <c r="CY1216" s="2043">
        <v>0</v>
      </c>
      <c r="CZ1216" s="2043">
        <v>0</v>
      </c>
      <c r="DA1216" s="2043">
        <v>0</v>
      </c>
      <c r="DB1216" s="2043">
        <v>0</v>
      </c>
      <c r="DC1216" s="2043">
        <v>0</v>
      </c>
      <c r="DI1216" t="s">
        <v>3270</v>
      </c>
      <c r="DJ1216" t="s">
        <v>3270</v>
      </c>
      <c r="DK1216" s="2042">
        <f t="shared" si="20"/>
        <v>0</v>
      </c>
    </row>
    <row r="1217" spans="1:115">
      <c r="A1217" t="s">
        <v>5308</v>
      </c>
      <c r="B1217" t="s">
        <v>1104</v>
      </c>
      <c r="C1217">
        <v>1139.7540000000001</v>
      </c>
      <c r="D1217">
        <v>1281.0240000000001</v>
      </c>
      <c r="E1217">
        <v>239.69300000000001</v>
      </c>
      <c r="F1217">
        <v>380207</v>
      </c>
      <c r="G1217" s="2043">
        <v>947161766</v>
      </c>
      <c r="H1217">
        <v>-608</v>
      </c>
      <c r="I1217" s="2043">
        <v>1931717</v>
      </c>
      <c r="J1217">
        <v>45</v>
      </c>
      <c r="K1217">
        <v>123</v>
      </c>
      <c r="L1217">
        <v>0</v>
      </c>
      <c r="M1217">
        <v>0</v>
      </c>
      <c r="N1217">
        <v>0</v>
      </c>
      <c r="O1217">
        <v>0</v>
      </c>
      <c r="P1217">
        <v>0</v>
      </c>
      <c r="Q1217">
        <v>0</v>
      </c>
      <c r="R1217" s="2043">
        <v>8262185</v>
      </c>
      <c r="S1217">
        <v>723642</v>
      </c>
      <c r="T1217">
        <v>74173</v>
      </c>
      <c r="U1217">
        <v>0.08</v>
      </c>
      <c r="V1217">
        <v>0</v>
      </c>
      <c r="W1217">
        <v>0</v>
      </c>
      <c r="X1217">
        <v>608</v>
      </c>
      <c r="Y1217">
        <v>628768</v>
      </c>
      <c r="Z1217">
        <v>0</v>
      </c>
      <c r="AA1217">
        <v>8.1000000000000003E-2</v>
      </c>
      <c r="AB1217">
        <v>1195.828</v>
      </c>
      <c r="AC1217" s="2043">
        <v>729649099</v>
      </c>
      <c r="AD1217">
        <v>2075000</v>
      </c>
      <c r="AE1217" s="2043">
        <v>9060000</v>
      </c>
      <c r="AF1217">
        <v>1.0016</v>
      </c>
      <c r="AG1217">
        <v>0</v>
      </c>
      <c r="AH1217">
        <v>608</v>
      </c>
      <c r="AI1217">
        <v>0</v>
      </c>
      <c r="AJ1217">
        <v>226.08800000000002</v>
      </c>
      <c r="AK1217">
        <v>4560</v>
      </c>
      <c r="AL1217">
        <v>0.14500000000000002</v>
      </c>
      <c r="AM1217">
        <v>0</v>
      </c>
      <c r="AN1217">
        <v>50.59</v>
      </c>
      <c r="AO1217">
        <v>0</v>
      </c>
      <c r="AP1217">
        <v>0</v>
      </c>
      <c r="AQ1217">
        <v>0</v>
      </c>
      <c r="AR1217">
        <v>23.182000000000002</v>
      </c>
      <c r="AS1217">
        <v>0</v>
      </c>
      <c r="AT1217">
        <v>8.3670000000000009</v>
      </c>
      <c r="AU1217">
        <v>2.0449999999999999</v>
      </c>
      <c r="AV1217">
        <v>0</v>
      </c>
      <c r="AW1217">
        <v>33.739000000000004</v>
      </c>
      <c r="AX1217">
        <v>0</v>
      </c>
      <c r="AY1217">
        <v>105.59700000000001</v>
      </c>
      <c r="AZ1217">
        <v>0</v>
      </c>
      <c r="BA1217">
        <v>4474062</v>
      </c>
      <c r="BB1217">
        <v>11135000</v>
      </c>
      <c r="BC1217">
        <v>0</v>
      </c>
      <c r="BD1217">
        <v>10548</v>
      </c>
      <c r="BE1217">
        <v>7711</v>
      </c>
      <c r="BF1217">
        <v>18259</v>
      </c>
      <c r="BG1217">
        <v>10548</v>
      </c>
      <c r="BH1217">
        <v>0</v>
      </c>
      <c r="BI1217">
        <v>0</v>
      </c>
      <c r="BJ1217">
        <v>0</v>
      </c>
      <c r="BK1217">
        <v>0</v>
      </c>
      <c r="BL1217">
        <v>947161766</v>
      </c>
      <c r="BM1217">
        <v>0</v>
      </c>
      <c r="BN1217">
        <v>3906</v>
      </c>
      <c r="BO1217">
        <v>813</v>
      </c>
      <c r="BP1217">
        <v>0</v>
      </c>
      <c r="BQ1217">
        <v>0</v>
      </c>
      <c r="BR1217">
        <v>0.91339999999999999</v>
      </c>
      <c r="BS1217">
        <v>0.91339999999999999</v>
      </c>
      <c r="BT1217">
        <v>249169</v>
      </c>
      <c r="BU1217">
        <v>0</v>
      </c>
      <c r="BV1217">
        <v>144</v>
      </c>
      <c r="BW1217">
        <v>400</v>
      </c>
      <c r="BX1217">
        <v>375</v>
      </c>
      <c r="BY1217">
        <v>1</v>
      </c>
      <c r="BZ1217">
        <v>17</v>
      </c>
      <c r="CA1217">
        <v>937</v>
      </c>
      <c r="CB1217">
        <v>0</v>
      </c>
      <c r="CC1217">
        <v>0</v>
      </c>
      <c r="CD1217">
        <v>0</v>
      </c>
      <c r="CE1217">
        <v>35</v>
      </c>
      <c r="CF1217">
        <v>338.91</v>
      </c>
      <c r="CG1217">
        <v>0</v>
      </c>
      <c r="CH1217">
        <v>0</v>
      </c>
      <c r="CI1217">
        <v>6</v>
      </c>
      <c r="CJ1217">
        <v>0</v>
      </c>
      <c r="CK1217">
        <v>0</v>
      </c>
      <c r="CL1217">
        <v>0</v>
      </c>
      <c r="CM1217">
        <v>239.69300000000001</v>
      </c>
      <c r="CN1217">
        <v>0</v>
      </c>
      <c r="CO1217">
        <v>0</v>
      </c>
      <c r="CP1217">
        <v>0</v>
      </c>
      <c r="CQ1217">
        <v>0</v>
      </c>
      <c r="CR1217">
        <v>0</v>
      </c>
      <c r="CS1217">
        <v>0</v>
      </c>
      <c r="CT1217">
        <v>0</v>
      </c>
      <c r="CU1217">
        <v>6.3050000000000006</v>
      </c>
      <c r="CV1217">
        <v>40.553000000000004</v>
      </c>
      <c r="CW1217">
        <v>32.502000000000002</v>
      </c>
      <c r="CX1217">
        <v>249169</v>
      </c>
      <c r="CY1217" s="2043">
        <v>0</v>
      </c>
      <c r="CZ1217" s="2043">
        <v>0</v>
      </c>
      <c r="DA1217" s="2043">
        <v>0</v>
      </c>
      <c r="DB1217" s="2043">
        <v>380207</v>
      </c>
      <c r="DC1217" s="2043">
        <v>94898</v>
      </c>
      <c r="DI1217" t="s">
        <v>5308</v>
      </c>
      <c r="DJ1217" t="s">
        <v>5308</v>
      </c>
      <c r="DK1217" s="2042">
        <f t="shared" si="20"/>
        <v>0</v>
      </c>
    </row>
    <row r="1218" spans="1:115">
      <c r="A1218" t="s">
        <v>5309</v>
      </c>
      <c r="B1218" t="s">
        <v>1105</v>
      </c>
      <c r="C1218">
        <v>355.11</v>
      </c>
      <c r="D1218">
        <v>401.34800000000001</v>
      </c>
      <c r="E1218">
        <v>17.634</v>
      </c>
      <c r="F1218">
        <v>0</v>
      </c>
      <c r="G1218" s="2043">
        <v>9332911991</v>
      </c>
      <c r="H1218">
        <v>0</v>
      </c>
      <c r="I1218" s="2043">
        <v>2262550</v>
      </c>
      <c r="J1218">
        <v>17.756</v>
      </c>
      <c r="K1218">
        <v>49</v>
      </c>
      <c r="L1218">
        <v>0</v>
      </c>
      <c r="M1218">
        <v>0</v>
      </c>
      <c r="N1218">
        <v>0</v>
      </c>
      <c r="O1218">
        <v>0</v>
      </c>
      <c r="P1218">
        <v>0</v>
      </c>
      <c r="Q1218">
        <v>0</v>
      </c>
      <c r="R1218" s="2043">
        <v>83696303</v>
      </c>
      <c r="S1218">
        <v>7790232</v>
      </c>
      <c r="T1218">
        <v>0</v>
      </c>
      <c r="U1218">
        <v>0.08</v>
      </c>
      <c r="V1218">
        <v>0</v>
      </c>
      <c r="W1218">
        <v>75630370</v>
      </c>
      <c r="X1218">
        <v>0</v>
      </c>
      <c r="Y1218">
        <v>1567300</v>
      </c>
      <c r="Z1218">
        <v>0</v>
      </c>
      <c r="AA1218">
        <v>0</v>
      </c>
      <c r="AB1218">
        <v>375.851</v>
      </c>
      <c r="AC1218" s="2043">
        <v>4705683974</v>
      </c>
      <c r="AD1218">
        <v>9548773</v>
      </c>
      <c r="AE1218" s="2043">
        <v>91486535</v>
      </c>
      <c r="AF1218">
        <v>0.9395</v>
      </c>
      <c r="AG1218">
        <v>0</v>
      </c>
      <c r="AH1218">
        <v>75630370</v>
      </c>
      <c r="AI1218">
        <v>0</v>
      </c>
      <c r="AJ1218">
        <v>36.063000000000002</v>
      </c>
      <c r="AK1218">
        <v>1874</v>
      </c>
      <c r="AL1218">
        <v>0</v>
      </c>
      <c r="AM1218">
        <v>0</v>
      </c>
      <c r="AN1218">
        <v>28.101000000000003</v>
      </c>
      <c r="AO1218">
        <v>0</v>
      </c>
      <c r="AP1218">
        <v>0</v>
      </c>
      <c r="AQ1218">
        <v>0</v>
      </c>
      <c r="AR1218">
        <v>5.1820000000000004</v>
      </c>
      <c r="AS1218">
        <v>0</v>
      </c>
      <c r="AT1218">
        <v>1.2570000000000001</v>
      </c>
      <c r="AU1218">
        <v>0.62</v>
      </c>
      <c r="AV1218">
        <v>0</v>
      </c>
      <c r="AW1218">
        <v>7.0590000000000002</v>
      </c>
      <c r="AX1218">
        <v>0</v>
      </c>
      <c r="AY1218">
        <v>22.417000000000002</v>
      </c>
      <c r="AZ1218">
        <v>0</v>
      </c>
      <c r="BA1218">
        <v>1772345</v>
      </c>
      <c r="BB1218">
        <v>101035308</v>
      </c>
      <c r="BC1218">
        <v>0</v>
      </c>
      <c r="BD1218">
        <v>27770</v>
      </c>
      <c r="BE1218">
        <v>0</v>
      </c>
      <c r="BF1218">
        <v>27770</v>
      </c>
      <c r="BG1218">
        <v>27770</v>
      </c>
      <c r="BH1218">
        <v>0</v>
      </c>
      <c r="BI1218">
        <v>0</v>
      </c>
      <c r="BJ1218">
        <v>0</v>
      </c>
      <c r="BK1218">
        <v>0</v>
      </c>
      <c r="BL1218">
        <v>9332911991</v>
      </c>
      <c r="BM1218">
        <v>0</v>
      </c>
      <c r="BN1218">
        <v>1368</v>
      </c>
      <c r="BO1218">
        <v>1252</v>
      </c>
      <c r="BP1218">
        <v>0</v>
      </c>
      <c r="BQ1218">
        <v>0</v>
      </c>
      <c r="BR1218">
        <v>0.85950000000000004</v>
      </c>
      <c r="BS1218">
        <v>0.85950000000000004</v>
      </c>
      <c r="BT1218">
        <v>0</v>
      </c>
      <c r="BU1218">
        <v>1567300</v>
      </c>
      <c r="BV1218">
        <v>31</v>
      </c>
      <c r="BW1218">
        <v>13</v>
      </c>
      <c r="BX1218">
        <v>104</v>
      </c>
      <c r="BY1218">
        <v>0</v>
      </c>
      <c r="BZ1218">
        <v>0</v>
      </c>
      <c r="CA1218">
        <v>148</v>
      </c>
      <c r="CB1218">
        <v>0</v>
      </c>
      <c r="CC1218">
        <v>0</v>
      </c>
      <c r="CD1218">
        <v>0</v>
      </c>
      <c r="CE1218">
        <v>2</v>
      </c>
      <c r="CF1218">
        <v>54.896000000000001</v>
      </c>
      <c r="CG1218">
        <v>0</v>
      </c>
      <c r="CH1218">
        <v>0</v>
      </c>
      <c r="CI1218">
        <v>3</v>
      </c>
      <c r="CJ1218">
        <v>2</v>
      </c>
      <c r="CK1218">
        <v>0</v>
      </c>
      <c r="CL1218">
        <v>0</v>
      </c>
      <c r="CM1218">
        <v>17.634</v>
      </c>
      <c r="CN1218">
        <v>0</v>
      </c>
      <c r="CO1218">
        <v>0</v>
      </c>
      <c r="CP1218">
        <v>0</v>
      </c>
      <c r="CQ1218">
        <v>0</v>
      </c>
      <c r="CR1218">
        <v>0</v>
      </c>
      <c r="CS1218">
        <v>0</v>
      </c>
      <c r="CT1218">
        <v>0</v>
      </c>
      <c r="CU1218">
        <v>0</v>
      </c>
      <c r="CV1218">
        <v>19.96</v>
      </c>
      <c r="CW1218">
        <v>7.1920000000000002</v>
      </c>
      <c r="CX1218">
        <v>0</v>
      </c>
      <c r="CY1218" s="2043">
        <v>0</v>
      </c>
      <c r="CZ1218" s="2043">
        <v>0</v>
      </c>
      <c r="DA1218" s="2043">
        <v>0</v>
      </c>
      <c r="DB1218" s="2043">
        <v>0</v>
      </c>
      <c r="DC1218" s="2043">
        <v>721426</v>
      </c>
      <c r="DI1218" t="s">
        <v>5309</v>
      </c>
      <c r="DJ1218" t="s">
        <v>5309</v>
      </c>
      <c r="DK1218" s="2042">
        <f t="shared" si="20"/>
        <v>0</v>
      </c>
    </row>
    <row r="1219" spans="1:115">
      <c r="A1219" t="s">
        <v>3271</v>
      </c>
      <c r="B1219" t="s">
        <v>182</v>
      </c>
      <c r="C1219">
        <v>735.745</v>
      </c>
      <c r="D1219">
        <v>700.97500000000002</v>
      </c>
      <c r="E1219">
        <v>27.737000000000002</v>
      </c>
      <c r="F1219">
        <v>0</v>
      </c>
      <c r="G1219" s="2043">
        <v>463777618</v>
      </c>
      <c r="H1219">
        <v>0</v>
      </c>
      <c r="I1219" s="2043">
        <v>750375</v>
      </c>
      <c r="J1219">
        <v>36.786999999999999</v>
      </c>
      <c r="K1219">
        <v>101</v>
      </c>
      <c r="L1219">
        <v>0</v>
      </c>
      <c r="M1219">
        <v>466170</v>
      </c>
      <c r="N1219">
        <v>0</v>
      </c>
      <c r="O1219">
        <v>466170</v>
      </c>
      <c r="P1219">
        <v>0</v>
      </c>
      <c r="Q1219">
        <v>0</v>
      </c>
      <c r="R1219" s="2043">
        <v>3929227</v>
      </c>
      <c r="S1219">
        <v>375195</v>
      </c>
      <c r="T1219">
        <v>273423</v>
      </c>
      <c r="U1219">
        <v>0.08</v>
      </c>
      <c r="V1219">
        <v>0</v>
      </c>
      <c r="W1219">
        <v>0</v>
      </c>
      <c r="X1219">
        <v>0</v>
      </c>
      <c r="Y1219">
        <v>0</v>
      </c>
      <c r="Z1219">
        <v>0</v>
      </c>
      <c r="AA1219">
        <v>0</v>
      </c>
      <c r="AB1219">
        <v>698.83100000000002</v>
      </c>
      <c r="AC1219" s="2043">
        <v>398726660</v>
      </c>
      <c r="AD1219">
        <v>832341</v>
      </c>
      <c r="AE1219" s="2043">
        <v>4577845</v>
      </c>
      <c r="AF1219">
        <v>0.97610000000000008</v>
      </c>
      <c r="AG1219">
        <v>0</v>
      </c>
      <c r="AH1219">
        <v>0</v>
      </c>
      <c r="AI1219">
        <v>0</v>
      </c>
      <c r="AJ1219">
        <v>76.912999999999997</v>
      </c>
      <c r="AK1219">
        <v>4823</v>
      </c>
      <c r="AL1219">
        <v>0</v>
      </c>
      <c r="AM1219">
        <v>0</v>
      </c>
      <c r="AN1219">
        <v>47.591000000000001</v>
      </c>
      <c r="AO1219">
        <v>0</v>
      </c>
      <c r="AP1219">
        <v>11.573</v>
      </c>
      <c r="AQ1219">
        <v>0</v>
      </c>
      <c r="AR1219">
        <v>20.655000000000001</v>
      </c>
      <c r="AS1219">
        <v>0</v>
      </c>
      <c r="AT1219">
        <v>0</v>
      </c>
      <c r="AU1219">
        <v>1.0450000000000002</v>
      </c>
      <c r="AV1219">
        <v>0</v>
      </c>
      <c r="AW1219">
        <v>33.368000000000002</v>
      </c>
      <c r="AX1219">
        <v>9.5000000000000001E-2</v>
      </c>
      <c r="AY1219">
        <v>98.656000000000006</v>
      </c>
      <c r="AZ1219">
        <v>0</v>
      </c>
      <c r="BA1219">
        <v>5257272</v>
      </c>
      <c r="BB1219">
        <v>5410186</v>
      </c>
      <c r="BC1219">
        <v>0</v>
      </c>
      <c r="BD1219">
        <v>60844</v>
      </c>
      <c r="BE1219">
        <v>41217</v>
      </c>
      <c r="BF1219">
        <v>102061</v>
      </c>
      <c r="BG1219">
        <v>60844</v>
      </c>
      <c r="BH1219">
        <v>0</v>
      </c>
      <c r="BI1219">
        <v>0</v>
      </c>
      <c r="BJ1219">
        <v>0</v>
      </c>
      <c r="BK1219">
        <v>0</v>
      </c>
      <c r="BL1219">
        <v>463777618</v>
      </c>
      <c r="BM1219">
        <v>0</v>
      </c>
      <c r="BN1219">
        <v>2691</v>
      </c>
      <c r="BO1219">
        <v>2140</v>
      </c>
      <c r="BP1219">
        <v>0</v>
      </c>
      <c r="BQ1219">
        <v>0</v>
      </c>
      <c r="BR1219">
        <v>0.83779999999999999</v>
      </c>
      <c r="BS1219">
        <v>0.83779999999999999</v>
      </c>
      <c r="BT1219">
        <v>0</v>
      </c>
      <c r="BU1219">
        <v>0</v>
      </c>
      <c r="BV1219">
        <v>143</v>
      </c>
      <c r="BW1219">
        <v>178</v>
      </c>
      <c r="BX1219">
        <v>0</v>
      </c>
      <c r="BY1219">
        <v>1</v>
      </c>
      <c r="BZ1219">
        <v>8</v>
      </c>
      <c r="CA1219">
        <v>330</v>
      </c>
      <c r="CB1219">
        <v>0</v>
      </c>
      <c r="CC1219">
        <v>0</v>
      </c>
      <c r="CD1219">
        <v>0</v>
      </c>
      <c r="CE1219">
        <v>103</v>
      </c>
      <c r="CF1219">
        <v>109.10900000000001</v>
      </c>
      <c r="CG1219">
        <v>0</v>
      </c>
      <c r="CH1219">
        <v>0</v>
      </c>
      <c r="CI1219">
        <v>2</v>
      </c>
      <c r="CJ1219">
        <v>10</v>
      </c>
      <c r="CK1219">
        <v>0</v>
      </c>
      <c r="CL1219">
        <v>0</v>
      </c>
      <c r="CM1219">
        <v>27.737000000000002</v>
      </c>
      <c r="CN1219">
        <v>0</v>
      </c>
      <c r="CO1219">
        <v>0</v>
      </c>
      <c r="CP1219">
        <v>0</v>
      </c>
      <c r="CQ1219">
        <v>0</v>
      </c>
      <c r="CR1219">
        <v>0</v>
      </c>
      <c r="CS1219">
        <v>0</v>
      </c>
      <c r="CT1219">
        <v>0</v>
      </c>
      <c r="CU1219">
        <v>0</v>
      </c>
      <c r="CV1219">
        <v>45.721000000000004</v>
      </c>
      <c r="CW1219">
        <v>27.418000000000003</v>
      </c>
      <c r="CX1219">
        <v>0</v>
      </c>
      <c r="CY1219" s="2043">
        <v>0</v>
      </c>
      <c r="CZ1219" s="2043">
        <v>0</v>
      </c>
      <c r="DA1219" s="2043">
        <v>0</v>
      </c>
      <c r="DB1219" s="2043">
        <v>0</v>
      </c>
      <c r="DC1219" s="2043">
        <v>0</v>
      </c>
      <c r="DI1219" t="s">
        <v>3271</v>
      </c>
      <c r="DJ1219" t="s">
        <v>3271</v>
      </c>
      <c r="DK1219" s="2042">
        <f t="shared" si="20"/>
        <v>0</v>
      </c>
    </row>
    <row r="1220" spans="1:115">
      <c r="A1220" t="s">
        <v>5310</v>
      </c>
      <c r="B1220" t="s">
        <v>755</v>
      </c>
      <c r="C1220">
        <v>1144.248</v>
      </c>
      <c r="D1220">
        <v>1157.17</v>
      </c>
      <c r="E1220">
        <v>51.25</v>
      </c>
      <c r="F1220">
        <v>0</v>
      </c>
      <c r="G1220" s="2043">
        <v>806439006</v>
      </c>
      <c r="H1220">
        <v>0</v>
      </c>
      <c r="I1220" s="2043">
        <v>1381412</v>
      </c>
      <c r="J1220">
        <v>57.212000000000003</v>
      </c>
      <c r="K1220">
        <v>156</v>
      </c>
      <c r="L1220">
        <v>0</v>
      </c>
      <c r="M1220">
        <v>0</v>
      </c>
      <c r="N1220">
        <v>0</v>
      </c>
      <c r="O1220">
        <v>0</v>
      </c>
      <c r="P1220">
        <v>0</v>
      </c>
      <c r="Q1220">
        <v>0</v>
      </c>
      <c r="R1220" s="2043">
        <v>6799020</v>
      </c>
      <c r="S1220">
        <v>411413</v>
      </c>
      <c r="T1220">
        <v>0</v>
      </c>
      <c r="U1220">
        <v>0.05</v>
      </c>
      <c r="V1220">
        <v>0</v>
      </c>
      <c r="W1220">
        <v>0</v>
      </c>
      <c r="X1220">
        <v>0</v>
      </c>
      <c r="Y1220">
        <v>0</v>
      </c>
      <c r="Z1220">
        <v>0</v>
      </c>
      <c r="AA1220">
        <v>0</v>
      </c>
      <c r="AB1220">
        <v>1157.17</v>
      </c>
      <c r="AC1220" s="2043">
        <v>731344588</v>
      </c>
      <c r="AD1220">
        <v>1548019</v>
      </c>
      <c r="AE1220" s="2043">
        <v>7210433</v>
      </c>
      <c r="AF1220">
        <v>0.87630000000000008</v>
      </c>
      <c r="AG1220">
        <v>0</v>
      </c>
      <c r="AH1220">
        <v>0</v>
      </c>
      <c r="AI1220">
        <v>0</v>
      </c>
      <c r="AJ1220">
        <v>159.738</v>
      </c>
      <c r="AK1220">
        <v>3905</v>
      </c>
      <c r="AL1220">
        <v>0</v>
      </c>
      <c r="AM1220">
        <v>0</v>
      </c>
      <c r="AN1220">
        <v>17.285</v>
      </c>
      <c r="AO1220">
        <v>0</v>
      </c>
      <c r="AP1220">
        <v>10.98</v>
      </c>
      <c r="AQ1220">
        <v>0</v>
      </c>
      <c r="AR1220">
        <v>26.6</v>
      </c>
      <c r="AS1220">
        <v>0</v>
      </c>
      <c r="AT1220">
        <v>0.28200000000000003</v>
      </c>
      <c r="AU1220">
        <v>1.6300000000000001</v>
      </c>
      <c r="AV1220">
        <v>0</v>
      </c>
      <c r="AW1220">
        <v>39.492000000000004</v>
      </c>
      <c r="AX1220">
        <v>0</v>
      </c>
      <c r="AY1220">
        <v>118.44200000000001</v>
      </c>
      <c r="AZ1220">
        <v>0</v>
      </c>
      <c r="BA1220">
        <v>5158429</v>
      </c>
      <c r="BB1220">
        <v>8758452</v>
      </c>
      <c r="BC1220">
        <v>0</v>
      </c>
      <c r="BD1220">
        <v>64800</v>
      </c>
      <c r="BE1220">
        <v>55404</v>
      </c>
      <c r="BF1220">
        <v>120204</v>
      </c>
      <c r="BG1220">
        <v>64800</v>
      </c>
      <c r="BH1220">
        <v>0</v>
      </c>
      <c r="BI1220">
        <v>0</v>
      </c>
      <c r="BJ1220">
        <v>0</v>
      </c>
      <c r="BK1220">
        <v>0</v>
      </c>
      <c r="BL1220">
        <v>806439006</v>
      </c>
      <c r="BM1220">
        <v>0</v>
      </c>
      <c r="BN1220">
        <v>4797</v>
      </c>
      <c r="BO1220">
        <v>4098</v>
      </c>
      <c r="BP1220">
        <v>0</v>
      </c>
      <c r="BQ1220">
        <v>0</v>
      </c>
      <c r="BR1220">
        <v>0.82630000000000003</v>
      </c>
      <c r="BS1220">
        <v>0.82630000000000003</v>
      </c>
      <c r="BT1220">
        <v>0</v>
      </c>
      <c r="BU1220">
        <v>0</v>
      </c>
      <c r="BV1220">
        <v>248</v>
      </c>
      <c r="BW1220">
        <v>422</v>
      </c>
      <c r="BX1220">
        <v>5</v>
      </c>
      <c r="BY1220">
        <v>1</v>
      </c>
      <c r="BZ1220">
        <v>8</v>
      </c>
      <c r="CA1220">
        <v>684</v>
      </c>
      <c r="CB1220">
        <v>0</v>
      </c>
      <c r="CC1220">
        <v>0</v>
      </c>
      <c r="CD1220">
        <v>0</v>
      </c>
      <c r="CE1220">
        <v>83</v>
      </c>
      <c r="CF1220">
        <v>203.268</v>
      </c>
      <c r="CG1220">
        <v>0</v>
      </c>
      <c r="CH1220">
        <v>0</v>
      </c>
      <c r="CI1220">
        <v>1</v>
      </c>
      <c r="CJ1220">
        <v>0</v>
      </c>
      <c r="CK1220">
        <v>0</v>
      </c>
      <c r="CL1220">
        <v>0</v>
      </c>
      <c r="CM1220">
        <v>51.25</v>
      </c>
      <c r="CN1220">
        <v>0</v>
      </c>
      <c r="CO1220">
        <v>0</v>
      </c>
      <c r="CP1220">
        <v>0</v>
      </c>
      <c r="CQ1220">
        <v>0</v>
      </c>
      <c r="CR1220">
        <v>0</v>
      </c>
      <c r="CS1220">
        <v>0</v>
      </c>
      <c r="CT1220">
        <v>0</v>
      </c>
      <c r="CU1220">
        <v>0</v>
      </c>
      <c r="CV1220">
        <v>81.933000000000007</v>
      </c>
      <c r="CW1220">
        <v>39.077000000000005</v>
      </c>
      <c r="CX1220">
        <v>0</v>
      </c>
      <c r="CY1220" s="2043">
        <v>0</v>
      </c>
      <c r="CZ1220" s="2043">
        <v>0</v>
      </c>
      <c r="DA1220" s="2043">
        <v>0</v>
      </c>
      <c r="DB1220" s="2043">
        <v>0</v>
      </c>
      <c r="DC1220" s="2043">
        <v>0</v>
      </c>
      <c r="DI1220" t="s">
        <v>5310</v>
      </c>
      <c r="DJ1220" t="s">
        <v>5310</v>
      </c>
      <c r="DK1220" s="2042">
        <f t="shared" ref="DK1220:DK1239" si="21">DI1220-DJ1220:DJ1221</f>
        <v>0</v>
      </c>
    </row>
    <row r="1221" spans="1:115">
      <c r="A1221" t="s">
        <v>5311</v>
      </c>
      <c r="B1221" t="s">
        <v>2054</v>
      </c>
      <c r="C1221">
        <v>1870.865</v>
      </c>
      <c r="D1221">
        <v>1907.797</v>
      </c>
      <c r="E1221">
        <v>500.32400000000001</v>
      </c>
      <c r="F1221">
        <v>0</v>
      </c>
      <c r="G1221" s="2043">
        <v>1538660295</v>
      </c>
      <c r="H1221">
        <v>0</v>
      </c>
      <c r="I1221" s="2043">
        <v>2179500</v>
      </c>
      <c r="J1221">
        <v>81</v>
      </c>
      <c r="K1221">
        <v>221</v>
      </c>
      <c r="L1221">
        <v>0</v>
      </c>
      <c r="M1221">
        <v>0</v>
      </c>
      <c r="N1221">
        <v>0</v>
      </c>
      <c r="O1221">
        <v>0</v>
      </c>
      <c r="P1221">
        <v>0</v>
      </c>
      <c r="Q1221">
        <v>0</v>
      </c>
      <c r="R1221" s="2043">
        <v>13277173</v>
      </c>
      <c r="S1221">
        <v>759390</v>
      </c>
      <c r="T1221">
        <v>0</v>
      </c>
      <c r="U1221">
        <v>0.05</v>
      </c>
      <c r="V1221">
        <v>0</v>
      </c>
      <c r="W1221">
        <v>0</v>
      </c>
      <c r="X1221">
        <v>0</v>
      </c>
      <c r="Y1221">
        <v>0</v>
      </c>
      <c r="Z1221">
        <v>0</v>
      </c>
      <c r="AA1221">
        <v>0.111</v>
      </c>
      <c r="AB1221">
        <v>1907.797</v>
      </c>
      <c r="AC1221" s="2043">
        <v>1422652420</v>
      </c>
      <c r="AD1221">
        <v>2085626</v>
      </c>
      <c r="AE1221" s="2043">
        <v>14036563</v>
      </c>
      <c r="AF1221">
        <v>0.92420000000000002</v>
      </c>
      <c r="AG1221">
        <v>0</v>
      </c>
      <c r="AH1221">
        <v>0</v>
      </c>
      <c r="AI1221">
        <v>0</v>
      </c>
      <c r="AJ1221">
        <v>311.46300000000002</v>
      </c>
      <c r="AK1221">
        <v>7732</v>
      </c>
      <c r="AL1221">
        <v>0.10600000000000001</v>
      </c>
      <c r="AM1221">
        <v>0</v>
      </c>
      <c r="AN1221">
        <v>74.51700000000001</v>
      </c>
      <c r="AO1221">
        <v>0</v>
      </c>
      <c r="AP1221">
        <v>6.093</v>
      </c>
      <c r="AQ1221">
        <v>0</v>
      </c>
      <c r="AR1221">
        <v>50.754000000000005</v>
      </c>
      <c r="AS1221">
        <v>0</v>
      </c>
      <c r="AT1221">
        <v>13.987</v>
      </c>
      <c r="AU1221">
        <v>3.6070000000000002</v>
      </c>
      <c r="AV1221">
        <v>0</v>
      </c>
      <c r="AW1221">
        <v>74.546999999999997</v>
      </c>
      <c r="AX1221">
        <v>0</v>
      </c>
      <c r="AY1221">
        <v>229.239</v>
      </c>
      <c r="AZ1221">
        <v>0</v>
      </c>
      <c r="BA1221">
        <v>4729261</v>
      </c>
      <c r="BB1221">
        <v>16122189</v>
      </c>
      <c r="BC1221">
        <v>0</v>
      </c>
      <c r="BD1221">
        <v>134280</v>
      </c>
      <c r="BE1221">
        <v>84335</v>
      </c>
      <c r="BF1221">
        <v>230865</v>
      </c>
      <c r="BG1221">
        <v>134280</v>
      </c>
      <c r="BH1221">
        <v>12250</v>
      </c>
      <c r="BI1221">
        <v>0</v>
      </c>
      <c r="BJ1221">
        <v>0</v>
      </c>
      <c r="BK1221">
        <v>0</v>
      </c>
      <c r="BL1221">
        <v>1538660295</v>
      </c>
      <c r="BM1221">
        <v>0</v>
      </c>
      <c r="BN1221">
        <v>6651</v>
      </c>
      <c r="BO1221">
        <v>3756</v>
      </c>
      <c r="BP1221">
        <v>0</v>
      </c>
      <c r="BQ1221">
        <v>0</v>
      </c>
      <c r="BR1221">
        <v>0.87420000000000009</v>
      </c>
      <c r="BS1221">
        <v>0.87420000000000009</v>
      </c>
      <c r="BT1221">
        <v>0</v>
      </c>
      <c r="BU1221">
        <v>0</v>
      </c>
      <c r="BV1221">
        <v>242</v>
      </c>
      <c r="BW1221">
        <v>597</v>
      </c>
      <c r="BX1221">
        <v>184</v>
      </c>
      <c r="BY1221">
        <v>6</v>
      </c>
      <c r="BZ1221">
        <v>246</v>
      </c>
      <c r="CA1221">
        <v>1275</v>
      </c>
      <c r="CB1221">
        <v>0</v>
      </c>
      <c r="CC1221">
        <v>32.509</v>
      </c>
      <c r="CD1221">
        <v>7.3000000000000009E-2</v>
      </c>
      <c r="CE1221">
        <v>125</v>
      </c>
      <c r="CF1221">
        <v>558.43299999999999</v>
      </c>
      <c r="CG1221">
        <v>0</v>
      </c>
      <c r="CH1221">
        <v>0</v>
      </c>
      <c r="CI1221">
        <v>13</v>
      </c>
      <c r="CJ1221">
        <v>16</v>
      </c>
      <c r="CK1221">
        <v>0</v>
      </c>
      <c r="CL1221">
        <v>0</v>
      </c>
      <c r="CM1221">
        <v>500.32400000000001</v>
      </c>
      <c r="CN1221">
        <v>0</v>
      </c>
      <c r="CO1221">
        <v>0</v>
      </c>
      <c r="CP1221">
        <v>0</v>
      </c>
      <c r="CQ1221">
        <v>0</v>
      </c>
      <c r="CR1221">
        <v>0</v>
      </c>
      <c r="CS1221">
        <v>0</v>
      </c>
      <c r="CT1221">
        <v>0</v>
      </c>
      <c r="CU1221">
        <v>0</v>
      </c>
      <c r="CV1221">
        <v>105.14800000000001</v>
      </c>
      <c r="CW1221">
        <v>53.309000000000005</v>
      </c>
      <c r="CX1221">
        <v>0</v>
      </c>
      <c r="CY1221" s="2043">
        <v>0</v>
      </c>
      <c r="CZ1221" s="2043">
        <v>0</v>
      </c>
      <c r="DA1221" s="2043">
        <v>0</v>
      </c>
      <c r="DB1221" s="2043">
        <v>0</v>
      </c>
      <c r="DC1221" s="2043">
        <v>278632</v>
      </c>
      <c r="DI1221" t="s">
        <v>5311</v>
      </c>
      <c r="DJ1221" t="s">
        <v>5311</v>
      </c>
      <c r="DK1221" s="2042">
        <f t="shared" si="21"/>
        <v>0</v>
      </c>
    </row>
    <row r="1222" spans="1:115">
      <c r="A1222" t="s">
        <v>5312</v>
      </c>
      <c r="B1222" t="s">
        <v>2286</v>
      </c>
      <c r="C1222">
        <v>529.447</v>
      </c>
      <c r="D1222">
        <v>525.57400000000007</v>
      </c>
      <c r="E1222">
        <v>62.707000000000001</v>
      </c>
      <c r="F1222">
        <v>0</v>
      </c>
      <c r="G1222" s="2043">
        <v>759546418</v>
      </c>
      <c r="H1222">
        <v>0</v>
      </c>
      <c r="I1222" s="2043">
        <v>1321946</v>
      </c>
      <c r="J1222">
        <v>26.472000000000001</v>
      </c>
      <c r="K1222">
        <v>72</v>
      </c>
      <c r="L1222">
        <v>0</v>
      </c>
      <c r="M1222">
        <v>0</v>
      </c>
      <c r="N1222">
        <v>0</v>
      </c>
      <c r="O1222">
        <v>0</v>
      </c>
      <c r="P1222">
        <v>0</v>
      </c>
      <c r="Q1222">
        <v>0</v>
      </c>
      <c r="R1222" s="2043">
        <v>6323373</v>
      </c>
      <c r="S1222">
        <v>370351</v>
      </c>
      <c r="T1222">
        <v>0</v>
      </c>
      <c r="U1222">
        <v>0.05</v>
      </c>
      <c r="V1222">
        <v>0</v>
      </c>
      <c r="W1222">
        <v>413850</v>
      </c>
      <c r="X1222">
        <v>0</v>
      </c>
      <c r="Y1222">
        <v>0</v>
      </c>
      <c r="Z1222">
        <v>0</v>
      </c>
      <c r="AA1222">
        <v>0</v>
      </c>
      <c r="AB1222">
        <v>525.57400000000007</v>
      </c>
      <c r="AC1222" s="2043">
        <v>620540440</v>
      </c>
      <c r="AD1222">
        <v>1283116</v>
      </c>
      <c r="AE1222" s="2043">
        <v>6693724</v>
      </c>
      <c r="AF1222">
        <v>0.90370000000000006</v>
      </c>
      <c r="AG1222">
        <v>0</v>
      </c>
      <c r="AH1222">
        <v>413850</v>
      </c>
      <c r="AI1222">
        <v>0</v>
      </c>
      <c r="AJ1222">
        <v>74.162999999999997</v>
      </c>
      <c r="AK1222">
        <v>2798</v>
      </c>
      <c r="AL1222">
        <v>0.13900000000000001</v>
      </c>
      <c r="AM1222">
        <v>0</v>
      </c>
      <c r="AN1222">
        <v>9.527000000000001</v>
      </c>
      <c r="AO1222">
        <v>0</v>
      </c>
      <c r="AP1222">
        <v>6.3320000000000007</v>
      </c>
      <c r="AQ1222">
        <v>0</v>
      </c>
      <c r="AR1222">
        <v>17.137</v>
      </c>
      <c r="AS1222">
        <v>0</v>
      </c>
      <c r="AT1222">
        <v>0.17700000000000002</v>
      </c>
      <c r="AU1222">
        <v>0.78400000000000003</v>
      </c>
      <c r="AV1222">
        <v>0</v>
      </c>
      <c r="AW1222">
        <v>24.569000000000003</v>
      </c>
      <c r="AX1222">
        <v>0</v>
      </c>
      <c r="AY1222">
        <v>73.653000000000006</v>
      </c>
      <c r="AZ1222">
        <v>0</v>
      </c>
      <c r="BA1222">
        <v>385164</v>
      </c>
      <c r="BB1222">
        <v>7976840</v>
      </c>
      <c r="BC1222">
        <v>0</v>
      </c>
      <c r="BD1222">
        <v>45931</v>
      </c>
      <c r="BE1222">
        <v>18753</v>
      </c>
      <c r="BF1222">
        <v>64684</v>
      </c>
      <c r="BG1222">
        <v>45931</v>
      </c>
      <c r="BH1222">
        <v>0</v>
      </c>
      <c r="BI1222">
        <v>0</v>
      </c>
      <c r="BJ1222">
        <v>0</v>
      </c>
      <c r="BK1222">
        <v>0</v>
      </c>
      <c r="BL1222">
        <v>759546418</v>
      </c>
      <c r="BM1222">
        <v>0</v>
      </c>
      <c r="BN1222">
        <v>1845</v>
      </c>
      <c r="BO1222">
        <v>578</v>
      </c>
      <c r="BP1222">
        <v>0</v>
      </c>
      <c r="BQ1222">
        <v>0</v>
      </c>
      <c r="BR1222">
        <v>0.85370000000000001</v>
      </c>
      <c r="BS1222">
        <v>0.85370000000000001</v>
      </c>
      <c r="BT1222">
        <v>0</v>
      </c>
      <c r="BU1222">
        <v>0</v>
      </c>
      <c r="BV1222">
        <v>4</v>
      </c>
      <c r="BW1222">
        <v>160</v>
      </c>
      <c r="BX1222">
        <v>5</v>
      </c>
      <c r="BY1222">
        <v>95</v>
      </c>
      <c r="BZ1222">
        <v>33</v>
      </c>
      <c r="CA1222">
        <v>297</v>
      </c>
      <c r="CB1222">
        <v>0</v>
      </c>
      <c r="CC1222">
        <v>0</v>
      </c>
      <c r="CD1222">
        <v>0</v>
      </c>
      <c r="CE1222">
        <v>42</v>
      </c>
      <c r="CF1222">
        <v>115.47500000000001</v>
      </c>
      <c r="CG1222">
        <v>0</v>
      </c>
      <c r="CH1222">
        <v>0</v>
      </c>
      <c r="CI1222">
        <v>2</v>
      </c>
      <c r="CJ1222">
        <v>0</v>
      </c>
      <c r="CK1222">
        <v>0</v>
      </c>
      <c r="CL1222">
        <v>0</v>
      </c>
      <c r="CM1222">
        <v>62.707000000000001</v>
      </c>
      <c r="CN1222">
        <v>0</v>
      </c>
      <c r="CO1222">
        <v>0</v>
      </c>
      <c r="CP1222">
        <v>0</v>
      </c>
      <c r="CQ1222">
        <v>0</v>
      </c>
      <c r="CR1222">
        <v>0</v>
      </c>
      <c r="CS1222">
        <v>0</v>
      </c>
      <c r="CT1222">
        <v>0</v>
      </c>
      <c r="CU1222">
        <v>0</v>
      </c>
      <c r="CV1222">
        <v>29.898</v>
      </c>
      <c r="CW1222">
        <v>25.618000000000002</v>
      </c>
      <c r="CX1222">
        <v>0</v>
      </c>
      <c r="CY1222" s="2043">
        <v>0</v>
      </c>
      <c r="CZ1222" s="2043">
        <v>0</v>
      </c>
      <c r="DA1222" s="2043">
        <v>0</v>
      </c>
      <c r="DB1222" s="2043">
        <v>0</v>
      </c>
      <c r="DC1222" s="2043">
        <v>138933</v>
      </c>
      <c r="DI1222" t="s">
        <v>5312</v>
      </c>
      <c r="DJ1222" t="s">
        <v>5312</v>
      </c>
      <c r="DK1222" s="2042">
        <f t="shared" si="21"/>
        <v>0</v>
      </c>
    </row>
    <row r="1223" spans="1:115">
      <c r="A1223" t="s">
        <v>5313</v>
      </c>
      <c r="B1223" t="s">
        <v>2287</v>
      </c>
      <c r="C1223">
        <v>3400.7429999999999</v>
      </c>
      <c r="D1223">
        <v>3323.058</v>
      </c>
      <c r="E1223">
        <v>357.47500000000002</v>
      </c>
      <c r="F1223">
        <v>0</v>
      </c>
      <c r="G1223" s="2043">
        <v>2659275634</v>
      </c>
      <c r="H1223">
        <v>0</v>
      </c>
      <c r="I1223" s="2043">
        <v>5714600</v>
      </c>
      <c r="J1223">
        <v>170.03700000000001</v>
      </c>
      <c r="K1223">
        <v>465</v>
      </c>
      <c r="L1223">
        <v>0</v>
      </c>
      <c r="M1223">
        <v>0</v>
      </c>
      <c r="N1223">
        <v>0</v>
      </c>
      <c r="O1223">
        <v>0</v>
      </c>
      <c r="P1223">
        <v>0</v>
      </c>
      <c r="Q1223">
        <v>0</v>
      </c>
      <c r="R1223" s="2043">
        <v>22816895</v>
      </c>
      <c r="S1223">
        <v>1323486</v>
      </c>
      <c r="T1223">
        <v>0</v>
      </c>
      <c r="U1223">
        <v>0.05</v>
      </c>
      <c r="V1223">
        <v>0</v>
      </c>
      <c r="W1223">
        <v>0</v>
      </c>
      <c r="X1223">
        <v>0</v>
      </c>
      <c r="Y1223">
        <v>692125</v>
      </c>
      <c r="Z1223">
        <v>0</v>
      </c>
      <c r="AA1223">
        <v>0.13600000000000001</v>
      </c>
      <c r="AB1223">
        <v>3274.038</v>
      </c>
      <c r="AC1223" s="2043">
        <v>2368895915</v>
      </c>
      <c r="AD1223">
        <v>6195503</v>
      </c>
      <c r="AE1223" s="2043">
        <v>24140381</v>
      </c>
      <c r="AF1223">
        <v>0.91200000000000003</v>
      </c>
      <c r="AG1223">
        <v>0</v>
      </c>
      <c r="AH1223">
        <v>0</v>
      </c>
      <c r="AI1223">
        <v>0</v>
      </c>
      <c r="AJ1223">
        <v>323.75</v>
      </c>
      <c r="AK1223">
        <v>13794</v>
      </c>
      <c r="AL1223">
        <v>0.17400000000000002</v>
      </c>
      <c r="AM1223">
        <v>0</v>
      </c>
      <c r="AN1223">
        <v>143.126</v>
      </c>
      <c r="AO1223">
        <v>0</v>
      </c>
      <c r="AP1223">
        <v>0</v>
      </c>
      <c r="AQ1223">
        <v>0</v>
      </c>
      <c r="AR1223">
        <v>101.202</v>
      </c>
      <c r="AS1223">
        <v>0</v>
      </c>
      <c r="AT1223">
        <v>20.814</v>
      </c>
      <c r="AU1223">
        <v>8.8570000000000011</v>
      </c>
      <c r="AV1223">
        <v>0</v>
      </c>
      <c r="AW1223">
        <v>132.941</v>
      </c>
      <c r="AX1223">
        <v>1.8940000000000001</v>
      </c>
      <c r="AY1223">
        <v>415.55900000000003</v>
      </c>
      <c r="AZ1223">
        <v>0</v>
      </c>
      <c r="BA1223">
        <v>8004933</v>
      </c>
      <c r="BB1223">
        <v>30335884</v>
      </c>
      <c r="BC1223">
        <v>0</v>
      </c>
      <c r="BD1223">
        <v>238487</v>
      </c>
      <c r="BE1223">
        <v>74817</v>
      </c>
      <c r="BF1223">
        <v>313304</v>
      </c>
      <c r="BG1223">
        <v>238487</v>
      </c>
      <c r="BH1223">
        <v>0</v>
      </c>
      <c r="BI1223">
        <v>0</v>
      </c>
      <c r="BJ1223">
        <v>0</v>
      </c>
      <c r="BK1223">
        <v>0</v>
      </c>
      <c r="BL1223">
        <v>2659275634</v>
      </c>
      <c r="BM1223">
        <v>0</v>
      </c>
      <c r="BN1223">
        <v>11151</v>
      </c>
      <c r="BO1223">
        <v>3841</v>
      </c>
      <c r="BP1223">
        <v>0</v>
      </c>
      <c r="BQ1223">
        <v>0</v>
      </c>
      <c r="BR1223">
        <v>0.86199999999999999</v>
      </c>
      <c r="BS1223">
        <v>0.86199999999999999</v>
      </c>
      <c r="BT1223">
        <v>692125</v>
      </c>
      <c r="BU1223">
        <v>0</v>
      </c>
      <c r="BV1223">
        <v>783</v>
      </c>
      <c r="BW1223">
        <v>402</v>
      </c>
      <c r="BX1223">
        <v>4</v>
      </c>
      <c r="BY1223">
        <v>180</v>
      </c>
      <c r="BZ1223">
        <v>14</v>
      </c>
      <c r="CA1223">
        <v>1383</v>
      </c>
      <c r="CB1223">
        <v>0</v>
      </c>
      <c r="CC1223">
        <v>131.09100000000001</v>
      </c>
      <c r="CD1223">
        <v>55.311</v>
      </c>
      <c r="CE1223">
        <v>167</v>
      </c>
      <c r="CF1223">
        <v>613.76200000000006</v>
      </c>
      <c r="CG1223">
        <v>0</v>
      </c>
      <c r="CH1223">
        <v>0</v>
      </c>
      <c r="CI1223">
        <v>2</v>
      </c>
      <c r="CJ1223">
        <v>24</v>
      </c>
      <c r="CK1223">
        <v>1</v>
      </c>
      <c r="CL1223">
        <v>0</v>
      </c>
      <c r="CM1223">
        <v>357.47500000000002</v>
      </c>
      <c r="CN1223">
        <v>0</v>
      </c>
      <c r="CO1223">
        <v>0</v>
      </c>
      <c r="CP1223">
        <v>0</v>
      </c>
      <c r="CQ1223">
        <v>0</v>
      </c>
      <c r="CR1223">
        <v>0</v>
      </c>
      <c r="CS1223">
        <v>0</v>
      </c>
      <c r="CT1223">
        <v>0</v>
      </c>
      <c r="CU1223">
        <v>1.369</v>
      </c>
      <c r="CV1223">
        <v>146.52500000000001</v>
      </c>
      <c r="CW1223">
        <v>115.81200000000001</v>
      </c>
      <c r="CX1223">
        <v>692125</v>
      </c>
      <c r="CY1223" s="2043">
        <v>0</v>
      </c>
      <c r="CZ1223" s="2043">
        <v>0</v>
      </c>
      <c r="DA1223" s="2043">
        <v>0</v>
      </c>
      <c r="DB1223" s="2043">
        <v>0</v>
      </c>
      <c r="DC1223" s="2043">
        <v>508681</v>
      </c>
      <c r="DI1223" t="s">
        <v>5313</v>
      </c>
      <c r="DJ1223" t="s">
        <v>5313</v>
      </c>
      <c r="DK1223" s="2042">
        <f t="shared" si="21"/>
        <v>0</v>
      </c>
    </row>
    <row r="1224" spans="1:115">
      <c r="A1224" t="s">
        <v>3272</v>
      </c>
      <c r="B1224" t="s">
        <v>1909</v>
      </c>
      <c r="C1224">
        <v>1212.2940000000001</v>
      </c>
      <c r="D1224">
        <v>1216.0990000000002</v>
      </c>
      <c r="E1224">
        <v>37.393000000000001</v>
      </c>
      <c r="F1224">
        <v>0</v>
      </c>
      <c r="G1224" s="2043">
        <v>607648083</v>
      </c>
      <c r="H1224">
        <v>0</v>
      </c>
      <c r="I1224" s="2043">
        <v>1479763</v>
      </c>
      <c r="J1224">
        <v>60.615000000000002</v>
      </c>
      <c r="K1224">
        <v>166</v>
      </c>
      <c r="L1224">
        <v>0</v>
      </c>
      <c r="M1224">
        <v>221531</v>
      </c>
      <c r="N1224">
        <v>0</v>
      </c>
      <c r="O1224">
        <v>221531</v>
      </c>
      <c r="P1224">
        <v>0</v>
      </c>
      <c r="Q1224">
        <v>0</v>
      </c>
      <c r="R1224" s="2043">
        <v>5049281</v>
      </c>
      <c r="S1224">
        <v>307134</v>
      </c>
      <c r="T1224">
        <v>0</v>
      </c>
      <c r="U1224">
        <v>0.05</v>
      </c>
      <c r="V1224">
        <v>0</v>
      </c>
      <c r="W1224">
        <v>0</v>
      </c>
      <c r="X1224">
        <v>0</v>
      </c>
      <c r="Y1224">
        <v>0</v>
      </c>
      <c r="Z1224">
        <v>0</v>
      </c>
      <c r="AA1224">
        <v>0</v>
      </c>
      <c r="AB1224">
        <v>1159.2940000000001</v>
      </c>
      <c r="AC1224" s="2043">
        <v>477523117</v>
      </c>
      <c r="AD1224">
        <v>1834692</v>
      </c>
      <c r="AE1224" s="2043">
        <v>5356415</v>
      </c>
      <c r="AF1224">
        <v>0.872</v>
      </c>
      <c r="AG1224">
        <v>0</v>
      </c>
      <c r="AH1224">
        <v>0</v>
      </c>
      <c r="AI1224">
        <v>0</v>
      </c>
      <c r="AJ1224">
        <v>91.4</v>
      </c>
      <c r="AK1224">
        <v>5440</v>
      </c>
      <c r="AL1224">
        <v>0</v>
      </c>
      <c r="AM1224">
        <v>0</v>
      </c>
      <c r="AN1224">
        <v>72.989000000000004</v>
      </c>
      <c r="AO1224">
        <v>0</v>
      </c>
      <c r="AP1224">
        <v>7.3930000000000007</v>
      </c>
      <c r="AQ1224">
        <v>0</v>
      </c>
      <c r="AR1224">
        <v>28.628</v>
      </c>
      <c r="AS1224">
        <v>0</v>
      </c>
      <c r="AT1224">
        <v>0</v>
      </c>
      <c r="AU1224">
        <v>1.657</v>
      </c>
      <c r="AV1224">
        <v>0</v>
      </c>
      <c r="AW1224">
        <v>38.544000000000004</v>
      </c>
      <c r="AX1224">
        <v>0.86599999999999999</v>
      </c>
      <c r="AY1224">
        <v>116.122</v>
      </c>
      <c r="AZ1224">
        <v>0</v>
      </c>
      <c r="BA1224">
        <v>6979979</v>
      </c>
      <c r="BB1224">
        <v>7191107</v>
      </c>
      <c r="BC1224">
        <v>0</v>
      </c>
      <c r="BD1224">
        <v>68880</v>
      </c>
      <c r="BE1224">
        <v>19579</v>
      </c>
      <c r="BF1224">
        <v>88459</v>
      </c>
      <c r="BG1224">
        <v>68880</v>
      </c>
      <c r="BH1224">
        <v>0</v>
      </c>
      <c r="BI1224">
        <v>0</v>
      </c>
      <c r="BJ1224">
        <v>0</v>
      </c>
      <c r="BK1224">
        <v>0</v>
      </c>
      <c r="BL1224">
        <v>607648083</v>
      </c>
      <c r="BM1224">
        <v>0</v>
      </c>
      <c r="BN1224">
        <v>3852</v>
      </c>
      <c r="BO1224">
        <v>3039</v>
      </c>
      <c r="BP1224">
        <v>0</v>
      </c>
      <c r="BQ1224">
        <v>0</v>
      </c>
      <c r="BR1224">
        <v>0.82200000000000006</v>
      </c>
      <c r="BS1224">
        <v>0.82200000000000006</v>
      </c>
      <c r="BT1224">
        <v>0</v>
      </c>
      <c r="BU1224">
        <v>0</v>
      </c>
      <c r="BV1224">
        <v>194</v>
      </c>
      <c r="BW1224">
        <v>78</v>
      </c>
      <c r="BX1224">
        <v>104</v>
      </c>
      <c r="BY1224">
        <v>6</v>
      </c>
      <c r="BZ1224">
        <v>6</v>
      </c>
      <c r="CA1224">
        <v>388</v>
      </c>
      <c r="CB1224">
        <v>0</v>
      </c>
      <c r="CC1224">
        <v>0</v>
      </c>
      <c r="CD1224">
        <v>0</v>
      </c>
      <c r="CE1224">
        <v>140</v>
      </c>
      <c r="CF1224">
        <v>140.36100000000002</v>
      </c>
      <c r="CG1224">
        <v>0</v>
      </c>
      <c r="CH1224">
        <v>0</v>
      </c>
      <c r="CI1224">
        <v>2</v>
      </c>
      <c r="CJ1224">
        <v>7</v>
      </c>
      <c r="CK1224">
        <v>0</v>
      </c>
      <c r="CL1224">
        <v>0</v>
      </c>
      <c r="CM1224">
        <v>37.393000000000001</v>
      </c>
      <c r="CN1224">
        <v>0</v>
      </c>
      <c r="CO1224">
        <v>0</v>
      </c>
      <c r="CP1224">
        <v>0</v>
      </c>
      <c r="CQ1224">
        <v>0</v>
      </c>
      <c r="CR1224">
        <v>0</v>
      </c>
      <c r="CS1224">
        <v>0</v>
      </c>
      <c r="CT1224">
        <v>0</v>
      </c>
      <c r="CU1224">
        <v>0</v>
      </c>
      <c r="CV1224">
        <v>49.003</v>
      </c>
      <c r="CW1224">
        <v>26.535</v>
      </c>
      <c r="CX1224">
        <v>0</v>
      </c>
      <c r="CY1224" s="2043">
        <v>0</v>
      </c>
      <c r="CZ1224" s="2043">
        <v>0</v>
      </c>
      <c r="DA1224" s="2043">
        <v>0</v>
      </c>
      <c r="DB1224" s="2043">
        <v>0</v>
      </c>
      <c r="DC1224" s="2043">
        <v>0</v>
      </c>
      <c r="DI1224" t="s">
        <v>3272</v>
      </c>
      <c r="DJ1224" t="s">
        <v>3272</v>
      </c>
      <c r="DK1224" s="2042">
        <f t="shared" si="21"/>
        <v>0</v>
      </c>
    </row>
    <row r="1225" spans="1:115">
      <c r="A1225" t="s">
        <v>3273</v>
      </c>
      <c r="B1225" t="s">
        <v>1080</v>
      </c>
      <c r="C1225">
        <v>359.02100000000002</v>
      </c>
      <c r="D1225">
        <v>310.161</v>
      </c>
      <c r="E1225">
        <v>46.975000000000001</v>
      </c>
      <c r="F1225">
        <v>0</v>
      </c>
      <c r="G1225" s="2043">
        <v>278601984</v>
      </c>
      <c r="H1225">
        <v>0</v>
      </c>
      <c r="I1225" s="2043">
        <v>197960</v>
      </c>
      <c r="J1225">
        <v>17.951000000000001</v>
      </c>
      <c r="K1225">
        <v>49</v>
      </c>
      <c r="L1225">
        <v>0</v>
      </c>
      <c r="M1225">
        <v>73593</v>
      </c>
      <c r="N1225">
        <v>0</v>
      </c>
      <c r="O1225">
        <v>73593</v>
      </c>
      <c r="P1225">
        <v>0</v>
      </c>
      <c r="Q1225">
        <v>0</v>
      </c>
      <c r="R1225" s="2043">
        <v>2358517</v>
      </c>
      <c r="S1225">
        <v>156643</v>
      </c>
      <c r="T1225">
        <v>0</v>
      </c>
      <c r="U1225">
        <v>0.06</v>
      </c>
      <c r="V1225">
        <v>0</v>
      </c>
      <c r="W1225">
        <v>0</v>
      </c>
      <c r="X1225">
        <v>0</v>
      </c>
      <c r="Y1225">
        <v>0</v>
      </c>
      <c r="Z1225">
        <v>0</v>
      </c>
      <c r="AA1225">
        <v>0</v>
      </c>
      <c r="AB1225">
        <v>310.161</v>
      </c>
      <c r="AC1225" s="2043">
        <v>299415041</v>
      </c>
      <c r="AD1225">
        <v>218898</v>
      </c>
      <c r="AE1225" s="2043">
        <v>2515160</v>
      </c>
      <c r="AF1225">
        <v>0.96340000000000003</v>
      </c>
      <c r="AG1225">
        <v>0</v>
      </c>
      <c r="AH1225">
        <v>0</v>
      </c>
      <c r="AI1225">
        <v>0</v>
      </c>
      <c r="AJ1225">
        <v>32.788000000000004</v>
      </c>
      <c r="AK1225">
        <v>1995</v>
      </c>
      <c r="AL1225">
        <v>0</v>
      </c>
      <c r="AM1225">
        <v>0</v>
      </c>
      <c r="AN1225">
        <v>0</v>
      </c>
      <c r="AO1225">
        <v>0</v>
      </c>
      <c r="AP1225">
        <v>3.242</v>
      </c>
      <c r="AQ1225">
        <v>0</v>
      </c>
      <c r="AR1225">
        <v>15.236000000000001</v>
      </c>
      <c r="AS1225">
        <v>0</v>
      </c>
      <c r="AT1225">
        <v>0</v>
      </c>
      <c r="AU1225">
        <v>0.79900000000000004</v>
      </c>
      <c r="AV1225">
        <v>0</v>
      </c>
      <c r="AW1225">
        <v>19.277000000000001</v>
      </c>
      <c r="AX1225">
        <v>0</v>
      </c>
      <c r="AY1225">
        <v>58.456000000000003</v>
      </c>
      <c r="AZ1225">
        <v>0</v>
      </c>
      <c r="BA1225">
        <v>1852682</v>
      </c>
      <c r="BB1225">
        <v>2734058</v>
      </c>
      <c r="BC1225">
        <v>0</v>
      </c>
      <c r="BD1225">
        <v>55959</v>
      </c>
      <c r="BE1225">
        <v>43215</v>
      </c>
      <c r="BF1225">
        <v>99174</v>
      </c>
      <c r="BG1225">
        <v>55959</v>
      </c>
      <c r="BH1225">
        <v>0</v>
      </c>
      <c r="BI1225">
        <v>0</v>
      </c>
      <c r="BJ1225">
        <v>0</v>
      </c>
      <c r="BK1225">
        <v>0</v>
      </c>
      <c r="BL1225">
        <v>278601984</v>
      </c>
      <c r="BM1225">
        <v>0</v>
      </c>
      <c r="BN1225">
        <v>936</v>
      </c>
      <c r="BO1225">
        <v>353</v>
      </c>
      <c r="BP1225">
        <v>0</v>
      </c>
      <c r="BQ1225">
        <v>0</v>
      </c>
      <c r="BR1225">
        <v>0.90340000000000009</v>
      </c>
      <c r="BS1225">
        <v>0.90340000000000009</v>
      </c>
      <c r="BT1225">
        <v>0</v>
      </c>
      <c r="BU1225">
        <v>0</v>
      </c>
      <c r="BV1225">
        <v>135</v>
      </c>
      <c r="BW1225">
        <v>9</v>
      </c>
      <c r="BX1225">
        <v>0</v>
      </c>
      <c r="BY1225">
        <v>0</v>
      </c>
      <c r="BZ1225">
        <v>1</v>
      </c>
      <c r="CA1225">
        <v>145</v>
      </c>
      <c r="CB1225">
        <v>0</v>
      </c>
      <c r="CC1225">
        <v>0</v>
      </c>
      <c r="CD1225">
        <v>0</v>
      </c>
      <c r="CE1225">
        <v>38</v>
      </c>
      <c r="CF1225">
        <v>74.654000000000011</v>
      </c>
      <c r="CG1225">
        <v>0</v>
      </c>
      <c r="CH1225">
        <v>0</v>
      </c>
      <c r="CI1225">
        <v>1</v>
      </c>
      <c r="CJ1225">
        <v>1</v>
      </c>
      <c r="CK1225">
        <v>0</v>
      </c>
      <c r="CL1225">
        <v>0</v>
      </c>
      <c r="CM1225">
        <v>46.975000000000001</v>
      </c>
      <c r="CN1225">
        <v>0</v>
      </c>
      <c r="CO1225">
        <v>0</v>
      </c>
      <c r="CP1225">
        <v>0</v>
      </c>
      <c r="CQ1225">
        <v>0</v>
      </c>
      <c r="CR1225">
        <v>0</v>
      </c>
      <c r="CS1225">
        <v>0</v>
      </c>
      <c r="CT1225">
        <v>0</v>
      </c>
      <c r="CU1225">
        <v>0</v>
      </c>
      <c r="CV1225">
        <v>5.3319999999999999</v>
      </c>
      <c r="CW1225">
        <v>2.266</v>
      </c>
      <c r="CX1225">
        <v>0</v>
      </c>
      <c r="CY1225" s="2043">
        <v>0</v>
      </c>
      <c r="CZ1225" s="2043">
        <v>0</v>
      </c>
      <c r="DA1225" s="2043">
        <v>0</v>
      </c>
      <c r="DB1225" s="2043">
        <v>0</v>
      </c>
      <c r="DC1225" s="2043">
        <v>42974</v>
      </c>
      <c r="DI1225" t="s">
        <v>3273</v>
      </c>
      <c r="DJ1225" t="s">
        <v>3273</v>
      </c>
      <c r="DK1225" s="2042">
        <f t="shared" si="21"/>
        <v>0</v>
      </c>
    </row>
    <row r="1226" spans="1:115">
      <c r="A1226" t="s">
        <v>5314</v>
      </c>
      <c r="B1226" t="s">
        <v>2106</v>
      </c>
      <c r="C1226">
        <v>684.57400000000007</v>
      </c>
      <c r="D1226">
        <v>700.22700000000009</v>
      </c>
      <c r="E1226">
        <v>13.368</v>
      </c>
      <c r="F1226">
        <v>0</v>
      </c>
      <c r="G1226" s="2043">
        <v>663601436</v>
      </c>
      <c r="H1226">
        <v>0</v>
      </c>
      <c r="I1226" s="2043">
        <v>1818216</v>
      </c>
      <c r="J1226">
        <v>34.228999999999999</v>
      </c>
      <c r="K1226">
        <v>94</v>
      </c>
      <c r="L1226">
        <v>0</v>
      </c>
      <c r="M1226">
        <v>0</v>
      </c>
      <c r="N1226">
        <v>0</v>
      </c>
      <c r="O1226">
        <v>0</v>
      </c>
      <c r="P1226">
        <v>0</v>
      </c>
      <c r="Q1226">
        <v>0</v>
      </c>
      <c r="R1226" s="2043">
        <v>6073858</v>
      </c>
      <c r="S1226">
        <v>332486</v>
      </c>
      <c r="T1226">
        <v>0</v>
      </c>
      <c r="U1226">
        <v>0.05</v>
      </c>
      <c r="V1226">
        <v>0</v>
      </c>
      <c r="W1226">
        <v>0</v>
      </c>
      <c r="X1226">
        <v>0</v>
      </c>
      <c r="Y1226">
        <v>0</v>
      </c>
      <c r="Z1226">
        <v>0.95400000000000007</v>
      </c>
      <c r="AA1226">
        <v>0.06</v>
      </c>
      <c r="AB1226">
        <v>596.36800000000005</v>
      </c>
      <c r="AC1226" s="2043">
        <v>637741913</v>
      </c>
      <c r="AD1226">
        <v>2490706</v>
      </c>
      <c r="AE1226" s="2043">
        <v>6406344</v>
      </c>
      <c r="AF1226">
        <v>0.96340000000000003</v>
      </c>
      <c r="AG1226">
        <v>0</v>
      </c>
      <c r="AH1226">
        <v>0</v>
      </c>
      <c r="AI1226">
        <v>0</v>
      </c>
      <c r="AJ1226">
        <v>120.4</v>
      </c>
      <c r="AK1226">
        <v>2995</v>
      </c>
      <c r="AL1226">
        <v>0</v>
      </c>
      <c r="AM1226">
        <v>0</v>
      </c>
      <c r="AN1226">
        <v>3.1360000000000001</v>
      </c>
      <c r="AO1226">
        <v>0</v>
      </c>
      <c r="AP1226">
        <v>5.0520000000000005</v>
      </c>
      <c r="AQ1226">
        <v>0</v>
      </c>
      <c r="AR1226">
        <v>21.851000000000003</v>
      </c>
      <c r="AS1226">
        <v>0</v>
      </c>
      <c r="AT1226">
        <v>0.47300000000000003</v>
      </c>
      <c r="AU1226">
        <v>1.3480000000000001</v>
      </c>
      <c r="AV1226">
        <v>0</v>
      </c>
      <c r="AW1226">
        <v>29.787000000000003</v>
      </c>
      <c r="AX1226">
        <v>1.0629999999999999</v>
      </c>
      <c r="AY1226">
        <v>89.797000000000011</v>
      </c>
      <c r="AZ1226">
        <v>0</v>
      </c>
      <c r="BA1226">
        <v>2047213</v>
      </c>
      <c r="BB1226">
        <v>8897050</v>
      </c>
      <c r="BC1226">
        <v>0</v>
      </c>
      <c r="BD1226">
        <v>76230</v>
      </c>
      <c r="BE1226">
        <v>0</v>
      </c>
      <c r="BF1226">
        <v>76230</v>
      </c>
      <c r="BG1226">
        <v>76230</v>
      </c>
      <c r="BH1226">
        <v>0</v>
      </c>
      <c r="BI1226">
        <v>0</v>
      </c>
      <c r="BJ1226">
        <v>0</v>
      </c>
      <c r="BK1226">
        <v>0</v>
      </c>
      <c r="BL1226">
        <v>663601436</v>
      </c>
      <c r="BM1226">
        <v>0</v>
      </c>
      <c r="BN1226">
        <v>2007</v>
      </c>
      <c r="BO1226">
        <v>1573</v>
      </c>
      <c r="BP1226">
        <v>0</v>
      </c>
      <c r="BQ1226">
        <v>0</v>
      </c>
      <c r="BR1226">
        <v>0.91339999999999999</v>
      </c>
      <c r="BS1226">
        <v>0.91339999999999999</v>
      </c>
      <c r="BT1226">
        <v>0</v>
      </c>
      <c r="BU1226">
        <v>0</v>
      </c>
      <c r="BV1226">
        <v>88</v>
      </c>
      <c r="BW1226">
        <v>151</v>
      </c>
      <c r="BX1226">
        <v>181</v>
      </c>
      <c r="BY1226">
        <v>3</v>
      </c>
      <c r="BZ1226">
        <v>68</v>
      </c>
      <c r="CA1226">
        <v>491</v>
      </c>
      <c r="CB1226">
        <v>0</v>
      </c>
      <c r="CC1226">
        <v>0</v>
      </c>
      <c r="CD1226">
        <v>0</v>
      </c>
      <c r="CE1226">
        <v>50</v>
      </c>
      <c r="CF1226">
        <v>150.08500000000001</v>
      </c>
      <c r="CG1226">
        <v>0</v>
      </c>
      <c r="CH1226">
        <v>0</v>
      </c>
      <c r="CI1226">
        <v>1</v>
      </c>
      <c r="CJ1226">
        <v>4</v>
      </c>
      <c r="CK1226">
        <v>0</v>
      </c>
      <c r="CL1226">
        <v>0</v>
      </c>
      <c r="CM1226">
        <v>13.368</v>
      </c>
      <c r="CN1226">
        <v>0</v>
      </c>
      <c r="CO1226">
        <v>0</v>
      </c>
      <c r="CP1226">
        <v>0</v>
      </c>
      <c r="CQ1226">
        <v>0</v>
      </c>
      <c r="CR1226">
        <v>0</v>
      </c>
      <c r="CS1226">
        <v>0</v>
      </c>
      <c r="CT1226">
        <v>0</v>
      </c>
      <c r="CU1226">
        <v>2.7670000000000003</v>
      </c>
      <c r="CV1226">
        <v>59.499000000000002</v>
      </c>
      <c r="CW1226">
        <v>32.395000000000003</v>
      </c>
      <c r="CX1226">
        <v>0</v>
      </c>
      <c r="CY1226" s="2043">
        <v>0</v>
      </c>
      <c r="CZ1226" s="2043">
        <v>0</v>
      </c>
      <c r="DA1226" s="2043">
        <v>0</v>
      </c>
      <c r="DB1226" s="2043">
        <v>0</v>
      </c>
      <c r="DC1226" s="2043">
        <v>202206</v>
      </c>
      <c r="DI1226" t="s">
        <v>5314</v>
      </c>
      <c r="DJ1226" t="s">
        <v>5314</v>
      </c>
      <c r="DK1226" s="2042">
        <f t="shared" si="21"/>
        <v>0</v>
      </c>
    </row>
    <row r="1227" spans="1:115">
      <c r="A1227" t="s">
        <v>5900</v>
      </c>
      <c r="B1227" t="s">
        <v>2107</v>
      </c>
      <c r="C1227">
        <v>1513.9380000000001</v>
      </c>
      <c r="D1227">
        <v>1536.2570000000001</v>
      </c>
      <c r="E1227">
        <v>160.04900000000001</v>
      </c>
      <c r="F1227">
        <v>0</v>
      </c>
      <c r="G1227" s="2043">
        <v>742123019</v>
      </c>
      <c r="H1227">
        <v>0</v>
      </c>
      <c r="I1227" s="2043">
        <v>0</v>
      </c>
      <c r="J1227">
        <v>66</v>
      </c>
      <c r="K1227">
        <v>180</v>
      </c>
      <c r="L1227">
        <v>0</v>
      </c>
      <c r="M1227">
        <v>0</v>
      </c>
      <c r="N1227">
        <v>0</v>
      </c>
      <c r="O1227">
        <v>0</v>
      </c>
      <c r="P1227">
        <v>0</v>
      </c>
      <c r="Q1227">
        <v>0</v>
      </c>
      <c r="R1227" s="2043">
        <v>6088364</v>
      </c>
      <c r="S1227">
        <v>590530</v>
      </c>
      <c r="T1227">
        <v>430349</v>
      </c>
      <c r="U1227">
        <v>0.08</v>
      </c>
      <c r="V1227">
        <v>0</v>
      </c>
      <c r="W1227">
        <v>0</v>
      </c>
      <c r="X1227">
        <v>0</v>
      </c>
      <c r="Y1227">
        <v>0</v>
      </c>
      <c r="Z1227">
        <v>0</v>
      </c>
      <c r="AA1227">
        <v>0</v>
      </c>
      <c r="AB1227">
        <v>1534.3310000000001</v>
      </c>
      <c r="AC1227" s="2043">
        <v>558835855</v>
      </c>
      <c r="AD1227">
        <v>0</v>
      </c>
      <c r="AE1227" s="2043">
        <v>7109243</v>
      </c>
      <c r="AF1227">
        <v>0.96310000000000007</v>
      </c>
      <c r="AG1227">
        <v>0</v>
      </c>
      <c r="AH1227">
        <v>0</v>
      </c>
      <c r="AI1227">
        <v>0</v>
      </c>
      <c r="AJ1227">
        <v>216.113</v>
      </c>
      <c r="AK1227">
        <v>6114</v>
      </c>
      <c r="AL1227">
        <v>0.20500000000000002</v>
      </c>
      <c r="AM1227">
        <v>0</v>
      </c>
      <c r="AN1227">
        <v>8.2830000000000013</v>
      </c>
      <c r="AO1227">
        <v>0</v>
      </c>
      <c r="AP1227">
        <v>11.925000000000001</v>
      </c>
      <c r="AQ1227">
        <v>0</v>
      </c>
      <c r="AR1227">
        <v>58.957000000000001</v>
      </c>
      <c r="AS1227">
        <v>0</v>
      </c>
      <c r="AT1227">
        <v>0.23200000000000001</v>
      </c>
      <c r="AU1227">
        <v>3.3440000000000003</v>
      </c>
      <c r="AV1227">
        <v>0</v>
      </c>
      <c r="AW1227">
        <v>75.579000000000008</v>
      </c>
      <c r="AX1227">
        <v>0.91600000000000004</v>
      </c>
      <c r="AY1227">
        <v>229.61600000000001</v>
      </c>
      <c r="AZ1227">
        <v>0</v>
      </c>
      <c r="BA1227">
        <v>9348613</v>
      </c>
      <c r="BB1227">
        <v>7109243</v>
      </c>
      <c r="BC1227">
        <v>0</v>
      </c>
      <c r="BD1227">
        <v>63147</v>
      </c>
      <c r="BE1227">
        <v>111859</v>
      </c>
      <c r="BF1227">
        <v>212366</v>
      </c>
      <c r="BG1227">
        <v>63147</v>
      </c>
      <c r="BH1227">
        <v>37360</v>
      </c>
      <c r="BI1227">
        <v>0</v>
      </c>
      <c r="BJ1227">
        <v>0</v>
      </c>
      <c r="BK1227">
        <v>0</v>
      </c>
      <c r="BL1227">
        <v>742123019</v>
      </c>
      <c r="BM1227">
        <v>0</v>
      </c>
      <c r="BN1227">
        <v>6012</v>
      </c>
      <c r="BO1227">
        <v>4334</v>
      </c>
      <c r="BP1227">
        <v>0</v>
      </c>
      <c r="BQ1227">
        <v>0</v>
      </c>
      <c r="BR1227">
        <v>0.82480000000000009</v>
      </c>
      <c r="BS1227">
        <v>0.82480000000000009</v>
      </c>
      <c r="BT1227">
        <v>0</v>
      </c>
      <c r="BU1227">
        <v>0</v>
      </c>
      <c r="BV1227">
        <v>188</v>
      </c>
      <c r="BW1227">
        <v>144</v>
      </c>
      <c r="BX1227">
        <v>520</v>
      </c>
      <c r="BY1227">
        <v>1</v>
      </c>
      <c r="BZ1227">
        <v>34</v>
      </c>
      <c r="CA1227">
        <v>887</v>
      </c>
      <c r="CB1227">
        <v>0</v>
      </c>
      <c r="CC1227">
        <v>0</v>
      </c>
      <c r="CD1227">
        <v>0</v>
      </c>
      <c r="CE1227">
        <v>116</v>
      </c>
      <c r="CF1227">
        <v>348.63100000000003</v>
      </c>
      <c r="CG1227">
        <v>0</v>
      </c>
      <c r="CH1227">
        <v>0</v>
      </c>
      <c r="CI1227">
        <v>2</v>
      </c>
      <c r="CJ1227">
        <v>10</v>
      </c>
      <c r="CK1227">
        <v>0</v>
      </c>
      <c r="CL1227">
        <v>0</v>
      </c>
      <c r="CM1227">
        <v>160.04900000000001</v>
      </c>
      <c r="CN1227">
        <v>0</v>
      </c>
      <c r="CO1227">
        <v>0</v>
      </c>
      <c r="CP1227">
        <v>0</v>
      </c>
      <c r="CQ1227">
        <v>0</v>
      </c>
      <c r="CR1227">
        <v>0</v>
      </c>
      <c r="CS1227">
        <v>0</v>
      </c>
      <c r="CT1227">
        <v>0</v>
      </c>
      <c r="CU1227">
        <v>14.147</v>
      </c>
      <c r="CV1227">
        <v>66.591999999999999</v>
      </c>
      <c r="CW1227">
        <v>79.936000000000007</v>
      </c>
      <c r="CX1227">
        <v>0</v>
      </c>
      <c r="CY1227" s="2043">
        <v>0</v>
      </c>
      <c r="CZ1227" s="2043">
        <v>0</v>
      </c>
      <c r="DA1227" s="2043">
        <v>0</v>
      </c>
      <c r="DB1227" s="2043">
        <v>0</v>
      </c>
      <c r="DC1227" s="2043">
        <v>0</v>
      </c>
      <c r="DI1227" t="s">
        <v>5900</v>
      </c>
      <c r="DJ1227" t="s">
        <v>5900</v>
      </c>
      <c r="DK1227" s="2042">
        <f t="shared" si="21"/>
        <v>0</v>
      </c>
    </row>
    <row r="1228" spans="1:115">
      <c r="A1228" t="s">
        <v>5315</v>
      </c>
      <c r="B1228" t="s">
        <v>2432</v>
      </c>
      <c r="C1228">
        <v>1096.277</v>
      </c>
      <c r="D1228">
        <v>1117.4770000000001</v>
      </c>
      <c r="E1228">
        <v>61.881</v>
      </c>
      <c r="F1228">
        <v>0</v>
      </c>
      <c r="G1228" s="2043">
        <v>585723815</v>
      </c>
      <c r="H1228">
        <v>0</v>
      </c>
      <c r="I1228" s="2043">
        <v>953605</v>
      </c>
      <c r="J1228">
        <v>54.814</v>
      </c>
      <c r="K1228">
        <v>150</v>
      </c>
      <c r="L1228">
        <v>0</v>
      </c>
      <c r="M1228">
        <v>0</v>
      </c>
      <c r="N1228">
        <v>0</v>
      </c>
      <c r="O1228">
        <v>0</v>
      </c>
      <c r="P1228">
        <v>0</v>
      </c>
      <c r="Q1228">
        <v>0</v>
      </c>
      <c r="R1228" s="2043">
        <v>4888375</v>
      </c>
      <c r="S1228">
        <v>465726</v>
      </c>
      <c r="T1228">
        <v>339397</v>
      </c>
      <c r="U1228">
        <v>0.08</v>
      </c>
      <c r="V1228">
        <v>0</v>
      </c>
      <c r="W1228">
        <v>0</v>
      </c>
      <c r="X1228">
        <v>0</v>
      </c>
      <c r="Y1228">
        <v>0</v>
      </c>
      <c r="Z1228">
        <v>0</v>
      </c>
      <c r="AA1228">
        <v>0</v>
      </c>
      <c r="AB1228">
        <v>1103.616</v>
      </c>
      <c r="AC1228" s="2043">
        <v>463660960</v>
      </c>
      <c r="AD1228">
        <v>990467</v>
      </c>
      <c r="AE1228" s="2043">
        <v>5693498</v>
      </c>
      <c r="AF1228">
        <v>0.97800000000000009</v>
      </c>
      <c r="AG1228">
        <v>0</v>
      </c>
      <c r="AH1228">
        <v>0</v>
      </c>
      <c r="AI1228">
        <v>0</v>
      </c>
      <c r="AJ1228">
        <v>198.88800000000001</v>
      </c>
      <c r="AK1228">
        <v>5807</v>
      </c>
      <c r="AL1228">
        <v>0.29200000000000004</v>
      </c>
      <c r="AM1228">
        <v>0</v>
      </c>
      <c r="AN1228">
        <v>29.172000000000001</v>
      </c>
      <c r="AO1228">
        <v>0</v>
      </c>
      <c r="AP1228">
        <v>18.425000000000001</v>
      </c>
      <c r="AQ1228">
        <v>0</v>
      </c>
      <c r="AR1228">
        <v>31.595000000000002</v>
      </c>
      <c r="AS1228">
        <v>0</v>
      </c>
      <c r="AT1228">
        <v>0.58700000000000008</v>
      </c>
      <c r="AU1228">
        <v>2.7430000000000003</v>
      </c>
      <c r="AV1228">
        <v>0</v>
      </c>
      <c r="AW1228">
        <v>56.139000000000003</v>
      </c>
      <c r="AX1228">
        <v>2.4970000000000003</v>
      </c>
      <c r="AY1228">
        <v>167.21200000000002</v>
      </c>
      <c r="AZ1228">
        <v>0</v>
      </c>
      <c r="BA1228">
        <v>8168277</v>
      </c>
      <c r="BB1228">
        <v>6683965</v>
      </c>
      <c r="BC1228">
        <v>0</v>
      </c>
      <c r="BD1228">
        <v>85671</v>
      </c>
      <c r="BE1228">
        <v>0</v>
      </c>
      <c r="BF1228">
        <v>97724</v>
      </c>
      <c r="BG1228">
        <v>85671</v>
      </c>
      <c r="BH1228">
        <v>12053</v>
      </c>
      <c r="BI1228">
        <v>0</v>
      </c>
      <c r="BJ1228">
        <v>0</v>
      </c>
      <c r="BK1228">
        <v>0</v>
      </c>
      <c r="BL1228">
        <v>585723815</v>
      </c>
      <c r="BM1228">
        <v>0</v>
      </c>
      <c r="BN1228">
        <v>3672</v>
      </c>
      <c r="BO1228">
        <v>3392</v>
      </c>
      <c r="BP1228">
        <v>0</v>
      </c>
      <c r="BQ1228">
        <v>0</v>
      </c>
      <c r="BR1228">
        <v>0.8397</v>
      </c>
      <c r="BS1228">
        <v>0.8397</v>
      </c>
      <c r="BT1228">
        <v>0</v>
      </c>
      <c r="BU1228">
        <v>0</v>
      </c>
      <c r="BV1228">
        <v>93</v>
      </c>
      <c r="BW1228">
        <v>490</v>
      </c>
      <c r="BX1228">
        <v>6</v>
      </c>
      <c r="BY1228">
        <v>209</v>
      </c>
      <c r="BZ1228">
        <v>19</v>
      </c>
      <c r="CA1228">
        <v>817</v>
      </c>
      <c r="CB1228">
        <v>0</v>
      </c>
      <c r="CC1228">
        <v>0</v>
      </c>
      <c r="CD1228">
        <v>0</v>
      </c>
      <c r="CE1228">
        <v>112</v>
      </c>
      <c r="CF1228">
        <v>286.35400000000004</v>
      </c>
      <c r="CG1228">
        <v>0</v>
      </c>
      <c r="CH1228">
        <v>0</v>
      </c>
      <c r="CI1228">
        <v>3</v>
      </c>
      <c r="CJ1228">
        <v>8</v>
      </c>
      <c r="CK1228">
        <v>0</v>
      </c>
      <c r="CL1228">
        <v>0</v>
      </c>
      <c r="CM1228">
        <v>61.881</v>
      </c>
      <c r="CN1228">
        <v>0</v>
      </c>
      <c r="CO1228">
        <v>0</v>
      </c>
      <c r="CP1228">
        <v>0</v>
      </c>
      <c r="CQ1228">
        <v>0</v>
      </c>
      <c r="CR1228">
        <v>0</v>
      </c>
      <c r="CS1228">
        <v>0</v>
      </c>
      <c r="CT1228">
        <v>0</v>
      </c>
      <c r="CU1228">
        <v>8.1880000000000006</v>
      </c>
      <c r="CV1228">
        <v>48.768000000000001</v>
      </c>
      <c r="CW1228">
        <v>76.11</v>
      </c>
      <c r="CX1228">
        <v>0</v>
      </c>
      <c r="CY1228" s="2043">
        <v>0</v>
      </c>
      <c r="CZ1228" s="2043">
        <v>0</v>
      </c>
      <c r="DA1228" s="2043">
        <v>0</v>
      </c>
      <c r="DB1228" s="2043">
        <v>0</v>
      </c>
      <c r="DC1228" s="2043">
        <v>0</v>
      </c>
      <c r="DI1228" t="s">
        <v>5315</v>
      </c>
      <c r="DJ1228" t="s">
        <v>5315</v>
      </c>
      <c r="DK1228" s="2042">
        <f t="shared" si="21"/>
        <v>0</v>
      </c>
    </row>
    <row r="1229" spans="1:115">
      <c r="A1229" t="s">
        <v>5316</v>
      </c>
      <c r="B1229" t="s">
        <v>2433</v>
      </c>
      <c r="C1229">
        <v>338.346</v>
      </c>
      <c r="D1229">
        <v>329.34800000000001</v>
      </c>
      <c r="E1229">
        <v>42.832000000000001</v>
      </c>
      <c r="F1229">
        <v>0</v>
      </c>
      <c r="G1229" s="2043">
        <v>440382969</v>
      </c>
      <c r="H1229">
        <v>0</v>
      </c>
      <c r="I1229" s="2043">
        <v>0</v>
      </c>
      <c r="J1229">
        <v>16.917000000000002</v>
      </c>
      <c r="K1229">
        <v>46</v>
      </c>
      <c r="L1229">
        <v>0</v>
      </c>
      <c r="M1229">
        <v>0</v>
      </c>
      <c r="N1229">
        <v>0</v>
      </c>
      <c r="O1229">
        <v>0</v>
      </c>
      <c r="P1229">
        <v>0</v>
      </c>
      <c r="Q1229">
        <v>0</v>
      </c>
      <c r="R1229" s="2043">
        <v>3623068</v>
      </c>
      <c r="S1229">
        <v>220381</v>
      </c>
      <c r="T1229">
        <v>0</v>
      </c>
      <c r="U1229">
        <v>0.05</v>
      </c>
      <c r="V1229">
        <v>0</v>
      </c>
      <c r="W1229">
        <v>0</v>
      </c>
      <c r="X1229">
        <v>0</v>
      </c>
      <c r="Y1229">
        <v>74240</v>
      </c>
      <c r="Z1229">
        <v>0</v>
      </c>
      <c r="AA1229">
        <v>0</v>
      </c>
      <c r="AB1229">
        <v>329.34800000000001</v>
      </c>
      <c r="AC1229" s="2043">
        <v>325274819</v>
      </c>
      <c r="AD1229">
        <v>0</v>
      </c>
      <c r="AE1229" s="2043">
        <v>3843449</v>
      </c>
      <c r="AF1229">
        <v>0.872</v>
      </c>
      <c r="AG1229">
        <v>0</v>
      </c>
      <c r="AH1229">
        <v>0</v>
      </c>
      <c r="AI1229">
        <v>0</v>
      </c>
      <c r="AJ1229">
        <v>53.688000000000002</v>
      </c>
      <c r="AK1229">
        <v>1319</v>
      </c>
      <c r="AL1229">
        <v>8.900000000000001E-2</v>
      </c>
      <c r="AM1229">
        <v>0</v>
      </c>
      <c r="AN1229">
        <v>1.413</v>
      </c>
      <c r="AO1229">
        <v>0</v>
      </c>
      <c r="AP1229">
        <v>0.51100000000000001</v>
      </c>
      <c r="AQ1229">
        <v>0</v>
      </c>
      <c r="AR1229">
        <v>10.749000000000001</v>
      </c>
      <c r="AS1229">
        <v>0</v>
      </c>
      <c r="AT1229">
        <v>0</v>
      </c>
      <c r="AU1229">
        <v>0.50800000000000001</v>
      </c>
      <c r="AV1229">
        <v>0</v>
      </c>
      <c r="AW1229">
        <v>11.857000000000001</v>
      </c>
      <c r="AX1229">
        <v>0</v>
      </c>
      <c r="AY1229">
        <v>36.612000000000002</v>
      </c>
      <c r="AZ1229">
        <v>0</v>
      </c>
      <c r="BA1229">
        <v>548884</v>
      </c>
      <c r="BB1229">
        <v>3843449</v>
      </c>
      <c r="BC1229">
        <v>0</v>
      </c>
      <c r="BD1229">
        <v>31209</v>
      </c>
      <c r="BE1229">
        <v>0</v>
      </c>
      <c r="BF1229">
        <v>31209</v>
      </c>
      <c r="BG1229">
        <v>31209</v>
      </c>
      <c r="BH1229">
        <v>0</v>
      </c>
      <c r="BI1229">
        <v>0</v>
      </c>
      <c r="BJ1229">
        <v>0</v>
      </c>
      <c r="BK1229">
        <v>0</v>
      </c>
      <c r="BL1229">
        <v>440382969</v>
      </c>
      <c r="BM1229">
        <v>0</v>
      </c>
      <c r="BN1229">
        <v>1512</v>
      </c>
      <c r="BO1229">
        <v>631</v>
      </c>
      <c r="BP1229">
        <v>0</v>
      </c>
      <c r="BQ1229">
        <v>0</v>
      </c>
      <c r="BR1229">
        <v>0.82200000000000006</v>
      </c>
      <c r="BS1229">
        <v>0.82200000000000006</v>
      </c>
      <c r="BT1229">
        <v>0</v>
      </c>
      <c r="BU1229">
        <v>0</v>
      </c>
      <c r="BV1229">
        <v>143</v>
      </c>
      <c r="BW1229">
        <v>85</v>
      </c>
      <c r="BX1229">
        <v>2</v>
      </c>
      <c r="BY1229">
        <v>0</v>
      </c>
      <c r="BZ1229">
        <v>3</v>
      </c>
      <c r="CA1229">
        <v>233</v>
      </c>
      <c r="CB1229">
        <v>0</v>
      </c>
      <c r="CC1229">
        <v>0</v>
      </c>
      <c r="CD1229">
        <v>0</v>
      </c>
      <c r="CE1229">
        <v>25</v>
      </c>
      <c r="CF1229">
        <v>87.195999999999998</v>
      </c>
      <c r="CG1229">
        <v>0</v>
      </c>
      <c r="CH1229">
        <v>0</v>
      </c>
      <c r="CI1229">
        <v>3</v>
      </c>
      <c r="CJ1229">
        <v>0</v>
      </c>
      <c r="CK1229">
        <v>0</v>
      </c>
      <c r="CL1229">
        <v>0</v>
      </c>
      <c r="CM1229">
        <v>42.832000000000001</v>
      </c>
      <c r="CN1229">
        <v>0</v>
      </c>
      <c r="CO1229">
        <v>0</v>
      </c>
      <c r="CP1229">
        <v>0</v>
      </c>
      <c r="CQ1229">
        <v>0</v>
      </c>
      <c r="CR1229">
        <v>0</v>
      </c>
      <c r="CS1229">
        <v>0</v>
      </c>
      <c r="CT1229">
        <v>0</v>
      </c>
      <c r="CU1229">
        <v>4.3600000000000003</v>
      </c>
      <c r="CV1229">
        <v>21.822000000000003</v>
      </c>
      <c r="CW1229">
        <v>7.0920000000000005</v>
      </c>
      <c r="CX1229">
        <v>0</v>
      </c>
      <c r="CY1229" s="2043">
        <v>74240</v>
      </c>
      <c r="CZ1229" s="2043">
        <v>0</v>
      </c>
      <c r="DA1229" s="2043">
        <v>0</v>
      </c>
      <c r="DB1229" s="2043">
        <v>0</v>
      </c>
      <c r="DC1229" s="2043">
        <v>87281</v>
      </c>
      <c r="DI1229" t="s">
        <v>5316</v>
      </c>
      <c r="DJ1229" t="s">
        <v>5316</v>
      </c>
      <c r="DK1229" s="2042">
        <f t="shared" si="21"/>
        <v>0</v>
      </c>
    </row>
    <row r="1230" spans="1:115">
      <c r="A1230" t="s">
        <v>5317</v>
      </c>
      <c r="B1230" t="s">
        <v>598</v>
      </c>
      <c r="C1230">
        <v>786.88200000000006</v>
      </c>
      <c r="D1230">
        <v>787.29300000000001</v>
      </c>
      <c r="E1230">
        <v>15.996</v>
      </c>
      <c r="F1230">
        <v>0</v>
      </c>
      <c r="G1230" s="2043">
        <v>382514438</v>
      </c>
      <c r="H1230">
        <v>0</v>
      </c>
      <c r="I1230" s="2043">
        <v>139638</v>
      </c>
      <c r="J1230">
        <v>39.344000000000001</v>
      </c>
      <c r="K1230">
        <v>108</v>
      </c>
      <c r="L1230">
        <v>0</v>
      </c>
      <c r="M1230">
        <v>0</v>
      </c>
      <c r="N1230">
        <v>0</v>
      </c>
      <c r="O1230">
        <v>0</v>
      </c>
      <c r="P1230">
        <v>0</v>
      </c>
      <c r="Q1230">
        <v>0</v>
      </c>
      <c r="R1230" s="2043">
        <v>3109784</v>
      </c>
      <c r="S1230">
        <v>302655</v>
      </c>
      <c r="T1230">
        <v>220561</v>
      </c>
      <c r="U1230">
        <v>0.08</v>
      </c>
      <c r="V1230">
        <v>0</v>
      </c>
      <c r="W1230">
        <v>0</v>
      </c>
      <c r="X1230">
        <v>0</v>
      </c>
      <c r="Y1230">
        <v>0</v>
      </c>
      <c r="Z1230">
        <v>0</v>
      </c>
      <c r="AA1230">
        <v>0</v>
      </c>
      <c r="AB1230">
        <v>785.88800000000003</v>
      </c>
      <c r="AC1230" s="2043">
        <v>289237709</v>
      </c>
      <c r="AD1230">
        <v>149000</v>
      </c>
      <c r="AE1230" s="2043">
        <v>3633000</v>
      </c>
      <c r="AF1230">
        <v>0.96030000000000004</v>
      </c>
      <c r="AG1230">
        <v>0</v>
      </c>
      <c r="AH1230">
        <v>0</v>
      </c>
      <c r="AI1230">
        <v>0</v>
      </c>
      <c r="AJ1230">
        <v>98.725000000000009</v>
      </c>
      <c r="AK1230">
        <v>4257</v>
      </c>
      <c r="AL1230">
        <v>0.503</v>
      </c>
      <c r="AM1230">
        <v>0</v>
      </c>
      <c r="AN1230">
        <v>12.14</v>
      </c>
      <c r="AO1230">
        <v>0</v>
      </c>
      <c r="AP1230">
        <v>6.7240000000000002</v>
      </c>
      <c r="AQ1230">
        <v>0</v>
      </c>
      <c r="AR1230">
        <v>28.7</v>
      </c>
      <c r="AS1230">
        <v>0</v>
      </c>
      <c r="AT1230">
        <v>0.89900000000000002</v>
      </c>
      <c r="AU1230">
        <v>1.83</v>
      </c>
      <c r="AV1230">
        <v>0</v>
      </c>
      <c r="AW1230">
        <v>40.431000000000004</v>
      </c>
      <c r="AX1230">
        <v>1.7750000000000001</v>
      </c>
      <c r="AY1230">
        <v>122.69900000000001</v>
      </c>
      <c r="AZ1230">
        <v>0</v>
      </c>
      <c r="BA1230">
        <v>6350540</v>
      </c>
      <c r="BB1230">
        <v>3782000</v>
      </c>
      <c r="BC1230">
        <v>0</v>
      </c>
      <c r="BD1230">
        <v>49106</v>
      </c>
      <c r="BE1230">
        <v>0</v>
      </c>
      <c r="BF1230">
        <v>49106</v>
      </c>
      <c r="BG1230">
        <v>49106</v>
      </c>
      <c r="BH1230">
        <v>0</v>
      </c>
      <c r="BI1230">
        <v>0</v>
      </c>
      <c r="BJ1230">
        <v>0</v>
      </c>
      <c r="BK1230">
        <v>0</v>
      </c>
      <c r="BL1230">
        <v>382514438</v>
      </c>
      <c r="BM1230">
        <v>0</v>
      </c>
      <c r="BN1230">
        <v>2205</v>
      </c>
      <c r="BO1230">
        <v>2012</v>
      </c>
      <c r="BP1230">
        <v>0</v>
      </c>
      <c r="BQ1230">
        <v>0</v>
      </c>
      <c r="BR1230">
        <v>0.82200000000000006</v>
      </c>
      <c r="BS1230">
        <v>0.82200000000000006</v>
      </c>
      <c r="BT1230">
        <v>0</v>
      </c>
      <c r="BU1230">
        <v>0</v>
      </c>
      <c r="BV1230">
        <v>39</v>
      </c>
      <c r="BW1230">
        <v>341</v>
      </c>
      <c r="BX1230">
        <v>14</v>
      </c>
      <c r="BY1230">
        <v>3</v>
      </c>
      <c r="BZ1230">
        <v>17</v>
      </c>
      <c r="CA1230">
        <v>414</v>
      </c>
      <c r="CB1230">
        <v>0</v>
      </c>
      <c r="CC1230">
        <v>0</v>
      </c>
      <c r="CD1230">
        <v>0</v>
      </c>
      <c r="CE1230">
        <v>81</v>
      </c>
      <c r="CF1230">
        <v>121</v>
      </c>
      <c r="CG1230">
        <v>0</v>
      </c>
      <c r="CH1230">
        <v>0</v>
      </c>
      <c r="CI1230">
        <v>1</v>
      </c>
      <c r="CJ1230">
        <v>1</v>
      </c>
      <c r="CK1230">
        <v>0</v>
      </c>
      <c r="CL1230">
        <v>0</v>
      </c>
      <c r="CM1230">
        <v>15.996</v>
      </c>
      <c r="CN1230">
        <v>0</v>
      </c>
      <c r="CO1230">
        <v>0</v>
      </c>
      <c r="CP1230">
        <v>0</v>
      </c>
      <c r="CQ1230">
        <v>0</v>
      </c>
      <c r="CR1230">
        <v>0</v>
      </c>
      <c r="CS1230">
        <v>0</v>
      </c>
      <c r="CT1230">
        <v>0</v>
      </c>
      <c r="CU1230">
        <v>6.1859999999999999</v>
      </c>
      <c r="CV1230">
        <v>48.684000000000005</v>
      </c>
      <c r="CW1230">
        <v>29.949000000000002</v>
      </c>
      <c r="CX1230">
        <v>0</v>
      </c>
      <c r="CY1230" s="2043">
        <v>0</v>
      </c>
      <c r="CZ1230" s="2043">
        <v>0</v>
      </c>
      <c r="DA1230" s="2043">
        <v>0</v>
      </c>
      <c r="DB1230" s="2043">
        <v>0</v>
      </c>
      <c r="DC1230" s="2043">
        <v>0</v>
      </c>
      <c r="DI1230" t="s">
        <v>5317</v>
      </c>
      <c r="DJ1230" t="s">
        <v>5317</v>
      </c>
      <c r="DK1230" s="2042">
        <f t="shared" si="21"/>
        <v>0</v>
      </c>
    </row>
    <row r="1231" spans="1:115">
      <c r="A1231" t="s">
        <v>5901</v>
      </c>
      <c r="B1231" t="s">
        <v>638</v>
      </c>
      <c r="C1231">
        <v>1429.69</v>
      </c>
      <c r="D1231">
        <v>1374.7720000000002</v>
      </c>
      <c r="E1231">
        <v>120.873</v>
      </c>
      <c r="F1231">
        <v>0</v>
      </c>
      <c r="G1231" s="2043">
        <v>582048121</v>
      </c>
      <c r="H1231">
        <v>0</v>
      </c>
      <c r="I1231" s="2043">
        <v>1705744</v>
      </c>
      <c r="J1231">
        <v>71.484999999999999</v>
      </c>
      <c r="K1231">
        <v>195</v>
      </c>
      <c r="L1231">
        <v>0</v>
      </c>
      <c r="M1231">
        <v>0</v>
      </c>
      <c r="N1231">
        <v>0</v>
      </c>
      <c r="O1231">
        <v>0</v>
      </c>
      <c r="P1231">
        <v>0</v>
      </c>
      <c r="Q1231">
        <v>0</v>
      </c>
      <c r="R1231" s="2043">
        <v>4874624</v>
      </c>
      <c r="S1231">
        <v>460087</v>
      </c>
      <c r="T1231">
        <v>335289</v>
      </c>
      <c r="U1231">
        <v>0.08</v>
      </c>
      <c r="V1231">
        <v>0</v>
      </c>
      <c r="W1231">
        <v>0</v>
      </c>
      <c r="X1231">
        <v>0</v>
      </c>
      <c r="Y1231">
        <v>66858</v>
      </c>
      <c r="Z1231">
        <v>0</v>
      </c>
      <c r="AA1231">
        <v>0</v>
      </c>
      <c r="AB1231">
        <v>1374.7720000000002</v>
      </c>
      <c r="AC1231" s="2043">
        <v>505052944</v>
      </c>
      <c r="AD1231">
        <v>1687000</v>
      </c>
      <c r="AE1231" s="2043">
        <v>5670000</v>
      </c>
      <c r="AF1231">
        <v>0.9859</v>
      </c>
      <c r="AG1231">
        <v>0</v>
      </c>
      <c r="AH1231">
        <v>0</v>
      </c>
      <c r="AI1231">
        <v>0</v>
      </c>
      <c r="AJ1231">
        <v>231.96300000000002</v>
      </c>
      <c r="AK1231">
        <v>7570</v>
      </c>
      <c r="AL1231">
        <v>2.2000000000000002E-2</v>
      </c>
      <c r="AM1231">
        <v>0</v>
      </c>
      <c r="AN1231">
        <v>31.220000000000002</v>
      </c>
      <c r="AO1231">
        <v>0</v>
      </c>
      <c r="AP1231">
        <v>0</v>
      </c>
      <c r="AQ1231">
        <v>0</v>
      </c>
      <c r="AR1231">
        <v>58.538000000000004</v>
      </c>
      <c r="AS1231">
        <v>0</v>
      </c>
      <c r="AT1231">
        <v>14.716000000000001</v>
      </c>
      <c r="AU1231">
        <v>3.331</v>
      </c>
      <c r="AV1231">
        <v>0</v>
      </c>
      <c r="AW1231">
        <v>77.183000000000007</v>
      </c>
      <c r="AX1231">
        <v>0.57600000000000007</v>
      </c>
      <c r="AY1231">
        <v>237.852</v>
      </c>
      <c r="AZ1231">
        <v>0</v>
      </c>
      <c r="BA1231">
        <v>11895684</v>
      </c>
      <c r="BB1231">
        <v>7357000</v>
      </c>
      <c r="BC1231">
        <v>0</v>
      </c>
      <c r="BD1231">
        <v>107658</v>
      </c>
      <c r="BE1231">
        <v>5715</v>
      </c>
      <c r="BF1231">
        <v>113373</v>
      </c>
      <c r="BG1231">
        <v>107658</v>
      </c>
      <c r="BH1231">
        <v>0</v>
      </c>
      <c r="BI1231">
        <v>-5418</v>
      </c>
      <c r="BJ1231">
        <v>0</v>
      </c>
      <c r="BK1231">
        <v>0</v>
      </c>
      <c r="BL1231">
        <v>582048121</v>
      </c>
      <c r="BM1231">
        <v>0</v>
      </c>
      <c r="BN1231">
        <v>5112</v>
      </c>
      <c r="BO1231">
        <v>3231</v>
      </c>
      <c r="BP1231">
        <v>0</v>
      </c>
      <c r="BQ1231">
        <v>0</v>
      </c>
      <c r="BR1231">
        <v>0.84760000000000002</v>
      </c>
      <c r="BS1231">
        <v>0.84760000000000002</v>
      </c>
      <c r="BT1231">
        <v>0</v>
      </c>
      <c r="BU1231">
        <v>0</v>
      </c>
      <c r="BV1231">
        <v>400</v>
      </c>
      <c r="BW1231">
        <v>67</v>
      </c>
      <c r="BX1231">
        <v>394</v>
      </c>
      <c r="BY1231">
        <v>84</v>
      </c>
      <c r="BZ1231">
        <v>20</v>
      </c>
      <c r="CA1231">
        <v>965</v>
      </c>
      <c r="CB1231">
        <v>0</v>
      </c>
      <c r="CC1231">
        <v>0</v>
      </c>
      <c r="CD1231">
        <v>0</v>
      </c>
      <c r="CE1231">
        <v>113</v>
      </c>
      <c r="CF1231">
        <v>313.85300000000001</v>
      </c>
      <c r="CG1231">
        <v>0</v>
      </c>
      <c r="CH1231">
        <v>0</v>
      </c>
      <c r="CI1231">
        <v>5</v>
      </c>
      <c r="CJ1231">
        <v>13</v>
      </c>
      <c r="CK1231">
        <v>0</v>
      </c>
      <c r="CL1231">
        <v>0</v>
      </c>
      <c r="CM1231">
        <v>120.873</v>
      </c>
      <c r="CN1231">
        <v>0</v>
      </c>
      <c r="CO1231">
        <v>0</v>
      </c>
      <c r="CP1231">
        <v>0</v>
      </c>
      <c r="CQ1231">
        <v>0</v>
      </c>
      <c r="CR1231">
        <v>0</v>
      </c>
      <c r="CS1231">
        <v>0</v>
      </c>
      <c r="CT1231">
        <v>0</v>
      </c>
      <c r="CU1231">
        <v>30.856000000000002</v>
      </c>
      <c r="CV1231">
        <v>154.20000000000002</v>
      </c>
      <c r="CW1231">
        <v>119.795</v>
      </c>
      <c r="CX1231">
        <v>0</v>
      </c>
      <c r="CY1231" s="2043">
        <v>72276</v>
      </c>
      <c r="CZ1231" s="2043">
        <v>0</v>
      </c>
      <c r="DA1231" s="2043">
        <v>0</v>
      </c>
      <c r="DB1231" s="2043">
        <v>0</v>
      </c>
      <c r="DC1231" s="2043">
        <v>0</v>
      </c>
      <c r="DI1231" t="s">
        <v>5901</v>
      </c>
      <c r="DJ1231" t="s">
        <v>5901</v>
      </c>
      <c r="DK1231" s="2042">
        <f t="shared" si="21"/>
        <v>0</v>
      </c>
    </row>
    <row r="1232" spans="1:115">
      <c r="A1232" t="s">
        <v>5318</v>
      </c>
      <c r="B1232" t="s">
        <v>639</v>
      </c>
      <c r="C1232">
        <v>1488.3010000000002</v>
      </c>
      <c r="D1232">
        <v>1544.498</v>
      </c>
      <c r="E1232">
        <v>283.45100000000002</v>
      </c>
      <c r="F1232">
        <v>0</v>
      </c>
      <c r="G1232" s="2043">
        <v>921542867</v>
      </c>
      <c r="H1232">
        <v>0</v>
      </c>
      <c r="I1232" s="2043">
        <v>4421312</v>
      </c>
      <c r="J1232">
        <v>74.415000000000006</v>
      </c>
      <c r="K1232">
        <v>203</v>
      </c>
      <c r="L1232">
        <v>0</v>
      </c>
      <c r="M1232">
        <v>0</v>
      </c>
      <c r="N1232">
        <v>0</v>
      </c>
      <c r="O1232">
        <v>0</v>
      </c>
      <c r="P1232">
        <v>0</v>
      </c>
      <c r="Q1232">
        <v>0</v>
      </c>
      <c r="R1232" s="2043">
        <v>8244064</v>
      </c>
      <c r="S1232">
        <v>451284</v>
      </c>
      <c r="T1232">
        <v>0</v>
      </c>
      <c r="U1232">
        <v>0.05</v>
      </c>
      <c r="V1232">
        <v>0</v>
      </c>
      <c r="W1232">
        <v>0</v>
      </c>
      <c r="X1232">
        <v>0</v>
      </c>
      <c r="Y1232">
        <v>1193040</v>
      </c>
      <c r="Z1232">
        <v>0</v>
      </c>
      <c r="AA1232">
        <v>0</v>
      </c>
      <c r="AB1232">
        <v>1520.5650000000001</v>
      </c>
      <c r="AC1232" s="2043">
        <v>1431732560</v>
      </c>
      <c r="AD1232">
        <v>3573405</v>
      </c>
      <c r="AE1232" s="2043">
        <v>8695348</v>
      </c>
      <c r="AF1232">
        <v>0.96340000000000003</v>
      </c>
      <c r="AG1232">
        <v>0</v>
      </c>
      <c r="AH1232">
        <v>0</v>
      </c>
      <c r="AI1232">
        <v>0</v>
      </c>
      <c r="AJ1232">
        <v>249.01300000000001</v>
      </c>
      <c r="AK1232">
        <v>4356</v>
      </c>
      <c r="AL1232">
        <v>0</v>
      </c>
      <c r="AM1232">
        <v>0</v>
      </c>
      <c r="AN1232">
        <v>24.886000000000003</v>
      </c>
      <c r="AO1232">
        <v>0</v>
      </c>
      <c r="AP1232">
        <v>0</v>
      </c>
      <c r="AQ1232">
        <v>0</v>
      </c>
      <c r="AR1232">
        <v>28.114000000000001</v>
      </c>
      <c r="AS1232">
        <v>0</v>
      </c>
      <c r="AT1232">
        <v>14.756</v>
      </c>
      <c r="AU1232">
        <v>2.9630000000000001</v>
      </c>
      <c r="AV1232">
        <v>0</v>
      </c>
      <c r="AW1232">
        <v>45.833000000000006</v>
      </c>
      <c r="AX1232">
        <v>0</v>
      </c>
      <c r="AY1232">
        <v>143.42500000000001</v>
      </c>
      <c r="AZ1232">
        <v>0</v>
      </c>
      <c r="BA1232">
        <v>7068358</v>
      </c>
      <c r="BB1232">
        <v>12268753</v>
      </c>
      <c r="BC1232">
        <v>0</v>
      </c>
      <c r="BD1232">
        <v>53107</v>
      </c>
      <c r="BE1232">
        <v>15685</v>
      </c>
      <c r="BF1232">
        <v>68792</v>
      </c>
      <c r="BG1232">
        <v>53107</v>
      </c>
      <c r="BH1232">
        <v>0</v>
      </c>
      <c r="BI1232">
        <v>0</v>
      </c>
      <c r="BJ1232">
        <v>0</v>
      </c>
      <c r="BK1232">
        <v>0</v>
      </c>
      <c r="BL1232">
        <v>921542867</v>
      </c>
      <c r="BM1232">
        <v>0</v>
      </c>
      <c r="BN1232">
        <v>6192</v>
      </c>
      <c r="BO1232">
        <v>4804</v>
      </c>
      <c r="BP1232">
        <v>0</v>
      </c>
      <c r="BQ1232">
        <v>0</v>
      </c>
      <c r="BR1232">
        <v>0.91339999999999999</v>
      </c>
      <c r="BS1232">
        <v>0.91339999999999999</v>
      </c>
      <c r="BT1232">
        <v>605273</v>
      </c>
      <c r="BU1232">
        <v>587767</v>
      </c>
      <c r="BV1232">
        <v>428</v>
      </c>
      <c r="BW1232">
        <v>633</v>
      </c>
      <c r="BX1232">
        <v>0</v>
      </c>
      <c r="BY1232">
        <v>8</v>
      </c>
      <c r="BZ1232">
        <v>1</v>
      </c>
      <c r="CA1232">
        <v>1070</v>
      </c>
      <c r="CB1232">
        <v>0</v>
      </c>
      <c r="CC1232">
        <v>0</v>
      </c>
      <c r="CD1232">
        <v>0</v>
      </c>
      <c r="CE1232">
        <v>50</v>
      </c>
      <c r="CF1232">
        <v>355.66700000000003</v>
      </c>
      <c r="CG1232">
        <v>0</v>
      </c>
      <c r="CH1232">
        <v>0</v>
      </c>
      <c r="CI1232">
        <v>15</v>
      </c>
      <c r="CJ1232">
        <v>29</v>
      </c>
      <c r="CK1232">
        <v>1</v>
      </c>
      <c r="CL1232">
        <v>0</v>
      </c>
      <c r="CM1232">
        <v>283.45100000000002</v>
      </c>
      <c r="CN1232">
        <v>0</v>
      </c>
      <c r="CO1232">
        <v>0</v>
      </c>
      <c r="CP1232">
        <v>0</v>
      </c>
      <c r="CQ1232">
        <v>0</v>
      </c>
      <c r="CR1232">
        <v>0</v>
      </c>
      <c r="CS1232">
        <v>0</v>
      </c>
      <c r="CT1232">
        <v>0</v>
      </c>
      <c r="CU1232">
        <v>0</v>
      </c>
      <c r="CV1232">
        <v>107.35000000000001</v>
      </c>
      <c r="CW1232">
        <v>29.566000000000003</v>
      </c>
      <c r="CX1232">
        <v>605273</v>
      </c>
      <c r="CY1232" s="2043">
        <v>0</v>
      </c>
      <c r="CZ1232" s="2043">
        <v>0</v>
      </c>
      <c r="DA1232" s="2043">
        <v>0</v>
      </c>
      <c r="DB1232" s="2043">
        <v>0</v>
      </c>
      <c r="DC1232" s="2043">
        <v>138214</v>
      </c>
      <c r="DI1232" t="s">
        <v>5318</v>
      </c>
      <c r="DJ1232" t="s">
        <v>5318</v>
      </c>
      <c r="DK1232" s="2042">
        <f t="shared" si="21"/>
        <v>0</v>
      </c>
    </row>
    <row r="1233" spans="1:115">
      <c r="A1233" t="s">
        <v>5319</v>
      </c>
      <c r="B1233" t="s">
        <v>1385</v>
      </c>
      <c r="C1233">
        <v>377.238</v>
      </c>
      <c r="D1233">
        <v>458.17500000000001</v>
      </c>
      <c r="E1233">
        <v>50.622</v>
      </c>
      <c r="F1233">
        <v>0</v>
      </c>
      <c r="G1233" s="2043">
        <v>976457199</v>
      </c>
      <c r="H1233">
        <v>0</v>
      </c>
      <c r="I1233" s="2043">
        <v>3519250</v>
      </c>
      <c r="J1233">
        <v>18.862000000000002</v>
      </c>
      <c r="K1233">
        <v>52</v>
      </c>
      <c r="L1233">
        <v>0</v>
      </c>
      <c r="M1233">
        <v>0</v>
      </c>
      <c r="N1233">
        <v>0</v>
      </c>
      <c r="O1233">
        <v>0</v>
      </c>
      <c r="P1233">
        <v>0</v>
      </c>
      <c r="Q1233">
        <v>0</v>
      </c>
      <c r="R1233" s="2043">
        <v>8831119</v>
      </c>
      <c r="S1233">
        <v>483420</v>
      </c>
      <c r="T1233">
        <v>0</v>
      </c>
      <c r="U1233">
        <v>0.05</v>
      </c>
      <c r="V1233">
        <v>0</v>
      </c>
      <c r="W1233">
        <v>4406474</v>
      </c>
      <c r="X1233">
        <v>0</v>
      </c>
      <c r="Y1233">
        <v>0</v>
      </c>
      <c r="Z1233">
        <v>0</v>
      </c>
      <c r="AA1233">
        <v>6.8000000000000005E-2</v>
      </c>
      <c r="AB1233">
        <v>415.92500000000001</v>
      </c>
      <c r="AC1233" s="2043">
        <v>828798015</v>
      </c>
      <c r="AD1233">
        <v>4431706</v>
      </c>
      <c r="AE1233" s="2043">
        <v>9314539</v>
      </c>
      <c r="AF1233">
        <v>0.96340000000000003</v>
      </c>
      <c r="AG1233">
        <v>0</v>
      </c>
      <c r="AH1233">
        <v>4406474</v>
      </c>
      <c r="AI1233">
        <v>0</v>
      </c>
      <c r="AJ1233">
        <v>67.763000000000005</v>
      </c>
      <c r="AK1233">
        <v>1600</v>
      </c>
      <c r="AL1233">
        <v>0.14200000000000002</v>
      </c>
      <c r="AM1233">
        <v>0</v>
      </c>
      <c r="AN1233">
        <v>10.223000000000001</v>
      </c>
      <c r="AO1233">
        <v>0</v>
      </c>
      <c r="AP1233">
        <v>2.2250000000000001</v>
      </c>
      <c r="AQ1233">
        <v>0</v>
      </c>
      <c r="AR1233">
        <v>8.43</v>
      </c>
      <c r="AS1233">
        <v>0</v>
      </c>
      <c r="AT1233">
        <v>0</v>
      </c>
      <c r="AU1233">
        <v>0.62</v>
      </c>
      <c r="AV1233">
        <v>0</v>
      </c>
      <c r="AW1233">
        <v>11.417</v>
      </c>
      <c r="AX1233">
        <v>0</v>
      </c>
      <c r="AY1233">
        <v>35.108000000000004</v>
      </c>
      <c r="AZ1233">
        <v>0</v>
      </c>
      <c r="BA1233">
        <v>248024</v>
      </c>
      <c r="BB1233">
        <v>13746245</v>
      </c>
      <c r="BC1233">
        <v>0</v>
      </c>
      <c r="BD1233">
        <v>57069</v>
      </c>
      <c r="BE1233">
        <v>0</v>
      </c>
      <c r="BF1233">
        <v>57069</v>
      </c>
      <c r="BG1233">
        <v>57069</v>
      </c>
      <c r="BH1233">
        <v>0</v>
      </c>
      <c r="BI1233">
        <v>0</v>
      </c>
      <c r="BJ1233">
        <v>0</v>
      </c>
      <c r="BK1233">
        <v>0</v>
      </c>
      <c r="BL1233">
        <v>976457199</v>
      </c>
      <c r="BM1233">
        <v>0</v>
      </c>
      <c r="BN1233">
        <v>1764</v>
      </c>
      <c r="BO1233">
        <v>931</v>
      </c>
      <c r="BP1233">
        <v>0</v>
      </c>
      <c r="BQ1233">
        <v>0</v>
      </c>
      <c r="BR1233">
        <v>0.91339999999999999</v>
      </c>
      <c r="BS1233">
        <v>0.91339999999999999</v>
      </c>
      <c r="BT1233">
        <v>0</v>
      </c>
      <c r="BU1233">
        <v>0</v>
      </c>
      <c r="BV1233">
        <v>6</v>
      </c>
      <c r="BW1233">
        <v>253</v>
      </c>
      <c r="BX1233">
        <v>0</v>
      </c>
      <c r="BY1233">
        <v>0</v>
      </c>
      <c r="BZ1233">
        <v>23</v>
      </c>
      <c r="CA1233">
        <v>282</v>
      </c>
      <c r="CB1233">
        <v>0</v>
      </c>
      <c r="CC1233">
        <v>0</v>
      </c>
      <c r="CD1233">
        <v>0</v>
      </c>
      <c r="CE1233">
        <v>27</v>
      </c>
      <c r="CF1233">
        <v>104.86</v>
      </c>
      <c r="CG1233">
        <v>0</v>
      </c>
      <c r="CH1233">
        <v>0</v>
      </c>
      <c r="CI1233">
        <v>3</v>
      </c>
      <c r="CJ1233">
        <v>2</v>
      </c>
      <c r="CK1233">
        <v>0</v>
      </c>
      <c r="CL1233">
        <v>0</v>
      </c>
      <c r="CM1233">
        <v>50.622</v>
      </c>
      <c r="CN1233">
        <v>0</v>
      </c>
      <c r="CO1233">
        <v>0</v>
      </c>
      <c r="CP1233">
        <v>0</v>
      </c>
      <c r="CQ1233">
        <v>0</v>
      </c>
      <c r="CR1233">
        <v>0</v>
      </c>
      <c r="CS1233">
        <v>0</v>
      </c>
      <c r="CT1233">
        <v>0</v>
      </c>
      <c r="CU1233">
        <v>0</v>
      </c>
      <c r="CV1233">
        <v>27.456000000000003</v>
      </c>
      <c r="CW1233">
        <v>6.1210000000000004</v>
      </c>
      <c r="CX1233">
        <v>0</v>
      </c>
      <c r="CY1233" s="2043">
        <v>0</v>
      </c>
      <c r="CZ1233" s="2043">
        <v>0</v>
      </c>
      <c r="DA1233" s="2043">
        <v>0</v>
      </c>
      <c r="DB1233" s="2043">
        <v>0</v>
      </c>
      <c r="DC1233" s="2043">
        <v>162689</v>
      </c>
      <c r="DI1233" t="s">
        <v>5319</v>
      </c>
      <c r="DJ1233" t="s">
        <v>5319</v>
      </c>
      <c r="DK1233" s="2042">
        <f t="shared" si="21"/>
        <v>0</v>
      </c>
    </row>
    <row r="1234" spans="1:115">
      <c r="A1234" t="s">
        <v>3274</v>
      </c>
      <c r="B1234" t="s">
        <v>860</v>
      </c>
      <c r="C1234">
        <v>2123.69</v>
      </c>
      <c r="D1234">
        <v>2254.4900000000002</v>
      </c>
      <c r="E1234">
        <v>216.48600000000002</v>
      </c>
      <c r="F1234">
        <v>0</v>
      </c>
      <c r="G1234" s="2043">
        <v>789438679</v>
      </c>
      <c r="H1234">
        <v>0</v>
      </c>
      <c r="I1234" s="2043">
        <v>2544580</v>
      </c>
      <c r="J1234">
        <v>51</v>
      </c>
      <c r="K1234">
        <v>139</v>
      </c>
      <c r="L1234">
        <v>0</v>
      </c>
      <c r="M1234">
        <v>1018991</v>
      </c>
      <c r="N1234">
        <v>0</v>
      </c>
      <c r="O1234">
        <v>1018991</v>
      </c>
      <c r="P1234">
        <v>0</v>
      </c>
      <c r="Q1234">
        <v>0</v>
      </c>
      <c r="R1234" s="2043">
        <v>7009370</v>
      </c>
      <c r="S1234">
        <v>383697</v>
      </c>
      <c r="T1234">
        <v>0</v>
      </c>
      <c r="U1234">
        <v>0.05</v>
      </c>
      <c r="V1234">
        <v>0</v>
      </c>
      <c r="W1234">
        <v>0</v>
      </c>
      <c r="X1234">
        <v>0</v>
      </c>
      <c r="Y1234">
        <v>0</v>
      </c>
      <c r="Z1234">
        <v>0</v>
      </c>
      <c r="AA1234">
        <v>0.55800000000000005</v>
      </c>
      <c r="AB1234">
        <v>2195.3000000000002</v>
      </c>
      <c r="AC1234" s="2043">
        <v>726968325</v>
      </c>
      <c r="AD1234">
        <v>2386315</v>
      </c>
      <c r="AE1234" s="2043">
        <v>7393067</v>
      </c>
      <c r="AF1234">
        <v>0.96340000000000003</v>
      </c>
      <c r="AG1234">
        <v>0</v>
      </c>
      <c r="AH1234">
        <v>0</v>
      </c>
      <c r="AI1234">
        <v>0</v>
      </c>
      <c r="AJ1234">
        <v>327.81299999999999</v>
      </c>
      <c r="AK1234">
        <v>9241</v>
      </c>
      <c r="AL1234">
        <v>3.2000000000000001E-2</v>
      </c>
      <c r="AM1234">
        <v>0</v>
      </c>
      <c r="AN1234">
        <v>148.32</v>
      </c>
      <c r="AO1234">
        <v>0</v>
      </c>
      <c r="AP1234">
        <v>0</v>
      </c>
      <c r="AQ1234">
        <v>0</v>
      </c>
      <c r="AR1234">
        <v>43.338000000000001</v>
      </c>
      <c r="AS1234">
        <v>0</v>
      </c>
      <c r="AT1234">
        <v>16.623000000000001</v>
      </c>
      <c r="AU1234">
        <v>5.4809999999999999</v>
      </c>
      <c r="AV1234">
        <v>0</v>
      </c>
      <c r="AW1234">
        <v>65.474000000000004</v>
      </c>
      <c r="AX1234">
        <v>0</v>
      </c>
      <c r="AY1234">
        <v>207.44800000000001</v>
      </c>
      <c r="AZ1234">
        <v>0</v>
      </c>
      <c r="BA1234">
        <v>13645863</v>
      </c>
      <c r="BB1234">
        <v>9779382</v>
      </c>
      <c r="BC1234">
        <v>0</v>
      </c>
      <c r="BD1234">
        <v>118080</v>
      </c>
      <c r="BE1234">
        <v>76952</v>
      </c>
      <c r="BF1234">
        <v>195032</v>
      </c>
      <c r="BG1234">
        <v>118080</v>
      </c>
      <c r="BH1234">
        <v>0</v>
      </c>
      <c r="BI1234">
        <v>0</v>
      </c>
      <c r="BJ1234">
        <v>0</v>
      </c>
      <c r="BK1234">
        <v>0</v>
      </c>
      <c r="BL1234">
        <v>789438679</v>
      </c>
      <c r="BM1234">
        <v>0</v>
      </c>
      <c r="BN1234">
        <v>7326</v>
      </c>
      <c r="BO1234">
        <v>6709</v>
      </c>
      <c r="BP1234">
        <v>0</v>
      </c>
      <c r="BQ1234">
        <v>0</v>
      </c>
      <c r="BR1234">
        <v>0.91339999999999999</v>
      </c>
      <c r="BS1234">
        <v>0.91339999999999999</v>
      </c>
      <c r="BT1234">
        <v>0</v>
      </c>
      <c r="BU1234">
        <v>0</v>
      </c>
      <c r="BV1234">
        <v>505</v>
      </c>
      <c r="BW1234">
        <v>231</v>
      </c>
      <c r="BX1234">
        <v>155</v>
      </c>
      <c r="BY1234">
        <v>430</v>
      </c>
      <c r="BZ1234">
        <v>28</v>
      </c>
      <c r="CA1234">
        <v>1349</v>
      </c>
      <c r="CB1234">
        <v>0</v>
      </c>
      <c r="CC1234">
        <v>0</v>
      </c>
      <c r="CD1234">
        <v>0</v>
      </c>
      <c r="CE1234">
        <v>257</v>
      </c>
      <c r="CF1234">
        <v>467.25200000000001</v>
      </c>
      <c r="CG1234">
        <v>3.8040000000000003</v>
      </c>
      <c r="CH1234">
        <v>0</v>
      </c>
      <c r="CI1234">
        <v>3</v>
      </c>
      <c r="CJ1234">
        <v>20</v>
      </c>
      <c r="CK1234">
        <v>0</v>
      </c>
      <c r="CL1234">
        <v>3.8040000000000003</v>
      </c>
      <c r="CM1234">
        <v>216.48600000000002</v>
      </c>
      <c r="CN1234">
        <v>0</v>
      </c>
      <c r="CO1234">
        <v>0</v>
      </c>
      <c r="CP1234">
        <v>0</v>
      </c>
      <c r="CQ1234">
        <v>0</v>
      </c>
      <c r="CR1234">
        <v>0</v>
      </c>
      <c r="CS1234">
        <v>0</v>
      </c>
      <c r="CT1234">
        <v>0</v>
      </c>
      <c r="CU1234">
        <v>23.379000000000001</v>
      </c>
      <c r="CV1234">
        <v>135.33600000000001</v>
      </c>
      <c r="CW1234">
        <v>73.87700000000001</v>
      </c>
      <c r="CX1234">
        <v>0</v>
      </c>
      <c r="CY1234" s="2043">
        <v>0</v>
      </c>
      <c r="CZ1234" s="2043">
        <v>0</v>
      </c>
      <c r="DA1234" s="2043">
        <v>0</v>
      </c>
      <c r="DB1234" s="2043">
        <v>0</v>
      </c>
      <c r="DC1234" s="2043">
        <v>0</v>
      </c>
      <c r="DI1234" t="s">
        <v>3274</v>
      </c>
      <c r="DJ1234" t="s">
        <v>3274</v>
      </c>
      <c r="DK1234" s="2042">
        <f t="shared" si="21"/>
        <v>0</v>
      </c>
    </row>
    <row r="1235" spans="1:115">
      <c r="A1235" t="s">
        <v>5320</v>
      </c>
      <c r="B1235" t="s">
        <v>1386</v>
      </c>
      <c r="C1235">
        <v>197.17100000000002</v>
      </c>
      <c r="D1235">
        <v>189.59700000000001</v>
      </c>
      <c r="E1235">
        <v>2.907</v>
      </c>
      <c r="F1235">
        <v>0</v>
      </c>
      <c r="G1235" s="2043">
        <v>72247148</v>
      </c>
      <c r="H1235">
        <v>0</v>
      </c>
      <c r="I1235" s="2043">
        <v>320218</v>
      </c>
      <c r="J1235">
        <v>6</v>
      </c>
      <c r="K1235">
        <v>16</v>
      </c>
      <c r="L1235">
        <v>0</v>
      </c>
      <c r="M1235">
        <v>0</v>
      </c>
      <c r="N1235">
        <v>0</v>
      </c>
      <c r="O1235">
        <v>0</v>
      </c>
      <c r="P1235">
        <v>0</v>
      </c>
      <c r="Q1235">
        <v>0</v>
      </c>
      <c r="R1235" s="2043">
        <v>649925</v>
      </c>
      <c r="S1235">
        <v>56632</v>
      </c>
      <c r="T1235">
        <v>37944</v>
      </c>
      <c r="U1235">
        <v>0.08</v>
      </c>
      <c r="V1235">
        <v>0</v>
      </c>
      <c r="W1235">
        <v>0</v>
      </c>
      <c r="X1235">
        <v>0</v>
      </c>
      <c r="Y1235">
        <v>0</v>
      </c>
      <c r="Z1235">
        <v>0</v>
      </c>
      <c r="AA1235">
        <v>0</v>
      </c>
      <c r="AB1235">
        <v>189.59700000000001</v>
      </c>
      <c r="AC1235" s="2043">
        <v>77967025</v>
      </c>
      <c r="AD1235">
        <v>299280</v>
      </c>
      <c r="AE1235" s="2043">
        <v>744501</v>
      </c>
      <c r="AF1235">
        <v>1.0517000000000001</v>
      </c>
      <c r="AG1235">
        <v>0</v>
      </c>
      <c r="AH1235">
        <v>0</v>
      </c>
      <c r="AI1235">
        <v>0</v>
      </c>
      <c r="AJ1235">
        <v>32.588000000000001</v>
      </c>
      <c r="AK1235">
        <v>1276</v>
      </c>
      <c r="AL1235">
        <v>0</v>
      </c>
      <c r="AM1235">
        <v>0</v>
      </c>
      <c r="AN1235">
        <v>16.874000000000002</v>
      </c>
      <c r="AO1235">
        <v>0</v>
      </c>
      <c r="AP1235">
        <v>0</v>
      </c>
      <c r="AQ1235">
        <v>0</v>
      </c>
      <c r="AR1235">
        <v>4.0970000000000004</v>
      </c>
      <c r="AS1235">
        <v>0</v>
      </c>
      <c r="AT1235">
        <v>0.58900000000000008</v>
      </c>
      <c r="AU1235">
        <v>0.48200000000000004</v>
      </c>
      <c r="AV1235">
        <v>0</v>
      </c>
      <c r="AW1235">
        <v>5.1680000000000001</v>
      </c>
      <c r="AX1235">
        <v>0</v>
      </c>
      <c r="AY1235">
        <v>16.468</v>
      </c>
      <c r="AZ1235">
        <v>0</v>
      </c>
      <c r="BA1235">
        <v>2240561</v>
      </c>
      <c r="BB1235">
        <v>1043781</v>
      </c>
      <c r="BC1235">
        <v>0</v>
      </c>
      <c r="BD1235">
        <v>30708</v>
      </c>
      <c r="BE1235">
        <v>0</v>
      </c>
      <c r="BF1235">
        <v>30708</v>
      </c>
      <c r="BG1235">
        <v>30708</v>
      </c>
      <c r="BH1235">
        <v>0</v>
      </c>
      <c r="BI1235">
        <v>0</v>
      </c>
      <c r="BJ1235">
        <v>0</v>
      </c>
      <c r="BK1235">
        <v>0</v>
      </c>
      <c r="BL1235">
        <v>72247148</v>
      </c>
      <c r="BM1235">
        <v>0</v>
      </c>
      <c r="BN1235">
        <v>504</v>
      </c>
      <c r="BO1235">
        <v>610</v>
      </c>
      <c r="BP1235">
        <v>0</v>
      </c>
      <c r="BQ1235">
        <v>0</v>
      </c>
      <c r="BR1235">
        <v>0.91810000000000003</v>
      </c>
      <c r="BS1235">
        <v>0.91810000000000003</v>
      </c>
      <c r="BT1235">
        <v>0</v>
      </c>
      <c r="BU1235">
        <v>0</v>
      </c>
      <c r="BV1235">
        <v>20</v>
      </c>
      <c r="BW1235">
        <v>8</v>
      </c>
      <c r="BX1235">
        <v>96</v>
      </c>
      <c r="BY1235">
        <v>1</v>
      </c>
      <c r="BZ1235">
        <v>7</v>
      </c>
      <c r="CA1235">
        <v>132</v>
      </c>
      <c r="CB1235">
        <v>0</v>
      </c>
      <c r="CC1235">
        <v>0</v>
      </c>
      <c r="CD1235">
        <v>0</v>
      </c>
      <c r="CE1235">
        <v>30</v>
      </c>
      <c r="CF1235">
        <v>34.758000000000003</v>
      </c>
      <c r="CG1235">
        <v>0</v>
      </c>
      <c r="CH1235">
        <v>0</v>
      </c>
      <c r="CI1235">
        <v>2</v>
      </c>
      <c r="CJ1235">
        <v>0</v>
      </c>
      <c r="CK1235">
        <v>0</v>
      </c>
      <c r="CL1235">
        <v>0</v>
      </c>
      <c r="CM1235">
        <v>2.907</v>
      </c>
      <c r="CN1235">
        <v>0</v>
      </c>
      <c r="CO1235">
        <v>0</v>
      </c>
      <c r="CP1235">
        <v>0</v>
      </c>
      <c r="CQ1235">
        <v>0</v>
      </c>
      <c r="CR1235">
        <v>0</v>
      </c>
      <c r="CS1235">
        <v>0</v>
      </c>
      <c r="CT1235">
        <v>0</v>
      </c>
      <c r="CU1235">
        <v>0</v>
      </c>
      <c r="CV1235">
        <v>13.991000000000001</v>
      </c>
      <c r="CW1235">
        <v>5.6230000000000002</v>
      </c>
      <c r="CX1235">
        <v>0</v>
      </c>
      <c r="CY1235" s="2043">
        <v>0</v>
      </c>
      <c r="CZ1235" s="2043">
        <v>0</v>
      </c>
      <c r="DA1235" s="2043">
        <v>0</v>
      </c>
      <c r="DB1235" s="2043">
        <v>0</v>
      </c>
      <c r="DC1235" s="2043">
        <v>0</v>
      </c>
      <c r="DI1235" t="s">
        <v>5320</v>
      </c>
      <c r="DJ1235" t="s">
        <v>5320</v>
      </c>
      <c r="DK1235" s="2042">
        <f t="shared" si="21"/>
        <v>0</v>
      </c>
    </row>
    <row r="1236" spans="1:115">
      <c r="A1236" t="s">
        <v>3275</v>
      </c>
      <c r="B1236" t="s">
        <v>1416</v>
      </c>
      <c r="C1236">
        <v>636.55900000000008</v>
      </c>
      <c r="D1236">
        <v>625.04600000000005</v>
      </c>
      <c r="E1236">
        <v>43.367000000000004</v>
      </c>
      <c r="F1236">
        <v>1862550</v>
      </c>
      <c r="G1236" s="2043">
        <v>407055218</v>
      </c>
      <c r="H1236">
        <v>0</v>
      </c>
      <c r="I1236" s="2043">
        <v>565625</v>
      </c>
      <c r="J1236">
        <v>25</v>
      </c>
      <c r="K1236">
        <v>68</v>
      </c>
      <c r="L1236">
        <v>0</v>
      </c>
      <c r="M1236">
        <v>187600</v>
      </c>
      <c r="N1236">
        <v>0</v>
      </c>
      <c r="O1236">
        <v>187600</v>
      </c>
      <c r="P1236">
        <v>0</v>
      </c>
      <c r="Q1236">
        <v>0</v>
      </c>
      <c r="R1236" s="2043">
        <v>3946933</v>
      </c>
      <c r="S1236">
        <v>345692</v>
      </c>
      <c r="T1236">
        <v>251922</v>
      </c>
      <c r="U1236">
        <v>0.08</v>
      </c>
      <c r="V1236">
        <v>0</v>
      </c>
      <c r="W1236">
        <v>0</v>
      </c>
      <c r="X1236">
        <v>0</v>
      </c>
      <c r="Y1236">
        <v>1862550</v>
      </c>
      <c r="Z1236">
        <v>0</v>
      </c>
      <c r="AA1236">
        <v>0</v>
      </c>
      <c r="AB1236">
        <v>625.04600000000005</v>
      </c>
      <c r="AC1236" s="2043">
        <v>266268914</v>
      </c>
      <c r="AD1236">
        <v>765107</v>
      </c>
      <c r="AE1236" s="2043">
        <v>4544547</v>
      </c>
      <c r="AF1236">
        <v>1.0517000000000001</v>
      </c>
      <c r="AG1236">
        <v>0</v>
      </c>
      <c r="AH1236">
        <v>0</v>
      </c>
      <c r="AI1236">
        <v>0</v>
      </c>
      <c r="AJ1236">
        <v>111.17500000000001</v>
      </c>
      <c r="AK1236">
        <v>3572</v>
      </c>
      <c r="AL1236">
        <v>0</v>
      </c>
      <c r="AM1236">
        <v>0</v>
      </c>
      <c r="AN1236">
        <v>43.865000000000002</v>
      </c>
      <c r="AO1236">
        <v>0</v>
      </c>
      <c r="AP1236">
        <v>0</v>
      </c>
      <c r="AQ1236">
        <v>0</v>
      </c>
      <c r="AR1236">
        <v>13.701000000000001</v>
      </c>
      <c r="AS1236">
        <v>0</v>
      </c>
      <c r="AT1236">
        <v>3.2930000000000001</v>
      </c>
      <c r="AU1236">
        <v>1.8840000000000001</v>
      </c>
      <c r="AV1236">
        <v>0</v>
      </c>
      <c r="AW1236">
        <v>18.878</v>
      </c>
      <c r="AX1236">
        <v>0</v>
      </c>
      <c r="AY1236">
        <v>60.402000000000001</v>
      </c>
      <c r="AZ1236">
        <v>0</v>
      </c>
      <c r="BA1236">
        <v>6453866</v>
      </c>
      <c r="BB1236">
        <v>5309654</v>
      </c>
      <c r="BC1236">
        <v>0</v>
      </c>
      <c r="BD1236">
        <v>30415</v>
      </c>
      <c r="BE1236">
        <v>2873</v>
      </c>
      <c r="BF1236">
        <v>33288</v>
      </c>
      <c r="BG1236">
        <v>30415</v>
      </c>
      <c r="BH1236">
        <v>0</v>
      </c>
      <c r="BI1236">
        <v>0</v>
      </c>
      <c r="BJ1236">
        <v>0</v>
      </c>
      <c r="BK1236">
        <v>0</v>
      </c>
      <c r="BL1236">
        <v>407055218</v>
      </c>
      <c r="BM1236">
        <v>0</v>
      </c>
      <c r="BN1236">
        <v>2367</v>
      </c>
      <c r="BO1236">
        <v>1701</v>
      </c>
      <c r="BP1236">
        <v>0</v>
      </c>
      <c r="BQ1236">
        <v>0</v>
      </c>
      <c r="BR1236">
        <v>0.91339999999999999</v>
      </c>
      <c r="BS1236">
        <v>0.91339999999999999</v>
      </c>
      <c r="BT1236">
        <v>0</v>
      </c>
      <c r="BU1236">
        <v>0</v>
      </c>
      <c r="BV1236">
        <v>52</v>
      </c>
      <c r="BW1236">
        <v>121</v>
      </c>
      <c r="BX1236">
        <v>140</v>
      </c>
      <c r="BY1236">
        <v>1</v>
      </c>
      <c r="BZ1236">
        <v>129</v>
      </c>
      <c r="CA1236">
        <v>443</v>
      </c>
      <c r="CB1236">
        <v>0</v>
      </c>
      <c r="CC1236">
        <v>0</v>
      </c>
      <c r="CD1236">
        <v>0</v>
      </c>
      <c r="CE1236">
        <v>75</v>
      </c>
      <c r="CF1236">
        <v>127.712</v>
      </c>
      <c r="CG1236">
        <v>0</v>
      </c>
      <c r="CH1236">
        <v>0</v>
      </c>
      <c r="CI1236">
        <v>0</v>
      </c>
      <c r="CJ1236">
        <v>6</v>
      </c>
      <c r="CK1236">
        <v>0</v>
      </c>
      <c r="CL1236">
        <v>0</v>
      </c>
      <c r="CM1236">
        <v>43.367000000000004</v>
      </c>
      <c r="CN1236">
        <v>0</v>
      </c>
      <c r="CO1236">
        <v>0</v>
      </c>
      <c r="CP1236">
        <v>0</v>
      </c>
      <c r="CQ1236">
        <v>0</v>
      </c>
      <c r="CR1236">
        <v>0</v>
      </c>
      <c r="CS1236">
        <v>0</v>
      </c>
      <c r="CT1236">
        <v>0</v>
      </c>
      <c r="CU1236">
        <v>0.16400000000000001</v>
      </c>
      <c r="CV1236">
        <v>49.743000000000002</v>
      </c>
      <c r="CW1236">
        <v>25.196000000000002</v>
      </c>
      <c r="CX1236">
        <v>0</v>
      </c>
      <c r="CY1236" s="2043">
        <v>0</v>
      </c>
      <c r="CZ1236" s="2043">
        <v>0</v>
      </c>
      <c r="DA1236" s="2043">
        <v>0</v>
      </c>
      <c r="DB1236" s="2043">
        <v>1862550</v>
      </c>
      <c r="DC1236" s="2043">
        <v>0</v>
      </c>
      <c r="DI1236" t="s">
        <v>3275</v>
      </c>
      <c r="DJ1236" t="s">
        <v>3275</v>
      </c>
      <c r="DK1236" s="2042">
        <f t="shared" si="21"/>
        <v>0</v>
      </c>
    </row>
    <row r="1237" spans="1:115">
      <c r="A1237" t="s">
        <v>5902</v>
      </c>
      <c r="B1237" t="s">
        <v>485</v>
      </c>
      <c r="C1237">
        <v>2938.8520000000003</v>
      </c>
      <c r="D1237">
        <v>3173.0660000000003</v>
      </c>
      <c r="E1237">
        <v>886.89300000000003</v>
      </c>
      <c r="F1237">
        <v>0</v>
      </c>
      <c r="G1237" s="2043">
        <v>1006153546</v>
      </c>
      <c r="H1237">
        <v>0</v>
      </c>
      <c r="I1237" s="2043">
        <v>870822</v>
      </c>
      <c r="J1237">
        <v>146.94300000000001</v>
      </c>
      <c r="K1237">
        <v>402</v>
      </c>
      <c r="L1237">
        <v>0</v>
      </c>
      <c r="M1237">
        <v>0</v>
      </c>
      <c r="N1237">
        <v>0</v>
      </c>
      <c r="O1237">
        <v>0</v>
      </c>
      <c r="P1237">
        <v>0</v>
      </c>
      <c r="Q1237">
        <v>0</v>
      </c>
      <c r="R1237" s="2043">
        <v>7832967</v>
      </c>
      <c r="S1237">
        <v>476458</v>
      </c>
      <c r="T1237">
        <v>0</v>
      </c>
      <c r="U1237">
        <v>0.05</v>
      </c>
      <c r="V1237">
        <v>0</v>
      </c>
      <c r="W1237">
        <v>0</v>
      </c>
      <c r="X1237">
        <v>0</v>
      </c>
      <c r="Y1237">
        <v>0</v>
      </c>
      <c r="Z1237">
        <v>0</v>
      </c>
      <c r="AA1237">
        <v>1.4060000000000001</v>
      </c>
      <c r="AB1237">
        <v>2961.2060000000001</v>
      </c>
      <c r="AC1237" s="2043">
        <v>1128624592</v>
      </c>
      <c r="AD1237">
        <v>1724245</v>
      </c>
      <c r="AE1237" s="2043">
        <v>8309425</v>
      </c>
      <c r="AF1237">
        <v>0.872</v>
      </c>
      <c r="AG1237">
        <v>0</v>
      </c>
      <c r="AH1237">
        <v>0</v>
      </c>
      <c r="AI1237">
        <v>0</v>
      </c>
      <c r="AJ1237">
        <v>732.80000000000007</v>
      </c>
      <c r="AK1237">
        <v>11975</v>
      </c>
      <c r="AL1237">
        <v>3.58</v>
      </c>
      <c r="AM1237">
        <v>0</v>
      </c>
      <c r="AN1237">
        <v>70.746000000000009</v>
      </c>
      <c r="AO1237">
        <v>0</v>
      </c>
      <c r="AP1237">
        <v>0</v>
      </c>
      <c r="AQ1237">
        <v>0</v>
      </c>
      <c r="AR1237">
        <v>94.771000000000001</v>
      </c>
      <c r="AS1237">
        <v>0</v>
      </c>
      <c r="AT1237">
        <v>25.208000000000002</v>
      </c>
      <c r="AU1237">
        <v>7.8470000000000004</v>
      </c>
      <c r="AV1237">
        <v>0</v>
      </c>
      <c r="AW1237">
        <v>131.40600000000001</v>
      </c>
      <c r="AX1237">
        <v>0</v>
      </c>
      <c r="AY1237">
        <v>417.072</v>
      </c>
      <c r="AZ1237">
        <v>0</v>
      </c>
      <c r="BA1237">
        <v>21690280</v>
      </c>
      <c r="BB1237">
        <v>10033670</v>
      </c>
      <c r="BC1237">
        <v>0</v>
      </c>
      <c r="BD1237">
        <v>167220</v>
      </c>
      <c r="BE1237">
        <v>35575</v>
      </c>
      <c r="BF1237">
        <v>202795</v>
      </c>
      <c r="BG1237">
        <v>167220</v>
      </c>
      <c r="BH1237">
        <v>0</v>
      </c>
      <c r="BI1237">
        <v>0</v>
      </c>
      <c r="BJ1237">
        <v>0</v>
      </c>
      <c r="BK1237">
        <v>0</v>
      </c>
      <c r="BL1237">
        <v>1006153546</v>
      </c>
      <c r="BM1237">
        <v>0</v>
      </c>
      <c r="BN1237">
        <v>11151</v>
      </c>
      <c r="BO1237">
        <v>7629</v>
      </c>
      <c r="BP1237">
        <v>0</v>
      </c>
      <c r="BQ1237">
        <v>0</v>
      </c>
      <c r="BR1237">
        <v>0.82200000000000006</v>
      </c>
      <c r="BS1237">
        <v>0.82200000000000006</v>
      </c>
      <c r="BT1237">
        <v>0</v>
      </c>
      <c r="BU1237">
        <v>0</v>
      </c>
      <c r="BV1237">
        <v>542</v>
      </c>
      <c r="BW1237">
        <v>127</v>
      </c>
      <c r="BX1237">
        <v>590</v>
      </c>
      <c r="BY1237">
        <v>1315</v>
      </c>
      <c r="BZ1237">
        <v>320</v>
      </c>
      <c r="CA1237">
        <v>2894</v>
      </c>
      <c r="CB1237">
        <v>0</v>
      </c>
      <c r="CC1237">
        <v>0</v>
      </c>
      <c r="CD1237">
        <v>0</v>
      </c>
      <c r="CE1237">
        <v>266</v>
      </c>
      <c r="CF1237">
        <v>922.84500000000003</v>
      </c>
      <c r="CG1237">
        <v>0</v>
      </c>
      <c r="CH1237">
        <v>0</v>
      </c>
      <c r="CI1237">
        <v>8</v>
      </c>
      <c r="CJ1237">
        <v>8</v>
      </c>
      <c r="CK1237">
        <v>0</v>
      </c>
      <c r="CL1237">
        <v>0</v>
      </c>
      <c r="CM1237">
        <v>886.89300000000003</v>
      </c>
      <c r="CN1237">
        <v>0</v>
      </c>
      <c r="CO1237">
        <v>0</v>
      </c>
      <c r="CP1237">
        <v>0</v>
      </c>
      <c r="CQ1237">
        <v>0</v>
      </c>
      <c r="CR1237">
        <v>0</v>
      </c>
      <c r="CS1237">
        <v>0</v>
      </c>
      <c r="CT1237">
        <v>0</v>
      </c>
      <c r="CU1237">
        <v>3.5710000000000002</v>
      </c>
      <c r="CV1237">
        <v>168.196</v>
      </c>
      <c r="CW1237">
        <v>69.837000000000003</v>
      </c>
      <c r="CX1237">
        <v>0</v>
      </c>
      <c r="CY1237" s="2043">
        <v>0</v>
      </c>
      <c r="CZ1237" s="2043">
        <v>0</v>
      </c>
      <c r="DA1237" s="2043">
        <v>0</v>
      </c>
      <c r="DB1237" s="2043">
        <v>0</v>
      </c>
      <c r="DC1237" s="2043">
        <v>0</v>
      </c>
      <c r="DI1237" t="s">
        <v>5902</v>
      </c>
      <c r="DJ1237" t="s">
        <v>5902</v>
      </c>
      <c r="DK1237" s="2042">
        <f t="shared" si="21"/>
        <v>0</v>
      </c>
    </row>
    <row r="1238" spans="1:115">
      <c r="A1238" t="s">
        <v>3276</v>
      </c>
      <c r="B1238" t="s">
        <v>2268</v>
      </c>
      <c r="C1238">
        <v>1551.1660000000002</v>
      </c>
      <c r="D1238">
        <v>1725.6570000000002</v>
      </c>
      <c r="E1238">
        <v>29.579000000000001</v>
      </c>
      <c r="F1238">
        <v>0</v>
      </c>
      <c r="G1238" s="2043">
        <v>892852731</v>
      </c>
      <c r="H1238">
        <v>0</v>
      </c>
      <c r="I1238" s="2043">
        <v>3606195</v>
      </c>
      <c r="J1238">
        <v>77.558000000000007</v>
      </c>
      <c r="K1238">
        <v>212</v>
      </c>
      <c r="L1238">
        <v>0</v>
      </c>
      <c r="M1238">
        <v>1342168</v>
      </c>
      <c r="N1238">
        <v>0</v>
      </c>
      <c r="O1238">
        <v>1342168</v>
      </c>
      <c r="P1238">
        <v>0</v>
      </c>
      <c r="Q1238">
        <v>0</v>
      </c>
      <c r="R1238" s="2043">
        <v>9254582</v>
      </c>
      <c r="S1238">
        <v>530106</v>
      </c>
      <c r="T1238">
        <v>0</v>
      </c>
      <c r="U1238">
        <v>0.05</v>
      </c>
      <c r="V1238">
        <v>0</v>
      </c>
      <c r="W1238">
        <v>0</v>
      </c>
      <c r="X1238">
        <v>0</v>
      </c>
      <c r="Y1238">
        <v>-8409</v>
      </c>
      <c r="Z1238">
        <v>0</v>
      </c>
      <c r="AA1238">
        <v>4.5000000000000005E-2</v>
      </c>
      <c r="AB1238">
        <v>1565.095</v>
      </c>
      <c r="AC1238" s="2043">
        <v>838177213</v>
      </c>
      <c r="AD1238">
        <v>4039478</v>
      </c>
      <c r="AE1238" s="2043">
        <v>9784688</v>
      </c>
      <c r="AF1238">
        <v>0.92290000000000005</v>
      </c>
      <c r="AG1238">
        <v>0</v>
      </c>
      <c r="AH1238">
        <v>0</v>
      </c>
      <c r="AI1238">
        <v>0</v>
      </c>
      <c r="AJ1238">
        <v>387.6</v>
      </c>
      <c r="AK1238">
        <v>6200</v>
      </c>
      <c r="AL1238">
        <v>0.3</v>
      </c>
      <c r="AM1238">
        <v>0</v>
      </c>
      <c r="AN1238">
        <v>69.935000000000002</v>
      </c>
      <c r="AO1238">
        <v>0</v>
      </c>
      <c r="AP1238">
        <v>0.89600000000000002</v>
      </c>
      <c r="AQ1238">
        <v>0</v>
      </c>
      <c r="AR1238">
        <v>38.600999999999999</v>
      </c>
      <c r="AS1238">
        <v>0</v>
      </c>
      <c r="AT1238">
        <v>9.8030000000000008</v>
      </c>
      <c r="AU1238">
        <v>3.6920000000000002</v>
      </c>
      <c r="AV1238">
        <v>0</v>
      </c>
      <c r="AW1238">
        <v>53.292000000000002</v>
      </c>
      <c r="AX1238">
        <v>0</v>
      </c>
      <c r="AY1238">
        <v>167.59100000000001</v>
      </c>
      <c r="AZ1238">
        <v>0</v>
      </c>
      <c r="BA1238">
        <v>8276553</v>
      </c>
      <c r="BB1238">
        <v>13824166</v>
      </c>
      <c r="BC1238">
        <v>0</v>
      </c>
      <c r="BD1238">
        <v>26402</v>
      </c>
      <c r="BE1238">
        <v>11461</v>
      </c>
      <c r="BF1238">
        <v>37863</v>
      </c>
      <c r="BG1238">
        <v>26402</v>
      </c>
      <c r="BH1238">
        <v>0</v>
      </c>
      <c r="BI1238">
        <v>0</v>
      </c>
      <c r="BJ1238">
        <v>-8409</v>
      </c>
      <c r="BK1238">
        <v>0</v>
      </c>
      <c r="BL1238">
        <v>892852731</v>
      </c>
      <c r="BM1238">
        <v>0</v>
      </c>
      <c r="BN1238">
        <v>6804</v>
      </c>
      <c r="BO1238">
        <v>3756</v>
      </c>
      <c r="BP1238">
        <v>0</v>
      </c>
      <c r="BQ1238">
        <v>57500</v>
      </c>
      <c r="BR1238">
        <v>0.87290000000000001</v>
      </c>
      <c r="BS1238">
        <v>0.87290000000000001</v>
      </c>
      <c r="BT1238">
        <v>0</v>
      </c>
      <c r="BU1238">
        <v>0</v>
      </c>
      <c r="BV1238">
        <v>275</v>
      </c>
      <c r="BW1238">
        <v>0</v>
      </c>
      <c r="BX1238">
        <v>218</v>
      </c>
      <c r="BY1238">
        <v>566</v>
      </c>
      <c r="BZ1238">
        <v>446</v>
      </c>
      <c r="CA1238">
        <v>1505</v>
      </c>
      <c r="CB1238">
        <v>0</v>
      </c>
      <c r="CC1238">
        <v>0</v>
      </c>
      <c r="CD1238">
        <v>0</v>
      </c>
      <c r="CE1238">
        <v>125</v>
      </c>
      <c r="CF1238">
        <v>391.90000000000003</v>
      </c>
      <c r="CG1238">
        <v>0</v>
      </c>
      <c r="CH1238">
        <v>0</v>
      </c>
      <c r="CI1238">
        <v>0</v>
      </c>
      <c r="CJ1238">
        <v>0</v>
      </c>
      <c r="CK1238">
        <v>0</v>
      </c>
      <c r="CL1238">
        <v>0</v>
      </c>
      <c r="CM1238">
        <v>29.579000000000001</v>
      </c>
      <c r="CN1238">
        <v>0</v>
      </c>
      <c r="CO1238">
        <v>0</v>
      </c>
      <c r="CP1238">
        <v>0</v>
      </c>
      <c r="CQ1238">
        <v>0</v>
      </c>
      <c r="CR1238">
        <v>0</v>
      </c>
      <c r="CS1238">
        <v>0</v>
      </c>
      <c r="CT1238">
        <v>0</v>
      </c>
      <c r="CU1238">
        <v>0</v>
      </c>
      <c r="CV1238">
        <v>95.262</v>
      </c>
      <c r="CW1238">
        <v>61.847000000000001</v>
      </c>
      <c r="CX1238">
        <v>0</v>
      </c>
      <c r="CY1238" s="2043">
        <v>0</v>
      </c>
      <c r="CZ1238" s="2043">
        <v>0</v>
      </c>
      <c r="DA1238" s="2043">
        <v>0</v>
      </c>
      <c r="DB1238" s="2043">
        <v>0</v>
      </c>
      <c r="DC1238" s="2043">
        <v>0</v>
      </c>
      <c r="DI1238" t="s">
        <v>3276</v>
      </c>
      <c r="DJ1238" t="s">
        <v>3276</v>
      </c>
      <c r="DK1238" s="2042">
        <f t="shared" si="21"/>
        <v>0</v>
      </c>
    </row>
    <row r="1239" spans="1:115">
      <c r="A1239" t="s">
        <v>3277</v>
      </c>
      <c r="B1239" t="s">
        <v>1594</v>
      </c>
      <c r="C1239">
        <v>437.44300000000004</v>
      </c>
      <c r="D1239">
        <v>477.40900000000005</v>
      </c>
      <c r="E1239">
        <v>17.327000000000002</v>
      </c>
      <c r="F1239">
        <v>0</v>
      </c>
      <c r="G1239" s="2043">
        <v>280780882</v>
      </c>
      <c r="H1239">
        <v>0</v>
      </c>
      <c r="I1239" s="2043">
        <v>173650</v>
      </c>
      <c r="J1239">
        <v>21.872</v>
      </c>
      <c r="K1239">
        <v>60</v>
      </c>
      <c r="L1239">
        <v>0</v>
      </c>
      <c r="M1239">
        <v>173650</v>
      </c>
      <c r="N1239">
        <v>0</v>
      </c>
      <c r="O1239">
        <v>173650</v>
      </c>
      <c r="P1239">
        <v>0</v>
      </c>
      <c r="Q1239">
        <v>0</v>
      </c>
      <c r="R1239" s="2043">
        <v>2210469</v>
      </c>
      <c r="S1239">
        <v>215131</v>
      </c>
      <c r="T1239">
        <v>156776</v>
      </c>
      <c r="U1239">
        <v>0.08</v>
      </c>
      <c r="V1239">
        <v>0</v>
      </c>
      <c r="W1239">
        <v>0</v>
      </c>
      <c r="X1239">
        <v>0</v>
      </c>
      <c r="Y1239">
        <v>735315</v>
      </c>
      <c r="Z1239">
        <v>0</v>
      </c>
      <c r="AA1239">
        <v>0</v>
      </c>
      <c r="AB1239">
        <v>470.60400000000004</v>
      </c>
      <c r="AC1239" s="2043">
        <v>125027775</v>
      </c>
      <c r="AD1239">
        <v>189508</v>
      </c>
      <c r="AE1239" s="2043">
        <v>2582376</v>
      </c>
      <c r="AF1239">
        <v>0.96030000000000004</v>
      </c>
      <c r="AG1239">
        <v>0</v>
      </c>
      <c r="AH1239">
        <v>0</v>
      </c>
      <c r="AI1239">
        <v>0</v>
      </c>
      <c r="AJ1239">
        <v>114.75</v>
      </c>
      <c r="AK1239">
        <v>2273</v>
      </c>
      <c r="AL1239">
        <v>0</v>
      </c>
      <c r="AM1239">
        <v>0</v>
      </c>
      <c r="AN1239">
        <v>9.1460000000000008</v>
      </c>
      <c r="AO1239">
        <v>1</v>
      </c>
      <c r="AP1239">
        <v>0</v>
      </c>
      <c r="AQ1239">
        <v>0</v>
      </c>
      <c r="AR1239">
        <v>12.271000000000001</v>
      </c>
      <c r="AS1239">
        <v>0</v>
      </c>
      <c r="AT1239">
        <v>4.6909999999999998</v>
      </c>
      <c r="AU1239">
        <v>0.91900000000000004</v>
      </c>
      <c r="AV1239">
        <v>0</v>
      </c>
      <c r="AW1239">
        <v>17.881</v>
      </c>
      <c r="AX1239">
        <v>0</v>
      </c>
      <c r="AY1239">
        <v>55.481000000000002</v>
      </c>
      <c r="AZ1239">
        <v>0</v>
      </c>
      <c r="BA1239">
        <v>4434592</v>
      </c>
      <c r="BB1239">
        <v>2771884</v>
      </c>
      <c r="BC1239">
        <v>0</v>
      </c>
      <c r="BD1239">
        <v>14164</v>
      </c>
      <c r="BE1239">
        <v>0</v>
      </c>
      <c r="BF1239">
        <v>14164</v>
      </c>
      <c r="BG1239">
        <v>14164</v>
      </c>
      <c r="BH1239">
        <v>0</v>
      </c>
      <c r="BI1239">
        <v>0</v>
      </c>
      <c r="BJ1239">
        <v>0</v>
      </c>
      <c r="BK1239">
        <v>0</v>
      </c>
      <c r="BL1239">
        <v>280780882</v>
      </c>
      <c r="BM1239">
        <v>0</v>
      </c>
      <c r="BN1239">
        <v>1629</v>
      </c>
      <c r="BO1239">
        <v>1498</v>
      </c>
      <c r="BP1239">
        <v>55950</v>
      </c>
      <c r="BQ1239">
        <v>0</v>
      </c>
      <c r="BR1239">
        <v>0.82200000000000006</v>
      </c>
      <c r="BS1239">
        <v>0.82200000000000006</v>
      </c>
      <c r="BT1239">
        <v>0</v>
      </c>
      <c r="BU1239">
        <v>0</v>
      </c>
      <c r="BV1239">
        <v>5</v>
      </c>
      <c r="BW1239">
        <v>0</v>
      </c>
      <c r="BX1239">
        <v>8</v>
      </c>
      <c r="BY1239">
        <v>420</v>
      </c>
      <c r="BZ1239">
        <v>5</v>
      </c>
      <c r="CA1239">
        <v>438</v>
      </c>
      <c r="CB1239">
        <v>0</v>
      </c>
      <c r="CC1239">
        <v>0</v>
      </c>
      <c r="CD1239">
        <v>0</v>
      </c>
      <c r="CE1239">
        <v>30</v>
      </c>
      <c r="CF1239">
        <v>135.547</v>
      </c>
      <c r="CG1239">
        <v>0</v>
      </c>
      <c r="CH1239">
        <v>0</v>
      </c>
      <c r="CI1239">
        <v>0</v>
      </c>
      <c r="CJ1239">
        <v>1</v>
      </c>
      <c r="CK1239">
        <v>0</v>
      </c>
      <c r="CL1239">
        <v>0</v>
      </c>
      <c r="CM1239">
        <v>17.327000000000002</v>
      </c>
      <c r="CN1239">
        <v>31089</v>
      </c>
      <c r="CO1239">
        <v>16574</v>
      </c>
      <c r="CP1239">
        <v>8287</v>
      </c>
      <c r="CQ1239">
        <v>0</v>
      </c>
      <c r="CR1239">
        <v>0</v>
      </c>
      <c r="CS1239">
        <v>0</v>
      </c>
      <c r="CT1239">
        <v>0</v>
      </c>
      <c r="CU1239">
        <v>0</v>
      </c>
      <c r="CV1239">
        <v>17.167000000000002</v>
      </c>
      <c r="CW1239">
        <v>8.2350000000000012</v>
      </c>
      <c r="CX1239">
        <v>0</v>
      </c>
      <c r="CY1239" s="2043">
        <v>735315</v>
      </c>
      <c r="CZ1239" s="2043">
        <v>0</v>
      </c>
      <c r="DA1239" s="2043">
        <v>0</v>
      </c>
      <c r="DB1239" s="2043">
        <v>0</v>
      </c>
      <c r="DC1239" s="2043">
        <v>0</v>
      </c>
      <c r="DI1239" t="s">
        <v>3277</v>
      </c>
      <c r="DJ1239" t="s">
        <v>3277</v>
      </c>
      <c r="DK1239" s="2042">
        <f t="shared" si="21"/>
        <v>0</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F1233"/>
  <sheetViews>
    <sheetView workbookViewId="0">
      <selection activeCell="F2" sqref="F2"/>
    </sheetView>
  </sheetViews>
  <sheetFormatPr defaultRowHeight="12.5"/>
  <cols>
    <col min="2" max="2" width="8.7265625" style="2042"/>
    <col min="3" max="3" width="18.54296875" style="2043" customWidth="1"/>
    <col min="4" max="4" width="19.1796875" style="2043" customWidth="1"/>
    <col min="5" max="5" width="17.453125" customWidth="1"/>
    <col min="6" max="6" width="14.54296875" style="2043" customWidth="1"/>
  </cols>
  <sheetData>
    <row r="1" spans="1:6">
      <c r="C1" s="2043" t="s">
        <v>11451</v>
      </c>
      <c r="D1" s="186" t="s">
        <v>11452</v>
      </c>
      <c r="E1" s="41" t="s">
        <v>11139</v>
      </c>
      <c r="F1" s="186" t="s">
        <v>11453</v>
      </c>
    </row>
    <row r="2" spans="1:6" ht="14.5">
      <c r="A2" t="s">
        <v>5748</v>
      </c>
      <c r="B2" s="380" t="str">
        <f>CONCATENATE(LEFT(RIGHT(CONCATENATE("000",A2),6),3),"-",(RIGHT(RIGHT(CONCATENATE("000",A2),6),3)))</f>
        <v>001-902</v>
      </c>
      <c r="C2" s="2043">
        <v>0</v>
      </c>
      <c r="D2" s="2043">
        <v>0</v>
      </c>
      <c r="E2">
        <v>1.0547</v>
      </c>
      <c r="F2" s="2043">
        <v>0</v>
      </c>
    </row>
    <row r="3" spans="1:6" ht="14.5">
      <c r="A3" t="s">
        <v>2849</v>
      </c>
      <c r="B3" s="380" t="str">
        <f>CONCATENATE(LEFT(RIGHT(CONCATENATE("000",A3),6),3),"-",(RIGHT(RIGHT(CONCATENATE("000",A3),6),3)))</f>
        <v>001-903</v>
      </c>
      <c r="C3" s="2043">
        <v>239514</v>
      </c>
      <c r="D3" s="2043">
        <v>387103</v>
      </c>
      <c r="E3">
        <v>1.0543</v>
      </c>
      <c r="F3" s="2043">
        <v>601334</v>
      </c>
    </row>
    <row r="4" spans="1:6" ht="14.5">
      <c r="A4" t="s">
        <v>4918</v>
      </c>
      <c r="B4" s="380" t="str">
        <f t="shared" ref="B4:B67" si="0">CONCATENATE(LEFT(RIGHT(CONCATENATE("000",A4),6),3),"-",(RIGHT(RIGHT(CONCATENATE("000",A4),6),3)))</f>
        <v>001-904</v>
      </c>
      <c r="C4" s="2043">
        <v>195039</v>
      </c>
      <c r="D4" s="2043">
        <v>802814</v>
      </c>
      <c r="E4">
        <v>1.0547</v>
      </c>
      <c r="F4" s="2043">
        <v>772890</v>
      </c>
    </row>
    <row r="5" spans="1:6" ht="14.5">
      <c r="A5" t="s">
        <v>4919</v>
      </c>
      <c r="B5" s="380" t="str">
        <f t="shared" si="0"/>
        <v>001-906</v>
      </c>
      <c r="C5" s="2043">
        <v>0</v>
      </c>
      <c r="D5" s="2043">
        <v>305174</v>
      </c>
      <c r="E5">
        <v>1.0547</v>
      </c>
      <c r="F5" s="2043">
        <v>337788</v>
      </c>
    </row>
    <row r="6" spans="1:6" ht="14.5">
      <c r="A6" t="s">
        <v>2850</v>
      </c>
      <c r="B6" s="380" t="str">
        <f t="shared" si="0"/>
        <v>001-907</v>
      </c>
      <c r="C6" s="2043">
        <v>751572</v>
      </c>
      <c r="D6" s="2043">
        <v>2833317</v>
      </c>
      <c r="E6">
        <v>1.0547</v>
      </c>
      <c r="F6" s="2043">
        <v>4024357</v>
      </c>
    </row>
    <row r="7" spans="1:6" ht="14.5">
      <c r="A7" t="s">
        <v>5749</v>
      </c>
      <c r="B7" s="380" t="str">
        <f t="shared" si="0"/>
        <v>001-908</v>
      </c>
      <c r="C7" s="2043">
        <v>0</v>
      </c>
      <c r="D7" s="2043">
        <v>0</v>
      </c>
      <c r="E7">
        <v>1.0527</v>
      </c>
      <c r="F7" s="2043">
        <v>0</v>
      </c>
    </row>
    <row r="8" spans="1:6" ht="14.5">
      <c r="A8" t="s">
        <v>4920</v>
      </c>
      <c r="B8" s="380" t="str">
        <f t="shared" si="0"/>
        <v>001-909</v>
      </c>
      <c r="C8" s="2043">
        <v>87246</v>
      </c>
      <c r="D8" s="2043">
        <v>23718</v>
      </c>
      <c r="E8">
        <v>1.0507</v>
      </c>
      <c r="F8" s="2043">
        <v>97792</v>
      </c>
    </row>
    <row r="9" spans="1:6" ht="14.5">
      <c r="A9" t="s">
        <v>4921</v>
      </c>
      <c r="B9" s="380" t="str">
        <f t="shared" si="0"/>
        <v>002-901</v>
      </c>
      <c r="C9" s="2043">
        <v>0</v>
      </c>
      <c r="D9" s="2043">
        <v>2574433</v>
      </c>
      <c r="E9">
        <v>0.97640000000000005</v>
      </c>
      <c r="F9" s="2043">
        <v>6478756</v>
      </c>
    </row>
    <row r="10" spans="1:6" ht="14.5">
      <c r="A10" t="s">
        <v>7918</v>
      </c>
      <c r="B10" s="380" t="str">
        <f t="shared" si="0"/>
        <v>003-801</v>
      </c>
      <c r="C10" s="2043">
        <v>0</v>
      </c>
      <c r="D10" s="2043">
        <v>0</v>
      </c>
      <c r="E10">
        <v>0</v>
      </c>
      <c r="F10" s="2043">
        <v>0</v>
      </c>
    </row>
    <row r="11" spans="1:6" ht="14.5">
      <c r="A11" t="s">
        <v>2851</v>
      </c>
      <c r="B11" s="380" t="str">
        <f t="shared" si="0"/>
        <v>003-902</v>
      </c>
      <c r="C11" s="2043">
        <v>592525</v>
      </c>
      <c r="D11" s="2043">
        <v>226096</v>
      </c>
      <c r="E11">
        <v>1.026</v>
      </c>
      <c r="F11" s="2043">
        <v>1124198</v>
      </c>
    </row>
    <row r="12" spans="1:6" ht="14.5">
      <c r="A12" t="s">
        <v>4922</v>
      </c>
      <c r="B12" s="380" t="str">
        <f t="shared" si="0"/>
        <v>003-903</v>
      </c>
      <c r="C12" s="2043">
        <v>0</v>
      </c>
      <c r="D12" s="2043">
        <v>6433346</v>
      </c>
      <c r="E12">
        <v>1.0381</v>
      </c>
      <c r="F12" s="2043">
        <v>7598159</v>
      </c>
    </row>
    <row r="13" spans="1:6" ht="14.5">
      <c r="A13" t="s">
        <v>2852</v>
      </c>
      <c r="B13" s="380" t="str">
        <f t="shared" si="0"/>
        <v>003-904</v>
      </c>
      <c r="C13" s="2043">
        <v>536355</v>
      </c>
      <c r="D13" s="2043">
        <v>433375</v>
      </c>
      <c r="E13">
        <v>1.0547</v>
      </c>
      <c r="F13" s="2043">
        <v>655769</v>
      </c>
    </row>
    <row r="14" spans="1:6" ht="14.5">
      <c r="A14" t="s">
        <v>2853</v>
      </c>
      <c r="B14" s="380" t="str">
        <f t="shared" si="0"/>
        <v>003-905</v>
      </c>
      <c r="C14" s="2043">
        <v>245800</v>
      </c>
      <c r="D14" s="2043">
        <v>335270</v>
      </c>
      <c r="E14">
        <v>1.0547</v>
      </c>
      <c r="F14" s="2043">
        <v>331164</v>
      </c>
    </row>
    <row r="15" spans="1:6" ht="14.5">
      <c r="A15" t="s">
        <v>4923</v>
      </c>
      <c r="B15" s="380" t="str">
        <f t="shared" si="0"/>
        <v>003-906</v>
      </c>
      <c r="C15" s="2043">
        <v>0</v>
      </c>
      <c r="D15" s="2043">
        <v>306901</v>
      </c>
      <c r="E15">
        <v>1.0547</v>
      </c>
      <c r="F15" s="2043">
        <v>405236</v>
      </c>
    </row>
    <row r="16" spans="1:6" ht="14.5">
      <c r="A16" t="s">
        <v>2854</v>
      </c>
      <c r="B16" s="380" t="str">
        <f t="shared" si="0"/>
        <v>003-907</v>
      </c>
      <c r="C16" s="2043">
        <v>242653</v>
      </c>
      <c r="D16" s="2043">
        <v>182984</v>
      </c>
      <c r="E16">
        <v>1.0547</v>
      </c>
      <c r="F16" s="2043">
        <v>471887</v>
      </c>
    </row>
    <row r="17" spans="1:6" ht="14.5">
      <c r="A17" t="s">
        <v>4924</v>
      </c>
      <c r="B17" s="380" t="str">
        <f t="shared" si="0"/>
        <v>004-901</v>
      </c>
      <c r="C17" s="2043">
        <v>0</v>
      </c>
      <c r="D17" s="2043">
        <v>954721</v>
      </c>
      <c r="E17">
        <v>0.93010000000000004</v>
      </c>
      <c r="F17" s="2043">
        <v>1642711</v>
      </c>
    </row>
    <row r="18" spans="1:6" ht="14.5">
      <c r="A18" t="s">
        <v>4925</v>
      </c>
      <c r="B18" s="380" t="str">
        <f t="shared" si="0"/>
        <v>005-901</v>
      </c>
      <c r="C18" s="2043">
        <v>0</v>
      </c>
      <c r="D18" s="2043">
        <v>410271</v>
      </c>
      <c r="E18">
        <v>0.93210000000000004</v>
      </c>
      <c r="F18" s="2043">
        <v>946714</v>
      </c>
    </row>
    <row r="19" spans="1:6" ht="14.5">
      <c r="A19" t="s">
        <v>4926</v>
      </c>
      <c r="B19" s="380" t="str">
        <f t="shared" si="0"/>
        <v>005-902</v>
      </c>
      <c r="C19" s="2043">
        <v>229248</v>
      </c>
      <c r="D19" s="2043">
        <v>948394</v>
      </c>
      <c r="E19">
        <v>1.0178</v>
      </c>
      <c r="F19" s="2043">
        <v>1190959</v>
      </c>
    </row>
    <row r="20" spans="1:6" ht="14.5">
      <c r="A20" t="s">
        <v>2855</v>
      </c>
      <c r="B20" s="380" t="str">
        <f t="shared" si="0"/>
        <v>005-904</v>
      </c>
      <c r="C20" s="2043">
        <v>90415</v>
      </c>
      <c r="D20" s="2043">
        <v>34051</v>
      </c>
      <c r="E20">
        <v>1.0547</v>
      </c>
      <c r="F20" s="2043">
        <v>151070</v>
      </c>
    </row>
    <row r="21" spans="1:6" ht="14.5">
      <c r="A21" t="s">
        <v>4927</v>
      </c>
      <c r="B21" s="380" t="str">
        <f t="shared" si="0"/>
        <v>006-902</v>
      </c>
      <c r="C21" s="2043">
        <v>0</v>
      </c>
      <c r="D21" s="2043">
        <v>75219</v>
      </c>
      <c r="E21">
        <v>0.96640000000000004</v>
      </c>
      <c r="F21" s="2043">
        <v>138139</v>
      </c>
    </row>
    <row r="22" spans="1:6" ht="14.5">
      <c r="A22" t="s">
        <v>2856</v>
      </c>
      <c r="B22" s="380" t="str">
        <f t="shared" si="0"/>
        <v>007-901</v>
      </c>
      <c r="C22" s="2043">
        <v>241556</v>
      </c>
      <c r="D22" s="2043">
        <v>145042</v>
      </c>
      <c r="E22">
        <v>1.0547</v>
      </c>
      <c r="F22" s="2043">
        <v>723173</v>
      </c>
    </row>
    <row r="23" spans="1:6" ht="14.5">
      <c r="A23" t="s">
        <v>5750</v>
      </c>
      <c r="B23" s="380" t="str">
        <f t="shared" si="0"/>
        <v>007-902</v>
      </c>
      <c r="C23" s="2043">
        <v>0</v>
      </c>
      <c r="D23" s="2043">
        <v>1706992</v>
      </c>
      <c r="E23">
        <v>1.0547</v>
      </c>
      <c r="F23" s="2043">
        <v>2906396</v>
      </c>
    </row>
    <row r="24" spans="1:6" ht="14.5">
      <c r="A24" t="s">
        <v>2857</v>
      </c>
      <c r="B24" s="380" t="str">
        <f t="shared" si="0"/>
        <v>007-904</v>
      </c>
      <c r="C24" s="2043">
        <v>263485</v>
      </c>
      <c r="D24" s="2043">
        <v>575719</v>
      </c>
      <c r="E24">
        <v>1.0547</v>
      </c>
      <c r="F24" s="2043">
        <v>1165495</v>
      </c>
    </row>
    <row r="25" spans="1:6" ht="14.5">
      <c r="A25" t="s">
        <v>2858</v>
      </c>
      <c r="B25" s="380" t="str">
        <f t="shared" si="0"/>
        <v>007-905</v>
      </c>
      <c r="C25" s="2043">
        <v>618256</v>
      </c>
      <c r="D25" s="2043">
        <v>3161157</v>
      </c>
      <c r="E25">
        <v>1.0547</v>
      </c>
      <c r="F25" s="2043">
        <v>4802829</v>
      </c>
    </row>
    <row r="26" spans="1:6" ht="14.5">
      <c r="A26" t="s">
        <v>2859</v>
      </c>
      <c r="B26" s="380" t="str">
        <f t="shared" si="0"/>
        <v>007-906</v>
      </c>
      <c r="C26" s="2043">
        <v>883461</v>
      </c>
      <c r="D26" s="2043">
        <v>718521</v>
      </c>
      <c r="E26">
        <v>1.0545</v>
      </c>
      <c r="F26" s="2043">
        <v>1341605</v>
      </c>
    </row>
    <row r="27" spans="1:6" ht="14.5">
      <c r="A27" t="s">
        <v>4928</v>
      </c>
      <c r="B27" s="380" t="str">
        <f t="shared" si="0"/>
        <v>008-901</v>
      </c>
      <c r="C27" s="2043">
        <v>0</v>
      </c>
      <c r="D27" s="2043">
        <v>1239791</v>
      </c>
      <c r="E27">
        <v>0.99520000000000008</v>
      </c>
      <c r="F27" s="2043">
        <v>2095049</v>
      </c>
    </row>
    <row r="28" spans="1:6" ht="14.5">
      <c r="A28" t="s">
        <v>4929</v>
      </c>
      <c r="B28" s="380" t="str">
        <f t="shared" si="0"/>
        <v>008-902</v>
      </c>
      <c r="C28" s="2043">
        <v>0</v>
      </c>
      <c r="D28" s="2043">
        <v>2950607</v>
      </c>
      <c r="E28">
        <v>0.96640000000000004</v>
      </c>
      <c r="F28" s="2043">
        <v>4319026</v>
      </c>
    </row>
    <row r="29" spans="1:6" ht="14.5">
      <c r="A29" t="s">
        <v>4930</v>
      </c>
      <c r="B29" s="380" t="str">
        <f t="shared" si="0"/>
        <v>008-903</v>
      </c>
      <c r="C29" s="2043">
        <v>0</v>
      </c>
      <c r="D29" s="2043">
        <v>941710</v>
      </c>
      <c r="E29">
        <v>0.92210000000000003</v>
      </c>
      <c r="F29" s="2043">
        <v>1107320</v>
      </c>
    </row>
    <row r="30" spans="1:6" ht="14.5">
      <c r="A30" t="s">
        <v>2860</v>
      </c>
      <c r="B30" s="380" t="str">
        <f t="shared" si="0"/>
        <v>009-901</v>
      </c>
      <c r="C30" s="2043">
        <v>170998</v>
      </c>
      <c r="D30" s="2043">
        <v>531069</v>
      </c>
      <c r="E30">
        <v>1.0437000000000001</v>
      </c>
      <c r="F30" s="2043">
        <v>582615</v>
      </c>
    </row>
    <row r="31" spans="1:6" ht="14.5">
      <c r="A31" t="s">
        <v>5751</v>
      </c>
      <c r="B31" s="380" t="str">
        <f t="shared" si="0"/>
        <v>010-901</v>
      </c>
      <c r="C31" s="2043">
        <v>0</v>
      </c>
      <c r="D31" s="2043">
        <v>214885</v>
      </c>
      <c r="E31">
        <v>1.0864</v>
      </c>
      <c r="F31" s="2043">
        <v>478961</v>
      </c>
    </row>
    <row r="32" spans="1:6" ht="14.5">
      <c r="A32" t="s">
        <v>2861</v>
      </c>
      <c r="B32" s="380" t="str">
        <f t="shared" si="0"/>
        <v>010-902</v>
      </c>
      <c r="C32" s="2043">
        <v>691574</v>
      </c>
      <c r="D32" s="2043">
        <v>718476</v>
      </c>
      <c r="E32">
        <v>0.96640000000000004</v>
      </c>
      <c r="F32" s="2043">
        <v>2060029</v>
      </c>
    </row>
    <row r="33" spans="1:6" ht="14.5">
      <c r="A33" t="s">
        <v>2862</v>
      </c>
      <c r="B33" s="380" t="str">
        <f t="shared" si="0"/>
        <v>011-901</v>
      </c>
      <c r="C33" s="2043">
        <v>5470649</v>
      </c>
      <c r="D33" s="2043">
        <v>6695595</v>
      </c>
      <c r="E33">
        <v>0.92</v>
      </c>
      <c r="F33" s="2043">
        <v>18599264</v>
      </c>
    </row>
    <row r="34" spans="1:6" ht="14.5">
      <c r="A34" t="s">
        <v>2863</v>
      </c>
      <c r="B34" s="380" t="str">
        <f t="shared" si="0"/>
        <v>011-902</v>
      </c>
      <c r="C34" s="2043">
        <v>1542229</v>
      </c>
      <c r="D34" s="2043">
        <v>4351537</v>
      </c>
      <c r="E34">
        <v>1.0125</v>
      </c>
      <c r="F34" s="2043">
        <v>7061852</v>
      </c>
    </row>
    <row r="35" spans="1:6" ht="14.5">
      <c r="A35" t="s">
        <v>2864</v>
      </c>
      <c r="B35" s="380" t="str">
        <f t="shared" si="0"/>
        <v>011-904</v>
      </c>
      <c r="C35" s="2043">
        <v>449656</v>
      </c>
      <c r="D35" s="2043">
        <v>1456773</v>
      </c>
      <c r="E35">
        <v>1.0253000000000001</v>
      </c>
      <c r="F35" s="2043">
        <v>2771040</v>
      </c>
    </row>
    <row r="36" spans="1:6" ht="14.5">
      <c r="A36" t="s">
        <v>2865</v>
      </c>
      <c r="B36" s="380" t="str">
        <f t="shared" si="0"/>
        <v>011-905</v>
      </c>
      <c r="C36" s="2043">
        <v>82301</v>
      </c>
      <c r="D36" s="2043">
        <v>0</v>
      </c>
      <c r="E36">
        <v>0.93530000000000002</v>
      </c>
      <c r="F36" s="2043">
        <v>74764</v>
      </c>
    </row>
    <row r="37" spans="1:6" ht="14.5">
      <c r="A37" t="s">
        <v>5752</v>
      </c>
      <c r="B37" s="380" t="str">
        <f t="shared" si="0"/>
        <v>012-901</v>
      </c>
      <c r="C37" s="2043">
        <v>0</v>
      </c>
      <c r="D37" s="2043">
        <v>117757</v>
      </c>
      <c r="E37">
        <v>0.87470000000000003</v>
      </c>
      <c r="F37" s="2043">
        <v>341752</v>
      </c>
    </row>
    <row r="38" spans="1:6" ht="14.5">
      <c r="A38" t="s">
        <v>7919</v>
      </c>
      <c r="B38" s="380" t="str">
        <f t="shared" si="0"/>
        <v>013-801</v>
      </c>
      <c r="C38" s="2043">
        <v>0</v>
      </c>
      <c r="D38" s="2043">
        <v>0</v>
      </c>
      <c r="E38">
        <v>0</v>
      </c>
      <c r="F38" s="2043">
        <v>0</v>
      </c>
    </row>
    <row r="39" spans="1:6" ht="14.5">
      <c r="A39" t="s">
        <v>2866</v>
      </c>
      <c r="B39" s="380" t="str">
        <f t="shared" si="0"/>
        <v>013-901</v>
      </c>
      <c r="C39" s="2043">
        <v>961421</v>
      </c>
      <c r="D39" s="2043">
        <v>120156</v>
      </c>
      <c r="E39">
        <v>1.0547</v>
      </c>
      <c r="F39" s="2043">
        <v>1121157</v>
      </c>
    </row>
    <row r="40" spans="1:6" ht="14.5">
      <c r="A40" t="s">
        <v>4931</v>
      </c>
      <c r="B40" s="380" t="str">
        <f t="shared" si="0"/>
        <v>013-902</v>
      </c>
      <c r="C40" s="2043">
        <v>0</v>
      </c>
      <c r="D40" s="2043">
        <v>279200</v>
      </c>
      <c r="E40">
        <v>0.96640000000000004</v>
      </c>
      <c r="F40" s="2043">
        <v>758987</v>
      </c>
    </row>
    <row r="41" spans="1:6" ht="14.5">
      <c r="A41" t="s">
        <v>4932</v>
      </c>
      <c r="B41" s="380" t="str">
        <f t="shared" si="0"/>
        <v>013-903</v>
      </c>
      <c r="C41" s="2043">
        <v>0</v>
      </c>
      <c r="D41" s="2043">
        <v>387042</v>
      </c>
      <c r="E41">
        <v>1.0045999999999999</v>
      </c>
      <c r="F41" s="2043">
        <v>1576839</v>
      </c>
    </row>
    <row r="42" spans="1:6" ht="14.5">
      <c r="A42" t="s">
        <v>2867</v>
      </c>
      <c r="B42" s="380" t="str">
        <f t="shared" si="0"/>
        <v>013-905</v>
      </c>
      <c r="C42" s="2043">
        <v>545067</v>
      </c>
      <c r="D42" s="2043">
        <v>144508</v>
      </c>
      <c r="E42">
        <v>0.96300000000000008</v>
      </c>
      <c r="F42" s="2043">
        <v>1163679</v>
      </c>
    </row>
    <row r="43" spans="1:6" ht="14.5">
      <c r="A43" t="s">
        <v>7920</v>
      </c>
      <c r="B43" s="380" t="str">
        <f t="shared" si="0"/>
        <v>014-801</v>
      </c>
      <c r="C43" s="2043">
        <v>0</v>
      </c>
      <c r="D43" s="2043">
        <v>0</v>
      </c>
      <c r="E43">
        <v>0</v>
      </c>
      <c r="F43" s="2043">
        <v>0</v>
      </c>
    </row>
    <row r="44" spans="1:6" ht="14.5">
      <c r="A44" t="s">
        <v>7921</v>
      </c>
      <c r="B44" s="380" t="str">
        <f t="shared" si="0"/>
        <v>014-803</v>
      </c>
      <c r="C44" s="2043">
        <v>0</v>
      </c>
      <c r="D44" s="2043">
        <v>0</v>
      </c>
      <c r="E44">
        <v>0</v>
      </c>
      <c r="F44" s="2043">
        <v>0</v>
      </c>
    </row>
    <row r="45" spans="1:6" ht="14.5">
      <c r="A45" t="s">
        <v>7922</v>
      </c>
      <c r="B45" s="380" t="str">
        <f t="shared" si="0"/>
        <v>014-804</v>
      </c>
      <c r="C45" s="2043">
        <v>0</v>
      </c>
      <c r="D45" s="2043">
        <v>0</v>
      </c>
      <c r="E45">
        <v>0</v>
      </c>
      <c r="F45" s="2043">
        <v>0</v>
      </c>
    </row>
    <row r="46" spans="1:6" ht="14.5">
      <c r="A46" t="s">
        <v>4933</v>
      </c>
      <c r="B46" s="380" t="str">
        <f t="shared" si="0"/>
        <v>014-901</v>
      </c>
      <c r="C46" s="2043">
        <v>0</v>
      </c>
      <c r="D46" s="2043">
        <v>1286626</v>
      </c>
      <c r="E46">
        <v>0.87470000000000003</v>
      </c>
      <c r="F46" s="2043">
        <v>1649450</v>
      </c>
    </row>
    <row r="47" spans="1:6" ht="14.5">
      <c r="A47" t="s">
        <v>2868</v>
      </c>
      <c r="B47" s="380" t="str">
        <f t="shared" si="0"/>
        <v>014-902</v>
      </c>
      <c r="C47" s="2043">
        <v>104211</v>
      </c>
      <c r="D47" s="2043">
        <v>46513</v>
      </c>
      <c r="E47">
        <v>0.96640000000000004</v>
      </c>
      <c r="F47" s="2043">
        <v>164063</v>
      </c>
    </row>
    <row r="48" spans="1:6" ht="14.5">
      <c r="A48" t="s">
        <v>2869</v>
      </c>
      <c r="B48" s="380" t="str">
        <f t="shared" si="0"/>
        <v>014-903</v>
      </c>
      <c r="C48" s="2043">
        <v>0</v>
      </c>
      <c r="D48" s="2043">
        <v>11882931</v>
      </c>
      <c r="E48">
        <v>0.96830000000000005</v>
      </c>
      <c r="F48" s="2043">
        <v>15881013</v>
      </c>
    </row>
    <row r="49" spans="1:6" ht="14.5">
      <c r="A49" t="s">
        <v>2870</v>
      </c>
      <c r="B49" s="380" t="str">
        <f t="shared" si="0"/>
        <v>014-905</v>
      </c>
      <c r="C49" s="2043">
        <v>194513</v>
      </c>
      <c r="D49" s="2043">
        <v>254632</v>
      </c>
      <c r="E49">
        <v>0.8841</v>
      </c>
      <c r="F49" s="2043">
        <v>474222</v>
      </c>
    </row>
    <row r="50" spans="1:6" ht="14.5">
      <c r="A50" t="s">
        <v>2871</v>
      </c>
      <c r="B50" s="380" t="str">
        <f t="shared" si="0"/>
        <v>014-906</v>
      </c>
      <c r="C50" s="2043">
        <v>3545905</v>
      </c>
      <c r="D50" s="2043">
        <v>12011752</v>
      </c>
      <c r="E50">
        <v>0.92010000000000003</v>
      </c>
      <c r="F50" s="2043">
        <v>15233233</v>
      </c>
    </row>
    <row r="51" spans="1:6" ht="14.5">
      <c r="A51" t="s">
        <v>2872</v>
      </c>
      <c r="B51" s="380" t="str">
        <f t="shared" si="0"/>
        <v>014-907</v>
      </c>
      <c r="C51" s="2043">
        <v>430059</v>
      </c>
      <c r="D51" s="2043">
        <v>89690</v>
      </c>
      <c r="E51">
        <v>0.96640000000000004</v>
      </c>
      <c r="F51" s="2043">
        <v>504647</v>
      </c>
    </row>
    <row r="52" spans="1:6" ht="14.5">
      <c r="A52" t="s">
        <v>2873</v>
      </c>
      <c r="B52" s="380" t="str">
        <f t="shared" si="0"/>
        <v>014-908</v>
      </c>
      <c r="C52" s="2043">
        <v>211189</v>
      </c>
      <c r="D52" s="2043">
        <v>1030237</v>
      </c>
      <c r="E52">
        <v>0.87470000000000003</v>
      </c>
      <c r="F52" s="2043">
        <v>5414385</v>
      </c>
    </row>
    <row r="53" spans="1:6" ht="14.5">
      <c r="A53" t="s">
        <v>2874</v>
      </c>
      <c r="B53" s="380" t="str">
        <f t="shared" si="0"/>
        <v>014-909</v>
      </c>
      <c r="C53" s="2043">
        <v>1498738</v>
      </c>
      <c r="D53" s="2043">
        <v>9049078</v>
      </c>
      <c r="E53">
        <v>0.9638000000000001</v>
      </c>
      <c r="F53" s="2043">
        <v>14582699</v>
      </c>
    </row>
    <row r="54" spans="1:6" ht="14.5">
      <c r="A54" t="s">
        <v>2875</v>
      </c>
      <c r="B54" s="380" t="str">
        <f t="shared" si="0"/>
        <v>014-910</v>
      </c>
      <c r="C54" s="2043">
        <v>257394</v>
      </c>
      <c r="D54" s="2043">
        <v>694644</v>
      </c>
      <c r="E54">
        <v>0.86470000000000002</v>
      </c>
      <c r="F54" s="2043">
        <v>1853133</v>
      </c>
    </row>
    <row r="55" spans="1:6" ht="14.5">
      <c r="A55" t="s">
        <v>7923</v>
      </c>
      <c r="B55" s="380" t="str">
        <f t="shared" si="0"/>
        <v>015-801</v>
      </c>
      <c r="C55" s="2043">
        <v>0</v>
      </c>
      <c r="D55" s="2043">
        <v>0</v>
      </c>
      <c r="E55">
        <v>0</v>
      </c>
      <c r="F55" s="2043">
        <v>0</v>
      </c>
    </row>
    <row r="56" spans="1:6" ht="14.5">
      <c r="A56" t="s">
        <v>7924</v>
      </c>
      <c r="B56" s="380" t="str">
        <f t="shared" si="0"/>
        <v>015-802</v>
      </c>
      <c r="C56" s="2043">
        <v>0</v>
      </c>
      <c r="D56" s="2043">
        <v>0</v>
      </c>
      <c r="E56">
        <v>0</v>
      </c>
      <c r="F56" s="2043">
        <v>0</v>
      </c>
    </row>
    <row r="57" spans="1:6" ht="14.5">
      <c r="A57" t="s">
        <v>7925</v>
      </c>
      <c r="B57" s="380" t="str">
        <f t="shared" si="0"/>
        <v>015-805</v>
      </c>
      <c r="C57" s="2043">
        <v>0</v>
      </c>
      <c r="D57" s="2043">
        <v>0</v>
      </c>
      <c r="E57">
        <v>0</v>
      </c>
      <c r="F57" s="2043">
        <v>0</v>
      </c>
    </row>
    <row r="58" spans="1:6" ht="14.5">
      <c r="A58" t="s">
        <v>7926</v>
      </c>
      <c r="B58" s="380" t="str">
        <f t="shared" si="0"/>
        <v>015-806</v>
      </c>
      <c r="C58" s="2043">
        <v>0</v>
      </c>
      <c r="D58" s="2043">
        <v>0</v>
      </c>
      <c r="E58">
        <v>0</v>
      </c>
      <c r="F58" s="2043">
        <v>0</v>
      </c>
    </row>
    <row r="59" spans="1:6" ht="14.5">
      <c r="A59" t="s">
        <v>7927</v>
      </c>
      <c r="B59" s="380" t="str">
        <f t="shared" si="0"/>
        <v>015-807</v>
      </c>
      <c r="C59" s="2043">
        <v>0</v>
      </c>
      <c r="D59" s="2043">
        <v>0</v>
      </c>
      <c r="E59">
        <v>0</v>
      </c>
      <c r="F59" s="2043">
        <v>0</v>
      </c>
    </row>
    <row r="60" spans="1:6" ht="14.5">
      <c r="A60" t="s">
        <v>7928</v>
      </c>
      <c r="B60" s="380" t="str">
        <f t="shared" si="0"/>
        <v>015-808</v>
      </c>
      <c r="C60" s="2043">
        <v>0</v>
      </c>
      <c r="D60" s="2043">
        <v>0</v>
      </c>
      <c r="E60">
        <v>0</v>
      </c>
      <c r="F60" s="2043">
        <v>0</v>
      </c>
    </row>
    <row r="61" spans="1:6" ht="14.5">
      <c r="A61" t="s">
        <v>7929</v>
      </c>
      <c r="B61" s="380" t="str">
        <f t="shared" si="0"/>
        <v>015-809</v>
      </c>
      <c r="C61" s="2043">
        <v>0</v>
      </c>
      <c r="D61" s="2043">
        <v>0</v>
      </c>
      <c r="E61">
        <v>0</v>
      </c>
      <c r="F61" s="2043">
        <v>0</v>
      </c>
    </row>
    <row r="62" spans="1:6" ht="14.5">
      <c r="A62" t="s">
        <v>7930</v>
      </c>
      <c r="B62" s="380" t="str">
        <f t="shared" si="0"/>
        <v>015-814</v>
      </c>
      <c r="C62" s="2043">
        <v>0</v>
      </c>
      <c r="D62" s="2043">
        <v>0</v>
      </c>
      <c r="E62">
        <v>0</v>
      </c>
      <c r="F62" s="2043">
        <v>0</v>
      </c>
    </row>
    <row r="63" spans="1:6" ht="14.5">
      <c r="A63" t="s">
        <v>7931</v>
      </c>
      <c r="B63" s="380" t="str">
        <f t="shared" si="0"/>
        <v>015-815</v>
      </c>
      <c r="C63" s="2043">
        <v>0</v>
      </c>
      <c r="D63" s="2043">
        <v>0</v>
      </c>
      <c r="E63">
        <v>0</v>
      </c>
      <c r="F63" s="2043">
        <v>0</v>
      </c>
    </row>
    <row r="64" spans="1:6" ht="14.5">
      <c r="A64" t="s">
        <v>7932</v>
      </c>
      <c r="B64" s="380" t="str">
        <f t="shared" si="0"/>
        <v>015-822</v>
      </c>
      <c r="C64" s="2043">
        <v>0</v>
      </c>
      <c r="D64" s="2043">
        <v>0</v>
      </c>
      <c r="E64">
        <v>0</v>
      </c>
      <c r="F64" s="2043">
        <v>0</v>
      </c>
    </row>
    <row r="65" spans="1:6" ht="14.5">
      <c r="A65" t="s">
        <v>7933</v>
      </c>
      <c r="B65" s="380" t="str">
        <f t="shared" si="0"/>
        <v>015-825</v>
      </c>
      <c r="C65" s="2043">
        <v>0</v>
      </c>
      <c r="D65" s="2043">
        <v>0</v>
      </c>
      <c r="E65">
        <v>0</v>
      </c>
      <c r="F65" s="2043">
        <v>0</v>
      </c>
    </row>
    <row r="66" spans="1:6" ht="14.5">
      <c r="A66" t="s">
        <v>7934</v>
      </c>
      <c r="B66" s="380" t="str">
        <f t="shared" si="0"/>
        <v>015-827</v>
      </c>
      <c r="C66" s="2043">
        <v>0</v>
      </c>
      <c r="D66" s="2043">
        <v>0</v>
      </c>
      <c r="E66">
        <v>0</v>
      </c>
      <c r="F66" s="2043">
        <v>0</v>
      </c>
    </row>
    <row r="67" spans="1:6" ht="14.5">
      <c r="A67" t="s">
        <v>7935</v>
      </c>
      <c r="B67" s="380" t="str">
        <f t="shared" si="0"/>
        <v>015-828</v>
      </c>
      <c r="C67" s="2043">
        <v>0</v>
      </c>
      <c r="D67" s="2043">
        <v>0</v>
      </c>
      <c r="E67">
        <v>0</v>
      </c>
      <c r="F67" s="2043">
        <v>0</v>
      </c>
    </row>
    <row r="68" spans="1:6" ht="14.5">
      <c r="A68" t="s">
        <v>7936</v>
      </c>
      <c r="B68" s="380" t="str">
        <f t="shared" ref="B68:B131" si="1">CONCATENATE(LEFT(RIGHT(CONCATENATE("000",A68),6),3),"-",(RIGHT(RIGHT(CONCATENATE("000",A68),6),3)))</f>
        <v>015-830</v>
      </c>
      <c r="C68" s="2043">
        <v>0</v>
      </c>
      <c r="D68" s="2043">
        <v>0</v>
      </c>
      <c r="E68">
        <v>0</v>
      </c>
      <c r="F68" s="2043">
        <v>0</v>
      </c>
    </row>
    <row r="69" spans="1:6" ht="14.5">
      <c r="A69" t="s">
        <v>7937</v>
      </c>
      <c r="B69" s="380" t="str">
        <f t="shared" si="1"/>
        <v>015-831</v>
      </c>
      <c r="C69" s="2043">
        <v>0</v>
      </c>
      <c r="D69" s="2043">
        <v>0</v>
      </c>
      <c r="E69">
        <v>0</v>
      </c>
      <c r="F69" s="2043">
        <v>0</v>
      </c>
    </row>
    <row r="70" spans="1:6" ht="14.5">
      <c r="A70" t="s">
        <v>7938</v>
      </c>
      <c r="B70" s="380" t="str">
        <f t="shared" si="1"/>
        <v>015-833</v>
      </c>
      <c r="C70" s="2043">
        <v>0</v>
      </c>
      <c r="D70" s="2043">
        <v>0</v>
      </c>
      <c r="E70">
        <v>0</v>
      </c>
      <c r="F70" s="2043">
        <v>0</v>
      </c>
    </row>
    <row r="71" spans="1:6" ht="14.5">
      <c r="A71" t="s">
        <v>7939</v>
      </c>
      <c r="B71" s="380" t="str">
        <f t="shared" si="1"/>
        <v>015-834</v>
      </c>
      <c r="C71" s="2043">
        <v>0</v>
      </c>
      <c r="D71" s="2043">
        <v>0</v>
      </c>
      <c r="E71">
        <v>0</v>
      </c>
      <c r="F71" s="2043">
        <v>0</v>
      </c>
    </row>
    <row r="72" spans="1:6" ht="14.5">
      <c r="A72" t="s">
        <v>7940</v>
      </c>
      <c r="B72" s="380" t="str">
        <f t="shared" si="1"/>
        <v>015-835</v>
      </c>
      <c r="C72" s="2043">
        <v>0</v>
      </c>
      <c r="D72" s="2043">
        <v>0</v>
      </c>
      <c r="E72">
        <v>0</v>
      </c>
      <c r="F72" s="2043">
        <v>0</v>
      </c>
    </row>
    <row r="73" spans="1:6" ht="14.5">
      <c r="A73" t="s">
        <v>7941</v>
      </c>
      <c r="B73" s="380" t="str">
        <f t="shared" si="1"/>
        <v>015-836</v>
      </c>
      <c r="C73" s="2043">
        <v>0</v>
      </c>
      <c r="D73" s="2043">
        <v>0</v>
      </c>
      <c r="E73">
        <v>0</v>
      </c>
      <c r="F73" s="2043">
        <v>0</v>
      </c>
    </row>
    <row r="74" spans="1:6" ht="14.5">
      <c r="A74" t="s">
        <v>7942</v>
      </c>
      <c r="B74" s="380" t="str">
        <f t="shared" si="1"/>
        <v>015-838</v>
      </c>
      <c r="C74" s="2043">
        <v>0</v>
      </c>
      <c r="D74" s="2043">
        <v>0</v>
      </c>
      <c r="E74">
        <v>0</v>
      </c>
      <c r="F74" s="2043">
        <v>0</v>
      </c>
    </row>
    <row r="75" spans="1:6" ht="14.5">
      <c r="A75" t="s">
        <v>7943</v>
      </c>
      <c r="B75" s="380" t="str">
        <f t="shared" si="1"/>
        <v>015-839</v>
      </c>
      <c r="C75" s="2043">
        <v>0</v>
      </c>
      <c r="D75" s="2043">
        <v>0</v>
      </c>
      <c r="E75">
        <v>0</v>
      </c>
      <c r="F75" s="2043">
        <v>0</v>
      </c>
    </row>
    <row r="76" spans="1:6" ht="14.5">
      <c r="A76" t="s">
        <v>8776</v>
      </c>
      <c r="B76" s="380" t="str">
        <f t="shared" si="1"/>
        <v>015-840</v>
      </c>
      <c r="C76" s="2043">
        <v>0</v>
      </c>
      <c r="D76" s="2043">
        <v>0</v>
      </c>
      <c r="E76">
        <v>0</v>
      </c>
      <c r="F76" s="2043">
        <v>0</v>
      </c>
    </row>
    <row r="77" spans="1:6" ht="14.5">
      <c r="A77" t="s">
        <v>8777</v>
      </c>
      <c r="B77" s="380" t="str">
        <f t="shared" si="1"/>
        <v>015-841</v>
      </c>
      <c r="C77" s="2043">
        <v>0</v>
      </c>
      <c r="D77" s="2043">
        <v>0</v>
      </c>
      <c r="E77">
        <v>0</v>
      </c>
      <c r="F77" s="2043">
        <v>0</v>
      </c>
    </row>
    <row r="78" spans="1:6" ht="14.5">
      <c r="A78" t="s">
        <v>4934</v>
      </c>
      <c r="B78" s="380" t="str">
        <f t="shared" si="1"/>
        <v>015-901</v>
      </c>
      <c r="C78" s="2043">
        <v>0</v>
      </c>
      <c r="D78" s="2043">
        <v>3790330</v>
      </c>
      <c r="E78">
        <v>0.97640000000000005</v>
      </c>
      <c r="F78" s="2043">
        <v>15717385</v>
      </c>
    </row>
    <row r="79" spans="1:6" ht="14.5">
      <c r="A79" t="s">
        <v>2876</v>
      </c>
      <c r="B79" s="380" t="str">
        <f t="shared" si="1"/>
        <v>015-904</v>
      </c>
      <c r="C79" s="2043">
        <v>4755095</v>
      </c>
      <c r="D79" s="2043">
        <v>3371093</v>
      </c>
      <c r="E79">
        <v>0.99760000000000004</v>
      </c>
      <c r="F79" s="2043">
        <v>8646227</v>
      </c>
    </row>
    <row r="80" spans="1:6" ht="14.5">
      <c r="A80" t="s">
        <v>2877</v>
      </c>
      <c r="B80" s="380" t="str">
        <f t="shared" si="1"/>
        <v>015-905</v>
      </c>
      <c r="C80" s="2043">
        <v>3780937</v>
      </c>
      <c r="D80" s="2043">
        <v>49774</v>
      </c>
      <c r="E80">
        <v>1.0314000000000001</v>
      </c>
      <c r="F80" s="2043">
        <v>3754083</v>
      </c>
    </row>
    <row r="81" spans="1:6" ht="14.5">
      <c r="A81" t="s">
        <v>7351</v>
      </c>
      <c r="B81" s="380" t="str">
        <f t="shared" si="1"/>
        <v>015-906</v>
      </c>
      <c r="C81" s="2043">
        <v>0</v>
      </c>
      <c r="D81" s="2043">
        <v>0</v>
      </c>
      <c r="E81">
        <v>0</v>
      </c>
      <c r="F81" s="2043">
        <v>0</v>
      </c>
    </row>
    <row r="82" spans="1:6" ht="14.5">
      <c r="A82" t="s">
        <v>2878</v>
      </c>
      <c r="B82" s="380" t="str">
        <f t="shared" si="1"/>
        <v>015-907</v>
      </c>
      <c r="C82" s="2043">
        <v>41851977</v>
      </c>
      <c r="D82" s="2043">
        <v>27953523</v>
      </c>
      <c r="E82">
        <v>1.0211000000000001</v>
      </c>
      <c r="F82" s="2043">
        <v>102539356</v>
      </c>
    </row>
    <row r="83" spans="1:6" ht="14.5">
      <c r="A83" t="s">
        <v>2879</v>
      </c>
      <c r="B83" s="380" t="str">
        <f t="shared" si="1"/>
        <v>015-908</v>
      </c>
      <c r="C83" s="2043">
        <v>4729363</v>
      </c>
      <c r="D83" s="2043">
        <v>4270332</v>
      </c>
      <c r="E83">
        <v>0.91120000000000001</v>
      </c>
      <c r="F83" s="2043">
        <v>9339841</v>
      </c>
    </row>
    <row r="84" spans="1:6" ht="14.5">
      <c r="A84" t="s">
        <v>2880</v>
      </c>
      <c r="B84" s="380" t="str">
        <f t="shared" si="1"/>
        <v>015-909</v>
      </c>
      <c r="C84" s="2043">
        <v>964013</v>
      </c>
      <c r="D84" s="2043">
        <v>181388</v>
      </c>
      <c r="E84">
        <v>1.0123</v>
      </c>
      <c r="F84" s="2043">
        <v>1840082</v>
      </c>
    </row>
    <row r="85" spans="1:6" ht="14.5">
      <c r="A85" t="s">
        <v>2881</v>
      </c>
      <c r="B85" s="380" t="str">
        <f t="shared" si="1"/>
        <v>015-910</v>
      </c>
      <c r="C85" s="2043">
        <v>0</v>
      </c>
      <c r="D85" s="2043">
        <v>67511758</v>
      </c>
      <c r="E85">
        <v>0.96340000000000003</v>
      </c>
      <c r="F85" s="2043">
        <v>131797541</v>
      </c>
    </row>
    <row r="86" spans="1:6" ht="14.5">
      <c r="A86" t="s">
        <v>2882</v>
      </c>
      <c r="B86" s="380" t="str">
        <f t="shared" si="1"/>
        <v>015-911</v>
      </c>
      <c r="C86" s="2043">
        <v>5963016</v>
      </c>
      <c r="D86" s="2043">
        <v>3233444</v>
      </c>
      <c r="E86">
        <v>0.92600000000000005</v>
      </c>
      <c r="F86" s="2043">
        <v>9933824</v>
      </c>
    </row>
    <row r="87" spans="1:6" ht="14.5">
      <c r="A87" t="s">
        <v>2883</v>
      </c>
      <c r="B87" s="380" t="str">
        <f t="shared" si="1"/>
        <v>015-912</v>
      </c>
      <c r="C87" s="2043">
        <v>8423047</v>
      </c>
      <c r="D87" s="2043">
        <v>8294681</v>
      </c>
      <c r="E87">
        <v>0.99990000000000001</v>
      </c>
      <c r="F87" s="2043">
        <v>17490853</v>
      </c>
    </row>
    <row r="88" spans="1:6" ht="14.5">
      <c r="A88" t="s">
        <v>7352</v>
      </c>
      <c r="B88" s="380" t="str">
        <f t="shared" si="1"/>
        <v>015-913</v>
      </c>
      <c r="C88" s="2043">
        <v>0</v>
      </c>
      <c r="D88" s="2043">
        <v>0</v>
      </c>
      <c r="E88">
        <v>0</v>
      </c>
      <c r="F88" s="2043">
        <v>0</v>
      </c>
    </row>
    <row r="89" spans="1:6" ht="14.5">
      <c r="A89" t="s">
        <v>7353</v>
      </c>
      <c r="B89" s="380" t="str">
        <f t="shared" si="1"/>
        <v>015-914</v>
      </c>
      <c r="C89" s="2043">
        <v>0</v>
      </c>
      <c r="D89" s="2043">
        <v>0</v>
      </c>
      <c r="E89">
        <v>0</v>
      </c>
      <c r="F89" s="2043">
        <v>0</v>
      </c>
    </row>
    <row r="90" spans="1:6" ht="14.5">
      <c r="A90" t="s">
        <v>2884</v>
      </c>
      <c r="B90" s="380" t="str">
        <f t="shared" si="1"/>
        <v>015-915</v>
      </c>
      <c r="C90" s="2043">
        <v>1533792</v>
      </c>
      <c r="D90" s="2043">
        <v>113871711</v>
      </c>
      <c r="E90">
        <v>0.95020000000000004</v>
      </c>
      <c r="F90" s="2043">
        <v>203402511</v>
      </c>
    </row>
    <row r="91" spans="1:6" ht="14.5">
      <c r="A91" t="s">
        <v>2885</v>
      </c>
      <c r="B91" s="380" t="str">
        <f t="shared" si="1"/>
        <v>015-916</v>
      </c>
      <c r="C91" s="2043">
        <v>14172401</v>
      </c>
      <c r="D91" s="2043">
        <v>23379280</v>
      </c>
      <c r="E91">
        <v>0.91210000000000002</v>
      </c>
      <c r="F91" s="2043">
        <v>40516516</v>
      </c>
    </row>
    <row r="92" spans="1:6" ht="14.5">
      <c r="A92" t="s">
        <v>2886</v>
      </c>
      <c r="B92" s="380" t="str">
        <f t="shared" si="1"/>
        <v>015-917</v>
      </c>
      <c r="C92" s="2043">
        <v>3068865</v>
      </c>
      <c r="D92" s="2043">
        <v>2576627</v>
      </c>
      <c r="E92">
        <v>1.0530000000000002</v>
      </c>
      <c r="F92" s="2043">
        <v>5883664</v>
      </c>
    </row>
    <row r="93" spans="1:6" ht="14.5">
      <c r="A93" t="s">
        <v>8502</v>
      </c>
      <c r="B93" s="380" t="str">
        <f t="shared" si="1"/>
        <v>015-950</v>
      </c>
      <c r="C93" s="2043">
        <v>0</v>
      </c>
      <c r="D93" s="2043">
        <v>0</v>
      </c>
      <c r="E93">
        <v>0</v>
      </c>
      <c r="F93" s="2043">
        <v>0</v>
      </c>
    </row>
    <row r="94" spans="1:6" ht="14.5">
      <c r="A94" t="s">
        <v>4935</v>
      </c>
      <c r="B94" s="380" t="str">
        <f t="shared" si="1"/>
        <v>016-901</v>
      </c>
      <c r="C94" s="2043">
        <v>0</v>
      </c>
      <c r="D94" s="2043">
        <v>247605</v>
      </c>
      <c r="E94">
        <v>0.94990000000000008</v>
      </c>
      <c r="F94" s="2043">
        <v>1874655</v>
      </c>
    </row>
    <row r="95" spans="1:6" ht="14.5">
      <c r="A95" t="s">
        <v>2887</v>
      </c>
      <c r="B95" s="380" t="str">
        <f t="shared" si="1"/>
        <v>016-902</v>
      </c>
      <c r="C95" s="2043">
        <v>248495</v>
      </c>
      <c r="D95" s="2043">
        <v>431012</v>
      </c>
      <c r="E95">
        <v>0.9073</v>
      </c>
      <c r="F95" s="2043">
        <v>1560162</v>
      </c>
    </row>
    <row r="96" spans="1:6" ht="14.5">
      <c r="A96" t="s">
        <v>4936</v>
      </c>
      <c r="B96" s="380" t="str">
        <f t="shared" si="1"/>
        <v>017-901</v>
      </c>
      <c r="C96" s="2043">
        <v>0</v>
      </c>
      <c r="D96" s="2043">
        <v>225062</v>
      </c>
      <c r="E96">
        <v>0.96640000000000004</v>
      </c>
      <c r="F96" s="2043">
        <v>2742988</v>
      </c>
    </row>
    <row r="97" spans="1:6" ht="14.5">
      <c r="A97" t="s">
        <v>2888</v>
      </c>
      <c r="B97" s="380" t="str">
        <f t="shared" si="1"/>
        <v>018-901</v>
      </c>
      <c r="C97" s="2043">
        <v>0</v>
      </c>
      <c r="D97" s="2043">
        <v>945011</v>
      </c>
      <c r="E97">
        <v>0.91770000000000007</v>
      </c>
      <c r="F97" s="2043">
        <v>2037106</v>
      </c>
    </row>
    <row r="98" spans="1:6" ht="14.5">
      <c r="A98" t="s">
        <v>2889</v>
      </c>
      <c r="B98" s="380" t="str">
        <f t="shared" si="1"/>
        <v>018-902</v>
      </c>
      <c r="C98" s="2043">
        <v>125707</v>
      </c>
      <c r="D98" s="2043">
        <v>356555</v>
      </c>
      <c r="E98">
        <v>0.94380000000000008</v>
      </c>
      <c r="F98" s="2043">
        <v>487801</v>
      </c>
    </row>
    <row r="99" spans="1:6" ht="14.5">
      <c r="A99" t="s">
        <v>5753</v>
      </c>
      <c r="B99" s="380" t="str">
        <f t="shared" si="1"/>
        <v>018-903</v>
      </c>
      <c r="C99" s="2043">
        <v>0</v>
      </c>
      <c r="D99" s="2043">
        <v>0</v>
      </c>
      <c r="E99">
        <v>0.91390000000000005</v>
      </c>
      <c r="F99" s="2043">
        <v>0</v>
      </c>
    </row>
    <row r="100" spans="1:6" ht="14.5">
      <c r="A100" t="s">
        <v>2890</v>
      </c>
      <c r="B100" s="380" t="str">
        <f t="shared" si="1"/>
        <v>018-904</v>
      </c>
      <c r="C100" s="2043">
        <v>161705</v>
      </c>
      <c r="D100" s="2043">
        <v>659262</v>
      </c>
      <c r="E100">
        <v>0.93310000000000004</v>
      </c>
      <c r="F100" s="2043">
        <v>874112</v>
      </c>
    </row>
    <row r="101" spans="1:6" ht="14.5">
      <c r="A101" t="s">
        <v>3522</v>
      </c>
      <c r="B101" s="380" t="str">
        <f t="shared" si="1"/>
        <v>018-905</v>
      </c>
      <c r="C101" s="2043">
        <v>0</v>
      </c>
      <c r="D101" s="2043">
        <v>0</v>
      </c>
      <c r="E101">
        <v>0.87470000000000003</v>
      </c>
      <c r="F101" s="2043">
        <v>0</v>
      </c>
    </row>
    <row r="102" spans="1:6" ht="14.5">
      <c r="A102" t="s">
        <v>4937</v>
      </c>
      <c r="B102" s="380" t="str">
        <f t="shared" si="1"/>
        <v>018-906</v>
      </c>
      <c r="C102" s="2043">
        <v>0</v>
      </c>
      <c r="D102" s="2043">
        <v>115671</v>
      </c>
      <c r="E102">
        <v>0.88400000000000001</v>
      </c>
      <c r="F102" s="2043">
        <v>302404</v>
      </c>
    </row>
    <row r="103" spans="1:6" ht="14.5">
      <c r="A103" t="s">
        <v>4938</v>
      </c>
      <c r="B103" s="380" t="str">
        <f t="shared" si="1"/>
        <v>018-907</v>
      </c>
      <c r="C103" s="2043">
        <v>0</v>
      </c>
      <c r="D103" s="2043">
        <v>0</v>
      </c>
      <c r="E103">
        <v>0.88790000000000002</v>
      </c>
      <c r="F103" s="2043">
        <v>0</v>
      </c>
    </row>
    <row r="104" spans="1:6" ht="14.5">
      <c r="A104" t="s">
        <v>5754</v>
      </c>
      <c r="B104" s="380" t="str">
        <f t="shared" si="1"/>
        <v>018-908</v>
      </c>
      <c r="C104" s="2043">
        <v>0</v>
      </c>
      <c r="D104" s="2043">
        <v>0</v>
      </c>
      <c r="E104">
        <v>0.93959999999999999</v>
      </c>
      <c r="F104" s="2043">
        <v>0</v>
      </c>
    </row>
    <row r="105" spans="1:6" ht="14.5">
      <c r="A105" t="s">
        <v>8503</v>
      </c>
      <c r="B105" s="380" t="str">
        <f t="shared" si="1"/>
        <v>019-000</v>
      </c>
      <c r="C105" s="2043">
        <v>0</v>
      </c>
      <c r="D105" s="2043">
        <v>0</v>
      </c>
      <c r="E105">
        <v>0</v>
      </c>
      <c r="F105" s="2043">
        <v>0</v>
      </c>
    </row>
    <row r="106" spans="1:6" ht="14.5">
      <c r="A106" t="s">
        <v>3524</v>
      </c>
      <c r="B106" s="380" t="str">
        <f t="shared" si="1"/>
        <v>019-901</v>
      </c>
      <c r="C106" s="2043">
        <v>0</v>
      </c>
      <c r="D106" s="2043">
        <v>0</v>
      </c>
      <c r="E106">
        <v>1.0547</v>
      </c>
      <c r="F106" s="2043">
        <v>0</v>
      </c>
    </row>
    <row r="107" spans="1:6" ht="14.5">
      <c r="A107" t="s">
        <v>2891</v>
      </c>
      <c r="B107" s="380" t="str">
        <f t="shared" si="1"/>
        <v>019-902</v>
      </c>
      <c r="C107" s="2043">
        <v>376327</v>
      </c>
      <c r="D107" s="2043">
        <v>0</v>
      </c>
      <c r="E107">
        <v>1.0547</v>
      </c>
      <c r="F107" s="2043">
        <v>379728</v>
      </c>
    </row>
    <row r="108" spans="1:6" ht="14.5">
      <c r="A108" t="s">
        <v>2892</v>
      </c>
      <c r="B108" s="380" t="str">
        <f t="shared" si="1"/>
        <v>019-903</v>
      </c>
      <c r="C108" s="2043">
        <v>28204</v>
      </c>
      <c r="D108" s="2043">
        <v>0</v>
      </c>
      <c r="E108">
        <v>1.0292000000000001</v>
      </c>
      <c r="F108" s="2043">
        <v>28932</v>
      </c>
    </row>
    <row r="109" spans="1:6" ht="14.5">
      <c r="A109" t="s">
        <v>2893</v>
      </c>
      <c r="B109" s="380" t="str">
        <f t="shared" si="1"/>
        <v>019-905</v>
      </c>
      <c r="C109" s="2043">
        <v>323346</v>
      </c>
      <c r="D109" s="2043">
        <v>603382</v>
      </c>
      <c r="E109">
        <v>1.0547</v>
      </c>
      <c r="F109" s="2043">
        <v>1032752</v>
      </c>
    </row>
    <row r="110" spans="1:6" ht="14.5">
      <c r="A110" t="s">
        <v>4939</v>
      </c>
      <c r="B110" s="380" t="str">
        <f t="shared" si="1"/>
        <v>019-906</v>
      </c>
      <c r="C110" s="2043">
        <v>0</v>
      </c>
      <c r="D110" s="2043">
        <v>459352</v>
      </c>
      <c r="E110">
        <v>1.0249000000000001</v>
      </c>
      <c r="F110" s="2043">
        <v>500032</v>
      </c>
    </row>
    <row r="111" spans="1:6" ht="14.5">
      <c r="A111" t="s">
        <v>4940</v>
      </c>
      <c r="B111" s="380" t="str">
        <f t="shared" si="1"/>
        <v>019-907</v>
      </c>
      <c r="C111" s="2043">
        <v>1353856</v>
      </c>
      <c r="D111" s="2043">
        <v>3216799</v>
      </c>
      <c r="E111">
        <v>1.0547</v>
      </c>
      <c r="F111" s="2043">
        <v>5633043</v>
      </c>
    </row>
    <row r="112" spans="1:6" ht="14.5">
      <c r="A112" t="s">
        <v>4941</v>
      </c>
      <c r="B112" s="380" t="str">
        <f t="shared" si="1"/>
        <v>019-908</v>
      </c>
      <c r="C112" s="2043">
        <v>459879</v>
      </c>
      <c r="D112" s="2043">
        <v>546882</v>
      </c>
      <c r="E112">
        <v>1.0547</v>
      </c>
      <c r="F112" s="2043">
        <v>1163866</v>
      </c>
    </row>
    <row r="113" spans="1:6" ht="14.5">
      <c r="A113" t="s">
        <v>2894</v>
      </c>
      <c r="B113" s="380" t="str">
        <f t="shared" si="1"/>
        <v>019-909</v>
      </c>
      <c r="C113" s="2043">
        <v>94964</v>
      </c>
      <c r="D113" s="2043">
        <v>0</v>
      </c>
      <c r="E113">
        <v>1.0285</v>
      </c>
      <c r="F113" s="2043">
        <v>285</v>
      </c>
    </row>
    <row r="114" spans="1:6" ht="14.5">
      <c r="A114" t="s">
        <v>2895</v>
      </c>
      <c r="B114" s="380" t="str">
        <f t="shared" si="1"/>
        <v>019-910</v>
      </c>
      <c r="C114" s="2043">
        <v>12410</v>
      </c>
      <c r="D114" s="2043">
        <v>0</v>
      </c>
      <c r="E114">
        <v>0.89740000000000009</v>
      </c>
      <c r="F114" s="2043">
        <v>14562</v>
      </c>
    </row>
    <row r="115" spans="1:6" ht="14.5">
      <c r="A115" t="s">
        <v>4942</v>
      </c>
      <c r="B115" s="380" t="str">
        <f t="shared" si="1"/>
        <v>019-911</v>
      </c>
      <c r="C115" s="2043">
        <v>0</v>
      </c>
      <c r="D115" s="2043">
        <v>309873</v>
      </c>
      <c r="E115">
        <v>0.95100000000000007</v>
      </c>
      <c r="F115" s="2043">
        <v>350627</v>
      </c>
    </row>
    <row r="116" spans="1:6" ht="14.5">
      <c r="A116" t="s">
        <v>4943</v>
      </c>
      <c r="B116" s="380" t="str">
        <f t="shared" si="1"/>
        <v>019-912</v>
      </c>
      <c r="C116" s="2043">
        <v>0</v>
      </c>
      <c r="D116" s="2043">
        <v>2417339</v>
      </c>
      <c r="E116">
        <v>1.0028000000000001</v>
      </c>
      <c r="F116" s="2043">
        <v>3555940</v>
      </c>
    </row>
    <row r="117" spans="1:6" ht="14.5">
      <c r="A117" t="s">
        <v>5755</v>
      </c>
      <c r="B117" s="380" t="str">
        <f t="shared" si="1"/>
        <v>019-913</v>
      </c>
      <c r="C117" s="2043">
        <v>0</v>
      </c>
      <c r="D117" s="2043">
        <v>0</v>
      </c>
      <c r="E117">
        <v>0.95000000000000007</v>
      </c>
      <c r="F117" s="2043">
        <v>0</v>
      </c>
    </row>
    <row r="118" spans="1:6" ht="14.5">
      <c r="A118" t="s">
        <v>5756</v>
      </c>
      <c r="B118" s="380" t="str">
        <f t="shared" si="1"/>
        <v>019-914</v>
      </c>
      <c r="C118" s="2043">
        <v>0</v>
      </c>
      <c r="D118" s="2043">
        <v>0</v>
      </c>
      <c r="E118">
        <v>0.95040000000000002</v>
      </c>
      <c r="F118" s="2043">
        <v>0</v>
      </c>
    </row>
    <row r="119" spans="1:6" ht="14.5">
      <c r="A119" t="s">
        <v>2896</v>
      </c>
      <c r="B119" s="380" t="str">
        <f t="shared" si="1"/>
        <v>020-901</v>
      </c>
      <c r="C119" s="2043">
        <v>6359653</v>
      </c>
      <c r="D119" s="2043">
        <v>24495471</v>
      </c>
      <c r="E119">
        <v>1.0052000000000001</v>
      </c>
      <c r="F119" s="2043">
        <v>40712901</v>
      </c>
    </row>
    <row r="120" spans="1:6" ht="14.5">
      <c r="A120" t="s">
        <v>4944</v>
      </c>
      <c r="B120" s="380" t="str">
        <f t="shared" si="1"/>
        <v>020-902</v>
      </c>
      <c r="C120" s="2043">
        <v>0</v>
      </c>
      <c r="D120" s="2043">
        <v>7357480</v>
      </c>
      <c r="E120">
        <v>0.91610000000000003</v>
      </c>
      <c r="F120" s="2043">
        <v>14801793</v>
      </c>
    </row>
    <row r="121" spans="1:6" ht="14.5">
      <c r="A121" t="s">
        <v>2897</v>
      </c>
      <c r="B121" s="380" t="str">
        <f t="shared" si="1"/>
        <v>020-904</v>
      </c>
      <c r="C121" s="2043">
        <v>187870</v>
      </c>
      <c r="D121" s="2043">
        <v>795480</v>
      </c>
      <c r="E121">
        <v>1.0029000000000001</v>
      </c>
      <c r="F121" s="2043">
        <v>1360978</v>
      </c>
    </row>
    <row r="122" spans="1:6" ht="14.5">
      <c r="A122" t="s">
        <v>4945</v>
      </c>
      <c r="B122" s="380" t="str">
        <f t="shared" si="1"/>
        <v>020-905</v>
      </c>
      <c r="C122" s="2043">
        <v>0</v>
      </c>
      <c r="D122" s="2043">
        <v>10383356</v>
      </c>
      <c r="E122">
        <v>0.96640000000000004</v>
      </c>
      <c r="F122" s="2043">
        <v>41371434</v>
      </c>
    </row>
    <row r="123" spans="1:6" ht="14.5">
      <c r="A123" t="s">
        <v>4946</v>
      </c>
      <c r="B123" s="380" t="str">
        <f t="shared" si="1"/>
        <v>020-906</v>
      </c>
      <c r="C123" s="2043">
        <v>0</v>
      </c>
      <c r="D123" s="2043">
        <v>723292</v>
      </c>
      <c r="E123">
        <v>0.88470000000000004</v>
      </c>
      <c r="F123" s="2043">
        <v>3339931</v>
      </c>
    </row>
    <row r="124" spans="1:6" ht="14.5">
      <c r="A124" t="s">
        <v>2898</v>
      </c>
      <c r="B124" s="380" t="str">
        <f t="shared" si="1"/>
        <v>020-907</v>
      </c>
      <c r="C124" s="2043">
        <v>348017</v>
      </c>
      <c r="D124" s="2043">
        <v>2083758</v>
      </c>
      <c r="E124">
        <v>0.88780000000000003</v>
      </c>
      <c r="F124" s="2043">
        <v>3003826</v>
      </c>
    </row>
    <row r="125" spans="1:6" ht="14.5">
      <c r="A125" t="s">
        <v>2899</v>
      </c>
      <c r="B125" s="380" t="str">
        <f t="shared" si="1"/>
        <v>020-908</v>
      </c>
      <c r="C125" s="2043">
        <v>872560</v>
      </c>
      <c r="D125" s="2043">
        <v>23755695</v>
      </c>
      <c r="E125">
        <v>0.89290000000000003</v>
      </c>
      <c r="F125" s="2043">
        <v>36580752</v>
      </c>
    </row>
    <row r="126" spans="1:6" ht="14.5">
      <c r="A126" t="s">
        <v>2900</v>
      </c>
      <c r="B126" s="380" t="str">
        <f t="shared" si="1"/>
        <v>020-910</v>
      </c>
      <c r="C126" s="2043">
        <v>0</v>
      </c>
      <c r="D126" s="2043">
        <v>0</v>
      </c>
      <c r="E126">
        <v>0.96300000000000008</v>
      </c>
      <c r="F126" s="2043">
        <v>0</v>
      </c>
    </row>
    <row r="127" spans="1:6" ht="14.5">
      <c r="A127" t="s">
        <v>7944</v>
      </c>
      <c r="B127" s="380" t="str">
        <f t="shared" si="1"/>
        <v>021-803</v>
      </c>
      <c r="C127" s="2043">
        <v>0</v>
      </c>
      <c r="D127" s="2043">
        <v>0</v>
      </c>
      <c r="E127">
        <v>0</v>
      </c>
      <c r="F127" s="2043">
        <v>0</v>
      </c>
    </row>
    <row r="128" spans="1:6" ht="14.5">
      <c r="A128" t="s">
        <v>7945</v>
      </c>
      <c r="B128" s="380" t="str">
        <f t="shared" si="1"/>
        <v>021-805</v>
      </c>
      <c r="C128" s="2043">
        <v>0</v>
      </c>
      <c r="D128" s="2043">
        <v>0</v>
      </c>
      <c r="E128">
        <v>0</v>
      </c>
      <c r="F128" s="2043">
        <v>0</v>
      </c>
    </row>
    <row r="129" spans="1:6" ht="14.5">
      <c r="A129" t="s">
        <v>2901</v>
      </c>
      <c r="B129" s="380" t="str">
        <f t="shared" si="1"/>
        <v>021-901</v>
      </c>
      <c r="C129" s="2043">
        <v>0</v>
      </c>
      <c r="D129" s="2043">
        <v>15167032</v>
      </c>
      <c r="E129">
        <v>0.96600000000000008</v>
      </c>
      <c r="F129" s="2043">
        <v>28429566</v>
      </c>
    </row>
    <row r="130" spans="1:6" ht="14.5">
      <c r="A130" t="s">
        <v>2902</v>
      </c>
      <c r="B130" s="380" t="str">
        <f t="shared" si="1"/>
        <v>021-902</v>
      </c>
      <c r="C130" s="2043">
        <v>2150873</v>
      </c>
      <c r="D130" s="2043">
        <v>16140256</v>
      </c>
      <c r="E130">
        <v>0.95250000000000001</v>
      </c>
      <c r="F130" s="2043">
        <v>25820209</v>
      </c>
    </row>
    <row r="131" spans="1:6" ht="14.5">
      <c r="A131" t="s">
        <v>5757</v>
      </c>
      <c r="B131" s="380" t="str">
        <f t="shared" si="1"/>
        <v>022-004</v>
      </c>
      <c r="C131" s="2043">
        <v>0</v>
      </c>
      <c r="D131" s="2043">
        <v>0</v>
      </c>
      <c r="E131">
        <v>0.95640000000000003</v>
      </c>
      <c r="F131" s="2043">
        <v>0</v>
      </c>
    </row>
    <row r="132" spans="1:6" ht="14.5">
      <c r="A132" t="s">
        <v>4947</v>
      </c>
      <c r="B132" s="380" t="str">
        <f t="shared" ref="B132:B195" si="2">CONCATENATE(LEFT(RIGHT(CONCATENATE("000",A132),6),3),"-",(RIGHT(RIGHT(CONCATENATE("000",A132),6),3)))</f>
        <v>022-901</v>
      </c>
      <c r="C132" s="2043">
        <v>0</v>
      </c>
      <c r="D132" s="2043">
        <v>0</v>
      </c>
      <c r="E132">
        <v>1.0547</v>
      </c>
      <c r="F132" s="2043">
        <v>1431886</v>
      </c>
    </row>
    <row r="133" spans="1:6" ht="14.5">
      <c r="A133" t="s">
        <v>5758</v>
      </c>
      <c r="B133" s="380" t="str">
        <f t="shared" si="2"/>
        <v>022-902</v>
      </c>
      <c r="C133" s="2043">
        <v>0</v>
      </c>
      <c r="D133" s="2043">
        <v>0</v>
      </c>
      <c r="E133">
        <v>1.0516000000000001</v>
      </c>
      <c r="F133" s="2043">
        <v>0</v>
      </c>
    </row>
    <row r="134" spans="1:6" ht="14.5">
      <c r="A134" t="s">
        <v>5759</v>
      </c>
      <c r="B134" s="380" t="str">
        <f t="shared" si="2"/>
        <v>022-903</v>
      </c>
      <c r="C134" s="2043">
        <v>0</v>
      </c>
      <c r="D134" s="2043">
        <v>0</v>
      </c>
      <c r="E134">
        <v>0.96640000000000004</v>
      </c>
      <c r="F134" s="2043">
        <v>0</v>
      </c>
    </row>
    <row r="135" spans="1:6" ht="14.5">
      <c r="A135" t="s">
        <v>5760</v>
      </c>
      <c r="B135" s="380" t="str">
        <f t="shared" si="2"/>
        <v>023-902</v>
      </c>
      <c r="C135" s="2043">
        <v>0</v>
      </c>
      <c r="D135" s="2043">
        <v>151515</v>
      </c>
      <c r="E135">
        <v>0.95150000000000001</v>
      </c>
      <c r="F135" s="2043">
        <v>739184</v>
      </c>
    </row>
    <row r="136" spans="1:6" ht="14.5">
      <c r="A136" t="s">
        <v>4948</v>
      </c>
      <c r="B136" s="380" t="str">
        <f t="shared" si="2"/>
        <v>024-901</v>
      </c>
      <c r="C136" s="2043">
        <v>0</v>
      </c>
      <c r="D136" s="2043">
        <v>1470228</v>
      </c>
      <c r="E136">
        <v>1.0548</v>
      </c>
      <c r="F136" s="2043">
        <v>2327484</v>
      </c>
    </row>
    <row r="137" spans="1:6" ht="14.5">
      <c r="A137" t="s">
        <v>4949</v>
      </c>
      <c r="B137" s="380" t="str">
        <f t="shared" si="2"/>
        <v>025-901</v>
      </c>
      <c r="C137" s="2043">
        <v>0</v>
      </c>
      <c r="D137" s="2043">
        <v>545906</v>
      </c>
      <c r="E137">
        <v>0.92370000000000008</v>
      </c>
      <c r="F137" s="2043">
        <v>542083</v>
      </c>
    </row>
    <row r="138" spans="1:6" ht="14.5">
      <c r="A138" t="s">
        <v>4950</v>
      </c>
      <c r="B138" s="380" t="str">
        <f t="shared" si="2"/>
        <v>025-902</v>
      </c>
      <c r="C138" s="2043">
        <v>0</v>
      </c>
      <c r="D138" s="2043">
        <v>2235512</v>
      </c>
      <c r="E138">
        <v>0.96640000000000004</v>
      </c>
      <c r="F138" s="2043">
        <v>2283502</v>
      </c>
    </row>
    <row r="139" spans="1:6" ht="14.5">
      <c r="A139" t="s">
        <v>2903</v>
      </c>
      <c r="B139" s="380" t="str">
        <f t="shared" si="2"/>
        <v>025-904</v>
      </c>
      <c r="C139" s="2043">
        <v>75434</v>
      </c>
      <c r="D139" s="2043">
        <v>0</v>
      </c>
      <c r="E139">
        <v>0.96640000000000004</v>
      </c>
      <c r="F139" s="2043">
        <v>54584</v>
      </c>
    </row>
    <row r="140" spans="1:6" ht="14.5">
      <c r="A140" t="s">
        <v>2904</v>
      </c>
      <c r="B140" s="380" t="str">
        <f t="shared" si="2"/>
        <v>025-905</v>
      </c>
      <c r="C140" s="2043">
        <v>92069</v>
      </c>
      <c r="D140" s="2043">
        <v>182097</v>
      </c>
      <c r="E140">
        <v>0.93930000000000002</v>
      </c>
      <c r="F140" s="2043">
        <v>441040</v>
      </c>
    </row>
    <row r="141" spans="1:6" ht="14.5">
      <c r="A141" t="s">
        <v>2905</v>
      </c>
      <c r="B141" s="380" t="str">
        <f t="shared" si="2"/>
        <v>025-906</v>
      </c>
      <c r="C141" s="2043">
        <v>87486</v>
      </c>
      <c r="D141" s="2043">
        <v>65817</v>
      </c>
      <c r="E141">
        <v>0.92390000000000005</v>
      </c>
      <c r="F141" s="2043">
        <v>142919</v>
      </c>
    </row>
    <row r="142" spans="1:6" ht="14.5">
      <c r="A142" t="s">
        <v>2906</v>
      </c>
      <c r="B142" s="380" t="str">
        <f t="shared" si="2"/>
        <v>025-908</v>
      </c>
      <c r="C142" s="2043">
        <v>81040</v>
      </c>
      <c r="D142" s="2043">
        <v>0</v>
      </c>
      <c r="E142">
        <v>1.0547</v>
      </c>
      <c r="F142" s="2043">
        <v>86314</v>
      </c>
    </row>
    <row r="143" spans="1:6" ht="14.5">
      <c r="A143" t="s">
        <v>2907</v>
      </c>
      <c r="B143" s="380" t="str">
        <f t="shared" si="2"/>
        <v>025-909</v>
      </c>
      <c r="C143" s="2043">
        <v>630974</v>
      </c>
      <c r="D143" s="2043">
        <v>763952</v>
      </c>
      <c r="E143">
        <v>1.0376000000000001</v>
      </c>
      <c r="F143" s="2043">
        <v>1024629</v>
      </c>
    </row>
    <row r="144" spans="1:6" ht="14.5">
      <c r="A144" t="s">
        <v>4951</v>
      </c>
      <c r="B144" s="380" t="str">
        <f t="shared" si="2"/>
        <v>026-901</v>
      </c>
      <c r="C144" s="2043">
        <v>0</v>
      </c>
      <c r="D144" s="2043">
        <v>6622</v>
      </c>
      <c r="E144">
        <v>0.93490000000000006</v>
      </c>
      <c r="F144" s="2043">
        <v>2427688</v>
      </c>
    </row>
    <row r="145" spans="1:6" ht="14.5">
      <c r="A145" t="s">
        <v>4952</v>
      </c>
      <c r="B145" s="380" t="str">
        <f t="shared" si="2"/>
        <v>026-902</v>
      </c>
      <c r="C145" s="2043">
        <v>0</v>
      </c>
      <c r="D145" s="2043">
        <v>563717</v>
      </c>
      <c r="E145">
        <v>0.96640000000000004</v>
      </c>
      <c r="F145" s="2043">
        <v>1004438</v>
      </c>
    </row>
    <row r="146" spans="1:6" ht="14.5">
      <c r="A146" t="s">
        <v>2908</v>
      </c>
      <c r="B146" s="380" t="str">
        <f t="shared" si="2"/>
        <v>026-903</v>
      </c>
      <c r="C146" s="2043">
        <v>110365</v>
      </c>
      <c r="D146" s="2043">
        <v>534154</v>
      </c>
      <c r="E146">
        <v>1.0502</v>
      </c>
      <c r="F146" s="2043">
        <v>1007887</v>
      </c>
    </row>
    <row r="147" spans="1:6" ht="14.5">
      <c r="A147" t="s">
        <v>2909</v>
      </c>
      <c r="B147" s="380" t="str">
        <f t="shared" si="2"/>
        <v>027-903</v>
      </c>
      <c r="C147" s="2043">
        <v>490440</v>
      </c>
      <c r="D147" s="2043">
        <v>2475851</v>
      </c>
      <c r="E147">
        <v>0.95130000000000003</v>
      </c>
      <c r="F147" s="2043">
        <v>6027298</v>
      </c>
    </row>
    <row r="148" spans="1:6" ht="14.5">
      <c r="A148" t="s">
        <v>3582</v>
      </c>
      <c r="B148" s="380" t="str">
        <f t="shared" si="2"/>
        <v>027-904</v>
      </c>
      <c r="C148" s="2043">
        <v>0</v>
      </c>
      <c r="D148" s="2043">
        <v>3804677</v>
      </c>
      <c r="E148">
        <v>0.96970000000000001</v>
      </c>
      <c r="F148" s="2043">
        <v>9663153</v>
      </c>
    </row>
    <row r="149" spans="1:6" ht="14.5">
      <c r="A149" t="s">
        <v>2910</v>
      </c>
      <c r="B149" s="380" t="str">
        <f t="shared" si="2"/>
        <v>028-902</v>
      </c>
      <c r="C149" s="2043">
        <v>1759801</v>
      </c>
      <c r="D149" s="2043">
        <v>2669986</v>
      </c>
      <c r="E149">
        <v>0.9094000000000001</v>
      </c>
      <c r="F149" s="2043">
        <v>4639799</v>
      </c>
    </row>
    <row r="150" spans="1:6" ht="14.5">
      <c r="A150" t="s">
        <v>2911</v>
      </c>
      <c r="B150" s="380" t="str">
        <f t="shared" si="2"/>
        <v>028-903</v>
      </c>
      <c r="C150" s="2043">
        <v>332250</v>
      </c>
      <c r="D150" s="2043">
        <v>0</v>
      </c>
      <c r="E150">
        <v>0.93910000000000005</v>
      </c>
      <c r="F150" s="2043">
        <v>1810574</v>
      </c>
    </row>
    <row r="151" spans="1:6" ht="14.5">
      <c r="A151" t="s">
        <v>5761</v>
      </c>
      <c r="B151" s="380" t="str">
        <f t="shared" si="2"/>
        <v>028-906</v>
      </c>
      <c r="C151" s="2043">
        <v>0</v>
      </c>
      <c r="D151" s="2043">
        <v>0</v>
      </c>
      <c r="E151">
        <v>0.96640000000000004</v>
      </c>
      <c r="F151" s="2043">
        <v>0</v>
      </c>
    </row>
    <row r="152" spans="1:6" ht="14.5">
      <c r="A152" t="s">
        <v>4953</v>
      </c>
      <c r="B152" s="380" t="str">
        <f t="shared" si="2"/>
        <v>029-901</v>
      </c>
      <c r="C152" s="2043">
        <v>0</v>
      </c>
      <c r="D152" s="2043">
        <v>3410513</v>
      </c>
      <c r="E152">
        <v>0.96640000000000004</v>
      </c>
      <c r="F152" s="2043">
        <v>9755969</v>
      </c>
    </row>
    <row r="153" spans="1:6" ht="14.5">
      <c r="A153" t="s">
        <v>5762</v>
      </c>
      <c r="B153" s="380" t="str">
        <f t="shared" si="2"/>
        <v>030-901</v>
      </c>
      <c r="C153" s="2043">
        <v>0</v>
      </c>
      <c r="D153" s="2043">
        <v>0</v>
      </c>
      <c r="E153">
        <v>1.014</v>
      </c>
      <c r="F153" s="2043">
        <v>0</v>
      </c>
    </row>
    <row r="154" spans="1:6" ht="14.5">
      <c r="A154" t="s">
        <v>2912</v>
      </c>
      <c r="B154" s="380" t="str">
        <f t="shared" si="2"/>
        <v>030-902</v>
      </c>
      <c r="C154" s="2043">
        <v>669914</v>
      </c>
      <c r="D154" s="2043">
        <v>871971</v>
      </c>
      <c r="E154">
        <v>0.97640000000000005</v>
      </c>
      <c r="F154" s="2043">
        <v>1763533</v>
      </c>
    </row>
    <row r="155" spans="1:6" ht="14.5">
      <c r="A155" t="s">
        <v>2913</v>
      </c>
      <c r="B155" s="380" t="str">
        <f t="shared" si="2"/>
        <v>030-903</v>
      </c>
      <c r="C155" s="2043">
        <v>94523</v>
      </c>
      <c r="D155" s="2043">
        <v>160546</v>
      </c>
      <c r="E155">
        <v>1.0216000000000001</v>
      </c>
      <c r="F155" s="2043">
        <v>449883</v>
      </c>
    </row>
    <row r="156" spans="1:6" ht="14.5">
      <c r="A156" t="s">
        <v>4954</v>
      </c>
      <c r="B156" s="380" t="str">
        <f t="shared" si="2"/>
        <v>030-906</v>
      </c>
      <c r="C156" s="2043">
        <v>0</v>
      </c>
      <c r="D156" s="2043">
        <v>401718</v>
      </c>
      <c r="E156">
        <v>1.046</v>
      </c>
      <c r="F156" s="2043">
        <v>535444</v>
      </c>
    </row>
    <row r="157" spans="1:6" ht="14.5">
      <c r="A157" t="s">
        <v>7946</v>
      </c>
      <c r="B157" s="380" t="str">
        <f t="shared" si="2"/>
        <v>031-505</v>
      </c>
      <c r="C157" s="2043">
        <v>0</v>
      </c>
      <c r="D157" s="2043">
        <v>0</v>
      </c>
      <c r="E157">
        <v>0</v>
      </c>
      <c r="F157" s="2043">
        <v>0</v>
      </c>
    </row>
    <row r="158" spans="1:6" ht="14.5">
      <c r="A158" t="s">
        <v>2914</v>
      </c>
      <c r="B158" s="380" t="str">
        <f t="shared" si="2"/>
        <v>031-901</v>
      </c>
      <c r="C158" s="2043">
        <v>7933592</v>
      </c>
      <c r="D158" s="2043">
        <v>124665</v>
      </c>
      <c r="E158">
        <v>1.0254000000000001</v>
      </c>
      <c r="F158" s="2043">
        <v>9913919</v>
      </c>
    </row>
    <row r="159" spans="1:6" ht="14.5">
      <c r="A159" t="s">
        <v>2915</v>
      </c>
      <c r="B159" s="380" t="str">
        <f t="shared" si="2"/>
        <v>031-903</v>
      </c>
      <c r="C159" s="2043">
        <v>4776234</v>
      </c>
      <c r="D159" s="2043">
        <v>1348550</v>
      </c>
      <c r="E159">
        <v>1.0243</v>
      </c>
      <c r="F159" s="2043">
        <v>5961285</v>
      </c>
    </row>
    <row r="160" spans="1:6" ht="14.5">
      <c r="A160" t="s">
        <v>2916</v>
      </c>
      <c r="B160" s="380" t="str">
        <f t="shared" si="2"/>
        <v>031-905</v>
      </c>
      <c r="C160" s="2043">
        <v>920933</v>
      </c>
      <c r="D160" s="2043">
        <v>0</v>
      </c>
      <c r="E160">
        <v>1.0306999999999999</v>
      </c>
      <c r="F160" s="2043">
        <v>836420</v>
      </c>
    </row>
    <row r="161" spans="1:6" ht="14.5">
      <c r="A161" t="s">
        <v>2917</v>
      </c>
      <c r="B161" s="380" t="str">
        <f t="shared" si="2"/>
        <v>031-906</v>
      </c>
      <c r="C161" s="2043">
        <v>823644</v>
      </c>
      <c r="D161" s="2043">
        <v>0</v>
      </c>
      <c r="E161">
        <v>1.0417000000000001</v>
      </c>
      <c r="F161" s="2043">
        <v>3074338</v>
      </c>
    </row>
    <row r="162" spans="1:6" ht="14.5">
      <c r="A162" t="s">
        <v>4955</v>
      </c>
      <c r="B162" s="380" t="str">
        <f t="shared" si="2"/>
        <v>031-909</v>
      </c>
      <c r="C162" s="2043">
        <v>0</v>
      </c>
      <c r="D162" s="2043">
        <v>312385</v>
      </c>
      <c r="E162">
        <v>0.96640000000000004</v>
      </c>
      <c r="F162" s="2043">
        <v>1729243</v>
      </c>
    </row>
    <row r="163" spans="1:6" ht="14.5">
      <c r="A163" t="s">
        <v>2918</v>
      </c>
      <c r="B163" s="380" t="str">
        <f t="shared" si="2"/>
        <v>031-911</v>
      </c>
      <c r="C163" s="2043">
        <v>936995</v>
      </c>
      <c r="D163" s="2043">
        <v>259452</v>
      </c>
      <c r="E163">
        <v>1.0547</v>
      </c>
      <c r="F163" s="2043">
        <v>1286979</v>
      </c>
    </row>
    <row r="164" spans="1:6" ht="14.5">
      <c r="A164" t="s">
        <v>2919</v>
      </c>
      <c r="B164" s="380" t="str">
        <f t="shared" si="2"/>
        <v>031-912</v>
      </c>
      <c r="C164" s="2043">
        <v>1828054</v>
      </c>
      <c r="D164" s="2043">
        <v>321140</v>
      </c>
      <c r="E164">
        <v>1.0250000000000001</v>
      </c>
      <c r="F164" s="2043">
        <v>3412529</v>
      </c>
    </row>
    <row r="165" spans="1:6" ht="14.5">
      <c r="A165" t="s">
        <v>2920</v>
      </c>
      <c r="B165" s="380" t="str">
        <f t="shared" si="2"/>
        <v>031-913</v>
      </c>
      <c r="C165" s="2043">
        <v>201209</v>
      </c>
      <c r="D165" s="2043">
        <v>101352</v>
      </c>
      <c r="E165">
        <v>1.0547</v>
      </c>
      <c r="F165" s="2043">
        <v>292454</v>
      </c>
    </row>
    <row r="166" spans="1:6" ht="14.5">
      <c r="A166" t="s">
        <v>2921</v>
      </c>
      <c r="B166" s="380" t="str">
        <f t="shared" si="2"/>
        <v>031-914</v>
      </c>
      <c r="C166" s="2043">
        <v>336411</v>
      </c>
      <c r="D166" s="2043">
        <v>0</v>
      </c>
      <c r="E166">
        <v>1.0639000000000001</v>
      </c>
      <c r="F166" s="2043">
        <v>285655</v>
      </c>
    </row>
    <row r="167" spans="1:6" ht="14.5">
      <c r="A167" t="s">
        <v>7354</v>
      </c>
      <c r="B167" s="380" t="str">
        <f t="shared" si="2"/>
        <v>031-916</v>
      </c>
      <c r="C167" s="2043">
        <v>0</v>
      </c>
      <c r="D167" s="2043">
        <v>0</v>
      </c>
      <c r="E167">
        <v>4.5700000000000005E-2</v>
      </c>
      <c r="F167" s="2043">
        <v>0</v>
      </c>
    </row>
    <row r="168" spans="1:6" ht="14.5">
      <c r="A168" t="s">
        <v>4956</v>
      </c>
      <c r="B168" s="380" t="str">
        <f t="shared" si="2"/>
        <v>032-902</v>
      </c>
      <c r="C168" s="2043">
        <v>294575</v>
      </c>
      <c r="D168" s="2043">
        <v>1251331</v>
      </c>
      <c r="E168">
        <v>0.94370000000000009</v>
      </c>
      <c r="F168" s="2043">
        <v>1775275</v>
      </c>
    </row>
    <row r="169" spans="1:6" ht="14.5">
      <c r="A169" t="s">
        <v>4957</v>
      </c>
      <c r="B169" s="380" t="str">
        <f t="shared" si="2"/>
        <v>033-901</v>
      </c>
      <c r="C169" s="2043">
        <v>0</v>
      </c>
      <c r="D169" s="2043">
        <v>148639</v>
      </c>
      <c r="E169">
        <v>0.97640000000000005</v>
      </c>
      <c r="F169" s="2043">
        <v>914225</v>
      </c>
    </row>
    <row r="170" spans="1:6" ht="14.5">
      <c r="A170" t="s">
        <v>4958</v>
      </c>
      <c r="B170" s="380" t="str">
        <f t="shared" si="2"/>
        <v>033-902</v>
      </c>
      <c r="C170" s="2043">
        <v>0</v>
      </c>
      <c r="D170" s="2043">
        <v>686232</v>
      </c>
      <c r="E170">
        <v>0.95640000000000003</v>
      </c>
      <c r="F170" s="2043">
        <v>1786912</v>
      </c>
    </row>
    <row r="171" spans="1:6" ht="14.5">
      <c r="A171" t="s">
        <v>4959</v>
      </c>
      <c r="B171" s="380" t="str">
        <f t="shared" si="2"/>
        <v>033-904</v>
      </c>
      <c r="C171" s="2043">
        <v>0</v>
      </c>
      <c r="D171" s="2043">
        <v>331001</v>
      </c>
      <c r="E171">
        <v>0.96640000000000004</v>
      </c>
      <c r="F171" s="2043">
        <v>789971</v>
      </c>
    </row>
    <row r="172" spans="1:6" ht="14.5">
      <c r="A172" t="s">
        <v>4960</v>
      </c>
      <c r="B172" s="380" t="str">
        <f t="shared" si="2"/>
        <v>034-901</v>
      </c>
      <c r="C172" s="2043">
        <v>0</v>
      </c>
      <c r="D172" s="2043">
        <v>594858</v>
      </c>
      <c r="E172">
        <v>1.0547</v>
      </c>
      <c r="F172" s="2043">
        <v>546000</v>
      </c>
    </row>
    <row r="173" spans="1:6" ht="14.5">
      <c r="A173" t="s">
        <v>5763</v>
      </c>
      <c r="B173" s="380" t="str">
        <f t="shared" si="2"/>
        <v>034-902</v>
      </c>
      <c r="C173" s="2043">
        <v>0</v>
      </c>
      <c r="D173" s="2043">
        <v>0</v>
      </c>
      <c r="E173">
        <v>1.0261</v>
      </c>
      <c r="F173" s="2043">
        <v>0</v>
      </c>
    </row>
    <row r="174" spans="1:6" ht="14.5">
      <c r="A174" t="s">
        <v>4961</v>
      </c>
      <c r="B174" s="380" t="str">
        <f t="shared" si="2"/>
        <v>034-903</v>
      </c>
      <c r="C174" s="2043">
        <v>0</v>
      </c>
      <c r="D174" s="2043">
        <v>19</v>
      </c>
      <c r="E174">
        <v>1.0217000000000001</v>
      </c>
      <c r="F174" s="2043">
        <v>249</v>
      </c>
    </row>
    <row r="175" spans="1:6" ht="14.5">
      <c r="A175" t="s">
        <v>5764</v>
      </c>
      <c r="B175" s="380" t="str">
        <f t="shared" si="2"/>
        <v>034-905</v>
      </c>
      <c r="C175" s="2043">
        <v>0</v>
      </c>
      <c r="D175" s="2043">
        <v>0</v>
      </c>
      <c r="E175">
        <v>1.0547</v>
      </c>
      <c r="F175" s="2043">
        <v>0</v>
      </c>
    </row>
    <row r="176" spans="1:6" ht="14.5">
      <c r="A176" t="s">
        <v>3647</v>
      </c>
      <c r="B176" s="380" t="str">
        <f t="shared" si="2"/>
        <v>034-906</v>
      </c>
      <c r="C176" s="2043">
        <v>0</v>
      </c>
      <c r="D176" s="2043">
        <v>0</v>
      </c>
      <c r="E176">
        <v>0.96640000000000004</v>
      </c>
      <c r="F176" s="2043">
        <v>0</v>
      </c>
    </row>
    <row r="177" spans="1:6" ht="14.5">
      <c r="A177" t="s">
        <v>4962</v>
      </c>
      <c r="B177" s="380" t="str">
        <f t="shared" si="2"/>
        <v>034-907</v>
      </c>
      <c r="C177" s="2043">
        <v>0</v>
      </c>
      <c r="D177" s="2043">
        <v>237381</v>
      </c>
      <c r="E177">
        <v>1.0467</v>
      </c>
      <c r="F177" s="2043">
        <v>282075</v>
      </c>
    </row>
    <row r="178" spans="1:6" ht="14.5">
      <c r="A178" t="s">
        <v>4963</v>
      </c>
      <c r="B178" s="380" t="str">
        <f t="shared" si="2"/>
        <v>034-909</v>
      </c>
      <c r="C178" s="2043">
        <v>0</v>
      </c>
      <c r="D178" s="2043">
        <v>45172</v>
      </c>
      <c r="E178">
        <v>1.0403</v>
      </c>
      <c r="F178" s="2043">
        <v>52919</v>
      </c>
    </row>
    <row r="179" spans="1:6" ht="14.5">
      <c r="A179" t="s">
        <v>4964</v>
      </c>
      <c r="B179" s="380" t="str">
        <f t="shared" si="2"/>
        <v>035-901</v>
      </c>
      <c r="C179" s="2043">
        <v>0</v>
      </c>
      <c r="D179" s="2043">
        <v>1238158</v>
      </c>
      <c r="E179">
        <v>0.96640000000000004</v>
      </c>
      <c r="F179" s="2043">
        <v>2661964</v>
      </c>
    </row>
    <row r="180" spans="1:6" ht="14.5">
      <c r="A180" t="s">
        <v>5765</v>
      </c>
      <c r="B180" s="380" t="str">
        <f t="shared" si="2"/>
        <v>035-902</v>
      </c>
      <c r="C180" s="2043">
        <v>0</v>
      </c>
      <c r="D180" s="2043">
        <v>0</v>
      </c>
      <c r="E180">
        <v>1.0547</v>
      </c>
      <c r="F180" s="2043">
        <v>196225</v>
      </c>
    </row>
    <row r="181" spans="1:6" ht="14.5">
      <c r="A181" t="s">
        <v>2922</v>
      </c>
      <c r="B181" s="380" t="str">
        <f t="shared" si="2"/>
        <v>035-903</v>
      </c>
      <c r="C181" s="2043">
        <v>0</v>
      </c>
      <c r="D181" s="2043">
        <v>51507</v>
      </c>
      <c r="E181">
        <v>1.0494000000000001</v>
      </c>
      <c r="F181" s="2043">
        <v>106229</v>
      </c>
    </row>
    <row r="182" spans="1:6" ht="14.5">
      <c r="A182" t="s">
        <v>2923</v>
      </c>
      <c r="B182" s="380" t="str">
        <f t="shared" si="2"/>
        <v>036-901</v>
      </c>
      <c r="C182" s="2043">
        <v>321500</v>
      </c>
      <c r="D182" s="2043">
        <v>1403950</v>
      </c>
      <c r="E182">
        <v>0.97640000000000005</v>
      </c>
      <c r="F182" s="2043">
        <v>2232690</v>
      </c>
    </row>
    <row r="183" spans="1:6" ht="14.5">
      <c r="A183" t="s">
        <v>4965</v>
      </c>
      <c r="B183" s="380" t="str">
        <f t="shared" si="2"/>
        <v>036-902</v>
      </c>
      <c r="C183" s="2043">
        <v>0</v>
      </c>
      <c r="D183" s="2043">
        <v>7351231</v>
      </c>
      <c r="E183">
        <v>0.88470000000000004</v>
      </c>
      <c r="F183" s="2043">
        <v>36964330</v>
      </c>
    </row>
    <row r="184" spans="1:6" ht="14.5">
      <c r="A184" t="s">
        <v>2924</v>
      </c>
      <c r="B184" s="380" t="str">
        <f t="shared" si="2"/>
        <v>036-903</v>
      </c>
      <c r="C184" s="2043">
        <v>411613</v>
      </c>
      <c r="D184" s="2043">
        <v>288498</v>
      </c>
      <c r="E184">
        <v>1.0548</v>
      </c>
      <c r="F184" s="2043">
        <v>517284</v>
      </c>
    </row>
    <row r="185" spans="1:6" ht="14.5">
      <c r="A185" t="s">
        <v>4966</v>
      </c>
      <c r="B185" s="380" t="str">
        <f t="shared" si="2"/>
        <v>037-901</v>
      </c>
      <c r="C185" s="2043">
        <v>0</v>
      </c>
      <c r="D185" s="2043">
        <v>422211</v>
      </c>
      <c r="E185">
        <v>1.0645</v>
      </c>
      <c r="F185" s="2043">
        <v>744286</v>
      </c>
    </row>
    <row r="186" spans="1:6" ht="14.5">
      <c r="A186" t="s">
        <v>2925</v>
      </c>
      <c r="B186" s="380" t="str">
        <f t="shared" si="2"/>
        <v>037-904</v>
      </c>
      <c r="C186" s="2043">
        <v>963921</v>
      </c>
      <c r="D186" s="2043">
        <v>3879427</v>
      </c>
      <c r="E186">
        <v>0.96350000000000002</v>
      </c>
      <c r="F186" s="2043">
        <v>5410399</v>
      </c>
    </row>
    <row r="187" spans="1:6" ht="14.5">
      <c r="A187" t="s">
        <v>2926</v>
      </c>
      <c r="B187" s="380" t="str">
        <f t="shared" si="2"/>
        <v>037-907</v>
      </c>
      <c r="C187" s="2043">
        <v>258668</v>
      </c>
      <c r="D187" s="2043">
        <v>241230</v>
      </c>
      <c r="E187">
        <v>0.96640000000000004</v>
      </c>
      <c r="F187" s="2043">
        <v>499525</v>
      </c>
    </row>
    <row r="188" spans="1:6" ht="14.5">
      <c r="A188" t="s">
        <v>3657</v>
      </c>
      <c r="B188" s="380" t="str">
        <f t="shared" si="2"/>
        <v>037-908</v>
      </c>
      <c r="C188" s="2043">
        <v>54944</v>
      </c>
      <c r="D188" s="2043">
        <v>142966</v>
      </c>
      <c r="E188">
        <v>1.0203</v>
      </c>
      <c r="F188" s="2043">
        <v>223890</v>
      </c>
    </row>
    <row r="189" spans="1:6" ht="14.5">
      <c r="A189" t="s">
        <v>4967</v>
      </c>
      <c r="B189" s="380" t="str">
        <f t="shared" si="2"/>
        <v>037-909</v>
      </c>
      <c r="C189" s="2043">
        <v>0</v>
      </c>
      <c r="D189" s="2043">
        <v>202750</v>
      </c>
      <c r="E189">
        <v>1.0547</v>
      </c>
      <c r="F189" s="2043">
        <v>214051</v>
      </c>
    </row>
    <row r="190" spans="1:6" ht="14.5">
      <c r="A190" t="s">
        <v>2927</v>
      </c>
      <c r="B190" s="380" t="str">
        <f t="shared" si="2"/>
        <v>038-901</v>
      </c>
      <c r="C190" s="2043">
        <v>164800</v>
      </c>
      <c r="D190" s="2043">
        <v>0</v>
      </c>
      <c r="E190">
        <v>0.96640000000000004</v>
      </c>
      <c r="F190" s="2043">
        <v>839</v>
      </c>
    </row>
    <row r="191" spans="1:6" ht="14.5">
      <c r="A191" t="s">
        <v>4968</v>
      </c>
      <c r="B191" s="380" t="str">
        <f t="shared" si="2"/>
        <v>039-902</v>
      </c>
      <c r="C191" s="2043">
        <v>0</v>
      </c>
      <c r="D191" s="2043">
        <v>821250</v>
      </c>
      <c r="E191">
        <v>0.96640000000000004</v>
      </c>
      <c r="F191" s="2043">
        <v>1074723</v>
      </c>
    </row>
    <row r="192" spans="1:6" ht="14.5">
      <c r="A192" t="s">
        <v>2928</v>
      </c>
      <c r="B192" s="380" t="str">
        <f t="shared" si="2"/>
        <v>039-903</v>
      </c>
      <c r="C192" s="2043">
        <v>199087</v>
      </c>
      <c r="D192" s="2043">
        <v>92519</v>
      </c>
      <c r="E192">
        <v>1.0185999999999999</v>
      </c>
      <c r="F192" s="2043">
        <v>340386</v>
      </c>
    </row>
    <row r="193" spans="1:6" ht="14.5">
      <c r="A193" t="s">
        <v>5766</v>
      </c>
      <c r="B193" s="380" t="str">
        <f t="shared" si="2"/>
        <v>039-904</v>
      </c>
      <c r="C193" s="2043">
        <v>0</v>
      </c>
      <c r="D193" s="2043">
        <v>0</v>
      </c>
      <c r="E193">
        <v>1.0547</v>
      </c>
      <c r="F193" s="2043">
        <v>339674</v>
      </c>
    </row>
    <row r="194" spans="1:6" ht="14.5">
      <c r="A194" t="s">
        <v>5767</v>
      </c>
      <c r="B194" s="380" t="str">
        <f t="shared" si="2"/>
        <v>039-905</v>
      </c>
      <c r="C194" s="2043">
        <v>0</v>
      </c>
      <c r="D194" s="2043">
        <v>89819</v>
      </c>
      <c r="E194">
        <v>0.96640000000000004</v>
      </c>
      <c r="F194" s="2043">
        <v>596446</v>
      </c>
    </row>
    <row r="195" spans="1:6" ht="14.5">
      <c r="A195" t="s">
        <v>5768</v>
      </c>
      <c r="B195" s="380" t="str">
        <f t="shared" si="2"/>
        <v>040-901</v>
      </c>
      <c r="C195" s="2043">
        <v>0</v>
      </c>
      <c r="D195" s="2043">
        <v>0</v>
      </c>
      <c r="E195">
        <v>0.96640000000000004</v>
      </c>
      <c r="F195" s="2043">
        <v>0</v>
      </c>
    </row>
    <row r="196" spans="1:6" ht="14.5">
      <c r="A196" t="s">
        <v>4969</v>
      </c>
      <c r="B196" s="380" t="str">
        <f t="shared" ref="B196:B259" si="3">CONCATENATE(LEFT(RIGHT(CONCATENATE("000",A196),6),3),"-",(RIGHT(RIGHT(CONCATENATE("000",A196),6),3)))</f>
        <v>040-902</v>
      </c>
      <c r="C196" s="2043">
        <v>0</v>
      </c>
      <c r="D196" s="2043">
        <v>353776</v>
      </c>
      <c r="E196">
        <v>0.96640000000000004</v>
      </c>
      <c r="F196" s="2043">
        <v>1528592</v>
      </c>
    </row>
    <row r="197" spans="1:6" ht="14.5">
      <c r="A197" t="s">
        <v>5769</v>
      </c>
      <c r="B197" s="380" t="str">
        <f t="shared" si="3"/>
        <v>041-901</v>
      </c>
      <c r="C197" s="2043">
        <v>0</v>
      </c>
      <c r="D197" s="2043">
        <v>0</v>
      </c>
      <c r="E197">
        <v>0.99640000000000006</v>
      </c>
      <c r="F197" s="2043">
        <v>0</v>
      </c>
    </row>
    <row r="198" spans="1:6" ht="14.5">
      <c r="A198" t="s">
        <v>4970</v>
      </c>
      <c r="B198" s="380" t="str">
        <f t="shared" si="3"/>
        <v>041-902</v>
      </c>
      <c r="C198" s="2043">
        <v>0</v>
      </c>
      <c r="D198" s="2043">
        <v>274174</v>
      </c>
      <c r="E198">
        <v>0.96640000000000004</v>
      </c>
      <c r="F198" s="2043">
        <v>1027820</v>
      </c>
    </row>
    <row r="199" spans="1:6" ht="14.5">
      <c r="A199" t="s">
        <v>3664</v>
      </c>
      <c r="B199" s="380" t="str">
        <f t="shared" si="3"/>
        <v>042-901</v>
      </c>
      <c r="C199" s="2043">
        <v>0</v>
      </c>
      <c r="D199" s="2043">
        <v>0</v>
      </c>
      <c r="E199">
        <v>1.0547</v>
      </c>
      <c r="F199" s="2043">
        <v>0</v>
      </c>
    </row>
    <row r="200" spans="1:6" ht="14.5">
      <c r="A200" t="s">
        <v>2929</v>
      </c>
      <c r="B200" s="380" t="str">
        <f t="shared" si="3"/>
        <v>042-903</v>
      </c>
      <c r="C200" s="2043">
        <v>69778</v>
      </c>
      <c r="D200" s="2043">
        <v>0</v>
      </c>
      <c r="E200">
        <v>0.96640000000000004</v>
      </c>
      <c r="F200" s="2043">
        <v>76488</v>
      </c>
    </row>
    <row r="201" spans="1:6" ht="14.5">
      <c r="A201" t="s">
        <v>4971</v>
      </c>
      <c r="B201" s="380" t="str">
        <f t="shared" si="3"/>
        <v>042-905</v>
      </c>
      <c r="C201" s="2043">
        <v>48079</v>
      </c>
      <c r="D201" s="2043">
        <v>18070</v>
      </c>
      <c r="E201">
        <v>1.0547</v>
      </c>
      <c r="F201" s="2043">
        <v>67167</v>
      </c>
    </row>
    <row r="202" spans="1:6" ht="14.5">
      <c r="A202" t="s">
        <v>7948</v>
      </c>
      <c r="B202" s="380" t="str">
        <f t="shared" si="3"/>
        <v>043-801</v>
      </c>
      <c r="C202" s="2043">
        <v>0</v>
      </c>
      <c r="D202" s="2043">
        <v>0</v>
      </c>
      <c r="E202">
        <v>0</v>
      </c>
      <c r="F202" s="2043">
        <v>0</v>
      </c>
    </row>
    <row r="203" spans="1:6" ht="14.5">
      <c r="A203" t="s">
        <v>7949</v>
      </c>
      <c r="B203" s="380" t="str">
        <f t="shared" si="3"/>
        <v>043-802</v>
      </c>
      <c r="C203" s="2043">
        <v>0</v>
      </c>
      <c r="D203" s="2043">
        <v>0</v>
      </c>
      <c r="E203">
        <v>0</v>
      </c>
      <c r="F203" s="2043">
        <v>0</v>
      </c>
    </row>
    <row r="204" spans="1:6" ht="14.5">
      <c r="A204" t="s">
        <v>2930</v>
      </c>
      <c r="B204" s="380" t="str">
        <f t="shared" si="3"/>
        <v>043-901</v>
      </c>
      <c r="C204" s="2043">
        <v>0</v>
      </c>
      <c r="D204" s="2043">
        <v>24289920</v>
      </c>
      <c r="E204">
        <v>1.0225</v>
      </c>
      <c r="F204" s="2043">
        <v>63115660</v>
      </c>
    </row>
    <row r="205" spans="1:6" ht="14.5">
      <c r="A205" t="s">
        <v>2931</v>
      </c>
      <c r="B205" s="380" t="str">
        <f t="shared" si="3"/>
        <v>043-902</v>
      </c>
      <c r="C205" s="2043">
        <v>2096824</v>
      </c>
      <c r="D205" s="2043">
        <v>4353896</v>
      </c>
      <c r="E205">
        <v>0.97460000000000002</v>
      </c>
      <c r="F205" s="2043">
        <v>8412991</v>
      </c>
    </row>
    <row r="206" spans="1:6" ht="14.5">
      <c r="A206" t="s">
        <v>2932</v>
      </c>
      <c r="B206" s="380" t="str">
        <f t="shared" si="3"/>
        <v>043-903</v>
      </c>
      <c r="C206" s="2043">
        <v>273005</v>
      </c>
      <c r="D206" s="2043">
        <v>3238147</v>
      </c>
      <c r="E206">
        <v>0.98320000000000007</v>
      </c>
      <c r="F206" s="2043">
        <v>8912196</v>
      </c>
    </row>
    <row r="207" spans="1:6" ht="14.5">
      <c r="A207" t="s">
        <v>2933</v>
      </c>
      <c r="B207" s="380" t="str">
        <f t="shared" si="3"/>
        <v>043-904</v>
      </c>
      <c r="C207" s="2043">
        <v>172081</v>
      </c>
      <c r="D207" s="2043">
        <v>720097</v>
      </c>
      <c r="E207">
        <v>1.0019</v>
      </c>
      <c r="F207" s="2043">
        <v>1084150</v>
      </c>
    </row>
    <row r="208" spans="1:6" ht="14.5">
      <c r="A208" t="s">
        <v>2934</v>
      </c>
      <c r="B208" s="380" t="str">
        <f t="shared" si="3"/>
        <v>043-905</v>
      </c>
      <c r="C208" s="2043">
        <v>699732</v>
      </c>
      <c r="D208" s="2043">
        <v>70900416</v>
      </c>
      <c r="E208">
        <v>1.0402</v>
      </c>
      <c r="F208" s="2043">
        <v>122460609</v>
      </c>
    </row>
    <row r="209" spans="1:6" ht="14.5">
      <c r="A209" t="s">
        <v>2935</v>
      </c>
      <c r="B209" s="380" t="str">
        <f t="shared" si="3"/>
        <v>043-907</v>
      </c>
      <c r="C209" s="2043">
        <v>0</v>
      </c>
      <c r="D209" s="2043">
        <v>26190613</v>
      </c>
      <c r="E209">
        <v>1.0547</v>
      </c>
      <c r="F209" s="2043">
        <v>72386146</v>
      </c>
    </row>
    <row r="210" spans="1:6" ht="14.5">
      <c r="A210" t="s">
        <v>2936</v>
      </c>
      <c r="B210" s="380" t="str">
        <f t="shared" si="3"/>
        <v>043-908</v>
      </c>
      <c r="C210" s="2043">
        <v>1017554</v>
      </c>
      <c r="D210" s="2043">
        <v>4515268</v>
      </c>
      <c r="E210">
        <v>0.96300000000000008</v>
      </c>
      <c r="F210" s="2043">
        <v>8903257</v>
      </c>
    </row>
    <row r="211" spans="1:6" ht="14.5">
      <c r="A211" t="s">
        <v>4972</v>
      </c>
      <c r="B211" s="380" t="str">
        <f t="shared" si="3"/>
        <v>043-910</v>
      </c>
      <c r="C211" s="2043">
        <v>0</v>
      </c>
      <c r="D211" s="2043">
        <v>55826003</v>
      </c>
      <c r="E211">
        <v>1.0548</v>
      </c>
      <c r="F211" s="2043">
        <v>155628927</v>
      </c>
    </row>
    <row r="212" spans="1:6" ht="14.5">
      <c r="A212" t="s">
        <v>2937</v>
      </c>
      <c r="B212" s="380" t="str">
        <f t="shared" si="3"/>
        <v>043-911</v>
      </c>
      <c r="C212" s="2043">
        <v>2010361</v>
      </c>
      <c r="D212" s="2043">
        <v>5034439</v>
      </c>
      <c r="E212">
        <v>0.9698</v>
      </c>
      <c r="F212" s="2043">
        <v>8730074</v>
      </c>
    </row>
    <row r="213" spans="1:6" ht="14.5">
      <c r="A213" t="s">
        <v>2938</v>
      </c>
      <c r="B213" s="380" t="str">
        <f t="shared" si="3"/>
        <v>043-912</v>
      </c>
      <c r="C213" s="2043">
        <v>210750</v>
      </c>
      <c r="D213" s="2043">
        <v>21851368</v>
      </c>
      <c r="E213">
        <v>0.99270000000000003</v>
      </c>
      <c r="F213" s="2043">
        <v>54909274</v>
      </c>
    </row>
    <row r="214" spans="1:6" ht="14.5">
      <c r="A214" t="s">
        <v>2939</v>
      </c>
      <c r="B214" s="380" t="str">
        <f t="shared" si="3"/>
        <v>043-914</v>
      </c>
      <c r="C214" s="2043">
        <v>2595307</v>
      </c>
      <c r="D214" s="2043">
        <v>8979800</v>
      </c>
      <c r="E214">
        <v>1.0505</v>
      </c>
      <c r="F214" s="2043">
        <v>34366588</v>
      </c>
    </row>
    <row r="215" spans="1:6" ht="14.5">
      <c r="A215" t="s">
        <v>2940</v>
      </c>
      <c r="B215" s="380" t="str">
        <f t="shared" si="3"/>
        <v>043-917</v>
      </c>
      <c r="C215" s="2043">
        <v>523477</v>
      </c>
      <c r="D215" s="2043">
        <v>363509</v>
      </c>
      <c r="E215">
        <v>1.024</v>
      </c>
      <c r="F215" s="2043">
        <v>1620280</v>
      </c>
    </row>
    <row r="216" spans="1:6" ht="14.5">
      <c r="A216" t="s">
        <v>2941</v>
      </c>
      <c r="B216" s="380" t="str">
        <f t="shared" si="3"/>
        <v>043-918</v>
      </c>
      <c r="C216" s="2043">
        <v>605320</v>
      </c>
      <c r="D216" s="2043">
        <v>2938564</v>
      </c>
      <c r="E216">
        <v>0.98620000000000008</v>
      </c>
      <c r="F216" s="2043">
        <v>5937649</v>
      </c>
    </row>
    <row r="217" spans="1:6" ht="14.5">
      <c r="A217" t="s">
        <v>4973</v>
      </c>
      <c r="B217" s="380" t="str">
        <f t="shared" si="3"/>
        <v>043-919</v>
      </c>
      <c r="C217" s="2043">
        <v>0</v>
      </c>
      <c r="D217" s="2043">
        <v>4863692</v>
      </c>
      <c r="E217">
        <v>1.0547</v>
      </c>
      <c r="F217" s="2043">
        <v>14387545</v>
      </c>
    </row>
    <row r="218" spans="1:6" ht="14.5">
      <c r="A218" t="s">
        <v>5770</v>
      </c>
      <c r="B218" s="380" t="str">
        <f t="shared" si="3"/>
        <v>044-902</v>
      </c>
      <c r="C218" s="2043">
        <v>0</v>
      </c>
      <c r="D218" s="2043">
        <v>0</v>
      </c>
      <c r="E218">
        <v>0.94540000000000002</v>
      </c>
      <c r="F218" s="2043">
        <v>0</v>
      </c>
    </row>
    <row r="219" spans="1:6" ht="14.5">
      <c r="A219" t="s">
        <v>2942</v>
      </c>
      <c r="B219" s="380" t="str">
        <f t="shared" si="3"/>
        <v>045-902</v>
      </c>
      <c r="C219" s="2043">
        <v>0</v>
      </c>
      <c r="D219" s="2043">
        <v>612717</v>
      </c>
      <c r="E219">
        <v>0.96030000000000004</v>
      </c>
      <c r="F219" s="2043">
        <v>1379545</v>
      </c>
    </row>
    <row r="220" spans="1:6" ht="14.5">
      <c r="A220" t="s">
        <v>4974</v>
      </c>
      <c r="B220" s="380" t="str">
        <f t="shared" si="3"/>
        <v>045-903</v>
      </c>
      <c r="C220" s="2043">
        <v>0</v>
      </c>
      <c r="D220" s="2043">
        <v>1258497</v>
      </c>
      <c r="E220">
        <v>0.96640000000000004</v>
      </c>
      <c r="F220" s="2043">
        <v>1906809</v>
      </c>
    </row>
    <row r="221" spans="1:6" ht="14.5">
      <c r="A221" t="s">
        <v>4975</v>
      </c>
      <c r="B221" s="380" t="str">
        <f t="shared" si="3"/>
        <v>045-905</v>
      </c>
      <c r="C221" s="2043">
        <v>0</v>
      </c>
      <c r="D221" s="2043">
        <v>520633</v>
      </c>
      <c r="E221">
        <v>0.9536</v>
      </c>
      <c r="F221" s="2043">
        <v>954841</v>
      </c>
    </row>
    <row r="222" spans="1:6" ht="14.5">
      <c r="A222" t="s">
        <v>7950</v>
      </c>
      <c r="B222" s="380" t="str">
        <f t="shared" si="3"/>
        <v>046-802</v>
      </c>
      <c r="C222" s="2043">
        <v>0</v>
      </c>
      <c r="D222" s="2043">
        <v>0</v>
      </c>
      <c r="E222">
        <v>0</v>
      </c>
      <c r="F222" s="2043">
        <v>0</v>
      </c>
    </row>
    <row r="223" spans="1:6" ht="14.5">
      <c r="A223" t="s">
        <v>2943</v>
      </c>
      <c r="B223" s="380" t="str">
        <f t="shared" si="3"/>
        <v>046-901</v>
      </c>
      <c r="C223" s="2043">
        <v>984275</v>
      </c>
      <c r="D223" s="2043">
        <v>10470056</v>
      </c>
      <c r="E223">
        <v>0.89750000000000008</v>
      </c>
      <c r="F223" s="2043">
        <v>20580945</v>
      </c>
    </row>
    <row r="224" spans="1:6" ht="14.5">
      <c r="A224" t="s">
        <v>4976</v>
      </c>
      <c r="B224" s="380" t="str">
        <f t="shared" si="3"/>
        <v>046-902</v>
      </c>
      <c r="C224" s="2043">
        <v>0</v>
      </c>
      <c r="D224" s="2043">
        <v>28364574</v>
      </c>
      <c r="E224">
        <v>0.92570000000000008</v>
      </c>
      <c r="F224" s="2043">
        <v>67557201</v>
      </c>
    </row>
    <row r="225" spans="1:6" ht="14.5">
      <c r="A225" t="s">
        <v>2944</v>
      </c>
      <c r="B225" s="380" t="str">
        <f t="shared" si="3"/>
        <v>047-901</v>
      </c>
      <c r="C225" s="2043">
        <v>312761</v>
      </c>
      <c r="D225" s="2043">
        <v>400128</v>
      </c>
      <c r="E225">
        <v>1.0384</v>
      </c>
      <c r="F225" s="2043">
        <v>826626</v>
      </c>
    </row>
    <row r="226" spans="1:6" ht="14.5">
      <c r="A226" t="s">
        <v>2945</v>
      </c>
      <c r="B226" s="380" t="str">
        <f t="shared" si="3"/>
        <v>047-902</v>
      </c>
      <c r="C226" s="2043">
        <v>179631</v>
      </c>
      <c r="D226" s="2043">
        <v>189430</v>
      </c>
      <c r="E226">
        <v>1.0288000000000002</v>
      </c>
      <c r="F226" s="2043">
        <v>379145</v>
      </c>
    </row>
    <row r="227" spans="1:6" ht="14.5">
      <c r="A227" t="s">
        <v>2946</v>
      </c>
      <c r="B227" s="380" t="str">
        <f t="shared" si="3"/>
        <v>047-903</v>
      </c>
      <c r="C227" s="2043">
        <v>50248</v>
      </c>
      <c r="D227" s="2043">
        <v>0</v>
      </c>
      <c r="E227">
        <v>0.97520000000000007</v>
      </c>
      <c r="F227" s="2043">
        <v>61284</v>
      </c>
    </row>
    <row r="228" spans="1:6" ht="14.5">
      <c r="A228" t="s">
        <v>2947</v>
      </c>
      <c r="B228" s="380" t="str">
        <f t="shared" si="3"/>
        <v>047-905</v>
      </c>
      <c r="C228" s="2043">
        <v>27007</v>
      </c>
      <c r="D228" s="2043">
        <v>0</v>
      </c>
      <c r="E228">
        <v>0.92</v>
      </c>
      <c r="F228" s="2043">
        <v>37700</v>
      </c>
    </row>
    <row r="229" spans="1:6" ht="14.5">
      <c r="A229" t="s">
        <v>5771</v>
      </c>
      <c r="B229" s="380" t="str">
        <f t="shared" si="3"/>
        <v>048-901</v>
      </c>
      <c r="C229" s="2043">
        <v>0</v>
      </c>
      <c r="D229" s="2043">
        <v>0</v>
      </c>
      <c r="E229">
        <v>0.87470000000000003</v>
      </c>
      <c r="F229" s="2043">
        <v>1101779</v>
      </c>
    </row>
    <row r="230" spans="1:6" ht="14.5">
      <c r="A230" t="s">
        <v>4977</v>
      </c>
      <c r="B230" s="380" t="str">
        <f t="shared" si="3"/>
        <v>048-903</v>
      </c>
      <c r="C230" s="2043">
        <v>0</v>
      </c>
      <c r="D230" s="2043">
        <v>159050</v>
      </c>
      <c r="E230">
        <v>0.95650000000000002</v>
      </c>
      <c r="F230" s="2043">
        <v>288808</v>
      </c>
    </row>
    <row r="231" spans="1:6" ht="14.5">
      <c r="A231" t="s">
        <v>2948</v>
      </c>
      <c r="B231" s="380" t="str">
        <f t="shared" si="3"/>
        <v>049-901</v>
      </c>
      <c r="C231" s="2043">
        <v>144599</v>
      </c>
      <c r="D231" s="2043">
        <v>1198763</v>
      </c>
      <c r="E231">
        <v>1.0216000000000001</v>
      </c>
      <c r="F231" s="2043">
        <v>1095897</v>
      </c>
    </row>
    <row r="232" spans="1:6" ht="14.5">
      <c r="A232" t="s">
        <v>4978</v>
      </c>
      <c r="B232" s="380" t="str">
        <f t="shared" si="3"/>
        <v>049-902</v>
      </c>
      <c r="C232" s="2043">
        <v>0</v>
      </c>
      <c r="D232" s="2043">
        <v>566752</v>
      </c>
      <c r="E232">
        <v>0.96640000000000004</v>
      </c>
      <c r="F232" s="2043">
        <v>1662864</v>
      </c>
    </row>
    <row r="233" spans="1:6" ht="14.5">
      <c r="A233" t="s">
        <v>2949</v>
      </c>
      <c r="B233" s="380" t="str">
        <f t="shared" si="3"/>
        <v>049-903</v>
      </c>
      <c r="C233" s="2043">
        <v>150918</v>
      </c>
      <c r="D233" s="2043">
        <v>617842</v>
      </c>
      <c r="E233">
        <v>1.0214000000000001</v>
      </c>
      <c r="F233" s="2043">
        <v>856410</v>
      </c>
    </row>
    <row r="234" spans="1:6" ht="14.5">
      <c r="A234" t="s">
        <v>4979</v>
      </c>
      <c r="B234" s="380" t="str">
        <f t="shared" si="3"/>
        <v>049-905</v>
      </c>
      <c r="C234" s="2043">
        <v>0</v>
      </c>
      <c r="D234" s="2043">
        <v>821963</v>
      </c>
      <c r="E234">
        <v>0.90280000000000005</v>
      </c>
      <c r="F234" s="2043">
        <v>1263659</v>
      </c>
    </row>
    <row r="235" spans="1:6" ht="14.5">
      <c r="A235" t="s">
        <v>2950</v>
      </c>
      <c r="B235" s="380" t="str">
        <f t="shared" si="3"/>
        <v>049-906</v>
      </c>
      <c r="C235" s="2043">
        <v>43739</v>
      </c>
      <c r="D235" s="2043">
        <v>290161</v>
      </c>
      <c r="E235">
        <v>0.96640000000000004</v>
      </c>
      <c r="F235" s="2043">
        <v>341036</v>
      </c>
    </row>
    <row r="236" spans="1:6" ht="14.5">
      <c r="A236" t="s">
        <v>4980</v>
      </c>
      <c r="B236" s="380" t="str">
        <f t="shared" si="3"/>
        <v>049-907</v>
      </c>
      <c r="C236" s="2043">
        <v>0</v>
      </c>
      <c r="D236" s="2043">
        <v>0</v>
      </c>
      <c r="E236">
        <v>0.96640000000000004</v>
      </c>
      <c r="F236" s="2043">
        <v>16</v>
      </c>
    </row>
    <row r="237" spans="1:6" ht="14.5">
      <c r="A237" t="s">
        <v>5772</v>
      </c>
      <c r="B237" s="380" t="str">
        <f t="shared" si="3"/>
        <v>049-908</v>
      </c>
      <c r="C237" s="2043">
        <v>0</v>
      </c>
      <c r="D237" s="2043">
        <v>0</v>
      </c>
      <c r="E237">
        <v>0.96640000000000004</v>
      </c>
      <c r="F237" s="2043">
        <v>0</v>
      </c>
    </row>
    <row r="238" spans="1:6" ht="14.5">
      <c r="A238" t="s">
        <v>5773</v>
      </c>
      <c r="B238" s="380" t="str">
        <f t="shared" si="3"/>
        <v>049-909</v>
      </c>
      <c r="C238" s="2043">
        <v>0</v>
      </c>
      <c r="D238" s="2043">
        <v>0</v>
      </c>
      <c r="E238">
        <v>0.8931</v>
      </c>
      <c r="F238" s="2043">
        <v>0</v>
      </c>
    </row>
    <row r="239" spans="1:6" ht="14.5">
      <c r="A239" t="s">
        <v>5774</v>
      </c>
      <c r="B239" s="380" t="str">
        <f t="shared" si="3"/>
        <v>050-901</v>
      </c>
      <c r="C239" s="2043">
        <v>0</v>
      </c>
      <c r="D239" s="2043">
        <v>0</v>
      </c>
      <c r="E239">
        <v>0.93130000000000002</v>
      </c>
      <c r="F239" s="2043">
        <v>0</v>
      </c>
    </row>
    <row r="240" spans="1:6" ht="14.5">
      <c r="A240" t="s">
        <v>4981</v>
      </c>
      <c r="B240" s="380" t="str">
        <f t="shared" si="3"/>
        <v>050-902</v>
      </c>
      <c r="C240" s="2043">
        <v>610902</v>
      </c>
      <c r="D240" s="2043">
        <v>560349</v>
      </c>
      <c r="E240">
        <v>0.9375</v>
      </c>
      <c r="F240" s="2043">
        <v>1985825</v>
      </c>
    </row>
    <row r="241" spans="1:6" ht="14.5">
      <c r="A241" t="s">
        <v>2951</v>
      </c>
      <c r="B241" s="380" t="str">
        <f t="shared" si="3"/>
        <v>050-904</v>
      </c>
      <c r="C241" s="2043">
        <v>0</v>
      </c>
      <c r="D241" s="2043">
        <v>0</v>
      </c>
      <c r="E241">
        <v>0.97100000000000009</v>
      </c>
      <c r="F241" s="2043">
        <v>27</v>
      </c>
    </row>
    <row r="242" spans="1:6" ht="14.5">
      <c r="A242" t="s">
        <v>4982</v>
      </c>
      <c r="B242" s="380" t="str">
        <f t="shared" si="3"/>
        <v>050-909</v>
      </c>
      <c r="C242" s="2043">
        <v>0</v>
      </c>
      <c r="D242" s="2043">
        <v>40463</v>
      </c>
      <c r="E242">
        <v>1.0154000000000001</v>
      </c>
      <c r="F242" s="2043">
        <v>97389</v>
      </c>
    </row>
    <row r="243" spans="1:6" ht="14.5">
      <c r="A243" t="s">
        <v>2952</v>
      </c>
      <c r="B243" s="380" t="str">
        <f t="shared" si="3"/>
        <v>050-910</v>
      </c>
      <c r="C243" s="2043">
        <v>0</v>
      </c>
      <c r="D243" s="2043">
        <v>762712</v>
      </c>
      <c r="E243">
        <v>1.0524</v>
      </c>
      <c r="F243" s="2043">
        <v>834279</v>
      </c>
    </row>
    <row r="244" spans="1:6" ht="14.5">
      <c r="A244" t="s">
        <v>5775</v>
      </c>
      <c r="B244" s="380" t="str">
        <f t="shared" si="3"/>
        <v>051-901</v>
      </c>
      <c r="C244" s="2043">
        <v>0</v>
      </c>
      <c r="D244" s="2043">
        <v>0</v>
      </c>
      <c r="E244">
        <v>0.96640000000000004</v>
      </c>
      <c r="F244" s="2043">
        <v>0</v>
      </c>
    </row>
    <row r="245" spans="1:6" ht="14.5">
      <c r="A245" t="s">
        <v>4983</v>
      </c>
      <c r="B245" s="380" t="str">
        <f t="shared" si="3"/>
        <v>052-901</v>
      </c>
      <c r="C245" s="2043">
        <v>0</v>
      </c>
      <c r="D245" s="2043">
        <v>231425</v>
      </c>
      <c r="E245">
        <v>0.8861</v>
      </c>
      <c r="F245" s="2043">
        <v>1274545</v>
      </c>
    </row>
    <row r="246" spans="1:6" ht="14.5">
      <c r="A246" t="s">
        <v>5776</v>
      </c>
      <c r="B246" s="380" t="str">
        <f t="shared" si="3"/>
        <v>053-001</v>
      </c>
      <c r="C246" s="2043">
        <v>0</v>
      </c>
      <c r="D246" s="2043">
        <v>433789</v>
      </c>
      <c r="E246">
        <v>0.89510000000000001</v>
      </c>
      <c r="F246" s="2043">
        <v>5776407</v>
      </c>
    </row>
    <row r="247" spans="1:6" ht="14.5">
      <c r="A247" t="s">
        <v>5777</v>
      </c>
      <c r="B247" s="380" t="str">
        <f t="shared" si="3"/>
        <v>054-901</v>
      </c>
      <c r="C247" s="2043">
        <v>0</v>
      </c>
      <c r="D247" s="2043">
        <v>306628</v>
      </c>
      <c r="E247">
        <v>0.99640000000000006</v>
      </c>
      <c r="F247" s="2043">
        <v>696177</v>
      </c>
    </row>
    <row r="248" spans="1:6" ht="14.5">
      <c r="A248" t="s">
        <v>5778</v>
      </c>
      <c r="B248" s="380" t="str">
        <f t="shared" si="3"/>
        <v>054-902</v>
      </c>
      <c r="C248" s="2043">
        <v>0</v>
      </c>
      <c r="D248" s="2043">
        <v>0</v>
      </c>
      <c r="E248">
        <v>0.96640000000000004</v>
      </c>
      <c r="F248" s="2043">
        <v>0</v>
      </c>
    </row>
    <row r="249" spans="1:6" ht="14.5">
      <c r="A249" t="s">
        <v>5779</v>
      </c>
      <c r="B249" s="380" t="str">
        <f t="shared" si="3"/>
        <v>054-903</v>
      </c>
      <c r="C249" s="2043">
        <v>0</v>
      </c>
      <c r="D249" s="2043">
        <v>0</v>
      </c>
      <c r="E249">
        <v>0.96640000000000004</v>
      </c>
      <c r="F249" s="2043">
        <v>0</v>
      </c>
    </row>
    <row r="250" spans="1:6" ht="14.5">
      <c r="A250" t="s">
        <v>4984</v>
      </c>
      <c r="B250" s="380" t="str">
        <f t="shared" si="3"/>
        <v>055-901</v>
      </c>
      <c r="C250" s="2043">
        <v>0</v>
      </c>
      <c r="D250" s="2043">
        <v>388439</v>
      </c>
      <c r="E250">
        <v>0.86470000000000002</v>
      </c>
      <c r="F250" s="2043">
        <v>14230714</v>
      </c>
    </row>
    <row r="251" spans="1:6" ht="14.5">
      <c r="A251" t="s">
        <v>4985</v>
      </c>
      <c r="B251" s="380" t="str">
        <f t="shared" si="3"/>
        <v>056-901</v>
      </c>
      <c r="C251" s="2043">
        <v>0</v>
      </c>
      <c r="D251" s="2043">
        <v>502880</v>
      </c>
      <c r="E251">
        <v>0.93830000000000002</v>
      </c>
      <c r="F251" s="2043">
        <v>1001051</v>
      </c>
    </row>
    <row r="252" spans="1:6" ht="14.5">
      <c r="A252" t="s">
        <v>5780</v>
      </c>
      <c r="B252" s="380" t="str">
        <f t="shared" si="3"/>
        <v>056-902</v>
      </c>
      <c r="C252" s="2043">
        <v>0</v>
      </c>
      <c r="D252" s="2043">
        <v>57970</v>
      </c>
      <c r="E252">
        <v>1.0547</v>
      </c>
      <c r="F252" s="2043">
        <v>138145</v>
      </c>
    </row>
    <row r="253" spans="1:6" ht="14.5">
      <c r="A253" t="s">
        <v>7951</v>
      </c>
      <c r="B253" s="380" t="str">
        <f t="shared" si="3"/>
        <v>057-802</v>
      </c>
      <c r="C253" s="2043">
        <v>0</v>
      </c>
      <c r="D253" s="2043">
        <v>0</v>
      </c>
      <c r="E253">
        <v>0</v>
      </c>
      <c r="F253" s="2043">
        <v>0</v>
      </c>
    </row>
    <row r="254" spans="1:6" ht="14.5">
      <c r="A254" t="s">
        <v>7952</v>
      </c>
      <c r="B254" s="380" t="str">
        <f t="shared" si="3"/>
        <v>057-803</v>
      </c>
      <c r="C254" s="2043">
        <v>0</v>
      </c>
      <c r="D254" s="2043">
        <v>0</v>
      </c>
      <c r="E254">
        <v>0</v>
      </c>
      <c r="F254" s="2043">
        <v>0</v>
      </c>
    </row>
    <row r="255" spans="1:6" ht="14.5">
      <c r="A255" t="s">
        <v>7953</v>
      </c>
      <c r="B255" s="380" t="str">
        <f t="shared" si="3"/>
        <v>057-804</v>
      </c>
      <c r="C255" s="2043">
        <v>0</v>
      </c>
      <c r="D255" s="2043">
        <v>0</v>
      </c>
      <c r="E255">
        <v>0</v>
      </c>
      <c r="F255" s="2043">
        <v>0</v>
      </c>
    </row>
    <row r="256" spans="1:6" ht="14.5">
      <c r="A256" t="s">
        <v>7954</v>
      </c>
      <c r="B256" s="380" t="str">
        <f t="shared" si="3"/>
        <v>057-805</v>
      </c>
      <c r="C256" s="2043">
        <v>0</v>
      </c>
      <c r="D256" s="2043">
        <v>0</v>
      </c>
      <c r="E256">
        <v>0</v>
      </c>
      <c r="F256" s="2043">
        <v>0</v>
      </c>
    </row>
    <row r="257" spans="1:6" ht="14.5">
      <c r="A257" t="s">
        <v>7955</v>
      </c>
      <c r="B257" s="380" t="str">
        <f t="shared" si="3"/>
        <v>057-806</v>
      </c>
      <c r="C257" s="2043">
        <v>0</v>
      </c>
      <c r="D257" s="2043">
        <v>0</v>
      </c>
      <c r="E257">
        <v>0</v>
      </c>
      <c r="F257" s="2043">
        <v>0</v>
      </c>
    </row>
    <row r="258" spans="1:6" ht="14.5">
      <c r="A258" t="s">
        <v>7956</v>
      </c>
      <c r="B258" s="380" t="str">
        <f t="shared" si="3"/>
        <v>057-807</v>
      </c>
      <c r="C258" s="2043">
        <v>0</v>
      </c>
      <c r="D258" s="2043">
        <v>0</v>
      </c>
      <c r="E258">
        <v>0</v>
      </c>
      <c r="F258" s="2043">
        <v>0</v>
      </c>
    </row>
    <row r="259" spans="1:6" ht="14.5">
      <c r="A259" t="s">
        <v>7957</v>
      </c>
      <c r="B259" s="380" t="str">
        <f t="shared" si="3"/>
        <v>057-808</v>
      </c>
      <c r="C259" s="2043">
        <v>0</v>
      </c>
      <c r="D259" s="2043">
        <v>0</v>
      </c>
      <c r="E259">
        <v>0</v>
      </c>
      <c r="F259" s="2043">
        <v>0</v>
      </c>
    </row>
    <row r="260" spans="1:6" ht="14.5">
      <c r="A260" t="s">
        <v>7958</v>
      </c>
      <c r="B260" s="380" t="str">
        <f t="shared" ref="B260:B323" si="4">CONCATENATE(LEFT(RIGHT(CONCATENATE("000",A260),6),3),"-",(RIGHT(RIGHT(CONCATENATE("000",A260),6),3)))</f>
        <v>057-809</v>
      </c>
      <c r="C260" s="2043">
        <v>0</v>
      </c>
      <c r="D260" s="2043">
        <v>0</v>
      </c>
      <c r="E260">
        <v>0</v>
      </c>
      <c r="F260" s="2043">
        <v>0</v>
      </c>
    </row>
    <row r="261" spans="1:6" ht="14.5">
      <c r="A261" t="s">
        <v>7959</v>
      </c>
      <c r="B261" s="380" t="str">
        <f t="shared" si="4"/>
        <v>057-810</v>
      </c>
      <c r="C261" s="2043">
        <v>0</v>
      </c>
      <c r="D261" s="2043">
        <v>0</v>
      </c>
      <c r="E261">
        <v>0</v>
      </c>
      <c r="F261" s="2043">
        <v>0</v>
      </c>
    </row>
    <row r="262" spans="1:6" ht="14.5">
      <c r="A262" t="s">
        <v>7960</v>
      </c>
      <c r="B262" s="380" t="str">
        <f t="shared" si="4"/>
        <v>057-813</v>
      </c>
      <c r="C262" s="2043">
        <v>0</v>
      </c>
      <c r="D262" s="2043">
        <v>0</v>
      </c>
      <c r="E262">
        <v>0</v>
      </c>
      <c r="F262" s="2043">
        <v>0</v>
      </c>
    </row>
    <row r="263" spans="1:6" ht="14.5">
      <c r="A263" t="s">
        <v>7961</v>
      </c>
      <c r="B263" s="380" t="str">
        <f t="shared" si="4"/>
        <v>057-814</v>
      </c>
      <c r="C263" s="2043">
        <v>0</v>
      </c>
      <c r="D263" s="2043">
        <v>0</v>
      </c>
      <c r="E263">
        <v>0</v>
      </c>
      <c r="F263" s="2043">
        <v>0</v>
      </c>
    </row>
    <row r="264" spans="1:6" ht="14.5">
      <c r="A264" t="s">
        <v>7962</v>
      </c>
      <c r="B264" s="380" t="str">
        <f t="shared" si="4"/>
        <v>057-816</v>
      </c>
      <c r="C264" s="2043">
        <v>0</v>
      </c>
      <c r="D264" s="2043">
        <v>0</v>
      </c>
      <c r="E264">
        <v>0</v>
      </c>
      <c r="F264" s="2043">
        <v>0</v>
      </c>
    </row>
    <row r="265" spans="1:6" ht="14.5">
      <c r="A265" t="s">
        <v>7963</v>
      </c>
      <c r="B265" s="380" t="str">
        <f t="shared" si="4"/>
        <v>057-819</v>
      </c>
      <c r="C265" s="2043">
        <v>0</v>
      </c>
      <c r="D265" s="2043">
        <v>0</v>
      </c>
      <c r="E265">
        <v>0</v>
      </c>
      <c r="F265" s="2043">
        <v>0</v>
      </c>
    </row>
    <row r="266" spans="1:6" ht="14.5">
      <c r="A266" t="s">
        <v>7964</v>
      </c>
      <c r="B266" s="380" t="str">
        <f t="shared" si="4"/>
        <v>057-827</v>
      </c>
      <c r="C266" s="2043">
        <v>0</v>
      </c>
      <c r="D266" s="2043">
        <v>0</v>
      </c>
      <c r="E266">
        <v>0</v>
      </c>
      <c r="F266" s="2043">
        <v>0</v>
      </c>
    </row>
    <row r="267" spans="1:6" ht="14.5">
      <c r="A267" t="s">
        <v>7965</v>
      </c>
      <c r="B267" s="380" t="str">
        <f t="shared" si="4"/>
        <v>057-828</v>
      </c>
      <c r="C267" s="2043">
        <v>0</v>
      </c>
      <c r="D267" s="2043">
        <v>0</v>
      </c>
      <c r="E267">
        <v>0</v>
      </c>
      <c r="F267" s="2043">
        <v>0</v>
      </c>
    </row>
    <row r="268" spans="1:6" ht="14.5">
      <c r="A268" t="s">
        <v>7966</v>
      </c>
      <c r="B268" s="380" t="str">
        <f t="shared" si="4"/>
        <v>057-829</v>
      </c>
      <c r="C268" s="2043">
        <v>0</v>
      </c>
      <c r="D268" s="2043">
        <v>0</v>
      </c>
      <c r="E268">
        <v>0</v>
      </c>
      <c r="F268" s="2043">
        <v>0</v>
      </c>
    </row>
    <row r="269" spans="1:6" ht="14.5">
      <c r="A269" t="s">
        <v>7967</v>
      </c>
      <c r="B269" s="380" t="str">
        <f t="shared" si="4"/>
        <v>057-830</v>
      </c>
      <c r="C269" s="2043">
        <v>0</v>
      </c>
      <c r="D269" s="2043">
        <v>0</v>
      </c>
      <c r="E269">
        <v>0</v>
      </c>
      <c r="F269" s="2043">
        <v>0</v>
      </c>
    </row>
    <row r="270" spans="1:6" ht="14.5">
      <c r="A270" t="s">
        <v>7968</v>
      </c>
      <c r="B270" s="380" t="str">
        <f t="shared" si="4"/>
        <v>057-831</v>
      </c>
      <c r="C270" s="2043">
        <v>0</v>
      </c>
      <c r="D270" s="2043">
        <v>0</v>
      </c>
      <c r="E270">
        <v>0</v>
      </c>
      <c r="F270" s="2043">
        <v>0</v>
      </c>
    </row>
    <row r="271" spans="1:6" ht="14.5">
      <c r="A271" t="s">
        <v>7969</v>
      </c>
      <c r="B271" s="380" t="str">
        <f t="shared" si="4"/>
        <v>057-833</v>
      </c>
      <c r="C271" s="2043">
        <v>0</v>
      </c>
      <c r="D271" s="2043">
        <v>0</v>
      </c>
      <c r="E271">
        <v>0</v>
      </c>
      <c r="F271" s="2043">
        <v>0</v>
      </c>
    </row>
    <row r="272" spans="1:6" ht="14.5">
      <c r="A272" t="s">
        <v>7970</v>
      </c>
      <c r="B272" s="380" t="str">
        <f t="shared" si="4"/>
        <v>057-834</v>
      </c>
      <c r="C272" s="2043">
        <v>0</v>
      </c>
      <c r="D272" s="2043">
        <v>0</v>
      </c>
      <c r="E272">
        <v>0</v>
      </c>
      <c r="F272" s="2043">
        <v>0</v>
      </c>
    </row>
    <row r="273" spans="1:6" ht="14.5">
      <c r="A273" t="s">
        <v>7971</v>
      </c>
      <c r="B273" s="380" t="str">
        <f t="shared" si="4"/>
        <v>057-835</v>
      </c>
      <c r="C273" s="2043">
        <v>0</v>
      </c>
      <c r="D273" s="2043">
        <v>0</v>
      </c>
      <c r="E273">
        <v>0</v>
      </c>
      <c r="F273" s="2043">
        <v>0</v>
      </c>
    </row>
    <row r="274" spans="1:6" ht="14.5">
      <c r="A274" t="s">
        <v>7972</v>
      </c>
      <c r="B274" s="380" t="str">
        <f t="shared" si="4"/>
        <v>057-836</v>
      </c>
      <c r="C274" s="2043">
        <v>0</v>
      </c>
      <c r="D274" s="2043">
        <v>0</v>
      </c>
      <c r="E274">
        <v>0</v>
      </c>
      <c r="F274" s="2043">
        <v>0</v>
      </c>
    </row>
    <row r="275" spans="1:6" ht="14.5">
      <c r="A275" t="s">
        <v>7973</v>
      </c>
      <c r="B275" s="380" t="str">
        <f t="shared" si="4"/>
        <v>057-839</v>
      </c>
      <c r="C275" s="2043">
        <v>0</v>
      </c>
      <c r="D275" s="2043">
        <v>0</v>
      </c>
      <c r="E275">
        <v>0</v>
      </c>
      <c r="F275" s="2043">
        <v>0</v>
      </c>
    </row>
    <row r="276" spans="1:6" ht="14.5">
      <c r="A276" t="s">
        <v>7974</v>
      </c>
      <c r="B276" s="380" t="str">
        <f t="shared" si="4"/>
        <v>057-840</v>
      </c>
      <c r="C276" s="2043">
        <v>0</v>
      </c>
      <c r="D276" s="2043">
        <v>0</v>
      </c>
      <c r="E276">
        <v>0</v>
      </c>
      <c r="F276" s="2043">
        <v>0</v>
      </c>
    </row>
    <row r="277" spans="1:6" ht="14.5">
      <c r="A277" t="s">
        <v>7975</v>
      </c>
      <c r="B277" s="380" t="str">
        <f t="shared" si="4"/>
        <v>057-841</v>
      </c>
      <c r="C277" s="2043">
        <v>0</v>
      </c>
      <c r="D277" s="2043">
        <v>0</v>
      </c>
      <c r="E277">
        <v>0</v>
      </c>
      <c r="F277" s="2043">
        <v>0</v>
      </c>
    </row>
    <row r="278" spans="1:6" ht="14.5">
      <c r="A278" t="s">
        <v>7976</v>
      </c>
      <c r="B278" s="380" t="str">
        <f t="shared" si="4"/>
        <v>057-844</v>
      </c>
      <c r="C278" s="2043">
        <v>0</v>
      </c>
      <c r="D278" s="2043">
        <v>0</v>
      </c>
      <c r="E278">
        <v>0</v>
      </c>
      <c r="F278" s="2043">
        <v>0</v>
      </c>
    </row>
    <row r="279" spans="1:6" ht="14.5">
      <c r="A279" t="s">
        <v>7977</v>
      </c>
      <c r="B279" s="380" t="str">
        <f t="shared" si="4"/>
        <v>057-845</v>
      </c>
      <c r="C279" s="2043">
        <v>0</v>
      </c>
      <c r="D279" s="2043">
        <v>0</v>
      </c>
      <c r="E279">
        <v>0</v>
      </c>
      <c r="F279" s="2043">
        <v>0</v>
      </c>
    </row>
    <row r="280" spans="1:6" ht="14.5">
      <c r="A280" t="s">
        <v>7978</v>
      </c>
      <c r="B280" s="380" t="str">
        <f t="shared" si="4"/>
        <v>057-846</v>
      </c>
      <c r="C280" s="2043">
        <v>0</v>
      </c>
      <c r="D280" s="2043">
        <v>0</v>
      </c>
      <c r="E280">
        <v>0</v>
      </c>
      <c r="F280" s="2043">
        <v>0</v>
      </c>
    </row>
    <row r="281" spans="1:6" ht="14.5">
      <c r="A281" t="s">
        <v>7979</v>
      </c>
      <c r="B281" s="380" t="str">
        <f t="shared" si="4"/>
        <v>057-847</v>
      </c>
      <c r="C281" s="2043">
        <v>0</v>
      </c>
      <c r="D281" s="2043">
        <v>0</v>
      </c>
      <c r="E281">
        <v>0</v>
      </c>
      <c r="F281" s="2043">
        <v>0</v>
      </c>
    </row>
    <row r="282" spans="1:6" ht="14.5">
      <c r="A282" t="s">
        <v>7980</v>
      </c>
      <c r="B282" s="380" t="str">
        <f t="shared" si="4"/>
        <v>057-848</v>
      </c>
      <c r="C282" s="2043">
        <v>0</v>
      </c>
      <c r="D282" s="2043">
        <v>0</v>
      </c>
      <c r="E282">
        <v>0</v>
      </c>
      <c r="F282" s="2043">
        <v>0</v>
      </c>
    </row>
    <row r="283" spans="1:6" ht="14.5">
      <c r="A283" t="s">
        <v>7982</v>
      </c>
      <c r="B283" s="380" t="str">
        <f t="shared" si="4"/>
        <v>057-850</v>
      </c>
      <c r="C283" s="2043">
        <v>0</v>
      </c>
      <c r="D283" s="2043">
        <v>0</v>
      </c>
      <c r="E283">
        <v>0</v>
      </c>
      <c r="F283" s="2043">
        <v>0</v>
      </c>
    </row>
    <row r="284" spans="1:6" ht="14.5">
      <c r="A284" t="s">
        <v>7983</v>
      </c>
      <c r="B284" s="380" t="str">
        <f t="shared" si="4"/>
        <v>057-851</v>
      </c>
      <c r="C284" s="2043">
        <v>0</v>
      </c>
      <c r="D284" s="2043">
        <v>0</v>
      </c>
      <c r="E284">
        <v>0</v>
      </c>
      <c r="F284" s="2043">
        <v>0</v>
      </c>
    </row>
    <row r="285" spans="1:6" ht="14.5">
      <c r="A285" t="s">
        <v>4986</v>
      </c>
      <c r="B285" s="380" t="str">
        <f t="shared" si="4"/>
        <v>057-903</v>
      </c>
      <c r="C285" s="2043">
        <v>0</v>
      </c>
      <c r="D285" s="2043">
        <v>20129975</v>
      </c>
      <c r="E285">
        <v>1.0547</v>
      </c>
      <c r="F285" s="2043">
        <v>48944685</v>
      </c>
    </row>
    <row r="286" spans="1:6" ht="14.5">
      <c r="A286" t="s">
        <v>4987</v>
      </c>
      <c r="B286" s="380" t="str">
        <f t="shared" si="4"/>
        <v>057-904</v>
      </c>
      <c r="C286" s="2043">
        <v>0</v>
      </c>
      <c r="D286" s="2043">
        <v>8006251</v>
      </c>
      <c r="E286">
        <v>0.94730000000000003</v>
      </c>
      <c r="F286" s="2043">
        <v>13813158</v>
      </c>
    </row>
    <row r="287" spans="1:6" ht="14.5">
      <c r="A287" t="s">
        <v>4988</v>
      </c>
      <c r="B287" s="380" t="str">
        <f t="shared" si="4"/>
        <v>057-905</v>
      </c>
      <c r="C287" s="2043">
        <v>0</v>
      </c>
      <c r="D287" s="2043">
        <v>140536931</v>
      </c>
      <c r="E287">
        <v>1.0547</v>
      </c>
      <c r="F287" s="2043">
        <v>321031014</v>
      </c>
    </row>
    <row r="288" spans="1:6" ht="14.5">
      <c r="A288" t="s">
        <v>2953</v>
      </c>
      <c r="B288" s="380" t="str">
        <f t="shared" si="4"/>
        <v>057-906</v>
      </c>
      <c r="C288" s="2043">
        <v>3052801</v>
      </c>
      <c r="D288" s="2043">
        <v>8409939</v>
      </c>
      <c r="E288">
        <v>1.0547</v>
      </c>
      <c r="F288" s="2043">
        <v>16940337</v>
      </c>
    </row>
    <row r="289" spans="1:6" ht="14.5">
      <c r="A289" t="s">
        <v>4989</v>
      </c>
      <c r="B289" s="380" t="str">
        <f t="shared" si="4"/>
        <v>057-907</v>
      </c>
      <c r="C289" s="2043">
        <v>0</v>
      </c>
      <c r="D289" s="2043">
        <v>12757768</v>
      </c>
      <c r="E289">
        <v>1.0176000000000001</v>
      </c>
      <c r="F289" s="2043">
        <v>18678205</v>
      </c>
    </row>
    <row r="290" spans="1:6" ht="14.5">
      <c r="A290" t="s">
        <v>2954</v>
      </c>
      <c r="B290" s="380" t="str">
        <f t="shared" si="4"/>
        <v>057-909</v>
      </c>
      <c r="C290" s="2043">
        <v>8624480</v>
      </c>
      <c r="D290" s="2043">
        <v>54929077</v>
      </c>
      <c r="E290">
        <v>0.95130000000000003</v>
      </c>
      <c r="F290" s="2043">
        <v>68522390</v>
      </c>
    </row>
    <row r="291" spans="1:6" ht="14.5">
      <c r="A291" t="s">
        <v>2955</v>
      </c>
      <c r="B291" s="380" t="str">
        <f t="shared" si="4"/>
        <v>057-910</v>
      </c>
      <c r="C291" s="2043">
        <v>14222694</v>
      </c>
      <c r="D291" s="2043">
        <v>21178976</v>
      </c>
      <c r="E291">
        <v>1.0547</v>
      </c>
      <c r="F291" s="2043">
        <v>40384207</v>
      </c>
    </row>
    <row r="292" spans="1:6" ht="14.5">
      <c r="A292" t="s">
        <v>4990</v>
      </c>
      <c r="B292" s="380" t="str">
        <f t="shared" si="4"/>
        <v>057-911</v>
      </c>
      <c r="C292" s="2043">
        <v>0</v>
      </c>
      <c r="D292" s="2043">
        <v>5044780</v>
      </c>
      <c r="E292">
        <v>0.95640000000000003</v>
      </c>
      <c r="F292" s="2043">
        <v>31335135</v>
      </c>
    </row>
    <row r="293" spans="1:6" ht="14.5">
      <c r="A293" t="s">
        <v>2956</v>
      </c>
      <c r="B293" s="380" t="str">
        <f t="shared" si="4"/>
        <v>057-912</v>
      </c>
      <c r="C293" s="2043">
        <v>12613954</v>
      </c>
      <c r="D293" s="2043">
        <v>30572474</v>
      </c>
      <c r="E293">
        <v>1.0148000000000001</v>
      </c>
      <c r="F293" s="2043">
        <v>39900846</v>
      </c>
    </row>
    <row r="294" spans="1:6" ht="14.5">
      <c r="A294" t="s">
        <v>4991</v>
      </c>
      <c r="B294" s="380" t="str">
        <f t="shared" si="4"/>
        <v>057-913</v>
      </c>
      <c r="C294" s="2043">
        <v>1673781</v>
      </c>
      <c r="D294" s="2043">
        <v>7802200</v>
      </c>
      <c r="E294">
        <v>1.0524</v>
      </c>
      <c r="F294" s="2043">
        <v>14769465</v>
      </c>
    </row>
    <row r="295" spans="1:6" ht="14.5">
      <c r="A295" t="s">
        <v>2957</v>
      </c>
      <c r="B295" s="380" t="str">
        <f t="shared" si="4"/>
        <v>057-914</v>
      </c>
      <c r="C295" s="2043">
        <v>11680424</v>
      </c>
      <c r="D295" s="2043">
        <v>27099990</v>
      </c>
      <c r="E295">
        <v>0.96640000000000004</v>
      </c>
      <c r="F295" s="2043">
        <v>46633876</v>
      </c>
    </row>
    <row r="296" spans="1:6" ht="14.5">
      <c r="A296" t="s">
        <v>4992</v>
      </c>
      <c r="B296" s="380" t="str">
        <f t="shared" si="4"/>
        <v>057-916</v>
      </c>
      <c r="C296" s="2043">
        <v>0</v>
      </c>
      <c r="D296" s="2043">
        <v>42256578</v>
      </c>
      <c r="E296">
        <v>1.0547</v>
      </c>
      <c r="F296" s="2043">
        <v>89040625</v>
      </c>
    </row>
    <row r="297" spans="1:6" ht="14.5">
      <c r="A297" t="s">
        <v>4993</v>
      </c>
      <c r="B297" s="380" t="str">
        <f t="shared" si="4"/>
        <v>057-919</v>
      </c>
      <c r="C297" s="2043">
        <v>0</v>
      </c>
      <c r="D297" s="2043">
        <v>2287304</v>
      </c>
      <c r="E297">
        <v>0.97510000000000008</v>
      </c>
      <c r="F297" s="2043">
        <v>5636557</v>
      </c>
    </row>
    <row r="298" spans="1:6" ht="14.5">
      <c r="A298" t="s">
        <v>4994</v>
      </c>
      <c r="B298" s="380" t="str">
        <f t="shared" si="4"/>
        <v>057-922</v>
      </c>
      <c r="C298" s="2043">
        <v>0</v>
      </c>
      <c r="D298" s="2043">
        <v>14810073</v>
      </c>
      <c r="E298">
        <v>1.0514000000000001</v>
      </c>
      <c r="F298" s="2043">
        <v>35539985</v>
      </c>
    </row>
    <row r="299" spans="1:6" ht="14.5">
      <c r="A299" t="s">
        <v>8504</v>
      </c>
      <c r="B299" s="380" t="str">
        <f t="shared" si="4"/>
        <v>057-950</v>
      </c>
      <c r="C299" s="2043">
        <v>0</v>
      </c>
      <c r="D299" s="2043">
        <v>0</v>
      </c>
      <c r="E299">
        <v>0</v>
      </c>
      <c r="F299" s="2043">
        <v>0</v>
      </c>
    </row>
    <row r="300" spans="1:6" ht="14.5">
      <c r="A300" t="s">
        <v>5781</v>
      </c>
      <c r="B300" s="380" t="str">
        <f t="shared" si="4"/>
        <v>058-902</v>
      </c>
      <c r="C300" s="2043">
        <v>0</v>
      </c>
      <c r="D300" s="2043">
        <v>0</v>
      </c>
      <c r="E300">
        <v>1.0547</v>
      </c>
      <c r="F300" s="2043">
        <v>0</v>
      </c>
    </row>
    <row r="301" spans="1:6" ht="14.5">
      <c r="A301" t="s">
        <v>4995</v>
      </c>
      <c r="B301" s="380" t="str">
        <f t="shared" si="4"/>
        <v>058-905</v>
      </c>
      <c r="C301" s="2043">
        <v>0</v>
      </c>
      <c r="D301" s="2043">
        <v>160195</v>
      </c>
      <c r="E301">
        <v>0.96300000000000008</v>
      </c>
      <c r="F301" s="2043">
        <v>1114843</v>
      </c>
    </row>
    <row r="302" spans="1:6" ht="14.5">
      <c r="A302" t="s">
        <v>5782</v>
      </c>
      <c r="B302" s="380" t="str">
        <f t="shared" si="4"/>
        <v>058-906</v>
      </c>
      <c r="C302" s="2043">
        <v>0</v>
      </c>
      <c r="D302" s="2043">
        <v>721300</v>
      </c>
      <c r="E302">
        <v>1.0547</v>
      </c>
      <c r="F302" s="2043">
        <v>1970869</v>
      </c>
    </row>
    <row r="303" spans="1:6" ht="14.5">
      <c r="A303" t="s">
        <v>4996</v>
      </c>
      <c r="B303" s="380" t="str">
        <f t="shared" si="4"/>
        <v>058-909</v>
      </c>
      <c r="C303" s="2043">
        <v>0</v>
      </c>
      <c r="D303" s="2043">
        <v>249262</v>
      </c>
      <c r="E303">
        <v>0.87470000000000003</v>
      </c>
      <c r="F303" s="2043">
        <v>2423371</v>
      </c>
    </row>
    <row r="304" spans="1:6" ht="14.5">
      <c r="A304" t="s">
        <v>3768</v>
      </c>
      <c r="B304" s="380" t="str">
        <f t="shared" si="4"/>
        <v>059-901</v>
      </c>
      <c r="C304" s="2043">
        <v>0</v>
      </c>
      <c r="D304" s="2043">
        <v>0</v>
      </c>
      <c r="E304">
        <v>0.94320000000000004</v>
      </c>
      <c r="F304" s="2043">
        <v>1798143</v>
      </c>
    </row>
    <row r="305" spans="1:6" ht="14.5">
      <c r="A305" t="s">
        <v>5783</v>
      </c>
      <c r="B305" s="380" t="str">
        <f t="shared" si="4"/>
        <v>059-902</v>
      </c>
      <c r="C305" s="2043">
        <v>0</v>
      </c>
      <c r="D305" s="2043">
        <v>65987</v>
      </c>
      <c r="E305">
        <v>0.96640000000000004</v>
      </c>
      <c r="F305" s="2043">
        <v>115237</v>
      </c>
    </row>
    <row r="306" spans="1:6" ht="14.5">
      <c r="A306" t="s">
        <v>2958</v>
      </c>
      <c r="B306" s="380" t="str">
        <f t="shared" si="4"/>
        <v>060-902</v>
      </c>
      <c r="C306" s="2043">
        <v>169450</v>
      </c>
      <c r="D306" s="2043">
        <v>486424</v>
      </c>
      <c r="E306">
        <v>1.0261</v>
      </c>
      <c r="F306" s="2043">
        <v>522528</v>
      </c>
    </row>
    <row r="307" spans="1:6" ht="14.5">
      <c r="A307" t="s">
        <v>2959</v>
      </c>
      <c r="B307" s="380" t="str">
        <f t="shared" si="4"/>
        <v>060-914</v>
      </c>
      <c r="C307" s="2043">
        <v>54424</v>
      </c>
      <c r="D307" s="2043">
        <v>800</v>
      </c>
      <c r="E307">
        <v>1.0481</v>
      </c>
      <c r="F307" s="2043">
        <v>60817</v>
      </c>
    </row>
    <row r="308" spans="1:6" ht="14.5">
      <c r="A308" t="s">
        <v>7984</v>
      </c>
      <c r="B308" s="380" t="str">
        <f t="shared" si="4"/>
        <v>061-501</v>
      </c>
      <c r="C308" s="2043">
        <v>0</v>
      </c>
      <c r="D308" s="2043">
        <v>0</v>
      </c>
      <c r="E308">
        <v>0</v>
      </c>
      <c r="F308" s="2043">
        <v>0</v>
      </c>
    </row>
    <row r="309" spans="1:6" ht="14.5">
      <c r="A309" t="s">
        <v>7986</v>
      </c>
      <c r="B309" s="380" t="str">
        <f t="shared" si="4"/>
        <v>061-802</v>
      </c>
      <c r="C309" s="2043">
        <v>0</v>
      </c>
      <c r="D309" s="2043">
        <v>0</v>
      </c>
      <c r="E309">
        <v>0</v>
      </c>
      <c r="F309" s="2043">
        <v>0</v>
      </c>
    </row>
    <row r="310" spans="1:6" ht="14.5">
      <c r="A310" t="s">
        <v>7987</v>
      </c>
      <c r="B310" s="380" t="str">
        <f t="shared" si="4"/>
        <v>061-804</v>
      </c>
      <c r="C310" s="2043">
        <v>0</v>
      </c>
      <c r="D310" s="2043">
        <v>0</v>
      </c>
      <c r="E310">
        <v>0</v>
      </c>
      <c r="F310" s="2043">
        <v>0</v>
      </c>
    </row>
    <row r="311" spans="1:6" ht="14.5">
      <c r="A311" t="s">
        <v>7988</v>
      </c>
      <c r="B311" s="380" t="str">
        <f t="shared" si="4"/>
        <v>061-805</v>
      </c>
      <c r="C311" s="2043">
        <v>0</v>
      </c>
      <c r="D311" s="2043">
        <v>0</v>
      </c>
      <c r="E311">
        <v>0</v>
      </c>
      <c r="F311" s="2043">
        <v>0</v>
      </c>
    </row>
    <row r="312" spans="1:6" ht="14.5">
      <c r="A312" t="s">
        <v>4997</v>
      </c>
      <c r="B312" s="380" t="str">
        <f t="shared" si="4"/>
        <v>061-901</v>
      </c>
      <c r="C312" s="2043">
        <v>0</v>
      </c>
      <c r="D312" s="2043">
        <v>34026604</v>
      </c>
      <c r="E312">
        <v>0.92760000000000009</v>
      </c>
      <c r="F312" s="2043">
        <v>100783703</v>
      </c>
    </row>
    <row r="313" spans="1:6" ht="14.5">
      <c r="A313" t="s">
        <v>2960</v>
      </c>
      <c r="B313" s="380" t="str">
        <f t="shared" si="4"/>
        <v>061-902</v>
      </c>
      <c r="C313" s="2043">
        <v>0</v>
      </c>
      <c r="D313" s="2043">
        <v>55681399</v>
      </c>
      <c r="E313">
        <v>0.96640000000000004</v>
      </c>
      <c r="F313" s="2043">
        <v>167641682</v>
      </c>
    </row>
    <row r="314" spans="1:6" ht="14.5">
      <c r="A314" t="s">
        <v>3776</v>
      </c>
      <c r="B314" s="380" t="str">
        <f t="shared" si="4"/>
        <v>061-903</v>
      </c>
      <c r="C314" s="2043">
        <v>0</v>
      </c>
      <c r="D314" s="2043">
        <v>1086790</v>
      </c>
      <c r="E314">
        <v>1.0185999999999999</v>
      </c>
      <c r="F314" s="2043">
        <v>1836450</v>
      </c>
    </row>
    <row r="315" spans="1:6" ht="14.5">
      <c r="A315" t="s">
        <v>2961</v>
      </c>
      <c r="B315" s="380" t="str">
        <f t="shared" si="4"/>
        <v>061-905</v>
      </c>
      <c r="C315" s="2043">
        <v>301498</v>
      </c>
      <c r="D315" s="2043">
        <v>2264442</v>
      </c>
      <c r="E315">
        <v>1.0468</v>
      </c>
      <c r="F315" s="2043">
        <v>2847220</v>
      </c>
    </row>
    <row r="316" spans="1:6" ht="14.5">
      <c r="A316" t="s">
        <v>2962</v>
      </c>
      <c r="B316" s="380" t="str">
        <f t="shared" si="4"/>
        <v>061-906</v>
      </c>
      <c r="C316" s="2043">
        <v>0</v>
      </c>
      <c r="D316" s="2043">
        <v>1780421</v>
      </c>
      <c r="E316">
        <v>0.96640000000000004</v>
      </c>
      <c r="F316" s="2043">
        <v>3579535</v>
      </c>
    </row>
    <row r="317" spans="1:6" ht="14.5">
      <c r="A317" t="s">
        <v>2963</v>
      </c>
      <c r="B317" s="380" t="str">
        <f t="shared" si="4"/>
        <v>061-907</v>
      </c>
      <c r="C317" s="2043">
        <v>467898</v>
      </c>
      <c r="D317" s="2043">
        <v>2922754</v>
      </c>
      <c r="E317">
        <v>1.0087000000000002</v>
      </c>
      <c r="F317" s="2043">
        <v>6497636</v>
      </c>
    </row>
    <row r="318" spans="1:6" ht="14.5">
      <c r="A318" t="s">
        <v>2964</v>
      </c>
      <c r="B318" s="380" t="str">
        <f t="shared" si="4"/>
        <v>061-908</v>
      </c>
      <c r="C318" s="2043">
        <v>1189502</v>
      </c>
      <c r="D318" s="2043">
        <v>1582323</v>
      </c>
      <c r="E318">
        <v>0.97930000000000006</v>
      </c>
      <c r="F318" s="2043">
        <v>2900357</v>
      </c>
    </row>
    <row r="319" spans="1:6" ht="14.5">
      <c r="A319" t="s">
        <v>4998</v>
      </c>
      <c r="B319" s="380" t="str">
        <f t="shared" si="4"/>
        <v>061-910</v>
      </c>
      <c r="C319" s="2043">
        <v>0</v>
      </c>
      <c r="D319" s="2043">
        <v>4363335</v>
      </c>
      <c r="E319">
        <v>0.93370000000000009</v>
      </c>
      <c r="F319" s="2043">
        <v>13296659</v>
      </c>
    </row>
    <row r="320" spans="1:6" ht="14.5">
      <c r="A320" t="s">
        <v>2965</v>
      </c>
      <c r="B320" s="380" t="str">
        <f t="shared" si="4"/>
        <v>061-911</v>
      </c>
      <c r="C320" s="2043">
        <v>740900</v>
      </c>
      <c r="D320" s="2043">
        <v>28325517</v>
      </c>
      <c r="E320">
        <v>0.9163</v>
      </c>
      <c r="F320" s="2043">
        <v>92864508</v>
      </c>
    </row>
    <row r="321" spans="1:6" ht="14.5">
      <c r="A321" t="s">
        <v>2966</v>
      </c>
      <c r="B321" s="380" t="str">
        <f t="shared" si="4"/>
        <v>061-912</v>
      </c>
      <c r="C321" s="2043">
        <v>996878</v>
      </c>
      <c r="D321" s="2043">
        <v>4307749</v>
      </c>
      <c r="E321">
        <v>1.0503</v>
      </c>
      <c r="F321" s="2043">
        <v>11004438</v>
      </c>
    </row>
    <row r="322" spans="1:6" ht="14.5">
      <c r="A322" t="s">
        <v>2967</v>
      </c>
      <c r="B322" s="380" t="str">
        <f t="shared" si="4"/>
        <v>061-914</v>
      </c>
      <c r="C322" s="2043">
        <v>1472308</v>
      </c>
      <c r="D322" s="2043">
        <v>9032306</v>
      </c>
      <c r="E322">
        <v>1.0236000000000001</v>
      </c>
      <c r="F322" s="2043">
        <v>25820541</v>
      </c>
    </row>
    <row r="323" spans="1:6" ht="14.5">
      <c r="A323" t="s">
        <v>2968</v>
      </c>
      <c r="B323" s="380" t="str">
        <f t="shared" si="4"/>
        <v>062-901</v>
      </c>
      <c r="C323" s="2043">
        <v>354198</v>
      </c>
      <c r="D323" s="2043">
        <v>2034720</v>
      </c>
      <c r="E323">
        <v>0.96640000000000004</v>
      </c>
      <c r="F323" s="2043">
        <v>6181516</v>
      </c>
    </row>
    <row r="324" spans="1:6" ht="14.5">
      <c r="A324" t="s">
        <v>4999</v>
      </c>
      <c r="B324" s="380" t="str">
        <f t="shared" ref="B324:B387" si="5">CONCATENATE(LEFT(RIGHT(CONCATENATE("000",A324),6),3),"-",(RIGHT(RIGHT(CONCATENATE("000",A324),6),3)))</f>
        <v>062-902</v>
      </c>
      <c r="C324" s="2043">
        <v>0</v>
      </c>
      <c r="D324" s="2043">
        <v>0</v>
      </c>
      <c r="E324">
        <v>1.0547</v>
      </c>
      <c r="F324" s="2043">
        <v>0</v>
      </c>
    </row>
    <row r="325" spans="1:6" ht="14.5">
      <c r="A325" t="s">
        <v>2969</v>
      </c>
      <c r="B325" s="380" t="str">
        <f t="shared" si="5"/>
        <v>062-903</v>
      </c>
      <c r="C325" s="2043">
        <v>368750</v>
      </c>
      <c r="D325" s="2043">
        <v>1635359</v>
      </c>
      <c r="E325">
        <v>0.96640000000000004</v>
      </c>
      <c r="F325" s="2043">
        <v>4825462</v>
      </c>
    </row>
    <row r="326" spans="1:6" ht="14.5">
      <c r="A326" t="s">
        <v>5000</v>
      </c>
      <c r="B326" s="380" t="str">
        <f t="shared" si="5"/>
        <v>062-904</v>
      </c>
      <c r="C326" s="2043">
        <v>0</v>
      </c>
      <c r="D326" s="2043">
        <v>55699</v>
      </c>
      <c r="E326">
        <v>0.96640000000000004</v>
      </c>
      <c r="F326" s="2043">
        <v>383600</v>
      </c>
    </row>
    <row r="327" spans="1:6" ht="14.5">
      <c r="A327" t="s">
        <v>5784</v>
      </c>
      <c r="B327" s="380" t="str">
        <f t="shared" si="5"/>
        <v>062-905</v>
      </c>
      <c r="C327" s="2043">
        <v>0</v>
      </c>
      <c r="D327" s="2043">
        <v>0</v>
      </c>
      <c r="E327">
        <v>0.96640000000000004</v>
      </c>
      <c r="F327" s="2043">
        <v>0</v>
      </c>
    </row>
    <row r="328" spans="1:6" ht="14.5">
      <c r="A328" t="s">
        <v>5785</v>
      </c>
      <c r="B328" s="380" t="str">
        <f t="shared" si="5"/>
        <v>062-906</v>
      </c>
      <c r="C328" s="2043">
        <v>0</v>
      </c>
      <c r="D328" s="2043">
        <v>0</v>
      </c>
      <c r="E328">
        <v>0.96240000000000003</v>
      </c>
      <c r="F328" s="2043">
        <v>0</v>
      </c>
    </row>
    <row r="329" spans="1:6" ht="14.5">
      <c r="A329" t="s">
        <v>5001</v>
      </c>
      <c r="B329" s="380" t="str">
        <f t="shared" si="5"/>
        <v>063-903</v>
      </c>
      <c r="C329" s="2043">
        <v>0</v>
      </c>
      <c r="D329" s="2043">
        <v>190700</v>
      </c>
      <c r="E329">
        <v>0.96640000000000004</v>
      </c>
      <c r="F329" s="2043">
        <v>496983</v>
      </c>
    </row>
    <row r="330" spans="1:6" ht="14.5">
      <c r="A330" t="s">
        <v>5786</v>
      </c>
      <c r="B330" s="380" t="str">
        <f t="shared" si="5"/>
        <v>063-906</v>
      </c>
      <c r="C330" s="2043">
        <v>0</v>
      </c>
      <c r="D330" s="2043">
        <v>0</v>
      </c>
      <c r="E330">
        <v>1.0547</v>
      </c>
      <c r="F330" s="2043">
        <v>0</v>
      </c>
    </row>
    <row r="331" spans="1:6" ht="14.5">
      <c r="A331" t="s">
        <v>2970</v>
      </c>
      <c r="B331" s="380" t="str">
        <f t="shared" si="5"/>
        <v>064-903</v>
      </c>
      <c r="C331" s="2043">
        <v>501107</v>
      </c>
      <c r="D331" s="2043">
        <v>390583</v>
      </c>
      <c r="E331">
        <v>0.97640000000000005</v>
      </c>
      <c r="F331" s="2043">
        <v>3050407</v>
      </c>
    </row>
    <row r="332" spans="1:6" ht="14.5">
      <c r="A332" t="s">
        <v>5787</v>
      </c>
      <c r="B332" s="380" t="str">
        <f t="shared" si="5"/>
        <v>065-901</v>
      </c>
      <c r="C332" s="2043">
        <v>0</v>
      </c>
      <c r="D332" s="2043">
        <v>0</v>
      </c>
      <c r="E332">
        <v>1.026</v>
      </c>
      <c r="F332" s="2043">
        <v>0</v>
      </c>
    </row>
    <row r="333" spans="1:6" ht="14.5">
      <c r="A333" t="s">
        <v>2971</v>
      </c>
      <c r="B333" s="380" t="str">
        <f t="shared" si="5"/>
        <v>065-902</v>
      </c>
      <c r="C333" s="2043">
        <v>0</v>
      </c>
      <c r="D333" s="2043">
        <v>0</v>
      </c>
      <c r="E333">
        <v>0.87470000000000003</v>
      </c>
      <c r="F333" s="2043">
        <v>0</v>
      </c>
    </row>
    <row r="334" spans="1:6" ht="14.5">
      <c r="A334" t="s">
        <v>5788</v>
      </c>
      <c r="B334" s="380" t="str">
        <f t="shared" si="5"/>
        <v>066-005</v>
      </c>
      <c r="C334" s="2043">
        <v>0</v>
      </c>
      <c r="D334" s="2043">
        <v>0</v>
      </c>
      <c r="E334">
        <v>0.97</v>
      </c>
      <c r="F334" s="2043">
        <v>0</v>
      </c>
    </row>
    <row r="335" spans="1:6" ht="14.5">
      <c r="A335" t="s">
        <v>5002</v>
      </c>
      <c r="B335" s="380" t="str">
        <f t="shared" si="5"/>
        <v>066-901</v>
      </c>
      <c r="C335" s="2043">
        <v>0</v>
      </c>
      <c r="D335" s="2043">
        <v>262266</v>
      </c>
      <c r="E335">
        <v>0.96640000000000004</v>
      </c>
      <c r="F335" s="2043">
        <v>558923</v>
      </c>
    </row>
    <row r="336" spans="1:6" ht="14.5">
      <c r="A336" t="s">
        <v>2972</v>
      </c>
      <c r="B336" s="380" t="str">
        <f t="shared" si="5"/>
        <v>066-902</v>
      </c>
      <c r="C336" s="2043">
        <v>810866</v>
      </c>
      <c r="D336" s="2043">
        <v>334821</v>
      </c>
      <c r="E336">
        <v>0.87470000000000003</v>
      </c>
      <c r="F336" s="2043">
        <v>1290280</v>
      </c>
    </row>
    <row r="337" spans="1:6" ht="14.5">
      <c r="A337" t="s">
        <v>5003</v>
      </c>
      <c r="B337" s="380" t="str">
        <f t="shared" si="5"/>
        <v>066-903</v>
      </c>
      <c r="C337" s="2043">
        <v>0</v>
      </c>
      <c r="D337" s="2043">
        <v>793585</v>
      </c>
      <c r="E337">
        <v>0.96300000000000008</v>
      </c>
      <c r="F337" s="2043">
        <v>1665795</v>
      </c>
    </row>
    <row r="338" spans="1:6" ht="14.5">
      <c r="A338" t="s">
        <v>3827</v>
      </c>
      <c r="B338" s="380" t="str">
        <f t="shared" si="5"/>
        <v>067-902</v>
      </c>
      <c r="C338" s="2043">
        <v>0</v>
      </c>
      <c r="D338" s="2043">
        <v>0</v>
      </c>
      <c r="E338">
        <v>0.98970000000000002</v>
      </c>
      <c r="F338" s="2043">
        <v>0</v>
      </c>
    </row>
    <row r="339" spans="1:6" ht="14.5">
      <c r="A339" t="s">
        <v>5789</v>
      </c>
      <c r="B339" s="380" t="str">
        <f t="shared" si="5"/>
        <v>067-903</v>
      </c>
      <c r="C339" s="2043">
        <v>0</v>
      </c>
      <c r="D339" s="2043">
        <v>768400</v>
      </c>
      <c r="E339">
        <v>0.96640000000000004</v>
      </c>
      <c r="F339" s="2043">
        <v>864826</v>
      </c>
    </row>
    <row r="340" spans="1:6" ht="14.5">
      <c r="A340" t="s">
        <v>5004</v>
      </c>
      <c r="B340" s="380" t="str">
        <f t="shared" si="5"/>
        <v>067-904</v>
      </c>
      <c r="C340" s="2043">
        <v>0</v>
      </c>
      <c r="D340" s="2043">
        <v>254792</v>
      </c>
      <c r="E340">
        <v>0.91600000000000004</v>
      </c>
      <c r="F340" s="2043">
        <v>341012</v>
      </c>
    </row>
    <row r="341" spans="1:6" ht="14.5">
      <c r="A341" t="s">
        <v>5790</v>
      </c>
      <c r="B341" s="380" t="str">
        <f t="shared" si="5"/>
        <v>067-907</v>
      </c>
      <c r="C341" s="2043">
        <v>0</v>
      </c>
      <c r="D341" s="2043">
        <v>0</v>
      </c>
      <c r="E341">
        <v>0.9496</v>
      </c>
      <c r="F341" s="2043">
        <v>0</v>
      </c>
    </row>
    <row r="342" spans="1:6" ht="14.5">
      <c r="A342" t="s">
        <v>5791</v>
      </c>
      <c r="B342" s="380" t="str">
        <f t="shared" si="5"/>
        <v>067-908</v>
      </c>
      <c r="C342" s="2043">
        <v>0</v>
      </c>
      <c r="D342" s="2043">
        <v>0</v>
      </c>
      <c r="E342">
        <v>1.0547</v>
      </c>
      <c r="F342" s="2043">
        <v>0</v>
      </c>
    </row>
    <row r="343" spans="1:6" ht="14.5">
      <c r="A343" t="s">
        <v>7989</v>
      </c>
      <c r="B343" s="380" t="str">
        <f t="shared" si="5"/>
        <v>068-802</v>
      </c>
      <c r="C343" s="2043">
        <v>0</v>
      </c>
      <c r="D343" s="2043">
        <v>0</v>
      </c>
      <c r="E343">
        <v>0</v>
      </c>
      <c r="F343" s="2043">
        <v>0</v>
      </c>
    </row>
    <row r="344" spans="1:6" ht="14.5">
      <c r="A344" t="s">
        <v>7990</v>
      </c>
      <c r="B344" s="380" t="str">
        <f t="shared" si="5"/>
        <v>068-803</v>
      </c>
      <c r="C344" s="2043">
        <v>0</v>
      </c>
      <c r="D344" s="2043">
        <v>0</v>
      </c>
      <c r="E344">
        <v>0</v>
      </c>
      <c r="F344" s="2043">
        <v>0</v>
      </c>
    </row>
    <row r="345" spans="1:6" ht="14.5">
      <c r="A345" t="s">
        <v>5005</v>
      </c>
      <c r="B345" s="380" t="str">
        <f t="shared" si="5"/>
        <v>068-901</v>
      </c>
      <c r="C345" s="2043">
        <v>0</v>
      </c>
      <c r="D345" s="2043">
        <v>12760031</v>
      </c>
      <c r="E345">
        <v>1.0547</v>
      </c>
      <c r="F345" s="2043">
        <v>15910933</v>
      </c>
    </row>
    <row r="346" spans="1:6" ht="14.5">
      <c r="A346" t="s">
        <v>5006</v>
      </c>
      <c r="B346" s="380" t="str">
        <f t="shared" si="5"/>
        <v>069-901</v>
      </c>
      <c r="C346" s="2043">
        <v>0</v>
      </c>
      <c r="D346" s="2043">
        <v>122101</v>
      </c>
      <c r="E346">
        <v>0.87470000000000003</v>
      </c>
      <c r="F346" s="2043">
        <v>308436</v>
      </c>
    </row>
    <row r="347" spans="1:6" ht="14.5">
      <c r="A347" t="s">
        <v>5792</v>
      </c>
      <c r="B347" s="380" t="str">
        <f t="shared" si="5"/>
        <v>069-902</v>
      </c>
      <c r="C347" s="2043">
        <v>0</v>
      </c>
      <c r="D347" s="2043">
        <v>0</v>
      </c>
      <c r="E347">
        <v>1.0531000000000001</v>
      </c>
      <c r="F347" s="2043">
        <v>0</v>
      </c>
    </row>
    <row r="348" spans="1:6" ht="14.5">
      <c r="A348" t="s">
        <v>7991</v>
      </c>
      <c r="B348" s="380" t="str">
        <f t="shared" si="5"/>
        <v>070-801</v>
      </c>
      <c r="C348" s="2043">
        <v>0</v>
      </c>
      <c r="D348" s="2043">
        <v>0</v>
      </c>
      <c r="E348">
        <v>0</v>
      </c>
      <c r="F348" s="2043">
        <v>0</v>
      </c>
    </row>
    <row r="349" spans="1:6" ht="14.5">
      <c r="A349" t="s">
        <v>2973</v>
      </c>
      <c r="B349" s="380" t="str">
        <f t="shared" si="5"/>
        <v>070-901</v>
      </c>
      <c r="C349" s="2043">
        <v>32404</v>
      </c>
      <c r="D349" s="2043">
        <v>0</v>
      </c>
      <c r="E349">
        <v>0.96300000000000008</v>
      </c>
      <c r="F349" s="2043">
        <v>34247</v>
      </c>
    </row>
    <row r="350" spans="1:6" ht="14.5">
      <c r="A350" t="s">
        <v>5007</v>
      </c>
      <c r="B350" s="380" t="str">
        <f t="shared" si="5"/>
        <v>070-903</v>
      </c>
      <c r="C350" s="2043">
        <v>0</v>
      </c>
      <c r="D350" s="2043">
        <v>6198214</v>
      </c>
      <c r="E350">
        <v>1.0299</v>
      </c>
      <c r="F350" s="2043">
        <v>11132629</v>
      </c>
    </row>
    <row r="351" spans="1:6" ht="14.5">
      <c r="A351" t="s">
        <v>2974</v>
      </c>
      <c r="B351" s="380" t="str">
        <f t="shared" si="5"/>
        <v>070-905</v>
      </c>
      <c r="C351" s="2043">
        <v>253381</v>
      </c>
      <c r="D351" s="2043">
        <v>1628763</v>
      </c>
      <c r="E351">
        <v>0.98540000000000005</v>
      </c>
      <c r="F351" s="2043">
        <v>1888723</v>
      </c>
    </row>
    <row r="352" spans="1:6" ht="14.5">
      <c r="A352" t="s">
        <v>2975</v>
      </c>
      <c r="B352" s="380" t="str">
        <f t="shared" si="5"/>
        <v>070-907</v>
      </c>
      <c r="C352" s="2043">
        <v>211124</v>
      </c>
      <c r="D352" s="2043">
        <v>292950</v>
      </c>
      <c r="E352">
        <v>0.9698</v>
      </c>
      <c r="F352" s="2043">
        <v>552196</v>
      </c>
    </row>
    <row r="353" spans="1:6" ht="14.5">
      <c r="A353" t="s">
        <v>5008</v>
      </c>
      <c r="B353" s="380" t="str">
        <f t="shared" si="5"/>
        <v>070-908</v>
      </c>
      <c r="C353" s="2043">
        <v>0</v>
      </c>
      <c r="D353" s="2043">
        <v>11213987</v>
      </c>
      <c r="E353">
        <v>0.88980000000000004</v>
      </c>
      <c r="F353" s="2043">
        <v>28125187</v>
      </c>
    </row>
    <row r="354" spans="1:6" ht="14.5">
      <c r="A354" t="s">
        <v>5793</v>
      </c>
      <c r="B354" s="380" t="str">
        <f t="shared" si="5"/>
        <v>070-909</v>
      </c>
      <c r="C354" s="2043">
        <v>0</v>
      </c>
      <c r="D354" s="2043">
        <v>0</v>
      </c>
      <c r="E354">
        <v>0.97240000000000004</v>
      </c>
      <c r="F354" s="2043">
        <v>73</v>
      </c>
    </row>
    <row r="355" spans="1:6" ht="14.5">
      <c r="A355" t="s">
        <v>2976</v>
      </c>
      <c r="B355" s="380" t="str">
        <f t="shared" si="5"/>
        <v>070-910</v>
      </c>
      <c r="C355" s="2043">
        <v>208527</v>
      </c>
      <c r="D355" s="2043">
        <v>809533</v>
      </c>
      <c r="E355">
        <v>1.0357000000000001</v>
      </c>
      <c r="F355" s="2043">
        <v>1078767</v>
      </c>
    </row>
    <row r="356" spans="1:6" ht="14.5">
      <c r="A356" t="s">
        <v>2977</v>
      </c>
      <c r="B356" s="380" t="str">
        <f t="shared" si="5"/>
        <v>070-911</v>
      </c>
      <c r="C356" s="2043">
        <v>2548265</v>
      </c>
      <c r="D356" s="2043">
        <v>4502809</v>
      </c>
      <c r="E356">
        <v>0.99390000000000001</v>
      </c>
      <c r="F356" s="2043">
        <v>8350516</v>
      </c>
    </row>
    <row r="357" spans="1:6" ht="14.5">
      <c r="A357" t="s">
        <v>2978</v>
      </c>
      <c r="B357" s="380" t="str">
        <f t="shared" si="5"/>
        <v>070-912</v>
      </c>
      <c r="C357" s="2043">
        <v>0</v>
      </c>
      <c r="D357" s="2043">
        <v>10789912</v>
      </c>
      <c r="E357">
        <v>0.98150000000000004</v>
      </c>
      <c r="F357" s="2043">
        <v>19535288</v>
      </c>
    </row>
    <row r="358" spans="1:6" ht="14.5">
      <c r="A358" t="s">
        <v>2979</v>
      </c>
      <c r="B358" s="380" t="str">
        <f t="shared" si="5"/>
        <v>070-915</v>
      </c>
      <c r="C358" s="2043">
        <v>207500</v>
      </c>
      <c r="D358" s="2043">
        <v>817848</v>
      </c>
      <c r="E358">
        <v>0.87470000000000003</v>
      </c>
      <c r="F358" s="2043">
        <v>1366826</v>
      </c>
    </row>
    <row r="359" spans="1:6" ht="14.5">
      <c r="A359" t="s">
        <v>7992</v>
      </c>
      <c r="B359" s="380" t="str">
        <f t="shared" si="5"/>
        <v>071-801</v>
      </c>
      <c r="C359" s="2043">
        <v>0</v>
      </c>
      <c r="D359" s="2043">
        <v>0</v>
      </c>
      <c r="E359">
        <v>0</v>
      </c>
      <c r="F359" s="2043">
        <v>0</v>
      </c>
    </row>
    <row r="360" spans="1:6" ht="14.5">
      <c r="A360" t="s">
        <v>7993</v>
      </c>
      <c r="B360" s="380" t="str">
        <f t="shared" si="5"/>
        <v>071-803</v>
      </c>
      <c r="C360" s="2043">
        <v>0</v>
      </c>
      <c r="D360" s="2043">
        <v>0</v>
      </c>
      <c r="E360">
        <v>0</v>
      </c>
      <c r="F360" s="2043">
        <v>0</v>
      </c>
    </row>
    <row r="361" spans="1:6" ht="14.5">
      <c r="A361" t="s">
        <v>7994</v>
      </c>
      <c r="B361" s="380" t="str">
        <f t="shared" si="5"/>
        <v>071-804</v>
      </c>
      <c r="C361" s="2043">
        <v>0</v>
      </c>
      <c r="D361" s="2043">
        <v>0</v>
      </c>
      <c r="E361">
        <v>0</v>
      </c>
      <c r="F361" s="2043">
        <v>0</v>
      </c>
    </row>
    <row r="362" spans="1:6" ht="14.5">
      <c r="A362" t="s">
        <v>7995</v>
      </c>
      <c r="B362" s="380" t="str">
        <f t="shared" si="5"/>
        <v>071-806</v>
      </c>
      <c r="C362" s="2043">
        <v>0</v>
      </c>
      <c r="D362" s="2043">
        <v>0</v>
      </c>
      <c r="E362">
        <v>0</v>
      </c>
      <c r="F362" s="2043">
        <v>0</v>
      </c>
    </row>
    <row r="363" spans="1:6" ht="14.5">
      <c r="A363" t="s">
        <v>7996</v>
      </c>
      <c r="B363" s="380" t="str">
        <f t="shared" si="5"/>
        <v>071-807</v>
      </c>
      <c r="C363" s="2043">
        <v>0</v>
      </c>
      <c r="D363" s="2043">
        <v>0</v>
      </c>
      <c r="E363">
        <v>0</v>
      </c>
      <c r="F363" s="2043">
        <v>0</v>
      </c>
    </row>
    <row r="364" spans="1:6" ht="14.5">
      <c r="A364" t="s">
        <v>7997</v>
      </c>
      <c r="B364" s="380" t="str">
        <f t="shared" si="5"/>
        <v>071-809</v>
      </c>
      <c r="C364" s="2043">
        <v>0</v>
      </c>
      <c r="D364" s="2043">
        <v>0</v>
      </c>
      <c r="E364">
        <v>0</v>
      </c>
      <c r="F364" s="2043">
        <v>0</v>
      </c>
    </row>
    <row r="365" spans="1:6" ht="14.5">
      <c r="A365" t="s">
        <v>7998</v>
      </c>
      <c r="B365" s="380" t="str">
        <f t="shared" si="5"/>
        <v>071-810</v>
      </c>
      <c r="C365" s="2043">
        <v>0</v>
      </c>
      <c r="D365" s="2043">
        <v>0</v>
      </c>
      <c r="E365">
        <v>0</v>
      </c>
      <c r="F365" s="2043">
        <v>0</v>
      </c>
    </row>
    <row r="366" spans="1:6" ht="14.5">
      <c r="A366" t="s">
        <v>2980</v>
      </c>
      <c r="B366" s="380" t="str">
        <f t="shared" si="5"/>
        <v>071-901</v>
      </c>
      <c r="C366" s="2043">
        <v>3118158</v>
      </c>
      <c r="D366" s="2043">
        <v>1891949</v>
      </c>
      <c r="E366">
        <v>1.0547</v>
      </c>
      <c r="F366" s="2043">
        <v>5066478</v>
      </c>
    </row>
    <row r="367" spans="1:6" ht="14.5">
      <c r="A367" t="s">
        <v>2981</v>
      </c>
      <c r="B367" s="380" t="str">
        <f t="shared" si="5"/>
        <v>071-902</v>
      </c>
      <c r="C367" s="2043">
        <v>9773773</v>
      </c>
      <c r="D367" s="2043">
        <v>22281267</v>
      </c>
      <c r="E367">
        <v>1.0548</v>
      </c>
      <c r="F367" s="2043">
        <v>45360447</v>
      </c>
    </row>
    <row r="368" spans="1:6" ht="14.5">
      <c r="A368" t="s">
        <v>2982</v>
      </c>
      <c r="B368" s="380" t="str">
        <f t="shared" si="5"/>
        <v>071-903</v>
      </c>
      <c r="C368" s="2043">
        <v>511213</v>
      </c>
      <c r="D368" s="2043">
        <v>172714</v>
      </c>
      <c r="E368">
        <v>1.0547</v>
      </c>
      <c r="F368" s="2043">
        <v>608094</v>
      </c>
    </row>
    <row r="369" spans="1:6" ht="14.5">
      <c r="A369" t="s">
        <v>3862</v>
      </c>
      <c r="B369" s="380" t="str">
        <f t="shared" si="5"/>
        <v>071-904</v>
      </c>
      <c r="C369" s="2043">
        <v>0</v>
      </c>
      <c r="D369" s="2043">
        <v>295708</v>
      </c>
      <c r="E369">
        <v>1.0151000000000001</v>
      </c>
      <c r="F369" s="2043">
        <v>386383</v>
      </c>
    </row>
    <row r="370" spans="1:6" ht="14.5">
      <c r="A370" t="s">
        <v>3867</v>
      </c>
      <c r="B370" s="380" t="str">
        <f t="shared" si="5"/>
        <v>071-905</v>
      </c>
      <c r="C370" s="2043">
        <v>5322643</v>
      </c>
      <c r="D370" s="2043">
        <v>12815093</v>
      </c>
      <c r="E370">
        <v>1.0541</v>
      </c>
      <c r="F370" s="2043">
        <v>28063850</v>
      </c>
    </row>
    <row r="371" spans="1:6" ht="14.5">
      <c r="A371" t="s">
        <v>2983</v>
      </c>
      <c r="B371" s="380" t="str">
        <f t="shared" si="5"/>
        <v>071-906</v>
      </c>
      <c r="C371" s="2043">
        <v>147553</v>
      </c>
      <c r="D371" s="2043">
        <v>178857</v>
      </c>
      <c r="E371">
        <v>0.96640000000000004</v>
      </c>
      <c r="F371" s="2043">
        <v>394686</v>
      </c>
    </row>
    <row r="372" spans="1:6" ht="14.5">
      <c r="A372" t="s">
        <v>2984</v>
      </c>
      <c r="B372" s="380" t="str">
        <f t="shared" si="5"/>
        <v>071-907</v>
      </c>
      <c r="C372" s="2043">
        <v>2098015</v>
      </c>
      <c r="D372" s="2043">
        <v>4133310</v>
      </c>
      <c r="E372">
        <v>1.0301</v>
      </c>
      <c r="F372" s="2043">
        <v>9402955</v>
      </c>
    </row>
    <row r="373" spans="1:6" ht="14.5">
      <c r="A373" t="s">
        <v>2985</v>
      </c>
      <c r="B373" s="380" t="str">
        <f t="shared" si="5"/>
        <v>071-908</v>
      </c>
      <c r="C373" s="2043">
        <v>223831</v>
      </c>
      <c r="D373" s="2043">
        <v>73512</v>
      </c>
      <c r="E373">
        <v>1.0029000000000001</v>
      </c>
      <c r="F373" s="2043">
        <v>386442</v>
      </c>
    </row>
    <row r="374" spans="1:6" ht="14.5">
      <c r="A374" t="s">
        <v>2986</v>
      </c>
      <c r="B374" s="380" t="str">
        <f t="shared" si="5"/>
        <v>071-909</v>
      </c>
      <c r="C374" s="2043">
        <v>15819164</v>
      </c>
      <c r="D374" s="2043">
        <v>23549185</v>
      </c>
      <c r="E374">
        <v>0.94440000000000002</v>
      </c>
      <c r="F374" s="2043">
        <v>45742668</v>
      </c>
    </row>
    <row r="375" spans="1:6" ht="14.5">
      <c r="A375" t="s">
        <v>8505</v>
      </c>
      <c r="B375" s="380" t="str">
        <f t="shared" si="5"/>
        <v>071-950</v>
      </c>
      <c r="C375" s="2043">
        <v>0</v>
      </c>
      <c r="D375" s="2043">
        <v>0</v>
      </c>
      <c r="E375">
        <v>0</v>
      </c>
      <c r="F375" s="2043">
        <v>0</v>
      </c>
    </row>
    <row r="376" spans="1:6" ht="14.5">
      <c r="A376" t="s">
        <v>7999</v>
      </c>
      <c r="B376" s="380" t="str">
        <f t="shared" si="5"/>
        <v>072-801</v>
      </c>
      <c r="C376" s="2043">
        <v>0</v>
      </c>
      <c r="D376" s="2043">
        <v>0</v>
      </c>
      <c r="E376">
        <v>0</v>
      </c>
      <c r="F376" s="2043">
        <v>0</v>
      </c>
    </row>
    <row r="377" spans="1:6" ht="14.5">
      <c r="A377" t="s">
        <v>8000</v>
      </c>
      <c r="B377" s="380" t="str">
        <f t="shared" si="5"/>
        <v>072-802</v>
      </c>
      <c r="C377" s="2043">
        <v>0</v>
      </c>
      <c r="D377" s="2043">
        <v>0</v>
      </c>
      <c r="E377">
        <v>0</v>
      </c>
      <c r="F377" s="2043">
        <v>0</v>
      </c>
    </row>
    <row r="378" spans="1:6" ht="14.5">
      <c r="A378" t="s">
        <v>5794</v>
      </c>
      <c r="B378" s="380" t="str">
        <f t="shared" si="5"/>
        <v>072-901</v>
      </c>
      <c r="C378" s="2043">
        <v>0</v>
      </c>
      <c r="D378" s="2043">
        <v>0</v>
      </c>
      <c r="E378">
        <v>0.90950000000000009</v>
      </c>
      <c r="F378" s="2043">
        <v>0</v>
      </c>
    </row>
    <row r="379" spans="1:6" ht="14.5">
      <c r="A379" t="s">
        <v>5009</v>
      </c>
      <c r="B379" s="380" t="str">
        <f t="shared" si="5"/>
        <v>072-902</v>
      </c>
      <c r="C379" s="2043">
        <v>0</v>
      </c>
      <c r="D379" s="2043">
        <v>632825</v>
      </c>
      <c r="E379">
        <v>1.0398000000000001</v>
      </c>
      <c r="F379" s="2043">
        <v>659135</v>
      </c>
    </row>
    <row r="380" spans="1:6" ht="14.5">
      <c r="A380" t="s">
        <v>2987</v>
      </c>
      <c r="B380" s="380" t="str">
        <f t="shared" si="5"/>
        <v>072-903</v>
      </c>
      <c r="C380" s="2043">
        <v>0</v>
      </c>
      <c r="D380" s="2043">
        <v>4251238</v>
      </c>
      <c r="E380">
        <v>0.93920000000000003</v>
      </c>
      <c r="F380" s="2043">
        <v>5927951</v>
      </c>
    </row>
    <row r="381" spans="1:6" ht="14.5">
      <c r="A381" t="s">
        <v>5010</v>
      </c>
      <c r="B381" s="380" t="str">
        <f t="shared" si="5"/>
        <v>072-904</v>
      </c>
      <c r="C381" s="2043">
        <v>0</v>
      </c>
      <c r="D381" s="2043">
        <v>185260</v>
      </c>
      <c r="E381">
        <v>1.0547</v>
      </c>
      <c r="F381" s="2043">
        <v>314205</v>
      </c>
    </row>
    <row r="382" spans="1:6" ht="14.5">
      <c r="A382" t="s">
        <v>5795</v>
      </c>
      <c r="B382" s="380" t="str">
        <f t="shared" si="5"/>
        <v>072-908</v>
      </c>
      <c r="C382" s="2043">
        <v>0</v>
      </c>
      <c r="D382" s="2043">
        <v>0</v>
      </c>
      <c r="E382">
        <v>0.96640000000000004</v>
      </c>
      <c r="F382" s="2043">
        <v>713011</v>
      </c>
    </row>
    <row r="383" spans="1:6" ht="14.5">
      <c r="A383" t="s">
        <v>2988</v>
      </c>
      <c r="B383" s="380" t="str">
        <f t="shared" si="5"/>
        <v>072-909</v>
      </c>
      <c r="C383" s="2043">
        <v>82034</v>
      </c>
      <c r="D383" s="2043">
        <v>0</v>
      </c>
      <c r="E383">
        <v>0.95700000000000007</v>
      </c>
      <c r="F383" s="2043">
        <v>432175</v>
      </c>
    </row>
    <row r="384" spans="1:6" ht="14.5">
      <c r="A384" t="s">
        <v>5796</v>
      </c>
      <c r="B384" s="380" t="str">
        <f t="shared" si="5"/>
        <v>072-910</v>
      </c>
      <c r="C384" s="2043">
        <v>0</v>
      </c>
      <c r="D384" s="2043">
        <v>0</v>
      </c>
      <c r="E384">
        <v>0.93410000000000004</v>
      </c>
      <c r="F384" s="2043">
        <v>0</v>
      </c>
    </row>
    <row r="385" spans="1:6" ht="14.5">
      <c r="A385" t="s">
        <v>5011</v>
      </c>
      <c r="B385" s="380" t="str">
        <f t="shared" si="5"/>
        <v>073-901</v>
      </c>
      <c r="C385" s="2043">
        <v>0</v>
      </c>
      <c r="D385" s="2043">
        <v>142344</v>
      </c>
      <c r="E385">
        <v>0.9507000000000001</v>
      </c>
      <c r="F385" s="2043">
        <v>165908</v>
      </c>
    </row>
    <row r="386" spans="1:6" ht="14.5">
      <c r="A386" t="s">
        <v>3901</v>
      </c>
      <c r="B386" s="380" t="str">
        <f t="shared" si="5"/>
        <v>073-903</v>
      </c>
      <c r="C386" s="2043">
        <v>0</v>
      </c>
      <c r="D386" s="2043">
        <v>0</v>
      </c>
      <c r="E386">
        <v>0.98330000000000006</v>
      </c>
      <c r="F386" s="2043">
        <v>399</v>
      </c>
    </row>
    <row r="387" spans="1:6" ht="14.5">
      <c r="A387" t="s">
        <v>3903</v>
      </c>
      <c r="B387" s="380" t="str">
        <f t="shared" si="5"/>
        <v>073-904</v>
      </c>
      <c r="C387" s="2043">
        <v>0</v>
      </c>
      <c r="D387" s="2043">
        <v>0</v>
      </c>
      <c r="E387">
        <v>0.93200000000000005</v>
      </c>
      <c r="F387" s="2043">
        <v>0</v>
      </c>
    </row>
    <row r="388" spans="1:6" ht="14.5">
      <c r="A388" t="s">
        <v>5797</v>
      </c>
      <c r="B388" s="380" t="str">
        <f t="shared" ref="B388:B451" si="6">CONCATENATE(LEFT(RIGHT(CONCATENATE("000",A388),6),3),"-",(RIGHT(RIGHT(CONCATENATE("000",A388),6),3)))</f>
        <v>073-905</v>
      </c>
      <c r="C388" s="2043">
        <v>0</v>
      </c>
      <c r="D388" s="2043">
        <v>605370</v>
      </c>
      <c r="E388">
        <v>0.87470000000000003</v>
      </c>
      <c r="F388" s="2043">
        <v>664466</v>
      </c>
    </row>
    <row r="389" spans="1:6" ht="14.5">
      <c r="A389" t="s">
        <v>5012</v>
      </c>
      <c r="B389" s="380" t="str">
        <f t="shared" si="6"/>
        <v>074-903</v>
      </c>
      <c r="C389" s="2043">
        <v>352788</v>
      </c>
      <c r="D389" s="2043">
        <v>1736924</v>
      </c>
      <c r="E389">
        <v>0.94140000000000001</v>
      </c>
      <c r="F389" s="2043">
        <v>2923889</v>
      </c>
    </row>
    <row r="390" spans="1:6" ht="14.5">
      <c r="A390" t="s">
        <v>2989</v>
      </c>
      <c r="B390" s="380" t="str">
        <f t="shared" si="6"/>
        <v>074-904</v>
      </c>
      <c r="C390" s="2043">
        <v>120048</v>
      </c>
      <c r="D390" s="2043">
        <v>66418</v>
      </c>
      <c r="E390">
        <v>0.87470000000000003</v>
      </c>
      <c r="F390" s="2043">
        <v>213027</v>
      </c>
    </row>
    <row r="391" spans="1:6" ht="14.5">
      <c r="A391" t="s">
        <v>2990</v>
      </c>
      <c r="B391" s="380" t="str">
        <f t="shared" si="6"/>
        <v>074-905</v>
      </c>
      <c r="C391" s="2043">
        <v>74223</v>
      </c>
      <c r="D391" s="2043">
        <v>786</v>
      </c>
      <c r="E391">
        <v>0.95469999999999999</v>
      </c>
      <c r="F391" s="2043">
        <v>83834</v>
      </c>
    </row>
    <row r="392" spans="1:6" ht="14.5">
      <c r="A392" t="s">
        <v>2991</v>
      </c>
      <c r="B392" s="380" t="str">
        <f t="shared" si="6"/>
        <v>074-907</v>
      </c>
      <c r="C392" s="2043">
        <v>162500</v>
      </c>
      <c r="D392" s="2043">
        <v>475275</v>
      </c>
      <c r="E392">
        <v>0.89200000000000002</v>
      </c>
      <c r="F392" s="2043">
        <v>776545</v>
      </c>
    </row>
    <row r="393" spans="1:6" ht="14.5">
      <c r="A393" t="s">
        <v>5013</v>
      </c>
      <c r="B393" s="380" t="str">
        <f t="shared" si="6"/>
        <v>074-909</v>
      </c>
      <c r="C393" s="2043">
        <v>0</v>
      </c>
      <c r="D393" s="2043">
        <v>0</v>
      </c>
      <c r="E393">
        <v>0.98010000000000008</v>
      </c>
      <c r="F393" s="2043">
        <v>0</v>
      </c>
    </row>
    <row r="394" spans="1:6" ht="14.5">
      <c r="A394" t="s">
        <v>5014</v>
      </c>
      <c r="B394" s="380" t="str">
        <f t="shared" si="6"/>
        <v>074-911</v>
      </c>
      <c r="C394" s="2043">
        <v>0</v>
      </c>
      <c r="D394" s="2043">
        <v>240856</v>
      </c>
      <c r="E394">
        <v>1.0095000000000001</v>
      </c>
      <c r="F394" s="2043">
        <v>187520</v>
      </c>
    </row>
    <row r="395" spans="1:6" ht="14.5">
      <c r="A395" t="s">
        <v>2992</v>
      </c>
      <c r="B395" s="380" t="str">
        <f t="shared" si="6"/>
        <v>074-912</v>
      </c>
      <c r="C395" s="2043">
        <v>25828</v>
      </c>
      <c r="D395" s="2043">
        <v>448047</v>
      </c>
      <c r="E395">
        <v>0.99490000000000001</v>
      </c>
      <c r="F395" s="2043">
        <v>520499</v>
      </c>
    </row>
    <row r="396" spans="1:6" ht="14.5">
      <c r="A396" t="s">
        <v>2993</v>
      </c>
      <c r="B396" s="380" t="str">
        <f t="shared" si="6"/>
        <v>074-917</v>
      </c>
      <c r="C396" s="2043">
        <v>98921</v>
      </c>
      <c r="D396" s="2043">
        <v>71050</v>
      </c>
      <c r="E396">
        <v>0.98070000000000002</v>
      </c>
      <c r="F396" s="2043">
        <v>200455</v>
      </c>
    </row>
    <row r="397" spans="1:6" ht="14.5">
      <c r="A397" t="s">
        <v>5015</v>
      </c>
      <c r="B397" s="380" t="str">
        <f t="shared" si="6"/>
        <v>075-901</v>
      </c>
      <c r="C397" s="2043">
        <v>0</v>
      </c>
      <c r="D397" s="2043">
        <v>354784</v>
      </c>
      <c r="E397">
        <v>1.0683</v>
      </c>
      <c r="F397" s="2043">
        <v>843643</v>
      </c>
    </row>
    <row r="398" spans="1:6" ht="14.5">
      <c r="A398" t="s">
        <v>5798</v>
      </c>
      <c r="B398" s="380" t="str">
        <f t="shared" si="6"/>
        <v>075-902</v>
      </c>
      <c r="C398" s="2043">
        <v>0</v>
      </c>
      <c r="D398" s="2043">
        <v>1779486</v>
      </c>
      <c r="E398">
        <v>0.95640000000000003</v>
      </c>
      <c r="F398" s="2043">
        <v>2538329</v>
      </c>
    </row>
    <row r="399" spans="1:6" ht="14.5">
      <c r="A399" t="s">
        <v>5016</v>
      </c>
      <c r="B399" s="380" t="str">
        <f t="shared" si="6"/>
        <v>075-903</v>
      </c>
      <c r="C399" s="2043">
        <v>0</v>
      </c>
      <c r="D399" s="2043">
        <v>555251</v>
      </c>
      <c r="E399">
        <v>0.95640000000000003</v>
      </c>
      <c r="F399" s="2043">
        <v>1029847</v>
      </c>
    </row>
    <row r="400" spans="1:6" ht="14.5">
      <c r="A400" t="s">
        <v>5799</v>
      </c>
      <c r="B400" s="380" t="str">
        <f t="shared" si="6"/>
        <v>075-906</v>
      </c>
      <c r="C400" s="2043">
        <v>0</v>
      </c>
      <c r="D400" s="2043">
        <v>285062</v>
      </c>
      <c r="E400">
        <v>0.91439999999999999</v>
      </c>
      <c r="F400" s="2043">
        <v>789390</v>
      </c>
    </row>
    <row r="401" spans="1:6" ht="14.5">
      <c r="A401" t="s">
        <v>5017</v>
      </c>
      <c r="B401" s="380" t="str">
        <f t="shared" si="6"/>
        <v>075-908</v>
      </c>
      <c r="C401" s="2043">
        <v>0</v>
      </c>
      <c r="D401" s="2043">
        <v>90597</v>
      </c>
      <c r="E401">
        <v>0.97640000000000005</v>
      </c>
      <c r="F401" s="2043">
        <v>268869</v>
      </c>
    </row>
    <row r="402" spans="1:6" ht="14.5">
      <c r="A402" t="s">
        <v>5800</v>
      </c>
      <c r="B402" s="380" t="str">
        <f t="shared" si="6"/>
        <v>076-903</v>
      </c>
      <c r="C402" s="2043">
        <v>0</v>
      </c>
      <c r="D402" s="2043">
        <v>0</v>
      </c>
      <c r="E402">
        <v>0.96300000000000008</v>
      </c>
      <c r="F402" s="2043">
        <v>0</v>
      </c>
    </row>
    <row r="403" spans="1:6" ht="14.5">
      <c r="A403" t="s">
        <v>2994</v>
      </c>
      <c r="B403" s="380" t="str">
        <f t="shared" si="6"/>
        <v>076-904</v>
      </c>
      <c r="C403" s="2043">
        <v>0</v>
      </c>
      <c r="D403" s="2043">
        <v>0</v>
      </c>
      <c r="E403">
        <v>1.0132000000000001</v>
      </c>
      <c r="F403" s="2043">
        <v>64</v>
      </c>
    </row>
    <row r="404" spans="1:6" ht="14.5">
      <c r="A404" t="s">
        <v>5018</v>
      </c>
      <c r="B404" s="380" t="str">
        <f t="shared" si="6"/>
        <v>077-901</v>
      </c>
      <c r="C404" s="2043">
        <v>0</v>
      </c>
      <c r="D404" s="2043">
        <v>719004</v>
      </c>
      <c r="E404">
        <v>1.0547</v>
      </c>
      <c r="F404" s="2043">
        <v>3363671</v>
      </c>
    </row>
    <row r="405" spans="1:6" ht="14.5">
      <c r="A405" t="s">
        <v>5801</v>
      </c>
      <c r="B405" s="380" t="str">
        <f t="shared" si="6"/>
        <v>077-902</v>
      </c>
      <c r="C405" s="2043">
        <v>0</v>
      </c>
      <c r="D405" s="2043">
        <v>239874</v>
      </c>
      <c r="E405">
        <v>1.0353000000000001</v>
      </c>
      <c r="F405" s="2043">
        <v>642016</v>
      </c>
    </row>
    <row r="406" spans="1:6" ht="14.5">
      <c r="A406" t="s">
        <v>5802</v>
      </c>
      <c r="B406" s="380" t="str">
        <f t="shared" si="6"/>
        <v>078-901</v>
      </c>
      <c r="C406" s="2043">
        <v>0</v>
      </c>
      <c r="D406" s="2043">
        <v>0</v>
      </c>
      <c r="E406">
        <v>0.96300000000000008</v>
      </c>
      <c r="F406" s="2043">
        <v>0</v>
      </c>
    </row>
    <row r="407" spans="1:6" ht="14.5">
      <c r="A407" t="s">
        <v>5019</v>
      </c>
      <c r="B407" s="380" t="str">
        <f t="shared" si="6"/>
        <v>079-901</v>
      </c>
      <c r="C407" s="2043">
        <v>0</v>
      </c>
      <c r="D407" s="2043">
        <v>39142596</v>
      </c>
      <c r="E407">
        <v>0.91910000000000003</v>
      </c>
      <c r="F407" s="2043">
        <v>65439268</v>
      </c>
    </row>
    <row r="408" spans="1:6" ht="14.5">
      <c r="A408" t="s">
        <v>2995</v>
      </c>
      <c r="B408" s="380" t="str">
        <f t="shared" si="6"/>
        <v>079-906</v>
      </c>
      <c r="C408" s="2043">
        <v>2094175</v>
      </c>
      <c r="D408" s="2043">
        <v>2265475</v>
      </c>
      <c r="E408">
        <v>1.0387999999999999</v>
      </c>
      <c r="F408" s="2043">
        <v>4591601</v>
      </c>
    </row>
    <row r="409" spans="1:6" ht="14.5">
      <c r="A409" t="s">
        <v>2996</v>
      </c>
      <c r="B409" s="380" t="str">
        <f t="shared" si="6"/>
        <v>079-907</v>
      </c>
      <c r="C409" s="2043">
        <v>21557892</v>
      </c>
      <c r="D409" s="2043">
        <v>64136066</v>
      </c>
      <c r="E409">
        <v>0.95020000000000004</v>
      </c>
      <c r="F409" s="2043">
        <v>126152517</v>
      </c>
    </row>
    <row r="410" spans="1:6" ht="14.5">
      <c r="A410" t="s">
        <v>5020</v>
      </c>
      <c r="B410" s="380" t="str">
        <f t="shared" si="6"/>
        <v>079-910</v>
      </c>
      <c r="C410" s="2043">
        <v>0</v>
      </c>
      <c r="D410" s="2043">
        <v>3549779</v>
      </c>
      <c r="E410">
        <v>0.96640000000000004</v>
      </c>
      <c r="F410" s="2043">
        <v>7259048</v>
      </c>
    </row>
    <row r="411" spans="1:6" ht="14.5">
      <c r="A411" t="s">
        <v>5021</v>
      </c>
      <c r="B411" s="380" t="str">
        <f t="shared" si="6"/>
        <v>080-901</v>
      </c>
      <c r="C411" s="2043">
        <v>0</v>
      </c>
      <c r="D411" s="2043">
        <v>1482135</v>
      </c>
      <c r="E411">
        <v>0.91960000000000008</v>
      </c>
      <c r="F411" s="2043">
        <v>2607672</v>
      </c>
    </row>
    <row r="412" spans="1:6" ht="14.5">
      <c r="A412" t="s">
        <v>5022</v>
      </c>
      <c r="B412" s="380" t="str">
        <f t="shared" si="6"/>
        <v>081-902</v>
      </c>
      <c r="C412" s="2043">
        <v>0</v>
      </c>
      <c r="D412" s="2043">
        <v>1425126</v>
      </c>
      <c r="E412">
        <v>1.0331000000000001</v>
      </c>
      <c r="F412" s="2043">
        <v>1959240</v>
      </c>
    </row>
    <row r="413" spans="1:6" ht="14.5">
      <c r="A413" t="s">
        <v>5023</v>
      </c>
      <c r="B413" s="380" t="str">
        <f t="shared" si="6"/>
        <v>081-904</v>
      </c>
      <c r="C413" s="2043">
        <v>0</v>
      </c>
      <c r="D413" s="2043">
        <v>1214805</v>
      </c>
      <c r="E413">
        <v>0.95469999999999999</v>
      </c>
      <c r="F413" s="2043">
        <v>2427158</v>
      </c>
    </row>
    <row r="414" spans="1:6" ht="14.5">
      <c r="A414" t="s">
        <v>5024</v>
      </c>
      <c r="B414" s="380" t="str">
        <f t="shared" si="6"/>
        <v>081-905</v>
      </c>
      <c r="C414" s="2043">
        <v>0</v>
      </c>
      <c r="D414" s="2043">
        <v>453802</v>
      </c>
      <c r="E414">
        <v>0.88180000000000003</v>
      </c>
      <c r="F414" s="2043">
        <v>470189</v>
      </c>
    </row>
    <row r="415" spans="1:6" ht="14.5">
      <c r="A415" t="s">
        <v>5025</v>
      </c>
      <c r="B415" s="380" t="str">
        <f t="shared" si="6"/>
        <v>081-906</v>
      </c>
      <c r="C415" s="2043">
        <v>0</v>
      </c>
      <c r="D415" s="2043">
        <v>0</v>
      </c>
      <c r="E415">
        <v>1.0547</v>
      </c>
      <c r="F415" s="2043">
        <v>106661</v>
      </c>
    </row>
    <row r="416" spans="1:6" ht="14.5">
      <c r="A416" t="s">
        <v>2997</v>
      </c>
      <c r="B416" s="380" t="str">
        <f t="shared" si="6"/>
        <v>082-902</v>
      </c>
      <c r="C416" s="2043">
        <v>360408</v>
      </c>
      <c r="D416" s="2043">
        <v>1023401</v>
      </c>
      <c r="E416">
        <v>1.0507</v>
      </c>
      <c r="F416" s="2043">
        <v>5654498</v>
      </c>
    </row>
    <row r="417" spans="1:6" ht="14.5">
      <c r="A417" t="s">
        <v>2998</v>
      </c>
      <c r="B417" s="380" t="str">
        <f t="shared" si="6"/>
        <v>082-903</v>
      </c>
      <c r="C417" s="2043">
        <v>781513</v>
      </c>
      <c r="D417" s="2043">
        <v>694556</v>
      </c>
      <c r="E417">
        <v>1.0199</v>
      </c>
      <c r="F417" s="2043">
        <v>2743067</v>
      </c>
    </row>
    <row r="418" spans="1:6" ht="14.5">
      <c r="A418" t="s">
        <v>5026</v>
      </c>
      <c r="B418" s="380" t="str">
        <f t="shared" si="6"/>
        <v>083-901</v>
      </c>
      <c r="C418" s="2043">
        <v>0</v>
      </c>
      <c r="D418" s="2043">
        <v>550868</v>
      </c>
      <c r="E418">
        <v>0.96640000000000004</v>
      </c>
      <c r="F418" s="2043">
        <v>658850</v>
      </c>
    </row>
    <row r="419" spans="1:6" ht="14.5">
      <c r="A419" t="s">
        <v>5027</v>
      </c>
      <c r="B419" s="380" t="str">
        <f t="shared" si="6"/>
        <v>083-902</v>
      </c>
      <c r="C419" s="2043">
        <v>0</v>
      </c>
      <c r="D419" s="2043">
        <v>99698</v>
      </c>
      <c r="E419">
        <v>1.0547</v>
      </c>
      <c r="F419" s="2043">
        <v>364084</v>
      </c>
    </row>
    <row r="420" spans="1:6" ht="14.5">
      <c r="A420" t="s">
        <v>5028</v>
      </c>
      <c r="B420" s="380" t="str">
        <f t="shared" si="6"/>
        <v>083-903</v>
      </c>
      <c r="C420" s="2043">
        <v>0</v>
      </c>
      <c r="D420" s="2043">
        <v>3071130</v>
      </c>
      <c r="E420">
        <v>0.96640000000000004</v>
      </c>
      <c r="F420" s="2043">
        <v>8406480</v>
      </c>
    </row>
    <row r="421" spans="1:6" ht="14.5">
      <c r="A421" t="s">
        <v>8001</v>
      </c>
      <c r="B421" s="380" t="str">
        <f t="shared" si="6"/>
        <v>084-802</v>
      </c>
      <c r="C421" s="2043">
        <v>0</v>
      </c>
      <c r="D421" s="2043">
        <v>0</v>
      </c>
      <c r="E421">
        <v>0</v>
      </c>
      <c r="F421" s="2043">
        <v>0</v>
      </c>
    </row>
    <row r="422" spans="1:6" ht="14.5">
      <c r="A422" t="s">
        <v>8002</v>
      </c>
      <c r="B422" s="380" t="str">
        <f t="shared" si="6"/>
        <v>084-804</v>
      </c>
      <c r="C422" s="2043">
        <v>0</v>
      </c>
      <c r="D422" s="2043">
        <v>0</v>
      </c>
      <c r="E422">
        <v>0</v>
      </c>
      <c r="F422" s="2043">
        <v>0</v>
      </c>
    </row>
    <row r="423" spans="1:6" ht="14.5">
      <c r="A423" t="s">
        <v>5029</v>
      </c>
      <c r="B423" s="380" t="str">
        <f t="shared" si="6"/>
        <v>084-901</v>
      </c>
      <c r="C423" s="2043">
        <v>2081125</v>
      </c>
      <c r="D423" s="2043">
        <v>12569760</v>
      </c>
      <c r="E423">
        <v>0.874</v>
      </c>
      <c r="F423" s="2043">
        <v>22821625</v>
      </c>
    </row>
    <row r="424" spans="1:6" ht="14.5">
      <c r="A424" t="s">
        <v>5030</v>
      </c>
      <c r="B424" s="380" t="str">
        <f t="shared" si="6"/>
        <v>084-902</v>
      </c>
      <c r="C424" s="2043">
        <v>0</v>
      </c>
      <c r="D424" s="2043">
        <v>2433285</v>
      </c>
      <c r="E424">
        <v>0.93140000000000001</v>
      </c>
      <c r="F424" s="2043">
        <v>7952023</v>
      </c>
    </row>
    <row r="425" spans="1:6" ht="14.5">
      <c r="A425" t="s">
        <v>5031</v>
      </c>
      <c r="B425" s="380" t="str">
        <f t="shared" si="6"/>
        <v>084-903</v>
      </c>
      <c r="C425" s="2043">
        <v>0</v>
      </c>
      <c r="D425" s="2043">
        <v>106251</v>
      </c>
      <c r="E425">
        <v>0.98030000000000006</v>
      </c>
      <c r="F425" s="2043">
        <v>143559</v>
      </c>
    </row>
    <row r="426" spans="1:6" ht="14.5">
      <c r="A426" t="s">
        <v>5032</v>
      </c>
      <c r="B426" s="380" t="str">
        <f t="shared" si="6"/>
        <v>084-906</v>
      </c>
      <c r="C426" s="2043">
        <v>0</v>
      </c>
      <c r="D426" s="2043">
        <v>8218779</v>
      </c>
      <c r="E426">
        <v>1.0158</v>
      </c>
      <c r="F426" s="2043">
        <v>19173024</v>
      </c>
    </row>
    <row r="427" spans="1:6" ht="14.5">
      <c r="A427" t="s">
        <v>5033</v>
      </c>
      <c r="B427" s="380" t="str">
        <f t="shared" si="6"/>
        <v>084-908</v>
      </c>
      <c r="C427" s="2043">
        <v>0</v>
      </c>
      <c r="D427" s="2043">
        <v>1680823</v>
      </c>
      <c r="E427">
        <v>0.93640000000000001</v>
      </c>
      <c r="F427" s="2043">
        <v>1822558</v>
      </c>
    </row>
    <row r="428" spans="1:6" ht="14.5">
      <c r="A428" t="s">
        <v>2999</v>
      </c>
      <c r="B428" s="380" t="str">
        <f t="shared" si="6"/>
        <v>084-909</v>
      </c>
      <c r="C428" s="2043">
        <v>1284943</v>
      </c>
      <c r="D428" s="2043">
        <v>5044207</v>
      </c>
      <c r="E428">
        <v>0.91930000000000001</v>
      </c>
      <c r="F428" s="2043">
        <v>6521437</v>
      </c>
    </row>
    <row r="429" spans="1:6" ht="14.5">
      <c r="A429" t="s">
        <v>5034</v>
      </c>
      <c r="B429" s="380" t="str">
        <f t="shared" si="6"/>
        <v>084-910</v>
      </c>
      <c r="C429" s="2043">
        <v>0</v>
      </c>
      <c r="D429" s="2043">
        <v>45268488</v>
      </c>
      <c r="E429">
        <v>0.93590000000000007</v>
      </c>
      <c r="F429" s="2043">
        <v>84042374</v>
      </c>
    </row>
    <row r="430" spans="1:6" ht="14.5">
      <c r="A430" t="s">
        <v>3000</v>
      </c>
      <c r="B430" s="380" t="str">
        <f t="shared" si="6"/>
        <v>084-911</v>
      </c>
      <c r="C430" s="2043">
        <v>0</v>
      </c>
      <c r="D430" s="2043">
        <v>4793459</v>
      </c>
      <c r="E430">
        <v>0.98350000000000004</v>
      </c>
      <c r="F430" s="2043">
        <v>9641786</v>
      </c>
    </row>
    <row r="431" spans="1:6" ht="14.5">
      <c r="A431" t="s">
        <v>5035</v>
      </c>
      <c r="B431" s="380" t="str">
        <f t="shared" si="6"/>
        <v>085-902</v>
      </c>
      <c r="C431" s="2043">
        <v>0</v>
      </c>
      <c r="D431" s="2043">
        <v>826214</v>
      </c>
      <c r="E431">
        <v>0.96640000000000004</v>
      </c>
      <c r="F431" s="2043">
        <v>2625902</v>
      </c>
    </row>
    <row r="432" spans="1:6" ht="14.5">
      <c r="A432" t="s">
        <v>5803</v>
      </c>
      <c r="B432" s="380" t="str">
        <f t="shared" si="6"/>
        <v>085-903</v>
      </c>
      <c r="C432" s="2043">
        <v>0</v>
      </c>
      <c r="D432" s="2043">
        <v>0</v>
      </c>
      <c r="E432">
        <v>0.96300000000000008</v>
      </c>
      <c r="F432" s="2043">
        <v>0</v>
      </c>
    </row>
    <row r="433" spans="1:6" ht="14.5">
      <c r="A433" t="s">
        <v>5804</v>
      </c>
      <c r="B433" s="380" t="str">
        <f t="shared" si="6"/>
        <v>086-024</v>
      </c>
      <c r="C433" s="2043">
        <v>0</v>
      </c>
      <c r="D433" s="2043">
        <v>0</v>
      </c>
      <c r="E433">
        <v>0.95369999999999999</v>
      </c>
      <c r="F433" s="2043">
        <v>0</v>
      </c>
    </row>
    <row r="434" spans="1:6" ht="14.5">
      <c r="A434" t="s">
        <v>5036</v>
      </c>
      <c r="B434" s="380" t="str">
        <f t="shared" si="6"/>
        <v>086-901</v>
      </c>
      <c r="C434" s="2043">
        <v>0</v>
      </c>
      <c r="D434" s="2043">
        <v>1347747</v>
      </c>
      <c r="E434">
        <v>0.94910000000000005</v>
      </c>
      <c r="F434" s="2043">
        <v>4620258</v>
      </c>
    </row>
    <row r="435" spans="1:6" ht="14.5">
      <c r="A435" t="s">
        <v>5805</v>
      </c>
      <c r="B435" s="380" t="str">
        <f t="shared" si="6"/>
        <v>086-902</v>
      </c>
      <c r="C435" s="2043">
        <v>0</v>
      </c>
      <c r="D435" s="2043">
        <v>0</v>
      </c>
      <c r="E435">
        <v>0.94530000000000003</v>
      </c>
      <c r="F435" s="2043">
        <v>0</v>
      </c>
    </row>
    <row r="436" spans="1:6" ht="14.5">
      <c r="A436" t="s">
        <v>5037</v>
      </c>
      <c r="B436" s="380" t="str">
        <f t="shared" si="6"/>
        <v>087-901</v>
      </c>
      <c r="C436" s="2043">
        <v>0</v>
      </c>
      <c r="D436" s="2043">
        <v>74521</v>
      </c>
      <c r="E436">
        <v>0.96640000000000004</v>
      </c>
      <c r="F436" s="2043">
        <v>5019713</v>
      </c>
    </row>
    <row r="437" spans="1:6" ht="14.5">
      <c r="A437" t="s">
        <v>5038</v>
      </c>
      <c r="B437" s="380" t="str">
        <f t="shared" si="6"/>
        <v>088-902</v>
      </c>
      <c r="C437" s="2043">
        <v>0</v>
      </c>
      <c r="D437" s="2043">
        <v>751721</v>
      </c>
      <c r="E437">
        <v>0.93630000000000002</v>
      </c>
      <c r="F437" s="2043">
        <v>1299845</v>
      </c>
    </row>
    <row r="438" spans="1:6" ht="14.5">
      <c r="A438" t="s">
        <v>3001</v>
      </c>
      <c r="B438" s="380" t="str">
        <f t="shared" si="6"/>
        <v>089-901</v>
      </c>
      <c r="C438" s="2043">
        <v>0</v>
      </c>
      <c r="D438" s="2043">
        <v>526659</v>
      </c>
      <c r="E438">
        <v>1.0092000000000001</v>
      </c>
      <c r="F438" s="2043">
        <v>1629371</v>
      </c>
    </row>
    <row r="439" spans="1:6" ht="14.5">
      <c r="A439" t="s">
        <v>5039</v>
      </c>
      <c r="B439" s="380" t="str">
        <f t="shared" si="6"/>
        <v>089-903</v>
      </c>
      <c r="C439" s="2043">
        <v>0</v>
      </c>
      <c r="D439" s="2043">
        <v>453426</v>
      </c>
      <c r="E439">
        <v>0.97640000000000005</v>
      </c>
      <c r="F439" s="2043">
        <v>1796752</v>
      </c>
    </row>
    <row r="440" spans="1:6" ht="14.5">
      <c r="A440" t="s">
        <v>5040</v>
      </c>
      <c r="B440" s="380" t="str">
        <f t="shared" si="6"/>
        <v>089-905</v>
      </c>
      <c r="C440" s="2043">
        <v>0</v>
      </c>
      <c r="D440" s="2043">
        <v>135880</v>
      </c>
      <c r="E440">
        <v>0.96640000000000004</v>
      </c>
      <c r="F440" s="2043">
        <v>208419</v>
      </c>
    </row>
    <row r="441" spans="1:6" ht="14.5">
      <c r="A441" t="s">
        <v>5041</v>
      </c>
      <c r="B441" s="380" t="str">
        <f t="shared" si="6"/>
        <v>090-902</v>
      </c>
      <c r="C441" s="2043">
        <v>0</v>
      </c>
      <c r="D441" s="2043">
        <v>174080</v>
      </c>
      <c r="E441">
        <v>0.96640000000000004</v>
      </c>
      <c r="F441" s="2043">
        <v>354242</v>
      </c>
    </row>
    <row r="442" spans="1:6" ht="14.5">
      <c r="A442" t="s">
        <v>5042</v>
      </c>
      <c r="B442" s="380" t="str">
        <f t="shared" si="6"/>
        <v>090-903</v>
      </c>
      <c r="C442" s="2043">
        <v>0</v>
      </c>
      <c r="D442" s="2043">
        <v>169212</v>
      </c>
      <c r="E442">
        <v>0.96640000000000004</v>
      </c>
      <c r="F442" s="2043">
        <v>165555</v>
      </c>
    </row>
    <row r="443" spans="1:6" ht="14.5">
      <c r="A443" t="s">
        <v>3002</v>
      </c>
      <c r="B443" s="380" t="str">
        <f t="shared" si="6"/>
        <v>090-904</v>
      </c>
      <c r="C443" s="2043">
        <v>546350</v>
      </c>
      <c r="D443" s="2043">
        <v>2114019</v>
      </c>
      <c r="E443">
        <v>0.97640000000000005</v>
      </c>
      <c r="F443" s="2043">
        <v>2895991</v>
      </c>
    </row>
    <row r="444" spans="1:6" ht="14.5">
      <c r="A444" t="s">
        <v>5043</v>
      </c>
      <c r="B444" s="380" t="str">
        <f t="shared" si="6"/>
        <v>090-905</v>
      </c>
      <c r="C444" s="2043">
        <v>0</v>
      </c>
      <c r="D444" s="2043">
        <v>0</v>
      </c>
      <c r="E444">
        <v>0.96640000000000004</v>
      </c>
      <c r="F444" s="2043">
        <v>0</v>
      </c>
    </row>
    <row r="445" spans="1:6" ht="14.5">
      <c r="A445" t="s">
        <v>3003</v>
      </c>
      <c r="B445" s="380" t="str">
        <f t="shared" si="6"/>
        <v>091-901</v>
      </c>
      <c r="C445" s="2043">
        <v>306864</v>
      </c>
      <c r="D445" s="2043">
        <v>594646</v>
      </c>
      <c r="E445">
        <v>1.0242</v>
      </c>
      <c r="F445" s="2043">
        <v>1002235</v>
      </c>
    </row>
    <row r="446" spans="1:6" ht="14.5">
      <c r="A446" t="s">
        <v>3948</v>
      </c>
      <c r="B446" s="380" t="str">
        <f t="shared" si="6"/>
        <v>091-902</v>
      </c>
      <c r="C446" s="2043">
        <v>126123</v>
      </c>
      <c r="D446" s="2043">
        <v>392777</v>
      </c>
      <c r="E446">
        <v>1.0044</v>
      </c>
      <c r="F446" s="2043">
        <v>633952</v>
      </c>
    </row>
    <row r="447" spans="1:6" ht="14.5">
      <c r="A447" t="s">
        <v>5044</v>
      </c>
      <c r="B447" s="380" t="str">
        <f t="shared" si="6"/>
        <v>091-903</v>
      </c>
      <c r="C447" s="2043">
        <v>0</v>
      </c>
      <c r="D447" s="2043">
        <v>4642997</v>
      </c>
      <c r="E447">
        <v>0.99310000000000009</v>
      </c>
      <c r="F447" s="2043">
        <v>7343524</v>
      </c>
    </row>
    <row r="448" spans="1:6" ht="14.5">
      <c r="A448" t="s">
        <v>3004</v>
      </c>
      <c r="B448" s="380" t="str">
        <f t="shared" si="6"/>
        <v>091-905</v>
      </c>
      <c r="C448" s="2043">
        <v>396872</v>
      </c>
      <c r="D448" s="2043">
        <v>855087</v>
      </c>
      <c r="E448">
        <v>1.026</v>
      </c>
      <c r="F448" s="2043">
        <v>1325837</v>
      </c>
    </row>
    <row r="449" spans="1:6" ht="14.5">
      <c r="A449" t="s">
        <v>3005</v>
      </c>
      <c r="B449" s="380" t="str">
        <f t="shared" si="6"/>
        <v>091-906</v>
      </c>
      <c r="C449" s="2043">
        <v>1512501</v>
      </c>
      <c r="D449" s="2043">
        <v>8000200</v>
      </c>
      <c r="E449">
        <v>0.99070000000000003</v>
      </c>
      <c r="F449" s="2043">
        <v>18409822</v>
      </c>
    </row>
    <row r="450" spans="1:6" ht="14.5">
      <c r="A450" t="s">
        <v>5045</v>
      </c>
      <c r="B450" s="380" t="str">
        <f t="shared" si="6"/>
        <v>091-907</v>
      </c>
      <c r="C450" s="2043">
        <v>81501</v>
      </c>
      <c r="D450" s="2043">
        <v>152974</v>
      </c>
      <c r="E450">
        <v>0.98980000000000001</v>
      </c>
      <c r="F450" s="2043">
        <v>513519</v>
      </c>
    </row>
    <row r="451" spans="1:6" ht="14.5">
      <c r="A451" t="s">
        <v>3006</v>
      </c>
      <c r="B451" s="380" t="str">
        <f t="shared" si="6"/>
        <v>091-908</v>
      </c>
      <c r="C451" s="2043">
        <v>612444</v>
      </c>
      <c r="D451" s="2043">
        <v>2043739</v>
      </c>
      <c r="E451">
        <v>0.95000000000000007</v>
      </c>
      <c r="F451" s="2043">
        <v>4491191</v>
      </c>
    </row>
    <row r="452" spans="1:6" ht="14.5">
      <c r="A452" t="s">
        <v>3007</v>
      </c>
      <c r="B452" s="380" t="str">
        <f t="shared" ref="B452:B515" si="7">CONCATENATE(LEFT(RIGHT(CONCATENATE("000",A452),6),3),"-",(RIGHT(RIGHT(CONCATENATE("000",A452),6),3)))</f>
        <v>091-909</v>
      </c>
      <c r="C452" s="2043">
        <v>323783</v>
      </c>
      <c r="D452" s="2043">
        <v>1013571</v>
      </c>
      <c r="E452">
        <v>1.0547</v>
      </c>
      <c r="F452" s="2043">
        <v>1810865</v>
      </c>
    </row>
    <row r="453" spans="1:6" ht="14.5">
      <c r="A453" t="s">
        <v>5046</v>
      </c>
      <c r="B453" s="380" t="str">
        <f t="shared" si="7"/>
        <v>091-910</v>
      </c>
      <c r="C453" s="2043">
        <v>0</v>
      </c>
      <c r="D453" s="2043">
        <v>523212</v>
      </c>
      <c r="E453">
        <v>1.0065</v>
      </c>
      <c r="F453" s="2043">
        <v>582175</v>
      </c>
    </row>
    <row r="454" spans="1:6" ht="14.5">
      <c r="A454" t="s">
        <v>3008</v>
      </c>
      <c r="B454" s="380" t="str">
        <f t="shared" si="7"/>
        <v>091-913</v>
      </c>
      <c r="C454" s="2043">
        <v>315852</v>
      </c>
      <c r="D454" s="2043">
        <v>423850</v>
      </c>
      <c r="E454">
        <v>0.94850000000000001</v>
      </c>
      <c r="F454" s="2043">
        <v>1350823</v>
      </c>
    </row>
    <row r="455" spans="1:6" ht="14.5">
      <c r="A455" t="s">
        <v>5047</v>
      </c>
      <c r="B455" s="380" t="str">
        <f t="shared" si="7"/>
        <v>091-914</v>
      </c>
      <c r="C455" s="2043">
        <v>0</v>
      </c>
      <c r="D455" s="2043">
        <v>1043164</v>
      </c>
      <c r="E455">
        <v>1.0494000000000001</v>
      </c>
      <c r="F455" s="2043">
        <v>1453211</v>
      </c>
    </row>
    <row r="456" spans="1:6" ht="14.5">
      <c r="A456" t="s">
        <v>3009</v>
      </c>
      <c r="B456" s="380" t="str">
        <f t="shared" si="7"/>
        <v>091-917</v>
      </c>
      <c r="C456" s="2043">
        <v>257677</v>
      </c>
      <c r="D456" s="2043">
        <v>897454</v>
      </c>
      <c r="E456">
        <v>1.0547</v>
      </c>
      <c r="F456" s="2043">
        <v>1959740</v>
      </c>
    </row>
    <row r="457" spans="1:6" ht="14.5">
      <c r="A457" t="s">
        <v>5048</v>
      </c>
      <c r="B457" s="380" t="str">
        <f t="shared" si="7"/>
        <v>091-918</v>
      </c>
      <c r="C457" s="2043">
        <v>0</v>
      </c>
      <c r="D457" s="2043">
        <v>324395</v>
      </c>
      <c r="E457">
        <v>0.96300000000000008</v>
      </c>
      <c r="F457" s="2043">
        <v>638324</v>
      </c>
    </row>
    <row r="458" spans="1:6" ht="14.5">
      <c r="A458" t="s">
        <v>8003</v>
      </c>
      <c r="B458" s="380" t="str">
        <f t="shared" si="7"/>
        <v>092-801</v>
      </c>
      <c r="C458" s="2043">
        <v>0</v>
      </c>
      <c r="D458" s="2043">
        <v>0</v>
      </c>
      <c r="E458">
        <v>0</v>
      </c>
      <c r="F458" s="2043">
        <v>0</v>
      </c>
    </row>
    <row r="459" spans="1:6" ht="14.5">
      <c r="A459" t="s">
        <v>5049</v>
      </c>
      <c r="B459" s="380" t="str">
        <f t="shared" si="7"/>
        <v>092-901</v>
      </c>
      <c r="C459" s="2043">
        <v>0</v>
      </c>
      <c r="D459" s="2043">
        <v>1580869</v>
      </c>
      <c r="E459">
        <v>1.0547</v>
      </c>
      <c r="F459" s="2043">
        <v>2064086</v>
      </c>
    </row>
    <row r="460" spans="1:6" ht="14.5">
      <c r="A460" t="s">
        <v>5050</v>
      </c>
      <c r="B460" s="380" t="str">
        <f t="shared" si="7"/>
        <v>092-902</v>
      </c>
      <c r="C460" s="2043">
        <v>0</v>
      </c>
      <c r="D460" s="2043">
        <v>3802347</v>
      </c>
      <c r="E460">
        <v>0.96640000000000004</v>
      </c>
      <c r="F460" s="2043">
        <v>4453109</v>
      </c>
    </row>
    <row r="461" spans="1:6" ht="14.5">
      <c r="A461" t="s">
        <v>3969</v>
      </c>
      <c r="B461" s="380" t="str">
        <f t="shared" si="7"/>
        <v>092-903</v>
      </c>
      <c r="C461" s="2043">
        <v>0</v>
      </c>
      <c r="D461" s="2043">
        <v>9051604</v>
      </c>
      <c r="E461">
        <v>0.96640000000000004</v>
      </c>
      <c r="F461" s="2043">
        <v>22100329</v>
      </c>
    </row>
    <row r="462" spans="1:6" ht="14.5">
      <c r="A462" t="s">
        <v>5051</v>
      </c>
      <c r="B462" s="380" t="str">
        <f t="shared" si="7"/>
        <v>092-904</v>
      </c>
      <c r="C462" s="2043">
        <v>0</v>
      </c>
      <c r="D462" s="2043">
        <v>4777105</v>
      </c>
      <c r="E462">
        <v>1.0547</v>
      </c>
      <c r="F462" s="2043">
        <v>5355415</v>
      </c>
    </row>
    <row r="463" spans="1:6" ht="14.5">
      <c r="A463" t="s">
        <v>5052</v>
      </c>
      <c r="B463" s="380" t="str">
        <f t="shared" si="7"/>
        <v>092-906</v>
      </c>
      <c r="C463" s="2043">
        <v>0</v>
      </c>
      <c r="D463" s="2043">
        <v>584743</v>
      </c>
      <c r="E463">
        <v>0.96640000000000004</v>
      </c>
      <c r="F463" s="2043">
        <v>1094260</v>
      </c>
    </row>
    <row r="464" spans="1:6" ht="14.5">
      <c r="A464" t="s">
        <v>3010</v>
      </c>
      <c r="B464" s="380" t="str">
        <f t="shared" si="7"/>
        <v>092-907</v>
      </c>
      <c r="C464" s="2043">
        <v>858916</v>
      </c>
      <c r="D464" s="2043">
        <v>1257692</v>
      </c>
      <c r="E464">
        <v>1.0532000000000001</v>
      </c>
      <c r="F464" s="2043">
        <v>2520334</v>
      </c>
    </row>
    <row r="465" spans="1:6" ht="14.5">
      <c r="A465" t="s">
        <v>5053</v>
      </c>
      <c r="B465" s="380" t="str">
        <f t="shared" si="7"/>
        <v>092-908</v>
      </c>
      <c r="C465" s="2043">
        <v>0</v>
      </c>
      <c r="D465" s="2043">
        <v>1027441</v>
      </c>
      <c r="E465">
        <v>1.0547</v>
      </c>
      <c r="F465" s="2043">
        <v>971020</v>
      </c>
    </row>
    <row r="466" spans="1:6" ht="14.5">
      <c r="A466" t="s">
        <v>8506</v>
      </c>
      <c r="B466" s="380" t="str">
        <f t="shared" si="7"/>
        <v>092-950</v>
      </c>
      <c r="C466" s="2043">
        <v>0</v>
      </c>
      <c r="D466" s="2043">
        <v>0</v>
      </c>
      <c r="E466">
        <v>0</v>
      </c>
      <c r="F466" s="2043">
        <v>0</v>
      </c>
    </row>
    <row r="467" spans="1:6" ht="14.5">
      <c r="A467" t="s">
        <v>5054</v>
      </c>
      <c r="B467" s="380" t="str">
        <f t="shared" si="7"/>
        <v>093-901</v>
      </c>
      <c r="C467" s="2043">
        <v>0</v>
      </c>
      <c r="D467" s="2043">
        <v>962734</v>
      </c>
      <c r="E467">
        <v>0.88800000000000001</v>
      </c>
      <c r="F467" s="2043">
        <v>2016377</v>
      </c>
    </row>
    <row r="468" spans="1:6" ht="14.5">
      <c r="A468" t="s">
        <v>3011</v>
      </c>
      <c r="B468" s="380" t="str">
        <f t="shared" si="7"/>
        <v>093-903</v>
      </c>
      <c r="C468" s="2043">
        <v>119954</v>
      </c>
      <c r="D468" s="2043">
        <v>341120</v>
      </c>
      <c r="E468">
        <v>0.94390000000000007</v>
      </c>
      <c r="F468" s="2043">
        <v>691069</v>
      </c>
    </row>
    <row r="469" spans="1:6" ht="14.5">
      <c r="A469" t="s">
        <v>5055</v>
      </c>
      <c r="B469" s="380" t="str">
        <f t="shared" si="7"/>
        <v>093-904</v>
      </c>
      <c r="C469" s="2043">
        <v>0</v>
      </c>
      <c r="D469" s="2043">
        <v>2956541</v>
      </c>
      <c r="E469">
        <v>0.96640000000000004</v>
      </c>
      <c r="F469" s="2043">
        <v>6161599</v>
      </c>
    </row>
    <row r="470" spans="1:6" ht="14.5">
      <c r="A470" t="s">
        <v>5806</v>
      </c>
      <c r="B470" s="380" t="str">
        <f t="shared" si="7"/>
        <v>093-905</v>
      </c>
      <c r="C470" s="2043">
        <v>0</v>
      </c>
      <c r="D470" s="2043">
        <v>0</v>
      </c>
      <c r="E470">
        <v>0.96390000000000009</v>
      </c>
      <c r="F470" s="2043">
        <v>0</v>
      </c>
    </row>
    <row r="471" spans="1:6" ht="14.5">
      <c r="A471" t="s">
        <v>3012</v>
      </c>
      <c r="B471" s="380" t="str">
        <f t="shared" si="7"/>
        <v>094-901</v>
      </c>
      <c r="C471" s="2043">
        <v>2359479</v>
      </c>
      <c r="D471" s="2043">
        <v>7291825</v>
      </c>
      <c r="E471">
        <v>0.97640000000000005</v>
      </c>
      <c r="F471" s="2043">
        <v>14115554</v>
      </c>
    </row>
    <row r="472" spans="1:6" ht="14.5">
      <c r="A472" t="s">
        <v>3013</v>
      </c>
      <c r="B472" s="380" t="str">
        <f t="shared" si="7"/>
        <v>094-902</v>
      </c>
      <c r="C472" s="2043">
        <v>3666631</v>
      </c>
      <c r="D472" s="2043">
        <v>17377249</v>
      </c>
      <c r="E472">
        <v>0.95090000000000008</v>
      </c>
      <c r="F472" s="2043">
        <v>28311797</v>
      </c>
    </row>
    <row r="473" spans="1:6" ht="14.5">
      <c r="A473" t="s">
        <v>3014</v>
      </c>
      <c r="B473" s="380" t="str">
        <f t="shared" si="7"/>
        <v>094-903</v>
      </c>
      <c r="C473" s="2043">
        <v>388765</v>
      </c>
      <c r="D473" s="2043">
        <v>1429620</v>
      </c>
      <c r="E473">
        <v>1.0223</v>
      </c>
      <c r="F473" s="2043">
        <v>2614861</v>
      </c>
    </row>
    <row r="474" spans="1:6" ht="14.5">
      <c r="A474" t="s">
        <v>3993</v>
      </c>
      <c r="B474" s="380" t="str">
        <f t="shared" si="7"/>
        <v>094-904</v>
      </c>
      <c r="C474" s="2043">
        <v>0</v>
      </c>
      <c r="D474" s="2043">
        <v>989007</v>
      </c>
      <c r="E474">
        <v>1.0255000000000001</v>
      </c>
      <c r="F474" s="2043">
        <v>2705327</v>
      </c>
    </row>
    <row r="475" spans="1:6" ht="14.5">
      <c r="A475" t="s">
        <v>5056</v>
      </c>
      <c r="B475" s="380" t="str">
        <f t="shared" si="7"/>
        <v>095-901</v>
      </c>
      <c r="C475" s="2043">
        <v>0</v>
      </c>
      <c r="D475" s="2043">
        <v>900964</v>
      </c>
      <c r="E475">
        <v>1.0547</v>
      </c>
      <c r="F475" s="2043">
        <v>1692414</v>
      </c>
    </row>
    <row r="476" spans="1:6" ht="14.5">
      <c r="A476" t="s">
        <v>5807</v>
      </c>
      <c r="B476" s="380" t="str">
        <f t="shared" si="7"/>
        <v>095-902</v>
      </c>
      <c r="C476" s="2043">
        <v>0</v>
      </c>
      <c r="D476" s="2043">
        <v>0</v>
      </c>
      <c r="E476">
        <v>1.0438000000000001</v>
      </c>
      <c r="F476" s="2043">
        <v>0</v>
      </c>
    </row>
    <row r="477" spans="1:6" ht="14.5">
      <c r="A477" t="s">
        <v>5057</v>
      </c>
      <c r="B477" s="380" t="str">
        <f t="shared" si="7"/>
        <v>095-903</v>
      </c>
      <c r="C477" s="2043">
        <v>0</v>
      </c>
      <c r="D477" s="2043">
        <v>231423</v>
      </c>
      <c r="E477">
        <v>1.0547</v>
      </c>
      <c r="F477" s="2043">
        <v>263857</v>
      </c>
    </row>
    <row r="478" spans="1:6" ht="14.5">
      <c r="A478" t="s">
        <v>5808</v>
      </c>
      <c r="B478" s="380" t="str">
        <f t="shared" si="7"/>
        <v>095-904</v>
      </c>
      <c r="C478" s="2043">
        <v>0</v>
      </c>
      <c r="D478" s="2043">
        <v>0</v>
      </c>
      <c r="E478">
        <v>1.0547</v>
      </c>
      <c r="F478" s="2043">
        <v>3412908</v>
      </c>
    </row>
    <row r="479" spans="1:6" ht="14.5">
      <c r="A479" t="s">
        <v>5809</v>
      </c>
      <c r="B479" s="380" t="str">
        <f t="shared" si="7"/>
        <v>095-905</v>
      </c>
      <c r="C479" s="2043">
        <v>0</v>
      </c>
      <c r="D479" s="2043">
        <v>0</v>
      </c>
      <c r="E479">
        <v>1.0547</v>
      </c>
      <c r="F479" s="2043">
        <v>3567814</v>
      </c>
    </row>
    <row r="480" spans="1:6" ht="14.5">
      <c r="A480" t="s">
        <v>5810</v>
      </c>
      <c r="B480" s="380" t="str">
        <f t="shared" si="7"/>
        <v>096-904</v>
      </c>
      <c r="C480" s="2043">
        <v>0</v>
      </c>
      <c r="D480" s="2043">
        <v>0</v>
      </c>
      <c r="E480">
        <v>0.97660000000000002</v>
      </c>
      <c r="F480" s="2043">
        <v>0</v>
      </c>
    </row>
    <row r="481" spans="1:6" ht="14.5">
      <c r="A481" t="s">
        <v>5058</v>
      </c>
      <c r="B481" s="380" t="str">
        <f t="shared" si="7"/>
        <v>096-905</v>
      </c>
      <c r="C481" s="2043">
        <v>0</v>
      </c>
      <c r="D481" s="2043">
        <v>144105</v>
      </c>
      <c r="E481">
        <v>0.96640000000000004</v>
      </c>
      <c r="F481" s="2043">
        <v>172343</v>
      </c>
    </row>
    <row r="482" spans="1:6" ht="14.5">
      <c r="A482" t="s">
        <v>5059</v>
      </c>
      <c r="B482" s="380" t="str">
        <f t="shared" si="7"/>
        <v>097-902</v>
      </c>
      <c r="C482" s="2043">
        <v>0</v>
      </c>
      <c r="D482" s="2043">
        <v>0</v>
      </c>
      <c r="E482">
        <v>1.0546</v>
      </c>
      <c r="F482" s="2043">
        <v>361</v>
      </c>
    </row>
    <row r="483" spans="1:6" ht="14.5">
      <c r="A483" t="s">
        <v>3015</v>
      </c>
      <c r="B483" s="380" t="str">
        <f t="shared" si="7"/>
        <v>097-903</v>
      </c>
      <c r="C483" s="2043">
        <v>176577</v>
      </c>
      <c r="D483" s="2043">
        <v>136941</v>
      </c>
      <c r="E483">
        <v>1.0147000000000002</v>
      </c>
      <c r="F483" s="2043">
        <v>404201</v>
      </c>
    </row>
    <row r="484" spans="1:6" ht="14.5">
      <c r="A484" t="s">
        <v>5060</v>
      </c>
      <c r="B484" s="380" t="str">
        <f t="shared" si="7"/>
        <v>098-901</v>
      </c>
      <c r="C484" s="2043">
        <v>0</v>
      </c>
      <c r="D484" s="2043">
        <v>401271</v>
      </c>
      <c r="E484">
        <v>0.97640000000000005</v>
      </c>
      <c r="F484" s="2043">
        <v>811619</v>
      </c>
    </row>
    <row r="485" spans="1:6" ht="14.5">
      <c r="A485" t="s">
        <v>5061</v>
      </c>
      <c r="B485" s="380" t="str">
        <f t="shared" si="7"/>
        <v>098-903</v>
      </c>
      <c r="C485" s="2043">
        <v>0</v>
      </c>
      <c r="D485" s="2043">
        <v>119727</v>
      </c>
      <c r="E485">
        <v>1.0864</v>
      </c>
      <c r="F485" s="2043">
        <v>195511</v>
      </c>
    </row>
    <row r="486" spans="1:6" ht="14.5">
      <c r="A486" t="s">
        <v>5062</v>
      </c>
      <c r="B486" s="380" t="str">
        <f t="shared" si="7"/>
        <v>098-904</v>
      </c>
      <c r="C486" s="2043">
        <v>0</v>
      </c>
      <c r="D486" s="2043">
        <v>310139</v>
      </c>
      <c r="E486">
        <v>1.0547</v>
      </c>
      <c r="F486" s="2043">
        <v>757227</v>
      </c>
    </row>
    <row r="487" spans="1:6" ht="14.5">
      <c r="A487" t="s">
        <v>5063</v>
      </c>
      <c r="B487" s="380" t="str">
        <f t="shared" si="7"/>
        <v>099-902</v>
      </c>
      <c r="C487" s="2043">
        <v>0</v>
      </c>
      <c r="D487" s="2043">
        <v>118146</v>
      </c>
      <c r="E487">
        <v>0.91639999999999999</v>
      </c>
      <c r="F487" s="2043">
        <v>1254069</v>
      </c>
    </row>
    <row r="488" spans="1:6" ht="14.5">
      <c r="A488" t="s">
        <v>5811</v>
      </c>
      <c r="B488" s="380" t="str">
        <f t="shared" si="7"/>
        <v>099-903</v>
      </c>
      <c r="C488" s="2043">
        <v>0</v>
      </c>
      <c r="D488" s="2043">
        <v>0</v>
      </c>
      <c r="E488">
        <v>0.89290000000000003</v>
      </c>
      <c r="F488" s="2043">
        <v>0</v>
      </c>
    </row>
    <row r="489" spans="1:6" ht="14.5">
      <c r="A489" t="s">
        <v>5064</v>
      </c>
      <c r="B489" s="380" t="str">
        <f t="shared" si="7"/>
        <v>100-903</v>
      </c>
      <c r="C489" s="2043">
        <v>0</v>
      </c>
      <c r="D489" s="2043">
        <v>278116</v>
      </c>
      <c r="E489">
        <v>1.0344</v>
      </c>
      <c r="F489" s="2043">
        <v>736032</v>
      </c>
    </row>
    <row r="490" spans="1:6" ht="14.5">
      <c r="A490" t="s">
        <v>3016</v>
      </c>
      <c r="B490" s="380" t="str">
        <f t="shared" si="7"/>
        <v>100-904</v>
      </c>
      <c r="C490" s="2043">
        <v>1413146</v>
      </c>
      <c r="D490" s="2043">
        <v>1375950</v>
      </c>
      <c r="E490">
        <v>1.0533000000000001</v>
      </c>
      <c r="F490" s="2043">
        <v>3106848</v>
      </c>
    </row>
    <row r="491" spans="1:6" ht="14.5">
      <c r="A491" t="s">
        <v>5065</v>
      </c>
      <c r="B491" s="380" t="str">
        <f t="shared" si="7"/>
        <v>100-905</v>
      </c>
      <c r="C491" s="2043">
        <v>0</v>
      </c>
      <c r="D491" s="2043">
        <v>2447420</v>
      </c>
      <c r="E491">
        <v>0.95650000000000002</v>
      </c>
      <c r="F491" s="2043">
        <v>2988927</v>
      </c>
    </row>
    <row r="492" spans="1:6" ht="14.5">
      <c r="A492" t="s">
        <v>3017</v>
      </c>
      <c r="B492" s="380" t="str">
        <f t="shared" si="7"/>
        <v>100-907</v>
      </c>
      <c r="C492" s="2043">
        <v>592786</v>
      </c>
      <c r="D492" s="2043">
        <v>0</v>
      </c>
      <c r="E492">
        <v>0.95290000000000008</v>
      </c>
      <c r="F492" s="2043">
        <v>2083811</v>
      </c>
    </row>
    <row r="493" spans="1:6" ht="14.5">
      <c r="A493" t="s">
        <v>3018</v>
      </c>
      <c r="B493" s="380" t="str">
        <f t="shared" si="7"/>
        <v>100-908</v>
      </c>
      <c r="C493" s="2043">
        <v>1101</v>
      </c>
      <c r="D493" s="2043">
        <v>74427</v>
      </c>
      <c r="E493">
        <v>1.0547</v>
      </c>
      <c r="F493" s="2043">
        <v>243434</v>
      </c>
    </row>
    <row r="494" spans="1:6" ht="14.5">
      <c r="A494" t="s">
        <v>8507</v>
      </c>
      <c r="B494" s="380" t="str">
        <f t="shared" si="7"/>
        <v>101-000</v>
      </c>
      <c r="C494" s="2043">
        <v>0</v>
      </c>
      <c r="D494" s="2043">
        <v>0</v>
      </c>
      <c r="E494">
        <v>0</v>
      </c>
      <c r="F494" s="2043">
        <v>0</v>
      </c>
    </row>
    <row r="495" spans="1:6" ht="14.5">
      <c r="A495" t="s">
        <v>8004</v>
      </c>
      <c r="B495" s="380" t="str">
        <f t="shared" si="7"/>
        <v>101-802</v>
      </c>
      <c r="C495" s="2043">
        <v>0</v>
      </c>
      <c r="D495" s="2043">
        <v>0</v>
      </c>
      <c r="E495">
        <v>0</v>
      </c>
      <c r="F495" s="2043">
        <v>0</v>
      </c>
    </row>
    <row r="496" spans="1:6" ht="14.5">
      <c r="A496" t="s">
        <v>8005</v>
      </c>
      <c r="B496" s="380" t="str">
        <f t="shared" si="7"/>
        <v>101-803</v>
      </c>
      <c r="C496" s="2043">
        <v>0</v>
      </c>
      <c r="D496" s="2043">
        <v>0</v>
      </c>
      <c r="E496">
        <v>0</v>
      </c>
      <c r="F496" s="2043">
        <v>0</v>
      </c>
    </row>
    <row r="497" spans="1:6" ht="14.5">
      <c r="A497" t="s">
        <v>8006</v>
      </c>
      <c r="B497" s="380" t="str">
        <f t="shared" si="7"/>
        <v>101-804</v>
      </c>
      <c r="C497" s="2043">
        <v>0</v>
      </c>
      <c r="D497" s="2043">
        <v>0</v>
      </c>
      <c r="E497">
        <v>0</v>
      </c>
      <c r="F497" s="2043">
        <v>0</v>
      </c>
    </row>
    <row r="498" spans="1:6" ht="14.5">
      <c r="A498" t="s">
        <v>8007</v>
      </c>
      <c r="B498" s="380" t="str">
        <f t="shared" si="7"/>
        <v>101-806</v>
      </c>
      <c r="C498" s="2043">
        <v>0</v>
      </c>
      <c r="D498" s="2043">
        <v>0</v>
      </c>
      <c r="E498">
        <v>0</v>
      </c>
      <c r="F498" s="2043">
        <v>0</v>
      </c>
    </row>
    <row r="499" spans="1:6" ht="14.5">
      <c r="A499" t="s">
        <v>8009</v>
      </c>
      <c r="B499" s="380" t="str">
        <f t="shared" si="7"/>
        <v>101-810</v>
      </c>
      <c r="C499" s="2043">
        <v>0</v>
      </c>
      <c r="D499" s="2043">
        <v>0</v>
      </c>
      <c r="E499">
        <v>0</v>
      </c>
      <c r="F499" s="2043">
        <v>0</v>
      </c>
    </row>
    <row r="500" spans="1:6" ht="14.5">
      <c r="A500" t="s">
        <v>8010</v>
      </c>
      <c r="B500" s="380" t="str">
        <f t="shared" si="7"/>
        <v>101-811</v>
      </c>
      <c r="C500" s="2043">
        <v>0</v>
      </c>
      <c r="D500" s="2043">
        <v>0</v>
      </c>
      <c r="E500">
        <v>0</v>
      </c>
      <c r="F500" s="2043">
        <v>0</v>
      </c>
    </row>
    <row r="501" spans="1:6" ht="14.5">
      <c r="A501" t="s">
        <v>8011</v>
      </c>
      <c r="B501" s="380" t="str">
        <f t="shared" si="7"/>
        <v>101-814</v>
      </c>
      <c r="C501" s="2043">
        <v>0</v>
      </c>
      <c r="D501" s="2043">
        <v>0</v>
      </c>
      <c r="E501">
        <v>0</v>
      </c>
      <c r="F501" s="2043">
        <v>0</v>
      </c>
    </row>
    <row r="502" spans="1:6" ht="14.5">
      <c r="A502" t="s">
        <v>8012</v>
      </c>
      <c r="B502" s="380" t="str">
        <f t="shared" si="7"/>
        <v>101-815</v>
      </c>
      <c r="C502" s="2043">
        <v>0</v>
      </c>
      <c r="D502" s="2043">
        <v>0</v>
      </c>
      <c r="E502">
        <v>0</v>
      </c>
      <c r="F502" s="2043">
        <v>0</v>
      </c>
    </row>
    <row r="503" spans="1:6" ht="14.5">
      <c r="A503" t="s">
        <v>8013</v>
      </c>
      <c r="B503" s="380" t="str">
        <f t="shared" si="7"/>
        <v>101-819</v>
      </c>
      <c r="C503" s="2043">
        <v>0</v>
      </c>
      <c r="D503" s="2043">
        <v>0</v>
      </c>
      <c r="E503">
        <v>0</v>
      </c>
      <c r="F503" s="2043">
        <v>0</v>
      </c>
    </row>
    <row r="504" spans="1:6" ht="14.5">
      <c r="A504" t="s">
        <v>8014</v>
      </c>
      <c r="B504" s="380" t="str">
        <f t="shared" si="7"/>
        <v>101-821</v>
      </c>
      <c r="C504" s="2043">
        <v>0</v>
      </c>
      <c r="D504" s="2043">
        <v>0</v>
      </c>
      <c r="E504">
        <v>0</v>
      </c>
      <c r="F504" s="2043">
        <v>0</v>
      </c>
    </row>
    <row r="505" spans="1:6" ht="14.5">
      <c r="A505" t="s">
        <v>8015</v>
      </c>
      <c r="B505" s="380" t="str">
        <f t="shared" si="7"/>
        <v>101-828</v>
      </c>
      <c r="C505" s="2043">
        <v>0</v>
      </c>
      <c r="D505" s="2043">
        <v>0</v>
      </c>
      <c r="E505">
        <v>0</v>
      </c>
      <c r="F505" s="2043">
        <v>0</v>
      </c>
    </row>
    <row r="506" spans="1:6" ht="14.5">
      <c r="A506" t="s">
        <v>8016</v>
      </c>
      <c r="B506" s="380" t="str">
        <f t="shared" si="7"/>
        <v>101-837</v>
      </c>
      <c r="C506" s="2043">
        <v>0</v>
      </c>
      <c r="D506" s="2043">
        <v>0</v>
      </c>
      <c r="E506">
        <v>0</v>
      </c>
      <c r="F506" s="2043">
        <v>0</v>
      </c>
    </row>
    <row r="507" spans="1:6" ht="14.5">
      <c r="A507" t="s">
        <v>8017</v>
      </c>
      <c r="B507" s="380" t="str">
        <f t="shared" si="7"/>
        <v>101-838</v>
      </c>
      <c r="C507" s="2043">
        <v>0</v>
      </c>
      <c r="D507" s="2043">
        <v>0</v>
      </c>
      <c r="E507">
        <v>0</v>
      </c>
      <c r="F507" s="2043">
        <v>0</v>
      </c>
    </row>
    <row r="508" spans="1:6" ht="14.5">
      <c r="A508" t="s">
        <v>8018</v>
      </c>
      <c r="B508" s="380" t="str">
        <f t="shared" si="7"/>
        <v>101-840</v>
      </c>
      <c r="C508" s="2043">
        <v>0</v>
      </c>
      <c r="D508" s="2043">
        <v>0</v>
      </c>
      <c r="E508">
        <v>0</v>
      </c>
      <c r="F508" s="2043">
        <v>0</v>
      </c>
    </row>
    <row r="509" spans="1:6" ht="14.5">
      <c r="A509" t="s">
        <v>8019</v>
      </c>
      <c r="B509" s="380" t="str">
        <f t="shared" si="7"/>
        <v>101-842</v>
      </c>
      <c r="C509" s="2043">
        <v>0</v>
      </c>
      <c r="D509" s="2043">
        <v>0</v>
      </c>
      <c r="E509">
        <v>0</v>
      </c>
      <c r="F509" s="2043">
        <v>0</v>
      </c>
    </row>
    <row r="510" spans="1:6" ht="14.5">
      <c r="A510" t="s">
        <v>8020</v>
      </c>
      <c r="B510" s="380" t="str">
        <f t="shared" si="7"/>
        <v>101-845</v>
      </c>
      <c r="C510" s="2043">
        <v>0</v>
      </c>
      <c r="D510" s="2043">
        <v>0</v>
      </c>
      <c r="E510">
        <v>0</v>
      </c>
      <c r="F510" s="2043">
        <v>0</v>
      </c>
    </row>
    <row r="511" spans="1:6" ht="14.5">
      <c r="A511" t="s">
        <v>8021</v>
      </c>
      <c r="B511" s="380" t="str">
        <f t="shared" si="7"/>
        <v>101-846</v>
      </c>
      <c r="C511" s="2043">
        <v>0</v>
      </c>
      <c r="D511" s="2043">
        <v>0</v>
      </c>
      <c r="E511">
        <v>0</v>
      </c>
      <c r="F511" s="2043">
        <v>0</v>
      </c>
    </row>
    <row r="512" spans="1:6" ht="14.5">
      <c r="A512" t="s">
        <v>8022</v>
      </c>
      <c r="B512" s="380" t="str">
        <f t="shared" si="7"/>
        <v>101-847</v>
      </c>
      <c r="C512" s="2043">
        <v>0</v>
      </c>
      <c r="D512" s="2043">
        <v>0</v>
      </c>
      <c r="E512">
        <v>0</v>
      </c>
      <c r="F512" s="2043">
        <v>0</v>
      </c>
    </row>
    <row r="513" spans="1:6" ht="14.5">
      <c r="A513" t="s">
        <v>8023</v>
      </c>
      <c r="B513" s="380" t="str">
        <f t="shared" si="7"/>
        <v>101-849</v>
      </c>
      <c r="C513" s="2043">
        <v>0</v>
      </c>
      <c r="D513" s="2043">
        <v>0</v>
      </c>
      <c r="E513">
        <v>0</v>
      </c>
      <c r="F513" s="2043">
        <v>0</v>
      </c>
    </row>
    <row r="514" spans="1:6" ht="14.5">
      <c r="A514" t="s">
        <v>8024</v>
      </c>
      <c r="B514" s="380" t="str">
        <f t="shared" si="7"/>
        <v>101-853</v>
      </c>
      <c r="C514" s="2043">
        <v>0</v>
      </c>
      <c r="D514" s="2043">
        <v>0</v>
      </c>
      <c r="E514">
        <v>0</v>
      </c>
      <c r="F514" s="2043">
        <v>0</v>
      </c>
    </row>
    <row r="515" spans="1:6" ht="14.5">
      <c r="A515" t="s">
        <v>8025</v>
      </c>
      <c r="B515" s="380" t="str">
        <f t="shared" si="7"/>
        <v>101-855</v>
      </c>
      <c r="C515" s="2043">
        <v>0</v>
      </c>
      <c r="D515" s="2043">
        <v>0</v>
      </c>
      <c r="E515">
        <v>0</v>
      </c>
      <c r="F515" s="2043">
        <v>0</v>
      </c>
    </row>
    <row r="516" spans="1:6" ht="14.5">
      <c r="A516" t="s">
        <v>8026</v>
      </c>
      <c r="B516" s="380" t="str">
        <f t="shared" ref="B516:B579" si="8">CONCATENATE(LEFT(RIGHT(CONCATENATE("000",A516),6),3),"-",(RIGHT(RIGHT(CONCATENATE("000",A516),6),3)))</f>
        <v>101-856</v>
      </c>
      <c r="C516" s="2043">
        <v>0</v>
      </c>
      <c r="D516" s="2043">
        <v>0</v>
      </c>
      <c r="E516">
        <v>0</v>
      </c>
      <c r="F516" s="2043">
        <v>0</v>
      </c>
    </row>
    <row r="517" spans="1:6" ht="14.5">
      <c r="A517" t="s">
        <v>8027</v>
      </c>
      <c r="B517" s="380" t="str">
        <f t="shared" si="8"/>
        <v>101-858</v>
      </c>
      <c r="C517" s="2043">
        <v>0</v>
      </c>
      <c r="D517" s="2043">
        <v>0</v>
      </c>
      <c r="E517">
        <v>0</v>
      </c>
      <c r="F517" s="2043">
        <v>0</v>
      </c>
    </row>
    <row r="518" spans="1:6" ht="14.5">
      <c r="A518" t="s">
        <v>8028</v>
      </c>
      <c r="B518" s="380" t="str">
        <f t="shared" si="8"/>
        <v>101-859</v>
      </c>
      <c r="C518" s="2043">
        <v>0</v>
      </c>
      <c r="D518" s="2043">
        <v>0</v>
      </c>
      <c r="E518">
        <v>0</v>
      </c>
      <c r="F518" s="2043">
        <v>0</v>
      </c>
    </row>
    <row r="519" spans="1:6" ht="14.5">
      <c r="A519" t="s">
        <v>8029</v>
      </c>
      <c r="B519" s="380" t="str">
        <f t="shared" si="8"/>
        <v>101-861</v>
      </c>
      <c r="C519" s="2043">
        <v>0</v>
      </c>
      <c r="D519" s="2043">
        <v>0</v>
      </c>
      <c r="E519">
        <v>0</v>
      </c>
      <c r="F519" s="2043">
        <v>0</v>
      </c>
    </row>
    <row r="520" spans="1:6" ht="14.5">
      <c r="A520" t="s">
        <v>8030</v>
      </c>
      <c r="B520" s="380" t="str">
        <f t="shared" si="8"/>
        <v>101-862</v>
      </c>
      <c r="C520" s="2043">
        <v>0</v>
      </c>
      <c r="D520" s="2043">
        <v>0</v>
      </c>
      <c r="E520">
        <v>0</v>
      </c>
      <c r="F520" s="2043">
        <v>0</v>
      </c>
    </row>
    <row r="521" spans="1:6" ht="14.5">
      <c r="A521" t="s">
        <v>8031</v>
      </c>
      <c r="B521" s="380" t="str">
        <f t="shared" si="8"/>
        <v>101-864</v>
      </c>
      <c r="C521" s="2043">
        <v>0</v>
      </c>
      <c r="D521" s="2043">
        <v>0</v>
      </c>
      <c r="E521">
        <v>0</v>
      </c>
      <c r="F521" s="2043">
        <v>0</v>
      </c>
    </row>
    <row r="522" spans="1:6" ht="14.5">
      <c r="A522" t="s">
        <v>8032</v>
      </c>
      <c r="B522" s="380" t="str">
        <f t="shared" si="8"/>
        <v>101-868</v>
      </c>
      <c r="C522" s="2043">
        <v>0</v>
      </c>
      <c r="D522" s="2043">
        <v>0</v>
      </c>
      <c r="E522">
        <v>0</v>
      </c>
      <c r="F522" s="2043">
        <v>0</v>
      </c>
    </row>
    <row r="523" spans="1:6" ht="14.5">
      <c r="A523" t="s">
        <v>8033</v>
      </c>
      <c r="B523" s="380" t="str">
        <f t="shared" si="8"/>
        <v>101-870</v>
      </c>
      <c r="C523" s="2043">
        <v>0</v>
      </c>
      <c r="D523" s="2043">
        <v>0</v>
      </c>
      <c r="E523">
        <v>0</v>
      </c>
      <c r="F523" s="2043">
        <v>0</v>
      </c>
    </row>
    <row r="524" spans="1:6" ht="14.5">
      <c r="A524" t="s">
        <v>8034</v>
      </c>
      <c r="B524" s="380" t="str">
        <f t="shared" si="8"/>
        <v>101-871</v>
      </c>
      <c r="C524" s="2043">
        <v>0</v>
      </c>
      <c r="D524" s="2043">
        <v>0</v>
      </c>
      <c r="E524">
        <v>0</v>
      </c>
      <c r="F524" s="2043">
        <v>0</v>
      </c>
    </row>
    <row r="525" spans="1:6" ht="14.5">
      <c r="A525" t="s">
        <v>8035</v>
      </c>
      <c r="B525" s="380" t="str">
        <f t="shared" si="8"/>
        <v>101-872</v>
      </c>
      <c r="C525" s="2043">
        <v>0</v>
      </c>
      <c r="D525" s="2043">
        <v>0</v>
      </c>
      <c r="E525">
        <v>0</v>
      </c>
      <c r="F525" s="2043">
        <v>0</v>
      </c>
    </row>
    <row r="526" spans="1:6" ht="14.5">
      <c r="A526" t="s">
        <v>8036</v>
      </c>
      <c r="B526" s="380" t="str">
        <f t="shared" si="8"/>
        <v>101-873</v>
      </c>
      <c r="C526" s="2043">
        <v>0</v>
      </c>
      <c r="D526" s="2043">
        <v>0</v>
      </c>
      <c r="E526">
        <v>0</v>
      </c>
      <c r="F526" s="2043">
        <v>0</v>
      </c>
    </row>
    <row r="527" spans="1:6" ht="14.5">
      <c r="A527" t="s">
        <v>8037</v>
      </c>
      <c r="B527" s="380" t="str">
        <f t="shared" si="8"/>
        <v>101-874</v>
      </c>
      <c r="C527" s="2043">
        <v>0</v>
      </c>
      <c r="D527" s="2043">
        <v>0</v>
      </c>
      <c r="E527">
        <v>0</v>
      </c>
      <c r="F527" s="2043">
        <v>0</v>
      </c>
    </row>
    <row r="528" spans="1:6" ht="14.5">
      <c r="A528" t="s">
        <v>8038</v>
      </c>
      <c r="B528" s="380" t="str">
        <f t="shared" si="8"/>
        <v>101-875</v>
      </c>
      <c r="C528" s="2043">
        <v>0</v>
      </c>
      <c r="D528" s="2043">
        <v>0</v>
      </c>
      <c r="E528">
        <v>0</v>
      </c>
      <c r="F528" s="2043">
        <v>0</v>
      </c>
    </row>
    <row r="529" spans="1:6" ht="14.5">
      <c r="A529" t="s">
        <v>8039</v>
      </c>
      <c r="B529" s="380" t="str">
        <f t="shared" si="8"/>
        <v>101-876</v>
      </c>
      <c r="C529" s="2043">
        <v>0</v>
      </c>
      <c r="D529" s="2043">
        <v>0</v>
      </c>
      <c r="E529">
        <v>0</v>
      </c>
      <c r="F529" s="2043">
        <v>0</v>
      </c>
    </row>
    <row r="530" spans="1:6" ht="14.5">
      <c r="A530" t="s">
        <v>8779</v>
      </c>
      <c r="B530" s="380" t="str">
        <f t="shared" si="8"/>
        <v>101-878</v>
      </c>
      <c r="C530" s="2043">
        <v>0</v>
      </c>
      <c r="D530" s="2043">
        <v>0</v>
      </c>
      <c r="E530">
        <v>0</v>
      </c>
      <c r="F530" s="2043">
        <v>0</v>
      </c>
    </row>
    <row r="531" spans="1:6" ht="14.5">
      <c r="A531" t="s">
        <v>3019</v>
      </c>
      <c r="B531" s="380" t="str">
        <f t="shared" si="8"/>
        <v>101-902</v>
      </c>
      <c r="C531" s="2043">
        <v>16996061</v>
      </c>
      <c r="D531" s="2043">
        <v>43197405</v>
      </c>
      <c r="E531">
        <v>0.9719000000000001</v>
      </c>
      <c r="F531" s="2043">
        <v>68244146</v>
      </c>
    </row>
    <row r="532" spans="1:6" ht="14.5">
      <c r="A532" t="s">
        <v>3020</v>
      </c>
      <c r="B532" s="380" t="str">
        <f t="shared" si="8"/>
        <v>101-903</v>
      </c>
      <c r="C532" s="2043">
        <v>2345176</v>
      </c>
      <c r="D532" s="2043">
        <v>27883067</v>
      </c>
      <c r="E532">
        <v>0.99980000000000002</v>
      </c>
      <c r="F532" s="2043">
        <v>35247671</v>
      </c>
    </row>
    <row r="533" spans="1:6" ht="14.5">
      <c r="A533" t="s">
        <v>3021</v>
      </c>
      <c r="B533" s="380" t="str">
        <f t="shared" si="8"/>
        <v>101-905</v>
      </c>
      <c r="C533" s="2043">
        <v>1813841</v>
      </c>
      <c r="D533" s="2043">
        <v>7992185</v>
      </c>
      <c r="E533">
        <v>0.96640000000000004</v>
      </c>
      <c r="F533" s="2043">
        <v>14770658</v>
      </c>
    </row>
    <row r="534" spans="1:6" ht="14.5">
      <c r="A534" t="s">
        <v>3022</v>
      </c>
      <c r="B534" s="380" t="str">
        <f t="shared" si="8"/>
        <v>101-906</v>
      </c>
      <c r="C534" s="2043">
        <v>2259531</v>
      </c>
      <c r="D534" s="2043">
        <v>6259914</v>
      </c>
      <c r="E534">
        <v>0.99830000000000008</v>
      </c>
      <c r="F534" s="2043">
        <v>10524069</v>
      </c>
    </row>
    <row r="535" spans="1:6" ht="14.5">
      <c r="A535" t="s">
        <v>5066</v>
      </c>
      <c r="B535" s="380" t="str">
        <f t="shared" si="8"/>
        <v>101-907</v>
      </c>
      <c r="C535" s="2043">
        <v>0</v>
      </c>
      <c r="D535" s="2043">
        <v>125936494</v>
      </c>
      <c r="E535">
        <v>0.95550000000000002</v>
      </c>
      <c r="F535" s="2043">
        <v>223082261</v>
      </c>
    </row>
    <row r="536" spans="1:6" ht="14.5">
      <c r="A536" t="s">
        <v>5067</v>
      </c>
      <c r="B536" s="380" t="str">
        <f t="shared" si="8"/>
        <v>101-908</v>
      </c>
      <c r="C536" s="2043">
        <v>0</v>
      </c>
      <c r="D536" s="2043">
        <v>13424106</v>
      </c>
      <c r="E536">
        <v>1.0796000000000001</v>
      </c>
      <c r="F536" s="2043">
        <v>29803698</v>
      </c>
    </row>
    <row r="537" spans="1:6" ht="14.5">
      <c r="A537" t="s">
        <v>3023</v>
      </c>
      <c r="B537" s="380" t="str">
        <f t="shared" si="8"/>
        <v>101-910</v>
      </c>
      <c r="C537" s="2043">
        <v>3501462</v>
      </c>
      <c r="D537" s="2043">
        <v>23629107</v>
      </c>
      <c r="E537">
        <v>1.1281000000000001</v>
      </c>
      <c r="F537" s="2043">
        <v>32425867</v>
      </c>
    </row>
    <row r="538" spans="1:6" ht="14.5">
      <c r="A538" t="s">
        <v>5068</v>
      </c>
      <c r="B538" s="380" t="str">
        <f t="shared" si="8"/>
        <v>101-911</v>
      </c>
      <c r="C538" s="2043">
        <v>0</v>
      </c>
      <c r="D538" s="2043">
        <v>25145770</v>
      </c>
      <c r="E538">
        <v>1.0436000000000001</v>
      </c>
      <c r="F538" s="2043">
        <v>45617147</v>
      </c>
    </row>
    <row r="539" spans="1:6" ht="14.5">
      <c r="A539" t="s">
        <v>5069</v>
      </c>
      <c r="B539" s="380" t="str">
        <f t="shared" si="8"/>
        <v>101-912</v>
      </c>
      <c r="C539" s="2043">
        <v>0</v>
      </c>
      <c r="D539" s="2043">
        <v>125770128</v>
      </c>
      <c r="E539">
        <v>0.96640000000000004</v>
      </c>
      <c r="F539" s="2043">
        <v>313142275</v>
      </c>
    </row>
    <row r="540" spans="1:6" ht="14.5">
      <c r="A540" t="s">
        <v>3024</v>
      </c>
      <c r="B540" s="380" t="str">
        <f t="shared" si="8"/>
        <v>101-913</v>
      </c>
      <c r="C540" s="2043">
        <v>2817975</v>
      </c>
      <c r="D540" s="2043">
        <v>50370489</v>
      </c>
      <c r="E540">
        <v>1.0341</v>
      </c>
      <c r="F540" s="2043">
        <v>63525108</v>
      </c>
    </row>
    <row r="541" spans="1:6" ht="14.5">
      <c r="A541" t="s">
        <v>3025</v>
      </c>
      <c r="B541" s="380" t="str">
        <f t="shared" si="8"/>
        <v>101-914</v>
      </c>
      <c r="C541" s="2043">
        <v>11473112</v>
      </c>
      <c r="D541" s="2043">
        <v>93761248</v>
      </c>
      <c r="E541">
        <v>0.99880000000000002</v>
      </c>
      <c r="F541" s="2043">
        <v>169935337</v>
      </c>
    </row>
    <row r="542" spans="1:6" ht="14.5">
      <c r="A542" t="s">
        <v>3026</v>
      </c>
      <c r="B542" s="380" t="str">
        <f t="shared" si="8"/>
        <v>101-915</v>
      </c>
      <c r="C542" s="2043">
        <v>14206596</v>
      </c>
      <c r="D542" s="2043">
        <v>58607865</v>
      </c>
      <c r="E542">
        <v>0.95730000000000004</v>
      </c>
      <c r="F542" s="2043">
        <v>87441617</v>
      </c>
    </row>
    <row r="543" spans="1:6" ht="14.5">
      <c r="A543" t="s">
        <v>5070</v>
      </c>
      <c r="B543" s="380" t="str">
        <f t="shared" si="8"/>
        <v>101-916</v>
      </c>
      <c r="C543" s="2043">
        <v>0</v>
      </c>
      <c r="D543" s="2043">
        <v>5542729</v>
      </c>
      <c r="E543">
        <v>1.0397000000000001</v>
      </c>
      <c r="F543" s="2043">
        <v>27462359</v>
      </c>
    </row>
    <row r="544" spans="1:6" ht="14.5">
      <c r="A544" t="s">
        <v>3027</v>
      </c>
      <c r="B544" s="380" t="str">
        <f t="shared" si="8"/>
        <v>101-917</v>
      </c>
      <c r="C544" s="2043">
        <v>8978558</v>
      </c>
      <c r="D544" s="2043">
        <v>39101611</v>
      </c>
      <c r="E544">
        <v>1.073</v>
      </c>
      <c r="F544" s="2043">
        <v>49692425</v>
      </c>
    </row>
    <row r="545" spans="1:6" ht="14.5">
      <c r="A545" t="s">
        <v>5071</v>
      </c>
      <c r="B545" s="380" t="str">
        <f t="shared" si="8"/>
        <v>101-919</v>
      </c>
      <c r="C545" s="2043">
        <v>0</v>
      </c>
      <c r="D545" s="2043">
        <v>36078140</v>
      </c>
      <c r="E545">
        <v>0.93430000000000002</v>
      </c>
      <c r="F545" s="2043">
        <v>67681185</v>
      </c>
    </row>
    <row r="546" spans="1:6" ht="14.5">
      <c r="A546" t="s">
        <v>5072</v>
      </c>
      <c r="B546" s="380" t="str">
        <f t="shared" si="8"/>
        <v>101-920</v>
      </c>
      <c r="C546" s="2043">
        <v>0</v>
      </c>
      <c r="D546" s="2043">
        <v>36709745</v>
      </c>
      <c r="E546">
        <v>1.0028000000000001</v>
      </c>
      <c r="F546" s="2043">
        <v>106932844</v>
      </c>
    </row>
    <row r="547" spans="1:6" ht="14.5">
      <c r="A547" t="s">
        <v>5073</v>
      </c>
      <c r="B547" s="380" t="str">
        <f t="shared" si="8"/>
        <v>101-921</v>
      </c>
      <c r="C547" s="2043">
        <v>0</v>
      </c>
      <c r="D547" s="2043">
        <v>21355050</v>
      </c>
      <c r="E547">
        <v>0.94000000000000006</v>
      </c>
      <c r="F547" s="2043">
        <v>41777384</v>
      </c>
    </row>
    <row r="548" spans="1:6" ht="14.5">
      <c r="A548" t="s">
        <v>5074</v>
      </c>
      <c r="B548" s="380" t="str">
        <f t="shared" si="8"/>
        <v>101-924</v>
      </c>
      <c r="C548" s="2043">
        <v>0</v>
      </c>
      <c r="D548" s="2043">
        <v>11036455</v>
      </c>
      <c r="E548">
        <v>1.0416000000000001</v>
      </c>
      <c r="F548" s="2043">
        <v>26465957</v>
      </c>
    </row>
    <row r="549" spans="1:6" ht="14.5">
      <c r="A549" t="s">
        <v>3028</v>
      </c>
      <c r="B549" s="380" t="str">
        <f t="shared" si="8"/>
        <v>101-925</v>
      </c>
      <c r="C549" s="2043">
        <v>811251</v>
      </c>
      <c r="D549" s="2043">
        <v>3856876</v>
      </c>
      <c r="E549">
        <v>0.99470000000000003</v>
      </c>
      <c r="F549" s="2043">
        <v>4760747</v>
      </c>
    </row>
    <row r="550" spans="1:6" ht="14.5">
      <c r="A550" t="s">
        <v>8508</v>
      </c>
      <c r="B550" s="380" t="str">
        <f t="shared" si="8"/>
        <v>101-950</v>
      </c>
      <c r="C550" s="2043">
        <v>0</v>
      </c>
      <c r="D550" s="2043">
        <v>0</v>
      </c>
      <c r="E550">
        <v>0</v>
      </c>
      <c r="F550" s="2043">
        <v>0</v>
      </c>
    </row>
    <row r="551" spans="1:6" ht="14.5">
      <c r="A551" t="s">
        <v>5812</v>
      </c>
      <c r="B551" s="380" t="str">
        <f t="shared" si="8"/>
        <v>102-901</v>
      </c>
      <c r="C551" s="2043">
        <v>0</v>
      </c>
      <c r="D551" s="2043">
        <v>0</v>
      </c>
      <c r="E551">
        <v>0.96640000000000004</v>
      </c>
      <c r="F551" s="2043">
        <v>0</v>
      </c>
    </row>
    <row r="552" spans="1:6" ht="14.5">
      <c r="A552" t="s">
        <v>5075</v>
      </c>
      <c r="B552" s="380" t="str">
        <f t="shared" si="8"/>
        <v>102-902</v>
      </c>
      <c r="C552" s="2043">
        <v>0</v>
      </c>
      <c r="D552" s="2043">
        <v>5449310</v>
      </c>
      <c r="E552">
        <v>0.96640000000000004</v>
      </c>
      <c r="F552" s="2043">
        <v>7470931</v>
      </c>
    </row>
    <row r="553" spans="1:6" ht="14.5">
      <c r="A553" t="s">
        <v>5076</v>
      </c>
      <c r="B553" s="380" t="str">
        <f t="shared" si="8"/>
        <v>102-903</v>
      </c>
      <c r="C553" s="2043">
        <v>0</v>
      </c>
      <c r="D553" s="2043">
        <v>859373</v>
      </c>
      <c r="E553">
        <v>0.96640000000000004</v>
      </c>
      <c r="F553" s="2043">
        <v>1482461</v>
      </c>
    </row>
    <row r="554" spans="1:6" ht="14.5">
      <c r="A554" t="s">
        <v>5077</v>
      </c>
      <c r="B554" s="380" t="str">
        <f t="shared" si="8"/>
        <v>102-904</v>
      </c>
      <c r="C554" s="2043">
        <v>0</v>
      </c>
      <c r="D554" s="2043">
        <v>1860377</v>
      </c>
      <c r="E554">
        <v>0.96640000000000004</v>
      </c>
      <c r="F554" s="2043">
        <v>7670105</v>
      </c>
    </row>
    <row r="555" spans="1:6" ht="14.5">
      <c r="A555" t="s">
        <v>5078</v>
      </c>
      <c r="B555" s="380" t="str">
        <f t="shared" si="8"/>
        <v>102-905</v>
      </c>
      <c r="C555" s="2043">
        <v>0</v>
      </c>
      <c r="D555" s="2043">
        <v>101731</v>
      </c>
      <c r="E555">
        <v>1.0547</v>
      </c>
      <c r="F555" s="2043">
        <v>133290</v>
      </c>
    </row>
    <row r="556" spans="1:6" ht="14.5">
      <c r="A556" t="s">
        <v>5079</v>
      </c>
      <c r="B556" s="380" t="str">
        <f t="shared" si="8"/>
        <v>102-906</v>
      </c>
      <c r="C556" s="2043">
        <v>0</v>
      </c>
      <c r="D556" s="2043">
        <v>937450</v>
      </c>
      <c r="E556">
        <v>0.87470000000000003</v>
      </c>
      <c r="F556" s="2043">
        <v>799000</v>
      </c>
    </row>
    <row r="557" spans="1:6" ht="14.5">
      <c r="A557" t="s">
        <v>5080</v>
      </c>
      <c r="B557" s="380" t="str">
        <f t="shared" si="8"/>
        <v>103-901</v>
      </c>
      <c r="C557" s="2043">
        <v>0</v>
      </c>
      <c r="D557" s="2043">
        <v>102561</v>
      </c>
      <c r="E557">
        <v>0.96640000000000004</v>
      </c>
      <c r="F557" s="2043">
        <v>321251</v>
      </c>
    </row>
    <row r="558" spans="1:6" ht="14.5">
      <c r="A558" t="s">
        <v>5081</v>
      </c>
      <c r="B558" s="380" t="str">
        <f t="shared" si="8"/>
        <v>103-902</v>
      </c>
      <c r="C558" s="2043">
        <v>0</v>
      </c>
      <c r="D558" s="2043">
        <v>230173</v>
      </c>
      <c r="E558">
        <v>0.8972</v>
      </c>
      <c r="F558" s="2043">
        <v>484197</v>
      </c>
    </row>
    <row r="559" spans="1:6" ht="14.5">
      <c r="A559" t="s">
        <v>3029</v>
      </c>
      <c r="B559" s="380" t="str">
        <f t="shared" si="8"/>
        <v>104-901</v>
      </c>
      <c r="C559" s="2043">
        <v>84034</v>
      </c>
      <c r="D559" s="2043">
        <v>605605</v>
      </c>
      <c r="E559">
        <v>0.96640000000000004</v>
      </c>
      <c r="F559" s="2043">
        <v>1985035</v>
      </c>
    </row>
    <row r="560" spans="1:6" ht="14.5">
      <c r="A560" t="s">
        <v>5813</v>
      </c>
      <c r="B560" s="380" t="str">
        <f t="shared" si="8"/>
        <v>104-903</v>
      </c>
      <c r="C560" s="2043">
        <v>0</v>
      </c>
      <c r="D560" s="2043">
        <v>0</v>
      </c>
      <c r="E560">
        <v>0.96300000000000008</v>
      </c>
      <c r="F560" s="2043">
        <v>0</v>
      </c>
    </row>
    <row r="561" spans="1:6" ht="14.5">
      <c r="A561" t="s">
        <v>5082</v>
      </c>
      <c r="B561" s="380" t="str">
        <f t="shared" si="8"/>
        <v>104-907</v>
      </c>
      <c r="C561" s="2043">
        <v>0</v>
      </c>
      <c r="D561" s="2043">
        <v>64486</v>
      </c>
      <c r="E561">
        <v>0.96640000000000004</v>
      </c>
      <c r="F561" s="2043">
        <v>521257</v>
      </c>
    </row>
    <row r="562" spans="1:6" ht="14.5">
      <c r="A562" t="s">
        <v>8040</v>
      </c>
      <c r="B562" s="380" t="str">
        <f t="shared" si="8"/>
        <v>105-801</v>
      </c>
      <c r="C562" s="2043">
        <v>0</v>
      </c>
      <c r="D562" s="2043">
        <v>0</v>
      </c>
      <c r="E562">
        <v>0</v>
      </c>
      <c r="F562" s="2043">
        <v>0</v>
      </c>
    </row>
    <row r="563" spans="1:6" ht="14.5">
      <c r="A563" t="s">
        <v>8041</v>
      </c>
      <c r="B563" s="380" t="str">
        <f t="shared" si="8"/>
        <v>105-802</v>
      </c>
      <c r="C563" s="2043">
        <v>0</v>
      </c>
      <c r="D563" s="2043">
        <v>0</v>
      </c>
      <c r="E563">
        <v>0</v>
      </c>
      <c r="F563" s="2043">
        <v>0</v>
      </c>
    </row>
    <row r="564" spans="1:6" ht="14.5">
      <c r="A564" t="s">
        <v>8042</v>
      </c>
      <c r="B564" s="380" t="str">
        <f t="shared" si="8"/>
        <v>105-803</v>
      </c>
      <c r="C564" s="2043">
        <v>0</v>
      </c>
      <c r="D564" s="2043">
        <v>0</v>
      </c>
      <c r="E564">
        <v>0</v>
      </c>
      <c r="F564" s="2043">
        <v>0</v>
      </c>
    </row>
    <row r="565" spans="1:6" ht="14.5">
      <c r="A565" t="s">
        <v>5083</v>
      </c>
      <c r="B565" s="380" t="str">
        <f t="shared" si="8"/>
        <v>105-902</v>
      </c>
      <c r="C565" s="2043">
        <v>0</v>
      </c>
      <c r="D565" s="2043">
        <v>8564209</v>
      </c>
      <c r="E565">
        <v>0.91720000000000002</v>
      </c>
      <c r="F565" s="2043">
        <v>18976261</v>
      </c>
    </row>
    <row r="566" spans="1:6" ht="14.5">
      <c r="A566" t="s">
        <v>3030</v>
      </c>
      <c r="B566" s="380" t="str">
        <f t="shared" si="8"/>
        <v>105-904</v>
      </c>
      <c r="C566" s="2043">
        <v>292817</v>
      </c>
      <c r="D566" s="2043">
        <v>7952671</v>
      </c>
      <c r="E566">
        <v>0.98320000000000007</v>
      </c>
      <c r="F566" s="2043">
        <v>22201463</v>
      </c>
    </row>
    <row r="567" spans="1:6" ht="14.5">
      <c r="A567" t="s">
        <v>5084</v>
      </c>
      <c r="B567" s="380" t="str">
        <f t="shared" si="8"/>
        <v>105-905</v>
      </c>
      <c r="C567" s="2043">
        <v>0</v>
      </c>
      <c r="D567" s="2043">
        <v>2728444</v>
      </c>
      <c r="E567">
        <v>0.95680000000000009</v>
      </c>
      <c r="F567" s="2043">
        <v>6753922</v>
      </c>
    </row>
    <row r="568" spans="1:6" ht="14.5">
      <c r="A568" t="s">
        <v>3031</v>
      </c>
      <c r="B568" s="380" t="str">
        <f t="shared" si="8"/>
        <v>105-906</v>
      </c>
      <c r="C568" s="2043">
        <v>5744982</v>
      </c>
      <c r="D568" s="2043">
        <v>22705975</v>
      </c>
      <c r="E568">
        <v>0.90600000000000003</v>
      </c>
      <c r="F568" s="2043">
        <v>48150576</v>
      </c>
    </row>
    <row r="569" spans="1:6" ht="14.5">
      <c r="A569" t="s">
        <v>5085</v>
      </c>
      <c r="B569" s="380" t="str">
        <f t="shared" si="8"/>
        <v>106-901</v>
      </c>
      <c r="C569" s="2043">
        <v>0</v>
      </c>
      <c r="D569" s="2043">
        <v>616100</v>
      </c>
      <c r="E569">
        <v>0.96640000000000004</v>
      </c>
      <c r="F569" s="2043">
        <v>2990548</v>
      </c>
    </row>
    <row r="570" spans="1:6" ht="14.5">
      <c r="A570" t="s">
        <v>5086</v>
      </c>
      <c r="B570" s="380" t="str">
        <f t="shared" si="8"/>
        <v>107-901</v>
      </c>
      <c r="C570" s="2043">
        <v>0</v>
      </c>
      <c r="D570" s="2043">
        <v>3377729</v>
      </c>
      <c r="E570">
        <v>0.9365</v>
      </c>
      <c r="F570" s="2043">
        <v>6299047</v>
      </c>
    </row>
    <row r="571" spans="1:6" ht="14.5">
      <c r="A571" t="s">
        <v>5087</v>
      </c>
      <c r="B571" s="380" t="str">
        <f t="shared" si="8"/>
        <v>107-902</v>
      </c>
      <c r="C571" s="2043">
        <v>619432</v>
      </c>
      <c r="D571" s="2043">
        <v>1416152</v>
      </c>
      <c r="E571">
        <v>0.99299999999999999</v>
      </c>
      <c r="F571" s="2043">
        <v>2189741</v>
      </c>
    </row>
    <row r="572" spans="1:6" ht="14.5">
      <c r="A572" t="s">
        <v>5088</v>
      </c>
      <c r="B572" s="380" t="str">
        <f t="shared" si="8"/>
        <v>107-904</v>
      </c>
      <c r="C572" s="2043">
        <v>0</v>
      </c>
      <c r="D572" s="2043">
        <v>268288</v>
      </c>
      <c r="E572">
        <v>1.0547</v>
      </c>
      <c r="F572" s="2043">
        <v>393691</v>
      </c>
    </row>
    <row r="573" spans="1:6" ht="14.5">
      <c r="A573" t="s">
        <v>5089</v>
      </c>
      <c r="B573" s="380" t="str">
        <f t="shared" si="8"/>
        <v>107-905</v>
      </c>
      <c r="C573" s="2043">
        <v>0</v>
      </c>
      <c r="D573" s="2043">
        <v>1083138</v>
      </c>
      <c r="E573">
        <v>0.9204</v>
      </c>
      <c r="F573" s="2043">
        <v>3079770</v>
      </c>
    </row>
    <row r="574" spans="1:6" ht="14.5">
      <c r="A574" t="s">
        <v>5090</v>
      </c>
      <c r="B574" s="380" t="str">
        <f t="shared" si="8"/>
        <v>107-906</v>
      </c>
      <c r="C574" s="2043">
        <v>0</v>
      </c>
      <c r="D574" s="2043">
        <v>920074</v>
      </c>
      <c r="E574">
        <v>0.95960000000000001</v>
      </c>
      <c r="F574" s="2043">
        <v>2161011</v>
      </c>
    </row>
    <row r="575" spans="1:6" ht="14.5">
      <c r="A575" t="s">
        <v>3032</v>
      </c>
      <c r="B575" s="380" t="str">
        <f t="shared" si="8"/>
        <v>107-907</v>
      </c>
      <c r="C575" s="2043">
        <v>0</v>
      </c>
      <c r="D575" s="2043">
        <v>87129</v>
      </c>
      <c r="E575">
        <v>0.96300000000000008</v>
      </c>
      <c r="F575" s="2043">
        <v>93440</v>
      </c>
    </row>
    <row r="576" spans="1:6" ht="14.5">
      <c r="A576" t="s">
        <v>4087</v>
      </c>
      <c r="B576" s="380" t="str">
        <f t="shared" si="8"/>
        <v>107-908</v>
      </c>
      <c r="C576" s="2043">
        <v>0</v>
      </c>
      <c r="D576" s="2043">
        <v>0</v>
      </c>
      <c r="E576">
        <v>0.88790000000000002</v>
      </c>
      <c r="F576" s="2043">
        <v>0</v>
      </c>
    </row>
    <row r="577" spans="1:6" ht="14.5">
      <c r="A577" t="s">
        <v>5091</v>
      </c>
      <c r="B577" s="380" t="str">
        <f t="shared" si="8"/>
        <v>107-910</v>
      </c>
      <c r="C577" s="2043">
        <v>0</v>
      </c>
      <c r="D577" s="2043">
        <v>504610</v>
      </c>
      <c r="E577">
        <v>0.9496</v>
      </c>
      <c r="F577" s="2043">
        <v>566469</v>
      </c>
    </row>
    <row r="578" spans="1:6" ht="14.5">
      <c r="A578" t="s">
        <v>8043</v>
      </c>
      <c r="B578" s="380" t="str">
        <f t="shared" si="8"/>
        <v>108-802</v>
      </c>
      <c r="C578" s="2043">
        <v>0</v>
      </c>
      <c r="D578" s="2043">
        <v>0</v>
      </c>
      <c r="E578">
        <v>0</v>
      </c>
      <c r="F578" s="2043">
        <v>0</v>
      </c>
    </row>
    <row r="579" spans="1:6" ht="14.5">
      <c r="A579" t="s">
        <v>8044</v>
      </c>
      <c r="B579" s="380" t="str">
        <f t="shared" si="8"/>
        <v>108-804</v>
      </c>
      <c r="C579" s="2043">
        <v>0</v>
      </c>
      <c r="D579" s="2043">
        <v>0</v>
      </c>
      <c r="E579">
        <v>0</v>
      </c>
      <c r="F579" s="2043">
        <v>0</v>
      </c>
    </row>
    <row r="580" spans="1:6" ht="14.5">
      <c r="A580" t="s">
        <v>8045</v>
      </c>
      <c r="B580" s="380" t="str">
        <f t="shared" ref="B580:B643" si="9">CONCATENATE(LEFT(RIGHT(CONCATENATE("000",A580),6),3),"-",(RIGHT(RIGHT(CONCATENATE("000",A580),6),3)))</f>
        <v>108-807</v>
      </c>
      <c r="C580" s="2043">
        <v>0</v>
      </c>
      <c r="D580" s="2043">
        <v>0</v>
      </c>
      <c r="E580">
        <v>0</v>
      </c>
      <c r="F580" s="2043">
        <v>0</v>
      </c>
    </row>
    <row r="581" spans="1:6" ht="14.5">
      <c r="A581" t="s">
        <v>8046</v>
      </c>
      <c r="B581" s="380" t="str">
        <f t="shared" si="9"/>
        <v>108-808</v>
      </c>
      <c r="C581" s="2043">
        <v>0</v>
      </c>
      <c r="D581" s="2043">
        <v>0</v>
      </c>
      <c r="E581">
        <v>0</v>
      </c>
      <c r="F581" s="2043">
        <v>0</v>
      </c>
    </row>
    <row r="582" spans="1:6" ht="14.5">
      <c r="A582" t="s">
        <v>8047</v>
      </c>
      <c r="B582" s="380" t="str">
        <f t="shared" si="9"/>
        <v>108-809</v>
      </c>
      <c r="C582" s="2043">
        <v>0</v>
      </c>
      <c r="D582" s="2043">
        <v>0</v>
      </c>
      <c r="E582">
        <v>0</v>
      </c>
      <c r="F582" s="2043">
        <v>0</v>
      </c>
    </row>
    <row r="583" spans="1:6" ht="14.5">
      <c r="A583" t="s">
        <v>3033</v>
      </c>
      <c r="B583" s="380" t="str">
        <f t="shared" si="9"/>
        <v>108-902</v>
      </c>
      <c r="C583" s="2043">
        <v>2119463</v>
      </c>
      <c r="D583" s="2043">
        <v>0</v>
      </c>
      <c r="E583">
        <v>0.99140000000000006</v>
      </c>
      <c r="F583" s="2043">
        <v>2310592</v>
      </c>
    </row>
    <row r="584" spans="1:6" ht="14.5">
      <c r="A584" t="s">
        <v>3034</v>
      </c>
      <c r="B584" s="380" t="str">
        <f t="shared" si="9"/>
        <v>108-903</v>
      </c>
      <c r="C584" s="2043">
        <v>981971</v>
      </c>
      <c r="D584" s="2043">
        <v>38899</v>
      </c>
      <c r="E584">
        <v>1.0325</v>
      </c>
      <c r="F584" s="2043">
        <v>841469</v>
      </c>
    </row>
    <row r="585" spans="1:6" ht="14.5">
      <c r="A585" t="s">
        <v>3035</v>
      </c>
      <c r="B585" s="380" t="str">
        <f t="shared" si="9"/>
        <v>108-904</v>
      </c>
      <c r="C585" s="2043">
        <v>6519966</v>
      </c>
      <c r="D585" s="2043">
        <v>49629</v>
      </c>
      <c r="E585">
        <v>1.0524</v>
      </c>
      <c r="F585" s="2043">
        <v>6400498</v>
      </c>
    </row>
    <row r="586" spans="1:6" ht="14.5">
      <c r="A586" t="s">
        <v>3036</v>
      </c>
      <c r="B586" s="380" t="str">
        <f t="shared" si="9"/>
        <v>108-905</v>
      </c>
      <c r="C586" s="2043">
        <v>1231601</v>
      </c>
      <c r="D586" s="2043">
        <v>386322</v>
      </c>
      <c r="E586">
        <v>1.0109000000000001</v>
      </c>
      <c r="F586" s="2043">
        <v>1563768</v>
      </c>
    </row>
    <row r="587" spans="1:6" ht="14.5">
      <c r="A587" t="s">
        <v>3037</v>
      </c>
      <c r="B587" s="380" t="str">
        <f t="shared" si="9"/>
        <v>108-906</v>
      </c>
      <c r="C587" s="2043">
        <v>0</v>
      </c>
      <c r="D587" s="2043">
        <v>45829</v>
      </c>
      <c r="E587">
        <v>1.0450000000000002</v>
      </c>
      <c r="F587" s="2043">
        <v>7228847</v>
      </c>
    </row>
    <row r="588" spans="1:6" ht="14.5">
      <c r="A588" t="s">
        <v>3038</v>
      </c>
      <c r="B588" s="380" t="str">
        <f t="shared" si="9"/>
        <v>108-907</v>
      </c>
      <c r="C588" s="2043">
        <v>1579357</v>
      </c>
      <c r="D588" s="2043">
        <v>546649</v>
      </c>
      <c r="E588">
        <v>1.0119</v>
      </c>
      <c r="F588" s="2043">
        <v>2055261</v>
      </c>
    </row>
    <row r="589" spans="1:6" ht="14.5">
      <c r="A589" t="s">
        <v>3039</v>
      </c>
      <c r="B589" s="380" t="str">
        <f t="shared" si="9"/>
        <v>108-908</v>
      </c>
      <c r="C589" s="2043">
        <v>4353793</v>
      </c>
      <c r="D589" s="2043">
        <v>0</v>
      </c>
      <c r="E589">
        <v>1.028</v>
      </c>
      <c r="F589" s="2043">
        <v>4007525</v>
      </c>
    </row>
    <row r="590" spans="1:6" ht="14.5">
      <c r="A590" t="s">
        <v>3040</v>
      </c>
      <c r="B590" s="380" t="str">
        <f t="shared" si="9"/>
        <v>108-909</v>
      </c>
      <c r="C590" s="2043">
        <v>9860095</v>
      </c>
      <c r="D590" s="2043">
        <v>1017199</v>
      </c>
      <c r="E590">
        <v>1.0507</v>
      </c>
      <c r="F590" s="2043">
        <v>11052139</v>
      </c>
    </row>
    <row r="591" spans="1:6" ht="14.5">
      <c r="A591" t="s">
        <v>3041</v>
      </c>
      <c r="B591" s="380" t="str">
        <f t="shared" si="9"/>
        <v>108-910</v>
      </c>
      <c r="C591" s="2043">
        <v>739589</v>
      </c>
      <c r="D591" s="2043">
        <v>48423</v>
      </c>
      <c r="E591">
        <v>0.91</v>
      </c>
      <c r="F591" s="2043">
        <v>670489</v>
      </c>
    </row>
    <row r="592" spans="1:6" ht="14.5">
      <c r="A592" t="s">
        <v>3042</v>
      </c>
      <c r="B592" s="380" t="str">
        <f t="shared" si="9"/>
        <v>108-911</v>
      </c>
      <c r="C592" s="2043">
        <v>254150</v>
      </c>
      <c r="D592" s="2043">
        <v>6301443</v>
      </c>
      <c r="E592">
        <v>1.0492000000000001</v>
      </c>
      <c r="F592" s="2043">
        <v>8058330</v>
      </c>
    </row>
    <row r="593" spans="1:6" ht="14.5">
      <c r="A593" t="s">
        <v>3043</v>
      </c>
      <c r="B593" s="380" t="str">
        <f t="shared" si="9"/>
        <v>108-912</v>
      </c>
      <c r="C593" s="2043">
        <v>9177595</v>
      </c>
      <c r="D593" s="2043">
        <v>8154</v>
      </c>
      <c r="E593">
        <v>1.0683</v>
      </c>
      <c r="F593" s="2043">
        <v>6474168</v>
      </c>
    </row>
    <row r="594" spans="1:6" ht="14.5">
      <c r="A594" t="s">
        <v>3044</v>
      </c>
      <c r="B594" s="380" t="str">
        <f t="shared" si="9"/>
        <v>108-913</v>
      </c>
      <c r="C594" s="2043">
        <v>1839089</v>
      </c>
      <c r="D594" s="2043">
        <v>0</v>
      </c>
      <c r="E594">
        <v>0.99890000000000001</v>
      </c>
      <c r="F594" s="2043">
        <v>515881</v>
      </c>
    </row>
    <row r="595" spans="1:6" ht="14.5">
      <c r="A595" t="s">
        <v>3045</v>
      </c>
      <c r="B595" s="380" t="str">
        <f t="shared" si="9"/>
        <v>108-914</v>
      </c>
      <c r="C595" s="2043">
        <v>176649</v>
      </c>
      <c r="D595" s="2043">
        <v>166972</v>
      </c>
      <c r="E595">
        <v>1.0548</v>
      </c>
      <c r="F595" s="2043">
        <v>481922</v>
      </c>
    </row>
    <row r="596" spans="1:6" ht="14.5">
      <c r="A596" t="s">
        <v>3046</v>
      </c>
      <c r="B596" s="380" t="str">
        <f t="shared" si="9"/>
        <v>108-915</v>
      </c>
      <c r="C596" s="2043">
        <v>304868</v>
      </c>
      <c r="D596" s="2043">
        <v>184697</v>
      </c>
      <c r="E596">
        <v>0.95640000000000003</v>
      </c>
      <c r="F596" s="2043">
        <v>399438</v>
      </c>
    </row>
    <row r="597" spans="1:6" ht="14.5">
      <c r="A597" t="s">
        <v>3047</v>
      </c>
      <c r="B597" s="380" t="str">
        <f t="shared" si="9"/>
        <v>108-916</v>
      </c>
      <c r="C597" s="2043">
        <v>1851677</v>
      </c>
      <c r="D597" s="2043">
        <v>65470</v>
      </c>
      <c r="E597">
        <v>1.0084</v>
      </c>
      <c r="F597" s="2043">
        <v>1948421</v>
      </c>
    </row>
    <row r="598" spans="1:6" ht="14.5">
      <c r="A598" t="s">
        <v>8509</v>
      </c>
      <c r="B598" s="380" t="str">
        <f t="shared" si="9"/>
        <v>108-950</v>
      </c>
      <c r="C598" s="2043">
        <v>0</v>
      </c>
      <c r="D598" s="2043">
        <v>0</v>
      </c>
      <c r="E598">
        <v>0</v>
      </c>
      <c r="F598" s="2043">
        <v>0</v>
      </c>
    </row>
    <row r="599" spans="1:6" ht="14.5">
      <c r="A599" t="s">
        <v>3048</v>
      </c>
      <c r="B599" s="380" t="str">
        <f t="shared" si="9"/>
        <v>109-901</v>
      </c>
      <c r="C599" s="2043">
        <v>75208</v>
      </c>
      <c r="D599" s="2043">
        <v>218888</v>
      </c>
      <c r="E599">
        <v>0.99450000000000005</v>
      </c>
      <c r="F599" s="2043">
        <v>299402</v>
      </c>
    </row>
    <row r="600" spans="1:6" ht="14.5">
      <c r="A600" t="s">
        <v>3049</v>
      </c>
      <c r="B600" s="380" t="str">
        <f t="shared" si="9"/>
        <v>109-902</v>
      </c>
      <c r="C600" s="2043">
        <v>67540</v>
      </c>
      <c r="D600" s="2043">
        <v>80105</v>
      </c>
      <c r="E600">
        <v>0.98560000000000003</v>
      </c>
      <c r="F600" s="2043">
        <v>150272</v>
      </c>
    </row>
    <row r="601" spans="1:6" ht="14.5">
      <c r="A601" t="s">
        <v>4185</v>
      </c>
      <c r="B601" s="380" t="str">
        <f t="shared" si="9"/>
        <v>109-903</v>
      </c>
      <c r="C601" s="2043">
        <v>0</v>
      </c>
      <c r="D601" s="2043">
        <v>100501</v>
      </c>
      <c r="E601">
        <v>1.0547</v>
      </c>
      <c r="F601" s="2043">
        <v>102544</v>
      </c>
    </row>
    <row r="602" spans="1:6" ht="14.5">
      <c r="A602" t="s">
        <v>3050</v>
      </c>
      <c r="B602" s="380" t="str">
        <f t="shared" si="9"/>
        <v>109-904</v>
      </c>
      <c r="C602" s="2043">
        <v>822244</v>
      </c>
      <c r="D602" s="2043">
        <v>596294</v>
      </c>
      <c r="E602">
        <v>1.0417000000000001</v>
      </c>
      <c r="F602" s="2043">
        <v>3396321</v>
      </c>
    </row>
    <row r="603" spans="1:6" ht="14.5">
      <c r="A603" t="s">
        <v>3051</v>
      </c>
      <c r="B603" s="380" t="str">
        <f t="shared" si="9"/>
        <v>109-905</v>
      </c>
      <c r="C603" s="2043">
        <v>233868</v>
      </c>
      <c r="D603" s="2043">
        <v>237335</v>
      </c>
      <c r="E603">
        <v>0.98930000000000007</v>
      </c>
      <c r="F603" s="2043">
        <v>445536</v>
      </c>
    </row>
    <row r="604" spans="1:6" ht="14.5">
      <c r="A604" t="s">
        <v>3052</v>
      </c>
      <c r="B604" s="380" t="str">
        <f t="shared" si="9"/>
        <v>109-907</v>
      </c>
      <c r="C604" s="2043">
        <v>261767</v>
      </c>
      <c r="D604" s="2043">
        <v>458045</v>
      </c>
      <c r="E604">
        <v>1.0268000000000002</v>
      </c>
      <c r="F604" s="2043">
        <v>733321</v>
      </c>
    </row>
    <row r="605" spans="1:6" ht="14.5">
      <c r="A605" t="s">
        <v>3053</v>
      </c>
      <c r="B605" s="380" t="str">
        <f t="shared" si="9"/>
        <v>109-908</v>
      </c>
      <c r="C605" s="2043">
        <v>31431</v>
      </c>
      <c r="D605" s="2043">
        <v>0</v>
      </c>
      <c r="E605">
        <v>1.0547</v>
      </c>
      <c r="F605" s="2043">
        <v>32490</v>
      </c>
    </row>
    <row r="606" spans="1:6" ht="14.5">
      <c r="A606" t="s">
        <v>3054</v>
      </c>
      <c r="B606" s="380" t="str">
        <f t="shared" si="9"/>
        <v>109-910</v>
      </c>
      <c r="C606" s="2043">
        <v>23005</v>
      </c>
      <c r="D606" s="2043">
        <v>5253</v>
      </c>
      <c r="E606">
        <v>1.0035000000000001</v>
      </c>
      <c r="F606" s="2043">
        <v>25521</v>
      </c>
    </row>
    <row r="607" spans="1:6" ht="14.5">
      <c r="A607" t="s">
        <v>5092</v>
      </c>
      <c r="B607" s="380" t="str">
        <f t="shared" si="9"/>
        <v>109-911</v>
      </c>
      <c r="C607" s="2043">
        <v>0</v>
      </c>
      <c r="D607" s="2043">
        <v>1550290</v>
      </c>
      <c r="E607">
        <v>1.0381</v>
      </c>
      <c r="F607" s="2043">
        <v>2766896</v>
      </c>
    </row>
    <row r="608" spans="1:6" ht="14.5">
      <c r="A608" t="s">
        <v>3055</v>
      </c>
      <c r="B608" s="380" t="str">
        <f t="shared" si="9"/>
        <v>109-912</v>
      </c>
      <c r="C608" s="2043">
        <v>61616</v>
      </c>
      <c r="D608" s="2043">
        <v>93576</v>
      </c>
      <c r="E608">
        <v>1.0547</v>
      </c>
      <c r="F608" s="2043">
        <v>212378</v>
      </c>
    </row>
    <row r="609" spans="1:6" ht="14.5">
      <c r="A609" t="s">
        <v>4203</v>
      </c>
      <c r="B609" s="380" t="str">
        <f t="shared" si="9"/>
        <v>109-913</v>
      </c>
      <c r="C609" s="2043">
        <v>0</v>
      </c>
      <c r="D609" s="2043">
        <v>190200</v>
      </c>
      <c r="E609">
        <v>1.0209000000000001</v>
      </c>
      <c r="F609" s="2043">
        <v>666663</v>
      </c>
    </row>
    <row r="610" spans="1:6" ht="14.5">
      <c r="A610" t="s">
        <v>4205</v>
      </c>
      <c r="B610" s="380" t="str">
        <f t="shared" si="9"/>
        <v>109-914</v>
      </c>
      <c r="C610" s="2043">
        <v>0</v>
      </c>
      <c r="D610" s="2043">
        <v>0</v>
      </c>
      <c r="E610">
        <v>0.96300000000000008</v>
      </c>
      <c r="F610" s="2043">
        <v>0</v>
      </c>
    </row>
    <row r="611" spans="1:6" ht="14.5">
      <c r="A611" t="s">
        <v>5814</v>
      </c>
      <c r="B611" s="380" t="str">
        <f t="shared" si="9"/>
        <v>110-901</v>
      </c>
      <c r="C611" s="2043">
        <v>0</v>
      </c>
      <c r="D611" s="2043">
        <v>0</v>
      </c>
      <c r="E611">
        <v>1.0090000000000001</v>
      </c>
      <c r="F611" s="2043">
        <v>0</v>
      </c>
    </row>
    <row r="612" spans="1:6" ht="14.5">
      <c r="A612" t="s">
        <v>5093</v>
      </c>
      <c r="B612" s="380" t="str">
        <f t="shared" si="9"/>
        <v>110-902</v>
      </c>
      <c r="C612" s="2043">
        <v>0</v>
      </c>
      <c r="D612" s="2043">
        <v>2963624</v>
      </c>
      <c r="E612">
        <v>0.97640000000000005</v>
      </c>
      <c r="F612" s="2043">
        <v>4045683</v>
      </c>
    </row>
    <row r="613" spans="1:6" ht="14.5">
      <c r="A613" t="s">
        <v>5094</v>
      </c>
      <c r="B613" s="380" t="str">
        <f t="shared" si="9"/>
        <v>110-905</v>
      </c>
      <c r="C613" s="2043">
        <v>0</v>
      </c>
      <c r="D613" s="2043">
        <v>183221</v>
      </c>
      <c r="E613">
        <v>1.0547</v>
      </c>
      <c r="F613" s="2043">
        <v>481596</v>
      </c>
    </row>
    <row r="614" spans="1:6" ht="14.5">
      <c r="A614" t="s">
        <v>3056</v>
      </c>
      <c r="B614" s="380" t="str">
        <f t="shared" si="9"/>
        <v>110-906</v>
      </c>
      <c r="C614" s="2043">
        <v>33987</v>
      </c>
      <c r="D614" s="2043">
        <v>29917</v>
      </c>
      <c r="E614">
        <v>1.0464</v>
      </c>
      <c r="F614" s="2043">
        <v>0</v>
      </c>
    </row>
    <row r="615" spans="1:6" ht="14.5">
      <c r="A615" t="s">
        <v>5815</v>
      </c>
      <c r="B615" s="380" t="str">
        <f t="shared" si="9"/>
        <v>110-907</v>
      </c>
      <c r="C615" s="2043">
        <v>0</v>
      </c>
      <c r="D615" s="2043">
        <v>0</v>
      </c>
      <c r="E615">
        <v>0.96640000000000004</v>
      </c>
      <c r="F615" s="2043">
        <v>0</v>
      </c>
    </row>
    <row r="616" spans="1:6" ht="14.5">
      <c r="A616" t="s">
        <v>5816</v>
      </c>
      <c r="B616" s="380" t="str">
        <f t="shared" si="9"/>
        <v>110-908</v>
      </c>
      <c r="C616" s="2043">
        <v>0</v>
      </c>
      <c r="D616" s="2043">
        <v>0</v>
      </c>
      <c r="E616">
        <v>1.0547</v>
      </c>
      <c r="F616" s="2043">
        <v>135530</v>
      </c>
    </row>
    <row r="617" spans="1:6" ht="14.5">
      <c r="A617" t="s">
        <v>8048</v>
      </c>
      <c r="B617" s="380" t="str">
        <f t="shared" si="9"/>
        <v>111-801</v>
      </c>
      <c r="C617" s="2043">
        <v>0</v>
      </c>
      <c r="D617" s="2043">
        <v>0</v>
      </c>
      <c r="E617">
        <v>0</v>
      </c>
      <c r="F617" s="2043">
        <v>0</v>
      </c>
    </row>
    <row r="618" spans="1:6" ht="14.5">
      <c r="A618" t="s">
        <v>5095</v>
      </c>
      <c r="B618" s="380" t="str">
        <f t="shared" si="9"/>
        <v>111-901</v>
      </c>
      <c r="C618" s="2043">
        <v>0</v>
      </c>
      <c r="D618" s="2043">
        <v>4651198</v>
      </c>
      <c r="E618">
        <v>0.96640000000000004</v>
      </c>
      <c r="F618" s="2043">
        <v>9639507</v>
      </c>
    </row>
    <row r="619" spans="1:6" ht="14.5">
      <c r="A619" t="s">
        <v>3057</v>
      </c>
      <c r="B619" s="380" t="str">
        <f t="shared" si="9"/>
        <v>111-902</v>
      </c>
      <c r="C619" s="2043">
        <v>185378</v>
      </c>
      <c r="D619" s="2043">
        <v>355112</v>
      </c>
      <c r="E619">
        <v>0.96300000000000008</v>
      </c>
      <c r="F619" s="2043">
        <v>715625</v>
      </c>
    </row>
    <row r="620" spans="1:6" ht="14.5">
      <c r="A620" t="s">
        <v>3058</v>
      </c>
      <c r="B620" s="380" t="str">
        <f t="shared" si="9"/>
        <v>111-903</v>
      </c>
      <c r="C620" s="2043">
        <v>142382</v>
      </c>
      <c r="D620" s="2043">
        <v>434637</v>
      </c>
      <c r="E620">
        <v>0.96</v>
      </c>
      <c r="F620" s="2043">
        <v>952899</v>
      </c>
    </row>
    <row r="621" spans="1:6" ht="14.5">
      <c r="A621" t="s">
        <v>3059</v>
      </c>
      <c r="B621" s="380" t="str">
        <f t="shared" si="9"/>
        <v>112-901</v>
      </c>
      <c r="C621" s="2043">
        <v>922406</v>
      </c>
      <c r="D621" s="2043">
        <v>2292425</v>
      </c>
      <c r="E621">
        <v>0.94090000000000007</v>
      </c>
      <c r="F621" s="2043">
        <v>4561971</v>
      </c>
    </row>
    <row r="622" spans="1:6" ht="14.5">
      <c r="A622" t="s">
        <v>3060</v>
      </c>
      <c r="B622" s="380" t="str">
        <f t="shared" si="9"/>
        <v>112-905</v>
      </c>
      <c r="C622" s="2043">
        <v>60946</v>
      </c>
      <c r="D622" s="2043">
        <v>33710</v>
      </c>
      <c r="E622">
        <v>1.0194000000000001</v>
      </c>
      <c r="F622" s="2043">
        <v>114784</v>
      </c>
    </row>
    <row r="623" spans="1:6" ht="14.5">
      <c r="A623" t="s">
        <v>5096</v>
      </c>
      <c r="B623" s="380" t="str">
        <f t="shared" si="9"/>
        <v>112-906</v>
      </c>
      <c r="C623" s="2043">
        <v>0</v>
      </c>
      <c r="D623" s="2043">
        <v>96814</v>
      </c>
      <c r="E623">
        <v>1.0547</v>
      </c>
      <c r="F623" s="2043">
        <v>202401</v>
      </c>
    </row>
    <row r="624" spans="1:6" ht="14.5">
      <c r="A624" t="s">
        <v>3061</v>
      </c>
      <c r="B624" s="380" t="str">
        <f t="shared" si="9"/>
        <v>112-907</v>
      </c>
      <c r="C624" s="2043">
        <v>88816</v>
      </c>
      <c r="D624" s="2043">
        <v>2811</v>
      </c>
      <c r="E624">
        <v>1.0447</v>
      </c>
      <c r="F624" s="2043">
        <v>196772</v>
      </c>
    </row>
    <row r="625" spans="1:6" ht="14.5">
      <c r="A625" t="s">
        <v>5817</v>
      </c>
      <c r="B625" s="380" t="str">
        <f t="shared" si="9"/>
        <v>112-908</v>
      </c>
      <c r="C625" s="2043">
        <v>0</v>
      </c>
      <c r="D625" s="2043">
        <v>0</v>
      </c>
      <c r="E625">
        <v>0.96640000000000004</v>
      </c>
      <c r="F625" s="2043">
        <v>0</v>
      </c>
    </row>
    <row r="626" spans="1:6" ht="14.5">
      <c r="A626" t="s">
        <v>5818</v>
      </c>
      <c r="B626" s="380" t="str">
        <f t="shared" si="9"/>
        <v>112-909</v>
      </c>
      <c r="C626" s="2043">
        <v>0</v>
      </c>
      <c r="D626" s="2043">
        <v>0</v>
      </c>
      <c r="E626">
        <v>0.92549999999999999</v>
      </c>
      <c r="F626" s="2043">
        <v>0</v>
      </c>
    </row>
    <row r="627" spans="1:6" ht="14.5">
      <c r="A627" t="s">
        <v>3062</v>
      </c>
      <c r="B627" s="380" t="str">
        <f t="shared" si="9"/>
        <v>112-910</v>
      </c>
      <c r="C627" s="2043">
        <v>68391</v>
      </c>
      <c r="D627" s="2043">
        <v>0</v>
      </c>
      <c r="E627">
        <v>1.0547</v>
      </c>
      <c r="F627" s="2043">
        <v>78315</v>
      </c>
    </row>
    <row r="628" spans="1:6" ht="14.5">
      <c r="A628" t="s">
        <v>5097</v>
      </c>
      <c r="B628" s="380" t="str">
        <f t="shared" si="9"/>
        <v>113-901</v>
      </c>
      <c r="C628" s="2043">
        <v>0</v>
      </c>
      <c r="D628" s="2043">
        <v>975708</v>
      </c>
      <c r="E628">
        <v>0.9617</v>
      </c>
      <c r="F628" s="2043">
        <v>1176637</v>
      </c>
    </row>
    <row r="629" spans="1:6" ht="14.5">
      <c r="A629" t="s">
        <v>5098</v>
      </c>
      <c r="B629" s="380" t="str">
        <f t="shared" si="9"/>
        <v>113-902</v>
      </c>
      <c r="C629" s="2043">
        <v>0</v>
      </c>
      <c r="D629" s="2043">
        <v>611530</v>
      </c>
      <c r="E629">
        <v>0.90290000000000004</v>
      </c>
      <c r="F629" s="2043">
        <v>806872</v>
      </c>
    </row>
    <row r="630" spans="1:6" ht="14.5">
      <c r="A630" t="s">
        <v>5819</v>
      </c>
      <c r="B630" s="380" t="str">
        <f t="shared" si="9"/>
        <v>113-903</v>
      </c>
      <c r="C630" s="2043">
        <v>0</v>
      </c>
      <c r="D630" s="2043">
        <v>0</v>
      </c>
      <c r="E630">
        <v>0.96640000000000004</v>
      </c>
      <c r="F630" s="2043">
        <v>431961</v>
      </c>
    </row>
    <row r="631" spans="1:6" ht="14.5">
      <c r="A631" t="s">
        <v>5099</v>
      </c>
      <c r="B631" s="380" t="str">
        <f t="shared" si="9"/>
        <v>113-905</v>
      </c>
      <c r="C631" s="2043">
        <v>0</v>
      </c>
      <c r="D631" s="2043">
        <v>245000</v>
      </c>
      <c r="E631">
        <v>0.96640000000000004</v>
      </c>
      <c r="F631" s="2043">
        <v>326408</v>
      </c>
    </row>
    <row r="632" spans="1:6" ht="14.5">
      <c r="A632" t="s">
        <v>5820</v>
      </c>
      <c r="B632" s="380" t="str">
        <f t="shared" si="9"/>
        <v>113-906</v>
      </c>
      <c r="C632" s="2043">
        <v>0</v>
      </c>
      <c r="D632" s="2043">
        <v>0</v>
      </c>
      <c r="E632">
        <v>0.89600000000000002</v>
      </c>
      <c r="F632" s="2043">
        <v>0</v>
      </c>
    </row>
    <row r="633" spans="1:6" ht="14.5">
      <c r="A633" t="s">
        <v>3063</v>
      </c>
      <c r="B633" s="380" t="str">
        <f t="shared" si="9"/>
        <v>114-901</v>
      </c>
      <c r="C633" s="2043">
        <v>889573</v>
      </c>
      <c r="D633" s="2043">
        <v>2553827</v>
      </c>
      <c r="E633">
        <v>0.96640000000000004</v>
      </c>
      <c r="F633" s="2043">
        <v>4240360</v>
      </c>
    </row>
    <row r="634" spans="1:6" ht="14.5">
      <c r="A634" t="s">
        <v>5100</v>
      </c>
      <c r="B634" s="380" t="str">
        <f t="shared" si="9"/>
        <v>114-902</v>
      </c>
      <c r="C634" s="2043">
        <v>0</v>
      </c>
      <c r="D634" s="2043">
        <v>1103494</v>
      </c>
      <c r="E634">
        <v>0.90400000000000003</v>
      </c>
      <c r="F634" s="2043">
        <v>1815786</v>
      </c>
    </row>
    <row r="635" spans="1:6" ht="14.5">
      <c r="A635" t="s">
        <v>5101</v>
      </c>
      <c r="B635" s="380" t="str">
        <f t="shared" si="9"/>
        <v>114-904</v>
      </c>
      <c r="C635" s="2043">
        <v>0</v>
      </c>
      <c r="D635" s="2043">
        <v>856929</v>
      </c>
      <c r="E635">
        <v>0.96640000000000004</v>
      </c>
      <c r="F635" s="2043">
        <v>2112795</v>
      </c>
    </row>
    <row r="636" spans="1:6" ht="14.5">
      <c r="A636" t="s">
        <v>5102</v>
      </c>
      <c r="B636" s="380" t="str">
        <f t="shared" si="9"/>
        <v>115-901</v>
      </c>
      <c r="C636" s="2043">
        <v>0</v>
      </c>
      <c r="D636" s="2043">
        <v>45411</v>
      </c>
      <c r="E636">
        <v>0.97</v>
      </c>
      <c r="F636" s="2043">
        <v>111237</v>
      </c>
    </row>
    <row r="637" spans="1:6" ht="14.5">
      <c r="A637" t="s">
        <v>5821</v>
      </c>
      <c r="B637" s="380" t="str">
        <f t="shared" si="9"/>
        <v>115-902</v>
      </c>
      <c r="C637" s="2043">
        <v>0</v>
      </c>
      <c r="D637" s="2043">
        <v>0</v>
      </c>
      <c r="E637">
        <v>0.97640000000000005</v>
      </c>
      <c r="F637" s="2043">
        <v>633881</v>
      </c>
    </row>
    <row r="638" spans="1:6" ht="14.5">
      <c r="A638" t="s">
        <v>5822</v>
      </c>
      <c r="B638" s="380" t="str">
        <f t="shared" si="9"/>
        <v>115-903</v>
      </c>
      <c r="C638" s="2043">
        <v>0</v>
      </c>
      <c r="D638" s="2043">
        <v>0</v>
      </c>
      <c r="E638">
        <v>0.96640000000000004</v>
      </c>
      <c r="F638" s="2043">
        <v>0</v>
      </c>
    </row>
    <row r="639" spans="1:6" ht="14.5">
      <c r="A639" t="s">
        <v>3064</v>
      </c>
      <c r="B639" s="380" t="str">
        <f t="shared" si="9"/>
        <v>116-901</v>
      </c>
      <c r="C639" s="2043">
        <v>845013</v>
      </c>
      <c r="D639" s="2043">
        <v>883027</v>
      </c>
      <c r="E639">
        <v>0.97160000000000002</v>
      </c>
      <c r="F639" s="2043">
        <v>1940036</v>
      </c>
    </row>
    <row r="640" spans="1:6" ht="14.5">
      <c r="A640" t="s">
        <v>3065</v>
      </c>
      <c r="B640" s="380" t="str">
        <f t="shared" si="9"/>
        <v>116-902</v>
      </c>
      <c r="C640" s="2043">
        <v>108778</v>
      </c>
      <c r="D640" s="2043">
        <v>292062</v>
      </c>
      <c r="E640">
        <v>0.96300000000000008</v>
      </c>
      <c r="F640" s="2043">
        <v>379422</v>
      </c>
    </row>
    <row r="641" spans="1:6" ht="14.5">
      <c r="A641" t="s">
        <v>3066</v>
      </c>
      <c r="B641" s="380" t="str">
        <f t="shared" si="9"/>
        <v>116-903</v>
      </c>
      <c r="C641" s="2043">
        <v>568204</v>
      </c>
      <c r="D641" s="2043">
        <v>1294057</v>
      </c>
      <c r="E641">
        <v>1.0109000000000001</v>
      </c>
      <c r="F641" s="2043">
        <v>1935511</v>
      </c>
    </row>
    <row r="642" spans="1:6" ht="14.5">
      <c r="A642" t="s">
        <v>5103</v>
      </c>
      <c r="B642" s="380" t="str">
        <f t="shared" si="9"/>
        <v>116-905</v>
      </c>
      <c r="C642" s="2043">
        <v>0</v>
      </c>
      <c r="D642" s="2043">
        <v>5017495</v>
      </c>
      <c r="E642">
        <v>0.93020000000000003</v>
      </c>
      <c r="F642" s="2043">
        <v>6396953</v>
      </c>
    </row>
    <row r="643" spans="1:6" ht="14.5">
      <c r="A643" t="s">
        <v>3067</v>
      </c>
      <c r="B643" s="380" t="str">
        <f t="shared" si="9"/>
        <v>116-906</v>
      </c>
      <c r="C643" s="2043">
        <v>179503</v>
      </c>
      <c r="D643" s="2043">
        <v>366192</v>
      </c>
      <c r="E643">
        <v>0.85680000000000001</v>
      </c>
      <c r="F643" s="2043">
        <v>1135158</v>
      </c>
    </row>
    <row r="644" spans="1:6" ht="14.5">
      <c r="A644" t="s">
        <v>3068</v>
      </c>
      <c r="B644" s="380" t="str">
        <f t="shared" ref="B644:B707" si="10">CONCATENATE(LEFT(RIGHT(CONCATENATE("000",A644),6),3),"-",(RIGHT(RIGHT(CONCATENATE("000",A644),6),3)))</f>
        <v>116-908</v>
      </c>
      <c r="C644" s="2043">
        <v>1252556</v>
      </c>
      <c r="D644" s="2043">
        <v>324944</v>
      </c>
      <c r="E644">
        <v>0.98270000000000002</v>
      </c>
      <c r="F644" s="2043">
        <v>1053418</v>
      </c>
    </row>
    <row r="645" spans="1:6" ht="14.5">
      <c r="A645" t="s">
        <v>3069</v>
      </c>
      <c r="B645" s="380" t="str">
        <f t="shared" si="10"/>
        <v>116-909</v>
      </c>
      <c r="C645" s="2043">
        <v>94988</v>
      </c>
      <c r="D645" s="2043">
        <v>215922</v>
      </c>
      <c r="E645">
        <v>0.94070000000000009</v>
      </c>
      <c r="F645" s="2043">
        <v>322952</v>
      </c>
    </row>
    <row r="646" spans="1:6" ht="14.5">
      <c r="A646" t="s">
        <v>5104</v>
      </c>
      <c r="B646" s="380" t="str">
        <f t="shared" si="10"/>
        <v>116-910</v>
      </c>
      <c r="C646" s="2043">
        <v>0</v>
      </c>
      <c r="D646" s="2043">
        <v>0</v>
      </c>
      <c r="E646">
        <v>0.88780000000000003</v>
      </c>
      <c r="F646" s="2043">
        <v>0</v>
      </c>
    </row>
    <row r="647" spans="1:6" ht="14.5">
      <c r="A647" t="s">
        <v>3070</v>
      </c>
      <c r="B647" s="380" t="str">
        <f t="shared" si="10"/>
        <v>116-915</v>
      </c>
      <c r="C647" s="2043">
        <v>144241</v>
      </c>
      <c r="D647" s="2043">
        <v>733930</v>
      </c>
      <c r="E647">
        <v>0.87470000000000003</v>
      </c>
      <c r="F647" s="2043">
        <v>745527</v>
      </c>
    </row>
    <row r="648" spans="1:6" ht="14.5">
      <c r="A648" t="s">
        <v>3071</v>
      </c>
      <c r="B648" s="380" t="str">
        <f t="shared" si="10"/>
        <v>116-916</v>
      </c>
      <c r="C648" s="2043">
        <v>18923</v>
      </c>
      <c r="D648" s="2043">
        <v>59770</v>
      </c>
      <c r="E648">
        <v>0.96300000000000008</v>
      </c>
      <c r="F648" s="2043">
        <v>92021</v>
      </c>
    </row>
    <row r="649" spans="1:6" ht="14.5">
      <c r="A649" t="s">
        <v>5105</v>
      </c>
      <c r="B649" s="380" t="str">
        <f t="shared" si="10"/>
        <v>117-901</v>
      </c>
      <c r="C649" s="2043">
        <v>0</v>
      </c>
      <c r="D649" s="2043">
        <v>2647803</v>
      </c>
      <c r="E649">
        <v>0.96640000000000004</v>
      </c>
      <c r="F649" s="2043">
        <v>3881520</v>
      </c>
    </row>
    <row r="650" spans="1:6" ht="14.5">
      <c r="A650" t="s">
        <v>5106</v>
      </c>
      <c r="B650" s="380" t="str">
        <f t="shared" si="10"/>
        <v>117-903</v>
      </c>
      <c r="C650" s="2043">
        <v>105540</v>
      </c>
      <c r="D650" s="2043">
        <v>207972</v>
      </c>
      <c r="E650">
        <v>1.0353000000000001</v>
      </c>
      <c r="F650" s="2043">
        <v>354726</v>
      </c>
    </row>
    <row r="651" spans="1:6" ht="14.5">
      <c r="A651" t="s">
        <v>5107</v>
      </c>
      <c r="B651" s="380" t="str">
        <f t="shared" si="10"/>
        <v>117-904</v>
      </c>
      <c r="C651" s="2043">
        <v>0</v>
      </c>
      <c r="D651" s="2043">
        <v>748112</v>
      </c>
      <c r="E651">
        <v>0.94720000000000004</v>
      </c>
      <c r="F651" s="2043">
        <v>3370398</v>
      </c>
    </row>
    <row r="652" spans="1:6" ht="14.5">
      <c r="A652" t="s">
        <v>5823</v>
      </c>
      <c r="B652" s="380" t="str">
        <f t="shared" si="10"/>
        <v>117-907</v>
      </c>
      <c r="C652" s="2043">
        <v>0</v>
      </c>
      <c r="D652" s="2043">
        <v>0</v>
      </c>
      <c r="E652">
        <v>1.0223</v>
      </c>
      <c r="F652" s="2043">
        <v>0</v>
      </c>
    </row>
    <row r="653" spans="1:6" ht="14.5">
      <c r="A653" t="s">
        <v>5108</v>
      </c>
      <c r="B653" s="380" t="str">
        <f t="shared" si="10"/>
        <v>118-902</v>
      </c>
      <c r="C653" s="2043">
        <v>0</v>
      </c>
      <c r="D653" s="2043">
        <v>0</v>
      </c>
      <c r="E653">
        <v>0.96640000000000004</v>
      </c>
      <c r="F653" s="2043">
        <v>2189548</v>
      </c>
    </row>
    <row r="654" spans="1:6" ht="14.5">
      <c r="A654" t="s">
        <v>5109</v>
      </c>
      <c r="B654" s="380" t="str">
        <f t="shared" si="10"/>
        <v>119-901</v>
      </c>
      <c r="C654" s="2043">
        <v>0</v>
      </c>
      <c r="D654" s="2043">
        <v>263814</v>
      </c>
      <c r="E654">
        <v>0.96640000000000004</v>
      </c>
      <c r="F654" s="2043">
        <v>957759</v>
      </c>
    </row>
    <row r="655" spans="1:6" ht="14.5">
      <c r="A655" t="s">
        <v>5110</v>
      </c>
      <c r="B655" s="380" t="str">
        <f t="shared" si="10"/>
        <v>119-902</v>
      </c>
      <c r="C655" s="2043">
        <v>0</v>
      </c>
      <c r="D655" s="2043">
        <v>1132277</v>
      </c>
      <c r="E655">
        <v>0.96640000000000004</v>
      </c>
      <c r="F655" s="2043">
        <v>3745193</v>
      </c>
    </row>
    <row r="656" spans="1:6" ht="14.5">
      <c r="A656" t="s">
        <v>5111</v>
      </c>
      <c r="B656" s="380" t="str">
        <f t="shared" si="10"/>
        <v>119-903</v>
      </c>
      <c r="C656" s="2043">
        <v>0</v>
      </c>
      <c r="D656" s="2043">
        <v>226101</v>
      </c>
      <c r="E656">
        <v>0.96660000000000001</v>
      </c>
      <c r="F656" s="2043">
        <v>576099</v>
      </c>
    </row>
    <row r="657" spans="1:6" ht="14.5">
      <c r="A657" t="s">
        <v>5112</v>
      </c>
      <c r="B657" s="380" t="str">
        <f t="shared" si="10"/>
        <v>120-901</v>
      </c>
      <c r="C657" s="2043">
        <v>0</v>
      </c>
      <c r="D657" s="2043">
        <v>1143338</v>
      </c>
      <c r="E657">
        <v>0.93140000000000001</v>
      </c>
      <c r="F657" s="2043">
        <v>1400590</v>
      </c>
    </row>
    <row r="658" spans="1:6" ht="14.5">
      <c r="A658" t="s">
        <v>3072</v>
      </c>
      <c r="B658" s="380" t="str">
        <f t="shared" si="10"/>
        <v>120-902</v>
      </c>
      <c r="C658" s="2043">
        <v>152500</v>
      </c>
      <c r="D658" s="2043">
        <v>652295</v>
      </c>
      <c r="E658">
        <v>0.9457000000000001</v>
      </c>
      <c r="F658" s="2043">
        <v>1315724</v>
      </c>
    </row>
    <row r="659" spans="1:6" ht="14.5">
      <c r="A659" t="s">
        <v>5113</v>
      </c>
      <c r="B659" s="380" t="str">
        <f t="shared" si="10"/>
        <v>120-905</v>
      </c>
      <c r="C659" s="2043">
        <v>0</v>
      </c>
      <c r="D659" s="2043">
        <v>1225277</v>
      </c>
      <c r="E659">
        <v>1.0028000000000001</v>
      </c>
      <c r="F659" s="2043">
        <v>2170944</v>
      </c>
    </row>
    <row r="660" spans="1:6" ht="14.5">
      <c r="A660" t="s">
        <v>5824</v>
      </c>
      <c r="B660" s="380" t="str">
        <f t="shared" si="10"/>
        <v>121-902</v>
      </c>
      <c r="C660" s="2043">
        <v>0</v>
      </c>
      <c r="D660" s="2043">
        <v>0</v>
      </c>
      <c r="E660">
        <v>0.96640000000000004</v>
      </c>
      <c r="F660" s="2043">
        <v>0</v>
      </c>
    </row>
    <row r="661" spans="1:6" ht="14.5">
      <c r="A661" t="s">
        <v>3073</v>
      </c>
      <c r="B661" s="380" t="str">
        <f t="shared" si="10"/>
        <v>121-903</v>
      </c>
      <c r="C661" s="2043">
        <v>513446</v>
      </c>
      <c r="D661" s="2043">
        <v>831675</v>
      </c>
      <c r="E661">
        <v>1.0516000000000001</v>
      </c>
      <c r="F661" s="2043">
        <v>1349976</v>
      </c>
    </row>
    <row r="662" spans="1:6" ht="14.5">
      <c r="A662" t="s">
        <v>3074</v>
      </c>
      <c r="B662" s="380" t="str">
        <f t="shared" si="10"/>
        <v>121-904</v>
      </c>
      <c r="C662" s="2043">
        <v>1184597</v>
      </c>
      <c r="D662" s="2043">
        <v>291355</v>
      </c>
      <c r="E662">
        <v>1.0547</v>
      </c>
      <c r="F662" s="2043">
        <v>1491478</v>
      </c>
    </row>
    <row r="663" spans="1:6" ht="14.5">
      <c r="A663" t="s">
        <v>3075</v>
      </c>
      <c r="B663" s="380" t="str">
        <f t="shared" si="10"/>
        <v>121-905</v>
      </c>
      <c r="C663" s="2043">
        <v>259430</v>
      </c>
      <c r="D663" s="2043">
        <v>694262</v>
      </c>
      <c r="E663">
        <v>0.96640000000000004</v>
      </c>
      <c r="F663" s="2043">
        <v>1068697</v>
      </c>
    </row>
    <row r="664" spans="1:6" ht="14.5">
      <c r="A664" t="s">
        <v>5114</v>
      </c>
      <c r="B664" s="380" t="str">
        <f t="shared" si="10"/>
        <v>121-906</v>
      </c>
      <c r="C664" s="2043">
        <v>0</v>
      </c>
      <c r="D664" s="2043">
        <v>228441</v>
      </c>
      <c r="E664">
        <v>1.0547</v>
      </c>
      <c r="F664" s="2043">
        <v>484650</v>
      </c>
    </row>
    <row r="665" spans="1:6" ht="14.5">
      <c r="A665" t="s">
        <v>5825</v>
      </c>
      <c r="B665" s="380" t="str">
        <f t="shared" si="10"/>
        <v>122-901</v>
      </c>
      <c r="C665" s="2043">
        <v>0</v>
      </c>
      <c r="D665" s="2043">
        <v>0</v>
      </c>
      <c r="E665">
        <v>1.0350000000000001</v>
      </c>
      <c r="F665" s="2043">
        <v>0</v>
      </c>
    </row>
    <row r="666" spans="1:6" ht="14.5">
      <c r="A666" t="s">
        <v>5826</v>
      </c>
      <c r="B666" s="380" t="str">
        <f t="shared" si="10"/>
        <v>122-902</v>
      </c>
      <c r="C666" s="2043">
        <v>0</v>
      </c>
      <c r="D666" s="2043">
        <v>0</v>
      </c>
      <c r="E666">
        <v>0.96640000000000004</v>
      </c>
      <c r="F666" s="2043">
        <v>0</v>
      </c>
    </row>
    <row r="667" spans="1:6" ht="14.5">
      <c r="A667" t="s">
        <v>8049</v>
      </c>
      <c r="B667" s="380" t="str">
        <f t="shared" si="10"/>
        <v>123-503</v>
      </c>
      <c r="C667" s="2043">
        <v>0</v>
      </c>
      <c r="D667" s="2043">
        <v>0</v>
      </c>
      <c r="E667">
        <v>0</v>
      </c>
      <c r="F667" s="2043">
        <v>0</v>
      </c>
    </row>
    <row r="668" spans="1:6" ht="14.5">
      <c r="A668" t="s">
        <v>8051</v>
      </c>
      <c r="B668" s="380" t="str">
        <f t="shared" si="10"/>
        <v>123-803</v>
      </c>
      <c r="C668" s="2043">
        <v>0</v>
      </c>
      <c r="D668" s="2043">
        <v>0</v>
      </c>
      <c r="E668">
        <v>0</v>
      </c>
      <c r="F668" s="2043">
        <v>0</v>
      </c>
    </row>
    <row r="669" spans="1:6" ht="14.5">
      <c r="A669" t="s">
        <v>8052</v>
      </c>
      <c r="B669" s="380" t="str">
        <f t="shared" si="10"/>
        <v>123-805</v>
      </c>
      <c r="C669" s="2043">
        <v>0</v>
      </c>
      <c r="D669" s="2043">
        <v>0</v>
      </c>
      <c r="E669">
        <v>0</v>
      </c>
      <c r="F669" s="2043">
        <v>0</v>
      </c>
    </row>
    <row r="670" spans="1:6" ht="14.5">
      <c r="A670" t="s">
        <v>8053</v>
      </c>
      <c r="B670" s="380" t="str">
        <f t="shared" si="10"/>
        <v>123-807</v>
      </c>
      <c r="C670" s="2043">
        <v>0</v>
      </c>
      <c r="D670" s="2043">
        <v>0</v>
      </c>
      <c r="E670">
        <v>0</v>
      </c>
      <c r="F670" s="2043">
        <v>0</v>
      </c>
    </row>
    <row r="671" spans="1:6" ht="14.5">
      <c r="A671" t="s">
        <v>3076</v>
      </c>
      <c r="B671" s="380" t="str">
        <f t="shared" si="10"/>
        <v>123-905</v>
      </c>
      <c r="C671" s="2043">
        <v>0</v>
      </c>
      <c r="D671" s="2043">
        <v>1563968</v>
      </c>
      <c r="E671">
        <v>0.91520000000000001</v>
      </c>
      <c r="F671" s="2043">
        <v>10991044</v>
      </c>
    </row>
    <row r="672" spans="1:6" ht="14.5">
      <c r="A672" t="s">
        <v>5115</v>
      </c>
      <c r="B672" s="380" t="str">
        <f t="shared" si="10"/>
        <v>123-907</v>
      </c>
      <c r="C672" s="2043">
        <v>0</v>
      </c>
      <c r="D672" s="2043">
        <v>7352319</v>
      </c>
      <c r="E672">
        <v>1.0864</v>
      </c>
      <c r="F672" s="2043">
        <v>26124382</v>
      </c>
    </row>
    <row r="673" spans="1:6" ht="14.5">
      <c r="A673" t="s">
        <v>5116</v>
      </c>
      <c r="B673" s="380" t="str">
        <f t="shared" si="10"/>
        <v>123-908</v>
      </c>
      <c r="C673" s="2043">
        <v>0</v>
      </c>
      <c r="D673" s="2043">
        <v>5380703</v>
      </c>
      <c r="E673">
        <v>1.0547</v>
      </c>
      <c r="F673" s="2043">
        <v>9174044</v>
      </c>
    </row>
    <row r="674" spans="1:6" ht="14.5">
      <c r="A674" t="s">
        <v>5117</v>
      </c>
      <c r="B674" s="380" t="str">
        <f t="shared" si="10"/>
        <v>123-910</v>
      </c>
      <c r="C674" s="2043">
        <v>0</v>
      </c>
      <c r="D674" s="2043">
        <v>16487744</v>
      </c>
      <c r="E674">
        <v>0.96640000000000004</v>
      </c>
      <c r="F674" s="2043">
        <v>33589478</v>
      </c>
    </row>
    <row r="675" spans="1:6" ht="14.5">
      <c r="A675" t="s">
        <v>5118</v>
      </c>
      <c r="B675" s="380" t="str">
        <f t="shared" si="10"/>
        <v>123-913</v>
      </c>
      <c r="C675" s="2043">
        <v>0</v>
      </c>
      <c r="D675" s="2043">
        <v>236652</v>
      </c>
      <c r="E675">
        <v>0.97640000000000005</v>
      </c>
      <c r="F675" s="2043">
        <v>1633766</v>
      </c>
    </row>
    <row r="676" spans="1:6" ht="14.5">
      <c r="A676" t="s">
        <v>3077</v>
      </c>
      <c r="B676" s="380" t="str">
        <f t="shared" si="10"/>
        <v>123-914</v>
      </c>
      <c r="C676" s="2043">
        <v>0</v>
      </c>
      <c r="D676" s="2043">
        <v>1679034</v>
      </c>
      <c r="E676">
        <v>1.0547</v>
      </c>
      <c r="F676" s="2043">
        <v>1695926</v>
      </c>
    </row>
    <row r="677" spans="1:6" ht="14.5">
      <c r="A677" t="s">
        <v>5119</v>
      </c>
      <c r="B677" s="380" t="str">
        <f t="shared" si="10"/>
        <v>124-901</v>
      </c>
      <c r="C677" s="2043">
        <v>0</v>
      </c>
      <c r="D677" s="2043">
        <v>907488</v>
      </c>
      <c r="E677">
        <v>0.95640000000000003</v>
      </c>
      <c r="F677" s="2043">
        <v>1147320</v>
      </c>
    </row>
    <row r="678" spans="1:6" ht="14.5">
      <c r="A678" t="s">
        <v>3078</v>
      </c>
      <c r="B678" s="380" t="str">
        <f t="shared" si="10"/>
        <v>125-901</v>
      </c>
      <c r="C678" s="2043">
        <v>1721892</v>
      </c>
      <c r="D678" s="2043">
        <v>0</v>
      </c>
      <c r="E678">
        <v>1.0094000000000001</v>
      </c>
      <c r="F678" s="2043">
        <v>2736905</v>
      </c>
    </row>
    <row r="679" spans="1:6" ht="14.5">
      <c r="A679" t="s">
        <v>3079</v>
      </c>
      <c r="B679" s="380" t="str">
        <f t="shared" si="10"/>
        <v>125-902</v>
      </c>
      <c r="C679" s="2043">
        <v>214196</v>
      </c>
      <c r="D679" s="2043">
        <v>4549</v>
      </c>
      <c r="E679">
        <v>1.0547</v>
      </c>
      <c r="F679" s="2043">
        <v>276712</v>
      </c>
    </row>
    <row r="680" spans="1:6" ht="14.5">
      <c r="A680" t="s">
        <v>3080</v>
      </c>
      <c r="B680" s="380" t="str">
        <f t="shared" si="10"/>
        <v>125-903</v>
      </c>
      <c r="C680" s="2043">
        <v>762032</v>
      </c>
      <c r="D680" s="2043">
        <v>114254</v>
      </c>
      <c r="E680">
        <v>0.96120000000000005</v>
      </c>
      <c r="F680" s="2043">
        <v>997868</v>
      </c>
    </row>
    <row r="681" spans="1:6" ht="14.5">
      <c r="A681" t="s">
        <v>3081</v>
      </c>
      <c r="B681" s="380" t="str">
        <f t="shared" si="10"/>
        <v>125-905</v>
      </c>
      <c r="C681" s="2043">
        <v>171191</v>
      </c>
      <c r="D681" s="2043">
        <v>296673</v>
      </c>
      <c r="E681">
        <v>1.0118</v>
      </c>
      <c r="F681" s="2043">
        <v>713514</v>
      </c>
    </row>
    <row r="682" spans="1:6" ht="14.5">
      <c r="A682" t="s">
        <v>5827</v>
      </c>
      <c r="B682" s="380" t="str">
        <f t="shared" si="10"/>
        <v>125-906</v>
      </c>
      <c r="C682" s="2043">
        <v>0</v>
      </c>
      <c r="D682" s="2043">
        <v>0</v>
      </c>
      <c r="E682">
        <v>0.95640000000000003</v>
      </c>
      <c r="F682" s="2043">
        <v>0</v>
      </c>
    </row>
    <row r="683" spans="1:6" ht="14.5">
      <c r="A683" t="s">
        <v>3082</v>
      </c>
      <c r="B683" s="380" t="str">
        <f t="shared" si="10"/>
        <v>126-901</v>
      </c>
      <c r="C683" s="2043">
        <v>1959629</v>
      </c>
      <c r="D683" s="2043">
        <v>3660364</v>
      </c>
      <c r="E683">
        <v>0.96640000000000004</v>
      </c>
      <c r="F683" s="2043">
        <v>7254552</v>
      </c>
    </row>
    <row r="684" spans="1:6" ht="14.5">
      <c r="A684" t="s">
        <v>3083</v>
      </c>
      <c r="B684" s="380" t="str">
        <f t="shared" si="10"/>
        <v>126-902</v>
      </c>
      <c r="C684" s="2043">
        <v>2740869</v>
      </c>
      <c r="D684" s="2043">
        <v>14260304</v>
      </c>
      <c r="E684">
        <v>1.0383</v>
      </c>
      <c r="F684" s="2043">
        <v>26806774</v>
      </c>
    </row>
    <row r="685" spans="1:6" ht="14.5">
      <c r="A685" t="s">
        <v>5120</v>
      </c>
      <c r="B685" s="380" t="str">
        <f t="shared" si="10"/>
        <v>126-903</v>
      </c>
      <c r="C685" s="2043">
        <v>0</v>
      </c>
      <c r="D685" s="2043">
        <v>7403565</v>
      </c>
      <c r="E685">
        <v>1.0547</v>
      </c>
      <c r="F685" s="2043">
        <v>13166219</v>
      </c>
    </row>
    <row r="686" spans="1:6" ht="14.5">
      <c r="A686" t="s">
        <v>4285</v>
      </c>
      <c r="B686" s="380" t="str">
        <f t="shared" si="10"/>
        <v>126-904</v>
      </c>
      <c r="C686" s="2043">
        <v>0</v>
      </c>
      <c r="D686" s="2043">
        <v>650125</v>
      </c>
      <c r="E686">
        <v>0.90700000000000003</v>
      </c>
      <c r="F686" s="2043">
        <v>859180</v>
      </c>
    </row>
    <row r="687" spans="1:6" ht="14.5">
      <c r="A687" t="s">
        <v>3084</v>
      </c>
      <c r="B687" s="380" t="str">
        <f t="shared" si="10"/>
        <v>126-905</v>
      </c>
      <c r="C687" s="2043">
        <v>0</v>
      </c>
      <c r="D687" s="2043">
        <v>5210171</v>
      </c>
      <c r="E687">
        <v>1.0243</v>
      </c>
      <c r="F687" s="2043">
        <v>6671794</v>
      </c>
    </row>
    <row r="688" spans="1:6" ht="14.5">
      <c r="A688" t="s">
        <v>3085</v>
      </c>
      <c r="B688" s="380" t="str">
        <f t="shared" si="10"/>
        <v>126-906</v>
      </c>
      <c r="C688" s="2043">
        <v>196049</v>
      </c>
      <c r="D688" s="2043">
        <v>283411</v>
      </c>
      <c r="E688">
        <v>1.0547</v>
      </c>
      <c r="F688" s="2043">
        <v>453654</v>
      </c>
    </row>
    <row r="689" spans="1:6" ht="14.5">
      <c r="A689" t="s">
        <v>3086</v>
      </c>
      <c r="B689" s="380" t="str">
        <f t="shared" si="10"/>
        <v>126-907</v>
      </c>
      <c r="C689" s="2043">
        <v>140320</v>
      </c>
      <c r="D689" s="2043">
        <v>814481</v>
      </c>
      <c r="E689">
        <v>1.0416000000000001</v>
      </c>
      <c r="F689" s="2043">
        <v>1194808</v>
      </c>
    </row>
    <row r="690" spans="1:6" ht="14.5">
      <c r="A690" t="s">
        <v>3087</v>
      </c>
      <c r="B690" s="380" t="str">
        <f t="shared" si="10"/>
        <v>126-908</v>
      </c>
      <c r="C690" s="2043">
        <v>750591</v>
      </c>
      <c r="D690" s="2043">
        <v>709886</v>
      </c>
      <c r="E690">
        <v>0.99130000000000007</v>
      </c>
      <c r="F690" s="2043">
        <v>1724717</v>
      </c>
    </row>
    <row r="691" spans="1:6" ht="14.5">
      <c r="A691" t="s">
        <v>3088</v>
      </c>
      <c r="B691" s="380" t="str">
        <f t="shared" si="10"/>
        <v>126-911</v>
      </c>
      <c r="C691" s="2043">
        <v>456813</v>
      </c>
      <c r="D691" s="2043">
        <v>2656592</v>
      </c>
      <c r="E691">
        <v>0.96640000000000004</v>
      </c>
      <c r="F691" s="2043">
        <v>4907158</v>
      </c>
    </row>
    <row r="692" spans="1:6" ht="14.5">
      <c r="A692" t="s">
        <v>5121</v>
      </c>
      <c r="B692" s="380" t="str">
        <f t="shared" si="10"/>
        <v>127-901</v>
      </c>
      <c r="C692" s="2043">
        <v>0</v>
      </c>
      <c r="D692" s="2043">
        <v>306659</v>
      </c>
      <c r="E692">
        <v>1.0183</v>
      </c>
      <c r="F692" s="2043">
        <v>318078</v>
      </c>
    </row>
    <row r="693" spans="1:6" ht="14.5">
      <c r="A693" t="s">
        <v>5122</v>
      </c>
      <c r="B693" s="380" t="str">
        <f t="shared" si="10"/>
        <v>127-903</v>
      </c>
      <c r="C693" s="2043">
        <v>0</v>
      </c>
      <c r="D693" s="2043">
        <v>316352</v>
      </c>
      <c r="E693">
        <v>1.0547</v>
      </c>
      <c r="F693" s="2043">
        <v>407128</v>
      </c>
    </row>
    <row r="694" spans="1:6" ht="14.5">
      <c r="A694" t="s">
        <v>5123</v>
      </c>
      <c r="B694" s="380" t="str">
        <f t="shared" si="10"/>
        <v>127-904</v>
      </c>
      <c r="C694" s="2043">
        <v>0</v>
      </c>
      <c r="D694" s="2043">
        <v>359341</v>
      </c>
      <c r="E694">
        <v>0.96879999999999999</v>
      </c>
      <c r="F694" s="2043">
        <v>418351</v>
      </c>
    </row>
    <row r="695" spans="1:6" ht="14.5">
      <c r="A695" t="s">
        <v>3089</v>
      </c>
      <c r="B695" s="380" t="str">
        <f t="shared" si="10"/>
        <v>127-905</v>
      </c>
      <c r="C695" s="2043">
        <v>51423</v>
      </c>
      <c r="D695" s="2043">
        <v>0</v>
      </c>
      <c r="E695">
        <v>1.0321</v>
      </c>
      <c r="F695" s="2043">
        <v>50838</v>
      </c>
    </row>
    <row r="696" spans="1:6" ht="14.5">
      <c r="A696" t="s">
        <v>3090</v>
      </c>
      <c r="B696" s="380" t="str">
        <f t="shared" si="10"/>
        <v>127-906</v>
      </c>
      <c r="C696" s="2043">
        <v>154262</v>
      </c>
      <c r="D696" s="2043">
        <v>135369</v>
      </c>
      <c r="E696">
        <v>1.0547</v>
      </c>
      <c r="F696" s="2043">
        <v>327829</v>
      </c>
    </row>
    <row r="697" spans="1:6" ht="14.5">
      <c r="A697" t="s">
        <v>4305</v>
      </c>
      <c r="B697" s="380" t="str">
        <f t="shared" si="10"/>
        <v>128-901</v>
      </c>
      <c r="C697" s="2043">
        <v>0</v>
      </c>
      <c r="D697" s="2043">
        <v>864440</v>
      </c>
      <c r="E697">
        <v>0.96640000000000004</v>
      </c>
      <c r="F697" s="2043">
        <v>6745329</v>
      </c>
    </row>
    <row r="698" spans="1:6" ht="14.5">
      <c r="A698" t="s">
        <v>3091</v>
      </c>
      <c r="B698" s="380" t="str">
        <f t="shared" si="10"/>
        <v>128-902</v>
      </c>
      <c r="C698" s="2043">
        <v>195337</v>
      </c>
      <c r="D698" s="2043">
        <v>617392</v>
      </c>
      <c r="E698">
        <v>0.96640000000000004</v>
      </c>
      <c r="F698" s="2043">
        <v>4009262</v>
      </c>
    </row>
    <row r="699" spans="1:6" ht="14.5">
      <c r="A699" t="s">
        <v>5124</v>
      </c>
      <c r="B699" s="380" t="str">
        <f t="shared" si="10"/>
        <v>128-903</v>
      </c>
      <c r="C699" s="2043">
        <v>0</v>
      </c>
      <c r="D699" s="2043">
        <v>225938</v>
      </c>
      <c r="E699">
        <v>0.96640000000000004</v>
      </c>
      <c r="F699" s="2043">
        <v>1541139</v>
      </c>
    </row>
    <row r="700" spans="1:6" ht="14.5">
      <c r="A700" t="s">
        <v>3092</v>
      </c>
      <c r="B700" s="380" t="str">
        <f t="shared" si="10"/>
        <v>128-904</v>
      </c>
      <c r="C700" s="2043">
        <v>0</v>
      </c>
      <c r="D700" s="2043">
        <v>445942</v>
      </c>
      <c r="E700">
        <v>0.97640000000000005</v>
      </c>
      <c r="F700" s="2043">
        <v>3772172</v>
      </c>
    </row>
    <row r="701" spans="1:6" ht="14.5">
      <c r="A701" t="s">
        <v>3093</v>
      </c>
      <c r="B701" s="380" t="str">
        <f t="shared" si="10"/>
        <v>129-901</v>
      </c>
      <c r="C701" s="2043">
        <v>1734506</v>
      </c>
      <c r="D701" s="2043">
        <v>3653746</v>
      </c>
      <c r="E701">
        <v>0.87470000000000003</v>
      </c>
      <c r="F701" s="2043">
        <v>6547899</v>
      </c>
    </row>
    <row r="702" spans="1:6" ht="14.5">
      <c r="A702" t="s">
        <v>3094</v>
      </c>
      <c r="B702" s="380" t="str">
        <f t="shared" si="10"/>
        <v>129-902</v>
      </c>
      <c r="C702" s="2043">
        <v>4882988</v>
      </c>
      <c r="D702" s="2043">
        <v>13837053</v>
      </c>
      <c r="E702">
        <v>0.87470000000000003</v>
      </c>
      <c r="F702" s="2043">
        <v>27620221</v>
      </c>
    </row>
    <row r="703" spans="1:6" ht="14.5">
      <c r="A703" t="s">
        <v>3095</v>
      </c>
      <c r="B703" s="380" t="str">
        <f t="shared" si="10"/>
        <v>129-903</v>
      </c>
      <c r="C703" s="2043">
        <v>1405327</v>
      </c>
      <c r="D703" s="2043">
        <v>2021557</v>
      </c>
      <c r="E703">
        <v>0.96300000000000008</v>
      </c>
      <c r="F703" s="2043">
        <v>3541194</v>
      </c>
    </row>
    <row r="704" spans="1:6" ht="14.5">
      <c r="A704" t="s">
        <v>3096</v>
      </c>
      <c r="B704" s="380" t="str">
        <f t="shared" si="10"/>
        <v>129-904</v>
      </c>
      <c r="C704" s="2043">
        <v>395867</v>
      </c>
      <c r="D704" s="2043">
        <v>1320943</v>
      </c>
      <c r="E704">
        <v>0.97560000000000002</v>
      </c>
      <c r="F704" s="2043">
        <v>1832299</v>
      </c>
    </row>
    <row r="705" spans="1:6" ht="14.5">
      <c r="A705" t="s">
        <v>5125</v>
      </c>
      <c r="B705" s="380" t="str">
        <f t="shared" si="10"/>
        <v>129-905</v>
      </c>
      <c r="C705" s="2043">
        <v>0</v>
      </c>
      <c r="D705" s="2043">
        <v>3754855</v>
      </c>
      <c r="E705">
        <v>0.89780000000000004</v>
      </c>
      <c r="F705" s="2043">
        <v>4184797</v>
      </c>
    </row>
    <row r="706" spans="1:6" ht="14.5">
      <c r="A706" t="s">
        <v>5126</v>
      </c>
      <c r="B706" s="380" t="str">
        <f t="shared" si="10"/>
        <v>129-906</v>
      </c>
      <c r="C706" s="2043">
        <v>0</v>
      </c>
      <c r="D706" s="2043">
        <v>5004473</v>
      </c>
      <c r="E706">
        <v>0.96300000000000008</v>
      </c>
      <c r="F706" s="2043">
        <v>8911732</v>
      </c>
    </row>
    <row r="707" spans="1:6" ht="14.5">
      <c r="A707" t="s">
        <v>3097</v>
      </c>
      <c r="B707" s="380" t="str">
        <f t="shared" si="10"/>
        <v>129-910</v>
      </c>
      <c r="C707" s="2043">
        <v>142539</v>
      </c>
      <c r="D707" s="2043">
        <v>239013</v>
      </c>
      <c r="E707">
        <v>0.96300000000000008</v>
      </c>
      <c r="F707" s="2043">
        <v>465546</v>
      </c>
    </row>
    <row r="708" spans="1:6" ht="14.5">
      <c r="A708" t="s">
        <v>8055</v>
      </c>
      <c r="B708" s="380" t="str">
        <f t="shared" ref="B708:B771" si="11">CONCATENATE(LEFT(RIGHT(CONCATENATE("000",A708),6),3),"-",(RIGHT(RIGHT(CONCATENATE("000",A708),6),3)))</f>
        <v>130-801</v>
      </c>
      <c r="C708" s="2043">
        <v>0</v>
      </c>
      <c r="D708" s="2043">
        <v>0</v>
      </c>
      <c r="E708">
        <v>0</v>
      </c>
      <c r="F708" s="2043">
        <v>0</v>
      </c>
    </row>
    <row r="709" spans="1:6" ht="14.5">
      <c r="A709" t="s">
        <v>5127</v>
      </c>
      <c r="B709" s="380" t="str">
        <f t="shared" si="11"/>
        <v>130-901</v>
      </c>
      <c r="C709" s="2043">
        <v>0</v>
      </c>
      <c r="D709" s="2043">
        <v>10842319</v>
      </c>
      <c r="E709">
        <v>0.93790000000000007</v>
      </c>
      <c r="F709" s="2043">
        <v>24586699</v>
      </c>
    </row>
    <row r="710" spans="1:6" ht="14.5">
      <c r="A710" t="s">
        <v>5128</v>
      </c>
      <c r="B710" s="380" t="str">
        <f t="shared" si="11"/>
        <v>130-902</v>
      </c>
      <c r="C710" s="2043">
        <v>0</v>
      </c>
      <c r="D710" s="2043">
        <v>768368</v>
      </c>
      <c r="E710">
        <v>0.9447000000000001</v>
      </c>
      <c r="F710" s="2043">
        <v>2883425</v>
      </c>
    </row>
    <row r="711" spans="1:6" ht="14.5">
      <c r="A711" t="s">
        <v>5129</v>
      </c>
      <c r="B711" s="380" t="str">
        <f t="shared" si="11"/>
        <v>131-001</v>
      </c>
      <c r="C711" s="2043">
        <v>0</v>
      </c>
      <c r="D711" s="2043">
        <v>0</v>
      </c>
      <c r="E711">
        <v>0.97640000000000005</v>
      </c>
      <c r="F711" s="2043">
        <v>0</v>
      </c>
    </row>
    <row r="712" spans="1:6" ht="14.5">
      <c r="A712" t="s">
        <v>5828</v>
      </c>
      <c r="B712" s="380" t="str">
        <f t="shared" si="11"/>
        <v>132-902</v>
      </c>
      <c r="C712" s="2043">
        <v>0</v>
      </c>
      <c r="D712" s="2043">
        <v>0</v>
      </c>
      <c r="E712">
        <v>0.96640000000000004</v>
      </c>
      <c r="F712" s="2043">
        <v>6</v>
      </c>
    </row>
    <row r="713" spans="1:6" ht="14.5">
      <c r="A713" t="s">
        <v>3098</v>
      </c>
      <c r="B713" s="380" t="str">
        <f t="shared" si="11"/>
        <v>133-901</v>
      </c>
      <c r="C713" s="2043">
        <v>15212</v>
      </c>
      <c r="D713" s="2043">
        <v>0</v>
      </c>
      <c r="E713">
        <v>0.93230000000000002</v>
      </c>
      <c r="F713" s="2043">
        <v>151679</v>
      </c>
    </row>
    <row r="714" spans="1:6" ht="14.5">
      <c r="A714" t="s">
        <v>5130</v>
      </c>
      <c r="B714" s="380" t="str">
        <f t="shared" si="11"/>
        <v>133-902</v>
      </c>
      <c r="C714" s="2043">
        <v>0</v>
      </c>
      <c r="D714" s="2043">
        <v>75500</v>
      </c>
      <c r="E714">
        <v>0.92970000000000008</v>
      </c>
      <c r="F714" s="2043">
        <v>260911</v>
      </c>
    </row>
    <row r="715" spans="1:6" ht="14.5">
      <c r="A715" t="s">
        <v>5131</v>
      </c>
      <c r="B715" s="380" t="str">
        <f t="shared" si="11"/>
        <v>133-903</v>
      </c>
      <c r="C715" s="2043">
        <v>0</v>
      </c>
      <c r="D715" s="2043">
        <v>2496053</v>
      </c>
      <c r="E715">
        <v>0.91500000000000004</v>
      </c>
      <c r="F715" s="2043">
        <v>6164087</v>
      </c>
    </row>
    <row r="716" spans="1:6" ht="14.5">
      <c r="A716" t="s">
        <v>5132</v>
      </c>
      <c r="B716" s="380" t="str">
        <f t="shared" si="11"/>
        <v>133-904</v>
      </c>
      <c r="C716" s="2043">
        <v>0</v>
      </c>
      <c r="D716" s="2043">
        <v>923234</v>
      </c>
      <c r="E716">
        <v>0.88500000000000001</v>
      </c>
      <c r="F716" s="2043">
        <v>1147734</v>
      </c>
    </row>
    <row r="717" spans="1:6" ht="14.5">
      <c r="A717" t="s">
        <v>5829</v>
      </c>
      <c r="B717" s="380" t="str">
        <f t="shared" si="11"/>
        <v>133-905</v>
      </c>
      <c r="C717" s="2043">
        <v>0</v>
      </c>
      <c r="D717" s="2043">
        <v>0</v>
      </c>
      <c r="E717">
        <v>0.82000000000000006</v>
      </c>
      <c r="F717" s="2043">
        <v>0</v>
      </c>
    </row>
    <row r="718" spans="1:6" ht="14.5">
      <c r="A718" t="s">
        <v>5830</v>
      </c>
      <c r="B718" s="380" t="str">
        <f t="shared" si="11"/>
        <v>134-901</v>
      </c>
      <c r="C718" s="2043">
        <v>0</v>
      </c>
      <c r="D718" s="2043">
        <v>0</v>
      </c>
      <c r="E718">
        <v>0.88919999999999999</v>
      </c>
      <c r="F718" s="2043">
        <v>0</v>
      </c>
    </row>
    <row r="719" spans="1:6" ht="14.5">
      <c r="A719" t="s">
        <v>5133</v>
      </c>
      <c r="B719" s="380" t="str">
        <f t="shared" si="11"/>
        <v>135-001</v>
      </c>
      <c r="C719" s="2043">
        <v>0</v>
      </c>
      <c r="D719" s="2043">
        <v>125284</v>
      </c>
      <c r="E719">
        <v>0.96640000000000004</v>
      </c>
      <c r="F719" s="2043">
        <v>460265</v>
      </c>
    </row>
    <row r="720" spans="1:6" ht="14.5">
      <c r="A720" t="s">
        <v>5831</v>
      </c>
      <c r="B720" s="380" t="str">
        <f t="shared" si="11"/>
        <v>136-901</v>
      </c>
      <c r="C720" s="2043">
        <v>0</v>
      </c>
      <c r="D720" s="2043">
        <v>0</v>
      </c>
      <c r="E720">
        <v>0.87</v>
      </c>
      <c r="F720" s="2043">
        <v>0</v>
      </c>
    </row>
    <row r="721" spans="1:6" ht="14.5">
      <c r="A721" t="s">
        <v>3099</v>
      </c>
      <c r="B721" s="380" t="str">
        <f t="shared" si="11"/>
        <v>137-901</v>
      </c>
      <c r="C721" s="2043">
        <v>3052580</v>
      </c>
      <c r="D721" s="2043">
        <v>1294680</v>
      </c>
      <c r="E721">
        <v>1.0533000000000001</v>
      </c>
      <c r="F721" s="2043">
        <v>3943261</v>
      </c>
    </row>
    <row r="722" spans="1:6" ht="14.5">
      <c r="A722" t="s">
        <v>5832</v>
      </c>
      <c r="B722" s="380" t="str">
        <f t="shared" si="11"/>
        <v>137-902</v>
      </c>
      <c r="C722" s="2043">
        <v>0</v>
      </c>
      <c r="D722" s="2043">
        <v>0</v>
      </c>
      <c r="E722">
        <v>1.0547</v>
      </c>
      <c r="F722" s="2043">
        <v>0</v>
      </c>
    </row>
    <row r="723" spans="1:6" ht="14.5">
      <c r="A723" t="s">
        <v>5833</v>
      </c>
      <c r="B723" s="380" t="str">
        <f t="shared" si="11"/>
        <v>137-903</v>
      </c>
      <c r="C723" s="2043">
        <v>0</v>
      </c>
      <c r="D723" s="2043">
        <v>0</v>
      </c>
      <c r="E723">
        <v>1.0547</v>
      </c>
      <c r="F723" s="2043">
        <v>0</v>
      </c>
    </row>
    <row r="724" spans="1:6" ht="14.5">
      <c r="A724" t="s">
        <v>5134</v>
      </c>
      <c r="B724" s="380" t="str">
        <f t="shared" si="11"/>
        <v>137-904</v>
      </c>
      <c r="C724" s="2043">
        <v>0</v>
      </c>
      <c r="D724" s="2043">
        <v>219825</v>
      </c>
      <c r="E724">
        <v>0.96640000000000004</v>
      </c>
      <c r="F724" s="2043">
        <v>170267</v>
      </c>
    </row>
    <row r="725" spans="1:6" ht="14.5">
      <c r="A725" t="s">
        <v>3100</v>
      </c>
      <c r="B725" s="380" t="str">
        <f t="shared" si="11"/>
        <v>138-902</v>
      </c>
      <c r="C725" s="2043">
        <v>0</v>
      </c>
      <c r="D725" s="2043">
        <v>0</v>
      </c>
      <c r="E725">
        <v>1.0547</v>
      </c>
      <c r="F725" s="2043">
        <v>0</v>
      </c>
    </row>
    <row r="726" spans="1:6" ht="14.5">
      <c r="A726" t="s">
        <v>5834</v>
      </c>
      <c r="B726" s="380" t="str">
        <f t="shared" si="11"/>
        <v>138-903</v>
      </c>
      <c r="C726" s="2043">
        <v>0</v>
      </c>
      <c r="D726" s="2043">
        <v>386422</v>
      </c>
      <c r="E726">
        <v>1.0135000000000001</v>
      </c>
      <c r="F726" s="2043">
        <v>755561</v>
      </c>
    </row>
    <row r="727" spans="1:6" ht="14.5">
      <c r="A727" t="s">
        <v>5835</v>
      </c>
      <c r="B727" s="380" t="str">
        <f t="shared" si="11"/>
        <v>138-904</v>
      </c>
      <c r="C727" s="2043">
        <v>0</v>
      </c>
      <c r="D727" s="2043">
        <v>0</v>
      </c>
      <c r="E727">
        <v>0.96300000000000008</v>
      </c>
      <c r="F727" s="2043">
        <v>0</v>
      </c>
    </row>
    <row r="728" spans="1:6" ht="14.5">
      <c r="A728" t="s">
        <v>5135</v>
      </c>
      <c r="B728" s="380" t="str">
        <f t="shared" si="11"/>
        <v>139-905</v>
      </c>
      <c r="C728" s="2043">
        <v>0</v>
      </c>
      <c r="D728" s="2043">
        <v>753260</v>
      </c>
      <c r="E728">
        <v>0.96640000000000004</v>
      </c>
      <c r="F728" s="2043">
        <v>2020200</v>
      </c>
    </row>
    <row r="729" spans="1:6" ht="14.5">
      <c r="A729" t="s">
        <v>3102</v>
      </c>
      <c r="B729" s="380" t="str">
        <f t="shared" si="11"/>
        <v>139-909</v>
      </c>
      <c r="C729" s="2043">
        <v>390730</v>
      </c>
      <c r="D729" s="2043">
        <v>1874956</v>
      </c>
      <c r="E729">
        <v>1.0519000000000001</v>
      </c>
      <c r="F729" s="2043">
        <v>2463552</v>
      </c>
    </row>
    <row r="730" spans="1:6" ht="14.5">
      <c r="A730" t="s">
        <v>5136</v>
      </c>
      <c r="B730" s="380" t="str">
        <f t="shared" si="11"/>
        <v>139-911</v>
      </c>
      <c r="C730" s="2043">
        <v>0</v>
      </c>
      <c r="D730" s="2043">
        <v>0</v>
      </c>
      <c r="E730">
        <v>0.96640000000000004</v>
      </c>
      <c r="F730" s="2043">
        <v>0</v>
      </c>
    </row>
    <row r="731" spans="1:6" ht="14.5">
      <c r="A731" t="s">
        <v>3103</v>
      </c>
      <c r="B731" s="380" t="str">
        <f t="shared" si="11"/>
        <v>139-912</v>
      </c>
      <c r="C731" s="2043">
        <v>200826</v>
      </c>
      <c r="D731" s="2043">
        <v>217532</v>
      </c>
      <c r="E731">
        <v>0.96640000000000004</v>
      </c>
      <c r="F731" s="2043">
        <v>369359</v>
      </c>
    </row>
    <row r="732" spans="1:6" ht="14.5">
      <c r="A732" t="s">
        <v>5836</v>
      </c>
      <c r="B732" s="380" t="str">
        <f t="shared" si="11"/>
        <v>140-901</v>
      </c>
      <c r="C732" s="2043">
        <v>0</v>
      </c>
      <c r="D732" s="2043">
        <v>0</v>
      </c>
      <c r="E732">
        <v>1.0547</v>
      </c>
      <c r="F732" s="2043">
        <v>0</v>
      </c>
    </row>
    <row r="733" spans="1:6" ht="14.5">
      <c r="A733" t="s">
        <v>5837</v>
      </c>
      <c r="B733" s="380" t="str">
        <f t="shared" si="11"/>
        <v>140-904</v>
      </c>
      <c r="C733" s="2043">
        <v>0</v>
      </c>
      <c r="D733" s="2043">
        <v>0</v>
      </c>
      <c r="E733">
        <v>0.96640000000000004</v>
      </c>
      <c r="F733" s="2043">
        <v>0</v>
      </c>
    </row>
    <row r="734" spans="1:6" ht="14.5">
      <c r="A734" t="s">
        <v>4347</v>
      </c>
      <c r="B734" s="380" t="str">
        <f t="shared" si="11"/>
        <v>140-905</v>
      </c>
      <c r="C734" s="2043">
        <v>0</v>
      </c>
      <c r="D734" s="2043">
        <v>0</v>
      </c>
      <c r="E734">
        <v>1.0223</v>
      </c>
      <c r="F734" s="2043">
        <v>0</v>
      </c>
    </row>
    <row r="735" spans="1:6" ht="14.5">
      <c r="A735" t="s">
        <v>5838</v>
      </c>
      <c r="B735" s="380" t="str">
        <f t="shared" si="11"/>
        <v>140-907</v>
      </c>
      <c r="C735" s="2043">
        <v>0</v>
      </c>
      <c r="D735" s="2043">
        <v>0</v>
      </c>
      <c r="E735">
        <v>1.0547</v>
      </c>
      <c r="F735" s="2043">
        <v>0</v>
      </c>
    </row>
    <row r="736" spans="1:6" ht="14.5">
      <c r="A736" t="s">
        <v>5137</v>
      </c>
      <c r="B736" s="380" t="str">
        <f t="shared" si="11"/>
        <v>140-908</v>
      </c>
      <c r="C736" s="2043">
        <v>0</v>
      </c>
      <c r="D736" s="2043">
        <v>295563</v>
      </c>
      <c r="E736">
        <v>0.96640000000000004</v>
      </c>
      <c r="F736" s="2043">
        <v>767698</v>
      </c>
    </row>
    <row r="737" spans="1:6" ht="14.5">
      <c r="A737" t="s">
        <v>3104</v>
      </c>
      <c r="B737" s="380" t="str">
        <f t="shared" si="11"/>
        <v>141-901</v>
      </c>
      <c r="C737" s="2043">
        <v>800000</v>
      </c>
      <c r="D737" s="2043">
        <v>2351464</v>
      </c>
      <c r="E737">
        <v>1.0547</v>
      </c>
      <c r="F737" s="2043">
        <v>3410195</v>
      </c>
    </row>
    <row r="738" spans="1:6" ht="14.5">
      <c r="A738" t="s">
        <v>5138</v>
      </c>
      <c r="B738" s="380" t="str">
        <f t="shared" si="11"/>
        <v>141-902</v>
      </c>
      <c r="C738" s="2043">
        <v>0</v>
      </c>
      <c r="D738" s="2043">
        <v>364812</v>
      </c>
      <c r="E738">
        <v>0.96640000000000004</v>
      </c>
      <c r="F738" s="2043">
        <v>416365</v>
      </c>
    </row>
    <row r="739" spans="1:6" ht="14.5">
      <c r="A739" t="s">
        <v>3105</v>
      </c>
      <c r="B739" s="380" t="str">
        <f t="shared" si="11"/>
        <v>142-901</v>
      </c>
      <c r="C739" s="2043">
        <v>60497</v>
      </c>
      <c r="D739" s="2043">
        <v>1101871</v>
      </c>
      <c r="E739">
        <v>0.97640000000000005</v>
      </c>
      <c r="F739" s="2043">
        <v>5346460</v>
      </c>
    </row>
    <row r="740" spans="1:6" ht="14.5">
      <c r="A740" t="s">
        <v>5139</v>
      </c>
      <c r="B740" s="380" t="str">
        <f t="shared" si="11"/>
        <v>143-901</v>
      </c>
      <c r="C740" s="2043">
        <v>0</v>
      </c>
      <c r="D740" s="2043">
        <v>1208384</v>
      </c>
      <c r="E740">
        <v>0.96640000000000004</v>
      </c>
      <c r="F740" s="2043">
        <v>2092327</v>
      </c>
    </row>
    <row r="741" spans="1:6" ht="14.5">
      <c r="A741" t="s">
        <v>5839</v>
      </c>
      <c r="B741" s="380" t="str">
        <f t="shared" si="11"/>
        <v>143-902</v>
      </c>
      <c r="C741" s="2043">
        <v>0</v>
      </c>
      <c r="D741" s="2043">
        <v>0</v>
      </c>
      <c r="E741">
        <v>0.96640000000000004</v>
      </c>
      <c r="F741" s="2043">
        <v>847030</v>
      </c>
    </row>
    <row r="742" spans="1:6" ht="14.5">
      <c r="A742" t="s">
        <v>5840</v>
      </c>
      <c r="B742" s="380" t="str">
        <f t="shared" si="11"/>
        <v>143-903</v>
      </c>
      <c r="C742" s="2043">
        <v>0</v>
      </c>
      <c r="D742" s="2043">
        <v>185663</v>
      </c>
      <c r="E742">
        <v>0.96640000000000004</v>
      </c>
      <c r="F742" s="2043">
        <v>525698</v>
      </c>
    </row>
    <row r="743" spans="1:6" ht="14.5">
      <c r="A743" t="s">
        <v>5841</v>
      </c>
      <c r="B743" s="380" t="str">
        <f t="shared" si="11"/>
        <v>143-904</v>
      </c>
      <c r="C743" s="2043">
        <v>0</v>
      </c>
      <c r="D743" s="2043">
        <v>0</v>
      </c>
      <c r="E743">
        <v>0.96640000000000004</v>
      </c>
      <c r="F743" s="2043">
        <v>0</v>
      </c>
    </row>
    <row r="744" spans="1:6" ht="14.5">
      <c r="A744" t="s">
        <v>5842</v>
      </c>
      <c r="B744" s="380" t="str">
        <f t="shared" si="11"/>
        <v>143-905</v>
      </c>
      <c r="C744" s="2043">
        <v>0</v>
      </c>
      <c r="D744" s="2043">
        <v>0</v>
      </c>
      <c r="E744">
        <v>0.96640000000000004</v>
      </c>
      <c r="F744" s="2043">
        <v>0</v>
      </c>
    </row>
    <row r="745" spans="1:6" ht="14.5">
      <c r="A745" t="s">
        <v>5140</v>
      </c>
      <c r="B745" s="380" t="str">
        <f t="shared" si="11"/>
        <v>143-906</v>
      </c>
      <c r="C745" s="2043">
        <v>0</v>
      </c>
      <c r="D745" s="2043">
        <v>86173</v>
      </c>
      <c r="E745">
        <v>0.96640000000000004</v>
      </c>
      <c r="F745" s="2043">
        <v>233313</v>
      </c>
    </row>
    <row r="746" spans="1:6" ht="14.5">
      <c r="A746" t="s">
        <v>5141</v>
      </c>
      <c r="B746" s="380" t="str">
        <f t="shared" si="11"/>
        <v>144-901</v>
      </c>
      <c r="C746" s="2043">
        <v>0</v>
      </c>
      <c r="D746" s="2043">
        <v>2042987</v>
      </c>
      <c r="E746">
        <v>1.0093000000000001</v>
      </c>
      <c r="F746" s="2043">
        <v>2458524</v>
      </c>
    </row>
    <row r="747" spans="1:6" ht="14.5">
      <c r="A747" t="s">
        <v>5142</v>
      </c>
      <c r="B747" s="380" t="str">
        <f t="shared" si="11"/>
        <v>144-902</v>
      </c>
      <c r="C747" s="2043">
        <v>0</v>
      </c>
      <c r="D747" s="2043">
        <v>543747</v>
      </c>
      <c r="E747">
        <v>1.0168000000000001</v>
      </c>
      <c r="F747" s="2043">
        <v>598905</v>
      </c>
    </row>
    <row r="748" spans="1:6" ht="14.5">
      <c r="A748" t="s">
        <v>5843</v>
      </c>
      <c r="B748" s="380" t="str">
        <f t="shared" si="11"/>
        <v>144-903</v>
      </c>
      <c r="C748" s="2043">
        <v>0</v>
      </c>
      <c r="D748" s="2043">
        <v>0</v>
      </c>
      <c r="E748">
        <v>1.0547</v>
      </c>
      <c r="F748" s="2043">
        <v>157848</v>
      </c>
    </row>
    <row r="749" spans="1:6" ht="14.5">
      <c r="A749" t="s">
        <v>5143</v>
      </c>
      <c r="B749" s="380" t="str">
        <f t="shared" si="11"/>
        <v>145-901</v>
      </c>
      <c r="C749" s="2043">
        <v>0</v>
      </c>
      <c r="D749" s="2043">
        <v>455416</v>
      </c>
      <c r="E749">
        <v>1.0404</v>
      </c>
      <c r="F749" s="2043">
        <v>1211225</v>
      </c>
    </row>
    <row r="750" spans="1:6" ht="14.5">
      <c r="A750" t="s">
        <v>5144</v>
      </c>
      <c r="B750" s="380" t="str">
        <f t="shared" si="11"/>
        <v>145-902</v>
      </c>
      <c r="C750" s="2043">
        <v>0</v>
      </c>
      <c r="D750" s="2043">
        <v>667743</v>
      </c>
      <c r="E750">
        <v>0.91820000000000002</v>
      </c>
      <c r="F750" s="2043">
        <v>1087291</v>
      </c>
    </row>
    <row r="751" spans="1:6" ht="14.5">
      <c r="A751" t="s">
        <v>5145</v>
      </c>
      <c r="B751" s="380" t="str">
        <f t="shared" si="11"/>
        <v>145-906</v>
      </c>
      <c r="C751" s="2043">
        <v>0</v>
      </c>
      <c r="D751" s="2043">
        <v>623527</v>
      </c>
      <c r="E751">
        <v>0.96640000000000004</v>
      </c>
      <c r="F751" s="2043">
        <v>1341855</v>
      </c>
    </row>
    <row r="752" spans="1:6" ht="14.5">
      <c r="A752" t="s">
        <v>5146</v>
      </c>
      <c r="B752" s="380" t="str">
        <f t="shared" si="11"/>
        <v>145-907</v>
      </c>
      <c r="C752" s="2043">
        <v>0</v>
      </c>
      <c r="D752" s="2043">
        <v>133652</v>
      </c>
      <c r="E752">
        <v>0.97640000000000005</v>
      </c>
      <c r="F752" s="2043">
        <v>311998</v>
      </c>
    </row>
    <row r="753" spans="1:6" ht="14.5">
      <c r="A753" t="s">
        <v>5147</v>
      </c>
      <c r="B753" s="380" t="str">
        <f t="shared" si="11"/>
        <v>145-911</v>
      </c>
      <c r="C753" s="2043">
        <v>0</v>
      </c>
      <c r="D753" s="2043">
        <v>573627</v>
      </c>
      <c r="E753">
        <v>0.96640000000000004</v>
      </c>
      <c r="F753" s="2043">
        <v>1446330</v>
      </c>
    </row>
    <row r="754" spans="1:6" ht="14.5">
      <c r="A754" t="s">
        <v>3106</v>
      </c>
      <c r="B754" s="380" t="str">
        <f t="shared" si="11"/>
        <v>146-901</v>
      </c>
      <c r="C754" s="2043">
        <v>1350691</v>
      </c>
      <c r="D754" s="2043">
        <v>3929882</v>
      </c>
      <c r="E754">
        <v>0.87470000000000003</v>
      </c>
      <c r="F754" s="2043">
        <v>8184632</v>
      </c>
    </row>
    <row r="755" spans="1:6" ht="14.5">
      <c r="A755" t="s">
        <v>3107</v>
      </c>
      <c r="B755" s="380" t="str">
        <f t="shared" si="11"/>
        <v>146-902</v>
      </c>
      <c r="C755" s="2043">
        <v>0</v>
      </c>
      <c r="D755" s="2043">
        <v>5903308</v>
      </c>
      <c r="E755">
        <v>0.91960000000000008</v>
      </c>
      <c r="F755" s="2043">
        <v>6243451</v>
      </c>
    </row>
    <row r="756" spans="1:6" ht="14.5">
      <c r="A756" t="s">
        <v>5148</v>
      </c>
      <c r="B756" s="380" t="str">
        <f t="shared" si="11"/>
        <v>146-903</v>
      </c>
      <c r="C756" s="2043">
        <v>0</v>
      </c>
      <c r="D756" s="2043">
        <v>66409</v>
      </c>
      <c r="E756">
        <v>0.96640000000000004</v>
      </c>
      <c r="F756" s="2043">
        <v>144326</v>
      </c>
    </row>
    <row r="757" spans="1:6" ht="14.5">
      <c r="A757" t="s">
        <v>3108</v>
      </c>
      <c r="B757" s="380" t="str">
        <f t="shared" si="11"/>
        <v>146-904</v>
      </c>
      <c r="C757" s="2043">
        <v>80675</v>
      </c>
      <c r="D757" s="2043">
        <v>1307047</v>
      </c>
      <c r="E757">
        <v>0.96640000000000004</v>
      </c>
      <c r="F757" s="2043">
        <v>1465930</v>
      </c>
    </row>
    <row r="758" spans="1:6" ht="14.5">
      <c r="A758" t="s">
        <v>3109</v>
      </c>
      <c r="B758" s="380" t="str">
        <f t="shared" si="11"/>
        <v>146-905</v>
      </c>
      <c r="C758" s="2043">
        <v>0</v>
      </c>
      <c r="D758" s="2043">
        <v>117036</v>
      </c>
      <c r="E758">
        <v>1.0548</v>
      </c>
      <c r="F758" s="2043">
        <v>149625</v>
      </c>
    </row>
    <row r="759" spans="1:6" ht="14.5">
      <c r="A759" t="s">
        <v>5149</v>
      </c>
      <c r="B759" s="380" t="str">
        <f t="shared" si="11"/>
        <v>146-906</v>
      </c>
      <c r="C759" s="2043">
        <v>0</v>
      </c>
      <c r="D759" s="2043">
        <v>2425518</v>
      </c>
      <c r="E759">
        <v>0.97640000000000005</v>
      </c>
      <c r="F759" s="2043">
        <v>3460947</v>
      </c>
    </row>
    <row r="760" spans="1:6" ht="14.5">
      <c r="A760" t="s">
        <v>5150</v>
      </c>
      <c r="B760" s="380" t="str">
        <f t="shared" si="11"/>
        <v>146-907</v>
      </c>
      <c r="C760" s="2043">
        <v>0</v>
      </c>
      <c r="D760" s="2043">
        <v>148339</v>
      </c>
      <c r="E760">
        <v>0.87470000000000003</v>
      </c>
      <c r="F760" s="2043">
        <v>808232</v>
      </c>
    </row>
    <row r="761" spans="1:6" ht="14.5">
      <c r="A761" t="s">
        <v>3110</v>
      </c>
      <c r="B761" s="380" t="str">
        <f t="shared" si="11"/>
        <v>147-901</v>
      </c>
      <c r="C761" s="2043">
        <v>31713</v>
      </c>
      <c r="D761" s="2043">
        <v>59628</v>
      </c>
      <c r="E761">
        <v>0.96300000000000008</v>
      </c>
      <c r="F761" s="2043">
        <v>109559</v>
      </c>
    </row>
    <row r="762" spans="1:6" ht="14.5">
      <c r="A762" t="s">
        <v>5151</v>
      </c>
      <c r="B762" s="380" t="str">
        <f t="shared" si="11"/>
        <v>147-902</v>
      </c>
      <c r="C762" s="2043">
        <v>0</v>
      </c>
      <c r="D762" s="2043">
        <v>1250928</v>
      </c>
      <c r="E762">
        <v>0.96300000000000008</v>
      </c>
      <c r="F762" s="2043">
        <v>3068047</v>
      </c>
    </row>
    <row r="763" spans="1:6" ht="14.5">
      <c r="A763" t="s">
        <v>5152</v>
      </c>
      <c r="B763" s="380" t="str">
        <f t="shared" si="11"/>
        <v>147-903</v>
      </c>
      <c r="C763" s="2043">
        <v>209711</v>
      </c>
      <c r="D763" s="2043">
        <v>249858</v>
      </c>
      <c r="E763">
        <v>1.0169000000000001</v>
      </c>
      <c r="F763" s="2043">
        <v>948625</v>
      </c>
    </row>
    <row r="764" spans="1:6" ht="14.5">
      <c r="A764" t="s">
        <v>5153</v>
      </c>
      <c r="B764" s="380" t="str">
        <f t="shared" si="11"/>
        <v>148-901</v>
      </c>
      <c r="C764" s="2043">
        <v>0</v>
      </c>
      <c r="D764" s="2043">
        <v>0</v>
      </c>
      <c r="E764">
        <v>1.0547</v>
      </c>
      <c r="F764" s="2043">
        <v>0</v>
      </c>
    </row>
    <row r="765" spans="1:6" ht="14.5">
      <c r="A765" t="s">
        <v>5154</v>
      </c>
      <c r="B765" s="380" t="str">
        <f t="shared" si="11"/>
        <v>148-902</v>
      </c>
      <c r="C765" s="2043">
        <v>0</v>
      </c>
      <c r="D765" s="2043">
        <v>0</v>
      </c>
      <c r="E765">
        <v>0.96640000000000004</v>
      </c>
      <c r="F765" s="2043">
        <v>231803</v>
      </c>
    </row>
    <row r="766" spans="1:6" ht="14.5">
      <c r="A766" t="s">
        <v>5156</v>
      </c>
      <c r="B766" s="380" t="str">
        <f t="shared" si="11"/>
        <v>148-905</v>
      </c>
      <c r="C766" s="2043">
        <v>0</v>
      </c>
      <c r="D766" s="2043">
        <v>0</v>
      </c>
      <c r="E766">
        <v>0.96640000000000004</v>
      </c>
      <c r="F766" s="2043">
        <v>331931</v>
      </c>
    </row>
    <row r="767" spans="1:6" ht="14.5">
      <c r="A767" t="s">
        <v>5157</v>
      </c>
      <c r="B767" s="380" t="str">
        <f t="shared" si="11"/>
        <v>149-901</v>
      </c>
      <c r="C767" s="2043">
        <v>0</v>
      </c>
      <c r="D767" s="2043">
        <v>1220102</v>
      </c>
      <c r="E767">
        <v>0.95910000000000006</v>
      </c>
      <c r="F767" s="2043">
        <v>1867244</v>
      </c>
    </row>
    <row r="768" spans="1:6" ht="14.5">
      <c r="A768" t="s">
        <v>5158</v>
      </c>
      <c r="B768" s="380" t="str">
        <f t="shared" si="11"/>
        <v>149-902</v>
      </c>
      <c r="C768" s="2043">
        <v>0</v>
      </c>
      <c r="D768" s="2043">
        <v>524620</v>
      </c>
      <c r="E768">
        <v>0.94100000000000006</v>
      </c>
      <c r="F768" s="2043">
        <v>2467855</v>
      </c>
    </row>
    <row r="769" spans="1:6" ht="14.5">
      <c r="A769" t="s">
        <v>5159</v>
      </c>
      <c r="B769" s="380" t="str">
        <f t="shared" si="11"/>
        <v>150-901</v>
      </c>
      <c r="C769" s="2043">
        <v>0</v>
      </c>
      <c r="D769" s="2043">
        <v>811082</v>
      </c>
      <c r="E769">
        <v>0.91190000000000004</v>
      </c>
      <c r="F769" s="2043">
        <v>5150652</v>
      </c>
    </row>
    <row r="770" spans="1:6" ht="14.5">
      <c r="A770" t="s">
        <v>8056</v>
      </c>
      <c r="B770" s="380" t="str">
        <f t="shared" si="11"/>
        <v>152-802</v>
      </c>
      <c r="C770" s="2043">
        <v>0</v>
      </c>
      <c r="D770" s="2043">
        <v>0</v>
      </c>
      <c r="E770">
        <v>0</v>
      </c>
      <c r="F770" s="2043">
        <v>0</v>
      </c>
    </row>
    <row r="771" spans="1:6" ht="14.5">
      <c r="A771" t="s">
        <v>8057</v>
      </c>
      <c r="B771" s="380" t="str">
        <f t="shared" si="11"/>
        <v>152-803</v>
      </c>
      <c r="C771" s="2043">
        <v>0</v>
      </c>
      <c r="D771" s="2043">
        <v>0</v>
      </c>
      <c r="E771">
        <v>0</v>
      </c>
      <c r="F771" s="2043">
        <v>0</v>
      </c>
    </row>
    <row r="772" spans="1:6" ht="14.5">
      <c r="A772" t="s">
        <v>8058</v>
      </c>
      <c r="B772" s="380" t="str">
        <f t="shared" ref="B772:B835" si="12">CONCATENATE(LEFT(RIGHT(CONCATENATE("000",A772),6),3),"-",(RIGHT(RIGHT(CONCATENATE("000",A772),6),3)))</f>
        <v>152-806</v>
      </c>
      <c r="C772" s="2043">
        <v>0</v>
      </c>
      <c r="D772" s="2043">
        <v>0</v>
      </c>
      <c r="E772">
        <v>0</v>
      </c>
      <c r="F772" s="2043">
        <v>0</v>
      </c>
    </row>
    <row r="773" spans="1:6" ht="14.5">
      <c r="A773" t="s">
        <v>4363</v>
      </c>
      <c r="B773" s="380" t="str">
        <f t="shared" si="12"/>
        <v>152-901</v>
      </c>
      <c r="C773" s="2043">
        <v>0</v>
      </c>
      <c r="D773" s="2043">
        <v>17808323</v>
      </c>
      <c r="E773">
        <v>0.97640000000000005</v>
      </c>
      <c r="F773" s="2043">
        <v>20309497</v>
      </c>
    </row>
    <row r="774" spans="1:6" ht="14.5">
      <c r="A774" t="s">
        <v>5844</v>
      </c>
      <c r="B774" s="380" t="str">
        <f t="shared" si="12"/>
        <v>152-902</v>
      </c>
      <c r="C774" s="2043">
        <v>0</v>
      </c>
      <c r="D774" s="2043">
        <v>0</v>
      </c>
      <c r="E774">
        <v>0.98870000000000002</v>
      </c>
      <c r="F774" s="2043">
        <v>0</v>
      </c>
    </row>
    <row r="775" spans="1:6" ht="14.5">
      <c r="A775" t="s">
        <v>5160</v>
      </c>
      <c r="B775" s="380" t="str">
        <f t="shared" si="12"/>
        <v>152-903</v>
      </c>
      <c r="C775" s="2043">
        <v>290364</v>
      </c>
      <c r="D775" s="2043">
        <v>823520</v>
      </c>
      <c r="E775">
        <v>1.0082</v>
      </c>
      <c r="F775" s="2043">
        <v>1632008</v>
      </c>
    </row>
    <row r="776" spans="1:6" ht="14.5">
      <c r="A776" t="s">
        <v>3111</v>
      </c>
      <c r="B776" s="380" t="str">
        <f t="shared" si="12"/>
        <v>152-906</v>
      </c>
      <c r="C776" s="2043">
        <v>445840</v>
      </c>
      <c r="D776" s="2043">
        <v>7862846</v>
      </c>
      <c r="E776">
        <v>0.91270000000000007</v>
      </c>
      <c r="F776" s="2043">
        <v>18954343</v>
      </c>
    </row>
    <row r="777" spans="1:6" ht="14.5">
      <c r="A777" t="s">
        <v>3112</v>
      </c>
      <c r="B777" s="380" t="str">
        <f t="shared" si="12"/>
        <v>152-907</v>
      </c>
      <c r="C777" s="2043">
        <v>1795895</v>
      </c>
      <c r="D777" s="2043">
        <v>11318742</v>
      </c>
      <c r="E777">
        <v>0.94810000000000005</v>
      </c>
      <c r="F777" s="2043">
        <v>22712005</v>
      </c>
    </row>
    <row r="778" spans="1:6" ht="14.5">
      <c r="A778" t="s">
        <v>5161</v>
      </c>
      <c r="B778" s="380" t="str">
        <f t="shared" si="12"/>
        <v>152-908</v>
      </c>
      <c r="C778" s="2043">
        <v>0</v>
      </c>
      <c r="D778" s="2043">
        <v>516709</v>
      </c>
      <c r="E778">
        <v>0.95640000000000003</v>
      </c>
      <c r="F778" s="2043">
        <v>589378</v>
      </c>
    </row>
    <row r="779" spans="1:6" ht="14.5">
      <c r="A779" t="s">
        <v>3113</v>
      </c>
      <c r="B779" s="380" t="str">
        <f t="shared" si="12"/>
        <v>152-909</v>
      </c>
      <c r="C779" s="2043">
        <v>361268</v>
      </c>
      <c r="D779" s="2043">
        <v>760244</v>
      </c>
      <c r="E779">
        <v>1.0468999999999999</v>
      </c>
      <c r="F779" s="2043">
        <v>1434383</v>
      </c>
    </row>
    <row r="780" spans="1:6" ht="14.5">
      <c r="A780" t="s">
        <v>3114</v>
      </c>
      <c r="B780" s="380" t="str">
        <f t="shared" si="12"/>
        <v>152-910</v>
      </c>
      <c r="C780" s="2043">
        <v>211981</v>
      </c>
      <c r="D780" s="2043">
        <v>550758</v>
      </c>
      <c r="E780">
        <v>1.0648</v>
      </c>
      <c r="F780" s="2043">
        <v>722628</v>
      </c>
    </row>
    <row r="781" spans="1:6" ht="14.5">
      <c r="A781" t="s">
        <v>8510</v>
      </c>
      <c r="B781" s="380" t="str">
        <f t="shared" si="12"/>
        <v>152-950</v>
      </c>
      <c r="C781" s="2043">
        <v>0</v>
      </c>
      <c r="D781" s="2043">
        <v>0</v>
      </c>
      <c r="E781">
        <v>0</v>
      </c>
      <c r="F781" s="2043">
        <v>0</v>
      </c>
    </row>
    <row r="782" spans="1:6" ht="14.5">
      <c r="A782" t="s">
        <v>5162</v>
      </c>
      <c r="B782" s="380" t="str">
        <f t="shared" si="12"/>
        <v>153-903</v>
      </c>
      <c r="C782" s="2043">
        <v>0</v>
      </c>
      <c r="D782" s="2043">
        <v>313467</v>
      </c>
      <c r="E782">
        <v>1.0014000000000001</v>
      </c>
      <c r="F782" s="2043">
        <v>968266</v>
      </c>
    </row>
    <row r="783" spans="1:6" ht="14.5">
      <c r="A783" t="s">
        <v>5845</v>
      </c>
      <c r="B783" s="380" t="str">
        <f t="shared" si="12"/>
        <v>153-904</v>
      </c>
      <c r="C783" s="2043">
        <v>0</v>
      </c>
      <c r="D783" s="2043">
        <v>495600</v>
      </c>
      <c r="E783">
        <v>1.0498000000000001</v>
      </c>
      <c r="F783" s="2043">
        <v>1433444</v>
      </c>
    </row>
    <row r="784" spans="1:6" ht="14.5">
      <c r="A784" t="s">
        <v>5163</v>
      </c>
      <c r="B784" s="380" t="str">
        <f t="shared" si="12"/>
        <v>153-905</v>
      </c>
      <c r="C784" s="2043">
        <v>0</v>
      </c>
      <c r="D784" s="2043">
        <v>207359</v>
      </c>
      <c r="E784">
        <v>1.0137</v>
      </c>
      <c r="F784" s="2043">
        <v>256357</v>
      </c>
    </row>
    <row r="785" spans="1:6" ht="14.5">
      <c r="A785" t="s">
        <v>5846</v>
      </c>
      <c r="B785" s="380" t="str">
        <f t="shared" si="12"/>
        <v>153-907</v>
      </c>
      <c r="C785" s="2043">
        <v>0</v>
      </c>
      <c r="D785" s="2043">
        <v>0</v>
      </c>
      <c r="E785">
        <v>0.96300000000000008</v>
      </c>
      <c r="F785" s="2043">
        <v>634926</v>
      </c>
    </row>
    <row r="786" spans="1:6" ht="14.5">
      <c r="A786" t="s">
        <v>3115</v>
      </c>
      <c r="B786" s="380" t="str">
        <f t="shared" si="12"/>
        <v>154-901</v>
      </c>
      <c r="C786" s="2043">
        <v>439600</v>
      </c>
      <c r="D786" s="2043">
        <v>559003</v>
      </c>
      <c r="E786">
        <v>1.0239</v>
      </c>
      <c r="F786" s="2043">
        <v>1379716</v>
      </c>
    </row>
    <row r="787" spans="1:6" ht="14.5">
      <c r="A787" t="s">
        <v>3116</v>
      </c>
      <c r="B787" s="380" t="str">
        <f t="shared" si="12"/>
        <v>154-903</v>
      </c>
      <c r="C787" s="2043">
        <v>100000</v>
      </c>
      <c r="D787" s="2043">
        <v>140117</v>
      </c>
      <c r="E787">
        <v>1.0093000000000001</v>
      </c>
      <c r="F787" s="2043">
        <v>456502</v>
      </c>
    </row>
    <row r="788" spans="1:6" ht="14.5">
      <c r="A788" t="s">
        <v>5164</v>
      </c>
      <c r="B788" s="380" t="str">
        <f t="shared" si="12"/>
        <v>155-901</v>
      </c>
      <c r="C788" s="2043">
        <v>0</v>
      </c>
      <c r="D788" s="2043">
        <v>364385</v>
      </c>
      <c r="E788">
        <v>0.96640000000000004</v>
      </c>
      <c r="F788" s="2043">
        <v>547861</v>
      </c>
    </row>
    <row r="789" spans="1:6" ht="14.5">
      <c r="A789" t="s">
        <v>5165</v>
      </c>
      <c r="B789" s="380" t="str">
        <f t="shared" si="12"/>
        <v>156-902</v>
      </c>
      <c r="C789" s="2043">
        <v>0</v>
      </c>
      <c r="D789" s="2043">
        <v>1228319</v>
      </c>
      <c r="E789">
        <v>0.87470000000000003</v>
      </c>
      <c r="F789" s="2043">
        <v>11309174</v>
      </c>
    </row>
    <row r="790" spans="1:6" ht="14.5">
      <c r="A790" t="s">
        <v>5166</v>
      </c>
      <c r="B790" s="380" t="str">
        <f t="shared" si="12"/>
        <v>156-905</v>
      </c>
      <c r="C790" s="2043">
        <v>0</v>
      </c>
      <c r="D790" s="2043">
        <v>223777</v>
      </c>
      <c r="E790">
        <v>0.87470000000000003</v>
      </c>
      <c r="F790" s="2043">
        <v>13142699</v>
      </c>
    </row>
    <row r="791" spans="1:6" ht="14.5">
      <c r="A791" t="s">
        <v>5167</v>
      </c>
      <c r="B791" s="380" t="str">
        <f t="shared" si="12"/>
        <v>157-901</v>
      </c>
      <c r="C791" s="2043">
        <v>0</v>
      </c>
      <c r="D791" s="2043">
        <v>296100</v>
      </c>
      <c r="E791">
        <v>0.99370000000000003</v>
      </c>
      <c r="F791" s="2043">
        <v>594937</v>
      </c>
    </row>
    <row r="792" spans="1:6" ht="14.5">
      <c r="A792" t="s">
        <v>5168</v>
      </c>
      <c r="B792" s="380" t="str">
        <f t="shared" si="12"/>
        <v>158-901</v>
      </c>
      <c r="C792" s="2043">
        <v>0</v>
      </c>
      <c r="D792" s="2043">
        <v>3858671</v>
      </c>
      <c r="E792">
        <v>0.9425</v>
      </c>
      <c r="F792" s="2043">
        <v>7091448</v>
      </c>
    </row>
    <row r="793" spans="1:6" ht="14.5">
      <c r="A793" t="s">
        <v>5169</v>
      </c>
      <c r="B793" s="380" t="str">
        <f t="shared" si="12"/>
        <v>158-902</v>
      </c>
      <c r="C793" s="2043">
        <v>0</v>
      </c>
      <c r="D793" s="2043">
        <v>796724</v>
      </c>
      <c r="E793">
        <v>0.95640000000000003</v>
      </c>
      <c r="F793" s="2043">
        <v>2678526</v>
      </c>
    </row>
    <row r="794" spans="1:6" ht="14.5">
      <c r="A794" t="s">
        <v>5170</v>
      </c>
      <c r="B794" s="380" t="str">
        <f t="shared" si="12"/>
        <v>158-904</v>
      </c>
      <c r="C794" s="2043">
        <v>0</v>
      </c>
      <c r="D794" s="2043">
        <v>41254</v>
      </c>
      <c r="E794">
        <v>0.89980000000000004</v>
      </c>
      <c r="F794" s="2043">
        <v>299855</v>
      </c>
    </row>
    <row r="795" spans="1:6" ht="14.5">
      <c r="A795" t="s">
        <v>5171</v>
      </c>
      <c r="B795" s="380" t="str">
        <f t="shared" si="12"/>
        <v>158-905</v>
      </c>
      <c r="C795" s="2043">
        <v>0</v>
      </c>
      <c r="D795" s="2043">
        <v>459078</v>
      </c>
      <c r="E795">
        <v>0.96640000000000004</v>
      </c>
      <c r="F795" s="2043">
        <v>1998469</v>
      </c>
    </row>
    <row r="796" spans="1:6" ht="14.5">
      <c r="A796" t="s">
        <v>5847</v>
      </c>
      <c r="B796" s="380" t="str">
        <f t="shared" si="12"/>
        <v>158-906</v>
      </c>
      <c r="C796" s="2043">
        <v>0</v>
      </c>
      <c r="D796" s="2043">
        <v>1149540</v>
      </c>
      <c r="E796">
        <v>0.89740000000000009</v>
      </c>
      <c r="F796" s="2043">
        <v>5854816</v>
      </c>
    </row>
    <row r="797" spans="1:6" ht="14.5">
      <c r="A797" t="s">
        <v>3117</v>
      </c>
      <c r="B797" s="380" t="str">
        <f t="shared" si="12"/>
        <v>159-901</v>
      </c>
      <c r="C797" s="2043">
        <v>1726154</v>
      </c>
      <c r="D797" s="2043">
        <v>636667</v>
      </c>
      <c r="E797">
        <v>1.0519000000000001</v>
      </c>
      <c r="F797" s="2043">
        <v>2524585</v>
      </c>
    </row>
    <row r="798" spans="1:6" ht="14.5">
      <c r="A798" t="s">
        <v>3118</v>
      </c>
      <c r="B798" s="380" t="str">
        <f t="shared" si="12"/>
        <v>160-901</v>
      </c>
      <c r="C798" s="2043">
        <v>657732</v>
      </c>
      <c r="D798" s="2043">
        <v>641408</v>
      </c>
      <c r="E798">
        <v>0.96640000000000004</v>
      </c>
      <c r="F798" s="2043">
        <v>1834304</v>
      </c>
    </row>
    <row r="799" spans="1:6" ht="14.5">
      <c r="A799" t="s">
        <v>5848</v>
      </c>
      <c r="B799" s="380" t="str">
        <f t="shared" si="12"/>
        <v>160-904</v>
      </c>
      <c r="C799" s="2043">
        <v>0</v>
      </c>
      <c r="D799" s="2043">
        <v>0</v>
      </c>
      <c r="E799">
        <v>0.95530000000000004</v>
      </c>
      <c r="F799" s="2043">
        <v>0</v>
      </c>
    </row>
    <row r="800" spans="1:6" ht="14.5">
      <c r="A800" t="s">
        <v>3119</v>
      </c>
      <c r="B800" s="380" t="str">
        <f t="shared" si="12"/>
        <v>160-905</v>
      </c>
      <c r="C800" s="2043">
        <v>89815</v>
      </c>
      <c r="D800" s="2043">
        <v>0</v>
      </c>
      <c r="E800">
        <v>1.0223</v>
      </c>
      <c r="F800" s="2043">
        <v>65372</v>
      </c>
    </row>
    <row r="801" spans="1:6" ht="14.5">
      <c r="A801" t="s">
        <v>8059</v>
      </c>
      <c r="B801" s="380" t="str">
        <f t="shared" si="12"/>
        <v>161-801</v>
      </c>
      <c r="C801" s="2043">
        <v>0</v>
      </c>
      <c r="D801" s="2043">
        <v>0</v>
      </c>
      <c r="E801">
        <v>0</v>
      </c>
      <c r="F801" s="2043">
        <v>0</v>
      </c>
    </row>
    <row r="802" spans="1:6" ht="14.5">
      <c r="A802" t="s">
        <v>8060</v>
      </c>
      <c r="B802" s="380" t="str">
        <f t="shared" si="12"/>
        <v>161-802</v>
      </c>
      <c r="C802" s="2043">
        <v>0</v>
      </c>
      <c r="D802" s="2043">
        <v>0</v>
      </c>
      <c r="E802">
        <v>0</v>
      </c>
      <c r="F802" s="2043">
        <v>0</v>
      </c>
    </row>
    <row r="803" spans="1:6" ht="14.5">
      <c r="A803" t="s">
        <v>8061</v>
      </c>
      <c r="B803" s="380" t="str">
        <f t="shared" si="12"/>
        <v>161-807</v>
      </c>
      <c r="C803" s="2043">
        <v>0</v>
      </c>
      <c r="D803" s="2043">
        <v>0</v>
      </c>
      <c r="E803">
        <v>0</v>
      </c>
      <c r="F803" s="2043">
        <v>0</v>
      </c>
    </row>
    <row r="804" spans="1:6" ht="14.5">
      <c r="A804" t="s">
        <v>3120</v>
      </c>
      <c r="B804" s="380" t="str">
        <f t="shared" si="12"/>
        <v>161-901</v>
      </c>
      <c r="C804" s="2043">
        <v>233275</v>
      </c>
      <c r="D804" s="2043">
        <v>148404</v>
      </c>
      <c r="E804">
        <v>1.0105999999999999</v>
      </c>
      <c r="F804" s="2043">
        <v>471584</v>
      </c>
    </row>
    <row r="805" spans="1:6" ht="14.5">
      <c r="A805" t="s">
        <v>5172</v>
      </c>
      <c r="B805" s="380" t="str">
        <f t="shared" si="12"/>
        <v>161-903</v>
      </c>
      <c r="C805" s="2043">
        <v>0</v>
      </c>
      <c r="D805" s="2043">
        <v>9163662</v>
      </c>
      <c r="E805">
        <v>0.96640000000000004</v>
      </c>
      <c r="F805" s="2043">
        <v>15552886</v>
      </c>
    </row>
    <row r="806" spans="1:6" ht="14.5">
      <c r="A806" t="s">
        <v>3121</v>
      </c>
      <c r="B806" s="380" t="str">
        <f t="shared" si="12"/>
        <v>161-906</v>
      </c>
      <c r="C806" s="2043">
        <v>1118779</v>
      </c>
      <c r="D806" s="2043">
        <v>1125981</v>
      </c>
      <c r="E806">
        <v>1.0547</v>
      </c>
      <c r="F806" s="2043">
        <v>2474259</v>
      </c>
    </row>
    <row r="807" spans="1:6" ht="14.5">
      <c r="A807" t="s">
        <v>3122</v>
      </c>
      <c r="B807" s="380" t="str">
        <f t="shared" si="12"/>
        <v>161-907</v>
      </c>
      <c r="C807" s="2043">
        <v>667467</v>
      </c>
      <c r="D807" s="2043">
        <v>1427262</v>
      </c>
      <c r="E807">
        <v>1.0206999999999999</v>
      </c>
      <c r="F807" s="2043">
        <v>1958950</v>
      </c>
    </row>
    <row r="808" spans="1:6" ht="14.5">
      <c r="A808" t="s">
        <v>3123</v>
      </c>
      <c r="B808" s="380" t="str">
        <f t="shared" si="12"/>
        <v>161-908</v>
      </c>
      <c r="C808" s="2043">
        <v>74022</v>
      </c>
      <c r="D808" s="2043">
        <v>423880</v>
      </c>
      <c r="E808">
        <v>0.96440000000000003</v>
      </c>
      <c r="F808" s="2043">
        <v>621494</v>
      </c>
    </row>
    <row r="809" spans="1:6" ht="14.5">
      <c r="A809" t="s">
        <v>3124</v>
      </c>
      <c r="B809" s="380" t="str">
        <f t="shared" si="12"/>
        <v>161-909</v>
      </c>
      <c r="C809" s="2043">
        <v>571964</v>
      </c>
      <c r="D809" s="2043">
        <v>626694</v>
      </c>
      <c r="E809">
        <v>0.9375</v>
      </c>
      <c r="F809" s="2043">
        <v>1195523</v>
      </c>
    </row>
    <row r="810" spans="1:6" ht="14.5">
      <c r="A810" t="s">
        <v>3125</v>
      </c>
      <c r="B810" s="380" t="str">
        <f t="shared" si="12"/>
        <v>161-910</v>
      </c>
      <c r="C810" s="2043">
        <v>185967</v>
      </c>
      <c r="D810" s="2043">
        <v>423421</v>
      </c>
      <c r="E810">
        <v>0.98910000000000009</v>
      </c>
      <c r="F810" s="2043">
        <v>512761</v>
      </c>
    </row>
    <row r="811" spans="1:6" ht="14.5">
      <c r="A811" t="s">
        <v>3126</v>
      </c>
      <c r="B811" s="380" t="str">
        <f t="shared" si="12"/>
        <v>161-912</v>
      </c>
      <c r="C811" s="2043">
        <v>188386</v>
      </c>
      <c r="D811" s="2043">
        <v>616619</v>
      </c>
      <c r="E811">
        <v>0.9204</v>
      </c>
      <c r="F811" s="2043">
        <v>2314785</v>
      </c>
    </row>
    <row r="812" spans="1:6" ht="14.5">
      <c r="A812" t="s">
        <v>3127</v>
      </c>
      <c r="B812" s="380" t="str">
        <f t="shared" si="12"/>
        <v>161-914</v>
      </c>
      <c r="C812" s="2043">
        <v>2795596</v>
      </c>
      <c r="D812" s="2043">
        <v>10851318</v>
      </c>
      <c r="E812">
        <v>1.0398000000000001</v>
      </c>
      <c r="F812" s="2043">
        <v>15185781</v>
      </c>
    </row>
    <row r="813" spans="1:6" ht="14.5">
      <c r="A813" t="s">
        <v>3128</v>
      </c>
      <c r="B813" s="380" t="str">
        <f t="shared" si="12"/>
        <v>161-916</v>
      </c>
      <c r="C813" s="2043">
        <v>489842</v>
      </c>
      <c r="D813" s="2043">
        <v>345158</v>
      </c>
      <c r="E813">
        <v>0.96640000000000004</v>
      </c>
      <c r="F813" s="2043">
        <v>889707</v>
      </c>
    </row>
    <row r="814" spans="1:6" ht="14.5">
      <c r="A814" t="s">
        <v>5849</v>
      </c>
      <c r="B814" s="380" t="str">
        <f t="shared" si="12"/>
        <v>161-918</v>
      </c>
      <c r="C814" s="2043">
        <v>0</v>
      </c>
      <c r="D814" s="2043">
        <v>0</v>
      </c>
      <c r="E814">
        <v>1.0272000000000001</v>
      </c>
      <c r="F814" s="2043">
        <v>0</v>
      </c>
    </row>
    <row r="815" spans="1:6" ht="14.5">
      <c r="A815" t="s">
        <v>3129</v>
      </c>
      <c r="B815" s="380" t="str">
        <f t="shared" si="12"/>
        <v>161-919</v>
      </c>
      <c r="C815" s="2043">
        <v>204185</v>
      </c>
      <c r="D815" s="2043">
        <v>203830</v>
      </c>
      <c r="E815">
        <v>1.0305</v>
      </c>
      <c r="F815" s="2043">
        <v>353906</v>
      </c>
    </row>
    <row r="816" spans="1:6" ht="14.5">
      <c r="A816" t="s">
        <v>3130</v>
      </c>
      <c r="B816" s="380" t="str">
        <f t="shared" si="12"/>
        <v>161-920</v>
      </c>
      <c r="C816" s="2043">
        <v>1148856</v>
      </c>
      <c r="D816" s="2043">
        <v>1565873</v>
      </c>
      <c r="E816">
        <v>0.93330000000000002</v>
      </c>
      <c r="F816" s="2043">
        <v>3562824</v>
      </c>
    </row>
    <row r="817" spans="1:6" ht="14.5">
      <c r="A817" t="s">
        <v>3131</v>
      </c>
      <c r="B817" s="380" t="str">
        <f t="shared" si="12"/>
        <v>161-921</v>
      </c>
      <c r="C817" s="2043">
        <v>590544</v>
      </c>
      <c r="D817" s="2043">
        <v>890357</v>
      </c>
      <c r="E817">
        <v>1.0547</v>
      </c>
      <c r="F817" s="2043">
        <v>1580173</v>
      </c>
    </row>
    <row r="818" spans="1:6" ht="14.5">
      <c r="A818" t="s">
        <v>3132</v>
      </c>
      <c r="B818" s="380" t="str">
        <f t="shared" si="12"/>
        <v>161-922</v>
      </c>
      <c r="C818" s="2043">
        <v>486000</v>
      </c>
      <c r="D818" s="2043">
        <v>1544189</v>
      </c>
      <c r="E818">
        <v>1.0164</v>
      </c>
      <c r="F818" s="2043">
        <v>2033976</v>
      </c>
    </row>
    <row r="819" spans="1:6" ht="14.5">
      <c r="A819" t="s">
        <v>3133</v>
      </c>
      <c r="B819" s="380" t="str">
        <f t="shared" si="12"/>
        <v>161-923</v>
      </c>
      <c r="C819" s="2043">
        <v>50221</v>
      </c>
      <c r="D819" s="2043">
        <v>349370</v>
      </c>
      <c r="E819">
        <v>1.0369000000000002</v>
      </c>
      <c r="F819" s="2043">
        <v>429555</v>
      </c>
    </row>
    <row r="820" spans="1:6" ht="14.5">
      <c r="A820" t="s">
        <v>5173</v>
      </c>
      <c r="B820" s="380" t="str">
        <f t="shared" si="12"/>
        <v>161-924</v>
      </c>
      <c r="C820" s="2043">
        <v>0</v>
      </c>
      <c r="D820" s="2043">
        <v>127572</v>
      </c>
      <c r="E820">
        <v>0.94240000000000002</v>
      </c>
      <c r="F820" s="2043">
        <v>134391</v>
      </c>
    </row>
    <row r="821" spans="1:6" ht="14.5">
      <c r="A821" t="s">
        <v>5850</v>
      </c>
      <c r="B821" s="380" t="str">
        <f t="shared" si="12"/>
        <v>161-925</v>
      </c>
      <c r="C821" s="2043">
        <v>0</v>
      </c>
      <c r="D821" s="2043">
        <v>0</v>
      </c>
      <c r="E821">
        <v>0.9264</v>
      </c>
      <c r="F821" s="2043">
        <v>0</v>
      </c>
    </row>
    <row r="822" spans="1:6" ht="14.5">
      <c r="A822" t="s">
        <v>8511</v>
      </c>
      <c r="B822" s="380" t="str">
        <f t="shared" si="12"/>
        <v>161-950</v>
      </c>
      <c r="C822" s="2043">
        <v>0</v>
      </c>
      <c r="D822" s="2043">
        <v>0</v>
      </c>
      <c r="E822">
        <v>0</v>
      </c>
      <c r="F822" s="2043">
        <v>0</v>
      </c>
    </row>
    <row r="823" spans="1:6" ht="14.5">
      <c r="A823" t="s">
        <v>5174</v>
      </c>
      <c r="B823" s="380" t="str">
        <f t="shared" si="12"/>
        <v>162-904</v>
      </c>
      <c r="C823" s="2043">
        <v>0</v>
      </c>
      <c r="D823" s="2043">
        <v>179656</v>
      </c>
      <c r="E823">
        <v>0.95210000000000006</v>
      </c>
      <c r="F823" s="2043">
        <v>4651494</v>
      </c>
    </row>
    <row r="824" spans="1:6" ht="14.5">
      <c r="A824" t="s">
        <v>3134</v>
      </c>
      <c r="B824" s="380" t="str">
        <f t="shared" si="12"/>
        <v>163-901</v>
      </c>
      <c r="C824" s="2043">
        <v>598742</v>
      </c>
      <c r="D824" s="2043">
        <v>134761</v>
      </c>
      <c r="E824">
        <v>1.0272000000000001</v>
      </c>
      <c r="F824" s="2043">
        <v>1018731</v>
      </c>
    </row>
    <row r="825" spans="1:6" ht="14.5">
      <c r="A825" t="s">
        <v>3135</v>
      </c>
      <c r="B825" s="380" t="str">
        <f t="shared" si="12"/>
        <v>163-902</v>
      </c>
      <c r="C825" s="2043">
        <v>195031</v>
      </c>
      <c r="D825" s="2043">
        <v>41343</v>
      </c>
      <c r="E825">
        <v>0.92220000000000002</v>
      </c>
      <c r="F825" s="2043">
        <v>305841</v>
      </c>
    </row>
    <row r="826" spans="1:6" ht="14.5">
      <c r="A826" t="s">
        <v>3136</v>
      </c>
      <c r="B826" s="380" t="str">
        <f t="shared" si="12"/>
        <v>163-903</v>
      </c>
      <c r="C826" s="2043">
        <v>189000</v>
      </c>
      <c r="D826" s="2043">
        <v>107737</v>
      </c>
      <c r="E826">
        <v>1.0037</v>
      </c>
      <c r="F826" s="2043">
        <v>836300</v>
      </c>
    </row>
    <row r="827" spans="1:6" ht="14.5">
      <c r="A827" t="s">
        <v>3137</v>
      </c>
      <c r="B827" s="380" t="str">
        <f t="shared" si="12"/>
        <v>163-904</v>
      </c>
      <c r="C827" s="2043">
        <v>777596</v>
      </c>
      <c r="D827" s="2043">
        <v>1602529</v>
      </c>
      <c r="E827">
        <v>0.89880000000000004</v>
      </c>
      <c r="F827" s="2043">
        <v>2485106</v>
      </c>
    </row>
    <row r="828" spans="1:6" ht="14.5">
      <c r="A828" t="s">
        <v>3138</v>
      </c>
      <c r="B828" s="380" t="str">
        <f t="shared" si="12"/>
        <v>163-908</v>
      </c>
      <c r="C828" s="2043">
        <v>2497045</v>
      </c>
      <c r="D828" s="2043">
        <v>6776694</v>
      </c>
      <c r="E828">
        <v>0.87130000000000007</v>
      </c>
      <c r="F828" s="2043">
        <v>11891291</v>
      </c>
    </row>
    <row r="829" spans="1:6" ht="14.5">
      <c r="A829" t="s">
        <v>5851</v>
      </c>
      <c r="B829" s="380" t="str">
        <f t="shared" si="12"/>
        <v>164-901</v>
      </c>
      <c r="C829" s="2043">
        <v>0</v>
      </c>
      <c r="D829" s="2043">
        <v>0</v>
      </c>
      <c r="E829">
        <v>0.97</v>
      </c>
      <c r="F829" s="2043">
        <v>0</v>
      </c>
    </row>
    <row r="830" spans="1:6" ht="14.5">
      <c r="A830" t="s">
        <v>8062</v>
      </c>
      <c r="B830" s="380" t="str">
        <f t="shared" si="12"/>
        <v>165-802</v>
      </c>
      <c r="C830" s="2043">
        <v>0</v>
      </c>
      <c r="D830" s="2043">
        <v>0</v>
      </c>
      <c r="E830">
        <v>0</v>
      </c>
      <c r="F830" s="2043">
        <v>0</v>
      </c>
    </row>
    <row r="831" spans="1:6" ht="14.5">
      <c r="A831" t="s">
        <v>3139</v>
      </c>
      <c r="B831" s="380" t="str">
        <f t="shared" si="12"/>
        <v>165-901</v>
      </c>
      <c r="C831" s="2043">
        <v>0</v>
      </c>
      <c r="D831" s="2043">
        <v>9097339</v>
      </c>
      <c r="E831">
        <v>0.95640000000000003</v>
      </c>
      <c r="F831" s="2043">
        <v>25023473</v>
      </c>
    </row>
    <row r="832" spans="1:6" ht="14.5">
      <c r="A832" t="s">
        <v>5175</v>
      </c>
      <c r="B832" s="380" t="str">
        <f t="shared" si="12"/>
        <v>165-902</v>
      </c>
      <c r="C832" s="2043">
        <v>0</v>
      </c>
      <c r="D832" s="2043">
        <v>3093070</v>
      </c>
      <c r="E832">
        <v>0.96010000000000006</v>
      </c>
      <c r="F832" s="2043">
        <v>4764609</v>
      </c>
    </row>
    <row r="833" spans="1:6" ht="14.5">
      <c r="A833" t="s">
        <v>8512</v>
      </c>
      <c r="B833" s="380" t="str">
        <f t="shared" si="12"/>
        <v>165-950</v>
      </c>
      <c r="C833" s="2043">
        <v>0</v>
      </c>
      <c r="D833" s="2043">
        <v>0</v>
      </c>
      <c r="E833">
        <v>0</v>
      </c>
      <c r="F833" s="2043">
        <v>0</v>
      </c>
    </row>
    <row r="834" spans="1:6" ht="14.5">
      <c r="A834" t="s">
        <v>3140</v>
      </c>
      <c r="B834" s="380" t="str">
        <f t="shared" si="12"/>
        <v>166-901</v>
      </c>
      <c r="C834" s="2043">
        <v>685865</v>
      </c>
      <c r="D834" s="2043">
        <v>711528</v>
      </c>
      <c r="E834">
        <v>0.96140000000000003</v>
      </c>
      <c r="F834" s="2043">
        <v>1406582</v>
      </c>
    </row>
    <row r="835" spans="1:6" ht="14.5">
      <c r="A835" t="s">
        <v>5852</v>
      </c>
      <c r="B835" s="380" t="str">
        <f t="shared" si="12"/>
        <v>166-902</v>
      </c>
      <c r="C835" s="2043">
        <v>0</v>
      </c>
      <c r="D835" s="2043">
        <v>0</v>
      </c>
      <c r="E835">
        <v>0.87470000000000003</v>
      </c>
      <c r="F835" s="2043">
        <v>0</v>
      </c>
    </row>
    <row r="836" spans="1:6" ht="14.5">
      <c r="A836" t="s">
        <v>5176</v>
      </c>
      <c r="B836" s="380" t="str">
        <f t="shared" ref="B836:B899" si="13">CONCATENATE(LEFT(RIGHT(CONCATENATE("000",A836),6),3),"-",(RIGHT(RIGHT(CONCATENATE("000",A836),6),3)))</f>
        <v>166-903</v>
      </c>
      <c r="C836" s="2043">
        <v>0</v>
      </c>
      <c r="D836" s="2043">
        <v>376651</v>
      </c>
      <c r="E836">
        <v>1.0547</v>
      </c>
      <c r="F836" s="2043">
        <v>417474</v>
      </c>
    </row>
    <row r="837" spans="1:6" ht="14.5">
      <c r="A837" t="s">
        <v>5177</v>
      </c>
      <c r="B837" s="380" t="str">
        <f t="shared" si="13"/>
        <v>166-904</v>
      </c>
      <c r="C837" s="2043">
        <v>0</v>
      </c>
      <c r="D837" s="2043">
        <v>645502</v>
      </c>
      <c r="E837">
        <v>0.97440000000000004</v>
      </c>
      <c r="F837" s="2043">
        <v>1791044</v>
      </c>
    </row>
    <row r="838" spans="1:6" ht="14.5">
      <c r="A838" t="s">
        <v>5178</v>
      </c>
      <c r="B838" s="380" t="str">
        <f t="shared" si="13"/>
        <v>166-905</v>
      </c>
      <c r="C838" s="2043">
        <v>0</v>
      </c>
      <c r="D838" s="2043">
        <v>0</v>
      </c>
      <c r="E838">
        <v>1.008</v>
      </c>
      <c r="F838" s="2043">
        <v>109</v>
      </c>
    </row>
    <row r="839" spans="1:6" ht="14.5">
      <c r="A839" t="s">
        <v>3141</v>
      </c>
      <c r="B839" s="380" t="str">
        <f t="shared" si="13"/>
        <v>166-907</v>
      </c>
      <c r="C839" s="2043">
        <v>26090</v>
      </c>
      <c r="D839" s="2043">
        <v>0</v>
      </c>
      <c r="E839">
        <v>0.96640000000000004</v>
      </c>
      <c r="F839" s="2043">
        <v>33245</v>
      </c>
    </row>
    <row r="840" spans="1:6" ht="14.5">
      <c r="A840" t="s">
        <v>3142</v>
      </c>
      <c r="B840" s="380" t="str">
        <f t="shared" si="13"/>
        <v>167-901</v>
      </c>
      <c r="C840" s="2043">
        <v>148195</v>
      </c>
      <c r="D840" s="2043">
        <v>441330</v>
      </c>
      <c r="E840">
        <v>0.96640000000000004</v>
      </c>
      <c r="F840" s="2043">
        <v>1047503</v>
      </c>
    </row>
    <row r="841" spans="1:6" ht="14.5">
      <c r="A841" t="s">
        <v>5853</v>
      </c>
      <c r="B841" s="380" t="str">
        <f t="shared" si="13"/>
        <v>167-902</v>
      </c>
      <c r="C841" s="2043">
        <v>0</v>
      </c>
      <c r="D841" s="2043">
        <v>0</v>
      </c>
      <c r="E841">
        <v>0.96640000000000004</v>
      </c>
      <c r="F841" s="2043">
        <v>0</v>
      </c>
    </row>
    <row r="842" spans="1:6" ht="14.5">
      <c r="A842" t="s">
        <v>3143</v>
      </c>
      <c r="B842" s="380" t="str">
        <f t="shared" si="13"/>
        <v>167-904</v>
      </c>
      <c r="C842" s="2043">
        <v>0</v>
      </c>
      <c r="D842" s="2043">
        <v>0</v>
      </c>
      <c r="E842">
        <v>0.92020000000000002</v>
      </c>
      <c r="F842" s="2043">
        <v>171824</v>
      </c>
    </row>
    <row r="843" spans="1:6" ht="14.5">
      <c r="A843" t="s">
        <v>5179</v>
      </c>
      <c r="B843" s="380" t="str">
        <f t="shared" si="13"/>
        <v>168-901</v>
      </c>
      <c r="C843" s="2043">
        <v>0</v>
      </c>
      <c r="D843" s="2043">
        <v>980051</v>
      </c>
      <c r="E843">
        <v>1.0547</v>
      </c>
      <c r="F843" s="2043">
        <v>2100535</v>
      </c>
    </row>
    <row r="844" spans="1:6" ht="14.5">
      <c r="A844" t="s">
        <v>5180</v>
      </c>
      <c r="B844" s="380" t="str">
        <f t="shared" si="13"/>
        <v>168-902</v>
      </c>
      <c r="C844" s="2043">
        <v>0</v>
      </c>
      <c r="D844" s="2043">
        <v>165495</v>
      </c>
      <c r="E844">
        <v>0.96640000000000004</v>
      </c>
      <c r="F844" s="2043">
        <v>807899</v>
      </c>
    </row>
    <row r="845" spans="1:6" ht="14.5">
      <c r="A845" t="s">
        <v>5854</v>
      </c>
      <c r="B845" s="380" t="str">
        <f t="shared" si="13"/>
        <v>168-903</v>
      </c>
      <c r="C845" s="2043">
        <v>0</v>
      </c>
      <c r="D845" s="2043">
        <v>0</v>
      </c>
      <c r="E845">
        <v>0.96640000000000004</v>
      </c>
      <c r="F845" s="2043">
        <v>0</v>
      </c>
    </row>
    <row r="846" spans="1:6" ht="14.5">
      <c r="A846" t="s">
        <v>3144</v>
      </c>
      <c r="B846" s="380" t="str">
        <f t="shared" si="13"/>
        <v>169-901</v>
      </c>
      <c r="C846" s="2043">
        <v>357946</v>
      </c>
      <c r="D846" s="2043">
        <v>850688</v>
      </c>
      <c r="E846">
        <v>0.96640000000000004</v>
      </c>
      <c r="F846" s="2043">
        <v>1787412</v>
      </c>
    </row>
    <row r="847" spans="1:6" ht="14.5">
      <c r="A847" t="s">
        <v>5855</v>
      </c>
      <c r="B847" s="380" t="str">
        <f t="shared" si="13"/>
        <v>169-902</v>
      </c>
      <c r="C847" s="2043">
        <v>0</v>
      </c>
      <c r="D847" s="2043">
        <v>0</v>
      </c>
      <c r="E847">
        <v>0.96640000000000004</v>
      </c>
      <c r="F847" s="2043">
        <v>0</v>
      </c>
    </row>
    <row r="848" spans="1:6" ht="14.5">
      <c r="A848" t="s">
        <v>5181</v>
      </c>
      <c r="B848" s="380" t="str">
        <f t="shared" si="13"/>
        <v>169-906</v>
      </c>
      <c r="C848" s="2043">
        <v>0</v>
      </c>
      <c r="D848" s="2043">
        <v>0</v>
      </c>
      <c r="E848">
        <v>0.90780000000000005</v>
      </c>
      <c r="F848" s="2043">
        <v>0</v>
      </c>
    </row>
    <row r="849" spans="1:6" ht="14.5">
      <c r="A849" t="s">
        <v>5856</v>
      </c>
      <c r="B849" s="380" t="str">
        <f t="shared" si="13"/>
        <v>169-908</v>
      </c>
      <c r="C849" s="2043">
        <v>0</v>
      </c>
      <c r="D849" s="2043">
        <v>0</v>
      </c>
      <c r="E849">
        <v>1.0547</v>
      </c>
      <c r="F849" s="2043">
        <v>0</v>
      </c>
    </row>
    <row r="850" spans="1:6" ht="14.5">
      <c r="A850" t="s">
        <v>5857</v>
      </c>
      <c r="B850" s="380" t="str">
        <f t="shared" si="13"/>
        <v>169-909</v>
      </c>
      <c r="C850" s="2043">
        <v>0</v>
      </c>
      <c r="D850" s="2043">
        <v>0</v>
      </c>
      <c r="E850">
        <v>0.96640000000000004</v>
      </c>
      <c r="F850" s="2043">
        <v>0</v>
      </c>
    </row>
    <row r="851" spans="1:6" ht="14.5">
      <c r="A851" t="s">
        <v>5182</v>
      </c>
      <c r="B851" s="380" t="str">
        <f t="shared" si="13"/>
        <v>169-910</v>
      </c>
      <c r="C851" s="2043">
        <v>0</v>
      </c>
      <c r="D851" s="2043">
        <v>0</v>
      </c>
      <c r="E851">
        <v>0.96640000000000004</v>
      </c>
      <c r="F851" s="2043">
        <v>0</v>
      </c>
    </row>
    <row r="852" spans="1:6" ht="14.5">
      <c r="A852" t="s">
        <v>5183</v>
      </c>
      <c r="B852" s="380" t="str">
        <f t="shared" si="13"/>
        <v>169-911</v>
      </c>
      <c r="C852" s="2043">
        <v>0</v>
      </c>
      <c r="D852" s="2043">
        <v>408</v>
      </c>
      <c r="E852">
        <v>1.0547</v>
      </c>
      <c r="F852" s="2043">
        <v>506623</v>
      </c>
    </row>
    <row r="853" spans="1:6" ht="14.5">
      <c r="A853" t="s">
        <v>8063</v>
      </c>
      <c r="B853" s="380" t="str">
        <f t="shared" si="13"/>
        <v>170-801</v>
      </c>
      <c r="C853" s="2043">
        <v>0</v>
      </c>
      <c r="D853" s="2043">
        <v>0</v>
      </c>
      <c r="E853">
        <v>0</v>
      </c>
      <c r="F853" s="2043">
        <v>0</v>
      </c>
    </row>
    <row r="854" spans="1:6" ht="14.5">
      <c r="A854" t="s">
        <v>3145</v>
      </c>
      <c r="B854" s="380" t="str">
        <f t="shared" si="13"/>
        <v>170-902</v>
      </c>
      <c r="C854" s="2043">
        <v>398132</v>
      </c>
      <c r="D854" s="2043">
        <v>57210166</v>
      </c>
      <c r="E854">
        <v>0.95250000000000001</v>
      </c>
      <c r="F854" s="2043">
        <v>102727991</v>
      </c>
    </row>
    <row r="855" spans="1:6" ht="14.5">
      <c r="A855" t="s">
        <v>5184</v>
      </c>
      <c r="B855" s="380" t="str">
        <f t="shared" si="13"/>
        <v>170-903</v>
      </c>
      <c r="C855" s="2043">
        <v>0</v>
      </c>
      <c r="D855" s="2043">
        <v>9789433</v>
      </c>
      <c r="E855">
        <v>0.94230000000000003</v>
      </c>
      <c r="F855" s="2043">
        <v>22364881</v>
      </c>
    </row>
    <row r="856" spans="1:6" ht="14.5">
      <c r="A856" t="s">
        <v>3146</v>
      </c>
      <c r="B856" s="380" t="str">
        <f t="shared" si="13"/>
        <v>170-904</v>
      </c>
      <c r="C856" s="2043">
        <v>2365473</v>
      </c>
      <c r="D856" s="2043">
        <v>8084702</v>
      </c>
      <c r="E856">
        <v>0.91710000000000003</v>
      </c>
      <c r="F856" s="2043">
        <v>12705171</v>
      </c>
    </row>
    <row r="857" spans="1:6" ht="14.5">
      <c r="A857" t="s">
        <v>3147</v>
      </c>
      <c r="B857" s="380" t="str">
        <f t="shared" si="13"/>
        <v>170-906</v>
      </c>
      <c r="C857" s="2043">
        <v>1705458</v>
      </c>
      <c r="D857" s="2043">
        <v>14293832</v>
      </c>
      <c r="E857">
        <v>0.93490000000000006</v>
      </c>
      <c r="F857" s="2043">
        <v>25299621</v>
      </c>
    </row>
    <row r="858" spans="1:6" ht="14.5">
      <c r="A858" t="s">
        <v>3148</v>
      </c>
      <c r="B858" s="380" t="str">
        <f t="shared" si="13"/>
        <v>170-907</v>
      </c>
      <c r="C858" s="2043">
        <v>1599561</v>
      </c>
      <c r="D858" s="2043">
        <v>2794004</v>
      </c>
      <c r="E858">
        <v>0.97510000000000008</v>
      </c>
      <c r="F858" s="2043">
        <v>4209575</v>
      </c>
    </row>
    <row r="859" spans="1:6" ht="14.5">
      <c r="A859" t="s">
        <v>3149</v>
      </c>
      <c r="B859" s="380" t="str">
        <f t="shared" si="13"/>
        <v>170-908</v>
      </c>
      <c r="C859" s="2043">
        <v>6972254</v>
      </c>
      <c r="D859" s="2043">
        <v>15204846</v>
      </c>
      <c r="E859">
        <v>0.97610000000000008</v>
      </c>
      <c r="F859" s="2043">
        <v>26167689</v>
      </c>
    </row>
    <row r="860" spans="1:6" ht="14.5">
      <c r="A860" t="s">
        <v>5185</v>
      </c>
      <c r="B860" s="380" t="str">
        <f t="shared" si="13"/>
        <v>171-901</v>
      </c>
      <c r="C860" s="2043">
        <v>0</v>
      </c>
      <c r="D860" s="2043">
        <v>1738599</v>
      </c>
      <c r="E860">
        <v>0.96640000000000004</v>
      </c>
      <c r="F860" s="2043">
        <v>7808953</v>
      </c>
    </row>
    <row r="861" spans="1:6" ht="14.5">
      <c r="A861" t="s">
        <v>5186</v>
      </c>
      <c r="B861" s="380" t="str">
        <f t="shared" si="13"/>
        <v>171-902</v>
      </c>
      <c r="C861" s="2043">
        <v>0</v>
      </c>
      <c r="D861" s="2043">
        <v>599771</v>
      </c>
      <c r="E861">
        <v>0.96</v>
      </c>
      <c r="F861" s="2043">
        <v>1115673</v>
      </c>
    </row>
    <row r="862" spans="1:6" ht="14.5">
      <c r="A862" t="s">
        <v>5187</v>
      </c>
      <c r="B862" s="380" t="str">
        <f t="shared" si="13"/>
        <v>172-902</v>
      </c>
      <c r="C862" s="2043">
        <v>0</v>
      </c>
      <c r="D862" s="2043">
        <v>425416</v>
      </c>
      <c r="E862">
        <v>0.96640000000000004</v>
      </c>
      <c r="F862" s="2043">
        <v>904977</v>
      </c>
    </row>
    <row r="863" spans="1:6" ht="14.5">
      <c r="A863" t="s">
        <v>5188</v>
      </c>
      <c r="B863" s="380" t="str">
        <f t="shared" si="13"/>
        <v>172-905</v>
      </c>
      <c r="C863" s="2043">
        <v>0</v>
      </c>
      <c r="D863" s="2043">
        <v>177425</v>
      </c>
      <c r="E863">
        <v>0.96640000000000004</v>
      </c>
      <c r="F863" s="2043">
        <v>209291</v>
      </c>
    </row>
    <row r="864" spans="1:6" ht="14.5">
      <c r="A864" t="s">
        <v>5858</v>
      </c>
      <c r="B864" s="380" t="str">
        <f t="shared" si="13"/>
        <v>173-901</v>
      </c>
      <c r="C864" s="2043">
        <v>0</v>
      </c>
      <c r="D864" s="2043">
        <v>0</v>
      </c>
      <c r="E864">
        <v>1.0547</v>
      </c>
      <c r="F864" s="2043">
        <v>0</v>
      </c>
    </row>
    <row r="865" spans="1:6" ht="14.5">
      <c r="A865" t="s">
        <v>8064</v>
      </c>
      <c r="B865" s="380" t="str">
        <f t="shared" si="13"/>
        <v>174-801</v>
      </c>
      <c r="C865" s="2043">
        <v>0</v>
      </c>
      <c r="D865" s="2043">
        <v>0</v>
      </c>
      <c r="E865">
        <v>0</v>
      </c>
      <c r="F865" s="2043">
        <v>0</v>
      </c>
    </row>
    <row r="866" spans="1:6" ht="14.5">
      <c r="A866" t="s">
        <v>3150</v>
      </c>
      <c r="B866" s="380" t="str">
        <f t="shared" si="13"/>
        <v>174-901</v>
      </c>
      <c r="C866" s="2043">
        <v>83150</v>
      </c>
      <c r="D866" s="2043">
        <v>0</v>
      </c>
      <c r="E866">
        <v>0.95300000000000007</v>
      </c>
      <c r="F866" s="2043">
        <v>13</v>
      </c>
    </row>
    <row r="867" spans="1:6" ht="14.5">
      <c r="A867" t="s">
        <v>5189</v>
      </c>
      <c r="B867" s="380" t="str">
        <f t="shared" si="13"/>
        <v>174-902</v>
      </c>
      <c r="C867" s="2043">
        <v>0</v>
      </c>
      <c r="D867" s="2043">
        <v>488565</v>
      </c>
      <c r="E867">
        <v>0.96640000000000004</v>
      </c>
      <c r="F867" s="2043">
        <v>468537</v>
      </c>
    </row>
    <row r="868" spans="1:6" ht="14.5">
      <c r="A868" t="s">
        <v>3151</v>
      </c>
      <c r="B868" s="380" t="str">
        <f t="shared" si="13"/>
        <v>174-903</v>
      </c>
      <c r="C868" s="2043">
        <v>98986</v>
      </c>
      <c r="D868" s="2043">
        <v>0</v>
      </c>
      <c r="E868">
        <v>1.0547</v>
      </c>
      <c r="F868" s="2043">
        <v>1608</v>
      </c>
    </row>
    <row r="869" spans="1:6" ht="14.5">
      <c r="A869" t="s">
        <v>5190</v>
      </c>
      <c r="B869" s="380" t="str">
        <f t="shared" si="13"/>
        <v>174-904</v>
      </c>
      <c r="C869" s="2043">
        <v>0</v>
      </c>
      <c r="D869" s="2043">
        <v>3604283</v>
      </c>
      <c r="E869">
        <v>1.0547</v>
      </c>
      <c r="F869" s="2043">
        <v>5221531</v>
      </c>
    </row>
    <row r="870" spans="1:6" ht="14.5">
      <c r="A870" t="s">
        <v>3152</v>
      </c>
      <c r="B870" s="380" t="str">
        <f t="shared" si="13"/>
        <v>174-906</v>
      </c>
      <c r="C870" s="2043">
        <v>171827</v>
      </c>
      <c r="D870" s="2043">
        <v>0</v>
      </c>
      <c r="E870">
        <v>0.92980000000000007</v>
      </c>
      <c r="F870" s="2043">
        <v>544829</v>
      </c>
    </row>
    <row r="871" spans="1:6" ht="14.5">
      <c r="A871" t="s">
        <v>3153</v>
      </c>
      <c r="B871" s="380" t="str">
        <f t="shared" si="13"/>
        <v>174-908</v>
      </c>
      <c r="C871" s="2043">
        <v>72621</v>
      </c>
      <c r="D871" s="2043">
        <v>255093</v>
      </c>
      <c r="E871">
        <v>0.96640000000000004</v>
      </c>
      <c r="F871" s="2043">
        <v>372252</v>
      </c>
    </row>
    <row r="872" spans="1:6" ht="14.5">
      <c r="A872" t="s">
        <v>4500</v>
      </c>
      <c r="B872" s="380" t="str">
        <f t="shared" si="13"/>
        <v>174-909</v>
      </c>
      <c r="C872" s="2043">
        <v>56042</v>
      </c>
      <c r="D872" s="2043">
        <v>24800</v>
      </c>
      <c r="E872">
        <v>1.0547</v>
      </c>
      <c r="F872" s="2043">
        <v>71146</v>
      </c>
    </row>
    <row r="873" spans="1:6" ht="14.5">
      <c r="A873" t="s">
        <v>5191</v>
      </c>
      <c r="B873" s="380" t="str">
        <f t="shared" si="13"/>
        <v>174-910</v>
      </c>
      <c r="C873" s="2043">
        <v>0</v>
      </c>
      <c r="D873" s="2043">
        <v>39769</v>
      </c>
      <c r="E873">
        <v>1.0547</v>
      </c>
      <c r="F873" s="2043">
        <v>147393</v>
      </c>
    </row>
    <row r="874" spans="1:6" ht="14.5">
      <c r="A874" t="s">
        <v>5859</v>
      </c>
      <c r="B874" s="380" t="str">
        <f t="shared" si="13"/>
        <v>174-911</v>
      </c>
      <c r="C874" s="2043">
        <v>0</v>
      </c>
      <c r="D874" s="2043">
        <v>0</v>
      </c>
      <c r="E874">
        <v>0.96220000000000006</v>
      </c>
      <c r="F874" s="2043">
        <v>0</v>
      </c>
    </row>
    <row r="875" spans="1:6" ht="14.5">
      <c r="A875" t="s">
        <v>5192</v>
      </c>
      <c r="B875" s="380" t="str">
        <f t="shared" si="13"/>
        <v>175-902</v>
      </c>
      <c r="C875" s="2043">
        <v>0</v>
      </c>
      <c r="D875" s="2043">
        <v>142396</v>
      </c>
      <c r="E875">
        <v>0.90470000000000006</v>
      </c>
      <c r="F875" s="2043">
        <v>149371</v>
      </c>
    </row>
    <row r="876" spans="1:6" ht="14.5">
      <c r="A876" t="s">
        <v>3154</v>
      </c>
      <c r="B876" s="380" t="str">
        <f t="shared" si="13"/>
        <v>175-903</v>
      </c>
      <c r="C876" s="2043">
        <v>2558149</v>
      </c>
      <c r="D876" s="2043">
        <v>3362816</v>
      </c>
      <c r="E876">
        <v>0.96640000000000004</v>
      </c>
      <c r="F876" s="2043">
        <v>6348804</v>
      </c>
    </row>
    <row r="877" spans="1:6" ht="14.5">
      <c r="A877" t="s">
        <v>3155</v>
      </c>
      <c r="B877" s="380" t="str">
        <f t="shared" si="13"/>
        <v>175-904</v>
      </c>
      <c r="C877" s="2043">
        <v>45525</v>
      </c>
      <c r="D877" s="2043">
        <v>529988</v>
      </c>
      <c r="E877">
        <v>0.90540000000000009</v>
      </c>
      <c r="F877" s="2043">
        <v>590189</v>
      </c>
    </row>
    <row r="878" spans="1:6" ht="14.5">
      <c r="A878" t="s">
        <v>5193</v>
      </c>
      <c r="B878" s="380" t="str">
        <f t="shared" si="13"/>
        <v>175-905</v>
      </c>
      <c r="C878" s="2043">
        <v>0</v>
      </c>
      <c r="D878" s="2043">
        <v>469925</v>
      </c>
      <c r="E878">
        <v>0.96300000000000008</v>
      </c>
      <c r="F878" s="2043">
        <v>569693</v>
      </c>
    </row>
    <row r="879" spans="1:6" ht="14.5">
      <c r="A879" t="s">
        <v>3156</v>
      </c>
      <c r="B879" s="380" t="str">
        <f t="shared" si="13"/>
        <v>175-907</v>
      </c>
      <c r="C879" s="2043">
        <v>102496</v>
      </c>
      <c r="D879" s="2043">
        <v>576045</v>
      </c>
      <c r="E879">
        <v>0.90910000000000002</v>
      </c>
      <c r="F879" s="2043">
        <v>1198933</v>
      </c>
    </row>
    <row r="880" spans="1:6" ht="14.5">
      <c r="A880" t="s">
        <v>5194</v>
      </c>
      <c r="B880" s="380" t="str">
        <f t="shared" si="13"/>
        <v>175-910</v>
      </c>
      <c r="C880" s="2043">
        <v>0</v>
      </c>
      <c r="D880" s="2043">
        <v>855218</v>
      </c>
      <c r="E880">
        <v>0.93020000000000003</v>
      </c>
      <c r="F880" s="2043">
        <v>1537486</v>
      </c>
    </row>
    <row r="881" spans="1:6" ht="14.5">
      <c r="A881" t="s">
        <v>3157</v>
      </c>
      <c r="B881" s="380" t="str">
        <f t="shared" si="13"/>
        <v>175-911</v>
      </c>
      <c r="C881" s="2043">
        <v>146119</v>
      </c>
      <c r="D881" s="2043">
        <v>514431</v>
      </c>
      <c r="E881">
        <v>0.9698</v>
      </c>
      <c r="F881" s="2043">
        <v>804248</v>
      </c>
    </row>
    <row r="882" spans="1:6" ht="14.5">
      <c r="A882" t="s">
        <v>5195</v>
      </c>
      <c r="B882" s="380" t="str">
        <f t="shared" si="13"/>
        <v>176-901</v>
      </c>
      <c r="C882" s="2043">
        <v>0</v>
      </c>
      <c r="D882" s="2043">
        <v>94277</v>
      </c>
      <c r="E882">
        <v>1.0547</v>
      </c>
      <c r="F882" s="2043">
        <v>234584</v>
      </c>
    </row>
    <row r="883" spans="1:6" ht="14.5">
      <c r="A883" t="s">
        <v>3158</v>
      </c>
      <c r="B883" s="380" t="str">
        <f t="shared" si="13"/>
        <v>176-902</v>
      </c>
      <c r="C883" s="2043">
        <v>331870</v>
      </c>
      <c r="D883" s="2043">
        <v>320447</v>
      </c>
      <c r="E883">
        <v>1.0213000000000001</v>
      </c>
      <c r="F883" s="2043">
        <v>689872</v>
      </c>
    </row>
    <row r="884" spans="1:6" ht="14.5">
      <c r="A884" t="s">
        <v>3159</v>
      </c>
      <c r="B884" s="380" t="str">
        <f t="shared" si="13"/>
        <v>176-903</v>
      </c>
      <c r="C884" s="2043">
        <v>173765</v>
      </c>
      <c r="D884" s="2043">
        <v>234703</v>
      </c>
      <c r="E884">
        <v>0.87470000000000003</v>
      </c>
      <c r="F884" s="2043">
        <v>662870</v>
      </c>
    </row>
    <row r="885" spans="1:6" ht="14.5">
      <c r="A885" t="s">
        <v>3160</v>
      </c>
      <c r="B885" s="380" t="str">
        <f t="shared" si="13"/>
        <v>177-901</v>
      </c>
      <c r="C885" s="2043">
        <v>5125</v>
      </c>
      <c r="D885" s="2043">
        <v>732009</v>
      </c>
      <c r="E885">
        <v>1.0415000000000001</v>
      </c>
      <c r="F885" s="2043">
        <v>1679095</v>
      </c>
    </row>
    <row r="886" spans="1:6" ht="14.5">
      <c r="A886" t="s">
        <v>5196</v>
      </c>
      <c r="B886" s="380" t="str">
        <f t="shared" si="13"/>
        <v>177-902</v>
      </c>
      <c r="C886" s="2043">
        <v>0</v>
      </c>
      <c r="D886" s="2043">
        <v>829250</v>
      </c>
      <c r="E886">
        <v>0.99960000000000004</v>
      </c>
      <c r="F886" s="2043">
        <v>901577</v>
      </c>
    </row>
    <row r="887" spans="1:6" ht="14.5">
      <c r="A887" t="s">
        <v>5197</v>
      </c>
      <c r="B887" s="380" t="str">
        <f t="shared" si="13"/>
        <v>177-903</v>
      </c>
      <c r="C887" s="2043">
        <v>0</v>
      </c>
      <c r="D887" s="2043">
        <v>36743</v>
      </c>
      <c r="E887">
        <v>0.92790000000000006</v>
      </c>
      <c r="F887" s="2043">
        <v>816613</v>
      </c>
    </row>
    <row r="888" spans="1:6" ht="14.5">
      <c r="A888" t="s">
        <v>5198</v>
      </c>
      <c r="B888" s="380" t="str">
        <f t="shared" si="13"/>
        <v>177-905</v>
      </c>
      <c r="C888" s="2043">
        <v>0</v>
      </c>
      <c r="D888" s="2043">
        <v>132935</v>
      </c>
      <c r="E888">
        <v>0.99440000000000006</v>
      </c>
      <c r="F888" s="2043">
        <v>839301</v>
      </c>
    </row>
    <row r="889" spans="1:6" ht="14.5">
      <c r="A889" t="s">
        <v>8065</v>
      </c>
      <c r="B889" s="380" t="str">
        <f t="shared" si="13"/>
        <v>178-801</v>
      </c>
      <c r="C889" s="2043">
        <v>0</v>
      </c>
      <c r="D889" s="2043">
        <v>0</v>
      </c>
      <c r="E889">
        <v>0</v>
      </c>
      <c r="F889" s="2043">
        <v>0</v>
      </c>
    </row>
    <row r="890" spans="1:6" ht="14.5">
      <c r="A890" t="s">
        <v>8066</v>
      </c>
      <c r="B890" s="380" t="str">
        <f t="shared" si="13"/>
        <v>178-807</v>
      </c>
      <c r="C890" s="2043">
        <v>0</v>
      </c>
      <c r="D890" s="2043">
        <v>0</v>
      </c>
      <c r="E890">
        <v>0</v>
      </c>
      <c r="F890" s="2043">
        <v>0</v>
      </c>
    </row>
    <row r="891" spans="1:6" ht="14.5">
      <c r="A891" t="s">
        <v>8067</v>
      </c>
      <c r="B891" s="380" t="str">
        <f t="shared" si="13"/>
        <v>178-808</v>
      </c>
      <c r="C891" s="2043">
        <v>0</v>
      </c>
      <c r="D891" s="2043">
        <v>0</v>
      </c>
      <c r="E891">
        <v>0</v>
      </c>
      <c r="F891" s="2043">
        <v>0</v>
      </c>
    </row>
    <row r="892" spans="1:6" ht="14.5">
      <c r="A892" t="s">
        <v>5199</v>
      </c>
      <c r="B892" s="380" t="str">
        <f t="shared" si="13"/>
        <v>178-901</v>
      </c>
      <c r="C892" s="2043">
        <v>0</v>
      </c>
      <c r="D892" s="2043">
        <v>437370</v>
      </c>
      <c r="E892">
        <v>0.96690000000000009</v>
      </c>
      <c r="F892" s="2043">
        <v>440456</v>
      </c>
    </row>
    <row r="893" spans="1:6" ht="14.5">
      <c r="A893" t="s">
        <v>5200</v>
      </c>
      <c r="B893" s="380" t="str">
        <f t="shared" si="13"/>
        <v>178-902</v>
      </c>
      <c r="C893" s="2043">
        <v>0</v>
      </c>
      <c r="D893" s="2043">
        <v>1771143</v>
      </c>
      <c r="E893">
        <v>0.87470000000000003</v>
      </c>
      <c r="F893" s="2043">
        <v>2611082</v>
      </c>
    </row>
    <row r="894" spans="1:6" ht="14.5">
      <c r="A894" t="s">
        <v>5201</v>
      </c>
      <c r="B894" s="380" t="str">
        <f t="shared" si="13"/>
        <v>178-903</v>
      </c>
      <c r="C894" s="2043">
        <v>0</v>
      </c>
      <c r="D894" s="2043">
        <v>3567005</v>
      </c>
      <c r="E894">
        <v>0.99150000000000005</v>
      </c>
      <c r="F894" s="2043">
        <v>5887595</v>
      </c>
    </row>
    <row r="895" spans="1:6" ht="14.5">
      <c r="A895" t="s">
        <v>3161</v>
      </c>
      <c r="B895" s="380" t="str">
        <f t="shared" si="13"/>
        <v>178-904</v>
      </c>
      <c r="C895" s="2043">
        <v>1202205</v>
      </c>
      <c r="D895" s="2043">
        <v>26108483</v>
      </c>
      <c r="E895">
        <v>0.97640000000000005</v>
      </c>
      <c r="F895" s="2043">
        <v>46261219</v>
      </c>
    </row>
    <row r="896" spans="1:6" ht="14.5">
      <c r="A896" t="s">
        <v>5202</v>
      </c>
      <c r="B896" s="380" t="str">
        <f t="shared" si="13"/>
        <v>178-905</v>
      </c>
      <c r="C896" s="2043">
        <v>0</v>
      </c>
      <c r="D896" s="2043">
        <v>234177</v>
      </c>
      <c r="E896">
        <v>0.96640000000000004</v>
      </c>
      <c r="F896" s="2043">
        <v>514466</v>
      </c>
    </row>
    <row r="897" spans="1:6" ht="14.5">
      <c r="A897" t="s">
        <v>5203</v>
      </c>
      <c r="B897" s="380" t="str">
        <f t="shared" si="13"/>
        <v>178-906</v>
      </c>
      <c r="C897" s="2043">
        <v>0</v>
      </c>
      <c r="D897" s="2043">
        <v>1392310</v>
      </c>
      <c r="E897">
        <v>0.95640000000000003</v>
      </c>
      <c r="F897" s="2043">
        <v>2363862</v>
      </c>
    </row>
    <row r="898" spans="1:6" ht="14.5">
      <c r="A898" t="s">
        <v>5204</v>
      </c>
      <c r="B898" s="380" t="str">
        <f t="shared" si="13"/>
        <v>178-908</v>
      </c>
      <c r="C898" s="2043">
        <v>0</v>
      </c>
      <c r="D898" s="2043">
        <v>132325</v>
      </c>
      <c r="E898">
        <v>0.93210000000000004</v>
      </c>
      <c r="F898" s="2043">
        <v>1665089</v>
      </c>
    </row>
    <row r="899" spans="1:6" ht="14.5">
      <c r="A899" t="s">
        <v>3162</v>
      </c>
      <c r="B899" s="380" t="str">
        <f t="shared" si="13"/>
        <v>178-909</v>
      </c>
      <c r="C899" s="2043">
        <v>1956657</v>
      </c>
      <c r="D899" s="2043">
        <v>1205433</v>
      </c>
      <c r="E899">
        <v>1.0444</v>
      </c>
      <c r="F899" s="2043">
        <v>3046572</v>
      </c>
    </row>
    <row r="900" spans="1:6" ht="14.5">
      <c r="A900" t="s">
        <v>5205</v>
      </c>
      <c r="B900" s="380" t="str">
        <f t="shared" ref="B900:B963" si="14">CONCATENATE(LEFT(RIGHT(CONCATENATE("000",A900),6),3),"-",(RIGHT(RIGHT(CONCATENATE("000",A900),6),3)))</f>
        <v>178-912</v>
      </c>
      <c r="C900" s="2043">
        <v>0</v>
      </c>
      <c r="D900" s="2043">
        <v>3654069</v>
      </c>
      <c r="E900">
        <v>1.0304</v>
      </c>
      <c r="F900" s="2043">
        <v>5111140</v>
      </c>
    </row>
    <row r="901" spans="1:6" ht="14.5">
      <c r="A901" t="s">
        <v>3163</v>
      </c>
      <c r="B901" s="380" t="str">
        <f t="shared" si="14"/>
        <v>178-913</v>
      </c>
      <c r="C901" s="2043">
        <v>149628</v>
      </c>
      <c r="D901" s="2043">
        <v>929616</v>
      </c>
      <c r="E901">
        <v>1.0547</v>
      </c>
      <c r="F901" s="2043">
        <v>2260846</v>
      </c>
    </row>
    <row r="902" spans="1:6" ht="14.5">
      <c r="A902" t="s">
        <v>5206</v>
      </c>
      <c r="B902" s="380" t="str">
        <f t="shared" si="14"/>
        <v>178-914</v>
      </c>
      <c r="C902" s="2043">
        <v>0</v>
      </c>
      <c r="D902" s="2043">
        <v>1731633</v>
      </c>
      <c r="E902">
        <v>0.96640000000000004</v>
      </c>
      <c r="F902" s="2043">
        <v>3243534</v>
      </c>
    </row>
    <row r="903" spans="1:6" ht="14.5">
      <c r="A903" t="s">
        <v>3164</v>
      </c>
      <c r="B903" s="380" t="str">
        <f t="shared" si="14"/>
        <v>178-915</v>
      </c>
      <c r="C903" s="2043">
        <v>243416</v>
      </c>
      <c r="D903" s="2043">
        <v>1881869</v>
      </c>
      <c r="E903">
        <v>0.96640000000000004</v>
      </c>
      <c r="F903" s="2043">
        <v>2681886</v>
      </c>
    </row>
    <row r="904" spans="1:6" ht="14.5">
      <c r="A904" t="s">
        <v>8513</v>
      </c>
      <c r="B904" s="380" t="str">
        <f t="shared" si="14"/>
        <v>178-950</v>
      </c>
      <c r="C904" s="2043">
        <v>0</v>
      </c>
      <c r="D904" s="2043">
        <v>0</v>
      </c>
      <c r="E904">
        <v>0</v>
      </c>
      <c r="F904" s="2043">
        <v>0</v>
      </c>
    </row>
    <row r="905" spans="1:6" ht="14.5">
      <c r="A905" t="s">
        <v>3165</v>
      </c>
      <c r="B905" s="380" t="str">
        <f t="shared" si="14"/>
        <v>179-901</v>
      </c>
      <c r="C905" s="2043">
        <v>0</v>
      </c>
      <c r="D905" s="2043">
        <v>768636</v>
      </c>
      <c r="E905">
        <v>0.96640000000000004</v>
      </c>
      <c r="F905" s="2043">
        <v>1028875</v>
      </c>
    </row>
    <row r="906" spans="1:6" ht="14.5">
      <c r="A906" t="s">
        <v>7356</v>
      </c>
      <c r="B906" s="380" t="str">
        <f t="shared" si="14"/>
        <v>180-901</v>
      </c>
      <c r="C906" s="2043">
        <v>0</v>
      </c>
      <c r="D906" s="2043">
        <v>0</v>
      </c>
      <c r="E906">
        <v>0</v>
      </c>
      <c r="F906" s="2043">
        <v>0</v>
      </c>
    </row>
    <row r="907" spans="1:6" ht="14.5">
      <c r="A907" t="s">
        <v>5207</v>
      </c>
      <c r="B907" s="380" t="str">
        <f t="shared" si="14"/>
        <v>180-902</v>
      </c>
      <c r="C907" s="2043">
        <v>0</v>
      </c>
      <c r="D907" s="2043">
        <v>415056</v>
      </c>
      <c r="E907">
        <v>0.87470000000000003</v>
      </c>
      <c r="F907" s="2043">
        <v>1638970</v>
      </c>
    </row>
    <row r="908" spans="1:6" ht="14.5">
      <c r="A908" t="s">
        <v>5860</v>
      </c>
      <c r="B908" s="380" t="str">
        <f t="shared" si="14"/>
        <v>180-903</v>
      </c>
      <c r="C908" s="2043">
        <v>0</v>
      </c>
      <c r="D908" s="2043">
        <v>141341</v>
      </c>
      <c r="E908">
        <v>0.96640000000000004</v>
      </c>
      <c r="F908" s="2043">
        <v>731217</v>
      </c>
    </row>
    <row r="909" spans="1:6" ht="14.5">
      <c r="A909" t="s">
        <v>5208</v>
      </c>
      <c r="B909" s="380" t="str">
        <f t="shared" si="14"/>
        <v>180-904</v>
      </c>
      <c r="C909" s="2043">
        <v>0</v>
      </c>
      <c r="D909" s="2043">
        <v>230536</v>
      </c>
      <c r="E909">
        <v>0.87470000000000003</v>
      </c>
      <c r="F909" s="2043">
        <v>1625610</v>
      </c>
    </row>
    <row r="910" spans="1:6" ht="14.5">
      <c r="A910" t="s">
        <v>3166</v>
      </c>
      <c r="B910" s="380" t="str">
        <f t="shared" si="14"/>
        <v>181-901</v>
      </c>
      <c r="C910" s="2043">
        <v>566680</v>
      </c>
      <c r="D910" s="2043">
        <v>642279</v>
      </c>
      <c r="E910">
        <v>0.96640000000000004</v>
      </c>
      <c r="F910" s="2043">
        <v>1258261</v>
      </c>
    </row>
    <row r="911" spans="1:6" ht="14.5">
      <c r="A911" t="s">
        <v>5209</v>
      </c>
      <c r="B911" s="380" t="str">
        <f t="shared" si="14"/>
        <v>181-905</v>
      </c>
      <c r="C911" s="2043">
        <v>0</v>
      </c>
      <c r="D911" s="2043">
        <v>566552</v>
      </c>
      <c r="E911">
        <v>1.0547</v>
      </c>
      <c r="F911" s="2043">
        <v>585872</v>
      </c>
    </row>
    <row r="912" spans="1:6" ht="14.5">
      <c r="A912" t="s">
        <v>5210</v>
      </c>
      <c r="B912" s="380" t="str">
        <f t="shared" si="14"/>
        <v>181-906</v>
      </c>
      <c r="C912" s="2043">
        <v>0</v>
      </c>
      <c r="D912" s="2043">
        <v>2193054</v>
      </c>
      <c r="E912">
        <v>1.0547</v>
      </c>
      <c r="F912" s="2043">
        <v>4644754</v>
      </c>
    </row>
    <row r="913" spans="1:6" ht="14.5">
      <c r="A913" t="s">
        <v>3167</v>
      </c>
      <c r="B913" s="380" t="str">
        <f t="shared" si="14"/>
        <v>181-907</v>
      </c>
      <c r="C913" s="2043">
        <v>858550</v>
      </c>
      <c r="D913" s="2043">
        <v>353090</v>
      </c>
      <c r="E913">
        <v>0.97760000000000002</v>
      </c>
      <c r="F913" s="2043">
        <v>1276717</v>
      </c>
    </row>
    <row r="914" spans="1:6" ht="14.5">
      <c r="A914" t="s">
        <v>5211</v>
      </c>
      <c r="B914" s="380" t="str">
        <f t="shared" si="14"/>
        <v>181-908</v>
      </c>
      <c r="C914" s="2043">
        <v>306379</v>
      </c>
      <c r="D914" s="2043">
        <v>3178536</v>
      </c>
      <c r="E914">
        <v>0.96640000000000004</v>
      </c>
      <c r="F914" s="2043">
        <v>3805823</v>
      </c>
    </row>
    <row r="915" spans="1:6" ht="14.5">
      <c r="A915" t="s">
        <v>8514</v>
      </c>
      <c r="B915" s="380" t="str">
        <f t="shared" si="14"/>
        <v>181-950</v>
      </c>
      <c r="C915" s="2043">
        <v>0</v>
      </c>
      <c r="D915" s="2043">
        <v>0</v>
      </c>
      <c r="E915">
        <v>0</v>
      </c>
      <c r="F915" s="2043">
        <v>0</v>
      </c>
    </row>
    <row r="916" spans="1:6" ht="14.5">
      <c r="A916" t="s">
        <v>5212</v>
      </c>
      <c r="B916" s="380" t="str">
        <f t="shared" si="14"/>
        <v>182-901</v>
      </c>
      <c r="C916" s="2043">
        <v>0</v>
      </c>
      <c r="D916" s="2043">
        <v>0</v>
      </c>
      <c r="E916">
        <v>0.94330000000000003</v>
      </c>
      <c r="F916" s="2043">
        <v>0</v>
      </c>
    </row>
    <row r="917" spans="1:6" ht="14.5">
      <c r="A917" t="s">
        <v>5213</v>
      </c>
      <c r="B917" s="380" t="str">
        <f t="shared" si="14"/>
        <v>182-902</v>
      </c>
      <c r="C917" s="2043">
        <v>0</v>
      </c>
      <c r="D917" s="2043">
        <v>95166</v>
      </c>
      <c r="E917">
        <v>0.96500000000000008</v>
      </c>
      <c r="F917" s="2043">
        <v>711694</v>
      </c>
    </row>
    <row r="918" spans="1:6" ht="14.5">
      <c r="A918" t="s">
        <v>3168</v>
      </c>
      <c r="B918" s="380" t="str">
        <f t="shared" si="14"/>
        <v>182-903</v>
      </c>
      <c r="C918" s="2043">
        <v>1430895</v>
      </c>
      <c r="D918" s="2043">
        <v>1809648</v>
      </c>
      <c r="E918">
        <v>1.0427</v>
      </c>
      <c r="F918" s="2043">
        <v>3399163</v>
      </c>
    </row>
    <row r="919" spans="1:6" ht="14.5">
      <c r="A919" t="s">
        <v>5214</v>
      </c>
      <c r="B919" s="380" t="str">
        <f t="shared" si="14"/>
        <v>182-904</v>
      </c>
      <c r="C919" s="2043">
        <v>0</v>
      </c>
      <c r="D919" s="2043">
        <v>0</v>
      </c>
      <c r="E919">
        <v>1.0077</v>
      </c>
      <c r="F919" s="2043">
        <v>1914</v>
      </c>
    </row>
    <row r="920" spans="1:6" ht="14.5">
      <c r="A920" t="s">
        <v>5861</v>
      </c>
      <c r="B920" s="380" t="str">
        <f t="shared" si="14"/>
        <v>182-905</v>
      </c>
      <c r="C920" s="2043">
        <v>0</v>
      </c>
      <c r="D920" s="2043">
        <v>0</v>
      </c>
      <c r="E920">
        <v>1.0547</v>
      </c>
      <c r="F920" s="2043">
        <v>0</v>
      </c>
    </row>
    <row r="921" spans="1:6" ht="14.5">
      <c r="A921" t="s">
        <v>5215</v>
      </c>
      <c r="B921" s="380" t="str">
        <f t="shared" si="14"/>
        <v>182-906</v>
      </c>
      <c r="C921" s="2043">
        <v>0</v>
      </c>
      <c r="D921" s="2043">
        <v>15646</v>
      </c>
      <c r="E921">
        <v>0.9667</v>
      </c>
      <c r="F921" s="2043">
        <v>271139</v>
      </c>
    </row>
    <row r="922" spans="1:6" ht="14.5">
      <c r="A922" t="s">
        <v>8068</v>
      </c>
      <c r="B922" s="380" t="str">
        <f t="shared" si="14"/>
        <v>183-801</v>
      </c>
      <c r="C922" s="2043">
        <v>0</v>
      </c>
      <c r="D922" s="2043">
        <v>0</v>
      </c>
      <c r="E922">
        <v>0</v>
      </c>
      <c r="F922" s="2043">
        <v>0</v>
      </c>
    </row>
    <row r="923" spans="1:6" ht="14.5">
      <c r="A923" t="s">
        <v>5216</v>
      </c>
      <c r="B923" s="380" t="str">
        <f t="shared" si="14"/>
        <v>183-901</v>
      </c>
      <c r="C923" s="2043">
        <v>0</v>
      </c>
      <c r="D923" s="2043">
        <v>0</v>
      </c>
      <c r="E923">
        <v>0.96640000000000004</v>
      </c>
      <c r="F923" s="2043">
        <v>2515</v>
      </c>
    </row>
    <row r="924" spans="1:6" ht="14.5">
      <c r="A924" t="s">
        <v>5217</v>
      </c>
      <c r="B924" s="380" t="str">
        <f t="shared" si="14"/>
        <v>183-902</v>
      </c>
      <c r="C924" s="2043">
        <v>0</v>
      </c>
      <c r="D924" s="2043">
        <v>2523311</v>
      </c>
      <c r="E924">
        <v>0.96640000000000004</v>
      </c>
      <c r="F924" s="2043">
        <v>6636560</v>
      </c>
    </row>
    <row r="925" spans="1:6" ht="14.5">
      <c r="A925" t="s">
        <v>3169</v>
      </c>
      <c r="B925" s="380" t="str">
        <f t="shared" si="14"/>
        <v>183-904</v>
      </c>
      <c r="C925" s="2043">
        <v>98336</v>
      </c>
      <c r="D925" s="2043">
        <v>385180</v>
      </c>
      <c r="E925">
        <v>0.96640000000000004</v>
      </c>
      <c r="F925" s="2043">
        <v>635463</v>
      </c>
    </row>
    <row r="926" spans="1:6" ht="14.5">
      <c r="A926" t="s">
        <v>8069</v>
      </c>
      <c r="B926" s="380" t="str">
        <f t="shared" si="14"/>
        <v>184-801</v>
      </c>
      <c r="C926" s="2043">
        <v>0</v>
      </c>
      <c r="D926" s="2043">
        <v>0</v>
      </c>
      <c r="E926">
        <v>0</v>
      </c>
      <c r="F926" s="2043">
        <v>0</v>
      </c>
    </row>
    <row r="927" spans="1:6" ht="14.5">
      <c r="A927" t="s">
        <v>3170</v>
      </c>
      <c r="B927" s="380" t="str">
        <f t="shared" si="14"/>
        <v>184-901</v>
      </c>
      <c r="C927" s="2043">
        <v>107925</v>
      </c>
      <c r="D927" s="2043">
        <v>235531</v>
      </c>
      <c r="E927">
        <v>0.97510000000000008</v>
      </c>
      <c r="F927" s="2043">
        <v>443621</v>
      </c>
    </row>
    <row r="928" spans="1:6" ht="14.5">
      <c r="A928" t="s">
        <v>3171</v>
      </c>
      <c r="B928" s="380" t="str">
        <f t="shared" si="14"/>
        <v>184-902</v>
      </c>
      <c r="C928" s="2043">
        <v>1524288</v>
      </c>
      <c r="D928" s="2043">
        <v>2439287</v>
      </c>
      <c r="E928">
        <v>1.0372000000000001</v>
      </c>
      <c r="F928" s="2043">
        <v>3174905</v>
      </c>
    </row>
    <row r="929" spans="1:6" ht="14.5">
      <c r="A929" t="s">
        <v>3172</v>
      </c>
      <c r="B929" s="380" t="str">
        <f t="shared" si="14"/>
        <v>184-903</v>
      </c>
      <c r="C929" s="2043">
        <v>240001</v>
      </c>
      <c r="D929" s="2043">
        <v>8580429</v>
      </c>
      <c r="E929">
        <v>1.0482</v>
      </c>
      <c r="F929" s="2043">
        <v>14446651</v>
      </c>
    </row>
    <row r="930" spans="1:6" ht="14.5">
      <c r="A930" t="s">
        <v>3173</v>
      </c>
      <c r="B930" s="380" t="str">
        <f t="shared" si="14"/>
        <v>184-904</v>
      </c>
      <c r="C930" s="2043">
        <v>360568</v>
      </c>
      <c r="D930" s="2043">
        <v>957632</v>
      </c>
      <c r="E930">
        <v>1.0547</v>
      </c>
      <c r="F930" s="2043">
        <v>1535643</v>
      </c>
    </row>
    <row r="931" spans="1:6" ht="14.5">
      <c r="A931" t="s">
        <v>5218</v>
      </c>
      <c r="B931" s="380" t="str">
        <f t="shared" si="14"/>
        <v>184-907</v>
      </c>
      <c r="C931" s="2043">
        <v>0</v>
      </c>
      <c r="D931" s="2043">
        <v>7438617</v>
      </c>
      <c r="E931">
        <v>1.0547</v>
      </c>
      <c r="F931" s="2043">
        <v>17867320</v>
      </c>
    </row>
    <row r="932" spans="1:6" ht="14.5">
      <c r="A932" t="s">
        <v>3174</v>
      </c>
      <c r="B932" s="380" t="str">
        <f t="shared" si="14"/>
        <v>184-908</v>
      </c>
      <c r="C932" s="2043">
        <v>621520</v>
      </c>
      <c r="D932" s="2043">
        <v>1043390</v>
      </c>
      <c r="E932">
        <v>0.90890000000000004</v>
      </c>
      <c r="F932" s="2043">
        <v>1848431</v>
      </c>
    </row>
    <row r="933" spans="1:6" ht="14.5">
      <c r="A933" t="s">
        <v>3175</v>
      </c>
      <c r="B933" s="380" t="str">
        <f t="shared" si="14"/>
        <v>184-909</v>
      </c>
      <c r="C933" s="2043">
        <v>56661</v>
      </c>
      <c r="D933" s="2043">
        <v>1916019</v>
      </c>
      <c r="E933">
        <v>1.0136000000000001</v>
      </c>
      <c r="F933" s="2043">
        <v>3636690</v>
      </c>
    </row>
    <row r="934" spans="1:6" ht="14.5">
      <c r="A934" t="s">
        <v>5219</v>
      </c>
      <c r="B934" s="380" t="str">
        <f t="shared" si="14"/>
        <v>184-911</v>
      </c>
      <c r="C934" s="2043">
        <v>0</v>
      </c>
      <c r="D934" s="2043">
        <v>87445</v>
      </c>
      <c r="E934">
        <v>0.96640000000000004</v>
      </c>
      <c r="F934" s="2043">
        <v>184115</v>
      </c>
    </row>
    <row r="935" spans="1:6" ht="14.5">
      <c r="A935" t="s">
        <v>5862</v>
      </c>
      <c r="B935" s="380" t="str">
        <f t="shared" si="14"/>
        <v>185-901</v>
      </c>
      <c r="C935" s="2043">
        <v>0</v>
      </c>
      <c r="D935" s="2043">
        <v>0</v>
      </c>
      <c r="E935">
        <v>0.96640000000000004</v>
      </c>
      <c r="F935" s="2043">
        <v>0</v>
      </c>
    </row>
    <row r="936" spans="1:6" ht="14.5">
      <c r="A936" t="s">
        <v>5863</v>
      </c>
      <c r="B936" s="380" t="str">
        <f t="shared" si="14"/>
        <v>185-902</v>
      </c>
      <c r="C936" s="2043">
        <v>0</v>
      </c>
      <c r="D936" s="2043">
        <v>479318</v>
      </c>
      <c r="E936">
        <v>1.0547</v>
      </c>
      <c r="F936" s="2043">
        <v>677633</v>
      </c>
    </row>
    <row r="937" spans="1:6" ht="14.5">
      <c r="A937" t="s">
        <v>5220</v>
      </c>
      <c r="B937" s="380" t="str">
        <f t="shared" si="14"/>
        <v>185-903</v>
      </c>
      <c r="C937" s="2043">
        <v>0</v>
      </c>
      <c r="D937" s="2043">
        <v>202342</v>
      </c>
      <c r="E937">
        <v>0.92980000000000007</v>
      </c>
      <c r="F937" s="2043">
        <v>1980890</v>
      </c>
    </row>
    <row r="938" spans="1:6" ht="14.5">
      <c r="A938" t="s">
        <v>5864</v>
      </c>
      <c r="B938" s="380" t="str">
        <f t="shared" si="14"/>
        <v>185-904</v>
      </c>
      <c r="C938" s="2043">
        <v>0</v>
      </c>
      <c r="D938" s="2043">
        <v>0</v>
      </c>
      <c r="E938">
        <v>1.0219</v>
      </c>
      <c r="F938" s="2043">
        <v>0</v>
      </c>
    </row>
    <row r="939" spans="1:6" ht="14.5">
      <c r="A939" t="s">
        <v>5221</v>
      </c>
      <c r="B939" s="380" t="str">
        <f t="shared" si="14"/>
        <v>186-901</v>
      </c>
      <c r="C939" s="2043">
        <v>0</v>
      </c>
      <c r="D939" s="2043">
        <v>0</v>
      </c>
      <c r="E939">
        <v>0.94510000000000005</v>
      </c>
      <c r="F939" s="2043">
        <v>0</v>
      </c>
    </row>
    <row r="940" spans="1:6" ht="14.5">
      <c r="A940" t="s">
        <v>5222</v>
      </c>
      <c r="B940" s="380" t="str">
        <f t="shared" si="14"/>
        <v>186-902</v>
      </c>
      <c r="C940" s="2043">
        <v>0</v>
      </c>
      <c r="D940" s="2043">
        <v>1544600</v>
      </c>
      <c r="E940">
        <v>0.90170000000000006</v>
      </c>
      <c r="F940" s="2043">
        <v>7581144</v>
      </c>
    </row>
    <row r="941" spans="1:6" ht="14.5">
      <c r="A941" t="s">
        <v>5223</v>
      </c>
      <c r="B941" s="380" t="str">
        <f t="shared" si="14"/>
        <v>186-903</v>
      </c>
      <c r="C941" s="2043">
        <v>0</v>
      </c>
      <c r="D941" s="2043">
        <v>120404</v>
      </c>
      <c r="E941">
        <v>0.97640000000000005</v>
      </c>
      <c r="F941" s="2043">
        <v>1931377</v>
      </c>
    </row>
    <row r="942" spans="1:6" ht="14.5">
      <c r="A942" t="s">
        <v>5224</v>
      </c>
      <c r="B942" s="380" t="str">
        <f t="shared" si="14"/>
        <v>187-901</v>
      </c>
      <c r="C942" s="2043">
        <v>0</v>
      </c>
      <c r="D942" s="2043">
        <v>181337</v>
      </c>
      <c r="E942">
        <v>1.0547</v>
      </c>
      <c r="F942" s="2043">
        <v>289702</v>
      </c>
    </row>
    <row r="943" spans="1:6" ht="14.5">
      <c r="A943" t="s">
        <v>5865</v>
      </c>
      <c r="B943" s="380" t="str">
        <f t="shared" si="14"/>
        <v>187-903</v>
      </c>
      <c r="C943" s="2043">
        <v>38389</v>
      </c>
      <c r="D943" s="2043">
        <v>124392</v>
      </c>
      <c r="E943">
        <v>1.0221</v>
      </c>
      <c r="F943" s="2043">
        <v>182241</v>
      </c>
    </row>
    <row r="944" spans="1:6" ht="14.5">
      <c r="A944" t="s">
        <v>5225</v>
      </c>
      <c r="B944" s="380" t="str">
        <f t="shared" si="14"/>
        <v>187-904</v>
      </c>
      <c r="C944" s="2043">
        <v>0</v>
      </c>
      <c r="D944" s="2043">
        <v>533009</v>
      </c>
      <c r="E944">
        <v>0.96</v>
      </c>
      <c r="F944" s="2043">
        <v>854240</v>
      </c>
    </row>
    <row r="945" spans="1:6" ht="14.5">
      <c r="A945" t="s">
        <v>5226</v>
      </c>
      <c r="B945" s="380" t="str">
        <f t="shared" si="14"/>
        <v>187-906</v>
      </c>
      <c r="C945" s="2043">
        <v>0</v>
      </c>
      <c r="D945" s="2043">
        <v>109562</v>
      </c>
      <c r="E945">
        <v>0.96640000000000004</v>
      </c>
      <c r="F945" s="2043">
        <v>269164</v>
      </c>
    </row>
    <row r="946" spans="1:6" ht="14.5">
      <c r="A946" t="s">
        <v>3176</v>
      </c>
      <c r="B946" s="380" t="str">
        <f t="shared" si="14"/>
        <v>187-907</v>
      </c>
      <c r="C946" s="2043">
        <v>1823800</v>
      </c>
      <c r="D946" s="2043">
        <v>2298701</v>
      </c>
      <c r="E946">
        <v>1.0547</v>
      </c>
      <c r="F946" s="2043">
        <v>4516592</v>
      </c>
    </row>
    <row r="947" spans="1:6" ht="14.5">
      <c r="A947" t="s">
        <v>5227</v>
      </c>
      <c r="B947" s="380" t="str">
        <f t="shared" si="14"/>
        <v>187-910</v>
      </c>
      <c r="C947" s="2043">
        <v>0</v>
      </c>
      <c r="D947" s="2043">
        <v>836021</v>
      </c>
      <c r="E947">
        <v>0.97640000000000005</v>
      </c>
      <c r="F947" s="2043">
        <v>1135502</v>
      </c>
    </row>
    <row r="948" spans="1:6" ht="14.5">
      <c r="A948" t="s">
        <v>3177</v>
      </c>
      <c r="B948" s="380" t="str">
        <f t="shared" si="14"/>
        <v>188-901</v>
      </c>
      <c r="C948" s="2043">
        <v>3312078</v>
      </c>
      <c r="D948" s="2043">
        <v>11323005</v>
      </c>
      <c r="E948">
        <v>0.99640000000000006</v>
      </c>
      <c r="F948" s="2043">
        <v>14985237</v>
      </c>
    </row>
    <row r="949" spans="1:6" ht="14.5">
      <c r="A949" t="s">
        <v>3178</v>
      </c>
      <c r="B949" s="380" t="str">
        <f t="shared" si="14"/>
        <v>188-902</v>
      </c>
      <c r="C949" s="2043">
        <v>0</v>
      </c>
      <c r="D949" s="2043">
        <v>805032</v>
      </c>
      <c r="E949">
        <v>1.0028000000000001</v>
      </c>
      <c r="F949" s="2043">
        <v>775490</v>
      </c>
    </row>
    <row r="950" spans="1:6" ht="14.5">
      <c r="A950" t="s">
        <v>5228</v>
      </c>
      <c r="B950" s="380" t="str">
        <f t="shared" si="14"/>
        <v>188-903</v>
      </c>
      <c r="C950" s="2043">
        <v>0</v>
      </c>
      <c r="D950" s="2043">
        <v>527261</v>
      </c>
      <c r="E950">
        <v>0.96640000000000004</v>
      </c>
      <c r="F950" s="2043">
        <v>1735396</v>
      </c>
    </row>
    <row r="951" spans="1:6" ht="14.5">
      <c r="A951" t="s">
        <v>5229</v>
      </c>
      <c r="B951" s="380" t="str">
        <f t="shared" si="14"/>
        <v>188-904</v>
      </c>
      <c r="C951" s="2043">
        <v>0</v>
      </c>
      <c r="D951" s="2043">
        <v>1082692</v>
      </c>
      <c r="E951">
        <v>0.96640000000000004</v>
      </c>
      <c r="F951" s="2043">
        <v>2752714</v>
      </c>
    </row>
    <row r="952" spans="1:6" ht="14.5">
      <c r="A952" t="s">
        <v>8515</v>
      </c>
      <c r="B952" s="380" t="str">
        <f t="shared" si="14"/>
        <v>188-950</v>
      </c>
      <c r="C952" s="2043">
        <v>0</v>
      </c>
      <c r="D952" s="2043">
        <v>0</v>
      </c>
      <c r="E952">
        <v>0</v>
      </c>
      <c r="F952" s="2043">
        <v>0</v>
      </c>
    </row>
    <row r="953" spans="1:6" ht="14.5">
      <c r="A953" t="s">
        <v>3179</v>
      </c>
      <c r="B953" s="380" t="str">
        <f t="shared" si="14"/>
        <v>189-901</v>
      </c>
      <c r="C953" s="2043">
        <v>241412</v>
      </c>
      <c r="D953" s="2043">
        <v>89590</v>
      </c>
      <c r="E953">
        <v>0.91120000000000001</v>
      </c>
      <c r="F953" s="2043">
        <v>605263</v>
      </c>
    </row>
    <row r="954" spans="1:6" ht="14.5">
      <c r="A954" t="s">
        <v>3180</v>
      </c>
      <c r="B954" s="380" t="str">
        <f t="shared" si="14"/>
        <v>189-902</v>
      </c>
      <c r="C954" s="2043">
        <v>241441</v>
      </c>
      <c r="D954" s="2043">
        <v>107688</v>
      </c>
      <c r="E954">
        <v>1.0547</v>
      </c>
      <c r="F954" s="2043">
        <v>353882</v>
      </c>
    </row>
    <row r="955" spans="1:6" ht="14.5">
      <c r="A955" t="s">
        <v>5230</v>
      </c>
      <c r="B955" s="380" t="str">
        <f t="shared" si="14"/>
        <v>190-903</v>
      </c>
      <c r="C955" s="2043">
        <v>0</v>
      </c>
      <c r="D955" s="2043">
        <v>1059062</v>
      </c>
      <c r="E955">
        <v>0.89480000000000004</v>
      </c>
      <c r="F955" s="2043">
        <v>924468</v>
      </c>
    </row>
    <row r="956" spans="1:6" ht="14.5">
      <c r="A956" t="s">
        <v>5231</v>
      </c>
      <c r="B956" s="380" t="str">
        <f t="shared" si="14"/>
        <v>191-901</v>
      </c>
      <c r="C956" s="2043">
        <v>0</v>
      </c>
      <c r="D956" s="2043">
        <v>7049175</v>
      </c>
      <c r="E956">
        <v>0.95500000000000007</v>
      </c>
      <c r="F956" s="2043">
        <v>18051046</v>
      </c>
    </row>
    <row r="957" spans="1:6" ht="14.5">
      <c r="A957" t="s">
        <v>5232</v>
      </c>
      <c r="B957" s="380" t="str">
        <f t="shared" si="14"/>
        <v>192-901</v>
      </c>
      <c r="C957" s="2043">
        <v>0</v>
      </c>
      <c r="D957" s="2043">
        <v>628140</v>
      </c>
      <c r="E957">
        <v>1.0417000000000001</v>
      </c>
      <c r="F957" s="2043">
        <v>3036776</v>
      </c>
    </row>
    <row r="958" spans="1:6" ht="14.5">
      <c r="A958" t="s">
        <v>8070</v>
      </c>
      <c r="B958" s="380" t="str">
        <f t="shared" si="14"/>
        <v>193-801</v>
      </c>
      <c r="C958" s="2043">
        <v>0</v>
      </c>
      <c r="D958" s="2043">
        <v>0</v>
      </c>
      <c r="E958">
        <v>0</v>
      </c>
      <c r="F958" s="2043">
        <v>0</v>
      </c>
    </row>
    <row r="959" spans="1:6" ht="14.5">
      <c r="A959" t="s">
        <v>5233</v>
      </c>
      <c r="B959" s="380" t="str">
        <f t="shared" si="14"/>
        <v>193-902</v>
      </c>
      <c r="C959" s="2043">
        <v>0</v>
      </c>
      <c r="D959" s="2043">
        <v>170642</v>
      </c>
      <c r="E959">
        <v>0.96640000000000004</v>
      </c>
      <c r="F959" s="2043">
        <v>692027</v>
      </c>
    </row>
    <row r="960" spans="1:6" ht="14.5">
      <c r="A960" t="s">
        <v>5866</v>
      </c>
      <c r="B960" s="380" t="str">
        <f t="shared" si="14"/>
        <v>194-902</v>
      </c>
      <c r="C960" s="2043">
        <v>0</v>
      </c>
      <c r="D960" s="2043">
        <v>0</v>
      </c>
      <c r="E960">
        <v>1.0350000000000001</v>
      </c>
      <c r="F960" s="2043">
        <v>0</v>
      </c>
    </row>
    <row r="961" spans="1:6" ht="14.5">
      <c r="A961" t="s">
        <v>3181</v>
      </c>
      <c r="B961" s="380" t="str">
        <f t="shared" si="14"/>
        <v>194-903</v>
      </c>
      <c r="C961" s="2043">
        <v>338974</v>
      </c>
      <c r="D961" s="2043">
        <v>151362</v>
      </c>
      <c r="E961">
        <v>1.0547</v>
      </c>
      <c r="F961" s="2043">
        <v>578623</v>
      </c>
    </row>
    <row r="962" spans="1:6" ht="14.5">
      <c r="A962" t="s">
        <v>5867</v>
      </c>
      <c r="B962" s="380" t="str">
        <f t="shared" si="14"/>
        <v>194-904</v>
      </c>
      <c r="C962" s="2043">
        <v>0</v>
      </c>
      <c r="D962" s="2043">
        <v>0</v>
      </c>
      <c r="E962">
        <v>1.0286999999999999</v>
      </c>
      <c r="F962" s="2043">
        <v>0</v>
      </c>
    </row>
    <row r="963" spans="1:6" ht="14.5">
      <c r="A963" t="s">
        <v>3182</v>
      </c>
      <c r="B963" s="380" t="str">
        <f t="shared" si="14"/>
        <v>194-905</v>
      </c>
      <c r="C963" s="2043">
        <v>103886</v>
      </c>
      <c r="D963" s="2043">
        <v>31600</v>
      </c>
      <c r="E963">
        <v>1.0241</v>
      </c>
      <c r="F963" s="2043">
        <v>267430</v>
      </c>
    </row>
    <row r="964" spans="1:6" ht="14.5">
      <c r="A964" t="s">
        <v>5234</v>
      </c>
      <c r="B964" s="380" t="str">
        <f t="shared" ref="B964:B1027" si="15">CONCATENATE(LEFT(RIGHT(CONCATENATE("000",A964),6),3),"-",(RIGHT(RIGHT(CONCATENATE("000",A964),6),3)))</f>
        <v>195-901</v>
      </c>
      <c r="C964" s="2043">
        <v>0</v>
      </c>
      <c r="D964" s="2043">
        <v>2088104</v>
      </c>
      <c r="E964">
        <v>0.96640000000000004</v>
      </c>
      <c r="F964" s="2043">
        <v>12636467</v>
      </c>
    </row>
    <row r="965" spans="1:6" ht="14.5">
      <c r="A965" t="s">
        <v>3183</v>
      </c>
      <c r="B965" s="380" t="str">
        <f t="shared" si="15"/>
        <v>195-902</v>
      </c>
      <c r="C965" s="2043">
        <v>64800</v>
      </c>
      <c r="D965" s="2043">
        <v>0</v>
      </c>
      <c r="E965">
        <v>0.96640000000000004</v>
      </c>
      <c r="F965" s="2043">
        <v>2560722</v>
      </c>
    </row>
    <row r="966" spans="1:6" ht="14.5">
      <c r="A966" t="s">
        <v>5235</v>
      </c>
      <c r="B966" s="380" t="str">
        <f t="shared" si="15"/>
        <v>196-901</v>
      </c>
      <c r="C966" s="2043">
        <v>0</v>
      </c>
      <c r="D966" s="2043">
        <v>133838</v>
      </c>
      <c r="E966">
        <v>1.0547</v>
      </c>
      <c r="F966" s="2043">
        <v>886304</v>
      </c>
    </row>
    <row r="967" spans="1:6" ht="14.5">
      <c r="A967" t="s">
        <v>5236</v>
      </c>
      <c r="B967" s="380" t="str">
        <f t="shared" si="15"/>
        <v>196-902</v>
      </c>
      <c r="C967" s="2043">
        <v>0</v>
      </c>
      <c r="D967" s="2043">
        <v>477599</v>
      </c>
      <c r="E967">
        <v>0.98</v>
      </c>
      <c r="F967" s="2043">
        <v>701718</v>
      </c>
    </row>
    <row r="968" spans="1:6" ht="14.5">
      <c r="A968" t="s">
        <v>5237</v>
      </c>
      <c r="B968" s="380" t="str">
        <f t="shared" si="15"/>
        <v>196-903</v>
      </c>
      <c r="C968" s="2043">
        <v>0</v>
      </c>
      <c r="D968" s="2043">
        <v>718012</v>
      </c>
      <c r="E968">
        <v>0.96640000000000004</v>
      </c>
      <c r="F968" s="2043">
        <v>1225300</v>
      </c>
    </row>
    <row r="969" spans="1:6" ht="14.5">
      <c r="A969" t="s">
        <v>5238</v>
      </c>
      <c r="B969" s="380" t="str">
        <f t="shared" si="15"/>
        <v>197-902</v>
      </c>
      <c r="C969" s="2043">
        <v>0</v>
      </c>
      <c r="D969" s="2043">
        <v>208299</v>
      </c>
      <c r="E969">
        <v>0.97640000000000005</v>
      </c>
      <c r="F969" s="2043">
        <v>1738232</v>
      </c>
    </row>
    <row r="970" spans="1:6" ht="14.5">
      <c r="A970" t="s">
        <v>5239</v>
      </c>
      <c r="B970" s="380" t="str">
        <f t="shared" si="15"/>
        <v>198-901</v>
      </c>
      <c r="C970" s="2043">
        <v>0</v>
      </c>
      <c r="D970" s="2043">
        <v>456507</v>
      </c>
      <c r="E970">
        <v>0.96640000000000004</v>
      </c>
      <c r="F970" s="2043">
        <v>804991</v>
      </c>
    </row>
    <row r="971" spans="1:6" ht="14.5">
      <c r="A971" t="s">
        <v>5868</v>
      </c>
      <c r="B971" s="380" t="str">
        <f t="shared" si="15"/>
        <v>198-902</v>
      </c>
      <c r="C971" s="2043">
        <v>0</v>
      </c>
      <c r="D971" s="2043">
        <v>0</v>
      </c>
      <c r="E971">
        <v>0.97250000000000003</v>
      </c>
      <c r="F971" s="2043">
        <v>0</v>
      </c>
    </row>
    <row r="972" spans="1:6" ht="14.5">
      <c r="A972" t="s">
        <v>5240</v>
      </c>
      <c r="B972" s="380" t="str">
        <f t="shared" si="15"/>
        <v>198-903</v>
      </c>
      <c r="C972" s="2043">
        <v>0</v>
      </c>
      <c r="D972" s="2043">
        <v>0</v>
      </c>
      <c r="E972">
        <v>0.99640000000000006</v>
      </c>
      <c r="F972" s="2043">
        <v>2072309</v>
      </c>
    </row>
    <row r="973" spans="1:6" ht="14.5">
      <c r="A973" t="s">
        <v>5241</v>
      </c>
      <c r="B973" s="380" t="str">
        <f t="shared" si="15"/>
        <v>198-905</v>
      </c>
      <c r="C973" s="2043">
        <v>0</v>
      </c>
      <c r="D973" s="2043">
        <v>583051</v>
      </c>
      <c r="E973">
        <v>0.87470000000000003</v>
      </c>
      <c r="F973" s="2043">
        <v>906539</v>
      </c>
    </row>
    <row r="974" spans="1:6" ht="14.5">
      <c r="A974" t="s">
        <v>5869</v>
      </c>
      <c r="B974" s="380" t="str">
        <f t="shared" si="15"/>
        <v>198-906</v>
      </c>
      <c r="C974" s="2043">
        <v>0</v>
      </c>
      <c r="D974" s="2043">
        <v>0</v>
      </c>
      <c r="E974">
        <v>0.96640000000000004</v>
      </c>
      <c r="F974" s="2043">
        <v>0</v>
      </c>
    </row>
    <row r="975" spans="1:6" ht="14.5">
      <c r="A975" t="s">
        <v>5242</v>
      </c>
      <c r="B975" s="380" t="str">
        <f t="shared" si="15"/>
        <v>199-901</v>
      </c>
      <c r="C975" s="2043">
        <v>0</v>
      </c>
      <c r="D975" s="2043">
        <v>18687830</v>
      </c>
      <c r="E975">
        <v>0.94000000000000006</v>
      </c>
      <c r="F975" s="2043">
        <v>41198180</v>
      </c>
    </row>
    <row r="976" spans="1:6" ht="14.5">
      <c r="A976" t="s">
        <v>3184</v>
      </c>
      <c r="B976" s="380" t="str">
        <f t="shared" si="15"/>
        <v>199-902</v>
      </c>
      <c r="C976" s="2043">
        <v>784229</v>
      </c>
      <c r="D976" s="2043">
        <v>7603937</v>
      </c>
      <c r="E976">
        <v>0.96479999999999999</v>
      </c>
      <c r="F976" s="2043">
        <v>13156407</v>
      </c>
    </row>
    <row r="977" spans="1:6" ht="14.5">
      <c r="A977" t="s">
        <v>5870</v>
      </c>
      <c r="B977" s="380" t="str">
        <f t="shared" si="15"/>
        <v>200-901</v>
      </c>
      <c r="C977" s="2043">
        <v>0</v>
      </c>
      <c r="D977" s="2043">
        <v>0</v>
      </c>
      <c r="E977">
        <v>1.0547</v>
      </c>
      <c r="F977" s="2043">
        <v>0</v>
      </c>
    </row>
    <row r="978" spans="1:6" ht="14.5">
      <c r="A978" t="s">
        <v>3185</v>
      </c>
      <c r="B978" s="380" t="str">
        <f t="shared" si="15"/>
        <v>200-902</v>
      </c>
      <c r="C978" s="2043">
        <v>126771</v>
      </c>
      <c r="D978" s="2043">
        <v>166147</v>
      </c>
      <c r="E978">
        <v>1.0464</v>
      </c>
      <c r="F978" s="2043">
        <v>329725</v>
      </c>
    </row>
    <row r="979" spans="1:6" ht="14.5">
      <c r="A979" t="s">
        <v>4591</v>
      </c>
      <c r="B979" s="380" t="str">
        <f t="shared" si="15"/>
        <v>200-904</v>
      </c>
      <c r="C979" s="2043">
        <v>0</v>
      </c>
      <c r="D979" s="2043">
        <v>0</v>
      </c>
      <c r="E979">
        <v>0.96640000000000004</v>
      </c>
      <c r="F979" s="2043">
        <v>0</v>
      </c>
    </row>
    <row r="980" spans="1:6" ht="14.5">
      <c r="A980" t="s">
        <v>3186</v>
      </c>
      <c r="B980" s="380" t="str">
        <f t="shared" si="15"/>
        <v>200-906</v>
      </c>
      <c r="C980" s="2043">
        <v>6739</v>
      </c>
      <c r="D980" s="2043">
        <v>0</v>
      </c>
      <c r="E980">
        <v>1.0547</v>
      </c>
      <c r="F980" s="2043">
        <v>2471</v>
      </c>
    </row>
    <row r="981" spans="1:6" ht="14.5">
      <c r="A981" t="s">
        <v>5243</v>
      </c>
      <c r="B981" s="380" t="str">
        <f t="shared" si="15"/>
        <v>201-902</v>
      </c>
      <c r="C981" s="2043">
        <v>0</v>
      </c>
      <c r="D981" s="2043">
        <v>3014324</v>
      </c>
      <c r="E981">
        <v>0.96640000000000004</v>
      </c>
      <c r="F981" s="2043">
        <v>3596306</v>
      </c>
    </row>
    <row r="982" spans="1:6" ht="14.5">
      <c r="A982" t="s">
        <v>5871</v>
      </c>
      <c r="B982" s="380" t="str">
        <f t="shared" si="15"/>
        <v>201-903</v>
      </c>
      <c r="C982" s="2043">
        <v>0</v>
      </c>
      <c r="D982" s="2043">
        <v>0</v>
      </c>
      <c r="E982">
        <v>1.0547</v>
      </c>
      <c r="F982" s="2043">
        <v>0</v>
      </c>
    </row>
    <row r="983" spans="1:6" ht="14.5">
      <c r="A983" t="s">
        <v>5872</v>
      </c>
      <c r="B983" s="380" t="str">
        <f t="shared" si="15"/>
        <v>201-904</v>
      </c>
      <c r="C983" s="2043">
        <v>0</v>
      </c>
      <c r="D983" s="2043">
        <v>0</v>
      </c>
      <c r="E983">
        <v>1.0547</v>
      </c>
      <c r="F983" s="2043">
        <v>0</v>
      </c>
    </row>
    <row r="984" spans="1:6" ht="14.5">
      <c r="A984" t="s">
        <v>4595</v>
      </c>
      <c r="B984" s="380" t="str">
        <f t="shared" si="15"/>
        <v>201-907</v>
      </c>
      <c r="C984" s="2043">
        <v>0</v>
      </c>
      <c r="D984" s="2043">
        <v>43542</v>
      </c>
      <c r="E984">
        <v>1.0392000000000001</v>
      </c>
      <c r="F984" s="2043">
        <v>39355</v>
      </c>
    </row>
    <row r="985" spans="1:6" ht="14.5">
      <c r="A985" t="s">
        <v>3187</v>
      </c>
      <c r="B985" s="380" t="str">
        <f t="shared" si="15"/>
        <v>201-908</v>
      </c>
      <c r="C985" s="2043">
        <v>184290</v>
      </c>
      <c r="D985" s="2043">
        <v>120932</v>
      </c>
      <c r="E985">
        <v>1.0547</v>
      </c>
      <c r="F985" s="2043">
        <v>248270</v>
      </c>
    </row>
    <row r="986" spans="1:6" ht="14.5">
      <c r="A986" t="s">
        <v>5244</v>
      </c>
      <c r="B986" s="380" t="str">
        <f t="shared" si="15"/>
        <v>201-910</v>
      </c>
      <c r="C986" s="2043">
        <v>0</v>
      </c>
      <c r="D986" s="2043">
        <v>811871</v>
      </c>
      <c r="E986">
        <v>0.96640000000000004</v>
      </c>
      <c r="F986" s="2043">
        <v>2066544</v>
      </c>
    </row>
    <row r="987" spans="1:6" ht="14.5">
      <c r="A987" t="s">
        <v>3188</v>
      </c>
      <c r="B987" s="380" t="str">
        <f t="shared" si="15"/>
        <v>201-913</v>
      </c>
      <c r="C987" s="2043">
        <v>239424</v>
      </c>
      <c r="D987" s="2043">
        <v>212413</v>
      </c>
      <c r="E987">
        <v>1.0534000000000001</v>
      </c>
      <c r="F987" s="2043">
        <v>492040</v>
      </c>
    </row>
    <row r="988" spans="1:6" ht="14.5">
      <c r="A988" t="s">
        <v>5245</v>
      </c>
      <c r="B988" s="380" t="str">
        <f t="shared" si="15"/>
        <v>201-914</v>
      </c>
      <c r="C988" s="2043">
        <v>0</v>
      </c>
      <c r="D988" s="2043">
        <v>959044</v>
      </c>
      <c r="E988">
        <v>0.95640000000000003</v>
      </c>
      <c r="F988" s="2043">
        <v>1059440</v>
      </c>
    </row>
    <row r="989" spans="1:6" ht="14.5">
      <c r="A989" t="s">
        <v>5873</v>
      </c>
      <c r="B989" s="380" t="str">
        <f t="shared" si="15"/>
        <v>202-903</v>
      </c>
      <c r="C989" s="2043">
        <v>0</v>
      </c>
      <c r="D989" s="2043">
        <v>0</v>
      </c>
      <c r="E989">
        <v>0.9114000000000001</v>
      </c>
      <c r="F989" s="2043">
        <v>0</v>
      </c>
    </row>
    <row r="990" spans="1:6" ht="14.5">
      <c r="A990" t="s">
        <v>3189</v>
      </c>
      <c r="B990" s="380" t="str">
        <f t="shared" si="15"/>
        <v>202-905</v>
      </c>
      <c r="C990" s="2043">
        <v>136316</v>
      </c>
      <c r="D990" s="2043">
        <v>344729</v>
      </c>
      <c r="E990">
        <v>0.92990000000000006</v>
      </c>
      <c r="F990" s="2043">
        <v>483624</v>
      </c>
    </row>
    <row r="991" spans="1:6" ht="14.5">
      <c r="A991" t="s">
        <v>3190</v>
      </c>
      <c r="B991" s="380" t="str">
        <f t="shared" si="15"/>
        <v>203-901</v>
      </c>
      <c r="C991" s="2043">
        <v>0</v>
      </c>
      <c r="D991" s="2043">
        <v>463792</v>
      </c>
      <c r="E991">
        <v>0.97640000000000005</v>
      </c>
      <c r="F991" s="2043">
        <v>1274826</v>
      </c>
    </row>
    <row r="992" spans="1:6" ht="14.5">
      <c r="A992" t="s">
        <v>5874</v>
      </c>
      <c r="B992" s="380" t="str">
        <f t="shared" si="15"/>
        <v>203-902</v>
      </c>
      <c r="C992" s="2043">
        <v>0</v>
      </c>
      <c r="D992" s="2043">
        <v>0</v>
      </c>
      <c r="E992">
        <v>1.0093000000000001</v>
      </c>
      <c r="F992" s="2043">
        <v>0</v>
      </c>
    </row>
    <row r="993" spans="1:6" ht="14.5">
      <c r="A993" t="s">
        <v>5246</v>
      </c>
      <c r="B993" s="380" t="str">
        <f t="shared" si="15"/>
        <v>204-901</v>
      </c>
      <c r="C993" s="2043">
        <v>0</v>
      </c>
      <c r="D993" s="2043">
        <v>657356</v>
      </c>
      <c r="E993">
        <v>0.91850000000000009</v>
      </c>
      <c r="F993" s="2043">
        <v>1391795</v>
      </c>
    </row>
    <row r="994" spans="1:6" ht="14.5">
      <c r="A994" t="s">
        <v>3191</v>
      </c>
      <c r="B994" s="380" t="str">
        <f t="shared" si="15"/>
        <v>204-904</v>
      </c>
      <c r="C994" s="2043">
        <v>438956</v>
      </c>
      <c r="D994" s="2043">
        <v>618464</v>
      </c>
      <c r="E994">
        <v>1.0327</v>
      </c>
      <c r="F994" s="2043">
        <v>1164273</v>
      </c>
    </row>
    <row r="995" spans="1:6" ht="14.5">
      <c r="A995" t="s">
        <v>3192</v>
      </c>
      <c r="B995" s="380" t="str">
        <f t="shared" si="15"/>
        <v>205-901</v>
      </c>
      <c r="C995" s="2043">
        <v>154299</v>
      </c>
      <c r="D995" s="2043">
        <v>878159</v>
      </c>
      <c r="E995">
        <v>0.96640000000000004</v>
      </c>
      <c r="F995" s="2043">
        <v>1207194</v>
      </c>
    </row>
    <row r="996" spans="1:6" ht="14.5">
      <c r="A996" t="s">
        <v>5247</v>
      </c>
      <c r="B996" s="380" t="str">
        <f t="shared" si="15"/>
        <v>205-902</v>
      </c>
      <c r="C996" s="2043">
        <v>0</v>
      </c>
      <c r="D996" s="2043">
        <v>4511668</v>
      </c>
      <c r="E996">
        <v>0.96300000000000008</v>
      </c>
      <c r="F996" s="2043">
        <v>24165829</v>
      </c>
    </row>
    <row r="997" spans="1:6" ht="14.5">
      <c r="A997" t="s">
        <v>5248</v>
      </c>
      <c r="B997" s="380" t="str">
        <f t="shared" si="15"/>
        <v>205-903</v>
      </c>
      <c r="C997" s="2043">
        <v>0</v>
      </c>
      <c r="D997" s="2043">
        <v>679568</v>
      </c>
      <c r="E997">
        <v>0.9628000000000001</v>
      </c>
      <c r="F997" s="2043">
        <v>2280334</v>
      </c>
    </row>
    <row r="998" spans="1:6" ht="14.5">
      <c r="A998" t="s">
        <v>3193</v>
      </c>
      <c r="B998" s="380" t="str">
        <f t="shared" si="15"/>
        <v>205-904</v>
      </c>
      <c r="C998" s="2043">
        <v>1293002</v>
      </c>
      <c r="D998" s="2043">
        <v>36962</v>
      </c>
      <c r="E998">
        <v>0.96310000000000007</v>
      </c>
      <c r="F998" s="2043">
        <v>2548544</v>
      </c>
    </row>
    <row r="999" spans="1:6" ht="14.5">
      <c r="A999" t="s">
        <v>3194</v>
      </c>
      <c r="B999" s="380" t="str">
        <f t="shared" si="15"/>
        <v>205-905</v>
      </c>
      <c r="C999" s="2043">
        <v>648536</v>
      </c>
      <c r="D999" s="2043">
        <v>831841</v>
      </c>
      <c r="E999">
        <v>0.96300000000000008</v>
      </c>
      <c r="F999" s="2043">
        <v>1743398</v>
      </c>
    </row>
    <row r="1000" spans="1:6" ht="14.5">
      <c r="A1000" t="s">
        <v>3195</v>
      </c>
      <c r="B1000" s="380" t="str">
        <f t="shared" si="15"/>
        <v>205-906</v>
      </c>
      <c r="C1000" s="2043">
        <v>434875</v>
      </c>
      <c r="D1000" s="2043">
        <v>1384797</v>
      </c>
      <c r="E1000">
        <v>0.96300000000000008</v>
      </c>
      <c r="F1000" s="2043">
        <v>3783640</v>
      </c>
    </row>
    <row r="1001" spans="1:6" ht="14.5">
      <c r="A1001" t="s">
        <v>3196</v>
      </c>
      <c r="B1001" s="380" t="str">
        <f t="shared" si="15"/>
        <v>205-907</v>
      </c>
      <c r="C1001" s="2043">
        <v>579588</v>
      </c>
      <c r="D1001" s="2043">
        <v>373501</v>
      </c>
      <c r="E1001">
        <v>0.96300000000000008</v>
      </c>
      <c r="F1001" s="2043">
        <v>1583758</v>
      </c>
    </row>
    <row r="1002" spans="1:6" ht="14.5">
      <c r="A1002" t="s">
        <v>3197</v>
      </c>
      <c r="B1002" s="380" t="str">
        <f t="shared" si="15"/>
        <v>206-901</v>
      </c>
      <c r="C1002" s="2043">
        <v>177000</v>
      </c>
      <c r="D1002" s="2043">
        <v>339044</v>
      </c>
      <c r="E1002">
        <v>0.96640000000000004</v>
      </c>
      <c r="F1002" s="2043">
        <v>953069</v>
      </c>
    </row>
    <row r="1003" spans="1:6" ht="14.5">
      <c r="A1003" t="s">
        <v>5875</v>
      </c>
      <c r="B1003" s="380" t="str">
        <f t="shared" si="15"/>
        <v>206-902</v>
      </c>
      <c r="C1003" s="2043">
        <v>0</v>
      </c>
      <c r="D1003" s="2043">
        <v>105820</v>
      </c>
      <c r="E1003">
        <v>1.0269000000000001</v>
      </c>
      <c r="F1003" s="2043">
        <v>162672</v>
      </c>
    </row>
    <row r="1004" spans="1:6" ht="14.5">
      <c r="A1004" t="s">
        <v>5876</v>
      </c>
      <c r="B1004" s="380" t="str">
        <f t="shared" si="15"/>
        <v>206-903</v>
      </c>
      <c r="C1004" s="2043">
        <v>0</v>
      </c>
      <c r="D1004" s="2043">
        <v>0</v>
      </c>
      <c r="E1004">
        <v>1.0299</v>
      </c>
      <c r="F1004" s="2043">
        <v>0</v>
      </c>
    </row>
    <row r="1005" spans="1:6" ht="14.5">
      <c r="A1005" t="s">
        <v>5877</v>
      </c>
      <c r="B1005" s="380" t="str">
        <f t="shared" si="15"/>
        <v>207-901</v>
      </c>
      <c r="C1005" s="2043">
        <v>0</v>
      </c>
      <c r="D1005" s="2043">
        <v>0</v>
      </c>
      <c r="E1005">
        <v>1.0548</v>
      </c>
      <c r="F1005" s="2043">
        <v>0</v>
      </c>
    </row>
    <row r="1006" spans="1:6" ht="14.5">
      <c r="A1006" t="s">
        <v>5249</v>
      </c>
      <c r="B1006" s="380" t="str">
        <f t="shared" si="15"/>
        <v>208-901</v>
      </c>
      <c r="C1006" s="2043">
        <v>0</v>
      </c>
      <c r="D1006" s="2043">
        <v>125900</v>
      </c>
      <c r="E1006">
        <v>0.96640000000000004</v>
      </c>
      <c r="F1006" s="2043">
        <v>533517</v>
      </c>
    </row>
    <row r="1007" spans="1:6" ht="14.5">
      <c r="A1007" t="s">
        <v>5250</v>
      </c>
      <c r="B1007" s="380" t="str">
        <f t="shared" si="15"/>
        <v>208-902</v>
      </c>
      <c r="C1007" s="2043">
        <v>0</v>
      </c>
      <c r="D1007" s="2043">
        <v>912297</v>
      </c>
      <c r="E1007">
        <v>0.96540000000000004</v>
      </c>
      <c r="F1007" s="2043">
        <v>1578038</v>
      </c>
    </row>
    <row r="1008" spans="1:6" ht="14.5">
      <c r="A1008" t="s">
        <v>5251</v>
      </c>
      <c r="B1008" s="380" t="str">
        <f t="shared" si="15"/>
        <v>208-903</v>
      </c>
      <c r="C1008" s="2043">
        <v>0</v>
      </c>
      <c r="D1008" s="2043">
        <v>302435</v>
      </c>
      <c r="E1008">
        <v>0.96640000000000004</v>
      </c>
      <c r="F1008" s="2043">
        <v>782558</v>
      </c>
    </row>
    <row r="1009" spans="1:6" ht="14.5">
      <c r="A1009" t="s">
        <v>5878</v>
      </c>
      <c r="B1009" s="380" t="str">
        <f t="shared" si="15"/>
        <v>209-901</v>
      </c>
      <c r="C1009" s="2043">
        <v>0</v>
      </c>
      <c r="D1009" s="2043">
        <v>0</v>
      </c>
      <c r="E1009">
        <v>0.96640000000000004</v>
      </c>
      <c r="F1009" s="2043">
        <v>0</v>
      </c>
    </row>
    <row r="1010" spans="1:6" ht="14.5">
      <c r="A1010" t="s">
        <v>5879</v>
      </c>
      <c r="B1010" s="380" t="str">
        <f t="shared" si="15"/>
        <v>209-902</v>
      </c>
      <c r="C1010" s="2043">
        <v>0</v>
      </c>
      <c r="D1010" s="2043">
        <v>0</v>
      </c>
      <c r="E1010">
        <v>0.97</v>
      </c>
      <c r="F1010" s="2043">
        <v>0</v>
      </c>
    </row>
    <row r="1011" spans="1:6" ht="14.5">
      <c r="A1011" t="s">
        <v>3198</v>
      </c>
      <c r="B1011" s="380" t="str">
        <f t="shared" si="15"/>
        <v>210-901</v>
      </c>
      <c r="C1011" s="2043">
        <v>167142</v>
      </c>
      <c r="D1011" s="2043">
        <v>1108847</v>
      </c>
      <c r="E1011">
        <v>1.0547</v>
      </c>
      <c r="F1011" s="2043">
        <v>1650182</v>
      </c>
    </row>
    <row r="1012" spans="1:6" ht="14.5">
      <c r="A1012" t="s">
        <v>5252</v>
      </c>
      <c r="B1012" s="380" t="str">
        <f t="shared" si="15"/>
        <v>210-902</v>
      </c>
      <c r="C1012" s="2043">
        <v>0</v>
      </c>
      <c r="D1012" s="2043">
        <v>609972</v>
      </c>
      <c r="E1012">
        <v>1.0547</v>
      </c>
      <c r="F1012" s="2043">
        <v>940955</v>
      </c>
    </row>
    <row r="1013" spans="1:6" ht="14.5">
      <c r="A1013" t="s">
        <v>3199</v>
      </c>
      <c r="B1013" s="380" t="str">
        <f t="shared" si="15"/>
        <v>210-903</v>
      </c>
      <c r="C1013" s="2043">
        <v>154950</v>
      </c>
      <c r="D1013" s="2043">
        <v>0</v>
      </c>
      <c r="E1013">
        <v>1.0158</v>
      </c>
      <c r="F1013" s="2043">
        <v>159734</v>
      </c>
    </row>
    <row r="1014" spans="1:6" ht="14.5">
      <c r="A1014" t="s">
        <v>5253</v>
      </c>
      <c r="B1014" s="380" t="str">
        <f t="shared" si="15"/>
        <v>210-904</v>
      </c>
      <c r="C1014" s="2043">
        <v>0</v>
      </c>
      <c r="D1014" s="2043">
        <v>152304</v>
      </c>
      <c r="E1014">
        <v>0.96640000000000004</v>
      </c>
      <c r="F1014" s="2043">
        <v>150552</v>
      </c>
    </row>
    <row r="1015" spans="1:6" ht="14.5">
      <c r="A1015" t="s">
        <v>5880</v>
      </c>
      <c r="B1015" s="380" t="str">
        <f t="shared" si="15"/>
        <v>210-905</v>
      </c>
      <c r="C1015" s="2043">
        <v>0</v>
      </c>
      <c r="D1015" s="2043">
        <v>280333</v>
      </c>
      <c r="E1015">
        <v>1.0547</v>
      </c>
      <c r="F1015" s="2043">
        <v>340971</v>
      </c>
    </row>
    <row r="1016" spans="1:6" ht="14.5">
      <c r="A1016" t="s">
        <v>5881</v>
      </c>
      <c r="B1016" s="380" t="str">
        <f t="shared" si="15"/>
        <v>210-906</v>
      </c>
      <c r="C1016" s="2043">
        <v>0</v>
      </c>
      <c r="D1016" s="2043">
        <v>0</v>
      </c>
      <c r="E1016">
        <v>1.0547</v>
      </c>
      <c r="F1016" s="2043">
        <v>0</v>
      </c>
    </row>
    <row r="1017" spans="1:6" ht="14.5">
      <c r="A1017" t="s">
        <v>5254</v>
      </c>
      <c r="B1017" s="380" t="str">
        <f t="shared" si="15"/>
        <v>211-901</v>
      </c>
      <c r="C1017" s="2043">
        <v>0</v>
      </c>
      <c r="D1017" s="2043">
        <v>0</v>
      </c>
      <c r="E1017">
        <v>0.96640000000000004</v>
      </c>
      <c r="F1017" s="2043">
        <v>205</v>
      </c>
    </row>
    <row r="1018" spans="1:6" ht="14.5">
      <c r="A1018" t="s">
        <v>5882</v>
      </c>
      <c r="B1018" s="380" t="str">
        <f t="shared" si="15"/>
        <v>211-902</v>
      </c>
      <c r="C1018" s="2043">
        <v>0</v>
      </c>
      <c r="D1018" s="2043">
        <v>324483</v>
      </c>
      <c r="E1018">
        <v>1.0547</v>
      </c>
      <c r="F1018" s="2043">
        <v>653912</v>
      </c>
    </row>
    <row r="1019" spans="1:6" ht="14.5">
      <c r="A1019" t="s">
        <v>8071</v>
      </c>
      <c r="B1019" s="380" t="str">
        <f t="shared" si="15"/>
        <v>212-801</v>
      </c>
      <c r="C1019" s="2043">
        <v>0</v>
      </c>
      <c r="D1019" s="2043">
        <v>0</v>
      </c>
      <c r="E1019">
        <v>0</v>
      </c>
      <c r="F1019" s="2043">
        <v>0</v>
      </c>
    </row>
    <row r="1020" spans="1:6" ht="14.5">
      <c r="A1020" t="s">
        <v>8072</v>
      </c>
      <c r="B1020" s="380" t="str">
        <f t="shared" si="15"/>
        <v>212-804</v>
      </c>
      <c r="C1020" s="2043">
        <v>0</v>
      </c>
      <c r="D1020" s="2043">
        <v>0</v>
      </c>
      <c r="E1020">
        <v>0</v>
      </c>
      <c r="F1020" s="2043">
        <v>0</v>
      </c>
    </row>
    <row r="1021" spans="1:6" ht="14.5">
      <c r="A1021" t="s">
        <v>3200</v>
      </c>
      <c r="B1021" s="380" t="str">
        <f t="shared" si="15"/>
        <v>212-901</v>
      </c>
      <c r="C1021" s="2043">
        <v>219258</v>
      </c>
      <c r="D1021" s="2043">
        <v>752534</v>
      </c>
      <c r="E1021">
        <v>1.0527</v>
      </c>
      <c r="F1021" s="2043">
        <v>1242040</v>
      </c>
    </row>
    <row r="1022" spans="1:6" ht="14.5">
      <c r="A1022" t="s">
        <v>5255</v>
      </c>
      <c r="B1022" s="380" t="str">
        <f t="shared" si="15"/>
        <v>212-902</v>
      </c>
      <c r="C1022" s="2043">
        <v>0</v>
      </c>
      <c r="D1022" s="2043">
        <v>2908267</v>
      </c>
      <c r="E1022">
        <v>0.99530000000000007</v>
      </c>
      <c r="F1022" s="2043">
        <v>4794737</v>
      </c>
    </row>
    <row r="1023" spans="1:6" ht="14.5">
      <c r="A1023" t="s">
        <v>3201</v>
      </c>
      <c r="B1023" s="380" t="str">
        <f t="shared" si="15"/>
        <v>212-903</v>
      </c>
      <c r="C1023" s="2043">
        <v>863361</v>
      </c>
      <c r="D1023" s="2043">
        <v>4107118</v>
      </c>
      <c r="E1023">
        <v>0.92800000000000005</v>
      </c>
      <c r="F1023" s="2043">
        <v>5675854</v>
      </c>
    </row>
    <row r="1024" spans="1:6" ht="14.5">
      <c r="A1024" t="s">
        <v>5256</v>
      </c>
      <c r="B1024" s="380" t="str">
        <f t="shared" si="15"/>
        <v>212-904</v>
      </c>
      <c r="C1024" s="2043">
        <v>0</v>
      </c>
      <c r="D1024" s="2043">
        <v>485455</v>
      </c>
      <c r="E1024">
        <v>1.0547</v>
      </c>
      <c r="F1024" s="2043">
        <v>472298</v>
      </c>
    </row>
    <row r="1025" spans="1:6" ht="14.5">
      <c r="A1025" t="s">
        <v>5257</v>
      </c>
      <c r="B1025" s="380" t="str">
        <f t="shared" si="15"/>
        <v>212-905</v>
      </c>
      <c r="C1025" s="2043">
        <v>0</v>
      </c>
      <c r="D1025" s="2043">
        <v>19400915</v>
      </c>
      <c r="E1025">
        <v>0.95910000000000006</v>
      </c>
      <c r="F1025" s="2043">
        <v>34461860</v>
      </c>
    </row>
    <row r="1026" spans="1:6" ht="14.5">
      <c r="A1026" t="s">
        <v>3202</v>
      </c>
      <c r="B1026" s="380" t="str">
        <f t="shared" si="15"/>
        <v>212-906</v>
      </c>
      <c r="C1026" s="2043">
        <v>962500</v>
      </c>
      <c r="D1026" s="2043">
        <v>5346395</v>
      </c>
      <c r="E1026">
        <v>0.95660000000000001</v>
      </c>
      <c r="F1026" s="2043">
        <v>7438049</v>
      </c>
    </row>
    <row r="1027" spans="1:6" ht="14.5">
      <c r="A1027" t="s">
        <v>3203</v>
      </c>
      <c r="B1027" s="380" t="str">
        <f t="shared" si="15"/>
        <v>212-909</v>
      </c>
      <c r="C1027" s="2043">
        <v>722890</v>
      </c>
      <c r="D1027" s="2043">
        <v>688304</v>
      </c>
      <c r="E1027">
        <v>0.9890000000000001</v>
      </c>
      <c r="F1027" s="2043">
        <v>1611025</v>
      </c>
    </row>
    <row r="1028" spans="1:6" ht="14.5">
      <c r="A1028" t="s">
        <v>5258</v>
      </c>
      <c r="B1028" s="380" t="str">
        <f t="shared" ref="B1028:B1091" si="16">CONCATENATE(LEFT(RIGHT(CONCATENATE("000",A1028),6),3),"-",(RIGHT(RIGHT(CONCATENATE("000",A1028),6),3)))</f>
        <v>212-910</v>
      </c>
      <c r="C1028" s="2043">
        <v>0</v>
      </c>
      <c r="D1028" s="2043">
        <v>1121872</v>
      </c>
      <c r="E1028">
        <v>0.93520000000000003</v>
      </c>
      <c r="F1028" s="2043">
        <v>1863927</v>
      </c>
    </row>
    <row r="1029" spans="1:6" ht="14.5">
      <c r="A1029" t="s">
        <v>8073</v>
      </c>
      <c r="B1029" s="380" t="str">
        <f t="shared" si="16"/>
        <v>213-801</v>
      </c>
      <c r="C1029" s="2043">
        <v>0</v>
      </c>
      <c r="D1029" s="2043">
        <v>0</v>
      </c>
      <c r="E1029">
        <v>0</v>
      </c>
      <c r="F1029" s="2043">
        <v>0</v>
      </c>
    </row>
    <row r="1030" spans="1:6" ht="14.5">
      <c r="A1030" t="s">
        <v>5259</v>
      </c>
      <c r="B1030" s="380" t="str">
        <f t="shared" si="16"/>
        <v>213-901</v>
      </c>
      <c r="C1030" s="2043">
        <v>0</v>
      </c>
      <c r="D1030" s="2043">
        <v>724581</v>
      </c>
      <c r="E1030">
        <v>0.87470000000000003</v>
      </c>
      <c r="F1030" s="2043">
        <v>2489274</v>
      </c>
    </row>
    <row r="1031" spans="1:6" ht="14.5">
      <c r="A1031" t="s">
        <v>3204</v>
      </c>
      <c r="B1031" s="380" t="str">
        <f t="shared" si="16"/>
        <v>214-901</v>
      </c>
      <c r="C1031" s="2043">
        <v>4307764</v>
      </c>
      <c r="D1031" s="2043">
        <v>379842</v>
      </c>
      <c r="E1031">
        <v>0.99890000000000001</v>
      </c>
      <c r="F1031" s="2043">
        <v>4679280</v>
      </c>
    </row>
    <row r="1032" spans="1:6" ht="14.5">
      <c r="A1032" t="s">
        <v>5260</v>
      </c>
      <c r="B1032" s="380" t="str">
        <f t="shared" si="16"/>
        <v>214-902</v>
      </c>
      <c r="C1032" s="2043">
        <v>0</v>
      </c>
      <c r="D1032" s="2043">
        <v>91545</v>
      </c>
      <c r="E1032">
        <v>1.0547</v>
      </c>
      <c r="F1032" s="2043">
        <v>166752</v>
      </c>
    </row>
    <row r="1033" spans="1:6" ht="14.5">
      <c r="A1033" t="s">
        <v>3205</v>
      </c>
      <c r="B1033" s="380" t="str">
        <f t="shared" si="16"/>
        <v>214-903</v>
      </c>
      <c r="C1033" s="2043">
        <v>2663015</v>
      </c>
      <c r="D1033" s="2043">
        <v>0</v>
      </c>
      <c r="E1033">
        <v>1.0547</v>
      </c>
      <c r="F1033" s="2043">
        <v>1548379</v>
      </c>
    </row>
    <row r="1034" spans="1:6" ht="14.5">
      <c r="A1034" t="s">
        <v>5261</v>
      </c>
      <c r="B1034" s="380" t="str">
        <f t="shared" si="16"/>
        <v>215-901</v>
      </c>
      <c r="C1034" s="2043">
        <v>0</v>
      </c>
      <c r="D1034" s="2043">
        <v>19848</v>
      </c>
      <c r="E1034">
        <v>1.0547</v>
      </c>
      <c r="F1034" s="2043">
        <v>4711</v>
      </c>
    </row>
    <row r="1035" spans="1:6" ht="14.5">
      <c r="A1035" t="s">
        <v>5262</v>
      </c>
      <c r="B1035" s="380" t="str">
        <f t="shared" si="16"/>
        <v>216-901</v>
      </c>
      <c r="C1035" s="2043">
        <v>0</v>
      </c>
      <c r="D1035" s="2043">
        <v>141186</v>
      </c>
      <c r="E1035">
        <v>0.96640000000000004</v>
      </c>
      <c r="F1035" s="2043">
        <v>1895609</v>
      </c>
    </row>
    <row r="1036" spans="1:6" ht="14.5">
      <c r="A1036" t="s">
        <v>5263</v>
      </c>
      <c r="B1036" s="380" t="str">
        <f t="shared" si="16"/>
        <v>217-901</v>
      </c>
      <c r="C1036" s="2043">
        <v>0</v>
      </c>
      <c r="D1036" s="2043">
        <v>228103</v>
      </c>
      <c r="E1036">
        <v>0.96640000000000004</v>
      </c>
      <c r="F1036" s="2043">
        <v>593140</v>
      </c>
    </row>
    <row r="1037" spans="1:6" ht="14.5">
      <c r="A1037" t="s">
        <v>5264</v>
      </c>
      <c r="B1037" s="380" t="str">
        <f t="shared" si="16"/>
        <v>218-901</v>
      </c>
      <c r="C1037" s="2043">
        <v>0</v>
      </c>
      <c r="D1037" s="2043">
        <v>0</v>
      </c>
      <c r="E1037">
        <v>0.93710000000000004</v>
      </c>
      <c r="F1037" s="2043">
        <v>348083</v>
      </c>
    </row>
    <row r="1038" spans="1:6" ht="14.5">
      <c r="A1038" t="s">
        <v>5883</v>
      </c>
      <c r="B1038" s="380" t="str">
        <f t="shared" si="16"/>
        <v>219-901</v>
      </c>
      <c r="C1038" s="2043">
        <v>0</v>
      </c>
      <c r="D1038" s="2043">
        <v>0</v>
      </c>
      <c r="E1038">
        <v>0.95850000000000002</v>
      </c>
      <c r="F1038" s="2043">
        <v>0</v>
      </c>
    </row>
    <row r="1039" spans="1:6" ht="14.5">
      <c r="A1039" t="s">
        <v>5884</v>
      </c>
      <c r="B1039" s="380" t="str">
        <f t="shared" si="16"/>
        <v>219-903</v>
      </c>
      <c r="C1039" s="2043">
        <v>0</v>
      </c>
      <c r="D1039" s="2043">
        <v>501348</v>
      </c>
      <c r="E1039">
        <v>1.0390000000000001</v>
      </c>
      <c r="F1039" s="2043">
        <v>525295</v>
      </c>
    </row>
    <row r="1040" spans="1:6" ht="14.5">
      <c r="A1040" t="s">
        <v>5265</v>
      </c>
      <c r="B1040" s="380" t="str">
        <f t="shared" si="16"/>
        <v>219-905</v>
      </c>
      <c r="C1040" s="2043">
        <v>0</v>
      </c>
      <c r="D1040" s="2043">
        <v>205450</v>
      </c>
      <c r="E1040">
        <v>1.0547</v>
      </c>
      <c r="F1040" s="2043">
        <v>285913</v>
      </c>
    </row>
    <row r="1041" spans="1:6" ht="14.5">
      <c r="A1041" t="s">
        <v>8074</v>
      </c>
      <c r="B1041" s="380" t="str">
        <f t="shared" si="16"/>
        <v>220-801</v>
      </c>
      <c r="C1041" s="2043">
        <v>0</v>
      </c>
      <c r="D1041" s="2043">
        <v>0</v>
      </c>
      <c r="E1041">
        <v>0</v>
      </c>
      <c r="F1041" s="2043">
        <v>0</v>
      </c>
    </row>
    <row r="1042" spans="1:6" ht="14.5">
      <c r="A1042" t="s">
        <v>8075</v>
      </c>
      <c r="B1042" s="380" t="str">
        <f t="shared" si="16"/>
        <v>220-802</v>
      </c>
      <c r="C1042" s="2043">
        <v>0</v>
      </c>
      <c r="D1042" s="2043">
        <v>0</v>
      </c>
      <c r="E1042">
        <v>0</v>
      </c>
      <c r="F1042" s="2043">
        <v>0</v>
      </c>
    </row>
    <row r="1043" spans="1:6" ht="14.5">
      <c r="A1043" t="s">
        <v>8076</v>
      </c>
      <c r="B1043" s="380" t="str">
        <f t="shared" si="16"/>
        <v>220-809</v>
      </c>
      <c r="C1043" s="2043">
        <v>0</v>
      </c>
      <c r="D1043" s="2043">
        <v>0</v>
      </c>
      <c r="E1043">
        <v>0</v>
      </c>
      <c r="F1043" s="2043">
        <v>0</v>
      </c>
    </row>
    <row r="1044" spans="1:6" ht="14.5">
      <c r="A1044" t="s">
        <v>8077</v>
      </c>
      <c r="B1044" s="380" t="str">
        <f t="shared" si="16"/>
        <v>220-810</v>
      </c>
      <c r="C1044" s="2043">
        <v>0</v>
      </c>
      <c r="D1044" s="2043">
        <v>0</v>
      </c>
      <c r="E1044">
        <v>0</v>
      </c>
      <c r="F1044" s="2043">
        <v>0</v>
      </c>
    </row>
    <row r="1045" spans="1:6" ht="14.5">
      <c r="A1045" t="s">
        <v>8078</v>
      </c>
      <c r="B1045" s="380" t="str">
        <f t="shared" si="16"/>
        <v>220-811</v>
      </c>
      <c r="C1045" s="2043">
        <v>0</v>
      </c>
      <c r="D1045" s="2043">
        <v>0</v>
      </c>
      <c r="E1045">
        <v>0</v>
      </c>
      <c r="F1045" s="2043">
        <v>0</v>
      </c>
    </row>
    <row r="1046" spans="1:6" ht="14.5">
      <c r="A1046" t="s">
        <v>8079</v>
      </c>
      <c r="B1046" s="380" t="str">
        <f t="shared" si="16"/>
        <v>220-814</v>
      </c>
      <c r="C1046" s="2043">
        <v>0</v>
      </c>
      <c r="D1046" s="2043">
        <v>0</v>
      </c>
      <c r="E1046">
        <v>0</v>
      </c>
      <c r="F1046" s="2043">
        <v>0</v>
      </c>
    </row>
    <row r="1047" spans="1:6" ht="14.5">
      <c r="A1047" t="s">
        <v>8080</v>
      </c>
      <c r="B1047" s="380" t="str">
        <f t="shared" si="16"/>
        <v>220-815</v>
      </c>
      <c r="C1047" s="2043">
        <v>0</v>
      </c>
      <c r="D1047" s="2043">
        <v>0</v>
      </c>
      <c r="E1047">
        <v>0</v>
      </c>
      <c r="F1047" s="2043">
        <v>0</v>
      </c>
    </row>
    <row r="1048" spans="1:6" ht="14.5">
      <c r="A1048" t="s">
        <v>8081</v>
      </c>
      <c r="B1048" s="380" t="str">
        <f t="shared" si="16"/>
        <v>220-817</v>
      </c>
      <c r="C1048" s="2043">
        <v>0</v>
      </c>
      <c r="D1048" s="2043">
        <v>0</v>
      </c>
      <c r="E1048">
        <v>0</v>
      </c>
      <c r="F1048" s="2043">
        <v>0</v>
      </c>
    </row>
    <row r="1049" spans="1:6" ht="14.5">
      <c r="A1049" t="s">
        <v>8082</v>
      </c>
      <c r="B1049" s="380" t="str">
        <f t="shared" si="16"/>
        <v>220-819</v>
      </c>
      <c r="C1049" s="2043">
        <v>0</v>
      </c>
      <c r="D1049" s="2043">
        <v>0</v>
      </c>
      <c r="E1049">
        <v>0</v>
      </c>
      <c r="F1049" s="2043">
        <v>0</v>
      </c>
    </row>
    <row r="1050" spans="1:6" ht="14.5">
      <c r="A1050" t="s">
        <v>3206</v>
      </c>
      <c r="B1050" s="380" t="str">
        <f t="shared" si="16"/>
        <v>220-901</v>
      </c>
      <c r="C1050" s="2043">
        <v>0</v>
      </c>
      <c r="D1050" s="2043">
        <v>61047901</v>
      </c>
      <c r="E1050">
        <v>1.0864</v>
      </c>
      <c r="F1050" s="2043">
        <v>95824907</v>
      </c>
    </row>
    <row r="1051" spans="1:6" ht="14.5">
      <c r="A1051" t="s">
        <v>3207</v>
      </c>
      <c r="B1051" s="380" t="str">
        <f t="shared" si="16"/>
        <v>220-902</v>
      </c>
      <c r="C1051" s="2043">
        <v>6834918</v>
      </c>
      <c r="D1051" s="2043">
        <v>25037870</v>
      </c>
      <c r="E1051">
        <v>0.96640000000000004</v>
      </c>
      <c r="F1051" s="2043">
        <v>47314770</v>
      </c>
    </row>
    <row r="1052" spans="1:6" ht="14.5">
      <c r="A1052" t="s">
        <v>3208</v>
      </c>
      <c r="B1052" s="380" t="str">
        <f t="shared" si="16"/>
        <v>220-904</v>
      </c>
      <c r="C1052" s="2043">
        <v>2036748</v>
      </c>
      <c r="D1052" s="2043">
        <v>2940768</v>
      </c>
      <c r="E1052">
        <v>1.0125</v>
      </c>
      <c r="F1052" s="2043">
        <v>5876243</v>
      </c>
    </row>
    <row r="1053" spans="1:6" ht="14.5">
      <c r="A1053" t="s">
        <v>5266</v>
      </c>
      <c r="B1053" s="380" t="str">
        <f t="shared" si="16"/>
        <v>220-905</v>
      </c>
      <c r="C1053" s="2043">
        <v>0</v>
      </c>
      <c r="D1053" s="2043">
        <v>84380448</v>
      </c>
      <c r="E1053">
        <v>1.0864</v>
      </c>
      <c r="F1053" s="2043">
        <v>121408734</v>
      </c>
    </row>
    <row r="1054" spans="1:6" ht="14.5">
      <c r="A1054" t="s">
        <v>5267</v>
      </c>
      <c r="B1054" s="380" t="str">
        <f t="shared" si="16"/>
        <v>220-906</v>
      </c>
      <c r="C1054" s="2043">
        <v>0</v>
      </c>
      <c r="D1054" s="2043">
        <v>15321049</v>
      </c>
      <c r="E1054">
        <v>0.96640000000000004</v>
      </c>
      <c r="F1054" s="2043">
        <v>57242886</v>
      </c>
    </row>
    <row r="1055" spans="1:6" ht="14.5">
      <c r="A1055" t="s">
        <v>3209</v>
      </c>
      <c r="B1055" s="380" t="str">
        <f t="shared" si="16"/>
        <v>220-907</v>
      </c>
      <c r="C1055" s="2043">
        <v>8082239</v>
      </c>
      <c r="D1055" s="2043">
        <v>38407737</v>
      </c>
      <c r="E1055">
        <v>1.0547</v>
      </c>
      <c r="F1055" s="2043">
        <v>68431143</v>
      </c>
    </row>
    <row r="1056" spans="1:6" ht="14.5">
      <c r="A1056" t="s">
        <v>3210</v>
      </c>
      <c r="B1056" s="380" t="str">
        <f t="shared" si="16"/>
        <v>220-908</v>
      </c>
      <c r="C1056" s="2043">
        <v>18619401</v>
      </c>
      <c r="D1056" s="2043">
        <v>38888734</v>
      </c>
      <c r="E1056">
        <v>0.95640000000000003</v>
      </c>
      <c r="F1056" s="2043">
        <v>77904244</v>
      </c>
    </row>
    <row r="1057" spans="1:6" ht="14.5">
      <c r="A1057" t="s">
        <v>3211</v>
      </c>
      <c r="B1057" s="380" t="str">
        <f t="shared" si="16"/>
        <v>220-910</v>
      </c>
      <c r="C1057" s="2043">
        <v>1008235</v>
      </c>
      <c r="D1057" s="2043">
        <v>3354112</v>
      </c>
      <c r="E1057">
        <v>1.0481</v>
      </c>
      <c r="F1057" s="2043">
        <v>5360327</v>
      </c>
    </row>
    <row r="1058" spans="1:6" ht="14.5">
      <c r="A1058" t="s">
        <v>3212</v>
      </c>
      <c r="B1058" s="380" t="str">
        <f t="shared" si="16"/>
        <v>220-912</v>
      </c>
      <c r="C1058" s="2043">
        <v>9360187</v>
      </c>
      <c r="D1058" s="2043">
        <v>17185175</v>
      </c>
      <c r="E1058">
        <v>1.0398000000000001</v>
      </c>
      <c r="F1058" s="2043">
        <v>38539539</v>
      </c>
    </row>
    <row r="1059" spans="1:6" ht="14.5">
      <c r="A1059" t="s">
        <v>3213</v>
      </c>
      <c r="B1059" s="380" t="str">
        <f t="shared" si="16"/>
        <v>220-914</v>
      </c>
      <c r="C1059" s="2043">
        <v>457754</v>
      </c>
      <c r="D1059" s="2043">
        <v>2637021</v>
      </c>
      <c r="E1059">
        <v>1.0547</v>
      </c>
      <c r="F1059" s="2043">
        <v>4663267</v>
      </c>
    </row>
    <row r="1060" spans="1:6" ht="14.5">
      <c r="A1060" t="s">
        <v>3214</v>
      </c>
      <c r="B1060" s="380" t="str">
        <f t="shared" si="16"/>
        <v>220-915</v>
      </c>
      <c r="C1060" s="2043">
        <v>1377910</v>
      </c>
      <c r="D1060" s="2043">
        <v>3113641</v>
      </c>
      <c r="E1060">
        <v>1.0508</v>
      </c>
      <c r="F1060" s="2043">
        <v>6482688</v>
      </c>
    </row>
    <row r="1061" spans="1:6" ht="14.5">
      <c r="A1061" t="s">
        <v>3215</v>
      </c>
      <c r="B1061" s="380" t="str">
        <f t="shared" si="16"/>
        <v>220-916</v>
      </c>
      <c r="C1061" s="2043">
        <v>4462567</v>
      </c>
      <c r="D1061" s="2043">
        <v>19294371</v>
      </c>
      <c r="E1061">
        <v>0.96240000000000003</v>
      </c>
      <c r="F1061" s="2043">
        <v>37209933</v>
      </c>
    </row>
    <row r="1062" spans="1:6" ht="14.5">
      <c r="A1062" t="s">
        <v>3216</v>
      </c>
      <c r="B1062" s="380" t="str">
        <f t="shared" si="16"/>
        <v>220-917</v>
      </c>
      <c r="C1062" s="2043">
        <v>685300</v>
      </c>
      <c r="D1062" s="2043">
        <v>1555908</v>
      </c>
      <c r="E1062">
        <v>1.0191000000000001</v>
      </c>
      <c r="F1062" s="2043">
        <v>2087006</v>
      </c>
    </row>
    <row r="1063" spans="1:6" ht="14.5">
      <c r="A1063" t="s">
        <v>3217</v>
      </c>
      <c r="B1063" s="380" t="str">
        <f t="shared" si="16"/>
        <v>220-918</v>
      </c>
      <c r="C1063" s="2043">
        <v>4072151</v>
      </c>
      <c r="D1063" s="2043">
        <v>23686822</v>
      </c>
      <c r="E1063">
        <v>1.0464</v>
      </c>
      <c r="F1063" s="2043">
        <v>50351412</v>
      </c>
    </row>
    <row r="1064" spans="1:6" ht="14.5">
      <c r="A1064" t="s">
        <v>4710</v>
      </c>
      <c r="B1064" s="380" t="str">
        <f t="shared" si="16"/>
        <v>220-919</v>
      </c>
      <c r="C1064" s="2043">
        <v>693277</v>
      </c>
      <c r="D1064" s="2043">
        <v>9307606</v>
      </c>
      <c r="E1064">
        <v>0.95640000000000003</v>
      </c>
      <c r="F1064" s="2043">
        <v>31779737</v>
      </c>
    </row>
    <row r="1065" spans="1:6" ht="14.5">
      <c r="A1065" t="s">
        <v>3218</v>
      </c>
      <c r="B1065" s="380" t="str">
        <f t="shared" si="16"/>
        <v>220-920</v>
      </c>
      <c r="C1065" s="2043">
        <v>1433532</v>
      </c>
      <c r="D1065" s="2043">
        <v>7194214</v>
      </c>
      <c r="E1065">
        <v>0.96160000000000001</v>
      </c>
      <c r="F1065" s="2043">
        <v>11357502</v>
      </c>
    </row>
    <row r="1066" spans="1:6" ht="14.5">
      <c r="A1066" t="s">
        <v>8516</v>
      </c>
      <c r="B1066" s="380" t="str">
        <f t="shared" si="16"/>
        <v>220-950</v>
      </c>
      <c r="C1066" s="2043">
        <v>0</v>
      </c>
      <c r="D1066" s="2043">
        <v>0</v>
      </c>
      <c r="E1066">
        <v>0</v>
      </c>
      <c r="F1066" s="2043">
        <v>0</v>
      </c>
    </row>
    <row r="1067" spans="1:6" ht="14.5">
      <c r="A1067" t="s">
        <v>8083</v>
      </c>
      <c r="B1067" s="380" t="str">
        <f t="shared" si="16"/>
        <v>221-801</v>
      </c>
      <c r="C1067" s="2043">
        <v>0</v>
      </c>
      <c r="D1067" s="2043">
        <v>0</v>
      </c>
      <c r="E1067">
        <v>0</v>
      </c>
      <c r="F1067" s="2043">
        <v>0</v>
      </c>
    </row>
    <row r="1068" spans="1:6" ht="14.5">
      <c r="A1068" t="s">
        <v>5268</v>
      </c>
      <c r="B1068" s="380" t="str">
        <f t="shared" si="16"/>
        <v>221-901</v>
      </c>
      <c r="C1068" s="2043">
        <v>2773163</v>
      </c>
      <c r="D1068" s="2043">
        <v>4979954</v>
      </c>
      <c r="E1068">
        <v>0.96420000000000006</v>
      </c>
      <c r="F1068" s="2043">
        <v>16225503</v>
      </c>
    </row>
    <row r="1069" spans="1:6" ht="14.5">
      <c r="A1069" t="s">
        <v>5269</v>
      </c>
      <c r="B1069" s="380" t="str">
        <f t="shared" si="16"/>
        <v>221-904</v>
      </c>
      <c r="C1069" s="2043">
        <v>0</v>
      </c>
      <c r="D1069" s="2043">
        <v>945181</v>
      </c>
      <c r="E1069">
        <v>0.96640000000000004</v>
      </c>
      <c r="F1069" s="2043">
        <v>952157</v>
      </c>
    </row>
    <row r="1070" spans="1:6" ht="14.5">
      <c r="A1070" t="s">
        <v>5270</v>
      </c>
      <c r="B1070" s="380" t="str">
        <f t="shared" si="16"/>
        <v>221-905</v>
      </c>
      <c r="C1070" s="2043">
        <v>0</v>
      </c>
      <c r="D1070" s="2043">
        <v>115676</v>
      </c>
      <c r="E1070">
        <v>1.0547</v>
      </c>
      <c r="F1070" s="2043">
        <v>461128</v>
      </c>
    </row>
    <row r="1071" spans="1:6" ht="14.5">
      <c r="A1071" t="s">
        <v>5271</v>
      </c>
      <c r="B1071" s="380" t="str">
        <f t="shared" si="16"/>
        <v>221-911</v>
      </c>
      <c r="C1071" s="2043">
        <v>0</v>
      </c>
      <c r="D1071" s="2043">
        <v>817525</v>
      </c>
      <c r="E1071">
        <v>0.94680000000000009</v>
      </c>
      <c r="F1071" s="2043">
        <v>862832</v>
      </c>
    </row>
    <row r="1072" spans="1:6" ht="14.5">
      <c r="A1072" t="s">
        <v>5272</v>
      </c>
      <c r="B1072" s="380" t="str">
        <f t="shared" si="16"/>
        <v>221-912</v>
      </c>
      <c r="C1072" s="2043">
        <v>0</v>
      </c>
      <c r="D1072" s="2043">
        <v>4703020</v>
      </c>
      <c r="E1072">
        <v>0.95300000000000007</v>
      </c>
      <c r="F1072" s="2043">
        <v>4955737</v>
      </c>
    </row>
    <row r="1073" spans="1:6" ht="14.5">
      <c r="A1073" t="s">
        <v>8517</v>
      </c>
      <c r="B1073" s="380" t="str">
        <f t="shared" si="16"/>
        <v>221-950</v>
      </c>
      <c r="C1073" s="2043">
        <v>0</v>
      </c>
      <c r="D1073" s="2043">
        <v>0</v>
      </c>
      <c r="E1073">
        <v>0</v>
      </c>
      <c r="F1073" s="2043">
        <v>0</v>
      </c>
    </row>
    <row r="1074" spans="1:6" ht="14.5">
      <c r="A1074" t="s">
        <v>5273</v>
      </c>
      <c r="B1074" s="380" t="str">
        <f t="shared" si="16"/>
        <v>222-901</v>
      </c>
      <c r="C1074" s="2043">
        <v>0</v>
      </c>
      <c r="D1074" s="2043">
        <v>126893</v>
      </c>
      <c r="E1074">
        <v>0.96640000000000004</v>
      </c>
      <c r="F1074" s="2043">
        <v>923574</v>
      </c>
    </row>
    <row r="1075" spans="1:6" ht="14.5">
      <c r="A1075" t="s">
        <v>5274</v>
      </c>
      <c r="B1075" s="380" t="str">
        <f t="shared" si="16"/>
        <v>223-901</v>
      </c>
      <c r="C1075" s="2043">
        <v>0</v>
      </c>
      <c r="D1075" s="2043">
        <v>759275</v>
      </c>
      <c r="E1075">
        <v>1.0547</v>
      </c>
      <c r="F1075" s="2043">
        <v>2871124</v>
      </c>
    </row>
    <row r="1076" spans="1:6" ht="14.5">
      <c r="A1076" t="s">
        <v>3219</v>
      </c>
      <c r="B1076" s="380" t="str">
        <f t="shared" si="16"/>
        <v>223-902</v>
      </c>
      <c r="C1076" s="2043">
        <v>34690</v>
      </c>
      <c r="D1076" s="2043">
        <v>0</v>
      </c>
      <c r="E1076">
        <v>1.0417000000000001</v>
      </c>
      <c r="F1076" s="2043">
        <v>34096</v>
      </c>
    </row>
    <row r="1077" spans="1:6" ht="14.5">
      <c r="A1077" t="s">
        <v>5275</v>
      </c>
      <c r="B1077" s="380" t="str">
        <f t="shared" si="16"/>
        <v>223-904</v>
      </c>
      <c r="C1077" s="2043">
        <v>0</v>
      </c>
      <c r="D1077" s="2043">
        <v>325186</v>
      </c>
      <c r="E1077">
        <v>0.99450000000000005</v>
      </c>
      <c r="F1077" s="2043">
        <v>618751</v>
      </c>
    </row>
    <row r="1078" spans="1:6" ht="14.5">
      <c r="A1078" t="s">
        <v>5885</v>
      </c>
      <c r="B1078" s="380" t="str">
        <f t="shared" si="16"/>
        <v>224-901</v>
      </c>
      <c r="C1078" s="2043">
        <v>0</v>
      </c>
      <c r="D1078" s="2043">
        <v>0</v>
      </c>
      <c r="E1078">
        <v>0.99550000000000005</v>
      </c>
      <c r="F1078" s="2043">
        <v>0</v>
      </c>
    </row>
    <row r="1079" spans="1:6" ht="14.5">
      <c r="A1079" t="s">
        <v>5886</v>
      </c>
      <c r="B1079" s="380" t="str">
        <f t="shared" si="16"/>
        <v>224-902</v>
      </c>
      <c r="C1079" s="2043">
        <v>0</v>
      </c>
      <c r="D1079" s="2043">
        <v>0</v>
      </c>
      <c r="E1079">
        <v>1.0547</v>
      </c>
      <c r="F1079" s="2043">
        <v>0</v>
      </c>
    </row>
    <row r="1080" spans="1:6" ht="14.5">
      <c r="A1080" t="s">
        <v>5276</v>
      </c>
      <c r="B1080" s="380" t="str">
        <f t="shared" si="16"/>
        <v>225-902</v>
      </c>
      <c r="C1080" s="2043">
        <v>0</v>
      </c>
      <c r="D1080" s="2043">
        <v>3279007</v>
      </c>
      <c r="E1080">
        <v>0.9627</v>
      </c>
      <c r="F1080" s="2043">
        <v>4831909</v>
      </c>
    </row>
    <row r="1081" spans="1:6" ht="14.5">
      <c r="A1081" t="s">
        <v>3220</v>
      </c>
      <c r="B1081" s="380" t="str">
        <f t="shared" si="16"/>
        <v>225-906</v>
      </c>
      <c r="C1081" s="2043">
        <v>124722</v>
      </c>
      <c r="D1081" s="2043">
        <v>0</v>
      </c>
      <c r="E1081">
        <v>0.99790000000000001</v>
      </c>
      <c r="F1081" s="2043">
        <v>157614</v>
      </c>
    </row>
    <row r="1082" spans="1:6" ht="14.5">
      <c r="A1082" t="s">
        <v>5887</v>
      </c>
      <c r="B1082" s="380" t="str">
        <f t="shared" si="16"/>
        <v>225-907</v>
      </c>
      <c r="C1082" s="2043">
        <v>0</v>
      </c>
      <c r="D1082" s="2043">
        <v>0</v>
      </c>
      <c r="E1082">
        <v>0.96640000000000004</v>
      </c>
      <c r="F1082" s="2043">
        <v>0</v>
      </c>
    </row>
    <row r="1083" spans="1:6" ht="14.5">
      <c r="A1083" t="s">
        <v>8518</v>
      </c>
      <c r="B1083" s="380" t="str">
        <f t="shared" si="16"/>
        <v>225-950</v>
      </c>
      <c r="C1083" s="2043">
        <v>0</v>
      </c>
      <c r="D1083" s="2043">
        <v>0</v>
      </c>
      <c r="E1083">
        <v>0</v>
      </c>
      <c r="F1083" s="2043">
        <v>0</v>
      </c>
    </row>
    <row r="1084" spans="1:6" ht="14.5">
      <c r="A1084" t="s">
        <v>8084</v>
      </c>
      <c r="B1084" s="380" t="str">
        <f t="shared" si="16"/>
        <v>226-801</v>
      </c>
      <c r="C1084" s="2043">
        <v>0</v>
      </c>
      <c r="D1084" s="2043">
        <v>0</v>
      </c>
      <c r="E1084">
        <v>0</v>
      </c>
      <c r="F1084" s="2043">
        <v>0</v>
      </c>
    </row>
    <row r="1085" spans="1:6" ht="14.5">
      <c r="A1085" t="s">
        <v>5277</v>
      </c>
      <c r="B1085" s="380" t="str">
        <f t="shared" si="16"/>
        <v>226-901</v>
      </c>
      <c r="C1085" s="2043">
        <v>0</v>
      </c>
      <c r="D1085" s="2043">
        <v>87888</v>
      </c>
      <c r="E1085">
        <v>1.0547</v>
      </c>
      <c r="F1085" s="2043">
        <v>6372</v>
      </c>
    </row>
    <row r="1086" spans="1:6" ht="14.5">
      <c r="A1086" t="s">
        <v>3221</v>
      </c>
      <c r="B1086" s="380" t="str">
        <f t="shared" si="16"/>
        <v>226-903</v>
      </c>
      <c r="C1086" s="2043">
        <v>4160600</v>
      </c>
      <c r="D1086" s="2043">
        <v>4733255</v>
      </c>
      <c r="E1086">
        <v>0.96290000000000009</v>
      </c>
      <c r="F1086" s="2043">
        <v>9021460</v>
      </c>
    </row>
    <row r="1087" spans="1:6" ht="14.5">
      <c r="A1087" t="s">
        <v>5278</v>
      </c>
      <c r="B1087" s="380" t="str">
        <f t="shared" si="16"/>
        <v>226-905</v>
      </c>
      <c r="C1087" s="2043">
        <v>0</v>
      </c>
      <c r="D1087" s="2043">
        <v>201647</v>
      </c>
      <c r="E1087">
        <v>0.96300000000000008</v>
      </c>
      <c r="F1087" s="2043">
        <v>723790</v>
      </c>
    </row>
    <row r="1088" spans="1:6" ht="14.5">
      <c r="A1088" t="s">
        <v>3222</v>
      </c>
      <c r="B1088" s="380" t="str">
        <f t="shared" si="16"/>
        <v>226-906</v>
      </c>
      <c r="C1088" s="2043">
        <v>202563</v>
      </c>
      <c r="D1088" s="2043">
        <v>979736</v>
      </c>
      <c r="E1088">
        <v>0.96640000000000004</v>
      </c>
      <c r="F1088" s="2043">
        <v>1255893</v>
      </c>
    </row>
    <row r="1089" spans="1:6" ht="14.5">
      <c r="A1089" t="s">
        <v>3223</v>
      </c>
      <c r="B1089" s="380" t="str">
        <f t="shared" si="16"/>
        <v>226-907</v>
      </c>
      <c r="C1089" s="2043">
        <v>439102</v>
      </c>
      <c r="D1089" s="2043">
        <v>302748</v>
      </c>
      <c r="E1089">
        <v>1.0248000000000002</v>
      </c>
      <c r="F1089" s="2043">
        <v>701534</v>
      </c>
    </row>
    <row r="1090" spans="1:6" ht="14.5">
      <c r="A1090" t="s">
        <v>3224</v>
      </c>
      <c r="B1090" s="380" t="str">
        <f t="shared" si="16"/>
        <v>226-908</v>
      </c>
      <c r="C1090" s="2043">
        <v>90176</v>
      </c>
      <c r="D1090" s="2043">
        <v>7724</v>
      </c>
      <c r="E1090">
        <v>1.0547</v>
      </c>
      <c r="F1090" s="2043">
        <v>187154</v>
      </c>
    </row>
    <row r="1091" spans="1:6" ht="14.5">
      <c r="A1091" t="s">
        <v>8519</v>
      </c>
      <c r="B1091" s="380" t="str">
        <f t="shared" si="16"/>
        <v>226-950</v>
      </c>
      <c r="C1091" s="2043">
        <v>0</v>
      </c>
      <c r="D1091" s="2043">
        <v>0</v>
      </c>
      <c r="E1091">
        <v>0</v>
      </c>
      <c r="F1091" s="2043">
        <v>0</v>
      </c>
    </row>
    <row r="1092" spans="1:6" ht="14.5">
      <c r="A1092" t="s">
        <v>8085</v>
      </c>
      <c r="B1092" s="380" t="str">
        <f t="shared" ref="B1092:B1155" si="17">CONCATENATE(LEFT(RIGHT(CONCATENATE("000",A1092),6),3),"-",(RIGHT(RIGHT(CONCATENATE("000",A1092),6),3)))</f>
        <v>227-622</v>
      </c>
      <c r="C1092" s="2043">
        <v>0</v>
      </c>
      <c r="D1092" s="2043">
        <v>0</v>
      </c>
      <c r="E1092">
        <v>0</v>
      </c>
      <c r="F1092" s="2043">
        <v>0</v>
      </c>
    </row>
    <row r="1093" spans="1:6" ht="14.5">
      <c r="A1093" t="s">
        <v>8087</v>
      </c>
      <c r="B1093" s="380" t="str">
        <f t="shared" si="17"/>
        <v>227-803</v>
      </c>
      <c r="C1093" s="2043">
        <v>0</v>
      </c>
      <c r="D1093" s="2043">
        <v>0</v>
      </c>
      <c r="E1093">
        <v>0</v>
      </c>
      <c r="F1093" s="2043">
        <v>0</v>
      </c>
    </row>
    <row r="1094" spans="1:6" ht="14.5">
      <c r="A1094" t="s">
        <v>8088</v>
      </c>
      <c r="B1094" s="380" t="str">
        <f t="shared" si="17"/>
        <v>227-804</v>
      </c>
      <c r="C1094" s="2043">
        <v>0</v>
      </c>
      <c r="D1094" s="2043">
        <v>0</v>
      </c>
      <c r="E1094">
        <v>0</v>
      </c>
      <c r="F1094" s="2043">
        <v>0</v>
      </c>
    </row>
    <row r="1095" spans="1:6" ht="14.5">
      <c r="A1095" t="s">
        <v>8089</v>
      </c>
      <c r="B1095" s="380" t="str">
        <f t="shared" si="17"/>
        <v>227-805</v>
      </c>
      <c r="C1095" s="2043">
        <v>0</v>
      </c>
      <c r="D1095" s="2043">
        <v>0</v>
      </c>
      <c r="E1095">
        <v>0</v>
      </c>
      <c r="F1095" s="2043">
        <v>0</v>
      </c>
    </row>
    <row r="1096" spans="1:6" ht="14.5">
      <c r="A1096" t="s">
        <v>8090</v>
      </c>
      <c r="B1096" s="380" t="str">
        <f t="shared" si="17"/>
        <v>227-806</v>
      </c>
      <c r="C1096" s="2043">
        <v>0</v>
      </c>
      <c r="D1096" s="2043">
        <v>0</v>
      </c>
      <c r="E1096">
        <v>0</v>
      </c>
      <c r="F1096" s="2043">
        <v>0</v>
      </c>
    </row>
    <row r="1097" spans="1:6" ht="14.5">
      <c r="A1097" t="s">
        <v>8091</v>
      </c>
      <c r="B1097" s="380" t="str">
        <f t="shared" si="17"/>
        <v>227-814</v>
      </c>
      <c r="C1097" s="2043">
        <v>0</v>
      </c>
      <c r="D1097" s="2043">
        <v>0</v>
      </c>
      <c r="E1097">
        <v>0</v>
      </c>
      <c r="F1097" s="2043">
        <v>0</v>
      </c>
    </row>
    <row r="1098" spans="1:6" ht="14.5">
      <c r="A1098" t="s">
        <v>8092</v>
      </c>
      <c r="B1098" s="380" t="str">
        <f t="shared" si="17"/>
        <v>227-816</v>
      </c>
      <c r="C1098" s="2043">
        <v>0</v>
      </c>
      <c r="D1098" s="2043">
        <v>0</v>
      </c>
      <c r="E1098">
        <v>0</v>
      </c>
      <c r="F1098" s="2043">
        <v>0</v>
      </c>
    </row>
    <row r="1099" spans="1:6" ht="14.5">
      <c r="A1099" t="s">
        <v>8093</v>
      </c>
      <c r="B1099" s="380" t="str">
        <f t="shared" si="17"/>
        <v>227-817</v>
      </c>
      <c r="C1099" s="2043">
        <v>0</v>
      </c>
      <c r="D1099" s="2043">
        <v>0</v>
      </c>
      <c r="E1099">
        <v>0</v>
      </c>
      <c r="F1099" s="2043">
        <v>0</v>
      </c>
    </row>
    <row r="1100" spans="1:6" ht="14.5">
      <c r="A1100" t="s">
        <v>8094</v>
      </c>
      <c r="B1100" s="380" t="str">
        <f t="shared" si="17"/>
        <v>227-819</v>
      </c>
      <c r="C1100" s="2043">
        <v>0</v>
      </c>
      <c r="D1100" s="2043">
        <v>0</v>
      </c>
      <c r="E1100">
        <v>0</v>
      </c>
      <c r="F1100" s="2043">
        <v>0</v>
      </c>
    </row>
    <row r="1101" spans="1:6" ht="14.5">
      <c r="A1101" t="s">
        <v>8095</v>
      </c>
      <c r="B1101" s="380" t="str">
        <f t="shared" si="17"/>
        <v>227-820</v>
      </c>
      <c r="C1101" s="2043">
        <v>0</v>
      </c>
      <c r="D1101" s="2043">
        <v>0</v>
      </c>
      <c r="E1101">
        <v>0</v>
      </c>
      <c r="F1101" s="2043">
        <v>0</v>
      </c>
    </row>
    <row r="1102" spans="1:6" ht="14.5">
      <c r="A1102" t="s">
        <v>8096</v>
      </c>
      <c r="B1102" s="380" t="str">
        <f t="shared" si="17"/>
        <v>227-821</v>
      </c>
      <c r="C1102" s="2043">
        <v>0</v>
      </c>
      <c r="D1102" s="2043">
        <v>0</v>
      </c>
      <c r="E1102">
        <v>0</v>
      </c>
      <c r="F1102" s="2043">
        <v>0</v>
      </c>
    </row>
    <row r="1103" spans="1:6" ht="14.5">
      <c r="A1103" t="s">
        <v>8097</v>
      </c>
      <c r="B1103" s="380" t="str">
        <f t="shared" si="17"/>
        <v>227-824</v>
      </c>
      <c r="C1103" s="2043">
        <v>0</v>
      </c>
      <c r="D1103" s="2043">
        <v>0</v>
      </c>
      <c r="E1103">
        <v>0</v>
      </c>
      <c r="F1103" s="2043">
        <v>0</v>
      </c>
    </row>
    <row r="1104" spans="1:6" ht="14.5">
      <c r="A1104" t="s">
        <v>8098</v>
      </c>
      <c r="B1104" s="380" t="str">
        <f t="shared" si="17"/>
        <v>227-825</v>
      </c>
      <c r="C1104" s="2043">
        <v>0</v>
      </c>
      <c r="D1104" s="2043">
        <v>0</v>
      </c>
      <c r="E1104">
        <v>0</v>
      </c>
      <c r="F1104" s="2043">
        <v>0</v>
      </c>
    </row>
    <row r="1105" spans="1:6" ht="14.5">
      <c r="A1105" t="s">
        <v>8099</v>
      </c>
      <c r="B1105" s="380" t="str">
        <f t="shared" si="17"/>
        <v>227-826</v>
      </c>
      <c r="C1105" s="2043">
        <v>0</v>
      </c>
      <c r="D1105" s="2043">
        <v>0</v>
      </c>
      <c r="E1105">
        <v>0</v>
      </c>
      <c r="F1105" s="2043">
        <v>0</v>
      </c>
    </row>
    <row r="1106" spans="1:6" ht="14.5">
      <c r="A1106" t="s">
        <v>8100</v>
      </c>
      <c r="B1106" s="380" t="str">
        <f t="shared" si="17"/>
        <v>227-827</v>
      </c>
      <c r="C1106" s="2043">
        <v>0</v>
      </c>
      <c r="D1106" s="2043">
        <v>0</v>
      </c>
      <c r="E1106">
        <v>0</v>
      </c>
      <c r="F1106" s="2043">
        <v>0</v>
      </c>
    </row>
    <row r="1107" spans="1:6" ht="14.5">
      <c r="A1107" t="s">
        <v>8102</v>
      </c>
      <c r="B1107" s="380" t="str">
        <f t="shared" si="17"/>
        <v>227-829</v>
      </c>
      <c r="C1107" s="2043">
        <v>0</v>
      </c>
      <c r="D1107" s="2043">
        <v>0</v>
      </c>
      <c r="E1107">
        <v>0</v>
      </c>
      <c r="F1107" s="2043">
        <v>0</v>
      </c>
    </row>
    <row r="1108" spans="1:6" ht="14.5">
      <c r="A1108" t="s">
        <v>5279</v>
      </c>
      <c r="B1108" s="380" t="str">
        <f t="shared" si="17"/>
        <v>227-901</v>
      </c>
      <c r="C1108" s="2043">
        <v>0</v>
      </c>
      <c r="D1108" s="2043">
        <v>35391990</v>
      </c>
      <c r="E1108">
        <v>0.98970000000000002</v>
      </c>
      <c r="F1108" s="2043">
        <v>158134420</v>
      </c>
    </row>
    <row r="1109" spans="1:6" ht="14.5">
      <c r="A1109" t="s">
        <v>3225</v>
      </c>
      <c r="B1109" s="380" t="str">
        <f t="shared" si="17"/>
        <v>227-904</v>
      </c>
      <c r="C1109" s="2043">
        <v>5151250</v>
      </c>
      <c r="D1109" s="2043">
        <v>29021289</v>
      </c>
      <c r="E1109">
        <v>0.96230000000000004</v>
      </c>
      <c r="F1109" s="2043">
        <v>77844127</v>
      </c>
    </row>
    <row r="1110" spans="1:6" ht="14.5">
      <c r="A1110" t="s">
        <v>8103</v>
      </c>
      <c r="B1110" s="380" t="str">
        <f t="shared" si="17"/>
        <v>227-905</v>
      </c>
      <c r="C1110" s="2043">
        <v>0</v>
      </c>
      <c r="D1110" s="2043">
        <v>0</v>
      </c>
      <c r="E1110">
        <v>0</v>
      </c>
      <c r="F1110" s="2043">
        <v>0</v>
      </c>
    </row>
    <row r="1111" spans="1:6" ht="14.5">
      <c r="A1111" t="s">
        <v>8105</v>
      </c>
      <c r="B1111" s="380" t="str">
        <f t="shared" si="17"/>
        <v>227-906</v>
      </c>
      <c r="C1111" s="2043">
        <v>0</v>
      </c>
      <c r="D1111" s="2043">
        <v>0</v>
      </c>
      <c r="E1111">
        <v>0</v>
      </c>
      <c r="F1111" s="2043">
        <v>0</v>
      </c>
    </row>
    <row r="1112" spans="1:6" ht="14.5">
      <c r="A1112" t="s">
        <v>5280</v>
      </c>
      <c r="B1112" s="380" t="str">
        <f t="shared" si="17"/>
        <v>227-907</v>
      </c>
      <c r="C1112" s="2043">
        <v>0</v>
      </c>
      <c r="D1112" s="2043">
        <v>10207570</v>
      </c>
      <c r="E1112">
        <v>0.94270000000000009</v>
      </c>
      <c r="F1112" s="2043">
        <v>30878888</v>
      </c>
    </row>
    <row r="1113" spans="1:6" ht="14.5">
      <c r="A1113" t="s">
        <v>5281</v>
      </c>
      <c r="B1113" s="380" t="str">
        <f t="shared" si="17"/>
        <v>227-909</v>
      </c>
      <c r="C1113" s="2043">
        <v>0</v>
      </c>
      <c r="D1113" s="2043">
        <v>4630241</v>
      </c>
      <c r="E1113">
        <v>0.99640000000000006</v>
      </c>
      <c r="F1113" s="2043">
        <v>20110542</v>
      </c>
    </row>
    <row r="1114" spans="1:6" ht="14.5">
      <c r="A1114" t="s">
        <v>3226</v>
      </c>
      <c r="B1114" s="380" t="str">
        <f t="shared" si="17"/>
        <v>227-910</v>
      </c>
      <c r="C1114" s="2043">
        <v>0</v>
      </c>
      <c r="D1114" s="2043">
        <v>11144050</v>
      </c>
      <c r="E1114">
        <v>0.92700000000000005</v>
      </c>
      <c r="F1114" s="2043">
        <v>26085223</v>
      </c>
    </row>
    <row r="1115" spans="1:6" ht="14.5">
      <c r="A1115" t="s">
        <v>5282</v>
      </c>
      <c r="B1115" s="380" t="str">
        <f t="shared" si="17"/>
        <v>227-912</v>
      </c>
      <c r="C1115" s="2043">
        <v>0</v>
      </c>
      <c r="D1115" s="2043">
        <v>1771698</v>
      </c>
      <c r="E1115">
        <v>0.94359999999999999</v>
      </c>
      <c r="F1115" s="2043">
        <v>4933100</v>
      </c>
    </row>
    <row r="1116" spans="1:6" ht="14.5">
      <c r="A1116" t="s">
        <v>5283</v>
      </c>
      <c r="B1116" s="380" t="str">
        <f t="shared" si="17"/>
        <v>227-913</v>
      </c>
      <c r="C1116" s="2043">
        <v>0</v>
      </c>
      <c r="D1116" s="2043">
        <v>12334093</v>
      </c>
      <c r="E1116">
        <v>0.97640000000000005</v>
      </c>
      <c r="F1116" s="2043">
        <v>45751919</v>
      </c>
    </row>
    <row r="1117" spans="1:6" ht="14.5">
      <c r="A1117" t="s">
        <v>8520</v>
      </c>
      <c r="B1117" s="380" t="str">
        <f t="shared" si="17"/>
        <v>227-950</v>
      </c>
      <c r="C1117" s="2043">
        <v>0</v>
      </c>
      <c r="D1117" s="2043">
        <v>0</v>
      </c>
      <c r="E1117">
        <v>0</v>
      </c>
      <c r="F1117" s="2043">
        <v>0</v>
      </c>
    </row>
    <row r="1118" spans="1:6" ht="14.5">
      <c r="A1118" t="s">
        <v>5888</v>
      </c>
      <c r="B1118" s="380" t="str">
        <f t="shared" si="17"/>
        <v>228-901</v>
      </c>
      <c r="C1118" s="2043">
        <v>0</v>
      </c>
      <c r="D1118" s="2043">
        <v>0</v>
      </c>
      <c r="E1118">
        <v>0.96640000000000004</v>
      </c>
      <c r="F1118" s="2043">
        <v>0</v>
      </c>
    </row>
    <row r="1119" spans="1:6" ht="14.5">
      <c r="A1119" t="s">
        <v>5284</v>
      </c>
      <c r="B1119" s="380" t="str">
        <f t="shared" si="17"/>
        <v>228-903</v>
      </c>
      <c r="C1119" s="2043">
        <v>0</v>
      </c>
      <c r="D1119" s="2043">
        <v>509568</v>
      </c>
      <c r="E1119">
        <v>1.0471000000000001</v>
      </c>
      <c r="F1119" s="2043">
        <v>561111</v>
      </c>
    </row>
    <row r="1120" spans="1:6" ht="14.5">
      <c r="A1120" t="s">
        <v>5889</v>
      </c>
      <c r="B1120" s="380" t="str">
        <f t="shared" si="17"/>
        <v>228-904</v>
      </c>
      <c r="C1120" s="2043">
        <v>0</v>
      </c>
      <c r="D1120" s="2043">
        <v>0</v>
      </c>
      <c r="E1120">
        <v>1.0547</v>
      </c>
      <c r="F1120" s="2043">
        <v>0</v>
      </c>
    </row>
    <row r="1121" spans="1:6" ht="14.5">
      <c r="A1121" t="s">
        <v>5890</v>
      </c>
      <c r="B1121" s="380" t="str">
        <f t="shared" si="17"/>
        <v>228-905</v>
      </c>
      <c r="C1121" s="2043">
        <v>0</v>
      </c>
      <c r="D1121" s="2043">
        <v>0</v>
      </c>
      <c r="E1121">
        <v>0.96640000000000004</v>
      </c>
      <c r="F1121" s="2043">
        <v>0</v>
      </c>
    </row>
    <row r="1122" spans="1:6" ht="14.5">
      <c r="A1122" t="s">
        <v>4736</v>
      </c>
      <c r="B1122" s="380" t="str">
        <f t="shared" si="17"/>
        <v>229-901</v>
      </c>
      <c r="C1122" s="2043">
        <v>0</v>
      </c>
      <c r="D1122" s="2043">
        <v>5868</v>
      </c>
      <c r="E1122">
        <v>0.99730000000000008</v>
      </c>
      <c r="F1122" s="2043">
        <v>2747</v>
      </c>
    </row>
    <row r="1123" spans="1:6" ht="14.5">
      <c r="A1123" t="s">
        <v>5285</v>
      </c>
      <c r="B1123" s="380" t="str">
        <f t="shared" si="17"/>
        <v>229-903</v>
      </c>
      <c r="C1123" s="2043">
        <v>0</v>
      </c>
      <c r="D1123" s="2043">
        <v>0</v>
      </c>
      <c r="E1123">
        <v>0.96640000000000004</v>
      </c>
      <c r="F1123" s="2043">
        <v>21576</v>
      </c>
    </row>
    <row r="1124" spans="1:6" ht="14.5">
      <c r="A1124" t="s">
        <v>3227</v>
      </c>
      <c r="B1124" s="380" t="str">
        <f t="shared" si="17"/>
        <v>229-904</v>
      </c>
      <c r="C1124" s="2043">
        <v>377599</v>
      </c>
      <c r="D1124" s="2043">
        <v>592030</v>
      </c>
      <c r="E1124">
        <v>1.0864</v>
      </c>
      <c r="F1124" s="2043">
        <v>1139204</v>
      </c>
    </row>
    <row r="1125" spans="1:6" ht="14.5">
      <c r="A1125" t="s">
        <v>3228</v>
      </c>
      <c r="B1125" s="380" t="str">
        <f t="shared" si="17"/>
        <v>229-905</v>
      </c>
      <c r="C1125" s="2043">
        <v>71186</v>
      </c>
      <c r="D1125" s="2043">
        <v>16893</v>
      </c>
      <c r="E1125">
        <v>1.0037</v>
      </c>
      <c r="F1125" s="2043">
        <v>19958</v>
      </c>
    </row>
    <row r="1126" spans="1:6" ht="14.5">
      <c r="A1126" t="s">
        <v>3229</v>
      </c>
      <c r="B1126" s="380" t="str">
        <f t="shared" si="17"/>
        <v>229-906</v>
      </c>
      <c r="C1126" s="2043">
        <v>0</v>
      </c>
      <c r="D1126" s="2043">
        <v>0</v>
      </c>
      <c r="E1126">
        <v>1.0423</v>
      </c>
      <c r="F1126" s="2043">
        <v>822</v>
      </c>
    </row>
    <row r="1127" spans="1:6" ht="14.5">
      <c r="A1127" t="s">
        <v>5286</v>
      </c>
      <c r="B1127" s="380" t="str">
        <f t="shared" si="17"/>
        <v>230-901</v>
      </c>
      <c r="C1127" s="2043">
        <v>0</v>
      </c>
      <c r="D1127" s="2043">
        <v>467361</v>
      </c>
      <c r="E1127">
        <v>0.96640000000000004</v>
      </c>
      <c r="F1127" s="2043">
        <v>497339</v>
      </c>
    </row>
    <row r="1128" spans="1:6" ht="14.5">
      <c r="A1128" t="s">
        <v>5287</v>
      </c>
      <c r="B1128" s="380" t="str">
        <f t="shared" si="17"/>
        <v>230-902</v>
      </c>
      <c r="C1128" s="2043">
        <v>0</v>
      </c>
      <c r="D1128" s="2043">
        <v>1215541</v>
      </c>
      <c r="E1128">
        <v>1.0547</v>
      </c>
      <c r="F1128" s="2043">
        <v>2998139</v>
      </c>
    </row>
    <row r="1129" spans="1:6" ht="14.5">
      <c r="A1129" t="s">
        <v>3230</v>
      </c>
      <c r="B1129" s="380" t="str">
        <f t="shared" si="17"/>
        <v>230-903</v>
      </c>
      <c r="C1129" s="2043">
        <v>185789</v>
      </c>
      <c r="D1129" s="2043">
        <v>100152</v>
      </c>
      <c r="E1129">
        <v>1.0547</v>
      </c>
      <c r="F1129" s="2043">
        <v>281615</v>
      </c>
    </row>
    <row r="1130" spans="1:6" ht="14.5">
      <c r="A1130" t="s">
        <v>5891</v>
      </c>
      <c r="B1130" s="380" t="str">
        <f t="shared" si="17"/>
        <v>230-904</v>
      </c>
      <c r="C1130" s="2043">
        <v>0</v>
      </c>
      <c r="D1130" s="2043">
        <v>0</v>
      </c>
      <c r="E1130">
        <v>1.0547</v>
      </c>
      <c r="F1130" s="2043">
        <v>0</v>
      </c>
    </row>
    <row r="1131" spans="1:6" ht="14.5">
      <c r="A1131" t="s">
        <v>3231</v>
      </c>
      <c r="B1131" s="380" t="str">
        <f t="shared" si="17"/>
        <v>230-905</v>
      </c>
      <c r="C1131" s="2043">
        <v>206262</v>
      </c>
      <c r="D1131" s="2043">
        <v>37682</v>
      </c>
      <c r="E1131">
        <v>1.0547</v>
      </c>
      <c r="F1131" s="2043">
        <v>192089</v>
      </c>
    </row>
    <row r="1132" spans="1:6" ht="14.5">
      <c r="A1132" t="s">
        <v>3232</v>
      </c>
      <c r="B1132" s="380" t="str">
        <f t="shared" si="17"/>
        <v>230-906</v>
      </c>
      <c r="C1132" s="2043">
        <v>120524</v>
      </c>
      <c r="D1132" s="2043">
        <v>170952</v>
      </c>
      <c r="E1132">
        <v>0.9859</v>
      </c>
      <c r="F1132" s="2043">
        <v>310826</v>
      </c>
    </row>
    <row r="1133" spans="1:6" ht="14.5">
      <c r="A1133" t="s">
        <v>5288</v>
      </c>
      <c r="B1133" s="380" t="str">
        <f t="shared" si="17"/>
        <v>230-908</v>
      </c>
      <c r="C1133" s="2043">
        <v>0</v>
      </c>
      <c r="D1133" s="2043">
        <v>447699</v>
      </c>
      <c r="E1133">
        <v>1.0547</v>
      </c>
      <c r="F1133" s="2043">
        <v>542480</v>
      </c>
    </row>
    <row r="1134" spans="1:6" ht="14.5">
      <c r="A1134" t="s">
        <v>5892</v>
      </c>
      <c r="B1134" s="380" t="str">
        <f t="shared" si="17"/>
        <v>231-901</v>
      </c>
      <c r="C1134" s="2043">
        <v>0</v>
      </c>
      <c r="D1134" s="2043">
        <v>566505</v>
      </c>
      <c r="E1134">
        <v>0.93030000000000002</v>
      </c>
      <c r="F1134" s="2043">
        <v>3004702</v>
      </c>
    </row>
    <row r="1135" spans="1:6" ht="14.5">
      <c r="A1135" t="s">
        <v>5289</v>
      </c>
      <c r="B1135" s="380" t="str">
        <f t="shared" si="17"/>
        <v>231-902</v>
      </c>
      <c r="C1135" s="2043">
        <v>0</v>
      </c>
      <c r="D1135" s="2043">
        <v>158542</v>
      </c>
      <c r="E1135">
        <v>0.87470000000000003</v>
      </c>
      <c r="F1135" s="2043">
        <v>17152535</v>
      </c>
    </row>
    <row r="1136" spans="1:6" ht="14.5">
      <c r="A1136" t="s">
        <v>3233</v>
      </c>
      <c r="B1136" s="380" t="str">
        <f t="shared" si="17"/>
        <v>232-901</v>
      </c>
      <c r="C1136" s="2043">
        <v>11872</v>
      </c>
      <c r="D1136" s="2043">
        <v>105098</v>
      </c>
      <c r="E1136">
        <v>1.0547</v>
      </c>
      <c r="F1136" s="2043">
        <v>149674</v>
      </c>
    </row>
    <row r="1137" spans="1:6" ht="14.5">
      <c r="A1137" t="s">
        <v>3234</v>
      </c>
      <c r="B1137" s="380" t="str">
        <f t="shared" si="17"/>
        <v>232-902</v>
      </c>
      <c r="C1137" s="2043">
        <v>10936</v>
      </c>
      <c r="D1137" s="2043">
        <v>0</v>
      </c>
      <c r="E1137">
        <v>0.96450000000000002</v>
      </c>
      <c r="F1137" s="2043">
        <v>124355</v>
      </c>
    </row>
    <row r="1138" spans="1:6" ht="14.5">
      <c r="A1138" t="s">
        <v>3235</v>
      </c>
      <c r="B1138" s="380" t="str">
        <f t="shared" si="17"/>
        <v>232-903</v>
      </c>
      <c r="C1138" s="2043">
        <v>2400157</v>
      </c>
      <c r="D1138" s="2043">
        <v>213030</v>
      </c>
      <c r="E1138">
        <v>0.99780000000000002</v>
      </c>
      <c r="F1138" s="2043">
        <v>2600478</v>
      </c>
    </row>
    <row r="1139" spans="1:6" ht="14.5">
      <c r="A1139" t="s">
        <v>5893</v>
      </c>
      <c r="B1139" s="380" t="str">
        <f t="shared" si="17"/>
        <v>232-904</v>
      </c>
      <c r="C1139" s="2043">
        <v>0</v>
      </c>
      <c r="D1139" s="2043">
        <v>0</v>
      </c>
      <c r="E1139">
        <v>0.96530000000000005</v>
      </c>
      <c r="F1139" s="2043">
        <v>0</v>
      </c>
    </row>
    <row r="1140" spans="1:6" ht="14.5">
      <c r="A1140" t="s">
        <v>3236</v>
      </c>
      <c r="B1140" s="380" t="str">
        <f t="shared" si="17"/>
        <v>233-901</v>
      </c>
      <c r="C1140" s="2043">
        <v>3079448</v>
      </c>
      <c r="D1140" s="2043">
        <v>0</v>
      </c>
      <c r="E1140">
        <v>0.99270000000000003</v>
      </c>
      <c r="F1140" s="2043">
        <v>1241402</v>
      </c>
    </row>
    <row r="1141" spans="1:6" ht="14.5">
      <c r="A1141" t="s">
        <v>5290</v>
      </c>
      <c r="B1141" s="380" t="str">
        <f t="shared" si="17"/>
        <v>233-903</v>
      </c>
      <c r="C1141" s="2043">
        <v>0</v>
      </c>
      <c r="D1141" s="2043">
        <v>123615</v>
      </c>
      <c r="E1141">
        <v>0.9598000000000001</v>
      </c>
      <c r="F1141" s="2043">
        <v>403372</v>
      </c>
    </row>
    <row r="1142" spans="1:6" ht="14.5">
      <c r="A1142" t="s">
        <v>8107</v>
      </c>
      <c r="B1142" s="380" t="str">
        <f t="shared" si="17"/>
        <v>234-801</v>
      </c>
      <c r="C1142" s="2043">
        <v>0</v>
      </c>
      <c r="D1142" s="2043">
        <v>0</v>
      </c>
      <c r="E1142">
        <v>0</v>
      </c>
      <c r="F1142" s="2043">
        <v>0</v>
      </c>
    </row>
    <row r="1143" spans="1:6" ht="14.5">
      <c r="A1143" t="s">
        <v>3237</v>
      </c>
      <c r="B1143" s="380" t="str">
        <f t="shared" si="17"/>
        <v>234-902</v>
      </c>
      <c r="C1143" s="2043">
        <v>944380</v>
      </c>
      <c r="D1143" s="2043">
        <v>1351334</v>
      </c>
      <c r="E1143">
        <v>0.91310000000000002</v>
      </c>
      <c r="F1143" s="2043">
        <v>3859678</v>
      </c>
    </row>
    <row r="1144" spans="1:6" ht="14.5">
      <c r="A1144" t="s">
        <v>5291</v>
      </c>
      <c r="B1144" s="380" t="str">
        <f t="shared" si="17"/>
        <v>234-903</v>
      </c>
      <c r="C1144" s="2043">
        <v>0</v>
      </c>
      <c r="D1144" s="2043">
        <v>446005</v>
      </c>
      <c r="E1144">
        <v>0.97310000000000008</v>
      </c>
      <c r="F1144" s="2043">
        <v>531750</v>
      </c>
    </row>
    <row r="1145" spans="1:6" ht="14.5">
      <c r="A1145" t="s">
        <v>3238</v>
      </c>
      <c r="B1145" s="380" t="str">
        <f t="shared" si="17"/>
        <v>234-904</v>
      </c>
      <c r="C1145" s="2043">
        <v>264172</v>
      </c>
      <c r="D1145" s="2043">
        <v>516100</v>
      </c>
      <c r="E1145">
        <v>1.0246</v>
      </c>
      <c r="F1145" s="2043">
        <v>852663</v>
      </c>
    </row>
    <row r="1146" spans="1:6" ht="14.5">
      <c r="A1146" t="s">
        <v>3239</v>
      </c>
      <c r="B1146" s="380" t="str">
        <f t="shared" si="17"/>
        <v>234-905</v>
      </c>
      <c r="C1146" s="2043">
        <v>174527</v>
      </c>
      <c r="D1146" s="2043">
        <v>28052</v>
      </c>
      <c r="E1146">
        <v>0.87530000000000008</v>
      </c>
      <c r="F1146" s="2043">
        <v>201992</v>
      </c>
    </row>
    <row r="1147" spans="1:6" ht="14.5">
      <c r="A1147" t="s">
        <v>3240</v>
      </c>
      <c r="B1147" s="380" t="str">
        <f t="shared" si="17"/>
        <v>234-906</v>
      </c>
      <c r="C1147" s="2043">
        <v>518747</v>
      </c>
      <c r="D1147" s="2043">
        <v>2208687</v>
      </c>
      <c r="E1147">
        <v>0.98560000000000003</v>
      </c>
      <c r="F1147" s="2043">
        <v>2749173</v>
      </c>
    </row>
    <row r="1148" spans="1:6" ht="14.5">
      <c r="A1148" t="s">
        <v>5292</v>
      </c>
      <c r="B1148" s="380" t="str">
        <f t="shared" si="17"/>
        <v>234-907</v>
      </c>
      <c r="C1148" s="2043">
        <v>0</v>
      </c>
      <c r="D1148" s="2043">
        <v>0</v>
      </c>
      <c r="E1148">
        <v>0.96030000000000004</v>
      </c>
      <c r="F1148" s="2043">
        <v>7157</v>
      </c>
    </row>
    <row r="1149" spans="1:6" ht="14.5">
      <c r="A1149" t="s">
        <v>3241</v>
      </c>
      <c r="B1149" s="380" t="str">
        <f t="shared" si="17"/>
        <v>234-909</v>
      </c>
      <c r="C1149" s="2043">
        <v>72955</v>
      </c>
      <c r="D1149" s="2043">
        <v>0</v>
      </c>
      <c r="E1149">
        <v>0.99770000000000003</v>
      </c>
      <c r="F1149" s="2043">
        <v>81673</v>
      </c>
    </row>
    <row r="1150" spans="1:6" ht="14.5">
      <c r="A1150" t="s">
        <v>3242</v>
      </c>
      <c r="B1150" s="380" t="str">
        <f t="shared" si="17"/>
        <v>235-901</v>
      </c>
      <c r="C1150" s="2043">
        <v>346472</v>
      </c>
      <c r="D1150" s="2043">
        <v>243162</v>
      </c>
      <c r="E1150">
        <v>0.96640000000000004</v>
      </c>
      <c r="F1150" s="2043">
        <v>583206</v>
      </c>
    </row>
    <row r="1151" spans="1:6" ht="14.5">
      <c r="A1151" t="s">
        <v>3243</v>
      </c>
      <c r="B1151" s="380" t="str">
        <f t="shared" si="17"/>
        <v>235-902</v>
      </c>
      <c r="C1151" s="2043">
        <v>4796312</v>
      </c>
      <c r="D1151" s="2043">
        <v>4331257</v>
      </c>
      <c r="E1151">
        <v>0.96640000000000004</v>
      </c>
      <c r="F1151" s="2043">
        <v>13544223</v>
      </c>
    </row>
    <row r="1152" spans="1:6" ht="14.5">
      <c r="A1152" t="s">
        <v>5293</v>
      </c>
      <c r="B1152" s="380" t="str">
        <f t="shared" si="17"/>
        <v>235-904</v>
      </c>
      <c r="C1152" s="2043">
        <v>0</v>
      </c>
      <c r="D1152" s="2043">
        <v>62324</v>
      </c>
      <c r="E1152">
        <v>0.94830000000000003</v>
      </c>
      <c r="F1152" s="2043">
        <v>239839</v>
      </c>
    </row>
    <row r="1153" spans="1:6" ht="14.5">
      <c r="A1153" t="s">
        <v>8521</v>
      </c>
      <c r="B1153" s="380" t="str">
        <f t="shared" si="17"/>
        <v>235-950</v>
      </c>
      <c r="C1153" s="2043">
        <v>0</v>
      </c>
      <c r="D1153" s="2043">
        <v>0</v>
      </c>
      <c r="E1153">
        <v>0</v>
      </c>
      <c r="F1153" s="2043">
        <v>0</v>
      </c>
    </row>
    <row r="1154" spans="1:6" ht="14.5">
      <c r="A1154" t="s">
        <v>8108</v>
      </c>
      <c r="B1154" s="380" t="str">
        <f t="shared" si="17"/>
        <v>236-801</v>
      </c>
      <c r="C1154" s="2043">
        <v>0</v>
      </c>
      <c r="D1154" s="2043">
        <v>0</v>
      </c>
      <c r="E1154">
        <v>0</v>
      </c>
      <c r="F1154" s="2043">
        <v>0</v>
      </c>
    </row>
    <row r="1155" spans="1:6" ht="14.5">
      <c r="A1155" t="s">
        <v>8109</v>
      </c>
      <c r="B1155" s="380" t="str">
        <f t="shared" si="17"/>
        <v>236-802</v>
      </c>
      <c r="C1155" s="2043">
        <v>0</v>
      </c>
      <c r="D1155" s="2043">
        <v>0</v>
      </c>
      <c r="E1155">
        <v>0</v>
      </c>
      <c r="F1155" s="2043">
        <v>0</v>
      </c>
    </row>
    <row r="1156" spans="1:6" ht="14.5">
      <c r="A1156" t="s">
        <v>3244</v>
      </c>
      <c r="B1156" s="380" t="str">
        <f t="shared" ref="B1156:B1219" si="18">CONCATENATE(LEFT(RIGHT(CONCATENATE("000",A1156),6),3),"-",(RIGHT(RIGHT(CONCATENATE("000",A1156),6),3)))</f>
        <v>236-901</v>
      </c>
      <c r="C1156" s="2043">
        <v>207728</v>
      </c>
      <c r="D1156" s="2043">
        <v>231297</v>
      </c>
      <c r="E1156">
        <v>0.96300000000000008</v>
      </c>
      <c r="F1156" s="2043">
        <v>876998</v>
      </c>
    </row>
    <row r="1157" spans="1:6" ht="14.5">
      <c r="A1157" t="s">
        <v>3245</v>
      </c>
      <c r="B1157" s="380" t="str">
        <f t="shared" si="18"/>
        <v>236-902</v>
      </c>
      <c r="C1157" s="2043">
        <v>0</v>
      </c>
      <c r="D1157" s="2043">
        <v>1885079</v>
      </c>
      <c r="E1157">
        <v>0.9628000000000001</v>
      </c>
      <c r="F1157" s="2043">
        <v>2795073</v>
      </c>
    </row>
    <row r="1158" spans="1:6" ht="14.5">
      <c r="A1158" t="s">
        <v>8110</v>
      </c>
      <c r="B1158" s="380" t="str">
        <f t="shared" si="18"/>
        <v>236-903</v>
      </c>
      <c r="C1158" s="2043">
        <v>0</v>
      </c>
      <c r="D1158" s="2043">
        <v>0</v>
      </c>
      <c r="E1158">
        <v>0</v>
      </c>
      <c r="F1158" s="2043">
        <v>0</v>
      </c>
    </row>
    <row r="1159" spans="1:6" ht="14.5">
      <c r="A1159" t="s">
        <v>8522</v>
      </c>
      <c r="B1159" s="380" t="str">
        <f t="shared" si="18"/>
        <v>236-950</v>
      </c>
      <c r="C1159" s="2043">
        <v>0</v>
      </c>
      <c r="D1159" s="2043">
        <v>0</v>
      </c>
      <c r="E1159">
        <v>0</v>
      </c>
      <c r="F1159" s="2043">
        <v>0</v>
      </c>
    </row>
    <row r="1160" spans="1:6" ht="14.5">
      <c r="A1160" t="s">
        <v>3246</v>
      </c>
      <c r="B1160" s="380" t="str">
        <f t="shared" si="18"/>
        <v>237-902</v>
      </c>
      <c r="C1160" s="2043">
        <v>656639</v>
      </c>
      <c r="D1160" s="2043">
        <v>712799</v>
      </c>
      <c r="E1160">
        <v>0.99330000000000007</v>
      </c>
      <c r="F1160" s="2043">
        <v>1710048</v>
      </c>
    </row>
    <row r="1161" spans="1:6" ht="14.5">
      <c r="A1161" t="s">
        <v>3247</v>
      </c>
      <c r="B1161" s="380" t="str">
        <f t="shared" si="18"/>
        <v>237-904</v>
      </c>
      <c r="C1161" s="2043">
        <v>2026626</v>
      </c>
      <c r="D1161" s="2043">
        <v>7746699</v>
      </c>
      <c r="E1161">
        <v>0.96640000000000004</v>
      </c>
      <c r="F1161" s="2043">
        <v>18090068</v>
      </c>
    </row>
    <row r="1162" spans="1:6" ht="14.5">
      <c r="A1162" t="s">
        <v>3248</v>
      </c>
      <c r="B1162" s="380" t="str">
        <f t="shared" si="18"/>
        <v>237-905</v>
      </c>
      <c r="C1162" s="2043">
        <v>472481</v>
      </c>
      <c r="D1162" s="2043">
        <v>2657145</v>
      </c>
      <c r="E1162">
        <v>0.96300000000000008</v>
      </c>
      <c r="F1162" s="2043">
        <v>6171208</v>
      </c>
    </row>
    <row r="1163" spans="1:6" ht="14.5">
      <c r="A1163" t="s">
        <v>5294</v>
      </c>
      <c r="B1163" s="380" t="str">
        <f t="shared" si="18"/>
        <v>238-902</v>
      </c>
      <c r="C1163" s="2043">
        <v>0</v>
      </c>
      <c r="D1163" s="2043">
        <v>1750526</v>
      </c>
      <c r="E1163">
        <v>0.93230000000000002</v>
      </c>
      <c r="F1163" s="2043">
        <v>10621811</v>
      </c>
    </row>
    <row r="1164" spans="1:6" ht="14.5">
      <c r="A1164" t="s">
        <v>5894</v>
      </c>
      <c r="B1164" s="380" t="str">
        <f t="shared" si="18"/>
        <v>238-904</v>
      </c>
      <c r="C1164" s="2043">
        <v>0</v>
      </c>
      <c r="D1164" s="2043">
        <v>180468</v>
      </c>
      <c r="E1164">
        <v>0.96640000000000004</v>
      </c>
      <c r="F1164" s="2043">
        <v>749482</v>
      </c>
    </row>
    <row r="1165" spans="1:6" ht="14.5">
      <c r="A1165" t="s">
        <v>5295</v>
      </c>
      <c r="B1165" s="380" t="str">
        <f t="shared" si="18"/>
        <v>239-901</v>
      </c>
      <c r="C1165" s="2043">
        <v>0</v>
      </c>
      <c r="D1165" s="2043">
        <v>1680922</v>
      </c>
      <c r="E1165">
        <v>0.96579999999999999</v>
      </c>
      <c r="F1165" s="2043">
        <v>2529390</v>
      </c>
    </row>
    <row r="1166" spans="1:6" ht="14.5">
      <c r="A1166" t="s">
        <v>5296</v>
      </c>
      <c r="B1166" s="380" t="str">
        <f t="shared" si="18"/>
        <v>239-903</v>
      </c>
      <c r="C1166" s="2043">
        <v>0</v>
      </c>
      <c r="D1166" s="2043">
        <v>259172</v>
      </c>
      <c r="E1166">
        <v>0.96640000000000004</v>
      </c>
      <c r="F1166" s="2043">
        <v>527978</v>
      </c>
    </row>
    <row r="1167" spans="1:6" ht="14.5">
      <c r="A1167" t="s">
        <v>8112</v>
      </c>
      <c r="B1167" s="380" t="str">
        <f t="shared" si="18"/>
        <v>240-503</v>
      </c>
      <c r="C1167" s="2043">
        <v>0</v>
      </c>
      <c r="D1167" s="2043">
        <v>0</v>
      </c>
      <c r="E1167">
        <v>0</v>
      </c>
      <c r="F1167" s="2043">
        <v>0</v>
      </c>
    </row>
    <row r="1168" spans="1:6" ht="14.5">
      <c r="A1168" t="s">
        <v>8114</v>
      </c>
      <c r="B1168" s="380" t="str">
        <f t="shared" si="18"/>
        <v>240-801</v>
      </c>
      <c r="C1168" s="2043">
        <v>0</v>
      </c>
      <c r="D1168" s="2043">
        <v>0</v>
      </c>
      <c r="E1168">
        <v>0</v>
      </c>
      <c r="F1168" s="2043">
        <v>0</v>
      </c>
    </row>
    <row r="1169" spans="1:6" ht="14.5">
      <c r="A1169" t="s">
        <v>3249</v>
      </c>
      <c r="B1169" s="380" t="str">
        <f t="shared" si="18"/>
        <v>240-901</v>
      </c>
      <c r="C1169" s="2043">
        <v>5632681</v>
      </c>
      <c r="D1169" s="2043">
        <v>4725537</v>
      </c>
      <c r="E1169">
        <v>0.96640000000000004</v>
      </c>
      <c r="F1169" s="2043">
        <v>10486043</v>
      </c>
    </row>
    <row r="1170" spans="1:6" ht="14.5">
      <c r="A1170" t="s">
        <v>3250</v>
      </c>
      <c r="B1170" s="380" t="str">
        <f t="shared" si="18"/>
        <v>240-903</v>
      </c>
      <c r="C1170" s="2043">
        <v>3960616</v>
      </c>
      <c r="D1170" s="2043">
        <v>31936135</v>
      </c>
      <c r="E1170">
        <v>0.96640000000000004</v>
      </c>
      <c r="F1170" s="2043">
        <v>39278075</v>
      </c>
    </row>
    <row r="1171" spans="1:6" ht="14.5">
      <c r="A1171" t="s">
        <v>5297</v>
      </c>
      <c r="B1171" s="380" t="str">
        <f t="shared" si="18"/>
        <v>240-904</v>
      </c>
      <c r="C1171" s="2043">
        <v>0</v>
      </c>
      <c r="D1171" s="2043">
        <v>115542</v>
      </c>
      <c r="E1171">
        <v>0.96640000000000004</v>
      </c>
      <c r="F1171" s="2043">
        <v>1862143</v>
      </c>
    </row>
    <row r="1172" spans="1:6" ht="14.5">
      <c r="A1172" t="s">
        <v>5895</v>
      </c>
      <c r="B1172" s="380" t="str">
        <f t="shared" si="18"/>
        <v>241-901</v>
      </c>
      <c r="C1172" s="2043">
        <v>0</v>
      </c>
      <c r="D1172" s="2043">
        <v>0</v>
      </c>
      <c r="E1172">
        <v>0.96640000000000004</v>
      </c>
      <c r="F1172" s="2043">
        <v>0</v>
      </c>
    </row>
    <row r="1173" spans="1:6" ht="14.5">
      <c r="A1173" t="s">
        <v>5298</v>
      </c>
      <c r="B1173" s="380" t="str">
        <f t="shared" si="18"/>
        <v>241-902</v>
      </c>
      <c r="C1173" s="2043">
        <v>0</v>
      </c>
      <c r="D1173" s="2043">
        <v>1012168</v>
      </c>
      <c r="E1173">
        <v>1.0547</v>
      </c>
      <c r="F1173" s="2043">
        <v>1256148</v>
      </c>
    </row>
    <row r="1174" spans="1:6" ht="14.5">
      <c r="A1174" t="s">
        <v>5299</v>
      </c>
      <c r="B1174" s="380" t="str">
        <f t="shared" si="18"/>
        <v>241-903</v>
      </c>
      <c r="C1174" s="2043">
        <v>0</v>
      </c>
      <c r="D1174" s="2043">
        <v>485463</v>
      </c>
      <c r="E1174">
        <v>1.0547</v>
      </c>
      <c r="F1174" s="2043">
        <v>964803</v>
      </c>
    </row>
    <row r="1175" spans="1:6" ht="14.5">
      <c r="A1175" t="s">
        <v>5300</v>
      </c>
      <c r="B1175" s="380" t="str">
        <f t="shared" si="18"/>
        <v>241-904</v>
      </c>
      <c r="C1175" s="2043">
        <v>0</v>
      </c>
      <c r="D1175" s="2043">
        <v>844747</v>
      </c>
      <c r="E1175">
        <v>1.0028000000000001</v>
      </c>
      <c r="F1175" s="2043">
        <v>3692667</v>
      </c>
    </row>
    <row r="1176" spans="1:6" ht="14.5">
      <c r="A1176" t="s">
        <v>5301</v>
      </c>
      <c r="B1176" s="380" t="str">
        <f t="shared" si="18"/>
        <v>241-906</v>
      </c>
      <c r="C1176" s="2043">
        <v>0</v>
      </c>
      <c r="D1176" s="2043">
        <v>0</v>
      </c>
      <c r="E1176">
        <v>1.0547</v>
      </c>
      <c r="F1176" s="2043">
        <v>10</v>
      </c>
    </row>
    <row r="1177" spans="1:6" ht="14.5">
      <c r="A1177" t="s">
        <v>5896</v>
      </c>
      <c r="B1177" s="380" t="str">
        <f t="shared" si="18"/>
        <v>242-902</v>
      </c>
      <c r="C1177" s="2043">
        <v>0</v>
      </c>
      <c r="D1177" s="2043">
        <v>0</v>
      </c>
      <c r="E1177">
        <v>0.96640000000000004</v>
      </c>
      <c r="F1177" s="2043">
        <v>0</v>
      </c>
    </row>
    <row r="1178" spans="1:6" ht="14.5">
      <c r="A1178" t="s">
        <v>5302</v>
      </c>
      <c r="B1178" s="380" t="str">
        <f t="shared" si="18"/>
        <v>242-903</v>
      </c>
      <c r="C1178" s="2043">
        <v>0</v>
      </c>
      <c r="D1178" s="2043">
        <v>263924</v>
      </c>
      <c r="E1178">
        <v>0.96640000000000004</v>
      </c>
      <c r="F1178" s="2043">
        <v>398843</v>
      </c>
    </row>
    <row r="1179" spans="1:6" ht="14.5">
      <c r="A1179" t="s">
        <v>5897</v>
      </c>
      <c r="B1179" s="380" t="str">
        <f t="shared" si="18"/>
        <v>242-905</v>
      </c>
      <c r="C1179" s="2043">
        <v>0</v>
      </c>
      <c r="D1179" s="2043">
        <v>44169</v>
      </c>
      <c r="E1179">
        <v>0.96640000000000004</v>
      </c>
      <c r="F1179" s="2043">
        <v>455079</v>
      </c>
    </row>
    <row r="1180" spans="1:6" ht="14.5">
      <c r="A1180" t="s">
        <v>5303</v>
      </c>
      <c r="B1180" s="380" t="str">
        <f t="shared" si="18"/>
        <v>242-906</v>
      </c>
      <c r="C1180" s="2043">
        <v>0</v>
      </c>
      <c r="D1180" s="2043">
        <v>52544</v>
      </c>
      <c r="E1180">
        <v>0.96640000000000004</v>
      </c>
      <c r="F1180" s="2043">
        <v>751579</v>
      </c>
    </row>
    <row r="1181" spans="1:6" ht="14.5">
      <c r="A1181" t="s">
        <v>3251</v>
      </c>
      <c r="B1181" s="380" t="str">
        <f t="shared" si="18"/>
        <v>243-901</v>
      </c>
      <c r="C1181" s="2043">
        <v>671041</v>
      </c>
      <c r="D1181" s="2043">
        <v>2143796</v>
      </c>
      <c r="E1181">
        <v>1.0544</v>
      </c>
      <c r="F1181" s="2043">
        <v>3521463</v>
      </c>
    </row>
    <row r="1182" spans="1:6" ht="14.5">
      <c r="A1182" t="s">
        <v>5304</v>
      </c>
      <c r="B1182" s="380" t="str">
        <f t="shared" si="18"/>
        <v>243-902</v>
      </c>
      <c r="C1182" s="2043">
        <v>0</v>
      </c>
      <c r="D1182" s="2043">
        <v>465364</v>
      </c>
      <c r="E1182">
        <v>1.0547</v>
      </c>
      <c r="F1182" s="2043">
        <v>720606</v>
      </c>
    </row>
    <row r="1183" spans="1:6" ht="14.5">
      <c r="A1183" t="s">
        <v>5305</v>
      </c>
      <c r="B1183" s="380" t="str">
        <f t="shared" si="18"/>
        <v>243-903</v>
      </c>
      <c r="C1183" s="2043">
        <v>198405</v>
      </c>
      <c r="D1183" s="2043">
        <v>542936</v>
      </c>
      <c r="E1183">
        <v>1.0537000000000001</v>
      </c>
      <c r="F1183" s="2043">
        <v>2305115</v>
      </c>
    </row>
    <row r="1184" spans="1:6" ht="14.5">
      <c r="A1184" t="s">
        <v>3252</v>
      </c>
      <c r="B1184" s="380" t="str">
        <f t="shared" si="18"/>
        <v>243-905</v>
      </c>
      <c r="C1184" s="2043">
        <v>3370543</v>
      </c>
      <c r="D1184" s="2043">
        <v>4714567</v>
      </c>
      <c r="E1184">
        <v>0.96640000000000004</v>
      </c>
      <c r="F1184" s="2043">
        <v>8564847</v>
      </c>
    </row>
    <row r="1185" spans="1:6" ht="14.5">
      <c r="A1185" t="s">
        <v>3253</v>
      </c>
      <c r="B1185" s="380" t="str">
        <f t="shared" si="18"/>
        <v>243-906</v>
      </c>
      <c r="C1185" s="2043">
        <v>215261</v>
      </c>
      <c r="D1185" s="2043">
        <v>246344</v>
      </c>
      <c r="E1185">
        <v>1.0547</v>
      </c>
      <c r="F1185" s="2043">
        <v>666836</v>
      </c>
    </row>
    <row r="1186" spans="1:6" ht="14.5">
      <c r="A1186" t="s">
        <v>8523</v>
      </c>
      <c r="B1186" s="380" t="str">
        <f t="shared" si="18"/>
        <v>243-950</v>
      </c>
      <c r="C1186" s="2043">
        <v>0</v>
      </c>
      <c r="D1186" s="2043">
        <v>0</v>
      </c>
      <c r="E1186">
        <v>0</v>
      </c>
      <c r="F1186" s="2043">
        <v>0</v>
      </c>
    </row>
    <row r="1187" spans="1:6" ht="14.5">
      <c r="A1187" t="s">
        <v>5898</v>
      </c>
      <c r="B1187" s="380" t="str">
        <f t="shared" si="18"/>
        <v>244-901</v>
      </c>
      <c r="C1187" s="2043">
        <v>0</v>
      </c>
      <c r="D1187" s="2043">
        <v>0</v>
      </c>
      <c r="E1187">
        <v>1.0547</v>
      </c>
      <c r="F1187" s="2043">
        <v>0</v>
      </c>
    </row>
    <row r="1188" spans="1:6" ht="14.5">
      <c r="A1188" t="s">
        <v>5306</v>
      </c>
      <c r="B1188" s="380" t="str">
        <f t="shared" si="18"/>
        <v>244-903</v>
      </c>
      <c r="C1188" s="2043">
        <v>0</v>
      </c>
      <c r="D1188" s="2043">
        <v>0</v>
      </c>
      <c r="E1188">
        <v>0.96640000000000004</v>
      </c>
      <c r="F1188" s="2043">
        <v>0</v>
      </c>
    </row>
    <row r="1189" spans="1:6" ht="14.5">
      <c r="A1189" t="s">
        <v>3254</v>
      </c>
      <c r="B1189" s="380" t="str">
        <f t="shared" si="18"/>
        <v>244-905</v>
      </c>
      <c r="C1189" s="2043">
        <v>47325</v>
      </c>
      <c r="D1189" s="2043">
        <v>23501</v>
      </c>
      <c r="E1189">
        <v>1.0367</v>
      </c>
      <c r="F1189" s="2043">
        <v>80262</v>
      </c>
    </row>
    <row r="1190" spans="1:6" ht="14.5">
      <c r="A1190" t="s">
        <v>3255</v>
      </c>
      <c r="B1190" s="380" t="str">
        <f t="shared" si="18"/>
        <v>245-901</v>
      </c>
      <c r="C1190" s="2043">
        <v>121546</v>
      </c>
      <c r="D1190" s="2043">
        <v>10141</v>
      </c>
      <c r="E1190">
        <v>1.0547</v>
      </c>
      <c r="F1190" s="2043">
        <v>137898</v>
      </c>
    </row>
    <row r="1191" spans="1:6" ht="14.5">
      <c r="A1191" t="s">
        <v>3256</v>
      </c>
      <c r="B1191" s="380" t="str">
        <f t="shared" si="18"/>
        <v>245-902</v>
      </c>
      <c r="C1191" s="2043">
        <v>657185</v>
      </c>
      <c r="D1191" s="2043">
        <v>43604</v>
      </c>
      <c r="E1191">
        <v>1.0547</v>
      </c>
      <c r="F1191" s="2043">
        <v>554098</v>
      </c>
    </row>
    <row r="1192" spans="1:6" ht="14.5">
      <c r="A1192" t="s">
        <v>3257</v>
      </c>
      <c r="B1192" s="380" t="str">
        <f t="shared" si="18"/>
        <v>245-903</v>
      </c>
      <c r="C1192" s="2043">
        <v>889274</v>
      </c>
      <c r="D1192" s="2043">
        <v>2937</v>
      </c>
      <c r="E1192">
        <v>1.0547</v>
      </c>
      <c r="F1192" s="2043">
        <v>442689</v>
      </c>
    </row>
    <row r="1193" spans="1:6" ht="14.5">
      <c r="A1193" t="s">
        <v>3258</v>
      </c>
      <c r="B1193" s="380" t="str">
        <f t="shared" si="18"/>
        <v>245-904</v>
      </c>
      <c r="C1193" s="2043">
        <v>287250</v>
      </c>
      <c r="D1193" s="2043">
        <v>120700</v>
      </c>
      <c r="E1193">
        <v>1.0028000000000001</v>
      </c>
      <c r="F1193" s="2043">
        <v>437723</v>
      </c>
    </row>
    <row r="1194" spans="1:6" ht="14.5">
      <c r="A1194" t="s">
        <v>8115</v>
      </c>
      <c r="B1194" s="380" t="str">
        <f t="shared" si="18"/>
        <v>246-801</v>
      </c>
      <c r="C1194" s="2043">
        <v>0</v>
      </c>
      <c r="D1194" s="2043">
        <v>0</v>
      </c>
      <c r="E1194">
        <v>0</v>
      </c>
      <c r="F1194" s="2043">
        <v>0</v>
      </c>
    </row>
    <row r="1195" spans="1:6" ht="14.5">
      <c r="A1195" t="s">
        <v>8116</v>
      </c>
      <c r="B1195" s="380" t="str">
        <f t="shared" si="18"/>
        <v>246-802</v>
      </c>
      <c r="C1195" s="2043">
        <v>0</v>
      </c>
      <c r="D1195" s="2043">
        <v>0</v>
      </c>
      <c r="E1195">
        <v>0</v>
      </c>
      <c r="F1195" s="2043">
        <v>0</v>
      </c>
    </row>
    <row r="1196" spans="1:6" ht="14.5">
      <c r="A1196" t="s">
        <v>3259</v>
      </c>
      <c r="B1196" s="380" t="str">
        <f t="shared" si="18"/>
        <v>246-902</v>
      </c>
      <c r="C1196" s="2043">
        <v>231000</v>
      </c>
      <c r="D1196" s="2043">
        <v>578031</v>
      </c>
      <c r="E1196">
        <v>0.99990000000000001</v>
      </c>
      <c r="F1196" s="2043">
        <v>1146564</v>
      </c>
    </row>
    <row r="1197" spans="1:6" ht="14.5">
      <c r="A1197" t="s">
        <v>3260</v>
      </c>
      <c r="B1197" s="380" t="str">
        <f t="shared" si="18"/>
        <v>246-904</v>
      </c>
      <c r="C1197" s="2043">
        <v>0</v>
      </c>
      <c r="D1197" s="2043">
        <v>13382247</v>
      </c>
      <c r="E1197">
        <v>0.97810000000000008</v>
      </c>
      <c r="F1197" s="2043">
        <v>38231538</v>
      </c>
    </row>
    <row r="1198" spans="1:6" ht="14.5">
      <c r="A1198" t="s">
        <v>3261</v>
      </c>
      <c r="B1198" s="380" t="str">
        <f t="shared" si="18"/>
        <v>246-905</v>
      </c>
      <c r="C1198" s="2043">
        <v>0</v>
      </c>
      <c r="D1198" s="2043">
        <v>0</v>
      </c>
      <c r="E1198">
        <v>1.0125999999999999</v>
      </c>
      <c r="F1198" s="2043">
        <v>77</v>
      </c>
    </row>
    <row r="1199" spans="1:6" ht="14.5">
      <c r="A1199" t="s">
        <v>3262</v>
      </c>
      <c r="B1199" s="380" t="str">
        <f t="shared" si="18"/>
        <v>246-906</v>
      </c>
      <c r="C1199" s="2043">
        <v>1775325</v>
      </c>
      <c r="D1199" s="2043">
        <v>9118744</v>
      </c>
      <c r="E1199">
        <v>1.0065</v>
      </c>
      <c r="F1199" s="2043">
        <v>18558329</v>
      </c>
    </row>
    <row r="1200" spans="1:6" ht="14.5">
      <c r="A1200" t="s">
        <v>5307</v>
      </c>
      <c r="B1200" s="380" t="str">
        <f t="shared" si="18"/>
        <v>246-907</v>
      </c>
      <c r="C1200" s="2043">
        <v>0</v>
      </c>
      <c r="D1200" s="2043">
        <v>2548374</v>
      </c>
      <c r="E1200">
        <v>0.92660000000000009</v>
      </c>
      <c r="F1200" s="2043">
        <v>8311240</v>
      </c>
    </row>
    <row r="1201" spans="1:6" ht="14.5">
      <c r="A1201" t="s">
        <v>3263</v>
      </c>
      <c r="B1201" s="380" t="str">
        <f t="shared" si="18"/>
        <v>246-908</v>
      </c>
      <c r="C1201" s="2043">
        <v>293066</v>
      </c>
      <c r="D1201" s="2043">
        <v>6127236</v>
      </c>
      <c r="E1201">
        <v>0.86470000000000002</v>
      </c>
      <c r="F1201" s="2043">
        <v>17021206</v>
      </c>
    </row>
    <row r="1202" spans="1:6" ht="14.5">
      <c r="A1202" t="s">
        <v>4857</v>
      </c>
      <c r="B1202" s="380" t="str">
        <f t="shared" si="18"/>
        <v>246-909</v>
      </c>
      <c r="C1202" s="2043">
        <v>0</v>
      </c>
      <c r="D1202" s="2043">
        <v>53661386</v>
      </c>
      <c r="E1202">
        <v>0.95640000000000003</v>
      </c>
      <c r="F1202" s="2043">
        <v>105059635</v>
      </c>
    </row>
    <row r="1203" spans="1:6" ht="14.5">
      <c r="A1203" t="s">
        <v>3264</v>
      </c>
      <c r="B1203" s="380" t="str">
        <f t="shared" si="18"/>
        <v>246-911</v>
      </c>
      <c r="C1203" s="2043">
        <v>472480</v>
      </c>
      <c r="D1203" s="2043">
        <v>3208141</v>
      </c>
      <c r="E1203">
        <v>1.0307999999999999</v>
      </c>
      <c r="F1203" s="2043">
        <v>4900807</v>
      </c>
    </row>
    <row r="1204" spans="1:6" ht="14.5">
      <c r="A1204" t="s">
        <v>3265</v>
      </c>
      <c r="B1204" s="380" t="str">
        <f t="shared" si="18"/>
        <v>246-912</v>
      </c>
      <c r="C1204" s="2043">
        <v>129006</v>
      </c>
      <c r="D1204" s="2043">
        <v>513862</v>
      </c>
      <c r="E1204">
        <v>1.0547</v>
      </c>
      <c r="F1204" s="2043">
        <v>663544</v>
      </c>
    </row>
    <row r="1205" spans="1:6" ht="14.5">
      <c r="A1205" t="s">
        <v>3266</v>
      </c>
      <c r="B1205" s="380" t="str">
        <f t="shared" si="18"/>
        <v>246-913</v>
      </c>
      <c r="C1205" s="2043">
        <v>271991</v>
      </c>
      <c r="D1205" s="2043">
        <v>46520449</v>
      </c>
      <c r="E1205">
        <v>0.95340000000000003</v>
      </c>
      <c r="F1205" s="2043">
        <v>131103669</v>
      </c>
    </row>
    <row r="1206" spans="1:6" ht="14.5">
      <c r="A1206" t="s">
        <v>5899</v>
      </c>
      <c r="B1206" s="380" t="str">
        <f t="shared" si="18"/>
        <v>246-914</v>
      </c>
      <c r="C1206" s="2043">
        <v>0</v>
      </c>
      <c r="D1206" s="2043">
        <v>0</v>
      </c>
      <c r="E1206">
        <v>0.92170000000000007</v>
      </c>
      <c r="F1206" s="2043">
        <v>234759</v>
      </c>
    </row>
    <row r="1207" spans="1:6" ht="14.5">
      <c r="A1207" t="s">
        <v>3267</v>
      </c>
      <c r="B1207" s="380" t="str">
        <f t="shared" si="18"/>
        <v>247-901</v>
      </c>
      <c r="C1207" s="2043">
        <v>1531975</v>
      </c>
      <c r="D1207" s="2043">
        <v>2939244</v>
      </c>
      <c r="E1207">
        <v>0.93049999999999999</v>
      </c>
      <c r="F1207" s="2043">
        <v>4617314</v>
      </c>
    </row>
    <row r="1208" spans="1:6" ht="14.5">
      <c r="A1208" t="s">
        <v>3268</v>
      </c>
      <c r="B1208" s="380" t="str">
        <f t="shared" si="18"/>
        <v>247-903</v>
      </c>
      <c r="C1208" s="2043">
        <v>1355409</v>
      </c>
      <c r="D1208" s="2043">
        <v>1658447</v>
      </c>
      <c r="E1208">
        <v>0.93370000000000009</v>
      </c>
      <c r="F1208" s="2043">
        <v>4985913</v>
      </c>
    </row>
    <row r="1209" spans="1:6" ht="14.5">
      <c r="A1209" t="s">
        <v>3269</v>
      </c>
      <c r="B1209" s="380" t="str">
        <f t="shared" si="18"/>
        <v>247-904</v>
      </c>
      <c r="C1209" s="2043">
        <v>136070</v>
      </c>
      <c r="D1209" s="2043">
        <v>858000</v>
      </c>
      <c r="E1209">
        <v>0.96640000000000004</v>
      </c>
      <c r="F1209" s="2043">
        <v>1167906</v>
      </c>
    </row>
    <row r="1210" spans="1:6" ht="14.5">
      <c r="A1210" t="s">
        <v>3270</v>
      </c>
      <c r="B1210" s="380" t="str">
        <f t="shared" si="18"/>
        <v>247-906</v>
      </c>
      <c r="C1210" s="2043">
        <v>522073</v>
      </c>
      <c r="D1210" s="2043">
        <v>344785</v>
      </c>
      <c r="E1210">
        <v>0.96640000000000004</v>
      </c>
      <c r="F1210" s="2043">
        <v>1043896</v>
      </c>
    </row>
    <row r="1211" spans="1:6" ht="14.5">
      <c r="A1211" t="s">
        <v>5308</v>
      </c>
      <c r="B1211" s="380" t="str">
        <f t="shared" si="18"/>
        <v>248-901</v>
      </c>
      <c r="C1211" s="2043">
        <v>0</v>
      </c>
      <c r="D1211" s="2043">
        <v>1463698</v>
      </c>
      <c r="E1211">
        <v>1.0045999999999999</v>
      </c>
      <c r="F1211" s="2043">
        <v>1964999</v>
      </c>
    </row>
    <row r="1212" spans="1:6" ht="14.5">
      <c r="A1212" t="s">
        <v>5309</v>
      </c>
      <c r="B1212" s="380" t="str">
        <f t="shared" si="18"/>
        <v>248-902</v>
      </c>
      <c r="C1212" s="2043">
        <v>0</v>
      </c>
      <c r="D1212" s="2043">
        <v>458580</v>
      </c>
      <c r="E1212">
        <v>0.90950000000000009</v>
      </c>
      <c r="F1212" s="2043">
        <v>14839985</v>
      </c>
    </row>
    <row r="1213" spans="1:6" ht="14.5">
      <c r="A1213" t="s">
        <v>3271</v>
      </c>
      <c r="B1213" s="380" t="str">
        <f t="shared" si="18"/>
        <v>249-901</v>
      </c>
      <c r="C1213" s="2043">
        <v>466170</v>
      </c>
      <c r="D1213" s="2043">
        <v>203002</v>
      </c>
      <c r="E1213">
        <v>1.0547</v>
      </c>
      <c r="F1213" s="2043">
        <v>770238</v>
      </c>
    </row>
    <row r="1214" spans="1:6" ht="14.5">
      <c r="A1214" t="s">
        <v>5310</v>
      </c>
      <c r="B1214" s="380" t="str">
        <f t="shared" si="18"/>
        <v>249-902</v>
      </c>
      <c r="C1214" s="2043">
        <v>0</v>
      </c>
      <c r="D1214" s="2043">
        <v>1223745</v>
      </c>
      <c r="E1214">
        <v>0.96640000000000004</v>
      </c>
      <c r="F1214" s="2043">
        <v>1356725</v>
      </c>
    </row>
    <row r="1215" spans="1:6" ht="14.5">
      <c r="A1215" t="s">
        <v>5311</v>
      </c>
      <c r="B1215" s="380" t="str">
        <f t="shared" si="18"/>
        <v>249-903</v>
      </c>
      <c r="C1215" s="2043">
        <v>0</v>
      </c>
      <c r="D1215" s="2043">
        <v>1654578</v>
      </c>
      <c r="E1215">
        <v>0.96640000000000004</v>
      </c>
      <c r="F1215" s="2043">
        <v>2255062</v>
      </c>
    </row>
    <row r="1216" spans="1:6" ht="14.5">
      <c r="A1216" t="s">
        <v>5312</v>
      </c>
      <c r="B1216" s="380" t="str">
        <f t="shared" si="18"/>
        <v>249-904</v>
      </c>
      <c r="C1216" s="2043">
        <v>0</v>
      </c>
      <c r="D1216" s="2043">
        <v>546549</v>
      </c>
      <c r="E1216">
        <v>0.96640000000000004</v>
      </c>
      <c r="F1216" s="2043">
        <v>1344671</v>
      </c>
    </row>
    <row r="1217" spans="1:6" ht="14.5">
      <c r="A1217" t="s">
        <v>5313</v>
      </c>
      <c r="B1217" s="380" t="str">
        <f t="shared" si="18"/>
        <v>249-905</v>
      </c>
      <c r="C1217" s="2043">
        <v>0</v>
      </c>
      <c r="D1217" s="2043">
        <v>3796926</v>
      </c>
      <c r="E1217">
        <v>0.96640000000000004</v>
      </c>
      <c r="F1217" s="2043">
        <v>5749560</v>
      </c>
    </row>
    <row r="1218" spans="1:6" ht="14.5">
      <c r="A1218" t="s">
        <v>3272</v>
      </c>
      <c r="B1218" s="380" t="str">
        <f t="shared" si="18"/>
        <v>249-906</v>
      </c>
      <c r="C1218" s="2043">
        <v>221531</v>
      </c>
      <c r="D1218" s="2043">
        <v>804044</v>
      </c>
      <c r="E1218">
        <v>0.96640000000000004</v>
      </c>
      <c r="F1218" s="2043">
        <v>1570776</v>
      </c>
    </row>
    <row r="1219" spans="1:6" ht="14.5">
      <c r="A1219" t="s">
        <v>3273</v>
      </c>
      <c r="B1219" s="380" t="str">
        <f t="shared" si="18"/>
        <v>249-908</v>
      </c>
      <c r="C1219" s="2043">
        <v>175002</v>
      </c>
      <c r="D1219" s="2043">
        <v>11601</v>
      </c>
      <c r="E1219">
        <v>0.97640000000000005</v>
      </c>
      <c r="F1219" s="2043">
        <v>220174</v>
      </c>
    </row>
    <row r="1220" spans="1:6" ht="14.5">
      <c r="A1220" t="s">
        <v>5314</v>
      </c>
      <c r="B1220" s="380" t="str">
        <f t="shared" ref="B1220:B1233" si="19">CONCATENATE(LEFT(RIGHT(CONCATENATE("000",A1220),6),3),"-",(RIGHT(RIGHT(CONCATENATE("000",A1220),6),3)))</f>
        <v>250-902</v>
      </c>
      <c r="C1220" s="2043">
        <v>0</v>
      </c>
      <c r="D1220" s="2043">
        <v>800079</v>
      </c>
      <c r="E1220">
        <v>0.96640000000000004</v>
      </c>
      <c r="F1220" s="2043">
        <v>1764259</v>
      </c>
    </row>
    <row r="1221" spans="1:6" ht="14.5">
      <c r="A1221" t="s">
        <v>5900</v>
      </c>
      <c r="B1221" s="380" t="str">
        <f t="shared" si="19"/>
        <v>250-903</v>
      </c>
      <c r="C1221" s="2043">
        <v>0</v>
      </c>
      <c r="D1221" s="2043">
        <v>0</v>
      </c>
      <c r="E1221">
        <v>1.0437000000000001</v>
      </c>
      <c r="F1221" s="2043">
        <v>0</v>
      </c>
    </row>
    <row r="1222" spans="1:6" ht="14.5">
      <c r="A1222" t="s">
        <v>5315</v>
      </c>
      <c r="B1222" s="380" t="str">
        <f t="shared" si="19"/>
        <v>250-904</v>
      </c>
      <c r="C1222" s="2043">
        <v>0</v>
      </c>
      <c r="D1222" s="2043">
        <v>996892</v>
      </c>
      <c r="E1222">
        <v>1.0517000000000001</v>
      </c>
      <c r="F1222" s="2043">
        <v>954040</v>
      </c>
    </row>
    <row r="1223" spans="1:6" ht="14.5">
      <c r="A1223" t="s">
        <v>5316</v>
      </c>
      <c r="B1223" s="380" t="str">
        <f t="shared" si="19"/>
        <v>250-905</v>
      </c>
      <c r="C1223" s="2043">
        <v>0</v>
      </c>
      <c r="D1223" s="2043">
        <v>0</v>
      </c>
      <c r="E1223">
        <v>0.87470000000000003</v>
      </c>
      <c r="F1223" s="2043">
        <v>891</v>
      </c>
    </row>
    <row r="1224" spans="1:6" ht="14.5">
      <c r="A1224" t="s">
        <v>5317</v>
      </c>
      <c r="B1224" s="380" t="str">
        <f t="shared" si="19"/>
        <v>250-906</v>
      </c>
      <c r="C1224" s="2043">
        <v>0</v>
      </c>
      <c r="D1224" s="2043">
        <v>136388</v>
      </c>
      <c r="E1224">
        <v>1.0547</v>
      </c>
      <c r="F1224" s="2043">
        <v>115581</v>
      </c>
    </row>
    <row r="1225" spans="1:6" ht="14.5">
      <c r="A1225" t="s">
        <v>5901</v>
      </c>
      <c r="B1225" s="380" t="str">
        <f t="shared" si="19"/>
        <v>250-907</v>
      </c>
      <c r="C1225" s="2043">
        <v>0</v>
      </c>
      <c r="D1225" s="2043">
        <v>1515504</v>
      </c>
      <c r="E1225">
        <v>1.0547</v>
      </c>
      <c r="F1225" s="2043">
        <v>1757013</v>
      </c>
    </row>
    <row r="1226" spans="1:6" ht="14.5">
      <c r="A1226" t="s">
        <v>5318</v>
      </c>
      <c r="B1226" s="380" t="str">
        <f t="shared" si="19"/>
        <v>251-901</v>
      </c>
      <c r="C1226" s="2043">
        <v>0</v>
      </c>
      <c r="D1226" s="2043">
        <v>1700301</v>
      </c>
      <c r="E1226">
        <v>0.96640000000000004</v>
      </c>
      <c r="F1226" s="2043">
        <v>4694579</v>
      </c>
    </row>
    <row r="1227" spans="1:6" ht="14.5">
      <c r="A1227" t="s">
        <v>5319</v>
      </c>
      <c r="B1227" s="380" t="str">
        <f t="shared" si="19"/>
        <v>251-902</v>
      </c>
      <c r="C1227" s="2043">
        <v>0</v>
      </c>
      <c r="D1227" s="2043">
        <v>523511</v>
      </c>
      <c r="E1227">
        <v>0.96640000000000004</v>
      </c>
      <c r="F1227" s="2043">
        <v>5822852</v>
      </c>
    </row>
    <row r="1228" spans="1:6" ht="14.5">
      <c r="A1228" t="s">
        <v>3274</v>
      </c>
      <c r="B1228" s="380" t="str">
        <f t="shared" si="19"/>
        <v>252-901</v>
      </c>
      <c r="C1228" s="2043">
        <v>980392</v>
      </c>
      <c r="D1228" s="2043">
        <v>1282581</v>
      </c>
      <c r="E1228">
        <v>0.96640000000000004</v>
      </c>
      <c r="F1228" s="2043">
        <v>2355714</v>
      </c>
    </row>
    <row r="1229" spans="1:6" ht="14.5">
      <c r="A1229" t="s">
        <v>5320</v>
      </c>
      <c r="B1229" s="380" t="str">
        <f t="shared" si="19"/>
        <v>252-902</v>
      </c>
      <c r="C1229" s="2043">
        <v>0</v>
      </c>
      <c r="D1229" s="2043">
        <v>216634</v>
      </c>
      <c r="E1229">
        <v>1.05</v>
      </c>
      <c r="F1229" s="2043">
        <v>325984</v>
      </c>
    </row>
    <row r="1230" spans="1:6" ht="14.5">
      <c r="A1230" t="s">
        <v>3275</v>
      </c>
      <c r="B1230" s="380" t="str">
        <f t="shared" si="19"/>
        <v>252-903</v>
      </c>
      <c r="C1230" s="2043">
        <v>188253</v>
      </c>
      <c r="D1230" s="2043">
        <v>254224</v>
      </c>
      <c r="E1230">
        <v>1.0547</v>
      </c>
      <c r="F1230" s="2043">
        <v>511111</v>
      </c>
    </row>
    <row r="1231" spans="1:6" ht="14.5">
      <c r="A1231" t="s">
        <v>5902</v>
      </c>
      <c r="B1231" s="380" t="str">
        <f t="shared" si="19"/>
        <v>253-901</v>
      </c>
      <c r="C1231" s="2043">
        <v>0</v>
      </c>
      <c r="D1231" s="2043">
        <v>0</v>
      </c>
      <c r="E1231">
        <v>0.96640000000000004</v>
      </c>
      <c r="F1231" s="2043">
        <v>874944</v>
      </c>
    </row>
    <row r="1232" spans="1:6" ht="14.5">
      <c r="A1232" t="s">
        <v>3276</v>
      </c>
      <c r="B1232" s="380" t="str">
        <f t="shared" si="19"/>
        <v>254-901</v>
      </c>
      <c r="C1232" s="2043">
        <v>1309169</v>
      </c>
      <c r="D1232" s="2043">
        <v>1971736</v>
      </c>
      <c r="E1232">
        <v>0.92290000000000005</v>
      </c>
      <c r="F1232" s="2043">
        <v>3978782</v>
      </c>
    </row>
    <row r="1233" spans="1:6" ht="14.5">
      <c r="A1233" t="s">
        <v>3277</v>
      </c>
      <c r="B1233" s="380" t="str">
        <f t="shared" si="19"/>
        <v>254-902</v>
      </c>
      <c r="C1233" s="2043">
        <v>171950</v>
      </c>
      <c r="D1233" s="2043">
        <v>0</v>
      </c>
      <c r="E1233">
        <v>0.96300000000000008</v>
      </c>
      <c r="F1233" s="2043">
        <v>192565</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C1238"/>
  <sheetViews>
    <sheetView workbookViewId="0">
      <selection activeCell="B2" sqref="B2"/>
    </sheetView>
  </sheetViews>
  <sheetFormatPr defaultRowHeight="12.5"/>
  <cols>
    <col min="1" max="1" width="13.81640625" style="41" customWidth="1"/>
    <col min="2" max="2" width="13.26953125" customWidth="1"/>
    <col min="3" max="3" width="14.54296875" style="2043" customWidth="1"/>
  </cols>
  <sheetData>
    <row r="1" spans="1:3">
      <c r="A1" s="41" t="s">
        <v>3349</v>
      </c>
      <c r="B1" s="41"/>
      <c r="C1" s="186" t="s">
        <v>11476</v>
      </c>
    </row>
    <row r="2" spans="1:3" ht="14.5">
      <c r="A2" s="41" t="s">
        <v>5748</v>
      </c>
      <c r="B2" s="380" t="str">
        <f>CONCATENATE(LEFT(RIGHT(CONCATENATE("000",A2),6),3),"-",(RIGHT(RIGHT(CONCATENATE("000",A2),6),3)))</f>
        <v>001-902</v>
      </c>
    </row>
    <row r="3" spans="1:3" ht="14.5">
      <c r="A3" s="41" t="s">
        <v>2849</v>
      </c>
      <c r="B3" s="380" t="str">
        <f>CONCATENATE(LEFT(RIGHT(CONCATENATE("000",A3),6),3),"-",(RIGHT(RIGHT(CONCATENATE("000",A3),6),3)))</f>
        <v>001-903</v>
      </c>
      <c r="C3" s="2043">
        <v>942550</v>
      </c>
    </row>
    <row r="4" spans="1:3" ht="14.5">
      <c r="A4" s="41" t="s">
        <v>4918</v>
      </c>
      <c r="B4" s="380" t="str">
        <f t="shared" ref="B4:B67" si="0">CONCATENATE(LEFT(RIGHT(CONCATENATE("000",A4),6),3),"-",(RIGHT(RIGHT(CONCATENATE("000",A4),6),3)))</f>
        <v>001-904</v>
      </c>
      <c r="C4" s="2043">
        <v>776776</v>
      </c>
    </row>
    <row r="5" spans="1:3" ht="14.5">
      <c r="A5" s="41" t="s">
        <v>4919</v>
      </c>
      <c r="B5" s="380" t="str">
        <f t="shared" si="0"/>
        <v>001-906</v>
      </c>
      <c r="C5" s="2043">
        <v>325212</v>
      </c>
    </row>
    <row r="6" spans="1:3" ht="14.5">
      <c r="A6" s="41" t="s">
        <v>2850</v>
      </c>
      <c r="B6" s="380" t="str">
        <f t="shared" si="0"/>
        <v>001-907</v>
      </c>
      <c r="C6" s="2043">
        <v>3828675</v>
      </c>
    </row>
    <row r="7" spans="1:3" ht="14.5">
      <c r="A7" s="41" t="s">
        <v>5749</v>
      </c>
      <c r="B7" s="380" t="str">
        <f t="shared" si="0"/>
        <v>001-908</v>
      </c>
      <c r="C7" s="2043">
        <v>0</v>
      </c>
    </row>
    <row r="8" spans="1:3" ht="14.5">
      <c r="A8" s="41" t="s">
        <v>4920</v>
      </c>
      <c r="B8" s="380" t="str">
        <f t="shared" si="0"/>
        <v>001-909</v>
      </c>
      <c r="C8" s="2043">
        <v>202850</v>
      </c>
    </row>
    <row r="9" spans="1:3" ht="14.5">
      <c r="A9" s="41" t="s">
        <v>4921</v>
      </c>
      <c r="B9" s="380" t="str">
        <f t="shared" si="0"/>
        <v>002-901</v>
      </c>
      <c r="C9" s="2043">
        <v>1492325</v>
      </c>
    </row>
    <row r="10" spans="1:3" ht="14.5">
      <c r="A10" s="41" t="s">
        <v>7918</v>
      </c>
      <c r="B10" s="380" t="str">
        <f t="shared" si="0"/>
        <v>003-801</v>
      </c>
    </row>
    <row r="11" spans="1:3" ht="14.5">
      <c r="A11" s="41" t="s">
        <v>2851</v>
      </c>
      <c r="B11" s="380" t="str">
        <f t="shared" si="0"/>
        <v>003-902</v>
      </c>
      <c r="C11" s="2043">
        <v>1476350</v>
      </c>
    </row>
    <row r="12" spans="1:3" ht="14.5">
      <c r="A12" s="41" t="s">
        <v>4922</v>
      </c>
      <c r="B12" s="380" t="str">
        <f t="shared" si="0"/>
        <v>003-903</v>
      </c>
      <c r="C12" s="2043">
        <v>4720813</v>
      </c>
    </row>
    <row r="13" spans="1:3" ht="14.5">
      <c r="A13" s="41" t="s">
        <v>2852</v>
      </c>
      <c r="B13" s="380" t="str">
        <f t="shared" si="0"/>
        <v>003-904</v>
      </c>
      <c r="C13" s="2043">
        <v>1298900</v>
      </c>
    </row>
    <row r="14" spans="1:3" ht="14.5">
      <c r="A14" s="41" t="s">
        <v>2853</v>
      </c>
      <c r="B14" s="380" t="str">
        <f t="shared" si="0"/>
        <v>003-905</v>
      </c>
      <c r="C14" s="2043">
        <v>1311674</v>
      </c>
    </row>
    <row r="15" spans="1:3" ht="14.5">
      <c r="A15" s="41" t="s">
        <v>4923</v>
      </c>
      <c r="B15" s="380" t="str">
        <f t="shared" si="0"/>
        <v>003-906</v>
      </c>
      <c r="C15" s="2043">
        <v>421113</v>
      </c>
    </row>
    <row r="16" spans="1:3" ht="14.5">
      <c r="A16" s="41" t="s">
        <v>2854</v>
      </c>
      <c r="B16" s="380" t="str">
        <f t="shared" si="0"/>
        <v>003-907</v>
      </c>
      <c r="C16" s="2043">
        <v>726650</v>
      </c>
    </row>
    <row r="17" spans="1:3" ht="14.5">
      <c r="A17" s="41" t="s">
        <v>4924</v>
      </c>
      <c r="B17" s="380" t="str">
        <f t="shared" si="0"/>
        <v>004-901</v>
      </c>
      <c r="C17" s="2043">
        <v>1575163</v>
      </c>
    </row>
    <row r="18" spans="1:3" ht="14.5">
      <c r="A18" s="41" t="s">
        <v>4925</v>
      </c>
      <c r="B18" s="380" t="str">
        <f t="shared" si="0"/>
        <v>005-901</v>
      </c>
      <c r="C18" s="2043">
        <v>0</v>
      </c>
    </row>
    <row r="19" spans="1:3" ht="14.5">
      <c r="A19" s="41" t="s">
        <v>4926</v>
      </c>
      <c r="B19" s="380" t="str">
        <f t="shared" si="0"/>
        <v>005-902</v>
      </c>
      <c r="C19" s="2043">
        <v>1255360</v>
      </c>
    </row>
    <row r="20" spans="1:3" ht="14.5">
      <c r="A20" s="41" t="s">
        <v>2855</v>
      </c>
      <c r="B20" s="380" t="str">
        <f t="shared" si="0"/>
        <v>005-904</v>
      </c>
      <c r="C20" s="2043">
        <v>170300</v>
      </c>
    </row>
    <row r="21" spans="1:3" ht="14.5">
      <c r="A21" s="41" t="s">
        <v>4927</v>
      </c>
      <c r="B21" s="380" t="str">
        <f t="shared" si="0"/>
        <v>006-902</v>
      </c>
      <c r="C21" s="2043">
        <v>140900</v>
      </c>
    </row>
    <row r="22" spans="1:3" ht="14.5">
      <c r="A22" s="41" t="s">
        <v>2856</v>
      </c>
      <c r="B22" s="380" t="str">
        <f t="shared" si="0"/>
        <v>007-901</v>
      </c>
      <c r="C22" s="2043">
        <v>435069</v>
      </c>
    </row>
    <row r="23" spans="1:3" ht="14.5">
      <c r="A23" s="41" t="s">
        <v>5750</v>
      </c>
      <c r="B23" s="380" t="str">
        <f t="shared" si="0"/>
        <v>007-902</v>
      </c>
      <c r="C23" s="2043">
        <v>0</v>
      </c>
    </row>
    <row r="24" spans="1:3" ht="14.5">
      <c r="A24" s="41" t="s">
        <v>2857</v>
      </c>
      <c r="B24" s="380" t="str">
        <f t="shared" si="0"/>
        <v>007-904</v>
      </c>
      <c r="C24" s="2043">
        <v>1148179</v>
      </c>
    </row>
    <row r="25" spans="1:3" ht="14.5">
      <c r="A25" s="41" t="s">
        <v>2858</v>
      </c>
      <c r="B25" s="380" t="str">
        <f t="shared" si="0"/>
        <v>007-905</v>
      </c>
      <c r="C25" s="2043">
        <v>4684150</v>
      </c>
    </row>
    <row r="26" spans="1:3" ht="14.5">
      <c r="A26" s="41" t="s">
        <v>2859</v>
      </c>
      <c r="B26" s="380" t="str">
        <f t="shared" si="0"/>
        <v>007-906</v>
      </c>
      <c r="C26" s="2043">
        <v>2034242</v>
      </c>
    </row>
    <row r="27" spans="1:3" ht="14.5">
      <c r="A27" s="41" t="s">
        <v>4928</v>
      </c>
      <c r="B27" s="380" t="str">
        <f t="shared" si="0"/>
        <v>008-901</v>
      </c>
      <c r="C27" s="2043">
        <v>1490469</v>
      </c>
    </row>
    <row r="28" spans="1:3" ht="14.5">
      <c r="A28" s="41" t="s">
        <v>4929</v>
      </c>
      <c r="B28" s="380" t="str">
        <f t="shared" si="0"/>
        <v>008-902</v>
      </c>
      <c r="C28" s="2043">
        <v>2474693</v>
      </c>
    </row>
    <row r="29" spans="1:3" ht="14.5">
      <c r="A29" s="41" t="s">
        <v>4930</v>
      </c>
      <c r="B29" s="380" t="str">
        <f t="shared" si="0"/>
        <v>008-903</v>
      </c>
      <c r="C29" s="2043">
        <v>1053754</v>
      </c>
    </row>
    <row r="30" spans="1:3" ht="14.5">
      <c r="A30" s="41" t="s">
        <v>2860</v>
      </c>
      <c r="B30" s="380" t="str">
        <f t="shared" si="0"/>
        <v>009-901</v>
      </c>
      <c r="C30" s="2043">
        <v>1340221</v>
      </c>
    </row>
    <row r="31" spans="1:3" ht="14.5">
      <c r="A31" s="41" t="s">
        <v>5751</v>
      </c>
      <c r="B31" s="380" t="str">
        <f t="shared" si="0"/>
        <v>010-901</v>
      </c>
      <c r="C31" s="2043">
        <v>0</v>
      </c>
    </row>
    <row r="32" spans="1:3" ht="14.5">
      <c r="A32" s="41" t="s">
        <v>2861</v>
      </c>
      <c r="B32" s="380" t="str">
        <f t="shared" si="0"/>
        <v>010-902</v>
      </c>
      <c r="C32" s="2043">
        <v>1590100</v>
      </c>
    </row>
    <row r="33" spans="1:3" ht="14.5">
      <c r="A33" s="41" t="s">
        <v>2862</v>
      </c>
      <c r="B33" s="380" t="str">
        <f t="shared" si="0"/>
        <v>011-901</v>
      </c>
      <c r="C33" s="2043">
        <v>13233406</v>
      </c>
    </row>
    <row r="34" spans="1:3" ht="14.5">
      <c r="A34" s="41" t="s">
        <v>2863</v>
      </c>
      <c r="B34" s="380" t="str">
        <f t="shared" si="0"/>
        <v>011-902</v>
      </c>
      <c r="C34" s="2043">
        <v>6005188</v>
      </c>
    </row>
    <row r="35" spans="1:3" ht="14.5">
      <c r="A35" s="41" t="s">
        <v>2864</v>
      </c>
      <c r="B35" s="380" t="str">
        <f t="shared" si="0"/>
        <v>011-904</v>
      </c>
      <c r="C35" s="2043">
        <v>1030100</v>
      </c>
    </row>
    <row r="36" spans="1:3" ht="14.5">
      <c r="A36" s="41" t="s">
        <v>2865</v>
      </c>
      <c r="B36" s="380" t="str">
        <f t="shared" si="0"/>
        <v>011-905</v>
      </c>
      <c r="C36" s="2043">
        <v>81407</v>
      </c>
    </row>
    <row r="37" spans="1:3" ht="14.5">
      <c r="A37" s="41" t="s">
        <v>5752</v>
      </c>
      <c r="B37" s="380" t="str">
        <f t="shared" si="0"/>
        <v>012-901</v>
      </c>
      <c r="C37" s="2043">
        <v>0</v>
      </c>
    </row>
    <row r="38" spans="1:3" ht="14.5">
      <c r="A38" s="41" t="s">
        <v>7919</v>
      </c>
      <c r="B38" s="380" t="str">
        <f t="shared" si="0"/>
        <v>013-801</v>
      </c>
    </row>
    <row r="39" spans="1:3" ht="14.5">
      <c r="A39" s="41" t="s">
        <v>2866</v>
      </c>
      <c r="B39" s="380" t="str">
        <f t="shared" si="0"/>
        <v>013-901</v>
      </c>
      <c r="C39" s="2043">
        <v>1578050</v>
      </c>
    </row>
    <row r="40" spans="1:3" ht="14.5">
      <c r="A40" s="41" t="s">
        <v>4931</v>
      </c>
      <c r="B40" s="380" t="str">
        <f t="shared" si="0"/>
        <v>013-902</v>
      </c>
      <c r="C40" s="2043">
        <v>756790</v>
      </c>
    </row>
    <row r="41" spans="1:3" ht="14.5">
      <c r="A41" s="41" t="s">
        <v>4932</v>
      </c>
      <c r="B41" s="380" t="str">
        <f t="shared" si="0"/>
        <v>013-903</v>
      </c>
      <c r="C41" s="2043">
        <v>556788</v>
      </c>
    </row>
    <row r="42" spans="1:3" ht="14.5">
      <c r="A42" s="41" t="s">
        <v>2867</v>
      </c>
      <c r="B42" s="380" t="str">
        <f t="shared" si="0"/>
        <v>013-905</v>
      </c>
      <c r="C42" s="2043">
        <v>685095</v>
      </c>
    </row>
    <row r="43" spans="1:3" ht="14.5">
      <c r="A43" s="41" t="s">
        <v>7920</v>
      </c>
      <c r="B43" s="380" t="str">
        <f t="shared" si="0"/>
        <v>014-801</v>
      </c>
    </row>
    <row r="44" spans="1:3" ht="14.5">
      <c r="A44" s="41" t="s">
        <v>7921</v>
      </c>
      <c r="B44" s="380" t="str">
        <f t="shared" si="0"/>
        <v>014-803</v>
      </c>
    </row>
    <row r="45" spans="1:3" ht="14.5">
      <c r="A45" s="41" t="s">
        <v>7922</v>
      </c>
      <c r="B45" s="380" t="str">
        <f t="shared" si="0"/>
        <v>014-804</v>
      </c>
    </row>
    <row r="46" spans="1:3" ht="14.5">
      <c r="A46" s="41" t="s">
        <v>4933</v>
      </c>
      <c r="B46" s="380" t="str">
        <f t="shared" si="0"/>
        <v>014-901</v>
      </c>
      <c r="C46" s="2043">
        <v>1513500</v>
      </c>
    </row>
    <row r="47" spans="1:3" ht="14.5">
      <c r="A47" s="41" t="s">
        <v>2868</v>
      </c>
      <c r="B47" s="380" t="str">
        <f t="shared" si="0"/>
        <v>014-902</v>
      </c>
      <c r="C47" s="2043">
        <v>161268</v>
      </c>
    </row>
    <row r="48" spans="1:3" ht="14.5">
      <c r="A48" s="41" t="s">
        <v>2869</v>
      </c>
      <c r="B48" s="380" t="str">
        <f t="shared" si="0"/>
        <v>014-903</v>
      </c>
      <c r="C48" s="2043">
        <v>8864240</v>
      </c>
    </row>
    <row r="49" spans="1:3" ht="14.5">
      <c r="A49" s="41" t="s">
        <v>2870</v>
      </c>
      <c r="B49" s="380" t="str">
        <f t="shared" si="0"/>
        <v>014-905</v>
      </c>
      <c r="C49" s="2043">
        <v>470450</v>
      </c>
    </row>
    <row r="50" spans="1:3" ht="14.5">
      <c r="A50" s="41" t="s">
        <v>2871</v>
      </c>
      <c r="B50" s="380" t="str">
        <f t="shared" si="0"/>
        <v>014-906</v>
      </c>
      <c r="C50" s="2043">
        <v>5554850</v>
      </c>
    </row>
    <row r="51" spans="1:3" ht="14.5">
      <c r="A51" s="41" t="s">
        <v>2872</v>
      </c>
      <c r="B51" s="380" t="str">
        <f t="shared" si="0"/>
        <v>014-907</v>
      </c>
      <c r="C51" s="2043">
        <v>555300</v>
      </c>
    </row>
    <row r="52" spans="1:3" ht="14.5">
      <c r="A52" s="41" t="s">
        <v>2873</v>
      </c>
      <c r="B52" s="380" t="str">
        <f t="shared" si="0"/>
        <v>014-908</v>
      </c>
      <c r="C52" s="2043">
        <v>1240550</v>
      </c>
    </row>
    <row r="53" spans="1:3" ht="14.5">
      <c r="A53" s="41" t="s">
        <v>2874</v>
      </c>
      <c r="B53" s="380" t="str">
        <f t="shared" si="0"/>
        <v>014-909</v>
      </c>
      <c r="C53" s="2043">
        <v>5325594</v>
      </c>
    </row>
    <row r="54" spans="1:3" ht="14.5">
      <c r="A54" s="41" t="s">
        <v>2875</v>
      </c>
      <c r="B54" s="380" t="str">
        <f t="shared" si="0"/>
        <v>014-910</v>
      </c>
      <c r="C54" s="2043">
        <v>1129675</v>
      </c>
    </row>
    <row r="55" spans="1:3" ht="14.5">
      <c r="A55" s="41" t="s">
        <v>7923</v>
      </c>
      <c r="B55" s="380" t="str">
        <f t="shared" si="0"/>
        <v>015-801</v>
      </c>
    </row>
    <row r="56" spans="1:3" ht="14.5">
      <c r="A56" s="41" t="s">
        <v>7924</v>
      </c>
      <c r="B56" s="380" t="str">
        <f t="shared" si="0"/>
        <v>015-802</v>
      </c>
    </row>
    <row r="57" spans="1:3" ht="14.5">
      <c r="A57" s="41" t="s">
        <v>7925</v>
      </c>
      <c r="B57" s="380" t="str">
        <f t="shared" si="0"/>
        <v>015-805</v>
      </c>
    </row>
    <row r="58" spans="1:3" ht="14.5">
      <c r="A58" s="41" t="s">
        <v>7926</v>
      </c>
      <c r="B58" s="380" t="str">
        <f t="shared" si="0"/>
        <v>015-806</v>
      </c>
    </row>
    <row r="59" spans="1:3" ht="14.5">
      <c r="A59" s="41" t="s">
        <v>7927</v>
      </c>
      <c r="B59" s="380" t="str">
        <f t="shared" si="0"/>
        <v>015-807</v>
      </c>
    </row>
    <row r="60" spans="1:3" ht="14.5">
      <c r="A60" s="41" t="s">
        <v>7928</v>
      </c>
      <c r="B60" s="380" t="str">
        <f t="shared" si="0"/>
        <v>015-808</v>
      </c>
    </row>
    <row r="61" spans="1:3" ht="14.5">
      <c r="A61" s="41" t="s">
        <v>7929</v>
      </c>
      <c r="B61" s="380" t="str">
        <f t="shared" si="0"/>
        <v>015-809</v>
      </c>
    </row>
    <row r="62" spans="1:3" ht="14.5">
      <c r="A62" s="41" t="s">
        <v>7930</v>
      </c>
      <c r="B62" s="380" t="str">
        <f t="shared" si="0"/>
        <v>015-814</v>
      </c>
    </row>
    <row r="63" spans="1:3" ht="14.5">
      <c r="A63" s="41" t="s">
        <v>7931</v>
      </c>
      <c r="B63" s="380" t="str">
        <f t="shared" si="0"/>
        <v>015-815</v>
      </c>
    </row>
    <row r="64" spans="1:3" ht="14.5">
      <c r="A64" s="41" t="s">
        <v>7932</v>
      </c>
      <c r="B64" s="380" t="str">
        <f t="shared" si="0"/>
        <v>015-822</v>
      </c>
    </row>
    <row r="65" spans="1:3" ht="14.5">
      <c r="A65" s="41" t="s">
        <v>7933</v>
      </c>
      <c r="B65" s="380" t="str">
        <f t="shared" si="0"/>
        <v>015-825</v>
      </c>
    </row>
    <row r="66" spans="1:3" ht="14.5">
      <c r="A66" s="41" t="s">
        <v>7934</v>
      </c>
      <c r="B66" s="380" t="str">
        <f t="shared" si="0"/>
        <v>015-827</v>
      </c>
    </row>
    <row r="67" spans="1:3" ht="14.5">
      <c r="A67" s="41" t="s">
        <v>7935</v>
      </c>
      <c r="B67" s="380" t="str">
        <f t="shared" si="0"/>
        <v>015-828</v>
      </c>
    </row>
    <row r="68" spans="1:3" ht="14.5">
      <c r="A68" s="41" t="s">
        <v>7936</v>
      </c>
      <c r="B68" s="380" t="str">
        <f t="shared" ref="B68:B131" si="1">CONCATENATE(LEFT(RIGHT(CONCATENATE("000",A68),6),3),"-",(RIGHT(RIGHT(CONCATENATE("000",A68),6),3)))</f>
        <v>015-830</v>
      </c>
    </row>
    <row r="69" spans="1:3" ht="14.5">
      <c r="A69" s="41" t="s">
        <v>7937</v>
      </c>
      <c r="B69" s="380" t="str">
        <f t="shared" si="1"/>
        <v>015-831</v>
      </c>
    </row>
    <row r="70" spans="1:3" ht="14.5">
      <c r="A70" s="41" t="s">
        <v>7938</v>
      </c>
      <c r="B70" s="380" t="str">
        <f t="shared" si="1"/>
        <v>015-833</v>
      </c>
    </row>
    <row r="71" spans="1:3" ht="14.5">
      <c r="A71" s="41" t="s">
        <v>7939</v>
      </c>
      <c r="B71" s="380" t="str">
        <f t="shared" si="1"/>
        <v>015-834</v>
      </c>
    </row>
    <row r="72" spans="1:3" ht="14.5">
      <c r="A72" s="41" t="s">
        <v>7940</v>
      </c>
      <c r="B72" s="380" t="str">
        <f t="shared" si="1"/>
        <v>015-835</v>
      </c>
    </row>
    <row r="73" spans="1:3" ht="14.5">
      <c r="A73" s="41" t="s">
        <v>7941</v>
      </c>
      <c r="B73" s="380" t="str">
        <f t="shared" si="1"/>
        <v>015-836</v>
      </c>
    </row>
    <row r="74" spans="1:3" ht="14.5">
      <c r="A74" s="41" t="s">
        <v>7942</v>
      </c>
      <c r="B74" s="380" t="str">
        <f t="shared" si="1"/>
        <v>015-838</v>
      </c>
    </row>
    <row r="75" spans="1:3" ht="14.5">
      <c r="A75" s="41" t="s">
        <v>7943</v>
      </c>
      <c r="B75" s="380" t="str">
        <f t="shared" si="1"/>
        <v>015-839</v>
      </c>
    </row>
    <row r="76" spans="1:3" ht="14.5">
      <c r="A76" s="41" t="s">
        <v>8776</v>
      </c>
      <c r="B76" s="380" t="str">
        <f t="shared" si="1"/>
        <v>015-840</v>
      </c>
    </row>
    <row r="77" spans="1:3" ht="14.5">
      <c r="A77" s="41" t="s">
        <v>8777</v>
      </c>
      <c r="B77" s="380" t="str">
        <f t="shared" si="1"/>
        <v>015-841</v>
      </c>
    </row>
    <row r="78" spans="1:3" ht="14.5">
      <c r="A78" s="41" t="s">
        <v>10383</v>
      </c>
      <c r="B78" s="380" t="str">
        <f t="shared" si="1"/>
        <v>015-842</v>
      </c>
    </row>
    <row r="79" spans="1:3" ht="14.5">
      <c r="A79" s="41" t="s">
        <v>10384</v>
      </c>
      <c r="B79" s="380" t="str">
        <f t="shared" si="1"/>
        <v>015-843</v>
      </c>
    </row>
    <row r="80" spans="1:3" ht="14.5">
      <c r="A80" s="41" t="s">
        <v>4934</v>
      </c>
      <c r="B80" s="380" t="str">
        <f t="shared" si="1"/>
        <v>015-901</v>
      </c>
      <c r="C80" s="2043">
        <v>7948976</v>
      </c>
    </row>
    <row r="81" spans="1:3" ht="14.5">
      <c r="A81" s="41" t="s">
        <v>2876</v>
      </c>
      <c r="B81" s="380" t="str">
        <f t="shared" si="1"/>
        <v>015-904</v>
      </c>
      <c r="C81" s="2043">
        <v>15613167</v>
      </c>
    </row>
    <row r="82" spans="1:3" ht="14.5">
      <c r="A82" s="41" t="s">
        <v>2877</v>
      </c>
      <c r="B82" s="380" t="str">
        <f t="shared" si="1"/>
        <v>015-905</v>
      </c>
      <c r="C82" s="2043">
        <v>5621873</v>
      </c>
    </row>
    <row r="83" spans="1:3" ht="14.5">
      <c r="A83" s="41" t="s">
        <v>7351</v>
      </c>
      <c r="B83" s="380" t="str">
        <f t="shared" si="1"/>
        <v>015-906</v>
      </c>
    </row>
    <row r="84" spans="1:3" ht="14.5">
      <c r="A84" s="41" t="s">
        <v>2878</v>
      </c>
      <c r="B84" s="380" t="str">
        <f t="shared" si="1"/>
        <v>015-907</v>
      </c>
      <c r="C84" s="2043">
        <v>55133134</v>
      </c>
    </row>
    <row r="85" spans="1:3" ht="14.5">
      <c r="A85" s="41" t="s">
        <v>2879</v>
      </c>
      <c r="B85" s="380" t="str">
        <f t="shared" si="1"/>
        <v>015-908</v>
      </c>
      <c r="C85" s="2043">
        <v>12560285</v>
      </c>
    </row>
    <row r="86" spans="1:3" ht="14.5">
      <c r="A86" s="41" t="s">
        <v>2880</v>
      </c>
      <c r="B86" s="380" t="str">
        <f t="shared" si="1"/>
        <v>015-909</v>
      </c>
      <c r="C86" s="2043">
        <v>2541404</v>
      </c>
    </row>
    <row r="87" spans="1:3" ht="14.5">
      <c r="A87" s="41" t="s">
        <v>2881</v>
      </c>
      <c r="B87" s="380" t="str">
        <f t="shared" si="1"/>
        <v>015-910</v>
      </c>
      <c r="C87" s="2043">
        <v>94875305</v>
      </c>
    </row>
    <row r="88" spans="1:3" ht="14.5">
      <c r="A88" s="41" t="s">
        <v>2882</v>
      </c>
      <c r="B88" s="380" t="str">
        <f t="shared" si="1"/>
        <v>015-911</v>
      </c>
      <c r="C88" s="2043">
        <v>4591350</v>
      </c>
    </row>
    <row r="89" spans="1:3" ht="14.5">
      <c r="A89" s="41" t="s">
        <v>2883</v>
      </c>
      <c r="B89" s="380" t="str">
        <f t="shared" si="1"/>
        <v>015-912</v>
      </c>
      <c r="C89" s="2043">
        <v>15387177</v>
      </c>
    </row>
    <row r="90" spans="1:3" ht="14.5">
      <c r="A90" s="41" t="s">
        <v>7352</v>
      </c>
      <c r="B90" s="380" t="str">
        <f t="shared" si="1"/>
        <v>015-913</v>
      </c>
    </row>
    <row r="91" spans="1:3" ht="14.5">
      <c r="A91" s="41" t="s">
        <v>7353</v>
      </c>
      <c r="B91" s="380" t="str">
        <f t="shared" si="1"/>
        <v>015-914</v>
      </c>
    </row>
    <row r="92" spans="1:3" ht="14.5">
      <c r="A92" s="41" t="s">
        <v>2884</v>
      </c>
      <c r="B92" s="380" t="str">
        <f t="shared" si="1"/>
        <v>015-915</v>
      </c>
      <c r="C92" s="2043">
        <v>140002118</v>
      </c>
    </row>
    <row r="93" spans="1:3" ht="14.5">
      <c r="A93" s="41" t="s">
        <v>2885</v>
      </c>
      <c r="B93" s="380" t="str">
        <f t="shared" si="1"/>
        <v>015-916</v>
      </c>
      <c r="C93" s="2043">
        <v>30817873</v>
      </c>
    </row>
    <row r="94" spans="1:3" ht="14.5">
      <c r="A94" s="41" t="s">
        <v>2886</v>
      </c>
      <c r="B94" s="380" t="str">
        <f t="shared" si="1"/>
        <v>015-917</v>
      </c>
      <c r="C94" s="2043">
        <v>3713681</v>
      </c>
    </row>
    <row r="95" spans="1:3" ht="14.5">
      <c r="A95" s="41" t="s">
        <v>8502</v>
      </c>
      <c r="B95" s="380" t="str">
        <f t="shared" si="1"/>
        <v>015-950</v>
      </c>
    </row>
    <row r="96" spans="1:3" ht="14.5">
      <c r="A96" s="41" t="s">
        <v>4935</v>
      </c>
      <c r="B96" s="380" t="str">
        <f t="shared" si="1"/>
        <v>016-901</v>
      </c>
      <c r="C96" s="2043">
        <v>595750</v>
      </c>
    </row>
    <row r="97" spans="1:3" ht="14.5">
      <c r="A97" s="41" t="s">
        <v>2887</v>
      </c>
      <c r="B97" s="380" t="str">
        <f t="shared" si="1"/>
        <v>016-902</v>
      </c>
      <c r="C97" s="2043">
        <v>637446</v>
      </c>
    </row>
    <row r="98" spans="1:3" ht="14.5">
      <c r="A98" s="41" t="s">
        <v>4936</v>
      </c>
      <c r="B98" s="380" t="str">
        <f t="shared" si="1"/>
        <v>017-901</v>
      </c>
      <c r="C98" s="2043">
        <v>1147875</v>
      </c>
    </row>
    <row r="99" spans="1:3" ht="14.5">
      <c r="A99" s="41" t="s">
        <v>2888</v>
      </c>
      <c r="B99" s="380" t="str">
        <f t="shared" si="1"/>
        <v>018-901</v>
      </c>
      <c r="C99" s="2043">
        <v>0</v>
      </c>
    </row>
    <row r="100" spans="1:3" ht="14.5">
      <c r="A100" s="41" t="s">
        <v>2889</v>
      </c>
      <c r="B100" s="380" t="str">
        <f t="shared" si="1"/>
        <v>018-902</v>
      </c>
      <c r="C100" s="2043">
        <v>474012</v>
      </c>
    </row>
    <row r="101" spans="1:3" ht="14.5">
      <c r="A101" s="41" t="s">
        <v>5753</v>
      </c>
      <c r="B101" s="380" t="str">
        <f t="shared" si="1"/>
        <v>018-903</v>
      </c>
    </row>
    <row r="102" spans="1:3" ht="14.5">
      <c r="A102" s="41" t="s">
        <v>2890</v>
      </c>
      <c r="B102" s="380" t="str">
        <f t="shared" si="1"/>
        <v>018-904</v>
      </c>
      <c r="C102" s="2043">
        <v>476587</v>
      </c>
    </row>
    <row r="103" spans="1:3" ht="14.5">
      <c r="A103" s="41" t="s">
        <v>3522</v>
      </c>
      <c r="B103" s="380" t="str">
        <f t="shared" si="1"/>
        <v>018-905</v>
      </c>
    </row>
    <row r="104" spans="1:3" ht="14.5">
      <c r="A104" s="41" t="s">
        <v>4937</v>
      </c>
      <c r="B104" s="380" t="str">
        <f t="shared" si="1"/>
        <v>018-906</v>
      </c>
      <c r="C104" s="2043">
        <v>0</v>
      </c>
    </row>
    <row r="105" spans="1:3" ht="14.5">
      <c r="A105" s="41" t="s">
        <v>4938</v>
      </c>
      <c r="B105" s="380" t="str">
        <f t="shared" si="1"/>
        <v>018-907</v>
      </c>
    </row>
    <row r="106" spans="1:3" ht="14.5">
      <c r="A106" s="41" t="s">
        <v>5754</v>
      </c>
      <c r="B106" s="380" t="str">
        <f t="shared" si="1"/>
        <v>018-908</v>
      </c>
    </row>
    <row r="107" spans="1:3" ht="14.5">
      <c r="A107" s="41" t="s">
        <v>8503</v>
      </c>
      <c r="B107" s="380" t="str">
        <f t="shared" si="1"/>
        <v>019-000</v>
      </c>
    </row>
    <row r="108" spans="1:3" ht="14.5">
      <c r="A108" s="41" t="s">
        <v>3524</v>
      </c>
      <c r="B108" s="380" t="str">
        <f t="shared" si="1"/>
        <v>019-901</v>
      </c>
    </row>
    <row r="109" spans="1:3" ht="14.5">
      <c r="A109" s="41" t="s">
        <v>2891</v>
      </c>
      <c r="B109" s="380" t="str">
        <f t="shared" si="1"/>
        <v>019-902</v>
      </c>
      <c r="C109" s="2043">
        <v>692049</v>
      </c>
    </row>
    <row r="110" spans="1:3" ht="14.5">
      <c r="A110" s="41" t="s">
        <v>2892</v>
      </c>
      <c r="B110" s="380" t="str">
        <f t="shared" si="1"/>
        <v>019-903</v>
      </c>
      <c r="C110" s="2043">
        <v>61725</v>
      </c>
    </row>
    <row r="111" spans="1:3" ht="14.5">
      <c r="A111" s="41" t="s">
        <v>2893</v>
      </c>
      <c r="B111" s="380" t="str">
        <f t="shared" si="1"/>
        <v>019-905</v>
      </c>
      <c r="C111" s="2043">
        <v>1050988</v>
      </c>
    </row>
    <row r="112" spans="1:3" ht="14.5">
      <c r="A112" s="41" t="s">
        <v>4939</v>
      </c>
      <c r="B112" s="380" t="str">
        <f t="shared" si="1"/>
        <v>019-906</v>
      </c>
      <c r="C112" s="2043">
        <v>0</v>
      </c>
    </row>
    <row r="113" spans="1:3" ht="14.5">
      <c r="A113" s="41" t="s">
        <v>4940</v>
      </c>
      <c r="B113" s="380" t="str">
        <f t="shared" si="1"/>
        <v>019-907</v>
      </c>
      <c r="C113" s="2043">
        <v>5279200</v>
      </c>
    </row>
    <row r="114" spans="1:3" ht="14.5">
      <c r="A114" s="41" t="s">
        <v>4941</v>
      </c>
      <c r="B114" s="380" t="str">
        <f t="shared" si="1"/>
        <v>019-908</v>
      </c>
      <c r="C114" s="2043">
        <v>411134</v>
      </c>
    </row>
    <row r="115" spans="1:3" ht="14.5">
      <c r="A115" s="41" t="s">
        <v>2894</v>
      </c>
      <c r="B115" s="380" t="str">
        <f t="shared" si="1"/>
        <v>019-909</v>
      </c>
      <c r="C115" s="2043">
        <v>120575</v>
      </c>
    </row>
    <row r="116" spans="1:3" ht="14.5">
      <c r="A116" s="41" t="s">
        <v>2895</v>
      </c>
      <c r="B116" s="380" t="str">
        <f t="shared" si="1"/>
        <v>019-910</v>
      </c>
      <c r="C116" s="2043">
        <v>73325</v>
      </c>
    </row>
    <row r="117" spans="1:3" ht="14.5">
      <c r="A117" s="41" t="s">
        <v>4942</v>
      </c>
      <c r="B117" s="380" t="str">
        <f t="shared" si="1"/>
        <v>019-911</v>
      </c>
      <c r="C117" s="2043">
        <v>331162</v>
      </c>
    </row>
    <row r="118" spans="1:3" ht="14.5">
      <c r="A118" s="41" t="s">
        <v>4943</v>
      </c>
      <c r="B118" s="380" t="str">
        <f t="shared" si="1"/>
        <v>019-912</v>
      </c>
      <c r="C118" s="2043">
        <v>2619694</v>
      </c>
    </row>
    <row r="119" spans="1:3" ht="14.5">
      <c r="A119" s="41" t="s">
        <v>5755</v>
      </c>
      <c r="B119" s="380" t="str">
        <f t="shared" si="1"/>
        <v>019-913</v>
      </c>
    </row>
    <row r="120" spans="1:3" ht="14.5">
      <c r="A120" s="41" t="s">
        <v>5756</v>
      </c>
      <c r="B120" s="380" t="str">
        <f t="shared" si="1"/>
        <v>019-914</v>
      </c>
    </row>
    <row r="121" spans="1:3" ht="14.5">
      <c r="A121" s="41" t="s">
        <v>2896</v>
      </c>
      <c r="B121" s="380" t="str">
        <f t="shared" si="1"/>
        <v>020-901</v>
      </c>
      <c r="C121" s="2043">
        <v>33562410</v>
      </c>
    </row>
    <row r="122" spans="1:3" ht="14.5">
      <c r="A122" s="41" t="s">
        <v>4944</v>
      </c>
      <c r="B122" s="380" t="str">
        <f t="shared" si="1"/>
        <v>020-902</v>
      </c>
      <c r="C122" s="2043">
        <v>9728853</v>
      </c>
    </row>
    <row r="123" spans="1:3" ht="14.5">
      <c r="A123" s="41" t="s">
        <v>2897</v>
      </c>
      <c r="B123" s="380" t="str">
        <f t="shared" si="1"/>
        <v>020-904</v>
      </c>
      <c r="C123" s="2043">
        <v>224075</v>
      </c>
    </row>
    <row r="124" spans="1:3" ht="14.5">
      <c r="A124" s="41" t="s">
        <v>4945</v>
      </c>
      <c r="B124" s="380" t="str">
        <f t="shared" si="1"/>
        <v>020-905</v>
      </c>
      <c r="C124" s="2043">
        <v>12515431</v>
      </c>
    </row>
    <row r="125" spans="1:3" ht="14.5">
      <c r="A125" s="41" t="s">
        <v>4946</v>
      </c>
      <c r="B125" s="380" t="str">
        <f t="shared" si="1"/>
        <v>020-906</v>
      </c>
      <c r="C125" s="2043">
        <v>2069320</v>
      </c>
    </row>
    <row r="126" spans="1:3" ht="14.5">
      <c r="A126" s="41" t="s">
        <v>2898</v>
      </c>
      <c r="B126" s="380" t="str">
        <f t="shared" si="1"/>
        <v>020-907</v>
      </c>
      <c r="C126" s="2043">
        <v>2745610</v>
      </c>
    </row>
    <row r="127" spans="1:3" ht="14.5">
      <c r="A127" s="41" t="s">
        <v>2899</v>
      </c>
      <c r="B127" s="380" t="str">
        <f t="shared" si="1"/>
        <v>020-908</v>
      </c>
      <c r="C127" s="2043">
        <v>25711973</v>
      </c>
    </row>
    <row r="128" spans="1:3" ht="14.5">
      <c r="A128" s="41" t="s">
        <v>2900</v>
      </c>
      <c r="B128" s="380" t="str">
        <f t="shared" si="1"/>
        <v>020-910</v>
      </c>
    </row>
    <row r="129" spans="1:3" ht="14.5">
      <c r="A129" s="41" t="s">
        <v>7944</v>
      </c>
      <c r="B129" s="380" t="str">
        <f t="shared" si="1"/>
        <v>021-803</v>
      </c>
    </row>
    <row r="130" spans="1:3" ht="14.5">
      <c r="A130" s="41" t="s">
        <v>7945</v>
      </c>
      <c r="B130" s="380" t="str">
        <f t="shared" si="1"/>
        <v>021-805</v>
      </c>
    </row>
    <row r="131" spans="1:3" ht="14.5">
      <c r="A131" s="41" t="s">
        <v>2901</v>
      </c>
      <c r="B131" s="380" t="str">
        <f t="shared" si="1"/>
        <v>021-901</v>
      </c>
      <c r="C131" s="2043">
        <v>19174550</v>
      </c>
    </row>
    <row r="132" spans="1:3" ht="14.5">
      <c r="A132" s="41" t="s">
        <v>2902</v>
      </c>
      <c r="B132" s="380" t="str">
        <f t="shared" ref="B132:B195" si="2">CONCATENATE(LEFT(RIGHT(CONCATENATE("000",A132),6),3),"-",(RIGHT(RIGHT(CONCATENATE("000",A132),6),3)))</f>
        <v>021-902</v>
      </c>
      <c r="C132" s="2043">
        <v>10982943</v>
      </c>
    </row>
    <row r="133" spans="1:3" ht="14.5">
      <c r="A133" s="41" t="s">
        <v>5757</v>
      </c>
      <c r="B133" s="380" t="str">
        <f t="shared" si="2"/>
        <v>022-004</v>
      </c>
    </row>
    <row r="134" spans="1:3" ht="14.5">
      <c r="A134" s="41" t="s">
        <v>4947</v>
      </c>
      <c r="B134" s="380" t="str">
        <f t="shared" si="2"/>
        <v>022-901</v>
      </c>
      <c r="C134" s="2043">
        <v>0</v>
      </c>
    </row>
    <row r="135" spans="1:3" ht="14.5">
      <c r="A135" s="41" t="s">
        <v>5758</v>
      </c>
      <c r="B135" s="380" t="str">
        <f t="shared" si="2"/>
        <v>022-902</v>
      </c>
    </row>
    <row r="136" spans="1:3" ht="14.5">
      <c r="A136" s="41" t="s">
        <v>5759</v>
      </c>
      <c r="B136" s="380" t="str">
        <f t="shared" si="2"/>
        <v>022-903</v>
      </c>
    </row>
    <row r="137" spans="1:3" ht="14.5">
      <c r="A137" s="41" t="s">
        <v>5760</v>
      </c>
      <c r="B137" s="380" t="str">
        <f t="shared" si="2"/>
        <v>023-902</v>
      </c>
      <c r="C137" s="2043">
        <v>0</v>
      </c>
    </row>
    <row r="138" spans="1:3" ht="14.5">
      <c r="A138" s="41" t="s">
        <v>4948</v>
      </c>
      <c r="B138" s="380" t="str">
        <f t="shared" si="2"/>
        <v>024-901</v>
      </c>
      <c r="C138" s="2043">
        <v>2280114</v>
      </c>
    </row>
    <row r="139" spans="1:3" ht="14.5">
      <c r="A139" s="41" t="s">
        <v>4949</v>
      </c>
      <c r="B139" s="380" t="str">
        <f t="shared" si="2"/>
        <v>025-901</v>
      </c>
      <c r="C139" s="2043">
        <v>553238</v>
      </c>
    </row>
    <row r="140" spans="1:3" ht="14.5">
      <c r="A140" s="41" t="s">
        <v>4950</v>
      </c>
      <c r="B140" s="380" t="str">
        <f t="shared" si="2"/>
        <v>025-902</v>
      </c>
      <c r="C140" s="2043">
        <v>2306475</v>
      </c>
    </row>
    <row r="141" spans="1:3" ht="14.5">
      <c r="A141" s="41" t="s">
        <v>2903</v>
      </c>
      <c r="B141" s="380" t="str">
        <f t="shared" si="2"/>
        <v>025-904</v>
      </c>
      <c r="C141" s="2043">
        <v>71574</v>
      </c>
    </row>
    <row r="142" spans="1:3" ht="14.5">
      <c r="A142" s="41" t="s">
        <v>2904</v>
      </c>
      <c r="B142" s="380" t="str">
        <f t="shared" si="2"/>
        <v>025-905</v>
      </c>
      <c r="C142" s="2043">
        <v>394550</v>
      </c>
    </row>
    <row r="143" spans="1:3" ht="14.5">
      <c r="A143" s="41" t="s">
        <v>2905</v>
      </c>
      <c r="B143" s="380" t="str">
        <f t="shared" si="2"/>
        <v>025-906</v>
      </c>
      <c r="C143" s="2043">
        <v>301552</v>
      </c>
    </row>
    <row r="144" spans="1:3" ht="14.5">
      <c r="A144" s="41" t="s">
        <v>2906</v>
      </c>
      <c r="B144" s="380" t="str">
        <f t="shared" si="2"/>
        <v>025-908</v>
      </c>
      <c r="C144" s="2043">
        <v>91292</v>
      </c>
    </row>
    <row r="145" spans="1:3" ht="14.5">
      <c r="A145" s="41" t="s">
        <v>2907</v>
      </c>
      <c r="B145" s="380" t="str">
        <f t="shared" si="2"/>
        <v>025-909</v>
      </c>
      <c r="C145" s="2043">
        <v>1415950</v>
      </c>
    </row>
    <row r="146" spans="1:3" ht="14.5">
      <c r="A146" s="41" t="s">
        <v>4951</v>
      </c>
      <c r="B146" s="380" t="str">
        <f t="shared" si="2"/>
        <v>026-901</v>
      </c>
      <c r="C146" s="2043">
        <v>0</v>
      </c>
    </row>
    <row r="147" spans="1:3" ht="14.5">
      <c r="A147" s="41" t="s">
        <v>4952</v>
      </c>
      <c r="B147" s="380" t="str">
        <f t="shared" si="2"/>
        <v>026-902</v>
      </c>
      <c r="C147" s="2043">
        <v>193500</v>
      </c>
    </row>
    <row r="148" spans="1:3" ht="14.5">
      <c r="A148" s="41" t="s">
        <v>2908</v>
      </c>
      <c r="B148" s="380" t="str">
        <f t="shared" si="2"/>
        <v>026-903</v>
      </c>
      <c r="C148" s="2043">
        <v>510450</v>
      </c>
    </row>
    <row r="149" spans="1:3" ht="14.5">
      <c r="A149" s="41" t="s">
        <v>2909</v>
      </c>
      <c r="B149" s="380" t="str">
        <f t="shared" si="2"/>
        <v>027-903</v>
      </c>
      <c r="C149" s="2043">
        <v>2467800</v>
      </c>
    </row>
    <row r="150" spans="1:3" ht="14.5">
      <c r="A150" s="41" t="s">
        <v>3582</v>
      </c>
      <c r="B150" s="380" t="str">
        <f t="shared" si="2"/>
        <v>027-904</v>
      </c>
      <c r="C150" s="2043">
        <v>6687085</v>
      </c>
    </row>
    <row r="151" spans="1:3" ht="14.5">
      <c r="A151" s="41" t="s">
        <v>2910</v>
      </c>
      <c r="B151" s="380" t="str">
        <f t="shared" si="2"/>
        <v>028-902</v>
      </c>
      <c r="C151" s="2043">
        <v>4490295</v>
      </c>
    </row>
    <row r="152" spans="1:3" ht="14.5">
      <c r="A152" s="41" t="s">
        <v>2911</v>
      </c>
      <c r="B152" s="380" t="str">
        <f t="shared" si="2"/>
        <v>028-903</v>
      </c>
      <c r="C152" s="2043">
        <v>334000</v>
      </c>
    </row>
    <row r="153" spans="1:3" ht="14.5">
      <c r="A153" s="41" t="s">
        <v>5761</v>
      </c>
      <c r="B153" s="380" t="str">
        <f t="shared" si="2"/>
        <v>028-906</v>
      </c>
      <c r="C153" s="2043">
        <v>0</v>
      </c>
    </row>
    <row r="154" spans="1:3" ht="14.5">
      <c r="A154" s="41" t="s">
        <v>4953</v>
      </c>
      <c r="B154" s="380" t="str">
        <f t="shared" si="2"/>
        <v>029-901</v>
      </c>
      <c r="C154" s="2043">
        <v>7991875</v>
      </c>
    </row>
    <row r="155" spans="1:3" ht="14.5">
      <c r="A155" s="41" t="s">
        <v>5762</v>
      </c>
      <c r="B155" s="380" t="str">
        <f t="shared" si="2"/>
        <v>030-901</v>
      </c>
    </row>
    <row r="156" spans="1:3" ht="14.5">
      <c r="A156" s="41" t="s">
        <v>2912</v>
      </c>
      <c r="B156" s="380" t="str">
        <f t="shared" si="2"/>
        <v>030-902</v>
      </c>
      <c r="C156" s="2043">
        <v>1179888</v>
      </c>
    </row>
    <row r="157" spans="1:3" ht="14.5">
      <c r="A157" s="41" t="s">
        <v>2913</v>
      </c>
      <c r="B157" s="380" t="str">
        <f t="shared" si="2"/>
        <v>030-903</v>
      </c>
      <c r="C157" s="2043">
        <v>392590</v>
      </c>
    </row>
    <row r="158" spans="1:3" ht="14.5">
      <c r="A158" s="41" t="s">
        <v>4954</v>
      </c>
      <c r="B158" s="380" t="str">
        <f t="shared" si="2"/>
        <v>030-906</v>
      </c>
      <c r="C158" s="2043">
        <v>482811</v>
      </c>
    </row>
    <row r="159" spans="1:3" ht="14.5">
      <c r="A159" s="41" t="s">
        <v>7946</v>
      </c>
      <c r="B159" s="380" t="str">
        <f t="shared" si="2"/>
        <v>031-505</v>
      </c>
    </row>
    <row r="160" spans="1:3" ht="14.5">
      <c r="A160" s="41" t="s">
        <v>2914</v>
      </c>
      <c r="B160" s="380" t="str">
        <f t="shared" si="2"/>
        <v>031-901</v>
      </c>
      <c r="C160" s="2043">
        <v>15350875</v>
      </c>
    </row>
    <row r="161" spans="1:3" ht="14.5">
      <c r="A161" s="41" t="s">
        <v>2915</v>
      </c>
      <c r="B161" s="380" t="str">
        <f t="shared" si="2"/>
        <v>031-903</v>
      </c>
      <c r="C161" s="2043">
        <v>9948474</v>
      </c>
    </row>
    <row r="162" spans="1:3" ht="14.5">
      <c r="A162" s="41" t="s">
        <v>2916</v>
      </c>
      <c r="B162" s="380" t="str">
        <f t="shared" si="2"/>
        <v>031-905</v>
      </c>
      <c r="C162" s="2043">
        <v>2184233</v>
      </c>
    </row>
    <row r="163" spans="1:3" ht="14.5">
      <c r="A163" s="41" t="s">
        <v>2917</v>
      </c>
      <c r="B163" s="380" t="str">
        <f t="shared" si="2"/>
        <v>031-906</v>
      </c>
      <c r="C163" s="2043">
        <v>877639</v>
      </c>
    </row>
    <row r="164" spans="1:3" ht="14.5">
      <c r="A164" s="41" t="s">
        <v>4955</v>
      </c>
      <c r="B164" s="380" t="str">
        <f t="shared" si="2"/>
        <v>031-909</v>
      </c>
      <c r="C164" s="2043">
        <v>1663750</v>
      </c>
    </row>
    <row r="165" spans="1:3" ht="14.5">
      <c r="A165" s="41" t="s">
        <v>2918</v>
      </c>
      <c r="B165" s="380" t="str">
        <f t="shared" si="2"/>
        <v>031-911</v>
      </c>
      <c r="C165" s="2043">
        <v>1524545</v>
      </c>
    </row>
    <row r="166" spans="1:3" ht="14.5">
      <c r="A166" s="41" t="s">
        <v>2919</v>
      </c>
      <c r="B166" s="380" t="str">
        <f t="shared" si="2"/>
        <v>031-912</v>
      </c>
      <c r="C166" s="2043">
        <v>5903059</v>
      </c>
    </row>
    <row r="167" spans="1:3" ht="14.5">
      <c r="A167" s="41" t="s">
        <v>2920</v>
      </c>
      <c r="B167" s="380" t="str">
        <f t="shared" si="2"/>
        <v>031-913</v>
      </c>
      <c r="C167" s="2043">
        <v>279490</v>
      </c>
    </row>
    <row r="168" spans="1:3" ht="14.5">
      <c r="A168" s="41" t="s">
        <v>2921</v>
      </c>
      <c r="B168" s="380" t="str">
        <f t="shared" si="2"/>
        <v>031-914</v>
      </c>
      <c r="C168" s="2043">
        <v>1045200</v>
      </c>
    </row>
    <row r="169" spans="1:3" ht="14.5">
      <c r="A169" s="41" t="s">
        <v>7354</v>
      </c>
      <c r="B169" s="380" t="str">
        <f t="shared" si="2"/>
        <v>031-916</v>
      </c>
      <c r="C169" s="2043">
        <v>0</v>
      </c>
    </row>
    <row r="170" spans="1:3" ht="14.5">
      <c r="A170" s="41" t="s">
        <v>4956</v>
      </c>
      <c r="B170" s="380" t="str">
        <f t="shared" si="2"/>
        <v>032-902</v>
      </c>
      <c r="C170" s="2043">
        <v>911425</v>
      </c>
    </row>
    <row r="171" spans="1:3" ht="14.5">
      <c r="A171" s="41" t="s">
        <v>4957</v>
      </c>
      <c r="B171" s="380" t="str">
        <f t="shared" si="2"/>
        <v>033-901</v>
      </c>
      <c r="C171" s="2043">
        <v>0</v>
      </c>
    </row>
    <row r="172" spans="1:3" ht="14.5">
      <c r="A172" s="41" t="s">
        <v>4958</v>
      </c>
      <c r="B172" s="380" t="str">
        <f t="shared" si="2"/>
        <v>033-902</v>
      </c>
      <c r="C172" s="2043">
        <v>0</v>
      </c>
    </row>
    <row r="173" spans="1:3" ht="14.5">
      <c r="A173" s="41" t="s">
        <v>4959</v>
      </c>
      <c r="B173" s="380" t="str">
        <f t="shared" si="2"/>
        <v>033-904</v>
      </c>
      <c r="C173" s="2043">
        <v>408992</v>
      </c>
    </row>
    <row r="174" spans="1:3" ht="14.5">
      <c r="A174" s="41" t="s">
        <v>4960</v>
      </c>
      <c r="B174" s="380" t="str">
        <f t="shared" si="2"/>
        <v>034-901</v>
      </c>
      <c r="C174" s="2043">
        <v>562380</v>
      </c>
    </row>
    <row r="175" spans="1:3" ht="14.5">
      <c r="A175" s="41" t="s">
        <v>5763</v>
      </c>
      <c r="B175" s="380" t="str">
        <f t="shared" si="2"/>
        <v>034-902</v>
      </c>
    </row>
    <row r="176" spans="1:3" ht="14.5">
      <c r="A176" s="41" t="s">
        <v>4961</v>
      </c>
      <c r="B176" s="380" t="str">
        <f t="shared" si="2"/>
        <v>034-903</v>
      </c>
      <c r="C176" s="2043">
        <v>204725</v>
      </c>
    </row>
    <row r="177" spans="1:3" ht="14.5">
      <c r="A177" s="41" t="s">
        <v>5764</v>
      </c>
      <c r="B177" s="380" t="str">
        <f t="shared" si="2"/>
        <v>034-905</v>
      </c>
    </row>
    <row r="178" spans="1:3" ht="14.5">
      <c r="A178" s="41" t="s">
        <v>3647</v>
      </c>
      <c r="B178" s="380" t="str">
        <f t="shared" si="2"/>
        <v>034-906</v>
      </c>
    </row>
    <row r="179" spans="1:3" ht="14.5">
      <c r="A179" s="41" t="s">
        <v>4962</v>
      </c>
      <c r="B179" s="380" t="str">
        <f t="shared" si="2"/>
        <v>034-907</v>
      </c>
      <c r="C179" s="2043">
        <v>287400</v>
      </c>
    </row>
    <row r="180" spans="1:3" ht="14.5">
      <c r="A180" s="41" t="s">
        <v>4963</v>
      </c>
      <c r="B180" s="380" t="str">
        <f t="shared" si="2"/>
        <v>034-909</v>
      </c>
      <c r="C180" s="2043">
        <v>91256</v>
      </c>
    </row>
    <row r="181" spans="1:3" ht="14.5">
      <c r="A181" s="41" t="s">
        <v>4964</v>
      </c>
      <c r="B181" s="380" t="str">
        <f t="shared" si="2"/>
        <v>035-901</v>
      </c>
      <c r="C181" s="2043">
        <v>989609</v>
      </c>
    </row>
    <row r="182" spans="1:3" ht="14.5">
      <c r="A182" s="41" t="s">
        <v>5765</v>
      </c>
      <c r="B182" s="380" t="str">
        <f t="shared" si="2"/>
        <v>035-902</v>
      </c>
      <c r="C182" s="2043">
        <v>0</v>
      </c>
    </row>
    <row r="183" spans="1:3" ht="14.5">
      <c r="A183" s="41" t="s">
        <v>2922</v>
      </c>
      <c r="B183" s="380" t="str">
        <f t="shared" si="2"/>
        <v>035-903</v>
      </c>
      <c r="C183" s="2043">
        <v>61690</v>
      </c>
    </row>
    <row r="184" spans="1:3" ht="14.5">
      <c r="A184" s="41" t="s">
        <v>2923</v>
      </c>
      <c r="B184" s="380" t="str">
        <f t="shared" si="2"/>
        <v>036-901</v>
      </c>
      <c r="C184" s="2043">
        <v>920225</v>
      </c>
    </row>
    <row r="185" spans="1:3" ht="14.5">
      <c r="A185" s="41" t="s">
        <v>4965</v>
      </c>
      <c r="B185" s="380" t="str">
        <f t="shared" si="2"/>
        <v>036-902</v>
      </c>
      <c r="C185" s="2043">
        <v>17942298</v>
      </c>
    </row>
    <row r="186" spans="1:3" ht="14.5">
      <c r="A186" s="41" t="s">
        <v>2924</v>
      </c>
      <c r="B186" s="380" t="str">
        <f t="shared" si="2"/>
        <v>036-903</v>
      </c>
      <c r="C186" s="2043">
        <v>676650</v>
      </c>
    </row>
    <row r="187" spans="1:3" ht="14.5">
      <c r="A187" s="41" t="s">
        <v>4966</v>
      </c>
      <c r="B187" s="380" t="str">
        <f t="shared" si="2"/>
        <v>037-901</v>
      </c>
      <c r="C187" s="2043">
        <v>617300</v>
      </c>
    </row>
    <row r="188" spans="1:3" ht="14.5">
      <c r="A188" s="41" t="s">
        <v>2925</v>
      </c>
      <c r="B188" s="380" t="str">
        <f t="shared" si="2"/>
        <v>037-904</v>
      </c>
      <c r="C188" s="2043">
        <v>5167610</v>
      </c>
    </row>
    <row r="189" spans="1:3" ht="14.5">
      <c r="A189" s="41" t="s">
        <v>2926</v>
      </c>
      <c r="B189" s="380" t="str">
        <f t="shared" si="2"/>
        <v>037-907</v>
      </c>
      <c r="C189" s="2043">
        <v>0</v>
      </c>
    </row>
    <row r="190" spans="1:3" ht="14.5">
      <c r="A190" s="41" t="s">
        <v>3657</v>
      </c>
      <c r="B190" s="380" t="str">
        <f t="shared" si="2"/>
        <v>037-908</v>
      </c>
      <c r="C190" s="2043">
        <v>494542</v>
      </c>
    </row>
    <row r="191" spans="1:3" ht="14.5">
      <c r="A191" s="41" t="s">
        <v>4967</v>
      </c>
      <c r="B191" s="380" t="str">
        <f t="shared" si="2"/>
        <v>037-909</v>
      </c>
      <c r="C191" s="2043">
        <v>205150</v>
      </c>
    </row>
    <row r="192" spans="1:3" ht="14.5">
      <c r="A192" s="41" t="s">
        <v>2927</v>
      </c>
      <c r="B192" s="380" t="str">
        <f t="shared" si="2"/>
        <v>038-901</v>
      </c>
    </row>
    <row r="193" spans="1:3" ht="14.5">
      <c r="A193" s="41" t="s">
        <v>4968</v>
      </c>
      <c r="B193" s="380" t="str">
        <f t="shared" si="2"/>
        <v>039-902</v>
      </c>
      <c r="C193" s="2043">
        <v>824750</v>
      </c>
    </row>
    <row r="194" spans="1:3" ht="14.5">
      <c r="A194" s="41" t="s">
        <v>2928</v>
      </c>
      <c r="B194" s="380" t="str">
        <f t="shared" si="2"/>
        <v>039-903</v>
      </c>
      <c r="C194" s="2043">
        <v>293975</v>
      </c>
    </row>
    <row r="195" spans="1:3" ht="14.5">
      <c r="A195" s="41" t="s">
        <v>5766</v>
      </c>
      <c r="B195" s="380" t="str">
        <f t="shared" si="2"/>
        <v>039-904</v>
      </c>
      <c r="C195" s="2043">
        <v>0</v>
      </c>
    </row>
    <row r="196" spans="1:3" ht="14.5">
      <c r="A196" s="41" t="s">
        <v>5767</v>
      </c>
      <c r="B196" s="380" t="str">
        <f t="shared" ref="B196:B259" si="3">CONCATENATE(LEFT(RIGHT(CONCATENATE("000",A196),6),3),"-",(RIGHT(RIGHT(CONCATENATE("000",A196),6),3)))</f>
        <v>039-905</v>
      </c>
      <c r="C196" s="2043">
        <v>0</v>
      </c>
    </row>
    <row r="197" spans="1:3" ht="14.5">
      <c r="A197" s="41" t="s">
        <v>5768</v>
      </c>
      <c r="B197" s="380" t="str">
        <f t="shared" si="3"/>
        <v>040-901</v>
      </c>
    </row>
    <row r="198" spans="1:3" ht="14.5">
      <c r="A198" s="41" t="s">
        <v>4969</v>
      </c>
      <c r="B198" s="380" t="str">
        <f t="shared" si="3"/>
        <v>040-902</v>
      </c>
      <c r="C198" s="2043">
        <v>1008731</v>
      </c>
    </row>
    <row r="199" spans="1:3" ht="14.5">
      <c r="A199" s="41" t="s">
        <v>5769</v>
      </c>
      <c r="B199" s="380" t="str">
        <f t="shared" si="3"/>
        <v>041-901</v>
      </c>
    </row>
    <row r="200" spans="1:3" ht="14.5">
      <c r="A200" s="41" t="s">
        <v>4970</v>
      </c>
      <c r="B200" s="380" t="str">
        <f t="shared" si="3"/>
        <v>041-902</v>
      </c>
      <c r="C200" s="2043">
        <v>596356</v>
      </c>
    </row>
    <row r="201" spans="1:3" ht="14.5">
      <c r="A201" s="41" t="s">
        <v>3664</v>
      </c>
      <c r="B201" s="380" t="str">
        <f t="shared" si="3"/>
        <v>042-901</v>
      </c>
    </row>
    <row r="202" spans="1:3" ht="14.5">
      <c r="A202" s="41" t="s">
        <v>2929</v>
      </c>
      <c r="B202" s="380" t="str">
        <f t="shared" si="3"/>
        <v>042-903</v>
      </c>
      <c r="C202" s="2043">
        <v>93875</v>
      </c>
    </row>
    <row r="203" spans="1:3" ht="14.5">
      <c r="A203" s="41" t="s">
        <v>4971</v>
      </c>
      <c r="B203" s="380" t="str">
        <f t="shared" si="3"/>
        <v>042-905</v>
      </c>
      <c r="C203" s="2043">
        <v>72600</v>
      </c>
    </row>
    <row r="204" spans="1:3" ht="14.5">
      <c r="A204" s="41" t="s">
        <v>7948</v>
      </c>
      <c r="B204" s="380" t="str">
        <f t="shared" si="3"/>
        <v>043-801</v>
      </c>
    </row>
    <row r="205" spans="1:3" ht="14.5">
      <c r="A205" s="41" t="s">
        <v>7949</v>
      </c>
      <c r="B205" s="380" t="str">
        <f t="shared" si="3"/>
        <v>043-802</v>
      </c>
    </row>
    <row r="206" spans="1:3" ht="14.5">
      <c r="A206" s="41" t="s">
        <v>2930</v>
      </c>
      <c r="B206" s="380" t="str">
        <f t="shared" si="3"/>
        <v>043-901</v>
      </c>
      <c r="C206" s="2043">
        <v>37474938</v>
      </c>
    </row>
    <row r="207" spans="1:3" ht="14.5">
      <c r="A207" s="41" t="s">
        <v>2931</v>
      </c>
      <c r="B207" s="380" t="str">
        <f t="shared" si="3"/>
        <v>043-902</v>
      </c>
      <c r="C207" s="2043">
        <v>5818132</v>
      </c>
    </row>
    <row r="208" spans="1:3" ht="14.5">
      <c r="A208" s="41" t="s">
        <v>2932</v>
      </c>
      <c r="B208" s="380" t="str">
        <f t="shared" si="3"/>
        <v>043-903</v>
      </c>
      <c r="C208" s="2043">
        <v>3974095</v>
      </c>
    </row>
    <row r="209" spans="1:3" ht="14.5">
      <c r="A209" s="41" t="s">
        <v>2933</v>
      </c>
      <c r="B209" s="380" t="str">
        <f t="shared" si="3"/>
        <v>043-904</v>
      </c>
      <c r="C209" s="2043">
        <v>895568</v>
      </c>
    </row>
    <row r="210" spans="1:3" ht="14.5">
      <c r="A210" s="41" t="s">
        <v>2934</v>
      </c>
      <c r="B210" s="380" t="str">
        <f t="shared" si="3"/>
        <v>043-905</v>
      </c>
      <c r="C210" s="2043">
        <v>112003950</v>
      </c>
    </row>
    <row r="211" spans="1:3" ht="14.5">
      <c r="A211" s="41" t="s">
        <v>2935</v>
      </c>
      <c r="B211" s="380" t="str">
        <f t="shared" si="3"/>
        <v>043-907</v>
      </c>
      <c r="C211" s="2043">
        <v>39750582</v>
      </c>
    </row>
    <row r="212" spans="1:3" ht="14.5">
      <c r="A212" s="41" t="s">
        <v>2936</v>
      </c>
      <c r="B212" s="380" t="str">
        <f t="shared" si="3"/>
        <v>043-908</v>
      </c>
      <c r="C212" s="2043">
        <v>3359629</v>
      </c>
    </row>
    <row r="213" spans="1:3" ht="14.5">
      <c r="A213" s="41" t="s">
        <v>4972</v>
      </c>
      <c r="B213" s="380" t="str">
        <f t="shared" si="3"/>
        <v>043-910</v>
      </c>
      <c r="C213" s="2043">
        <v>60820905</v>
      </c>
    </row>
    <row r="214" spans="1:3" ht="14.5">
      <c r="A214" s="41" t="s">
        <v>2937</v>
      </c>
      <c r="B214" s="380" t="str">
        <f t="shared" si="3"/>
        <v>043-911</v>
      </c>
      <c r="C214" s="2043">
        <v>6855129</v>
      </c>
    </row>
    <row r="215" spans="1:3" ht="14.5">
      <c r="A215" s="41" t="s">
        <v>2938</v>
      </c>
      <c r="B215" s="380" t="str">
        <f t="shared" si="3"/>
        <v>043-912</v>
      </c>
      <c r="C215" s="2043">
        <v>18070038</v>
      </c>
    </row>
    <row r="216" spans="1:3" ht="14.5">
      <c r="A216" s="41" t="s">
        <v>2939</v>
      </c>
      <c r="B216" s="380" t="str">
        <f t="shared" si="3"/>
        <v>043-914</v>
      </c>
      <c r="C216" s="2043">
        <v>23535075</v>
      </c>
    </row>
    <row r="217" spans="1:3" ht="14.5">
      <c r="A217" s="41" t="s">
        <v>2940</v>
      </c>
      <c r="B217" s="380" t="str">
        <f t="shared" si="3"/>
        <v>043-917</v>
      </c>
      <c r="C217" s="2043">
        <v>814536</v>
      </c>
    </row>
    <row r="218" spans="1:3" ht="14.5">
      <c r="A218" s="41" t="s">
        <v>2941</v>
      </c>
      <c r="B218" s="380" t="str">
        <f t="shared" si="3"/>
        <v>043-918</v>
      </c>
      <c r="C218" s="2043">
        <v>2342259</v>
      </c>
    </row>
    <row r="219" spans="1:3" ht="14.5">
      <c r="A219" s="41" t="s">
        <v>4973</v>
      </c>
      <c r="B219" s="380" t="str">
        <f t="shared" si="3"/>
        <v>043-919</v>
      </c>
      <c r="C219" s="2043">
        <v>10118368</v>
      </c>
    </row>
    <row r="220" spans="1:3" ht="14.5">
      <c r="A220" s="41" t="s">
        <v>5770</v>
      </c>
      <c r="B220" s="380" t="str">
        <f t="shared" si="3"/>
        <v>044-902</v>
      </c>
    </row>
    <row r="221" spans="1:3" ht="14.5">
      <c r="A221" s="41" t="s">
        <v>2942</v>
      </c>
      <c r="B221" s="380" t="str">
        <f t="shared" si="3"/>
        <v>045-902</v>
      </c>
      <c r="C221" s="2043">
        <v>1243964</v>
      </c>
    </row>
    <row r="222" spans="1:3" ht="14.5">
      <c r="A222" s="41" t="s">
        <v>4974</v>
      </c>
      <c r="B222" s="380" t="str">
        <f t="shared" si="3"/>
        <v>045-903</v>
      </c>
      <c r="C222" s="2043">
        <v>871915</v>
      </c>
    </row>
    <row r="223" spans="1:3" ht="14.5">
      <c r="A223" s="41" t="s">
        <v>4975</v>
      </c>
      <c r="B223" s="380" t="str">
        <f t="shared" si="3"/>
        <v>045-905</v>
      </c>
      <c r="C223" s="2043">
        <v>565559</v>
      </c>
    </row>
    <row r="224" spans="1:3" ht="14.5">
      <c r="A224" s="41" t="s">
        <v>7950</v>
      </c>
      <c r="B224" s="380" t="str">
        <f t="shared" si="3"/>
        <v>046-802</v>
      </c>
    </row>
    <row r="225" spans="1:3" ht="14.5">
      <c r="A225" s="41" t="s">
        <v>2943</v>
      </c>
      <c r="B225" s="380" t="str">
        <f t="shared" si="3"/>
        <v>046-901</v>
      </c>
      <c r="C225" s="2043">
        <v>13445112</v>
      </c>
    </row>
    <row r="226" spans="1:3" ht="14.5">
      <c r="A226" s="41" t="s">
        <v>4976</v>
      </c>
      <c r="B226" s="380" t="str">
        <f t="shared" si="3"/>
        <v>046-902</v>
      </c>
      <c r="C226" s="2043">
        <v>41226025</v>
      </c>
    </row>
    <row r="227" spans="1:3" ht="14.5">
      <c r="A227" s="41" t="s">
        <v>2944</v>
      </c>
      <c r="B227" s="380" t="str">
        <f t="shared" si="3"/>
        <v>047-901</v>
      </c>
      <c r="C227" s="2043">
        <v>756013</v>
      </c>
    </row>
    <row r="228" spans="1:3" ht="14.5">
      <c r="A228" s="41" t="s">
        <v>2945</v>
      </c>
      <c r="B228" s="380" t="str">
        <f t="shared" si="3"/>
        <v>047-902</v>
      </c>
      <c r="C228" s="2043">
        <v>423598</v>
      </c>
    </row>
    <row r="229" spans="1:3" ht="14.5">
      <c r="A229" s="41" t="s">
        <v>2946</v>
      </c>
      <c r="B229" s="380" t="str">
        <f t="shared" si="3"/>
        <v>047-903</v>
      </c>
      <c r="C229" s="2043">
        <v>82438</v>
      </c>
    </row>
    <row r="230" spans="1:3" ht="14.5">
      <c r="A230" s="41" t="s">
        <v>2947</v>
      </c>
      <c r="B230" s="380" t="str">
        <f t="shared" si="3"/>
        <v>047-905</v>
      </c>
      <c r="C230" s="2043">
        <v>93900</v>
      </c>
    </row>
    <row r="231" spans="1:3" ht="14.5">
      <c r="A231" s="41" t="s">
        <v>5771</v>
      </c>
      <c r="B231" s="380" t="str">
        <f t="shared" si="3"/>
        <v>048-901</v>
      </c>
      <c r="C231" s="2043">
        <v>0</v>
      </c>
    </row>
    <row r="232" spans="1:3" ht="14.5">
      <c r="A232" s="41" t="s">
        <v>4977</v>
      </c>
      <c r="B232" s="380" t="str">
        <f t="shared" si="3"/>
        <v>048-903</v>
      </c>
      <c r="C232" s="2043">
        <v>162200</v>
      </c>
    </row>
    <row r="233" spans="1:3" ht="14.5">
      <c r="A233" s="41" t="s">
        <v>2948</v>
      </c>
      <c r="B233" s="380" t="str">
        <f t="shared" si="3"/>
        <v>049-901</v>
      </c>
      <c r="C233" s="2043">
        <v>2283163</v>
      </c>
    </row>
    <row r="234" spans="1:3" ht="14.5">
      <c r="A234" s="41" t="s">
        <v>4978</v>
      </c>
      <c r="B234" s="380" t="str">
        <f t="shared" si="3"/>
        <v>049-902</v>
      </c>
      <c r="C234" s="2043">
        <v>1252319</v>
      </c>
    </row>
    <row r="235" spans="1:3" ht="14.5">
      <c r="A235" s="41" t="s">
        <v>2949</v>
      </c>
      <c r="B235" s="380" t="str">
        <f t="shared" si="3"/>
        <v>049-903</v>
      </c>
      <c r="C235" s="2043">
        <v>862682</v>
      </c>
    </row>
    <row r="236" spans="1:3" ht="14.5">
      <c r="A236" s="41" t="s">
        <v>4979</v>
      </c>
      <c r="B236" s="380" t="str">
        <f t="shared" si="3"/>
        <v>049-905</v>
      </c>
      <c r="C236" s="2043">
        <v>1265566</v>
      </c>
    </row>
    <row r="237" spans="1:3" ht="14.5">
      <c r="A237" s="41" t="s">
        <v>2950</v>
      </c>
      <c r="B237" s="380" t="str">
        <f t="shared" si="3"/>
        <v>049-906</v>
      </c>
      <c r="C237" s="2043">
        <v>211750</v>
      </c>
    </row>
    <row r="238" spans="1:3" ht="14.5">
      <c r="A238" s="41" t="s">
        <v>4980</v>
      </c>
      <c r="B238" s="380" t="str">
        <f t="shared" si="3"/>
        <v>049-907</v>
      </c>
      <c r="C238" s="2043">
        <v>0</v>
      </c>
    </row>
    <row r="239" spans="1:3" ht="14.5">
      <c r="A239" s="41" t="s">
        <v>5772</v>
      </c>
      <c r="B239" s="380" t="str">
        <f t="shared" si="3"/>
        <v>049-908</v>
      </c>
    </row>
    <row r="240" spans="1:3" ht="14.5">
      <c r="A240" s="41" t="s">
        <v>5773</v>
      </c>
      <c r="B240" s="380" t="str">
        <f t="shared" si="3"/>
        <v>049-909</v>
      </c>
    </row>
    <row r="241" spans="1:3" ht="14.5">
      <c r="A241" s="41" t="s">
        <v>5774</v>
      </c>
      <c r="B241" s="380" t="str">
        <f t="shared" si="3"/>
        <v>050-901</v>
      </c>
    </row>
    <row r="242" spans="1:3" ht="14.5">
      <c r="A242" s="41" t="s">
        <v>4981</v>
      </c>
      <c r="B242" s="380" t="str">
        <f t="shared" si="3"/>
        <v>050-902</v>
      </c>
      <c r="C242" s="2043">
        <v>1287218</v>
      </c>
    </row>
    <row r="243" spans="1:3" ht="14.5">
      <c r="A243" s="41" t="s">
        <v>2951</v>
      </c>
      <c r="B243" s="380" t="str">
        <f t="shared" si="3"/>
        <v>050-904</v>
      </c>
    </row>
    <row r="244" spans="1:3" ht="14.5">
      <c r="A244" s="41" t="s">
        <v>4982</v>
      </c>
      <c r="B244" s="380" t="str">
        <f t="shared" si="3"/>
        <v>050-909</v>
      </c>
      <c r="C244" s="2043">
        <v>50000</v>
      </c>
    </row>
    <row r="245" spans="1:3" ht="14.5">
      <c r="A245" s="41" t="s">
        <v>2952</v>
      </c>
      <c r="B245" s="380" t="str">
        <f t="shared" si="3"/>
        <v>050-910</v>
      </c>
      <c r="C245" s="2043">
        <v>1856850</v>
      </c>
    </row>
    <row r="246" spans="1:3" ht="14.5">
      <c r="A246" s="41" t="s">
        <v>5775</v>
      </c>
      <c r="B246" s="380" t="str">
        <f t="shared" si="3"/>
        <v>051-901</v>
      </c>
    </row>
    <row r="247" spans="1:3" ht="14.5">
      <c r="A247" s="41" t="s">
        <v>4983</v>
      </c>
      <c r="B247" s="380" t="str">
        <f t="shared" si="3"/>
        <v>052-901</v>
      </c>
      <c r="C247" s="2043">
        <v>0</v>
      </c>
    </row>
    <row r="248" spans="1:3" ht="14.5">
      <c r="A248" s="41" t="s">
        <v>5776</v>
      </c>
      <c r="B248" s="380" t="str">
        <f t="shared" si="3"/>
        <v>053-001</v>
      </c>
      <c r="C248" s="2043">
        <v>0</v>
      </c>
    </row>
    <row r="249" spans="1:3" ht="14.5">
      <c r="A249" s="41" t="s">
        <v>5777</v>
      </c>
      <c r="B249" s="380" t="str">
        <f t="shared" si="3"/>
        <v>054-901</v>
      </c>
      <c r="C249" s="2043">
        <v>0</v>
      </c>
    </row>
    <row r="250" spans="1:3" ht="14.5">
      <c r="A250" s="41" t="s">
        <v>5778</v>
      </c>
      <c r="B250" s="380" t="str">
        <f t="shared" si="3"/>
        <v>054-902</v>
      </c>
    </row>
    <row r="251" spans="1:3" ht="14.5">
      <c r="A251" s="41" t="s">
        <v>5779</v>
      </c>
      <c r="B251" s="380" t="str">
        <f t="shared" si="3"/>
        <v>054-903</v>
      </c>
    </row>
    <row r="252" spans="1:3" ht="14.5">
      <c r="A252" s="41" t="s">
        <v>4984</v>
      </c>
      <c r="B252" s="380" t="str">
        <f t="shared" si="3"/>
        <v>055-901</v>
      </c>
      <c r="C252" s="2043">
        <v>0</v>
      </c>
    </row>
    <row r="253" spans="1:3" ht="14.5">
      <c r="A253" s="41" t="s">
        <v>4985</v>
      </c>
      <c r="B253" s="380" t="str">
        <f t="shared" si="3"/>
        <v>056-901</v>
      </c>
      <c r="C253" s="2043">
        <v>955997</v>
      </c>
    </row>
    <row r="254" spans="1:3" ht="14.5">
      <c r="A254" s="41" t="s">
        <v>5780</v>
      </c>
      <c r="B254" s="380" t="str">
        <f t="shared" si="3"/>
        <v>056-902</v>
      </c>
      <c r="C254" s="2043">
        <v>0</v>
      </c>
    </row>
    <row r="255" spans="1:3" ht="14.5">
      <c r="A255" s="41" t="s">
        <v>7951</v>
      </c>
      <c r="B255" s="380" t="str">
        <f t="shared" si="3"/>
        <v>057-802</v>
      </c>
    </row>
    <row r="256" spans="1:3" ht="14.5">
      <c r="A256" s="41" t="s">
        <v>7952</v>
      </c>
      <c r="B256" s="380" t="str">
        <f t="shared" si="3"/>
        <v>057-803</v>
      </c>
    </row>
    <row r="257" spans="1:2" ht="14.5">
      <c r="A257" s="41" t="s">
        <v>7953</v>
      </c>
      <c r="B257" s="380" t="str">
        <f t="shared" si="3"/>
        <v>057-804</v>
      </c>
    </row>
    <row r="258" spans="1:2" ht="14.5">
      <c r="A258" s="41" t="s">
        <v>7954</v>
      </c>
      <c r="B258" s="380" t="str">
        <f t="shared" si="3"/>
        <v>057-805</v>
      </c>
    </row>
    <row r="259" spans="1:2" ht="14.5">
      <c r="A259" s="41" t="s">
        <v>7955</v>
      </c>
      <c r="B259" s="380" t="str">
        <f t="shared" si="3"/>
        <v>057-806</v>
      </c>
    </row>
    <row r="260" spans="1:2" ht="14.5">
      <c r="A260" s="41" t="s">
        <v>7956</v>
      </c>
      <c r="B260" s="380" t="str">
        <f t="shared" ref="B260:B323" si="4">CONCATENATE(LEFT(RIGHT(CONCATENATE("000",A260),6),3),"-",(RIGHT(RIGHT(CONCATENATE("000",A260),6),3)))</f>
        <v>057-807</v>
      </c>
    </row>
    <row r="261" spans="1:2" ht="14.5">
      <c r="A261" s="41" t="s">
        <v>7957</v>
      </c>
      <c r="B261" s="380" t="str">
        <f t="shared" si="4"/>
        <v>057-808</v>
      </c>
    </row>
    <row r="262" spans="1:2" ht="14.5">
      <c r="A262" s="41" t="s">
        <v>7958</v>
      </c>
      <c r="B262" s="380" t="str">
        <f t="shared" si="4"/>
        <v>057-809</v>
      </c>
    </row>
    <row r="263" spans="1:2" ht="14.5">
      <c r="A263" s="41" t="s">
        <v>7959</v>
      </c>
      <c r="B263" s="380" t="str">
        <f t="shared" si="4"/>
        <v>057-810</v>
      </c>
    </row>
    <row r="264" spans="1:2" ht="14.5">
      <c r="A264" s="41" t="s">
        <v>7960</v>
      </c>
      <c r="B264" s="380" t="str">
        <f t="shared" si="4"/>
        <v>057-813</v>
      </c>
    </row>
    <row r="265" spans="1:2" ht="14.5">
      <c r="A265" s="41" t="s">
        <v>7961</v>
      </c>
      <c r="B265" s="380" t="str">
        <f t="shared" si="4"/>
        <v>057-814</v>
      </c>
    </row>
    <row r="266" spans="1:2" ht="14.5">
      <c r="A266" s="41" t="s">
        <v>7962</v>
      </c>
      <c r="B266" s="380" t="str">
        <f t="shared" si="4"/>
        <v>057-816</v>
      </c>
    </row>
    <row r="267" spans="1:2" ht="14.5">
      <c r="A267" s="41" t="s">
        <v>7963</v>
      </c>
      <c r="B267" s="380" t="str">
        <f t="shared" si="4"/>
        <v>057-819</v>
      </c>
    </row>
    <row r="268" spans="1:2" ht="14.5">
      <c r="A268" s="41" t="s">
        <v>7964</v>
      </c>
      <c r="B268" s="380" t="str">
        <f t="shared" si="4"/>
        <v>057-827</v>
      </c>
    </row>
    <row r="269" spans="1:2" ht="14.5">
      <c r="A269" s="41" t="s">
        <v>7965</v>
      </c>
      <c r="B269" s="380" t="str">
        <f t="shared" si="4"/>
        <v>057-828</v>
      </c>
    </row>
    <row r="270" spans="1:2" ht="14.5">
      <c r="A270" s="41" t="s">
        <v>7966</v>
      </c>
      <c r="B270" s="380" t="str">
        <f t="shared" si="4"/>
        <v>057-829</v>
      </c>
    </row>
    <row r="271" spans="1:2" ht="14.5">
      <c r="A271" s="41" t="s">
        <v>7967</v>
      </c>
      <c r="B271" s="380" t="str">
        <f t="shared" si="4"/>
        <v>057-830</v>
      </c>
    </row>
    <row r="272" spans="1:2" ht="14.5">
      <c r="A272" s="41" t="s">
        <v>7968</v>
      </c>
      <c r="B272" s="380" t="str">
        <f t="shared" si="4"/>
        <v>057-831</v>
      </c>
    </row>
    <row r="273" spans="1:3" ht="14.5">
      <c r="A273" s="41" t="s">
        <v>7969</v>
      </c>
      <c r="B273" s="380" t="str">
        <f t="shared" si="4"/>
        <v>057-833</v>
      </c>
    </row>
    <row r="274" spans="1:3" ht="14.5">
      <c r="A274" s="41" t="s">
        <v>7970</v>
      </c>
      <c r="B274" s="380" t="str">
        <f t="shared" si="4"/>
        <v>057-834</v>
      </c>
    </row>
    <row r="275" spans="1:3" ht="14.5">
      <c r="A275" s="41" t="s">
        <v>7971</v>
      </c>
      <c r="B275" s="380" t="str">
        <f t="shared" si="4"/>
        <v>057-835</v>
      </c>
    </row>
    <row r="276" spans="1:3" ht="14.5">
      <c r="A276" s="41" t="s">
        <v>7972</v>
      </c>
      <c r="B276" s="380" t="str">
        <f t="shared" si="4"/>
        <v>057-836</v>
      </c>
    </row>
    <row r="277" spans="1:3" ht="14.5">
      <c r="A277" s="41" t="s">
        <v>7973</v>
      </c>
      <c r="B277" s="380" t="str">
        <f t="shared" si="4"/>
        <v>057-839</v>
      </c>
    </row>
    <row r="278" spans="1:3" ht="14.5">
      <c r="A278" s="41" t="s">
        <v>7974</v>
      </c>
      <c r="B278" s="380" t="str">
        <f t="shared" si="4"/>
        <v>057-840</v>
      </c>
    </row>
    <row r="279" spans="1:3" ht="14.5">
      <c r="A279" s="41" t="s">
        <v>7975</v>
      </c>
      <c r="B279" s="380" t="str">
        <f t="shared" si="4"/>
        <v>057-841</v>
      </c>
    </row>
    <row r="280" spans="1:3" ht="14.5">
      <c r="A280" s="41" t="s">
        <v>7976</v>
      </c>
      <c r="B280" s="380" t="str">
        <f t="shared" si="4"/>
        <v>057-844</v>
      </c>
    </row>
    <row r="281" spans="1:3" ht="14.5">
      <c r="A281" s="41" t="s">
        <v>7977</v>
      </c>
      <c r="B281" s="380" t="str">
        <f t="shared" si="4"/>
        <v>057-845</v>
      </c>
    </row>
    <row r="282" spans="1:3" ht="14.5">
      <c r="A282" s="41" t="s">
        <v>7978</v>
      </c>
      <c r="B282" s="380" t="str">
        <f t="shared" si="4"/>
        <v>057-846</v>
      </c>
    </row>
    <row r="283" spans="1:3" ht="14.5">
      <c r="A283" s="41" t="s">
        <v>7979</v>
      </c>
      <c r="B283" s="380" t="str">
        <f t="shared" si="4"/>
        <v>057-847</v>
      </c>
    </row>
    <row r="284" spans="1:3" ht="14.5">
      <c r="A284" s="41" t="s">
        <v>7980</v>
      </c>
      <c r="B284" s="380" t="str">
        <f t="shared" si="4"/>
        <v>057-848</v>
      </c>
    </row>
    <row r="285" spans="1:3" ht="14.5">
      <c r="A285" s="41" t="s">
        <v>7982</v>
      </c>
      <c r="B285" s="380" t="str">
        <f t="shared" si="4"/>
        <v>057-850</v>
      </c>
    </row>
    <row r="286" spans="1:3" ht="14.5">
      <c r="A286" s="41" t="s">
        <v>7983</v>
      </c>
      <c r="B286" s="380" t="str">
        <f t="shared" si="4"/>
        <v>057-851</v>
      </c>
    </row>
    <row r="287" spans="1:3" ht="14.5">
      <c r="A287" s="41" t="s">
        <v>4986</v>
      </c>
      <c r="B287" s="380" t="str">
        <f t="shared" si="4"/>
        <v>057-903</v>
      </c>
      <c r="C287" s="2043">
        <v>17585343</v>
      </c>
    </row>
    <row r="288" spans="1:3" ht="14.5">
      <c r="A288" s="41" t="s">
        <v>4987</v>
      </c>
      <c r="B288" s="380" t="str">
        <f t="shared" si="4"/>
        <v>057-904</v>
      </c>
      <c r="C288" s="2043">
        <v>12281634</v>
      </c>
    </row>
    <row r="289" spans="1:3" ht="14.5">
      <c r="A289" s="41" t="s">
        <v>4988</v>
      </c>
      <c r="B289" s="380" t="str">
        <f t="shared" si="4"/>
        <v>057-905</v>
      </c>
      <c r="C289" s="2043">
        <v>167846298</v>
      </c>
    </row>
    <row r="290" spans="1:3" ht="14.5">
      <c r="A290" s="41" t="s">
        <v>2953</v>
      </c>
      <c r="B290" s="380" t="str">
        <f t="shared" si="4"/>
        <v>057-906</v>
      </c>
      <c r="C290" s="2043">
        <v>13652878</v>
      </c>
    </row>
    <row r="291" spans="1:3" ht="14.5">
      <c r="A291" s="41" t="s">
        <v>4989</v>
      </c>
      <c r="B291" s="380" t="str">
        <f t="shared" si="4"/>
        <v>057-907</v>
      </c>
      <c r="C291" s="2043">
        <v>17763631</v>
      </c>
    </row>
    <row r="292" spans="1:3" ht="14.5">
      <c r="A292" s="41" t="s">
        <v>2954</v>
      </c>
      <c r="B292" s="380" t="str">
        <f t="shared" si="4"/>
        <v>057-909</v>
      </c>
      <c r="C292" s="2043">
        <v>48714830</v>
      </c>
    </row>
    <row r="293" spans="1:3" ht="14.5">
      <c r="A293" s="41" t="s">
        <v>2955</v>
      </c>
      <c r="B293" s="380" t="str">
        <f t="shared" si="4"/>
        <v>057-910</v>
      </c>
      <c r="C293" s="2043">
        <v>34489550</v>
      </c>
    </row>
    <row r="294" spans="1:3" ht="14.5">
      <c r="A294" s="41" t="s">
        <v>4990</v>
      </c>
      <c r="B294" s="380" t="str">
        <f t="shared" si="4"/>
        <v>057-911</v>
      </c>
      <c r="C294" s="2043">
        <v>6876563</v>
      </c>
    </row>
    <row r="295" spans="1:3" ht="14.5">
      <c r="A295" s="41" t="s">
        <v>2956</v>
      </c>
      <c r="B295" s="380" t="str">
        <f t="shared" si="4"/>
        <v>057-912</v>
      </c>
      <c r="C295" s="2043">
        <v>45601855</v>
      </c>
    </row>
    <row r="296" spans="1:3" ht="14.5">
      <c r="A296" s="41" t="s">
        <v>4991</v>
      </c>
      <c r="B296" s="380" t="str">
        <f t="shared" si="4"/>
        <v>057-913</v>
      </c>
      <c r="C296" s="2043">
        <v>10304188</v>
      </c>
    </row>
    <row r="297" spans="1:3" ht="14.5">
      <c r="A297" s="41" t="s">
        <v>2957</v>
      </c>
      <c r="B297" s="380" t="str">
        <f t="shared" si="4"/>
        <v>057-914</v>
      </c>
      <c r="C297" s="2043">
        <v>29391915</v>
      </c>
    </row>
    <row r="298" spans="1:3" ht="14.5">
      <c r="A298" s="41" t="s">
        <v>4992</v>
      </c>
      <c r="B298" s="380" t="str">
        <f t="shared" si="4"/>
        <v>057-916</v>
      </c>
      <c r="C298" s="2043">
        <v>32974778</v>
      </c>
    </row>
    <row r="299" spans="1:3" ht="14.5">
      <c r="A299" s="41" t="s">
        <v>4993</v>
      </c>
      <c r="B299" s="380" t="str">
        <f t="shared" si="4"/>
        <v>057-919</v>
      </c>
      <c r="C299" s="2043">
        <v>3748133</v>
      </c>
    </row>
    <row r="300" spans="1:3" ht="14.5">
      <c r="A300" s="41" t="s">
        <v>4994</v>
      </c>
      <c r="B300" s="380" t="str">
        <f t="shared" si="4"/>
        <v>057-922</v>
      </c>
      <c r="C300" s="2043">
        <v>24028045</v>
      </c>
    </row>
    <row r="301" spans="1:3" ht="14.5">
      <c r="A301" s="41" t="s">
        <v>8504</v>
      </c>
      <c r="B301" s="380" t="str">
        <f t="shared" si="4"/>
        <v>057-950</v>
      </c>
    </row>
    <row r="302" spans="1:3" ht="14.5">
      <c r="A302" s="41" t="s">
        <v>5781</v>
      </c>
      <c r="B302" s="380" t="str">
        <f t="shared" si="4"/>
        <v>058-902</v>
      </c>
    </row>
    <row r="303" spans="1:3" ht="14.5">
      <c r="A303" s="41" t="s">
        <v>4995</v>
      </c>
      <c r="B303" s="380" t="str">
        <f t="shared" si="4"/>
        <v>058-905</v>
      </c>
      <c r="C303" s="2043">
        <v>984550</v>
      </c>
    </row>
    <row r="304" spans="1:3" ht="14.5">
      <c r="A304" s="41" t="s">
        <v>5782</v>
      </c>
      <c r="B304" s="380" t="str">
        <f t="shared" si="4"/>
        <v>058-906</v>
      </c>
      <c r="C304" s="2043">
        <v>0</v>
      </c>
    </row>
    <row r="305" spans="1:3" ht="14.5">
      <c r="A305" s="41" t="s">
        <v>4996</v>
      </c>
      <c r="B305" s="380" t="str">
        <f t="shared" si="4"/>
        <v>058-909</v>
      </c>
      <c r="C305" s="2043">
        <v>0</v>
      </c>
    </row>
    <row r="306" spans="1:3" ht="14.5">
      <c r="A306" s="41" t="s">
        <v>3768</v>
      </c>
      <c r="B306" s="380" t="str">
        <f t="shared" si="4"/>
        <v>059-901</v>
      </c>
      <c r="C306" s="2043">
        <v>0</v>
      </c>
    </row>
    <row r="307" spans="1:3" ht="14.5">
      <c r="A307" s="41" t="s">
        <v>5783</v>
      </c>
      <c r="B307" s="380" t="str">
        <f t="shared" si="4"/>
        <v>059-902</v>
      </c>
      <c r="C307" s="2043">
        <v>0</v>
      </c>
    </row>
    <row r="308" spans="1:3" ht="14.5">
      <c r="A308" s="41" t="s">
        <v>2958</v>
      </c>
      <c r="B308" s="380" t="str">
        <f t="shared" si="4"/>
        <v>060-902</v>
      </c>
      <c r="C308" s="2043">
        <v>756597</v>
      </c>
    </row>
    <row r="309" spans="1:3" ht="14.5">
      <c r="A309" s="41" t="s">
        <v>2959</v>
      </c>
      <c r="B309" s="380" t="str">
        <f t="shared" si="4"/>
        <v>060-914</v>
      </c>
      <c r="C309" s="2043">
        <v>103200</v>
      </c>
    </row>
    <row r="310" spans="1:3" ht="14.5">
      <c r="A310" s="41" t="s">
        <v>7984</v>
      </c>
      <c r="B310" s="380" t="str">
        <f t="shared" si="4"/>
        <v>061-501</v>
      </c>
    </row>
    <row r="311" spans="1:3" ht="14.5">
      <c r="A311" s="41" t="s">
        <v>7986</v>
      </c>
      <c r="B311" s="380" t="str">
        <f t="shared" si="4"/>
        <v>061-802</v>
      </c>
    </row>
    <row r="312" spans="1:3" ht="14.5">
      <c r="A312" s="41" t="s">
        <v>7987</v>
      </c>
      <c r="B312" s="380" t="str">
        <f t="shared" si="4"/>
        <v>061-804</v>
      </c>
    </row>
    <row r="313" spans="1:3" ht="14.5">
      <c r="A313" s="41" t="s">
        <v>7988</v>
      </c>
      <c r="B313" s="380" t="str">
        <f t="shared" si="4"/>
        <v>061-805</v>
      </c>
    </row>
    <row r="314" spans="1:3" ht="14.5">
      <c r="A314" s="41" t="s">
        <v>4997</v>
      </c>
      <c r="B314" s="380" t="str">
        <f t="shared" si="4"/>
        <v>061-901</v>
      </c>
      <c r="C314" s="2043">
        <v>44170115</v>
      </c>
    </row>
    <row r="315" spans="1:3" ht="14.5">
      <c r="A315" s="41" t="s">
        <v>2960</v>
      </c>
      <c r="B315" s="380" t="str">
        <f t="shared" si="4"/>
        <v>061-902</v>
      </c>
      <c r="C315" s="2043">
        <v>121559278</v>
      </c>
    </row>
    <row r="316" spans="1:3" ht="14.5">
      <c r="A316" s="41" t="s">
        <v>3776</v>
      </c>
      <c r="B316" s="380" t="str">
        <f t="shared" si="4"/>
        <v>061-903</v>
      </c>
      <c r="C316" s="2043">
        <v>1337450</v>
      </c>
    </row>
    <row r="317" spans="1:3" ht="14.5">
      <c r="A317" s="41" t="s">
        <v>2961</v>
      </c>
      <c r="B317" s="380" t="str">
        <f t="shared" si="4"/>
        <v>061-905</v>
      </c>
      <c r="C317" s="2043">
        <v>2770460</v>
      </c>
    </row>
    <row r="318" spans="1:3" ht="14.5">
      <c r="A318" s="41" t="s">
        <v>2962</v>
      </c>
      <c r="B318" s="380" t="str">
        <f t="shared" si="4"/>
        <v>061-906</v>
      </c>
      <c r="C318" s="2043">
        <v>1056043</v>
      </c>
    </row>
    <row r="319" spans="1:3" ht="14.5">
      <c r="A319" s="41" t="s">
        <v>2963</v>
      </c>
      <c r="B319" s="380" t="str">
        <f t="shared" si="4"/>
        <v>061-907</v>
      </c>
      <c r="C319" s="2043">
        <v>3368812</v>
      </c>
    </row>
    <row r="320" spans="1:3" ht="14.5">
      <c r="A320" s="41" t="s">
        <v>2964</v>
      </c>
      <c r="B320" s="380" t="str">
        <f t="shared" si="4"/>
        <v>061-908</v>
      </c>
      <c r="C320" s="2043">
        <v>2861250</v>
      </c>
    </row>
    <row r="321" spans="1:3" ht="14.5">
      <c r="A321" s="41" t="s">
        <v>4998</v>
      </c>
      <c r="B321" s="380" t="str">
        <f t="shared" si="4"/>
        <v>061-910</v>
      </c>
      <c r="C321" s="2043">
        <v>6893139</v>
      </c>
    </row>
    <row r="322" spans="1:3" ht="14.5">
      <c r="A322" s="41" t="s">
        <v>2965</v>
      </c>
      <c r="B322" s="380" t="str">
        <f t="shared" si="4"/>
        <v>061-911</v>
      </c>
      <c r="C322" s="2043">
        <v>55783164</v>
      </c>
    </row>
    <row r="323" spans="1:3" ht="14.5">
      <c r="A323" s="41" t="s">
        <v>2966</v>
      </c>
      <c r="B323" s="380" t="str">
        <f t="shared" si="4"/>
        <v>061-912</v>
      </c>
      <c r="C323" s="2043">
        <v>7678249</v>
      </c>
    </row>
    <row r="324" spans="1:3" ht="14.5">
      <c r="A324" s="41" t="s">
        <v>2967</v>
      </c>
      <c r="B324" s="380" t="str">
        <f t="shared" ref="B324:B387" si="5">CONCATENATE(LEFT(RIGHT(CONCATENATE("000",A324),6),3),"-",(RIGHT(RIGHT(CONCATENATE("000",A324),6),3)))</f>
        <v>061-914</v>
      </c>
      <c r="C324" s="2043">
        <v>11225956</v>
      </c>
    </row>
    <row r="325" spans="1:3" ht="14.5">
      <c r="A325" s="41" t="s">
        <v>2968</v>
      </c>
      <c r="B325" s="380" t="str">
        <f t="shared" si="5"/>
        <v>062-901</v>
      </c>
      <c r="C325" s="2043">
        <v>6612171</v>
      </c>
    </row>
    <row r="326" spans="1:3" ht="14.5">
      <c r="A326" s="41" t="s">
        <v>4999</v>
      </c>
      <c r="B326" s="380" t="str">
        <f t="shared" si="5"/>
        <v>062-902</v>
      </c>
      <c r="C326" s="2043">
        <v>0</v>
      </c>
    </row>
    <row r="327" spans="1:3" ht="14.5">
      <c r="A327" s="41" t="s">
        <v>2969</v>
      </c>
      <c r="B327" s="380" t="str">
        <f t="shared" si="5"/>
        <v>062-903</v>
      </c>
      <c r="C327" s="2043">
        <v>4029753</v>
      </c>
    </row>
    <row r="328" spans="1:3" ht="14.5">
      <c r="A328" s="41" t="s">
        <v>5000</v>
      </c>
      <c r="B328" s="380" t="str">
        <f t="shared" si="5"/>
        <v>062-904</v>
      </c>
      <c r="C328" s="2043">
        <v>383338</v>
      </c>
    </row>
    <row r="329" spans="1:3" ht="14.5">
      <c r="A329" s="41" t="s">
        <v>5784</v>
      </c>
      <c r="B329" s="380" t="str">
        <f t="shared" si="5"/>
        <v>062-905</v>
      </c>
    </row>
    <row r="330" spans="1:3" ht="14.5">
      <c r="A330" s="41" t="s">
        <v>5785</v>
      </c>
      <c r="B330" s="380" t="str">
        <f t="shared" si="5"/>
        <v>062-906</v>
      </c>
    </row>
    <row r="331" spans="1:3" ht="14.5">
      <c r="A331" s="41" t="s">
        <v>5001</v>
      </c>
      <c r="B331" s="380" t="str">
        <f t="shared" si="5"/>
        <v>063-903</v>
      </c>
      <c r="C331" s="2043">
        <v>560900</v>
      </c>
    </row>
    <row r="332" spans="1:3" ht="14.5">
      <c r="A332" s="41" t="s">
        <v>5786</v>
      </c>
      <c r="B332" s="380" t="str">
        <f t="shared" si="5"/>
        <v>063-906</v>
      </c>
    </row>
    <row r="333" spans="1:3" ht="14.5">
      <c r="A333" s="41" t="s">
        <v>2970</v>
      </c>
      <c r="B333" s="380" t="str">
        <f t="shared" si="5"/>
        <v>064-903</v>
      </c>
      <c r="C333" s="2043">
        <v>3191912</v>
      </c>
    </row>
    <row r="334" spans="1:3" ht="14.5">
      <c r="A334" s="41" t="s">
        <v>5787</v>
      </c>
      <c r="B334" s="380" t="str">
        <f t="shared" si="5"/>
        <v>065-901</v>
      </c>
    </row>
    <row r="335" spans="1:3" ht="14.5">
      <c r="A335" s="41" t="s">
        <v>2971</v>
      </c>
      <c r="B335" s="380" t="str">
        <f t="shared" si="5"/>
        <v>065-902</v>
      </c>
    </row>
    <row r="336" spans="1:3" ht="14.5">
      <c r="A336" s="41" t="s">
        <v>5788</v>
      </c>
      <c r="B336" s="380" t="str">
        <f t="shared" si="5"/>
        <v>066-005</v>
      </c>
    </row>
    <row r="337" spans="1:3" ht="14.5">
      <c r="A337" s="41" t="s">
        <v>5002</v>
      </c>
      <c r="B337" s="380" t="str">
        <f t="shared" si="5"/>
        <v>066-901</v>
      </c>
      <c r="C337" s="2043">
        <v>537382</v>
      </c>
    </row>
    <row r="338" spans="1:3" ht="14.5">
      <c r="A338" s="41" t="s">
        <v>2972</v>
      </c>
      <c r="B338" s="380" t="str">
        <f t="shared" si="5"/>
        <v>066-902</v>
      </c>
      <c r="C338" s="2043">
        <v>1627476</v>
      </c>
    </row>
    <row r="339" spans="1:3" ht="14.5">
      <c r="A339" s="41" t="s">
        <v>5003</v>
      </c>
      <c r="B339" s="380" t="str">
        <f t="shared" si="5"/>
        <v>066-903</v>
      </c>
      <c r="C339" s="2043">
        <v>1252150</v>
      </c>
    </row>
    <row r="340" spans="1:3" ht="14.5">
      <c r="A340" s="41" t="s">
        <v>3827</v>
      </c>
      <c r="B340" s="380" t="str">
        <f t="shared" si="5"/>
        <v>067-902</v>
      </c>
    </row>
    <row r="341" spans="1:3" ht="14.5">
      <c r="A341" s="41" t="s">
        <v>5789</v>
      </c>
      <c r="B341" s="380" t="str">
        <f t="shared" si="5"/>
        <v>067-903</v>
      </c>
      <c r="C341" s="2043">
        <v>0</v>
      </c>
    </row>
    <row r="342" spans="1:3" ht="14.5">
      <c r="A342" s="41" t="s">
        <v>5004</v>
      </c>
      <c r="B342" s="380" t="str">
        <f t="shared" si="5"/>
        <v>067-904</v>
      </c>
      <c r="C342" s="2043">
        <v>315050</v>
      </c>
    </row>
    <row r="343" spans="1:3" ht="14.5">
      <c r="A343" s="41" t="s">
        <v>5790</v>
      </c>
      <c r="B343" s="380" t="str">
        <f t="shared" si="5"/>
        <v>067-907</v>
      </c>
    </row>
    <row r="344" spans="1:3" ht="14.5">
      <c r="A344" s="41" t="s">
        <v>5791</v>
      </c>
      <c r="B344" s="380" t="str">
        <f t="shared" si="5"/>
        <v>067-908</v>
      </c>
    </row>
    <row r="345" spans="1:3" ht="14.5">
      <c r="A345" s="41" t="s">
        <v>7989</v>
      </c>
      <c r="B345" s="380" t="str">
        <f t="shared" si="5"/>
        <v>068-802</v>
      </c>
    </row>
    <row r="346" spans="1:3" ht="14.5">
      <c r="A346" s="41" t="s">
        <v>7990</v>
      </c>
      <c r="B346" s="380" t="str">
        <f t="shared" si="5"/>
        <v>068-803</v>
      </c>
    </row>
    <row r="347" spans="1:3" ht="14.5">
      <c r="A347" s="41" t="s">
        <v>5005</v>
      </c>
      <c r="B347" s="380" t="str">
        <f t="shared" si="5"/>
        <v>068-901</v>
      </c>
      <c r="C347" s="2043">
        <v>11381927</v>
      </c>
    </row>
    <row r="348" spans="1:3" ht="14.5">
      <c r="A348" s="41" t="s">
        <v>5006</v>
      </c>
      <c r="B348" s="380" t="str">
        <f t="shared" si="5"/>
        <v>069-901</v>
      </c>
      <c r="C348" s="2043">
        <v>286447</v>
      </c>
    </row>
    <row r="349" spans="1:3" ht="14.5">
      <c r="A349" s="41" t="s">
        <v>5792</v>
      </c>
      <c r="B349" s="380" t="str">
        <f t="shared" si="5"/>
        <v>069-902</v>
      </c>
    </row>
    <row r="350" spans="1:3" ht="14.5">
      <c r="A350" s="41" t="s">
        <v>7991</v>
      </c>
      <c r="B350" s="380" t="str">
        <f t="shared" si="5"/>
        <v>070-801</v>
      </c>
    </row>
    <row r="351" spans="1:3" ht="14.5">
      <c r="A351" s="41" t="s">
        <v>2973</v>
      </c>
      <c r="B351" s="380" t="str">
        <f t="shared" si="5"/>
        <v>070-901</v>
      </c>
      <c r="C351" s="2043">
        <v>87600</v>
      </c>
    </row>
    <row r="352" spans="1:3" ht="14.5">
      <c r="A352" s="41" t="s">
        <v>5007</v>
      </c>
      <c r="B352" s="380" t="str">
        <f t="shared" si="5"/>
        <v>070-903</v>
      </c>
      <c r="C352" s="2043">
        <v>12477000</v>
      </c>
    </row>
    <row r="353" spans="1:3" ht="14.5">
      <c r="A353" s="41" t="s">
        <v>2974</v>
      </c>
      <c r="B353" s="380" t="str">
        <f t="shared" si="5"/>
        <v>070-905</v>
      </c>
      <c r="C353" s="2043">
        <v>2988000</v>
      </c>
    </row>
    <row r="354" spans="1:3" ht="14.5">
      <c r="A354" s="41" t="s">
        <v>2975</v>
      </c>
      <c r="B354" s="380" t="str">
        <f t="shared" si="5"/>
        <v>070-907</v>
      </c>
      <c r="C354" s="2043">
        <v>543938</v>
      </c>
    </row>
    <row r="355" spans="1:3" ht="14.5">
      <c r="A355" s="41" t="s">
        <v>5008</v>
      </c>
      <c r="B355" s="380" t="str">
        <f t="shared" si="5"/>
        <v>070-908</v>
      </c>
      <c r="C355" s="2043">
        <v>15848777</v>
      </c>
    </row>
    <row r="356" spans="1:3" ht="14.5">
      <c r="A356" s="41" t="s">
        <v>5793</v>
      </c>
      <c r="B356" s="380" t="str">
        <f t="shared" si="5"/>
        <v>070-909</v>
      </c>
    </row>
    <row r="357" spans="1:3" ht="14.5">
      <c r="A357" s="41" t="s">
        <v>2976</v>
      </c>
      <c r="B357" s="380" t="str">
        <f t="shared" si="5"/>
        <v>070-910</v>
      </c>
      <c r="C357" s="2043">
        <v>1288628</v>
      </c>
    </row>
    <row r="358" spans="1:3" ht="14.5">
      <c r="A358" s="41" t="s">
        <v>2977</v>
      </c>
      <c r="B358" s="380" t="str">
        <f t="shared" si="5"/>
        <v>070-911</v>
      </c>
      <c r="C358" s="2043">
        <v>7800831</v>
      </c>
    </row>
    <row r="359" spans="1:3" ht="14.5">
      <c r="A359" s="41" t="s">
        <v>2978</v>
      </c>
      <c r="B359" s="380" t="str">
        <f t="shared" si="5"/>
        <v>070-912</v>
      </c>
      <c r="C359" s="2043">
        <v>13738559</v>
      </c>
    </row>
    <row r="360" spans="1:3" ht="14.5">
      <c r="A360" s="41" t="s">
        <v>2979</v>
      </c>
      <c r="B360" s="380" t="str">
        <f t="shared" si="5"/>
        <v>070-915</v>
      </c>
      <c r="C360" s="2043">
        <v>997445</v>
      </c>
    </row>
    <row r="361" spans="1:3" ht="14.5">
      <c r="A361" s="41" t="s">
        <v>7992</v>
      </c>
      <c r="B361" s="380" t="str">
        <f t="shared" si="5"/>
        <v>071-801</v>
      </c>
    </row>
    <row r="362" spans="1:3" ht="14.5">
      <c r="A362" s="41" t="s">
        <v>7993</v>
      </c>
      <c r="B362" s="380" t="str">
        <f t="shared" si="5"/>
        <v>071-803</v>
      </c>
    </row>
    <row r="363" spans="1:3" ht="14.5">
      <c r="A363" s="41" t="s">
        <v>7994</v>
      </c>
      <c r="B363" s="380" t="str">
        <f t="shared" si="5"/>
        <v>071-804</v>
      </c>
    </row>
    <row r="364" spans="1:3" ht="14.5">
      <c r="A364" s="41" t="s">
        <v>7995</v>
      </c>
      <c r="B364" s="380" t="str">
        <f t="shared" si="5"/>
        <v>071-806</v>
      </c>
    </row>
    <row r="365" spans="1:3" ht="14.5">
      <c r="A365" s="41" t="s">
        <v>7996</v>
      </c>
      <c r="B365" s="380" t="str">
        <f t="shared" si="5"/>
        <v>071-807</v>
      </c>
    </row>
    <row r="366" spans="1:3" ht="14.5">
      <c r="A366" s="41" t="s">
        <v>7997</v>
      </c>
      <c r="B366" s="380" t="str">
        <f t="shared" si="5"/>
        <v>071-809</v>
      </c>
    </row>
    <row r="367" spans="1:3" ht="14.5">
      <c r="A367" s="41" t="s">
        <v>7998</v>
      </c>
      <c r="B367" s="380" t="str">
        <f t="shared" si="5"/>
        <v>071-810</v>
      </c>
    </row>
    <row r="368" spans="1:3" ht="14.5">
      <c r="A368" s="41" t="s">
        <v>2980</v>
      </c>
      <c r="B368" s="380" t="str">
        <f t="shared" si="5"/>
        <v>071-901</v>
      </c>
      <c r="C368" s="2043">
        <v>12582980</v>
      </c>
    </row>
    <row r="369" spans="1:3" ht="14.5">
      <c r="A369" s="41" t="s">
        <v>2981</v>
      </c>
      <c r="B369" s="380" t="str">
        <f t="shared" si="5"/>
        <v>071-902</v>
      </c>
      <c r="C369" s="2043">
        <v>30791135</v>
      </c>
    </row>
    <row r="370" spans="1:3" ht="14.5">
      <c r="A370" s="41" t="s">
        <v>2982</v>
      </c>
      <c r="B370" s="380" t="str">
        <f t="shared" si="5"/>
        <v>071-903</v>
      </c>
      <c r="C370" s="2043">
        <v>1947151</v>
      </c>
    </row>
    <row r="371" spans="1:3" ht="14.5">
      <c r="A371" s="41" t="s">
        <v>3862</v>
      </c>
      <c r="B371" s="380" t="str">
        <f t="shared" si="5"/>
        <v>071-904</v>
      </c>
      <c r="C371" s="2043">
        <v>1675973</v>
      </c>
    </row>
    <row r="372" spans="1:3" ht="14.5">
      <c r="A372" s="41" t="s">
        <v>3867</v>
      </c>
      <c r="B372" s="380" t="str">
        <f t="shared" si="5"/>
        <v>071-905</v>
      </c>
      <c r="C372" s="2043">
        <v>16120000</v>
      </c>
    </row>
    <row r="373" spans="1:3" ht="14.5">
      <c r="A373" s="41" t="s">
        <v>2983</v>
      </c>
      <c r="B373" s="380" t="str">
        <f t="shared" si="5"/>
        <v>071-906</v>
      </c>
      <c r="C373" s="2043">
        <v>472625</v>
      </c>
    </row>
    <row r="374" spans="1:3" ht="14.5">
      <c r="A374" s="41" t="s">
        <v>2984</v>
      </c>
      <c r="B374" s="380" t="str">
        <f t="shared" si="5"/>
        <v>071-907</v>
      </c>
      <c r="C374" s="2043">
        <v>7478828</v>
      </c>
    </row>
    <row r="375" spans="1:3" ht="14.5">
      <c r="A375" s="41" t="s">
        <v>2985</v>
      </c>
      <c r="B375" s="380" t="str">
        <f t="shared" si="5"/>
        <v>071-908</v>
      </c>
      <c r="C375" s="2043">
        <v>881348</v>
      </c>
    </row>
    <row r="376" spans="1:3" ht="14.5">
      <c r="A376" s="41" t="s">
        <v>2986</v>
      </c>
      <c r="B376" s="380" t="str">
        <f t="shared" si="5"/>
        <v>071-909</v>
      </c>
      <c r="C376" s="2043">
        <v>42066911</v>
      </c>
    </row>
    <row r="377" spans="1:3" ht="14.5">
      <c r="A377" s="41" t="s">
        <v>8505</v>
      </c>
      <c r="B377" s="380" t="str">
        <f t="shared" si="5"/>
        <v>071-950</v>
      </c>
    </row>
    <row r="378" spans="1:3" ht="14.5">
      <c r="A378" s="41" t="s">
        <v>7999</v>
      </c>
      <c r="B378" s="380" t="str">
        <f t="shared" si="5"/>
        <v>072-801</v>
      </c>
    </row>
    <row r="379" spans="1:3" ht="14.5">
      <c r="A379" s="41" t="s">
        <v>8000</v>
      </c>
      <c r="B379" s="380" t="str">
        <f t="shared" si="5"/>
        <v>072-802</v>
      </c>
    </row>
    <row r="380" spans="1:3" ht="14.5">
      <c r="A380" s="41" t="s">
        <v>5794</v>
      </c>
      <c r="B380" s="380" t="str">
        <f t="shared" si="5"/>
        <v>072-901</v>
      </c>
    </row>
    <row r="381" spans="1:3" ht="14.5">
      <c r="A381" s="41" t="s">
        <v>5009</v>
      </c>
      <c r="B381" s="380" t="str">
        <f t="shared" si="5"/>
        <v>072-902</v>
      </c>
      <c r="C381" s="2043">
        <v>632675</v>
      </c>
    </row>
    <row r="382" spans="1:3" ht="14.5">
      <c r="A382" s="41" t="s">
        <v>2987</v>
      </c>
      <c r="B382" s="380" t="str">
        <f t="shared" si="5"/>
        <v>072-903</v>
      </c>
      <c r="C382" s="2043">
        <v>1522868</v>
      </c>
    </row>
    <row r="383" spans="1:3" ht="14.5">
      <c r="A383" s="41" t="s">
        <v>5010</v>
      </c>
      <c r="B383" s="380" t="str">
        <f t="shared" si="5"/>
        <v>072-904</v>
      </c>
      <c r="C383" s="2043">
        <v>0</v>
      </c>
    </row>
    <row r="384" spans="1:3" ht="14.5">
      <c r="A384" s="41" t="s">
        <v>5795</v>
      </c>
      <c r="B384" s="380" t="str">
        <f t="shared" si="5"/>
        <v>072-908</v>
      </c>
      <c r="C384" s="2043">
        <v>0</v>
      </c>
    </row>
    <row r="385" spans="1:3" ht="14.5">
      <c r="A385" s="41" t="s">
        <v>2988</v>
      </c>
      <c r="B385" s="380" t="str">
        <f t="shared" si="5"/>
        <v>072-909</v>
      </c>
      <c r="C385" s="2043">
        <v>91376</v>
      </c>
    </row>
    <row r="386" spans="1:3" ht="14.5">
      <c r="A386" s="41" t="s">
        <v>5796</v>
      </c>
      <c r="B386" s="380" t="str">
        <f t="shared" si="5"/>
        <v>072-910</v>
      </c>
    </row>
    <row r="387" spans="1:3" ht="14.5">
      <c r="A387" s="41" t="s">
        <v>5011</v>
      </c>
      <c r="B387" s="380" t="str">
        <f t="shared" si="5"/>
        <v>073-901</v>
      </c>
      <c r="C387" s="2043">
        <v>347270</v>
      </c>
    </row>
    <row r="388" spans="1:3" ht="14.5">
      <c r="A388" s="41" t="s">
        <v>3901</v>
      </c>
      <c r="B388" s="380" t="str">
        <f t="shared" ref="B388:B451" si="6">CONCATENATE(LEFT(RIGHT(CONCATENATE("000",A388),6),3),"-",(RIGHT(RIGHT(CONCATENATE("000",A388),6),3)))</f>
        <v>073-903</v>
      </c>
    </row>
    <row r="389" spans="1:3" ht="14.5">
      <c r="A389" s="41" t="s">
        <v>3903</v>
      </c>
      <c r="B389" s="380" t="str">
        <f t="shared" si="6"/>
        <v>073-904</v>
      </c>
    </row>
    <row r="390" spans="1:3" ht="14.5">
      <c r="A390" s="41" t="s">
        <v>5797</v>
      </c>
      <c r="B390" s="380" t="str">
        <f t="shared" si="6"/>
        <v>073-905</v>
      </c>
      <c r="C390" s="2043">
        <v>0</v>
      </c>
    </row>
    <row r="391" spans="1:3" ht="14.5">
      <c r="A391" s="41" t="s">
        <v>5012</v>
      </c>
      <c r="B391" s="380" t="str">
        <f t="shared" si="6"/>
        <v>074-903</v>
      </c>
      <c r="C391" s="2043">
        <v>353987</v>
      </c>
    </row>
    <row r="392" spans="1:3" ht="14.5">
      <c r="A392" s="41" t="s">
        <v>2989</v>
      </c>
      <c r="B392" s="380" t="str">
        <f t="shared" si="6"/>
        <v>074-904</v>
      </c>
      <c r="C392" s="2043">
        <v>296194</v>
      </c>
    </row>
    <row r="393" spans="1:3" ht="14.5">
      <c r="A393" s="41" t="s">
        <v>2990</v>
      </c>
      <c r="B393" s="380" t="str">
        <f t="shared" si="6"/>
        <v>074-905</v>
      </c>
      <c r="C393" s="2043">
        <v>161300</v>
      </c>
    </row>
    <row r="394" spans="1:3" ht="14.5">
      <c r="A394" s="41" t="s">
        <v>2991</v>
      </c>
      <c r="B394" s="380" t="str">
        <f t="shared" si="6"/>
        <v>074-907</v>
      </c>
      <c r="C394" s="2043">
        <v>636650</v>
      </c>
    </row>
    <row r="395" spans="1:3" ht="14.5">
      <c r="A395" s="41" t="s">
        <v>5013</v>
      </c>
      <c r="B395" s="380" t="str">
        <f t="shared" si="6"/>
        <v>074-909</v>
      </c>
    </row>
    <row r="396" spans="1:3" ht="14.5">
      <c r="A396" s="41" t="s">
        <v>5014</v>
      </c>
      <c r="B396" s="380" t="str">
        <f t="shared" si="6"/>
        <v>074-911</v>
      </c>
      <c r="C396" s="2043">
        <v>242925</v>
      </c>
    </row>
    <row r="397" spans="1:3" ht="14.5">
      <c r="A397" s="41" t="s">
        <v>2992</v>
      </c>
      <c r="B397" s="380" t="str">
        <f t="shared" si="6"/>
        <v>074-912</v>
      </c>
      <c r="C397" s="2043">
        <v>474725</v>
      </c>
    </row>
    <row r="398" spans="1:3" ht="14.5">
      <c r="A398" s="41" t="s">
        <v>2993</v>
      </c>
      <c r="B398" s="380" t="str">
        <f t="shared" si="6"/>
        <v>074-917</v>
      </c>
      <c r="C398" s="2043">
        <v>237345</v>
      </c>
    </row>
    <row r="399" spans="1:3" ht="14.5">
      <c r="A399" s="41" t="s">
        <v>5015</v>
      </c>
      <c r="B399" s="380" t="str">
        <f t="shared" si="6"/>
        <v>075-901</v>
      </c>
      <c r="C399" s="2043">
        <v>196840</v>
      </c>
    </row>
    <row r="400" spans="1:3" ht="14.5">
      <c r="A400" s="41" t="s">
        <v>5798</v>
      </c>
      <c r="B400" s="380" t="str">
        <f t="shared" si="6"/>
        <v>075-902</v>
      </c>
      <c r="C400" s="2043">
        <v>0</v>
      </c>
    </row>
    <row r="401" spans="1:3" ht="14.5">
      <c r="A401" s="41" t="s">
        <v>5016</v>
      </c>
      <c r="B401" s="380" t="str">
        <f t="shared" si="6"/>
        <v>075-903</v>
      </c>
      <c r="C401" s="2043">
        <v>449750</v>
      </c>
    </row>
    <row r="402" spans="1:3" ht="14.5">
      <c r="A402" s="41" t="s">
        <v>5799</v>
      </c>
      <c r="B402" s="380" t="str">
        <f t="shared" si="6"/>
        <v>075-906</v>
      </c>
      <c r="C402" s="2043">
        <v>0</v>
      </c>
    </row>
    <row r="403" spans="1:3" ht="14.5">
      <c r="A403" s="41" t="s">
        <v>5017</v>
      </c>
      <c r="B403" s="380" t="str">
        <f t="shared" si="6"/>
        <v>075-908</v>
      </c>
      <c r="C403" s="2043">
        <v>0</v>
      </c>
    </row>
    <row r="404" spans="1:3" ht="14.5">
      <c r="A404" s="41" t="s">
        <v>5800</v>
      </c>
      <c r="B404" s="380" t="str">
        <f t="shared" si="6"/>
        <v>076-903</v>
      </c>
      <c r="C404" s="2043">
        <v>0</v>
      </c>
    </row>
    <row r="405" spans="1:3" ht="14.5">
      <c r="A405" s="41" t="s">
        <v>2994</v>
      </c>
      <c r="B405" s="380" t="str">
        <f t="shared" si="6"/>
        <v>076-904</v>
      </c>
      <c r="C405" s="2043">
        <v>0</v>
      </c>
    </row>
    <row r="406" spans="1:3" ht="14.5">
      <c r="A406" s="41" t="s">
        <v>5018</v>
      </c>
      <c r="B406" s="380" t="str">
        <f t="shared" si="6"/>
        <v>077-901</v>
      </c>
      <c r="C406" s="2043">
        <v>0</v>
      </c>
    </row>
    <row r="407" spans="1:3" ht="14.5">
      <c r="A407" s="41" t="s">
        <v>5801</v>
      </c>
      <c r="B407" s="380" t="str">
        <f t="shared" si="6"/>
        <v>077-902</v>
      </c>
      <c r="C407" s="2043">
        <v>0</v>
      </c>
    </row>
    <row r="408" spans="1:3" ht="14.5">
      <c r="A408" s="41" t="s">
        <v>5802</v>
      </c>
      <c r="B408" s="380" t="str">
        <f t="shared" si="6"/>
        <v>078-901</v>
      </c>
      <c r="C408" s="2043">
        <v>0</v>
      </c>
    </row>
    <row r="409" spans="1:3" ht="14.5">
      <c r="A409" s="41" t="s">
        <v>5019</v>
      </c>
      <c r="B409" s="380" t="str">
        <f t="shared" si="6"/>
        <v>079-901</v>
      </c>
      <c r="C409" s="2043">
        <v>52867897</v>
      </c>
    </row>
    <row r="410" spans="1:3" ht="14.5">
      <c r="A410" s="41" t="s">
        <v>2995</v>
      </c>
      <c r="B410" s="380" t="str">
        <f t="shared" si="6"/>
        <v>079-906</v>
      </c>
      <c r="C410" s="2043">
        <v>4987003</v>
      </c>
    </row>
    <row r="411" spans="1:3" ht="14.5">
      <c r="A411" s="41" t="s">
        <v>2996</v>
      </c>
      <c r="B411" s="380" t="str">
        <f t="shared" si="6"/>
        <v>079-907</v>
      </c>
      <c r="C411" s="2043">
        <v>75995170</v>
      </c>
    </row>
    <row r="412" spans="1:3" ht="14.5">
      <c r="A412" s="41" t="s">
        <v>5020</v>
      </c>
      <c r="B412" s="380" t="str">
        <f t="shared" si="6"/>
        <v>079-910</v>
      </c>
      <c r="C412" s="2043">
        <v>3991326</v>
      </c>
    </row>
    <row r="413" spans="1:3" ht="14.5">
      <c r="A413" s="41" t="s">
        <v>5021</v>
      </c>
      <c r="B413" s="380" t="str">
        <f t="shared" si="6"/>
        <v>080-901</v>
      </c>
      <c r="C413" s="2043">
        <v>2441157</v>
      </c>
    </row>
    <row r="414" spans="1:3" ht="14.5">
      <c r="A414" s="41" t="s">
        <v>5022</v>
      </c>
      <c r="B414" s="380" t="str">
        <f t="shared" si="6"/>
        <v>081-902</v>
      </c>
      <c r="C414" s="2043">
        <v>1828400</v>
      </c>
    </row>
    <row r="415" spans="1:3" ht="14.5">
      <c r="A415" s="41" t="s">
        <v>5023</v>
      </c>
      <c r="B415" s="380" t="str">
        <f t="shared" si="6"/>
        <v>081-904</v>
      </c>
      <c r="C415" s="2043">
        <v>2619350</v>
      </c>
    </row>
    <row r="416" spans="1:3" ht="14.5">
      <c r="A416" s="41" t="s">
        <v>5024</v>
      </c>
      <c r="B416" s="380" t="str">
        <f t="shared" si="6"/>
        <v>081-905</v>
      </c>
      <c r="C416" s="2043">
        <v>453802</v>
      </c>
    </row>
    <row r="417" spans="1:3" ht="14.5">
      <c r="A417" s="41" t="s">
        <v>5025</v>
      </c>
      <c r="B417" s="380" t="str">
        <f t="shared" si="6"/>
        <v>081-906</v>
      </c>
      <c r="C417" s="2043">
        <v>0</v>
      </c>
    </row>
    <row r="418" spans="1:3" ht="14.5">
      <c r="A418" s="41" t="s">
        <v>2997</v>
      </c>
      <c r="B418" s="380" t="str">
        <f t="shared" si="6"/>
        <v>082-902</v>
      </c>
      <c r="C418" s="2043">
        <v>1881820</v>
      </c>
    </row>
    <row r="419" spans="1:3" ht="14.5">
      <c r="A419" s="41" t="s">
        <v>2998</v>
      </c>
      <c r="B419" s="380" t="str">
        <f t="shared" si="6"/>
        <v>082-903</v>
      </c>
      <c r="C419" s="2043">
        <v>1640600</v>
      </c>
    </row>
    <row r="420" spans="1:3" ht="14.5">
      <c r="A420" s="41" t="s">
        <v>5026</v>
      </c>
      <c r="B420" s="380" t="str">
        <f t="shared" si="6"/>
        <v>083-901</v>
      </c>
      <c r="C420" s="2043">
        <v>801536</v>
      </c>
    </row>
    <row r="421" spans="1:3" ht="14.5">
      <c r="A421" s="41" t="s">
        <v>5027</v>
      </c>
      <c r="B421" s="380" t="str">
        <f t="shared" si="6"/>
        <v>083-902</v>
      </c>
      <c r="C421" s="2043">
        <v>363600</v>
      </c>
    </row>
    <row r="422" spans="1:3" ht="14.5">
      <c r="A422" s="41" t="s">
        <v>5028</v>
      </c>
      <c r="B422" s="380" t="str">
        <f t="shared" si="6"/>
        <v>083-903</v>
      </c>
      <c r="C422" s="2043">
        <v>0</v>
      </c>
    </row>
    <row r="423" spans="1:3" ht="14.5">
      <c r="A423" s="41" t="s">
        <v>8001</v>
      </c>
      <c r="B423" s="380" t="str">
        <f t="shared" si="6"/>
        <v>084-802</v>
      </c>
    </row>
    <row r="424" spans="1:3" ht="14.5">
      <c r="A424" s="41" t="s">
        <v>8002</v>
      </c>
      <c r="B424" s="380" t="str">
        <f t="shared" si="6"/>
        <v>084-804</v>
      </c>
    </row>
    <row r="425" spans="1:3" ht="14.5">
      <c r="A425" s="41" t="s">
        <v>5029</v>
      </c>
      <c r="B425" s="380" t="str">
        <f t="shared" si="6"/>
        <v>084-901</v>
      </c>
      <c r="C425" s="2043">
        <v>16378881</v>
      </c>
    </row>
    <row r="426" spans="1:3" ht="14.5">
      <c r="A426" s="41" t="s">
        <v>5030</v>
      </c>
      <c r="B426" s="380" t="str">
        <f t="shared" si="6"/>
        <v>084-902</v>
      </c>
      <c r="C426" s="2043">
        <v>4998650</v>
      </c>
    </row>
    <row r="427" spans="1:3" ht="14.5">
      <c r="A427" s="41" t="s">
        <v>5031</v>
      </c>
      <c r="B427" s="380" t="str">
        <f t="shared" si="6"/>
        <v>084-903</v>
      </c>
      <c r="C427" s="2043">
        <v>172975</v>
      </c>
    </row>
    <row r="428" spans="1:3" ht="14.5">
      <c r="A428" s="41" t="s">
        <v>5032</v>
      </c>
      <c r="B428" s="380" t="str">
        <f t="shared" si="6"/>
        <v>084-906</v>
      </c>
      <c r="C428" s="2043">
        <v>12044470</v>
      </c>
    </row>
    <row r="429" spans="1:3" ht="14.5">
      <c r="A429" s="41" t="s">
        <v>5033</v>
      </c>
      <c r="B429" s="380" t="str">
        <f t="shared" si="6"/>
        <v>084-908</v>
      </c>
      <c r="C429" s="2043">
        <v>2418752</v>
      </c>
    </row>
    <row r="430" spans="1:3" ht="14.5">
      <c r="A430" s="41" t="s">
        <v>2999</v>
      </c>
      <c r="B430" s="380" t="str">
        <f t="shared" si="6"/>
        <v>084-909</v>
      </c>
      <c r="C430" s="2043">
        <v>5089569</v>
      </c>
    </row>
    <row r="431" spans="1:3" ht="14.5">
      <c r="A431" s="41" t="s">
        <v>5034</v>
      </c>
      <c r="B431" s="380" t="str">
        <f t="shared" si="6"/>
        <v>084-910</v>
      </c>
      <c r="C431" s="2043">
        <v>63672921</v>
      </c>
    </row>
    <row r="432" spans="1:3" ht="14.5">
      <c r="A432" s="41" t="s">
        <v>3000</v>
      </c>
      <c r="B432" s="380" t="str">
        <f t="shared" si="6"/>
        <v>084-911</v>
      </c>
      <c r="C432" s="2043">
        <v>6059025</v>
      </c>
    </row>
    <row r="433" spans="1:3" ht="14.5">
      <c r="A433" s="41" t="s">
        <v>5035</v>
      </c>
      <c r="B433" s="380" t="str">
        <f t="shared" si="6"/>
        <v>085-902</v>
      </c>
      <c r="C433" s="2043">
        <v>2444902</v>
      </c>
    </row>
    <row r="434" spans="1:3" ht="14.5">
      <c r="A434" s="41" t="s">
        <v>5803</v>
      </c>
      <c r="B434" s="380" t="str">
        <f t="shared" si="6"/>
        <v>085-903</v>
      </c>
    </row>
    <row r="435" spans="1:3" ht="14.5">
      <c r="A435" s="41" t="s">
        <v>5804</v>
      </c>
      <c r="B435" s="380" t="str">
        <f t="shared" si="6"/>
        <v>086-024</v>
      </c>
    </row>
    <row r="436" spans="1:3" ht="14.5">
      <c r="A436" s="41" t="s">
        <v>5036</v>
      </c>
      <c r="B436" s="380" t="str">
        <f t="shared" si="6"/>
        <v>086-901</v>
      </c>
      <c r="C436" s="2043">
        <v>1014074</v>
      </c>
    </row>
    <row r="437" spans="1:3" ht="14.5">
      <c r="A437" s="41" t="s">
        <v>5805</v>
      </c>
      <c r="B437" s="380" t="str">
        <f t="shared" si="6"/>
        <v>086-902</v>
      </c>
    </row>
    <row r="438" spans="1:3" ht="14.5">
      <c r="A438" s="41" t="s">
        <v>5037</v>
      </c>
      <c r="B438" s="380" t="str">
        <f t="shared" si="6"/>
        <v>087-901</v>
      </c>
      <c r="C438" s="2043">
        <v>1004250</v>
      </c>
    </row>
    <row r="439" spans="1:3" ht="14.5">
      <c r="A439" s="41" t="s">
        <v>5038</v>
      </c>
      <c r="B439" s="380" t="str">
        <f t="shared" si="6"/>
        <v>088-902</v>
      </c>
      <c r="C439" s="2043">
        <v>1261950</v>
      </c>
    </row>
    <row r="440" spans="1:3" ht="14.5">
      <c r="A440" s="41" t="s">
        <v>3001</v>
      </c>
      <c r="B440" s="380" t="str">
        <f t="shared" si="6"/>
        <v>089-901</v>
      </c>
      <c r="C440" s="2043">
        <v>905207</v>
      </c>
    </row>
    <row r="441" spans="1:3" ht="14.5">
      <c r="A441" s="41" t="s">
        <v>5039</v>
      </c>
      <c r="B441" s="380" t="str">
        <f t="shared" si="6"/>
        <v>089-903</v>
      </c>
      <c r="C441" s="2043">
        <v>1508672</v>
      </c>
    </row>
    <row r="442" spans="1:3" ht="14.5">
      <c r="A442" s="41" t="s">
        <v>5040</v>
      </c>
      <c r="B442" s="380" t="str">
        <f t="shared" si="6"/>
        <v>089-905</v>
      </c>
      <c r="C442" s="2043">
        <v>220562</v>
      </c>
    </row>
    <row r="443" spans="1:3" ht="14.5">
      <c r="A443" s="41" t="s">
        <v>5041</v>
      </c>
      <c r="B443" s="380" t="str">
        <f t="shared" si="6"/>
        <v>090-902</v>
      </c>
      <c r="C443" s="2043">
        <v>380650</v>
      </c>
    </row>
    <row r="444" spans="1:3" ht="14.5">
      <c r="A444" s="41" t="s">
        <v>5042</v>
      </c>
      <c r="B444" s="380" t="str">
        <f t="shared" si="6"/>
        <v>090-903</v>
      </c>
      <c r="C444" s="2043">
        <v>211500</v>
      </c>
    </row>
    <row r="445" spans="1:3" ht="14.5">
      <c r="A445" s="41" t="s">
        <v>3002</v>
      </c>
      <c r="B445" s="380" t="str">
        <f t="shared" si="6"/>
        <v>090-904</v>
      </c>
      <c r="C445" s="2043">
        <v>2752839</v>
      </c>
    </row>
    <row r="446" spans="1:3" ht="14.5">
      <c r="A446" s="41" t="s">
        <v>5043</v>
      </c>
      <c r="B446" s="380" t="str">
        <f t="shared" si="6"/>
        <v>090-905</v>
      </c>
    </row>
    <row r="447" spans="1:3" ht="14.5">
      <c r="A447" s="41" t="s">
        <v>3003</v>
      </c>
      <c r="B447" s="380" t="str">
        <f t="shared" si="6"/>
        <v>091-901</v>
      </c>
      <c r="C447" s="2043">
        <v>562100</v>
      </c>
    </row>
    <row r="448" spans="1:3" ht="14.5">
      <c r="A448" s="41" t="s">
        <v>3948</v>
      </c>
      <c r="B448" s="380" t="str">
        <f t="shared" si="6"/>
        <v>091-902</v>
      </c>
      <c r="C448" s="2043">
        <v>94185</v>
      </c>
    </row>
    <row r="449" spans="1:3" ht="14.5">
      <c r="A449" s="41" t="s">
        <v>5044</v>
      </c>
      <c r="B449" s="380" t="str">
        <f t="shared" si="6"/>
        <v>091-903</v>
      </c>
      <c r="C449" s="2043">
        <v>5686918</v>
      </c>
    </row>
    <row r="450" spans="1:3" ht="14.5">
      <c r="A450" s="41" t="s">
        <v>3004</v>
      </c>
      <c r="B450" s="380" t="str">
        <f t="shared" si="6"/>
        <v>091-905</v>
      </c>
      <c r="C450" s="2043">
        <v>899450</v>
      </c>
    </row>
    <row r="451" spans="1:3" ht="14.5">
      <c r="A451" s="41" t="s">
        <v>3005</v>
      </c>
      <c r="B451" s="380" t="str">
        <f t="shared" si="6"/>
        <v>091-906</v>
      </c>
      <c r="C451" s="2043">
        <v>7918069</v>
      </c>
    </row>
    <row r="452" spans="1:3" ht="14.5">
      <c r="A452" s="41" t="s">
        <v>5045</v>
      </c>
      <c r="B452" s="380" t="str">
        <f t="shared" ref="B452:B515" si="7">CONCATENATE(LEFT(RIGHT(CONCATENATE("000",A452),6),3),"-",(RIGHT(RIGHT(CONCATENATE("000",A452),6),3)))</f>
        <v>091-907</v>
      </c>
      <c r="C452" s="2043">
        <v>225225</v>
      </c>
    </row>
    <row r="453" spans="1:3" ht="14.5">
      <c r="A453" s="41" t="s">
        <v>3006</v>
      </c>
      <c r="B453" s="380" t="str">
        <f t="shared" si="7"/>
        <v>091-908</v>
      </c>
      <c r="C453" s="2043">
        <v>2494211</v>
      </c>
    </row>
    <row r="454" spans="1:3" ht="14.5">
      <c r="A454" s="41" t="s">
        <v>3007</v>
      </c>
      <c r="B454" s="380" t="str">
        <f t="shared" si="7"/>
        <v>091-909</v>
      </c>
      <c r="C454" s="2043">
        <v>1178718</v>
      </c>
    </row>
    <row r="455" spans="1:3" ht="14.5">
      <c r="A455" s="41" t="s">
        <v>5046</v>
      </c>
      <c r="B455" s="380" t="str">
        <f t="shared" si="7"/>
        <v>091-910</v>
      </c>
      <c r="C455" s="2043">
        <v>579950</v>
      </c>
    </row>
    <row r="456" spans="1:3" ht="14.5">
      <c r="A456" s="41" t="s">
        <v>3008</v>
      </c>
      <c r="B456" s="380" t="str">
        <f t="shared" si="7"/>
        <v>091-913</v>
      </c>
      <c r="C456" s="2043">
        <v>1002600</v>
      </c>
    </row>
    <row r="457" spans="1:3" ht="14.5">
      <c r="A457" s="41" t="s">
        <v>5047</v>
      </c>
      <c r="B457" s="380" t="str">
        <f t="shared" si="7"/>
        <v>091-914</v>
      </c>
      <c r="C457" s="2043">
        <v>536680</v>
      </c>
    </row>
    <row r="458" spans="1:3" ht="14.5">
      <c r="A458" s="41" t="s">
        <v>3009</v>
      </c>
      <c r="B458" s="380" t="str">
        <f t="shared" si="7"/>
        <v>091-917</v>
      </c>
      <c r="C458" s="2043">
        <v>1049868</v>
      </c>
    </row>
    <row r="459" spans="1:3" ht="14.5">
      <c r="A459" s="41" t="s">
        <v>5048</v>
      </c>
      <c r="B459" s="380" t="str">
        <f t="shared" si="7"/>
        <v>091-918</v>
      </c>
      <c r="C459" s="2043">
        <v>576250</v>
      </c>
    </row>
    <row r="460" spans="1:3" ht="14.5">
      <c r="A460" s="41" t="s">
        <v>8003</v>
      </c>
      <c r="B460" s="380" t="str">
        <f t="shared" si="7"/>
        <v>092-801</v>
      </c>
    </row>
    <row r="461" spans="1:3" ht="14.5">
      <c r="A461" s="41" t="s">
        <v>5049</v>
      </c>
      <c r="B461" s="380" t="str">
        <f t="shared" si="7"/>
        <v>092-901</v>
      </c>
      <c r="C461" s="2043">
        <v>1767650</v>
      </c>
    </row>
    <row r="462" spans="1:3" ht="14.5">
      <c r="A462" s="41" t="s">
        <v>5050</v>
      </c>
      <c r="B462" s="380" t="str">
        <f t="shared" si="7"/>
        <v>092-902</v>
      </c>
      <c r="C462" s="2043">
        <v>3259322</v>
      </c>
    </row>
    <row r="463" spans="1:3" ht="14.5">
      <c r="A463" s="41" t="s">
        <v>3969</v>
      </c>
      <c r="B463" s="380" t="str">
        <f t="shared" si="7"/>
        <v>092-903</v>
      </c>
      <c r="C463" s="2043">
        <v>17408192</v>
      </c>
    </row>
    <row r="464" spans="1:3" ht="14.5">
      <c r="A464" s="41" t="s">
        <v>5051</v>
      </c>
      <c r="B464" s="380" t="str">
        <f t="shared" si="7"/>
        <v>092-904</v>
      </c>
      <c r="C464" s="2043">
        <v>5519740</v>
      </c>
    </row>
    <row r="465" spans="1:3" ht="14.5">
      <c r="A465" s="41" t="s">
        <v>5052</v>
      </c>
      <c r="B465" s="380" t="str">
        <f t="shared" si="7"/>
        <v>092-906</v>
      </c>
      <c r="C465" s="2043">
        <v>914760</v>
      </c>
    </row>
    <row r="466" spans="1:3" ht="14.5">
      <c r="A466" s="41" t="s">
        <v>3010</v>
      </c>
      <c r="B466" s="380" t="str">
        <f t="shared" si="7"/>
        <v>092-907</v>
      </c>
      <c r="C466" s="2043">
        <v>2651039</v>
      </c>
    </row>
    <row r="467" spans="1:3" ht="14.5">
      <c r="A467" s="41" t="s">
        <v>5053</v>
      </c>
      <c r="B467" s="380" t="str">
        <f t="shared" si="7"/>
        <v>092-908</v>
      </c>
      <c r="C467" s="2043">
        <v>314700</v>
      </c>
    </row>
    <row r="468" spans="1:3" ht="14.5">
      <c r="A468" s="41" t="s">
        <v>8506</v>
      </c>
      <c r="B468" s="380" t="str">
        <f t="shared" si="7"/>
        <v>092-950</v>
      </c>
    </row>
    <row r="469" spans="1:3" ht="14.5">
      <c r="A469" s="41" t="s">
        <v>5054</v>
      </c>
      <c r="B469" s="380" t="str">
        <f t="shared" si="7"/>
        <v>093-901</v>
      </c>
      <c r="C469" s="2043">
        <v>2071177</v>
      </c>
    </row>
    <row r="470" spans="1:3" ht="14.5">
      <c r="A470" s="41" t="s">
        <v>3011</v>
      </c>
      <c r="B470" s="380" t="str">
        <f t="shared" si="7"/>
        <v>093-903</v>
      </c>
      <c r="C470" s="2043">
        <v>608000</v>
      </c>
    </row>
    <row r="471" spans="1:3" ht="14.5">
      <c r="A471" s="41" t="s">
        <v>5055</v>
      </c>
      <c r="B471" s="380" t="str">
        <f t="shared" si="7"/>
        <v>093-904</v>
      </c>
      <c r="C471" s="2043">
        <v>2169860</v>
      </c>
    </row>
    <row r="472" spans="1:3" ht="14.5">
      <c r="A472" s="41" t="s">
        <v>5806</v>
      </c>
      <c r="B472" s="380" t="str">
        <f t="shared" si="7"/>
        <v>093-905</v>
      </c>
      <c r="C472" s="2043">
        <v>0</v>
      </c>
    </row>
    <row r="473" spans="1:3" ht="14.5">
      <c r="A473" s="41" t="s">
        <v>3012</v>
      </c>
      <c r="B473" s="380" t="str">
        <f t="shared" si="7"/>
        <v>094-901</v>
      </c>
      <c r="C473" s="2043">
        <v>9321996</v>
      </c>
    </row>
    <row r="474" spans="1:3" ht="14.5">
      <c r="A474" s="41" t="s">
        <v>3013</v>
      </c>
      <c r="B474" s="380" t="str">
        <f t="shared" si="7"/>
        <v>094-902</v>
      </c>
      <c r="C474" s="2043">
        <v>26230587</v>
      </c>
    </row>
    <row r="475" spans="1:3" ht="14.5">
      <c r="A475" s="41" t="s">
        <v>3014</v>
      </c>
      <c r="B475" s="380" t="str">
        <f t="shared" si="7"/>
        <v>094-903</v>
      </c>
      <c r="C475" s="2043">
        <v>1561738</v>
      </c>
    </row>
    <row r="476" spans="1:3" ht="14.5">
      <c r="A476" s="41" t="s">
        <v>3993</v>
      </c>
      <c r="B476" s="380" t="str">
        <f t="shared" si="7"/>
        <v>094-904</v>
      </c>
      <c r="C476" s="2043">
        <v>669012</v>
      </c>
    </row>
    <row r="477" spans="1:3" ht="14.5">
      <c r="A477" s="41" t="s">
        <v>5056</v>
      </c>
      <c r="B477" s="380" t="str">
        <f t="shared" si="7"/>
        <v>095-901</v>
      </c>
      <c r="C477" s="2043">
        <v>1638818</v>
      </c>
    </row>
    <row r="478" spans="1:3" ht="14.5">
      <c r="A478" s="41" t="s">
        <v>5807</v>
      </c>
      <c r="B478" s="380" t="str">
        <f t="shared" si="7"/>
        <v>095-902</v>
      </c>
    </row>
    <row r="479" spans="1:3" ht="14.5">
      <c r="A479" s="41" t="s">
        <v>5057</v>
      </c>
      <c r="B479" s="380" t="str">
        <f t="shared" si="7"/>
        <v>095-903</v>
      </c>
      <c r="C479" s="2043">
        <v>550925</v>
      </c>
    </row>
    <row r="480" spans="1:3" ht="14.5">
      <c r="A480" s="41" t="s">
        <v>5808</v>
      </c>
      <c r="B480" s="380" t="str">
        <f t="shared" si="7"/>
        <v>095-904</v>
      </c>
      <c r="C480" s="2043">
        <v>0</v>
      </c>
    </row>
    <row r="481" spans="1:3" ht="14.5">
      <c r="A481" s="41" t="s">
        <v>5809</v>
      </c>
      <c r="B481" s="380" t="str">
        <f t="shared" si="7"/>
        <v>095-905</v>
      </c>
      <c r="C481" s="2043">
        <v>0</v>
      </c>
    </row>
    <row r="482" spans="1:3" ht="14.5">
      <c r="A482" s="41" t="s">
        <v>5810</v>
      </c>
      <c r="B482" s="380" t="str">
        <f t="shared" si="7"/>
        <v>096-904</v>
      </c>
    </row>
    <row r="483" spans="1:3" ht="14.5">
      <c r="A483" s="41" t="s">
        <v>5058</v>
      </c>
      <c r="B483" s="380" t="str">
        <f t="shared" si="7"/>
        <v>096-905</v>
      </c>
      <c r="C483" s="2043">
        <v>163512</v>
      </c>
    </row>
    <row r="484" spans="1:3" ht="14.5">
      <c r="A484" s="41" t="s">
        <v>5059</v>
      </c>
      <c r="B484" s="380" t="str">
        <f t="shared" si="7"/>
        <v>097-902</v>
      </c>
    </row>
    <row r="485" spans="1:3" ht="14.5">
      <c r="A485" s="41" t="s">
        <v>3015</v>
      </c>
      <c r="B485" s="380" t="str">
        <f t="shared" si="7"/>
        <v>097-903</v>
      </c>
      <c r="C485" s="2043">
        <v>313021</v>
      </c>
    </row>
    <row r="486" spans="1:3" ht="14.5">
      <c r="A486" s="41" t="s">
        <v>5060</v>
      </c>
      <c r="B486" s="380" t="str">
        <f t="shared" si="7"/>
        <v>098-901</v>
      </c>
      <c r="C486" s="2043">
        <v>0</v>
      </c>
    </row>
    <row r="487" spans="1:3" ht="14.5">
      <c r="A487" s="41" t="s">
        <v>5061</v>
      </c>
      <c r="B487" s="380" t="str">
        <f t="shared" si="7"/>
        <v>098-903</v>
      </c>
      <c r="C487" s="2043">
        <v>199508</v>
      </c>
    </row>
    <row r="488" spans="1:3" ht="14.5">
      <c r="A488" s="41" t="s">
        <v>5062</v>
      </c>
      <c r="B488" s="380" t="str">
        <f t="shared" si="7"/>
        <v>098-904</v>
      </c>
      <c r="C488" s="2043">
        <v>780375</v>
      </c>
    </row>
    <row r="489" spans="1:3" ht="14.5">
      <c r="A489" s="41" t="s">
        <v>5063</v>
      </c>
      <c r="B489" s="380" t="str">
        <f t="shared" si="7"/>
        <v>099-902</v>
      </c>
      <c r="C489" s="2043">
        <v>317800</v>
      </c>
    </row>
    <row r="490" spans="1:3" ht="14.5">
      <c r="A490" s="41" t="s">
        <v>5811</v>
      </c>
      <c r="B490" s="380" t="str">
        <f t="shared" si="7"/>
        <v>099-903</v>
      </c>
    </row>
    <row r="491" spans="1:3" ht="14.5">
      <c r="A491" s="41" t="s">
        <v>5064</v>
      </c>
      <c r="B491" s="380" t="str">
        <f t="shared" si="7"/>
        <v>100-903</v>
      </c>
      <c r="C491" s="2043">
        <v>699238</v>
      </c>
    </row>
    <row r="492" spans="1:3" ht="14.5">
      <c r="A492" s="41" t="s">
        <v>3016</v>
      </c>
      <c r="B492" s="380" t="str">
        <f t="shared" si="7"/>
        <v>100-904</v>
      </c>
      <c r="C492" s="2043">
        <v>2930447</v>
      </c>
    </row>
    <row r="493" spans="1:3" ht="14.5">
      <c r="A493" s="41" t="s">
        <v>5065</v>
      </c>
      <c r="B493" s="380" t="str">
        <f t="shared" si="7"/>
        <v>100-905</v>
      </c>
      <c r="C493" s="2043">
        <v>2237340</v>
      </c>
    </row>
    <row r="494" spans="1:3" ht="14.5">
      <c r="A494" s="41" t="s">
        <v>3017</v>
      </c>
      <c r="B494" s="380" t="str">
        <f t="shared" si="7"/>
        <v>100-907</v>
      </c>
      <c r="C494" s="2043">
        <v>0</v>
      </c>
    </row>
    <row r="495" spans="1:3" ht="14.5">
      <c r="A495" s="41" t="s">
        <v>3018</v>
      </c>
      <c r="B495" s="380" t="str">
        <f t="shared" si="7"/>
        <v>100-908</v>
      </c>
      <c r="C495" s="2043">
        <v>236900</v>
      </c>
    </row>
    <row r="496" spans="1:3" ht="14.5">
      <c r="A496" s="41" t="s">
        <v>8507</v>
      </c>
      <c r="B496" s="380" t="str">
        <f t="shared" si="7"/>
        <v>101-000</v>
      </c>
    </row>
    <row r="497" spans="1:2" ht="14.5">
      <c r="A497" s="41" t="s">
        <v>8004</v>
      </c>
      <c r="B497" s="380" t="str">
        <f t="shared" si="7"/>
        <v>101-802</v>
      </c>
    </row>
    <row r="498" spans="1:2" ht="14.5">
      <c r="A498" s="41" t="s">
        <v>8005</v>
      </c>
      <c r="B498" s="380" t="str">
        <f t="shared" si="7"/>
        <v>101-803</v>
      </c>
    </row>
    <row r="499" spans="1:2" ht="14.5">
      <c r="A499" s="41" t="s">
        <v>8006</v>
      </c>
      <c r="B499" s="380" t="str">
        <f t="shared" si="7"/>
        <v>101-804</v>
      </c>
    </row>
    <row r="500" spans="1:2" ht="14.5">
      <c r="A500" s="41" t="s">
        <v>8007</v>
      </c>
      <c r="B500" s="380" t="str">
        <f t="shared" si="7"/>
        <v>101-806</v>
      </c>
    </row>
    <row r="501" spans="1:2" ht="14.5">
      <c r="A501" s="41" t="s">
        <v>8009</v>
      </c>
      <c r="B501" s="380" t="str">
        <f t="shared" si="7"/>
        <v>101-810</v>
      </c>
    </row>
    <row r="502" spans="1:2" ht="14.5">
      <c r="A502" s="41" t="s">
        <v>8010</v>
      </c>
      <c r="B502" s="380" t="str">
        <f t="shared" si="7"/>
        <v>101-811</v>
      </c>
    </row>
    <row r="503" spans="1:2" ht="14.5">
      <c r="A503" s="41" t="s">
        <v>8011</v>
      </c>
      <c r="B503" s="380" t="str">
        <f t="shared" si="7"/>
        <v>101-814</v>
      </c>
    </row>
    <row r="504" spans="1:2" ht="14.5">
      <c r="A504" s="41" t="s">
        <v>8012</v>
      </c>
      <c r="B504" s="380" t="str">
        <f t="shared" si="7"/>
        <v>101-815</v>
      </c>
    </row>
    <row r="505" spans="1:2" ht="14.5">
      <c r="A505" s="41" t="s">
        <v>8013</v>
      </c>
      <c r="B505" s="380" t="str">
        <f t="shared" si="7"/>
        <v>101-819</v>
      </c>
    </row>
    <row r="506" spans="1:2" ht="14.5">
      <c r="A506" s="41" t="s">
        <v>8014</v>
      </c>
      <c r="B506" s="380" t="str">
        <f t="shared" si="7"/>
        <v>101-821</v>
      </c>
    </row>
    <row r="507" spans="1:2" ht="14.5">
      <c r="A507" s="41" t="s">
        <v>8015</v>
      </c>
      <c r="B507" s="380" t="str">
        <f t="shared" si="7"/>
        <v>101-828</v>
      </c>
    </row>
    <row r="508" spans="1:2" ht="14.5">
      <c r="A508" s="41" t="s">
        <v>8016</v>
      </c>
      <c r="B508" s="380" t="str">
        <f t="shared" si="7"/>
        <v>101-837</v>
      </c>
    </row>
    <row r="509" spans="1:2" ht="14.5">
      <c r="A509" s="41" t="s">
        <v>8017</v>
      </c>
      <c r="B509" s="380" t="str">
        <f t="shared" si="7"/>
        <v>101-838</v>
      </c>
    </row>
    <row r="510" spans="1:2" ht="14.5">
      <c r="A510" s="41" t="s">
        <v>8018</v>
      </c>
      <c r="B510" s="380" t="str">
        <f t="shared" si="7"/>
        <v>101-840</v>
      </c>
    </row>
    <row r="511" spans="1:2" ht="14.5">
      <c r="A511" s="41" t="s">
        <v>8019</v>
      </c>
      <c r="B511" s="380" t="str">
        <f t="shared" si="7"/>
        <v>101-842</v>
      </c>
    </row>
    <row r="512" spans="1:2" ht="14.5">
      <c r="A512" s="41" t="s">
        <v>8020</v>
      </c>
      <c r="B512" s="380" t="str">
        <f t="shared" si="7"/>
        <v>101-845</v>
      </c>
    </row>
    <row r="513" spans="1:2" ht="14.5">
      <c r="A513" s="41" t="s">
        <v>8021</v>
      </c>
      <c r="B513" s="380" t="str">
        <f t="shared" si="7"/>
        <v>101-846</v>
      </c>
    </row>
    <row r="514" spans="1:2" ht="14.5">
      <c r="A514" s="41" t="s">
        <v>8022</v>
      </c>
      <c r="B514" s="380" t="str">
        <f t="shared" si="7"/>
        <v>101-847</v>
      </c>
    </row>
    <row r="515" spans="1:2" ht="14.5">
      <c r="A515" s="41" t="s">
        <v>8023</v>
      </c>
      <c r="B515" s="380" t="str">
        <f t="shared" si="7"/>
        <v>101-849</v>
      </c>
    </row>
    <row r="516" spans="1:2" ht="14.5">
      <c r="A516" s="41" t="s">
        <v>8024</v>
      </c>
      <c r="B516" s="380" t="str">
        <f t="shared" ref="B516:B579" si="8">CONCATENATE(LEFT(RIGHT(CONCATENATE("000",A516),6),3),"-",(RIGHT(RIGHT(CONCATENATE("000",A516),6),3)))</f>
        <v>101-853</v>
      </c>
    </row>
    <row r="517" spans="1:2" ht="14.5">
      <c r="A517" s="41" t="s">
        <v>8025</v>
      </c>
      <c r="B517" s="380" t="str">
        <f t="shared" si="8"/>
        <v>101-855</v>
      </c>
    </row>
    <row r="518" spans="1:2" ht="14.5">
      <c r="A518" s="41" t="s">
        <v>8026</v>
      </c>
      <c r="B518" s="380" t="str">
        <f t="shared" si="8"/>
        <v>101-856</v>
      </c>
    </row>
    <row r="519" spans="1:2" ht="14.5">
      <c r="A519" s="41" t="s">
        <v>8027</v>
      </c>
      <c r="B519" s="380" t="str">
        <f t="shared" si="8"/>
        <v>101-858</v>
      </c>
    </row>
    <row r="520" spans="1:2" ht="14.5">
      <c r="A520" s="41" t="s">
        <v>8028</v>
      </c>
      <c r="B520" s="380" t="str">
        <f t="shared" si="8"/>
        <v>101-859</v>
      </c>
    </row>
    <row r="521" spans="1:2" ht="14.5">
      <c r="A521" s="41" t="s">
        <v>8029</v>
      </c>
      <c r="B521" s="380" t="str">
        <f t="shared" si="8"/>
        <v>101-861</v>
      </c>
    </row>
    <row r="522" spans="1:2" ht="14.5">
      <c r="A522" s="41" t="s">
        <v>8030</v>
      </c>
      <c r="B522" s="380" t="str">
        <f t="shared" si="8"/>
        <v>101-862</v>
      </c>
    </row>
    <row r="523" spans="1:2" ht="14.5">
      <c r="A523" s="41" t="s">
        <v>8031</v>
      </c>
      <c r="B523" s="380" t="str">
        <f t="shared" si="8"/>
        <v>101-864</v>
      </c>
    </row>
    <row r="524" spans="1:2" ht="14.5">
      <c r="A524" s="41" t="s">
        <v>8032</v>
      </c>
      <c r="B524" s="380" t="str">
        <f t="shared" si="8"/>
        <v>101-868</v>
      </c>
    </row>
    <row r="525" spans="1:2" ht="14.5">
      <c r="A525" s="41" t="s">
        <v>8033</v>
      </c>
      <c r="B525" s="380" t="str">
        <f t="shared" si="8"/>
        <v>101-870</v>
      </c>
    </row>
    <row r="526" spans="1:2" ht="14.5">
      <c r="A526" s="41" t="s">
        <v>8034</v>
      </c>
      <c r="B526" s="380" t="str">
        <f t="shared" si="8"/>
        <v>101-871</v>
      </c>
    </row>
    <row r="527" spans="1:2" ht="14.5">
      <c r="A527" s="41" t="s">
        <v>8035</v>
      </c>
      <c r="B527" s="380" t="str">
        <f t="shared" si="8"/>
        <v>101-872</v>
      </c>
    </row>
    <row r="528" spans="1:2" ht="14.5">
      <c r="A528" s="41" t="s">
        <v>8036</v>
      </c>
      <c r="B528" s="380" t="str">
        <f t="shared" si="8"/>
        <v>101-873</v>
      </c>
    </row>
    <row r="529" spans="1:3" ht="14.5">
      <c r="A529" s="41" t="s">
        <v>8037</v>
      </c>
      <c r="B529" s="380" t="str">
        <f t="shared" si="8"/>
        <v>101-874</v>
      </c>
    </row>
    <row r="530" spans="1:3" ht="14.5">
      <c r="A530" s="41" t="s">
        <v>8038</v>
      </c>
      <c r="B530" s="380" t="str">
        <f t="shared" si="8"/>
        <v>101-875</v>
      </c>
    </row>
    <row r="531" spans="1:3" ht="14.5">
      <c r="A531" s="41" t="s">
        <v>8039</v>
      </c>
      <c r="B531" s="380" t="str">
        <f t="shared" si="8"/>
        <v>101-876</v>
      </c>
    </row>
    <row r="532" spans="1:3" ht="14.5">
      <c r="A532" s="41" t="s">
        <v>8778</v>
      </c>
      <c r="B532" s="380" t="str">
        <f t="shared" si="8"/>
        <v>101-877</v>
      </c>
    </row>
    <row r="533" spans="1:3" ht="14.5">
      <c r="A533" s="41" t="s">
        <v>8779</v>
      </c>
      <c r="B533" s="380" t="str">
        <f t="shared" si="8"/>
        <v>101-878</v>
      </c>
    </row>
    <row r="534" spans="1:3" ht="14.5">
      <c r="A534" s="41" t="s">
        <v>3019</v>
      </c>
      <c r="B534" s="380" t="str">
        <f t="shared" si="8"/>
        <v>101-902</v>
      </c>
      <c r="C534" s="2043">
        <v>34270486</v>
      </c>
    </row>
    <row r="535" spans="1:3" ht="14.5">
      <c r="A535" s="41" t="s">
        <v>3020</v>
      </c>
      <c r="B535" s="380" t="str">
        <f t="shared" si="8"/>
        <v>101-903</v>
      </c>
      <c r="C535" s="2043">
        <v>11989885</v>
      </c>
    </row>
    <row r="536" spans="1:3" ht="14.5">
      <c r="A536" s="41" t="s">
        <v>3021</v>
      </c>
      <c r="B536" s="380" t="str">
        <f t="shared" si="8"/>
        <v>101-905</v>
      </c>
      <c r="C536" s="2043">
        <v>10243513</v>
      </c>
    </row>
    <row r="537" spans="1:3" ht="14.5">
      <c r="A537" s="41" t="s">
        <v>3022</v>
      </c>
      <c r="B537" s="380" t="str">
        <f t="shared" si="8"/>
        <v>101-906</v>
      </c>
      <c r="C537" s="2043">
        <v>8234123</v>
      </c>
    </row>
    <row r="538" spans="1:3" ht="14.5">
      <c r="A538" s="41" t="s">
        <v>5066</v>
      </c>
      <c r="B538" s="380" t="str">
        <f t="shared" si="8"/>
        <v>101-907</v>
      </c>
      <c r="C538" s="2043">
        <v>158331146</v>
      </c>
    </row>
    <row r="539" spans="1:3" ht="14.5">
      <c r="A539" s="41" t="s">
        <v>5067</v>
      </c>
      <c r="B539" s="380" t="str">
        <f t="shared" si="8"/>
        <v>101-908</v>
      </c>
      <c r="C539" s="2043">
        <v>21778093</v>
      </c>
    </row>
    <row r="540" spans="1:3" ht="14.5">
      <c r="A540" s="41" t="s">
        <v>3023</v>
      </c>
      <c r="B540" s="380" t="str">
        <f t="shared" si="8"/>
        <v>101-910</v>
      </c>
      <c r="C540" s="2043">
        <v>20354612</v>
      </c>
    </row>
    <row r="541" spans="1:3" ht="14.5">
      <c r="A541" s="41" t="s">
        <v>5068</v>
      </c>
      <c r="B541" s="380" t="str">
        <f t="shared" si="8"/>
        <v>101-911</v>
      </c>
      <c r="C541" s="2043">
        <v>39123486</v>
      </c>
    </row>
    <row r="542" spans="1:3" ht="14.5">
      <c r="A542" s="41" t="s">
        <v>5069</v>
      </c>
      <c r="B542" s="380" t="str">
        <f t="shared" si="8"/>
        <v>101-912</v>
      </c>
      <c r="C542" s="2043">
        <v>195603631</v>
      </c>
    </row>
    <row r="543" spans="1:3" ht="14.5">
      <c r="A543" s="41" t="s">
        <v>3024</v>
      </c>
      <c r="B543" s="380" t="str">
        <f t="shared" si="8"/>
        <v>101-913</v>
      </c>
      <c r="C543" s="2043">
        <v>55890698</v>
      </c>
    </row>
    <row r="544" spans="1:3" ht="14.5">
      <c r="A544" s="41" t="s">
        <v>3025</v>
      </c>
      <c r="B544" s="380" t="str">
        <f t="shared" si="8"/>
        <v>101-914</v>
      </c>
      <c r="C544" s="2043">
        <v>96119007</v>
      </c>
    </row>
    <row r="545" spans="1:3" ht="14.5">
      <c r="A545" s="41" t="s">
        <v>3026</v>
      </c>
      <c r="B545" s="380" t="str">
        <f t="shared" si="8"/>
        <v>101-915</v>
      </c>
      <c r="C545" s="2043">
        <v>66758128</v>
      </c>
    </row>
    <row r="546" spans="1:3" ht="14.5">
      <c r="A546" s="41" t="s">
        <v>5070</v>
      </c>
      <c r="B546" s="380" t="str">
        <f t="shared" si="8"/>
        <v>101-916</v>
      </c>
      <c r="C546" s="2043">
        <v>23952467</v>
      </c>
    </row>
    <row r="547" spans="1:3" ht="14.5">
      <c r="A547" s="41" t="s">
        <v>3027</v>
      </c>
      <c r="B547" s="380" t="str">
        <f t="shared" si="8"/>
        <v>101-917</v>
      </c>
      <c r="C547" s="2043">
        <v>50220375</v>
      </c>
    </row>
    <row r="548" spans="1:3" ht="14.5">
      <c r="A548" s="41" t="s">
        <v>5071</v>
      </c>
      <c r="B548" s="380" t="str">
        <f t="shared" si="8"/>
        <v>101-919</v>
      </c>
      <c r="C548" s="2043">
        <v>49835015</v>
      </c>
    </row>
    <row r="549" spans="1:3" ht="14.5">
      <c r="A549" s="41" t="s">
        <v>5072</v>
      </c>
      <c r="B549" s="380" t="str">
        <f t="shared" si="8"/>
        <v>101-920</v>
      </c>
      <c r="C549" s="2043">
        <v>35718692</v>
      </c>
    </row>
    <row r="550" spans="1:3" ht="14.5">
      <c r="A550" s="41" t="s">
        <v>5073</v>
      </c>
      <c r="B550" s="380" t="str">
        <f t="shared" si="8"/>
        <v>101-921</v>
      </c>
      <c r="C550" s="2043">
        <v>28033120</v>
      </c>
    </row>
    <row r="551" spans="1:3" ht="14.5">
      <c r="A551" s="41" t="s">
        <v>5074</v>
      </c>
      <c r="B551" s="380" t="str">
        <f t="shared" si="8"/>
        <v>101-924</v>
      </c>
      <c r="C551" s="2043">
        <v>11727277</v>
      </c>
    </row>
    <row r="552" spans="1:3" ht="14.5">
      <c r="A552" s="41" t="s">
        <v>3028</v>
      </c>
      <c r="B552" s="380" t="str">
        <f t="shared" si="8"/>
        <v>101-925</v>
      </c>
      <c r="C552" s="2043">
        <v>3450198</v>
      </c>
    </row>
    <row r="553" spans="1:3" ht="14.5">
      <c r="A553" s="41" t="s">
        <v>8508</v>
      </c>
      <c r="B553" s="380" t="str">
        <f t="shared" si="8"/>
        <v>101-950</v>
      </c>
    </row>
    <row r="554" spans="1:3" ht="14.5">
      <c r="A554" s="41" t="s">
        <v>5812</v>
      </c>
      <c r="B554" s="380" t="str">
        <f t="shared" si="8"/>
        <v>102-901</v>
      </c>
    </row>
    <row r="555" spans="1:3" ht="14.5">
      <c r="A555" s="41" t="s">
        <v>5075</v>
      </c>
      <c r="B555" s="380" t="str">
        <f t="shared" si="8"/>
        <v>102-902</v>
      </c>
      <c r="C555" s="2043">
        <v>5421325</v>
      </c>
    </row>
    <row r="556" spans="1:3" ht="14.5">
      <c r="A556" s="41" t="s">
        <v>5076</v>
      </c>
      <c r="B556" s="380" t="str">
        <f t="shared" si="8"/>
        <v>102-903</v>
      </c>
      <c r="C556" s="2043">
        <v>504869</v>
      </c>
    </row>
    <row r="557" spans="1:3" ht="14.5">
      <c r="A557" s="41" t="s">
        <v>5077</v>
      </c>
      <c r="B557" s="380" t="str">
        <f t="shared" si="8"/>
        <v>102-904</v>
      </c>
      <c r="C557" s="2043">
        <v>6718978</v>
      </c>
    </row>
    <row r="558" spans="1:3" ht="14.5">
      <c r="A558" s="41" t="s">
        <v>5078</v>
      </c>
      <c r="B558" s="380" t="str">
        <f t="shared" si="8"/>
        <v>102-905</v>
      </c>
      <c r="C558" s="2043">
        <v>153123</v>
      </c>
    </row>
    <row r="559" spans="1:3" ht="14.5">
      <c r="A559" s="41" t="s">
        <v>5079</v>
      </c>
      <c r="B559" s="380" t="str">
        <f t="shared" si="8"/>
        <v>102-906</v>
      </c>
      <c r="C559" s="2043">
        <v>937400</v>
      </c>
    </row>
    <row r="560" spans="1:3" ht="14.5">
      <c r="A560" s="41" t="s">
        <v>5080</v>
      </c>
      <c r="B560" s="380" t="str">
        <f t="shared" si="8"/>
        <v>103-901</v>
      </c>
      <c r="C560" s="2043">
        <v>280375</v>
      </c>
    </row>
    <row r="561" spans="1:3" ht="14.5">
      <c r="A561" s="41" t="s">
        <v>5081</v>
      </c>
      <c r="B561" s="380" t="str">
        <f t="shared" si="8"/>
        <v>103-902</v>
      </c>
      <c r="C561" s="2043">
        <v>419906</v>
      </c>
    </row>
    <row r="562" spans="1:3" ht="14.5">
      <c r="A562" s="41" t="s">
        <v>3029</v>
      </c>
      <c r="B562" s="380" t="str">
        <f t="shared" si="8"/>
        <v>104-901</v>
      </c>
      <c r="C562" s="2043">
        <v>0</v>
      </c>
    </row>
    <row r="563" spans="1:3" ht="14.5">
      <c r="A563" s="41" t="s">
        <v>5813</v>
      </c>
      <c r="B563" s="380" t="str">
        <f t="shared" si="8"/>
        <v>104-903</v>
      </c>
    </row>
    <row r="564" spans="1:3" ht="14.5">
      <c r="A564" s="41" t="s">
        <v>5082</v>
      </c>
      <c r="B564" s="380" t="str">
        <f t="shared" si="8"/>
        <v>104-907</v>
      </c>
      <c r="C564" s="2043">
        <v>105566</v>
      </c>
    </row>
    <row r="565" spans="1:3" ht="14.5">
      <c r="A565" s="41" t="s">
        <v>8040</v>
      </c>
      <c r="B565" s="380" t="str">
        <f t="shared" si="8"/>
        <v>105-801</v>
      </c>
    </row>
    <row r="566" spans="1:3" ht="14.5">
      <c r="A566" s="41" t="s">
        <v>8041</v>
      </c>
      <c r="B566" s="380" t="str">
        <f t="shared" si="8"/>
        <v>105-802</v>
      </c>
    </row>
    <row r="567" spans="1:3" ht="14.5">
      <c r="A567" s="41" t="s">
        <v>8042</v>
      </c>
      <c r="B567" s="380" t="str">
        <f t="shared" si="8"/>
        <v>105-803</v>
      </c>
    </row>
    <row r="568" spans="1:3" ht="14.5">
      <c r="A568" s="41" t="s">
        <v>5083</v>
      </c>
      <c r="B568" s="380" t="str">
        <f t="shared" si="8"/>
        <v>105-902</v>
      </c>
      <c r="C568" s="2043">
        <v>14080540</v>
      </c>
    </row>
    <row r="569" spans="1:3" ht="14.5">
      <c r="A569" s="41" t="s">
        <v>3030</v>
      </c>
      <c r="B569" s="380" t="str">
        <f t="shared" si="8"/>
        <v>105-904</v>
      </c>
      <c r="C569" s="2043">
        <v>14476200</v>
      </c>
    </row>
    <row r="570" spans="1:3" ht="14.5">
      <c r="A570" s="41" t="s">
        <v>5084</v>
      </c>
      <c r="B570" s="380" t="str">
        <f t="shared" si="8"/>
        <v>105-905</v>
      </c>
      <c r="C570" s="2043">
        <v>3450022</v>
      </c>
    </row>
    <row r="571" spans="1:3" ht="14.5">
      <c r="A571" s="41" t="s">
        <v>3031</v>
      </c>
      <c r="B571" s="380" t="str">
        <f t="shared" si="8"/>
        <v>105-906</v>
      </c>
      <c r="C571" s="2043">
        <v>27620011</v>
      </c>
    </row>
    <row r="572" spans="1:3" ht="14.5">
      <c r="A572" s="41" t="s">
        <v>5085</v>
      </c>
      <c r="B572" s="380" t="str">
        <f t="shared" si="8"/>
        <v>106-901</v>
      </c>
      <c r="C572" s="2043">
        <v>0</v>
      </c>
    </row>
    <row r="573" spans="1:3" ht="14.5">
      <c r="A573" s="41" t="s">
        <v>5086</v>
      </c>
      <c r="B573" s="380" t="str">
        <f t="shared" si="8"/>
        <v>107-901</v>
      </c>
      <c r="C573" s="2043">
        <v>1601773</v>
      </c>
    </row>
    <row r="574" spans="1:3" ht="14.5">
      <c r="A574" s="41" t="s">
        <v>5087</v>
      </c>
      <c r="B574" s="380" t="str">
        <f t="shared" si="8"/>
        <v>107-902</v>
      </c>
      <c r="C574" s="2043">
        <v>2287350</v>
      </c>
    </row>
    <row r="575" spans="1:3" ht="14.5">
      <c r="A575" s="41" t="s">
        <v>5088</v>
      </c>
      <c r="B575" s="380" t="str">
        <f t="shared" si="8"/>
        <v>107-904</v>
      </c>
      <c r="C575" s="2043">
        <v>387000</v>
      </c>
    </row>
    <row r="576" spans="1:3" ht="14.5">
      <c r="A576" s="41" t="s">
        <v>5089</v>
      </c>
      <c r="B576" s="380" t="str">
        <f t="shared" si="8"/>
        <v>107-905</v>
      </c>
      <c r="C576" s="2043">
        <v>894200</v>
      </c>
    </row>
    <row r="577" spans="1:3" ht="14.5">
      <c r="A577" s="41" t="s">
        <v>5090</v>
      </c>
      <c r="B577" s="380" t="str">
        <f t="shared" si="8"/>
        <v>107-906</v>
      </c>
      <c r="C577" s="2043">
        <v>1704133</v>
      </c>
    </row>
    <row r="578" spans="1:3" ht="14.5">
      <c r="A578" s="41" t="s">
        <v>3032</v>
      </c>
      <c r="B578" s="380" t="str">
        <f t="shared" si="8"/>
        <v>107-907</v>
      </c>
      <c r="C578" s="2043">
        <v>99875</v>
      </c>
    </row>
    <row r="579" spans="1:3" ht="14.5">
      <c r="A579" s="41" t="s">
        <v>4087</v>
      </c>
      <c r="B579" s="380" t="str">
        <f t="shared" si="8"/>
        <v>107-908</v>
      </c>
    </row>
    <row r="580" spans="1:3" ht="14.5">
      <c r="A580" s="41" t="s">
        <v>5091</v>
      </c>
      <c r="B580" s="380" t="str">
        <f t="shared" ref="B580:B643" si="9">CONCATENATE(LEFT(RIGHT(CONCATENATE("000",A580),6),3),"-",(RIGHT(RIGHT(CONCATENATE("000",A580),6),3)))</f>
        <v>107-910</v>
      </c>
      <c r="C580" s="2043">
        <v>525800</v>
      </c>
    </row>
    <row r="581" spans="1:3" ht="14.5">
      <c r="A581" s="41" t="s">
        <v>8043</v>
      </c>
      <c r="B581" s="380" t="str">
        <f t="shared" si="9"/>
        <v>108-802</v>
      </c>
    </row>
    <row r="582" spans="1:3" ht="14.5">
      <c r="A582" s="41" t="s">
        <v>8044</v>
      </c>
      <c r="B582" s="380" t="str">
        <f t="shared" si="9"/>
        <v>108-804</v>
      </c>
    </row>
    <row r="583" spans="1:3" ht="14.5">
      <c r="A583" s="41" t="s">
        <v>8045</v>
      </c>
      <c r="B583" s="380" t="str">
        <f t="shared" si="9"/>
        <v>108-807</v>
      </c>
    </row>
    <row r="584" spans="1:3" ht="14.5">
      <c r="A584" s="41" t="s">
        <v>8046</v>
      </c>
      <c r="B584" s="380" t="str">
        <f t="shared" si="9"/>
        <v>108-808</v>
      </c>
    </row>
    <row r="585" spans="1:3" ht="14.5">
      <c r="A585" s="41" t="s">
        <v>8047</v>
      </c>
      <c r="B585" s="380" t="str">
        <f t="shared" si="9"/>
        <v>108-809</v>
      </c>
    </row>
    <row r="586" spans="1:3" ht="14.5">
      <c r="A586" s="41" t="s">
        <v>3033</v>
      </c>
      <c r="B586" s="380" t="str">
        <f t="shared" si="9"/>
        <v>108-902</v>
      </c>
      <c r="C586" s="2043">
        <v>6943031</v>
      </c>
    </row>
    <row r="587" spans="1:3" ht="14.5">
      <c r="A587" s="41" t="s">
        <v>3034</v>
      </c>
      <c r="B587" s="380" t="str">
        <f t="shared" si="9"/>
        <v>108-903</v>
      </c>
      <c r="C587" s="2043">
        <v>3574394</v>
      </c>
    </row>
    <row r="588" spans="1:3" ht="14.5">
      <c r="A588" s="41" t="s">
        <v>3035</v>
      </c>
      <c r="B588" s="380" t="str">
        <f t="shared" si="9"/>
        <v>108-904</v>
      </c>
      <c r="C588" s="2043">
        <v>9760283</v>
      </c>
    </row>
    <row r="589" spans="1:3" ht="14.5">
      <c r="A589" s="41" t="s">
        <v>3036</v>
      </c>
      <c r="B589" s="380" t="str">
        <f t="shared" si="9"/>
        <v>108-905</v>
      </c>
      <c r="C589" s="2043">
        <v>2783725</v>
      </c>
    </row>
    <row r="590" spans="1:3" ht="14.5">
      <c r="A590" s="41" t="s">
        <v>3037</v>
      </c>
      <c r="B590" s="380" t="str">
        <f t="shared" si="9"/>
        <v>108-906</v>
      </c>
      <c r="C590" s="2043">
        <v>6684550</v>
      </c>
    </row>
    <row r="591" spans="1:3" ht="14.5">
      <c r="A591" s="41" t="s">
        <v>3038</v>
      </c>
      <c r="B591" s="380" t="str">
        <f t="shared" si="9"/>
        <v>108-907</v>
      </c>
      <c r="C591" s="2043">
        <v>5486675</v>
      </c>
    </row>
    <row r="592" spans="1:3" ht="14.5">
      <c r="A592" s="41" t="s">
        <v>3039</v>
      </c>
      <c r="B592" s="380" t="str">
        <f t="shared" si="9"/>
        <v>108-908</v>
      </c>
      <c r="C592" s="2043">
        <v>9649419</v>
      </c>
    </row>
    <row r="593" spans="1:3" ht="14.5">
      <c r="A593" s="41" t="s">
        <v>3040</v>
      </c>
      <c r="B593" s="380" t="str">
        <f t="shared" si="9"/>
        <v>108-909</v>
      </c>
      <c r="C593" s="2043">
        <v>24515565</v>
      </c>
    </row>
    <row r="594" spans="1:3" ht="14.5">
      <c r="A594" s="41" t="s">
        <v>3041</v>
      </c>
      <c r="B594" s="380" t="str">
        <f t="shared" si="9"/>
        <v>108-910</v>
      </c>
      <c r="C594" s="2043">
        <v>2196684</v>
      </c>
    </row>
    <row r="595" spans="1:3" ht="14.5">
      <c r="A595" s="41" t="s">
        <v>3042</v>
      </c>
      <c r="B595" s="380" t="str">
        <f t="shared" si="9"/>
        <v>108-911</v>
      </c>
      <c r="C595" s="2043">
        <v>8228892</v>
      </c>
    </row>
    <row r="596" spans="1:3" ht="14.5">
      <c r="A596" s="41" t="s">
        <v>3043</v>
      </c>
      <c r="B596" s="380" t="str">
        <f t="shared" si="9"/>
        <v>108-912</v>
      </c>
      <c r="C596" s="2043">
        <v>21981663</v>
      </c>
    </row>
    <row r="597" spans="1:3" ht="14.5">
      <c r="A597" s="41" t="s">
        <v>3044</v>
      </c>
      <c r="B597" s="380" t="str">
        <f t="shared" si="9"/>
        <v>108-913</v>
      </c>
      <c r="C597" s="2043">
        <v>3784280</v>
      </c>
    </row>
    <row r="598" spans="1:3" ht="14.5">
      <c r="A598" s="41" t="s">
        <v>3045</v>
      </c>
      <c r="B598" s="380" t="str">
        <f t="shared" si="9"/>
        <v>108-914</v>
      </c>
      <c r="C598" s="2043">
        <v>495824</v>
      </c>
    </row>
    <row r="599" spans="1:3" ht="14.5">
      <c r="A599" s="41" t="s">
        <v>3046</v>
      </c>
      <c r="B599" s="380" t="str">
        <f t="shared" si="9"/>
        <v>108-915</v>
      </c>
      <c r="C599" s="2043">
        <v>976845</v>
      </c>
    </row>
    <row r="600" spans="1:3" ht="14.5">
      <c r="A600" s="41" t="s">
        <v>3047</v>
      </c>
      <c r="B600" s="380" t="str">
        <f t="shared" si="9"/>
        <v>108-916</v>
      </c>
      <c r="C600" s="2043">
        <v>3599690</v>
      </c>
    </row>
    <row r="601" spans="1:3" ht="14.5">
      <c r="A601" s="41" t="s">
        <v>8509</v>
      </c>
      <c r="B601" s="380" t="str">
        <f t="shared" si="9"/>
        <v>108-950</v>
      </c>
    </row>
    <row r="602" spans="1:3" ht="14.5">
      <c r="A602" s="41" t="s">
        <v>3048</v>
      </c>
      <c r="B602" s="380" t="str">
        <f t="shared" si="9"/>
        <v>109-901</v>
      </c>
      <c r="C602" s="2043">
        <v>320112</v>
      </c>
    </row>
    <row r="603" spans="1:3" ht="14.5">
      <c r="A603" s="41" t="s">
        <v>3049</v>
      </c>
      <c r="B603" s="380" t="str">
        <f t="shared" si="9"/>
        <v>109-902</v>
      </c>
      <c r="C603" s="2043">
        <v>168357</v>
      </c>
    </row>
    <row r="604" spans="1:3" ht="14.5">
      <c r="A604" s="41" t="s">
        <v>4185</v>
      </c>
      <c r="B604" s="380" t="str">
        <f t="shared" si="9"/>
        <v>109-903</v>
      </c>
      <c r="C604" s="2043">
        <v>114082</v>
      </c>
    </row>
    <row r="605" spans="1:3" ht="14.5">
      <c r="A605" s="41" t="s">
        <v>3050</v>
      </c>
      <c r="B605" s="380" t="str">
        <f t="shared" si="9"/>
        <v>109-904</v>
      </c>
      <c r="C605" s="2043">
        <v>700550</v>
      </c>
    </row>
    <row r="606" spans="1:3" ht="14.5">
      <c r="A606" s="41" t="s">
        <v>3051</v>
      </c>
      <c r="B606" s="380" t="str">
        <f t="shared" si="9"/>
        <v>109-905</v>
      </c>
      <c r="C606" s="2043">
        <v>628915</v>
      </c>
    </row>
    <row r="607" spans="1:3" ht="14.5">
      <c r="A607" s="41" t="s">
        <v>3052</v>
      </c>
      <c r="B607" s="380" t="str">
        <f t="shared" si="9"/>
        <v>109-907</v>
      </c>
      <c r="C607" s="2043">
        <v>517581</v>
      </c>
    </row>
    <row r="608" spans="1:3" ht="14.5">
      <c r="A608" s="41" t="s">
        <v>3053</v>
      </c>
      <c r="B608" s="380" t="str">
        <f t="shared" si="9"/>
        <v>109-908</v>
      </c>
      <c r="C608" s="2043">
        <v>83360</v>
      </c>
    </row>
    <row r="609" spans="1:3" ht="14.5">
      <c r="A609" s="41" t="s">
        <v>3054</v>
      </c>
      <c r="B609" s="380" t="str">
        <f t="shared" si="9"/>
        <v>109-910</v>
      </c>
      <c r="C609" s="2043">
        <v>94839</v>
      </c>
    </row>
    <row r="610" spans="1:3" ht="14.5">
      <c r="A610" s="41" t="s">
        <v>5092</v>
      </c>
      <c r="B610" s="380" t="str">
        <f t="shared" si="9"/>
        <v>109-911</v>
      </c>
      <c r="C610" s="2043">
        <v>1809500</v>
      </c>
    </row>
    <row r="611" spans="1:3" ht="14.5">
      <c r="A611" s="41" t="s">
        <v>3055</v>
      </c>
      <c r="B611" s="380" t="str">
        <f t="shared" si="9"/>
        <v>109-912</v>
      </c>
      <c r="C611" s="2043">
        <v>207723</v>
      </c>
    </row>
    <row r="612" spans="1:3" ht="14.5">
      <c r="A612" s="41" t="s">
        <v>4203</v>
      </c>
      <c r="B612" s="380" t="str">
        <f t="shared" si="9"/>
        <v>109-913</v>
      </c>
      <c r="C612" s="2043">
        <v>185850</v>
      </c>
    </row>
    <row r="613" spans="1:3" ht="14.5">
      <c r="A613" s="41" t="s">
        <v>4205</v>
      </c>
      <c r="B613" s="380" t="str">
        <f t="shared" si="9"/>
        <v>109-914</v>
      </c>
    </row>
    <row r="614" spans="1:3" ht="14.5">
      <c r="A614" s="41" t="s">
        <v>5814</v>
      </c>
      <c r="B614" s="380" t="str">
        <f t="shared" si="9"/>
        <v>110-901</v>
      </c>
    </row>
    <row r="615" spans="1:3" ht="14.5">
      <c r="A615" s="41" t="s">
        <v>5093</v>
      </c>
      <c r="B615" s="380" t="str">
        <f t="shared" si="9"/>
        <v>110-902</v>
      </c>
      <c r="C615" s="2043">
        <v>3815808</v>
      </c>
    </row>
    <row r="616" spans="1:3" ht="14.5">
      <c r="A616" s="41" t="s">
        <v>5094</v>
      </c>
      <c r="B616" s="380" t="str">
        <f t="shared" si="9"/>
        <v>110-905</v>
      </c>
      <c r="C616" s="2043">
        <v>298158</v>
      </c>
    </row>
    <row r="617" spans="1:3" ht="14.5">
      <c r="A617" s="41" t="s">
        <v>3056</v>
      </c>
      <c r="B617" s="380" t="str">
        <f t="shared" si="9"/>
        <v>110-906</v>
      </c>
      <c r="C617" s="2043">
        <v>0</v>
      </c>
    </row>
    <row r="618" spans="1:3" ht="14.5">
      <c r="A618" s="41" t="s">
        <v>5815</v>
      </c>
      <c r="B618" s="380" t="str">
        <f t="shared" si="9"/>
        <v>110-907</v>
      </c>
      <c r="C618" s="2043">
        <v>0</v>
      </c>
    </row>
    <row r="619" spans="1:3" ht="14.5">
      <c r="A619" s="41" t="s">
        <v>5816</v>
      </c>
      <c r="B619" s="380" t="str">
        <f t="shared" si="9"/>
        <v>110-908</v>
      </c>
      <c r="C619" s="2043">
        <v>0</v>
      </c>
    </row>
    <row r="620" spans="1:3" ht="14.5">
      <c r="A620" s="41" t="s">
        <v>8048</v>
      </c>
      <c r="B620" s="380" t="str">
        <f t="shared" si="9"/>
        <v>111-801</v>
      </c>
    </row>
    <row r="621" spans="1:3" ht="14.5">
      <c r="A621" s="41" t="s">
        <v>5095</v>
      </c>
      <c r="B621" s="380" t="str">
        <f t="shared" si="9"/>
        <v>111-901</v>
      </c>
      <c r="C621" s="2043">
        <v>4078164</v>
      </c>
    </row>
    <row r="622" spans="1:3" ht="14.5">
      <c r="A622" s="41" t="s">
        <v>3057</v>
      </c>
      <c r="B622" s="380" t="str">
        <f t="shared" si="9"/>
        <v>111-902</v>
      </c>
      <c r="C622" s="2043">
        <v>542351</v>
      </c>
    </row>
    <row r="623" spans="1:3" ht="14.5">
      <c r="A623" s="41" t="s">
        <v>3058</v>
      </c>
      <c r="B623" s="380" t="str">
        <f t="shared" si="9"/>
        <v>111-903</v>
      </c>
      <c r="C623" s="2043">
        <v>885131</v>
      </c>
    </row>
    <row r="624" spans="1:3" ht="14.5">
      <c r="A624" s="41" t="s">
        <v>3059</v>
      </c>
      <c r="B624" s="380" t="str">
        <f t="shared" si="9"/>
        <v>112-901</v>
      </c>
      <c r="C624" s="2043">
        <v>3210731</v>
      </c>
    </row>
    <row r="625" spans="1:3" ht="14.5">
      <c r="A625" s="41" t="s">
        <v>3060</v>
      </c>
      <c r="B625" s="380" t="str">
        <f t="shared" si="9"/>
        <v>112-905</v>
      </c>
      <c r="C625" s="2043">
        <v>149441</v>
      </c>
    </row>
    <row r="626" spans="1:3" ht="14.5">
      <c r="A626" s="41" t="s">
        <v>5096</v>
      </c>
      <c r="B626" s="380" t="str">
        <f t="shared" si="9"/>
        <v>112-906</v>
      </c>
      <c r="C626" s="2043">
        <v>303362</v>
      </c>
    </row>
    <row r="627" spans="1:3" ht="14.5">
      <c r="A627" s="41" t="s">
        <v>3061</v>
      </c>
      <c r="B627" s="380" t="str">
        <f t="shared" si="9"/>
        <v>112-907</v>
      </c>
      <c r="C627" s="2043">
        <v>182400</v>
      </c>
    </row>
    <row r="628" spans="1:3" ht="14.5">
      <c r="A628" s="41" t="s">
        <v>5817</v>
      </c>
      <c r="B628" s="380" t="str">
        <f t="shared" si="9"/>
        <v>112-908</v>
      </c>
    </row>
    <row r="629" spans="1:3" ht="14.5">
      <c r="A629" s="41" t="s">
        <v>5818</v>
      </c>
      <c r="B629" s="380" t="str">
        <f t="shared" si="9"/>
        <v>112-909</v>
      </c>
    </row>
    <row r="630" spans="1:3" ht="14.5">
      <c r="A630" s="41" t="s">
        <v>3062</v>
      </c>
      <c r="B630" s="380" t="str">
        <f t="shared" si="9"/>
        <v>112-910</v>
      </c>
      <c r="C630" s="2043">
        <v>84550</v>
      </c>
    </row>
    <row r="631" spans="1:3" ht="14.5">
      <c r="A631" s="41" t="s">
        <v>5097</v>
      </c>
      <c r="B631" s="380" t="str">
        <f t="shared" si="9"/>
        <v>113-901</v>
      </c>
      <c r="C631" s="2043">
        <v>990327</v>
      </c>
    </row>
    <row r="632" spans="1:3" ht="14.5">
      <c r="A632" s="41" t="s">
        <v>5098</v>
      </c>
      <c r="B632" s="380" t="str">
        <f t="shared" si="9"/>
        <v>113-902</v>
      </c>
      <c r="C632" s="2043">
        <v>231598</v>
      </c>
    </row>
    <row r="633" spans="1:3" ht="14.5">
      <c r="A633" s="41" t="s">
        <v>5819</v>
      </c>
      <c r="B633" s="380" t="str">
        <f t="shared" si="9"/>
        <v>113-903</v>
      </c>
      <c r="C633" s="2043">
        <v>0</v>
      </c>
    </row>
    <row r="634" spans="1:3" ht="14.5">
      <c r="A634" s="41" t="s">
        <v>5099</v>
      </c>
      <c r="B634" s="380" t="str">
        <f t="shared" si="9"/>
        <v>113-905</v>
      </c>
      <c r="C634" s="2043">
        <v>0</v>
      </c>
    </row>
    <row r="635" spans="1:3" ht="14.5">
      <c r="A635" s="41" t="s">
        <v>5820</v>
      </c>
      <c r="B635" s="380" t="str">
        <f t="shared" si="9"/>
        <v>113-906</v>
      </c>
    </row>
    <row r="636" spans="1:3" ht="14.5">
      <c r="A636" s="41" t="s">
        <v>3063</v>
      </c>
      <c r="B636" s="380" t="str">
        <f t="shared" si="9"/>
        <v>114-901</v>
      </c>
      <c r="C636" s="2043">
        <v>3439650</v>
      </c>
    </row>
    <row r="637" spans="1:3" ht="14.5">
      <c r="A637" s="41" t="s">
        <v>5100</v>
      </c>
      <c r="B637" s="380" t="str">
        <f t="shared" si="9"/>
        <v>114-902</v>
      </c>
      <c r="C637" s="2043">
        <v>800831</v>
      </c>
    </row>
    <row r="638" spans="1:3" ht="14.5">
      <c r="A638" s="41" t="s">
        <v>5101</v>
      </c>
      <c r="B638" s="380" t="str">
        <f t="shared" si="9"/>
        <v>114-904</v>
      </c>
      <c r="C638" s="2043">
        <v>1385625</v>
      </c>
    </row>
    <row r="639" spans="1:3" ht="14.5">
      <c r="A639" s="41" t="s">
        <v>5102</v>
      </c>
      <c r="B639" s="380" t="str">
        <f t="shared" si="9"/>
        <v>115-901</v>
      </c>
      <c r="C639" s="2043">
        <v>116275</v>
      </c>
    </row>
    <row r="640" spans="1:3" ht="14.5">
      <c r="A640" s="41" t="s">
        <v>5821</v>
      </c>
      <c r="B640" s="380" t="str">
        <f t="shared" si="9"/>
        <v>115-902</v>
      </c>
      <c r="C640" s="2043">
        <v>0</v>
      </c>
    </row>
    <row r="641" spans="1:3" ht="14.5">
      <c r="A641" s="41" t="s">
        <v>5822</v>
      </c>
      <c r="B641" s="380" t="str">
        <f t="shared" si="9"/>
        <v>115-903</v>
      </c>
    </row>
    <row r="642" spans="1:3" ht="14.5">
      <c r="A642" s="41" t="s">
        <v>3064</v>
      </c>
      <c r="B642" s="380" t="str">
        <f t="shared" si="9"/>
        <v>116-901</v>
      </c>
      <c r="C642" s="2043">
        <v>1939050</v>
      </c>
    </row>
    <row r="643" spans="1:3" ht="14.5">
      <c r="A643" s="41" t="s">
        <v>3065</v>
      </c>
      <c r="B643" s="380" t="str">
        <f t="shared" si="9"/>
        <v>116-902</v>
      </c>
      <c r="C643" s="2043">
        <v>498025</v>
      </c>
    </row>
    <row r="644" spans="1:3" ht="14.5">
      <c r="A644" s="41" t="s">
        <v>3066</v>
      </c>
      <c r="B644" s="380" t="str">
        <f t="shared" ref="B644:B707" si="10">CONCATENATE(LEFT(RIGHT(CONCATENATE("000",A644),6),3),"-",(RIGHT(RIGHT(CONCATENATE("000",A644),6),3)))</f>
        <v>116-903</v>
      </c>
      <c r="C644" s="2043">
        <v>2092047</v>
      </c>
    </row>
    <row r="645" spans="1:3" ht="14.5">
      <c r="A645" s="41" t="s">
        <v>5103</v>
      </c>
      <c r="B645" s="380" t="str">
        <f t="shared" si="10"/>
        <v>116-905</v>
      </c>
      <c r="C645" s="2043">
        <v>5242096</v>
      </c>
    </row>
    <row r="646" spans="1:3" ht="14.5">
      <c r="A646" s="41" t="s">
        <v>3067</v>
      </c>
      <c r="B646" s="380" t="str">
        <f t="shared" si="10"/>
        <v>116-906</v>
      </c>
      <c r="C646" s="2043">
        <v>585912</v>
      </c>
    </row>
    <row r="647" spans="1:3" ht="14.5">
      <c r="A647" s="41" t="s">
        <v>3068</v>
      </c>
      <c r="B647" s="380" t="str">
        <f t="shared" si="10"/>
        <v>116-908</v>
      </c>
      <c r="C647" s="2043">
        <v>1591950</v>
      </c>
    </row>
    <row r="648" spans="1:3" ht="14.5">
      <c r="A648" s="41" t="s">
        <v>3069</v>
      </c>
      <c r="B648" s="380" t="str">
        <f t="shared" si="10"/>
        <v>116-909</v>
      </c>
      <c r="C648" s="2043">
        <v>123900</v>
      </c>
    </row>
    <row r="649" spans="1:3" ht="14.5">
      <c r="A649" s="41" t="s">
        <v>5104</v>
      </c>
      <c r="B649" s="380" t="str">
        <f t="shared" si="10"/>
        <v>116-910</v>
      </c>
    </row>
    <row r="650" spans="1:3" ht="14.5">
      <c r="A650" s="41" t="s">
        <v>3070</v>
      </c>
      <c r="B650" s="380" t="str">
        <f t="shared" si="10"/>
        <v>116-915</v>
      </c>
      <c r="C650" s="2043">
        <v>912850</v>
      </c>
    </row>
    <row r="651" spans="1:3" ht="14.5">
      <c r="A651" s="41" t="s">
        <v>3071</v>
      </c>
      <c r="B651" s="380" t="str">
        <f t="shared" si="10"/>
        <v>116-916</v>
      </c>
      <c r="C651" s="2043">
        <v>588388</v>
      </c>
    </row>
    <row r="652" spans="1:3" ht="14.5">
      <c r="A652" s="41" t="s">
        <v>5105</v>
      </c>
      <c r="B652" s="380" t="str">
        <f t="shared" si="10"/>
        <v>117-901</v>
      </c>
      <c r="C652" s="2043">
        <v>2147287</v>
      </c>
    </row>
    <row r="653" spans="1:3" ht="14.5">
      <c r="A653" s="41" t="s">
        <v>5106</v>
      </c>
      <c r="B653" s="380" t="str">
        <f t="shared" si="10"/>
        <v>117-903</v>
      </c>
      <c r="C653" s="2043">
        <v>564562</v>
      </c>
    </row>
    <row r="654" spans="1:3" ht="14.5">
      <c r="A654" s="41" t="s">
        <v>5107</v>
      </c>
      <c r="B654" s="380" t="str">
        <f t="shared" si="10"/>
        <v>117-904</v>
      </c>
      <c r="C654" s="2043">
        <v>3383575</v>
      </c>
    </row>
    <row r="655" spans="1:3" ht="14.5">
      <c r="A655" s="41" t="s">
        <v>5823</v>
      </c>
      <c r="B655" s="380" t="str">
        <f t="shared" si="10"/>
        <v>117-907</v>
      </c>
    </row>
    <row r="656" spans="1:3" ht="14.5">
      <c r="A656" s="41" t="s">
        <v>5108</v>
      </c>
      <c r="B656" s="380" t="str">
        <f t="shared" si="10"/>
        <v>118-902</v>
      </c>
      <c r="C656" s="2043">
        <v>0</v>
      </c>
    </row>
    <row r="657" spans="1:3" ht="14.5">
      <c r="A657" s="41" t="s">
        <v>5109</v>
      </c>
      <c r="B657" s="380" t="str">
        <f t="shared" si="10"/>
        <v>119-901</v>
      </c>
      <c r="C657" s="2043">
        <v>1125450</v>
      </c>
    </row>
    <row r="658" spans="1:3" ht="14.5">
      <c r="A658" s="41" t="s">
        <v>5110</v>
      </c>
      <c r="B658" s="380" t="str">
        <f t="shared" si="10"/>
        <v>119-902</v>
      </c>
      <c r="C658" s="2043">
        <v>2509657</v>
      </c>
    </row>
    <row r="659" spans="1:3" ht="14.5">
      <c r="A659" s="41" t="s">
        <v>5111</v>
      </c>
      <c r="B659" s="380" t="str">
        <f t="shared" si="10"/>
        <v>119-903</v>
      </c>
      <c r="C659" s="2043">
        <v>517250</v>
      </c>
    </row>
    <row r="660" spans="1:3" ht="14.5">
      <c r="A660" s="41" t="s">
        <v>5112</v>
      </c>
      <c r="B660" s="380" t="str">
        <f t="shared" si="10"/>
        <v>120-901</v>
      </c>
      <c r="C660" s="2043">
        <v>1422038</v>
      </c>
    </row>
    <row r="661" spans="1:3" ht="14.5">
      <c r="A661" s="41" t="s">
        <v>3072</v>
      </c>
      <c r="B661" s="380" t="str">
        <f t="shared" si="10"/>
        <v>120-902</v>
      </c>
      <c r="C661" s="2043">
        <v>376825</v>
      </c>
    </row>
    <row r="662" spans="1:3" ht="14.5">
      <c r="A662" s="41" t="s">
        <v>5113</v>
      </c>
      <c r="B662" s="380" t="str">
        <f t="shared" si="10"/>
        <v>120-905</v>
      </c>
      <c r="C662" s="2043">
        <v>0</v>
      </c>
    </row>
    <row r="663" spans="1:3" ht="14.5">
      <c r="A663" s="41" t="s">
        <v>5824</v>
      </c>
      <c r="B663" s="380" t="str">
        <f t="shared" si="10"/>
        <v>121-902</v>
      </c>
    </row>
    <row r="664" spans="1:3" ht="14.5">
      <c r="A664" s="41" t="s">
        <v>3073</v>
      </c>
      <c r="B664" s="380" t="str">
        <f t="shared" si="10"/>
        <v>121-903</v>
      </c>
      <c r="C664" s="2043">
        <v>1810065</v>
      </c>
    </row>
    <row r="665" spans="1:3" ht="14.5">
      <c r="A665" s="41" t="s">
        <v>3074</v>
      </c>
      <c r="B665" s="380" t="str">
        <f t="shared" si="10"/>
        <v>121-904</v>
      </c>
      <c r="C665" s="2043">
        <v>551347</v>
      </c>
    </row>
    <row r="666" spans="1:3" ht="14.5">
      <c r="A666" s="41" t="s">
        <v>3075</v>
      </c>
      <c r="B666" s="380" t="str">
        <f t="shared" si="10"/>
        <v>121-905</v>
      </c>
      <c r="C666" s="2043">
        <v>1542419</v>
      </c>
    </row>
    <row r="667" spans="1:3" ht="14.5">
      <c r="A667" s="41" t="s">
        <v>5114</v>
      </c>
      <c r="B667" s="380" t="str">
        <f t="shared" si="10"/>
        <v>121-906</v>
      </c>
      <c r="C667" s="2043">
        <v>0</v>
      </c>
    </row>
    <row r="668" spans="1:3" ht="14.5">
      <c r="A668" s="41" t="s">
        <v>5825</v>
      </c>
      <c r="B668" s="380" t="str">
        <f t="shared" si="10"/>
        <v>122-901</v>
      </c>
    </row>
    <row r="669" spans="1:3" ht="14.5">
      <c r="A669" s="41" t="s">
        <v>5826</v>
      </c>
      <c r="B669" s="380" t="str">
        <f t="shared" si="10"/>
        <v>122-902</v>
      </c>
    </row>
    <row r="670" spans="1:3" ht="14.5">
      <c r="A670" s="41" t="s">
        <v>8049</v>
      </c>
      <c r="B670" s="380" t="str">
        <f t="shared" si="10"/>
        <v>123-503</v>
      </c>
    </row>
    <row r="671" spans="1:3" ht="14.5">
      <c r="A671" s="41" t="s">
        <v>8051</v>
      </c>
      <c r="B671" s="380" t="str">
        <f t="shared" si="10"/>
        <v>123-803</v>
      </c>
    </row>
    <row r="672" spans="1:3" ht="14.5">
      <c r="A672" s="41" t="s">
        <v>8052</v>
      </c>
      <c r="B672" s="380" t="str">
        <f t="shared" si="10"/>
        <v>123-805</v>
      </c>
    </row>
    <row r="673" spans="1:3" ht="14.5">
      <c r="A673" s="41" t="s">
        <v>8053</v>
      </c>
      <c r="B673" s="380" t="str">
        <f t="shared" si="10"/>
        <v>123-807</v>
      </c>
    </row>
    <row r="674" spans="1:3" ht="14.5">
      <c r="A674" s="41" t="s">
        <v>3076</v>
      </c>
      <c r="B674" s="380" t="str">
        <f t="shared" si="10"/>
        <v>123-905</v>
      </c>
      <c r="C674" s="2043">
        <v>1122160</v>
      </c>
    </row>
    <row r="675" spans="1:3" ht="14.5">
      <c r="A675" s="41" t="s">
        <v>5115</v>
      </c>
      <c r="B675" s="380" t="str">
        <f t="shared" si="10"/>
        <v>123-907</v>
      </c>
      <c r="C675" s="2043">
        <v>23201925</v>
      </c>
    </row>
    <row r="676" spans="1:3" ht="14.5">
      <c r="A676" s="41" t="s">
        <v>5116</v>
      </c>
      <c r="B676" s="380" t="str">
        <f t="shared" si="10"/>
        <v>123-908</v>
      </c>
      <c r="C676" s="2043">
        <v>8314029</v>
      </c>
    </row>
    <row r="677" spans="1:3" ht="14.5">
      <c r="A677" s="41" t="s">
        <v>5117</v>
      </c>
      <c r="B677" s="380" t="str">
        <f t="shared" si="10"/>
        <v>123-910</v>
      </c>
      <c r="C677" s="2043">
        <v>26854561</v>
      </c>
    </row>
    <row r="678" spans="1:3" ht="14.5">
      <c r="A678" s="41" t="s">
        <v>5118</v>
      </c>
      <c r="B678" s="380" t="str">
        <f t="shared" si="10"/>
        <v>123-913</v>
      </c>
      <c r="C678" s="2043">
        <v>1426795</v>
      </c>
    </row>
    <row r="679" spans="1:3" ht="14.5">
      <c r="A679" s="41" t="s">
        <v>3077</v>
      </c>
      <c r="B679" s="380" t="str">
        <f t="shared" si="10"/>
        <v>123-914</v>
      </c>
      <c r="C679" s="2043">
        <v>962486</v>
      </c>
    </row>
    <row r="680" spans="1:3" ht="14.5">
      <c r="A680" s="41" t="s">
        <v>5119</v>
      </c>
      <c r="B680" s="380" t="str">
        <f t="shared" si="10"/>
        <v>124-901</v>
      </c>
      <c r="C680" s="2043">
        <v>351938</v>
      </c>
    </row>
    <row r="681" spans="1:3" ht="14.5">
      <c r="A681" s="41" t="s">
        <v>3078</v>
      </c>
      <c r="B681" s="380" t="str">
        <f t="shared" si="10"/>
        <v>125-901</v>
      </c>
      <c r="C681" s="2043">
        <v>2274350</v>
      </c>
    </row>
    <row r="682" spans="1:3" ht="14.5">
      <c r="A682" s="41" t="s">
        <v>3079</v>
      </c>
      <c r="B682" s="380" t="str">
        <f t="shared" si="10"/>
        <v>125-902</v>
      </c>
      <c r="C682" s="2043">
        <v>434811</v>
      </c>
    </row>
    <row r="683" spans="1:3" ht="14.5">
      <c r="A683" s="41" t="s">
        <v>3080</v>
      </c>
      <c r="B683" s="380" t="str">
        <f t="shared" si="10"/>
        <v>125-903</v>
      </c>
      <c r="C683" s="2043">
        <v>1228700</v>
      </c>
    </row>
    <row r="684" spans="1:3" ht="14.5">
      <c r="A684" s="41" t="s">
        <v>3081</v>
      </c>
      <c r="B684" s="380" t="str">
        <f t="shared" si="10"/>
        <v>125-905</v>
      </c>
      <c r="C684" s="2043">
        <v>231726</v>
      </c>
    </row>
    <row r="685" spans="1:3" ht="14.5">
      <c r="A685" s="41" t="s">
        <v>5827</v>
      </c>
      <c r="B685" s="380" t="str">
        <f t="shared" si="10"/>
        <v>125-906</v>
      </c>
    </row>
    <row r="686" spans="1:3" ht="14.5">
      <c r="A686" s="41" t="s">
        <v>3082</v>
      </c>
      <c r="B686" s="380" t="str">
        <f t="shared" si="10"/>
        <v>126-901</v>
      </c>
      <c r="C686" s="2043">
        <v>5790458</v>
      </c>
    </row>
    <row r="687" spans="1:3" ht="14.5">
      <c r="A687" s="41" t="s">
        <v>3083</v>
      </c>
      <c r="B687" s="380" t="str">
        <f t="shared" si="10"/>
        <v>126-902</v>
      </c>
      <c r="C687" s="2043">
        <v>21470660</v>
      </c>
    </row>
    <row r="688" spans="1:3" ht="14.5">
      <c r="A688" s="41" t="s">
        <v>5120</v>
      </c>
      <c r="B688" s="380" t="str">
        <f t="shared" si="10"/>
        <v>126-903</v>
      </c>
      <c r="C688" s="2043">
        <v>2107650</v>
      </c>
    </row>
    <row r="689" spans="1:3" ht="14.5">
      <c r="A689" s="41" t="s">
        <v>4285</v>
      </c>
      <c r="B689" s="380" t="str">
        <f t="shared" si="10"/>
        <v>126-904</v>
      </c>
      <c r="C689" s="2043">
        <v>1017775</v>
      </c>
    </row>
    <row r="690" spans="1:3" ht="14.5">
      <c r="A690" s="41" t="s">
        <v>3084</v>
      </c>
      <c r="B690" s="380" t="str">
        <f t="shared" si="10"/>
        <v>126-905</v>
      </c>
      <c r="C690" s="2043">
        <v>7530462</v>
      </c>
    </row>
    <row r="691" spans="1:3" ht="14.5">
      <c r="A691" s="41" t="s">
        <v>3085</v>
      </c>
      <c r="B691" s="380" t="str">
        <f t="shared" si="10"/>
        <v>126-906</v>
      </c>
      <c r="C691" s="2043">
        <v>777969</v>
      </c>
    </row>
    <row r="692" spans="1:3" ht="14.5">
      <c r="A692" s="41" t="s">
        <v>3086</v>
      </c>
      <c r="B692" s="380" t="str">
        <f t="shared" si="10"/>
        <v>126-907</v>
      </c>
      <c r="C692" s="2043">
        <v>1182427</v>
      </c>
    </row>
    <row r="693" spans="1:3" ht="14.5">
      <c r="A693" s="41" t="s">
        <v>3087</v>
      </c>
      <c r="B693" s="380" t="str">
        <f t="shared" si="10"/>
        <v>126-908</v>
      </c>
      <c r="C693" s="2043">
        <v>1135845</v>
      </c>
    </row>
    <row r="694" spans="1:3" ht="14.5">
      <c r="A694" s="41" t="s">
        <v>3088</v>
      </c>
      <c r="B694" s="380" t="str">
        <f t="shared" si="10"/>
        <v>126-911</v>
      </c>
      <c r="C694" s="2043">
        <v>2705793</v>
      </c>
    </row>
    <row r="695" spans="1:3" ht="14.5">
      <c r="A695" s="41" t="s">
        <v>5121</v>
      </c>
      <c r="B695" s="380" t="str">
        <f t="shared" si="10"/>
        <v>127-901</v>
      </c>
      <c r="C695" s="2043">
        <v>532500</v>
      </c>
    </row>
    <row r="696" spans="1:3" ht="14.5">
      <c r="A696" s="41" t="s">
        <v>5122</v>
      </c>
      <c r="B696" s="380" t="str">
        <f t="shared" si="10"/>
        <v>127-903</v>
      </c>
      <c r="C696" s="2043">
        <v>326650</v>
      </c>
    </row>
    <row r="697" spans="1:3" ht="14.5">
      <c r="A697" s="41" t="s">
        <v>5123</v>
      </c>
      <c r="B697" s="380" t="str">
        <f t="shared" si="10"/>
        <v>127-904</v>
      </c>
      <c r="C697" s="2043">
        <v>545050</v>
      </c>
    </row>
    <row r="698" spans="1:3" ht="14.5">
      <c r="A698" s="41" t="s">
        <v>3089</v>
      </c>
      <c r="B698" s="380" t="str">
        <f t="shared" si="10"/>
        <v>127-905</v>
      </c>
      <c r="C698" s="2043">
        <v>56269</v>
      </c>
    </row>
    <row r="699" spans="1:3" ht="14.5">
      <c r="A699" s="41" t="s">
        <v>3090</v>
      </c>
      <c r="B699" s="380" t="str">
        <f t="shared" si="10"/>
        <v>127-906</v>
      </c>
      <c r="C699" s="2043">
        <v>665676</v>
      </c>
    </row>
    <row r="700" spans="1:3" ht="14.5">
      <c r="A700" s="41" t="s">
        <v>4305</v>
      </c>
      <c r="B700" s="380" t="str">
        <f t="shared" si="10"/>
        <v>128-901</v>
      </c>
      <c r="C700" s="2043">
        <v>2461150</v>
      </c>
    </row>
    <row r="701" spans="1:3" ht="14.5">
      <c r="A701" s="41" t="s">
        <v>3091</v>
      </c>
      <c r="B701" s="380" t="str">
        <f t="shared" si="10"/>
        <v>128-902</v>
      </c>
      <c r="C701" s="2043">
        <v>1453562</v>
      </c>
    </row>
    <row r="702" spans="1:3" ht="14.5">
      <c r="A702" s="41" t="s">
        <v>5124</v>
      </c>
      <c r="B702" s="380" t="str">
        <f t="shared" si="10"/>
        <v>128-903</v>
      </c>
      <c r="C702" s="2043">
        <v>595799</v>
      </c>
    </row>
    <row r="703" spans="1:3" ht="14.5">
      <c r="A703" s="41" t="s">
        <v>3092</v>
      </c>
      <c r="B703" s="380" t="str">
        <f t="shared" si="10"/>
        <v>128-904</v>
      </c>
      <c r="C703" s="2043">
        <v>2332900</v>
      </c>
    </row>
    <row r="704" spans="1:3" ht="14.5">
      <c r="A704" s="41" t="s">
        <v>3093</v>
      </c>
      <c r="B704" s="380" t="str">
        <f t="shared" si="10"/>
        <v>129-901</v>
      </c>
      <c r="C704" s="2043">
        <v>5338329</v>
      </c>
    </row>
    <row r="705" spans="1:3" ht="14.5">
      <c r="A705" s="41" t="s">
        <v>3094</v>
      </c>
      <c r="B705" s="380" t="str">
        <f t="shared" si="10"/>
        <v>129-902</v>
      </c>
      <c r="C705" s="2043">
        <v>18428018</v>
      </c>
    </row>
    <row r="706" spans="1:3" ht="14.5">
      <c r="A706" s="41" t="s">
        <v>3095</v>
      </c>
      <c r="B706" s="380" t="str">
        <f t="shared" si="10"/>
        <v>129-903</v>
      </c>
      <c r="C706" s="2043">
        <v>2088000</v>
      </c>
    </row>
    <row r="707" spans="1:3" ht="14.5">
      <c r="A707" s="41" t="s">
        <v>3096</v>
      </c>
      <c r="B707" s="380" t="str">
        <f t="shared" si="10"/>
        <v>129-904</v>
      </c>
      <c r="C707" s="2043">
        <v>1691864</v>
      </c>
    </row>
    <row r="708" spans="1:3" ht="14.5">
      <c r="A708" s="41" t="s">
        <v>5125</v>
      </c>
      <c r="B708" s="380" t="str">
        <f t="shared" ref="B708:B771" si="11">CONCATENATE(LEFT(RIGHT(CONCATENATE("000",A708),6),3),"-",(RIGHT(RIGHT(CONCATENATE("000",A708),6),3)))</f>
        <v>129-905</v>
      </c>
      <c r="C708" s="2043">
        <v>3339630</v>
      </c>
    </row>
    <row r="709" spans="1:3" ht="14.5">
      <c r="A709" s="41" t="s">
        <v>5126</v>
      </c>
      <c r="B709" s="380" t="str">
        <f t="shared" si="11"/>
        <v>129-906</v>
      </c>
      <c r="C709" s="2043">
        <v>3510000</v>
      </c>
    </row>
    <row r="710" spans="1:3" ht="14.5">
      <c r="A710" s="41" t="s">
        <v>3097</v>
      </c>
      <c r="B710" s="380" t="str">
        <f t="shared" si="11"/>
        <v>129-910</v>
      </c>
      <c r="C710" s="2043">
        <v>532763</v>
      </c>
    </row>
    <row r="711" spans="1:3" ht="14.5">
      <c r="A711" s="41" t="s">
        <v>8055</v>
      </c>
      <c r="B711" s="380" t="str">
        <f t="shared" si="11"/>
        <v>130-801</v>
      </c>
    </row>
    <row r="712" spans="1:3" ht="14.5">
      <c r="A712" s="41" t="s">
        <v>5127</v>
      </c>
      <c r="B712" s="380" t="str">
        <f t="shared" si="11"/>
        <v>130-901</v>
      </c>
      <c r="C712" s="2043">
        <v>14838485</v>
      </c>
    </row>
    <row r="713" spans="1:3" ht="14.5">
      <c r="A713" s="41" t="s">
        <v>5128</v>
      </c>
      <c r="B713" s="380" t="str">
        <f t="shared" si="11"/>
        <v>130-902</v>
      </c>
      <c r="C713" s="2043">
        <v>1448705</v>
      </c>
    </row>
    <row r="714" spans="1:3" ht="14.5">
      <c r="A714" s="41" t="s">
        <v>5129</v>
      </c>
      <c r="B714" s="380" t="str">
        <f t="shared" si="11"/>
        <v>131-001</v>
      </c>
    </row>
    <row r="715" spans="1:3" ht="14.5">
      <c r="A715" s="41" t="s">
        <v>5828</v>
      </c>
      <c r="B715" s="380" t="str">
        <f t="shared" si="11"/>
        <v>132-902</v>
      </c>
      <c r="C715" s="2043">
        <v>0</v>
      </c>
    </row>
    <row r="716" spans="1:3" ht="14.5">
      <c r="A716" s="41" t="s">
        <v>3098</v>
      </c>
      <c r="B716" s="380" t="str">
        <f t="shared" si="11"/>
        <v>133-901</v>
      </c>
      <c r="C716" s="2043">
        <v>0</v>
      </c>
    </row>
    <row r="717" spans="1:3" ht="14.5">
      <c r="A717" s="41" t="s">
        <v>5130</v>
      </c>
      <c r="B717" s="380" t="str">
        <f t="shared" si="11"/>
        <v>133-902</v>
      </c>
      <c r="C717" s="2043">
        <v>311088</v>
      </c>
    </row>
    <row r="718" spans="1:3" ht="14.5">
      <c r="A718" s="41" t="s">
        <v>5131</v>
      </c>
      <c r="B718" s="380" t="str">
        <f t="shared" si="11"/>
        <v>133-903</v>
      </c>
      <c r="C718" s="2043">
        <v>599106</v>
      </c>
    </row>
    <row r="719" spans="1:3" ht="14.5">
      <c r="A719" s="41" t="s">
        <v>5132</v>
      </c>
      <c r="B719" s="380" t="str">
        <f t="shared" si="11"/>
        <v>133-904</v>
      </c>
      <c r="C719" s="2043">
        <v>1087775</v>
      </c>
    </row>
    <row r="720" spans="1:3" ht="14.5">
      <c r="A720" s="41" t="s">
        <v>5829</v>
      </c>
      <c r="B720" s="380" t="str">
        <f t="shared" si="11"/>
        <v>133-905</v>
      </c>
    </row>
    <row r="721" spans="1:3" ht="14.5">
      <c r="A721" s="41" t="s">
        <v>5830</v>
      </c>
      <c r="B721" s="380" t="str">
        <f t="shared" si="11"/>
        <v>134-901</v>
      </c>
    </row>
    <row r="722" spans="1:3" ht="14.5">
      <c r="A722" s="41" t="s">
        <v>5133</v>
      </c>
      <c r="B722" s="380" t="str">
        <f t="shared" si="11"/>
        <v>135-001</v>
      </c>
      <c r="C722" s="2043">
        <v>0</v>
      </c>
    </row>
    <row r="723" spans="1:3" ht="14.5">
      <c r="A723" s="41" t="s">
        <v>5831</v>
      </c>
      <c r="B723" s="380" t="str">
        <f t="shared" si="11"/>
        <v>136-901</v>
      </c>
    </row>
    <row r="724" spans="1:3" ht="14.5">
      <c r="A724" s="41" t="s">
        <v>3099</v>
      </c>
      <c r="B724" s="380" t="str">
        <f t="shared" si="11"/>
        <v>137-901</v>
      </c>
      <c r="C724" s="2043">
        <v>4891595</v>
      </c>
    </row>
    <row r="725" spans="1:3" ht="14.5">
      <c r="A725" s="41" t="s">
        <v>5832</v>
      </c>
      <c r="B725" s="380" t="str">
        <f t="shared" si="11"/>
        <v>137-902</v>
      </c>
    </row>
    <row r="726" spans="1:3" ht="14.5">
      <c r="A726" s="41" t="s">
        <v>5833</v>
      </c>
      <c r="B726" s="380" t="str">
        <f t="shared" si="11"/>
        <v>137-903</v>
      </c>
    </row>
    <row r="727" spans="1:3" ht="14.5">
      <c r="A727" s="41" t="s">
        <v>5134</v>
      </c>
      <c r="B727" s="380" t="str">
        <f t="shared" si="11"/>
        <v>137-904</v>
      </c>
      <c r="C727" s="2043">
        <v>713390</v>
      </c>
    </row>
    <row r="728" spans="1:3" ht="14.5">
      <c r="A728" s="41" t="s">
        <v>3100</v>
      </c>
      <c r="B728" s="380" t="str">
        <f t="shared" si="11"/>
        <v>138-902</v>
      </c>
    </row>
    <row r="729" spans="1:3" ht="14.5">
      <c r="A729" s="41" t="s">
        <v>5834</v>
      </c>
      <c r="B729" s="380" t="str">
        <f t="shared" si="11"/>
        <v>138-903</v>
      </c>
      <c r="C729" s="2043">
        <v>0</v>
      </c>
    </row>
    <row r="730" spans="1:3" ht="14.5">
      <c r="A730" s="41" t="s">
        <v>5835</v>
      </c>
      <c r="B730" s="380" t="str">
        <f t="shared" si="11"/>
        <v>138-904</v>
      </c>
      <c r="C730" s="2043">
        <v>0</v>
      </c>
    </row>
    <row r="731" spans="1:3" ht="14.5">
      <c r="A731" s="41" t="s">
        <v>5135</v>
      </c>
      <c r="B731" s="380" t="str">
        <f t="shared" si="11"/>
        <v>139-905</v>
      </c>
      <c r="C731" s="2043">
        <v>1005800</v>
      </c>
    </row>
    <row r="732" spans="1:3" ht="14.5">
      <c r="A732" s="41" t="s">
        <v>3102</v>
      </c>
      <c r="B732" s="380" t="str">
        <f t="shared" si="11"/>
        <v>139-909</v>
      </c>
      <c r="C732" s="2043">
        <v>3397879</v>
      </c>
    </row>
    <row r="733" spans="1:3" ht="14.5">
      <c r="A733" s="41" t="s">
        <v>5136</v>
      </c>
      <c r="B733" s="380" t="str">
        <f t="shared" si="11"/>
        <v>139-911</v>
      </c>
      <c r="C733" s="2043">
        <v>0</v>
      </c>
    </row>
    <row r="734" spans="1:3" ht="14.5">
      <c r="A734" s="41" t="s">
        <v>3103</v>
      </c>
      <c r="B734" s="380" t="str">
        <f t="shared" si="11"/>
        <v>139-912</v>
      </c>
      <c r="C734" s="2043">
        <v>528450</v>
      </c>
    </row>
    <row r="735" spans="1:3" ht="14.5">
      <c r="A735" s="41" t="s">
        <v>5836</v>
      </c>
      <c r="B735" s="380" t="str">
        <f t="shared" si="11"/>
        <v>140-901</v>
      </c>
    </row>
    <row r="736" spans="1:3" ht="14.5">
      <c r="A736" s="41" t="s">
        <v>5837</v>
      </c>
      <c r="B736" s="380" t="str">
        <f t="shared" si="11"/>
        <v>140-904</v>
      </c>
    </row>
    <row r="737" spans="1:3" ht="14.5">
      <c r="A737" s="41" t="s">
        <v>4347</v>
      </c>
      <c r="B737" s="380" t="str">
        <f t="shared" si="11"/>
        <v>140-905</v>
      </c>
    </row>
    <row r="738" spans="1:3" ht="14.5">
      <c r="A738" s="41" t="s">
        <v>5838</v>
      </c>
      <c r="B738" s="380" t="str">
        <f t="shared" si="11"/>
        <v>140-907</v>
      </c>
    </row>
    <row r="739" spans="1:3" ht="14.5">
      <c r="A739" s="41" t="s">
        <v>5137</v>
      </c>
      <c r="B739" s="380" t="str">
        <f t="shared" si="11"/>
        <v>140-908</v>
      </c>
      <c r="C739" s="2043">
        <v>686800</v>
      </c>
    </row>
    <row r="740" spans="1:3" ht="14.5">
      <c r="A740" s="41" t="s">
        <v>3104</v>
      </c>
      <c r="B740" s="380" t="str">
        <f t="shared" si="11"/>
        <v>141-901</v>
      </c>
      <c r="C740" s="2043">
        <v>3149664</v>
      </c>
    </row>
    <row r="741" spans="1:3" ht="14.5">
      <c r="A741" s="41" t="s">
        <v>5138</v>
      </c>
      <c r="B741" s="380" t="str">
        <f t="shared" si="11"/>
        <v>141-902</v>
      </c>
      <c r="C741" s="2043">
        <v>222762</v>
      </c>
    </row>
    <row r="742" spans="1:3" ht="14.5">
      <c r="A742" s="41" t="s">
        <v>3105</v>
      </c>
      <c r="B742" s="380" t="str">
        <f t="shared" si="11"/>
        <v>142-901</v>
      </c>
      <c r="C742" s="2043">
        <v>1571500</v>
      </c>
    </row>
    <row r="743" spans="1:3" ht="14.5">
      <c r="A743" s="41" t="s">
        <v>5139</v>
      </c>
      <c r="B743" s="380" t="str">
        <f t="shared" si="11"/>
        <v>143-901</v>
      </c>
      <c r="C743" s="2043">
        <v>1518023</v>
      </c>
    </row>
    <row r="744" spans="1:3" ht="14.5">
      <c r="A744" s="41" t="s">
        <v>5839</v>
      </c>
      <c r="B744" s="380" t="str">
        <f t="shared" si="11"/>
        <v>143-902</v>
      </c>
      <c r="C744" s="2043">
        <v>0</v>
      </c>
    </row>
    <row r="745" spans="1:3" ht="14.5">
      <c r="A745" s="41" t="s">
        <v>5840</v>
      </c>
      <c r="B745" s="380" t="str">
        <f t="shared" si="11"/>
        <v>143-903</v>
      </c>
      <c r="C745" s="2043">
        <v>0</v>
      </c>
    </row>
    <row r="746" spans="1:3" ht="14.5">
      <c r="A746" s="41" t="s">
        <v>5841</v>
      </c>
      <c r="B746" s="380" t="str">
        <f t="shared" si="11"/>
        <v>143-904</v>
      </c>
    </row>
    <row r="747" spans="1:3" ht="14.5">
      <c r="A747" s="41" t="s">
        <v>5842</v>
      </c>
      <c r="B747" s="380" t="str">
        <f t="shared" si="11"/>
        <v>143-905</v>
      </c>
    </row>
    <row r="748" spans="1:3" ht="14.5">
      <c r="A748" s="41" t="s">
        <v>5140</v>
      </c>
      <c r="B748" s="380" t="str">
        <f t="shared" si="11"/>
        <v>143-906</v>
      </c>
      <c r="C748" s="2043">
        <v>224575</v>
      </c>
    </row>
    <row r="749" spans="1:3" ht="14.5">
      <c r="A749" s="41" t="s">
        <v>5141</v>
      </c>
      <c r="B749" s="380" t="str">
        <f t="shared" si="11"/>
        <v>144-901</v>
      </c>
      <c r="C749" s="2043">
        <v>2340200</v>
      </c>
    </row>
    <row r="750" spans="1:3" ht="14.5">
      <c r="A750" s="41" t="s">
        <v>5142</v>
      </c>
      <c r="B750" s="380" t="str">
        <f t="shared" si="11"/>
        <v>144-902</v>
      </c>
      <c r="C750" s="2043">
        <v>0</v>
      </c>
    </row>
    <row r="751" spans="1:3" ht="14.5">
      <c r="A751" s="41" t="s">
        <v>5843</v>
      </c>
      <c r="B751" s="380" t="str">
        <f t="shared" si="11"/>
        <v>144-903</v>
      </c>
      <c r="C751" s="2043">
        <v>0</v>
      </c>
    </row>
    <row r="752" spans="1:3" ht="14.5">
      <c r="A752" s="41" t="s">
        <v>5143</v>
      </c>
      <c r="B752" s="380" t="str">
        <f t="shared" si="11"/>
        <v>145-901</v>
      </c>
      <c r="C752" s="2043">
        <v>1306810</v>
      </c>
    </row>
    <row r="753" spans="1:3" ht="14.5">
      <c r="A753" s="41" t="s">
        <v>5144</v>
      </c>
      <c r="B753" s="380" t="str">
        <f t="shared" si="11"/>
        <v>145-902</v>
      </c>
      <c r="C753" s="2043">
        <v>697337</v>
      </c>
    </row>
    <row r="754" spans="1:3" ht="14.5">
      <c r="A754" s="41" t="s">
        <v>5145</v>
      </c>
      <c r="B754" s="380" t="str">
        <f t="shared" si="11"/>
        <v>145-906</v>
      </c>
      <c r="C754" s="2043">
        <v>603425</v>
      </c>
    </row>
    <row r="755" spans="1:3" ht="14.5">
      <c r="A755" s="41" t="s">
        <v>5146</v>
      </c>
      <c r="B755" s="380" t="str">
        <f t="shared" si="11"/>
        <v>145-907</v>
      </c>
      <c r="C755" s="2043">
        <v>158248</v>
      </c>
    </row>
    <row r="756" spans="1:3" ht="14.5">
      <c r="A756" s="41" t="s">
        <v>5147</v>
      </c>
      <c r="B756" s="380" t="str">
        <f t="shared" si="11"/>
        <v>145-911</v>
      </c>
      <c r="C756" s="2043">
        <v>1456850</v>
      </c>
    </row>
    <row r="757" spans="1:3" ht="14.5">
      <c r="A757" s="41" t="s">
        <v>3106</v>
      </c>
      <c r="B757" s="380" t="str">
        <f t="shared" si="11"/>
        <v>146-901</v>
      </c>
      <c r="C757" s="2043">
        <v>2379825</v>
      </c>
    </row>
    <row r="758" spans="1:3" ht="14.5">
      <c r="A758" s="41" t="s">
        <v>3107</v>
      </c>
      <c r="B758" s="380" t="str">
        <f t="shared" si="11"/>
        <v>146-902</v>
      </c>
      <c r="C758" s="2043">
        <v>6421448</v>
      </c>
    </row>
    <row r="759" spans="1:3" ht="14.5">
      <c r="A759" s="41" t="s">
        <v>5148</v>
      </c>
      <c r="B759" s="380" t="str">
        <f t="shared" si="11"/>
        <v>146-903</v>
      </c>
      <c r="C759" s="2043">
        <v>141400</v>
      </c>
    </row>
    <row r="760" spans="1:3" ht="14.5">
      <c r="A760" s="41" t="s">
        <v>3108</v>
      </c>
      <c r="B760" s="380" t="str">
        <f t="shared" si="11"/>
        <v>146-904</v>
      </c>
      <c r="C760" s="2043">
        <v>1011173</v>
      </c>
    </row>
    <row r="761" spans="1:3" ht="14.5">
      <c r="A761" s="41" t="s">
        <v>3109</v>
      </c>
      <c r="B761" s="380" t="str">
        <f t="shared" si="11"/>
        <v>146-905</v>
      </c>
      <c r="C761" s="2043">
        <v>116462</v>
      </c>
    </row>
    <row r="762" spans="1:3" ht="14.5">
      <c r="A762" s="41" t="s">
        <v>5149</v>
      </c>
      <c r="B762" s="380" t="str">
        <f t="shared" si="11"/>
        <v>146-906</v>
      </c>
      <c r="C762" s="2043">
        <v>2336587</v>
      </c>
    </row>
    <row r="763" spans="1:3" ht="14.5">
      <c r="A763" s="41" t="s">
        <v>5150</v>
      </c>
      <c r="B763" s="380" t="str">
        <f t="shared" si="11"/>
        <v>146-907</v>
      </c>
      <c r="C763" s="2043">
        <v>724738</v>
      </c>
    </row>
    <row r="764" spans="1:3" ht="14.5">
      <c r="A764" s="41" t="s">
        <v>3110</v>
      </c>
      <c r="B764" s="380" t="str">
        <f t="shared" si="11"/>
        <v>147-901</v>
      </c>
      <c r="C764" s="2043">
        <v>203494</v>
      </c>
    </row>
    <row r="765" spans="1:3" ht="14.5">
      <c r="A765" s="41" t="s">
        <v>5151</v>
      </c>
      <c r="B765" s="380" t="str">
        <f t="shared" si="11"/>
        <v>147-902</v>
      </c>
      <c r="C765" s="2043">
        <v>1138786</v>
      </c>
    </row>
    <row r="766" spans="1:3" ht="14.5">
      <c r="A766" s="41" t="s">
        <v>5152</v>
      </c>
      <c r="B766" s="380" t="str">
        <f t="shared" si="11"/>
        <v>147-903</v>
      </c>
      <c r="C766" s="2043">
        <v>592650</v>
      </c>
    </row>
    <row r="767" spans="1:3" ht="14.5">
      <c r="A767" s="41" t="s">
        <v>5153</v>
      </c>
      <c r="B767" s="380" t="str">
        <f t="shared" si="11"/>
        <v>148-901</v>
      </c>
    </row>
    <row r="768" spans="1:3" ht="14.5">
      <c r="A768" s="41" t="s">
        <v>5154</v>
      </c>
      <c r="B768" s="380" t="str">
        <f t="shared" si="11"/>
        <v>148-902</v>
      </c>
      <c r="C768" s="2043">
        <v>0</v>
      </c>
    </row>
    <row r="769" spans="1:3" ht="14.5">
      <c r="A769" s="41" t="s">
        <v>5156</v>
      </c>
      <c r="B769" s="380" t="str">
        <f t="shared" si="11"/>
        <v>148-905</v>
      </c>
      <c r="C769" s="2043">
        <v>0</v>
      </c>
    </row>
    <row r="770" spans="1:3" ht="14.5">
      <c r="A770" s="41" t="s">
        <v>5157</v>
      </c>
      <c r="B770" s="380" t="str">
        <f t="shared" si="11"/>
        <v>149-901</v>
      </c>
      <c r="C770" s="2043">
        <v>940400</v>
      </c>
    </row>
    <row r="771" spans="1:3" ht="14.5">
      <c r="A771" s="41" t="s">
        <v>5158</v>
      </c>
      <c r="B771" s="380" t="str">
        <f t="shared" si="11"/>
        <v>149-902</v>
      </c>
      <c r="C771" s="2043">
        <v>1964626</v>
      </c>
    </row>
    <row r="772" spans="1:3" ht="14.5">
      <c r="A772" s="41" t="s">
        <v>5159</v>
      </c>
      <c r="B772" s="380" t="str">
        <f t="shared" ref="B772:B835" si="12">CONCATENATE(LEFT(RIGHT(CONCATENATE("000",A772),6),3),"-",(RIGHT(RIGHT(CONCATENATE("000",A772),6),3)))</f>
        <v>150-901</v>
      </c>
      <c r="C772" s="2043">
        <v>3493844</v>
      </c>
    </row>
    <row r="773" spans="1:3" ht="14.5">
      <c r="A773" s="41" t="s">
        <v>10385</v>
      </c>
      <c r="B773" s="380" t="str">
        <f t="shared" si="12"/>
        <v>152-504</v>
      </c>
    </row>
    <row r="774" spans="1:3" ht="14.5">
      <c r="A774" s="41" t="s">
        <v>8056</v>
      </c>
      <c r="B774" s="380" t="str">
        <f t="shared" si="12"/>
        <v>152-802</v>
      </c>
    </row>
    <row r="775" spans="1:3" ht="14.5">
      <c r="A775" s="41" t="s">
        <v>8057</v>
      </c>
      <c r="B775" s="380" t="str">
        <f t="shared" si="12"/>
        <v>152-803</v>
      </c>
    </row>
    <row r="776" spans="1:3" ht="14.5">
      <c r="A776" s="41" t="s">
        <v>8058</v>
      </c>
      <c r="B776" s="380" t="str">
        <f t="shared" si="12"/>
        <v>152-806</v>
      </c>
    </row>
    <row r="777" spans="1:3" ht="14.5">
      <c r="A777" s="41" t="s">
        <v>4363</v>
      </c>
      <c r="B777" s="380" t="str">
        <f t="shared" si="12"/>
        <v>152-901</v>
      </c>
      <c r="C777" s="2043">
        <v>15145583</v>
      </c>
    </row>
    <row r="778" spans="1:3" ht="14.5">
      <c r="A778" s="41" t="s">
        <v>5844</v>
      </c>
      <c r="B778" s="380" t="str">
        <f t="shared" si="12"/>
        <v>152-902</v>
      </c>
      <c r="C778" s="2043">
        <v>0</v>
      </c>
    </row>
    <row r="779" spans="1:3" ht="14.5">
      <c r="A779" s="41" t="s">
        <v>5160</v>
      </c>
      <c r="B779" s="380" t="str">
        <f t="shared" si="12"/>
        <v>152-903</v>
      </c>
      <c r="C779" s="2043">
        <v>723312</v>
      </c>
    </row>
    <row r="780" spans="1:3" ht="14.5">
      <c r="A780" s="41" t="s">
        <v>3111</v>
      </c>
      <c r="B780" s="380" t="str">
        <f t="shared" si="12"/>
        <v>152-906</v>
      </c>
      <c r="C780" s="2043">
        <v>10322691</v>
      </c>
    </row>
    <row r="781" spans="1:3" ht="14.5">
      <c r="A781" s="41" t="s">
        <v>3112</v>
      </c>
      <c r="B781" s="380" t="str">
        <f t="shared" si="12"/>
        <v>152-907</v>
      </c>
      <c r="C781" s="2043">
        <v>17180818</v>
      </c>
    </row>
    <row r="782" spans="1:3" ht="14.5">
      <c r="A782" s="41" t="s">
        <v>5161</v>
      </c>
      <c r="B782" s="380" t="str">
        <f t="shared" si="12"/>
        <v>152-908</v>
      </c>
      <c r="C782" s="2043">
        <v>740300</v>
      </c>
    </row>
    <row r="783" spans="1:3" ht="14.5">
      <c r="A783" s="41" t="s">
        <v>3113</v>
      </c>
      <c r="B783" s="380" t="str">
        <f t="shared" si="12"/>
        <v>152-909</v>
      </c>
      <c r="C783" s="2043">
        <v>2011312</v>
      </c>
    </row>
    <row r="784" spans="1:3" ht="14.5">
      <c r="A784" s="41" t="s">
        <v>3114</v>
      </c>
      <c r="B784" s="380" t="str">
        <f t="shared" si="12"/>
        <v>152-910</v>
      </c>
      <c r="C784" s="2043">
        <v>872150</v>
      </c>
    </row>
    <row r="785" spans="1:3" ht="14.5">
      <c r="A785" s="41" t="s">
        <v>8510</v>
      </c>
      <c r="B785" s="380" t="str">
        <f t="shared" si="12"/>
        <v>152-950</v>
      </c>
    </row>
    <row r="786" spans="1:3" ht="14.5">
      <c r="A786" s="41" t="s">
        <v>5162</v>
      </c>
      <c r="B786" s="380" t="str">
        <f t="shared" si="12"/>
        <v>153-903</v>
      </c>
      <c r="C786" s="2043">
        <v>836645</v>
      </c>
    </row>
    <row r="787" spans="1:3" ht="14.5">
      <c r="A787" s="41" t="s">
        <v>5845</v>
      </c>
      <c r="B787" s="380" t="str">
        <f t="shared" si="12"/>
        <v>153-904</v>
      </c>
      <c r="C787" s="2043">
        <v>0</v>
      </c>
    </row>
    <row r="788" spans="1:3" ht="14.5">
      <c r="A788" s="41" t="s">
        <v>5163</v>
      </c>
      <c r="B788" s="380" t="str">
        <f t="shared" si="12"/>
        <v>153-905</v>
      </c>
      <c r="C788" s="2043">
        <v>339863</v>
      </c>
    </row>
    <row r="789" spans="1:3" ht="14.5">
      <c r="A789" s="41" t="s">
        <v>5846</v>
      </c>
      <c r="B789" s="380" t="str">
        <f t="shared" si="12"/>
        <v>153-907</v>
      </c>
      <c r="C789" s="2043">
        <v>0</v>
      </c>
    </row>
    <row r="790" spans="1:3" ht="14.5">
      <c r="A790" s="41" t="s">
        <v>3115</v>
      </c>
      <c r="B790" s="380" t="str">
        <f t="shared" si="12"/>
        <v>154-901</v>
      </c>
      <c r="C790" s="2043">
        <v>838100</v>
      </c>
    </row>
    <row r="791" spans="1:3" ht="14.5">
      <c r="A791" s="41" t="s">
        <v>3116</v>
      </c>
      <c r="B791" s="380" t="str">
        <f t="shared" si="12"/>
        <v>154-903</v>
      </c>
      <c r="C791" s="2043">
        <v>361650</v>
      </c>
    </row>
    <row r="792" spans="1:3" ht="14.5">
      <c r="A792" s="41" t="s">
        <v>5164</v>
      </c>
      <c r="B792" s="380" t="str">
        <f t="shared" si="12"/>
        <v>155-901</v>
      </c>
      <c r="C792" s="2043">
        <v>504181</v>
      </c>
    </row>
    <row r="793" spans="1:3" ht="14.5">
      <c r="A793" s="41" t="s">
        <v>5165</v>
      </c>
      <c r="B793" s="380" t="str">
        <f t="shared" si="12"/>
        <v>156-902</v>
      </c>
      <c r="C793" s="2043">
        <v>2102775</v>
      </c>
    </row>
    <row r="794" spans="1:3" ht="14.5">
      <c r="A794" s="41" t="s">
        <v>5166</v>
      </c>
      <c r="B794" s="380" t="str">
        <f t="shared" si="12"/>
        <v>156-905</v>
      </c>
      <c r="C794" s="2043">
        <v>0</v>
      </c>
    </row>
    <row r="795" spans="1:3" ht="14.5">
      <c r="A795" s="41" t="s">
        <v>5167</v>
      </c>
      <c r="B795" s="380" t="str">
        <f t="shared" si="12"/>
        <v>157-901</v>
      </c>
      <c r="C795" s="2043">
        <v>0</v>
      </c>
    </row>
    <row r="796" spans="1:3" ht="14.5">
      <c r="A796" s="41" t="s">
        <v>5168</v>
      </c>
      <c r="B796" s="380" t="str">
        <f t="shared" si="12"/>
        <v>158-901</v>
      </c>
      <c r="C796" s="2043">
        <v>1936800</v>
      </c>
    </row>
    <row r="797" spans="1:3" ht="14.5">
      <c r="A797" s="41" t="s">
        <v>5169</v>
      </c>
      <c r="B797" s="380" t="str">
        <f t="shared" si="12"/>
        <v>158-902</v>
      </c>
      <c r="C797" s="2043">
        <v>2660722</v>
      </c>
    </row>
    <row r="798" spans="1:3" ht="14.5">
      <c r="A798" s="41" t="s">
        <v>5170</v>
      </c>
      <c r="B798" s="380" t="str">
        <f t="shared" si="12"/>
        <v>158-904</v>
      </c>
      <c r="C798" s="2043">
        <v>320962</v>
      </c>
    </row>
    <row r="799" spans="1:3" ht="14.5">
      <c r="A799" s="41" t="s">
        <v>5171</v>
      </c>
      <c r="B799" s="380" t="str">
        <f t="shared" si="12"/>
        <v>158-905</v>
      </c>
      <c r="C799" s="2043">
        <v>0</v>
      </c>
    </row>
    <row r="800" spans="1:3" ht="14.5">
      <c r="A800" s="41" t="s">
        <v>5847</v>
      </c>
      <c r="B800" s="380" t="str">
        <f t="shared" si="12"/>
        <v>158-906</v>
      </c>
      <c r="C800" s="2043">
        <v>0</v>
      </c>
    </row>
    <row r="801" spans="1:3" ht="14.5">
      <c r="A801" s="41" t="s">
        <v>3117</v>
      </c>
      <c r="B801" s="380" t="str">
        <f t="shared" si="12"/>
        <v>159-901</v>
      </c>
      <c r="C801" s="2043">
        <v>4517505</v>
      </c>
    </row>
    <row r="802" spans="1:3" ht="14.5">
      <c r="A802" s="41" t="s">
        <v>3118</v>
      </c>
      <c r="B802" s="380" t="str">
        <f t="shared" si="12"/>
        <v>160-901</v>
      </c>
      <c r="C802" s="2043">
        <v>1448516</v>
      </c>
    </row>
    <row r="803" spans="1:3" ht="14.5">
      <c r="A803" s="41" t="s">
        <v>5848</v>
      </c>
      <c r="B803" s="380" t="str">
        <f t="shared" si="12"/>
        <v>160-904</v>
      </c>
    </row>
    <row r="804" spans="1:3" ht="14.5">
      <c r="A804" s="41" t="s">
        <v>3119</v>
      </c>
      <c r="B804" s="380" t="str">
        <f t="shared" si="12"/>
        <v>160-905</v>
      </c>
      <c r="C804" s="2043">
        <v>94015</v>
      </c>
    </row>
    <row r="805" spans="1:3" ht="14.5">
      <c r="A805" s="41" t="s">
        <v>8059</v>
      </c>
      <c r="B805" s="380" t="str">
        <f t="shared" si="12"/>
        <v>161-801</v>
      </c>
    </row>
    <row r="806" spans="1:3" ht="14.5">
      <c r="A806" s="41" t="s">
        <v>8060</v>
      </c>
      <c r="B806" s="380" t="str">
        <f t="shared" si="12"/>
        <v>161-802</v>
      </c>
    </row>
    <row r="807" spans="1:3" ht="14.5">
      <c r="A807" s="41" t="s">
        <v>8061</v>
      </c>
      <c r="B807" s="380" t="str">
        <f t="shared" si="12"/>
        <v>161-807</v>
      </c>
    </row>
    <row r="808" spans="1:3" ht="14.5">
      <c r="A808" s="41" t="s">
        <v>3120</v>
      </c>
      <c r="B808" s="380" t="str">
        <f t="shared" si="12"/>
        <v>161-901</v>
      </c>
      <c r="C808" s="2043">
        <v>392450</v>
      </c>
    </row>
    <row r="809" spans="1:3" ht="14.5">
      <c r="A809" s="41" t="s">
        <v>5172</v>
      </c>
      <c r="B809" s="380" t="str">
        <f t="shared" si="12"/>
        <v>161-903</v>
      </c>
      <c r="C809" s="2043">
        <v>11596647</v>
      </c>
    </row>
    <row r="810" spans="1:3" ht="14.5">
      <c r="A810" s="41" t="s">
        <v>3121</v>
      </c>
      <c r="B810" s="380" t="str">
        <f t="shared" si="12"/>
        <v>161-906</v>
      </c>
      <c r="C810" s="2043">
        <v>2293609</v>
      </c>
    </row>
    <row r="811" spans="1:3" ht="14.5">
      <c r="A811" s="41" t="s">
        <v>3122</v>
      </c>
      <c r="B811" s="380" t="str">
        <f t="shared" si="12"/>
        <v>161-907</v>
      </c>
      <c r="C811" s="2043">
        <v>1971937</v>
      </c>
    </row>
    <row r="812" spans="1:3" ht="14.5">
      <c r="A812" s="41" t="s">
        <v>3123</v>
      </c>
      <c r="B812" s="380" t="str">
        <f t="shared" si="12"/>
        <v>161-908</v>
      </c>
      <c r="C812" s="2043">
        <v>307800</v>
      </c>
    </row>
    <row r="813" spans="1:3" ht="14.5">
      <c r="A813" s="41" t="s">
        <v>3124</v>
      </c>
      <c r="B813" s="380" t="str">
        <f t="shared" si="12"/>
        <v>161-909</v>
      </c>
      <c r="C813" s="2043">
        <v>1226782</v>
      </c>
    </row>
    <row r="814" spans="1:3" ht="14.5">
      <c r="A814" s="41" t="s">
        <v>3125</v>
      </c>
      <c r="B814" s="380" t="str">
        <f t="shared" si="12"/>
        <v>161-910</v>
      </c>
      <c r="C814" s="2043">
        <v>677162</v>
      </c>
    </row>
    <row r="815" spans="1:3" ht="14.5">
      <c r="A815" s="41" t="s">
        <v>3126</v>
      </c>
      <c r="B815" s="380" t="str">
        <f t="shared" si="12"/>
        <v>161-912</v>
      </c>
      <c r="C815" s="2043">
        <v>1672333</v>
      </c>
    </row>
    <row r="816" spans="1:3" ht="14.5">
      <c r="A816" s="41" t="s">
        <v>3127</v>
      </c>
      <c r="B816" s="380" t="str">
        <f t="shared" si="12"/>
        <v>161-914</v>
      </c>
      <c r="C816" s="2043">
        <v>14039000</v>
      </c>
    </row>
    <row r="817" spans="1:3" ht="14.5">
      <c r="A817" s="41" t="s">
        <v>3128</v>
      </c>
      <c r="B817" s="380" t="str">
        <f t="shared" si="12"/>
        <v>161-916</v>
      </c>
      <c r="C817" s="2043">
        <v>999461</v>
      </c>
    </row>
    <row r="818" spans="1:3" ht="14.5">
      <c r="A818" s="41" t="s">
        <v>5849</v>
      </c>
      <c r="B818" s="380" t="str">
        <f t="shared" si="12"/>
        <v>161-918</v>
      </c>
    </row>
    <row r="819" spans="1:3" ht="14.5">
      <c r="A819" s="41" t="s">
        <v>3129</v>
      </c>
      <c r="B819" s="380" t="str">
        <f t="shared" si="12"/>
        <v>161-919</v>
      </c>
      <c r="C819" s="2043">
        <v>421500</v>
      </c>
    </row>
    <row r="820" spans="1:3" ht="14.5">
      <c r="A820" s="41" t="s">
        <v>3130</v>
      </c>
      <c r="B820" s="380" t="str">
        <f t="shared" si="12"/>
        <v>161-920</v>
      </c>
      <c r="C820" s="2043">
        <v>2755130</v>
      </c>
    </row>
    <row r="821" spans="1:3" ht="14.5">
      <c r="A821" s="41" t="s">
        <v>3131</v>
      </c>
      <c r="B821" s="380" t="str">
        <f t="shared" si="12"/>
        <v>161-921</v>
      </c>
      <c r="C821" s="2043">
        <v>1560378</v>
      </c>
    </row>
    <row r="822" spans="1:3" ht="14.5">
      <c r="A822" s="41" t="s">
        <v>3132</v>
      </c>
      <c r="B822" s="380" t="str">
        <f t="shared" si="12"/>
        <v>161-922</v>
      </c>
      <c r="C822" s="2043">
        <v>2029848</v>
      </c>
    </row>
    <row r="823" spans="1:3" ht="14.5">
      <c r="A823" s="41" t="s">
        <v>3133</v>
      </c>
      <c r="B823" s="380" t="str">
        <f t="shared" si="12"/>
        <v>161-923</v>
      </c>
      <c r="C823" s="2043">
        <v>539094</v>
      </c>
    </row>
    <row r="824" spans="1:3" ht="14.5">
      <c r="A824" s="41" t="s">
        <v>5173</v>
      </c>
      <c r="B824" s="380" t="str">
        <f t="shared" si="12"/>
        <v>161-924</v>
      </c>
      <c r="C824" s="2043">
        <v>133458</v>
      </c>
    </row>
    <row r="825" spans="1:3" ht="14.5">
      <c r="A825" s="41" t="s">
        <v>5850</v>
      </c>
      <c r="B825" s="380" t="str">
        <f t="shared" si="12"/>
        <v>161-925</v>
      </c>
    </row>
    <row r="826" spans="1:3" ht="14.5">
      <c r="A826" s="41" t="s">
        <v>8511</v>
      </c>
      <c r="B826" s="380" t="str">
        <f t="shared" si="12"/>
        <v>161-950</v>
      </c>
    </row>
    <row r="827" spans="1:3" ht="14.5">
      <c r="A827" s="41" t="s">
        <v>5174</v>
      </c>
      <c r="B827" s="380" t="str">
        <f t="shared" si="12"/>
        <v>162-904</v>
      </c>
      <c r="C827" s="2043">
        <v>0</v>
      </c>
    </row>
    <row r="828" spans="1:3" ht="14.5">
      <c r="A828" s="41" t="s">
        <v>3134</v>
      </c>
      <c r="B828" s="380" t="str">
        <f t="shared" si="12"/>
        <v>163-901</v>
      </c>
      <c r="C828" s="2043">
        <v>1009960</v>
      </c>
    </row>
    <row r="829" spans="1:3" ht="14.5">
      <c r="A829" s="41" t="s">
        <v>3135</v>
      </c>
      <c r="B829" s="380" t="str">
        <f t="shared" si="12"/>
        <v>163-902</v>
      </c>
      <c r="C829" s="2043">
        <v>318445</v>
      </c>
    </row>
    <row r="830" spans="1:3" ht="14.5">
      <c r="A830" s="41" t="s">
        <v>3136</v>
      </c>
      <c r="B830" s="380" t="str">
        <f t="shared" si="12"/>
        <v>163-903</v>
      </c>
      <c r="C830" s="2043">
        <v>0</v>
      </c>
    </row>
    <row r="831" spans="1:3" ht="14.5">
      <c r="A831" s="41" t="s">
        <v>3137</v>
      </c>
      <c r="B831" s="380" t="str">
        <f t="shared" si="12"/>
        <v>163-904</v>
      </c>
      <c r="C831" s="2043">
        <v>1107054</v>
      </c>
    </row>
    <row r="832" spans="1:3" ht="14.5">
      <c r="A832" s="41" t="s">
        <v>3138</v>
      </c>
      <c r="B832" s="380" t="str">
        <f t="shared" si="12"/>
        <v>163-908</v>
      </c>
      <c r="C832" s="2043">
        <v>3987625</v>
      </c>
    </row>
    <row r="833" spans="1:3" ht="14.5">
      <c r="A833" s="41" t="s">
        <v>5851</v>
      </c>
      <c r="B833" s="380" t="str">
        <f t="shared" si="12"/>
        <v>164-901</v>
      </c>
    </row>
    <row r="834" spans="1:3" ht="14.5">
      <c r="A834" s="41" t="s">
        <v>8062</v>
      </c>
      <c r="B834" s="380" t="str">
        <f t="shared" si="12"/>
        <v>165-802</v>
      </c>
    </row>
    <row r="835" spans="1:3" ht="14.5">
      <c r="A835" s="41" t="s">
        <v>3139</v>
      </c>
      <c r="B835" s="380" t="str">
        <f t="shared" si="12"/>
        <v>165-901</v>
      </c>
      <c r="C835" s="2043">
        <v>17339000</v>
      </c>
    </row>
    <row r="836" spans="1:3" ht="14.5">
      <c r="A836" s="41" t="s">
        <v>5175</v>
      </c>
      <c r="B836" s="380" t="str">
        <f t="shared" ref="B836:B899" si="13">CONCATENATE(LEFT(RIGHT(CONCATENATE("000",A836),6),3),"-",(RIGHT(RIGHT(CONCATENATE("000",A836),6),3)))</f>
        <v>165-902</v>
      </c>
      <c r="C836" s="2043">
        <v>3487951</v>
      </c>
    </row>
    <row r="837" spans="1:3" ht="14.5">
      <c r="A837" s="41" t="s">
        <v>8512</v>
      </c>
      <c r="B837" s="380" t="str">
        <f t="shared" si="13"/>
        <v>165-950</v>
      </c>
    </row>
    <row r="838" spans="1:3" ht="14.5">
      <c r="A838" s="41" t="s">
        <v>3140</v>
      </c>
      <c r="B838" s="380" t="str">
        <f t="shared" si="13"/>
        <v>166-901</v>
      </c>
      <c r="C838" s="2043">
        <v>1733012</v>
      </c>
    </row>
    <row r="839" spans="1:3" ht="14.5">
      <c r="A839" s="41" t="s">
        <v>5852</v>
      </c>
      <c r="B839" s="380" t="str">
        <f t="shared" si="13"/>
        <v>166-902</v>
      </c>
    </row>
    <row r="840" spans="1:3" ht="14.5">
      <c r="A840" s="41" t="s">
        <v>5176</v>
      </c>
      <c r="B840" s="380" t="str">
        <f t="shared" si="13"/>
        <v>166-903</v>
      </c>
      <c r="C840" s="2043">
        <v>445006</v>
      </c>
    </row>
    <row r="841" spans="1:3" ht="14.5">
      <c r="A841" s="41" t="s">
        <v>5177</v>
      </c>
      <c r="B841" s="380" t="str">
        <f t="shared" si="13"/>
        <v>166-904</v>
      </c>
      <c r="C841" s="2043">
        <v>1713229</v>
      </c>
    </row>
    <row r="842" spans="1:3" ht="14.5">
      <c r="A842" s="41" t="s">
        <v>5178</v>
      </c>
      <c r="B842" s="380" t="str">
        <f t="shared" si="13"/>
        <v>166-905</v>
      </c>
    </row>
    <row r="843" spans="1:3" ht="14.5">
      <c r="A843" s="41" t="s">
        <v>3141</v>
      </c>
      <c r="B843" s="380" t="str">
        <f t="shared" si="13"/>
        <v>166-907</v>
      </c>
      <c r="C843" s="2043">
        <v>86196</v>
      </c>
    </row>
    <row r="844" spans="1:3" ht="14.5">
      <c r="A844" s="41" t="s">
        <v>3142</v>
      </c>
      <c r="B844" s="380" t="str">
        <f t="shared" si="13"/>
        <v>167-901</v>
      </c>
      <c r="C844" s="2043">
        <v>580955</v>
      </c>
    </row>
    <row r="845" spans="1:3" ht="14.5">
      <c r="A845" s="41" t="s">
        <v>5853</v>
      </c>
      <c r="B845" s="380" t="str">
        <f t="shared" si="13"/>
        <v>167-902</v>
      </c>
    </row>
    <row r="846" spans="1:3" ht="14.5">
      <c r="A846" s="41" t="s">
        <v>3143</v>
      </c>
      <c r="B846" s="380" t="str">
        <f t="shared" si="13"/>
        <v>167-904</v>
      </c>
      <c r="C846" s="2043">
        <v>0</v>
      </c>
    </row>
    <row r="847" spans="1:3" ht="14.5">
      <c r="A847" s="41" t="s">
        <v>5179</v>
      </c>
      <c r="B847" s="380" t="str">
        <f t="shared" si="13"/>
        <v>168-901</v>
      </c>
      <c r="C847" s="2043">
        <v>1623282</v>
      </c>
    </row>
    <row r="848" spans="1:3" ht="14.5">
      <c r="A848" s="41" t="s">
        <v>5180</v>
      </c>
      <c r="B848" s="380" t="str">
        <f t="shared" si="13"/>
        <v>168-902</v>
      </c>
      <c r="C848" s="2043">
        <v>715300</v>
      </c>
    </row>
    <row r="849" spans="1:3" ht="14.5">
      <c r="A849" s="41" t="s">
        <v>5854</v>
      </c>
      <c r="B849" s="380" t="str">
        <f t="shared" si="13"/>
        <v>168-903</v>
      </c>
    </row>
    <row r="850" spans="1:3" ht="14.5">
      <c r="A850" s="41" t="s">
        <v>3144</v>
      </c>
      <c r="B850" s="380" t="str">
        <f t="shared" si="13"/>
        <v>169-901</v>
      </c>
      <c r="C850" s="2043">
        <v>1606455</v>
      </c>
    </row>
    <row r="851" spans="1:3" ht="14.5">
      <c r="A851" s="41" t="s">
        <v>5855</v>
      </c>
      <c r="B851" s="380" t="str">
        <f t="shared" si="13"/>
        <v>169-902</v>
      </c>
    </row>
    <row r="852" spans="1:3" ht="14.5">
      <c r="A852" s="41" t="s">
        <v>5181</v>
      </c>
      <c r="B852" s="380" t="str">
        <f t="shared" si="13"/>
        <v>169-906</v>
      </c>
    </row>
    <row r="853" spans="1:3" ht="14.5">
      <c r="A853" s="41" t="s">
        <v>5856</v>
      </c>
      <c r="B853" s="380" t="str">
        <f t="shared" si="13"/>
        <v>169-908</v>
      </c>
    </row>
    <row r="854" spans="1:3" ht="14.5">
      <c r="A854" s="41" t="s">
        <v>5857</v>
      </c>
      <c r="B854" s="380" t="str">
        <f t="shared" si="13"/>
        <v>169-909</v>
      </c>
    </row>
    <row r="855" spans="1:3" ht="14.5">
      <c r="A855" s="41" t="s">
        <v>5182</v>
      </c>
      <c r="B855" s="380" t="str">
        <f t="shared" si="13"/>
        <v>169-910</v>
      </c>
    </row>
    <row r="856" spans="1:3" ht="14.5">
      <c r="A856" s="41" t="s">
        <v>5183</v>
      </c>
      <c r="B856" s="380" t="str">
        <f t="shared" si="13"/>
        <v>169-911</v>
      </c>
      <c r="C856" s="2043">
        <v>0</v>
      </c>
    </row>
    <row r="857" spans="1:3" ht="14.5">
      <c r="A857" s="41" t="s">
        <v>8063</v>
      </c>
      <c r="B857" s="380" t="str">
        <f t="shared" si="13"/>
        <v>170-801</v>
      </c>
    </row>
    <row r="858" spans="1:3" ht="14.5">
      <c r="A858" s="41" t="s">
        <v>3145</v>
      </c>
      <c r="B858" s="380" t="str">
        <f t="shared" si="13"/>
        <v>170-902</v>
      </c>
      <c r="C858" s="2043">
        <v>77925750</v>
      </c>
    </row>
    <row r="859" spans="1:3" ht="14.5">
      <c r="A859" s="41" t="s">
        <v>5184</v>
      </c>
      <c r="B859" s="380" t="str">
        <f t="shared" si="13"/>
        <v>170-903</v>
      </c>
      <c r="C859" s="2043">
        <v>20777431</v>
      </c>
    </row>
    <row r="860" spans="1:3" ht="14.5">
      <c r="A860" s="41" t="s">
        <v>3146</v>
      </c>
      <c r="B860" s="380" t="str">
        <f t="shared" si="13"/>
        <v>170-904</v>
      </c>
      <c r="C860" s="2043">
        <v>7469131</v>
      </c>
    </row>
    <row r="861" spans="1:3" ht="14.5">
      <c r="A861" s="41" t="s">
        <v>3147</v>
      </c>
      <c r="B861" s="380" t="str">
        <f t="shared" si="13"/>
        <v>170-906</v>
      </c>
      <c r="C861" s="2043">
        <v>14408175</v>
      </c>
    </row>
    <row r="862" spans="1:3" ht="14.5">
      <c r="A862" s="41" t="s">
        <v>3148</v>
      </c>
      <c r="B862" s="380" t="str">
        <f t="shared" si="13"/>
        <v>170-907</v>
      </c>
      <c r="C862" s="2043">
        <v>3472168</v>
      </c>
    </row>
    <row r="863" spans="1:3" ht="14.5">
      <c r="A863" s="41" t="s">
        <v>3149</v>
      </c>
      <c r="B863" s="380" t="str">
        <f t="shared" si="13"/>
        <v>170-908</v>
      </c>
      <c r="C863" s="2043">
        <v>22163730</v>
      </c>
    </row>
    <row r="864" spans="1:3" ht="14.5">
      <c r="A864" s="41" t="s">
        <v>5185</v>
      </c>
      <c r="B864" s="380" t="str">
        <f t="shared" si="13"/>
        <v>171-901</v>
      </c>
      <c r="C864" s="2043">
        <v>1972400</v>
      </c>
    </row>
    <row r="865" spans="1:3" ht="14.5">
      <c r="A865" s="41" t="s">
        <v>5186</v>
      </c>
      <c r="B865" s="380" t="str">
        <f t="shared" si="13"/>
        <v>171-902</v>
      </c>
      <c r="C865" s="2043">
        <v>398864</v>
      </c>
    </row>
    <row r="866" spans="1:3" ht="14.5">
      <c r="A866" s="41" t="s">
        <v>5187</v>
      </c>
      <c r="B866" s="380" t="str">
        <f t="shared" si="13"/>
        <v>172-902</v>
      </c>
      <c r="C866" s="2043">
        <v>839131</v>
      </c>
    </row>
    <row r="867" spans="1:3" ht="14.5">
      <c r="A867" s="41" t="s">
        <v>5188</v>
      </c>
      <c r="B867" s="380" t="str">
        <f t="shared" si="13"/>
        <v>172-905</v>
      </c>
      <c r="C867" s="2043">
        <v>177700</v>
      </c>
    </row>
    <row r="868" spans="1:3" ht="14.5">
      <c r="A868" s="41" t="s">
        <v>5858</v>
      </c>
      <c r="B868" s="380" t="str">
        <f t="shared" si="13"/>
        <v>173-901</v>
      </c>
    </row>
    <row r="869" spans="1:3" ht="14.5">
      <c r="A869" s="41" t="s">
        <v>8064</v>
      </c>
      <c r="B869" s="380" t="str">
        <f t="shared" si="13"/>
        <v>174-801</v>
      </c>
    </row>
    <row r="870" spans="1:3" ht="14.5">
      <c r="A870" s="41" t="s">
        <v>3150</v>
      </c>
      <c r="B870" s="380" t="str">
        <f t="shared" si="13"/>
        <v>174-901</v>
      </c>
      <c r="C870" s="2043">
        <v>72057</v>
      </c>
    </row>
    <row r="871" spans="1:3" ht="14.5">
      <c r="A871" s="41" t="s">
        <v>5189</v>
      </c>
      <c r="B871" s="380" t="str">
        <f t="shared" si="13"/>
        <v>174-902</v>
      </c>
      <c r="C871" s="2043">
        <v>962217</v>
      </c>
    </row>
    <row r="872" spans="1:3" ht="14.5">
      <c r="A872" s="41" t="s">
        <v>3151</v>
      </c>
      <c r="B872" s="380" t="str">
        <f t="shared" si="13"/>
        <v>174-903</v>
      </c>
      <c r="C872" s="2043">
        <v>148044</v>
      </c>
    </row>
    <row r="873" spans="1:3" ht="14.5">
      <c r="A873" s="41" t="s">
        <v>5190</v>
      </c>
      <c r="B873" s="380" t="str">
        <f t="shared" si="13"/>
        <v>174-904</v>
      </c>
      <c r="C873" s="2043">
        <v>3526125</v>
      </c>
    </row>
    <row r="874" spans="1:3" ht="14.5">
      <c r="A874" s="41" t="s">
        <v>3152</v>
      </c>
      <c r="B874" s="380" t="str">
        <f t="shared" si="13"/>
        <v>174-906</v>
      </c>
      <c r="C874" s="2043">
        <v>183400</v>
      </c>
    </row>
    <row r="875" spans="1:3" ht="14.5">
      <c r="A875" s="41" t="s">
        <v>3153</v>
      </c>
      <c r="B875" s="380" t="str">
        <f t="shared" si="13"/>
        <v>174-908</v>
      </c>
      <c r="C875" s="2043">
        <v>876382</v>
      </c>
    </row>
    <row r="876" spans="1:3" ht="14.5">
      <c r="A876" s="41" t="s">
        <v>4500</v>
      </c>
      <c r="B876" s="380" t="str">
        <f t="shared" si="13"/>
        <v>174-909</v>
      </c>
      <c r="C876" s="2043">
        <v>313102</v>
      </c>
    </row>
    <row r="877" spans="1:3" ht="14.5">
      <c r="A877" s="41" t="s">
        <v>5191</v>
      </c>
      <c r="B877" s="380" t="str">
        <f t="shared" si="13"/>
        <v>174-910</v>
      </c>
      <c r="C877" s="2043">
        <v>152300</v>
      </c>
    </row>
    <row r="878" spans="1:3" ht="14.5">
      <c r="A878" s="41" t="s">
        <v>5859</v>
      </c>
      <c r="B878" s="380" t="str">
        <f t="shared" si="13"/>
        <v>174-911</v>
      </c>
      <c r="C878" s="2043">
        <v>0</v>
      </c>
    </row>
    <row r="879" spans="1:3" ht="14.5">
      <c r="A879" s="41" t="s">
        <v>5192</v>
      </c>
      <c r="B879" s="380" t="str">
        <f t="shared" si="13"/>
        <v>175-902</v>
      </c>
      <c r="C879" s="2043">
        <v>178850</v>
      </c>
    </row>
    <row r="880" spans="1:3" ht="14.5">
      <c r="A880" s="41" t="s">
        <v>3154</v>
      </c>
      <c r="B880" s="380" t="str">
        <f t="shared" si="13"/>
        <v>175-903</v>
      </c>
      <c r="C880" s="2043">
        <v>6347507</v>
      </c>
    </row>
    <row r="881" spans="1:3" ht="14.5">
      <c r="A881" s="41" t="s">
        <v>3155</v>
      </c>
      <c r="B881" s="380" t="str">
        <f t="shared" si="13"/>
        <v>175-904</v>
      </c>
      <c r="C881" s="2043">
        <v>310200</v>
      </c>
    </row>
    <row r="882" spans="1:3" ht="14.5">
      <c r="A882" s="41" t="s">
        <v>5193</v>
      </c>
      <c r="B882" s="380" t="str">
        <f t="shared" si="13"/>
        <v>175-905</v>
      </c>
      <c r="C882" s="2043">
        <v>100292</v>
      </c>
    </row>
    <row r="883" spans="1:3" ht="14.5">
      <c r="A883" s="41" t="s">
        <v>3156</v>
      </c>
      <c r="B883" s="380" t="str">
        <f t="shared" si="13"/>
        <v>175-907</v>
      </c>
      <c r="C883" s="2043">
        <v>148400</v>
      </c>
    </row>
    <row r="884" spans="1:3" ht="14.5">
      <c r="A884" s="41" t="s">
        <v>5194</v>
      </c>
      <c r="B884" s="380" t="str">
        <f t="shared" si="13"/>
        <v>175-910</v>
      </c>
      <c r="C884" s="2043">
        <v>887712</v>
      </c>
    </row>
    <row r="885" spans="1:3" ht="14.5">
      <c r="A885" s="41" t="s">
        <v>3157</v>
      </c>
      <c r="B885" s="380" t="str">
        <f t="shared" si="13"/>
        <v>175-911</v>
      </c>
      <c r="C885" s="2043">
        <v>527013</v>
      </c>
    </row>
    <row r="886" spans="1:3" ht="14.5">
      <c r="A886" s="41" t="s">
        <v>5195</v>
      </c>
      <c r="B886" s="380" t="str">
        <f t="shared" si="13"/>
        <v>176-901</v>
      </c>
      <c r="C886" s="2043">
        <v>221200</v>
      </c>
    </row>
    <row r="887" spans="1:3" ht="14.5">
      <c r="A887" s="41" t="s">
        <v>3158</v>
      </c>
      <c r="B887" s="380" t="str">
        <f t="shared" si="13"/>
        <v>176-902</v>
      </c>
      <c r="C887" s="2043">
        <v>747225</v>
      </c>
    </row>
    <row r="888" spans="1:3" ht="14.5">
      <c r="A888" s="41" t="s">
        <v>3159</v>
      </c>
      <c r="B888" s="380" t="str">
        <f t="shared" si="13"/>
        <v>176-903</v>
      </c>
      <c r="C888" s="2043">
        <v>858025</v>
      </c>
    </row>
    <row r="889" spans="1:3" ht="14.5">
      <c r="A889" s="41" t="s">
        <v>3160</v>
      </c>
      <c r="B889" s="380" t="str">
        <f t="shared" si="13"/>
        <v>177-901</v>
      </c>
      <c r="C889" s="2043">
        <v>318568</v>
      </c>
    </row>
    <row r="890" spans="1:3" ht="14.5">
      <c r="A890" s="41" t="s">
        <v>5196</v>
      </c>
      <c r="B890" s="380" t="str">
        <f t="shared" si="13"/>
        <v>177-902</v>
      </c>
      <c r="C890" s="2043">
        <v>830250</v>
      </c>
    </row>
    <row r="891" spans="1:3" ht="14.5">
      <c r="A891" s="41" t="s">
        <v>5197</v>
      </c>
      <c r="B891" s="380" t="str">
        <f t="shared" si="13"/>
        <v>177-903</v>
      </c>
    </row>
    <row r="892" spans="1:3" ht="14.5">
      <c r="A892" s="41" t="s">
        <v>5198</v>
      </c>
      <c r="B892" s="380" t="str">
        <f t="shared" si="13"/>
        <v>177-905</v>
      </c>
      <c r="C892" s="2043">
        <v>453275</v>
      </c>
    </row>
    <row r="893" spans="1:3" ht="14.5">
      <c r="A893" s="41" t="s">
        <v>8065</v>
      </c>
      <c r="B893" s="380" t="str">
        <f t="shared" si="13"/>
        <v>178-801</v>
      </c>
    </row>
    <row r="894" spans="1:3" ht="14.5">
      <c r="A894" s="41" t="s">
        <v>8066</v>
      </c>
      <c r="B894" s="380" t="str">
        <f t="shared" si="13"/>
        <v>178-807</v>
      </c>
    </row>
    <row r="895" spans="1:3" ht="14.5">
      <c r="A895" s="41" t="s">
        <v>8067</v>
      </c>
      <c r="B895" s="380" t="str">
        <f t="shared" si="13"/>
        <v>178-808</v>
      </c>
    </row>
    <row r="896" spans="1:3" ht="14.5">
      <c r="A896" s="41" t="s">
        <v>5199</v>
      </c>
      <c r="B896" s="380" t="str">
        <f t="shared" si="13"/>
        <v>178-901</v>
      </c>
      <c r="C896" s="2043">
        <v>0</v>
      </c>
    </row>
    <row r="897" spans="1:3" ht="14.5">
      <c r="A897" s="41" t="s">
        <v>5200</v>
      </c>
      <c r="B897" s="380" t="str">
        <f t="shared" si="13"/>
        <v>178-902</v>
      </c>
      <c r="C897" s="2043">
        <v>1437450</v>
      </c>
    </row>
    <row r="898" spans="1:3" ht="14.5">
      <c r="A898" s="41" t="s">
        <v>5201</v>
      </c>
      <c r="B898" s="380" t="str">
        <f t="shared" si="13"/>
        <v>178-903</v>
      </c>
      <c r="C898" s="2043">
        <v>2507025</v>
      </c>
    </row>
    <row r="899" spans="1:3" ht="14.5">
      <c r="A899" s="41" t="s">
        <v>3161</v>
      </c>
      <c r="B899" s="380" t="str">
        <f t="shared" si="13"/>
        <v>178-904</v>
      </c>
      <c r="C899" s="2043">
        <v>29701402</v>
      </c>
    </row>
    <row r="900" spans="1:3" ht="14.5">
      <c r="A900" s="41" t="s">
        <v>5202</v>
      </c>
      <c r="B900" s="380" t="str">
        <f t="shared" ref="B900:B963" si="14">CONCATENATE(LEFT(RIGHT(CONCATENATE("000",A900),6),3),"-",(RIGHT(RIGHT(CONCATENATE("000",A900),6),3)))</f>
        <v>178-905</v>
      </c>
      <c r="C900" s="2043">
        <v>456921</v>
      </c>
    </row>
    <row r="901" spans="1:3" ht="14.5">
      <c r="A901" s="41" t="s">
        <v>5203</v>
      </c>
      <c r="B901" s="380" t="str">
        <f t="shared" si="14"/>
        <v>178-906</v>
      </c>
      <c r="C901" s="2043">
        <v>1184075</v>
      </c>
    </row>
    <row r="902" spans="1:3" ht="14.5">
      <c r="A902" s="41" t="s">
        <v>5204</v>
      </c>
      <c r="B902" s="380" t="str">
        <f t="shared" si="14"/>
        <v>178-908</v>
      </c>
      <c r="C902" s="2043">
        <v>676000</v>
      </c>
    </row>
    <row r="903" spans="1:3" ht="14.5">
      <c r="A903" s="41" t="s">
        <v>3162</v>
      </c>
      <c r="B903" s="380" t="str">
        <f t="shared" si="14"/>
        <v>178-909</v>
      </c>
      <c r="C903" s="2043">
        <v>4598237</v>
      </c>
    </row>
    <row r="904" spans="1:3" ht="14.5">
      <c r="A904" s="41" t="s">
        <v>5205</v>
      </c>
      <c r="B904" s="380" t="str">
        <f t="shared" si="14"/>
        <v>178-912</v>
      </c>
      <c r="C904" s="2043">
        <v>5543910</v>
      </c>
    </row>
    <row r="905" spans="1:3" ht="14.5">
      <c r="A905" s="41" t="s">
        <v>3163</v>
      </c>
      <c r="B905" s="380" t="str">
        <f t="shared" si="14"/>
        <v>178-913</v>
      </c>
      <c r="C905" s="2043">
        <v>1081738</v>
      </c>
    </row>
    <row r="906" spans="1:3" ht="14.5">
      <c r="A906" s="41" t="s">
        <v>5206</v>
      </c>
      <c r="B906" s="380" t="str">
        <f t="shared" si="14"/>
        <v>178-914</v>
      </c>
      <c r="C906" s="2043">
        <v>2722996</v>
      </c>
    </row>
    <row r="907" spans="1:3" ht="14.5">
      <c r="A907" s="41" t="s">
        <v>3164</v>
      </c>
      <c r="B907" s="380" t="str">
        <f t="shared" si="14"/>
        <v>178-915</v>
      </c>
      <c r="C907" s="2043">
        <v>2325280</v>
      </c>
    </row>
    <row r="908" spans="1:3" ht="14.5">
      <c r="A908" s="41" t="s">
        <v>8513</v>
      </c>
      <c r="B908" s="380" t="str">
        <f t="shared" si="14"/>
        <v>178-950</v>
      </c>
    </row>
    <row r="909" spans="1:3" ht="14.5">
      <c r="A909" s="41" t="s">
        <v>3165</v>
      </c>
      <c r="B909" s="380" t="str">
        <f t="shared" si="14"/>
        <v>179-901</v>
      </c>
      <c r="C909" s="2043">
        <v>1099863</v>
      </c>
    </row>
    <row r="910" spans="1:3" ht="14.5">
      <c r="A910" s="41" t="s">
        <v>7356</v>
      </c>
      <c r="B910" s="380" t="str">
        <f t="shared" si="14"/>
        <v>180-901</v>
      </c>
    </row>
    <row r="911" spans="1:3" ht="14.5">
      <c r="A911" s="41" t="s">
        <v>5207</v>
      </c>
      <c r="B911" s="380" t="str">
        <f t="shared" si="14"/>
        <v>180-902</v>
      </c>
      <c r="C911" s="2043">
        <v>1405467</v>
      </c>
    </row>
    <row r="912" spans="1:3" ht="14.5">
      <c r="A912" s="41" t="s">
        <v>5860</v>
      </c>
      <c r="B912" s="380" t="str">
        <f t="shared" si="14"/>
        <v>180-903</v>
      </c>
      <c r="C912" s="2043">
        <v>0</v>
      </c>
    </row>
    <row r="913" spans="1:3" ht="14.5">
      <c r="A913" s="41" t="s">
        <v>5208</v>
      </c>
      <c r="B913" s="380" t="str">
        <f t="shared" si="14"/>
        <v>180-904</v>
      </c>
      <c r="C913" s="2043">
        <v>787394</v>
      </c>
    </row>
    <row r="914" spans="1:3" ht="14.5">
      <c r="A914" s="41" t="s">
        <v>3166</v>
      </c>
      <c r="B914" s="380" t="str">
        <f t="shared" si="14"/>
        <v>181-901</v>
      </c>
      <c r="C914" s="2043">
        <v>1203012</v>
      </c>
    </row>
    <row r="915" spans="1:3" ht="14.5">
      <c r="A915" s="41" t="s">
        <v>5209</v>
      </c>
      <c r="B915" s="380" t="str">
        <f t="shared" si="14"/>
        <v>181-905</v>
      </c>
      <c r="C915" s="2043">
        <v>574994</v>
      </c>
    </row>
    <row r="916" spans="1:3" ht="14.5">
      <c r="A916" s="41" t="s">
        <v>5210</v>
      </c>
      <c r="B916" s="380" t="str">
        <f t="shared" si="14"/>
        <v>181-906</v>
      </c>
      <c r="C916" s="2043">
        <v>4050202</v>
      </c>
    </row>
    <row r="917" spans="1:3" ht="14.5">
      <c r="A917" s="41" t="s">
        <v>3167</v>
      </c>
      <c r="B917" s="380" t="str">
        <f t="shared" si="14"/>
        <v>181-907</v>
      </c>
      <c r="C917" s="2043">
        <v>1299050</v>
      </c>
    </row>
    <row r="918" spans="1:3" ht="14.5">
      <c r="A918" s="41" t="s">
        <v>5211</v>
      </c>
      <c r="B918" s="380" t="str">
        <f t="shared" si="14"/>
        <v>181-908</v>
      </c>
      <c r="C918" s="2043">
        <v>3944541</v>
      </c>
    </row>
    <row r="919" spans="1:3" ht="14.5">
      <c r="A919" s="41" t="s">
        <v>8514</v>
      </c>
      <c r="B919" s="380" t="str">
        <f t="shared" si="14"/>
        <v>181-950</v>
      </c>
    </row>
    <row r="920" spans="1:3" ht="14.5">
      <c r="A920" s="41" t="s">
        <v>5212</v>
      </c>
      <c r="B920" s="380" t="str">
        <f t="shared" si="14"/>
        <v>182-901</v>
      </c>
      <c r="C920" s="2043">
        <v>0</v>
      </c>
    </row>
    <row r="921" spans="1:3" ht="14.5">
      <c r="A921" s="41" t="s">
        <v>5213</v>
      </c>
      <c r="B921" s="380" t="str">
        <f t="shared" si="14"/>
        <v>182-902</v>
      </c>
      <c r="C921" s="2043">
        <v>744698</v>
      </c>
    </row>
    <row r="922" spans="1:3" ht="14.5">
      <c r="A922" s="41" t="s">
        <v>3168</v>
      </c>
      <c r="B922" s="380" t="str">
        <f t="shared" si="14"/>
        <v>182-903</v>
      </c>
      <c r="C922" s="2043">
        <v>3377999</v>
      </c>
    </row>
    <row r="923" spans="1:3" ht="14.5">
      <c r="A923" s="41" t="s">
        <v>5214</v>
      </c>
      <c r="B923" s="380" t="str">
        <f t="shared" si="14"/>
        <v>182-904</v>
      </c>
    </row>
    <row r="924" spans="1:3" ht="14.5">
      <c r="A924" s="41" t="s">
        <v>5861</v>
      </c>
      <c r="B924" s="380" t="str">
        <f t="shared" si="14"/>
        <v>182-905</v>
      </c>
    </row>
    <row r="925" spans="1:3" ht="14.5">
      <c r="A925" s="41" t="s">
        <v>5215</v>
      </c>
      <c r="B925" s="380" t="str">
        <f t="shared" si="14"/>
        <v>182-906</v>
      </c>
      <c r="C925" s="2043">
        <v>240575</v>
      </c>
    </row>
    <row r="926" spans="1:3" ht="14.5">
      <c r="A926" s="41" t="s">
        <v>8068</v>
      </c>
      <c r="B926" s="380" t="str">
        <f t="shared" si="14"/>
        <v>183-801</v>
      </c>
    </row>
    <row r="927" spans="1:3" ht="14.5">
      <c r="A927" s="41" t="s">
        <v>5216</v>
      </c>
      <c r="B927" s="380" t="str">
        <f t="shared" si="14"/>
        <v>183-901</v>
      </c>
      <c r="C927" s="2043">
        <v>0</v>
      </c>
    </row>
    <row r="928" spans="1:3" ht="14.5">
      <c r="A928" s="41" t="s">
        <v>5217</v>
      </c>
      <c r="B928" s="380" t="str">
        <f t="shared" si="14"/>
        <v>183-902</v>
      </c>
      <c r="C928" s="2043">
        <v>1431687</v>
      </c>
    </row>
    <row r="929" spans="1:3" ht="14.5">
      <c r="A929" s="41" t="s">
        <v>3169</v>
      </c>
      <c r="B929" s="380" t="str">
        <f t="shared" si="14"/>
        <v>183-904</v>
      </c>
      <c r="C929" s="2043">
        <v>748791</v>
      </c>
    </row>
    <row r="930" spans="1:3" ht="14.5">
      <c r="A930" s="41" t="s">
        <v>8069</v>
      </c>
      <c r="B930" s="380" t="str">
        <f t="shared" si="14"/>
        <v>184-801</v>
      </c>
    </row>
    <row r="931" spans="1:3" ht="14.5">
      <c r="A931" s="41" t="s">
        <v>3170</v>
      </c>
      <c r="B931" s="380" t="str">
        <f t="shared" si="14"/>
        <v>184-901</v>
      </c>
      <c r="C931" s="2043">
        <v>346300</v>
      </c>
    </row>
    <row r="932" spans="1:3" ht="14.5">
      <c r="A932" s="41" t="s">
        <v>3171</v>
      </c>
      <c r="B932" s="380" t="str">
        <f t="shared" si="14"/>
        <v>184-902</v>
      </c>
      <c r="C932" s="2043">
        <v>3970112</v>
      </c>
    </row>
    <row r="933" spans="1:3" ht="14.5">
      <c r="A933" s="41" t="s">
        <v>3172</v>
      </c>
      <c r="B933" s="380" t="str">
        <f t="shared" si="14"/>
        <v>184-903</v>
      </c>
      <c r="C933" s="2043">
        <v>11295275</v>
      </c>
    </row>
    <row r="934" spans="1:3" ht="14.5">
      <c r="A934" s="41" t="s">
        <v>3173</v>
      </c>
      <c r="B934" s="380" t="str">
        <f t="shared" si="14"/>
        <v>184-904</v>
      </c>
      <c r="C934" s="2043">
        <v>1342062</v>
      </c>
    </row>
    <row r="935" spans="1:3" ht="14.5">
      <c r="A935" s="41" t="s">
        <v>5218</v>
      </c>
      <c r="B935" s="380" t="str">
        <f t="shared" si="14"/>
        <v>184-907</v>
      </c>
      <c r="C935" s="2043">
        <v>13651273</v>
      </c>
    </row>
    <row r="936" spans="1:3" ht="14.5">
      <c r="A936" s="41" t="s">
        <v>3174</v>
      </c>
      <c r="B936" s="380" t="str">
        <f t="shared" si="14"/>
        <v>184-908</v>
      </c>
      <c r="C936" s="2043">
        <v>1254898</v>
      </c>
    </row>
    <row r="937" spans="1:3" ht="14.5">
      <c r="A937" s="41" t="s">
        <v>3175</v>
      </c>
      <c r="B937" s="380" t="str">
        <f t="shared" si="14"/>
        <v>184-909</v>
      </c>
      <c r="C937" s="2043">
        <v>2217686</v>
      </c>
    </row>
    <row r="938" spans="1:3" ht="14.5">
      <c r="A938" s="41" t="s">
        <v>5219</v>
      </c>
      <c r="B938" s="380" t="str">
        <f t="shared" si="14"/>
        <v>184-911</v>
      </c>
      <c r="C938" s="2043">
        <v>159525</v>
      </c>
    </row>
    <row r="939" spans="1:3" ht="14.5">
      <c r="A939" s="41" t="s">
        <v>5862</v>
      </c>
      <c r="B939" s="380" t="str">
        <f t="shared" si="14"/>
        <v>185-901</v>
      </c>
    </row>
    <row r="940" spans="1:3" ht="14.5">
      <c r="A940" s="41" t="s">
        <v>5863</v>
      </c>
      <c r="B940" s="380" t="str">
        <f t="shared" si="14"/>
        <v>185-902</v>
      </c>
      <c r="C940" s="2043">
        <v>0</v>
      </c>
    </row>
    <row r="941" spans="1:3" ht="14.5">
      <c r="A941" s="41" t="s">
        <v>5220</v>
      </c>
      <c r="B941" s="380" t="str">
        <f t="shared" si="14"/>
        <v>185-903</v>
      </c>
      <c r="C941" s="2043">
        <v>250113</v>
      </c>
    </row>
    <row r="942" spans="1:3" ht="14.5">
      <c r="A942" s="41" t="s">
        <v>5864</v>
      </c>
      <c r="B942" s="380" t="str">
        <f t="shared" si="14"/>
        <v>185-904</v>
      </c>
      <c r="C942" s="2043">
        <v>0</v>
      </c>
    </row>
    <row r="943" spans="1:3" ht="14.5">
      <c r="A943" s="41" t="s">
        <v>5221</v>
      </c>
      <c r="B943" s="380" t="str">
        <f t="shared" si="14"/>
        <v>186-901</v>
      </c>
      <c r="C943" s="2043">
        <v>0</v>
      </c>
    </row>
    <row r="944" spans="1:3" ht="14.5">
      <c r="A944" s="41" t="s">
        <v>5222</v>
      </c>
      <c r="B944" s="380" t="str">
        <f t="shared" si="14"/>
        <v>186-902</v>
      </c>
      <c r="C944" s="2043">
        <v>1492413</v>
      </c>
    </row>
    <row r="945" spans="1:3" ht="14.5">
      <c r="A945" s="41" t="s">
        <v>5223</v>
      </c>
      <c r="B945" s="380" t="str">
        <f t="shared" si="14"/>
        <v>186-903</v>
      </c>
      <c r="C945" s="2043">
        <v>880400</v>
      </c>
    </row>
    <row r="946" spans="1:3" ht="14.5">
      <c r="A946" s="41" t="s">
        <v>5224</v>
      </c>
      <c r="B946" s="380" t="str">
        <f t="shared" si="14"/>
        <v>187-901</v>
      </c>
      <c r="C946" s="2043">
        <v>291306</v>
      </c>
    </row>
    <row r="947" spans="1:3" ht="14.5">
      <c r="A947" s="41" t="s">
        <v>5865</v>
      </c>
      <c r="B947" s="380" t="str">
        <f t="shared" si="14"/>
        <v>187-903</v>
      </c>
      <c r="C947" s="2043">
        <v>0</v>
      </c>
    </row>
    <row r="948" spans="1:3" ht="14.5">
      <c r="A948" s="41" t="s">
        <v>5225</v>
      </c>
      <c r="B948" s="380" t="str">
        <f t="shared" si="14"/>
        <v>187-904</v>
      </c>
      <c r="C948" s="2043">
        <v>579319</v>
      </c>
    </row>
    <row r="949" spans="1:3" ht="14.5">
      <c r="A949" s="41" t="s">
        <v>5226</v>
      </c>
      <c r="B949" s="380" t="str">
        <f t="shared" si="14"/>
        <v>187-906</v>
      </c>
      <c r="C949" s="2043">
        <v>126100</v>
      </c>
    </row>
    <row r="950" spans="1:3" ht="14.5">
      <c r="A950" s="41" t="s">
        <v>3176</v>
      </c>
      <c r="B950" s="380" t="str">
        <f t="shared" si="14"/>
        <v>187-907</v>
      </c>
      <c r="C950" s="2043">
        <v>4289293</v>
      </c>
    </row>
    <row r="951" spans="1:3" ht="14.5">
      <c r="A951" s="41" t="s">
        <v>5227</v>
      </c>
      <c r="B951" s="380" t="str">
        <f t="shared" si="14"/>
        <v>187-910</v>
      </c>
      <c r="C951" s="2043">
        <v>1022075</v>
      </c>
    </row>
    <row r="952" spans="1:3" ht="14.5">
      <c r="A952" s="41" t="s">
        <v>3177</v>
      </c>
      <c r="B952" s="380" t="str">
        <f t="shared" si="14"/>
        <v>188-901</v>
      </c>
      <c r="C952" s="2043">
        <v>11273556</v>
      </c>
    </row>
    <row r="953" spans="1:3" ht="14.5">
      <c r="A953" s="41" t="s">
        <v>3178</v>
      </c>
      <c r="B953" s="380" t="str">
        <f t="shared" si="14"/>
        <v>188-902</v>
      </c>
      <c r="C953" s="2043">
        <v>1155278</v>
      </c>
    </row>
    <row r="954" spans="1:3" ht="14.5">
      <c r="A954" s="41" t="s">
        <v>5228</v>
      </c>
      <c r="B954" s="380" t="str">
        <f t="shared" si="14"/>
        <v>188-903</v>
      </c>
      <c r="C954" s="2043">
        <v>1157444</v>
      </c>
    </row>
    <row r="955" spans="1:3" ht="14.5">
      <c r="A955" s="41" t="s">
        <v>5229</v>
      </c>
      <c r="B955" s="380" t="str">
        <f t="shared" si="14"/>
        <v>188-904</v>
      </c>
      <c r="C955" s="2043">
        <v>1841163</v>
      </c>
    </row>
    <row r="956" spans="1:3" ht="14.5">
      <c r="A956" s="41" t="s">
        <v>8515</v>
      </c>
      <c r="B956" s="380" t="str">
        <f t="shared" si="14"/>
        <v>188-950</v>
      </c>
    </row>
    <row r="957" spans="1:3" ht="14.5">
      <c r="A957" s="41" t="s">
        <v>3179</v>
      </c>
      <c r="B957" s="380" t="str">
        <f t="shared" si="14"/>
        <v>189-901</v>
      </c>
      <c r="C957" s="2043">
        <v>435403</v>
      </c>
    </row>
    <row r="958" spans="1:3" ht="14.5">
      <c r="A958" s="41" t="s">
        <v>3180</v>
      </c>
      <c r="B958" s="380" t="str">
        <f t="shared" si="14"/>
        <v>189-902</v>
      </c>
      <c r="C958" s="2043">
        <v>672750</v>
      </c>
    </row>
    <row r="959" spans="1:3" ht="14.5">
      <c r="A959" s="41" t="s">
        <v>5230</v>
      </c>
      <c r="B959" s="380" t="str">
        <f t="shared" si="14"/>
        <v>190-903</v>
      </c>
      <c r="C959" s="2043">
        <v>1136569</v>
      </c>
    </row>
    <row r="960" spans="1:3" ht="14.5">
      <c r="A960" s="41" t="s">
        <v>5231</v>
      </c>
      <c r="B960" s="380" t="str">
        <f t="shared" si="14"/>
        <v>191-901</v>
      </c>
      <c r="C960" s="2043">
        <v>6349549</v>
      </c>
    </row>
    <row r="961" spans="1:3" ht="14.5">
      <c r="A961" s="41" t="s">
        <v>5232</v>
      </c>
      <c r="B961" s="380" t="str">
        <f t="shared" si="14"/>
        <v>192-901</v>
      </c>
      <c r="C961" s="2043">
        <v>1811600</v>
      </c>
    </row>
    <row r="962" spans="1:3" ht="14.5">
      <c r="A962" s="41" t="s">
        <v>8070</v>
      </c>
      <c r="B962" s="380" t="str">
        <f t="shared" si="14"/>
        <v>193-801</v>
      </c>
    </row>
    <row r="963" spans="1:3" ht="14.5">
      <c r="A963" s="41" t="s">
        <v>5233</v>
      </c>
      <c r="B963" s="380" t="str">
        <f t="shared" si="14"/>
        <v>193-902</v>
      </c>
      <c r="C963" s="2043">
        <v>463344</v>
      </c>
    </row>
    <row r="964" spans="1:3" ht="14.5">
      <c r="A964" s="41" t="s">
        <v>5866</v>
      </c>
      <c r="B964" s="380" t="str">
        <f t="shared" ref="B964:B1027" si="15">CONCATENATE(LEFT(RIGHT(CONCATENATE("000",A964),6),3),"-",(RIGHT(RIGHT(CONCATENATE("000",A964),6),3)))</f>
        <v>194-902</v>
      </c>
    </row>
    <row r="965" spans="1:3" ht="14.5">
      <c r="A965" s="41" t="s">
        <v>3181</v>
      </c>
      <c r="B965" s="380" t="str">
        <f t="shared" si="15"/>
        <v>194-903</v>
      </c>
      <c r="C965" s="2043">
        <v>500525</v>
      </c>
    </row>
    <row r="966" spans="1:3" ht="14.5">
      <c r="A966" s="41" t="s">
        <v>5867</v>
      </c>
      <c r="B966" s="380" t="str">
        <f t="shared" si="15"/>
        <v>194-904</v>
      </c>
      <c r="C966" s="2043">
        <v>0</v>
      </c>
    </row>
    <row r="967" spans="1:3" ht="14.5">
      <c r="A967" s="41" t="s">
        <v>3182</v>
      </c>
      <c r="B967" s="380" t="str">
        <f t="shared" si="15"/>
        <v>194-905</v>
      </c>
      <c r="C967" s="2043">
        <v>386275</v>
      </c>
    </row>
    <row r="968" spans="1:3" ht="14.5">
      <c r="A968" s="41" t="s">
        <v>5234</v>
      </c>
      <c r="B968" s="380" t="str">
        <f t="shared" si="15"/>
        <v>195-901</v>
      </c>
      <c r="C968" s="2043">
        <v>0</v>
      </c>
    </row>
    <row r="969" spans="1:3" ht="14.5">
      <c r="A969" s="41" t="s">
        <v>3183</v>
      </c>
      <c r="B969" s="380" t="str">
        <f t="shared" si="15"/>
        <v>195-902</v>
      </c>
      <c r="C969" s="2043">
        <v>62400</v>
      </c>
    </row>
    <row r="970" spans="1:3" ht="14.5">
      <c r="A970" s="41" t="s">
        <v>5235</v>
      </c>
      <c r="B970" s="380" t="str">
        <f t="shared" si="15"/>
        <v>196-901</v>
      </c>
      <c r="C970" s="2043">
        <v>553238</v>
      </c>
    </row>
    <row r="971" spans="1:3" ht="14.5">
      <c r="A971" s="41" t="s">
        <v>5236</v>
      </c>
      <c r="B971" s="380" t="str">
        <f t="shared" si="15"/>
        <v>196-902</v>
      </c>
      <c r="C971" s="2043">
        <v>909713</v>
      </c>
    </row>
    <row r="972" spans="1:3" ht="14.5">
      <c r="A972" s="41" t="s">
        <v>5237</v>
      </c>
      <c r="B972" s="380" t="str">
        <f t="shared" si="15"/>
        <v>196-903</v>
      </c>
      <c r="C972" s="2043">
        <v>0</v>
      </c>
    </row>
    <row r="973" spans="1:3" ht="14.5">
      <c r="A973" s="41" t="s">
        <v>5238</v>
      </c>
      <c r="B973" s="380" t="str">
        <f t="shared" si="15"/>
        <v>197-902</v>
      </c>
      <c r="C973" s="2043">
        <v>1421558</v>
      </c>
    </row>
    <row r="974" spans="1:3" ht="14.5">
      <c r="A974" s="41" t="s">
        <v>5239</v>
      </c>
      <c r="B974" s="380" t="str">
        <f t="shared" si="15"/>
        <v>198-901</v>
      </c>
      <c r="C974" s="2043">
        <v>917650</v>
      </c>
    </row>
    <row r="975" spans="1:3" ht="14.5">
      <c r="A975" s="41" t="s">
        <v>5868</v>
      </c>
      <c r="B975" s="380" t="str">
        <f t="shared" si="15"/>
        <v>198-902</v>
      </c>
      <c r="C975" s="2043">
        <v>0</v>
      </c>
    </row>
    <row r="976" spans="1:3" ht="14.5">
      <c r="A976" s="41" t="s">
        <v>5240</v>
      </c>
      <c r="B976" s="380" t="str">
        <f t="shared" si="15"/>
        <v>198-903</v>
      </c>
      <c r="C976" s="2043">
        <v>0</v>
      </c>
    </row>
    <row r="977" spans="1:3" ht="14.5">
      <c r="A977" s="41" t="s">
        <v>5241</v>
      </c>
      <c r="B977" s="380" t="str">
        <f t="shared" si="15"/>
        <v>198-905</v>
      </c>
      <c r="C977" s="2043">
        <v>877000</v>
      </c>
    </row>
    <row r="978" spans="1:3" ht="14.5">
      <c r="A978" s="41" t="s">
        <v>5869</v>
      </c>
      <c r="B978" s="380" t="str">
        <f t="shared" si="15"/>
        <v>198-906</v>
      </c>
    </row>
    <row r="979" spans="1:3" ht="14.5">
      <c r="A979" s="41" t="s">
        <v>5242</v>
      </c>
      <c r="B979" s="380" t="str">
        <f t="shared" si="15"/>
        <v>199-901</v>
      </c>
      <c r="C979" s="2043">
        <v>30146653</v>
      </c>
    </row>
    <row r="980" spans="1:3" ht="14.5">
      <c r="A980" s="41" t="s">
        <v>3184</v>
      </c>
      <c r="B980" s="380" t="str">
        <f t="shared" si="15"/>
        <v>199-902</v>
      </c>
      <c r="C980" s="2043">
        <v>10249939</v>
      </c>
    </row>
    <row r="981" spans="1:3" ht="14.5">
      <c r="A981" s="41" t="s">
        <v>5870</v>
      </c>
      <c r="B981" s="380" t="str">
        <f t="shared" si="15"/>
        <v>200-901</v>
      </c>
    </row>
    <row r="982" spans="1:3" ht="14.5">
      <c r="A982" s="41" t="s">
        <v>3185</v>
      </c>
      <c r="B982" s="380" t="str">
        <f t="shared" si="15"/>
        <v>200-902</v>
      </c>
      <c r="C982" s="2043">
        <v>491976</v>
      </c>
    </row>
    <row r="983" spans="1:3" ht="14.5">
      <c r="A983" s="41" t="s">
        <v>4591</v>
      </c>
      <c r="B983" s="380" t="str">
        <f t="shared" si="15"/>
        <v>200-904</v>
      </c>
    </row>
    <row r="984" spans="1:3" ht="14.5">
      <c r="A984" s="41" t="s">
        <v>3186</v>
      </c>
      <c r="B984" s="380" t="str">
        <f t="shared" si="15"/>
        <v>200-906</v>
      </c>
      <c r="C984" s="2043">
        <v>84600</v>
      </c>
    </row>
    <row r="985" spans="1:3" ht="14.5">
      <c r="A985" s="41" t="s">
        <v>5243</v>
      </c>
      <c r="B985" s="380" t="str">
        <f t="shared" si="15"/>
        <v>201-902</v>
      </c>
      <c r="C985" s="2043">
        <v>3330804</v>
      </c>
    </row>
    <row r="986" spans="1:3" ht="14.5">
      <c r="A986" s="41" t="s">
        <v>5871</v>
      </c>
      <c r="B986" s="380" t="str">
        <f t="shared" si="15"/>
        <v>201-903</v>
      </c>
    </row>
    <row r="987" spans="1:3" ht="14.5">
      <c r="A987" s="41" t="s">
        <v>5872</v>
      </c>
      <c r="B987" s="380" t="str">
        <f t="shared" si="15"/>
        <v>201-904</v>
      </c>
    </row>
    <row r="988" spans="1:3" ht="14.5">
      <c r="A988" s="41" t="s">
        <v>4595</v>
      </c>
      <c r="B988" s="380" t="str">
        <f t="shared" si="15"/>
        <v>201-907</v>
      </c>
      <c r="C988" s="2043">
        <v>184481</v>
      </c>
    </row>
    <row r="989" spans="1:3" ht="14.5">
      <c r="A989" s="41" t="s">
        <v>3187</v>
      </c>
      <c r="B989" s="380" t="str">
        <f t="shared" si="15"/>
        <v>201-908</v>
      </c>
      <c r="C989" s="2043">
        <v>676383</v>
      </c>
    </row>
    <row r="990" spans="1:3" ht="14.5">
      <c r="A990" s="41" t="s">
        <v>5244</v>
      </c>
      <c r="B990" s="380" t="str">
        <f t="shared" si="15"/>
        <v>201-910</v>
      </c>
      <c r="C990" s="2043">
        <v>1565450</v>
      </c>
    </row>
    <row r="991" spans="1:3" ht="14.5">
      <c r="A991" s="41" t="s">
        <v>3188</v>
      </c>
      <c r="B991" s="380" t="str">
        <f t="shared" si="15"/>
        <v>201-913</v>
      </c>
      <c r="C991" s="2043">
        <v>703529</v>
      </c>
    </row>
    <row r="992" spans="1:3" ht="14.5">
      <c r="A992" s="41" t="s">
        <v>5245</v>
      </c>
      <c r="B992" s="380" t="str">
        <f t="shared" si="15"/>
        <v>201-914</v>
      </c>
      <c r="C992" s="2043">
        <v>1085888</v>
      </c>
    </row>
    <row r="993" spans="1:3" ht="14.5">
      <c r="A993" s="41" t="s">
        <v>5873</v>
      </c>
      <c r="B993" s="380" t="str">
        <f t="shared" si="15"/>
        <v>202-903</v>
      </c>
    </row>
    <row r="994" spans="1:3" ht="14.5">
      <c r="A994" s="41" t="s">
        <v>3189</v>
      </c>
      <c r="B994" s="380" t="str">
        <f t="shared" si="15"/>
        <v>202-905</v>
      </c>
      <c r="C994" s="2043">
        <v>559425</v>
      </c>
    </row>
    <row r="995" spans="1:3" ht="14.5">
      <c r="A995" s="41" t="s">
        <v>3190</v>
      </c>
      <c r="B995" s="380" t="str">
        <f t="shared" si="15"/>
        <v>203-901</v>
      </c>
      <c r="C995" s="2043">
        <v>477834</v>
      </c>
    </row>
    <row r="996" spans="1:3" ht="14.5">
      <c r="A996" s="41" t="s">
        <v>5874</v>
      </c>
      <c r="B996" s="380" t="str">
        <f t="shared" si="15"/>
        <v>203-902</v>
      </c>
      <c r="C996" s="2043">
        <v>0</v>
      </c>
    </row>
    <row r="997" spans="1:3" ht="14.5">
      <c r="A997" s="41" t="s">
        <v>5246</v>
      </c>
      <c r="B997" s="380" t="str">
        <f t="shared" si="15"/>
        <v>204-901</v>
      </c>
      <c r="C997" s="2043">
        <v>0</v>
      </c>
    </row>
    <row r="998" spans="1:3" ht="14.5">
      <c r="A998" s="41" t="s">
        <v>3191</v>
      </c>
      <c r="B998" s="380" t="str">
        <f t="shared" si="15"/>
        <v>204-904</v>
      </c>
      <c r="C998" s="2043">
        <v>1602540</v>
      </c>
    </row>
    <row r="999" spans="1:3" ht="14.5">
      <c r="A999" s="41" t="s">
        <v>3192</v>
      </c>
      <c r="B999" s="380" t="str">
        <f t="shared" si="15"/>
        <v>205-901</v>
      </c>
      <c r="C999" s="2043">
        <v>249900</v>
      </c>
    </row>
    <row r="1000" spans="1:3" ht="14.5">
      <c r="A1000" s="41" t="s">
        <v>5247</v>
      </c>
      <c r="B1000" s="380" t="str">
        <f t="shared" si="15"/>
        <v>205-902</v>
      </c>
      <c r="C1000" s="2043">
        <v>3637038</v>
      </c>
    </row>
    <row r="1001" spans="1:3" ht="14.5">
      <c r="A1001" s="41" t="s">
        <v>5248</v>
      </c>
      <c r="B1001" s="380" t="str">
        <f t="shared" si="15"/>
        <v>205-903</v>
      </c>
      <c r="C1001" s="2043">
        <v>587200</v>
      </c>
    </row>
    <row r="1002" spans="1:3" ht="14.5">
      <c r="A1002" s="41" t="s">
        <v>3193</v>
      </c>
      <c r="B1002" s="380" t="str">
        <f t="shared" si="15"/>
        <v>205-904</v>
      </c>
      <c r="C1002" s="2043">
        <v>805512</v>
      </c>
    </row>
    <row r="1003" spans="1:3" ht="14.5">
      <c r="A1003" s="41" t="s">
        <v>3194</v>
      </c>
      <c r="B1003" s="380" t="str">
        <f t="shared" si="15"/>
        <v>205-905</v>
      </c>
      <c r="C1003" s="2043">
        <v>1693713</v>
      </c>
    </row>
    <row r="1004" spans="1:3" ht="14.5">
      <c r="A1004" s="41" t="s">
        <v>3195</v>
      </c>
      <c r="B1004" s="380" t="str">
        <f t="shared" si="15"/>
        <v>205-906</v>
      </c>
      <c r="C1004" s="2043">
        <v>1825522</v>
      </c>
    </row>
    <row r="1005" spans="1:3" ht="14.5">
      <c r="A1005" s="41" t="s">
        <v>3196</v>
      </c>
      <c r="B1005" s="380" t="str">
        <f t="shared" si="15"/>
        <v>205-907</v>
      </c>
      <c r="C1005" s="2043">
        <v>1562827</v>
      </c>
    </row>
    <row r="1006" spans="1:3" ht="14.5">
      <c r="A1006" s="41" t="s">
        <v>3197</v>
      </c>
      <c r="B1006" s="380" t="str">
        <f t="shared" si="15"/>
        <v>206-901</v>
      </c>
      <c r="C1006" s="2043">
        <v>519080</v>
      </c>
    </row>
    <row r="1007" spans="1:3" ht="14.5">
      <c r="A1007" s="41" t="s">
        <v>5875</v>
      </c>
      <c r="B1007" s="380" t="str">
        <f t="shared" si="15"/>
        <v>206-902</v>
      </c>
      <c r="C1007" s="2043">
        <v>0</v>
      </c>
    </row>
    <row r="1008" spans="1:3" ht="14.5">
      <c r="A1008" s="41" t="s">
        <v>5876</v>
      </c>
      <c r="B1008" s="380" t="str">
        <f t="shared" si="15"/>
        <v>206-903</v>
      </c>
    </row>
    <row r="1009" spans="1:3" ht="14.5">
      <c r="A1009" s="41" t="s">
        <v>5877</v>
      </c>
      <c r="B1009" s="380" t="str">
        <f t="shared" si="15"/>
        <v>207-901</v>
      </c>
    </row>
    <row r="1010" spans="1:3" ht="14.5">
      <c r="A1010" s="41" t="s">
        <v>5249</v>
      </c>
      <c r="B1010" s="380" t="str">
        <f t="shared" si="15"/>
        <v>208-901</v>
      </c>
      <c r="C1010" s="2043">
        <v>702090</v>
      </c>
    </row>
    <row r="1011" spans="1:3" ht="14.5">
      <c r="A1011" s="41" t="s">
        <v>5250</v>
      </c>
      <c r="B1011" s="380" t="str">
        <f t="shared" si="15"/>
        <v>208-902</v>
      </c>
      <c r="C1011" s="2043">
        <v>1676475</v>
      </c>
    </row>
    <row r="1012" spans="1:3" ht="14.5">
      <c r="A1012" s="41" t="s">
        <v>5251</v>
      </c>
      <c r="B1012" s="380" t="str">
        <f t="shared" si="15"/>
        <v>208-903</v>
      </c>
      <c r="C1012" s="2043">
        <v>651900</v>
      </c>
    </row>
    <row r="1013" spans="1:3" ht="14.5">
      <c r="A1013" s="41" t="s">
        <v>5878</v>
      </c>
      <c r="B1013" s="380" t="str">
        <f t="shared" si="15"/>
        <v>209-901</v>
      </c>
    </row>
    <row r="1014" spans="1:3" ht="14.5">
      <c r="A1014" s="41" t="s">
        <v>5879</v>
      </c>
      <c r="B1014" s="380" t="str">
        <f t="shared" si="15"/>
        <v>209-902</v>
      </c>
    </row>
    <row r="1015" spans="1:3" ht="14.5">
      <c r="A1015" s="41" t="s">
        <v>3198</v>
      </c>
      <c r="B1015" s="380" t="str">
        <f t="shared" si="15"/>
        <v>210-901</v>
      </c>
      <c r="C1015" s="2043">
        <v>1234200</v>
      </c>
    </row>
    <row r="1016" spans="1:3" ht="14.5">
      <c r="A1016" s="41" t="s">
        <v>5252</v>
      </c>
      <c r="B1016" s="380" t="str">
        <f t="shared" si="15"/>
        <v>210-902</v>
      </c>
      <c r="C1016" s="2043">
        <v>1049304</v>
      </c>
    </row>
    <row r="1017" spans="1:3" ht="14.5">
      <c r="A1017" s="41" t="s">
        <v>3199</v>
      </c>
      <c r="B1017" s="380" t="str">
        <f t="shared" si="15"/>
        <v>210-903</v>
      </c>
      <c r="C1017" s="2043">
        <v>155300</v>
      </c>
    </row>
    <row r="1018" spans="1:3" ht="14.5">
      <c r="A1018" s="41" t="s">
        <v>5253</v>
      </c>
      <c r="B1018" s="380" t="str">
        <f t="shared" si="15"/>
        <v>210-904</v>
      </c>
      <c r="C1018" s="2043">
        <v>233800</v>
      </c>
    </row>
    <row r="1019" spans="1:3" ht="14.5">
      <c r="A1019" s="41" t="s">
        <v>5880</v>
      </c>
      <c r="B1019" s="380" t="str">
        <f t="shared" si="15"/>
        <v>210-905</v>
      </c>
      <c r="C1019" s="2043">
        <v>0</v>
      </c>
    </row>
    <row r="1020" spans="1:3" ht="14.5">
      <c r="A1020" s="41" t="s">
        <v>5881</v>
      </c>
      <c r="B1020" s="380" t="str">
        <f t="shared" si="15"/>
        <v>210-906</v>
      </c>
    </row>
    <row r="1021" spans="1:3" ht="14.5">
      <c r="A1021" s="41" t="s">
        <v>5254</v>
      </c>
      <c r="B1021" s="380" t="str">
        <f t="shared" si="15"/>
        <v>211-901</v>
      </c>
    </row>
    <row r="1022" spans="1:3" ht="14.5">
      <c r="A1022" s="41" t="s">
        <v>5882</v>
      </c>
      <c r="B1022" s="380" t="str">
        <f t="shared" si="15"/>
        <v>211-902</v>
      </c>
      <c r="C1022" s="2043">
        <v>0</v>
      </c>
    </row>
    <row r="1023" spans="1:3" ht="14.5">
      <c r="A1023" s="41" t="s">
        <v>8071</v>
      </c>
      <c r="B1023" s="380" t="str">
        <f t="shared" si="15"/>
        <v>212-801</v>
      </c>
    </row>
    <row r="1024" spans="1:3" ht="14.5">
      <c r="A1024" s="41" t="s">
        <v>8072</v>
      </c>
      <c r="B1024" s="380" t="str">
        <f t="shared" si="15"/>
        <v>212-804</v>
      </c>
    </row>
    <row r="1025" spans="1:3" ht="14.5">
      <c r="A1025" s="41" t="s">
        <v>3200</v>
      </c>
      <c r="B1025" s="380" t="str">
        <f t="shared" si="15"/>
        <v>212-901</v>
      </c>
      <c r="C1025" s="2043">
        <v>969257</v>
      </c>
    </row>
    <row r="1026" spans="1:3" ht="14.5">
      <c r="A1026" s="41" t="s">
        <v>5255</v>
      </c>
      <c r="B1026" s="380" t="str">
        <f t="shared" si="15"/>
        <v>212-902</v>
      </c>
      <c r="C1026" s="2043">
        <v>4430838</v>
      </c>
    </row>
    <row r="1027" spans="1:3" ht="14.5">
      <c r="A1027" s="41" t="s">
        <v>3201</v>
      </c>
      <c r="B1027" s="380" t="str">
        <f t="shared" si="15"/>
        <v>212-903</v>
      </c>
      <c r="C1027" s="2043">
        <v>4090101</v>
      </c>
    </row>
    <row r="1028" spans="1:3" ht="14.5">
      <c r="A1028" s="41" t="s">
        <v>5256</v>
      </c>
      <c r="B1028" s="380" t="str">
        <f t="shared" ref="B1028:B1091" si="16">CONCATENATE(LEFT(RIGHT(CONCATENATE("000",A1028),6),3),"-",(RIGHT(RIGHT(CONCATENATE("000",A1028),6),3)))</f>
        <v>212-904</v>
      </c>
      <c r="C1028" s="2043">
        <v>486580</v>
      </c>
    </row>
    <row r="1029" spans="1:3" ht="14.5">
      <c r="A1029" s="41" t="s">
        <v>5257</v>
      </c>
      <c r="B1029" s="380" t="str">
        <f t="shared" si="16"/>
        <v>212-905</v>
      </c>
      <c r="C1029" s="2043">
        <v>17332234</v>
      </c>
    </row>
    <row r="1030" spans="1:3" ht="14.5">
      <c r="A1030" s="41" t="s">
        <v>3202</v>
      </c>
      <c r="B1030" s="380" t="str">
        <f t="shared" si="16"/>
        <v>212-906</v>
      </c>
      <c r="C1030" s="2043">
        <v>2429775</v>
      </c>
    </row>
    <row r="1031" spans="1:3" ht="14.5">
      <c r="A1031" s="41" t="s">
        <v>3203</v>
      </c>
      <c r="B1031" s="380" t="str">
        <f t="shared" si="16"/>
        <v>212-909</v>
      </c>
      <c r="C1031" s="2043">
        <v>1413594</v>
      </c>
    </row>
    <row r="1032" spans="1:3" ht="14.5">
      <c r="A1032" s="41" t="s">
        <v>5258</v>
      </c>
      <c r="B1032" s="380" t="str">
        <f t="shared" si="16"/>
        <v>212-910</v>
      </c>
      <c r="C1032" s="2043">
        <v>1574607</v>
      </c>
    </row>
    <row r="1033" spans="1:3" ht="14.5">
      <c r="A1033" s="41" t="s">
        <v>8073</v>
      </c>
      <c r="B1033" s="380" t="str">
        <f t="shared" si="16"/>
        <v>213-801</v>
      </c>
    </row>
    <row r="1034" spans="1:3" ht="14.5">
      <c r="A1034" s="41" t="s">
        <v>5259</v>
      </c>
      <c r="B1034" s="380" t="str">
        <f t="shared" si="16"/>
        <v>213-901</v>
      </c>
      <c r="C1034" s="2043">
        <v>2449746</v>
      </c>
    </row>
    <row r="1035" spans="1:3" ht="14.5">
      <c r="A1035" s="41" t="s">
        <v>3204</v>
      </c>
      <c r="B1035" s="380" t="str">
        <f t="shared" si="16"/>
        <v>214-901</v>
      </c>
      <c r="C1035" s="2043">
        <v>7640115</v>
      </c>
    </row>
    <row r="1036" spans="1:3" ht="14.5">
      <c r="A1036" s="41" t="s">
        <v>5260</v>
      </c>
      <c r="B1036" s="380" t="str">
        <f t="shared" si="16"/>
        <v>214-902</v>
      </c>
    </row>
    <row r="1037" spans="1:3" ht="14.5">
      <c r="A1037" s="41" t="s">
        <v>3205</v>
      </c>
      <c r="B1037" s="380" t="str">
        <f t="shared" si="16"/>
        <v>214-903</v>
      </c>
      <c r="C1037" s="2043">
        <v>4713756</v>
      </c>
    </row>
    <row r="1038" spans="1:3" ht="14.5">
      <c r="A1038" s="41" t="s">
        <v>5261</v>
      </c>
      <c r="B1038" s="380" t="str">
        <f t="shared" si="16"/>
        <v>215-901</v>
      </c>
      <c r="C1038" s="2043">
        <v>600375</v>
      </c>
    </row>
    <row r="1039" spans="1:3" ht="14.5">
      <c r="A1039" s="41" t="s">
        <v>5262</v>
      </c>
      <c r="B1039" s="380" t="str">
        <f t="shared" si="16"/>
        <v>216-901</v>
      </c>
      <c r="C1039" s="2043">
        <v>1277300</v>
      </c>
    </row>
    <row r="1040" spans="1:3" ht="14.5">
      <c r="A1040" s="41" t="s">
        <v>5263</v>
      </c>
      <c r="B1040" s="380" t="str">
        <f t="shared" si="16"/>
        <v>217-901</v>
      </c>
      <c r="C1040" s="2043">
        <v>550038</v>
      </c>
    </row>
    <row r="1041" spans="1:3" ht="14.5">
      <c r="A1041" s="41" t="s">
        <v>5264</v>
      </c>
      <c r="B1041" s="380" t="str">
        <f t="shared" si="16"/>
        <v>218-901</v>
      </c>
      <c r="C1041" s="2043">
        <v>0</v>
      </c>
    </row>
    <row r="1042" spans="1:3" ht="14.5">
      <c r="A1042" s="41" t="s">
        <v>5883</v>
      </c>
      <c r="B1042" s="380" t="str">
        <f t="shared" si="16"/>
        <v>219-901</v>
      </c>
    </row>
    <row r="1043" spans="1:3" ht="14.5">
      <c r="A1043" s="41" t="s">
        <v>5884</v>
      </c>
      <c r="B1043" s="380" t="str">
        <f t="shared" si="16"/>
        <v>219-903</v>
      </c>
      <c r="C1043" s="2043">
        <v>0</v>
      </c>
    </row>
    <row r="1044" spans="1:3" ht="14.5">
      <c r="A1044" s="41" t="s">
        <v>5265</v>
      </c>
      <c r="B1044" s="380" t="str">
        <f t="shared" si="16"/>
        <v>219-905</v>
      </c>
      <c r="C1044" s="2043">
        <v>201850</v>
      </c>
    </row>
    <row r="1045" spans="1:3" ht="14.5">
      <c r="A1045" s="41" t="s">
        <v>8074</v>
      </c>
      <c r="B1045" s="380" t="str">
        <f t="shared" si="16"/>
        <v>220-801</v>
      </c>
    </row>
    <row r="1046" spans="1:3" ht="14.5">
      <c r="A1046" s="41" t="s">
        <v>8075</v>
      </c>
      <c r="B1046" s="380" t="str">
        <f t="shared" si="16"/>
        <v>220-802</v>
      </c>
    </row>
    <row r="1047" spans="1:3" ht="14.5">
      <c r="A1047" s="41" t="s">
        <v>8076</v>
      </c>
      <c r="B1047" s="380" t="str">
        <f t="shared" si="16"/>
        <v>220-809</v>
      </c>
    </row>
    <row r="1048" spans="1:3" ht="14.5">
      <c r="A1048" s="41" t="s">
        <v>8077</v>
      </c>
      <c r="B1048" s="380" t="str">
        <f t="shared" si="16"/>
        <v>220-810</v>
      </c>
    </row>
    <row r="1049" spans="1:3" ht="14.5">
      <c r="A1049" s="41" t="s">
        <v>8078</v>
      </c>
      <c r="B1049" s="380" t="str">
        <f t="shared" si="16"/>
        <v>220-811</v>
      </c>
    </row>
    <row r="1050" spans="1:3" ht="14.5">
      <c r="A1050" s="41" t="s">
        <v>8079</v>
      </c>
      <c r="B1050" s="380" t="str">
        <f t="shared" si="16"/>
        <v>220-814</v>
      </c>
    </row>
    <row r="1051" spans="1:3" ht="14.5">
      <c r="A1051" s="41" t="s">
        <v>8080</v>
      </c>
      <c r="B1051" s="380" t="str">
        <f t="shared" si="16"/>
        <v>220-815</v>
      </c>
    </row>
    <row r="1052" spans="1:3" ht="14.5">
      <c r="A1052" s="41" t="s">
        <v>8081</v>
      </c>
      <c r="B1052" s="380" t="str">
        <f t="shared" si="16"/>
        <v>220-817</v>
      </c>
    </row>
    <row r="1053" spans="1:3" ht="14.5">
      <c r="A1053" s="41" t="s">
        <v>8082</v>
      </c>
      <c r="B1053" s="380" t="str">
        <f t="shared" si="16"/>
        <v>220-819</v>
      </c>
    </row>
    <row r="1054" spans="1:3" ht="14.5">
      <c r="A1054" s="41" t="s">
        <v>3206</v>
      </c>
      <c r="B1054" s="380" t="str">
        <f t="shared" si="16"/>
        <v>220-901</v>
      </c>
      <c r="C1054" s="2043">
        <v>54296386</v>
      </c>
    </row>
    <row r="1055" spans="1:3" ht="14.5">
      <c r="A1055" s="41" t="s">
        <v>3207</v>
      </c>
      <c r="B1055" s="380" t="str">
        <f t="shared" si="16"/>
        <v>220-902</v>
      </c>
      <c r="C1055" s="2043">
        <v>23820700</v>
      </c>
    </row>
    <row r="1056" spans="1:3" ht="14.5">
      <c r="A1056" s="41" t="s">
        <v>3208</v>
      </c>
      <c r="B1056" s="380" t="str">
        <f t="shared" si="16"/>
        <v>220-904</v>
      </c>
      <c r="C1056" s="2043">
        <v>6274771</v>
      </c>
    </row>
    <row r="1057" spans="1:3" ht="14.5">
      <c r="A1057" s="41" t="s">
        <v>5266</v>
      </c>
      <c r="B1057" s="380" t="str">
        <f t="shared" si="16"/>
        <v>220-905</v>
      </c>
      <c r="C1057" s="2043">
        <v>66019413</v>
      </c>
    </row>
    <row r="1058" spans="1:3" ht="14.5">
      <c r="A1058" s="41" t="s">
        <v>5267</v>
      </c>
      <c r="B1058" s="380" t="str">
        <f t="shared" si="16"/>
        <v>220-906</v>
      </c>
      <c r="C1058" s="2043">
        <v>31375787</v>
      </c>
    </row>
    <row r="1059" spans="1:3" ht="14.5">
      <c r="A1059" s="41" t="s">
        <v>3209</v>
      </c>
      <c r="B1059" s="380" t="str">
        <f t="shared" si="16"/>
        <v>220-907</v>
      </c>
      <c r="C1059" s="2043">
        <v>64129670</v>
      </c>
    </row>
    <row r="1060" spans="1:3" ht="14.5">
      <c r="A1060" s="41" t="s">
        <v>3210</v>
      </c>
      <c r="B1060" s="380" t="str">
        <f t="shared" si="16"/>
        <v>220-908</v>
      </c>
      <c r="C1060" s="2043">
        <v>59954574</v>
      </c>
    </row>
    <row r="1061" spans="1:3" ht="14.5">
      <c r="A1061" s="41" t="s">
        <v>3211</v>
      </c>
      <c r="B1061" s="380" t="str">
        <f t="shared" si="16"/>
        <v>220-910</v>
      </c>
      <c r="C1061" s="2043">
        <v>3633984</v>
      </c>
    </row>
    <row r="1062" spans="1:3" ht="14.5">
      <c r="A1062" s="41" t="s">
        <v>3212</v>
      </c>
      <c r="B1062" s="380" t="str">
        <f t="shared" si="16"/>
        <v>220-912</v>
      </c>
      <c r="C1062" s="2043">
        <v>25850230</v>
      </c>
    </row>
    <row r="1063" spans="1:3" ht="14.5">
      <c r="A1063" s="41" t="s">
        <v>3213</v>
      </c>
      <c r="B1063" s="380" t="str">
        <f t="shared" si="16"/>
        <v>220-914</v>
      </c>
      <c r="C1063" s="2043">
        <v>3491662</v>
      </c>
    </row>
    <row r="1064" spans="1:3" ht="14.5">
      <c r="A1064" s="41" t="s">
        <v>3214</v>
      </c>
      <c r="B1064" s="380" t="str">
        <f t="shared" si="16"/>
        <v>220-915</v>
      </c>
      <c r="C1064" s="2043">
        <v>3926125</v>
      </c>
    </row>
    <row r="1065" spans="1:3" ht="14.5">
      <c r="A1065" s="41" t="s">
        <v>3215</v>
      </c>
      <c r="B1065" s="380" t="str">
        <f t="shared" si="16"/>
        <v>220-916</v>
      </c>
      <c r="C1065" s="2043">
        <v>23470814</v>
      </c>
    </row>
    <row r="1066" spans="1:3" ht="14.5">
      <c r="A1066" s="41" t="s">
        <v>3216</v>
      </c>
      <c r="B1066" s="380" t="str">
        <f t="shared" si="16"/>
        <v>220-917</v>
      </c>
      <c r="C1066" s="2043">
        <v>3268060</v>
      </c>
    </row>
    <row r="1067" spans="1:3" ht="14.5">
      <c r="A1067" s="41" t="s">
        <v>3217</v>
      </c>
      <c r="B1067" s="380" t="str">
        <f t="shared" si="16"/>
        <v>220-918</v>
      </c>
      <c r="C1067" s="2043">
        <v>38214911</v>
      </c>
    </row>
    <row r="1068" spans="1:3" ht="14.5">
      <c r="A1068" s="41" t="s">
        <v>4710</v>
      </c>
      <c r="B1068" s="380" t="str">
        <f t="shared" si="16"/>
        <v>220-919</v>
      </c>
      <c r="C1068" s="2043">
        <v>16917828</v>
      </c>
    </row>
    <row r="1069" spans="1:3" ht="14.5">
      <c r="A1069" s="41" t="s">
        <v>3218</v>
      </c>
      <c r="B1069" s="380" t="str">
        <f t="shared" si="16"/>
        <v>220-920</v>
      </c>
      <c r="C1069" s="2043">
        <v>10998862</v>
      </c>
    </row>
    <row r="1070" spans="1:3" ht="14.5">
      <c r="A1070" s="41" t="s">
        <v>8516</v>
      </c>
      <c r="B1070" s="380" t="str">
        <f t="shared" si="16"/>
        <v>220-950</v>
      </c>
    </row>
    <row r="1071" spans="1:3" ht="14.5">
      <c r="A1071" s="41" t="s">
        <v>8083</v>
      </c>
      <c r="B1071" s="380" t="str">
        <f t="shared" si="16"/>
        <v>221-801</v>
      </c>
    </row>
    <row r="1072" spans="1:3" ht="14.5">
      <c r="A1072" s="41" t="s">
        <v>5268</v>
      </c>
      <c r="B1072" s="380" t="str">
        <f t="shared" si="16"/>
        <v>221-901</v>
      </c>
      <c r="C1072" s="2043">
        <v>8674837</v>
      </c>
    </row>
    <row r="1073" spans="1:3" ht="14.5">
      <c r="A1073" s="41" t="s">
        <v>5269</v>
      </c>
      <c r="B1073" s="380" t="str">
        <f t="shared" si="16"/>
        <v>221-904</v>
      </c>
      <c r="C1073" s="2043">
        <v>942481</v>
      </c>
    </row>
    <row r="1074" spans="1:3" ht="14.5">
      <c r="A1074" s="41" t="s">
        <v>5270</v>
      </c>
      <c r="B1074" s="380" t="str">
        <f t="shared" si="16"/>
        <v>221-905</v>
      </c>
      <c r="C1074" s="2043">
        <v>481653</v>
      </c>
    </row>
    <row r="1075" spans="1:3" ht="14.5">
      <c r="A1075" s="41" t="s">
        <v>5271</v>
      </c>
      <c r="B1075" s="380" t="str">
        <f t="shared" si="16"/>
        <v>221-911</v>
      </c>
      <c r="C1075" s="2043">
        <v>558575</v>
      </c>
    </row>
    <row r="1076" spans="1:3" ht="14.5">
      <c r="A1076" s="41" t="s">
        <v>5272</v>
      </c>
      <c r="B1076" s="380" t="str">
        <f t="shared" si="16"/>
        <v>221-912</v>
      </c>
      <c r="C1076" s="2043">
        <v>1685844</v>
      </c>
    </row>
    <row r="1077" spans="1:3" ht="14.5">
      <c r="A1077" s="41" t="s">
        <v>8517</v>
      </c>
      <c r="B1077" s="380" t="str">
        <f t="shared" si="16"/>
        <v>221-950</v>
      </c>
    </row>
    <row r="1078" spans="1:3" ht="14.5">
      <c r="A1078" s="41" t="s">
        <v>5273</v>
      </c>
      <c r="B1078" s="380" t="str">
        <f t="shared" si="16"/>
        <v>222-901</v>
      </c>
      <c r="C1078" s="2043">
        <v>924066</v>
      </c>
    </row>
    <row r="1079" spans="1:3" ht="14.5">
      <c r="A1079" s="41" t="s">
        <v>5274</v>
      </c>
      <c r="B1079" s="380" t="str">
        <f t="shared" si="16"/>
        <v>223-901</v>
      </c>
      <c r="C1079" s="2043">
        <v>761100</v>
      </c>
    </row>
    <row r="1080" spans="1:3" ht="14.5">
      <c r="A1080" s="41" t="s">
        <v>3219</v>
      </c>
      <c r="B1080" s="380" t="str">
        <f t="shared" si="16"/>
        <v>223-902</v>
      </c>
      <c r="C1080" s="2043">
        <v>89200</v>
      </c>
    </row>
    <row r="1081" spans="1:3" ht="14.5">
      <c r="A1081" s="41" t="s">
        <v>5275</v>
      </c>
      <c r="B1081" s="380" t="str">
        <f t="shared" si="16"/>
        <v>223-904</v>
      </c>
      <c r="C1081" s="2043">
        <v>1024280</v>
      </c>
    </row>
    <row r="1082" spans="1:3" ht="14.5">
      <c r="A1082" s="41" t="s">
        <v>5885</v>
      </c>
      <c r="B1082" s="380" t="str">
        <f t="shared" si="16"/>
        <v>224-901</v>
      </c>
      <c r="C1082" s="2043">
        <v>0</v>
      </c>
    </row>
    <row r="1083" spans="1:3" ht="14.5">
      <c r="A1083" s="41" t="s">
        <v>5886</v>
      </c>
      <c r="B1083" s="380" t="str">
        <f t="shared" si="16"/>
        <v>224-902</v>
      </c>
    </row>
    <row r="1084" spans="1:3" ht="14.5">
      <c r="A1084" s="41" t="s">
        <v>5276</v>
      </c>
      <c r="B1084" s="380" t="str">
        <f t="shared" si="16"/>
        <v>225-902</v>
      </c>
      <c r="C1084" s="2043">
        <v>2930589</v>
      </c>
    </row>
    <row r="1085" spans="1:3" ht="14.5">
      <c r="A1085" s="41" t="s">
        <v>3220</v>
      </c>
      <c r="B1085" s="380" t="str">
        <f t="shared" si="16"/>
        <v>225-906</v>
      </c>
      <c r="C1085" s="2043">
        <v>700361</v>
      </c>
    </row>
    <row r="1086" spans="1:3" ht="14.5">
      <c r="A1086" s="41" t="s">
        <v>5887</v>
      </c>
      <c r="B1086" s="380" t="str">
        <f t="shared" si="16"/>
        <v>225-907</v>
      </c>
    </row>
    <row r="1087" spans="1:3" ht="14.5">
      <c r="A1087" s="41" t="s">
        <v>8518</v>
      </c>
      <c r="B1087" s="380" t="str">
        <f t="shared" si="16"/>
        <v>225-950</v>
      </c>
    </row>
    <row r="1088" spans="1:3" ht="14.5">
      <c r="A1088" s="41" t="s">
        <v>8084</v>
      </c>
      <c r="B1088" s="380" t="str">
        <f t="shared" si="16"/>
        <v>226-801</v>
      </c>
    </row>
    <row r="1089" spans="1:3" ht="14.5">
      <c r="A1089" s="41" t="s">
        <v>5277</v>
      </c>
      <c r="B1089" s="380" t="str">
        <f t="shared" si="16"/>
        <v>226-901</v>
      </c>
      <c r="C1089" s="2043">
        <v>0</v>
      </c>
    </row>
    <row r="1090" spans="1:3" ht="14.5">
      <c r="A1090" s="41" t="s">
        <v>3221</v>
      </c>
      <c r="B1090" s="380" t="str">
        <f t="shared" si="16"/>
        <v>226-903</v>
      </c>
      <c r="C1090" s="2043">
        <v>8327997</v>
      </c>
    </row>
    <row r="1091" spans="1:3" ht="14.5">
      <c r="A1091" s="41" t="s">
        <v>5278</v>
      </c>
      <c r="B1091" s="380" t="str">
        <f t="shared" si="16"/>
        <v>226-905</v>
      </c>
      <c r="C1091" s="2043">
        <v>223773</v>
      </c>
    </row>
    <row r="1092" spans="1:3" ht="14.5">
      <c r="A1092" s="41" t="s">
        <v>3222</v>
      </c>
      <c r="B1092" s="380" t="str">
        <f t="shared" ref="B1092:B1155" si="17">CONCATENATE(LEFT(RIGHT(CONCATENATE("000",A1092),6),3),"-",(RIGHT(RIGHT(CONCATENATE("000",A1092),6),3)))</f>
        <v>226-906</v>
      </c>
      <c r="C1092" s="2043">
        <v>0</v>
      </c>
    </row>
    <row r="1093" spans="1:3" ht="14.5">
      <c r="A1093" s="41" t="s">
        <v>3223</v>
      </c>
      <c r="B1093" s="380" t="str">
        <f t="shared" si="17"/>
        <v>226-907</v>
      </c>
      <c r="C1093" s="2043">
        <v>0</v>
      </c>
    </row>
    <row r="1094" spans="1:3" ht="14.5">
      <c r="A1094" s="41" t="s">
        <v>3224</v>
      </c>
      <c r="B1094" s="380" t="str">
        <f t="shared" si="17"/>
        <v>226-908</v>
      </c>
      <c r="C1094" s="2043">
        <v>100800</v>
      </c>
    </row>
    <row r="1095" spans="1:3" ht="14.5">
      <c r="A1095" s="41" t="s">
        <v>8519</v>
      </c>
      <c r="B1095" s="380" t="str">
        <f t="shared" si="17"/>
        <v>226-950</v>
      </c>
    </row>
    <row r="1096" spans="1:3" ht="14.5">
      <c r="A1096" s="41" t="s">
        <v>8774</v>
      </c>
      <c r="B1096" s="380" t="str">
        <f t="shared" si="17"/>
        <v>227-506</v>
      </c>
    </row>
    <row r="1097" spans="1:3" ht="14.5">
      <c r="A1097" s="41" t="s">
        <v>8085</v>
      </c>
      <c r="B1097" s="380" t="str">
        <f t="shared" si="17"/>
        <v>227-622</v>
      </c>
    </row>
    <row r="1098" spans="1:3" ht="14.5">
      <c r="A1098" s="41" t="s">
        <v>8087</v>
      </c>
      <c r="B1098" s="380" t="str">
        <f t="shared" si="17"/>
        <v>227-803</v>
      </c>
    </row>
    <row r="1099" spans="1:3" ht="14.5">
      <c r="A1099" s="41" t="s">
        <v>8088</v>
      </c>
      <c r="B1099" s="380" t="str">
        <f t="shared" si="17"/>
        <v>227-804</v>
      </c>
    </row>
    <row r="1100" spans="1:3" ht="14.5">
      <c r="A1100" s="41" t="s">
        <v>8089</v>
      </c>
      <c r="B1100" s="380" t="str">
        <f t="shared" si="17"/>
        <v>227-805</v>
      </c>
    </row>
    <row r="1101" spans="1:3" ht="14.5">
      <c r="A1101" s="41" t="s">
        <v>8090</v>
      </c>
      <c r="B1101" s="380" t="str">
        <f t="shared" si="17"/>
        <v>227-806</v>
      </c>
    </row>
    <row r="1102" spans="1:3" ht="14.5">
      <c r="A1102" s="41" t="s">
        <v>8091</v>
      </c>
      <c r="B1102" s="380" t="str">
        <f t="shared" si="17"/>
        <v>227-814</v>
      </c>
    </row>
    <row r="1103" spans="1:3" ht="14.5">
      <c r="A1103" s="41" t="s">
        <v>8092</v>
      </c>
      <c r="B1103" s="380" t="str">
        <f t="shared" si="17"/>
        <v>227-816</v>
      </c>
    </row>
    <row r="1104" spans="1:3" ht="14.5">
      <c r="A1104" s="41" t="s">
        <v>8093</v>
      </c>
      <c r="B1104" s="380" t="str">
        <f t="shared" si="17"/>
        <v>227-817</v>
      </c>
    </row>
    <row r="1105" spans="1:3" ht="14.5">
      <c r="A1105" s="41" t="s">
        <v>8094</v>
      </c>
      <c r="B1105" s="380" t="str">
        <f t="shared" si="17"/>
        <v>227-819</v>
      </c>
    </row>
    <row r="1106" spans="1:3" ht="14.5">
      <c r="A1106" s="41" t="s">
        <v>8095</v>
      </c>
      <c r="B1106" s="380" t="str">
        <f t="shared" si="17"/>
        <v>227-820</v>
      </c>
    </row>
    <row r="1107" spans="1:3" ht="14.5">
      <c r="A1107" s="41" t="s">
        <v>8096</v>
      </c>
      <c r="B1107" s="380" t="str">
        <f t="shared" si="17"/>
        <v>227-821</v>
      </c>
    </row>
    <row r="1108" spans="1:3" ht="14.5">
      <c r="A1108" s="41" t="s">
        <v>8097</v>
      </c>
      <c r="B1108" s="380" t="str">
        <f t="shared" si="17"/>
        <v>227-824</v>
      </c>
    </row>
    <row r="1109" spans="1:3" ht="14.5">
      <c r="A1109" s="41" t="s">
        <v>8098</v>
      </c>
      <c r="B1109" s="380" t="str">
        <f t="shared" si="17"/>
        <v>227-825</v>
      </c>
    </row>
    <row r="1110" spans="1:3" ht="14.5">
      <c r="A1110" s="41" t="s">
        <v>8099</v>
      </c>
      <c r="B1110" s="380" t="str">
        <f t="shared" si="17"/>
        <v>227-826</v>
      </c>
    </row>
    <row r="1111" spans="1:3" ht="14.5">
      <c r="A1111" s="41" t="s">
        <v>8100</v>
      </c>
      <c r="B1111" s="380" t="str">
        <f t="shared" si="17"/>
        <v>227-827</v>
      </c>
    </row>
    <row r="1112" spans="1:3" ht="14.5">
      <c r="A1112" s="41" t="s">
        <v>8102</v>
      </c>
      <c r="B1112" s="380" t="str">
        <f t="shared" si="17"/>
        <v>227-829</v>
      </c>
    </row>
    <row r="1113" spans="1:3" ht="14.5">
      <c r="A1113" s="41" t="s">
        <v>5279</v>
      </c>
      <c r="B1113" s="380" t="str">
        <f t="shared" si="17"/>
        <v>227-901</v>
      </c>
      <c r="C1113" s="2043">
        <v>57661863</v>
      </c>
    </row>
    <row r="1114" spans="1:3" ht="14.5">
      <c r="A1114" s="41" t="s">
        <v>3225</v>
      </c>
      <c r="B1114" s="380" t="str">
        <f t="shared" si="17"/>
        <v>227-904</v>
      </c>
      <c r="C1114" s="2043">
        <v>37244201</v>
      </c>
    </row>
    <row r="1115" spans="1:3" ht="14.5">
      <c r="A1115" s="41" t="s">
        <v>8103</v>
      </c>
      <c r="B1115" s="380" t="str">
        <f t="shared" si="17"/>
        <v>227-905</v>
      </c>
    </row>
    <row r="1116" spans="1:3" ht="14.5">
      <c r="A1116" s="41" t="s">
        <v>8105</v>
      </c>
      <c r="B1116" s="380" t="str">
        <f t="shared" si="17"/>
        <v>227-906</v>
      </c>
    </row>
    <row r="1117" spans="1:3" ht="14.5">
      <c r="A1117" s="41" t="s">
        <v>5280</v>
      </c>
      <c r="B1117" s="380" t="str">
        <f t="shared" si="17"/>
        <v>227-907</v>
      </c>
      <c r="C1117" s="2043">
        <v>19237816</v>
      </c>
    </row>
    <row r="1118" spans="1:3" ht="14.5">
      <c r="A1118" s="41" t="s">
        <v>5281</v>
      </c>
      <c r="B1118" s="380" t="str">
        <f t="shared" si="17"/>
        <v>227-909</v>
      </c>
      <c r="C1118" s="2043">
        <v>13792850</v>
      </c>
    </row>
    <row r="1119" spans="1:3" ht="14.5">
      <c r="A1119" s="41" t="s">
        <v>3226</v>
      </c>
      <c r="B1119" s="380" t="str">
        <f t="shared" si="17"/>
        <v>227-910</v>
      </c>
      <c r="C1119" s="2043">
        <v>7980926</v>
      </c>
    </row>
    <row r="1120" spans="1:3" ht="14.5">
      <c r="A1120" s="41" t="s">
        <v>5282</v>
      </c>
      <c r="B1120" s="380" t="str">
        <f t="shared" si="17"/>
        <v>227-912</v>
      </c>
      <c r="C1120" s="2043">
        <v>3294662</v>
      </c>
    </row>
    <row r="1121" spans="1:3" ht="14.5">
      <c r="A1121" s="41" t="s">
        <v>5283</v>
      </c>
      <c r="B1121" s="380" t="str">
        <f t="shared" si="17"/>
        <v>227-913</v>
      </c>
      <c r="C1121" s="2043">
        <v>14700023</v>
      </c>
    </row>
    <row r="1122" spans="1:3" ht="14.5">
      <c r="A1122" s="41" t="s">
        <v>8520</v>
      </c>
      <c r="B1122" s="380" t="str">
        <f t="shared" si="17"/>
        <v>227-950</v>
      </c>
    </row>
    <row r="1123" spans="1:3" ht="14.5">
      <c r="A1123" s="41" t="s">
        <v>5888</v>
      </c>
      <c r="B1123" s="380" t="str">
        <f t="shared" si="17"/>
        <v>228-901</v>
      </c>
    </row>
    <row r="1124" spans="1:3" ht="14.5">
      <c r="A1124" s="41" t="s">
        <v>5284</v>
      </c>
      <c r="B1124" s="380" t="str">
        <f t="shared" si="17"/>
        <v>228-903</v>
      </c>
      <c r="C1124" s="2043">
        <v>330625</v>
      </c>
    </row>
    <row r="1125" spans="1:3" ht="14.5">
      <c r="A1125" s="41" t="s">
        <v>5889</v>
      </c>
      <c r="B1125" s="380" t="str">
        <f t="shared" si="17"/>
        <v>228-904</v>
      </c>
    </row>
    <row r="1126" spans="1:3" ht="14.5">
      <c r="A1126" s="41" t="s">
        <v>5890</v>
      </c>
      <c r="B1126" s="380" t="str">
        <f t="shared" si="17"/>
        <v>228-905</v>
      </c>
    </row>
    <row r="1127" spans="1:3" ht="14.5">
      <c r="A1127" s="41" t="s">
        <v>4736</v>
      </c>
      <c r="B1127" s="380" t="str">
        <f t="shared" si="17"/>
        <v>229-901</v>
      </c>
      <c r="C1127" s="2043">
        <v>99915</v>
      </c>
    </row>
    <row r="1128" spans="1:3" ht="14.5">
      <c r="A1128" s="41" t="s">
        <v>5285</v>
      </c>
      <c r="B1128" s="380" t="str">
        <f t="shared" si="17"/>
        <v>229-903</v>
      </c>
      <c r="C1128" s="2043">
        <v>0</v>
      </c>
    </row>
    <row r="1129" spans="1:3" ht="14.5">
      <c r="A1129" s="41" t="s">
        <v>3227</v>
      </c>
      <c r="B1129" s="380" t="str">
        <f t="shared" si="17"/>
        <v>229-904</v>
      </c>
      <c r="C1129" s="2043">
        <v>1493505</v>
      </c>
    </row>
    <row r="1130" spans="1:3" ht="14.5">
      <c r="A1130" s="41" t="s">
        <v>3228</v>
      </c>
      <c r="B1130" s="380" t="str">
        <f t="shared" si="17"/>
        <v>229-905</v>
      </c>
      <c r="C1130" s="2043">
        <v>178650</v>
      </c>
    </row>
    <row r="1131" spans="1:3" ht="14.5">
      <c r="A1131" s="41" t="s">
        <v>3229</v>
      </c>
      <c r="B1131" s="380" t="str">
        <f t="shared" si="17"/>
        <v>229-906</v>
      </c>
    </row>
    <row r="1132" spans="1:3" ht="14.5">
      <c r="A1132" s="41" t="s">
        <v>5286</v>
      </c>
      <c r="B1132" s="380" t="str">
        <f t="shared" si="17"/>
        <v>230-901</v>
      </c>
      <c r="C1132" s="2043">
        <v>484672</v>
      </c>
    </row>
    <row r="1133" spans="1:3" ht="14.5">
      <c r="A1133" s="41" t="s">
        <v>5287</v>
      </c>
      <c r="B1133" s="380" t="str">
        <f t="shared" si="17"/>
        <v>230-902</v>
      </c>
      <c r="C1133" s="2043">
        <v>1202088</v>
      </c>
    </row>
    <row r="1134" spans="1:3" ht="14.5">
      <c r="A1134" s="41" t="s">
        <v>3230</v>
      </c>
      <c r="B1134" s="380" t="str">
        <f t="shared" si="17"/>
        <v>230-903</v>
      </c>
      <c r="C1134" s="2043">
        <v>649938</v>
      </c>
    </row>
    <row r="1135" spans="1:3" ht="14.5">
      <c r="A1135" s="41" t="s">
        <v>5891</v>
      </c>
      <c r="B1135" s="380" t="str">
        <f t="shared" si="17"/>
        <v>230-904</v>
      </c>
    </row>
    <row r="1136" spans="1:3" ht="14.5">
      <c r="A1136" s="41" t="s">
        <v>3231</v>
      </c>
      <c r="B1136" s="380" t="str">
        <f t="shared" si="17"/>
        <v>230-905</v>
      </c>
      <c r="C1136" s="2043">
        <v>242700</v>
      </c>
    </row>
    <row r="1137" spans="1:3" ht="14.5">
      <c r="A1137" s="41" t="s">
        <v>3232</v>
      </c>
      <c r="B1137" s="380" t="str">
        <f t="shared" si="17"/>
        <v>230-906</v>
      </c>
      <c r="C1137" s="2043">
        <v>270106</v>
      </c>
    </row>
    <row r="1138" spans="1:3" ht="14.5">
      <c r="A1138" s="41" t="s">
        <v>5288</v>
      </c>
      <c r="B1138" s="380" t="str">
        <f t="shared" si="17"/>
        <v>230-908</v>
      </c>
      <c r="C1138" s="2043">
        <v>820875</v>
      </c>
    </row>
    <row r="1139" spans="1:3" ht="14.5">
      <c r="A1139" s="41" t="s">
        <v>5892</v>
      </c>
      <c r="B1139" s="380" t="str">
        <f t="shared" si="17"/>
        <v>231-901</v>
      </c>
      <c r="C1139" s="2043">
        <v>0</v>
      </c>
    </row>
    <row r="1140" spans="1:3" ht="14.5">
      <c r="A1140" s="41" t="s">
        <v>5289</v>
      </c>
      <c r="B1140" s="380" t="str">
        <f t="shared" si="17"/>
        <v>231-902</v>
      </c>
      <c r="C1140" s="2043">
        <v>597850</v>
      </c>
    </row>
    <row r="1141" spans="1:3" ht="14.5">
      <c r="A1141" s="41" t="s">
        <v>3233</v>
      </c>
      <c r="B1141" s="380" t="str">
        <f t="shared" si="17"/>
        <v>232-901</v>
      </c>
      <c r="C1141" s="2043">
        <v>223800</v>
      </c>
    </row>
    <row r="1142" spans="1:3" ht="14.5">
      <c r="A1142" s="41" t="s">
        <v>3234</v>
      </c>
      <c r="B1142" s="380" t="str">
        <f t="shared" si="17"/>
        <v>232-902</v>
      </c>
      <c r="C1142" s="2043">
        <v>118785</v>
      </c>
    </row>
    <row r="1143" spans="1:3" ht="14.5">
      <c r="A1143" s="41" t="s">
        <v>3235</v>
      </c>
      <c r="B1143" s="380" t="str">
        <f t="shared" si="17"/>
        <v>232-903</v>
      </c>
      <c r="C1143" s="2043">
        <v>2651332</v>
      </c>
    </row>
    <row r="1144" spans="1:3" ht="14.5">
      <c r="A1144" s="41" t="s">
        <v>5893</v>
      </c>
      <c r="B1144" s="380" t="str">
        <f t="shared" si="17"/>
        <v>232-904</v>
      </c>
    </row>
    <row r="1145" spans="1:3" ht="14.5">
      <c r="A1145" s="41" t="s">
        <v>3236</v>
      </c>
      <c r="B1145" s="380" t="str">
        <f t="shared" si="17"/>
        <v>233-901</v>
      </c>
      <c r="C1145" s="2043">
        <v>4041700</v>
      </c>
    </row>
    <row r="1146" spans="1:3" ht="14.5">
      <c r="A1146" s="41" t="s">
        <v>5290</v>
      </c>
      <c r="B1146" s="380" t="str">
        <f t="shared" si="17"/>
        <v>233-903</v>
      </c>
      <c r="C1146" s="2043">
        <v>272709</v>
      </c>
    </row>
    <row r="1147" spans="1:3" ht="14.5">
      <c r="A1147" s="41" t="s">
        <v>8107</v>
      </c>
      <c r="B1147" s="380" t="str">
        <f t="shared" si="17"/>
        <v>234-801</v>
      </c>
    </row>
    <row r="1148" spans="1:3" ht="14.5">
      <c r="A1148" s="41" t="s">
        <v>3237</v>
      </c>
      <c r="B1148" s="380" t="str">
        <f t="shared" si="17"/>
        <v>234-902</v>
      </c>
      <c r="C1148" s="2043">
        <v>1622291</v>
      </c>
    </row>
    <row r="1149" spans="1:3" ht="14.5">
      <c r="A1149" s="41" t="s">
        <v>5291</v>
      </c>
      <c r="B1149" s="380" t="str">
        <f t="shared" si="17"/>
        <v>234-903</v>
      </c>
      <c r="C1149" s="2043">
        <v>527200</v>
      </c>
    </row>
    <row r="1150" spans="1:3" ht="14.5">
      <c r="A1150" s="41" t="s">
        <v>3238</v>
      </c>
      <c r="B1150" s="380" t="str">
        <f t="shared" si="17"/>
        <v>234-904</v>
      </c>
      <c r="C1150" s="2043">
        <v>926481</v>
      </c>
    </row>
    <row r="1151" spans="1:3" ht="14.5">
      <c r="A1151" s="41" t="s">
        <v>3239</v>
      </c>
      <c r="B1151" s="380" t="str">
        <f t="shared" si="17"/>
        <v>234-905</v>
      </c>
      <c r="C1151" s="2043">
        <v>225808</v>
      </c>
    </row>
    <row r="1152" spans="1:3" ht="14.5">
      <c r="A1152" s="41" t="s">
        <v>3240</v>
      </c>
      <c r="B1152" s="380" t="str">
        <f t="shared" si="17"/>
        <v>234-906</v>
      </c>
      <c r="C1152" s="2043">
        <v>2290459</v>
      </c>
    </row>
    <row r="1153" spans="1:3" ht="14.5">
      <c r="A1153" s="41" t="s">
        <v>5292</v>
      </c>
      <c r="B1153" s="380" t="str">
        <f t="shared" si="17"/>
        <v>234-907</v>
      </c>
    </row>
    <row r="1154" spans="1:3" ht="14.5">
      <c r="A1154" s="41" t="s">
        <v>3241</v>
      </c>
      <c r="B1154" s="380" t="str">
        <f t="shared" si="17"/>
        <v>234-909</v>
      </c>
      <c r="C1154" s="2043">
        <v>90075</v>
      </c>
    </row>
    <row r="1155" spans="1:3" ht="14.5">
      <c r="A1155" s="41" t="s">
        <v>3242</v>
      </c>
      <c r="B1155" s="380" t="str">
        <f t="shared" si="17"/>
        <v>235-901</v>
      </c>
      <c r="C1155" s="2043">
        <v>775852</v>
      </c>
    </row>
    <row r="1156" spans="1:3" ht="14.5">
      <c r="A1156" s="41" t="s">
        <v>3243</v>
      </c>
      <c r="B1156" s="380" t="str">
        <f t="shared" ref="B1156:B1219" si="18">CONCATENATE(LEFT(RIGHT(CONCATENATE("000",A1156),6),3),"-",(RIGHT(RIGHT(CONCATENATE("000",A1156),6),3)))</f>
        <v>235-902</v>
      </c>
      <c r="C1156" s="2043">
        <v>12379890</v>
      </c>
    </row>
    <row r="1157" spans="1:3" ht="14.5">
      <c r="A1157" s="41" t="s">
        <v>5293</v>
      </c>
      <c r="B1157" s="380" t="str">
        <f t="shared" si="18"/>
        <v>235-904</v>
      </c>
      <c r="C1157" s="2043">
        <v>224900</v>
      </c>
    </row>
    <row r="1158" spans="1:3" ht="14.5">
      <c r="A1158" s="41" t="s">
        <v>8521</v>
      </c>
      <c r="B1158" s="380" t="str">
        <f t="shared" si="18"/>
        <v>235-950</v>
      </c>
    </row>
    <row r="1159" spans="1:3" ht="14.5">
      <c r="A1159" s="41" t="s">
        <v>8108</v>
      </c>
      <c r="B1159" s="380" t="str">
        <f t="shared" si="18"/>
        <v>236-801</v>
      </c>
    </row>
    <row r="1160" spans="1:3" ht="14.5">
      <c r="A1160" s="41" t="s">
        <v>8109</v>
      </c>
      <c r="B1160" s="380" t="str">
        <f t="shared" si="18"/>
        <v>236-802</v>
      </c>
    </row>
    <row r="1161" spans="1:3" ht="14.5">
      <c r="A1161" s="41" t="s">
        <v>3244</v>
      </c>
      <c r="B1161" s="380" t="str">
        <f t="shared" si="18"/>
        <v>236-901</v>
      </c>
      <c r="C1161" s="2043">
        <v>439875</v>
      </c>
    </row>
    <row r="1162" spans="1:3" ht="14.5">
      <c r="A1162" s="41" t="s">
        <v>3245</v>
      </c>
      <c r="B1162" s="380" t="str">
        <f t="shared" si="18"/>
        <v>236-902</v>
      </c>
      <c r="C1162" s="2043">
        <v>2017250</v>
      </c>
    </row>
    <row r="1163" spans="1:3" ht="14.5">
      <c r="A1163" s="41" t="s">
        <v>8110</v>
      </c>
      <c r="B1163" s="380" t="str">
        <f t="shared" si="18"/>
        <v>236-903</v>
      </c>
    </row>
    <row r="1164" spans="1:3" ht="14.5">
      <c r="A1164" s="41" t="s">
        <v>8522</v>
      </c>
      <c r="B1164" s="380" t="str">
        <f t="shared" si="18"/>
        <v>236-950</v>
      </c>
    </row>
    <row r="1165" spans="1:3" ht="14.5">
      <c r="A1165" s="41" t="s">
        <v>3246</v>
      </c>
      <c r="B1165" s="380" t="str">
        <f t="shared" si="18"/>
        <v>237-902</v>
      </c>
      <c r="C1165" s="2043">
        <v>1329512</v>
      </c>
    </row>
    <row r="1166" spans="1:3" ht="14.5">
      <c r="A1166" s="41" t="s">
        <v>3247</v>
      </c>
      <c r="B1166" s="380" t="str">
        <f t="shared" si="18"/>
        <v>237-904</v>
      </c>
      <c r="C1166" s="2043">
        <v>5653725</v>
      </c>
    </row>
    <row r="1167" spans="1:3" ht="14.5">
      <c r="A1167" s="41" t="s">
        <v>3248</v>
      </c>
      <c r="B1167" s="380" t="str">
        <f t="shared" si="18"/>
        <v>237-905</v>
      </c>
      <c r="C1167" s="2043">
        <v>5017471</v>
      </c>
    </row>
    <row r="1168" spans="1:3" ht="14.5">
      <c r="A1168" s="41" t="s">
        <v>5294</v>
      </c>
      <c r="B1168" s="380" t="str">
        <f t="shared" si="18"/>
        <v>238-902</v>
      </c>
      <c r="C1168" s="2043">
        <v>0</v>
      </c>
    </row>
    <row r="1169" spans="1:3" ht="14.5">
      <c r="A1169" s="41" t="s">
        <v>5894</v>
      </c>
      <c r="B1169" s="380" t="str">
        <f t="shared" si="18"/>
        <v>238-904</v>
      </c>
      <c r="C1169" s="2043">
        <v>0</v>
      </c>
    </row>
    <row r="1170" spans="1:3" ht="14.5">
      <c r="A1170" s="41" t="s">
        <v>5295</v>
      </c>
      <c r="B1170" s="380" t="str">
        <f t="shared" si="18"/>
        <v>239-901</v>
      </c>
      <c r="C1170" s="2043">
        <v>2144156</v>
      </c>
    </row>
    <row r="1171" spans="1:3" ht="14.5">
      <c r="A1171" s="41" t="s">
        <v>5296</v>
      </c>
      <c r="B1171" s="380" t="str">
        <f t="shared" si="18"/>
        <v>239-903</v>
      </c>
      <c r="C1171" s="2043">
        <v>468164</v>
      </c>
    </row>
    <row r="1172" spans="1:3" ht="14.5">
      <c r="A1172" s="41" t="s">
        <v>8112</v>
      </c>
      <c r="B1172" s="380" t="str">
        <f t="shared" si="18"/>
        <v>240-503</v>
      </c>
    </row>
    <row r="1173" spans="1:3" ht="14.5">
      <c r="A1173" s="41" t="s">
        <v>8114</v>
      </c>
      <c r="B1173" s="380" t="str">
        <f t="shared" si="18"/>
        <v>240-801</v>
      </c>
    </row>
    <row r="1174" spans="1:3" ht="14.5">
      <c r="A1174" s="41" t="s">
        <v>3249</v>
      </c>
      <c r="B1174" s="380" t="str">
        <f t="shared" si="18"/>
        <v>240-901</v>
      </c>
      <c r="C1174" s="2043">
        <v>26909181</v>
      </c>
    </row>
    <row r="1175" spans="1:3" ht="14.5">
      <c r="A1175" s="41" t="s">
        <v>3250</v>
      </c>
      <c r="B1175" s="380" t="str">
        <f t="shared" si="18"/>
        <v>240-903</v>
      </c>
      <c r="C1175" s="2043">
        <v>30218137</v>
      </c>
    </row>
    <row r="1176" spans="1:3" ht="14.5">
      <c r="A1176" s="41" t="s">
        <v>5297</v>
      </c>
      <c r="B1176" s="380" t="str">
        <f t="shared" si="18"/>
        <v>240-904</v>
      </c>
      <c r="C1176" s="2043">
        <v>0</v>
      </c>
    </row>
    <row r="1177" spans="1:3" ht="14.5">
      <c r="A1177" s="41" t="s">
        <v>5895</v>
      </c>
      <c r="B1177" s="380" t="str">
        <f t="shared" si="18"/>
        <v>241-901</v>
      </c>
    </row>
    <row r="1178" spans="1:3" ht="14.5">
      <c r="A1178" s="41" t="s">
        <v>5298</v>
      </c>
      <c r="B1178" s="380" t="str">
        <f t="shared" si="18"/>
        <v>241-902</v>
      </c>
      <c r="C1178" s="2043">
        <v>206300</v>
      </c>
    </row>
    <row r="1179" spans="1:3" ht="14.5">
      <c r="A1179" s="41" t="s">
        <v>5299</v>
      </c>
      <c r="B1179" s="380" t="str">
        <f t="shared" si="18"/>
        <v>241-903</v>
      </c>
      <c r="C1179" s="2043">
        <v>1971566</v>
      </c>
    </row>
    <row r="1180" spans="1:3" ht="14.5">
      <c r="A1180" s="41" t="s">
        <v>5300</v>
      </c>
      <c r="B1180" s="380" t="str">
        <f t="shared" si="18"/>
        <v>241-904</v>
      </c>
      <c r="C1180" s="2043">
        <v>1493727</v>
      </c>
    </row>
    <row r="1181" spans="1:3" ht="14.5">
      <c r="A1181" s="41" t="s">
        <v>5301</v>
      </c>
      <c r="B1181" s="380" t="str">
        <f t="shared" si="18"/>
        <v>241-906</v>
      </c>
    </row>
    <row r="1182" spans="1:3" ht="14.5">
      <c r="A1182" s="41" t="s">
        <v>5896</v>
      </c>
      <c r="B1182" s="380" t="str">
        <f t="shared" si="18"/>
        <v>242-902</v>
      </c>
    </row>
    <row r="1183" spans="1:3" ht="14.5">
      <c r="A1183" s="41" t="s">
        <v>5302</v>
      </c>
      <c r="B1183" s="380" t="str">
        <f t="shared" si="18"/>
        <v>242-903</v>
      </c>
      <c r="C1183" s="2043">
        <v>325172</v>
      </c>
    </row>
    <row r="1184" spans="1:3" ht="14.5">
      <c r="A1184" s="41" t="s">
        <v>5897</v>
      </c>
      <c r="B1184" s="380" t="str">
        <f t="shared" si="18"/>
        <v>242-905</v>
      </c>
      <c r="C1184" s="2043">
        <v>0</v>
      </c>
    </row>
    <row r="1185" spans="1:3" ht="14.5">
      <c r="A1185" s="41" t="s">
        <v>5303</v>
      </c>
      <c r="B1185" s="380" t="str">
        <f t="shared" si="18"/>
        <v>242-906</v>
      </c>
      <c r="C1185" s="2043">
        <v>0</v>
      </c>
    </row>
    <row r="1186" spans="1:3" ht="14.5">
      <c r="A1186" s="41" t="s">
        <v>3251</v>
      </c>
      <c r="B1186" s="380" t="str">
        <f t="shared" si="18"/>
        <v>243-901</v>
      </c>
      <c r="C1186" s="2043">
        <v>0</v>
      </c>
    </row>
    <row r="1187" spans="1:3" ht="14.5">
      <c r="A1187" s="41" t="s">
        <v>5304</v>
      </c>
      <c r="B1187" s="380" t="str">
        <f t="shared" si="18"/>
        <v>243-902</v>
      </c>
      <c r="C1187" s="2043">
        <v>665156</v>
      </c>
    </row>
    <row r="1188" spans="1:3" ht="14.5">
      <c r="A1188" s="41" t="s">
        <v>5305</v>
      </c>
      <c r="B1188" s="380" t="str">
        <f t="shared" si="18"/>
        <v>243-903</v>
      </c>
      <c r="C1188" s="2043">
        <v>792980</v>
      </c>
    </row>
    <row r="1189" spans="1:3" ht="14.5">
      <c r="A1189" s="41" t="s">
        <v>3252</v>
      </c>
      <c r="B1189" s="380" t="str">
        <f t="shared" si="18"/>
        <v>243-905</v>
      </c>
      <c r="C1189" s="2043">
        <v>8398506</v>
      </c>
    </row>
    <row r="1190" spans="1:3" ht="14.5">
      <c r="A1190" s="41" t="s">
        <v>3253</v>
      </c>
      <c r="B1190" s="380" t="str">
        <f t="shared" si="18"/>
        <v>243-906</v>
      </c>
      <c r="C1190" s="2043">
        <v>720000</v>
      </c>
    </row>
    <row r="1191" spans="1:3" ht="14.5">
      <c r="A1191" s="41" t="s">
        <v>8523</v>
      </c>
      <c r="B1191" s="380" t="str">
        <f t="shared" si="18"/>
        <v>243-950</v>
      </c>
    </row>
    <row r="1192" spans="1:3" ht="14.5">
      <c r="A1192" s="41" t="s">
        <v>5898</v>
      </c>
      <c r="B1192" s="380" t="str">
        <f t="shared" si="18"/>
        <v>244-901</v>
      </c>
    </row>
    <row r="1193" spans="1:3" ht="14.5">
      <c r="A1193" s="41" t="s">
        <v>5306</v>
      </c>
      <c r="B1193" s="380" t="str">
        <f t="shared" si="18"/>
        <v>244-903</v>
      </c>
      <c r="C1193" s="2043">
        <v>0</v>
      </c>
    </row>
    <row r="1194" spans="1:3" ht="14.5">
      <c r="A1194" s="41" t="s">
        <v>3254</v>
      </c>
      <c r="B1194" s="380" t="str">
        <f t="shared" si="18"/>
        <v>244-905</v>
      </c>
      <c r="C1194" s="2043">
        <v>132392</v>
      </c>
    </row>
    <row r="1195" spans="1:3" ht="14.5">
      <c r="A1195" s="41" t="s">
        <v>3255</v>
      </c>
      <c r="B1195" s="380" t="str">
        <f t="shared" si="18"/>
        <v>245-901</v>
      </c>
      <c r="C1195" s="2043">
        <v>519043</v>
      </c>
    </row>
    <row r="1196" spans="1:3" ht="14.5">
      <c r="A1196" s="41" t="s">
        <v>3256</v>
      </c>
      <c r="B1196" s="380" t="str">
        <f t="shared" si="18"/>
        <v>245-902</v>
      </c>
      <c r="C1196" s="2043">
        <v>754045</v>
      </c>
    </row>
    <row r="1197" spans="1:3" ht="14.5">
      <c r="A1197" s="41" t="s">
        <v>3257</v>
      </c>
      <c r="B1197" s="380" t="str">
        <f t="shared" si="18"/>
        <v>245-903</v>
      </c>
      <c r="C1197" s="2043">
        <v>1715443</v>
      </c>
    </row>
    <row r="1198" spans="1:3" ht="14.5">
      <c r="A1198" s="41" t="s">
        <v>3258</v>
      </c>
      <c r="B1198" s="380" t="str">
        <f t="shared" si="18"/>
        <v>245-904</v>
      </c>
      <c r="C1198" s="2043">
        <v>262075</v>
      </c>
    </row>
    <row r="1199" spans="1:3" ht="14.5">
      <c r="A1199" s="41" t="s">
        <v>8115</v>
      </c>
      <c r="B1199" s="380" t="str">
        <f t="shared" si="18"/>
        <v>246-801</v>
      </c>
    </row>
    <row r="1200" spans="1:3" ht="14.5">
      <c r="A1200" s="41" t="s">
        <v>8116</v>
      </c>
      <c r="B1200" s="380" t="str">
        <f t="shared" si="18"/>
        <v>246-802</v>
      </c>
    </row>
    <row r="1201" spans="1:3" ht="14.5">
      <c r="A1201" s="41" t="s">
        <v>3259</v>
      </c>
      <c r="B1201" s="380" t="str">
        <f t="shared" si="18"/>
        <v>246-902</v>
      </c>
      <c r="C1201" s="2043">
        <v>736045</v>
      </c>
    </row>
    <row r="1202" spans="1:3" ht="14.5">
      <c r="A1202" s="41" t="s">
        <v>3260</v>
      </c>
      <c r="B1202" s="380" t="str">
        <f t="shared" si="18"/>
        <v>246-904</v>
      </c>
      <c r="C1202" s="2043">
        <v>14240525</v>
      </c>
    </row>
    <row r="1203" spans="1:3" ht="14.5">
      <c r="A1203" s="41" t="s">
        <v>3261</v>
      </c>
      <c r="B1203" s="380" t="str">
        <f t="shared" si="18"/>
        <v>246-905</v>
      </c>
      <c r="C1203" s="2043">
        <v>0</v>
      </c>
    </row>
    <row r="1204" spans="1:3" ht="14.5">
      <c r="A1204" s="41" t="s">
        <v>3262</v>
      </c>
      <c r="B1204" s="380" t="str">
        <f t="shared" si="18"/>
        <v>246-906</v>
      </c>
      <c r="C1204" s="2043">
        <v>11492668</v>
      </c>
    </row>
    <row r="1205" spans="1:3" ht="14.5">
      <c r="A1205" s="41" t="s">
        <v>5307</v>
      </c>
      <c r="B1205" s="380" t="str">
        <f t="shared" si="18"/>
        <v>246-907</v>
      </c>
      <c r="C1205" s="2043">
        <v>3219507</v>
      </c>
    </row>
    <row r="1206" spans="1:3" ht="14.5">
      <c r="A1206" s="41" t="s">
        <v>3263</v>
      </c>
      <c r="B1206" s="380" t="str">
        <f t="shared" si="18"/>
        <v>246-908</v>
      </c>
      <c r="C1206" s="2043">
        <v>7452713</v>
      </c>
    </row>
    <row r="1207" spans="1:3" ht="14.5">
      <c r="A1207" s="41" t="s">
        <v>4857</v>
      </c>
      <c r="B1207" s="380" t="str">
        <f t="shared" si="18"/>
        <v>246-909</v>
      </c>
      <c r="C1207" s="2043">
        <v>40530798</v>
      </c>
    </row>
    <row r="1208" spans="1:3" ht="14.5">
      <c r="A1208" s="41" t="s">
        <v>3264</v>
      </c>
      <c r="B1208" s="380" t="str">
        <f t="shared" si="18"/>
        <v>246-911</v>
      </c>
      <c r="C1208" s="2043">
        <v>3852671</v>
      </c>
    </row>
    <row r="1209" spans="1:3" ht="14.5">
      <c r="A1209" s="41" t="s">
        <v>3265</v>
      </c>
      <c r="B1209" s="380" t="str">
        <f t="shared" si="18"/>
        <v>246-912</v>
      </c>
      <c r="C1209" s="2043">
        <v>80912</v>
      </c>
    </row>
    <row r="1210" spans="1:3" ht="14.5">
      <c r="A1210" s="41" t="s">
        <v>3266</v>
      </c>
      <c r="B1210" s="380" t="str">
        <f t="shared" si="18"/>
        <v>246-913</v>
      </c>
      <c r="C1210" s="2043">
        <v>86385194</v>
      </c>
    </row>
    <row r="1211" spans="1:3" ht="14.5">
      <c r="A1211" s="41" t="s">
        <v>5899</v>
      </c>
      <c r="B1211" s="380" t="str">
        <f t="shared" si="18"/>
        <v>246-914</v>
      </c>
      <c r="C1211" s="2043">
        <v>0</v>
      </c>
    </row>
    <row r="1212" spans="1:3" ht="14.5">
      <c r="A1212" s="41" t="s">
        <v>3267</v>
      </c>
      <c r="B1212" s="380" t="str">
        <f t="shared" si="18"/>
        <v>247-901</v>
      </c>
      <c r="C1212" s="2043">
        <v>5177013</v>
      </c>
    </row>
    <row r="1213" spans="1:3" ht="14.5">
      <c r="A1213" s="41" t="s">
        <v>3268</v>
      </c>
      <c r="B1213" s="380" t="str">
        <f t="shared" si="18"/>
        <v>247-903</v>
      </c>
      <c r="C1213" s="2043">
        <v>3310852</v>
      </c>
    </row>
    <row r="1214" spans="1:3" ht="14.5">
      <c r="A1214" s="41" t="s">
        <v>3269</v>
      </c>
      <c r="B1214" s="380" t="str">
        <f t="shared" si="18"/>
        <v>247-904</v>
      </c>
      <c r="C1214" s="2043">
        <v>419325</v>
      </c>
    </row>
    <row r="1215" spans="1:3" ht="14.5">
      <c r="A1215" s="41" t="s">
        <v>3270</v>
      </c>
      <c r="B1215" s="380" t="str">
        <f t="shared" si="18"/>
        <v>247-906</v>
      </c>
      <c r="C1215" s="2043">
        <v>604381</v>
      </c>
    </row>
    <row r="1216" spans="1:3" ht="14.5">
      <c r="A1216" s="41" t="s">
        <v>5308</v>
      </c>
      <c r="B1216" s="380" t="str">
        <f t="shared" si="18"/>
        <v>248-901</v>
      </c>
      <c r="C1216" s="2043">
        <v>1931717</v>
      </c>
    </row>
    <row r="1217" spans="1:3" ht="14.5">
      <c r="A1217" s="41" t="s">
        <v>5309</v>
      </c>
      <c r="B1217" s="380" t="str">
        <f t="shared" si="18"/>
        <v>248-902</v>
      </c>
      <c r="C1217" s="2043">
        <v>0</v>
      </c>
    </row>
    <row r="1218" spans="1:3" ht="14.5">
      <c r="A1218" s="41" t="s">
        <v>3271</v>
      </c>
      <c r="B1218" s="380" t="str">
        <f t="shared" si="18"/>
        <v>249-901</v>
      </c>
      <c r="C1218" s="2043">
        <v>750375</v>
      </c>
    </row>
    <row r="1219" spans="1:3" ht="14.5">
      <c r="A1219" s="41" t="s">
        <v>5310</v>
      </c>
      <c r="B1219" s="380" t="str">
        <f t="shared" si="18"/>
        <v>249-902</v>
      </c>
      <c r="C1219" s="2043">
        <v>1381412</v>
      </c>
    </row>
    <row r="1220" spans="1:3" ht="14.5">
      <c r="A1220" s="41" t="s">
        <v>5311</v>
      </c>
      <c r="B1220" s="380" t="str">
        <f t="shared" ref="B1220:B1238" si="19">CONCATENATE(LEFT(RIGHT(CONCATENATE("000",A1220),6),3),"-",(RIGHT(RIGHT(CONCATENATE("000",A1220),6),3)))</f>
        <v>249-903</v>
      </c>
      <c r="C1220" s="2043">
        <v>2501715</v>
      </c>
    </row>
    <row r="1221" spans="1:3" ht="14.5">
      <c r="A1221" s="41" t="s">
        <v>5312</v>
      </c>
      <c r="B1221" s="380" t="str">
        <f t="shared" si="19"/>
        <v>249-904</v>
      </c>
      <c r="C1221" s="2043">
        <v>1111546</v>
      </c>
    </row>
    <row r="1222" spans="1:3" ht="14.5">
      <c r="A1222" s="41" t="s">
        <v>5313</v>
      </c>
      <c r="B1222" s="380" t="str">
        <f t="shared" si="19"/>
        <v>249-905</v>
      </c>
      <c r="C1222" s="2043">
        <v>5714600</v>
      </c>
    </row>
    <row r="1223" spans="1:3" ht="14.5">
      <c r="A1223" s="41" t="s">
        <v>3272</v>
      </c>
      <c r="B1223" s="380" t="str">
        <f t="shared" si="19"/>
        <v>249-906</v>
      </c>
      <c r="C1223" s="2043">
        <v>1083312</v>
      </c>
    </row>
    <row r="1224" spans="1:3" ht="14.5">
      <c r="A1224" s="41" t="s">
        <v>3273</v>
      </c>
      <c r="B1224" s="380" t="str">
        <f t="shared" si="19"/>
        <v>249-908</v>
      </c>
      <c r="C1224" s="2043">
        <v>197960</v>
      </c>
    </row>
    <row r="1225" spans="1:3" ht="14.5">
      <c r="A1225" s="41" t="s">
        <v>5314</v>
      </c>
      <c r="B1225" s="380" t="str">
        <f t="shared" si="19"/>
        <v>250-902</v>
      </c>
      <c r="C1225" s="2043">
        <v>1513166</v>
      </c>
    </row>
    <row r="1226" spans="1:3" ht="14.5">
      <c r="A1226" s="41" t="s">
        <v>5900</v>
      </c>
      <c r="B1226" s="380" t="str">
        <f t="shared" si="19"/>
        <v>250-903</v>
      </c>
      <c r="C1226" s="2043">
        <v>0</v>
      </c>
    </row>
    <row r="1227" spans="1:3" ht="14.5">
      <c r="A1227" s="41" t="s">
        <v>5315</v>
      </c>
      <c r="B1227" s="380" t="str">
        <f t="shared" si="19"/>
        <v>250-904</v>
      </c>
      <c r="C1227" s="2043">
        <v>502800</v>
      </c>
    </row>
    <row r="1228" spans="1:3" ht="14.5">
      <c r="A1228" s="41" t="s">
        <v>5316</v>
      </c>
      <c r="B1228" s="380" t="str">
        <f t="shared" si="19"/>
        <v>250-905</v>
      </c>
      <c r="C1228" s="2043">
        <v>0</v>
      </c>
    </row>
    <row r="1229" spans="1:3" ht="14.5">
      <c r="A1229" s="41" t="s">
        <v>5317</v>
      </c>
      <c r="B1229" s="380" t="str">
        <f t="shared" si="19"/>
        <v>250-906</v>
      </c>
      <c r="C1229" s="2043">
        <v>139638</v>
      </c>
    </row>
    <row r="1230" spans="1:3" ht="14.5">
      <c r="A1230" s="41" t="s">
        <v>5901</v>
      </c>
      <c r="B1230" s="380" t="str">
        <f t="shared" si="19"/>
        <v>250-907</v>
      </c>
      <c r="C1230" s="2043">
        <v>0</v>
      </c>
    </row>
    <row r="1231" spans="1:3" ht="14.5">
      <c r="A1231" s="41" t="s">
        <v>5318</v>
      </c>
      <c r="B1231" s="380" t="str">
        <f t="shared" si="19"/>
        <v>251-901</v>
      </c>
      <c r="C1231" s="2043">
        <v>1227300</v>
      </c>
    </row>
    <row r="1232" spans="1:3" ht="14.5">
      <c r="A1232" s="41" t="s">
        <v>5319</v>
      </c>
      <c r="B1232" s="380" t="str">
        <f t="shared" si="19"/>
        <v>251-902</v>
      </c>
      <c r="C1232" s="2043">
        <v>3519250</v>
      </c>
    </row>
    <row r="1233" spans="1:3" ht="14.5">
      <c r="A1233" s="41" t="s">
        <v>3274</v>
      </c>
      <c r="B1233" s="380" t="str">
        <f t="shared" si="19"/>
        <v>252-901</v>
      </c>
      <c r="C1233" s="2043">
        <v>2544580</v>
      </c>
    </row>
    <row r="1234" spans="1:3" ht="14.5">
      <c r="A1234" s="41" t="s">
        <v>5320</v>
      </c>
      <c r="B1234" s="380" t="str">
        <f t="shared" si="19"/>
        <v>252-902</v>
      </c>
      <c r="C1234" s="2043">
        <v>320218</v>
      </c>
    </row>
    <row r="1235" spans="1:3" ht="14.5">
      <c r="A1235" s="41" t="s">
        <v>3275</v>
      </c>
      <c r="B1235" s="380" t="str">
        <f t="shared" si="19"/>
        <v>252-903</v>
      </c>
      <c r="C1235" s="2043">
        <v>187600</v>
      </c>
    </row>
    <row r="1236" spans="1:3" ht="14.5">
      <c r="A1236" s="41" t="s">
        <v>5902</v>
      </c>
      <c r="B1236" s="380" t="str">
        <f t="shared" si="19"/>
        <v>253-901</v>
      </c>
      <c r="C1236" s="2043">
        <v>0</v>
      </c>
    </row>
    <row r="1237" spans="1:3" ht="14.5">
      <c r="A1237" s="41" t="s">
        <v>3276</v>
      </c>
      <c r="B1237" s="380" t="str">
        <f t="shared" si="19"/>
        <v>254-901</v>
      </c>
      <c r="C1237" s="2043">
        <v>3667875</v>
      </c>
    </row>
    <row r="1238" spans="1:3" ht="14.5">
      <c r="A1238" s="41" t="s">
        <v>3277</v>
      </c>
      <c r="B1238" s="380" t="str">
        <f t="shared" si="19"/>
        <v>254-902</v>
      </c>
      <c r="C1238" s="2043">
        <v>173650</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E1014"/>
  <sheetViews>
    <sheetView workbookViewId="0">
      <selection activeCell="B1" sqref="B1"/>
    </sheetView>
  </sheetViews>
  <sheetFormatPr defaultRowHeight="12.5"/>
  <cols>
    <col min="1" max="2" width="10.6328125" style="1037" customWidth="1"/>
    <col min="3" max="3" width="30.6328125" style="1037" customWidth="1"/>
    <col min="4" max="4" width="15.6328125" style="1037" customWidth="1"/>
    <col min="5" max="5" width="8.7265625" style="1037"/>
  </cols>
  <sheetData>
    <row r="1" spans="1:4" ht="14.5">
      <c r="A1" s="3211">
        <v>109901</v>
      </c>
      <c r="B1" s="380" t="str">
        <f>CONCATENATE(LEFT(RIGHT(CONCATENATE("000",A1),6),3),"-",(RIGHT(RIGHT(CONCATENATE("000",A1),6),3)))</f>
        <v>109-901</v>
      </c>
      <c r="C1" s="3212" t="s">
        <v>11477</v>
      </c>
      <c r="D1" s="3213">
        <v>0.80459999999999998</v>
      </c>
    </row>
    <row r="2" spans="1:4" ht="14.5">
      <c r="A2" s="3214">
        <v>95901</v>
      </c>
      <c r="B2" s="380" t="str">
        <f>CONCATENATE(LEFT(RIGHT(CONCATENATE("000",A2),6),3),"-",(RIGHT(RIGHT(CONCATENATE("000",A2),6),3)))</f>
        <v>095-901</v>
      </c>
      <c r="C2" s="3215" t="s">
        <v>11478</v>
      </c>
      <c r="D2" s="3216">
        <v>0.80459999999999998</v>
      </c>
    </row>
    <row r="3" spans="1:4" ht="14.5">
      <c r="A3" s="3217">
        <v>221901</v>
      </c>
      <c r="B3" s="380" t="str">
        <f t="shared" ref="B3:B66" si="0">CONCATENATE(LEFT(RIGHT(CONCATENATE("000",A3),6),3),"-",(RIGHT(RIGHT(CONCATENATE("000",A3),6),3)))</f>
        <v>221-901</v>
      </c>
      <c r="C3" s="3215" t="s">
        <v>11479</v>
      </c>
      <c r="D3" s="3216">
        <v>0.83089999999999997</v>
      </c>
    </row>
    <row r="4" spans="1:4" ht="14.5">
      <c r="A4" s="3214">
        <v>14901</v>
      </c>
      <c r="B4" s="380" t="str">
        <f t="shared" si="0"/>
        <v>014-901</v>
      </c>
      <c r="C4" s="3215" t="s">
        <v>11480</v>
      </c>
      <c r="D4" s="3216">
        <v>0.80459999999999998</v>
      </c>
    </row>
    <row r="5" spans="1:4" ht="14.5">
      <c r="A5" s="3217">
        <v>180903</v>
      </c>
      <c r="B5" s="380" t="str">
        <f t="shared" si="0"/>
        <v>180-903</v>
      </c>
      <c r="C5" s="3215" t="s">
        <v>11481</v>
      </c>
      <c r="D5" s="3216">
        <v>0.88700000000000001</v>
      </c>
    </row>
    <row r="6" spans="1:4" ht="14.5">
      <c r="A6" s="3217">
        <v>178901</v>
      </c>
      <c r="B6" s="380" t="str">
        <f t="shared" si="0"/>
        <v>178-901</v>
      </c>
      <c r="C6" s="3215" t="s">
        <v>11482</v>
      </c>
      <c r="D6" s="3216">
        <v>0.80459999999999998</v>
      </c>
    </row>
    <row r="7" spans="1:4" ht="14.5">
      <c r="A7" s="3214">
        <v>15901</v>
      </c>
      <c r="B7" s="380" t="str">
        <f t="shared" si="0"/>
        <v>015-901</v>
      </c>
      <c r="C7" s="3215" t="s">
        <v>11483</v>
      </c>
      <c r="D7" s="3216">
        <v>0.85550000000000004</v>
      </c>
    </row>
    <row r="8" spans="1:4" ht="14.5">
      <c r="A8" s="3217">
        <v>250906</v>
      </c>
      <c r="B8" s="380" t="str">
        <f t="shared" si="0"/>
        <v>250-906</v>
      </c>
      <c r="C8" s="3215" t="s">
        <v>11484</v>
      </c>
      <c r="D8" s="3216">
        <v>0.80459999999999998</v>
      </c>
    </row>
    <row r="9" spans="1:4" ht="14.5">
      <c r="A9" s="3217">
        <v>209901</v>
      </c>
      <c r="B9" s="380" t="str">
        <f t="shared" si="0"/>
        <v>209-901</v>
      </c>
      <c r="C9" s="3215" t="s">
        <v>11485</v>
      </c>
      <c r="D9" s="3216">
        <v>0.89410000000000001</v>
      </c>
    </row>
    <row r="10" spans="1:4" ht="14.5">
      <c r="A10" s="3217">
        <v>101902</v>
      </c>
      <c r="B10" s="380" t="str">
        <f t="shared" si="0"/>
        <v>101-902</v>
      </c>
      <c r="C10" s="3215" t="s">
        <v>11486</v>
      </c>
      <c r="D10" s="3216">
        <v>0.80459999999999998</v>
      </c>
    </row>
    <row r="11" spans="1:4" ht="14.5">
      <c r="A11" s="3217">
        <v>184907</v>
      </c>
      <c r="B11" s="380" t="str">
        <f t="shared" si="0"/>
        <v>184-907</v>
      </c>
      <c r="C11" s="3215" t="s">
        <v>11487</v>
      </c>
      <c r="D11" s="3216">
        <v>0.80459999999999998</v>
      </c>
    </row>
    <row r="12" spans="1:4" ht="14.5">
      <c r="A12" s="3217">
        <v>125901</v>
      </c>
      <c r="B12" s="380" t="str">
        <f t="shared" si="0"/>
        <v>125-901</v>
      </c>
      <c r="C12" s="3215" t="s">
        <v>11488</v>
      </c>
      <c r="D12" s="3216">
        <v>0.89410000000000001</v>
      </c>
    </row>
    <row r="13" spans="1:4" ht="14.5">
      <c r="A13" s="3217">
        <v>101903</v>
      </c>
      <c r="B13" s="380" t="str">
        <f t="shared" si="0"/>
        <v>101-903</v>
      </c>
      <c r="C13" s="3215" t="s">
        <v>11489</v>
      </c>
      <c r="D13" s="3216">
        <v>0.84699999999999998</v>
      </c>
    </row>
    <row r="14" spans="1:4" ht="14.5">
      <c r="A14" s="3214">
        <v>43901</v>
      </c>
      <c r="B14" s="380" t="str">
        <f t="shared" si="0"/>
        <v>043-901</v>
      </c>
      <c r="C14" s="3215" t="s">
        <v>11490</v>
      </c>
      <c r="D14" s="3216">
        <v>0.82150000000000001</v>
      </c>
    </row>
    <row r="15" spans="1:4" ht="14.5">
      <c r="A15" s="3214">
        <v>22901</v>
      </c>
      <c r="B15" s="380" t="str">
        <f t="shared" si="0"/>
        <v>022-901</v>
      </c>
      <c r="C15" s="3215" t="s">
        <v>11491</v>
      </c>
      <c r="D15" s="3216">
        <v>0.80779999999999996</v>
      </c>
    </row>
    <row r="16" spans="1:4" ht="14.5">
      <c r="A16" s="3214">
        <v>37901</v>
      </c>
      <c r="B16" s="380" t="str">
        <f t="shared" si="0"/>
        <v>037-901</v>
      </c>
      <c r="C16" s="3215" t="s">
        <v>11492</v>
      </c>
      <c r="D16" s="3216">
        <v>0.80889999999999995</v>
      </c>
    </row>
    <row r="17" spans="1:4" ht="14.5">
      <c r="A17" s="3217">
        <v>126901</v>
      </c>
      <c r="B17" s="380" t="str">
        <f t="shared" si="0"/>
        <v>126-901</v>
      </c>
      <c r="C17" s="3215" t="s">
        <v>11493</v>
      </c>
      <c r="D17" s="3216">
        <v>0.80459999999999998</v>
      </c>
    </row>
    <row r="18" spans="1:4" ht="14.5">
      <c r="A18" s="3214">
        <v>20901</v>
      </c>
      <c r="B18" s="380" t="str">
        <f t="shared" si="0"/>
        <v>020-901</v>
      </c>
      <c r="C18" s="3215" t="s">
        <v>11494</v>
      </c>
      <c r="D18" s="3216">
        <v>0.80459999999999998</v>
      </c>
    </row>
    <row r="19" spans="1:4" ht="14.5">
      <c r="A19" s="3217">
        <v>249901</v>
      </c>
      <c r="B19" s="380" t="str">
        <f t="shared" si="0"/>
        <v>249-901</v>
      </c>
      <c r="C19" s="3215" t="s">
        <v>11495</v>
      </c>
      <c r="D19" s="3216">
        <v>0.80459999999999998</v>
      </c>
    </row>
    <row r="20" spans="1:4" ht="14.5">
      <c r="A20" s="3217">
        <v>188901</v>
      </c>
      <c r="B20" s="380" t="str">
        <f t="shared" si="0"/>
        <v>188-901</v>
      </c>
      <c r="C20" s="3215" t="s">
        <v>11496</v>
      </c>
      <c r="D20" s="3216">
        <v>0.84570000000000001</v>
      </c>
    </row>
    <row r="21" spans="1:4" ht="14.5">
      <c r="A21" s="3217">
        <v>140901</v>
      </c>
      <c r="B21" s="380" t="str">
        <f t="shared" si="0"/>
        <v>140-901</v>
      </c>
      <c r="C21" s="3215" t="s">
        <v>11497</v>
      </c>
      <c r="D21" s="3216">
        <v>0.89410000000000001</v>
      </c>
    </row>
    <row r="22" spans="1:4" ht="14.5">
      <c r="A22" s="3214">
        <v>36901</v>
      </c>
      <c r="B22" s="380" t="str">
        <f t="shared" si="0"/>
        <v>036-901</v>
      </c>
      <c r="C22" s="3215" t="s">
        <v>11498</v>
      </c>
      <c r="D22" s="3216">
        <v>0.80459999999999998</v>
      </c>
    </row>
    <row r="23" spans="1:4" ht="14.5">
      <c r="A23" s="3214">
        <v>93901</v>
      </c>
      <c r="B23" s="380" t="str">
        <f t="shared" si="0"/>
        <v>093-901</v>
      </c>
      <c r="C23" s="3215" t="s">
        <v>11499</v>
      </c>
      <c r="D23" s="3216">
        <v>0.80459999999999998</v>
      </c>
    </row>
    <row r="24" spans="1:4" ht="14.5">
      <c r="A24" s="3214">
        <v>2901</v>
      </c>
      <c r="B24" s="380" t="str">
        <f t="shared" si="0"/>
        <v>002-901</v>
      </c>
      <c r="C24" s="3215" t="s">
        <v>11500</v>
      </c>
      <c r="D24" s="3216">
        <v>0.80459999999999998</v>
      </c>
    </row>
    <row r="25" spans="1:4" ht="14.5">
      <c r="A25" s="3214">
        <v>20902</v>
      </c>
      <c r="B25" s="380" t="str">
        <f t="shared" si="0"/>
        <v>020-902</v>
      </c>
      <c r="C25" s="3215" t="s">
        <v>11501</v>
      </c>
      <c r="D25" s="3216">
        <v>0.80459999999999998</v>
      </c>
    </row>
    <row r="26" spans="1:4" ht="14.5">
      <c r="A26" s="3214">
        <v>43902</v>
      </c>
      <c r="B26" s="380" t="str">
        <f t="shared" si="0"/>
        <v>043-902</v>
      </c>
      <c r="C26" s="3215" t="s">
        <v>11502</v>
      </c>
      <c r="D26" s="3216">
        <v>0.80459999999999998</v>
      </c>
    </row>
    <row r="27" spans="1:4" ht="14.5">
      <c r="A27" s="3217">
        <v>127901</v>
      </c>
      <c r="B27" s="380" t="str">
        <f t="shared" si="0"/>
        <v>127-901</v>
      </c>
      <c r="C27" s="3215" t="s">
        <v>11503</v>
      </c>
      <c r="D27" s="3216">
        <v>0.80459999999999998</v>
      </c>
    </row>
    <row r="28" spans="1:4" ht="14.5">
      <c r="A28" s="3214">
        <v>71906</v>
      </c>
      <c r="B28" s="380" t="str">
        <f t="shared" si="0"/>
        <v>071-906</v>
      </c>
      <c r="C28" s="3215" t="s">
        <v>11504</v>
      </c>
      <c r="D28" s="3216">
        <v>0.8216</v>
      </c>
    </row>
    <row r="29" spans="1:4" ht="14.5">
      <c r="A29" s="3217">
        <v>110901</v>
      </c>
      <c r="B29" s="380" t="str">
        <f t="shared" si="0"/>
        <v>110-901</v>
      </c>
      <c r="C29" s="3215" t="s">
        <v>11505</v>
      </c>
      <c r="D29" s="3216">
        <v>0.80459999999999998</v>
      </c>
    </row>
    <row r="30" spans="1:4" ht="14.5">
      <c r="A30" s="3217">
        <v>228905</v>
      </c>
      <c r="B30" s="380" t="str">
        <f t="shared" si="0"/>
        <v>228-905</v>
      </c>
      <c r="C30" s="3215" t="s">
        <v>11506</v>
      </c>
      <c r="D30" s="3216">
        <v>0.8145</v>
      </c>
    </row>
    <row r="31" spans="1:4" ht="14.5">
      <c r="A31" s="3217">
        <v>109912</v>
      </c>
      <c r="B31" s="380" t="str">
        <f t="shared" si="0"/>
        <v>109-912</v>
      </c>
      <c r="C31" s="3215" t="s">
        <v>11507</v>
      </c>
      <c r="D31" s="3216">
        <v>0.80459999999999998</v>
      </c>
    </row>
    <row r="32" spans="1:4" ht="14.5">
      <c r="A32" s="3214">
        <v>4901</v>
      </c>
      <c r="B32" s="380" t="str">
        <f t="shared" si="0"/>
        <v>004-901</v>
      </c>
      <c r="C32" s="3215" t="s">
        <v>11508</v>
      </c>
      <c r="D32" s="3216">
        <v>0.80459999999999998</v>
      </c>
    </row>
    <row r="33" spans="1:4" ht="14.5">
      <c r="A33" s="3217">
        <v>205901</v>
      </c>
      <c r="B33" s="380" t="str">
        <f t="shared" si="0"/>
        <v>205-901</v>
      </c>
      <c r="C33" s="3215" t="s">
        <v>11509</v>
      </c>
      <c r="D33" s="3216">
        <v>0.80459999999999998</v>
      </c>
    </row>
    <row r="34" spans="1:4" ht="14.5">
      <c r="A34" s="3214">
        <v>5901</v>
      </c>
      <c r="B34" s="380" t="str">
        <f t="shared" si="0"/>
        <v>005-901</v>
      </c>
      <c r="C34" s="3215" t="s">
        <v>11510</v>
      </c>
      <c r="D34" s="3216">
        <v>0.83130000000000004</v>
      </c>
    </row>
    <row r="35" spans="1:4" ht="14.5">
      <c r="A35" s="3214">
        <v>61910</v>
      </c>
      <c r="B35" s="380" t="str">
        <f t="shared" si="0"/>
        <v>061-910</v>
      </c>
      <c r="C35" s="3215" t="s">
        <v>11511</v>
      </c>
      <c r="D35" s="3216">
        <v>0.80459999999999998</v>
      </c>
    </row>
    <row r="36" spans="1:4" ht="14.5">
      <c r="A36" s="3214">
        <v>220901</v>
      </c>
      <c r="B36" s="380" t="str">
        <f t="shared" si="0"/>
        <v>220-901</v>
      </c>
      <c r="C36" s="3215" t="s">
        <v>11512</v>
      </c>
      <c r="D36" s="3216">
        <v>0.83799999999999997</v>
      </c>
    </row>
    <row r="37" spans="1:4" ht="14.5">
      <c r="A37" s="3214">
        <v>212901</v>
      </c>
      <c r="B37" s="380" t="str">
        <f t="shared" si="0"/>
        <v>212-901</v>
      </c>
      <c r="C37" s="3215" t="s">
        <v>11513</v>
      </c>
      <c r="D37" s="3216">
        <v>0.80459999999999998</v>
      </c>
    </row>
    <row r="38" spans="1:4" ht="14.5">
      <c r="A38" s="3214">
        <v>217901</v>
      </c>
      <c r="B38" s="380" t="str">
        <f t="shared" si="0"/>
        <v>217-901</v>
      </c>
      <c r="C38" s="3215" t="s">
        <v>11514</v>
      </c>
      <c r="D38" s="3216">
        <v>0.80459999999999998</v>
      </c>
    </row>
    <row r="39" spans="1:4" ht="14.5">
      <c r="A39" s="3214">
        <v>107901</v>
      </c>
      <c r="B39" s="380" t="str">
        <f t="shared" si="0"/>
        <v>107-901</v>
      </c>
      <c r="C39" s="3215" t="s">
        <v>11515</v>
      </c>
      <c r="D39" s="3216">
        <v>0.80459999999999998</v>
      </c>
    </row>
    <row r="40" spans="1:4" ht="14.5">
      <c r="A40" s="3214">
        <v>34901</v>
      </c>
      <c r="B40" s="380" t="str">
        <f t="shared" si="0"/>
        <v>034-901</v>
      </c>
      <c r="C40" s="3215" t="s">
        <v>11516</v>
      </c>
      <c r="D40" s="3216">
        <v>0.83089999999999997</v>
      </c>
    </row>
    <row r="41" spans="1:4" ht="14.5">
      <c r="A41" s="3214">
        <v>61907</v>
      </c>
      <c r="B41" s="380" t="str">
        <f t="shared" si="0"/>
        <v>061-907</v>
      </c>
      <c r="C41" s="3215" t="s">
        <v>11517</v>
      </c>
      <c r="D41" s="3216">
        <v>0.80459999999999998</v>
      </c>
    </row>
    <row r="42" spans="1:4" ht="14.5">
      <c r="A42" s="3214">
        <v>227901</v>
      </c>
      <c r="B42" s="380" t="str">
        <f t="shared" si="0"/>
        <v>227-901</v>
      </c>
      <c r="C42" s="3215" t="s">
        <v>11518</v>
      </c>
      <c r="D42" s="3216">
        <v>0.80459999999999998</v>
      </c>
    </row>
    <row r="43" spans="1:4" ht="14.5">
      <c r="A43" s="3214">
        <v>196901</v>
      </c>
      <c r="B43" s="380" t="str">
        <f t="shared" si="0"/>
        <v>196-901</v>
      </c>
      <c r="C43" s="3215" t="s">
        <v>11519</v>
      </c>
      <c r="D43" s="3216">
        <v>0.80459999999999998</v>
      </c>
    </row>
    <row r="44" spans="1:4" ht="14.5">
      <c r="A44" s="3214">
        <v>70901</v>
      </c>
      <c r="B44" s="380" t="str">
        <f t="shared" si="0"/>
        <v>070-901</v>
      </c>
      <c r="C44" s="3215" t="s">
        <v>11520</v>
      </c>
      <c r="D44" s="3216">
        <v>0.80459999999999998</v>
      </c>
    </row>
    <row r="45" spans="1:4" ht="14.5">
      <c r="A45" s="3214">
        <v>194902</v>
      </c>
      <c r="B45" s="380" t="str">
        <f t="shared" si="0"/>
        <v>194-902</v>
      </c>
      <c r="C45" s="3215" t="s">
        <v>11521</v>
      </c>
      <c r="D45" s="3216">
        <v>0.80459999999999998</v>
      </c>
    </row>
    <row r="46" spans="1:4" ht="14.5">
      <c r="A46" s="3214">
        <v>34902</v>
      </c>
      <c r="B46" s="380" t="str">
        <f t="shared" si="0"/>
        <v>034-902</v>
      </c>
      <c r="C46" s="3215" t="s">
        <v>11522</v>
      </c>
      <c r="D46" s="3216">
        <v>0.80459999999999998</v>
      </c>
    </row>
    <row r="47" spans="1:4" ht="14.5">
      <c r="A47" s="3214">
        <v>161918</v>
      </c>
      <c r="B47" s="380" t="str">
        <f t="shared" si="0"/>
        <v>161-918</v>
      </c>
      <c r="C47" s="3215" t="s">
        <v>11523</v>
      </c>
      <c r="D47" s="3216">
        <v>0.80459999999999998</v>
      </c>
    </row>
    <row r="48" spans="1:4" ht="14.5">
      <c r="A48" s="3214">
        <v>220915</v>
      </c>
      <c r="B48" s="380" t="str">
        <f t="shared" si="0"/>
        <v>220-915</v>
      </c>
      <c r="C48" s="3215" t="s">
        <v>11524</v>
      </c>
      <c r="D48" s="3216">
        <v>0.80459999999999998</v>
      </c>
    </row>
    <row r="49" spans="1:4" ht="14.5">
      <c r="A49" s="3214">
        <v>30903</v>
      </c>
      <c r="B49" s="380" t="str">
        <f t="shared" si="0"/>
        <v>030-903</v>
      </c>
      <c r="C49" s="3215" t="s">
        <v>11525</v>
      </c>
      <c r="D49" s="3216">
        <v>0.80459999999999998</v>
      </c>
    </row>
    <row r="50" spans="1:4" ht="14.5">
      <c r="A50" s="3214">
        <v>200901</v>
      </c>
      <c r="B50" s="380" t="str">
        <f t="shared" si="0"/>
        <v>200-901</v>
      </c>
      <c r="C50" s="3215" t="s">
        <v>11526</v>
      </c>
      <c r="D50" s="3216">
        <v>0.80459999999999998</v>
      </c>
    </row>
    <row r="51" spans="1:4" ht="14.5">
      <c r="A51" s="3214">
        <v>195902</v>
      </c>
      <c r="B51" s="380" t="str">
        <f t="shared" si="0"/>
        <v>195-902</v>
      </c>
      <c r="C51" s="3215" t="s">
        <v>11527</v>
      </c>
      <c r="D51" s="3216">
        <v>0.80459999999999998</v>
      </c>
    </row>
    <row r="52" spans="1:4" ht="14.5">
      <c r="A52" s="3214">
        <v>10902</v>
      </c>
      <c r="B52" s="380" t="str">
        <f t="shared" si="0"/>
        <v>010-902</v>
      </c>
      <c r="C52" s="3215" t="s">
        <v>11528</v>
      </c>
      <c r="D52" s="3216">
        <v>0.80459999999999998</v>
      </c>
    </row>
    <row r="53" spans="1:4" ht="14.5">
      <c r="A53" s="3214">
        <v>25901</v>
      </c>
      <c r="B53" s="380" t="str">
        <f t="shared" si="0"/>
        <v>025-901</v>
      </c>
      <c r="C53" s="3215" t="s">
        <v>11529</v>
      </c>
      <c r="D53" s="3216">
        <v>0.80459999999999998</v>
      </c>
    </row>
    <row r="54" spans="1:4" ht="14.5">
      <c r="A54" s="3214">
        <v>178913</v>
      </c>
      <c r="B54" s="380" t="str">
        <f t="shared" si="0"/>
        <v>178-913</v>
      </c>
      <c r="C54" s="3215" t="s">
        <v>11530</v>
      </c>
      <c r="D54" s="3216">
        <v>0.80459999999999998</v>
      </c>
    </row>
    <row r="55" spans="1:4" ht="14.5">
      <c r="A55" s="3214">
        <v>36902</v>
      </c>
      <c r="B55" s="380" t="str">
        <f t="shared" si="0"/>
        <v>036-902</v>
      </c>
      <c r="C55" s="3215" t="s">
        <v>11531</v>
      </c>
      <c r="D55" s="3216">
        <v>0.80459999999999998</v>
      </c>
    </row>
    <row r="56" spans="1:4" ht="14.5">
      <c r="A56" s="3214">
        <v>14902</v>
      </c>
      <c r="B56" s="380" t="str">
        <f t="shared" si="0"/>
        <v>014-902</v>
      </c>
      <c r="C56" s="3215" t="s">
        <v>11532</v>
      </c>
      <c r="D56" s="3216">
        <v>0.80459999999999998</v>
      </c>
    </row>
    <row r="57" spans="1:4" ht="14.5">
      <c r="A57" s="3214">
        <v>11901</v>
      </c>
      <c r="B57" s="380" t="str">
        <f t="shared" si="0"/>
        <v>011-901</v>
      </c>
      <c r="C57" s="3215" t="s">
        <v>11533</v>
      </c>
      <c r="D57" s="3216">
        <v>0.80459999999999998</v>
      </c>
    </row>
    <row r="58" spans="1:4" ht="14.5">
      <c r="A58" s="3214">
        <v>158901</v>
      </c>
      <c r="B58" s="380" t="str">
        <f t="shared" si="0"/>
        <v>158-901</v>
      </c>
      <c r="C58" s="3215" t="s">
        <v>11534</v>
      </c>
      <c r="D58" s="3216">
        <v>0.82620000000000005</v>
      </c>
    </row>
    <row r="59" spans="1:4" ht="14.5">
      <c r="A59" s="3214">
        <v>123910</v>
      </c>
      <c r="B59" s="380" t="str">
        <f t="shared" si="0"/>
        <v>123-910</v>
      </c>
      <c r="C59" s="3215" t="s">
        <v>11535</v>
      </c>
      <c r="D59" s="3216">
        <v>0.82940000000000003</v>
      </c>
    </row>
    <row r="60" spans="1:4" ht="14.5">
      <c r="A60" s="3214">
        <v>183901</v>
      </c>
      <c r="B60" s="380" t="str">
        <f t="shared" si="0"/>
        <v>183-901</v>
      </c>
      <c r="C60" s="3215" t="s">
        <v>11536</v>
      </c>
      <c r="D60" s="3216">
        <v>0.80459999999999998</v>
      </c>
    </row>
    <row r="61" spans="1:4" ht="14.5">
      <c r="A61" s="3214">
        <v>13901</v>
      </c>
      <c r="B61" s="380" t="str">
        <f t="shared" si="0"/>
        <v>013-901</v>
      </c>
      <c r="C61" s="3215" t="s">
        <v>11537</v>
      </c>
      <c r="D61" s="3216">
        <v>0.83199999999999996</v>
      </c>
    </row>
    <row r="62" spans="1:4" ht="14.5">
      <c r="A62" s="3214">
        <v>39904</v>
      </c>
      <c r="B62" s="380" t="str">
        <f t="shared" si="0"/>
        <v>039-904</v>
      </c>
      <c r="C62" s="3215" t="s">
        <v>11538</v>
      </c>
      <c r="D62" s="3216">
        <v>0.88780000000000003</v>
      </c>
    </row>
    <row r="63" spans="1:4" ht="14.5">
      <c r="A63" s="3214">
        <v>91901</v>
      </c>
      <c r="B63" s="380" t="str">
        <f t="shared" si="0"/>
        <v>091-901</v>
      </c>
      <c r="C63" s="3215" t="s">
        <v>11539</v>
      </c>
      <c r="D63" s="3216">
        <v>0.80459999999999998</v>
      </c>
    </row>
    <row r="64" spans="1:4" ht="14.5">
      <c r="A64" s="3214">
        <v>8901</v>
      </c>
      <c r="B64" s="380" t="str">
        <f t="shared" si="0"/>
        <v>008-901</v>
      </c>
      <c r="C64" s="3215" t="s">
        <v>11540</v>
      </c>
      <c r="D64" s="3216">
        <v>0.83579999999999999</v>
      </c>
    </row>
    <row r="65" spans="1:4" ht="14.5">
      <c r="A65" s="3214">
        <v>14903</v>
      </c>
      <c r="B65" s="380" t="str">
        <f t="shared" si="0"/>
        <v>014-903</v>
      </c>
      <c r="C65" s="3215" t="s">
        <v>11541</v>
      </c>
      <c r="D65" s="3216">
        <v>0.80459999999999998</v>
      </c>
    </row>
    <row r="66" spans="1:4" ht="14.5">
      <c r="A66" s="3214">
        <v>125902</v>
      </c>
      <c r="B66" s="380" t="str">
        <f t="shared" si="0"/>
        <v>125-902</v>
      </c>
      <c r="C66" s="3215" t="s">
        <v>11542</v>
      </c>
      <c r="D66" s="3216">
        <v>0.89239999999999997</v>
      </c>
    </row>
    <row r="67" spans="1:4" ht="14.5">
      <c r="A67" s="3214">
        <v>66901</v>
      </c>
      <c r="B67" s="380" t="str">
        <f t="shared" ref="B67:B130" si="1">CONCATENATE(LEFT(RIGHT(CONCATENATE("000",A67),6),3),"-",(RIGHT(RIGHT(CONCATENATE("000",A67),6),3)))</f>
        <v>066-901</v>
      </c>
      <c r="C67" s="3215" t="s">
        <v>11543</v>
      </c>
      <c r="D67" s="3216">
        <v>0.85029999999999994</v>
      </c>
    </row>
    <row r="68" spans="1:4" ht="14.5">
      <c r="A68" s="3214">
        <v>138904</v>
      </c>
      <c r="B68" s="380" t="str">
        <f t="shared" si="1"/>
        <v>138-904</v>
      </c>
      <c r="C68" s="3215" t="s">
        <v>11544</v>
      </c>
      <c r="D68" s="3216">
        <v>0.80459999999999998</v>
      </c>
    </row>
    <row r="69" spans="1:4" ht="14.5">
      <c r="A69" s="3214">
        <v>230901</v>
      </c>
      <c r="B69" s="380" t="str">
        <f t="shared" si="1"/>
        <v>230-901</v>
      </c>
      <c r="C69" s="3215" t="s">
        <v>11545</v>
      </c>
      <c r="D69" s="3216">
        <v>0.80459999999999998</v>
      </c>
    </row>
    <row r="70" spans="1:4" ht="14.5">
      <c r="A70" s="3214">
        <v>187901</v>
      </c>
      <c r="B70" s="380" t="str">
        <f t="shared" si="1"/>
        <v>187-901</v>
      </c>
      <c r="C70" s="3215" t="s">
        <v>11545</v>
      </c>
      <c r="D70" s="3216">
        <v>0.81620000000000004</v>
      </c>
    </row>
    <row r="71" spans="1:4" ht="14.5">
      <c r="A71" s="3214">
        <v>114901</v>
      </c>
      <c r="B71" s="380" t="str">
        <f t="shared" si="1"/>
        <v>114-901</v>
      </c>
      <c r="C71" s="3215" t="s">
        <v>11546</v>
      </c>
      <c r="D71" s="3216">
        <v>0.80459999999999998</v>
      </c>
    </row>
    <row r="72" spans="1:4" ht="14.5">
      <c r="A72" s="3214">
        <v>220902</v>
      </c>
      <c r="B72" s="380" t="str">
        <f t="shared" si="1"/>
        <v>220-902</v>
      </c>
      <c r="C72" s="3215" t="s">
        <v>11547</v>
      </c>
      <c r="D72" s="3216">
        <v>0.81589999999999996</v>
      </c>
    </row>
    <row r="73" spans="1:4" ht="14.5">
      <c r="A73" s="3214">
        <v>178902</v>
      </c>
      <c r="B73" s="380" t="str">
        <f t="shared" si="1"/>
        <v>178-902</v>
      </c>
      <c r="C73" s="3215" t="s">
        <v>11548</v>
      </c>
      <c r="D73" s="3216">
        <v>0.81759999999999999</v>
      </c>
    </row>
    <row r="74" spans="1:4" ht="14.5">
      <c r="A74" s="3214">
        <v>177903</v>
      </c>
      <c r="B74" s="380" t="str">
        <f t="shared" si="1"/>
        <v>177-903</v>
      </c>
      <c r="C74" s="3215" t="s">
        <v>11549</v>
      </c>
      <c r="D74" s="3216">
        <v>0.87790000000000001</v>
      </c>
    </row>
    <row r="75" spans="1:4" ht="14.5">
      <c r="A75" s="3214">
        <v>16902</v>
      </c>
      <c r="B75" s="380" t="str">
        <f t="shared" si="1"/>
        <v>016-902</v>
      </c>
      <c r="C75" s="3215" t="s">
        <v>11550</v>
      </c>
      <c r="D75" s="3216">
        <v>0.80459999999999998</v>
      </c>
    </row>
    <row r="76" spans="1:4" ht="14.5">
      <c r="A76" s="3214">
        <v>116915</v>
      </c>
      <c r="B76" s="380" t="str">
        <f t="shared" si="1"/>
        <v>116-915</v>
      </c>
      <c r="C76" s="3215" t="s">
        <v>11551</v>
      </c>
      <c r="D76" s="3216">
        <v>0.80459999999999998</v>
      </c>
    </row>
    <row r="77" spans="1:4" ht="14.5">
      <c r="A77" s="3214">
        <v>25904</v>
      </c>
      <c r="B77" s="380" t="str">
        <f t="shared" si="1"/>
        <v>025-904</v>
      </c>
      <c r="C77" s="3215" t="s">
        <v>11552</v>
      </c>
      <c r="D77" s="3216">
        <v>0.83079999999999998</v>
      </c>
    </row>
    <row r="78" spans="1:4" ht="14.5">
      <c r="A78" s="3214">
        <v>34909</v>
      </c>
      <c r="B78" s="380" t="str">
        <f t="shared" si="1"/>
        <v>034-909</v>
      </c>
      <c r="C78" s="3215" t="s">
        <v>11553</v>
      </c>
      <c r="D78" s="3216">
        <v>0.80459999999999998</v>
      </c>
    </row>
    <row r="79" spans="1:4" ht="14.5">
      <c r="A79" s="3214">
        <v>175902</v>
      </c>
      <c r="B79" s="380" t="str">
        <f t="shared" si="1"/>
        <v>175-902</v>
      </c>
      <c r="C79" s="3215" t="s">
        <v>11554</v>
      </c>
      <c r="D79" s="3216">
        <v>0.80459999999999998</v>
      </c>
    </row>
    <row r="80" spans="1:4" ht="14.5">
      <c r="A80" s="3214">
        <v>235901</v>
      </c>
      <c r="B80" s="380" t="str">
        <f t="shared" si="1"/>
        <v>235-901</v>
      </c>
      <c r="C80" s="3215" t="s">
        <v>11555</v>
      </c>
      <c r="D80" s="3216">
        <v>0.80459999999999998</v>
      </c>
    </row>
    <row r="81" spans="1:4" ht="14.5">
      <c r="A81" s="3214">
        <v>43917</v>
      </c>
      <c r="B81" s="380" t="str">
        <f t="shared" si="1"/>
        <v>043-917</v>
      </c>
      <c r="C81" s="3215" t="s">
        <v>11556</v>
      </c>
      <c r="D81" s="3216">
        <v>0.80459999999999998</v>
      </c>
    </row>
    <row r="82" spans="1:4" ht="14.5">
      <c r="A82" s="3214">
        <v>72904</v>
      </c>
      <c r="B82" s="380" t="str">
        <f t="shared" si="1"/>
        <v>072-904</v>
      </c>
      <c r="C82" s="3215" t="s">
        <v>11557</v>
      </c>
      <c r="D82" s="3216">
        <v>0.80459999999999998</v>
      </c>
    </row>
    <row r="83" spans="1:4" ht="14.5">
      <c r="A83" s="3214">
        <v>109913</v>
      </c>
      <c r="B83" s="380" t="str">
        <f t="shared" si="1"/>
        <v>109-913</v>
      </c>
      <c r="C83" s="3215" t="s">
        <v>11558</v>
      </c>
      <c r="D83" s="3216">
        <v>0.80459999999999998</v>
      </c>
    </row>
    <row r="84" spans="1:4" ht="14.5">
      <c r="A84" s="3214">
        <v>130901</v>
      </c>
      <c r="B84" s="380" t="str">
        <f t="shared" si="1"/>
        <v>130-901</v>
      </c>
      <c r="C84" s="3215" t="s">
        <v>11559</v>
      </c>
      <c r="D84" s="3216">
        <v>0.80459999999999998</v>
      </c>
    </row>
    <row r="85" spans="1:4" ht="14.5">
      <c r="A85" s="3214">
        <v>116916</v>
      </c>
      <c r="B85" s="380" t="str">
        <f t="shared" si="1"/>
        <v>116-916</v>
      </c>
      <c r="C85" s="3215" t="s">
        <v>11560</v>
      </c>
      <c r="D85" s="3216">
        <v>0.80459999999999998</v>
      </c>
    </row>
    <row r="86" spans="1:4" ht="14.5">
      <c r="A86" s="3214">
        <v>241901</v>
      </c>
      <c r="B86" s="380" t="str">
        <f t="shared" si="1"/>
        <v>241-901</v>
      </c>
      <c r="C86" s="3215" t="s">
        <v>11561</v>
      </c>
      <c r="D86" s="3216">
        <v>0.86060000000000003</v>
      </c>
    </row>
    <row r="87" spans="1:4" ht="14.5">
      <c r="A87" s="3214">
        <v>74903</v>
      </c>
      <c r="B87" s="380" t="str">
        <f t="shared" si="1"/>
        <v>074-903</v>
      </c>
      <c r="C87" s="3215" t="s">
        <v>11562</v>
      </c>
      <c r="D87" s="3216">
        <v>0.80459999999999998</v>
      </c>
    </row>
    <row r="88" spans="1:4" ht="14.5">
      <c r="A88" s="3214">
        <v>148901</v>
      </c>
      <c r="B88" s="380" t="str">
        <f t="shared" si="1"/>
        <v>148-901</v>
      </c>
      <c r="C88" s="3215" t="s">
        <v>11563</v>
      </c>
      <c r="D88" s="3216">
        <v>0.80459999999999998</v>
      </c>
    </row>
    <row r="89" spans="1:4" ht="14.5">
      <c r="A89" s="3214">
        <v>17901</v>
      </c>
      <c r="B89" s="380" t="str">
        <f t="shared" si="1"/>
        <v>017-901</v>
      </c>
      <c r="C89" s="3215" t="s">
        <v>11564</v>
      </c>
      <c r="D89" s="3216">
        <v>0.80459999999999998</v>
      </c>
    </row>
    <row r="90" spans="1:4" ht="14.5">
      <c r="A90" s="3214">
        <v>117901</v>
      </c>
      <c r="B90" s="380" t="str">
        <f t="shared" si="1"/>
        <v>117-901</v>
      </c>
      <c r="C90" s="3215" t="s">
        <v>11565</v>
      </c>
      <c r="D90" s="3216">
        <v>0.80459999999999998</v>
      </c>
    </row>
    <row r="91" spans="1:4" ht="14.5">
      <c r="A91" s="3214">
        <v>161923</v>
      </c>
      <c r="B91" s="380" t="str">
        <f t="shared" si="1"/>
        <v>161-923</v>
      </c>
      <c r="C91" s="3215" t="s">
        <v>11566</v>
      </c>
      <c r="D91" s="3216">
        <v>0.80459999999999998</v>
      </c>
    </row>
    <row r="92" spans="1:4" ht="14.5">
      <c r="A92" s="3214">
        <v>185901</v>
      </c>
      <c r="B92" s="380" t="str">
        <f t="shared" si="1"/>
        <v>185-901</v>
      </c>
      <c r="C92" s="3215" t="s">
        <v>11567</v>
      </c>
      <c r="D92" s="3216">
        <v>0.85009999999999997</v>
      </c>
    </row>
    <row r="93" spans="1:4" ht="14.5">
      <c r="A93" s="3214">
        <v>169901</v>
      </c>
      <c r="B93" s="380" t="str">
        <f t="shared" si="1"/>
        <v>169-901</v>
      </c>
      <c r="C93" s="3215" t="s">
        <v>11568</v>
      </c>
      <c r="D93" s="3216">
        <v>0.80459999999999998</v>
      </c>
    </row>
    <row r="94" spans="1:4" ht="14.5">
      <c r="A94" s="3214">
        <v>249902</v>
      </c>
      <c r="B94" s="380" t="str">
        <f t="shared" si="1"/>
        <v>249-902</v>
      </c>
      <c r="C94" s="3215" t="s">
        <v>11569</v>
      </c>
      <c r="D94" s="3216">
        <v>0.80459999999999998</v>
      </c>
    </row>
    <row r="95" spans="1:4" ht="14.5">
      <c r="A95" s="3214">
        <v>136901</v>
      </c>
      <c r="B95" s="380" t="str">
        <f t="shared" si="1"/>
        <v>136-901</v>
      </c>
      <c r="C95" s="3215" t="s">
        <v>11570</v>
      </c>
      <c r="D95" s="3216">
        <v>0.80459999999999998</v>
      </c>
    </row>
    <row r="96" spans="1:4" ht="14.5">
      <c r="A96" s="3214">
        <v>160901</v>
      </c>
      <c r="B96" s="380" t="str">
        <f t="shared" si="1"/>
        <v>160-901</v>
      </c>
      <c r="C96" s="3215" t="s">
        <v>11571</v>
      </c>
      <c r="D96" s="3216">
        <v>0.80459999999999998</v>
      </c>
    </row>
    <row r="97" spans="1:4" ht="14.5">
      <c r="A97" s="3214">
        <v>8903</v>
      </c>
      <c r="B97" s="380" t="str">
        <f t="shared" si="1"/>
        <v>008-903</v>
      </c>
      <c r="C97" s="3215" t="s">
        <v>11572</v>
      </c>
      <c r="D97" s="3216">
        <v>0.80459999999999998</v>
      </c>
    </row>
    <row r="98" spans="1:4" ht="14.5">
      <c r="A98" s="3214">
        <v>20905</v>
      </c>
      <c r="B98" s="380" t="str">
        <f t="shared" si="1"/>
        <v>020-905</v>
      </c>
      <c r="C98" s="3215" t="s">
        <v>11573</v>
      </c>
      <c r="D98" s="3216">
        <v>0.86770000000000003</v>
      </c>
    </row>
    <row r="99" spans="1:4" ht="14.5">
      <c r="A99" s="3214">
        <v>215901</v>
      </c>
      <c r="B99" s="380" t="str">
        <f t="shared" si="1"/>
        <v>215-901</v>
      </c>
      <c r="C99" s="3215" t="s">
        <v>11574</v>
      </c>
      <c r="D99" s="3216">
        <v>0.80459999999999998</v>
      </c>
    </row>
    <row r="100" spans="1:4" ht="14.5">
      <c r="A100" s="3214">
        <v>198901</v>
      </c>
      <c r="B100" s="380" t="str">
        <f t="shared" si="1"/>
        <v>198-901</v>
      </c>
      <c r="C100" s="3215" t="s">
        <v>11575</v>
      </c>
      <c r="D100" s="3216">
        <v>0.85429999999999995</v>
      </c>
    </row>
    <row r="101" spans="1:4" ht="14.5">
      <c r="A101" s="3214">
        <v>239901</v>
      </c>
      <c r="B101" s="380" t="str">
        <f t="shared" si="1"/>
        <v>239-901</v>
      </c>
      <c r="C101" s="3215" t="s">
        <v>11576</v>
      </c>
      <c r="D101" s="3216">
        <v>0.80459999999999998</v>
      </c>
    </row>
    <row r="102" spans="1:4" ht="14.5">
      <c r="A102" s="3214">
        <v>181901</v>
      </c>
      <c r="B102" s="380" t="str">
        <f t="shared" si="1"/>
        <v>181-901</v>
      </c>
      <c r="C102" s="3215" t="s">
        <v>11577</v>
      </c>
      <c r="D102" s="3216">
        <v>0.81559999999999999</v>
      </c>
    </row>
    <row r="103" spans="1:4" ht="14.5">
      <c r="A103" s="3214">
        <v>249903</v>
      </c>
      <c r="B103" s="380" t="str">
        <f t="shared" si="1"/>
        <v>249-903</v>
      </c>
      <c r="C103" s="3215" t="s">
        <v>11578</v>
      </c>
      <c r="D103" s="3216">
        <v>0.80459999999999998</v>
      </c>
    </row>
    <row r="104" spans="1:4" ht="14.5">
      <c r="A104" s="3214">
        <v>203902</v>
      </c>
      <c r="B104" s="380" t="str">
        <f t="shared" si="1"/>
        <v>203-902</v>
      </c>
      <c r="C104" s="3215" t="s">
        <v>11579</v>
      </c>
      <c r="D104" s="3216">
        <v>0.89410000000000001</v>
      </c>
    </row>
    <row r="105" spans="1:4" ht="14.5">
      <c r="A105" s="3214">
        <v>184909</v>
      </c>
      <c r="B105" s="380" t="str">
        <f t="shared" si="1"/>
        <v>184-909</v>
      </c>
      <c r="C105" s="3215" t="s">
        <v>11580</v>
      </c>
      <c r="D105" s="3216">
        <v>0.80459999999999998</v>
      </c>
    </row>
    <row r="106" spans="1:4" ht="14.5">
      <c r="A106" s="3214">
        <v>41901</v>
      </c>
      <c r="B106" s="380" t="str">
        <f t="shared" si="1"/>
        <v>041-901</v>
      </c>
      <c r="C106" s="3215" t="s">
        <v>11581</v>
      </c>
      <c r="D106" s="3216">
        <v>0.80459999999999998</v>
      </c>
    </row>
    <row r="107" spans="1:4" ht="14.5">
      <c r="A107" s="3214">
        <v>121902</v>
      </c>
      <c r="B107" s="380" t="str">
        <f t="shared" si="1"/>
        <v>121-902</v>
      </c>
      <c r="C107" s="3215" t="s">
        <v>11582</v>
      </c>
      <c r="D107" s="3216">
        <v>0.89170000000000005</v>
      </c>
    </row>
    <row r="108" spans="1:4" ht="14.5">
      <c r="A108" s="3214">
        <v>25908</v>
      </c>
      <c r="B108" s="380" t="str">
        <f t="shared" si="1"/>
        <v>025-908</v>
      </c>
      <c r="C108" s="3215" t="s">
        <v>11583</v>
      </c>
      <c r="D108" s="3216">
        <v>0.80459999999999998</v>
      </c>
    </row>
    <row r="109" spans="1:4" ht="14.5">
      <c r="A109" s="3214">
        <v>24901</v>
      </c>
      <c r="B109" s="380" t="str">
        <f t="shared" si="1"/>
        <v>024-901</v>
      </c>
      <c r="C109" s="3215" t="s">
        <v>11584</v>
      </c>
      <c r="D109" s="3216">
        <v>0.86729999999999996</v>
      </c>
    </row>
    <row r="110" spans="1:4" ht="14.5">
      <c r="A110" s="3214">
        <v>223901</v>
      </c>
      <c r="B110" s="380" t="str">
        <f t="shared" si="1"/>
        <v>223-901</v>
      </c>
      <c r="C110" s="3215" t="s">
        <v>11585</v>
      </c>
      <c r="D110" s="3216">
        <v>0.80459999999999998</v>
      </c>
    </row>
    <row r="111" spans="1:4" ht="14.5">
      <c r="A111" s="3214">
        <v>107902</v>
      </c>
      <c r="B111" s="380" t="str">
        <f t="shared" si="1"/>
        <v>107-902</v>
      </c>
      <c r="C111" s="3215" t="s">
        <v>11586</v>
      </c>
      <c r="D111" s="3216">
        <v>0.80459999999999998</v>
      </c>
    </row>
    <row r="112" spans="1:4" ht="14.5">
      <c r="A112" s="3214">
        <v>31901</v>
      </c>
      <c r="B112" s="380" t="str">
        <f t="shared" si="1"/>
        <v>031-901</v>
      </c>
      <c r="C112" s="3215" t="s">
        <v>11587</v>
      </c>
      <c r="D112" s="3216">
        <v>0.88680000000000003</v>
      </c>
    </row>
    <row r="113" spans="1:4" ht="14.5">
      <c r="A113" s="3214">
        <v>25902</v>
      </c>
      <c r="B113" s="380" t="str">
        <f t="shared" si="1"/>
        <v>025-902</v>
      </c>
      <c r="C113" s="3215" t="s">
        <v>11588</v>
      </c>
      <c r="D113" s="3216">
        <v>0.81340000000000001</v>
      </c>
    </row>
    <row r="114" spans="1:4" ht="14.5">
      <c r="A114" s="3214">
        <v>161919</v>
      </c>
      <c r="B114" s="380" t="str">
        <f t="shared" si="1"/>
        <v>161-919</v>
      </c>
      <c r="C114" s="3215" t="s">
        <v>11589</v>
      </c>
      <c r="D114" s="3216">
        <v>0.80459999999999998</v>
      </c>
    </row>
    <row r="115" spans="1:4" ht="14.5">
      <c r="A115" s="3214">
        <v>21902</v>
      </c>
      <c r="B115" s="380" t="str">
        <f t="shared" si="1"/>
        <v>021-902</v>
      </c>
      <c r="C115" s="3215" t="s">
        <v>11590</v>
      </c>
      <c r="D115" s="3216">
        <v>0.80459999999999998</v>
      </c>
    </row>
    <row r="116" spans="1:4" ht="14.5">
      <c r="A116" s="3214">
        <v>119901</v>
      </c>
      <c r="B116" s="380" t="str">
        <f t="shared" si="1"/>
        <v>119-901</v>
      </c>
      <c r="C116" s="3215" t="s">
        <v>11591</v>
      </c>
      <c r="D116" s="3216">
        <v>0.89410000000000001</v>
      </c>
    </row>
    <row r="117" spans="1:4" ht="14.5">
      <c r="A117" s="3214">
        <v>166907</v>
      </c>
      <c r="B117" s="380" t="str">
        <f t="shared" si="1"/>
        <v>166-907</v>
      </c>
      <c r="C117" s="3215" t="s">
        <v>11592</v>
      </c>
      <c r="D117" s="3216">
        <v>0.87109999999999999</v>
      </c>
    </row>
    <row r="118" spans="1:4" ht="14.5">
      <c r="A118" s="3214">
        <v>186901</v>
      </c>
      <c r="B118" s="380" t="str">
        <f t="shared" si="1"/>
        <v>186-901</v>
      </c>
      <c r="C118" s="3215" t="s">
        <v>11593</v>
      </c>
      <c r="D118" s="3216">
        <v>0.80459999999999998</v>
      </c>
    </row>
    <row r="119" spans="1:4" ht="14.5">
      <c r="A119" s="3214">
        <v>145901</v>
      </c>
      <c r="B119" s="380" t="str">
        <f t="shared" si="1"/>
        <v>145-901</v>
      </c>
      <c r="C119" s="3215" t="s">
        <v>11594</v>
      </c>
      <c r="D119" s="3216">
        <v>0.80459999999999998</v>
      </c>
    </row>
    <row r="120" spans="1:4" ht="14.5">
      <c r="A120" s="3214">
        <v>212902</v>
      </c>
      <c r="B120" s="380" t="str">
        <f t="shared" si="1"/>
        <v>212-902</v>
      </c>
      <c r="C120" s="3215" t="s">
        <v>11595</v>
      </c>
      <c r="D120" s="3216">
        <v>0.80459999999999998</v>
      </c>
    </row>
    <row r="121" spans="1:4" ht="14.5">
      <c r="A121" s="3214">
        <v>121903</v>
      </c>
      <c r="B121" s="380" t="str">
        <f t="shared" si="1"/>
        <v>121-903</v>
      </c>
      <c r="C121" s="3215" t="s">
        <v>11596</v>
      </c>
      <c r="D121" s="3216">
        <v>0.81459999999999999</v>
      </c>
    </row>
    <row r="122" spans="1:4" ht="14.5">
      <c r="A122" s="3214">
        <v>243901</v>
      </c>
      <c r="B122" s="380" t="str">
        <f t="shared" si="1"/>
        <v>243-901</v>
      </c>
      <c r="C122" s="3215" t="s">
        <v>11597</v>
      </c>
      <c r="D122" s="3216">
        <v>0.85860000000000003</v>
      </c>
    </row>
    <row r="123" spans="1:4" ht="14.5">
      <c r="A123" s="3214">
        <v>176901</v>
      </c>
      <c r="B123" s="380" t="str">
        <f t="shared" si="1"/>
        <v>176-901</v>
      </c>
      <c r="C123" s="3215" t="s">
        <v>11598</v>
      </c>
      <c r="D123" s="3216">
        <v>0.80459999999999998</v>
      </c>
    </row>
    <row r="124" spans="1:4" ht="14.5">
      <c r="A124" s="3214">
        <v>126902</v>
      </c>
      <c r="B124" s="380" t="str">
        <f t="shared" si="1"/>
        <v>126-902</v>
      </c>
      <c r="C124" s="3215" t="s">
        <v>11599</v>
      </c>
      <c r="D124" s="3216">
        <v>0.80459999999999998</v>
      </c>
    </row>
    <row r="125" spans="1:4" ht="14.5">
      <c r="A125" s="3214">
        <v>27903</v>
      </c>
      <c r="B125" s="380" t="str">
        <f t="shared" si="1"/>
        <v>027-903</v>
      </c>
      <c r="C125" s="3215" t="s">
        <v>11600</v>
      </c>
      <c r="D125" s="3216">
        <v>0.80459999999999998</v>
      </c>
    </row>
    <row r="126" spans="1:4" ht="14.5">
      <c r="A126" s="3214">
        <v>239903</v>
      </c>
      <c r="B126" s="380" t="str">
        <f t="shared" si="1"/>
        <v>239-903</v>
      </c>
      <c r="C126" s="3215" t="s">
        <v>11601</v>
      </c>
      <c r="D126" s="3216">
        <v>0.80459999999999998</v>
      </c>
    </row>
    <row r="127" spans="1:4" ht="14.5">
      <c r="A127" s="3214">
        <v>188904</v>
      </c>
      <c r="B127" s="380" t="str">
        <f t="shared" si="1"/>
        <v>188-904</v>
      </c>
      <c r="C127" s="3215" t="s">
        <v>11602</v>
      </c>
      <c r="D127" s="3216">
        <v>0.85199999999999998</v>
      </c>
    </row>
    <row r="128" spans="1:4" ht="14.5">
      <c r="A128" s="3214">
        <v>109902</v>
      </c>
      <c r="B128" s="380" t="str">
        <f t="shared" si="1"/>
        <v>109-902</v>
      </c>
      <c r="C128" s="3215" t="s">
        <v>11603</v>
      </c>
      <c r="D128" s="3216">
        <v>0.80459999999999998</v>
      </c>
    </row>
    <row r="129" spans="1:4" ht="14.5">
      <c r="A129" s="3214">
        <v>116901</v>
      </c>
      <c r="B129" s="380" t="str">
        <f t="shared" si="1"/>
        <v>116-901</v>
      </c>
      <c r="C129" s="3215" t="s">
        <v>11604</v>
      </c>
      <c r="D129" s="3216">
        <v>0.80459999999999998</v>
      </c>
    </row>
    <row r="130" spans="1:4" ht="14.5">
      <c r="A130" s="3214">
        <v>178903</v>
      </c>
      <c r="B130" s="380" t="str">
        <f t="shared" si="1"/>
        <v>178-903</v>
      </c>
      <c r="C130" s="3215" t="s">
        <v>11605</v>
      </c>
      <c r="D130" s="3216">
        <v>0.80459999999999998</v>
      </c>
    </row>
    <row r="131" spans="1:4" ht="14.5">
      <c r="A131" s="3214">
        <v>26901</v>
      </c>
      <c r="B131" s="380" t="str">
        <f t="shared" ref="B131:B194" si="2">CONCATENATE(LEFT(RIGHT(CONCATENATE("000",A131),6),3),"-",(RIGHT(RIGHT(CONCATENATE("000",A131),6),3)))</f>
        <v>026-901</v>
      </c>
      <c r="C131" s="3215" t="s">
        <v>11606</v>
      </c>
      <c r="D131" s="3216">
        <v>0.80459999999999998</v>
      </c>
    </row>
    <row r="132" spans="1:4" ht="14.5">
      <c r="A132" s="3214">
        <v>29901</v>
      </c>
      <c r="B132" s="380" t="str">
        <f t="shared" si="2"/>
        <v>029-901</v>
      </c>
      <c r="C132" s="3215" t="s">
        <v>11607</v>
      </c>
      <c r="D132" s="3216">
        <v>0.81820000000000004</v>
      </c>
    </row>
    <row r="133" spans="1:4" ht="14.5">
      <c r="A133" s="3214">
        <v>49905</v>
      </c>
      <c r="B133" s="380" t="str">
        <f t="shared" si="2"/>
        <v>049-905</v>
      </c>
      <c r="C133" s="3215" t="s">
        <v>11608</v>
      </c>
      <c r="D133" s="3216">
        <v>0.80459999999999998</v>
      </c>
    </row>
    <row r="134" spans="1:4" ht="14.5">
      <c r="A134" s="3214">
        <v>198902</v>
      </c>
      <c r="B134" s="380" t="str">
        <f t="shared" si="2"/>
        <v>198-902</v>
      </c>
      <c r="C134" s="3215" t="s">
        <v>11609</v>
      </c>
      <c r="D134" s="3216">
        <v>0.80459999999999998</v>
      </c>
    </row>
    <row r="135" spans="1:4" ht="14.5">
      <c r="A135" s="3214">
        <v>166901</v>
      </c>
      <c r="B135" s="380" t="str">
        <f t="shared" si="2"/>
        <v>166-901</v>
      </c>
      <c r="C135" s="3215" t="s">
        <v>11610</v>
      </c>
      <c r="D135" s="3216">
        <v>0.80459999999999998</v>
      </c>
    </row>
    <row r="136" spans="1:4" ht="14.5">
      <c r="A136" s="3214">
        <v>116910</v>
      </c>
      <c r="B136" s="380" t="str">
        <f t="shared" si="2"/>
        <v>116-910</v>
      </c>
      <c r="C136" s="3215" t="s">
        <v>11611</v>
      </c>
      <c r="D136" s="3216">
        <v>0.80459999999999998</v>
      </c>
    </row>
    <row r="137" spans="1:4" ht="14.5">
      <c r="A137" s="3214">
        <v>106901</v>
      </c>
      <c r="B137" s="380" t="str">
        <f t="shared" si="2"/>
        <v>106-901</v>
      </c>
      <c r="C137" s="3215" t="s">
        <v>11612</v>
      </c>
      <c r="D137" s="3216">
        <v>0.80459999999999998</v>
      </c>
    </row>
    <row r="138" spans="1:4" ht="14.5">
      <c r="A138" s="3214">
        <v>234902</v>
      </c>
      <c r="B138" s="380" t="str">
        <f t="shared" si="2"/>
        <v>234-902</v>
      </c>
      <c r="C138" s="3215" t="s">
        <v>11613</v>
      </c>
      <c r="D138" s="3216">
        <v>0.80459999999999998</v>
      </c>
    </row>
    <row r="139" spans="1:4" ht="14.5">
      <c r="A139" s="3214">
        <v>71907</v>
      </c>
      <c r="B139" s="380" t="str">
        <f t="shared" si="2"/>
        <v>071-907</v>
      </c>
      <c r="C139" s="3215" t="s">
        <v>11614</v>
      </c>
      <c r="D139" s="3216">
        <v>0.80459999999999998</v>
      </c>
    </row>
    <row r="140" spans="1:4" ht="14.5">
      <c r="A140" s="3214">
        <v>191901</v>
      </c>
      <c r="B140" s="380" t="str">
        <f t="shared" si="2"/>
        <v>191-901</v>
      </c>
      <c r="C140" s="3215" t="s">
        <v>11615</v>
      </c>
      <c r="D140" s="3216">
        <v>0.80459999999999998</v>
      </c>
    </row>
    <row r="141" spans="1:4" ht="14.5">
      <c r="A141" s="3214">
        <v>201913</v>
      </c>
      <c r="B141" s="380" t="str">
        <f t="shared" si="2"/>
        <v>201-913</v>
      </c>
      <c r="C141" s="3215" t="s">
        <v>11616</v>
      </c>
      <c r="D141" s="3216">
        <v>0.80649999999999999</v>
      </c>
    </row>
    <row r="142" spans="1:4" ht="14.5">
      <c r="A142" s="3214">
        <v>64903</v>
      </c>
      <c r="B142" s="380" t="str">
        <f t="shared" si="2"/>
        <v>064-903</v>
      </c>
      <c r="C142" s="3215" t="s">
        <v>11617</v>
      </c>
      <c r="D142" s="3216">
        <v>0.80459999999999998</v>
      </c>
    </row>
    <row r="143" spans="1:4" ht="14.5">
      <c r="A143" s="3214">
        <v>220919</v>
      </c>
      <c r="B143" s="380" t="str">
        <f t="shared" si="2"/>
        <v>220-919</v>
      </c>
      <c r="C143" s="3215" t="s">
        <v>11618</v>
      </c>
      <c r="D143" s="3216">
        <v>0.82879999999999998</v>
      </c>
    </row>
    <row r="144" spans="1:4" ht="14.5">
      <c r="A144" s="3214">
        <v>57903</v>
      </c>
      <c r="B144" s="380" t="str">
        <f t="shared" si="2"/>
        <v>057-903</v>
      </c>
      <c r="C144" s="3215" t="s">
        <v>11619</v>
      </c>
      <c r="D144" s="3216">
        <v>0.80459999999999998</v>
      </c>
    </row>
    <row r="145" spans="1:4" ht="14.5">
      <c r="A145" s="3214">
        <v>183902</v>
      </c>
      <c r="B145" s="380" t="str">
        <f t="shared" si="2"/>
        <v>183-902</v>
      </c>
      <c r="C145" s="3215" t="s">
        <v>11620</v>
      </c>
      <c r="D145" s="3216">
        <v>0.80459999999999998</v>
      </c>
    </row>
    <row r="146" spans="1:4" ht="14.5">
      <c r="A146" s="3214">
        <v>220917</v>
      </c>
      <c r="B146" s="380" t="str">
        <f t="shared" si="2"/>
        <v>220-917</v>
      </c>
      <c r="C146" s="3215" t="s">
        <v>11621</v>
      </c>
      <c r="D146" s="3216">
        <v>0.80459999999999998</v>
      </c>
    </row>
    <row r="147" spans="1:4" ht="14.5">
      <c r="A147" s="3214">
        <v>1902</v>
      </c>
      <c r="B147" s="380" t="str">
        <f t="shared" si="2"/>
        <v>001-902</v>
      </c>
      <c r="C147" s="3215" t="s">
        <v>11622</v>
      </c>
      <c r="D147" s="3216">
        <v>0.80459999999999998</v>
      </c>
    </row>
    <row r="148" spans="1:4" ht="14.5">
      <c r="A148" s="3214">
        <v>57904</v>
      </c>
      <c r="B148" s="380" t="str">
        <f t="shared" si="2"/>
        <v>057-904</v>
      </c>
      <c r="C148" s="3215" t="s">
        <v>11623</v>
      </c>
      <c r="D148" s="3216">
        <v>0.80459999999999998</v>
      </c>
    </row>
    <row r="149" spans="1:4" ht="14.5">
      <c r="A149" s="3214">
        <v>116902</v>
      </c>
      <c r="B149" s="380" t="str">
        <f t="shared" si="2"/>
        <v>116-902</v>
      </c>
      <c r="C149" s="3215" t="s">
        <v>11624</v>
      </c>
      <c r="D149" s="3216">
        <v>0.80459999999999998</v>
      </c>
    </row>
    <row r="150" spans="1:4" ht="14.5">
      <c r="A150" s="3214">
        <v>43903</v>
      </c>
      <c r="B150" s="380" t="str">
        <f t="shared" si="2"/>
        <v>043-903</v>
      </c>
      <c r="C150" s="3215" t="s">
        <v>11625</v>
      </c>
      <c r="D150" s="3216">
        <v>0.80459999999999998</v>
      </c>
    </row>
    <row r="151" spans="1:4" ht="14.5">
      <c r="A151" s="3214">
        <v>210901</v>
      </c>
      <c r="B151" s="380" t="str">
        <f t="shared" si="2"/>
        <v>210-901</v>
      </c>
      <c r="C151" s="3215" t="s">
        <v>11626</v>
      </c>
      <c r="D151" s="3216">
        <v>0.80459999999999998</v>
      </c>
    </row>
    <row r="152" spans="1:4" ht="14.5">
      <c r="A152" s="3214">
        <v>133901</v>
      </c>
      <c r="B152" s="380" t="str">
        <f t="shared" si="2"/>
        <v>133-901</v>
      </c>
      <c r="C152" s="3215" t="s">
        <v>11627</v>
      </c>
      <c r="D152" s="3216">
        <v>0.80459999999999998</v>
      </c>
    </row>
    <row r="153" spans="1:4" ht="14.5">
      <c r="A153" s="3214">
        <v>145902</v>
      </c>
      <c r="B153" s="380" t="str">
        <f t="shared" si="2"/>
        <v>145-902</v>
      </c>
      <c r="C153" s="3215" t="s">
        <v>11628</v>
      </c>
      <c r="D153" s="3216">
        <v>0.80459999999999998</v>
      </c>
    </row>
    <row r="154" spans="1:4" ht="14.5">
      <c r="A154" s="3214">
        <v>228904</v>
      </c>
      <c r="B154" s="380" t="str">
        <f t="shared" si="2"/>
        <v>228-904</v>
      </c>
      <c r="C154" s="3215" t="s">
        <v>11628</v>
      </c>
      <c r="D154" s="3216">
        <v>0.80459999999999998</v>
      </c>
    </row>
    <row r="155" spans="1:4" ht="14.5">
      <c r="A155" s="3214">
        <v>174908</v>
      </c>
      <c r="B155" s="380" t="str">
        <f t="shared" si="2"/>
        <v>174-908</v>
      </c>
      <c r="C155" s="3215" t="s">
        <v>11629</v>
      </c>
      <c r="D155" s="3216">
        <v>0.80459999999999998</v>
      </c>
    </row>
    <row r="156" spans="1:4" ht="14.5">
      <c r="A156" s="3214">
        <v>3907</v>
      </c>
      <c r="B156" s="380" t="str">
        <f t="shared" si="2"/>
        <v>003-907</v>
      </c>
      <c r="C156" s="3215" t="s">
        <v>11630</v>
      </c>
      <c r="D156" s="3216">
        <v>0.80459999999999998</v>
      </c>
    </row>
    <row r="157" spans="1:4" ht="14.5">
      <c r="A157" s="3214">
        <v>101905</v>
      </c>
      <c r="B157" s="380" t="str">
        <f t="shared" si="2"/>
        <v>101-905</v>
      </c>
      <c r="C157" s="3215" t="s">
        <v>11631</v>
      </c>
      <c r="D157" s="3216">
        <v>0.84250000000000003</v>
      </c>
    </row>
    <row r="158" spans="1:4" ht="14.5">
      <c r="A158" s="3214">
        <v>103901</v>
      </c>
      <c r="B158" s="380" t="str">
        <f t="shared" si="2"/>
        <v>103-901</v>
      </c>
      <c r="C158" s="3215" t="s">
        <v>11632</v>
      </c>
      <c r="D158" s="3216">
        <v>0.86229999999999996</v>
      </c>
    </row>
    <row r="159" spans="1:4" ht="14.5">
      <c r="A159" s="3214">
        <v>212909</v>
      </c>
      <c r="B159" s="380" t="str">
        <f t="shared" si="2"/>
        <v>212-909</v>
      </c>
      <c r="C159" s="3215" t="s">
        <v>11633</v>
      </c>
      <c r="D159" s="3216">
        <v>0.80459999999999998</v>
      </c>
    </row>
    <row r="160" spans="1:4" ht="14.5">
      <c r="A160" s="3214">
        <v>225906</v>
      </c>
      <c r="B160" s="380" t="str">
        <f t="shared" si="2"/>
        <v>225-906</v>
      </c>
      <c r="C160" s="3215" t="s">
        <v>11633</v>
      </c>
      <c r="D160" s="3216">
        <v>0.80459999999999998</v>
      </c>
    </row>
    <row r="161" spans="1:4" ht="14.5">
      <c r="A161" s="3214">
        <v>7901</v>
      </c>
      <c r="B161" s="380" t="str">
        <f t="shared" si="2"/>
        <v>007-901</v>
      </c>
      <c r="C161" s="3215" t="s">
        <v>11634</v>
      </c>
      <c r="D161" s="3216">
        <v>0.80459999999999998</v>
      </c>
    </row>
    <row r="162" spans="1:4" ht="14.5">
      <c r="A162" s="3214">
        <v>206903</v>
      </c>
      <c r="B162" s="380" t="str">
        <f t="shared" si="2"/>
        <v>206-903</v>
      </c>
      <c r="C162" s="3215" t="s">
        <v>11635</v>
      </c>
      <c r="D162" s="3216">
        <v>0.80459999999999998</v>
      </c>
    </row>
    <row r="163" spans="1:4" ht="14.5">
      <c r="A163" s="3214">
        <v>229906</v>
      </c>
      <c r="B163" s="380" t="str">
        <f t="shared" si="2"/>
        <v>229-906</v>
      </c>
      <c r="C163" s="3215" t="s">
        <v>11636</v>
      </c>
      <c r="D163" s="3216">
        <v>0.80459999999999998</v>
      </c>
    </row>
    <row r="164" spans="1:4" ht="14.5">
      <c r="A164" s="3214">
        <v>249904</v>
      </c>
      <c r="B164" s="380" t="str">
        <f t="shared" si="2"/>
        <v>249-904</v>
      </c>
      <c r="C164" s="3215" t="s">
        <v>11637</v>
      </c>
      <c r="D164" s="3216">
        <v>0.80459999999999998</v>
      </c>
    </row>
    <row r="165" spans="1:4" ht="14.5">
      <c r="A165" s="3214">
        <v>38901</v>
      </c>
      <c r="B165" s="380" t="str">
        <f t="shared" si="2"/>
        <v>038-901</v>
      </c>
      <c r="C165" s="3215" t="s">
        <v>11638</v>
      </c>
      <c r="D165" s="3216">
        <v>0.83879999999999999</v>
      </c>
    </row>
    <row r="166" spans="1:4" ht="14.5">
      <c r="A166" s="3214">
        <v>99902</v>
      </c>
      <c r="B166" s="380" t="str">
        <f t="shared" si="2"/>
        <v>099-902</v>
      </c>
      <c r="C166" s="3215" t="s">
        <v>11639</v>
      </c>
      <c r="D166" s="3216">
        <v>0.80459999999999998</v>
      </c>
    </row>
    <row r="167" spans="1:4" ht="14.5">
      <c r="A167" s="3214">
        <v>73901</v>
      </c>
      <c r="B167" s="380" t="str">
        <f t="shared" si="2"/>
        <v>073-901</v>
      </c>
      <c r="C167" s="3215" t="s">
        <v>11640</v>
      </c>
      <c r="D167" s="3216">
        <v>0.80459999999999998</v>
      </c>
    </row>
    <row r="168" spans="1:4" ht="14.5">
      <c r="A168" s="3214">
        <v>161920</v>
      </c>
      <c r="B168" s="380" t="str">
        <f t="shared" si="2"/>
        <v>161-920</v>
      </c>
      <c r="C168" s="3215" t="s">
        <v>11641</v>
      </c>
      <c r="D168" s="3216">
        <v>0.80459999999999998</v>
      </c>
    </row>
    <row r="169" spans="1:4" ht="14.5">
      <c r="A169" s="3214">
        <v>174901</v>
      </c>
      <c r="B169" s="380" t="str">
        <f t="shared" si="2"/>
        <v>174-901</v>
      </c>
      <c r="C169" s="3215" t="s">
        <v>11642</v>
      </c>
      <c r="D169" s="3216">
        <v>0.80459999999999998</v>
      </c>
    </row>
    <row r="170" spans="1:4" ht="14.5">
      <c r="A170" s="3214">
        <v>139905</v>
      </c>
      <c r="B170" s="380" t="str">
        <f t="shared" si="2"/>
        <v>139-905</v>
      </c>
      <c r="C170" s="3215" t="s">
        <v>11643</v>
      </c>
      <c r="D170" s="3216">
        <v>0.88280000000000003</v>
      </c>
    </row>
    <row r="171" spans="1:4" ht="14.5">
      <c r="A171" s="3214">
        <v>226901</v>
      </c>
      <c r="B171" s="380" t="str">
        <f t="shared" si="2"/>
        <v>226-901</v>
      </c>
      <c r="C171" s="3215" t="s">
        <v>11644</v>
      </c>
      <c r="D171" s="3216">
        <v>0.80459999999999998</v>
      </c>
    </row>
    <row r="172" spans="1:4" ht="14.5">
      <c r="A172" s="3214">
        <v>67902</v>
      </c>
      <c r="B172" s="380" t="str">
        <f t="shared" si="2"/>
        <v>067-902</v>
      </c>
      <c r="C172" s="3215" t="s">
        <v>11645</v>
      </c>
      <c r="D172" s="3216">
        <v>0.80459999999999998</v>
      </c>
    </row>
    <row r="173" spans="1:4" ht="14.5">
      <c r="A173" s="3214">
        <v>243906</v>
      </c>
      <c r="B173" s="380" t="str">
        <f t="shared" si="2"/>
        <v>243-906</v>
      </c>
      <c r="C173" s="3215" t="s">
        <v>11646</v>
      </c>
      <c r="D173" s="3216">
        <v>0.81669999999999998</v>
      </c>
    </row>
    <row r="174" spans="1:4" ht="14.5">
      <c r="A174" s="3214">
        <v>65901</v>
      </c>
      <c r="B174" s="380" t="str">
        <f t="shared" si="2"/>
        <v>065-901</v>
      </c>
      <c r="C174" s="3215" t="s">
        <v>11647</v>
      </c>
      <c r="D174" s="3216">
        <v>0.8518</v>
      </c>
    </row>
    <row r="175" spans="1:4" ht="14.5">
      <c r="A175" s="3214">
        <v>194904</v>
      </c>
      <c r="B175" s="380" t="str">
        <f t="shared" si="2"/>
        <v>194-904</v>
      </c>
      <c r="C175" s="3215" t="s">
        <v>11648</v>
      </c>
      <c r="D175" s="3216">
        <v>0.80459999999999998</v>
      </c>
    </row>
    <row r="176" spans="1:4" ht="14.5">
      <c r="A176" s="3214">
        <v>6902</v>
      </c>
      <c r="B176" s="380" t="str">
        <f t="shared" si="2"/>
        <v>006-902</v>
      </c>
      <c r="C176" s="3215" t="s">
        <v>11649</v>
      </c>
      <c r="D176" s="3216">
        <v>0.89410000000000001</v>
      </c>
    </row>
    <row r="177" spans="1:4" ht="14.5">
      <c r="A177" s="3214">
        <v>84910</v>
      </c>
      <c r="B177" s="380" t="str">
        <f t="shared" si="2"/>
        <v>084-910</v>
      </c>
      <c r="C177" s="3215" t="s">
        <v>11650</v>
      </c>
      <c r="D177" s="3216">
        <v>0.80459999999999998</v>
      </c>
    </row>
    <row r="178" spans="1:4" ht="14.5">
      <c r="A178" s="3214">
        <v>126903</v>
      </c>
      <c r="B178" s="380" t="str">
        <f t="shared" si="2"/>
        <v>126-903</v>
      </c>
      <c r="C178" s="3215" t="s">
        <v>11651</v>
      </c>
      <c r="D178" s="3216">
        <v>0.80459999999999998</v>
      </c>
    </row>
    <row r="179" spans="1:4" ht="14.5">
      <c r="A179" s="3214">
        <v>146901</v>
      </c>
      <c r="B179" s="380" t="str">
        <f t="shared" si="2"/>
        <v>146-901</v>
      </c>
      <c r="C179" s="3215" t="s">
        <v>11652</v>
      </c>
      <c r="D179" s="3216">
        <v>0.80459999999999998</v>
      </c>
    </row>
    <row r="180" spans="1:4" ht="14.5">
      <c r="A180" s="3214">
        <v>18901</v>
      </c>
      <c r="B180" s="380" t="str">
        <f t="shared" si="2"/>
        <v>018-901</v>
      </c>
      <c r="C180" s="3215" t="s">
        <v>11653</v>
      </c>
      <c r="D180" s="3216">
        <v>0.80459999999999998</v>
      </c>
    </row>
    <row r="181" spans="1:4" ht="14.5">
      <c r="A181" s="3214">
        <v>71901</v>
      </c>
      <c r="B181" s="380" t="str">
        <f t="shared" si="2"/>
        <v>071-901</v>
      </c>
      <c r="C181" s="3215" t="s">
        <v>11654</v>
      </c>
      <c r="D181" s="3216">
        <v>0.80459999999999998</v>
      </c>
    </row>
    <row r="182" spans="1:4" ht="14.5">
      <c r="A182" s="3214">
        <v>30902</v>
      </c>
      <c r="B182" s="380" t="str">
        <f t="shared" si="2"/>
        <v>030-902</v>
      </c>
      <c r="C182" s="3215" t="s">
        <v>11655</v>
      </c>
      <c r="D182" s="3216">
        <v>0.80459999999999998</v>
      </c>
    </row>
    <row r="183" spans="1:4" ht="14.5">
      <c r="A183" s="3214">
        <v>114902</v>
      </c>
      <c r="B183" s="380" t="str">
        <f t="shared" si="2"/>
        <v>114-902</v>
      </c>
      <c r="C183" s="3215" t="s">
        <v>11656</v>
      </c>
      <c r="D183" s="3216">
        <v>0.80459999999999998</v>
      </c>
    </row>
    <row r="184" spans="1:4" ht="14.5">
      <c r="A184" s="3214">
        <v>204901</v>
      </c>
      <c r="B184" s="380" t="str">
        <f t="shared" si="2"/>
        <v>204-901</v>
      </c>
      <c r="C184" s="3215" t="s">
        <v>11657</v>
      </c>
      <c r="D184" s="3216">
        <v>0.80459999999999998</v>
      </c>
    </row>
    <row r="185" spans="1:4" ht="14.5">
      <c r="A185" s="3214">
        <v>42901</v>
      </c>
      <c r="B185" s="380" t="str">
        <f t="shared" si="2"/>
        <v>042-901</v>
      </c>
      <c r="C185" s="3215" t="s">
        <v>11658</v>
      </c>
      <c r="D185" s="3216">
        <v>0.89410000000000001</v>
      </c>
    </row>
    <row r="186" spans="1:4" ht="14.5">
      <c r="A186" s="3214">
        <v>21901</v>
      </c>
      <c r="B186" s="380" t="str">
        <f t="shared" si="2"/>
        <v>021-901</v>
      </c>
      <c r="C186" s="3215" t="s">
        <v>11659</v>
      </c>
      <c r="D186" s="3216">
        <v>0.83509999999999995</v>
      </c>
    </row>
    <row r="187" spans="1:4" ht="14.5">
      <c r="A187" s="3214">
        <v>91902</v>
      </c>
      <c r="B187" s="380" t="str">
        <f t="shared" si="2"/>
        <v>091-902</v>
      </c>
      <c r="C187" s="3215" t="s">
        <v>11660</v>
      </c>
      <c r="D187" s="3216">
        <v>0.80459999999999998</v>
      </c>
    </row>
    <row r="188" spans="1:4" ht="14.5">
      <c r="A188" s="3214">
        <v>229901</v>
      </c>
      <c r="B188" s="380" t="str">
        <f t="shared" si="2"/>
        <v>229-901</v>
      </c>
      <c r="C188" s="3215" t="s">
        <v>11661</v>
      </c>
      <c r="D188" s="3216">
        <v>0.86760000000000004</v>
      </c>
    </row>
    <row r="189" spans="1:4" ht="14.5">
      <c r="A189" s="3214">
        <v>168901</v>
      </c>
      <c r="B189" s="380" t="str">
        <f t="shared" si="2"/>
        <v>168-901</v>
      </c>
      <c r="C189" s="3215" t="s">
        <v>11662</v>
      </c>
      <c r="D189" s="3216">
        <v>0.89410000000000001</v>
      </c>
    </row>
    <row r="190" spans="1:4" ht="14.5">
      <c r="A190" s="3214">
        <v>20907</v>
      </c>
      <c r="B190" s="380" t="str">
        <f t="shared" si="2"/>
        <v>020-907</v>
      </c>
      <c r="C190" s="3215" t="s">
        <v>11663</v>
      </c>
      <c r="D190" s="3216">
        <v>0.80459999999999998</v>
      </c>
    </row>
    <row r="191" spans="1:4" ht="14.5">
      <c r="A191" s="3214">
        <v>45902</v>
      </c>
      <c r="B191" s="380" t="str">
        <f t="shared" si="2"/>
        <v>045-902</v>
      </c>
      <c r="C191" s="3215" t="s">
        <v>11664</v>
      </c>
      <c r="D191" s="3216">
        <v>0.82069999999999999</v>
      </c>
    </row>
    <row r="192" spans="1:4" ht="14.5">
      <c r="A192" s="3214">
        <v>46902</v>
      </c>
      <c r="B192" s="380" t="str">
        <f t="shared" si="2"/>
        <v>046-902</v>
      </c>
      <c r="C192" s="3215" t="s">
        <v>11665</v>
      </c>
      <c r="D192" s="3216">
        <v>0.80459999999999998</v>
      </c>
    </row>
    <row r="193" spans="1:4" ht="14.5">
      <c r="A193" s="3214">
        <v>47901</v>
      </c>
      <c r="B193" s="380" t="str">
        <f t="shared" si="2"/>
        <v>047-901</v>
      </c>
      <c r="C193" s="3215" t="s">
        <v>11666</v>
      </c>
      <c r="D193" s="3216">
        <v>0.80459999999999998</v>
      </c>
    </row>
    <row r="194" spans="1:4" ht="14.5">
      <c r="A194" s="3214">
        <v>130902</v>
      </c>
      <c r="B194" s="380" t="str">
        <f t="shared" si="2"/>
        <v>130-902</v>
      </c>
      <c r="C194" s="3215" t="s">
        <v>11667</v>
      </c>
      <c r="D194" s="3216">
        <v>0.80459999999999998</v>
      </c>
    </row>
    <row r="195" spans="1:4" ht="14.5">
      <c r="A195" s="3214">
        <v>116903</v>
      </c>
      <c r="B195" s="380" t="str">
        <f t="shared" ref="B195:B258" si="3">CONCATENATE(LEFT(RIGHT(CONCATENATE("000",A195),6),3),"-",(RIGHT(RIGHT(CONCATENATE("000",A195),6),3)))</f>
        <v>116-903</v>
      </c>
      <c r="C195" s="3215" t="s">
        <v>11668</v>
      </c>
      <c r="D195" s="3216">
        <v>0.80459999999999998</v>
      </c>
    </row>
    <row r="196" spans="1:4" ht="14.5">
      <c r="A196" s="3214">
        <v>43918</v>
      </c>
      <c r="B196" s="380" t="str">
        <f t="shared" si="3"/>
        <v>043-918</v>
      </c>
      <c r="C196" s="3215" t="s">
        <v>11669</v>
      </c>
      <c r="D196" s="3216">
        <v>0.80459999999999998</v>
      </c>
    </row>
    <row r="197" spans="1:4" ht="14.5">
      <c r="A197" s="3214">
        <v>112908</v>
      </c>
      <c r="B197" s="380" t="str">
        <f t="shared" si="3"/>
        <v>112-908</v>
      </c>
      <c r="C197" s="3215" t="s">
        <v>11670</v>
      </c>
      <c r="D197" s="3216">
        <v>0.80459999999999998</v>
      </c>
    </row>
    <row r="198" spans="1:4" ht="14.5">
      <c r="A198" s="3214">
        <v>233903</v>
      </c>
      <c r="B198" s="380" t="str">
        <f t="shared" si="3"/>
        <v>233-903</v>
      </c>
      <c r="C198" s="3215" t="s">
        <v>11671</v>
      </c>
      <c r="D198" s="3216">
        <v>0.80459999999999998</v>
      </c>
    </row>
    <row r="199" spans="1:4" ht="14.5">
      <c r="A199" s="3214">
        <v>161921</v>
      </c>
      <c r="B199" s="380" t="str">
        <f t="shared" si="3"/>
        <v>161-921</v>
      </c>
      <c r="C199" s="3215" t="s">
        <v>11672</v>
      </c>
      <c r="D199" s="3216">
        <v>0.80459999999999998</v>
      </c>
    </row>
    <row r="200" spans="1:4" ht="14.5">
      <c r="A200" s="3214">
        <v>170902</v>
      </c>
      <c r="B200" s="380" t="str">
        <f t="shared" si="3"/>
        <v>170-902</v>
      </c>
      <c r="C200" s="3215" t="s">
        <v>11673</v>
      </c>
      <c r="D200" s="3216">
        <v>0.80459999999999998</v>
      </c>
    </row>
    <row r="201" spans="1:4" ht="14.5">
      <c r="A201" s="3214">
        <v>147901</v>
      </c>
      <c r="B201" s="380" t="str">
        <f t="shared" si="3"/>
        <v>147-901</v>
      </c>
      <c r="C201" s="3215" t="s">
        <v>11674</v>
      </c>
      <c r="D201" s="3216">
        <v>0.80459999999999998</v>
      </c>
    </row>
    <row r="202" spans="1:4" ht="14.5">
      <c r="A202" s="3214">
        <v>60902</v>
      </c>
      <c r="B202" s="380" t="str">
        <f t="shared" si="3"/>
        <v>060-902</v>
      </c>
      <c r="C202" s="3215" t="s">
        <v>11675</v>
      </c>
      <c r="D202" s="3216">
        <v>0.80459999999999998</v>
      </c>
    </row>
    <row r="203" spans="1:4" ht="14.5">
      <c r="A203" s="3214">
        <v>57922</v>
      </c>
      <c r="B203" s="380" t="str">
        <f t="shared" si="3"/>
        <v>057-922</v>
      </c>
      <c r="C203" s="3215" t="s">
        <v>11676</v>
      </c>
      <c r="D203" s="3216">
        <v>0.84840000000000004</v>
      </c>
    </row>
    <row r="204" spans="1:4" ht="14.5">
      <c r="A204" s="3214">
        <v>50910</v>
      </c>
      <c r="B204" s="380" t="str">
        <f t="shared" si="3"/>
        <v>050-910</v>
      </c>
      <c r="C204" s="3215" t="s">
        <v>11677</v>
      </c>
      <c r="D204" s="3216">
        <v>0.80459999999999998</v>
      </c>
    </row>
    <row r="205" spans="1:4" ht="14.5">
      <c r="A205" s="3214">
        <v>178904</v>
      </c>
      <c r="B205" s="380" t="str">
        <f t="shared" si="3"/>
        <v>178-904</v>
      </c>
      <c r="C205" s="3215" t="s">
        <v>11678</v>
      </c>
      <c r="D205" s="3216">
        <v>0.87109999999999999</v>
      </c>
    </row>
    <row r="206" spans="1:4" ht="14.5">
      <c r="A206" s="3214">
        <v>187904</v>
      </c>
      <c r="B206" s="380" t="str">
        <f t="shared" si="3"/>
        <v>187-904</v>
      </c>
      <c r="C206" s="3215" t="s">
        <v>11679</v>
      </c>
      <c r="D206" s="3216">
        <v>0.84650000000000003</v>
      </c>
    </row>
    <row r="207" spans="1:4" ht="14.5">
      <c r="A207" s="3214">
        <v>175903</v>
      </c>
      <c r="B207" s="380" t="str">
        <f t="shared" si="3"/>
        <v>175-903</v>
      </c>
      <c r="C207" s="3215" t="s">
        <v>11680</v>
      </c>
      <c r="D207" s="3216">
        <v>0.85670000000000002</v>
      </c>
    </row>
    <row r="208" spans="1:4" ht="14.5">
      <c r="A208" s="3214">
        <v>95902</v>
      </c>
      <c r="B208" s="380" t="str">
        <f t="shared" si="3"/>
        <v>095-902</v>
      </c>
      <c r="C208" s="3215" t="s">
        <v>11681</v>
      </c>
      <c r="D208" s="3216">
        <v>0.82199999999999995</v>
      </c>
    </row>
    <row r="209" spans="1:4" ht="14.5">
      <c r="A209" s="3214">
        <v>142901</v>
      </c>
      <c r="B209" s="380" t="str">
        <f t="shared" si="3"/>
        <v>142-901</v>
      </c>
      <c r="C209" s="3215" t="s">
        <v>11682</v>
      </c>
      <c r="D209" s="3216">
        <v>0.80459999999999998</v>
      </c>
    </row>
    <row r="210" spans="1:4" ht="14.5">
      <c r="A210" s="3214">
        <v>246914</v>
      </c>
      <c r="B210" s="380" t="str">
        <f t="shared" si="3"/>
        <v>246-914</v>
      </c>
      <c r="C210" s="3215" t="s">
        <v>11683</v>
      </c>
      <c r="D210" s="3216">
        <v>0.80459999999999998</v>
      </c>
    </row>
    <row r="211" spans="1:4" ht="14.5">
      <c r="A211" s="3214">
        <v>109903</v>
      </c>
      <c r="B211" s="380" t="str">
        <f t="shared" si="3"/>
        <v>109-903</v>
      </c>
      <c r="C211" s="3215" t="s">
        <v>11684</v>
      </c>
      <c r="D211" s="3216">
        <v>0.80459999999999998</v>
      </c>
    </row>
    <row r="212" spans="1:4" ht="14.5">
      <c r="A212" s="3214">
        <v>129901</v>
      </c>
      <c r="B212" s="380" t="str">
        <f t="shared" si="3"/>
        <v>129-901</v>
      </c>
      <c r="C212" s="3215" t="s">
        <v>11685</v>
      </c>
      <c r="D212" s="3216">
        <v>0.80459999999999998</v>
      </c>
    </row>
    <row r="213" spans="1:4" ht="14.5">
      <c r="A213" s="3214">
        <v>52901</v>
      </c>
      <c r="B213" s="380" t="str">
        <f t="shared" si="3"/>
        <v>052-901</v>
      </c>
      <c r="C213" s="3215" t="s">
        <v>11686</v>
      </c>
      <c r="D213" s="3216">
        <v>0.80459999999999998</v>
      </c>
    </row>
    <row r="214" spans="1:4" ht="14.5">
      <c r="A214" s="3214">
        <v>18908</v>
      </c>
      <c r="B214" s="380" t="str">
        <f t="shared" si="3"/>
        <v>018-908</v>
      </c>
      <c r="C214" s="3215" t="s">
        <v>11687</v>
      </c>
      <c r="D214" s="3216">
        <v>0.80459999999999998</v>
      </c>
    </row>
    <row r="215" spans="1:4" ht="14.5">
      <c r="A215" s="3214">
        <v>161901</v>
      </c>
      <c r="B215" s="380" t="str">
        <f t="shared" si="3"/>
        <v>161-901</v>
      </c>
      <c r="C215" s="3215" t="s">
        <v>11688</v>
      </c>
      <c r="D215" s="3216">
        <v>0.80459999999999998</v>
      </c>
    </row>
    <row r="216" spans="1:4" ht="14.5">
      <c r="A216" s="3214">
        <v>53001</v>
      </c>
      <c r="B216" s="380" t="str">
        <f t="shared" si="3"/>
        <v>053-001</v>
      </c>
      <c r="C216" s="3215" t="s">
        <v>11689</v>
      </c>
      <c r="D216" s="3216">
        <v>0.80459999999999998</v>
      </c>
    </row>
    <row r="217" spans="1:4" ht="14.5">
      <c r="A217" s="3214">
        <v>113901</v>
      </c>
      <c r="B217" s="380" t="str">
        <f t="shared" si="3"/>
        <v>113-901</v>
      </c>
      <c r="C217" s="3215" t="s">
        <v>11690</v>
      </c>
      <c r="D217" s="3216">
        <v>0.82110000000000005</v>
      </c>
    </row>
    <row r="218" spans="1:4" ht="14.5">
      <c r="A218" s="3214">
        <v>101906</v>
      </c>
      <c r="B218" s="380" t="str">
        <f t="shared" si="3"/>
        <v>101-906</v>
      </c>
      <c r="C218" s="3215" t="s">
        <v>11691</v>
      </c>
      <c r="D218" s="3216">
        <v>0.80459999999999998</v>
      </c>
    </row>
    <row r="219" spans="1:4" ht="14.5">
      <c r="A219" s="3214">
        <v>54901</v>
      </c>
      <c r="B219" s="380" t="str">
        <f t="shared" si="3"/>
        <v>054-901</v>
      </c>
      <c r="C219" s="3215" t="s">
        <v>11692</v>
      </c>
      <c r="D219" s="3216">
        <v>0.89410000000000001</v>
      </c>
    </row>
    <row r="220" spans="1:4" ht="14.5">
      <c r="A220" s="3214">
        <v>30901</v>
      </c>
      <c r="B220" s="380" t="str">
        <f t="shared" si="3"/>
        <v>030-901</v>
      </c>
      <c r="C220" s="3215" t="s">
        <v>11693</v>
      </c>
      <c r="D220" s="3216">
        <v>0.80459999999999998</v>
      </c>
    </row>
    <row r="221" spans="1:4" ht="14.5">
      <c r="A221" s="3214">
        <v>107904</v>
      </c>
      <c r="B221" s="380" t="str">
        <f t="shared" si="3"/>
        <v>107-904</v>
      </c>
      <c r="C221" s="3215" t="s">
        <v>11694</v>
      </c>
      <c r="D221" s="3216">
        <v>0.80459999999999998</v>
      </c>
    </row>
    <row r="222" spans="1:4" ht="14.5">
      <c r="A222" s="3214">
        <v>78901</v>
      </c>
      <c r="B222" s="380" t="str">
        <f t="shared" si="3"/>
        <v>078-901</v>
      </c>
      <c r="C222" s="3215" t="s">
        <v>11695</v>
      </c>
      <c r="D222" s="3216">
        <v>0.82199999999999995</v>
      </c>
    </row>
    <row r="223" spans="1:4" ht="14.5">
      <c r="A223" s="3214">
        <v>220912</v>
      </c>
      <c r="B223" s="380" t="str">
        <f t="shared" si="3"/>
        <v>220-912</v>
      </c>
      <c r="C223" s="3215" t="s">
        <v>11696</v>
      </c>
      <c r="D223" s="3216">
        <v>0.80459999999999998</v>
      </c>
    </row>
    <row r="224" spans="1:4" ht="14.5">
      <c r="A224" s="3214">
        <v>254901</v>
      </c>
      <c r="B224" s="380" t="str">
        <f t="shared" si="3"/>
        <v>254-901</v>
      </c>
      <c r="C224" s="3215" t="s">
        <v>11697</v>
      </c>
      <c r="D224" s="3216">
        <v>0.87290000000000001</v>
      </c>
    </row>
    <row r="225" spans="1:4" ht="14.5">
      <c r="A225" s="3214">
        <v>62901</v>
      </c>
      <c r="B225" s="380" t="str">
        <f t="shared" si="3"/>
        <v>062-901</v>
      </c>
      <c r="C225" s="3215" t="s">
        <v>11698</v>
      </c>
      <c r="D225" s="3216">
        <v>0.80459999999999998</v>
      </c>
    </row>
    <row r="226" spans="1:4" ht="14.5">
      <c r="A226" s="3214">
        <v>55901</v>
      </c>
      <c r="B226" s="380" t="str">
        <f t="shared" si="3"/>
        <v>055-901</v>
      </c>
      <c r="C226" s="3215" t="s">
        <v>11699</v>
      </c>
      <c r="D226" s="3216">
        <v>0.80459999999999998</v>
      </c>
    </row>
    <row r="227" spans="1:4" ht="14.5">
      <c r="A227" s="3214">
        <v>112905</v>
      </c>
      <c r="B227" s="380" t="str">
        <f t="shared" si="3"/>
        <v>112-905</v>
      </c>
      <c r="C227" s="3215" t="s">
        <v>11700</v>
      </c>
      <c r="D227" s="3216">
        <v>0.80459999999999998</v>
      </c>
    </row>
    <row r="228" spans="1:4" ht="14.5">
      <c r="A228" s="3214">
        <v>174902</v>
      </c>
      <c r="B228" s="380" t="str">
        <f t="shared" si="3"/>
        <v>174-902</v>
      </c>
      <c r="C228" s="3215" t="s">
        <v>11701</v>
      </c>
      <c r="D228" s="3216">
        <v>0.83699999999999997</v>
      </c>
    </row>
    <row r="229" spans="1:4" ht="14.5">
      <c r="A229" s="3214">
        <v>101907</v>
      </c>
      <c r="B229" s="380" t="str">
        <f t="shared" si="3"/>
        <v>101-907</v>
      </c>
      <c r="C229" s="3215" t="s">
        <v>11702</v>
      </c>
      <c r="D229" s="3216">
        <v>0.81479999999999997</v>
      </c>
    </row>
    <row r="230" spans="1:4" ht="14.5">
      <c r="A230" s="3214">
        <v>172902</v>
      </c>
      <c r="B230" s="380" t="str">
        <f t="shared" si="3"/>
        <v>172-902</v>
      </c>
      <c r="C230" s="3215" t="s">
        <v>11703</v>
      </c>
      <c r="D230" s="3216">
        <v>0.88400000000000001</v>
      </c>
    </row>
    <row r="231" spans="1:4" ht="14.5">
      <c r="A231" s="3214">
        <v>56901</v>
      </c>
      <c r="B231" s="380" t="str">
        <f t="shared" si="3"/>
        <v>056-901</v>
      </c>
      <c r="C231" s="3215" t="s">
        <v>11704</v>
      </c>
      <c r="D231" s="3216">
        <v>0.85360000000000003</v>
      </c>
    </row>
    <row r="232" spans="1:4" ht="14.5">
      <c r="A232" s="3214">
        <v>57905</v>
      </c>
      <c r="B232" s="380" t="str">
        <f t="shared" si="3"/>
        <v>057-905</v>
      </c>
      <c r="C232" s="3215" t="s">
        <v>11705</v>
      </c>
      <c r="D232" s="3216">
        <v>0.80459999999999998</v>
      </c>
    </row>
    <row r="233" spans="1:4" ht="14.5">
      <c r="A233" s="3214">
        <v>20910</v>
      </c>
      <c r="B233" s="380" t="str">
        <f t="shared" si="3"/>
        <v>020-910</v>
      </c>
      <c r="C233" s="3215" t="s">
        <v>11706</v>
      </c>
      <c r="D233" s="3216">
        <v>0.80459999999999998</v>
      </c>
    </row>
    <row r="234" spans="1:4" ht="14.5">
      <c r="A234" s="3214">
        <v>20904</v>
      </c>
      <c r="B234" s="380" t="str">
        <f t="shared" si="3"/>
        <v>020-904</v>
      </c>
      <c r="C234" s="3215" t="s">
        <v>11707</v>
      </c>
      <c r="D234" s="3216">
        <v>0.80459999999999998</v>
      </c>
    </row>
    <row r="235" spans="1:4" ht="14.5">
      <c r="A235" s="3214">
        <v>148905</v>
      </c>
      <c r="B235" s="380" t="str">
        <f t="shared" si="3"/>
        <v>148-905</v>
      </c>
      <c r="C235" s="3215" t="s">
        <v>11708</v>
      </c>
      <c r="D235" s="3216">
        <v>0.80459999999999998</v>
      </c>
    </row>
    <row r="236" spans="1:4" ht="14.5">
      <c r="A236" s="3214">
        <v>175904</v>
      </c>
      <c r="B236" s="380" t="str">
        <f t="shared" si="3"/>
        <v>175-904</v>
      </c>
      <c r="C236" s="3215" t="s">
        <v>11709</v>
      </c>
      <c r="D236" s="3216">
        <v>0.80459999999999998</v>
      </c>
    </row>
    <row r="237" spans="1:4" ht="14.5">
      <c r="A237" s="3214">
        <v>58902</v>
      </c>
      <c r="B237" s="380" t="str">
        <f t="shared" si="3"/>
        <v>058-902</v>
      </c>
      <c r="C237" s="3215" t="s">
        <v>11709</v>
      </c>
      <c r="D237" s="3216">
        <v>0.80459999999999998</v>
      </c>
    </row>
    <row r="238" spans="1:4" ht="14.5">
      <c r="A238" s="3214">
        <v>146902</v>
      </c>
      <c r="B238" s="380" t="str">
        <f t="shared" si="3"/>
        <v>146-902</v>
      </c>
      <c r="C238" s="3215" t="s">
        <v>11710</v>
      </c>
      <c r="D238" s="3216">
        <v>0.80459999999999998</v>
      </c>
    </row>
    <row r="239" spans="1:4" ht="14.5">
      <c r="A239" s="3214">
        <v>47902</v>
      </c>
      <c r="B239" s="380" t="str">
        <f t="shared" si="3"/>
        <v>047-902</v>
      </c>
      <c r="C239" s="3215" t="s">
        <v>11711</v>
      </c>
      <c r="D239" s="3216">
        <v>0.80459999999999998</v>
      </c>
    </row>
    <row r="240" spans="1:4" ht="14.5">
      <c r="A240" s="3214">
        <v>249905</v>
      </c>
      <c r="B240" s="380" t="str">
        <f t="shared" si="3"/>
        <v>249-905</v>
      </c>
      <c r="C240" s="3215" t="s">
        <v>11712</v>
      </c>
      <c r="D240" s="3216">
        <v>0.80459999999999998</v>
      </c>
    </row>
    <row r="241" spans="1:4" ht="14.5">
      <c r="A241" s="3214">
        <v>101908</v>
      </c>
      <c r="B241" s="380" t="str">
        <f t="shared" si="3"/>
        <v>101-908</v>
      </c>
      <c r="C241" s="3215" t="s">
        <v>11713</v>
      </c>
      <c r="D241" s="3216">
        <v>0.80720000000000003</v>
      </c>
    </row>
    <row r="242" spans="1:4" ht="14.5">
      <c r="A242" s="3214">
        <v>19901</v>
      </c>
      <c r="B242" s="380" t="str">
        <f t="shared" si="3"/>
        <v>019-901</v>
      </c>
      <c r="C242" s="3215" t="s">
        <v>11714</v>
      </c>
      <c r="D242" s="3216">
        <v>0.86050000000000004</v>
      </c>
    </row>
    <row r="243" spans="1:4" ht="14.5">
      <c r="A243" s="3214">
        <v>227910</v>
      </c>
      <c r="B243" s="380" t="str">
        <f t="shared" si="3"/>
        <v>227-910</v>
      </c>
      <c r="C243" s="3215" t="s">
        <v>11715</v>
      </c>
      <c r="D243" s="3216">
        <v>0.80459999999999998</v>
      </c>
    </row>
    <row r="244" spans="1:4" ht="14.5">
      <c r="A244" s="3214">
        <v>115903</v>
      </c>
      <c r="B244" s="380" t="str">
        <f t="shared" si="3"/>
        <v>115-903</v>
      </c>
      <c r="C244" s="3215" t="s">
        <v>11716</v>
      </c>
      <c r="D244" s="3216">
        <v>0.89410000000000001</v>
      </c>
    </row>
    <row r="245" spans="1:4" ht="14.5">
      <c r="A245" s="3214">
        <v>91903</v>
      </c>
      <c r="B245" s="380" t="str">
        <f t="shared" si="3"/>
        <v>091-903</v>
      </c>
      <c r="C245" s="3215" t="s">
        <v>11717</v>
      </c>
      <c r="D245" s="3216">
        <v>0.80459999999999998</v>
      </c>
    </row>
    <row r="246" spans="1:4" ht="14.5">
      <c r="A246" s="3214">
        <v>61901</v>
      </c>
      <c r="B246" s="380" t="str">
        <f t="shared" si="3"/>
        <v>061-901</v>
      </c>
      <c r="C246" s="3215" t="s">
        <v>11718</v>
      </c>
      <c r="D246" s="3216">
        <v>0.80459999999999998</v>
      </c>
    </row>
    <row r="247" spans="1:4" ht="14.5">
      <c r="A247" s="3214">
        <v>251901</v>
      </c>
      <c r="B247" s="380" t="str">
        <f t="shared" si="3"/>
        <v>251-901</v>
      </c>
      <c r="C247" s="3215" t="s">
        <v>11719</v>
      </c>
      <c r="D247" s="3216">
        <v>0.80459999999999998</v>
      </c>
    </row>
    <row r="248" spans="1:4" ht="14.5">
      <c r="A248" s="3214">
        <v>57906</v>
      </c>
      <c r="B248" s="380" t="str">
        <f t="shared" si="3"/>
        <v>057-906</v>
      </c>
      <c r="C248" s="3215" t="s">
        <v>11720</v>
      </c>
      <c r="D248" s="3216">
        <v>0.80459999999999998</v>
      </c>
    </row>
    <row r="249" spans="1:4" ht="14.5">
      <c r="A249" s="3214">
        <v>194905</v>
      </c>
      <c r="B249" s="380" t="str">
        <f t="shared" si="3"/>
        <v>194-905</v>
      </c>
      <c r="C249" s="3215" t="s">
        <v>11721</v>
      </c>
      <c r="D249" s="3216">
        <v>0.80459999999999998</v>
      </c>
    </row>
    <row r="250" spans="1:4" ht="14.5">
      <c r="A250" s="3214">
        <v>146903</v>
      </c>
      <c r="B250" s="380" t="str">
        <f t="shared" si="3"/>
        <v>146-903</v>
      </c>
      <c r="C250" s="3215" t="s">
        <v>11722</v>
      </c>
      <c r="D250" s="3216">
        <v>0.84760000000000002</v>
      </c>
    </row>
    <row r="251" spans="1:4" ht="14.5">
      <c r="A251" s="3214">
        <v>163901</v>
      </c>
      <c r="B251" s="380" t="str">
        <f t="shared" si="3"/>
        <v>163-901</v>
      </c>
      <c r="C251" s="3215" t="s">
        <v>11723</v>
      </c>
      <c r="D251" s="3216">
        <v>0.80459999999999998</v>
      </c>
    </row>
    <row r="252" spans="1:4" ht="14.5">
      <c r="A252" s="3214">
        <v>81906</v>
      </c>
      <c r="B252" s="380" t="str">
        <f t="shared" si="3"/>
        <v>081-906</v>
      </c>
      <c r="C252" s="3215" t="s">
        <v>11724</v>
      </c>
      <c r="D252" s="3216">
        <v>0.80459999999999998</v>
      </c>
    </row>
    <row r="253" spans="1:4" ht="14.5">
      <c r="A253" s="3214">
        <v>176903</v>
      </c>
      <c r="B253" s="380" t="str">
        <f t="shared" si="3"/>
        <v>176-903</v>
      </c>
      <c r="C253" s="3215" t="s">
        <v>11725</v>
      </c>
      <c r="D253" s="3216">
        <v>0.81120000000000003</v>
      </c>
    </row>
    <row r="254" spans="1:4" ht="14.5">
      <c r="A254" s="3214">
        <v>163902</v>
      </c>
      <c r="B254" s="380" t="str">
        <f t="shared" si="3"/>
        <v>163-902</v>
      </c>
      <c r="C254" s="3215" t="s">
        <v>11726</v>
      </c>
      <c r="D254" s="3216">
        <v>0.8206</v>
      </c>
    </row>
    <row r="255" spans="1:4" ht="14.5">
      <c r="A255" s="3214">
        <v>3905</v>
      </c>
      <c r="B255" s="380" t="str">
        <f t="shared" si="3"/>
        <v>003-905</v>
      </c>
      <c r="C255" s="3215" t="s">
        <v>11727</v>
      </c>
      <c r="D255" s="3216">
        <v>0.80459999999999998</v>
      </c>
    </row>
    <row r="256" spans="1:4" ht="14.5">
      <c r="A256" s="3214">
        <v>84901</v>
      </c>
      <c r="B256" s="380" t="str">
        <f t="shared" si="3"/>
        <v>084-901</v>
      </c>
      <c r="C256" s="3215" t="s">
        <v>11728</v>
      </c>
      <c r="D256" s="3216">
        <v>0.80459999999999998</v>
      </c>
    </row>
    <row r="257" spans="1:4" ht="14.5">
      <c r="A257" s="3214">
        <v>82902</v>
      </c>
      <c r="B257" s="380" t="str">
        <f t="shared" si="3"/>
        <v>082-902</v>
      </c>
      <c r="C257" s="3215" t="s">
        <v>11729</v>
      </c>
      <c r="D257" s="3216">
        <v>0.80459999999999998</v>
      </c>
    </row>
    <row r="258" spans="1:4" ht="14.5">
      <c r="A258" s="3214">
        <v>144903</v>
      </c>
      <c r="B258" s="380" t="str">
        <f t="shared" si="3"/>
        <v>144-903</v>
      </c>
      <c r="C258" s="3215" t="s">
        <v>11730</v>
      </c>
      <c r="D258" s="3216">
        <v>0.80459999999999998</v>
      </c>
    </row>
    <row r="259" spans="1:4" ht="14.5">
      <c r="A259" s="3214">
        <v>35901</v>
      </c>
      <c r="B259" s="380" t="str">
        <f t="shared" ref="B259:B322" si="4">CONCATENATE(LEFT(RIGHT(CONCATENATE("000",A259),6),3),"-",(RIGHT(RIGHT(CONCATENATE("000",A259),6),3)))</f>
        <v>035-901</v>
      </c>
      <c r="C259" s="3215" t="s">
        <v>11731</v>
      </c>
      <c r="D259" s="3216">
        <v>0.80459999999999998</v>
      </c>
    </row>
    <row r="260" spans="1:4" ht="14.5">
      <c r="A260" s="3214">
        <v>133905</v>
      </c>
      <c r="B260" s="380" t="str">
        <f t="shared" si="4"/>
        <v>133-905</v>
      </c>
      <c r="C260" s="3215" t="s">
        <v>11732</v>
      </c>
      <c r="D260" s="3216">
        <v>0.80459999999999998</v>
      </c>
    </row>
    <row r="261" spans="1:4" ht="14.5">
      <c r="A261" s="3214">
        <v>74904</v>
      </c>
      <c r="B261" s="380" t="str">
        <f t="shared" si="4"/>
        <v>074-904</v>
      </c>
      <c r="C261" s="3215" t="s">
        <v>11733</v>
      </c>
      <c r="D261" s="3216">
        <v>0.80459999999999998</v>
      </c>
    </row>
    <row r="262" spans="1:4" ht="14.5">
      <c r="A262" s="3214">
        <v>108902</v>
      </c>
      <c r="B262" s="380" t="str">
        <f t="shared" si="4"/>
        <v>108-902</v>
      </c>
      <c r="C262" s="3215" t="s">
        <v>11734</v>
      </c>
      <c r="D262" s="3216">
        <v>0.80459999999999998</v>
      </c>
    </row>
    <row r="263" spans="1:4" ht="14.5">
      <c r="A263" s="3214">
        <v>86024</v>
      </c>
      <c r="B263" s="380" t="str">
        <f t="shared" si="4"/>
        <v>086-024</v>
      </c>
      <c r="C263" s="3215" t="s">
        <v>11735</v>
      </c>
      <c r="D263" s="3216">
        <v>0.80459999999999998</v>
      </c>
    </row>
    <row r="264" spans="1:4" ht="14.5">
      <c r="A264" s="3214">
        <v>174911</v>
      </c>
      <c r="B264" s="380" t="str">
        <f t="shared" si="4"/>
        <v>174-911</v>
      </c>
      <c r="C264" s="3215" t="s">
        <v>11736</v>
      </c>
      <c r="D264" s="3216">
        <v>0.82069999999999999</v>
      </c>
    </row>
    <row r="265" spans="1:4" ht="14.5">
      <c r="A265" s="3214">
        <v>105904</v>
      </c>
      <c r="B265" s="380" t="str">
        <f t="shared" si="4"/>
        <v>105-904</v>
      </c>
      <c r="C265" s="3215" t="s">
        <v>11737</v>
      </c>
      <c r="D265" s="3216">
        <v>0.80459999999999998</v>
      </c>
    </row>
    <row r="266" spans="1:4" ht="14.5">
      <c r="A266" s="3214">
        <v>178905</v>
      </c>
      <c r="B266" s="380" t="str">
        <f t="shared" si="4"/>
        <v>178-905</v>
      </c>
      <c r="C266" s="3215" t="s">
        <v>11738</v>
      </c>
      <c r="D266" s="3216">
        <v>0.81010000000000004</v>
      </c>
    </row>
    <row r="267" spans="1:4" ht="14.5">
      <c r="A267" s="3214">
        <v>72902</v>
      </c>
      <c r="B267" s="380" t="str">
        <f t="shared" si="4"/>
        <v>072-902</v>
      </c>
      <c r="C267" s="3215" t="s">
        <v>11739</v>
      </c>
      <c r="D267" s="3216">
        <v>0.80459999999999998</v>
      </c>
    </row>
    <row r="268" spans="1:4" ht="14.5">
      <c r="A268" s="3214">
        <v>171901</v>
      </c>
      <c r="B268" s="380" t="str">
        <f t="shared" si="4"/>
        <v>171-901</v>
      </c>
      <c r="C268" s="3215" t="s">
        <v>11740</v>
      </c>
      <c r="D268" s="3216">
        <v>0.80459999999999998</v>
      </c>
    </row>
    <row r="269" spans="1:4" ht="14.5">
      <c r="A269" s="3214">
        <v>57907</v>
      </c>
      <c r="B269" s="380" t="str">
        <f t="shared" si="4"/>
        <v>057-907</v>
      </c>
      <c r="C269" s="3215" t="s">
        <v>11741</v>
      </c>
      <c r="D269" s="3216">
        <v>0.80459999999999998</v>
      </c>
    </row>
    <row r="270" spans="1:4" ht="14.5">
      <c r="A270" s="3214">
        <v>220918</v>
      </c>
      <c r="B270" s="380" t="str">
        <f t="shared" si="4"/>
        <v>220-918</v>
      </c>
      <c r="C270" s="3215" t="s">
        <v>11742</v>
      </c>
      <c r="D270" s="3216">
        <v>0.80459999999999998</v>
      </c>
    </row>
    <row r="271" spans="1:4" ht="14.5">
      <c r="A271" s="3214">
        <v>159901</v>
      </c>
      <c r="B271" s="380" t="str">
        <f t="shared" si="4"/>
        <v>159-901</v>
      </c>
      <c r="C271" s="3215" t="s">
        <v>11743</v>
      </c>
      <c r="D271" s="3216">
        <v>0.80459999999999998</v>
      </c>
    </row>
    <row r="272" spans="1:4" ht="14.5">
      <c r="A272" s="3214">
        <v>227909</v>
      </c>
      <c r="B272" s="380" t="str">
        <f t="shared" si="4"/>
        <v>227-909</v>
      </c>
      <c r="C272" s="3215" t="s">
        <v>11744</v>
      </c>
      <c r="D272" s="3216">
        <v>0.80459999999999998</v>
      </c>
    </row>
    <row r="273" spans="1:4" ht="14.5">
      <c r="A273" s="3214">
        <v>25909</v>
      </c>
      <c r="B273" s="380" t="str">
        <f t="shared" si="4"/>
        <v>025-909</v>
      </c>
      <c r="C273" s="3215" t="s">
        <v>11745</v>
      </c>
      <c r="D273" s="3216">
        <v>0.80459999999999998</v>
      </c>
    </row>
    <row r="274" spans="1:4" ht="14.5">
      <c r="A274" s="3214">
        <v>241902</v>
      </c>
      <c r="B274" s="380" t="str">
        <f t="shared" si="4"/>
        <v>241-902</v>
      </c>
      <c r="C274" s="3215" t="s">
        <v>11746</v>
      </c>
      <c r="D274" s="3216">
        <v>0.80459999999999998</v>
      </c>
    </row>
    <row r="275" spans="1:4" ht="14.5">
      <c r="A275" s="3214">
        <v>15911</v>
      </c>
      <c r="B275" s="380" t="str">
        <f t="shared" si="4"/>
        <v>015-911</v>
      </c>
      <c r="C275" s="3215" t="s">
        <v>11747</v>
      </c>
      <c r="D275" s="3216">
        <v>0.80459999999999998</v>
      </c>
    </row>
    <row r="276" spans="1:4" ht="14.5">
      <c r="A276" s="3214">
        <v>36903</v>
      </c>
      <c r="B276" s="380" t="str">
        <f t="shared" si="4"/>
        <v>036-903</v>
      </c>
      <c r="C276" s="3215" t="s">
        <v>11748</v>
      </c>
      <c r="D276" s="3216">
        <v>0.80459999999999998</v>
      </c>
    </row>
    <row r="277" spans="1:4" ht="14.5">
      <c r="A277" s="3214">
        <v>67903</v>
      </c>
      <c r="B277" s="380" t="str">
        <f t="shared" si="4"/>
        <v>067-903</v>
      </c>
      <c r="C277" s="3215" t="s">
        <v>11749</v>
      </c>
      <c r="D277" s="3216">
        <v>0.80459999999999998</v>
      </c>
    </row>
    <row r="278" spans="1:4" ht="14.5">
      <c r="A278" s="3214">
        <v>68901</v>
      </c>
      <c r="B278" s="380" t="str">
        <f t="shared" si="4"/>
        <v>068-901</v>
      </c>
      <c r="C278" s="3215" t="s">
        <v>11750</v>
      </c>
      <c r="D278" s="3216">
        <v>0.8427</v>
      </c>
    </row>
    <row r="279" spans="1:4" ht="14.5">
      <c r="A279" s="3214">
        <v>74905</v>
      </c>
      <c r="B279" s="380" t="str">
        <f t="shared" si="4"/>
        <v>074-905</v>
      </c>
      <c r="C279" s="3215" t="s">
        <v>11751</v>
      </c>
      <c r="D279" s="3216">
        <v>0.80459999999999998</v>
      </c>
    </row>
    <row r="280" spans="1:4" ht="14.5">
      <c r="A280" s="3214">
        <v>108903</v>
      </c>
      <c r="B280" s="380" t="str">
        <f t="shared" si="4"/>
        <v>108-903</v>
      </c>
      <c r="C280" s="3215" t="s">
        <v>11752</v>
      </c>
      <c r="D280" s="3216">
        <v>0.82199999999999995</v>
      </c>
    </row>
    <row r="281" spans="1:4" ht="14.5">
      <c r="A281" s="3214">
        <v>48901</v>
      </c>
      <c r="B281" s="380" t="str">
        <f t="shared" si="4"/>
        <v>048-901</v>
      </c>
      <c r="C281" s="3215" t="s">
        <v>11753</v>
      </c>
      <c r="D281" s="3216">
        <v>0.82199999999999995</v>
      </c>
    </row>
    <row r="282" spans="1:4" ht="14.5">
      <c r="A282" s="3214">
        <v>15905</v>
      </c>
      <c r="B282" s="380" t="str">
        <f t="shared" si="4"/>
        <v>015-905</v>
      </c>
      <c r="C282" s="3215" t="s">
        <v>11754</v>
      </c>
      <c r="D282" s="3216">
        <v>0.80459999999999998</v>
      </c>
    </row>
    <row r="283" spans="1:4" ht="14.5">
      <c r="A283" s="3214">
        <v>234903</v>
      </c>
      <c r="B283" s="380" t="str">
        <f t="shared" si="4"/>
        <v>234-903</v>
      </c>
      <c r="C283" s="3215" t="s">
        <v>11754</v>
      </c>
      <c r="D283" s="3216">
        <v>0.80459999999999998</v>
      </c>
    </row>
    <row r="284" spans="1:4" ht="14.5">
      <c r="A284" s="3214">
        <v>108904</v>
      </c>
      <c r="B284" s="380" t="str">
        <f t="shared" si="4"/>
        <v>108-904</v>
      </c>
      <c r="C284" s="3215" t="s">
        <v>11755</v>
      </c>
      <c r="D284" s="3216">
        <v>0.80459999999999998</v>
      </c>
    </row>
    <row r="285" spans="1:4" ht="14.5">
      <c r="A285" s="3214">
        <v>120901</v>
      </c>
      <c r="B285" s="380" t="str">
        <f t="shared" si="4"/>
        <v>120-901</v>
      </c>
      <c r="C285" s="3215" t="s">
        <v>11756</v>
      </c>
      <c r="D285" s="3216">
        <v>0.80459999999999998</v>
      </c>
    </row>
    <row r="286" spans="1:4" ht="14.5">
      <c r="A286" s="3214">
        <v>241903</v>
      </c>
      <c r="B286" s="380" t="str">
        <f t="shared" si="4"/>
        <v>241-903</v>
      </c>
      <c r="C286" s="3215" t="s">
        <v>11757</v>
      </c>
      <c r="D286" s="3216">
        <v>0.8427</v>
      </c>
    </row>
    <row r="287" spans="1:4" ht="14.5">
      <c r="A287" s="3214">
        <v>71902</v>
      </c>
      <c r="B287" s="380" t="str">
        <f t="shared" si="4"/>
        <v>071-902</v>
      </c>
      <c r="C287" s="3215" t="s">
        <v>11758</v>
      </c>
      <c r="D287" s="3216">
        <v>0.86780000000000002</v>
      </c>
    </row>
    <row r="288" spans="1:4" ht="14.5">
      <c r="A288" s="3214">
        <v>243902</v>
      </c>
      <c r="B288" s="380" t="str">
        <f t="shared" si="4"/>
        <v>243-902</v>
      </c>
      <c r="C288" s="3215" t="s">
        <v>11759</v>
      </c>
      <c r="D288" s="3216">
        <v>0.80459999999999998</v>
      </c>
    </row>
    <row r="289" spans="1:4" ht="14.5">
      <c r="A289" s="3214">
        <v>11902</v>
      </c>
      <c r="B289" s="380" t="str">
        <f t="shared" si="4"/>
        <v>011-902</v>
      </c>
      <c r="C289" s="3215" t="s">
        <v>11760</v>
      </c>
      <c r="D289" s="3216">
        <v>0.80459999999999998</v>
      </c>
    </row>
    <row r="290" spans="1:4" ht="14.5">
      <c r="A290" s="3214">
        <v>1903</v>
      </c>
      <c r="B290" s="380" t="str">
        <f t="shared" si="4"/>
        <v>001-903</v>
      </c>
      <c r="C290" s="3215" t="s">
        <v>11761</v>
      </c>
      <c r="D290" s="3216">
        <v>0.81879999999999997</v>
      </c>
    </row>
    <row r="291" spans="1:4" ht="14.5">
      <c r="A291" s="3214">
        <v>102906</v>
      </c>
      <c r="B291" s="380" t="str">
        <f t="shared" si="4"/>
        <v>102-906</v>
      </c>
      <c r="C291" s="3215" t="s">
        <v>11762</v>
      </c>
      <c r="D291" s="3216">
        <v>0.80459999999999998</v>
      </c>
    </row>
    <row r="292" spans="1:4" ht="14.5">
      <c r="A292" s="3214">
        <v>70903</v>
      </c>
      <c r="B292" s="380" t="str">
        <f t="shared" si="4"/>
        <v>070-903</v>
      </c>
      <c r="C292" s="3215" t="s">
        <v>11763</v>
      </c>
      <c r="D292" s="3216">
        <v>0.80459999999999998</v>
      </c>
    </row>
    <row r="293" spans="1:4" ht="14.5">
      <c r="A293" s="3214">
        <v>49906</v>
      </c>
      <c r="B293" s="380" t="str">
        <f t="shared" si="4"/>
        <v>049-906</v>
      </c>
      <c r="C293" s="3215" t="s">
        <v>11764</v>
      </c>
      <c r="D293" s="3216">
        <v>0.80459999999999998</v>
      </c>
    </row>
    <row r="294" spans="1:4" ht="14.5">
      <c r="A294" s="3214">
        <v>30906</v>
      </c>
      <c r="B294" s="380" t="str">
        <f t="shared" si="4"/>
        <v>030-906</v>
      </c>
      <c r="C294" s="3215" t="s">
        <v>11765</v>
      </c>
      <c r="D294" s="3216">
        <v>0.80459999999999998</v>
      </c>
    </row>
    <row r="295" spans="1:4" ht="14.5">
      <c r="A295" s="3214">
        <v>107905</v>
      </c>
      <c r="B295" s="380" t="str">
        <f t="shared" si="4"/>
        <v>107-905</v>
      </c>
      <c r="C295" s="3215" t="s">
        <v>11766</v>
      </c>
      <c r="D295" s="3216">
        <v>0.80459999999999998</v>
      </c>
    </row>
    <row r="296" spans="1:4" ht="14.5">
      <c r="A296" s="3214">
        <v>121906</v>
      </c>
      <c r="B296" s="380" t="str">
        <f t="shared" si="4"/>
        <v>121-906</v>
      </c>
      <c r="C296" s="3215" t="s">
        <v>11767</v>
      </c>
      <c r="D296" s="3216">
        <v>0.89410000000000001</v>
      </c>
    </row>
    <row r="297" spans="1:4" ht="14.5">
      <c r="A297" s="3214">
        <v>50901</v>
      </c>
      <c r="B297" s="380" t="str">
        <f t="shared" si="4"/>
        <v>050-901</v>
      </c>
      <c r="C297" s="3215" t="s">
        <v>11768</v>
      </c>
      <c r="D297" s="3216">
        <v>0.80459999999999998</v>
      </c>
    </row>
    <row r="298" spans="1:4" ht="14.5">
      <c r="A298" s="3214">
        <v>220904</v>
      </c>
      <c r="B298" s="380" t="str">
        <f t="shared" si="4"/>
        <v>220-904</v>
      </c>
      <c r="C298" s="3215" t="s">
        <v>11769</v>
      </c>
      <c r="D298" s="3216">
        <v>0.80459999999999998</v>
      </c>
    </row>
    <row r="299" spans="1:4" ht="14.5">
      <c r="A299" s="3214">
        <v>210906</v>
      </c>
      <c r="B299" s="380" t="str">
        <f t="shared" si="4"/>
        <v>210-906</v>
      </c>
      <c r="C299" s="3215" t="s">
        <v>11770</v>
      </c>
      <c r="D299" s="3216">
        <v>0.89410000000000001</v>
      </c>
    </row>
    <row r="300" spans="1:4" ht="14.5">
      <c r="A300" s="3214">
        <v>143906</v>
      </c>
      <c r="B300" s="380" t="str">
        <f t="shared" si="4"/>
        <v>143-906</v>
      </c>
      <c r="C300" s="3215" t="s">
        <v>11771</v>
      </c>
      <c r="D300" s="3216">
        <v>0.82550000000000001</v>
      </c>
    </row>
    <row r="301" spans="1:4" ht="14.5">
      <c r="A301" s="3214">
        <v>71903</v>
      </c>
      <c r="B301" s="380" t="str">
        <f t="shared" si="4"/>
        <v>071-903</v>
      </c>
      <c r="C301" s="3215" t="s">
        <v>11772</v>
      </c>
      <c r="D301" s="3216">
        <v>0.86709999999999998</v>
      </c>
    </row>
    <row r="302" spans="1:4" ht="14.5">
      <c r="A302" s="3214">
        <v>81902</v>
      </c>
      <c r="B302" s="380" t="str">
        <f t="shared" si="4"/>
        <v>081-902</v>
      </c>
      <c r="C302" s="3215" t="s">
        <v>11773</v>
      </c>
      <c r="D302" s="3216">
        <v>0.80459999999999998</v>
      </c>
    </row>
    <row r="303" spans="1:4" ht="14.5">
      <c r="A303" s="3214">
        <v>128904</v>
      </c>
      <c r="B303" s="380" t="str">
        <f t="shared" si="4"/>
        <v>128-904</v>
      </c>
      <c r="C303" s="3215" t="s">
        <v>11774</v>
      </c>
      <c r="D303" s="3216">
        <v>0.80459999999999998</v>
      </c>
    </row>
    <row r="304" spans="1:4" ht="14.5">
      <c r="A304" s="3214">
        <v>60914</v>
      </c>
      <c r="B304" s="380" t="str">
        <f t="shared" si="4"/>
        <v>060-914</v>
      </c>
      <c r="C304" s="3215" t="s">
        <v>11775</v>
      </c>
      <c r="D304" s="3216">
        <v>0.80459999999999998</v>
      </c>
    </row>
    <row r="305" spans="1:4" ht="14.5">
      <c r="A305" s="3214">
        <v>43904</v>
      </c>
      <c r="B305" s="380" t="str">
        <f t="shared" si="4"/>
        <v>043-904</v>
      </c>
      <c r="C305" s="3215" t="s">
        <v>11776</v>
      </c>
      <c r="D305" s="3216">
        <v>0.80459999999999998</v>
      </c>
    </row>
    <row r="306" spans="1:4" ht="14.5">
      <c r="A306" s="3214">
        <v>185902</v>
      </c>
      <c r="B306" s="380" t="str">
        <f t="shared" si="4"/>
        <v>185-902</v>
      </c>
      <c r="C306" s="3215" t="s">
        <v>11777</v>
      </c>
      <c r="D306" s="3216">
        <v>0.88660000000000005</v>
      </c>
    </row>
    <row r="307" spans="1:4" ht="14.5">
      <c r="A307" s="3214">
        <v>75906</v>
      </c>
      <c r="B307" s="380" t="str">
        <f t="shared" si="4"/>
        <v>075-906</v>
      </c>
      <c r="C307" s="3215" t="s">
        <v>11778</v>
      </c>
      <c r="D307" s="3216">
        <v>0.80459999999999998</v>
      </c>
    </row>
    <row r="308" spans="1:4" ht="14.5">
      <c r="A308" s="3214">
        <v>70905</v>
      </c>
      <c r="B308" s="380" t="str">
        <f t="shared" si="4"/>
        <v>070-905</v>
      </c>
      <c r="C308" s="3215" t="s">
        <v>11779</v>
      </c>
      <c r="D308" s="3216">
        <v>0.80459999999999998</v>
      </c>
    </row>
    <row r="309" spans="1:4" ht="14.5">
      <c r="A309" s="3214">
        <v>75901</v>
      </c>
      <c r="B309" s="380" t="str">
        <f t="shared" si="4"/>
        <v>075-901</v>
      </c>
      <c r="C309" s="3215" t="s">
        <v>11780</v>
      </c>
      <c r="D309" s="3216">
        <v>0.81699999999999995</v>
      </c>
    </row>
    <row r="310" spans="1:4" ht="14.5">
      <c r="A310" s="3214">
        <v>246902</v>
      </c>
      <c r="B310" s="380" t="str">
        <f t="shared" si="4"/>
        <v>246-902</v>
      </c>
      <c r="C310" s="3215" t="s">
        <v>11781</v>
      </c>
      <c r="D310" s="3216">
        <v>0.80459999999999998</v>
      </c>
    </row>
    <row r="311" spans="1:4" ht="14.5">
      <c r="A311" s="3214">
        <v>247901</v>
      </c>
      <c r="B311" s="380" t="str">
        <f t="shared" si="4"/>
        <v>247-901</v>
      </c>
      <c r="C311" s="3215" t="s">
        <v>11782</v>
      </c>
      <c r="D311" s="3216">
        <v>0.80459999999999998</v>
      </c>
    </row>
    <row r="312" spans="1:4" ht="14.5">
      <c r="A312" s="3214">
        <v>178914</v>
      </c>
      <c r="B312" s="380" t="str">
        <f t="shared" si="4"/>
        <v>178-914</v>
      </c>
      <c r="C312" s="3215" t="s">
        <v>11783</v>
      </c>
      <c r="D312" s="3216">
        <v>0.80459999999999998</v>
      </c>
    </row>
    <row r="313" spans="1:4" ht="14.5">
      <c r="A313" s="3214">
        <v>77901</v>
      </c>
      <c r="B313" s="380" t="str">
        <f t="shared" si="4"/>
        <v>077-901</v>
      </c>
      <c r="C313" s="3215" t="s">
        <v>11784</v>
      </c>
      <c r="D313" s="3216">
        <v>0.89410000000000001</v>
      </c>
    </row>
    <row r="314" spans="1:4" ht="14.5">
      <c r="A314" s="3214">
        <v>148902</v>
      </c>
      <c r="B314" s="380" t="str">
        <f t="shared" si="4"/>
        <v>148-902</v>
      </c>
      <c r="C314" s="3215" t="s">
        <v>11785</v>
      </c>
      <c r="D314" s="3216">
        <v>0.80459999999999998</v>
      </c>
    </row>
    <row r="315" spans="1:4" ht="14.5">
      <c r="A315" s="3214">
        <v>169910</v>
      </c>
      <c r="B315" s="380" t="str">
        <f t="shared" si="4"/>
        <v>169-910</v>
      </c>
      <c r="C315" s="3215" t="s">
        <v>11786</v>
      </c>
      <c r="D315" s="3216">
        <v>0.81950000000000001</v>
      </c>
    </row>
    <row r="316" spans="1:4" ht="14.5">
      <c r="A316" s="3214">
        <v>129902</v>
      </c>
      <c r="B316" s="380" t="str">
        <f t="shared" si="4"/>
        <v>129-902</v>
      </c>
      <c r="C316" s="3215" t="s">
        <v>11787</v>
      </c>
      <c r="D316" s="3216">
        <v>0.80459999999999998</v>
      </c>
    </row>
    <row r="317" spans="1:4" ht="14.5">
      <c r="A317" s="3214">
        <v>114904</v>
      </c>
      <c r="B317" s="380" t="str">
        <f t="shared" si="4"/>
        <v>114-904</v>
      </c>
      <c r="C317" s="3215" t="s">
        <v>11788</v>
      </c>
      <c r="D317" s="3216">
        <v>0.80459999999999998</v>
      </c>
    </row>
    <row r="318" spans="1:4" ht="14.5">
      <c r="A318" s="3214">
        <v>79907</v>
      </c>
      <c r="B318" s="380" t="str">
        <f t="shared" si="4"/>
        <v>079-907</v>
      </c>
      <c r="C318" s="3215" t="s">
        <v>11789</v>
      </c>
      <c r="D318" s="3216">
        <v>0.80459999999999998</v>
      </c>
    </row>
    <row r="319" spans="1:4" ht="14.5">
      <c r="A319" s="3214">
        <v>242906</v>
      </c>
      <c r="B319" s="380" t="str">
        <f t="shared" si="4"/>
        <v>242-906</v>
      </c>
      <c r="C319" s="3215" t="s">
        <v>11790</v>
      </c>
      <c r="D319" s="3216">
        <v>0.80459999999999998</v>
      </c>
    </row>
    <row r="320" spans="1:4" ht="14.5">
      <c r="A320" s="3214">
        <v>186902</v>
      </c>
      <c r="B320" s="380" t="str">
        <f t="shared" si="4"/>
        <v>186-902</v>
      </c>
      <c r="C320" s="3215" t="s">
        <v>11791</v>
      </c>
      <c r="D320" s="3216">
        <v>0.80459999999999998</v>
      </c>
    </row>
    <row r="321" spans="1:4" ht="14.5">
      <c r="A321" s="3214">
        <v>220905</v>
      </c>
      <c r="B321" s="380" t="str">
        <f t="shared" si="4"/>
        <v>220-905</v>
      </c>
      <c r="C321" s="3215" t="s">
        <v>11792</v>
      </c>
      <c r="D321" s="3216">
        <v>0.8196</v>
      </c>
    </row>
    <row r="322" spans="1:4" ht="14.5">
      <c r="A322" s="3214">
        <v>198903</v>
      </c>
      <c r="B322" s="380" t="str">
        <f t="shared" si="4"/>
        <v>198-903</v>
      </c>
      <c r="C322" s="3215" t="s">
        <v>11793</v>
      </c>
      <c r="D322" s="3216">
        <v>0.81479999999999997</v>
      </c>
    </row>
    <row r="323" spans="1:4" ht="14.5">
      <c r="A323" s="3214">
        <v>1904</v>
      </c>
      <c r="B323" s="380" t="str">
        <f t="shared" ref="B323:B386" si="5">CONCATENATE(LEFT(RIGHT(CONCATENATE("000",A323),6),3),"-",(RIGHT(RIGHT(CONCATENATE("000",A323),6),3)))</f>
        <v>001-904</v>
      </c>
      <c r="C323" s="3215" t="s">
        <v>11794</v>
      </c>
      <c r="D323" s="3216">
        <v>0.80459999999999998</v>
      </c>
    </row>
    <row r="324" spans="1:4" ht="14.5">
      <c r="A324" s="3214">
        <v>86901</v>
      </c>
      <c r="B324" s="380" t="str">
        <f t="shared" si="5"/>
        <v>086-901</v>
      </c>
      <c r="C324" s="3215" t="s">
        <v>11795</v>
      </c>
      <c r="D324" s="3216">
        <v>0.80459999999999998</v>
      </c>
    </row>
    <row r="325" spans="1:4" ht="14.5">
      <c r="A325" s="3214">
        <v>66903</v>
      </c>
      <c r="B325" s="380" t="str">
        <f t="shared" si="5"/>
        <v>066-903</v>
      </c>
      <c r="C325" s="3215" t="s">
        <v>11796</v>
      </c>
      <c r="D325" s="3216">
        <v>0.82469999999999999</v>
      </c>
    </row>
    <row r="326" spans="1:4" ht="14.5">
      <c r="A326" s="3214">
        <v>152907</v>
      </c>
      <c r="B326" s="380" t="str">
        <f t="shared" si="5"/>
        <v>152-907</v>
      </c>
      <c r="C326" s="3215" t="s">
        <v>11797</v>
      </c>
      <c r="D326" s="3216">
        <v>0.80459999999999998</v>
      </c>
    </row>
    <row r="327" spans="1:4" ht="14.5">
      <c r="A327" s="3214">
        <v>84911</v>
      </c>
      <c r="B327" s="380" t="str">
        <f t="shared" si="5"/>
        <v>084-911</v>
      </c>
      <c r="C327" s="3215" t="s">
        <v>11798</v>
      </c>
      <c r="D327" s="3216">
        <v>0.80459999999999998</v>
      </c>
    </row>
    <row r="328" spans="1:4" ht="14.5">
      <c r="A328" s="3214">
        <v>185903</v>
      </c>
      <c r="B328" s="380" t="str">
        <f t="shared" si="5"/>
        <v>185-903</v>
      </c>
      <c r="C328" s="3215" t="s">
        <v>11799</v>
      </c>
      <c r="D328" s="3216">
        <v>0.80459999999999998</v>
      </c>
    </row>
    <row r="329" spans="1:4" ht="14.5">
      <c r="A329" s="3214">
        <v>43905</v>
      </c>
      <c r="B329" s="380" t="str">
        <f t="shared" si="5"/>
        <v>043-905</v>
      </c>
      <c r="C329" s="3215" t="s">
        <v>11800</v>
      </c>
      <c r="D329" s="3216">
        <v>0.80459999999999998</v>
      </c>
    </row>
    <row r="330" spans="1:4" ht="14.5">
      <c r="A330" s="3214">
        <v>175905</v>
      </c>
      <c r="B330" s="380" t="str">
        <f t="shared" si="5"/>
        <v>175-905</v>
      </c>
      <c r="C330" s="3215" t="s">
        <v>11801</v>
      </c>
      <c r="D330" s="3216">
        <v>0.80459999999999998</v>
      </c>
    </row>
    <row r="331" spans="1:4" ht="14.5">
      <c r="A331" s="3214">
        <v>234909</v>
      </c>
      <c r="B331" s="380" t="str">
        <f t="shared" si="5"/>
        <v>234-909</v>
      </c>
      <c r="C331" s="3215" t="s">
        <v>11802</v>
      </c>
      <c r="D331" s="3216">
        <v>0.80459999999999998</v>
      </c>
    </row>
    <row r="332" spans="1:4" ht="14.5">
      <c r="A332" s="3214">
        <v>122901</v>
      </c>
      <c r="B332" s="380" t="str">
        <f t="shared" si="5"/>
        <v>122-901</v>
      </c>
      <c r="C332" s="3215" t="s">
        <v>11803</v>
      </c>
      <c r="D332" s="3216">
        <v>0.85489999999999999</v>
      </c>
    </row>
    <row r="333" spans="1:4" ht="14.5">
      <c r="A333" s="3214">
        <v>115901</v>
      </c>
      <c r="B333" s="380" t="str">
        <f t="shared" si="5"/>
        <v>115-901</v>
      </c>
      <c r="C333" s="3215" t="s">
        <v>11804</v>
      </c>
      <c r="D333" s="3216">
        <v>0.89410000000000001</v>
      </c>
    </row>
    <row r="334" spans="1:4" ht="14.5">
      <c r="A334" s="3214">
        <v>49901</v>
      </c>
      <c r="B334" s="380" t="str">
        <f t="shared" si="5"/>
        <v>049-901</v>
      </c>
      <c r="C334" s="3215" t="s">
        <v>11805</v>
      </c>
      <c r="D334" s="3216">
        <v>0.80459999999999998</v>
      </c>
    </row>
    <row r="335" spans="1:4" ht="14.5">
      <c r="A335" s="3214">
        <v>101910</v>
      </c>
      <c r="B335" s="380" t="str">
        <f t="shared" si="5"/>
        <v>101-910</v>
      </c>
      <c r="C335" s="3215" t="s">
        <v>11806</v>
      </c>
      <c r="D335" s="3216">
        <v>0.83099999999999996</v>
      </c>
    </row>
    <row r="336" spans="1:4" ht="14.5">
      <c r="A336" s="3214">
        <v>84902</v>
      </c>
      <c r="B336" s="380" t="str">
        <f t="shared" si="5"/>
        <v>084-902</v>
      </c>
      <c r="C336" s="3215" t="s">
        <v>11807</v>
      </c>
      <c r="D336" s="3216">
        <v>0.80459999999999998</v>
      </c>
    </row>
    <row r="337" spans="1:4" ht="14.5">
      <c r="A337" s="3214">
        <v>120902</v>
      </c>
      <c r="B337" s="380" t="str">
        <f t="shared" si="5"/>
        <v>120-902</v>
      </c>
      <c r="C337" s="3215" t="s">
        <v>11808</v>
      </c>
      <c r="D337" s="3216">
        <v>0.83409999999999995</v>
      </c>
    </row>
    <row r="338" spans="1:4" ht="14.5">
      <c r="A338" s="3214">
        <v>57909</v>
      </c>
      <c r="B338" s="380" t="str">
        <f t="shared" si="5"/>
        <v>057-909</v>
      </c>
      <c r="C338" s="3215" t="s">
        <v>11809</v>
      </c>
      <c r="D338" s="3216">
        <v>0.80459999999999998</v>
      </c>
    </row>
    <row r="339" spans="1:4" ht="14.5">
      <c r="A339" s="3214">
        <v>184911</v>
      </c>
      <c r="B339" s="380" t="str">
        <f t="shared" si="5"/>
        <v>184-911</v>
      </c>
      <c r="C339" s="3215" t="s">
        <v>11810</v>
      </c>
      <c r="D339" s="3216">
        <v>0.80459999999999998</v>
      </c>
    </row>
    <row r="340" spans="1:4" ht="14.5">
      <c r="A340" s="3214">
        <v>174903</v>
      </c>
      <c r="B340" s="380" t="str">
        <f t="shared" si="5"/>
        <v>174-903</v>
      </c>
      <c r="C340" s="3215" t="s">
        <v>11811</v>
      </c>
      <c r="D340" s="3216">
        <v>0.86880000000000002</v>
      </c>
    </row>
    <row r="341" spans="1:4" ht="14.5">
      <c r="A341" s="3214">
        <v>183904</v>
      </c>
      <c r="B341" s="380" t="str">
        <f t="shared" si="5"/>
        <v>183-904</v>
      </c>
      <c r="C341" s="3215" t="s">
        <v>11812</v>
      </c>
      <c r="D341" s="3216">
        <v>0.80459999999999998</v>
      </c>
    </row>
    <row r="342" spans="1:4" ht="14.5">
      <c r="A342" s="3214">
        <v>50902</v>
      </c>
      <c r="B342" s="380" t="str">
        <f t="shared" si="5"/>
        <v>050-902</v>
      </c>
      <c r="C342" s="3215" t="s">
        <v>11813</v>
      </c>
      <c r="D342" s="3216">
        <v>0.80459999999999998</v>
      </c>
    </row>
    <row r="343" spans="1:4" ht="14.5">
      <c r="A343" s="3214">
        <v>166902</v>
      </c>
      <c r="B343" s="380" t="str">
        <f t="shared" si="5"/>
        <v>166-902</v>
      </c>
      <c r="C343" s="3215" t="s">
        <v>11814</v>
      </c>
      <c r="D343" s="3216">
        <v>0.80459999999999998</v>
      </c>
    </row>
    <row r="344" spans="1:4" ht="14.5">
      <c r="A344" s="3214">
        <v>149901</v>
      </c>
      <c r="B344" s="380" t="str">
        <f t="shared" si="5"/>
        <v>149-901</v>
      </c>
      <c r="C344" s="3215" t="s">
        <v>11815</v>
      </c>
      <c r="D344" s="3216">
        <v>0.89410000000000001</v>
      </c>
    </row>
    <row r="345" spans="1:4" ht="14.5">
      <c r="A345" s="3214">
        <v>246904</v>
      </c>
      <c r="B345" s="380" t="str">
        <f t="shared" si="5"/>
        <v>246-904</v>
      </c>
      <c r="C345" s="3215" t="s">
        <v>11816</v>
      </c>
      <c r="D345" s="3216">
        <v>0.80459999999999998</v>
      </c>
    </row>
    <row r="346" spans="1:4" ht="14.5">
      <c r="A346" s="3214">
        <v>161925</v>
      </c>
      <c r="B346" s="380" t="str">
        <f t="shared" si="5"/>
        <v>161-925</v>
      </c>
      <c r="C346" s="3215" t="s">
        <v>11817</v>
      </c>
      <c r="D346" s="3216">
        <v>0.80459999999999998</v>
      </c>
    </row>
    <row r="347" spans="1:4" ht="14.5">
      <c r="A347" s="3214">
        <v>144901</v>
      </c>
      <c r="B347" s="380" t="str">
        <f t="shared" si="5"/>
        <v>144-901</v>
      </c>
      <c r="C347" s="3215" t="s">
        <v>11818</v>
      </c>
      <c r="D347" s="3216">
        <v>0.84560000000000002</v>
      </c>
    </row>
    <row r="348" spans="1:4" ht="14.5">
      <c r="A348" s="3214">
        <v>230902</v>
      </c>
      <c r="B348" s="380" t="str">
        <f t="shared" si="5"/>
        <v>230-902</v>
      </c>
      <c r="C348" s="3215" t="s">
        <v>11819</v>
      </c>
      <c r="D348" s="3216">
        <v>0.80459999999999998</v>
      </c>
    </row>
    <row r="349" spans="1:4" ht="14.5">
      <c r="A349" s="3214">
        <v>92901</v>
      </c>
      <c r="B349" s="380" t="str">
        <f t="shared" si="5"/>
        <v>092-901</v>
      </c>
      <c r="C349" s="3215" t="s">
        <v>11820</v>
      </c>
      <c r="D349" s="3216">
        <v>0.83879999999999999</v>
      </c>
    </row>
    <row r="350" spans="1:4" ht="14.5">
      <c r="A350" s="3214">
        <v>87901</v>
      </c>
      <c r="B350" s="380" t="str">
        <f t="shared" si="5"/>
        <v>087-901</v>
      </c>
      <c r="C350" s="3215" t="s">
        <v>11821</v>
      </c>
      <c r="D350" s="3216">
        <v>0.80459999999999998</v>
      </c>
    </row>
    <row r="351" spans="1:4" ht="14.5">
      <c r="A351" s="3214">
        <v>213901</v>
      </c>
      <c r="B351" s="380" t="str">
        <f t="shared" si="5"/>
        <v>213-901</v>
      </c>
      <c r="C351" s="3215" t="s">
        <v>11822</v>
      </c>
      <c r="D351" s="3216">
        <v>0.80459999999999998</v>
      </c>
    </row>
    <row r="352" spans="1:4" ht="14.5">
      <c r="A352" s="3214">
        <v>126911</v>
      </c>
      <c r="B352" s="380" t="str">
        <f t="shared" si="5"/>
        <v>126-911</v>
      </c>
      <c r="C352" s="3215" t="s">
        <v>11823</v>
      </c>
      <c r="D352" s="3216">
        <v>0.80459999999999998</v>
      </c>
    </row>
    <row r="353" spans="1:4" ht="14.5">
      <c r="A353" s="3214">
        <v>169906</v>
      </c>
      <c r="B353" s="380" t="str">
        <f t="shared" si="5"/>
        <v>169-906</v>
      </c>
      <c r="C353" s="3215" t="s">
        <v>11824</v>
      </c>
      <c r="D353" s="3216">
        <v>0.80459999999999998</v>
      </c>
    </row>
    <row r="354" spans="1:4" ht="14.5">
      <c r="A354" s="3214">
        <v>167901</v>
      </c>
      <c r="B354" s="380" t="str">
        <f t="shared" si="5"/>
        <v>167-901</v>
      </c>
      <c r="C354" s="3215" t="s">
        <v>11825</v>
      </c>
      <c r="D354" s="3216">
        <v>0.80459999999999998</v>
      </c>
    </row>
    <row r="355" spans="1:4" ht="14.5">
      <c r="A355" s="3214">
        <v>88902</v>
      </c>
      <c r="B355" s="380" t="str">
        <f t="shared" si="5"/>
        <v>088-902</v>
      </c>
      <c r="C355" s="3215" t="s">
        <v>11826</v>
      </c>
      <c r="D355" s="3216">
        <v>0.88629999999999998</v>
      </c>
    </row>
    <row r="356" spans="1:4" ht="14.5">
      <c r="A356" s="3214">
        <v>89901</v>
      </c>
      <c r="B356" s="380" t="str">
        <f t="shared" si="5"/>
        <v>089-901</v>
      </c>
      <c r="C356" s="3215" t="s">
        <v>11827</v>
      </c>
      <c r="D356" s="3216">
        <v>0.80459999999999998</v>
      </c>
    </row>
    <row r="357" spans="1:4" ht="14.5">
      <c r="A357" s="3214">
        <v>187903</v>
      </c>
      <c r="B357" s="380" t="str">
        <f t="shared" si="5"/>
        <v>187-903</v>
      </c>
      <c r="C357" s="3215" t="s">
        <v>11828</v>
      </c>
      <c r="D357" s="3216">
        <v>0.80459999999999998</v>
      </c>
    </row>
    <row r="358" spans="1:4" ht="14.5">
      <c r="A358" s="3214">
        <v>101911</v>
      </c>
      <c r="B358" s="380" t="str">
        <f t="shared" si="5"/>
        <v>101-911</v>
      </c>
      <c r="C358" s="3215" t="s">
        <v>11829</v>
      </c>
      <c r="D358" s="3216">
        <v>0.81840000000000002</v>
      </c>
    </row>
    <row r="359" spans="1:4" ht="14.5">
      <c r="A359" s="3214">
        <v>182901</v>
      </c>
      <c r="B359" s="380" t="str">
        <f t="shared" si="5"/>
        <v>182-901</v>
      </c>
      <c r="C359" s="3215" t="s">
        <v>11830</v>
      </c>
      <c r="D359" s="3216">
        <v>0.80459999999999998</v>
      </c>
    </row>
    <row r="360" spans="1:4" ht="14.5">
      <c r="A360" s="3214">
        <v>67904</v>
      </c>
      <c r="B360" s="380" t="str">
        <f t="shared" si="5"/>
        <v>067-904</v>
      </c>
      <c r="C360" s="3215" t="s">
        <v>11831</v>
      </c>
      <c r="D360" s="3216">
        <v>0.80459999999999998</v>
      </c>
    </row>
    <row r="361" spans="1:4" ht="14.5">
      <c r="A361" s="3214">
        <v>156905</v>
      </c>
      <c r="B361" s="380" t="str">
        <f t="shared" si="5"/>
        <v>156-905</v>
      </c>
      <c r="C361" s="3215" t="s">
        <v>11832</v>
      </c>
      <c r="D361" s="3216">
        <v>0.80459999999999998</v>
      </c>
    </row>
    <row r="362" spans="1:4" ht="14.5">
      <c r="A362" s="3214">
        <v>182902</v>
      </c>
      <c r="B362" s="380" t="str">
        <f t="shared" si="5"/>
        <v>182-902</v>
      </c>
      <c r="C362" s="3215" t="s">
        <v>11833</v>
      </c>
      <c r="D362" s="3216">
        <v>0.80459999999999998</v>
      </c>
    </row>
    <row r="363" spans="1:4" ht="14.5">
      <c r="A363" s="3214">
        <v>252901</v>
      </c>
      <c r="B363" s="380" t="str">
        <f t="shared" si="5"/>
        <v>252-901</v>
      </c>
      <c r="C363" s="3215" t="s">
        <v>11834</v>
      </c>
      <c r="D363" s="3216">
        <v>0.82840000000000003</v>
      </c>
    </row>
    <row r="364" spans="1:4" ht="14.5">
      <c r="A364" s="3214">
        <v>111901</v>
      </c>
      <c r="B364" s="380" t="str">
        <f t="shared" si="5"/>
        <v>111-901</v>
      </c>
      <c r="C364" s="3215" t="s">
        <v>11835</v>
      </c>
      <c r="D364" s="3216">
        <v>0.80459999999999998</v>
      </c>
    </row>
    <row r="365" spans="1:4" ht="14.5">
      <c r="A365" s="3214">
        <v>57910</v>
      </c>
      <c r="B365" s="380" t="str">
        <f t="shared" si="5"/>
        <v>057-910</v>
      </c>
      <c r="C365" s="3215" t="s">
        <v>11836</v>
      </c>
      <c r="D365" s="3216">
        <v>0.80459999999999998</v>
      </c>
    </row>
    <row r="366" spans="1:4" ht="14.5">
      <c r="A366" s="3214">
        <v>234904</v>
      </c>
      <c r="B366" s="380" t="str">
        <f t="shared" si="5"/>
        <v>234-904</v>
      </c>
      <c r="C366" s="3215" t="s">
        <v>11837</v>
      </c>
      <c r="D366" s="3216">
        <v>0.80459999999999998</v>
      </c>
    </row>
    <row r="367" spans="1:4" ht="14.5">
      <c r="A367" s="3214">
        <v>238904</v>
      </c>
      <c r="B367" s="380" t="str">
        <f t="shared" si="5"/>
        <v>238-904</v>
      </c>
      <c r="C367" s="3215" t="s">
        <v>11838</v>
      </c>
      <c r="D367" s="3216">
        <v>0.80459999999999998</v>
      </c>
    </row>
    <row r="368" spans="1:4" ht="14.5">
      <c r="A368" s="3214">
        <v>126904</v>
      </c>
      <c r="B368" s="380" t="str">
        <f t="shared" si="5"/>
        <v>126-904</v>
      </c>
      <c r="C368" s="3215" t="s">
        <v>11839</v>
      </c>
      <c r="D368" s="3216">
        <v>0.80459999999999998</v>
      </c>
    </row>
    <row r="369" spans="1:4" ht="14.5">
      <c r="A369" s="3214">
        <v>90905</v>
      </c>
      <c r="B369" s="380" t="str">
        <f t="shared" si="5"/>
        <v>090-905</v>
      </c>
      <c r="C369" s="3215" t="s">
        <v>11840</v>
      </c>
      <c r="D369" s="3216">
        <v>0.80459999999999998</v>
      </c>
    </row>
    <row r="370" spans="1:4" ht="14.5">
      <c r="A370" s="3214">
        <v>246905</v>
      </c>
      <c r="B370" s="380" t="str">
        <f t="shared" si="5"/>
        <v>246-905</v>
      </c>
      <c r="C370" s="3215" t="s">
        <v>11841</v>
      </c>
      <c r="D370" s="3216">
        <v>0.80459999999999998</v>
      </c>
    </row>
    <row r="371" spans="1:4" ht="14.5">
      <c r="A371" s="3214">
        <v>226907</v>
      </c>
      <c r="B371" s="380" t="str">
        <f t="shared" si="5"/>
        <v>226-907</v>
      </c>
      <c r="C371" s="3215" t="s">
        <v>11842</v>
      </c>
      <c r="D371" s="3216">
        <v>0.80459999999999998</v>
      </c>
    </row>
    <row r="372" spans="1:4" ht="14.5">
      <c r="A372" s="3214">
        <v>113902</v>
      </c>
      <c r="B372" s="380" t="str">
        <f t="shared" si="5"/>
        <v>113-902</v>
      </c>
      <c r="C372" s="3215" t="s">
        <v>11843</v>
      </c>
      <c r="D372" s="3216">
        <v>0.80459999999999998</v>
      </c>
    </row>
    <row r="373" spans="1:4" ht="14.5">
      <c r="A373" s="3214">
        <v>220906</v>
      </c>
      <c r="B373" s="380" t="str">
        <f t="shared" si="5"/>
        <v>220-906</v>
      </c>
      <c r="C373" s="3215" t="s">
        <v>11844</v>
      </c>
      <c r="D373" s="3216">
        <v>0.86909999999999998</v>
      </c>
    </row>
    <row r="374" spans="1:4" ht="14.5">
      <c r="A374" s="3214">
        <v>116905</v>
      </c>
      <c r="B374" s="380" t="str">
        <f t="shared" si="5"/>
        <v>116-905</v>
      </c>
      <c r="C374" s="3215" t="s">
        <v>11845</v>
      </c>
      <c r="D374" s="3216">
        <v>0.80459999999999998</v>
      </c>
    </row>
    <row r="375" spans="1:4" ht="14.5">
      <c r="A375" s="3214">
        <v>165902</v>
      </c>
      <c r="B375" s="380" t="str">
        <f t="shared" si="5"/>
        <v>165-902</v>
      </c>
      <c r="C375" s="3215" t="s">
        <v>11846</v>
      </c>
      <c r="D375" s="3216">
        <v>0.80459999999999998</v>
      </c>
    </row>
    <row r="376" spans="1:4" ht="14.5">
      <c r="A376" s="3214">
        <v>205902</v>
      </c>
      <c r="B376" s="380" t="str">
        <f t="shared" si="5"/>
        <v>205-902</v>
      </c>
      <c r="C376" s="3215" t="s">
        <v>11847</v>
      </c>
      <c r="D376" s="3216">
        <v>0.82199999999999995</v>
      </c>
    </row>
    <row r="377" spans="1:4" ht="14.5">
      <c r="A377" s="3214">
        <v>147902</v>
      </c>
      <c r="B377" s="380" t="str">
        <f t="shared" si="5"/>
        <v>147-902</v>
      </c>
      <c r="C377" s="3215" t="s">
        <v>11848</v>
      </c>
      <c r="D377" s="3216">
        <v>0.89410000000000001</v>
      </c>
    </row>
    <row r="378" spans="1:4" ht="14.5">
      <c r="A378" s="3214">
        <v>33901</v>
      </c>
      <c r="B378" s="380" t="str">
        <f t="shared" si="5"/>
        <v>033-901</v>
      </c>
      <c r="C378" s="3215" t="s">
        <v>11849</v>
      </c>
      <c r="D378" s="3216">
        <v>0.86199999999999999</v>
      </c>
    </row>
    <row r="379" spans="1:4" ht="14.5">
      <c r="A379" s="3214">
        <v>228901</v>
      </c>
      <c r="B379" s="380" t="str">
        <f t="shared" si="5"/>
        <v>228-901</v>
      </c>
      <c r="C379" s="3215" t="s">
        <v>11850</v>
      </c>
      <c r="D379" s="3216">
        <v>0.81559999999999999</v>
      </c>
    </row>
    <row r="380" spans="1:4" ht="14.5">
      <c r="A380" s="3214">
        <v>98901</v>
      </c>
      <c r="B380" s="380" t="str">
        <f t="shared" si="5"/>
        <v>098-901</v>
      </c>
      <c r="C380" s="3215" t="s">
        <v>11851</v>
      </c>
      <c r="D380" s="3216">
        <v>0.80459999999999998</v>
      </c>
    </row>
    <row r="381" spans="1:4" ht="14.5">
      <c r="A381" s="3214">
        <v>91917</v>
      </c>
      <c r="B381" s="380" t="str">
        <f t="shared" si="5"/>
        <v>091-917</v>
      </c>
      <c r="C381" s="3215" t="s">
        <v>11852</v>
      </c>
      <c r="D381" s="3216">
        <v>0.80459999999999998</v>
      </c>
    </row>
    <row r="382" spans="1:4" ht="14.5">
      <c r="A382" s="3214">
        <v>47903</v>
      </c>
      <c r="B382" s="380" t="str">
        <f t="shared" si="5"/>
        <v>047-903</v>
      </c>
      <c r="C382" s="3215" t="s">
        <v>11853</v>
      </c>
      <c r="D382" s="3216">
        <v>0.80459999999999998</v>
      </c>
    </row>
    <row r="383" spans="1:4" ht="14.5">
      <c r="A383" s="3214">
        <v>135001</v>
      </c>
      <c r="B383" s="380" t="str">
        <f t="shared" si="5"/>
        <v>135-001</v>
      </c>
      <c r="C383" s="3215" t="s">
        <v>11854</v>
      </c>
      <c r="D383" s="3216">
        <v>0.80459999999999998</v>
      </c>
    </row>
    <row r="384" spans="1:4" ht="14.5">
      <c r="A384" s="3214">
        <v>95903</v>
      </c>
      <c r="B384" s="380" t="str">
        <f t="shared" si="5"/>
        <v>095-903</v>
      </c>
      <c r="C384" s="3215" t="s">
        <v>11855</v>
      </c>
      <c r="D384" s="3216">
        <v>0.89410000000000001</v>
      </c>
    </row>
    <row r="385" spans="1:4" ht="14.5">
      <c r="A385" s="3214">
        <v>143901</v>
      </c>
      <c r="B385" s="380" t="str">
        <f t="shared" si="5"/>
        <v>143-901</v>
      </c>
      <c r="C385" s="3215" t="s">
        <v>11856</v>
      </c>
      <c r="D385" s="3216">
        <v>0.80459999999999998</v>
      </c>
    </row>
    <row r="386" spans="1:4" ht="14.5">
      <c r="A386" s="3214">
        <v>161924</v>
      </c>
      <c r="B386" s="380" t="str">
        <f t="shared" si="5"/>
        <v>161-924</v>
      </c>
      <c r="C386" s="3215" t="s">
        <v>11857</v>
      </c>
      <c r="D386" s="3216">
        <v>0.80459999999999998</v>
      </c>
    </row>
    <row r="387" spans="1:4" ht="14.5">
      <c r="A387" s="3214">
        <v>102904</v>
      </c>
      <c r="B387" s="380" t="str">
        <f t="shared" ref="B387:B450" si="6">CONCATENATE(LEFT(RIGHT(CONCATENATE("000",A387),6),3),"-",(RIGHT(RIGHT(CONCATENATE("000",A387),6),3)))</f>
        <v>102-904</v>
      </c>
      <c r="C387" s="3215" t="s">
        <v>11858</v>
      </c>
      <c r="D387" s="3216">
        <v>0.84140000000000004</v>
      </c>
    </row>
    <row r="388" spans="1:4" ht="14.5">
      <c r="A388" s="3214">
        <v>97902</v>
      </c>
      <c r="B388" s="380" t="str">
        <f t="shared" si="6"/>
        <v>097-902</v>
      </c>
      <c r="C388" s="3215" t="s">
        <v>11859</v>
      </c>
      <c r="D388" s="3216">
        <v>0.80459999999999998</v>
      </c>
    </row>
    <row r="389" spans="1:4" ht="14.5">
      <c r="A389" s="3214">
        <v>127903</v>
      </c>
      <c r="B389" s="380" t="str">
        <f t="shared" si="6"/>
        <v>127-903</v>
      </c>
      <c r="C389" s="3215" t="s">
        <v>11860</v>
      </c>
      <c r="D389" s="3216">
        <v>0.80459999999999998</v>
      </c>
    </row>
    <row r="390" spans="1:4" ht="14.5">
      <c r="A390" s="3214">
        <v>123914</v>
      </c>
      <c r="B390" s="380" t="str">
        <f t="shared" si="6"/>
        <v>123-914</v>
      </c>
      <c r="C390" s="3215" t="s">
        <v>11861</v>
      </c>
      <c r="D390" s="3216">
        <v>0.80459999999999998</v>
      </c>
    </row>
    <row r="391" spans="1:4" ht="14.5">
      <c r="A391" s="3214">
        <v>219901</v>
      </c>
      <c r="B391" s="380" t="str">
        <f t="shared" si="6"/>
        <v>219-901</v>
      </c>
      <c r="C391" s="3215" t="s">
        <v>11862</v>
      </c>
      <c r="D391" s="3216">
        <v>0.82110000000000005</v>
      </c>
    </row>
    <row r="392" spans="1:4" ht="14.5">
      <c r="A392" s="3214">
        <v>146904</v>
      </c>
      <c r="B392" s="380" t="str">
        <f t="shared" si="6"/>
        <v>146-904</v>
      </c>
      <c r="C392" s="3215" t="s">
        <v>11863</v>
      </c>
      <c r="D392" s="3216">
        <v>0.80459999999999998</v>
      </c>
    </row>
    <row r="393" spans="1:4" ht="14.5">
      <c r="A393" s="3214">
        <v>100905</v>
      </c>
      <c r="B393" s="380" t="str">
        <f t="shared" si="6"/>
        <v>100-905</v>
      </c>
      <c r="C393" s="3215" t="s">
        <v>11864</v>
      </c>
      <c r="D393" s="3216">
        <v>0.82550000000000001</v>
      </c>
    </row>
    <row r="394" spans="1:4" ht="14.5">
      <c r="A394" s="3214">
        <v>15904</v>
      </c>
      <c r="B394" s="380" t="str">
        <f t="shared" si="6"/>
        <v>015-904</v>
      </c>
      <c r="C394" s="3215" t="s">
        <v>11865</v>
      </c>
      <c r="D394" s="3216">
        <v>0.80459999999999998</v>
      </c>
    </row>
    <row r="395" spans="1:4" ht="14.5">
      <c r="A395" s="3214">
        <v>102905</v>
      </c>
      <c r="B395" s="380" t="str">
        <f t="shared" si="6"/>
        <v>102-905</v>
      </c>
      <c r="C395" s="3215" t="s">
        <v>11866</v>
      </c>
      <c r="D395" s="3216">
        <v>0.80459999999999998</v>
      </c>
    </row>
    <row r="396" spans="1:4" ht="14.5">
      <c r="A396" s="3214">
        <v>31903</v>
      </c>
      <c r="B396" s="380" t="str">
        <f t="shared" si="6"/>
        <v>031-903</v>
      </c>
      <c r="C396" s="3215" t="s">
        <v>11867</v>
      </c>
      <c r="D396" s="3216">
        <v>0.86990000000000001</v>
      </c>
    </row>
    <row r="397" spans="1:4" ht="14.5">
      <c r="A397" s="3214">
        <v>230905</v>
      </c>
      <c r="B397" s="380" t="str">
        <f t="shared" si="6"/>
        <v>230-905</v>
      </c>
      <c r="C397" s="3215" t="s">
        <v>11868</v>
      </c>
      <c r="D397" s="3216">
        <v>0.80459999999999998</v>
      </c>
    </row>
    <row r="398" spans="1:4" ht="14.5">
      <c r="A398" s="3214">
        <v>86902</v>
      </c>
      <c r="B398" s="380" t="str">
        <f t="shared" si="6"/>
        <v>086-902</v>
      </c>
      <c r="C398" s="3215" t="s">
        <v>11869</v>
      </c>
      <c r="D398" s="3216">
        <v>0.80459999999999998</v>
      </c>
    </row>
    <row r="399" spans="1:4" ht="14.5">
      <c r="A399" s="3214">
        <v>244901</v>
      </c>
      <c r="B399" s="380" t="str">
        <f t="shared" si="6"/>
        <v>244-901</v>
      </c>
      <c r="C399" s="3215" t="s">
        <v>11870</v>
      </c>
      <c r="D399" s="3216">
        <v>0.80459999999999998</v>
      </c>
    </row>
    <row r="400" spans="1:4" ht="14.5">
      <c r="A400" s="3214">
        <v>35902</v>
      </c>
      <c r="B400" s="380" t="str">
        <f t="shared" si="6"/>
        <v>035-902</v>
      </c>
      <c r="C400" s="3215" t="s">
        <v>11871</v>
      </c>
      <c r="D400" s="3216">
        <v>0.80459999999999998</v>
      </c>
    </row>
    <row r="401" spans="1:4" ht="14.5">
      <c r="A401" s="3214">
        <v>103902</v>
      </c>
      <c r="B401" s="380" t="str">
        <f t="shared" si="6"/>
        <v>103-902</v>
      </c>
      <c r="C401" s="3215" t="s">
        <v>11872</v>
      </c>
      <c r="D401" s="3216">
        <v>0.82199999999999995</v>
      </c>
    </row>
    <row r="402" spans="1:4" ht="14.5">
      <c r="A402" s="3214">
        <v>225907</v>
      </c>
      <c r="B402" s="380" t="str">
        <f t="shared" si="6"/>
        <v>225-907</v>
      </c>
      <c r="C402" s="3215" t="s">
        <v>11873</v>
      </c>
      <c r="D402" s="3216">
        <v>0.80459999999999998</v>
      </c>
    </row>
    <row r="403" spans="1:4" ht="14.5">
      <c r="A403" s="3214">
        <v>104901</v>
      </c>
      <c r="B403" s="380" t="str">
        <f t="shared" si="6"/>
        <v>104-901</v>
      </c>
      <c r="C403" s="3215" t="s">
        <v>11874</v>
      </c>
      <c r="D403" s="3216">
        <v>0.80459999999999998</v>
      </c>
    </row>
    <row r="404" spans="1:4" ht="14.5">
      <c r="A404" s="3214">
        <v>250902</v>
      </c>
      <c r="B404" s="380" t="str">
        <f t="shared" si="6"/>
        <v>250-902</v>
      </c>
      <c r="C404" s="3215" t="s">
        <v>11875</v>
      </c>
      <c r="D404" s="3216">
        <v>0.80459999999999998</v>
      </c>
    </row>
    <row r="405" spans="1:4" ht="14.5">
      <c r="A405" s="3214">
        <v>127904</v>
      </c>
      <c r="B405" s="380" t="str">
        <f t="shared" si="6"/>
        <v>127-904</v>
      </c>
      <c r="C405" s="3215" t="s">
        <v>11876</v>
      </c>
      <c r="D405" s="3216">
        <v>0.80459999999999998</v>
      </c>
    </row>
    <row r="406" spans="1:4" ht="14.5">
      <c r="A406" s="3214">
        <v>105906</v>
      </c>
      <c r="B406" s="380" t="str">
        <f t="shared" si="6"/>
        <v>105-906</v>
      </c>
      <c r="C406" s="3215" t="s">
        <v>11877</v>
      </c>
      <c r="D406" s="3216">
        <v>0.80459999999999998</v>
      </c>
    </row>
    <row r="407" spans="1:4" ht="14.5">
      <c r="A407" s="3214">
        <v>198905</v>
      </c>
      <c r="B407" s="380" t="str">
        <f t="shared" si="6"/>
        <v>198-905</v>
      </c>
      <c r="C407" s="3215" t="s">
        <v>11878</v>
      </c>
      <c r="D407" s="3216">
        <v>0.80459999999999998</v>
      </c>
    </row>
    <row r="408" spans="1:4" ht="14.5">
      <c r="A408" s="3214">
        <v>65902</v>
      </c>
      <c r="B408" s="380" t="str">
        <f t="shared" si="6"/>
        <v>065-902</v>
      </c>
      <c r="C408" s="3215" t="s">
        <v>11879</v>
      </c>
      <c r="D408" s="3216">
        <v>0.80459999999999998</v>
      </c>
    </row>
    <row r="409" spans="1:4" ht="14.5">
      <c r="A409" s="3214">
        <v>202903</v>
      </c>
      <c r="B409" s="380" t="str">
        <f t="shared" si="6"/>
        <v>202-903</v>
      </c>
      <c r="C409" s="3215" t="s">
        <v>11880</v>
      </c>
      <c r="D409" s="3216">
        <v>0.81420000000000003</v>
      </c>
    </row>
    <row r="410" spans="1:4" ht="14.5">
      <c r="A410" s="3214">
        <v>237902</v>
      </c>
      <c r="B410" s="380" t="str">
        <f t="shared" si="6"/>
        <v>237-902</v>
      </c>
      <c r="C410" s="3215" t="s">
        <v>11881</v>
      </c>
      <c r="D410" s="3216">
        <v>0.80459999999999998</v>
      </c>
    </row>
    <row r="411" spans="1:4" ht="14.5">
      <c r="A411" s="3214">
        <v>201902</v>
      </c>
      <c r="B411" s="380" t="str">
        <f t="shared" si="6"/>
        <v>201-902</v>
      </c>
      <c r="C411" s="3215" t="s">
        <v>11882</v>
      </c>
      <c r="D411" s="3216">
        <v>0.84989999999999999</v>
      </c>
    </row>
    <row r="412" spans="1:4" ht="14.5">
      <c r="A412" s="3214">
        <v>39902</v>
      </c>
      <c r="B412" s="380" t="str">
        <f t="shared" si="6"/>
        <v>039-902</v>
      </c>
      <c r="C412" s="3215" t="s">
        <v>11883</v>
      </c>
      <c r="D412" s="3216">
        <v>0.84919999999999995</v>
      </c>
    </row>
    <row r="413" spans="1:4" ht="14.5">
      <c r="A413" s="3214">
        <v>59901</v>
      </c>
      <c r="B413" s="380" t="str">
        <f t="shared" si="6"/>
        <v>059-901</v>
      </c>
      <c r="C413" s="3215" t="s">
        <v>11884</v>
      </c>
      <c r="D413" s="3216">
        <v>0.80459999999999998</v>
      </c>
    </row>
    <row r="414" spans="1:4" ht="14.5">
      <c r="A414" s="3214">
        <v>208901</v>
      </c>
      <c r="B414" s="380" t="str">
        <f t="shared" si="6"/>
        <v>208-901</v>
      </c>
      <c r="C414" s="3215" t="s">
        <v>11885</v>
      </c>
      <c r="D414" s="3216">
        <v>0.80459999999999998</v>
      </c>
    </row>
    <row r="415" spans="1:4" ht="14.5">
      <c r="A415" s="3214">
        <v>97903</v>
      </c>
      <c r="B415" s="380" t="str">
        <f t="shared" si="6"/>
        <v>097-903</v>
      </c>
      <c r="C415" s="3215" t="s">
        <v>11886</v>
      </c>
      <c r="D415" s="3216">
        <v>0.80459999999999998</v>
      </c>
    </row>
    <row r="416" spans="1:4" ht="14.5">
      <c r="A416" s="3214">
        <v>108905</v>
      </c>
      <c r="B416" s="380" t="str">
        <f t="shared" si="6"/>
        <v>108-905</v>
      </c>
      <c r="C416" s="3215" t="s">
        <v>11887</v>
      </c>
      <c r="D416" s="3216">
        <v>0.80459999999999998</v>
      </c>
    </row>
    <row r="417" spans="1:4" ht="14.5">
      <c r="A417" s="3214">
        <v>84903</v>
      </c>
      <c r="B417" s="380" t="str">
        <f t="shared" si="6"/>
        <v>084-903</v>
      </c>
      <c r="C417" s="3215" t="s">
        <v>11888</v>
      </c>
      <c r="D417" s="3216">
        <v>0.80459999999999998</v>
      </c>
    </row>
    <row r="418" spans="1:4" ht="14.5">
      <c r="A418" s="3214">
        <v>177905</v>
      </c>
      <c r="B418" s="380" t="str">
        <f t="shared" si="6"/>
        <v>177-905</v>
      </c>
      <c r="C418" s="3215" t="s">
        <v>11889</v>
      </c>
      <c r="D418" s="3216">
        <v>0.81100000000000005</v>
      </c>
    </row>
    <row r="419" spans="1:4" ht="14.5">
      <c r="A419" s="3214">
        <v>57911</v>
      </c>
      <c r="B419" s="380" t="str">
        <f t="shared" si="6"/>
        <v>057-911</v>
      </c>
      <c r="C419" s="3215" t="s">
        <v>11890</v>
      </c>
      <c r="D419" s="3216">
        <v>0.82779999999999998</v>
      </c>
    </row>
    <row r="420" spans="1:4" ht="14.5">
      <c r="A420" s="3214">
        <v>188903</v>
      </c>
      <c r="B420" s="380" t="str">
        <f t="shared" si="6"/>
        <v>188-903</v>
      </c>
      <c r="C420" s="3215" t="s">
        <v>11890</v>
      </c>
      <c r="D420" s="3216">
        <v>0.8266</v>
      </c>
    </row>
    <row r="421" spans="1:4" ht="14.5">
      <c r="A421" s="3214">
        <v>109904</v>
      </c>
      <c r="B421" s="380" t="str">
        <f t="shared" si="6"/>
        <v>109-904</v>
      </c>
      <c r="C421" s="3215" t="s">
        <v>11891</v>
      </c>
      <c r="D421" s="3216">
        <v>0.80459999999999998</v>
      </c>
    </row>
    <row r="422" spans="1:4" ht="14.5">
      <c r="A422" s="3214">
        <v>84908</v>
      </c>
      <c r="B422" s="380" t="str">
        <f t="shared" si="6"/>
        <v>084-908</v>
      </c>
      <c r="C422" s="3215" t="s">
        <v>11892</v>
      </c>
      <c r="D422" s="3216">
        <v>0.80459999999999998</v>
      </c>
    </row>
    <row r="423" spans="1:4" ht="14.5">
      <c r="A423" s="3214">
        <v>14905</v>
      </c>
      <c r="B423" s="380" t="str">
        <f t="shared" si="6"/>
        <v>014-905</v>
      </c>
      <c r="C423" s="3215" t="s">
        <v>11893</v>
      </c>
      <c r="D423" s="3216">
        <v>0.80459999999999998</v>
      </c>
    </row>
    <row r="424" spans="1:4" ht="14.5">
      <c r="A424" s="3214">
        <v>5902</v>
      </c>
      <c r="B424" s="380" t="str">
        <f t="shared" si="6"/>
        <v>005-902</v>
      </c>
      <c r="C424" s="3215" t="s">
        <v>11894</v>
      </c>
      <c r="D424" s="3216">
        <v>0.80459999999999998</v>
      </c>
    </row>
    <row r="425" spans="1:4" ht="14.5">
      <c r="A425" s="3214">
        <v>163904</v>
      </c>
      <c r="B425" s="380" t="str">
        <f t="shared" si="6"/>
        <v>163-904</v>
      </c>
      <c r="C425" s="3215" t="s">
        <v>11895</v>
      </c>
      <c r="D425" s="3216">
        <v>0.80459999999999998</v>
      </c>
    </row>
    <row r="426" spans="1:4" ht="14.5">
      <c r="A426" s="3214">
        <v>74907</v>
      </c>
      <c r="B426" s="380" t="str">
        <f t="shared" si="6"/>
        <v>074-907</v>
      </c>
      <c r="C426" s="3215" t="s">
        <v>11896</v>
      </c>
      <c r="D426" s="3216">
        <v>0.80459999999999998</v>
      </c>
    </row>
    <row r="427" spans="1:4" ht="14.5">
      <c r="A427" s="3214">
        <v>19902</v>
      </c>
      <c r="B427" s="380" t="str">
        <f t="shared" si="6"/>
        <v>019-902</v>
      </c>
      <c r="C427" s="3215" t="s">
        <v>11897</v>
      </c>
      <c r="D427" s="3216">
        <v>0.80559999999999998</v>
      </c>
    </row>
    <row r="428" spans="1:4" ht="14.5">
      <c r="A428" s="3214">
        <v>101912</v>
      </c>
      <c r="B428" s="380" t="str">
        <f t="shared" si="6"/>
        <v>101-912</v>
      </c>
      <c r="C428" s="3215" t="s">
        <v>11898</v>
      </c>
      <c r="D428" s="3216">
        <v>0.82050000000000001</v>
      </c>
    </row>
    <row r="429" spans="1:4" ht="14.5">
      <c r="A429" s="3214">
        <v>91905</v>
      </c>
      <c r="B429" s="380" t="str">
        <f t="shared" si="6"/>
        <v>091-905</v>
      </c>
      <c r="C429" s="3215" t="s">
        <v>11899</v>
      </c>
      <c r="D429" s="3216">
        <v>0.80459999999999998</v>
      </c>
    </row>
    <row r="430" spans="1:4" ht="14.5">
      <c r="A430" s="3214">
        <v>19913</v>
      </c>
      <c r="B430" s="380" t="str">
        <f t="shared" si="6"/>
        <v>019-913</v>
      </c>
      <c r="C430" s="3215" t="s">
        <v>11900</v>
      </c>
      <c r="D430" s="3216">
        <v>0.82899999999999996</v>
      </c>
    </row>
    <row r="431" spans="1:4" ht="14.5">
      <c r="A431" s="3214">
        <v>109905</v>
      </c>
      <c r="B431" s="380" t="str">
        <f t="shared" si="6"/>
        <v>109-905</v>
      </c>
      <c r="C431" s="3215" t="s">
        <v>11900</v>
      </c>
      <c r="D431" s="3216">
        <v>0.80459999999999998</v>
      </c>
    </row>
    <row r="432" spans="1:4" ht="14.5">
      <c r="A432" s="3214">
        <v>72908</v>
      </c>
      <c r="B432" s="380" t="str">
        <f t="shared" si="6"/>
        <v>072-908</v>
      </c>
      <c r="C432" s="3215" t="s">
        <v>11901</v>
      </c>
      <c r="D432" s="3216">
        <v>0.84179999999999999</v>
      </c>
    </row>
    <row r="433" spans="1:4" ht="14.5">
      <c r="A433" s="3214">
        <v>3902</v>
      </c>
      <c r="B433" s="380" t="str">
        <f t="shared" si="6"/>
        <v>003-902</v>
      </c>
      <c r="C433" s="3215" t="s">
        <v>11902</v>
      </c>
      <c r="D433" s="3216">
        <v>0.80459999999999998</v>
      </c>
    </row>
    <row r="434" spans="1:4" ht="14.5">
      <c r="A434" s="3214">
        <v>101925</v>
      </c>
      <c r="B434" s="380" t="str">
        <f t="shared" si="6"/>
        <v>101-925</v>
      </c>
      <c r="C434" s="3215" t="s">
        <v>11903</v>
      </c>
      <c r="D434" s="3216">
        <v>0.80459999999999998</v>
      </c>
    </row>
    <row r="435" spans="1:4" ht="14.5">
      <c r="A435" s="3214">
        <v>34903</v>
      </c>
      <c r="B435" s="380" t="str">
        <f t="shared" si="6"/>
        <v>034-903</v>
      </c>
      <c r="C435" s="3215" t="s">
        <v>11904</v>
      </c>
      <c r="D435" s="3216">
        <v>0.88819999999999999</v>
      </c>
    </row>
    <row r="436" spans="1:4" ht="14.5">
      <c r="A436" s="3214">
        <v>146905</v>
      </c>
      <c r="B436" s="380" t="str">
        <f t="shared" si="6"/>
        <v>146-905</v>
      </c>
      <c r="C436" s="3215" t="s">
        <v>11905</v>
      </c>
      <c r="D436" s="3216">
        <v>0.80459999999999998</v>
      </c>
    </row>
    <row r="437" spans="1:4" ht="14.5">
      <c r="A437" s="3214">
        <v>101913</v>
      </c>
      <c r="B437" s="380" t="str">
        <f t="shared" si="6"/>
        <v>101-913</v>
      </c>
      <c r="C437" s="3215" t="s">
        <v>11906</v>
      </c>
      <c r="D437" s="3216">
        <v>0.80459999999999998</v>
      </c>
    </row>
    <row r="438" spans="1:4" ht="14.5">
      <c r="A438" s="3214">
        <v>133902</v>
      </c>
      <c r="B438" s="380" t="str">
        <f t="shared" si="6"/>
        <v>133-902</v>
      </c>
      <c r="C438" s="3215" t="s">
        <v>11907</v>
      </c>
      <c r="D438" s="3216">
        <v>0.80459999999999998</v>
      </c>
    </row>
    <row r="439" spans="1:4" ht="14.5">
      <c r="A439" s="3214">
        <v>3904</v>
      </c>
      <c r="B439" s="380" t="str">
        <f t="shared" si="6"/>
        <v>003-904</v>
      </c>
      <c r="C439" s="3215" t="s">
        <v>11908</v>
      </c>
      <c r="D439" s="3216">
        <v>0.89410000000000001</v>
      </c>
    </row>
    <row r="440" spans="1:4" ht="14.5">
      <c r="A440" s="3214">
        <v>236902</v>
      </c>
      <c r="B440" s="380" t="str">
        <f t="shared" si="6"/>
        <v>236-902</v>
      </c>
      <c r="C440" s="3215" t="s">
        <v>11909</v>
      </c>
      <c r="D440" s="3216">
        <v>0.80459999999999998</v>
      </c>
    </row>
    <row r="441" spans="1:4" ht="14.5">
      <c r="A441" s="3214">
        <v>220916</v>
      </c>
      <c r="B441" s="380" t="str">
        <f t="shared" si="6"/>
        <v>220-916</v>
      </c>
      <c r="C441" s="3215" t="s">
        <v>11910</v>
      </c>
      <c r="D441" s="3216">
        <v>0.82420000000000004</v>
      </c>
    </row>
    <row r="442" spans="1:4" ht="14.5">
      <c r="A442" s="3214">
        <v>246906</v>
      </c>
      <c r="B442" s="380" t="str">
        <f t="shared" si="6"/>
        <v>246-906</v>
      </c>
      <c r="C442" s="3215" t="s">
        <v>11911</v>
      </c>
      <c r="D442" s="3216">
        <v>0.80459999999999998</v>
      </c>
    </row>
    <row r="443" spans="1:4" ht="14.5">
      <c r="A443" s="3214">
        <v>152910</v>
      </c>
      <c r="B443" s="380" t="str">
        <f t="shared" si="6"/>
        <v>152-910</v>
      </c>
      <c r="C443" s="3215" t="s">
        <v>11912</v>
      </c>
      <c r="D443" s="3216">
        <v>0.80459999999999998</v>
      </c>
    </row>
    <row r="444" spans="1:4" ht="14.5">
      <c r="A444" s="3214">
        <v>120905</v>
      </c>
      <c r="B444" s="380" t="str">
        <f t="shared" si="6"/>
        <v>120-905</v>
      </c>
      <c r="C444" s="3215" t="s">
        <v>11913</v>
      </c>
      <c r="D444" s="3216">
        <v>0.80459999999999998</v>
      </c>
    </row>
    <row r="445" spans="1:4" ht="14.5">
      <c r="A445" s="3214">
        <v>205903</v>
      </c>
      <c r="B445" s="380" t="str">
        <f t="shared" si="6"/>
        <v>205-903</v>
      </c>
      <c r="C445" s="3215" t="s">
        <v>11914</v>
      </c>
      <c r="D445" s="3216">
        <v>0.80459999999999998</v>
      </c>
    </row>
    <row r="446" spans="1:4" ht="14.5">
      <c r="A446" s="3214">
        <v>133904</v>
      </c>
      <c r="B446" s="380" t="str">
        <f t="shared" si="6"/>
        <v>133-904</v>
      </c>
      <c r="C446" s="3215" t="s">
        <v>11915</v>
      </c>
      <c r="D446" s="3216">
        <v>0.80459999999999998</v>
      </c>
    </row>
    <row r="447" spans="1:4" ht="14.5">
      <c r="A447" s="3214">
        <v>93903</v>
      </c>
      <c r="B447" s="380" t="str">
        <f t="shared" si="6"/>
        <v>093-903</v>
      </c>
      <c r="C447" s="3215" t="s">
        <v>11916</v>
      </c>
      <c r="D447" s="3216">
        <v>0.80459999999999998</v>
      </c>
    </row>
    <row r="448" spans="1:4" ht="14.5">
      <c r="A448" s="3214">
        <v>243903</v>
      </c>
      <c r="B448" s="380" t="str">
        <f t="shared" si="6"/>
        <v>243-903</v>
      </c>
      <c r="C448" s="3215" t="s">
        <v>11917</v>
      </c>
      <c r="D448" s="3216">
        <v>0.80459999999999998</v>
      </c>
    </row>
    <row r="449" spans="1:4" ht="14.5">
      <c r="A449" s="3214">
        <v>208903</v>
      </c>
      <c r="B449" s="380" t="str">
        <f t="shared" si="6"/>
        <v>208-903</v>
      </c>
      <c r="C449" s="3215" t="s">
        <v>11918</v>
      </c>
      <c r="D449" s="3216">
        <v>0.80459999999999998</v>
      </c>
    </row>
    <row r="450" spans="1:4" ht="14.5">
      <c r="A450" s="3214">
        <v>186903</v>
      </c>
      <c r="B450" s="380" t="str">
        <f t="shared" si="6"/>
        <v>186-903</v>
      </c>
      <c r="C450" s="3215" t="s">
        <v>11919</v>
      </c>
      <c r="D450" s="3216">
        <v>0.80459999999999998</v>
      </c>
    </row>
    <row r="451" spans="1:4" ht="14.5">
      <c r="A451" s="3214">
        <v>18906</v>
      </c>
      <c r="B451" s="380" t="str">
        <f t="shared" ref="B451:B514" si="7">CONCATENATE(LEFT(RIGHT(CONCATENATE("000",A451),6),3),"-",(RIGHT(RIGHT(CONCATENATE("000",A451),6),3)))</f>
        <v>018-906</v>
      </c>
      <c r="C451" s="3215" t="s">
        <v>11920</v>
      </c>
      <c r="D451" s="3216">
        <v>0.80459999999999998</v>
      </c>
    </row>
    <row r="452" spans="1:4" ht="14.5">
      <c r="A452" s="3214">
        <v>118902</v>
      </c>
      <c r="B452" s="380" t="str">
        <f t="shared" si="7"/>
        <v>118-902</v>
      </c>
      <c r="C452" s="3215" t="s">
        <v>11921</v>
      </c>
      <c r="D452" s="3216">
        <v>0.80459999999999998</v>
      </c>
    </row>
    <row r="453" spans="1:4" ht="14.5">
      <c r="A453" s="3214">
        <v>57912</v>
      </c>
      <c r="B453" s="380" t="str">
        <f t="shared" si="7"/>
        <v>057-912</v>
      </c>
      <c r="C453" s="3215" t="s">
        <v>11922</v>
      </c>
      <c r="D453" s="3216">
        <v>0.80459999999999998</v>
      </c>
    </row>
    <row r="454" spans="1:4" ht="14.5">
      <c r="A454" s="3214">
        <v>70907</v>
      </c>
      <c r="B454" s="380" t="str">
        <f t="shared" si="7"/>
        <v>070-907</v>
      </c>
      <c r="C454" s="3215" t="s">
        <v>11923</v>
      </c>
      <c r="D454" s="3216">
        <v>0.80459999999999998</v>
      </c>
    </row>
    <row r="455" spans="1:4" ht="14.5">
      <c r="A455" s="3214">
        <v>109907</v>
      </c>
      <c r="B455" s="380" t="str">
        <f t="shared" si="7"/>
        <v>109-907</v>
      </c>
      <c r="C455" s="3215" t="s">
        <v>11924</v>
      </c>
      <c r="D455" s="3216">
        <v>0.80459999999999998</v>
      </c>
    </row>
    <row r="456" spans="1:4" ht="14.5">
      <c r="A456" s="3214">
        <v>119902</v>
      </c>
      <c r="B456" s="380" t="str">
        <f t="shared" si="7"/>
        <v>119-902</v>
      </c>
      <c r="C456" s="3215" t="s">
        <v>11925</v>
      </c>
      <c r="D456" s="3216">
        <v>0.87170000000000003</v>
      </c>
    </row>
    <row r="457" spans="1:4" ht="14.5">
      <c r="A457" s="3214">
        <v>37904</v>
      </c>
      <c r="B457" s="380" t="str">
        <f t="shared" si="7"/>
        <v>037-904</v>
      </c>
      <c r="C457" s="3215" t="s">
        <v>11926</v>
      </c>
      <c r="D457" s="3216">
        <v>0.80459999999999998</v>
      </c>
    </row>
    <row r="458" spans="1:4" ht="14.5">
      <c r="A458" s="3214">
        <v>246907</v>
      </c>
      <c r="B458" s="380" t="str">
        <f t="shared" si="7"/>
        <v>246-907</v>
      </c>
      <c r="C458" s="3215" t="s">
        <v>11927</v>
      </c>
      <c r="D458" s="3216">
        <v>0.80459999999999998</v>
      </c>
    </row>
    <row r="459" spans="1:4" ht="14.5">
      <c r="A459" s="3214">
        <v>121904</v>
      </c>
      <c r="B459" s="380" t="str">
        <f t="shared" si="7"/>
        <v>121-904</v>
      </c>
      <c r="C459" s="3215" t="s">
        <v>11928</v>
      </c>
      <c r="D459" s="3216">
        <v>0.81779999999999997</v>
      </c>
    </row>
    <row r="460" spans="1:4" ht="14.5">
      <c r="A460" s="3214">
        <v>132902</v>
      </c>
      <c r="B460" s="380" t="str">
        <f t="shared" si="7"/>
        <v>132-902</v>
      </c>
      <c r="C460" s="3215" t="s">
        <v>11929</v>
      </c>
      <c r="D460" s="3216">
        <v>0.80459999999999998</v>
      </c>
    </row>
    <row r="461" spans="1:4" ht="14.5">
      <c r="A461" s="3214">
        <v>155901</v>
      </c>
      <c r="B461" s="380" t="str">
        <f t="shared" si="7"/>
        <v>155-901</v>
      </c>
      <c r="C461" s="3215" t="s">
        <v>11930</v>
      </c>
      <c r="D461" s="3216">
        <v>0.88080000000000003</v>
      </c>
    </row>
    <row r="462" spans="1:4" ht="14.5">
      <c r="A462" s="3214">
        <v>124901</v>
      </c>
      <c r="B462" s="380" t="str">
        <f t="shared" si="7"/>
        <v>124-901</v>
      </c>
      <c r="C462" s="3215" t="s">
        <v>11931</v>
      </c>
      <c r="D462" s="3216">
        <v>0.89410000000000001</v>
      </c>
    </row>
    <row r="463" spans="1:4" ht="14.5">
      <c r="A463" s="3214">
        <v>221911</v>
      </c>
      <c r="B463" s="380" t="str">
        <f t="shared" si="7"/>
        <v>221-911</v>
      </c>
      <c r="C463" s="3215" t="s">
        <v>11932</v>
      </c>
      <c r="D463" s="3216">
        <v>0.80459999999999998</v>
      </c>
    </row>
    <row r="464" spans="1:4" ht="14.5">
      <c r="A464" s="3214">
        <v>210902</v>
      </c>
      <c r="B464" s="380" t="str">
        <f t="shared" si="7"/>
        <v>210-902</v>
      </c>
      <c r="C464" s="3215" t="s">
        <v>11933</v>
      </c>
      <c r="D464" s="3216">
        <v>0.80459999999999998</v>
      </c>
    </row>
    <row r="465" spans="1:4" ht="14.5">
      <c r="A465" s="3214">
        <v>16901</v>
      </c>
      <c r="B465" s="380" t="str">
        <f t="shared" si="7"/>
        <v>016-901</v>
      </c>
      <c r="C465" s="3215" t="s">
        <v>11934</v>
      </c>
      <c r="D465" s="3216">
        <v>0.80459999999999998</v>
      </c>
    </row>
    <row r="466" spans="1:4" ht="14.5">
      <c r="A466" s="3214">
        <v>50909</v>
      </c>
      <c r="B466" s="380" t="str">
        <f t="shared" si="7"/>
        <v>050-909</v>
      </c>
      <c r="C466" s="3215" t="s">
        <v>11935</v>
      </c>
      <c r="D466" s="3216">
        <v>0.80459999999999998</v>
      </c>
    </row>
    <row r="467" spans="1:4" ht="14.5">
      <c r="A467" s="3214">
        <v>126905</v>
      </c>
      <c r="B467" s="380" t="str">
        <f t="shared" si="7"/>
        <v>126-905</v>
      </c>
      <c r="C467" s="3215" t="s">
        <v>11936</v>
      </c>
      <c r="D467" s="3216">
        <v>0.80459999999999998</v>
      </c>
    </row>
    <row r="468" spans="1:4" ht="14.5">
      <c r="A468" s="3214">
        <v>7902</v>
      </c>
      <c r="B468" s="380" t="str">
        <f t="shared" si="7"/>
        <v>007-902</v>
      </c>
      <c r="C468" s="3215" t="s">
        <v>11937</v>
      </c>
      <c r="D468" s="3216">
        <v>0.86960000000000004</v>
      </c>
    </row>
    <row r="469" spans="1:4" ht="14.5">
      <c r="A469" s="3214">
        <v>15916</v>
      </c>
      <c r="B469" s="380" t="str">
        <f t="shared" si="7"/>
        <v>015-916</v>
      </c>
      <c r="C469" s="3215" t="s">
        <v>11938</v>
      </c>
      <c r="D469" s="3216">
        <v>0.80459999999999998</v>
      </c>
    </row>
    <row r="470" spans="1:4" ht="14.5">
      <c r="A470" s="3214">
        <v>134901</v>
      </c>
      <c r="B470" s="380" t="str">
        <f t="shared" si="7"/>
        <v>134-901</v>
      </c>
      <c r="C470" s="3215" t="s">
        <v>11939</v>
      </c>
      <c r="D470" s="3216">
        <v>0.80459999999999998</v>
      </c>
    </row>
    <row r="471" spans="1:4" ht="14.5">
      <c r="A471" s="3214">
        <v>102901</v>
      </c>
      <c r="B471" s="380" t="str">
        <f t="shared" si="7"/>
        <v>102-901</v>
      </c>
      <c r="C471" s="3215" t="s">
        <v>11940</v>
      </c>
      <c r="D471" s="3216">
        <v>0.82789999999999997</v>
      </c>
    </row>
    <row r="472" spans="1:4" ht="14.5">
      <c r="A472" s="3214">
        <v>128901</v>
      </c>
      <c r="B472" s="380" t="str">
        <f t="shared" si="7"/>
        <v>128-901</v>
      </c>
      <c r="C472" s="3215" t="s">
        <v>11941</v>
      </c>
      <c r="D472" s="3216">
        <v>0.80459999999999998</v>
      </c>
    </row>
    <row r="473" spans="1:4" ht="14.5">
      <c r="A473" s="3214">
        <v>101914</v>
      </c>
      <c r="B473" s="380" t="str">
        <f t="shared" si="7"/>
        <v>101-914</v>
      </c>
      <c r="C473" s="3215" t="s">
        <v>11942</v>
      </c>
      <c r="D473" s="3216">
        <v>0.80459999999999998</v>
      </c>
    </row>
    <row r="474" spans="1:4" ht="14.5">
      <c r="A474" s="3214">
        <v>129903</v>
      </c>
      <c r="B474" s="380" t="str">
        <f t="shared" si="7"/>
        <v>129-903</v>
      </c>
      <c r="C474" s="3215" t="s">
        <v>11943</v>
      </c>
      <c r="D474" s="3216">
        <v>0.80459999999999998</v>
      </c>
    </row>
    <row r="475" spans="1:4" ht="14.5">
      <c r="A475" s="3214">
        <v>126906</v>
      </c>
      <c r="B475" s="380" t="str">
        <f t="shared" si="7"/>
        <v>126-906</v>
      </c>
      <c r="C475" s="3215" t="s">
        <v>11944</v>
      </c>
      <c r="D475" s="3216">
        <v>0.80459999999999998</v>
      </c>
    </row>
    <row r="476" spans="1:4" ht="14.5">
      <c r="A476" s="3214">
        <v>220907</v>
      </c>
      <c r="B476" s="380" t="str">
        <f t="shared" si="7"/>
        <v>220-907</v>
      </c>
      <c r="C476" s="3215" t="s">
        <v>11945</v>
      </c>
      <c r="D476" s="3216">
        <v>0.80459999999999998</v>
      </c>
    </row>
    <row r="477" spans="1:4" ht="14.5">
      <c r="A477" s="3214">
        <v>242905</v>
      </c>
      <c r="B477" s="380" t="str">
        <f t="shared" si="7"/>
        <v>242-905</v>
      </c>
      <c r="C477" s="3215" t="s">
        <v>11946</v>
      </c>
      <c r="D477" s="3216">
        <v>0.80459999999999998</v>
      </c>
    </row>
    <row r="478" spans="1:4" ht="14.5">
      <c r="A478" s="3214">
        <v>129904</v>
      </c>
      <c r="B478" s="380" t="str">
        <f t="shared" si="7"/>
        <v>129-904</v>
      </c>
      <c r="C478" s="3215" t="s">
        <v>11947</v>
      </c>
      <c r="D478" s="3216">
        <v>0.80459999999999998</v>
      </c>
    </row>
    <row r="479" spans="1:4" ht="14.5">
      <c r="A479" s="3214">
        <v>131001</v>
      </c>
      <c r="B479" s="380" t="str">
        <f t="shared" si="7"/>
        <v>131-001</v>
      </c>
      <c r="C479" s="3215" t="s">
        <v>11948</v>
      </c>
      <c r="D479" s="3216">
        <v>0.80459999999999998</v>
      </c>
    </row>
    <row r="480" spans="1:4" ht="14.5">
      <c r="A480" s="3214">
        <v>128902</v>
      </c>
      <c r="B480" s="380" t="str">
        <f t="shared" si="7"/>
        <v>128-902</v>
      </c>
      <c r="C480" s="3215" t="s">
        <v>11949</v>
      </c>
      <c r="D480" s="3216">
        <v>0.80459999999999998</v>
      </c>
    </row>
    <row r="481" spans="1:4" ht="14.5">
      <c r="A481" s="3214">
        <v>113906</v>
      </c>
      <c r="B481" s="380" t="str">
        <f t="shared" si="7"/>
        <v>113-906</v>
      </c>
      <c r="C481" s="3215" t="s">
        <v>11950</v>
      </c>
      <c r="D481" s="3216">
        <v>0.80459999999999998</v>
      </c>
    </row>
    <row r="482" spans="1:4" ht="14.5">
      <c r="A482" s="3214">
        <v>220914</v>
      </c>
      <c r="B482" s="380" t="str">
        <f t="shared" si="7"/>
        <v>220-914</v>
      </c>
      <c r="C482" s="3215" t="s">
        <v>11951</v>
      </c>
      <c r="D482" s="3216">
        <v>0.80640000000000001</v>
      </c>
    </row>
    <row r="483" spans="1:4" ht="14.5">
      <c r="A483" s="3214">
        <v>175907</v>
      </c>
      <c r="B483" s="380" t="str">
        <f t="shared" si="7"/>
        <v>175-907</v>
      </c>
      <c r="C483" s="3215" t="s">
        <v>11952</v>
      </c>
      <c r="D483" s="3216">
        <v>0.80459999999999998</v>
      </c>
    </row>
    <row r="484" spans="1:4" ht="14.5">
      <c r="A484" s="3214">
        <v>248901</v>
      </c>
      <c r="B484" s="380" t="str">
        <f t="shared" si="7"/>
        <v>248-901</v>
      </c>
      <c r="C484" s="3215" t="s">
        <v>11953</v>
      </c>
      <c r="D484" s="3216">
        <v>0.80459999999999998</v>
      </c>
    </row>
    <row r="485" spans="1:4" ht="14.5">
      <c r="A485" s="3214">
        <v>133903</v>
      </c>
      <c r="B485" s="380" t="str">
        <f t="shared" si="7"/>
        <v>133-903</v>
      </c>
      <c r="C485" s="3215" t="s">
        <v>11954</v>
      </c>
      <c r="D485" s="3216">
        <v>0.80459999999999998</v>
      </c>
    </row>
    <row r="486" spans="1:4" ht="14.5">
      <c r="A486" s="3214">
        <v>92902</v>
      </c>
      <c r="B486" s="380" t="str">
        <f t="shared" si="7"/>
        <v>092-902</v>
      </c>
      <c r="C486" s="3215" t="s">
        <v>11955</v>
      </c>
      <c r="D486" s="3216">
        <v>0.84530000000000005</v>
      </c>
    </row>
    <row r="487" spans="1:4" ht="14.5">
      <c r="A487" s="3214">
        <v>14906</v>
      </c>
      <c r="B487" s="380" t="str">
        <f t="shared" si="7"/>
        <v>014-906</v>
      </c>
      <c r="C487" s="3215" t="s">
        <v>11956</v>
      </c>
      <c r="D487" s="3216">
        <v>0.80459999999999998</v>
      </c>
    </row>
    <row r="488" spans="1:4" ht="14.5">
      <c r="A488" s="3214">
        <v>137901</v>
      </c>
      <c r="B488" s="380" t="str">
        <f t="shared" si="7"/>
        <v>137-901</v>
      </c>
      <c r="C488" s="3215" t="s">
        <v>11957</v>
      </c>
      <c r="D488" s="3216">
        <v>0.86150000000000004</v>
      </c>
    </row>
    <row r="489" spans="1:4" ht="14.5">
      <c r="A489" s="3214">
        <v>121905</v>
      </c>
      <c r="B489" s="380" t="str">
        <f t="shared" si="7"/>
        <v>121-905</v>
      </c>
      <c r="C489" s="3215" t="s">
        <v>11958</v>
      </c>
      <c r="D489" s="3216">
        <v>0.87450000000000006</v>
      </c>
    </row>
    <row r="490" spans="1:4" ht="14.5">
      <c r="A490" s="3214">
        <v>101915</v>
      </c>
      <c r="B490" s="380" t="str">
        <f t="shared" si="7"/>
        <v>101-915</v>
      </c>
      <c r="C490" s="3215" t="s">
        <v>11959</v>
      </c>
      <c r="D490" s="3216">
        <v>0.80500000000000005</v>
      </c>
    </row>
    <row r="491" spans="1:4" ht="14.5">
      <c r="A491" s="3214">
        <v>58905</v>
      </c>
      <c r="B491" s="380" t="str">
        <f t="shared" si="7"/>
        <v>058-905</v>
      </c>
      <c r="C491" s="3215" t="s">
        <v>11960</v>
      </c>
      <c r="D491" s="3216">
        <v>0.80459999999999998</v>
      </c>
    </row>
    <row r="492" spans="1:4" ht="14.5">
      <c r="A492" s="3214">
        <v>232901</v>
      </c>
      <c r="B492" s="380" t="str">
        <f t="shared" si="7"/>
        <v>232-901</v>
      </c>
      <c r="C492" s="3215" t="s">
        <v>11961</v>
      </c>
      <c r="D492" s="3216">
        <v>0.87809999999999999</v>
      </c>
    </row>
    <row r="493" spans="1:4" ht="14.5">
      <c r="A493" s="3214">
        <v>138902</v>
      </c>
      <c r="B493" s="380" t="str">
        <f t="shared" si="7"/>
        <v>138-902</v>
      </c>
      <c r="C493" s="3215" t="s">
        <v>11962</v>
      </c>
      <c r="D493" s="3216">
        <v>0.86899999999999999</v>
      </c>
    </row>
    <row r="494" spans="1:4" ht="14.5">
      <c r="A494" s="3214">
        <v>18907</v>
      </c>
      <c r="B494" s="380" t="str">
        <f t="shared" si="7"/>
        <v>018-907</v>
      </c>
      <c r="C494" s="3215" t="s">
        <v>11963</v>
      </c>
      <c r="D494" s="3216">
        <v>0.80459999999999998</v>
      </c>
    </row>
    <row r="495" spans="1:4" ht="14.5">
      <c r="A495" s="3214">
        <v>100903</v>
      </c>
      <c r="B495" s="380" t="str">
        <f t="shared" si="7"/>
        <v>100-903</v>
      </c>
      <c r="C495" s="3215" t="s">
        <v>11964</v>
      </c>
      <c r="D495" s="3216">
        <v>0.84189999999999998</v>
      </c>
    </row>
    <row r="496" spans="1:4" ht="14.5">
      <c r="A496" s="3214">
        <v>219905</v>
      </c>
      <c r="B496" s="380" t="str">
        <f t="shared" si="7"/>
        <v>219-905</v>
      </c>
      <c r="C496" s="3215" t="s">
        <v>11965</v>
      </c>
      <c r="D496" s="3216">
        <v>0.89410000000000001</v>
      </c>
    </row>
    <row r="497" spans="1:4" ht="14.5">
      <c r="A497" s="3214">
        <v>61905</v>
      </c>
      <c r="B497" s="380" t="str">
        <f t="shared" si="7"/>
        <v>061-905</v>
      </c>
      <c r="C497" s="3215" t="s">
        <v>11966</v>
      </c>
      <c r="D497" s="3216">
        <v>0.80459999999999998</v>
      </c>
    </row>
    <row r="498" spans="1:4" ht="14.5">
      <c r="A498" s="3214">
        <v>31905</v>
      </c>
      <c r="B498" s="380" t="str">
        <f t="shared" si="7"/>
        <v>031-905</v>
      </c>
      <c r="C498" s="3215" t="s">
        <v>11967</v>
      </c>
      <c r="D498" s="3216">
        <v>0.81799999999999995</v>
      </c>
    </row>
    <row r="499" spans="1:4" ht="14.5">
      <c r="A499" s="3214">
        <v>125906</v>
      </c>
      <c r="B499" s="380" t="str">
        <f t="shared" si="7"/>
        <v>125-906</v>
      </c>
      <c r="C499" s="3215" t="s">
        <v>11968</v>
      </c>
      <c r="D499" s="3216">
        <v>0.89410000000000001</v>
      </c>
    </row>
    <row r="500" spans="1:4" ht="14.5">
      <c r="A500" s="3214">
        <v>75902</v>
      </c>
      <c r="B500" s="380" t="str">
        <f t="shared" si="7"/>
        <v>075-902</v>
      </c>
      <c r="C500" s="3215" t="s">
        <v>11969</v>
      </c>
      <c r="D500" s="3216">
        <v>0.80459999999999998</v>
      </c>
    </row>
    <row r="501" spans="1:4" ht="14.5">
      <c r="A501" s="3214">
        <v>108912</v>
      </c>
      <c r="B501" s="380" t="str">
        <f t="shared" si="7"/>
        <v>108-912</v>
      </c>
      <c r="C501" s="3215" t="s">
        <v>11970</v>
      </c>
      <c r="D501" s="3216">
        <v>0.80459999999999998</v>
      </c>
    </row>
    <row r="502" spans="1:4" ht="14.5">
      <c r="A502" s="3214">
        <v>101916</v>
      </c>
      <c r="B502" s="380" t="str">
        <f t="shared" si="7"/>
        <v>101-916</v>
      </c>
      <c r="C502" s="3215" t="s">
        <v>11971</v>
      </c>
      <c r="D502" s="3216">
        <v>0.80459999999999998</v>
      </c>
    </row>
    <row r="503" spans="1:4" ht="14.5">
      <c r="A503" s="3214">
        <v>254902</v>
      </c>
      <c r="B503" s="380" t="str">
        <f t="shared" si="7"/>
        <v>254-902</v>
      </c>
      <c r="C503" s="3215" t="s">
        <v>11972</v>
      </c>
      <c r="D503" s="3216">
        <v>0.80679999999999996</v>
      </c>
    </row>
    <row r="504" spans="1:4" ht="14.5">
      <c r="A504" s="3214">
        <v>161906</v>
      </c>
      <c r="B504" s="380" t="str">
        <f t="shared" si="7"/>
        <v>161-906</v>
      </c>
      <c r="C504" s="3215" t="s">
        <v>11973</v>
      </c>
      <c r="D504" s="3216">
        <v>0.80459999999999998</v>
      </c>
    </row>
    <row r="505" spans="1:4" ht="14.5">
      <c r="A505" s="3214">
        <v>247903</v>
      </c>
      <c r="B505" s="380" t="str">
        <f t="shared" si="7"/>
        <v>247-903</v>
      </c>
      <c r="C505" s="3215" t="s">
        <v>11974</v>
      </c>
      <c r="D505" s="3216">
        <v>0.80459999999999998</v>
      </c>
    </row>
    <row r="506" spans="1:4" ht="14.5">
      <c r="A506" s="3214">
        <v>108914</v>
      </c>
      <c r="B506" s="380" t="str">
        <f t="shared" si="7"/>
        <v>108-914</v>
      </c>
      <c r="C506" s="3215" t="s">
        <v>11975</v>
      </c>
      <c r="D506" s="3216">
        <v>0.84870000000000001</v>
      </c>
    </row>
    <row r="507" spans="1:4" ht="14.5">
      <c r="A507" s="3214">
        <v>227912</v>
      </c>
      <c r="B507" s="380" t="str">
        <f t="shared" si="7"/>
        <v>227-912</v>
      </c>
      <c r="C507" s="3215" t="s">
        <v>11976</v>
      </c>
      <c r="D507" s="3216">
        <v>0.80459999999999998</v>
      </c>
    </row>
    <row r="508" spans="1:4" ht="14.5">
      <c r="A508" s="3214">
        <v>61912</v>
      </c>
      <c r="B508" s="380" t="str">
        <f t="shared" si="7"/>
        <v>061-912</v>
      </c>
      <c r="C508" s="3215" t="s">
        <v>11977</v>
      </c>
      <c r="D508" s="3216">
        <v>0.80459999999999998</v>
      </c>
    </row>
    <row r="509" spans="1:4" ht="14.5">
      <c r="A509" s="3214">
        <v>227913</v>
      </c>
      <c r="B509" s="380" t="str">
        <f t="shared" si="7"/>
        <v>227-913</v>
      </c>
      <c r="C509" s="3215" t="s">
        <v>11978</v>
      </c>
      <c r="D509" s="3216">
        <v>0.80459999999999998</v>
      </c>
    </row>
    <row r="510" spans="1:4" ht="14.5">
      <c r="A510" s="3214">
        <v>220910</v>
      </c>
      <c r="B510" s="380" t="str">
        <f t="shared" si="7"/>
        <v>220-910</v>
      </c>
      <c r="C510" s="3215" t="s">
        <v>11979</v>
      </c>
      <c r="D510" s="3216">
        <v>0.80459999999999998</v>
      </c>
    </row>
    <row r="511" spans="1:4" ht="14.5">
      <c r="A511" s="3214">
        <v>79901</v>
      </c>
      <c r="B511" s="380" t="str">
        <f t="shared" si="7"/>
        <v>079-901</v>
      </c>
      <c r="C511" s="3215" t="s">
        <v>11980</v>
      </c>
      <c r="D511" s="3216">
        <v>0.80459999999999998</v>
      </c>
    </row>
    <row r="512" spans="1:4" ht="14.5">
      <c r="A512" s="3214">
        <v>58906</v>
      </c>
      <c r="B512" s="380" t="str">
        <f t="shared" si="7"/>
        <v>058-906</v>
      </c>
      <c r="C512" s="3215" t="s">
        <v>11981</v>
      </c>
      <c r="D512" s="3216">
        <v>0.88339999999999996</v>
      </c>
    </row>
    <row r="513" spans="1:4" ht="14.5">
      <c r="A513" s="3214">
        <v>141901</v>
      </c>
      <c r="B513" s="380" t="str">
        <f t="shared" si="7"/>
        <v>141-901</v>
      </c>
      <c r="C513" s="3215" t="s">
        <v>11982</v>
      </c>
      <c r="D513" s="3216">
        <v>0.80459999999999998</v>
      </c>
    </row>
    <row r="514" spans="1:4" ht="14.5">
      <c r="A514" s="3214">
        <v>57913</v>
      </c>
      <c r="B514" s="380" t="str">
        <f t="shared" si="7"/>
        <v>057-913</v>
      </c>
      <c r="C514" s="3215" t="s">
        <v>11983</v>
      </c>
      <c r="D514" s="3216">
        <v>0.80459999999999998</v>
      </c>
    </row>
    <row r="515" spans="1:4" ht="14.5">
      <c r="A515" s="3214">
        <v>201903</v>
      </c>
      <c r="B515" s="380" t="str">
        <f t="shared" ref="B515:B578" si="8">CONCATENATE(LEFT(RIGHT(CONCATENATE("000",A515),6),3),"-",(RIGHT(RIGHT(CONCATENATE("000",A515),6),3)))</f>
        <v>201-903</v>
      </c>
      <c r="C515" s="3215" t="s">
        <v>11984</v>
      </c>
      <c r="D515" s="3216">
        <v>0.81840000000000002</v>
      </c>
    </row>
    <row r="516" spans="1:4" ht="14.5">
      <c r="A516" s="3214">
        <v>107910</v>
      </c>
      <c r="B516" s="380" t="str">
        <f t="shared" si="8"/>
        <v>107-910</v>
      </c>
      <c r="C516" s="3215" t="s">
        <v>11985</v>
      </c>
      <c r="D516" s="3216">
        <v>0.80459999999999998</v>
      </c>
    </row>
    <row r="517" spans="1:4" ht="14.5">
      <c r="A517" s="3214">
        <v>240901</v>
      </c>
      <c r="B517" s="380" t="str">
        <f t="shared" si="8"/>
        <v>240-901</v>
      </c>
      <c r="C517" s="3215" t="s">
        <v>11986</v>
      </c>
      <c r="D517" s="3216">
        <v>0.80459999999999998</v>
      </c>
    </row>
    <row r="518" spans="1:4" ht="14.5">
      <c r="A518" s="3214">
        <v>245901</v>
      </c>
      <c r="B518" s="380" t="str">
        <f t="shared" si="8"/>
        <v>245-901</v>
      </c>
      <c r="C518" s="3215" t="s">
        <v>11987</v>
      </c>
      <c r="D518" s="3216">
        <v>0.82030000000000003</v>
      </c>
    </row>
    <row r="519" spans="1:4" ht="14.5">
      <c r="A519" s="3214">
        <v>113905</v>
      </c>
      <c r="B519" s="380" t="str">
        <f t="shared" si="8"/>
        <v>113-905</v>
      </c>
      <c r="C519" s="3215" t="s">
        <v>11988</v>
      </c>
      <c r="D519" s="3216">
        <v>0.81179999999999997</v>
      </c>
    </row>
    <row r="520" spans="1:4" ht="14.5">
      <c r="A520" s="3214">
        <v>185904</v>
      </c>
      <c r="B520" s="380" t="str">
        <f t="shared" si="8"/>
        <v>185-904</v>
      </c>
      <c r="C520" s="3215" t="s">
        <v>11989</v>
      </c>
      <c r="D520" s="3216">
        <v>0.89410000000000001</v>
      </c>
    </row>
    <row r="521" spans="1:4" ht="14.5">
      <c r="A521" s="3214">
        <v>193902</v>
      </c>
      <c r="B521" s="380" t="str">
        <f t="shared" si="8"/>
        <v>193-902</v>
      </c>
      <c r="C521" s="3215" t="s">
        <v>11990</v>
      </c>
      <c r="D521" s="3216">
        <v>0.83689999999999998</v>
      </c>
    </row>
    <row r="522" spans="1:4" ht="14.5">
      <c r="A522" s="3214">
        <v>246913</v>
      </c>
      <c r="B522" s="380" t="str">
        <f t="shared" si="8"/>
        <v>246-913</v>
      </c>
      <c r="C522" s="3215" t="s">
        <v>11991</v>
      </c>
      <c r="D522" s="3216">
        <v>0.80459999999999998</v>
      </c>
    </row>
    <row r="523" spans="1:4" ht="14.5">
      <c r="A523" s="3214">
        <v>19914</v>
      </c>
      <c r="B523" s="380" t="str">
        <f t="shared" si="8"/>
        <v>019-914</v>
      </c>
      <c r="C523" s="3215" t="s">
        <v>11992</v>
      </c>
      <c r="D523" s="3216">
        <v>0.83360000000000001</v>
      </c>
    </row>
    <row r="524" spans="1:4" ht="14.5">
      <c r="A524" s="3214">
        <v>90902</v>
      </c>
      <c r="B524" s="380" t="str">
        <f t="shared" si="8"/>
        <v>090-902</v>
      </c>
      <c r="C524" s="3215" t="s">
        <v>11993</v>
      </c>
      <c r="D524" s="3216">
        <v>0.80459999999999998</v>
      </c>
    </row>
    <row r="525" spans="1:4" ht="14.5">
      <c r="A525" s="3214">
        <v>187906</v>
      </c>
      <c r="B525" s="380" t="str">
        <f t="shared" si="8"/>
        <v>187-906</v>
      </c>
      <c r="C525" s="3215" t="s">
        <v>11994</v>
      </c>
      <c r="D525" s="3216">
        <v>0.80459999999999998</v>
      </c>
    </row>
    <row r="526" spans="1:4" ht="14.5">
      <c r="A526" s="3214">
        <v>145911</v>
      </c>
      <c r="B526" s="380" t="str">
        <f t="shared" si="8"/>
        <v>145-911</v>
      </c>
      <c r="C526" s="3215" t="s">
        <v>11995</v>
      </c>
      <c r="D526" s="3216">
        <v>0.83960000000000001</v>
      </c>
    </row>
    <row r="527" spans="1:4" ht="14.5">
      <c r="A527" s="3214">
        <v>74909</v>
      </c>
      <c r="B527" s="380" t="str">
        <f t="shared" si="8"/>
        <v>074-909</v>
      </c>
      <c r="C527" s="3215" t="s">
        <v>11996</v>
      </c>
      <c r="D527" s="3216">
        <v>0.80459999999999998</v>
      </c>
    </row>
    <row r="528" spans="1:4" ht="14.5">
      <c r="A528" s="3214">
        <v>110902</v>
      </c>
      <c r="B528" s="380" t="str">
        <f t="shared" si="8"/>
        <v>110-902</v>
      </c>
      <c r="C528" s="3215" t="s">
        <v>11997</v>
      </c>
      <c r="D528" s="3216">
        <v>0.80459999999999998</v>
      </c>
    </row>
    <row r="529" spans="1:4" ht="14.5">
      <c r="A529" s="3214">
        <v>201904</v>
      </c>
      <c r="B529" s="380" t="str">
        <f t="shared" si="8"/>
        <v>201-904</v>
      </c>
      <c r="C529" s="3215" t="s">
        <v>11998</v>
      </c>
      <c r="D529" s="3216">
        <v>0.80459999999999998</v>
      </c>
    </row>
    <row r="530" spans="1:4" ht="14.5">
      <c r="A530" s="3214">
        <v>61902</v>
      </c>
      <c r="B530" s="380" t="str">
        <f t="shared" si="8"/>
        <v>061-902</v>
      </c>
      <c r="C530" s="3215" t="s">
        <v>11999</v>
      </c>
      <c r="D530" s="3216">
        <v>0.80589999999999995</v>
      </c>
    </row>
    <row r="531" spans="1:4" ht="14.5">
      <c r="A531" s="3214">
        <v>144902</v>
      </c>
      <c r="B531" s="380" t="str">
        <f t="shared" si="8"/>
        <v>144-902</v>
      </c>
      <c r="C531" s="3215" t="s">
        <v>12000</v>
      </c>
      <c r="D531" s="3216">
        <v>0.80459999999999998</v>
      </c>
    </row>
    <row r="532" spans="1:4" ht="14.5">
      <c r="A532" s="3214">
        <v>246908</v>
      </c>
      <c r="B532" s="380" t="str">
        <f t="shared" si="8"/>
        <v>246-908</v>
      </c>
      <c r="C532" s="3215" t="s">
        <v>12001</v>
      </c>
      <c r="D532" s="3216">
        <v>0.80459999999999998</v>
      </c>
    </row>
    <row r="533" spans="1:4" ht="14.5">
      <c r="A533" s="3214">
        <v>146906</v>
      </c>
      <c r="B533" s="380" t="str">
        <f t="shared" si="8"/>
        <v>146-906</v>
      </c>
      <c r="C533" s="3215" t="s">
        <v>12002</v>
      </c>
      <c r="D533" s="3216">
        <v>0.82940000000000003</v>
      </c>
    </row>
    <row r="534" spans="1:4" ht="14.5">
      <c r="A534" s="3214">
        <v>19908</v>
      </c>
      <c r="B534" s="380" t="str">
        <f t="shared" si="8"/>
        <v>019-908</v>
      </c>
      <c r="C534" s="3215" t="s">
        <v>12003</v>
      </c>
      <c r="D534" s="3216">
        <v>0.83720000000000006</v>
      </c>
    </row>
    <row r="535" spans="1:4" ht="14.5">
      <c r="A535" s="3214">
        <v>212903</v>
      </c>
      <c r="B535" s="380" t="str">
        <f t="shared" si="8"/>
        <v>212-903</v>
      </c>
      <c r="C535" s="3215" t="s">
        <v>12004</v>
      </c>
      <c r="D535" s="3216">
        <v>0.80459999999999998</v>
      </c>
    </row>
    <row r="536" spans="1:4" ht="14.5">
      <c r="A536" s="3214">
        <v>34905</v>
      </c>
      <c r="B536" s="380" t="str">
        <f t="shared" si="8"/>
        <v>034-905</v>
      </c>
      <c r="C536" s="3215" t="s">
        <v>12005</v>
      </c>
      <c r="D536" s="3216">
        <v>0.80459999999999998</v>
      </c>
    </row>
    <row r="537" spans="1:4" ht="14.5">
      <c r="A537" s="3214">
        <v>49907</v>
      </c>
      <c r="B537" s="380" t="str">
        <f t="shared" si="8"/>
        <v>049-907</v>
      </c>
      <c r="C537" s="3215" t="s">
        <v>12006</v>
      </c>
      <c r="D537" s="3216">
        <v>0.88800000000000001</v>
      </c>
    </row>
    <row r="538" spans="1:4" ht="14.5">
      <c r="A538" s="3214">
        <v>72909</v>
      </c>
      <c r="B538" s="380" t="str">
        <f t="shared" si="8"/>
        <v>072-909</v>
      </c>
      <c r="C538" s="3215" t="s">
        <v>12007</v>
      </c>
      <c r="D538" s="3216">
        <v>0.80459999999999998</v>
      </c>
    </row>
    <row r="539" spans="1:4" ht="14.5">
      <c r="A539" s="3214">
        <v>111902</v>
      </c>
      <c r="B539" s="380" t="str">
        <f t="shared" si="8"/>
        <v>111-902</v>
      </c>
      <c r="C539" s="3215" t="s">
        <v>12008</v>
      </c>
      <c r="D539" s="3216">
        <v>0.80459999999999998</v>
      </c>
    </row>
    <row r="540" spans="1:4" ht="14.5">
      <c r="A540" s="3214">
        <v>181908</v>
      </c>
      <c r="B540" s="380" t="str">
        <f t="shared" si="8"/>
        <v>181-908</v>
      </c>
      <c r="C540" s="3215" t="s">
        <v>12009</v>
      </c>
      <c r="D540" s="3216">
        <v>0.87250000000000005</v>
      </c>
    </row>
    <row r="541" spans="1:4" ht="14.5">
      <c r="A541" s="3214">
        <v>61914</v>
      </c>
      <c r="B541" s="380" t="str">
        <f t="shared" si="8"/>
        <v>061-914</v>
      </c>
      <c r="C541" s="3215" t="s">
        <v>12010</v>
      </c>
      <c r="D541" s="3216">
        <v>0.80459999999999998</v>
      </c>
    </row>
    <row r="542" spans="1:4" ht="14.5">
      <c r="A542" s="3214">
        <v>140904</v>
      </c>
      <c r="B542" s="380" t="str">
        <f t="shared" si="8"/>
        <v>140-904</v>
      </c>
      <c r="C542" s="3215" t="s">
        <v>12011</v>
      </c>
      <c r="D542" s="3216">
        <v>0.85150000000000003</v>
      </c>
    </row>
    <row r="543" spans="1:4" ht="14.5">
      <c r="A543" s="3214">
        <v>187907</v>
      </c>
      <c r="B543" s="380" t="str">
        <f t="shared" si="8"/>
        <v>187-907</v>
      </c>
      <c r="C543" s="3215" t="s">
        <v>12012</v>
      </c>
      <c r="D543" s="3216">
        <v>0.80459999999999998</v>
      </c>
    </row>
    <row r="544" spans="1:4" ht="14.5">
      <c r="A544" s="3214">
        <v>150901</v>
      </c>
      <c r="B544" s="380" t="str">
        <f t="shared" si="8"/>
        <v>150-901</v>
      </c>
      <c r="C544" s="3215" t="s">
        <v>12013</v>
      </c>
      <c r="D544" s="3216">
        <v>0.80459999999999998</v>
      </c>
    </row>
    <row r="545" spans="1:4" ht="14.5">
      <c r="A545" s="3214">
        <v>28902</v>
      </c>
      <c r="B545" s="380" t="str">
        <f t="shared" si="8"/>
        <v>028-902</v>
      </c>
      <c r="C545" s="3215" t="s">
        <v>12014</v>
      </c>
      <c r="D545" s="3216">
        <v>0.80459999999999998</v>
      </c>
    </row>
    <row r="546" spans="1:4" ht="14.5">
      <c r="A546" s="3214">
        <v>77902</v>
      </c>
      <c r="B546" s="380" t="str">
        <f t="shared" si="8"/>
        <v>077-902</v>
      </c>
      <c r="C546" s="3215" t="s">
        <v>12015</v>
      </c>
      <c r="D546" s="3216">
        <v>0.89410000000000001</v>
      </c>
    </row>
    <row r="547" spans="1:4" ht="14.5">
      <c r="A547" s="3214">
        <v>160905</v>
      </c>
      <c r="B547" s="380" t="str">
        <f t="shared" si="8"/>
        <v>160-905</v>
      </c>
      <c r="C547" s="3215" t="s">
        <v>12016</v>
      </c>
      <c r="D547" s="3216">
        <v>0.81159999999999999</v>
      </c>
    </row>
    <row r="548" spans="1:4" ht="14.5">
      <c r="A548" s="3214">
        <v>141902</v>
      </c>
      <c r="B548" s="380" t="str">
        <f t="shared" si="8"/>
        <v>141-902</v>
      </c>
      <c r="C548" s="3215" t="s">
        <v>12017</v>
      </c>
      <c r="D548" s="3216">
        <v>0.80459999999999998</v>
      </c>
    </row>
    <row r="549" spans="1:4" ht="14.5">
      <c r="A549" s="3214">
        <v>178906</v>
      </c>
      <c r="B549" s="380" t="str">
        <f t="shared" si="8"/>
        <v>178-906</v>
      </c>
      <c r="C549" s="3215" t="s">
        <v>12018</v>
      </c>
      <c r="D549" s="3216">
        <v>0.80459999999999998</v>
      </c>
    </row>
    <row r="550" spans="1:4" ht="14.5">
      <c r="A550" s="3214">
        <v>116906</v>
      </c>
      <c r="B550" s="380" t="str">
        <f t="shared" si="8"/>
        <v>116-906</v>
      </c>
      <c r="C550" s="3215" t="s">
        <v>12019</v>
      </c>
      <c r="D550" s="3216">
        <v>0.80459999999999998</v>
      </c>
    </row>
    <row r="551" spans="1:4" ht="14.5">
      <c r="A551" s="3214">
        <v>92903</v>
      </c>
      <c r="B551" s="380" t="str">
        <f t="shared" si="8"/>
        <v>092-903</v>
      </c>
      <c r="C551" s="3215" t="s">
        <v>12020</v>
      </c>
      <c r="D551" s="3216">
        <v>0.80459999999999998</v>
      </c>
    </row>
    <row r="552" spans="1:4" ht="14.5">
      <c r="A552" s="3214">
        <v>83902</v>
      </c>
      <c r="B552" s="380" t="str">
        <f t="shared" si="8"/>
        <v>083-902</v>
      </c>
      <c r="C552" s="3215" t="s">
        <v>12021</v>
      </c>
      <c r="D552" s="3216">
        <v>0.80459999999999998</v>
      </c>
    </row>
    <row r="553" spans="1:4" ht="14.5">
      <c r="A553" s="3214">
        <v>168902</v>
      </c>
      <c r="B553" s="380" t="str">
        <f t="shared" si="8"/>
        <v>168-902</v>
      </c>
      <c r="C553" s="3215" t="s">
        <v>12022</v>
      </c>
      <c r="D553" s="3216">
        <v>0.87770000000000004</v>
      </c>
    </row>
    <row r="554" spans="1:4" ht="14.5">
      <c r="A554" s="3214">
        <v>161907</v>
      </c>
      <c r="B554" s="380" t="str">
        <f t="shared" si="8"/>
        <v>161-907</v>
      </c>
      <c r="C554" s="3215" t="s">
        <v>12023</v>
      </c>
      <c r="D554" s="3216">
        <v>0.80459999999999998</v>
      </c>
    </row>
    <row r="555" spans="1:4" ht="14.5">
      <c r="A555" s="3214">
        <v>54902</v>
      </c>
      <c r="B555" s="380" t="str">
        <f t="shared" si="8"/>
        <v>054-902</v>
      </c>
      <c r="C555" s="3215" t="s">
        <v>12024</v>
      </c>
      <c r="D555" s="3216">
        <v>0.81489999999999996</v>
      </c>
    </row>
    <row r="556" spans="1:4" ht="14.5">
      <c r="A556" s="3214">
        <v>31906</v>
      </c>
      <c r="B556" s="380" t="str">
        <f t="shared" si="8"/>
        <v>031-906</v>
      </c>
      <c r="C556" s="3215" t="s">
        <v>12025</v>
      </c>
      <c r="D556" s="3216">
        <v>0.83260000000000001</v>
      </c>
    </row>
    <row r="557" spans="1:4" ht="14.5">
      <c r="A557" s="3214">
        <v>241906</v>
      </c>
      <c r="B557" s="380" t="str">
        <f t="shared" si="8"/>
        <v>241-906</v>
      </c>
      <c r="C557" s="3215" t="s">
        <v>12026</v>
      </c>
      <c r="D557" s="3216">
        <v>0.80459999999999998</v>
      </c>
    </row>
    <row r="558" spans="1:4" ht="14.5">
      <c r="A558" s="3214">
        <v>43919</v>
      </c>
      <c r="B558" s="380" t="str">
        <f t="shared" si="8"/>
        <v>043-919</v>
      </c>
      <c r="C558" s="3215" t="s">
        <v>12027</v>
      </c>
      <c r="D558" s="3216">
        <v>0.80459999999999998</v>
      </c>
    </row>
    <row r="559" spans="1:4" ht="14.5">
      <c r="A559" s="3214">
        <v>113903</v>
      </c>
      <c r="B559" s="380" t="str">
        <f t="shared" si="8"/>
        <v>113-903</v>
      </c>
      <c r="C559" s="3215" t="s">
        <v>12028</v>
      </c>
      <c r="D559" s="3216">
        <v>0.80459999999999998</v>
      </c>
    </row>
    <row r="560" spans="1:4" ht="14.5">
      <c r="A560" s="3214">
        <v>152901</v>
      </c>
      <c r="B560" s="380" t="str">
        <f t="shared" si="8"/>
        <v>152-901</v>
      </c>
      <c r="C560" s="3215" t="s">
        <v>12029</v>
      </c>
      <c r="D560" s="3216">
        <v>0.85699999999999998</v>
      </c>
    </row>
    <row r="561" spans="1:4" ht="14.5">
      <c r="A561" s="3214">
        <v>152906</v>
      </c>
      <c r="B561" s="380" t="str">
        <f t="shared" si="8"/>
        <v>152-906</v>
      </c>
      <c r="C561" s="3215" t="s">
        <v>12030</v>
      </c>
      <c r="D561" s="3216">
        <v>0.80459999999999998</v>
      </c>
    </row>
    <row r="562" spans="1:4" ht="14.5">
      <c r="A562" s="3214">
        <v>127905</v>
      </c>
      <c r="B562" s="380" t="str">
        <f t="shared" si="8"/>
        <v>127-905</v>
      </c>
      <c r="C562" s="3215" t="s">
        <v>12031</v>
      </c>
      <c r="D562" s="3216">
        <v>0.80459999999999998</v>
      </c>
    </row>
    <row r="563" spans="1:4" ht="14.5">
      <c r="A563" s="3214">
        <v>3903</v>
      </c>
      <c r="B563" s="380" t="str">
        <f t="shared" si="8"/>
        <v>003-903</v>
      </c>
      <c r="C563" s="3215" t="s">
        <v>12032</v>
      </c>
      <c r="D563" s="3216">
        <v>0.81020000000000003</v>
      </c>
    </row>
    <row r="564" spans="1:4" ht="14.5">
      <c r="A564" s="3214">
        <v>28903</v>
      </c>
      <c r="B564" s="380" t="str">
        <f t="shared" si="8"/>
        <v>028-903</v>
      </c>
      <c r="C564" s="3215" t="s">
        <v>12033</v>
      </c>
      <c r="D564" s="3216">
        <v>0.80459999999999998</v>
      </c>
    </row>
    <row r="565" spans="1:4" ht="14.5">
      <c r="A565" s="3214">
        <v>100907</v>
      </c>
      <c r="B565" s="380" t="str">
        <f t="shared" si="8"/>
        <v>100-907</v>
      </c>
      <c r="C565" s="3215" t="s">
        <v>12034</v>
      </c>
      <c r="D565" s="3216">
        <v>0.80459999999999998</v>
      </c>
    </row>
    <row r="566" spans="1:4" ht="14.5">
      <c r="A566" s="3214">
        <v>245902</v>
      </c>
      <c r="B566" s="380" t="str">
        <f t="shared" si="8"/>
        <v>245-902</v>
      </c>
      <c r="C566" s="3215" t="s">
        <v>12035</v>
      </c>
      <c r="D566" s="3216">
        <v>0.82199999999999995</v>
      </c>
    </row>
    <row r="567" spans="1:4" ht="14.5">
      <c r="A567" s="3214">
        <v>7904</v>
      </c>
      <c r="B567" s="380" t="str">
        <f t="shared" si="8"/>
        <v>007-904</v>
      </c>
      <c r="C567" s="3215" t="s">
        <v>12036</v>
      </c>
      <c r="D567" s="3216">
        <v>0.80459999999999998</v>
      </c>
    </row>
    <row r="568" spans="1:4" ht="14.5">
      <c r="A568" s="3214">
        <v>129905</v>
      </c>
      <c r="B568" s="380" t="str">
        <f t="shared" si="8"/>
        <v>129-905</v>
      </c>
      <c r="C568" s="3215" t="s">
        <v>12037</v>
      </c>
      <c r="D568" s="3216">
        <v>0.80459999999999998</v>
      </c>
    </row>
    <row r="569" spans="1:4" ht="14.5">
      <c r="A569" s="3214">
        <v>154901</v>
      </c>
      <c r="B569" s="380" t="str">
        <f t="shared" si="8"/>
        <v>154-901</v>
      </c>
      <c r="C569" s="3215" t="s">
        <v>12038</v>
      </c>
      <c r="D569" s="3216">
        <v>0.80459999999999998</v>
      </c>
    </row>
    <row r="570" spans="1:4" ht="14.5">
      <c r="A570" s="3214">
        <v>170906</v>
      </c>
      <c r="B570" s="380" t="str">
        <f t="shared" si="8"/>
        <v>170-906</v>
      </c>
      <c r="C570" s="3215" t="s">
        <v>12039</v>
      </c>
      <c r="D570" s="3216">
        <v>0.80459999999999998</v>
      </c>
    </row>
    <row r="571" spans="1:4" ht="14.5">
      <c r="A571" s="3214">
        <v>107906</v>
      </c>
      <c r="B571" s="380" t="str">
        <f t="shared" si="8"/>
        <v>107-906</v>
      </c>
      <c r="C571" s="3215" t="s">
        <v>12040</v>
      </c>
      <c r="D571" s="3216">
        <v>0.80459999999999998</v>
      </c>
    </row>
    <row r="572" spans="1:4" ht="14.5">
      <c r="A572" s="3214">
        <v>109908</v>
      </c>
      <c r="B572" s="380" t="str">
        <f t="shared" si="8"/>
        <v>109-908</v>
      </c>
      <c r="C572" s="3215" t="s">
        <v>12041</v>
      </c>
      <c r="D572" s="3216">
        <v>0.83309999999999995</v>
      </c>
    </row>
    <row r="573" spans="1:4" ht="14.5">
      <c r="A573" s="3214">
        <v>19910</v>
      </c>
      <c r="B573" s="380" t="str">
        <f t="shared" si="8"/>
        <v>019-910</v>
      </c>
      <c r="C573" s="3215" t="s">
        <v>12042</v>
      </c>
      <c r="D573" s="3216">
        <v>0.80779999999999996</v>
      </c>
    </row>
    <row r="574" spans="1:4" ht="14.5">
      <c r="A574" s="3214">
        <v>227907</v>
      </c>
      <c r="B574" s="380" t="str">
        <f t="shared" si="8"/>
        <v>227-907</v>
      </c>
      <c r="C574" s="3215" t="s">
        <v>12043</v>
      </c>
      <c r="D574" s="3216">
        <v>0.80459999999999998</v>
      </c>
    </row>
    <row r="575" spans="1:4" ht="14.5">
      <c r="A575" s="3214">
        <v>220908</v>
      </c>
      <c r="B575" s="380" t="str">
        <f t="shared" si="8"/>
        <v>220-908</v>
      </c>
      <c r="C575" s="3215" t="s">
        <v>12044</v>
      </c>
      <c r="D575" s="3216">
        <v>0.80459999999999998</v>
      </c>
    </row>
    <row r="576" spans="1:4" ht="14.5">
      <c r="A576" s="3214">
        <v>22902</v>
      </c>
      <c r="B576" s="380" t="str">
        <f t="shared" si="8"/>
        <v>022-902</v>
      </c>
      <c r="C576" s="3215" t="s">
        <v>12045</v>
      </c>
      <c r="D576" s="3216">
        <v>0.80459999999999998</v>
      </c>
    </row>
    <row r="577" spans="1:4" ht="14.5">
      <c r="A577" s="3214">
        <v>27904</v>
      </c>
      <c r="B577" s="380" t="str">
        <f t="shared" si="8"/>
        <v>027-904</v>
      </c>
      <c r="C577" s="3215" t="s">
        <v>12046</v>
      </c>
      <c r="D577" s="3216">
        <v>0.80459999999999998</v>
      </c>
    </row>
    <row r="578" spans="1:4" ht="14.5">
      <c r="A578" s="3214">
        <v>189901</v>
      </c>
      <c r="B578" s="380" t="str">
        <f t="shared" si="8"/>
        <v>189-901</v>
      </c>
      <c r="C578" s="3215" t="s">
        <v>12047</v>
      </c>
      <c r="D578" s="3216">
        <v>0.80459999999999998</v>
      </c>
    </row>
    <row r="579" spans="1:4" ht="14.5">
      <c r="A579" s="3214">
        <v>94904</v>
      </c>
      <c r="B579" s="380" t="str">
        <f t="shared" ref="B579:B642" si="9">CONCATENATE(LEFT(RIGHT(CONCATENATE("000",A579),6),3),"-",(RIGHT(RIGHT(CONCATENATE("000",A579),6),3)))</f>
        <v>094-904</v>
      </c>
      <c r="C579" s="3215" t="s">
        <v>12048</v>
      </c>
      <c r="D579" s="3216">
        <v>0.80459999999999998</v>
      </c>
    </row>
    <row r="580" spans="1:4" ht="14.5">
      <c r="A580" s="3214">
        <v>73903</v>
      </c>
      <c r="B580" s="380" t="str">
        <f t="shared" si="9"/>
        <v>073-903</v>
      </c>
      <c r="C580" s="3215" t="s">
        <v>12049</v>
      </c>
      <c r="D580" s="3216">
        <v>0.80459999999999998</v>
      </c>
    </row>
    <row r="581" spans="1:4" ht="14.5">
      <c r="A581" s="3214">
        <v>102902</v>
      </c>
      <c r="B581" s="380" t="str">
        <f t="shared" si="9"/>
        <v>102-902</v>
      </c>
      <c r="C581" s="3215" t="s">
        <v>12050</v>
      </c>
      <c r="D581" s="3216">
        <v>0.81179999999999997</v>
      </c>
    </row>
    <row r="582" spans="1:4" ht="14.5">
      <c r="A582" s="3214">
        <v>161908</v>
      </c>
      <c r="B582" s="380" t="str">
        <f t="shared" si="9"/>
        <v>161-908</v>
      </c>
      <c r="C582" s="3215" t="s">
        <v>12051</v>
      </c>
      <c r="D582" s="3216">
        <v>0.80459999999999998</v>
      </c>
    </row>
    <row r="583" spans="1:4" ht="14.5">
      <c r="A583" s="3214">
        <v>234905</v>
      </c>
      <c r="B583" s="380" t="str">
        <f t="shared" si="9"/>
        <v>234-905</v>
      </c>
      <c r="C583" s="3215" t="s">
        <v>12052</v>
      </c>
      <c r="D583" s="3216">
        <v>0.80459999999999998</v>
      </c>
    </row>
    <row r="584" spans="1:4" ht="14.5">
      <c r="A584" s="3214">
        <v>174909</v>
      </c>
      <c r="B584" s="380" t="str">
        <f t="shared" si="9"/>
        <v>174-909</v>
      </c>
      <c r="C584" s="3215" t="s">
        <v>12053</v>
      </c>
      <c r="D584" s="3216">
        <v>0.80459999999999998</v>
      </c>
    </row>
    <row r="585" spans="1:4" ht="14.5">
      <c r="A585" s="3214">
        <v>157901</v>
      </c>
      <c r="B585" s="380" t="str">
        <f t="shared" si="9"/>
        <v>157-901</v>
      </c>
      <c r="C585" s="3215" t="s">
        <v>12054</v>
      </c>
      <c r="D585" s="3216">
        <v>0.80459999999999998</v>
      </c>
    </row>
    <row r="586" spans="1:4" ht="14.5">
      <c r="A586" s="3214">
        <v>158904</v>
      </c>
      <c r="B586" s="380" t="str">
        <f t="shared" si="9"/>
        <v>158-904</v>
      </c>
      <c r="C586" s="3215" t="s">
        <v>12055</v>
      </c>
      <c r="D586" s="3216">
        <v>0.80459999999999998</v>
      </c>
    </row>
    <row r="587" spans="1:4" ht="14.5">
      <c r="A587" s="3214">
        <v>205904</v>
      </c>
      <c r="B587" s="380" t="str">
        <f t="shared" si="9"/>
        <v>205-904</v>
      </c>
      <c r="C587" s="3215" t="s">
        <v>12056</v>
      </c>
      <c r="D587" s="3216">
        <v>0.80459999999999998</v>
      </c>
    </row>
    <row r="588" spans="1:4" ht="14.5">
      <c r="A588" s="3214">
        <v>19903</v>
      </c>
      <c r="B588" s="380" t="str">
        <f t="shared" si="9"/>
        <v>019-903</v>
      </c>
      <c r="C588" s="3215" t="s">
        <v>12057</v>
      </c>
      <c r="D588" s="3216">
        <v>0.80459999999999998</v>
      </c>
    </row>
    <row r="589" spans="1:4" ht="14.5">
      <c r="A589" s="3214">
        <v>25905</v>
      </c>
      <c r="B589" s="380" t="str">
        <f t="shared" si="9"/>
        <v>025-905</v>
      </c>
      <c r="C589" s="3215" t="s">
        <v>12058</v>
      </c>
      <c r="D589" s="3216">
        <v>0.80459999999999998</v>
      </c>
    </row>
    <row r="590" spans="1:4" ht="14.5">
      <c r="A590" s="3214">
        <v>70915</v>
      </c>
      <c r="B590" s="380" t="str">
        <f t="shared" si="9"/>
        <v>070-915</v>
      </c>
      <c r="C590" s="3215" t="s">
        <v>12059</v>
      </c>
      <c r="D590" s="3216">
        <v>0.80459999999999998</v>
      </c>
    </row>
    <row r="591" spans="1:4" ht="14.5">
      <c r="A591" s="3214">
        <v>108906</v>
      </c>
      <c r="B591" s="380" t="str">
        <f t="shared" si="9"/>
        <v>108-906</v>
      </c>
      <c r="C591" s="3215" t="s">
        <v>12060</v>
      </c>
      <c r="D591" s="3216">
        <v>0.85060000000000002</v>
      </c>
    </row>
    <row r="592" spans="1:4" ht="14.5">
      <c r="A592" s="3214">
        <v>231901</v>
      </c>
      <c r="B592" s="380" t="str">
        <f t="shared" si="9"/>
        <v>231-901</v>
      </c>
      <c r="C592" s="3215" t="s">
        <v>12061</v>
      </c>
      <c r="D592" s="3216">
        <v>0.80459999999999998</v>
      </c>
    </row>
    <row r="593" spans="1:4" ht="14.5">
      <c r="A593" s="3214">
        <v>11905</v>
      </c>
      <c r="B593" s="380" t="str">
        <f t="shared" si="9"/>
        <v>011-905</v>
      </c>
      <c r="C593" s="3215" t="s">
        <v>12062</v>
      </c>
      <c r="D593" s="3216">
        <v>0.80459999999999998</v>
      </c>
    </row>
    <row r="594" spans="1:4" ht="14.5">
      <c r="A594" s="3214">
        <v>161909</v>
      </c>
      <c r="B594" s="380" t="str">
        <f t="shared" si="9"/>
        <v>161-909</v>
      </c>
      <c r="C594" s="3215" t="s">
        <v>12063</v>
      </c>
      <c r="D594" s="3216">
        <v>0.80459999999999998</v>
      </c>
    </row>
    <row r="595" spans="1:4" ht="14.5">
      <c r="A595" s="3214">
        <v>43907</v>
      </c>
      <c r="B595" s="380" t="str">
        <f t="shared" si="9"/>
        <v>043-907</v>
      </c>
      <c r="C595" s="3215" t="s">
        <v>12064</v>
      </c>
      <c r="D595" s="3216">
        <v>0.80459999999999998</v>
      </c>
    </row>
    <row r="596" spans="1:4" ht="14.5">
      <c r="A596" s="3214">
        <v>90903</v>
      </c>
      <c r="B596" s="380" t="str">
        <f t="shared" si="9"/>
        <v>090-903</v>
      </c>
      <c r="C596" s="3215" t="s">
        <v>12065</v>
      </c>
      <c r="D596" s="3216">
        <v>0.87590000000000001</v>
      </c>
    </row>
    <row r="597" spans="1:4" ht="14.5">
      <c r="A597" s="3214">
        <v>34906</v>
      </c>
      <c r="B597" s="380" t="str">
        <f t="shared" si="9"/>
        <v>034-906</v>
      </c>
      <c r="C597" s="3215" t="s">
        <v>12066</v>
      </c>
      <c r="D597" s="3216">
        <v>0.84709999999999996</v>
      </c>
    </row>
    <row r="598" spans="1:4" ht="14.5">
      <c r="A598" s="3214">
        <v>162904</v>
      </c>
      <c r="B598" s="380" t="str">
        <f t="shared" si="9"/>
        <v>162-904</v>
      </c>
      <c r="C598" s="3215" t="s">
        <v>12067</v>
      </c>
      <c r="D598" s="3216">
        <v>0.80459999999999998</v>
      </c>
    </row>
    <row r="599" spans="1:4" ht="14.5">
      <c r="A599" s="3214">
        <v>223902</v>
      </c>
      <c r="B599" s="380" t="str">
        <f t="shared" si="9"/>
        <v>223-902</v>
      </c>
      <c r="C599" s="3215" t="s">
        <v>12068</v>
      </c>
      <c r="D599" s="3216">
        <v>0.89410000000000001</v>
      </c>
    </row>
    <row r="600" spans="1:4" ht="14.5">
      <c r="A600" s="3214">
        <v>10901</v>
      </c>
      <c r="B600" s="380" t="str">
        <f t="shared" si="9"/>
        <v>010-901</v>
      </c>
      <c r="C600" s="3215" t="s">
        <v>12069</v>
      </c>
      <c r="D600" s="3216">
        <v>0.80459999999999998</v>
      </c>
    </row>
    <row r="601" spans="1:4" ht="14.5">
      <c r="A601" s="3214">
        <v>163908</v>
      </c>
      <c r="B601" s="380" t="str">
        <f t="shared" si="9"/>
        <v>163-908</v>
      </c>
      <c r="C601" s="3215" t="s">
        <v>12070</v>
      </c>
      <c r="D601" s="3216">
        <v>0.80459999999999998</v>
      </c>
    </row>
    <row r="602" spans="1:4" ht="14.5">
      <c r="A602" s="3214">
        <v>43908</v>
      </c>
      <c r="B602" s="380" t="str">
        <f t="shared" si="9"/>
        <v>043-908</v>
      </c>
      <c r="C602" s="3215" t="s">
        <v>12071</v>
      </c>
      <c r="D602" s="3216">
        <v>0.80459999999999998</v>
      </c>
    </row>
    <row r="603" spans="1:4" ht="14.5">
      <c r="A603" s="3214">
        <v>96904</v>
      </c>
      <c r="B603" s="380" t="str">
        <f t="shared" si="9"/>
        <v>096-904</v>
      </c>
      <c r="C603" s="3215" t="s">
        <v>12072</v>
      </c>
      <c r="D603" s="3216">
        <v>0.81599999999999995</v>
      </c>
    </row>
    <row r="604" spans="1:4" ht="14.5">
      <c r="A604" s="3214">
        <v>164901</v>
      </c>
      <c r="B604" s="380" t="str">
        <f t="shared" si="9"/>
        <v>164-901</v>
      </c>
      <c r="C604" s="3215" t="s">
        <v>12073</v>
      </c>
      <c r="D604" s="3216">
        <v>0.80459999999999998</v>
      </c>
    </row>
    <row r="605" spans="1:4" ht="14.5">
      <c r="A605" s="3214">
        <v>108907</v>
      </c>
      <c r="B605" s="380" t="str">
        <f t="shared" si="9"/>
        <v>108-907</v>
      </c>
      <c r="C605" s="3215" t="s">
        <v>12074</v>
      </c>
      <c r="D605" s="3216">
        <v>0.83499999999999996</v>
      </c>
    </row>
    <row r="606" spans="1:4" ht="14.5">
      <c r="A606" s="3214">
        <v>18902</v>
      </c>
      <c r="B606" s="380" t="str">
        <f t="shared" si="9"/>
        <v>018-902</v>
      </c>
      <c r="C606" s="3215" t="s">
        <v>12075</v>
      </c>
      <c r="D606" s="3216">
        <v>0.80459999999999998</v>
      </c>
    </row>
    <row r="607" spans="1:4" ht="14.5">
      <c r="A607" s="3214">
        <v>221904</v>
      </c>
      <c r="B607" s="380" t="str">
        <f t="shared" si="9"/>
        <v>221-904</v>
      </c>
      <c r="C607" s="3215" t="s">
        <v>12076</v>
      </c>
      <c r="D607" s="3216">
        <v>0.83430000000000004</v>
      </c>
    </row>
    <row r="608" spans="1:4" ht="14.5">
      <c r="A608" s="3214">
        <v>57914</v>
      </c>
      <c r="B608" s="380" t="str">
        <f t="shared" si="9"/>
        <v>057-914</v>
      </c>
      <c r="C608" s="3215" t="s">
        <v>12077</v>
      </c>
      <c r="D608" s="3216">
        <v>0.80459999999999998</v>
      </c>
    </row>
    <row r="609" spans="1:4" ht="14.5">
      <c r="A609" s="3214">
        <v>147903</v>
      </c>
      <c r="B609" s="380" t="str">
        <f t="shared" si="9"/>
        <v>147-903</v>
      </c>
      <c r="C609" s="3215" t="s">
        <v>12078</v>
      </c>
      <c r="D609" s="3216">
        <v>0.83189999999999997</v>
      </c>
    </row>
    <row r="610" spans="1:4" ht="14.5">
      <c r="A610" s="3214">
        <v>62906</v>
      </c>
      <c r="B610" s="380" t="str">
        <f t="shared" si="9"/>
        <v>062-906</v>
      </c>
      <c r="C610" s="3215" t="s">
        <v>12079</v>
      </c>
      <c r="D610" s="3216">
        <v>0.81330000000000002</v>
      </c>
    </row>
    <row r="611" spans="1:4" ht="14.5">
      <c r="A611" s="3214">
        <v>197902</v>
      </c>
      <c r="B611" s="380" t="str">
        <f t="shared" si="9"/>
        <v>197-902</v>
      </c>
      <c r="C611" s="3215" t="s">
        <v>12080</v>
      </c>
      <c r="D611" s="3216">
        <v>0.80459999999999998</v>
      </c>
    </row>
    <row r="612" spans="1:4" ht="14.5">
      <c r="A612" s="3214">
        <v>165901</v>
      </c>
      <c r="B612" s="380" t="str">
        <f t="shared" si="9"/>
        <v>165-901</v>
      </c>
      <c r="C612" s="3215" t="s">
        <v>12081</v>
      </c>
      <c r="D612" s="3216">
        <v>0.80459999999999998</v>
      </c>
    </row>
    <row r="613" spans="1:4" ht="14.5">
      <c r="A613" s="3214">
        <v>70908</v>
      </c>
      <c r="B613" s="380" t="str">
        <f t="shared" si="9"/>
        <v>070-908</v>
      </c>
      <c r="C613" s="3215" t="s">
        <v>12082</v>
      </c>
      <c r="D613" s="3216">
        <v>0.80459999999999998</v>
      </c>
    </row>
    <row r="614" spans="1:4" ht="14.5">
      <c r="A614" s="3214">
        <v>39905</v>
      </c>
      <c r="B614" s="380" t="str">
        <f t="shared" si="9"/>
        <v>039-905</v>
      </c>
      <c r="C614" s="3215" t="s">
        <v>12083</v>
      </c>
      <c r="D614" s="3216">
        <v>0.88839999999999997</v>
      </c>
    </row>
    <row r="615" spans="1:4" ht="14.5">
      <c r="A615" s="3214">
        <v>161903</v>
      </c>
      <c r="B615" s="380" t="str">
        <f t="shared" si="9"/>
        <v>161-903</v>
      </c>
      <c r="C615" s="3215" t="s">
        <v>12083</v>
      </c>
      <c r="D615" s="3216">
        <v>0.80459999999999998</v>
      </c>
    </row>
    <row r="616" spans="1:4" ht="14.5">
      <c r="A616" s="3214">
        <v>166903</v>
      </c>
      <c r="B616" s="380" t="str">
        <f t="shared" si="9"/>
        <v>166-903</v>
      </c>
      <c r="C616" s="3215" t="s">
        <v>12084</v>
      </c>
      <c r="D616" s="3216">
        <v>0.80459999999999998</v>
      </c>
    </row>
    <row r="617" spans="1:4" ht="14.5">
      <c r="A617" s="3214">
        <v>175910</v>
      </c>
      <c r="B617" s="380" t="str">
        <f t="shared" si="9"/>
        <v>175-910</v>
      </c>
      <c r="C617" s="3215" t="s">
        <v>12085</v>
      </c>
      <c r="D617" s="3216">
        <v>0.80459999999999998</v>
      </c>
    </row>
    <row r="618" spans="1:4" ht="14.5">
      <c r="A618" s="3214">
        <v>200902</v>
      </c>
      <c r="B618" s="380" t="str">
        <f t="shared" si="9"/>
        <v>200-902</v>
      </c>
      <c r="C618" s="3215" t="s">
        <v>12086</v>
      </c>
      <c r="D618" s="3216">
        <v>0.80459999999999998</v>
      </c>
    </row>
    <row r="619" spans="1:4" ht="14.5">
      <c r="A619" s="3214">
        <v>70909</v>
      </c>
      <c r="B619" s="380" t="str">
        <f t="shared" si="9"/>
        <v>070-909</v>
      </c>
      <c r="C619" s="3215" t="s">
        <v>12087</v>
      </c>
      <c r="D619" s="3216">
        <v>0.80459999999999998</v>
      </c>
    </row>
    <row r="620" spans="1:4" ht="14.5">
      <c r="A620" s="3214">
        <v>112907</v>
      </c>
      <c r="B620" s="380" t="str">
        <f t="shared" si="9"/>
        <v>112-907</v>
      </c>
      <c r="C620" s="3215" t="s">
        <v>12088</v>
      </c>
      <c r="D620" s="3216">
        <v>0.80459999999999998</v>
      </c>
    </row>
    <row r="621" spans="1:4" ht="14.5">
      <c r="A621" s="3214">
        <v>184904</v>
      </c>
      <c r="B621" s="380" t="str">
        <f t="shared" si="9"/>
        <v>184-904</v>
      </c>
      <c r="C621" s="3215" t="s">
        <v>12089</v>
      </c>
      <c r="D621" s="3216">
        <v>0.80459999999999998</v>
      </c>
    </row>
    <row r="622" spans="1:4" ht="14.5">
      <c r="A622" s="3214">
        <v>250903</v>
      </c>
      <c r="B622" s="380" t="str">
        <f t="shared" si="9"/>
        <v>250-903</v>
      </c>
      <c r="C622" s="3215" t="s">
        <v>12090</v>
      </c>
      <c r="D622" s="3216">
        <v>0.80459999999999998</v>
      </c>
    </row>
    <row r="623" spans="1:4" ht="14.5">
      <c r="A623" s="3214">
        <v>182903</v>
      </c>
      <c r="B623" s="380" t="str">
        <f t="shared" si="9"/>
        <v>182-903</v>
      </c>
      <c r="C623" s="3215" t="s">
        <v>12091</v>
      </c>
      <c r="D623" s="3216">
        <v>0.80459999999999998</v>
      </c>
    </row>
    <row r="624" spans="1:4" ht="14.5">
      <c r="A624" s="3214">
        <v>108908</v>
      </c>
      <c r="B624" s="380" t="str">
        <f t="shared" si="9"/>
        <v>108-908</v>
      </c>
      <c r="C624" s="3215" t="s">
        <v>12092</v>
      </c>
      <c r="D624" s="3216">
        <v>0.80459999999999998</v>
      </c>
    </row>
    <row r="625" spans="1:4" ht="14.5">
      <c r="A625" s="3214">
        <v>238902</v>
      </c>
      <c r="B625" s="380" t="str">
        <f t="shared" si="9"/>
        <v>238-902</v>
      </c>
      <c r="C625" s="3215" t="s">
        <v>12093</v>
      </c>
      <c r="D625" s="3216">
        <v>0.80459999999999998</v>
      </c>
    </row>
    <row r="626" spans="1:4" ht="14.5">
      <c r="A626" s="3214">
        <v>169908</v>
      </c>
      <c r="B626" s="380" t="str">
        <f t="shared" si="9"/>
        <v>169-908</v>
      </c>
      <c r="C626" s="3215" t="s">
        <v>12094</v>
      </c>
      <c r="D626" s="3216">
        <v>0.80459999999999998</v>
      </c>
    </row>
    <row r="627" spans="1:4" ht="14.5">
      <c r="A627" s="3214">
        <v>108915</v>
      </c>
      <c r="B627" s="380" t="str">
        <f t="shared" si="9"/>
        <v>108-915</v>
      </c>
      <c r="C627" s="3215" t="s">
        <v>12095</v>
      </c>
      <c r="D627" s="3216">
        <v>0.80459999999999998</v>
      </c>
    </row>
    <row r="628" spans="1:4" ht="14.5">
      <c r="A628" s="3214">
        <v>170903</v>
      </c>
      <c r="B628" s="380" t="str">
        <f t="shared" si="9"/>
        <v>170-903</v>
      </c>
      <c r="C628" s="3215" t="s">
        <v>12096</v>
      </c>
      <c r="D628" s="3216">
        <v>0.80459999999999998</v>
      </c>
    </row>
    <row r="629" spans="1:4" ht="14.5">
      <c r="A629" s="3214">
        <v>161910</v>
      </c>
      <c r="B629" s="380" t="str">
        <f t="shared" si="9"/>
        <v>161-910</v>
      </c>
      <c r="C629" s="3215" t="s">
        <v>12097</v>
      </c>
      <c r="D629" s="3216">
        <v>0.80459999999999998</v>
      </c>
    </row>
    <row r="630" spans="1:4" ht="14.5">
      <c r="A630" s="3214">
        <v>209902</v>
      </c>
      <c r="B630" s="380" t="str">
        <f t="shared" si="9"/>
        <v>209-902</v>
      </c>
      <c r="C630" s="3215" t="s">
        <v>12098</v>
      </c>
      <c r="D630" s="3216">
        <v>0.80459999999999998</v>
      </c>
    </row>
    <row r="631" spans="1:4" ht="14.5">
      <c r="A631" s="3214">
        <v>18903</v>
      </c>
      <c r="B631" s="380" t="str">
        <f t="shared" si="9"/>
        <v>018-903</v>
      </c>
      <c r="C631" s="3215" t="s">
        <v>12099</v>
      </c>
      <c r="D631" s="3216">
        <v>0.80459999999999998</v>
      </c>
    </row>
    <row r="632" spans="1:4" ht="14.5">
      <c r="A632" s="3214">
        <v>72910</v>
      </c>
      <c r="B632" s="380" t="str">
        <f t="shared" si="9"/>
        <v>072-910</v>
      </c>
      <c r="C632" s="3215" t="s">
        <v>12100</v>
      </c>
      <c r="D632" s="3216">
        <v>0.80459999999999998</v>
      </c>
    </row>
    <row r="633" spans="1:4" ht="14.5">
      <c r="A633" s="3214">
        <v>40901</v>
      </c>
      <c r="B633" s="380" t="str">
        <f t="shared" si="9"/>
        <v>040-901</v>
      </c>
      <c r="C633" s="3215" t="s">
        <v>12101</v>
      </c>
      <c r="D633" s="3216">
        <v>0.89410000000000001</v>
      </c>
    </row>
    <row r="634" spans="1:4" ht="14.5">
      <c r="A634" s="3214">
        <v>173901</v>
      </c>
      <c r="B634" s="380" t="str">
        <f t="shared" si="9"/>
        <v>173-901</v>
      </c>
      <c r="C634" s="3215" t="s">
        <v>12102</v>
      </c>
      <c r="D634" s="3216">
        <v>0.89410000000000001</v>
      </c>
    </row>
    <row r="635" spans="1:4" ht="14.5">
      <c r="A635" s="3214">
        <v>143902</v>
      </c>
      <c r="B635" s="380" t="str">
        <f t="shared" si="9"/>
        <v>143-902</v>
      </c>
      <c r="C635" s="3215" t="s">
        <v>12103</v>
      </c>
      <c r="D635" s="3216">
        <v>0.80459999999999998</v>
      </c>
    </row>
    <row r="636" spans="1:4" ht="14.5">
      <c r="A636" s="3214">
        <v>109910</v>
      </c>
      <c r="B636" s="380" t="str">
        <f t="shared" si="9"/>
        <v>109-910</v>
      </c>
      <c r="C636" s="3215" t="s">
        <v>12104</v>
      </c>
      <c r="D636" s="3216">
        <v>0.80459999999999998</v>
      </c>
    </row>
    <row r="637" spans="1:4" ht="14.5">
      <c r="A637" s="3214">
        <v>201907</v>
      </c>
      <c r="B637" s="380" t="str">
        <f t="shared" si="9"/>
        <v>201-907</v>
      </c>
      <c r="C637" s="3215" t="s">
        <v>12105</v>
      </c>
      <c r="D637" s="3216">
        <v>0.80459999999999998</v>
      </c>
    </row>
    <row r="638" spans="1:4" ht="14.5">
      <c r="A638" s="3214">
        <v>225902</v>
      </c>
      <c r="B638" s="380" t="str">
        <f t="shared" si="9"/>
        <v>225-902</v>
      </c>
      <c r="C638" s="3215" t="s">
        <v>12106</v>
      </c>
      <c r="D638" s="3216">
        <v>0.81220000000000003</v>
      </c>
    </row>
    <row r="639" spans="1:4" ht="14.5">
      <c r="A639" s="3214">
        <v>80901</v>
      </c>
      <c r="B639" s="380" t="str">
        <f t="shared" si="9"/>
        <v>080-901</v>
      </c>
      <c r="C639" s="3215" t="s">
        <v>12107</v>
      </c>
      <c r="D639" s="3216">
        <v>0.80459999999999998</v>
      </c>
    </row>
    <row r="640" spans="1:4" ht="14.5">
      <c r="A640" s="3214">
        <v>49902</v>
      </c>
      <c r="B640" s="380" t="str">
        <f t="shared" si="9"/>
        <v>049-902</v>
      </c>
      <c r="C640" s="3215" t="s">
        <v>12108</v>
      </c>
      <c r="D640" s="3216">
        <v>0.80459999999999998</v>
      </c>
    </row>
    <row r="641" spans="1:4" ht="14.5">
      <c r="A641" s="3214">
        <v>9901</v>
      </c>
      <c r="B641" s="380" t="str">
        <f t="shared" si="9"/>
        <v>009-901</v>
      </c>
      <c r="C641" s="3215" t="s">
        <v>12109</v>
      </c>
      <c r="D641" s="3216">
        <v>0.87629999999999997</v>
      </c>
    </row>
    <row r="642" spans="1:4" ht="14.5">
      <c r="A642" s="3214">
        <v>167902</v>
      </c>
      <c r="B642" s="380" t="str">
        <f t="shared" si="9"/>
        <v>167-902</v>
      </c>
      <c r="C642" s="3215" t="s">
        <v>12110</v>
      </c>
      <c r="D642" s="3216">
        <v>0.88439999999999996</v>
      </c>
    </row>
    <row r="643" spans="1:4" ht="14.5">
      <c r="A643" s="3214">
        <v>198906</v>
      </c>
      <c r="B643" s="380" t="str">
        <f t="shared" ref="B643:B706" si="10">CONCATENATE(LEFT(RIGHT(CONCATENATE("000",A643),6),3),"-",(RIGHT(RIGHT(CONCATENATE("000",A643),6),3)))</f>
        <v>198-906</v>
      </c>
      <c r="C643" s="3215" t="s">
        <v>12111</v>
      </c>
      <c r="D643" s="3216">
        <v>0.80459999999999998</v>
      </c>
    </row>
    <row r="644" spans="1:4" ht="14.5">
      <c r="A644" s="3214">
        <v>138903</v>
      </c>
      <c r="B644" s="380" t="str">
        <f t="shared" si="10"/>
        <v>138-903</v>
      </c>
      <c r="C644" s="3215" t="s">
        <v>12112</v>
      </c>
      <c r="D644" s="3216">
        <v>0.87519999999999998</v>
      </c>
    </row>
    <row r="645" spans="1:4" ht="14.5">
      <c r="A645" s="3214">
        <v>107908</v>
      </c>
      <c r="B645" s="380" t="str">
        <f t="shared" si="10"/>
        <v>107-908</v>
      </c>
      <c r="C645" s="3215" t="s">
        <v>12113</v>
      </c>
      <c r="D645" s="3216">
        <v>0.80459999999999998</v>
      </c>
    </row>
    <row r="646" spans="1:4" ht="14.5">
      <c r="A646" s="3214">
        <v>174904</v>
      </c>
      <c r="B646" s="380" t="str">
        <f t="shared" si="10"/>
        <v>174-904</v>
      </c>
      <c r="C646" s="3215" t="s">
        <v>12114</v>
      </c>
      <c r="D646" s="3216">
        <v>0.81240000000000001</v>
      </c>
    </row>
    <row r="647" spans="1:4" ht="14.5">
      <c r="A647" s="3214">
        <v>163903</v>
      </c>
      <c r="B647" s="380" t="str">
        <f t="shared" si="10"/>
        <v>163-903</v>
      </c>
      <c r="C647" s="3215" t="s">
        <v>12115</v>
      </c>
      <c r="D647" s="3216">
        <v>0.80459999999999998</v>
      </c>
    </row>
    <row r="648" spans="1:4" ht="14.5">
      <c r="A648" s="3214">
        <v>94903</v>
      </c>
      <c r="B648" s="380" t="str">
        <f t="shared" si="10"/>
        <v>094-903</v>
      </c>
      <c r="C648" s="3215" t="s">
        <v>12116</v>
      </c>
      <c r="D648" s="3216">
        <v>0.80459999999999998</v>
      </c>
    </row>
    <row r="649" spans="1:4" ht="14.5">
      <c r="A649" s="3214">
        <v>93904</v>
      </c>
      <c r="B649" s="380" t="str">
        <f t="shared" si="10"/>
        <v>093-904</v>
      </c>
      <c r="C649" s="3215" t="s">
        <v>12117</v>
      </c>
      <c r="D649" s="3216">
        <v>0.80459999999999998</v>
      </c>
    </row>
    <row r="650" spans="1:4" ht="14.5">
      <c r="A650" s="3214">
        <v>35903</v>
      </c>
      <c r="B650" s="380" t="str">
        <f t="shared" si="10"/>
        <v>035-903</v>
      </c>
      <c r="C650" s="3215" t="s">
        <v>12118</v>
      </c>
      <c r="D650" s="3216">
        <v>0.84389999999999998</v>
      </c>
    </row>
    <row r="651" spans="1:4" ht="14.5">
      <c r="A651" s="3214">
        <v>1906</v>
      </c>
      <c r="B651" s="380" t="str">
        <f t="shared" si="10"/>
        <v>001-906</v>
      </c>
      <c r="C651" s="3215" t="s">
        <v>12119</v>
      </c>
      <c r="D651" s="3216">
        <v>0.81110000000000004</v>
      </c>
    </row>
    <row r="652" spans="1:4" ht="14.5">
      <c r="A652" s="3214">
        <v>123905</v>
      </c>
      <c r="B652" s="380" t="str">
        <f t="shared" si="10"/>
        <v>123-905</v>
      </c>
      <c r="C652" s="3215" t="s">
        <v>12120</v>
      </c>
      <c r="D652" s="3216">
        <v>0.82199999999999995</v>
      </c>
    </row>
    <row r="653" spans="1:4" ht="14.5">
      <c r="A653" s="3214">
        <v>79906</v>
      </c>
      <c r="B653" s="380" t="str">
        <f t="shared" si="10"/>
        <v>079-906</v>
      </c>
      <c r="C653" s="3215" t="s">
        <v>12121</v>
      </c>
      <c r="D653" s="3216">
        <v>0.80459999999999998</v>
      </c>
    </row>
    <row r="654" spans="1:4" ht="14.5">
      <c r="A654" s="3214">
        <v>19905</v>
      </c>
      <c r="B654" s="380" t="str">
        <f t="shared" si="10"/>
        <v>019-905</v>
      </c>
      <c r="C654" s="3215" t="s">
        <v>12122</v>
      </c>
      <c r="D654" s="3216">
        <v>0.84430000000000005</v>
      </c>
    </row>
    <row r="655" spans="1:4" ht="14.5">
      <c r="A655" s="3214">
        <v>46901</v>
      </c>
      <c r="B655" s="380" t="str">
        <f t="shared" si="10"/>
        <v>046-901</v>
      </c>
      <c r="C655" s="3215" t="s">
        <v>12123</v>
      </c>
      <c r="D655" s="3216">
        <v>0.80459999999999998</v>
      </c>
    </row>
    <row r="656" spans="1:4" ht="14.5">
      <c r="A656" s="3214">
        <v>170908</v>
      </c>
      <c r="B656" s="380" t="str">
        <f t="shared" si="10"/>
        <v>170-908</v>
      </c>
      <c r="C656" s="3215" t="s">
        <v>12124</v>
      </c>
      <c r="D656" s="3216">
        <v>0.80459999999999998</v>
      </c>
    </row>
    <row r="657" spans="1:4" ht="14.5">
      <c r="A657" s="3214">
        <v>152902</v>
      </c>
      <c r="B657" s="380" t="str">
        <f t="shared" si="10"/>
        <v>152-902</v>
      </c>
      <c r="C657" s="3215" t="s">
        <v>12125</v>
      </c>
      <c r="D657" s="3216">
        <v>0.80459999999999998</v>
      </c>
    </row>
    <row r="658" spans="1:4" ht="14.5">
      <c r="A658" s="3214">
        <v>230906</v>
      </c>
      <c r="B658" s="380" t="str">
        <f t="shared" si="10"/>
        <v>230-906</v>
      </c>
      <c r="C658" s="3215" t="s">
        <v>12126</v>
      </c>
      <c r="D658" s="3216">
        <v>0.80459999999999998</v>
      </c>
    </row>
    <row r="659" spans="1:4" ht="14.5">
      <c r="A659" s="3214">
        <v>153905</v>
      </c>
      <c r="B659" s="380" t="str">
        <f t="shared" si="10"/>
        <v>153-905</v>
      </c>
      <c r="C659" s="3215" t="s">
        <v>12127</v>
      </c>
      <c r="D659" s="3216">
        <v>0.80459999999999998</v>
      </c>
    </row>
    <row r="660" spans="1:4" ht="14.5">
      <c r="A660" s="3214">
        <v>37908</v>
      </c>
      <c r="B660" s="380" t="str">
        <f t="shared" si="10"/>
        <v>037-908</v>
      </c>
      <c r="C660" s="3215" t="s">
        <v>12128</v>
      </c>
      <c r="D660" s="3216">
        <v>0.80459999999999998</v>
      </c>
    </row>
    <row r="661" spans="1:4" ht="14.5">
      <c r="A661" s="3214">
        <v>236901</v>
      </c>
      <c r="B661" s="380" t="str">
        <f t="shared" si="10"/>
        <v>236-901</v>
      </c>
      <c r="C661" s="3215" t="s">
        <v>12129</v>
      </c>
      <c r="D661" s="3216">
        <v>0.80459999999999998</v>
      </c>
    </row>
    <row r="662" spans="1:4" ht="14.5">
      <c r="A662" s="3214">
        <v>252902</v>
      </c>
      <c r="B662" s="380" t="str">
        <f t="shared" si="10"/>
        <v>252-902</v>
      </c>
      <c r="C662" s="3215" t="s">
        <v>12130</v>
      </c>
      <c r="D662" s="3216">
        <v>0.89410000000000001</v>
      </c>
    </row>
    <row r="663" spans="1:4" ht="14.5">
      <c r="A663" s="3214">
        <v>176902</v>
      </c>
      <c r="B663" s="380" t="str">
        <f t="shared" si="10"/>
        <v>176-902</v>
      </c>
      <c r="C663" s="3215" t="s">
        <v>12131</v>
      </c>
      <c r="D663" s="3216">
        <v>0.80459999999999998</v>
      </c>
    </row>
    <row r="664" spans="1:4" ht="14.5">
      <c r="A664" s="3214">
        <v>89903</v>
      </c>
      <c r="B664" s="380" t="str">
        <f t="shared" si="10"/>
        <v>089-903</v>
      </c>
      <c r="C664" s="3215" t="s">
        <v>12132</v>
      </c>
      <c r="D664" s="3216">
        <v>0.80459999999999998</v>
      </c>
    </row>
    <row r="665" spans="1:4" ht="14.5">
      <c r="A665" s="3214">
        <v>169902</v>
      </c>
      <c r="B665" s="380" t="str">
        <f t="shared" si="10"/>
        <v>169-902</v>
      </c>
      <c r="C665" s="3215" t="s">
        <v>12133</v>
      </c>
      <c r="D665" s="3216">
        <v>0.80459999999999998</v>
      </c>
    </row>
    <row r="666" spans="1:4" ht="14.5">
      <c r="A666" s="3214">
        <v>62902</v>
      </c>
      <c r="B666" s="380" t="str">
        <f t="shared" si="10"/>
        <v>062-902</v>
      </c>
      <c r="C666" s="3215" t="s">
        <v>12134</v>
      </c>
      <c r="D666" s="3216">
        <v>0.80459999999999998</v>
      </c>
    </row>
    <row r="667" spans="1:4" ht="14.5">
      <c r="A667" s="3214">
        <v>145906</v>
      </c>
      <c r="B667" s="380" t="str">
        <f t="shared" si="10"/>
        <v>145-906</v>
      </c>
      <c r="C667" s="3215" t="s">
        <v>12135</v>
      </c>
      <c r="D667" s="3216">
        <v>0.81940000000000002</v>
      </c>
    </row>
    <row r="668" spans="1:4" ht="14.5">
      <c r="A668" s="3214">
        <v>15910</v>
      </c>
      <c r="B668" s="380" t="str">
        <f t="shared" si="10"/>
        <v>015-910</v>
      </c>
      <c r="C668" s="3215" t="s">
        <v>12136</v>
      </c>
      <c r="D668" s="3216">
        <v>0.83220000000000005</v>
      </c>
    </row>
    <row r="669" spans="1:4" ht="14.5">
      <c r="A669" s="3214">
        <v>112906</v>
      </c>
      <c r="B669" s="380" t="str">
        <f t="shared" si="10"/>
        <v>112-906</v>
      </c>
      <c r="C669" s="3215" t="s">
        <v>12137</v>
      </c>
      <c r="D669" s="3216">
        <v>0.80459999999999998</v>
      </c>
    </row>
    <row r="670" spans="1:4" ht="14.5">
      <c r="A670" s="3214">
        <v>139911</v>
      </c>
      <c r="B670" s="380" t="str">
        <f t="shared" si="10"/>
        <v>139-911</v>
      </c>
      <c r="C670" s="3215" t="s">
        <v>12138</v>
      </c>
      <c r="D670" s="3216">
        <v>0.80459999999999998</v>
      </c>
    </row>
    <row r="671" spans="1:4" ht="14.5">
      <c r="A671" s="3214">
        <v>154903</v>
      </c>
      <c r="B671" s="380" t="str">
        <f t="shared" si="10"/>
        <v>154-903</v>
      </c>
      <c r="C671" s="3215" t="s">
        <v>12139</v>
      </c>
      <c r="D671" s="3216">
        <v>0.80459999999999998</v>
      </c>
    </row>
    <row r="672" spans="1:4" ht="14.5">
      <c r="A672" s="3214">
        <v>15915</v>
      </c>
      <c r="B672" s="380" t="str">
        <f t="shared" si="10"/>
        <v>015-915</v>
      </c>
      <c r="C672" s="3215" t="s">
        <v>12140</v>
      </c>
      <c r="D672" s="3216">
        <v>0.80459999999999998</v>
      </c>
    </row>
    <row r="673" spans="1:4" ht="14.5">
      <c r="A673" s="3214">
        <v>244905</v>
      </c>
      <c r="B673" s="380" t="str">
        <f t="shared" si="10"/>
        <v>244-905</v>
      </c>
      <c r="C673" s="3215" t="s">
        <v>12140</v>
      </c>
      <c r="D673" s="3216">
        <v>0.80459999999999998</v>
      </c>
    </row>
    <row r="674" spans="1:4" ht="14.5">
      <c r="A674" s="3214">
        <v>61911</v>
      </c>
      <c r="B674" s="380" t="str">
        <f t="shared" si="10"/>
        <v>061-911</v>
      </c>
      <c r="C674" s="3215" t="s">
        <v>12141</v>
      </c>
      <c r="D674" s="3216">
        <v>0.80459999999999998</v>
      </c>
    </row>
    <row r="675" spans="1:4" ht="14.5">
      <c r="A675" s="3214">
        <v>69902</v>
      </c>
      <c r="B675" s="380" t="str">
        <f t="shared" si="10"/>
        <v>069-902</v>
      </c>
      <c r="C675" s="3215" t="s">
        <v>12142</v>
      </c>
      <c r="D675" s="3216">
        <v>0.80459999999999998</v>
      </c>
    </row>
    <row r="676" spans="1:4" ht="14.5">
      <c r="A676" s="3214">
        <v>235904</v>
      </c>
      <c r="B676" s="380" t="str">
        <f t="shared" si="10"/>
        <v>235-904</v>
      </c>
      <c r="C676" s="3215" t="s">
        <v>12143</v>
      </c>
      <c r="D676" s="3216">
        <v>0.89410000000000001</v>
      </c>
    </row>
    <row r="677" spans="1:4" ht="14.5">
      <c r="A677" s="3214">
        <v>145907</v>
      </c>
      <c r="B677" s="380" t="str">
        <f t="shared" si="10"/>
        <v>145-907</v>
      </c>
      <c r="C677" s="3215" t="s">
        <v>12144</v>
      </c>
      <c r="D677" s="3216">
        <v>0.80459999999999998</v>
      </c>
    </row>
    <row r="678" spans="1:4" ht="14.5">
      <c r="A678" s="3214">
        <v>205905</v>
      </c>
      <c r="B678" s="380" t="str">
        <f t="shared" si="10"/>
        <v>205-905</v>
      </c>
      <c r="C678" s="3215" t="s">
        <v>12145</v>
      </c>
      <c r="D678" s="3216">
        <v>0.80459999999999998</v>
      </c>
    </row>
    <row r="679" spans="1:4" ht="14.5">
      <c r="A679" s="3214">
        <v>153903</v>
      </c>
      <c r="B679" s="380" t="str">
        <f t="shared" si="10"/>
        <v>153-903</v>
      </c>
      <c r="C679" s="3215" t="s">
        <v>12146</v>
      </c>
      <c r="D679" s="3216">
        <v>0.89410000000000001</v>
      </c>
    </row>
    <row r="680" spans="1:4" ht="14.5">
      <c r="A680" s="3214">
        <v>50904</v>
      </c>
      <c r="B680" s="380" t="str">
        <f t="shared" si="10"/>
        <v>050-904</v>
      </c>
      <c r="C680" s="3215" t="s">
        <v>12147</v>
      </c>
      <c r="D680" s="3216">
        <v>0.80459999999999998</v>
      </c>
    </row>
    <row r="681" spans="1:4" ht="14.5">
      <c r="A681" s="3214">
        <v>200906</v>
      </c>
      <c r="B681" s="380" t="str">
        <f t="shared" si="10"/>
        <v>200-906</v>
      </c>
      <c r="C681" s="3215" t="s">
        <v>12148</v>
      </c>
      <c r="D681" s="3216">
        <v>0.84840000000000004</v>
      </c>
    </row>
    <row r="682" spans="1:4" ht="14.5">
      <c r="A682" s="3214">
        <v>252903</v>
      </c>
      <c r="B682" s="380" t="str">
        <f t="shared" si="10"/>
        <v>252-903</v>
      </c>
      <c r="C682" s="3215" t="s">
        <v>12149</v>
      </c>
      <c r="D682" s="3216">
        <v>0.89410000000000001</v>
      </c>
    </row>
    <row r="683" spans="1:4" ht="14.5">
      <c r="A683" s="3214">
        <v>140905</v>
      </c>
      <c r="B683" s="380" t="str">
        <f t="shared" si="10"/>
        <v>140-905</v>
      </c>
      <c r="C683" s="3215" t="s">
        <v>12150</v>
      </c>
      <c r="D683" s="3216">
        <v>0.85589999999999999</v>
      </c>
    </row>
    <row r="684" spans="1:4" ht="14.5">
      <c r="A684" s="3214">
        <v>187910</v>
      </c>
      <c r="B684" s="380" t="str">
        <f t="shared" si="10"/>
        <v>187-910</v>
      </c>
      <c r="C684" s="3215" t="s">
        <v>12151</v>
      </c>
      <c r="D684" s="3216">
        <v>0.80459999999999998</v>
      </c>
    </row>
    <row r="685" spans="1:4" ht="14.5">
      <c r="A685" s="3214">
        <v>125903</v>
      </c>
      <c r="B685" s="380" t="str">
        <f t="shared" si="10"/>
        <v>125-903</v>
      </c>
      <c r="C685" s="3215" t="s">
        <v>12152</v>
      </c>
      <c r="D685" s="3216">
        <v>0.88580000000000003</v>
      </c>
    </row>
    <row r="686" spans="1:4" ht="14.5">
      <c r="A686" s="3214">
        <v>181905</v>
      </c>
      <c r="B686" s="380" t="str">
        <f t="shared" si="10"/>
        <v>181-905</v>
      </c>
      <c r="C686" s="3215" t="s">
        <v>12153</v>
      </c>
      <c r="D686" s="3216">
        <v>0.81310000000000004</v>
      </c>
    </row>
    <row r="687" spans="1:4" ht="14.5">
      <c r="A687" s="3214">
        <v>230903</v>
      </c>
      <c r="B687" s="380" t="str">
        <f t="shared" si="10"/>
        <v>230-903</v>
      </c>
      <c r="C687" s="3215" t="s">
        <v>12154</v>
      </c>
      <c r="D687" s="3216">
        <v>0.86319999999999997</v>
      </c>
    </row>
    <row r="688" spans="1:4" ht="14.5">
      <c r="A688" s="3214">
        <v>201908</v>
      </c>
      <c r="B688" s="380" t="str">
        <f t="shared" si="10"/>
        <v>201-908</v>
      </c>
      <c r="C688" s="3215" t="s">
        <v>12155</v>
      </c>
      <c r="D688" s="3216">
        <v>0.80459999999999998</v>
      </c>
    </row>
    <row r="689" spans="1:4" ht="14.5">
      <c r="A689" s="3214">
        <v>51901</v>
      </c>
      <c r="B689" s="380" t="str">
        <f t="shared" si="10"/>
        <v>051-901</v>
      </c>
      <c r="C689" s="3215" t="s">
        <v>12156</v>
      </c>
      <c r="D689" s="3216">
        <v>0.86150000000000004</v>
      </c>
    </row>
    <row r="690" spans="1:4" ht="14.5">
      <c r="A690" s="3214">
        <v>104907</v>
      </c>
      <c r="B690" s="380" t="str">
        <f t="shared" si="10"/>
        <v>104-907</v>
      </c>
      <c r="C690" s="3215" t="s">
        <v>12157</v>
      </c>
      <c r="D690" s="3216">
        <v>0.80459999999999998</v>
      </c>
    </row>
    <row r="691" spans="1:4" ht="14.5">
      <c r="A691" s="3214">
        <v>48903</v>
      </c>
      <c r="B691" s="380" t="str">
        <f t="shared" si="10"/>
        <v>048-903</v>
      </c>
      <c r="C691" s="3215" t="s">
        <v>12158</v>
      </c>
      <c r="D691" s="3216">
        <v>0.82199999999999995</v>
      </c>
    </row>
    <row r="692" spans="1:4" ht="14.5">
      <c r="A692" s="3214">
        <v>158905</v>
      </c>
      <c r="B692" s="380" t="str">
        <f t="shared" si="10"/>
        <v>158-905</v>
      </c>
      <c r="C692" s="3215" t="s">
        <v>12159</v>
      </c>
      <c r="D692" s="3216">
        <v>0.89410000000000001</v>
      </c>
    </row>
    <row r="693" spans="1:4" ht="14.5">
      <c r="A693" s="3214">
        <v>1907</v>
      </c>
      <c r="B693" s="380" t="str">
        <f t="shared" si="10"/>
        <v>001-907</v>
      </c>
      <c r="C693" s="3215" t="s">
        <v>12160</v>
      </c>
      <c r="D693" s="3216">
        <v>0.81920000000000004</v>
      </c>
    </row>
    <row r="694" spans="1:4" ht="14.5">
      <c r="A694" s="3214">
        <v>70910</v>
      </c>
      <c r="B694" s="380" t="str">
        <f t="shared" si="10"/>
        <v>070-910</v>
      </c>
      <c r="C694" s="3215" t="s">
        <v>12161</v>
      </c>
      <c r="D694" s="3216">
        <v>0.80459999999999998</v>
      </c>
    </row>
    <row r="695" spans="1:4" ht="14.5">
      <c r="A695" s="3214">
        <v>182906</v>
      </c>
      <c r="B695" s="380" t="str">
        <f t="shared" si="10"/>
        <v>182-906</v>
      </c>
      <c r="C695" s="3215" t="s">
        <v>12162</v>
      </c>
      <c r="D695" s="3216">
        <v>0.80459999999999998</v>
      </c>
    </row>
    <row r="696" spans="1:4" ht="14.5">
      <c r="A696" s="3214">
        <v>90904</v>
      </c>
      <c r="B696" s="380" t="str">
        <f t="shared" si="10"/>
        <v>090-904</v>
      </c>
      <c r="C696" s="3215" t="s">
        <v>12163</v>
      </c>
      <c r="D696" s="3216">
        <v>0.89410000000000001</v>
      </c>
    </row>
    <row r="697" spans="1:4" ht="14.5">
      <c r="A697" s="3214">
        <v>33902</v>
      </c>
      <c r="B697" s="380" t="str">
        <f t="shared" si="10"/>
        <v>033-902</v>
      </c>
      <c r="C697" s="3215" t="s">
        <v>12164</v>
      </c>
      <c r="D697" s="3216">
        <v>0.89410000000000001</v>
      </c>
    </row>
    <row r="698" spans="1:4" ht="14.5">
      <c r="A698" s="3214">
        <v>42905</v>
      </c>
      <c r="B698" s="380" t="str">
        <f t="shared" si="10"/>
        <v>042-905</v>
      </c>
      <c r="C698" s="3215" t="s">
        <v>12165</v>
      </c>
      <c r="D698" s="3216">
        <v>0.89410000000000001</v>
      </c>
    </row>
    <row r="699" spans="1:4" ht="14.5">
      <c r="A699" s="3214">
        <v>249906</v>
      </c>
      <c r="B699" s="380" t="str">
        <f t="shared" si="10"/>
        <v>249-906</v>
      </c>
      <c r="C699" s="3215" t="s">
        <v>12166</v>
      </c>
      <c r="D699" s="3216">
        <v>0.80459999999999998</v>
      </c>
    </row>
    <row r="700" spans="1:4" ht="14.5">
      <c r="A700" s="3214">
        <v>139909</v>
      </c>
      <c r="B700" s="380" t="str">
        <f t="shared" si="10"/>
        <v>139-909</v>
      </c>
      <c r="C700" s="3215" t="s">
        <v>12167</v>
      </c>
      <c r="D700" s="3216">
        <v>0.80459999999999998</v>
      </c>
    </row>
    <row r="701" spans="1:4" ht="14.5">
      <c r="A701" s="3214">
        <v>101917</v>
      </c>
      <c r="B701" s="380" t="str">
        <f t="shared" si="10"/>
        <v>101-917</v>
      </c>
      <c r="C701" s="3215" t="s">
        <v>12168</v>
      </c>
      <c r="D701" s="3216">
        <v>0.83750000000000002</v>
      </c>
    </row>
    <row r="702" spans="1:4" ht="14.5">
      <c r="A702" s="3214">
        <v>63906</v>
      </c>
      <c r="B702" s="380" t="str">
        <f t="shared" si="10"/>
        <v>063-906</v>
      </c>
      <c r="C702" s="3215" t="s">
        <v>12169</v>
      </c>
      <c r="D702" s="3216">
        <v>0.80459999999999998</v>
      </c>
    </row>
    <row r="703" spans="1:4" ht="14.5">
      <c r="A703" s="3214">
        <v>13902</v>
      </c>
      <c r="B703" s="380" t="str">
        <f t="shared" si="10"/>
        <v>013-902</v>
      </c>
      <c r="C703" s="3215" t="s">
        <v>12170</v>
      </c>
      <c r="D703" s="3216">
        <v>0.80459999999999998</v>
      </c>
    </row>
    <row r="704" spans="1:4" ht="14.5">
      <c r="A704" s="3214">
        <v>20908</v>
      </c>
      <c r="B704" s="380" t="str">
        <f t="shared" si="10"/>
        <v>020-908</v>
      </c>
      <c r="C704" s="3215" t="s">
        <v>12171</v>
      </c>
      <c r="D704" s="3216">
        <v>0.80459999999999998</v>
      </c>
    </row>
    <row r="705" spans="1:4" ht="14.5">
      <c r="A705" s="3214">
        <v>82903</v>
      </c>
      <c r="B705" s="380" t="str">
        <f t="shared" si="10"/>
        <v>082-903</v>
      </c>
      <c r="C705" s="3215" t="s">
        <v>12172</v>
      </c>
      <c r="D705" s="3216">
        <v>0.81559999999999999</v>
      </c>
    </row>
    <row r="706" spans="1:4" ht="14.5">
      <c r="A706" s="3214">
        <v>184908</v>
      </c>
      <c r="B706" s="380" t="str">
        <f t="shared" si="10"/>
        <v>184-908</v>
      </c>
      <c r="C706" s="3215" t="s">
        <v>12173</v>
      </c>
      <c r="D706" s="3216">
        <v>0.80459999999999998</v>
      </c>
    </row>
    <row r="707" spans="1:4" ht="14.5">
      <c r="A707" s="3214">
        <v>195901</v>
      </c>
      <c r="B707" s="380" t="str">
        <f t="shared" ref="B707:B770" si="11">CONCATENATE(LEFT(RIGHT(CONCATENATE("000",A707),6),3),"-",(RIGHT(RIGHT(CONCATENATE("000",A707),6),3)))</f>
        <v>195-901</v>
      </c>
      <c r="C707" s="3215" t="s">
        <v>12174</v>
      </c>
      <c r="D707" s="3216">
        <v>0.80459999999999998</v>
      </c>
    </row>
    <row r="708" spans="1:4" ht="14.5">
      <c r="A708" s="3214">
        <v>109914</v>
      </c>
      <c r="B708" s="380" t="str">
        <f t="shared" si="11"/>
        <v>109-914</v>
      </c>
      <c r="C708" s="3215" t="s">
        <v>12175</v>
      </c>
      <c r="D708" s="3216">
        <v>0.80459999999999998</v>
      </c>
    </row>
    <row r="709" spans="1:4" ht="14.5">
      <c r="A709" s="3214">
        <v>119903</v>
      </c>
      <c r="B709" s="380" t="str">
        <f t="shared" si="11"/>
        <v>119-903</v>
      </c>
      <c r="C709" s="3215" t="s">
        <v>12176</v>
      </c>
      <c r="D709" s="3216">
        <v>0.80459999999999998</v>
      </c>
    </row>
    <row r="710" spans="1:4" ht="14.5">
      <c r="A710" s="3214">
        <v>179901</v>
      </c>
      <c r="B710" s="380" t="str">
        <f t="shared" si="11"/>
        <v>179-901</v>
      </c>
      <c r="C710" s="3215" t="s">
        <v>12177</v>
      </c>
      <c r="D710" s="3216">
        <v>0.80459999999999998</v>
      </c>
    </row>
    <row r="711" spans="1:4" ht="14.5">
      <c r="A711" s="3214">
        <v>95904</v>
      </c>
      <c r="B711" s="380" t="str">
        <f t="shared" si="11"/>
        <v>095-904</v>
      </c>
      <c r="C711" s="3215" t="s">
        <v>12178</v>
      </c>
      <c r="D711" s="3216">
        <v>0.89410000000000001</v>
      </c>
    </row>
    <row r="712" spans="1:4" ht="14.5">
      <c r="A712" s="3214">
        <v>39903</v>
      </c>
      <c r="B712" s="380" t="str">
        <f t="shared" si="11"/>
        <v>039-903</v>
      </c>
      <c r="C712" s="3215" t="s">
        <v>12179</v>
      </c>
      <c r="D712" s="3216">
        <v>0.84519999999999995</v>
      </c>
    </row>
    <row r="713" spans="1:4" ht="14.5">
      <c r="A713" s="3214">
        <v>13903</v>
      </c>
      <c r="B713" s="380" t="str">
        <f t="shared" si="11"/>
        <v>013-903</v>
      </c>
      <c r="C713" s="3215" t="s">
        <v>12180</v>
      </c>
      <c r="D713" s="3216">
        <v>0.89410000000000001</v>
      </c>
    </row>
    <row r="714" spans="1:4" ht="14.5">
      <c r="A714" s="3214">
        <v>172905</v>
      </c>
      <c r="B714" s="380" t="str">
        <f t="shared" si="11"/>
        <v>172-905</v>
      </c>
      <c r="C714" s="3215" t="s">
        <v>12181</v>
      </c>
      <c r="D714" s="3216">
        <v>0.88460000000000005</v>
      </c>
    </row>
    <row r="715" spans="1:4" ht="14.5">
      <c r="A715" s="3214">
        <v>227904</v>
      </c>
      <c r="B715" s="380" t="str">
        <f t="shared" si="11"/>
        <v>227-904</v>
      </c>
      <c r="C715" s="3215" t="s">
        <v>12182</v>
      </c>
      <c r="D715" s="3216">
        <v>0.80459999999999998</v>
      </c>
    </row>
    <row r="716" spans="1:4" ht="14.5">
      <c r="A716" s="3214">
        <v>108909</v>
      </c>
      <c r="B716" s="380" t="str">
        <f t="shared" si="11"/>
        <v>108-909</v>
      </c>
      <c r="C716" s="3215" t="s">
        <v>12183</v>
      </c>
      <c r="D716" s="3216">
        <v>0.80459999999999998</v>
      </c>
    </row>
    <row r="717" spans="1:4" ht="14.5">
      <c r="A717" s="3214">
        <v>61903</v>
      </c>
      <c r="B717" s="380" t="str">
        <f t="shared" si="11"/>
        <v>061-903</v>
      </c>
      <c r="C717" s="3215" t="s">
        <v>12184</v>
      </c>
      <c r="D717" s="3216">
        <v>0.80459999999999998</v>
      </c>
    </row>
    <row r="718" spans="1:4" ht="14.5">
      <c r="A718" s="3214">
        <v>92904</v>
      </c>
      <c r="B718" s="380" t="str">
        <f t="shared" si="11"/>
        <v>092-904</v>
      </c>
      <c r="C718" s="3215" t="s">
        <v>12185</v>
      </c>
      <c r="D718" s="3216">
        <v>0.84230000000000005</v>
      </c>
    </row>
    <row r="719" spans="1:4" ht="14.5">
      <c r="A719" s="3214">
        <v>32902</v>
      </c>
      <c r="B719" s="380" t="str">
        <f t="shared" si="11"/>
        <v>032-902</v>
      </c>
      <c r="C719" s="3215" t="s">
        <v>12186</v>
      </c>
      <c r="D719" s="3216">
        <v>0.80459999999999998</v>
      </c>
    </row>
    <row r="720" spans="1:4" ht="14.5">
      <c r="A720" s="3214">
        <v>251902</v>
      </c>
      <c r="B720" s="380" t="str">
        <f t="shared" si="11"/>
        <v>251-902</v>
      </c>
      <c r="C720" s="3215" t="s">
        <v>12187</v>
      </c>
      <c r="D720" s="3216">
        <v>0.80459999999999998</v>
      </c>
    </row>
    <row r="721" spans="1:4" ht="14.5">
      <c r="A721" s="3214">
        <v>95905</v>
      </c>
      <c r="B721" s="380" t="str">
        <f t="shared" si="11"/>
        <v>095-905</v>
      </c>
      <c r="C721" s="3215" t="s">
        <v>12188</v>
      </c>
      <c r="D721" s="3216">
        <v>0.89410000000000001</v>
      </c>
    </row>
    <row r="722" spans="1:4" ht="14.5">
      <c r="A722" s="3214">
        <v>43910</v>
      </c>
      <c r="B722" s="380" t="str">
        <f t="shared" si="11"/>
        <v>043-910</v>
      </c>
      <c r="C722" s="3215" t="s">
        <v>12189</v>
      </c>
      <c r="D722" s="3216">
        <v>0.85240000000000005</v>
      </c>
    </row>
    <row r="723" spans="1:4" ht="14.5">
      <c r="A723" s="3214">
        <v>19912</v>
      </c>
      <c r="B723" s="380" t="str">
        <f t="shared" si="11"/>
        <v>019-912</v>
      </c>
      <c r="C723" s="3215" t="s">
        <v>12190</v>
      </c>
      <c r="D723" s="3216">
        <v>0.81489999999999996</v>
      </c>
    </row>
    <row r="724" spans="1:4" ht="14.5">
      <c r="A724" s="3214">
        <v>7905</v>
      </c>
      <c r="B724" s="380" t="str">
        <f t="shared" si="11"/>
        <v>007-905</v>
      </c>
      <c r="C724" s="3215" t="s">
        <v>12191</v>
      </c>
      <c r="D724" s="3216">
        <v>0.80459999999999998</v>
      </c>
    </row>
    <row r="725" spans="1:4" ht="14.5">
      <c r="A725" s="3214">
        <v>117904</v>
      </c>
      <c r="B725" s="380" t="str">
        <f t="shared" si="11"/>
        <v>117-904</v>
      </c>
      <c r="C725" s="3215" t="s">
        <v>12192</v>
      </c>
      <c r="D725" s="3216">
        <v>0.82440000000000002</v>
      </c>
    </row>
    <row r="726" spans="1:4" ht="14.5">
      <c r="A726" s="3214">
        <v>31909</v>
      </c>
      <c r="B726" s="380" t="str">
        <f t="shared" si="11"/>
        <v>031-909</v>
      </c>
      <c r="C726" s="3215" t="s">
        <v>12193</v>
      </c>
      <c r="D726" s="3216">
        <v>0.80459999999999998</v>
      </c>
    </row>
    <row r="727" spans="1:4" ht="14.5">
      <c r="A727" s="3214">
        <v>61906</v>
      </c>
      <c r="B727" s="380" t="str">
        <f t="shared" si="11"/>
        <v>061-906</v>
      </c>
      <c r="C727" s="3215" t="s">
        <v>12194</v>
      </c>
      <c r="D727" s="3216">
        <v>0.80459999999999998</v>
      </c>
    </row>
    <row r="728" spans="1:4" ht="14.5">
      <c r="A728" s="3214">
        <v>184901</v>
      </c>
      <c r="B728" s="380" t="str">
        <f t="shared" si="11"/>
        <v>184-901</v>
      </c>
      <c r="C728" s="3215" t="s">
        <v>12195</v>
      </c>
      <c r="D728" s="3216">
        <v>0.80459999999999998</v>
      </c>
    </row>
    <row r="729" spans="1:4" ht="14.5">
      <c r="A729" s="3214">
        <v>178908</v>
      </c>
      <c r="B729" s="380" t="str">
        <f t="shared" si="11"/>
        <v>178-908</v>
      </c>
      <c r="C729" s="3215" t="s">
        <v>12196</v>
      </c>
      <c r="D729" s="3216">
        <v>0.80459999999999998</v>
      </c>
    </row>
    <row r="730" spans="1:4" ht="14.5">
      <c r="A730" s="3214">
        <v>123907</v>
      </c>
      <c r="B730" s="380" t="str">
        <f t="shared" si="11"/>
        <v>123-907</v>
      </c>
      <c r="C730" s="3215" t="s">
        <v>12197</v>
      </c>
      <c r="D730" s="3216">
        <v>0.86870000000000003</v>
      </c>
    </row>
    <row r="731" spans="1:4" ht="14.5">
      <c r="A731" s="3214">
        <v>123908</v>
      </c>
      <c r="B731" s="380" t="str">
        <f t="shared" si="11"/>
        <v>123-908</v>
      </c>
      <c r="C731" s="3215" t="s">
        <v>12198</v>
      </c>
      <c r="D731" s="3216">
        <v>0.80459999999999998</v>
      </c>
    </row>
    <row r="732" spans="1:4" ht="14.5">
      <c r="A732" s="3214">
        <v>85902</v>
      </c>
      <c r="B732" s="380" t="str">
        <f t="shared" si="11"/>
        <v>085-902</v>
      </c>
      <c r="C732" s="3215" t="s">
        <v>12199</v>
      </c>
      <c r="D732" s="3216">
        <v>0.80459999999999998</v>
      </c>
    </row>
    <row r="733" spans="1:4" ht="14.5">
      <c r="A733" s="3214">
        <v>7906</v>
      </c>
      <c r="B733" s="380" t="str">
        <f t="shared" si="11"/>
        <v>007-906</v>
      </c>
      <c r="C733" s="3215" t="s">
        <v>12200</v>
      </c>
      <c r="D733" s="3216">
        <v>0.80459999999999998</v>
      </c>
    </row>
    <row r="734" spans="1:4" ht="14.5">
      <c r="A734" s="3214">
        <v>247904</v>
      </c>
      <c r="B734" s="380" t="str">
        <f t="shared" si="11"/>
        <v>247-904</v>
      </c>
      <c r="C734" s="3215" t="s">
        <v>12201</v>
      </c>
      <c r="D734" s="3216">
        <v>0.80459999999999998</v>
      </c>
    </row>
    <row r="735" spans="1:4" ht="14.5">
      <c r="A735" s="3214">
        <v>91913</v>
      </c>
      <c r="B735" s="380" t="str">
        <f t="shared" si="11"/>
        <v>091-913</v>
      </c>
      <c r="C735" s="3215" t="s">
        <v>12202</v>
      </c>
      <c r="D735" s="3216">
        <v>0.80459999999999998</v>
      </c>
    </row>
    <row r="736" spans="1:4" ht="14.5">
      <c r="A736" s="3214">
        <v>28906</v>
      </c>
      <c r="B736" s="380" t="str">
        <f t="shared" si="11"/>
        <v>028-906</v>
      </c>
      <c r="C736" s="3215" t="s">
        <v>12203</v>
      </c>
      <c r="D736" s="3216">
        <v>0.80459999999999998</v>
      </c>
    </row>
    <row r="737" spans="1:4" ht="14.5">
      <c r="A737" s="3214">
        <v>169909</v>
      </c>
      <c r="B737" s="380" t="str">
        <f t="shared" si="11"/>
        <v>169-909</v>
      </c>
      <c r="C737" s="3215" t="s">
        <v>12204</v>
      </c>
      <c r="D737" s="3216">
        <v>0.80459999999999998</v>
      </c>
    </row>
    <row r="738" spans="1:4" ht="14.5">
      <c r="A738" s="3214">
        <v>139912</v>
      </c>
      <c r="B738" s="380" t="str">
        <f t="shared" si="11"/>
        <v>139-912</v>
      </c>
      <c r="C738" s="3215" t="s">
        <v>12205</v>
      </c>
      <c r="D738" s="3216">
        <v>0.80459999999999998</v>
      </c>
    </row>
    <row r="739" spans="1:4" ht="14.5">
      <c r="A739" s="3214">
        <v>125905</v>
      </c>
      <c r="B739" s="380" t="str">
        <f t="shared" si="11"/>
        <v>125-905</v>
      </c>
      <c r="C739" s="3215" t="s">
        <v>12206</v>
      </c>
      <c r="D739" s="3216">
        <v>0.87350000000000005</v>
      </c>
    </row>
    <row r="740" spans="1:4" ht="14.5">
      <c r="A740" s="3214">
        <v>189902</v>
      </c>
      <c r="B740" s="380" t="str">
        <f t="shared" si="11"/>
        <v>189-902</v>
      </c>
      <c r="C740" s="3215" t="s">
        <v>12207</v>
      </c>
      <c r="D740" s="3216">
        <v>0.85050000000000003</v>
      </c>
    </row>
    <row r="741" spans="1:4" ht="14.5">
      <c r="A741" s="3214">
        <v>167904</v>
      </c>
      <c r="B741" s="380" t="str">
        <f t="shared" si="11"/>
        <v>167-904</v>
      </c>
      <c r="C741" s="3215" t="s">
        <v>12208</v>
      </c>
      <c r="D741" s="3216">
        <v>0.80459999999999998</v>
      </c>
    </row>
    <row r="742" spans="1:4" ht="14.5">
      <c r="A742" s="3214">
        <v>43911</v>
      </c>
      <c r="B742" s="380" t="str">
        <f t="shared" si="11"/>
        <v>043-911</v>
      </c>
      <c r="C742" s="3215" t="s">
        <v>12209</v>
      </c>
      <c r="D742" s="3216">
        <v>0.80459999999999998</v>
      </c>
    </row>
    <row r="743" spans="1:4" ht="14.5">
      <c r="A743" s="3214">
        <v>98903</v>
      </c>
      <c r="B743" s="380" t="str">
        <f t="shared" si="11"/>
        <v>098-903</v>
      </c>
      <c r="C743" s="3215" t="s">
        <v>12210</v>
      </c>
      <c r="D743" s="3216">
        <v>0.80459999999999998</v>
      </c>
    </row>
    <row r="744" spans="1:4" ht="14.5">
      <c r="A744" s="3214">
        <v>108910</v>
      </c>
      <c r="B744" s="380" t="str">
        <f t="shared" si="11"/>
        <v>108-910</v>
      </c>
      <c r="C744" s="3215" t="s">
        <v>12211</v>
      </c>
      <c r="D744" s="3216">
        <v>0.80459999999999998</v>
      </c>
    </row>
    <row r="745" spans="1:4" ht="14.5">
      <c r="A745" s="3214">
        <v>43912</v>
      </c>
      <c r="B745" s="380" t="str">
        <f t="shared" si="11"/>
        <v>043-912</v>
      </c>
      <c r="C745" s="3215" t="s">
        <v>12212</v>
      </c>
      <c r="D745" s="3216">
        <v>0.80459999999999998</v>
      </c>
    </row>
    <row r="746" spans="1:4" ht="14.5">
      <c r="A746" s="3214">
        <v>99903</v>
      </c>
      <c r="B746" s="380" t="str">
        <f t="shared" si="11"/>
        <v>099-903</v>
      </c>
      <c r="C746" s="3215" t="s">
        <v>12213</v>
      </c>
      <c r="D746" s="3216">
        <v>0.80459999999999998</v>
      </c>
    </row>
    <row r="747" spans="1:4" ht="14.5">
      <c r="A747" s="3214">
        <v>34907</v>
      </c>
      <c r="B747" s="380" t="str">
        <f t="shared" si="11"/>
        <v>034-907</v>
      </c>
      <c r="C747" s="3215" t="s">
        <v>12214</v>
      </c>
      <c r="D747" s="3216">
        <v>0.82010000000000005</v>
      </c>
    </row>
    <row r="748" spans="1:4" ht="14.5">
      <c r="A748" s="3214">
        <v>116908</v>
      </c>
      <c r="B748" s="380" t="str">
        <f t="shared" si="11"/>
        <v>116-908</v>
      </c>
      <c r="C748" s="3215" t="s">
        <v>12215</v>
      </c>
      <c r="D748" s="3216">
        <v>0.80459999999999998</v>
      </c>
    </row>
    <row r="749" spans="1:4" ht="14.5">
      <c r="A749" s="3214">
        <v>250904</v>
      </c>
      <c r="B749" s="380" t="str">
        <f t="shared" si="11"/>
        <v>250-904</v>
      </c>
      <c r="C749" s="3215" t="s">
        <v>12216</v>
      </c>
      <c r="D749" s="3216">
        <v>0.80459999999999998</v>
      </c>
    </row>
    <row r="750" spans="1:4" ht="14.5">
      <c r="A750" s="3214">
        <v>190903</v>
      </c>
      <c r="B750" s="380" t="str">
        <f t="shared" si="11"/>
        <v>190-903</v>
      </c>
      <c r="C750" s="3215" t="s">
        <v>12217</v>
      </c>
      <c r="D750" s="3216">
        <v>0.80459999999999998</v>
      </c>
    </row>
    <row r="751" spans="1:4" ht="14.5">
      <c r="A751" s="3214">
        <v>54903</v>
      </c>
      <c r="B751" s="380" t="str">
        <f t="shared" si="11"/>
        <v>054-903</v>
      </c>
      <c r="C751" s="3215" t="s">
        <v>12218</v>
      </c>
      <c r="D751" s="3216">
        <v>0.89410000000000001</v>
      </c>
    </row>
    <row r="752" spans="1:4" ht="14.5">
      <c r="A752" s="3214">
        <v>66005</v>
      </c>
      <c r="B752" s="380" t="str">
        <f t="shared" si="11"/>
        <v>066-005</v>
      </c>
      <c r="C752" s="3215" t="s">
        <v>12219</v>
      </c>
      <c r="D752" s="3216">
        <v>0.89410000000000001</v>
      </c>
    </row>
    <row r="753" spans="1:4" ht="14.5">
      <c r="A753" s="3214">
        <v>67907</v>
      </c>
      <c r="B753" s="380" t="str">
        <f t="shared" si="11"/>
        <v>067-907</v>
      </c>
      <c r="C753" s="3215" t="s">
        <v>12220</v>
      </c>
      <c r="D753" s="3216">
        <v>0.80459999999999998</v>
      </c>
    </row>
    <row r="754" spans="1:4" ht="14.5">
      <c r="A754" s="3214">
        <v>231902</v>
      </c>
      <c r="B754" s="380" t="str">
        <f t="shared" si="11"/>
        <v>231-902</v>
      </c>
      <c r="C754" s="3215" t="s">
        <v>12221</v>
      </c>
      <c r="D754" s="3216">
        <v>0.80459999999999998</v>
      </c>
    </row>
    <row r="755" spans="1:4" ht="14.5">
      <c r="A755" s="3214">
        <v>245903</v>
      </c>
      <c r="B755" s="380" t="str">
        <f t="shared" si="11"/>
        <v>245-903</v>
      </c>
      <c r="C755" s="3215" t="s">
        <v>12222</v>
      </c>
      <c r="D755" s="3216">
        <v>0.89410000000000001</v>
      </c>
    </row>
    <row r="756" spans="1:4" ht="14.5">
      <c r="A756" s="3214">
        <v>192901</v>
      </c>
      <c r="B756" s="380" t="str">
        <f t="shared" si="11"/>
        <v>192-901</v>
      </c>
      <c r="C756" s="3215" t="s">
        <v>12223</v>
      </c>
      <c r="D756" s="3216">
        <v>0.80459999999999998</v>
      </c>
    </row>
    <row r="757" spans="1:4" ht="14.5">
      <c r="A757" s="3214">
        <v>19911</v>
      </c>
      <c r="B757" s="380" t="str">
        <f t="shared" si="11"/>
        <v>019-911</v>
      </c>
      <c r="C757" s="3215" t="s">
        <v>12224</v>
      </c>
      <c r="D757" s="3216">
        <v>0.80459999999999998</v>
      </c>
    </row>
    <row r="758" spans="1:4" ht="14.5">
      <c r="A758" s="3214">
        <v>70911</v>
      </c>
      <c r="B758" s="380" t="str">
        <f t="shared" si="11"/>
        <v>070-911</v>
      </c>
      <c r="C758" s="3215" t="s">
        <v>12225</v>
      </c>
      <c r="D758" s="3216">
        <v>0.80459999999999998</v>
      </c>
    </row>
    <row r="759" spans="1:4" ht="14.5">
      <c r="A759" s="3214">
        <v>19906</v>
      </c>
      <c r="B759" s="380" t="str">
        <f t="shared" si="11"/>
        <v>019-906</v>
      </c>
      <c r="C759" s="3215" t="s">
        <v>12226</v>
      </c>
      <c r="D759" s="3216">
        <v>0.80459999999999998</v>
      </c>
    </row>
    <row r="760" spans="1:4" ht="14.5">
      <c r="A760" s="3214">
        <v>196903</v>
      </c>
      <c r="B760" s="380" t="str">
        <f t="shared" si="11"/>
        <v>196-903</v>
      </c>
      <c r="C760" s="3215" t="s">
        <v>12227</v>
      </c>
      <c r="D760" s="3216">
        <v>0.81010000000000004</v>
      </c>
    </row>
    <row r="761" spans="1:4" ht="14.5">
      <c r="A761" s="3214">
        <v>137902</v>
      </c>
      <c r="B761" s="380" t="str">
        <f t="shared" si="11"/>
        <v>137-902</v>
      </c>
      <c r="C761" s="3215" t="s">
        <v>12228</v>
      </c>
      <c r="D761" s="3216">
        <v>0.83240000000000003</v>
      </c>
    </row>
    <row r="762" spans="1:4" ht="14.5">
      <c r="A762" s="3214">
        <v>45903</v>
      </c>
      <c r="B762" s="380" t="str">
        <f t="shared" si="11"/>
        <v>045-903</v>
      </c>
      <c r="C762" s="3215" t="s">
        <v>12229</v>
      </c>
      <c r="D762" s="3216">
        <v>0.82489999999999997</v>
      </c>
    </row>
    <row r="763" spans="1:4" ht="14.5">
      <c r="A763" s="3214">
        <v>175911</v>
      </c>
      <c r="B763" s="380" t="str">
        <f t="shared" si="11"/>
        <v>175-911</v>
      </c>
      <c r="C763" s="3215" t="s">
        <v>12230</v>
      </c>
      <c r="D763" s="3216">
        <v>0.80459999999999998</v>
      </c>
    </row>
    <row r="764" spans="1:4" ht="14.5">
      <c r="A764" s="3214">
        <v>93905</v>
      </c>
      <c r="B764" s="380" t="str">
        <f t="shared" si="11"/>
        <v>093-905</v>
      </c>
      <c r="C764" s="3215" t="s">
        <v>12231</v>
      </c>
      <c r="D764" s="3216">
        <v>0.80459999999999998</v>
      </c>
    </row>
    <row r="765" spans="1:4" ht="14.5">
      <c r="A765" s="3214">
        <v>57916</v>
      </c>
      <c r="B765" s="380" t="str">
        <f t="shared" si="11"/>
        <v>057-916</v>
      </c>
      <c r="C765" s="3215" t="s">
        <v>12232</v>
      </c>
      <c r="D765" s="3216">
        <v>0.82630000000000003</v>
      </c>
    </row>
    <row r="766" spans="1:4" ht="14.5">
      <c r="A766" s="3214">
        <v>206902</v>
      </c>
      <c r="B766" s="380" t="str">
        <f t="shared" si="11"/>
        <v>206-902</v>
      </c>
      <c r="C766" s="3215" t="s">
        <v>12233</v>
      </c>
      <c r="D766" s="3216">
        <v>0.80459999999999998</v>
      </c>
    </row>
    <row r="767" spans="1:4" ht="14.5">
      <c r="A767" s="3214">
        <v>161912</v>
      </c>
      <c r="B767" s="380" t="str">
        <f t="shared" si="11"/>
        <v>161-912</v>
      </c>
      <c r="C767" s="3215" t="s">
        <v>12234</v>
      </c>
      <c r="D767" s="3216">
        <v>0.81989999999999996</v>
      </c>
    </row>
    <row r="768" spans="1:4" ht="14.5">
      <c r="A768" s="3214">
        <v>214901</v>
      </c>
      <c r="B768" s="380" t="str">
        <f t="shared" si="11"/>
        <v>214-901</v>
      </c>
      <c r="C768" s="3215" t="s">
        <v>12235</v>
      </c>
      <c r="D768" s="3216">
        <v>0.80459999999999998</v>
      </c>
    </row>
    <row r="769" spans="1:4" ht="14.5">
      <c r="A769" s="3214">
        <v>31911</v>
      </c>
      <c r="B769" s="380" t="str">
        <f t="shared" si="11"/>
        <v>031-911</v>
      </c>
      <c r="C769" s="3215" t="s">
        <v>12236</v>
      </c>
      <c r="D769" s="3216">
        <v>0.87849999999999995</v>
      </c>
    </row>
    <row r="770" spans="1:4" ht="14.5">
      <c r="A770" s="3214">
        <v>126907</v>
      </c>
      <c r="B770" s="380" t="str">
        <f t="shared" si="11"/>
        <v>126-907</v>
      </c>
      <c r="C770" s="3215" t="s">
        <v>12237</v>
      </c>
      <c r="D770" s="3216">
        <v>0.80459999999999998</v>
      </c>
    </row>
    <row r="771" spans="1:4" ht="14.5">
      <c r="A771" s="3214">
        <v>67908</v>
      </c>
      <c r="B771" s="380" t="str">
        <f t="shared" ref="B771:B834" si="12">CONCATENATE(LEFT(RIGHT(CONCATENATE("000",A771),6),3),"-",(RIGHT(RIGHT(CONCATENATE("000",A771),6),3)))</f>
        <v>067-908</v>
      </c>
      <c r="C771" s="3215" t="s">
        <v>12238</v>
      </c>
      <c r="D771" s="3216">
        <v>0.80459999999999998</v>
      </c>
    </row>
    <row r="772" spans="1:4" ht="14.5">
      <c r="A772" s="3214">
        <v>188902</v>
      </c>
      <c r="B772" s="380" t="str">
        <f t="shared" si="12"/>
        <v>188-902</v>
      </c>
      <c r="C772" s="3215" t="s">
        <v>12239</v>
      </c>
      <c r="D772" s="3216">
        <v>0.81559999999999999</v>
      </c>
    </row>
    <row r="773" spans="1:4" ht="14.5">
      <c r="A773" s="3214">
        <v>194903</v>
      </c>
      <c r="B773" s="380" t="str">
        <f t="shared" si="12"/>
        <v>194-903</v>
      </c>
      <c r="C773" s="3215" t="s">
        <v>12240</v>
      </c>
      <c r="D773" s="3216">
        <v>0.80459999999999998</v>
      </c>
    </row>
    <row r="774" spans="1:4" ht="14.5">
      <c r="A774" s="3214">
        <v>137903</v>
      </c>
      <c r="B774" s="380" t="str">
        <f t="shared" si="12"/>
        <v>137-903</v>
      </c>
      <c r="C774" s="3215" t="s">
        <v>12241</v>
      </c>
      <c r="D774" s="3216">
        <v>0.89410000000000001</v>
      </c>
    </row>
    <row r="775" spans="1:4" ht="14.5">
      <c r="A775" s="3214">
        <v>41902</v>
      </c>
      <c r="B775" s="380" t="str">
        <f t="shared" si="12"/>
        <v>041-902</v>
      </c>
      <c r="C775" s="3215" t="s">
        <v>12242</v>
      </c>
      <c r="D775" s="3216">
        <v>0.80459999999999998</v>
      </c>
    </row>
    <row r="776" spans="1:4" ht="14.5">
      <c r="A776" s="3214">
        <v>161922</v>
      </c>
      <c r="B776" s="380" t="str">
        <f t="shared" si="12"/>
        <v>161-922</v>
      </c>
      <c r="C776" s="3215" t="s">
        <v>12243</v>
      </c>
      <c r="D776" s="3216">
        <v>0.80459999999999998</v>
      </c>
    </row>
    <row r="777" spans="1:4" ht="14.5">
      <c r="A777" s="3214">
        <v>178909</v>
      </c>
      <c r="B777" s="380" t="str">
        <f t="shared" si="12"/>
        <v>178-909</v>
      </c>
      <c r="C777" s="3215" t="s">
        <v>12244</v>
      </c>
      <c r="D777" s="3216">
        <v>0.84489999999999998</v>
      </c>
    </row>
    <row r="778" spans="1:4" ht="14.5">
      <c r="A778" s="3214">
        <v>76903</v>
      </c>
      <c r="B778" s="380" t="str">
        <f t="shared" si="12"/>
        <v>076-903</v>
      </c>
      <c r="C778" s="3215" t="s">
        <v>12245</v>
      </c>
      <c r="D778" s="3216">
        <v>0.80459999999999998</v>
      </c>
    </row>
    <row r="779" spans="1:4" ht="14.5">
      <c r="A779" s="3214">
        <v>160904</v>
      </c>
      <c r="B779" s="380" t="str">
        <f t="shared" si="12"/>
        <v>160-904</v>
      </c>
      <c r="C779" s="3215" t="s">
        <v>12246</v>
      </c>
      <c r="D779" s="3216">
        <v>0.82199999999999995</v>
      </c>
    </row>
    <row r="780" spans="1:4" ht="14.5">
      <c r="A780" s="3214">
        <v>166904</v>
      </c>
      <c r="B780" s="380" t="str">
        <f t="shared" si="12"/>
        <v>166-904</v>
      </c>
      <c r="C780" s="3215" t="s">
        <v>12247</v>
      </c>
      <c r="D780" s="3216">
        <v>0.80459999999999998</v>
      </c>
    </row>
    <row r="781" spans="1:4" ht="14.5">
      <c r="A781" s="3214">
        <v>69901</v>
      </c>
      <c r="B781" s="380" t="str">
        <f t="shared" si="12"/>
        <v>069-901</v>
      </c>
      <c r="C781" s="3215" t="s">
        <v>12248</v>
      </c>
      <c r="D781" s="3216">
        <v>0.81030000000000002</v>
      </c>
    </row>
    <row r="782" spans="1:4" ht="14.5">
      <c r="A782" s="3214">
        <v>199901</v>
      </c>
      <c r="B782" s="380" t="str">
        <f t="shared" si="12"/>
        <v>199-901</v>
      </c>
      <c r="C782" s="3215" t="s">
        <v>12249</v>
      </c>
      <c r="D782" s="3216">
        <v>0.80459999999999998</v>
      </c>
    </row>
    <row r="783" spans="1:4" ht="14.5">
      <c r="A783" s="3214">
        <v>14907</v>
      </c>
      <c r="B783" s="380" t="str">
        <f t="shared" si="12"/>
        <v>014-907</v>
      </c>
      <c r="C783" s="3215" t="s">
        <v>12250</v>
      </c>
      <c r="D783" s="3216">
        <v>0.80459999999999998</v>
      </c>
    </row>
    <row r="784" spans="1:4" ht="14.5">
      <c r="A784" s="3214">
        <v>214903</v>
      </c>
      <c r="B784" s="380" t="str">
        <f t="shared" si="12"/>
        <v>214-903</v>
      </c>
      <c r="C784" s="3215" t="s">
        <v>12251</v>
      </c>
      <c r="D784" s="3216">
        <v>0.80459999999999998</v>
      </c>
    </row>
    <row r="785" spans="1:4" ht="14.5">
      <c r="A785" s="3214">
        <v>152908</v>
      </c>
      <c r="B785" s="380" t="str">
        <f t="shared" si="12"/>
        <v>152-908</v>
      </c>
      <c r="C785" s="3215" t="s">
        <v>12252</v>
      </c>
      <c r="D785" s="3216">
        <v>0.81510000000000005</v>
      </c>
    </row>
    <row r="786" spans="1:4" ht="14.5">
      <c r="A786" s="3214">
        <v>110905</v>
      </c>
      <c r="B786" s="380" t="str">
        <f t="shared" si="12"/>
        <v>110-905</v>
      </c>
      <c r="C786" s="3215" t="s">
        <v>12253</v>
      </c>
      <c r="D786" s="3216">
        <v>0.80459999999999998</v>
      </c>
    </row>
    <row r="787" spans="1:4" ht="14.5">
      <c r="A787" s="3214">
        <v>177901</v>
      </c>
      <c r="B787" s="380" t="str">
        <f t="shared" si="12"/>
        <v>177-901</v>
      </c>
      <c r="C787" s="3215" t="s">
        <v>12254</v>
      </c>
      <c r="D787" s="3216">
        <v>0.80459999999999998</v>
      </c>
    </row>
    <row r="788" spans="1:4" ht="14.5">
      <c r="A788" s="3214">
        <v>73905</v>
      </c>
      <c r="B788" s="380" t="str">
        <f t="shared" si="12"/>
        <v>073-905</v>
      </c>
      <c r="C788" s="3215" t="s">
        <v>12255</v>
      </c>
      <c r="D788" s="3216">
        <v>0.80459999999999998</v>
      </c>
    </row>
    <row r="789" spans="1:4" ht="14.5">
      <c r="A789" s="3214">
        <v>76904</v>
      </c>
      <c r="B789" s="380" t="str">
        <f t="shared" si="12"/>
        <v>076-904</v>
      </c>
      <c r="C789" s="3215" t="s">
        <v>12256</v>
      </c>
      <c r="D789" s="3216">
        <v>0.80459999999999998</v>
      </c>
    </row>
    <row r="790" spans="1:4" ht="14.5">
      <c r="A790" s="3214">
        <v>246909</v>
      </c>
      <c r="B790" s="380" t="str">
        <f t="shared" si="12"/>
        <v>246-909</v>
      </c>
      <c r="C790" s="3215" t="s">
        <v>12257</v>
      </c>
      <c r="D790" s="3216">
        <v>0.80459999999999998</v>
      </c>
    </row>
    <row r="791" spans="1:4" ht="14.5">
      <c r="A791" s="3214">
        <v>75908</v>
      </c>
      <c r="B791" s="380" t="str">
        <f t="shared" si="12"/>
        <v>075-908</v>
      </c>
      <c r="C791" s="3215" t="s">
        <v>12258</v>
      </c>
      <c r="D791" s="3216">
        <v>0.80459999999999998</v>
      </c>
    </row>
    <row r="792" spans="1:4" ht="14.5">
      <c r="A792" s="3214">
        <v>237905</v>
      </c>
      <c r="B792" s="380" t="str">
        <f t="shared" si="12"/>
        <v>237-905</v>
      </c>
      <c r="C792" s="3215" t="s">
        <v>12259</v>
      </c>
      <c r="D792" s="3216">
        <v>0.80459999999999998</v>
      </c>
    </row>
    <row r="793" spans="1:4" ht="14.5">
      <c r="A793" s="3214">
        <v>199902</v>
      </c>
      <c r="B793" s="380" t="str">
        <f t="shared" si="12"/>
        <v>199-902</v>
      </c>
      <c r="C793" s="3215" t="s">
        <v>12260</v>
      </c>
      <c r="D793" s="3216">
        <v>0.80459999999999998</v>
      </c>
    </row>
    <row r="794" spans="1:4" ht="14.5">
      <c r="A794" s="3214">
        <v>104903</v>
      </c>
      <c r="B794" s="380" t="str">
        <f t="shared" si="12"/>
        <v>104-903</v>
      </c>
      <c r="C794" s="3215" t="s">
        <v>12261</v>
      </c>
      <c r="D794" s="3216">
        <v>0.80459999999999998</v>
      </c>
    </row>
    <row r="795" spans="1:4" ht="14.5">
      <c r="A795" s="3214">
        <v>128903</v>
      </c>
      <c r="B795" s="380" t="str">
        <f t="shared" si="12"/>
        <v>128-903</v>
      </c>
      <c r="C795" s="3215" t="s">
        <v>12262</v>
      </c>
      <c r="D795" s="3216">
        <v>0.80459999999999998</v>
      </c>
    </row>
    <row r="796" spans="1:4" ht="14.5">
      <c r="A796" s="3214">
        <v>37907</v>
      </c>
      <c r="B796" s="380" t="str">
        <f t="shared" si="12"/>
        <v>037-907</v>
      </c>
      <c r="C796" s="3215" t="s">
        <v>12263</v>
      </c>
      <c r="D796" s="3216">
        <v>0.83950000000000002</v>
      </c>
    </row>
    <row r="797" spans="1:4" ht="14.5">
      <c r="A797" s="3214">
        <v>91914</v>
      </c>
      <c r="B797" s="380" t="str">
        <f t="shared" si="12"/>
        <v>091-914</v>
      </c>
      <c r="C797" s="3215" t="s">
        <v>12264</v>
      </c>
      <c r="D797" s="3216">
        <v>0.80459999999999998</v>
      </c>
    </row>
    <row r="798" spans="1:4" ht="14.5">
      <c r="A798" s="3214">
        <v>232902</v>
      </c>
      <c r="B798" s="380" t="str">
        <f t="shared" si="12"/>
        <v>232-902</v>
      </c>
      <c r="C798" s="3215" t="s">
        <v>12265</v>
      </c>
      <c r="D798" s="3216">
        <v>0.80459999999999998</v>
      </c>
    </row>
    <row r="799" spans="1:4" ht="14.5">
      <c r="A799" s="3214">
        <v>92906</v>
      </c>
      <c r="B799" s="380" t="str">
        <f t="shared" si="12"/>
        <v>092-906</v>
      </c>
      <c r="C799" s="3215" t="s">
        <v>12266</v>
      </c>
      <c r="D799" s="3216">
        <v>0.84440000000000004</v>
      </c>
    </row>
    <row r="800" spans="1:4" ht="14.5">
      <c r="A800" s="3214">
        <v>123913</v>
      </c>
      <c r="B800" s="380" t="str">
        <f t="shared" si="12"/>
        <v>123-913</v>
      </c>
      <c r="C800" s="3215" t="s">
        <v>12267</v>
      </c>
      <c r="D800" s="3216">
        <v>0.80459999999999998</v>
      </c>
    </row>
    <row r="801" spans="1:4" ht="14.5">
      <c r="A801" s="3214">
        <v>169911</v>
      </c>
      <c r="B801" s="380" t="str">
        <f t="shared" si="12"/>
        <v>169-911</v>
      </c>
      <c r="C801" s="3215" t="s">
        <v>12268</v>
      </c>
      <c r="D801" s="3216">
        <v>0.80459999999999998</v>
      </c>
    </row>
    <row r="802" spans="1:4" ht="14.5">
      <c r="A802" s="3214">
        <v>14908</v>
      </c>
      <c r="B802" s="380" t="str">
        <f t="shared" si="12"/>
        <v>014-908</v>
      </c>
      <c r="C802" s="3215" t="s">
        <v>12269</v>
      </c>
      <c r="D802" s="3216">
        <v>0.80459999999999998</v>
      </c>
    </row>
    <row r="803" spans="1:4" ht="14.5">
      <c r="A803" s="3214">
        <v>112909</v>
      </c>
      <c r="B803" s="380" t="str">
        <f t="shared" si="12"/>
        <v>112-909</v>
      </c>
      <c r="C803" s="3215" t="s">
        <v>12270</v>
      </c>
      <c r="D803" s="3216">
        <v>0.80459999999999998</v>
      </c>
    </row>
    <row r="804" spans="1:4" ht="14.5">
      <c r="A804" s="3214">
        <v>74917</v>
      </c>
      <c r="B804" s="380" t="str">
        <f t="shared" si="12"/>
        <v>074-917</v>
      </c>
      <c r="C804" s="3215" t="s">
        <v>12271</v>
      </c>
      <c r="D804" s="3216">
        <v>0.80459999999999998</v>
      </c>
    </row>
    <row r="805" spans="1:4" ht="14.5">
      <c r="A805" s="3214">
        <v>226903</v>
      </c>
      <c r="B805" s="380" t="str">
        <f t="shared" si="12"/>
        <v>226-903</v>
      </c>
      <c r="C805" s="3215" t="s">
        <v>12272</v>
      </c>
      <c r="D805" s="3216">
        <v>0.80459999999999998</v>
      </c>
    </row>
    <row r="806" spans="1:4" ht="14.5">
      <c r="A806" s="3214">
        <v>15907</v>
      </c>
      <c r="B806" s="380" t="str">
        <f t="shared" si="12"/>
        <v>015-907</v>
      </c>
      <c r="C806" s="3215" t="s">
        <v>12273</v>
      </c>
      <c r="D806" s="3216">
        <v>0.80459999999999998</v>
      </c>
    </row>
    <row r="807" spans="1:4" ht="14.5">
      <c r="A807" s="3214">
        <v>203901</v>
      </c>
      <c r="B807" s="380" t="str">
        <f t="shared" si="12"/>
        <v>203-901</v>
      </c>
      <c r="C807" s="3215" t="s">
        <v>12274</v>
      </c>
      <c r="D807" s="3216">
        <v>0.80459999999999998</v>
      </c>
    </row>
    <row r="808" spans="1:4" ht="14.5">
      <c r="A808" s="3214">
        <v>31912</v>
      </c>
      <c r="B808" s="380" t="str">
        <f t="shared" si="12"/>
        <v>031-912</v>
      </c>
      <c r="C808" s="3215" t="s">
        <v>12275</v>
      </c>
      <c r="D808" s="3216">
        <v>0.89159999999999995</v>
      </c>
    </row>
    <row r="809" spans="1:4" ht="14.5">
      <c r="A809" s="3214">
        <v>66902</v>
      </c>
      <c r="B809" s="380" t="str">
        <f t="shared" si="12"/>
        <v>066-902</v>
      </c>
      <c r="C809" s="3215" t="s">
        <v>12276</v>
      </c>
      <c r="D809" s="3216">
        <v>0.80459999999999998</v>
      </c>
    </row>
    <row r="810" spans="1:4" ht="14.5">
      <c r="A810" s="3214">
        <v>71904</v>
      </c>
      <c r="B810" s="380" t="str">
        <f t="shared" si="12"/>
        <v>071-904</v>
      </c>
      <c r="C810" s="3215" t="s">
        <v>12277</v>
      </c>
      <c r="D810" s="3216">
        <v>0.80459999999999998</v>
      </c>
    </row>
    <row r="811" spans="1:4" ht="14.5">
      <c r="A811" s="3214">
        <v>233901</v>
      </c>
      <c r="B811" s="380" t="str">
        <f t="shared" si="12"/>
        <v>233-901</v>
      </c>
      <c r="C811" s="3215" t="s">
        <v>12278</v>
      </c>
      <c r="D811" s="3216">
        <v>0.82420000000000004</v>
      </c>
    </row>
    <row r="812" spans="1:4" ht="14.5">
      <c r="A812" s="3214">
        <v>214902</v>
      </c>
      <c r="B812" s="380" t="str">
        <f t="shared" si="12"/>
        <v>214-902</v>
      </c>
      <c r="C812" s="3215" t="s">
        <v>12279</v>
      </c>
      <c r="D812" s="3216">
        <v>0.80459999999999998</v>
      </c>
    </row>
    <row r="813" spans="1:4" ht="14.5">
      <c r="A813" s="3214">
        <v>105902</v>
      </c>
      <c r="B813" s="380" t="str">
        <f t="shared" si="12"/>
        <v>105-902</v>
      </c>
      <c r="C813" s="3215" t="s">
        <v>12280</v>
      </c>
      <c r="D813" s="3216">
        <v>0.80459999999999998</v>
      </c>
    </row>
    <row r="814" spans="1:4" ht="14.5">
      <c r="A814" s="3214">
        <v>245904</v>
      </c>
      <c r="B814" s="380" t="str">
        <f t="shared" si="12"/>
        <v>245-904</v>
      </c>
      <c r="C814" s="3215" t="s">
        <v>12281</v>
      </c>
      <c r="D814" s="3216">
        <v>0.85540000000000005</v>
      </c>
    </row>
    <row r="815" spans="1:4" ht="14.5">
      <c r="A815" s="3214">
        <v>206901</v>
      </c>
      <c r="B815" s="380" t="str">
        <f t="shared" si="12"/>
        <v>206-901</v>
      </c>
      <c r="C815" s="3215" t="s">
        <v>12282</v>
      </c>
      <c r="D815" s="3216">
        <v>0.80459999999999998</v>
      </c>
    </row>
    <row r="816" spans="1:4" ht="14.5">
      <c r="A816" s="3214">
        <v>22903</v>
      </c>
      <c r="B816" s="380" t="str">
        <f t="shared" si="12"/>
        <v>022-903</v>
      </c>
      <c r="C816" s="3215" t="s">
        <v>12283</v>
      </c>
      <c r="D816" s="3216">
        <v>0.88880000000000003</v>
      </c>
    </row>
    <row r="817" spans="1:4" ht="14.5">
      <c r="A817" s="3214">
        <v>58909</v>
      </c>
      <c r="B817" s="380" t="str">
        <f t="shared" si="12"/>
        <v>058-909</v>
      </c>
      <c r="C817" s="3215" t="s">
        <v>12284</v>
      </c>
      <c r="D817" s="3216">
        <v>0.80459999999999998</v>
      </c>
    </row>
    <row r="818" spans="1:4" ht="14.5">
      <c r="A818" s="3214">
        <v>117903</v>
      </c>
      <c r="B818" s="380" t="str">
        <f t="shared" si="12"/>
        <v>117-903</v>
      </c>
      <c r="C818" s="3215" t="s">
        <v>12285</v>
      </c>
      <c r="D818" s="3216">
        <v>0.83620000000000005</v>
      </c>
    </row>
    <row r="819" spans="1:4" ht="14.5">
      <c r="A819" s="3214">
        <v>61908</v>
      </c>
      <c r="B819" s="380" t="str">
        <f t="shared" si="12"/>
        <v>061-908</v>
      </c>
      <c r="C819" s="3215" t="s">
        <v>12286</v>
      </c>
      <c r="D819" s="3216">
        <v>0.80459999999999998</v>
      </c>
    </row>
    <row r="820" spans="1:4" ht="14.5">
      <c r="A820" s="3214">
        <v>42903</v>
      </c>
      <c r="B820" s="380" t="str">
        <f t="shared" si="12"/>
        <v>042-903</v>
      </c>
      <c r="C820" s="3215" t="s">
        <v>12287</v>
      </c>
      <c r="D820" s="3216">
        <v>0.89410000000000001</v>
      </c>
    </row>
    <row r="821" spans="1:4" ht="14.5">
      <c r="A821" s="3214">
        <v>84909</v>
      </c>
      <c r="B821" s="380" t="str">
        <f t="shared" si="12"/>
        <v>084-909</v>
      </c>
      <c r="C821" s="3215" t="s">
        <v>12288</v>
      </c>
      <c r="D821" s="3216">
        <v>0.80459999999999998</v>
      </c>
    </row>
    <row r="822" spans="1:4" ht="14.5">
      <c r="A822" s="3214">
        <v>137904</v>
      </c>
      <c r="B822" s="380" t="str">
        <f t="shared" si="12"/>
        <v>137-904</v>
      </c>
      <c r="C822" s="3215" t="s">
        <v>12289</v>
      </c>
      <c r="D822" s="3216">
        <v>0.80459999999999998</v>
      </c>
    </row>
    <row r="823" spans="1:4" ht="14.5">
      <c r="A823" s="3214">
        <v>31913</v>
      </c>
      <c r="B823" s="380" t="str">
        <f t="shared" si="12"/>
        <v>031-913</v>
      </c>
      <c r="C823" s="3215" t="s">
        <v>12290</v>
      </c>
      <c r="D823" s="3216">
        <v>0.80459999999999998</v>
      </c>
    </row>
    <row r="824" spans="1:4" ht="14.5">
      <c r="A824" s="3214">
        <v>31914</v>
      </c>
      <c r="B824" s="380" t="str">
        <f t="shared" si="12"/>
        <v>031-914</v>
      </c>
      <c r="C824" s="3215" t="s">
        <v>12291</v>
      </c>
      <c r="D824" s="3216">
        <v>0.80459999999999998</v>
      </c>
    </row>
    <row r="825" spans="1:4" ht="14.5">
      <c r="A825" s="3214">
        <v>182904</v>
      </c>
      <c r="B825" s="380" t="str">
        <f t="shared" si="12"/>
        <v>182-904</v>
      </c>
      <c r="C825" s="3215" t="s">
        <v>12292</v>
      </c>
      <c r="D825" s="3216">
        <v>0.80459999999999998</v>
      </c>
    </row>
    <row r="826" spans="1:4" ht="14.5">
      <c r="A826" s="3214">
        <v>74911</v>
      </c>
      <c r="B826" s="380" t="str">
        <f t="shared" si="12"/>
        <v>074-911</v>
      </c>
      <c r="C826" s="3215" t="s">
        <v>12293</v>
      </c>
      <c r="D826" s="3216">
        <v>0.80459999999999998</v>
      </c>
    </row>
    <row r="827" spans="1:4" ht="14.5">
      <c r="A827" s="3214">
        <v>94902</v>
      </c>
      <c r="B827" s="380" t="str">
        <f t="shared" si="12"/>
        <v>094-902</v>
      </c>
      <c r="C827" s="3215" t="s">
        <v>12294</v>
      </c>
      <c r="D827" s="3216">
        <v>0.80459999999999998</v>
      </c>
    </row>
    <row r="828" spans="1:4" ht="14.5">
      <c r="A828" s="3214">
        <v>207901</v>
      </c>
      <c r="B828" s="380" t="str">
        <f t="shared" si="12"/>
        <v>207-901</v>
      </c>
      <c r="C828" s="3215" t="s">
        <v>12295</v>
      </c>
      <c r="D828" s="3216">
        <v>0.80459999999999998</v>
      </c>
    </row>
    <row r="829" spans="1:4" ht="14.5">
      <c r="A829" s="3214">
        <v>75903</v>
      </c>
      <c r="B829" s="380" t="str">
        <f t="shared" si="12"/>
        <v>075-903</v>
      </c>
      <c r="C829" s="3215" t="s">
        <v>12296</v>
      </c>
      <c r="D829" s="3216">
        <v>0.85299999999999998</v>
      </c>
    </row>
    <row r="830" spans="1:4" ht="14.5">
      <c r="A830" s="3214">
        <v>129910</v>
      </c>
      <c r="B830" s="380" t="str">
        <f t="shared" si="12"/>
        <v>129-910</v>
      </c>
      <c r="C830" s="3215" t="s">
        <v>12297</v>
      </c>
      <c r="D830" s="3216">
        <v>0.80459999999999998</v>
      </c>
    </row>
    <row r="831" spans="1:4" ht="14.5">
      <c r="A831" s="3214">
        <v>83901</v>
      </c>
      <c r="B831" s="380" t="str">
        <f t="shared" si="12"/>
        <v>083-901</v>
      </c>
      <c r="C831" s="3215" t="s">
        <v>12298</v>
      </c>
      <c r="D831" s="3216">
        <v>0.80459999999999998</v>
      </c>
    </row>
    <row r="832" spans="1:4" ht="14.5">
      <c r="A832" s="3214">
        <v>8902</v>
      </c>
      <c r="B832" s="380" t="str">
        <f t="shared" si="12"/>
        <v>008-902</v>
      </c>
      <c r="C832" s="3215" t="s">
        <v>12299</v>
      </c>
      <c r="D832" s="3216">
        <v>0.82599999999999996</v>
      </c>
    </row>
    <row r="833" spans="1:4" ht="14.5">
      <c r="A833" s="3214">
        <v>94901</v>
      </c>
      <c r="B833" s="380" t="str">
        <f t="shared" si="12"/>
        <v>094-901</v>
      </c>
      <c r="C833" s="3215" t="s">
        <v>12300</v>
      </c>
      <c r="D833" s="3216">
        <v>0.80459999999999998</v>
      </c>
    </row>
    <row r="834" spans="1:4" ht="14.5">
      <c r="A834" s="3214">
        <v>83903</v>
      </c>
      <c r="B834" s="380" t="str">
        <f t="shared" si="12"/>
        <v>083-903</v>
      </c>
      <c r="C834" s="3215" t="s">
        <v>12301</v>
      </c>
      <c r="D834" s="3216">
        <v>0.80459999999999998</v>
      </c>
    </row>
    <row r="835" spans="1:4" ht="14.5">
      <c r="A835" s="3214">
        <v>12901</v>
      </c>
      <c r="B835" s="380" t="str">
        <f t="shared" ref="B835:B898" si="13">CONCATENATE(LEFT(RIGHT(CONCATENATE("000",A835),6),3),"-",(RIGHT(RIGHT(CONCATENATE("000",A835),6),3)))</f>
        <v>012-901</v>
      </c>
      <c r="C835" s="3215" t="s">
        <v>12302</v>
      </c>
      <c r="D835" s="3216">
        <v>0.80459999999999998</v>
      </c>
    </row>
    <row r="836" spans="1:4" ht="14.5">
      <c r="A836" s="3214">
        <v>152909</v>
      </c>
      <c r="B836" s="380" t="str">
        <f t="shared" si="13"/>
        <v>152-909</v>
      </c>
      <c r="C836" s="3215" t="s">
        <v>12303</v>
      </c>
      <c r="D836" s="3216">
        <v>0.80459999999999998</v>
      </c>
    </row>
    <row r="837" spans="1:4" ht="14.5">
      <c r="A837" s="3214">
        <v>242902</v>
      </c>
      <c r="B837" s="380" t="str">
        <f t="shared" si="13"/>
        <v>242-902</v>
      </c>
      <c r="C837" s="3215" t="s">
        <v>12304</v>
      </c>
      <c r="D837" s="3216">
        <v>0.82679999999999998</v>
      </c>
    </row>
    <row r="838" spans="1:4" ht="14.5">
      <c r="A838" s="3214">
        <v>108911</v>
      </c>
      <c r="B838" s="380" t="str">
        <f t="shared" si="13"/>
        <v>108-911</v>
      </c>
      <c r="C838" s="3215" t="s">
        <v>12305</v>
      </c>
      <c r="D838" s="3216">
        <v>0.80459999999999998</v>
      </c>
    </row>
    <row r="839" spans="1:4" ht="14.5">
      <c r="A839" s="3214">
        <v>210903</v>
      </c>
      <c r="B839" s="380" t="str">
        <f t="shared" si="13"/>
        <v>210-903</v>
      </c>
      <c r="C839" s="3215" t="s">
        <v>12306</v>
      </c>
      <c r="D839" s="3216">
        <v>0.80459999999999998</v>
      </c>
    </row>
    <row r="840" spans="1:4" ht="14.5">
      <c r="A840" s="3214">
        <v>101924</v>
      </c>
      <c r="B840" s="380" t="str">
        <f t="shared" si="13"/>
        <v>101-924</v>
      </c>
      <c r="C840" s="3215" t="s">
        <v>12307</v>
      </c>
      <c r="D840" s="3216">
        <v>0.81620000000000004</v>
      </c>
    </row>
    <row r="841" spans="1:4" ht="14.5">
      <c r="A841" s="3214">
        <v>204904</v>
      </c>
      <c r="B841" s="380" t="str">
        <f t="shared" si="13"/>
        <v>204-904</v>
      </c>
      <c r="C841" s="3215" t="s">
        <v>12308</v>
      </c>
      <c r="D841" s="3216">
        <v>0.80459999999999998</v>
      </c>
    </row>
    <row r="842" spans="1:4" ht="14.5">
      <c r="A842" s="3214">
        <v>91906</v>
      </c>
      <c r="B842" s="380" t="str">
        <f t="shared" si="13"/>
        <v>091-906</v>
      </c>
      <c r="C842" s="3215" t="s">
        <v>12309</v>
      </c>
      <c r="D842" s="3216">
        <v>0.80459999999999998</v>
      </c>
    </row>
    <row r="843" spans="1:4" ht="14.5">
      <c r="A843" s="3214">
        <v>143903</v>
      </c>
      <c r="B843" s="380" t="str">
        <f t="shared" si="13"/>
        <v>143-903</v>
      </c>
      <c r="C843" s="3215" t="s">
        <v>12310</v>
      </c>
      <c r="D843" s="3216">
        <v>0.80459999999999998</v>
      </c>
    </row>
    <row r="844" spans="1:4" ht="14.5">
      <c r="A844" s="3214">
        <v>47905</v>
      </c>
      <c r="B844" s="380" t="str">
        <f t="shared" si="13"/>
        <v>047-905</v>
      </c>
      <c r="C844" s="3215" t="s">
        <v>12311</v>
      </c>
      <c r="D844" s="3216">
        <v>0.80459999999999998</v>
      </c>
    </row>
    <row r="845" spans="1:4" ht="14.5">
      <c r="A845" s="3214">
        <v>115902</v>
      </c>
      <c r="B845" s="380" t="str">
        <f t="shared" si="13"/>
        <v>115-902</v>
      </c>
      <c r="C845" s="3215" t="s">
        <v>12312</v>
      </c>
      <c r="D845" s="3216">
        <v>0.88919999999999999</v>
      </c>
    </row>
    <row r="846" spans="1:4" ht="14.5">
      <c r="A846" s="3214">
        <v>100904</v>
      </c>
      <c r="B846" s="380" t="str">
        <f t="shared" si="13"/>
        <v>100-904</v>
      </c>
      <c r="C846" s="3215" t="s">
        <v>12313</v>
      </c>
      <c r="D846" s="3216">
        <v>0.83120000000000005</v>
      </c>
    </row>
    <row r="847" spans="1:4" ht="14.5">
      <c r="A847" s="3214">
        <v>23902</v>
      </c>
      <c r="B847" s="380" t="str">
        <f t="shared" si="13"/>
        <v>023-902</v>
      </c>
      <c r="C847" s="3215" t="s">
        <v>12314</v>
      </c>
      <c r="D847" s="3216">
        <v>0.8921</v>
      </c>
    </row>
    <row r="848" spans="1:4" ht="14.5">
      <c r="A848" s="3214">
        <v>19909</v>
      </c>
      <c r="B848" s="380" t="str">
        <f t="shared" si="13"/>
        <v>019-909</v>
      </c>
      <c r="C848" s="3215" t="s">
        <v>12315</v>
      </c>
      <c r="D848" s="3216">
        <v>0.80459999999999998</v>
      </c>
    </row>
    <row r="849" spans="1:4" ht="14.5">
      <c r="A849" s="3214">
        <v>205906</v>
      </c>
      <c r="B849" s="380" t="str">
        <f t="shared" si="13"/>
        <v>205-906</v>
      </c>
      <c r="C849" s="3215" t="s">
        <v>12316</v>
      </c>
      <c r="D849" s="3216">
        <v>0.80459999999999998</v>
      </c>
    </row>
    <row r="850" spans="1:4" ht="14.5">
      <c r="A850" s="3214">
        <v>49909</v>
      </c>
      <c r="B850" s="380" t="str">
        <f t="shared" si="13"/>
        <v>049-909</v>
      </c>
      <c r="C850" s="3215" t="s">
        <v>12317</v>
      </c>
      <c r="D850" s="3216">
        <v>0.80459999999999998</v>
      </c>
    </row>
    <row r="851" spans="1:4" ht="14.5">
      <c r="A851" s="3214">
        <v>13905</v>
      </c>
      <c r="B851" s="380" t="str">
        <f t="shared" si="13"/>
        <v>013-905</v>
      </c>
      <c r="C851" s="3215" t="s">
        <v>12318</v>
      </c>
      <c r="D851" s="3216">
        <v>0.80459999999999998</v>
      </c>
    </row>
    <row r="852" spans="1:4" ht="14.5">
      <c r="A852" s="3214">
        <v>152903</v>
      </c>
      <c r="B852" s="380" t="str">
        <f t="shared" si="13"/>
        <v>152-903</v>
      </c>
      <c r="C852" s="3215" t="s">
        <v>12319</v>
      </c>
      <c r="D852" s="3216">
        <v>0.80459999999999998</v>
      </c>
    </row>
    <row r="853" spans="1:4" ht="14.5">
      <c r="A853" s="3214">
        <v>249908</v>
      </c>
      <c r="B853" s="380" t="str">
        <f t="shared" si="13"/>
        <v>249-908</v>
      </c>
      <c r="C853" s="3215" t="s">
        <v>12320</v>
      </c>
      <c r="D853" s="3216">
        <v>0.80459999999999998</v>
      </c>
    </row>
    <row r="854" spans="1:4" ht="14.5">
      <c r="A854" s="3214">
        <v>1909</v>
      </c>
      <c r="B854" s="380" t="str">
        <f t="shared" si="13"/>
        <v>001-909</v>
      </c>
      <c r="C854" s="3215" t="s">
        <v>12321</v>
      </c>
      <c r="D854" s="3216">
        <v>0.81799999999999995</v>
      </c>
    </row>
    <row r="855" spans="1:4" ht="14.5">
      <c r="A855" s="3214">
        <v>11904</v>
      </c>
      <c r="B855" s="380" t="str">
        <f t="shared" si="13"/>
        <v>011-904</v>
      </c>
      <c r="C855" s="3215" t="s">
        <v>12322</v>
      </c>
      <c r="D855" s="3216">
        <v>0.80459999999999998</v>
      </c>
    </row>
    <row r="856" spans="1:4" ht="14.5">
      <c r="A856" s="3214">
        <v>110906</v>
      </c>
      <c r="B856" s="380" t="str">
        <f t="shared" si="13"/>
        <v>110-906</v>
      </c>
      <c r="C856" s="3215" t="s">
        <v>12323</v>
      </c>
      <c r="D856" s="3216">
        <v>0.80459999999999998</v>
      </c>
    </row>
    <row r="857" spans="1:4" ht="14.5">
      <c r="A857" s="3214">
        <v>26903</v>
      </c>
      <c r="B857" s="380" t="str">
        <f t="shared" si="13"/>
        <v>026-903</v>
      </c>
      <c r="C857" s="3215" t="s">
        <v>12324</v>
      </c>
      <c r="D857" s="3216">
        <v>0.80459999999999998</v>
      </c>
    </row>
    <row r="858" spans="1:4" ht="14.5">
      <c r="A858" s="3214">
        <v>208902</v>
      </c>
      <c r="B858" s="380" t="str">
        <f t="shared" si="13"/>
        <v>208-902</v>
      </c>
      <c r="C858" s="3215" t="s">
        <v>12325</v>
      </c>
      <c r="D858" s="3216">
        <v>0.80459999999999998</v>
      </c>
    </row>
    <row r="859" spans="1:4" ht="14.5">
      <c r="A859" s="3214">
        <v>71909</v>
      </c>
      <c r="B859" s="380" t="str">
        <f t="shared" si="13"/>
        <v>071-909</v>
      </c>
      <c r="C859" s="3215" t="s">
        <v>12326</v>
      </c>
      <c r="D859" s="3216">
        <v>0.80459999999999998</v>
      </c>
    </row>
    <row r="860" spans="1:4" ht="14.5">
      <c r="A860" s="3214">
        <v>15909</v>
      </c>
      <c r="B860" s="380" t="str">
        <f t="shared" si="13"/>
        <v>015-909</v>
      </c>
      <c r="C860" s="3215" t="s">
        <v>12327</v>
      </c>
      <c r="D860" s="3216">
        <v>0.80459999999999998</v>
      </c>
    </row>
    <row r="861" spans="1:4" ht="14.5">
      <c r="A861" s="3214">
        <v>26902</v>
      </c>
      <c r="B861" s="380" t="str">
        <f t="shared" si="13"/>
        <v>026-902</v>
      </c>
      <c r="C861" s="3215" t="s">
        <v>12328</v>
      </c>
      <c r="D861" s="3216">
        <v>0.80459999999999998</v>
      </c>
    </row>
    <row r="862" spans="1:4" ht="14.5">
      <c r="A862" s="3214">
        <v>218901</v>
      </c>
      <c r="B862" s="380" t="str">
        <f t="shared" si="13"/>
        <v>218-901</v>
      </c>
      <c r="C862" s="3215" t="s">
        <v>12329</v>
      </c>
      <c r="D862" s="3216">
        <v>0.85419999999999996</v>
      </c>
    </row>
    <row r="863" spans="1:4" ht="14.5">
      <c r="A863" s="3214">
        <v>15908</v>
      </c>
      <c r="B863" s="380" t="str">
        <f t="shared" si="13"/>
        <v>015-908</v>
      </c>
      <c r="C863" s="3215" t="s">
        <v>12330</v>
      </c>
      <c r="D863" s="3216">
        <v>0.80459999999999998</v>
      </c>
    </row>
    <row r="864" spans="1:4" ht="14.5">
      <c r="A864" s="3214">
        <v>85903</v>
      </c>
      <c r="B864" s="380" t="str">
        <f t="shared" si="13"/>
        <v>085-903</v>
      </c>
      <c r="C864" s="3215" t="s">
        <v>12331</v>
      </c>
      <c r="D864" s="3216">
        <v>0.80459999999999998</v>
      </c>
    </row>
    <row r="865" spans="1:4" ht="14.5">
      <c r="A865" s="3214">
        <v>15917</v>
      </c>
      <c r="B865" s="380" t="str">
        <f t="shared" si="13"/>
        <v>015-917</v>
      </c>
      <c r="C865" s="3215" t="s">
        <v>12332</v>
      </c>
      <c r="D865" s="3216">
        <v>0.80459999999999998</v>
      </c>
    </row>
    <row r="866" spans="1:4" ht="14.5">
      <c r="A866" s="3214">
        <v>15912</v>
      </c>
      <c r="B866" s="380" t="str">
        <f t="shared" si="13"/>
        <v>015-912</v>
      </c>
      <c r="C866" s="3215" t="s">
        <v>12333</v>
      </c>
      <c r="D866" s="3216">
        <v>0.80459999999999998</v>
      </c>
    </row>
    <row r="867" spans="1:4" ht="14.5">
      <c r="A867" s="3214">
        <v>98904</v>
      </c>
      <c r="B867" s="380" t="str">
        <f t="shared" si="13"/>
        <v>098-904</v>
      </c>
      <c r="C867" s="3215" t="s">
        <v>12334</v>
      </c>
      <c r="D867" s="3216">
        <v>0.83550000000000002</v>
      </c>
    </row>
    <row r="868" spans="1:4" ht="14.5">
      <c r="A868" s="3214">
        <v>170907</v>
      </c>
      <c r="B868" s="380" t="str">
        <f t="shared" si="13"/>
        <v>170-907</v>
      </c>
      <c r="C868" s="3215" t="s">
        <v>12335</v>
      </c>
      <c r="D868" s="3216">
        <v>0.80459999999999998</v>
      </c>
    </row>
    <row r="869" spans="1:4" ht="14.5">
      <c r="A869" s="3214">
        <v>101920</v>
      </c>
      <c r="B869" s="380" t="str">
        <f t="shared" si="13"/>
        <v>101-920</v>
      </c>
      <c r="C869" s="3215" t="s">
        <v>12336</v>
      </c>
      <c r="D869" s="3216">
        <v>0.87790000000000001</v>
      </c>
    </row>
    <row r="870" spans="1:4" ht="14.5">
      <c r="A870" s="3214">
        <v>117907</v>
      </c>
      <c r="B870" s="380" t="str">
        <f t="shared" si="13"/>
        <v>117-907</v>
      </c>
      <c r="C870" s="3215" t="s">
        <v>12337</v>
      </c>
      <c r="D870" s="3216">
        <v>0.80459999999999998</v>
      </c>
    </row>
    <row r="871" spans="1:4" ht="14.5">
      <c r="A871" s="3214">
        <v>92907</v>
      </c>
      <c r="B871" s="380" t="str">
        <f t="shared" si="13"/>
        <v>092-907</v>
      </c>
      <c r="C871" s="3215" t="s">
        <v>12338</v>
      </c>
      <c r="D871" s="3216">
        <v>0.8518</v>
      </c>
    </row>
    <row r="872" spans="1:4" ht="14.5">
      <c r="A872" s="3214">
        <v>101919</v>
      </c>
      <c r="B872" s="380" t="str">
        <f t="shared" si="13"/>
        <v>101-919</v>
      </c>
      <c r="C872" s="3215" t="s">
        <v>12339</v>
      </c>
      <c r="D872" s="3216">
        <v>0.80459999999999998</v>
      </c>
    </row>
    <row r="873" spans="1:4" ht="14.5">
      <c r="A873" s="3214">
        <v>140907</v>
      </c>
      <c r="B873" s="380" t="str">
        <f t="shared" si="13"/>
        <v>140-907</v>
      </c>
      <c r="C873" s="3215" t="s">
        <v>12340</v>
      </c>
      <c r="D873" s="3216">
        <v>0.86360000000000003</v>
      </c>
    </row>
    <row r="874" spans="1:4" ht="14.5">
      <c r="A874" s="3214">
        <v>184902</v>
      </c>
      <c r="B874" s="380" t="str">
        <f t="shared" si="13"/>
        <v>184-902</v>
      </c>
      <c r="C874" s="3215" t="s">
        <v>12341</v>
      </c>
      <c r="D874" s="3216">
        <v>0.80459999999999998</v>
      </c>
    </row>
    <row r="875" spans="1:4" ht="14.5">
      <c r="A875" s="3214">
        <v>63903</v>
      </c>
      <c r="B875" s="380" t="str">
        <f t="shared" si="13"/>
        <v>063-903</v>
      </c>
      <c r="C875" s="3215" t="s">
        <v>12342</v>
      </c>
      <c r="D875" s="3216">
        <v>0.8165</v>
      </c>
    </row>
    <row r="876" spans="1:4" ht="14.5">
      <c r="A876" s="3214">
        <v>229905</v>
      </c>
      <c r="B876" s="380" t="str">
        <f t="shared" si="13"/>
        <v>229-905</v>
      </c>
      <c r="C876" s="3215" t="s">
        <v>12343</v>
      </c>
      <c r="D876" s="3216">
        <v>0.83420000000000005</v>
      </c>
    </row>
    <row r="877" spans="1:4" ht="14.5">
      <c r="A877" s="3214">
        <v>79910</v>
      </c>
      <c r="B877" s="380" t="str">
        <f t="shared" si="13"/>
        <v>079-910</v>
      </c>
      <c r="C877" s="3215" t="s">
        <v>12344</v>
      </c>
      <c r="D877" s="3216">
        <v>0.80459999999999998</v>
      </c>
    </row>
    <row r="878" spans="1:4" ht="14.5">
      <c r="A878" s="3214">
        <v>127906</v>
      </c>
      <c r="B878" s="380" t="str">
        <f t="shared" si="13"/>
        <v>127-906</v>
      </c>
      <c r="C878" s="3215" t="s">
        <v>12345</v>
      </c>
      <c r="D878" s="3216">
        <v>0.85350000000000004</v>
      </c>
    </row>
    <row r="879" spans="1:4" ht="14.5">
      <c r="A879" s="3214">
        <v>156902</v>
      </c>
      <c r="B879" s="380" t="str">
        <f t="shared" si="13"/>
        <v>156-902</v>
      </c>
      <c r="C879" s="3215" t="s">
        <v>12346</v>
      </c>
      <c r="D879" s="3216">
        <v>0.80459999999999998</v>
      </c>
    </row>
    <row r="880" spans="1:4" ht="14.5">
      <c r="A880" s="3214">
        <v>72903</v>
      </c>
      <c r="B880" s="380" t="str">
        <f t="shared" si="13"/>
        <v>072-903</v>
      </c>
      <c r="C880" s="3215" t="s">
        <v>12347</v>
      </c>
      <c r="D880" s="3216">
        <v>0.80459999999999998</v>
      </c>
    </row>
    <row r="881" spans="1:4" ht="14.5">
      <c r="A881" s="3214">
        <v>216901</v>
      </c>
      <c r="B881" s="380" t="str">
        <f t="shared" si="13"/>
        <v>216-901</v>
      </c>
      <c r="C881" s="3215" t="s">
        <v>12348</v>
      </c>
      <c r="D881" s="3216">
        <v>0.86470000000000002</v>
      </c>
    </row>
    <row r="882" spans="1:4" ht="14.5">
      <c r="A882" s="3214">
        <v>247906</v>
      </c>
      <c r="B882" s="380" t="str">
        <f t="shared" si="13"/>
        <v>247-906</v>
      </c>
      <c r="C882" s="3215" t="s">
        <v>12349</v>
      </c>
      <c r="D882" s="3216">
        <v>0.80459999999999998</v>
      </c>
    </row>
    <row r="883" spans="1:4" ht="14.5">
      <c r="A883" s="3214">
        <v>211902</v>
      </c>
      <c r="B883" s="380" t="str">
        <f t="shared" si="13"/>
        <v>211-902</v>
      </c>
      <c r="C883" s="3215" t="s">
        <v>12350</v>
      </c>
      <c r="D883" s="3216">
        <v>0.80459999999999998</v>
      </c>
    </row>
    <row r="884" spans="1:4" ht="14.5">
      <c r="A884" s="3214">
        <v>182905</v>
      </c>
      <c r="B884" s="380" t="str">
        <f t="shared" si="13"/>
        <v>182-905</v>
      </c>
      <c r="C884" s="3215" t="s">
        <v>12351</v>
      </c>
      <c r="D884" s="3216">
        <v>0.80459999999999998</v>
      </c>
    </row>
    <row r="885" spans="1:4" ht="14.5">
      <c r="A885" s="3214">
        <v>140908</v>
      </c>
      <c r="B885" s="380" t="str">
        <f t="shared" si="13"/>
        <v>140-908</v>
      </c>
      <c r="C885" s="3215" t="s">
        <v>12352</v>
      </c>
      <c r="D885" s="3216">
        <v>0.85170000000000001</v>
      </c>
    </row>
    <row r="886" spans="1:4" ht="14.5">
      <c r="A886" s="3214">
        <v>112910</v>
      </c>
      <c r="B886" s="380" t="str">
        <f t="shared" si="13"/>
        <v>112-910</v>
      </c>
      <c r="C886" s="3215" t="s">
        <v>12353</v>
      </c>
      <c r="D886" s="3216">
        <v>0.86609999999999998</v>
      </c>
    </row>
    <row r="887" spans="1:4" ht="14.5">
      <c r="A887" s="3214">
        <v>112901</v>
      </c>
      <c r="B887" s="380" t="str">
        <f t="shared" si="13"/>
        <v>112-901</v>
      </c>
      <c r="C887" s="3215" t="s">
        <v>12354</v>
      </c>
      <c r="D887" s="3216">
        <v>0.80459999999999998</v>
      </c>
    </row>
    <row r="888" spans="1:4" ht="14.5">
      <c r="A888" s="3214">
        <v>110907</v>
      </c>
      <c r="B888" s="380" t="str">
        <f t="shared" si="13"/>
        <v>110-907</v>
      </c>
      <c r="C888" s="3215" t="s">
        <v>12355</v>
      </c>
      <c r="D888" s="3216">
        <v>0.80459999999999998</v>
      </c>
    </row>
    <row r="889" spans="1:4" ht="14.5">
      <c r="A889" s="3214">
        <v>57919</v>
      </c>
      <c r="B889" s="380" t="str">
        <f t="shared" si="13"/>
        <v>057-919</v>
      </c>
      <c r="C889" s="3215" t="s">
        <v>12356</v>
      </c>
      <c r="D889" s="3216">
        <v>0.80459999999999998</v>
      </c>
    </row>
    <row r="890" spans="1:4" ht="14.5">
      <c r="A890" s="3214">
        <v>171902</v>
      </c>
      <c r="B890" s="380" t="str">
        <f t="shared" si="13"/>
        <v>171-902</v>
      </c>
      <c r="C890" s="3215" t="s">
        <v>12357</v>
      </c>
      <c r="D890" s="3216">
        <v>0.80459999999999998</v>
      </c>
    </row>
    <row r="891" spans="1:4" ht="14.5">
      <c r="A891" s="3214">
        <v>20906</v>
      </c>
      <c r="B891" s="380" t="str">
        <f t="shared" si="13"/>
        <v>020-906</v>
      </c>
      <c r="C891" s="3215" t="s">
        <v>12358</v>
      </c>
      <c r="D891" s="3216">
        <v>0.80459999999999998</v>
      </c>
    </row>
    <row r="892" spans="1:4" ht="14.5">
      <c r="A892" s="3214">
        <v>143905</v>
      </c>
      <c r="B892" s="380" t="str">
        <f t="shared" si="13"/>
        <v>143-905</v>
      </c>
      <c r="C892" s="3215" t="s">
        <v>12359</v>
      </c>
      <c r="D892" s="3216">
        <v>0.86439999999999995</v>
      </c>
    </row>
    <row r="893" spans="1:4" ht="14.5">
      <c r="A893" s="3214">
        <v>177902</v>
      </c>
      <c r="B893" s="380" t="str">
        <f t="shared" si="13"/>
        <v>177-902</v>
      </c>
      <c r="C893" s="3215" t="s">
        <v>12360</v>
      </c>
      <c r="D893" s="3216">
        <v>0.80459999999999998</v>
      </c>
    </row>
    <row r="894" spans="1:4" ht="14.5">
      <c r="A894" s="3214">
        <v>205907</v>
      </c>
      <c r="B894" s="380" t="str">
        <f t="shared" si="13"/>
        <v>205-907</v>
      </c>
      <c r="C894" s="3215" t="s">
        <v>12361</v>
      </c>
      <c r="D894" s="3216">
        <v>0.80459999999999998</v>
      </c>
    </row>
    <row r="895" spans="1:4" ht="14.5">
      <c r="A895" s="3214">
        <v>153904</v>
      </c>
      <c r="B895" s="380" t="str">
        <f t="shared" si="13"/>
        <v>153-904</v>
      </c>
      <c r="C895" s="3215" t="s">
        <v>12362</v>
      </c>
      <c r="D895" s="3216">
        <v>0.89410000000000001</v>
      </c>
    </row>
    <row r="896" spans="1:4" ht="14.5">
      <c r="A896" s="3214">
        <v>146907</v>
      </c>
      <c r="B896" s="380" t="str">
        <f t="shared" si="13"/>
        <v>146-907</v>
      </c>
      <c r="C896" s="3215" t="s">
        <v>12363</v>
      </c>
      <c r="D896" s="3216">
        <v>0.80459999999999998</v>
      </c>
    </row>
    <row r="897" spans="1:4" ht="14.5">
      <c r="A897" s="3214">
        <v>201910</v>
      </c>
      <c r="B897" s="380" t="str">
        <f t="shared" si="13"/>
        <v>201-910</v>
      </c>
      <c r="C897" s="3215" t="s">
        <v>12364</v>
      </c>
      <c r="D897" s="3216">
        <v>0.86480000000000001</v>
      </c>
    </row>
    <row r="898" spans="1:4" ht="14.5">
      <c r="A898" s="3214">
        <v>246911</v>
      </c>
      <c r="B898" s="380" t="str">
        <f t="shared" si="13"/>
        <v>246-911</v>
      </c>
      <c r="C898" s="3215" t="s">
        <v>12365</v>
      </c>
      <c r="D898" s="3216">
        <v>0.80459999999999998</v>
      </c>
    </row>
    <row r="899" spans="1:4" ht="14.5">
      <c r="A899" s="3214">
        <v>81904</v>
      </c>
      <c r="B899" s="380" t="str">
        <f t="shared" ref="B899:B962" si="14">CONCATENATE(LEFT(RIGHT(CONCATENATE("000",A899),6),3),"-",(RIGHT(RIGHT(CONCATENATE("000",A899),6),3)))</f>
        <v>081-904</v>
      </c>
      <c r="C899" s="3215" t="s">
        <v>12366</v>
      </c>
      <c r="D899" s="3216">
        <v>0.80459999999999998</v>
      </c>
    </row>
    <row r="900" spans="1:4" ht="14.5">
      <c r="A900" s="3214">
        <v>14909</v>
      </c>
      <c r="B900" s="380" t="str">
        <f t="shared" si="14"/>
        <v>014-909</v>
      </c>
      <c r="C900" s="3215" t="s">
        <v>12367</v>
      </c>
      <c r="D900" s="3216">
        <v>0.80459999999999998</v>
      </c>
    </row>
    <row r="901" spans="1:4" ht="14.5">
      <c r="A901" s="3214">
        <v>210904</v>
      </c>
      <c r="B901" s="380" t="str">
        <f t="shared" si="14"/>
        <v>210-904</v>
      </c>
      <c r="C901" s="3215" t="s">
        <v>12368</v>
      </c>
      <c r="D901" s="3216">
        <v>0.89410000000000001</v>
      </c>
    </row>
    <row r="902" spans="1:4" ht="14.5">
      <c r="A902" s="3214">
        <v>22004</v>
      </c>
      <c r="B902" s="380" t="str">
        <f t="shared" si="14"/>
        <v>022-004</v>
      </c>
      <c r="C902" s="3215" t="s">
        <v>12369</v>
      </c>
      <c r="D902" s="3216">
        <v>0.80459999999999998</v>
      </c>
    </row>
    <row r="903" spans="1:4" ht="14.5">
      <c r="A903" s="3214">
        <v>222901</v>
      </c>
      <c r="B903" s="380" t="str">
        <f t="shared" si="14"/>
        <v>222-901</v>
      </c>
      <c r="C903" s="3215" t="s">
        <v>12370</v>
      </c>
      <c r="D903" s="3216">
        <v>0.80459999999999998</v>
      </c>
    </row>
    <row r="904" spans="1:4" ht="14.5">
      <c r="A904" s="3214">
        <v>129906</v>
      </c>
      <c r="B904" s="380" t="str">
        <f t="shared" si="14"/>
        <v>129-906</v>
      </c>
      <c r="C904" s="3215" t="s">
        <v>12371</v>
      </c>
      <c r="D904" s="3216">
        <v>0.80459999999999998</v>
      </c>
    </row>
    <row r="905" spans="1:4" ht="14.5">
      <c r="A905" s="3214">
        <v>19907</v>
      </c>
      <c r="B905" s="380" t="str">
        <f t="shared" si="14"/>
        <v>019-907</v>
      </c>
      <c r="C905" s="3215" t="s">
        <v>12372</v>
      </c>
      <c r="D905" s="3216">
        <v>0.80459999999999998</v>
      </c>
    </row>
    <row r="906" spans="1:4" ht="14.5">
      <c r="A906" s="3214">
        <v>84906</v>
      </c>
      <c r="B906" s="380" t="str">
        <f t="shared" si="14"/>
        <v>084-906</v>
      </c>
      <c r="C906" s="3215" t="s">
        <v>12373</v>
      </c>
      <c r="D906" s="3216">
        <v>0.80459999999999998</v>
      </c>
    </row>
    <row r="907" spans="1:4" ht="14.5">
      <c r="A907" s="3214">
        <v>211901</v>
      </c>
      <c r="B907" s="380" t="str">
        <f t="shared" si="14"/>
        <v>211-901</v>
      </c>
      <c r="C907" s="3215" t="s">
        <v>12374</v>
      </c>
      <c r="D907" s="3216">
        <v>0.80459999999999998</v>
      </c>
    </row>
    <row r="908" spans="1:4" ht="14.5">
      <c r="A908" s="3214">
        <v>56902</v>
      </c>
      <c r="B908" s="380" t="str">
        <f t="shared" si="14"/>
        <v>056-902</v>
      </c>
      <c r="C908" s="3215" t="s">
        <v>12375</v>
      </c>
      <c r="D908" s="3216">
        <v>0.89410000000000001</v>
      </c>
    </row>
    <row r="909" spans="1:4" ht="14.5">
      <c r="A909" s="3214">
        <v>166905</v>
      </c>
      <c r="B909" s="380" t="str">
        <f t="shared" si="14"/>
        <v>166-905</v>
      </c>
      <c r="C909" s="3215" t="s">
        <v>12376</v>
      </c>
      <c r="D909" s="3216">
        <v>0.80459999999999998</v>
      </c>
    </row>
    <row r="910" spans="1:4" ht="14.5">
      <c r="A910" s="3214">
        <v>246912</v>
      </c>
      <c r="B910" s="380" t="str">
        <f t="shared" si="14"/>
        <v>246-912</v>
      </c>
      <c r="C910" s="3215" t="s">
        <v>12377</v>
      </c>
      <c r="D910" s="3216">
        <v>0.80459999999999998</v>
      </c>
    </row>
    <row r="911" spans="1:4" ht="14.5">
      <c r="A911" s="3214">
        <v>149902</v>
      </c>
      <c r="B911" s="380" t="str">
        <f t="shared" si="14"/>
        <v>149-902</v>
      </c>
      <c r="C911" s="3215" t="s">
        <v>12378</v>
      </c>
      <c r="D911" s="3216">
        <v>0.80459999999999998</v>
      </c>
    </row>
    <row r="912" spans="1:4" ht="14.5">
      <c r="A912" s="3214">
        <v>72901</v>
      </c>
      <c r="B912" s="380" t="str">
        <f t="shared" si="14"/>
        <v>072-901</v>
      </c>
      <c r="C912" s="3215" t="s">
        <v>12379</v>
      </c>
      <c r="D912" s="3216">
        <v>0.80459999999999998</v>
      </c>
    </row>
    <row r="913" spans="1:4" ht="14.5">
      <c r="A913" s="3214">
        <v>224901</v>
      </c>
      <c r="B913" s="380" t="str">
        <f t="shared" si="14"/>
        <v>224-901</v>
      </c>
      <c r="C913" s="3215" t="s">
        <v>12380</v>
      </c>
      <c r="D913" s="3216">
        <v>0.80459999999999998</v>
      </c>
    </row>
    <row r="914" spans="1:4" ht="14.5">
      <c r="A914" s="3214">
        <v>158902</v>
      </c>
      <c r="B914" s="380" t="str">
        <f t="shared" si="14"/>
        <v>158-902</v>
      </c>
      <c r="C914" s="3215" t="s">
        <v>12381</v>
      </c>
      <c r="D914" s="3216">
        <v>0.80459999999999998</v>
      </c>
    </row>
    <row r="915" spans="1:4" ht="14.5">
      <c r="A915" s="3214">
        <v>210905</v>
      </c>
      <c r="B915" s="380" t="str">
        <f t="shared" si="14"/>
        <v>210-905</v>
      </c>
      <c r="C915" s="3215" t="s">
        <v>12382</v>
      </c>
      <c r="D915" s="3216">
        <v>0.89149999999999996</v>
      </c>
    </row>
    <row r="916" spans="1:4" ht="14.5">
      <c r="A916" s="3214">
        <v>91907</v>
      </c>
      <c r="B916" s="380" t="str">
        <f t="shared" si="14"/>
        <v>091-907</v>
      </c>
      <c r="C916" s="3215" t="s">
        <v>12383</v>
      </c>
      <c r="D916" s="3216">
        <v>0.80459999999999998</v>
      </c>
    </row>
    <row r="917" spans="1:4" ht="14.5">
      <c r="A917" s="3214">
        <v>111903</v>
      </c>
      <c r="B917" s="380" t="str">
        <f t="shared" si="14"/>
        <v>111-903</v>
      </c>
      <c r="C917" s="3215" t="s">
        <v>12384</v>
      </c>
      <c r="D917" s="3216">
        <v>0.80459999999999998</v>
      </c>
    </row>
    <row r="918" spans="1:4" ht="14.5">
      <c r="A918" s="3214">
        <v>91918</v>
      </c>
      <c r="B918" s="380" t="str">
        <f t="shared" si="14"/>
        <v>091-918</v>
      </c>
      <c r="C918" s="3215" t="s">
        <v>12385</v>
      </c>
      <c r="D918" s="3216">
        <v>0.80459999999999998</v>
      </c>
    </row>
    <row r="919" spans="1:4" ht="14.5">
      <c r="A919" s="3214">
        <v>101921</v>
      </c>
      <c r="B919" s="380" t="str">
        <f t="shared" si="14"/>
        <v>101-921</v>
      </c>
      <c r="C919" s="3215" t="s">
        <v>12386</v>
      </c>
      <c r="D919" s="3216">
        <v>0.80459999999999998</v>
      </c>
    </row>
    <row r="920" spans="1:4" ht="14.5">
      <c r="A920" s="3214">
        <v>71908</v>
      </c>
      <c r="B920" s="380" t="str">
        <f t="shared" si="14"/>
        <v>071-908</v>
      </c>
      <c r="C920" s="3215" t="s">
        <v>12387</v>
      </c>
      <c r="D920" s="3216">
        <v>0.83979999999999999</v>
      </c>
    </row>
    <row r="921" spans="1:4" ht="14.5">
      <c r="A921" s="3214">
        <v>221905</v>
      </c>
      <c r="B921" s="380" t="str">
        <f t="shared" si="14"/>
        <v>221-905</v>
      </c>
      <c r="C921" s="3215" t="s">
        <v>12388</v>
      </c>
      <c r="D921" s="3216">
        <v>0.86350000000000005</v>
      </c>
    </row>
    <row r="922" spans="1:4" ht="14.5">
      <c r="A922" s="3214">
        <v>74912</v>
      </c>
      <c r="B922" s="380" t="str">
        <f t="shared" si="14"/>
        <v>074-912</v>
      </c>
      <c r="C922" s="3215" t="s">
        <v>12389</v>
      </c>
      <c r="D922" s="3216">
        <v>0.80459999999999998</v>
      </c>
    </row>
    <row r="923" spans="1:4" ht="14.5">
      <c r="A923" s="3214">
        <v>107907</v>
      </c>
      <c r="B923" s="380" t="str">
        <f t="shared" si="14"/>
        <v>107-907</v>
      </c>
      <c r="C923" s="3215" t="s">
        <v>12390</v>
      </c>
      <c r="D923" s="3216">
        <v>0.82199999999999995</v>
      </c>
    </row>
    <row r="924" spans="1:4" ht="14.5">
      <c r="A924" s="3214">
        <v>228903</v>
      </c>
      <c r="B924" s="380" t="str">
        <f t="shared" si="14"/>
        <v>228-903</v>
      </c>
      <c r="C924" s="3215" t="s">
        <v>12391</v>
      </c>
      <c r="D924" s="3216">
        <v>0.86899999999999999</v>
      </c>
    </row>
    <row r="925" spans="1:4" ht="14.5">
      <c r="A925" s="3214">
        <v>212904</v>
      </c>
      <c r="B925" s="380" t="str">
        <f t="shared" si="14"/>
        <v>212-904</v>
      </c>
      <c r="C925" s="3215" t="s">
        <v>12392</v>
      </c>
      <c r="D925" s="3216">
        <v>0.80459999999999998</v>
      </c>
    </row>
    <row r="926" spans="1:4" ht="14.5">
      <c r="A926" s="3214">
        <v>14910</v>
      </c>
      <c r="B926" s="380" t="str">
        <f t="shared" si="14"/>
        <v>014-910</v>
      </c>
      <c r="C926" s="3215" t="s">
        <v>12393</v>
      </c>
      <c r="D926" s="3216">
        <v>0.80459999999999998</v>
      </c>
    </row>
    <row r="927" spans="1:4" ht="14.5">
      <c r="A927" s="3214">
        <v>219903</v>
      </c>
      <c r="B927" s="380" t="str">
        <f t="shared" si="14"/>
        <v>219-903</v>
      </c>
      <c r="C927" s="3215" t="s">
        <v>12394</v>
      </c>
      <c r="D927" s="3216">
        <v>0.86429999999999996</v>
      </c>
    </row>
    <row r="928" spans="1:4" ht="14.5">
      <c r="A928" s="3214">
        <v>178912</v>
      </c>
      <c r="B928" s="380" t="str">
        <f t="shared" si="14"/>
        <v>178-912</v>
      </c>
      <c r="C928" s="3215" t="s">
        <v>12395</v>
      </c>
      <c r="D928" s="3216">
        <v>0.86770000000000003</v>
      </c>
    </row>
    <row r="929" spans="1:4" ht="14.5">
      <c r="A929" s="3214">
        <v>96905</v>
      </c>
      <c r="B929" s="380" t="str">
        <f t="shared" si="14"/>
        <v>096-905</v>
      </c>
      <c r="C929" s="3215" t="s">
        <v>12396</v>
      </c>
      <c r="D929" s="3216">
        <v>0.89410000000000001</v>
      </c>
    </row>
    <row r="930" spans="1:4" ht="14.5">
      <c r="A930" s="3214">
        <v>212905</v>
      </c>
      <c r="B930" s="380" t="str">
        <f t="shared" si="14"/>
        <v>212-905</v>
      </c>
      <c r="C930" s="3215" t="s">
        <v>12397</v>
      </c>
      <c r="D930" s="3216">
        <v>0.82930000000000004</v>
      </c>
    </row>
    <row r="931" spans="1:4" ht="14.5">
      <c r="A931" s="3214">
        <v>230908</v>
      </c>
      <c r="B931" s="380" t="str">
        <f t="shared" si="14"/>
        <v>230-908</v>
      </c>
      <c r="C931" s="3215" t="s">
        <v>12398</v>
      </c>
      <c r="D931" s="3216">
        <v>0.80459999999999998</v>
      </c>
    </row>
    <row r="932" spans="1:4" ht="14.5">
      <c r="A932" s="3214">
        <v>230904</v>
      </c>
      <c r="B932" s="380" t="str">
        <f t="shared" si="14"/>
        <v>230-904</v>
      </c>
      <c r="C932" s="3215" t="s">
        <v>12399</v>
      </c>
      <c r="D932" s="3216">
        <v>0.83189999999999997</v>
      </c>
    </row>
    <row r="933" spans="1:4" ht="14.5">
      <c r="A933" s="3214">
        <v>240903</v>
      </c>
      <c r="B933" s="380" t="str">
        <f t="shared" si="14"/>
        <v>240-903</v>
      </c>
      <c r="C933" s="3215" t="s">
        <v>12400</v>
      </c>
      <c r="D933" s="3216">
        <v>0.80459999999999998</v>
      </c>
    </row>
    <row r="934" spans="1:4" ht="14.5">
      <c r="A934" s="3214">
        <v>232904</v>
      </c>
      <c r="B934" s="380" t="str">
        <f t="shared" si="14"/>
        <v>232-904</v>
      </c>
      <c r="C934" s="3215" t="s">
        <v>12401</v>
      </c>
      <c r="D934" s="3216">
        <v>0.80459999999999998</v>
      </c>
    </row>
    <row r="935" spans="1:4" ht="14.5">
      <c r="A935" s="3214">
        <v>232903</v>
      </c>
      <c r="B935" s="380" t="str">
        <f t="shared" si="14"/>
        <v>232-903</v>
      </c>
      <c r="C935" s="3215" t="s">
        <v>12402</v>
      </c>
      <c r="D935" s="3216">
        <v>0.80459999999999998</v>
      </c>
    </row>
    <row r="936" spans="1:4" ht="14.5">
      <c r="A936" s="3214">
        <v>122902</v>
      </c>
      <c r="B936" s="380" t="str">
        <f t="shared" si="14"/>
        <v>122-902</v>
      </c>
      <c r="C936" s="3215" t="s">
        <v>12403</v>
      </c>
      <c r="D936" s="3216">
        <v>0.8347</v>
      </c>
    </row>
    <row r="937" spans="1:4" ht="14.5">
      <c r="A937" s="3214">
        <v>18904</v>
      </c>
      <c r="B937" s="380" t="str">
        <f t="shared" si="14"/>
        <v>018-904</v>
      </c>
      <c r="C937" s="3215" t="s">
        <v>12404</v>
      </c>
      <c r="D937" s="3216">
        <v>0.80459999999999998</v>
      </c>
    </row>
    <row r="938" spans="1:4" ht="14.5">
      <c r="A938" s="3214">
        <v>49903</v>
      </c>
      <c r="B938" s="380" t="str">
        <f t="shared" si="14"/>
        <v>049-903</v>
      </c>
      <c r="C938" s="3215" t="s">
        <v>12405</v>
      </c>
      <c r="D938" s="3216">
        <v>0.80459999999999998</v>
      </c>
    </row>
    <row r="939" spans="1:4" ht="14.5">
      <c r="A939" s="3214">
        <v>108916</v>
      </c>
      <c r="B939" s="380" t="str">
        <f t="shared" si="14"/>
        <v>108-916</v>
      </c>
      <c r="C939" s="3215" t="s">
        <v>12405</v>
      </c>
      <c r="D939" s="3216">
        <v>0.80459999999999998</v>
      </c>
    </row>
    <row r="940" spans="1:4" ht="14.5">
      <c r="A940" s="3214">
        <v>91908</v>
      </c>
      <c r="B940" s="380" t="str">
        <f t="shared" si="14"/>
        <v>091-908</v>
      </c>
      <c r="C940" s="3215" t="s">
        <v>12406</v>
      </c>
      <c r="D940" s="3216">
        <v>0.80459999999999998</v>
      </c>
    </row>
    <row r="941" spans="1:4" ht="14.5">
      <c r="A941" s="3214">
        <v>234906</v>
      </c>
      <c r="B941" s="380" t="str">
        <f t="shared" si="14"/>
        <v>234-906</v>
      </c>
      <c r="C941" s="3215" t="s">
        <v>12407</v>
      </c>
      <c r="D941" s="3216">
        <v>0.80459999999999998</v>
      </c>
    </row>
    <row r="942" spans="1:4" ht="14.5">
      <c r="A942" s="3214">
        <v>158906</v>
      </c>
      <c r="B942" s="380" t="str">
        <f t="shared" si="14"/>
        <v>158-906</v>
      </c>
      <c r="C942" s="3215" t="s">
        <v>12408</v>
      </c>
      <c r="D942" s="3216">
        <v>0.8054</v>
      </c>
    </row>
    <row r="943" spans="1:4" ht="14.5">
      <c r="A943" s="3214">
        <v>180902</v>
      </c>
      <c r="B943" s="380" t="str">
        <f t="shared" si="14"/>
        <v>180-902</v>
      </c>
      <c r="C943" s="3215" t="s">
        <v>12409</v>
      </c>
      <c r="D943" s="3216">
        <v>0.82469999999999999</v>
      </c>
    </row>
    <row r="944" spans="1:4" ht="14.5">
      <c r="A944" s="3214">
        <v>126908</v>
      </c>
      <c r="B944" s="380" t="str">
        <f t="shared" si="14"/>
        <v>126-908</v>
      </c>
      <c r="C944" s="3215" t="s">
        <v>12410</v>
      </c>
      <c r="D944" s="3216">
        <v>0.80459999999999998</v>
      </c>
    </row>
    <row r="945" spans="1:4" ht="14.5">
      <c r="A945" s="3214">
        <v>226908</v>
      </c>
      <c r="B945" s="380" t="str">
        <f t="shared" si="14"/>
        <v>226-908</v>
      </c>
      <c r="C945" s="3215" t="s">
        <v>12411</v>
      </c>
      <c r="D945" s="3216">
        <v>0.80459999999999998</v>
      </c>
    </row>
    <row r="946" spans="1:4" ht="14.5">
      <c r="A946" s="3214">
        <v>244903</v>
      </c>
      <c r="B946" s="380" t="str">
        <f t="shared" si="14"/>
        <v>244-903</v>
      </c>
      <c r="C946" s="3215" t="s">
        <v>12412</v>
      </c>
      <c r="D946" s="3216">
        <v>0.87680000000000002</v>
      </c>
    </row>
    <row r="947" spans="1:4" ht="14.5">
      <c r="A947" s="3214">
        <v>235902</v>
      </c>
      <c r="B947" s="380" t="str">
        <f t="shared" si="14"/>
        <v>235-902</v>
      </c>
      <c r="C947" s="3215" t="s">
        <v>12413</v>
      </c>
      <c r="D947" s="3216">
        <v>0.83020000000000005</v>
      </c>
    </row>
    <row r="948" spans="1:4" ht="14.5">
      <c r="A948" s="3214">
        <v>181907</v>
      </c>
      <c r="B948" s="380" t="str">
        <f t="shared" si="14"/>
        <v>181-907</v>
      </c>
      <c r="C948" s="3215" t="s">
        <v>12414</v>
      </c>
      <c r="D948" s="3216">
        <v>0.82989999999999997</v>
      </c>
    </row>
    <row r="949" spans="1:4" ht="14.5">
      <c r="A949" s="3214">
        <v>143904</v>
      </c>
      <c r="B949" s="380" t="str">
        <f t="shared" si="14"/>
        <v>143-904</v>
      </c>
      <c r="C949" s="3215" t="s">
        <v>12415</v>
      </c>
      <c r="D949" s="3216">
        <v>0.80459999999999998</v>
      </c>
    </row>
    <row r="950" spans="1:4" ht="14.5">
      <c r="A950" s="3214">
        <v>161914</v>
      </c>
      <c r="B950" s="380" t="str">
        <f t="shared" si="14"/>
        <v>161-914</v>
      </c>
      <c r="C950" s="3215" t="s">
        <v>12416</v>
      </c>
      <c r="D950" s="3216">
        <v>0.80459999999999998</v>
      </c>
    </row>
    <row r="951" spans="1:4" ht="14.5">
      <c r="A951" s="3214">
        <v>89905</v>
      </c>
      <c r="B951" s="380" t="str">
        <f t="shared" si="14"/>
        <v>089-905</v>
      </c>
      <c r="C951" s="3215" t="s">
        <v>12417</v>
      </c>
      <c r="D951" s="3216">
        <v>0.80459999999999998</v>
      </c>
    </row>
    <row r="952" spans="1:4" ht="14.5">
      <c r="A952" s="3214">
        <v>59902</v>
      </c>
      <c r="B952" s="380" t="str">
        <f t="shared" si="14"/>
        <v>059-902</v>
      </c>
      <c r="C952" s="3215" t="s">
        <v>12418</v>
      </c>
      <c r="D952" s="3216">
        <v>0.89410000000000001</v>
      </c>
    </row>
    <row r="953" spans="1:4" ht="14.5">
      <c r="A953" s="3214">
        <v>226906</v>
      </c>
      <c r="B953" s="380" t="str">
        <f t="shared" si="14"/>
        <v>226-906</v>
      </c>
      <c r="C953" s="3215" t="s">
        <v>12419</v>
      </c>
      <c r="D953" s="3216">
        <v>0.80459999999999998</v>
      </c>
    </row>
    <row r="954" spans="1:4" ht="14.5">
      <c r="A954" s="3214">
        <v>237904</v>
      </c>
      <c r="B954" s="380" t="str">
        <f t="shared" si="14"/>
        <v>237-904</v>
      </c>
      <c r="C954" s="3215" t="s">
        <v>12420</v>
      </c>
      <c r="D954" s="3216">
        <v>0.80459999999999998</v>
      </c>
    </row>
    <row r="955" spans="1:4" ht="14.5">
      <c r="A955" s="3214">
        <v>49908</v>
      </c>
      <c r="B955" s="380" t="str">
        <f t="shared" si="14"/>
        <v>049-908</v>
      </c>
      <c r="C955" s="3215" t="s">
        <v>12421</v>
      </c>
      <c r="D955" s="3216">
        <v>0.80459999999999998</v>
      </c>
    </row>
    <row r="956" spans="1:4" ht="14.5">
      <c r="A956" s="3214">
        <v>18905</v>
      </c>
      <c r="B956" s="380" t="str">
        <f t="shared" si="14"/>
        <v>018-905</v>
      </c>
      <c r="C956" s="3215" t="s">
        <v>12422</v>
      </c>
      <c r="D956" s="3216">
        <v>0.80459999999999998</v>
      </c>
    </row>
    <row r="957" spans="1:4" ht="14.5">
      <c r="A957" s="3214">
        <v>229904</v>
      </c>
      <c r="B957" s="380" t="str">
        <f t="shared" si="14"/>
        <v>229-904</v>
      </c>
      <c r="C957" s="3215" t="s">
        <v>12423</v>
      </c>
      <c r="D957" s="3216">
        <v>0.8236</v>
      </c>
    </row>
    <row r="958" spans="1:4" ht="14.5">
      <c r="A958" s="3214">
        <v>102903</v>
      </c>
      <c r="B958" s="380" t="str">
        <f t="shared" si="14"/>
        <v>102-903</v>
      </c>
      <c r="C958" s="3215" t="s">
        <v>12424</v>
      </c>
      <c r="D958" s="3216">
        <v>0.80459999999999998</v>
      </c>
    </row>
    <row r="959" spans="1:4" ht="14.5">
      <c r="A959" s="3214">
        <v>226905</v>
      </c>
      <c r="B959" s="380" t="str">
        <f t="shared" si="14"/>
        <v>226-905</v>
      </c>
      <c r="C959" s="3215" t="s">
        <v>12425</v>
      </c>
      <c r="D959" s="3216">
        <v>0.80459999999999998</v>
      </c>
    </row>
    <row r="960" spans="1:4" ht="14.5">
      <c r="A960" s="3214">
        <v>70912</v>
      </c>
      <c r="B960" s="380" t="str">
        <f t="shared" si="14"/>
        <v>070-912</v>
      </c>
      <c r="C960" s="3215" t="s">
        <v>12426</v>
      </c>
      <c r="D960" s="3216">
        <v>0.80459999999999998</v>
      </c>
    </row>
    <row r="961" spans="1:4" ht="14.5">
      <c r="A961" s="3214">
        <v>184903</v>
      </c>
      <c r="B961" s="380" t="str">
        <f t="shared" si="14"/>
        <v>184-903</v>
      </c>
      <c r="C961" s="3215" t="s">
        <v>12427</v>
      </c>
      <c r="D961" s="3216">
        <v>0.80459999999999998</v>
      </c>
    </row>
    <row r="962" spans="1:4" ht="14.5">
      <c r="A962" s="3214">
        <v>240904</v>
      </c>
      <c r="B962" s="380" t="str">
        <f t="shared" si="14"/>
        <v>240-904</v>
      </c>
      <c r="C962" s="3215" t="s">
        <v>12428</v>
      </c>
      <c r="D962" s="3216">
        <v>0.80459999999999998</v>
      </c>
    </row>
    <row r="963" spans="1:4" ht="14.5">
      <c r="A963" s="3214">
        <v>45905</v>
      </c>
      <c r="B963" s="380" t="str">
        <f t="shared" ref="B963:B1014" si="15">CONCATENATE(LEFT(RIGHT(CONCATENATE("000",A963),6),3),"-",(RIGHT(RIGHT(CONCATENATE("000",A963),6),3)))</f>
        <v>045-905</v>
      </c>
      <c r="C963" s="3215" t="s">
        <v>12429</v>
      </c>
      <c r="D963" s="3216">
        <v>0.87080000000000002</v>
      </c>
    </row>
    <row r="964" spans="1:4" ht="14.5">
      <c r="A964" s="3214">
        <v>44902</v>
      </c>
      <c r="B964" s="380" t="str">
        <f t="shared" si="15"/>
        <v>044-902</v>
      </c>
      <c r="C964" s="3215" t="s">
        <v>12430</v>
      </c>
      <c r="D964" s="3216">
        <v>0.89410000000000001</v>
      </c>
    </row>
    <row r="965" spans="1:4" ht="14.5">
      <c r="A965" s="3214">
        <v>223904</v>
      </c>
      <c r="B965" s="380" t="str">
        <f t="shared" si="15"/>
        <v>223-904</v>
      </c>
      <c r="C965" s="3215" t="s">
        <v>12431</v>
      </c>
      <c r="D965" s="3216">
        <v>0.80459999999999998</v>
      </c>
    </row>
    <row r="966" spans="1:4" ht="14.5">
      <c r="A966" s="3214">
        <v>37909</v>
      </c>
      <c r="B966" s="380" t="str">
        <f t="shared" si="15"/>
        <v>037-909</v>
      </c>
      <c r="C966" s="3215" t="s">
        <v>12432</v>
      </c>
      <c r="D966" s="3216">
        <v>0.80459999999999998</v>
      </c>
    </row>
    <row r="967" spans="1:4" ht="14.5">
      <c r="A967" s="3214">
        <v>108913</v>
      </c>
      <c r="B967" s="380" t="str">
        <f t="shared" si="15"/>
        <v>108-913</v>
      </c>
      <c r="C967" s="3215" t="s">
        <v>12433</v>
      </c>
      <c r="D967" s="3216">
        <v>0.80459999999999998</v>
      </c>
    </row>
    <row r="968" spans="1:4" ht="14.5">
      <c r="A968" s="3214">
        <v>100908</v>
      </c>
      <c r="B968" s="380" t="str">
        <f t="shared" si="15"/>
        <v>100-908</v>
      </c>
      <c r="C968" s="3215" t="s">
        <v>12434</v>
      </c>
      <c r="D968" s="3216">
        <v>0.81420000000000003</v>
      </c>
    </row>
    <row r="969" spans="1:4" ht="14.5">
      <c r="A969" s="3214">
        <v>161916</v>
      </c>
      <c r="B969" s="380" t="str">
        <f t="shared" si="15"/>
        <v>161-916</v>
      </c>
      <c r="C969" s="3215" t="s">
        <v>12435</v>
      </c>
      <c r="D969" s="3216">
        <v>0.80459999999999998</v>
      </c>
    </row>
    <row r="970" spans="1:4" ht="14.5">
      <c r="A970" s="3214">
        <v>181906</v>
      </c>
      <c r="B970" s="380" t="str">
        <f t="shared" si="15"/>
        <v>181-906</v>
      </c>
      <c r="C970" s="3215" t="s">
        <v>12436</v>
      </c>
      <c r="D970" s="3216">
        <v>0.83879999999999999</v>
      </c>
    </row>
    <row r="971" spans="1:4" ht="14.5">
      <c r="A971" s="3214">
        <v>178915</v>
      </c>
      <c r="B971" s="380" t="str">
        <f t="shared" si="15"/>
        <v>178-915</v>
      </c>
      <c r="C971" s="3215" t="s">
        <v>12437</v>
      </c>
      <c r="D971" s="3216">
        <v>0.81589999999999996</v>
      </c>
    </row>
    <row r="972" spans="1:4" ht="14.5">
      <c r="A972" s="3214">
        <v>201914</v>
      </c>
      <c r="B972" s="380" t="str">
        <f t="shared" si="15"/>
        <v>201-914</v>
      </c>
      <c r="C972" s="3215" t="s">
        <v>12438</v>
      </c>
      <c r="D972" s="3216">
        <v>0.80459999999999998</v>
      </c>
    </row>
    <row r="973" spans="1:4" ht="14.5">
      <c r="A973" s="3214">
        <v>202905</v>
      </c>
      <c r="B973" s="380" t="str">
        <f t="shared" si="15"/>
        <v>202-905</v>
      </c>
      <c r="C973" s="3215" t="s">
        <v>12439</v>
      </c>
      <c r="D973" s="3216">
        <v>0.85850000000000004</v>
      </c>
    </row>
    <row r="974" spans="1:4" ht="14.5">
      <c r="A974" s="3214">
        <v>168903</v>
      </c>
      <c r="B974" s="380" t="str">
        <f t="shared" si="15"/>
        <v>168-903</v>
      </c>
      <c r="C974" s="3215" t="s">
        <v>12440</v>
      </c>
      <c r="D974" s="3216">
        <v>0.80459999999999998</v>
      </c>
    </row>
    <row r="975" spans="1:4" ht="14.5">
      <c r="A975" s="3214">
        <v>62905</v>
      </c>
      <c r="B975" s="380" t="str">
        <f t="shared" si="15"/>
        <v>062-905</v>
      </c>
      <c r="C975" s="3215" t="s">
        <v>12441</v>
      </c>
      <c r="D975" s="3216">
        <v>0.80459999999999998</v>
      </c>
    </row>
    <row r="976" spans="1:4" ht="14.5">
      <c r="A976" s="3214">
        <v>73904</v>
      </c>
      <c r="B976" s="380" t="str">
        <f t="shared" si="15"/>
        <v>073-904</v>
      </c>
      <c r="C976" s="3215" t="s">
        <v>12442</v>
      </c>
      <c r="D976" s="3216">
        <v>0.8377</v>
      </c>
    </row>
    <row r="977" spans="1:4" ht="14.5">
      <c r="A977" s="3214">
        <v>1908</v>
      </c>
      <c r="B977" s="380" t="str">
        <f t="shared" si="15"/>
        <v>001-908</v>
      </c>
      <c r="C977" s="3215" t="s">
        <v>12443</v>
      </c>
      <c r="D977" s="3216">
        <v>0.81140000000000001</v>
      </c>
    </row>
    <row r="978" spans="1:4" ht="14.5">
      <c r="A978" s="3214">
        <v>241904</v>
      </c>
      <c r="B978" s="380" t="str">
        <f t="shared" si="15"/>
        <v>241-904</v>
      </c>
      <c r="C978" s="3215" t="s">
        <v>12444</v>
      </c>
      <c r="D978" s="3216">
        <v>0.87870000000000004</v>
      </c>
    </row>
    <row r="979" spans="1:4" ht="14.5">
      <c r="A979" s="3214">
        <v>242903</v>
      </c>
      <c r="B979" s="380" t="str">
        <f t="shared" si="15"/>
        <v>242-903</v>
      </c>
      <c r="C979" s="3215" t="s">
        <v>12445</v>
      </c>
      <c r="D979" s="3216">
        <v>0.80459999999999998</v>
      </c>
    </row>
    <row r="980" spans="1:4" ht="14.5">
      <c r="A980" s="3214">
        <v>33904</v>
      </c>
      <c r="B980" s="380" t="str">
        <f t="shared" si="15"/>
        <v>033-904</v>
      </c>
      <c r="C980" s="3215" t="s">
        <v>12446</v>
      </c>
      <c r="D980" s="3216">
        <v>0.84650000000000003</v>
      </c>
    </row>
    <row r="981" spans="1:4" ht="14.5">
      <c r="A981" s="3214">
        <v>92908</v>
      </c>
      <c r="B981" s="380" t="str">
        <f t="shared" si="15"/>
        <v>092-908</v>
      </c>
      <c r="C981" s="3215" t="s">
        <v>12447</v>
      </c>
      <c r="D981" s="3216">
        <v>0.86990000000000001</v>
      </c>
    </row>
    <row r="982" spans="1:4" ht="14.5">
      <c r="A982" s="3214">
        <v>220920</v>
      </c>
      <c r="B982" s="380" t="str">
        <f t="shared" si="15"/>
        <v>220-920</v>
      </c>
      <c r="C982" s="3215" t="s">
        <v>12448</v>
      </c>
      <c r="D982" s="3216">
        <v>0.80740000000000001</v>
      </c>
    </row>
    <row r="983" spans="1:4" ht="14.5">
      <c r="A983" s="3214">
        <v>40902</v>
      </c>
      <c r="B983" s="380" t="str">
        <f t="shared" si="15"/>
        <v>040-902</v>
      </c>
      <c r="C983" s="3215" t="s">
        <v>12449</v>
      </c>
      <c r="D983" s="3216">
        <v>0.80459999999999998</v>
      </c>
    </row>
    <row r="984" spans="1:4" ht="14.5">
      <c r="A984" s="3214">
        <v>212906</v>
      </c>
      <c r="B984" s="380" t="str">
        <f t="shared" si="15"/>
        <v>212-906</v>
      </c>
      <c r="C984" s="3215" t="s">
        <v>12450</v>
      </c>
      <c r="D984" s="3216">
        <v>0.80459999999999998</v>
      </c>
    </row>
    <row r="985" spans="1:4" ht="14.5">
      <c r="A985" s="3214">
        <v>91909</v>
      </c>
      <c r="B985" s="380" t="str">
        <f t="shared" si="15"/>
        <v>091-909</v>
      </c>
      <c r="C985" s="3215" t="s">
        <v>12451</v>
      </c>
      <c r="D985" s="3216">
        <v>0.80459999999999998</v>
      </c>
    </row>
    <row r="986" spans="1:4" ht="14.5">
      <c r="A986" s="3214">
        <v>91910</v>
      </c>
      <c r="B986" s="380" t="str">
        <f t="shared" si="15"/>
        <v>091-910</v>
      </c>
      <c r="C986" s="3215" t="s">
        <v>12452</v>
      </c>
      <c r="D986" s="3216">
        <v>0.80459999999999998</v>
      </c>
    </row>
    <row r="987" spans="1:4" ht="14.5">
      <c r="A987" s="3214">
        <v>110908</v>
      </c>
      <c r="B987" s="380" t="str">
        <f t="shared" si="15"/>
        <v>110-908</v>
      </c>
      <c r="C987" s="3215" t="s">
        <v>12453</v>
      </c>
      <c r="D987" s="3216">
        <v>0.80459999999999998</v>
      </c>
    </row>
    <row r="988" spans="1:4" ht="14.5">
      <c r="A988" s="3214">
        <v>109911</v>
      </c>
      <c r="B988" s="380" t="str">
        <f t="shared" si="15"/>
        <v>109-911</v>
      </c>
      <c r="C988" s="3215" t="s">
        <v>12454</v>
      </c>
      <c r="D988" s="3216">
        <v>0.80459999999999998</v>
      </c>
    </row>
    <row r="989" spans="1:4" ht="14.5">
      <c r="A989" s="3214">
        <v>243905</v>
      </c>
      <c r="B989" s="380" t="str">
        <f t="shared" si="15"/>
        <v>243-905</v>
      </c>
      <c r="C989" s="3215" t="s">
        <v>12455</v>
      </c>
      <c r="D989" s="3216">
        <v>0.82150000000000001</v>
      </c>
    </row>
    <row r="990" spans="1:4" ht="14.5">
      <c r="A990" s="3214">
        <v>180904</v>
      </c>
      <c r="B990" s="380" t="str">
        <f t="shared" si="15"/>
        <v>180-904</v>
      </c>
      <c r="C990" s="3215" t="s">
        <v>12456</v>
      </c>
      <c r="D990" s="3216">
        <v>0.89410000000000001</v>
      </c>
    </row>
    <row r="991" spans="1:4" ht="14.5">
      <c r="A991" s="3214">
        <v>170904</v>
      </c>
      <c r="B991" s="380" t="str">
        <f t="shared" si="15"/>
        <v>170-904</v>
      </c>
      <c r="C991" s="3215" t="s">
        <v>12457</v>
      </c>
      <c r="D991" s="3216">
        <v>0.80459999999999998</v>
      </c>
    </row>
    <row r="992" spans="1:4" ht="14.5">
      <c r="A992" s="3214">
        <v>234907</v>
      </c>
      <c r="B992" s="380" t="str">
        <f t="shared" si="15"/>
        <v>234-907</v>
      </c>
      <c r="C992" s="3215" t="s">
        <v>12458</v>
      </c>
      <c r="D992" s="3216">
        <v>0.80459999999999998</v>
      </c>
    </row>
    <row r="993" spans="1:4" ht="14.5">
      <c r="A993" s="3214">
        <v>153907</v>
      </c>
      <c r="B993" s="380" t="str">
        <f t="shared" si="15"/>
        <v>153-907</v>
      </c>
      <c r="C993" s="3215" t="s">
        <v>12459</v>
      </c>
      <c r="D993" s="3216">
        <v>0.80459999999999998</v>
      </c>
    </row>
    <row r="994" spans="1:4" ht="14.5">
      <c r="A994" s="3214">
        <v>105905</v>
      </c>
      <c r="B994" s="380" t="str">
        <f t="shared" si="15"/>
        <v>105-905</v>
      </c>
      <c r="C994" s="3215" t="s">
        <v>12460</v>
      </c>
      <c r="D994" s="3216">
        <v>0.80459999999999998</v>
      </c>
    </row>
    <row r="995" spans="1:4" ht="14.5">
      <c r="A995" s="3214">
        <v>5904</v>
      </c>
      <c r="B995" s="380" t="str">
        <f t="shared" si="15"/>
        <v>005-904</v>
      </c>
      <c r="C995" s="3215" t="s">
        <v>12461</v>
      </c>
      <c r="D995" s="3216">
        <v>0.89410000000000001</v>
      </c>
    </row>
    <row r="996" spans="1:4" ht="14.5">
      <c r="A996" s="3214">
        <v>248902</v>
      </c>
      <c r="B996" s="380" t="str">
        <f t="shared" si="15"/>
        <v>248-902</v>
      </c>
      <c r="C996" s="3215" t="s">
        <v>12462</v>
      </c>
      <c r="D996" s="3216">
        <v>0.80459999999999998</v>
      </c>
    </row>
    <row r="997" spans="1:4" ht="14.5">
      <c r="A997" s="3214">
        <v>250907</v>
      </c>
      <c r="B997" s="380" t="str">
        <f t="shared" si="15"/>
        <v>250-907</v>
      </c>
      <c r="C997" s="3215" t="s">
        <v>12463</v>
      </c>
      <c r="D997" s="3216">
        <v>0.80459999999999998</v>
      </c>
    </row>
    <row r="998" spans="1:4" ht="14.5">
      <c r="A998" s="3214">
        <v>212910</v>
      </c>
      <c r="B998" s="380" t="str">
        <f t="shared" si="15"/>
        <v>212-910</v>
      </c>
      <c r="C998" s="3215" t="s">
        <v>12464</v>
      </c>
      <c r="D998" s="3216">
        <v>0.80459999999999998</v>
      </c>
    </row>
    <row r="999" spans="1:4" ht="14.5">
      <c r="A999" s="3214">
        <v>200904</v>
      </c>
      <c r="B999" s="380" t="str">
        <f t="shared" si="15"/>
        <v>200-904</v>
      </c>
      <c r="C999" s="3215" t="s">
        <v>12465</v>
      </c>
      <c r="D999" s="3216">
        <v>0.89410000000000001</v>
      </c>
    </row>
    <row r="1000" spans="1:4" ht="14.5">
      <c r="A1000" s="3214">
        <v>174906</v>
      </c>
      <c r="B1000" s="380" t="str">
        <f t="shared" si="15"/>
        <v>174-906</v>
      </c>
      <c r="C1000" s="3215" t="s">
        <v>12466</v>
      </c>
      <c r="D1000" s="3216">
        <v>0.80459999999999998</v>
      </c>
    </row>
    <row r="1001" spans="1:4" ht="14.5">
      <c r="A1001" s="3214">
        <v>116909</v>
      </c>
      <c r="B1001" s="380" t="str">
        <f t="shared" si="15"/>
        <v>116-909</v>
      </c>
      <c r="C1001" s="3215" t="s">
        <v>12467</v>
      </c>
      <c r="D1001" s="3216">
        <v>0.80459999999999998</v>
      </c>
    </row>
    <row r="1002" spans="1:4" ht="14.5">
      <c r="A1002" s="3214">
        <v>196902</v>
      </c>
      <c r="B1002" s="380" t="str">
        <f t="shared" si="15"/>
        <v>196-902</v>
      </c>
      <c r="C1002" s="3215" t="s">
        <v>12468</v>
      </c>
      <c r="D1002" s="3216">
        <v>0.80459999999999998</v>
      </c>
    </row>
    <row r="1003" spans="1:4" ht="14.5">
      <c r="A1003" s="3214">
        <v>224902</v>
      </c>
      <c r="B1003" s="380" t="str">
        <f t="shared" si="15"/>
        <v>224-902</v>
      </c>
      <c r="C1003" s="3215" t="s">
        <v>12469</v>
      </c>
      <c r="D1003" s="3216">
        <v>0.84589999999999999</v>
      </c>
    </row>
    <row r="1004" spans="1:4" ht="14.5">
      <c r="A1004" s="3214">
        <v>229903</v>
      </c>
      <c r="B1004" s="380" t="str">
        <f t="shared" si="15"/>
        <v>229-903</v>
      </c>
      <c r="C1004" s="3215" t="s">
        <v>12470</v>
      </c>
      <c r="D1004" s="3216">
        <v>0.80459999999999998</v>
      </c>
    </row>
    <row r="1005" spans="1:4" ht="14.5">
      <c r="A1005" s="3214">
        <v>81905</v>
      </c>
      <c r="B1005" s="380" t="str">
        <f t="shared" si="15"/>
        <v>081-905</v>
      </c>
      <c r="C1005" s="3215" t="s">
        <v>12471</v>
      </c>
      <c r="D1005" s="3216">
        <v>0.80459999999999998</v>
      </c>
    </row>
    <row r="1006" spans="1:4" ht="14.5">
      <c r="A1006" s="3214">
        <v>221912</v>
      </c>
      <c r="B1006" s="380" t="str">
        <f t="shared" si="15"/>
        <v>221-912</v>
      </c>
      <c r="C1006" s="3215" t="s">
        <v>12472</v>
      </c>
      <c r="D1006" s="3216">
        <v>0.81120000000000003</v>
      </c>
    </row>
    <row r="1007" spans="1:4" ht="14.5">
      <c r="A1007" s="3214">
        <v>43914</v>
      </c>
      <c r="B1007" s="380" t="str">
        <f t="shared" si="15"/>
        <v>043-914</v>
      </c>
      <c r="C1007" s="3215" t="s">
        <v>12472</v>
      </c>
      <c r="D1007" s="3216">
        <v>0.80459999999999998</v>
      </c>
    </row>
    <row r="1008" spans="1:4" ht="14.5">
      <c r="A1008" s="3214">
        <v>250905</v>
      </c>
      <c r="B1008" s="380" t="str">
        <f t="shared" si="15"/>
        <v>250-905</v>
      </c>
      <c r="C1008" s="3215" t="s">
        <v>12473</v>
      </c>
      <c r="D1008" s="3216">
        <v>0.80459999999999998</v>
      </c>
    </row>
    <row r="1009" spans="1:4" ht="14.5">
      <c r="A1009" s="3214">
        <v>62903</v>
      </c>
      <c r="B1009" s="380" t="str">
        <f t="shared" si="15"/>
        <v>062-903</v>
      </c>
      <c r="C1009" s="3215" t="s">
        <v>12474</v>
      </c>
      <c r="D1009" s="3216">
        <v>0.80459999999999998</v>
      </c>
    </row>
    <row r="1010" spans="1:4" ht="14.5">
      <c r="A1010" s="3214">
        <v>62904</v>
      </c>
      <c r="B1010" s="380" t="str">
        <f t="shared" si="15"/>
        <v>062-904</v>
      </c>
      <c r="C1010" s="3215" t="s">
        <v>12475</v>
      </c>
      <c r="D1010" s="3216">
        <v>0.80459999999999998</v>
      </c>
    </row>
    <row r="1011" spans="1:4" ht="14.5">
      <c r="A1011" s="3214">
        <v>71905</v>
      </c>
      <c r="B1011" s="380" t="str">
        <f t="shared" si="15"/>
        <v>071-905</v>
      </c>
      <c r="C1011" s="3215" t="s">
        <v>12476</v>
      </c>
      <c r="D1011" s="3216">
        <v>0.84560000000000002</v>
      </c>
    </row>
    <row r="1012" spans="1:4" ht="14.5">
      <c r="A1012" s="3214">
        <v>253901</v>
      </c>
      <c r="B1012" s="380" t="str">
        <f t="shared" si="15"/>
        <v>253-901</v>
      </c>
      <c r="C1012" s="3215" t="s">
        <v>12477</v>
      </c>
      <c r="D1012" s="3216">
        <v>0.80459999999999998</v>
      </c>
    </row>
    <row r="1013" spans="1:4" ht="14.5">
      <c r="A1013" s="3214">
        <v>3906</v>
      </c>
      <c r="B1013" s="380" t="str">
        <f t="shared" si="15"/>
        <v>003-906</v>
      </c>
      <c r="C1013" s="3215" t="s">
        <v>12478</v>
      </c>
      <c r="D1013" s="3216">
        <v>0.80459999999999998</v>
      </c>
    </row>
    <row r="1014" spans="1:4" ht="14.5">
      <c r="A1014" s="3214">
        <v>25906</v>
      </c>
      <c r="B1014" s="380" t="str">
        <f t="shared" si="15"/>
        <v>025-906</v>
      </c>
      <c r="C1014" s="3215" t="s">
        <v>12479</v>
      </c>
      <c r="D1014" s="3216">
        <v>0.80459999999999998</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66FF33"/>
  </sheetPr>
  <dimension ref="A1:C100"/>
  <sheetViews>
    <sheetView workbookViewId="0">
      <selection activeCell="C100" sqref="C100"/>
    </sheetView>
  </sheetViews>
  <sheetFormatPr defaultRowHeight="12.5"/>
  <cols>
    <col min="1" max="1" width="32.453125" style="2042" customWidth="1"/>
    <col min="2" max="2" width="12.54296875" style="41" customWidth="1"/>
    <col min="3" max="3" width="19" style="105" customWidth="1"/>
  </cols>
  <sheetData>
    <row r="1" spans="1:3" ht="14.5">
      <c r="A1" s="3226"/>
      <c r="C1" s="105" t="s">
        <v>12491</v>
      </c>
    </row>
    <row r="2" spans="1:3" ht="14.5">
      <c r="A2" s="41" t="s">
        <v>5782</v>
      </c>
      <c r="B2" s="2113" t="str">
        <f>CONCATENATE(LEFT(RIGHT(CONCATENATE("000",A2),6),3),"-",(RIGHT(RIGHT(CONCATENATE("000",A2),6),3)))</f>
        <v>058-906</v>
      </c>
      <c r="C2" s="105">
        <v>11851.980800000003</v>
      </c>
    </row>
    <row r="3" spans="1:3" ht="14.5">
      <c r="A3" s="41" t="s">
        <v>5032</v>
      </c>
      <c r="B3" s="2113" t="str">
        <f t="shared" ref="B3:B66" si="0">CONCATENATE(LEFT(RIGHT(CONCATENATE("000",A3),6),3),"-",(RIGHT(RIGHT(CONCATENATE("000",A3),6),3)))</f>
        <v>084-906</v>
      </c>
      <c r="C3" s="105">
        <v>11851.980800000003</v>
      </c>
    </row>
    <row r="4" spans="1:3" ht="14.5">
      <c r="A4" s="41" t="s">
        <v>5169</v>
      </c>
      <c r="B4" s="2113" t="str">
        <f t="shared" si="0"/>
        <v>158-902</v>
      </c>
      <c r="C4" s="105">
        <v>11851.980800000003</v>
      </c>
    </row>
    <row r="5" spans="1:3" ht="14.5">
      <c r="A5" s="41" t="s">
        <v>7923</v>
      </c>
      <c r="B5" s="2113" t="str">
        <f t="shared" si="0"/>
        <v>015-801</v>
      </c>
      <c r="C5" s="105">
        <v>11851.980800000001</v>
      </c>
    </row>
    <row r="6" spans="1:3" ht="14.5">
      <c r="A6" s="41" t="s">
        <v>7926</v>
      </c>
      <c r="B6" s="2113" t="str">
        <f t="shared" si="0"/>
        <v>015-806</v>
      </c>
      <c r="C6" s="105">
        <v>11851.980800000001</v>
      </c>
    </row>
    <row r="7" spans="1:3" ht="14.5">
      <c r="A7" s="41" t="s">
        <v>7928</v>
      </c>
      <c r="B7" s="2113" t="str">
        <f t="shared" si="0"/>
        <v>015-808</v>
      </c>
      <c r="C7" s="105">
        <v>11851.980800000001</v>
      </c>
    </row>
    <row r="8" spans="1:3" ht="14.5">
      <c r="A8" s="41" t="s">
        <v>4958</v>
      </c>
      <c r="B8" s="2113" t="str">
        <f t="shared" si="0"/>
        <v>033-902</v>
      </c>
      <c r="C8" s="105">
        <v>11851.980800000001</v>
      </c>
    </row>
    <row r="9" spans="1:3" ht="14.5">
      <c r="A9" s="41" t="s">
        <v>4983</v>
      </c>
      <c r="B9" s="2113" t="str">
        <f t="shared" si="0"/>
        <v>052-901</v>
      </c>
      <c r="C9" s="105">
        <v>11851.980800000001</v>
      </c>
    </row>
    <row r="10" spans="1:3" ht="14.5">
      <c r="A10" s="41" t="s">
        <v>2970</v>
      </c>
      <c r="B10" s="2113" t="str">
        <f t="shared" si="0"/>
        <v>064-903</v>
      </c>
      <c r="C10" s="105">
        <v>11851.980800000001</v>
      </c>
    </row>
    <row r="11" spans="1:3" ht="14.5">
      <c r="A11" s="41" t="s">
        <v>5840</v>
      </c>
      <c r="B11" s="2113" t="str">
        <f t="shared" si="0"/>
        <v>143-903</v>
      </c>
      <c r="C11" s="105">
        <v>11851.980800000001</v>
      </c>
    </row>
    <row r="12" spans="1:3" ht="14.5">
      <c r="A12" s="41" t="s">
        <v>5175</v>
      </c>
      <c r="B12" s="2113" t="str">
        <f t="shared" si="0"/>
        <v>165-902</v>
      </c>
      <c r="C12" s="105">
        <v>11851.980800000001</v>
      </c>
    </row>
    <row r="13" spans="1:3" ht="14.5">
      <c r="A13" s="41" t="s">
        <v>5222</v>
      </c>
      <c r="B13" s="2113" t="str">
        <f t="shared" si="0"/>
        <v>186-902</v>
      </c>
      <c r="C13" s="105">
        <v>11851.980800000001</v>
      </c>
    </row>
    <row r="14" spans="1:3" ht="14.5">
      <c r="A14" s="41" t="s">
        <v>5869</v>
      </c>
      <c r="B14" s="2113" t="str">
        <f t="shared" si="0"/>
        <v>198-906</v>
      </c>
      <c r="C14" s="105">
        <v>11851.980800000001</v>
      </c>
    </row>
    <row r="15" spans="1:3" ht="14.5">
      <c r="A15" s="41" t="s">
        <v>8073</v>
      </c>
      <c r="B15" s="2113" t="str">
        <f t="shared" si="0"/>
        <v>213-801</v>
      </c>
      <c r="C15" s="105">
        <v>11851.980800000001</v>
      </c>
    </row>
    <row r="16" spans="1:3" ht="14.5">
      <c r="A16" s="41" t="s">
        <v>3248</v>
      </c>
      <c r="B16" s="2113" t="str">
        <f t="shared" si="0"/>
        <v>237-905</v>
      </c>
      <c r="C16" s="105">
        <v>11851.980800000001</v>
      </c>
    </row>
    <row r="17" spans="1:3" ht="14.5">
      <c r="A17" s="41" t="s">
        <v>5294</v>
      </c>
      <c r="B17" s="2113" t="str">
        <f t="shared" si="0"/>
        <v>238-902</v>
      </c>
      <c r="C17" s="105">
        <v>11851.980800000001</v>
      </c>
    </row>
    <row r="18" spans="1:3" ht="14.5">
      <c r="A18" s="41" t="s">
        <v>3256</v>
      </c>
      <c r="B18" s="2113" t="str">
        <f t="shared" si="0"/>
        <v>245-902</v>
      </c>
      <c r="C18" s="105">
        <v>11851.980800000001</v>
      </c>
    </row>
    <row r="19" spans="1:3" ht="14.5">
      <c r="A19" s="41" t="s">
        <v>5308</v>
      </c>
      <c r="B19" s="2113" t="str">
        <f t="shared" si="0"/>
        <v>248-901</v>
      </c>
      <c r="C19" s="105">
        <v>11851.980800000001</v>
      </c>
    </row>
    <row r="20" spans="1:3" ht="14.5">
      <c r="A20" s="41" t="s">
        <v>8014</v>
      </c>
      <c r="B20" s="2113" t="str">
        <f t="shared" si="0"/>
        <v>101-821</v>
      </c>
      <c r="C20" s="105">
        <v>11842.484848117161</v>
      </c>
    </row>
    <row r="21" spans="1:3" ht="14.5">
      <c r="A21" s="41" t="s">
        <v>2887</v>
      </c>
      <c r="B21" s="2113" t="str">
        <f t="shared" si="0"/>
        <v>016-902</v>
      </c>
      <c r="C21" s="105">
        <v>11823.791236846999</v>
      </c>
    </row>
    <row r="22" spans="1:3" ht="14.5">
      <c r="A22" s="41" t="s">
        <v>3195</v>
      </c>
      <c r="B22" s="2113" t="str">
        <f t="shared" si="0"/>
        <v>205-906</v>
      </c>
      <c r="C22" s="105">
        <v>11764.594217900129</v>
      </c>
    </row>
    <row r="23" spans="1:3" ht="14.5">
      <c r="A23" s="41" t="s">
        <v>4951</v>
      </c>
      <c r="B23" s="2113" t="str">
        <f t="shared" si="0"/>
        <v>026-901</v>
      </c>
      <c r="C23" s="105">
        <v>11761.743365055434</v>
      </c>
    </row>
    <row r="24" spans="1:3" ht="14.5">
      <c r="A24" s="41" t="s">
        <v>5128</v>
      </c>
      <c r="B24" s="2113" t="str">
        <f t="shared" si="0"/>
        <v>130-902</v>
      </c>
      <c r="C24" s="105">
        <v>11652.751755506699</v>
      </c>
    </row>
    <row r="25" spans="1:3" ht="14.5">
      <c r="A25" s="41" t="s">
        <v>2968</v>
      </c>
      <c r="B25" s="2113" t="str">
        <f t="shared" si="0"/>
        <v>062-901</v>
      </c>
      <c r="C25" s="105">
        <v>11650.484709960425</v>
      </c>
    </row>
    <row r="26" spans="1:3" ht="14.5">
      <c r="A26" s="41" t="s">
        <v>4947</v>
      </c>
      <c r="B26" s="2113" t="str">
        <f t="shared" si="0"/>
        <v>022-901</v>
      </c>
      <c r="C26" s="105">
        <v>11641.99536447014</v>
      </c>
    </row>
    <row r="27" spans="1:3" ht="14.5">
      <c r="A27" s="41" t="s">
        <v>5750</v>
      </c>
      <c r="B27" s="2113" t="str">
        <f t="shared" si="0"/>
        <v>007-902</v>
      </c>
      <c r="C27" s="105">
        <v>11634.361037622446</v>
      </c>
    </row>
    <row r="28" spans="1:3" ht="14.5">
      <c r="A28" s="41" t="s">
        <v>5113</v>
      </c>
      <c r="B28" s="2113" t="str">
        <f t="shared" si="0"/>
        <v>120-905</v>
      </c>
      <c r="C28" s="105">
        <v>11560.550324516682</v>
      </c>
    </row>
    <row r="29" spans="1:3" ht="14.5">
      <c r="A29" s="41" t="s">
        <v>5246</v>
      </c>
      <c r="B29" s="2113" t="str">
        <f t="shared" si="0"/>
        <v>204-901</v>
      </c>
      <c r="C29" s="105">
        <v>11407.215579843029</v>
      </c>
    </row>
    <row r="30" spans="1:3" ht="14.5">
      <c r="A30" s="41" t="s">
        <v>8040</v>
      </c>
      <c r="B30" s="2113" t="str">
        <f t="shared" si="0"/>
        <v>105-801</v>
      </c>
      <c r="C30" s="105">
        <v>11387.821697689127</v>
      </c>
    </row>
    <row r="31" spans="1:3" ht="14.5">
      <c r="A31" s="41" t="s">
        <v>5028</v>
      </c>
      <c r="B31" s="2113" t="str">
        <f t="shared" si="0"/>
        <v>083-903</v>
      </c>
      <c r="C31" s="105">
        <v>11361.197532293592</v>
      </c>
    </row>
    <row r="32" spans="1:3" ht="14.5">
      <c r="A32" s="41" t="s">
        <v>3191</v>
      </c>
      <c r="B32" s="2113" t="str">
        <f t="shared" si="0"/>
        <v>204-904</v>
      </c>
      <c r="C32" s="105">
        <v>11352.885155472162</v>
      </c>
    </row>
    <row r="33" spans="1:3" ht="14.5">
      <c r="A33" s="41" t="s">
        <v>8019</v>
      </c>
      <c r="B33" s="2113" t="str">
        <f t="shared" si="0"/>
        <v>101-842</v>
      </c>
      <c r="C33" s="105">
        <v>11335.228011737647</v>
      </c>
    </row>
    <row r="34" spans="1:3" ht="14.5">
      <c r="A34" s="41" t="s">
        <v>5171</v>
      </c>
      <c r="B34" s="2113" t="str">
        <f t="shared" si="0"/>
        <v>158-905</v>
      </c>
      <c r="C34" s="105">
        <v>11307.725220553966</v>
      </c>
    </row>
    <row r="35" spans="1:3" ht="14.5">
      <c r="A35" s="41" t="s">
        <v>4924</v>
      </c>
      <c r="B35" s="2113" t="str">
        <f t="shared" si="0"/>
        <v>004-901</v>
      </c>
      <c r="C35" s="105">
        <v>11268.364957850958</v>
      </c>
    </row>
    <row r="36" spans="1:3" ht="14.5">
      <c r="A36" s="41" t="s">
        <v>2858</v>
      </c>
      <c r="B36" s="2113" t="str">
        <f t="shared" si="0"/>
        <v>007-905</v>
      </c>
      <c r="C36" s="105">
        <v>11243.557962180264</v>
      </c>
    </row>
    <row r="37" spans="1:3" ht="14.5">
      <c r="A37" s="41" t="s">
        <v>5067</v>
      </c>
      <c r="B37" s="2113" t="str">
        <f t="shared" si="0"/>
        <v>101-908</v>
      </c>
      <c r="C37" s="105">
        <v>11197.857123744257</v>
      </c>
    </row>
    <row r="38" spans="1:3" ht="14.5">
      <c r="A38" s="41" t="s">
        <v>2974</v>
      </c>
      <c r="B38" s="2113" t="str">
        <f t="shared" si="0"/>
        <v>070-905</v>
      </c>
      <c r="C38" s="105">
        <v>11161.837133063533</v>
      </c>
    </row>
    <row r="39" spans="1:3" ht="14.5">
      <c r="A39" s="41" t="s">
        <v>2859</v>
      </c>
      <c r="B39" s="2113" t="str">
        <f t="shared" si="0"/>
        <v>007-906</v>
      </c>
      <c r="C39" s="105">
        <v>11062.65348539769</v>
      </c>
    </row>
    <row r="40" spans="1:3" ht="14.5">
      <c r="A40" s="41" t="s">
        <v>7994</v>
      </c>
      <c r="B40" s="2113" t="str">
        <f t="shared" si="0"/>
        <v>071-804</v>
      </c>
      <c r="C40" s="105">
        <v>11041.38630954988</v>
      </c>
    </row>
    <row r="41" spans="1:3" ht="14.5">
      <c r="A41" s="41" t="s">
        <v>5100</v>
      </c>
      <c r="B41" s="2113" t="str">
        <f t="shared" si="0"/>
        <v>114-902</v>
      </c>
      <c r="C41" s="105">
        <v>11035.300340228971</v>
      </c>
    </row>
    <row r="42" spans="1:3" ht="14.5">
      <c r="A42" s="41" t="s">
        <v>4986</v>
      </c>
      <c r="B42" s="2113" t="str">
        <f t="shared" si="0"/>
        <v>057-903</v>
      </c>
      <c r="C42" s="105">
        <v>11025.403256883545</v>
      </c>
    </row>
    <row r="43" spans="1:3" ht="14.5">
      <c r="A43" s="41" t="s">
        <v>3139</v>
      </c>
      <c r="B43" s="2113" t="str">
        <f t="shared" si="0"/>
        <v>165-901</v>
      </c>
      <c r="C43" s="105">
        <v>10949.330272213394</v>
      </c>
    </row>
    <row r="44" spans="1:3" ht="14.5">
      <c r="A44" s="41" t="s">
        <v>3001</v>
      </c>
      <c r="B44" s="2113" t="str">
        <f t="shared" si="0"/>
        <v>089-901</v>
      </c>
      <c r="C44" s="105">
        <v>10921.360163420155</v>
      </c>
    </row>
    <row r="45" spans="1:3" ht="14.5">
      <c r="A45" s="41" t="s">
        <v>8041</v>
      </c>
      <c r="B45" s="2113" t="str">
        <f t="shared" si="0"/>
        <v>105-802</v>
      </c>
      <c r="C45" s="105">
        <v>10913.984213221704</v>
      </c>
    </row>
    <row r="46" spans="1:3" ht="14.5">
      <c r="A46" s="41" t="s">
        <v>3160</v>
      </c>
      <c r="B46" s="2113" t="str">
        <f t="shared" si="0"/>
        <v>177-901</v>
      </c>
      <c r="C46" s="105">
        <v>10893.695793155308</v>
      </c>
    </row>
    <row r="47" spans="1:3" ht="14.5">
      <c r="A47" s="41" t="s">
        <v>3023</v>
      </c>
      <c r="B47" s="2113" t="str">
        <f t="shared" si="0"/>
        <v>101-910</v>
      </c>
      <c r="C47" s="105">
        <v>10835.312795467458</v>
      </c>
    </row>
    <row r="48" spans="1:3" ht="14.5">
      <c r="A48" s="41" t="s">
        <v>5217</v>
      </c>
      <c r="B48" s="2113" t="str">
        <f t="shared" si="0"/>
        <v>183-902</v>
      </c>
      <c r="C48" s="105">
        <v>10769.364490533681</v>
      </c>
    </row>
    <row r="49" spans="1:3" ht="14.5">
      <c r="A49" s="41" t="s">
        <v>2942</v>
      </c>
      <c r="B49" s="2113" t="str">
        <f t="shared" si="0"/>
        <v>045-902</v>
      </c>
      <c r="C49" s="105">
        <v>10728.232366841414</v>
      </c>
    </row>
    <row r="50" spans="1:3" ht="14.5">
      <c r="A50" s="41" t="s">
        <v>5126</v>
      </c>
      <c r="B50" s="2113" t="str">
        <f t="shared" si="0"/>
        <v>129-906</v>
      </c>
      <c r="C50" s="105">
        <v>10673.639827156803</v>
      </c>
    </row>
    <row r="51" spans="1:3" ht="14.5">
      <c r="A51" s="41" t="s">
        <v>5033</v>
      </c>
      <c r="B51" s="2113" t="str">
        <f t="shared" si="0"/>
        <v>084-908</v>
      </c>
      <c r="C51" s="105">
        <v>10658.023542107543</v>
      </c>
    </row>
    <row r="52" spans="1:3" ht="14.5">
      <c r="A52" s="41" t="s">
        <v>5824</v>
      </c>
      <c r="B52" s="2113" t="str">
        <f t="shared" si="0"/>
        <v>121-902</v>
      </c>
      <c r="C52" s="105">
        <v>10646.679329176799</v>
      </c>
    </row>
    <row r="53" spans="1:3" ht="14.5">
      <c r="A53" s="41" t="s">
        <v>7938</v>
      </c>
      <c r="B53" s="2113" t="str">
        <f t="shared" si="0"/>
        <v>015-833</v>
      </c>
      <c r="C53" s="105">
        <v>10590.840893562101</v>
      </c>
    </row>
    <row r="54" spans="1:3" ht="14.5">
      <c r="A54" s="41" t="s">
        <v>5318</v>
      </c>
      <c r="B54" s="2113" t="str">
        <f t="shared" si="0"/>
        <v>251-901</v>
      </c>
      <c r="C54" s="105">
        <v>10581.90420199469</v>
      </c>
    </row>
    <row r="55" spans="1:3" ht="14.5">
      <c r="A55" s="41" t="s">
        <v>8089</v>
      </c>
      <c r="B55" s="2113" t="str">
        <f t="shared" si="0"/>
        <v>227-805</v>
      </c>
      <c r="C55" s="105">
        <v>10480.736391206141</v>
      </c>
    </row>
    <row r="56" spans="1:3" ht="14.5">
      <c r="A56" s="41" t="s">
        <v>8068</v>
      </c>
      <c r="B56" s="2113" t="str">
        <f t="shared" si="0"/>
        <v>183-801</v>
      </c>
      <c r="C56" s="105">
        <v>10454.228418890096</v>
      </c>
    </row>
    <row r="57" spans="1:3" ht="14.5">
      <c r="A57" s="41" t="s">
        <v>4965</v>
      </c>
      <c r="B57" s="2113" t="str">
        <f t="shared" si="0"/>
        <v>036-902</v>
      </c>
      <c r="C57" s="105">
        <v>10453.955020926867</v>
      </c>
    </row>
    <row r="58" spans="1:3" ht="14.5">
      <c r="A58" s="41" t="s">
        <v>3171</v>
      </c>
      <c r="B58" s="2113" t="str">
        <f t="shared" si="0"/>
        <v>184-902</v>
      </c>
      <c r="C58" s="105">
        <v>10417.959343392175</v>
      </c>
    </row>
    <row r="59" spans="1:3" ht="14.5">
      <c r="A59" s="41" t="s">
        <v>5141</v>
      </c>
      <c r="B59" s="2113" t="str">
        <f t="shared" si="0"/>
        <v>144-901</v>
      </c>
      <c r="C59" s="105">
        <v>10367.913134347147</v>
      </c>
    </row>
    <row r="60" spans="1:3" ht="14.5">
      <c r="A60" s="41" t="s">
        <v>2864</v>
      </c>
      <c r="B60" s="2113" t="str">
        <f t="shared" si="0"/>
        <v>011-904</v>
      </c>
      <c r="C60" s="105">
        <v>10367.069823886513</v>
      </c>
    </row>
    <row r="61" spans="1:3" ht="14.5">
      <c r="A61" s="41" t="s">
        <v>3164</v>
      </c>
      <c r="B61" s="2113" t="str">
        <f t="shared" si="0"/>
        <v>178-915</v>
      </c>
      <c r="C61" s="105">
        <v>10346.204696778363</v>
      </c>
    </row>
    <row r="62" spans="1:3" ht="14.5">
      <c r="A62" s="41" t="s">
        <v>2909</v>
      </c>
      <c r="B62" s="2113" t="str">
        <f t="shared" si="0"/>
        <v>027-903</v>
      </c>
      <c r="C62" s="105">
        <v>10325.195668320488</v>
      </c>
    </row>
    <row r="63" spans="1:3" ht="14.5">
      <c r="A63" s="41" t="s">
        <v>5247</v>
      </c>
      <c r="B63" s="2113" t="str">
        <f t="shared" si="0"/>
        <v>205-902</v>
      </c>
      <c r="C63" s="105">
        <v>10313.02007378875</v>
      </c>
    </row>
    <row r="64" spans="1:3" ht="14.5">
      <c r="A64" s="41" t="s">
        <v>5205</v>
      </c>
      <c r="B64" s="2113" t="str">
        <f t="shared" si="0"/>
        <v>178-912</v>
      </c>
      <c r="C64" s="105">
        <v>10265.883153136008</v>
      </c>
    </row>
    <row r="65" spans="1:3" ht="14.5">
      <c r="A65" s="41" t="s">
        <v>2923</v>
      </c>
      <c r="B65" s="2113" t="str">
        <f t="shared" si="0"/>
        <v>036-901</v>
      </c>
      <c r="C65" s="105">
        <v>10264.818044191061</v>
      </c>
    </row>
    <row r="66" spans="1:3" ht="14.5">
      <c r="A66" s="41" t="s">
        <v>2961</v>
      </c>
      <c r="B66" s="2113" t="str">
        <f t="shared" si="0"/>
        <v>061-905</v>
      </c>
      <c r="C66" s="105">
        <v>10198.249288331717</v>
      </c>
    </row>
    <row r="67" spans="1:3" ht="14.5">
      <c r="A67" s="41" t="s">
        <v>5068</v>
      </c>
      <c r="B67" s="2113" t="str">
        <f t="shared" ref="B67:B100" si="1">CONCATENATE(LEFT(RIGHT(CONCATENATE("000",A67),6),3),"-",(RIGHT(RIGHT(CONCATENATE("000",A67),6),3)))</f>
        <v>101-911</v>
      </c>
      <c r="C67" s="105">
        <v>10098.058807650184</v>
      </c>
    </row>
    <row r="68" spans="1:3" ht="14.5">
      <c r="A68" s="41" t="s">
        <v>5083</v>
      </c>
      <c r="B68" s="2113" t="str">
        <f t="shared" si="1"/>
        <v>105-902</v>
      </c>
      <c r="C68" s="105">
        <v>10096.11137871234</v>
      </c>
    </row>
    <row r="69" spans="1:3" ht="14.5">
      <c r="A69" s="41" t="s">
        <v>2984</v>
      </c>
      <c r="B69" s="2113" t="str">
        <f t="shared" si="1"/>
        <v>071-907</v>
      </c>
      <c r="C69" s="105">
        <v>10047.515269824175</v>
      </c>
    </row>
    <row r="70" spans="1:3" ht="14.5">
      <c r="A70" s="41" t="s">
        <v>3192</v>
      </c>
      <c r="B70" s="2113" t="str">
        <f t="shared" si="1"/>
        <v>205-901</v>
      </c>
      <c r="C70" s="105">
        <v>10037.072522082482</v>
      </c>
    </row>
    <row r="71" spans="1:3" ht="14.5">
      <c r="A71" s="41" t="s">
        <v>2953</v>
      </c>
      <c r="B71" s="2113" t="str">
        <f t="shared" si="1"/>
        <v>057-906</v>
      </c>
      <c r="C71" s="105">
        <v>9979.0609285420996</v>
      </c>
    </row>
    <row r="72" spans="1:3" ht="14.5">
      <c r="A72" s="41" t="s">
        <v>5229</v>
      </c>
      <c r="B72" s="2113" t="str">
        <f t="shared" si="1"/>
        <v>188-904</v>
      </c>
      <c r="C72" s="105">
        <v>9883.7876165742728</v>
      </c>
    </row>
    <row r="73" spans="1:3" ht="14.5">
      <c r="A73" s="41" t="s">
        <v>3167</v>
      </c>
      <c r="B73" s="2113" t="str">
        <f t="shared" si="1"/>
        <v>181-907</v>
      </c>
      <c r="C73" s="105">
        <v>9881.9504382745927</v>
      </c>
    </row>
    <row r="74" spans="1:3" ht="14.5">
      <c r="A74" s="41" t="s">
        <v>4953</v>
      </c>
      <c r="B74" s="2113" t="str">
        <f t="shared" si="1"/>
        <v>029-901</v>
      </c>
      <c r="C74" s="105">
        <v>9875.2646472790984</v>
      </c>
    </row>
    <row r="75" spans="1:3" ht="14.5">
      <c r="A75" s="41" t="s">
        <v>3213</v>
      </c>
      <c r="B75" s="2113" t="str">
        <f t="shared" si="1"/>
        <v>220-914</v>
      </c>
      <c r="C75" s="105">
        <v>9843.9980129593005</v>
      </c>
    </row>
    <row r="76" spans="1:3" ht="14.5">
      <c r="A76" s="41" t="s">
        <v>2966</v>
      </c>
      <c r="B76" s="2113" t="str">
        <f t="shared" si="1"/>
        <v>061-912</v>
      </c>
      <c r="C76" s="105">
        <v>9790.1345079147468</v>
      </c>
    </row>
    <row r="77" spans="1:3" ht="14.5">
      <c r="A77" s="41" t="s">
        <v>2932</v>
      </c>
      <c r="B77" s="2113" t="str">
        <f t="shared" si="1"/>
        <v>043-903</v>
      </c>
      <c r="C77" s="105">
        <v>9726.9523977622193</v>
      </c>
    </row>
    <row r="78" spans="1:3" ht="14.5">
      <c r="A78" s="41" t="s">
        <v>3175</v>
      </c>
      <c r="B78" s="2113" t="str">
        <f t="shared" si="1"/>
        <v>184-909</v>
      </c>
      <c r="C78" s="105">
        <v>9448.9714266512838</v>
      </c>
    </row>
    <row r="79" spans="1:3" ht="14.5">
      <c r="A79" s="41" t="s">
        <v>5313</v>
      </c>
      <c r="B79" s="2113" t="str">
        <f t="shared" si="1"/>
        <v>249-905</v>
      </c>
      <c r="C79" s="105">
        <v>9429.040785616422</v>
      </c>
    </row>
    <row r="80" spans="1:3" ht="14.5">
      <c r="A80" s="41" t="s">
        <v>8005</v>
      </c>
      <c r="B80" s="2113" t="str">
        <f t="shared" si="1"/>
        <v>101-803</v>
      </c>
      <c r="C80" s="105">
        <v>9425.3164068984206</v>
      </c>
    </row>
    <row r="81" spans="1:3" ht="14.5">
      <c r="A81" s="727" t="s">
        <v>4921</v>
      </c>
      <c r="B81" s="2113" t="str">
        <f t="shared" si="1"/>
        <v>002-901</v>
      </c>
      <c r="C81" s="105">
        <v>9425.0111853448379</v>
      </c>
    </row>
    <row r="82" spans="1:3" ht="14.5">
      <c r="A82" s="41" t="s">
        <v>4998</v>
      </c>
      <c r="B82" s="2113" t="str">
        <f t="shared" si="1"/>
        <v>061-910</v>
      </c>
      <c r="C82" s="105">
        <v>9414.6391815840398</v>
      </c>
    </row>
    <row r="83" spans="1:3" ht="14.5">
      <c r="A83" s="41" t="s">
        <v>4997</v>
      </c>
      <c r="B83" s="2113" t="str">
        <f t="shared" si="1"/>
        <v>061-901</v>
      </c>
      <c r="C83" s="105">
        <v>9390.3508132363004</v>
      </c>
    </row>
    <row r="84" spans="1:3" ht="14.5">
      <c r="A84" s="41" t="s">
        <v>5250</v>
      </c>
      <c r="B84" s="2113" t="str">
        <f t="shared" si="1"/>
        <v>208-902</v>
      </c>
      <c r="C84" s="105">
        <v>9374.0993128938244</v>
      </c>
    </row>
    <row r="85" spans="1:3" ht="14.5">
      <c r="A85" s="41" t="s">
        <v>2935</v>
      </c>
      <c r="B85" s="2113" t="str">
        <f t="shared" si="1"/>
        <v>043-907</v>
      </c>
      <c r="C85" s="105">
        <v>9276.4516634341162</v>
      </c>
    </row>
    <row r="86" spans="1:3" ht="14.5">
      <c r="A86" s="41" t="s">
        <v>2861</v>
      </c>
      <c r="B86" s="2113" t="str">
        <f t="shared" si="1"/>
        <v>010-902</v>
      </c>
      <c r="C86" s="105">
        <v>9175.9136695649813</v>
      </c>
    </row>
    <row r="87" spans="1:3" ht="14.5">
      <c r="A87" s="41" t="s">
        <v>3209</v>
      </c>
      <c r="B87" s="2113" t="str">
        <f t="shared" si="1"/>
        <v>220-907</v>
      </c>
      <c r="C87" s="105">
        <v>9159.981354031921</v>
      </c>
    </row>
    <row r="88" spans="1:3" ht="14.5">
      <c r="A88" s="41" t="s">
        <v>3174</v>
      </c>
      <c r="B88" s="2113" t="str">
        <f t="shared" si="1"/>
        <v>184-908</v>
      </c>
      <c r="C88" s="105">
        <v>9145.3820576039889</v>
      </c>
    </row>
    <row r="89" spans="1:3" ht="14.5">
      <c r="A89" s="41" t="s">
        <v>5282</v>
      </c>
      <c r="B89" s="2113" t="str">
        <f t="shared" si="1"/>
        <v>227-912</v>
      </c>
      <c r="C89" s="105">
        <v>9130.4215089000372</v>
      </c>
    </row>
    <row r="90" spans="1:3" ht="14.5">
      <c r="A90" s="41" t="s">
        <v>5218</v>
      </c>
      <c r="B90" s="2113" t="str">
        <f t="shared" si="1"/>
        <v>184-907</v>
      </c>
      <c r="C90" s="105">
        <v>9129.8421613641149</v>
      </c>
    </row>
    <row r="91" spans="1:3" ht="14.5">
      <c r="A91" s="41" t="s">
        <v>3215</v>
      </c>
      <c r="B91" s="2113" t="str">
        <f t="shared" si="1"/>
        <v>220-916</v>
      </c>
      <c r="C91" s="105">
        <v>9126.6401373214812</v>
      </c>
    </row>
    <row r="92" spans="1:3" ht="14.5">
      <c r="A92" s="41" t="s">
        <v>7989</v>
      </c>
      <c r="B92" s="2113" t="str">
        <f t="shared" si="1"/>
        <v>068-802</v>
      </c>
      <c r="C92" s="105">
        <v>9078.114741897125</v>
      </c>
    </row>
    <row r="93" spans="1:3" ht="14.5">
      <c r="A93" s="41" t="s">
        <v>3030</v>
      </c>
      <c r="B93" s="2113" t="str">
        <f t="shared" si="1"/>
        <v>105-904</v>
      </c>
      <c r="C93" s="105">
        <v>9052.4646619454288</v>
      </c>
    </row>
    <row r="94" spans="1:3" ht="14.5">
      <c r="A94" s="41" t="s">
        <v>5116</v>
      </c>
      <c r="B94" s="2113" t="str">
        <f t="shared" si="1"/>
        <v>123-908</v>
      </c>
      <c r="C94" s="105">
        <v>9048.2895718614564</v>
      </c>
    </row>
    <row r="95" spans="1:3" ht="14.5">
      <c r="A95" s="41" t="s">
        <v>3076</v>
      </c>
      <c r="B95" s="2113" t="str">
        <f t="shared" si="1"/>
        <v>123-905</v>
      </c>
      <c r="C95" s="105">
        <v>8925.9229369524037</v>
      </c>
    </row>
    <row r="96" spans="1:3" ht="14.5">
      <c r="A96" s="41" t="s">
        <v>2930</v>
      </c>
      <c r="B96" s="2113" t="str">
        <f t="shared" si="1"/>
        <v>043-901</v>
      </c>
      <c r="C96" s="105">
        <v>8891.4538676209158</v>
      </c>
    </row>
    <row r="97" spans="1:3" ht="14.5">
      <c r="A97" s="41" t="s">
        <v>4994</v>
      </c>
      <c r="B97" s="2113" t="str">
        <f t="shared" si="1"/>
        <v>057-922</v>
      </c>
      <c r="C97" s="105">
        <v>8825.5439937267402</v>
      </c>
    </row>
    <row r="98" spans="1:3" ht="14.5">
      <c r="A98" s="41" t="s">
        <v>5267</v>
      </c>
      <c r="B98" s="2113" t="str">
        <f t="shared" si="1"/>
        <v>220-906</v>
      </c>
      <c r="C98" s="105">
        <v>8758.3635849199745</v>
      </c>
    </row>
    <row r="99" spans="1:3" ht="14.5">
      <c r="A99" s="41" t="s">
        <v>2943</v>
      </c>
      <c r="B99" s="2113" t="str">
        <f t="shared" si="1"/>
        <v>046-901</v>
      </c>
      <c r="C99" s="105">
        <v>8482.868276845431</v>
      </c>
    </row>
    <row r="100" spans="1:3" ht="14.5">
      <c r="A100" s="41" t="s">
        <v>5034</v>
      </c>
      <c r="B100" s="2113" t="str">
        <f t="shared" si="1"/>
        <v>084-910</v>
      </c>
      <c r="C100" s="105">
        <v>8240.390631267941</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234"/>
  <sheetViews>
    <sheetView topLeftCell="A562" workbookViewId="0">
      <selection activeCell="C567" sqref="C567"/>
    </sheetView>
  </sheetViews>
  <sheetFormatPr defaultRowHeight="12.5"/>
  <cols>
    <col min="1" max="1" width="12.36328125" customWidth="1"/>
    <col min="3" max="4" width="28.54296875" style="76" customWidth="1"/>
  </cols>
  <sheetData>
    <row r="1" spans="1:4" s="41" customFormat="1">
      <c r="C1" s="1240" t="s">
        <v>5323</v>
      </c>
      <c r="D1" s="1240" t="s">
        <v>12592</v>
      </c>
    </row>
    <row r="2" spans="1:4" s="41" customFormat="1">
      <c r="A2" s="41" t="s">
        <v>3349</v>
      </c>
      <c r="C2" s="1240" t="s">
        <v>12590</v>
      </c>
      <c r="D2" s="1240" t="s">
        <v>12591</v>
      </c>
    </row>
    <row r="3" spans="1:4" ht="14.5">
      <c r="A3" t="s">
        <v>5748</v>
      </c>
      <c r="B3" s="380" t="str">
        <f>CONCATENATE(LEFT(RIGHT(CONCATENATE("000",A3),6),3),"-",(RIGHT(RIGHT(CONCATENATE("000",A3),6),3)))</f>
        <v>001-902</v>
      </c>
      <c r="C3" s="76">
        <v>11228</v>
      </c>
      <c r="D3" s="76">
        <v>11694</v>
      </c>
    </row>
    <row r="4" spans="1:4" ht="14.5">
      <c r="A4" t="s">
        <v>2849</v>
      </c>
      <c r="B4" s="380" t="str">
        <f t="shared" ref="B4:B67" si="0">CONCATENATE(LEFT(RIGHT(CONCATENATE("000",A4),6),3),"-",(RIGHT(RIGHT(CONCATENATE("000",A4),6),3)))</f>
        <v>001-903</v>
      </c>
      <c r="C4" s="76">
        <v>10466</v>
      </c>
      <c r="D4" s="76">
        <v>10022</v>
      </c>
    </row>
    <row r="5" spans="1:4" ht="14.5">
      <c r="A5" t="s">
        <v>4918</v>
      </c>
      <c r="B5" s="380" t="str">
        <f t="shared" si="0"/>
        <v>001-904</v>
      </c>
      <c r="C5" s="76">
        <v>10683</v>
      </c>
      <c r="D5" s="76">
        <v>11165</v>
      </c>
    </row>
    <row r="6" spans="1:4" ht="14.5">
      <c r="A6" t="s">
        <v>4919</v>
      </c>
      <c r="B6" s="380" t="str">
        <f t="shared" si="0"/>
        <v>001-906</v>
      </c>
      <c r="C6" s="76">
        <v>11527</v>
      </c>
      <c r="D6" s="76">
        <v>11342</v>
      </c>
    </row>
    <row r="7" spans="1:4" ht="14.5">
      <c r="A7" t="s">
        <v>2850</v>
      </c>
      <c r="B7" s="380" t="str">
        <f t="shared" si="0"/>
        <v>001-907</v>
      </c>
      <c r="C7" s="76">
        <v>9951</v>
      </c>
      <c r="D7" s="76">
        <v>9876</v>
      </c>
    </row>
    <row r="8" spans="1:4" ht="14.5">
      <c r="A8" t="s">
        <v>5749</v>
      </c>
      <c r="B8" s="380" t="str">
        <f t="shared" si="0"/>
        <v>001-908</v>
      </c>
      <c r="C8" s="76">
        <v>10635</v>
      </c>
      <c r="D8" s="76">
        <v>10254</v>
      </c>
    </row>
    <row r="9" spans="1:4" ht="14.5">
      <c r="A9" t="s">
        <v>4920</v>
      </c>
      <c r="B9" s="380" t="str">
        <f t="shared" si="0"/>
        <v>001-909</v>
      </c>
      <c r="C9" s="76">
        <v>11923</v>
      </c>
      <c r="D9" s="76">
        <v>11849</v>
      </c>
    </row>
    <row r="10" spans="1:4" ht="14.5">
      <c r="A10" t="s">
        <v>4921</v>
      </c>
      <c r="B10" s="380" t="str">
        <f t="shared" si="0"/>
        <v>002-901</v>
      </c>
      <c r="C10" s="76">
        <v>8164</v>
      </c>
      <c r="D10" s="76">
        <v>9425</v>
      </c>
    </row>
    <row r="11" spans="1:4" ht="14.5">
      <c r="A11" t="s">
        <v>7918</v>
      </c>
      <c r="B11" s="380" t="str">
        <f t="shared" si="0"/>
        <v>003-801</v>
      </c>
      <c r="C11" s="76">
        <v>10156</v>
      </c>
      <c r="D11" s="76">
        <v>10071</v>
      </c>
    </row>
    <row r="12" spans="1:4" ht="14.5">
      <c r="A12" t="s">
        <v>2851</v>
      </c>
      <c r="B12" s="380" t="str">
        <f t="shared" si="0"/>
        <v>003-902</v>
      </c>
      <c r="C12" s="76">
        <v>9110</v>
      </c>
      <c r="D12" s="76">
        <v>8988</v>
      </c>
    </row>
    <row r="13" spans="1:4" ht="14.5">
      <c r="A13" t="s">
        <v>4922</v>
      </c>
      <c r="B13" s="380" t="str">
        <f t="shared" si="0"/>
        <v>003-903</v>
      </c>
      <c r="C13" s="76">
        <v>9820</v>
      </c>
      <c r="D13" s="76">
        <v>9505</v>
      </c>
    </row>
    <row r="14" spans="1:4" ht="14.5">
      <c r="A14" t="s">
        <v>2852</v>
      </c>
      <c r="B14" s="380" t="str">
        <f t="shared" si="0"/>
        <v>003-904</v>
      </c>
      <c r="C14" s="76">
        <v>9605</v>
      </c>
      <c r="D14" s="76">
        <v>10613</v>
      </c>
    </row>
    <row r="15" spans="1:4" ht="14.5">
      <c r="A15" t="s">
        <v>2853</v>
      </c>
      <c r="B15" s="380" t="str">
        <f t="shared" si="0"/>
        <v>003-905</v>
      </c>
      <c r="C15" s="76">
        <v>10510</v>
      </c>
      <c r="D15" s="76">
        <v>9961</v>
      </c>
    </row>
    <row r="16" spans="1:4" ht="14.5">
      <c r="A16" t="s">
        <v>4923</v>
      </c>
      <c r="B16" s="380" t="str">
        <f t="shared" si="0"/>
        <v>003-906</v>
      </c>
      <c r="C16" s="76">
        <v>12634</v>
      </c>
      <c r="D16" s="76">
        <v>11849</v>
      </c>
    </row>
    <row r="17" spans="1:4" ht="14.5">
      <c r="A17" t="s">
        <v>2854</v>
      </c>
      <c r="B17" s="380" t="str">
        <f t="shared" si="0"/>
        <v>003-907</v>
      </c>
      <c r="C17" s="76">
        <v>10138</v>
      </c>
      <c r="D17" s="76">
        <v>9807</v>
      </c>
    </row>
    <row r="18" spans="1:4" ht="14.5">
      <c r="A18" t="s">
        <v>4924</v>
      </c>
      <c r="B18" s="380" t="str">
        <f t="shared" si="0"/>
        <v>004-901</v>
      </c>
      <c r="C18" s="76">
        <v>10615</v>
      </c>
      <c r="D18" s="76">
        <v>11268</v>
      </c>
    </row>
    <row r="19" spans="1:4" ht="14.5">
      <c r="A19" t="s">
        <v>4925</v>
      </c>
      <c r="B19" s="380" t="str">
        <f t="shared" si="0"/>
        <v>005-901</v>
      </c>
      <c r="C19" s="76">
        <v>12789</v>
      </c>
      <c r="D19" s="76">
        <v>11849</v>
      </c>
    </row>
    <row r="20" spans="1:4" ht="14.5">
      <c r="A20" t="s">
        <v>4926</v>
      </c>
      <c r="B20" s="380" t="str">
        <f t="shared" si="0"/>
        <v>005-902</v>
      </c>
      <c r="C20" s="76">
        <v>10347</v>
      </c>
      <c r="D20" s="76">
        <v>10749</v>
      </c>
    </row>
    <row r="21" spans="1:4" ht="14.5">
      <c r="A21" t="s">
        <v>2855</v>
      </c>
      <c r="B21" s="380" t="str">
        <f t="shared" si="0"/>
        <v>005-904</v>
      </c>
      <c r="C21" s="76">
        <v>11577</v>
      </c>
      <c r="D21" s="76">
        <v>11704</v>
      </c>
    </row>
    <row r="22" spans="1:4" ht="14.5">
      <c r="A22" t="s">
        <v>4927</v>
      </c>
      <c r="B22" s="380" t="str">
        <f t="shared" si="0"/>
        <v>006-902</v>
      </c>
      <c r="C22" s="76">
        <v>11310</v>
      </c>
      <c r="D22" s="76">
        <v>11849</v>
      </c>
    </row>
    <row r="23" spans="1:4" ht="14.5">
      <c r="A23" t="s">
        <v>2856</v>
      </c>
      <c r="B23" s="380" t="str">
        <f t="shared" si="0"/>
        <v>007-901</v>
      </c>
      <c r="C23" s="76">
        <v>10375</v>
      </c>
      <c r="D23" s="76">
        <v>11849</v>
      </c>
    </row>
    <row r="24" spans="1:4" ht="14.5">
      <c r="A24" t="s">
        <v>5750</v>
      </c>
      <c r="B24" s="380" t="str">
        <f t="shared" si="0"/>
        <v>007-902</v>
      </c>
      <c r="C24" s="76">
        <v>7932</v>
      </c>
      <c r="D24" s="76">
        <v>11634</v>
      </c>
    </row>
    <row r="25" spans="1:4" ht="14.5">
      <c r="A25" t="s">
        <v>2857</v>
      </c>
      <c r="B25" s="380" t="str">
        <f t="shared" si="0"/>
        <v>007-904</v>
      </c>
      <c r="C25" s="76">
        <v>9589</v>
      </c>
      <c r="D25" s="76">
        <v>9975</v>
      </c>
    </row>
    <row r="26" spans="1:4" ht="14.5">
      <c r="A26" t="s">
        <v>2858</v>
      </c>
      <c r="B26" s="380" t="str">
        <f t="shared" si="0"/>
        <v>007-905</v>
      </c>
      <c r="C26" s="76">
        <v>9126</v>
      </c>
      <c r="D26" s="76">
        <v>11244</v>
      </c>
    </row>
    <row r="27" spans="1:4" ht="14.5">
      <c r="A27" t="s">
        <v>2859</v>
      </c>
      <c r="B27" s="380" t="str">
        <f t="shared" si="0"/>
        <v>007-906</v>
      </c>
      <c r="C27" s="76">
        <v>9709</v>
      </c>
      <c r="D27" s="76">
        <v>11064</v>
      </c>
    </row>
    <row r="28" spans="1:4" ht="14.5">
      <c r="A28" t="s">
        <v>4928</v>
      </c>
      <c r="B28" s="380" t="str">
        <f t="shared" si="0"/>
        <v>008-901</v>
      </c>
      <c r="C28" s="76">
        <v>10222</v>
      </c>
      <c r="D28" s="76">
        <v>10003</v>
      </c>
    </row>
    <row r="29" spans="1:4" ht="14.5">
      <c r="A29" t="s">
        <v>4929</v>
      </c>
      <c r="B29" s="380" t="str">
        <f t="shared" si="0"/>
        <v>008-902</v>
      </c>
      <c r="C29" s="76">
        <v>8981</v>
      </c>
      <c r="D29" s="76">
        <v>8779</v>
      </c>
    </row>
    <row r="30" spans="1:4" ht="14.5">
      <c r="A30" t="s">
        <v>4930</v>
      </c>
      <c r="B30" s="380" t="str">
        <f t="shared" si="0"/>
        <v>008-903</v>
      </c>
      <c r="C30" s="76">
        <v>11497</v>
      </c>
      <c r="D30" s="76">
        <v>11849</v>
      </c>
    </row>
    <row r="31" spans="1:4" ht="14.5">
      <c r="A31" t="s">
        <v>2860</v>
      </c>
      <c r="B31" s="380" t="str">
        <f t="shared" si="0"/>
        <v>009-901</v>
      </c>
      <c r="C31" s="76">
        <v>11737</v>
      </c>
      <c r="D31" s="76">
        <v>11665</v>
      </c>
    </row>
    <row r="32" spans="1:4" ht="14.5">
      <c r="A32" t="s">
        <v>5751</v>
      </c>
      <c r="B32" s="380" t="str">
        <f t="shared" si="0"/>
        <v>010-901</v>
      </c>
      <c r="C32" s="76">
        <v>12784</v>
      </c>
      <c r="D32" s="76">
        <v>11849</v>
      </c>
    </row>
    <row r="33" spans="1:4" ht="14.5">
      <c r="A33" t="s">
        <v>2861</v>
      </c>
      <c r="B33" s="380" t="str">
        <f t="shared" si="0"/>
        <v>010-902</v>
      </c>
      <c r="C33" s="76">
        <v>9401</v>
      </c>
      <c r="D33" s="76">
        <v>9176</v>
      </c>
    </row>
    <row r="34" spans="1:4" ht="14.5">
      <c r="A34" t="s">
        <v>2862</v>
      </c>
      <c r="B34" s="380" t="str">
        <f t="shared" si="0"/>
        <v>011-901</v>
      </c>
      <c r="C34" s="76">
        <v>8965</v>
      </c>
      <c r="D34" s="76">
        <v>8779</v>
      </c>
    </row>
    <row r="35" spans="1:4" ht="14.5">
      <c r="A35" t="s">
        <v>2863</v>
      </c>
      <c r="B35" s="380" t="str">
        <f t="shared" si="0"/>
        <v>011-902</v>
      </c>
      <c r="C35" s="76">
        <v>10075</v>
      </c>
      <c r="D35" s="76">
        <v>9995</v>
      </c>
    </row>
    <row r="36" spans="1:4" ht="14.5">
      <c r="A36" t="s">
        <v>2864</v>
      </c>
      <c r="B36" s="380" t="str">
        <f t="shared" si="0"/>
        <v>011-904</v>
      </c>
      <c r="C36" s="76">
        <v>10279</v>
      </c>
      <c r="D36" s="76">
        <v>10367</v>
      </c>
    </row>
    <row r="37" spans="1:4" ht="14.5">
      <c r="A37" t="s">
        <v>2865</v>
      </c>
      <c r="B37" s="380" t="str">
        <f t="shared" si="0"/>
        <v>011-905</v>
      </c>
      <c r="C37" s="76">
        <v>11264</v>
      </c>
      <c r="D37" s="76">
        <v>11301</v>
      </c>
    </row>
    <row r="38" spans="1:4" ht="14.5">
      <c r="A38" t="s">
        <v>5752</v>
      </c>
      <c r="B38" s="380" t="str">
        <f t="shared" si="0"/>
        <v>012-901</v>
      </c>
      <c r="C38" s="76">
        <v>12369</v>
      </c>
      <c r="D38" s="76">
        <v>11849</v>
      </c>
    </row>
    <row r="39" spans="1:4" ht="14.5">
      <c r="A39" t="s">
        <v>7919</v>
      </c>
      <c r="B39" s="380" t="str">
        <f t="shared" si="0"/>
        <v>013-801</v>
      </c>
      <c r="C39" s="76">
        <v>10192</v>
      </c>
      <c r="D39" s="76">
        <v>10159</v>
      </c>
    </row>
    <row r="40" spans="1:4" ht="14.5">
      <c r="A40" t="s">
        <v>2866</v>
      </c>
      <c r="B40" s="380" t="str">
        <f t="shared" si="0"/>
        <v>013-901</v>
      </c>
      <c r="C40" s="76">
        <v>10342</v>
      </c>
      <c r="D40" s="76">
        <v>10148</v>
      </c>
    </row>
    <row r="41" spans="1:4" ht="14.5">
      <c r="A41" t="s">
        <v>4931</v>
      </c>
      <c r="B41" s="380" t="str">
        <f t="shared" si="0"/>
        <v>013-902</v>
      </c>
      <c r="C41" s="76">
        <v>11770</v>
      </c>
      <c r="D41" s="76">
        <v>11849</v>
      </c>
    </row>
    <row r="42" spans="1:4" ht="14.5">
      <c r="A42" t="s">
        <v>4932</v>
      </c>
      <c r="B42" s="380" t="str">
        <f t="shared" si="0"/>
        <v>013-903</v>
      </c>
      <c r="C42" s="76">
        <v>10723</v>
      </c>
      <c r="D42" s="76">
        <v>11849</v>
      </c>
    </row>
    <row r="43" spans="1:4" ht="14.5">
      <c r="A43" t="s">
        <v>2867</v>
      </c>
      <c r="B43" s="380" t="str">
        <f t="shared" si="0"/>
        <v>013-905</v>
      </c>
      <c r="C43" s="76">
        <v>12029</v>
      </c>
      <c r="D43" s="76">
        <v>11774</v>
      </c>
    </row>
    <row r="44" spans="1:4" ht="14.5">
      <c r="A44" t="s">
        <v>7920</v>
      </c>
      <c r="B44" s="380" t="str">
        <f t="shared" si="0"/>
        <v>014-801</v>
      </c>
      <c r="C44" s="76">
        <v>11601</v>
      </c>
      <c r="D44" s="76">
        <v>11755</v>
      </c>
    </row>
    <row r="45" spans="1:4" ht="14.5">
      <c r="A45" t="s">
        <v>7921</v>
      </c>
      <c r="B45" s="380" t="str">
        <f t="shared" si="0"/>
        <v>014-803</v>
      </c>
      <c r="C45" s="76">
        <v>10547</v>
      </c>
      <c r="D45" s="76">
        <v>10359</v>
      </c>
    </row>
    <row r="46" spans="1:4" ht="14.5">
      <c r="A46" t="s">
        <v>7922</v>
      </c>
      <c r="B46" s="380" t="str">
        <f t="shared" si="0"/>
        <v>014-804</v>
      </c>
      <c r="C46" s="76">
        <v>9673</v>
      </c>
      <c r="D46" s="76">
        <v>9646</v>
      </c>
    </row>
    <row r="47" spans="1:4" ht="14.5">
      <c r="A47" t="s">
        <v>4933</v>
      </c>
      <c r="B47" s="380" t="str">
        <f t="shared" si="0"/>
        <v>014-901</v>
      </c>
      <c r="C47" s="76">
        <v>8629</v>
      </c>
      <c r="D47" s="76">
        <v>8690</v>
      </c>
    </row>
    <row r="48" spans="1:4" ht="14.5">
      <c r="A48" t="s">
        <v>2868</v>
      </c>
      <c r="B48" s="380" t="str">
        <f t="shared" si="0"/>
        <v>014-902</v>
      </c>
      <c r="C48" s="76">
        <v>11100</v>
      </c>
      <c r="D48" s="76">
        <v>11153</v>
      </c>
    </row>
    <row r="49" spans="1:4" ht="14.5">
      <c r="A49" t="s">
        <v>2869</v>
      </c>
      <c r="B49" s="380" t="str">
        <f t="shared" si="0"/>
        <v>014-903</v>
      </c>
      <c r="C49" s="76">
        <v>9605</v>
      </c>
      <c r="D49" s="76">
        <v>9370</v>
      </c>
    </row>
    <row r="50" spans="1:4" ht="14.5">
      <c r="A50" t="s">
        <v>2870</v>
      </c>
      <c r="B50" s="380" t="str">
        <f t="shared" si="0"/>
        <v>014-905</v>
      </c>
      <c r="C50" s="76">
        <v>10579</v>
      </c>
      <c r="D50" s="76">
        <v>10695</v>
      </c>
    </row>
    <row r="51" spans="1:4" ht="14.5">
      <c r="A51" t="s">
        <v>2871</v>
      </c>
      <c r="B51" s="380" t="str">
        <f t="shared" si="0"/>
        <v>014-906</v>
      </c>
      <c r="C51" s="76">
        <v>8799</v>
      </c>
      <c r="D51" s="76">
        <v>8692</v>
      </c>
    </row>
    <row r="52" spans="1:4" ht="14.5">
      <c r="A52" t="s">
        <v>2872</v>
      </c>
      <c r="B52" s="380" t="str">
        <f t="shared" si="0"/>
        <v>014-907</v>
      </c>
      <c r="C52" s="76">
        <v>9979</v>
      </c>
      <c r="D52" s="76">
        <v>9871</v>
      </c>
    </row>
    <row r="53" spans="1:4" ht="14.5">
      <c r="A53" t="s">
        <v>2873</v>
      </c>
      <c r="B53" s="380" t="str">
        <f t="shared" si="0"/>
        <v>014-908</v>
      </c>
      <c r="C53" s="76">
        <v>9045</v>
      </c>
      <c r="D53" s="76">
        <v>8551</v>
      </c>
    </row>
    <row r="54" spans="1:4" ht="14.5">
      <c r="A54" t="s">
        <v>2874</v>
      </c>
      <c r="B54" s="380" t="str">
        <f t="shared" si="0"/>
        <v>014-909</v>
      </c>
      <c r="C54" s="76">
        <v>10414</v>
      </c>
      <c r="D54" s="76">
        <v>10036</v>
      </c>
    </row>
    <row r="55" spans="1:4" ht="14.5">
      <c r="A55" t="s">
        <v>2875</v>
      </c>
      <c r="B55" s="380" t="str">
        <f t="shared" si="0"/>
        <v>014-910</v>
      </c>
      <c r="C55" s="76">
        <v>9590</v>
      </c>
      <c r="D55" s="76">
        <v>8749</v>
      </c>
    </row>
    <row r="56" spans="1:4" ht="14.5">
      <c r="A56" t="s">
        <v>7923</v>
      </c>
      <c r="B56" s="380" t="str">
        <f t="shared" si="0"/>
        <v>015-801</v>
      </c>
      <c r="C56" s="76">
        <v>11005</v>
      </c>
      <c r="D56" s="76">
        <v>11849</v>
      </c>
    </row>
    <row r="57" spans="1:4" ht="14.5">
      <c r="A57" t="s">
        <v>7924</v>
      </c>
      <c r="B57" s="380" t="str">
        <f t="shared" si="0"/>
        <v>015-802</v>
      </c>
      <c r="C57" s="76">
        <v>11486</v>
      </c>
      <c r="D57" s="76">
        <v>11552</v>
      </c>
    </row>
    <row r="58" spans="1:4" ht="14.5">
      <c r="A58" t="s">
        <v>7925</v>
      </c>
      <c r="B58" s="380" t="str">
        <f t="shared" si="0"/>
        <v>015-805</v>
      </c>
      <c r="C58" s="76">
        <v>10507</v>
      </c>
      <c r="D58" s="76">
        <v>10425</v>
      </c>
    </row>
    <row r="59" spans="1:4" ht="14.5">
      <c r="A59" t="s">
        <v>7926</v>
      </c>
      <c r="B59" s="380" t="str">
        <f t="shared" si="0"/>
        <v>015-806</v>
      </c>
      <c r="C59" s="76">
        <v>11557</v>
      </c>
      <c r="D59" s="76">
        <v>11849</v>
      </c>
    </row>
    <row r="60" spans="1:4" ht="14.5">
      <c r="A60" t="s">
        <v>7927</v>
      </c>
      <c r="B60" s="380" t="str">
        <f t="shared" si="0"/>
        <v>015-807</v>
      </c>
      <c r="C60" s="76">
        <v>10956</v>
      </c>
      <c r="D60" s="76">
        <v>11071</v>
      </c>
    </row>
    <row r="61" spans="1:4" ht="14.5">
      <c r="A61" t="s">
        <v>7928</v>
      </c>
      <c r="B61" s="380" t="str">
        <f t="shared" si="0"/>
        <v>015-808</v>
      </c>
      <c r="C61" s="76">
        <v>14009</v>
      </c>
      <c r="D61" s="76">
        <v>11849</v>
      </c>
    </row>
    <row r="62" spans="1:4" ht="14.5">
      <c r="A62" t="s">
        <v>7929</v>
      </c>
      <c r="B62" s="380" t="str">
        <f t="shared" si="0"/>
        <v>015-809</v>
      </c>
      <c r="C62" s="76">
        <v>11235</v>
      </c>
      <c r="D62" s="76">
        <v>11201</v>
      </c>
    </row>
    <row r="63" spans="1:4" ht="14.5">
      <c r="A63" t="s">
        <v>7930</v>
      </c>
      <c r="B63" s="380" t="str">
        <f t="shared" si="0"/>
        <v>015-814</v>
      </c>
      <c r="C63" s="76">
        <v>10947</v>
      </c>
      <c r="D63" s="76">
        <v>11720</v>
      </c>
    </row>
    <row r="64" spans="1:4" ht="14.5">
      <c r="A64" t="s">
        <v>7931</v>
      </c>
      <c r="B64" s="380" t="str">
        <f t="shared" si="0"/>
        <v>015-815</v>
      </c>
      <c r="C64" s="76">
        <v>10296</v>
      </c>
      <c r="D64" s="76">
        <v>10696</v>
      </c>
    </row>
    <row r="65" spans="1:4" ht="14.5">
      <c r="A65" t="s">
        <v>7932</v>
      </c>
      <c r="B65" s="380" t="str">
        <f t="shared" si="0"/>
        <v>015-822</v>
      </c>
      <c r="C65" s="76">
        <v>10459</v>
      </c>
      <c r="D65" s="76">
        <v>10461</v>
      </c>
    </row>
    <row r="66" spans="1:4" ht="14.5">
      <c r="A66" t="s">
        <v>7933</v>
      </c>
      <c r="B66" s="380" t="str">
        <f t="shared" si="0"/>
        <v>015-825</v>
      </c>
      <c r="C66" s="76">
        <v>10693</v>
      </c>
      <c r="D66" s="76">
        <v>10810</v>
      </c>
    </row>
    <row r="67" spans="1:4" ht="14.5">
      <c r="A67" t="s">
        <v>7934</v>
      </c>
      <c r="B67" s="380" t="str">
        <f t="shared" si="0"/>
        <v>015-827</v>
      </c>
      <c r="C67" s="76">
        <v>10444</v>
      </c>
      <c r="D67" s="76">
        <v>10128</v>
      </c>
    </row>
    <row r="68" spans="1:4" ht="14.5">
      <c r="A68" t="s">
        <v>7935</v>
      </c>
      <c r="B68" s="380" t="str">
        <f t="shared" ref="B68:B131" si="1">CONCATENATE(LEFT(RIGHT(CONCATENATE("000",A68),6),3),"-",(RIGHT(RIGHT(CONCATENATE("000",A68),6),3)))</f>
        <v>015-828</v>
      </c>
      <c r="C68" s="76">
        <v>10829</v>
      </c>
      <c r="D68" s="76">
        <v>10875</v>
      </c>
    </row>
    <row r="69" spans="1:4" ht="14.5">
      <c r="A69" t="s">
        <v>7936</v>
      </c>
      <c r="B69" s="380" t="str">
        <f t="shared" si="1"/>
        <v>015-830</v>
      </c>
      <c r="C69" s="76">
        <v>10381</v>
      </c>
      <c r="D69" s="76">
        <v>10608</v>
      </c>
    </row>
    <row r="70" spans="1:4" ht="14.5">
      <c r="A70" t="s">
        <v>7937</v>
      </c>
      <c r="B70" s="380" t="str">
        <f t="shared" si="1"/>
        <v>015-831</v>
      </c>
      <c r="C70" s="76">
        <v>10202</v>
      </c>
      <c r="D70" s="76">
        <v>10007</v>
      </c>
    </row>
    <row r="71" spans="1:4" ht="14.5">
      <c r="A71" t="s">
        <v>7938</v>
      </c>
      <c r="B71" s="380" t="str">
        <f t="shared" si="1"/>
        <v>015-833</v>
      </c>
      <c r="C71" s="76">
        <v>10093</v>
      </c>
      <c r="D71" s="76">
        <v>10591</v>
      </c>
    </row>
    <row r="72" spans="1:4" ht="14.5">
      <c r="A72" t="s">
        <v>7939</v>
      </c>
      <c r="B72" s="380" t="str">
        <f t="shared" si="1"/>
        <v>015-834</v>
      </c>
      <c r="C72" s="76">
        <v>8515</v>
      </c>
      <c r="D72" s="76">
        <v>8421</v>
      </c>
    </row>
    <row r="73" spans="1:4" ht="14.5">
      <c r="A73" t="s">
        <v>7940</v>
      </c>
      <c r="B73" s="380" t="str">
        <f t="shared" si="1"/>
        <v>015-835</v>
      </c>
      <c r="C73" s="76">
        <v>9239</v>
      </c>
      <c r="D73" s="76">
        <v>9044</v>
      </c>
    </row>
    <row r="74" spans="1:4" ht="14.5">
      <c r="A74" t="s">
        <v>7941</v>
      </c>
      <c r="B74" s="380" t="str">
        <f t="shared" si="1"/>
        <v>015-836</v>
      </c>
      <c r="C74" s="76">
        <v>8915</v>
      </c>
      <c r="D74" s="76">
        <v>8854</v>
      </c>
    </row>
    <row r="75" spans="1:4" ht="14.5">
      <c r="A75" t="s">
        <v>7942</v>
      </c>
      <c r="B75" s="380" t="str">
        <f t="shared" si="1"/>
        <v>015-838</v>
      </c>
      <c r="C75" s="76">
        <v>10455</v>
      </c>
      <c r="D75" s="76">
        <v>10333</v>
      </c>
    </row>
    <row r="76" spans="1:4" ht="14.5">
      <c r="A76" t="s">
        <v>7943</v>
      </c>
      <c r="B76" s="380" t="str">
        <f t="shared" si="1"/>
        <v>015-839</v>
      </c>
      <c r="C76" s="76">
        <v>11770</v>
      </c>
    </row>
    <row r="77" spans="1:4" ht="14.5">
      <c r="A77" t="s">
        <v>8776</v>
      </c>
      <c r="B77" s="380" t="str">
        <f t="shared" si="1"/>
        <v>015-840</v>
      </c>
      <c r="C77" s="76">
        <v>11770</v>
      </c>
    </row>
    <row r="78" spans="1:4" ht="14.5">
      <c r="A78" t="s">
        <v>8777</v>
      </c>
      <c r="B78" s="380" t="str">
        <f t="shared" si="1"/>
        <v>015-841</v>
      </c>
      <c r="C78" s="76">
        <v>11770</v>
      </c>
    </row>
    <row r="79" spans="1:4" ht="14.5">
      <c r="A79" t="s">
        <v>4934</v>
      </c>
      <c r="B79" s="380" t="str">
        <f t="shared" si="1"/>
        <v>015-901</v>
      </c>
      <c r="C79" s="76">
        <v>7465</v>
      </c>
      <c r="D79" s="76">
        <v>7851</v>
      </c>
    </row>
    <row r="80" spans="1:4" ht="14.5">
      <c r="A80" t="s">
        <v>2876</v>
      </c>
      <c r="B80" s="380" t="str">
        <f t="shared" si="1"/>
        <v>015-904</v>
      </c>
      <c r="C80" s="76">
        <v>10116</v>
      </c>
      <c r="D80" s="76">
        <v>9969</v>
      </c>
    </row>
    <row r="81" spans="1:4" ht="14.5">
      <c r="A81" t="s">
        <v>2877</v>
      </c>
      <c r="B81" s="380" t="str">
        <f t="shared" si="1"/>
        <v>015-905</v>
      </c>
      <c r="C81" s="76">
        <v>10408</v>
      </c>
      <c r="D81" s="76">
        <v>10234</v>
      </c>
    </row>
    <row r="82" spans="1:4" ht="14.5">
      <c r="A82" t="s">
        <v>7351</v>
      </c>
      <c r="B82" s="380" t="str">
        <f t="shared" si="1"/>
        <v>015-906</v>
      </c>
      <c r="C82" s="76">
        <v>7576</v>
      </c>
      <c r="D82" s="76">
        <v>7472</v>
      </c>
    </row>
    <row r="83" spans="1:4" ht="14.5">
      <c r="A83" t="s">
        <v>2878</v>
      </c>
      <c r="B83" s="380" t="str">
        <f t="shared" si="1"/>
        <v>015-907</v>
      </c>
      <c r="C83" s="76">
        <v>10609</v>
      </c>
      <c r="D83" s="76">
        <v>10258</v>
      </c>
    </row>
    <row r="84" spans="1:4" ht="14.5">
      <c r="A84" t="s">
        <v>2879</v>
      </c>
      <c r="B84" s="380" t="str">
        <f t="shared" si="1"/>
        <v>015-908</v>
      </c>
      <c r="C84" s="76">
        <v>9262</v>
      </c>
      <c r="D84" s="76">
        <v>9095</v>
      </c>
    </row>
    <row r="85" spans="1:4" ht="14.5">
      <c r="A85" t="s">
        <v>2880</v>
      </c>
      <c r="B85" s="380" t="str">
        <f t="shared" si="1"/>
        <v>015-909</v>
      </c>
      <c r="C85" s="76">
        <v>10281</v>
      </c>
      <c r="D85" s="76">
        <v>10107</v>
      </c>
    </row>
    <row r="86" spans="1:4" ht="14.5">
      <c r="A86" t="s">
        <v>2881</v>
      </c>
      <c r="B86" s="380" t="str">
        <f t="shared" si="1"/>
        <v>015-910</v>
      </c>
      <c r="C86" s="76">
        <v>8571</v>
      </c>
      <c r="D86" s="76">
        <v>8300</v>
      </c>
    </row>
    <row r="87" spans="1:4" ht="14.5">
      <c r="A87" t="s">
        <v>2882</v>
      </c>
      <c r="B87" s="380" t="str">
        <f t="shared" si="1"/>
        <v>015-911</v>
      </c>
      <c r="C87" s="76">
        <v>8843</v>
      </c>
      <c r="D87" s="76">
        <v>8878</v>
      </c>
    </row>
    <row r="88" spans="1:4" ht="14.5">
      <c r="A88" t="s">
        <v>2883</v>
      </c>
      <c r="B88" s="380" t="str">
        <f t="shared" si="1"/>
        <v>015-912</v>
      </c>
      <c r="C88" s="76">
        <v>10188</v>
      </c>
      <c r="D88" s="76">
        <v>9550</v>
      </c>
    </row>
    <row r="89" spans="1:4" ht="14.5">
      <c r="A89" t="s">
        <v>7352</v>
      </c>
      <c r="B89" s="380" t="str">
        <f t="shared" si="1"/>
        <v>015-913</v>
      </c>
      <c r="C89" s="76">
        <v>8733</v>
      </c>
      <c r="D89" s="76">
        <v>8794</v>
      </c>
    </row>
    <row r="90" spans="1:4" ht="14.5">
      <c r="A90" t="s">
        <v>7353</v>
      </c>
      <c r="B90" s="380" t="str">
        <f t="shared" si="1"/>
        <v>015-914</v>
      </c>
      <c r="C90" s="76">
        <v>8204</v>
      </c>
      <c r="D90" s="76">
        <v>7999</v>
      </c>
    </row>
    <row r="91" spans="1:4" ht="14.5">
      <c r="A91" t="s">
        <v>2884</v>
      </c>
      <c r="B91" s="380" t="str">
        <f t="shared" si="1"/>
        <v>015-915</v>
      </c>
      <c r="C91" s="76">
        <v>8370</v>
      </c>
      <c r="D91" s="76">
        <v>8485</v>
      </c>
    </row>
    <row r="92" spans="1:4" ht="14.5">
      <c r="A92" t="s">
        <v>2885</v>
      </c>
      <c r="B92" s="380" t="str">
        <f t="shared" si="1"/>
        <v>015-916</v>
      </c>
      <c r="C92" s="76">
        <v>9038</v>
      </c>
      <c r="D92" s="76">
        <v>8792</v>
      </c>
    </row>
    <row r="93" spans="1:4" ht="14.5">
      <c r="A93" t="s">
        <v>2886</v>
      </c>
      <c r="B93" s="380" t="str">
        <f t="shared" si="1"/>
        <v>015-917</v>
      </c>
      <c r="C93" s="76">
        <v>10427</v>
      </c>
      <c r="D93" s="76">
        <v>10657</v>
      </c>
    </row>
    <row r="94" spans="1:4" ht="14.5">
      <c r="A94" t="s">
        <v>8502</v>
      </c>
      <c r="B94" s="380" t="str">
        <f t="shared" si="1"/>
        <v>015-950</v>
      </c>
      <c r="C94" s="76">
        <v>11770</v>
      </c>
      <c r="D94" s="76">
        <v>11849</v>
      </c>
    </row>
    <row r="95" spans="1:4" ht="14.5">
      <c r="A95" t="s">
        <v>4935</v>
      </c>
      <c r="B95" s="380" t="str">
        <f t="shared" si="1"/>
        <v>016-901</v>
      </c>
      <c r="C95" s="76">
        <v>11770</v>
      </c>
      <c r="D95" s="76">
        <v>11849</v>
      </c>
    </row>
    <row r="96" spans="1:4" ht="14.5">
      <c r="A96" t="s">
        <v>2887</v>
      </c>
      <c r="B96" s="380" t="str">
        <f t="shared" si="1"/>
        <v>016-902</v>
      </c>
      <c r="C96" s="76">
        <v>12749</v>
      </c>
      <c r="D96" s="76">
        <v>11824</v>
      </c>
    </row>
    <row r="97" spans="1:4" ht="14.5">
      <c r="A97" t="s">
        <v>4936</v>
      </c>
      <c r="B97" s="380" t="str">
        <f t="shared" si="1"/>
        <v>017-901</v>
      </c>
      <c r="C97" s="76">
        <v>15496</v>
      </c>
      <c r="D97" s="76">
        <v>11849</v>
      </c>
    </row>
    <row r="98" spans="1:4" ht="14.5">
      <c r="A98" t="s">
        <v>2888</v>
      </c>
      <c r="B98" s="380" t="str">
        <f t="shared" si="1"/>
        <v>018-901</v>
      </c>
      <c r="C98" s="76">
        <v>10531</v>
      </c>
      <c r="D98" s="76">
        <v>10653</v>
      </c>
    </row>
    <row r="99" spans="1:4" ht="14.5">
      <c r="A99" t="s">
        <v>2889</v>
      </c>
      <c r="B99" s="380" t="str">
        <f t="shared" si="1"/>
        <v>018-902</v>
      </c>
      <c r="C99" s="76">
        <v>11784</v>
      </c>
      <c r="D99" s="76">
        <v>11849</v>
      </c>
    </row>
    <row r="100" spans="1:4" ht="14.5">
      <c r="A100" t="s">
        <v>5753</v>
      </c>
      <c r="B100" s="380" t="str">
        <f t="shared" si="1"/>
        <v>018-903</v>
      </c>
      <c r="C100" s="76">
        <v>13797</v>
      </c>
      <c r="D100" s="76">
        <v>11849</v>
      </c>
    </row>
    <row r="101" spans="1:4" ht="14.5">
      <c r="A101" t="s">
        <v>2890</v>
      </c>
      <c r="B101" s="380" t="str">
        <f t="shared" si="1"/>
        <v>018-904</v>
      </c>
      <c r="C101" s="76">
        <v>10756</v>
      </c>
      <c r="D101" s="76">
        <v>10536</v>
      </c>
    </row>
    <row r="102" spans="1:4" ht="14.5">
      <c r="A102" t="s">
        <v>3522</v>
      </c>
      <c r="B102" s="380" t="str">
        <f t="shared" si="1"/>
        <v>018-905</v>
      </c>
      <c r="C102" s="76">
        <v>12418</v>
      </c>
      <c r="D102" s="76">
        <v>11608</v>
      </c>
    </row>
    <row r="103" spans="1:4" ht="14.5">
      <c r="A103" t="s">
        <v>4937</v>
      </c>
      <c r="B103" s="380" t="str">
        <f t="shared" si="1"/>
        <v>018-906</v>
      </c>
      <c r="C103" s="76">
        <v>14734</v>
      </c>
      <c r="D103" s="76">
        <v>11849</v>
      </c>
    </row>
    <row r="104" spans="1:4" ht="14.5">
      <c r="A104" t="s">
        <v>4938</v>
      </c>
      <c r="B104" s="380" t="str">
        <f t="shared" si="1"/>
        <v>018-907</v>
      </c>
      <c r="C104" s="76">
        <v>14395</v>
      </c>
      <c r="D104" s="76">
        <v>11849</v>
      </c>
    </row>
    <row r="105" spans="1:4" ht="14.5">
      <c r="A105" t="s">
        <v>5754</v>
      </c>
      <c r="B105" s="380" t="str">
        <f t="shared" si="1"/>
        <v>018-908</v>
      </c>
      <c r="C105" s="76">
        <v>14207</v>
      </c>
      <c r="D105" s="76">
        <v>11849</v>
      </c>
    </row>
    <row r="106" spans="1:4" ht="14.5">
      <c r="A106" t="s">
        <v>8503</v>
      </c>
      <c r="B106" s="380" t="str">
        <f t="shared" si="1"/>
        <v>019-000</v>
      </c>
      <c r="C106" s="76">
        <v>11770</v>
      </c>
      <c r="D106" s="76">
        <v>11849</v>
      </c>
    </row>
    <row r="107" spans="1:4" ht="14.5">
      <c r="A107" t="s">
        <v>3524</v>
      </c>
      <c r="B107" s="380" t="str">
        <f t="shared" si="1"/>
        <v>019-901</v>
      </c>
      <c r="C107" s="76">
        <v>11770</v>
      </c>
      <c r="D107" s="76">
        <v>11604</v>
      </c>
    </row>
    <row r="108" spans="1:4" ht="14.5">
      <c r="A108" t="s">
        <v>2891</v>
      </c>
      <c r="B108" s="380" t="str">
        <f t="shared" si="1"/>
        <v>019-902</v>
      </c>
      <c r="C108" s="76">
        <v>10927</v>
      </c>
      <c r="D108" s="76">
        <v>10783</v>
      </c>
    </row>
    <row r="109" spans="1:4" ht="14.5">
      <c r="A109" t="s">
        <v>2892</v>
      </c>
      <c r="B109" s="380" t="str">
        <f t="shared" si="1"/>
        <v>019-903</v>
      </c>
      <c r="C109" s="76">
        <v>11770</v>
      </c>
      <c r="D109" s="76">
        <v>11849</v>
      </c>
    </row>
    <row r="110" spans="1:4" ht="14.5">
      <c r="A110" t="s">
        <v>2893</v>
      </c>
      <c r="B110" s="380" t="str">
        <f t="shared" si="1"/>
        <v>019-905</v>
      </c>
      <c r="C110" s="76">
        <v>11615</v>
      </c>
      <c r="D110" s="76">
        <v>11237</v>
      </c>
    </row>
    <row r="111" spans="1:4" ht="14.5">
      <c r="A111" t="s">
        <v>4939</v>
      </c>
      <c r="B111" s="380" t="str">
        <f t="shared" si="1"/>
        <v>019-906</v>
      </c>
      <c r="C111" s="76">
        <v>10171</v>
      </c>
      <c r="D111" s="76">
        <v>10160</v>
      </c>
    </row>
    <row r="112" spans="1:4" ht="14.5">
      <c r="A112" t="s">
        <v>4940</v>
      </c>
      <c r="B112" s="380" t="str">
        <f t="shared" si="1"/>
        <v>019-907</v>
      </c>
      <c r="C112" s="76">
        <v>9382</v>
      </c>
      <c r="D112" s="76">
        <v>9043</v>
      </c>
    </row>
    <row r="113" spans="1:4" ht="14.5">
      <c r="A113" t="s">
        <v>4941</v>
      </c>
      <c r="B113" s="380" t="str">
        <f t="shared" si="1"/>
        <v>019-908</v>
      </c>
      <c r="C113" s="76">
        <v>10527</v>
      </c>
      <c r="D113" s="76">
        <v>10202</v>
      </c>
    </row>
    <row r="114" spans="1:4" ht="14.5">
      <c r="A114" t="s">
        <v>2894</v>
      </c>
      <c r="B114" s="380" t="str">
        <f t="shared" si="1"/>
        <v>019-909</v>
      </c>
      <c r="C114" s="76">
        <v>11872</v>
      </c>
      <c r="D114" s="76">
        <v>11849</v>
      </c>
    </row>
    <row r="115" spans="1:4" ht="14.5">
      <c r="A115" t="s">
        <v>2895</v>
      </c>
      <c r="B115" s="380" t="str">
        <f t="shared" si="1"/>
        <v>019-910</v>
      </c>
      <c r="C115" s="76">
        <v>11058</v>
      </c>
      <c r="D115" s="76">
        <v>11215</v>
      </c>
    </row>
    <row r="116" spans="1:4" ht="14.5">
      <c r="A116" t="s">
        <v>4942</v>
      </c>
      <c r="B116" s="380" t="str">
        <f t="shared" si="1"/>
        <v>019-911</v>
      </c>
      <c r="C116" s="76">
        <v>9555</v>
      </c>
      <c r="D116" s="76">
        <v>9337</v>
      </c>
    </row>
    <row r="117" spans="1:4" ht="14.5">
      <c r="A117" t="s">
        <v>4943</v>
      </c>
      <c r="B117" s="380" t="str">
        <f t="shared" si="1"/>
        <v>019-912</v>
      </c>
      <c r="C117" s="76">
        <v>8993</v>
      </c>
      <c r="D117" s="76">
        <v>8649</v>
      </c>
    </row>
    <row r="118" spans="1:4" ht="14.5">
      <c r="A118" t="s">
        <v>5755</v>
      </c>
      <c r="B118" s="380" t="str">
        <f t="shared" si="1"/>
        <v>019-913</v>
      </c>
      <c r="C118" s="76">
        <v>12240</v>
      </c>
      <c r="D118" s="76">
        <v>11849</v>
      </c>
    </row>
    <row r="119" spans="1:4" ht="14.5">
      <c r="A119" t="s">
        <v>5756</v>
      </c>
      <c r="B119" s="380" t="str">
        <f t="shared" si="1"/>
        <v>019-914</v>
      </c>
      <c r="C119" s="76">
        <v>12918</v>
      </c>
      <c r="D119" s="76">
        <v>11849</v>
      </c>
    </row>
    <row r="120" spans="1:4" ht="14.5">
      <c r="A120" t="s">
        <v>2896</v>
      </c>
      <c r="B120" s="380" t="str">
        <f t="shared" si="1"/>
        <v>020-901</v>
      </c>
      <c r="C120" s="76">
        <v>10286</v>
      </c>
      <c r="D120" s="76">
        <v>10021</v>
      </c>
    </row>
    <row r="121" spans="1:4" ht="14.5">
      <c r="A121" t="s">
        <v>4944</v>
      </c>
      <c r="B121" s="380" t="str">
        <f t="shared" si="1"/>
        <v>020-902</v>
      </c>
      <c r="C121" s="76">
        <v>10300</v>
      </c>
      <c r="D121" s="76">
        <v>9549</v>
      </c>
    </row>
    <row r="122" spans="1:4" ht="14.5">
      <c r="A122" t="s">
        <v>2897</v>
      </c>
      <c r="B122" s="380" t="str">
        <f t="shared" si="1"/>
        <v>020-904</v>
      </c>
      <c r="C122" s="76">
        <v>12181</v>
      </c>
      <c r="D122" s="76">
        <v>11744</v>
      </c>
    </row>
    <row r="123" spans="1:4" ht="14.5">
      <c r="A123" t="s">
        <v>4945</v>
      </c>
      <c r="B123" s="380" t="str">
        <f t="shared" si="1"/>
        <v>020-905</v>
      </c>
      <c r="C123" s="76">
        <v>7041</v>
      </c>
      <c r="D123" s="76">
        <v>8595</v>
      </c>
    </row>
    <row r="124" spans="1:4" ht="14.5">
      <c r="A124" t="s">
        <v>4946</v>
      </c>
      <c r="B124" s="380" t="str">
        <f t="shared" si="1"/>
        <v>020-906</v>
      </c>
      <c r="C124" s="76">
        <v>11010</v>
      </c>
      <c r="D124" s="76">
        <v>10064</v>
      </c>
    </row>
    <row r="125" spans="1:4" ht="14.5">
      <c r="A125" t="s">
        <v>2898</v>
      </c>
      <c r="B125" s="380" t="str">
        <f t="shared" si="1"/>
        <v>020-907</v>
      </c>
      <c r="C125" s="76">
        <v>9644</v>
      </c>
      <c r="D125" s="76">
        <v>9030</v>
      </c>
    </row>
    <row r="126" spans="1:4" ht="14.5">
      <c r="A126" t="s">
        <v>2899</v>
      </c>
      <c r="B126" s="380" t="str">
        <f t="shared" si="1"/>
        <v>020-908</v>
      </c>
      <c r="C126" s="76">
        <v>8212</v>
      </c>
      <c r="D126" s="76">
        <v>8017</v>
      </c>
    </row>
    <row r="127" spans="1:4" ht="14.5">
      <c r="A127" t="s">
        <v>2900</v>
      </c>
      <c r="B127" s="380" t="str">
        <f t="shared" si="1"/>
        <v>020-910</v>
      </c>
      <c r="C127" s="76">
        <v>18922</v>
      </c>
      <c r="D127" s="76">
        <v>11849</v>
      </c>
    </row>
    <row r="128" spans="1:4" ht="14.5">
      <c r="A128" t="s">
        <v>7944</v>
      </c>
      <c r="B128" s="380" t="str">
        <f t="shared" si="1"/>
        <v>021-803</v>
      </c>
      <c r="C128" s="76">
        <v>11133</v>
      </c>
      <c r="D128" s="76">
        <v>11142</v>
      </c>
    </row>
    <row r="129" spans="1:4" ht="14.5">
      <c r="A129" t="s">
        <v>7945</v>
      </c>
      <c r="B129" s="380" t="str">
        <f t="shared" si="1"/>
        <v>021-805</v>
      </c>
      <c r="C129" s="76">
        <v>10365</v>
      </c>
      <c r="D129" s="76">
        <v>10547</v>
      </c>
    </row>
    <row r="130" spans="1:4" ht="14.5">
      <c r="A130" t="s">
        <v>2901</v>
      </c>
      <c r="B130" s="380" t="str">
        <f t="shared" si="1"/>
        <v>021-901</v>
      </c>
      <c r="C130" s="76">
        <v>8061</v>
      </c>
      <c r="D130" s="76">
        <v>8047</v>
      </c>
    </row>
    <row r="131" spans="1:4" ht="14.5">
      <c r="A131" t="s">
        <v>2902</v>
      </c>
      <c r="B131" s="380" t="str">
        <f t="shared" si="1"/>
        <v>021-902</v>
      </c>
      <c r="C131" s="76">
        <v>9496</v>
      </c>
      <c r="D131" s="76">
        <v>9589</v>
      </c>
    </row>
    <row r="132" spans="1:4" ht="14.5">
      <c r="A132" t="s">
        <v>5757</v>
      </c>
      <c r="B132" s="380" t="str">
        <f t="shared" ref="B132:B195" si="2">CONCATENATE(LEFT(RIGHT(CONCATENATE("000",A132),6),3),"-",(RIGHT(RIGHT(CONCATENATE("000",A132),6),3)))</f>
        <v>022-004</v>
      </c>
      <c r="C132" s="76">
        <v>17108</v>
      </c>
      <c r="D132" s="76">
        <v>11849</v>
      </c>
    </row>
    <row r="133" spans="1:4" ht="14.5">
      <c r="A133" t="s">
        <v>4947</v>
      </c>
      <c r="B133" s="380" t="str">
        <f t="shared" si="2"/>
        <v>022-901</v>
      </c>
      <c r="C133" s="76">
        <v>10046</v>
      </c>
      <c r="D133" s="76">
        <v>11642</v>
      </c>
    </row>
    <row r="134" spans="1:4" ht="14.5">
      <c r="A134" t="s">
        <v>5758</v>
      </c>
      <c r="B134" s="380" t="str">
        <f t="shared" si="2"/>
        <v>022-902</v>
      </c>
      <c r="C134" s="76">
        <v>28351</v>
      </c>
      <c r="D134" s="76">
        <v>11849</v>
      </c>
    </row>
    <row r="135" spans="1:4" ht="14.5">
      <c r="A135" t="s">
        <v>5759</v>
      </c>
      <c r="B135" s="380" t="str">
        <f t="shared" si="2"/>
        <v>022-903</v>
      </c>
      <c r="C135" s="76">
        <v>140115</v>
      </c>
      <c r="D135" s="76">
        <v>11849</v>
      </c>
    </row>
    <row r="136" spans="1:4" ht="14.5">
      <c r="A136" t="s">
        <v>5760</v>
      </c>
      <c r="B136" s="380" t="str">
        <f t="shared" si="2"/>
        <v>023-902</v>
      </c>
      <c r="C136" s="76">
        <v>13193</v>
      </c>
      <c r="D136" s="76">
        <v>11849</v>
      </c>
    </row>
    <row r="137" spans="1:4" ht="14.5">
      <c r="A137" t="s">
        <v>4948</v>
      </c>
      <c r="B137" s="380" t="str">
        <f t="shared" si="2"/>
        <v>024-901</v>
      </c>
      <c r="C137" s="76">
        <v>11194</v>
      </c>
      <c r="D137" s="76">
        <v>11049</v>
      </c>
    </row>
    <row r="138" spans="1:4" ht="14.5">
      <c r="A138" t="s">
        <v>4949</v>
      </c>
      <c r="B138" s="380" t="str">
        <f t="shared" si="2"/>
        <v>025-901</v>
      </c>
      <c r="C138" s="76">
        <v>10943</v>
      </c>
      <c r="D138" s="76">
        <v>10335</v>
      </c>
    </row>
    <row r="139" spans="1:4" ht="14.5">
      <c r="A139" t="s">
        <v>4950</v>
      </c>
      <c r="B139" s="380" t="str">
        <f t="shared" si="2"/>
        <v>025-902</v>
      </c>
      <c r="C139" s="76">
        <v>8725</v>
      </c>
      <c r="D139" s="76">
        <v>8880</v>
      </c>
    </row>
    <row r="140" spans="1:4" ht="14.5">
      <c r="A140" t="s">
        <v>2903</v>
      </c>
      <c r="B140" s="380" t="str">
        <f t="shared" si="2"/>
        <v>025-904</v>
      </c>
      <c r="C140" s="76">
        <v>13872</v>
      </c>
      <c r="D140" s="76">
        <v>11849</v>
      </c>
    </row>
    <row r="141" spans="1:4" ht="14.5">
      <c r="A141" t="s">
        <v>2904</v>
      </c>
      <c r="B141" s="380" t="str">
        <f t="shared" si="2"/>
        <v>025-905</v>
      </c>
      <c r="C141" s="76">
        <v>12206</v>
      </c>
      <c r="D141" s="76">
        <v>11849</v>
      </c>
    </row>
    <row r="142" spans="1:4" ht="14.5">
      <c r="A142" t="s">
        <v>2905</v>
      </c>
      <c r="B142" s="380" t="str">
        <f t="shared" si="2"/>
        <v>025-906</v>
      </c>
      <c r="C142" s="76">
        <v>11770</v>
      </c>
      <c r="D142" s="76">
        <v>11849</v>
      </c>
    </row>
    <row r="143" spans="1:4" ht="14.5">
      <c r="A143" t="s">
        <v>2906</v>
      </c>
      <c r="B143" s="380" t="str">
        <f t="shared" si="2"/>
        <v>025-908</v>
      </c>
      <c r="C143" s="76">
        <v>13774</v>
      </c>
      <c r="D143" s="76">
        <v>11849</v>
      </c>
    </row>
    <row r="144" spans="1:4" ht="14.5">
      <c r="A144" t="s">
        <v>2907</v>
      </c>
      <c r="B144" s="380" t="str">
        <f t="shared" si="2"/>
        <v>025-909</v>
      </c>
      <c r="C144" s="76">
        <v>9920</v>
      </c>
      <c r="D144" s="76">
        <v>10174</v>
      </c>
    </row>
    <row r="145" spans="1:4" ht="14.5">
      <c r="A145" t="s">
        <v>4951</v>
      </c>
      <c r="B145" s="380" t="str">
        <f t="shared" si="2"/>
        <v>026-901</v>
      </c>
      <c r="C145" s="76">
        <v>13102</v>
      </c>
      <c r="D145" s="76">
        <v>11762</v>
      </c>
    </row>
    <row r="146" spans="1:4" ht="14.5">
      <c r="A146" t="s">
        <v>4952</v>
      </c>
      <c r="B146" s="380" t="str">
        <f t="shared" si="2"/>
        <v>026-902</v>
      </c>
      <c r="C146" s="76">
        <v>11022</v>
      </c>
      <c r="D146" s="76">
        <v>11849</v>
      </c>
    </row>
    <row r="147" spans="1:4" ht="14.5">
      <c r="A147" t="s">
        <v>2908</v>
      </c>
      <c r="B147" s="380" t="str">
        <f t="shared" si="2"/>
        <v>026-903</v>
      </c>
      <c r="C147" s="76">
        <v>11830</v>
      </c>
      <c r="D147" s="76">
        <v>11849</v>
      </c>
    </row>
    <row r="148" spans="1:4" ht="14.5">
      <c r="A148" t="s">
        <v>2909</v>
      </c>
      <c r="B148" s="380" t="str">
        <f t="shared" si="2"/>
        <v>027-903</v>
      </c>
      <c r="C148" s="76">
        <v>10120</v>
      </c>
      <c r="D148" s="76">
        <v>10325</v>
      </c>
    </row>
    <row r="149" spans="1:4" ht="14.5">
      <c r="A149" t="s">
        <v>3582</v>
      </c>
      <c r="B149" s="380" t="str">
        <f t="shared" si="2"/>
        <v>027-904</v>
      </c>
      <c r="C149" s="76">
        <v>9775</v>
      </c>
      <c r="D149" s="76">
        <v>9734</v>
      </c>
    </row>
    <row r="150" spans="1:4" ht="14.5">
      <c r="A150" t="s">
        <v>2910</v>
      </c>
      <c r="B150" s="380" t="str">
        <f t="shared" si="2"/>
        <v>028-902</v>
      </c>
      <c r="C150" s="76">
        <v>8752</v>
      </c>
      <c r="D150" s="76">
        <v>8447</v>
      </c>
    </row>
    <row r="151" spans="1:4" ht="14.5">
      <c r="A151" t="s">
        <v>2911</v>
      </c>
      <c r="B151" s="380" t="str">
        <f t="shared" si="2"/>
        <v>028-903</v>
      </c>
      <c r="C151" s="76">
        <v>10271</v>
      </c>
      <c r="D151" s="76">
        <v>9959</v>
      </c>
    </row>
    <row r="152" spans="1:4" ht="14.5">
      <c r="A152" t="s">
        <v>5761</v>
      </c>
      <c r="B152" s="380" t="str">
        <f t="shared" si="2"/>
        <v>028-906</v>
      </c>
      <c r="C152" s="76">
        <v>11787</v>
      </c>
      <c r="D152" s="76">
        <v>11849</v>
      </c>
    </row>
    <row r="153" spans="1:4" ht="14.5">
      <c r="A153" t="s">
        <v>4953</v>
      </c>
      <c r="B153" s="380" t="str">
        <f t="shared" si="2"/>
        <v>029-901</v>
      </c>
      <c r="C153" s="76">
        <v>9623</v>
      </c>
      <c r="D153" s="76">
        <v>9875</v>
      </c>
    </row>
    <row r="154" spans="1:4" ht="14.5">
      <c r="A154" t="s">
        <v>5762</v>
      </c>
      <c r="B154" s="380" t="str">
        <f t="shared" si="2"/>
        <v>030-901</v>
      </c>
      <c r="C154" s="76">
        <v>13756</v>
      </c>
      <c r="D154" s="76">
        <v>11849</v>
      </c>
    </row>
    <row r="155" spans="1:4" ht="14.5">
      <c r="A155" t="s">
        <v>2912</v>
      </c>
      <c r="B155" s="380" t="str">
        <f t="shared" si="2"/>
        <v>030-902</v>
      </c>
      <c r="C155" s="76">
        <v>9478</v>
      </c>
      <c r="D155" s="76">
        <v>9536</v>
      </c>
    </row>
    <row r="156" spans="1:4" ht="14.5">
      <c r="A156" t="s">
        <v>2913</v>
      </c>
      <c r="B156" s="380" t="str">
        <f t="shared" si="2"/>
        <v>030-903</v>
      </c>
      <c r="C156" s="76">
        <v>14751</v>
      </c>
      <c r="D156" s="76">
        <v>11849</v>
      </c>
    </row>
    <row r="157" spans="1:4" ht="14.5">
      <c r="A157" t="s">
        <v>4954</v>
      </c>
      <c r="B157" s="380" t="str">
        <f t="shared" si="2"/>
        <v>030-906</v>
      </c>
      <c r="C157" s="76">
        <v>12004</v>
      </c>
      <c r="D157" s="76">
        <v>11849</v>
      </c>
    </row>
    <row r="158" spans="1:4" ht="14.5">
      <c r="A158" t="s">
        <v>7946</v>
      </c>
      <c r="B158" s="380" t="str">
        <f t="shared" si="2"/>
        <v>031-505</v>
      </c>
      <c r="C158" s="76">
        <v>8535</v>
      </c>
      <c r="D158" s="76">
        <v>8535</v>
      </c>
    </row>
    <row r="159" spans="1:4" ht="14.5">
      <c r="A159" t="s">
        <v>2914</v>
      </c>
      <c r="B159" s="380" t="str">
        <f t="shared" si="2"/>
        <v>031-901</v>
      </c>
      <c r="C159" s="76">
        <v>10654</v>
      </c>
      <c r="D159" s="76">
        <v>10571</v>
      </c>
    </row>
    <row r="160" spans="1:4" ht="14.5">
      <c r="A160" t="s">
        <v>2915</v>
      </c>
      <c r="B160" s="380" t="str">
        <f t="shared" si="2"/>
        <v>031-903</v>
      </c>
      <c r="C160" s="76">
        <v>10223</v>
      </c>
      <c r="D160" s="76">
        <v>10196</v>
      </c>
    </row>
    <row r="161" spans="1:4" ht="14.5">
      <c r="A161" t="s">
        <v>2916</v>
      </c>
      <c r="B161" s="380" t="str">
        <f t="shared" si="2"/>
        <v>031-905</v>
      </c>
      <c r="C161" s="76">
        <v>10918</v>
      </c>
      <c r="D161" s="76">
        <v>10507</v>
      </c>
    </row>
    <row r="162" spans="1:4" ht="14.5">
      <c r="A162" t="s">
        <v>2917</v>
      </c>
      <c r="B162" s="380" t="str">
        <f t="shared" si="2"/>
        <v>031-906</v>
      </c>
      <c r="C162" s="76">
        <v>10356</v>
      </c>
      <c r="D162" s="76">
        <v>10171</v>
      </c>
    </row>
    <row r="163" spans="1:4" ht="14.5">
      <c r="A163" t="s">
        <v>4955</v>
      </c>
      <c r="B163" s="380" t="str">
        <f t="shared" si="2"/>
        <v>031-909</v>
      </c>
      <c r="C163" s="76">
        <v>10689</v>
      </c>
      <c r="D163" s="76">
        <v>10866</v>
      </c>
    </row>
    <row r="164" spans="1:4" ht="14.5">
      <c r="A164" t="s">
        <v>2918</v>
      </c>
      <c r="B164" s="380" t="str">
        <f t="shared" si="2"/>
        <v>031-911</v>
      </c>
      <c r="C164" s="76">
        <v>11231</v>
      </c>
      <c r="D164" s="76">
        <v>11011</v>
      </c>
    </row>
    <row r="165" spans="1:4" ht="14.5">
      <c r="A165" t="s">
        <v>2919</v>
      </c>
      <c r="B165" s="380" t="str">
        <f t="shared" si="2"/>
        <v>031-912</v>
      </c>
      <c r="C165" s="76">
        <v>10285</v>
      </c>
      <c r="D165" s="76">
        <v>10640</v>
      </c>
    </row>
    <row r="166" spans="1:4" ht="14.5">
      <c r="A166" t="s">
        <v>2920</v>
      </c>
      <c r="B166" s="380" t="str">
        <f t="shared" si="2"/>
        <v>031-913</v>
      </c>
      <c r="C166" s="76">
        <v>12747</v>
      </c>
      <c r="D166" s="76">
        <v>11849</v>
      </c>
    </row>
    <row r="167" spans="1:4" ht="14.5">
      <c r="A167" t="s">
        <v>2921</v>
      </c>
      <c r="B167" s="380" t="str">
        <f t="shared" si="2"/>
        <v>031-914</v>
      </c>
      <c r="C167" s="76">
        <v>12982</v>
      </c>
      <c r="D167" s="76">
        <v>11849</v>
      </c>
    </row>
    <row r="168" spans="1:4" ht="14.5">
      <c r="A168" t="s">
        <v>7354</v>
      </c>
      <c r="B168" s="380" t="str">
        <f t="shared" si="2"/>
        <v>031-916</v>
      </c>
      <c r="C168" s="76">
        <v>16387</v>
      </c>
      <c r="D168" s="76">
        <v>11849</v>
      </c>
    </row>
    <row r="169" spans="1:4" ht="14.5">
      <c r="A169" t="s">
        <v>4956</v>
      </c>
      <c r="B169" s="380" t="str">
        <f t="shared" si="2"/>
        <v>032-902</v>
      </c>
      <c r="C169" s="76">
        <v>9637</v>
      </c>
      <c r="D169" s="76">
        <v>9224</v>
      </c>
    </row>
    <row r="170" spans="1:4" ht="14.5">
      <c r="A170" t="s">
        <v>4957</v>
      </c>
      <c r="B170" s="380" t="str">
        <f t="shared" si="2"/>
        <v>033-901</v>
      </c>
      <c r="C170" s="76">
        <v>15526</v>
      </c>
      <c r="D170" s="76">
        <v>11849</v>
      </c>
    </row>
    <row r="171" spans="1:4" ht="14.5">
      <c r="A171" t="s">
        <v>4958</v>
      </c>
      <c r="B171" s="380" t="str">
        <f t="shared" si="2"/>
        <v>033-902</v>
      </c>
      <c r="C171" s="76">
        <v>10589</v>
      </c>
      <c r="D171" s="76">
        <v>11849</v>
      </c>
    </row>
    <row r="172" spans="1:4" ht="14.5">
      <c r="A172" t="s">
        <v>4959</v>
      </c>
      <c r="B172" s="380" t="str">
        <f t="shared" si="2"/>
        <v>033-904</v>
      </c>
      <c r="C172" s="76">
        <v>10731</v>
      </c>
      <c r="D172" s="76">
        <v>10939</v>
      </c>
    </row>
    <row r="173" spans="1:4" ht="14.5">
      <c r="A173" t="s">
        <v>4960</v>
      </c>
      <c r="B173" s="380" t="str">
        <f t="shared" si="2"/>
        <v>034-901</v>
      </c>
      <c r="C173" s="76">
        <v>9616</v>
      </c>
      <c r="D173" s="76">
        <v>9749</v>
      </c>
    </row>
    <row r="174" spans="1:4" ht="14.5">
      <c r="A174" t="s">
        <v>5763</v>
      </c>
      <c r="B174" s="380" t="str">
        <f t="shared" si="2"/>
        <v>034-902</v>
      </c>
      <c r="C174" s="76">
        <v>15400</v>
      </c>
      <c r="D174" s="76">
        <v>11849</v>
      </c>
    </row>
    <row r="175" spans="1:4" ht="14.5">
      <c r="A175" t="s">
        <v>4961</v>
      </c>
      <c r="B175" s="380" t="str">
        <f t="shared" si="2"/>
        <v>034-903</v>
      </c>
      <c r="C175" s="76">
        <v>9751</v>
      </c>
      <c r="D175" s="76">
        <v>10301</v>
      </c>
    </row>
    <row r="176" spans="1:4" ht="14.5">
      <c r="A176" t="s">
        <v>5764</v>
      </c>
      <c r="B176" s="380" t="str">
        <f t="shared" si="2"/>
        <v>034-905</v>
      </c>
      <c r="C176" s="76">
        <v>12640</v>
      </c>
      <c r="D176" s="76">
        <v>11849</v>
      </c>
    </row>
    <row r="177" spans="1:4" ht="14.5">
      <c r="A177" t="s">
        <v>3647</v>
      </c>
      <c r="B177" s="380" t="str">
        <f t="shared" si="2"/>
        <v>034-906</v>
      </c>
      <c r="C177" s="76">
        <v>10407</v>
      </c>
      <c r="D177" s="76">
        <v>10548</v>
      </c>
    </row>
    <row r="178" spans="1:4" ht="14.5">
      <c r="A178" t="s">
        <v>4962</v>
      </c>
      <c r="B178" s="380" t="str">
        <f t="shared" si="2"/>
        <v>034-907</v>
      </c>
      <c r="C178" s="76">
        <v>11514</v>
      </c>
      <c r="D178" s="76">
        <v>11321</v>
      </c>
    </row>
    <row r="179" spans="1:4" ht="14.5">
      <c r="A179" t="s">
        <v>4963</v>
      </c>
      <c r="B179" s="380" t="str">
        <f t="shared" si="2"/>
        <v>034-909</v>
      </c>
      <c r="C179" s="76">
        <v>11813</v>
      </c>
      <c r="D179" s="76">
        <v>11849</v>
      </c>
    </row>
    <row r="180" spans="1:4" ht="14.5">
      <c r="A180" t="s">
        <v>4964</v>
      </c>
      <c r="B180" s="380" t="str">
        <f t="shared" si="2"/>
        <v>035-901</v>
      </c>
      <c r="C180" s="76">
        <v>10842</v>
      </c>
      <c r="D180" s="76">
        <v>10923</v>
      </c>
    </row>
    <row r="181" spans="1:4" ht="14.5">
      <c r="A181" t="s">
        <v>5765</v>
      </c>
      <c r="B181" s="380" t="str">
        <f t="shared" si="2"/>
        <v>035-902</v>
      </c>
      <c r="C181" s="76">
        <v>13352</v>
      </c>
      <c r="D181" s="76">
        <v>11849</v>
      </c>
    </row>
    <row r="182" spans="1:4" ht="14.5">
      <c r="A182" t="s">
        <v>2922</v>
      </c>
      <c r="B182" s="380" t="str">
        <f t="shared" si="2"/>
        <v>035-903</v>
      </c>
      <c r="C182" s="76">
        <v>11528</v>
      </c>
      <c r="D182" s="76">
        <v>11822</v>
      </c>
    </row>
    <row r="183" spans="1:4" ht="14.5">
      <c r="A183" t="s">
        <v>2923</v>
      </c>
      <c r="B183" s="380" t="str">
        <f t="shared" si="2"/>
        <v>036-901</v>
      </c>
      <c r="C183" s="76">
        <v>10383</v>
      </c>
      <c r="D183" s="76">
        <v>10265</v>
      </c>
    </row>
    <row r="184" spans="1:4" ht="14.5">
      <c r="A184" t="s">
        <v>4965</v>
      </c>
      <c r="B184" s="380" t="str">
        <f t="shared" si="2"/>
        <v>036-902</v>
      </c>
      <c r="C184" s="76">
        <v>10651</v>
      </c>
      <c r="D184" s="76">
        <v>10454</v>
      </c>
    </row>
    <row r="185" spans="1:4" ht="14.5">
      <c r="A185" t="s">
        <v>2924</v>
      </c>
      <c r="B185" s="380" t="str">
        <f t="shared" si="2"/>
        <v>036-903</v>
      </c>
      <c r="C185" s="76">
        <v>9892</v>
      </c>
      <c r="D185" s="76">
        <v>9289</v>
      </c>
    </row>
    <row r="186" spans="1:4" ht="14.5">
      <c r="A186" t="s">
        <v>4966</v>
      </c>
      <c r="B186" s="380" t="str">
        <f t="shared" si="2"/>
        <v>037-901</v>
      </c>
      <c r="C186" s="76">
        <v>11981</v>
      </c>
      <c r="D186" s="76">
        <v>11654</v>
      </c>
    </row>
    <row r="187" spans="1:4" ht="14.5">
      <c r="A187" t="s">
        <v>2925</v>
      </c>
      <c r="B187" s="380" t="str">
        <f t="shared" si="2"/>
        <v>037-904</v>
      </c>
      <c r="C187" s="76">
        <v>8856</v>
      </c>
      <c r="D187" s="76">
        <v>8909</v>
      </c>
    </row>
    <row r="188" spans="1:4" ht="14.5">
      <c r="A188" t="s">
        <v>2926</v>
      </c>
      <c r="B188" s="380" t="str">
        <f t="shared" si="2"/>
        <v>037-907</v>
      </c>
      <c r="C188" s="76">
        <v>8713</v>
      </c>
      <c r="D188" s="76">
        <v>8854</v>
      </c>
    </row>
    <row r="189" spans="1:4" ht="14.5">
      <c r="A189" t="s">
        <v>3657</v>
      </c>
      <c r="B189" s="380" t="str">
        <f t="shared" si="2"/>
        <v>037-908</v>
      </c>
      <c r="C189" s="76">
        <v>11802</v>
      </c>
      <c r="D189" s="76">
        <v>11849</v>
      </c>
    </row>
    <row r="190" spans="1:4" ht="14.5">
      <c r="A190" t="s">
        <v>4967</v>
      </c>
      <c r="B190" s="380" t="str">
        <f t="shared" si="2"/>
        <v>037-909</v>
      </c>
      <c r="C190" s="76">
        <v>12341</v>
      </c>
      <c r="D190" s="76">
        <v>11849</v>
      </c>
    </row>
    <row r="191" spans="1:4" ht="14.5">
      <c r="A191" t="s">
        <v>2927</v>
      </c>
      <c r="B191" s="380" t="str">
        <f t="shared" si="2"/>
        <v>038-901</v>
      </c>
      <c r="C191" s="76">
        <v>10098</v>
      </c>
      <c r="D191" s="76">
        <v>10039</v>
      </c>
    </row>
    <row r="192" spans="1:4" ht="14.5">
      <c r="A192" t="s">
        <v>4968</v>
      </c>
      <c r="B192" s="380" t="str">
        <f t="shared" si="2"/>
        <v>039-902</v>
      </c>
      <c r="C192" s="76">
        <v>10360</v>
      </c>
      <c r="D192" s="76">
        <v>11380</v>
      </c>
    </row>
    <row r="193" spans="1:4" ht="14.5">
      <c r="A193" t="s">
        <v>2928</v>
      </c>
      <c r="B193" s="380" t="str">
        <f t="shared" si="2"/>
        <v>039-903</v>
      </c>
      <c r="C193" s="76">
        <v>12238</v>
      </c>
      <c r="D193" s="76">
        <v>11849</v>
      </c>
    </row>
    <row r="194" spans="1:4" ht="14.5">
      <c r="A194" t="s">
        <v>5766</v>
      </c>
      <c r="B194" s="380" t="str">
        <f t="shared" si="2"/>
        <v>039-904</v>
      </c>
      <c r="C194" s="76">
        <v>12809</v>
      </c>
      <c r="D194" s="76">
        <v>11849</v>
      </c>
    </row>
    <row r="195" spans="1:4" ht="14.5">
      <c r="A195" t="s">
        <v>5767</v>
      </c>
      <c r="B195" s="380" t="str">
        <f t="shared" si="2"/>
        <v>039-905</v>
      </c>
      <c r="C195" s="76">
        <v>14163</v>
      </c>
      <c r="D195" s="76">
        <v>11849</v>
      </c>
    </row>
    <row r="196" spans="1:4" ht="14.5">
      <c r="A196" t="s">
        <v>5768</v>
      </c>
      <c r="B196" s="380" t="str">
        <f t="shared" ref="B196:B259" si="3">CONCATENATE(LEFT(RIGHT(CONCATENATE("000",A196),6),3),"-",(RIGHT(RIGHT(CONCATENATE("000",A196),6),3)))</f>
        <v>040-901</v>
      </c>
      <c r="C196" s="76">
        <v>11791</v>
      </c>
      <c r="D196" s="76">
        <v>11849</v>
      </c>
    </row>
    <row r="197" spans="1:4" ht="14.5">
      <c r="A197" t="s">
        <v>4969</v>
      </c>
      <c r="B197" s="380" t="str">
        <f t="shared" si="3"/>
        <v>040-902</v>
      </c>
      <c r="C197" s="76">
        <v>12450</v>
      </c>
      <c r="D197" s="76">
        <v>11849</v>
      </c>
    </row>
    <row r="198" spans="1:4" ht="14.5">
      <c r="A198" t="s">
        <v>5769</v>
      </c>
      <c r="B198" s="380" t="str">
        <f t="shared" si="3"/>
        <v>041-901</v>
      </c>
      <c r="C198" s="76">
        <v>12362</v>
      </c>
      <c r="D198" s="76">
        <v>11849</v>
      </c>
    </row>
    <row r="199" spans="1:4" ht="14.5">
      <c r="A199" t="s">
        <v>4970</v>
      </c>
      <c r="B199" s="380" t="str">
        <f t="shared" si="3"/>
        <v>041-902</v>
      </c>
      <c r="C199" s="76">
        <v>12324</v>
      </c>
      <c r="D199" s="76">
        <v>11849</v>
      </c>
    </row>
    <row r="200" spans="1:4" ht="14.5">
      <c r="A200" t="s">
        <v>3664</v>
      </c>
      <c r="B200" s="380" t="str">
        <f t="shared" si="3"/>
        <v>042-901</v>
      </c>
      <c r="C200" s="76">
        <v>11655</v>
      </c>
      <c r="D200" s="76">
        <v>11849</v>
      </c>
    </row>
    <row r="201" spans="1:4" ht="14.5">
      <c r="A201" t="s">
        <v>2929</v>
      </c>
      <c r="B201" s="380" t="str">
        <f t="shared" si="3"/>
        <v>042-903</v>
      </c>
      <c r="C201" s="76">
        <v>11770</v>
      </c>
      <c r="D201" s="76">
        <v>11846</v>
      </c>
    </row>
    <row r="202" spans="1:4" ht="14.5">
      <c r="A202" t="s">
        <v>4971</v>
      </c>
      <c r="B202" s="380" t="str">
        <f t="shared" si="3"/>
        <v>042-905</v>
      </c>
      <c r="C202" s="76">
        <v>14629</v>
      </c>
      <c r="D202" s="76">
        <v>11849</v>
      </c>
    </row>
    <row r="203" spans="1:4" ht="14.5">
      <c r="A203" t="s">
        <v>7948</v>
      </c>
      <c r="B203" s="380" t="str">
        <f t="shared" si="3"/>
        <v>043-801</v>
      </c>
      <c r="C203" s="76">
        <v>8764</v>
      </c>
      <c r="D203" s="76">
        <v>8807</v>
      </c>
    </row>
    <row r="204" spans="1:4" ht="14.5">
      <c r="A204" t="s">
        <v>7949</v>
      </c>
      <c r="B204" s="380" t="str">
        <f t="shared" si="3"/>
        <v>043-802</v>
      </c>
      <c r="C204" s="76">
        <v>8653</v>
      </c>
      <c r="D204" s="76">
        <v>8689</v>
      </c>
    </row>
    <row r="205" spans="1:4" ht="14.5">
      <c r="A205" t="s">
        <v>2930</v>
      </c>
      <c r="B205" s="380" t="str">
        <f t="shared" si="3"/>
        <v>043-901</v>
      </c>
      <c r="C205" s="76">
        <v>8673</v>
      </c>
      <c r="D205" s="76">
        <v>8891</v>
      </c>
    </row>
    <row r="206" spans="1:4" ht="14.5">
      <c r="A206" t="s">
        <v>2931</v>
      </c>
      <c r="B206" s="380" t="str">
        <f t="shared" si="3"/>
        <v>043-902</v>
      </c>
      <c r="C206" s="76">
        <v>9885</v>
      </c>
      <c r="D206" s="76">
        <v>10162</v>
      </c>
    </row>
    <row r="207" spans="1:4" ht="14.5">
      <c r="A207" t="s">
        <v>2932</v>
      </c>
      <c r="B207" s="380" t="str">
        <f t="shared" si="3"/>
        <v>043-903</v>
      </c>
      <c r="C207" s="76">
        <v>9879</v>
      </c>
      <c r="D207" s="76">
        <v>9727</v>
      </c>
    </row>
    <row r="208" spans="1:4" ht="14.5">
      <c r="A208" t="s">
        <v>2933</v>
      </c>
      <c r="B208" s="380" t="str">
        <f t="shared" si="3"/>
        <v>043-904</v>
      </c>
      <c r="C208" s="76">
        <v>10340</v>
      </c>
      <c r="D208" s="76">
        <v>10412</v>
      </c>
    </row>
    <row r="209" spans="1:4" ht="14.5">
      <c r="A209" t="s">
        <v>2934</v>
      </c>
      <c r="B209" s="380" t="str">
        <f t="shared" si="3"/>
        <v>043-905</v>
      </c>
      <c r="C209" s="76">
        <v>8804</v>
      </c>
      <c r="D209" s="76">
        <v>8759</v>
      </c>
    </row>
    <row r="210" spans="1:4" ht="14.5">
      <c r="A210" t="s">
        <v>2935</v>
      </c>
      <c r="B210" s="380" t="str">
        <f t="shared" si="3"/>
        <v>043-907</v>
      </c>
      <c r="C210" s="76">
        <v>9206</v>
      </c>
      <c r="D210" s="76">
        <v>9276</v>
      </c>
    </row>
    <row r="211" spans="1:4" ht="14.5">
      <c r="A211" t="s">
        <v>2936</v>
      </c>
      <c r="B211" s="380" t="str">
        <f t="shared" si="3"/>
        <v>043-908</v>
      </c>
      <c r="C211" s="76">
        <v>9601</v>
      </c>
      <c r="D211" s="76">
        <v>9516</v>
      </c>
    </row>
    <row r="212" spans="1:4" ht="14.5">
      <c r="A212" t="s">
        <v>4972</v>
      </c>
      <c r="B212" s="380" t="str">
        <f t="shared" si="3"/>
        <v>043-910</v>
      </c>
      <c r="C212" s="76">
        <v>9159</v>
      </c>
      <c r="D212" s="76">
        <v>9184</v>
      </c>
    </row>
    <row r="213" spans="1:4" ht="14.5">
      <c r="A213" t="s">
        <v>2937</v>
      </c>
      <c r="B213" s="380" t="str">
        <f t="shared" si="3"/>
        <v>043-911</v>
      </c>
      <c r="C213" s="76">
        <v>9724</v>
      </c>
      <c r="D213" s="76">
        <v>9907</v>
      </c>
    </row>
    <row r="214" spans="1:4" ht="14.5">
      <c r="A214" t="s">
        <v>2938</v>
      </c>
      <c r="B214" s="380" t="str">
        <f t="shared" si="3"/>
        <v>043-912</v>
      </c>
      <c r="C214" s="76">
        <v>8766</v>
      </c>
      <c r="D214" s="76">
        <v>9112</v>
      </c>
    </row>
    <row r="215" spans="1:4" ht="14.5">
      <c r="A215" t="s">
        <v>2939</v>
      </c>
      <c r="B215" s="380" t="str">
        <f t="shared" si="3"/>
        <v>043-914</v>
      </c>
      <c r="C215" s="76">
        <v>8745</v>
      </c>
      <c r="D215" s="76">
        <v>8901</v>
      </c>
    </row>
    <row r="216" spans="1:4" ht="14.5">
      <c r="A216" t="s">
        <v>2940</v>
      </c>
      <c r="B216" s="380" t="str">
        <f t="shared" si="3"/>
        <v>043-917</v>
      </c>
      <c r="C216" s="76">
        <v>11654</v>
      </c>
      <c r="D216" s="76">
        <v>11849</v>
      </c>
    </row>
    <row r="217" spans="1:4" ht="14.5">
      <c r="A217" t="s">
        <v>2941</v>
      </c>
      <c r="B217" s="380" t="str">
        <f t="shared" si="3"/>
        <v>043-918</v>
      </c>
      <c r="C217" s="76">
        <v>10296</v>
      </c>
      <c r="D217" s="76">
        <v>10322</v>
      </c>
    </row>
    <row r="218" spans="1:4" ht="14.5">
      <c r="A218" t="s">
        <v>4973</v>
      </c>
      <c r="B218" s="380" t="str">
        <f t="shared" si="3"/>
        <v>043-919</v>
      </c>
      <c r="C218" s="76">
        <v>8491</v>
      </c>
      <c r="D218" s="76">
        <v>8465</v>
      </c>
    </row>
    <row r="219" spans="1:4" ht="14.5">
      <c r="A219" t="s">
        <v>5770</v>
      </c>
      <c r="B219" s="380" t="str">
        <f t="shared" si="3"/>
        <v>044-902</v>
      </c>
      <c r="C219" s="76">
        <v>11770</v>
      </c>
      <c r="D219" s="76">
        <v>11826</v>
      </c>
    </row>
    <row r="220" spans="1:4" ht="14.5">
      <c r="A220" t="s">
        <v>2942</v>
      </c>
      <c r="B220" s="380" t="str">
        <f t="shared" si="3"/>
        <v>045-902</v>
      </c>
      <c r="C220" s="76">
        <v>10531</v>
      </c>
      <c r="D220" s="76">
        <v>10728</v>
      </c>
    </row>
    <row r="221" spans="1:4" ht="14.5">
      <c r="A221" t="s">
        <v>4974</v>
      </c>
      <c r="B221" s="380" t="str">
        <f t="shared" si="3"/>
        <v>045-903</v>
      </c>
      <c r="C221" s="76">
        <v>10577</v>
      </c>
      <c r="D221" s="76">
        <v>10579</v>
      </c>
    </row>
    <row r="222" spans="1:4" ht="14.5">
      <c r="A222" t="s">
        <v>4975</v>
      </c>
      <c r="B222" s="380" t="str">
        <f t="shared" si="3"/>
        <v>045-905</v>
      </c>
      <c r="C222" s="76">
        <v>11492</v>
      </c>
      <c r="D222" s="76">
        <v>11100</v>
      </c>
    </row>
    <row r="223" spans="1:4" ht="14.5">
      <c r="A223" t="s">
        <v>7950</v>
      </c>
      <c r="B223" s="380" t="str">
        <f t="shared" si="3"/>
        <v>046-802</v>
      </c>
      <c r="C223" s="76">
        <v>17857</v>
      </c>
      <c r="D223" s="76">
        <v>11849</v>
      </c>
    </row>
    <row r="224" spans="1:4" ht="14.5">
      <c r="A224" t="s">
        <v>2943</v>
      </c>
      <c r="B224" s="380" t="str">
        <f t="shared" si="3"/>
        <v>046-901</v>
      </c>
      <c r="C224" s="76">
        <v>8687</v>
      </c>
      <c r="D224" s="76">
        <v>8483</v>
      </c>
    </row>
    <row r="225" spans="1:4" ht="14.5">
      <c r="A225" t="s">
        <v>4976</v>
      </c>
      <c r="B225" s="380" t="str">
        <f t="shared" si="3"/>
        <v>046-902</v>
      </c>
      <c r="C225" s="76">
        <v>8294</v>
      </c>
      <c r="D225" s="76">
        <v>8192</v>
      </c>
    </row>
    <row r="226" spans="1:4" ht="14.5">
      <c r="A226" t="s">
        <v>2944</v>
      </c>
      <c r="B226" s="380" t="str">
        <f t="shared" si="3"/>
        <v>047-901</v>
      </c>
      <c r="C226" s="76">
        <v>10937</v>
      </c>
      <c r="D226" s="76">
        <v>11471</v>
      </c>
    </row>
    <row r="227" spans="1:4" ht="14.5">
      <c r="A227" t="s">
        <v>2945</v>
      </c>
      <c r="B227" s="380" t="str">
        <f t="shared" si="3"/>
        <v>047-902</v>
      </c>
      <c r="C227" s="76">
        <v>11005</v>
      </c>
      <c r="D227" s="76">
        <v>10853</v>
      </c>
    </row>
    <row r="228" spans="1:4" ht="14.5">
      <c r="A228" t="s">
        <v>2946</v>
      </c>
      <c r="B228" s="380" t="str">
        <f t="shared" si="3"/>
        <v>047-903</v>
      </c>
      <c r="C228" s="76">
        <v>14088</v>
      </c>
      <c r="D228" s="76">
        <v>11849</v>
      </c>
    </row>
    <row r="229" spans="1:4" ht="14.5">
      <c r="A229" t="s">
        <v>2947</v>
      </c>
      <c r="B229" s="380" t="str">
        <f t="shared" si="3"/>
        <v>047-905</v>
      </c>
      <c r="C229" s="76">
        <v>11770</v>
      </c>
      <c r="D229" s="76">
        <v>11849</v>
      </c>
    </row>
    <row r="230" spans="1:4" ht="14.5">
      <c r="A230" t="s">
        <v>5771</v>
      </c>
      <c r="B230" s="380" t="str">
        <f t="shared" si="3"/>
        <v>048-901</v>
      </c>
      <c r="C230" s="76">
        <v>16193</v>
      </c>
      <c r="D230" s="76">
        <v>11849</v>
      </c>
    </row>
    <row r="231" spans="1:4" ht="14.5">
      <c r="A231" t="s">
        <v>4977</v>
      </c>
      <c r="B231" s="380" t="str">
        <f t="shared" si="3"/>
        <v>048-903</v>
      </c>
      <c r="C231" s="76">
        <v>17165</v>
      </c>
      <c r="D231" s="76">
        <v>11849</v>
      </c>
    </row>
    <row r="232" spans="1:4" ht="14.5">
      <c r="A232" t="s">
        <v>2948</v>
      </c>
      <c r="B232" s="380" t="str">
        <f t="shared" si="3"/>
        <v>049-901</v>
      </c>
      <c r="C232" s="76">
        <v>10355</v>
      </c>
      <c r="D232" s="76">
        <v>10489</v>
      </c>
    </row>
    <row r="233" spans="1:4" ht="14.5">
      <c r="A233" t="s">
        <v>4978</v>
      </c>
      <c r="B233" s="380" t="str">
        <f t="shared" si="3"/>
        <v>049-902</v>
      </c>
      <c r="C233" s="76">
        <v>10114</v>
      </c>
      <c r="D233" s="76">
        <v>10801</v>
      </c>
    </row>
    <row r="234" spans="1:4" ht="14.5">
      <c r="A234" t="s">
        <v>2949</v>
      </c>
      <c r="B234" s="380" t="str">
        <f t="shared" si="3"/>
        <v>049-903</v>
      </c>
      <c r="C234" s="76">
        <v>10839</v>
      </c>
      <c r="D234" s="76">
        <v>11466</v>
      </c>
    </row>
    <row r="235" spans="1:4" ht="14.5">
      <c r="A235" t="s">
        <v>4979</v>
      </c>
      <c r="B235" s="380" t="str">
        <f t="shared" si="3"/>
        <v>049-905</v>
      </c>
      <c r="C235" s="76">
        <v>10527</v>
      </c>
      <c r="D235" s="76">
        <v>10572</v>
      </c>
    </row>
    <row r="236" spans="1:4" ht="14.5">
      <c r="A236" t="s">
        <v>2950</v>
      </c>
      <c r="B236" s="380" t="str">
        <f t="shared" si="3"/>
        <v>049-906</v>
      </c>
      <c r="C236" s="76">
        <v>11096</v>
      </c>
      <c r="D236" s="76">
        <v>10915</v>
      </c>
    </row>
    <row r="237" spans="1:4" ht="14.5">
      <c r="A237" t="s">
        <v>4980</v>
      </c>
      <c r="B237" s="380" t="str">
        <f t="shared" si="3"/>
        <v>049-907</v>
      </c>
      <c r="C237" s="76">
        <v>8987</v>
      </c>
      <c r="D237" s="76">
        <v>7421</v>
      </c>
    </row>
    <row r="238" spans="1:4" ht="14.5">
      <c r="A238" t="s">
        <v>5772</v>
      </c>
      <c r="B238" s="380" t="str">
        <f t="shared" si="3"/>
        <v>049-908</v>
      </c>
      <c r="C238" s="76">
        <v>15552</v>
      </c>
      <c r="D238" s="76">
        <v>11849</v>
      </c>
    </row>
    <row r="239" spans="1:4" ht="14.5">
      <c r="A239" t="s">
        <v>5773</v>
      </c>
      <c r="B239" s="380" t="str">
        <f t="shared" si="3"/>
        <v>049-909</v>
      </c>
      <c r="C239" s="76">
        <v>16502</v>
      </c>
      <c r="D239" s="76">
        <v>11849</v>
      </c>
    </row>
    <row r="240" spans="1:4" ht="14.5">
      <c r="A240" t="s">
        <v>5774</v>
      </c>
      <c r="B240" s="380" t="str">
        <f t="shared" si="3"/>
        <v>050-901</v>
      </c>
      <c r="C240" s="76">
        <v>11516</v>
      </c>
      <c r="D240" s="76">
        <v>11849</v>
      </c>
    </row>
    <row r="241" spans="1:4" ht="14.5">
      <c r="A241" t="s">
        <v>4981</v>
      </c>
      <c r="B241" s="380" t="str">
        <f t="shared" si="3"/>
        <v>050-902</v>
      </c>
      <c r="C241" s="76">
        <v>8789</v>
      </c>
      <c r="D241" s="76">
        <v>8845</v>
      </c>
    </row>
    <row r="242" spans="1:4" ht="14.5">
      <c r="A242" t="s">
        <v>2951</v>
      </c>
      <c r="B242" s="380" t="str">
        <f t="shared" si="3"/>
        <v>050-904</v>
      </c>
      <c r="C242" s="76">
        <v>13108</v>
      </c>
      <c r="D242" s="76">
        <v>11849</v>
      </c>
    </row>
    <row r="243" spans="1:4" ht="14.5">
      <c r="A243" t="s">
        <v>4982</v>
      </c>
      <c r="B243" s="380" t="str">
        <f t="shared" si="3"/>
        <v>050-909</v>
      </c>
      <c r="C243" s="76">
        <v>11770</v>
      </c>
      <c r="D243" s="76">
        <v>11849</v>
      </c>
    </row>
    <row r="244" spans="1:4" ht="14.5">
      <c r="A244" t="s">
        <v>2952</v>
      </c>
      <c r="B244" s="380" t="str">
        <f t="shared" si="3"/>
        <v>050-910</v>
      </c>
      <c r="C244" s="76">
        <v>9097</v>
      </c>
      <c r="D244" s="76">
        <v>8931</v>
      </c>
    </row>
    <row r="245" spans="1:4" ht="14.5">
      <c r="A245" t="s">
        <v>5775</v>
      </c>
      <c r="B245" s="380" t="str">
        <f t="shared" si="3"/>
        <v>051-901</v>
      </c>
      <c r="C245" s="76">
        <v>13388</v>
      </c>
      <c r="D245" s="76">
        <v>11849</v>
      </c>
    </row>
    <row r="246" spans="1:4" ht="14.5">
      <c r="A246" t="s">
        <v>4983</v>
      </c>
      <c r="B246" s="380" t="str">
        <f t="shared" si="3"/>
        <v>052-901</v>
      </c>
      <c r="C246" s="76">
        <v>11770</v>
      </c>
      <c r="D246" s="76">
        <v>11849</v>
      </c>
    </row>
    <row r="247" spans="1:4" ht="14.5">
      <c r="A247" t="s">
        <v>5776</v>
      </c>
      <c r="B247" s="380" t="str">
        <f t="shared" si="3"/>
        <v>053-001</v>
      </c>
      <c r="C247" s="76">
        <v>13345</v>
      </c>
      <c r="D247" s="76">
        <v>11849</v>
      </c>
    </row>
    <row r="248" spans="1:4" ht="14.5">
      <c r="A248" t="s">
        <v>5777</v>
      </c>
      <c r="B248" s="380" t="str">
        <f t="shared" si="3"/>
        <v>054-901</v>
      </c>
      <c r="C248" s="76">
        <v>13659</v>
      </c>
      <c r="D248" s="76">
        <v>11849</v>
      </c>
    </row>
    <row r="249" spans="1:4" ht="14.5">
      <c r="A249" t="s">
        <v>5778</v>
      </c>
      <c r="B249" s="380" t="str">
        <f t="shared" si="3"/>
        <v>054-902</v>
      </c>
      <c r="C249" s="76">
        <v>11610</v>
      </c>
      <c r="D249" s="76">
        <v>11849</v>
      </c>
    </row>
    <row r="250" spans="1:4" ht="14.5">
      <c r="A250" t="s">
        <v>5779</v>
      </c>
      <c r="B250" s="380" t="str">
        <f t="shared" si="3"/>
        <v>054-903</v>
      </c>
      <c r="C250" s="76">
        <v>12070</v>
      </c>
      <c r="D250" s="76">
        <v>11849</v>
      </c>
    </row>
    <row r="251" spans="1:4" ht="14.5">
      <c r="A251" t="s">
        <v>4984</v>
      </c>
      <c r="B251" s="380" t="str">
        <f t="shared" si="3"/>
        <v>055-901</v>
      </c>
      <c r="C251" s="76">
        <v>20263</v>
      </c>
      <c r="D251" s="76">
        <v>11849</v>
      </c>
    </row>
    <row r="252" spans="1:4" ht="14.5">
      <c r="A252" t="s">
        <v>4985</v>
      </c>
      <c r="B252" s="380" t="str">
        <f t="shared" si="3"/>
        <v>056-901</v>
      </c>
      <c r="C252" s="76">
        <v>10045</v>
      </c>
      <c r="D252" s="76">
        <v>9378</v>
      </c>
    </row>
    <row r="253" spans="1:4" ht="14.5">
      <c r="A253" t="s">
        <v>5780</v>
      </c>
      <c r="B253" s="380" t="str">
        <f t="shared" si="3"/>
        <v>056-902</v>
      </c>
      <c r="C253" s="76">
        <v>13713</v>
      </c>
      <c r="D253" s="76">
        <v>11849</v>
      </c>
    </row>
    <row r="254" spans="1:4" ht="14.5">
      <c r="A254" t="s">
        <v>7951</v>
      </c>
      <c r="B254" s="380" t="str">
        <f t="shared" si="3"/>
        <v>057-802</v>
      </c>
      <c r="C254" s="76">
        <v>10876</v>
      </c>
      <c r="D254" s="76">
        <v>11111</v>
      </c>
    </row>
    <row r="255" spans="1:4" ht="14.5">
      <c r="A255" t="s">
        <v>7952</v>
      </c>
      <c r="B255" s="380" t="str">
        <f t="shared" si="3"/>
        <v>057-803</v>
      </c>
      <c r="C255" s="76">
        <v>10436</v>
      </c>
      <c r="D255" s="76">
        <v>10484</v>
      </c>
    </row>
    <row r="256" spans="1:4" ht="14.5">
      <c r="A256" t="s">
        <v>7953</v>
      </c>
      <c r="B256" s="380" t="str">
        <f t="shared" si="3"/>
        <v>057-804</v>
      </c>
      <c r="C256" s="76">
        <v>10735</v>
      </c>
      <c r="D256" s="76">
        <v>11292</v>
      </c>
    </row>
    <row r="257" spans="1:4" ht="14.5">
      <c r="A257" t="s">
        <v>7954</v>
      </c>
      <c r="B257" s="380" t="str">
        <f t="shared" si="3"/>
        <v>057-805</v>
      </c>
      <c r="C257" s="76">
        <v>10625</v>
      </c>
      <c r="D257" s="76">
        <v>10650</v>
      </c>
    </row>
    <row r="258" spans="1:4" ht="14.5">
      <c r="A258" t="s">
        <v>7955</v>
      </c>
      <c r="B258" s="380" t="str">
        <f t="shared" si="3"/>
        <v>057-806</v>
      </c>
      <c r="C258" s="76">
        <v>10576</v>
      </c>
      <c r="D258" s="76">
        <v>10707</v>
      </c>
    </row>
    <row r="259" spans="1:4" ht="14.5">
      <c r="A259" t="s">
        <v>7956</v>
      </c>
      <c r="B259" s="380" t="str">
        <f t="shared" si="3"/>
        <v>057-807</v>
      </c>
      <c r="C259" s="76">
        <v>10574</v>
      </c>
      <c r="D259" s="76">
        <v>10502</v>
      </c>
    </row>
    <row r="260" spans="1:4" ht="14.5">
      <c r="A260" t="s">
        <v>7957</v>
      </c>
      <c r="B260" s="380" t="str">
        <f t="shared" ref="B260:B323" si="4">CONCATENATE(LEFT(RIGHT(CONCATENATE("000",A260),6),3),"-",(RIGHT(RIGHT(CONCATENATE("000",A260),6),3)))</f>
        <v>057-808</v>
      </c>
      <c r="C260" s="76">
        <v>9337</v>
      </c>
      <c r="D260" s="76">
        <v>9324</v>
      </c>
    </row>
    <row r="261" spans="1:4" ht="14.5">
      <c r="A261" t="s">
        <v>7958</v>
      </c>
      <c r="B261" s="380" t="str">
        <f t="shared" si="4"/>
        <v>057-809</v>
      </c>
      <c r="C261" s="76">
        <v>10553</v>
      </c>
      <c r="D261" s="76">
        <v>10676</v>
      </c>
    </row>
    <row r="262" spans="1:4" ht="14.5">
      <c r="A262" t="s">
        <v>7959</v>
      </c>
      <c r="B262" s="380" t="str">
        <f t="shared" si="4"/>
        <v>057-810</v>
      </c>
      <c r="C262" s="76">
        <v>10670</v>
      </c>
      <c r="D262" s="76">
        <v>10787</v>
      </c>
    </row>
    <row r="263" spans="1:4" ht="14.5">
      <c r="A263" t="s">
        <v>7960</v>
      </c>
      <c r="B263" s="380" t="str">
        <f t="shared" si="4"/>
        <v>057-813</v>
      </c>
      <c r="C263" s="76">
        <v>10935</v>
      </c>
      <c r="D263" s="76">
        <v>10840</v>
      </c>
    </row>
    <row r="264" spans="1:4" ht="14.5">
      <c r="A264" t="s">
        <v>7961</v>
      </c>
      <c r="B264" s="380" t="str">
        <f t="shared" si="4"/>
        <v>057-814</v>
      </c>
      <c r="C264" s="76">
        <v>14707</v>
      </c>
      <c r="D264" s="76">
        <v>11849</v>
      </c>
    </row>
    <row r="265" spans="1:4" ht="14.5">
      <c r="A265" t="s">
        <v>7962</v>
      </c>
      <c r="B265" s="380" t="str">
        <f t="shared" si="4"/>
        <v>057-816</v>
      </c>
      <c r="C265" s="76">
        <v>10411</v>
      </c>
      <c r="D265" s="76">
        <v>10668</v>
      </c>
    </row>
    <row r="266" spans="1:4" ht="14.5">
      <c r="A266" t="s">
        <v>7963</v>
      </c>
      <c r="B266" s="380" t="str">
        <f t="shared" si="4"/>
        <v>057-819</v>
      </c>
      <c r="C266" s="76">
        <v>10710</v>
      </c>
      <c r="D266" s="76">
        <v>10896</v>
      </c>
    </row>
    <row r="267" spans="1:4" ht="14.5">
      <c r="A267" t="s">
        <v>7964</v>
      </c>
      <c r="B267" s="380" t="str">
        <f t="shared" si="4"/>
        <v>057-827</v>
      </c>
      <c r="C267" s="76">
        <v>10479</v>
      </c>
      <c r="D267" s="76">
        <v>10585</v>
      </c>
    </row>
    <row r="268" spans="1:4" ht="14.5">
      <c r="A268" t="s">
        <v>7965</v>
      </c>
      <c r="B268" s="380" t="str">
        <f t="shared" si="4"/>
        <v>057-828</v>
      </c>
      <c r="C268" s="76">
        <v>11111</v>
      </c>
      <c r="D268" s="76">
        <v>10996</v>
      </c>
    </row>
    <row r="269" spans="1:4" ht="14.5">
      <c r="A269" t="s">
        <v>7966</v>
      </c>
      <c r="B269" s="380" t="str">
        <f t="shared" si="4"/>
        <v>057-829</v>
      </c>
      <c r="C269" s="76">
        <v>10996</v>
      </c>
      <c r="D269" s="76">
        <v>11036</v>
      </c>
    </row>
    <row r="270" spans="1:4" ht="14.5">
      <c r="A270" t="s">
        <v>7967</v>
      </c>
      <c r="B270" s="380" t="str">
        <f t="shared" si="4"/>
        <v>057-830</v>
      </c>
      <c r="C270" s="76">
        <v>10841</v>
      </c>
      <c r="D270" s="76">
        <v>11020</v>
      </c>
    </row>
    <row r="271" spans="1:4" ht="14.5">
      <c r="A271" t="s">
        <v>7968</v>
      </c>
      <c r="B271" s="380" t="str">
        <f t="shared" si="4"/>
        <v>057-831</v>
      </c>
      <c r="C271" s="76">
        <v>10891</v>
      </c>
      <c r="D271" s="76">
        <v>10722</v>
      </c>
    </row>
    <row r="272" spans="1:4" ht="14.5">
      <c r="A272" t="s">
        <v>7969</v>
      </c>
      <c r="B272" s="380" t="str">
        <f t="shared" si="4"/>
        <v>057-833</v>
      </c>
      <c r="C272" s="76">
        <v>9985</v>
      </c>
      <c r="D272" s="76">
        <v>9862</v>
      </c>
    </row>
    <row r="273" spans="1:4" ht="14.5">
      <c r="A273" t="s">
        <v>7970</v>
      </c>
      <c r="B273" s="380" t="str">
        <f t="shared" si="4"/>
        <v>057-834</v>
      </c>
      <c r="C273" s="76">
        <v>11267</v>
      </c>
      <c r="D273" s="76">
        <v>11849</v>
      </c>
    </row>
    <row r="274" spans="1:4" ht="14.5">
      <c r="A274" t="s">
        <v>7971</v>
      </c>
      <c r="B274" s="380" t="str">
        <f t="shared" si="4"/>
        <v>057-835</v>
      </c>
      <c r="C274" s="76">
        <v>10832</v>
      </c>
      <c r="D274" s="76">
        <v>10977</v>
      </c>
    </row>
    <row r="275" spans="1:4" ht="14.5">
      <c r="A275" t="s">
        <v>7972</v>
      </c>
      <c r="B275" s="380" t="str">
        <f t="shared" si="4"/>
        <v>057-836</v>
      </c>
      <c r="C275" s="76">
        <v>10322</v>
      </c>
      <c r="D275" s="76">
        <v>10252</v>
      </c>
    </row>
    <row r="276" spans="1:4" ht="14.5">
      <c r="A276" t="s">
        <v>7973</v>
      </c>
      <c r="B276" s="380" t="str">
        <f t="shared" si="4"/>
        <v>057-839</v>
      </c>
      <c r="C276" s="76">
        <v>11362</v>
      </c>
      <c r="D276" s="76">
        <v>11257</v>
      </c>
    </row>
    <row r="277" spans="1:4" ht="14.5">
      <c r="A277" t="s">
        <v>7974</v>
      </c>
      <c r="B277" s="380" t="str">
        <f t="shared" si="4"/>
        <v>057-840</v>
      </c>
      <c r="C277" s="76">
        <v>9213</v>
      </c>
      <c r="D277" s="76">
        <v>9180</v>
      </c>
    </row>
    <row r="278" spans="1:4" ht="14.5">
      <c r="A278" t="s">
        <v>7975</v>
      </c>
      <c r="B278" s="380" t="str">
        <f t="shared" si="4"/>
        <v>057-841</v>
      </c>
      <c r="C278" s="76">
        <v>10481</v>
      </c>
      <c r="D278" s="76">
        <v>10534</v>
      </c>
    </row>
    <row r="279" spans="1:4" ht="14.5">
      <c r="A279" t="s">
        <v>7976</v>
      </c>
      <c r="B279" s="380" t="str">
        <f t="shared" si="4"/>
        <v>057-844</v>
      </c>
      <c r="C279" s="76">
        <v>10659</v>
      </c>
      <c r="D279" s="76">
        <v>10424</v>
      </c>
    </row>
    <row r="280" spans="1:4" ht="14.5">
      <c r="A280" t="s">
        <v>7977</v>
      </c>
      <c r="B280" s="380" t="str">
        <f t="shared" si="4"/>
        <v>057-845</v>
      </c>
      <c r="C280" s="76">
        <v>9082</v>
      </c>
      <c r="D280" s="76">
        <v>9028</v>
      </c>
    </row>
    <row r="281" spans="1:4" ht="14.5">
      <c r="A281" t="s">
        <v>7978</v>
      </c>
      <c r="B281" s="380" t="str">
        <f t="shared" si="4"/>
        <v>057-846</v>
      </c>
      <c r="C281" s="76">
        <v>10572</v>
      </c>
      <c r="D281" s="76">
        <v>10559</v>
      </c>
    </row>
    <row r="282" spans="1:4" ht="14.5">
      <c r="A282" t="s">
        <v>7979</v>
      </c>
      <c r="B282" s="380" t="str">
        <f t="shared" si="4"/>
        <v>057-847</v>
      </c>
      <c r="C282" s="76">
        <v>9656</v>
      </c>
      <c r="D282" s="76">
        <v>9627</v>
      </c>
    </row>
    <row r="283" spans="1:4" ht="14.5">
      <c r="A283" t="s">
        <v>7980</v>
      </c>
      <c r="B283" s="380" t="str">
        <f t="shared" si="4"/>
        <v>057-848</v>
      </c>
      <c r="C283" s="76">
        <v>10121</v>
      </c>
      <c r="D283" s="76">
        <v>10219</v>
      </c>
    </row>
    <row r="284" spans="1:4" ht="14.5">
      <c r="A284" t="s">
        <v>7982</v>
      </c>
      <c r="B284" s="380" t="str">
        <f t="shared" si="4"/>
        <v>057-850</v>
      </c>
      <c r="C284" s="76">
        <v>9665</v>
      </c>
      <c r="D284" s="76">
        <v>9525</v>
      </c>
    </row>
    <row r="285" spans="1:4" ht="14.5">
      <c r="A285" t="s">
        <v>7983</v>
      </c>
      <c r="B285" s="380" t="str">
        <f t="shared" si="4"/>
        <v>057-851</v>
      </c>
      <c r="C285" s="76">
        <v>9806</v>
      </c>
      <c r="D285" s="76">
        <v>10394</v>
      </c>
    </row>
    <row r="286" spans="1:4" ht="14.5">
      <c r="A286" t="s">
        <v>4986</v>
      </c>
      <c r="B286" s="380" t="str">
        <f t="shared" si="4"/>
        <v>057-903</v>
      </c>
      <c r="C286" s="76">
        <v>10145</v>
      </c>
      <c r="D286" s="76">
        <v>11025</v>
      </c>
    </row>
    <row r="287" spans="1:4" ht="14.5">
      <c r="A287" t="s">
        <v>4987</v>
      </c>
      <c r="B287" s="380" t="str">
        <f t="shared" si="4"/>
        <v>057-904</v>
      </c>
      <c r="C287" s="76">
        <v>8911</v>
      </c>
      <c r="D287" s="76">
        <v>8574</v>
      </c>
    </row>
    <row r="288" spans="1:4" ht="14.5">
      <c r="A288" t="s">
        <v>4988</v>
      </c>
      <c r="B288" s="380" t="str">
        <f t="shared" si="4"/>
        <v>057-905</v>
      </c>
      <c r="C288" s="76">
        <v>10594</v>
      </c>
      <c r="D288" s="76">
        <v>10392</v>
      </c>
    </row>
    <row r="289" spans="1:4" ht="14.5">
      <c r="A289" t="s">
        <v>2953</v>
      </c>
      <c r="B289" s="380" t="str">
        <f t="shared" si="4"/>
        <v>057-906</v>
      </c>
      <c r="C289" s="76">
        <v>9989</v>
      </c>
      <c r="D289" s="76">
        <v>9979</v>
      </c>
    </row>
    <row r="290" spans="1:4" ht="14.5">
      <c r="A290" t="s">
        <v>4989</v>
      </c>
      <c r="B290" s="380" t="str">
        <f t="shared" si="4"/>
        <v>057-907</v>
      </c>
      <c r="C290" s="76">
        <v>10153</v>
      </c>
      <c r="D290" s="76">
        <v>9991</v>
      </c>
    </row>
    <row r="291" spans="1:4" ht="14.5">
      <c r="A291" t="s">
        <v>2954</v>
      </c>
      <c r="B291" s="380" t="str">
        <f t="shared" si="4"/>
        <v>057-909</v>
      </c>
      <c r="C291" s="76">
        <v>9281</v>
      </c>
      <c r="D291" s="76">
        <v>9144</v>
      </c>
    </row>
    <row r="292" spans="1:4" ht="14.5">
      <c r="A292" t="s">
        <v>2955</v>
      </c>
      <c r="B292" s="380" t="str">
        <f t="shared" si="4"/>
        <v>057-910</v>
      </c>
      <c r="C292" s="76">
        <v>10380</v>
      </c>
      <c r="D292" s="76">
        <v>9912</v>
      </c>
    </row>
    <row r="293" spans="1:4" ht="14.5">
      <c r="A293" t="s">
        <v>4990</v>
      </c>
      <c r="B293" s="380" t="str">
        <f t="shared" si="4"/>
        <v>057-911</v>
      </c>
      <c r="C293" s="76">
        <v>8298</v>
      </c>
      <c r="D293" s="76">
        <v>8514</v>
      </c>
    </row>
    <row r="294" spans="1:4" ht="14.5">
      <c r="A294" t="s">
        <v>2956</v>
      </c>
      <c r="B294" s="380" t="str">
        <f t="shared" si="4"/>
        <v>057-912</v>
      </c>
      <c r="C294" s="76">
        <v>9782</v>
      </c>
      <c r="D294" s="76">
        <v>10074</v>
      </c>
    </row>
    <row r="295" spans="1:4" ht="14.5">
      <c r="A295" t="s">
        <v>4991</v>
      </c>
      <c r="B295" s="380" t="str">
        <f t="shared" si="4"/>
        <v>057-913</v>
      </c>
      <c r="C295" s="76">
        <v>10010</v>
      </c>
      <c r="D295" s="76">
        <v>10245</v>
      </c>
    </row>
    <row r="296" spans="1:4" ht="14.5">
      <c r="A296" t="s">
        <v>2957</v>
      </c>
      <c r="B296" s="380" t="str">
        <f t="shared" si="4"/>
        <v>057-914</v>
      </c>
      <c r="C296" s="76">
        <v>9340</v>
      </c>
      <c r="D296" s="76">
        <v>9221</v>
      </c>
    </row>
    <row r="297" spans="1:4" ht="14.5">
      <c r="A297" t="s">
        <v>4992</v>
      </c>
      <c r="B297" s="380" t="str">
        <f t="shared" si="4"/>
        <v>057-916</v>
      </c>
      <c r="C297" s="76">
        <v>9380</v>
      </c>
      <c r="D297" s="76">
        <v>9430</v>
      </c>
    </row>
    <row r="298" spans="1:4" ht="14.5">
      <c r="A298" t="s">
        <v>4993</v>
      </c>
      <c r="B298" s="380" t="str">
        <f t="shared" si="4"/>
        <v>057-919</v>
      </c>
      <c r="C298" s="76">
        <v>9074</v>
      </c>
      <c r="D298" s="76">
        <v>8991</v>
      </c>
    </row>
    <row r="299" spans="1:4" ht="14.5">
      <c r="A299" t="s">
        <v>4994</v>
      </c>
      <c r="B299" s="380" t="str">
        <f t="shared" si="4"/>
        <v>057-922</v>
      </c>
      <c r="C299" s="76">
        <v>8623</v>
      </c>
      <c r="D299" s="76">
        <v>8826</v>
      </c>
    </row>
    <row r="300" spans="1:4" ht="14.5">
      <c r="A300" t="s">
        <v>8504</v>
      </c>
      <c r="B300" s="380" t="str">
        <f t="shared" si="4"/>
        <v>057-950</v>
      </c>
      <c r="C300" s="76">
        <v>11770</v>
      </c>
      <c r="D300" s="76">
        <v>11849</v>
      </c>
    </row>
    <row r="301" spans="1:4" ht="14.5">
      <c r="A301" t="s">
        <v>5781</v>
      </c>
      <c r="B301" s="380" t="str">
        <f t="shared" si="4"/>
        <v>058-902</v>
      </c>
      <c r="C301" s="76">
        <v>11770</v>
      </c>
      <c r="D301" s="76">
        <v>11849</v>
      </c>
    </row>
    <row r="302" spans="1:4" ht="14.5">
      <c r="A302" t="s">
        <v>4995</v>
      </c>
      <c r="B302" s="380" t="str">
        <f t="shared" si="4"/>
        <v>058-905</v>
      </c>
      <c r="C302" s="76">
        <v>21051</v>
      </c>
      <c r="D302" s="76">
        <v>11849</v>
      </c>
    </row>
    <row r="303" spans="1:4" ht="14.5">
      <c r="A303" t="s">
        <v>5782</v>
      </c>
      <c r="B303" s="380" t="str">
        <f t="shared" si="4"/>
        <v>058-906</v>
      </c>
      <c r="C303" s="76">
        <v>9873</v>
      </c>
      <c r="D303" s="76">
        <v>11849</v>
      </c>
    </row>
    <row r="304" spans="1:4" ht="14.5">
      <c r="A304" t="s">
        <v>4996</v>
      </c>
      <c r="B304" s="380" t="str">
        <f t="shared" si="4"/>
        <v>058-909</v>
      </c>
      <c r="C304" s="76">
        <v>20262</v>
      </c>
      <c r="D304" s="76">
        <v>11849</v>
      </c>
    </row>
    <row r="305" spans="1:4" ht="14.5">
      <c r="A305" t="s">
        <v>3768</v>
      </c>
      <c r="B305" s="380" t="str">
        <f t="shared" si="4"/>
        <v>059-901</v>
      </c>
      <c r="C305" s="76">
        <v>9018</v>
      </c>
      <c r="D305" s="76">
        <v>9269</v>
      </c>
    </row>
    <row r="306" spans="1:4" ht="14.5">
      <c r="A306" t="s">
        <v>5783</v>
      </c>
      <c r="B306" s="380" t="str">
        <f t="shared" si="4"/>
        <v>059-902</v>
      </c>
      <c r="C306" s="76">
        <v>11279</v>
      </c>
      <c r="D306" s="76">
        <v>11382</v>
      </c>
    </row>
    <row r="307" spans="1:4" ht="14.5">
      <c r="A307" t="s">
        <v>2958</v>
      </c>
      <c r="B307" s="380" t="str">
        <f t="shared" si="4"/>
        <v>060-902</v>
      </c>
      <c r="C307" s="76">
        <v>11826</v>
      </c>
      <c r="D307" s="76">
        <v>11849</v>
      </c>
    </row>
    <row r="308" spans="1:4" ht="14.5">
      <c r="A308" t="s">
        <v>2959</v>
      </c>
      <c r="B308" s="380" t="str">
        <f t="shared" si="4"/>
        <v>060-914</v>
      </c>
      <c r="C308" s="76">
        <v>15562</v>
      </c>
      <c r="D308" s="76">
        <v>11849</v>
      </c>
    </row>
    <row r="309" spans="1:4" ht="14.5">
      <c r="A309" t="s">
        <v>7984</v>
      </c>
      <c r="B309" s="380" t="str">
        <f t="shared" si="4"/>
        <v>061-501</v>
      </c>
      <c r="C309" s="76">
        <v>7980</v>
      </c>
      <c r="D309" s="76">
        <v>7980</v>
      </c>
    </row>
    <row r="310" spans="1:4" ht="14.5">
      <c r="A310" t="s">
        <v>7986</v>
      </c>
      <c r="B310" s="380" t="str">
        <f t="shared" si="4"/>
        <v>061-802</v>
      </c>
      <c r="C310" s="76">
        <v>11208</v>
      </c>
      <c r="D310" s="76">
        <v>10805</v>
      </c>
    </row>
    <row r="311" spans="1:4" ht="14.5">
      <c r="A311" t="s">
        <v>7987</v>
      </c>
      <c r="B311" s="380" t="str">
        <f t="shared" si="4"/>
        <v>061-804</v>
      </c>
      <c r="C311" s="76">
        <v>8982</v>
      </c>
      <c r="D311" s="76">
        <v>8915</v>
      </c>
    </row>
    <row r="312" spans="1:4" ht="14.5">
      <c r="A312" t="s">
        <v>7988</v>
      </c>
      <c r="B312" s="380" t="str">
        <f t="shared" si="4"/>
        <v>061-805</v>
      </c>
      <c r="C312" s="76">
        <v>8918</v>
      </c>
      <c r="D312" s="76">
        <v>8900</v>
      </c>
    </row>
    <row r="313" spans="1:4" ht="14.5">
      <c r="A313" t="s">
        <v>4997</v>
      </c>
      <c r="B313" s="380" t="str">
        <f t="shared" si="4"/>
        <v>061-901</v>
      </c>
      <c r="C313" s="76">
        <v>9036</v>
      </c>
      <c r="D313" s="76">
        <v>9390</v>
      </c>
    </row>
    <row r="314" spans="1:4" ht="14.5">
      <c r="A314" t="s">
        <v>2960</v>
      </c>
      <c r="B314" s="380" t="str">
        <f t="shared" si="4"/>
        <v>061-902</v>
      </c>
      <c r="C314" s="76">
        <v>8588</v>
      </c>
      <c r="D314" s="76">
        <v>8890</v>
      </c>
    </row>
    <row r="315" spans="1:4" ht="14.5">
      <c r="A315" t="s">
        <v>3776</v>
      </c>
      <c r="B315" s="380" t="str">
        <f t="shared" si="4"/>
        <v>061-903</v>
      </c>
      <c r="C315" s="76">
        <v>11175</v>
      </c>
      <c r="D315" s="76">
        <v>11229</v>
      </c>
    </row>
    <row r="316" spans="1:4" ht="14.5">
      <c r="A316" t="s">
        <v>2961</v>
      </c>
      <c r="B316" s="380" t="str">
        <f t="shared" si="4"/>
        <v>061-905</v>
      </c>
      <c r="C316" s="76">
        <v>9695</v>
      </c>
      <c r="D316" s="76">
        <v>10198</v>
      </c>
    </row>
    <row r="317" spans="1:4" ht="14.5">
      <c r="A317" t="s">
        <v>2962</v>
      </c>
      <c r="B317" s="380" t="str">
        <f t="shared" si="4"/>
        <v>061-906</v>
      </c>
      <c r="C317" s="76">
        <v>7915</v>
      </c>
      <c r="D317" s="76">
        <v>8654</v>
      </c>
    </row>
    <row r="318" spans="1:4" ht="14.5">
      <c r="A318" t="s">
        <v>2963</v>
      </c>
      <c r="B318" s="380" t="str">
        <f t="shared" si="4"/>
        <v>061-907</v>
      </c>
      <c r="C318" s="76">
        <v>9797</v>
      </c>
      <c r="D318" s="76">
        <v>9558</v>
      </c>
    </row>
    <row r="319" spans="1:4" ht="14.5">
      <c r="A319" t="s">
        <v>2964</v>
      </c>
      <c r="B319" s="380" t="str">
        <f t="shared" si="4"/>
        <v>061-908</v>
      </c>
      <c r="C319" s="76">
        <v>10363</v>
      </c>
      <c r="D319" s="76">
        <v>9971</v>
      </c>
    </row>
    <row r="320" spans="1:4" ht="14.5">
      <c r="A320" t="s">
        <v>4998</v>
      </c>
      <c r="B320" s="380" t="str">
        <f t="shared" si="4"/>
        <v>061-910</v>
      </c>
      <c r="C320" s="76">
        <v>9118</v>
      </c>
      <c r="D320" s="76">
        <v>9415</v>
      </c>
    </row>
    <row r="321" spans="1:4" ht="14.5">
      <c r="A321" t="s">
        <v>2965</v>
      </c>
      <c r="B321" s="380" t="str">
        <f t="shared" si="4"/>
        <v>061-911</v>
      </c>
      <c r="C321" s="76">
        <v>8498</v>
      </c>
      <c r="D321" s="76">
        <v>8506</v>
      </c>
    </row>
    <row r="322" spans="1:4" ht="14.5">
      <c r="A322" t="s">
        <v>2966</v>
      </c>
      <c r="B322" s="380" t="str">
        <f t="shared" si="4"/>
        <v>061-912</v>
      </c>
      <c r="C322" s="76">
        <v>9488</v>
      </c>
      <c r="D322" s="76">
        <v>9790</v>
      </c>
    </row>
    <row r="323" spans="1:4" ht="14.5">
      <c r="A323" t="s">
        <v>2967</v>
      </c>
      <c r="B323" s="380" t="str">
        <f t="shared" si="4"/>
        <v>061-914</v>
      </c>
      <c r="C323" s="76">
        <v>9635</v>
      </c>
      <c r="D323" s="76">
        <v>9440</v>
      </c>
    </row>
    <row r="324" spans="1:4" ht="14.5">
      <c r="A324" t="s">
        <v>2968</v>
      </c>
      <c r="B324" s="380" t="str">
        <f t="shared" ref="B324:B387" si="5">CONCATENATE(LEFT(RIGHT(CONCATENATE("000",A324),6),3),"-",(RIGHT(RIGHT(CONCATENATE("000",A324),6),3)))</f>
        <v>062-901</v>
      </c>
      <c r="C324" s="76">
        <v>8441</v>
      </c>
      <c r="D324" s="76">
        <v>11650</v>
      </c>
    </row>
    <row r="325" spans="1:4" ht="14.5">
      <c r="A325" t="s">
        <v>4999</v>
      </c>
      <c r="B325" s="380" t="str">
        <f t="shared" si="5"/>
        <v>062-902</v>
      </c>
      <c r="C325" s="76">
        <v>12577</v>
      </c>
      <c r="D325" s="76">
        <v>11849</v>
      </c>
    </row>
    <row r="326" spans="1:4" ht="14.5">
      <c r="A326" t="s">
        <v>2969</v>
      </c>
      <c r="B326" s="380" t="str">
        <f t="shared" si="5"/>
        <v>062-903</v>
      </c>
      <c r="C326" s="76">
        <v>10226</v>
      </c>
      <c r="D326" s="76">
        <v>10846</v>
      </c>
    </row>
    <row r="327" spans="1:4" ht="14.5">
      <c r="A327" t="s">
        <v>5000</v>
      </c>
      <c r="B327" s="380" t="str">
        <f t="shared" si="5"/>
        <v>062-904</v>
      </c>
      <c r="C327" s="76">
        <v>11770</v>
      </c>
      <c r="D327" s="76">
        <v>11849</v>
      </c>
    </row>
    <row r="328" spans="1:4" ht="14.5">
      <c r="A328" t="s">
        <v>5784</v>
      </c>
      <c r="B328" s="380" t="str">
        <f t="shared" si="5"/>
        <v>062-905</v>
      </c>
      <c r="C328" s="76">
        <v>13661</v>
      </c>
      <c r="D328" s="76">
        <v>11849</v>
      </c>
    </row>
    <row r="329" spans="1:4" ht="14.5">
      <c r="A329" t="s">
        <v>5785</v>
      </c>
      <c r="B329" s="380" t="str">
        <f t="shared" si="5"/>
        <v>062-906</v>
      </c>
      <c r="C329" s="76">
        <v>10319</v>
      </c>
      <c r="D329" s="76">
        <v>10483</v>
      </c>
    </row>
    <row r="330" spans="1:4" ht="14.5">
      <c r="A330" t="s">
        <v>5001</v>
      </c>
      <c r="B330" s="380" t="str">
        <f t="shared" si="5"/>
        <v>063-903</v>
      </c>
      <c r="C330" s="76">
        <v>11230</v>
      </c>
      <c r="D330" s="76">
        <v>11849</v>
      </c>
    </row>
    <row r="331" spans="1:4" ht="14.5">
      <c r="A331" t="s">
        <v>5786</v>
      </c>
      <c r="B331" s="380" t="str">
        <f t="shared" si="5"/>
        <v>063-906</v>
      </c>
      <c r="C331" s="76">
        <v>19744</v>
      </c>
      <c r="D331" s="76">
        <v>11849</v>
      </c>
    </row>
    <row r="332" spans="1:4" ht="14.5">
      <c r="A332" t="s">
        <v>2970</v>
      </c>
      <c r="B332" s="380" t="str">
        <f t="shared" si="5"/>
        <v>064-903</v>
      </c>
      <c r="C332" s="76">
        <v>10844</v>
      </c>
      <c r="D332" s="76">
        <v>11849</v>
      </c>
    </row>
    <row r="333" spans="1:4" ht="14.5">
      <c r="A333" t="s">
        <v>5787</v>
      </c>
      <c r="B333" s="380" t="str">
        <f t="shared" si="5"/>
        <v>065-901</v>
      </c>
      <c r="C333" s="76">
        <v>13293</v>
      </c>
      <c r="D333" s="76">
        <v>11849</v>
      </c>
    </row>
    <row r="334" spans="1:4" ht="14.5">
      <c r="A334" t="s">
        <v>2971</v>
      </c>
      <c r="B334" s="380" t="str">
        <f t="shared" si="5"/>
        <v>065-902</v>
      </c>
      <c r="C334" s="76">
        <v>18071</v>
      </c>
      <c r="D334" s="76">
        <v>11849</v>
      </c>
    </row>
    <row r="335" spans="1:4" ht="14.5">
      <c r="A335" t="s">
        <v>5788</v>
      </c>
      <c r="B335" s="380" t="str">
        <f t="shared" si="5"/>
        <v>066-005</v>
      </c>
      <c r="C335" s="76">
        <v>17753</v>
      </c>
      <c r="D335" s="76">
        <v>11849</v>
      </c>
    </row>
    <row r="336" spans="1:4" ht="14.5">
      <c r="A336" t="s">
        <v>5002</v>
      </c>
      <c r="B336" s="380" t="str">
        <f t="shared" si="5"/>
        <v>066-901</v>
      </c>
      <c r="C336" s="76">
        <v>12244</v>
      </c>
      <c r="D336" s="76">
        <v>11849</v>
      </c>
    </row>
    <row r="337" spans="1:4" ht="14.5">
      <c r="A337" t="s">
        <v>2972</v>
      </c>
      <c r="B337" s="380" t="str">
        <f t="shared" si="5"/>
        <v>066-902</v>
      </c>
      <c r="C337" s="76">
        <v>10698</v>
      </c>
      <c r="D337" s="76">
        <v>10312</v>
      </c>
    </row>
    <row r="338" spans="1:4" ht="14.5">
      <c r="A338" t="s">
        <v>5003</v>
      </c>
      <c r="B338" s="380" t="str">
        <f t="shared" si="5"/>
        <v>066-903</v>
      </c>
      <c r="C338" s="76">
        <v>14028</v>
      </c>
      <c r="D338" s="76">
        <v>11849</v>
      </c>
    </row>
    <row r="339" spans="1:4" ht="14.5">
      <c r="A339" t="s">
        <v>3827</v>
      </c>
      <c r="B339" s="380" t="str">
        <f t="shared" si="5"/>
        <v>067-902</v>
      </c>
      <c r="C339" s="76">
        <v>10601</v>
      </c>
      <c r="D339" s="76">
        <v>11019</v>
      </c>
    </row>
    <row r="340" spans="1:4" ht="14.5">
      <c r="A340" t="s">
        <v>5789</v>
      </c>
      <c r="B340" s="380" t="str">
        <f t="shared" si="5"/>
        <v>067-903</v>
      </c>
      <c r="C340" s="76">
        <v>10132</v>
      </c>
      <c r="D340" s="76">
        <v>10049</v>
      </c>
    </row>
    <row r="341" spans="1:4" ht="14.5">
      <c r="A341" t="s">
        <v>5004</v>
      </c>
      <c r="B341" s="380" t="str">
        <f t="shared" si="5"/>
        <v>067-904</v>
      </c>
      <c r="C341" s="76">
        <v>11864</v>
      </c>
      <c r="D341" s="76">
        <v>11849</v>
      </c>
    </row>
    <row r="342" spans="1:4" ht="14.5">
      <c r="A342" t="s">
        <v>5790</v>
      </c>
      <c r="B342" s="380" t="str">
        <f t="shared" si="5"/>
        <v>067-907</v>
      </c>
      <c r="C342" s="76">
        <v>11770</v>
      </c>
      <c r="D342" s="76">
        <v>11849</v>
      </c>
    </row>
    <row r="343" spans="1:4" ht="14.5">
      <c r="A343" t="s">
        <v>5791</v>
      </c>
      <c r="B343" s="380" t="str">
        <f t="shared" si="5"/>
        <v>067-908</v>
      </c>
      <c r="C343" s="76">
        <v>12221</v>
      </c>
      <c r="D343" s="76">
        <v>11849</v>
      </c>
    </row>
    <row r="344" spans="1:4" ht="14.5">
      <c r="A344" t="s">
        <v>7989</v>
      </c>
      <c r="B344" s="380" t="str">
        <f t="shared" si="5"/>
        <v>068-802</v>
      </c>
      <c r="C344" s="76">
        <v>8996</v>
      </c>
      <c r="D344" s="76">
        <v>9078</v>
      </c>
    </row>
    <row r="345" spans="1:4" ht="14.5">
      <c r="A345" t="s">
        <v>7990</v>
      </c>
      <c r="B345" s="380" t="str">
        <f t="shared" si="5"/>
        <v>068-803</v>
      </c>
      <c r="C345" s="76">
        <v>8973</v>
      </c>
      <c r="D345" s="76">
        <v>9085</v>
      </c>
    </row>
    <row r="346" spans="1:4" ht="14.5">
      <c r="A346" t="s">
        <v>5005</v>
      </c>
      <c r="B346" s="380" t="str">
        <f t="shared" si="5"/>
        <v>068-901</v>
      </c>
      <c r="C346" s="76">
        <v>8600</v>
      </c>
      <c r="D346" s="76">
        <v>9489</v>
      </c>
    </row>
    <row r="347" spans="1:4" ht="14.5">
      <c r="A347" t="s">
        <v>5006</v>
      </c>
      <c r="B347" s="380" t="str">
        <f t="shared" si="5"/>
        <v>069-901</v>
      </c>
      <c r="C347" s="76">
        <v>18524</v>
      </c>
      <c r="D347" s="76">
        <v>11849</v>
      </c>
    </row>
    <row r="348" spans="1:4" ht="14.5">
      <c r="A348" t="s">
        <v>5792</v>
      </c>
      <c r="B348" s="380" t="str">
        <f t="shared" si="5"/>
        <v>069-902</v>
      </c>
      <c r="C348" s="76">
        <v>14372</v>
      </c>
      <c r="D348" s="76">
        <v>11849</v>
      </c>
    </row>
    <row r="349" spans="1:4" ht="14.5">
      <c r="A349" t="s">
        <v>7991</v>
      </c>
      <c r="B349" s="380" t="str">
        <f t="shared" si="5"/>
        <v>070-801</v>
      </c>
      <c r="C349" s="76">
        <v>11221</v>
      </c>
      <c r="D349" s="76">
        <v>11051</v>
      </c>
    </row>
    <row r="350" spans="1:4" ht="14.5">
      <c r="A350" t="s">
        <v>2973</v>
      </c>
      <c r="B350" s="380" t="str">
        <f t="shared" si="5"/>
        <v>070-901</v>
      </c>
      <c r="C350" s="76">
        <v>13054</v>
      </c>
      <c r="D350" s="76">
        <v>11849</v>
      </c>
    </row>
    <row r="351" spans="1:4" ht="14.5">
      <c r="A351" t="s">
        <v>5007</v>
      </c>
      <c r="B351" s="380" t="str">
        <f t="shared" si="5"/>
        <v>070-903</v>
      </c>
      <c r="C351" s="76">
        <v>9586</v>
      </c>
      <c r="D351" s="76">
        <v>10179</v>
      </c>
    </row>
    <row r="352" spans="1:4" ht="14.5">
      <c r="A352" t="s">
        <v>2974</v>
      </c>
      <c r="B352" s="380" t="str">
        <f t="shared" si="5"/>
        <v>070-905</v>
      </c>
      <c r="C352" s="76">
        <v>10904</v>
      </c>
      <c r="D352" s="76">
        <v>11166</v>
      </c>
    </row>
    <row r="353" spans="1:4" ht="14.5">
      <c r="A353" t="s">
        <v>2975</v>
      </c>
      <c r="B353" s="380" t="str">
        <f t="shared" si="5"/>
        <v>070-907</v>
      </c>
      <c r="C353" s="76">
        <v>12287</v>
      </c>
      <c r="D353" s="76">
        <v>11849</v>
      </c>
    </row>
    <row r="354" spans="1:4" ht="14.5">
      <c r="A354" t="s">
        <v>5008</v>
      </c>
      <c r="B354" s="380" t="str">
        <f t="shared" si="5"/>
        <v>070-908</v>
      </c>
      <c r="C354" s="76">
        <v>8555</v>
      </c>
      <c r="D354" s="76">
        <v>8318</v>
      </c>
    </row>
    <row r="355" spans="1:4" ht="14.5">
      <c r="A355" t="s">
        <v>5793</v>
      </c>
      <c r="B355" s="380" t="str">
        <f t="shared" si="5"/>
        <v>070-909</v>
      </c>
      <c r="C355" s="76">
        <v>13547</v>
      </c>
      <c r="D355" s="76">
        <v>11849</v>
      </c>
    </row>
    <row r="356" spans="1:4" ht="14.5">
      <c r="A356" t="s">
        <v>2976</v>
      </c>
      <c r="B356" s="380" t="str">
        <f t="shared" si="5"/>
        <v>070-910</v>
      </c>
      <c r="C356" s="76">
        <v>11102</v>
      </c>
      <c r="D356" s="76">
        <v>11594</v>
      </c>
    </row>
    <row r="357" spans="1:4" ht="14.5">
      <c r="A357" t="s">
        <v>2977</v>
      </c>
      <c r="B357" s="380" t="str">
        <f t="shared" si="5"/>
        <v>070-911</v>
      </c>
      <c r="C357" s="76">
        <v>9707</v>
      </c>
      <c r="D357" s="76">
        <v>9607</v>
      </c>
    </row>
    <row r="358" spans="1:4" ht="14.5">
      <c r="A358" t="s">
        <v>2978</v>
      </c>
      <c r="B358" s="380" t="str">
        <f t="shared" si="5"/>
        <v>070-912</v>
      </c>
      <c r="C358" s="76">
        <v>9923</v>
      </c>
      <c r="D358" s="76">
        <v>9865</v>
      </c>
    </row>
    <row r="359" spans="1:4" ht="14.5">
      <c r="A359" t="s">
        <v>2979</v>
      </c>
      <c r="B359" s="380" t="str">
        <f t="shared" si="5"/>
        <v>070-915</v>
      </c>
      <c r="C359" s="76">
        <v>10219</v>
      </c>
      <c r="D359" s="76">
        <v>10006</v>
      </c>
    </row>
    <row r="360" spans="1:4" ht="14.5">
      <c r="A360" t="s">
        <v>7992</v>
      </c>
      <c r="B360" s="380" t="str">
        <f t="shared" si="5"/>
        <v>071-801</v>
      </c>
      <c r="C360" s="76">
        <v>9864</v>
      </c>
      <c r="D360" s="76">
        <v>9917</v>
      </c>
    </row>
    <row r="361" spans="1:4" ht="14.5">
      <c r="A361" t="s">
        <v>7993</v>
      </c>
      <c r="B361" s="380" t="str">
        <f t="shared" si="5"/>
        <v>071-803</v>
      </c>
      <c r="C361" s="76">
        <v>11274</v>
      </c>
      <c r="D361" s="76">
        <v>11480</v>
      </c>
    </row>
    <row r="362" spans="1:4" ht="14.5">
      <c r="A362" t="s">
        <v>7994</v>
      </c>
      <c r="B362" s="380" t="str">
        <f t="shared" si="5"/>
        <v>071-804</v>
      </c>
      <c r="C362" s="76">
        <v>11213</v>
      </c>
      <c r="D362" s="76">
        <v>11041</v>
      </c>
    </row>
    <row r="363" spans="1:4" ht="14.5">
      <c r="A363" t="s">
        <v>7995</v>
      </c>
      <c r="B363" s="380" t="str">
        <f t="shared" si="5"/>
        <v>071-806</v>
      </c>
      <c r="C363" s="76">
        <v>10287</v>
      </c>
      <c r="D363" s="76">
        <v>10486</v>
      </c>
    </row>
    <row r="364" spans="1:4" ht="14.5">
      <c r="A364" t="s">
        <v>7996</v>
      </c>
      <c r="B364" s="380" t="str">
        <f t="shared" si="5"/>
        <v>071-807</v>
      </c>
      <c r="C364" s="76">
        <v>10536</v>
      </c>
      <c r="D364" s="76">
        <v>10297</v>
      </c>
    </row>
    <row r="365" spans="1:4" ht="14.5">
      <c r="A365" t="s">
        <v>7997</v>
      </c>
      <c r="B365" s="380" t="str">
        <f t="shared" si="5"/>
        <v>071-809</v>
      </c>
      <c r="C365" s="76">
        <v>9915</v>
      </c>
      <c r="D365" s="76">
        <v>9870</v>
      </c>
    </row>
    <row r="366" spans="1:4" ht="14.5">
      <c r="A366" t="s">
        <v>7998</v>
      </c>
      <c r="B366" s="380" t="str">
        <f t="shared" si="5"/>
        <v>071-810</v>
      </c>
      <c r="C366" s="76">
        <v>10860</v>
      </c>
      <c r="D366" s="76">
        <v>10888</v>
      </c>
    </row>
    <row r="367" spans="1:4" ht="14.5">
      <c r="A367" t="s">
        <v>2980</v>
      </c>
      <c r="B367" s="380" t="str">
        <f t="shared" si="5"/>
        <v>071-901</v>
      </c>
      <c r="C367" s="76">
        <v>9708</v>
      </c>
      <c r="D367" s="76">
        <v>9961</v>
      </c>
    </row>
    <row r="368" spans="1:4" ht="14.5">
      <c r="A368" t="s">
        <v>2981</v>
      </c>
      <c r="B368" s="380" t="str">
        <f t="shared" si="5"/>
        <v>071-902</v>
      </c>
      <c r="C368" s="76">
        <v>9713</v>
      </c>
      <c r="D368" s="76">
        <v>9622</v>
      </c>
    </row>
    <row r="369" spans="1:4" ht="14.5">
      <c r="A369" t="s">
        <v>2982</v>
      </c>
      <c r="B369" s="380" t="str">
        <f t="shared" si="5"/>
        <v>071-903</v>
      </c>
      <c r="C369" s="76">
        <v>10878</v>
      </c>
      <c r="D369" s="76">
        <v>10802</v>
      </c>
    </row>
    <row r="370" spans="1:4" ht="14.5">
      <c r="A370" t="s">
        <v>3862</v>
      </c>
      <c r="B370" s="380" t="str">
        <f t="shared" si="5"/>
        <v>071-904</v>
      </c>
      <c r="C370" s="76">
        <v>10715</v>
      </c>
      <c r="D370" s="76">
        <v>10265</v>
      </c>
    </row>
    <row r="371" spans="1:4" ht="14.5">
      <c r="A371" t="s">
        <v>3867</v>
      </c>
      <c r="B371" s="380" t="str">
        <f t="shared" si="5"/>
        <v>071-905</v>
      </c>
      <c r="C371" s="76">
        <v>9630</v>
      </c>
      <c r="D371" s="76">
        <v>9611</v>
      </c>
    </row>
    <row r="372" spans="1:4" ht="14.5">
      <c r="A372" t="s">
        <v>2983</v>
      </c>
      <c r="B372" s="380" t="str">
        <f t="shared" si="5"/>
        <v>071-906</v>
      </c>
      <c r="C372" s="76">
        <v>10861</v>
      </c>
      <c r="D372" s="76">
        <v>10870</v>
      </c>
    </row>
    <row r="373" spans="1:4" ht="14.5">
      <c r="A373" t="s">
        <v>2984</v>
      </c>
      <c r="B373" s="380" t="str">
        <f t="shared" si="5"/>
        <v>071-907</v>
      </c>
      <c r="C373" s="76">
        <v>10111</v>
      </c>
      <c r="D373" s="76">
        <v>10048</v>
      </c>
    </row>
    <row r="374" spans="1:4" ht="14.5">
      <c r="A374" t="s">
        <v>2985</v>
      </c>
      <c r="B374" s="380" t="str">
        <f t="shared" si="5"/>
        <v>071-908</v>
      </c>
      <c r="C374" s="76">
        <v>11770</v>
      </c>
      <c r="D374" s="76">
        <v>11711</v>
      </c>
    </row>
    <row r="375" spans="1:4" ht="14.5">
      <c r="A375" t="s">
        <v>2986</v>
      </c>
      <c r="B375" s="380" t="str">
        <f t="shared" si="5"/>
        <v>071-909</v>
      </c>
      <c r="C375" s="76">
        <v>8722</v>
      </c>
      <c r="D375" s="76">
        <v>8648</v>
      </c>
    </row>
    <row r="376" spans="1:4" ht="14.5">
      <c r="A376" t="s">
        <v>8505</v>
      </c>
      <c r="B376" s="380" t="str">
        <f t="shared" si="5"/>
        <v>071-950</v>
      </c>
      <c r="C376" s="76">
        <v>11770</v>
      </c>
      <c r="D376" s="76">
        <v>11849</v>
      </c>
    </row>
    <row r="377" spans="1:4" ht="14.5">
      <c r="A377" t="s">
        <v>7999</v>
      </c>
      <c r="B377" s="380" t="str">
        <f t="shared" si="5"/>
        <v>072-801</v>
      </c>
      <c r="C377" s="76">
        <v>10644</v>
      </c>
      <c r="D377" s="76">
        <v>10958</v>
      </c>
    </row>
    <row r="378" spans="1:4" ht="14.5">
      <c r="A378" t="s">
        <v>8000</v>
      </c>
      <c r="B378" s="380" t="str">
        <f t="shared" si="5"/>
        <v>072-802</v>
      </c>
      <c r="C378" s="76">
        <v>10370</v>
      </c>
      <c r="D378" s="76">
        <v>10888</v>
      </c>
    </row>
    <row r="379" spans="1:4" ht="14.5">
      <c r="A379" t="s">
        <v>5794</v>
      </c>
      <c r="B379" s="380" t="str">
        <f t="shared" si="5"/>
        <v>072-901</v>
      </c>
      <c r="C379" s="76">
        <v>11594</v>
      </c>
      <c r="D379" s="76">
        <v>11545</v>
      </c>
    </row>
    <row r="380" spans="1:4" ht="14.5">
      <c r="A380" t="s">
        <v>5009</v>
      </c>
      <c r="B380" s="380" t="str">
        <f t="shared" si="5"/>
        <v>072-902</v>
      </c>
      <c r="C380" s="76">
        <v>11770</v>
      </c>
      <c r="D380" s="76">
        <v>10931</v>
      </c>
    </row>
    <row r="381" spans="1:4" ht="14.5">
      <c r="A381" t="s">
        <v>2987</v>
      </c>
      <c r="B381" s="380" t="str">
        <f t="shared" si="5"/>
        <v>072-903</v>
      </c>
      <c r="C381" s="76">
        <v>8913</v>
      </c>
      <c r="D381" s="76">
        <v>8890</v>
      </c>
    </row>
    <row r="382" spans="1:4" ht="14.5">
      <c r="A382" t="s">
        <v>5010</v>
      </c>
      <c r="B382" s="380" t="str">
        <f t="shared" si="5"/>
        <v>072-904</v>
      </c>
      <c r="C382" s="76">
        <v>11902</v>
      </c>
      <c r="D382" s="76">
        <v>11849</v>
      </c>
    </row>
    <row r="383" spans="1:4" ht="14.5">
      <c r="A383" t="s">
        <v>5795</v>
      </c>
      <c r="B383" s="380" t="str">
        <f t="shared" si="5"/>
        <v>072-908</v>
      </c>
      <c r="C383" s="76">
        <v>10386</v>
      </c>
      <c r="D383" s="76">
        <v>10468</v>
      </c>
    </row>
    <row r="384" spans="1:4" ht="14.5">
      <c r="A384" t="s">
        <v>2988</v>
      </c>
      <c r="B384" s="380" t="str">
        <f t="shared" si="5"/>
        <v>072-909</v>
      </c>
      <c r="C384" s="76">
        <v>11940</v>
      </c>
      <c r="D384" s="76">
        <v>11316</v>
      </c>
    </row>
    <row r="385" spans="1:4" ht="14.5">
      <c r="A385" t="s">
        <v>5796</v>
      </c>
      <c r="B385" s="380" t="str">
        <f t="shared" si="5"/>
        <v>072-910</v>
      </c>
      <c r="C385" s="76">
        <v>11770</v>
      </c>
      <c r="D385" s="76">
        <v>11849</v>
      </c>
    </row>
    <row r="386" spans="1:4" ht="14.5">
      <c r="A386" t="s">
        <v>5011</v>
      </c>
      <c r="B386" s="380" t="str">
        <f t="shared" si="5"/>
        <v>073-901</v>
      </c>
      <c r="C386" s="76">
        <v>11770</v>
      </c>
      <c r="D386" s="76">
        <v>11849</v>
      </c>
    </row>
    <row r="387" spans="1:4" ht="14.5">
      <c r="A387" t="s">
        <v>3901</v>
      </c>
      <c r="B387" s="380" t="str">
        <f t="shared" si="5"/>
        <v>073-903</v>
      </c>
      <c r="C387" s="76">
        <v>12244</v>
      </c>
      <c r="D387" s="76">
        <v>11849</v>
      </c>
    </row>
    <row r="388" spans="1:4" ht="14.5">
      <c r="A388" t="s">
        <v>3903</v>
      </c>
      <c r="B388" s="380" t="str">
        <f t="shared" ref="B388:B451" si="6">CONCATENATE(LEFT(RIGHT(CONCATENATE("000",A388),6),3),"-",(RIGHT(RIGHT(CONCATENATE("000",A388),6),3)))</f>
        <v>073-904</v>
      </c>
      <c r="C388" s="76">
        <v>9996</v>
      </c>
      <c r="D388" s="76">
        <v>9833</v>
      </c>
    </row>
    <row r="389" spans="1:4" ht="14.5">
      <c r="A389" t="s">
        <v>5797</v>
      </c>
      <c r="B389" s="380" t="str">
        <f t="shared" si="6"/>
        <v>073-905</v>
      </c>
      <c r="C389" s="76">
        <v>12403</v>
      </c>
      <c r="D389" s="76">
        <v>11849</v>
      </c>
    </row>
    <row r="390" spans="1:4" ht="14.5">
      <c r="A390" t="s">
        <v>5012</v>
      </c>
      <c r="B390" s="380" t="str">
        <f t="shared" si="6"/>
        <v>074-903</v>
      </c>
      <c r="C390" s="76">
        <v>9743</v>
      </c>
      <c r="D390" s="76">
        <v>9731</v>
      </c>
    </row>
    <row r="391" spans="1:4" ht="14.5">
      <c r="A391" t="s">
        <v>2989</v>
      </c>
      <c r="B391" s="380" t="str">
        <f t="shared" si="6"/>
        <v>074-904</v>
      </c>
      <c r="C391" s="76">
        <v>11516</v>
      </c>
      <c r="D391" s="76">
        <v>10926</v>
      </c>
    </row>
    <row r="392" spans="1:4" ht="14.5">
      <c r="A392" t="s">
        <v>2990</v>
      </c>
      <c r="B392" s="380" t="str">
        <f t="shared" si="6"/>
        <v>074-905</v>
      </c>
      <c r="C392" s="76">
        <v>12676</v>
      </c>
      <c r="D392" s="76">
        <v>11849</v>
      </c>
    </row>
    <row r="393" spans="1:4" ht="14.5">
      <c r="A393" t="s">
        <v>2991</v>
      </c>
      <c r="B393" s="380" t="str">
        <f t="shared" si="6"/>
        <v>074-907</v>
      </c>
      <c r="C393" s="76">
        <v>11770</v>
      </c>
      <c r="D393" s="76">
        <v>11849</v>
      </c>
    </row>
    <row r="394" spans="1:4" ht="14.5">
      <c r="A394" t="s">
        <v>5013</v>
      </c>
      <c r="B394" s="380" t="str">
        <f t="shared" si="6"/>
        <v>074-909</v>
      </c>
      <c r="C394" s="76">
        <v>11770</v>
      </c>
      <c r="D394" s="76">
        <v>11600</v>
      </c>
    </row>
    <row r="395" spans="1:4" ht="14.5">
      <c r="A395" t="s">
        <v>5014</v>
      </c>
      <c r="B395" s="380" t="str">
        <f t="shared" si="6"/>
        <v>074-911</v>
      </c>
      <c r="C395" s="76">
        <v>12095</v>
      </c>
      <c r="D395" s="76">
        <v>11849</v>
      </c>
    </row>
    <row r="396" spans="1:4" ht="14.5">
      <c r="A396" t="s">
        <v>2992</v>
      </c>
      <c r="B396" s="380" t="str">
        <f t="shared" si="6"/>
        <v>074-912</v>
      </c>
      <c r="C396" s="76">
        <v>11770</v>
      </c>
      <c r="D396" s="76">
        <v>11849</v>
      </c>
    </row>
    <row r="397" spans="1:4" ht="14.5">
      <c r="A397" t="s">
        <v>2993</v>
      </c>
      <c r="B397" s="380" t="str">
        <f t="shared" si="6"/>
        <v>074-917</v>
      </c>
      <c r="C397" s="76">
        <v>12049</v>
      </c>
      <c r="D397" s="76">
        <v>11849</v>
      </c>
    </row>
    <row r="398" spans="1:4" ht="14.5">
      <c r="A398" t="s">
        <v>5015</v>
      </c>
      <c r="B398" s="380" t="str">
        <f t="shared" si="6"/>
        <v>075-901</v>
      </c>
      <c r="C398" s="76">
        <v>11756</v>
      </c>
      <c r="D398" s="76">
        <v>11849</v>
      </c>
    </row>
    <row r="399" spans="1:4" ht="14.5">
      <c r="A399" t="s">
        <v>5798</v>
      </c>
      <c r="B399" s="380" t="str">
        <f t="shared" si="6"/>
        <v>075-902</v>
      </c>
      <c r="C399" s="76">
        <v>9061</v>
      </c>
      <c r="D399" s="76">
        <v>9566</v>
      </c>
    </row>
    <row r="400" spans="1:4" ht="14.5">
      <c r="A400" t="s">
        <v>5016</v>
      </c>
      <c r="B400" s="380" t="str">
        <f t="shared" si="6"/>
        <v>075-903</v>
      </c>
      <c r="C400" s="76">
        <v>11516</v>
      </c>
      <c r="D400" s="76">
        <v>11398</v>
      </c>
    </row>
    <row r="401" spans="1:4" ht="14.5">
      <c r="A401" t="s">
        <v>5799</v>
      </c>
      <c r="B401" s="380" t="str">
        <f t="shared" si="6"/>
        <v>075-906</v>
      </c>
      <c r="C401" s="76">
        <v>11770</v>
      </c>
      <c r="D401" s="76">
        <v>11849</v>
      </c>
    </row>
    <row r="402" spans="1:4" ht="14.5">
      <c r="A402" t="s">
        <v>5017</v>
      </c>
      <c r="B402" s="380" t="str">
        <f t="shared" si="6"/>
        <v>075-908</v>
      </c>
      <c r="C402" s="76">
        <v>11770</v>
      </c>
      <c r="D402" s="76">
        <v>11849</v>
      </c>
    </row>
    <row r="403" spans="1:4" ht="14.5">
      <c r="A403" t="s">
        <v>5800</v>
      </c>
      <c r="B403" s="380" t="str">
        <f t="shared" si="6"/>
        <v>076-903</v>
      </c>
      <c r="C403" s="76">
        <v>14171</v>
      </c>
      <c r="D403" s="76">
        <v>11849</v>
      </c>
    </row>
    <row r="404" spans="1:4" ht="14.5">
      <c r="A404" t="s">
        <v>2994</v>
      </c>
      <c r="B404" s="380" t="str">
        <f t="shared" si="6"/>
        <v>076-904</v>
      </c>
      <c r="C404" s="76">
        <v>14237</v>
      </c>
      <c r="D404" s="76">
        <v>11849</v>
      </c>
    </row>
    <row r="405" spans="1:4" ht="14.5">
      <c r="A405" t="s">
        <v>5018</v>
      </c>
      <c r="B405" s="380" t="str">
        <f t="shared" si="6"/>
        <v>077-901</v>
      </c>
      <c r="C405" s="76">
        <v>12715</v>
      </c>
      <c r="D405" s="76">
        <v>11849</v>
      </c>
    </row>
    <row r="406" spans="1:4" ht="14.5">
      <c r="A406" t="s">
        <v>5801</v>
      </c>
      <c r="B406" s="380" t="str">
        <f t="shared" si="6"/>
        <v>077-902</v>
      </c>
      <c r="C406" s="76">
        <v>11879</v>
      </c>
      <c r="D406" s="76">
        <v>11849</v>
      </c>
    </row>
    <row r="407" spans="1:4" ht="14.5">
      <c r="A407" t="s">
        <v>5802</v>
      </c>
      <c r="B407" s="380" t="str">
        <f t="shared" si="6"/>
        <v>078-901</v>
      </c>
      <c r="C407" s="76">
        <v>16119</v>
      </c>
      <c r="D407" s="76">
        <v>11849</v>
      </c>
    </row>
    <row r="408" spans="1:4" ht="14.5">
      <c r="A408" t="s">
        <v>5019</v>
      </c>
      <c r="B408" s="380" t="str">
        <f t="shared" si="6"/>
        <v>079-901</v>
      </c>
      <c r="C408" s="76">
        <v>9098</v>
      </c>
      <c r="D408" s="76">
        <v>8823</v>
      </c>
    </row>
    <row r="409" spans="1:4" ht="14.5">
      <c r="A409" t="s">
        <v>2995</v>
      </c>
      <c r="B409" s="380" t="str">
        <f t="shared" si="6"/>
        <v>079-906</v>
      </c>
      <c r="C409" s="76">
        <v>9894</v>
      </c>
      <c r="D409" s="76">
        <v>9934</v>
      </c>
    </row>
    <row r="410" spans="1:4" ht="14.5">
      <c r="A410" t="s">
        <v>2996</v>
      </c>
      <c r="B410" s="380" t="str">
        <f t="shared" si="6"/>
        <v>079-907</v>
      </c>
      <c r="C410" s="76">
        <v>8847</v>
      </c>
      <c r="D410" s="76">
        <v>8801</v>
      </c>
    </row>
    <row r="411" spans="1:4" ht="14.5">
      <c r="A411" t="s">
        <v>5020</v>
      </c>
      <c r="B411" s="380" t="str">
        <f t="shared" si="6"/>
        <v>079-910</v>
      </c>
      <c r="C411" s="76">
        <v>10253</v>
      </c>
      <c r="D411" s="76">
        <v>9131</v>
      </c>
    </row>
    <row r="412" spans="1:4" ht="14.5">
      <c r="A412" t="s">
        <v>5021</v>
      </c>
      <c r="B412" s="380" t="str">
        <f t="shared" si="6"/>
        <v>080-901</v>
      </c>
      <c r="C412" s="76">
        <v>10091</v>
      </c>
      <c r="D412" s="76">
        <v>9265</v>
      </c>
    </row>
    <row r="413" spans="1:4" ht="14.5">
      <c r="A413" t="s">
        <v>5022</v>
      </c>
      <c r="B413" s="380" t="str">
        <f t="shared" si="6"/>
        <v>081-902</v>
      </c>
      <c r="C413" s="76">
        <v>9584</v>
      </c>
      <c r="D413" s="76">
        <v>8692</v>
      </c>
    </row>
    <row r="414" spans="1:4" ht="14.5">
      <c r="A414" t="s">
        <v>5023</v>
      </c>
      <c r="B414" s="380" t="str">
        <f t="shared" si="6"/>
        <v>081-904</v>
      </c>
      <c r="C414" s="76">
        <v>10136</v>
      </c>
      <c r="D414" s="76">
        <v>9416</v>
      </c>
    </row>
    <row r="415" spans="1:4" ht="14.5">
      <c r="A415" t="s">
        <v>5024</v>
      </c>
      <c r="B415" s="380" t="str">
        <f t="shared" si="6"/>
        <v>081-905</v>
      </c>
      <c r="C415" s="76">
        <v>11613</v>
      </c>
      <c r="D415" s="76">
        <v>10835</v>
      </c>
    </row>
    <row r="416" spans="1:4" ht="14.5">
      <c r="A416" t="s">
        <v>5025</v>
      </c>
      <c r="B416" s="380" t="str">
        <f t="shared" si="6"/>
        <v>081-906</v>
      </c>
      <c r="C416" s="76">
        <v>12188</v>
      </c>
      <c r="D416" s="76">
        <v>11849</v>
      </c>
    </row>
    <row r="417" spans="1:4" ht="14.5">
      <c r="A417" t="s">
        <v>2997</v>
      </c>
      <c r="B417" s="380" t="str">
        <f t="shared" si="6"/>
        <v>082-902</v>
      </c>
      <c r="C417" s="76">
        <v>11908</v>
      </c>
      <c r="D417" s="76">
        <v>11849</v>
      </c>
    </row>
    <row r="418" spans="1:4" ht="14.5">
      <c r="A418" t="s">
        <v>2998</v>
      </c>
      <c r="B418" s="380" t="str">
        <f t="shared" si="6"/>
        <v>082-903</v>
      </c>
      <c r="C418" s="76">
        <v>10398</v>
      </c>
      <c r="D418" s="76">
        <v>10384</v>
      </c>
    </row>
    <row r="419" spans="1:4" ht="14.5">
      <c r="A419" t="s">
        <v>5026</v>
      </c>
      <c r="B419" s="380" t="str">
        <f t="shared" si="6"/>
        <v>083-901</v>
      </c>
      <c r="C419" s="76">
        <v>10507</v>
      </c>
      <c r="D419" s="76">
        <v>11849</v>
      </c>
    </row>
    <row r="420" spans="1:4" ht="14.5">
      <c r="A420" t="s">
        <v>5027</v>
      </c>
      <c r="B420" s="380" t="str">
        <f t="shared" si="6"/>
        <v>083-902</v>
      </c>
      <c r="C420" s="76">
        <v>11770</v>
      </c>
      <c r="D420" s="76">
        <v>11849</v>
      </c>
    </row>
    <row r="421" spans="1:4" ht="14.5">
      <c r="A421" t="s">
        <v>5028</v>
      </c>
      <c r="B421" s="380" t="str">
        <f t="shared" si="6"/>
        <v>083-903</v>
      </c>
      <c r="C421" s="76">
        <v>8375</v>
      </c>
      <c r="D421" s="76">
        <v>11361</v>
      </c>
    </row>
    <row r="422" spans="1:4" ht="14.5">
      <c r="A422" t="s">
        <v>8001</v>
      </c>
      <c r="B422" s="380" t="str">
        <f t="shared" si="6"/>
        <v>084-802</v>
      </c>
      <c r="C422" s="76">
        <v>10517</v>
      </c>
      <c r="D422" s="76">
        <v>10595</v>
      </c>
    </row>
    <row r="423" spans="1:4" ht="14.5">
      <c r="A423" t="s">
        <v>8002</v>
      </c>
      <c r="B423" s="380" t="str">
        <f t="shared" si="6"/>
        <v>084-804</v>
      </c>
      <c r="C423" s="76">
        <v>9941</v>
      </c>
      <c r="D423" s="76">
        <v>10299</v>
      </c>
    </row>
    <row r="424" spans="1:4" ht="14.5">
      <c r="A424" t="s">
        <v>5029</v>
      </c>
      <c r="B424" s="380" t="str">
        <f t="shared" si="6"/>
        <v>084-901</v>
      </c>
      <c r="C424" s="76">
        <v>9213</v>
      </c>
      <c r="D424" s="76">
        <v>8993</v>
      </c>
    </row>
    <row r="425" spans="1:4" ht="14.5">
      <c r="A425" t="s">
        <v>5030</v>
      </c>
      <c r="B425" s="380" t="str">
        <f t="shared" si="6"/>
        <v>084-902</v>
      </c>
      <c r="C425" s="76">
        <v>10016</v>
      </c>
      <c r="D425" s="76">
        <v>9707</v>
      </c>
    </row>
    <row r="426" spans="1:4" ht="14.5">
      <c r="A426" t="s">
        <v>5031</v>
      </c>
      <c r="B426" s="380" t="str">
        <f t="shared" si="6"/>
        <v>084-903</v>
      </c>
      <c r="C426" s="76">
        <v>13861</v>
      </c>
      <c r="D426" s="76">
        <v>11849</v>
      </c>
    </row>
    <row r="427" spans="1:4" ht="14.5">
      <c r="A427" t="s">
        <v>5032</v>
      </c>
      <c r="B427" s="380" t="str">
        <f t="shared" si="6"/>
        <v>084-906</v>
      </c>
      <c r="C427" s="76">
        <v>12874</v>
      </c>
      <c r="D427" s="76">
        <v>11849</v>
      </c>
    </row>
    <row r="428" spans="1:4" ht="14.5">
      <c r="A428" t="s">
        <v>5033</v>
      </c>
      <c r="B428" s="380" t="str">
        <f t="shared" si="6"/>
        <v>084-908</v>
      </c>
      <c r="C428" s="76">
        <v>10734</v>
      </c>
      <c r="D428" s="76">
        <v>10658</v>
      </c>
    </row>
    <row r="429" spans="1:4" ht="14.5">
      <c r="A429" t="s">
        <v>2999</v>
      </c>
      <c r="B429" s="380" t="str">
        <f t="shared" si="6"/>
        <v>084-909</v>
      </c>
      <c r="C429" s="76">
        <v>8872</v>
      </c>
      <c r="D429" s="76">
        <v>8912</v>
      </c>
    </row>
    <row r="430" spans="1:4" ht="14.5">
      <c r="A430" t="s">
        <v>5034</v>
      </c>
      <c r="B430" s="380" t="str">
        <f t="shared" si="6"/>
        <v>084-910</v>
      </c>
      <c r="C430" s="76">
        <v>8174</v>
      </c>
      <c r="D430" s="76">
        <v>8240</v>
      </c>
    </row>
    <row r="431" spans="1:4" ht="14.5">
      <c r="A431" t="s">
        <v>3000</v>
      </c>
      <c r="B431" s="380" t="str">
        <f t="shared" si="6"/>
        <v>084-911</v>
      </c>
      <c r="C431" s="76">
        <v>8788</v>
      </c>
      <c r="D431" s="76">
        <v>8423</v>
      </c>
    </row>
    <row r="432" spans="1:4" ht="14.5">
      <c r="A432" t="s">
        <v>5035</v>
      </c>
      <c r="B432" s="380" t="str">
        <f t="shared" si="6"/>
        <v>085-902</v>
      </c>
      <c r="C432" s="76">
        <v>11400</v>
      </c>
      <c r="D432" s="76">
        <v>11849</v>
      </c>
    </row>
    <row r="433" spans="1:4" ht="14.5">
      <c r="A433" t="s">
        <v>5803</v>
      </c>
      <c r="B433" s="380" t="str">
        <f t="shared" si="6"/>
        <v>085-903</v>
      </c>
      <c r="C433" s="76">
        <v>15826</v>
      </c>
      <c r="D433" s="76">
        <v>11849</v>
      </c>
    </row>
    <row r="434" spans="1:4" ht="14.5">
      <c r="A434" t="s">
        <v>5804</v>
      </c>
      <c r="B434" s="380" t="str">
        <f t="shared" si="6"/>
        <v>086-024</v>
      </c>
      <c r="C434" s="76">
        <v>19459</v>
      </c>
      <c r="D434" s="76">
        <v>11849</v>
      </c>
    </row>
    <row r="435" spans="1:4" ht="14.5">
      <c r="A435" t="s">
        <v>5036</v>
      </c>
      <c r="B435" s="380" t="str">
        <f t="shared" si="6"/>
        <v>086-901</v>
      </c>
      <c r="C435" s="76">
        <v>9552</v>
      </c>
      <c r="D435" s="76">
        <v>10221</v>
      </c>
    </row>
    <row r="436" spans="1:4" ht="14.5">
      <c r="A436" t="s">
        <v>5805</v>
      </c>
      <c r="B436" s="380" t="str">
        <f t="shared" si="6"/>
        <v>086-902</v>
      </c>
      <c r="C436" s="76">
        <v>11770</v>
      </c>
      <c r="D436" s="76">
        <v>11849</v>
      </c>
    </row>
    <row r="437" spans="1:4" ht="14.5">
      <c r="A437" t="s">
        <v>5037</v>
      </c>
      <c r="B437" s="380" t="str">
        <f t="shared" si="6"/>
        <v>087-901</v>
      </c>
      <c r="C437" s="76">
        <v>28107</v>
      </c>
      <c r="D437" s="76">
        <v>11849</v>
      </c>
    </row>
    <row r="438" spans="1:4" ht="14.5">
      <c r="A438" t="s">
        <v>5038</v>
      </c>
      <c r="B438" s="380" t="str">
        <f t="shared" si="6"/>
        <v>088-902</v>
      </c>
      <c r="C438" s="76">
        <v>10401</v>
      </c>
      <c r="D438" s="76">
        <v>10269</v>
      </c>
    </row>
    <row r="439" spans="1:4" ht="14.5">
      <c r="A439" t="s">
        <v>3001</v>
      </c>
      <c r="B439" s="380" t="str">
        <f t="shared" si="6"/>
        <v>089-901</v>
      </c>
      <c r="C439" s="76">
        <v>10403</v>
      </c>
      <c r="D439" s="76">
        <v>10922</v>
      </c>
    </row>
    <row r="440" spans="1:4" ht="14.5">
      <c r="A440" t="s">
        <v>5039</v>
      </c>
      <c r="B440" s="380" t="str">
        <f t="shared" si="6"/>
        <v>089-903</v>
      </c>
      <c r="C440" s="76">
        <v>11825</v>
      </c>
      <c r="D440" s="76">
        <v>11849</v>
      </c>
    </row>
    <row r="441" spans="1:4" ht="14.5">
      <c r="A441" t="s">
        <v>5040</v>
      </c>
      <c r="B441" s="380" t="str">
        <f t="shared" si="6"/>
        <v>089-905</v>
      </c>
      <c r="C441" s="76">
        <v>11770</v>
      </c>
      <c r="D441" s="76">
        <v>11849</v>
      </c>
    </row>
    <row r="442" spans="1:4" ht="14.5">
      <c r="A442" t="s">
        <v>5041</v>
      </c>
      <c r="B442" s="380" t="str">
        <f t="shared" si="6"/>
        <v>090-902</v>
      </c>
      <c r="C442" s="76">
        <v>10592</v>
      </c>
      <c r="D442" s="76">
        <v>11849</v>
      </c>
    </row>
    <row r="443" spans="1:4" ht="14.5">
      <c r="A443" t="s">
        <v>5042</v>
      </c>
      <c r="B443" s="380" t="str">
        <f t="shared" si="6"/>
        <v>090-903</v>
      </c>
      <c r="C443" s="76">
        <v>10964</v>
      </c>
      <c r="D443" s="76">
        <v>11849</v>
      </c>
    </row>
    <row r="444" spans="1:4" ht="14.5">
      <c r="A444" t="s">
        <v>3002</v>
      </c>
      <c r="B444" s="380" t="str">
        <f t="shared" si="6"/>
        <v>090-904</v>
      </c>
      <c r="C444" s="76">
        <v>8950</v>
      </c>
      <c r="D444" s="76">
        <v>9186</v>
      </c>
    </row>
    <row r="445" spans="1:4" ht="14.5">
      <c r="A445" t="s">
        <v>5043</v>
      </c>
      <c r="B445" s="380" t="str">
        <f t="shared" si="6"/>
        <v>090-905</v>
      </c>
      <c r="C445" s="76">
        <v>11770</v>
      </c>
      <c r="D445" s="76">
        <v>11849</v>
      </c>
    </row>
    <row r="446" spans="1:4" ht="14.5">
      <c r="A446" t="s">
        <v>3003</v>
      </c>
      <c r="B446" s="380" t="str">
        <f t="shared" si="6"/>
        <v>091-901</v>
      </c>
      <c r="C446" s="76">
        <v>10978</v>
      </c>
      <c r="D446" s="76">
        <v>11526</v>
      </c>
    </row>
    <row r="447" spans="1:4" ht="14.5">
      <c r="A447" t="s">
        <v>3948</v>
      </c>
      <c r="B447" s="380" t="str">
        <f t="shared" si="6"/>
        <v>091-902</v>
      </c>
      <c r="C447" s="76">
        <v>12425</v>
      </c>
      <c r="D447" s="76">
        <v>11849</v>
      </c>
    </row>
    <row r="448" spans="1:4" ht="14.5">
      <c r="A448" t="s">
        <v>5044</v>
      </c>
      <c r="B448" s="380" t="str">
        <f t="shared" si="6"/>
        <v>091-903</v>
      </c>
      <c r="C448" s="76">
        <v>10210</v>
      </c>
      <c r="D448" s="76">
        <v>10078</v>
      </c>
    </row>
    <row r="449" spans="1:4" ht="14.5">
      <c r="A449" t="s">
        <v>3004</v>
      </c>
      <c r="B449" s="380" t="str">
        <f t="shared" si="6"/>
        <v>091-905</v>
      </c>
      <c r="C449" s="76">
        <v>10281</v>
      </c>
      <c r="D449" s="76">
        <v>10608</v>
      </c>
    </row>
    <row r="450" spans="1:4" ht="14.5">
      <c r="A450" t="s">
        <v>3005</v>
      </c>
      <c r="B450" s="380" t="str">
        <f t="shared" si="6"/>
        <v>091-906</v>
      </c>
      <c r="C450" s="76">
        <v>10399</v>
      </c>
      <c r="D450" s="76">
        <v>10036</v>
      </c>
    </row>
    <row r="451" spans="1:4" ht="14.5">
      <c r="A451" t="s">
        <v>5045</v>
      </c>
      <c r="B451" s="380" t="str">
        <f t="shared" si="6"/>
        <v>091-907</v>
      </c>
      <c r="C451" s="76">
        <v>10867</v>
      </c>
      <c r="D451" s="76">
        <v>11486</v>
      </c>
    </row>
    <row r="452" spans="1:4" ht="14.5">
      <c r="A452" t="s">
        <v>3006</v>
      </c>
      <c r="B452" s="380" t="str">
        <f t="shared" ref="B452:B515" si="7">CONCATENATE(LEFT(RIGHT(CONCATENATE("000",A452),6),3),"-",(RIGHT(RIGHT(CONCATENATE("000",A452),6),3)))</f>
        <v>091-908</v>
      </c>
      <c r="C452" s="76">
        <v>9673</v>
      </c>
      <c r="D452" s="76">
        <v>9509</v>
      </c>
    </row>
    <row r="453" spans="1:4" ht="14.5">
      <c r="A453" t="s">
        <v>3007</v>
      </c>
      <c r="B453" s="380" t="str">
        <f t="shared" si="7"/>
        <v>091-909</v>
      </c>
      <c r="C453" s="76">
        <v>10262</v>
      </c>
      <c r="D453" s="76">
        <v>10288</v>
      </c>
    </row>
    <row r="454" spans="1:4" ht="14.5">
      <c r="A454" t="s">
        <v>5046</v>
      </c>
      <c r="B454" s="380" t="str">
        <f t="shared" si="7"/>
        <v>091-910</v>
      </c>
      <c r="C454" s="76">
        <v>11233</v>
      </c>
      <c r="D454" s="76">
        <v>11799</v>
      </c>
    </row>
    <row r="455" spans="1:4" ht="14.5">
      <c r="A455" t="s">
        <v>3008</v>
      </c>
      <c r="B455" s="380" t="str">
        <f t="shared" si="7"/>
        <v>091-913</v>
      </c>
      <c r="C455" s="76">
        <v>9198</v>
      </c>
      <c r="D455" s="76">
        <v>9367</v>
      </c>
    </row>
    <row r="456" spans="1:4" ht="14.5">
      <c r="A456" t="s">
        <v>5047</v>
      </c>
      <c r="B456" s="380" t="str">
        <f t="shared" si="7"/>
        <v>091-914</v>
      </c>
      <c r="C456" s="76">
        <v>11628</v>
      </c>
      <c r="D456" s="76">
        <v>11626</v>
      </c>
    </row>
    <row r="457" spans="1:4" ht="14.5">
      <c r="A457" t="s">
        <v>3009</v>
      </c>
      <c r="B457" s="380" t="str">
        <f t="shared" si="7"/>
        <v>091-917</v>
      </c>
      <c r="C457" s="76">
        <v>10890</v>
      </c>
      <c r="D457" s="76">
        <v>11021</v>
      </c>
    </row>
    <row r="458" spans="1:4" ht="14.5">
      <c r="A458" t="s">
        <v>5048</v>
      </c>
      <c r="B458" s="380" t="str">
        <f t="shared" si="7"/>
        <v>091-918</v>
      </c>
      <c r="C458" s="76">
        <v>12166</v>
      </c>
      <c r="D458" s="76">
        <v>11849</v>
      </c>
    </row>
    <row r="459" spans="1:4" ht="14.5">
      <c r="A459" t="s">
        <v>8003</v>
      </c>
      <c r="B459" s="380" t="str">
        <f t="shared" si="7"/>
        <v>092-801</v>
      </c>
      <c r="C459" s="76">
        <v>10347</v>
      </c>
      <c r="D459" s="76">
        <v>10529</v>
      </c>
    </row>
    <row r="460" spans="1:4" ht="14.5">
      <c r="A460" t="s">
        <v>5049</v>
      </c>
      <c r="B460" s="380" t="str">
        <f t="shared" si="7"/>
        <v>092-901</v>
      </c>
      <c r="C460" s="76">
        <v>9989</v>
      </c>
      <c r="D460" s="76">
        <v>10006</v>
      </c>
    </row>
    <row r="461" spans="1:4" ht="14.5">
      <c r="A461" t="s">
        <v>5050</v>
      </c>
      <c r="B461" s="380" t="str">
        <f t="shared" si="7"/>
        <v>092-902</v>
      </c>
      <c r="C461" s="76">
        <v>8044</v>
      </c>
      <c r="D461" s="76">
        <v>8611</v>
      </c>
    </row>
    <row r="462" spans="1:4" ht="14.5">
      <c r="A462" t="s">
        <v>3969</v>
      </c>
      <c r="B462" s="380" t="str">
        <f t="shared" si="7"/>
        <v>092-903</v>
      </c>
      <c r="C462" s="76">
        <v>8593</v>
      </c>
      <c r="D462" s="76">
        <v>8708</v>
      </c>
    </row>
    <row r="463" spans="1:4" ht="14.5">
      <c r="A463" t="s">
        <v>5051</v>
      </c>
      <c r="B463" s="380" t="str">
        <f t="shared" si="7"/>
        <v>092-904</v>
      </c>
      <c r="C463" s="76">
        <v>9186</v>
      </c>
      <c r="D463" s="76">
        <v>8930</v>
      </c>
    </row>
    <row r="464" spans="1:4" ht="14.5">
      <c r="A464" t="s">
        <v>5052</v>
      </c>
      <c r="B464" s="380" t="str">
        <f t="shared" si="7"/>
        <v>092-906</v>
      </c>
      <c r="C464" s="76">
        <v>8332</v>
      </c>
      <c r="D464" s="76">
        <v>8201</v>
      </c>
    </row>
    <row r="465" spans="1:4" ht="14.5">
      <c r="A465" t="s">
        <v>3010</v>
      </c>
      <c r="B465" s="380" t="str">
        <f t="shared" si="7"/>
        <v>092-907</v>
      </c>
      <c r="C465" s="76">
        <v>8462</v>
      </c>
      <c r="D465" s="76">
        <v>8475</v>
      </c>
    </row>
    <row r="466" spans="1:4" ht="14.5">
      <c r="A466" t="s">
        <v>5053</v>
      </c>
      <c r="B466" s="380" t="str">
        <f t="shared" si="7"/>
        <v>092-908</v>
      </c>
      <c r="C466" s="76">
        <v>9268</v>
      </c>
      <c r="D466" s="76">
        <v>9099</v>
      </c>
    </row>
    <row r="467" spans="1:4" ht="14.5">
      <c r="A467" t="s">
        <v>8506</v>
      </c>
      <c r="B467" s="380" t="str">
        <f t="shared" si="7"/>
        <v>092-950</v>
      </c>
      <c r="C467" s="76">
        <v>11770</v>
      </c>
      <c r="D467" s="76">
        <v>11849</v>
      </c>
    </row>
    <row r="468" spans="1:4" ht="14.5">
      <c r="A468" t="s">
        <v>5054</v>
      </c>
      <c r="B468" s="380" t="str">
        <f t="shared" si="7"/>
        <v>093-901</v>
      </c>
      <c r="C468" s="76">
        <v>11059</v>
      </c>
      <c r="D468" s="76">
        <v>11352</v>
      </c>
    </row>
    <row r="469" spans="1:4" ht="14.5">
      <c r="A469" t="s">
        <v>3011</v>
      </c>
      <c r="B469" s="380" t="str">
        <f t="shared" si="7"/>
        <v>093-903</v>
      </c>
      <c r="C469" s="76">
        <v>10786</v>
      </c>
      <c r="D469" s="76">
        <v>11156</v>
      </c>
    </row>
    <row r="470" spans="1:4" ht="14.5">
      <c r="A470" t="s">
        <v>5055</v>
      </c>
      <c r="B470" s="380" t="str">
        <f t="shared" si="7"/>
        <v>093-904</v>
      </c>
      <c r="C470" s="76">
        <v>10057</v>
      </c>
      <c r="D470" s="76">
        <v>9732</v>
      </c>
    </row>
    <row r="471" spans="1:4" ht="14.5">
      <c r="A471" t="s">
        <v>5806</v>
      </c>
      <c r="B471" s="380" t="str">
        <f t="shared" si="7"/>
        <v>093-905</v>
      </c>
      <c r="C471" s="76">
        <v>12943</v>
      </c>
      <c r="D471" s="76">
        <v>11849</v>
      </c>
    </row>
    <row r="472" spans="1:4" ht="14.5">
      <c r="A472" t="s">
        <v>3012</v>
      </c>
      <c r="B472" s="380" t="str">
        <f t="shared" si="7"/>
        <v>094-901</v>
      </c>
      <c r="C472" s="76">
        <v>9017</v>
      </c>
      <c r="D472" s="76">
        <v>9016</v>
      </c>
    </row>
    <row r="473" spans="1:4" ht="14.5">
      <c r="A473" t="s">
        <v>3013</v>
      </c>
      <c r="B473" s="380" t="str">
        <f t="shared" si="7"/>
        <v>094-902</v>
      </c>
      <c r="C473" s="76">
        <v>7822</v>
      </c>
      <c r="D473" s="76">
        <v>7912</v>
      </c>
    </row>
    <row r="474" spans="1:4" ht="14.5">
      <c r="A474" t="s">
        <v>3014</v>
      </c>
      <c r="B474" s="380" t="str">
        <f t="shared" si="7"/>
        <v>094-903</v>
      </c>
      <c r="C474" s="76">
        <v>9224</v>
      </c>
      <c r="D474" s="76">
        <v>9374</v>
      </c>
    </row>
    <row r="475" spans="1:4" ht="14.5">
      <c r="A475" t="s">
        <v>3993</v>
      </c>
      <c r="B475" s="380" t="str">
        <f t="shared" si="7"/>
        <v>094-904</v>
      </c>
      <c r="C475" s="76">
        <v>10458</v>
      </c>
      <c r="D475" s="76">
        <v>9692</v>
      </c>
    </row>
    <row r="476" spans="1:4" ht="14.5">
      <c r="A476" t="s">
        <v>5056</v>
      </c>
      <c r="B476" s="380" t="str">
        <f t="shared" si="7"/>
        <v>095-901</v>
      </c>
      <c r="C476" s="76">
        <v>10108</v>
      </c>
      <c r="D476" s="76">
        <v>9959</v>
      </c>
    </row>
    <row r="477" spans="1:4" ht="14.5">
      <c r="A477" t="s">
        <v>5807</v>
      </c>
      <c r="B477" s="380" t="str">
        <f t="shared" si="7"/>
        <v>095-902</v>
      </c>
      <c r="C477" s="76">
        <v>13451</v>
      </c>
      <c r="D477" s="76">
        <v>11849</v>
      </c>
    </row>
    <row r="478" spans="1:4" ht="14.5">
      <c r="A478" t="s">
        <v>5057</v>
      </c>
      <c r="B478" s="380" t="str">
        <f t="shared" si="7"/>
        <v>095-903</v>
      </c>
      <c r="C478" s="76">
        <v>11833</v>
      </c>
      <c r="D478" s="76">
        <v>11849</v>
      </c>
    </row>
    <row r="479" spans="1:4" ht="14.5">
      <c r="A479" t="s">
        <v>5808</v>
      </c>
      <c r="B479" s="380" t="str">
        <f t="shared" si="7"/>
        <v>095-904</v>
      </c>
      <c r="C479" s="76">
        <v>13785</v>
      </c>
      <c r="D479" s="76">
        <v>11849</v>
      </c>
    </row>
    <row r="480" spans="1:4" ht="14.5">
      <c r="A480" t="s">
        <v>5809</v>
      </c>
      <c r="B480" s="380" t="str">
        <f t="shared" si="7"/>
        <v>095-905</v>
      </c>
      <c r="C480" s="76">
        <v>9170</v>
      </c>
      <c r="D480" s="76">
        <v>9280</v>
      </c>
    </row>
    <row r="481" spans="1:4" ht="14.5">
      <c r="A481" t="s">
        <v>5810</v>
      </c>
      <c r="B481" s="380" t="str">
        <f t="shared" si="7"/>
        <v>096-904</v>
      </c>
      <c r="C481" s="76">
        <v>15600</v>
      </c>
      <c r="D481" s="76">
        <v>11849</v>
      </c>
    </row>
    <row r="482" spans="1:4" ht="14.5">
      <c r="A482" t="s">
        <v>5058</v>
      </c>
      <c r="B482" s="380" t="str">
        <f t="shared" si="7"/>
        <v>096-905</v>
      </c>
      <c r="C482" s="76">
        <v>12675</v>
      </c>
      <c r="D482" s="76">
        <v>11849</v>
      </c>
    </row>
    <row r="483" spans="1:4" ht="14.5">
      <c r="A483" t="s">
        <v>5059</v>
      </c>
      <c r="B483" s="380" t="str">
        <f t="shared" si="7"/>
        <v>097-902</v>
      </c>
      <c r="C483" s="76">
        <v>12192</v>
      </c>
      <c r="D483" s="76">
        <v>11849</v>
      </c>
    </row>
    <row r="484" spans="1:4" ht="14.5">
      <c r="A484" t="s">
        <v>3015</v>
      </c>
      <c r="B484" s="380" t="str">
        <f t="shared" si="7"/>
        <v>097-903</v>
      </c>
      <c r="C484" s="76">
        <v>11770</v>
      </c>
      <c r="D484" s="76">
        <v>11718</v>
      </c>
    </row>
    <row r="485" spans="1:4" ht="14.5">
      <c r="A485" t="s">
        <v>5060</v>
      </c>
      <c r="B485" s="380" t="str">
        <f t="shared" si="7"/>
        <v>098-901</v>
      </c>
      <c r="C485" s="76">
        <v>11822</v>
      </c>
      <c r="D485" s="76">
        <v>11849</v>
      </c>
    </row>
    <row r="486" spans="1:4" ht="14.5">
      <c r="A486" t="s">
        <v>5061</v>
      </c>
      <c r="B486" s="380" t="str">
        <f t="shared" si="7"/>
        <v>098-903</v>
      </c>
      <c r="C486" s="76">
        <v>15033</v>
      </c>
      <c r="D486" s="76">
        <v>11849</v>
      </c>
    </row>
    <row r="487" spans="1:4" ht="14.5">
      <c r="A487" t="s">
        <v>5062</v>
      </c>
      <c r="B487" s="380" t="str">
        <f t="shared" si="7"/>
        <v>098-904</v>
      </c>
      <c r="C487" s="76">
        <v>11598</v>
      </c>
      <c r="D487" s="76">
        <v>11849</v>
      </c>
    </row>
    <row r="488" spans="1:4" ht="14.5">
      <c r="A488" t="s">
        <v>5063</v>
      </c>
      <c r="B488" s="380" t="str">
        <f t="shared" si="7"/>
        <v>099-902</v>
      </c>
      <c r="C488" s="76">
        <v>12993</v>
      </c>
      <c r="D488" s="76">
        <v>11849</v>
      </c>
    </row>
    <row r="489" spans="1:4" ht="14.5">
      <c r="A489" t="s">
        <v>5811</v>
      </c>
      <c r="B489" s="380" t="str">
        <f t="shared" si="7"/>
        <v>099-903</v>
      </c>
      <c r="C489" s="76">
        <v>13668</v>
      </c>
      <c r="D489" s="76">
        <v>11849</v>
      </c>
    </row>
    <row r="490" spans="1:4" ht="14.5">
      <c r="A490" t="s">
        <v>5064</v>
      </c>
      <c r="B490" s="380" t="str">
        <f t="shared" si="7"/>
        <v>100-903</v>
      </c>
      <c r="C490" s="76">
        <v>11323</v>
      </c>
      <c r="D490" s="76">
        <v>11045</v>
      </c>
    </row>
    <row r="491" spans="1:4" ht="14.5">
      <c r="A491" t="s">
        <v>3016</v>
      </c>
      <c r="B491" s="380" t="str">
        <f t="shared" si="7"/>
        <v>100-904</v>
      </c>
      <c r="C491" s="76">
        <v>10024</v>
      </c>
      <c r="D491" s="76">
        <v>10102</v>
      </c>
    </row>
    <row r="492" spans="1:4" ht="14.5">
      <c r="A492" t="s">
        <v>5065</v>
      </c>
      <c r="B492" s="380" t="str">
        <f t="shared" si="7"/>
        <v>100-905</v>
      </c>
      <c r="C492" s="76">
        <v>7989</v>
      </c>
      <c r="D492" s="76">
        <v>8842</v>
      </c>
    </row>
    <row r="493" spans="1:4" ht="14.5">
      <c r="A493" t="s">
        <v>3017</v>
      </c>
      <c r="B493" s="380" t="str">
        <f t="shared" si="7"/>
        <v>100-907</v>
      </c>
      <c r="C493" s="76">
        <v>8484</v>
      </c>
      <c r="D493" s="76">
        <v>8465</v>
      </c>
    </row>
    <row r="494" spans="1:4" ht="14.5">
      <c r="A494" t="s">
        <v>3018</v>
      </c>
      <c r="B494" s="380" t="str">
        <f t="shared" si="7"/>
        <v>100-908</v>
      </c>
      <c r="C494" s="76">
        <v>11770</v>
      </c>
      <c r="D494" s="76">
        <v>11849</v>
      </c>
    </row>
    <row r="495" spans="1:4" ht="14.5">
      <c r="A495" t="s">
        <v>8507</v>
      </c>
      <c r="B495" s="380" t="str">
        <f t="shared" si="7"/>
        <v>101-000</v>
      </c>
      <c r="C495" s="76">
        <v>11770</v>
      </c>
      <c r="D495" s="76">
        <v>11849</v>
      </c>
    </row>
    <row r="496" spans="1:4" ht="14.5">
      <c r="A496" t="s">
        <v>8004</v>
      </c>
      <c r="B496" s="380" t="str">
        <f t="shared" si="7"/>
        <v>101-802</v>
      </c>
      <c r="C496" s="76">
        <v>11770</v>
      </c>
      <c r="D496" s="76">
        <v>10918</v>
      </c>
    </row>
    <row r="497" spans="1:4" ht="14.5">
      <c r="A497" t="s">
        <v>8005</v>
      </c>
      <c r="B497" s="380" t="str">
        <f t="shared" si="7"/>
        <v>101-803</v>
      </c>
      <c r="C497" s="76">
        <v>9468</v>
      </c>
      <c r="D497" s="76">
        <v>9425</v>
      </c>
    </row>
    <row r="498" spans="1:4" ht="14.5">
      <c r="A498" t="s">
        <v>8006</v>
      </c>
      <c r="B498" s="380" t="str">
        <f t="shared" si="7"/>
        <v>101-804</v>
      </c>
      <c r="C498" s="76">
        <v>11497</v>
      </c>
      <c r="D498" s="76">
        <v>11402</v>
      </c>
    </row>
    <row r="499" spans="1:4" ht="14.5">
      <c r="A499" t="s">
        <v>8007</v>
      </c>
      <c r="B499" s="380" t="str">
        <f t="shared" si="7"/>
        <v>101-806</v>
      </c>
      <c r="C499" s="76">
        <v>11569</v>
      </c>
      <c r="D499" s="76">
        <v>10937</v>
      </c>
    </row>
    <row r="500" spans="1:4" ht="14.5">
      <c r="A500" t="s">
        <v>8009</v>
      </c>
      <c r="B500" s="380" t="str">
        <f t="shared" si="7"/>
        <v>101-810</v>
      </c>
      <c r="C500" s="76">
        <v>10434</v>
      </c>
      <c r="D500" s="76">
        <v>10532</v>
      </c>
    </row>
    <row r="501" spans="1:4" ht="14.5">
      <c r="A501" t="s">
        <v>8010</v>
      </c>
      <c r="B501" s="380" t="str">
        <f t="shared" si="7"/>
        <v>101-811</v>
      </c>
      <c r="C501" s="76">
        <v>14295</v>
      </c>
      <c r="D501" s="76">
        <v>11849</v>
      </c>
    </row>
    <row r="502" spans="1:4" ht="14.5">
      <c r="A502" t="s">
        <v>8011</v>
      </c>
      <c r="B502" s="380" t="str">
        <f t="shared" si="7"/>
        <v>101-814</v>
      </c>
      <c r="C502" s="76">
        <v>10213</v>
      </c>
      <c r="D502" s="76">
        <v>10533</v>
      </c>
    </row>
    <row r="503" spans="1:4" ht="14.5">
      <c r="A503" t="s">
        <v>8012</v>
      </c>
      <c r="B503" s="380" t="str">
        <f t="shared" si="7"/>
        <v>101-815</v>
      </c>
      <c r="C503" s="76">
        <v>10765</v>
      </c>
      <c r="D503" s="76">
        <v>10784</v>
      </c>
    </row>
    <row r="504" spans="1:4" ht="14.5">
      <c r="A504" t="s">
        <v>8013</v>
      </c>
      <c r="B504" s="380" t="str">
        <f t="shared" si="7"/>
        <v>101-819</v>
      </c>
      <c r="C504" s="76">
        <v>10931</v>
      </c>
      <c r="D504" s="76">
        <v>10901</v>
      </c>
    </row>
    <row r="505" spans="1:4" ht="14.5">
      <c r="A505" t="s">
        <v>8014</v>
      </c>
      <c r="B505" s="380" t="str">
        <f t="shared" si="7"/>
        <v>101-821</v>
      </c>
      <c r="C505" s="76">
        <v>11563</v>
      </c>
      <c r="D505" s="76">
        <v>11842</v>
      </c>
    </row>
    <row r="506" spans="1:4" ht="14.5">
      <c r="A506" t="s">
        <v>8015</v>
      </c>
      <c r="B506" s="380" t="str">
        <f t="shared" si="7"/>
        <v>101-828</v>
      </c>
      <c r="C506" s="76">
        <v>10614</v>
      </c>
      <c r="D506" s="76">
        <v>10661</v>
      </c>
    </row>
    <row r="507" spans="1:4" ht="14.5">
      <c r="A507" t="s">
        <v>8016</v>
      </c>
      <c r="B507" s="380" t="str">
        <f t="shared" si="7"/>
        <v>101-837</v>
      </c>
      <c r="C507" s="76">
        <v>10183</v>
      </c>
      <c r="D507" s="76">
        <v>10274</v>
      </c>
    </row>
    <row r="508" spans="1:4" ht="14.5">
      <c r="A508" t="s">
        <v>8017</v>
      </c>
      <c r="B508" s="380" t="str">
        <f t="shared" si="7"/>
        <v>101-838</v>
      </c>
      <c r="C508" s="76">
        <v>10928</v>
      </c>
      <c r="D508" s="76">
        <v>11070</v>
      </c>
    </row>
    <row r="509" spans="1:4" ht="14.5">
      <c r="A509" t="s">
        <v>8018</v>
      </c>
      <c r="B509" s="380" t="str">
        <f t="shared" si="7"/>
        <v>101-840</v>
      </c>
      <c r="C509" s="76">
        <v>10580</v>
      </c>
      <c r="D509" s="76">
        <v>10640</v>
      </c>
    </row>
    <row r="510" spans="1:4" ht="14.5">
      <c r="A510" t="s">
        <v>8019</v>
      </c>
      <c r="B510" s="380" t="str">
        <f t="shared" si="7"/>
        <v>101-842</v>
      </c>
      <c r="C510" s="76">
        <v>11245</v>
      </c>
      <c r="D510" s="76">
        <v>11335</v>
      </c>
    </row>
    <row r="511" spans="1:4" ht="14.5">
      <c r="A511" t="s">
        <v>8020</v>
      </c>
      <c r="B511" s="380" t="str">
        <f t="shared" si="7"/>
        <v>101-845</v>
      </c>
      <c r="C511" s="76">
        <v>10925</v>
      </c>
      <c r="D511" s="76">
        <v>10659</v>
      </c>
    </row>
    <row r="512" spans="1:4" ht="14.5">
      <c r="A512" t="s">
        <v>8021</v>
      </c>
      <c r="B512" s="380" t="str">
        <f t="shared" si="7"/>
        <v>101-846</v>
      </c>
      <c r="C512" s="76">
        <v>10842</v>
      </c>
      <c r="D512" s="76">
        <v>10827</v>
      </c>
    </row>
    <row r="513" spans="1:4" ht="14.5">
      <c r="A513" t="s">
        <v>8022</v>
      </c>
      <c r="B513" s="380" t="str">
        <f t="shared" si="7"/>
        <v>101-847</v>
      </c>
      <c r="C513" s="76">
        <v>10142</v>
      </c>
      <c r="D513" s="76">
        <v>10178</v>
      </c>
    </row>
    <row r="514" spans="1:4" ht="14.5">
      <c r="A514" t="s">
        <v>8023</v>
      </c>
      <c r="B514" s="380" t="str">
        <f t="shared" si="7"/>
        <v>101-849</v>
      </c>
      <c r="C514" s="76">
        <v>10245</v>
      </c>
      <c r="D514" s="76">
        <v>10320</v>
      </c>
    </row>
    <row r="515" spans="1:4" ht="14.5">
      <c r="A515" t="s">
        <v>8024</v>
      </c>
      <c r="B515" s="380" t="str">
        <f t="shared" si="7"/>
        <v>101-853</v>
      </c>
      <c r="C515" s="76">
        <v>11448</v>
      </c>
      <c r="D515" s="76">
        <v>11627</v>
      </c>
    </row>
    <row r="516" spans="1:4" ht="14.5">
      <c r="A516" t="s">
        <v>8025</v>
      </c>
      <c r="B516" s="380" t="str">
        <f t="shared" ref="B516:B579" si="8">CONCATENATE(LEFT(RIGHT(CONCATENATE("000",A516),6),3),"-",(RIGHT(RIGHT(CONCATENATE("000",A516),6),3)))</f>
        <v>101-855</v>
      </c>
      <c r="C516" s="76">
        <v>10111</v>
      </c>
      <c r="D516" s="76">
        <v>10230</v>
      </c>
    </row>
    <row r="517" spans="1:4" ht="14.5">
      <c r="A517" t="s">
        <v>8026</v>
      </c>
      <c r="B517" s="380" t="str">
        <f t="shared" si="8"/>
        <v>101-856</v>
      </c>
      <c r="C517" s="76">
        <v>10752</v>
      </c>
      <c r="D517" s="76">
        <v>10726</v>
      </c>
    </row>
    <row r="518" spans="1:4" ht="14.5">
      <c r="A518" t="s">
        <v>8027</v>
      </c>
      <c r="B518" s="380" t="str">
        <f t="shared" si="8"/>
        <v>101-858</v>
      </c>
      <c r="C518" s="76">
        <v>10206</v>
      </c>
      <c r="D518" s="76">
        <v>10178</v>
      </c>
    </row>
    <row r="519" spans="1:4" ht="14.5">
      <c r="A519" t="s">
        <v>8028</v>
      </c>
      <c r="B519" s="380" t="str">
        <f t="shared" si="8"/>
        <v>101-859</v>
      </c>
      <c r="C519" s="76">
        <v>10519</v>
      </c>
      <c r="D519" s="76">
        <v>10639</v>
      </c>
    </row>
    <row r="520" spans="1:4" ht="14.5">
      <c r="A520" t="s">
        <v>8029</v>
      </c>
      <c r="B520" s="380" t="str">
        <f t="shared" si="8"/>
        <v>101-861</v>
      </c>
      <c r="C520" s="76">
        <v>10981</v>
      </c>
      <c r="D520" s="76">
        <v>11092</v>
      </c>
    </row>
    <row r="521" spans="1:4" ht="14.5">
      <c r="A521" t="s">
        <v>8030</v>
      </c>
      <c r="B521" s="380" t="str">
        <f t="shared" si="8"/>
        <v>101-862</v>
      </c>
      <c r="C521" s="76">
        <v>10029</v>
      </c>
      <c r="D521" s="76">
        <v>10013</v>
      </c>
    </row>
    <row r="522" spans="1:4" ht="14.5">
      <c r="A522" t="s">
        <v>8031</v>
      </c>
      <c r="B522" s="380" t="str">
        <f t="shared" si="8"/>
        <v>101-864</v>
      </c>
      <c r="C522" s="76">
        <v>10758</v>
      </c>
      <c r="D522" s="76">
        <v>10967</v>
      </c>
    </row>
    <row r="523" spans="1:4" ht="14.5">
      <c r="A523" t="s">
        <v>8032</v>
      </c>
      <c r="B523" s="380" t="str">
        <f t="shared" si="8"/>
        <v>101-868</v>
      </c>
      <c r="C523" s="76">
        <v>11028</v>
      </c>
      <c r="D523" s="76">
        <v>11490</v>
      </c>
    </row>
    <row r="524" spans="1:4" ht="14.5">
      <c r="A524" t="s">
        <v>8033</v>
      </c>
      <c r="B524" s="380" t="str">
        <f t="shared" si="8"/>
        <v>101-870</v>
      </c>
      <c r="C524" s="76">
        <v>9723</v>
      </c>
      <c r="D524" s="76">
        <v>9931</v>
      </c>
    </row>
    <row r="525" spans="1:4" ht="14.5">
      <c r="A525" t="s">
        <v>8034</v>
      </c>
      <c r="B525" s="380" t="str">
        <f t="shared" si="8"/>
        <v>101-871</v>
      </c>
      <c r="C525" s="76">
        <v>11587</v>
      </c>
      <c r="D525" s="76">
        <v>11849</v>
      </c>
    </row>
    <row r="526" spans="1:4" ht="14.5">
      <c r="A526" t="s">
        <v>8035</v>
      </c>
      <c r="B526" s="380" t="str">
        <f t="shared" si="8"/>
        <v>101-872</v>
      </c>
      <c r="C526" s="76">
        <v>10690</v>
      </c>
      <c r="D526" s="76">
        <v>10508</v>
      </c>
    </row>
    <row r="527" spans="1:4" ht="14.5">
      <c r="A527" t="s">
        <v>8036</v>
      </c>
      <c r="B527" s="380" t="str">
        <f t="shared" si="8"/>
        <v>101-873</v>
      </c>
      <c r="C527" s="76">
        <v>10250</v>
      </c>
      <c r="D527" s="76">
        <v>10080</v>
      </c>
    </row>
    <row r="528" spans="1:4" ht="14.5">
      <c r="A528" t="s">
        <v>8037</v>
      </c>
      <c r="B528" s="380" t="str">
        <f t="shared" si="8"/>
        <v>101-874</v>
      </c>
      <c r="C528" s="76">
        <v>9355</v>
      </c>
      <c r="D528" s="76">
        <v>9433</v>
      </c>
    </row>
    <row r="529" spans="1:4" ht="14.5">
      <c r="A529" t="s">
        <v>8038</v>
      </c>
      <c r="B529" s="380" t="str">
        <f t="shared" si="8"/>
        <v>101-875</v>
      </c>
      <c r="C529" s="76">
        <v>11770</v>
      </c>
      <c r="D529" s="76">
        <v>11055</v>
      </c>
    </row>
    <row r="530" spans="1:4" ht="14.5">
      <c r="A530" t="s">
        <v>8039</v>
      </c>
      <c r="B530" s="380" t="str">
        <f t="shared" si="8"/>
        <v>101-876</v>
      </c>
      <c r="C530" s="76">
        <v>11770</v>
      </c>
      <c r="D530" s="76">
        <v>10020</v>
      </c>
    </row>
    <row r="531" spans="1:4" ht="14.5">
      <c r="A531" t="s">
        <v>8779</v>
      </c>
      <c r="B531" s="380" t="str">
        <f t="shared" si="8"/>
        <v>101-878</v>
      </c>
      <c r="C531" s="76">
        <v>11770</v>
      </c>
    </row>
    <row r="532" spans="1:4" ht="14.5">
      <c r="A532" t="s">
        <v>3019</v>
      </c>
      <c r="B532" s="380" t="str">
        <f t="shared" si="8"/>
        <v>101-902</v>
      </c>
      <c r="C532" s="76">
        <v>9523</v>
      </c>
      <c r="D532" s="76">
        <v>9238</v>
      </c>
    </row>
    <row r="533" spans="1:4" ht="14.5">
      <c r="A533" t="s">
        <v>3020</v>
      </c>
      <c r="B533" s="380" t="str">
        <f t="shared" si="8"/>
        <v>101-903</v>
      </c>
      <c r="C533" s="76">
        <v>9665</v>
      </c>
      <c r="D533" s="76">
        <v>9712</v>
      </c>
    </row>
    <row r="534" spans="1:4" ht="14.5">
      <c r="A534" t="s">
        <v>3021</v>
      </c>
      <c r="B534" s="380" t="str">
        <f t="shared" si="8"/>
        <v>101-905</v>
      </c>
      <c r="C534" s="76">
        <v>10160</v>
      </c>
      <c r="D534" s="76">
        <v>9071</v>
      </c>
    </row>
    <row r="535" spans="1:4" ht="14.5">
      <c r="A535" t="s">
        <v>3022</v>
      </c>
      <c r="B535" s="380" t="str">
        <f t="shared" si="8"/>
        <v>101-906</v>
      </c>
      <c r="C535" s="76">
        <v>9278</v>
      </c>
      <c r="D535" s="76">
        <v>9246</v>
      </c>
    </row>
    <row r="536" spans="1:4" ht="14.5">
      <c r="A536" t="s">
        <v>5066</v>
      </c>
      <c r="B536" s="380" t="str">
        <f t="shared" si="8"/>
        <v>101-907</v>
      </c>
      <c r="C536" s="76">
        <v>8012</v>
      </c>
      <c r="D536" s="76">
        <v>8109</v>
      </c>
    </row>
    <row r="537" spans="1:4" ht="14.5">
      <c r="A537" t="s">
        <v>5067</v>
      </c>
      <c r="B537" s="380" t="str">
        <f t="shared" si="8"/>
        <v>101-908</v>
      </c>
      <c r="C537" s="76">
        <v>10014</v>
      </c>
      <c r="D537" s="76">
        <v>11198</v>
      </c>
    </row>
    <row r="538" spans="1:4" ht="14.5">
      <c r="A538" t="s">
        <v>3023</v>
      </c>
      <c r="B538" s="380" t="str">
        <f t="shared" si="8"/>
        <v>101-910</v>
      </c>
      <c r="C538" s="76">
        <v>10375</v>
      </c>
      <c r="D538" s="76">
        <v>10835</v>
      </c>
    </row>
    <row r="539" spans="1:4" ht="14.5">
      <c r="A539" t="s">
        <v>5068</v>
      </c>
      <c r="B539" s="380" t="str">
        <f t="shared" si="8"/>
        <v>101-911</v>
      </c>
      <c r="C539" s="76">
        <v>9926</v>
      </c>
      <c r="D539" s="76">
        <v>10098</v>
      </c>
    </row>
    <row r="540" spans="1:4" ht="14.5">
      <c r="A540" t="s">
        <v>5069</v>
      </c>
      <c r="B540" s="380" t="str">
        <f t="shared" si="8"/>
        <v>101-912</v>
      </c>
      <c r="C540" s="76">
        <v>9447</v>
      </c>
      <c r="D540" s="76">
        <v>9101</v>
      </c>
    </row>
    <row r="541" spans="1:4" ht="14.5">
      <c r="A541" t="s">
        <v>3024</v>
      </c>
      <c r="B541" s="380" t="str">
        <f t="shared" si="8"/>
        <v>101-913</v>
      </c>
      <c r="C541" s="76">
        <v>9219</v>
      </c>
      <c r="D541" s="76">
        <v>9206</v>
      </c>
    </row>
    <row r="542" spans="1:4" ht="14.5">
      <c r="A542" t="s">
        <v>3025</v>
      </c>
      <c r="B542" s="380" t="str">
        <f t="shared" si="8"/>
        <v>101-914</v>
      </c>
      <c r="C542" s="76">
        <v>9230</v>
      </c>
      <c r="D542" s="76">
        <v>9171</v>
      </c>
    </row>
    <row r="543" spans="1:4" ht="14.5">
      <c r="A543" t="s">
        <v>3026</v>
      </c>
      <c r="B543" s="380" t="str">
        <f t="shared" si="8"/>
        <v>101-915</v>
      </c>
      <c r="C543" s="76">
        <v>8418</v>
      </c>
      <c r="D543" s="76">
        <v>8503</v>
      </c>
    </row>
    <row r="544" spans="1:4" ht="14.5">
      <c r="A544" t="s">
        <v>5070</v>
      </c>
      <c r="B544" s="380" t="str">
        <f t="shared" si="8"/>
        <v>101-916</v>
      </c>
      <c r="C544" s="76">
        <v>8513</v>
      </c>
      <c r="D544" s="76">
        <v>8890</v>
      </c>
    </row>
    <row r="545" spans="1:4" ht="14.5">
      <c r="A545" t="s">
        <v>3027</v>
      </c>
      <c r="B545" s="380" t="str">
        <f t="shared" si="8"/>
        <v>101-917</v>
      </c>
      <c r="C545" s="76">
        <v>9938</v>
      </c>
      <c r="D545" s="76">
        <v>9995</v>
      </c>
    </row>
    <row r="546" spans="1:4" ht="14.5">
      <c r="A546" t="s">
        <v>5071</v>
      </c>
      <c r="B546" s="380" t="str">
        <f t="shared" si="8"/>
        <v>101-919</v>
      </c>
      <c r="C546" s="76">
        <v>9234</v>
      </c>
      <c r="D546" s="76">
        <v>9238</v>
      </c>
    </row>
    <row r="547" spans="1:4" ht="14.5">
      <c r="A547" t="s">
        <v>5072</v>
      </c>
      <c r="B547" s="380" t="str">
        <f t="shared" si="8"/>
        <v>101-920</v>
      </c>
      <c r="C547" s="76">
        <v>8917</v>
      </c>
      <c r="D547" s="76">
        <v>8701</v>
      </c>
    </row>
    <row r="548" spans="1:4" ht="14.5">
      <c r="A548" t="s">
        <v>5073</v>
      </c>
      <c r="B548" s="380" t="str">
        <f t="shared" si="8"/>
        <v>101-921</v>
      </c>
      <c r="C548" s="76">
        <v>8199</v>
      </c>
      <c r="D548" s="76">
        <v>8038</v>
      </c>
    </row>
    <row r="549" spans="1:4" ht="14.5">
      <c r="A549" t="s">
        <v>5074</v>
      </c>
      <c r="B549" s="380" t="str">
        <f t="shared" si="8"/>
        <v>101-924</v>
      </c>
      <c r="C549" s="76">
        <v>9636</v>
      </c>
      <c r="D549" s="76">
        <v>10030</v>
      </c>
    </row>
    <row r="550" spans="1:4" ht="14.5">
      <c r="A550" t="s">
        <v>3028</v>
      </c>
      <c r="B550" s="380" t="str">
        <f t="shared" si="8"/>
        <v>101-925</v>
      </c>
      <c r="C550" s="76">
        <v>9408</v>
      </c>
      <c r="D550" s="76">
        <v>9664</v>
      </c>
    </row>
    <row r="551" spans="1:4" ht="14.5">
      <c r="A551" t="s">
        <v>8508</v>
      </c>
      <c r="B551" s="380" t="str">
        <f t="shared" si="8"/>
        <v>101-950</v>
      </c>
      <c r="C551" s="76">
        <v>11770</v>
      </c>
      <c r="D551" s="76">
        <v>11849</v>
      </c>
    </row>
    <row r="552" spans="1:4" ht="14.5">
      <c r="A552" t="s">
        <v>5812</v>
      </c>
      <c r="B552" s="380" t="str">
        <f t="shared" si="8"/>
        <v>102-901</v>
      </c>
      <c r="C552" s="76">
        <v>12120</v>
      </c>
      <c r="D552" s="76">
        <v>11849</v>
      </c>
    </row>
    <row r="553" spans="1:4" ht="14.5">
      <c r="A553" t="s">
        <v>5075</v>
      </c>
      <c r="B553" s="380" t="str">
        <f t="shared" si="8"/>
        <v>102-902</v>
      </c>
      <c r="C553" s="76">
        <v>8335</v>
      </c>
      <c r="D553" s="76">
        <v>8537</v>
      </c>
    </row>
    <row r="554" spans="1:4" ht="14.5">
      <c r="A554" t="s">
        <v>5076</v>
      </c>
      <c r="B554" s="380" t="str">
        <f t="shared" si="8"/>
        <v>102-903</v>
      </c>
      <c r="C554" s="76">
        <v>10181</v>
      </c>
      <c r="D554" s="76">
        <v>10178</v>
      </c>
    </row>
    <row r="555" spans="1:4" ht="14.5">
      <c r="A555" t="s">
        <v>5077</v>
      </c>
      <c r="B555" s="380" t="str">
        <f t="shared" si="8"/>
        <v>102-904</v>
      </c>
      <c r="C555" s="76">
        <v>7594</v>
      </c>
      <c r="D555" s="76">
        <v>7547</v>
      </c>
    </row>
    <row r="556" spans="1:4" ht="14.5">
      <c r="A556" t="s">
        <v>5078</v>
      </c>
      <c r="B556" s="380" t="str">
        <f t="shared" si="8"/>
        <v>102-905</v>
      </c>
      <c r="C556" s="76">
        <v>10907</v>
      </c>
      <c r="D556" s="76">
        <v>10786</v>
      </c>
    </row>
    <row r="557" spans="1:4" ht="14.5">
      <c r="A557" t="s">
        <v>5079</v>
      </c>
      <c r="B557" s="380" t="str">
        <f t="shared" si="8"/>
        <v>102-906</v>
      </c>
      <c r="C557" s="76">
        <v>13946</v>
      </c>
      <c r="D557" s="76">
        <v>11849</v>
      </c>
    </row>
    <row r="558" spans="1:4" ht="14.5">
      <c r="A558" t="s">
        <v>5080</v>
      </c>
      <c r="B558" s="380" t="str">
        <f t="shared" si="8"/>
        <v>103-901</v>
      </c>
      <c r="C558" s="76">
        <v>12203</v>
      </c>
      <c r="D558" s="76">
        <v>11849</v>
      </c>
    </row>
    <row r="559" spans="1:4" ht="14.5">
      <c r="A559" t="s">
        <v>5081</v>
      </c>
      <c r="B559" s="380" t="str">
        <f t="shared" si="8"/>
        <v>103-902</v>
      </c>
      <c r="C559" s="76">
        <v>12816</v>
      </c>
      <c r="D559" s="76">
        <v>11849</v>
      </c>
    </row>
    <row r="560" spans="1:4" ht="14.5">
      <c r="A560" t="s">
        <v>3029</v>
      </c>
      <c r="B560" s="380" t="str">
        <f t="shared" si="8"/>
        <v>104-901</v>
      </c>
      <c r="C560" s="76">
        <v>11770</v>
      </c>
      <c r="D560" s="76">
        <v>11849</v>
      </c>
    </row>
    <row r="561" spans="1:4" ht="14.5">
      <c r="A561" t="s">
        <v>5813</v>
      </c>
      <c r="B561" s="380" t="str">
        <f t="shared" si="8"/>
        <v>104-903</v>
      </c>
      <c r="C561" s="76">
        <v>15940</v>
      </c>
      <c r="D561" s="76">
        <v>11849</v>
      </c>
    </row>
    <row r="562" spans="1:4" ht="14.5">
      <c r="A562" t="s">
        <v>5082</v>
      </c>
      <c r="B562" s="380" t="str">
        <f t="shared" si="8"/>
        <v>104-907</v>
      </c>
      <c r="C562" s="76">
        <v>16980</v>
      </c>
      <c r="D562" s="76">
        <v>11849</v>
      </c>
    </row>
    <row r="563" spans="1:4" ht="14.5">
      <c r="A563" t="s">
        <v>8040</v>
      </c>
      <c r="B563" s="380" t="str">
        <f t="shared" si="8"/>
        <v>105-801</v>
      </c>
      <c r="C563" s="76">
        <v>10497</v>
      </c>
      <c r="D563" s="76">
        <v>11388</v>
      </c>
    </row>
    <row r="564" spans="1:4" ht="14.5">
      <c r="A564" t="s">
        <v>8041</v>
      </c>
      <c r="B564" s="380" t="str">
        <f t="shared" si="8"/>
        <v>105-802</v>
      </c>
      <c r="C564" s="76">
        <v>10855</v>
      </c>
      <c r="D564" s="76">
        <v>10914</v>
      </c>
    </row>
    <row r="565" spans="1:4" ht="14.5">
      <c r="A565" t="s">
        <v>8042</v>
      </c>
      <c r="B565" s="380" t="str">
        <f t="shared" si="8"/>
        <v>105-803</v>
      </c>
      <c r="C565" s="76">
        <v>17563</v>
      </c>
      <c r="D565" s="76">
        <v>11849</v>
      </c>
    </row>
    <row r="566" spans="1:4" ht="14.5">
      <c r="A566" t="s">
        <v>5083</v>
      </c>
      <c r="B566" s="380" t="str">
        <f t="shared" si="8"/>
        <v>105-902</v>
      </c>
      <c r="C566" s="76">
        <v>10107</v>
      </c>
      <c r="D566" s="76">
        <v>10096</v>
      </c>
    </row>
    <row r="567" spans="1:4" ht="14.5">
      <c r="A567" t="s">
        <v>3030</v>
      </c>
      <c r="B567" s="380" t="str">
        <f t="shared" si="8"/>
        <v>105-904</v>
      </c>
      <c r="C567" s="76">
        <v>9410</v>
      </c>
      <c r="D567" s="76">
        <v>9052</v>
      </c>
    </row>
    <row r="568" spans="1:4" ht="14.5">
      <c r="A568" t="s">
        <v>5084</v>
      </c>
      <c r="B568" s="380" t="str">
        <f t="shared" si="8"/>
        <v>105-905</v>
      </c>
      <c r="C568" s="76">
        <v>9581</v>
      </c>
      <c r="D568" s="76">
        <v>9207</v>
      </c>
    </row>
    <row r="569" spans="1:4" ht="14.5">
      <c r="A569" t="s">
        <v>3031</v>
      </c>
      <c r="B569" s="380" t="str">
        <f t="shared" si="8"/>
        <v>105-906</v>
      </c>
      <c r="C569" s="76">
        <v>8865</v>
      </c>
      <c r="D569" s="76">
        <v>8764</v>
      </c>
    </row>
    <row r="570" spans="1:4" ht="14.5">
      <c r="A570" t="s">
        <v>5085</v>
      </c>
      <c r="B570" s="380" t="str">
        <f t="shared" si="8"/>
        <v>106-901</v>
      </c>
      <c r="C570" s="76">
        <v>8524</v>
      </c>
      <c r="D570" s="76">
        <v>9849</v>
      </c>
    </row>
    <row r="571" spans="1:4" ht="14.5">
      <c r="A571" t="s">
        <v>5086</v>
      </c>
      <c r="B571" s="380" t="str">
        <f t="shared" si="8"/>
        <v>107-901</v>
      </c>
      <c r="C571" s="76">
        <v>9567</v>
      </c>
      <c r="D571" s="76">
        <v>9522</v>
      </c>
    </row>
    <row r="572" spans="1:4" ht="14.5">
      <c r="A572" t="s">
        <v>5087</v>
      </c>
      <c r="B572" s="380" t="str">
        <f t="shared" si="8"/>
        <v>107-902</v>
      </c>
      <c r="C572" s="76">
        <v>9567</v>
      </c>
      <c r="D572" s="76">
        <v>9347</v>
      </c>
    </row>
    <row r="573" spans="1:4" ht="14.5">
      <c r="A573" t="s">
        <v>5088</v>
      </c>
      <c r="B573" s="380" t="str">
        <f t="shared" si="8"/>
        <v>107-904</v>
      </c>
      <c r="C573" s="76">
        <v>11687</v>
      </c>
      <c r="D573" s="76">
        <v>11100</v>
      </c>
    </row>
    <row r="574" spans="1:4" ht="14.5">
      <c r="A574" t="s">
        <v>5089</v>
      </c>
      <c r="B574" s="380" t="str">
        <f t="shared" si="8"/>
        <v>107-905</v>
      </c>
      <c r="C574" s="76">
        <v>10054</v>
      </c>
      <c r="D574" s="76">
        <v>9308</v>
      </c>
    </row>
    <row r="575" spans="1:4" ht="14.5">
      <c r="A575" t="s">
        <v>5090</v>
      </c>
      <c r="B575" s="380" t="str">
        <f t="shared" si="8"/>
        <v>107-906</v>
      </c>
      <c r="C575" s="76">
        <v>10087</v>
      </c>
      <c r="D575" s="76">
        <v>9849</v>
      </c>
    </row>
    <row r="576" spans="1:4" ht="14.5">
      <c r="A576" t="s">
        <v>3032</v>
      </c>
      <c r="B576" s="380" t="str">
        <f t="shared" si="8"/>
        <v>107-907</v>
      </c>
      <c r="C576" s="76">
        <v>12270</v>
      </c>
      <c r="D576" s="76">
        <v>11849</v>
      </c>
    </row>
    <row r="577" spans="1:4" ht="14.5">
      <c r="A577" t="s">
        <v>4087</v>
      </c>
      <c r="B577" s="380" t="str">
        <f t="shared" si="8"/>
        <v>107-908</v>
      </c>
      <c r="C577" s="76">
        <v>12025</v>
      </c>
      <c r="D577" s="76">
        <v>11849</v>
      </c>
    </row>
    <row r="578" spans="1:4" ht="14.5">
      <c r="A578" t="s">
        <v>5091</v>
      </c>
      <c r="B578" s="380" t="str">
        <f t="shared" si="8"/>
        <v>107-910</v>
      </c>
      <c r="C578" s="76">
        <v>10749</v>
      </c>
      <c r="D578" s="76">
        <v>11008</v>
      </c>
    </row>
    <row r="579" spans="1:4" ht="14.5">
      <c r="A579" t="s">
        <v>8043</v>
      </c>
      <c r="B579" s="380" t="str">
        <f t="shared" si="8"/>
        <v>108-802</v>
      </c>
      <c r="C579" s="76">
        <v>10728</v>
      </c>
      <c r="D579" s="76">
        <v>10906</v>
      </c>
    </row>
    <row r="580" spans="1:4" ht="14.5">
      <c r="A580" t="s">
        <v>8044</v>
      </c>
      <c r="B580" s="380" t="str">
        <f t="shared" ref="B580:B643" si="9">CONCATENATE(LEFT(RIGHT(CONCATENATE("000",A580),6),3),"-",(RIGHT(RIGHT(CONCATENATE("000",A580),6),3)))</f>
        <v>108-804</v>
      </c>
      <c r="C580" s="76">
        <v>11652</v>
      </c>
      <c r="D580" s="76">
        <v>11403</v>
      </c>
    </row>
    <row r="581" spans="1:4" ht="14.5">
      <c r="A581" t="s">
        <v>8045</v>
      </c>
      <c r="B581" s="380" t="str">
        <f t="shared" si="9"/>
        <v>108-807</v>
      </c>
      <c r="C581" s="76">
        <v>10668</v>
      </c>
      <c r="D581" s="76">
        <v>10518</v>
      </c>
    </row>
    <row r="582" spans="1:4" ht="14.5">
      <c r="A582" t="s">
        <v>8046</v>
      </c>
      <c r="B582" s="380" t="str">
        <f t="shared" si="9"/>
        <v>108-808</v>
      </c>
      <c r="C582" s="76">
        <v>10328</v>
      </c>
      <c r="D582" s="76">
        <v>10596</v>
      </c>
    </row>
    <row r="583" spans="1:4" ht="14.5">
      <c r="A583" t="s">
        <v>8047</v>
      </c>
      <c r="B583" s="380" t="str">
        <f t="shared" si="9"/>
        <v>108-809</v>
      </c>
      <c r="C583" s="76">
        <v>10913</v>
      </c>
      <c r="D583" s="76">
        <v>10942</v>
      </c>
    </row>
    <row r="584" spans="1:4" ht="14.5">
      <c r="A584" t="s">
        <v>3033</v>
      </c>
      <c r="B584" s="380" t="str">
        <f t="shared" si="9"/>
        <v>108-902</v>
      </c>
      <c r="C584" s="76">
        <v>10802</v>
      </c>
      <c r="D584" s="76">
        <v>10470</v>
      </c>
    </row>
    <row r="585" spans="1:4" ht="14.5">
      <c r="A585" t="s">
        <v>3034</v>
      </c>
      <c r="B585" s="380" t="str">
        <f t="shared" si="9"/>
        <v>108-903</v>
      </c>
      <c r="C585" s="76">
        <v>10570</v>
      </c>
      <c r="D585" s="76">
        <v>10266</v>
      </c>
    </row>
    <row r="586" spans="1:4" ht="14.5">
      <c r="A586" t="s">
        <v>3035</v>
      </c>
      <c r="B586" s="380" t="str">
        <f t="shared" si="9"/>
        <v>108-904</v>
      </c>
      <c r="C586" s="76">
        <v>9949</v>
      </c>
      <c r="D586" s="76">
        <v>9785</v>
      </c>
    </row>
    <row r="587" spans="1:4" ht="14.5">
      <c r="A587" t="s">
        <v>3036</v>
      </c>
      <c r="B587" s="380" t="str">
        <f t="shared" si="9"/>
        <v>108-905</v>
      </c>
      <c r="C587" s="76">
        <v>11077</v>
      </c>
      <c r="D587" s="76">
        <v>11009</v>
      </c>
    </row>
    <row r="588" spans="1:4" ht="14.5">
      <c r="A588" t="s">
        <v>3037</v>
      </c>
      <c r="B588" s="380" t="str">
        <f t="shared" si="9"/>
        <v>108-906</v>
      </c>
      <c r="C588" s="76">
        <v>10210</v>
      </c>
      <c r="D588" s="76">
        <v>9994</v>
      </c>
    </row>
    <row r="589" spans="1:4" ht="14.5">
      <c r="A589" t="s">
        <v>3038</v>
      </c>
      <c r="B589" s="380" t="str">
        <f t="shared" si="9"/>
        <v>108-907</v>
      </c>
      <c r="C589" s="76">
        <v>10621</v>
      </c>
      <c r="D589" s="76">
        <v>10562</v>
      </c>
    </row>
    <row r="590" spans="1:4" ht="14.5">
      <c r="A590" t="s">
        <v>3039</v>
      </c>
      <c r="B590" s="380" t="str">
        <f t="shared" si="9"/>
        <v>108-908</v>
      </c>
      <c r="C590" s="76">
        <v>10535</v>
      </c>
      <c r="D590" s="76">
        <v>10325</v>
      </c>
    </row>
    <row r="591" spans="1:4" ht="14.5">
      <c r="A591" t="s">
        <v>3040</v>
      </c>
      <c r="B591" s="380" t="str">
        <f t="shared" si="9"/>
        <v>108-909</v>
      </c>
      <c r="C591" s="76">
        <v>10244</v>
      </c>
      <c r="D591" s="76">
        <v>10030</v>
      </c>
    </row>
    <row r="592" spans="1:4" ht="14.5">
      <c r="A592" t="s">
        <v>3041</v>
      </c>
      <c r="B592" s="380" t="str">
        <f t="shared" si="9"/>
        <v>108-910</v>
      </c>
      <c r="C592" s="76">
        <v>10376</v>
      </c>
      <c r="D592" s="76">
        <v>9822</v>
      </c>
    </row>
    <row r="593" spans="1:4" ht="14.5">
      <c r="A593" t="s">
        <v>3042</v>
      </c>
      <c r="B593" s="380" t="str">
        <f t="shared" si="9"/>
        <v>108-911</v>
      </c>
      <c r="C593" s="76">
        <v>9575</v>
      </c>
      <c r="D593" s="76">
        <v>9443</v>
      </c>
    </row>
    <row r="594" spans="1:4" ht="14.5">
      <c r="A594" t="s">
        <v>3043</v>
      </c>
      <c r="B594" s="380" t="str">
        <f t="shared" si="9"/>
        <v>108-912</v>
      </c>
      <c r="C594" s="76">
        <v>10657</v>
      </c>
      <c r="D594" s="76">
        <v>10343</v>
      </c>
    </row>
    <row r="595" spans="1:4" ht="14.5">
      <c r="A595" t="s">
        <v>3044</v>
      </c>
      <c r="B595" s="380" t="str">
        <f t="shared" si="9"/>
        <v>108-913</v>
      </c>
      <c r="C595" s="76">
        <v>10172</v>
      </c>
      <c r="D595" s="76">
        <v>9875</v>
      </c>
    </row>
    <row r="596" spans="1:4" ht="14.5">
      <c r="A596" t="s">
        <v>3045</v>
      </c>
      <c r="B596" s="380" t="str">
        <f t="shared" si="9"/>
        <v>108-914</v>
      </c>
      <c r="C596" s="76">
        <v>12515</v>
      </c>
      <c r="D596" s="76">
        <v>11849</v>
      </c>
    </row>
    <row r="597" spans="1:4" ht="14.5">
      <c r="A597" t="s">
        <v>3046</v>
      </c>
      <c r="B597" s="380" t="str">
        <f t="shared" si="9"/>
        <v>108-915</v>
      </c>
      <c r="C597" s="76">
        <v>11770</v>
      </c>
      <c r="D597" s="76">
        <v>11849</v>
      </c>
    </row>
    <row r="598" spans="1:4" ht="14.5">
      <c r="A598" t="s">
        <v>3047</v>
      </c>
      <c r="B598" s="380" t="str">
        <f t="shared" si="9"/>
        <v>108-916</v>
      </c>
      <c r="C598" s="76">
        <v>11270</v>
      </c>
      <c r="D598" s="76">
        <v>10707</v>
      </c>
    </row>
    <row r="599" spans="1:4" ht="14.5">
      <c r="A599" t="s">
        <v>8509</v>
      </c>
      <c r="B599" s="380" t="str">
        <f t="shared" si="9"/>
        <v>108-950</v>
      </c>
      <c r="C599" s="76">
        <v>11770</v>
      </c>
      <c r="D599" s="76">
        <v>11849</v>
      </c>
    </row>
    <row r="600" spans="1:4" ht="14.5">
      <c r="A600" t="s">
        <v>3048</v>
      </c>
      <c r="B600" s="380" t="str">
        <f t="shared" si="9"/>
        <v>109-901</v>
      </c>
      <c r="C600" s="76">
        <v>11714</v>
      </c>
      <c r="D600" s="76">
        <v>11268</v>
      </c>
    </row>
    <row r="601" spans="1:4" ht="14.5">
      <c r="A601" t="s">
        <v>3049</v>
      </c>
      <c r="B601" s="380" t="str">
        <f t="shared" si="9"/>
        <v>109-902</v>
      </c>
      <c r="C601" s="76">
        <v>13998</v>
      </c>
      <c r="D601" s="76">
        <v>11849</v>
      </c>
    </row>
    <row r="602" spans="1:4" ht="14.5">
      <c r="A602" t="s">
        <v>4185</v>
      </c>
      <c r="B602" s="380" t="str">
        <f t="shared" si="9"/>
        <v>109-903</v>
      </c>
      <c r="C602" s="76">
        <v>12335</v>
      </c>
      <c r="D602" s="76">
        <v>11849</v>
      </c>
    </row>
    <row r="603" spans="1:4" ht="14.5">
      <c r="A603" t="s">
        <v>3050</v>
      </c>
      <c r="B603" s="380" t="str">
        <f t="shared" si="9"/>
        <v>109-904</v>
      </c>
      <c r="C603" s="76">
        <v>10074</v>
      </c>
      <c r="D603" s="76">
        <v>9925</v>
      </c>
    </row>
    <row r="604" spans="1:4" ht="14.5">
      <c r="A604" t="s">
        <v>3051</v>
      </c>
      <c r="B604" s="380" t="str">
        <f t="shared" si="9"/>
        <v>109-905</v>
      </c>
      <c r="C604" s="76">
        <v>12341</v>
      </c>
      <c r="D604" s="76">
        <v>11849</v>
      </c>
    </row>
    <row r="605" spans="1:4" ht="14.5">
      <c r="A605" t="s">
        <v>3052</v>
      </c>
      <c r="B605" s="380" t="str">
        <f t="shared" si="9"/>
        <v>109-907</v>
      </c>
      <c r="C605" s="76">
        <v>12420</v>
      </c>
      <c r="D605" s="76">
        <v>11849</v>
      </c>
    </row>
    <row r="606" spans="1:4" ht="14.5">
      <c r="A606" t="s">
        <v>3053</v>
      </c>
      <c r="B606" s="380" t="str">
        <f t="shared" si="9"/>
        <v>109-908</v>
      </c>
      <c r="C606" s="76">
        <v>12959</v>
      </c>
      <c r="D606" s="76">
        <v>11849</v>
      </c>
    </row>
    <row r="607" spans="1:4" ht="14.5">
      <c r="A607" t="s">
        <v>3054</v>
      </c>
      <c r="B607" s="380" t="str">
        <f t="shared" si="9"/>
        <v>109-910</v>
      </c>
      <c r="C607" s="76">
        <v>13261</v>
      </c>
      <c r="D607" s="76">
        <v>11849</v>
      </c>
    </row>
    <row r="608" spans="1:4" ht="14.5">
      <c r="A608" t="s">
        <v>5092</v>
      </c>
      <c r="B608" s="380" t="str">
        <f t="shared" si="9"/>
        <v>109-911</v>
      </c>
      <c r="C608" s="76">
        <v>10315</v>
      </c>
      <c r="D608" s="76">
        <v>9907</v>
      </c>
    </row>
    <row r="609" spans="1:4" ht="14.5">
      <c r="A609" t="s">
        <v>3055</v>
      </c>
      <c r="B609" s="380" t="str">
        <f t="shared" si="9"/>
        <v>109-912</v>
      </c>
      <c r="C609" s="76">
        <v>11774</v>
      </c>
      <c r="D609" s="76">
        <v>11849</v>
      </c>
    </row>
    <row r="610" spans="1:4" ht="14.5">
      <c r="A610" t="s">
        <v>4203</v>
      </c>
      <c r="B610" s="380" t="str">
        <f t="shared" si="9"/>
        <v>109-913</v>
      </c>
      <c r="C610" s="76">
        <v>12614</v>
      </c>
      <c r="D610" s="76">
        <v>11849</v>
      </c>
    </row>
    <row r="611" spans="1:4" ht="14.5">
      <c r="A611" t="s">
        <v>4205</v>
      </c>
      <c r="B611" s="380" t="str">
        <f t="shared" si="9"/>
        <v>109-914</v>
      </c>
      <c r="C611" s="76">
        <v>13496</v>
      </c>
      <c r="D611" s="76">
        <v>11849</v>
      </c>
    </row>
    <row r="612" spans="1:4" ht="14.5">
      <c r="A612" t="s">
        <v>5814</v>
      </c>
      <c r="B612" s="380" t="str">
        <f t="shared" si="9"/>
        <v>110-901</v>
      </c>
      <c r="C612" s="76">
        <v>12434</v>
      </c>
      <c r="D612" s="76">
        <v>11849</v>
      </c>
    </row>
    <row r="613" spans="1:4" ht="14.5">
      <c r="A613" t="s">
        <v>5093</v>
      </c>
      <c r="B613" s="380" t="str">
        <f t="shared" si="9"/>
        <v>110-902</v>
      </c>
      <c r="C613" s="76">
        <v>9458</v>
      </c>
      <c r="D613" s="76">
        <v>9696</v>
      </c>
    </row>
    <row r="614" spans="1:4" ht="14.5">
      <c r="A614" t="s">
        <v>5094</v>
      </c>
      <c r="B614" s="380" t="str">
        <f t="shared" si="9"/>
        <v>110-905</v>
      </c>
      <c r="C614" s="76">
        <v>11127</v>
      </c>
      <c r="D614" s="76">
        <v>11478</v>
      </c>
    </row>
    <row r="615" spans="1:4" ht="14.5">
      <c r="A615" t="s">
        <v>3056</v>
      </c>
      <c r="B615" s="380" t="str">
        <f t="shared" si="9"/>
        <v>110-906</v>
      </c>
      <c r="C615" s="76">
        <v>11770</v>
      </c>
      <c r="D615" s="76">
        <v>11849</v>
      </c>
    </row>
    <row r="616" spans="1:4" ht="14.5">
      <c r="A616" t="s">
        <v>5815</v>
      </c>
      <c r="B616" s="380" t="str">
        <f t="shared" si="9"/>
        <v>110-907</v>
      </c>
      <c r="C616" s="76">
        <v>11770</v>
      </c>
      <c r="D616" s="76">
        <v>11849</v>
      </c>
    </row>
    <row r="617" spans="1:4" ht="14.5">
      <c r="A617" t="s">
        <v>5816</v>
      </c>
      <c r="B617" s="380" t="str">
        <f t="shared" si="9"/>
        <v>110-908</v>
      </c>
      <c r="C617" s="76">
        <v>11770</v>
      </c>
      <c r="D617" s="76">
        <v>11643</v>
      </c>
    </row>
    <row r="618" spans="1:4" ht="14.5">
      <c r="A618" t="s">
        <v>8048</v>
      </c>
      <c r="B618" s="380" t="str">
        <f t="shared" si="9"/>
        <v>111-801</v>
      </c>
      <c r="C618" s="76">
        <v>11595</v>
      </c>
      <c r="D618" s="76">
        <v>11686</v>
      </c>
    </row>
    <row r="619" spans="1:4" ht="14.5">
      <c r="A619" t="s">
        <v>5095</v>
      </c>
      <c r="B619" s="380" t="str">
        <f t="shared" si="9"/>
        <v>111-901</v>
      </c>
      <c r="C619" s="76">
        <v>8741</v>
      </c>
      <c r="D619" s="76">
        <v>9020</v>
      </c>
    </row>
    <row r="620" spans="1:4" ht="14.5">
      <c r="A620" t="s">
        <v>3057</v>
      </c>
      <c r="B620" s="380" t="str">
        <f t="shared" si="9"/>
        <v>111-902</v>
      </c>
      <c r="C620" s="76">
        <v>12699</v>
      </c>
      <c r="D620" s="76">
        <v>11342</v>
      </c>
    </row>
    <row r="621" spans="1:4" ht="14.5">
      <c r="A621" t="s">
        <v>3058</v>
      </c>
      <c r="B621" s="380" t="str">
        <f t="shared" si="9"/>
        <v>111-903</v>
      </c>
      <c r="C621" s="76">
        <v>9519</v>
      </c>
      <c r="D621" s="76">
        <v>8946</v>
      </c>
    </row>
    <row r="622" spans="1:4" ht="14.5">
      <c r="A622" t="s">
        <v>3059</v>
      </c>
      <c r="B622" s="380" t="str">
        <f t="shared" si="9"/>
        <v>112-901</v>
      </c>
      <c r="C622" s="76">
        <v>8928</v>
      </c>
      <c r="D622" s="76">
        <v>8455</v>
      </c>
    </row>
    <row r="623" spans="1:4" ht="14.5">
      <c r="A623" t="s">
        <v>3060</v>
      </c>
      <c r="B623" s="380" t="str">
        <f t="shared" si="9"/>
        <v>112-905</v>
      </c>
      <c r="C623" s="76">
        <v>12162</v>
      </c>
      <c r="D623" s="76">
        <v>11849</v>
      </c>
    </row>
    <row r="624" spans="1:4" ht="14.5">
      <c r="A624" t="s">
        <v>5096</v>
      </c>
      <c r="B624" s="380" t="str">
        <f t="shared" si="9"/>
        <v>112-906</v>
      </c>
      <c r="C624" s="76">
        <v>11770</v>
      </c>
      <c r="D624" s="76">
        <v>11849</v>
      </c>
    </row>
    <row r="625" spans="1:4" ht="14.5">
      <c r="A625" t="s">
        <v>3061</v>
      </c>
      <c r="B625" s="380" t="str">
        <f t="shared" si="9"/>
        <v>112-907</v>
      </c>
      <c r="C625" s="76">
        <v>11770</v>
      </c>
      <c r="D625" s="76">
        <v>11675</v>
      </c>
    </row>
    <row r="626" spans="1:4" ht="14.5">
      <c r="A626" t="s">
        <v>5817</v>
      </c>
      <c r="B626" s="380" t="str">
        <f t="shared" si="9"/>
        <v>112-908</v>
      </c>
      <c r="C626" s="76">
        <v>10990</v>
      </c>
      <c r="D626" s="76">
        <v>11195</v>
      </c>
    </row>
    <row r="627" spans="1:4" ht="14.5">
      <c r="A627" t="s">
        <v>5818</v>
      </c>
      <c r="B627" s="380" t="str">
        <f t="shared" si="9"/>
        <v>112-909</v>
      </c>
      <c r="C627" s="76">
        <v>10502</v>
      </c>
      <c r="D627" s="76">
        <v>11291</v>
      </c>
    </row>
    <row r="628" spans="1:4" ht="14.5">
      <c r="A628" t="s">
        <v>3062</v>
      </c>
      <c r="B628" s="380" t="str">
        <f t="shared" si="9"/>
        <v>112-910</v>
      </c>
      <c r="C628" s="76">
        <v>12236</v>
      </c>
      <c r="D628" s="76">
        <v>11849</v>
      </c>
    </row>
    <row r="629" spans="1:4" ht="14.5">
      <c r="A629" t="s">
        <v>5097</v>
      </c>
      <c r="B629" s="380" t="str">
        <f t="shared" si="9"/>
        <v>113-901</v>
      </c>
      <c r="C629" s="76">
        <v>10788</v>
      </c>
      <c r="D629" s="76">
        <v>10454</v>
      </c>
    </row>
    <row r="630" spans="1:4" ht="14.5">
      <c r="A630" t="s">
        <v>5098</v>
      </c>
      <c r="B630" s="380" t="str">
        <f t="shared" si="9"/>
        <v>113-902</v>
      </c>
      <c r="C630" s="76">
        <v>12087</v>
      </c>
      <c r="D630" s="76">
        <v>11458</v>
      </c>
    </row>
    <row r="631" spans="1:4" ht="14.5">
      <c r="A631" t="s">
        <v>5819</v>
      </c>
      <c r="B631" s="380" t="str">
        <f t="shared" si="9"/>
        <v>113-903</v>
      </c>
      <c r="C631" s="76">
        <v>11768</v>
      </c>
      <c r="D631" s="76">
        <v>11849</v>
      </c>
    </row>
    <row r="632" spans="1:4" ht="14.5">
      <c r="A632" t="s">
        <v>5099</v>
      </c>
      <c r="B632" s="380" t="str">
        <f t="shared" si="9"/>
        <v>113-905</v>
      </c>
      <c r="C632" s="76">
        <v>11636</v>
      </c>
      <c r="D632" s="76">
        <v>11303</v>
      </c>
    </row>
    <row r="633" spans="1:4" ht="14.5">
      <c r="A633" t="s">
        <v>5820</v>
      </c>
      <c r="B633" s="380" t="str">
        <f t="shared" si="9"/>
        <v>113-906</v>
      </c>
      <c r="C633" s="76">
        <v>14853</v>
      </c>
      <c r="D633" s="76">
        <v>11849</v>
      </c>
    </row>
    <row r="634" spans="1:4" ht="14.5">
      <c r="A634" t="s">
        <v>3063</v>
      </c>
      <c r="B634" s="380" t="str">
        <f t="shared" si="9"/>
        <v>114-901</v>
      </c>
      <c r="C634" s="76">
        <v>8212</v>
      </c>
      <c r="D634" s="76">
        <v>9845</v>
      </c>
    </row>
    <row r="635" spans="1:4" ht="14.5">
      <c r="A635" t="s">
        <v>5100</v>
      </c>
      <c r="B635" s="380" t="str">
        <f t="shared" si="9"/>
        <v>114-902</v>
      </c>
      <c r="C635" s="76">
        <v>9708</v>
      </c>
      <c r="D635" s="76">
        <v>11035</v>
      </c>
    </row>
    <row r="636" spans="1:4" ht="14.5">
      <c r="A636" t="s">
        <v>5101</v>
      </c>
      <c r="B636" s="380" t="str">
        <f t="shared" si="9"/>
        <v>114-904</v>
      </c>
      <c r="C636" s="76">
        <v>9805</v>
      </c>
      <c r="D636" s="76">
        <v>10158</v>
      </c>
    </row>
    <row r="637" spans="1:4" ht="14.5">
      <c r="A637" t="s">
        <v>5102</v>
      </c>
      <c r="B637" s="380" t="str">
        <f t="shared" si="9"/>
        <v>115-901</v>
      </c>
      <c r="C637" s="76">
        <v>12126</v>
      </c>
      <c r="D637" s="76">
        <v>11849</v>
      </c>
    </row>
    <row r="638" spans="1:4" ht="14.5">
      <c r="A638" t="s">
        <v>5821</v>
      </c>
      <c r="B638" s="380" t="str">
        <f t="shared" si="9"/>
        <v>115-902</v>
      </c>
      <c r="C638" s="76">
        <v>16394</v>
      </c>
      <c r="D638" s="76">
        <v>11849</v>
      </c>
    </row>
    <row r="639" spans="1:4" ht="14.5">
      <c r="A639" t="s">
        <v>5822</v>
      </c>
      <c r="B639" s="380" t="str">
        <f t="shared" si="9"/>
        <v>115-903</v>
      </c>
      <c r="C639" s="76">
        <v>28637</v>
      </c>
      <c r="D639" s="76">
        <v>11849</v>
      </c>
    </row>
    <row r="640" spans="1:4" ht="14.5">
      <c r="A640" t="s">
        <v>3064</v>
      </c>
      <c r="B640" s="380" t="str">
        <f t="shared" si="9"/>
        <v>116-901</v>
      </c>
      <c r="C640" s="76">
        <v>9857</v>
      </c>
      <c r="D640" s="76">
        <v>9659</v>
      </c>
    </row>
    <row r="641" spans="1:4" ht="14.5">
      <c r="A641" t="s">
        <v>3065</v>
      </c>
      <c r="B641" s="380" t="str">
        <f t="shared" si="9"/>
        <v>116-902</v>
      </c>
      <c r="C641" s="76">
        <v>12306</v>
      </c>
      <c r="D641" s="76">
        <v>11849</v>
      </c>
    </row>
    <row r="642" spans="1:4" ht="14.5">
      <c r="A642" t="s">
        <v>3066</v>
      </c>
      <c r="B642" s="380" t="str">
        <f t="shared" si="9"/>
        <v>116-903</v>
      </c>
      <c r="C642" s="76">
        <v>10611</v>
      </c>
      <c r="D642" s="76">
        <v>10368</v>
      </c>
    </row>
    <row r="643" spans="1:4" ht="14.5">
      <c r="A643" t="s">
        <v>5103</v>
      </c>
      <c r="B643" s="380" t="str">
        <f t="shared" si="9"/>
        <v>116-905</v>
      </c>
      <c r="C643" s="76">
        <v>9838</v>
      </c>
      <c r="D643" s="76">
        <v>9387</v>
      </c>
    </row>
    <row r="644" spans="1:4" ht="14.5">
      <c r="A644" t="s">
        <v>3067</v>
      </c>
      <c r="B644" s="380" t="str">
        <f t="shared" ref="B644:B707" si="10">CONCATENATE(LEFT(RIGHT(CONCATENATE("000",A644),6),3),"-",(RIGHT(RIGHT(CONCATENATE("000",A644),6),3)))</f>
        <v>116-906</v>
      </c>
      <c r="C644" s="76">
        <v>10608</v>
      </c>
      <c r="D644" s="76">
        <v>10674</v>
      </c>
    </row>
    <row r="645" spans="1:4" ht="14.5">
      <c r="A645" t="s">
        <v>3068</v>
      </c>
      <c r="B645" s="380" t="str">
        <f t="shared" si="10"/>
        <v>116-908</v>
      </c>
      <c r="C645" s="76">
        <v>10429</v>
      </c>
      <c r="D645" s="76">
        <v>10167</v>
      </c>
    </row>
    <row r="646" spans="1:4" ht="14.5">
      <c r="A646" t="s">
        <v>3069</v>
      </c>
      <c r="B646" s="380" t="str">
        <f t="shared" si="10"/>
        <v>116-909</v>
      </c>
      <c r="C646" s="76">
        <v>11770</v>
      </c>
      <c r="D646" s="76">
        <v>11744</v>
      </c>
    </row>
    <row r="647" spans="1:4" ht="14.5">
      <c r="A647" t="s">
        <v>5104</v>
      </c>
      <c r="B647" s="380" t="str">
        <f t="shared" si="10"/>
        <v>116-910</v>
      </c>
      <c r="C647" s="76">
        <v>13386</v>
      </c>
      <c r="D647" s="76">
        <v>11849</v>
      </c>
    </row>
    <row r="648" spans="1:4" ht="14.5">
      <c r="A648" t="s">
        <v>3070</v>
      </c>
      <c r="B648" s="380" t="str">
        <f t="shared" si="10"/>
        <v>116-915</v>
      </c>
      <c r="C648" s="76">
        <v>11502</v>
      </c>
      <c r="D648" s="76">
        <v>11063</v>
      </c>
    </row>
    <row r="649" spans="1:4" ht="14.5">
      <c r="A649" t="s">
        <v>3071</v>
      </c>
      <c r="B649" s="380" t="str">
        <f t="shared" si="10"/>
        <v>116-916</v>
      </c>
      <c r="C649" s="76">
        <v>12304</v>
      </c>
      <c r="D649" s="76">
        <v>11849</v>
      </c>
    </row>
    <row r="650" spans="1:4" ht="14.5">
      <c r="A650" t="s">
        <v>5105</v>
      </c>
      <c r="B650" s="380" t="str">
        <f t="shared" si="10"/>
        <v>117-901</v>
      </c>
      <c r="C650" s="76">
        <v>8655</v>
      </c>
      <c r="D650" s="76">
        <v>8767</v>
      </c>
    </row>
    <row r="651" spans="1:4" ht="14.5">
      <c r="A651" t="s">
        <v>5106</v>
      </c>
      <c r="B651" s="380" t="str">
        <f t="shared" si="10"/>
        <v>117-903</v>
      </c>
      <c r="C651" s="76">
        <v>11175</v>
      </c>
      <c r="D651" s="76">
        <v>11227</v>
      </c>
    </row>
    <row r="652" spans="1:4" ht="14.5">
      <c r="A652" t="s">
        <v>5107</v>
      </c>
      <c r="B652" s="380" t="str">
        <f t="shared" si="10"/>
        <v>117-904</v>
      </c>
      <c r="C652" s="76">
        <v>11642</v>
      </c>
      <c r="D652" s="76">
        <v>11064</v>
      </c>
    </row>
    <row r="653" spans="1:4" ht="14.5">
      <c r="A653" t="s">
        <v>5823</v>
      </c>
      <c r="B653" s="380" t="str">
        <f t="shared" si="10"/>
        <v>117-907</v>
      </c>
      <c r="C653" s="76">
        <v>13002</v>
      </c>
      <c r="D653" s="76">
        <v>11849</v>
      </c>
    </row>
    <row r="654" spans="1:4" ht="14.5">
      <c r="A654" t="s">
        <v>5108</v>
      </c>
      <c r="B654" s="380" t="str">
        <f t="shared" si="10"/>
        <v>118-902</v>
      </c>
      <c r="C654" s="76">
        <v>12146</v>
      </c>
      <c r="D654" s="76">
        <v>11849</v>
      </c>
    </row>
    <row r="655" spans="1:4" ht="14.5">
      <c r="A655" t="s">
        <v>5109</v>
      </c>
      <c r="B655" s="380" t="str">
        <f t="shared" si="10"/>
        <v>119-901</v>
      </c>
      <c r="C655" s="76">
        <v>10236</v>
      </c>
      <c r="D655" s="76">
        <v>10836</v>
      </c>
    </row>
    <row r="656" spans="1:4" ht="14.5">
      <c r="A656" t="s">
        <v>5110</v>
      </c>
      <c r="B656" s="380" t="str">
        <f t="shared" si="10"/>
        <v>119-902</v>
      </c>
      <c r="C656" s="76">
        <v>10210</v>
      </c>
      <c r="D656" s="76">
        <v>10768</v>
      </c>
    </row>
    <row r="657" spans="1:4" ht="14.5">
      <c r="A657" t="s">
        <v>5111</v>
      </c>
      <c r="B657" s="380" t="str">
        <f t="shared" si="10"/>
        <v>119-903</v>
      </c>
      <c r="C657" s="76">
        <v>11000</v>
      </c>
      <c r="D657" s="76">
        <v>10678</v>
      </c>
    </row>
    <row r="658" spans="1:4" ht="14.5">
      <c r="A658" t="s">
        <v>5112</v>
      </c>
      <c r="B658" s="380" t="str">
        <f t="shared" si="10"/>
        <v>120-901</v>
      </c>
      <c r="C658" s="76">
        <v>9690</v>
      </c>
      <c r="D658" s="76">
        <v>9655</v>
      </c>
    </row>
    <row r="659" spans="1:4" ht="14.5">
      <c r="A659" t="s">
        <v>3072</v>
      </c>
      <c r="B659" s="380" t="str">
        <f t="shared" si="10"/>
        <v>120-902</v>
      </c>
      <c r="C659" s="76">
        <v>11180</v>
      </c>
      <c r="D659" s="76">
        <v>11385</v>
      </c>
    </row>
    <row r="660" spans="1:4" ht="14.5">
      <c r="A660" t="s">
        <v>5113</v>
      </c>
      <c r="B660" s="380" t="str">
        <f t="shared" si="10"/>
        <v>120-905</v>
      </c>
      <c r="C660" s="76">
        <v>10113</v>
      </c>
      <c r="D660" s="76">
        <v>11562</v>
      </c>
    </row>
    <row r="661" spans="1:4" ht="14.5">
      <c r="A661" t="s">
        <v>5824</v>
      </c>
      <c r="B661" s="380" t="str">
        <f t="shared" si="10"/>
        <v>121-902</v>
      </c>
      <c r="C661" s="76">
        <v>11391</v>
      </c>
      <c r="D661" s="76">
        <v>11165</v>
      </c>
    </row>
    <row r="662" spans="1:4" ht="14.5">
      <c r="A662" t="s">
        <v>3073</v>
      </c>
      <c r="B662" s="380" t="str">
        <f t="shared" si="10"/>
        <v>121-903</v>
      </c>
      <c r="C662" s="76">
        <v>10392</v>
      </c>
      <c r="D662" s="76">
        <v>10320</v>
      </c>
    </row>
    <row r="663" spans="1:4" ht="14.5">
      <c r="A663" t="s">
        <v>3074</v>
      </c>
      <c r="B663" s="380" t="str">
        <f t="shared" si="10"/>
        <v>121-904</v>
      </c>
      <c r="C663" s="76">
        <v>10450</v>
      </c>
      <c r="D663" s="76">
        <v>10612</v>
      </c>
    </row>
    <row r="664" spans="1:4" ht="14.5">
      <c r="A664" t="s">
        <v>3075</v>
      </c>
      <c r="B664" s="380" t="str">
        <f t="shared" si="10"/>
        <v>121-905</v>
      </c>
      <c r="C664" s="76">
        <v>9981</v>
      </c>
      <c r="D664" s="76">
        <v>9576</v>
      </c>
    </row>
    <row r="665" spans="1:4" ht="14.5">
      <c r="A665" t="s">
        <v>5114</v>
      </c>
      <c r="B665" s="380" t="str">
        <f t="shared" si="10"/>
        <v>121-906</v>
      </c>
      <c r="C665" s="76">
        <v>11770</v>
      </c>
      <c r="D665" s="76">
        <v>11554</v>
      </c>
    </row>
    <row r="666" spans="1:4" ht="14.5">
      <c r="A666" t="s">
        <v>5825</v>
      </c>
      <c r="B666" s="380" t="str">
        <f t="shared" si="10"/>
        <v>122-901</v>
      </c>
      <c r="C666" s="76">
        <v>12958</v>
      </c>
      <c r="D666" s="76">
        <v>11849</v>
      </c>
    </row>
    <row r="667" spans="1:4" ht="14.5">
      <c r="A667" t="s">
        <v>5826</v>
      </c>
      <c r="B667" s="380" t="str">
        <f t="shared" si="10"/>
        <v>122-902</v>
      </c>
      <c r="C667" s="76">
        <v>33634</v>
      </c>
      <c r="D667" s="76">
        <v>11849</v>
      </c>
    </row>
    <row r="668" spans="1:4" ht="14.5">
      <c r="A668" t="s">
        <v>8049</v>
      </c>
      <c r="B668" s="380" t="str">
        <f t="shared" si="10"/>
        <v>123-503</v>
      </c>
      <c r="C668" s="76">
        <v>8549</v>
      </c>
      <c r="D668" s="76">
        <v>8549</v>
      </c>
    </row>
    <row r="669" spans="1:4" ht="14.5">
      <c r="A669" t="s">
        <v>8051</v>
      </c>
      <c r="B669" s="380" t="str">
        <f t="shared" si="10"/>
        <v>123-803</v>
      </c>
      <c r="C669" s="76">
        <v>10460</v>
      </c>
      <c r="D669" s="76">
        <v>10686</v>
      </c>
    </row>
    <row r="670" spans="1:4" ht="14.5">
      <c r="A670" t="s">
        <v>8052</v>
      </c>
      <c r="B670" s="380" t="str">
        <f t="shared" si="10"/>
        <v>123-805</v>
      </c>
      <c r="C670" s="76">
        <v>10835</v>
      </c>
      <c r="D670" s="76">
        <v>10900</v>
      </c>
    </row>
    <row r="671" spans="1:4" ht="14.5">
      <c r="A671" t="s">
        <v>8053</v>
      </c>
      <c r="B671" s="380" t="str">
        <f t="shared" si="10"/>
        <v>123-807</v>
      </c>
      <c r="C671" s="76">
        <v>10465</v>
      </c>
      <c r="D671" s="76">
        <v>10743</v>
      </c>
    </row>
    <row r="672" spans="1:4" ht="14.5">
      <c r="A672" t="s">
        <v>3076</v>
      </c>
      <c r="B672" s="380" t="str">
        <f t="shared" si="10"/>
        <v>123-905</v>
      </c>
      <c r="C672" s="76">
        <v>8932</v>
      </c>
      <c r="D672" s="76">
        <v>8926</v>
      </c>
    </row>
    <row r="673" spans="1:4" ht="14.5">
      <c r="A673" t="s">
        <v>5115</v>
      </c>
      <c r="B673" s="380" t="str">
        <f t="shared" si="10"/>
        <v>123-907</v>
      </c>
      <c r="C673" s="76">
        <v>9153</v>
      </c>
      <c r="D673" s="76">
        <v>9132</v>
      </c>
    </row>
    <row r="674" spans="1:4" ht="14.5">
      <c r="A674" t="s">
        <v>5116</v>
      </c>
      <c r="B674" s="380" t="str">
        <f t="shared" si="10"/>
        <v>123-908</v>
      </c>
      <c r="C674" s="76">
        <v>8142</v>
      </c>
      <c r="D674" s="76">
        <v>9048</v>
      </c>
    </row>
    <row r="675" spans="1:4" ht="14.5">
      <c r="A675" t="s">
        <v>5117</v>
      </c>
      <c r="B675" s="380" t="str">
        <f t="shared" si="10"/>
        <v>123-910</v>
      </c>
      <c r="C675" s="76">
        <v>8750</v>
      </c>
      <c r="D675" s="76">
        <v>9088</v>
      </c>
    </row>
    <row r="676" spans="1:4" ht="14.5">
      <c r="A676" t="s">
        <v>5118</v>
      </c>
      <c r="B676" s="380" t="str">
        <f t="shared" si="10"/>
        <v>123-913</v>
      </c>
      <c r="C676" s="76">
        <v>11770</v>
      </c>
      <c r="D676" s="76">
        <v>11849</v>
      </c>
    </row>
    <row r="677" spans="1:4" ht="14.5">
      <c r="A677" t="s">
        <v>3077</v>
      </c>
      <c r="B677" s="380" t="str">
        <f t="shared" si="10"/>
        <v>123-914</v>
      </c>
      <c r="C677" s="76">
        <v>8874</v>
      </c>
      <c r="D677" s="76">
        <v>9947</v>
      </c>
    </row>
    <row r="678" spans="1:4" ht="14.5">
      <c r="A678" t="s">
        <v>5119</v>
      </c>
      <c r="B678" s="380" t="str">
        <f t="shared" si="10"/>
        <v>124-901</v>
      </c>
      <c r="C678" s="76">
        <v>10889</v>
      </c>
      <c r="D678" s="76">
        <v>10735</v>
      </c>
    </row>
    <row r="679" spans="1:4" ht="14.5">
      <c r="A679" t="s">
        <v>3078</v>
      </c>
      <c r="B679" s="380" t="str">
        <f t="shared" si="10"/>
        <v>125-901</v>
      </c>
      <c r="C679" s="76">
        <v>9579</v>
      </c>
      <c r="D679" s="76">
        <v>9550</v>
      </c>
    </row>
    <row r="680" spans="1:4" ht="14.5">
      <c r="A680" t="s">
        <v>3079</v>
      </c>
      <c r="B680" s="380" t="str">
        <f t="shared" si="10"/>
        <v>125-902</v>
      </c>
      <c r="C680" s="76">
        <v>11770</v>
      </c>
      <c r="D680" s="76">
        <v>11849</v>
      </c>
    </row>
    <row r="681" spans="1:4" ht="14.5">
      <c r="A681" t="s">
        <v>3080</v>
      </c>
      <c r="B681" s="380" t="str">
        <f t="shared" si="10"/>
        <v>125-903</v>
      </c>
      <c r="C681" s="76">
        <v>8603</v>
      </c>
      <c r="D681" s="76">
        <v>8943</v>
      </c>
    </row>
    <row r="682" spans="1:4" ht="14.5">
      <c r="A682" t="s">
        <v>3081</v>
      </c>
      <c r="B682" s="380" t="str">
        <f t="shared" si="10"/>
        <v>125-905</v>
      </c>
      <c r="C682" s="76">
        <v>13107</v>
      </c>
      <c r="D682" s="76">
        <v>11849</v>
      </c>
    </row>
    <row r="683" spans="1:4" ht="14.5">
      <c r="A683" t="s">
        <v>5827</v>
      </c>
      <c r="B683" s="380" t="str">
        <f t="shared" si="10"/>
        <v>125-906</v>
      </c>
      <c r="C683" s="76">
        <v>10855</v>
      </c>
      <c r="D683" s="76">
        <v>11051</v>
      </c>
    </row>
    <row r="684" spans="1:4" ht="14.5">
      <c r="A684" t="s">
        <v>3082</v>
      </c>
      <c r="B684" s="380" t="str">
        <f t="shared" si="10"/>
        <v>126-901</v>
      </c>
      <c r="C684" s="76">
        <v>8590</v>
      </c>
      <c r="D684" s="76">
        <v>8880</v>
      </c>
    </row>
    <row r="685" spans="1:4" ht="14.5">
      <c r="A685" t="s">
        <v>3083</v>
      </c>
      <c r="B685" s="380" t="str">
        <f t="shared" si="10"/>
        <v>126-902</v>
      </c>
      <c r="C685" s="76">
        <v>8883</v>
      </c>
      <c r="D685" s="76">
        <v>9062</v>
      </c>
    </row>
    <row r="686" spans="1:4" ht="14.5">
      <c r="A686" t="s">
        <v>5120</v>
      </c>
      <c r="B686" s="380" t="str">
        <f t="shared" si="10"/>
        <v>126-903</v>
      </c>
      <c r="C686" s="76">
        <v>9256</v>
      </c>
      <c r="D686" s="76">
        <v>9631</v>
      </c>
    </row>
    <row r="687" spans="1:4" ht="14.5">
      <c r="A687" t="s">
        <v>4285</v>
      </c>
      <c r="B687" s="380" t="str">
        <f t="shared" si="10"/>
        <v>126-904</v>
      </c>
      <c r="C687" s="76">
        <v>8662</v>
      </c>
      <c r="D687" s="76">
        <v>9185</v>
      </c>
    </row>
    <row r="688" spans="1:4" ht="14.5">
      <c r="A688" t="s">
        <v>3084</v>
      </c>
      <c r="B688" s="380" t="str">
        <f t="shared" si="10"/>
        <v>126-905</v>
      </c>
      <c r="C688" s="76">
        <v>9208</v>
      </c>
      <c r="D688" s="76">
        <v>9228</v>
      </c>
    </row>
    <row r="689" spans="1:4" ht="14.5">
      <c r="A689" t="s">
        <v>3085</v>
      </c>
      <c r="B689" s="380" t="str">
        <f t="shared" si="10"/>
        <v>126-906</v>
      </c>
      <c r="C689" s="76">
        <v>10923</v>
      </c>
      <c r="D689" s="76">
        <v>11029</v>
      </c>
    </row>
    <row r="690" spans="1:4" ht="14.5">
      <c r="A690" t="s">
        <v>3086</v>
      </c>
      <c r="B690" s="380" t="str">
        <f t="shared" si="10"/>
        <v>126-907</v>
      </c>
      <c r="C690" s="76">
        <v>11770</v>
      </c>
      <c r="D690" s="76">
        <v>11849</v>
      </c>
    </row>
    <row r="691" spans="1:4" ht="14.5">
      <c r="A691" t="s">
        <v>3087</v>
      </c>
      <c r="B691" s="380" t="str">
        <f t="shared" si="10"/>
        <v>126-908</v>
      </c>
      <c r="C691" s="76">
        <v>10025</v>
      </c>
      <c r="D691" s="76">
        <v>10166</v>
      </c>
    </row>
    <row r="692" spans="1:4" ht="14.5">
      <c r="A692" t="s">
        <v>3088</v>
      </c>
      <c r="B692" s="380" t="str">
        <f t="shared" si="10"/>
        <v>126-911</v>
      </c>
      <c r="C692" s="76">
        <v>8925</v>
      </c>
      <c r="D692" s="76">
        <v>9489</v>
      </c>
    </row>
    <row r="693" spans="1:4" ht="14.5">
      <c r="A693" t="s">
        <v>5121</v>
      </c>
      <c r="B693" s="380" t="str">
        <f t="shared" si="10"/>
        <v>127-901</v>
      </c>
      <c r="C693" s="76">
        <v>11770</v>
      </c>
      <c r="D693" s="76">
        <v>11734</v>
      </c>
    </row>
    <row r="694" spans="1:4" ht="14.5">
      <c r="A694" t="s">
        <v>5122</v>
      </c>
      <c r="B694" s="380" t="str">
        <f t="shared" si="10"/>
        <v>127-903</v>
      </c>
      <c r="C694" s="76">
        <v>12569</v>
      </c>
      <c r="D694" s="76">
        <v>11849</v>
      </c>
    </row>
    <row r="695" spans="1:4" ht="14.5">
      <c r="A695" t="s">
        <v>5123</v>
      </c>
      <c r="B695" s="380" t="str">
        <f t="shared" si="10"/>
        <v>127-904</v>
      </c>
      <c r="C695" s="76">
        <v>11342</v>
      </c>
      <c r="D695" s="76">
        <v>11331</v>
      </c>
    </row>
    <row r="696" spans="1:4" ht="14.5">
      <c r="A696" t="s">
        <v>3089</v>
      </c>
      <c r="B696" s="380" t="str">
        <f t="shared" si="10"/>
        <v>127-905</v>
      </c>
      <c r="C696" s="76">
        <v>18212</v>
      </c>
      <c r="D696" s="76">
        <v>11849</v>
      </c>
    </row>
    <row r="697" spans="1:4" ht="14.5">
      <c r="A697" t="s">
        <v>3090</v>
      </c>
      <c r="B697" s="380" t="str">
        <f t="shared" si="10"/>
        <v>127-906</v>
      </c>
      <c r="C697" s="76">
        <v>11681</v>
      </c>
      <c r="D697" s="76">
        <v>11560</v>
      </c>
    </row>
    <row r="698" spans="1:4" ht="14.5">
      <c r="A698" t="s">
        <v>4305</v>
      </c>
      <c r="B698" s="380" t="str">
        <f t="shared" si="10"/>
        <v>128-901</v>
      </c>
      <c r="C698" s="76">
        <v>9909</v>
      </c>
      <c r="D698" s="76">
        <v>11849</v>
      </c>
    </row>
    <row r="699" spans="1:4" ht="14.5">
      <c r="A699" t="s">
        <v>3091</v>
      </c>
      <c r="B699" s="380" t="str">
        <f t="shared" si="10"/>
        <v>128-902</v>
      </c>
      <c r="C699" s="76">
        <v>9262</v>
      </c>
      <c r="D699" s="76">
        <v>11849</v>
      </c>
    </row>
    <row r="700" spans="1:4" ht="14.5">
      <c r="A700" t="s">
        <v>5124</v>
      </c>
      <c r="B700" s="380" t="str">
        <f t="shared" si="10"/>
        <v>128-903</v>
      </c>
      <c r="C700" s="76">
        <v>9656</v>
      </c>
      <c r="D700" s="76">
        <v>11849</v>
      </c>
    </row>
    <row r="701" spans="1:4" ht="14.5">
      <c r="A701" t="s">
        <v>3092</v>
      </c>
      <c r="B701" s="380" t="str">
        <f t="shared" si="10"/>
        <v>128-904</v>
      </c>
      <c r="C701" s="76">
        <v>10383</v>
      </c>
      <c r="D701" s="76">
        <v>11849</v>
      </c>
    </row>
    <row r="702" spans="1:4" ht="14.5">
      <c r="A702" t="s">
        <v>3093</v>
      </c>
      <c r="B702" s="380" t="str">
        <f t="shared" si="10"/>
        <v>129-901</v>
      </c>
      <c r="C702" s="76">
        <v>8922</v>
      </c>
      <c r="D702" s="76">
        <v>8767</v>
      </c>
    </row>
    <row r="703" spans="1:4" ht="14.5">
      <c r="A703" t="s">
        <v>3094</v>
      </c>
      <c r="B703" s="380" t="str">
        <f t="shared" si="10"/>
        <v>129-902</v>
      </c>
      <c r="C703" s="76">
        <v>8681</v>
      </c>
      <c r="D703" s="76">
        <v>8442</v>
      </c>
    </row>
    <row r="704" spans="1:4" ht="14.5">
      <c r="A704" t="s">
        <v>3095</v>
      </c>
      <c r="B704" s="380" t="str">
        <f t="shared" si="10"/>
        <v>129-903</v>
      </c>
      <c r="C704" s="76">
        <v>10017</v>
      </c>
      <c r="D704" s="76">
        <v>10283</v>
      </c>
    </row>
    <row r="705" spans="1:4" ht="14.5">
      <c r="A705" t="s">
        <v>3096</v>
      </c>
      <c r="B705" s="380" t="str">
        <f t="shared" si="10"/>
        <v>129-904</v>
      </c>
      <c r="C705" s="76">
        <v>11275</v>
      </c>
      <c r="D705" s="76">
        <v>11026</v>
      </c>
    </row>
    <row r="706" spans="1:4" ht="14.5">
      <c r="A706" t="s">
        <v>5125</v>
      </c>
      <c r="B706" s="380" t="str">
        <f t="shared" si="10"/>
        <v>129-905</v>
      </c>
      <c r="C706" s="76">
        <v>9220</v>
      </c>
      <c r="D706" s="76">
        <v>8795</v>
      </c>
    </row>
    <row r="707" spans="1:4" ht="14.5">
      <c r="A707" t="s">
        <v>5126</v>
      </c>
      <c r="B707" s="380" t="str">
        <f t="shared" si="10"/>
        <v>129-906</v>
      </c>
      <c r="C707" s="76">
        <v>10378</v>
      </c>
      <c r="D707" s="76">
        <v>10674</v>
      </c>
    </row>
    <row r="708" spans="1:4" ht="14.5">
      <c r="A708" t="s">
        <v>3097</v>
      </c>
      <c r="B708" s="380" t="str">
        <f t="shared" ref="B708:B771" si="11">CONCATENATE(LEFT(RIGHT(CONCATENATE("000",A708),6),3),"-",(RIGHT(RIGHT(CONCATENATE("000",A708),6),3)))</f>
        <v>129-910</v>
      </c>
      <c r="C708" s="76">
        <v>10739</v>
      </c>
      <c r="D708" s="76">
        <v>11479</v>
      </c>
    </row>
    <row r="709" spans="1:4" ht="14.5">
      <c r="A709" t="s">
        <v>8055</v>
      </c>
      <c r="B709" s="380" t="str">
        <f t="shared" si="11"/>
        <v>130-801</v>
      </c>
      <c r="C709" s="76">
        <v>17685</v>
      </c>
      <c r="D709" s="76">
        <v>11849</v>
      </c>
    </row>
    <row r="710" spans="1:4" ht="14.5">
      <c r="A710" t="s">
        <v>5127</v>
      </c>
      <c r="B710" s="380" t="str">
        <f t="shared" si="11"/>
        <v>130-901</v>
      </c>
      <c r="C710" s="76">
        <v>8288</v>
      </c>
      <c r="D710" s="76">
        <v>8202</v>
      </c>
    </row>
    <row r="711" spans="1:4" ht="14.5">
      <c r="A711" t="s">
        <v>5128</v>
      </c>
      <c r="B711" s="380" t="str">
        <f t="shared" si="11"/>
        <v>130-902</v>
      </c>
      <c r="C711" s="76">
        <v>11313</v>
      </c>
      <c r="D711" s="76">
        <v>11653</v>
      </c>
    </row>
    <row r="712" spans="1:4" ht="14.5">
      <c r="A712" t="s">
        <v>5129</v>
      </c>
      <c r="B712" s="380" t="str">
        <f t="shared" si="11"/>
        <v>131-001</v>
      </c>
      <c r="C712" s="76">
        <v>20800</v>
      </c>
      <c r="D712" s="76">
        <v>11849</v>
      </c>
    </row>
    <row r="713" spans="1:4" ht="14.5">
      <c r="A713" t="s">
        <v>5828</v>
      </c>
      <c r="B713" s="380" t="str">
        <f t="shared" si="11"/>
        <v>132-902</v>
      </c>
      <c r="C713" s="76">
        <v>11770</v>
      </c>
      <c r="D713" s="76">
        <v>11849</v>
      </c>
    </row>
    <row r="714" spans="1:4" ht="14.5">
      <c r="A714" t="s">
        <v>3098</v>
      </c>
      <c r="B714" s="380" t="str">
        <f t="shared" si="11"/>
        <v>133-901</v>
      </c>
      <c r="C714" s="76">
        <v>11770</v>
      </c>
      <c r="D714" s="76">
        <v>11702</v>
      </c>
    </row>
    <row r="715" spans="1:4" ht="14.5">
      <c r="A715" t="s">
        <v>5130</v>
      </c>
      <c r="B715" s="380" t="str">
        <f t="shared" si="11"/>
        <v>133-902</v>
      </c>
      <c r="C715" s="76">
        <v>12038</v>
      </c>
      <c r="D715" s="76">
        <v>11849</v>
      </c>
    </row>
    <row r="716" spans="1:4" ht="14.5">
      <c r="A716" t="s">
        <v>5131</v>
      </c>
      <c r="B716" s="380" t="str">
        <f t="shared" si="11"/>
        <v>133-903</v>
      </c>
      <c r="C716" s="76">
        <v>8887</v>
      </c>
      <c r="D716" s="76">
        <v>8333</v>
      </c>
    </row>
    <row r="717" spans="1:4" ht="14.5">
      <c r="A717" t="s">
        <v>5132</v>
      </c>
      <c r="B717" s="380" t="str">
        <f t="shared" si="11"/>
        <v>133-904</v>
      </c>
      <c r="C717" s="76">
        <v>10704</v>
      </c>
      <c r="D717" s="76">
        <v>10330</v>
      </c>
    </row>
    <row r="718" spans="1:4" ht="14.5">
      <c r="A718" t="s">
        <v>5829</v>
      </c>
      <c r="B718" s="380" t="str">
        <f t="shared" si="11"/>
        <v>133-905</v>
      </c>
      <c r="C718" s="76">
        <v>29260</v>
      </c>
      <c r="D718" s="76">
        <v>11849</v>
      </c>
    </row>
    <row r="719" spans="1:4" ht="14.5">
      <c r="A719" t="s">
        <v>5830</v>
      </c>
      <c r="B719" s="380" t="str">
        <f t="shared" si="11"/>
        <v>134-901</v>
      </c>
      <c r="C719" s="76">
        <v>13451</v>
      </c>
      <c r="D719" s="76">
        <v>11849</v>
      </c>
    </row>
    <row r="720" spans="1:4" ht="14.5">
      <c r="A720" t="s">
        <v>5133</v>
      </c>
      <c r="B720" s="380" t="str">
        <f t="shared" si="11"/>
        <v>135-001</v>
      </c>
      <c r="C720" s="76">
        <v>11770</v>
      </c>
      <c r="D720" s="76">
        <v>11849</v>
      </c>
    </row>
    <row r="721" spans="1:4" ht="14.5">
      <c r="A721" t="s">
        <v>5831</v>
      </c>
      <c r="B721" s="380" t="str">
        <f t="shared" si="11"/>
        <v>136-901</v>
      </c>
      <c r="C721" s="76">
        <v>15047</v>
      </c>
      <c r="D721" s="76">
        <v>11849</v>
      </c>
    </row>
    <row r="722" spans="1:4" ht="14.5">
      <c r="A722" t="s">
        <v>3099</v>
      </c>
      <c r="B722" s="380" t="str">
        <f t="shared" si="11"/>
        <v>137-901</v>
      </c>
      <c r="C722" s="76">
        <v>10276</v>
      </c>
      <c r="D722" s="76">
        <v>10321</v>
      </c>
    </row>
    <row r="723" spans="1:4" ht="14.5">
      <c r="A723" t="s">
        <v>5832</v>
      </c>
      <c r="B723" s="380" t="str">
        <f t="shared" si="11"/>
        <v>137-902</v>
      </c>
      <c r="C723" s="76">
        <v>12063</v>
      </c>
      <c r="D723" s="76">
        <v>11849</v>
      </c>
    </row>
    <row r="724" spans="1:4" ht="14.5">
      <c r="A724" t="s">
        <v>5833</v>
      </c>
      <c r="B724" s="380" t="str">
        <f t="shared" si="11"/>
        <v>137-903</v>
      </c>
      <c r="C724" s="76">
        <v>13822</v>
      </c>
      <c r="D724" s="76">
        <v>11849</v>
      </c>
    </row>
    <row r="725" spans="1:4" ht="14.5">
      <c r="A725" t="s">
        <v>5134</v>
      </c>
      <c r="B725" s="380" t="str">
        <f t="shared" si="11"/>
        <v>137-904</v>
      </c>
      <c r="C725" s="76">
        <v>8331</v>
      </c>
      <c r="D725" s="76">
        <v>10119</v>
      </c>
    </row>
    <row r="726" spans="1:4" ht="14.5">
      <c r="A726" t="s">
        <v>3100</v>
      </c>
      <c r="B726" s="380" t="str">
        <f t="shared" si="11"/>
        <v>138-902</v>
      </c>
      <c r="C726" s="76">
        <v>12575</v>
      </c>
      <c r="D726" s="76">
        <v>11849</v>
      </c>
    </row>
    <row r="727" spans="1:4" ht="14.5">
      <c r="A727" t="s">
        <v>5834</v>
      </c>
      <c r="B727" s="380" t="str">
        <f t="shared" si="11"/>
        <v>138-903</v>
      </c>
      <c r="C727" s="76">
        <v>12975</v>
      </c>
      <c r="D727" s="76">
        <v>11849</v>
      </c>
    </row>
    <row r="728" spans="1:4" ht="14.5">
      <c r="A728" t="s">
        <v>5835</v>
      </c>
      <c r="B728" s="380" t="str">
        <f t="shared" si="11"/>
        <v>138-904</v>
      </c>
      <c r="C728" s="76">
        <v>18960</v>
      </c>
      <c r="D728" s="76">
        <v>11849</v>
      </c>
    </row>
    <row r="729" spans="1:4" ht="14.5">
      <c r="A729" t="s">
        <v>5135</v>
      </c>
      <c r="B729" s="380" t="str">
        <f t="shared" si="11"/>
        <v>139-905</v>
      </c>
      <c r="C729" s="76">
        <v>10063</v>
      </c>
      <c r="D729" s="76">
        <v>9144</v>
      </c>
    </row>
    <row r="730" spans="1:4" ht="14.5">
      <c r="A730" t="s">
        <v>3102</v>
      </c>
      <c r="B730" s="380" t="str">
        <f t="shared" si="11"/>
        <v>139-909</v>
      </c>
      <c r="C730" s="76">
        <v>10275</v>
      </c>
      <c r="D730" s="76">
        <v>9910</v>
      </c>
    </row>
    <row r="731" spans="1:4" ht="14.5">
      <c r="A731" t="s">
        <v>5136</v>
      </c>
      <c r="B731" s="380" t="str">
        <f t="shared" si="11"/>
        <v>139-911</v>
      </c>
      <c r="C731" s="76">
        <v>8746</v>
      </c>
      <c r="D731" s="76">
        <v>8791</v>
      </c>
    </row>
    <row r="732" spans="1:4" ht="14.5">
      <c r="A732" t="s">
        <v>3103</v>
      </c>
      <c r="B732" s="380" t="str">
        <f t="shared" si="11"/>
        <v>139-912</v>
      </c>
      <c r="C732" s="76">
        <v>9267</v>
      </c>
      <c r="D732" s="76">
        <v>9077</v>
      </c>
    </row>
    <row r="733" spans="1:4" ht="14.5">
      <c r="A733" t="s">
        <v>5836</v>
      </c>
      <c r="B733" s="380" t="str">
        <f t="shared" si="11"/>
        <v>140-901</v>
      </c>
      <c r="C733" s="76">
        <v>14969</v>
      </c>
      <c r="D733" s="76">
        <v>11849</v>
      </c>
    </row>
    <row r="734" spans="1:4" ht="14.5">
      <c r="A734" t="s">
        <v>5837</v>
      </c>
      <c r="B734" s="380" t="str">
        <f t="shared" si="11"/>
        <v>140-904</v>
      </c>
      <c r="C734" s="76">
        <v>10620</v>
      </c>
      <c r="D734" s="76">
        <v>9598</v>
      </c>
    </row>
    <row r="735" spans="1:4" ht="14.5">
      <c r="A735" t="s">
        <v>4347</v>
      </c>
      <c r="B735" s="380" t="str">
        <f t="shared" si="11"/>
        <v>140-905</v>
      </c>
      <c r="C735" s="76">
        <v>12358</v>
      </c>
      <c r="D735" s="76">
        <v>11849</v>
      </c>
    </row>
    <row r="736" spans="1:4" ht="14.5">
      <c r="A736" t="s">
        <v>5838</v>
      </c>
      <c r="B736" s="380" t="str">
        <f t="shared" si="11"/>
        <v>140-907</v>
      </c>
      <c r="C736" s="76">
        <v>12311</v>
      </c>
      <c r="D736" s="76">
        <v>11849</v>
      </c>
    </row>
    <row r="737" spans="1:4" ht="14.5">
      <c r="A737" t="s">
        <v>5137</v>
      </c>
      <c r="B737" s="380" t="str">
        <f t="shared" si="11"/>
        <v>140-908</v>
      </c>
      <c r="C737" s="76">
        <v>12209</v>
      </c>
      <c r="D737" s="76">
        <v>11849</v>
      </c>
    </row>
    <row r="738" spans="1:4" ht="14.5">
      <c r="A738" t="s">
        <v>3104</v>
      </c>
      <c r="B738" s="380" t="str">
        <f t="shared" si="11"/>
        <v>141-901</v>
      </c>
      <c r="C738" s="76">
        <v>9539</v>
      </c>
      <c r="D738" s="76">
        <v>9645</v>
      </c>
    </row>
    <row r="739" spans="1:4" ht="14.5">
      <c r="A739" t="s">
        <v>5138</v>
      </c>
      <c r="B739" s="380" t="str">
        <f t="shared" si="11"/>
        <v>141-902</v>
      </c>
      <c r="C739" s="76">
        <v>11770</v>
      </c>
      <c r="D739" s="76">
        <v>11849</v>
      </c>
    </row>
    <row r="740" spans="1:4" ht="14.5">
      <c r="A740" t="s">
        <v>3105</v>
      </c>
      <c r="B740" s="380" t="str">
        <f t="shared" si="11"/>
        <v>142-901</v>
      </c>
      <c r="C740" s="76">
        <v>11807</v>
      </c>
      <c r="D740" s="76">
        <v>11849</v>
      </c>
    </row>
    <row r="741" spans="1:4" ht="14.5">
      <c r="A741" t="s">
        <v>5139</v>
      </c>
      <c r="B741" s="380" t="str">
        <f t="shared" si="11"/>
        <v>143-901</v>
      </c>
      <c r="C741" s="76">
        <v>10106</v>
      </c>
      <c r="D741" s="76">
        <v>10745</v>
      </c>
    </row>
    <row r="742" spans="1:4" ht="14.5">
      <c r="A742" t="s">
        <v>5839</v>
      </c>
      <c r="B742" s="380" t="str">
        <f t="shared" si="11"/>
        <v>143-902</v>
      </c>
      <c r="C742" s="76">
        <v>10206</v>
      </c>
      <c r="D742" s="76">
        <v>11849</v>
      </c>
    </row>
    <row r="743" spans="1:4" ht="14.5">
      <c r="A743" t="s">
        <v>5840</v>
      </c>
      <c r="B743" s="380" t="str">
        <f t="shared" si="11"/>
        <v>143-903</v>
      </c>
      <c r="C743" s="76">
        <v>9218</v>
      </c>
      <c r="D743" s="76">
        <v>11849</v>
      </c>
    </row>
    <row r="744" spans="1:4" ht="14.5">
      <c r="A744" t="s">
        <v>5841</v>
      </c>
      <c r="B744" s="380" t="str">
        <f t="shared" si="11"/>
        <v>143-904</v>
      </c>
      <c r="C744" s="76">
        <v>10699</v>
      </c>
      <c r="D744" s="76">
        <v>11849</v>
      </c>
    </row>
    <row r="745" spans="1:4" ht="14.5">
      <c r="A745" t="s">
        <v>5842</v>
      </c>
      <c r="B745" s="380" t="str">
        <f t="shared" si="11"/>
        <v>143-905</v>
      </c>
      <c r="C745" s="76">
        <v>11218</v>
      </c>
      <c r="D745" s="76">
        <v>11561</v>
      </c>
    </row>
    <row r="746" spans="1:4" ht="14.5">
      <c r="A746" t="s">
        <v>5140</v>
      </c>
      <c r="B746" s="380" t="str">
        <f t="shared" si="11"/>
        <v>143-906</v>
      </c>
      <c r="C746" s="76">
        <v>11557</v>
      </c>
      <c r="D746" s="76">
        <v>11849</v>
      </c>
    </row>
    <row r="747" spans="1:4" ht="14.5">
      <c r="A747" t="s">
        <v>5141</v>
      </c>
      <c r="B747" s="380" t="str">
        <f t="shared" si="11"/>
        <v>144-901</v>
      </c>
      <c r="C747" s="76">
        <v>9795</v>
      </c>
      <c r="D747" s="76">
        <v>10369</v>
      </c>
    </row>
    <row r="748" spans="1:4" ht="14.5">
      <c r="A748" t="s">
        <v>5142</v>
      </c>
      <c r="B748" s="380" t="str">
        <f t="shared" si="11"/>
        <v>144-902</v>
      </c>
      <c r="C748" s="76">
        <v>11640</v>
      </c>
      <c r="D748" s="76">
        <v>11198</v>
      </c>
    </row>
    <row r="749" spans="1:4" ht="14.5">
      <c r="A749" t="s">
        <v>5843</v>
      </c>
      <c r="B749" s="380" t="str">
        <f t="shared" si="11"/>
        <v>144-903</v>
      </c>
      <c r="C749" s="76">
        <v>12680</v>
      </c>
      <c r="D749" s="76">
        <v>11849</v>
      </c>
    </row>
    <row r="750" spans="1:4" ht="14.5">
      <c r="A750" t="s">
        <v>5143</v>
      </c>
      <c r="B750" s="380" t="str">
        <f t="shared" si="11"/>
        <v>145-901</v>
      </c>
      <c r="C750" s="76">
        <v>11786</v>
      </c>
      <c r="D750" s="76">
        <v>11551</v>
      </c>
    </row>
    <row r="751" spans="1:4" ht="14.5">
      <c r="A751" t="s">
        <v>5144</v>
      </c>
      <c r="B751" s="380" t="str">
        <f t="shared" si="11"/>
        <v>145-902</v>
      </c>
      <c r="C751" s="76">
        <v>11182</v>
      </c>
      <c r="D751" s="76">
        <v>10718</v>
      </c>
    </row>
    <row r="752" spans="1:4" ht="14.5">
      <c r="A752" t="s">
        <v>5145</v>
      </c>
      <c r="B752" s="380" t="str">
        <f t="shared" si="11"/>
        <v>145-906</v>
      </c>
      <c r="C752" s="76">
        <v>10189</v>
      </c>
      <c r="D752" s="76">
        <v>9823</v>
      </c>
    </row>
    <row r="753" spans="1:4" ht="14.5">
      <c r="A753" t="s">
        <v>5146</v>
      </c>
      <c r="B753" s="380" t="str">
        <f t="shared" si="11"/>
        <v>145-907</v>
      </c>
      <c r="C753" s="76">
        <v>11983</v>
      </c>
      <c r="D753" s="76">
        <v>11849</v>
      </c>
    </row>
    <row r="754" spans="1:4" ht="14.5">
      <c r="A754" t="s">
        <v>5147</v>
      </c>
      <c r="B754" s="380" t="str">
        <f t="shared" si="11"/>
        <v>145-911</v>
      </c>
      <c r="C754" s="76">
        <v>11674</v>
      </c>
      <c r="D754" s="76">
        <v>11849</v>
      </c>
    </row>
    <row r="755" spans="1:4" ht="14.5">
      <c r="A755" t="s">
        <v>3106</v>
      </c>
      <c r="B755" s="380" t="str">
        <f t="shared" si="11"/>
        <v>146-901</v>
      </c>
      <c r="C755" s="76">
        <v>10228</v>
      </c>
      <c r="D755" s="76">
        <v>9487</v>
      </c>
    </row>
    <row r="756" spans="1:4" ht="14.5">
      <c r="A756" t="s">
        <v>3107</v>
      </c>
      <c r="B756" s="380" t="str">
        <f t="shared" si="11"/>
        <v>146-902</v>
      </c>
      <c r="C756" s="76">
        <v>8920</v>
      </c>
      <c r="D756" s="76">
        <v>8914</v>
      </c>
    </row>
    <row r="757" spans="1:4" ht="14.5">
      <c r="A757" t="s">
        <v>5148</v>
      </c>
      <c r="B757" s="380" t="str">
        <f t="shared" si="11"/>
        <v>146-903</v>
      </c>
      <c r="C757" s="76">
        <v>11255</v>
      </c>
      <c r="D757" s="76">
        <v>11849</v>
      </c>
    </row>
    <row r="758" spans="1:4" ht="14.5">
      <c r="A758" t="s">
        <v>3108</v>
      </c>
      <c r="B758" s="380" t="str">
        <f t="shared" si="11"/>
        <v>146-904</v>
      </c>
      <c r="C758" s="76">
        <v>9596</v>
      </c>
      <c r="D758" s="76">
        <v>9527</v>
      </c>
    </row>
    <row r="759" spans="1:4" ht="14.5">
      <c r="A759" t="s">
        <v>3109</v>
      </c>
      <c r="B759" s="380" t="str">
        <f t="shared" si="11"/>
        <v>146-905</v>
      </c>
      <c r="C759" s="76">
        <v>13396</v>
      </c>
      <c r="D759" s="76">
        <v>11849</v>
      </c>
    </row>
    <row r="760" spans="1:4" ht="14.5">
      <c r="A760" t="s">
        <v>5149</v>
      </c>
      <c r="B760" s="380" t="str">
        <f t="shared" si="11"/>
        <v>146-906</v>
      </c>
      <c r="C760" s="76">
        <v>9988</v>
      </c>
      <c r="D760" s="76">
        <v>9589</v>
      </c>
    </row>
    <row r="761" spans="1:4" ht="14.5">
      <c r="A761" t="s">
        <v>5150</v>
      </c>
      <c r="B761" s="380" t="str">
        <f t="shared" si="11"/>
        <v>146-907</v>
      </c>
      <c r="C761" s="76">
        <v>9630</v>
      </c>
      <c r="D761" s="76">
        <v>9236</v>
      </c>
    </row>
    <row r="762" spans="1:4" ht="14.5">
      <c r="A762" t="s">
        <v>3110</v>
      </c>
      <c r="B762" s="380" t="str">
        <f t="shared" si="11"/>
        <v>147-901</v>
      </c>
      <c r="C762" s="76">
        <v>14287</v>
      </c>
      <c r="D762" s="76">
        <v>11849</v>
      </c>
    </row>
    <row r="763" spans="1:4" ht="14.5">
      <c r="A763" t="s">
        <v>5151</v>
      </c>
      <c r="B763" s="380" t="str">
        <f t="shared" si="11"/>
        <v>147-902</v>
      </c>
      <c r="C763" s="76">
        <v>10437</v>
      </c>
      <c r="D763" s="76">
        <v>9524</v>
      </c>
    </row>
    <row r="764" spans="1:4" ht="14.5">
      <c r="A764" t="s">
        <v>5152</v>
      </c>
      <c r="B764" s="380" t="str">
        <f t="shared" si="11"/>
        <v>147-903</v>
      </c>
      <c r="C764" s="76">
        <v>10718</v>
      </c>
      <c r="D764" s="76">
        <v>10695</v>
      </c>
    </row>
    <row r="765" spans="1:4" ht="14.5">
      <c r="A765" t="s">
        <v>5153</v>
      </c>
      <c r="B765" s="380" t="str">
        <f t="shared" si="11"/>
        <v>148-901</v>
      </c>
      <c r="C765" s="76">
        <v>11135</v>
      </c>
      <c r="D765" s="76">
        <v>11849</v>
      </c>
    </row>
    <row r="766" spans="1:4" ht="14.5">
      <c r="A766" t="s">
        <v>5154</v>
      </c>
      <c r="B766" s="380" t="str">
        <f t="shared" si="11"/>
        <v>148-902</v>
      </c>
      <c r="C766" s="76">
        <v>7953</v>
      </c>
      <c r="D766" s="76">
        <v>11583</v>
      </c>
    </row>
    <row r="767" spans="1:4" ht="14.5">
      <c r="A767" t="s">
        <v>5156</v>
      </c>
      <c r="B767" s="380" t="str">
        <f t="shared" si="11"/>
        <v>148-905</v>
      </c>
      <c r="C767" s="76">
        <v>11301</v>
      </c>
      <c r="D767" s="76">
        <v>11849</v>
      </c>
    </row>
    <row r="768" spans="1:4" ht="14.5">
      <c r="A768" t="s">
        <v>5157</v>
      </c>
      <c r="B768" s="380" t="str">
        <f t="shared" si="11"/>
        <v>149-901</v>
      </c>
      <c r="C768" s="76">
        <v>10023</v>
      </c>
      <c r="D768" s="76">
        <v>9716</v>
      </c>
    </row>
    <row r="769" spans="1:4" ht="14.5">
      <c r="A769" t="s">
        <v>5158</v>
      </c>
      <c r="B769" s="380" t="str">
        <f t="shared" si="11"/>
        <v>149-902</v>
      </c>
      <c r="C769" s="76">
        <v>13307</v>
      </c>
      <c r="D769" s="76">
        <v>11849</v>
      </c>
    </row>
    <row r="770" spans="1:4" ht="14.5">
      <c r="A770" t="s">
        <v>5159</v>
      </c>
      <c r="B770" s="380" t="str">
        <f t="shared" si="11"/>
        <v>150-901</v>
      </c>
      <c r="C770" s="76">
        <v>10763</v>
      </c>
      <c r="D770" s="76">
        <v>10433</v>
      </c>
    </row>
    <row r="771" spans="1:4" ht="14.5">
      <c r="A771" t="s">
        <v>8056</v>
      </c>
      <c r="B771" s="380" t="str">
        <f t="shared" si="11"/>
        <v>152-802</v>
      </c>
      <c r="C771" s="76">
        <v>10268</v>
      </c>
      <c r="D771" s="76">
        <v>10241</v>
      </c>
    </row>
    <row r="772" spans="1:4" ht="14.5">
      <c r="A772" t="s">
        <v>8057</v>
      </c>
      <c r="B772" s="380" t="str">
        <f t="shared" ref="B772:B835" si="12">CONCATENATE(LEFT(RIGHT(CONCATENATE("000",A772),6),3),"-",(RIGHT(RIGHT(CONCATENATE("000",A772),6),3)))</f>
        <v>152-803</v>
      </c>
      <c r="C772" s="76">
        <v>11500</v>
      </c>
      <c r="D772" s="76">
        <v>11849</v>
      </c>
    </row>
    <row r="773" spans="1:4" ht="14.5">
      <c r="A773" t="s">
        <v>8058</v>
      </c>
      <c r="B773" s="380" t="str">
        <f t="shared" si="12"/>
        <v>152-806</v>
      </c>
      <c r="C773" s="76">
        <v>11770</v>
      </c>
      <c r="D773" s="76">
        <v>11545</v>
      </c>
    </row>
    <row r="774" spans="1:4" ht="14.5">
      <c r="A774" t="s">
        <v>4363</v>
      </c>
      <c r="B774" s="380" t="str">
        <f t="shared" si="12"/>
        <v>152-901</v>
      </c>
      <c r="C774" s="76">
        <v>9188</v>
      </c>
      <c r="D774" s="76">
        <v>9050</v>
      </c>
    </row>
    <row r="775" spans="1:4" ht="14.5">
      <c r="A775" t="s">
        <v>5844</v>
      </c>
      <c r="B775" s="380" t="str">
        <f t="shared" si="12"/>
        <v>152-902</v>
      </c>
      <c r="C775" s="76">
        <v>11376</v>
      </c>
      <c r="D775" s="76">
        <v>11849</v>
      </c>
    </row>
    <row r="776" spans="1:4" ht="14.5">
      <c r="A776" t="s">
        <v>5160</v>
      </c>
      <c r="B776" s="380" t="str">
        <f t="shared" si="12"/>
        <v>152-903</v>
      </c>
      <c r="C776" s="76">
        <v>11979</v>
      </c>
      <c r="D776" s="76">
        <v>11487</v>
      </c>
    </row>
    <row r="777" spans="1:4" ht="14.5">
      <c r="A777" t="s">
        <v>3111</v>
      </c>
      <c r="B777" s="380" t="str">
        <f t="shared" si="12"/>
        <v>152-906</v>
      </c>
      <c r="C777" s="76">
        <v>8234</v>
      </c>
      <c r="D777" s="76">
        <v>8091</v>
      </c>
    </row>
    <row r="778" spans="1:4" ht="14.5">
      <c r="A778" t="s">
        <v>3112</v>
      </c>
      <c r="B778" s="380" t="str">
        <f t="shared" si="12"/>
        <v>152-907</v>
      </c>
      <c r="C778" s="76">
        <v>8448</v>
      </c>
      <c r="D778" s="76">
        <v>8256</v>
      </c>
    </row>
    <row r="779" spans="1:4" ht="14.5">
      <c r="A779" t="s">
        <v>5161</v>
      </c>
      <c r="B779" s="380" t="str">
        <f t="shared" si="12"/>
        <v>152-908</v>
      </c>
      <c r="C779" s="76">
        <v>11410</v>
      </c>
      <c r="D779" s="76">
        <v>11849</v>
      </c>
    </row>
    <row r="780" spans="1:4" ht="14.5">
      <c r="A780" t="s">
        <v>3113</v>
      </c>
      <c r="B780" s="380" t="str">
        <f t="shared" si="12"/>
        <v>152-909</v>
      </c>
      <c r="C780" s="76">
        <v>9072</v>
      </c>
      <c r="D780" s="76">
        <v>9261</v>
      </c>
    </row>
    <row r="781" spans="1:4" ht="14.5">
      <c r="A781" t="s">
        <v>3114</v>
      </c>
      <c r="B781" s="380" t="str">
        <f t="shared" si="12"/>
        <v>152-910</v>
      </c>
      <c r="C781" s="76">
        <v>10461</v>
      </c>
      <c r="D781" s="76">
        <v>10371</v>
      </c>
    </row>
    <row r="782" spans="1:4" ht="14.5">
      <c r="A782" t="s">
        <v>8510</v>
      </c>
      <c r="B782" s="380" t="str">
        <f t="shared" si="12"/>
        <v>152-950</v>
      </c>
      <c r="C782" s="76">
        <v>11770</v>
      </c>
      <c r="D782" s="76">
        <v>11849</v>
      </c>
    </row>
    <row r="783" spans="1:4" ht="14.5">
      <c r="A783" t="s">
        <v>5162</v>
      </c>
      <c r="B783" s="380" t="str">
        <f t="shared" si="12"/>
        <v>153-903</v>
      </c>
      <c r="C783" s="76">
        <v>12513</v>
      </c>
      <c r="D783" s="76">
        <v>11849</v>
      </c>
    </row>
    <row r="784" spans="1:4" ht="14.5">
      <c r="A784" t="s">
        <v>5845</v>
      </c>
      <c r="B784" s="380" t="str">
        <f t="shared" si="12"/>
        <v>153-904</v>
      </c>
      <c r="C784" s="76">
        <v>13733</v>
      </c>
      <c r="D784" s="76">
        <v>11849</v>
      </c>
    </row>
    <row r="785" spans="1:4" ht="14.5">
      <c r="A785" t="s">
        <v>5163</v>
      </c>
      <c r="B785" s="380" t="str">
        <f t="shared" si="12"/>
        <v>153-905</v>
      </c>
      <c r="C785" s="76">
        <v>10745</v>
      </c>
      <c r="D785" s="76">
        <v>10971</v>
      </c>
    </row>
    <row r="786" spans="1:4" ht="14.5">
      <c r="A786" t="s">
        <v>5846</v>
      </c>
      <c r="B786" s="380" t="str">
        <f t="shared" si="12"/>
        <v>153-907</v>
      </c>
      <c r="C786" s="76">
        <v>14676</v>
      </c>
      <c r="D786" s="76">
        <v>11849</v>
      </c>
    </row>
    <row r="787" spans="1:4" ht="14.5">
      <c r="A787" t="s">
        <v>3115</v>
      </c>
      <c r="B787" s="380" t="str">
        <f t="shared" si="12"/>
        <v>154-901</v>
      </c>
      <c r="C787" s="76">
        <v>10238</v>
      </c>
      <c r="D787" s="76">
        <v>9875</v>
      </c>
    </row>
    <row r="788" spans="1:4" ht="14.5">
      <c r="A788" t="s">
        <v>3116</v>
      </c>
      <c r="B788" s="380" t="str">
        <f t="shared" si="12"/>
        <v>154-903</v>
      </c>
      <c r="C788" s="76">
        <v>10653</v>
      </c>
      <c r="D788" s="76">
        <v>11849</v>
      </c>
    </row>
    <row r="789" spans="1:4" ht="14.5">
      <c r="A789" t="s">
        <v>5164</v>
      </c>
      <c r="B789" s="380" t="str">
        <f t="shared" si="12"/>
        <v>155-901</v>
      </c>
      <c r="C789" s="76">
        <v>11770</v>
      </c>
      <c r="D789" s="76">
        <v>11241</v>
      </c>
    </row>
    <row r="790" spans="1:4" ht="14.5">
      <c r="A790" t="s">
        <v>5165</v>
      </c>
      <c r="B790" s="380" t="str">
        <f t="shared" si="12"/>
        <v>156-902</v>
      </c>
      <c r="C790" s="76">
        <v>12713</v>
      </c>
      <c r="D790" s="76">
        <v>11849</v>
      </c>
    </row>
    <row r="791" spans="1:4" ht="14.5">
      <c r="A791" t="s">
        <v>5166</v>
      </c>
      <c r="B791" s="380" t="str">
        <f t="shared" si="12"/>
        <v>156-905</v>
      </c>
      <c r="C791" s="76">
        <v>27669</v>
      </c>
      <c r="D791" s="76">
        <v>11849</v>
      </c>
    </row>
    <row r="792" spans="1:4" ht="14.5">
      <c r="A792" t="s">
        <v>5167</v>
      </c>
      <c r="B792" s="380" t="str">
        <f t="shared" si="12"/>
        <v>157-901</v>
      </c>
      <c r="C792" s="76">
        <v>11770</v>
      </c>
      <c r="D792" s="76">
        <v>11849</v>
      </c>
    </row>
    <row r="793" spans="1:4" ht="14.5">
      <c r="A793" t="s">
        <v>5168</v>
      </c>
      <c r="B793" s="380" t="str">
        <f t="shared" si="12"/>
        <v>158-901</v>
      </c>
      <c r="C793" s="76">
        <v>9695</v>
      </c>
      <c r="D793" s="76">
        <v>9942</v>
      </c>
    </row>
    <row r="794" spans="1:4" ht="14.5">
      <c r="A794" t="s">
        <v>5169</v>
      </c>
      <c r="B794" s="380" t="str">
        <f t="shared" si="12"/>
        <v>158-902</v>
      </c>
      <c r="C794" s="76">
        <v>10444</v>
      </c>
      <c r="D794" s="76">
        <v>11849</v>
      </c>
    </row>
    <row r="795" spans="1:4" ht="14.5">
      <c r="A795" t="s">
        <v>5170</v>
      </c>
      <c r="B795" s="380" t="str">
        <f t="shared" si="12"/>
        <v>158-904</v>
      </c>
      <c r="C795" s="76">
        <v>14686</v>
      </c>
      <c r="D795" s="76">
        <v>11849</v>
      </c>
    </row>
    <row r="796" spans="1:4" ht="14.5">
      <c r="A796" t="s">
        <v>5171</v>
      </c>
      <c r="B796" s="380" t="str">
        <f t="shared" si="12"/>
        <v>158-905</v>
      </c>
      <c r="C796" s="76">
        <v>10936</v>
      </c>
      <c r="D796" s="76">
        <v>11308</v>
      </c>
    </row>
    <row r="797" spans="1:4" ht="14.5">
      <c r="A797" t="s">
        <v>5847</v>
      </c>
      <c r="B797" s="380" t="str">
        <f t="shared" si="12"/>
        <v>158-906</v>
      </c>
      <c r="C797" s="76">
        <v>11755</v>
      </c>
      <c r="D797" s="76">
        <v>10169</v>
      </c>
    </row>
    <row r="798" spans="1:4" ht="14.5">
      <c r="A798" t="s">
        <v>3117</v>
      </c>
      <c r="B798" s="380" t="str">
        <f t="shared" si="12"/>
        <v>159-901</v>
      </c>
      <c r="C798" s="76">
        <v>10141</v>
      </c>
      <c r="D798" s="76">
        <v>9920</v>
      </c>
    </row>
    <row r="799" spans="1:4" ht="14.5">
      <c r="A799" t="s">
        <v>3118</v>
      </c>
      <c r="B799" s="380" t="str">
        <f t="shared" si="12"/>
        <v>160-901</v>
      </c>
      <c r="C799" s="76">
        <v>9981</v>
      </c>
      <c r="D799" s="76">
        <v>9961</v>
      </c>
    </row>
    <row r="800" spans="1:4" ht="14.5">
      <c r="A800" t="s">
        <v>5848</v>
      </c>
      <c r="B800" s="380" t="str">
        <f t="shared" si="12"/>
        <v>160-904</v>
      </c>
      <c r="C800" s="76">
        <v>12920</v>
      </c>
      <c r="D800" s="76">
        <v>11849</v>
      </c>
    </row>
    <row r="801" spans="1:4" ht="14.5">
      <c r="A801" t="s">
        <v>3119</v>
      </c>
      <c r="B801" s="380" t="str">
        <f t="shared" si="12"/>
        <v>160-905</v>
      </c>
      <c r="C801" s="76">
        <v>19977</v>
      </c>
      <c r="D801" s="76">
        <v>11849</v>
      </c>
    </row>
    <row r="802" spans="1:4" ht="14.5">
      <c r="A802" t="s">
        <v>8059</v>
      </c>
      <c r="B802" s="380" t="str">
        <f t="shared" si="12"/>
        <v>161-801</v>
      </c>
      <c r="C802" s="76">
        <v>10532</v>
      </c>
      <c r="D802" s="76">
        <v>10511</v>
      </c>
    </row>
    <row r="803" spans="1:4" ht="14.5">
      <c r="A803" t="s">
        <v>8060</v>
      </c>
      <c r="B803" s="380" t="str">
        <f t="shared" si="12"/>
        <v>161-802</v>
      </c>
      <c r="C803" s="76">
        <v>11169</v>
      </c>
      <c r="D803" s="76">
        <v>10778</v>
      </c>
    </row>
    <row r="804" spans="1:4" ht="14.5">
      <c r="A804" t="s">
        <v>8061</v>
      </c>
      <c r="B804" s="380" t="str">
        <f t="shared" si="12"/>
        <v>161-807</v>
      </c>
      <c r="C804" s="76">
        <v>10473</v>
      </c>
      <c r="D804" s="76">
        <v>10480</v>
      </c>
    </row>
    <row r="805" spans="1:4" ht="14.5">
      <c r="A805" t="s">
        <v>3120</v>
      </c>
      <c r="B805" s="380" t="str">
        <f t="shared" si="12"/>
        <v>161-901</v>
      </c>
      <c r="C805" s="76">
        <v>11415</v>
      </c>
      <c r="D805" s="76">
        <v>11075</v>
      </c>
    </row>
    <row r="806" spans="1:4" ht="14.5">
      <c r="A806" t="s">
        <v>5172</v>
      </c>
      <c r="B806" s="380" t="str">
        <f t="shared" si="12"/>
        <v>161-903</v>
      </c>
      <c r="C806" s="76">
        <v>8350</v>
      </c>
      <c r="D806" s="76">
        <v>8154</v>
      </c>
    </row>
    <row r="807" spans="1:4" ht="14.5">
      <c r="A807" t="s">
        <v>3121</v>
      </c>
      <c r="B807" s="380" t="str">
        <f t="shared" si="12"/>
        <v>161-906</v>
      </c>
      <c r="C807" s="76">
        <v>9970</v>
      </c>
      <c r="D807" s="76">
        <v>9982</v>
      </c>
    </row>
    <row r="808" spans="1:4" ht="14.5">
      <c r="A808" t="s">
        <v>3122</v>
      </c>
      <c r="B808" s="380" t="str">
        <f t="shared" si="12"/>
        <v>161-907</v>
      </c>
      <c r="C808" s="76">
        <v>9303</v>
      </c>
      <c r="D808" s="76">
        <v>9209</v>
      </c>
    </row>
    <row r="809" spans="1:4" ht="14.5">
      <c r="A809" t="s">
        <v>3123</v>
      </c>
      <c r="B809" s="380" t="str">
        <f t="shared" si="12"/>
        <v>161-908</v>
      </c>
      <c r="C809" s="76">
        <v>11827</v>
      </c>
      <c r="D809" s="76">
        <v>11382</v>
      </c>
    </row>
    <row r="810" spans="1:4" ht="14.5">
      <c r="A810" t="s">
        <v>3124</v>
      </c>
      <c r="B810" s="380" t="str">
        <f t="shared" si="12"/>
        <v>161-909</v>
      </c>
      <c r="C810" s="76">
        <v>9157</v>
      </c>
      <c r="D810" s="76">
        <v>9052</v>
      </c>
    </row>
    <row r="811" spans="1:4" ht="14.5">
      <c r="A811" t="s">
        <v>3125</v>
      </c>
      <c r="B811" s="380" t="str">
        <f t="shared" si="12"/>
        <v>161-910</v>
      </c>
      <c r="C811" s="76">
        <v>12037</v>
      </c>
      <c r="D811" s="76">
        <v>11849</v>
      </c>
    </row>
    <row r="812" spans="1:4" ht="14.5">
      <c r="A812" t="s">
        <v>3126</v>
      </c>
      <c r="B812" s="380" t="str">
        <f t="shared" si="12"/>
        <v>161-912</v>
      </c>
      <c r="C812" s="76">
        <v>11770</v>
      </c>
      <c r="D812" s="76">
        <v>8297</v>
      </c>
    </row>
    <row r="813" spans="1:4" ht="14.5">
      <c r="A813" t="s">
        <v>3127</v>
      </c>
      <c r="B813" s="380" t="str">
        <f t="shared" si="12"/>
        <v>161-914</v>
      </c>
      <c r="C813" s="76">
        <v>10263</v>
      </c>
      <c r="D813" s="76">
        <v>10052</v>
      </c>
    </row>
    <row r="814" spans="1:4" ht="14.5">
      <c r="A814" t="s">
        <v>3128</v>
      </c>
      <c r="B814" s="380" t="str">
        <f t="shared" si="12"/>
        <v>161-916</v>
      </c>
      <c r="C814" s="76">
        <v>9861</v>
      </c>
      <c r="D814" s="76">
        <v>9117</v>
      </c>
    </row>
    <row r="815" spans="1:4" ht="14.5">
      <c r="A815" t="s">
        <v>5849</v>
      </c>
      <c r="B815" s="380" t="str">
        <f t="shared" si="12"/>
        <v>161-918</v>
      </c>
      <c r="C815" s="76">
        <v>12140</v>
      </c>
      <c r="D815" s="76">
        <v>11849</v>
      </c>
    </row>
    <row r="816" spans="1:4" ht="14.5">
      <c r="A816" t="s">
        <v>3129</v>
      </c>
      <c r="B816" s="380" t="str">
        <f t="shared" si="12"/>
        <v>161-919</v>
      </c>
      <c r="C816" s="76">
        <v>12401</v>
      </c>
      <c r="D816" s="76">
        <v>11849</v>
      </c>
    </row>
    <row r="817" spans="1:4" ht="14.5">
      <c r="A817" t="s">
        <v>3130</v>
      </c>
      <c r="B817" s="380" t="str">
        <f t="shared" si="12"/>
        <v>161-920</v>
      </c>
      <c r="C817" s="76">
        <v>8470</v>
      </c>
      <c r="D817" s="76">
        <v>8486</v>
      </c>
    </row>
    <row r="818" spans="1:4" ht="14.5">
      <c r="A818" t="s">
        <v>3131</v>
      </c>
      <c r="B818" s="380" t="str">
        <f t="shared" si="12"/>
        <v>161-921</v>
      </c>
      <c r="C818" s="76">
        <v>10039</v>
      </c>
      <c r="D818" s="76">
        <v>10296</v>
      </c>
    </row>
    <row r="819" spans="1:4" ht="14.5">
      <c r="A819" t="s">
        <v>3132</v>
      </c>
      <c r="B819" s="380" t="str">
        <f t="shared" si="12"/>
        <v>161-922</v>
      </c>
      <c r="C819" s="76">
        <v>9273</v>
      </c>
      <c r="D819" s="76">
        <v>9291</v>
      </c>
    </row>
    <row r="820" spans="1:4" ht="14.5">
      <c r="A820" t="s">
        <v>3133</v>
      </c>
      <c r="B820" s="380" t="str">
        <f t="shared" si="12"/>
        <v>161-923</v>
      </c>
      <c r="C820" s="76">
        <v>11748</v>
      </c>
      <c r="D820" s="76">
        <v>11271</v>
      </c>
    </row>
    <row r="821" spans="1:4" ht="14.5">
      <c r="A821" t="s">
        <v>5173</v>
      </c>
      <c r="B821" s="380" t="str">
        <f t="shared" si="12"/>
        <v>161-924</v>
      </c>
      <c r="C821" s="76">
        <v>11071</v>
      </c>
      <c r="D821" s="76">
        <v>10802</v>
      </c>
    </row>
    <row r="822" spans="1:4" ht="14.5">
      <c r="A822" t="s">
        <v>5850</v>
      </c>
      <c r="B822" s="380" t="str">
        <f t="shared" si="12"/>
        <v>161-925</v>
      </c>
      <c r="C822" s="76">
        <v>11770</v>
      </c>
      <c r="D822" s="76">
        <v>11849</v>
      </c>
    </row>
    <row r="823" spans="1:4" ht="14.5">
      <c r="A823" t="s">
        <v>8511</v>
      </c>
      <c r="B823" s="380" t="str">
        <f t="shared" si="12"/>
        <v>161-950</v>
      </c>
      <c r="C823" s="76">
        <v>11770</v>
      </c>
      <c r="D823" s="76">
        <v>11849</v>
      </c>
    </row>
    <row r="824" spans="1:4" ht="14.5">
      <c r="A824" t="s">
        <v>5174</v>
      </c>
      <c r="B824" s="380" t="str">
        <f t="shared" si="12"/>
        <v>162-904</v>
      </c>
      <c r="C824" s="76">
        <v>17432</v>
      </c>
      <c r="D824" s="76">
        <v>11849</v>
      </c>
    </row>
    <row r="825" spans="1:4" ht="14.5">
      <c r="A825" t="s">
        <v>3134</v>
      </c>
      <c r="B825" s="380" t="str">
        <f t="shared" si="12"/>
        <v>163-901</v>
      </c>
      <c r="C825" s="76">
        <v>10067</v>
      </c>
      <c r="D825" s="76">
        <v>9644</v>
      </c>
    </row>
    <row r="826" spans="1:4" ht="14.5">
      <c r="A826" t="s">
        <v>3135</v>
      </c>
      <c r="B826" s="380" t="str">
        <f t="shared" si="12"/>
        <v>163-902</v>
      </c>
      <c r="C826" s="76">
        <v>12012</v>
      </c>
      <c r="D826" s="76">
        <v>11849</v>
      </c>
    </row>
    <row r="827" spans="1:4" ht="14.5">
      <c r="A827" t="s">
        <v>3136</v>
      </c>
      <c r="B827" s="380" t="str">
        <f t="shared" si="12"/>
        <v>163-903</v>
      </c>
      <c r="C827" s="76">
        <v>11822</v>
      </c>
      <c r="D827" s="76">
        <v>11236</v>
      </c>
    </row>
    <row r="828" spans="1:4" ht="14.5">
      <c r="A828" t="s">
        <v>3137</v>
      </c>
      <c r="B828" s="380" t="str">
        <f t="shared" si="12"/>
        <v>163-904</v>
      </c>
      <c r="C828" s="76">
        <v>9457</v>
      </c>
      <c r="D828" s="76">
        <v>9140</v>
      </c>
    </row>
    <row r="829" spans="1:4" ht="14.5">
      <c r="A829" t="s">
        <v>3138</v>
      </c>
      <c r="B829" s="380" t="str">
        <f t="shared" si="12"/>
        <v>163-908</v>
      </c>
      <c r="C829" s="76">
        <v>8882</v>
      </c>
      <c r="D829" s="76">
        <v>8645</v>
      </c>
    </row>
    <row r="830" spans="1:4" ht="14.5">
      <c r="A830" t="s">
        <v>5851</v>
      </c>
      <c r="B830" s="380" t="str">
        <f t="shared" si="12"/>
        <v>164-901</v>
      </c>
      <c r="C830" s="76">
        <v>11843</v>
      </c>
      <c r="D830" s="76">
        <v>11849</v>
      </c>
    </row>
    <row r="831" spans="1:4" ht="14.5">
      <c r="A831" t="s">
        <v>8062</v>
      </c>
      <c r="B831" s="380" t="str">
        <f t="shared" si="12"/>
        <v>165-802</v>
      </c>
      <c r="C831" s="76">
        <v>9214</v>
      </c>
      <c r="D831" s="76">
        <v>9477</v>
      </c>
    </row>
    <row r="832" spans="1:4" ht="14.5">
      <c r="A832" t="s">
        <v>3139</v>
      </c>
      <c r="B832" s="380" t="str">
        <f t="shared" si="12"/>
        <v>165-901</v>
      </c>
      <c r="C832" s="76">
        <v>8177</v>
      </c>
      <c r="D832" s="76">
        <v>10949</v>
      </c>
    </row>
    <row r="833" spans="1:4" ht="14.5">
      <c r="A833" t="s">
        <v>5175</v>
      </c>
      <c r="B833" s="380" t="str">
        <f t="shared" si="12"/>
        <v>165-902</v>
      </c>
      <c r="C833" s="76">
        <v>10628</v>
      </c>
      <c r="D833" s="76">
        <v>11849</v>
      </c>
    </row>
    <row r="834" spans="1:4" ht="14.5">
      <c r="A834" t="s">
        <v>8512</v>
      </c>
      <c r="B834" s="380" t="str">
        <f t="shared" si="12"/>
        <v>165-950</v>
      </c>
      <c r="C834" s="76">
        <v>11770</v>
      </c>
      <c r="D834" s="76">
        <v>11849</v>
      </c>
    </row>
    <row r="835" spans="1:4" ht="14.5">
      <c r="A835" t="s">
        <v>3140</v>
      </c>
      <c r="B835" s="380" t="str">
        <f t="shared" si="12"/>
        <v>166-901</v>
      </c>
      <c r="C835" s="76">
        <v>10200</v>
      </c>
      <c r="D835" s="76">
        <v>9632</v>
      </c>
    </row>
    <row r="836" spans="1:4" ht="14.5">
      <c r="A836" t="s">
        <v>5852</v>
      </c>
      <c r="B836" s="380" t="str">
        <f t="shared" ref="B836:B899" si="13">CONCATENATE(LEFT(RIGHT(CONCATENATE("000",A836),6),3),"-",(RIGHT(RIGHT(CONCATENATE("000",A836),6),3)))</f>
        <v>166-902</v>
      </c>
      <c r="C836" s="76">
        <v>16333</v>
      </c>
      <c r="D836" s="76">
        <v>11849</v>
      </c>
    </row>
    <row r="837" spans="1:4" ht="14.5">
      <c r="A837" t="s">
        <v>5176</v>
      </c>
      <c r="B837" s="380" t="str">
        <f t="shared" si="13"/>
        <v>166-903</v>
      </c>
      <c r="C837" s="76">
        <v>11939</v>
      </c>
      <c r="D837" s="76">
        <v>11849</v>
      </c>
    </row>
    <row r="838" spans="1:4" ht="14.5">
      <c r="A838" t="s">
        <v>5177</v>
      </c>
      <c r="B838" s="380" t="str">
        <f t="shared" si="13"/>
        <v>166-904</v>
      </c>
      <c r="C838" s="76">
        <v>10744</v>
      </c>
      <c r="D838" s="76">
        <v>9671</v>
      </c>
    </row>
    <row r="839" spans="1:4" ht="14.5">
      <c r="A839" t="s">
        <v>5178</v>
      </c>
      <c r="B839" s="380" t="str">
        <f t="shared" si="13"/>
        <v>166-905</v>
      </c>
      <c r="C839" s="76">
        <v>11946</v>
      </c>
      <c r="D839" s="76">
        <v>11849</v>
      </c>
    </row>
    <row r="840" spans="1:4" ht="14.5">
      <c r="A840" t="s">
        <v>3141</v>
      </c>
      <c r="B840" s="380" t="str">
        <f t="shared" si="13"/>
        <v>166-907</v>
      </c>
      <c r="C840" s="76">
        <v>14425</v>
      </c>
      <c r="D840" s="76">
        <v>11849</v>
      </c>
    </row>
    <row r="841" spans="1:4" ht="14.5">
      <c r="A841" t="s">
        <v>3142</v>
      </c>
      <c r="B841" s="380" t="str">
        <f t="shared" si="13"/>
        <v>167-901</v>
      </c>
      <c r="C841" s="76">
        <v>11770</v>
      </c>
      <c r="D841" s="76">
        <v>11849</v>
      </c>
    </row>
    <row r="842" spans="1:4" ht="14.5">
      <c r="A842" t="s">
        <v>5853</v>
      </c>
      <c r="B842" s="380" t="str">
        <f t="shared" si="13"/>
        <v>167-902</v>
      </c>
      <c r="C842" s="76">
        <v>16200</v>
      </c>
      <c r="D842" s="76">
        <v>11849</v>
      </c>
    </row>
    <row r="843" spans="1:4" ht="14.5">
      <c r="A843" t="s">
        <v>3143</v>
      </c>
      <c r="B843" s="380" t="str">
        <f t="shared" si="13"/>
        <v>167-904</v>
      </c>
      <c r="C843" s="76">
        <v>12899</v>
      </c>
      <c r="D843" s="76">
        <v>4595</v>
      </c>
    </row>
    <row r="844" spans="1:4" ht="14.5">
      <c r="A844" t="s">
        <v>5179</v>
      </c>
      <c r="B844" s="380" t="str">
        <f t="shared" si="13"/>
        <v>168-901</v>
      </c>
      <c r="C844" s="76">
        <v>11799</v>
      </c>
      <c r="D844" s="76">
        <v>11849</v>
      </c>
    </row>
    <row r="845" spans="1:4" ht="14.5">
      <c r="A845" t="s">
        <v>5180</v>
      </c>
      <c r="B845" s="380" t="str">
        <f t="shared" si="13"/>
        <v>168-902</v>
      </c>
      <c r="C845" s="76">
        <v>11234</v>
      </c>
      <c r="D845" s="76">
        <v>11849</v>
      </c>
    </row>
    <row r="846" spans="1:4" ht="14.5">
      <c r="A846" t="s">
        <v>5854</v>
      </c>
      <c r="B846" s="380" t="str">
        <f t="shared" si="13"/>
        <v>168-903</v>
      </c>
      <c r="C846" s="76">
        <v>11770</v>
      </c>
      <c r="D846" s="76">
        <v>11849</v>
      </c>
    </row>
    <row r="847" spans="1:4" ht="14.5">
      <c r="A847" t="s">
        <v>3144</v>
      </c>
      <c r="B847" s="380" t="str">
        <f t="shared" si="13"/>
        <v>169-901</v>
      </c>
      <c r="C847" s="76">
        <v>9068</v>
      </c>
      <c r="D847" s="76">
        <v>9160</v>
      </c>
    </row>
    <row r="848" spans="1:4" ht="14.5">
      <c r="A848" t="s">
        <v>5855</v>
      </c>
      <c r="B848" s="380" t="str">
        <f t="shared" si="13"/>
        <v>169-902</v>
      </c>
      <c r="C848" s="76">
        <v>11081</v>
      </c>
      <c r="D848" s="76">
        <v>11044</v>
      </c>
    </row>
    <row r="849" spans="1:4" ht="14.5">
      <c r="A849" t="s">
        <v>5181</v>
      </c>
      <c r="B849" s="380" t="str">
        <f t="shared" si="13"/>
        <v>169-906</v>
      </c>
      <c r="C849" s="76">
        <v>14156</v>
      </c>
      <c r="D849" s="76">
        <v>11849</v>
      </c>
    </row>
    <row r="850" spans="1:4" ht="14.5">
      <c r="A850" t="s">
        <v>5856</v>
      </c>
      <c r="B850" s="380" t="str">
        <f t="shared" si="13"/>
        <v>169-908</v>
      </c>
      <c r="C850" s="76">
        <v>11770</v>
      </c>
      <c r="D850" s="76">
        <v>11849</v>
      </c>
    </row>
    <row r="851" spans="1:4" ht="14.5">
      <c r="A851" t="s">
        <v>5857</v>
      </c>
      <c r="B851" s="380" t="str">
        <f t="shared" si="13"/>
        <v>169-909</v>
      </c>
      <c r="C851" s="76">
        <v>11857</v>
      </c>
      <c r="D851" s="76">
        <v>11849</v>
      </c>
    </row>
    <row r="852" spans="1:4" ht="14.5">
      <c r="A852" t="s">
        <v>5182</v>
      </c>
      <c r="B852" s="380" t="str">
        <f t="shared" si="13"/>
        <v>169-910</v>
      </c>
      <c r="C852" s="76">
        <v>10112</v>
      </c>
      <c r="D852" s="76">
        <v>11849</v>
      </c>
    </row>
    <row r="853" spans="1:4" ht="14.5">
      <c r="A853" t="s">
        <v>5183</v>
      </c>
      <c r="B853" s="380" t="str">
        <f t="shared" si="13"/>
        <v>169-911</v>
      </c>
      <c r="C853" s="76">
        <v>11397</v>
      </c>
      <c r="D853" s="76">
        <v>11849</v>
      </c>
    </row>
    <row r="854" spans="1:4" ht="14.5">
      <c r="A854" t="s">
        <v>8063</v>
      </c>
      <c r="B854" s="380" t="str">
        <f t="shared" si="13"/>
        <v>170-801</v>
      </c>
      <c r="C854" s="76">
        <v>11357</v>
      </c>
      <c r="D854" s="76">
        <v>10923</v>
      </c>
    </row>
    <row r="855" spans="1:4" ht="14.5">
      <c r="A855" t="s">
        <v>3145</v>
      </c>
      <c r="B855" s="380" t="str">
        <f t="shared" si="13"/>
        <v>170-902</v>
      </c>
      <c r="C855" s="76">
        <v>8414</v>
      </c>
      <c r="D855" s="76">
        <v>8419</v>
      </c>
    </row>
    <row r="856" spans="1:4" ht="14.5">
      <c r="A856" t="s">
        <v>5184</v>
      </c>
      <c r="B856" s="380" t="str">
        <f t="shared" si="13"/>
        <v>170-903</v>
      </c>
      <c r="C856" s="76">
        <v>8246</v>
      </c>
      <c r="D856" s="76">
        <v>8244</v>
      </c>
    </row>
    <row r="857" spans="1:4" ht="14.5">
      <c r="A857" t="s">
        <v>3146</v>
      </c>
      <c r="B857" s="380" t="str">
        <f t="shared" si="13"/>
        <v>170-904</v>
      </c>
      <c r="C857" s="76">
        <v>9235</v>
      </c>
      <c r="D857" s="76">
        <v>8737</v>
      </c>
    </row>
    <row r="858" spans="1:4" ht="14.5">
      <c r="A858" t="s">
        <v>3147</v>
      </c>
      <c r="B858" s="380" t="str">
        <f t="shared" si="13"/>
        <v>170-906</v>
      </c>
      <c r="C858" s="76">
        <v>8730</v>
      </c>
      <c r="D858" s="76">
        <v>8828</v>
      </c>
    </row>
    <row r="859" spans="1:4" ht="14.5">
      <c r="A859" t="s">
        <v>3148</v>
      </c>
      <c r="B859" s="380" t="str">
        <f t="shared" si="13"/>
        <v>170-907</v>
      </c>
      <c r="C859" s="76">
        <v>10314</v>
      </c>
      <c r="D859" s="76">
        <v>9891</v>
      </c>
    </row>
    <row r="860" spans="1:4" ht="14.5">
      <c r="A860" t="s">
        <v>3149</v>
      </c>
      <c r="B860" s="380" t="str">
        <f t="shared" si="13"/>
        <v>170-908</v>
      </c>
      <c r="C860" s="76">
        <v>9904</v>
      </c>
      <c r="D860" s="76">
        <v>9663</v>
      </c>
    </row>
    <row r="861" spans="1:4" ht="14.5">
      <c r="A861" t="s">
        <v>5185</v>
      </c>
      <c r="B861" s="380" t="str">
        <f t="shared" si="13"/>
        <v>171-901</v>
      </c>
      <c r="C861" s="76">
        <v>8412</v>
      </c>
      <c r="D861" s="76">
        <v>8539</v>
      </c>
    </row>
    <row r="862" spans="1:4" ht="14.5">
      <c r="A862" t="s">
        <v>5186</v>
      </c>
      <c r="B862" s="380" t="str">
        <f t="shared" si="13"/>
        <v>171-902</v>
      </c>
      <c r="C862" s="76">
        <v>10353</v>
      </c>
      <c r="D862" s="76">
        <v>10796</v>
      </c>
    </row>
    <row r="863" spans="1:4" ht="14.5">
      <c r="A863" t="s">
        <v>5187</v>
      </c>
      <c r="B863" s="380" t="str">
        <f t="shared" si="13"/>
        <v>172-902</v>
      </c>
      <c r="C863" s="76">
        <v>10831</v>
      </c>
      <c r="D863" s="76">
        <v>11165</v>
      </c>
    </row>
    <row r="864" spans="1:4" ht="14.5">
      <c r="A864" t="s">
        <v>5188</v>
      </c>
      <c r="B864" s="380" t="str">
        <f t="shared" si="13"/>
        <v>172-905</v>
      </c>
      <c r="C864" s="76">
        <v>11246</v>
      </c>
      <c r="D864" s="76">
        <v>11026</v>
      </c>
    </row>
    <row r="865" spans="1:4" ht="14.5">
      <c r="A865" t="s">
        <v>5858</v>
      </c>
      <c r="B865" s="380" t="str">
        <f t="shared" si="13"/>
        <v>173-901</v>
      </c>
      <c r="C865" s="76">
        <v>13891</v>
      </c>
      <c r="D865" s="76">
        <v>11849</v>
      </c>
    </row>
    <row r="866" spans="1:4" ht="14.5">
      <c r="A866" t="s">
        <v>8064</v>
      </c>
      <c r="B866" s="380" t="str">
        <f t="shared" si="13"/>
        <v>174-801</v>
      </c>
      <c r="C866" s="76">
        <v>8613</v>
      </c>
      <c r="D866" s="76">
        <v>8624</v>
      </c>
    </row>
    <row r="867" spans="1:4" ht="14.5">
      <c r="A867" t="s">
        <v>3150</v>
      </c>
      <c r="B867" s="380" t="str">
        <f t="shared" si="13"/>
        <v>174-901</v>
      </c>
      <c r="C867" s="76">
        <v>12314</v>
      </c>
      <c r="D867" s="76">
        <v>11849</v>
      </c>
    </row>
    <row r="868" spans="1:4" ht="14.5">
      <c r="A868" t="s">
        <v>5189</v>
      </c>
      <c r="B868" s="380" t="str">
        <f t="shared" si="13"/>
        <v>174-902</v>
      </c>
      <c r="C868" s="76">
        <v>9213</v>
      </c>
      <c r="D868" s="76">
        <v>9916</v>
      </c>
    </row>
    <row r="869" spans="1:4" ht="14.5">
      <c r="A869" t="s">
        <v>3151</v>
      </c>
      <c r="B869" s="380" t="str">
        <f t="shared" si="13"/>
        <v>174-903</v>
      </c>
      <c r="C869" s="76">
        <v>10992</v>
      </c>
      <c r="D869" s="76">
        <v>11024</v>
      </c>
    </row>
    <row r="870" spans="1:4" ht="14.5">
      <c r="A870" t="s">
        <v>5190</v>
      </c>
      <c r="B870" s="380" t="str">
        <f t="shared" si="13"/>
        <v>174-904</v>
      </c>
      <c r="C870" s="76">
        <v>9135</v>
      </c>
      <c r="D870" s="76">
        <v>9171</v>
      </c>
    </row>
    <row r="871" spans="1:4" ht="14.5">
      <c r="A871" t="s">
        <v>3152</v>
      </c>
      <c r="B871" s="380" t="str">
        <f t="shared" si="13"/>
        <v>174-906</v>
      </c>
      <c r="C871" s="76">
        <v>10687</v>
      </c>
      <c r="D871" s="76">
        <v>11126</v>
      </c>
    </row>
    <row r="872" spans="1:4" ht="14.5">
      <c r="A872" t="s">
        <v>3153</v>
      </c>
      <c r="B872" s="380" t="str">
        <f t="shared" si="13"/>
        <v>174-908</v>
      </c>
      <c r="C872" s="76">
        <v>8141</v>
      </c>
      <c r="D872" s="76">
        <v>8425</v>
      </c>
    </row>
    <row r="873" spans="1:4" ht="14.5">
      <c r="A873" t="s">
        <v>4500</v>
      </c>
      <c r="B873" s="380" t="str">
        <f t="shared" si="13"/>
        <v>174-909</v>
      </c>
      <c r="C873" s="76">
        <v>11728</v>
      </c>
      <c r="D873" s="76">
        <v>11849</v>
      </c>
    </row>
    <row r="874" spans="1:4" ht="14.5">
      <c r="A874" t="s">
        <v>5191</v>
      </c>
      <c r="B874" s="380" t="str">
        <f t="shared" si="13"/>
        <v>174-910</v>
      </c>
      <c r="C874" s="76">
        <v>13294</v>
      </c>
      <c r="D874" s="76">
        <v>11849</v>
      </c>
    </row>
    <row r="875" spans="1:4" ht="14.5">
      <c r="A875" t="s">
        <v>5859</v>
      </c>
      <c r="B875" s="380" t="str">
        <f t="shared" si="13"/>
        <v>174-911</v>
      </c>
      <c r="C875" s="76">
        <v>9637</v>
      </c>
      <c r="D875" s="76">
        <v>9950</v>
      </c>
    </row>
    <row r="876" spans="1:4" ht="14.5">
      <c r="A876" t="s">
        <v>5192</v>
      </c>
      <c r="B876" s="380" t="str">
        <f t="shared" si="13"/>
        <v>175-902</v>
      </c>
      <c r="C876" s="76">
        <v>11462</v>
      </c>
      <c r="D876" s="76">
        <v>10841</v>
      </c>
    </row>
    <row r="877" spans="1:4" ht="14.5">
      <c r="A877" t="s">
        <v>3154</v>
      </c>
      <c r="B877" s="380" t="str">
        <f t="shared" si="13"/>
        <v>175-903</v>
      </c>
      <c r="C877" s="76">
        <v>8759</v>
      </c>
      <c r="D877" s="76">
        <v>9274</v>
      </c>
    </row>
    <row r="878" spans="1:4" ht="14.5">
      <c r="A878" t="s">
        <v>3155</v>
      </c>
      <c r="B878" s="380" t="str">
        <f t="shared" si="13"/>
        <v>175-904</v>
      </c>
      <c r="C878" s="76">
        <v>11999</v>
      </c>
      <c r="D878" s="76">
        <v>11849</v>
      </c>
    </row>
    <row r="879" spans="1:4" ht="14.5">
      <c r="A879" t="s">
        <v>5193</v>
      </c>
      <c r="B879" s="380" t="str">
        <f t="shared" si="13"/>
        <v>175-905</v>
      </c>
      <c r="C879" s="76">
        <v>12595</v>
      </c>
      <c r="D879" s="76">
        <v>11849</v>
      </c>
    </row>
    <row r="880" spans="1:4" ht="14.5">
      <c r="A880" t="s">
        <v>3156</v>
      </c>
      <c r="B880" s="380" t="str">
        <f t="shared" si="13"/>
        <v>175-907</v>
      </c>
      <c r="C880" s="76">
        <v>12821</v>
      </c>
      <c r="D880" s="76">
        <v>11849</v>
      </c>
    </row>
    <row r="881" spans="1:4" ht="14.5">
      <c r="A881" t="s">
        <v>5194</v>
      </c>
      <c r="B881" s="380" t="str">
        <f t="shared" si="13"/>
        <v>175-910</v>
      </c>
      <c r="C881" s="76">
        <v>10769</v>
      </c>
      <c r="D881" s="76">
        <v>10584</v>
      </c>
    </row>
    <row r="882" spans="1:4" ht="14.5">
      <c r="A882" t="s">
        <v>3157</v>
      </c>
      <c r="B882" s="380" t="str">
        <f t="shared" si="13"/>
        <v>175-911</v>
      </c>
      <c r="C882" s="76">
        <v>11686</v>
      </c>
      <c r="D882" s="76">
        <v>11427</v>
      </c>
    </row>
    <row r="883" spans="1:4" ht="14.5">
      <c r="A883" t="s">
        <v>5195</v>
      </c>
      <c r="B883" s="380" t="str">
        <f t="shared" si="13"/>
        <v>176-901</v>
      </c>
      <c r="C883" s="76">
        <v>15712</v>
      </c>
      <c r="D883" s="76">
        <v>11849</v>
      </c>
    </row>
    <row r="884" spans="1:4" ht="14.5">
      <c r="A884" t="s">
        <v>3158</v>
      </c>
      <c r="B884" s="380" t="str">
        <f t="shared" si="13"/>
        <v>176-902</v>
      </c>
      <c r="C884" s="76">
        <v>12549</v>
      </c>
      <c r="D884" s="76">
        <v>11849</v>
      </c>
    </row>
    <row r="885" spans="1:4" ht="14.5">
      <c r="A885" t="s">
        <v>3159</v>
      </c>
      <c r="B885" s="380" t="str">
        <f t="shared" si="13"/>
        <v>176-903</v>
      </c>
      <c r="C885" s="76">
        <v>11770</v>
      </c>
      <c r="D885" s="76">
        <v>11849</v>
      </c>
    </row>
    <row r="886" spans="1:4" ht="14.5">
      <c r="A886" t="s">
        <v>3160</v>
      </c>
      <c r="B886" s="380" t="str">
        <f t="shared" si="13"/>
        <v>177-901</v>
      </c>
      <c r="C886" s="76">
        <v>9293</v>
      </c>
      <c r="D886" s="76">
        <v>10894</v>
      </c>
    </row>
    <row r="887" spans="1:4" ht="14.5">
      <c r="A887" t="s">
        <v>5196</v>
      </c>
      <c r="B887" s="380" t="str">
        <f t="shared" si="13"/>
        <v>177-902</v>
      </c>
      <c r="C887" s="76">
        <v>10182</v>
      </c>
      <c r="D887" s="76">
        <v>10007</v>
      </c>
    </row>
    <row r="888" spans="1:4" ht="14.5">
      <c r="A888" t="s">
        <v>5197</v>
      </c>
      <c r="B888" s="380" t="str">
        <f t="shared" si="13"/>
        <v>177-903</v>
      </c>
      <c r="C888" s="76">
        <v>15081</v>
      </c>
      <c r="D888" s="76">
        <v>11849</v>
      </c>
    </row>
    <row r="889" spans="1:4" ht="14.5">
      <c r="A889" t="s">
        <v>5198</v>
      </c>
      <c r="B889" s="380" t="str">
        <f t="shared" si="13"/>
        <v>177-905</v>
      </c>
      <c r="C889" s="76">
        <v>12562</v>
      </c>
      <c r="D889" s="76">
        <v>11849</v>
      </c>
    </row>
    <row r="890" spans="1:4" ht="14.5">
      <c r="A890" t="s">
        <v>8065</v>
      </c>
      <c r="B890" s="380" t="str">
        <f t="shared" si="13"/>
        <v>178-801</v>
      </c>
      <c r="C890" s="76">
        <v>10712</v>
      </c>
      <c r="D890" s="76">
        <v>10530</v>
      </c>
    </row>
    <row r="891" spans="1:4" ht="14.5">
      <c r="A891" t="s">
        <v>8066</v>
      </c>
      <c r="B891" s="380" t="str">
        <f t="shared" si="13"/>
        <v>178-807</v>
      </c>
      <c r="C891" s="76">
        <v>9049</v>
      </c>
      <c r="D891" s="76">
        <v>9065</v>
      </c>
    </row>
    <row r="892" spans="1:4" ht="14.5">
      <c r="A892" t="s">
        <v>8067</v>
      </c>
      <c r="B892" s="380" t="str">
        <f t="shared" si="13"/>
        <v>178-808</v>
      </c>
      <c r="C892" s="76">
        <v>8700</v>
      </c>
      <c r="D892" s="76">
        <v>8723</v>
      </c>
    </row>
    <row r="893" spans="1:4" ht="14.5">
      <c r="A893" t="s">
        <v>5199</v>
      </c>
      <c r="B893" s="380" t="str">
        <f t="shared" si="13"/>
        <v>178-901</v>
      </c>
      <c r="C893" s="76">
        <v>12817</v>
      </c>
      <c r="D893" s="76">
        <v>11849</v>
      </c>
    </row>
    <row r="894" spans="1:4" ht="14.5">
      <c r="A894" t="s">
        <v>5200</v>
      </c>
      <c r="B894" s="380" t="str">
        <f t="shared" si="13"/>
        <v>178-902</v>
      </c>
      <c r="C894" s="76">
        <v>11367</v>
      </c>
      <c r="D894" s="76">
        <v>10206</v>
      </c>
    </row>
    <row r="895" spans="1:4" ht="14.5">
      <c r="A895" t="s">
        <v>5201</v>
      </c>
      <c r="B895" s="380" t="str">
        <f t="shared" si="13"/>
        <v>178-903</v>
      </c>
      <c r="C895" s="76">
        <v>9953</v>
      </c>
      <c r="D895" s="76">
        <v>9624</v>
      </c>
    </row>
    <row r="896" spans="1:4" ht="14.5">
      <c r="A896" t="s">
        <v>3161</v>
      </c>
      <c r="B896" s="380" t="str">
        <f t="shared" si="13"/>
        <v>178-904</v>
      </c>
      <c r="C896" s="76">
        <v>8928</v>
      </c>
      <c r="D896" s="76">
        <v>8902</v>
      </c>
    </row>
    <row r="897" spans="1:4" ht="14.5">
      <c r="A897" t="s">
        <v>5202</v>
      </c>
      <c r="B897" s="380" t="str">
        <f t="shared" si="13"/>
        <v>178-905</v>
      </c>
      <c r="C897" s="76">
        <v>11386</v>
      </c>
      <c r="D897" s="76">
        <v>11849</v>
      </c>
    </row>
    <row r="898" spans="1:4" ht="14.5">
      <c r="A898" t="s">
        <v>5203</v>
      </c>
      <c r="B898" s="380" t="str">
        <f t="shared" si="13"/>
        <v>178-906</v>
      </c>
      <c r="C898" s="76">
        <v>7495</v>
      </c>
      <c r="D898" s="76">
        <v>7176</v>
      </c>
    </row>
    <row r="899" spans="1:4" ht="14.5">
      <c r="A899" t="s">
        <v>5204</v>
      </c>
      <c r="B899" s="380" t="str">
        <f t="shared" si="13"/>
        <v>178-908</v>
      </c>
      <c r="C899" s="76">
        <v>14191</v>
      </c>
      <c r="D899" s="76">
        <v>11849</v>
      </c>
    </row>
    <row r="900" spans="1:4" ht="14.5">
      <c r="A900" t="s">
        <v>3162</v>
      </c>
      <c r="B900" s="380" t="str">
        <f t="shared" ref="B900:B963" si="14">CONCATENATE(LEFT(RIGHT(CONCATENATE("000",A900),6),3),"-",(RIGHT(RIGHT(CONCATENATE("000",A900),6),3)))</f>
        <v>178-909</v>
      </c>
      <c r="C900" s="76">
        <v>10855</v>
      </c>
      <c r="D900" s="76">
        <v>10660</v>
      </c>
    </row>
    <row r="901" spans="1:4" ht="14.5">
      <c r="A901" t="s">
        <v>5205</v>
      </c>
      <c r="B901" s="380" t="str">
        <f t="shared" si="14"/>
        <v>178-912</v>
      </c>
      <c r="C901" s="76">
        <v>9401</v>
      </c>
      <c r="D901" s="76">
        <v>10266</v>
      </c>
    </row>
    <row r="902" spans="1:4" ht="14.5">
      <c r="A902" t="s">
        <v>3163</v>
      </c>
      <c r="B902" s="380" t="str">
        <f t="shared" si="14"/>
        <v>178-913</v>
      </c>
      <c r="C902" s="76">
        <v>11816</v>
      </c>
      <c r="D902" s="76">
        <v>11849</v>
      </c>
    </row>
    <row r="903" spans="1:4" ht="14.5">
      <c r="A903" t="s">
        <v>5206</v>
      </c>
      <c r="B903" s="380" t="str">
        <f t="shared" si="14"/>
        <v>178-914</v>
      </c>
      <c r="C903" s="76">
        <v>8319</v>
      </c>
      <c r="D903" s="76">
        <v>8402</v>
      </c>
    </row>
    <row r="904" spans="1:4" ht="14.5">
      <c r="A904" t="s">
        <v>3164</v>
      </c>
      <c r="B904" s="380" t="str">
        <f t="shared" si="14"/>
        <v>178-915</v>
      </c>
      <c r="C904" s="76">
        <v>9467</v>
      </c>
      <c r="D904" s="76">
        <v>10725</v>
      </c>
    </row>
    <row r="905" spans="1:4" ht="14.5">
      <c r="A905" t="s">
        <v>8513</v>
      </c>
      <c r="B905" s="380" t="str">
        <f t="shared" si="14"/>
        <v>178-950</v>
      </c>
      <c r="C905" s="76">
        <v>11770</v>
      </c>
      <c r="D905" s="76">
        <v>11849</v>
      </c>
    </row>
    <row r="906" spans="1:4" ht="14.5">
      <c r="A906" t="s">
        <v>3165</v>
      </c>
      <c r="B906" s="380" t="str">
        <f t="shared" si="14"/>
        <v>179-901</v>
      </c>
      <c r="C906" s="76">
        <v>8135</v>
      </c>
      <c r="D906" s="76">
        <v>8977</v>
      </c>
    </row>
    <row r="907" spans="1:4" ht="14.5">
      <c r="A907" t="s">
        <v>7356</v>
      </c>
      <c r="B907" s="380" t="str">
        <f t="shared" si="14"/>
        <v>180-901</v>
      </c>
      <c r="C907" s="76">
        <v>11839</v>
      </c>
      <c r="D907" s="76">
        <v>11849</v>
      </c>
    </row>
    <row r="908" spans="1:4" ht="14.5">
      <c r="A908" t="s">
        <v>5207</v>
      </c>
      <c r="B908" s="380" t="str">
        <f t="shared" si="14"/>
        <v>180-902</v>
      </c>
      <c r="C908" s="76">
        <v>12195</v>
      </c>
      <c r="D908" s="76">
        <v>11849</v>
      </c>
    </row>
    <row r="909" spans="1:4" ht="14.5">
      <c r="A909" t="s">
        <v>5860</v>
      </c>
      <c r="B909" s="380" t="str">
        <f t="shared" si="14"/>
        <v>180-903</v>
      </c>
      <c r="C909" s="76">
        <v>15382</v>
      </c>
      <c r="D909" s="76">
        <v>11849</v>
      </c>
    </row>
    <row r="910" spans="1:4" ht="14.5">
      <c r="A910" t="s">
        <v>5208</v>
      </c>
      <c r="B910" s="380" t="str">
        <f t="shared" si="14"/>
        <v>180-904</v>
      </c>
      <c r="C910" s="76">
        <v>13033</v>
      </c>
      <c r="D910" s="76">
        <v>11849</v>
      </c>
    </row>
    <row r="911" spans="1:4" ht="14.5">
      <c r="A911" t="s">
        <v>3166</v>
      </c>
      <c r="B911" s="380" t="str">
        <f t="shared" si="14"/>
        <v>181-901</v>
      </c>
      <c r="C911" s="76">
        <v>8503</v>
      </c>
      <c r="D911" s="76">
        <v>8520</v>
      </c>
    </row>
    <row r="912" spans="1:4" ht="14.5">
      <c r="A912" t="s">
        <v>5209</v>
      </c>
      <c r="B912" s="380" t="str">
        <f t="shared" si="14"/>
        <v>181-905</v>
      </c>
      <c r="C912" s="76">
        <v>9276</v>
      </c>
      <c r="D912" s="76">
        <v>9339</v>
      </c>
    </row>
    <row r="913" spans="1:4" ht="14.5">
      <c r="A913" t="s">
        <v>5210</v>
      </c>
      <c r="B913" s="380" t="str">
        <f t="shared" si="14"/>
        <v>181-906</v>
      </c>
      <c r="C913" s="76">
        <v>10166</v>
      </c>
      <c r="D913" s="76">
        <v>10618</v>
      </c>
    </row>
    <row r="914" spans="1:4" ht="14.5">
      <c r="A914" t="s">
        <v>3167</v>
      </c>
      <c r="B914" s="380" t="str">
        <f t="shared" si="14"/>
        <v>181-907</v>
      </c>
      <c r="C914" s="76">
        <v>9812</v>
      </c>
      <c r="D914" s="76">
        <v>10126</v>
      </c>
    </row>
    <row r="915" spans="1:4" ht="14.5">
      <c r="A915" t="s">
        <v>5211</v>
      </c>
      <c r="B915" s="380" t="str">
        <f t="shared" si="14"/>
        <v>181-908</v>
      </c>
      <c r="C915" s="76">
        <v>8967</v>
      </c>
      <c r="D915" s="76">
        <v>9289</v>
      </c>
    </row>
    <row r="916" spans="1:4" ht="14.5">
      <c r="A916" t="s">
        <v>8514</v>
      </c>
      <c r="B916" s="380" t="str">
        <f t="shared" si="14"/>
        <v>181-950</v>
      </c>
      <c r="C916" s="76">
        <v>11770</v>
      </c>
      <c r="D916" s="76">
        <v>11849</v>
      </c>
    </row>
    <row r="917" spans="1:4" ht="14.5">
      <c r="A917" t="s">
        <v>5212</v>
      </c>
      <c r="B917" s="380" t="str">
        <f t="shared" si="14"/>
        <v>182-901</v>
      </c>
      <c r="C917" s="76">
        <v>11385</v>
      </c>
      <c r="D917" s="76">
        <v>10668</v>
      </c>
    </row>
    <row r="918" spans="1:4" ht="14.5">
      <c r="A918" t="s">
        <v>5213</v>
      </c>
      <c r="B918" s="380" t="str">
        <f t="shared" si="14"/>
        <v>182-902</v>
      </c>
      <c r="C918" s="76">
        <v>12507</v>
      </c>
      <c r="D918" s="76">
        <v>11849</v>
      </c>
    </row>
    <row r="919" spans="1:4" ht="14.5">
      <c r="A919" t="s">
        <v>3168</v>
      </c>
      <c r="B919" s="380" t="str">
        <f t="shared" si="14"/>
        <v>182-903</v>
      </c>
      <c r="C919" s="76">
        <v>10183</v>
      </c>
      <c r="D919" s="76">
        <v>9764</v>
      </c>
    </row>
    <row r="920" spans="1:4" ht="14.5">
      <c r="A920" t="s">
        <v>5214</v>
      </c>
      <c r="B920" s="380" t="str">
        <f t="shared" si="14"/>
        <v>182-904</v>
      </c>
      <c r="C920" s="76">
        <v>12367</v>
      </c>
      <c r="D920" s="76">
        <v>11849</v>
      </c>
    </row>
    <row r="921" spans="1:4" ht="14.5">
      <c r="A921" t="s">
        <v>5861</v>
      </c>
      <c r="B921" s="380" t="str">
        <f t="shared" si="14"/>
        <v>182-905</v>
      </c>
      <c r="C921" s="76">
        <v>13189</v>
      </c>
      <c r="D921" s="76">
        <v>11849</v>
      </c>
    </row>
    <row r="922" spans="1:4" ht="14.5">
      <c r="A922" t="s">
        <v>5215</v>
      </c>
      <c r="B922" s="380" t="str">
        <f t="shared" si="14"/>
        <v>182-906</v>
      </c>
      <c r="C922" s="76">
        <v>16495</v>
      </c>
      <c r="D922" s="76">
        <v>11849</v>
      </c>
    </row>
    <row r="923" spans="1:4" ht="14.5">
      <c r="A923" t="s">
        <v>8068</v>
      </c>
      <c r="B923" s="380" t="str">
        <f t="shared" si="14"/>
        <v>183-801</v>
      </c>
      <c r="C923" s="76">
        <v>9819</v>
      </c>
      <c r="D923" s="76">
        <v>10454</v>
      </c>
    </row>
    <row r="924" spans="1:4" ht="14.5">
      <c r="A924" t="s">
        <v>5216</v>
      </c>
      <c r="B924" s="380" t="str">
        <f t="shared" si="14"/>
        <v>183-901</v>
      </c>
      <c r="C924" s="76">
        <v>10169</v>
      </c>
      <c r="D924" s="76">
        <v>9414</v>
      </c>
    </row>
    <row r="925" spans="1:4" ht="14.5">
      <c r="A925" t="s">
        <v>5217</v>
      </c>
      <c r="B925" s="380" t="str">
        <f t="shared" si="14"/>
        <v>183-902</v>
      </c>
      <c r="C925" s="76">
        <v>8600</v>
      </c>
      <c r="D925" s="76">
        <v>10769</v>
      </c>
    </row>
    <row r="926" spans="1:4" ht="14.5">
      <c r="A926" t="s">
        <v>3169</v>
      </c>
      <c r="B926" s="380" t="str">
        <f t="shared" si="14"/>
        <v>183-904</v>
      </c>
      <c r="C926" s="76">
        <v>9491</v>
      </c>
      <c r="D926" s="76">
        <v>10773</v>
      </c>
    </row>
    <row r="927" spans="1:4" ht="14.5">
      <c r="A927" t="s">
        <v>8069</v>
      </c>
      <c r="B927" s="380" t="str">
        <f t="shared" si="14"/>
        <v>184-801</v>
      </c>
      <c r="C927" s="76">
        <v>10786</v>
      </c>
      <c r="D927" s="76">
        <v>11081</v>
      </c>
    </row>
    <row r="928" spans="1:4" ht="14.5">
      <c r="A928" t="s">
        <v>3170</v>
      </c>
      <c r="B928" s="380" t="str">
        <f t="shared" si="14"/>
        <v>184-901</v>
      </c>
      <c r="C928" s="76">
        <v>12455</v>
      </c>
      <c r="D928" s="76">
        <v>11849</v>
      </c>
    </row>
    <row r="929" spans="1:4" ht="14.5">
      <c r="A929" t="s">
        <v>3171</v>
      </c>
      <c r="B929" s="380" t="str">
        <f t="shared" si="14"/>
        <v>184-902</v>
      </c>
      <c r="C929" s="76">
        <v>10117</v>
      </c>
      <c r="D929" s="76">
        <v>10418</v>
      </c>
    </row>
    <row r="930" spans="1:4" ht="14.5">
      <c r="A930" t="s">
        <v>3172</v>
      </c>
      <c r="B930" s="380" t="str">
        <f t="shared" si="14"/>
        <v>184-903</v>
      </c>
      <c r="C930" s="76">
        <v>9351</v>
      </c>
      <c r="D930" s="76">
        <v>10009</v>
      </c>
    </row>
    <row r="931" spans="1:4" ht="14.5">
      <c r="A931" t="s">
        <v>3173</v>
      </c>
      <c r="B931" s="380" t="str">
        <f t="shared" si="14"/>
        <v>184-904</v>
      </c>
      <c r="C931" s="76">
        <v>10831</v>
      </c>
      <c r="D931" s="76">
        <v>11849</v>
      </c>
    </row>
    <row r="932" spans="1:4" ht="14.5">
      <c r="A932" t="s">
        <v>5218</v>
      </c>
      <c r="B932" s="380" t="str">
        <f t="shared" si="14"/>
        <v>184-907</v>
      </c>
      <c r="C932" s="76">
        <v>8419</v>
      </c>
      <c r="D932" s="76">
        <v>9130</v>
      </c>
    </row>
    <row r="933" spans="1:4" ht="14.5">
      <c r="A933" t="s">
        <v>3174</v>
      </c>
      <c r="B933" s="380" t="str">
        <f t="shared" si="14"/>
        <v>184-908</v>
      </c>
      <c r="C933" s="76">
        <v>8644</v>
      </c>
      <c r="D933" s="76">
        <v>9145</v>
      </c>
    </row>
    <row r="934" spans="1:4" ht="14.5">
      <c r="A934" t="s">
        <v>3175</v>
      </c>
      <c r="B934" s="380" t="str">
        <f t="shared" si="14"/>
        <v>184-909</v>
      </c>
      <c r="C934" s="76">
        <v>9420</v>
      </c>
      <c r="D934" s="76">
        <v>9449</v>
      </c>
    </row>
    <row r="935" spans="1:4" ht="14.5">
      <c r="A935" t="s">
        <v>5219</v>
      </c>
      <c r="B935" s="380" t="str">
        <f t="shared" si="14"/>
        <v>184-911</v>
      </c>
      <c r="C935" s="76">
        <v>11789</v>
      </c>
      <c r="D935" s="76">
        <v>11849</v>
      </c>
    </row>
    <row r="936" spans="1:4" ht="14.5">
      <c r="A936" t="s">
        <v>5862</v>
      </c>
      <c r="B936" s="380" t="str">
        <f t="shared" si="14"/>
        <v>185-901</v>
      </c>
      <c r="C936" s="76">
        <v>11770</v>
      </c>
      <c r="D936" s="76">
        <v>11621</v>
      </c>
    </row>
    <row r="937" spans="1:4" ht="14.5">
      <c r="A937" t="s">
        <v>5863</v>
      </c>
      <c r="B937" s="380" t="str">
        <f t="shared" si="14"/>
        <v>185-902</v>
      </c>
      <c r="C937" s="76">
        <v>11658</v>
      </c>
      <c r="D937" s="76">
        <v>11849</v>
      </c>
    </row>
    <row r="938" spans="1:4" ht="14.5">
      <c r="A938" t="s">
        <v>5220</v>
      </c>
      <c r="B938" s="380" t="str">
        <f t="shared" si="14"/>
        <v>185-903</v>
      </c>
      <c r="C938" s="76">
        <v>10868</v>
      </c>
      <c r="D938" s="76">
        <v>10866</v>
      </c>
    </row>
    <row r="939" spans="1:4" ht="14.5">
      <c r="A939" t="s">
        <v>5864</v>
      </c>
      <c r="B939" s="380" t="str">
        <f t="shared" si="14"/>
        <v>185-904</v>
      </c>
      <c r="C939" s="76">
        <v>12563</v>
      </c>
      <c r="D939" s="76">
        <v>11849</v>
      </c>
    </row>
    <row r="940" spans="1:4" ht="14.5">
      <c r="A940" t="s">
        <v>5221</v>
      </c>
      <c r="B940" s="380" t="str">
        <f t="shared" si="14"/>
        <v>186-901</v>
      </c>
      <c r="C940" s="76">
        <v>13995</v>
      </c>
      <c r="D940" s="76">
        <v>11849</v>
      </c>
    </row>
    <row r="941" spans="1:4" ht="14.5">
      <c r="A941" t="s">
        <v>5222</v>
      </c>
      <c r="B941" s="380" t="str">
        <f t="shared" si="14"/>
        <v>186-902</v>
      </c>
      <c r="C941" s="76">
        <v>10626</v>
      </c>
      <c r="D941" s="76">
        <v>11849</v>
      </c>
    </row>
    <row r="942" spans="1:4" ht="14.5">
      <c r="A942" t="s">
        <v>5223</v>
      </c>
      <c r="B942" s="380" t="str">
        <f t="shared" si="14"/>
        <v>186-903</v>
      </c>
      <c r="C942" s="76">
        <v>11770</v>
      </c>
      <c r="D942" s="76">
        <v>11849</v>
      </c>
    </row>
    <row r="943" spans="1:4" ht="14.5">
      <c r="A943" t="s">
        <v>5224</v>
      </c>
      <c r="B943" s="380" t="str">
        <f t="shared" si="14"/>
        <v>187-901</v>
      </c>
      <c r="C943" s="76">
        <v>9969</v>
      </c>
      <c r="D943" s="76">
        <v>11300</v>
      </c>
    </row>
    <row r="944" spans="1:4" ht="14.5">
      <c r="A944" t="s">
        <v>5865</v>
      </c>
      <c r="B944" s="380" t="str">
        <f t="shared" si="14"/>
        <v>187-903</v>
      </c>
      <c r="C944" s="76">
        <v>13496</v>
      </c>
      <c r="D944" s="76">
        <v>11849</v>
      </c>
    </row>
    <row r="945" spans="1:4" ht="14.5">
      <c r="A945" t="s">
        <v>5225</v>
      </c>
      <c r="B945" s="380" t="str">
        <f t="shared" si="14"/>
        <v>187-904</v>
      </c>
      <c r="C945" s="76">
        <v>11364</v>
      </c>
      <c r="D945" s="76">
        <v>11177</v>
      </c>
    </row>
    <row r="946" spans="1:4" ht="14.5">
      <c r="A946" t="s">
        <v>5226</v>
      </c>
      <c r="B946" s="380" t="str">
        <f t="shared" si="14"/>
        <v>187-906</v>
      </c>
      <c r="C946" s="76">
        <v>11638</v>
      </c>
      <c r="D946" s="76">
        <v>11849</v>
      </c>
    </row>
    <row r="947" spans="1:4" ht="14.5">
      <c r="A947" t="s">
        <v>3176</v>
      </c>
      <c r="B947" s="380" t="str">
        <f t="shared" si="14"/>
        <v>187-907</v>
      </c>
      <c r="C947" s="76">
        <v>10101</v>
      </c>
      <c r="D947" s="76">
        <v>10267</v>
      </c>
    </row>
    <row r="948" spans="1:4" ht="14.5">
      <c r="A948" t="s">
        <v>5227</v>
      </c>
      <c r="B948" s="380" t="str">
        <f t="shared" si="14"/>
        <v>187-910</v>
      </c>
      <c r="C948" s="76">
        <v>10612</v>
      </c>
      <c r="D948" s="76">
        <v>11071</v>
      </c>
    </row>
    <row r="949" spans="1:4" ht="14.5">
      <c r="A949" t="s">
        <v>3177</v>
      </c>
      <c r="B949" s="380" t="str">
        <f t="shared" si="14"/>
        <v>188-901</v>
      </c>
      <c r="C949" s="76">
        <v>8977</v>
      </c>
      <c r="D949" s="76">
        <v>8956</v>
      </c>
    </row>
    <row r="950" spans="1:4" ht="14.5">
      <c r="A950" t="s">
        <v>3178</v>
      </c>
      <c r="B950" s="380" t="str">
        <f t="shared" si="14"/>
        <v>188-902</v>
      </c>
      <c r="C950" s="76">
        <v>10341</v>
      </c>
      <c r="D950" s="76">
        <v>10477</v>
      </c>
    </row>
    <row r="951" spans="1:4" ht="14.5">
      <c r="A951" t="s">
        <v>5228</v>
      </c>
      <c r="B951" s="380" t="str">
        <f t="shared" si="14"/>
        <v>188-903</v>
      </c>
      <c r="C951" s="76">
        <v>10655</v>
      </c>
      <c r="D951" s="76">
        <v>10622</v>
      </c>
    </row>
    <row r="952" spans="1:4" ht="14.5">
      <c r="A952" t="s">
        <v>5229</v>
      </c>
      <c r="B952" s="380" t="str">
        <f t="shared" si="14"/>
        <v>188-904</v>
      </c>
      <c r="C952" s="76">
        <v>9332</v>
      </c>
      <c r="D952" s="76">
        <v>9884</v>
      </c>
    </row>
    <row r="953" spans="1:4" ht="14.5">
      <c r="A953" t="s">
        <v>8515</v>
      </c>
      <c r="B953" s="380" t="str">
        <f t="shared" si="14"/>
        <v>188-950</v>
      </c>
      <c r="C953" s="76">
        <v>11770</v>
      </c>
      <c r="D953" s="76">
        <v>11849</v>
      </c>
    </row>
    <row r="954" spans="1:4" ht="14.5">
      <c r="A954" t="s">
        <v>3179</v>
      </c>
      <c r="B954" s="380" t="str">
        <f t="shared" si="14"/>
        <v>189-901</v>
      </c>
      <c r="C954" s="76">
        <v>12202</v>
      </c>
      <c r="D954" s="76">
        <v>11849</v>
      </c>
    </row>
    <row r="955" spans="1:4" ht="14.5">
      <c r="A955" t="s">
        <v>3180</v>
      </c>
      <c r="B955" s="380" t="str">
        <f t="shared" si="14"/>
        <v>189-902</v>
      </c>
      <c r="C955" s="76">
        <v>11770</v>
      </c>
      <c r="D955" s="76">
        <v>11849</v>
      </c>
    </row>
    <row r="956" spans="1:4" ht="14.5">
      <c r="A956" t="s">
        <v>5230</v>
      </c>
      <c r="B956" s="380" t="str">
        <f t="shared" si="14"/>
        <v>190-903</v>
      </c>
      <c r="C956" s="76">
        <v>9419</v>
      </c>
      <c r="D956" s="76">
        <v>9068</v>
      </c>
    </row>
    <row r="957" spans="1:4" ht="14.5">
      <c r="A957" t="s">
        <v>5231</v>
      </c>
      <c r="B957" s="380" t="str">
        <f t="shared" si="14"/>
        <v>191-901</v>
      </c>
      <c r="C957" s="76">
        <v>7764</v>
      </c>
      <c r="D957" s="76">
        <v>7830</v>
      </c>
    </row>
    <row r="958" spans="1:4" ht="14.5">
      <c r="A958" t="s">
        <v>5232</v>
      </c>
      <c r="B958" s="380" t="str">
        <f t="shared" si="14"/>
        <v>192-901</v>
      </c>
      <c r="C958" s="76">
        <v>13762</v>
      </c>
      <c r="D958" s="76">
        <v>11849</v>
      </c>
    </row>
    <row r="959" spans="1:4" ht="14.5">
      <c r="A959" t="s">
        <v>8070</v>
      </c>
      <c r="B959" s="380" t="str">
        <f t="shared" si="14"/>
        <v>193-801</v>
      </c>
      <c r="C959" s="76">
        <v>17402</v>
      </c>
      <c r="D959" s="76">
        <v>11849</v>
      </c>
    </row>
    <row r="960" spans="1:4" ht="14.5">
      <c r="A960" t="s">
        <v>5233</v>
      </c>
      <c r="B960" s="380" t="str">
        <f t="shared" si="14"/>
        <v>193-902</v>
      </c>
      <c r="C960" s="76">
        <v>14295</v>
      </c>
      <c r="D960" s="76">
        <v>11849</v>
      </c>
    </row>
    <row r="961" spans="1:4" ht="14.5">
      <c r="A961" t="s">
        <v>5866</v>
      </c>
      <c r="B961" s="380" t="str">
        <f t="shared" si="14"/>
        <v>194-902</v>
      </c>
      <c r="C961" s="76">
        <v>12332</v>
      </c>
      <c r="D961" s="76">
        <v>11849</v>
      </c>
    </row>
    <row r="962" spans="1:4" ht="14.5">
      <c r="A962" t="s">
        <v>3181</v>
      </c>
      <c r="B962" s="380" t="str">
        <f t="shared" si="14"/>
        <v>194-903</v>
      </c>
      <c r="C962" s="76">
        <v>11104</v>
      </c>
      <c r="D962" s="76">
        <v>11849</v>
      </c>
    </row>
    <row r="963" spans="1:4" ht="14.5">
      <c r="A963" t="s">
        <v>5867</v>
      </c>
      <c r="B963" s="380" t="str">
        <f t="shared" si="14"/>
        <v>194-904</v>
      </c>
      <c r="C963" s="76">
        <v>13009</v>
      </c>
      <c r="D963" s="76">
        <v>11849</v>
      </c>
    </row>
    <row r="964" spans="1:4" ht="14.5">
      <c r="A964" t="s">
        <v>3182</v>
      </c>
      <c r="B964" s="380" t="str">
        <f t="shared" ref="B964:B1027" si="15">CONCATENATE(LEFT(RIGHT(CONCATENATE("000",A964),6),3),"-",(RIGHT(RIGHT(CONCATENATE("000",A964),6),3)))</f>
        <v>194-905</v>
      </c>
      <c r="C964" s="76">
        <v>12245</v>
      </c>
      <c r="D964" s="76">
        <v>11849</v>
      </c>
    </row>
    <row r="965" spans="1:4" ht="14.5">
      <c r="A965" t="s">
        <v>5234</v>
      </c>
      <c r="B965" s="380" t="str">
        <f t="shared" si="15"/>
        <v>195-901</v>
      </c>
      <c r="C965" s="76">
        <v>8614</v>
      </c>
      <c r="D965" s="76">
        <v>11849</v>
      </c>
    </row>
    <row r="966" spans="1:4" ht="14.5">
      <c r="A966" t="s">
        <v>3183</v>
      </c>
      <c r="B966" s="380" t="str">
        <f t="shared" si="15"/>
        <v>195-902</v>
      </c>
      <c r="C966" s="76">
        <v>11886</v>
      </c>
      <c r="D966" s="76">
        <v>11849</v>
      </c>
    </row>
    <row r="967" spans="1:4" ht="14.5">
      <c r="A967" t="s">
        <v>5235</v>
      </c>
      <c r="B967" s="380" t="str">
        <f t="shared" si="15"/>
        <v>196-901</v>
      </c>
      <c r="C967" s="76">
        <v>13479</v>
      </c>
      <c r="D967" s="76">
        <v>11849</v>
      </c>
    </row>
    <row r="968" spans="1:4" ht="14.5">
      <c r="A968" t="s">
        <v>5236</v>
      </c>
      <c r="B968" s="380" t="str">
        <f t="shared" si="15"/>
        <v>196-902</v>
      </c>
      <c r="C968" s="76">
        <v>14094</v>
      </c>
      <c r="D968" s="76">
        <v>11849</v>
      </c>
    </row>
    <row r="969" spans="1:4" ht="14.5">
      <c r="A969" t="s">
        <v>5237</v>
      </c>
      <c r="B969" s="380" t="str">
        <f t="shared" si="15"/>
        <v>196-903</v>
      </c>
      <c r="C969" s="76">
        <v>11616</v>
      </c>
      <c r="D969" s="76">
        <v>11849</v>
      </c>
    </row>
    <row r="970" spans="1:4" ht="14.5">
      <c r="A970" t="s">
        <v>5238</v>
      </c>
      <c r="B970" s="380" t="str">
        <f t="shared" si="15"/>
        <v>197-902</v>
      </c>
      <c r="C970" s="76">
        <v>10157</v>
      </c>
      <c r="D970" s="76">
        <v>11849</v>
      </c>
    </row>
    <row r="971" spans="1:4" ht="14.5">
      <c r="A971" t="s">
        <v>5239</v>
      </c>
      <c r="B971" s="380" t="str">
        <f t="shared" si="15"/>
        <v>198-901</v>
      </c>
      <c r="C971" s="76">
        <v>10265</v>
      </c>
      <c r="D971" s="76">
        <v>10549</v>
      </c>
    </row>
    <row r="972" spans="1:4" ht="14.5">
      <c r="A972" t="s">
        <v>5868</v>
      </c>
      <c r="B972" s="380" t="str">
        <f t="shared" si="15"/>
        <v>198-902</v>
      </c>
      <c r="C972" s="76">
        <v>15820</v>
      </c>
      <c r="D972" s="76">
        <v>11849</v>
      </c>
    </row>
    <row r="973" spans="1:4" ht="14.5">
      <c r="A973" t="s">
        <v>5240</v>
      </c>
      <c r="B973" s="380" t="str">
        <f t="shared" si="15"/>
        <v>198-903</v>
      </c>
      <c r="C973" s="76">
        <v>9687</v>
      </c>
      <c r="D973" s="76">
        <v>9954</v>
      </c>
    </row>
    <row r="974" spans="1:4" ht="14.5">
      <c r="A974" t="s">
        <v>5241</v>
      </c>
      <c r="B974" s="380" t="str">
        <f t="shared" si="15"/>
        <v>198-905</v>
      </c>
      <c r="C974" s="76">
        <v>14554</v>
      </c>
      <c r="D974" s="76">
        <v>11849</v>
      </c>
    </row>
    <row r="975" spans="1:4" ht="14.5">
      <c r="A975" t="s">
        <v>5869</v>
      </c>
      <c r="B975" s="380" t="str">
        <f t="shared" si="15"/>
        <v>198-906</v>
      </c>
      <c r="C975" s="76">
        <v>11480</v>
      </c>
      <c r="D975" s="76">
        <v>11849</v>
      </c>
    </row>
    <row r="976" spans="1:4" ht="14.5">
      <c r="A976" t="s">
        <v>5242</v>
      </c>
      <c r="B976" s="380" t="str">
        <f t="shared" si="15"/>
        <v>199-901</v>
      </c>
      <c r="C976" s="76">
        <v>8409</v>
      </c>
      <c r="D976" s="76">
        <v>8205</v>
      </c>
    </row>
    <row r="977" spans="1:4" ht="14.5">
      <c r="A977" t="s">
        <v>3184</v>
      </c>
      <c r="B977" s="380" t="str">
        <f t="shared" si="15"/>
        <v>199-902</v>
      </c>
      <c r="C977" s="76">
        <v>9515</v>
      </c>
      <c r="D977" s="76">
        <v>9478</v>
      </c>
    </row>
    <row r="978" spans="1:4" ht="14.5">
      <c r="A978" t="s">
        <v>5870</v>
      </c>
      <c r="B978" s="380" t="str">
        <f t="shared" si="15"/>
        <v>200-901</v>
      </c>
      <c r="C978" s="76">
        <v>11101</v>
      </c>
      <c r="D978" s="76">
        <v>11849</v>
      </c>
    </row>
    <row r="979" spans="1:4" ht="14.5">
      <c r="A979" t="s">
        <v>3185</v>
      </c>
      <c r="B979" s="380" t="str">
        <f t="shared" si="15"/>
        <v>200-902</v>
      </c>
      <c r="C979" s="76">
        <v>10780</v>
      </c>
      <c r="D979" s="76">
        <v>11132</v>
      </c>
    </row>
    <row r="980" spans="1:4" ht="14.5">
      <c r="A980" t="s">
        <v>4591</v>
      </c>
      <c r="B980" s="380" t="str">
        <f t="shared" si="15"/>
        <v>200-904</v>
      </c>
      <c r="C980" s="76">
        <v>12040</v>
      </c>
      <c r="D980" s="76">
        <v>11849</v>
      </c>
    </row>
    <row r="981" spans="1:4" ht="14.5">
      <c r="A981" t="s">
        <v>3186</v>
      </c>
      <c r="B981" s="380" t="str">
        <f t="shared" si="15"/>
        <v>200-906</v>
      </c>
      <c r="C981" s="76">
        <v>13425</v>
      </c>
      <c r="D981" s="76">
        <v>11849</v>
      </c>
    </row>
    <row r="982" spans="1:4" ht="14.5">
      <c r="A982" t="s">
        <v>5243</v>
      </c>
      <c r="B982" s="380" t="str">
        <f t="shared" si="15"/>
        <v>201-902</v>
      </c>
      <c r="C982" s="76">
        <v>8934</v>
      </c>
      <c r="D982" s="76">
        <v>8900</v>
      </c>
    </row>
    <row r="983" spans="1:4" ht="14.5">
      <c r="A983" t="s">
        <v>5871</v>
      </c>
      <c r="B983" s="380" t="str">
        <f t="shared" si="15"/>
        <v>201-903</v>
      </c>
      <c r="C983" s="76">
        <v>14171</v>
      </c>
      <c r="D983" s="76">
        <v>11849</v>
      </c>
    </row>
    <row r="984" spans="1:4" ht="14.5">
      <c r="A984" t="s">
        <v>5872</v>
      </c>
      <c r="B984" s="380" t="str">
        <f t="shared" si="15"/>
        <v>201-904</v>
      </c>
      <c r="C984" s="76">
        <v>12908</v>
      </c>
      <c r="D984" s="76">
        <v>11849</v>
      </c>
    </row>
    <row r="985" spans="1:4" ht="14.5">
      <c r="A985" t="s">
        <v>4595</v>
      </c>
      <c r="B985" s="380" t="str">
        <f t="shared" si="15"/>
        <v>201-907</v>
      </c>
      <c r="C985" s="76">
        <v>11656</v>
      </c>
      <c r="D985" s="76">
        <v>11836</v>
      </c>
    </row>
    <row r="986" spans="1:4" ht="14.5">
      <c r="A986" t="s">
        <v>3187</v>
      </c>
      <c r="B986" s="380" t="str">
        <f t="shared" si="15"/>
        <v>201-908</v>
      </c>
      <c r="C986" s="76">
        <v>11770</v>
      </c>
      <c r="D986" s="76">
        <v>11682</v>
      </c>
    </row>
    <row r="987" spans="1:4" ht="14.5">
      <c r="A987" t="s">
        <v>5244</v>
      </c>
      <c r="B987" s="380" t="str">
        <f t="shared" si="15"/>
        <v>201-910</v>
      </c>
      <c r="C987" s="76">
        <v>8118</v>
      </c>
      <c r="D987" s="76">
        <v>9225</v>
      </c>
    </row>
    <row r="988" spans="1:4" ht="14.5">
      <c r="A988" t="s">
        <v>3188</v>
      </c>
      <c r="B988" s="380" t="str">
        <f t="shared" si="15"/>
        <v>201-913</v>
      </c>
      <c r="C988" s="76">
        <v>11391</v>
      </c>
      <c r="D988" s="76">
        <v>11849</v>
      </c>
    </row>
    <row r="989" spans="1:4" ht="14.5">
      <c r="A989" t="s">
        <v>5245</v>
      </c>
      <c r="B989" s="380" t="str">
        <f t="shared" si="15"/>
        <v>201-914</v>
      </c>
      <c r="C989" s="76">
        <v>9527</v>
      </c>
      <c r="D989" s="76">
        <v>9830</v>
      </c>
    </row>
    <row r="990" spans="1:4" ht="14.5">
      <c r="A990" t="s">
        <v>5873</v>
      </c>
      <c r="B990" s="380" t="str">
        <f t="shared" si="15"/>
        <v>202-903</v>
      </c>
      <c r="C990" s="76">
        <v>11319</v>
      </c>
      <c r="D990" s="76">
        <v>10049</v>
      </c>
    </row>
    <row r="991" spans="1:4" ht="14.5">
      <c r="A991" t="s">
        <v>3189</v>
      </c>
      <c r="B991" s="380" t="str">
        <f t="shared" si="15"/>
        <v>202-905</v>
      </c>
      <c r="C991" s="76">
        <v>11770</v>
      </c>
      <c r="D991" s="76">
        <v>11849</v>
      </c>
    </row>
    <row r="992" spans="1:4" ht="14.5">
      <c r="A992" t="s">
        <v>3190</v>
      </c>
      <c r="B992" s="380" t="str">
        <f t="shared" si="15"/>
        <v>203-901</v>
      </c>
      <c r="C992" s="76">
        <v>11770</v>
      </c>
      <c r="D992" s="76">
        <v>11849</v>
      </c>
    </row>
    <row r="993" spans="1:4" ht="14.5">
      <c r="A993" t="s">
        <v>5874</v>
      </c>
      <c r="B993" s="380" t="str">
        <f t="shared" si="15"/>
        <v>203-902</v>
      </c>
      <c r="C993" s="76">
        <v>11361</v>
      </c>
      <c r="D993" s="76">
        <v>11849</v>
      </c>
    </row>
    <row r="994" spans="1:4" ht="14.5">
      <c r="A994" t="s">
        <v>5246</v>
      </c>
      <c r="B994" s="380" t="str">
        <f t="shared" si="15"/>
        <v>204-901</v>
      </c>
      <c r="C994" s="76">
        <v>11617</v>
      </c>
      <c r="D994" s="76">
        <v>11407</v>
      </c>
    </row>
    <row r="995" spans="1:4" ht="14.5">
      <c r="A995" t="s">
        <v>3191</v>
      </c>
      <c r="B995" s="380" t="str">
        <f t="shared" si="15"/>
        <v>204-904</v>
      </c>
      <c r="C995" s="76">
        <v>10508</v>
      </c>
      <c r="D995" s="76">
        <v>11353</v>
      </c>
    </row>
    <row r="996" spans="1:4" ht="14.5">
      <c r="A996" t="s">
        <v>3192</v>
      </c>
      <c r="B996" s="380" t="str">
        <f t="shared" si="15"/>
        <v>205-901</v>
      </c>
      <c r="C996" s="76">
        <v>9737</v>
      </c>
      <c r="D996" s="76">
        <v>10037</v>
      </c>
    </row>
    <row r="997" spans="1:4" ht="14.5">
      <c r="A997" t="s">
        <v>5247</v>
      </c>
      <c r="B997" s="380" t="str">
        <f t="shared" si="15"/>
        <v>205-902</v>
      </c>
      <c r="C997" s="76">
        <v>11770</v>
      </c>
      <c r="D997" s="76">
        <v>10313</v>
      </c>
    </row>
    <row r="998" spans="1:4" ht="14.5">
      <c r="A998" t="s">
        <v>5248</v>
      </c>
      <c r="B998" s="380" t="str">
        <f t="shared" si="15"/>
        <v>205-903</v>
      </c>
      <c r="C998" s="76">
        <v>10624</v>
      </c>
      <c r="D998" s="76">
        <v>9655</v>
      </c>
    </row>
    <row r="999" spans="1:4" ht="14.5">
      <c r="A999" t="s">
        <v>3193</v>
      </c>
      <c r="B999" s="380" t="str">
        <f t="shared" si="15"/>
        <v>205-904</v>
      </c>
      <c r="C999" s="76">
        <v>11770</v>
      </c>
      <c r="D999" s="76">
        <v>11047</v>
      </c>
    </row>
    <row r="1000" spans="1:4" ht="14.5">
      <c r="A1000" t="s">
        <v>3194</v>
      </c>
      <c r="B1000" s="380" t="str">
        <f t="shared" si="15"/>
        <v>205-905</v>
      </c>
      <c r="C1000" s="76">
        <v>13335</v>
      </c>
      <c r="D1000" s="76">
        <v>11849</v>
      </c>
    </row>
    <row r="1001" spans="1:4" ht="14.5">
      <c r="A1001" t="s">
        <v>3195</v>
      </c>
      <c r="B1001" s="380" t="str">
        <f t="shared" si="15"/>
        <v>205-906</v>
      </c>
      <c r="C1001" s="76">
        <v>11354</v>
      </c>
      <c r="D1001" s="76">
        <v>11765</v>
      </c>
    </row>
    <row r="1002" spans="1:4" ht="14.5">
      <c r="A1002" t="s">
        <v>3196</v>
      </c>
      <c r="B1002" s="380" t="str">
        <f t="shared" si="15"/>
        <v>205-907</v>
      </c>
      <c r="C1002" s="76">
        <v>16525</v>
      </c>
      <c r="D1002" s="76">
        <v>11849</v>
      </c>
    </row>
    <row r="1003" spans="1:4" ht="14.5">
      <c r="A1003" t="s">
        <v>3197</v>
      </c>
      <c r="B1003" s="380" t="str">
        <f t="shared" si="15"/>
        <v>206-901</v>
      </c>
      <c r="C1003" s="76">
        <v>11164</v>
      </c>
      <c r="D1003" s="76">
        <v>11849</v>
      </c>
    </row>
    <row r="1004" spans="1:4" ht="14.5">
      <c r="A1004" t="s">
        <v>5875</v>
      </c>
      <c r="B1004" s="380" t="str">
        <f t="shared" si="15"/>
        <v>206-902</v>
      </c>
      <c r="C1004" s="76">
        <v>17987</v>
      </c>
      <c r="D1004" s="76">
        <v>11849</v>
      </c>
    </row>
    <row r="1005" spans="1:4" ht="14.5">
      <c r="A1005" t="s">
        <v>5876</v>
      </c>
      <c r="B1005" s="380" t="str">
        <f t="shared" si="15"/>
        <v>206-903</v>
      </c>
      <c r="C1005" s="76">
        <v>15326</v>
      </c>
      <c r="D1005" s="76">
        <v>11849</v>
      </c>
    </row>
    <row r="1006" spans="1:4" ht="14.5">
      <c r="A1006" t="s">
        <v>5877</v>
      </c>
      <c r="B1006" s="380" t="str">
        <f t="shared" si="15"/>
        <v>207-901</v>
      </c>
      <c r="C1006" s="76">
        <v>11770</v>
      </c>
      <c r="D1006" s="76">
        <v>11849</v>
      </c>
    </row>
    <row r="1007" spans="1:4" ht="14.5">
      <c r="A1007" t="s">
        <v>5249</v>
      </c>
      <c r="B1007" s="380" t="str">
        <f t="shared" si="15"/>
        <v>208-901</v>
      </c>
      <c r="C1007" s="76">
        <v>11770</v>
      </c>
      <c r="D1007" s="76">
        <v>11849</v>
      </c>
    </row>
    <row r="1008" spans="1:4" ht="14.5">
      <c r="A1008" t="s">
        <v>5250</v>
      </c>
      <c r="B1008" s="380" t="str">
        <f t="shared" si="15"/>
        <v>208-902</v>
      </c>
      <c r="C1008" s="76">
        <v>7430</v>
      </c>
      <c r="D1008" s="76">
        <v>9374</v>
      </c>
    </row>
    <row r="1009" spans="1:4" ht="14.5">
      <c r="A1009" t="s">
        <v>5251</v>
      </c>
      <c r="B1009" s="380" t="str">
        <f t="shared" si="15"/>
        <v>208-903</v>
      </c>
      <c r="C1009" s="76">
        <v>9422</v>
      </c>
      <c r="D1009" s="76">
        <v>10722</v>
      </c>
    </row>
    <row r="1010" spans="1:4" ht="14.5">
      <c r="A1010" t="s">
        <v>5878</v>
      </c>
      <c r="B1010" s="380" t="str">
        <f t="shared" si="15"/>
        <v>209-901</v>
      </c>
      <c r="C1010" s="76">
        <v>10745</v>
      </c>
      <c r="D1010" s="76">
        <v>10888</v>
      </c>
    </row>
    <row r="1011" spans="1:4" ht="14.5">
      <c r="A1011" t="s">
        <v>5879</v>
      </c>
      <c r="B1011" s="380" t="str">
        <f t="shared" si="15"/>
        <v>209-902</v>
      </c>
      <c r="C1011" s="76">
        <v>14982</v>
      </c>
      <c r="D1011" s="76">
        <v>11849</v>
      </c>
    </row>
    <row r="1012" spans="1:4" ht="14.5">
      <c r="A1012" t="s">
        <v>3198</v>
      </c>
      <c r="B1012" s="380" t="str">
        <f t="shared" si="15"/>
        <v>210-901</v>
      </c>
      <c r="C1012" s="76">
        <v>9673</v>
      </c>
      <c r="D1012" s="76">
        <v>9671</v>
      </c>
    </row>
    <row r="1013" spans="1:4" ht="14.5">
      <c r="A1013" t="s">
        <v>5252</v>
      </c>
      <c r="B1013" s="380" t="str">
        <f t="shared" si="15"/>
        <v>210-902</v>
      </c>
      <c r="C1013" s="76">
        <v>11775</v>
      </c>
      <c r="D1013" s="76">
        <v>11849</v>
      </c>
    </row>
    <row r="1014" spans="1:4" ht="14.5">
      <c r="A1014" t="s">
        <v>3199</v>
      </c>
      <c r="B1014" s="380" t="str">
        <f t="shared" si="15"/>
        <v>210-903</v>
      </c>
      <c r="C1014" s="76">
        <v>10767</v>
      </c>
      <c r="D1014" s="76">
        <v>11849</v>
      </c>
    </row>
    <row r="1015" spans="1:4" ht="14.5">
      <c r="A1015" t="s">
        <v>5253</v>
      </c>
      <c r="B1015" s="380" t="str">
        <f t="shared" si="15"/>
        <v>210-904</v>
      </c>
      <c r="C1015" s="76">
        <v>11823</v>
      </c>
      <c r="D1015" s="76">
        <v>11849</v>
      </c>
    </row>
    <row r="1016" spans="1:4" ht="14.5">
      <c r="A1016" t="s">
        <v>5880</v>
      </c>
      <c r="B1016" s="380" t="str">
        <f t="shared" si="15"/>
        <v>210-905</v>
      </c>
      <c r="C1016" s="76">
        <v>11229</v>
      </c>
      <c r="D1016" s="76">
        <v>11536</v>
      </c>
    </row>
    <row r="1017" spans="1:4" ht="14.5">
      <c r="A1017" t="s">
        <v>5881</v>
      </c>
      <c r="B1017" s="380" t="str">
        <f t="shared" si="15"/>
        <v>210-906</v>
      </c>
      <c r="C1017" s="76">
        <v>13786</v>
      </c>
      <c r="D1017" s="76">
        <v>11849</v>
      </c>
    </row>
    <row r="1018" spans="1:4" ht="14.5">
      <c r="A1018" t="s">
        <v>5254</v>
      </c>
      <c r="B1018" s="380" t="str">
        <f t="shared" si="15"/>
        <v>211-901</v>
      </c>
      <c r="C1018" s="76">
        <v>12085</v>
      </c>
      <c r="D1018" s="76">
        <v>11849</v>
      </c>
    </row>
    <row r="1019" spans="1:4" ht="14.5">
      <c r="A1019" t="s">
        <v>5882</v>
      </c>
      <c r="B1019" s="380" t="str">
        <f t="shared" si="15"/>
        <v>211-902</v>
      </c>
      <c r="C1019" s="76">
        <v>12276</v>
      </c>
      <c r="D1019" s="76">
        <v>11849</v>
      </c>
    </row>
    <row r="1020" spans="1:4" ht="14.5">
      <c r="A1020" t="s">
        <v>8071</v>
      </c>
      <c r="B1020" s="380" t="str">
        <f t="shared" si="15"/>
        <v>212-801</v>
      </c>
      <c r="C1020" s="76">
        <v>9984</v>
      </c>
      <c r="D1020" s="76">
        <v>10188</v>
      </c>
    </row>
    <row r="1021" spans="1:4" ht="14.5">
      <c r="A1021" t="s">
        <v>8072</v>
      </c>
      <c r="B1021" s="380" t="str">
        <f t="shared" si="15"/>
        <v>212-804</v>
      </c>
      <c r="C1021" s="76">
        <v>9371</v>
      </c>
      <c r="D1021" s="76">
        <v>9360</v>
      </c>
    </row>
    <row r="1022" spans="1:4" ht="14.5">
      <c r="A1022" t="s">
        <v>3200</v>
      </c>
      <c r="B1022" s="380" t="str">
        <f t="shared" si="15"/>
        <v>212-901</v>
      </c>
      <c r="C1022" s="76">
        <v>10649</v>
      </c>
      <c r="D1022" s="76">
        <v>10466</v>
      </c>
    </row>
    <row r="1023" spans="1:4" ht="14.5">
      <c r="A1023" t="s">
        <v>5255</v>
      </c>
      <c r="B1023" s="380" t="str">
        <f t="shared" si="15"/>
        <v>212-902</v>
      </c>
      <c r="C1023" s="76">
        <v>9432</v>
      </c>
      <c r="D1023" s="76">
        <v>9117</v>
      </c>
    </row>
    <row r="1024" spans="1:4" ht="14.5">
      <c r="A1024" t="s">
        <v>3201</v>
      </c>
      <c r="B1024" s="380" t="str">
        <f t="shared" si="15"/>
        <v>212-903</v>
      </c>
      <c r="C1024" s="76">
        <v>9246</v>
      </c>
      <c r="D1024" s="76">
        <v>8821</v>
      </c>
    </row>
    <row r="1025" spans="1:4" ht="14.5">
      <c r="A1025" t="s">
        <v>5256</v>
      </c>
      <c r="B1025" s="380" t="str">
        <f t="shared" si="15"/>
        <v>212-904</v>
      </c>
      <c r="C1025" s="76">
        <v>9634</v>
      </c>
      <c r="D1025" s="76">
        <v>11091</v>
      </c>
    </row>
    <row r="1026" spans="1:4" ht="14.5">
      <c r="A1026" t="s">
        <v>5257</v>
      </c>
      <c r="B1026" s="380" t="str">
        <f t="shared" si="15"/>
        <v>212-905</v>
      </c>
      <c r="C1026" s="76">
        <v>8775</v>
      </c>
      <c r="D1026" s="76">
        <v>8692</v>
      </c>
    </row>
    <row r="1027" spans="1:4" ht="14.5">
      <c r="A1027" t="s">
        <v>3202</v>
      </c>
      <c r="B1027" s="380" t="str">
        <f t="shared" si="15"/>
        <v>212-906</v>
      </c>
      <c r="C1027" s="76">
        <v>8595</v>
      </c>
      <c r="D1027" s="76">
        <v>8521</v>
      </c>
    </row>
    <row r="1028" spans="1:4" ht="14.5">
      <c r="A1028" t="s">
        <v>3203</v>
      </c>
      <c r="B1028" s="380" t="str">
        <f t="shared" ref="B1028:B1091" si="16">CONCATENATE(LEFT(RIGHT(CONCATENATE("000",A1028),6),3),"-",(RIGHT(RIGHT(CONCATENATE("000",A1028),6),3)))</f>
        <v>212-909</v>
      </c>
      <c r="C1028" s="76">
        <v>10175</v>
      </c>
      <c r="D1028" s="76">
        <v>10009</v>
      </c>
    </row>
    <row r="1029" spans="1:4" ht="14.5">
      <c r="A1029" t="s">
        <v>5258</v>
      </c>
      <c r="B1029" s="380" t="str">
        <f t="shared" si="16"/>
        <v>212-910</v>
      </c>
      <c r="C1029" s="76">
        <v>10927</v>
      </c>
      <c r="D1029" s="76">
        <v>11849</v>
      </c>
    </row>
    <row r="1030" spans="1:4" ht="14.5">
      <c r="A1030" t="s">
        <v>8073</v>
      </c>
      <c r="B1030" s="380" t="str">
        <f t="shared" si="16"/>
        <v>213-801</v>
      </c>
      <c r="C1030" s="76">
        <v>11587</v>
      </c>
      <c r="D1030" s="76">
        <v>11849</v>
      </c>
    </row>
    <row r="1031" spans="1:4" ht="14.5">
      <c r="A1031" t="s">
        <v>5259</v>
      </c>
      <c r="B1031" s="380" t="str">
        <f t="shared" si="16"/>
        <v>213-901</v>
      </c>
      <c r="C1031" s="76">
        <v>11770</v>
      </c>
      <c r="D1031" s="76">
        <v>10987</v>
      </c>
    </row>
    <row r="1032" spans="1:4" ht="14.5">
      <c r="A1032" t="s">
        <v>3204</v>
      </c>
      <c r="B1032" s="380" t="str">
        <f t="shared" si="16"/>
        <v>214-901</v>
      </c>
      <c r="C1032" s="76">
        <v>9742</v>
      </c>
      <c r="D1032" s="76">
        <v>9739</v>
      </c>
    </row>
    <row r="1033" spans="1:4" ht="14.5">
      <c r="A1033" t="s">
        <v>5260</v>
      </c>
      <c r="B1033" s="380" t="str">
        <f t="shared" si="16"/>
        <v>214-902</v>
      </c>
      <c r="C1033" s="76">
        <v>11612</v>
      </c>
      <c r="D1033" s="76">
        <v>11849</v>
      </c>
    </row>
    <row r="1034" spans="1:4" ht="14.5">
      <c r="A1034" t="s">
        <v>3205</v>
      </c>
      <c r="B1034" s="380" t="str">
        <f t="shared" si="16"/>
        <v>214-903</v>
      </c>
      <c r="C1034" s="76">
        <v>9793</v>
      </c>
      <c r="D1034" s="76">
        <v>9834</v>
      </c>
    </row>
    <row r="1035" spans="1:4" ht="14.5">
      <c r="A1035" t="s">
        <v>5261</v>
      </c>
      <c r="B1035" s="380" t="str">
        <f t="shared" si="16"/>
        <v>215-901</v>
      </c>
      <c r="C1035" s="76">
        <v>9164</v>
      </c>
      <c r="D1035" s="76">
        <v>10398</v>
      </c>
    </row>
    <row r="1036" spans="1:4" ht="14.5">
      <c r="A1036" t="s">
        <v>5262</v>
      </c>
      <c r="B1036" s="380" t="str">
        <f t="shared" si="16"/>
        <v>216-901</v>
      </c>
      <c r="C1036" s="76">
        <v>14160</v>
      </c>
      <c r="D1036" s="76">
        <v>11849</v>
      </c>
    </row>
    <row r="1037" spans="1:4" ht="14.5">
      <c r="A1037" t="s">
        <v>5263</v>
      </c>
      <c r="B1037" s="380" t="str">
        <f t="shared" si="16"/>
        <v>217-901</v>
      </c>
      <c r="C1037" s="76">
        <v>10342</v>
      </c>
      <c r="D1037" s="76">
        <v>11849</v>
      </c>
    </row>
    <row r="1038" spans="1:4" ht="14.5">
      <c r="A1038" t="s">
        <v>5264</v>
      </c>
      <c r="B1038" s="380" t="str">
        <f t="shared" si="16"/>
        <v>218-901</v>
      </c>
      <c r="C1038" s="76">
        <v>11770</v>
      </c>
      <c r="D1038" s="76">
        <v>11849</v>
      </c>
    </row>
    <row r="1039" spans="1:4" ht="14.5">
      <c r="A1039" t="s">
        <v>5883</v>
      </c>
      <c r="B1039" s="380" t="str">
        <f t="shared" si="16"/>
        <v>219-901</v>
      </c>
      <c r="C1039" s="76">
        <v>11770</v>
      </c>
      <c r="D1039" s="76">
        <v>11849</v>
      </c>
    </row>
    <row r="1040" spans="1:4" ht="14.5">
      <c r="A1040" t="s">
        <v>5884</v>
      </c>
      <c r="B1040" s="380" t="str">
        <f t="shared" si="16"/>
        <v>219-903</v>
      </c>
      <c r="C1040" s="76">
        <v>12181</v>
      </c>
      <c r="D1040" s="76">
        <v>11849</v>
      </c>
    </row>
    <row r="1041" spans="1:4" ht="14.5">
      <c r="A1041" t="s">
        <v>5265</v>
      </c>
      <c r="B1041" s="380" t="str">
        <f t="shared" si="16"/>
        <v>219-905</v>
      </c>
      <c r="C1041" s="76">
        <v>11113</v>
      </c>
      <c r="D1041" s="76">
        <v>11849</v>
      </c>
    </row>
    <row r="1042" spans="1:4" ht="14.5">
      <c r="A1042" t="s">
        <v>8074</v>
      </c>
      <c r="B1042" s="380" t="str">
        <f t="shared" si="16"/>
        <v>220-801</v>
      </c>
      <c r="C1042" s="76">
        <v>8645</v>
      </c>
      <c r="D1042" s="76">
        <v>8636</v>
      </c>
    </row>
    <row r="1043" spans="1:4" ht="14.5">
      <c r="A1043" t="s">
        <v>8075</v>
      </c>
      <c r="B1043" s="380" t="str">
        <f t="shared" si="16"/>
        <v>220-802</v>
      </c>
      <c r="C1043" s="76">
        <v>8865</v>
      </c>
      <c r="D1043" s="76">
        <v>8821</v>
      </c>
    </row>
    <row r="1044" spans="1:4" ht="14.5">
      <c r="A1044" t="s">
        <v>8076</v>
      </c>
      <c r="B1044" s="380" t="str">
        <f t="shared" si="16"/>
        <v>220-809</v>
      </c>
      <c r="C1044" s="76">
        <v>8776</v>
      </c>
      <c r="D1044" s="76">
        <v>8876</v>
      </c>
    </row>
    <row r="1045" spans="1:4" ht="14.5">
      <c r="A1045" t="s">
        <v>8077</v>
      </c>
      <c r="B1045" s="380" t="str">
        <f t="shared" si="16"/>
        <v>220-810</v>
      </c>
      <c r="C1045" s="76">
        <v>8705</v>
      </c>
      <c r="D1045" s="76">
        <v>8739</v>
      </c>
    </row>
    <row r="1046" spans="1:4" ht="14.5">
      <c r="A1046" t="s">
        <v>8078</v>
      </c>
      <c r="B1046" s="380" t="str">
        <f t="shared" si="16"/>
        <v>220-811</v>
      </c>
      <c r="C1046" s="76">
        <v>10696</v>
      </c>
      <c r="D1046" s="76">
        <v>10822</v>
      </c>
    </row>
    <row r="1047" spans="1:4" ht="14.5">
      <c r="A1047" t="s">
        <v>8079</v>
      </c>
      <c r="B1047" s="380" t="str">
        <f t="shared" si="16"/>
        <v>220-814</v>
      </c>
      <c r="C1047" s="76">
        <v>8829</v>
      </c>
      <c r="D1047" s="76">
        <v>8827</v>
      </c>
    </row>
    <row r="1048" spans="1:4" ht="14.5">
      <c r="A1048" t="s">
        <v>8080</v>
      </c>
      <c r="B1048" s="380" t="str">
        <f t="shared" si="16"/>
        <v>220-815</v>
      </c>
      <c r="C1048" s="76">
        <v>10198</v>
      </c>
      <c r="D1048" s="76">
        <v>9937</v>
      </c>
    </row>
    <row r="1049" spans="1:4" ht="14.5">
      <c r="A1049" t="s">
        <v>8081</v>
      </c>
      <c r="B1049" s="380" t="str">
        <f t="shared" si="16"/>
        <v>220-817</v>
      </c>
      <c r="C1049" s="76">
        <v>9646</v>
      </c>
      <c r="D1049" s="76">
        <v>9830</v>
      </c>
    </row>
    <row r="1050" spans="1:4" ht="14.5">
      <c r="A1050" t="s">
        <v>8082</v>
      </c>
      <c r="B1050" s="380" t="str">
        <f t="shared" si="16"/>
        <v>220-819</v>
      </c>
      <c r="C1050" s="76">
        <v>9624</v>
      </c>
      <c r="D1050" s="76">
        <v>9408</v>
      </c>
    </row>
    <row r="1051" spans="1:4" ht="14.5">
      <c r="A1051" t="s">
        <v>3206</v>
      </c>
      <c r="B1051" s="380" t="str">
        <f t="shared" si="16"/>
        <v>220-901</v>
      </c>
      <c r="C1051" s="76">
        <v>8666</v>
      </c>
      <c r="D1051" s="76">
        <v>9167</v>
      </c>
    </row>
    <row r="1052" spans="1:4" ht="14.5">
      <c r="A1052" t="s">
        <v>3207</v>
      </c>
      <c r="B1052" s="380" t="str">
        <f t="shared" si="16"/>
        <v>220-902</v>
      </c>
      <c r="C1052" s="76">
        <v>8762</v>
      </c>
      <c r="D1052" s="76">
        <v>9031</v>
      </c>
    </row>
    <row r="1053" spans="1:4" ht="14.5">
      <c r="A1053" t="s">
        <v>3208</v>
      </c>
      <c r="B1053" s="380" t="str">
        <f t="shared" si="16"/>
        <v>220-904</v>
      </c>
      <c r="C1053" s="76">
        <v>9714</v>
      </c>
      <c r="D1053" s="76">
        <v>10200</v>
      </c>
    </row>
    <row r="1054" spans="1:4" ht="14.5">
      <c r="A1054" t="s">
        <v>5266</v>
      </c>
      <c r="B1054" s="380" t="str">
        <f t="shared" si="16"/>
        <v>220-905</v>
      </c>
      <c r="C1054" s="76">
        <v>9175</v>
      </c>
      <c r="D1054" s="76">
        <v>9847</v>
      </c>
    </row>
    <row r="1055" spans="1:4" ht="14.5">
      <c r="A1055" t="s">
        <v>5267</v>
      </c>
      <c r="B1055" s="380" t="str">
        <f t="shared" si="16"/>
        <v>220-906</v>
      </c>
      <c r="C1055" s="76">
        <v>8529</v>
      </c>
      <c r="D1055" s="76">
        <v>8758</v>
      </c>
    </row>
    <row r="1056" spans="1:4" ht="14.5">
      <c r="A1056" t="s">
        <v>3209</v>
      </c>
      <c r="B1056" s="380" t="str">
        <f t="shared" si="16"/>
        <v>220-907</v>
      </c>
      <c r="C1056" s="76">
        <v>8764</v>
      </c>
      <c r="D1056" s="76">
        <v>9160</v>
      </c>
    </row>
    <row r="1057" spans="1:4" ht="14.5">
      <c r="A1057" t="s">
        <v>3210</v>
      </c>
      <c r="B1057" s="380" t="str">
        <f t="shared" si="16"/>
        <v>220-908</v>
      </c>
      <c r="C1057" s="76">
        <v>8411</v>
      </c>
      <c r="D1057" s="76">
        <v>8646</v>
      </c>
    </row>
    <row r="1058" spans="1:4" ht="14.5">
      <c r="A1058" t="s">
        <v>3211</v>
      </c>
      <c r="B1058" s="380" t="str">
        <f t="shared" si="16"/>
        <v>220-910</v>
      </c>
      <c r="C1058" s="76">
        <v>10253</v>
      </c>
      <c r="D1058" s="76">
        <v>10339</v>
      </c>
    </row>
    <row r="1059" spans="1:4" ht="14.5">
      <c r="A1059" t="s">
        <v>3212</v>
      </c>
      <c r="B1059" s="380" t="str">
        <f t="shared" si="16"/>
        <v>220-912</v>
      </c>
      <c r="C1059" s="76">
        <v>9709</v>
      </c>
      <c r="D1059" s="76">
        <v>9776</v>
      </c>
    </row>
    <row r="1060" spans="1:4" ht="14.5">
      <c r="A1060" t="s">
        <v>3213</v>
      </c>
      <c r="B1060" s="380" t="str">
        <f t="shared" si="16"/>
        <v>220-914</v>
      </c>
      <c r="C1060" s="76">
        <v>9690</v>
      </c>
      <c r="D1060" s="76">
        <v>9844</v>
      </c>
    </row>
    <row r="1061" spans="1:4" ht="14.5">
      <c r="A1061" t="s">
        <v>3214</v>
      </c>
      <c r="B1061" s="380" t="str">
        <f t="shared" si="16"/>
        <v>220-915</v>
      </c>
      <c r="C1061" s="76">
        <v>9165</v>
      </c>
      <c r="D1061" s="76">
        <v>9536</v>
      </c>
    </row>
    <row r="1062" spans="1:4" ht="14.5">
      <c r="A1062" t="s">
        <v>3215</v>
      </c>
      <c r="B1062" s="380" t="str">
        <f t="shared" si="16"/>
        <v>220-916</v>
      </c>
      <c r="C1062" s="76">
        <v>8717</v>
      </c>
      <c r="D1062" s="76">
        <v>9127</v>
      </c>
    </row>
    <row r="1063" spans="1:4" ht="14.5">
      <c r="A1063" t="s">
        <v>3216</v>
      </c>
      <c r="B1063" s="380" t="str">
        <f t="shared" si="16"/>
        <v>220-917</v>
      </c>
      <c r="C1063" s="76">
        <v>10460</v>
      </c>
      <c r="D1063" s="76">
        <v>10764</v>
      </c>
    </row>
    <row r="1064" spans="1:4" ht="14.5">
      <c r="A1064" t="s">
        <v>3217</v>
      </c>
      <c r="B1064" s="380" t="str">
        <f t="shared" si="16"/>
        <v>220-918</v>
      </c>
      <c r="C1064" s="76">
        <v>9128</v>
      </c>
      <c r="D1064" s="76">
        <v>9360</v>
      </c>
    </row>
    <row r="1065" spans="1:4" ht="14.5">
      <c r="A1065" t="s">
        <v>4710</v>
      </c>
      <c r="B1065" s="380" t="str">
        <f t="shared" si="16"/>
        <v>220-919</v>
      </c>
      <c r="C1065" s="76">
        <v>7485</v>
      </c>
      <c r="D1065" s="76">
        <v>7829</v>
      </c>
    </row>
    <row r="1066" spans="1:4" ht="14.5">
      <c r="A1066" t="s">
        <v>3218</v>
      </c>
      <c r="B1066" s="380" t="str">
        <f t="shared" si="16"/>
        <v>220-920</v>
      </c>
      <c r="C1066" s="76">
        <v>8140</v>
      </c>
      <c r="D1066" s="76">
        <v>8560</v>
      </c>
    </row>
    <row r="1067" spans="1:4" ht="14.5">
      <c r="A1067" t="s">
        <v>8516</v>
      </c>
      <c r="B1067" s="380" t="str">
        <f t="shared" si="16"/>
        <v>220-950</v>
      </c>
      <c r="C1067" s="76">
        <v>11770</v>
      </c>
      <c r="D1067" s="76">
        <v>11849</v>
      </c>
    </row>
    <row r="1068" spans="1:4" ht="14.5">
      <c r="A1068" t="s">
        <v>8083</v>
      </c>
      <c r="B1068" s="380" t="str">
        <f t="shared" si="16"/>
        <v>221-801</v>
      </c>
      <c r="C1068" s="76">
        <v>9384</v>
      </c>
      <c r="D1068" s="76">
        <v>9430</v>
      </c>
    </row>
    <row r="1069" spans="1:4" ht="14.5">
      <c r="A1069" t="s">
        <v>5268</v>
      </c>
      <c r="B1069" s="380" t="str">
        <f t="shared" si="16"/>
        <v>221-901</v>
      </c>
      <c r="C1069" s="76">
        <v>8364</v>
      </c>
      <c r="D1069" s="76">
        <v>8246</v>
      </c>
    </row>
    <row r="1070" spans="1:4" ht="14.5">
      <c r="A1070" t="s">
        <v>5269</v>
      </c>
      <c r="B1070" s="380" t="str">
        <f t="shared" si="16"/>
        <v>221-904</v>
      </c>
      <c r="C1070" s="76">
        <v>11415</v>
      </c>
      <c r="D1070" s="76">
        <v>11052</v>
      </c>
    </row>
    <row r="1071" spans="1:4" ht="14.5">
      <c r="A1071" t="s">
        <v>5270</v>
      </c>
      <c r="B1071" s="380" t="str">
        <f t="shared" si="16"/>
        <v>221-905</v>
      </c>
      <c r="C1071" s="76">
        <v>16009</v>
      </c>
      <c r="D1071" s="76">
        <v>11849</v>
      </c>
    </row>
    <row r="1072" spans="1:4" ht="14.5">
      <c r="A1072" t="s">
        <v>5271</v>
      </c>
      <c r="B1072" s="380" t="str">
        <f t="shared" si="16"/>
        <v>221-911</v>
      </c>
      <c r="C1072" s="76">
        <v>8366</v>
      </c>
      <c r="D1072" s="76">
        <v>8627</v>
      </c>
    </row>
    <row r="1073" spans="1:4" ht="14.5">
      <c r="A1073" t="s">
        <v>5272</v>
      </c>
      <c r="B1073" s="380" t="str">
        <f t="shared" si="16"/>
        <v>221-912</v>
      </c>
      <c r="C1073" s="76">
        <v>7843</v>
      </c>
      <c r="D1073" s="76">
        <v>7848</v>
      </c>
    </row>
    <row r="1074" spans="1:4" ht="14.5">
      <c r="A1074" t="s">
        <v>8517</v>
      </c>
      <c r="B1074" s="380" t="str">
        <f t="shared" si="16"/>
        <v>221-950</v>
      </c>
      <c r="C1074" s="76">
        <v>11770</v>
      </c>
      <c r="D1074" s="76">
        <v>11849</v>
      </c>
    </row>
    <row r="1075" spans="1:4" ht="14.5">
      <c r="A1075" t="s">
        <v>5273</v>
      </c>
      <c r="B1075" s="380" t="str">
        <f t="shared" si="16"/>
        <v>222-901</v>
      </c>
      <c r="C1075" s="76">
        <v>13193</v>
      </c>
      <c r="D1075" s="76">
        <v>11849</v>
      </c>
    </row>
    <row r="1076" spans="1:4" ht="14.5">
      <c r="A1076" t="s">
        <v>5274</v>
      </c>
      <c r="B1076" s="380" t="str">
        <f t="shared" si="16"/>
        <v>223-901</v>
      </c>
      <c r="C1076" s="76">
        <v>10064</v>
      </c>
      <c r="D1076" s="76">
        <v>11207</v>
      </c>
    </row>
    <row r="1077" spans="1:4" ht="14.5">
      <c r="A1077" t="s">
        <v>3219</v>
      </c>
      <c r="B1077" s="380" t="str">
        <f t="shared" si="16"/>
        <v>223-902</v>
      </c>
      <c r="C1077" s="76">
        <v>12863</v>
      </c>
      <c r="D1077" s="76">
        <v>11849</v>
      </c>
    </row>
    <row r="1078" spans="1:4" ht="14.5">
      <c r="A1078" t="s">
        <v>5275</v>
      </c>
      <c r="B1078" s="380" t="str">
        <f t="shared" si="16"/>
        <v>223-904</v>
      </c>
      <c r="C1078" s="76">
        <v>9605</v>
      </c>
      <c r="D1078" s="76">
        <v>10750</v>
      </c>
    </row>
    <row r="1079" spans="1:4" ht="14.5">
      <c r="A1079" t="s">
        <v>5885</v>
      </c>
      <c r="B1079" s="380" t="str">
        <f t="shared" si="16"/>
        <v>224-901</v>
      </c>
      <c r="C1079" s="76">
        <v>12310</v>
      </c>
      <c r="D1079" s="76">
        <v>11849</v>
      </c>
    </row>
    <row r="1080" spans="1:4" ht="14.5">
      <c r="A1080" t="s">
        <v>5886</v>
      </c>
      <c r="B1080" s="380" t="str">
        <f t="shared" si="16"/>
        <v>224-902</v>
      </c>
      <c r="C1080" s="76">
        <v>13440</v>
      </c>
      <c r="D1080" s="76">
        <v>11849</v>
      </c>
    </row>
    <row r="1081" spans="1:4" ht="14.5">
      <c r="A1081" t="s">
        <v>5276</v>
      </c>
      <c r="B1081" s="380" t="str">
        <f t="shared" si="16"/>
        <v>225-902</v>
      </c>
      <c r="C1081" s="76">
        <v>9101</v>
      </c>
      <c r="D1081" s="76">
        <v>9152</v>
      </c>
    </row>
    <row r="1082" spans="1:4" ht="14.5">
      <c r="A1082" t="s">
        <v>3220</v>
      </c>
      <c r="B1082" s="380" t="str">
        <f t="shared" si="16"/>
        <v>225-906</v>
      </c>
      <c r="C1082" s="76">
        <v>10448</v>
      </c>
      <c r="D1082" s="76">
        <v>10382</v>
      </c>
    </row>
    <row r="1083" spans="1:4" ht="14.5">
      <c r="A1083" t="s">
        <v>5887</v>
      </c>
      <c r="B1083" s="380" t="str">
        <f t="shared" si="16"/>
        <v>225-907</v>
      </c>
      <c r="C1083" s="76">
        <v>10253</v>
      </c>
      <c r="D1083" s="76">
        <v>10113</v>
      </c>
    </row>
    <row r="1084" spans="1:4" ht="14.5">
      <c r="A1084" t="s">
        <v>8518</v>
      </c>
      <c r="B1084" s="380" t="str">
        <f t="shared" si="16"/>
        <v>225-950</v>
      </c>
      <c r="C1084" s="76">
        <v>11770</v>
      </c>
      <c r="D1084" s="76">
        <v>11849</v>
      </c>
    </row>
    <row r="1085" spans="1:4" ht="14.5">
      <c r="A1085" t="s">
        <v>8084</v>
      </c>
      <c r="B1085" s="380" t="str">
        <f t="shared" si="16"/>
        <v>226-801</v>
      </c>
      <c r="C1085" s="76">
        <v>9764</v>
      </c>
      <c r="D1085" s="76">
        <v>9783</v>
      </c>
    </row>
    <row r="1086" spans="1:4" ht="14.5">
      <c r="A1086" t="s">
        <v>5277</v>
      </c>
      <c r="B1086" s="380" t="str">
        <f t="shared" si="16"/>
        <v>226-901</v>
      </c>
      <c r="C1086" s="76">
        <v>13751</v>
      </c>
      <c r="D1086" s="76">
        <v>11849</v>
      </c>
    </row>
    <row r="1087" spans="1:4" ht="14.5">
      <c r="A1087" t="s">
        <v>3221</v>
      </c>
      <c r="B1087" s="380" t="str">
        <f t="shared" si="16"/>
        <v>226-903</v>
      </c>
      <c r="C1087" s="76">
        <v>8284</v>
      </c>
      <c r="D1087" s="76">
        <v>8260</v>
      </c>
    </row>
    <row r="1088" spans="1:4" ht="14.5">
      <c r="A1088" t="s">
        <v>5278</v>
      </c>
      <c r="B1088" s="380" t="str">
        <f t="shared" si="16"/>
        <v>226-905</v>
      </c>
      <c r="C1088" s="76">
        <v>15371</v>
      </c>
      <c r="D1088" s="76">
        <v>11849</v>
      </c>
    </row>
    <row r="1089" spans="1:4" ht="14.5">
      <c r="A1089" t="s">
        <v>3222</v>
      </c>
      <c r="B1089" s="380" t="str">
        <f t="shared" si="16"/>
        <v>226-906</v>
      </c>
      <c r="C1089" s="76">
        <v>8563</v>
      </c>
      <c r="D1089" s="76">
        <v>8908</v>
      </c>
    </row>
    <row r="1090" spans="1:4" ht="14.5">
      <c r="A1090" t="s">
        <v>3223</v>
      </c>
      <c r="B1090" s="380" t="str">
        <f t="shared" si="16"/>
        <v>226-907</v>
      </c>
      <c r="C1090" s="76">
        <v>11770</v>
      </c>
      <c r="D1090" s="76">
        <v>11292</v>
      </c>
    </row>
    <row r="1091" spans="1:4" ht="14.5">
      <c r="A1091" t="s">
        <v>3224</v>
      </c>
      <c r="B1091" s="380" t="str">
        <f t="shared" si="16"/>
        <v>226-908</v>
      </c>
      <c r="C1091" s="76">
        <v>12228</v>
      </c>
      <c r="D1091" s="76">
        <v>11849</v>
      </c>
    </row>
    <row r="1092" spans="1:4" ht="14.5">
      <c r="A1092" t="s">
        <v>8519</v>
      </c>
      <c r="B1092" s="380" t="str">
        <f t="shared" ref="B1092:B1155" si="17">CONCATENATE(LEFT(RIGHT(CONCATENATE("000",A1092),6),3),"-",(RIGHT(RIGHT(CONCATENATE("000",A1092),6),3)))</f>
        <v>226-950</v>
      </c>
      <c r="C1092" s="76">
        <v>11770</v>
      </c>
      <c r="D1092" s="76">
        <v>11849</v>
      </c>
    </row>
    <row r="1093" spans="1:4" ht="14.5">
      <c r="A1093" t="s">
        <v>8085</v>
      </c>
      <c r="B1093" s="380" t="str">
        <f t="shared" si="17"/>
        <v>227-622</v>
      </c>
      <c r="C1093" s="76">
        <v>4553</v>
      </c>
      <c r="D1093" s="76">
        <v>4553</v>
      </c>
    </row>
    <row r="1094" spans="1:4" ht="14.5">
      <c r="A1094" t="s">
        <v>8087</v>
      </c>
      <c r="B1094" s="380" t="str">
        <f t="shared" si="17"/>
        <v>227-803</v>
      </c>
      <c r="C1094" s="76">
        <v>10583</v>
      </c>
      <c r="D1094" s="76">
        <v>10601</v>
      </c>
    </row>
    <row r="1095" spans="1:4" ht="14.5">
      <c r="A1095" t="s">
        <v>8088</v>
      </c>
      <c r="B1095" s="380" t="str">
        <f t="shared" si="17"/>
        <v>227-804</v>
      </c>
      <c r="C1095" s="76">
        <v>9843</v>
      </c>
      <c r="D1095" s="76">
        <v>9834</v>
      </c>
    </row>
    <row r="1096" spans="1:4" ht="14.5">
      <c r="A1096" t="s">
        <v>8089</v>
      </c>
      <c r="B1096" s="380" t="str">
        <f t="shared" si="17"/>
        <v>227-805</v>
      </c>
      <c r="C1096" s="76">
        <v>10611</v>
      </c>
      <c r="D1096" s="76">
        <v>10481</v>
      </c>
    </row>
    <row r="1097" spans="1:4" ht="14.5">
      <c r="A1097" t="s">
        <v>8090</v>
      </c>
      <c r="B1097" s="380" t="str">
        <f t="shared" si="17"/>
        <v>227-806</v>
      </c>
      <c r="C1097" s="76">
        <v>18210</v>
      </c>
      <c r="D1097" s="76">
        <v>11849</v>
      </c>
    </row>
    <row r="1098" spans="1:4" ht="14.5">
      <c r="A1098" t="s">
        <v>8091</v>
      </c>
      <c r="B1098" s="380" t="str">
        <f t="shared" si="17"/>
        <v>227-814</v>
      </c>
      <c r="C1098" s="76">
        <v>8410</v>
      </c>
      <c r="D1098" s="76">
        <v>8457</v>
      </c>
    </row>
    <row r="1099" spans="1:4" ht="14.5">
      <c r="A1099" t="s">
        <v>8092</v>
      </c>
      <c r="B1099" s="380" t="str">
        <f t="shared" si="17"/>
        <v>227-816</v>
      </c>
      <c r="C1099" s="76">
        <v>10312</v>
      </c>
      <c r="D1099" s="76">
        <v>10516</v>
      </c>
    </row>
    <row r="1100" spans="1:4" ht="14.5">
      <c r="A1100" t="s">
        <v>8093</v>
      </c>
      <c r="B1100" s="380" t="str">
        <f t="shared" si="17"/>
        <v>227-817</v>
      </c>
      <c r="C1100" s="76">
        <v>11295</v>
      </c>
      <c r="D1100" s="76">
        <v>11201</v>
      </c>
    </row>
    <row r="1101" spans="1:4" ht="14.5">
      <c r="A1101" t="s">
        <v>8094</v>
      </c>
      <c r="B1101" s="380" t="str">
        <f t="shared" si="17"/>
        <v>227-819</v>
      </c>
      <c r="C1101" s="76">
        <v>10593</v>
      </c>
      <c r="D1101" s="76">
        <v>10333</v>
      </c>
    </row>
    <row r="1102" spans="1:4" ht="14.5">
      <c r="A1102" t="s">
        <v>8095</v>
      </c>
      <c r="B1102" s="380" t="str">
        <f t="shared" si="17"/>
        <v>227-820</v>
      </c>
      <c r="C1102" s="76">
        <v>10949</v>
      </c>
      <c r="D1102" s="76">
        <v>10677</v>
      </c>
    </row>
    <row r="1103" spans="1:4" ht="14.5">
      <c r="A1103" t="s">
        <v>8096</v>
      </c>
      <c r="B1103" s="380" t="str">
        <f t="shared" si="17"/>
        <v>227-821</v>
      </c>
      <c r="C1103" s="76">
        <v>9355</v>
      </c>
      <c r="D1103" s="76">
        <v>9396</v>
      </c>
    </row>
    <row r="1104" spans="1:4" ht="14.5">
      <c r="A1104" t="s">
        <v>8097</v>
      </c>
      <c r="B1104" s="380" t="str">
        <f t="shared" si="17"/>
        <v>227-824</v>
      </c>
      <c r="C1104" s="76">
        <v>9937</v>
      </c>
      <c r="D1104" s="76">
        <v>10754</v>
      </c>
    </row>
    <row r="1105" spans="1:4" ht="14.5">
      <c r="A1105" t="s">
        <v>8098</v>
      </c>
      <c r="B1105" s="380" t="str">
        <f t="shared" si="17"/>
        <v>227-825</v>
      </c>
      <c r="C1105" s="76">
        <v>10955</v>
      </c>
      <c r="D1105" s="76">
        <v>11251</v>
      </c>
    </row>
    <row r="1106" spans="1:4" ht="14.5">
      <c r="A1106" t="s">
        <v>8099</v>
      </c>
      <c r="B1106" s="380" t="str">
        <f t="shared" si="17"/>
        <v>227-826</v>
      </c>
      <c r="C1106" s="76">
        <v>10065</v>
      </c>
      <c r="D1106" s="76">
        <v>10005</v>
      </c>
    </row>
    <row r="1107" spans="1:4" ht="14.5">
      <c r="A1107" t="s">
        <v>8100</v>
      </c>
      <c r="B1107" s="380" t="str">
        <f t="shared" si="17"/>
        <v>227-827</v>
      </c>
      <c r="C1107" s="76">
        <v>8795</v>
      </c>
      <c r="D1107" s="76">
        <v>10171</v>
      </c>
    </row>
    <row r="1108" spans="1:4" ht="14.5">
      <c r="A1108" t="s">
        <v>8102</v>
      </c>
      <c r="B1108" s="380" t="str">
        <f t="shared" si="17"/>
        <v>227-829</v>
      </c>
      <c r="C1108" s="76">
        <v>9387</v>
      </c>
      <c r="D1108" s="76">
        <v>9064</v>
      </c>
    </row>
    <row r="1109" spans="1:4" ht="14.5">
      <c r="A1109" t="s">
        <v>5279</v>
      </c>
      <c r="B1109" s="380" t="str">
        <f t="shared" si="17"/>
        <v>227-901</v>
      </c>
      <c r="C1109" s="76">
        <v>9047</v>
      </c>
      <c r="D1109" s="76">
        <v>9260</v>
      </c>
    </row>
    <row r="1110" spans="1:4" ht="14.5">
      <c r="A1110" t="s">
        <v>3225</v>
      </c>
      <c r="B1110" s="380" t="str">
        <f t="shared" si="17"/>
        <v>227-904</v>
      </c>
      <c r="C1110" s="76">
        <v>9108</v>
      </c>
      <c r="D1110" s="76">
        <v>9080</v>
      </c>
    </row>
    <row r="1111" spans="1:4" ht="14.5">
      <c r="A1111" t="s">
        <v>8103</v>
      </c>
      <c r="B1111" s="380" t="str">
        <f t="shared" si="17"/>
        <v>227-905</v>
      </c>
      <c r="C1111" s="76">
        <v>10918</v>
      </c>
      <c r="D1111" s="76">
        <v>10472</v>
      </c>
    </row>
    <row r="1112" spans="1:4" ht="14.5">
      <c r="A1112" t="s">
        <v>8105</v>
      </c>
      <c r="B1112" s="380" t="str">
        <f t="shared" si="17"/>
        <v>227-906</v>
      </c>
      <c r="C1112" s="76">
        <v>16897</v>
      </c>
      <c r="D1112" s="76">
        <v>11849</v>
      </c>
    </row>
    <row r="1113" spans="1:4" ht="14.5">
      <c r="A1113" t="s">
        <v>5280</v>
      </c>
      <c r="B1113" s="380" t="str">
        <f t="shared" si="17"/>
        <v>227-907</v>
      </c>
      <c r="C1113" s="76">
        <v>9526</v>
      </c>
      <c r="D1113" s="76">
        <v>9630</v>
      </c>
    </row>
    <row r="1114" spans="1:4" ht="14.5">
      <c r="A1114" t="s">
        <v>5281</v>
      </c>
      <c r="B1114" s="380" t="str">
        <f t="shared" si="17"/>
        <v>227-909</v>
      </c>
      <c r="C1114" s="76">
        <v>7514</v>
      </c>
      <c r="D1114" s="76">
        <v>8444</v>
      </c>
    </row>
    <row r="1115" spans="1:4" ht="14.5">
      <c r="A1115" t="s">
        <v>3226</v>
      </c>
      <c r="B1115" s="380" t="str">
        <f t="shared" si="17"/>
        <v>227-910</v>
      </c>
      <c r="C1115" s="76">
        <v>9700</v>
      </c>
      <c r="D1115" s="76">
        <v>10015</v>
      </c>
    </row>
    <row r="1116" spans="1:4" ht="14.5">
      <c r="A1116" t="s">
        <v>5282</v>
      </c>
      <c r="B1116" s="380" t="str">
        <f t="shared" si="17"/>
        <v>227-912</v>
      </c>
      <c r="C1116" s="76">
        <v>8941</v>
      </c>
      <c r="D1116" s="76">
        <v>9130</v>
      </c>
    </row>
    <row r="1117" spans="1:4" ht="14.5">
      <c r="A1117" t="s">
        <v>5283</v>
      </c>
      <c r="B1117" s="380" t="str">
        <f t="shared" si="17"/>
        <v>227-913</v>
      </c>
      <c r="C1117" s="76">
        <v>7744</v>
      </c>
      <c r="D1117" s="76">
        <v>7826</v>
      </c>
    </row>
    <row r="1118" spans="1:4" ht="14.5">
      <c r="A1118" t="s">
        <v>8520</v>
      </c>
      <c r="B1118" s="380" t="str">
        <f t="shared" si="17"/>
        <v>227-950</v>
      </c>
      <c r="C1118" s="76">
        <v>11770</v>
      </c>
      <c r="D1118" s="76">
        <v>11849</v>
      </c>
    </row>
    <row r="1119" spans="1:4" ht="14.5">
      <c r="A1119" t="s">
        <v>5888</v>
      </c>
      <c r="B1119" s="380" t="str">
        <f t="shared" si="17"/>
        <v>228-901</v>
      </c>
      <c r="C1119" s="76">
        <v>11472</v>
      </c>
      <c r="D1119" s="76">
        <v>11522</v>
      </c>
    </row>
    <row r="1120" spans="1:4" ht="14.5">
      <c r="A1120" t="s">
        <v>5284</v>
      </c>
      <c r="B1120" s="380" t="str">
        <f t="shared" si="17"/>
        <v>228-903</v>
      </c>
      <c r="C1120" s="76">
        <v>11495</v>
      </c>
      <c r="D1120" s="76">
        <v>11276</v>
      </c>
    </row>
    <row r="1121" spans="1:4" ht="14.5">
      <c r="A1121" t="s">
        <v>5889</v>
      </c>
      <c r="B1121" s="380" t="str">
        <f t="shared" si="17"/>
        <v>228-904</v>
      </c>
      <c r="C1121" s="76">
        <v>12014</v>
      </c>
      <c r="D1121" s="76">
        <v>11849</v>
      </c>
    </row>
    <row r="1122" spans="1:4" ht="14.5">
      <c r="A1122" t="s">
        <v>5890</v>
      </c>
      <c r="B1122" s="380" t="str">
        <f t="shared" si="17"/>
        <v>228-905</v>
      </c>
      <c r="C1122" s="76">
        <v>11770</v>
      </c>
      <c r="D1122" s="76">
        <v>11849</v>
      </c>
    </row>
    <row r="1123" spans="1:4" ht="14.5">
      <c r="A1123" t="s">
        <v>4736</v>
      </c>
      <c r="B1123" s="380" t="str">
        <f t="shared" si="17"/>
        <v>229-901</v>
      </c>
      <c r="C1123" s="76">
        <v>11770</v>
      </c>
      <c r="D1123" s="76">
        <v>11680</v>
      </c>
    </row>
    <row r="1124" spans="1:4" ht="14.5">
      <c r="A1124" t="s">
        <v>5285</v>
      </c>
      <c r="B1124" s="380" t="str">
        <f t="shared" si="17"/>
        <v>229-903</v>
      </c>
      <c r="C1124" s="76">
        <v>10435</v>
      </c>
      <c r="D1124" s="76">
        <v>9982</v>
      </c>
    </row>
    <row r="1125" spans="1:4" ht="14.5">
      <c r="A1125" t="s">
        <v>3227</v>
      </c>
      <c r="B1125" s="380" t="str">
        <f t="shared" si="17"/>
        <v>229-904</v>
      </c>
      <c r="C1125" s="76">
        <v>10509</v>
      </c>
      <c r="D1125" s="76">
        <v>10286</v>
      </c>
    </row>
    <row r="1126" spans="1:4" ht="14.5">
      <c r="A1126" t="s">
        <v>3228</v>
      </c>
      <c r="B1126" s="380" t="str">
        <f t="shared" si="17"/>
        <v>229-905</v>
      </c>
      <c r="C1126" s="76">
        <v>12717</v>
      </c>
      <c r="D1126" s="76">
        <v>11849</v>
      </c>
    </row>
    <row r="1127" spans="1:4" ht="14.5">
      <c r="A1127" t="s">
        <v>3229</v>
      </c>
      <c r="B1127" s="380" t="str">
        <f t="shared" si="17"/>
        <v>229-906</v>
      </c>
      <c r="C1127" s="76">
        <v>12126</v>
      </c>
      <c r="D1127" s="76">
        <v>11849</v>
      </c>
    </row>
    <row r="1128" spans="1:4" ht="14.5">
      <c r="A1128" t="s">
        <v>5286</v>
      </c>
      <c r="B1128" s="380" t="str">
        <f t="shared" si="17"/>
        <v>230-901</v>
      </c>
      <c r="C1128" s="76">
        <v>11152</v>
      </c>
      <c r="D1128" s="76">
        <v>10906</v>
      </c>
    </row>
    <row r="1129" spans="1:4" ht="14.5">
      <c r="A1129" t="s">
        <v>5287</v>
      </c>
      <c r="B1129" s="380" t="str">
        <f t="shared" si="17"/>
        <v>230-902</v>
      </c>
      <c r="C1129" s="76">
        <v>9928</v>
      </c>
      <c r="D1129" s="76">
        <v>9735</v>
      </c>
    </row>
    <row r="1130" spans="1:4" ht="14.5">
      <c r="A1130" t="s">
        <v>3230</v>
      </c>
      <c r="B1130" s="380" t="str">
        <f t="shared" si="17"/>
        <v>230-903</v>
      </c>
      <c r="C1130" s="76">
        <v>10730</v>
      </c>
      <c r="D1130" s="76">
        <v>11402</v>
      </c>
    </row>
    <row r="1131" spans="1:4" ht="14.5">
      <c r="A1131" t="s">
        <v>5891</v>
      </c>
      <c r="B1131" s="380" t="str">
        <f t="shared" si="17"/>
        <v>230-904</v>
      </c>
      <c r="C1131" s="76">
        <v>12121</v>
      </c>
      <c r="D1131" s="76">
        <v>11849</v>
      </c>
    </row>
    <row r="1132" spans="1:4" ht="14.5">
      <c r="A1132" t="s">
        <v>3231</v>
      </c>
      <c r="B1132" s="380" t="str">
        <f t="shared" si="17"/>
        <v>230-905</v>
      </c>
      <c r="C1132" s="76">
        <v>10426</v>
      </c>
      <c r="D1132" s="76">
        <v>10456</v>
      </c>
    </row>
    <row r="1133" spans="1:4" ht="14.5">
      <c r="A1133" t="s">
        <v>3232</v>
      </c>
      <c r="B1133" s="380" t="str">
        <f t="shared" si="17"/>
        <v>230-906</v>
      </c>
      <c r="C1133" s="76">
        <v>8825</v>
      </c>
      <c r="D1133" s="76">
        <v>9456</v>
      </c>
    </row>
    <row r="1134" spans="1:4" ht="14.5">
      <c r="A1134" t="s">
        <v>5288</v>
      </c>
      <c r="B1134" s="380" t="str">
        <f t="shared" si="17"/>
        <v>230-908</v>
      </c>
      <c r="C1134" s="76">
        <v>10389</v>
      </c>
      <c r="D1134" s="76">
        <v>10783</v>
      </c>
    </row>
    <row r="1135" spans="1:4" ht="14.5">
      <c r="A1135" t="s">
        <v>5892</v>
      </c>
      <c r="B1135" s="380" t="str">
        <f t="shared" si="17"/>
        <v>231-901</v>
      </c>
      <c r="C1135" s="76">
        <v>12450</v>
      </c>
      <c r="D1135" s="76">
        <v>11849</v>
      </c>
    </row>
    <row r="1136" spans="1:4" ht="14.5">
      <c r="A1136" t="s">
        <v>5289</v>
      </c>
      <c r="B1136" s="380" t="str">
        <f t="shared" si="17"/>
        <v>231-902</v>
      </c>
      <c r="C1136" s="76">
        <v>31476</v>
      </c>
      <c r="D1136" s="76">
        <v>11849</v>
      </c>
    </row>
    <row r="1137" spans="1:4" ht="14.5">
      <c r="A1137" t="s">
        <v>3233</v>
      </c>
      <c r="B1137" s="380" t="str">
        <f t="shared" si="17"/>
        <v>232-901</v>
      </c>
      <c r="C1137" s="76">
        <v>11104</v>
      </c>
      <c r="D1137" s="76">
        <v>10920</v>
      </c>
    </row>
    <row r="1138" spans="1:4" ht="14.5">
      <c r="A1138" t="s">
        <v>3234</v>
      </c>
      <c r="B1138" s="380" t="str">
        <f t="shared" si="17"/>
        <v>232-902</v>
      </c>
      <c r="C1138" s="76">
        <v>13990</v>
      </c>
      <c r="D1138" s="76">
        <v>11849</v>
      </c>
    </row>
    <row r="1139" spans="1:4" ht="14.5">
      <c r="A1139" t="s">
        <v>3235</v>
      </c>
      <c r="B1139" s="380" t="str">
        <f t="shared" si="17"/>
        <v>232-903</v>
      </c>
      <c r="C1139" s="76">
        <v>9852</v>
      </c>
      <c r="D1139" s="76">
        <v>9638</v>
      </c>
    </row>
    <row r="1140" spans="1:4" ht="14.5">
      <c r="A1140" t="s">
        <v>5893</v>
      </c>
      <c r="B1140" s="380" t="str">
        <f t="shared" si="17"/>
        <v>232-904</v>
      </c>
      <c r="C1140" s="76">
        <v>12541</v>
      </c>
      <c r="D1140" s="76">
        <v>11849</v>
      </c>
    </row>
    <row r="1141" spans="1:4" ht="14.5">
      <c r="A1141" t="s">
        <v>3236</v>
      </c>
      <c r="B1141" s="380" t="str">
        <f t="shared" si="17"/>
        <v>233-901</v>
      </c>
      <c r="C1141" s="76">
        <v>9686</v>
      </c>
      <c r="D1141" s="76">
        <v>9523</v>
      </c>
    </row>
    <row r="1142" spans="1:4" ht="14.5">
      <c r="A1142" t="s">
        <v>5290</v>
      </c>
      <c r="B1142" s="380" t="str">
        <f t="shared" si="17"/>
        <v>233-903</v>
      </c>
      <c r="C1142" s="76">
        <v>16823</v>
      </c>
      <c r="D1142" s="76">
        <v>11849</v>
      </c>
    </row>
    <row r="1143" spans="1:4" ht="14.5">
      <c r="A1143" t="s">
        <v>8107</v>
      </c>
      <c r="B1143" s="380" t="str">
        <f t="shared" si="17"/>
        <v>234-801</v>
      </c>
      <c r="C1143" s="76">
        <v>11839</v>
      </c>
      <c r="D1143" s="76">
        <v>11849</v>
      </c>
    </row>
    <row r="1144" spans="1:4" ht="14.5">
      <c r="A1144" t="s">
        <v>3237</v>
      </c>
      <c r="B1144" s="380" t="str">
        <f t="shared" si="17"/>
        <v>234-902</v>
      </c>
      <c r="C1144" s="76">
        <v>8907</v>
      </c>
      <c r="D1144" s="76">
        <v>8697</v>
      </c>
    </row>
    <row r="1145" spans="1:4" ht="14.5">
      <c r="A1145" t="s">
        <v>5291</v>
      </c>
      <c r="B1145" s="380" t="str">
        <f t="shared" si="17"/>
        <v>234-903</v>
      </c>
      <c r="C1145" s="76">
        <v>11629</v>
      </c>
      <c r="D1145" s="76">
        <v>11392</v>
      </c>
    </row>
    <row r="1146" spans="1:4" ht="14.5">
      <c r="A1146" t="s">
        <v>3238</v>
      </c>
      <c r="B1146" s="380" t="str">
        <f t="shared" si="17"/>
        <v>234-904</v>
      </c>
      <c r="C1146" s="76">
        <v>10960</v>
      </c>
      <c r="D1146" s="76">
        <v>10876</v>
      </c>
    </row>
    <row r="1147" spans="1:4" ht="14.5">
      <c r="A1147" t="s">
        <v>3239</v>
      </c>
      <c r="B1147" s="380" t="str">
        <f t="shared" si="17"/>
        <v>234-905</v>
      </c>
      <c r="C1147" s="76">
        <v>11036</v>
      </c>
      <c r="D1147" s="76">
        <v>10815</v>
      </c>
    </row>
    <row r="1148" spans="1:4" ht="14.5">
      <c r="A1148" t="s">
        <v>3240</v>
      </c>
      <c r="B1148" s="380" t="str">
        <f t="shared" si="17"/>
        <v>234-906</v>
      </c>
      <c r="C1148" s="76">
        <v>9659</v>
      </c>
      <c r="D1148" s="76">
        <v>9498</v>
      </c>
    </row>
    <row r="1149" spans="1:4" ht="14.5">
      <c r="A1149" t="s">
        <v>5292</v>
      </c>
      <c r="B1149" s="380" t="str">
        <f t="shared" si="17"/>
        <v>234-907</v>
      </c>
      <c r="C1149" s="76">
        <v>10297</v>
      </c>
      <c r="D1149" s="76">
        <v>10012</v>
      </c>
    </row>
    <row r="1150" spans="1:4" ht="14.5">
      <c r="A1150" t="s">
        <v>3241</v>
      </c>
      <c r="B1150" s="380" t="str">
        <f t="shared" si="17"/>
        <v>234-909</v>
      </c>
      <c r="C1150" s="76">
        <v>11864</v>
      </c>
      <c r="D1150" s="76">
        <v>11849</v>
      </c>
    </row>
    <row r="1151" spans="1:4" ht="14.5">
      <c r="A1151" t="s">
        <v>3242</v>
      </c>
      <c r="B1151" s="380" t="str">
        <f t="shared" si="17"/>
        <v>235-901</v>
      </c>
      <c r="C1151" s="76">
        <v>11098</v>
      </c>
      <c r="D1151" s="76">
        <v>11849</v>
      </c>
    </row>
    <row r="1152" spans="1:4" ht="14.5">
      <c r="A1152" t="s">
        <v>3243</v>
      </c>
      <c r="B1152" s="380" t="str">
        <f t="shared" si="17"/>
        <v>235-902</v>
      </c>
      <c r="C1152" s="76">
        <v>8620</v>
      </c>
      <c r="D1152" s="76">
        <v>8725</v>
      </c>
    </row>
    <row r="1153" spans="1:4" ht="14.5">
      <c r="A1153" t="s">
        <v>5293</v>
      </c>
      <c r="B1153" s="380" t="str">
        <f t="shared" si="17"/>
        <v>235-904</v>
      </c>
      <c r="C1153" s="76">
        <v>11292</v>
      </c>
      <c r="D1153" s="76">
        <v>11849</v>
      </c>
    </row>
    <row r="1154" spans="1:4" ht="14.5">
      <c r="A1154" t="s">
        <v>8521</v>
      </c>
      <c r="B1154" s="380" t="str">
        <f t="shared" si="17"/>
        <v>235-950</v>
      </c>
      <c r="C1154" s="76">
        <v>11770</v>
      </c>
      <c r="D1154" s="76">
        <v>11849</v>
      </c>
    </row>
    <row r="1155" spans="1:4" ht="14.5">
      <c r="A1155" t="s">
        <v>8108</v>
      </c>
      <c r="B1155" s="380" t="str">
        <f t="shared" si="17"/>
        <v>236-801</v>
      </c>
      <c r="C1155" s="76">
        <v>21481</v>
      </c>
      <c r="D1155" s="76">
        <v>11849</v>
      </c>
    </row>
    <row r="1156" spans="1:4" ht="14.5">
      <c r="A1156" t="s">
        <v>8109</v>
      </c>
      <c r="B1156" s="380" t="str">
        <f t="shared" ref="B1156:B1219" si="18">CONCATENATE(LEFT(RIGHT(CONCATENATE("000",A1156),6),3),"-",(RIGHT(RIGHT(CONCATENATE("000",A1156),6),3)))</f>
        <v>236-802</v>
      </c>
      <c r="C1156" s="76">
        <v>9005</v>
      </c>
      <c r="D1156" s="76">
        <v>9033</v>
      </c>
    </row>
    <row r="1157" spans="1:4" ht="14.5">
      <c r="A1157" t="s">
        <v>3244</v>
      </c>
      <c r="B1157" s="380" t="str">
        <f t="shared" si="18"/>
        <v>236-901</v>
      </c>
      <c r="C1157" s="76">
        <v>11538</v>
      </c>
      <c r="D1157" s="76">
        <v>11013</v>
      </c>
    </row>
    <row r="1158" spans="1:4" ht="14.5">
      <c r="A1158" t="s">
        <v>3245</v>
      </c>
      <c r="B1158" s="380" t="str">
        <f t="shared" si="18"/>
        <v>236-902</v>
      </c>
      <c r="C1158" s="76">
        <v>8701</v>
      </c>
      <c r="D1158" s="76">
        <v>8939</v>
      </c>
    </row>
    <row r="1159" spans="1:4" ht="14.5">
      <c r="A1159" t="s">
        <v>8110</v>
      </c>
      <c r="B1159" s="380" t="str">
        <f t="shared" si="18"/>
        <v>236-903</v>
      </c>
      <c r="C1159" s="76">
        <v>11770</v>
      </c>
      <c r="D1159" s="76">
        <v>11849</v>
      </c>
    </row>
    <row r="1160" spans="1:4" ht="14.5">
      <c r="A1160" t="s">
        <v>8522</v>
      </c>
      <c r="B1160" s="380" t="str">
        <f t="shared" si="18"/>
        <v>236-950</v>
      </c>
      <c r="C1160" s="76">
        <v>11770</v>
      </c>
      <c r="D1160" s="76">
        <v>11849</v>
      </c>
    </row>
    <row r="1161" spans="1:4" ht="14.5">
      <c r="A1161" t="s">
        <v>3246</v>
      </c>
      <c r="B1161" s="380" t="str">
        <f t="shared" si="18"/>
        <v>237-902</v>
      </c>
      <c r="C1161" s="76">
        <v>11809</v>
      </c>
      <c r="D1161" s="76">
        <v>11715</v>
      </c>
    </row>
    <row r="1162" spans="1:4" ht="14.5">
      <c r="A1162" t="s">
        <v>3247</v>
      </c>
      <c r="B1162" s="380" t="str">
        <f t="shared" si="18"/>
        <v>237-904</v>
      </c>
      <c r="C1162" s="76">
        <v>9781</v>
      </c>
      <c r="D1162" s="76">
        <v>9168</v>
      </c>
    </row>
    <row r="1163" spans="1:4" ht="14.5">
      <c r="A1163" t="s">
        <v>3248</v>
      </c>
      <c r="B1163" s="380" t="str">
        <f t="shared" si="18"/>
        <v>237-905</v>
      </c>
      <c r="C1163" s="76">
        <v>11770</v>
      </c>
      <c r="D1163" s="76">
        <v>11849</v>
      </c>
    </row>
    <row r="1164" spans="1:4" ht="14.5">
      <c r="A1164" t="s">
        <v>5294</v>
      </c>
      <c r="B1164" s="380" t="str">
        <f t="shared" si="18"/>
        <v>238-902</v>
      </c>
      <c r="C1164" s="76">
        <v>9022</v>
      </c>
      <c r="D1164" s="76">
        <v>11849</v>
      </c>
    </row>
    <row r="1165" spans="1:4" ht="14.5">
      <c r="A1165" t="s">
        <v>5894</v>
      </c>
      <c r="B1165" s="380" t="str">
        <f t="shared" si="18"/>
        <v>238-904</v>
      </c>
      <c r="C1165" s="76">
        <v>10542</v>
      </c>
      <c r="D1165" s="76">
        <v>11849</v>
      </c>
    </row>
    <row r="1166" spans="1:4" ht="14.5">
      <c r="A1166" t="s">
        <v>5295</v>
      </c>
      <c r="B1166" s="380" t="str">
        <f t="shared" si="18"/>
        <v>239-901</v>
      </c>
      <c r="C1166" s="76">
        <v>9354</v>
      </c>
      <c r="D1166" s="76">
        <v>9471</v>
      </c>
    </row>
    <row r="1167" spans="1:4" ht="14.5">
      <c r="A1167" t="s">
        <v>5296</v>
      </c>
      <c r="B1167" s="380" t="str">
        <f t="shared" si="18"/>
        <v>239-903</v>
      </c>
      <c r="C1167" s="76">
        <v>10749</v>
      </c>
      <c r="D1167" s="76">
        <v>11849</v>
      </c>
    </row>
    <row r="1168" spans="1:4" ht="14.5">
      <c r="A1168" t="s">
        <v>8112</v>
      </c>
      <c r="B1168" s="380" t="str">
        <f t="shared" si="18"/>
        <v>240-503</v>
      </c>
      <c r="C1168" s="76">
        <v>8335</v>
      </c>
      <c r="D1168" s="76">
        <v>8335</v>
      </c>
    </row>
    <row r="1169" spans="1:4" ht="14.5">
      <c r="A1169" t="s">
        <v>8114</v>
      </c>
      <c r="B1169" s="380" t="str">
        <f t="shared" si="18"/>
        <v>240-801</v>
      </c>
      <c r="C1169" s="76">
        <v>11770</v>
      </c>
      <c r="D1169" s="76">
        <v>11849</v>
      </c>
    </row>
    <row r="1170" spans="1:4" ht="14.5">
      <c r="A1170" t="s">
        <v>3249</v>
      </c>
      <c r="B1170" s="380" t="str">
        <f t="shared" si="18"/>
        <v>240-901</v>
      </c>
      <c r="C1170" s="76">
        <v>9349</v>
      </c>
      <c r="D1170" s="76">
        <v>9291</v>
      </c>
    </row>
    <row r="1171" spans="1:4" ht="14.5">
      <c r="A1171" t="s">
        <v>3250</v>
      </c>
      <c r="B1171" s="380" t="str">
        <f t="shared" si="18"/>
        <v>240-903</v>
      </c>
      <c r="C1171" s="76">
        <v>8181</v>
      </c>
      <c r="D1171" s="76">
        <v>9313</v>
      </c>
    </row>
    <row r="1172" spans="1:4" ht="14.5">
      <c r="A1172" t="s">
        <v>5297</v>
      </c>
      <c r="B1172" s="380" t="str">
        <f t="shared" si="18"/>
        <v>240-904</v>
      </c>
      <c r="C1172" s="76">
        <v>14099</v>
      </c>
      <c r="D1172" s="76">
        <v>11849</v>
      </c>
    </row>
    <row r="1173" spans="1:4" ht="14.5">
      <c r="A1173" t="s">
        <v>5895</v>
      </c>
      <c r="B1173" s="380" t="str">
        <f t="shared" si="18"/>
        <v>241-901</v>
      </c>
      <c r="C1173" s="76">
        <v>9423</v>
      </c>
      <c r="D1173" s="76">
        <v>9797</v>
      </c>
    </row>
    <row r="1174" spans="1:4" ht="14.5">
      <c r="A1174" t="s">
        <v>5298</v>
      </c>
      <c r="B1174" s="380" t="str">
        <f t="shared" si="18"/>
        <v>241-902</v>
      </c>
      <c r="C1174" s="76">
        <v>10750</v>
      </c>
      <c r="D1174" s="76">
        <v>11031</v>
      </c>
    </row>
    <row r="1175" spans="1:4" ht="14.5">
      <c r="A1175" t="s">
        <v>5299</v>
      </c>
      <c r="B1175" s="380" t="str">
        <f t="shared" si="18"/>
        <v>241-903</v>
      </c>
      <c r="C1175" s="76">
        <v>9758</v>
      </c>
      <c r="D1175" s="76">
        <v>10051</v>
      </c>
    </row>
    <row r="1176" spans="1:4" ht="14.5">
      <c r="A1176" t="s">
        <v>5300</v>
      </c>
      <c r="B1176" s="380" t="str">
        <f t="shared" si="18"/>
        <v>241-904</v>
      </c>
      <c r="C1176" s="76">
        <v>9786</v>
      </c>
      <c r="D1176" s="76">
        <v>10110</v>
      </c>
    </row>
    <row r="1177" spans="1:4" ht="14.5">
      <c r="A1177" t="s">
        <v>5301</v>
      </c>
      <c r="B1177" s="380" t="str">
        <f t="shared" si="18"/>
        <v>241-906</v>
      </c>
      <c r="C1177" s="76">
        <v>11703</v>
      </c>
      <c r="D1177" s="76">
        <v>11849</v>
      </c>
    </row>
    <row r="1178" spans="1:4" ht="14.5">
      <c r="A1178" t="s">
        <v>5896</v>
      </c>
      <c r="B1178" s="380" t="str">
        <f t="shared" si="18"/>
        <v>242-902</v>
      </c>
      <c r="C1178" s="76">
        <v>11950</v>
      </c>
      <c r="D1178" s="76">
        <v>11849</v>
      </c>
    </row>
    <row r="1179" spans="1:4" ht="14.5">
      <c r="A1179" t="s">
        <v>5302</v>
      </c>
      <c r="B1179" s="380" t="str">
        <f t="shared" si="18"/>
        <v>242-903</v>
      </c>
      <c r="C1179" s="76">
        <v>8639</v>
      </c>
      <c r="D1179" s="76">
        <v>10554</v>
      </c>
    </row>
    <row r="1180" spans="1:4" ht="14.5">
      <c r="A1180" t="s">
        <v>5897</v>
      </c>
      <c r="B1180" s="380" t="str">
        <f t="shared" si="18"/>
        <v>242-905</v>
      </c>
      <c r="C1180" s="76">
        <v>8222</v>
      </c>
      <c r="D1180" s="76">
        <v>11849</v>
      </c>
    </row>
    <row r="1181" spans="1:4" ht="14.5">
      <c r="A1181" t="s">
        <v>5303</v>
      </c>
      <c r="B1181" s="380" t="str">
        <f t="shared" si="18"/>
        <v>242-906</v>
      </c>
      <c r="C1181" s="76">
        <v>12336</v>
      </c>
      <c r="D1181" s="76">
        <v>11849</v>
      </c>
    </row>
    <row r="1182" spans="1:4" ht="14.5">
      <c r="A1182" t="s">
        <v>3251</v>
      </c>
      <c r="B1182" s="380" t="str">
        <f t="shared" si="18"/>
        <v>243-901</v>
      </c>
      <c r="C1182" s="76">
        <v>9287</v>
      </c>
      <c r="D1182" s="76">
        <v>9429</v>
      </c>
    </row>
    <row r="1183" spans="1:4" ht="14.5">
      <c r="A1183" t="s">
        <v>5304</v>
      </c>
      <c r="B1183" s="380" t="str">
        <f t="shared" si="18"/>
        <v>243-902</v>
      </c>
      <c r="C1183" s="76">
        <v>12517</v>
      </c>
      <c r="D1183" s="76">
        <v>11849</v>
      </c>
    </row>
    <row r="1184" spans="1:4" ht="14.5">
      <c r="A1184" t="s">
        <v>5305</v>
      </c>
      <c r="B1184" s="380" t="str">
        <f t="shared" si="18"/>
        <v>243-903</v>
      </c>
      <c r="C1184" s="76">
        <v>9475</v>
      </c>
      <c r="D1184" s="76">
        <v>9638</v>
      </c>
    </row>
    <row r="1185" spans="1:4" ht="14.5">
      <c r="A1185" t="s">
        <v>3252</v>
      </c>
      <c r="B1185" s="380" t="str">
        <f t="shared" si="18"/>
        <v>243-905</v>
      </c>
      <c r="C1185" s="76">
        <v>8298</v>
      </c>
      <c r="D1185" s="76">
        <v>8338</v>
      </c>
    </row>
    <row r="1186" spans="1:4" ht="14.5">
      <c r="A1186" t="s">
        <v>3253</v>
      </c>
      <c r="B1186" s="380" t="str">
        <f t="shared" si="18"/>
        <v>243-906</v>
      </c>
      <c r="C1186" s="76">
        <v>11770</v>
      </c>
      <c r="D1186" s="76">
        <v>11361</v>
      </c>
    </row>
    <row r="1187" spans="1:4" ht="14.5">
      <c r="A1187" t="s">
        <v>8523</v>
      </c>
      <c r="B1187" s="380" t="str">
        <f t="shared" si="18"/>
        <v>243-950</v>
      </c>
      <c r="C1187" s="76">
        <v>11770</v>
      </c>
      <c r="D1187" s="76">
        <v>11849</v>
      </c>
    </row>
    <row r="1188" spans="1:4" ht="14.5">
      <c r="A1188" t="s">
        <v>5898</v>
      </c>
      <c r="B1188" s="380" t="str">
        <f t="shared" si="18"/>
        <v>244-901</v>
      </c>
      <c r="C1188" s="76">
        <v>13705</v>
      </c>
      <c r="D1188" s="76">
        <v>11849</v>
      </c>
    </row>
    <row r="1189" spans="1:4" ht="14.5">
      <c r="A1189" t="s">
        <v>5306</v>
      </c>
      <c r="B1189" s="380" t="str">
        <f t="shared" si="18"/>
        <v>244-903</v>
      </c>
      <c r="C1189" s="76">
        <v>9172</v>
      </c>
      <c r="D1189" s="76">
        <v>9081</v>
      </c>
    </row>
    <row r="1190" spans="1:4" ht="14.5">
      <c r="A1190" t="s">
        <v>3254</v>
      </c>
      <c r="B1190" s="380" t="str">
        <f t="shared" si="18"/>
        <v>244-905</v>
      </c>
      <c r="C1190" s="76">
        <v>11383</v>
      </c>
      <c r="D1190" s="76">
        <v>11359</v>
      </c>
    </row>
    <row r="1191" spans="1:4" ht="14.5">
      <c r="A1191" t="s">
        <v>3255</v>
      </c>
      <c r="B1191" s="380" t="str">
        <f t="shared" si="18"/>
        <v>245-901</v>
      </c>
      <c r="C1191" s="76">
        <v>13325</v>
      </c>
      <c r="D1191" s="76">
        <v>11849</v>
      </c>
    </row>
    <row r="1192" spans="1:4" ht="14.5">
      <c r="A1192" t="s">
        <v>3256</v>
      </c>
      <c r="B1192" s="380" t="str">
        <f t="shared" si="18"/>
        <v>245-902</v>
      </c>
      <c r="C1192" s="76">
        <v>11767</v>
      </c>
      <c r="D1192" s="76">
        <v>11849</v>
      </c>
    </row>
    <row r="1193" spans="1:4" ht="14.5">
      <c r="A1193" t="s">
        <v>3257</v>
      </c>
      <c r="B1193" s="380" t="str">
        <f t="shared" si="18"/>
        <v>245-903</v>
      </c>
      <c r="C1193" s="76">
        <v>10512</v>
      </c>
      <c r="D1193" s="76">
        <v>11139</v>
      </c>
    </row>
    <row r="1194" spans="1:4" ht="14.5">
      <c r="A1194" t="s">
        <v>3258</v>
      </c>
      <c r="B1194" s="380" t="str">
        <f t="shared" si="18"/>
        <v>245-904</v>
      </c>
      <c r="C1194" s="76">
        <v>14397</v>
      </c>
      <c r="D1194" s="76">
        <v>11849</v>
      </c>
    </row>
    <row r="1195" spans="1:4" ht="14.5">
      <c r="A1195" t="s">
        <v>8115</v>
      </c>
      <c r="B1195" s="380" t="str">
        <f t="shared" si="18"/>
        <v>246-801</v>
      </c>
      <c r="C1195" s="76">
        <v>9134</v>
      </c>
      <c r="D1195" s="76">
        <v>9169</v>
      </c>
    </row>
    <row r="1196" spans="1:4" ht="14.5">
      <c r="A1196" t="s">
        <v>8116</v>
      </c>
      <c r="B1196" s="380" t="str">
        <f t="shared" si="18"/>
        <v>246-802</v>
      </c>
      <c r="C1196" s="76">
        <v>9554</v>
      </c>
      <c r="D1196" s="76">
        <v>9457</v>
      </c>
    </row>
    <row r="1197" spans="1:4" ht="14.5">
      <c r="A1197" t="s">
        <v>3259</v>
      </c>
      <c r="B1197" s="380" t="str">
        <f t="shared" si="18"/>
        <v>246-902</v>
      </c>
      <c r="C1197" s="76">
        <v>11770</v>
      </c>
      <c r="D1197" s="76">
        <v>11564</v>
      </c>
    </row>
    <row r="1198" spans="1:4" ht="14.5">
      <c r="A1198" t="s">
        <v>3260</v>
      </c>
      <c r="B1198" s="380" t="str">
        <f t="shared" si="18"/>
        <v>246-904</v>
      </c>
      <c r="C1198" s="76">
        <v>9164</v>
      </c>
      <c r="D1198" s="76">
        <v>9082</v>
      </c>
    </row>
    <row r="1199" spans="1:4" ht="14.5">
      <c r="A1199" t="s">
        <v>3261</v>
      </c>
      <c r="B1199" s="380" t="str">
        <f t="shared" si="18"/>
        <v>246-905</v>
      </c>
      <c r="C1199" s="76">
        <v>11547</v>
      </c>
      <c r="D1199" s="76">
        <v>11543</v>
      </c>
    </row>
    <row r="1200" spans="1:4" ht="14.5">
      <c r="A1200" t="s">
        <v>3262</v>
      </c>
      <c r="B1200" s="380" t="str">
        <f t="shared" si="18"/>
        <v>246-906</v>
      </c>
      <c r="C1200" s="76">
        <v>9516</v>
      </c>
      <c r="D1200" s="76">
        <v>9353</v>
      </c>
    </row>
    <row r="1201" spans="1:4" ht="14.5">
      <c r="A1201" t="s">
        <v>5307</v>
      </c>
      <c r="B1201" s="380" t="str">
        <f t="shared" si="18"/>
        <v>246-907</v>
      </c>
      <c r="C1201" s="76">
        <v>9552</v>
      </c>
      <c r="D1201" s="76">
        <v>9982</v>
      </c>
    </row>
    <row r="1202" spans="1:4" ht="14.5">
      <c r="A1202" t="s">
        <v>3263</v>
      </c>
      <c r="B1202" s="380" t="str">
        <f t="shared" si="18"/>
        <v>246-908</v>
      </c>
      <c r="C1202" s="76">
        <v>8654</v>
      </c>
      <c r="D1202" s="76">
        <v>8628</v>
      </c>
    </row>
    <row r="1203" spans="1:4" ht="14.5">
      <c r="A1203" t="s">
        <v>4857</v>
      </c>
      <c r="B1203" s="380" t="str">
        <f t="shared" si="18"/>
        <v>246-909</v>
      </c>
      <c r="C1203" s="76">
        <v>8239</v>
      </c>
      <c r="D1203" s="76">
        <v>8151</v>
      </c>
    </row>
    <row r="1204" spans="1:4" ht="14.5">
      <c r="A1204" t="s">
        <v>3264</v>
      </c>
      <c r="B1204" s="380" t="str">
        <f t="shared" si="18"/>
        <v>246-911</v>
      </c>
      <c r="C1204" s="76">
        <v>10125</v>
      </c>
      <c r="D1204" s="76">
        <v>10083</v>
      </c>
    </row>
    <row r="1205" spans="1:4" ht="14.5">
      <c r="A1205" t="s">
        <v>3265</v>
      </c>
      <c r="B1205" s="380" t="str">
        <f t="shared" si="18"/>
        <v>246-912</v>
      </c>
      <c r="C1205" s="76">
        <v>11462</v>
      </c>
      <c r="D1205" s="76">
        <v>11270</v>
      </c>
    </row>
    <row r="1206" spans="1:4" ht="14.5">
      <c r="A1206" t="s">
        <v>3266</v>
      </c>
      <c r="B1206" s="380" t="str">
        <f t="shared" si="18"/>
        <v>246-913</v>
      </c>
      <c r="C1206" s="76">
        <v>8382</v>
      </c>
      <c r="D1206" s="76">
        <v>8341</v>
      </c>
    </row>
    <row r="1207" spans="1:4" ht="14.5">
      <c r="A1207" t="s">
        <v>5899</v>
      </c>
      <c r="B1207" s="380" t="str">
        <f t="shared" si="18"/>
        <v>246-914</v>
      </c>
      <c r="C1207" s="76">
        <v>11280</v>
      </c>
      <c r="D1207" s="76">
        <v>11354</v>
      </c>
    </row>
    <row r="1208" spans="1:4" ht="14.5">
      <c r="A1208" t="s">
        <v>3267</v>
      </c>
      <c r="B1208" s="380" t="str">
        <f t="shared" si="18"/>
        <v>247-901</v>
      </c>
      <c r="C1208" s="76">
        <v>8115</v>
      </c>
      <c r="D1208" s="76">
        <v>8500</v>
      </c>
    </row>
    <row r="1209" spans="1:4" ht="14.5">
      <c r="A1209" t="s">
        <v>3268</v>
      </c>
      <c r="B1209" s="380" t="str">
        <f t="shared" si="18"/>
        <v>247-903</v>
      </c>
      <c r="C1209" s="76">
        <v>8053</v>
      </c>
      <c r="D1209" s="76">
        <v>8264</v>
      </c>
    </row>
    <row r="1210" spans="1:4" ht="14.5">
      <c r="A1210" t="s">
        <v>3269</v>
      </c>
      <c r="B1210" s="380" t="str">
        <f t="shared" si="18"/>
        <v>247-904</v>
      </c>
      <c r="C1210" s="76">
        <v>9978</v>
      </c>
      <c r="D1210" s="76">
        <v>10059</v>
      </c>
    </row>
    <row r="1211" spans="1:4" ht="14.5">
      <c r="A1211" t="s">
        <v>3270</v>
      </c>
      <c r="B1211" s="380" t="str">
        <f t="shared" si="18"/>
        <v>247-906</v>
      </c>
      <c r="C1211" s="76">
        <v>10907</v>
      </c>
      <c r="D1211" s="76">
        <v>10718</v>
      </c>
    </row>
    <row r="1212" spans="1:4" ht="14.5">
      <c r="A1212" t="s">
        <v>5308</v>
      </c>
      <c r="B1212" s="380" t="str">
        <f t="shared" si="18"/>
        <v>248-901</v>
      </c>
      <c r="C1212" s="76">
        <v>8732</v>
      </c>
      <c r="D1212" s="76">
        <v>11849</v>
      </c>
    </row>
    <row r="1213" spans="1:4" ht="14.5">
      <c r="A1213" t="s">
        <v>5309</v>
      </c>
      <c r="B1213" s="380" t="str">
        <f t="shared" si="18"/>
        <v>248-902</v>
      </c>
      <c r="C1213" s="76">
        <v>15597</v>
      </c>
      <c r="D1213" s="76">
        <v>11849</v>
      </c>
    </row>
    <row r="1214" spans="1:4" ht="14.5">
      <c r="A1214" t="s">
        <v>3271</v>
      </c>
      <c r="B1214" s="380" t="str">
        <f t="shared" si="18"/>
        <v>249-901</v>
      </c>
      <c r="C1214" s="76">
        <v>11353</v>
      </c>
      <c r="D1214" s="76">
        <v>11849</v>
      </c>
    </row>
    <row r="1215" spans="1:4" ht="14.5">
      <c r="A1215" t="s">
        <v>5310</v>
      </c>
      <c r="B1215" s="380" t="str">
        <f t="shared" si="18"/>
        <v>249-902</v>
      </c>
      <c r="C1215" s="76">
        <v>9127</v>
      </c>
      <c r="D1215" s="76">
        <v>9851</v>
      </c>
    </row>
    <row r="1216" spans="1:4" ht="14.5">
      <c r="A1216" t="s">
        <v>5311</v>
      </c>
      <c r="B1216" s="380" t="str">
        <f t="shared" si="18"/>
        <v>249-903</v>
      </c>
      <c r="C1216" s="76">
        <v>9665</v>
      </c>
      <c r="D1216" s="76">
        <v>9758</v>
      </c>
    </row>
    <row r="1217" spans="1:4" ht="14.5">
      <c r="A1217" t="s">
        <v>5312</v>
      </c>
      <c r="B1217" s="380" t="str">
        <f t="shared" si="18"/>
        <v>249-904</v>
      </c>
      <c r="C1217" s="76">
        <v>11914</v>
      </c>
      <c r="D1217" s="76">
        <v>11849</v>
      </c>
    </row>
    <row r="1218" spans="1:4" ht="14.5">
      <c r="A1218" t="s">
        <v>5313</v>
      </c>
      <c r="B1218" s="380" t="str">
        <f t="shared" si="18"/>
        <v>249-905</v>
      </c>
      <c r="C1218" s="76">
        <v>8699</v>
      </c>
      <c r="D1218" s="76">
        <v>9429</v>
      </c>
    </row>
    <row r="1219" spans="1:4" ht="14.5">
      <c r="A1219" t="s">
        <v>3272</v>
      </c>
      <c r="B1219" s="380" t="str">
        <f t="shared" si="18"/>
        <v>249-906</v>
      </c>
      <c r="C1219" s="76">
        <v>8903</v>
      </c>
      <c r="D1219" s="76">
        <v>9723</v>
      </c>
    </row>
    <row r="1220" spans="1:4" ht="14.5">
      <c r="A1220" t="s">
        <v>3273</v>
      </c>
      <c r="B1220" s="380" t="str">
        <f t="shared" ref="B1220:B1234" si="19">CONCATENATE(LEFT(RIGHT(CONCATENATE("000",A1220),6),3),"-",(RIGHT(RIGHT(CONCATENATE("000",A1220),6),3)))</f>
        <v>249-908</v>
      </c>
      <c r="C1220" s="76">
        <v>9657</v>
      </c>
      <c r="D1220" s="76">
        <v>11849</v>
      </c>
    </row>
    <row r="1221" spans="1:4" ht="14.5">
      <c r="A1221" t="s">
        <v>5314</v>
      </c>
      <c r="B1221" s="380" t="str">
        <f t="shared" si="19"/>
        <v>250-902</v>
      </c>
      <c r="C1221" s="76">
        <v>10232</v>
      </c>
      <c r="D1221" s="76">
        <v>11849</v>
      </c>
    </row>
    <row r="1222" spans="1:4" ht="14.5">
      <c r="A1222" t="s">
        <v>5900</v>
      </c>
      <c r="B1222" s="380" t="str">
        <f t="shared" si="19"/>
        <v>250-903</v>
      </c>
      <c r="C1222" s="76">
        <v>9800</v>
      </c>
      <c r="D1222" s="76">
        <v>10348</v>
      </c>
    </row>
    <row r="1223" spans="1:4" ht="14.5">
      <c r="A1223" t="s">
        <v>5315</v>
      </c>
      <c r="B1223" s="380" t="str">
        <f t="shared" si="19"/>
        <v>250-904</v>
      </c>
      <c r="C1223" s="76">
        <v>10995</v>
      </c>
      <c r="D1223" s="76">
        <v>11466</v>
      </c>
    </row>
    <row r="1224" spans="1:4" ht="14.5">
      <c r="A1224" t="s">
        <v>5316</v>
      </c>
      <c r="B1224" s="380" t="str">
        <f t="shared" si="19"/>
        <v>250-905</v>
      </c>
      <c r="C1224" s="76">
        <v>12956</v>
      </c>
      <c r="D1224" s="76">
        <v>11849</v>
      </c>
    </row>
    <row r="1225" spans="1:4" ht="14.5">
      <c r="A1225" t="s">
        <v>5317</v>
      </c>
      <c r="B1225" s="380" t="str">
        <f t="shared" si="19"/>
        <v>250-906</v>
      </c>
      <c r="C1225" s="76">
        <v>11770</v>
      </c>
      <c r="D1225" s="76">
        <v>11379</v>
      </c>
    </row>
    <row r="1226" spans="1:4" ht="14.5">
      <c r="A1226" t="s">
        <v>5901</v>
      </c>
      <c r="B1226" s="380" t="str">
        <f t="shared" si="19"/>
        <v>250-907</v>
      </c>
      <c r="C1226" s="76">
        <v>11132</v>
      </c>
      <c r="D1226" s="76">
        <v>10164</v>
      </c>
    </row>
    <row r="1227" spans="1:4" ht="14.5">
      <c r="A1227" t="s">
        <v>5318</v>
      </c>
      <c r="B1227" s="380" t="str">
        <f t="shared" si="19"/>
        <v>251-901</v>
      </c>
      <c r="C1227" s="76">
        <v>7991</v>
      </c>
      <c r="D1227" s="76">
        <v>10582</v>
      </c>
    </row>
    <row r="1228" spans="1:4" ht="14.5">
      <c r="A1228" t="s">
        <v>5319</v>
      </c>
      <c r="B1228" s="380" t="str">
        <f t="shared" si="19"/>
        <v>251-902</v>
      </c>
      <c r="C1228" s="76">
        <v>12255</v>
      </c>
      <c r="D1228" s="76">
        <v>11849</v>
      </c>
    </row>
    <row r="1229" spans="1:4" ht="14.5">
      <c r="A1229" t="s">
        <v>3274</v>
      </c>
      <c r="B1229" s="380" t="str">
        <f t="shared" si="19"/>
        <v>252-901</v>
      </c>
      <c r="C1229" s="76">
        <v>9189</v>
      </c>
      <c r="D1229" s="76">
        <v>9077</v>
      </c>
    </row>
    <row r="1230" spans="1:4" ht="14.5">
      <c r="A1230" t="s">
        <v>5320</v>
      </c>
      <c r="B1230" s="380" t="str">
        <f t="shared" si="19"/>
        <v>252-902</v>
      </c>
      <c r="C1230" s="76">
        <v>11770</v>
      </c>
      <c r="D1230" s="76">
        <v>11849</v>
      </c>
    </row>
    <row r="1231" spans="1:4" ht="14.5">
      <c r="A1231" t="s">
        <v>3275</v>
      </c>
      <c r="B1231" s="380" t="str">
        <f t="shared" si="19"/>
        <v>252-903</v>
      </c>
      <c r="C1231" s="76">
        <v>13238</v>
      </c>
      <c r="D1231" s="76">
        <v>11849</v>
      </c>
    </row>
    <row r="1232" spans="1:4" ht="14.5">
      <c r="A1232" t="s">
        <v>5902</v>
      </c>
      <c r="B1232" s="380" t="str">
        <f t="shared" si="19"/>
        <v>253-901</v>
      </c>
      <c r="C1232" s="76">
        <v>8630</v>
      </c>
      <c r="D1232" s="76">
        <v>8966</v>
      </c>
    </row>
    <row r="1233" spans="1:4" ht="14.5">
      <c r="A1233" t="s">
        <v>3276</v>
      </c>
      <c r="B1233" s="380" t="str">
        <f t="shared" si="19"/>
        <v>254-901</v>
      </c>
      <c r="C1233" s="76">
        <v>10423</v>
      </c>
      <c r="D1233" s="76">
        <v>11121</v>
      </c>
    </row>
    <row r="1234" spans="1:4" ht="14.5">
      <c r="A1234" t="s">
        <v>3277</v>
      </c>
      <c r="B1234" s="380" t="str">
        <f t="shared" si="19"/>
        <v>254-902</v>
      </c>
      <c r="C1234" s="76">
        <v>16452</v>
      </c>
      <c r="D1234" s="76">
        <v>11849</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027"/>
  <sheetViews>
    <sheetView workbookViewId="0">
      <selection sqref="A1:C1048576"/>
    </sheetView>
  </sheetViews>
  <sheetFormatPr defaultRowHeight="12.5"/>
  <cols>
    <col min="1" max="1" width="8.7265625" style="2042"/>
    <col min="2" max="2" width="23.453125" style="2042" customWidth="1"/>
    <col min="3" max="3" width="12.81640625" style="629" customWidth="1"/>
  </cols>
  <sheetData>
    <row r="1" spans="1:3">
      <c r="A1" s="3142" t="s">
        <v>183</v>
      </c>
      <c r="B1" s="182" t="s">
        <v>265</v>
      </c>
      <c r="C1" s="955">
        <v>1.5</v>
      </c>
    </row>
    <row r="2" spans="1:3">
      <c r="A2" s="3142" t="s">
        <v>1847</v>
      </c>
      <c r="B2" s="182" t="s">
        <v>266</v>
      </c>
      <c r="C2" s="955">
        <v>1.5</v>
      </c>
    </row>
    <row r="3" spans="1:3">
      <c r="A3" s="3142" t="s">
        <v>14</v>
      </c>
      <c r="B3" s="182" t="s">
        <v>267</v>
      </c>
      <c r="C3" s="955">
        <v>1.4556</v>
      </c>
    </row>
    <row r="4" spans="1:3">
      <c r="A4" s="3142" t="s">
        <v>15</v>
      </c>
      <c r="B4" s="182" t="s">
        <v>268</v>
      </c>
      <c r="C4" s="955">
        <v>1.5</v>
      </c>
    </row>
    <row r="5" spans="1:3">
      <c r="A5" s="3142" t="s">
        <v>16</v>
      </c>
      <c r="B5" s="182" t="s">
        <v>269</v>
      </c>
      <c r="C5" s="955">
        <v>1.5</v>
      </c>
    </row>
    <row r="6" spans="1:3">
      <c r="A6" s="3142" t="s">
        <v>1036</v>
      </c>
      <c r="B6" s="182" t="s">
        <v>1117</v>
      </c>
      <c r="C6" s="955">
        <v>1.337</v>
      </c>
    </row>
    <row r="7" spans="1:3">
      <c r="A7" s="3142" t="s">
        <v>1037</v>
      </c>
      <c r="B7" s="182" t="s">
        <v>1118</v>
      </c>
      <c r="C7" s="955">
        <v>1.2871999999999999</v>
      </c>
    </row>
    <row r="8" spans="1:3">
      <c r="A8" s="3142" t="s">
        <v>1737</v>
      </c>
      <c r="B8" s="182" t="s">
        <v>1119</v>
      </c>
      <c r="C8" s="955">
        <v>1.5</v>
      </c>
    </row>
    <row r="9" spans="1:3">
      <c r="A9" s="3142" t="s">
        <v>635</v>
      </c>
      <c r="B9" s="182" t="s">
        <v>2249</v>
      </c>
      <c r="C9" s="955">
        <v>1.4350000000000001</v>
      </c>
    </row>
    <row r="10" spans="1:3">
      <c r="A10" s="3142" t="s">
        <v>1367</v>
      </c>
      <c r="B10" s="182" t="s">
        <v>1120</v>
      </c>
      <c r="C10" s="955">
        <v>1.5</v>
      </c>
    </row>
    <row r="11" spans="1:3">
      <c r="A11" s="3142" t="s">
        <v>1053</v>
      </c>
      <c r="B11" s="182" t="s">
        <v>1192</v>
      </c>
      <c r="C11" s="955">
        <v>1.5</v>
      </c>
    </row>
    <row r="12" spans="1:3">
      <c r="A12" s="3142" t="s">
        <v>320</v>
      </c>
      <c r="B12" s="182" t="s">
        <v>1121</v>
      </c>
      <c r="C12" s="955">
        <v>1.5</v>
      </c>
    </row>
    <row r="13" spans="1:3">
      <c r="A13" s="3142" t="s">
        <v>321</v>
      </c>
      <c r="B13" s="182" t="s">
        <v>1122</v>
      </c>
      <c r="C13" s="955">
        <v>1.4415</v>
      </c>
    </row>
    <row r="14" spans="1:3">
      <c r="A14" s="3142" t="s">
        <v>322</v>
      </c>
      <c r="B14" s="182" t="s">
        <v>1123</v>
      </c>
      <c r="C14" s="955">
        <v>1.5</v>
      </c>
    </row>
    <row r="15" spans="1:3">
      <c r="A15" s="3142" t="s">
        <v>2339</v>
      </c>
      <c r="B15" s="182" t="s">
        <v>1124</v>
      </c>
      <c r="C15" s="955">
        <v>1.462</v>
      </c>
    </row>
    <row r="16" spans="1:3">
      <c r="A16" s="3142" t="s">
        <v>2340</v>
      </c>
      <c r="B16" s="182" t="s">
        <v>1125</v>
      </c>
      <c r="C16" s="955">
        <v>1.35</v>
      </c>
    </row>
    <row r="17" spans="1:3">
      <c r="A17" s="3142" t="s">
        <v>2341</v>
      </c>
      <c r="B17" s="182" t="s">
        <v>1126</v>
      </c>
      <c r="C17" s="955">
        <v>1.5</v>
      </c>
    </row>
    <row r="18" spans="1:3">
      <c r="A18" s="3142" t="s">
        <v>1838</v>
      </c>
      <c r="B18" s="182" t="s">
        <v>1061</v>
      </c>
      <c r="C18" s="955">
        <v>1.5</v>
      </c>
    </row>
    <row r="19" spans="1:3">
      <c r="A19" s="3142" t="s">
        <v>2343</v>
      </c>
      <c r="B19" s="182" t="s">
        <v>1127</v>
      </c>
      <c r="C19" s="955">
        <v>1.36</v>
      </c>
    </row>
    <row r="20" spans="1:3">
      <c r="A20" s="3142" t="s">
        <v>667</v>
      </c>
      <c r="B20" s="182" t="s">
        <v>620</v>
      </c>
      <c r="C20" s="955">
        <v>1.39</v>
      </c>
    </row>
    <row r="21" spans="1:3">
      <c r="A21" s="3142" t="s">
        <v>2344</v>
      </c>
      <c r="B21" s="182" t="s">
        <v>1128</v>
      </c>
      <c r="C21" s="955">
        <v>1.5</v>
      </c>
    </row>
    <row r="22" spans="1:3">
      <c r="A22" s="3142" t="s">
        <v>1976</v>
      </c>
      <c r="B22" s="182" t="s">
        <v>1129</v>
      </c>
      <c r="C22" s="955">
        <v>1.5</v>
      </c>
    </row>
    <row r="23" spans="1:3">
      <c r="A23" s="3142" t="s">
        <v>199</v>
      </c>
      <c r="B23" s="182" t="s">
        <v>947</v>
      </c>
      <c r="C23" s="955">
        <v>1.5</v>
      </c>
    </row>
    <row r="24" spans="1:3">
      <c r="A24" s="3142" t="s">
        <v>2014</v>
      </c>
      <c r="B24" s="182" t="s">
        <v>950</v>
      </c>
      <c r="C24" s="955">
        <v>1.5</v>
      </c>
    </row>
    <row r="25" spans="1:3">
      <c r="A25" s="3142" t="s">
        <v>2345</v>
      </c>
      <c r="B25" s="182" t="s">
        <v>1130</v>
      </c>
      <c r="C25" s="955">
        <v>1.5</v>
      </c>
    </row>
    <row r="26" spans="1:3">
      <c r="A26" s="3142" t="s">
        <v>644</v>
      </c>
      <c r="B26" s="182" t="s">
        <v>1131</v>
      </c>
      <c r="C26" s="955">
        <v>1.38</v>
      </c>
    </row>
    <row r="27" spans="1:3">
      <c r="A27" s="3142" t="s">
        <v>645</v>
      </c>
      <c r="B27" s="182" t="s">
        <v>1132</v>
      </c>
      <c r="C27" s="955">
        <v>1.5</v>
      </c>
    </row>
    <row r="28" spans="1:3">
      <c r="A28" s="3142" t="s">
        <v>646</v>
      </c>
      <c r="B28" s="182" t="s">
        <v>1133</v>
      </c>
      <c r="C28" s="955">
        <v>1.5</v>
      </c>
    </row>
    <row r="29" spans="1:3">
      <c r="A29" s="3142" t="s">
        <v>174</v>
      </c>
      <c r="B29" s="182" t="s">
        <v>1134</v>
      </c>
      <c r="C29" s="955">
        <v>1.38</v>
      </c>
    </row>
    <row r="30" spans="1:3">
      <c r="A30" s="3142" t="s">
        <v>1839</v>
      </c>
      <c r="B30" s="182" t="s">
        <v>2002</v>
      </c>
      <c r="C30" s="955">
        <v>1.44</v>
      </c>
    </row>
    <row r="31" spans="1:3">
      <c r="A31" s="3142" t="s">
        <v>1589</v>
      </c>
      <c r="B31" s="182" t="s">
        <v>2004</v>
      </c>
      <c r="C31" s="955">
        <v>1.5</v>
      </c>
    </row>
    <row r="32" spans="1:3">
      <c r="A32" s="3142" t="s">
        <v>728</v>
      </c>
      <c r="B32" s="182" t="s">
        <v>843</v>
      </c>
      <c r="C32" s="955">
        <v>1.5</v>
      </c>
    </row>
    <row r="33" spans="1:3">
      <c r="A33" s="3142" t="s">
        <v>2233</v>
      </c>
      <c r="B33" s="182" t="s">
        <v>1821</v>
      </c>
      <c r="C33" s="955">
        <v>1.5</v>
      </c>
    </row>
    <row r="34" spans="1:3">
      <c r="A34" s="3142" t="s">
        <v>2015</v>
      </c>
      <c r="B34" s="182" t="s">
        <v>772</v>
      </c>
      <c r="C34" s="955">
        <v>1.5</v>
      </c>
    </row>
    <row r="35" spans="1:3">
      <c r="A35" s="3142" t="s">
        <v>428</v>
      </c>
      <c r="B35" s="182" t="s">
        <v>1135</v>
      </c>
      <c r="C35" s="955">
        <v>1.5</v>
      </c>
    </row>
    <row r="36" spans="1:3">
      <c r="A36" s="3142" t="s">
        <v>2234</v>
      </c>
      <c r="B36" s="182" t="s">
        <v>2005</v>
      </c>
      <c r="C36" s="955">
        <v>1.5</v>
      </c>
    </row>
    <row r="37" spans="1:3">
      <c r="A37" s="3142" t="s">
        <v>2505</v>
      </c>
      <c r="B37" s="182" t="s">
        <v>1136</v>
      </c>
      <c r="C37" s="955">
        <v>1.3035000000000001</v>
      </c>
    </row>
    <row r="38" spans="1:3">
      <c r="A38" s="3142" t="s">
        <v>2506</v>
      </c>
      <c r="B38" s="182" t="s">
        <v>1137</v>
      </c>
      <c r="C38" s="955">
        <v>1.5</v>
      </c>
    </row>
    <row r="39" spans="1:3">
      <c r="A39" s="3142" t="s">
        <v>1079</v>
      </c>
      <c r="B39" s="182" t="s">
        <v>1725</v>
      </c>
      <c r="C39" s="955">
        <v>1.5</v>
      </c>
    </row>
    <row r="40" spans="1:3">
      <c r="A40" s="3142" t="s">
        <v>2016</v>
      </c>
      <c r="B40" s="182" t="s">
        <v>1138</v>
      </c>
      <c r="C40" s="955">
        <v>1.4993000000000001</v>
      </c>
    </row>
    <row r="41" spans="1:3">
      <c r="A41" s="3142" t="s">
        <v>1588</v>
      </c>
      <c r="B41" s="182" t="s">
        <v>2003</v>
      </c>
      <c r="C41" s="955">
        <v>1.5</v>
      </c>
    </row>
    <row r="42" spans="1:3">
      <c r="A42" s="3142" t="s">
        <v>1591</v>
      </c>
      <c r="B42" s="182" t="s">
        <v>2533</v>
      </c>
      <c r="C42" s="955">
        <v>1.5</v>
      </c>
    </row>
    <row r="43" spans="1:3">
      <c r="A43" s="3142" t="s">
        <v>161</v>
      </c>
      <c r="B43" s="182" t="s">
        <v>2244</v>
      </c>
      <c r="C43" s="955">
        <v>1.42</v>
      </c>
    </row>
    <row r="44" spans="1:3">
      <c r="A44" s="3142" t="s">
        <v>51</v>
      </c>
      <c r="B44" s="182" t="s">
        <v>2378</v>
      </c>
      <c r="C44" s="955">
        <v>1.42</v>
      </c>
    </row>
    <row r="45" spans="1:3">
      <c r="A45" s="3142" t="s">
        <v>157</v>
      </c>
      <c r="B45" s="182" t="s">
        <v>1317</v>
      </c>
      <c r="C45" s="955">
        <v>1.4750000000000001</v>
      </c>
    </row>
    <row r="46" spans="1:3">
      <c r="A46" s="3142" t="s">
        <v>1236</v>
      </c>
      <c r="B46" s="182" t="s">
        <v>1912</v>
      </c>
      <c r="C46" s="955">
        <v>1.4219999999999999</v>
      </c>
    </row>
    <row r="47" spans="1:3">
      <c r="A47" s="3142" t="s">
        <v>1425</v>
      </c>
      <c r="B47" s="182" t="s">
        <v>566</v>
      </c>
      <c r="C47" s="955">
        <v>1.5</v>
      </c>
    </row>
    <row r="48" spans="1:3">
      <c r="A48" s="3142" t="s">
        <v>1430</v>
      </c>
      <c r="B48" s="182" t="s">
        <v>2187</v>
      </c>
      <c r="C48" s="955">
        <v>1.49</v>
      </c>
    </row>
    <row r="49" spans="1:3">
      <c r="A49" s="3142" t="s">
        <v>401</v>
      </c>
      <c r="B49" s="182" t="s">
        <v>2156</v>
      </c>
      <c r="C49" s="955">
        <v>1.5</v>
      </c>
    </row>
    <row r="50" spans="1:3">
      <c r="A50" s="3142" t="s">
        <v>1755</v>
      </c>
      <c r="B50" s="182" t="s">
        <v>683</v>
      </c>
      <c r="C50" s="955">
        <v>1.5</v>
      </c>
    </row>
    <row r="51" spans="1:3">
      <c r="A51" s="3142" t="s">
        <v>726</v>
      </c>
      <c r="B51" s="182" t="s">
        <v>841</v>
      </c>
      <c r="C51" s="955">
        <v>1.5</v>
      </c>
    </row>
    <row r="52" spans="1:3">
      <c r="A52" s="3142" t="s">
        <v>1238</v>
      </c>
      <c r="B52" s="182" t="s">
        <v>1915</v>
      </c>
      <c r="C52" s="955">
        <v>1.5</v>
      </c>
    </row>
    <row r="53" spans="1:3">
      <c r="A53" s="3142" t="s">
        <v>1417</v>
      </c>
      <c r="B53" s="182" t="s">
        <v>1825</v>
      </c>
      <c r="C53" s="955">
        <v>1.5</v>
      </c>
    </row>
    <row r="54" spans="1:3">
      <c r="A54" s="3142" t="s">
        <v>1082</v>
      </c>
      <c r="B54" s="182" t="s">
        <v>1824</v>
      </c>
      <c r="C54" s="955">
        <v>1.5</v>
      </c>
    </row>
    <row r="55" spans="1:3">
      <c r="A55" s="3142" t="s">
        <v>1322</v>
      </c>
      <c r="B55" s="182" t="s">
        <v>2163</v>
      </c>
      <c r="C55" s="955">
        <v>1.5</v>
      </c>
    </row>
    <row r="56" spans="1:3">
      <c r="A56" s="3142" t="s">
        <v>723</v>
      </c>
      <c r="B56" s="182" t="s">
        <v>1008</v>
      </c>
      <c r="C56" s="955">
        <v>1.5</v>
      </c>
    </row>
    <row r="57" spans="1:3">
      <c r="A57" s="3142" t="s">
        <v>668</v>
      </c>
      <c r="B57" s="182" t="s">
        <v>1827</v>
      </c>
      <c r="C57" s="955">
        <v>1.5</v>
      </c>
    </row>
    <row r="58" spans="1:3">
      <c r="A58" s="3142" t="s">
        <v>1324</v>
      </c>
      <c r="B58" s="182" t="s">
        <v>2165</v>
      </c>
      <c r="C58" s="955">
        <v>1.5</v>
      </c>
    </row>
    <row r="59" spans="1:3">
      <c r="A59" s="3142" t="s">
        <v>44</v>
      </c>
      <c r="B59" s="182" t="s">
        <v>386</v>
      </c>
      <c r="C59" s="955">
        <v>1.5</v>
      </c>
    </row>
    <row r="60" spans="1:3">
      <c r="A60" s="3142" t="s">
        <v>1418</v>
      </c>
      <c r="B60" s="182" t="s">
        <v>1826</v>
      </c>
      <c r="C60" s="955">
        <v>1.5</v>
      </c>
    </row>
    <row r="61" spans="1:3">
      <c r="A61" s="3142" t="s">
        <v>1139</v>
      </c>
      <c r="B61" s="182" t="s">
        <v>2157</v>
      </c>
      <c r="C61" s="955">
        <v>1.3701000000000001</v>
      </c>
    </row>
    <row r="62" spans="1:3">
      <c r="A62" s="3142" t="s">
        <v>827</v>
      </c>
      <c r="B62" s="182" t="s">
        <v>753</v>
      </c>
      <c r="C62" s="955">
        <v>1.2542</v>
      </c>
    </row>
    <row r="63" spans="1:3">
      <c r="A63" s="3142" t="s">
        <v>1140</v>
      </c>
      <c r="B63" s="182" t="s">
        <v>2158</v>
      </c>
      <c r="C63" s="955">
        <v>1.44</v>
      </c>
    </row>
    <row r="64" spans="1:3">
      <c r="A64" s="3142" t="s">
        <v>540</v>
      </c>
      <c r="B64" s="182" t="s">
        <v>1095</v>
      </c>
      <c r="C64" s="955">
        <v>1.4261999999999999</v>
      </c>
    </row>
    <row r="65" spans="1:3">
      <c r="A65" s="3142" t="s">
        <v>1141</v>
      </c>
      <c r="B65" s="182" t="s">
        <v>2535</v>
      </c>
      <c r="C65" s="955">
        <v>1.2291000000000001</v>
      </c>
    </row>
    <row r="66" spans="1:3">
      <c r="A66" s="3142" t="s">
        <v>1048</v>
      </c>
      <c r="B66" s="182" t="s">
        <v>2536</v>
      </c>
      <c r="C66" s="955">
        <v>1.47</v>
      </c>
    </row>
    <row r="67" spans="1:3">
      <c r="A67" s="3142" t="s">
        <v>1049</v>
      </c>
      <c r="B67" s="182" t="s">
        <v>2537</v>
      </c>
      <c r="C67" s="955">
        <v>1.5</v>
      </c>
    </row>
    <row r="68" spans="1:3">
      <c r="A68" s="3142" t="s">
        <v>1794</v>
      </c>
      <c r="B68" s="182" t="s">
        <v>1911</v>
      </c>
      <c r="C68" s="955">
        <v>1.1499999999999999</v>
      </c>
    </row>
    <row r="69" spans="1:3">
      <c r="A69" s="3142" t="s">
        <v>1553</v>
      </c>
      <c r="B69" s="182" t="s">
        <v>2538</v>
      </c>
      <c r="C69" s="955">
        <v>1.4291</v>
      </c>
    </row>
    <row r="70" spans="1:3">
      <c r="A70" s="3142" t="s">
        <v>1554</v>
      </c>
      <c r="B70" s="182" t="s">
        <v>2539</v>
      </c>
      <c r="C70" s="955">
        <v>1.48</v>
      </c>
    </row>
    <row r="71" spans="1:3">
      <c r="A71" s="3142" t="s">
        <v>1555</v>
      </c>
      <c r="B71" s="182" t="s">
        <v>2540</v>
      </c>
      <c r="C71" s="955">
        <v>1.46</v>
      </c>
    </row>
    <row r="72" spans="1:3">
      <c r="A72" s="3142" t="s">
        <v>838</v>
      </c>
      <c r="B72" s="182" t="s">
        <v>2519</v>
      </c>
      <c r="C72" s="955">
        <v>1.5</v>
      </c>
    </row>
    <row r="73" spans="1:3">
      <c r="A73" s="3142" t="s">
        <v>669</v>
      </c>
      <c r="B73" s="182" t="s">
        <v>2246</v>
      </c>
      <c r="C73" s="955">
        <v>1.41</v>
      </c>
    </row>
    <row r="74" spans="1:3">
      <c r="A74" s="3142" t="s">
        <v>2017</v>
      </c>
      <c r="B74" s="182" t="s">
        <v>1954</v>
      </c>
      <c r="C74" s="955">
        <v>1.3545</v>
      </c>
    </row>
    <row r="75" spans="1:3">
      <c r="A75" s="3142" t="s">
        <v>2493</v>
      </c>
      <c r="B75" s="182" t="s">
        <v>1313</v>
      </c>
      <c r="C75" s="955">
        <v>1.4567000000000001</v>
      </c>
    </row>
    <row r="76" spans="1:3">
      <c r="A76" s="3142" t="s">
        <v>1034</v>
      </c>
      <c r="B76" s="182" t="s">
        <v>1314</v>
      </c>
      <c r="C76" s="955">
        <v>1.3714999999999999</v>
      </c>
    </row>
    <row r="77" spans="1:3">
      <c r="A77" s="3142" t="s">
        <v>1035</v>
      </c>
      <c r="B77" s="182" t="s">
        <v>1315</v>
      </c>
      <c r="C77" s="955">
        <v>1.5</v>
      </c>
    </row>
    <row r="78" spans="1:3">
      <c r="A78" s="3142" t="s">
        <v>1057</v>
      </c>
      <c r="B78" s="182" t="s">
        <v>2346</v>
      </c>
      <c r="C78" s="955">
        <v>1.4644999999999999</v>
      </c>
    </row>
    <row r="79" spans="1:3">
      <c r="A79" s="3142" t="s">
        <v>2018</v>
      </c>
      <c r="B79" s="182" t="s">
        <v>252</v>
      </c>
      <c r="C79" s="955">
        <v>1.3229</v>
      </c>
    </row>
    <row r="80" spans="1:3">
      <c r="A80" s="3142" t="s">
        <v>931</v>
      </c>
      <c r="B80" s="182" t="s">
        <v>274</v>
      </c>
      <c r="C80" s="955">
        <v>1.43</v>
      </c>
    </row>
    <row r="81" spans="1:3">
      <c r="A81" s="3142" t="s">
        <v>796</v>
      </c>
      <c r="B81" s="182" t="s">
        <v>2347</v>
      </c>
      <c r="C81" s="955">
        <v>0.96640000000000004</v>
      </c>
    </row>
    <row r="82" spans="1:3">
      <c r="A82" s="3142" t="s">
        <v>1058</v>
      </c>
      <c r="B82" s="182" t="s">
        <v>2348</v>
      </c>
      <c r="C82" s="955">
        <v>1.4694</v>
      </c>
    </row>
    <row r="83" spans="1:3">
      <c r="A83" s="3142" t="s">
        <v>1059</v>
      </c>
      <c r="B83" s="182" t="s">
        <v>2248</v>
      </c>
      <c r="C83" s="955">
        <v>1.46</v>
      </c>
    </row>
    <row r="84" spans="1:3">
      <c r="A84" s="3142" t="s">
        <v>797</v>
      </c>
      <c r="B84" s="182" t="s">
        <v>2349</v>
      </c>
      <c r="C84" s="955">
        <v>1.41</v>
      </c>
    </row>
    <row r="85" spans="1:3">
      <c r="A85" s="3142" t="s">
        <v>168</v>
      </c>
      <c r="B85" s="182" t="s">
        <v>996</v>
      </c>
      <c r="C85" s="955">
        <v>1.4410000000000001</v>
      </c>
    </row>
    <row r="86" spans="1:3">
      <c r="A86" s="3142" t="s">
        <v>871</v>
      </c>
      <c r="B86" s="182" t="s">
        <v>2350</v>
      </c>
      <c r="C86" s="955">
        <v>1.4151</v>
      </c>
    </row>
    <row r="87" spans="1:3">
      <c r="A87" s="3142" t="s">
        <v>670</v>
      </c>
      <c r="B87" s="182" t="s">
        <v>2515</v>
      </c>
      <c r="C87" s="955">
        <v>1.4582999999999999</v>
      </c>
    </row>
    <row r="88" spans="1:3">
      <c r="A88" s="3142" t="s">
        <v>1087</v>
      </c>
      <c r="B88" s="182" t="s">
        <v>2351</v>
      </c>
      <c r="C88" s="955">
        <v>1.3626</v>
      </c>
    </row>
    <row r="89" spans="1:3">
      <c r="A89" s="3142" t="s">
        <v>1088</v>
      </c>
      <c r="B89" s="182" t="s">
        <v>2352</v>
      </c>
      <c r="C89" s="955">
        <v>1.5</v>
      </c>
    </row>
    <row r="90" spans="1:3">
      <c r="A90" s="3142" t="s">
        <v>1350</v>
      </c>
      <c r="B90" s="182" t="s">
        <v>1458</v>
      </c>
      <c r="C90" s="955">
        <v>1.5</v>
      </c>
    </row>
    <row r="91" spans="1:3">
      <c r="A91" s="3142" t="s">
        <v>193</v>
      </c>
      <c r="B91" s="182" t="s">
        <v>259</v>
      </c>
      <c r="C91" s="955">
        <v>1.5</v>
      </c>
    </row>
    <row r="92" spans="1:3">
      <c r="A92" s="3142" t="s">
        <v>1089</v>
      </c>
      <c r="B92" s="182" t="s">
        <v>2353</v>
      </c>
      <c r="C92" s="955">
        <v>1.42</v>
      </c>
    </row>
    <row r="93" spans="1:3">
      <c r="A93" s="3142" t="s">
        <v>543</v>
      </c>
      <c r="B93" s="182" t="s">
        <v>1099</v>
      </c>
      <c r="C93" s="955">
        <v>1.5</v>
      </c>
    </row>
    <row r="94" spans="1:3">
      <c r="A94" s="3142" t="s">
        <v>835</v>
      </c>
      <c r="B94" s="182" t="s">
        <v>2491</v>
      </c>
      <c r="C94" s="955">
        <v>1.5</v>
      </c>
    </row>
    <row r="95" spans="1:3">
      <c r="A95" s="3142" t="s">
        <v>2408</v>
      </c>
      <c r="B95" s="182" t="s">
        <v>2354</v>
      </c>
      <c r="C95" s="955">
        <v>1.3</v>
      </c>
    </row>
    <row r="96" spans="1:3">
      <c r="A96" s="3142" t="s">
        <v>378</v>
      </c>
      <c r="B96" s="182" t="s">
        <v>2355</v>
      </c>
      <c r="C96" s="955">
        <v>1.5</v>
      </c>
    </row>
    <row r="97" spans="1:3">
      <c r="A97" s="3142" t="s">
        <v>379</v>
      </c>
      <c r="B97" s="182" t="s">
        <v>1498</v>
      </c>
      <c r="C97" s="955">
        <v>1.5</v>
      </c>
    </row>
    <row r="98" spans="1:3">
      <c r="A98" s="3142" t="s">
        <v>380</v>
      </c>
      <c r="B98" s="182" t="s">
        <v>1499</v>
      </c>
      <c r="C98" s="955">
        <v>1.23</v>
      </c>
    </row>
    <row r="99" spans="1:3">
      <c r="A99" s="3142" t="s">
        <v>381</v>
      </c>
      <c r="B99" s="182" t="s">
        <v>1500</v>
      </c>
      <c r="C99" s="955">
        <v>1.36</v>
      </c>
    </row>
    <row r="100" spans="1:3">
      <c r="A100" s="3142" t="s">
        <v>628</v>
      </c>
      <c r="B100" s="182" t="s">
        <v>1501</v>
      </c>
      <c r="C100" s="955">
        <v>1.3937999999999999</v>
      </c>
    </row>
    <row r="101" spans="1:3">
      <c r="A101" s="3142" t="s">
        <v>629</v>
      </c>
      <c r="B101" s="182" t="s">
        <v>1502</v>
      </c>
      <c r="C101" s="955">
        <v>1.4265000000000001</v>
      </c>
    </row>
    <row r="102" spans="1:3">
      <c r="A102" s="3142" t="s">
        <v>630</v>
      </c>
      <c r="B102" s="182" t="s">
        <v>1503</v>
      </c>
      <c r="C102" s="955">
        <v>1.46</v>
      </c>
    </row>
    <row r="103" spans="1:3">
      <c r="A103" s="3142" t="s">
        <v>829</v>
      </c>
      <c r="B103" s="182" t="s">
        <v>1267</v>
      </c>
      <c r="C103" s="955">
        <v>1.5</v>
      </c>
    </row>
    <row r="104" spans="1:3">
      <c r="A104" s="3142" t="s">
        <v>2387</v>
      </c>
      <c r="B104" s="182" t="s">
        <v>1955</v>
      </c>
      <c r="C104" s="955">
        <v>1.325</v>
      </c>
    </row>
    <row r="105" spans="1:3">
      <c r="A105" s="3142" t="s">
        <v>1116</v>
      </c>
      <c r="B105" s="182" t="s">
        <v>2528</v>
      </c>
      <c r="C105" s="955">
        <v>1.375</v>
      </c>
    </row>
    <row r="106" spans="1:3">
      <c r="A106" s="3142" t="s">
        <v>671</v>
      </c>
      <c r="B106" s="182" t="s">
        <v>2278</v>
      </c>
      <c r="C106" s="955">
        <v>1.5</v>
      </c>
    </row>
    <row r="107" spans="1:3">
      <c r="A107" s="3142" t="s">
        <v>724</v>
      </c>
      <c r="B107" s="182" t="s">
        <v>1007</v>
      </c>
      <c r="C107" s="955">
        <v>1.4530000000000001</v>
      </c>
    </row>
    <row r="108" spans="1:3">
      <c r="A108" s="3142" t="s">
        <v>631</v>
      </c>
      <c r="B108" s="182" t="s">
        <v>1504</v>
      </c>
      <c r="C108" s="955">
        <v>1.5</v>
      </c>
    </row>
    <row r="109" spans="1:3">
      <c r="A109" s="3142" t="s">
        <v>632</v>
      </c>
      <c r="B109" s="182" t="s">
        <v>1505</v>
      </c>
      <c r="C109" s="955">
        <v>1.5</v>
      </c>
    </row>
    <row r="110" spans="1:3">
      <c r="A110" s="3142" t="s">
        <v>633</v>
      </c>
      <c r="B110" s="182" t="s">
        <v>1506</v>
      </c>
      <c r="C110" s="955">
        <v>1.5</v>
      </c>
    </row>
    <row r="111" spans="1:3">
      <c r="A111" s="3142" t="s">
        <v>1778</v>
      </c>
      <c r="B111" s="182" t="s">
        <v>1365</v>
      </c>
      <c r="C111" s="955">
        <v>1.4750000000000001</v>
      </c>
    </row>
    <row r="112" spans="1:3">
      <c r="A112" s="3142" t="s">
        <v>331</v>
      </c>
      <c r="B112" s="182" t="s">
        <v>276</v>
      </c>
      <c r="C112" s="955">
        <v>1.49</v>
      </c>
    </row>
    <row r="113" spans="1:3">
      <c r="A113" s="3142" t="s">
        <v>431</v>
      </c>
      <c r="B113" s="182" t="s">
        <v>2104</v>
      </c>
      <c r="C113" s="955">
        <v>1.5</v>
      </c>
    </row>
    <row r="114" spans="1:3">
      <c r="A114" s="3142" t="s">
        <v>1084</v>
      </c>
      <c r="B114" s="182" t="s">
        <v>792</v>
      </c>
      <c r="C114" s="955">
        <v>1.2849999999999999</v>
      </c>
    </row>
    <row r="115" spans="1:3">
      <c r="A115" s="3142" t="s">
        <v>2181</v>
      </c>
      <c r="B115" s="182" t="s">
        <v>1507</v>
      </c>
      <c r="C115" s="955">
        <v>1.2</v>
      </c>
    </row>
    <row r="116" spans="1:3">
      <c r="A116" s="3142" t="s">
        <v>1283</v>
      </c>
      <c r="B116" s="182" t="s">
        <v>1508</v>
      </c>
      <c r="C116" s="955">
        <v>1.4176</v>
      </c>
    </row>
    <row r="117" spans="1:3">
      <c r="A117" s="3142" t="s">
        <v>2216</v>
      </c>
      <c r="B117" s="182" t="s">
        <v>1509</v>
      </c>
      <c r="C117" s="955">
        <v>1.2273000000000001</v>
      </c>
    </row>
    <row r="118" spans="1:3">
      <c r="A118" s="3142" t="s">
        <v>672</v>
      </c>
      <c r="B118" s="182" t="s">
        <v>1097</v>
      </c>
      <c r="C118" s="955">
        <v>1.5</v>
      </c>
    </row>
    <row r="119" spans="1:3">
      <c r="A119" s="3142" t="s">
        <v>139</v>
      </c>
      <c r="B119" s="182" t="s">
        <v>1510</v>
      </c>
      <c r="C119" s="955">
        <v>1.3620000000000001</v>
      </c>
    </row>
    <row r="120" spans="1:3">
      <c r="A120" s="3142" t="s">
        <v>1726</v>
      </c>
      <c r="B120" s="182" t="s">
        <v>1511</v>
      </c>
      <c r="C120" s="955">
        <v>1.5</v>
      </c>
    </row>
    <row r="121" spans="1:3">
      <c r="A121" s="3142" t="s">
        <v>834</v>
      </c>
      <c r="B121" s="182" t="s">
        <v>2490</v>
      </c>
      <c r="C121" s="955">
        <v>1.4387000000000001</v>
      </c>
    </row>
    <row r="122" spans="1:3">
      <c r="A122" s="3142" t="s">
        <v>1756</v>
      </c>
      <c r="B122" s="182" t="s">
        <v>433</v>
      </c>
      <c r="C122" s="955">
        <v>1.4650000000000001</v>
      </c>
    </row>
    <row r="123" spans="1:3">
      <c r="A123" s="3142" t="s">
        <v>55</v>
      </c>
      <c r="B123" s="182" t="s">
        <v>1775</v>
      </c>
      <c r="C123" s="955">
        <v>1.3640000000000001</v>
      </c>
    </row>
    <row r="124" spans="1:3">
      <c r="A124" s="3142" t="s">
        <v>2159</v>
      </c>
      <c r="B124" s="182" t="s">
        <v>1184</v>
      </c>
      <c r="C124" s="955">
        <v>1.454</v>
      </c>
    </row>
    <row r="125" spans="1:3">
      <c r="A125" s="3142" t="s">
        <v>1585</v>
      </c>
      <c r="B125" s="182" t="s">
        <v>1512</v>
      </c>
      <c r="C125" s="955">
        <v>1.2875000000000001</v>
      </c>
    </row>
    <row r="126" spans="1:3">
      <c r="A126" s="3142" t="s">
        <v>673</v>
      </c>
      <c r="B126" s="182" t="s">
        <v>2547</v>
      </c>
      <c r="C126" s="955">
        <v>1.47</v>
      </c>
    </row>
    <row r="127" spans="1:3">
      <c r="A127" s="3142" t="s">
        <v>1239</v>
      </c>
      <c r="B127" s="182" t="s">
        <v>1916</v>
      </c>
      <c r="C127" s="955">
        <v>1.4450000000000001</v>
      </c>
    </row>
    <row r="128" spans="1:3">
      <c r="A128" s="3142" t="s">
        <v>674</v>
      </c>
      <c r="B128" s="182" t="s">
        <v>84</v>
      </c>
      <c r="C128" s="955">
        <v>1.5</v>
      </c>
    </row>
    <row r="129" spans="1:3">
      <c r="A129" s="3142" t="s">
        <v>464</v>
      </c>
      <c r="B129" s="182" t="s">
        <v>85</v>
      </c>
      <c r="C129" s="955">
        <v>1.46</v>
      </c>
    </row>
    <row r="130" spans="1:3">
      <c r="A130" s="3142" t="s">
        <v>884</v>
      </c>
      <c r="B130" s="182" t="s">
        <v>1513</v>
      </c>
      <c r="C130" s="955">
        <v>1.379</v>
      </c>
    </row>
    <row r="131" spans="1:3">
      <c r="A131" s="3142" t="s">
        <v>885</v>
      </c>
      <c r="B131" s="182" t="s">
        <v>1514</v>
      </c>
      <c r="C131" s="955">
        <v>1.5</v>
      </c>
    </row>
    <row r="132" spans="1:3">
      <c r="A132" s="3142" t="s">
        <v>731</v>
      </c>
      <c r="B132" s="182" t="s">
        <v>2047</v>
      </c>
      <c r="C132" s="955">
        <v>1.5</v>
      </c>
    </row>
    <row r="133" spans="1:3">
      <c r="A133" s="3142" t="s">
        <v>1706</v>
      </c>
      <c r="B133" s="182" t="s">
        <v>2048</v>
      </c>
      <c r="C133" s="955">
        <v>1.49</v>
      </c>
    </row>
    <row r="134" spans="1:3">
      <c r="A134" s="3142" t="s">
        <v>1629</v>
      </c>
      <c r="B134" s="182" t="s">
        <v>2049</v>
      </c>
      <c r="C134" s="955">
        <v>1.476</v>
      </c>
    </row>
    <row r="135" spans="1:3">
      <c r="A135" s="3142" t="s">
        <v>1630</v>
      </c>
      <c r="B135" s="182" t="s">
        <v>2050</v>
      </c>
      <c r="C135" s="955">
        <v>1.5</v>
      </c>
    </row>
    <row r="136" spans="1:3">
      <c r="A136" s="3142" t="s">
        <v>700</v>
      </c>
      <c r="B136" s="182" t="s">
        <v>2051</v>
      </c>
      <c r="C136" s="955">
        <v>1.47</v>
      </c>
    </row>
    <row r="137" spans="1:3">
      <c r="A137" s="3142" t="s">
        <v>701</v>
      </c>
      <c r="B137" s="182" t="s">
        <v>1609</v>
      </c>
      <c r="C137" s="955">
        <v>1.48</v>
      </c>
    </row>
    <row r="138" spans="1:3">
      <c r="A138" s="3142" t="s">
        <v>1771</v>
      </c>
      <c r="B138" s="182" t="s">
        <v>775</v>
      </c>
      <c r="C138" s="955">
        <v>1.3955</v>
      </c>
    </row>
    <row r="139" spans="1:3">
      <c r="A139" s="3142" t="s">
        <v>702</v>
      </c>
      <c r="B139" s="182" t="s">
        <v>1610</v>
      </c>
      <c r="C139" s="955">
        <v>1.5</v>
      </c>
    </row>
    <row r="140" spans="1:3">
      <c r="A140" s="3142" t="s">
        <v>703</v>
      </c>
      <c r="B140" s="182" t="s">
        <v>1611</v>
      </c>
      <c r="C140" s="955">
        <v>1.3862000000000001</v>
      </c>
    </row>
    <row r="141" spans="1:3">
      <c r="A141" s="3142" t="s">
        <v>1845</v>
      </c>
      <c r="B141" s="182" t="s">
        <v>1612</v>
      </c>
      <c r="C141" s="955">
        <v>1.5</v>
      </c>
    </row>
    <row r="142" spans="1:3">
      <c r="A142" s="3142" t="s">
        <v>1846</v>
      </c>
      <c r="B142" s="182" t="s">
        <v>1613</v>
      </c>
      <c r="C142" s="955">
        <v>1.5</v>
      </c>
    </row>
    <row r="143" spans="1:3">
      <c r="A143" s="3142" t="s">
        <v>2292</v>
      </c>
      <c r="B143" s="182" t="s">
        <v>1614</v>
      </c>
      <c r="C143" s="955">
        <v>1.45</v>
      </c>
    </row>
    <row r="144" spans="1:3">
      <c r="A144" s="3142" t="s">
        <v>2398</v>
      </c>
      <c r="B144" s="182" t="s">
        <v>370</v>
      </c>
      <c r="C144" s="955">
        <v>1.48</v>
      </c>
    </row>
    <row r="145" spans="1:3">
      <c r="A145" s="3142" t="s">
        <v>1548</v>
      </c>
      <c r="B145" s="182" t="s">
        <v>999</v>
      </c>
      <c r="C145" s="955">
        <v>1.5</v>
      </c>
    </row>
    <row r="146" spans="1:3">
      <c r="A146" s="3142" t="s">
        <v>2293</v>
      </c>
      <c r="B146" s="182" t="s">
        <v>1615</v>
      </c>
      <c r="C146" s="955">
        <v>1.5</v>
      </c>
    </row>
    <row r="147" spans="1:3">
      <c r="A147" s="3142" t="s">
        <v>270</v>
      </c>
      <c r="B147" s="182" t="s">
        <v>2236</v>
      </c>
      <c r="C147" s="955">
        <v>1.41</v>
      </c>
    </row>
    <row r="148" spans="1:3">
      <c r="A148" s="3142" t="s">
        <v>1383</v>
      </c>
      <c r="B148" s="182" t="s">
        <v>1411</v>
      </c>
      <c r="C148" s="955">
        <v>1.464</v>
      </c>
    </row>
    <row r="149" spans="1:3">
      <c r="A149" s="3142" t="s">
        <v>41</v>
      </c>
      <c r="B149" s="182" t="s">
        <v>383</v>
      </c>
      <c r="C149" s="955">
        <v>1.4550000000000001</v>
      </c>
    </row>
    <row r="150" spans="1:3">
      <c r="A150" s="3142" t="s">
        <v>1235</v>
      </c>
      <c r="B150" s="182" t="s">
        <v>577</v>
      </c>
      <c r="C150" s="955">
        <v>1.5</v>
      </c>
    </row>
    <row r="151" spans="1:3">
      <c r="A151" s="3142" t="s">
        <v>2401</v>
      </c>
      <c r="B151" s="182" t="s">
        <v>1073</v>
      </c>
      <c r="C151" s="955">
        <v>1.5</v>
      </c>
    </row>
    <row r="152" spans="1:3">
      <c r="A152" s="3142" t="s">
        <v>1384</v>
      </c>
      <c r="B152" s="182" t="s">
        <v>23</v>
      </c>
      <c r="C152" s="955">
        <v>1.5</v>
      </c>
    </row>
    <row r="153" spans="1:3">
      <c r="A153" s="3142" t="s">
        <v>69</v>
      </c>
      <c r="B153" s="182" t="s">
        <v>2062</v>
      </c>
      <c r="C153" s="955">
        <v>1.5</v>
      </c>
    </row>
    <row r="154" spans="1:3">
      <c r="A154" s="3142" t="s">
        <v>1045</v>
      </c>
      <c r="B154" s="182" t="s">
        <v>24</v>
      </c>
      <c r="C154" s="955">
        <v>1.5</v>
      </c>
    </row>
    <row r="155" spans="1:3">
      <c r="A155" s="3142" t="s">
        <v>2045</v>
      </c>
      <c r="B155" s="182" t="s">
        <v>1813</v>
      </c>
      <c r="C155" s="955">
        <v>1.47</v>
      </c>
    </row>
    <row r="156" spans="1:3">
      <c r="A156" s="3142" t="s">
        <v>675</v>
      </c>
      <c r="B156" s="182" t="s">
        <v>943</v>
      </c>
      <c r="C156" s="955">
        <v>1.5</v>
      </c>
    </row>
    <row r="157" spans="1:3">
      <c r="A157" s="3142" t="s">
        <v>2046</v>
      </c>
      <c r="B157" s="182" t="s">
        <v>1814</v>
      </c>
      <c r="C157" s="955">
        <v>1.5</v>
      </c>
    </row>
    <row r="158" spans="1:3">
      <c r="A158" s="3142" t="s">
        <v>1576</v>
      </c>
      <c r="B158" s="182" t="s">
        <v>1815</v>
      </c>
      <c r="C158" s="955">
        <v>1.5</v>
      </c>
    </row>
    <row r="159" spans="1:3">
      <c r="A159" s="3142" t="s">
        <v>1577</v>
      </c>
      <c r="B159" s="182" t="s">
        <v>2035</v>
      </c>
      <c r="C159" s="955">
        <v>1.5</v>
      </c>
    </row>
    <row r="160" spans="1:3">
      <c r="A160" s="3142" t="s">
        <v>750</v>
      </c>
      <c r="B160" s="182" t="s">
        <v>2036</v>
      </c>
      <c r="C160" s="955">
        <v>1.5</v>
      </c>
    </row>
    <row r="161" spans="1:3">
      <c r="A161" s="3142" t="s">
        <v>751</v>
      </c>
      <c r="B161" s="182" t="s">
        <v>2037</v>
      </c>
      <c r="C161" s="955">
        <v>1.45</v>
      </c>
    </row>
    <row r="162" spans="1:3">
      <c r="A162" s="3142" t="s">
        <v>769</v>
      </c>
      <c r="B162" s="182" t="s">
        <v>2038</v>
      </c>
      <c r="C162" s="955">
        <v>1.5</v>
      </c>
    </row>
    <row r="163" spans="1:3">
      <c r="A163" s="3142" t="s">
        <v>542</v>
      </c>
      <c r="B163" s="182" t="s">
        <v>1098</v>
      </c>
      <c r="C163" s="955">
        <v>1.46</v>
      </c>
    </row>
    <row r="164" spans="1:3">
      <c r="A164" s="3142" t="s">
        <v>2235</v>
      </c>
      <c r="B164" s="182" t="s">
        <v>82</v>
      </c>
      <c r="C164" s="955">
        <v>1.5</v>
      </c>
    </row>
    <row r="165" spans="1:3">
      <c r="A165" s="3142" t="s">
        <v>770</v>
      </c>
      <c r="B165" s="182" t="s">
        <v>2039</v>
      </c>
      <c r="C165" s="955">
        <v>1.5</v>
      </c>
    </row>
    <row r="166" spans="1:3">
      <c r="A166" s="3142" t="s">
        <v>1640</v>
      </c>
      <c r="B166" s="182" t="s">
        <v>2040</v>
      </c>
      <c r="C166" s="955">
        <v>1.5</v>
      </c>
    </row>
    <row r="167" spans="1:3">
      <c r="A167" s="3142" t="s">
        <v>547</v>
      </c>
      <c r="B167" s="182" t="s">
        <v>1850</v>
      </c>
      <c r="C167" s="955">
        <v>1.5</v>
      </c>
    </row>
    <row r="168" spans="1:3">
      <c r="A168" s="3142" t="s">
        <v>1549</v>
      </c>
      <c r="B168" s="182" t="s">
        <v>1000</v>
      </c>
      <c r="C168" s="955">
        <v>1.4552</v>
      </c>
    </row>
    <row r="169" spans="1:3">
      <c r="A169" s="3142" t="s">
        <v>2362</v>
      </c>
      <c r="B169" s="182" t="s">
        <v>617</v>
      </c>
      <c r="C169" s="955">
        <v>1.5</v>
      </c>
    </row>
    <row r="170" spans="1:3">
      <c r="A170" s="3142" t="s">
        <v>1593</v>
      </c>
      <c r="B170" s="182" t="s">
        <v>99</v>
      </c>
      <c r="C170" s="955">
        <v>1.44</v>
      </c>
    </row>
    <row r="171" spans="1:3">
      <c r="A171" s="3142" t="s">
        <v>1340</v>
      </c>
      <c r="B171" s="182" t="s">
        <v>1389</v>
      </c>
      <c r="C171" s="955">
        <v>1.32</v>
      </c>
    </row>
    <row r="172" spans="1:3">
      <c r="A172" s="3142" t="s">
        <v>2389</v>
      </c>
      <c r="B172" s="182" t="s">
        <v>774</v>
      </c>
      <c r="C172" s="955">
        <v>1.5</v>
      </c>
    </row>
    <row r="173" spans="1:3">
      <c r="A173" s="3142" t="s">
        <v>608</v>
      </c>
      <c r="B173" s="182" t="s">
        <v>2076</v>
      </c>
      <c r="C173" s="955">
        <v>1.5</v>
      </c>
    </row>
    <row r="174" spans="1:3">
      <c r="A174" s="3142" t="s">
        <v>609</v>
      </c>
      <c r="B174" s="182" t="s">
        <v>2077</v>
      </c>
      <c r="C174" s="955">
        <v>1.5</v>
      </c>
    </row>
    <row r="175" spans="1:3">
      <c r="A175" s="3142" t="s">
        <v>204</v>
      </c>
      <c r="B175" s="182" t="s">
        <v>72</v>
      </c>
      <c r="C175" s="955">
        <v>1.42</v>
      </c>
    </row>
    <row r="176" spans="1:3">
      <c r="A176" s="3142" t="s">
        <v>1492</v>
      </c>
      <c r="B176" s="182" t="s">
        <v>74</v>
      </c>
      <c r="C176" s="955">
        <v>1.5</v>
      </c>
    </row>
    <row r="177" spans="1:3">
      <c r="A177" s="3142" t="s">
        <v>1113</v>
      </c>
      <c r="B177" s="182" t="s">
        <v>1065</v>
      </c>
      <c r="C177" s="955">
        <v>1.5</v>
      </c>
    </row>
    <row r="178" spans="1:3">
      <c r="A178" s="3142" t="s">
        <v>831</v>
      </c>
      <c r="B178" s="182" t="s">
        <v>1269</v>
      </c>
      <c r="C178" s="955">
        <v>1.5</v>
      </c>
    </row>
    <row r="179" spans="1:3">
      <c r="A179" s="3142" t="s">
        <v>1353</v>
      </c>
      <c r="B179" s="182" t="s">
        <v>1461</v>
      </c>
      <c r="C179" s="955">
        <v>1.5</v>
      </c>
    </row>
    <row r="180" spans="1:3">
      <c r="A180" s="3142" t="s">
        <v>239</v>
      </c>
      <c r="B180" s="182" t="s">
        <v>2078</v>
      </c>
      <c r="C180" s="955">
        <v>1.5</v>
      </c>
    </row>
    <row r="181" spans="1:3">
      <c r="A181" s="3142" t="s">
        <v>240</v>
      </c>
      <c r="B181" s="182" t="s">
        <v>2079</v>
      </c>
      <c r="C181" s="955">
        <v>1.36</v>
      </c>
    </row>
    <row r="182" spans="1:3">
      <c r="A182" s="3142" t="s">
        <v>551</v>
      </c>
      <c r="B182" s="182" t="s">
        <v>2080</v>
      </c>
      <c r="C182" s="955">
        <v>1.335</v>
      </c>
    </row>
    <row r="183" spans="1:3">
      <c r="A183" s="3142" t="s">
        <v>1351</v>
      </c>
      <c r="B183" s="182" t="s">
        <v>1459</v>
      </c>
      <c r="C183" s="955">
        <v>1.39</v>
      </c>
    </row>
    <row r="184" spans="1:3">
      <c r="A184" s="3142" t="s">
        <v>552</v>
      </c>
      <c r="B184" s="182" t="s">
        <v>2081</v>
      </c>
      <c r="C184" s="955">
        <v>1.4214</v>
      </c>
    </row>
    <row r="185" spans="1:3">
      <c r="A185" s="3142" t="s">
        <v>25</v>
      </c>
      <c r="B185" s="182" t="s">
        <v>2082</v>
      </c>
      <c r="C185" s="955">
        <v>1.3471</v>
      </c>
    </row>
    <row r="186" spans="1:3">
      <c r="A186" s="3142" t="s">
        <v>26</v>
      </c>
      <c r="B186" s="182" t="s">
        <v>2083</v>
      </c>
      <c r="C186" s="955">
        <v>1.46</v>
      </c>
    </row>
    <row r="187" spans="1:3">
      <c r="A187" s="3142" t="s">
        <v>1191</v>
      </c>
      <c r="B187" s="182" t="s">
        <v>2084</v>
      </c>
      <c r="C187" s="955">
        <v>1.5</v>
      </c>
    </row>
    <row r="188" spans="1:3">
      <c r="A188" s="3142" t="s">
        <v>2190</v>
      </c>
      <c r="B188" s="182" t="s">
        <v>2085</v>
      </c>
      <c r="C188" s="955">
        <v>1.23</v>
      </c>
    </row>
    <row r="189" spans="1:3">
      <c r="A189" s="3142" t="s">
        <v>2271</v>
      </c>
      <c r="B189" s="182" t="s">
        <v>2518</v>
      </c>
      <c r="C189" s="955">
        <v>1.3308</v>
      </c>
    </row>
    <row r="190" spans="1:3">
      <c r="A190" s="3142" t="s">
        <v>2217</v>
      </c>
      <c r="B190" s="182" t="s">
        <v>1637</v>
      </c>
      <c r="C190" s="955">
        <v>1.4592000000000001</v>
      </c>
    </row>
    <row r="191" spans="1:3">
      <c r="A191" s="3142" t="s">
        <v>2191</v>
      </c>
      <c r="B191" s="182" t="s">
        <v>2086</v>
      </c>
      <c r="C191" s="955">
        <v>1.32</v>
      </c>
    </row>
    <row r="192" spans="1:3">
      <c r="A192" s="3142" t="s">
        <v>2192</v>
      </c>
      <c r="B192" s="182" t="s">
        <v>2087</v>
      </c>
      <c r="C192" s="955">
        <v>1.4918</v>
      </c>
    </row>
    <row r="193" spans="1:3">
      <c r="A193" s="3142" t="s">
        <v>283</v>
      </c>
      <c r="B193" s="182" t="s">
        <v>2088</v>
      </c>
      <c r="C193" s="955">
        <v>1.5</v>
      </c>
    </row>
    <row r="194" spans="1:3">
      <c r="A194" s="3142" t="s">
        <v>1342</v>
      </c>
      <c r="B194" s="182" t="s">
        <v>1391</v>
      </c>
      <c r="C194" s="955">
        <v>1.5</v>
      </c>
    </row>
    <row r="195" spans="1:3">
      <c r="A195" s="3142" t="s">
        <v>284</v>
      </c>
      <c r="B195" s="182" t="s">
        <v>2089</v>
      </c>
      <c r="C195" s="955">
        <v>1.41</v>
      </c>
    </row>
    <row r="196" spans="1:3">
      <c r="A196" s="3142" t="s">
        <v>2363</v>
      </c>
      <c r="B196" s="182" t="s">
        <v>2231</v>
      </c>
      <c r="C196" s="955">
        <v>1.5</v>
      </c>
    </row>
    <row r="197" spans="1:3">
      <c r="A197" s="3142" t="s">
        <v>285</v>
      </c>
      <c r="B197" s="182" t="s">
        <v>2090</v>
      </c>
      <c r="C197" s="955">
        <v>1.46</v>
      </c>
    </row>
    <row r="198" spans="1:3">
      <c r="A198" s="3142" t="s">
        <v>286</v>
      </c>
      <c r="B198" s="182" t="s">
        <v>2091</v>
      </c>
      <c r="C198" s="955">
        <v>1.47</v>
      </c>
    </row>
    <row r="199" spans="1:3">
      <c r="A199" s="3142" t="s">
        <v>287</v>
      </c>
      <c r="B199" s="182" t="s">
        <v>2092</v>
      </c>
      <c r="C199" s="955">
        <v>1.375</v>
      </c>
    </row>
    <row r="200" spans="1:3">
      <c r="A200" s="3142" t="s">
        <v>1646</v>
      </c>
      <c r="B200" s="182" t="s">
        <v>2093</v>
      </c>
      <c r="C200" s="955">
        <v>1.5</v>
      </c>
    </row>
    <row r="201" spans="1:3">
      <c r="A201" s="3142" t="s">
        <v>1647</v>
      </c>
      <c r="B201" s="182" t="s">
        <v>2094</v>
      </c>
      <c r="C201" s="955">
        <v>1.27</v>
      </c>
    </row>
    <row r="202" spans="1:3">
      <c r="A202" s="3142" t="s">
        <v>1240</v>
      </c>
      <c r="B202" s="182" t="s">
        <v>2095</v>
      </c>
      <c r="C202" s="955">
        <v>1.4</v>
      </c>
    </row>
    <row r="203" spans="1:3">
      <c r="A203" s="3142" t="s">
        <v>1042</v>
      </c>
      <c r="B203" s="182" t="s">
        <v>2096</v>
      </c>
      <c r="C203" s="955">
        <v>1.419</v>
      </c>
    </row>
    <row r="204" spans="1:3">
      <c r="A204" s="3142" t="s">
        <v>2029</v>
      </c>
      <c r="B204" s="182" t="s">
        <v>247</v>
      </c>
      <c r="C204" s="955">
        <v>1.35</v>
      </c>
    </row>
    <row r="205" spans="1:3">
      <c r="A205" s="3142" t="s">
        <v>1043</v>
      </c>
      <c r="B205" s="182" t="s">
        <v>2097</v>
      </c>
      <c r="C205" s="955">
        <v>1.39</v>
      </c>
    </row>
    <row r="206" spans="1:3">
      <c r="A206" s="3142" t="s">
        <v>2260</v>
      </c>
      <c r="B206" s="182" t="s">
        <v>2430</v>
      </c>
      <c r="C206" s="955">
        <v>1.4630000000000001</v>
      </c>
    </row>
    <row r="207" spans="1:3">
      <c r="A207" s="3142" t="s">
        <v>1044</v>
      </c>
      <c r="B207" s="182" t="s">
        <v>2098</v>
      </c>
      <c r="C207" s="955">
        <v>1.43</v>
      </c>
    </row>
    <row r="208" spans="1:3">
      <c r="A208" s="3142" t="s">
        <v>640</v>
      </c>
      <c r="B208" s="182" t="s">
        <v>2099</v>
      </c>
      <c r="C208" s="955">
        <v>1.5</v>
      </c>
    </row>
    <row r="209" spans="1:3">
      <c r="A209" s="3142" t="s">
        <v>641</v>
      </c>
      <c r="B209" s="182" t="s">
        <v>621</v>
      </c>
      <c r="C209" s="955">
        <v>1.5</v>
      </c>
    </row>
    <row r="210" spans="1:3">
      <c r="A210" s="3142" t="s">
        <v>642</v>
      </c>
      <c r="B210" s="182" t="s">
        <v>622</v>
      </c>
      <c r="C210" s="955">
        <v>1.5</v>
      </c>
    </row>
    <row r="211" spans="1:3">
      <c r="A211" s="3142" t="s">
        <v>643</v>
      </c>
      <c r="B211" s="182" t="s">
        <v>623</v>
      </c>
      <c r="C211" s="955">
        <v>1.4505999999999999</v>
      </c>
    </row>
    <row r="212" spans="1:3">
      <c r="A212" s="3142" t="s">
        <v>372</v>
      </c>
      <c r="B212" s="182" t="s">
        <v>624</v>
      </c>
      <c r="C212" s="955">
        <v>1.39</v>
      </c>
    </row>
    <row r="213" spans="1:3">
      <c r="A213" s="3142" t="s">
        <v>2418</v>
      </c>
      <c r="B213" s="182" t="s">
        <v>113</v>
      </c>
      <c r="C213" s="955">
        <v>1.5</v>
      </c>
    </row>
    <row r="214" spans="1:3">
      <c r="A214" s="3142" t="s">
        <v>2419</v>
      </c>
      <c r="B214" s="182" t="s">
        <v>114</v>
      </c>
      <c r="C214" s="955">
        <v>1.42</v>
      </c>
    </row>
    <row r="215" spans="1:3">
      <c r="A215" s="3142" t="s">
        <v>2420</v>
      </c>
      <c r="B215" s="182" t="s">
        <v>115</v>
      </c>
      <c r="C215" s="955">
        <v>1.48</v>
      </c>
    </row>
    <row r="216" spans="1:3">
      <c r="A216" s="3142" t="s">
        <v>1550</v>
      </c>
      <c r="B216" s="182" t="s">
        <v>116</v>
      </c>
      <c r="C216" s="955">
        <v>1.5</v>
      </c>
    </row>
    <row r="217" spans="1:3">
      <c r="A217" s="3142" t="s">
        <v>366</v>
      </c>
      <c r="B217" s="182" t="s">
        <v>117</v>
      </c>
      <c r="C217" s="955">
        <v>1.5</v>
      </c>
    </row>
    <row r="218" spans="1:3">
      <c r="A218" s="3142" t="s">
        <v>367</v>
      </c>
      <c r="B218" s="182" t="s">
        <v>118</v>
      </c>
      <c r="C218" s="955">
        <v>1.5</v>
      </c>
    </row>
    <row r="219" spans="1:3">
      <c r="A219" s="3142" t="s">
        <v>368</v>
      </c>
      <c r="B219" s="182" t="s">
        <v>119</v>
      </c>
      <c r="C219" s="955">
        <v>1.5</v>
      </c>
    </row>
    <row r="220" spans="1:3">
      <c r="A220" s="3142" t="s">
        <v>369</v>
      </c>
      <c r="B220" s="182" t="s">
        <v>120</v>
      </c>
      <c r="C220" s="955">
        <v>1.5</v>
      </c>
    </row>
    <row r="221" spans="1:3">
      <c r="A221" s="3142" t="s">
        <v>2435</v>
      </c>
      <c r="B221" s="182" t="s">
        <v>1394</v>
      </c>
      <c r="C221" s="955">
        <v>1.4568000000000001</v>
      </c>
    </row>
    <row r="222" spans="1:3">
      <c r="A222" s="3142" t="s">
        <v>625</v>
      </c>
      <c r="B222" s="182" t="s">
        <v>816</v>
      </c>
      <c r="C222" s="955">
        <v>1.49</v>
      </c>
    </row>
    <row r="223" spans="1:3">
      <c r="A223" s="3142" t="s">
        <v>500</v>
      </c>
      <c r="B223" s="182" t="s">
        <v>121</v>
      </c>
      <c r="C223" s="955">
        <v>1.45</v>
      </c>
    </row>
    <row r="224" spans="1:3">
      <c r="A224" s="3142" t="s">
        <v>39</v>
      </c>
      <c r="B224" s="182" t="s">
        <v>1195</v>
      </c>
      <c r="C224" s="955">
        <v>1.5</v>
      </c>
    </row>
    <row r="225" spans="1:3">
      <c r="A225" s="3142" t="s">
        <v>1693</v>
      </c>
      <c r="B225" s="182" t="s">
        <v>122</v>
      </c>
      <c r="C225" s="955">
        <v>1.4616</v>
      </c>
    </row>
    <row r="226" spans="1:3">
      <c r="A226" s="3142" t="s">
        <v>2392</v>
      </c>
      <c r="B226" s="182" t="s">
        <v>2112</v>
      </c>
      <c r="C226" s="955">
        <v>1.45</v>
      </c>
    </row>
    <row r="227" spans="1:3">
      <c r="A227" s="3142" t="s">
        <v>1694</v>
      </c>
      <c r="B227" s="182" t="s">
        <v>2466</v>
      </c>
      <c r="C227" s="955">
        <v>1.5</v>
      </c>
    </row>
    <row r="228" spans="1:3">
      <c r="A228" s="3142" t="s">
        <v>2541</v>
      </c>
      <c r="B228" s="182" t="s">
        <v>2467</v>
      </c>
      <c r="C228" s="955">
        <v>1.446</v>
      </c>
    </row>
    <row r="229" spans="1:3">
      <c r="A229" s="3142" t="s">
        <v>235</v>
      </c>
      <c r="B229" s="182" t="s">
        <v>2468</v>
      </c>
      <c r="C229" s="955">
        <v>1.5</v>
      </c>
    </row>
    <row r="230" spans="1:3">
      <c r="A230" s="3142" t="s">
        <v>236</v>
      </c>
      <c r="B230" s="182" t="s">
        <v>2516</v>
      </c>
      <c r="C230" s="955">
        <v>1.44</v>
      </c>
    </row>
    <row r="231" spans="1:3">
      <c r="A231" s="3142" t="s">
        <v>237</v>
      </c>
      <c r="B231" s="182" t="s">
        <v>2469</v>
      </c>
      <c r="C231" s="955">
        <v>1.5</v>
      </c>
    </row>
    <row r="232" spans="1:3">
      <c r="A232" s="3142" t="s">
        <v>238</v>
      </c>
      <c r="B232" s="182" t="s">
        <v>2470</v>
      </c>
      <c r="C232" s="955">
        <v>1.5</v>
      </c>
    </row>
    <row r="233" spans="1:3">
      <c r="A233" s="3142" t="s">
        <v>355</v>
      </c>
      <c r="B233" s="182" t="s">
        <v>2471</v>
      </c>
      <c r="C233" s="955">
        <v>1.5</v>
      </c>
    </row>
    <row r="234" spans="1:3">
      <c r="A234" s="3142" t="s">
        <v>1760</v>
      </c>
      <c r="B234" s="182" t="s">
        <v>2239</v>
      </c>
      <c r="C234" s="955">
        <v>1.5</v>
      </c>
    </row>
    <row r="235" spans="1:3">
      <c r="A235" s="3142" t="s">
        <v>1012</v>
      </c>
      <c r="B235" s="182" t="s">
        <v>2472</v>
      </c>
      <c r="C235" s="955">
        <v>0.97570000000000001</v>
      </c>
    </row>
    <row r="236" spans="1:3">
      <c r="A236" s="3142" t="s">
        <v>1013</v>
      </c>
      <c r="B236" s="182" t="s">
        <v>2473</v>
      </c>
      <c r="C236" s="955">
        <v>1.49</v>
      </c>
    </row>
    <row r="237" spans="1:3">
      <c r="A237" s="3142" t="s">
        <v>603</v>
      </c>
      <c r="B237" s="182" t="s">
        <v>98</v>
      </c>
      <c r="C237" s="955">
        <v>1.5</v>
      </c>
    </row>
    <row r="238" spans="1:3">
      <c r="A238" s="3142" t="s">
        <v>1014</v>
      </c>
      <c r="B238" s="182" t="s">
        <v>2474</v>
      </c>
      <c r="C238" s="955">
        <v>1.5</v>
      </c>
    </row>
    <row r="239" spans="1:3">
      <c r="A239" s="3142" t="s">
        <v>1673</v>
      </c>
      <c r="B239" s="182" t="s">
        <v>2327</v>
      </c>
      <c r="C239" s="955">
        <v>1.5</v>
      </c>
    </row>
    <row r="240" spans="1:3">
      <c r="A240" s="3142" t="s">
        <v>198</v>
      </c>
      <c r="B240" s="182" t="s">
        <v>946</v>
      </c>
      <c r="C240" s="955">
        <v>1.5</v>
      </c>
    </row>
    <row r="241" spans="1:3">
      <c r="A241" s="3142" t="s">
        <v>676</v>
      </c>
      <c r="B241" s="182" t="s">
        <v>1598</v>
      </c>
      <c r="C241" s="955">
        <v>1.5</v>
      </c>
    </row>
    <row r="242" spans="1:3">
      <c r="A242" s="3142" t="s">
        <v>200</v>
      </c>
      <c r="B242" s="182" t="s">
        <v>948</v>
      </c>
      <c r="C242" s="955">
        <v>1.5</v>
      </c>
    </row>
    <row r="243" spans="1:3">
      <c r="A243" s="3142" t="s">
        <v>1586</v>
      </c>
      <c r="B243" s="182" t="s">
        <v>1997</v>
      </c>
      <c r="C243" s="955">
        <v>1.5</v>
      </c>
    </row>
    <row r="244" spans="1:3">
      <c r="A244" s="3142" t="s">
        <v>462</v>
      </c>
      <c r="B244" s="182" t="s">
        <v>1947</v>
      </c>
      <c r="C244" s="955">
        <v>1.5</v>
      </c>
    </row>
    <row r="245" spans="1:3">
      <c r="A245" s="3142" t="s">
        <v>1734</v>
      </c>
      <c r="B245" s="182" t="s">
        <v>2475</v>
      </c>
      <c r="C245" s="955">
        <v>1.5</v>
      </c>
    </row>
    <row r="246" spans="1:3">
      <c r="A246" s="3142" t="s">
        <v>1325</v>
      </c>
      <c r="B246" s="182" t="s">
        <v>1182</v>
      </c>
      <c r="C246" s="955">
        <v>1.5</v>
      </c>
    </row>
    <row r="247" spans="1:3">
      <c r="A247" s="3142" t="s">
        <v>59</v>
      </c>
      <c r="B247" s="182" t="s">
        <v>2176</v>
      </c>
      <c r="C247" s="955">
        <v>1.5</v>
      </c>
    </row>
    <row r="248" spans="1:3">
      <c r="A248" s="3142" t="s">
        <v>604</v>
      </c>
      <c r="B248" s="182" t="s">
        <v>1476</v>
      </c>
      <c r="C248" s="955">
        <v>1.49</v>
      </c>
    </row>
    <row r="249" spans="1:3">
      <c r="A249" s="3142" t="s">
        <v>2364</v>
      </c>
      <c r="B249" s="182" t="s">
        <v>399</v>
      </c>
      <c r="C249" s="955">
        <v>1.35</v>
      </c>
    </row>
    <row r="250" spans="1:3">
      <c r="A250" s="3142" t="s">
        <v>1735</v>
      </c>
      <c r="B250" s="182" t="s">
        <v>2476</v>
      </c>
      <c r="C250" s="955">
        <v>1.282</v>
      </c>
    </row>
    <row r="251" spans="1:3">
      <c r="A251" s="3142" t="s">
        <v>1114</v>
      </c>
      <c r="B251" s="182" t="s">
        <v>2073</v>
      </c>
      <c r="C251" s="955">
        <v>1.5</v>
      </c>
    </row>
    <row r="252" spans="1:3">
      <c r="A252" s="3142" t="s">
        <v>1736</v>
      </c>
      <c r="B252" s="182" t="s">
        <v>2477</v>
      </c>
      <c r="C252" s="955">
        <v>1.38</v>
      </c>
    </row>
    <row r="253" spans="1:3">
      <c r="A253" s="3142" t="s">
        <v>657</v>
      </c>
      <c r="B253" s="182" t="s">
        <v>2478</v>
      </c>
      <c r="C253" s="955">
        <v>1.3695999999999999</v>
      </c>
    </row>
    <row r="254" spans="1:3">
      <c r="A254" s="3142" t="s">
        <v>282</v>
      </c>
      <c r="B254" s="182" t="s">
        <v>2479</v>
      </c>
      <c r="C254" s="955">
        <v>1.5</v>
      </c>
    </row>
    <row r="255" spans="1:3">
      <c r="A255" s="3142" t="s">
        <v>165</v>
      </c>
      <c r="B255" s="182" t="s">
        <v>2480</v>
      </c>
      <c r="C255" s="955">
        <v>1.5</v>
      </c>
    </row>
    <row r="256" spans="1:3">
      <c r="A256" s="3142" t="s">
        <v>166</v>
      </c>
      <c r="B256" s="182" t="s">
        <v>2481</v>
      </c>
      <c r="C256" s="955">
        <v>1.5</v>
      </c>
    </row>
    <row r="257" spans="1:3">
      <c r="A257" s="3142" t="s">
        <v>677</v>
      </c>
      <c r="B257" s="182" t="s">
        <v>614</v>
      </c>
      <c r="C257" s="955">
        <v>1.5</v>
      </c>
    </row>
    <row r="258" spans="1:3">
      <c r="A258" s="3142" t="s">
        <v>2485</v>
      </c>
      <c r="B258" s="182" t="s">
        <v>1851</v>
      </c>
      <c r="C258" s="955">
        <v>1.3740000000000001</v>
      </c>
    </row>
    <row r="259" spans="1:3">
      <c r="A259" s="3142" t="s">
        <v>1465</v>
      </c>
      <c r="B259" s="182" t="s">
        <v>2237</v>
      </c>
      <c r="C259" s="955">
        <v>1.36</v>
      </c>
    </row>
    <row r="260" spans="1:3">
      <c r="A260" s="3142" t="s">
        <v>2486</v>
      </c>
      <c r="B260" s="182" t="s">
        <v>1852</v>
      </c>
      <c r="C260" s="955">
        <v>1.5</v>
      </c>
    </row>
    <row r="261" spans="1:3">
      <c r="A261" s="3142" t="s">
        <v>2487</v>
      </c>
      <c r="B261" s="182" t="s">
        <v>1853</v>
      </c>
      <c r="C261" s="955">
        <v>1.5</v>
      </c>
    </row>
    <row r="262" spans="1:3">
      <c r="A262" s="3142" t="s">
        <v>678</v>
      </c>
      <c r="B262" s="182" t="s">
        <v>1917</v>
      </c>
      <c r="C262" s="955">
        <v>1.5</v>
      </c>
    </row>
    <row r="263" spans="1:3">
      <c r="A263" s="3142" t="s">
        <v>637</v>
      </c>
      <c r="B263" s="182" t="s">
        <v>1854</v>
      </c>
      <c r="C263" s="955">
        <v>1.5</v>
      </c>
    </row>
    <row r="264" spans="1:3">
      <c r="A264" s="3142" t="s">
        <v>2030</v>
      </c>
      <c r="B264" s="182" t="s">
        <v>2032</v>
      </c>
      <c r="C264" s="955">
        <v>1.44</v>
      </c>
    </row>
    <row r="265" spans="1:3">
      <c r="A265" s="3142" t="s">
        <v>2173</v>
      </c>
      <c r="B265" s="182" t="s">
        <v>1855</v>
      </c>
      <c r="C265" s="955">
        <v>1.4650000000000001</v>
      </c>
    </row>
    <row r="266" spans="1:3">
      <c r="A266" s="3142" t="s">
        <v>1691</v>
      </c>
      <c r="B266" s="182" t="s">
        <v>1856</v>
      </c>
      <c r="C266" s="955">
        <v>1.45</v>
      </c>
    </row>
    <row r="267" spans="1:3">
      <c r="A267" s="3142" t="s">
        <v>579</v>
      </c>
      <c r="B267" s="182" t="s">
        <v>1857</v>
      </c>
      <c r="C267" s="955">
        <v>1.5</v>
      </c>
    </row>
    <row r="268" spans="1:3">
      <c r="A268" s="3142" t="s">
        <v>870</v>
      </c>
      <c r="B268" s="182" t="s">
        <v>1858</v>
      </c>
      <c r="C268" s="955">
        <v>1.4390000000000001</v>
      </c>
    </row>
    <row r="269" spans="1:3">
      <c r="A269" s="3142" t="s">
        <v>2013</v>
      </c>
      <c r="B269" s="182" t="s">
        <v>1859</v>
      </c>
      <c r="C269" s="955">
        <v>1.4</v>
      </c>
    </row>
    <row r="270" spans="1:3">
      <c r="A270" s="3142" t="s">
        <v>2438</v>
      </c>
      <c r="B270" s="182" t="s">
        <v>1860</v>
      </c>
      <c r="C270" s="955">
        <v>1.5</v>
      </c>
    </row>
    <row r="271" spans="1:3">
      <c r="A271" s="3142" t="s">
        <v>2257</v>
      </c>
      <c r="B271" s="182" t="s">
        <v>1861</v>
      </c>
      <c r="C271" s="955">
        <v>1.5</v>
      </c>
    </row>
    <row r="272" spans="1:3">
      <c r="A272" s="3142" t="s">
        <v>232</v>
      </c>
      <c r="B272" s="182" t="s">
        <v>1998</v>
      </c>
      <c r="C272" s="955">
        <v>1.43</v>
      </c>
    </row>
    <row r="273" spans="1:3">
      <c r="A273" s="3142" t="s">
        <v>1320</v>
      </c>
      <c r="B273" s="182" t="s">
        <v>1862</v>
      </c>
      <c r="C273" s="955">
        <v>1.4709000000000001</v>
      </c>
    </row>
    <row r="274" spans="1:3">
      <c r="A274" s="3142" t="s">
        <v>1321</v>
      </c>
      <c r="B274" s="182" t="s">
        <v>1863</v>
      </c>
      <c r="C274" s="955">
        <v>1.4750000000000001</v>
      </c>
    </row>
    <row r="275" spans="1:3">
      <c r="A275" s="3142" t="s">
        <v>679</v>
      </c>
      <c r="B275" s="182" t="s">
        <v>1196</v>
      </c>
      <c r="C275" s="955">
        <v>1.5</v>
      </c>
    </row>
    <row r="276" spans="1:3">
      <c r="A276" s="3142" t="s">
        <v>1316</v>
      </c>
      <c r="B276" s="182" t="s">
        <v>1864</v>
      </c>
      <c r="C276" s="955">
        <v>1.5</v>
      </c>
    </row>
    <row r="277" spans="1:3">
      <c r="A277" s="3142" t="s">
        <v>883</v>
      </c>
      <c r="B277" s="182" t="s">
        <v>1865</v>
      </c>
      <c r="C277" s="955">
        <v>1.5</v>
      </c>
    </row>
    <row r="278" spans="1:3">
      <c r="A278" s="3142" t="s">
        <v>233</v>
      </c>
      <c r="B278" s="182" t="s">
        <v>1287</v>
      </c>
      <c r="C278" s="955">
        <v>1.5</v>
      </c>
    </row>
    <row r="279" spans="1:3">
      <c r="A279" s="3142" t="s">
        <v>1971</v>
      </c>
      <c r="B279" s="182" t="s">
        <v>77</v>
      </c>
      <c r="C279" s="955">
        <v>1.5</v>
      </c>
    </row>
    <row r="280" spans="1:3">
      <c r="A280" s="3142" t="s">
        <v>326</v>
      </c>
      <c r="B280" s="182" t="s">
        <v>130</v>
      </c>
      <c r="C280" s="955">
        <v>1.4858</v>
      </c>
    </row>
    <row r="281" spans="1:3">
      <c r="A281" s="3142" t="s">
        <v>680</v>
      </c>
      <c r="B281" s="182" t="s">
        <v>1879</v>
      </c>
      <c r="C281" s="955">
        <v>1.4570000000000001</v>
      </c>
    </row>
    <row r="282" spans="1:3">
      <c r="A282" s="3142" t="s">
        <v>541</v>
      </c>
      <c r="B282" s="182" t="s">
        <v>1096</v>
      </c>
      <c r="C282" s="955">
        <v>1.5</v>
      </c>
    </row>
    <row r="283" spans="1:3">
      <c r="A283" s="3142" t="s">
        <v>2275</v>
      </c>
      <c r="B283" s="182" t="s">
        <v>1866</v>
      </c>
      <c r="C283" s="955">
        <v>1.5</v>
      </c>
    </row>
    <row r="284" spans="1:3">
      <c r="A284" s="3142" t="s">
        <v>730</v>
      </c>
      <c r="B284" s="182" t="s">
        <v>845</v>
      </c>
      <c r="C284" s="955">
        <v>1.5</v>
      </c>
    </row>
    <row r="285" spans="1:3">
      <c r="A285" s="3142" t="s">
        <v>173</v>
      </c>
      <c r="B285" s="182" t="s">
        <v>1918</v>
      </c>
      <c r="C285" s="955">
        <v>1.5</v>
      </c>
    </row>
    <row r="286" spans="1:3">
      <c r="A286" s="3142" t="s">
        <v>1115</v>
      </c>
      <c r="B286" s="182" t="s">
        <v>716</v>
      </c>
      <c r="C286" s="955">
        <v>1.5</v>
      </c>
    </row>
    <row r="287" spans="1:3">
      <c r="A287" s="3142" t="s">
        <v>1979</v>
      </c>
      <c r="B287" s="182" t="s">
        <v>2280</v>
      </c>
      <c r="C287" s="955">
        <v>1.5</v>
      </c>
    </row>
    <row r="288" spans="1:3">
      <c r="A288" s="3142" t="s">
        <v>1781</v>
      </c>
      <c r="B288" s="182" t="s">
        <v>612</v>
      </c>
      <c r="C288" s="955">
        <v>1.5</v>
      </c>
    </row>
    <row r="289" spans="1:3">
      <c r="A289" s="3142" t="s">
        <v>1428</v>
      </c>
      <c r="B289" s="182" t="s">
        <v>569</v>
      </c>
      <c r="C289" s="955">
        <v>1.5</v>
      </c>
    </row>
    <row r="290" spans="1:3">
      <c r="A290" s="3142" t="s">
        <v>1081</v>
      </c>
      <c r="B290" s="182" t="s">
        <v>1823</v>
      </c>
      <c r="C290" s="955">
        <v>1.3583000000000001</v>
      </c>
    </row>
    <row r="291" spans="1:3">
      <c r="A291" s="3142" t="s">
        <v>2276</v>
      </c>
      <c r="B291" s="182" t="s">
        <v>1867</v>
      </c>
      <c r="C291" s="955">
        <v>1.26</v>
      </c>
    </row>
    <row r="292" spans="1:3">
      <c r="A292" s="3142" t="s">
        <v>2277</v>
      </c>
      <c r="B292" s="182" t="s">
        <v>1868</v>
      </c>
      <c r="C292" s="955">
        <v>1.3420000000000001</v>
      </c>
    </row>
    <row r="293" spans="1:3">
      <c r="A293" s="3142" t="s">
        <v>1422</v>
      </c>
      <c r="B293" s="182" t="s">
        <v>1833</v>
      </c>
      <c r="C293" s="955">
        <v>1.5</v>
      </c>
    </row>
    <row r="294" spans="1:3">
      <c r="A294" s="3142" t="s">
        <v>1727</v>
      </c>
      <c r="B294" s="182" t="s">
        <v>1869</v>
      </c>
      <c r="C294" s="955">
        <v>1.4307000000000001</v>
      </c>
    </row>
    <row r="295" spans="1:3">
      <c r="A295" s="3142" t="s">
        <v>1728</v>
      </c>
      <c r="B295" s="182" t="s">
        <v>1870</v>
      </c>
      <c r="C295" s="955">
        <v>1.5</v>
      </c>
    </row>
    <row r="296" spans="1:3">
      <c r="A296" s="3142" t="s">
        <v>1160</v>
      </c>
      <c r="B296" s="182" t="s">
        <v>2329</v>
      </c>
      <c r="C296" s="955">
        <v>1.42</v>
      </c>
    </row>
    <row r="297" spans="1:3">
      <c r="A297" s="3142" t="s">
        <v>1729</v>
      </c>
      <c r="B297" s="182" t="s">
        <v>1871</v>
      </c>
      <c r="C297" s="955">
        <v>1.37</v>
      </c>
    </row>
    <row r="298" spans="1:3">
      <c r="A298" s="3142" t="s">
        <v>187</v>
      </c>
      <c r="B298" s="182" t="s">
        <v>1872</v>
      </c>
      <c r="C298" s="955">
        <v>1.49</v>
      </c>
    </row>
    <row r="299" spans="1:3">
      <c r="A299" s="3142" t="s">
        <v>1730</v>
      </c>
      <c r="B299" s="182" t="s">
        <v>1950</v>
      </c>
      <c r="C299" s="955">
        <v>1.4076</v>
      </c>
    </row>
    <row r="300" spans="1:3">
      <c r="A300" s="3142" t="s">
        <v>1738</v>
      </c>
      <c r="B300" s="182" t="s">
        <v>1256</v>
      </c>
      <c r="C300" s="955">
        <v>1.23</v>
      </c>
    </row>
    <row r="301" spans="1:3">
      <c r="A301" s="3142" t="s">
        <v>188</v>
      </c>
      <c r="B301" s="182" t="s">
        <v>1873</v>
      </c>
      <c r="C301" s="955">
        <v>1.0054000000000001</v>
      </c>
    </row>
    <row r="302" spans="1:3">
      <c r="A302" s="3142" t="s">
        <v>189</v>
      </c>
      <c r="B302" s="182" t="s">
        <v>1</v>
      </c>
      <c r="C302" s="955">
        <v>1.5</v>
      </c>
    </row>
    <row r="303" spans="1:3">
      <c r="A303" s="3142" t="s">
        <v>1161</v>
      </c>
      <c r="B303" s="182" t="s">
        <v>2058</v>
      </c>
      <c r="C303" s="955">
        <v>1.5</v>
      </c>
    </row>
    <row r="304" spans="1:3">
      <c r="A304" s="3142" t="s">
        <v>681</v>
      </c>
      <c r="B304" s="182" t="s">
        <v>1009</v>
      </c>
      <c r="C304" s="955">
        <v>1.5</v>
      </c>
    </row>
    <row r="305" spans="1:3">
      <c r="A305" s="3142" t="s">
        <v>190</v>
      </c>
      <c r="B305" s="182" t="s">
        <v>2</v>
      </c>
      <c r="C305" s="955">
        <v>1.421</v>
      </c>
    </row>
    <row r="306" spans="1:3">
      <c r="A306" s="3142" t="s">
        <v>191</v>
      </c>
      <c r="B306" s="182" t="s">
        <v>3</v>
      </c>
      <c r="C306" s="955">
        <v>1.4141999999999999</v>
      </c>
    </row>
    <row r="307" spans="1:3">
      <c r="A307" s="3142" t="s">
        <v>1644</v>
      </c>
      <c r="B307" s="182" t="s">
        <v>4</v>
      </c>
      <c r="C307" s="955">
        <v>1.5</v>
      </c>
    </row>
    <row r="308" spans="1:3">
      <c r="A308" s="3142" t="s">
        <v>1645</v>
      </c>
      <c r="B308" s="182" t="s">
        <v>5</v>
      </c>
      <c r="C308" s="955">
        <v>1.39</v>
      </c>
    </row>
    <row r="309" spans="1:3">
      <c r="A309" s="3142" t="s">
        <v>1162</v>
      </c>
      <c r="B309" s="182" t="s">
        <v>1913</v>
      </c>
      <c r="C309" s="955">
        <v>1.4179999999999999</v>
      </c>
    </row>
    <row r="310" spans="1:3">
      <c r="A310" s="3142" t="s">
        <v>2428</v>
      </c>
      <c r="B310" s="182" t="s">
        <v>434</v>
      </c>
      <c r="C310" s="955">
        <v>1.4224000000000001</v>
      </c>
    </row>
    <row r="311" spans="1:3">
      <c r="A311" s="3142" t="s">
        <v>1601</v>
      </c>
      <c r="B311" s="182" t="s">
        <v>435</v>
      </c>
      <c r="C311" s="955">
        <v>1.5</v>
      </c>
    </row>
    <row r="312" spans="1:3">
      <c r="A312" s="3142" t="s">
        <v>1602</v>
      </c>
      <c r="B312" s="182" t="s">
        <v>436</v>
      </c>
      <c r="C312" s="955">
        <v>1.415</v>
      </c>
    </row>
    <row r="313" spans="1:3">
      <c r="A313" s="3142" t="s">
        <v>873</v>
      </c>
      <c r="B313" s="182" t="s">
        <v>437</v>
      </c>
      <c r="C313" s="955">
        <v>1.5</v>
      </c>
    </row>
    <row r="314" spans="1:3">
      <c r="A314" s="3142" t="s">
        <v>63</v>
      </c>
      <c r="B314" s="182" t="s">
        <v>167</v>
      </c>
      <c r="C314" s="955">
        <v>1.5</v>
      </c>
    </row>
    <row r="315" spans="1:3">
      <c r="A315" s="3142" t="s">
        <v>710</v>
      </c>
      <c r="B315" s="182" t="s">
        <v>800</v>
      </c>
      <c r="C315" s="955">
        <v>1.5</v>
      </c>
    </row>
    <row r="316" spans="1:3">
      <c r="A316" s="3142" t="s">
        <v>2365</v>
      </c>
      <c r="B316" s="182" t="s">
        <v>573</v>
      </c>
      <c r="C316" s="955">
        <v>1.5</v>
      </c>
    </row>
    <row r="317" spans="1:3">
      <c r="A317" s="3142" t="s">
        <v>590</v>
      </c>
      <c r="B317" s="182" t="s">
        <v>801</v>
      </c>
      <c r="C317" s="955">
        <v>1.5</v>
      </c>
    </row>
    <row r="318" spans="1:3">
      <c r="A318" s="3142" t="s">
        <v>591</v>
      </c>
      <c r="B318" s="182" t="s">
        <v>802</v>
      </c>
      <c r="C318" s="955">
        <v>1.5</v>
      </c>
    </row>
    <row r="319" spans="1:3">
      <c r="A319" s="3142" t="s">
        <v>592</v>
      </c>
      <c r="B319" s="182" t="s">
        <v>803</v>
      </c>
      <c r="C319" s="955">
        <v>1.36</v>
      </c>
    </row>
    <row r="320" spans="1:3">
      <c r="A320" s="3142" t="s">
        <v>593</v>
      </c>
      <c r="B320" s="182" t="s">
        <v>804</v>
      </c>
      <c r="C320" s="955">
        <v>1.5</v>
      </c>
    </row>
    <row r="321" spans="1:3">
      <c r="A321" s="3142" t="s">
        <v>2400</v>
      </c>
      <c r="B321" s="182" t="s">
        <v>847</v>
      </c>
      <c r="C321" s="955">
        <v>1.5</v>
      </c>
    </row>
    <row r="322" spans="1:3">
      <c r="A322" s="3142" t="s">
        <v>1337</v>
      </c>
      <c r="B322" s="182" t="s">
        <v>103</v>
      </c>
      <c r="C322" s="955">
        <v>1.5</v>
      </c>
    </row>
    <row r="323" spans="1:3">
      <c r="A323" s="3142" t="s">
        <v>594</v>
      </c>
      <c r="B323" s="182" t="s">
        <v>805</v>
      </c>
      <c r="C323" s="955">
        <v>1.5</v>
      </c>
    </row>
    <row r="324" spans="1:3">
      <c r="A324" s="3142" t="s">
        <v>2193</v>
      </c>
      <c r="B324" s="182" t="s">
        <v>806</v>
      </c>
      <c r="C324" s="955">
        <v>1.49</v>
      </c>
    </row>
    <row r="325" spans="1:3">
      <c r="A325" s="3142" t="s">
        <v>1900</v>
      </c>
      <c r="B325" s="182" t="s">
        <v>807</v>
      </c>
      <c r="C325" s="955">
        <v>1.36</v>
      </c>
    </row>
    <row r="326" spans="1:3">
      <c r="A326" s="3142" t="s">
        <v>1227</v>
      </c>
      <c r="B326" s="182" t="s">
        <v>808</v>
      </c>
      <c r="C326" s="955">
        <v>1.45</v>
      </c>
    </row>
    <row r="327" spans="1:3">
      <c r="A327" s="3142" t="s">
        <v>1812</v>
      </c>
      <c r="B327" s="182" t="s">
        <v>809</v>
      </c>
      <c r="C327" s="955">
        <v>1.5</v>
      </c>
    </row>
    <row r="328" spans="1:3">
      <c r="A328" s="3142" t="s">
        <v>1817</v>
      </c>
      <c r="B328" s="182" t="s">
        <v>810</v>
      </c>
      <c r="C328" s="955">
        <v>1.5</v>
      </c>
    </row>
    <row r="329" spans="1:3">
      <c r="A329" s="3142" t="s">
        <v>1818</v>
      </c>
      <c r="B329" s="182" t="s">
        <v>811</v>
      </c>
      <c r="C329" s="955">
        <v>1.3</v>
      </c>
    </row>
    <row r="330" spans="1:3">
      <c r="A330" s="3142" t="s">
        <v>1163</v>
      </c>
      <c r="B330" s="182" t="s">
        <v>2057</v>
      </c>
      <c r="C330" s="955">
        <v>1.5</v>
      </c>
    </row>
    <row r="331" spans="1:3">
      <c r="A331" s="3142" t="s">
        <v>2366</v>
      </c>
      <c r="B331" s="182" t="s">
        <v>2448</v>
      </c>
      <c r="C331" s="955">
        <v>1.425</v>
      </c>
    </row>
    <row r="332" spans="1:3">
      <c r="A332" s="3142" t="s">
        <v>1819</v>
      </c>
      <c r="B332" s="182" t="s">
        <v>812</v>
      </c>
      <c r="C332" s="955">
        <v>1.28</v>
      </c>
    </row>
    <row r="333" spans="1:3">
      <c r="A333" s="3142" t="s">
        <v>1991</v>
      </c>
      <c r="B333" s="182" t="s">
        <v>498</v>
      </c>
      <c r="C333" s="955">
        <v>1.18</v>
      </c>
    </row>
    <row r="334" spans="1:3">
      <c r="A334" s="3142" t="s">
        <v>2053</v>
      </c>
      <c r="B334" s="182" t="s">
        <v>499</v>
      </c>
      <c r="C334" s="955">
        <v>1.01</v>
      </c>
    </row>
    <row r="335" spans="1:3">
      <c r="A335" s="3142" t="s">
        <v>1880</v>
      </c>
      <c r="B335" s="182" t="s">
        <v>345</v>
      </c>
      <c r="C335" s="955">
        <v>1.5</v>
      </c>
    </row>
    <row r="336" spans="1:3">
      <c r="A336" s="3142" t="s">
        <v>2108</v>
      </c>
      <c r="B336" s="182" t="s">
        <v>346</v>
      </c>
      <c r="C336" s="955">
        <v>1.5</v>
      </c>
    </row>
    <row r="337" spans="1:3">
      <c r="A337" s="3142" t="s">
        <v>1762</v>
      </c>
      <c r="B337" s="182" t="s">
        <v>2242</v>
      </c>
      <c r="C337" s="955">
        <v>1.5</v>
      </c>
    </row>
    <row r="338" spans="1:3">
      <c r="A338" s="3142" t="s">
        <v>717</v>
      </c>
      <c r="B338" s="182" t="s">
        <v>347</v>
      </c>
      <c r="C338" s="955">
        <v>1.5</v>
      </c>
    </row>
    <row r="339" spans="1:3">
      <c r="A339" s="3142" t="s">
        <v>718</v>
      </c>
      <c r="B339" s="182" t="s">
        <v>348</v>
      </c>
      <c r="C339" s="955">
        <v>1.5</v>
      </c>
    </row>
    <row r="340" spans="1:3">
      <c r="A340" s="3142" t="s">
        <v>2319</v>
      </c>
      <c r="B340" s="182" t="s">
        <v>349</v>
      </c>
      <c r="C340" s="955">
        <v>1.5</v>
      </c>
    </row>
    <row r="341" spans="1:3">
      <c r="A341" s="3142" t="s">
        <v>463</v>
      </c>
      <c r="B341" s="182" t="s">
        <v>83</v>
      </c>
      <c r="C341" s="955">
        <v>1.45</v>
      </c>
    </row>
    <row r="342" spans="1:3">
      <c r="A342" s="3142" t="s">
        <v>2320</v>
      </c>
      <c r="B342" s="182" t="s">
        <v>350</v>
      </c>
      <c r="C342" s="955">
        <v>1.5</v>
      </c>
    </row>
    <row r="343" spans="1:3">
      <c r="A343" s="3142" t="s">
        <v>1339</v>
      </c>
      <c r="B343" s="182" t="s">
        <v>1388</v>
      </c>
      <c r="C343" s="955">
        <v>1.5</v>
      </c>
    </row>
    <row r="344" spans="1:3">
      <c r="A344" s="3142" t="s">
        <v>1574</v>
      </c>
      <c r="B344" s="182" t="s">
        <v>351</v>
      </c>
      <c r="C344" s="955">
        <v>1.3615999999999999</v>
      </c>
    </row>
    <row r="345" spans="1:3">
      <c r="A345" s="3142" t="s">
        <v>1575</v>
      </c>
      <c r="B345" s="182" t="s">
        <v>352</v>
      </c>
      <c r="C345" s="955">
        <v>1.5</v>
      </c>
    </row>
    <row r="346" spans="1:3">
      <c r="A346" s="3142" t="s">
        <v>1769</v>
      </c>
      <c r="B346" s="182" t="s">
        <v>353</v>
      </c>
      <c r="C346" s="955">
        <v>1.39</v>
      </c>
    </row>
    <row r="347" spans="1:3">
      <c r="A347" s="3142" t="s">
        <v>1366</v>
      </c>
      <c r="B347" s="182" t="s">
        <v>354</v>
      </c>
      <c r="C347" s="955">
        <v>1.4517</v>
      </c>
    </row>
    <row r="348" spans="1:3">
      <c r="A348" s="3142" t="s">
        <v>2041</v>
      </c>
      <c r="B348" s="182" t="s">
        <v>1688</v>
      </c>
      <c r="C348" s="955">
        <v>1.3756999999999999</v>
      </c>
    </row>
    <row r="349" spans="1:3">
      <c r="A349" s="3142" t="s">
        <v>2042</v>
      </c>
      <c r="B349" s="182" t="s">
        <v>1689</v>
      </c>
      <c r="C349" s="955">
        <v>1.4657</v>
      </c>
    </row>
    <row r="350" spans="1:3">
      <c r="A350" s="3142" t="s">
        <v>2298</v>
      </c>
      <c r="B350" s="182" t="s">
        <v>1690</v>
      </c>
      <c r="C350" s="955">
        <v>1.39</v>
      </c>
    </row>
    <row r="351" spans="1:3">
      <c r="A351" s="3142" t="s">
        <v>859</v>
      </c>
      <c r="B351" s="182" t="s">
        <v>814</v>
      </c>
      <c r="C351" s="955">
        <v>1.3434999999999999</v>
      </c>
    </row>
    <row r="352" spans="1:3">
      <c r="A352" s="3142" t="s">
        <v>2299</v>
      </c>
      <c r="B352" s="182" t="s">
        <v>1355</v>
      </c>
      <c r="C352" s="955">
        <v>1.3331999999999999</v>
      </c>
    </row>
    <row r="353" spans="1:3">
      <c r="A353" s="3142" t="s">
        <v>2300</v>
      </c>
      <c r="B353" s="182" t="s">
        <v>1356</v>
      </c>
      <c r="C353" s="955">
        <v>1.46</v>
      </c>
    </row>
    <row r="354" spans="1:3">
      <c r="A354" s="3142" t="s">
        <v>1748</v>
      </c>
      <c r="B354" s="182" t="s">
        <v>1357</v>
      </c>
      <c r="C354" s="955">
        <v>1.5</v>
      </c>
    </row>
    <row r="355" spans="1:3">
      <c r="A355" s="3142" t="s">
        <v>1749</v>
      </c>
      <c r="B355" s="182" t="s">
        <v>1358</v>
      </c>
      <c r="C355" s="955">
        <v>1.5</v>
      </c>
    </row>
    <row r="356" spans="1:3">
      <c r="A356" s="3142" t="s">
        <v>1908</v>
      </c>
      <c r="B356" s="182" t="s">
        <v>1288</v>
      </c>
      <c r="C356" s="955">
        <v>1.5</v>
      </c>
    </row>
    <row r="357" spans="1:3">
      <c r="A357" s="3142" t="s">
        <v>1920</v>
      </c>
      <c r="B357" s="182" t="s">
        <v>1359</v>
      </c>
      <c r="C357" s="955">
        <v>1.32</v>
      </c>
    </row>
    <row r="358" spans="1:3">
      <c r="A358" s="3142" t="s">
        <v>1590</v>
      </c>
      <c r="B358" s="182" t="s">
        <v>1469</v>
      </c>
      <c r="C358" s="955">
        <v>1.43</v>
      </c>
    </row>
    <row r="359" spans="1:3">
      <c r="A359" s="3142" t="s">
        <v>928</v>
      </c>
      <c r="B359" s="182" t="s">
        <v>1360</v>
      </c>
      <c r="C359" s="955">
        <v>1.4523999999999999</v>
      </c>
    </row>
    <row r="360" spans="1:3">
      <c r="A360" s="3142" t="s">
        <v>929</v>
      </c>
      <c r="B360" s="182" t="s">
        <v>1361</v>
      </c>
      <c r="C360" s="955">
        <v>1.49</v>
      </c>
    </row>
    <row r="361" spans="1:3">
      <c r="A361" s="3142" t="s">
        <v>1050</v>
      </c>
      <c r="B361" s="182" t="s">
        <v>2247</v>
      </c>
      <c r="C361" s="955">
        <v>1.5</v>
      </c>
    </row>
    <row r="362" spans="1:3">
      <c r="A362" s="3142" t="s">
        <v>748</v>
      </c>
      <c r="B362" s="182" t="s">
        <v>1556</v>
      </c>
      <c r="C362" s="955">
        <v>1.5</v>
      </c>
    </row>
    <row r="363" spans="1:3">
      <c r="A363" s="3142" t="s">
        <v>749</v>
      </c>
      <c r="B363" s="182" t="s">
        <v>1557</v>
      </c>
      <c r="C363" s="955">
        <v>1.45</v>
      </c>
    </row>
    <row r="364" spans="1:3">
      <c r="A364" s="3142" t="s">
        <v>1164</v>
      </c>
      <c r="B364" s="182" t="s">
        <v>2232</v>
      </c>
      <c r="C364" s="955">
        <v>1.5</v>
      </c>
    </row>
    <row r="365" spans="1:3">
      <c r="A365" s="3142" t="s">
        <v>1165</v>
      </c>
      <c r="B365" s="182" t="s">
        <v>1259</v>
      </c>
      <c r="C365" s="955">
        <v>1.5</v>
      </c>
    </row>
    <row r="366" spans="1:3">
      <c r="A366" s="3142" t="s">
        <v>1377</v>
      </c>
      <c r="B366" s="182" t="s">
        <v>1558</v>
      </c>
      <c r="C366" s="955">
        <v>1.46</v>
      </c>
    </row>
    <row r="367" spans="1:3">
      <c r="A367" s="3142" t="s">
        <v>201</v>
      </c>
      <c r="B367" s="182" t="s">
        <v>1981</v>
      </c>
      <c r="C367" s="955">
        <v>1.44</v>
      </c>
    </row>
    <row r="368" spans="1:3">
      <c r="A368" s="3142" t="s">
        <v>2439</v>
      </c>
      <c r="B368" s="182" t="s">
        <v>1559</v>
      </c>
      <c r="C368" s="955">
        <v>1.4954000000000001</v>
      </c>
    </row>
    <row r="369" spans="1:3">
      <c r="A369" s="3142" t="s">
        <v>1232</v>
      </c>
      <c r="B369" s="182" t="s">
        <v>1636</v>
      </c>
      <c r="C369" s="955">
        <v>1.44</v>
      </c>
    </row>
    <row r="370" spans="1:3">
      <c r="A370" s="3142" t="s">
        <v>1211</v>
      </c>
      <c r="B370" s="182" t="s">
        <v>208</v>
      </c>
      <c r="C370" s="955">
        <v>1.4095</v>
      </c>
    </row>
    <row r="371" spans="1:3">
      <c r="A371" s="3142" t="s">
        <v>1212</v>
      </c>
      <c r="B371" s="182" t="s">
        <v>209</v>
      </c>
      <c r="C371" s="955">
        <v>1.4258</v>
      </c>
    </row>
    <row r="372" spans="1:3">
      <c r="A372" s="3142" t="s">
        <v>1213</v>
      </c>
      <c r="B372" s="182" t="s">
        <v>210</v>
      </c>
      <c r="C372" s="955">
        <v>1.5</v>
      </c>
    </row>
    <row r="373" spans="1:3">
      <c r="A373" s="3142" t="s">
        <v>432</v>
      </c>
      <c r="B373" s="182" t="s">
        <v>2007</v>
      </c>
      <c r="C373" s="955">
        <v>1.5</v>
      </c>
    </row>
    <row r="374" spans="1:3">
      <c r="A374" s="3142" t="s">
        <v>2066</v>
      </c>
      <c r="B374" s="182" t="s">
        <v>211</v>
      </c>
      <c r="C374" s="955">
        <v>1.5</v>
      </c>
    </row>
    <row r="375" spans="1:3">
      <c r="A375" s="3142" t="s">
        <v>2494</v>
      </c>
      <c r="B375" s="182" t="s">
        <v>212</v>
      </c>
      <c r="C375" s="955">
        <v>1.5</v>
      </c>
    </row>
    <row r="376" spans="1:3">
      <c r="A376" s="3142" t="s">
        <v>1420</v>
      </c>
      <c r="B376" s="182" t="s">
        <v>1829</v>
      </c>
      <c r="C376" s="955">
        <v>1.5</v>
      </c>
    </row>
    <row r="377" spans="1:3">
      <c r="A377" s="3142" t="s">
        <v>2495</v>
      </c>
      <c r="B377" s="182" t="s">
        <v>213</v>
      </c>
      <c r="C377" s="955">
        <v>1.5</v>
      </c>
    </row>
    <row r="378" spans="1:3">
      <c r="A378" s="3142" t="s">
        <v>2496</v>
      </c>
      <c r="B378" s="182" t="s">
        <v>214</v>
      </c>
      <c r="C378" s="955">
        <v>1.5</v>
      </c>
    </row>
    <row r="379" spans="1:3">
      <c r="A379" s="3142" t="s">
        <v>2497</v>
      </c>
      <c r="B379" s="182" t="s">
        <v>215</v>
      </c>
      <c r="C379" s="955">
        <v>1.42</v>
      </c>
    </row>
    <row r="380" spans="1:3">
      <c r="A380" s="3142" t="s">
        <v>2498</v>
      </c>
      <c r="B380" s="182" t="s">
        <v>216</v>
      </c>
      <c r="C380" s="955">
        <v>1.5</v>
      </c>
    </row>
    <row r="381" spans="1:3">
      <c r="A381" s="3142" t="s">
        <v>2023</v>
      </c>
      <c r="B381" s="182" t="s">
        <v>217</v>
      </c>
      <c r="C381" s="955">
        <v>1.5</v>
      </c>
    </row>
    <row r="382" spans="1:3">
      <c r="A382" s="3142" t="s">
        <v>467</v>
      </c>
      <c r="B382" s="182" t="s">
        <v>1175</v>
      </c>
      <c r="C382" s="955">
        <v>1.5</v>
      </c>
    </row>
    <row r="383" spans="1:3">
      <c r="A383" s="3142" t="s">
        <v>465</v>
      </c>
      <c r="B383" s="182" t="s">
        <v>1173</v>
      </c>
      <c r="C383" s="955">
        <v>1.5</v>
      </c>
    </row>
    <row r="384" spans="1:3">
      <c r="A384" s="3142" t="s">
        <v>2024</v>
      </c>
      <c r="B384" s="182" t="s">
        <v>218</v>
      </c>
      <c r="C384" s="955">
        <v>1.5</v>
      </c>
    </row>
    <row r="385" spans="1:3">
      <c r="A385" s="3142" t="s">
        <v>332</v>
      </c>
      <c r="B385" s="182" t="s">
        <v>278</v>
      </c>
      <c r="C385" s="955">
        <v>1.5</v>
      </c>
    </row>
    <row r="386" spans="1:3">
      <c r="A386" s="3142" t="s">
        <v>2025</v>
      </c>
      <c r="B386" s="182" t="s">
        <v>219</v>
      </c>
      <c r="C386" s="955">
        <v>1.5</v>
      </c>
    </row>
    <row r="387" spans="1:3">
      <c r="A387" s="3142" t="s">
        <v>2026</v>
      </c>
      <c r="B387" s="182" t="s">
        <v>220</v>
      </c>
      <c r="C387" s="955">
        <v>1.5</v>
      </c>
    </row>
    <row r="388" spans="1:3">
      <c r="A388" s="3142" t="s">
        <v>476</v>
      </c>
      <c r="B388" s="182" t="s">
        <v>221</v>
      </c>
      <c r="C388" s="955">
        <v>1.5</v>
      </c>
    </row>
    <row r="389" spans="1:3">
      <c r="A389" s="3142" t="s">
        <v>1848</v>
      </c>
      <c r="B389" s="182" t="s">
        <v>222</v>
      </c>
      <c r="C389" s="955">
        <v>1.5</v>
      </c>
    </row>
    <row r="390" spans="1:3">
      <c r="A390" s="3142" t="s">
        <v>1959</v>
      </c>
      <c r="B390" s="182" t="s">
        <v>223</v>
      </c>
      <c r="C390" s="955">
        <v>1.5</v>
      </c>
    </row>
    <row r="391" spans="1:3">
      <c r="A391" s="3142" t="s">
        <v>1960</v>
      </c>
      <c r="B391" s="182" t="s">
        <v>224</v>
      </c>
      <c r="C391" s="955">
        <v>1.5</v>
      </c>
    </row>
    <row r="392" spans="1:3">
      <c r="A392" s="3142" t="s">
        <v>137</v>
      </c>
      <c r="B392" s="182" t="s">
        <v>225</v>
      </c>
      <c r="C392" s="955">
        <v>1.4</v>
      </c>
    </row>
    <row r="393" spans="1:3">
      <c r="A393" s="3142" t="s">
        <v>138</v>
      </c>
      <c r="B393" s="182" t="s">
        <v>226</v>
      </c>
      <c r="C393" s="955">
        <v>1.43</v>
      </c>
    </row>
    <row r="394" spans="1:3">
      <c r="A394" s="3142" t="s">
        <v>2367</v>
      </c>
      <c r="B394" s="182" t="s">
        <v>2240</v>
      </c>
      <c r="C394" s="955">
        <v>1.41</v>
      </c>
    </row>
    <row r="395" spans="1:3">
      <c r="A395" s="3142" t="s">
        <v>2218</v>
      </c>
      <c r="B395" s="182" t="s">
        <v>227</v>
      </c>
      <c r="C395" s="955">
        <v>1.5</v>
      </c>
    </row>
    <row r="396" spans="1:3">
      <c r="A396" s="3142" t="s">
        <v>1055</v>
      </c>
      <c r="B396" s="182" t="s">
        <v>2451</v>
      </c>
      <c r="C396" s="955">
        <v>1.425</v>
      </c>
    </row>
    <row r="397" spans="1:3">
      <c r="A397" s="3142" t="s">
        <v>1056</v>
      </c>
      <c r="B397" s="182" t="s">
        <v>2452</v>
      </c>
      <c r="C397" s="955">
        <v>1.5</v>
      </c>
    </row>
    <row r="398" spans="1:3">
      <c r="A398" s="3142" t="s">
        <v>1987</v>
      </c>
      <c r="B398" s="182" t="s">
        <v>448</v>
      </c>
      <c r="C398" s="955">
        <v>1.45</v>
      </c>
    </row>
    <row r="399" spans="1:3">
      <c r="A399" s="3142" t="s">
        <v>1988</v>
      </c>
      <c r="B399" s="182" t="s">
        <v>449</v>
      </c>
      <c r="C399" s="955">
        <v>1.44</v>
      </c>
    </row>
    <row r="400" spans="1:3">
      <c r="A400" s="3142" t="s">
        <v>964</v>
      </c>
      <c r="B400" s="182" t="s">
        <v>450</v>
      </c>
      <c r="C400" s="955">
        <v>1.4650000000000001</v>
      </c>
    </row>
    <row r="401" spans="1:3">
      <c r="A401" s="3142" t="s">
        <v>1078</v>
      </c>
      <c r="B401" s="182" t="s">
        <v>1406</v>
      </c>
      <c r="C401" s="955">
        <v>1.5</v>
      </c>
    </row>
    <row r="402" spans="1:3">
      <c r="A402" s="3142" t="s">
        <v>362</v>
      </c>
      <c r="B402" s="182" t="s">
        <v>451</v>
      </c>
      <c r="C402" s="955">
        <v>1.5</v>
      </c>
    </row>
    <row r="403" spans="1:3">
      <c r="A403" s="3142" t="s">
        <v>2161</v>
      </c>
      <c r="B403" s="182" t="s">
        <v>793</v>
      </c>
      <c r="C403" s="955">
        <v>1.43</v>
      </c>
    </row>
    <row r="404" spans="1:3">
      <c r="A404" s="3142" t="s">
        <v>1108</v>
      </c>
      <c r="B404" s="182" t="s">
        <v>1344</v>
      </c>
      <c r="C404" s="955">
        <v>1.5</v>
      </c>
    </row>
    <row r="405" spans="1:3">
      <c r="A405" s="3142" t="s">
        <v>548</v>
      </c>
      <c r="B405" s="182" t="s">
        <v>658</v>
      </c>
      <c r="C405" s="955">
        <v>1.64</v>
      </c>
    </row>
    <row r="406" spans="1:3">
      <c r="A406" s="3142" t="s">
        <v>180</v>
      </c>
      <c r="B406" s="182" t="s">
        <v>1874</v>
      </c>
      <c r="C406" s="955">
        <v>1.5</v>
      </c>
    </row>
    <row r="407" spans="1:3">
      <c r="A407" s="3142" t="s">
        <v>2188</v>
      </c>
      <c r="B407" s="182" t="s">
        <v>452</v>
      </c>
      <c r="C407" s="955">
        <v>1.4729000000000001</v>
      </c>
    </row>
    <row r="408" spans="1:3">
      <c r="A408" s="3142" t="s">
        <v>2266</v>
      </c>
      <c r="B408" s="182" t="s">
        <v>396</v>
      </c>
      <c r="C408" s="955">
        <v>1.5</v>
      </c>
    </row>
    <row r="409" spans="1:3">
      <c r="A409" s="3142" t="s">
        <v>2189</v>
      </c>
      <c r="B409" s="182" t="s">
        <v>453</v>
      </c>
      <c r="C409" s="955">
        <v>1.5</v>
      </c>
    </row>
    <row r="410" spans="1:3">
      <c r="A410" s="3142" t="s">
        <v>2044</v>
      </c>
      <c r="B410" s="182" t="s">
        <v>454</v>
      </c>
      <c r="C410" s="955">
        <v>1.6</v>
      </c>
    </row>
    <row r="411" spans="1:3">
      <c r="A411" s="3142" t="s">
        <v>1323</v>
      </c>
      <c r="B411" s="182" t="s">
        <v>2164</v>
      </c>
      <c r="C411" s="955">
        <v>1.4843999999999999</v>
      </c>
    </row>
    <row r="412" spans="1:3">
      <c r="A412" s="3142" t="s">
        <v>1343</v>
      </c>
      <c r="B412" s="182" t="s">
        <v>1392</v>
      </c>
      <c r="C412" s="955">
        <v>1.61</v>
      </c>
    </row>
    <row r="413" spans="1:3">
      <c r="A413" s="3142" t="s">
        <v>1907</v>
      </c>
      <c r="B413" s="182" t="s">
        <v>455</v>
      </c>
      <c r="C413" s="955">
        <v>1.5</v>
      </c>
    </row>
    <row r="414" spans="1:3">
      <c r="A414" s="3142" t="s">
        <v>2411</v>
      </c>
      <c r="B414" s="182" t="s">
        <v>456</v>
      </c>
      <c r="C414" s="955">
        <v>1.45</v>
      </c>
    </row>
    <row r="415" spans="1:3">
      <c r="A415" s="3142" t="s">
        <v>1052</v>
      </c>
      <c r="B415" s="182" t="s">
        <v>2252</v>
      </c>
      <c r="C415" s="955">
        <v>1.5</v>
      </c>
    </row>
    <row r="416" spans="1:3">
      <c r="A416" s="3142" t="s">
        <v>46</v>
      </c>
      <c r="B416" s="182" t="s">
        <v>388</v>
      </c>
      <c r="C416" s="955">
        <v>1.63</v>
      </c>
    </row>
    <row r="417" spans="1:3">
      <c r="A417" s="3142" t="s">
        <v>53</v>
      </c>
      <c r="B417" s="182" t="s">
        <v>2442</v>
      </c>
      <c r="C417" s="955">
        <v>1.5</v>
      </c>
    </row>
    <row r="418" spans="1:3">
      <c r="A418" s="3142" t="s">
        <v>2412</v>
      </c>
      <c r="B418" s="182" t="s">
        <v>457</v>
      </c>
      <c r="C418" s="955">
        <v>1.5</v>
      </c>
    </row>
    <row r="419" spans="1:3">
      <c r="A419" s="3142" t="s">
        <v>192</v>
      </c>
      <c r="B419" s="182" t="s">
        <v>258</v>
      </c>
      <c r="C419" s="955">
        <v>1.5449999999999999</v>
      </c>
    </row>
    <row r="420" spans="1:3">
      <c r="A420" s="3142" t="s">
        <v>627</v>
      </c>
      <c r="B420" s="182" t="s">
        <v>458</v>
      </c>
      <c r="C420" s="955">
        <v>1.5</v>
      </c>
    </row>
    <row r="421" spans="1:3">
      <c r="A421" s="3142" t="s">
        <v>765</v>
      </c>
      <c r="B421" s="182" t="s">
        <v>2067</v>
      </c>
      <c r="C421" s="955">
        <v>1.575</v>
      </c>
    </row>
    <row r="422" spans="1:3">
      <c r="A422" s="3142" t="s">
        <v>1840</v>
      </c>
      <c r="B422" s="182" t="s">
        <v>2068</v>
      </c>
      <c r="C422" s="955">
        <v>1.44</v>
      </c>
    </row>
    <row r="423" spans="1:3">
      <c r="A423" s="3142" t="s">
        <v>1841</v>
      </c>
      <c r="B423" s="182" t="s">
        <v>2069</v>
      </c>
      <c r="C423" s="955">
        <v>1.5</v>
      </c>
    </row>
    <row r="424" spans="1:3">
      <c r="A424" s="3142" t="s">
        <v>820</v>
      </c>
      <c r="B424" s="182" t="s">
        <v>2250</v>
      </c>
      <c r="C424" s="955">
        <v>1.5</v>
      </c>
    </row>
    <row r="425" spans="1:3">
      <c r="A425" s="3142" t="s">
        <v>1842</v>
      </c>
      <c r="B425" s="182" t="s">
        <v>2070</v>
      </c>
      <c r="C425" s="955">
        <v>1.5</v>
      </c>
    </row>
    <row r="426" spans="1:3">
      <c r="A426" s="3142" t="s">
        <v>1412</v>
      </c>
      <c r="B426" s="182" t="s">
        <v>2071</v>
      </c>
      <c r="C426" s="955">
        <v>1.5</v>
      </c>
    </row>
    <row r="427" spans="1:3">
      <c r="A427" s="3142" t="s">
        <v>1413</v>
      </c>
      <c r="B427" s="182" t="s">
        <v>2072</v>
      </c>
      <c r="C427" s="955">
        <v>1.5</v>
      </c>
    </row>
    <row r="428" spans="1:3">
      <c r="A428" s="3142" t="s">
        <v>1414</v>
      </c>
      <c r="B428" s="182" t="s">
        <v>1961</v>
      </c>
      <c r="C428" s="955">
        <v>1.4730000000000001</v>
      </c>
    </row>
    <row r="429" spans="1:3">
      <c r="A429" s="3142" t="s">
        <v>1477</v>
      </c>
      <c r="B429" s="182" t="s">
        <v>1962</v>
      </c>
      <c r="C429" s="955">
        <v>1.44</v>
      </c>
    </row>
    <row r="430" spans="1:3">
      <c r="A430" s="3142" t="s">
        <v>1478</v>
      </c>
      <c r="B430" s="182" t="s">
        <v>147</v>
      </c>
      <c r="C430" s="955">
        <v>1.4359999999999999</v>
      </c>
    </row>
    <row r="431" spans="1:3">
      <c r="A431" s="3142" t="s">
        <v>469</v>
      </c>
      <c r="B431" s="182" t="s">
        <v>148</v>
      </c>
      <c r="C431" s="955">
        <v>1.4815</v>
      </c>
    </row>
    <row r="432" spans="1:3">
      <c r="A432" s="3142" t="s">
        <v>438</v>
      </c>
      <c r="B432" s="182" t="s">
        <v>149</v>
      </c>
      <c r="C432" s="955">
        <v>1.4810000000000001</v>
      </c>
    </row>
    <row r="433" spans="1:3">
      <c r="A433" s="3142" t="s">
        <v>439</v>
      </c>
      <c r="B433" s="182" t="s">
        <v>782</v>
      </c>
      <c r="C433" s="955">
        <v>1.5</v>
      </c>
    </row>
    <row r="434" spans="1:3">
      <c r="A434" s="3142" t="s">
        <v>440</v>
      </c>
      <c r="B434" s="182" t="s">
        <v>150</v>
      </c>
      <c r="C434" s="955">
        <v>1.5</v>
      </c>
    </row>
    <row r="435" spans="1:3">
      <c r="A435" s="3142" t="s">
        <v>441</v>
      </c>
      <c r="B435" s="182" t="s">
        <v>151</v>
      </c>
      <c r="C435" s="955">
        <v>1.5</v>
      </c>
    </row>
    <row r="436" spans="1:3">
      <c r="A436" s="3142" t="s">
        <v>1071</v>
      </c>
      <c r="B436" s="182" t="s">
        <v>152</v>
      </c>
      <c r="C436" s="955">
        <v>1.5</v>
      </c>
    </row>
    <row r="437" spans="1:3">
      <c r="A437" s="3142" t="s">
        <v>1400</v>
      </c>
      <c r="B437" s="182" t="s">
        <v>1005</v>
      </c>
      <c r="C437" s="955">
        <v>1.5</v>
      </c>
    </row>
    <row r="438" spans="1:3">
      <c r="A438" s="3142" t="s">
        <v>1217</v>
      </c>
      <c r="B438" s="182" t="s">
        <v>153</v>
      </c>
      <c r="C438" s="955">
        <v>1.5</v>
      </c>
    </row>
    <row r="439" spans="1:3">
      <c r="A439" s="3142" t="s">
        <v>1759</v>
      </c>
      <c r="B439" s="182" t="s">
        <v>784</v>
      </c>
      <c r="C439" s="955">
        <v>1.4850000000000001</v>
      </c>
    </row>
    <row r="440" spans="1:3">
      <c r="A440" s="3142" t="s">
        <v>1607</v>
      </c>
      <c r="B440" s="182" t="s">
        <v>154</v>
      </c>
      <c r="C440" s="955">
        <v>1.3197000000000001</v>
      </c>
    </row>
    <row r="441" spans="1:3">
      <c r="A441" s="3142" t="s">
        <v>1608</v>
      </c>
      <c r="B441" s="182" t="s">
        <v>1273</v>
      </c>
      <c r="C441" s="955">
        <v>1.454</v>
      </c>
    </row>
    <row r="442" spans="1:3">
      <c r="A442" s="3142" t="s">
        <v>2403</v>
      </c>
      <c r="B442" s="182" t="s">
        <v>1274</v>
      </c>
      <c r="C442" s="955">
        <v>1.5</v>
      </c>
    </row>
    <row r="443" spans="1:3">
      <c r="A443" s="3142" t="s">
        <v>2379</v>
      </c>
      <c r="B443" s="182" t="s">
        <v>1275</v>
      </c>
      <c r="C443" s="955">
        <v>1.421</v>
      </c>
    </row>
    <row r="444" spans="1:3">
      <c r="A444" s="3142" t="s">
        <v>1894</v>
      </c>
      <c r="B444" s="182" t="s">
        <v>1276</v>
      </c>
      <c r="C444" s="955">
        <v>1.45</v>
      </c>
    </row>
    <row r="445" spans="1:3">
      <c r="A445" s="3142" t="s">
        <v>61</v>
      </c>
      <c r="B445" s="182" t="s">
        <v>2455</v>
      </c>
      <c r="C445" s="955">
        <v>1.2370000000000001</v>
      </c>
    </row>
    <row r="446" spans="1:3">
      <c r="A446" s="3142" t="s">
        <v>1429</v>
      </c>
      <c r="B446" s="182" t="s">
        <v>570</v>
      </c>
      <c r="C446" s="955">
        <v>1.5</v>
      </c>
    </row>
    <row r="447" spans="1:3">
      <c r="A447" s="3142" t="s">
        <v>821</v>
      </c>
      <c r="B447" s="182" t="s">
        <v>1986</v>
      </c>
      <c r="C447" s="955">
        <v>1.456</v>
      </c>
    </row>
    <row r="448" spans="1:3">
      <c r="A448" s="3142" t="s">
        <v>62</v>
      </c>
      <c r="B448" s="182" t="s">
        <v>2456</v>
      </c>
      <c r="C448" s="955">
        <v>1.5</v>
      </c>
    </row>
    <row r="449" spans="1:3">
      <c r="A449" s="3142" t="s">
        <v>2008</v>
      </c>
      <c r="B449" s="182" t="s">
        <v>2457</v>
      </c>
      <c r="C449" s="955">
        <v>1.5</v>
      </c>
    </row>
    <row r="450" spans="1:3">
      <c r="A450" s="3142" t="s">
        <v>725</v>
      </c>
      <c r="B450" s="182" t="s">
        <v>1010</v>
      </c>
      <c r="C450" s="955">
        <v>1.4722999999999999</v>
      </c>
    </row>
    <row r="451" spans="1:3">
      <c r="A451" s="3142" t="s">
        <v>727</v>
      </c>
      <c r="B451" s="182" t="s">
        <v>842</v>
      </c>
      <c r="C451" s="955">
        <v>1.5</v>
      </c>
    </row>
    <row r="452" spans="1:3">
      <c r="A452" s="3142" t="s">
        <v>1761</v>
      </c>
      <c r="B452" s="182" t="s">
        <v>2241</v>
      </c>
      <c r="C452" s="955">
        <v>1.46</v>
      </c>
    </row>
    <row r="453" spans="1:3">
      <c r="A453" s="3142" t="s">
        <v>2388</v>
      </c>
      <c r="B453" s="182" t="s">
        <v>771</v>
      </c>
      <c r="C453" s="955">
        <v>1.5</v>
      </c>
    </row>
    <row r="454" spans="1:3">
      <c r="A454" s="3142" t="s">
        <v>2391</v>
      </c>
      <c r="B454" s="182" t="s">
        <v>2111</v>
      </c>
      <c r="C454" s="955">
        <v>1.5</v>
      </c>
    </row>
    <row r="455" spans="1:3">
      <c r="A455" s="3142" t="s">
        <v>2397</v>
      </c>
      <c r="B455" s="182" t="s">
        <v>2118</v>
      </c>
      <c r="C455" s="955">
        <v>1.46</v>
      </c>
    </row>
    <row r="456" spans="1:3">
      <c r="A456" s="3142" t="s">
        <v>197</v>
      </c>
      <c r="B456" s="182" t="s">
        <v>945</v>
      </c>
      <c r="C456" s="955">
        <v>1.5</v>
      </c>
    </row>
    <row r="457" spans="1:3">
      <c r="A457" s="3142" t="s">
        <v>1011</v>
      </c>
      <c r="B457" s="182" t="s">
        <v>73</v>
      </c>
      <c r="C457" s="955">
        <v>1.5</v>
      </c>
    </row>
    <row r="458" spans="1:3">
      <c r="A458" s="3142" t="s">
        <v>1471</v>
      </c>
      <c r="B458" s="182" t="s">
        <v>2458</v>
      </c>
      <c r="C458" s="955">
        <v>1.4750000000000001</v>
      </c>
    </row>
    <row r="459" spans="1:3">
      <c r="A459" s="3142" t="s">
        <v>56</v>
      </c>
      <c r="B459" s="182" t="s">
        <v>1790</v>
      </c>
      <c r="C459" s="955">
        <v>1.5</v>
      </c>
    </row>
    <row r="460" spans="1:3">
      <c r="A460" s="3142" t="s">
        <v>682</v>
      </c>
      <c r="B460" s="182" t="s">
        <v>132</v>
      </c>
      <c r="C460" s="955">
        <v>1.3959999999999999</v>
      </c>
    </row>
    <row r="461" spans="1:3">
      <c r="A461" s="3142" t="s">
        <v>58</v>
      </c>
      <c r="B461" s="182" t="s">
        <v>2175</v>
      </c>
      <c r="C461" s="955">
        <v>1.4705999999999999</v>
      </c>
    </row>
    <row r="462" spans="1:3">
      <c r="A462" s="3142" t="s">
        <v>483</v>
      </c>
      <c r="B462" s="182" t="s">
        <v>2119</v>
      </c>
      <c r="C462" s="955">
        <v>1.4</v>
      </c>
    </row>
    <row r="463" spans="1:3">
      <c r="A463" s="3142" t="s">
        <v>1433</v>
      </c>
      <c r="B463" s="182" t="s">
        <v>2231</v>
      </c>
      <c r="C463" s="955">
        <v>1.4251</v>
      </c>
    </row>
    <row r="464" spans="1:3">
      <c r="A464" s="3142" t="s">
        <v>140</v>
      </c>
      <c r="B464" s="182" t="s">
        <v>2031</v>
      </c>
      <c r="C464" s="955">
        <v>1.5</v>
      </c>
    </row>
    <row r="465" spans="1:3">
      <c r="A465" s="3142" t="s">
        <v>2369</v>
      </c>
      <c r="B465" s="182" t="s">
        <v>851</v>
      </c>
      <c r="C465" s="955">
        <v>1.5</v>
      </c>
    </row>
    <row r="466" spans="1:3">
      <c r="A466" s="3142" t="s">
        <v>2264</v>
      </c>
      <c r="B466" s="182" t="s">
        <v>626</v>
      </c>
      <c r="C466" s="955">
        <v>1.46</v>
      </c>
    </row>
    <row r="467" spans="1:3">
      <c r="A467" s="3142" t="s">
        <v>1763</v>
      </c>
      <c r="B467" s="182" t="s">
        <v>2243</v>
      </c>
      <c r="C467" s="955">
        <v>1.5</v>
      </c>
    </row>
    <row r="468" spans="1:3">
      <c r="A468" s="3142" t="s">
        <v>484</v>
      </c>
      <c r="B468" s="182" t="s">
        <v>2248</v>
      </c>
      <c r="C468" s="955">
        <v>1.5</v>
      </c>
    </row>
    <row r="469" spans="1:3">
      <c r="A469" s="3142" t="s">
        <v>40</v>
      </c>
      <c r="B469" s="182" t="s">
        <v>382</v>
      </c>
      <c r="C469" s="955">
        <v>1.5</v>
      </c>
    </row>
    <row r="470" spans="1:3">
      <c r="A470" s="3142" t="s">
        <v>141</v>
      </c>
      <c r="B470" s="182" t="s">
        <v>2033</v>
      </c>
      <c r="C470" s="955">
        <v>1.45</v>
      </c>
    </row>
    <row r="471" spans="1:3">
      <c r="A471" s="3142" t="s">
        <v>488</v>
      </c>
      <c r="B471" s="182" t="s">
        <v>2120</v>
      </c>
      <c r="C471" s="955">
        <v>1.5</v>
      </c>
    </row>
    <row r="472" spans="1:3">
      <c r="A472" s="3142" t="s">
        <v>1472</v>
      </c>
      <c r="B472" s="182" t="s">
        <v>2459</v>
      </c>
      <c r="C472" s="955">
        <v>1.5</v>
      </c>
    </row>
    <row r="473" spans="1:3">
      <c r="A473" s="3142" t="s">
        <v>489</v>
      </c>
      <c r="B473" s="182" t="s">
        <v>2281</v>
      </c>
      <c r="C473" s="955">
        <v>1.5</v>
      </c>
    </row>
    <row r="474" spans="1:3">
      <c r="A474" s="3142" t="s">
        <v>1450</v>
      </c>
      <c r="B474" s="182" t="s">
        <v>1270</v>
      </c>
      <c r="C474" s="955">
        <v>1.5</v>
      </c>
    </row>
    <row r="475" spans="1:3">
      <c r="A475" s="3142" t="s">
        <v>490</v>
      </c>
      <c r="B475" s="182" t="s">
        <v>2450</v>
      </c>
      <c r="C475" s="955">
        <v>1.5</v>
      </c>
    </row>
    <row r="476" spans="1:3">
      <c r="A476" s="3142" t="s">
        <v>1473</v>
      </c>
      <c r="B476" s="182" t="s">
        <v>2460</v>
      </c>
      <c r="C476" s="955">
        <v>1.42</v>
      </c>
    </row>
    <row r="477" spans="1:3">
      <c r="A477" s="3142" t="s">
        <v>1474</v>
      </c>
      <c r="B477" s="182" t="s">
        <v>2461</v>
      </c>
      <c r="C477" s="955">
        <v>1.48</v>
      </c>
    </row>
    <row r="478" spans="1:3">
      <c r="A478" s="3142" t="s">
        <v>1169</v>
      </c>
      <c r="B478" s="182" t="s">
        <v>2462</v>
      </c>
      <c r="C478" s="955">
        <v>1.5</v>
      </c>
    </row>
    <row r="479" spans="1:3">
      <c r="A479" s="3142" t="s">
        <v>1739</v>
      </c>
      <c r="B479" s="182" t="s">
        <v>1822</v>
      </c>
      <c r="C479" s="955">
        <v>1.5</v>
      </c>
    </row>
    <row r="480" spans="1:3">
      <c r="A480" s="3142" t="s">
        <v>1170</v>
      </c>
      <c r="B480" s="182" t="s">
        <v>2463</v>
      </c>
      <c r="C480" s="955">
        <v>1.5</v>
      </c>
    </row>
    <row r="481" spans="1:3">
      <c r="A481" s="3142" t="s">
        <v>1171</v>
      </c>
      <c r="B481" s="182" t="s">
        <v>2464</v>
      </c>
      <c r="C481" s="955">
        <v>1.5</v>
      </c>
    </row>
    <row r="482" spans="1:3">
      <c r="A482" s="3142" t="s">
        <v>1172</v>
      </c>
      <c r="B482" s="182" t="s">
        <v>205</v>
      </c>
      <c r="C482" s="955">
        <v>1.45</v>
      </c>
    </row>
    <row r="483" spans="1:3">
      <c r="A483" s="3142" t="s">
        <v>1675</v>
      </c>
      <c r="B483" s="182" t="s">
        <v>1475</v>
      </c>
      <c r="C483" s="955">
        <v>1.5</v>
      </c>
    </row>
    <row r="484" spans="1:3">
      <c r="A484" s="3142" t="s">
        <v>1427</v>
      </c>
      <c r="B484" s="182" t="s">
        <v>568</v>
      </c>
      <c r="C484" s="955">
        <v>1.5</v>
      </c>
    </row>
    <row r="485" spans="1:3">
      <c r="A485" s="3142" t="s">
        <v>169</v>
      </c>
      <c r="B485" s="182" t="s">
        <v>206</v>
      </c>
      <c r="C485" s="955">
        <v>1.4256</v>
      </c>
    </row>
    <row r="486" spans="1:3">
      <c r="A486" s="3142" t="s">
        <v>1409</v>
      </c>
      <c r="B486" s="182" t="s">
        <v>400</v>
      </c>
      <c r="C486" s="955">
        <v>1.4112</v>
      </c>
    </row>
    <row r="487" spans="1:3">
      <c r="A487" s="3142" t="s">
        <v>170</v>
      </c>
      <c r="B487" s="182" t="s">
        <v>207</v>
      </c>
      <c r="C487" s="955">
        <v>1.4011</v>
      </c>
    </row>
    <row r="488" spans="1:3">
      <c r="A488" s="3142" t="s">
        <v>1836</v>
      </c>
      <c r="B488" s="182" t="s">
        <v>2115</v>
      </c>
      <c r="C488" s="955">
        <v>1.41</v>
      </c>
    </row>
    <row r="489" spans="1:3">
      <c r="A489" s="3142" t="s">
        <v>171</v>
      </c>
      <c r="B489" s="182" t="s">
        <v>595</v>
      </c>
      <c r="C489" s="955">
        <v>1.2150000000000001</v>
      </c>
    </row>
    <row r="490" spans="1:3">
      <c r="A490" s="3142" t="s">
        <v>172</v>
      </c>
      <c r="B490" s="182" t="s">
        <v>596</v>
      </c>
      <c r="C490" s="955">
        <v>1.29</v>
      </c>
    </row>
    <row r="491" spans="1:3">
      <c r="A491" s="3142" t="s">
        <v>1410</v>
      </c>
      <c r="B491" s="182" t="s">
        <v>1835</v>
      </c>
      <c r="C491" s="955">
        <v>1.3562000000000001</v>
      </c>
    </row>
    <row r="492" spans="1:3">
      <c r="A492" s="3142" t="s">
        <v>1336</v>
      </c>
      <c r="B492" s="182" t="s">
        <v>597</v>
      </c>
      <c r="C492" s="955">
        <v>1.47</v>
      </c>
    </row>
    <row r="493" spans="1:3">
      <c r="A493" s="3142" t="s">
        <v>1187</v>
      </c>
      <c r="B493" s="182" t="s">
        <v>2043</v>
      </c>
      <c r="C493" s="955">
        <v>1.4</v>
      </c>
    </row>
    <row r="494" spans="1:3">
      <c r="A494" s="3142" t="s">
        <v>925</v>
      </c>
      <c r="B494" s="182" t="s">
        <v>2380</v>
      </c>
      <c r="C494" s="955">
        <v>1.415</v>
      </c>
    </row>
    <row r="495" spans="1:3">
      <c r="A495" s="3142" t="s">
        <v>926</v>
      </c>
      <c r="B495" s="182" t="s">
        <v>1479</v>
      </c>
      <c r="C495" s="955">
        <v>1.4703999999999999</v>
      </c>
    </row>
    <row r="496" spans="1:3">
      <c r="A496" s="3142" t="s">
        <v>852</v>
      </c>
      <c r="B496" s="182" t="s">
        <v>1480</v>
      </c>
      <c r="C496" s="955">
        <v>1.35</v>
      </c>
    </row>
    <row r="497" spans="1:3">
      <c r="A497" s="3142" t="s">
        <v>1699</v>
      </c>
      <c r="B497" s="182" t="s">
        <v>1481</v>
      </c>
      <c r="C497" s="955">
        <v>1.5</v>
      </c>
    </row>
    <row r="498" spans="1:3">
      <c r="A498" s="3142" t="s">
        <v>2530</v>
      </c>
      <c r="B498" s="182" t="s">
        <v>1482</v>
      </c>
      <c r="C498" s="955">
        <v>1.5</v>
      </c>
    </row>
    <row r="499" spans="1:3">
      <c r="A499" s="3142" t="s">
        <v>2531</v>
      </c>
      <c r="B499" s="182" t="s">
        <v>1483</v>
      </c>
      <c r="C499" s="955">
        <v>1.5</v>
      </c>
    </row>
    <row r="500" spans="1:3">
      <c r="A500" s="3142" t="s">
        <v>1255</v>
      </c>
      <c r="B500" s="182" t="s">
        <v>1484</v>
      </c>
      <c r="C500" s="955">
        <v>1.2</v>
      </c>
    </row>
    <row r="501" spans="1:3">
      <c r="A501" s="3142" t="s">
        <v>2055</v>
      </c>
      <c r="B501" s="182" t="s">
        <v>1485</v>
      </c>
      <c r="C501" s="955">
        <v>1.5</v>
      </c>
    </row>
    <row r="502" spans="1:3">
      <c r="A502" s="3142" t="s">
        <v>1046</v>
      </c>
      <c r="B502" s="182" t="s">
        <v>1486</v>
      </c>
      <c r="C502" s="955">
        <v>1.48</v>
      </c>
    </row>
    <row r="503" spans="1:3">
      <c r="A503" s="3142" t="s">
        <v>1779</v>
      </c>
      <c r="B503" s="182" t="s">
        <v>610</v>
      </c>
      <c r="C503" s="955">
        <v>1.4710000000000001</v>
      </c>
    </row>
    <row r="504" spans="1:3">
      <c r="A504" s="3142" t="s">
        <v>1047</v>
      </c>
      <c r="B504" s="182" t="s">
        <v>1487</v>
      </c>
      <c r="C504" s="955">
        <v>1.5</v>
      </c>
    </row>
    <row r="505" spans="1:3">
      <c r="A505" s="3142" t="s">
        <v>1352</v>
      </c>
      <c r="B505" s="182" t="s">
        <v>1460</v>
      </c>
      <c r="C505" s="955">
        <v>1.5</v>
      </c>
    </row>
    <row r="506" spans="1:3">
      <c r="A506" s="3142" t="s">
        <v>1002</v>
      </c>
      <c r="B506" s="182" t="s">
        <v>1488</v>
      </c>
      <c r="C506" s="955">
        <v>1.5</v>
      </c>
    </row>
    <row r="507" spans="1:3">
      <c r="A507" s="3142" t="s">
        <v>1837</v>
      </c>
      <c r="B507" s="182" t="s">
        <v>2006</v>
      </c>
      <c r="C507" s="955">
        <v>1.43</v>
      </c>
    </row>
    <row r="508" spans="1:3">
      <c r="A508" s="3142" t="s">
        <v>1493</v>
      </c>
      <c r="B508" s="182" t="s">
        <v>75</v>
      </c>
      <c r="C508" s="955">
        <v>1.4219999999999999</v>
      </c>
    </row>
    <row r="509" spans="1:3">
      <c r="A509" s="3142" t="s">
        <v>231</v>
      </c>
      <c r="B509" s="182" t="s">
        <v>1064</v>
      </c>
      <c r="C509" s="955">
        <v>1.4343999999999999</v>
      </c>
    </row>
    <row r="510" spans="1:3">
      <c r="A510" s="3142" t="s">
        <v>1003</v>
      </c>
      <c r="B510" s="182" t="s">
        <v>1489</v>
      </c>
      <c r="C510" s="955">
        <v>1.4257</v>
      </c>
    </row>
    <row r="511" spans="1:3">
      <c r="A511" s="3142" t="s">
        <v>828</v>
      </c>
      <c r="B511" s="182" t="s">
        <v>754</v>
      </c>
      <c r="C511" s="955">
        <v>1.4607000000000001</v>
      </c>
    </row>
    <row r="512" spans="1:3">
      <c r="A512" s="3142" t="s">
        <v>1740</v>
      </c>
      <c r="B512" s="182" t="s">
        <v>1271</v>
      </c>
      <c r="C512" s="955">
        <v>1.5</v>
      </c>
    </row>
    <row r="513" spans="1:3">
      <c r="A513" s="3142" t="s">
        <v>1004</v>
      </c>
      <c r="B513" s="182" t="s">
        <v>1490</v>
      </c>
      <c r="C513" s="955">
        <v>1.5</v>
      </c>
    </row>
    <row r="514" spans="1:3">
      <c r="A514" s="3142" t="s">
        <v>2021</v>
      </c>
      <c r="B514" s="182" t="s">
        <v>2382</v>
      </c>
      <c r="C514" s="955">
        <v>1.39</v>
      </c>
    </row>
    <row r="515" spans="1:3">
      <c r="A515" s="3142" t="s">
        <v>2022</v>
      </c>
      <c r="B515" s="182" t="s">
        <v>2383</v>
      </c>
      <c r="C515" s="955">
        <v>1.4036</v>
      </c>
    </row>
    <row r="516" spans="1:3">
      <c r="A516" s="3142" t="s">
        <v>1185</v>
      </c>
      <c r="B516" s="182" t="s">
        <v>2384</v>
      </c>
      <c r="C516" s="955">
        <v>1.1859999999999999</v>
      </c>
    </row>
    <row r="517" spans="1:3">
      <c r="A517" s="3142" t="s">
        <v>1186</v>
      </c>
      <c r="B517" s="182" t="s">
        <v>2385</v>
      </c>
      <c r="C517" s="955">
        <v>1.5</v>
      </c>
    </row>
    <row r="518" spans="1:3">
      <c r="A518" s="3142" t="s">
        <v>875</v>
      </c>
      <c r="B518" s="182" t="s">
        <v>2323</v>
      </c>
      <c r="C518" s="955">
        <v>1.5</v>
      </c>
    </row>
    <row r="519" spans="1:3">
      <c r="A519" s="3142" t="s">
        <v>876</v>
      </c>
      <c r="B519" s="182" t="s">
        <v>2324</v>
      </c>
      <c r="C519" s="955">
        <v>1.5</v>
      </c>
    </row>
    <row r="520" spans="1:3">
      <c r="A520" s="3142" t="s">
        <v>877</v>
      </c>
      <c r="B520" s="182" t="s">
        <v>2325</v>
      </c>
      <c r="C520" s="955">
        <v>1.5</v>
      </c>
    </row>
    <row r="521" spans="1:3">
      <c r="A521" s="3142" t="s">
        <v>878</v>
      </c>
      <c r="B521" s="182" t="s">
        <v>583</v>
      </c>
      <c r="C521" s="955">
        <v>1.5</v>
      </c>
    </row>
    <row r="522" spans="1:3">
      <c r="A522" s="3142" t="s">
        <v>2434</v>
      </c>
      <c r="B522" s="182" t="s">
        <v>1393</v>
      </c>
      <c r="C522" s="955">
        <v>1.5</v>
      </c>
    </row>
    <row r="523" spans="1:3">
      <c r="A523" s="3142" t="s">
        <v>474</v>
      </c>
      <c r="B523" s="182" t="s">
        <v>584</v>
      </c>
      <c r="C523" s="955">
        <v>1.4961</v>
      </c>
    </row>
    <row r="524" spans="1:3">
      <c r="A524" s="3142" t="s">
        <v>2501</v>
      </c>
      <c r="B524" s="182" t="s">
        <v>2359</v>
      </c>
      <c r="C524" s="955">
        <v>1.5</v>
      </c>
    </row>
    <row r="525" spans="1:3">
      <c r="A525" s="3142" t="s">
        <v>836</v>
      </c>
      <c r="B525" s="182" t="s">
        <v>1362</v>
      </c>
      <c r="C525" s="955">
        <v>1.5</v>
      </c>
    </row>
    <row r="526" spans="1:3">
      <c r="A526" s="3142" t="s">
        <v>42</v>
      </c>
      <c r="B526" s="182" t="s">
        <v>384</v>
      </c>
      <c r="C526" s="955">
        <v>1.5</v>
      </c>
    </row>
    <row r="527" spans="1:3">
      <c r="A527" s="3142" t="s">
        <v>52</v>
      </c>
      <c r="B527" s="182" t="s">
        <v>1904</v>
      </c>
      <c r="C527" s="955">
        <v>1.5</v>
      </c>
    </row>
    <row r="528" spans="1:3">
      <c r="A528" s="3142" t="s">
        <v>2502</v>
      </c>
      <c r="B528" s="182" t="s">
        <v>2360</v>
      </c>
      <c r="C528" s="955">
        <v>1.5</v>
      </c>
    </row>
    <row r="529" spans="1:3">
      <c r="A529" s="3142" t="s">
        <v>2503</v>
      </c>
      <c r="B529" s="182" t="s">
        <v>2361</v>
      </c>
      <c r="C529" s="955">
        <v>1.47</v>
      </c>
    </row>
    <row r="530" spans="1:3">
      <c r="A530" s="3142" t="s">
        <v>2504</v>
      </c>
      <c r="B530" s="182" t="s">
        <v>2171</v>
      </c>
      <c r="C530" s="955">
        <v>1.31</v>
      </c>
    </row>
    <row r="531" spans="1:3">
      <c r="A531" s="3142" t="s">
        <v>2399</v>
      </c>
      <c r="B531" s="182" t="s">
        <v>371</v>
      </c>
      <c r="C531" s="955">
        <v>1.47</v>
      </c>
    </row>
    <row r="532" spans="1:3">
      <c r="A532" s="3142" t="s">
        <v>2168</v>
      </c>
      <c r="B532" s="182" t="s">
        <v>2172</v>
      </c>
      <c r="C532" s="955">
        <v>1.5</v>
      </c>
    </row>
    <row r="533" spans="1:3">
      <c r="A533" s="3142" t="s">
        <v>2169</v>
      </c>
      <c r="B533" s="182" t="s">
        <v>2543</v>
      </c>
      <c r="C533" s="955">
        <v>1.5</v>
      </c>
    </row>
    <row r="534" spans="1:3">
      <c r="A534" s="3142" t="s">
        <v>1249</v>
      </c>
      <c r="B534" s="182" t="s">
        <v>2544</v>
      </c>
      <c r="C534" s="955">
        <v>1.4750000000000001</v>
      </c>
    </row>
    <row r="535" spans="1:3">
      <c r="A535" s="3142" t="s">
        <v>1250</v>
      </c>
      <c r="B535" s="182" t="s">
        <v>2545</v>
      </c>
      <c r="C535" s="955">
        <v>1.5</v>
      </c>
    </row>
    <row r="536" spans="1:3">
      <c r="A536" s="3142" t="s">
        <v>1233</v>
      </c>
      <c r="B536" s="182" t="s">
        <v>1638</v>
      </c>
      <c r="C536" s="955">
        <v>1.5</v>
      </c>
    </row>
    <row r="537" spans="1:3">
      <c r="A537" s="3142" t="s">
        <v>1251</v>
      </c>
      <c r="B537" s="182" t="s">
        <v>1641</v>
      </c>
      <c r="C537" s="955">
        <v>1.5</v>
      </c>
    </row>
    <row r="538" spans="1:3">
      <c r="A538" s="3142" t="s">
        <v>1906</v>
      </c>
      <c r="B538" s="182" t="s">
        <v>660</v>
      </c>
      <c r="C538" s="955">
        <v>1.4734</v>
      </c>
    </row>
    <row r="539" spans="1:3">
      <c r="A539" s="3142" t="s">
        <v>2198</v>
      </c>
      <c r="B539" s="182" t="s">
        <v>2534</v>
      </c>
      <c r="C539" s="955">
        <v>1.3774999999999999</v>
      </c>
    </row>
    <row r="540" spans="1:3">
      <c r="A540" s="3142" t="s">
        <v>1328</v>
      </c>
      <c r="B540" s="182" t="s">
        <v>961</v>
      </c>
      <c r="C540" s="955">
        <v>1.4429000000000001</v>
      </c>
    </row>
    <row r="541" spans="1:3">
      <c r="A541" s="3142" t="s">
        <v>202</v>
      </c>
      <c r="B541" s="182" t="s">
        <v>1983</v>
      </c>
      <c r="C541" s="955">
        <v>1.5</v>
      </c>
    </row>
    <row r="542" spans="1:3">
      <c r="A542" s="3142" t="s">
        <v>1252</v>
      </c>
      <c r="B542" s="182" t="s">
        <v>1642</v>
      </c>
      <c r="C542" s="955">
        <v>1.5</v>
      </c>
    </row>
    <row r="543" spans="1:3">
      <c r="A543" s="3142" t="s">
        <v>181</v>
      </c>
      <c r="B543" s="182" t="s">
        <v>995</v>
      </c>
      <c r="C543" s="955">
        <v>1.4750000000000001</v>
      </c>
    </row>
    <row r="544" spans="1:3">
      <c r="A544" s="3142" t="s">
        <v>1777</v>
      </c>
      <c r="B544" s="182" t="s">
        <v>1364</v>
      </c>
      <c r="C544" s="955">
        <v>1.5</v>
      </c>
    </row>
    <row r="545" spans="1:3">
      <c r="A545" s="3142" t="s">
        <v>539</v>
      </c>
      <c r="B545" s="182" t="s">
        <v>1093</v>
      </c>
      <c r="C545" s="955">
        <v>1.5</v>
      </c>
    </row>
    <row r="546" spans="1:3">
      <c r="A546" s="3142" t="s">
        <v>1700</v>
      </c>
      <c r="B546" s="182" t="s">
        <v>818</v>
      </c>
      <c r="C546" s="955">
        <v>1.5</v>
      </c>
    </row>
    <row r="547" spans="1:3">
      <c r="A547" s="3142" t="s">
        <v>43</v>
      </c>
      <c r="B547" s="182" t="s">
        <v>385</v>
      </c>
      <c r="C547" s="955">
        <v>1.5</v>
      </c>
    </row>
    <row r="548" spans="1:3">
      <c r="A548" s="3142" t="s">
        <v>1253</v>
      </c>
      <c r="B548" s="182" t="s">
        <v>1921</v>
      </c>
      <c r="C548" s="955">
        <v>1.5</v>
      </c>
    </row>
    <row r="549" spans="1:3">
      <c r="A549" s="3142" t="s">
        <v>2199</v>
      </c>
      <c r="B549" s="182" t="s">
        <v>2548</v>
      </c>
      <c r="C549" s="955">
        <v>1.5</v>
      </c>
    </row>
    <row r="550" spans="1:3">
      <c r="A550" s="3142" t="s">
        <v>241</v>
      </c>
      <c r="B550" s="182" t="s">
        <v>2499</v>
      </c>
      <c r="C550" s="955">
        <v>1.5</v>
      </c>
    </row>
    <row r="551" spans="1:3">
      <c r="A551" s="3142" t="s">
        <v>1189</v>
      </c>
      <c r="B551" s="182" t="s">
        <v>2197</v>
      </c>
      <c r="C551" s="955">
        <v>1.3223</v>
      </c>
    </row>
    <row r="552" spans="1:3">
      <c r="A552" s="3142" t="s">
        <v>1978</v>
      </c>
      <c r="B552" s="182" t="s">
        <v>2279</v>
      </c>
      <c r="C552" s="955">
        <v>1.5</v>
      </c>
    </row>
    <row r="553" spans="1:3">
      <c r="A553" s="3142" t="s">
        <v>1254</v>
      </c>
      <c r="B553" s="182" t="s">
        <v>1922</v>
      </c>
      <c r="C553" s="955">
        <v>1.5</v>
      </c>
    </row>
    <row r="554" spans="1:3">
      <c r="A554" s="3142" t="s">
        <v>1758</v>
      </c>
      <c r="B554" s="182" t="s">
        <v>783</v>
      </c>
      <c r="C554" s="955">
        <v>1.5</v>
      </c>
    </row>
    <row r="555" spans="1:3">
      <c r="A555" s="3142" t="s">
        <v>2370</v>
      </c>
      <c r="B555" s="182" t="s">
        <v>135</v>
      </c>
      <c r="C555" s="955">
        <v>1.5</v>
      </c>
    </row>
    <row r="556" spans="1:3">
      <c r="A556" s="3142" t="s">
        <v>245</v>
      </c>
      <c r="B556" s="182" t="s">
        <v>1832</v>
      </c>
      <c r="C556" s="955">
        <v>1.5</v>
      </c>
    </row>
    <row r="557" spans="1:3">
      <c r="A557" s="3142" t="s">
        <v>45</v>
      </c>
      <c r="B557" s="182" t="s">
        <v>387</v>
      </c>
      <c r="C557" s="955">
        <v>1.4094</v>
      </c>
    </row>
    <row r="558" spans="1:3">
      <c r="A558" s="3142" t="s">
        <v>2371</v>
      </c>
      <c r="B558" s="182" t="s">
        <v>392</v>
      </c>
      <c r="C558" s="955">
        <v>1.5</v>
      </c>
    </row>
    <row r="559" spans="1:3">
      <c r="A559" s="3142" t="s">
        <v>1083</v>
      </c>
      <c r="B559" s="182" t="s">
        <v>1923</v>
      </c>
      <c r="C559" s="955">
        <v>1.5</v>
      </c>
    </row>
    <row r="560" spans="1:3">
      <c r="A560" s="3142" t="s">
        <v>1592</v>
      </c>
      <c r="B560" s="182" t="s">
        <v>846</v>
      </c>
      <c r="C560" s="955">
        <v>1.5</v>
      </c>
    </row>
    <row r="561" spans="1:3">
      <c r="A561" s="3142" t="s">
        <v>2265</v>
      </c>
      <c r="B561" s="182" t="s">
        <v>394</v>
      </c>
      <c r="C561" s="955">
        <v>1.5</v>
      </c>
    </row>
    <row r="562" spans="1:3">
      <c r="A562" s="3142" t="s">
        <v>1263</v>
      </c>
      <c r="B562" s="182" t="s">
        <v>102</v>
      </c>
      <c r="C562" s="955">
        <v>1.46</v>
      </c>
    </row>
    <row r="563" spans="1:3">
      <c r="A563" s="3142" t="s">
        <v>47</v>
      </c>
      <c r="B563" s="182" t="s">
        <v>389</v>
      </c>
      <c r="C563" s="955">
        <v>1.5</v>
      </c>
    </row>
    <row r="564" spans="1:3">
      <c r="A564" s="3142" t="s">
        <v>49</v>
      </c>
      <c r="B564" s="182" t="s">
        <v>391</v>
      </c>
      <c r="C564" s="955">
        <v>1.5</v>
      </c>
    </row>
    <row r="565" spans="1:3">
      <c r="A565" s="3142" t="s">
        <v>2413</v>
      </c>
      <c r="B565" s="182" t="s">
        <v>1924</v>
      </c>
      <c r="C565" s="955">
        <v>1.46</v>
      </c>
    </row>
    <row r="566" spans="1:3">
      <c r="A566" s="3142" t="s">
        <v>2414</v>
      </c>
      <c r="B566" s="182" t="s">
        <v>1925</v>
      </c>
      <c r="C566" s="955">
        <v>1.5</v>
      </c>
    </row>
    <row r="567" spans="1:3">
      <c r="A567" s="3142" t="s">
        <v>466</v>
      </c>
      <c r="B567" s="182" t="s">
        <v>1174</v>
      </c>
      <c r="C567" s="955">
        <v>1.5</v>
      </c>
    </row>
    <row r="568" spans="1:3">
      <c r="A568" s="3142" t="s">
        <v>2415</v>
      </c>
      <c r="B568" s="182" t="s">
        <v>1926</v>
      </c>
      <c r="C568" s="955">
        <v>1.46</v>
      </c>
    </row>
    <row r="569" spans="1:3">
      <c r="A569" s="3142" t="s">
        <v>1449</v>
      </c>
      <c r="B569" s="182" t="s">
        <v>1927</v>
      </c>
      <c r="C569" s="955">
        <v>1.36</v>
      </c>
    </row>
    <row r="570" spans="1:3">
      <c r="A570" s="3142" t="s">
        <v>2542</v>
      </c>
      <c r="B570" s="182" t="s">
        <v>1928</v>
      </c>
      <c r="C570" s="955">
        <v>1.5</v>
      </c>
    </row>
    <row r="571" spans="1:3">
      <c r="A571" s="3142" t="s">
        <v>2195</v>
      </c>
      <c r="B571" s="182" t="s">
        <v>1929</v>
      </c>
      <c r="C571" s="955">
        <v>1.45</v>
      </c>
    </row>
    <row r="572" spans="1:3">
      <c r="A572" s="3142" t="s">
        <v>1451</v>
      </c>
      <c r="B572" s="182" t="s">
        <v>618</v>
      </c>
      <c r="C572" s="955">
        <v>1.45</v>
      </c>
    </row>
    <row r="573" spans="1:3">
      <c r="A573" s="3142" t="s">
        <v>2404</v>
      </c>
      <c r="B573" s="182" t="s">
        <v>1930</v>
      </c>
      <c r="C573" s="955">
        <v>1.48</v>
      </c>
    </row>
    <row r="574" spans="1:3">
      <c r="A574" s="3142" t="s">
        <v>2405</v>
      </c>
      <c r="B574" s="182" t="s">
        <v>1931</v>
      </c>
      <c r="C574" s="955">
        <v>1.49</v>
      </c>
    </row>
    <row r="575" spans="1:3">
      <c r="A575" s="3142" t="s">
        <v>459</v>
      </c>
      <c r="B575" s="182" t="s">
        <v>1932</v>
      </c>
      <c r="C575" s="955">
        <v>1.5</v>
      </c>
    </row>
    <row r="576" spans="1:3">
      <c r="A576" s="3142" t="s">
        <v>2154</v>
      </c>
      <c r="B576" s="182" t="s">
        <v>1933</v>
      </c>
      <c r="C576" s="955">
        <v>0.90800000000000003</v>
      </c>
    </row>
    <row r="577" spans="1:3">
      <c r="A577" s="3142" t="s">
        <v>2155</v>
      </c>
      <c r="B577" s="182" t="s">
        <v>1934</v>
      </c>
      <c r="C577" s="955">
        <v>1.43</v>
      </c>
    </row>
    <row r="578" spans="1:3">
      <c r="A578" s="3142" t="s">
        <v>1444</v>
      </c>
      <c r="B578" s="182" t="s">
        <v>1935</v>
      </c>
      <c r="C578" s="955">
        <v>1.41</v>
      </c>
    </row>
    <row r="579" spans="1:3">
      <c r="A579" s="3142" t="s">
        <v>1445</v>
      </c>
      <c r="B579" s="182" t="s">
        <v>1936</v>
      </c>
      <c r="C579" s="955">
        <v>1.2975000000000001</v>
      </c>
    </row>
    <row r="580" spans="1:3">
      <c r="A580" s="3142" t="s">
        <v>2372</v>
      </c>
      <c r="B580" s="182" t="s">
        <v>1903</v>
      </c>
      <c r="C580" s="955">
        <v>1.5</v>
      </c>
    </row>
    <row r="581" spans="1:3">
      <c r="A581" s="3142" t="s">
        <v>373</v>
      </c>
      <c r="B581" s="182" t="s">
        <v>1937</v>
      </c>
      <c r="C581" s="955">
        <v>1.4</v>
      </c>
    </row>
    <row r="582" spans="1:3">
      <c r="A582" s="3142" t="s">
        <v>374</v>
      </c>
      <c r="B582" s="182" t="s">
        <v>1938</v>
      </c>
      <c r="C582" s="955">
        <v>1.5</v>
      </c>
    </row>
    <row r="583" spans="1:3">
      <c r="A583" s="3142" t="s">
        <v>375</v>
      </c>
      <c r="B583" s="182" t="s">
        <v>1939</v>
      </c>
      <c r="C583" s="955">
        <v>1.5</v>
      </c>
    </row>
    <row r="584" spans="1:3">
      <c r="A584" s="3142" t="s">
        <v>2373</v>
      </c>
      <c r="B584" s="182" t="s">
        <v>1597</v>
      </c>
      <c r="C584" s="955">
        <v>1.5</v>
      </c>
    </row>
    <row r="585" spans="1:3">
      <c r="A585" s="3142" t="s">
        <v>228</v>
      </c>
      <c r="B585" s="182" t="s">
        <v>1940</v>
      </c>
      <c r="C585" s="955">
        <v>1.5</v>
      </c>
    </row>
    <row r="586" spans="1:3">
      <c r="A586" s="3142" t="s">
        <v>229</v>
      </c>
      <c r="B586" s="182" t="s">
        <v>1941</v>
      </c>
      <c r="C586" s="955">
        <v>1.5</v>
      </c>
    </row>
    <row r="587" spans="1:3">
      <c r="A587" s="3142" t="s">
        <v>230</v>
      </c>
      <c r="B587" s="182" t="s">
        <v>1942</v>
      </c>
      <c r="C587" s="955">
        <v>1.5</v>
      </c>
    </row>
    <row r="588" spans="1:3">
      <c r="A588" s="3142" t="s">
        <v>2200</v>
      </c>
      <c r="B588" s="182" t="s">
        <v>575</v>
      </c>
      <c r="C588" s="955">
        <v>1.5</v>
      </c>
    </row>
    <row r="589" spans="1:3">
      <c r="A589" s="3142" t="s">
        <v>1910</v>
      </c>
      <c r="B589" s="182" t="s">
        <v>184</v>
      </c>
      <c r="C589" s="955">
        <v>1.5</v>
      </c>
    </row>
    <row r="590" spans="1:3">
      <c r="A590" s="3142" t="s">
        <v>1963</v>
      </c>
      <c r="B590" s="182" t="s">
        <v>2290</v>
      </c>
      <c r="C590" s="955">
        <v>1.4591000000000001</v>
      </c>
    </row>
    <row r="591" spans="1:3">
      <c r="A591" s="3142" t="s">
        <v>2374</v>
      </c>
      <c r="B591" s="182" t="s">
        <v>1982</v>
      </c>
      <c r="C591" s="955">
        <v>1.47</v>
      </c>
    </row>
    <row r="592" spans="1:3">
      <c r="A592" s="3142" t="s">
        <v>1466</v>
      </c>
      <c r="B592" s="182" t="s">
        <v>2291</v>
      </c>
      <c r="C592" s="955">
        <v>1.5</v>
      </c>
    </row>
    <row r="593" spans="1:3">
      <c r="A593" s="3142" t="s">
        <v>1467</v>
      </c>
      <c r="B593" s="182" t="s">
        <v>890</v>
      </c>
      <c r="C593" s="955">
        <v>1.375</v>
      </c>
    </row>
    <row r="594" spans="1:3">
      <c r="A594" s="3142" t="s">
        <v>1327</v>
      </c>
      <c r="B594" s="182" t="s">
        <v>780</v>
      </c>
      <c r="C594" s="955">
        <v>1.5</v>
      </c>
    </row>
    <row r="595" spans="1:3">
      <c r="A595" s="3142" t="s">
        <v>2028</v>
      </c>
      <c r="B595" s="182" t="s">
        <v>891</v>
      </c>
      <c r="C595" s="955">
        <v>1.5</v>
      </c>
    </row>
    <row r="596" spans="1:3">
      <c r="A596" s="3142" t="s">
        <v>2138</v>
      </c>
      <c r="B596" s="182" t="s">
        <v>892</v>
      </c>
      <c r="C596" s="955">
        <v>1.48</v>
      </c>
    </row>
    <row r="597" spans="1:3">
      <c r="A597" s="3142" t="s">
        <v>2139</v>
      </c>
      <c r="B597" s="182" t="s">
        <v>893</v>
      </c>
      <c r="C597" s="955">
        <v>1.2669999999999999</v>
      </c>
    </row>
    <row r="598" spans="1:3">
      <c r="A598" s="3142" t="s">
        <v>2140</v>
      </c>
      <c r="B598" s="182" t="s">
        <v>894</v>
      </c>
      <c r="C598" s="955">
        <v>1.45</v>
      </c>
    </row>
    <row r="599" spans="1:3">
      <c r="A599" s="3142" t="s">
        <v>2141</v>
      </c>
      <c r="B599" s="182" t="s">
        <v>895</v>
      </c>
      <c r="C599" s="955">
        <v>1.45</v>
      </c>
    </row>
    <row r="600" spans="1:3">
      <c r="A600" s="3142" t="s">
        <v>2263</v>
      </c>
      <c r="B600" s="182" t="s">
        <v>1040</v>
      </c>
      <c r="C600" s="955">
        <v>1.5</v>
      </c>
    </row>
    <row r="601" spans="1:3">
      <c r="A601" s="3142" t="s">
        <v>2142</v>
      </c>
      <c r="B601" s="182" t="s">
        <v>896</v>
      </c>
      <c r="C601" s="955">
        <v>1.35</v>
      </c>
    </row>
    <row r="602" spans="1:3">
      <c r="A602" s="3142" t="s">
        <v>2143</v>
      </c>
      <c r="B602" s="182" t="s">
        <v>897</v>
      </c>
      <c r="C602" s="955">
        <v>1.42</v>
      </c>
    </row>
    <row r="603" spans="1:3">
      <c r="A603" s="3142" t="s">
        <v>2144</v>
      </c>
      <c r="B603" s="182" t="s">
        <v>898</v>
      </c>
      <c r="C603" s="955">
        <v>1.5</v>
      </c>
    </row>
    <row r="604" spans="1:3">
      <c r="A604" s="3142" t="s">
        <v>2145</v>
      </c>
      <c r="B604" s="182" t="s">
        <v>899</v>
      </c>
      <c r="C604" s="955">
        <v>1.28</v>
      </c>
    </row>
    <row r="605" spans="1:3">
      <c r="A605" s="3142" t="s">
        <v>2146</v>
      </c>
      <c r="B605" s="182" t="s">
        <v>900</v>
      </c>
      <c r="C605" s="955">
        <v>1.48</v>
      </c>
    </row>
    <row r="606" spans="1:3">
      <c r="A606" s="3142" t="s">
        <v>2443</v>
      </c>
      <c r="B606" s="182" t="s">
        <v>901</v>
      </c>
      <c r="C606" s="955">
        <v>1.35</v>
      </c>
    </row>
    <row r="607" spans="1:3">
      <c r="A607" s="3142" t="s">
        <v>2444</v>
      </c>
      <c r="B607" s="182" t="s">
        <v>902</v>
      </c>
      <c r="C607" s="955">
        <v>1.5</v>
      </c>
    </row>
    <row r="608" spans="1:3">
      <c r="A608" s="3142" t="s">
        <v>2445</v>
      </c>
      <c r="B608" s="182" t="s">
        <v>903</v>
      </c>
      <c r="C608" s="955">
        <v>1.4691000000000001</v>
      </c>
    </row>
    <row r="609" spans="1:3">
      <c r="A609" s="3142" t="s">
        <v>2446</v>
      </c>
      <c r="B609" s="182" t="s">
        <v>904</v>
      </c>
      <c r="C609" s="955">
        <v>1.4842</v>
      </c>
    </row>
    <row r="610" spans="1:3">
      <c r="A610" s="3142" t="s">
        <v>2447</v>
      </c>
      <c r="B610" s="182" t="s">
        <v>905</v>
      </c>
      <c r="C610" s="955">
        <v>1.4750000000000001</v>
      </c>
    </row>
    <row r="611" spans="1:3">
      <c r="A611" s="3142" t="s">
        <v>1305</v>
      </c>
      <c r="B611" s="182" t="s">
        <v>1721</v>
      </c>
      <c r="C611" s="955">
        <v>1.5</v>
      </c>
    </row>
    <row r="612" spans="1:3">
      <c r="A612" s="3142" t="s">
        <v>1306</v>
      </c>
      <c r="B612" s="182" t="s">
        <v>1722</v>
      </c>
      <c r="C612" s="955">
        <v>1.5</v>
      </c>
    </row>
    <row r="613" spans="1:3">
      <c r="A613" s="3142" t="s">
        <v>2288</v>
      </c>
      <c r="B613" s="182" t="s">
        <v>1723</v>
      </c>
      <c r="C613" s="955">
        <v>1.5</v>
      </c>
    </row>
    <row r="614" spans="1:3">
      <c r="A614" s="3142" t="s">
        <v>1992</v>
      </c>
      <c r="B614" s="182" t="s">
        <v>1892</v>
      </c>
      <c r="C614" s="955">
        <v>1.2291000000000001</v>
      </c>
    </row>
    <row r="615" spans="1:3">
      <c r="A615" s="3142" t="s">
        <v>2489</v>
      </c>
      <c r="B615" s="182" t="s">
        <v>1094</v>
      </c>
      <c r="C615" s="955">
        <v>1.44</v>
      </c>
    </row>
    <row r="616" spans="1:3">
      <c r="A616" s="3142" t="s">
        <v>2270</v>
      </c>
      <c r="B616" s="182" t="s">
        <v>2517</v>
      </c>
      <c r="C616" s="955">
        <v>1.5</v>
      </c>
    </row>
    <row r="617" spans="1:3">
      <c r="A617" s="3142" t="s">
        <v>1993</v>
      </c>
      <c r="B617" s="182" t="s">
        <v>1893</v>
      </c>
      <c r="C617" s="955">
        <v>1.38</v>
      </c>
    </row>
    <row r="618" spans="1:3">
      <c r="A618" s="3142" t="s">
        <v>2375</v>
      </c>
      <c r="B618" s="182" t="s">
        <v>1639</v>
      </c>
      <c r="C618" s="955">
        <v>1.4579</v>
      </c>
    </row>
    <row r="619" spans="1:3">
      <c r="A619" s="3142" t="s">
        <v>1051</v>
      </c>
      <c r="B619" s="182" t="s">
        <v>2251</v>
      </c>
      <c r="C619" s="955">
        <v>1.5</v>
      </c>
    </row>
    <row r="620" spans="1:3">
      <c r="A620" s="3142" t="s">
        <v>1994</v>
      </c>
      <c r="B620" s="182" t="s">
        <v>508</v>
      </c>
      <c r="C620" s="955">
        <v>1.5</v>
      </c>
    </row>
    <row r="621" spans="1:3">
      <c r="A621" s="3142" t="s">
        <v>1995</v>
      </c>
      <c r="B621" s="182" t="s">
        <v>509</v>
      </c>
      <c r="C621" s="955">
        <v>1.5</v>
      </c>
    </row>
    <row r="622" spans="1:3">
      <c r="A622" s="3142" t="s">
        <v>914</v>
      </c>
      <c r="B622" s="182" t="s">
        <v>1464</v>
      </c>
      <c r="C622" s="955">
        <v>1.5</v>
      </c>
    </row>
    <row r="623" spans="1:3">
      <c r="A623" s="3142" t="s">
        <v>1261</v>
      </c>
      <c r="B623" s="182" t="s">
        <v>510</v>
      </c>
      <c r="C623" s="955">
        <v>1.375</v>
      </c>
    </row>
    <row r="624" spans="1:3">
      <c r="A624" s="3142" t="s">
        <v>1595</v>
      </c>
      <c r="B624" s="182" t="s">
        <v>511</v>
      </c>
      <c r="C624" s="955">
        <v>1.5</v>
      </c>
    </row>
    <row r="625" spans="1:3">
      <c r="A625" s="3142" t="s">
        <v>1596</v>
      </c>
      <c r="B625" s="182" t="s">
        <v>512</v>
      </c>
      <c r="C625" s="955">
        <v>1.45</v>
      </c>
    </row>
    <row r="626" spans="1:3">
      <c r="A626" s="3142" t="s">
        <v>2416</v>
      </c>
      <c r="B626" s="182" t="s">
        <v>513</v>
      </c>
      <c r="C626" s="955">
        <v>1.5</v>
      </c>
    </row>
    <row r="627" spans="1:3">
      <c r="A627" s="3142" t="s">
        <v>2417</v>
      </c>
      <c r="B627" s="182" t="s">
        <v>514</v>
      </c>
      <c r="C627" s="955">
        <v>1.5</v>
      </c>
    </row>
    <row r="628" spans="1:3">
      <c r="A628" s="3142" t="s">
        <v>2513</v>
      </c>
      <c r="B628" s="182" t="s">
        <v>515</v>
      </c>
      <c r="C628" s="955">
        <v>1.4024000000000001</v>
      </c>
    </row>
    <row r="629" spans="1:3">
      <c r="A629" s="3142" t="s">
        <v>791</v>
      </c>
      <c r="B629" s="182" t="s">
        <v>516</v>
      </c>
      <c r="C629" s="955">
        <v>1.48</v>
      </c>
    </row>
    <row r="630" spans="1:3">
      <c r="A630" s="3142" t="s">
        <v>80</v>
      </c>
      <c r="B630" s="182" t="s">
        <v>517</v>
      </c>
      <c r="C630" s="955">
        <v>1.4449000000000001</v>
      </c>
    </row>
    <row r="631" spans="1:3">
      <c r="A631" s="3142" t="s">
        <v>81</v>
      </c>
      <c r="B631" s="182" t="s">
        <v>518</v>
      </c>
      <c r="C631" s="955">
        <v>1.4219999999999999</v>
      </c>
    </row>
    <row r="632" spans="1:3">
      <c r="A632" s="3142" t="s">
        <v>2160</v>
      </c>
      <c r="B632" s="182" t="s">
        <v>549</v>
      </c>
      <c r="C632" s="955">
        <v>1.5</v>
      </c>
    </row>
    <row r="633" spans="1:3">
      <c r="A633" s="3142" t="s">
        <v>2272</v>
      </c>
      <c r="B633" s="182" t="s">
        <v>519</v>
      </c>
      <c r="C633" s="955">
        <v>1.5</v>
      </c>
    </row>
    <row r="634" spans="1:3">
      <c r="A634" s="3142" t="s">
        <v>2273</v>
      </c>
      <c r="B634" s="182" t="s">
        <v>520</v>
      </c>
      <c r="C634" s="955">
        <v>1.5</v>
      </c>
    </row>
    <row r="635" spans="1:3">
      <c r="A635" s="3142" t="s">
        <v>1985</v>
      </c>
      <c r="B635" s="182" t="s">
        <v>550</v>
      </c>
      <c r="C635" s="955">
        <v>1.397</v>
      </c>
    </row>
    <row r="636" spans="1:3">
      <c r="A636" s="3142" t="s">
        <v>1338</v>
      </c>
      <c r="B636" s="182" t="s">
        <v>2179</v>
      </c>
      <c r="C636" s="955">
        <v>1.4111</v>
      </c>
    </row>
    <row r="637" spans="1:3">
      <c r="A637" s="3142" t="s">
        <v>2274</v>
      </c>
      <c r="B637" s="182" t="s">
        <v>521</v>
      </c>
      <c r="C637" s="955">
        <v>1.5</v>
      </c>
    </row>
    <row r="638" spans="1:3">
      <c r="A638" s="3142" t="s">
        <v>468</v>
      </c>
      <c r="B638" s="182" t="s">
        <v>1176</v>
      </c>
      <c r="C638" s="955">
        <v>1.5</v>
      </c>
    </row>
    <row r="639" spans="1:3">
      <c r="A639" s="3142" t="s">
        <v>636</v>
      </c>
      <c r="B639" s="182" t="s">
        <v>522</v>
      </c>
      <c r="C639" s="955">
        <v>1.44</v>
      </c>
    </row>
    <row r="640" spans="1:3">
      <c r="A640" s="3142" t="s">
        <v>2221</v>
      </c>
      <c r="B640" s="182" t="s">
        <v>523</v>
      </c>
      <c r="C640" s="955">
        <v>1.4</v>
      </c>
    </row>
    <row r="641" spans="1:3">
      <c r="A641" s="3142" t="s">
        <v>2222</v>
      </c>
      <c r="B641" s="182" t="s">
        <v>524</v>
      </c>
      <c r="C641" s="955">
        <v>1.5</v>
      </c>
    </row>
    <row r="642" spans="1:3">
      <c r="A642" s="3142" t="s">
        <v>2223</v>
      </c>
      <c r="B642" s="182" t="s">
        <v>525</v>
      </c>
      <c r="C642" s="955">
        <v>1.5</v>
      </c>
    </row>
    <row r="643" spans="1:3">
      <c r="A643" s="3142" t="s">
        <v>1378</v>
      </c>
      <c r="B643" s="182" t="s">
        <v>526</v>
      </c>
      <c r="C643" s="955">
        <v>1.5</v>
      </c>
    </row>
    <row r="644" spans="1:3">
      <c r="A644" s="3142" t="s">
        <v>1977</v>
      </c>
      <c r="B644" s="182" t="s">
        <v>272</v>
      </c>
      <c r="C644" s="955">
        <v>1.5</v>
      </c>
    </row>
    <row r="645" spans="1:3">
      <c r="A645" s="3142" t="s">
        <v>1379</v>
      </c>
      <c r="B645" s="182" t="s">
        <v>527</v>
      </c>
      <c r="C645" s="955">
        <v>1.45</v>
      </c>
    </row>
    <row r="646" spans="1:3">
      <c r="A646" s="3142" t="s">
        <v>363</v>
      </c>
      <c r="B646" s="182" t="s">
        <v>528</v>
      </c>
      <c r="C646" s="955">
        <v>1.3411999999999999</v>
      </c>
    </row>
    <row r="647" spans="1:3">
      <c r="A647" s="3142" t="s">
        <v>364</v>
      </c>
      <c r="B647" s="182" t="s">
        <v>529</v>
      </c>
      <c r="C647" s="955">
        <v>1.37</v>
      </c>
    </row>
    <row r="648" spans="1:3">
      <c r="A648" s="3142" t="s">
        <v>365</v>
      </c>
      <c r="B648" s="182" t="s">
        <v>530</v>
      </c>
      <c r="C648" s="955">
        <v>1.26</v>
      </c>
    </row>
    <row r="649" spans="1:3">
      <c r="A649" s="3142" t="s">
        <v>1561</v>
      </c>
      <c r="B649" s="182" t="s">
        <v>531</v>
      </c>
      <c r="C649" s="955">
        <v>1.5</v>
      </c>
    </row>
    <row r="650" spans="1:3">
      <c r="A650" s="3142" t="s">
        <v>1562</v>
      </c>
      <c r="B650" s="182" t="s">
        <v>532</v>
      </c>
      <c r="C650" s="955">
        <v>1.5</v>
      </c>
    </row>
    <row r="651" spans="1:3">
      <c r="A651" s="3142" t="s">
        <v>163</v>
      </c>
      <c r="B651" s="182" t="s">
        <v>1648</v>
      </c>
      <c r="C651" s="955">
        <v>1.3249</v>
      </c>
    </row>
    <row r="652" spans="1:3">
      <c r="A652" s="3142" t="s">
        <v>2009</v>
      </c>
      <c r="B652" s="182" t="s">
        <v>1649</v>
      </c>
      <c r="C652" s="955">
        <v>1.4</v>
      </c>
    </row>
    <row r="653" spans="1:3">
      <c r="A653" s="3142" t="s">
        <v>2010</v>
      </c>
      <c r="B653" s="182" t="s">
        <v>1650</v>
      </c>
      <c r="C653" s="955">
        <v>1.41</v>
      </c>
    </row>
    <row r="654" spans="1:3">
      <c r="A654" s="3142" t="s">
        <v>2011</v>
      </c>
      <c r="B654" s="182" t="s">
        <v>1651</v>
      </c>
      <c r="C654" s="955">
        <v>1.4076</v>
      </c>
    </row>
    <row r="655" spans="1:3">
      <c r="A655" s="3142" t="s">
        <v>1713</v>
      </c>
      <c r="B655" s="182" t="s">
        <v>1006</v>
      </c>
      <c r="C655" s="955">
        <v>1.3519000000000001</v>
      </c>
    </row>
    <row r="656" spans="1:3">
      <c r="A656" s="3142" t="s">
        <v>833</v>
      </c>
      <c r="B656" s="182" t="s">
        <v>1750</v>
      </c>
      <c r="C656" s="955">
        <v>1.5</v>
      </c>
    </row>
    <row r="657" spans="1:3">
      <c r="A657" s="3142" t="s">
        <v>1318</v>
      </c>
      <c r="B657" s="182" t="s">
        <v>1652</v>
      </c>
      <c r="C657" s="955">
        <v>1.5</v>
      </c>
    </row>
    <row r="658" spans="1:3">
      <c r="A658" s="3142" t="s">
        <v>1875</v>
      </c>
      <c r="B658" s="182" t="s">
        <v>2105</v>
      </c>
      <c r="C658" s="955">
        <v>1.49</v>
      </c>
    </row>
    <row r="659" spans="1:3">
      <c r="A659" s="3142" t="s">
        <v>915</v>
      </c>
      <c r="B659" s="182" t="s">
        <v>395</v>
      </c>
      <c r="C659" s="955">
        <v>1.5</v>
      </c>
    </row>
    <row r="660" spans="1:3">
      <c r="A660" s="3142" t="s">
        <v>853</v>
      </c>
      <c r="B660" s="182" t="s">
        <v>1815</v>
      </c>
      <c r="C660" s="955">
        <v>1.3720000000000001</v>
      </c>
    </row>
    <row r="661" spans="1:3">
      <c r="A661" s="3142" t="s">
        <v>661</v>
      </c>
      <c r="B661" s="182" t="s">
        <v>1792</v>
      </c>
      <c r="C661" s="955">
        <v>1.5</v>
      </c>
    </row>
    <row r="662" spans="1:3">
      <c r="A662" s="3142" t="s">
        <v>916</v>
      </c>
      <c r="B662" s="182" t="s">
        <v>1183</v>
      </c>
      <c r="C662" s="955">
        <v>1.5</v>
      </c>
    </row>
    <row r="663" spans="1:3">
      <c r="A663" s="3142" t="s">
        <v>1731</v>
      </c>
      <c r="B663" s="182" t="s">
        <v>1951</v>
      </c>
      <c r="C663" s="955">
        <v>1.3882000000000001</v>
      </c>
    </row>
    <row r="664" spans="1:3">
      <c r="A664" s="3142" t="s">
        <v>1452</v>
      </c>
      <c r="B664" s="182" t="s">
        <v>773</v>
      </c>
      <c r="C664" s="955">
        <v>1.49</v>
      </c>
    </row>
    <row r="665" spans="1:3">
      <c r="A665" s="3142" t="s">
        <v>104</v>
      </c>
      <c r="B665" s="182" t="s">
        <v>1653</v>
      </c>
      <c r="C665" s="955">
        <v>1.42</v>
      </c>
    </row>
    <row r="666" spans="1:3">
      <c r="A666" s="3142" t="s">
        <v>1973</v>
      </c>
      <c r="B666" s="182" t="s">
        <v>1643</v>
      </c>
      <c r="C666" s="955">
        <v>1.5</v>
      </c>
    </row>
    <row r="667" spans="1:3">
      <c r="A667" s="3142" t="s">
        <v>324</v>
      </c>
      <c r="B667" s="182" t="s">
        <v>127</v>
      </c>
      <c r="C667" s="955">
        <v>1.4456</v>
      </c>
    </row>
    <row r="668" spans="1:3">
      <c r="A668" s="3142" t="s">
        <v>327</v>
      </c>
      <c r="B668" s="182" t="s">
        <v>1345</v>
      </c>
      <c r="C668" s="955">
        <v>1.5</v>
      </c>
    </row>
    <row r="669" spans="1:3">
      <c r="A669" s="3142" t="s">
        <v>2321</v>
      </c>
      <c r="B669" s="182" t="s">
        <v>1654</v>
      </c>
      <c r="C669" s="955">
        <v>1.5</v>
      </c>
    </row>
    <row r="670" spans="1:3">
      <c r="A670" s="3142" t="s">
        <v>2322</v>
      </c>
      <c r="B670" s="182" t="s">
        <v>1655</v>
      </c>
      <c r="C670" s="955">
        <v>1.45</v>
      </c>
    </row>
    <row r="671" spans="1:3">
      <c r="A671" s="3142" t="s">
        <v>70</v>
      </c>
      <c r="B671" s="182" t="s">
        <v>1090</v>
      </c>
      <c r="C671" s="955">
        <v>1.4084000000000001</v>
      </c>
    </row>
    <row r="672" spans="1:3">
      <c r="A672" s="3142" t="s">
        <v>2185</v>
      </c>
      <c r="B672" s="182" t="s">
        <v>1462</v>
      </c>
      <c r="C672" s="955">
        <v>1.5</v>
      </c>
    </row>
    <row r="673" spans="1:3">
      <c r="A673" s="3142" t="s">
        <v>155</v>
      </c>
      <c r="B673" s="182" t="s">
        <v>2551</v>
      </c>
      <c r="C673" s="955">
        <v>1.5</v>
      </c>
    </row>
    <row r="674" spans="1:3">
      <c r="A674" s="3142" t="s">
        <v>832</v>
      </c>
      <c r="B674" s="182" t="s">
        <v>1272</v>
      </c>
      <c r="C674" s="955">
        <v>1.46</v>
      </c>
    </row>
    <row r="675" spans="1:3">
      <c r="A675" s="3142" t="s">
        <v>1733</v>
      </c>
      <c r="B675" s="182" t="s">
        <v>1656</v>
      </c>
      <c r="C675" s="955">
        <v>1.5</v>
      </c>
    </row>
    <row r="676" spans="1:3">
      <c r="A676" s="3142" t="s">
        <v>244</v>
      </c>
      <c r="B676" s="182" t="s">
        <v>1657</v>
      </c>
      <c r="C676" s="955">
        <v>1.4523999999999999</v>
      </c>
    </row>
    <row r="677" spans="1:3">
      <c r="A677" s="3142" t="s">
        <v>1494</v>
      </c>
      <c r="B677" s="182" t="s">
        <v>1658</v>
      </c>
      <c r="C677" s="955">
        <v>1.4</v>
      </c>
    </row>
    <row r="678" spans="1:3">
      <c r="A678" s="3142" t="s">
        <v>1067</v>
      </c>
      <c r="B678" s="182" t="s">
        <v>2522</v>
      </c>
      <c r="C678" s="955">
        <v>1.48</v>
      </c>
    </row>
    <row r="679" spans="1:3">
      <c r="A679" s="3142" t="s">
        <v>1876</v>
      </c>
      <c r="B679" s="182" t="s">
        <v>2056</v>
      </c>
      <c r="C679" s="955">
        <v>1.42</v>
      </c>
    </row>
    <row r="680" spans="1:3">
      <c r="A680" s="3142" t="s">
        <v>872</v>
      </c>
      <c r="B680" s="182" t="s">
        <v>2121</v>
      </c>
      <c r="C680" s="955">
        <v>1.4693000000000001</v>
      </c>
    </row>
    <row r="681" spans="1:3">
      <c r="A681" s="3142" t="s">
        <v>162</v>
      </c>
      <c r="B681" s="182" t="s">
        <v>2245</v>
      </c>
      <c r="C681" s="955">
        <v>1.5</v>
      </c>
    </row>
    <row r="682" spans="1:3">
      <c r="A682" s="3142" t="s">
        <v>2390</v>
      </c>
      <c r="B682" s="182" t="s">
        <v>777</v>
      </c>
      <c r="C682" s="955">
        <v>1.4775</v>
      </c>
    </row>
    <row r="683" spans="1:3">
      <c r="A683" s="3142" t="s">
        <v>2440</v>
      </c>
      <c r="B683" s="182" t="s">
        <v>1659</v>
      </c>
      <c r="C683" s="955">
        <v>1.5</v>
      </c>
    </row>
    <row r="684" spans="1:3">
      <c r="A684" s="3142" t="s">
        <v>2393</v>
      </c>
      <c r="B684" s="182" t="s">
        <v>2113</v>
      </c>
      <c r="C684" s="955">
        <v>1.5</v>
      </c>
    </row>
    <row r="685" spans="1:3">
      <c r="A685" s="3142" t="s">
        <v>1225</v>
      </c>
      <c r="B685" s="182" t="s">
        <v>1660</v>
      </c>
      <c r="C685" s="955">
        <v>1.4997</v>
      </c>
    </row>
    <row r="686" spans="1:3">
      <c r="A686" s="3142" t="s">
        <v>1780</v>
      </c>
      <c r="B686" s="182" t="s">
        <v>611</v>
      </c>
      <c r="C686" s="955">
        <v>1.41</v>
      </c>
    </row>
    <row r="687" spans="1:3">
      <c r="A687" s="3142" t="s">
        <v>1284</v>
      </c>
      <c r="B687" s="182" t="s">
        <v>1661</v>
      </c>
      <c r="C687" s="955">
        <v>1.48</v>
      </c>
    </row>
    <row r="688" spans="1:3">
      <c r="A688" s="3142" t="s">
        <v>2394</v>
      </c>
      <c r="B688" s="182" t="s">
        <v>1662</v>
      </c>
      <c r="C688" s="955">
        <v>1.5</v>
      </c>
    </row>
    <row r="689" spans="1:3">
      <c r="A689" s="3142" t="s">
        <v>2074</v>
      </c>
      <c r="B689" s="182" t="s">
        <v>1663</v>
      </c>
      <c r="C689" s="955">
        <v>1.5</v>
      </c>
    </row>
    <row r="690" spans="1:3">
      <c r="A690" s="3142" t="s">
        <v>882</v>
      </c>
      <c r="B690" s="182" t="s">
        <v>1664</v>
      </c>
      <c r="C690" s="955">
        <v>1.44</v>
      </c>
    </row>
    <row r="691" spans="1:3">
      <c r="A691" s="3142" t="s">
        <v>356</v>
      </c>
      <c r="B691" s="182" t="s">
        <v>2492</v>
      </c>
      <c r="C691" s="955">
        <v>1.4850000000000001</v>
      </c>
    </row>
    <row r="692" spans="1:3">
      <c r="A692" s="3142" t="s">
        <v>1190</v>
      </c>
      <c r="B692" s="182" t="s">
        <v>813</v>
      </c>
      <c r="C692" s="955">
        <v>1.3032999999999999</v>
      </c>
    </row>
    <row r="693" spans="1:3">
      <c r="A693" s="3142" t="s">
        <v>2524</v>
      </c>
      <c r="B693" s="182" t="s">
        <v>1665</v>
      </c>
      <c r="C693" s="955">
        <v>1.39</v>
      </c>
    </row>
    <row r="694" spans="1:3">
      <c r="A694" s="3142" t="s">
        <v>2525</v>
      </c>
      <c r="B694" s="182" t="s">
        <v>1666</v>
      </c>
      <c r="C694" s="955">
        <v>1.165</v>
      </c>
    </row>
    <row r="695" spans="1:3">
      <c r="A695" s="3142" t="s">
        <v>1877</v>
      </c>
      <c r="B695" s="182" t="s">
        <v>71</v>
      </c>
      <c r="C695" s="955">
        <v>1.2749999999999999</v>
      </c>
    </row>
    <row r="696" spans="1:3">
      <c r="A696" s="3142" t="s">
        <v>2526</v>
      </c>
      <c r="B696" s="182" t="s">
        <v>1667</v>
      </c>
      <c r="C696" s="955">
        <v>1.5</v>
      </c>
    </row>
    <row r="697" spans="1:3">
      <c r="A697" s="3142" t="s">
        <v>2527</v>
      </c>
      <c r="B697" s="182" t="s">
        <v>1668</v>
      </c>
      <c r="C697" s="955">
        <v>1.5</v>
      </c>
    </row>
    <row r="698" spans="1:3">
      <c r="A698" s="3142" t="s">
        <v>1398</v>
      </c>
      <c r="B698" s="182" t="s">
        <v>1669</v>
      </c>
      <c r="C698" s="955">
        <v>1.4</v>
      </c>
    </row>
    <row r="699" spans="1:3">
      <c r="A699" s="3142" t="s">
        <v>1242</v>
      </c>
      <c r="B699" s="182" t="s">
        <v>1290</v>
      </c>
      <c r="C699" s="955">
        <v>1.48</v>
      </c>
    </row>
    <row r="700" spans="1:3">
      <c r="A700" s="3142" t="s">
        <v>1347</v>
      </c>
      <c r="B700" s="182" t="s">
        <v>1291</v>
      </c>
      <c r="C700" s="955">
        <v>1.5</v>
      </c>
    </row>
    <row r="701" spans="1:3">
      <c r="A701" s="3142" t="s">
        <v>758</v>
      </c>
      <c r="B701" s="182" t="s">
        <v>1292</v>
      </c>
      <c r="C701" s="955">
        <v>1.5</v>
      </c>
    </row>
    <row r="702" spans="1:3">
      <c r="A702" s="3142" t="s">
        <v>1407</v>
      </c>
      <c r="B702" s="182" t="s">
        <v>2122</v>
      </c>
      <c r="C702" s="955">
        <v>1.3</v>
      </c>
    </row>
    <row r="703" spans="1:3">
      <c r="A703" s="3142" t="s">
        <v>1408</v>
      </c>
      <c r="B703" s="182" t="s">
        <v>2123</v>
      </c>
      <c r="C703" s="955">
        <v>1.5</v>
      </c>
    </row>
    <row r="704" spans="1:3">
      <c r="A704" s="3142" t="s">
        <v>1198</v>
      </c>
      <c r="B704" s="182" t="s">
        <v>2124</v>
      </c>
      <c r="C704" s="955">
        <v>1.5</v>
      </c>
    </row>
    <row r="705" spans="1:3">
      <c r="A705" s="3142" t="s">
        <v>1441</v>
      </c>
      <c r="B705" s="182" t="s">
        <v>2125</v>
      </c>
      <c r="C705" s="955">
        <v>1.5</v>
      </c>
    </row>
    <row r="706" spans="1:3">
      <c r="A706" s="3142" t="s">
        <v>2186</v>
      </c>
      <c r="B706" s="182" t="s">
        <v>1463</v>
      </c>
      <c r="C706" s="955">
        <v>1.49</v>
      </c>
    </row>
    <row r="707" spans="1:3">
      <c r="A707" s="3142" t="s">
        <v>1442</v>
      </c>
      <c r="B707" s="182" t="s">
        <v>2126</v>
      </c>
      <c r="C707" s="955">
        <v>1.4570000000000001</v>
      </c>
    </row>
    <row r="708" spans="1:3">
      <c r="A708" s="3142" t="s">
        <v>1111</v>
      </c>
      <c r="B708" s="182" t="s">
        <v>1060</v>
      </c>
      <c r="C708" s="955">
        <v>1.48</v>
      </c>
    </row>
    <row r="709" spans="1:3">
      <c r="A709" s="3142" t="s">
        <v>329</v>
      </c>
      <c r="B709" s="182" t="s">
        <v>273</v>
      </c>
      <c r="C709" s="955">
        <v>1.46</v>
      </c>
    </row>
    <row r="710" spans="1:3">
      <c r="A710" s="3142" t="s">
        <v>1419</v>
      </c>
      <c r="B710" s="182" t="s">
        <v>1828</v>
      </c>
      <c r="C710" s="955">
        <v>1.5</v>
      </c>
    </row>
    <row r="711" spans="1:3">
      <c r="A711" s="3142" t="s">
        <v>662</v>
      </c>
      <c r="B711" s="182" t="s">
        <v>1072</v>
      </c>
      <c r="C711" s="955">
        <v>1.5</v>
      </c>
    </row>
    <row r="712" spans="1:3">
      <c r="A712" s="3142" t="s">
        <v>1764</v>
      </c>
      <c r="B712" s="182" t="s">
        <v>2127</v>
      </c>
      <c r="C712" s="955">
        <v>1.4841</v>
      </c>
    </row>
    <row r="713" spans="1:3">
      <c r="A713" s="3142" t="s">
        <v>1765</v>
      </c>
      <c r="B713" s="182" t="s">
        <v>2128</v>
      </c>
      <c r="C713" s="955">
        <v>1.4659</v>
      </c>
    </row>
    <row r="714" spans="1:3">
      <c r="A714" s="3142" t="s">
        <v>1766</v>
      </c>
      <c r="B714" s="182" t="s">
        <v>2129</v>
      </c>
      <c r="C714" s="955">
        <v>1.5</v>
      </c>
    </row>
    <row r="715" spans="1:3">
      <c r="A715" s="3142" t="s">
        <v>1767</v>
      </c>
      <c r="B715" s="182" t="s">
        <v>2130</v>
      </c>
      <c r="C715" s="955">
        <v>1.4</v>
      </c>
    </row>
    <row r="716" spans="1:3">
      <c r="A716" s="3142" t="s">
        <v>2227</v>
      </c>
      <c r="B716" s="182" t="s">
        <v>2131</v>
      </c>
      <c r="C716" s="955">
        <v>1.5</v>
      </c>
    </row>
    <row r="717" spans="1:3">
      <c r="A717" s="3142" t="s">
        <v>663</v>
      </c>
      <c r="B717" s="182" t="s">
        <v>1091</v>
      </c>
      <c r="C717" s="955">
        <v>1.5</v>
      </c>
    </row>
    <row r="718" spans="1:3">
      <c r="A718" s="3142" t="s">
        <v>491</v>
      </c>
      <c r="B718" s="182" t="s">
        <v>2132</v>
      </c>
      <c r="C718" s="955">
        <v>1.5</v>
      </c>
    </row>
    <row r="719" spans="1:3">
      <c r="A719" s="3142" t="s">
        <v>664</v>
      </c>
      <c r="B719" s="182" t="s">
        <v>429</v>
      </c>
      <c r="C719" s="955">
        <v>1.37</v>
      </c>
    </row>
    <row r="720" spans="1:3">
      <c r="A720" s="3142" t="s">
        <v>492</v>
      </c>
      <c r="B720" s="182" t="s">
        <v>2133</v>
      </c>
      <c r="C720" s="955">
        <v>1.5</v>
      </c>
    </row>
    <row r="721" spans="1:3">
      <c r="A721" s="3142" t="s">
        <v>357</v>
      </c>
      <c r="B721" s="182" t="s">
        <v>1063</v>
      </c>
      <c r="C721" s="955">
        <v>1.4870000000000001</v>
      </c>
    </row>
    <row r="722" spans="1:3">
      <c r="A722" s="3142" t="s">
        <v>493</v>
      </c>
      <c r="B722" s="182" t="s">
        <v>2134</v>
      </c>
      <c r="C722" s="955">
        <v>1.5</v>
      </c>
    </row>
    <row r="723" spans="1:3">
      <c r="A723" s="3142" t="s">
        <v>494</v>
      </c>
      <c r="B723" s="182" t="s">
        <v>2135</v>
      </c>
      <c r="C723" s="955">
        <v>1.5</v>
      </c>
    </row>
    <row r="724" spans="1:3">
      <c r="A724" s="3142" t="s">
        <v>729</v>
      </c>
      <c r="B724" s="182" t="s">
        <v>844</v>
      </c>
      <c r="C724" s="955">
        <v>1.45</v>
      </c>
    </row>
    <row r="725" spans="1:3">
      <c r="A725" s="3142" t="s">
        <v>495</v>
      </c>
      <c r="B725" s="182" t="s">
        <v>2136</v>
      </c>
      <c r="C725" s="955">
        <v>1.5</v>
      </c>
    </row>
    <row r="726" spans="1:3">
      <c r="A726" s="3142" t="s">
        <v>496</v>
      </c>
      <c r="B726" s="182" t="s">
        <v>290</v>
      </c>
      <c r="C726" s="955">
        <v>1.5</v>
      </c>
    </row>
    <row r="727" spans="1:3">
      <c r="A727" s="3142" t="s">
        <v>2262</v>
      </c>
      <c r="B727" s="182" t="s">
        <v>1039</v>
      </c>
      <c r="C727" s="955">
        <v>1.4108000000000001</v>
      </c>
    </row>
    <row r="728" spans="1:3">
      <c r="A728" s="3142" t="s">
        <v>2269</v>
      </c>
      <c r="B728" s="182" t="s">
        <v>2516</v>
      </c>
      <c r="C728" s="955">
        <v>1.5</v>
      </c>
    </row>
    <row r="729" spans="1:3">
      <c r="A729" s="3142" t="s">
        <v>19</v>
      </c>
      <c r="B729" s="182" t="s">
        <v>291</v>
      </c>
      <c r="C729" s="955">
        <v>1.5</v>
      </c>
    </row>
    <row r="730" spans="1:3">
      <c r="A730" s="3142" t="s">
        <v>665</v>
      </c>
      <c r="B730" s="182" t="s">
        <v>2377</v>
      </c>
      <c r="C730" s="955">
        <v>1.36</v>
      </c>
    </row>
    <row r="731" spans="1:3">
      <c r="A731" s="3142" t="s">
        <v>20</v>
      </c>
      <c r="B731" s="182" t="s">
        <v>292</v>
      </c>
      <c r="C731" s="955">
        <v>1.327</v>
      </c>
    </row>
    <row r="732" spans="1:3">
      <c r="A732" s="3142" t="s">
        <v>1972</v>
      </c>
      <c r="B732" s="182" t="s">
        <v>78</v>
      </c>
      <c r="C732" s="955">
        <v>1.4419999999999999</v>
      </c>
    </row>
    <row r="733" spans="1:3">
      <c r="A733" s="3142" t="s">
        <v>21</v>
      </c>
      <c r="B733" s="182" t="s">
        <v>293</v>
      </c>
      <c r="C733" s="955">
        <v>1.41</v>
      </c>
    </row>
    <row r="734" spans="1:3">
      <c r="A734" s="3142" t="s">
        <v>965</v>
      </c>
      <c r="B734" s="182" t="s">
        <v>2162</v>
      </c>
      <c r="C734" s="955">
        <v>1.4265000000000001</v>
      </c>
    </row>
    <row r="735" spans="1:3">
      <c r="A735" s="3142" t="s">
        <v>1878</v>
      </c>
      <c r="B735" s="182" t="s">
        <v>2523</v>
      </c>
      <c r="C735" s="955">
        <v>1.48</v>
      </c>
    </row>
    <row r="736" spans="1:3">
      <c r="A736" s="3142" t="s">
        <v>1453</v>
      </c>
      <c r="B736" s="182" t="s">
        <v>572</v>
      </c>
      <c r="C736" s="955">
        <v>1.5</v>
      </c>
    </row>
    <row r="737" spans="1:3">
      <c r="A737" s="3142" t="s">
        <v>1774</v>
      </c>
      <c r="B737" s="182" t="s">
        <v>294</v>
      </c>
      <c r="C737" s="955">
        <v>1.5</v>
      </c>
    </row>
    <row r="738" spans="1:3">
      <c r="A738" s="3142" t="s">
        <v>2184</v>
      </c>
      <c r="B738" s="182" t="s">
        <v>295</v>
      </c>
      <c r="C738" s="955">
        <v>1.5</v>
      </c>
    </row>
    <row r="739" spans="1:3">
      <c r="A739" s="3142" t="s">
        <v>402</v>
      </c>
      <c r="B739" s="182" t="s">
        <v>296</v>
      </c>
      <c r="C739" s="955">
        <v>1.4313</v>
      </c>
    </row>
    <row r="740" spans="1:3">
      <c r="A740" s="3142" t="s">
        <v>2358</v>
      </c>
      <c r="B740" s="182" t="s">
        <v>297</v>
      </c>
      <c r="C740" s="955">
        <v>1.5</v>
      </c>
    </row>
    <row r="741" spans="1:3">
      <c r="A741" s="3142" t="s">
        <v>1102</v>
      </c>
      <c r="B741" s="182" t="s">
        <v>298</v>
      </c>
      <c r="C741" s="955">
        <v>1.48</v>
      </c>
    </row>
    <row r="742" spans="1:3">
      <c r="A742" s="3142" t="s">
        <v>1103</v>
      </c>
      <c r="B742" s="182" t="s">
        <v>299</v>
      </c>
      <c r="C742" s="955">
        <v>1.5</v>
      </c>
    </row>
    <row r="743" spans="1:3">
      <c r="A743" s="3142" t="s">
        <v>2261</v>
      </c>
      <c r="B743" s="182" t="s">
        <v>1038</v>
      </c>
      <c r="C743" s="955">
        <v>1.5</v>
      </c>
    </row>
    <row r="744" spans="1:3">
      <c r="A744" s="3142" t="s">
        <v>535</v>
      </c>
      <c r="B744" s="182" t="s">
        <v>300</v>
      </c>
      <c r="C744" s="955">
        <v>1.5</v>
      </c>
    </row>
    <row r="745" spans="1:3">
      <c r="A745" s="3142" t="s">
        <v>544</v>
      </c>
      <c r="B745" s="182" t="s">
        <v>301</v>
      </c>
      <c r="C745" s="955">
        <v>1.24</v>
      </c>
    </row>
    <row r="746" spans="1:3">
      <c r="A746" s="3142" t="s">
        <v>545</v>
      </c>
      <c r="B746" s="182" t="s">
        <v>302</v>
      </c>
      <c r="C746" s="955">
        <v>1.46</v>
      </c>
    </row>
    <row r="747" spans="1:3">
      <c r="A747" s="3142" t="s">
        <v>156</v>
      </c>
      <c r="B747" s="182" t="s">
        <v>2552</v>
      </c>
      <c r="C747" s="955">
        <v>1.5</v>
      </c>
    </row>
    <row r="748" spans="1:3">
      <c r="A748" s="3142" t="s">
        <v>722</v>
      </c>
      <c r="B748" s="182" t="s">
        <v>303</v>
      </c>
      <c r="C748" s="955">
        <v>1.5</v>
      </c>
    </row>
    <row r="749" spans="1:3">
      <c r="A749" s="3142" t="s">
        <v>911</v>
      </c>
      <c r="B749" s="182" t="s">
        <v>304</v>
      </c>
      <c r="C749" s="955">
        <v>1.5</v>
      </c>
    </row>
    <row r="750" spans="1:3">
      <c r="A750" s="3142" t="s">
        <v>2019</v>
      </c>
      <c r="B750" s="182" t="s">
        <v>305</v>
      </c>
      <c r="C750" s="955">
        <v>1.4841</v>
      </c>
    </row>
    <row r="751" spans="1:3">
      <c r="A751" s="3142" t="s">
        <v>2020</v>
      </c>
      <c r="B751" s="182" t="s">
        <v>306</v>
      </c>
      <c r="C751" s="955">
        <v>1.5</v>
      </c>
    </row>
    <row r="752" spans="1:3">
      <c r="A752" s="3142" t="s">
        <v>195</v>
      </c>
      <c r="B752" s="182" t="s">
        <v>942</v>
      </c>
      <c r="C752" s="955">
        <v>1.5</v>
      </c>
    </row>
    <row r="753" spans="1:3">
      <c r="A753" s="3142" t="s">
        <v>918</v>
      </c>
      <c r="B753" s="182" t="s">
        <v>307</v>
      </c>
      <c r="C753" s="955">
        <v>1.4</v>
      </c>
    </row>
    <row r="754" spans="1:3">
      <c r="A754" s="3142" t="s">
        <v>919</v>
      </c>
      <c r="B754" s="182" t="s">
        <v>308</v>
      </c>
      <c r="C754" s="955">
        <v>1.45</v>
      </c>
    </row>
    <row r="755" spans="1:3">
      <c r="A755" s="3142" t="s">
        <v>920</v>
      </c>
      <c r="B755" s="182" t="s">
        <v>309</v>
      </c>
      <c r="C755" s="955">
        <v>1.5</v>
      </c>
    </row>
    <row r="756" spans="1:3">
      <c r="A756" s="3142" t="s">
        <v>1844</v>
      </c>
      <c r="B756" s="182" t="s">
        <v>1751</v>
      </c>
      <c r="C756" s="955">
        <v>1.4985999999999999</v>
      </c>
    </row>
    <row r="757" spans="1:3">
      <c r="A757" s="3142" t="s">
        <v>921</v>
      </c>
      <c r="B757" s="182" t="s">
        <v>310</v>
      </c>
      <c r="C757" s="955">
        <v>1.5</v>
      </c>
    </row>
    <row r="758" spans="1:3">
      <c r="A758" s="3142" t="s">
        <v>922</v>
      </c>
      <c r="B758" s="182" t="s">
        <v>311</v>
      </c>
      <c r="C758" s="955">
        <v>1.4957</v>
      </c>
    </row>
    <row r="759" spans="1:3">
      <c r="A759" s="3142" t="s">
        <v>1380</v>
      </c>
      <c r="B759" s="182" t="s">
        <v>126</v>
      </c>
      <c r="C759" s="955">
        <v>1.5</v>
      </c>
    </row>
    <row r="760" spans="1:3">
      <c r="A760" s="3142" t="s">
        <v>1030</v>
      </c>
      <c r="B760" s="182" t="s">
        <v>312</v>
      </c>
      <c r="C760" s="955">
        <v>1.5</v>
      </c>
    </row>
    <row r="761" spans="1:3">
      <c r="A761" s="3142" t="s">
        <v>1031</v>
      </c>
      <c r="B761" s="182" t="s">
        <v>313</v>
      </c>
      <c r="C761" s="955">
        <v>1.4870000000000001</v>
      </c>
    </row>
    <row r="762" spans="1:3">
      <c r="A762" s="3142" t="s">
        <v>1032</v>
      </c>
      <c r="B762" s="182" t="s">
        <v>314</v>
      </c>
      <c r="C762" s="955">
        <v>1.431</v>
      </c>
    </row>
    <row r="763" spans="1:3">
      <c r="A763" s="3142" t="s">
        <v>2396</v>
      </c>
      <c r="B763" s="182" t="s">
        <v>2117</v>
      </c>
      <c r="C763" s="955">
        <v>1.5</v>
      </c>
    </row>
    <row r="764" spans="1:3">
      <c r="A764" s="3142" t="s">
        <v>1277</v>
      </c>
      <c r="B764" s="182" t="s">
        <v>315</v>
      </c>
      <c r="C764" s="955">
        <v>1.5</v>
      </c>
    </row>
    <row r="765" spans="1:3">
      <c r="A765" s="3142" t="s">
        <v>1278</v>
      </c>
      <c r="B765" s="182" t="s">
        <v>316</v>
      </c>
      <c r="C765" s="955">
        <v>1.4386000000000001</v>
      </c>
    </row>
    <row r="766" spans="1:3">
      <c r="A766" s="3142" t="s">
        <v>1279</v>
      </c>
      <c r="B766" s="182" t="s">
        <v>409</v>
      </c>
      <c r="C766" s="955">
        <v>1.5</v>
      </c>
    </row>
    <row r="767" spans="1:3">
      <c r="A767" s="3142" t="s">
        <v>1280</v>
      </c>
      <c r="B767" s="182" t="s">
        <v>410</v>
      </c>
      <c r="C767" s="955">
        <v>1.4097</v>
      </c>
    </row>
    <row r="768" spans="1:3">
      <c r="A768" s="3142" t="s">
        <v>1281</v>
      </c>
      <c r="B768" s="182" t="s">
        <v>411</v>
      </c>
      <c r="C768" s="955">
        <v>1.5</v>
      </c>
    </row>
    <row r="769" spans="1:3">
      <c r="A769" s="3142" t="s">
        <v>2436</v>
      </c>
      <c r="B769" s="182" t="s">
        <v>430</v>
      </c>
      <c r="C769" s="955">
        <v>1.1274999999999999</v>
      </c>
    </row>
    <row r="770" spans="1:3">
      <c r="A770" s="3142" t="s">
        <v>666</v>
      </c>
      <c r="B770" s="182" t="s">
        <v>949</v>
      </c>
      <c r="C770" s="955">
        <v>1.4330000000000001</v>
      </c>
    </row>
    <row r="771" spans="1:3">
      <c r="A771" s="3142" t="s">
        <v>1421</v>
      </c>
      <c r="B771" s="182" t="s">
        <v>1830</v>
      </c>
      <c r="C771" s="955">
        <v>1.5</v>
      </c>
    </row>
    <row r="772" spans="1:3">
      <c r="A772" s="3142" t="s">
        <v>1381</v>
      </c>
      <c r="B772" s="182" t="s">
        <v>131</v>
      </c>
      <c r="C772" s="955">
        <v>1.5</v>
      </c>
    </row>
    <row r="773" spans="1:3">
      <c r="A773" s="3142" t="s">
        <v>2395</v>
      </c>
      <c r="B773" s="182" t="s">
        <v>2116</v>
      </c>
      <c r="C773" s="955">
        <v>1.5</v>
      </c>
    </row>
    <row r="774" spans="1:3">
      <c r="A774" s="3142" t="s">
        <v>1307</v>
      </c>
      <c r="B774" s="182" t="s">
        <v>412</v>
      </c>
      <c r="C774" s="955">
        <v>1.5</v>
      </c>
    </row>
    <row r="775" spans="1:3">
      <c r="A775" s="3142" t="s">
        <v>194</v>
      </c>
      <c r="B775" s="182" t="s">
        <v>2449</v>
      </c>
      <c r="C775" s="955">
        <v>1.5</v>
      </c>
    </row>
    <row r="776" spans="1:3">
      <c r="A776" s="3142" t="s">
        <v>1773</v>
      </c>
      <c r="B776" s="182" t="s">
        <v>1752</v>
      </c>
      <c r="C776" s="955">
        <v>1.5</v>
      </c>
    </row>
    <row r="777" spans="1:3">
      <c r="A777" s="3142" t="s">
        <v>1542</v>
      </c>
      <c r="B777" s="182" t="s">
        <v>413</v>
      </c>
      <c r="C777" s="955">
        <v>1.5</v>
      </c>
    </row>
    <row r="778" spans="1:3">
      <c r="A778" s="3142" t="s">
        <v>1543</v>
      </c>
      <c r="B778" s="182" t="s">
        <v>414</v>
      </c>
      <c r="C778" s="955">
        <v>1.3</v>
      </c>
    </row>
    <row r="779" spans="1:3">
      <c r="A779" s="3142" t="s">
        <v>1544</v>
      </c>
      <c r="B779" s="182" t="s">
        <v>415</v>
      </c>
      <c r="C779" s="955">
        <v>1.3373999999999999</v>
      </c>
    </row>
    <row r="780" spans="1:3">
      <c r="A780" s="3142" t="s">
        <v>1545</v>
      </c>
      <c r="B780" s="182" t="s">
        <v>416</v>
      </c>
      <c r="C780" s="955">
        <v>1.17</v>
      </c>
    </row>
    <row r="781" spans="1:3">
      <c r="A781" s="3142" t="s">
        <v>1546</v>
      </c>
      <c r="B781" s="182" t="s">
        <v>417</v>
      </c>
      <c r="C781" s="955">
        <v>1.5</v>
      </c>
    </row>
    <row r="782" spans="1:3">
      <c r="A782" s="3142" t="s">
        <v>1770</v>
      </c>
      <c r="B782" s="182" t="s">
        <v>418</v>
      </c>
      <c r="C782" s="955">
        <v>1.5</v>
      </c>
    </row>
    <row r="783" spans="1:3">
      <c r="A783" s="3142" t="s">
        <v>2178</v>
      </c>
      <c r="B783" s="182" t="s">
        <v>419</v>
      </c>
      <c r="C783" s="955">
        <v>1.5</v>
      </c>
    </row>
    <row r="784" spans="1:3">
      <c r="A784" s="3142" t="s">
        <v>2167</v>
      </c>
      <c r="B784" s="182" t="s">
        <v>420</v>
      </c>
      <c r="C784" s="955">
        <v>1.5</v>
      </c>
    </row>
    <row r="785" spans="1:3">
      <c r="A785" s="3142" t="s">
        <v>1226</v>
      </c>
      <c r="B785" s="182" t="s">
        <v>421</v>
      </c>
      <c r="C785" s="955">
        <v>1.5</v>
      </c>
    </row>
    <row r="786" spans="1:3">
      <c r="A786" s="3142" t="s">
        <v>651</v>
      </c>
      <c r="B786" s="182" t="s">
        <v>422</v>
      </c>
      <c r="C786" s="955">
        <v>1.5</v>
      </c>
    </row>
    <row r="787" spans="1:3">
      <c r="A787" s="3142" t="s">
        <v>2407</v>
      </c>
      <c r="B787" s="182" t="s">
        <v>423</v>
      </c>
      <c r="C787" s="955">
        <v>1.4750000000000001</v>
      </c>
    </row>
    <row r="788" spans="1:3">
      <c r="A788" s="3142" t="s">
        <v>652</v>
      </c>
      <c r="B788" s="182" t="s">
        <v>424</v>
      </c>
      <c r="C788" s="955">
        <v>1.5</v>
      </c>
    </row>
    <row r="789" spans="1:3">
      <c r="A789" s="3142" t="s">
        <v>1676</v>
      </c>
      <c r="B789" s="182" t="s">
        <v>2103</v>
      </c>
      <c r="C789" s="955">
        <v>1.4824999999999999</v>
      </c>
    </row>
    <row r="790" spans="1:3">
      <c r="A790" s="3142" t="s">
        <v>1142</v>
      </c>
      <c r="B790" s="182" t="s">
        <v>425</v>
      </c>
      <c r="C790" s="955">
        <v>1.4833000000000001</v>
      </c>
    </row>
    <row r="791" spans="1:3">
      <c r="A791" s="3142" t="s">
        <v>1547</v>
      </c>
      <c r="B791" s="182" t="s">
        <v>998</v>
      </c>
      <c r="C791" s="955">
        <v>1.5</v>
      </c>
    </row>
    <row r="792" spans="1:3">
      <c r="A792" s="3142" t="s">
        <v>185</v>
      </c>
      <c r="B792" s="182" t="s">
        <v>2549</v>
      </c>
      <c r="C792" s="955">
        <v>1.5</v>
      </c>
    </row>
    <row r="793" spans="1:3">
      <c r="A793" s="3142" t="s">
        <v>537</v>
      </c>
      <c r="B793" s="182" t="s">
        <v>121</v>
      </c>
      <c r="C793" s="955">
        <v>1.45</v>
      </c>
    </row>
    <row r="794" spans="1:3">
      <c r="A794" s="3142" t="s">
        <v>2059</v>
      </c>
      <c r="B794" s="182" t="s">
        <v>426</v>
      </c>
      <c r="C794" s="955">
        <v>1.4717</v>
      </c>
    </row>
    <row r="795" spans="1:3">
      <c r="A795" s="3142" t="s">
        <v>1382</v>
      </c>
      <c r="B795" s="182" t="s">
        <v>277</v>
      </c>
      <c r="C795" s="955">
        <v>1.5</v>
      </c>
    </row>
    <row r="796" spans="1:3">
      <c r="A796" s="3142" t="s">
        <v>203</v>
      </c>
      <c r="B796" s="182" t="s">
        <v>1984</v>
      </c>
      <c r="C796" s="955">
        <v>1.5</v>
      </c>
    </row>
    <row r="797" spans="1:3">
      <c r="A797" s="3142" t="s">
        <v>1214</v>
      </c>
      <c r="B797" s="182" t="s">
        <v>427</v>
      </c>
      <c r="C797" s="955">
        <v>1.43</v>
      </c>
    </row>
    <row r="798" spans="1:3">
      <c r="A798" s="3142" t="s">
        <v>1215</v>
      </c>
      <c r="B798" s="182" t="s">
        <v>144</v>
      </c>
      <c r="C798" s="955">
        <v>1.4975000000000001</v>
      </c>
    </row>
    <row r="799" spans="1:3">
      <c r="A799" s="3142" t="s">
        <v>2381</v>
      </c>
      <c r="B799" s="182" t="s">
        <v>145</v>
      </c>
      <c r="C799" s="955">
        <v>1.33</v>
      </c>
    </row>
    <row r="800" spans="1:3">
      <c r="A800" s="3142" t="s">
        <v>747</v>
      </c>
      <c r="B800" s="182" t="s">
        <v>146</v>
      </c>
      <c r="C800" s="955">
        <v>1.39</v>
      </c>
    </row>
    <row r="801" spans="1:3">
      <c r="A801" s="3142" t="s">
        <v>105</v>
      </c>
      <c r="B801" s="182" t="s">
        <v>1999</v>
      </c>
      <c r="C801" s="955">
        <v>1.44</v>
      </c>
    </row>
    <row r="802" spans="1:3">
      <c r="A802" s="3142" t="s">
        <v>2508</v>
      </c>
      <c r="B802" s="182" t="s">
        <v>2550</v>
      </c>
      <c r="C802" s="955">
        <v>1.2778</v>
      </c>
    </row>
    <row r="803" spans="1:3">
      <c r="A803" s="3142" t="s">
        <v>2151</v>
      </c>
      <c r="B803" s="182" t="s">
        <v>1530</v>
      </c>
      <c r="C803" s="955">
        <v>1.3</v>
      </c>
    </row>
    <row r="804" spans="1:3">
      <c r="A804" s="3142" t="s">
        <v>358</v>
      </c>
      <c r="B804" s="182" t="s">
        <v>2521</v>
      </c>
      <c r="C804" s="955">
        <v>1.42</v>
      </c>
    </row>
    <row r="805" spans="1:3">
      <c r="A805" s="3142" t="s">
        <v>932</v>
      </c>
      <c r="B805" s="182" t="s">
        <v>1531</v>
      </c>
      <c r="C805" s="955">
        <v>1.5</v>
      </c>
    </row>
    <row r="806" spans="1:3">
      <c r="A806" s="3142" t="s">
        <v>1620</v>
      </c>
      <c r="B806" s="182" t="s">
        <v>2001</v>
      </c>
      <c r="C806" s="955">
        <v>1.5</v>
      </c>
    </row>
    <row r="807" spans="1:3">
      <c r="A807" s="3142" t="s">
        <v>654</v>
      </c>
      <c r="B807" s="182" t="s">
        <v>1532</v>
      </c>
      <c r="C807" s="955">
        <v>1.3583000000000001</v>
      </c>
    </row>
    <row r="808" spans="1:3">
      <c r="A808" s="3142" t="s">
        <v>655</v>
      </c>
      <c r="B808" s="182" t="s">
        <v>1533</v>
      </c>
      <c r="C808" s="955">
        <v>1.5</v>
      </c>
    </row>
    <row r="809" spans="1:3">
      <c r="A809" s="3142" t="s">
        <v>656</v>
      </c>
      <c r="B809" s="182" t="s">
        <v>1534</v>
      </c>
      <c r="C809" s="955">
        <v>1.46</v>
      </c>
    </row>
    <row r="810" spans="1:3">
      <c r="A810" s="3142" t="s">
        <v>1371</v>
      </c>
      <c r="B810" s="182" t="s">
        <v>1535</v>
      </c>
      <c r="C810" s="955">
        <v>1.5</v>
      </c>
    </row>
    <row r="811" spans="1:3">
      <c r="A811" s="3142" t="s">
        <v>1372</v>
      </c>
      <c r="B811" s="182" t="s">
        <v>1536</v>
      </c>
      <c r="C811" s="955">
        <v>1.5</v>
      </c>
    </row>
    <row r="812" spans="1:3">
      <c r="A812" s="3142" t="s">
        <v>1373</v>
      </c>
      <c r="B812" s="182" t="s">
        <v>1537</v>
      </c>
      <c r="C812" s="955">
        <v>1.4893000000000001</v>
      </c>
    </row>
    <row r="813" spans="1:3">
      <c r="A813" s="3142" t="s">
        <v>1374</v>
      </c>
      <c r="B813" s="182" t="s">
        <v>1538</v>
      </c>
      <c r="C813" s="955">
        <v>1.3080000000000001</v>
      </c>
    </row>
    <row r="814" spans="1:3">
      <c r="A814" s="3142" t="s">
        <v>1375</v>
      </c>
      <c r="B814" s="182" t="s">
        <v>1539</v>
      </c>
      <c r="C814" s="955">
        <v>1.5</v>
      </c>
    </row>
    <row r="815" spans="1:3">
      <c r="A815" s="3142" t="s">
        <v>1376</v>
      </c>
      <c r="B815" s="182" t="s">
        <v>923</v>
      </c>
      <c r="C815" s="955">
        <v>1.38</v>
      </c>
    </row>
    <row r="816" spans="1:3">
      <c r="A816" s="3142" t="s">
        <v>1578</v>
      </c>
      <c r="B816" s="182" t="s">
        <v>924</v>
      </c>
      <c r="C816" s="955">
        <v>1.5</v>
      </c>
    </row>
    <row r="817" spans="1:3">
      <c r="A817" s="3142" t="s">
        <v>1712</v>
      </c>
      <c r="B817" s="182" t="s">
        <v>576</v>
      </c>
      <c r="C817" s="955">
        <v>1.395</v>
      </c>
    </row>
    <row r="818" spans="1:3">
      <c r="A818" s="3142" t="s">
        <v>1579</v>
      </c>
      <c r="B818" s="182" t="s">
        <v>1787</v>
      </c>
      <c r="C818" s="955">
        <v>1.5</v>
      </c>
    </row>
    <row r="819" spans="1:3">
      <c r="A819" s="3142" t="s">
        <v>359</v>
      </c>
      <c r="B819" s="182" t="s">
        <v>2114</v>
      </c>
      <c r="C819" s="955">
        <v>1.5</v>
      </c>
    </row>
    <row r="820" spans="1:3">
      <c r="A820" s="3142" t="s">
        <v>1112</v>
      </c>
      <c r="B820" s="182" t="s">
        <v>1062</v>
      </c>
      <c r="C820" s="955">
        <v>1.45</v>
      </c>
    </row>
    <row r="821" spans="1:3">
      <c r="A821" s="3142" t="s">
        <v>360</v>
      </c>
      <c r="B821" s="182" t="s">
        <v>248</v>
      </c>
      <c r="C821" s="955">
        <v>1.5</v>
      </c>
    </row>
    <row r="822" spans="1:3">
      <c r="A822" s="3142" t="s">
        <v>1580</v>
      </c>
      <c r="B822" s="182" t="s">
        <v>1788</v>
      </c>
      <c r="C822" s="955">
        <v>1.5</v>
      </c>
    </row>
    <row r="823" spans="1:3">
      <c r="A823" s="3142" t="s">
        <v>1581</v>
      </c>
      <c r="B823" s="182" t="s">
        <v>1435</v>
      </c>
      <c r="C823" s="955">
        <v>1.5</v>
      </c>
    </row>
    <row r="824" spans="1:3">
      <c r="A824" s="3142" t="s">
        <v>1582</v>
      </c>
      <c r="B824" s="182" t="s">
        <v>1436</v>
      </c>
      <c r="C824" s="955">
        <v>1.6227</v>
      </c>
    </row>
    <row r="825" spans="1:3">
      <c r="A825" s="3142" t="s">
        <v>2330</v>
      </c>
      <c r="B825" s="182" t="s">
        <v>2034</v>
      </c>
      <c r="C825" s="955">
        <v>1.5</v>
      </c>
    </row>
    <row r="826" spans="1:3">
      <c r="A826" s="3142" t="s">
        <v>2331</v>
      </c>
      <c r="B826" s="182" t="s">
        <v>1286</v>
      </c>
      <c r="C826" s="955">
        <v>1.5</v>
      </c>
    </row>
    <row r="827" spans="1:3">
      <c r="A827" s="3142" t="s">
        <v>1583</v>
      </c>
      <c r="B827" s="182" t="s">
        <v>1437</v>
      </c>
      <c r="C827" s="955">
        <v>1.33</v>
      </c>
    </row>
    <row r="828" spans="1:3">
      <c r="A828" s="3142" t="s">
        <v>176</v>
      </c>
      <c r="B828" s="182" t="s">
        <v>613</v>
      </c>
      <c r="C828" s="955">
        <v>1.5</v>
      </c>
    </row>
    <row r="829" spans="1:3">
      <c r="A829" s="3142" t="s">
        <v>1584</v>
      </c>
      <c r="B829" s="182" t="s">
        <v>1438</v>
      </c>
      <c r="C829" s="955">
        <v>1.5</v>
      </c>
    </row>
    <row r="830" spans="1:3">
      <c r="A830" s="3142" t="s">
        <v>1310</v>
      </c>
      <c r="B830" s="182" t="s">
        <v>1439</v>
      </c>
      <c r="C830" s="955">
        <v>1.3827</v>
      </c>
    </row>
    <row r="831" spans="1:3">
      <c r="A831" s="3142" t="s">
        <v>1311</v>
      </c>
      <c r="B831" s="182" t="s">
        <v>1440</v>
      </c>
      <c r="C831" s="955">
        <v>1.35</v>
      </c>
    </row>
    <row r="832" spans="1:3">
      <c r="A832" s="3142" t="s">
        <v>1312</v>
      </c>
      <c r="B832" s="182" t="s">
        <v>1957</v>
      </c>
      <c r="C832" s="955">
        <v>1.5</v>
      </c>
    </row>
    <row r="833" spans="1:3">
      <c r="A833" s="3142" t="s">
        <v>1540</v>
      </c>
      <c r="B833" s="182" t="s">
        <v>1958</v>
      </c>
      <c r="C833" s="955">
        <v>1.5</v>
      </c>
    </row>
    <row r="834" spans="1:3">
      <c r="A834" s="3142" t="s">
        <v>1541</v>
      </c>
      <c r="B834" s="182" t="s">
        <v>333</v>
      </c>
      <c r="C834" s="955">
        <v>1.47</v>
      </c>
    </row>
    <row r="835" spans="1:3">
      <c r="A835" s="3142" t="s">
        <v>2294</v>
      </c>
      <c r="B835" s="182" t="s">
        <v>334</v>
      </c>
      <c r="C835" s="955">
        <v>1.42</v>
      </c>
    </row>
    <row r="836" spans="1:3">
      <c r="A836" s="3142" t="s">
        <v>1144</v>
      </c>
      <c r="B836" s="182" t="s">
        <v>2282</v>
      </c>
      <c r="C836" s="955">
        <v>1.4864999999999999</v>
      </c>
    </row>
    <row r="837" spans="1:3">
      <c r="A837" s="3142" t="s">
        <v>2295</v>
      </c>
      <c r="B837" s="182" t="s">
        <v>335</v>
      </c>
      <c r="C837" s="955">
        <v>1.5</v>
      </c>
    </row>
    <row r="838" spans="1:3">
      <c r="A838" s="3142" t="s">
        <v>1368</v>
      </c>
      <c r="B838" s="182" t="s">
        <v>336</v>
      </c>
      <c r="C838" s="955">
        <v>1.5</v>
      </c>
    </row>
    <row r="839" spans="1:3">
      <c r="A839" s="3142" t="s">
        <v>2386</v>
      </c>
      <c r="B839" s="182" t="s">
        <v>1953</v>
      </c>
      <c r="C839" s="955">
        <v>1.5</v>
      </c>
    </row>
    <row r="840" spans="1:3">
      <c r="A840" s="3142" t="s">
        <v>1326</v>
      </c>
      <c r="B840" s="182" t="s">
        <v>246</v>
      </c>
      <c r="C840" s="955">
        <v>1.5</v>
      </c>
    </row>
    <row r="841" spans="1:3">
      <c r="A841" s="3142" t="s">
        <v>1241</v>
      </c>
      <c r="B841" s="182" t="s">
        <v>253</v>
      </c>
      <c r="C841" s="955">
        <v>1.5</v>
      </c>
    </row>
    <row r="842" spans="1:3">
      <c r="A842" s="3142" t="s">
        <v>177</v>
      </c>
      <c r="B842" s="182" t="s">
        <v>564</v>
      </c>
      <c r="C842" s="955">
        <v>1.5</v>
      </c>
    </row>
    <row r="843" spans="1:3">
      <c r="A843" s="3142" t="s">
        <v>461</v>
      </c>
      <c r="B843" s="182" t="s">
        <v>1319</v>
      </c>
      <c r="C843" s="955">
        <v>1.46</v>
      </c>
    </row>
    <row r="844" spans="1:3">
      <c r="A844" s="3142" t="s">
        <v>1369</v>
      </c>
      <c r="B844" s="182" t="s">
        <v>337</v>
      </c>
      <c r="C844" s="955">
        <v>1.5</v>
      </c>
    </row>
    <row r="845" spans="1:3">
      <c r="A845" s="3142" t="s">
        <v>1370</v>
      </c>
      <c r="B845" s="182" t="s">
        <v>338</v>
      </c>
      <c r="C845" s="955">
        <v>1.5</v>
      </c>
    </row>
    <row r="846" spans="1:3">
      <c r="A846" s="3142" t="s">
        <v>1301</v>
      </c>
      <c r="B846" s="182" t="s">
        <v>339</v>
      </c>
      <c r="C846" s="955">
        <v>1.5</v>
      </c>
    </row>
    <row r="847" spans="1:3">
      <c r="A847" s="3142" t="s">
        <v>1302</v>
      </c>
      <c r="B847" s="182" t="s">
        <v>340</v>
      </c>
      <c r="C847" s="955">
        <v>1.5</v>
      </c>
    </row>
    <row r="848" spans="1:3">
      <c r="A848" s="3142" t="s">
        <v>1303</v>
      </c>
      <c r="B848" s="182" t="s">
        <v>341</v>
      </c>
      <c r="C848" s="955">
        <v>1.5</v>
      </c>
    </row>
    <row r="849" spans="1:3">
      <c r="A849" s="3142" t="s">
        <v>1387</v>
      </c>
      <c r="B849" s="182" t="s">
        <v>342</v>
      </c>
      <c r="C849" s="955">
        <v>1.5</v>
      </c>
    </row>
    <row r="850" spans="1:3">
      <c r="A850" s="3142" t="s">
        <v>908</v>
      </c>
      <c r="B850" s="182" t="s">
        <v>343</v>
      </c>
      <c r="C850" s="955">
        <v>1.2817000000000001</v>
      </c>
    </row>
    <row r="851" spans="1:3">
      <c r="A851" s="3142" t="s">
        <v>909</v>
      </c>
      <c r="B851" s="182" t="s">
        <v>344</v>
      </c>
      <c r="C851" s="955">
        <v>1.4291</v>
      </c>
    </row>
    <row r="852" spans="1:3">
      <c r="A852" s="3142" t="s">
        <v>910</v>
      </c>
      <c r="B852" s="182" t="s">
        <v>1679</v>
      </c>
      <c r="C852" s="955">
        <v>1.5</v>
      </c>
    </row>
    <row r="853" spans="1:3">
      <c r="A853" s="3142" t="s">
        <v>1027</v>
      </c>
      <c r="B853" s="182" t="s">
        <v>1680</v>
      </c>
      <c r="C853" s="955">
        <v>1.4</v>
      </c>
    </row>
    <row r="854" spans="1:3">
      <c r="A854" s="3142" t="s">
        <v>178</v>
      </c>
      <c r="B854" s="182" t="s">
        <v>1177</v>
      </c>
      <c r="C854" s="955">
        <v>1.3277000000000001</v>
      </c>
    </row>
    <row r="855" spans="1:3">
      <c r="A855" s="3142" t="s">
        <v>1028</v>
      </c>
      <c r="B855" s="182" t="s">
        <v>1681</v>
      </c>
      <c r="C855" s="955">
        <v>1.5</v>
      </c>
    </row>
    <row r="856" spans="1:3">
      <c r="A856" s="3142" t="s">
        <v>1029</v>
      </c>
      <c r="B856" s="182" t="s">
        <v>1682</v>
      </c>
      <c r="C856" s="955">
        <v>1.5</v>
      </c>
    </row>
    <row r="857" spans="1:3">
      <c r="A857" s="3142" t="s">
        <v>1166</v>
      </c>
      <c r="B857" s="182" t="s">
        <v>1683</v>
      </c>
      <c r="C857" s="955">
        <v>1.5</v>
      </c>
    </row>
    <row r="858" spans="1:3">
      <c r="A858" s="3142" t="s">
        <v>1167</v>
      </c>
      <c r="B858" s="182" t="s">
        <v>1684</v>
      </c>
      <c r="C858" s="955">
        <v>1.4114</v>
      </c>
    </row>
    <row r="859" spans="1:3">
      <c r="A859" s="3142" t="s">
        <v>1702</v>
      </c>
      <c r="B859" s="182" t="s">
        <v>1881</v>
      </c>
      <c r="C859" s="955">
        <v>1.42</v>
      </c>
    </row>
    <row r="860" spans="1:3">
      <c r="A860" s="3142" t="s">
        <v>260</v>
      </c>
      <c r="B860" s="182" t="s">
        <v>1996</v>
      </c>
      <c r="C860" s="955">
        <v>1.5</v>
      </c>
    </row>
    <row r="861" spans="1:3">
      <c r="A861" s="3142" t="s">
        <v>1631</v>
      </c>
      <c r="B861" s="182" t="s">
        <v>1882</v>
      </c>
      <c r="C861" s="955">
        <v>1.43</v>
      </c>
    </row>
    <row r="862" spans="1:3">
      <c r="A862" s="3142" t="s">
        <v>1632</v>
      </c>
      <c r="B862" s="182" t="s">
        <v>1883</v>
      </c>
      <c r="C862" s="955">
        <v>1.5</v>
      </c>
    </row>
    <row r="863" spans="1:3">
      <c r="A863" s="3142" t="s">
        <v>952</v>
      </c>
      <c r="B863" s="182" t="s">
        <v>1884</v>
      </c>
      <c r="C863" s="955">
        <v>1.2949999999999999</v>
      </c>
    </row>
    <row r="864" spans="1:3">
      <c r="A864" s="3142" t="s">
        <v>175</v>
      </c>
      <c r="B864" s="182" t="s">
        <v>1885</v>
      </c>
      <c r="C864" s="955">
        <v>1.4245000000000001</v>
      </c>
    </row>
    <row r="865" spans="1:3">
      <c r="A865" s="3142" t="s">
        <v>1110</v>
      </c>
      <c r="B865" s="182" t="s">
        <v>1258</v>
      </c>
      <c r="C865" s="955">
        <v>1.5</v>
      </c>
    </row>
    <row r="866" spans="1:3">
      <c r="A866" s="3142" t="s">
        <v>1264</v>
      </c>
      <c r="B866" s="182" t="s">
        <v>619</v>
      </c>
      <c r="C866" s="955">
        <v>1.5</v>
      </c>
    </row>
    <row r="867" spans="1:3">
      <c r="A867" s="3142" t="s">
        <v>1265</v>
      </c>
      <c r="B867" s="182" t="s">
        <v>1886</v>
      </c>
      <c r="C867" s="955">
        <v>1.5</v>
      </c>
    </row>
    <row r="868" spans="1:3">
      <c r="A868" s="3142" t="s">
        <v>1266</v>
      </c>
      <c r="B868" s="182" t="s">
        <v>1887</v>
      </c>
      <c r="C868" s="955">
        <v>1.1477999999999999</v>
      </c>
    </row>
    <row r="869" spans="1:3">
      <c r="A869" s="3142" t="s">
        <v>2507</v>
      </c>
      <c r="B869" s="182" t="s">
        <v>2546</v>
      </c>
      <c r="C869" s="955">
        <v>1.5</v>
      </c>
    </row>
    <row r="870" spans="1:3">
      <c r="A870" s="3142" t="s">
        <v>1633</v>
      </c>
      <c r="B870" s="182" t="s">
        <v>1888</v>
      </c>
      <c r="C870" s="955">
        <v>1.5</v>
      </c>
    </row>
    <row r="871" spans="1:3">
      <c r="A871" s="3142" t="s">
        <v>179</v>
      </c>
      <c r="B871" s="182" t="s">
        <v>571</v>
      </c>
      <c r="C871" s="955">
        <v>1.5</v>
      </c>
    </row>
    <row r="872" spans="1:3">
      <c r="A872" s="3142" t="s">
        <v>1634</v>
      </c>
      <c r="B872" s="182" t="s">
        <v>1889</v>
      </c>
      <c r="C872" s="955">
        <v>1.5</v>
      </c>
    </row>
    <row r="873" spans="1:3">
      <c r="A873" s="3142" t="s">
        <v>2441</v>
      </c>
      <c r="B873" s="182" t="s">
        <v>2421</v>
      </c>
      <c r="C873" s="955">
        <v>1.5</v>
      </c>
    </row>
    <row r="874" spans="1:3">
      <c r="A874" s="3142" t="s">
        <v>706</v>
      </c>
      <c r="B874" s="182" t="s">
        <v>2422</v>
      </c>
      <c r="C874" s="955">
        <v>1.4398</v>
      </c>
    </row>
    <row r="875" spans="1:3">
      <c r="A875" s="3142" t="s">
        <v>707</v>
      </c>
      <c r="B875" s="182" t="s">
        <v>2423</v>
      </c>
      <c r="C875" s="955">
        <v>1.5</v>
      </c>
    </row>
    <row r="876" spans="1:3">
      <c r="A876" s="3142" t="s">
        <v>756</v>
      </c>
      <c r="B876" s="182" t="s">
        <v>2424</v>
      </c>
      <c r="C876" s="955">
        <v>1.3754999999999999</v>
      </c>
    </row>
    <row r="877" spans="1:3">
      <c r="A877" s="3142" t="s">
        <v>533</v>
      </c>
      <c r="B877" s="182" t="s">
        <v>2425</v>
      </c>
      <c r="C877" s="955">
        <v>1.45</v>
      </c>
    </row>
    <row r="878" spans="1:3">
      <c r="A878" s="3142" t="s">
        <v>534</v>
      </c>
      <c r="B878" s="182" t="s">
        <v>2426</v>
      </c>
      <c r="C878" s="955">
        <v>1.5</v>
      </c>
    </row>
    <row r="879" spans="1:3">
      <c r="A879" s="3142" t="s">
        <v>2174</v>
      </c>
      <c r="B879" s="182" t="s">
        <v>2283</v>
      </c>
      <c r="C879" s="955">
        <v>1.5</v>
      </c>
    </row>
    <row r="880" spans="1:3">
      <c r="A880" s="3142" t="s">
        <v>826</v>
      </c>
      <c r="B880" s="182" t="s">
        <v>752</v>
      </c>
      <c r="C880" s="955">
        <v>1.4650000000000001</v>
      </c>
    </row>
    <row r="881" spans="1:3">
      <c r="A881" s="3142" t="s">
        <v>1745</v>
      </c>
      <c r="B881" s="182" t="s">
        <v>2427</v>
      </c>
      <c r="C881" s="955">
        <v>1.5</v>
      </c>
    </row>
    <row r="882" spans="1:3">
      <c r="A882" s="3142" t="s">
        <v>1905</v>
      </c>
      <c r="B882" s="182" t="s">
        <v>1203</v>
      </c>
      <c r="C882" s="955">
        <v>1.5</v>
      </c>
    </row>
    <row r="883" spans="1:3">
      <c r="A883" s="3142" t="s">
        <v>2060</v>
      </c>
      <c r="B883" s="182" t="s">
        <v>1204</v>
      </c>
      <c r="C883" s="955">
        <v>1.4710000000000001</v>
      </c>
    </row>
    <row r="884" spans="1:3">
      <c r="A884" s="3142" t="s">
        <v>48</v>
      </c>
      <c r="B884" s="182" t="s">
        <v>390</v>
      </c>
      <c r="C884" s="955">
        <v>1.4336</v>
      </c>
    </row>
    <row r="885" spans="1:3">
      <c r="A885" s="3142" t="s">
        <v>330</v>
      </c>
      <c r="B885" s="182" t="s">
        <v>275</v>
      </c>
      <c r="C885" s="955">
        <v>1.407</v>
      </c>
    </row>
    <row r="886" spans="1:3">
      <c r="A886" s="3142" t="s">
        <v>1670</v>
      </c>
      <c r="B886" s="182" t="s">
        <v>2177</v>
      </c>
      <c r="C886" s="955">
        <v>1.5</v>
      </c>
    </row>
    <row r="887" spans="1:3">
      <c r="A887" s="3142" t="s">
        <v>2267</v>
      </c>
      <c r="B887" s="182" t="s">
        <v>397</v>
      </c>
      <c r="C887" s="955">
        <v>1.5</v>
      </c>
    </row>
    <row r="888" spans="1:3">
      <c r="A888" s="3142" t="s">
        <v>50</v>
      </c>
      <c r="B888" s="182" t="s">
        <v>2376</v>
      </c>
      <c r="C888" s="955">
        <v>1.5</v>
      </c>
    </row>
    <row r="889" spans="1:3">
      <c r="A889" s="3142" t="s">
        <v>1587</v>
      </c>
      <c r="B889" s="182" t="s">
        <v>2000</v>
      </c>
      <c r="C889" s="955">
        <v>1.5</v>
      </c>
    </row>
    <row r="890" spans="1:3">
      <c r="A890" s="3142" t="s">
        <v>1054</v>
      </c>
      <c r="B890" s="182" t="s">
        <v>1193</v>
      </c>
      <c r="C890" s="955">
        <v>1.4706999999999999</v>
      </c>
    </row>
    <row r="891" spans="1:3">
      <c r="A891" s="3142" t="s">
        <v>1743</v>
      </c>
      <c r="B891" s="182" t="s">
        <v>616</v>
      </c>
      <c r="C891" s="955">
        <v>1.5</v>
      </c>
    </row>
    <row r="892" spans="1:3">
      <c r="A892" s="3142" t="s">
        <v>2100</v>
      </c>
      <c r="B892" s="182" t="s">
        <v>1205</v>
      </c>
      <c r="C892" s="955">
        <v>1.292</v>
      </c>
    </row>
    <row r="893" spans="1:3">
      <c r="A893" s="3142" t="s">
        <v>1742</v>
      </c>
      <c r="B893" s="182" t="s">
        <v>615</v>
      </c>
      <c r="C893" s="955">
        <v>1.5</v>
      </c>
    </row>
    <row r="894" spans="1:3">
      <c r="A894" s="3142" t="s">
        <v>1109</v>
      </c>
      <c r="B894" s="182" t="s">
        <v>1257</v>
      </c>
      <c r="C894" s="955">
        <v>1.5</v>
      </c>
    </row>
    <row r="895" spans="1:3">
      <c r="A895" s="3142" t="s">
        <v>2101</v>
      </c>
      <c r="B895" s="182" t="s">
        <v>1206</v>
      </c>
      <c r="C895" s="955">
        <v>1.5</v>
      </c>
    </row>
    <row r="896" spans="1:3">
      <c r="A896" s="3142" t="s">
        <v>2102</v>
      </c>
      <c r="B896" s="182" t="s">
        <v>1207</v>
      </c>
      <c r="C896" s="955">
        <v>1.4490000000000001</v>
      </c>
    </row>
    <row r="897" spans="1:3">
      <c r="A897" s="3142" t="s">
        <v>2509</v>
      </c>
      <c r="B897" s="182" t="s">
        <v>1208</v>
      </c>
      <c r="C897" s="955">
        <v>1.5</v>
      </c>
    </row>
    <row r="898" spans="1:3">
      <c r="A898" s="3142" t="s">
        <v>2510</v>
      </c>
      <c r="B898" s="182" t="s">
        <v>1209</v>
      </c>
      <c r="C898" s="955">
        <v>1.44</v>
      </c>
    </row>
    <row r="899" spans="1:3">
      <c r="A899" s="3142" t="s">
        <v>2511</v>
      </c>
      <c r="B899" s="182" t="s">
        <v>1065</v>
      </c>
      <c r="C899" s="955">
        <v>1.2349000000000001</v>
      </c>
    </row>
    <row r="900" spans="1:3">
      <c r="A900" s="3142" t="s">
        <v>2512</v>
      </c>
      <c r="B900" s="182" t="s">
        <v>1210</v>
      </c>
      <c r="C900" s="955">
        <v>1.42</v>
      </c>
    </row>
    <row r="901" spans="1:3">
      <c r="A901" s="3142" t="s">
        <v>1100</v>
      </c>
      <c r="B901" s="182" t="s">
        <v>288</v>
      </c>
      <c r="C901" s="955">
        <v>1.5</v>
      </c>
    </row>
    <row r="902" spans="1:3">
      <c r="A902" s="3142" t="s">
        <v>1741</v>
      </c>
      <c r="B902" s="182" t="s">
        <v>776</v>
      </c>
      <c r="C902" s="955">
        <v>1.5</v>
      </c>
    </row>
    <row r="903" spans="1:3">
      <c r="A903" s="3142" t="s">
        <v>1101</v>
      </c>
      <c r="B903" s="182" t="s">
        <v>289</v>
      </c>
      <c r="C903" s="955">
        <v>1.5</v>
      </c>
    </row>
    <row r="904" spans="1:3">
      <c r="A904" s="3142" t="s">
        <v>1495</v>
      </c>
      <c r="B904" s="182" t="s">
        <v>599</v>
      </c>
      <c r="C904" s="955">
        <v>1.5</v>
      </c>
    </row>
    <row r="905" spans="1:3">
      <c r="A905" s="3142" t="s">
        <v>1496</v>
      </c>
      <c r="B905" s="182" t="s">
        <v>600</v>
      </c>
      <c r="C905" s="955">
        <v>1.5</v>
      </c>
    </row>
    <row r="906" spans="1:3">
      <c r="A906" s="3142" t="s">
        <v>1497</v>
      </c>
      <c r="B906" s="182" t="s">
        <v>601</v>
      </c>
      <c r="C906" s="955">
        <v>1.5</v>
      </c>
    </row>
    <row r="907" spans="1:3">
      <c r="A907" s="3142" t="s">
        <v>1715</v>
      </c>
      <c r="B907" s="182" t="s">
        <v>1571</v>
      </c>
      <c r="C907" s="955">
        <v>1.5</v>
      </c>
    </row>
    <row r="908" spans="1:3">
      <c r="A908" s="3142" t="s">
        <v>261</v>
      </c>
      <c r="B908" s="182" t="s">
        <v>619</v>
      </c>
      <c r="C908" s="955">
        <v>1.427</v>
      </c>
    </row>
    <row r="909" spans="1:3">
      <c r="A909" s="3142" t="s">
        <v>1716</v>
      </c>
      <c r="B909" s="182" t="s">
        <v>1572</v>
      </c>
      <c r="C909" s="955">
        <v>1.4</v>
      </c>
    </row>
    <row r="910" spans="1:3">
      <c r="A910" s="3142" t="s">
        <v>2301</v>
      </c>
      <c r="B910" s="182" t="s">
        <v>1799</v>
      </c>
      <c r="C910" s="955">
        <v>1.5</v>
      </c>
    </row>
    <row r="911" spans="1:3">
      <c r="A911" s="3142" t="s">
        <v>1237</v>
      </c>
      <c r="B911" s="182" t="s">
        <v>1914</v>
      </c>
      <c r="C911" s="955">
        <v>1.5</v>
      </c>
    </row>
    <row r="912" spans="1:3">
      <c r="A912" s="3142" t="s">
        <v>2289</v>
      </c>
      <c r="B912" s="182" t="s">
        <v>1800</v>
      </c>
      <c r="C912" s="955">
        <v>1.5</v>
      </c>
    </row>
    <row r="913" spans="1:3">
      <c r="A913" s="3142" t="s">
        <v>325</v>
      </c>
      <c r="B913" s="182" t="s">
        <v>128</v>
      </c>
      <c r="C913" s="955">
        <v>1.5</v>
      </c>
    </row>
    <row r="914" spans="1:3">
      <c r="A914" s="3142" t="s">
        <v>1231</v>
      </c>
      <c r="B914" s="182" t="s">
        <v>1635</v>
      </c>
      <c r="C914" s="955">
        <v>1.5</v>
      </c>
    </row>
    <row r="915" spans="1:3">
      <c r="A915" s="3142" t="s">
        <v>1179</v>
      </c>
      <c r="B915" s="182" t="s">
        <v>2500</v>
      </c>
      <c r="C915" s="955">
        <v>1.5</v>
      </c>
    </row>
    <row r="916" spans="1:3">
      <c r="A916" s="3142" t="s">
        <v>249</v>
      </c>
      <c r="B916" s="182" t="s">
        <v>1801</v>
      </c>
      <c r="C916" s="955">
        <v>1.5</v>
      </c>
    </row>
    <row r="917" spans="1:3">
      <c r="A917" s="3142" t="s">
        <v>196</v>
      </c>
      <c r="B917" s="182" t="s">
        <v>944</v>
      </c>
      <c r="C917" s="955">
        <v>1.5</v>
      </c>
    </row>
    <row r="918" spans="1:3">
      <c r="A918" s="3142" t="s">
        <v>250</v>
      </c>
      <c r="B918" s="182" t="s">
        <v>1802</v>
      </c>
      <c r="C918" s="955">
        <v>1.47</v>
      </c>
    </row>
    <row r="919" spans="1:3">
      <c r="A919" s="3142" t="s">
        <v>251</v>
      </c>
      <c r="B919" s="182" t="s">
        <v>1803</v>
      </c>
      <c r="C919" s="955">
        <v>1.5</v>
      </c>
    </row>
    <row r="920" spans="1:3">
      <c r="A920" s="3142" t="s">
        <v>1066</v>
      </c>
      <c r="B920" s="182" t="s">
        <v>2520</v>
      </c>
      <c r="C920" s="955">
        <v>1.5</v>
      </c>
    </row>
    <row r="921" spans="1:3">
      <c r="A921" s="3142" t="s">
        <v>2307</v>
      </c>
      <c r="B921" s="182" t="s">
        <v>1804</v>
      </c>
      <c r="C921" s="955">
        <v>1.5</v>
      </c>
    </row>
    <row r="922" spans="1:3">
      <c r="A922" s="3142" t="s">
        <v>1244</v>
      </c>
      <c r="B922" s="182" t="s">
        <v>1805</v>
      </c>
      <c r="C922" s="955">
        <v>1.5</v>
      </c>
    </row>
    <row r="923" spans="1:3">
      <c r="A923" s="3142" t="s">
        <v>1245</v>
      </c>
      <c r="B923" s="182" t="s">
        <v>1806</v>
      </c>
      <c r="C923" s="955">
        <v>1.46</v>
      </c>
    </row>
    <row r="924" spans="1:3">
      <c r="A924" s="3142" t="s">
        <v>1246</v>
      </c>
      <c r="B924" s="182" t="s">
        <v>1807</v>
      </c>
      <c r="C924" s="955">
        <v>1.5</v>
      </c>
    </row>
    <row r="925" spans="1:3">
      <c r="A925" s="3142" t="s">
        <v>1247</v>
      </c>
      <c r="B925" s="182" t="s">
        <v>1721</v>
      </c>
      <c r="C925" s="955">
        <v>1.48</v>
      </c>
    </row>
    <row r="926" spans="1:3">
      <c r="A926" s="3142" t="s">
        <v>1248</v>
      </c>
      <c r="B926" s="182" t="s">
        <v>1808</v>
      </c>
      <c r="C926" s="955">
        <v>1.46</v>
      </c>
    </row>
    <row r="927" spans="1:3">
      <c r="A927" s="3142" t="s">
        <v>1349</v>
      </c>
      <c r="B927" s="182" t="s">
        <v>1457</v>
      </c>
      <c r="C927" s="955">
        <v>1.5</v>
      </c>
    </row>
    <row r="928" spans="1:3">
      <c r="A928" s="3142" t="s">
        <v>1707</v>
      </c>
      <c r="B928" s="182" t="s">
        <v>1809</v>
      </c>
      <c r="C928" s="955">
        <v>1.5</v>
      </c>
    </row>
    <row r="929" spans="1:3">
      <c r="A929" s="3142" t="s">
        <v>1708</v>
      </c>
      <c r="B929" s="182" t="s">
        <v>1810</v>
      </c>
      <c r="C929" s="955">
        <v>1.5</v>
      </c>
    </row>
    <row r="930" spans="1:3">
      <c r="A930" s="3142" t="s">
        <v>1180</v>
      </c>
      <c r="B930" s="182" t="s">
        <v>1831</v>
      </c>
      <c r="C930" s="955">
        <v>1.5</v>
      </c>
    </row>
    <row r="931" spans="1:3">
      <c r="A931" s="3142" t="s">
        <v>68</v>
      </c>
      <c r="B931" s="182" t="s">
        <v>2061</v>
      </c>
      <c r="C931" s="955">
        <v>1.5</v>
      </c>
    </row>
    <row r="932" spans="1:3">
      <c r="A932" s="3142" t="s">
        <v>1709</v>
      </c>
      <c r="B932" s="182" t="s">
        <v>421</v>
      </c>
      <c r="C932" s="955">
        <v>1.5</v>
      </c>
    </row>
    <row r="933" spans="1:3">
      <c r="A933" s="3142" t="s">
        <v>1710</v>
      </c>
      <c r="B933" s="182" t="s">
        <v>1811</v>
      </c>
      <c r="C933" s="955">
        <v>1.4444999999999999</v>
      </c>
    </row>
    <row r="934" spans="1:3">
      <c r="A934" s="3142" t="s">
        <v>1329</v>
      </c>
      <c r="B934" s="182" t="s">
        <v>962</v>
      </c>
      <c r="C934" s="955">
        <v>1.5</v>
      </c>
    </row>
    <row r="935" spans="1:3">
      <c r="A935" s="3142" t="s">
        <v>1021</v>
      </c>
      <c r="B935" s="182" t="s">
        <v>732</v>
      </c>
      <c r="C935" s="955">
        <v>1.5</v>
      </c>
    </row>
    <row r="936" spans="1:3">
      <c r="A936" s="3142" t="s">
        <v>1757</v>
      </c>
      <c r="B936" s="182" t="s">
        <v>781</v>
      </c>
      <c r="C936" s="955">
        <v>1.47</v>
      </c>
    </row>
    <row r="937" spans="1:3">
      <c r="A937" s="3142" t="s">
        <v>1022</v>
      </c>
      <c r="B937" s="182" t="s">
        <v>1446</v>
      </c>
      <c r="C937" s="955">
        <v>1.46</v>
      </c>
    </row>
    <row r="938" spans="1:3">
      <c r="A938" s="3142" t="s">
        <v>1023</v>
      </c>
      <c r="B938" s="182" t="s">
        <v>733</v>
      </c>
      <c r="C938" s="955">
        <v>1.4450000000000001</v>
      </c>
    </row>
    <row r="939" spans="1:3">
      <c r="A939" s="3142" t="s">
        <v>1024</v>
      </c>
      <c r="B939" s="182" t="s">
        <v>734</v>
      </c>
      <c r="C939" s="955">
        <v>1.5</v>
      </c>
    </row>
    <row r="940" spans="1:3">
      <c r="A940" s="3142" t="s">
        <v>1025</v>
      </c>
      <c r="B940" s="182" t="s">
        <v>735</v>
      </c>
      <c r="C940" s="955">
        <v>1.4643999999999999</v>
      </c>
    </row>
    <row r="941" spans="1:3">
      <c r="A941" s="3142" t="s">
        <v>54</v>
      </c>
      <c r="B941" s="182" t="s">
        <v>2332</v>
      </c>
      <c r="C941" s="955">
        <v>1.32</v>
      </c>
    </row>
    <row r="942" spans="1:3">
      <c r="A942" s="3142" t="s">
        <v>1454</v>
      </c>
      <c r="B942" s="182" t="s">
        <v>578</v>
      </c>
      <c r="C942" s="955">
        <v>1.1218999999999999</v>
      </c>
    </row>
    <row r="943" spans="1:3">
      <c r="A943" s="3142" t="s">
        <v>1432</v>
      </c>
      <c r="B943" s="182" t="s">
        <v>2230</v>
      </c>
      <c r="C943" s="955">
        <v>1.3872</v>
      </c>
    </row>
    <row r="944" spans="1:3">
      <c r="A944" s="3142" t="s">
        <v>1243</v>
      </c>
      <c r="B944" s="182" t="s">
        <v>585</v>
      </c>
      <c r="C944" s="955">
        <v>1.4</v>
      </c>
    </row>
    <row r="945" spans="1:3">
      <c r="A945" s="3142" t="s">
        <v>460</v>
      </c>
      <c r="B945" s="182" t="s">
        <v>1919</v>
      </c>
      <c r="C945" s="955">
        <v>1.44</v>
      </c>
    </row>
    <row r="946" spans="1:3">
      <c r="A946" s="3142" t="s">
        <v>785</v>
      </c>
      <c r="B946" s="182" t="s">
        <v>586</v>
      </c>
      <c r="C946" s="955">
        <v>1.5</v>
      </c>
    </row>
    <row r="947" spans="1:3">
      <c r="A947" s="3142" t="s">
        <v>787</v>
      </c>
      <c r="B947" s="182" t="s">
        <v>1076</v>
      </c>
      <c r="C947" s="955">
        <v>1.46</v>
      </c>
    </row>
    <row r="948" spans="1:3">
      <c r="A948" s="3142" t="s">
        <v>788</v>
      </c>
      <c r="B948" s="182" t="s">
        <v>841</v>
      </c>
      <c r="C948" s="955">
        <v>1.3399000000000001</v>
      </c>
    </row>
    <row r="949" spans="1:3">
      <c r="A949" s="3142" t="s">
        <v>1443</v>
      </c>
      <c r="B949" s="182" t="s">
        <v>817</v>
      </c>
      <c r="C949" s="955">
        <v>1.31</v>
      </c>
    </row>
    <row r="950" spans="1:3">
      <c r="A950" s="3142" t="s">
        <v>1732</v>
      </c>
      <c r="B950" s="182" t="s">
        <v>1952</v>
      </c>
      <c r="C950" s="955">
        <v>1.45</v>
      </c>
    </row>
    <row r="951" spans="1:3">
      <c r="A951" s="3142" t="s">
        <v>789</v>
      </c>
      <c r="B951" s="182" t="s">
        <v>1077</v>
      </c>
      <c r="C951" s="955">
        <v>1.5</v>
      </c>
    </row>
    <row r="952" spans="1:3">
      <c r="A952" s="3142" t="s">
        <v>790</v>
      </c>
      <c r="B952" s="182" t="s">
        <v>1968</v>
      </c>
      <c r="C952" s="955">
        <v>1.5</v>
      </c>
    </row>
    <row r="953" spans="1:3">
      <c r="A953" s="3142" t="s">
        <v>1341</v>
      </c>
      <c r="B953" s="182" t="s">
        <v>1390</v>
      </c>
      <c r="C953" s="955">
        <v>1.5</v>
      </c>
    </row>
    <row r="954" spans="1:3">
      <c r="A954" s="3142" t="s">
        <v>830</v>
      </c>
      <c r="B954" s="182" t="s">
        <v>1268</v>
      </c>
      <c r="C954" s="955">
        <v>1.5</v>
      </c>
    </row>
    <row r="955" spans="1:3">
      <c r="A955" s="3142" t="s">
        <v>323</v>
      </c>
      <c r="B955" s="182" t="s">
        <v>125</v>
      </c>
      <c r="C955" s="955">
        <v>1.456</v>
      </c>
    </row>
    <row r="956" spans="1:3">
      <c r="A956" s="3142" t="s">
        <v>2453</v>
      </c>
      <c r="B956" s="182" t="s">
        <v>1969</v>
      </c>
      <c r="C956" s="955">
        <v>1.37</v>
      </c>
    </row>
    <row r="957" spans="1:3">
      <c r="A957" s="3142" t="s">
        <v>966</v>
      </c>
      <c r="B957" s="182" t="s">
        <v>1074</v>
      </c>
      <c r="C957" s="955">
        <v>1.4</v>
      </c>
    </row>
    <row r="958" spans="1:3">
      <c r="A958" s="3142" t="s">
        <v>1086</v>
      </c>
      <c r="B958" s="182" t="s">
        <v>90</v>
      </c>
      <c r="C958" s="955">
        <v>1.4850000000000001</v>
      </c>
    </row>
    <row r="959" spans="1:3">
      <c r="A959" s="3142" t="s">
        <v>262</v>
      </c>
      <c r="B959" s="182" t="s">
        <v>2238</v>
      </c>
      <c r="C959" s="955">
        <v>1.5</v>
      </c>
    </row>
    <row r="960" spans="1:3">
      <c r="A960" s="3142" t="s">
        <v>263</v>
      </c>
      <c r="B960" s="182" t="s">
        <v>129</v>
      </c>
      <c r="C960" s="955">
        <v>1.5</v>
      </c>
    </row>
    <row r="961" spans="1:3">
      <c r="A961" s="3142" t="s">
        <v>587</v>
      </c>
      <c r="B961" s="182" t="s">
        <v>91</v>
      </c>
      <c r="C961" s="955">
        <v>1.5</v>
      </c>
    </row>
    <row r="962" spans="1:3">
      <c r="A962" s="3142" t="s">
        <v>588</v>
      </c>
      <c r="B962" s="182" t="s">
        <v>840</v>
      </c>
      <c r="C962" s="955">
        <v>1.4</v>
      </c>
    </row>
    <row r="963" spans="1:3">
      <c r="A963" s="3142" t="s">
        <v>589</v>
      </c>
      <c r="B963" s="182" t="s">
        <v>1145</v>
      </c>
      <c r="C963" s="955">
        <v>1.5</v>
      </c>
    </row>
    <row r="964" spans="1:3">
      <c r="A964" s="3142" t="s">
        <v>2214</v>
      </c>
      <c r="B964" s="182" t="s">
        <v>1146</v>
      </c>
      <c r="C964" s="955">
        <v>1.46</v>
      </c>
    </row>
    <row r="965" spans="1:3">
      <c r="A965" s="3142" t="s">
        <v>2215</v>
      </c>
      <c r="B965" s="182" t="s">
        <v>1147</v>
      </c>
      <c r="C965" s="955">
        <v>1.5</v>
      </c>
    </row>
    <row r="966" spans="1:3">
      <c r="A966" s="3142" t="s">
        <v>1671</v>
      </c>
      <c r="B966" s="182" t="s">
        <v>2219</v>
      </c>
      <c r="C966" s="955">
        <v>1.3829</v>
      </c>
    </row>
    <row r="967" spans="1:3">
      <c r="A967" s="3142" t="s">
        <v>1431</v>
      </c>
      <c r="B967" s="182" t="s">
        <v>2229</v>
      </c>
      <c r="C967" s="955">
        <v>1.3798999999999999</v>
      </c>
    </row>
    <row r="968" spans="1:3">
      <c r="A968" s="3142" t="s">
        <v>879</v>
      </c>
      <c r="B968" s="182" t="s">
        <v>1148</v>
      </c>
      <c r="C968" s="955">
        <v>1.115</v>
      </c>
    </row>
    <row r="969" spans="1:3">
      <c r="A969" s="3142" t="s">
        <v>880</v>
      </c>
      <c r="B969" s="182" t="s">
        <v>1149</v>
      </c>
      <c r="C969" s="955">
        <v>1.5</v>
      </c>
    </row>
    <row r="970" spans="1:3">
      <c r="A970" s="3142" t="s">
        <v>881</v>
      </c>
      <c r="B970" s="182" t="s">
        <v>1150</v>
      </c>
      <c r="C970" s="955">
        <v>1.4886999999999999</v>
      </c>
    </row>
    <row r="971" spans="1:3">
      <c r="A971" s="3142" t="s">
        <v>536</v>
      </c>
      <c r="B971" s="182" t="s">
        <v>1151</v>
      </c>
      <c r="C971" s="955">
        <v>1.3956</v>
      </c>
    </row>
    <row r="972" spans="1:3">
      <c r="A972" s="3142" t="s">
        <v>855</v>
      </c>
      <c r="B972" s="182" t="s">
        <v>1152</v>
      </c>
      <c r="C972" s="955">
        <v>1.4850000000000001</v>
      </c>
    </row>
    <row r="973" spans="1:3">
      <c r="A973" s="3142" t="s">
        <v>856</v>
      </c>
      <c r="B973" s="182" t="s">
        <v>1153</v>
      </c>
      <c r="C973" s="955">
        <v>1.4450000000000001</v>
      </c>
    </row>
    <row r="974" spans="1:3">
      <c r="A974" s="3142" t="s">
        <v>857</v>
      </c>
      <c r="B974" s="182" t="s">
        <v>1154</v>
      </c>
      <c r="C974" s="955">
        <v>1.48</v>
      </c>
    </row>
    <row r="975" spans="1:3">
      <c r="A975" s="3142" t="s">
        <v>858</v>
      </c>
      <c r="B975" s="182" t="s">
        <v>1155</v>
      </c>
      <c r="C975" s="955">
        <v>1.5</v>
      </c>
    </row>
    <row r="976" spans="1:3">
      <c r="A976" s="3142" t="s">
        <v>1628</v>
      </c>
      <c r="B976" s="182" t="s">
        <v>1156</v>
      </c>
      <c r="C976" s="955">
        <v>0.97</v>
      </c>
    </row>
    <row r="977" spans="1:3">
      <c r="A977" s="3142" t="s">
        <v>2194</v>
      </c>
      <c r="B977" s="182" t="s">
        <v>1157</v>
      </c>
      <c r="C977" s="955">
        <v>1.1200000000000001</v>
      </c>
    </row>
    <row r="978" spans="1:3">
      <c r="A978" s="3142" t="s">
        <v>837</v>
      </c>
      <c r="B978" s="182" t="s">
        <v>1363</v>
      </c>
      <c r="C978" s="955">
        <v>1.5</v>
      </c>
    </row>
    <row r="979" spans="1:3">
      <c r="A979" s="3142" t="s">
        <v>1181</v>
      </c>
      <c r="B979" s="182" t="s">
        <v>1515</v>
      </c>
      <c r="C979" s="955">
        <v>1.5</v>
      </c>
    </row>
    <row r="980" spans="1:3">
      <c r="A980" s="3142" t="s">
        <v>605</v>
      </c>
      <c r="B980" s="182" t="s">
        <v>1516</v>
      </c>
      <c r="C980" s="955">
        <v>1.49</v>
      </c>
    </row>
    <row r="981" spans="1:3">
      <c r="A981" s="3142" t="s">
        <v>1724</v>
      </c>
      <c r="B981" s="182" t="s">
        <v>1517</v>
      </c>
      <c r="C981" s="955">
        <v>1.5</v>
      </c>
    </row>
    <row r="982" spans="1:3">
      <c r="A982" s="3142" t="s">
        <v>538</v>
      </c>
      <c r="B982" s="182" t="s">
        <v>1092</v>
      </c>
      <c r="C982" s="955">
        <v>1.5</v>
      </c>
    </row>
    <row r="983" spans="1:3">
      <c r="A983" s="3142" t="s">
        <v>1282</v>
      </c>
      <c r="B983" s="182" t="s">
        <v>1518</v>
      </c>
      <c r="C983" s="955">
        <v>1.5</v>
      </c>
    </row>
    <row r="984" spans="1:3">
      <c r="A984" s="3142" t="s">
        <v>9</v>
      </c>
      <c r="B984" s="182" t="s">
        <v>1519</v>
      </c>
      <c r="C984" s="955">
        <v>1.5</v>
      </c>
    </row>
    <row r="985" spans="1:3">
      <c r="A985" s="3142" t="s">
        <v>10</v>
      </c>
      <c r="B985" s="182" t="s">
        <v>2165</v>
      </c>
      <c r="C985" s="955">
        <v>1.5</v>
      </c>
    </row>
    <row r="986" spans="1:3">
      <c r="A986" s="3142" t="s">
        <v>1415</v>
      </c>
      <c r="B986" s="182" t="s">
        <v>2220</v>
      </c>
      <c r="C986" s="955">
        <v>1.5</v>
      </c>
    </row>
    <row r="987" spans="1:3">
      <c r="A987" s="3142" t="s">
        <v>1975</v>
      </c>
      <c r="B987" s="182" t="s">
        <v>794</v>
      </c>
      <c r="C987" s="955">
        <v>1.5</v>
      </c>
    </row>
    <row r="988" spans="1:3">
      <c r="A988" s="3142" t="s">
        <v>403</v>
      </c>
      <c r="B988" s="182" t="s">
        <v>76</v>
      </c>
      <c r="C988" s="955">
        <v>1.38</v>
      </c>
    </row>
    <row r="989" spans="1:3">
      <c r="A989" s="3142" t="s">
        <v>264</v>
      </c>
      <c r="B989" s="182" t="s">
        <v>501</v>
      </c>
      <c r="C989" s="955">
        <v>1.5</v>
      </c>
    </row>
    <row r="990" spans="1:3">
      <c r="A990" s="3142" t="s">
        <v>1262</v>
      </c>
      <c r="B990" s="182" t="s">
        <v>100</v>
      </c>
      <c r="C990" s="955">
        <v>1.5</v>
      </c>
    </row>
    <row r="991" spans="1:3">
      <c r="A991" s="3142" t="s">
        <v>2437</v>
      </c>
      <c r="B991" s="182" t="s">
        <v>2196</v>
      </c>
      <c r="C991" s="955">
        <v>1.5</v>
      </c>
    </row>
    <row r="992" spans="1:3">
      <c r="A992" s="3142" t="s">
        <v>1701</v>
      </c>
      <c r="B992" s="182" t="s">
        <v>963</v>
      </c>
      <c r="C992" s="955">
        <v>1.48</v>
      </c>
    </row>
    <row r="993" spans="1:3">
      <c r="A993" s="3142" t="s">
        <v>38</v>
      </c>
      <c r="B993" s="182" t="s">
        <v>1194</v>
      </c>
      <c r="C993" s="955">
        <v>1.49</v>
      </c>
    </row>
    <row r="994" spans="1:3">
      <c r="A994" s="3142" t="s">
        <v>11</v>
      </c>
      <c r="B994" s="182" t="s">
        <v>1520</v>
      </c>
      <c r="C994" s="955">
        <v>1.5</v>
      </c>
    </row>
    <row r="995" spans="1:3">
      <c r="A995" s="3142" t="s">
        <v>1674</v>
      </c>
      <c r="B995" s="182" t="s">
        <v>2328</v>
      </c>
      <c r="C995" s="955">
        <v>1.5</v>
      </c>
    </row>
    <row r="996" spans="1:3">
      <c r="A996" s="3142" t="s">
        <v>1234</v>
      </c>
      <c r="B996" s="182" t="s">
        <v>574</v>
      </c>
      <c r="C996" s="955">
        <v>1.4967999999999999</v>
      </c>
    </row>
    <row r="997" spans="1:3">
      <c r="A997" s="3142" t="s">
        <v>1455</v>
      </c>
      <c r="B997" s="182" t="s">
        <v>565</v>
      </c>
      <c r="C997" s="955">
        <v>1.5</v>
      </c>
    </row>
    <row r="998" spans="1:3">
      <c r="A998" s="3142" t="s">
        <v>1426</v>
      </c>
      <c r="B998" s="182" t="s">
        <v>567</v>
      </c>
      <c r="C998" s="955">
        <v>1.5</v>
      </c>
    </row>
    <row r="999" spans="1:3">
      <c r="A999" s="3142" t="s">
        <v>1672</v>
      </c>
      <c r="B999" s="182" t="s">
        <v>2326</v>
      </c>
      <c r="C999" s="955">
        <v>1.4490000000000001</v>
      </c>
    </row>
    <row r="1000" spans="1:3">
      <c r="A1000" s="3142" t="s">
        <v>12</v>
      </c>
      <c r="B1000" s="182" t="s">
        <v>1521</v>
      </c>
      <c r="C1000" s="955">
        <v>1.5</v>
      </c>
    </row>
    <row r="1001" spans="1:3">
      <c r="A1001" s="3142" t="s">
        <v>2316</v>
      </c>
      <c r="B1001" s="182" t="s">
        <v>101</v>
      </c>
      <c r="C1001" s="955">
        <v>1.5</v>
      </c>
    </row>
    <row r="1002" spans="1:3">
      <c r="A1002" s="3142" t="s">
        <v>57</v>
      </c>
      <c r="B1002" s="182" t="s">
        <v>1793</v>
      </c>
      <c r="C1002" s="955">
        <v>1.5</v>
      </c>
    </row>
    <row r="1003" spans="1:3">
      <c r="A1003" s="3142" t="s">
        <v>2317</v>
      </c>
      <c r="B1003" s="182" t="s">
        <v>951</v>
      </c>
      <c r="C1003" s="955">
        <v>1.49</v>
      </c>
    </row>
    <row r="1004" spans="1:3">
      <c r="A1004" s="3142" t="s">
        <v>1423</v>
      </c>
      <c r="B1004" s="182" t="s">
        <v>1834</v>
      </c>
      <c r="C1004" s="955">
        <v>1.48</v>
      </c>
    </row>
    <row r="1005" spans="1:3">
      <c r="A1005" s="3142" t="s">
        <v>1104</v>
      </c>
      <c r="B1005" s="182" t="s">
        <v>1522</v>
      </c>
      <c r="C1005" s="955">
        <v>1.5</v>
      </c>
    </row>
    <row r="1006" spans="1:3">
      <c r="A1006" s="3142" t="s">
        <v>1105</v>
      </c>
      <c r="B1006" s="182" t="s">
        <v>1523</v>
      </c>
      <c r="C1006" s="955">
        <v>1.5</v>
      </c>
    </row>
    <row r="1007" spans="1:3">
      <c r="A1007" s="3142" t="s">
        <v>182</v>
      </c>
      <c r="B1007" s="182" t="s">
        <v>997</v>
      </c>
      <c r="C1007" s="955">
        <v>1.4359999999999999</v>
      </c>
    </row>
    <row r="1008" spans="1:3">
      <c r="A1008" s="3142" t="s">
        <v>755</v>
      </c>
      <c r="B1008" s="182" t="s">
        <v>1524</v>
      </c>
      <c r="C1008" s="955">
        <v>1.4625999999999999</v>
      </c>
    </row>
    <row r="1009" spans="1:3">
      <c r="A1009" s="3142" t="s">
        <v>2054</v>
      </c>
      <c r="B1009" s="182" t="s">
        <v>1525</v>
      </c>
      <c r="C1009" s="955">
        <v>1.37</v>
      </c>
    </row>
    <row r="1010" spans="1:3">
      <c r="A1010" s="3142" t="s">
        <v>2286</v>
      </c>
      <c r="B1010" s="182" t="s">
        <v>1526</v>
      </c>
      <c r="C1010" s="955">
        <v>1.46</v>
      </c>
    </row>
    <row r="1011" spans="1:3">
      <c r="A1011" s="3142" t="s">
        <v>2287</v>
      </c>
      <c r="B1011" s="182" t="s">
        <v>1527</v>
      </c>
      <c r="C1011" s="955">
        <v>1.45</v>
      </c>
    </row>
    <row r="1012" spans="1:3">
      <c r="A1012" s="3142" t="s">
        <v>1909</v>
      </c>
      <c r="B1012" s="182" t="s">
        <v>1289</v>
      </c>
      <c r="C1012" s="955">
        <v>1.5</v>
      </c>
    </row>
    <row r="1013" spans="1:3">
      <c r="A1013" s="3142" t="s">
        <v>1080</v>
      </c>
      <c r="B1013" s="182" t="s">
        <v>1820</v>
      </c>
      <c r="C1013" s="955">
        <v>1.3314999999999999</v>
      </c>
    </row>
    <row r="1014" spans="1:3">
      <c r="A1014" s="3142" t="s">
        <v>2106</v>
      </c>
      <c r="B1014" s="182" t="s">
        <v>1528</v>
      </c>
      <c r="C1014" s="955">
        <v>1.2961</v>
      </c>
    </row>
    <row r="1015" spans="1:3">
      <c r="A1015" s="3142" t="s">
        <v>2107</v>
      </c>
      <c r="B1015" s="182" t="s">
        <v>1529</v>
      </c>
      <c r="C1015" s="955">
        <v>1.5</v>
      </c>
    </row>
    <row r="1016" spans="1:3">
      <c r="A1016" s="3142" t="s">
        <v>2432</v>
      </c>
      <c r="B1016" s="182" t="s">
        <v>22</v>
      </c>
      <c r="C1016" s="955">
        <v>1.5</v>
      </c>
    </row>
    <row r="1017" spans="1:3">
      <c r="A1017" s="3142" t="s">
        <v>2433</v>
      </c>
      <c r="B1017" s="182" t="s">
        <v>1294</v>
      </c>
      <c r="C1017" s="955">
        <v>1.431</v>
      </c>
    </row>
    <row r="1018" spans="1:3">
      <c r="A1018" s="3142" t="s">
        <v>598</v>
      </c>
      <c r="B1018" s="182" t="s">
        <v>1295</v>
      </c>
      <c r="C1018" s="955">
        <v>1.5</v>
      </c>
    </row>
    <row r="1019" spans="1:3">
      <c r="A1019" s="3142" t="s">
        <v>638</v>
      </c>
      <c r="B1019" s="182" t="s">
        <v>1296</v>
      </c>
      <c r="C1019" s="955">
        <v>1.5</v>
      </c>
    </row>
    <row r="1020" spans="1:3">
      <c r="A1020" s="3142" t="s">
        <v>639</v>
      </c>
      <c r="B1020" s="182" t="s">
        <v>1297</v>
      </c>
      <c r="C1020" s="955">
        <v>1.5</v>
      </c>
    </row>
    <row r="1021" spans="1:3">
      <c r="A1021" s="3142" t="s">
        <v>1385</v>
      </c>
      <c r="B1021" s="182" t="s">
        <v>1298</v>
      </c>
      <c r="C1021" s="955">
        <v>1.3785000000000001</v>
      </c>
    </row>
    <row r="1022" spans="1:3">
      <c r="A1022" s="3142" t="s">
        <v>860</v>
      </c>
      <c r="B1022" s="182" t="s">
        <v>815</v>
      </c>
      <c r="C1022" s="955">
        <v>1.43</v>
      </c>
    </row>
    <row r="1023" spans="1:3">
      <c r="A1023" s="3142" t="s">
        <v>1386</v>
      </c>
      <c r="B1023" s="182" t="s">
        <v>1299</v>
      </c>
      <c r="C1023" s="955">
        <v>1.5</v>
      </c>
    </row>
    <row r="1024" spans="1:3">
      <c r="A1024" s="3142" t="s">
        <v>1416</v>
      </c>
      <c r="B1024" s="182" t="s">
        <v>779</v>
      </c>
      <c r="C1024" s="955">
        <v>1.5</v>
      </c>
    </row>
    <row r="1025" spans="1:3">
      <c r="A1025" s="3142" t="s">
        <v>485</v>
      </c>
      <c r="B1025" s="182" t="s">
        <v>1300</v>
      </c>
      <c r="C1025" s="955">
        <v>1.5</v>
      </c>
    </row>
    <row r="1026" spans="1:3">
      <c r="A1026" s="3142" t="s">
        <v>2268</v>
      </c>
      <c r="B1026" s="182" t="s">
        <v>398</v>
      </c>
      <c r="C1026" s="955">
        <v>1.48</v>
      </c>
    </row>
    <row r="1027" spans="1:3">
      <c r="A1027" s="3142" t="s">
        <v>1594</v>
      </c>
      <c r="B1027" s="182" t="s">
        <v>1791</v>
      </c>
      <c r="C1027" s="955">
        <v>1.5</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Q56"/>
  <sheetViews>
    <sheetView workbookViewId="0"/>
  </sheetViews>
  <sheetFormatPr defaultRowHeight="12.5"/>
  <cols>
    <col min="1" max="1" width="25.453125" customWidth="1"/>
    <col min="2" max="2" width="19.54296875" style="74" hidden="1" customWidth="1"/>
    <col min="3" max="3" width="6.453125" hidden="1" customWidth="1"/>
    <col min="4" max="4" width="20.54296875" hidden="1" customWidth="1"/>
    <col min="5" max="5" width="6.54296875" hidden="1" customWidth="1"/>
    <col min="6" max="6" width="20.54296875" customWidth="1"/>
    <col min="7" max="7" width="6.54296875" customWidth="1"/>
    <col min="8" max="8" width="20.54296875" customWidth="1"/>
    <col min="9" max="9" width="6.54296875" customWidth="1"/>
    <col min="10" max="10" width="20.54296875" customWidth="1"/>
    <col min="11" max="11" width="6.54296875" customWidth="1"/>
    <col min="12" max="12" width="20.54296875" customWidth="1"/>
    <col min="13" max="13" width="6.54296875" customWidth="1"/>
    <col min="14" max="14" width="20.54296875" style="2042" customWidth="1"/>
    <col min="15" max="15" width="6.54296875" style="2042" customWidth="1"/>
    <col min="16" max="16" width="20.54296875" style="2042" customWidth="1"/>
    <col min="17" max="17" width="6.54296875" style="2042" customWidth="1"/>
  </cols>
  <sheetData>
    <row r="1" spans="1:17" ht="15.5">
      <c r="A1" s="25">
        <f>'DE1'!C2</f>
        <v>0</v>
      </c>
      <c r="F1" s="730" t="s">
        <v>4913</v>
      </c>
    </row>
    <row r="2" spans="1:17" ht="15.5">
      <c r="A2" s="471" t="str">
        <f>'Data Entry - SOF'!B1</f>
        <v xml:space="preserve"> </v>
      </c>
      <c r="F2" s="732" t="s">
        <v>9421</v>
      </c>
    </row>
    <row r="3" spans="1:17" ht="15.5">
      <c r="A3" s="471"/>
      <c r="F3" s="730" t="s">
        <v>4914</v>
      </c>
    </row>
    <row r="4" spans="1:17" ht="15.5">
      <c r="A4" s="471"/>
      <c r="F4" s="732" t="s">
        <v>4915</v>
      </c>
    </row>
    <row r="5" spans="1:17" ht="15.5">
      <c r="A5" s="471"/>
      <c r="F5" s="730" t="s">
        <v>4916</v>
      </c>
    </row>
    <row r="6" spans="1:17" ht="15.5">
      <c r="A6" s="471"/>
      <c r="F6" s="730" t="s">
        <v>5326</v>
      </c>
    </row>
    <row r="7" spans="1:17" ht="13">
      <c r="A7" s="471"/>
    </row>
    <row r="8" spans="1:17" ht="13">
      <c r="B8" s="36" t="s">
        <v>4908</v>
      </c>
      <c r="C8" s="448" t="e">
        <f>COUNTIF(#REF!,A1)</f>
        <v>#REF!</v>
      </c>
    </row>
    <row r="9" spans="1:17" ht="13">
      <c r="B9"/>
      <c r="C9" s="74"/>
      <c r="D9" s="517" t="s">
        <v>2819</v>
      </c>
      <c r="E9" s="513"/>
      <c r="F9" s="698" t="s">
        <v>5513</v>
      </c>
      <c r="G9" s="699"/>
      <c r="H9" s="603" t="s">
        <v>5951</v>
      </c>
      <c r="I9" s="604"/>
      <c r="J9" s="702" t="s">
        <v>7037</v>
      </c>
      <c r="K9" s="703"/>
      <c r="L9" s="1950" t="s">
        <v>8487</v>
      </c>
      <c r="M9" s="1951"/>
      <c r="N9" s="2308" t="s">
        <v>9171</v>
      </c>
      <c r="O9" s="2309"/>
      <c r="P9" s="3032" t="s">
        <v>11049</v>
      </c>
      <c r="Q9" s="3033"/>
    </row>
    <row r="10" spans="1:17" ht="13">
      <c r="B10" s="43" t="s">
        <v>4909</v>
      </c>
      <c r="D10" s="518" t="s">
        <v>2802</v>
      </c>
      <c r="E10" s="514" t="s">
        <v>3353</v>
      </c>
      <c r="F10" s="700" t="s">
        <v>2802</v>
      </c>
      <c r="G10" s="701" t="s">
        <v>3353</v>
      </c>
      <c r="H10" s="605" t="s">
        <v>2802</v>
      </c>
      <c r="I10" s="606" t="s">
        <v>3353</v>
      </c>
      <c r="J10" s="704" t="s">
        <v>2802</v>
      </c>
      <c r="K10" s="705" t="s">
        <v>3353</v>
      </c>
      <c r="L10" s="1952" t="s">
        <v>2802</v>
      </c>
      <c r="M10" s="1953" t="s">
        <v>3353</v>
      </c>
      <c r="N10" s="2310" t="s">
        <v>2802</v>
      </c>
      <c r="O10" s="2311" t="s">
        <v>3353</v>
      </c>
      <c r="P10" s="3034" t="s">
        <v>2802</v>
      </c>
      <c r="Q10" s="3035" t="s">
        <v>3353</v>
      </c>
    </row>
    <row r="11" spans="1:17" ht="14.5">
      <c r="A11" s="58" t="s">
        <v>4910</v>
      </c>
      <c r="B11" s="470" t="e">
        <f>MATCH(A$1,#REF!,0)</f>
        <v>#REF!</v>
      </c>
      <c r="D11" s="988" t="e">
        <f>IF(B11&lt;B$11+C$8,INDEX(#REF!,B11,11),0)</f>
        <v>#REF!</v>
      </c>
      <c r="E11" s="989" t="e">
        <f>IF(B11&lt;B$11+C$8,INDEX(#REF!,B11,12),0)</f>
        <v>#REF!</v>
      </c>
      <c r="F11" s="184" t="e">
        <f>IFA_Limits_2022!F11</f>
        <v>#N/A</v>
      </c>
      <c r="G11" s="184" t="e">
        <f>IFA_Limits_2022!G11</f>
        <v>#N/A</v>
      </c>
      <c r="H11" s="184" t="e">
        <f t="shared" ref="H11:H54" si="0">F11</f>
        <v>#N/A</v>
      </c>
      <c r="I11" s="184" t="e">
        <f t="shared" ref="I11:I54" si="1">G11</f>
        <v>#N/A</v>
      </c>
      <c r="J11" s="184" t="e">
        <f t="shared" ref="J11:J54" si="2">H11</f>
        <v>#N/A</v>
      </c>
      <c r="K11" s="184" t="e">
        <f t="shared" ref="K11:K54" si="3">I11</f>
        <v>#N/A</v>
      </c>
      <c r="L11" s="184" t="e">
        <f t="shared" ref="L11:L54" si="4">J11</f>
        <v>#N/A</v>
      </c>
      <c r="M11" s="184" t="e">
        <f t="shared" ref="M11:M54" si="5">K11</f>
        <v>#N/A</v>
      </c>
      <c r="N11" s="184" t="e">
        <f t="shared" ref="N11:N54" si="6">L11</f>
        <v>#N/A</v>
      </c>
      <c r="O11" s="184" t="e">
        <f t="shared" ref="O11:O54" si="7">M11</f>
        <v>#N/A</v>
      </c>
      <c r="P11" s="184" t="e">
        <f t="shared" ref="P11:P54" si="8">N11</f>
        <v>#N/A</v>
      </c>
      <c r="Q11" s="184" t="e">
        <f t="shared" ref="Q11:Q54" si="9">O11</f>
        <v>#N/A</v>
      </c>
    </row>
    <row r="12" spans="1:17" ht="13">
      <c r="A12" s="58" t="s">
        <v>4910</v>
      </c>
      <c r="B12" s="41" t="e">
        <f>B11+1</f>
        <v>#REF!</v>
      </c>
      <c r="D12" s="988" t="e">
        <f>IF(B12&lt;B$11+C$8,INDEX(#REF!,B12,11),0)</f>
        <v>#REF!</v>
      </c>
      <c r="E12" s="989" t="e">
        <f>IF(B12&lt;B$11+C$8,INDEX(#REF!,B12,12),0)</f>
        <v>#REF!</v>
      </c>
      <c r="F12" s="184" t="e">
        <f>IFA_Limits_2022!F12</f>
        <v>#N/A</v>
      </c>
      <c r="G12" s="184" t="e">
        <f>IFA_Limits_2022!G12</f>
        <v>#N/A</v>
      </c>
      <c r="H12" s="184" t="e">
        <f t="shared" si="0"/>
        <v>#N/A</v>
      </c>
      <c r="I12" s="184" t="e">
        <f t="shared" si="1"/>
        <v>#N/A</v>
      </c>
      <c r="J12" s="184" t="e">
        <f t="shared" si="2"/>
        <v>#N/A</v>
      </c>
      <c r="K12" s="184" t="e">
        <f t="shared" si="3"/>
        <v>#N/A</v>
      </c>
      <c r="L12" s="184" t="e">
        <f t="shared" si="4"/>
        <v>#N/A</v>
      </c>
      <c r="M12" s="184" t="e">
        <f t="shared" si="5"/>
        <v>#N/A</v>
      </c>
      <c r="N12" s="184" t="e">
        <f t="shared" si="6"/>
        <v>#N/A</v>
      </c>
      <c r="O12" s="184" t="e">
        <f t="shared" si="7"/>
        <v>#N/A</v>
      </c>
      <c r="P12" s="184" t="e">
        <f t="shared" si="8"/>
        <v>#N/A</v>
      </c>
      <c r="Q12" s="184" t="e">
        <f t="shared" si="9"/>
        <v>#N/A</v>
      </c>
    </row>
    <row r="13" spans="1:17" ht="13">
      <c r="A13" s="58" t="s">
        <v>4910</v>
      </c>
      <c r="B13" s="41" t="e">
        <f t="shared" ref="B13:B48" si="10">B12+1</f>
        <v>#REF!</v>
      </c>
      <c r="D13" s="988" t="e">
        <f>IF(B13&lt;B$11+C$8,INDEX(#REF!,B13,11),0)</f>
        <v>#REF!</v>
      </c>
      <c r="E13" s="989" t="e">
        <f>IF(B13&lt;B$11+C$8,INDEX(#REF!,B13,12),0)</f>
        <v>#REF!</v>
      </c>
      <c r="F13" s="184" t="e">
        <f>IFA_Limits_2022!F13</f>
        <v>#N/A</v>
      </c>
      <c r="G13" s="184" t="e">
        <f>IFA_Limits_2022!G13</f>
        <v>#N/A</v>
      </c>
      <c r="H13" s="184" t="e">
        <f t="shared" si="0"/>
        <v>#N/A</v>
      </c>
      <c r="I13" s="184" t="e">
        <f t="shared" si="1"/>
        <v>#N/A</v>
      </c>
      <c r="J13" s="184" t="e">
        <f t="shared" si="2"/>
        <v>#N/A</v>
      </c>
      <c r="K13" s="184" t="e">
        <f t="shared" si="3"/>
        <v>#N/A</v>
      </c>
      <c r="L13" s="184" t="e">
        <f t="shared" si="4"/>
        <v>#N/A</v>
      </c>
      <c r="M13" s="184" t="e">
        <f t="shared" si="5"/>
        <v>#N/A</v>
      </c>
      <c r="N13" s="184" t="e">
        <f t="shared" si="6"/>
        <v>#N/A</v>
      </c>
      <c r="O13" s="184" t="e">
        <f t="shared" si="7"/>
        <v>#N/A</v>
      </c>
      <c r="P13" s="184" t="e">
        <f t="shared" si="8"/>
        <v>#N/A</v>
      </c>
      <c r="Q13" s="184" t="e">
        <f t="shared" si="9"/>
        <v>#N/A</v>
      </c>
    </row>
    <row r="14" spans="1:17" ht="13">
      <c r="A14" s="58" t="s">
        <v>4910</v>
      </c>
      <c r="B14" s="41" t="e">
        <f t="shared" si="10"/>
        <v>#REF!</v>
      </c>
      <c r="D14" s="988" t="e">
        <f>IF(B14&lt;B$11+C$8,INDEX(#REF!,B14,11),0)</f>
        <v>#REF!</v>
      </c>
      <c r="E14" s="989" t="e">
        <f>IF(B14&lt;B$11+C$8,INDEX(#REF!,B14,12),0)</f>
        <v>#REF!</v>
      </c>
      <c r="F14" s="184" t="e">
        <f>IFA_Limits_2022!F14</f>
        <v>#N/A</v>
      </c>
      <c r="G14" s="184" t="e">
        <f>IFA_Limits_2022!G14</f>
        <v>#N/A</v>
      </c>
      <c r="H14" s="184" t="e">
        <f t="shared" si="0"/>
        <v>#N/A</v>
      </c>
      <c r="I14" s="184" t="e">
        <f t="shared" si="1"/>
        <v>#N/A</v>
      </c>
      <c r="J14" s="184" t="e">
        <f t="shared" si="2"/>
        <v>#N/A</v>
      </c>
      <c r="K14" s="184" t="e">
        <f t="shared" si="3"/>
        <v>#N/A</v>
      </c>
      <c r="L14" s="184" t="e">
        <f t="shared" si="4"/>
        <v>#N/A</v>
      </c>
      <c r="M14" s="184" t="e">
        <f t="shared" si="5"/>
        <v>#N/A</v>
      </c>
      <c r="N14" s="184" t="e">
        <f t="shared" si="6"/>
        <v>#N/A</v>
      </c>
      <c r="O14" s="184" t="e">
        <f t="shared" si="7"/>
        <v>#N/A</v>
      </c>
      <c r="P14" s="184" t="e">
        <f t="shared" si="8"/>
        <v>#N/A</v>
      </c>
      <c r="Q14" s="184" t="e">
        <f t="shared" si="9"/>
        <v>#N/A</v>
      </c>
    </row>
    <row r="15" spans="1:17" ht="13">
      <c r="A15" s="58" t="s">
        <v>4910</v>
      </c>
      <c r="B15" s="41" t="e">
        <f t="shared" si="10"/>
        <v>#REF!</v>
      </c>
      <c r="D15" s="988" t="e">
        <f>IF(B15&lt;B$11+C$8,INDEX(#REF!,B15,11),0)</f>
        <v>#REF!</v>
      </c>
      <c r="E15" s="989" t="e">
        <f>IF(B15&lt;B$11+C$8,INDEX(#REF!,B15,12),0)</f>
        <v>#REF!</v>
      </c>
      <c r="F15" s="184" t="e">
        <f>IFA_Limits_2022!F15</f>
        <v>#N/A</v>
      </c>
      <c r="G15" s="184" t="e">
        <f>IFA_Limits_2022!G15</f>
        <v>#N/A</v>
      </c>
      <c r="H15" s="184" t="e">
        <f t="shared" si="0"/>
        <v>#N/A</v>
      </c>
      <c r="I15" s="184" t="e">
        <f t="shared" si="1"/>
        <v>#N/A</v>
      </c>
      <c r="J15" s="184" t="e">
        <f t="shared" si="2"/>
        <v>#N/A</v>
      </c>
      <c r="K15" s="184" t="e">
        <f t="shared" si="3"/>
        <v>#N/A</v>
      </c>
      <c r="L15" s="184" t="e">
        <f t="shared" si="4"/>
        <v>#N/A</v>
      </c>
      <c r="M15" s="184" t="e">
        <f t="shared" si="5"/>
        <v>#N/A</v>
      </c>
      <c r="N15" s="184" t="e">
        <f t="shared" si="6"/>
        <v>#N/A</v>
      </c>
      <c r="O15" s="184" t="e">
        <f t="shared" si="7"/>
        <v>#N/A</v>
      </c>
      <c r="P15" s="184" t="e">
        <f t="shared" si="8"/>
        <v>#N/A</v>
      </c>
      <c r="Q15" s="184" t="e">
        <f t="shared" si="9"/>
        <v>#N/A</v>
      </c>
    </row>
    <row r="16" spans="1:17" ht="13">
      <c r="A16" s="58" t="s">
        <v>4910</v>
      </c>
      <c r="B16" s="41" t="e">
        <f t="shared" si="10"/>
        <v>#REF!</v>
      </c>
      <c r="D16" s="988" t="e">
        <f>IF(B16&lt;B$11+C$8,INDEX(#REF!,B16,11),0)</f>
        <v>#REF!</v>
      </c>
      <c r="E16" s="989" t="e">
        <f>IF(B16&lt;B$11+C$8,INDEX(#REF!,B16,12),0)</f>
        <v>#REF!</v>
      </c>
      <c r="F16" s="184" t="e">
        <f>IFA_Limits_2022!F16</f>
        <v>#N/A</v>
      </c>
      <c r="G16" s="184" t="e">
        <f>IFA_Limits_2022!G16</f>
        <v>#N/A</v>
      </c>
      <c r="H16" s="184" t="e">
        <f t="shared" si="0"/>
        <v>#N/A</v>
      </c>
      <c r="I16" s="184" t="e">
        <f t="shared" si="1"/>
        <v>#N/A</v>
      </c>
      <c r="J16" s="184" t="e">
        <f t="shared" si="2"/>
        <v>#N/A</v>
      </c>
      <c r="K16" s="184" t="e">
        <f t="shared" si="3"/>
        <v>#N/A</v>
      </c>
      <c r="L16" s="184" t="e">
        <f t="shared" si="4"/>
        <v>#N/A</v>
      </c>
      <c r="M16" s="184" t="e">
        <f t="shared" si="5"/>
        <v>#N/A</v>
      </c>
      <c r="N16" s="184" t="e">
        <f t="shared" si="6"/>
        <v>#N/A</v>
      </c>
      <c r="O16" s="184" t="e">
        <f t="shared" si="7"/>
        <v>#N/A</v>
      </c>
      <c r="P16" s="184" t="e">
        <f t="shared" si="8"/>
        <v>#N/A</v>
      </c>
      <c r="Q16" s="184" t="e">
        <f t="shared" si="9"/>
        <v>#N/A</v>
      </c>
    </row>
    <row r="17" spans="1:17" ht="13">
      <c r="A17" s="58" t="s">
        <v>4910</v>
      </c>
      <c r="B17" s="41" t="e">
        <f t="shared" si="10"/>
        <v>#REF!</v>
      </c>
      <c r="D17" s="988" t="e">
        <f>IF(B17&lt;B$11+C$8,INDEX(#REF!,B17,11),0)</f>
        <v>#REF!</v>
      </c>
      <c r="E17" s="989" t="e">
        <f>IF(B17&lt;B$11+C$8,INDEX(#REF!,B17,12),0)</f>
        <v>#REF!</v>
      </c>
      <c r="F17" s="184" t="e">
        <f>IFA_Limits_2022!F17</f>
        <v>#N/A</v>
      </c>
      <c r="G17" s="184" t="e">
        <f>IFA_Limits_2022!G17</f>
        <v>#N/A</v>
      </c>
      <c r="H17" s="184" t="e">
        <f t="shared" si="0"/>
        <v>#N/A</v>
      </c>
      <c r="I17" s="184" t="e">
        <f t="shared" si="1"/>
        <v>#N/A</v>
      </c>
      <c r="J17" s="184" t="e">
        <f t="shared" si="2"/>
        <v>#N/A</v>
      </c>
      <c r="K17" s="184" t="e">
        <f t="shared" si="3"/>
        <v>#N/A</v>
      </c>
      <c r="L17" s="184" t="e">
        <f t="shared" si="4"/>
        <v>#N/A</v>
      </c>
      <c r="M17" s="184" t="e">
        <f t="shared" si="5"/>
        <v>#N/A</v>
      </c>
      <c r="N17" s="184" t="e">
        <f t="shared" si="6"/>
        <v>#N/A</v>
      </c>
      <c r="O17" s="184" t="e">
        <f t="shared" si="7"/>
        <v>#N/A</v>
      </c>
      <c r="P17" s="184" t="e">
        <f t="shared" si="8"/>
        <v>#N/A</v>
      </c>
      <c r="Q17" s="184" t="e">
        <f t="shared" si="9"/>
        <v>#N/A</v>
      </c>
    </row>
    <row r="18" spans="1:17" ht="13">
      <c r="A18" s="58" t="s">
        <v>4910</v>
      </c>
      <c r="B18" s="41" t="e">
        <f t="shared" si="10"/>
        <v>#REF!</v>
      </c>
      <c r="D18" s="988" t="e">
        <f>IF(B18&lt;B$11+C$8,INDEX(#REF!,B18,11),0)</f>
        <v>#REF!</v>
      </c>
      <c r="E18" s="989" t="e">
        <f>IF(B18&lt;B$11+C$8,INDEX(#REF!,B18,12),0)</f>
        <v>#REF!</v>
      </c>
      <c r="F18" s="184" t="e">
        <f>IFA_Limits_2022!F18</f>
        <v>#N/A</v>
      </c>
      <c r="G18" s="184" t="e">
        <f>IFA_Limits_2022!G18</f>
        <v>#N/A</v>
      </c>
      <c r="H18" s="184" t="e">
        <f t="shared" si="0"/>
        <v>#N/A</v>
      </c>
      <c r="I18" s="184" t="e">
        <f t="shared" si="1"/>
        <v>#N/A</v>
      </c>
      <c r="J18" s="184" t="e">
        <f t="shared" si="2"/>
        <v>#N/A</v>
      </c>
      <c r="K18" s="184" t="e">
        <f t="shared" si="3"/>
        <v>#N/A</v>
      </c>
      <c r="L18" s="184" t="e">
        <f t="shared" si="4"/>
        <v>#N/A</v>
      </c>
      <c r="M18" s="184" t="e">
        <f t="shared" si="5"/>
        <v>#N/A</v>
      </c>
      <c r="N18" s="184" t="e">
        <f t="shared" si="6"/>
        <v>#N/A</v>
      </c>
      <c r="O18" s="184" t="e">
        <f t="shared" si="7"/>
        <v>#N/A</v>
      </c>
      <c r="P18" s="184" t="e">
        <f t="shared" si="8"/>
        <v>#N/A</v>
      </c>
      <c r="Q18" s="184" t="e">
        <f t="shared" si="9"/>
        <v>#N/A</v>
      </c>
    </row>
    <row r="19" spans="1:17" ht="13">
      <c r="A19" s="58" t="s">
        <v>4910</v>
      </c>
      <c r="B19" s="41" t="e">
        <f t="shared" si="10"/>
        <v>#REF!</v>
      </c>
      <c r="D19" s="988" t="e">
        <f>IF(B19&lt;B$11+C$8,INDEX(#REF!,B19,11),0)</f>
        <v>#REF!</v>
      </c>
      <c r="E19" s="989" t="e">
        <f>IF(B19&lt;B$11+C$8,INDEX(#REF!,B19,12),0)</f>
        <v>#REF!</v>
      </c>
      <c r="F19" s="184" t="e">
        <f>IFA_Limits_2022!F19</f>
        <v>#N/A</v>
      </c>
      <c r="G19" s="184" t="e">
        <f>IFA_Limits_2022!G19</f>
        <v>#N/A</v>
      </c>
      <c r="H19" s="184" t="e">
        <f t="shared" si="0"/>
        <v>#N/A</v>
      </c>
      <c r="I19" s="184" t="e">
        <f t="shared" si="1"/>
        <v>#N/A</v>
      </c>
      <c r="J19" s="184" t="e">
        <f t="shared" si="2"/>
        <v>#N/A</v>
      </c>
      <c r="K19" s="184" t="e">
        <f t="shared" si="3"/>
        <v>#N/A</v>
      </c>
      <c r="L19" s="184" t="e">
        <f t="shared" si="4"/>
        <v>#N/A</v>
      </c>
      <c r="M19" s="184" t="e">
        <f t="shared" si="5"/>
        <v>#N/A</v>
      </c>
      <c r="N19" s="184" t="e">
        <f t="shared" si="6"/>
        <v>#N/A</v>
      </c>
      <c r="O19" s="184" t="e">
        <f t="shared" si="7"/>
        <v>#N/A</v>
      </c>
      <c r="P19" s="184" t="e">
        <f t="shared" si="8"/>
        <v>#N/A</v>
      </c>
      <c r="Q19" s="184" t="e">
        <f t="shared" si="9"/>
        <v>#N/A</v>
      </c>
    </row>
    <row r="20" spans="1:17" ht="13">
      <c r="A20" s="58" t="s">
        <v>4910</v>
      </c>
      <c r="B20" s="41" t="e">
        <f t="shared" si="10"/>
        <v>#REF!</v>
      </c>
      <c r="D20" s="988" t="e">
        <f>IF(B20&lt;B$11+C$8,INDEX(#REF!,B20,11),0)</f>
        <v>#REF!</v>
      </c>
      <c r="E20" s="989" t="e">
        <f>IF(B20&lt;B$11+C$8,INDEX(#REF!,B20,12),0)</f>
        <v>#REF!</v>
      </c>
      <c r="F20" s="184" t="e">
        <f>IFA_Limits_2022!F20</f>
        <v>#N/A</v>
      </c>
      <c r="G20" s="184" t="e">
        <f>IFA_Limits_2022!G20</f>
        <v>#N/A</v>
      </c>
      <c r="H20" s="184" t="e">
        <f t="shared" si="0"/>
        <v>#N/A</v>
      </c>
      <c r="I20" s="184" t="e">
        <f t="shared" si="1"/>
        <v>#N/A</v>
      </c>
      <c r="J20" s="184" t="e">
        <f t="shared" si="2"/>
        <v>#N/A</v>
      </c>
      <c r="K20" s="184" t="e">
        <f t="shared" si="3"/>
        <v>#N/A</v>
      </c>
      <c r="L20" s="184" t="e">
        <f t="shared" si="4"/>
        <v>#N/A</v>
      </c>
      <c r="M20" s="184" t="e">
        <f t="shared" si="5"/>
        <v>#N/A</v>
      </c>
      <c r="N20" s="184" t="e">
        <f t="shared" si="6"/>
        <v>#N/A</v>
      </c>
      <c r="O20" s="184" t="e">
        <f t="shared" si="7"/>
        <v>#N/A</v>
      </c>
      <c r="P20" s="184" t="e">
        <f t="shared" si="8"/>
        <v>#N/A</v>
      </c>
      <c r="Q20" s="184" t="e">
        <f t="shared" si="9"/>
        <v>#N/A</v>
      </c>
    </row>
    <row r="21" spans="1:17" ht="13">
      <c r="A21" s="58" t="s">
        <v>4910</v>
      </c>
      <c r="B21" s="41" t="e">
        <f t="shared" si="10"/>
        <v>#REF!</v>
      </c>
      <c r="D21" s="988" t="e">
        <f>IF(B21&lt;B$11+C$8,INDEX(#REF!,B21,11),0)</f>
        <v>#REF!</v>
      </c>
      <c r="E21" s="989" t="e">
        <f>IF(B21&lt;B$11+C$8,INDEX(#REF!,B21,12),0)</f>
        <v>#REF!</v>
      </c>
      <c r="F21" s="184" t="e">
        <f>IFA_Limits_2022!F21</f>
        <v>#N/A</v>
      </c>
      <c r="G21" s="184" t="e">
        <f>IFA_Limits_2022!G21</f>
        <v>#N/A</v>
      </c>
      <c r="H21" s="184" t="e">
        <f t="shared" si="0"/>
        <v>#N/A</v>
      </c>
      <c r="I21" s="184" t="e">
        <f t="shared" si="1"/>
        <v>#N/A</v>
      </c>
      <c r="J21" s="184" t="e">
        <f t="shared" si="2"/>
        <v>#N/A</v>
      </c>
      <c r="K21" s="184" t="e">
        <f t="shared" si="3"/>
        <v>#N/A</v>
      </c>
      <c r="L21" s="184" t="e">
        <f t="shared" si="4"/>
        <v>#N/A</v>
      </c>
      <c r="M21" s="184" t="e">
        <f t="shared" si="5"/>
        <v>#N/A</v>
      </c>
      <c r="N21" s="184" t="e">
        <f t="shared" si="6"/>
        <v>#N/A</v>
      </c>
      <c r="O21" s="184" t="e">
        <f t="shared" si="7"/>
        <v>#N/A</v>
      </c>
      <c r="P21" s="184" t="e">
        <f t="shared" si="8"/>
        <v>#N/A</v>
      </c>
      <c r="Q21" s="184" t="e">
        <f t="shared" si="9"/>
        <v>#N/A</v>
      </c>
    </row>
    <row r="22" spans="1:17" ht="13">
      <c r="A22" s="58" t="s">
        <v>4910</v>
      </c>
      <c r="B22" s="41" t="e">
        <f t="shared" si="10"/>
        <v>#REF!</v>
      </c>
      <c r="D22" s="988" t="e">
        <f>IF(B22&lt;B$11+C$8,INDEX(#REF!,B22,11),0)</f>
        <v>#REF!</v>
      </c>
      <c r="E22" s="989" t="e">
        <f>IF(B22&lt;B$11+C$8,INDEX(#REF!,B22,12),0)</f>
        <v>#REF!</v>
      </c>
      <c r="F22" s="184" t="e">
        <f>IFA_Limits_2022!F22</f>
        <v>#N/A</v>
      </c>
      <c r="G22" s="184" t="e">
        <f>IFA_Limits_2022!G22</f>
        <v>#N/A</v>
      </c>
      <c r="H22" s="184" t="e">
        <f t="shared" si="0"/>
        <v>#N/A</v>
      </c>
      <c r="I22" s="184" t="e">
        <f t="shared" si="1"/>
        <v>#N/A</v>
      </c>
      <c r="J22" s="184" t="e">
        <f t="shared" si="2"/>
        <v>#N/A</v>
      </c>
      <c r="K22" s="184" t="e">
        <f t="shared" si="3"/>
        <v>#N/A</v>
      </c>
      <c r="L22" s="184" t="e">
        <f t="shared" si="4"/>
        <v>#N/A</v>
      </c>
      <c r="M22" s="184" t="e">
        <f t="shared" si="5"/>
        <v>#N/A</v>
      </c>
      <c r="N22" s="184" t="e">
        <f t="shared" si="6"/>
        <v>#N/A</v>
      </c>
      <c r="O22" s="184" t="e">
        <f t="shared" si="7"/>
        <v>#N/A</v>
      </c>
      <c r="P22" s="184" t="e">
        <f t="shared" si="8"/>
        <v>#N/A</v>
      </c>
      <c r="Q22" s="184" t="e">
        <f t="shared" si="9"/>
        <v>#N/A</v>
      </c>
    </row>
    <row r="23" spans="1:17" ht="13">
      <c r="A23" s="58" t="s">
        <v>4910</v>
      </c>
      <c r="B23" s="41" t="e">
        <f t="shared" si="10"/>
        <v>#REF!</v>
      </c>
      <c r="D23" s="988" t="e">
        <f>IF(B23&lt;B$11+C$8,INDEX(#REF!,B23,11),0)</f>
        <v>#REF!</v>
      </c>
      <c r="E23" s="989" t="e">
        <f>IF(B23&lt;B$11+C$8,INDEX(#REF!,B23,12),0)</f>
        <v>#REF!</v>
      </c>
      <c r="F23" s="184" t="e">
        <f>IFA_Limits_2022!F23</f>
        <v>#N/A</v>
      </c>
      <c r="G23" s="184" t="e">
        <f>IFA_Limits_2022!G23</f>
        <v>#N/A</v>
      </c>
      <c r="H23" s="184" t="e">
        <f t="shared" si="0"/>
        <v>#N/A</v>
      </c>
      <c r="I23" s="184" t="e">
        <f t="shared" si="1"/>
        <v>#N/A</v>
      </c>
      <c r="J23" s="184" t="e">
        <f t="shared" si="2"/>
        <v>#N/A</v>
      </c>
      <c r="K23" s="184" t="e">
        <f t="shared" si="3"/>
        <v>#N/A</v>
      </c>
      <c r="L23" s="184" t="e">
        <f t="shared" si="4"/>
        <v>#N/A</v>
      </c>
      <c r="M23" s="184" t="e">
        <f t="shared" si="5"/>
        <v>#N/A</v>
      </c>
      <c r="N23" s="184" t="e">
        <f t="shared" si="6"/>
        <v>#N/A</v>
      </c>
      <c r="O23" s="184" t="e">
        <f t="shared" si="7"/>
        <v>#N/A</v>
      </c>
      <c r="P23" s="184" t="e">
        <f t="shared" si="8"/>
        <v>#N/A</v>
      </c>
      <c r="Q23" s="184" t="e">
        <f t="shared" si="9"/>
        <v>#N/A</v>
      </c>
    </row>
    <row r="24" spans="1:17" ht="13">
      <c r="A24" s="58" t="s">
        <v>4910</v>
      </c>
      <c r="B24" s="41" t="e">
        <f t="shared" si="10"/>
        <v>#REF!</v>
      </c>
      <c r="D24" s="988" t="e">
        <f>IF(B24&lt;B$11+C$8,INDEX(#REF!,B24,11),0)</f>
        <v>#REF!</v>
      </c>
      <c r="E24" s="989" t="e">
        <f>IF(B24&lt;B$11+C$8,INDEX(#REF!,B24,12),0)</f>
        <v>#REF!</v>
      </c>
      <c r="F24" s="184" t="e">
        <f>IFA_Limits_2022!F24</f>
        <v>#N/A</v>
      </c>
      <c r="G24" s="184" t="e">
        <f>IFA_Limits_2022!G24</f>
        <v>#N/A</v>
      </c>
      <c r="H24" s="184" t="e">
        <f t="shared" si="0"/>
        <v>#N/A</v>
      </c>
      <c r="I24" s="184" t="e">
        <f t="shared" si="1"/>
        <v>#N/A</v>
      </c>
      <c r="J24" s="184" t="e">
        <f t="shared" si="2"/>
        <v>#N/A</v>
      </c>
      <c r="K24" s="184" t="e">
        <f t="shared" si="3"/>
        <v>#N/A</v>
      </c>
      <c r="L24" s="184" t="e">
        <f t="shared" si="4"/>
        <v>#N/A</v>
      </c>
      <c r="M24" s="184" t="e">
        <f t="shared" si="5"/>
        <v>#N/A</v>
      </c>
      <c r="N24" s="184" t="e">
        <f t="shared" si="6"/>
        <v>#N/A</v>
      </c>
      <c r="O24" s="184" t="e">
        <f t="shared" si="7"/>
        <v>#N/A</v>
      </c>
      <c r="P24" s="184" t="e">
        <f t="shared" si="8"/>
        <v>#N/A</v>
      </c>
      <c r="Q24" s="184" t="e">
        <f t="shared" si="9"/>
        <v>#N/A</v>
      </c>
    </row>
    <row r="25" spans="1:17" ht="13">
      <c r="A25" s="58" t="s">
        <v>4910</v>
      </c>
      <c r="B25" s="41" t="e">
        <f t="shared" si="10"/>
        <v>#REF!</v>
      </c>
      <c r="D25" s="988" t="e">
        <f>IF(B25&lt;B$11+C$8,INDEX(#REF!,B25,11),0)</f>
        <v>#REF!</v>
      </c>
      <c r="E25" s="989" t="e">
        <f>IF(B25&lt;B$11+C$8,INDEX(#REF!,B25,12),0)</f>
        <v>#REF!</v>
      </c>
      <c r="F25" s="184" t="e">
        <f>IFA_Limits_2022!F25</f>
        <v>#N/A</v>
      </c>
      <c r="G25" s="184" t="e">
        <f>IFA_Limits_2022!G25</f>
        <v>#N/A</v>
      </c>
      <c r="H25" s="184" t="e">
        <f t="shared" si="0"/>
        <v>#N/A</v>
      </c>
      <c r="I25" s="184" t="e">
        <f t="shared" si="1"/>
        <v>#N/A</v>
      </c>
      <c r="J25" s="184" t="e">
        <f t="shared" si="2"/>
        <v>#N/A</v>
      </c>
      <c r="K25" s="184" t="e">
        <f t="shared" si="3"/>
        <v>#N/A</v>
      </c>
      <c r="L25" s="184" t="e">
        <f t="shared" si="4"/>
        <v>#N/A</v>
      </c>
      <c r="M25" s="184" t="e">
        <f t="shared" si="5"/>
        <v>#N/A</v>
      </c>
      <c r="N25" s="184" t="e">
        <f t="shared" si="6"/>
        <v>#N/A</v>
      </c>
      <c r="O25" s="184" t="e">
        <f t="shared" si="7"/>
        <v>#N/A</v>
      </c>
      <c r="P25" s="184" t="e">
        <f t="shared" si="8"/>
        <v>#N/A</v>
      </c>
      <c r="Q25" s="184" t="e">
        <f t="shared" si="9"/>
        <v>#N/A</v>
      </c>
    </row>
    <row r="26" spans="1:17" ht="13">
      <c r="A26" s="58" t="s">
        <v>4910</v>
      </c>
      <c r="B26" s="41" t="e">
        <f t="shared" si="10"/>
        <v>#REF!</v>
      </c>
      <c r="D26" s="988" t="e">
        <f>IF(B26&lt;B$11+C$8,INDEX(#REF!,B26,11),0)</f>
        <v>#REF!</v>
      </c>
      <c r="E26" s="989" t="e">
        <f>IF(B26&lt;B$11+C$8,INDEX(#REF!,B26,12),0)</f>
        <v>#REF!</v>
      </c>
      <c r="F26" s="184" t="e">
        <f>IFA_Limits_2022!F26</f>
        <v>#N/A</v>
      </c>
      <c r="G26" s="184" t="e">
        <f>IFA_Limits_2022!G26</f>
        <v>#N/A</v>
      </c>
      <c r="H26" s="184" t="e">
        <f t="shared" si="0"/>
        <v>#N/A</v>
      </c>
      <c r="I26" s="184" t="e">
        <f t="shared" si="1"/>
        <v>#N/A</v>
      </c>
      <c r="J26" s="184" t="e">
        <f t="shared" si="2"/>
        <v>#N/A</v>
      </c>
      <c r="K26" s="184" t="e">
        <f t="shared" si="3"/>
        <v>#N/A</v>
      </c>
      <c r="L26" s="184" t="e">
        <f t="shared" si="4"/>
        <v>#N/A</v>
      </c>
      <c r="M26" s="184" t="e">
        <f t="shared" si="5"/>
        <v>#N/A</v>
      </c>
      <c r="N26" s="184" t="e">
        <f t="shared" si="6"/>
        <v>#N/A</v>
      </c>
      <c r="O26" s="184" t="e">
        <f t="shared" si="7"/>
        <v>#N/A</v>
      </c>
      <c r="P26" s="184" t="e">
        <f t="shared" si="8"/>
        <v>#N/A</v>
      </c>
      <c r="Q26" s="184" t="e">
        <f t="shared" si="9"/>
        <v>#N/A</v>
      </c>
    </row>
    <row r="27" spans="1:17" ht="13">
      <c r="A27" s="58" t="s">
        <v>4910</v>
      </c>
      <c r="B27" s="41" t="e">
        <f t="shared" si="10"/>
        <v>#REF!</v>
      </c>
      <c r="D27" s="988" t="e">
        <f>IF(B27&lt;B$11+C$8,INDEX(#REF!,B27,11),0)</f>
        <v>#REF!</v>
      </c>
      <c r="E27" s="989" t="e">
        <f>IF(B27&lt;B$11+C$8,INDEX(#REF!,B27,12),0)</f>
        <v>#REF!</v>
      </c>
      <c r="F27" s="184" t="e">
        <f>IFA_Limits_2022!F27</f>
        <v>#N/A</v>
      </c>
      <c r="G27" s="184" t="e">
        <f>IFA_Limits_2022!G27</f>
        <v>#N/A</v>
      </c>
      <c r="H27" s="184" t="e">
        <f t="shared" si="0"/>
        <v>#N/A</v>
      </c>
      <c r="I27" s="184" t="e">
        <f t="shared" si="1"/>
        <v>#N/A</v>
      </c>
      <c r="J27" s="184" t="e">
        <f t="shared" si="2"/>
        <v>#N/A</v>
      </c>
      <c r="K27" s="184" t="e">
        <f t="shared" si="3"/>
        <v>#N/A</v>
      </c>
      <c r="L27" s="184" t="e">
        <f t="shared" si="4"/>
        <v>#N/A</v>
      </c>
      <c r="M27" s="184" t="e">
        <f t="shared" si="5"/>
        <v>#N/A</v>
      </c>
      <c r="N27" s="184" t="e">
        <f t="shared" si="6"/>
        <v>#N/A</v>
      </c>
      <c r="O27" s="184" t="e">
        <f t="shared" si="7"/>
        <v>#N/A</v>
      </c>
      <c r="P27" s="184" t="e">
        <f t="shared" si="8"/>
        <v>#N/A</v>
      </c>
      <c r="Q27" s="184" t="e">
        <f t="shared" si="9"/>
        <v>#N/A</v>
      </c>
    </row>
    <row r="28" spans="1:17" ht="13">
      <c r="A28" s="58" t="s">
        <v>4910</v>
      </c>
      <c r="B28" s="41" t="e">
        <f t="shared" si="10"/>
        <v>#REF!</v>
      </c>
      <c r="D28" s="988" t="e">
        <f>IF(B28&lt;B$11+C$8,INDEX(#REF!,B28,11),0)</f>
        <v>#REF!</v>
      </c>
      <c r="E28" s="989" t="e">
        <f>IF(B28&lt;B$11+C$8,INDEX(#REF!,B28,12),0)</f>
        <v>#REF!</v>
      </c>
      <c r="F28" s="184" t="e">
        <f>IFA_Limits_2022!F28</f>
        <v>#N/A</v>
      </c>
      <c r="G28" s="184" t="e">
        <f>IFA_Limits_2022!G28</f>
        <v>#N/A</v>
      </c>
      <c r="H28" s="184" t="e">
        <f t="shared" si="0"/>
        <v>#N/A</v>
      </c>
      <c r="I28" s="184" t="e">
        <f t="shared" si="1"/>
        <v>#N/A</v>
      </c>
      <c r="J28" s="184" t="e">
        <f t="shared" si="2"/>
        <v>#N/A</v>
      </c>
      <c r="K28" s="184" t="e">
        <f t="shared" si="3"/>
        <v>#N/A</v>
      </c>
      <c r="L28" s="184" t="e">
        <f t="shared" si="4"/>
        <v>#N/A</v>
      </c>
      <c r="M28" s="184" t="e">
        <f t="shared" si="5"/>
        <v>#N/A</v>
      </c>
      <c r="N28" s="184" t="e">
        <f t="shared" si="6"/>
        <v>#N/A</v>
      </c>
      <c r="O28" s="184" t="e">
        <f t="shared" si="7"/>
        <v>#N/A</v>
      </c>
      <c r="P28" s="184" t="e">
        <f t="shared" si="8"/>
        <v>#N/A</v>
      </c>
      <c r="Q28" s="184" t="e">
        <f t="shared" si="9"/>
        <v>#N/A</v>
      </c>
    </row>
    <row r="29" spans="1:17" ht="13">
      <c r="A29" s="58" t="s">
        <v>4910</v>
      </c>
      <c r="B29" s="41" t="e">
        <f t="shared" si="10"/>
        <v>#REF!</v>
      </c>
      <c r="D29" s="988" t="e">
        <f>IF(B29&lt;B$11+C$8,INDEX(#REF!,B29,11),0)</f>
        <v>#REF!</v>
      </c>
      <c r="E29" s="989" t="e">
        <f>IF(B29&lt;B$11+C$8,INDEX(#REF!,B29,12),0)</f>
        <v>#REF!</v>
      </c>
      <c r="F29" s="184" t="e">
        <f>IFA_Limits_2022!F29</f>
        <v>#N/A</v>
      </c>
      <c r="G29" s="184" t="e">
        <f>IFA_Limits_2022!G29</f>
        <v>#N/A</v>
      </c>
      <c r="H29" s="184" t="e">
        <f t="shared" si="0"/>
        <v>#N/A</v>
      </c>
      <c r="I29" s="184" t="e">
        <f t="shared" si="1"/>
        <v>#N/A</v>
      </c>
      <c r="J29" s="184" t="e">
        <f t="shared" si="2"/>
        <v>#N/A</v>
      </c>
      <c r="K29" s="184" t="e">
        <f t="shared" si="3"/>
        <v>#N/A</v>
      </c>
      <c r="L29" s="184" t="e">
        <f t="shared" si="4"/>
        <v>#N/A</v>
      </c>
      <c r="M29" s="184" t="e">
        <f t="shared" si="5"/>
        <v>#N/A</v>
      </c>
      <c r="N29" s="184" t="e">
        <f t="shared" si="6"/>
        <v>#N/A</v>
      </c>
      <c r="O29" s="184" t="e">
        <f t="shared" si="7"/>
        <v>#N/A</v>
      </c>
      <c r="P29" s="184" t="e">
        <f t="shared" si="8"/>
        <v>#N/A</v>
      </c>
      <c r="Q29" s="184" t="e">
        <f t="shared" si="9"/>
        <v>#N/A</v>
      </c>
    </row>
    <row r="30" spans="1:17" ht="13">
      <c r="A30" s="58" t="s">
        <v>4910</v>
      </c>
      <c r="B30" s="41" t="e">
        <f t="shared" si="10"/>
        <v>#REF!</v>
      </c>
      <c r="D30" s="988" t="e">
        <f>IF(B30&lt;B$11+C$8,INDEX(#REF!,B30,11),0)</f>
        <v>#REF!</v>
      </c>
      <c r="E30" s="989" t="e">
        <f>IF(B30&lt;B$11+C$8,INDEX(#REF!,B30,12),0)</f>
        <v>#REF!</v>
      </c>
      <c r="F30" s="184" t="e">
        <f>IFA_Limits_2022!F30</f>
        <v>#N/A</v>
      </c>
      <c r="G30" s="184" t="e">
        <f>IFA_Limits_2022!G30</f>
        <v>#N/A</v>
      </c>
      <c r="H30" s="184" t="e">
        <f t="shared" si="0"/>
        <v>#N/A</v>
      </c>
      <c r="I30" s="184" t="e">
        <f t="shared" si="1"/>
        <v>#N/A</v>
      </c>
      <c r="J30" s="184" t="e">
        <f t="shared" si="2"/>
        <v>#N/A</v>
      </c>
      <c r="K30" s="184" t="e">
        <f t="shared" si="3"/>
        <v>#N/A</v>
      </c>
      <c r="L30" s="184" t="e">
        <f t="shared" si="4"/>
        <v>#N/A</v>
      </c>
      <c r="M30" s="184" t="e">
        <f t="shared" si="5"/>
        <v>#N/A</v>
      </c>
      <c r="N30" s="184" t="e">
        <f t="shared" si="6"/>
        <v>#N/A</v>
      </c>
      <c r="O30" s="184" t="e">
        <f t="shared" si="7"/>
        <v>#N/A</v>
      </c>
      <c r="P30" s="184" t="e">
        <f t="shared" si="8"/>
        <v>#N/A</v>
      </c>
      <c r="Q30" s="184" t="e">
        <f t="shared" si="9"/>
        <v>#N/A</v>
      </c>
    </row>
    <row r="31" spans="1:17" ht="13">
      <c r="A31" s="58" t="s">
        <v>4910</v>
      </c>
      <c r="B31" s="41" t="e">
        <f t="shared" si="10"/>
        <v>#REF!</v>
      </c>
      <c r="D31" s="988" t="e">
        <f>IF(B31&lt;B$11+C$8,INDEX(#REF!,B31,11),0)</f>
        <v>#REF!</v>
      </c>
      <c r="E31" s="989" t="e">
        <f>IF(B31&lt;B$11+C$8,INDEX(#REF!,B31,12),0)</f>
        <v>#REF!</v>
      </c>
      <c r="F31" s="184" t="e">
        <f>IFA_Limits_2022!F31</f>
        <v>#N/A</v>
      </c>
      <c r="G31" s="184" t="e">
        <f>IFA_Limits_2022!G31</f>
        <v>#N/A</v>
      </c>
      <c r="H31" s="184" t="e">
        <f t="shared" si="0"/>
        <v>#N/A</v>
      </c>
      <c r="I31" s="184" t="e">
        <f t="shared" si="1"/>
        <v>#N/A</v>
      </c>
      <c r="J31" s="184" t="e">
        <f t="shared" si="2"/>
        <v>#N/A</v>
      </c>
      <c r="K31" s="184" t="e">
        <f t="shared" si="3"/>
        <v>#N/A</v>
      </c>
      <c r="L31" s="184" t="e">
        <f t="shared" si="4"/>
        <v>#N/A</v>
      </c>
      <c r="M31" s="184" t="e">
        <f t="shared" si="5"/>
        <v>#N/A</v>
      </c>
      <c r="N31" s="184" t="e">
        <f t="shared" si="6"/>
        <v>#N/A</v>
      </c>
      <c r="O31" s="184" t="e">
        <f t="shared" si="7"/>
        <v>#N/A</v>
      </c>
      <c r="P31" s="184" t="e">
        <f t="shared" si="8"/>
        <v>#N/A</v>
      </c>
      <c r="Q31" s="184" t="e">
        <f t="shared" si="9"/>
        <v>#N/A</v>
      </c>
    </row>
    <row r="32" spans="1:17" ht="13">
      <c r="A32" s="58" t="s">
        <v>4910</v>
      </c>
      <c r="B32" s="41" t="e">
        <f t="shared" si="10"/>
        <v>#REF!</v>
      </c>
      <c r="D32" s="988" t="e">
        <f>IF(B32&lt;B$11+C$8,INDEX(#REF!,B32,11),0)</f>
        <v>#REF!</v>
      </c>
      <c r="E32" s="989" t="e">
        <f>IF(B32&lt;B$11+C$8,INDEX(#REF!,B32,12),0)</f>
        <v>#REF!</v>
      </c>
      <c r="F32" s="184" t="e">
        <f>IFA_Limits_2022!F32</f>
        <v>#N/A</v>
      </c>
      <c r="G32" s="184" t="e">
        <f>IFA_Limits_2022!G32</f>
        <v>#N/A</v>
      </c>
      <c r="H32" s="184" t="e">
        <f t="shared" si="0"/>
        <v>#N/A</v>
      </c>
      <c r="I32" s="184" t="e">
        <f t="shared" si="1"/>
        <v>#N/A</v>
      </c>
      <c r="J32" s="184" t="e">
        <f t="shared" si="2"/>
        <v>#N/A</v>
      </c>
      <c r="K32" s="184" t="e">
        <f t="shared" si="3"/>
        <v>#N/A</v>
      </c>
      <c r="L32" s="184" t="e">
        <f t="shared" si="4"/>
        <v>#N/A</v>
      </c>
      <c r="M32" s="184" t="e">
        <f t="shared" si="5"/>
        <v>#N/A</v>
      </c>
      <c r="N32" s="184" t="e">
        <f t="shared" si="6"/>
        <v>#N/A</v>
      </c>
      <c r="O32" s="184" t="e">
        <f t="shared" si="7"/>
        <v>#N/A</v>
      </c>
      <c r="P32" s="184" t="e">
        <f t="shared" si="8"/>
        <v>#N/A</v>
      </c>
      <c r="Q32" s="184" t="e">
        <f t="shared" si="9"/>
        <v>#N/A</v>
      </c>
    </row>
    <row r="33" spans="1:17" ht="13">
      <c r="A33" s="58" t="s">
        <v>4910</v>
      </c>
      <c r="B33" s="41" t="e">
        <f t="shared" si="10"/>
        <v>#REF!</v>
      </c>
      <c r="D33" s="988" t="e">
        <f>IF(B33&lt;B$11+C$8,INDEX(#REF!,B33,11),0)</f>
        <v>#REF!</v>
      </c>
      <c r="E33" s="989" t="e">
        <f>IF(B33&lt;B$11+C$8,INDEX(#REF!,B33,12),0)</f>
        <v>#REF!</v>
      </c>
      <c r="F33" s="184" t="e">
        <f>IFA_Limits_2022!F33</f>
        <v>#N/A</v>
      </c>
      <c r="G33" s="184" t="e">
        <f>IFA_Limits_2022!G33</f>
        <v>#N/A</v>
      </c>
      <c r="H33" s="184" t="e">
        <f t="shared" si="0"/>
        <v>#N/A</v>
      </c>
      <c r="I33" s="184" t="e">
        <f t="shared" si="1"/>
        <v>#N/A</v>
      </c>
      <c r="J33" s="184" t="e">
        <f t="shared" si="2"/>
        <v>#N/A</v>
      </c>
      <c r="K33" s="184" t="e">
        <f t="shared" si="3"/>
        <v>#N/A</v>
      </c>
      <c r="L33" s="184" t="e">
        <f t="shared" si="4"/>
        <v>#N/A</v>
      </c>
      <c r="M33" s="184" t="e">
        <f t="shared" si="5"/>
        <v>#N/A</v>
      </c>
      <c r="N33" s="184" t="e">
        <f t="shared" si="6"/>
        <v>#N/A</v>
      </c>
      <c r="O33" s="184" t="e">
        <f t="shared" si="7"/>
        <v>#N/A</v>
      </c>
      <c r="P33" s="184" t="e">
        <f t="shared" si="8"/>
        <v>#N/A</v>
      </c>
      <c r="Q33" s="184" t="e">
        <f t="shared" si="9"/>
        <v>#N/A</v>
      </c>
    </row>
    <row r="34" spans="1:17" ht="13">
      <c r="A34" s="58" t="s">
        <v>4910</v>
      </c>
      <c r="B34" s="41" t="e">
        <f t="shared" si="10"/>
        <v>#REF!</v>
      </c>
      <c r="D34" s="988" t="e">
        <f>IF(B34&lt;B$11+C$8,INDEX(#REF!,B34,11),0)</f>
        <v>#REF!</v>
      </c>
      <c r="E34" s="989" t="e">
        <f>IF(B34&lt;B$11+C$8,INDEX(#REF!,B34,12),0)</f>
        <v>#REF!</v>
      </c>
      <c r="F34" s="184" t="e">
        <f>IFA_Limits_2022!F34</f>
        <v>#N/A</v>
      </c>
      <c r="G34" s="184" t="e">
        <f>IFA_Limits_2022!G34</f>
        <v>#N/A</v>
      </c>
      <c r="H34" s="184" t="e">
        <f t="shared" si="0"/>
        <v>#N/A</v>
      </c>
      <c r="I34" s="184" t="e">
        <f t="shared" si="1"/>
        <v>#N/A</v>
      </c>
      <c r="J34" s="184" t="e">
        <f t="shared" si="2"/>
        <v>#N/A</v>
      </c>
      <c r="K34" s="184" t="e">
        <f t="shared" si="3"/>
        <v>#N/A</v>
      </c>
      <c r="L34" s="184" t="e">
        <f t="shared" si="4"/>
        <v>#N/A</v>
      </c>
      <c r="M34" s="184" t="e">
        <f t="shared" si="5"/>
        <v>#N/A</v>
      </c>
      <c r="N34" s="184" t="e">
        <f t="shared" si="6"/>
        <v>#N/A</v>
      </c>
      <c r="O34" s="184" t="e">
        <f t="shared" si="7"/>
        <v>#N/A</v>
      </c>
      <c r="P34" s="184" t="e">
        <f t="shared" si="8"/>
        <v>#N/A</v>
      </c>
      <c r="Q34" s="184" t="e">
        <f t="shared" si="9"/>
        <v>#N/A</v>
      </c>
    </row>
    <row r="35" spans="1:17" ht="13">
      <c r="A35" s="58" t="s">
        <v>4910</v>
      </c>
      <c r="B35" s="41" t="e">
        <f t="shared" si="10"/>
        <v>#REF!</v>
      </c>
      <c r="D35" s="988" t="e">
        <f>IF(B35&lt;B$11+C$8,INDEX(#REF!,B35,11),0)</f>
        <v>#REF!</v>
      </c>
      <c r="E35" s="989" t="e">
        <f>IF(B35&lt;B$11+C$8,INDEX(#REF!,B35,12),0)</f>
        <v>#REF!</v>
      </c>
      <c r="F35" s="184" t="e">
        <f>IFA_Limits_2022!F35</f>
        <v>#N/A</v>
      </c>
      <c r="G35" s="184" t="e">
        <f>IFA_Limits_2022!G35</f>
        <v>#N/A</v>
      </c>
      <c r="H35" s="184" t="e">
        <f t="shared" si="0"/>
        <v>#N/A</v>
      </c>
      <c r="I35" s="184" t="e">
        <f t="shared" si="1"/>
        <v>#N/A</v>
      </c>
      <c r="J35" s="184" t="e">
        <f t="shared" si="2"/>
        <v>#N/A</v>
      </c>
      <c r="K35" s="184" t="e">
        <f t="shared" si="3"/>
        <v>#N/A</v>
      </c>
      <c r="L35" s="184" t="e">
        <f t="shared" si="4"/>
        <v>#N/A</v>
      </c>
      <c r="M35" s="184" t="e">
        <f t="shared" si="5"/>
        <v>#N/A</v>
      </c>
      <c r="N35" s="184" t="e">
        <f t="shared" si="6"/>
        <v>#N/A</v>
      </c>
      <c r="O35" s="184" t="e">
        <f t="shared" si="7"/>
        <v>#N/A</v>
      </c>
      <c r="P35" s="184" t="e">
        <f t="shared" si="8"/>
        <v>#N/A</v>
      </c>
      <c r="Q35" s="184" t="e">
        <f t="shared" si="9"/>
        <v>#N/A</v>
      </c>
    </row>
    <row r="36" spans="1:17" ht="13">
      <c r="A36" s="58" t="s">
        <v>4910</v>
      </c>
      <c r="B36" s="41" t="e">
        <f t="shared" si="10"/>
        <v>#REF!</v>
      </c>
      <c r="D36" s="988" t="e">
        <f>IF(B36&lt;B$11+C$8,INDEX(#REF!,B36,11),0)</f>
        <v>#REF!</v>
      </c>
      <c r="E36" s="989" t="e">
        <f>IF(B36&lt;B$11+C$8,INDEX(#REF!,B36,12),0)</f>
        <v>#REF!</v>
      </c>
      <c r="F36" s="184" t="e">
        <f>IFA_Limits_2022!F36</f>
        <v>#N/A</v>
      </c>
      <c r="G36" s="184" t="e">
        <f>IFA_Limits_2022!G36</f>
        <v>#N/A</v>
      </c>
      <c r="H36" s="184" t="e">
        <f t="shared" si="0"/>
        <v>#N/A</v>
      </c>
      <c r="I36" s="184" t="e">
        <f t="shared" si="1"/>
        <v>#N/A</v>
      </c>
      <c r="J36" s="184" t="e">
        <f t="shared" si="2"/>
        <v>#N/A</v>
      </c>
      <c r="K36" s="184" t="e">
        <f t="shared" si="3"/>
        <v>#N/A</v>
      </c>
      <c r="L36" s="184" t="e">
        <f t="shared" si="4"/>
        <v>#N/A</v>
      </c>
      <c r="M36" s="184" t="e">
        <f t="shared" si="5"/>
        <v>#N/A</v>
      </c>
      <c r="N36" s="184" t="e">
        <f t="shared" si="6"/>
        <v>#N/A</v>
      </c>
      <c r="O36" s="184" t="e">
        <f t="shared" si="7"/>
        <v>#N/A</v>
      </c>
      <c r="P36" s="184" t="e">
        <f t="shared" si="8"/>
        <v>#N/A</v>
      </c>
      <c r="Q36" s="184" t="e">
        <f t="shared" si="9"/>
        <v>#N/A</v>
      </c>
    </row>
    <row r="37" spans="1:17" ht="13">
      <c r="A37" s="58" t="s">
        <v>4910</v>
      </c>
      <c r="B37" s="41" t="e">
        <f t="shared" si="10"/>
        <v>#REF!</v>
      </c>
      <c r="D37" s="988" t="e">
        <f>IF(B37&lt;B$11+C$8,INDEX(#REF!,B37,11),0)</f>
        <v>#REF!</v>
      </c>
      <c r="E37" s="989" t="e">
        <f>IF(B37&lt;B$11+C$8,INDEX(#REF!,B37,12),0)</f>
        <v>#REF!</v>
      </c>
      <c r="F37" s="184" t="e">
        <f>IFA_Limits_2022!F37</f>
        <v>#N/A</v>
      </c>
      <c r="G37" s="184" t="e">
        <f>IFA_Limits_2022!G37</f>
        <v>#N/A</v>
      </c>
      <c r="H37" s="184" t="e">
        <f t="shared" si="0"/>
        <v>#N/A</v>
      </c>
      <c r="I37" s="184" t="e">
        <f t="shared" si="1"/>
        <v>#N/A</v>
      </c>
      <c r="J37" s="184" t="e">
        <f t="shared" si="2"/>
        <v>#N/A</v>
      </c>
      <c r="K37" s="184" t="e">
        <f t="shared" si="3"/>
        <v>#N/A</v>
      </c>
      <c r="L37" s="184" t="e">
        <f t="shared" si="4"/>
        <v>#N/A</v>
      </c>
      <c r="M37" s="184" t="e">
        <f t="shared" si="5"/>
        <v>#N/A</v>
      </c>
      <c r="N37" s="184" t="e">
        <f t="shared" si="6"/>
        <v>#N/A</v>
      </c>
      <c r="O37" s="184" t="e">
        <f t="shared" si="7"/>
        <v>#N/A</v>
      </c>
      <c r="P37" s="184" t="e">
        <f t="shared" si="8"/>
        <v>#N/A</v>
      </c>
      <c r="Q37" s="184" t="e">
        <f t="shared" si="9"/>
        <v>#N/A</v>
      </c>
    </row>
    <row r="38" spans="1:17" ht="13">
      <c r="A38" s="58" t="s">
        <v>4910</v>
      </c>
      <c r="B38" s="41" t="e">
        <f t="shared" si="10"/>
        <v>#REF!</v>
      </c>
      <c r="D38" s="988" t="e">
        <f>IF(B38&lt;B$11+C$8,INDEX(#REF!,B38,11),0)</f>
        <v>#REF!</v>
      </c>
      <c r="E38" s="989" t="e">
        <f>IF(B38&lt;B$11+C$8,INDEX(#REF!,B38,12),0)</f>
        <v>#REF!</v>
      </c>
      <c r="F38" s="184" t="e">
        <f>IFA_Limits_2022!F38</f>
        <v>#N/A</v>
      </c>
      <c r="G38" s="184" t="e">
        <f>IFA_Limits_2022!G38</f>
        <v>#N/A</v>
      </c>
      <c r="H38" s="184" t="e">
        <f t="shared" si="0"/>
        <v>#N/A</v>
      </c>
      <c r="I38" s="184" t="e">
        <f t="shared" si="1"/>
        <v>#N/A</v>
      </c>
      <c r="J38" s="184" t="e">
        <f t="shared" si="2"/>
        <v>#N/A</v>
      </c>
      <c r="K38" s="184" t="e">
        <f t="shared" si="3"/>
        <v>#N/A</v>
      </c>
      <c r="L38" s="184" t="e">
        <f t="shared" si="4"/>
        <v>#N/A</v>
      </c>
      <c r="M38" s="184" t="e">
        <f t="shared" si="5"/>
        <v>#N/A</v>
      </c>
      <c r="N38" s="184" t="e">
        <f t="shared" si="6"/>
        <v>#N/A</v>
      </c>
      <c r="O38" s="184" t="e">
        <f t="shared" si="7"/>
        <v>#N/A</v>
      </c>
      <c r="P38" s="184" t="e">
        <f t="shared" si="8"/>
        <v>#N/A</v>
      </c>
      <c r="Q38" s="184" t="e">
        <f t="shared" si="9"/>
        <v>#N/A</v>
      </c>
    </row>
    <row r="39" spans="1:17" ht="13">
      <c r="A39" s="58" t="s">
        <v>4910</v>
      </c>
      <c r="B39" s="41" t="e">
        <f t="shared" si="10"/>
        <v>#REF!</v>
      </c>
      <c r="D39" s="988" t="e">
        <f>IF(B39&lt;B$11+C$8,INDEX(#REF!,B39,11),0)</f>
        <v>#REF!</v>
      </c>
      <c r="E39" s="989" t="e">
        <f>IF(B39&lt;B$11+C$8,INDEX(#REF!,B39,12),0)</f>
        <v>#REF!</v>
      </c>
      <c r="F39" s="184" t="e">
        <f>IFA_Limits_2022!F39</f>
        <v>#N/A</v>
      </c>
      <c r="G39" s="184" t="e">
        <f>IFA_Limits_2022!G39</f>
        <v>#N/A</v>
      </c>
      <c r="H39" s="184" t="e">
        <f t="shared" si="0"/>
        <v>#N/A</v>
      </c>
      <c r="I39" s="184" t="e">
        <f t="shared" si="1"/>
        <v>#N/A</v>
      </c>
      <c r="J39" s="184" t="e">
        <f t="shared" si="2"/>
        <v>#N/A</v>
      </c>
      <c r="K39" s="184" t="e">
        <f t="shared" si="3"/>
        <v>#N/A</v>
      </c>
      <c r="L39" s="184" t="e">
        <f t="shared" si="4"/>
        <v>#N/A</v>
      </c>
      <c r="M39" s="184" t="e">
        <f t="shared" si="5"/>
        <v>#N/A</v>
      </c>
      <c r="N39" s="184" t="e">
        <f t="shared" si="6"/>
        <v>#N/A</v>
      </c>
      <c r="O39" s="184" t="e">
        <f t="shared" si="7"/>
        <v>#N/A</v>
      </c>
      <c r="P39" s="184" t="e">
        <f t="shared" si="8"/>
        <v>#N/A</v>
      </c>
      <c r="Q39" s="184" t="e">
        <f t="shared" si="9"/>
        <v>#N/A</v>
      </c>
    </row>
    <row r="40" spans="1:17" ht="13">
      <c r="A40" s="58" t="s">
        <v>4910</v>
      </c>
      <c r="B40" s="41" t="e">
        <f t="shared" si="10"/>
        <v>#REF!</v>
      </c>
      <c r="D40" s="988" t="e">
        <f>IF(B40&lt;B$11+C$8,INDEX(#REF!,B40,11),0)</f>
        <v>#REF!</v>
      </c>
      <c r="E40" s="989" t="e">
        <f>IF(B40&lt;B$11+C$8,INDEX(#REF!,B40,12),0)</f>
        <v>#REF!</v>
      </c>
      <c r="F40" s="184" t="e">
        <f>IFA_Limits_2022!F40</f>
        <v>#N/A</v>
      </c>
      <c r="G40" s="184" t="e">
        <f>IFA_Limits_2022!G40</f>
        <v>#N/A</v>
      </c>
      <c r="H40" s="184" t="e">
        <f t="shared" si="0"/>
        <v>#N/A</v>
      </c>
      <c r="I40" s="184" t="e">
        <f t="shared" si="1"/>
        <v>#N/A</v>
      </c>
      <c r="J40" s="184" t="e">
        <f t="shared" si="2"/>
        <v>#N/A</v>
      </c>
      <c r="K40" s="184" t="e">
        <f t="shared" si="3"/>
        <v>#N/A</v>
      </c>
      <c r="L40" s="184" t="e">
        <f t="shared" si="4"/>
        <v>#N/A</v>
      </c>
      <c r="M40" s="184" t="e">
        <f t="shared" si="5"/>
        <v>#N/A</v>
      </c>
      <c r="N40" s="184" t="e">
        <f t="shared" si="6"/>
        <v>#N/A</v>
      </c>
      <c r="O40" s="184" t="e">
        <f t="shared" si="7"/>
        <v>#N/A</v>
      </c>
      <c r="P40" s="184" t="e">
        <f t="shared" si="8"/>
        <v>#N/A</v>
      </c>
      <c r="Q40" s="184" t="e">
        <f t="shared" si="9"/>
        <v>#N/A</v>
      </c>
    </row>
    <row r="41" spans="1:17" ht="13">
      <c r="A41" s="58" t="s">
        <v>4910</v>
      </c>
      <c r="B41" s="41" t="e">
        <f t="shared" si="10"/>
        <v>#REF!</v>
      </c>
      <c r="D41" s="988" t="e">
        <f>IF(B41&lt;B$11+C$8,INDEX(#REF!,B41,11),0)</f>
        <v>#REF!</v>
      </c>
      <c r="E41" s="989" t="e">
        <f>IF(B41&lt;B$11+C$8,INDEX(#REF!,B41,12),0)</f>
        <v>#REF!</v>
      </c>
      <c r="F41" s="184" t="e">
        <f>IFA_Limits_2022!F41</f>
        <v>#N/A</v>
      </c>
      <c r="G41" s="184" t="e">
        <f>IFA_Limits_2022!G41</f>
        <v>#N/A</v>
      </c>
      <c r="H41" s="184" t="e">
        <f t="shared" si="0"/>
        <v>#N/A</v>
      </c>
      <c r="I41" s="184" t="e">
        <f t="shared" si="1"/>
        <v>#N/A</v>
      </c>
      <c r="J41" s="184" t="e">
        <f t="shared" si="2"/>
        <v>#N/A</v>
      </c>
      <c r="K41" s="184" t="e">
        <f t="shared" si="3"/>
        <v>#N/A</v>
      </c>
      <c r="L41" s="184" t="e">
        <f t="shared" si="4"/>
        <v>#N/A</v>
      </c>
      <c r="M41" s="184" t="e">
        <f t="shared" si="5"/>
        <v>#N/A</v>
      </c>
      <c r="N41" s="184" t="e">
        <f t="shared" si="6"/>
        <v>#N/A</v>
      </c>
      <c r="O41" s="184" t="e">
        <f t="shared" si="7"/>
        <v>#N/A</v>
      </c>
      <c r="P41" s="184" t="e">
        <f t="shared" si="8"/>
        <v>#N/A</v>
      </c>
      <c r="Q41" s="184" t="e">
        <f t="shared" si="9"/>
        <v>#N/A</v>
      </c>
    </row>
    <row r="42" spans="1:17" ht="13">
      <c r="A42" s="58" t="s">
        <v>4910</v>
      </c>
      <c r="B42" s="41" t="e">
        <f t="shared" si="10"/>
        <v>#REF!</v>
      </c>
      <c r="D42" s="988" t="e">
        <f>IF(B42&lt;B$11+C$8,INDEX(#REF!,B42,11),0)</f>
        <v>#REF!</v>
      </c>
      <c r="E42" s="989" t="e">
        <f>IF(B42&lt;B$11+C$8,INDEX(#REF!,B42,12),0)</f>
        <v>#REF!</v>
      </c>
      <c r="F42" s="184" t="e">
        <f>IFA_Limits_2022!F42</f>
        <v>#N/A</v>
      </c>
      <c r="G42" s="184" t="e">
        <f>IFA_Limits_2022!G42</f>
        <v>#N/A</v>
      </c>
      <c r="H42" s="184" t="e">
        <f t="shared" si="0"/>
        <v>#N/A</v>
      </c>
      <c r="I42" s="184" t="e">
        <f t="shared" si="1"/>
        <v>#N/A</v>
      </c>
      <c r="J42" s="184" t="e">
        <f t="shared" si="2"/>
        <v>#N/A</v>
      </c>
      <c r="K42" s="184" t="e">
        <f t="shared" si="3"/>
        <v>#N/A</v>
      </c>
      <c r="L42" s="184" t="e">
        <f t="shared" si="4"/>
        <v>#N/A</v>
      </c>
      <c r="M42" s="184" t="e">
        <f t="shared" si="5"/>
        <v>#N/A</v>
      </c>
      <c r="N42" s="184" t="e">
        <f t="shared" si="6"/>
        <v>#N/A</v>
      </c>
      <c r="O42" s="184" t="e">
        <f t="shared" si="7"/>
        <v>#N/A</v>
      </c>
      <c r="P42" s="184" t="e">
        <f t="shared" si="8"/>
        <v>#N/A</v>
      </c>
      <c r="Q42" s="184" t="e">
        <f t="shared" si="9"/>
        <v>#N/A</v>
      </c>
    </row>
    <row r="43" spans="1:17" ht="13">
      <c r="A43" s="58" t="s">
        <v>4910</v>
      </c>
      <c r="B43" s="41" t="e">
        <f t="shared" si="10"/>
        <v>#REF!</v>
      </c>
      <c r="D43" s="988" t="e">
        <f>IF(B43&lt;B$11+C$8,INDEX(#REF!,B43,11),0)</f>
        <v>#REF!</v>
      </c>
      <c r="E43" s="989" t="e">
        <f>IF(B43&lt;B$11+C$8,INDEX(#REF!,B43,12),0)</f>
        <v>#REF!</v>
      </c>
      <c r="F43" s="184" t="e">
        <f>IFA_Limits_2022!F43</f>
        <v>#N/A</v>
      </c>
      <c r="G43" s="184" t="e">
        <f>IFA_Limits_2022!G43</f>
        <v>#N/A</v>
      </c>
      <c r="H43" s="184" t="e">
        <f t="shared" si="0"/>
        <v>#N/A</v>
      </c>
      <c r="I43" s="184" t="e">
        <f t="shared" si="1"/>
        <v>#N/A</v>
      </c>
      <c r="J43" s="184" t="e">
        <f t="shared" si="2"/>
        <v>#N/A</v>
      </c>
      <c r="K43" s="184" t="e">
        <f t="shared" si="3"/>
        <v>#N/A</v>
      </c>
      <c r="L43" s="184" t="e">
        <f t="shared" si="4"/>
        <v>#N/A</v>
      </c>
      <c r="M43" s="184" t="e">
        <f t="shared" si="5"/>
        <v>#N/A</v>
      </c>
      <c r="N43" s="184" t="e">
        <f t="shared" si="6"/>
        <v>#N/A</v>
      </c>
      <c r="O43" s="184" t="e">
        <f t="shared" si="7"/>
        <v>#N/A</v>
      </c>
      <c r="P43" s="184" t="e">
        <f t="shared" si="8"/>
        <v>#N/A</v>
      </c>
      <c r="Q43" s="184" t="e">
        <f t="shared" si="9"/>
        <v>#N/A</v>
      </c>
    </row>
    <row r="44" spans="1:17" ht="13">
      <c r="A44" s="58" t="s">
        <v>4910</v>
      </c>
      <c r="B44" s="41" t="e">
        <f t="shared" si="10"/>
        <v>#REF!</v>
      </c>
      <c r="D44" s="988" t="e">
        <f>IF(B44&lt;B$11+C$8,INDEX(#REF!,B44,11),0)</f>
        <v>#REF!</v>
      </c>
      <c r="E44" s="989" t="e">
        <f>IF(B44&lt;B$11+C$8,INDEX(#REF!,B44,12),0)</f>
        <v>#REF!</v>
      </c>
      <c r="F44" s="184" t="e">
        <f>IFA_Limits_2022!F44</f>
        <v>#N/A</v>
      </c>
      <c r="G44" s="184" t="e">
        <f>IFA_Limits_2022!G44</f>
        <v>#N/A</v>
      </c>
      <c r="H44" s="184" t="e">
        <f t="shared" si="0"/>
        <v>#N/A</v>
      </c>
      <c r="I44" s="184" t="e">
        <f t="shared" si="1"/>
        <v>#N/A</v>
      </c>
      <c r="J44" s="184" t="e">
        <f t="shared" si="2"/>
        <v>#N/A</v>
      </c>
      <c r="K44" s="184" t="e">
        <f t="shared" si="3"/>
        <v>#N/A</v>
      </c>
      <c r="L44" s="184" t="e">
        <f t="shared" si="4"/>
        <v>#N/A</v>
      </c>
      <c r="M44" s="184" t="e">
        <f t="shared" si="5"/>
        <v>#N/A</v>
      </c>
      <c r="N44" s="184" t="e">
        <f t="shared" si="6"/>
        <v>#N/A</v>
      </c>
      <c r="O44" s="184" t="e">
        <f t="shared" si="7"/>
        <v>#N/A</v>
      </c>
      <c r="P44" s="184" t="e">
        <f t="shared" si="8"/>
        <v>#N/A</v>
      </c>
      <c r="Q44" s="184" t="e">
        <f t="shared" si="9"/>
        <v>#N/A</v>
      </c>
    </row>
    <row r="45" spans="1:17" ht="13">
      <c r="A45" s="58" t="s">
        <v>4910</v>
      </c>
      <c r="B45" s="41" t="e">
        <f t="shared" si="10"/>
        <v>#REF!</v>
      </c>
      <c r="D45" s="988" t="e">
        <f>IF(B45&lt;B$11+C$8,INDEX(#REF!,B45,11),0)</f>
        <v>#REF!</v>
      </c>
      <c r="E45" s="989" t="e">
        <f>IF(B45&lt;B$11+C$8,INDEX(#REF!,B45,12),0)</f>
        <v>#REF!</v>
      </c>
      <c r="F45" s="184" t="e">
        <f>IFA_Limits_2022!F45</f>
        <v>#N/A</v>
      </c>
      <c r="G45" s="184" t="e">
        <f>IFA_Limits_2022!G45</f>
        <v>#N/A</v>
      </c>
      <c r="H45" s="184" t="e">
        <f t="shared" si="0"/>
        <v>#N/A</v>
      </c>
      <c r="I45" s="184" t="e">
        <f t="shared" si="1"/>
        <v>#N/A</v>
      </c>
      <c r="J45" s="184" t="e">
        <f t="shared" si="2"/>
        <v>#N/A</v>
      </c>
      <c r="K45" s="184" t="e">
        <f t="shared" si="3"/>
        <v>#N/A</v>
      </c>
      <c r="L45" s="184" t="e">
        <f t="shared" si="4"/>
        <v>#N/A</v>
      </c>
      <c r="M45" s="184" t="e">
        <f t="shared" si="5"/>
        <v>#N/A</v>
      </c>
      <c r="N45" s="184" t="e">
        <f t="shared" si="6"/>
        <v>#N/A</v>
      </c>
      <c r="O45" s="184" t="e">
        <f t="shared" si="7"/>
        <v>#N/A</v>
      </c>
      <c r="P45" s="184" t="e">
        <f t="shared" si="8"/>
        <v>#N/A</v>
      </c>
      <c r="Q45" s="184" t="e">
        <f t="shared" si="9"/>
        <v>#N/A</v>
      </c>
    </row>
    <row r="46" spans="1:17" ht="13">
      <c r="A46" s="58" t="s">
        <v>4910</v>
      </c>
      <c r="B46" s="41" t="e">
        <f t="shared" si="10"/>
        <v>#REF!</v>
      </c>
      <c r="D46" s="988" t="e">
        <f>IF(B46&lt;B$11+C$8,INDEX(#REF!,B46,11),0)</f>
        <v>#REF!</v>
      </c>
      <c r="E46" s="989" t="e">
        <f>IF(B46&lt;B$11+C$8,INDEX(#REF!,B46,12),0)</f>
        <v>#REF!</v>
      </c>
      <c r="F46" s="184" t="e">
        <f>IFA_Limits_2022!F46</f>
        <v>#N/A</v>
      </c>
      <c r="G46" s="184" t="e">
        <f>IFA_Limits_2022!G46</f>
        <v>#N/A</v>
      </c>
      <c r="H46" s="184" t="e">
        <f t="shared" si="0"/>
        <v>#N/A</v>
      </c>
      <c r="I46" s="184" t="e">
        <f t="shared" si="1"/>
        <v>#N/A</v>
      </c>
      <c r="J46" s="184" t="e">
        <f t="shared" si="2"/>
        <v>#N/A</v>
      </c>
      <c r="K46" s="184" t="e">
        <f t="shared" si="3"/>
        <v>#N/A</v>
      </c>
      <c r="L46" s="184" t="e">
        <f t="shared" si="4"/>
        <v>#N/A</v>
      </c>
      <c r="M46" s="184" t="e">
        <f t="shared" si="5"/>
        <v>#N/A</v>
      </c>
      <c r="N46" s="184" t="e">
        <f t="shared" si="6"/>
        <v>#N/A</v>
      </c>
      <c r="O46" s="184" t="e">
        <f t="shared" si="7"/>
        <v>#N/A</v>
      </c>
      <c r="P46" s="184" t="e">
        <f t="shared" si="8"/>
        <v>#N/A</v>
      </c>
      <c r="Q46" s="184" t="e">
        <f t="shared" si="9"/>
        <v>#N/A</v>
      </c>
    </row>
    <row r="47" spans="1:17" ht="13">
      <c r="A47" s="58" t="s">
        <v>4910</v>
      </c>
      <c r="B47" s="41" t="e">
        <f t="shared" si="10"/>
        <v>#REF!</v>
      </c>
      <c r="D47" s="988" t="e">
        <f>IF(B47&lt;B$11+C$8,INDEX(#REF!,B47,11),0)</f>
        <v>#REF!</v>
      </c>
      <c r="E47" s="989" t="e">
        <f>IF(B47&lt;B$11+C$8,INDEX(#REF!,B47,12),0)</f>
        <v>#REF!</v>
      </c>
      <c r="F47" s="184" t="e">
        <f>IFA_Limits_2022!F47</f>
        <v>#N/A</v>
      </c>
      <c r="G47" s="184" t="e">
        <f>IFA_Limits_2022!G47</f>
        <v>#N/A</v>
      </c>
      <c r="H47" s="184" t="e">
        <f t="shared" si="0"/>
        <v>#N/A</v>
      </c>
      <c r="I47" s="184" t="e">
        <f t="shared" si="1"/>
        <v>#N/A</v>
      </c>
      <c r="J47" s="184" t="e">
        <f t="shared" si="2"/>
        <v>#N/A</v>
      </c>
      <c r="K47" s="184" t="e">
        <f t="shared" si="3"/>
        <v>#N/A</v>
      </c>
      <c r="L47" s="184" t="e">
        <f t="shared" si="4"/>
        <v>#N/A</v>
      </c>
      <c r="M47" s="184" t="e">
        <f t="shared" si="5"/>
        <v>#N/A</v>
      </c>
      <c r="N47" s="184" t="e">
        <f t="shared" si="6"/>
        <v>#N/A</v>
      </c>
      <c r="O47" s="184" t="e">
        <f t="shared" si="7"/>
        <v>#N/A</v>
      </c>
      <c r="P47" s="184" t="e">
        <f t="shared" si="8"/>
        <v>#N/A</v>
      </c>
      <c r="Q47" s="184" t="e">
        <f t="shared" si="9"/>
        <v>#N/A</v>
      </c>
    </row>
    <row r="48" spans="1:17" ht="13">
      <c r="A48" s="58" t="s">
        <v>4910</v>
      </c>
      <c r="B48" s="41" t="e">
        <f t="shared" si="10"/>
        <v>#REF!</v>
      </c>
      <c r="D48" s="988" t="e">
        <f>IF(B48&lt;B$11+C$8,INDEX(#REF!,B48,11),0)</f>
        <v>#REF!</v>
      </c>
      <c r="E48" s="989" t="e">
        <f>IF(B48&lt;B$11+C$8,INDEX(#REF!,B48,12),0)</f>
        <v>#REF!</v>
      </c>
      <c r="F48" s="184" t="e">
        <f>IFA_Limits_2022!F48</f>
        <v>#N/A</v>
      </c>
      <c r="G48" s="184" t="e">
        <f>IFA_Limits_2022!G48</f>
        <v>#N/A</v>
      </c>
      <c r="H48" s="184" t="e">
        <f t="shared" si="0"/>
        <v>#N/A</v>
      </c>
      <c r="I48" s="184" t="e">
        <f t="shared" si="1"/>
        <v>#N/A</v>
      </c>
      <c r="J48" s="184" t="e">
        <f t="shared" si="2"/>
        <v>#N/A</v>
      </c>
      <c r="K48" s="184" t="e">
        <f t="shared" si="3"/>
        <v>#N/A</v>
      </c>
      <c r="L48" s="184" t="e">
        <f t="shared" si="4"/>
        <v>#N/A</v>
      </c>
      <c r="M48" s="184" t="e">
        <f t="shared" si="5"/>
        <v>#N/A</v>
      </c>
      <c r="N48" s="184" t="e">
        <f t="shared" si="6"/>
        <v>#N/A</v>
      </c>
      <c r="O48" s="184" t="e">
        <f t="shared" si="7"/>
        <v>#N/A</v>
      </c>
      <c r="P48" s="184" t="e">
        <f t="shared" si="8"/>
        <v>#N/A</v>
      </c>
      <c r="Q48" s="184" t="e">
        <f t="shared" si="9"/>
        <v>#N/A</v>
      </c>
    </row>
    <row r="49" spans="1:17" ht="13">
      <c r="A49" s="58" t="s">
        <v>4910</v>
      </c>
      <c r="B49" s="41" t="e">
        <f t="shared" ref="B49:B54" si="11">B48+1</f>
        <v>#REF!</v>
      </c>
      <c r="D49" s="988" t="e">
        <f>IF(B49&lt;B$11+C$8,INDEX(#REF!,B49,11),0)</f>
        <v>#REF!</v>
      </c>
      <c r="E49" s="989" t="e">
        <f>IF(B49&lt;B$11+C$8,INDEX(#REF!,B49,12),0)</f>
        <v>#REF!</v>
      </c>
      <c r="F49" s="184" t="e">
        <f>IFA_Limits_2022!F49</f>
        <v>#N/A</v>
      </c>
      <c r="G49" s="184" t="e">
        <f>IFA_Limits_2022!G49</f>
        <v>#N/A</v>
      </c>
      <c r="H49" s="184" t="e">
        <f t="shared" si="0"/>
        <v>#N/A</v>
      </c>
      <c r="I49" s="184" t="e">
        <f t="shared" si="1"/>
        <v>#N/A</v>
      </c>
      <c r="J49" s="184" t="e">
        <f t="shared" si="2"/>
        <v>#N/A</v>
      </c>
      <c r="K49" s="184" t="e">
        <f t="shared" si="3"/>
        <v>#N/A</v>
      </c>
      <c r="L49" s="184" t="e">
        <f t="shared" si="4"/>
        <v>#N/A</v>
      </c>
      <c r="M49" s="184" t="e">
        <f t="shared" si="5"/>
        <v>#N/A</v>
      </c>
      <c r="N49" s="184" t="e">
        <f t="shared" si="6"/>
        <v>#N/A</v>
      </c>
      <c r="O49" s="184" t="e">
        <f t="shared" si="7"/>
        <v>#N/A</v>
      </c>
      <c r="P49" s="184" t="e">
        <f t="shared" si="8"/>
        <v>#N/A</v>
      </c>
      <c r="Q49" s="184" t="e">
        <f t="shared" si="9"/>
        <v>#N/A</v>
      </c>
    </row>
    <row r="50" spans="1:17" ht="13">
      <c r="A50" s="58" t="s">
        <v>4910</v>
      </c>
      <c r="B50" s="41" t="e">
        <f t="shared" si="11"/>
        <v>#REF!</v>
      </c>
      <c r="D50" s="988" t="e">
        <f>IF(B50&lt;B$11+C$8,INDEX(#REF!,B50,11),0)</f>
        <v>#REF!</v>
      </c>
      <c r="E50" s="989" t="e">
        <f>IF(B50&lt;B$11+C$8,INDEX(#REF!,B50,12),0)</f>
        <v>#REF!</v>
      </c>
      <c r="F50" s="184" t="e">
        <f>IFA_Limits_2022!F50</f>
        <v>#N/A</v>
      </c>
      <c r="G50" s="184" t="e">
        <f>IFA_Limits_2022!G50</f>
        <v>#N/A</v>
      </c>
      <c r="H50" s="184" t="e">
        <f t="shared" si="0"/>
        <v>#N/A</v>
      </c>
      <c r="I50" s="184" t="e">
        <f t="shared" si="1"/>
        <v>#N/A</v>
      </c>
      <c r="J50" s="184" t="e">
        <f t="shared" si="2"/>
        <v>#N/A</v>
      </c>
      <c r="K50" s="184" t="e">
        <f t="shared" si="3"/>
        <v>#N/A</v>
      </c>
      <c r="L50" s="184" t="e">
        <f t="shared" si="4"/>
        <v>#N/A</v>
      </c>
      <c r="M50" s="184" t="e">
        <f t="shared" si="5"/>
        <v>#N/A</v>
      </c>
      <c r="N50" s="184" t="e">
        <f t="shared" si="6"/>
        <v>#N/A</v>
      </c>
      <c r="O50" s="184" t="e">
        <f t="shared" si="7"/>
        <v>#N/A</v>
      </c>
      <c r="P50" s="184" t="e">
        <f t="shared" si="8"/>
        <v>#N/A</v>
      </c>
      <c r="Q50" s="184" t="e">
        <f t="shared" si="9"/>
        <v>#N/A</v>
      </c>
    </row>
    <row r="51" spans="1:17" ht="13">
      <c r="A51" s="58" t="s">
        <v>4910</v>
      </c>
      <c r="B51" s="41" t="e">
        <f t="shared" si="11"/>
        <v>#REF!</v>
      </c>
      <c r="D51" s="988" t="e">
        <f>IF(B51&lt;B$11+C$8,INDEX(#REF!,B51,11),0)</f>
        <v>#REF!</v>
      </c>
      <c r="E51" s="989" t="e">
        <f>IF(B51&lt;B$11+C$8,INDEX(#REF!,B51,12),0)</f>
        <v>#REF!</v>
      </c>
      <c r="F51" s="184" t="e">
        <f>IFA_Limits_2022!F51</f>
        <v>#N/A</v>
      </c>
      <c r="G51" s="184" t="e">
        <f>IFA_Limits_2022!G51</f>
        <v>#N/A</v>
      </c>
      <c r="H51" s="184" t="e">
        <f t="shared" si="0"/>
        <v>#N/A</v>
      </c>
      <c r="I51" s="184" t="e">
        <f t="shared" si="1"/>
        <v>#N/A</v>
      </c>
      <c r="J51" s="184" t="e">
        <f t="shared" si="2"/>
        <v>#N/A</v>
      </c>
      <c r="K51" s="184" t="e">
        <f t="shared" si="3"/>
        <v>#N/A</v>
      </c>
      <c r="L51" s="184" t="e">
        <f t="shared" si="4"/>
        <v>#N/A</v>
      </c>
      <c r="M51" s="184" t="e">
        <f t="shared" si="5"/>
        <v>#N/A</v>
      </c>
      <c r="N51" s="184" t="e">
        <f t="shared" si="6"/>
        <v>#N/A</v>
      </c>
      <c r="O51" s="184" t="e">
        <f t="shared" si="7"/>
        <v>#N/A</v>
      </c>
      <c r="P51" s="184" t="e">
        <f t="shared" si="8"/>
        <v>#N/A</v>
      </c>
      <c r="Q51" s="184" t="e">
        <f t="shared" si="9"/>
        <v>#N/A</v>
      </c>
    </row>
    <row r="52" spans="1:17" ht="13">
      <c r="A52" s="58" t="s">
        <v>4910</v>
      </c>
      <c r="B52" s="41" t="e">
        <f t="shared" si="11"/>
        <v>#REF!</v>
      </c>
      <c r="D52" s="988" t="e">
        <f>IF(B52&lt;B$11+C$8,INDEX(#REF!,B52,11),0)</f>
        <v>#REF!</v>
      </c>
      <c r="E52" s="989" t="e">
        <f>IF(B52&lt;B$11+C$8,INDEX(#REF!,B52,12),0)</f>
        <v>#REF!</v>
      </c>
      <c r="F52" s="184" t="e">
        <f>IFA_Limits_2022!F52</f>
        <v>#N/A</v>
      </c>
      <c r="G52" s="184" t="e">
        <f>IFA_Limits_2022!G52</f>
        <v>#N/A</v>
      </c>
      <c r="H52" s="184" t="e">
        <f t="shared" si="0"/>
        <v>#N/A</v>
      </c>
      <c r="I52" s="184" t="e">
        <f t="shared" si="1"/>
        <v>#N/A</v>
      </c>
      <c r="J52" s="184" t="e">
        <f t="shared" si="2"/>
        <v>#N/A</v>
      </c>
      <c r="K52" s="184" t="e">
        <f t="shared" si="3"/>
        <v>#N/A</v>
      </c>
      <c r="L52" s="184" t="e">
        <f t="shared" si="4"/>
        <v>#N/A</v>
      </c>
      <c r="M52" s="184" t="e">
        <f t="shared" si="5"/>
        <v>#N/A</v>
      </c>
      <c r="N52" s="184" t="e">
        <f t="shared" si="6"/>
        <v>#N/A</v>
      </c>
      <c r="O52" s="184" t="e">
        <f t="shared" si="7"/>
        <v>#N/A</v>
      </c>
      <c r="P52" s="184" t="e">
        <f t="shared" si="8"/>
        <v>#N/A</v>
      </c>
      <c r="Q52" s="184" t="e">
        <f t="shared" si="9"/>
        <v>#N/A</v>
      </c>
    </row>
    <row r="53" spans="1:17" ht="13">
      <c r="A53" s="58" t="s">
        <v>4910</v>
      </c>
      <c r="B53" s="41" t="e">
        <f t="shared" si="11"/>
        <v>#REF!</v>
      </c>
      <c r="D53" s="988" t="e">
        <f>IF(B53&lt;B$11+C$8,INDEX(#REF!,B53,11),0)</f>
        <v>#REF!</v>
      </c>
      <c r="E53" s="989" t="e">
        <f>IF(B53&lt;B$11+C$8,INDEX(#REF!,B53,12),0)</f>
        <v>#REF!</v>
      </c>
      <c r="F53" s="184" t="e">
        <f>IFA_Limits_2022!F53</f>
        <v>#N/A</v>
      </c>
      <c r="G53" s="184" t="e">
        <f>IFA_Limits_2022!G53</f>
        <v>#N/A</v>
      </c>
      <c r="H53" s="184" t="e">
        <f t="shared" si="0"/>
        <v>#N/A</v>
      </c>
      <c r="I53" s="184" t="e">
        <f t="shared" si="1"/>
        <v>#N/A</v>
      </c>
      <c r="J53" s="184" t="e">
        <f t="shared" si="2"/>
        <v>#N/A</v>
      </c>
      <c r="K53" s="184" t="e">
        <f t="shared" si="3"/>
        <v>#N/A</v>
      </c>
      <c r="L53" s="184" t="e">
        <f t="shared" si="4"/>
        <v>#N/A</v>
      </c>
      <c r="M53" s="184" t="e">
        <f t="shared" si="5"/>
        <v>#N/A</v>
      </c>
      <c r="N53" s="184" t="e">
        <f t="shared" si="6"/>
        <v>#N/A</v>
      </c>
      <c r="O53" s="184" t="e">
        <f t="shared" si="7"/>
        <v>#N/A</v>
      </c>
      <c r="P53" s="184" t="e">
        <f t="shared" si="8"/>
        <v>#N/A</v>
      </c>
      <c r="Q53" s="184" t="e">
        <f t="shared" si="9"/>
        <v>#N/A</v>
      </c>
    </row>
    <row r="54" spans="1:17" ht="13">
      <c r="A54" s="58" t="s">
        <v>4910</v>
      </c>
      <c r="B54" s="41" t="e">
        <f t="shared" si="11"/>
        <v>#REF!</v>
      </c>
      <c r="D54" s="988" t="e">
        <f>IF(B54&lt;B$11+C$8,INDEX(#REF!,B54,11),0)</f>
        <v>#REF!</v>
      </c>
      <c r="E54" s="989" t="e">
        <f>IF(B54&lt;B$11+C$8,INDEX(#REF!,B54,12),0)</f>
        <v>#REF!</v>
      </c>
      <c r="F54" s="184" t="e">
        <f>IFA_Limits_2022!F54</f>
        <v>#N/A</v>
      </c>
      <c r="G54" s="184" t="e">
        <f>IFA_Limits_2022!G54</f>
        <v>#N/A</v>
      </c>
      <c r="H54" s="184" t="e">
        <f t="shared" si="0"/>
        <v>#N/A</v>
      </c>
      <c r="I54" s="184" t="e">
        <f t="shared" si="1"/>
        <v>#N/A</v>
      </c>
      <c r="J54" s="184" t="e">
        <f t="shared" si="2"/>
        <v>#N/A</v>
      </c>
      <c r="K54" s="184" t="e">
        <f t="shared" si="3"/>
        <v>#N/A</v>
      </c>
      <c r="L54" s="184" t="e">
        <f t="shared" si="4"/>
        <v>#N/A</v>
      </c>
      <c r="M54" s="184" t="e">
        <f t="shared" si="5"/>
        <v>#N/A</v>
      </c>
      <c r="N54" s="184" t="e">
        <f t="shared" si="6"/>
        <v>#N/A</v>
      </c>
      <c r="O54" s="184" t="e">
        <f t="shared" si="7"/>
        <v>#N/A</v>
      </c>
      <c r="P54" s="184" t="e">
        <f t="shared" si="8"/>
        <v>#N/A</v>
      </c>
      <c r="Q54" s="184" t="e">
        <f t="shared" si="9"/>
        <v>#N/A</v>
      </c>
    </row>
    <row r="55" spans="1:17">
      <c r="A55" s="472" t="s">
        <v>4912</v>
      </c>
      <c r="B55" s="243"/>
      <c r="C55" s="243"/>
      <c r="D55" s="733">
        <f>SUMIF($E11:$E54,"599",D11:D54)</f>
        <v>0</v>
      </c>
      <c r="F55" s="708">
        <f>SUMIF($G11:$G54,"599",F11:F54)</f>
        <v>0</v>
      </c>
      <c r="H55" s="3040">
        <f>SUMIF($I11:$I54,"599",H11:H54)</f>
        <v>0</v>
      </c>
      <c r="J55" s="706">
        <f>SUMIF($K11:$K54,"599",J11:J54)</f>
        <v>0</v>
      </c>
      <c r="L55" s="3042">
        <f>SUMIF($M11:$M54,"599",L11:L54)</f>
        <v>0</v>
      </c>
      <c r="N55" s="3038">
        <f>SUMIF($O11:$O54,"599",N11:N54)</f>
        <v>0</v>
      </c>
      <c r="P55" s="3036">
        <f>SUMIF($Q11:$Q54,"599",P11:P54)</f>
        <v>0</v>
      </c>
    </row>
    <row r="56" spans="1:17">
      <c r="A56" s="472" t="s">
        <v>4911</v>
      </c>
      <c r="D56" s="136">
        <f>SUMIF($E11:$E54,"199",D11:D54)</f>
        <v>0</v>
      </c>
      <c r="F56" s="709">
        <f>SUMIF($G11:$G54,"199",F11:F54)</f>
        <v>0</v>
      </c>
      <c r="H56" s="3041">
        <f>SUMIF($I11:$I54,"199",H11:H54)</f>
        <v>0</v>
      </c>
      <c r="J56" s="707">
        <f>SUMIF($K11:$K54,"199",J11:J54)</f>
        <v>0</v>
      </c>
      <c r="L56" s="3043">
        <f>SUMIF($M11:$M54,"199",L11:L54)</f>
        <v>0</v>
      </c>
      <c r="N56" s="3039">
        <f>SUMIF($O11:$O54,"199",N11:N54)</f>
        <v>0</v>
      </c>
      <c r="P56" s="3037">
        <f>SUMIF($Q11:$Q54,"199",P11:P54)</f>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33"/>
  </sheetPr>
  <dimension ref="A1:O100"/>
  <sheetViews>
    <sheetView workbookViewId="0">
      <selection activeCell="D1" sqref="D1"/>
    </sheetView>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3" style="25" customWidth="1"/>
    <col min="9" max="10" width="17.54296875" style="25" customWidth="1"/>
    <col min="11" max="15" width="9.1796875" style="25" customWidth="1"/>
  </cols>
  <sheetData>
    <row r="1" spans="1:15">
      <c r="A1" s="245" t="s">
        <v>2653</v>
      </c>
      <c r="C1" s="427"/>
      <c r="D1" s="1816" t="str">
        <f>'Data Entry - SOF'!M1</f>
        <v>Release 2</v>
      </c>
      <c r="E1" s="426"/>
      <c r="F1" s="426"/>
      <c r="G1" s="426"/>
    </row>
    <row r="2" spans="1:15">
      <c r="A2" s="325" t="s">
        <v>7917</v>
      </c>
      <c r="D2" s="1817">
        <f>'Data Entry - SOF'!M2</f>
        <v>44930</v>
      </c>
      <c r="E2" s="58"/>
      <c r="F2" s="58"/>
      <c r="G2" s="58"/>
    </row>
    <row r="3" spans="1:15" ht="15.5">
      <c r="D3" s="232"/>
      <c r="E3" s="47"/>
      <c r="F3" s="47"/>
      <c r="G3" s="47"/>
    </row>
    <row r="4" spans="1:15" s="247" customFormat="1" ht="15.5">
      <c r="A4" s="246" t="s">
        <v>5928</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673" t="s">
        <v>9066</v>
      </c>
      <c r="F7" s="232"/>
      <c r="G7" s="232"/>
      <c r="H7" s="232"/>
      <c r="I7" s="232"/>
      <c r="J7" s="232"/>
      <c r="K7" s="232"/>
      <c r="L7" s="232"/>
      <c r="M7" s="232"/>
      <c r="N7" s="232"/>
      <c r="O7" s="232"/>
    </row>
    <row r="8" spans="1:15" s="247" customFormat="1" ht="18">
      <c r="A8" s="357" t="s">
        <v>2554</v>
      </c>
      <c r="B8" s="564"/>
      <c r="C8" s="564"/>
      <c r="D8" s="346" t="s">
        <v>2558</v>
      </c>
      <c r="E8" s="1009"/>
      <c r="F8" s="566"/>
      <c r="G8" s="566"/>
      <c r="H8" s="232"/>
      <c r="I8" s="232"/>
      <c r="J8" s="232"/>
      <c r="K8" s="232"/>
      <c r="L8" s="232"/>
      <c r="M8" s="232"/>
      <c r="N8" s="232"/>
      <c r="O8" s="232"/>
    </row>
    <row r="9" spans="1:15" s="247" customFormat="1" ht="18">
      <c r="A9" s="607" t="s">
        <v>2555</v>
      </c>
      <c r="B9" s="620"/>
      <c r="C9" s="620"/>
      <c r="D9" s="347" t="s">
        <v>2559</v>
      </c>
      <c r="E9" s="1010" t="s">
        <v>7427</v>
      </c>
      <c r="F9" s="566"/>
      <c r="G9" s="566"/>
      <c r="H9" s="232"/>
      <c r="I9" s="232"/>
      <c r="J9" s="232"/>
      <c r="K9" s="232"/>
      <c r="L9" s="232"/>
      <c r="M9" s="232"/>
      <c r="N9" s="232"/>
      <c r="O9" s="232"/>
    </row>
    <row r="10" spans="1:15" s="247" customFormat="1" ht="15.5">
      <c r="A10" s="250" t="s">
        <v>2063</v>
      </c>
      <c r="B10" s="251" t="s">
        <v>2556</v>
      </c>
      <c r="C10" s="251"/>
      <c r="D10" s="1045">
        <f>'Data Entry - SOF'!C19</f>
        <v>0</v>
      </c>
      <c r="E10" s="1003">
        <f>D10</f>
        <v>0</v>
      </c>
      <c r="F10" s="998"/>
      <c r="G10" s="998"/>
      <c r="H10" s="232"/>
      <c r="I10" s="232"/>
      <c r="J10" s="232"/>
      <c r="K10" s="232"/>
      <c r="L10" s="232"/>
      <c r="M10" s="232"/>
      <c r="N10" s="232"/>
      <c r="O10" s="232"/>
    </row>
    <row r="11" spans="1:15" s="247" customFormat="1" ht="15.5">
      <c r="A11" s="250" t="s">
        <v>2064</v>
      </c>
      <c r="B11" s="410" t="s">
        <v>2847</v>
      </c>
      <c r="C11" s="251"/>
      <c r="D11" s="1045">
        <f>'Calc Data'!D12</f>
        <v>0</v>
      </c>
      <c r="E11" s="1003">
        <f t="shared" ref="E11:E13" si="0">D11</f>
        <v>0</v>
      </c>
      <c r="F11" s="998"/>
      <c r="G11" s="998"/>
      <c r="H11" s="232"/>
      <c r="I11" s="232"/>
      <c r="J11" s="232"/>
      <c r="K11" s="232"/>
      <c r="L11" s="232"/>
      <c r="M11" s="232"/>
      <c r="N11" s="232"/>
      <c r="O11" s="232"/>
    </row>
    <row r="12" spans="1:15" s="247" customFormat="1" ht="15.5">
      <c r="A12" s="250" t="s">
        <v>2065</v>
      </c>
      <c r="B12" s="411" t="s">
        <v>7062</v>
      </c>
      <c r="C12" s="251"/>
      <c r="D12" s="1045">
        <f>'Calc Data'!D8</f>
        <v>0</v>
      </c>
      <c r="E12" s="1003">
        <f t="shared" si="0"/>
        <v>0</v>
      </c>
      <c r="F12" s="998"/>
      <c r="G12" s="998"/>
      <c r="H12" s="232"/>
      <c r="I12" s="232"/>
      <c r="J12" s="232"/>
      <c r="K12" s="232"/>
      <c r="L12" s="232"/>
      <c r="M12" s="232"/>
      <c r="N12" s="232"/>
      <c r="O12" s="232"/>
    </row>
    <row r="13" spans="1:15" s="247" customFormat="1" ht="15.5">
      <c r="A13" s="250" t="s">
        <v>862</v>
      </c>
      <c r="B13" s="251" t="s">
        <v>778</v>
      </c>
      <c r="C13" s="251"/>
      <c r="D13" s="1045">
        <f>'Data Entry - SOF'!C36+'Data Entry - SOF'!C37+'Data Entry - SOF'!C38</f>
        <v>0</v>
      </c>
      <c r="E13" s="1003">
        <f t="shared" si="0"/>
        <v>0</v>
      </c>
      <c r="F13" s="998"/>
      <c r="G13" s="998"/>
      <c r="H13" s="232"/>
      <c r="I13" s="232"/>
      <c r="J13" s="232"/>
      <c r="K13" s="232"/>
      <c r="L13" s="232"/>
      <c r="M13" s="232"/>
      <c r="N13" s="232"/>
      <c r="O13" s="232"/>
    </row>
    <row r="14" spans="1:15" s="247" customFormat="1" ht="15.5">
      <c r="A14" s="250" t="s">
        <v>863</v>
      </c>
      <c r="B14" s="411" t="s">
        <v>2848</v>
      </c>
      <c r="C14" s="251"/>
      <c r="D14" s="1045" t="e">
        <f>'SOF2122-HB3'!L62</f>
        <v>#N/A</v>
      </c>
      <c r="E14" s="1003" t="e">
        <f>'SOF2122-HB3'!L62</f>
        <v>#N/A</v>
      </c>
      <c r="F14" s="998"/>
      <c r="G14" s="998"/>
      <c r="H14" s="232"/>
      <c r="I14" s="232"/>
      <c r="J14" s="232"/>
      <c r="K14" s="232"/>
      <c r="L14" s="232"/>
      <c r="M14" s="232"/>
      <c r="N14" s="232"/>
      <c r="O14" s="232"/>
    </row>
    <row r="15" spans="1:15" s="247" customFormat="1" ht="18">
      <c r="A15" s="607" t="s">
        <v>2560</v>
      </c>
      <c r="B15" s="620"/>
      <c r="C15" s="620"/>
      <c r="D15" s="1031"/>
      <c r="E15" s="1008"/>
      <c r="F15" s="611"/>
      <c r="G15" s="611"/>
      <c r="H15" s="232"/>
      <c r="I15" s="232"/>
      <c r="J15" s="232"/>
      <c r="K15" s="232"/>
      <c r="L15" s="232"/>
      <c r="M15" s="232"/>
      <c r="N15" s="232"/>
      <c r="O15" s="232"/>
    </row>
    <row r="16" spans="1:15" s="247" customFormat="1" ht="15.5">
      <c r="A16" s="250" t="s">
        <v>865</v>
      </c>
      <c r="B16" s="251" t="s">
        <v>7905</v>
      </c>
      <c r="C16" s="251"/>
      <c r="D16" s="1046">
        <f>'Data Entry - SOF'!C138</f>
        <v>0</v>
      </c>
      <c r="E16" s="1004">
        <f>D16</f>
        <v>0</v>
      </c>
      <c r="F16" s="369"/>
      <c r="G16" s="369"/>
      <c r="H16" s="232"/>
      <c r="I16" s="232"/>
      <c r="J16" s="232"/>
      <c r="K16" s="232"/>
      <c r="L16" s="232"/>
      <c r="M16" s="232"/>
      <c r="N16" s="232"/>
      <c r="O16" s="232"/>
    </row>
    <row r="17" spans="1:15" s="247" customFormat="1" ht="15.5">
      <c r="A17" s="250" t="s">
        <v>866</v>
      </c>
      <c r="B17" s="251" t="s">
        <v>8150</v>
      </c>
      <c r="C17" s="1685"/>
      <c r="D17" s="1046">
        <f>'Data Entry - SOF'!C63</f>
        <v>0</v>
      </c>
      <c r="E17" s="1688"/>
      <c r="F17" s="369"/>
      <c r="G17" s="369"/>
      <c r="H17" s="232"/>
      <c r="I17" s="232"/>
      <c r="J17" s="232"/>
      <c r="K17" s="232"/>
      <c r="L17" s="232"/>
      <c r="M17" s="232"/>
      <c r="N17" s="232"/>
      <c r="O17" s="232"/>
    </row>
    <row r="18" spans="1:15" s="247" customFormat="1" ht="18">
      <c r="A18" s="607" t="s">
        <v>2561</v>
      </c>
      <c r="B18" s="620"/>
      <c r="C18" s="620"/>
      <c r="D18" s="1031"/>
      <c r="E18" s="1008"/>
      <c r="F18" s="611"/>
      <c r="G18" s="611"/>
      <c r="H18" s="232"/>
      <c r="I18" s="232"/>
      <c r="J18" s="232"/>
      <c r="K18" s="232"/>
      <c r="L18" s="232"/>
      <c r="M18" s="232"/>
      <c r="N18" s="232"/>
      <c r="O18" s="232"/>
    </row>
    <row r="19" spans="1:15" s="247" customFormat="1" ht="15.5">
      <c r="A19" s="250" t="s">
        <v>867</v>
      </c>
      <c r="B19" s="251" t="s">
        <v>5929</v>
      </c>
      <c r="C19" s="1678"/>
      <c r="D19" s="1723">
        <f>'Data Entry - SOF'!C74</f>
        <v>0</v>
      </c>
      <c r="E19" s="1690"/>
      <c r="F19" s="999"/>
      <c r="G19" s="999"/>
      <c r="H19" s="232"/>
      <c r="I19" s="232"/>
      <c r="J19" s="232"/>
      <c r="K19" s="232"/>
      <c r="L19" s="232"/>
      <c r="M19" s="232"/>
      <c r="N19" s="232"/>
      <c r="O19" s="232"/>
    </row>
    <row r="20" spans="1:15" s="247" customFormat="1" ht="15.5">
      <c r="A20" s="250" t="s">
        <v>109</v>
      </c>
      <c r="B20" s="251" t="s">
        <v>8151</v>
      </c>
      <c r="C20" s="1678"/>
      <c r="D20" s="2968">
        <f>IF(ISNA('DE1'!E80),0,'DE1'!E80)</f>
        <v>0</v>
      </c>
      <c r="E20" s="1690"/>
      <c r="F20" s="999"/>
      <c r="G20" s="999"/>
      <c r="H20" s="232"/>
      <c r="I20" s="232"/>
      <c r="J20" s="232"/>
      <c r="K20" s="232"/>
      <c r="L20" s="232"/>
      <c r="M20" s="232"/>
      <c r="N20" s="232"/>
      <c r="O20" s="232"/>
    </row>
    <row r="21" spans="1:15" s="247" customFormat="1" ht="15.5">
      <c r="A21" s="250" t="s">
        <v>110</v>
      </c>
      <c r="B21" s="251" t="s">
        <v>8152</v>
      </c>
      <c r="C21" s="1678"/>
      <c r="D21" s="1722">
        <f>'HB3-RollbackRates'!G5</f>
        <v>0</v>
      </c>
      <c r="E21" s="1690"/>
      <c r="F21" s="999"/>
      <c r="G21" s="999"/>
      <c r="H21" s="232"/>
      <c r="I21" s="232"/>
      <c r="J21" s="232"/>
      <c r="K21" s="232"/>
      <c r="L21" s="232"/>
      <c r="M21" s="232"/>
      <c r="N21" s="232"/>
      <c r="O21" s="232"/>
    </row>
    <row r="22" spans="1:15" s="247" customFormat="1" ht="15.5">
      <c r="A22" s="250" t="s">
        <v>111</v>
      </c>
      <c r="B22" s="1770" t="s">
        <v>9242</v>
      </c>
      <c r="C22" s="251"/>
      <c r="D22" s="985">
        <f>'Data Entry - SOF'!C75</f>
        <v>0</v>
      </c>
      <c r="E22" s="1005" t="e">
        <f>'Data Entry - SOF'!#REF!</f>
        <v>#REF!</v>
      </c>
      <c r="F22" s="409"/>
      <c r="G22" s="409"/>
      <c r="H22" s="232"/>
      <c r="I22" s="232"/>
      <c r="J22" s="232"/>
      <c r="K22" s="232"/>
      <c r="L22" s="232"/>
      <c r="M22" s="232"/>
      <c r="N22" s="232"/>
      <c r="O22" s="232"/>
    </row>
    <row r="23" spans="1:15" s="247" customFormat="1" ht="15.5">
      <c r="A23" s="250" t="s">
        <v>112</v>
      </c>
      <c r="B23" s="251" t="s">
        <v>8153</v>
      </c>
      <c r="C23" s="1685"/>
      <c r="D23" s="1722" t="str">
        <f>'Data Entry - SOF'!C79</f>
        <v>Not Needed</v>
      </c>
      <c r="E23" s="1686"/>
      <c r="F23" s="409"/>
      <c r="G23" s="409"/>
      <c r="H23" s="232"/>
      <c r="I23" s="232"/>
      <c r="J23" s="232"/>
      <c r="K23" s="232"/>
      <c r="L23" s="232"/>
      <c r="M23" s="232"/>
      <c r="N23" s="232"/>
      <c r="O23" s="232"/>
    </row>
    <row r="24" spans="1:15" s="247" customFormat="1" ht="15.5">
      <c r="A24" s="250" t="s">
        <v>1424</v>
      </c>
      <c r="B24" s="251" t="s">
        <v>5930</v>
      </c>
      <c r="C24" s="251"/>
      <c r="D24" s="985">
        <f>'Data Entry - SOF'!C80</f>
        <v>0</v>
      </c>
      <c r="E24" s="1005">
        <f>D24</f>
        <v>0</v>
      </c>
      <c r="F24" s="409"/>
      <c r="G24" s="409"/>
      <c r="H24" s="232"/>
      <c r="I24" s="232"/>
      <c r="J24" s="232"/>
      <c r="K24" s="232"/>
      <c r="L24" s="232"/>
      <c r="M24" s="232"/>
      <c r="N24" s="232"/>
      <c r="O24" s="232"/>
    </row>
    <row r="25" spans="1:15" s="247" customFormat="1" ht="15.5">
      <c r="A25" s="250" t="s">
        <v>6</v>
      </c>
      <c r="B25" s="251" t="s">
        <v>5931</v>
      </c>
      <c r="C25" s="251"/>
      <c r="D25" s="985">
        <f>D22+D24</f>
        <v>0</v>
      </c>
      <c r="E25" s="1005"/>
      <c r="F25" s="409"/>
      <c r="G25" s="409"/>
      <c r="H25" s="232"/>
      <c r="I25" s="232"/>
      <c r="J25" s="232"/>
      <c r="K25" s="232"/>
      <c r="L25" s="232"/>
      <c r="M25" s="232"/>
      <c r="N25" s="232"/>
      <c r="O25" s="232"/>
    </row>
    <row r="26" spans="1:15" s="247" customFormat="1" ht="15.5">
      <c r="A26" s="250" t="s">
        <v>2109</v>
      </c>
      <c r="B26" s="251" t="s">
        <v>5932</v>
      </c>
      <c r="C26" s="251"/>
      <c r="D26" s="2409" t="s">
        <v>1678</v>
      </c>
      <c r="E26" s="1005"/>
      <c r="F26" s="409"/>
      <c r="G26" s="409"/>
      <c r="H26" s="232"/>
      <c r="I26" s="232"/>
      <c r="J26" s="232"/>
      <c r="K26" s="232"/>
      <c r="L26" s="232"/>
      <c r="M26" s="232"/>
      <c r="N26" s="232"/>
      <c r="O26" s="232"/>
    </row>
    <row r="27" spans="1:15" s="247" customFormat="1" ht="18">
      <c r="A27" s="607" t="s">
        <v>2568</v>
      </c>
      <c r="B27" s="620"/>
      <c r="C27" s="620"/>
      <c r="D27" s="1031"/>
      <c r="E27" s="1008"/>
      <c r="F27" s="611"/>
      <c r="G27" s="611"/>
      <c r="H27" s="232"/>
      <c r="I27" s="232"/>
      <c r="J27" s="232"/>
      <c r="K27" s="232"/>
      <c r="L27" s="232"/>
      <c r="M27" s="232"/>
      <c r="N27" s="232"/>
      <c r="O27" s="232"/>
    </row>
    <row r="28" spans="1:15" s="247" customFormat="1" ht="15.5">
      <c r="A28" s="250" t="s">
        <v>2110</v>
      </c>
      <c r="B28" s="411" t="s">
        <v>8118</v>
      </c>
      <c r="C28" s="268"/>
      <c r="D28" s="437">
        <f>Assumptions!H136</f>
        <v>6160</v>
      </c>
      <c r="E28" s="1005"/>
      <c r="F28" s="409"/>
      <c r="G28" s="409"/>
      <c r="H28" s="232"/>
      <c r="I28" s="232"/>
      <c r="J28" s="232"/>
      <c r="K28" s="232"/>
      <c r="L28" s="232"/>
      <c r="M28" s="232"/>
      <c r="N28" s="232"/>
      <c r="O28" s="232"/>
    </row>
    <row r="29" spans="1:15" s="247" customFormat="1" ht="15.5">
      <c r="A29" s="250" t="s">
        <v>2562</v>
      </c>
      <c r="B29" s="1693" t="s">
        <v>8119</v>
      </c>
      <c r="C29" s="1692"/>
      <c r="D29" s="1724">
        <f>'Data Entry - SOF'!C154</f>
        <v>0</v>
      </c>
      <c r="E29" s="1686"/>
      <c r="F29" s="409"/>
      <c r="G29" s="409"/>
      <c r="H29" s="232"/>
      <c r="I29" s="232"/>
      <c r="J29" s="232"/>
      <c r="K29" s="232"/>
      <c r="L29" s="232"/>
      <c r="M29" s="232"/>
      <c r="N29" s="232"/>
      <c r="O29" s="232"/>
    </row>
    <row r="30" spans="1:15" s="247" customFormat="1" ht="15.5">
      <c r="A30" s="250" t="s">
        <v>2563</v>
      </c>
      <c r="B30" s="251" t="s">
        <v>2574</v>
      </c>
      <c r="C30" s="251"/>
      <c r="D30" s="1047">
        <f>Assumptions!H141</f>
        <v>510.89</v>
      </c>
      <c r="E30" s="1006">
        <f>D30</f>
        <v>510.89</v>
      </c>
      <c r="F30" s="1000"/>
      <c r="G30" s="1000"/>
      <c r="H30" s="232"/>
      <c r="I30" s="232"/>
      <c r="J30" s="232"/>
      <c r="K30" s="232"/>
      <c r="L30" s="232"/>
      <c r="M30" s="232"/>
      <c r="N30" s="232"/>
      <c r="O30" s="232"/>
    </row>
    <row r="31" spans="1:15" s="247" customFormat="1" ht="18">
      <c r="A31" s="621" t="s">
        <v>2594</v>
      </c>
      <c r="B31" s="620"/>
      <c r="C31" s="620"/>
      <c r="D31" s="1031"/>
      <c r="E31" s="1008"/>
      <c r="F31" s="611"/>
      <c r="G31" s="611"/>
      <c r="H31" s="232"/>
      <c r="I31" s="232"/>
      <c r="J31" s="232"/>
      <c r="K31" s="232"/>
      <c r="L31" s="232"/>
      <c r="M31" s="232"/>
      <c r="N31" s="232"/>
      <c r="O31" s="232"/>
    </row>
    <row r="32" spans="1:15" s="247" customFormat="1" ht="18">
      <c r="A32" s="621" t="s">
        <v>8120</v>
      </c>
      <c r="B32" s="621"/>
      <c r="C32" s="620"/>
      <c r="D32" s="1031"/>
      <c r="E32" s="1008"/>
      <c r="F32" s="611"/>
      <c r="G32" s="611"/>
      <c r="H32" s="232"/>
      <c r="I32" s="232"/>
      <c r="J32" s="232"/>
      <c r="K32" s="232"/>
      <c r="L32" s="232"/>
      <c r="M32" s="232"/>
      <c r="N32" s="232"/>
      <c r="O32" s="232"/>
    </row>
    <row r="33" spans="1:15" s="247" customFormat="1" ht="15.5">
      <c r="A33" s="250" t="s">
        <v>2564</v>
      </c>
      <c r="B33" s="251" t="s">
        <v>8121</v>
      </c>
      <c r="C33" s="251"/>
      <c r="D33" s="985">
        <f>'SOF2122-HB3'!I20</f>
        <v>0</v>
      </c>
      <c r="E33" s="1005">
        <f>'SOF2122-HB3'!I20</f>
        <v>0</v>
      </c>
      <c r="F33" s="409"/>
      <c r="G33" s="409"/>
      <c r="H33" s="232"/>
      <c r="I33" s="232"/>
      <c r="J33" s="232"/>
      <c r="K33" s="232"/>
      <c r="L33" s="232"/>
      <c r="M33" s="232"/>
      <c r="N33" s="232"/>
      <c r="O33" s="232"/>
    </row>
    <row r="34" spans="1:15" s="247" customFormat="1" ht="15.5">
      <c r="A34" s="250" t="s">
        <v>2565</v>
      </c>
      <c r="B34" s="1685" t="s">
        <v>8122</v>
      </c>
      <c r="C34" s="1685"/>
      <c r="D34" s="1691">
        <f>'SOF2122-HB3'!I21</f>
        <v>0</v>
      </c>
      <c r="E34" s="1686"/>
      <c r="F34" s="409"/>
      <c r="G34" s="409"/>
      <c r="H34" s="232"/>
      <c r="I34" s="232"/>
      <c r="J34" s="232"/>
      <c r="K34" s="232"/>
      <c r="L34" s="232"/>
      <c r="M34" s="232"/>
      <c r="N34" s="232"/>
      <c r="O34" s="232"/>
    </row>
    <row r="35" spans="1:15" s="247" customFormat="1" ht="15.5">
      <c r="A35" s="250" t="s">
        <v>2566</v>
      </c>
      <c r="B35" s="251" t="s">
        <v>8123</v>
      </c>
      <c r="C35" s="251"/>
      <c r="D35" s="985">
        <f>SUM('SOF2122-HB3'!I22:I28)</f>
        <v>0</v>
      </c>
      <c r="E35" s="1005">
        <f>'SOF2122-HB3'!I167</f>
        <v>0</v>
      </c>
      <c r="F35" s="409"/>
      <c r="G35" s="409"/>
      <c r="H35" s="232"/>
      <c r="I35" s="232"/>
      <c r="J35" s="232"/>
      <c r="K35" s="232"/>
      <c r="L35" s="232"/>
      <c r="M35" s="232"/>
      <c r="N35" s="232"/>
      <c r="O35" s="232"/>
    </row>
    <row r="36" spans="1:15" s="247" customFormat="1" ht="15.5">
      <c r="A36" s="250" t="s">
        <v>2567</v>
      </c>
      <c r="B36" s="1685" t="s">
        <v>8269</v>
      </c>
      <c r="C36" s="1685"/>
      <c r="D36" s="1691">
        <f>'SOF2122-HB3'!I46</f>
        <v>0</v>
      </c>
      <c r="E36" s="1686"/>
      <c r="F36" s="409"/>
      <c r="G36" s="409"/>
      <c r="H36" s="232"/>
      <c r="I36" s="232"/>
      <c r="J36" s="232"/>
      <c r="K36" s="232"/>
      <c r="L36" s="232"/>
      <c r="M36" s="232"/>
      <c r="N36" s="232"/>
      <c r="O36" s="232"/>
    </row>
    <row r="37" spans="1:15" s="247" customFormat="1" ht="15.5">
      <c r="A37" s="250" t="s">
        <v>2569</v>
      </c>
      <c r="B37" s="251" t="s">
        <v>8124</v>
      </c>
      <c r="C37" s="251"/>
      <c r="D37" s="985">
        <f>SUM('SOF2122-HB3'!I36:I42)</f>
        <v>0</v>
      </c>
      <c r="E37" s="1005" t="e">
        <f>'SOF2122-HB3'!I170</f>
        <v>#N/A</v>
      </c>
      <c r="F37" s="409"/>
      <c r="G37" s="409"/>
      <c r="H37" s="232"/>
      <c r="I37" s="232"/>
      <c r="J37" s="232"/>
      <c r="K37" s="232"/>
      <c r="L37" s="232"/>
      <c r="M37" s="232"/>
      <c r="N37" s="232"/>
      <c r="O37" s="232"/>
    </row>
    <row r="38" spans="1:15" s="247" customFormat="1" ht="15.5">
      <c r="A38" s="250" t="s">
        <v>2570</v>
      </c>
      <c r="B38" s="251" t="s">
        <v>8125</v>
      </c>
      <c r="C38" s="251"/>
      <c r="D38" s="985">
        <f>SUM('SOF2122-HB3'!I43:I45)</f>
        <v>0</v>
      </c>
      <c r="E38" s="1005">
        <f>'SOF2122-HB3'!I173</f>
        <v>0</v>
      </c>
      <c r="F38" s="409"/>
      <c r="G38" s="409"/>
      <c r="H38" s="232"/>
      <c r="I38" s="232"/>
      <c r="J38" s="232"/>
      <c r="K38" s="232"/>
      <c r="L38" s="232"/>
      <c r="M38" s="232"/>
      <c r="N38" s="232"/>
      <c r="O38" s="232"/>
    </row>
    <row r="39" spans="1:15" s="247" customFormat="1" ht="15.5">
      <c r="A39" s="250" t="s">
        <v>2571</v>
      </c>
      <c r="B39" s="251" t="s">
        <v>8126</v>
      </c>
      <c r="C39" s="251"/>
      <c r="D39" s="985">
        <f>SUM('SOF2122-HB3'!I29:I32)</f>
        <v>0</v>
      </c>
      <c r="E39" s="1005" t="e">
        <f>'SOF2122-HB3'!I168</f>
        <v>#REF!</v>
      </c>
      <c r="F39" s="409"/>
      <c r="G39" s="409"/>
      <c r="H39" s="232"/>
      <c r="I39" s="232"/>
      <c r="J39" s="232"/>
      <c r="K39" s="232"/>
      <c r="L39" s="232"/>
      <c r="M39" s="232"/>
      <c r="N39" s="232"/>
      <c r="O39" s="232"/>
    </row>
    <row r="40" spans="1:15" s="247" customFormat="1" ht="15.5">
      <c r="A40" s="250" t="s">
        <v>2572</v>
      </c>
      <c r="B40" s="251" t="s">
        <v>8127</v>
      </c>
      <c r="C40" s="251"/>
      <c r="D40" s="985">
        <f>'SOF2122-HB3'!I50</f>
        <v>0</v>
      </c>
      <c r="E40" s="1005">
        <f>'SOF2122-HB3'!I50</f>
        <v>0</v>
      </c>
      <c r="F40" s="409"/>
      <c r="G40" s="409"/>
      <c r="H40" s="232"/>
      <c r="I40" s="232"/>
      <c r="J40" s="232"/>
      <c r="K40" s="232"/>
      <c r="L40" s="232"/>
      <c r="M40" s="232"/>
      <c r="N40" s="232"/>
      <c r="O40" s="232"/>
    </row>
    <row r="41" spans="1:15" s="247" customFormat="1" ht="15.5">
      <c r="A41" s="250" t="s">
        <v>2573</v>
      </c>
      <c r="B41" s="1685" t="s">
        <v>8270</v>
      </c>
      <c r="C41" s="1685"/>
      <c r="D41" s="1691">
        <f>'SOF2122-HB3'!I47</f>
        <v>0</v>
      </c>
      <c r="E41" s="1686"/>
      <c r="F41" s="409"/>
      <c r="G41" s="409"/>
      <c r="H41" s="232"/>
      <c r="I41" s="232"/>
      <c r="J41" s="232"/>
      <c r="K41" s="232"/>
      <c r="L41" s="232"/>
      <c r="M41" s="232"/>
      <c r="N41" s="232"/>
      <c r="O41" s="232"/>
    </row>
    <row r="42" spans="1:15" s="2040" customFormat="1" ht="15.5">
      <c r="A42" s="250" t="s">
        <v>2575</v>
      </c>
      <c r="B42" s="2186" t="s">
        <v>10710</v>
      </c>
      <c r="C42" s="2186"/>
      <c r="D42" s="2187">
        <f>'SOF2122-HB3'!I33+'SOF2122-HB3'!I34</f>
        <v>0</v>
      </c>
      <c r="E42" s="2188"/>
      <c r="F42" s="409"/>
      <c r="G42" s="409"/>
      <c r="H42" s="3109" t="s">
        <v>12493</v>
      </c>
      <c r="I42" s="2039"/>
      <c r="J42" s="2039"/>
      <c r="K42" s="2039"/>
      <c r="L42" s="2039"/>
      <c r="M42" s="2039"/>
      <c r="N42" s="2039"/>
      <c r="O42" s="2039"/>
    </row>
    <row r="43" spans="1:15" s="247" customFormat="1" ht="15.5">
      <c r="A43" s="250" t="s">
        <v>2576</v>
      </c>
      <c r="B43" s="1694" t="s">
        <v>8271</v>
      </c>
      <c r="C43" s="1685"/>
      <c r="D43" s="1148">
        <f>'SOF2122-HB3'!I48</f>
        <v>0</v>
      </c>
      <c r="E43" s="1686"/>
      <c r="F43" s="409"/>
      <c r="G43" s="409"/>
      <c r="H43" s="232"/>
      <c r="I43" s="2039"/>
      <c r="J43" s="2039"/>
      <c r="K43" s="232"/>
      <c r="L43" s="232"/>
      <c r="M43" s="232"/>
      <c r="N43" s="232"/>
      <c r="O43" s="232"/>
    </row>
    <row r="44" spans="1:15" s="247" customFormat="1" ht="15.5">
      <c r="A44" s="250" t="s">
        <v>2577</v>
      </c>
      <c r="B44" s="2738" t="s">
        <v>10755</v>
      </c>
      <c r="C44" s="1147"/>
      <c r="D44" s="1148" t="e">
        <f>'SOF2122-HB3'!I51+'SOF2122-HB3'!I52</f>
        <v>#N/A</v>
      </c>
      <c r="E44" s="1149"/>
      <c r="F44" s="409"/>
      <c r="G44" s="409"/>
      <c r="H44" s="2039"/>
      <c r="I44" s="2039"/>
      <c r="J44" s="2039"/>
      <c r="K44" s="232"/>
      <c r="L44" s="232"/>
      <c r="M44" s="232"/>
      <c r="N44" s="232"/>
      <c r="O44" s="232"/>
    </row>
    <row r="45" spans="1:15" s="247" customFormat="1" ht="15.5">
      <c r="A45" s="250" t="s">
        <v>2578</v>
      </c>
      <c r="B45" s="1695" t="s">
        <v>8129</v>
      </c>
      <c r="C45" s="1147"/>
      <c r="D45" s="1148">
        <f>'SOF2122-HB3'!I53</f>
        <v>0</v>
      </c>
      <c r="E45" s="1149"/>
      <c r="F45" s="409"/>
      <c r="G45" s="409"/>
      <c r="H45" s="2039"/>
      <c r="I45" s="2039"/>
      <c r="J45" s="2039"/>
      <c r="K45" s="232"/>
      <c r="L45" s="232"/>
      <c r="M45" s="232"/>
      <c r="N45" s="232"/>
      <c r="O45" s="232"/>
    </row>
    <row r="46" spans="1:15" s="247" customFormat="1" ht="15.5">
      <c r="A46" s="250" t="s">
        <v>2579</v>
      </c>
      <c r="B46" s="1696" t="s">
        <v>8130</v>
      </c>
      <c r="C46" s="1147"/>
      <c r="D46" s="1148">
        <f>'SOF2122-HB3'!I54</f>
        <v>0</v>
      </c>
      <c r="E46" s="1149"/>
      <c r="F46" s="409"/>
      <c r="G46" s="409"/>
      <c r="H46" s="2039"/>
      <c r="I46" s="232"/>
      <c r="J46" s="232"/>
      <c r="K46" s="232"/>
      <c r="L46" s="232"/>
      <c r="M46" s="232"/>
      <c r="N46" s="232"/>
      <c r="O46" s="232"/>
    </row>
    <row r="47" spans="1:15" s="247" customFormat="1" ht="15.5">
      <c r="A47" s="250" t="s">
        <v>2580</v>
      </c>
      <c r="B47" s="1695" t="s">
        <v>8131</v>
      </c>
      <c r="C47" s="1147"/>
      <c r="D47" s="1148">
        <f>'SOF2122-HB3'!I55</f>
        <v>0</v>
      </c>
      <c r="E47" s="1149"/>
      <c r="F47" s="409"/>
      <c r="G47" s="409"/>
      <c r="H47" s="232"/>
      <c r="I47" s="232"/>
      <c r="J47" s="232"/>
      <c r="K47" s="232"/>
      <c r="L47" s="232"/>
      <c r="M47" s="232"/>
      <c r="N47" s="232"/>
      <c r="O47" s="232"/>
    </row>
    <row r="48" spans="1:15" s="247" customFormat="1" ht="18">
      <c r="A48" s="621" t="s">
        <v>8132</v>
      </c>
      <c r="B48" s="621"/>
      <c r="C48" s="620"/>
      <c r="D48" s="1031"/>
      <c r="E48" s="1008"/>
      <c r="F48" s="611"/>
      <c r="G48" s="611"/>
      <c r="H48" s="232"/>
      <c r="I48" s="232"/>
      <c r="J48" s="232"/>
      <c r="K48" s="232"/>
      <c r="L48" s="232"/>
      <c r="M48" s="232"/>
      <c r="N48" s="232"/>
      <c r="O48" s="232"/>
    </row>
    <row r="49" spans="1:15" s="247" customFormat="1" ht="15.5">
      <c r="A49" s="250" t="s">
        <v>2581</v>
      </c>
      <c r="B49" s="251" t="s">
        <v>8133</v>
      </c>
      <c r="C49" s="251"/>
      <c r="D49" s="985">
        <f>'SOF2122-HB3'!I58</f>
        <v>0</v>
      </c>
      <c r="E49" s="1005">
        <f>'SOF2122-HB3'!I58</f>
        <v>0</v>
      </c>
      <c r="F49" s="409"/>
      <c r="G49" s="409"/>
      <c r="H49" s="232"/>
      <c r="I49" s="232"/>
      <c r="J49" s="232"/>
      <c r="K49" s="232"/>
      <c r="L49" s="232"/>
      <c r="M49" s="232"/>
      <c r="N49" s="232"/>
      <c r="O49" s="232"/>
    </row>
    <row r="50" spans="1:15" s="247" customFormat="1" ht="15.5">
      <c r="A50" s="250" t="s">
        <v>2582</v>
      </c>
      <c r="B50" s="251" t="s">
        <v>8134</v>
      </c>
      <c r="C50" s="251"/>
      <c r="D50" s="985">
        <f>'SOF2122-HB3'!I57</f>
        <v>0</v>
      </c>
      <c r="E50" s="1005">
        <f>'SOF2122-HB3'!I57</f>
        <v>0</v>
      </c>
      <c r="F50" s="409"/>
      <c r="G50" s="409"/>
      <c r="H50" s="358" t="s">
        <v>10711</v>
      </c>
      <c r="I50" s="232"/>
      <c r="J50" s="232"/>
      <c r="K50" s="232"/>
      <c r="L50" s="232"/>
      <c r="M50" s="232"/>
      <c r="N50" s="232"/>
      <c r="O50" s="232"/>
    </row>
    <row r="51" spans="1:15" s="247" customFormat="1" ht="15.5">
      <c r="A51" s="250" t="s">
        <v>2583</v>
      </c>
      <c r="B51" s="1685" t="s">
        <v>8135</v>
      </c>
      <c r="C51" s="1685"/>
      <c r="D51" s="1691">
        <f>'SOF2122-HB3'!I59</f>
        <v>0</v>
      </c>
      <c r="E51" s="1686"/>
      <c r="F51" s="409"/>
      <c r="G51" s="409"/>
      <c r="H51" s="232"/>
      <c r="I51" s="232"/>
      <c r="J51" s="232"/>
      <c r="K51" s="232"/>
      <c r="L51" s="232"/>
      <c r="M51" s="232"/>
      <c r="N51" s="232"/>
      <c r="O51" s="232"/>
    </row>
    <row r="52" spans="1:15" ht="15.5">
      <c r="A52" s="250" t="s">
        <v>2584</v>
      </c>
      <c r="B52" s="1685" t="s">
        <v>8136</v>
      </c>
      <c r="C52" s="1685"/>
      <c r="D52" s="1691">
        <f>'SOF2122-HB3'!I56</f>
        <v>0</v>
      </c>
    </row>
    <row r="53" spans="1:15" ht="15.5">
      <c r="A53" s="250" t="s">
        <v>2585</v>
      </c>
      <c r="B53" s="1685" t="s">
        <v>8234</v>
      </c>
      <c r="C53" s="1685"/>
      <c r="D53" s="1691">
        <f>'SOF2122-HB3'!I60</f>
        <v>0</v>
      </c>
    </row>
    <row r="54" spans="1:15" ht="15.5">
      <c r="A54" s="250" t="s">
        <v>2586</v>
      </c>
      <c r="B54" s="1685" t="s">
        <v>8138</v>
      </c>
      <c r="C54" s="1685"/>
      <c r="D54" s="1691">
        <f>'SOF2122-HB3'!I61</f>
        <v>0</v>
      </c>
    </row>
    <row r="55" spans="1:15" s="247" customFormat="1" ht="15.5">
      <c r="A55" s="250" t="s">
        <v>2587</v>
      </c>
      <c r="B55" s="411" t="s">
        <v>5980</v>
      </c>
      <c r="C55" s="251"/>
      <c r="D55" s="985" t="e">
        <f>'SOF2122-HB3'!I62</f>
        <v>#N/A</v>
      </c>
      <c r="E55" s="1005" t="e">
        <f>'SOF2122-HB3'!I62</f>
        <v>#N/A</v>
      </c>
      <c r="F55" s="409"/>
      <c r="G55" s="409"/>
      <c r="H55" s="232"/>
      <c r="I55" s="232"/>
      <c r="J55" s="232"/>
      <c r="K55" s="232"/>
      <c r="L55" s="232"/>
      <c r="M55" s="232"/>
      <c r="N55" s="232"/>
      <c r="O55" s="232"/>
    </row>
    <row r="56" spans="1:15" s="247" customFormat="1" ht="15.5">
      <c r="A56" s="250" t="s">
        <v>2588</v>
      </c>
      <c r="B56" s="251" t="s">
        <v>2595</v>
      </c>
      <c r="C56" s="251"/>
      <c r="D56" s="985">
        <f>'SOF2122-HB3'!I63</f>
        <v>0</v>
      </c>
      <c r="E56" s="1005">
        <f>'SOF2122-HB3'!I63</f>
        <v>0</v>
      </c>
      <c r="F56" s="409"/>
      <c r="G56" s="409"/>
      <c r="H56" s="232"/>
      <c r="I56" s="232"/>
      <c r="J56" s="232"/>
      <c r="K56" s="232"/>
      <c r="L56" s="232"/>
      <c r="M56" s="232"/>
      <c r="N56" s="232"/>
      <c r="O56" s="232"/>
    </row>
    <row r="57" spans="1:15" s="247" customFormat="1" ht="15.5">
      <c r="A57" s="250" t="s">
        <v>2589</v>
      </c>
      <c r="B57" s="251" t="s">
        <v>2596</v>
      </c>
      <c r="C57" s="251"/>
      <c r="D57" s="985">
        <f>'SOF2122-HB3'!I106</f>
        <v>0</v>
      </c>
      <c r="E57" s="1005">
        <f>'SOF2122-HB3'!H108</f>
        <v>0</v>
      </c>
      <c r="F57" s="409"/>
      <c r="G57" s="409"/>
      <c r="H57" s="232"/>
      <c r="I57" s="232"/>
      <c r="J57" s="232"/>
      <c r="K57" s="232"/>
      <c r="L57" s="232"/>
      <c r="M57" s="232"/>
      <c r="N57" s="232"/>
      <c r="O57" s="232"/>
    </row>
    <row r="58" spans="1:15" s="247" customFormat="1" ht="18">
      <c r="A58" s="622" t="s">
        <v>8139</v>
      </c>
      <c r="B58" s="623"/>
      <c r="C58" s="623"/>
      <c r="D58" s="1048"/>
      <c r="E58" s="1011"/>
      <c r="F58" s="611"/>
      <c r="G58" s="611"/>
      <c r="H58" s="232"/>
      <c r="I58" s="232"/>
      <c r="J58" s="232"/>
      <c r="K58" s="232"/>
      <c r="L58" s="232"/>
      <c r="M58" s="232"/>
      <c r="N58" s="232"/>
      <c r="O58" s="232"/>
    </row>
    <row r="59" spans="1:15" s="247" customFormat="1" ht="15.5">
      <c r="A59" s="250" t="s">
        <v>2590</v>
      </c>
      <c r="B59" s="251" t="s">
        <v>9241</v>
      </c>
      <c r="C59" s="251"/>
      <c r="D59" s="985" t="e">
        <f>IF(D55-D56-D57&lt;=0,0,D55-D56-D57)</f>
        <v>#N/A</v>
      </c>
      <c r="E59" s="1005" t="e">
        <f>'SOF2122-HB3'!I64</f>
        <v>#N/A</v>
      </c>
      <c r="F59" s="409"/>
      <c r="G59" s="409"/>
      <c r="H59" s="232"/>
      <c r="I59" s="232"/>
      <c r="J59" s="232"/>
      <c r="K59" s="232"/>
      <c r="L59" s="232"/>
      <c r="M59" s="232"/>
      <c r="N59" s="232"/>
      <c r="O59" s="232"/>
    </row>
    <row r="60" spans="1:15" s="247" customFormat="1" ht="15.5">
      <c r="A60" s="250" t="s">
        <v>2591</v>
      </c>
      <c r="B60" s="410" t="s">
        <v>8346</v>
      </c>
      <c r="C60" s="251"/>
      <c r="D60" s="985" t="e">
        <f>'SOF2122-HB3'!I79</f>
        <v>#N/A</v>
      </c>
      <c r="E60" s="1005" t="e">
        <f>'SOF2122-HB3'!I81</f>
        <v>#N/A</v>
      </c>
      <c r="F60" s="409"/>
      <c r="G60" s="409"/>
      <c r="H60" s="232"/>
      <c r="I60" s="232"/>
      <c r="J60" s="232"/>
      <c r="K60" s="232"/>
      <c r="L60" s="232"/>
      <c r="M60" s="232"/>
      <c r="N60" s="232"/>
      <c r="O60" s="232"/>
    </row>
    <row r="61" spans="1:15" s="247" customFormat="1" ht="15.5">
      <c r="A61" s="250" t="s">
        <v>2592</v>
      </c>
      <c r="B61" s="411" t="s">
        <v>5981</v>
      </c>
      <c r="C61" s="251"/>
      <c r="D61" s="985" t="e">
        <f>'OtherDetail2122-HB3'!D28</f>
        <v>#DIV/0!</v>
      </c>
      <c r="E61" s="1005"/>
      <c r="F61" s="409"/>
      <c r="G61" s="409"/>
      <c r="H61" s="358" t="s">
        <v>8148</v>
      </c>
      <c r="I61" s="232"/>
      <c r="J61" s="232"/>
      <c r="K61" s="232"/>
      <c r="L61" s="232"/>
      <c r="M61" s="232"/>
      <c r="N61" s="232"/>
      <c r="O61" s="232"/>
    </row>
    <row r="62" spans="1:15" s="247" customFormat="1" ht="15.5">
      <c r="A62" s="250" t="s">
        <v>2593</v>
      </c>
      <c r="B62" s="251" t="s">
        <v>2597</v>
      </c>
      <c r="C62" s="251"/>
      <c r="D62" s="985" t="e">
        <f>D59+D60+D61</f>
        <v>#N/A</v>
      </c>
      <c r="E62" s="1005"/>
      <c r="F62" s="409"/>
      <c r="G62" s="409"/>
      <c r="H62" s="232"/>
      <c r="I62" s="232"/>
      <c r="J62" s="232"/>
      <c r="K62" s="232"/>
      <c r="L62" s="232"/>
      <c r="M62" s="232"/>
      <c r="N62" s="232"/>
      <c r="O62" s="232"/>
    </row>
    <row r="63" spans="1:15" s="247" customFormat="1" ht="18">
      <c r="A63" s="607" t="s">
        <v>8140</v>
      </c>
      <c r="B63" s="620"/>
      <c r="C63" s="620"/>
      <c r="D63" s="1031"/>
      <c r="E63" s="1008"/>
      <c r="F63" s="611"/>
      <c r="G63" s="611"/>
      <c r="H63" s="232"/>
      <c r="I63" s="232"/>
      <c r="J63" s="232"/>
      <c r="K63" s="232"/>
      <c r="L63" s="232"/>
      <c r="M63" s="232"/>
      <c r="N63" s="232"/>
      <c r="O63" s="232"/>
    </row>
    <row r="64" spans="1:15" s="247" customFormat="1" ht="18">
      <c r="A64" s="621" t="s">
        <v>8141</v>
      </c>
      <c r="B64" s="621"/>
      <c r="C64" s="620"/>
      <c r="D64" s="1031"/>
      <c r="E64" s="1008"/>
      <c r="F64" s="611"/>
      <c r="G64" s="611"/>
      <c r="H64" s="232"/>
      <c r="I64" s="232"/>
      <c r="J64" s="232"/>
      <c r="K64" s="232"/>
      <c r="L64" s="232"/>
      <c r="M64" s="232"/>
      <c r="N64" s="232"/>
      <c r="O64" s="232"/>
    </row>
    <row r="65" spans="1:15" s="247" customFormat="1" ht="15.5">
      <c r="A65" s="250" t="s">
        <v>2602</v>
      </c>
      <c r="B65" s="251" t="s">
        <v>2608</v>
      </c>
      <c r="C65" s="251"/>
      <c r="D65" s="985" t="e">
        <f>D62</f>
        <v>#N/A</v>
      </c>
      <c r="E65" s="1005">
        <f>'SOF2122-HB3'!I107</f>
        <v>0</v>
      </c>
      <c r="F65" s="409"/>
      <c r="G65" s="409"/>
      <c r="H65" s="358" t="s">
        <v>11158</v>
      </c>
      <c r="I65" s="232"/>
      <c r="J65" s="232"/>
      <c r="K65" s="232"/>
      <c r="L65" s="232"/>
      <c r="M65" s="232"/>
      <c r="N65" s="232"/>
      <c r="O65" s="232"/>
    </row>
    <row r="66" spans="1:15" s="247" customFormat="1" ht="15.5">
      <c r="A66" s="250" t="s">
        <v>2603</v>
      </c>
      <c r="B66" s="251" t="s">
        <v>2735</v>
      </c>
      <c r="C66" s="251"/>
      <c r="D66" s="985">
        <f>'SOF2122-HB3'!I106</f>
        <v>0</v>
      </c>
      <c r="E66" s="1005">
        <f>'SOF2122-HB3'!I108</f>
        <v>0</v>
      </c>
      <c r="F66" s="409"/>
      <c r="G66" s="409"/>
      <c r="H66" s="232"/>
      <c r="I66" s="232"/>
      <c r="J66" s="232"/>
      <c r="K66" s="232"/>
      <c r="L66" s="232"/>
      <c r="M66" s="232"/>
      <c r="N66" s="232"/>
      <c r="O66" s="232"/>
    </row>
    <row r="67" spans="1:15" s="247" customFormat="1" ht="18">
      <c r="A67" s="621" t="s">
        <v>8142</v>
      </c>
      <c r="B67" s="621"/>
      <c r="C67" s="620"/>
      <c r="D67" s="1031"/>
      <c r="E67" s="1008"/>
      <c r="F67" s="611"/>
      <c r="G67" s="611"/>
      <c r="H67" s="232"/>
      <c r="I67" s="232"/>
      <c r="J67" s="232"/>
      <c r="K67" s="232"/>
      <c r="L67" s="232"/>
      <c r="M67" s="232"/>
      <c r="N67" s="232"/>
      <c r="O67" s="232"/>
    </row>
    <row r="68" spans="1:15" s="247" customFormat="1" ht="15.5">
      <c r="A68" s="250" t="s">
        <v>2604</v>
      </c>
      <c r="B68" s="410" t="s">
        <v>7063</v>
      </c>
      <c r="C68" s="251"/>
      <c r="D68" s="985">
        <f>'SOF2122-HB3'!I108</f>
        <v>0</v>
      </c>
      <c r="E68" s="1005">
        <f>D68</f>
        <v>0</v>
      </c>
      <c r="F68" s="409"/>
      <c r="G68" s="409"/>
      <c r="H68" s="232"/>
      <c r="I68" s="232"/>
      <c r="J68" s="232"/>
      <c r="K68" s="232"/>
      <c r="L68" s="232"/>
      <c r="M68" s="232"/>
      <c r="N68" s="232"/>
      <c r="O68" s="232"/>
    </row>
    <row r="69" spans="1:15" s="247" customFormat="1" ht="15.5">
      <c r="A69" s="250" t="s">
        <v>2605</v>
      </c>
      <c r="B69" s="411" t="s">
        <v>5983</v>
      </c>
      <c r="C69" s="251"/>
      <c r="D69" s="985">
        <f>'IFA-HB3'!L86</f>
        <v>0</v>
      </c>
      <c r="E69" s="1005">
        <f>D69</f>
        <v>0</v>
      </c>
      <c r="F69" s="409"/>
      <c r="G69" s="409"/>
      <c r="H69" s="232"/>
      <c r="I69" s="232"/>
      <c r="J69" s="232"/>
      <c r="K69" s="232"/>
      <c r="L69" s="232"/>
      <c r="M69" s="232"/>
      <c r="N69" s="232"/>
      <c r="O69" s="232"/>
    </row>
    <row r="70" spans="1:15" s="247" customFormat="1" ht="15.5">
      <c r="A70" s="250" t="s">
        <v>2606</v>
      </c>
      <c r="B70" s="410" t="s">
        <v>5984</v>
      </c>
      <c r="C70" s="251"/>
      <c r="D70" s="985">
        <f>'IFA-HB3'!N75</f>
        <v>0</v>
      </c>
      <c r="E70" s="1005">
        <f>D70</f>
        <v>0</v>
      </c>
      <c r="F70" s="409"/>
      <c r="G70" s="409"/>
      <c r="H70" s="232"/>
      <c r="I70" s="232"/>
      <c r="J70" s="232"/>
      <c r="K70" s="232"/>
      <c r="L70" s="232"/>
      <c r="M70" s="232"/>
      <c r="N70" s="232"/>
      <c r="O70" s="232"/>
    </row>
    <row r="71" spans="1:15" s="247" customFormat="1" ht="15.5">
      <c r="A71" s="250" t="s">
        <v>2607</v>
      </c>
      <c r="B71" s="410" t="s">
        <v>10361</v>
      </c>
      <c r="C71" s="251"/>
      <c r="D71" s="985" t="e">
        <f>'HH2122-Calcs'!C25</f>
        <v>#DIV/0!</v>
      </c>
      <c r="E71" s="1005"/>
      <c r="F71" s="409"/>
      <c r="G71" s="409"/>
      <c r="H71" s="232"/>
      <c r="I71" s="232"/>
      <c r="J71" s="232"/>
      <c r="K71" s="232"/>
      <c r="L71" s="232"/>
      <c r="M71" s="232"/>
      <c r="N71" s="232"/>
      <c r="O71" s="232"/>
    </row>
    <row r="72" spans="1:15" s="247" customFormat="1" ht="18">
      <c r="A72" s="1763" t="s">
        <v>2662</v>
      </c>
      <c r="B72" s="567" t="s">
        <v>5933</v>
      </c>
      <c r="C72" s="624"/>
      <c r="D72" s="1049" t="e">
        <f>SUM(D65:D71)</f>
        <v>#N/A</v>
      </c>
      <c r="E72" s="1007">
        <f>'SOF2122-HB3'!I113</f>
        <v>0</v>
      </c>
      <c r="F72" s="1001"/>
      <c r="G72" s="1001"/>
      <c r="H72" s="232"/>
      <c r="I72" s="232"/>
      <c r="J72" s="232"/>
      <c r="K72" s="232"/>
      <c r="L72" s="232"/>
      <c r="M72" s="232"/>
      <c r="N72" s="232"/>
      <c r="O72" s="232"/>
    </row>
    <row r="73" spans="1:15" s="247" customFormat="1" ht="18">
      <c r="A73" s="621" t="s">
        <v>8143</v>
      </c>
      <c r="B73" s="621"/>
      <c r="C73" s="620"/>
      <c r="D73" s="1031"/>
      <c r="E73" s="1008"/>
      <c r="F73" s="611"/>
      <c r="G73" s="611"/>
      <c r="H73" s="232"/>
      <c r="I73" s="232"/>
      <c r="J73" s="232"/>
      <c r="K73" s="232"/>
      <c r="L73" s="232"/>
      <c r="M73" s="232"/>
      <c r="N73" s="232"/>
      <c r="O73" s="232"/>
    </row>
    <row r="74" spans="1:15" s="247" customFormat="1" ht="15.5">
      <c r="A74" s="250" t="s">
        <v>2824</v>
      </c>
      <c r="B74" s="2133" t="s">
        <v>8833</v>
      </c>
      <c r="C74" s="1685"/>
      <c r="D74" s="1691" t="e">
        <f>Recap_Detail2122!C33</f>
        <v>#N/A</v>
      </c>
      <c r="H74" s="232"/>
      <c r="I74" s="232"/>
      <c r="J74" s="232"/>
      <c r="K74" s="232"/>
      <c r="L74" s="232"/>
      <c r="M74" s="232"/>
      <c r="N74" s="232"/>
      <c r="O74" s="232"/>
    </row>
    <row r="75" spans="1:15" s="247" customFormat="1" ht="15.5">
      <c r="A75" s="1697"/>
      <c r="B75" s="1689"/>
      <c r="C75" s="1689"/>
      <c r="D75" s="1689"/>
      <c r="H75" s="232"/>
      <c r="I75" s="232"/>
      <c r="J75" s="232"/>
      <c r="K75" s="232"/>
      <c r="L75" s="232"/>
      <c r="M75" s="232"/>
      <c r="N75" s="232"/>
      <c r="O75" s="232"/>
    </row>
    <row r="76" spans="1:15" s="247" customFormat="1" ht="15.5">
      <c r="A76" s="2342"/>
      <c r="B76" s="2343" t="s">
        <v>5985</v>
      </c>
      <c r="C76" s="2344"/>
      <c r="D76" s="2344"/>
      <c r="H76" s="232"/>
      <c r="I76" s="232"/>
      <c r="J76" s="232"/>
      <c r="K76" s="232"/>
      <c r="L76" s="232"/>
      <c r="M76" s="232"/>
      <c r="N76" s="232"/>
      <c r="O76" s="232"/>
    </row>
    <row r="77" spans="1:15" s="247" customFormat="1" ht="15.5">
      <c r="A77" s="1698"/>
      <c r="B77" s="1699"/>
      <c r="H77" s="232"/>
      <c r="I77" s="232"/>
      <c r="J77" s="232"/>
      <c r="K77" s="232"/>
      <c r="L77" s="232"/>
      <c r="M77" s="232"/>
      <c r="N77" s="232"/>
      <c r="O77" s="232"/>
    </row>
    <row r="78" spans="1:15" s="247" customFormat="1" ht="16" thickBot="1">
      <c r="A78" s="1700"/>
      <c r="C78" s="1701"/>
      <c r="D78" s="1701"/>
      <c r="E78" s="247" t="e">
        <f>(E65+E66)/D10</f>
        <v>#DIV/0!</v>
      </c>
      <c r="H78" s="232"/>
      <c r="I78" s="232"/>
      <c r="J78" s="232"/>
      <c r="K78" s="232"/>
      <c r="L78" s="232"/>
      <c r="M78" s="232"/>
      <c r="N78" s="232"/>
      <c r="O78" s="232"/>
    </row>
    <row r="79" spans="1:15" ht="16" thickTop="1">
      <c r="A79" s="1715" t="s">
        <v>2782</v>
      </c>
      <c r="B79" s="1716"/>
      <c r="C79" s="1717"/>
      <c r="D79" s="1718"/>
      <c r="E79" s="247"/>
      <c r="F79" s="247"/>
      <c r="G79" s="247"/>
    </row>
    <row r="80" spans="1:15" ht="15.5">
      <c r="A80" s="1702" t="s">
        <v>2318</v>
      </c>
      <c r="C80" s="1703"/>
      <c r="D80" s="1704"/>
      <c r="E80" s="232"/>
      <c r="F80" s="232"/>
      <c r="G80" s="232"/>
    </row>
    <row r="81" spans="1:7" ht="15.5">
      <c r="A81" s="382" t="s">
        <v>2825</v>
      </c>
      <c r="B81" s="1705" t="s">
        <v>8145</v>
      </c>
      <c r="C81" s="1703"/>
      <c r="D81" s="1725" t="e">
        <f>D65+D66</f>
        <v>#N/A</v>
      </c>
      <c r="E81" s="232"/>
      <c r="F81" s="232"/>
      <c r="G81" s="232"/>
    </row>
    <row r="82" spans="1:7" ht="15.5">
      <c r="A82" s="382" t="s">
        <v>2826</v>
      </c>
      <c r="B82" s="381" t="s">
        <v>7906</v>
      </c>
      <c r="C82" s="249"/>
      <c r="D82" s="281">
        <f>'Data Entry - SOF'!C75</f>
        <v>0</v>
      </c>
      <c r="E82" s="409"/>
      <c r="F82" s="409"/>
      <c r="G82" s="409"/>
    </row>
    <row r="83" spans="1:7" ht="15.5">
      <c r="A83" s="382" t="s">
        <v>2827</v>
      </c>
      <c r="B83" s="381" t="s">
        <v>7907</v>
      </c>
      <c r="C83" s="386"/>
      <c r="D83" s="1725" t="e">
        <f>'SOF2122-HB3'!I75</f>
        <v>#N/A</v>
      </c>
      <c r="E83" s="409"/>
      <c r="F83" s="409"/>
      <c r="G83" s="409"/>
    </row>
    <row r="84" spans="1:7" ht="15.5">
      <c r="A84" s="382" t="s">
        <v>2828</v>
      </c>
      <c r="B84" s="381" t="s">
        <v>7908</v>
      </c>
      <c r="C84" s="249"/>
      <c r="D84" s="281" t="e">
        <f>'SOF2122-HB3'!I83</f>
        <v>#N/A</v>
      </c>
      <c r="E84" s="409"/>
      <c r="F84" s="409"/>
      <c r="G84" s="409"/>
    </row>
    <row r="85" spans="1:7" ht="15.5">
      <c r="A85" s="382" t="s">
        <v>2829</v>
      </c>
      <c r="B85" s="1677" t="s">
        <v>7909</v>
      </c>
      <c r="C85" s="249"/>
      <c r="D85" s="281" t="e">
        <f>D82-D83-D84</f>
        <v>#N/A</v>
      </c>
      <c r="E85" s="409"/>
      <c r="F85" s="409"/>
      <c r="G85" s="409"/>
    </row>
    <row r="86" spans="1:7" ht="15.5">
      <c r="A86" s="382" t="s">
        <v>2830</v>
      </c>
      <c r="B86" s="387" t="s">
        <v>9240</v>
      </c>
      <c r="C86" s="1707"/>
      <c r="D86" s="1708" t="e">
        <f>IF(D81&gt;=0,0,D81)</f>
        <v>#N/A</v>
      </c>
      <c r="E86" s="409"/>
      <c r="F86" s="409"/>
      <c r="G86" s="409"/>
    </row>
    <row r="87" spans="1:7" ht="16" thickBot="1">
      <c r="A87" s="382" t="s">
        <v>2831</v>
      </c>
      <c r="B87" s="1679" t="s">
        <v>8154</v>
      </c>
      <c r="C87" s="565"/>
      <c r="D87" s="1726" t="e">
        <f>D81+D85+D86</f>
        <v>#N/A</v>
      </c>
      <c r="E87" s="1002"/>
      <c r="F87" s="1002"/>
      <c r="G87" s="1002"/>
    </row>
    <row r="88" spans="1:7" ht="14" thickTop="1" thickBot="1">
      <c r="B88" s="1709"/>
    </row>
    <row r="89" spans="1:7" ht="16" thickTop="1">
      <c r="A89" s="1150" t="s">
        <v>7730</v>
      </c>
      <c r="B89" s="331"/>
      <c r="C89" s="1710"/>
      <c r="D89" s="330"/>
    </row>
    <row r="90" spans="1:7" ht="15.5">
      <c r="A90" s="382" t="s">
        <v>2832</v>
      </c>
      <c r="B90" s="385" t="s">
        <v>7910</v>
      </c>
      <c r="C90" s="1706"/>
      <c r="D90" s="1725" t="e">
        <f>'SOF2122-HB3'!I75</f>
        <v>#N/A</v>
      </c>
    </row>
    <row r="91" spans="1:7" ht="15.5">
      <c r="A91" s="382" t="s">
        <v>2833</v>
      </c>
      <c r="B91" s="385" t="s">
        <v>7916</v>
      </c>
      <c r="C91" s="384"/>
      <c r="D91" s="281" t="e">
        <f>'SOF2122-HB3'!I83</f>
        <v>#N/A</v>
      </c>
      <c r="E91" s="409"/>
      <c r="F91" s="409"/>
      <c r="G91" s="409"/>
    </row>
    <row r="92" spans="1:7" ht="15.5">
      <c r="A92" s="382" t="s">
        <v>2834</v>
      </c>
      <c r="B92" s="1714" t="s">
        <v>8155</v>
      </c>
      <c r="C92" s="1712"/>
      <c r="D92" s="1713" t="e">
        <f>D90+D91</f>
        <v>#N/A</v>
      </c>
      <c r="E92" s="409"/>
      <c r="F92" s="409"/>
      <c r="G92" s="409"/>
    </row>
    <row r="93" spans="1:7" ht="15.5">
      <c r="A93" s="382" t="s">
        <v>2835</v>
      </c>
      <c r="B93" s="385" t="s">
        <v>8144</v>
      </c>
      <c r="C93" s="384"/>
      <c r="D93" s="281">
        <f>'Data Entry - SOF'!C116</f>
        <v>0</v>
      </c>
      <c r="E93" s="409"/>
      <c r="F93" s="409"/>
      <c r="G93" s="409"/>
    </row>
    <row r="94" spans="1:7" ht="16" thickBot="1">
      <c r="A94" s="383" t="s">
        <v>2836</v>
      </c>
      <c r="B94" s="565" t="s">
        <v>8156</v>
      </c>
      <c r="C94" s="1711"/>
      <c r="D94" s="315" t="e">
        <f>D92+D93</f>
        <v>#N/A</v>
      </c>
      <c r="E94" s="366"/>
      <c r="F94" s="366"/>
      <c r="G94" s="366"/>
    </row>
    <row r="95" spans="1:7" ht="13.5" thickTop="1"/>
    <row r="98" spans="2:7" hidden="1">
      <c r="B98" s="58" t="s">
        <v>7082</v>
      </c>
      <c r="D98" s="724" t="e">
        <f>#REF!</f>
        <v>#REF!</v>
      </c>
      <c r="E98" s="724"/>
      <c r="F98" s="724"/>
      <c r="G98" s="724"/>
    </row>
    <row r="99" spans="2:7" hidden="1">
      <c r="D99" s="724">
        <f>D56</f>
        <v>0</v>
      </c>
      <c r="E99" s="724"/>
      <c r="F99" s="724"/>
      <c r="G99" s="724"/>
    </row>
    <row r="100" spans="2:7" hidden="1">
      <c r="D100" s="25" t="e">
        <f>IF(D98-D99&lt;=0,0,D98-D99)</f>
        <v>#REF!</v>
      </c>
    </row>
  </sheetData>
  <hyperlinks>
    <hyperlink ref="B70" location="'IFADetail2122-HB3'!A1" display="599/5829 - Instructional Facilities Allotment (Lease Purchase)  (See Link Above)" xr:uid="{00000000-0004-0000-0F00-000000000000}"/>
    <hyperlink ref="B12" location="'SpEdDetail2122-HB3'!A1" display="Special Education FTEs                                                          (Link to Detail Report)" xr:uid="{00000000-0004-0000-0F00-000001000000}"/>
    <hyperlink ref="B69" location="'IFADetail2122-HB3'!A1" display="599/5829 - Instructional Facilities Allotment (IFA) (Bond)    (Link to Detail Report)" xr:uid="{00000000-0004-0000-0F00-000002000000}"/>
    <hyperlink ref="B68" location="'EDADetail2122-HB3'!A1" display="599/5829 - Existing Debt Allotment (EDA)                            (Link to Detail Report)" xr:uid="{00000000-0004-0000-0F00-000003000000}"/>
    <hyperlink ref="B61" location="'OtherDetail2122-HB3'!A1" display="Other Programs                                                                        (Link to Detail Report)" xr:uid="{00000000-0004-0000-0F00-000004000000}"/>
    <hyperlink ref="B60" location="'T2Detail2122-HB3'!A1" display="Tier II State Aid)                                                              (Link to Tier II Detail Report)" xr:uid="{00000000-0004-0000-0F00-000005000000}"/>
    <hyperlink ref="B55" location="'T1Detail2122-HB3'!A1" display="Total Cost of Tier I                                                           (Link to Tier I Detail Report)" xr:uid="{00000000-0004-0000-0F00-000006000000}"/>
    <hyperlink ref="B28" location="'Report-AA1920'!A1" display="Adjusted Allotment                                                                    (Link to Detail Report)" xr:uid="{00000000-0004-0000-0F00-000007000000}"/>
    <hyperlink ref="B14" location="'Report-Calculations'!A1" display="Weighted ADA (WADA)                                                          (Link to Detail Report)" xr:uid="{00000000-0004-0000-0F00-000008000000}"/>
    <hyperlink ref="B11" location="'Report-Calculations'!A1" display="Regular Program ADA (Line 1 - Line 3 - Line 4)          " xr:uid="{00000000-0004-0000-0F00-000009000000}"/>
    <hyperlink ref="B76" location="'FSF2122-HB3'!A1" display="FSP Allocations and Adjustments Report                              (Link to Detail Report)" xr:uid="{00000000-0004-0000-0F00-00000A000000}"/>
    <hyperlink ref="B74" location="Recap_Detail2122!A1" display="Local Revenue in Excess of Entitlement                (Link to Cost of Recapture Report)" xr:uid="{00000000-0004-0000-0F00-00000B000000}"/>
    <hyperlink ref="B22" location="'M&amp;ODetail2122-HB3'!A1" display="2019-20 M&amp;O Tax Collections                                          (Link to Detail Report)              " xr:uid="{00000000-0004-0000-0F00-00000C000000}"/>
    <hyperlink ref="B71" location="'HH2122-Calcs'!A1" display="I&amp;S Hold Harmless (ASAHE for Facilities on TEA's Report) (Link to HH2021-Calcs tab)" xr:uid="{00000000-0004-0000-0F00-00000D000000}"/>
    <hyperlink ref="B44" location="FGA_Detail_2122!A1" display="Fast Growth Allotment 48.111 - Prorated     (Link to FGA Detail Report)" xr:uid="{00000000-0004-0000-0F00-00000E000000}"/>
  </hyperlink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33"/>
  </sheetPr>
  <dimension ref="A1:O100"/>
  <sheetViews>
    <sheetView workbookViewId="0">
      <selection activeCell="D1" sqref="D1"/>
    </sheetView>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8.81640625" style="25" customWidth="1"/>
    <col min="9" max="10" width="18.6328125" style="25" customWidth="1"/>
    <col min="11" max="15" width="9.1796875" style="25" customWidth="1"/>
  </cols>
  <sheetData>
    <row r="1" spans="1:15">
      <c r="A1" s="325" t="s">
        <v>2653</v>
      </c>
      <c r="C1" s="427"/>
      <c r="D1" s="1816" t="str">
        <f>'Report-SOF2122-HB1525'!D1</f>
        <v>Release 2</v>
      </c>
      <c r="E1" s="426"/>
      <c r="F1" s="426"/>
      <c r="G1" s="426"/>
    </row>
    <row r="2" spans="1:15">
      <c r="A2" s="325" t="s">
        <v>7917</v>
      </c>
      <c r="D2" s="1817">
        <f>'Report-SOF2122-HB1525'!D2</f>
        <v>44930</v>
      </c>
      <c r="E2" s="58"/>
      <c r="F2" s="58"/>
      <c r="G2" s="58"/>
    </row>
    <row r="3" spans="1:15" ht="15.5">
      <c r="D3" s="232"/>
      <c r="E3" s="47"/>
      <c r="F3" s="47"/>
      <c r="G3" s="47"/>
    </row>
    <row r="4" spans="1:15" s="247" customFormat="1" ht="15.5">
      <c r="A4" s="246" t="s">
        <v>5958</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673" t="s">
        <v>1202</v>
      </c>
      <c r="F7" s="232"/>
      <c r="G7" s="232"/>
      <c r="H7" s="232"/>
      <c r="I7" s="232"/>
      <c r="J7" s="232"/>
      <c r="K7" s="232"/>
      <c r="L7" s="232"/>
      <c r="M7" s="232"/>
      <c r="N7" s="232"/>
      <c r="O7" s="232"/>
    </row>
    <row r="8" spans="1:15" s="247" customFormat="1" ht="18">
      <c r="A8" s="357" t="s">
        <v>2554</v>
      </c>
      <c r="B8" s="564"/>
      <c r="C8" s="564"/>
      <c r="D8" s="346" t="s">
        <v>2558</v>
      </c>
      <c r="E8" s="1009"/>
      <c r="F8" s="566"/>
      <c r="G8" s="566"/>
      <c r="H8" s="232"/>
      <c r="I8" s="232"/>
      <c r="J8" s="232"/>
      <c r="K8" s="232"/>
      <c r="L8" s="232"/>
      <c r="M8" s="232"/>
      <c r="N8" s="232"/>
      <c r="O8" s="232"/>
    </row>
    <row r="9" spans="1:15" s="247" customFormat="1" ht="18">
      <c r="A9" s="607" t="s">
        <v>2555</v>
      </c>
      <c r="B9" s="620"/>
      <c r="C9" s="620"/>
      <c r="D9" s="347" t="s">
        <v>2559</v>
      </c>
      <c r="E9" s="1010" t="s">
        <v>7427</v>
      </c>
      <c r="F9" s="566"/>
      <c r="G9" s="566"/>
      <c r="H9" s="232"/>
      <c r="I9" s="232"/>
      <c r="J9" s="232"/>
      <c r="K9" s="232"/>
      <c r="L9" s="232"/>
      <c r="M9" s="232"/>
      <c r="N9" s="232"/>
      <c r="O9" s="232"/>
    </row>
    <row r="10" spans="1:15" s="247" customFormat="1" ht="15.5">
      <c r="A10" s="250" t="s">
        <v>2063</v>
      </c>
      <c r="B10" s="251" t="s">
        <v>2556</v>
      </c>
      <c r="C10" s="251"/>
      <c r="D10" s="1045">
        <f>'Data Entry - SOF'!E19</f>
        <v>0</v>
      </c>
      <c r="E10" s="1003">
        <f>D10</f>
        <v>0</v>
      </c>
      <c r="F10" s="998"/>
      <c r="G10" s="998"/>
      <c r="H10" s="232"/>
      <c r="I10" s="232"/>
      <c r="J10" s="232"/>
      <c r="K10" s="232"/>
      <c r="L10" s="232"/>
      <c r="M10" s="232"/>
      <c r="N10" s="232"/>
      <c r="O10" s="232"/>
    </row>
    <row r="11" spans="1:15" s="247" customFormat="1" ht="15.5">
      <c r="A11" s="250" t="s">
        <v>2064</v>
      </c>
      <c r="B11" s="410" t="s">
        <v>2847</v>
      </c>
      <c r="C11" s="251"/>
      <c r="D11" s="1045">
        <f>'Calc Data'!E12</f>
        <v>0</v>
      </c>
      <c r="E11" s="1003">
        <f t="shared" ref="E11:E13" si="0">D11</f>
        <v>0</v>
      </c>
      <c r="F11" s="998"/>
      <c r="G11" s="998"/>
      <c r="H11" s="232"/>
      <c r="I11" s="232"/>
      <c r="J11" s="232"/>
      <c r="K11" s="232"/>
      <c r="L11" s="232"/>
      <c r="M11" s="232"/>
      <c r="N11" s="232"/>
      <c r="O11" s="232"/>
    </row>
    <row r="12" spans="1:15" s="247" customFormat="1" ht="15.5">
      <c r="A12" s="250" t="s">
        <v>2065</v>
      </c>
      <c r="B12" s="411" t="s">
        <v>7062</v>
      </c>
      <c r="C12" s="251"/>
      <c r="D12" s="1045">
        <f>'Calc Data'!E8</f>
        <v>0</v>
      </c>
      <c r="E12" s="1003">
        <f t="shared" si="0"/>
        <v>0</v>
      </c>
      <c r="F12" s="998"/>
      <c r="G12" s="998"/>
      <c r="H12" s="232"/>
      <c r="I12" s="232"/>
      <c r="J12" s="232"/>
      <c r="K12" s="232"/>
      <c r="L12" s="232"/>
      <c r="M12" s="232"/>
      <c r="N12" s="232"/>
      <c r="O12" s="232"/>
    </row>
    <row r="13" spans="1:15" s="247" customFormat="1" ht="15.5">
      <c r="A13" s="250" t="s">
        <v>862</v>
      </c>
      <c r="B13" s="251" t="s">
        <v>778</v>
      </c>
      <c r="C13" s="251"/>
      <c r="D13" s="1045">
        <f>'Data Entry - SOF'!E36+'Data Entry - SOF'!E37+'Data Entry - SOF'!E38</f>
        <v>0</v>
      </c>
      <c r="E13" s="1003">
        <f t="shared" si="0"/>
        <v>0</v>
      </c>
      <c r="F13" s="998"/>
      <c r="G13" s="998"/>
      <c r="H13" s="232"/>
      <c r="I13" s="232"/>
      <c r="J13" s="232"/>
      <c r="K13" s="232"/>
      <c r="L13" s="232"/>
      <c r="M13" s="232"/>
      <c r="N13" s="232"/>
      <c r="O13" s="232"/>
    </row>
    <row r="14" spans="1:15" s="247" customFormat="1" ht="15.5">
      <c r="A14" s="250" t="s">
        <v>863</v>
      </c>
      <c r="B14" s="411" t="s">
        <v>2848</v>
      </c>
      <c r="C14" s="251"/>
      <c r="D14" s="1045">
        <f>'SOF2223-HB3'!L61</f>
        <v>0</v>
      </c>
      <c r="E14" s="1003">
        <f>'SOF2223-HB3'!L61</f>
        <v>0</v>
      </c>
      <c r="F14" s="998"/>
      <c r="G14" s="998"/>
      <c r="H14" s="232"/>
      <c r="I14" s="232"/>
      <c r="J14" s="232"/>
      <c r="K14" s="232"/>
      <c r="L14" s="232"/>
      <c r="M14" s="232"/>
      <c r="N14" s="232"/>
      <c r="O14" s="232"/>
    </row>
    <row r="15" spans="1:15" s="247" customFormat="1" ht="18">
      <c r="A15" s="607" t="s">
        <v>2560</v>
      </c>
      <c r="B15" s="620"/>
      <c r="C15" s="620"/>
      <c r="D15" s="1031"/>
      <c r="E15" s="1008"/>
      <c r="F15" s="611"/>
      <c r="G15" s="611"/>
      <c r="H15" s="232"/>
      <c r="I15" s="232"/>
      <c r="J15" s="232"/>
      <c r="K15" s="232"/>
      <c r="L15" s="232"/>
      <c r="M15" s="232"/>
      <c r="N15" s="232"/>
      <c r="O15" s="232"/>
    </row>
    <row r="16" spans="1:15" s="247" customFormat="1" ht="15.5">
      <c r="A16" s="250" t="s">
        <v>865</v>
      </c>
      <c r="B16" s="251" t="s">
        <v>8150</v>
      </c>
      <c r="C16" s="251"/>
      <c r="D16" s="1046">
        <f>'Data Entry - SOF'!C63</f>
        <v>0</v>
      </c>
      <c r="E16" s="1004">
        <f>D16</f>
        <v>0</v>
      </c>
      <c r="F16" s="369"/>
      <c r="G16" s="369"/>
      <c r="H16" s="232"/>
      <c r="I16" s="232"/>
      <c r="J16" s="232"/>
      <c r="K16" s="232"/>
      <c r="L16" s="232"/>
      <c r="M16" s="232"/>
      <c r="N16" s="232"/>
      <c r="O16" s="232"/>
    </row>
    <row r="17" spans="1:15" s="247" customFormat="1" ht="15.5">
      <c r="A17" s="250" t="s">
        <v>866</v>
      </c>
      <c r="B17" s="251" t="s">
        <v>8483</v>
      </c>
      <c r="C17" s="1685"/>
      <c r="D17" s="1046">
        <f>'Data Entry - SOF'!E66</f>
        <v>0</v>
      </c>
      <c r="E17" s="1688"/>
      <c r="F17" s="369"/>
      <c r="G17" s="369"/>
      <c r="H17" s="232"/>
      <c r="I17" s="232"/>
      <c r="J17" s="232"/>
      <c r="K17" s="232"/>
      <c r="L17" s="232"/>
      <c r="M17" s="232"/>
      <c r="N17" s="232"/>
      <c r="O17" s="232"/>
    </row>
    <row r="18" spans="1:15" s="247" customFormat="1" ht="18">
      <c r="A18" s="607" t="s">
        <v>2561</v>
      </c>
      <c r="B18" s="620"/>
      <c r="C18" s="620"/>
      <c r="D18" s="1031"/>
      <c r="E18" s="1008"/>
      <c r="F18" s="611"/>
      <c r="G18" s="611"/>
      <c r="H18" s="232"/>
      <c r="I18" s="232"/>
      <c r="J18" s="232"/>
      <c r="K18" s="232"/>
      <c r="L18" s="232"/>
      <c r="M18" s="232"/>
      <c r="N18" s="232"/>
      <c r="O18" s="232"/>
    </row>
    <row r="19" spans="1:15" s="247" customFormat="1" ht="15.5">
      <c r="A19" s="250" t="s">
        <v>867</v>
      </c>
      <c r="B19" s="251" t="s">
        <v>5959</v>
      </c>
      <c r="C19" s="1678"/>
      <c r="D19" s="1723">
        <f>'Data Entry - SOF'!E74</f>
        <v>0</v>
      </c>
      <c r="E19" s="1690"/>
      <c r="F19" s="999"/>
      <c r="G19" s="999"/>
      <c r="H19" s="232"/>
      <c r="I19" s="232"/>
      <c r="J19" s="232"/>
      <c r="K19" s="232"/>
      <c r="L19" s="232"/>
      <c r="M19" s="232"/>
      <c r="N19" s="232"/>
      <c r="O19" s="232"/>
    </row>
    <row r="20" spans="1:15" s="247" customFormat="1" ht="15.5">
      <c r="A20" s="250" t="s">
        <v>109</v>
      </c>
      <c r="B20" s="251" t="s">
        <v>8157</v>
      </c>
      <c r="C20" s="1678"/>
      <c r="D20" s="1722">
        <f>'Data Entry - SOF'!E124</f>
        <v>0</v>
      </c>
      <c r="E20" s="1690"/>
      <c r="F20" s="999"/>
      <c r="G20" s="999"/>
      <c r="H20" s="232"/>
      <c r="I20" s="232"/>
      <c r="J20" s="232"/>
      <c r="K20" s="232"/>
      <c r="L20" s="232"/>
      <c r="M20" s="232"/>
      <c r="N20" s="232"/>
      <c r="O20" s="232"/>
    </row>
    <row r="21" spans="1:15" s="247" customFormat="1" ht="15.5">
      <c r="A21" s="250" t="s">
        <v>110</v>
      </c>
      <c r="B21" s="251" t="s">
        <v>8158</v>
      </c>
      <c r="C21" s="1678"/>
      <c r="D21" s="1722">
        <f>'HB3-RollbackRates'!J5</f>
        <v>0</v>
      </c>
      <c r="E21" s="1690"/>
      <c r="F21" s="999"/>
      <c r="G21" s="999"/>
      <c r="H21" s="232"/>
      <c r="I21" s="232"/>
      <c r="J21" s="232"/>
      <c r="K21" s="232"/>
      <c r="L21" s="232"/>
      <c r="M21" s="232"/>
      <c r="N21" s="232"/>
      <c r="O21" s="232"/>
    </row>
    <row r="22" spans="1:15" s="247" customFormat="1" ht="15.5">
      <c r="A22" s="250" t="s">
        <v>111</v>
      </c>
      <c r="B22" s="1770" t="s">
        <v>9243</v>
      </c>
      <c r="C22" s="251"/>
      <c r="D22" s="985">
        <f>'Data Entry - SOF'!E75</f>
        <v>0</v>
      </c>
      <c r="E22" s="1005" t="e">
        <f>'Data Entry - SOF'!#REF!</f>
        <v>#REF!</v>
      </c>
      <c r="F22" s="409"/>
      <c r="G22" s="409"/>
      <c r="H22" s="232"/>
      <c r="I22" s="232"/>
      <c r="J22" s="232"/>
      <c r="K22" s="232"/>
      <c r="L22" s="232"/>
      <c r="M22" s="232"/>
      <c r="N22" s="232"/>
      <c r="O22" s="232"/>
    </row>
    <row r="23" spans="1:15" s="247" customFormat="1" ht="15.5">
      <c r="A23" s="250" t="s">
        <v>112</v>
      </c>
      <c r="B23" s="251" t="s">
        <v>8159</v>
      </c>
      <c r="C23" s="1685"/>
      <c r="D23" s="1722">
        <f>'Data Entry - SOF'!E79</f>
        <v>0</v>
      </c>
      <c r="E23" s="1686"/>
      <c r="F23" s="409"/>
      <c r="G23" s="409"/>
      <c r="H23" s="232"/>
      <c r="I23" s="232"/>
      <c r="J23" s="232"/>
      <c r="K23" s="232"/>
      <c r="L23" s="232"/>
      <c r="M23" s="232"/>
      <c r="N23" s="232"/>
      <c r="O23" s="232"/>
    </row>
    <row r="24" spans="1:15" s="247" customFormat="1" ht="15.5">
      <c r="A24" s="250" t="s">
        <v>1424</v>
      </c>
      <c r="B24" s="251" t="s">
        <v>5960</v>
      </c>
      <c r="C24" s="251"/>
      <c r="D24" s="985">
        <f>'Data Entry - SOF'!E80</f>
        <v>0</v>
      </c>
      <c r="E24" s="1005">
        <f>D24</f>
        <v>0</v>
      </c>
      <c r="F24" s="409"/>
      <c r="G24" s="409"/>
      <c r="H24" s="232"/>
      <c r="I24" s="232"/>
      <c r="J24" s="232"/>
      <c r="K24" s="232"/>
      <c r="L24" s="232"/>
      <c r="M24" s="232"/>
      <c r="N24" s="232"/>
      <c r="O24" s="232"/>
    </row>
    <row r="25" spans="1:15" s="247" customFormat="1" ht="15.5">
      <c r="A25" s="250" t="s">
        <v>6</v>
      </c>
      <c r="B25" s="251" t="s">
        <v>5961</v>
      </c>
      <c r="C25" s="251"/>
      <c r="D25" s="985">
        <f>D22+D24</f>
        <v>0</v>
      </c>
      <c r="E25" s="1005"/>
      <c r="F25" s="409"/>
      <c r="G25" s="409"/>
      <c r="H25" s="232"/>
      <c r="I25" s="232"/>
      <c r="J25" s="232"/>
      <c r="K25" s="232"/>
      <c r="L25" s="232"/>
      <c r="M25" s="232"/>
      <c r="N25" s="232"/>
      <c r="O25" s="232"/>
    </row>
    <row r="26" spans="1:15" s="247" customFormat="1" ht="15.5">
      <c r="A26" s="250" t="s">
        <v>2109</v>
      </c>
      <c r="B26" s="251" t="s">
        <v>5962</v>
      </c>
      <c r="C26" s="251"/>
      <c r="D26" s="2409" t="s">
        <v>1678</v>
      </c>
      <c r="E26" s="1005"/>
      <c r="F26" s="409"/>
      <c r="G26" s="409"/>
      <c r="H26" s="232"/>
      <c r="I26" s="232"/>
      <c r="J26" s="232"/>
      <c r="K26" s="232"/>
      <c r="L26" s="232"/>
      <c r="M26" s="232"/>
      <c r="N26" s="232"/>
      <c r="O26" s="232"/>
    </row>
    <row r="27" spans="1:15" s="247" customFormat="1" ht="18">
      <c r="A27" s="607" t="s">
        <v>2568</v>
      </c>
      <c r="B27" s="620"/>
      <c r="C27" s="620"/>
      <c r="D27" s="1031"/>
      <c r="E27" s="1008"/>
      <c r="F27" s="611"/>
      <c r="G27" s="611"/>
      <c r="H27" s="232"/>
      <c r="I27" s="232"/>
      <c r="J27" s="232"/>
      <c r="K27" s="232"/>
      <c r="L27" s="232"/>
      <c r="M27" s="232"/>
      <c r="N27" s="232"/>
      <c r="O27" s="232"/>
    </row>
    <row r="28" spans="1:15" s="247" customFormat="1" ht="15.5">
      <c r="A28" s="250" t="s">
        <v>2110</v>
      </c>
      <c r="B28" s="411" t="s">
        <v>8118</v>
      </c>
      <c r="C28" s="268"/>
      <c r="D28" s="437">
        <f>Assumptions!H145</f>
        <v>6160</v>
      </c>
      <c r="E28" s="1005"/>
      <c r="F28" s="409"/>
      <c r="G28" s="409"/>
      <c r="H28" s="232"/>
      <c r="I28" s="232"/>
      <c r="J28" s="232"/>
      <c r="K28" s="232"/>
      <c r="L28" s="232"/>
      <c r="M28" s="232"/>
      <c r="N28" s="232"/>
      <c r="O28" s="232"/>
    </row>
    <row r="29" spans="1:15" s="247" customFormat="1" ht="15.5">
      <c r="A29" s="250" t="s">
        <v>2562</v>
      </c>
      <c r="B29" s="1693" t="s">
        <v>8119</v>
      </c>
      <c r="C29" s="1692"/>
      <c r="D29" s="1724">
        <f>'Data Entry - SOF'!C19</f>
        <v>0</v>
      </c>
      <c r="E29" s="1686"/>
      <c r="F29" s="409"/>
      <c r="G29" s="409"/>
      <c r="H29" s="232"/>
      <c r="I29" s="232"/>
      <c r="J29" s="232"/>
      <c r="K29" s="232"/>
      <c r="L29" s="232"/>
      <c r="M29" s="232"/>
      <c r="N29" s="232"/>
      <c r="O29" s="232"/>
    </row>
    <row r="30" spans="1:15" s="247" customFormat="1" ht="15.5">
      <c r="A30" s="250" t="s">
        <v>2563</v>
      </c>
      <c r="B30" s="251" t="s">
        <v>2574</v>
      </c>
      <c r="C30" s="251"/>
      <c r="D30" s="1047">
        <f>Assumptions!H150</f>
        <v>629.51800000000003</v>
      </c>
      <c r="E30" s="1006">
        <f>D30</f>
        <v>629.51800000000003</v>
      </c>
      <c r="F30" s="1000"/>
      <c r="G30" s="1000"/>
      <c r="H30" s="232"/>
      <c r="I30" s="232"/>
      <c r="J30" s="232"/>
      <c r="K30" s="232"/>
      <c r="L30" s="232"/>
      <c r="M30" s="232"/>
      <c r="N30" s="232"/>
      <c r="O30" s="232"/>
    </row>
    <row r="31" spans="1:15" s="247" customFormat="1" ht="18">
      <c r="A31" s="621" t="s">
        <v>2594</v>
      </c>
      <c r="B31" s="620"/>
      <c r="C31" s="620"/>
      <c r="D31" s="1031"/>
      <c r="E31" s="1008"/>
      <c r="F31" s="611"/>
      <c r="G31" s="611"/>
      <c r="H31" s="232"/>
      <c r="I31" s="232"/>
      <c r="J31" s="232"/>
      <c r="K31" s="232"/>
      <c r="L31" s="232"/>
      <c r="M31" s="232"/>
      <c r="N31" s="232"/>
      <c r="O31" s="232"/>
    </row>
    <row r="32" spans="1:15" s="247" customFormat="1" ht="18">
      <c r="A32" s="621" t="s">
        <v>8120</v>
      </c>
      <c r="B32" s="621"/>
      <c r="C32" s="620"/>
      <c r="D32" s="1031"/>
      <c r="E32" s="1008"/>
      <c r="F32" s="611"/>
      <c r="G32" s="611"/>
      <c r="H32" s="232"/>
      <c r="I32" s="232"/>
      <c r="J32" s="232"/>
      <c r="K32" s="232"/>
      <c r="L32" s="232"/>
      <c r="M32" s="232"/>
      <c r="N32" s="232"/>
      <c r="O32" s="232"/>
    </row>
    <row r="33" spans="1:15" s="247" customFormat="1" ht="15.5">
      <c r="A33" s="250" t="s">
        <v>2564</v>
      </c>
      <c r="B33" s="251" t="s">
        <v>8121</v>
      </c>
      <c r="C33" s="251"/>
      <c r="D33" s="985">
        <f>'SOF2223-HB3'!I20</f>
        <v>0</v>
      </c>
      <c r="E33" s="1005">
        <f>'SOF2223-HB3'!I20</f>
        <v>0</v>
      </c>
      <c r="F33" s="409"/>
      <c r="G33" s="409"/>
      <c r="H33" s="232"/>
      <c r="I33" s="232"/>
      <c r="J33" s="232"/>
      <c r="K33" s="232"/>
      <c r="L33" s="232"/>
      <c r="M33" s="232"/>
      <c r="N33" s="232"/>
      <c r="O33" s="232"/>
    </row>
    <row r="34" spans="1:15" s="247" customFormat="1" ht="15.5">
      <c r="A34" s="250" t="s">
        <v>2565</v>
      </c>
      <c r="B34" s="1685" t="s">
        <v>8122</v>
      </c>
      <c r="C34" s="1685"/>
      <c r="D34" s="1691">
        <f>'SOF2223-HB3'!I21</f>
        <v>0</v>
      </c>
      <c r="E34" s="1686"/>
      <c r="F34" s="409"/>
      <c r="G34" s="409"/>
      <c r="H34" s="232"/>
      <c r="I34" s="232"/>
      <c r="J34" s="232"/>
      <c r="K34" s="232"/>
      <c r="L34" s="232"/>
      <c r="M34" s="232"/>
      <c r="N34" s="232"/>
      <c r="O34" s="232"/>
    </row>
    <row r="35" spans="1:15" s="247" customFormat="1" ht="15.5">
      <c r="A35" s="250" t="s">
        <v>2566</v>
      </c>
      <c r="B35" s="251" t="s">
        <v>8123</v>
      </c>
      <c r="C35" s="251"/>
      <c r="D35" s="985">
        <f>SUM('SOF2223-HB3'!I22:I28)</f>
        <v>0</v>
      </c>
      <c r="E35" s="1005">
        <f>'SOF2223-HB3'!I159</f>
        <v>0</v>
      </c>
      <c r="F35" s="409"/>
      <c r="G35" s="409"/>
      <c r="H35" s="232"/>
      <c r="I35" s="232"/>
      <c r="J35" s="232"/>
      <c r="K35" s="232"/>
      <c r="L35" s="232"/>
      <c r="M35" s="232"/>
      <c r="N35" s="232"/>
      <c r="O35" s="232"/>
    </row>
    <row r="36" spans="1:15" s="247" customFormat="1" ht="15.5">
      <c r="A36" s="250" t="s">
        <v>2567</v>
      </c>
      <c r="B36" s="1685" t="s">
        <v>8269</v>
      </c>
      <c r="C36" s="1685"/>
      <c r="D36" s="1691">
        <f>'SOF2223-HB3'!I46</f>
        <v>0</v>
      </c>
      <c r="E36" s="1686"/>
      <c r="F36" s="409"/>
      <c r="G36" s="409"/>
      <c r="H36" s="232"/>
      <c r="I36" s="232"/>
      <c r="J36" s="232"/>
      <c r="K36" s="232"/>
      <c r="L36" s="232"/>
      <c r="M36" s="232"/>
      <c r="N36" s="232"/>
      <c r="O36" s="232"/>
    </row>
    <row r="37" spans="1:15" s="247" customFormat="1" ht="15.5">
      <c r="A37" s="250" t="s">
        <v>2569</v>
      </c>
      <c r="B37" s="251" t="s">
        <v>8124</v>
      </c>
      <c r="C37" s="251"/>
      <c r="D37" s="985">
        <f>SUM('SOF2223-HB3'!I36:I42)</f>
        <v>0</v>
      </c>
      <c r="E37" s="1005" t="e">
        <f>'SOF2223-HB3'!I162</f>
        <v>#DIV/0!</v>
      </c>
      <c r="F37" s="409"/>
      <c r="G37" s="409"/>
      <c r="H37" s="232"/>
      <c r="I37" s="232"/>
      <c r="J37" s="232"/>
      <c r="K37" s="232"/>
      <c r="L37" s="232"/>
      <c r="M37" s="232"/>
      <c r="N37" s="232"/>
      <c r="O37" s="232"/>
    </row>
    <row r="38" spans="1:15" s="247" customFormat="1" ht="15.5">
      <c r="A38" s="250" t="s">
        <v>2570</v>
      </c>
      <c r="B38" s="251" t="s">
        <v>8125</v>
      </c>
      <c r="C38" s="251"/>
      <c r="D38" s="985">
        <f>SUM('SOF2223-HB3'!I43:I45)</f>
        <v>0</v>
      </c>
      <c r="E38" s="1005">
        <f>'SOF2223-HB3'!I165</f>
        <v>0</v>
      </c>
      <c r="F38" s="409"/>
      <c r="G38" s="409"/>
      <c r="H38" s="232"/>
      <c r="I38" s="232"/>
      <c r="J38" s="232"/>
      <c r="K38" s="232"/>
      <c r="L38" s="232"/>
      <c r="M38" s="232"/>
      <c r="N38" s="232"/>
      <c r="O38" s="232"/>
    </row>
    <row r="39" spans="1:15" s="247" customFormat="1" ht="15.5">
      <c r="A39" s="250" t="s">
        <v>2571</v>
      </c>
      <c r="B39" s="251" t="s">
        <v>8126</v>
      </c>
      <c r="C39" s="251"/>
      <c r="D39" s="985">
        <f>SUM('SOF2223-HB3'!I29:I32)</f>
        <v>0</v>
      </c>
      <c r="E39" s="1005" t="e">
        <f>'SOF2223-HB3'!I160</f>
        <v>#REF!</v>
      </c>
      <c r="F39" s="409"/>
      <c r="G39" s="409"/>
      <c r="H39" s="232"/>
      <c r="I39" s="232"/>
      <c r="J39" s="232"/>
      <c r="K39" s="232"/>
      <c r="L39" s="232"/>
      <c r="M39" s="232"/>
      <c r="N39" s="232"/>
      <c r="O39" s="232"/>
    </row>
    <row r="40" spans="1:15" s="247" customFormat="1" ht="15.5">
      <c r="A40" s="250" t="s">
        <v>2572</v>
      </c>
      <c r="B40" s="251" t="s">
        <v>8127</v>
      </c>
      <c r="C40" s="251"/>
      <c r="D40" s="985">
        <f>'SOF2223-HB3'!I50</f>
        <v>0</v>
      </c>
      <c r="E40" s="1005">
        <f>'SOF2223-HB3'!I50</f>
        <v>0</v>
      </c>
      <c r="F40" s="409"/>
      <c r="G40" s="409"/>
      <c r="H40" s="232"/>
      <c r="I40" s="232"/>
      <c r="J40" s="232"/>
      <c r="K40" s="232"/>
      <c r="L40" s="232"/>
      <c r="M40" s="232"/>
      <c r="N40" s="232"/>
      <c r="O40" s="232"/>
    </row>
    <row r="41" spans="1:15" s="247" customFormat="1" ht="15.5">
      <c r="A41" s="250" t="s">
        <v>2573</v>
      </c>
      <c r="B41" s="1685" t="s">
        <v>8270</v>
      </c>
      <c r="C41" s="1685"/>
      <c r="D41" s="1691">
        <f>'SOF2223-HB3'!I47</f>
        <v>0</v>
      </c>
      <c r="E41" s="1686"/>
      <c r="F41" s="409"/>
      <c r="G41" s="409"/>
      <c r="H41" s="232"/>
      <c r="I41" s="232"/>
      <c r="J41" s="232"/>
      <c r="K41" s="232"/>
      <c r="L41" s="232"/>
      <c r="M41" s="232"/>
      <c r="N41" s="232"/>
      <c r="O41" s="232"/>
    </row>
    <row r="42" spans="1:15" s="2040" customFormat="1" ht="15.5">
      <c r="A42" s="250" t="s">
        <v>2575</v>
      </c>
      <c r="B42" s="2186" t="s">
        <v>9064</v>
      </c>
      <c r="C42" s="2186"/>
      <c r="D42" s="2187">
        <f>'SOF2223-HB3'!I33+'SOF2223-HB3'!I34</f>
        <v>0</v>
      </c>
      <c r="E42" s="2188"/>
      <c r="F42" s="409"/>
      <c r="G42" s="409"/>
      <c r="H42" s="2033" t="s">
        <v>12492</v>
      </c>
      <c r="I42" s="2039"/>
      <c r="J42" s="2039"/>
      <c r="K42" s="2039"/>
      <c r="L42" s="2039"/>
      <c r="M42" s="2039"/>
      <c r="N42" s="2039"/>
      <c r="O42" s="2039"/>
    </row>
    <row r="43" spans="1:15" s="247" customFormat="1" ht="15.5">
      <c r="A43" s="250" t="s">
        <v>2576</v>
      </c>
      <c r="B43" s="1694" t="s">
        <v>8271</v>
      </c>
      <c r="C43" s="1685"/>
      <c r="D43" s="1148">
        <f>'SOF2223-HB3'!I48</f>
        <v>0</v>
      </c>
      <c r="E43" s="1686"/>
      <c r="F43" s="409"/>
      <c r="G43" s="409"/>
      <c r="H43" s="2039"/>
      <c r="I43" s="2762" t="s">
        <v>10800</v>
      </c>
      <c r="J43" s="2762" t="s">
        <v>10801</v>
      </c>
      <c r="K43" s="232"/>
      <c r="L43" s="232"/>
      <c r="M43" s="232"/>
      <c r="N43" s="232"/>
      <c r="O43" s="232"/>
    </row>
    <row r="44" spans="1:15" s="247" customFormat="1" ht="15.5">
      <c r="A44" s="250" t="s">
        <v>2577</v>
      </c>
      <c r="B44" s="1695" t="s">
        <v>8128</v>
      </c>
      <c r="C44" s="1147"/>
      <c r="D44" s="1148">
        <f>'SOF2223-HB3'!I51</f>
        <v>0</v>
      </c>
      <c r="E44" s="1149"/>
      <c r="F44" s="409"/>
      <c r="G44" s="409"/>
      <c r="H44" s="2763" t="s">
        <v>9115</v>
      </c>
      <c r="I44" s="2764">
        <f>IF(ISNA('DE1'!H157),0,'DE1'!H157)</f>
        <v>0</v>
      </c>
      <c r="J44" s="2764">
        <f>I44*0.82683</f>
        <v>0</v>
      </c>
      <c r="K44" s="232"/>
      <c r="L44" s="232"/>
      <c r="M44" s="232"/>
      <c r="N44" s="232"/>
      <c r="O44" s="232"/>
    </row>
    <row r="45" spans="1:15" s="247" customFormat="1" ht="15.5">
      <c r="A45" s="250" t="s">
        <v>2578</v>
      </c>
      <c r="B45" s="1695" t="s">
        <v>8129</v>
      </c>
      <c r="C45" s="1147"/>
      <c r="D45" s="1148">
        <f>'SOF2223-HB3'!I52</f>
        <v>0</v>
      </c>
      <c r="E45" s="1149"/>
      <c r="F45" s="409"/>
      <c r="G45" s="409"/>
      <c r="H45" s="2039"/>
      <c r="I45" s="232"/>
      <c r="J45" s="232"/>
      <c r="K45" s="232"/>
      <c r="L45" s="232"/>
      <c r="M45" s="232"/>
      <c r="N45" s="232"/>
      <c r="O45" s="232"/>
    </row>
    <row r="46" spans="1:15" s="247" customFormat="1" ht="15.5">
      <c r="A46" s="250" t="s">
        <v>2579</v>
      </c>
      <c r="B46" s="1696" t="s">
        <v>8130</v>
      </c>
      <c r="C46" s="1147"/>
      <c r="D46" s="1148">
        <f>'SOF2223-HB3'!I53</f>
        <v>0</v>
      </c>
      <c r="E46" s="1149"/>
      <c r="F46" s="409"/>
      <c r="G46" s="409"/>
      <c r="H46" s="2039"/>
      <c r="I46" s="232"/>
      <c r="J46" s="232"/>
      <c r="K46" s="232"/>
      <c r="L46" s="232"/>
      <c r="M46" s="232"/>
      <c r="N46" s="232"/>
      <c r="O46" s="232"/>
    </row>
    <row r="47" spans="1:15" s="247" customFormat="1" ht="15.5">
      <c r="A47" s="250" t="s">
        <v>2580</v>
      </c>
      <c r="B47" s="1695" t="s">
        <v>8131</v>
      </c>
      <c r="C47" s="1147"/>
      <c r="D47" s="1148">
        <f>'SOF2223-HB3'!I54</f>
        <v>0</v>
      </c>
      <c r="E47" s="1149"/>
      <c r="F47" s="409"/>
      <c r="G47" s="409"/>
      <c r="H47" s="232"/>
      <c r="I47" s="232"/>
      <c r="J47" s="232"/>
      <c r="K47" s="232"/>
      <c r="L47" s="232"/>
      <c r="M47" s="232"/>
      <c r="N47" s="232"/>
      <c r="O47" s="232"/>
    </row>
    <row r="48" spans="1:15" s="247" customFormat="1" ht="18">
      <c r="A48" s="621" t="s">
        <v>8132</v>
      </c>
      <c r="B48" s="621"/>
      <c r="C48" s="620"/>
      <c r="D48" s="1031"/>
      <c r="E48" s="1008"/>
      <c r="F48" s="611"/>
      <c r="G48" s="611"/>
      <c r="H48" s="232"/>
      <c r="I48" s="232"/>
      <c r="J48" s="232"/>
      <c r="K48" s="232"/>
      <c r="L48" s="232"/>
      <c r="M48" s="232"/>
      <c r="N48" s="232"/>
      <c r="O48" s="232"/>
    </row>
    <row r="49" spans="1:15" s="247" customFormat="1" ht="15.5">
      <c r="A49" s="250" t="s">
        <v>2581</v>
      </c>
      <c r="B49" s="251" t="s">
        <v>8133</v>
      </c>
      <c r="C49" s="251"/>
      <c r="D49" s="985">
        <f>'SOF2223-HB3'!I57</f>
        <v>0</v>
      </c>
      <c r="E49" s="1005">
        <f>'SOF2223-HB3'!I57</f>
        <v>0</v>
      </c>
      <c r="F49" s="409"/>
      <c r="G49" s="409"/>
      <c r="H49" s="232"/>
      <c r="I49" s="232"/>
      <c r="J49" s="232"/>
      <c r="K49" s="232"/>
      <c r="L49" s="232"/>
      <c r="M49" s="232"/>
      <c r="N49" s="232"/>
      <c r="O49" s="232"/>
    </row>
    <row r="50" spans="1:15" s="247" customFormat="1" ht="15.5">
      <c r="A50" s="250" t="s">
        <v>2582</v>
      </c>
      <c r="B50" s="251" t="s">
        <v>8134</v>
      </c>
      <c r="C50" s="251"/>
      <c r="D50" s="985">
        <f>'SOF2223-HB3'!I56</f>
        <v>0</v>
      </c>
      <c r="E50" s="1005">
        <f>'SOF2223-HB3'!I56</f>
        <v>0</v>
      </c>
      <c r="F50" s="409"/>
      <c r="G50" s="409"/>
      <c r="H50" s="2033" t="s">
        <v>12618</v>
      </c>
      <c r="I50" s="232"/>
      <c r="J50" s="232"/>
      <c r="K50" s="232"/>
      <c r="L50" s="232"/>
      <c r="M50" s="232"/>
      <c r="N50" s="232"/>
      <c r="O50" s="232"/>
    </row>
    <row r="51" spans="1:15" s="247" customFormat="1" ht="15.5">
      <c r="A51" s="250" t="s">
        <v>2583</v>
      </c>
      <c r="B51" s="1685" t="s">
        <v>8135</v>
      </c>
      <c r="C51" s="1685"/>
      <c r="D51" s="1691">
        <f>'SOF2223-HB3'!I58</f>
        <v>0</v>
      </c>
      <c r="E51" s="1686"/>
      <c r="F51" s="409"/>
      <c r="G51" s="409"/>
      <c r="H51" s="232"/>
      <c r="I51" s="232"/>
      <c r="J51" s="232"/>
      <c r="K51" s="232"/>
      <c r="L51" s="232"/>
      <c r="M51" s="232"/>
      <c r="N51" s="232"/>
      <c r="O51" s="232"/>
    </row>
    <row r="52" spans="1:15" ht="15.5">
      <c r="A52" s="250" t="s">
        <v>2584</v>
      </c>
      <c r="B52" s="1685" t="s">
        <v>8136</v>
      </c>
      <c r="C52" s="1685"/>
      <c r="D52" s="1691">
        <f>'SOF2223-HB3'!I55</f>
        <v>0</v>
      </c>
    </row>
    <row r="53" spans="1:15" ht="15.5">
      <c r="A53" s="250" t="s">
        <v>2585</v>
      </c>
      <c r="B53" s="1685" t="s">
        <v>8234</v>
      </c>
      <c r="C53" s="1685"/>
      <c r="D53" s="1691">
        <f>'SOF2223-HB3'!I59</f>
        <v>0</v>
      </c>
    </row>
    <row r="54" spans="1:15" ht="15.5">
      <c r="A54" s="250" t="s">
        <v>2586</v>
      </c>
      <c r="B54" s="1685" t="s">
        <v>8138</v>
      </c>
      <c r="C54" s="1685"/>
      <c r="D54" s="1691">
        <f>'SOF2223-HB3'!I60</f>
        <v>0</v>
      </c>
    </row>
    <row r="55" spans="1:15" s="247" customFormat="1" ht="15.5">
      <c r="A55" s="250" t="s">
        <v>2587</v>
      </c>
      <c r="B55" s="411" t="s">
        <v>5980</v>
      </c>
      <c r="C55" s="251"/>
      <c r="D55" s="985">
        <f>'SOF2223-HB3'!I61</f>
        <v>0</v>
      </c>
      <c r="E55" s="1005">
        <f>'SOF2223-HB3'!I61</f>
        <v>0</v>
      </c>
      <c r="F55" s="409"/>
      <c r="G55" s="409"/>
      <c r="H55" s="232"/>
      <c r="I55" s="232"/>
      <c r="J55" s="232"/>
      <c r="K55" s="232"/>
      <c r="L55" s="232"/>
      <c r="M55" s="232"/>
      <c r="N55" s="232"/>
      <c r="O55" s="232"/>
    </row>
    <row r="56" spans="1:15" s="247" customFormat="1" ht="15.5">
      <c r="A56" s="250" t="s">
        <v>2588</v>
      </c>
      <c r="B56" s="251" t="s">
        <v>2595</v>
      </c>
      <c r="C56" s="251"/>
      <c r="D56" s="985">
        <f>'SOF2223-HB3'!I62</f>
        <v>0</v>
      </c>
      <c r="E56" s="1005">
        <f>'SOF2223-HB3'!I62</f>
        <v>0</v>
      </c>
      <c r="F56" s="409"/>
      <c r="G56" s="409"/>
      <c r="H56" s="232"/>
      <c r="I56" s="232"/>
      <c r="J56" s="232"/>
      <c r="K56" s="232"/>
      <c r="L56" s="232"/>
      <c r="M56" s="232"/>
      <c r="N56" s="232"/>
      <c r="O56" s="232"/>
    </row>
    <row r="57" spans="1:15" s="247" customFormat="1" ht="15.5">
      <c r="A57" s="250" t="s">
        <v>2589</v>
      </c>
      <c r="B57" s="251" t="s">
        <v>2596</v>
      </c>
      <c r="C57" s="251"/>
      <c r="D57" s="985">
        <f>'SOF2223-HB3'!I99</f>
        <v>0</v>
      </c>
      <c r="E57" s="1005">
        <f>'SOF2223-HB3'!H100</f>
        <v>0</v>
      </c>
      <c r="F57" s="409"/>
      <c r="G57" s="409"/>
      <c r="H57" s="232"/>
      <c r="I57" s="232"/>
      <c r="J57" s="232"/>
      <c r="K57" s="232"/>
      <c r="L57" s="232"/>
      <c r="M57" s="232"/>
      <c r="N57" s="232"/>
      <c r="O57" s="232"/>
    </row>
    <row r="58" spans="1:15" s="247" customFormat="1" ht="18">
      <c r="A58" s="622" t="s">
        <v>8139</v>
      </c>
      <c r="B58" s="623"/>
      <c r="C58" s="623"/>
      <c r="D58" s="1048"/>
      <c r="E58" s="1011"/>
      <c r="F58" s="611"/>
      <c r="G58" s="611"/>
      <c r="H58" s="232"/>
      <c r="I58" s="232"/>
      <c r="J58" s="232"/>
      <c r="K58" s="232"/>
      <c r="L58" s="232"/>
      <c r="M58" s="232"/>
      <c r="N58" s="232"/>
      <c r="O58" s="232"/>
    </row>
    <row r="59" spans="1:15" s="247" customFormat="1" ht="15.5">
      <c r="A59" s="250" t="s">
        <v>2590</v>
      </c>
      <c r="B59" s="251" t="s">
        <v>9241</v>
      </c>
      <c r="C59" s="251"/>
      <c r="D59" s="985">
        <f>IF(OR(D55-D56-D57&lt;=0,'Data Entry - SOF'!E74&lt;'Data Entry - SOF'!E72),0,D55-D56-D57)</f>
        <v>0</v>
      </c>
      <c r="E59" s="1005">
        <f>'SOF2223-HB3'!I63</f>
        <v>0</v>
      </c>
      <c r="F59" s="409"/>
      <c r="G59" s="409"/>
      <c r="H59" s="358" t="s">
        <v>11158</v>
      </c>
      <c r="I59" s="232"/>
      <c r="J59" s="232"/>
      <c r="K59" s="232"/>
      <c r="L59" s="232"/>
      <c r="M59" s="232"/>
      <c r="N59" s="232"/>
      <c r="O59" s="232"/>
    </row>
    <row r="60" spans="1:15" s="247" customFormat="1" ht="15.5">
      <c r="A60" s="250" t="s">
        <v>2591</v>
      </c>
      <c r="B60" s="410" t="s">
        <v>8346</v>
      </c>
      <c r="C60" s="251"/>
      <c r="D60" s="985" t="e">
        <f>'SOF2223-HB3'!I78</f>
        <v>#DIV/0!</v>
      </c>
      <c r="E60" s="1005" t="e">
        <f>'SOF2223-HB3'!I81</f>
        <v>#DIV/0!</v>
      </c>
      <c r="F60" s="409"/>
      <c r="G60" s="409"/>
      <c r="H60" s="232"/>
      <c r="I60" s="232"/>
      <c r="J60" s="232"/>
      <c r="K60" s="232"/>
      <c r="L60" s="232"/>
      <c r="M60" s="232"/>
      <c r="N60" s="232"/>
      <c r="O60" s="232"/>
    </row>
    <row r="61" spans="1:15" s="247" customFormat="1" ht="15.5">
      <c r="A61" s="250" t="s">
        <v>2592</v>
      </c>
      <c r="B61" s="411" t="s">
        <v>5981</v>
      </c>
      <c r="C61" s="251"/>
      <c r="D61" s="985" t="e">
        <f>'OtherDetail2223-HB3'!D30</f>
        <v>#DIV/0!</v>
      </c>
      <c r="E61" s="1005"/>
      <c r="F61" s="409"/>
      <c r="G61" s="409"/>
      <c r="H61" s="358" t="s">
        <v>11468</v>
      </c>
      <c r="I61" s="232"/>
      <c r="J61" s="232"/>
      <c r="K61" s="232"/>
      <c r="L61" s="232"/>
      <c r="M61" s="232"/>
      <c r="N61" s="232"/>
      <c r="O61" s="232"/>
    </row>
    <row r="62" spans="1:15" s="247" customFormat="1" ht="15.5">
      <c r="A62" s="250" t="s">
        <v>2593</v>
      </c>
      <c r="B62" s="251" t="s">
        <v>2597</v>
      </c>
      <c r="C62" s="251"/>
      <c r="D62" s="985" t="e">
        <f>D59+D60+IF(D61&lt;0,D61-'Data Entry - SOF'!E116,D61)</f>
        <v>#DIV/0!</v>
      </c>
      <c r="E62" s="1005"/>
      <c r="F62" s="409"/>
      <c r="G62" s="409"/>
      <c r="H62" s="232"/>
      <c r="I62" s="232"/>
      <c r="J62" s="232"/>
      <c r="K62" s="232"/>
      <c r="L62" s="232"/>
      <c r="M62" s="232"/>
      <c r="N62" s="232"/>
      <c r="O62" s="232"/>
    </row>
    <row r="63" spans="1:15" s="247" customFormat="1" ht="18">
      <c r="A63" s="607" t="s">
        <v>8140</v>
      </c>
      <c r="B63" s="620"/>
      <c r="C63" s="620"/>
      <c r="D63" s="1031"/>
      <c r="E63" s="1008"/>
      <c r="F63" s="611"/>
      <c r="G63" s="611"/>
      <c r="H63" s="232"/>
      <c r="I63" s="232"/>
      <c r="J63" s="232"/>
      <c r="K63" s="232"/>
      <c r="L63" s="232"/>
      <c r="M63" s="232"/>
      <c r="N63" s="232"/>
      <c r="O63" s="232"/>
    </row>
    <row r="64" spans="1:15" s="247" customFormat="1" ht="18">
      <c r="A64" s="621" t="s">
        <v>8141</v>
      </c>
      <c r="B64" s="621"/>
      <c r="C64" s="620"/>
      <c r="D64" s="1031"/>
      <c r="E64" s="1008"/>
      <c r="F64" s="611"/>
      <c r="G64" s="611"/>
      <c r="H64" s="232"/>
      <c r="I64" s="232"/>
      <c r="J64" s="232"/>
      <c r="K64" s="232"/>
      <c r="L64" s="232"/>
      <c r="M64" s="232"/>
      <c r="N64" s="232"/>
      <c r="O64" s="232"/>
    </row>
    <row r="65" spans="1:15" s="247" customFormat="1" ht="15.5">
      <c r="A65" s="250" t="s">
        <v>2602</v>
      </c>
      <c r="B65" s="251" t="s">
        <v>2608</v>
      </c>
      <c r="C65" s="251"/>
      <c r="D65" s="985" t="e">
        <f>D62</f>
        <v>#DIV/0!</v>
      </c>
      <c r="E65" s="1005" t="e">
        <f>'SOF2223-HB3'!#REF!</f>
        <v>#REF!</v>
      </c>
      <c r="F65" s="409"/>
      <c r="G65" s="409"/>
      <c r="H65" s="2039"/>
      <c r="I65" s="232"/>
      <c r="J65" s="232"/>
      <c r="K65" s="232"/>
      <c r="L65" s="232"/>
      <c r="M65" s="232"/>
      <c r="N65" s="232"/>
      <c r="O65" s="232"/>
    </row>
    <row r="66" spans="1:15" s="247" customFormat="1" ht="15.5">
      <c r="A66" s="250" t="s">
        <v>2603</v>
      </c>
      <c r="B66" s="251" t="s">
        <v>2735</v>
      </c>
      <c r="C66" s="251"/>
      <c r="D66" s="985">
        <f>'SOF2223-HB3'!I99</f>
        <v>0</v>
      </c>
      <c r="E66" s="1005">
        <f>'SOF2223-HB3'!I100</f>
        <v>0</v>
      </c>
      <c r="F66" s="409"/>
      <c r="G66" s="409"/>
      <c r="H66" s="232"/>
      <c r="I66" s="232"/>
      <c r="J66" s="232"/>
      <c r="K66" s="232"/>
      <c r="L66" s="232"/>
      <c r="M66" s="232"/>
      <c r="N66" s="232"/>
      <c r="O66" s="232"/>
    </row>
    <row r="67" spans="1:15" s="247" customFormat="1" ht="18">
      <c r="A67" s="621" t="s">
        <v>8142</v>
      </c>
      <c r="B67" s="621"/>
      <c r="C67" s="620"/>
      <c r="D67" s="1031"/>
      <c r="E67" s="1008"/>
      <c r="F67" s="611"/>
      <c r="G67" s="611"/>
      <c r="H67" s="232"/>
      <c r="I67" s="232"/>
      <c r="J67" s="232"/>
      <c r="K67" s="232"/>
      <c r="L67" s="232"/>
      <c r="M67" s="232"/>
      <c r="N67" s="232"/>
      <c r="O67" s="232"/>
    </row>
    <row r="68" spans="1:15" s="247" customFormat="1" ht="15.5">
      <c r="A68" s="250" t="s">
        <v>2604</v>
      </c>
      <c r="B68" s="410" t="s">
        <v>7063</v>
      </c>
      <c r="C68" s="251"/>
      <c r="D68" s="985">
        <f>'Existing Debt-HB3'!K74</f>
        <v>0</v>
      </c>
      <c r="E68" s="1005">
        <f>D68</f>
        <v>0</v>
      </c>
      <c r="F68" s="409"/>
      <c r="G68" s="409"/>
      <c r="H68" s="232"/>
      <c r="I68" s="232"/>
      <c r="J68" s="232"/>
      <c r="K68" s="232"/>
      <c r="L68" s="232"/>
      <c r="M68" s="232"/>
      <c r="N68" s="232"/>
      <c r="O68" s="232"/>
    </row>
    <row r="69" spans="1:15" s="247" customFormat="1" ht="15.5">
      <c r="A69" s="250" t="s">
        <v>2605</v>
      </c>
      <c r="B69" s="411" t="s">
        <v>5983</v>
      </c>
      <c r="C69" s="251"/>
      <c r="D69" s="985">
        <f>'IFA-HB3'!O86</f>
        <v>0</v>
      </c>
      <c r="E69" s="1005">
        <f>D69</f>
        <v>0</v>
      </c>
      <c r="F69" s="409"/>
      <c r="G69" s="409"/>
      <c r="H69" s="232"/>
      <c r="I69" s="232"/>
      <c r="J69" s="232"/>
      <c r="K69" s="232"/>
      <c r="L69" s="232"/>
      <c r="M69" s="232"/>
      <c r="N69" s="232"/>
      <c r="O69" s="232"/>
    </row>
    <row r="70" spans="1:15" s="247" customFormat="1" ht="15.5">
      <c r="A70" s="250" t="s">
        <v>2606</v>
      </c>
      <c r="B70" s="410" t="s">
        <v>5984</v>
      </c>
      <c r="C70" s="251"/>
      <c r="D70" s="985">
        <f>'IFA-HB3'!R75</f>
        <v>0</v>
      </c>
      <c r="E70" s="1005">
        <f>D70</f>
        <v>0</v>
      </c>
      <c r="F70" s="409"/>
      <c r="G70" s="409"/>
      <c r="H70" s="232"/>
      <c r="I70" s="232"/>
      <c r="J70" s="232"/>
      <c r="K70" s="232"/>
      <c r="L70" s="232"/>
      <c r="M70" s="232"/>
      <c r="N70" s="232"/>
      <c r="O70" s="232"/>
    </row>
    <row r="71" spans="1:15" s="247" customFormat="1" ht="15.5">
      <c r="A71" s="250" t="s">
        <v>2607</v>
      </c>
      <c r="B71" s="410" t="s">
        <v>10994</v>
      </c>
      <c r="C71" s="251"/>
      <c r="D71" s="985" t="e">
        <f>'HH2223-40KCalcs'!C50+'HH2223-40KCalcs'!C74</f>
        <v>#DIV/0!</v>
      </c>
      <c r="E71" s="1005"/>
      <c r="F71" s="409"/>
      <c r="G71" s="409"/>
      <c r="H71" s="232"/>
      <c r="I71" s="232"/>
      <c r="J71" s="232"/>
      <c r="K71" s="232"/>
      <c r="L71" s="232"/>
      <c r="M71" s="232"/>
      <c r="N71" s="232"/>
      <c r="O71" s="232"/>
    </row>
    <row r="72" spans="1:15" s="247" customFormat="1" ht="18">
      <c r="A72" s="1763" t="s">
        <v>2662</v>
      </c>
      <c r="B72" s="567" t="s">
        <v>5963</v>
      </c>
      <c r="C72" s="624"/>
      <c r="D72" s="1049" t="e">
        <f>SUM(D65:D71)</f>
        <v>#DIV/0!</v>
      </c>
      <c r="E72" s="1007">
        <f>'SOF2223-HB3'!I105</f>
        <v>0</v>
      </c>
      <c r="F72" s="1001"/>
      <c r="G72" s="1001"/>
      <c r="H72" s="232"/>
      <c r="I72" s="232"/>
      <c r="J72" s="232"/>
      <c r="K72" s="232"/>
      <c r="L72" s="232"/>
      <c r="M72" s="232"/>
      <c r="N72" s="232"/>
      <c r="O72" s="232"/>
    </row>
    <row r="73" spans="1:15" s="247" customFormat="1" ht="18">
      <c r="A73" s="621" t="s">
        <v>8143</v>
      </c>
      <c r="B73" s="621"/>
      <c r="C73" s="620"/>
      <c r="D73" s="1031"/>
      <c r="E73" s="1008"/>
      <c r="F73" s="611"/>
      <c r="G73" s="611"/>
      <c r="H73" s="232"/>
      <c r="I73" s="232"/>
      <c r="J73" s="232"/>
      <c r="K73" s="232"/>
      <c r="L73" s="232"/>
      <c r="M73" s="232"/>
      <c r="N73" s="232"/>
      <c r="O73" s="232"/>
    </row>
    <row r="74" spans="1:15" s="247" customFormat="1" ht="15.5">
      <c r="A74" s="250" t="s">
        <v>2824</v>
      </c>
      <c r="B74" s="1693" t="s">
        <v>10445</v>
      </c>
      <c r="C74" s="1685"/>
      <c r="D74" s="3230" t="e">
        <f>Recap40K_Detail2223!C33</f>
        <v>#DIV/0!</v>
      </c>
      <c r="H74" s="232"/>
      <c r="I74" s="232"/>
      <c r="J74" s="232"/>
      <c r="K74" s="232"/>
      <c r="L74" s="232"/>
      <c r="M74" s="232"/>
      <c r="N74" s="232"/>
      <c r="O74" s="232"/>
    </row>
    <row r="75" spans="1:15" s="247" customFormat="1" ht="15.5">
      <c r="A75" s="1697"/>
      <c r="B75" s="1689"/>
      <c r="C75" s="1689"/>
      <c r="D75" s="1689"/>
      <c r="H75" s="232"/>
      <c r="I75" s="232"/>
      <c r="J75" s="232"/>
      <c r="K75" s="232"/>
      <c r="L75" s="232"/>
      <c r="M75" s="232"/>
      <c r="N75" s="232"/>
      <c r="O75" s="232"/>
    </row>
    <row r="76" spans="1:15" s="247" customFormat="1" ht="15.5">
      <c r="A76" s="2342"/>
      <c r="B76" s="2343" t="s">
        <v>8303</v>
      </c>
      <c r="C76" s="2344"/>
      <c r="D76" s="2344"/>
      <c r="H76" s="232"/>
      <c r="I76" s="232"/>
      <c r="J76" s="232"/>
      <c r="K76" s="232"/>
      <c r="L76" s="232"/>
      <c r="M76" s="232"/>
      <c r="N76" s="232"/>
      <c r="O76" s="232"/>
    </row>
    <row r="77" spans="1:15" s="247" customFormat="1" ht="15.5">
      <c r="A77" s="1698"/>
      <c r="B77" s="1699"/>
      <c r="H77" s="232"/>
      <c r="I77" s="232"/>
      <c r="J77" s="232"/>
      <c r="K77" s="232"/>
      <c r="L77" s="232"/>
      <c r="M77" s="232"/>
      <c r="N77" s="232"/>
      <c r="O77" s="232"/>
    </row>
    <row r="78" spans="1:15" s="247" customFormat="1" ht="16" thickBot="1">
      <c r="A78" s="1700"/>
      <c r="C78" s="1701"/>
      <c r="D78" s="1701"/>
      <c r="E78" s="247" t="e">
        <f>(E65+E66)/D10</f>
        <v>#REF!</v>
      </c>
      <c r="H78" s="232"/>
      <c r="I78" s="232"/>
      <c r="J78" s="232"/>
      <c r="K78" s="232"/>
      <c r="L78" s="232"/>
      <c r="M78" s="232"/>
      <c r="N78" s="232"/>
      <c r="O78" s="232"/>
    </row>
    <row r="79" spans="1:15" ht="16" thickTop="1">
      <c r="A79" s="1715" t="s">
        <v>2782</v>
      </c>
      <c r="B79" s="1716"/>
      <c r="C79" s="1717"/>
      <c r="D79" s="1718"/>
      <c r="E79" s="247"/>
      <c r="F79" s="247"/>
      <c r="G79" s="247"/>
    </row>
    <row r="80" spans="1:15" ht="15.5">
      <c r="A80" s="1702" t="s">
        <v>2318</v>
      </c>
      <c r="C80" s="1703"/>
      <c r="D80" s="1704"/>
      <c r="E80" s="232"/>
      <c r="F80" s="232"/>
      <c r="G80" s="232"/>
    </row>
    <row r="81" spans="1:7" ht="15.5">
      <c r="A81" s="382" t="s">
        <v>2825</v>
      </c>
      <c r="B81" s="1705" t="s">
        <v>8145</v>
      </c>
      <c r="C81" s="1703"/>
      <c r="D81" s="1725" t="e">
        <f>D65+D66</f>
        <v>#DIV/0!</v>
      </c>
      <c r="E81" s="232"/>
      <c r="F81" s="232"/>
      <c r="G81" s="232"/>
    </row>
    <row r="82" spans="1:7" ht="15.5">
      <c r="A82" s="382" t="s">
        <v>2826</v>
      </c>
      <c r="B82" s="381" t="s">
        <v>7906</v>
      </c>
      <c r="C82" s="249"/>
      <c r="D82" s="281">
        <f>'Data Entry - SOF'!E75</f>
        <v>0</v>
      </c>
      <c r="E82" s="409"/>
      <c r="F82" s="409"/>
      <c r="G82" s="409"/>
    </row>
    <row r="83" spans="1:7" ht="15.5">
      <c r="A83" s="382" t="s">
        <v>2827</v>
      </c>
      <c r="B83" s="381" t="s">
        <v>7907</v>
      </c>
      <c r="C83" s="386"/>
      <c r="D83" s="281" t="e">
        <f>'SOF2223-HB3'!I74</f>
        <v>#DIV/0!</v>
      </c>
      <c r="E83" s="409"/>
      <c r="F83" s="409"/>
      <c r="G83" s="409"/>
    </row>
    <row r="84" spans="1:7" ht="15.5">
      <c r="A84" s="382" t="s">
        <v>2828</v>
      </c>
      <c r="B84" s="381" t="s">
        <v>7908</v>
      </c>
      <c r="C84" s="249"/>
      <c r="D84" s="281" t="e">
        <f>'SOF2223-HB3'!I82</f>
        <v>#DIV/0!</v>
      </c>
      <c r="E84" s="409"/>
      <c r="F84" s="409"/>
      <c r="G84" s="409"/>
    </row>
    <row r="85" spans="1:7" ht="15.5">
      <c r="A85" s="382" t="s">
        <v>2829</v>
      </c>
      <c r="B85" s="1677" t="s">
        <v>7909</v>
      </c>
      <c r="C85" s="249"/>
      <c r="D85" s="281" t="e">
        <f>D82-D83-D84</f>
        <v>#DIV/0!</v>
      </c>
      <c r="E85" s="409"/>
      <c r="F85" s="409"/>
      <c r="G85" s="409"/>
    </row>
    <row r="86" spans="1:7" ht="15.5">
      <c r="A86" s="382" t="s">
        <v>2830</v>
      </c>
      <c r="B86" s="387" t="s">
        <v>9240</v>
      </c>
      <c r="C86" s="1707"/>
      <c r="D86" s="1708" t="e">
        <f>IF(D81&gt;=0,0,D81)</f>
        <v>#DIV/0!</v>
      </c>
      <c r="E86" s="409"/>
      <c r="F86" s="409"/>
      <c r="G86" s="409"/>
    </row>
    <row r="87" spans="1:7" ht="16" thickBot="1">
      <c r="A87" s="382" t="s">
        <v>2831</v>
      </c>
      <c r="B87" s="1679" t="s">
        <v>8160</v>
      </c>
      <c r="C87" s="565"/>
      <c r="D87" s="1726" t="e">
        <f>D81+D85+D86</f>
        <v>#DIV/0!</v>
      </c>
      <c r="E87" s="1002"/>
      <c r="F87" s="1002"/>
      <c r="G87" s="1002"/>
    </row>
    <row r="88" spans="1:7" ht="14" thickTop="1" thickBot="1">
      <c r="B88" s="1709"/>
    </row>
    <row r="89" spans="1:7" ht="16" thickTop="1">
      <c r="A89" s="1150" t="s">
        <v>7730</v>
      </c>
      <c r="B89" s="331"/>
      <c r="C89" s="1710"/>
      <c r="D89" s="330"/>
    </row>
    <row r="90" spans="1:7" ht="15.5">
      <c r="A90" s="382" t="s">
        <v>2832</v>
      </c>
      <c r="B90" s="385" t="s">
        <v>7910</v>
      </c>
      <c r="C90" s="1706"/>
      <c r="D90" s="1725" t="e">
        <f>'SOF2223-HB3'!I74</f>
        <v>#DIV/0!</v>
      </c>
    </row>
    <row r="91" spans="1:7" ht="15.5">
      <c r="A91" s="382" t="s">
        <v>2833</v>
      </c>
      <c r="B91" s="385" t="s">
        <v>7916</v>
      </c>
      <c r="C91" s="384"/>
      <c r="D91" s="281" t="e">
        <f>'SOF2223-HB3'!I82</f>
        <v>#DIV/0!</v>
      </c>
      <c r="E91" s="409"/>
      <c r="F91" s="409"/>
      <c r="G91" s="409"/>
    </row>
    <row r="92" spans="1:7" ht="15.5">
      <c r="A92" s="382" t="s">
        <v>2834</v>
      </c>
      <c r="B92" s="1714" t="s">
        <v>8161</v>
      </c>
      <c r="C92" s="1712"/>
      <c r="D92" s="1713" t="e">
        <f>D90+D91</f>
        <v>#DIV/0!</v>
      </c>
      <c r="E92" s="409"/>
      <c r="F92" s="409"/>
      <c r="G92" s="409"/>
    </row>
    <row r="93" spans="1:7" ht="15.5">
      <c r="A93" s="382" t="s">
        <v>2835</v>
      </c>
      <c r="B93" s="385" t="s">
        <v>10866</v>
      </c>
      <c r="C93" s="384"/>
      <c r="D93" s="281">
        <f>'Data Entry - SOF'!E116</f>
        <v>0</v>
      </c>
      <c r="E93" s="409"/>
      <c r="F93" s="409"/>
      <c r="G93" s="409"/>
    </row>
    <row r="94" spans="1:7" ht="16" thickBot="1">
      <c r="A94" s="383" t="s">
        <v>2836</v>
      </c>
      <c r="B94" s="565" t="s">
        <v>8162</v>
      </c>
      <c r="C94" s="1711"/>
      <c r="D94" s="315" t="e">
        <f>D92+D93</f>
        <v>#DIV/0!</v>
      </c>
      <c r="E94" s="366"/>
      <c r="F94" s="366"/>
      <c r="G94" s="366"/>
    </row>
    <row r="95" spans="1:7" ht="13.5" thickTop="1"/>
    <row r="98" spans="2:7" hidden="1">
      <c r="B98" s="58" t="s">
        <v>7082</v>
      </c>
      <c r="D98" s="724" t="e">
        <f>#REF!</f>
        <v>#REF!</v>
      </c>
      <c r="E98" s="724"/>
      <c r="F98" s="724"/>
      <c r="G98" s="724"/>
    </row>
    <row r="99" spans="2:7" hidden="1">
      <c r="D99" s="724">
        <f>D56</f>
        <v>0</v>
      </c>
      <c r="E99" s="724"/>
      <c r="F99" s="724"/>
      <c r="G99" s="724"/>
    </row>
    <row r="100" spans="2:7" hidden="1">
      <c r="D100" s="25" t="e">
        <f>IF(D98-D99&lt;=0,0,D98-D99)</f>
        <v>#REF!</v>
      </c>
    </row>
  </sheetData>
  <hyperlinks>
    <hyperlink ref="B70" location="'IFADetail2223-HB3'!A1" display="599/5829 - Instructional Facilities Allotment (Lease Purchase)  (See Link Above)" xr:uid="{00000000-0004-0000-1000-000000000000}"/>
    <hyperlink ref="B12" location="'SpEdDetail2223-HB3'!A1" display="Special Education FTEs                                                          (Link to Detail Report)" xr:uid="{00000000-0004-0000-1000-000001000000}"/>
    <hyperlink ref="B69" location="'IFADetail2223-HB3'!A1" display="599/5829 - Instructional Facilities Allotment (IFA) (Bond)    (Link to Detail Report)" xr:uid="{00000000-0004-0000-1000-000002000000}"/>
    <hyperlink ref="B68" location="'EDADetail2223-HB3'!A1" display="599/5829 - Existing Debt Allotment (EDA)                            (Link to Detail Report)" xr:uid="{00000000-0004-0000-1000-000003000000}"/>
    <hyperlink ref="B61" location="'OtherDetail2223-HB3'!A1" display="Other Programs                                                                        (Link to Detail Report)" xr:uid="{00000000-0004-0000-1000-000004000000}"/>
    <hyperlink ref="B60" location="'T2Detail2223-HB3'!A1" display="Tier II State Aid)                                                              (Link to Tier II Detail Report)" xr:uid="{00000000-0004-0000-1000-000005000000}"/>
    <hyperlink ref="B55" location="'T1Detail2223-HB3'!A1" display="Total Cost of Tier I                                                           (Link to Tier I Detail Report)" xr:uid="{00000000-0004-0000-1000-000006000000}"/>
    <hyperlink ref="B28" location="'Report-AA1920'!A1" display="Adjusted Allotment                                                                    (Link to Detail Report)" xr:uid="{00000000-0004-0000-1000-000007000000}"/>
    <hyperlink ref="B14" location="'Report-Calculations'!A1" display="Weighted ADA (WADA)                                                          (Link to Detail Report)" xr:uid="{00000000-0004-0000-1000-000008000000}"/>
    <hyperlink ref="B11" location="'Report-Calculations'!A1" display="Regular Program ADA (Line 1 - Line 3 - Line 4)          " xr:uid="{00000000-0004-0000-1000-000009000000}"/>
    <hyperlink ref="B76" location="'FSF2223-HB3'!A1" display="FSP Allocations and Adjustments Report                              (Link to Detail Report)" xr:uid="{00000000-0004-0000-1000-00000A000000}"/>
    <hyperlink ref="B74" location="Recap40K_Detail2223!A1" display="Local Revenue in Excess of Entitlement                (Link to Cost of Recapture Report)" xr:uid="{00000000-0004-0000-1000-00000B000000}"/>
    <hyperlink ref="B22" location="'M&amp;ODetail2223-HB3'!A1" display="2019-20 M&amp;O Tax Collections                                          (Link to Detail Report)              " xr:uid="{00000000-0004-0000-1000-00000C000000}"/>
    <hyperlink ref="B71" location="'HH2223-40KCalcs'!B30" display="I&amp;S Hold Harmless (ASAHE for Facilities on TEA's Report)" xr:uid="{00000000-0004-0000-1000-00000D000000}"/>
  </hyperlinks>
  <pageMargins left="0.25" right="0.25"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G45"/>
  <sheetViews>
    <sheetView workbookViewId="0">
      <selection activeCell="B7" sqref="B7"/>
    </sheetView>
  </sheetViews>
  <sheetFormatPr defaultColWidth="8.7265625" defaultRowHeight="12.5"/>
  <cols>
    <col min="1" max="1" width="65.26953125" style="2042" customWidth="1"/>
    <col min="2" max="7" width="19.54296875" style="2042" customWidth="1"/>
    <col min="8" max="16384" width="8.7265625" style="2042"/>
  </cols>
  <sheetData>
    <row r="1" spans="1:7" s="2040" customFormat="1" ht="15.5">
      <c r="A1" s="2033" t="s">
        <v>8898</v>
      </c>
    </row>
    <row r="2" spans="1:7" s="1750" customFormat="1" ht="15.5">
      <c r="A2" s="2033" t="s">
        <v>8897</v>
      </c>
    </row>
    <row r="3" spans="1:7" s="1750" customFormat="1" ht="15.5">
      <c r="A3" s="2033" t="s">
        <v>8901</v>
      </c>
    </row>
    <row r="4" spans="1:7" s="1750" customFormat="1" ht="15.5">
      <c r="A4" s="3225" t="s">
        <v>12489</v>
      </c>
    </row>
    <row r="5" spans="1:7" s="1750" customFormat="1" ht="15.5">
      <c r="A5" s="3225" t="s">
        <v>12490</v>
      </c>
    </row>
    <row r="6" spans="1:7" s="2054" customFormat="1" ht="13">
      <c r="A6" s="662"/>
    </row>
    <row r="8" spans="1:7" ht="13">
      <c r="D8" s="2152" t="s">
        <v>10461</v>
      </c>
      <c r="E8" s="2153"/>
      <c r="F8" s="2153"/>
      <c r="G8" s="2153"/>
    </row>
    <row r="9" spans="1:7" s="41" customFormat="1" ht="13">
      <c r="A9" s="2141" t="s">
        <v>8889</v>
      </c>
      <c r="B9" s="2548" t="s">
        <v>7755</v>
      </c>
      <c r="C9" s="2548" t="s">
        <v>10457</v>
      </c>
      <c r="D9" s="2548" t="s">
        <v>10458</v>
      </c>
      <c r="E9" s="2548" t="s">
        <v>10459</v>
      </c>
      <c r="F9" s="2548" t="s">
        <v>10460</v>
      </c>
      <c r="G9" s="2548" t="s">
        <v>11057</v>
      </c>
    </row>
    <row r="10" spans="1:7" ht="13">
      <c r="A10" s="2154" t="s">
        <v>8376</v>
      </c>
      <c r="B10" s="2142">
        <f>'Calc Data'!D116</f>
        <v>0.93</v>
      </c>
      <c r="C10" s="2142">
        <f>'Calc Data'!E116</f>
        <v>0.93</v>
      </c>
      <c r="D10" s="2142">
        <f>'Calc Data'!F116</f>
        <v>0.93</v>
      </c>
      <c r="E10" s="2142">
        <f>'Calc Data'!G116</f>
        <v>0.93</v>
      </c>
      <c r="F10" s="2142">
        <f>'Calc Data'!H116</f>
        <v>0.93</v>
      </c>
      <c r="G10" s="2142">
        <f>'Calc Data'!I116</f>
        <v>0.93</v>
      </c>
    </row>
    <row r="11" spans="1:7" ht="13">
      <c r="A11" s="2143" t="s">
        <v>7732</v>
      </c>
      <c r="B11" s="2144"/>
      <c r="C11" s="2144"/>
      <c r="D11" s="2144"/>
      <c r="E11" s="2144"/>
      <c r="F11" s="2144"/>
      <c r="G11" s="2144"/>
    </row>
    <row r="12" spans="1:7" ht="13">
      <c r="A12" s="1073" t="s">
        <v>8887</v>
      </c>
      <c r="B12" s="2144"/>
      <c r="C12" s="2144"/>
      <c r="D12" s="2144"/>
      <c r="E12" s="2144"/>
      <c r="F12" s="2144"/>
      <c r="G12" s="2144"/>
    </row>
    <row r="13" spans="1:7" ht="13">
      <c r="A13" s="2141" t="s">
        <v>8890</v>
      </c>
      <c r="B13" s="2144">
        <f>'Calc Data'!D119</f>
        <v>0.91639999999999999</v>
      </c>
      <c r="C13" s="2144">
        <f>'Calc Data'!E119</f>
        <v>0.91339999999999999</v>
      </c>
      <c r="D13" s="2144">
        <f>'Calc Data'!F119</f>
        <v>0.89410000000000001</v>
      </c>
      <c r="E13" s="2144">
        <f>'Calc Data'!G119</f>
        <v>0.88270000000000004</v>
      </c>
      <c r="F13" s="2144">
        <f>'Calc Data'!H119</f>
        <v>0.86529999999999996</v>
      </c>
      <c r="G13" s="2144">
        <f>'Calc Data'!I119</f>
        <v>0.84819999999999995</v>
      </c>
    </row>
    <row r="14" spans="1:7" ht="13">
      <c r="A14" s="2141" t="s">
        <v>8899</v>
      </c>
      <c r="B14" s="2550">
        <f>'Calc Data'!D120</f>
        <v>1.84E-2</v>
      </c>
      <c r="C14" s="2550">
        <f>'Calc Data'!E120</f>
        <v>4.36E-2</v>
      </c>
      <c r="D14" s="2144">
        <f>'Calc Data'!F120</f>
        <v>3.8199999999999998E-2</v>
      </c>
      <c r="E14" s="2144">
        <f>'Calc Data'!G120</f>
        <v>4.5600000000000002E-2</v>
      </c>
      <c r="F14" s="2144">
        <f>'Calc Data'!H120</f>
        <v>4.5600000000000002E-2</v>
      </c>
      <c r="G14" s="2144">
        <f>'Calc Data'!I120</f>
        <v>4.5600000000000002E-2</v>
      </c>
    </row>
    <row r="15" spans="1:7" ht="13">
      <c r="A15" s="2141" t="s">
        <v>7736</v>
      </c>
      <c r="B15" s="2142">
        <f>'Calc Data'!D121</f>
        <v>0.92230000000000001</v>
      </c>
      <c r="C15" s="2142">
        <f>'Calc Data'!E121</f>
        <v>0.89710000000000001</v>
      </c>
      <c r="D15" s="2142">
        <f>'Calc Data'!F121</f>
        <v>0.88270000000000004</v>
      </c>
      <c r="E15" s="2142">
        <f>'Calc Data'!G121</f>
        <v>0.86529999999999996</v>
      </c>
      <c r="F15" s="2142">
        <f>'Calc Data'!H121</f>
        <v>0.84819999999999995</v>
      </c>
      <c r="G15" s="2142">
        <f>'Calc Data'!I121</f>
        <v>0.83140000000000003</v>
      </c>
    </row>
    <row r="16" spans="1:7" ht="13">
      <c r="A16" s="2141" t="s">
        <v>7732</v>
      </c>
      <c r="B16" s="2144"/>
      <c r="C16" s="2144"/>
      <c r="D16" s="2144"/>
      <c r="E16" s="2144"/>
      <c r="F16" s="2144"/>
      <c r="G16" s="2144"/>
    </row>
    <row r="17" spans="1:7" ht="13">
      <c r="A17" s="1073" t="s">
        <v>8888</v>
      </c>
      <c r="B17" s="2142">
        <f>'Calc Data'!D123</f>
        <v>0.91639999999999999</v>
      </c>
      <c r="C17" s="2142">
        <f>'Calc Data'!E123</f>
        <v>0.91339999999999999</v>
      </c>
      <c r="D17" s="2142">
        <f>'Calc Data'!F123</f>
        <v>0.89410000000000001</v>
      </c>
      <c r="E17" s="2142">
        <f>'Calc Data'!G123</f>
        <v>0.88270000000000004</v>
      </c>
      <c r="F17" s="2142">
        <f>'Calc Data'!H123</f>
        <v>0.86529999999999996</v>
      </c>
      <c r="G17" s="2142">
        <f>'Calc Data'!I123</f>
        <v>0.84819999999999995</v>
      </c>
    </row>
    <row r="18" spans="1:7" ht="13">
      <c r="A18" s="2143"/>
      <c r="B18" s="2144"/>
      <c r="C18" s="2144"/>
      <c r="D18" s="2144"/>
      <c r="E18" s="2144"/>
      <c r="F18" s="2144"/>
      <c r="G18" s="2144"/>
    </row>
    <row r="19" spans="1:7" ht="13">
      <c r="A19" s="2141" t="s">
        <v>8896</v>
      </c>
      <c r="B19" s="2145">
        <f>'Calc Data'!D125</f>
        <v>0.91339999999999999</v>
      </c>
      <c r="C19" s="2169">
        <f>'Calc Data'!E125</f>
        <v>0.89410000000000001</v>
      </c>
      <c r="D19" s="2145">
        <f>'Calc Data'!F125</f>
        <v>0.88270000000000004</v>
      </c>
      <c r="E19" s="2145">
        <f>'Calc Data'!G125</f>
        <v>0.86529999999999996</v>
      </c>
      <c r="F19" s="2145">
        <f>'Calc Data'!H125</f>
        <v>0.84819999999999995</v>
      </c>
      <c r="G19" s="2145">
        <f>'Calc Data'!I125</f>
        <v>0.83140000000000003</v>
      </c>
    </row>
    <row r="22" spans="1:7" ht="13">
      <c r="B22" s="25"/>
      <c r="C22" s="25"/>
      <c r="D22" s="25"/>
      <c r="E22" s="25"/>
      <c r="F22" s="25"/>
      <c r="G22" s="25"/>
    </row>
    <row r="23" spans="1:7" ht="13">
      <c r="A23" s="2141" t="s">
        <v>8892</v>
      </c>
      <c r="D23" s="2152" t="s">
        <v>10461</v>
      </c>
      <c r="E23" s="2153"/>
      <c r="F23" s="2153"/>
      <c r="G23" s="2153"/>
    </row>
    <row r="24" spans="1:7" ht="13">
      <c r="A24" s="1073" t="s">
        <v>8893</v>
      </c>
      <c r="B24" s="2146" t="s">
        <v>7755</v>
      </c>
      <c r="C24" s="2548" t="s">
        <v>10457</v>
      </c>
      <c r="D24" s="2548" t="s">
        <v>10458</v>
      </c>
      <c r="E24" s="2548" t="s">
        <v>10459</v>
      </c>
      <c r="F24" s="2548" t="s">
        <v>10460</v>
      </c>
      <c r="G24" s="2548" t="s">
        <v>11057</v>
      </c>
    </row>
    <row r="25" spans="1:7" ht="13">
      <c r="A25" s="2155" t="s">
        <v>8891</v>
      </c>
      <c r="B25" s="2157">
        <f>'Calc Data'!D183</f>
        <v>0</v>
      </c>
      <c r="C25" s="2157">
        <f>'Calc Data'!E183</f>
        <v>0</v>
      </c>
      <c r="D25" s="2157">
        <f>'Calc Data'!F183</f>
        <v>0</v>
      </c>
      <c r="E25" s="2157">
        <f>'Calc Data'!G183</f>
        <v>0</v>
      </c>
      <c r="F25" s="2157">
        <f>'Calc Data'!H183</f>
        <v>0</v>
      </c>
      <c r="G25" s="2157">
        <f>'Calc Data'!I183</f>
        <v>0</v>
      </c>
    </row>
    <row r="26" spans="1:7" ht="13">
      <c r="A26" s="2155" t="s">
        <v>8894</v>
      </c>
      <c r="B26" s="2157">
        <f>'Calc Data'!D184</f>
        <v>0</v>
      </c>
      <c r="C26" s="2157">
        <f>'Calc Data'!E184</f>
        <v>0</v>
      </c>
      <c r="D26" s="2157">
        <f>'Calc Data'!F184</f>
        <v>0</v>
      </c>
      <c r="E26" s="2157">
        <f>'Calc Data'!G184</f>
        <v>0</v>
      </c>
      <c r="F26" s="2157">
        <f>'Calc Data'!H184</f>
        <v>0</v>
      </c>
      <c r="G26" s="2157">
        <f>'Calc Data'!I184</f>
        <v>0</v>
      </c>
    </row>
    <row r="27" spans="1:7" ht="13">
      <c r="A27" s="2141" t="s">
        <v>8900</v>
      </c>
      <c r="B27" s="2144">
        <f>'Calc Data'!D200</f>
        <v>0</v>
      </c>
      <c r="C27" s="2144">
        <f>'Calc Data'!E200</f>
        <v>0</v>
      </c>
      <c r="D27" s="2144">
        <f>'Calc Data'!F200</f>
        <v>0</v>
      </c>
      <c r="E27" s="2144" t="e">
        <f>'Calc Data'!G200</f>
        <v>#DIV/0!</v>
      </c>
      <c r="F27" s="2144" t="e">
        <f>'Calc Data'!H200</f>
        <v>#DIV/0!</v>
      </c>
      <c r="G27" s="2144" t="e">
        <f>'Calc Data'!I200</f>
        <v>#DIV/0!</v>
      </c>
    </row>
    <row r="28" spans="1:7" ht="13">
      <c r="A28" s="2141" t="s">
        <v>8895</v>
      </c>
      <c r="B28" s="2147">
        <f>'Calc Data'!D201</f>
        <v>0</v>
      </c>
      <c r="C28" s="2147">
        <f>'Calc Data'!E201</f>
        <v>0</v>
      </c>
      <c r="D28" s="2147">
        <f>'Calc Data'!F201</f>
        <v>0</v>
      </c>
      <c r="E28" s="2147">
        <f>'Calc Data'!G201</f>
        <v>0</v>
      </c>
      <c r="F28" s="2147">
        <f>'Calc Data'!H201</f>
        <v>0</v>
      </c>
      <c r="G28" s="2147">
        <f>'Calc Data'!I201</f>
        <v>0</v>
      </c>
    </row>
    <row r="29" spans="1:7" ht="13">
      <c r="A29" s="2141" t="s">
        <v>7721</v>
      </c>
      <c r="B29" s="2148" t="e">
        <f>'Calc Data'!D202</f>
        <v>#DIV/0!</v>
      </c>
      <c r="C29" s="2148" t="e">
        <f>'Calc Data'!E202</f>
        <v>#DIV/0!</v>
      </c>
      <c r="D29" s="2148" t="e">
        <f>'Calc Data'!F202</f>
        <v>#DIV/0!</v>
      </c>
      <c r="E29" s="2148" t="e">
        <f>'Calc Data'!G202</f>
        <v>#DIV/0!</v>
      </c>
      <c r="F29" s="2148" t="e">
        <f>'Calc Data'!H202</f>
        <v>#DIV/0!</v>
      </c>
      <c r="G29" s="2148" t="e">
        <f>'Calc Data'!I202</f>
        <v>#DIV/0!</v>
      </c>
    </row>
    <row r="30" spans="1:7" ht="13">
      <c r="A30" s="2141" t="s">
        <v>7740</v>
      </c>
      <c r="B30" s="2047" t="e">
        <f>'Calc Data'!D203</f>
        <v>#DIV/0!</v>
      </c>
      <c r="C30" s="2047" t="e">
        <f>'Calc Data'!E203</f>
        <v>#DIV/0!</v>
      </c>
      <c r="D30" s="2047" t="e">
        <f>'Calc Data'!F203</f>
        <v>#DIV/0!</v>
      </c>
      <c r="E30" s="2047" t="e">
        <f>'Calc Data'!G203</f>
        <v>#DIV/0!</v>
      </c>
      <c r="F30" s="2047" t="e">
        <f>'Calc Data'!H203</f>
        <v>#DIV/0!</v>
      </c>
      <c r="G30" s="2047" t="e">
        <f>'Calc Data'!I203</f>
        <v>#DIV/0!</v>
      </c>
    </row>
    <row r="31" spans="1:7" ht="13">
      <c r="A31" s="2141" t="s">
        <v>7741</v>
      </c>
      <c r="B31" s="2149" t="e">
        <f>'Calc Data'!D204</f>
        <v>#DIV/0!</v>
      </c>
      <c r="C31" s="2149" t="e">
        <f>'Calc Data'!E204</f>
        <v>#DIV/0!</v>
      </c>
      <c r="D31" s="2149" t="e">
        <f>'Calc Data'!F204</f>
        <v>#DIV/0!</v>
      </c>
      <c r="E31" s="2149" t="e">
        <f>'Calc Data'!G204</f>
        <v>#DIV/0!</v>
      </c>
      <c r="F31" s="2149" t="e">
        <f>'Calc Data'!H204</f>
        <v>#DIV/0!</v>
      </c>
      <c r="G31" s="2149" t="e">
        <f>'Calc Data'!I204</f>
        <v>#DIV/0!</v>
      </c>
    </row>
    <row r="32" spans="1:7" ht="13">
      <c r="A32" s="2141" t="s">
        <v>7720</v>
      </c>
      <c r="B32" s="2149" t="e">
        <f>TRUNC('Calc Data'!D205,4)</f>
        <v>#DIV/0!</v>
      </c>
      <c r="C32" s="2149" t="e">
        <f>TRUNC('Calc Data'!E205,4)</f>
        <v>#DIV/0!</v>
      </c>
      <c r="D32" s="2149" t="e">
        <f>TRUNC('Calc Data'!F205,4)</f>
        <v>#DIV/0!</v>
      </c>
      <c r="E32" s="2149" t="e">
        <f>TRUNC('Calc Data'!G205,4)</f>
        <v>#DIV/0!</v>
      </c>
      <c r="F32" s="2149" t="e">
        <f>TRUNC('Calc Data'!H205,4)</f>
        <v>#DIV/0!</v>
      </c>
      <c r="G32" s="2149" t="e">
        <f>TRUNC('Calc Data'!I205,4)</f>
        <v>#DIV/0!</v>
      </c>
    </row>
    <row r="33" spans="1:7" ht="13">
      <c r="A33" s="58"/>
      <c r="B33" s="2112"/>
      <c r="C33" s="2112"/>
      <c r="D33" s="2149"/>
      <c r="E33" s="2149"/>
      <c r="F33" s="2149"/>
      <c r="G33" s="2149"/>
    </row>
    <row r="34" spans="1:7" ht="13">
      <c r="A34" s="1073" t="s">
        <v>12481</v>
      </c>
      <c r="B34" s="3219">
        <f>'Calc Data'!D206</f>
        <v>0.91339999999999999</v>
      </c>
      <c r="C34" s="3219">
        <f>'Calc Data'!E206</f>
        <v>0.89410000000000001</v>
      </c>
      <c r="D34" s="3219">
        <f>TRUNC('Calc Data'!F206,4)</f>
        <v>0.88270000000000004</v>
      </c>
      <c r="E34" s="3219">
        <f>TRUNC('Calc Data'!G206,4)</f>
        <v>0.86529999999999996</v>
      </c>
      <c r="F34" s="3219">
        <f>TRUNC('Calc Data'!H206,4)</f>
        <v>0.84819999999999995</v>
      </c>
      <c r="G34" s="3219">
        <f>TRUNC('Calc Data'!I206,4)</f>
        <v>0.83140000000000003</v>
      </c>
    </row>
    <row r="35" spans="1:7" ht="13">
      <c r="A35" s="1073"/>
      <c r="B35" s="2144"/>
      <c r="C35" s="2144"/>
      <c r="D35" s="2047"/>
      <c r="E35" s="2047"/>
      <c r="F35" s="2047"/>
      <c r="G35" s="2047"/>
    </row>
    <row r="36" spans="1:7" ht="13">
      <c r="A36" s="2141" t="s">
        <v>8886</v>
      </c>
      <c r="B36" s="2150" t="e">
        <f>TRUNC('Calc Data'!D207,4)</f>
        <v>#DIV/0!</v>
      </c>
      <c r="C36" s="2150" t="e">
        <f>TRUNC('Calc Data'!E207,4)</f>
        <v>#DIV/0!</v>
      </c>
      <c r="D36" s="2150" t="e">
        <f>TRUNC('Calc Data'!F207,4)</f>
        <v>#DIV/0!</v>
      </c>
      <c r="E36" s="2150" t="e">
        <f>TRUNC('Calc Data'!G207,4)</f>
        <v>#DIV/0!</v>
      </c>
      <c r="F36" s="2150" t="e">
        <f>TRUNC('Calc Data'!H207,4)</f>
        <v>#DIV/0!</v>
      </c>
      <c r="G36" s="2150" t="e">
        <f>TRUNC('Calc Data'!I207,4)</f>
        <v>#DIV/0!</v>
      </c>
    </row>
    <row r="37" spans="1:7" s="1037" customFormat="1" ht="13">
      <c r="A37" s="2156"/>
      <c r="B37" s="1137"/>
      <c r="C37" s="1137"/>
      <c r="D37" s="1137"/>
      <c r="E37" s="1137"/>
      <c r="F37" s="1137"/>
      <c r="G37" s="1137"/>
    </row>
    <row r="38" spans="1:7" s="1037" customFormat="1" ht="13">
      <c r="A38" s="2156" t="s">
        <v>12482</v>
      </c>
      <c r="B38" s="3218">
        <f>TRUNC(B34*0.9,4)</f>
        <v>0.82199999999999995</v>
      </c>
      <c r="C38" s="3218">
        <f>TRUNC(C34*0.9,4)</f>
        <v>0.80459999999999998</v>
      </c>
      <c r="D38" s="3218">
        <f t="shared" ref="D38:F38" si="0">TRUNC(D34*0.9,4)</f>
        <v>0.7944</v>
      </c>
      <c r="E38" s="3218">
        <f t="shared" si="0"/>
        <v>0.77869999999999995</v>
      </c>
      <c r="F38" s="3218">
        <f t="shared" si="0"/>
        <v>0.76329999999999998</v>
      </c>
      <c r="G38" s="3218">
        <f t="shared" ref="G38" si="1">TRUNC(G34*0.9,4)</f>
        <v>0.74819999999999998</v>
      </c>
    </row>
    <row r="39" spans="1:7" ht="13">
      <c r="A39" s="3220"/>
    </row>
    <row r="40" spans="1:7" ht="13">
      <c r="A40" s="2141" t="s">
        <v>12483</v>
      </c>
      <c r="B40" s="3222" t="e">
        <f>MAX(B36,B38)</f>
        <v>#DIV/0!</v>
      </c>
      <c r="C40" s="3222" t="e">
        <f t="shared" ref="C40:F40" si="2">MAX(C36,C38)</f>
        <v>#DIV/0!</v>
      </c>
      <c r="D40" s="3222" t="e">
        <f t="shared" si="2"/>
        <v>#DIV/0!</v>
      </c>
      <c r="E40" s="3222" t="e">
        <f t="shared" si="2"/>
        <v>#DIV/0!</v>
      </c>
      <c r="F40" s="3222" t="e">
        <f t="shared" si="2"/>
        <v>#DIV/0!</v>
      </c>
      <c r="G40" s="3222" t="e">
        <f t="shared" ref="G40" si="3">MAX(G36,G38)</f>
        <v>#DIV/0!</v>
      </c>
    </row>
    <row r="41" spans="1:7" ht="13">
      <c r="A41" s="3220" t="s">
        <v>12484</v>
      </c>
    </row>
    <row r="42" spans="1:7" s="662" customFormat="1" ht="13">
      <c r="A42" s="3221"/>
    </row>
    <row r="43" spans="1:7" s="662" customFormat="1" ht="13"/>
    <row r="44" spans="1:7" s="662" customFormat="1" ht="13">
      <c r="A44" s="2141" t="s">
        <v>12485</v>
      </c>
      <c r="B44" s="2151">
        <f>'Data Entry - SOF'!C72</f>
        <v>0</v>
      </c>
      <c r="C44" s="2151">
        <f>'Data Entry - SOF'!E72</f>
        <v>0</v>
      </c>
      <c r="D44" s="3223" t="s">
        <v>8903</v>
      </c>
      <c r="E44" s="3223" t="s">
        <v>8903</v>
      </c>
      <c r="F44" s="3223" t="s">
        <v>8903</v>
      </c>
      <c r="G44" s="3223" t="s">
        <v>8903</v>
      </c>
    </row>
    <row r="45" spans="1:7" ht="13">
      <c r="A45" s="1073" t="s">
        <v>12486</v>
      </c>
    </row>
  </sheetData>
  <pageMargins left="0.25" right="0.25" top="0.75" bottom="0.75" header="0.3" footer="0.3"/>
  <pageSetup scale="7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FF33"/>
  </sheetPr>
  <dimension ref="A1:W54"/>
  <sheetViews>
    <sheetView zoomScaleNormal="100" workbookViewId="0">
      <selection activeCell="I3" sqref="I3"/>
    </sheetView>
  </sheetViews>
  <sheetFormatPr defaultRowHeight="12.5"/>
  <cols>
    <col min="1" max="1" width="3.1796875" customWidth="1"/>
    <col min="2" max="2" width="4.453125" customWidth="1"/>
    <col min="3" max="3" width="44.453125" customWidth="1"/>
    <col min="4" max="4" width="4.54296875" customWidth="1"/>
    <col min="5" max="5" width="21.7265625" style="41" customWidth="1"/>
    <col min="6" max="6" width="14.81640625" style="27" customWidth="1"/>
    <col min="7" max="7" width="14.81640625" style="41" customWidth="1"/>
    <col min="8" max="8" width="2.6328125" style="41" customWidth="1"/>
    <col min="9" max="9" width="14.81640625" style="27" customWidth="1"/>
    <col min="10" max="10" width="14.81640625" style="41" customWidth="1"/>
    <col min="11" max="11" width="2.6328125" style="41" customWidth="1"/>
    <col min="12" max="12" width="14.81640625" style="27" customWidth="1"/>
    <col min="13" max="13" width="14.81640625" style="41" customWidth="1"/>
    <col min="14" max="14" width="2.6328125" customWidth="1"/>
    <col min="15" max="16" width="14.81640625" customWidth="1"/>
    <col min="17" max="17" width="2.6328125" style="2042" customWidth="1"/>
    <col min="18" max="19" width="14.81640625" style="2042" customWidth="1"/>
    <col min="20" max="20" width="2.6328125" style="2042" customWidth="1"/>
    <col min="21" max="22" width="14.81640625" style="2042" customWidth="1"/>
    <col min="23" max="23" width="4.54296875" customWidth="1"/>
    <col min="24" max="24" width="4.7265625" customWidth="1"/>
  </cols>
  <sheetData>
    <row r="1" spans="1:23" ht="13">
      <c r="A1" s="25" t="s">
        <v>11465</v>
      </c>
      <c r="B1" s="25"/>
      <c r="C1" s="25"/>
      <c r="D1" s="25"/>
      <c r="E1" s="43"/>
      <c r="F1" s="58"/>
      <c r="G1" s="43"/>
      <c r="H1" s="43"/>
      <c r="I1" s="58"/>
      <c r="J1" s="43"/>
      <c r="K1" s="43"/>
      <c r="L1" s="58"/>
      <c r="M1" s="43"/>
      <c r="W1" s="25"/>
    </row>
    <row r="2" spans="1:23" ht="13">
      <c r="A2" s="25"/>
      <c r="B2" s="25"/>
      <c r="C2" s="25"/>
      <c r="D2" s="25"/>
      <c r="E2" s="1144"/>
      <c r="F2" s="2329"/>
      <c r="G2" s="1144"/>
      <c r="H2" s="1144"/>
      <c r="I2" s="2329"/>
      <c r="J2" s="1144"/>
      <c r="K2" s="1144"/>
      <c r="L2" s="2329"/>
      <c r="M2" s="1144"/>
      <c r="N2" s="1144"/>
      <c r="O2" s="1144"/>
      <c r="P2" s="1144"/>
      <c r="Q2" s="1144"/>
      <c r="R2" s="1144"/>
      <c r="S2" s="1144"/>
      <c r="T2" s="1144"/>
      <c r="U2" s="1144"/>
      <c r="V2" s="1144"/>
      <c r="W2" s="25"/>
    </row>
    <row r="3" spans="1:23" ht="13">
      <c r="A3" s="25"/>
      <c r="B3" s="25"/>
      <c r="C3" s="25"/>
      <c r="D3" s="25"/>
      <c r="E3" s="43"/>
      <c r="F3" s="43" t="s">
        <v>9066</v>
      </c>
      <c r="G3" s="43"/>
      <c r="H3" s="43"/>
      <c r="I3" s="43" t="s">
        <v>1202</v>
      </c>
      <c r="J3" s="43"/>
      <c r="K3" s="43"/>
      <c r="L3" s="52" t="s">
        <v>9094</v>
      </c>
      <c r="M3" s="43"/>
      <c r="O3" s="52" t="s">
        <v>9094</v>
      </c>
      <c r="P3" s="43"/>
      <c r="Q3" s="43"/>
      <c r="R3" s="52" t="s">
        <v>9094</v>
      </c>
      <c r="S3" s="43"/>
      <c r="T3" s="43"/>
      <c r="U3" s="52" t="s">
        <v>9094</v>
      </c>
      <c r="V3" s="43"/>
      <c r="W3" s="25"/>
    </row>
    <row r="4" spans="1:23" ht="13">
      <c r="A4" s="25"/>
      <c r="B4" s="25"/>
      <c r="C4" s="25"/>
      <c r="D4" s="25"/>
      <c r="E4" s="1144"/>
      <c r="F4" s="1140"/>
      <c r="G4" s="1139" t="s">
        <v>5513</v>
      </c>
      <c r="H4" s="1369"/>
      <c r="I4" s="1140"/>
      <c r="J4" s="1139" t="s">
        <v>5951</v>
      </c>
      <c r="K4" s="1144"/>
      <c r="L4" s="1140"/>
      <c r="M4" s="1139" t="s">
        <v>7037</v>
      </c>
      <c r="O4" s="1140"/>
      <c r="P4" s="1139" t="s">
        <v>8487</v>
      </c>
      <c r="R4" s="1140"/>
      <c r="S4" s="1139" t="s">
        <v>9171</v>
      </c>
      <c r="U4" s="1140"/>
      <c r="V4" s="1139" t="s">
        <v>11049</v>
      </c>
      <c r="W4" s="25"/>
    </row>
    <row r="5" spans="1:23" ht="13">
      <c r="A5" s="58" t="s">
        <v>7505</v>
      </c>
      <c r="B5" s="52" t="s">
        <v>7725</v>
      </c>
      <c r="D5" s="1136"/>
      <c r="E5" s="1144"/>
      <c r="F5" s="1836"/>
      <c r="G5" s="1837">
        <f>'Data Entry - SOF'!C72</f>
        <v>0</v>
      </c>
      <c r="H5" s="1369"/>
      <c r="I5" s="1836"/>
      <c r="J5" s="1837">
        <f>'Calc Data'!E220</f>
        <v>0</v>
      </c>
      <c r="K5" s="1369"/>
      <c r="L5" s="1836"/>
      <c r="M5" s="1837" t="e">
        <f>'Calc Data'!F220</f>
        <v>#DIV/0!</v>
      </c>
      <c r="O5" s="1836"/>
      <c r="P5" s="1837" t="e">
        <f>'Calc Data'!G220</f>
        <v>#DIV/0!</v>
      </c>
      <c r="Q5" s="1860"/>
      <c r="R5" s="1836"/>
      <c r="S5" s="1837" t="e">
        <f>'Calc Data'!H220</f>
        <v>#DIV/0!</v>
      </c>
      <c r="T5" s="1860"/>
      <c r="U5" s="1836"/>
      <c r="V5" s="1837" t="e">
        <f>'Calc Data'!I220</f>
        <v>#DIV/0!</v>
      </c>
    </row>
    <row r="6" spans="1:23" ht="13">
      <c r="A6" s="25"/>
      <c r="D6" s="1136"/>
      <c r="E6" s="1144"/>
      <c r="F6" s="1838"/>
      <c r="G6" s="1839"/>
      <c r="H6" s="1369"/>
      <c r="I6" s="1838"/>
      <c r="J6" s="1839"/>
      <c r="K6" s="1369"/>
      <c r="L6" s="1838"/>
      <c r="M6" s="1839"/>
      <c r="O6" s="1838"/>
      <c r="P6" s="1839"/>
      <c r="Q6" s="1860"/>
      <c r="R6" s="1838"/>
      <c r="S6" s="1839"/>
      <c r="T6" s="1860"/>
      <c r="U6" s="1838"/>
      <c r="V6" s="1839"/>
    </row>
    <row r="7" spans="1:23" ht="13">
      <c r="A7" s="58" t="s">
        <v>7506</v>
      </c>
      <c r="B7" s="52" t="s">
        <v>7510</v>
      </c>
      <c r="D7" s="1137"/>
      <c r="E7" s="1144"/>
      <c r="F7" s="1838"/>
      <c r="G7" s="1839"/>
      <c r="H7" s="1144"/>
      <c r="I7" s="1838"/>
      <c r="J7" s="1839"/>
      <c r="K7" s="1144"/>
      <c r="L7" s="1838"/>
      <c r="M7" s="1839"/>
      <c r="O7" s="1838"/>
      <c r="P7" s="1839"/>
      <c r="Q7" s="1860"/>
      <c r="R7" s="1838"/>
      <c r="S7" s="1839"/>
      <c r="T7" s="1860"/>
      <c r="U7" s="1838"/>
      <c r="V7" s="1839"/>
    </row>
    <row r="8" spans="1:23" ht="13">
      <c r="A8" s="25"/>
      <c r="B8" s="25" t="s">
        <v>7507</v>
      </c>
      <c r="C8" s="25" t="s">
        <v>8383</v>
      </c>
      <c r="D8" s="1137"/>
      <c r="E8" s="1144"/>
      <c r="F8" s="1838">
        <f>'Data Entry - SOF'!C156</f>
        <v>0</v>
      </c>
      <c r="G8" s="1839"/>
      <c r="H8" s="1144"/>
      <c r="I8" s="2969">
        <f>IF(ISNA('DE1'!E81),0,'DE1'!E81)</f>
        <v>0</v>
      </c>
      <c r="J8" s="1839"/>
      <c r="K8" s="1144"/>
      <c r="L8" s="1838">
        <f>IF('Data Entry - SOF'!E74&gt;'Data Entry - SOF'!E73,'Data Entry - SOF'!E74-'Data Entry - SOF'!E72,IF('Data Entry - SOF'!E74&lt;'Data Entry - SOF'!E73,'Data Entry - SOF'!E74-'Data Entry - SOF'!E72,I11))</f>
        <v>0</v>
      </c>
      <c r="M8" s="1839"/>
      <c r="O8" s="1838" t="e">
        <f>IF('Data Entry - SOF'!G74&gt;'Data Entry - SOF'!G73,'Data Entry - SOF'!G74-'Data Entry - SOF'!G72,IF('Data Entry - SOF'!G74&lt;'Data Entry - SOF'!G73,'Data Entry - SOF'!G74-'Data Entry - SOF'!G72,L11))</f>
        <v>#DIV/0!</v>
      </c>
      <c r="P8" s="1839"/>
      <c r="Q8" s="1860"/>
      <c r="R8" s="1838" t="e">
        <f>IF('Data Entry - SOF'!I74&gt;'Data Entry - SOF'!I73,'Data Entry - SOF'!I74-'Data Entry - SOF'!I72,IF('Data Entry - SOF'!I74&lt;'Data Entry - SOF'!I73,'Data Entry - SOF'!I74-'Data Entry - SOF'!I72,O11))</f>
        <v>#DIV/0!</v>
      </c>
      <c r="S8" s="1839"/>
      <c r="T8" s="1860"/>
      <c r="U8" s="1838" t="e">
        <f>IF('Data Entry - SOF'!K74&gt;'Data Entry - SOF'!K73,'Data Entry - SOF'!K74-'Data Entry - SOF'!K72,IF('Data Entry - SOF'!K74&lt;'Data Entry - SOF'!K73,'Data Entry - SOF'!K74-'Data Entry - SOF'!K72,R11))</f>
        <v>#DIV/0!</v>
      </c>
      <c r="V8" s="1839"/>
    </row>
    <row r="9" spans="1:23" ht="13">
      <c r="A9" s="25"/>
      <c r="C9" s="25"/>
      <c r="D9" s="1137"/>
      <c r="E9" s="1144"/>
      <c r="F9" s="1838"/>
      <c r="G9" s="1839"/>
      <c r="H9" s="1144"/>
      <c r="I9" s="1838"/>
      <c r="J9" s="1839"/>
      <c r="K9" s="1144"/>
      <c r="L9" s="1838"/>
      <c r="M9" s="1839"/>
      <c r="O9" s="1838"/>
      <c r="P9" s="1839"/>
      <c r="Q9" s="1860"/>
      <c r="R9" s="1838"/>
      <c r="S9" s="1839"/>
      <c r="T9" s="1860"/>
      <c r="U9" s="1838"/>
      <c r="V9" s="1839"/>
    </row>
    <row r="10" spans="1:23" ht="13">
      <c r="A10" s="25"/>
      <c r="C10" s="25" t="s">
        <v>7726</v>
      </c>
      <c r="D10" s="1137"/>
      <c r="E10" s="1144"/>
      <c r="F10" s="1840">
        <v>0</v>
      </c>
      <c r="G10" s="1839"/>
      <c r="H10" s="1144"/>
      <c r="I10" s="1840">
        <v>0</v>
      </c>
      <c r="J10" s="1839"/>
      <c r="K10" s="1144"/>
      <c r="L10" s="1840">
        <v>0</v>
      </c>
      <c r="M10" s="1839"/>
      <c r="O10" s="1840">
        <v>0</v>
      </c>
      <c r="P10" s="1839"/>
      <c r="Q10" s="1860"/>
      <c r="R10" s="1840">
        <v>0</v>
      </c>
      <c r="S10" s="1839"/>
      <c r="T10" s="1860"/>
      <c r="U10" s="1840">
        <v>0</v>
      </c>
      <c r="V10" s="1839"/>
    </row>
    <row r="11" spans="1:23" ht="13">
      <c r="A11" s="25"/>
      <c r="D11" s="1137"/>
      <c r="E11" s="1144"/>
      <c r="F11" s="1838">
        <f>F8-F10</f>
        <v>0</v>
      </c>
      <c r="G11" s="1839"/>
      <c r="H11" s="1144"/>
      <c r="I11" s="1838">
        <f>I8-I10</f>
        <v>0</v>
      </c>
      <c r="J11" s="1839"/>
      <c r="K11" s="1144"/>
      <c r="L11" s="1838">
        <f>L8-L10</f>
        <v>0</v>
      </c>
      <c r="M11" s="1839"/>
      <c r="O11" s="1838" t="e">
        <f>O8-O10</f>
        <v>#DIV/0!</v>
      </c>
      <c r="P11" s="1839"/>
      <c r="Q11" s="1860"/>
      <c r="R11" s="1838" t="e">
        <f>R8-R10</f>
        <v>#DIV/0!</v>
      </c>
      <c r="S11" s="1839"/>
      <c r="T11" s="1860"/>
      <c r="U11" s="1838" t="e">
        <f>U8-U10</f>
        <v>#DIV/0!</v>
      </c>
      <c r="V11" s="1839"/>
    </row>
    <row r="12" spans="1:23" ht="13">
      <c r="A12" s="25"/>
      <c r="D12" s="1137"/>
      <c r="E12" s="1144"/>
      <c r="F12" s="1838"/>
      <c r="G12" s="1839"/>
      <c r="H12" s="1144"/>
      <c r="I12" s="1838"/>
      <c r="J12" s="1839"/>
      <c r="K12" s="1144"/>
      <c r="L12" s="1838"/>
      <c r="M12" s="1839"/>
      <c r="O12" s="1838"/>
      <c r="P12" s="1839"/>
      <c r="Q12" s="1860"/>
      <c r="R12" s="1838"/>
      <c r="S12" s="1839"/>
      <c r="T12" s="1860"/>
      <c r="U12" s="1838"/>
      <c r="V12" s="1839"/>
    </row>
    <row r="13" spans="1:23" ht="13">
      <c r="A13" s="25"/>
      <c r="B13" s="25" t="s">
        <v>7508</v>
      </c>
      <c r="C13" s="1138">
        <v>0.05</v>
      </c>
      <c r="D13" s="1136"/>
      <c r="E13" s="1144"/>
      <c r="F13" s="1838">
        <v>0.05</v>
      </c>
      <c r="G13" s="1839">
        <f>MAX(F11,F13)</f>
        <v>0.05</v>
      </c>
      <c r="H13" s="1369"/>
      <c r="I13" s="1838">
        <v>0.05</v>
      </c>
      <c r="J13" s="1839">
        <f>MAX(I11,I13)</f>
        <v>0.05</v>
      </c>
      <c r="K13" s="1369"/>
      <c r="L13" s="1838">
        <v>0.05</v>
      </c>
      <c r="M13" s="1839">
        <f>MAX(L11,L13)</f>
        <v>0.05</v>
      </c>
      <c r="O13" s="1838">
        <v>0.05</v>
      </c>
      <c r="P13" s="1839" t="e">
        <f>MAX(O11,O13)</f>
        <v>#DIV/0!</v>
      </c>
      <c r="Q13" s="1860"/>
      <c r="R13" s="1838">
        <v>0.05</v>
      </c>
      <c r="S13" s="1839" t="e">
        <f>MAX(R11,R13)</f>
        <v>#DIV/0!</v>
      </c>
      <c r="T13" s="1860"/>
      <c r="U13" s="1838">
        <v>0.05</v>
      </c>
      <c r="V13" s="1839" t="e">
        <f>MAX(U11,U13)</f>
        <v>#DIV/0!</v>
      </c>
    </row>
    <row r="14" spans="1:23" ht="13">
      <c r="A14" s="25"/>
      <c r="D14" s="1137"/>
      <c r="E14" s="1896"/>
      <c r="F14" s="1838"/>
      <c r="G14" s="1839"/>
      <c r="H14" s="1144"/>
      <c r="I14" s="1838"/>
      <c r="J14" s="1839"/>
      <c r="K14" s="1144"/>
      <c r="L14" s="1838"/>
      <c r="M14" s="1839"/>
      <c r="O14" s="1838"/>
      <c r="P14" s="1839"/>
      <c r="Q14" s="1860"/>
      <c r="R14" s="1838"/>
      <c r="S14" s="1839"/>
      <c r="T14" s="1860"/>
      <c r="U14" s="1838"/>
      <c r="V14" s="1839"/>
    </row>
    <row r="15" spans="1:23" ht="13">
      <c r="A15" s="2329" t="s">
        <v>7724</v>
      </c>
      <c r="B15" s="25" t="s">
        <v>7761</v>
      </c>
      <c r="D15" s="1137"/>
      <c r="E15" s="1144"/>
      <c r="F15" s="1841"/>
      <c r="G15" s="1842">
        <f>G5+G13</f>
        <v>0.05</v>
      </c>
      <c r="H15" s="1369"/>
      <c r="I15" s="1841"/>
      <c r="J15" s="1842">
        <f>J5+J13</f>
        <v>0.05</v>
      </c>
      <c r="K15" s="1369"/>
      <c r="L15" s="1841"/>
      <c r="M15" s="1842" t="e">
        <f>M5+M13</f>
        <v>#DIV/0!</v>
      </c>
      <c r="O15" s="1841"/>
      <c r="P15" s="1842" t="e">
        <f>P5+P13</f>
        <v>#DIV/0!</v>
      </c>
      <c r="R15" s="1841"/>
      <c r="S15" s="1842" t="e">
        <f>S5+S13</f>
        <v>#DIV/0!</v>
      </c>
      <c r="U15" s="1841"/>
      <c r="V15" s="1842" t="e">
        <f>V5+V13</f>
        <v>#DIV/0!</v>
      </c>
    </row>
    <row r="16" spans="1:23" ht="13">
      <c r="A16" s="25"/>
      <c r="B16" s="25"/>
      <c r="C16" s="25"/>
      <c r="D16" s="1137"/>
      <c r="E16" s="1144"/>
      <c r="F16" s="1838"/>
      <c r="G16" s="1839"/>
      <c r="H16" s="1144"/>
      <c r="I16" s="1838"/>
      <c r="J16" s="1839"/>
      <c r="K16" s="1144"/>
      <c r="L16" s="1838"/>
      <c r="M16" s="1839"/>
      <c r="O16" s="1838"/>
      <c r="P16" s="1839"/>
      <c r="Q16" s="1860"/>
      <c r="R16" s="2255"/>
      <c r="S16" s="2256"/>
      <c r="T16" s="1860"/>
      <c r="U16" s="2255"/>
      <c r="V16" s="2256"/>
      <c r="W16" s="25"/>
    </row>
    <row r="17" spans="1:23" ht="13">
      <c r="A17" s="36" t="s">
        <v>8377</v>
      </c>
      <c r="B17" s="25"/>
      <c r="C17" s="25"/>
      <c r="D17" s="1136"/>
      <c r="E17" s="1369"/>
      <c r="F17" s="1838"/>
      <c r="G17" s="1839" t="str">
        <f>'Data Entry - SOF'!C79</f>
        <v>Not Needed</v>
      </c>
      <c r="H17" s="1369"/>
      <c r="I17" s="1838"/>
      <c r="J17" s="1839">
        <f>'Data Entry - SOF'!E79</f>
        <v>0</v>
      </c>
      <c r="K17" s="1369"/>
      <c r="L17" s="1838"/>
      <c r="M17" s="1839">
        <f>'Data Entry - SOF'!G79</f>
        <v>0</v>
      </c>
      <c r="O17" s="1838"/>
      <c r="P17" s="1839">
        <f>'Data Entry - SOF'!I79</f>
        <v>0</v>
      </c>
      <c r="Q17" s="1860"/>
      <c r="R17" s="2257"/>
      <c r="S17" s="1839">
        <f>'Data Entry - SOF'!K79</f>
        <v>0</v>
      </c>
      <c r="T17" s="1860"/>
      <c r="U17" s="2257"/>
      <c r="V17" s="1839">
        <f>'Data Entry - SOF'!M79</f>
        <v>0</v>
      </c>
      <c r="W17" s="25"/>
    </row>
    <row r="18" spans="1:23" ht="13">
      <c r="A18" s="25"/>
      <c r="B18" s="25"/>
      <c r="C18" s="25"/>
      <c r="D18" s="1137"/>
      <c r="E18" s="1144"/>
      <c r="F18" s="1838"/>
      <c r="G18" s="1839"/>
      <c r="H18" s="1144"/>
      <c r="I18" s="1838"/>
      <c r="J18" s="1839"/>
      <c r="K18" s="1144"/>
      <c r="L18" s="1838"/>
      <c r="M18" s="1839"/>
      <c r="O18" s="1838"/>
      <c r="P18" s="1839"/>
      <c r="Q18" s="1860"/>
      <c r="R18" s="2258"/>
      <c r="S18" s="2259"/>
      <c r="T18" s="1860"/>
      <c r="U18" s="2258"/>
      <c r="V18" s="2259"/>
      <c r="W18" s="25"/>
    </row>
    <row r="19" spans="1:23" ht="13">
      <c r="A19" s="1863" t="s">
        <v>8378</v>
      </c>
      <c r="B19" s="1861"/>
      <c r="C19" s="1862"/>
      <c r="D19" s="1136"/>
      <c r="E19" s="1369"/>
      <c r="F19" s="1859"/>
      <c r="G19" s="1858" t="e">
        <f>G15+G17</f>
        <v>#VALUE!</v>
      </c>
      <c r="H19" s="1369"/>
      <c r="I19" s="1859"/>
      <c r="J19" s="1858">
        <f>J15+J17</f>
        <v>0.05</v>
      </c>
      <c r="K19" s="1369"/>
      <c r="L19" s="1859"/>
      <c r="M19" s="1858" t="e">
        <f>M15+M17</f>
        <v>#DIV/0!</v>
      </c>
      <c r="O19" s="1859"/>
      <c r="P19" s="1858" t="e">
        <f>P15+P17</f>
        <v>#DIV/0!</v>
      </c>
      <c r="R19" s="1859"/>
      <c r="S19" s="1858" t="e">
        <f>S15+S17</f>
        <v>#DIV/0!</v>
      </c>
      <c r="U19" s="1859"/>
      <c r="V19" s="1858" t="e">
        <f>V15+V17</f>
        <v>#DIV/0!</v>
      </c>
      <c r="W19" s="25"/>
    </row>
    <row r="20" spans="1:23" ht="13">
      <c r="B20" s="25"/>
      <c r="C20" s="25"/>
      <c r="D20" s="1136"/>
      <c r="E20" s="1860"/>
      <c r="F20" s="1143" t="s">
        <v>8382</v>
      </c>
      <c r="G20" s="1860"/>
      <c r="H20" s="1860"/>
      <c r="I20" s="1860"/>
      <c r="J20" s="1860"/>
      <c r="K20" s="1860"/>
      <c r="L20" s="1860"/>
      <c r="M20" s="1860"/>
      <c r="W20" s="25"/>
    </row>
    <row r="21" spans="1:23" ht="13">
      <c r="F21" s="52"/>
      <c r="I21" s="52"/>
      <c r="L21" s="52"/>
      <c r="P21" s="2042"/>
    </row>
    <row r="22" spans="1:23" ht="15.5">
      <c r="A22" s="3192" t="s">
        <v>11466</v>
      </c>
      <c r="C22" s="2039"/>
      <c r="F22" s="52"/>
      <c r="I22" s="52"/>
      <c r="L22" s="52"/>
    </row>
    <row r="23" spans="1:23" ht="15.5">
      <c r="A23" s="2033" t="s">
        <v>11467</v>
      </c>
      <c r="C23" s="2040"/>
      <c r="I23" s="41"/>
      <c r="L23" s="41"/>
      <c r="W23" s="41"/>
    </row>
    <row r="24" spans="1:23" ht="15.5">
      <c r="A24" s="2039"/>
      <c r="C24" s="2040"/>
      <c r="E24" s="1143"/>
      <c r="G24" s="1143"/>
      <c r="H24" s="1143"/>
      <c r="I24" s="41"/>
      <c r="L24" s="41"/>
      <c r="W24" s="41"/>
    </row>
    <row r="25" spans="1:23" ht="15.5">
      <c r="C25" s="2040"/>
      <c r="I25" s="41"/>
      <c r="L25" s="41"/>
      <c r="W25" s="41"/>
    </row>
    <row r="26" spans="1:23">
      <c r="I26" s="41"/>
      <c r="L26" s="41"/>
      <c r="W26" s="41"/>
    </row>
    <row r="27" spans="1:23">
      <c r="I27" s="41"/>
      <c r="L27" s="41"/>
      <c r="W27" s="41"/>
    </row>
    <row r="28" spans="1:23" ht="13" thickBot="1">
      <c r="I28" s="41"/>
      <c r="L28" s="1884"/>
      <c r="M28" s="1884"/>
      <c r="N28" s="1883"/>
      <c r="O28" s="1883"/>
      <c r="P28" s="1883"/>
      <c r="Q28" s="1883"/>
      <c r="R28" s="1883"/>
      <c r="S28" s="1883"/>
      <c r="T28" s="1883"/>
      <c r="U28" s="1883"/>
      <c r="V28" s="1883"/>
      <c r="W28" s="41"/>
    </row>
    <row r="29" spans="1:23" ht="13">
      <c r="A29" s="1875"/>
      <c r="B29" s="1898"/>
      <c r="C29" s="1898"/>
      <c r="D29" s="1898"/>
      <c r="E29" s="1899"/>
      <c r="F29" s="1901"/>
      <c r="G29" s="1900" t="s">
        <v>7427</v>
      </c>
      <c r="H29" s="1899"/>
      <c r="I29" s="1900" t="s">
        <v>1202</v>
      </c>
      <c r="J29" s="1899"/>
      <c r="K29" s="1899"/>
      <c r="L29" s="2397" t="s">
        <v>9094</v>
      </c>
      <c r="M29" s="1864"/>
      <c r="O29" s="2555" t="s">
        <v>9094</v>
      </c>
      <c r="P29" s="2561"/>
      <c r="R29" s="2555" t="s">
        <v>9094</v>
      </c>
      <c r="S29" s="2563"/>
      <c r="U29" s="2555" t="s">
        <v>9094</v>
      </c>
      <c r="V29" s="2563"/>
    </row>
    <row r="30" spans="1:23" ht="13">
      <c r="A30" s="1876"/>
      <c r="B30" s="1097"/>
      <c r="C30" s="1097"/>
      <c r="D30" s="1097"/>
      <c r="E30" s="1864"/>
      <c r="F30" s="2197"/>
      <c r="G30" s="1918" t="s">
        <v>5513</v>
      </c>
      <c r="H30" s="1864"/>
      <c r="I30" s="2197"/>
      <c r="J30" s="1918" t="s">
        <v>5951</v>
      </c>
      <c r="K30" s="1864"/>
      <c r="L30" s="2551"/>
      <c r="M30" s="2552" t="s">
        <v>7037</v>
      </c>
      <c r="O30" s="2556"/>
      <c r="P30" s="2557" t="s">
        <v>8487</v>
      </c>
      <c r="R30" s="2556"/>
      <c r="S30" s="2198" t="s">
        <v>9171</v>
      </c>
      <c r="U30" s="2556"/>
      <c r="V30" s="2198" t="s">
        <v>11049</v>
      </c>
    </row>
    <row r="31" spans="1:23" ht="13">
      <c r="A31" s="1877" t="s">
        <v>8379</v>
      </c>
      <c r="B31" s="1865"/>
      <c r="C31" s="1865"/>
      <c r="D31" s="1866"/>
      <c r="E31" s="1864"/>
      <c r="F31" s="1867"/>
      <c r="G31" s="1868"/>
      <c r="H31" s="1864"/>
      <c r="I31" s="1867"/>
      <c r="J31" s="1868"/>
      <c r="K31" s="1864"/>
      <c r="L31" s="1870"/>
      <c r="M31" s="2553"/>
      <c r="O31" s="2558"/>
      <c r="P31" s="2559"/>
      <c r="R31" s="2558"/>
      <c r="S31" s="2564"/>
      <c r="U31" s="2558"/>
      <c r="V31" s="2564"/>
    </row>
    <row r="32" spans="1:23" ht="13">
      <c r="A32" s="1878" t="s">
        <v>8380</v>
      </c>
      <c r="B32" s="1869"/>
      <c r="C32" s="1869"/>
      <c r="D32" s="1869"/>
      <c r="E32" s="1864"/>
      <c r="F32" s="1874"/>
      <c r="G32" s="1871">
        <f>G5+0.17</f>
        <v>0.17</v>
      </c>
      <c r="H32" s="1864"/>
      <c r="I32" s="1874"/>
      <c r="J32" s="1871">
        <f>J5+0.17</f>
        <v>0.17</v>
      </c>
      <c r="K32" s="1864"/>
      <c r="L32" s="1874"/>
      <c r="M32" s="2554" t="e">
        <f>M5+0.17</f>
        <v>#DIV/0!</v>
      </c>
      <c r="O32" s="1874"/>
      <c r="P32" s="1871" t="e">
        <f>P5+0.17</f>
        <v>#DIV/0!</v>
      </c>
      <c r="R32" s="1874"/>
      <c r="S32" s="1879" t="e">
        <f>S5+0.17</f>
        <v>#DIV/0!</v>
      </c>
      <c r="U32" s="1874"/>
      <c r="V32" s="1879" t="e">
        <f>V5+0.17</f>
        <v>#DIV/0!</v>
      </c>
    </row>
    <row r="33" spans="1:22" ht="13">
      <c r="A33" s="1880" t="s">
        <v>8381</v>
      </c>
      <c r="B33" s="1872"/>
      <c r="C33" s="1872"/>
      <c r="D33" s="1872"/>
      <c r="E33" s="1864"/>
      <c r="F33" s="1874"/>
      <c r="G33" s="1873" t="e">
        <f>G32+G17</f>
        <v>#VALUE!</v>
      </c>
      <c r="H33" s="1864"/>
      <c r="I33" s="1874"/>
      <c r="J33" s="1873">
        <f>J32+J17</f>
        <v>0.17</v>
      </c>
      <c r="K33" s="1864"/>
      <c r="L33" s="1874"/>
      <c r="M33" s="2554" t="e">
        <f>M32+M17</f>
        <v>#DIV/0!</v>
      </c>
      <c r="O33" s="1874"/>
      <c r="P33" s="2560" t="e">
        <f>P32+P17</f>
        <v>#DIV/0!</v>
      </c>
      <c r="R33" s="1874"/>
      <c r="S33" s="1881" t="e">
        <f>S32+S17</f>
        <v>#DIV/0!</v>
      </c>
      <c r="U33" s="1874"/>
      <c r="V33" s="1881" t="e">
        <f>V32+V17</f>
        <v>#DIV/0!</v>
      </c>
    </row>
    <row r="34" spans="1:22">
      <c r="A34" s="1876"/>
      <c r="B34" s="1097"/>
      <c r="C34" s="1097"/>
      <c r="D34" s="1097"/>
      <c r="E34" s="1864"/>
      <c r="F34" s="1897"/>
      <c r="G34" s="1864"/>
      <c r="H34" s="1864"/>
      <c r="I34" s="1897"/>
      <c r="J34" s="1864"/>
      <c r="K34" s="1864"/>
      <c r="L34" s="1897"/>
      <c r="M34" s="2562"/>
      <c r="S34" s="2565"/>
      <c r="V34" s="2565"/>
    </row>
    <row r="35" spans="1:22" ht="13">
      <c r="A35" s="1876"/>
      <c r="B35" s="1097"/>
      <c r="C35" s="1097"/>
      <c r="D35" s="1097"/>
      <c r="E35" s="1908" t="s">
        <v>8389</v>
      </c>
      <c r="F35" s="1910"/>
      <c r="G35" s="1909"/>
      <c r="H35" s="1909"/>
      <c r="I35" s="1910"/>
      <c r="J35" s="1909"/>
      <c r="K35" s="1911"/>
      <c r="L35" s="1897"/>
      <c r="M35" s="1864"/>
      <c r="S35" s="2565"/>
      <c r="V35" s="2565"/>
    </row>
    <row r="36" spans="1:22" ht="13">
      <c r="A36" s="1876"/>
      <c r="B36" s="1097"/>
      <c r="C36" s="1097"/>
      <c r="D36" s="1097"/>
      <c r="E36" s="1912" t="s">
        <v>8390</v>
      </c>
      <c r="F36" s="1907"/>
      <c r="G36" s="1906"/>
      <c r="H36" s="1906"/>
      <c r="I36" s="1907"/>
      <c r="J36" s="1906"/>
      <c r="K36" s="1913"/>
      <c r="L36" s="1897"/>
      <c r="M36" s="1864"/>
      <c r="S36" s="2565"/>
      <c r="V36" s="2565"/>
    </row>
    <row r="37" spans="1:22" ht="13">
      <c r="A37" s="1876"/>
      <c r="B37" s="1097"/>
      <c r="C37" s="1097"/>
      <c r="D37" s="1097"/>
      <c r="E37" s="1912" t="s">
        <v>8657</v>
      </c>
      <c r="F37" s="1907"/>
      <c r="G37" s="1906"/>
      <c r="H37" s="1906"/>
      <c r="I37" s="1907"/>
      <c r="J37" s="1906"/>
      <c r="K37" s="1913"/>
      <c r="L37" s="1897"/>
      <c r="M37" s="1864"/>
      <c r="S37" s="2565"/>
      <c r="V37" s="2565"/>
    </row>
    <row r="38" spans="1:22" ht="13">
      <c r="A38" s="1876"/>
      <c r="B38" s="1097"/>
      <c r="C38" s="1097"/>
      <c r="D38" s="1097"/>
      <c r="E38" s="1912" t="s">
        <v>8391</v>
      </c>
      <c r="F38" s="1907"/>
      <c r="G38" s="1906"/>
      <c r="H38" s="1906"/>
      <c r="I38" s="1907"/>
      <c r="J38" s="1906"/>
      <c r="K38" s="1913"/>
      <c r="L38" s="1897"/>
      <c r="M38" s="1864"/>
      <c r="S38" s="2565"/>
      <c r="V38" s="2565"/>
    </row>
    <row r="39" spans="1:22" ht="13">
      <c r="A39" s="1876"/>
      <c r="B39" s="1097"/>
      <c r="C39" s="1097"/>
      <c r="D39" s="1097"/>
      <c r="E39" s="1912" t="s">
        <v>8420</v>
      </c>
      <c r="F39" s="1907"/>
      <c r="G39" s="1906"/>
      <c r="H39" s="1906"/>
      <c r="I39" s="1907"/>
      <c r="J39" s="1906"/>
      <c r="K39" s="1913"/>
      <c r="L39" s="1897"/>
      <c r="M39" s="1864"/>
      <c r="S39" s="2565"/>
      <c r="V39" s="2565"/>
    </row>
    <row r="40" spans="1:22" ht="13">
      <c r="A40" s="1876"/>
      <c r="B40" s="1097"/>
      <c r="C40" s="1097"/>
      <c r="D40" s="1097"/>
      <c r="E40" s="1914" t="s">
        <v>8658</v>
      </c>
      <c r="F40" s="1916"/>
      <c r="G40" s="1915"/>
      <c r="H40" s="1915"/>
      <c r="I40" s="1916"/>
      <c r="J40" s="1915"/>
      <c r="K40" s="1917"/>
      <c r="L40" s="1897"/>
      <c r="M40" s="1864"/>
      <c r="S40" s="2565"/>
      <c r="V40" s="2565"/>
    </row>
    <row r="41" spans="1:22" ht="13.5" thickBot="1">
      <c r="A41" s="1882"/>
      <c r="B41" s="1883"/>
      <c r="C41" s="1883"/>
      <c r="D41" s="1883"/>
      <c r="E41" s="1902"/>
      <c r="F41" s="1885"/>
      <c r="G41" s="1884"/>
      <c r="H41" s="1884"/>
      <c r="I41" s="1885"/>
      <c r="J41" s="1884"/>
      <c r="K41" s="1884"/>
      <c r="L41" s="1885"/>
      <c r="M41" s="1884"/>
      <c r="N41" s="1883"/>
      <c r="O41" s="1883"/>
      <c r="P41" s="1883"/>
      <c r="Q41" s="1883"/>
      <c r="R41" s="1883"/>
      <c r="S41" s="2566"/>
      <c r="T41" s="1883"/>
      <c r="U41" s="1883"/>
      <c r="V41" s="2566"/>
    </row>
    <row r="44" spans="1:22">
      <c r="F44" s="41"/>
      <c r="J44" s="27"/>
    </row>
    <row r="45" spans="1:22" hidden="1">
      <c r="F45" s="41"/>
      <c r="G45" s="41">
        <f>IF(G13=0.05,G5+0.04,G5+G13)</f>
        <v>0.04</v>
      </c>
      <c r="J45" s="27"/>
      <c r="M45" s="41" t="e">
        <f>IF(M13=0.05,M5+0.04,M5+M13)</f>
        <v>#DIV/0!</v>
      </c>
    </row>
    <row r="46" spans="1:22">
      <c r="F46" s="41"/>
      <c r="J46" s="27"/>
    </row>
    <row r="47" spans="1:22">
      <c r="F47" s="41"/>
      <c r="J47" s="27"/>
    </row>
    <row r="48" spans="1:22">
      <c r="F48" s="41"/>
      <c r="J48" s="27"/>
    </row>
    <row r="49" spans="6:10">
      <c r="F49" s="41"/>
      <c r="J49" s="27"/>
    </row>
    <row r="50" spans="6:10">
      <c r="J50" s="27"/>
    </row>
    <row r="51" spans="6:10">
      <c r="J51" s="27"/>
    </row>
    <row r="52" spans="6:10">
      <c r="J52" s="27"/>
    </row>
    <row r="53" spans="6:10">
      <c r="J53" s="27"/>
    </row>
    <row r="54" spans="6:10">
      <c r="J54" s="27"/>
    </row>
  </sheetData>
  <pageMargins left="0.7" right="0.7" top="0.75" bottom="0.75" header="0.3" footer="0.3"/>
  <pageSetup orientation="landscape"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9"/>
  <sheetViews>
    <sheetView workbookViewId="0">
      <selection activeCell="A4" sqref="A4"/>
    </sheetView>
  </sheetViews>
  <sheetFormatPr defaultRowHeight="12.5"/>
  <cols>
    <col min="1" max="1" width="17.453125" customWidth="1"/>
  </cols>
  <sheetData>
    <row r="1" spans="1:1" ht="13">
      <c r="A1" s="57" t="s">
        <v>2302</v>
      </c>
    </row>
    <row r="2" spans="1:1" ht="13">
      <c r="A2" s="57"/>
    </row>
    <row r="3" spans="1:1" ht="13">
      <c r="A3" s="57" t="s">
        <v>7515</v>
      </c>
    </row>
    <row r="4" spans="1:1" ht="13">
      <c r="A4" s="57" t="s">
        <v>393</v>
      </c>
    </row>
    <row r="5" spans="1:1">
      <c r="A5" s="123" t="s">
        <v>1395</v>
      </c>
    </row>
    <row r="6" spans="1:1" ht="13">
      <c r="A6" s="57"/>
    </row>
    <row r="7" spans="1:1" ht="13">
      <c r="A7" s="57" t="s">
        <v>1396</v>
      </c>
    </row>
    <row r="8" spans="1:1" ht="13">
      <c r="A8" s="57" t="s">
        <v>1397</v>
      </c>
    </row>
    <row r="9" spans="1:1" ht="13">
      <c r="A9" s="57" t="s">
        <v>7085</v>
      </c>
    </row>
  </sheetData>
  <phoneticPr fontId="24" type="noConversion"/>
  <hyperlinks>
    <hyperlink ref="A5" r:id="rId1" xr:uid="{00000000-0004-0000-0100-000000000000}"/>
  </hyperlinks>
  <pageMargins left="0.75" right="0.75" top="1" bottom="1" header="0.5" footer="0.5"/>
  <pageSetup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66"/>
  </sheetPr>
  <dimension ref="A1:O100"/>
  <sheetViews>
    <sheetView workbookViewId="0">
      <selection activeCell="D1" sqref="D1"/>
    </sheetView>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7"/>
      <c r="D1" s="1816" t="str">
        <f>'Report-SOF2223-SB1'!D1</f>
        <v>Release 2</v>
      </c>
      <c r="E1" s="426"/>
      <c r="F1" s="426"/>
      <c r="G1" s="426"/>
    </row>
    <row r="2" spans="1:15">
      <c r="A2" s="325" t="s">
        <v>7917</v>
      </c>
      <c r="D2" s="1817">
        <f>'Report-SOF2223-SB1'!D2</f>
        <v>44930</v>
      </c>
      <c r="E2" s="58"/>
      <c r="F2" s="58"/>
      <c r="G2" s="58"/>
    </row>
    <row r="3" spans="1:15" ht="15.5">
      <c r="D3" s="232"/>
      <c r="E3" s="47"/>
      <c r="F3" s="47"/>
      <c r="G3" s="47"/>
    </row>
    <row r="4" spans="1:15" s="247" customFormat="1" ht="15.5">
      <c r="A4" s="246" t="s">
        <v>7048</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673" t="s">
        <v>1202</v>
      </c>
      <c r="F7" s="232"/>
      <c r="G7" s="232"/>
      <c r="H7" s="232"/>
      <c r="I7" s="232"/>
      <c r="J7" s="232"/>
      <c r="K7" s="232"/>
      <c r="L7" s="232"/>
      <c r="M7" s="232"/>
      <c r="N7" s="232"/>
      <c r="O7" s="232"/>
    </row>
    <row r="8" spans="1:15" s="247" customFormat="1" ht="18">
      <c r="A8" s="357" t="s">
        <v>2554</v>
      </c>
      <c r="B8" s="564"/>
      <c r="C8" s="564"/>
      <c r="D8" s="346" t="s">
        <v>2558</v>
      </c>
      <c r="E8" s="1009"/>
      <c r="F8" s="566"/>
      <c r="G8" s="566"/>
      <c r="H8" s="232"/>
      <c r="I8" s="232"/>
      <c r="J8" s="232"/>
      <c r="K8" s="232"/>
      <c r="L8" s="232"/>
      <c r="M8" s="232"/>
      <c r="N8" s="232"/>
      <c r="O8" s="232"/>
    </row>
    <row r="9" spans="1:15" s="247" customFormat="1" ht="18">
      <c r="A9" s="607" t="s">
        <v>2555</v>
      </c>
      <c r="B9" s="620"/>
      <c r="C9" s="620"/>
      <c r="D9" s="347" t="s">
        <v>2559</v>
      </c>
      <c r="E9" s="1010" t="s">
        <v>7427</v>
      </c>
      <c r="F9" s="566"/>
      <c r="G9" s="566"/>
      <c r="H9" s="232"/>
      <c r="I9" s="232"/>
      <c r="J9" s="232"/>
      <c r="K9" s="232"/>
      <c r="L9" s="232"/>
      <c r="M9" s="232"/>
      <c r="N9" s="232"/>
      <c r="O9" s="232"/>
    </row>
    <row r="10" spans="1:15" s="247" customFormat="1" ht="15.5">
      <c r="A10" s="250" t="s">
        <v>2063</v>
      </c>
      <c r="B10" s="251" t="s">
        <v>2556</v>
      </c>
      <c r="C10" s="251"/>
      <c r="D10" s="1045">
        <f>'Data Entry - SOF'!G19</f>
        <v>0</v>
      </c>
      <c r="E10" s="1003">
        <f>D10</f>
        <v>0</v>
      </c>
      <c r="F10" s="998"/>
      <c r="G10" s="998"/>
      <c r="H10" s="232"/>
      <c r="I10" s="232"/>
      <c r="J10" s="232"/>
      <c r="K10" s="232"/>
      <c r="L10" s="232"/>
      <c r="M10" s="232"/>
      <c r="N10" s="232"/>
      <c r="O10" s="232"/>
    </row>
    <row r="11" spans="1:15" s="247" customFormat="1" ht="15.5">
      <c r="A11" s="250" t="s">
        <v>2064</v>
      </c>
      <c r="B11" s="410" t="s">
        <v>2847</v>
      </c>
      <c r="C11" s="251"/>
      <c r="D11" s="1045">
        <f>'Calc Data'!F12</f>
        <v>0</v>
      </c>
      <c r="E11" s="1003">
        <f t="shared" ref="E11:E13" si="0">D11</f>
        <v>0</v>
      </c>
      <c r="F11" s="998"/>
      <c r="G11" s="998"/>
      <c r="H11" s="232"/>
      <c r="I11" s="232"/>
      <c r="J11" s="232"/>
      <c r="K11" s="232"/>
      <c r="L11" s="232"/>
      <c r="M11" s="232"/>
      <c r="N11" s="232"/>
      <c r="O11" s="232"/>
    </row>
    <row r="12" spans="1:15" s="247" customFormat="1" ht="15.5">
      <c r="A12" s="250" t="s">
        <v>2065</v>
      </c>
      <c r="B12" s="411" t="s">
        <v>7062</v>
      </c>
      <c r="C12" s="251"/>
      <c r="D12" s="1045">
        <f>'Calc Data'!F8</f>
        <v>0</v>
      </c>
      <c r="E12" s="1003">
        <f t="shared" si="0"/>
        <v>0</v>
      </c>
      <c r="F12" s="998"/>
      <c r="G12" s="998"/>
      <c r="H12" s="232"/>
      <c r="I12" s="232"/>
      <c r="J12" s="232"/>
      <c r="K12" s="232"/>
      <c r="L12" s="232"/>
      <c r="M12" s="232"/>
      <c r="N12" s="232"/>
      <c r="O12" s="232"/>
    </row>
    <row r="13" spans="1:15" s="247" customFormat="1" ht="15.5">
      <c r="A13" s="250" t="s">
        <v>862</v>
      </c>
      <c r="B13" s="251" t="s">
        <v>778</v>
      </c>
      <c r="C13" s="251"/>
      <c r="D13" s="1045">
        <f>'Data Entry - SOF'!G36+'Data Entry - SOF'!G37+'Data Entry - SOF'!G38</f>
        <v>0</v>
      </c>
      <c r="E13" s="1003">
        <f t="shared" si="0"/>
        <v>0</v>
      </c>
      <c r="F13" s="998"/>
      <c r="G13" s="998"/>
      <c r="H13" s="232"/>
      <c r="I13" s="232"/>
      <c r="J13" s="232"/>
      <c r="K13" s="232"/>
      <c r="L13" s="232"/>
      <c r="M13" s="232"/>
      <c r="N13" s="232"/>
      <c r="O13" s="232"/>
    </row>
    <row r="14" spans="1:15" s="247" customFormat="1" ht="15.5">
      <c r="A14" s="250" t="s">
        <v>863</v>
      </c>
      <c r="B14" s="411" t="s">
        <v>2848</v>
      </c>
      <c r="C14" s="251"/>
      <c r="D14" s="1045" t="e">
        <f>'SOF2324-HB3'!L61</f>
        <v>#DIV/0!</v>
      </c>
      <c r="E14" s="1003" t="e">
        <f>'SOF2324-HB3'!L61</f>
        <v>#DIV/0!</v>
      </c>
      <c r="F14" s="998"/>
      <c r="G14" s="998"/>
      <c r="H14" s="232"/>
      <c r="I14" s="232"/>
      <c r="J14" s="232"/>
      <c r="K14" s="232"/>
      <c r="L14" s="232"/>
      <c r="M14" s="232"/>
      <c r="N14" s="232"/>
      <c r="O14" s="232"/>
    </row>
    <row r="15" spans="1:15" s="247" customFormat="1" ht="18">
      <c r="A15" s="607" t="s">
        <v>2560</v>
      </c>
      <c r="B15" s="620"/>
      <c r="C15" s="620"/>
      <c r="D15" s="1031"/>
      <c r="E15" s="1008"/>
      <c r="F15" s="611"/>
      <c r="G15" s="611"/>
      <c r="H15" s="232"/>
      <c r="I15" s="232"/>
      <c r="J15" s="232"/>
      <c r="K15" s="232"/>
      <c r="L15" s="232"/>
      <c r="M15" s="232"/>
      <c r="N15" s="232"/>
      <c r="O15" s="232"/>
    </row>
    <row r="16" spans="1:15" s="247" customFormat="1" ht="15.5">
      <c r="A16" s="250" t="s">
        <v>865</v>
      </c>
      <c r="B16" s="251" t="s">
        <v>8483</v>
      </c>
      <c r="C16" s="251"/>
      <c r="D16" s="1046">
        <f>'Data Entry - SOF'!E66</f>
        <v>0</v>
      </c>
      <c r="E16" s="1004">
        <f>D16</f>
        <v>0</v>
      </c>
      <c r="F16" s="369"/>
      <c r="G16" s="369"/>
      <c r="H16" s="232"/>
      <c r="I16" s="232"/>
      <c r="J16" s="232"/>
      <c r="K16" s="232"/>
      <c r="L16" s="232"/>
      <c r="M16" s="232"/>
      <c r="N16" s="232"/>
      <c r="O16" s="232"/>
    </row>
    <row r="17" spans="1:15" s="247" customFormat="1" ht="15.5">
      <c r="A17" s="250" t="s">
        <v>866</v>
      </c>
      <c r="B17" s="251" t="s">
        <v>8484</v>
      </c>
      <c r="C17" s="1685"/>
      <c r="D17" s="1046">
        <f>'Data Entry - SOF'!G66</f>
        <v>0</v>
      </c>
      <c r="E17" s="1688"/>
      <c r="F17" s="369"/>
      <c r="G17" s="369"/>
      <c r="H17" s="232"/>
      <c r="I17" s="232"/>
      <c r="J17" s="232"/>
      <c r="K17" s="232"/>
      <c r="L17" s="232"/>
      <c r="M17" s="232"/>
      <c r="N17" s="232"/>
      <c r="O17" s="232"/>
    </row>
    <row r="18" spans="1:15" s="247" customFormat="1" ht="18">
      <c r="A18" s="607" t="s">
        <v>2561</v>
      </c>
      <c r="B18" s="620"/>
      <c r="C18" s="620"/>
      <c r="D18" s="1031"/>
      <c r="E18" s="1008"/>
      <c r="F18" s="611"/>
      <c r="G18" s="611"/>
      <c r="H18" s="232"/>
      <c r="I18" s="232"/>
      <c r="J18" s="232"/>
      <c r="K18" s="232"/>
      <c r="L18" s="232"/>
      <c r="M18" s="232"/>
      <c r="N18" s="232"/>
      <c r="O18" s="232"/>
    </row>
    <row r="19" spans="1:15" s="247" customFormat="1" ht="15.5">
      <c r="A19" s="250" t="s">
        <v>867</v>
      </c>
      <c r="B19" s="251" t="s">
        <v>7049</v>
      </c>
      <c r="C19" s="1678"/>
      <c r="D19" s="1723">
        <f>'Data Entry - SOF'!G74</f>
        <v>0</v>
      </c>
      <c r="E19" s="1690"/>
      <c r="F19" s="999"/>
      <c r="G19" s="999"/>
      <c r="H19" s="232"/>
      <c r="I19" s="232"/>
      <c r="J19" s="232"/>
      <c r="K19" s="232"/>
      <c r="L19" s="232"/>
      <c r="M19" s="232"/>
      <c r="N19" s="232"/>
      <c r="O19" s="232"/>
    </row>
    <row r="20" spans="1:15" s="247" customFormat="1" ht="15.5">
      <c r="A20" s="250" t="s">
        <v>109</v>
      </c>
      <c r="B20" s="251" t="s">
        <v>8163</v>
      </c>
      <c r="C20" s="1678"/>
      <c r="D20" s="1722" t="e">
        <f>'Data Entry - SOF'!G124</f>
        <v>#DIV/0!</v>
      </c>
      <c r="E20" s="1690"/>
      <c r="F20" s="999"/>
      <c r="G20" s="999"/>
      <c r="H20" s="232"/>
      <c r="I20" s="232"/>
      <c r="J20" s="232"/>
      <c r="K20" s="232"/>
      <c r="L20" s="232"/>
      <c r="M20" s="232"/>
      <c r="N20" s="232"/>
      <c r="O20" s="232"/>
    </row>
    <row r="21" spans="1:15" s="247" customFormat="1" ht="15.5">
      <c r="A21" s="250" t="s">
        <v>110</v>
      </c>
      <c r="B21" s="251" t="s">
        <v>8164</v>
      </c>
      <c r="C21" s="1678"/>
      <c r="D21" s="1722" t="e">
        <f>'HB3-RollbackRates'!M5</f>
        <v>#DIV/0!</v>
      </c>
      <c r="E21" s="1690"/>
      <c r="F21" s="999"/>
      <c r="G21" s="999"/>
      <c r="H21" s="232"/>
      <c r="I21" s="232"/>
      <c r="J21" s="232"/>
      <c r="K21" s="232"/>
      <c r="L21" s="232"/>
      <c r="M21" s="232"/>
      <c r="N21" s="232"/>
      <c r="O21" s="232"/>
    </row>
    <row r="22" spans="1:15" s="247" customFormat="1" ht="15.5">
      <c r="A22" s="250" t="s">
        <v>111</v>
      </c>
      <c r="B22" s="1770" t="s">
        <v>9244</v>
      </c>
      <c r="C22" s="251"/>
      <c r="D22" s="985">
        <f>'Data Entry - SOF'!G75</f>
        <v>0</v>
      </c>
      <c r="E22" s="1005" t="e">
        <f>'Data Entry - SOF'!#REF!</f>
        <v>#REF!</v>
      </c>
      <c r="F22" s="409"/>
      <c r="G22" s="409"/>
      <c r="H22" s="232"/>
      <c r="I22" s="232"/>
      <c r="J22" s="232"/>
      <c r="K22" s="232"/>
      <c r="L22" s="232"/>
      <c r="M22" s="232"/>
      <c r="N22" s="232"/>
      <c r="O22" s="232"/>
    </row>
    <row r="23" spans="1:15" s="247" customFormat="1" ht="15.5">
      <c r="A23" s="250" t="s">
        <v>112</v>
      </c>
      <c r="B23" s="251" t="s">
        <v>8165</v>
      </c>
      <c r="C23" s="1685"/>
      <c r="D23" s="1722">
        <f>'Data Entry - SOF'!G79</f>
        <v>0</v>
      </c>
      <c r="E23" s="1686"/>
      <c r="F23" s="409"/>
      <c r="G23" s="409"/>
      <c r="H23" s="232"/>
      <c r="I23" s="232"/>
      <c r="J23" s="232"/>
      <c r="K23" s="232"/>
      <c r="L23" s="232"/>
      <c r="M23" s="232"/>
      <c r="N23" s="232"/>
      <c r="O23" s="232"/>
    </row>
    <row r="24" spans="1:15" s="247" customFormat="1" ht="15.5">
      <c r="A24" s="250" t="s">
        <v>1424</v>
      </c>
      <c r="B24" s="251" t="s">
        <v>7050</v>
      </c>
      <c r="C24" s="251"/>
      <c r="D24" s="985">
        <f>'Data Entry - SOF'!G80</f>
        <v>0</v>
      </c>
      <c r="E24" s="1005">
        <f>D24</f>
        <v>0</v>
      </c>
      <c r="F24" s="409"/>
      <c r="G24" s="409"/>
      <c r="H24" s="232"/>
      <c r="I24" s="232"/>
      <c r="J24" s="232"/>
      <c r="K24" s="232"/>
      <c r="L24" s="232"/>
      <c r="M24" s="232"/>
      <c r="N24" s="232"/>
      <c r="O24" s="232"/>
    </row>
    <row r="25" spans="1:15" s="247" customFormat="1" ht="15.5">
      <c r="A25" s="250" t="s">
        <v>6</v>
      </c>
      <c r="B25" s="251" t="s">
        <v>7051</v>
      </c>
      <c r="C25" s="251"/>
      <c r="D25" s="985">
        <f>D22+D24</f>
        <v>0</v>
      </c>
      <c r="E25" s="1005"/>
      <c r="F25" s="409"/>
      <c r="G25" s="409"/>
      <c r="H25" s="232"/>
      <c r="I25" s="232"/>
      <c r="J25" s="232"/>
      <c r="K25" s="232"/>
      <c r="L25" s="232"/>
      <c r="M25" s="232"/>
      <c r="N25" s="232"/>
      <c r="O25" s="232"/>
    </row>
    <row r="26" spans="1:15" s="247" customFormat="1" ht="15.5">
      <c r="A26" s="250" t="s">
        <v>2109</v>
      </c>
      <c r="B26" s="251" t="s">
        <v>7052</v>
      </c>
      <c r="C26" s="251"/>
      <c r="D26" s="2409" t="s">
        <v>1678</v>
      </c>
      <c r="E26" s="1005"/>
      <c r="F26" s="409"/>
      <c r="G26" s="409"/>
      <c r="H26" s="232"/>
      <c r="I26" s="232"/>
      <c r="J26" s="232"/>
      <c r="K26" s="232"/>
      <c r="L26" s="232"/>
      <c r="M26" s="232"/>
      <c r="N26" s="232"/>
      <c r="O26" s="232"/>
    </row>
    <row r="27" spans="1:15" s="247" customFormat="1" ht="18">
      <c r="A27" s="607" t="s">
        <v>2568</v>
      </c>
      <c r="B27" s="620"/>
      <c r="C27" s="620"/>
      <c r="D27" s="1031"/>
      <c r="E27" s="1008"/>
      <c r="F27" s="611"/>
      <c r="G27" s="611"/>
      <c r="H27" s="232"/>
      <c r="I27" s="232"/>
      <c r="J27" s="232"/>
      <c r="K27" s="232"/>
      <c r="L27" s="232"/>
      <c r="M27" s="232"/>
      <c r="N27" s="232"/>
      <c r="O27" s="232"/>
    </row>
    <row r="28" spans="1:15" s="247" customFormat="1" ht="15.5">
      <c r="A28" s="250" t="s">
        <v>2110</v>
      </c>
      <c r="B28" s="411" t="s">
        <v>8118</v>
      </c>
      <c r="C28" s="268"/>
      <c r="D28" s="437" t="e">
        <f>Assumptions!H154</f>
        <v>#DIV/0!</v>
      </c>
      <c r="E28" s="1005"/>
      <c r="F28" s="409"/>
      <c r="G28" s="409"/>
      <c r="H28" s="232"/>
      <c r="I28" s="232"/>
      <c r="J28" s="232"/>
      <c r="K28" s="232"/>
      <c r="L28" s="232"/>
      <c r="M28" s="232"/>
      <c r="N28" s="232"/>
      <c r="O28" s="232"/>
    </row>
    <row r="29" spans="1:15" s="247" customFormat="1" ht="15.5">
      <c r="A29" s="250" t="s">
        <v>2562</v>
      </c>
      <c r="B29" s="1693" t="s">
        <v>8119</v>
      </c>
      <c r="C29" s="1692"/>
      <c r="D29" s="1724">
        <f>'Data Entry - SOF'!E19</f>
        <v>0</v>
      </c>
      <c r="E29" s="1686"/>
      <c r="F29" s="409"/>
      <c r="G29" s="409"/>
      <c r="H29" s="232"/>
      <c r="I29" s="232"/>
      <c r="J29" s="232"/>
      <c r="K29" s="232"/>
      <c r="L29" s="232"/>
      <c r="M29" s="232"/>
      <c r="N29" s="232"/>
      <c r="O29" s="232"/>
    </row>
    <row r="30" spans="1:15" s="247" customFormat="1" ht="15.5">
      <c r="A30" s="250" t="s">
        <v>2563</v>
      </c>
      <c r="B30" s="251" t="s">
        <v>2574</v>
      </c>
      <c r="C30" s="251"/>
      <c r="D30" s="1047">
        <f>Assumptions!H159</f>
        <v>400</v>
      </c>
      <c r="E30" s="1006">
        <f>D30</f>
        <v>400</v>
      </c>
      <c r="F30" s="1000"/>
      <c r="G30" s="1000"/>
      <c r="H30" s="232"/>
      <c r="I30" s="232"/>
      <c r="J30" s="232"/>
      <c r="K30" s="232"/>
      <c r="L30" s="232"/>
      <c r="M30" s="232"/>
      <c r="N30" s="232"/>
      <c r="O30" s="232"/>
    </row>
    <row r="31" spans="1:15" s="247" customFormat="1" ht="18">
      <c r="A31" s="621" t="s">
        <v>2594</v>
      </c>
      <c r="B31" s="620"/>
      <c r="C31" s="620"/>
      <c r="D31" s="1031"/>
      <c r="E31" s="1008"/>
      <c r="F31" s="611"/>
      <c r="G31" s="611"/>
      <c r="H31" s="232"/>
      <c r="I31" s="232"/>
      <c r="J31" s="232"/>
      <c r="K31" s="232"/>
      <c r="L31" s="232"/>
      <c r="M31" s="232"/>
      <c r="N31" s="232"/>
      <c r="O31" s="232"/>
    </row>
    <row r="32" spans="1:15" s="247" customFormat="1" ht="18">
      <c r="A32" s="621" t="s">
        <v>8120</v>
      </c>
      <c r="B32" s="621"/>
      <c r="C32" s="620"/>
      <c r="D32" s="1031"/>
      <c r="E32" s="1008"/>
      <c r="F32" s="611"/>
      <c r="G32" s="611"/>
      <c r="H32" s="232"/>
      <c r="I32" s="232"/>
      <c r="J32" s="232"/>
      <c r="K32" s="232"/>
      <c r="L32" s="232"/>
      <c r="M32" s="232"/>
      <c r="N32" s="232"/>
      <c r="O32" s="232"/>
    </row>
    <row r="33" spans="1:15" s="247" customFormat="1" ht="15.5">
      <c r="A33" s="250" t="s">
        <v>2564</v>
      </c>
      <c r="B33" s="251" t="s">
        <v>8121</v>
      </c>
      <c r="C33" s="251"/>
      <c r="D33" s="985" t="e">
        <f>'SOF2324-HB3'!I20</f>
        <v>#DIV/0!</v>
      </c>
      <c r="E33" s="1005" t="e">
        <f>'SOF2324-HB3'!I20</f>
        <v>#DIV/0!</v>
      </c>
      <c r="F33" s="409"/>
      <c r="G33" s="409"/>
      <c r="H33" s="232"/>
      <c r="I33" s="232"/>
      <c r="J33" s="232"/>
      <c r="K33" s="232"/>
      <c r="L33" s="232"/>
      <c r="M33" s="232"/>
      <c r="N33" s="232"/>
      <c r="O33" s="232"/>
    </row>
    <row r="34" spans="1:15" s="247" customFormat="1" ht="15.5">
      <c r="A34" s="250" t="s">
        <v>2565</v>
      </c>
      <c r="B34" s="1685" t="s">
        <v>8122</v>
      </c>
      <c r="C34" s="1685"/>
      <c r="D34" s="1691">
        <f>'SOF2324-HB3'!I21</f>
        <v>0</v>
      </c>
      <c r="E34" s="1686"/>
      <c r="F34" s="409"/>
      <c r="G34" s="409"/>
      <c r="H34" s="232"/>
      <c r="I34" s="232"/>
      <c r="J34" s="232"/>
      <c r="K34" s="232"/>
      <c r="L34" s="232"/>
      <c r="M34" s="232"/>
      <c r="N34" s="232"/>
      <c r="O34" s="232"/>
    </row>
    <row r="35" spans="1:15" s="247" customFormat="1" ht="15.5">
      <c r="A35" s="250" t="s">
        <v>2566</v>
      </c>
      <c r="B35" s="251" t="s">
        <v>8123</v>
      </c>
      <c r="C35" s="251"/>
      <c r="D35" s="985" t="e">
        <f>SUM('SOF2324-HB3'!I22:I28)</f>
        <v>#DIV/0!</v>
      </c>
      <c r="E35" s="1005" t="e">
        <f>'SOF2324-HB3'!I160</f>
        <v>#REF!</v>
      </c>
      <c r="F35" s="409"/>
      <c r="G35" s="409"/>
      <c r="H35" s="232"/>
      <c r="I35" s="232"/>
      <c r="J35" s="232"/>
      <c r="K35" s="232"/>
      <c r="L35" s="232"/>
      <c r="M35" s="232"/>
      <c r="N35" s="232"/>
      <c r="O35" s="232"/>
    </row>
    <row r="36" spans="1:15" s="247" customFormat="1" ht="15.5">
      <c r="A36" s="250" t="s">
        <v>2567</v>
      </c>
      <c r="B36" s="1685" t="s">
        <v>8269</v>
      </c>
      <c r="C36" s="1685"/>
      <c r="D36" s="1691" t="e">
        <f>'SOF2324-HB3'!I46</f>
        <v>#DIV/0!</v>
      </c>
      <c r="E36" s="1686"/>
      <c r="F36" s="409"/>
      <c r="G36" s="409"/>
      <c r="H36" s="232"/>
      <c r="I36" s="232"/>
      <c r="J36" s="232"/>
      <c r="K36" s="232"/>
      <c r="L36" s="232"/>
      <c r="M36" s="232"/>
      <c r="N36" s="232"/>
      <c r="O36" s="232"/>
    </row>
    <row r="37" spans="1:15" s="247" customFormat="1" ht="15.5">
      <c r="A37" s="250" t="s">
        <v>2569</v>
      </c>
      <c r="B37" s="251" t="s">
        <v>8124</v>
      </c>
      <c r="C37" s="251"/>
      <c r="D37" s="985" t="e">
        <f>SUM('SOF2324-HB3'!I36:I42)</f>
        <v>#DIV/0!</v>
      </c>
      <c r="E37" s="1005" t="e">
        <f>'SOF2324-HB3'!I163</f>
        <v>#DIV/0!</v>
      </c>
      <c r="F37" s="409"/>
      <c r="G37" s="409"/>
      <c r="H37" s="232"/>
      <c r="I37" s="232"/>
      <c r="J37" s="232"/>
      <c r="K37" s="232"/>
      <c r="L37" s="232"/>
      <c r="M37" s="232"/>
      <c r="N37" s="232"/>
      <c r="O37" s="232"/>
    </row>
    <row r="38" spans="1:15" s="247" customFormat="1" ht="15.5">
      <c r="A38" s="250" t="s">
        <v>2570</v>
      </c>
      <c r="B38" s="251" t="s">
        <v>8125</v>
      </c>
      <c r="C38" s="251"/>
      <c r="D38" s="985" t="e">
        <f>SUM('SOF2324-HB3'!I43:I45)</f>
        <v>#DIV/0!</v>
      </c>
      <c r="E38" s="1005">
        <f>'SOF2324-HB3'!I166</f>
        <v>0</v>
      </c>
      <c r="F38" s="409"/>
      <c r="G38" s="409"/>
      <c r="H38" s="232"/>
      <c r="I38" s="232"/>
      <c r="J38" s="232"/>
      <c r="K38" s="232"/>
      <c r="L38" s="232"/>
      <c r="M38" s="232"/>
      <c r="N38" s="232"/>
      <c r="O38" s="232"/>
    </row>
    <row r="39" spans="1:15" s="247" customFormat="1" ht="15.5">
      <c r="A39" s="250" t="s">
        <v>2571</v>
      </c>
      <c r="B39" s="251" t="s">
        <v>8126</v>
      </c>
      <c r="C39" s="251"/>
      <c r="D39" s="985" t="e">
        <f>SUM('SOF2324-HB3'!I29:I32)</f>
        <v>#DIV/0!</v>
      </c>
      <c r="E39" s="1005" t="e">
        <f>'SOF2324-HB3'!I161</f>
        <v>#DIV/0!</v>
      </c>
      <c r="F39" s="409"/>
      <c r="G39" s="409"/>
      <c r="H39" s="232"/>
      <c r="I39" s="232"/>
      <c r="J39" s="232"/>
      <c r="K39" s="232"/>
      <c r="L39" s="232"/>
      <c r="M39" s="232"/>
      <c r="N39" s="232"/>
      <c r="O39" s="232"/>
    </row>
    <row r="40" spans="1:15" s="247" customFormat="1" ht="15.5">
      <c r="A40" s="250" t="s">
        <v>2572</v>
      </c>
      <c r="B40" s="251" t="s">
        <v>8127</v>
      </c>
      <c r="C40" s="251"/>
      <c r="D40" s="985" t="e">
        <f>'SOF2324-HB3'!I50</f>
        <v>#DIV/0!</v>
      </c>
      <c r="E40" s="1005" t="e">
        <f>'SOF2324-HB3'!I50</f>
        <v>#DIV/0!</v>
      </c>
      <c r="F40" s="409"/>
      <c r="G40" s="409"/>
      <c r="H40" s="232"/>
      <c r="I40" s="232"/>
      <c r="J40" s="232"/>
      <c r="K40" s="232"/>
      <c r="L40" s="232"/>
      <c r="M40" s="232"/>
      <c r="N40" s="232"/>
      <c r="O40" s="232"/>
    </row>
    <row r="41" spans="1:15" s="247" customFormat="1" ht="15.5">
      <c r="A41" s="250" t="s">
        <v>2573</v>
      </c>
      <c r="B41" s="1685" t="s">
        <v>8270</v>
      </c>
      <c r="C41" s="1685"/>
      <c r="D41" s="1691" t="e">
        <f>'SOF2324-HB3'!I47</f>
        <v>#DIV/0!</v>
      </c>
      <c r="E41" s="1686"/>
      <c r="F41" s="409"/>
      <c r="G41" s="409"/>
      <c r="H41" s="232"/>
      <c r="I41" s="232"/>
      <c r="J41" s="232"/>
      <c r="K41" s="232"/>
      <c r="L41" s="232"/>
      <c r="M41" s="232"/>
      <c r="N41" s="232"/>
      <c r="O41" s="232"/>
    </row>
    <row r="42" spans="1:15" s="2040" customFormat="1" ht="15.5">
      <c r="A42" s="250" t="s">
        <v>2575</v>
      </c>
      <c r="B42" s="2186" t="s">
        <v>9064</v>
      </c>
      <c r="C42" s="2186"/>
      <c r="D42" s="2187" t="e">
        <f>'SOF2324-HB3'!I33+'SOF2324-HB3'!I34</f>
        <v>#DIV/0!</v>
      </c>
      <c r="E42" s="2188"/>
      <c r="F42" s="409"/>
      <c r="G42" s="409"/>
      <c r="H42" s="2039"/>
      <c r="I42" s="2039"/>
      <c r="J42" s="2039"/>
      <c r="K42" s="2039"/>
      <c r="L42" s="2039"/>
      <c r="M42" s="2039"/>
      <c r="N42" s="2039"/>
      <c r="O42" s="2039"/>
    </row>
    <row r="43" spans="1:15" s="247" customFormat="1" ht="15.5">
      <c r="A43" s="250" t="s">
        <v>2576</v>
      </c>
      <c r="B43" s="1694" t="s">
        <v>8271</v>
      </c>
      <c r="C43" s="1685"/>
      <c r="D43" s="1148">
        <f>'SOF2324-HB3'!I48</f>
        <v>0</v>
      </c>
      <c r="E43" s="1686"/>
      <c r="F43" s="409"/>
      <c r="G43" s="409"/>
      <c r="H43" s="232"/>
      <c r="I43" s="232"/>
      <c r="J43" s="232"/>
      <c r="K43" s="232"/>
      <c r="L43" s="232"/>
      <c r="M43" s="232"/>
      <c r="N43" s="232"/>
      <c r="O43" s="232"/>
    </row>
    <row r="44" spans="1:15" s="247" customFormat="1" ht="15.5">
      <c r="A44" s="250" t="s">
        <v>2577</v>
      </c>
      <c r="B44" s="1695" t="s">
        <v>8128</v>
      </c>
      <c r="C44" s="1147"/>
      <c r="D44" s="1148" t="e">
        <f>'SOF2324-HB3'!I51</f>
        <v>#DIV/0!</v>
      </c>
      <c r="E44" s="1149"/>
      <c r="F44" s="409"/>
      <c r="G44" s="409"/>
      <c r="H44" s="2039"/>
      <c r="I44" s="232"/>
      <c r="J44" s="232"/>
      <c r="K44" s="232"/>
      <c r="L44" s="232"/>
      <c r="M44" s="232"/>
      <c r="N44" s="232"/>
      <c r="O44" s="232"/>
    </row>
    <row r="45" spans="1:15" s="247" customFormat="1" ht="15.5">
      <c r="A45" s="250" t="s">
        <v>2578</v>
      </c>
      <c r="B45" s="1695" t="s">
        <v>8129</v>
      </c>
      <c r="C45" s="1147"/>
      <c r="D45" s="1148">
        <f>'SOF2324-HB3'!I52</f>
        <v>0</v>
      </c>
      <c r="E45" s="1149"/>
      <c r="F45" s="409"/>
      <c r="G45" s="409"/>
      <c r="H45" s="2039"/>
      <c r="I45" s="232"/>
      <c r="J45" s="232"/>
      <c r="K45" s="232"/>
      <c r="L45" s="232"/>
      <c r="M45" s="232"/>
      <c r="N45" s="232"/>
      <c r="O45" s="232"/>
    </row>
    <row r="46" spans="1:15" s="247" customFormat="1" ht="15.5">
      <c r="A46" s="250" t="s">
        <v>2579</v>
      </c>
      <c r="B46" s="1696" t="s">
        <v>8130</v>
      </c>
      <c r="C46" s="1147"/>
      <c r="D46" s="1148">
        <f>'SOF2324-HB3'!I53</f>
        <v>0</v>
      </c>
      <c r="E46" s="1149"/>
      <c r="F46" s="409"/>
      <c r="G46" s="409"/>
      <c r="H46" s="2039"/>
      <c r="I46" s="232"/>
      <c r="J46" s="232"/>
      <c r="K46" s="232"/>
      <c r="L46" s="232"/>
      <c r="M46" s="232"/>
      <c r="N46" s="232"/>
      <c r="O46" s="232"/>
    </row>
    <row r="47" spans="1:15" s="247" customFormat="1" ht="15.5">
      <c r="A47" s="250" t="s">
        <v>2580</v>
      </c>
      <c r="B47" s="1695" t="s">
        <v>8131</v>
      </c>
      <c r="C47" s="1147"/>
      <c r="D47" s="1148">
        <f>'SOF2324-HB3'!I54</f>
        <v>0</v>
      </c>
      <c r="E47" s="1149"/>
      <c r="F47" s="409"/>
      <c r="G47" s="409"/>
      <c r="H47" s="232"/>
      <c r="I47" s="232"/>
      <c r="J47" s="232"/>
      <c r="K47" s="232"/>
      <c r="L47" s="232"/>
      <c r="M47" s="232"/>
      <c r="N47" s="232"/>
      <c r="O47" s="232"/>
    </row>
    <row r="48" spans="1:15" s="247" customFormat="1" ht="18">
      <c r="A48" s="621" t="s">
        <v>8132</v>
      </c>
      <c r="B48" s="621"/>
      <c r="C48" s="620"/>
      <c r="D48" s="1031"/>
      <c r="E48" s="1008"/>
      <c r="F48" s="611"/>
      <c r="G48" s="611"/>
      <c r="H48" s="232"/>
      <c r="I48" s="232"/>
      <c r="J48" s="232"/>
      <c r="K48" s="232"/>
      <c r="L48" s="232"/>
      <c r="M48" s="232"/>
      <c r="N48" s="232"/>
      <c r="O48" s="232"/>
    </row>
    <row r="49" spans="1:15" s="247" customFormat="1" ht="15.5">
      <c r="A49" s="250" t="s">
        <v>2581</v>
      </c>
      <c r="B49" s="251" t="s">
        <v>8133</v>
      </c>
      <c r="C49" s="251"/>
      <c r="D49" s="985">
        <f>'SOF2324-HB3'!I57</f>
        <v>0</v>
      </c>
      <c r="E49" s="1005">
        <f>'SOF2324-HB3'!I57</f>
        <v>0</v>
      </c>
      <c r="F49" s="409"/>
      <c r="G49" s="409"/>
      <c r="H49" s="232"/>
      <c r="I49" s="232"/>
      <c r="J49" s="232"/>
      <c r="K49" s="232"/>
      <c r="L49" s="232"/>
      <c r="M49" s="232"/>
      <c r="N49" s="232"/>
      <c r="O49" s="232"/>
    </row>
    <row r="50" spans="1:15" s="247" customFormat="1" ht="15.5">
      <c r="A50" s="250" t="s">
        <v>2582</v>
      </c>
      <c r="B50" s="251" t="s">
        <v>8134</v>
      </c>
      <c r="C50" s="251"/>
      <c r="D50" s="985">
        <f>'SOF2324-HB3'!I56</f>
        <v>0</v>
      </c>
      <c r="E50" s="1005">
        <f>'SOF2324-HB3'!I56</f>
        <v>0</v>
      </c>
      <c r="F50" s="409"/>
      <c r="G50" s="409"/>
      <c r="H50" s="232"/>
      <c r="I50" s="232"/>
      <c r="J50" s="232"/>
      <c r="K50" s="232"/>
      <c r="L50" s="232"/>
      <c r="M50" s="232"/>
      <c r="N50" s="232"/>
      <c r="O50" s="232"/>
    </row>
    <row r="51" spans="1:15" s="247" customFormat="1" ht="15.5">
      <c r="A51" s="250" t="s">
        <v>2583</v>
      </c>
      <c r="B51" s="1685" t="s">
        <v>8135</v>
      </c>
      <c r="C51" s="1685"/>
      <c r="D51" s="1691">
        <f>'SOF2324-HB3'!I58</f>
        <v>0</v>
      </c>
      <c r="E51" s="1686"/>
      <c r="F51" s="409"/>
      <c r="G51" s="409"/>
      <c r="H51" s="232"/>
      <c r="I51" s="232"/>
      <c r="J51" s="232"/>
      <c r="K51" s="232"/>
      <c r="L51" s="232"/>
      <c r="M51" s="232"/>
      <c r="N51" s="232"/>
      <c r="O51" s="232"/>
    </row>
    <row r="52" spans="1:15" ht="15.5">
      <c r="A52" s="250" t="s">
        <v>2584</v>
      </c>
      <c r="B52" s="1685" t="s">
        <v>8136</v>
      </c>
      <c r="C52" s="1685"/>
      <c r="D52" s="1691">
        <f>'SOF2324-HB3'!I55</f>
        <v>0</v>
      </c>
    </row>
    <row r="53" spans="1:15" ht="15.5">
      <c r="A53" s="250" t="s">
        <v>2585</v>
      </c>
      <c r="B53" s="1685" t="s">
        <v>8234</v>
      </c>
      <c r="C53" s="1685"/>
      <c r="D53" s="1691">
        <f>'SOF2324-HB3'!I59</f>
        <v>0</v>
      </c>
    </row>
    <row r="54" spans="1:15" ht="15.5">
      <c r="A54" s="250" t="s">
        <v>2586</v>
      </c>
      <c r="B54" s="1685" t="s">
        <v>8138</v>
      </c>
      <c r="C54" s="1685"/>
      <c r="D54" s="1691">
        <f>'SOF2324-HB3'!I60</f>
        <v>0</v>
      </c>
    </row>
    <row r="55" spans="1:15" s="247" customFormat="1" ht="15.5">
      <c r="A55" s="250" t="s">
        <v>2587</v>
      </c>
      <c r="B55" s="411" t="s">
        <v>5980</v>
      </c>
      <c r="C55" s="251"/>
      <c r="D55" s="985" t="e">
        <f>'SOF2324-HB3'!I61</f>
        <v>#DIV/0!</v>
      </c>
      <c r="E55" s="1005" t="e">
        <f>'SOF2324-HB3'!I61</f>
        <v>#DIV/0!</v>
      </c>
      <c r="F55" s="409"/>
      <c r="G55" s="409"/>
      <c r="H55" s="232"/>
      <c r="I55" s="232"/>
      <c r="J55" s="232"/>
      <c r="K55" s="232"/>
      <c r="L55" s="232"/>
      <c r="M55" s="232"/>
      <c r="N55" s="232"/>
      <c r="O55" s="232"/>
    </row>
    <row r="56" spans="1:15" s="247" customFormat="1" ht="15.5">
      <c r="A56" s="250" t="s">
        <v>2588</v>
      </c>
      <c r="B56" s="251" t="s">
        <v>2595</v>
      </c>
      <c r="C56" s="251"/>
      <c r="D56" s="985" t="e">
        <f>'SOF2324-HB3'!I62</f>
        <v>#DIV/0!</v>
      </c>
      <c r="E56" s="1005" t="e">
        <f>'SOF2324-HB3'!I62</f>
        <v>#DIV/0!</v>
      </c>
      <c r="F56" s="409"/>
      <c r="G56" s="409"/>
      <c r="H56" s="232"/>
      <c r="I56" s="232"/>
      <c r="J56" s="232"/>
      <c r="K56" s="232"/>
      <c r="L56" s="232"/>
      <c r="M56" s="232"/>
      <c r="N56" s="232"/>
      <c r="O56" s="232"/>
    </row>
    <row r="57" spans="1:15" s="247" customFormat="1" ht="15.5">
      <c r="A57" s="250" t="s">
        <v>2589</v>
      </c>
      <c r="B57" s="251" t="s">
        <v>2596</v>
      </c>
      <c r="C57" s="251"/>
      <c r="D57" s="985">
        <f>'SOF2324-HB3'!I99</f>
        <v>0</v>
      </c>
      <c r="E57" s="1005">
        <f>'SOF2324-HB3'!H101</f>
        <v>0</v>
      </c>
      <c r="F57" s="409"/>
      <c r="G57" s="409"/>
      <c r="H57" s="232"/>
      <c r="I57" s="232"/>
      <c r="J57" s="232"/>
      <c r="K57" s="232"/>
      <c r="L57" s="232"/>
      <c r="M57" s="232"/>
      <c r="N57" s="232"/>
      <c r="O57" s="232"/>
    </row>
    <row r="58" spans="1:15" s="247" customFormat="1" ht="18">
      <c r="A58" s="622" t="s">
        <v>8139</v>
      </c>
      <c r="B58" s="623"/>
      <c r="C58" s="623"/>
      <c r="D58" s="1048"/>
      <c r="E58" s="1011"/>
      <c r="F58" s="611"/>
      <c r="G58" s="611"/>
      <c r="H58" s="232"/>
      <c r="I58" s="232"/>
      <c r="J58" s="232"/>
      <c r="K58" s="232"/>
      <c r="L58" s="232"/>
      <c r="M58" s="232"/>
      <c r="N58" s="232"/>
      <c r="O58" s="232"/>
    </row>
    <row r="59" spans="1:15" s="247" customFormat="1" ht="15.5">
      <c r="A59" s="250" t="s">
        <v>2590</v>
      </c>
      <c r="B59" s="251" t="s">
        <v>9241</v>
      </c>
      <c r="C59" s="251"/>
      <c r="D59" s="985" t="e">
        <f>IF(OR(D55-D56-D57&lt;=0,'Data Entry - SOF'!G74&lt;'Data Entry - SOF'!G72),0,D55-D56-D57)</f>
        <v>#DIV/0!</v>
      </c>
      <c r="E59" s="1005" t="e">
        <f>'SOF2324-HB3'!I63</f>
        <v>#DIV/0!</v>
      </c>
      <c r="F59" s="409"/>
      <c r="G59" s="409"/>
      <c r="H59" s="358" t="s">
        <v>11158</v>
      </c>
      <c r="I59" s="232"/>
      <c r="J59" s="232"/>
      <c r="K59" s="232"/>
      <c r="L59" s="232"/>
      <c r="M59" s="232"/>
      <c r="N59" s="232"/>
      <c r="O59" s="232"/>
    </row>
    <row r="60" spans="1:15" s="247" customFormat="1" ht="15.5">
      <c r="A60" s="250" t="s">
        <v>2591</v>
      </c>
      <c r="B60" s="410" t="s">
        <v>8346</v>
      </c>
      <c r="C60" s="251"/>
      <c r="D60" s="985" t="e">
        <f>'SOF2324-HB3'!I78</f>
        <v>#DIV/0!</v>
      </c>
      <c r="E60" s="1005" t="e">
        <f>'SOF2324-HB3'!I82</f>
        <v>#DIV/0!</v>
      </c>
      <c r="F60" s="409"/>
      <c r="G60" s="409"/>
      <c r="H60" s="232"/>
      <c r="I60" s="232"/>
      <c r="J60" s="232"/>
      <c r="K60" s="232"/>
      <c r="L60" s="232"/>
      <c r="M60" s="232"/>
      <c r="N60" s="232"/>
      <c r="O60" s="232"/>
    </row>
    <row r="61" spans="1:15" s="247" customFormat="1" ht="15.5">
      <c r="A61" s="250" t="s">
        <v>2592</v>
      </c>
      <c r="B61" s="411" t="s">
        <v>5981</v>
      </c>
      <c r="C61" s="251"/>
      <c r="D61" s="985" t="e">
        <f>'OtherDetail2324-HB3'!D30</f>
        <v>#DIV/0!</v>
      </c>
      <c r="E61" s="1005"/>
      <c r="F61" s="409"/>
      <c r="G61" s="409"/>
      <c r="H61" s="358" t="s">
        <v>11468</v>
      </c>
      <c r="I61" s="232"/>
      <c r="J61" s="232"/>
      <c r="K61" s="232"/>
      <c r="L61" s="232"/>
      <c r="M61" s="232"/>
      <c r="N61" s="232"/>
      <c r="O61" s="232"/>
    </row>
    <row r="62" spans="1:15" s="247" customFormat="1" ht="15.5">
      <c r="A62" s="250" t="s">
        <v>2593</v>
      </c>
      <c r="B62" s="251" t="s">
        <v>2597</v>
      </c>
      <c r="C62" s="251"/>
      <c r="D62" s="985" t="e">
        <f>D59+D60+IF(D61&lt;0,D61-'Data Entry - SOF'!G116,D61)</f>
        <v>#DIV/0!</v>
      </c>
      <c r="E62" s="1005"/>
      <c r="F62" s="409"/>
      <c r="G62" s="409"/>
      <c r="H62" s="232"/>
      <c r="I62" s="232"/>
      <c r="J62" s="232"/>
      <c r="K62" s="232"/>
      <c r="L62" s="232"/>
      <c r="M62" s="232"/>
      <c r="N62" s="232"/>
      <c r="O62" s="232"/>
    </row>
    <row r="63" spans="1:15" s="247" customFormat="1" ht="18">
      <c r="A63" s="607" t="s">
        <v>8140</v>
      </c>
      <c r="B63" s="620"/>
      <c r="C63" s="620"/>
      <c r="D63" s="1031"/>
      <c r="E63" s="1008"/>
      <c r="F63" s="611"/>
      <c r="G63" s="611"/>
      <c r="H63" s="232"/>
      <c r="I63" s="232"/>
      <c r="J63" s="232"/>
      <c r="K63" s="232"/>
      <c r="L63" s="232"/>
      <c r="M63" s="232"/>
      <c r="N63" s="232"/>
      <c r="O63" s="232"/>
    </row>
    <row r="64" spans="1:15" s="247" customFormat="1" ht="18">
      <c r="A64" s="621" t="s">
        <v>8141</v>
      </c>
      <c r="B64" s="621"/>
      <c r="C64" s="620"/>
      <c r="D64" s="1031"/>
      <c r="E64" s="1008"/>
      <c r="F64" s="611"/>
      <c r="G64" s="611"/>
      <c r="H64" s="232"/>
      <c r="I64" s="232"/>
      <c r="J64" s="232"/>
      <c r="K64" s="232"/>
      <c r="L64" s="232"/>
      <c r="M64" s="232"/>
      <c r="N64" s="232"/>
      <c r="O64" s="232"/>
    </row>
    <row r="65" spans="1:15" s="247" customFormat="1" ht="15.5">
      <c r="A65" s="250" t="s">
        <v>2602</v>
      </c>
      <c r="B65" s="251" t="s">
        <v>2608</v>
      </c>
      <c r="C65" s="251"/>
      <c r="D65" s="985" t="e">
        <f>D62</f>
        <v>#DIV/0!</v>
      </c>
      <c r="E65" s="1005">
        <f>'SOF2324-HB3'!I100</f>
        <v>0</v>
      </c>
      <c r="F65" s="409"/>
      <c r="G65" s="409"/>
      <c r="I65" s="232"/>
      <c r="J65" s="232"/>
      <c r="K65" s="232"/>
      <c r="L65" s="232"/>
      <c r="M65" s="232"/>
      <c r="N65" s="232"/>
      <c r="O65" s="232"/>
    </row>
    <row r="66" spans="1:15" s="247" customFormat="1" ht="15.5">
      <c r="A66" s="250" t="s">
        <v>2603</v>
      </c>
      <c r="B66" s="251" t="s">
        <v>2735</v>
      </c>
      <c r="C66" s="251"/>
      <c r="D66" s="985">
        <f>'SOF2324-HB3'!I99</f>
        <v>0</v>
      </c>
      <c r="E66" s="1005">
        <f>'SOF2324-HB3'!I101</f>
        <v>0</v>
      </c>
      <c r="F66" s="409"/>
      <c r="G66" s="409"/>
      <c r="H66" s="232"/>
      <c r="I66" s="232"/>
      <c r="J66" s="232"/>
      <c r="K66" s="232"/>
      <c r="L66" s="232"/>
      <c r="M66" s="232"/>
      <c r="N66" s="232"/>
      <c r="O66" s="232"/>
    </row>
    <row r="67" spans="1:15" s="247" customFormat="1" ht="18">
      <c r="A67" s="621" t="s">
        <v>8142</v>
      </c>
      <c r="B67" s="621"/>
      <c r="C67" s="620"/>
      <c r="D67" s="1031"/>
      <c r="E67" s="1008"/>
      <c r="F67" s="611"/>
      <c r="G67" s="611"/>
      <c r="H67" s="232"/>
      <c r="I67" s="232"/>
      <c r="J67" s="232"/>
      <c r="K67" s="232"/>
      <c r="L67" s="232"/>
      <c r="M67" s="232"/>
      <c r="N67" s="232"/>
      <c r="O67" s="232"/>
    </row>
    <row r="68" spans="1:15" s="247" customFormat="1" ht="15.5">
      <c r="A68" s="250" t="s">
        <v>2604</v>
      </c>
      <c r="B68" s="410" t="s">
        <v>5982</v>
      </c>
      <c r="C68" s="251"/>
      <c r="D68" s="985">
        <f>'Existing Debt-HB3'!N74</f>
        <v>0</v>
      </c>
      <c r="E68" s="1005">
        <f>D68</f>
        <v>0</v>
      </c>
      <c r="F68" s="409"/>
      <c r="G68" s="409"/>
      <c r="H68" s="232"/>
      <c r="I68" s="232"/>
      <c r="J68" s="232"/>
      <c r="K68" s="232"/>
      <c r="L68" s="232"/>
      <c r="M68" s="232"/>
      <c r="N68" s="232"/>
      <c r="O68" s="232"/>
    </row>
    <row r="69" spans="1:15" s="247" customFormat="1" ht="15.5">
      <c r="A69" s="250" t="s">
        <v>2605</v>
      </c>
      <c r="B69" s="411" t="s">
        <v>5983</v>
      </c>
      <c r="C69" s="251"/>
      <c r="D69" s="985">
        <f>'IFA-HB3'!T86</f>
        <v>0</v>
      </c>
      <c r="E69" s="1005">
        <f>D69</f>
        <v>0</v>
      </c>
      <c r="F69" s="409"/>
      <c r="G69" s="409"/>
      <c r="H69" s="232"/>
      <c r="I69" s="232"/>
      <c r="J69" s="232"/>
      <c r="K69" s="232"/>
      <c r="L69" s="232"/>
      <c r="M69" s="232"/>
      <c r="N69" s="232"/>
      <c r="O69" s="232"/>
    </row>
    <row r="70" spans="1:15" s="247" customFormat="1" ht="15.5">
      <c r="A70" s="250" t="s">
        <v>2606</v>
      </c>
      <c r="B70" s="410" t="s">
        <v>5984</v>
      </c>
      <c r="C70" s="251"/>
      <c r="D70" s="985">
        <f>'IFA-HB3'!W75</f>
        <v>0</v>
      </c>
      <c r="E70" s="1005">
        <f>D70</f>
        <v>0</v>
      </c>
      <c r="F70" s="409"/>
      <c r="G70" s="409"/>
      <c r="H70" s="232"/>
      <c r="I70" s="232"/>
      <c r="J70" s="232"/>
      <c r="K70" s="232"/>
      <c r="L70" s="232"/>
      <c r="M70" s="232"/>
      <c r="N70" s="232"/>
      <c r="O70" s="232"/>
    </row>
    <row r="71" spans="1:15" s="247" customFormat="1" ht="15.5">
      <c r="A71" s="250" t="s">
        <v>2607</v>
      </c>
      <c r="B71" s="410" t="s">
        <v>10362</v>
      </c>
      <c r="C71" s="251"/>
      <c r="D71" s="985" t="e">
        <f>'HH2324-40KCalcs'!C50+'HH2324-40KCalcs'!C74</f>
        <v>#DIV/0!</v>
      </c>
      <c r="E71" s="1005"/>
      <c r="F71" s="409"/>
      <c r="G71" s="409"/>
      <c r="H71" s="232"/>
      <c r="I71" s="232"/>
      <c r="J71" s="232"/>
      <c r="K71" s="232"/>
      <c r="L71" s="232"/>
      <c r="M71" s="232"/>
      <c r="N71" s="232"/>
      <c r="O71" s="232"/>
    </row>
    <row r="72" spans="1:15" s="247" customFormat="1" ht="18">
      <c r="A72" s="1763" t="s">
        <v>2662</v>
      </c>
      <c r="B72" s="567" t="s">
        <v>7053</v>
      </c>
      <c r="C72" s="624"/>
      <c r="D72" s="1049" t="e">
        <f>SUM(D65:D71)</f>
        <v>#DIV/0!</v>
      </c>
      <c r="E72" s="1007">
        <f>'SOF2324-HB3'!I106</f>
        <v>0</v>
      </c>
      <c r="F72" s="1001"/>
      <c r="G72" s="1001"/>
      <c r="H72" s="232"/>
      <c r="I72" s="232"/>
      <c r="J72" s="232"/>
      <c r="K72" s="232"/>
      <c r="L72" s="232"/>
      <c r="M72" s="232"/>
      <c r="N72" s="232"/>
      <c r="O72" s="232"/>
    </row>
    <row r="73" spans="1:15" s="247" customFormat="1" ht="18">
      <c r="A73" s="621" t="s">
        <v>8143</v>
      </c>
      <c r="B73" s="621"/>
      <c r="C73" s="620"/>
      <c r="D73" s="1031"/>
      <c r="E73" s="1008"/>
      <c r="F73" s="611"/>
      <c r="G73" s="611"/>
      <c r="H73" s="232"/>
      <c r="I73" s="232"/>
      <c r="J73" s="232"/>
      <c r="K73" s="232"/>
      <c r="L73" s="232"/>
      <c r="M73" s="232"/>
      <c r="N73" s="232"/>
      <c r="O73" s="232"/>
    </row>
    <row r="74" spans="1:15" s="247" customFormat="1" ht="15.5">
      <c r="A74" s="250" t="s">
        <v>2824</v>
      </c>
      <c r="B74" s="1693" t="s">
        <v>10444</v>
      </c>
      <c r="C74" s="1685"/>
      <c r="D74" s="1691" t="e">
        <f>Recap40K_Detail2324!C33</f>
        <v>#DIV/0!</v>
      </c>
      <c r="H74" s="232"/>
      <c r="I74" s="232"/>
      <c r="J74" s="232"/>
      <c r="K74" s="232"/>
      <c r="L74" s="232"/>
      <c r="M74" s="232"/>
      <c r="N74" s="232"/>
      <c r="O74" s="232"/>
    </row>
    <row r="75" spans="1:15" s="247" customFormat="1" ht="15.5">
      <c r="A75" s="1697"/>
      <c r="B75" s="1689"/>
      <c r="C75" s="1689"/>
      <c r="D75" s="1689"/>
      <c r="H75" s="232"/>
      <c r="I75" s="232"/>
      <c r="J75" s="232"/>
      <c r="K75" s="232"/>
      <c r="L75" s="232"/>
      <c r="M75" s="232"/>
      <c r="N75" s="232"/>
      <c r="O75" s="232"/>
    </row>
    <row r="76" spans="1:15" s="247" customFormat="1" ht="15.5">
      <c r="A76" s="2342"/>
      <c r="B76" s="2343" t="s">
        <v>5985</v>
      </c>
      <c r="C76" s="2344"/>
      <c r="D76" s="2344"/>
      <c r="H76" s="232"/>
      <c r="I76" s="232"/>
      <c r="J76" s="232"/>
      <c r="K76" s="232"/>
      <c r="L76" s="232"/>
      <c r="M76" s="232"/>
      <c r="N76" s="232"/>
      <c r="O76" s="232"/>
    </row>
    <row r="77" spans="1:15" s="247" customFormat="1" ht="15.5">
      <c r="A77" s="1698"/>
      <c r="B77" s="1699"/>
      <c r="H77" s="232"/>
      <c r="I77" s="232"/>
      <c r="J77" s="232"/>
      <c r="K77" s="232"/>
      <c r="L77" s="232"/>
      <c r="M77" s="232"/>
      <c r="N77" s="232"/>
      <c r="O77" s="232"/>
    </row>
    <row r="78" spans="1:15" s="247" customFormat="1" ht="16" thickBot="1">
      <c r="A78" s="1700"/>
      <c r="C78" s="1701"/>
      <c r="D78" s="1701"/>
      <c r="E78" s="247" t="e">
        <f>(E65+E66)/D10</f>
        <v>#DIV/0!</v>
      </c>
      <c r="H78" s="232"/>
      <c r="I78" s="232"/>
      <c r="J78" s="232"/>
      <c r="K78" s="232"/>
      <c r="L78" s="232"/>
      <c r="M78" s="232"/>
      <c r="N78" s="232"/>
      <c r="O78" s="232"/>
    </row>
    <row r="79" spans="1:15" ht="16" thickTop="1">
      <c r="A79" s="1715" t="s">
        <v>2782</v>
      </c>
      <c r="B79" s="1716"/>
      <c r="C79" s="1717"/>
      <c r="D79" s="1718"/>
      <c r="E79" s="247"/>
      <c r="F79" s="247"/>
      <c r="G79" s="247"/>
    </row>
    <row r="80" spans="1:15" ht="15.5">
      <c r="A80" s="1702" t="s">
        <v>2318</v>
      </c>
      <c r="C80" s="1703"/>
      <c r="D80" s="1704"/>
      <c r="E80" s="232"/>
      <c r="F80" s="232"/>
      <c r="G80" s="232"/>
    </row>
    <row r="81" spans="1:7" ht="15.5">
      <c r="A81" s="382" t="s">
        <v>2825</v>
      </c>
      <c r="B81" s="1705" t="s">
        <v>8145</v>
      </c>
      <c r="C81" s="1703"/>
      <c r="D81" s="1725" t="e">
        <f>D65+D66</f>
        <v>#DIV/0!</v>
      </c>
      <c r="E81" s="232"/>
      <c r="F81" s="232"/>
      <c r="G81" s="232"/>
    </row>
    <row r="82" spans="1:7" ht="15.5">
      <c r="A82" s="382" t="s">
        <v>2826</v>
      </c>
      <c r="B82" s="381" t="s">
        <v>7906</v>
      </c>
      <c r="C82" s="249"/>
      <c r="D82" s="281">
        <f>'Data Entry - SOF'!G75</f>
        <v>0</v>
      </c>
      <c r="E82" s="409"/>
      <c r="F82" s="409"/>
      <c r="G82" s="409"/>
    </row>
    <row r="83" spans="1:7" ht="15.5">
      <c r="A83" s="382" t="s">
        <v>2827</v>
      </c>
      <c r="B83" s="381" t="s">
        <v>7907</v>
      </c>
      <c r="C83" s="386"/>
      <c r="D83" s="1725" t="e">
        <f>'SOF2324-HB3'!I74</f>
        <v>#DIV/0!</v>
      </c>
      <c r="E83" s="409"/>
      <c r="F83" s="409"/>
      <c r="G83" s="409"/>
    </row>
    <row r="84" spans="1:7" ht="15.5">
      <c r="A84" s="382" t="s">
        <v>2828</v>
      </c>
      <c r="B84" s="381" t="s">
        <v>7908</v>
      </c>
      <c r="C84" s="249"/>
      <c r="D84" s="281" t="e">
        <f>'SOF2324-HB3'!I82</f>
        <v>#DIV/0!</v>
      </c>
      <c r="E84" s="409"/>
      <c r="F84" s="409"/>
      <c r="G84" s="409"/>
    </row>
    <row r="85" spans="1:7" ht="15.5">
      <c r="A85" s="382" t="s">
        <v>2829</v>
      </c>
      <c r="B85" s="1677" t="s">
        <v>7909</v>
      </c>
      <c r="C85" s="249"/>
      <c r="D85" s="281" t="e">
        <f>D82-D83-D84</f>
        <v>#DIV/0!</v>
      </c>
      <c r="E85" s="409"/>
      <c r="F85" s="409"/>
      <c r="G85" s="409"/>
    </row>
    <row r="86" spans="1:7" ht="15.5">
      <c r="A86" s="382" t="s">
        <v>2830</v>
      </c>
      <c r="B86" s="387" t="s">
        <v>9240</v>
      </c>
      <c r="C86" s="1707"/>
      <c r="D86" s="1708" t="e">
        <f>IF(D81&gt;=0,0,D81)</f>
        <v>#DIV/0!</v>
      </c>
      <c r="E86" s="409"/>
      <c r="F86" s="409"/>
      <c r="G86" s="409"/>
    </row>
    <row r="87" spans="1:7" ht="16" thickBot="1">
      <c r="A87" s="382" t="s">
        <v>2831</v>
      </c>
      <c r="B87" s="1679" t="s">
        <v>8166</v>
      </c>
      <c r="C87" s="565"/>
      <c r="D87" s="1726" t="e">
        <f>D81+D85+D86</f>
        <v>#DIV/0!</v>
      </c>
      <c r="E87" s="1002"/>
      <c r="F87" s="1002"/>
      <c r="G87" s="1002"/>
    </row>
    <row r="88" spans="1:7" ht="14" thickTop="1" thickBot="1">
      <c r="B88" s="1709"/>
    </row>
    <row r="89" spans="1:7" ht="16" thickTop="1">
      <c r="A89" s="1150" t="s">
        <v>7730</v>
      </c>
      <c r="B89" s="331"/>
      <c r="C89" s="1710"/>
      <c r="D89" s="330"/>
    </row>
    <row r="90" spans="1:7" ht="15.5">
      <c r="A90" s="382" t="s">
        <v>2832</v>
      </c>
      <c r="B90" s="385" t="s">
        <v>7910</v>
      </c>
      <c r="C90" s="1706"/>
      <c r="D90" s="1725" t="e">
        <f>'SOF2324-HB3'!I74</f>
        <v>#DIV/0!</v>
      </c>
    </row>
    <row r="91" spans="1:7" ht="15.5">
      <c r="A91" s="382" t="s">
        <v>2833</v>
      </c>
      <c r="B91" s="385" t="s">
        <v>7916</v>
      </c>
      <c r="C91" s="384"/>
      <c r="D91" s="281" t="e">
        <f>'SOF2324-HB3'!I82</f>
        <v>#DIV/0!</v>
      </c>
      <c r="E91" s="409"/>
      <c r="F91" s="409"/>
      <c r="G91" s="409"/>
    </row>
    <row r="92" spans="1:7" ht="15.5">
      <c r="A92" s="382" t="s">
        <v>2834</v>
      </c>
      <c r="B92" s="1714" t="s">
        <v>8167</v>
      </c>
      <c r="C92" s="1712"/>
      <c r="D92" s="1713" t="e">
        <f>D90+D91</f>
        <v>#DIV/0!</v>
      </c>
      <c r="E92" s="409"/>
      <c r="F92" s="409"/>
      <c r="G92" s="409"/>
    </row>
    <row r="93" spans="1:7" ht="15.5">
      <c r="A93" s="382" t="s">
        <v>2835</v>
      </c>
      <c r="B93" s="385" t="s">
        <v>10866</v>
      </c>
      <c r="C93" s="384"/>
      <c r="D93" s="281">
        <f>'Data Entry - SOF'!G116</f>
        <v>0</v>
      </c>
      <c r="E93" s="409"/>
      <c r="F93" s="409"/>
      <c r="G93" s="409"/>
    </row>
    <row r="94" spans="1:7" ht="16" thickBot="1">
      <c r="A94" s="383" t="s">
        <v>2836</v>
      </c>
      <c r="B94" s="565" t="s">
        <v>8168</v>
      </c>
      <c r="C94" s="1711"/>
      <c r="D94" s="315" t="e">
        <f>D92+D93</f>
        <v>#DIV/0!</v>
      </c>
      <c r="E94" s="366"/>
      <c r="F94" s="366"/>
      <c r="G94" s="366"/>
    </row>
    <row r="95" spans="1:7" ht="13.5" thickTop="1"/>
    <row r="98" spans="2:7" hidden="1">
      <c r="B98" s="58" t="s">
        <v>7082</v>
      </c>
      <c r="D98" s="724" t="e">
        <f>#REF!</f>
        <v>#REF!</v>
      </c>
      <c r="E98" s="724"/>
      <c r="F98" s="724"/>
      <c r="G98" s="724"/>
    </row>
    <row r="99" spans="2:7" hidden="1">
      <c r="D99" s="724" t="e">
        <f>D56</f>
        <v>#DIV/0!</v>
      </c>
      <c r="E99" s="724"/>
      <c r="F99" s="724"/>
      <c r="G99" s="724"/>
    </row>
    <row r="100" spans="2:7" hidden="1">
      <c r="D100" s="25" t="e">
        <f>IF(D98-D99&lt;=0,0,D98-D99)</f>
        <v>#REF!</v>
      </c>
    </row>
  </sheetData>
  <hyperlinks>
    <hyperlink ref="B70" location="'IFADetail2324-HB3'!A1" display="599/5829 - Instructional Facilities Allotment (Lease Purchase)  (See Link Above)" xr:uid="{00000000-0004-0000-1300-000000000000}"/>
    <hyperlink ref="B12" location="'SpEdDetail2324-HB3'!A1" display="Special Education FTEs                                                          (Link to Detail Report)" xr:uid="{00000000-0004-0000-1300-000001000000}"/>
    <hyperlink ref="B69" location="'IFADetail2324-HB3'!A1" display="599/5829 - Instructional Facilities Allotment (IFA) (Bond)    (Link to Detail Report)" xr:uid="{00000000-0004-0000-1300-000002000000}"/>
    <hyperlink ref="B68" location="'EDADetail2324-HB3'!A1" display="599/5829 - Existing Debt Allotment (EDA)                            (Link to Detail Report)" xr:uid="{00000000-0004-0000-1300-000003000000}"/>
    <hyperlink ref="B61" location="'OtherDetail2324-HB3'!A1" display="Other Programs                                                                        (Link to Detail Report)" xr:uid="{00000000-0004-0000-1300-000004000000}"/>
    <hyperlink ref="B60" location="'T2Detail2324-HB3'!A1" display="Tier II State Aid)                                                              (Link to Tier II Detail Report)" xr:uid="{00000000-0004-0000-1300-000005000000}"/>
    <hyperlink ref="B55" location="'T1Detail2324-HB3'!A1" display="Total Cost of Tier I                                                           (Link to Tier I Detail Report)" xr:uid="{00000000-0004-0000-1300-000006000000}"/>
    <hyperlink ref="B28" location="'Report-AA1920'!A1" display="Adjusted Allotment                                                                    (Link to Detail Report)" xr:uid="{00000000-0004-0000-1300-000007000000}"/>
    <hyperlink ref="B14" location="'Report-Calculations'!A1" display="Weighted ADA (WADA)                                                          (Link to Detail Report)" xr:uid="{00000000-0004-0000-1300-000008000000}"/>
    <hyperlink ref="B11" location="'Report-Calculations'!A1" display="Regular Program ADA (Line 1 - Line 3 - Line 4)          " xr:uid="{00000000-0004-0000-1300-000009000000}"/>
    <hyperlink ref="B76" location="'FSF2324-HB3'!A1" display="FSP Allocations and Adjustments Report                              (Link to Detail Report)" xr:uid="{00000000-0004-0000-1300-00000A000000}"/>
    <hyperlink ref="B22" location="'M&amp;ODetail2324-HB3'!A1" display="2019-20 M&amp;O Tax Collections                                          (Link to Detail Report)              " xr:uid="{00000000-0004-0000-1300-00000B000000}"/>
    <hyperlink ref="B71" location="'HH2324-40KCalcs'!B30" display="I&amp;S Hold Harmless (ASAHE for Facilities on TEA's Report) (Link to HH2324-Calcs tab)" xr:uid="{00000000-0004-0000-1300-00000C000000}"/>
    <hyperlink ref="B74" location="Recap40K_Detail2324!A1" display="Local Revenue in Excess of Entitlement                (Link to Cost of Recapture Report)" xr:uid="{00000000-0004-0000-1300-00000D000000}"/>
  </hyperlink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FF33"/>
  </sheetPr>
  <dimension ref="A1:O100"/>
  <sheetViews>
    <sheetView workbookViewId="0">
      <selection activeCell="D1" sqref="D1"/>
    </sheetView>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7"/>
      <c r="D1" s="1816" t="str">
        <f>'Report-SOF2324-SB1'!D1</f>
        <v>Release 2</v>
      </c>
      <c r="E1" s="426"/>
      <c r="F1" s="426"/>
      <c r="G1" s="426"/>
    </row>
    <row r="2" spans="1:15">
      <c r="A2" s="325" t="s">
        <v>7917</v>
      </c>
      <c r="D2" s="1817">
        <f>'Report-SOF2324-SB1'!D2</f>
        <v>44930</v>
      </c>
      <c r="E2" s="58"/>
      <c r="F2" s="58"/>
      <c r="G2" s="58"/>
    </row>
    <row r="3" spans="1:15" ht="15.5">
      <c r="D3" s="232"/>
      <c r="E3" s="47"/>
      <c r="F3" s="47"/>
      <c r="G3" s="47"/>
    </row>
    <row r="4" spans="1:15" s="247" customFormat="1" ht="15.5">
      <c r="A4" s="246" t="s">
        <v>8488</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673" t="s">
        <v>1202</v>
      </c>
      <c r="F7" s="232"/>
      <c r="G7" s="232"/>
      <c r="H7" s="232"/>
      <c r="I7" s="232"/>
      <c r="J7" s="232"/>
      <c r="K7" s="232"/>
      <c r="L7" s="232"/>
      <c r="M7" s="232"/>
      <c r="N7" s="232"/>
      <c r="O7" s="232"/>
    </row>
    <row r="8" spans="1:15" s="247" customFormat="1" ht="18">
      <c r="A8" s="357" t="s">
        <v>2554</v>
      </c>
      <c r="B8" s="564"/>
      <c r="C8" s="564"/>
      <c r="D8" s="346" t="s">
        <v>2558</v>
      </c>
      <c r="E8" s="1009"/>
      <c r="F8" s="566"/>
      <c r="G8" s="566"/>
      <c r="H8" s="232"/>
      <c r="I8" s="232"/>
      <c r="J8" s="232"/>
      <c r="K8" s="232"/>
      <c r="L8" s="232"/>
      <c r="M8" s="232"/>
      <c r="N8" s="232"/>
      <c r="O8" s="232"/>
    </row>
    <row r="9" spans="1:15" s="247" customFormat="1" ht="18">
      <c r="A9" s="607" t="s">
        <v>2555</v>
      </c>
      <c r="B9" s="620"/>
      <c r="C9" s="620"/>
      <c r="D9" s="347" t="s">
        <v>2559</v>
      </c>
      <c r="E9" s="1010" t="s">
        <v>7427</v>
      </c>
      <c r="F9" s="566"/>
      <c r="G9" s="566"/>
      <c r="H9" s="232"/>
      <c r="I9" s="232"/>
      <c r="J9" s="232"/>
      <c r="K9" s="232"/>
      <c r="L9" s="232"/>
      <c r="M9" s="232"/>
      <c r="N9" s="232"/>
      <c r="O9" s="232"/>
    </row>
    <row r="10" spans="1:15" s="247" customFormat="1" ht="15.5">
      <c r="A10" s="250" t="s">
        <v>2063</v>
      </c>
      <c r="B10" s="251" t="s">
        <v>2556</v>
      </c>
      <c r="C10" s="251"/>
      <c r="D10" s="1045">
        <f>'Data Entry - SOF'!I19</f>
        <v>0</v>
      </c>
      <c r="E10" s="1003">
        <f>D10</f>
        <v>0</v>
      </c>
      <c r="F10" s="998"/>
      <c r="G10" s="998"/>
      <c r="H10" s="232"/>
      <c r="I10" s="232"/>
      <c r="J10" s="232"/>
      <c r="K10" s="232"/>
      <c r="L10" s="232"/>
      <c r="M10" s="232"/>
      <c r="N10" s="232"/>
      <c r="O10" s="232"/>
    </row>
    <row r="11" spans="1:15" s="247" customFormat="1" ht="15.5">
      <c r="A11" s="250" t="s">
        <v>2064</v>
      </c>
      <c r="B11" s="410" t="s">
        <v>2847</v>
      </c>
      <c r="C11" s="251"/>
      <c r="D11" s="1045">
        <f>'Calc Data'!G12</f>
        <v>0</v>
      </c>
      <c r="E11" s="1003">
        <f t="shared" ref="E11:E13" si="0">D11</f>
        <v>0</v>
      </c>
      <c r="F11" s="998"/>
      <c r="G11" s="998"/>
      <c r="H11" s="232"/>
      <c r="I11" s="232"/>
      <c r="J11" s="232"/>
      <c r="K11" s="232"/>
      <c r="L11" s="232"/>
      <c r="M11" s="232"/>
      <c r="N11" s="232"/>
      <c r="O11" s="232"/>
    </row>
    <row r="12" spans="1:15" s="247" customFormat="1" ht="15.5">
      <c r="A12" s="250" t="s">
        <v>2065</v>
      </c>
      <c r="B12" s="411" t="s">
        <v>8549</v>
      </c>
      <c r="C12" s="251"/>
      <c r="D12" s="1045">
        <f>'Calc Data'!G8</f>
        <v>0</v>
      </c>
      <c r="E12" s="1003">
        <f t="shared" si="0"/>
        <v>0</v>
      </c>
      <c r="F12" s="998"/>
      <c r="G12" s="998"/>
      <c r="H12" s="232"/>
      <c r="I12" s="232"/>
      <c r="J12" s="232"/>
      <c r="K12" s="232"/>
      <c r="L12" s="232"/>
      <c r="M12" s="232"/>
      <c r="N12" s="232"/>
      <c r="O12" s="232"/>
    </row>
    <row r="13" spans="1:15" s="247" customFormat="1" ht="15.5">
      <c r="A13" s="250" t="s">
        <v>862</v>
      </c>
      <c r="B13" s="251" t="s">
        <v>778</v>
      </c>
      <c r="C13" s="251"/>
      <c r="D13" s="1045">
        <f>'Data Entry - SOF'!I36+'Data Entry - SOF'!I37+'Data Entry - SOF'!I38</f>
        <v>0</v>
      </c>
      <c r="E13" s="1003">
        <f t="shared" si="0"/>
        <v>0</v>
      </c>
      <c r="F13" s="998"/>
      <c r="G13" s="998"/>
      <c r="H13" s="232"/>
      <c r="I13" s="232"/>
      <c r="J13" s="232"/>
      <c r="K13" s="232"/>
      <c r="L13" s="232"/>
      <c r="M13" s="232"/>
      <c r="N13" s="232"/>
      <c r="O13" s="232"/>
    </row>
    <row r="14" spans="1:15" s="247" customFormat="1" ht="15.5">
      <c r="A14" s="250" t="s">
        <v>863</v>
      </c>
      <c r="B14" s="411" t="s">
        <v>2848</v>
      </c>
      <c r="C14" s="251"/>
      <c r="D14" s="1045" t="e">
        <f>'SOF2425-HB3'!L61</f>
        <v>#DIV/0!</v>
      </c>
      <c r="E14" s="1003">
        <f>'SOF2425-HB3'!L59</f>
        <v>0</v>
      </c>
      <c r="F14" s="998"/>
      <c r="G14" s="998"/>
      <c r="H14" s="232"/>
      <c r="I14" s="232"/>
      <c r="J14" s="232"/>
      <c r="K14" s="232"/>
      <c r="L14" s="232"/>
      <c r="M14" s="232"/>
      <c r="N14" s="232"/>
      <c r="O14" s="232"/>
    </row>
    <row r="15" spans="1:15" s="247" customFormat="1" ht="18">
      <c r="A15" s="607" t="s">
        <v>2560</v>
      </c>
      <c r="B15" s="620"/>
      <c r="C15" s="620"/>
      <c r="D15" s="1031"/>
      <c r="E15" s="1008"/>
      <c r="F15" s="611"/>
      <c r="G15" s="611"/>
      <c r="H15" s="232"/>
      <c r="I15" s="232"/>
      <c r="J15" s="232"/>
      <c r="K15" s="232"/>
      <c r="L15" s="232"/>
      <c r="M15" s="232"/>
      <c r="N15" s="232"/>
      <c r="O15" s="232"/>
    </row>
    <row r="16" spans="1:15" s="247" customFormat="1" ht="15.5">
      <c r="A16" s="250" t="s">
        <v>865</v>
      </c>
      <c r="B16" s="251" t="s">
        <v>8484</v>
      </c>
      <c r="C16" s="251"/>
      <c r="D16" s="1046">
        <f>'Data Entry - SOF'!G66</f>
        <v>0</v>
      </c>
      <c r="E16" s="1004">
        <f>D16</f>
        <v>0</v>
      </c>
      <c r="F16" s="369"/>
      <c r="G16" s="369"/>
      <c r="H16" s="232"/>
      <c r="I16" s="232"/>
      <c r="J16" s="232"/>
      <c r="K16" s="232"/>
      <c r="L16" s="232"/>
      <c r="M16" s="232"/>
      <c r="N16" s="232"/>
      <c r="O16" s="232"/>
    </row>
    <row r="17" spans="1:15" s="247" customFormat="1" ht="15.5">
      <c r="A17" s="250" t="s">
        <v>866</v>
      </c>
      <c r="B17" s="251" t="s">
        <v>8489</v>
      </c>
      <c r="C17" s="1685"/>
      <c r="D17" s="1046">
        <f>'Data Entry - SOF'!I66</f>
        <v>0</v>
      </c>
      <c r="E17" s="1688"/>
      <c r="F17" s="369"/>
      <c r="G17" s="369"/>
      <c r="H17" s="232"/>
      <c r="I17" s="232"/>
      <c r="J17" s="232"/>
      <c r="K17" s="232"/>
      <c r="L17" s="232"/>
      <c r="M17" s="232"/>
      <c r="N17" s="232"/>
      <c r="O17" s="232"/>
    </row>
    <row r="18" spans="1:15" s="247" customFormat="1" ht="18">
      <c r="A18" s="607" t="s">
        <v>2561</v>
      </c>
      <c r="B18" s="620"/>
      <c r="C18" s="620"/>
      <c r="D18" s="1031"/>
      <c r="E18" s="1008"/>
      <c r="F18" s="611"/>
      <c r="G18" s="611"/>
      <c r="H18" s="232"/>
      <c r="I18" s="232"/>
      <c r="J18" s="232"/>
      <c r="K18" s="232"/>
      <c r="L18" s="232"/>
      <c r="M18" s="232"/>
      <c r="N18" s="232"/>
      <c r="O18" s="232"/>
    </row>
    <row r="19" spans="1:15" s="247" customFormat="1" ht="15.5">
      <c r="A19" s="250" t="s">
        <v>867</v>
      </c>
      <c r="B19" s="251" t="s">
        <v>8491</v>
      </c>
      <c r="C19" s="1678"/>
      <c r="D19" s="1723">
        <f>'Data Entry - SOF'!I74</f>
        <v>0</v>
      </c>
      <c r="E19" s="1690"/>
      <c r="F19" s="999"/>
      <c r="G19" s="999"/>
      <c r="H19" s="232"/>
      <c r="I19" s="232"/>
      <c r="J19" s="232"/>
      <c r="K19" s="232"/>
      <c r="L19" s="232"/>
      <c r="M19" s="232"/>
      <c r="N19" s="232"/>
      <c r="O19" s="232"/>
    </row>
    <row r="20" spans="1:15" s="247" customFormat="1" ht="15.5">
      <c r="A20" s="250" t="s">
        <v>109</v>
      </c>
      <c r="B20" s="251" t="s">
        <v>8492</v>
      </c>
      <c r="C20" s="1678"/>
      <c r="D20" s="1722" t="e">
        <f>'Data Entry - SOF'!I124</f>
        <v>#DIV/0!</v>
      </c>
      <c r="E20" s="1690"/>
      <c r="F20" s="999"/>
      <c r="G20" s="999"/>
      <c r="H20" s="232"/>
      <c r="I20" s="232"/>
      <c r="J20" s="232"/>
      <c r="K20" s="232"/>
      <c r="L20" s="232"/>
      <c r="M20" s="232"/>
      <c r="N20" s="232"/>
      <c r="O20" s="232"/>
    </row>
    <row r="21" spans="1:15" s="247" customFormat="1" ht="15.5">
      <c r="A21" s="250" t="s">
        <v>110</v>
      </c>
      <c r="B21" s="251" t="s">
        <v>8493</v>
      </c>
      <c r="C21" s="1678"/>
      <c r="D21" s="1722" t="e">
        <f>'HB3-RollbackRates'!P5</f>
        <v>#DIV/0!</v>
      </c>
      <c r="E21" s="1690"/>
      <c r="F21" s="999"/>
      <c r="G21" s="999"/>
      <c r="H21" s="232"/>
      <c r="I21" s="232"/>
      <c r="J21" s="232"/>
      <c r="K21" s="232"/>
      <c r="L21" s="232"/>
      <c r="M21" s="232"/>
      <c r="N21" s="232"/>
      <c r="O21" s="232"/>
    </row>
    <row r="22" spans="1:15" s="247" customFormat="1" ht="15.5">
      <c r="A22" s="250" t="s">
        <v>111</v>
      </c>
      <c r="B22" s="1770" t="s">
        <v>8490</v>
      </c>
      <c r="C22" s="251"/>
      <c r="D22" s="985">
        <f>'Data Entry - SOF'!I75</f>
        <v>0</v>
      </c>
      <c r="E22" s="1005" t="e">
        <f>'Data Entry - SOF'!#REF!</f>
        <v>#REF!</v>
      </c>
      <c r="F22" s="409"/>
      <c r="G22" s="409"/>
      <c r="H22" s="232"/>
      <c r="I22" s="232"/>
      <c r="J22" s="232"/>
      <c r="K22" s="232"/>
      <c r="L22" s="232"/>
      <c r="M22" s="232"/>
      <c r="N22" s="232"/>
      <c r="O22" s="232"/>
    </row>
    <row r="23" spans="1:15" s="247" customFormat="1" ht="15.5">
      <c r="A23" s="250" t="s">
        <v>112</v>
      </c>
      <c r="B23" s="251" t="s">
        <v>8494</v>
      </c>
      <c r="C23" s="1685"/>
      <c r="D23" s="1722">
        <f>'Data Entry - SOF'!I79</f>
        <v>0</v>
      </c>
      <c r="E23" s="1686"/>
      <c r="F23" s="409"/>
      <c r="G23" s="409"/>
      <c r="H23" s="232"/>
      <c r="I23" s="232"/>
      <c r="J23" s="232"/>
      <c r="K23" s="232"/>
      <c r="L23" s="232"/>
      <c r="M23" s="232"/>
      <c r="N23" s="232"/>
      <c r="O23" s="232"/>
    </row>
    <row r="24" spans="1:15" s="247" customFormat="1" ht="15.5">
      <c r="A24" s="250" t="s">
        <v>1424</v>
      </c>
      <c r="B24" s="251" t="s">
        <v>8495</v>
      </c>
      <c r="C24" s="251"/>
      <c r="D24" s="985">
        <f>'Data Entry - SOF'!I80</f>
        <v>0</v>
      </c>
      <c r="E24" s="1005">
        <f>D24</f>
        <v>0</v>
      </c>
      <c r="F24" s="409"/>
      <c r="G24" s="409"/>
      <c r="H24" s="232"/>
      <c r="I24" s="232"/>
      <c r="J24" s="232"/>
      <c r="K24" s="232"/>
      <c r="L24" s="232"/>
      <c r="M24" s="232"/>
      <c r="N24" s="232"/>
      <c r="O24" s="232"/>
    </row>
    <row r="25" spans="1:15" s="247" customFormat="1" ht="15.5">
      <c r="A25" s="250" t="s">
        <v>6</v>
      </c>
      <c r="B25" s="251" t="s">
        <v>8496</v>
      </c>
      <c r="C25" s="251"/>
      <c r="D25" s="985">
        <f>D22+D24</f>
        <v>0</v>
      </c>
      <c r="E25" s="1005"/>
      <c r="F25" s="409"/>
      <c r="G25" s="409"/>
      <c r="H25" s="232"/>
      <c r="I25" s="232"/>
      <c r="J25" s="232"/>
      <c r="K25" s="232"/>
      <c r="L25" s="232"/>
      <c r="M25" s="232"/>
      <c r="N25" s="232"/>
      <c r="O25" s="232"/>
    </row>
    <row r="26" spans="1:15" s="247" customFormat="1" ht="15.5">
      <c r="A26" s="250" t="s">
        <v>2109</v>
      </c>
      <c r="B26" s="251" t="s">
        <v>8497</v>
      </c>
      <c r="C26" s="251"/>
      <c r="D26" s="2409" t="s">
        <v>1678</v>
      </c>
      <c r="E26" s="1005"/>
      <c r="F26" s="409"/>
      <c r="G26" s="409"/>
      <c r="H26" s="232"/>
      <c r="I26" s="232"/>
      <c r="J26" s="232"/>
      <c r="K26" s="232"/>
      <c r="L26" s="232"/>
      <c r="M26" s="232"/>
      <c r="N26" s="232"/>
      <c r="O26" s="232"/>
    </row>
    <row r="27" spans="1:15" s="247" customFormat="1" ht="18">
      <c r="A27" s="607" t="s">
        <v>2568</v>
      </c>
      <c r="B27" s="620"/>
      <c r="C27" s="620"/>
      <c r="D27" s="1031"/>
      <c r="E27" s="1008"/>
      <c r="F27" s="611"/>
      <c r="G27" s="611"/>
      <c r="H27" s="232"/>
      <c r="I27" s="232"/>
      <c r="J27" s="232"/>
      <c r="K27" s="232"/>
      <c r="L27" s="232"/>
      <c r="M27" s="232"/>
      <c r="N27" s="232"/>
      <c r="O27" s="232"/>
    </row>
    <row r="28" spans="1:15" s="247" customFormat="1" ht="15.5">
      <c r="A28" s="250" t="s">
        <v>2110</v>
      </c>
      <c r="B28" s="411" t="s">
        <v>8118</v>
      </c>
      <c r="C28" s="268"/>
      <c r="D28" s="437" t="e">
        <f>Assumptions!H163</f>
        <v>#DIV/0!</v>
      </c>
      <c r="E28" s="1005"/>
      <c r="F28" s="409"/>
      <c r="G28" s="409"/>
      <c r="H28" s="232"/>
      <c r="I28" s="232"/>
      <c r="J28" s="232"/>
      <c r="K28" s="232"/>
      <c r="L28" s="232"/>
      <c r="M28" s="232"/>
      <c r="N28" s="232"/>
      <c r="O28" s="232"/>
    </row>
    <row r="29" spans="1:15" s="247" customFormat="1" ht="15.5">
      <c r="A29" s="250" t="s">
        <v>2562</v>
      </c>
      <c r="B29" s="1693" t="s">
        <v>8119</v>
      </c>
      <c r="C29" s="1692"/>
      <c r="D29" s="1724">
        <f>'Data Entry - SOF'!G19</f>
        <v>0</v>
      </c>
      <c r="E29" s="1686"/>
      <c r="F29" s="409"/>
      <c r="G29" s="409"/>
      <c r="H29" s="232"/>
      <c r="I29" s="232"/>
      <c r="J29" s="232"/>
      <c r="K29" s="232"/>
      <c r="L29" s="232"/>
      <c r="M29" s="232"/>
      <c r="N29" s="232"/>
      <c r="O29" s="232"/>
    </row>
    <row r="30" spans="1:15" s="247" customFormat="1" ht="15.5">
      <c r="A30" s="250" t="s">
        <v>2563</v>
      </c>
      <c r="B30" s="251" t="s">
        <v>2574</v>
      </c>
      <c r="C30" s="251"/>
      <c r="D30" s="1047">
        <f>Assumptions!H168</f>
        <v>450</v>
      </c>
      <c r="E30" s="1006">
        <f>D30</f>
        <v>450</v>
      </c>
      <c r="F30" s="1000"/>
      <c r="G30" s="1000"/>
      <c r="H30" s="232"/>
      <c r="I30" s="232"/>
      <c r="J30" s="232"/>
      <c r="K30" s="232"/>
      <c r="L30" s="232"/>
      <c r="M30" s="232"/>
      <c r="N30" s="232"/>
      <c r="O30" s="232"/>
    </row>
    <row r="31" spans="1:15" s="247" customFormat="1" ht="18">
      <c r="A31" s="621" t="s">
        <v>2594</v>
      </c>
      <c r="B31" s="620"/>
      <c r="C31" s="620"/>
      <c r="D31" s="1031"/>
      <c r="E31" s="1008"/>
      <c r="F31" s="611"/>
      <c r="G31" s="611"/>
      <c r="H31" s="232"/>
      <c r="I31" s="232"/>
      <c r="J31" s="232"/>
      <c r="K31" s="232"/>
      <c r="L31" s="232"/>
      <c r="M31" s="232"/>
      <c r="N31" s="232"/>
      <c r="O31" s="232"/>
    </row>
    <row r="32" spans="1:15" s="247" customFormat="1" ht="18">
      <c r="A32" s="621" t="s">
        <v>8120</v>
      </c>
      <c r="B32" s="621"/>
      <c r="C32" s="620"/>
      <c r="D32" s="1031"/>
      <c r="E32" s="1008"/>
      <c r="F32" s="611"/>
      <c r="G32" s="611"/>
      <c r="H32" s="232"/>
      <c r="I32" s="232"/>
      <c r="J32" s="232"/>
      <c r="K32" s="232"/>
      <c r="L32" s="232"/>
      <c r="M32" s="232"/>
      <c r="N32" s="232"/>
      <c r="O32" s="232"/>
    </row>
    <row r="33" spans="1:15" s="247" customFormat="1" ht="15.5">
      <c r="A33" s="250" t="s">
        <v>2564</v>
      </c>
      <c r="B33" s="251" t="s">
        <v>8121</v>
      </c>
      <c r="C33" s="251"/>
      <c r="D33" s="985" t="e">
        <f>'SOF2425-HB3'!I20</f>
        <v>#DIV/0!</v>
      </c>
      <c r="E33" s="1005" t="e">
        <f>'SOF2425-HB3'!I20</f>
        <v>#DIV/0!</v>
      </c>
      <c r="F33" s="409"/>
      <c r="G33" s="409"/>
      <c r="H33" s="232"/>
      <c r="I33" s="232"/>
      <c r="J33" s="232"/>
      <c r="K33" s="232"/>
      <c r="L33" s="232"/>
      <c r="M33" s="232"/>
      <c r="N33" s="232"/>
      <c r="O33" s="232"/>
    </row>
    <row r="34" spans="1:15" s="247" customFormat="1" ht="15.5">
      <c r="A34" s="250" t="s">
        <v>2565</v>
      </c>
      <c r="B34" s="1685" t="s">
        <v>8122</v>
      </c>
      <c r="C34" s="1685"/>
      <c r="D34" s="1691">
        <f>'SOF2425-HB3'!I21</f>
        <v>0</v>
      </c>
      <c r="E34" s="1686"/>
      <c r="F34" s="409"/>
      <c r="G34" s="409"/>
      <c r="H34" s="232"/>
      <c r="I34" s="232"/>
      <c r="J34" s="232"/>
      <c r="K34" s="232"/>
      <c r="L34" s="232"/>
      <c r="M34" s="232"/>
      <c r="N34" s="232"/>
      <c r="O34" s="232"/>
    </row>
    <row r="35" spans="1:15" s="247" customFormat="1" ht="15.5">
      <c r="A35" s="250" t="s">
        <v>2566</v>
      </c>
      <c r="B35" s="251" t="s">
        <v>8123</v>
      </c>
      <c r="C35" s="251"/>
      <c r="D35" s="985" t="e">
        <f>SUM('SOF2425-HB3'!I22:I28)</f>
        <v>#DIV/0!</v>
      </c>
      <c r="E35" s="1005">
        <f>'SOF2425-HB3'!I165</f>
        <v>0</v>
      </c>
      <c r="F35" s="409"/>
      <c r="G35" s="409"/>
      <c r="H35" s="232"/>
      <c r="I35" s="232"/>
      <c r="J35" s="232"/>
      <c r="K35" s="232"/>
      <c r="L35" s="232"/>
      <c r="M35" s="232"/>
      <c r="N35" s="232"/>
      <c r="O35" s="232"/>
    </row>
    <row r="36" spans="1:15" s="247" customFormat="1" ht="15.5">
      <c r="A36" s="250" t="s">
        <v>2567</v>
      </c>
      <c r="B36" s="1685" t="s">
        <v>8269</v>
      </c>
      <c r="C36" s="1685"/>
      <c r="D36" s="1691" t="e">
        <f>'SOF2425-HB3'!I46</f>
        <v>#DIV/0!</v>
      </c>
      <c r="E36" s="1686"/>
      <c r="F36" s="409"/>
      <c r="G36" s="409"/>
      <c r="H36" s="232"/>
      <c r="I36" s="232"/>
      <c r="J36" s="232"/>
      <c r="K36" s="232"/>
      <c r="L36" s="232"/>
      <c r="M36" s="232"/>
      <c r="N36" s="232"/>
      <c r="O36" s="232"/>
    </row>
    <row r="37" spans="1:15" s="247" customFormat="1" ht="15.5">
      <c r="A37" s="250" t="s">
        <v>2569</v>
      </c>
      <c r="B37" s="251" t="s">
        <v>8124</v>
      </c>
      <c r="C37" s="251"/>
      <c r="D37" s="985" t="e">
        <f>SUM('SOF2425-HB3'!I36:I42)</f>
        <v>#DIV/0!</v>
      </c>
      <c r="E37" s="1005">
        <f>'SOF2425-HB3'!I168</f>
        <v>0</v>
      </c>
      <c r="F37" s="409"/>
      <c r="G37" s="409"/>
      <c r="H37" s="232"/>
      <c r="I37" s="232"/>
      <c r="J37" s="232"/>
      <c r="K37" s="232"/>
      <c r="L37" s="232"/>
      <c r="M37" s="232"/>
      <c r="N37" s="232"/>
      <c r="O37" s="232"/>
    </row>
    <row r="38" spans="1:15" s="247" customFormat="1" ht="15.5">
      <c r="A38" s="250" t="s">
        <v>2570</v>
      </c>
      <c r="B38" s="251" t="s">
        <v>8125</v>
      </c>
      <c r="C38" s="251"/>
      <c r="D38" s="985" t="e">
        <f>SUM('SOF2425-HB3'!I43:I45)</f>
        <v>#DIV/0!</v>
      </c>
      <c r="E38" s="1005">
        <f>'SOF2425-HB3'!I171</f>
        <v>0</v>
      </c>
      <c r="F38" s="409"/>
      <c r="G38" s="409"/>
      <c r="H38" s="232"/>
      <c r="I38" s="232"/>
      <c r="J38" s="232"/>
      <c r="K38" s="232"/>
      <c r="L38" s="232"/>
      <c r="M38" s="232"/>
      <c r="N38" s="232"/>
      <c r="O38" s="232"/>
    </row>
    <row r="39" spans="1:15" s="247" customFormat="1" ht="15.5">
      <c r="A39" s="250" t="s">
        <v>2571</v>
      </c>
      <c r="B39" s="251" t="s">
        <v>8126</v>
      </c>
      <c r="C39" s="251"/>
      <c r="D39" s="985" t="e">
        <f>SUM('SOF2425-HB3'!I29:I32)</f>
        <v>#DIV/0!</v>
      </c>
      <c r="E39" s="1005">
        <f>'SOF2425-HB3'!I166</f>
        <v>0</v>
      </c>
      <c r="F39" s="409"/>
      <c r="G39" s="409"/>
      <c r="H39" s="232"/>
      <c r="I39" s="232"/>
      <c r="J39" s="232"/>
      <c r="K39" s="232"/>
      <c r="L39" s="232"/>
      <c r="M39" s="232"/>
      <c r="N39" s="232"/>
      <c r="O39" s="232"/>
    </row>
    <row r="40" spans="1:15" s="247" customFormat="1" ht="15.5">
      <c r="A40" s="250" t="s">
        <v>2572</v>
      </c>
      <c r="B40" s="251" t="s">
        <v>8127</v>
      </c>
      <c r="C40" s="251"/>
      <c r="D40" s="985" t="e">
        <f>'SOF2425-HB3'!I50</f>
        <v>#DIV/0!</v>
      </c>
      <c r="E40" s="1005">
        <f>'SOF2425-HB3'!I48</f>
        <v>0</v>
      </c>
      <c r="F40" s="409"/>
      <c r="G40" s="409"/>
      <c r="H40" s="232"/>
      <c r="I40" s="232"/>
      <c r="J40" s="232"/>
      <c r="K40" s="232"/>
      <c r="L40" s="232"/>
      <c r="M40" s="232"/>
      <c r="N40" s="232"/>
      <c r="O40" s="232"/>
    </row>
    <row r="41" spans="1:15" s="247" customFormat="1" ht="15.5">
      <c r="A41" s="250" t="s">
        <v>2573</v>
      </c>
      <c r="B41" s="1685" t="s">
        <v>8270</v>
      </c>
      <c r="C41" s="1685"/>
      <c r="D41" s="1691" t="e">
        <f>'SOF2425-HB3'!I47</f>
        <v>#DIV/0!</v>
      </c>
      <c r="E41" s="1686"/>
      <c r="F41" s="409"/>
      <c r="G41" s="409"/>
      <c r="H41" s="232"/>
      <c r="I41" s="232"/>
      <c r="J41" s="232"/>
      <c r="K41" s="232"/>
      <c r="L41" s="232"/>
      <c r="M41" s="232"/>
      <c r="N41" s="232"/>
      <c r="O41" s="232"/>
    </row>
    <row r="42" spans="1:15" s="2040" customFormat="1" ht="15.5">
      <c r="A42" s="250" t="s">
        <v>2575</v>
      </c>
      <c r="B42" s="2186" t="s">
        <v>9064</v>
      </c>
      <c r="C42" s="2186"/>
      <c r="D42" s="2187" t="e">
        <f>'SOF2425-HB3'!I33+'SOF2425-HB3'!I34</f>
        <v>#DIV/0!</v>
      </c>
      <c r="E42" s="2188"/>
      <c r="F42" s="409"/>
      <c r="G42" s="409"/>
      <c r="H42" s="2039"/>
      <c r="I42" s="2039"/>
      <c r="J42" s="2039"/>
      <c r="K42" s="2039"/>
      <c r="L42" s="2039"/>
      <c r="M42" s="2039"/>
      <c r="N42" s="2039"/>
      <c r="O42" s="2039"/>
    </row>
    <row r="43" spans="1:15" s="247" customFormat="1" ht="15.5">
      <c r="A43" s="250" t="s">
        <v>2576</v>
      </c>
      <c r="B43" s="1694" t="s">
        <v>8271</v>
      </c>
      <c r="C43" s="1685"/>
      <c r="D43" s="1148">
        <f>'SOF2425-HB3'!I48</f>
        <v>0</v>
      </c>
      <c r="E43" s="1686"/>
      <c r="F43" s="409"/>
      <c r="G43" s="409"/>
      <c r="H43" s="232"/>
      <c r="I43" s="232"/>
      <c r="J43" s="232"/>
      <c r="K43" s="232"/>
      <c r="L43" s="232"/>
      <c r="M43" s="232"/>
      <c r="N43" s="232"/>
      <c r="O43" s="232"/>
    </row>
    <row r="44" spans="1:15" s="247" customFormat="1" ht="15.5">
      <c r="A44" s="250" t="s">
        <v>2577</v>
      </c>
      <c r="B44" s="1695" t="s">
        <v>8128</v>
      </c>
      <c r="C44" s="1147"/>
      <c r="D44" s="1148" t="e">
        <f>'SOF2425-HB3'!I51</f>
        <v>#DIV/0!</v>
      </c>
      <c r="E44" s="1149"/>
      <c r="F44" s="409"/>
      <c r="G44" s="409"/>
      <c r="H44" s="2039"/>
      <c r="I44" s="232"/>
      <c r="J44" s="232"/>
      <c r="K44" s="232"/>
      <c r="L44" s="232"/>
      <c r="M44" s="232"/>
      <c r="N44" s="232"/>
      <c r="O44" s="232"/>
    </row>
    <row r="45" spans="1:15" s="247" customFormat="1" ht="15.5">
      <c r="A45" s="250" t="s">
        <v>2578</v>
      </c>
      <c r="B45" s="1695" t="s">
        <v>8129</v>
      </c>
      <c r="C45" s="1147"/>
      <c r="D45" s="1148">
        <f>'SOF2425-HB3'!I52</f>
        <v>0</v>
      </c>
      <c r="E45" s="1149"/>
      <c r="F45" s="409"/>
      <c r="G45" s="409"/>
      <c r="H45" s="2039"/>
      <c r="I45" s="232"/>
      <c r="J45" s="232"/>
      <c r="K45" s="232"/>
      <c r="L45" s="232"/>
      <c r="M45" s="232"/>
      <c r="N45" s="232"/>
      <c r="O45" s="232"/>
    </row>
    <row r="46" spans="1:15" s="247" customFormat="1" ht="15.5">
      <c r="A46" s="250" t="s">
        <v>2579</v>
      </c>
      <c r="B46" s="1696" t="s">
        <v>8130</v>
      </c>
      <c r="C46" s="1147"/>
      <c r="D46" s="1148">
        <f>'SOF2425-HB3'!I53</f>
        <v>0</v>
      </c>
      <c r="E46" s="1149"/>
      <c r="F46" s="409"/>
      <c r="G46" s="409"/>
      <c r="H46" s="2039"/>
      <c r="I46" s="232"/>
      <c r="J46" s="232"/>
      <c r="K46" s="232"/>
      <c r="L46" s="232"/>
      <c r="M46" s="232"/>
      <c r="N46" s="232"/>
      <c r="O46" s="232"/>
    </row>
    <row r="47" spans="1:15" s="247" customFormat="1" ht="15.5">
      <c r="A47" s="250" t="s">
        <v>2580</v>
      </c>
      <c r="B47" s="1695" t="s">
        <v>8131</v>
      </c>
      <c r="C47" s="1147"/>
      <c r="D47" s="1148">
        <f>'SOF2425-HB3'!I54</f>
        <v>0</v>
      </c>
      <c r="E47" s="1149"/>
      <c r="F47" s="409"/>
      <c r="G47" s="409"/>
      <c r="H47" s="232"/>
      <c r="I47" s="232"/>
      <c r="J47" s="232"/>
      <c r="K47" s="232"/>
      <c r="L47" s="232"/>
      <c r="M47" s="232"/>
      <c r="N47" s="232"/>
      <c r="O47" s="232"/>
    </row>
    <row r="48" spans="1:15" s="247" customFormat="1" ht="18">
      <c r="A48" s="621" t="s">
        <v>8132</v>
      </c>
      <c r="B48" s="621"/>
      <c r="C48" s="620"/>
      <c r="D48" s="1031"/>
      <c r="E48" s="1008"/>
      <c r="F48" s="611"/>
      <c r="G48" s="611"/>
      <c r="H48" s="232"/>
      <c r="I48" s="232"/>
      <c r="J48" s="232"/>
      <c r="K48" s="232"/>
      <c r="L48" s="232"/>
      <c r="M48" s="232"/>
      <c r="N48" s="232"/>
      <c r="O48" s="232"/>
    </row>
    <row r="49" spans="1:15" s="247" customFormat="1" ht="15.5">
      <c r="A49" s="250" t="s">
        <v>2581</v>
      </c>
      <c r="B49" s="251" t="s">
        <v>8133</v>
      </c>
      <c r="C49" s="251"/>
      <c r="D49" s="985">
        <f>'SOF2425-HB3'!I57</f>
        <v>0</v>
      </c>
      <c r="E49" s="1005" t="e">
        <f>'SOF2425-HB3'!#REF!</f>
        <v>#REF!</v>
      </c>
      <c r="F49" s="409"/>
      <c r="G49" s="409"/>
      <c r="H49" s="232"/>
      <c r="I49" s="232"/>
      <c r="J49" s="232"/>
      <c r="K49" s="232"/>
      <c r="L49" s="232"/>
      <c r="M49" s="232"/>
      <c r="N49" s="232"/>
      <c r="O49" s="232"/>
    </row>
    <row r="50" spans="1:15" s="247" customFormat="1" ht="15.5">
      <c r="A50" s="250" t="s">
        <v>2582</v>
      </c>
      <c r="B50" s="251" t="s">
        <v>8134</v>
      </c>
      <c r="C50" s="251"/>
      <c r="D50" s="985">
        <f>'SOF2425-HB3'!I56</f>
        <v>0</v>
      </c>
      <c r="E50" s="1005">
        <f>'SOF2425-HB3'!I54</f>
        <v>0</v>
      </c>
      <c r="F50" s="409"/>
      <c r="G50" s="409"/>
      <c r="H50" s="232"/>
      <c r="I50" s="232"/>
      <c r="J50" s="232"/>
      <c r="K50" s="232"/>
      <c r="L50" s="232"/>
      <c r="M50" s="232"/>
      <c r="N50" s="232"/>
      <c r="O50" s="232"/>
    </row>
    <row r="51" spans="1:15" s="247" customFormat="1" ht="15.5">
      <c r="A51" s="250" t="s">
        <v>2583</v>
      </c>
      <c r="B51" s="1685" t="s">
        <v>8135</v>
      </c>
      <c r="C51" s="1685"/>
      <c r="D51" s="1691">
        <f>'SOF2425-HB3'!I58</f>
        <v>0</v>
      </c>
      <c r="E51" s="1686"/>
      <c r="F51" s="409"/>
      <c r="G51" s="409"/>
      <c r="H51" s="232"/>
      <c r="I51" s="232"/>
      <c r="J51" s="232"/>
      <c r="K51" s="232"/>
      <c r="L51" s="232"/>
      <c r="M51" s="232"/>
      <c r="N51" s="232"/>
      <c r="O51" s="232"/>
    </row>
    <row r="52" spans="1:15" ht="15.5">
      <c r="A52" s="250" t="s">
        <v>2584</v>
      </c>
      <c r="B52" s="1685" t="s">
        <v>8136</v>
      </c>
      <c r="C52" s="1685"/>
      <c r="D52" s="1691">
        <f>'SOF2425-HB3'!I55</f>
        <v>0</v>
      </c>
    </row>
    <row r="53" spans="1:15" ht="15.5">
      <c r="A53" s="250" t="s">
        <v>2585</v>
      </c>
      <c r="B53" s="1685" t="s">
        <v>8234</v>
      </c>
      <c r="C53" s="1685"/>
      <c r="D53" s="1691">
        <f>'SOF2425-HB3'!I59</f>
        <v>0</v>
      </c>
    </row>
    <row r="54" spans="1:15" ht="15.5">
      <c r="A54" s="250" t="s">
        <v>2586</v>
      </c>
      <c r="B54" s="1685" t="s">
        <v>8138</v>
      </c>
      <c r="C54" s="1685"/>
      <c r="D54" s="1691">
        <f>'SOF2425-HB3'!I60</f>
        <v>0</v>
      </c>
    </row>
    <row r="55" spans="1:15" s="247" customFormat="1" ht="15.5">
      <c r="A55" s="250" t="s">
        <v>2587</v>
      </c>
      <c r="B55" s="411" t="s">
        <v>5980</v>
      </c>
      <c r="C55" s="251"/>
      <c r="D55" s="985" t="e">
        <f>'SOF2425-HB3'!I61</f>
        <v>#DIV/0!</v>
      </c>
      <c r="E55" s="1005">
        <f>'SOF2425-HB3'!I59</f>
        <v>0</v>
      </c>
      <c r="F55" s="409"/>
      <c r="G55" s="409"/>
      <c r="H55" s="232"/>
      <c r="I55" s="232"/>
      <c r="J55" s="232"/>
      <c r="K55" s="232"/>
      <c r="L55" s="232"/>
      <c r="M55" s="232"/>
      <c r="N55" s="232"/>
      <c r="O55" s="232"/>
    </row>
    <row r="56" spans="1:15" s="247" customFormat="1" ht="15.5">
      <c r="A56" s="250" t="s">
        <v>2588</v>
      </c>
      <c r="B56" s="251" t="s">
        <v>2595</v>
      </c>
      <c r="C56" s="251"/>
      <c r="D56" s="985" t="e">
        <f>'SOF2425-HB3'!I62</f>
        <v>#DIV/0!</v>
      </c>
      <c r="E56" s="1005">
        <f>'SOF2425-HB3'!I60</f>
        <v>0</v>
      </c>
      <c r="F56" s="409"/>
      <c r="G56" s="409"/>
      <c r="H56" s="232"/>
      <c r="I56" s="232"/>
      <c r="J56" s="232"/>
      <c r="K56" s="232"/>
      <c r="L56" s="232"/>
      <c r="M56" s="232"/>
      <c r="N56" s="232"/>
      <c r="O56" s="232"/>
    </row>
    <row r="57" spans="1:15" s="247" customFormat="1" ht="15.5">
      <c r="A57" s="250" t="s">
        <v>2589</v>
      </c>
      <c r="B57" s="251" t="s">
        <v>2596</v>
      </c>
      <c r="C57" s="251"/>
      <c r="D57" s="985">
        <f>'SOF2425-HB3'!I99</f>
        <v>0</v>
      </c>
      <c r="E57" s="1005">
        <f>'SOF2425-HB3'!I107</f>
        <v>0</v>
      </c>
      <c r="F57" s="409"/>
      <c r="G57" s="409"/>
      <c r="H57" s="232"/>
      <c r="I57" s="232"/>
      <c r="J57" s="232"/>
      <c r="K57" s="232"/>
      <c r="L57" s="232"/>
      <c r="M57" s="232"/>
      <c r="N57" s="232"/>
      <c r="O57" s="232"/>
    </row>
    <row r="58" spans="1:15" s="247" customFormat="1" ht="18">
      <c r="A58" s="622" t="s">
        <v>8139</v>
      </c>
      <c r="B58" s="623"/>
      <c r="C58" s="623"/>
      <c r="D58" s="1048"/>
      <c r="E58" s="1011"/>
      <c r="F58" s="611"/>
      <c r="G58" s="611"/>
      <c r="H58" s="232"/>
      <c r="I58" s="232"/>
      <c r="J58" s="232"/>
      <c r="K58" s="232"/>
      <c r="L58" s="232"/>
      <c r="M58" s="232"/>
      <c r="N58" s="232"/>
      <c r="O58" s="232"/>
    </row>
    <row r="59" spans="1:15" s="247" customFormat="1" ht="15.5">
      <c r="A59" s="250" t="s">
        <v>2590</v>
      </c>
      <c r="B59" s="251" t="s">
        <v>9245</v>
      </c>
      <c r="C59" s="251"/>
      <c r="D59" s="985" t="e">
        <f>IF(OR(D55-D56-D57&lt;=0,'Data Entry - SOF'!I74&lt;'Data Entry - SOF'!I72),0,D55-D56-D57)</f>
        <v>#DIV/0!</v>
      </c>
      <c r="E59" s="1005" t="e">
        <f>'SOF2425-HB3'!I61</f>
        <v>#DIV/0!</v>
      </c>
      <c r="F59" s="409"/>
      <c r="G59" s="409"/>
      <c r="H59" s="358" t="s">
        <v>11158</v>
      </c>
      <c r="I59" s="232"/>
      <c r="J59" s="232"/>
      <c r="K59" s="232"/>
      <c r="L59" s="232"/>
      <c r="M59" s="232"/>
      <c r="N59" s="232"/>
      <c r="O59" s="232"/>
    </row>
    <row r="60" spans="1:15" s="247" customFormat="1" ht="15.5">
      <c r="A60" s="250" t="s">
        <v>2591</v>
      </c>
      <c r="B60" s="410" t="s">
        <v>8346</v>
      </c>
      <c r="C60" s="251"/>
      <c r="D60" s="985" t="e">
        <f>'SOF2425-HB3'!I78</f>
        <v>#DIV/0!</v>
      </c>
      <c r="E60" s="1005" t="e">
        <f>'SOF2425-HB3'!I80</f>
        <v>#DIV/0!</v>
      </c>
      <c r="F60" s="409"/>
      <c r="G60" s="409"/>
      <c r="H60" s="232"/>
      <c r="I60" s="232"/>
      <c r="J60" s="232"/>
      <c r="K60" s="232"/>
      <c r="L60" s="232"/>
      <c r="M60" s="232"/>
      <c r="N60" s="232"/>
      <c r="O60" s="232"/>
    </row>
    <row r="61" spans="1:15" s="247" customFormat="1" ht="15.5">
      <c r="A61" s="250" t="s">
        <v>2592</v>
      </c>
      <c r="B61" s="411" t="s">
        <v>5981</v>
      </c>
      <c r="C61" s="251"/>
      <c r="D61" s="985" t="e">
        <f>'OtherDetail2425-HB3'!D30</f>
        <v>#DIV/0!</v>
      </c>
      <c r="E61" s="1005"/>
      <c r="F61" s="409"/>
      <c r="G61" s="409"/>
      <c r="H61" s="358" t="s">
        <v>11469</v>
      </c>
      <c r="I61" s="232"/>
      <c r="J61" s="232"/>
      <c r="K61" s="232"/>
      <c r="L61" s="232"/>
      <c r="M61" s="232"/>
      <c r="N61" s="232"/>
      <c r="O61" s="232"/>
    </row>
    <row r="62" spans="1:15" s="247" customFormat="1" ht="15.5">
      <c r="A62" s="250" t="s">
        <v>2593</v>
      </c>
      <c r="B62" s="251" t="s">
        <v>2597</v>
      </c>
      <c r="C62" s="251"/>
      <c r="D62" s="985" t="e">
        <f>D59+D60+IF(D61&lt;0,D61-'Data Entry - SOF'!I116,D61)</f>
        <v>#DIV/0!</v>
      </c>
      <c r="E62" s="1005"/>
      <c r="F62" s="409"/>
      <c r="G62" s="409"/>
      <c r="H62" s="232"/>
      <c r="I62" s="232"/>
      <c r="J62" s="232"/>
      <c r="K62" s="232"/>
      <c r="L62" s="232"/>
      <c r="M62" s="232"/>
      <c r="N62" s="232"/>
      <c r="O62" s="232"/>
    </row>
    <row r="63" spans="1:15" s="247" customFormat="1" ht="18">
      <c r="A63" s="607" t="s">
        <v>8140</v>
      </c>
      <c r="B63" s="620"/>
      <c r="C63" s="620"/>
      <c r="D63" s="1031"/>
      <c r="E63" s="1008"/>
      <c r="F63" s="611"/>
      <c r="G63" s="611"/>
      <c r="H63" s="232"/>
      <c r="I63" s="232"/>
      <c r="J63" s="232"/>
      <c r="K63" s="232"/>
      <c r="L63" s="232"/>
      <c r="M63" s="232"/>
      <c r="N63" s="232"/>
      <c r="O63" s="232"/>
    </row>
    <row r="64" spans="1:15" s="247" customFormat="1" ht="18">
      <c r="A64" s="621" t="s">
        <v>8141</v>
      </c>
      <c r="B64" s="621"/>
      <c r="C64" s="620"/>
      <c r="D64" s="1031"/>
      <c r="E64" s="1008"/>
      <c r="F64" s="611"/>
      <c r="G64" s="611"/>
      <c r="H64" s="232"/>
      <c r="I64" s="232"/>
      <c r="J64" s="232"/>
      <c r="K64" s="232"/>
      <c r="L64" s="232"/>
      <c r="M64" s="232"/>
      <c r="N64" s="232"/>
      <c r="O64" s="232"/>
    </row>
    <row r="65" spans="1:15" s="247" customFormat="1" ht="15.5">
      <c r="A65" s="250" t="s">
        <v>2602</v>
      </c>
      <c r="B65" s="251" t="s">
        <v>2608</v>
      </c>
      <c r="C65" s="251"/>
      <c r="D65" s="985" t="e">
        <f>D62</f>
        <v>#DIV/0!</v>
      </c>
      <c r="E65" s="1005">
        <f>'SOF2425-HB3'!I106</f>
        <v>0</v>
      </c>
      <c r="F65" s="409"/>
      <c r="G65" s="409"/>
      <c r="I65" s="232"/>
      <c r="J65" s="232"/>
      <c r="K65" s="232"/>
      <c r="L65" s="232"/>
      <c r="M65" s="232"/>
      <c r="N65" s="232"/>
      <c r="O65" s="232"/>
    </row>
    <row r="66" spans="1:15" s="247" customFormat="1" ht="15.5">
      <c r="A66" s="250" t="s">
        <v>2603</v>
      </c>
      <c r="B66" s="251" t="s">
        <v>2735</v>
      </c>
      <c r="C66" s="251"/>
      <c r="D66" s="985">
        <f>'SOF2425-HB3'!I99</f>
        <v>0</v>
      </c>
      <c r="E66" s="1005">
        <f>'SOF2425-HB3'!I107</f>
        <v>0</v>
      </c>
      <c r="F66" s="409"/>
      <c r="G66" s="409"/>
      <c r="H66" s="232"/>
      <c r="I66" s="232"/>
      <c r="J66" s="232"/>
      <c r="K66" s="232"/>
      <c r="L66" s="232"/>
      <c r="M66" s="232"/>
      <c r="N66" s="232"/>
      <c r="O66" s="232"/>
    </row>
    <row r="67" spans="1:15" s="247" customFormat="1" ht="18">
      <c r="A67" s="621" t="s">
        <v>8142</v>
      </c>
      <c r="B67" s="621"/>
      <c r="C67" s="620"/>
      <c r="D67" s="1031"/>
      <c r="E67" s="1008"/>
      <c r="F67" s="611"/>
      <c r="G67" s="611"/>
      <c r="H67" s="232"/>
      <c r="I67" s="232"/>
      <c r="J67" s="232"/>
      <c r="K67" s="232"/>
      <c r="L67" s="232"/>
      <c r="M67" s="232"/>
      <c r="N67" s="232"/>
      <c r="O67" s="232"/>
    </row>
    <row r="68" spans="1:15" s="247" customFormat="1" ht="15.5">
      <c r="A68" s="250" t="s">
        <v>2604</v>
      </c>
      <c r="B68" s="410" t="s">
        <v>7063</v>
      </c>
      <c r="C68" s="251"/>
      <c r="D68" s="985">
        <f>'Existing Debt-HB3'!Q74</f>
        <v>0</v>
      </c>
      <c r="E68" s="1005">
        <f>D68</f>
        <v>0</v>
      </c>
      <c r="F68" s="409"/>
      <c r="G68" s="409"/>
      <c r="H68" s="232"/>
      <c r="I68" s="232"/>
      <c r="J68" s="232"/>
      <c r="K68" s="232"/>
      <c r="L68" s="232"/>
      <c r="M68" s="232"/>
      <c r="N68" s="232"/>
      <c r="O68" s="232"/>
    </row>
    <row r="69" spans="1:15" s="247" customFormat="1" ht="15.5">
      <c r="A69" s="250" t="s">
        <v>2605</v>
      </c>
      <c r="B69" s="411" t="s">
        <v>5983</v>
      </c>
      <c r="C69" s="251"/>
      <c r="D69" s="985">
        <f>'IFA-HB3'!Y86</f>
        <v>0</v>
      </c>
      <c r="E69" s="1005">
        <f>D69</f>
        <v>0</v>
      </c>
      <c r="F69" s="409"/>
      <c r="G69" s="409"/>
      <c r="H69" s="232"/>
      <c r="I69" s="232"/>
      <c r="J69" s="232"/>
      <c r="K69" s="232"/>
      <c r="L69" s="232"/>
      <c r="M69" s="232"/>
      <c r="N69" s="232"/>
      <c r="O69" s="232"/>
    </row>
    <row r="70" spans="1:15" s="247" customFormat="1" ht="15.5">
      <c r="A70" s="250" t="s">
        <v>2606</v>
      </c>
      <c r="B70" s="410" t="s">
        <v>5984</v>
      </c>
      <c r="C70" s="251"/>
      <c r="D70" s="985">
        <f>'IFA-HB3'!AB75</f>
        <v>0</v>
      </c>
      <c r="E70" s="1005">
        <f>D70</f>
        <v>0</v>
      </c>
      <c r="F70" s="409"/>
      <c r="G70" s="409"/>
      <c r="H70" s="232"/>
      <c r="I70" s="232"/>
      <c r="J70" s="232"/>
      <c r="K70" s="232"/>
      <c r="L70" s="232"/>
      <c r="M70" s="232"/>
      <c r="N70" s="232"/>
      <c r="O70" s="232"/>
    </row>
    <row r="71" spans="1:15" s="247" customFormat="1" ht="15.5">
      <c r="A71" s="250" t="s">
        <v>2607</v>
      </c>
      <c r="B71" s="636" t="s">
        <v>10996</v>
      </c>
      <c r="C71" s="251"/>
      <c r="D71" s="985" t="e">
        <f>'HH2425-40KCalcs'!C50+'HH2425-40KCalcs'!C74</f>
        <v>#DIV/0!</v>
      </c>
      <c r="E71" s="1005"/>
      <c r="F71" s="409"/>
      <c r="G71" s="409"/>
      <c r="H71" s="232"/>
      <c r="I71" s="232"/>
      <c r="J71" s="232"/>
      <c r="K71" s="232"/>
      <c r="L71" s="232"/>
      <c r="M71" s="232"/>
      <c r="N71" s="232"/>
      <c r="O71" s="232"/>
    </row>
    <row r="72" spans="1:15" s="247" customFormat="1" ht="18">
      <c r="A72" s="1763" t="s">
        <v>2662</v>
      </c>
      <c r="B72" s="567" t="s">
        <v>8498</v>
      </c>
      <c r="C72" s="624"/>
      <c r="D72" s="1049" t="e">
        <f>SUM(D65:D71)</f>
        <v>#DIV/0!</v>
      </c>
      <c r="E72" s="1007">
        <f>'SOF2425-HB3'!I112</f>
        <v>0</v>
      </c>
      <c r="F72" s="1001"/>
      <c r="G72" s="1001"/>
      <c r="H72" s="232"/>
      <c r="I72" s="232"/>
      <c r="J72" s="232"/>
      <c r="K72" s="232"/>
      <c r="L72" s="232"/>
      <c r="M72" s="232"/>
      <c r="N72" s="232"/>
      <c r="O72" s="232"/>
    </row>
    <row r="73" spans="1:15" s="247" customFormat="1" ht="18">
      <c r="A73" s="621" t="s">
        <v>8143</v>
      </c>
      <c r="B73" s="621"/>
      <c r="C73" s="620"/>
      <c r="D73" s="1031"/>
      <c r="E73" s="1008"/>
      <c r="F73" s="611"/>
      <c r="G73" s="611"/>
      <c r="H73" s="232"/>
      <c r="I73" s="232"/>
      <c r="J73" s="232"/>
      <c r="K73" s="232"/>
      <c r="L73" s="232"/>
      <c r="M73" s="232"/>
      <c r="N73" s="232"/>
      <c r="O73" s="232"/>
    </row>
    <row r="74" spans="1:15" s="247" customFormat="1" ht="15.5">
      <c r="A74" s="250" t="s">
        <v>2824</v>
      </c>
      <c r="B74" s="1693" t="s">
        <v>10444</v>
      </c>
      <c r="C74" s="1685"/>
      <c r="D74" s="1691" t="e">
        <f>Recap40K_Detail2425!C33</f>
        <v>#DIV/0!</v>
      </c>
      <c r="H74" s="232"/>
      <c r="I74" s="232"/>
      <c r="J74" s="232"/>
      <c r="K74" s="232"/>
      <c r="L74" s="232"/>
      <c r="M74" s="232"/>
      <c r="N74" s="232"/>
      <c r="O74" s="232"/>
    </row>
    <row r="75" spans="1:15" s="247" customFormat="1" ht="15.5">
      <c r="A75" s="1697"/>
      <c r="B75" s="1689"/>
      <c r="C75" s="1689"/>
      <c r="D75" s="1689"/>
      <c r="H75" s="232"/>
      <c r="I75" s="232"/>
      <c r="J75" s="232"/>
      <c r="K75" s="232"/>
      <c r="L75" s="232"/>
      <c r="M75" s="232"/>
      <c r="N75" s="232"/>
      <c r="O75" s="232"/>
    </row>
    <row r="76" spans="1:15" s="247" customFormat="1" ht="15.5">
      <c r="A76" s="2342"/>
      <c r="B76" s="2343" t="s">
        <v>5985</v>
      </c>
      <c r="C76" s="2344"/>
      <c r="D76" s="2344"/>
      <c r="H76" s="232"/>
      <c r="I76" s="232"/>
      <c r="J76" s="232"/>
      <c r="K76" s="232"/>
      <c r="L76" s="232"/>
      <c r="M76" s="232"/>
      <c r="N76" s="232"/>
      <c r="O76" s="232"/>
    </row>
    <row r="77" spans="1:15" s="247" customFormat="1" ht="15.5">
      <c r="A77" s="1698"/>
      <c r="B77" s="1699"/>
      <c r="H77" s="232"/>
      <c r="I77" s="232"/>
      <c r="J77" s="232"/>
      <c r="K77" s="232"/>
      <c r="L77" s="232"/>
      <c r="M77" s="232"/>
      <c r="N77" s="232"/>
      <c r="O77" s="232"/>
    </row>
    <row r="78" spans="1:15" s="247" customFormat="1" ht="16" thickBot="1">
      <c r="A78" s="1700"/>
      <c r="C78" s="1701"/>
      <c r="D78" s="1701"/>
      <c r="E78" s="247" t="e">
        <f>(E65+E66)/D10</f>
        <v>#DIV/0!</v>
      </c>
      <c r="H78" s="232"/>
      <c r="I78" s="232"/>
      <c r="J78" s="232"/>
      <c r="K78" s="232"/>
      <c r="L78" s="232"/>
      <c r="M78" s="232"/>
      <c r="N78" s="232"/>
      <c r="O78" s="232"/>
    </row>
    <row r="79" spans="1:15" ht="16" thickTop="1">
      <c r="A79" s="1715" t="s">
        <v>2782</v>
      </c>
      <c r="B79" s="1716"/>
      <c r="C79" s="1717"/>
      <c r="D79" s="1718"/>
      <c r="E79" s="247"/>
      <c r="F79" s="247"/>
      <c r="G79" s="247"/>
    </row>
    <row r="80" spans="1:15" ht="15.5">
      <c r="A80" s="1702" t="s">
        <v>2318</v>
      </c>
      <c r="C80" s="1703"/>
      <c r="D80" s="1704"/>
      <c r="E80" s="232"/>
      <c r="F80" s="232"/>
      <c r="G80" s="232"/>
    </row>
    <row r="81" spans="1:7" ht="15.5">
      <c r="A81" s="382" t="s">
        <v>2825</v>
      </c>
      <c r="B81" s="1705" t="s">
        <v>8145</v>
      </c>
      <c r="C81" s="1703"/>
      <c r="D81" s="1725" t="e">
        <f>D65+D66</f>
        <v>#DIV/0!</v>
      </c>
      <c r="E81" s="232"/>
      <c r="F81" s="232"/>
      <c r="G81" s="232"/>
    </row>
    <row r="82" spans="1:7" ht="15.5">
      <c r="A82" s="382" t="s">
        <v>2826</v>
      </c>
      <c r="B82" s="381" t="s">
        <v>7906</v>
      </c>
      <c r="C82" s="249"/>
      <c r="D82" s="281">
        <f>'Data Entry - SOF'!I75</f>
        <v>0</v>
      </c>
      <c r="E82" s="409"/>
      <c r="F82" s="409"/>
      <c r="G82" s="409"/>
    </row>
    <row r="83" spans="1:7" ht="15.5">
      <c r="A83" s="382" t="s">
        <v>2827</v>
      </c>
      <c r="B83" s="381" t="s">
        <v>7907</v>
      </c>
      <c r="C83" s="386"/>
      <c r="D83" s="1725" t="e">
        <f>'SOF2425-HB3'!I74</f>
        <v>#DIV/0!</v>
      </c>
      <c r="E83" s="409"/>
      <c r="F83" s="409"/>
      <c r="G83" s="409"/>
    </row>
    <row r="84" spans="1:7" ht="15.5">
      <c r="A84" s="382" t="s">
        <v>2828</v>
      </c>
      <c r="B84" s="381" t="s">
        <v>7908</v>
      </c>
      <c r="C84" s="249"/>
      <c r="D84" s="281" t="e">
        <f>'SOF2425-HB3'!I82</f>
        <v>#DIV/0!</v>
      </c>
      <c r="E84" s="409"/>
      <c r="F84" s="409"/>
      <c r="G84" s="409"/>
    </row>
    <row r="85" spans="1:7" ht="15.5">
      <c r="A85" s="382" t="s">
        <v>2829</v>
      </c>
      <c r="B85" s="1677" t="s">
        <v>7909</v>
      </c>
      <c r="C85" s="249"/>
      <c r="D85" s="281" t="e">
        <f>D82-D83-D84</f>
        <v>#DIV/0!</v>
      </c>
      <c r="E85" s="409"/>
      <c r="F85" s="409"/>
      <c r="G85" s="409"/>
    </row>
    <row r="86" spans="1:7" ht="15.5">
      <c r="A86" s="382" t="s">
        <v>2830</v>
      </c>
      <c r="B86" s="387" t="s">
        <v>9240</v>
      </c>
      <c r="C86" s="1707"/>
      <c r="D86" s="1708" t="e">
        <f>IF(D81&gt;=0,0,D81)</f>
        <v>#DIV/0!</v>
      </c>
      <c r="E86" s="409"/>
      <c r="F86" s="409"/>
      <c r="G86" s="409"/>
    </row>
    <row r="87" spans="1:7" ht="16" thickBot="1">
      <c r="A87" s="382" t="s">
        <v>2831</v>
      </c>
      <c r="B87" s="1679" t="s">
        <v>8499</v>
      </c>
      <c r="C87" s="565"/>
      <c r="D87" s="1726" t="e">
        <f>D81+D85+D86</f>
        <v>#DIV/0!</v>
      </c>
      <c r="E87" s="1002"/>
      <c r="F87" s="1002"/>
      <c r="G87" s="1002"/>
    </row>
    <row r="88" spans="1:7" ht="14" thickTop="1" thickBot="1">
      <c r="B88" s="1709"/>
    </row>
    <row r="89" spans="1:7" ht="16" thickTop="1">
      <c r="A89" s="1150" t="s">
        <v>7730</v>
      </c>
      <c r="B89" s="331"/>
      <c r="C89" s="1710"/>
      <c r="D89" s="330"/>
    </row>
    <row r="90" spans="1:7" ht="15.5">
      <c r="A90" s="382" t="s">
        <v>2832</v>
      </c>
      <c r="B90" s="385" t="s">
        <v>7910</v>
      </c>
      <c r="C90" s="1706"/>
      <c r="D90" s="1725" t="e">
        <f>'SOF2425-HB3'!I74</f>
        <v>#DIV/0!</v>
      </c>
    </row>
    <row r="91" spans="1:7" ht="15.5">
      <c r="A91" s="382" t="s">
        <v>2833</v>
      </c>
      <c r="B91" s="385" t="s">
        <v>7916</v>
      </c>
      <c r="C91" s="384"/>
      <c r="D91" s="281" t="e">
        <f>'SOF2425-HB3'!I82</f>
        <v>#DIV/0!</v>
      </c>
      <c r="E91" s="409"/>
      <c r="F91" s="409"/>
      <c r="G91" s="409"/>
    </row>
    <row r="92" spans="1:7" ht="15.5">
      <c r="A92" s="382" t="s">
        <v>2834</v>
      </c>
      <c r="B92" s="1714" t="s">
        <v>8500</v>
      </c>
      <c r="C92" s="1712"/>
      <c r="D92" s="1713" t="e">
        <f>D90+D91</f>
        <v>#DIV/0!</v>
      </c>
      <c r="E92" s="409"/>
      <c r="F92" s="409"/>
      <c r="G92" s="409"/>
    </row>
    <row r="93" spans="1:7" ht="15.5">
      <c r="A93" s="382" t="s">
        <v>2835</v>
      </c>
      <c r="B93" s="385" t="s">
        <v>10866</v>
      </c>
      <c r="C93" s="384"/>
      <c r="D93" s="281">
        <f>'Data Entry - SOF'!I116</f>
        <v>0</v>
      </c>
      <c r="E93" s="409"/>
      <c r="F93" s="409"/>
      <c r="G93" s="409"/>
    </row>
    <row r="94" spans="1:7" ht="16" thickBot="1">
      <c r="A94" s="383" t="s">
        <v>2836</v>
      </c>
      <c r="B94" s="565" t="s">
        <v>8501</v>
      </c>
      <c r="C94" s="1711"/>
      <c r="D94" s="315" t="e">
        <f>D92+D93</f>
        <v>#DIV/0!</v>
      </c>
      <c r="E94" s="366"/>
      <c r="F94" s="366"/>
      <c r="G94" s="366"/>
    </row>
    <row r="95" spans="1:7" ht="13.5" thickTop="1"/>
    <row r="98" spans="2:7" hidden="1">
      <c r="B98" s="58" t="s">
        <v>7082</v>
      </c>
      <c r="D98" s="724" t="e">
        <f>#REF!</f>
        <v>#REF!</v>
      </c>
      <c r="E98" s="724"/>
      <c r="F98" s="724"/>
      <c r="G98" s="724"/>
    </row>
    <row r="99" spans="2:7" hidden="1">
      <c r="D99" s="724" t="e">
        <f>D56</f>
        <v>#DIV/0!</v>
      </c>
      <c r="E99" s="724"/>
      <c r="F99" s="724"/>
      <c r="G99" s="724"/>
    </row>
    <row r="100" spans="2:7" hidden="1">
      <c r="D100" s="25" t="e">
        <f>IF(D98-D99&lt;=0,0,D98-D99)</f>
        <v>#REF!</v>
      </c>
    </row>
  </sheetData>
  <hyperlinks>
    <hyperlink ref="B70" location="'IFADetail2425-HB3'!A1" display="599/5829 - Instructional Facilities Allotment (Lease Purchase)  (See Link Above)" xr:uid="{00000000-0004-0000-1400-000000000000}"/>
    <hyperlink ref="B12" location="'SpEdDetail2425-HB3'!A1" display="Special Education FTEs                                                      " xr:uid="{00000000-0004-0000-1400-000001000000}"/>
    <hyperlink ref="B69" location="'IFADetail2425-HB3'!A1" display="599/5829 - Instructional Facilities Allotment (IFA) (Bond)    (Link to Detail Report)" xr:uid="{00000000-0004-0000-1400-000002000000}"/>
    <hyperlink ref="B68" location="'EDADetail2425-HB3'!A1" display="599/5829 - Existing Debt Allotment (EDA)                            (Link to Detail Report)" xr:uid="{00000000-0004-0000-1400-000003000000}"/>
    <hyperlink ref="B61" location="'OtherDetail2425-HB3'!A1" display="Other Programs                                                                        (Link to Detail Report)" xr:uid="{00000000-0004-0000-1400-000004000000}"/>
    <hyperlink ref="B60" location="'T2Detail2424-HB3'!A1" display="Tier II State Aid                                                              (Link to Tier II Detail Report)" xr:uid="{00000000-0004-0000-1400-000005000000}"/>
    <hyperlink ref="B55" location="'T1Detail2425-HB3'!A1" display="Total Cost of Tier I                                                           (Link to Tier I Detail Report)" xr:uid="{00000000-0004-0000-1400-000006000000}"/>
    <hyperlink ref="B28" location="'Report-AA1920'!A1" display="Adjusted Allotment                                                                    (Link to Detail Report)" xr:uid="{00000000-0004-0000-1400-000007000000}"/>
    <hyperlink ref="B14" location="'Report-Calculations'!A1" display="Weighted ADA (WADA)                                                          (Link to Detail Report)" xr:uid="{00000000-0004-0000-1400-000008000000}"/>
    <hyperlink ref="B11" location="'Report-Calculations'!A1" display="Regular Program ADA (Line 1 - Line 3 - Line 4)          " xr:uid="{00000000-0004-0000-1400-000009000000}"/>
    <hyperlink ref="B76" location="'FSF2425-HB3'!A1" display="FSP Allocations and Adjustments Report                              (Link to Detail Report)" xr:uid="{00000000-0004-0000-1400-00000A000000}"/>
    <hyperlink ref="B74" location="Recap40K_Detail2425!A1" display="Local Revenue in Excess of Entitlement                (Link to Cost of Recapture Report)" xr:uid="{00000000-0004-0000-1400-00000B000000}"/>
    <hyperlink ref="B22" location="'M&amp;ODetail2425-HB3'!A1" display="2024-25 M&amp;O Tax Collections                                          (Link to Detail Report)              " xr:uid="{00000000-0004-0000-1400-00000C000000}"/>
    <hyperlink ref="B71" location="'HH2425-40KCalcs'!B30" display="I&amp;S Hold Harmless (ASAHE for Facilities on TEA's Report) (Link to HH2425-Calcs tab)" xr:uid="{00000000-0004-0000-1400-00000D000000}"/>
  </hyperlinks>
  <pageMargins left="0.25" right="0.25"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66FF33"/>
  </sheetPr>
  <dimension ref="A1:O100"/>
  <sheetViews>
    <sheetView workbookViewId="0">
      <selection activeCell="D1" sqref="D1"/>
    </sheetView>
  </sheetViews>
  <sheetFormatPr defaultColWidth="8.7265625"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 min="16" max="16384" width="8.7265625" style="2042"/>
  </cols>
  <sheetData>
    <row r="1" spans="1:15">
      <c r="A1" s="245" t="s">
        <v>2653</v>
      </c>
      <c r="C1" s="427"/>
      <c r="D1" s="1816" t="str">
        <f>'Report-SOF2324-SB1'!D1</f>
        <v>Release 2</v>
      </c>
      <c r="E1" s="426"/>
      <c r="F1" s="426"/>
      <c r="G1" s="426"/>
    </row>
    <row r="2" spans="1:15">
      <c r="A2" s="325" t="s">
        <v>7917</v>
      </c>
      <c r="D2" s="1817">
        <f>'Report-SOF2324-SB1'!D2</f>
        <v>44930</v>
      </c>
      <c r="E2" s="58"/>
      <c r="F2" s="58"/>
      <c r="G2" s="58"/>
    </row>
    <row r="3" spans="1:15" ht="15.5">
      <c r="D3" s="2039"/>
      <c r="E3" s="47"/>
      <c r="F3" s="47"/>
      <c r="G3" s="47"/>
    </row>
    <row r="4" spans="1:15" s="2040" customFormat="1" ht="15.5">
      <c r="A4" s="246" t="s">
        <v>9175</v>
      </c>
      <c r="B4" s="2039"/>
      <c r="C4" s="2039"/>
      <c r="D4" s="2039"/>
      <c r="E4" s="2039"/>
      <c r="F4" s="2039"/>
      <c r="G4" s="2039"/>
      <c r="H4" s="2039"/>
      <c r="I4" s="2039"/>
      <c r="J4" s="2039"/>
      <c r="K4" s="2039"/>
      <c r="L4" s="2039"/>
      <c r="M4" s="2039"/>
      <c r="N4" s="2039"/>
      <c r="O4" s="2039"/>
    </row>
    <row r="5" spans="1:15" s="2040" customFormat="1" ht="15.5">
      <c r="A5" s="248" t="str">
        <f>'Data Entry - SOF'!B1</f>
        <v xml:space="preserve"> </v>
      </c>
      <c r="B5" s="2039"/>
      <c r="C5" s="2039"/>
      <c r="D5" s="2039"/>
      <c r="E5" s="2039"/>
      <c r="F5" s="2039"/>
      <c r="G5" s="2039"/>
      <c r="H5" s="2039"/>
      <c r="I5" s="2039"/>
      <c r="J5" s="2039"/>
      <c r="K5" s="2039"/>
      <c r="L5" s="2039"/>
      <c r="M5" s="2039"/>
      <c r="N5" s="2039"/>
      <c r="O5" s="2039"/>
    </row>
    <row r="6" spans="1:15" s="2040" customFormat="1" ht="15.5">
      <c r="A6" s="246">
        <f>'Data Entry - SOF'!B2</f>
        <v>0</v>
      </c>
      <c r="B6" s="2039"/>
      <c r="C6" s="2039"/>
      <c r="D6" s="2039"/>
      <c r="E6" s="2039"/>
      <c r="F6" s="2039"/>
      <c r="G6" s="2039"/>
      <c r="H6" s="2039"/>
      <c r="I6" s="2039"/>
      <c r="J6" s="2039"/>
      <c r="K6" s="2039"/>
      <c r="L6" s="2039"/>
      <c r="M6" s="2039"/>
      <c r="N6" s="2039"/>
      <c r="O6" s="2039"/>
    </row>
    <row r="7" spans="1:15" s="2040" customFormat="1" ht="15.5">
      <c r="A7" s="246"/>
      <c r="B7" s="2039"/>
      <c r="C7" s="2039"/>
      <c r="D7" s="1673" t="s">
        <v>1202</v>
      </c>
      <c r="F7" s="2039"/>
      <c r="G7" s="2039"/>
      <c r="H7" s="2039"/>
      <c r="I7" s="2039"/>
      <c r="J7" s="2039"/>
      <c r="K7" s="2039"/>
      <c r="L7" s="2039"/>
      <c r="M7" s="2039"/>
      <c r="N7" s="2039"/>
      <c r="O7" s="2039"/>
    </row>
    <row r="8" spans="1:15" s="2040" customFormat="1" ht="18">
      <c r="A8" s="357" t="s">
        <v>2554</v>
      </c>
      <c r="B8" s="564"/>
      <c r="C8" s="564"/>
      <c r="D8" s="346" t="s">
        <v>2558</v>
      </c>
      <c r="E8" s="1009"/>
      <c r="F8" s="566"/>
      <c r="G8" s="566"/>
      <c r="H8" s="2039"/>
      <c r="I8" s="2039"/>
      <c r="J8" s="2039"/>
      <c r="K8" s="2039"/>
      <c r="L8" s="2039"/>
      <c r="M8" s="2039"/>
      <c r="N8" s="2039"/>
      <c r="O8" s="2039"/>
    </row>
    <row r="9" spans="1:15" s="2040" customFormat="1" ht="18">
      <c r="A9" s="607" t="s">
        <v>2555</v>
      </c>
      <c r="B9" s="620"/>
      <c r="C9" s="620"/>
      <c r="D9" s="347" t="s">
        <v>2559</v>
      </c>
      <c r="E9" s="1010" t="s">
        <v>7427</v>
      </c>
      <c r="F9" s="566"/>
      <c r="G9" s="566"/>
      <c r="H9" s="2039"/>
      <c r="I9" s="2039"/>
      <c r="J9" s="2039"/>
      <c r="K9" s="2039"/>
      <c r="L9" s="2039"/>
      <c r="M9" s="2039"/>
      <c r="N9" s="2039"/>
      <c r="O9" s="2039"/>
    </row>
    <row r="10" spans="1:15" s="2040" customFormat="1" ht="15.5">
      <c r="A10" s="250" t="s">
        <v>2063</v>
      </c>
      <c r="B10" s="251" t="s">
        <v>2556</v>
      </c>
      <c r="C10" s="251"/>
      <c r="D10" s="1045">
        <f>'Data Entry - SOF'!K19</f>
        <v>0</v>
      </c>
      <c r="E10" s="1003">
        <f>D10</f>
        <v>0</v>
      </c>
      <c r="F10" s="998"/>
      <c r="G10" s="998"/>
      <c r="H10" s="2039"/>
      <c r="I10" s="2039"/>
      <c r="J10" s="2039"/>
      <c r="K10" s="2039"/>
      <c r="L10" s="2039"/>
      <c r="M10" s="2039"/>
      <c r="N10" s="2039"/>
      <c r="O10" s="2039"/>
    </row>
    <row r="11" spans="1:15" s="2040" customFormat="1" ht="15.5">
      <c r="A11" s="250" t="s">
        <v>2064</v>
      </c>
      <c r="B11" s="410" t="s">
        <v>2847</v>
      </c>
      <c r="C11" s="251"/>
      <c r="D11" s="1045">
        <f>'Calc Data'!H12</f>
        <v>0</v>
      </c>
      <c r="E11" s="1003">
        <f t="shared" ref="E11:E13" si="0">D11</f>
        <v>0</v>
      </c>
      <c r="F11" s="998"/>
      <c r="G11" s="998"/>
      <c r="H11" s="2039"/>
      <c r="I11" s="2039"/>
      <c r="J11" s="2039"/>
      <c r="K11" s="2039"/>
      <c r="L11" s="2039"/>
      <c r="M11" s="2039"/>
      <c r="N11" s="2039"/>
      <c r="O11" s="2039"/>
    </row>
    <row r="12" spans="1:15" s="2040" customFormat="1" ht="15.5">
      <c r="A12" s="250" t="s">
        <v>2065</v>
      </c>
      <c r="B12" s="398" t="s">
        <v>9221</v>
      </c>
      <c r="C12" s="251"/>
      <c r="D12" s="1045">
        <f>'Calc Data'!H8</f>
        <v>0</v>
      </c>
      <c r="E12" s="1003">
        <f t="shared" si="0"/>
        <v>0</v>
      </c>
      <c r="F12" s="998"/>
      <c r="G12" s="998"/>
      <c r="H12" s="2039"/>
      <c r="I12" s="2039"/>
      <c r="J12" s="2039"/>
      <c r="K12" s="2039"/>
      <c r="L12" s="2039"/>
      <c r="M12" s="2039"/>
      <c r="N12" s="2039"/>
      <c r="O12" s="2039"/>
    </row>
    <row r="13" spans="1:15" s="2040" customFormat="1" ht="15.5">
      <c r="A13" s="250" t="s">
        <v>862</v>
      </c>
      <c r="B13" s="251" t="s">
        <v>778</v>
      </c>
      <c r="C13" s="251"/>
      <c r="D13" s="1045">
        <f>'Data Entry - SOF'!K36+'Data Entry - SOF'!K37+'Data Entry - SOF'!K38</f>
        <v>0</v>
      </c>
      <c r="E13" s="1003">
        <f t="shared" si="0"/>
        <v>0</v>
      </c>
      <c r="F13" s="998"/>
      <c r="G13" s="998"/>
      <c r="H13" s="2039"/>
      <c r="I13" s="2039"/>
      <c r="J13" s="2039"/>
      <c r="K13" s="2039"/>
      <c r="L13" s="2039"/>
      <c r="M13" s="2039"/>
      <c r="N13" s="2039"/>
      <c r="O13" s="2039"/>
    </row>
    <row r="14" spans="1:15" s="2040" customFormat="1" ht="15.5">
      <c r="A14" s="250" t="s">
        <v>863</v>
      </c>
      <c r="B14" s="399" t="s">
        <v>9222</v>
      </c>
      <c r="C14" s="251"/>
      <c r="D14" s="1045" t="e">
        <f>'SOF2526-HB3'!L61</f>
        <v>#DIV/0!</v>
      </c>
      <c r="E14" s="1003" t="e">
        <f>'SOF2526-HB3'!L61</f>
        <v>#DIV/0!</v>
      </c>
      <c r="F14" s="998"/>
      <c r="G14" s="998"/>
      <c r="H14" s="2039"/>
      <c r="I14" s="2039"/>
      <c r="J14" s="2039"/>
      <c r="K14" s="2039"/>
      <c r="L14" s="2039"/>
      <c r="M14" s="2039"/>
      <c r="N14" s="2039"/>
      <c r="O14" s="2039"/>
    </row>
    <row r="15" spans="1:15" s="2040" customFormat="1" ht="18">
      <c r="A15" s="607" t="s">
        <v>2560</v>
      </c>
      <c r="B15" s="2330"/>
      <c r="C15" s="620"/>
      <c r="D15" s="1031"/>
      <c r="E15" s="1008"/>
      <c r="F15" s="611"/>
      <c r="G15" s="611"/>
      <c r="H15" s="2039"/>
      <c r="I15" s="2039"/>
      <c r="J15" s="2039"/>
      <c r="K15" s="2039"/>
      <c r="L15" s="2039"/>
      <c r="M15" s="2039"/>
      <c r="N15" s="2039"/>
      <c r="O15" s="2039"/>
    </row>
    <row r="16" spans="1:15" s="2040" customFormat="1" ht="15.5">
      <c r="A16" s="250" t="s">
        <v>865</v>
      </c>
      <c r="B16" s="251" t="s">
        <v>8489</v>
      </c>
      <c r="C16" s="251"/>
      <c r="D16" s="1046">
        <f>'Data Entry - SOF'!I66</f>
        <v>0</v>
      </c>
      <c r="E16" s="1004">
        <f>D16</f>
        <v>0</v>
      </c>
      <c r="F16" s="369"/>
      <c r="G16" s="369"/>
      <c r="H16" s="2039"/>
      <c r="I16" s="2039"/>
      <c r="J16" s="2039"/>
      <c r="K16" s="2039"/>
      <c r="L16" s="2039"/>
      <c r="M16" s="2039"/>
      <c r="N16" s="2039"/>
      <c r="O16" s="2039"/>
    </row>
    <row r="17" spans="1:15" s="2040" customFormat="1" ht="15.5">
      <c r="A17" s="250" t="s">
        <v>866</v>
      </c>
      <c r="B17" s="251" t="s">
        <v>9176</v>
      </c>
      <c r="C17" s="1685"/>
      <c r="D17" s="1046">
        <f>'Data Entry - SOF'!K66</f>
        <v>0</v>
      </c>
      <c r="E17" s="1688"/>
      <c r="F17" s="369"/>
      <c r="G17" s="369"/>
      <c r="H17" s="2039"/>
      <c r="I17" s="2039"/>
      <c r="J17" s="2039"/>
      <c r="K17" s="2039"/>
      <c r="L17" s="2039"/>
      <c r="M17" s="2039"/>
      <c r="N17" s="2039"/>
      <c r="O17" s="2039"/>
    </row>
    <row r="18" spans="1:15" s="2040" customFormat="1" ht="18">
      <c r="A18" s="607" t="s">
        <v>2561</v>
      </c>
      <c r="B18" s="620"/>
      <c r="C18" s="620"/>
      <c r="D18" s="1031"/>
      <c r="E18" s="1008"/>
      <c r="F18" s="611"/>
      <c r="G18" s="611"/>
      <c r="H18" s="2039"/>
      <c r="I18" s="2039"/>
      <c r="J18" s="2039"/>
      <c r="K18" s="2039"/>
      <c r="L18" s="2039"/>
      <c r="M18" s="2039"/>
      <c r="N18" s="2039"/>
      <c r="O18" s="2039"/>
    </row>
    <row r="19" spans="1:15" s="2040" customFormat="1" ht="15.5">
      <c r="A19" s="250" t="s">
        <v>867</v>
      </c>
      <c r="B19" s="251" t="s">
        <v>9177</v>
      </c>
      <c r="C19" s="1678"/>
      <c r="D19" s="1723">
        <f>'Data Entry - SOF'!K74</f>
        <v>0</v>
      </c>
      <c r="E19" s="1690"/>
      <c r="F19" s="999"/>
      <c r="G19" s="999"/>
      <c r="H19" s="2039"/>
      <c r="I19" s="2039"/>
      <c r="J19" s="2039"/>
      <c r="K19" s="2039"/>
      <c r="L19" s="2039"/>
      <c r="M19" s="2039"/>
      <c r="N19" s="2039"/>
      <c r="O19" s="2039"/>
    </row>
    <row r="20" spans="1:15" s="2040" customFormat="1" ht="15.5">
      <c r="A20" s="250" t="s">
        <v>109</v>
      </c>
      <c r="B20" s="251" t="s">
        <v>9178</v>
      </c>
      <c r="C20" s="1678"/>
      <c r="D20" s="1722" t="e">
        <f>'Data Entry - SOF'!K124</f>
        <v>#DIV/0!</v>
      </c>
      <c r="E20" s="1690"/>
      <c r="F20" s="999"/>
      <c r="G20" s="999"/>
      <c r="H20" s="2039"/>
      <c r="I20" s="2039"/>
      <c r="J20" s="2039"/>
      <c r="K20" s="2039"/>
      <c r="L20" s="2039"/>
      <c r="M20" s="2039"/>
      <c r="N20" s="2039"/>
      <c r="O20" s="2039"/>
    </row>
    <row r="21" spans="1:15" s="2040" customFormat="1" ht="15.5">
      <c r="A21" s="250" t="s">
        <v>110</v>
      </c>
      <c r="B21" s="251" t="s">
        <v>9179</v>
      </c>
      <c r="C21" s="1678"/>
      <c r="D21" s="1722" t="e">
        <f>'HB3-RollbackRates'!S5</f>
        <v>#DIV/0!</v>
      </c>
      <c r="E21" s="1690"/>
      <c r="F21" s="999"/>
      <c r="G21" s="999"/>
      <c r="H21" s="2039"/>
      <c r="I21" s="2039"/>
      <c r="J21" s="2039"/>
      <c r="K21" s="2039"/>
      <c r="L21" s="2039"/>
      <c r="M21" s="2039"/>
      <c r="N21" s="2039"/>
      <c r="O21" s="2039"/>
    </row>
    <row r="22" spans="1:15" s="2040" customFormat="1" ht="15.5">
      <c r="A22" s="250" t="s">
        <v>111</v>
      </c>
      <c r="B22" s="2331" t="s">
        <v>9224</v>
      </c>
      <c r="C22" s="251"/>
      <c r="D22" s="985">
        <f>'Data Entry - SOF'!K75</f>
        <v>0</v>
      </c>
      <c r="E22" s="1005" t="e">
        <f>'Data Entry - SOF'!#REF!</f>
        <v>#REF!</v>
      </c>
      <c r="F22" s="409"/>
      <c r="G22" s="409"/>
      <c r="H22" s="2039"/>
      <c r="I22" s="2039"/>
      <c r="J22" s="2039"/>
      <c r="K22" s="2039"/>
      <c r="L22" s="2039"/>
      <c r="M22" s="2039"/>
      <c r="N22" s="2039"/>
      <c r="O22" s="2039"/>
    </row>
    <row r="23" spans="1:15" s="2040" customFormat="1" ht="15.5">
      <c r="A23" s="250" t="s">
        <v>112</v>
      </c>
      <c r="B23" s="251" t="s">
        <v>9180</v>
      </c>
      <c r="C23" s="1685"/>
      <c r="D23" s="1722">
        <f>'Data Entry - SOF'!K79</f>
        <v>0</v>
      </c>
      <c r="E23" s="1686"/>
      <c r="F23" s="409"/>
      <c r="G23" s="409"/>
      <c r="H23" s="2039"/>
      <c r="I23" s="2039"/>
      <c r="J23" s="2039"/>
      <c r="K23" s="2039"/>
      <c r="L23" s="2039"/>
      <c r="M23" s="2039"/>
      <c r="N23" s="2039"/>
      <c r="O23" s="2039"/>
    </row>
    <row r="24" spans="1:15" s="2040" customFormat="1" ht="15.5">
      <c r="A24" s="250" t="s">
        <v>1424</v>
      </c>
      <c r="B24" s="251" t="s">
        <v>9181</v>
      </c>
      <c r="C24" s="251"/>
      <c r="D24" s="985">
        <f>'Data Entry - SOF'!K80</f>
        <v>0</v>
      </c>
      <c r="E24" s="1005">
        <f>D24</f>
        <v>0</v>
      </c>
      <c r="F24" s="409"/>
      <c r="G24" s="409"/>
      <c r="H24" s="2039"/>
      <c r="I24" s="2039"/>
      <c r="J24" s="2039"/>
      <c r="K24" s="2039"/>
      <c r="L24" s="2039"/>
      <c r="M24" s="2039"/>
      <c r="N24" s="2039"/>
      <c r="O24" s="2039"/>
    </row>
    <row r="25" spans="1:15" s="2040" customFormat="1" ht="15.5">
      <c r="A25" s="250" t="s">
        <v>6</v>
      </c>
      <c r="B25" s="251" t="s">
        <v>9182</v>
      </c>
      <c r="C25" s="251"/>
      <c r="D25" s="985">
        <f>D22+D24</f>
        <v>0</v>
      </c>
      <c r="E25" s="1005"/>
      <c r="F25" s="409"/>
      <c r="G25" s="409"/>
      <c r="H25" s="2039"/>
      <c r="I25" s="2039"/>
      <c r="J25" s="2039"/>
      <c r="K25" s="2039"/>
      <c r="L25" s="2039"/>
      <c r="M25" s="2039"/>
      <c r="N25" s="2039"/>
      <c r="O25" s="2039"/>
    </row>
    <row r="26" spans="1:15" s="2040" customFormat="1" ht="15.5">
      <c r="A26" s="250" t="s">
        <v>2109</v>
      </c>
      <c r="B26" s="251" t="s">
        <v>9183</v>
      </c>
      <c r="C26" s="251"/>
      <c r="D26" s="2409" t="s">
        <v>1678</v>
      </c>
      <c r="E26" s="1005"/>
      <c r="F26" s="409"/>
      <c r="G26" s="409"/>
      <c r="H26" s="2039"/>
      <c r="I26" s="2039"/>
      <c r="J26" s="2039"/>
      <c r="K26" s="2039"/>
      <c r="L26" s="2039"/>
      <c r="M26" s="2039"/>
      <c r="N26" s="2039"/>
      <c r="O26" s="2039"/>
    </row>
    <row r="27" spans="1:15" s="2040" customFormat="1" ht="18">
      <c r="A27" s="607" t="s">
        <v>2568</v>
      </c>
      <c r="B27" s="620"/>
      <c r="C27" s="620"/>
      <c r="D27" s="1031"/>
      <c r="E27" s="1008"/>
      <c r="F27" s="611"/>
      <c r="G27" s="611"/>
      <c r="H27" s="2039"/>
      <c r="I27" s="2039"/>
      <c r="J27" s="2039"/>
      <c r="K27" s="2039"/>
      <c r="L27" s="2039"/>
      <c r="M27" s="2039"/>
      <c r="N27" s="2039"/>
      <c r="O27" s="2039"/>
    </row>
    <row r="28" spans="1:15" s="2040" customFormat="1" ht="15.5">
      <c r="A28" s="250" t="s">
        <v>2110</v>
      </c>
      <c r="B28" s="411" t="s">
        <v>8118</v>
      </c>
      <c r="C28" s="268"/>
      <c r="D28" s="437" t="e">
        <f>Assumptions!H172</f>
        <v>#DIV/0!</v>
      </c>
      <c r="E28" s="1005"/>
      <c r="F28" s="409"/>
      <c r="G28" s="409"/>
      <c r="H28" s="2039"/>
      <c r="I28" s="2039"/>
      <c r="J28" s="2039"/>
      <c r="K28" s="2039"/>
      <c r="L28" s="2039"/>
      <c r="M28" s="2039"/>
      <c r="N28" s="2039"/>
      <c r="O28" s="2039"/>
    </row>
    <row r="29" spans="1:15" s="2040" customFormat="1" ht="15.5">
      <c r="A29" s="250" t="s">
        <v>2562</v>
      </c>
      <c r="B29" s="1693" t="s">
        <v>8119</v>
      </c>
      <c r="C29" s="1692"/>
      <c r="D29" s="1724">
        <f>'Data Entry - SOF'!I19</f>
        <v>0</v>
      </c>
      <c r="E29" s="1686"/>
      <c r="F29" s="409"/>
      <c r="G29" s="409"/>
      <c r="H29" s="2039"/>
      <c r="I29" s="2039"/>
      <c r="J29" s="2039"/>
      <c r="K29" s="2039"/>
      <c r="L29" s="2039"/>
      <c r="M29" s="2039"/>
      <c r="N29" s="2039"/>
      <c r="O29" s="2039"/>
    </row>
    <row r="30" spans="1:15" s="2040" customFormat="1" ht="15.5">
      <c r="A30" s="250" t="s">
        <v>2563</v>
      </c>
      <c r="B30" s="251" t="s">
        <v>2574</v>
      </c>
      <c r="C30" s="251"/>
      <c r="D30" s="1047">
        <f>Assumptions!H177</f>
        <v>400</v>
      </c>
      <c r="E30" s="1006">
        <f>D30</f>
        <v>400</v>
      </c>
      <c r="F30" s="1000"/>
      <c r="G30" s="1000"/>
      <c r="H30" s="2039"/>
      <c r="I30" s="2039"/>
      <c r="J30" s="2039"/>
      <c r="K30" s="2039"/>
      <c r="L30" s="2039"/>
      <c r="M30" s="2039"/>
      <c r="N30" s="2039"/>
      <c r="O30" s="2039"/>
    </row>
    <row r="31" spans="1:15" s="2040" customFormat="1" ht="18">
      <c r="A31" s="621" t="s">
        <v>2594</v>
      </c>
      <c r="B31" s="620"/>
      <c r="C31" s="620"/>
      <c r="D31" s="1031"/>
      <c r="E31" s="1008"/>
      <c r="F31" s="611"/>
      <c r="G31" s="611"/>
      <c r="H31" s="2039"/>
      <c r="I31" s="2039"/>
      <c r="J31" s="2039"/>
      <c r="K31" s="2039"/>
      <c r="L31" s="2039"/>
      <c r="M31" s="2039"/>
      <c r="N31" s="2039"/>
      <c r="O31" s="2039"/>
    </row>
    <row r="32" spans="1:15" s="2040" customFormat="1" ht="18">
      <c r="A32" s="621" t="s">
        <v>8120</v>
      </c>
      <c r="B32" s="621"/>
      <c r="C32" s="620"/>
      <c r="D32" s="1031"/>
      <c r="E32" s="1008"/>
      <c r="F32" s="611"/>
      <c r="G32" s="611"/>
      <c r="H32" s="2039"/>
      <c r="I32" s="2039"/>
      <c r="J32" s="2039"/>
      <c r="K32" s="2039"/>
      <c r="L32" s="2039"/>
      <c r="M32" s="2039"/>
      <c r="N32" s="2039"/>
      <c r="O32" s="2039"/>
    </row>
    <row r="33" spans="1:15" s="2040" customFormat="1" ht="15.5">
      <c r="A33" s="250" t="s">
        <v>2564</v>
      </c>
      <c r="B33" s="251" t="s">
        <v>8121</v>
      </c>
      <c r="C33" s="251"/>
      <c r="D33" s="985" t="e">
        <f>'SOF2526-HB3'!I20</f>
        <v>#DIV/0!</v>
      </c>
      <c r="E33" s="1005" t="e">
        <f>'SOF2526-HB3'!I20</f>
        <v>#DIV/0!</v>
      </c>
      <c r="F33" s="409"/>
      <c r="G33" s="409"/>
      <c r="H33" s="2039"/>
      <c r="I33" s="2039"/>
      <c r="J33" s="2039"/>
      <c r="K33" s="2039"/>
      <c r="L33" s="2039"/>
      <c r="M33" s="2039"/>
      <c r="N33" s="2039"/>
      <c r="O33" s="2039"/>
    </row>
    <row r="34" spans="1:15" s="2040" customFormat="1" ht="15.5">
      <c r="A34" s="250" t="s">
        <v>2565</v>
      </c>
      <c r="B34" s="1685" t="s">
        <v>8122</v>
      </c>
      <c r="C34" s="1685"/>
      <c r="D34" s="1691">
        <f>'SOF2526-HB3'!I21</f>
        <v>0</v>
      </c>
      <c r="E34" s="1686"/>
      <c r="F34" s="409"/>
      <c r="G34" s="409"/>
      <c r="H34" s="2039"/>
      <c r="I34" s="2039"/>
      <c r="J34" s="2039"/>
      <c r="K34" s="2039"/>
      <c r="L34" s="2039"/>
      <c r="M34" s="2039"/>
      <c r="N34" s="2039"/>
      <c r="O34" s="2039"/>
    </row>
    <row r="35" spans="1:15" s="2040" customFormat="1" ht="15.5">
      <c r="A35" s="250" t="s">
        <v>2566</v>
      </c>
      <c r="B35" s="251" t="s">
        <v>8123</v>
      </c>
      <c r="C35" s="251"/>
      <c r="D35" s="985" t="e">
        <f>SUM('SOF2526-HB3'!I22:I28)</f>
        <v>#DIV/0!</v>
      </c>
      <c r="E35" s="1005">
        <f>'SOF2526-HB3'!I166</f>
        <v>0</v>
      </c>
      <c r="F35" s="409"/>
      <c r="G35" s="409"/>
      <c r="H35" s="2039"/>
      <c r="I35" s="2039"/>
      <c r="J35" s="2039"/>
      <c r="K35" s="2039"/>
      <c r="L35" s="2039"/>
      <c r="M35" s="2039"/>
      <c r="N35" s="2039"/>
      <c r="O35" s="2039"/>
    </row>
    <row r="36" spans="1:15" s="2040" customFormat="1" ht="15.5">
      <c r="A36" s="250" t="s">
        <v>2567</v>
      </c>
      <c r="B36" s="1685" t="s">
        <v>8269</v>
      </c>
      <c r="C36" s="1685"/>
      <c r="D36" s="1691" t="e">
        <f>'SOF2526-HB3'!I46</f>
        <v>#DIV/0!</v>
      </c>
      <c r="E36" s="1686"/>
      <c r="F36" s="409"/>
      <c r="G36" s="409"/>
      <c r="H36" s="2039"/>
      <c r="I36" s="2039"/>
      <c r="J36" s="2039"/>
      <c r="K36" s="2039"/>
      <c r="L36" s="2039"/>
      <c r="M36" s="2039"/>
      <c r="N36" s="2039"/>
      <c r="O36" s="2039"/>
    </row>
    <row r="37" spans="1:15" s="2040" customFormat="1" ht="15.5">
      <c r="A37" s="250" t="s">
        <v>2569</v>
      </c>
      <c r="B37" s="251" t="s">
        <v>8124</v>
      </c>
      <c r="C37" s="251"/>
      <c r="D37" s="985" t="e">
        <f>SUM('SOF2526-HB3'!I36:I42)</f>
        <v>#DIV/0!</v>
      </c>
      <c r="E37" s="1005" t="e">
        <f>'SOF2526-HB3'!I169</f>
        <v>#REF!</v>
      </c>
      <c r="F37" s="409"/>
      <c r="G37" s="409"/>
      <c r="H37" s="2039"/>
      <c r="I37" s="2039"/>
      <c r="J37" s="2039"/>
      <c r="K37" s="2039"/>
      <c r="L37" s="2039"/>
      <c r="M37" s="2039"/>
      <c r="N37" s="2039"/>
      <c r="O37" s="2039"/>
    </row>
    <row r="38" spans="1:15" s="2040" customFormat="1" ht="15.5">
      <c r="A38" s="250" t="s">
        <v>2570</v>
      </c>
      <c r="B38" s="251" t="s">
        <v>8125</v>
      </c>
      <c r="C38" s="251"/>
      <c r="D38" s="985" t="e">
        <f>SUM('SOF2526-HB3'!I43:I45)</f>
        <v>#DIV/0!</v>
      </c>
      <c r="E38" s="1005">
        <f>'SOF2526-HB3'!I172</f>
        <v>0</v>
      </c>
      <c r="F38" s="409"/>
      <c r="G38" s="409"/>
      <c r="H38" s="2039"/>
      <c r="I38" s="2039"/>
      <c r="J38" s="2039"/>
      <c r="K38" s="2039"/>
      <c r="L38" s="2039"/>
      <c r="M38" s="2039"/>
      <c r="N38" s="2039"/>
      <c r="O38" s="2039"/>
    </row>
    <row r="39" spans="1:15" s="2040" customFormat="1" ht="15.5">
      <c r="A39" s="250" t="s">
        <v>2571</v>
      </c>
      <c r="B39" s="251" t="s">
        <v>8126</v>
      </c>
      <c r="C39" s="251"/>
      <c r="D39" s="985" t="e">
        <f>SUM('SOF2526-HB3'!I29:I32)</f>
        <v>#DIV/0!</v>
      </c>
      <c r="E39" s="1005">
        <f>'SOF2526-HB3'!I167</f>
        <v>0</v>
      </c>
      <c r="F39" s="409"/>
      <c r="G39" s="409"/>
      <c r="H39" s="2039"/>
      <c r="I39" s="2039"/>
      <c r="J39" s="2039"/>
      <c r="K39" s="2039"/>
      <c r="L39" s="2039"/>
      <c r="M39" s="2039"/>
      <c r="N39" s="2039"/>
      <c r="O39" s="2039"/>
    </row>
    <row r="40" spans="1:15" s="2040" customFormat="1" ht="15.5">
      <c r="A40" s="250" t="s">
        <v>2572</v>
      </c>
      <c r="B40" s="251" t="s">
        <v>8127</v>
      </c>
      <c r="C40" s="251"/>
      <c r="D40" s="985" t="e">
        <f>'SOF2526-HB3'!I50</f>
        <v>#DIV/0!</v>
      </c>
      <c r="E40" s="1005">
        <f>'SOF2526-HB3'!I48</f>
        <v>0</v>
      </c>
      <c r="F40" s="409"/>
      <c r="G40" s="409"/>
      <c r="H40" s="2039"/>
      <c r="I40" s="2039"/>
      <c r="J40" s="2039"/>
      <c r="K40" s="2039"/>
      <c r="L40" s="2039"/>
      <c r="M40" s="2039"/>
      <c r="N40" s="2039"/>
      <c r="O40" s="2039"/>
    </row>
    <row r="41" spans="1:15" s="2040" customFormat="1" ht="15.5">
      <c r="A41" s="250" t="s">
        <v>2573</v>
      </c>
      <c r="B41" s="1685" t="s">
        <v>8270</v>
      </c>
      <c r="C41" s="1685"/>
      <c r="D41" s="1691" t="e">
        <f>'SOF2526-HB3'!I47</f>
        <v>#DIV/0!</v>
      </c>
      <c r="E41" s="1686"/>
      <c r="F41" s="409"/>
      <c r="G41" s="409"/>
      <c r="H41" s="2039"/>
      <c r="I41" s="2039"/>
      <c r="J41" s="2039"/>
      <c r="K41" s="2039"/>
      <c r="L41" s="2039"/>
      <c r="M41" s="2039"/>
      <c r="N41" s="2039"/>
      <c r="O41" s="2039"/>
    </row>
    <row r="42" spans="1:15" s="2040" customFormat="1" ht="15.5">
      <c r="A42" s="250" t="s">
        <v>2575</v>
      </c>
      <c r="B42" s="2186" t="s">
        <v>9064</v>
      </c>
      <c r="C42" s="2186"/>
      <c r="D42" s="2187" t="e">
        <f>'SOF2526-HB3'!I33+'SOF2526-HB3'!I34</f>
        <v>#DIV/0!</v>
      </c>
      <c r="E42" s="2188"/>
      <c r="F42" s="409"/>
      <c r="G42" s="409"/>
      <c r="H42" s="2039"/>
      <c r="I42" s="2039"/>
      <c r="J42" s="2039"/>
      <c r="K42" s="2039"/>
      <c r="L42" s="2039"/>
      <c r="M42" s="2039"/>
      <c r="N42" s="2039"/>
      <c r="O42" s="2039"/>
    </row>
    <row r="43" spans="1:15" s="2040" customFormat="1" ht="15.5">
      <c r="A43" s="250" t="s">
        <v>2576</v>
      </c>
      <c r="B43" s="1694" t="s">
        <v>8271</v>
      </c>
      <c r="C43" s="1685"/>
      <c r="D43" s="1148">
        <f>'SOF2526-HB3'!I48</f>
        <v>0</v>
      </c>
      <c r="E43" s="1686"/>
      <c r="F43" s="409"/>
      <c r="G43" s="409"/>
      <c r="H43" s="2039"/>
      <c r="I43" s="2039"/>
      <c r="J43" s="2039"/>
      <c r="K43" s="2039"/>
      <c r="L43" s="2039"/>
      <c r="M43" s="2039"/>
      <c r="N43" s="2039"/>
      <c r="O43" s="2039"/>
    </row>
    <row r="44" spans="1:15" s="2040" customFormat="1" ht="15.5">
      <c r="A44" s="250" t="s">
        <v>2577</v>
      </c>
      <c r="B44" s="1695" t="s">
        <v>8128</v>
      </c>
      <c r="C44" s="1147"/>
      <c r="D44" s="1148" t="e">
        <f>'SOF2526-HB3'!I51</f>
        <v>#DIV/0!</v>
      </c>
      <c r="E44" s="1149"/>
      <c r="F44" s="409"/>
      <c r="G44" s="409"/>
      <c r="H44" s="2039"/>
      <c r="I44" s="2039"/>
      <c r="J44" s="2039"/>
      <c r="K44" s="2039"/>
      <c r="L44" s="2039"/>
      <c r="M44" s="2039"/>
      <c r="N44" s="2039"/>
      <c r="O44" s="2039"/>
    </row>
    <row r="45" spans="1:15" s="2040" customFormat="1" ht="15.5">
      <c r="A45" s="250" t="s">
        <v>2578</v>
      </c>
      <c r="B45" s="1695" t="s">
        <v>8129</v>
      </c>
      <c r="C45" s="1147"/>
      <c r="D45" s="1148">
        <f>'SOF2526-HB3'!I52</f>
        <v>0</v>
      </c>
      <c r="E45" s="1149"/>
      <c r="F45" s="409"/>
      <c r="G45" s="409"/>
      <c r="H45" s="2039"/>
      <c r="I45" s="2039"/>
      <c r="J45" s="2039"/>
      <c r="K45" s="2039"/>
      <c r="L45" s="2039"/>
      <c r="M45" s="2039"/>
      <c r="N45" s="2039"/>
      <c r="O45" s="2039"/>
    </row>
    <row r="46" spans="1:15" s="2040" customFormat="1" ht="15.5">
      <c r="A46" s="250" t="s">
        <v>2579</v>
      </c>
      <c r="B46" s="1696" t="s">
        <v>8130</v>
      </c>
      <c r="C46" s="1147"/>
      <c r="D46" s="1148">
        <f>'SOF2526-HB3'!I53</f>
        <v>0</v>
      </c>
      <c r="E46" s="1149"/>
      <c r="F46" s="409"/>
      <c r="G46" s="409"/>
      <c r="H46" s="2039"/>
      <c r="I46" s="2039"/>
      <c r="J46" s="2039"/>
      <c r="K46" s="2039"/>
      <c r="L46" s="2039"/>
      <c r="M46" s="2039"/>
      <c r="N46" s="2039"/>
      <c r="O46" s="2039"/>
    </row>
    <row r="47" spans="1:15" s="2040" customFormat="1" ht="15.5">
      <c r="A47" s="250" t="s">
        <v>2580</v>
      </c>
      <c r="B47" s="1695" t="s">
        <v>8131</v>
      </c>
      <c r="C47" s="1147"/>
      <c r="D47" s="1148">
        <f>'SOF2526-HB3'!I54</f>
        <v>0</v>
      </c>
      <c r="E47" s="1149"/>
      <c r="F47" s="409"/>
      <c r="G47" s="409"/>
      <c r="H47" s="2039"/>
      <c r="I47" s="2039"/>
      <c r="J47" s="2039"/>
      <c r="K47" s="2039"/>
      <c r="L47" s="2039"/>
      <c r="M47" s="2039"/>
      <c r="N47" s="2039"/>
      <c r="O47" s="2039"/>
    </row>
    <row r="48" spans="1:15" s="2040" customFormat="1" ht="18">
      <c r="A48" s="621" t="s">
        <v>8132</v>
      </c>
      <c r="B48" s="621"/>
      <c r="C48" s="620"/>
      <c r="D48" s="1031"/>
      <c r="E48" s="1008"/>
      <c r="F48" s="611"/>
      <c r="G48" s="611"/>
      <c r="H48" s="2039"/>
      <c r="I48" s="2039"/>
      <c r="J48" s="2039"/>
      <c r="K48" s="2039"/>
      <c r="L48" s="2039"/>
      <c r="M48" s="2039"/>
      <c r="N48" s="2039"/>
      <c r="O48" s="2039"/>
    </row>
    <row r="49" spans="1:15" s="2040" customFormat="1" ht="15.5">
      <c r="A49" s="250" t="s">
        <v>2581</v>
      </c>
      <c r="B49" s="251" t="s">
        <v>8133</v>
      </c>
      <c r="C49" s="251"/>
      <c r="D49" s="985">
        <f>'SOF2526-HB3'!I57</f>
        <v>0</v>
      </c>
      <c r="E49" s="1005" t="e">
        <f>'SOF2526-HB3'!#REF!</f>
        <v>#REF!</v>
      </c>
      <c r="F49" s="409"/>
      <c r="G49" s="409"/>
      <c r="H49" s="2039"/>
      <c r="I49" s="2039"/>
      <c r="J49" s="2039"/>
      <c r="K49" s="2039"/>
      <c r="L49" s="2039"/>
      <c r="M49" s="2039"/>
      <c r="N49" s="2039"/>
      <c r="O49" s="2039"/>
    </row>
    <row r="50" spans="1:15" s="2040" customFormat="1" ht="15.5">
      <c r="A50" s="250" t="s">
        <v>2582</v>
      </c>
      <c r="B50" s="251" t="s">
        <v>8134</v>
      </c>
      <c r="C50" s="251"/>
      <c r="D50" s="985">
        <f>'SOF2526-HB3'!I56</f>
        <v>0</v>
      </c>
      <c r="E50" s="1005">
        <f>'SOF2526-HB3'!I54</f>
        <v>0</v>
      </c>
      <c r="F50" s="409"/>
      <c r="G50" s="409"/>
      <c r="H50" s="2039"/>
      <c r="I50" s="2039"/>
      <c r="J50" s="2039"/>
      <c r="K50" s="2039"/>
      <c r="L50" s="2039"/>
      <c r="M50" s="2039"/>
      <c r="N50" s="2039"/>
      <c r="O50" s="2039"/>
    </row>
    <row r="51" spans="1:15" s="2040" customFormat="1" ht="15.5">
      <c r="A51" s="250" t="s">
        <v>2583</v>
      </c>
      <c r="B51" s="1685" t="s">
        <v>8135</v>
      </c>
      <c r="C51" s="1685"/>
      <c r="D51" s="1691">
        <f>'SOF2526-HB3'!I60</f>
        <v>0</v>
      </c>
      <c r="E51" s="1686"/>
      <c r="F51" s="409"/>
      <c r="G51" s="409"/>
      <c r="H51" s="2039"/>
      <c r="I51" s="2039"/>
      <c r="J51" s="2039"/>
      <c r="K51" s="2039"/>
      <c r="L51" s="2039"/>
      <c r="M51" s="2039"/>
      <c r="N51" s="2039"/>
      <c r="O51" s="2039"/>
    </row>
    <row r="52" spans="1:15" ht="15.5">
      <c r="A52" s="250" t="s">
        <v>2584</v>
      </c>
      <c r="B52" s="1685" t="s">
        <v>8136</v>
      </c>
      <c r="C52" s="1685"/>
      <c r="D52" s="1691">
        <f>'SOF2526-HB3'!I55</f>
        <v>0</v>
      </c>
    </row>
    <row r="53" spans="1:15" ht="15.5">
      <c r="A53" s="250" t="s">
        <v>2585</v>
      </c>
      <c r="B53" s="1685" t="s">
        <v>8234</v>
      </c>
      <c r="C53" s="1685"/>
      <c r="D53" s="1691">
        <f>'SOF2526-HB3'!I59</f>
        <v>0</v>
      </c>
    </row>
    <row r="54" spans="1:15" ht="15.5">
      <c r="A54" s="250" t="s">
        <v>2586</v>
      </c>
      <c r="B54" s="1685" t="s">
        <v>8138</v>
      </c>
      <c r="C54" s="1685"/>
      <c r="D54" s="1691">
        <f>'SOF2526-HB3'!I60</f>
        <v>0</v>
      </c>
    </row>
    <row r="55" spans="1:15" s="2040" customFormat="1" ht="15.5">
      <c r="A55" s="250" t="s">
        <v>2587</v>
      </c>
      <c r="B55" s="398" t="s">
        <v>9225</v>
      </c>
      <c r="C55" s="251"/>
      <c r="D55" s="985" t="e">
        <f>'SOF2526-HB3'!I61</f>
        <v>#DIV/0!</v>
      </c>
      <c r="E55" s="1005" t="e">
        <f>'SOF2526-HB3'!I61</f>
        <v>#DIV/0!</v>
      </c>
      <c r="F55" s="409"/>
      <c r="G55" s="409"/>
      <c r="H55" s="2039"/>
      <c r="I55" s="2039"/>
      <c r="J55" s="2039"/>
      <c r="K55" s="2039"/>
      <c r="L55" s="2039"/>
      <c r="M55" s="2039"/>
      <c r="N55" s="2039"/>
      <c r="O55" s="2039"/>
    </row>
    <row r="56" spans="1:15" s="2040" customFormat="1" ht="15.5">
      <c r="A56" s="250" t="s">
        <v>2588</v>
      </c>
      <c r="B56" s="251" t="s">
        <v>2595</v>
      </c>
      <c r="C56" s="251"/>
      <c r="D56" s="985" t="e">
        <f>'SOF2526-HB3'!I62</f>
        <v>#DIV/0!</v>
      </c>
      <c r="E56" s="1005" t="e">
        <f>'SOF2526-HB3'!I62</f>
        <v>#DIV/0!</v>
      </c>
      <c r="F56" s="409"/>
      <c r="G56" s="409"/>
      <c r="H56" s="2039"/>
      <c r="I56" s="2039"/>
      <c r="J56" s="2039"/>
      <c r="K56" s="2039"/>
      <c r="L56" s="2039"/>
      <c r="M56" s="2039"/>
      <c r="N56" s="2039"/>
      <c r="O56" s="2039"/>
    </row>
    <row r="57" spans="1:15" s="2040" customFormat="1" ht="15.5">
      <c r="A57" s="250" t="s">
        <v>2589</v>
      </c>
      <c r="B57" s="251" t="s">
        <v>2596</v>
      </c>
      <c r="C57" s="251"/>
      <c r="D57" s="985">
        <f>'SOF2526-HB3'!I99</f>
        <v>0</v>
      </c>
      <c r="E57" s="1005">
        <f>'SOF2526-HB3'!I109</f>
        <v>0</v>
      </c>
      <c r="F57" s="409"/>
      <c r="G57" s="409"/>
      <c r="H57" s="2039"/>
      <c r="I57" s="2039"/>
      <c r="J57" s="2039"/>
      <c r="K57" s="2039"/>
      <c r="L57" s="2039"/>
      <c r="M57" s="2039"/>
      <c r="N57" s="2039"/>
      <c r="O57" s="2039"/>
    </row>
    <row r="58" spans="1:15" s="2040" customFormat="1" ht="18">
      <c r="A58" s="622" t="s">
        <v>8139</v>
      </c>
      <c r="B58" s="623"/>
      <c r="C58" s="623"/>
      <c r="D58" s="1048"/>
      <c r="E58" s="1011"/>
      <c r="F58" s="611"/>
      <c r="G58" s="611"/>
      <c r="H58" s="2039"/>
      <c r="I58" s="2039"/>
      <c r="J58" s="2039"/>
      <c r="K58" s="2039"/>
      <c r="L58" s="2039"/>
      <c r="M58" s="2039"/>
      <c r="N58" s="2039"/>
      <c r="O58" s="2039"/>
    </row>
    <row r="59" spans="1:15" s="2040" customFormat="1" ht="15.5">
      <c r="A59" s="250" t="s">
        <v>2590</v>
      </c>
      <c r="B59" s="251" t="s">
        <v>9245</v>
      </c>
      <c r="C59" s="251"/>
      <c r="D59" s="985" t="e">
        <f>IF(OR(D55-D56-D57&lt;=0,'Data Entry - SOF'!K74&lt;'Data Entry - SOF'!K72),0,D55-D56-D57)</f>
        <v>#DIV/0!</v>
      </c>
      <c r="E59" s="1005" t="e">
        <f>'SOF2526-HB3'!I63</f>
        <v>#DIV/0!</v>
      </c>
      <c r="F59" s="409"/>
      <c r="G59" s="409"/>
      <c r="H59" s="358" t="s">
        <v>11158</v>
      </c>
      <c r="I59" s="2039"/>
      <c r="J59" s="2039"/>
      <c r="K59" s="2039"/>
      <c r="L59" s="2039"/>
      <c r="M59" s="2039"/>
      <c r="N59" s="2039"/>
      <c r="O59" s="2039"/>
    </row>
    <row r="60" spans="1:15" s="2040" customFormat="1" ht="15.5">
      <c r="A60" s="250" t="s">
        <v>2591</v>
      </c>
      <c r="B60" s="2332" t="s">
        <v>9226</v>
      </c>
      <c r="C60" s="251"/>
      <c r="D60" s="985" t="e">
        <f>'SOF2526-HB3'!I78</f>
        <v>#DIV/0!</v>
      </c>
      <c r="E60" s="1005" t="e">
        <f>'SOF2526-HB3'!I82</f>
        <v>#DIV/0!</v>
      </c>
      <c r="F60" s="409"/>
      <c r="G60" s="409"/>
      <c r="H60" s="2039"/>
      <c r="I60" s="2039"/>
      <c r="J60" s="2039"/>
      <c r="K60" s="2039"/>
      <c r="L60" s="2039"/>
      <c r="M60" s="2039"/>
      <c r="N60" s="2039"/>
      <c r="O60" s="2039"/>
    </row>
    <row r="61" spans="1:15" s="2040" customFormat="1" ht="15.5">
      <c r="A61" s="250" t="s">
        <v>2592</v>
      </c>
      <c r="B61" s="398" t="s">
        <v>9227</v>
      </c>
      <c r="C61" s="251"/>
      <c r="D61" s="985" t="e">
        <f>'OtherDetail2526-HB3'!D30</f>
        <v>#DIV/0!</v>
      </c>
      <c r="E61" s="1005"/>
      <c r="F61" s="409"/>
      <c r="G61" s="409"/>
      <c r="H61" s="358" t="s">
        <v>11469</v>
      </c>
      <c r="I61" s="2039"/>
      <c r="J61" s="2039"/>
      <c r="K61" s="2039"/>
      <c r="L61" s="2039"/>
      <c r="M61" s="2039"/>
      <c r="N61" s="2039"/>
      <c r="O61" s="2039"/>
    </row>
    <row r="62" spans="1:15" s="2040" customFormat="1" ht="15.5">
      <c r="A62" s="250" t="s">
        <v>2593</v>
      </c>
      <c r="B62" s="251" t="s">
        <v>2597</v>
      </c>
      <c r="C62" s="251"/>
      <c r="D62" s="985" t="e">
        <f>D59+D60+IF(D61&lt;0,D61-'Data Entry - SOF'!K116,D61)</f>
        <v>#DIV/0!</v>
      </c>
      <c r="E62" s="1005"/>
      <c r="F62" s="409"/>
      <c r="G62" s="409"/>
      <c r="H62" s="2039"/>
      <c r="I62" s="2039"/>
      <c r="J62" s="2039"/>
      <c r="K62" s="2039"/>
      <c r="L62" s="2039"/>
      <c r="M62" s="2039"/>
      <c r="N62" s="2039"/>
      <c r="O62" s="2039"/>
    </row>
    <row r="63" spans="1:15" s="2040" customFormat="1" ht="18">
      <c r="A63" s="607" t="s">
        <v>8140</v>
      </c>
      <c r="B63" s="620"/>
      <c r="C63" s="620"/>
      <c r="D63" s="1031"/>
      <c r="E63" s="1008"/>
      <c r="F63" s="611"/>
      <c r="G63" s="611"/>
      <c r="H63" s="2039"/>
      <c r="I63" s="2039"/>
      <c r="J63" s="2039"/>
      <c r="K63" s="2039"/>
      <c r="L63" s="2039"/>
      <c r="M63" s="2039"/>
      <c r="N63" s="2039"/>
      <c r="O63" s="2039"/>
    </row>
    <row r="64" spans="1:15" s="2040" customFormat="1" ht="18">
      <c r="A64" s="621" t="s">
        <v>8141</v>
      </c>
      <c r="B64" s="621"/>
      <c r="C64" s="620"/>
      <c r="D64" s="1031"/>
      <c r="E64" s="1008"/>
      <c r="F64" s="611"/>
      <c r="G64" s="611"/>
      <c r="H64" s="2039"/>
      <c r="I64" s="2039"/>
      <c r="J64" s="2039"/>
      <c r="K64" s="2039"/>
      <c r="L64" s="2039"/>
      <c r="M64" s="2039"/>
      <c r="N64" s="2039"/>
      <c r="O64" s="2039"/>
    </row>
    <row r="65" spans="1:15" s="2040" customFormat="1" ht="15.5">
      <c r="A65" s="250" t="s">
        <v>2602</v>
      </c>
      <c r="B65" s="251" t="s">
        <v>2608</v>
      </c>
      <c r="C65" s="251"/>
      <c r="D65" s="985" t="e">
        <f>D62</f>
        <v>#DIV/0!</v>
      </c>
      <c r="E65" s="1005">
        <f>'SOF2526-HB3'!I108</f>
        <v>0</v>
      </c>
      <c r="F65" s="409"/>
      <c r="G65" s="409"/>
      <c r="I65" s="2039"/>
      <c r="J65" s="2039"/>
      <c r="K65" s="2039"/>
      <c r="L65" s="2039"/>
      <c r="M65" s="2039"/>
      <c r="N65" s="2039"/>
      <c r="O65" s="2039"/>
    </row>
    <row r="66" spans="1:15" s="2040" customFormat="1" ht="15.5">
      <c r="A66" s="250" t="s">
        <v>2603</v>
      </c>
      <c r="B66" s="251" t="s">
        <v>2735</v>
      </c>
      <c r="C66" s="251"/>
      <c r="D66" s="985">
        <f>'SOF2526-HB3'!I99</f>
        <v>0</v>
      </c>
      <c r="E66" s="1005">
        <f>'SOF2526-HB3'!I109</f>
        <v>0</v>
      </c>
      <c r="F66" s="409"/>
      <c r="G66" s="409"/>
      <c r="H66" s="2039"/>
      <c r="I66" s="2039"/>
      <c r="J66" s="2039"/>
      <c r="K66" s="2039"/>
      <c r="L66" s="2039"/>
      <c r="M66" s="2039"/>
      <c r="N66" s="2039"/>
      <c r="O66" s="2039"/>
    </row>
    <row r="67" spans="1:15" s="2040" customFormat="1" ht="18">
      <c r="A67" s="621" t="s">
        <v>8142</v>
      </c>
      <c r="B67" s="621"/>
      <c r="C67" s="620"/>
      <c r="D67" s="1031"/>
      <c r="E67" s="1008"/>
      <c r="F67" s="611"/>
      <c r="G67" s="611"/>
      <c r="H67" s="2039"/>
      <c r="I67" s="2039"/>
      <c r="J67" s="2039"/>
      <c r="K67" s="2039"/>
      <c r="L67" s="2039"/>
      <c r="M67" s="2039"/>
      <c r="N67" s="2039"/>
      <c r="O67" s="2039"/>
    </row>
    <row r="68" spans="1:15" s="2040" customFormat="1" ht="15.5">
      <c r="A68" s="250" t="s">
        <v>2604</v>
      </c>
      <c r="B68" s="2332" t="s">
        <v>9228</v>
      </c>
      <c r="C68" s="251"/>
      <c r="D68" s="985">
        <f>'Existing Debt-HB3'!T74</f>
        <v>0</v>
      </c>
      <c r="E68" s="1005">
        <f>D68</f>
        <v>0</v>
      </c>
      <c r="F68" s="409"/>
      <c r="G68" s="409"/>
      <c r="H68" s="2039"/>
      <c r="I68" s="2039"/>
      <c r="J68" s="2039"/>
      <c r="K68" s="2039"/>
      <c r="L68" s="2039"/>
      <c r="M68" s="2039"/>
      <c r="N68" s="2039"/>
      <c r="O68" s="2039"/>
    </row>
    <row r="69" spans="1:15" s="2040" customFormat="1" ht="15.5">
      <c r="A69" s="250" t="s">
        <v>2605</v>
      </c>
      <c r="B69" s="398" t="s">
        <v>9229</v>
      </c>
      <c r="C69" s="251"/>
      <c r="D69" s="985">
        <f>'IFA-HB3'!AD86</f>
        <v>0</v>
      </c>
      <c r="E69" s="1005">
        <f>D69</f>
        <v>0</v>
      </c>
      <c r="F69" s="409"/>
      <c r="G69" s="409"/>
      <c r="H69" s="2039"/>
      <c r="I69" s="2039"/>
      <c r="J69" s="2039"/>
      <c r="K69" s="2039"/>
      <c r="L69" s="2039"/>
      <c r="M69" s="2039"/>
      <c r="N69" s="2039"/>
      <c r="O69" s="2039"/>
    </row>
    <row r="70" spans="1:15" s="2040" customFormat="1" ht="15.5">
      <c r="A70" s="250" t="s">
        <v>2606</v>
      </c>
      <c r="B70" s="2332" t="s">
        <v>9230</v>
      </c>
      <c r="C70" s="251"/>
      <c r="D70" s="985">
        <f>'IFA-HB3'!AG75</f>
        <v>0</v>
      </c>
      <c r="E70" s="1005">
        <f>D70</f>
        <v>0</v>
      </c>
      <c r="F70" s="409"/>
      <c r="G70" s="409"/>
      <c r="H70" s="2039"/>
      <c r="I70" s="2039"/>
      <c r="J70" s="2039"/>
      <c r="K70" s="2039"/>
      <c r="L70" s="2039"/>
      <c r="M70" s="2039"/>
      <c r="N70" s="2039"/>
      <c r="O70" s="2039"/>
    </row>
    <row r="71" spans="1:15" s="2040" customFormat="1" ht="15.5">
      <c r="A71" s="250" t="s">
        <v>2607</v>
      </c>
      <c r="B71" s="410" t="s">
        <v>10363</v>
      </c>
      <c r="C71" s="251"/>
      <c r="D71" s="985" t="e">
        <f>'HH2526-40KCalcs'!C50+'HH2526-40KCalcs'!C74</f>
        <v>#DIV/0!</v>
      </c>
      <c r="E71" s="1005"/>
      <c r="F71" s="409"/>
      <c r="G71" s="409"/>
      <c r="H71" s="2039"/>
      <c r="I71" s="2039"/>
      <c r="J71" s="2039"/>
      <c r="K71" s="2039"/>
      <c r="L71" s="2039"/>
      <c r="M71" s="2039"/>
      <c r="N71" s="2039"/>
      <c r="O71" s="2039"/>
    </row>
    <row r="72" spans="1:15" s="2040" customFormat="1" ht="18">
      <c r="A72" s="1763" t="s">
        <v>2662</v>
      </c>
      <c r="B72" s="567" t="s">
        <v>9184</v>
      </c>
      <c r="C72" s="624"/>
      <c r="D72" s="1049" t="e">
        <f>SUM(D65:D71)</f>
        <v>#DIV/0!</v>
      </c>
      <c r="E72" s="1007">
        <f>'SOF2526-HB3'!I114</f>
        <v>0</v>
      </c>
      <c r="F72" s="1001"/>
      <c r="G72" s="1001"/>
      <c r="H72" s="2039"/>
      <c r="I72" s="2039"/>
      <c r="J72" s="2039"/>
      <c r="K72" s="2039"/>
      <c r="L72" s="2039"/>
      <c r="M72" s="2039"/>
      <c r="N72" s="2039"/>
      <c r="O72" s="2039"/>
    </row>
    <row r="73" spans="1:15" s="2040" customFormat="1" ht="18">
      <c r="A73" s="621" t="s">
        <v>8143</v>
      </c>
      <c r="B73" s="621"/>
      <c r="C73" s="620"/>
      <c r="D73" s="1031"/>
      <c r="E73" s="1008"/>
      <c r="F73" s="611"/>
      <c r="G73" s="611"/>
      <c r="H73" s="2039"/>
      <c r="I73" s="2039"/>
      <c r="J73" s="2039"/>
      <c r="K73" s="2039"/>
      <c r="L73" s="2039"/>
      <c r="M73" s="2039"/>
      <c r="N73" s="2039"/>
      <c r="O73" s="2039"/>
    </row>
    <row r="74" spans="1:15" s="2040" customFormat="1" ht="15.5">
      <c r="A74" s="250" t="s">
        <v>2824</v>
      </c>
      <c r="B74" s="1693" t="s">
        <v>10444</v>
      </c>
      <c r="C74" s="1685"/>
      <c r="D74" s="1691" t="e">
        <f>Recap40K_Detail2526!C33</f>
        <v>#DIV/0!</v>
      </c>
      <c r="H74" s="2039"/>
      <c r="I74" s="2039"/>
      <c r="J74" s="2039"/>
      <c r="K74" s="2039"/>
      <c r="L74" s="2039"/>
      <c r="M74" s="2039"/>
      <c r="N74" s="2039"/>
      <c r="O74" s="2039"/>
    </row>
    <row r="75" spans="1:15" s="2040" customFormat="1" ht="15.5">
      <c r="A75" s="1697"/>
      <c r="B75" s="1689"/>
      <c r="C75" s="1689"/>
      <c r="D75" s="1689"/>
      <c r="H75" s="2039"/>
      <c r="I75" s="2039"/>
      <c r="J75" s="2039"/>
      <c r="K75" s="2039"/>
      <c r="L75" s="2039"/>
      <c r="M75" s="2039"/>
      <c r="N75" s="2039"/>
      <c r="O75" s="2039"/>
    </row>
    <row r="76" spans="1:15" s="2040" customFormat="1" ht="15.5">
      <c r="A76" s="2342"/>
      <c r="B76" s="2345" t="s">
        <v>9231</v>
      </c>
      <c r="C76" s="2344"/>
      <c r="D76" s="2344"/>
      <c r="H76" s="2039"/>
      <c r="I76" s="2039"/>
      <c r="J76" s="2039"/>
      <c r="K76" s="2039"/>
      <c r="L76" s="2039"/>
      <c r="M76" s="2039"/>
      <c r="N76" s="2039"/>
      <c r="O76" s="2039"/>
    </row>
    <row r="77" spans="1:15" s="2040" customFormat="1" ht="15.5">
      <c r="A77" s="1698"/>
      <c r="B77" s="1699"/>
      <c r="H77" s="2039"/>
      <c r="I77" s="2039"/>
      <c r="J77" s="2039"/>
      <c r="K77" s="2039"/>
      <c r="L77" s="2039"/>
      <c r="M77" s="2039"/>
      <c r="N77" s="2039"/>
      <c r="O77" s="2039"/>
    </row>
    <row r="78" spans="1:15" s="2040" customFormat="1" ht="16" thickBot="1">
      <c r="A78" s="1700"/>
      <c r="C78" s="1701"/>
      <c r="D78" s="1701"/>
      <c r="E78" s="2040" t="e">
        <f>(E65+E66)/D10</f>
        <v>#DIV/0!</v>
      </c>
      <c r="H78" s="2039"/>
      <c r="I78" s="2039"/>
      <c r="J78" s="2039"/>
      <c r="K78" s="2039"/>
      <c r="L78" s="2039"/>
      <c r="M78" s="2039"/>
      <c r="N78" s="2039"/>
      <c r="O78" s="2039"/>
    </row>
    <row r="79" spans="1:15" ht="16" thickTop="1">
      <c r="A79" s="1715" t="s">
        <v>2782</v>
      </c>
      <c r="B79" s="1716"/>
      <c r="C79" s="1717"/>
      <c r="D79" s="1718"/>
      <c r="E79" s="2040"/>
      <c r="F79" s="2040"/>
      <c r="G79" s="2040"/>
    </row>
    <row r="80" spans="1:15" ht="15.5">
      <c r="A80" s="1702" t="s">
        <v>2318</v>
      </c>
      <c r="C80" s="1703"/>
      <c r="D80" s="1704"/>
      <c r="E80" s="2039"/>
      <c r="F80" s="2039"/>
      <c r="G80" s="2039"/>
    </row>
    <row r="81" spans="1:7" ht="15.5">
      <c r="A81" s="382" t="s">
        <v>2825</v>
      </c>
      <c r="B81" s="1705" t="s">
        <v>8145</v>
      </c>
      <c r="C81" s="1703"/>
      <c r="D81" s="1725" t="e">
        <f>D65+D66</f>
        <v>#DIV/0!</v>
      </c>
      <c r="E81" s="2039"/>
      <c r="F81" s="2039"/>
      <c r="G81" s="2039"/>
    </row>
    <row r="82" spans="1:7" ht="15.5">
      <c r="A82" s="382" t="s">
        <v>2826</v>
      </c>
      <c r="B82" s="381" t="s">
        <v>7906</v>
      </c>
      <c r="C82" s="249"/>
      <c r="D82" s="281">
        <f>'Data Entry - SOF'!K75</f>
        <v>0</v>
      </c>
      <c r="E82" s="409"/>
      <c r="F82" s="409"/>
      <c r="G82" s="409"/>
    </row>
    <row r="83" spans="1:7" ht="15.5">
      <c r="A83" s="382" t="s">
        <v>2827</v>
      </c>
      <c r="B83" s="381" t="s">
        <v>7907</v>
      </c>
      <c r="C83" s="386"/>
      <c r="D83" s="1725" t="e">
        <f>'SOF2526-HB3'!I74</f>
        <v>#DIV/0!</v>
      </c>
      <c r="E83" s="409"/>
      <c r="F83" s="409"/>
      <c r="G83" s="409"/>
    </row>
    <row r="84" spans="1:7" ht="15.5">
      <c r="A84" s="382" t="s">
        <v>2828</v>
      </c>
      <c r="B84" s="381" t="s">
        <v>7908</v>
      </c>
      <c r="C84" s="249"/>
      <c r="D84" s="281" t="e">
        <f>'SOF2526-HB3'!I82</f>
        <v>#DIV/0!</v>
      </c>
      <c r="E84" s="409"/>
      <c r="F84" s="409"/>
      <c r="G84" s="409"/>
    </row>
    <row r="85" spans="1:7" ht="15.5">
      <c r="A85" s="382" t="s">
        <v>2829</v>
      </c>
      <c r="B85" s="1677" t="s">
        <v>7909</v>
      </c>
      <c r="C85" s="249"/>
      <c r="D85" s="281" t="e">
        <f>D82-D83-D84</f>
        <v>#DIV/0!</v>
      </c>
      <c r="E85" s="409"/>
      <c r="F85" s="409"/>
      <c r="G85" s="409"/>
    </row>
    <row r="86" spans="1:7" ht="15.5">
      <c r="A86" s="382" t="s">
        <v>2830</v>
      </c>
      <c r="B86" s="387" t="s">
        <v>9240</v>
      </c>
      <c r="C86" s="1707"/>
      <c r="D86" s="1708" t="e">
        <f>IF(D81&gt;=0,0,D81)</f>
        <v>#DIV/0!</v>
      </c>
      <c r="E86" s="409"/>
      <c r="F86" s="409"/>
      <c r="G86" s="409"/>
    </row>
    <row r="87" spans="1:7" ht="16" thickBot="1">
      <c r="A87" s="382" t="s">
        <v>2831</v>
      </c>
      <c r="B87" s="1679" t="s">
        <v>9185</v>
      </c>
      <c r="C87" s="565"/>
      <c r="D87" s="1726" t="e">
        <f>D81+D85+D86</f>
        <v>#DIV/0!</v>
      </c>
      <c r="E87" s="1002"/>
      <c r="F87" s="1002"/>
      <c r="G87" s="1002"/>
    </row>
    <row r="88" spans="1:7" ht="14" thickTop="1" thickBot="1">
      <c r="B88" s="1709"/>
    </row>
    <row r="89" spans="1:7" ht="16" thickTop="1">
      <c r="A89" s="1150" t="s">
        <v>7730</v>
      </c>
      <c r="B89" s="331"/>
      <c r="C89" s="1710"/>
      <c r="D89" s="330"/>
    </row>
    <row r="90" spans="1:7" ht="15.5">
      <c r="A90" s="382" t="s">
        <v>2832</v>
      </c>
      <c r="B90" s="385" t="s">
        <v>7910</v>
      </c>
      <c r="C90" s="1706"/>
      <c r="D90" s="1725" t="e">
        <f>'SOF2526-HB3'!I74</f>
        <v>#DIV/0!</v>
      </c>
    </row>
    <row r="91" spans="1:7" ht="15.5">
      <c r="A91" s="382" t="s">
        <v>2833</v>
      </c>
      <c r="B91" s="385" t="s">
        <v>7916</v>
      </c>
      <c r="C91" s="384"/>
      <c r="D91" s="281" t="e">
        <f>'SOF2526-HB3'!I82</f>
        <v>#DIV/0!</v>
      </c>
      <c r="E91" s="409"/>
      <c r="F91" s="409"/>
      <c r="G91" s="409"/>
    </row>
    <row r="92" spans="1:7" ht="15.5">
      <c r="A92" s="382" t="s">
        <v>2834</v>
      </c>
      <c r="B92" s="1714" t="s">
        <v>9186</v>
      </c>
      <c r="C92" s="1712"/>
      <c r="D92" s="1713" t="e">
        <f>D90+D91</f>
        <v>#DIV/0!</v>
      </c>
      <c r="E92" s="409"/>
      <c r="F92" s="409"/>
      <c r="G92" s="409"/>
    </row>
    <row r="93" spans="1:7" ht="15.5">
      <c r="A93" s="382" t="s">
        <v>2835</v>
      </c>
      <c r="B93" s="385" t="s">
        <v>10866</v>
      </c>
      <c r="C93" s="384"/>
      <c r="D93" s="281">
        <f>'Data Entry - SOF'!K116</f>
        <v>0</v>
      </c>
      <c r="E93" s="409"/>
      <c r="F93" s="409"/>
      <c r="G93" s="409"/>
    </row>
    <row r="94" spans="1:7" ht="16" thickBot="1">
      <c r="A94" s="383" t="s">
        <v>2836</v>
      </c>
      <c r="B94" s="565" t="s">
        <v>9187</v>
      </c>
      <c r="C94" s="1711"/>
      <c r="D94" s="315" t="e">
        <f>D92+D93</f>
        <v>#DIV/0!</v>
      </c>
      <c r="E94" s="366"/>
      <c r="F94" s="366"/>
      <c r="G94" s="366"/>
    </row>
    <row r="95" spans="1:7" ht="13.5" thickTop="1"/>
    <row r="98" spans="2:7" hidden="1">
      <c r="B98" s="58" t="s">
        <v>7082</v>
      </c>
      <c r="D98" s="724" t="e">
        <f>#REF!</f>
        <v>#REF!</v>
      </c>
      <c r="E98" s="724"/>
      <c r="F98" s="724"/>
      <c r="G98" s="724"/>
    </row>
    <row r="99" spans="2:7" hidden="1">
      <c r="D99" s="724" t="e">
        <f>D56</f>
        <v>#DIV/0!</v>
      </c>
      <c r="E99" s="724"/>
      <c r="F99" s="724"/>
      <c r="G99" s="724"/>
    </row>
    <row r="100" spans="2:7" hidden="1">
      <c r="D100" s="25" t="e">
        <f>IF(D98-D99&lt;=0,0,D98-D99)</f>
        <v>#REF!</v>
      </c>
    </row>
  </sheetData>
  <hyperlinks>
    <hyperlink ref="B70" location="'IFADetail2526-HB3'!A1" display="599/5829 - Instructional Facilities Allotment (Lease Purchase)  (See Link Above)" xr:uid="{00000000-0004-0000-1500-000000000000}"/>
    <hyperlink ref="B12" location="'SpEdDetail2526-HB3'!A1" display="Special Education FTEs                                                         (Link to Detail Report)                                                      " xr:uid="{00000000-0004-0000-1500-000001000000}"/>
    <hyperlink ref="B69" location="'IFADetail2526-HB3'!A1" display="599/5829 - Instructional Facilities Allotment (IFA) (Bond)    (Link to Detail Report)" xr:uid="{00000000-0004-0000-1500-000002000000}"/>
    <hyperlink ref="B68" location="'EDADetail2526-HB3'!A1" display="599/5829 - Existing Debt Allotment (EDA)                            (Link to Detail Report)" xr:uid="{00000000-0004-0000-1500-000003000000}"/>
    <hyperlink ref="B60" location="'T2Detail2526-HB3'!A1" display="Tier II State Aid                                                              (Link to Tier II Detail Report)" xr:uid="{00000000-0004-0000-1500-000004000000}"/>
    <hyperlink ref="B55" location="'T1Detail2525-HB3'!A1" display="Total Cost of Tier I                                                           (Link to Tier I Detail Report)" xr:uid="{00000000-0004-0000-1500-000005000000}"/>
    <hyperlink ref="B28" location="'Report-AA1920'!A1" display="Adjusted Allotment                                                                    (Link to Detail Report)" xr:uid="{00000000-0004-0000-1500-000006000000}"/>
    <hyperlink ref="B14" location="'Report-Calculations'!A1" display="Weighted ADA (WADA)                                                          (Link to Detail Report)" xr:uid="{00000000-0004-0000-1500-000007000000}"/>
    <hyperlink ref="B11" location="'Report-Calculations'!A1" display="Regular Program ADA (Line 1 - Line 3 - Line 4)          " xr:uid="{00000000-0004-0000-1500-000008000000}"/>
    <hyperlink ref="B76" location="'FSF2526-HB3'!A1" display="FSP Allocations and Adjustments Report                              (Link to Detail Report)" xr:uid="{00000000-0004-0000-1500-000009000000}"/>
    <hyperlink ref="B74" location="Recap40K_Detail2526!A1" display="Local Revenue in Excess of Entitlement                (Link to Cost of Recapture Report)" xr:uid="{00000000-0004-0000-1500-00000A000000}"/>
    <hyperlink ref="B22" location="'M&amp;ODetail2526-HB3'!A1" display="2025-26 M&amp;O Tax Collections                                          (Link to Detail Report)              " xr:uid="{00000000-0004-0000-1500-00000B000000}"/>
    <hyperlink ref="B61" location="'OtherDetail2526-HB3'!A1" display="Other Programs                                                                        (Link to Detail Report)" xr:uid="{00000000-0004-0000-1500-00000C000000}"/>
    <hyperlink ref="B71" location="'HH2526-40KCalcs'!B30" display="I&amp;S Hold Harmless (ASAHE for Facilities on TEA's Report) (Link to HH2526-Calcs tab)" xr:uid="{00000000-0004-0000-1500-00000D000000}"/>
  </hyperlink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FF33"/>
  </sheetPr>
  <dimension ref="A1:O100"/>
  <sheetViews>
    <sheetView workbookViewId="0">
      <selection activeCell="D1" sqref="D1"/>
    </sheetView>
  </sheetViews>
  <sheetFormatPr defaultColWidth="8.7265625" defaultRowHeight="13"/>
  <cols>
    <col min="1" max="1" width="9.1796875" style="52" customWidth="1"/>
    <col min="2" max="2" width="88.72656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 min="16" max="16384" width="8.7265625" style="2042"/>
  </cols>
  <sheetData>
    <row r="1" spans="1:15">
      <c r="A1" s="245" t="s">
        <v>2653</v>
      </c>
      <c r="C1" s="427"/>
      <c r="D1" s="1816" t="str">
        <f>'Report-SOF2526-SB1'!D1</f>
        <v>Release 2</v>
      </c>
      <c r="E1" s="426"/>
      <c r="F1" s="426"/>
      <c r="G1" s="426"/>
    </row>
    <row r="2" spans="1:15">
      <c r="A2" s="325" t="s">
        <v>7917</v>
      </c>
      <c r="D2" s="1817">
        <f>'Report-SOF2526-SB1'!D2</f>
        <v>44930</v>
      </c>
      <c r="E2" s="58"/>
      <c r="F2" s="58"/>
      <c r="G2" s="58"/>
    </row>
    <row r="3" spans="1:15" ht="15.5">
      <c r="D3" s="2039"/>
      <c r="E3" s="47"/>
      <c r="F3" s="47"/>
      <c r="G3" s="47"/>
    </row>
    <row r="4" spans="1:15" s="2040" customFormat="1" ht="15.5">
      <c r="A4" s="246" t="s">
        <v>11070</v>
      </c>
      <c r="B4" s="2039"/>
      <c r="C4" s="2039"/>
      <c r="D4" s="2039"/>
      <c r="E4" s="2039"/>
      <c r="F4" s="2039"/>
      <c r="G4" s="2039"/>
      <c r="H4" s="2039"/>
      <c r="I4" s="2039"/>
      <c r="J4" s="2039"/>
      <c r="K4" s="2039"/>
      <c r="L4" s="2039"/>
      <c r="M4" s="2039"/>
      <c r="N4" s="2039"/>
      <c r="O4" s="2039"/>
    </row>
    <row r="5" spans="1:15" s="2040" customFormat="1" ht="15.5">
      <c r="A5" s="248" t="str">
        <f>'Data Entry - SOF'!B1</f>
        <v xml:space="preserve"> </v>
      </c>
      <c r="B5" s="2039"/>
      <c r="C5" s="2039"/>
      <c r="D5" s="2039"/>
      <c r="E5" s="2039"/>
      <c r="F5" s="2039"/>
      <c r="G5" s="2039"/>
      <c r="H5" s="2039"/>
      <c r="I5" s="2039"/>
      <c r="J5" s="2039"/>
      <c r="K5" s="2039"/>
      <c r="L5" s="2039"/>
      <c r="M5" s="2039"/>
      <c r="N5" s="2039"/>
      <c r="O5" s="2039"/>
    </row>
    <row r="6" spans="1:15" s="2040" customFormat="1" ht="15.5">
      <c r="A6" s="246">
        <f>'Data Entry - SOF'!B2</f>
        <v>0</v>
      </c>
      <c r="B6" s="2039"/>
      <c r="C6" s="2039"/>
      <c r="D6" s="2039"/>
      <c r="E6" s="2039"/>
      <c r="F6" s="2039"/>
      <c r="G6" s="2039"/>
      <c r="H6" s="2039"/>
      <c r="I6" s="2039"/>
      <c r="J6" s="2039"/>
      <c r="K6" s="2039"/>
      <c r="L6" s="2039"/>
      <c r="M6" s="2039"/>
      <c r="N6" s="2039"/>
      <c r="O6" s="2039"/>
    </row>
    <row r="7" spans="1:15" s="2040" customFormat="1" ht="15.5">
      <c r="A7" s="246"/>
      <c r="B7" s="2039"/>
      <c r="C7" s="2039"/>
      <c r="D7" s="1673" t="s">
        <v>1202</v>
      </c>
      <c r="F7" s="2039"/>
      <c r="G7" s="2039"/>
      <c r="H7" s="2039"/>
      <c r="I7" s="2039"/>
      <c r="J7" s="2039"/>
      <c r="K7" s="2039"/>
      <c r="L7" s="2039"/>
      <c r="M7" s="2039"/>
      <c r="N7" s="2039"/>
      <c r="O7" s="2039"/>
    </row>
    <row r="8" spans="1:15" s="2040" customFormat="1" ht="18">
      <c r="A8" s="357" t="s">
        <v>2554</v>
      </c>
      <c r="B8" s="564"/>
      <c r="C8" s="564"/>
      <c r="D8" s="346" t="s">
        <v>2558</v>
      </c>
      <c r="E8" s="1009"/>
      <c r="F8" s="566"/>
      <c r="G8" s="566"/>
      <c r="H8" s="2039"/>
      <c r="I8" s="2039"/>
      <c r="J8" s="2039"/>
      <c r="K8" s="2039"/>
      <c r="L8" s="2039"/>
      <c r="M8" s="2039"/>
      <c r="N8" s="2039"/>
      <c r="O8" s="2039"/>
    </row>
    <row r="9" spans="1:15" s="2040" customFormat="1" ht="18">
      <c r="A9" s="607" t="s">
        <v>2555</v>
      </c>
      <c r="B9" s="620"/>
      <c r="C9" s="620"/>
      <c r="D9" s="347" t="s">
        <v>2559</v>
      </c>
      <c r="E9" s="1010" t="s">
        <v>7427</v>
      </c>
      <c r="F9" s="566"/>
      <c r="G9" s="566"/>
      <c r="H9" s="2039"/>
      <c r="I9" s="2039"/>
      <c r="J9" s="2039"/>
      <c r="K9" s="2039"/>
      <c r="L9" s="2039"/>
      <c r="M9" s="2039"/>
      <c r="N9" s="2039"/>
      <c r="O9" s="2039"/>
    </row>
    <row r="10" spans="1:15" s="2040" customFormat="1" ht="15.5">
      <c r="A10" s="250" t="s">
        <v>2063</v>
      </c>
      <c r="B10" s="251" t="s">
        <v>2556</v>
      </c>
      <c r="C10" s="251"/>
      <c r="D10" s="1045">
        <f>'Data Entry - SOF'!M19</f>
        <v>0</v>
      </c>
      <c r="E10" s="1003">
        <f>D10</f>
        <v>0</v>
      </c>
      <c r="F10" s="998"/>
      <c r="G10" s="998"/>
      <c r="H10" s="2039"/>
      <c r="I10" s="2039"/>
      <c r="J10" s="2039"/>
      <c r="K10" s="2039"/>
      <c r="L10" s="2039"/>
      <c r="M10" s="2039"/>
      <c r="N10" s="2039"/>
      <c r="O10" s="2039"/>
    </row>
    <row r="11" spans="1:15" s="2040" customFormat="1" ht="15.5">
      <c r="A11" s="250" t="s">
        <v>2064</v>
      </c>
      <c r="B11" s="410" t="s">
        <v>2847</v>
      </c>
      <c r="C11" s="251"/>
      <c r="D11" s="1045">
        <f>'Calc Data'!I12</f>
        <v>0</v>
      </c>
      <c r="E11" s="1003">
        <f t="shared" ref="E11:E13" si="0">D11</f>
        <v>0</v>
      </c>
      <c r="F11" s="998"/>
      <c r="G11" s="998"/>
      <c r="H11" s="2039"/>
      <c r="I11" s="2039"/>
      <c r="J11" s="2039"/>
      <c r="K11" s="2039"/>
      <c r="L11" s="2039"/>
      <c r="M11" s="2039"/>
      <c r="N11" s="2039"/>
      <c r="O11" s="2039"/>
    </row>
    <row r="12" spans="1:15" s="2040" customFormat="1" ht="15.5">
      <c r="A12" s="250" t="s">
        <v>2065</v>
      </c>
      <c r="B12" s="411" t="s">
        <v>11112</v>
      </c>
      <c r="C12" s="251"/>
      <c r="D12" s="1045">
        <f>'Calc Data'!I8</f>
        <v>0</v>
      </c>
      <c r="E12" s="1003">
        <f t="shared" si="0"/>
        <v>0</v>
      </c>
      <c r="F12" s="998"/>
      <c r="G12" s="998"/>
      <c r="H12" s="2039"/>
      <c r="I12" s="2039"/>
      <c r="J12" s="2039"/>
      <c r="K12" s="2039"/>
      <c r="L12" s="2039"/>
      <c r="M12" s="2039"/>
      <c r="N12" s="2039"/>
      <c r="O12" s="2039"/>
    </row>
    <row r="13" spans="1:15" s="2040" customFormat="1" ht="15.5">
      <c r="A13" s="250" t="s">
        <v>862</v>
      </c>
      <c r="B13" s="251" t="s">
        <v>778</v>
      </c>
      <c r="C13" s="251"/>
      <c r="D13" s="1045">
        <f>'Data Entry - SOF'!M36+'Data Entry - SOF'!M37+'Data Entry - SOF'!M38</f>
        <v>0</v>
      </c>
      <c r="E13" s="1003">
        <f t="shared" si="0"/>
        <v>0</v>
      </c>
      <c r="F13" s="998"/>
      <c r="G13" s="998"/>
      <c r="H13" s="2039"/>
      <c r="I13" s="2039"/>
      <c r="J13" s="2039"/>
      <c r="K13" s="2039"/>
      <c r="L13" s="2039"/>
      <c r="M13" s="2039"/>
      <c r="N13" s="2039"/>
      <c r="O13" s="2039"/>
    </row>
    <row r="14" spans="1:15" s="2040" customFormat="1" ht="15.5">
      <c r="A14" s="250" t="s">
        <v>863</v>
      </c>
      <c r="B14" s="399" t="s">
        <v>9222</v>
      </c>
      <c r="C14" s="251"/>
      <c r="D14" s="1045" t="e">
        <f>'SOF2627-HB3'!L61</f>
        <v>#DIV/0!</v>
      </c>
      <c r="E14" s="1003" t="e">
        <f>'SOF2627-HB3'!L61</f>
        <v>#DIV/0!</v>
      </c>
      <c r="F14" s="998"/>
      <c r="G14" s="998"/>
      <c r="H14" s="2039"/>
      <c r="I14" s="2039"/>
      <c r="J14" s="2039"/>
      <c r="K14" s="2039"/>
      <c r="L14" s="2039"/>
      <c r="M14" s="2039"/>
      <c r="N14" s="2039"/>
      <c r="O14" s="2039"/>
    </row>
    <row r="15" spans="1:15" s="2040" customFormat="1" ht="18">
      <c r="A15" s="607" t="s">
        <v>2560</v>
      </c>
      <c r="B15" s="2330"/>
      <c r="C15" s="620"/>
      <c r="D15" s="1031"/>
      <c r="E15" s="1008"/>
      <c r="F15" s="611"/>
      <c r="G15" s="611"/>
      <c r="H15" s="2039"/>
      <c r="I15" s="2039"/>
      <c r="J15" s="2039"/>
      <c r="K15" s="2039"/>
      <c r="L15" s="2039"/>
      <c r="M15" s="2039"/>
      <c r="N15" s="2039"/>
      <c r="O15" s="2039"/>
    </row>
    <row r="16" spans="1:15" s="2040" customFormat="1" ht="15.5">
      <c r="A16" s="250" t="s">
        <v>865</v>
      </c>
      <c r="B16" s="251" t="s">
        <v>9176</v>
      </c>
      <c r="C16" s="251"/>
      <c r="D16" s="1046">
        <f>'Data Entry - SOF'!K66</f>
        <v>0</v>
      </c>
      <c r="E16" s="1004">
        <f>D16</f>
        <v>0</v>
      </c>
      <c r="F16" s="369"/>
      <c r="G16" s="369"/>
      <c r="H16" s="2039"/>
      <c r="I16" s="2039"/>
      <c r="J16" s="2039"/>
      <c r="K16" s="2039"/>
      <c r="L16" s="2039"/>
      <c r="M16" s="2039"/>
      <c r="N16" s="2039"/>
      <c r="O16" s="2039"/>
    </row>
    <row r="17" spans="1:15" s="2040" customFormat="1" ht="15.5">
      <c r="A17" s="250" t="s">
        <v>866</v>
      </c>
      <c r="B17" s="251" t="s">
        <v>11071</v>
      </c>
      <c r="C17" s="1685"/>
      <c r="D17" s="1046">
        <f>'Data Entry - SOF'!M66</f>
        <v>0</v>
      </c>
      <c r="E17" s="1688"/>
      <c r="F17" s="369"/>
      <c r="G17" s="369"/>
      <c r="H17" s="2039"/>
      <c r="I17" s="2039"/>
      <c r="J17" s="2039"/>
      <c r="K17" s="2039"/>
      <c r="L17" s="2039"/>
      <c r="M17" s="2039"/>
      <c r="N17" s="2039"/>
      <c r="O17" s="2039"/>
    </row>
    <row r="18" spans="1:15" s="2040" customFormat="1" ht="18">
      <c r="A18" s="607" t="s">
        <v>2561</v>
      </c>
      <c r="B18" s="620"/>
      <c r="C18" s="620"/>
      <c r="D18" s="1031"/>
      <c r="E18" s="1008"/>
      <c r="F18" s="611"/>
      <c r="G18" s="611"/>
      <c r="H18" s="2039"/>
      <c r="I18" s="2039"/>
      <c r="J18" s="2039"/>
      <c r="K18" s="2039"/>
      <c r="L18" s="2039"/>
      <c r="M18" s="2039"/>
      <c r="N18" s="2039"/>
      <c r="O18" s="2039"/>
    </row>
    <row r="19" spans="1:15" s="2040" customFormat="1" ht="15.5">
      <c r="A19" s="250" t="s">
        <v>867</v>
      </c>
      <c r="B19" s="251" t="s">
        <v>11072</v>
      </c>
      <c r="C19" s="1678"/>
      <c r="D19" s="1723">
        <f>'Data Entry - SOF'!M74</f>
        <v>0</v>
      </c>
      <c r="E19" s="1690"/>
      <c r="F19" s="999"/>
      <c r="G19" s="999"/>
      <c r="H19" s="2039"/>
      <c r="I19" s="2039"/>
      <c r="J19" s="2039"/>
      <c r="K19" s="2039"/>
      <c r="L19" s="2039"/>
      <c r="M19" s="2039"/>
      <c r="N19" s="2039"/>
      <c r="O19" s="2039"/>
    </row>
    <row r="20" spans="1:15" s="2040" customFormat="1" ht="15.5">
      <c r="A20" s="250" t="s">
        <v>109</v>
      </c>
      <c r="B20" s="251" t="s">
        <v>11073</v>
      </c>
      <c r="C20" s="1678"/>
      <c r="D20" s="1722" t="e">
        <f>'Data Entry - SOF'!M124</f>
        <v>#DIV/0!</v>
      </c>
      <c r="E20" s="1690"/>
      <c r="F20" s="999"/>
      <c r="G20" s="999"/>
      <c r="H20" s="2039"/>
      <c r="I20" s="2039"/>
      <c r="J20" s="2039"/>
      <c r="K20" s="2039"/>
      <c r="L20" s="2039"/>
      <c r="M20" s="2039"/>
      <c r="N20" s="2039"/>
      <c r="O20" s="2039"/>
    </row>
    <row r="21" spans="1:15" s="2040" customFormat="1" ht="15.5">
      <c r="A21" s="250" t="s">
        <v>110</v>
      </c>
      <c r="B21" s="251" t="s">
        <v>11074</v>
      </c>
      <c r="C21" s="1678"/>
      <c r="D21" s="1722" t="e">
        <f>'HB3-RollbackRates'!V5</f>
        <v>#DIV/0!</v>
      </c>
      <c r="E21" s="1690"/>
      <c r="F21" s="999"/>
      <c r="G21" s="999"/>
      <c r="H21" s="2039"/>
      <c r="I21" s="2039"/>
      <c r="J21" s="2039"/>
      <c r="K21" s="2039"/>
      <c r="L21" s="2039"/>
      <c r="M21" s="2039"/>
      <c r="N21" s="2039"/>
      <c r="O21" s="2039"/>
    </row>
    <row r="22" spans="1:15" s="2040" customFormat="1" ht="15.5">
      <c r="A22" s="250" t="s">
        <v>111</v>
      </c>
      <c r="B22" s="1770" t="s">
        <v>11094</v>
      </c>
      <c r="C22" s="251"/>
      <c r="D22" s="985">
        <f>'Data Entry - SOF'!M75</f>
        <v>0</v>
      </c>
      <c r="E22" s="1005" t="e">
        <f>'Data Entry - SOF'!#REF!</f>
        <v>#REF!</v>
      </c>
      <c r="F22" s="409"/>
      <c r="G22" s="409"/>
      <c r="H22" s="2039"/>
      <c r="I22" s="2039"/>
      <c r="J22" s="2039"/>
      <c r="K22" s="2039"/>
      <c r="L22" s="2039"/>
      <c r="M22" s="2039"/>
      <c r="N22" s="2039"/>
      <c r="O22" s="2039"/>
    </row>
    <row r="23" spans="1:15" s="2040" customFormat="1" ht="15.5">
      <c r="A23" s="250" t="s">
        <v>112</v>
      </c>
      <c r="B23" s="251" t="s">
        <v>11075</v>
      </c>
      <c r="C23" s="1685"/>
      <c r="D23" s="1722">
        <f>'Data Entry - SOF'!M79</f>
        <v>0</v>
      </c>
      <c r="E23" s="1686"/>
      <c r="F23" s="409"/>
      <c r="G23" s="409"/>
      <c r="H23" s="2039"/>
      <c r="I23" s="2039"/>
      <c r="J23" s="2039"/>
      <c r="K23" s="2039"/>
      <c r="L23" s="2039"/>
      <c r="M23" s="2039"/>
      <c r="N23" s="2039"/>
      <c r="O23" s="2039"/>
    </row>
    <row r="24" spans="1:15" s="2040" customFormat="1" ht="15.5">
      <c r="A24" s="250" t="s">
        <v>1424</v>
      </c>
      <c r="B24" s="251" t="s">
        <v>11076</v>
      </c>
      <c r="C24" s="251"/>
      <c r="D24" s="985">
        <f>'Data Entry - SOF'!M80</f>
        <v>0</v>
      </c>
      <c r="E24" s="1005">
        <f>D24</f>
        <v>0</v>
      </c>
      <c r="F24" s="409"/>
      <c r="G24" s="409"/>
      <c r="H24" s="2039"/>
      <c r="I24" s="2039"/>
      <c r="J24" s="2039"/>
      <c r="K24" s="2039"/>
      <c r="L24" s="2039"/>
      <c r="M24" s="2039"/>
      <c r="N24" s="2039"/>
      <c r="O24" s="2039"/>
    </row>
    <row r="25" spans="1:15" s="2040" customFormat="1" ht="15.5">
      <c r="A25" s="250" t="s">
        <v>6</v>
      </c>
      <c r="B25" s="251" t="s">
        <v>11077</v>
      </c>
      <c r="C25" s="251"/>
      <c r="D25" s="985">
        <f>D22+D24</f>
        <v>0</v>
      </c>
      <c r="E25" s="1005"/>
      <c r="F25" s="409"/>
      <c r="G25" s="409"/>
      <c r="H25" s="2039"/>
      <c r="I25" s="2039"/>
      <c r="J25" s="2039"/>
      <c r="K25" s="2039"/>
      <c r="L25" s="2039"/>
      <c r="M25" s="2039"/>
      <c r="N25" s="2039"/>
      <c r="O25" s="2039"/>
    </row>
    <row r="26" spans="1:15" s="2040" customFormat="1" ht="15.5">
      <c r="A26" s="250" t="s">
        <v>2109</v>
      </c>
      <c r="B26" s="251" t="s">
        <v>11078</v>
      </c>
      <c r="C26" s="251"/>
      <c r="D26" s="2409" t="s">
        <v>1678</v>
      </c>
      <c r="E26" s="1005"/>
      <c r="F26" s="409"/>
      <c r="G26" s="409"/>
      <c r="H26" s="2039"/>
      <c r="I26" s="2039"/>
      <c r="J26" s="2039"/>
      <c r="K26" s="2039"/>
      <c r="L26" s="2039"/>
      <c r="M26" s="2039"/>
      <c r="N26" s="2039"/>
      <c r="O26" s="2039"/>
    </row>
    <row r="27" spans="1:15" s="2040" customFormat="1" ht="18">
      <c r="A27" s="607" t="s">
        <v>2568</v>
      </c>
      <c r="B27" s="620"/>
      <c r="C27" s="620"/>
      <c r="D27" s="1031"/>
      <c r="E27" s="1008"/>
      <c r="F27" s="611"/>
      <c r="G27" s="611"/>
      <c r="H27" s="2039"/>
      <c r="I27" s="2039"/>
      <c r="J27" s="2039"/>
      <c r="K27" s="2039"/>
      <c r="L27" s="2039"/>
      <c r="M27" s="2039"/>
      <c r="N27" s="2039"/>
      <c r="O27" s="2039"/>
    </row>
    <row r="28" spans="1:15" s="2040" customFormat="1" ht="15.5">
      <c r="A28" s="250" t="s">
        <v>2110</v>
      </c>
      <c r="B28" s="411" t="s">
        <v>8118</v>
      </c>
      <c r="C28" s="268"/>
      <c r="D28" s="437">
        <f>Assumptions!H181</f>
        <v>6160</v>
      </c>
      <c r="E28" s="1005"/>
      <c r="F28" s="409"/>
      <c r="G28" s="409"/>
      <c r="H28" s="2039"/>
      <c r="I28" s="2039"/>
      <c r="J28" s="2039"/>
      <c r="K28" s="2039"/>
      <c r="L28" s="2039"/>
      <c r="M28" s="2039"/>
      <c r="N28" s="2039"/>
      <c r="O28" s="2039"/>
    </row>
    <row r="29" spans="1:15" s="2040" customFormat="1" ht="15.5">
      <c r="A29" s="250" t="s">
        <v>2562</v>
      </c>
      <c r="B29" s="1693" t="s">
        <v>8119</v>
      </c>
      <c r="C29" s="1692"/>
      <c r="D29" s="1724">
        <f>'Data Entry - SOF'!K19</f>
        <v>0</v>
      </c>
      <c r="E29" s="1686"/>
      <c r="F29" s="409"/>
      <c r="G29" s="409"/>
      <c r="H29" s="2039"/>
      <c r="I29" s="2039"/>
      <c r="J29" s="2039"/>
      <c r="K29" s="2039"/>
      <c r="L29" s="2039"/>
      <c r="M29" s="2039"/>
      <c r="N29" s="2039"/>
      <c r="O29" s="2039"/>
    </row>
    <row r="30" spans="1:15" s="2040" customFormat="1" ht="15.5">
      <c r="A30" s="250" t="s">
        <v>2563</v>
      </c>
      <c r="B30" s="251" t="s">
        <v>2574</v>
      </c>
      <c r="C30" s="251"/>
      <c r="D30" s="1047">
        <f>Assumptions!H186</f>
        <v>400</v>
      </c>
      <c r="E30" s="1006">
        <f>D30</f>
        <v>400</v>
      </c>
      <c r="F30" s="1000"/>
      <c r="G30" s="1000"/>
      <c r="H30" s="2039"/>
      <c r="I30" s="2039"/>
      <c r="J30" s="2039"/>
      <c r="K30" s="2039"/>
      <c r="L30" s="2039"/>
      <c r="M30" s="2039"/>
      <c r="N30" s="2039"/>
      <c r="O30" s="2039"/>
    </row>
    <row r="31" spans="1:15" s="2040" customFormat="1" ht="18">
      <c r="A31" s="621" t="s">
        <v>2594</v>
      </c>
      <c r="B31" s="620"/>
      <c r="C31" s="620"/>
      <c r="D31" s="1031"/>
      <c r="E31" s="1008"/>
      <c r="F31" s="611"/>
      <c r="G31" s="611"/>
      <c r="H31" s="2039"/>
      <c r="I31" s="2039"/>
      <c r="J31" s="2039"/>
      <c r="K31" s="2039"/>
      <c r="L31" s="2039"/>
      <c r="M31" s="2039"/>
      <c r="N31" s="2039"/>
      <c r="O31" s="2039"/>
    </row>
    <row r="32" spans="1:15" s="2040" customFormat="1" ht="18">
      <c r="A32" s="621" t="s">
        <v>8120</v>
      </c>
      <c r="B32" s="621"/>
      <c r="C32" s="620"/>
      <c r="D32" s="1031"/>
      <c r="E32" s="1008"/>
      <c r="F32" s="611"/>
      <c r="G32" s="611"/>
      <c r="H32" s="2039"/>
      <c r="I32" s="2039"/>
      <c r="J32" s="2039"/>
      <c r="K32" s="2039"/>
      <c r="L32" s="2039"/>
      <c r="M32" s="2039"/>
      <c r="N32" s="2039"/>
      <c r="O32" s="2039"/>
    </row>
    <row r="33" spans="1:15" s="2040" customFormat="1" ht="15.5">
      <c r="A33" s="250" t="s">
        <v>2564</v>
      </c>
      <c r="B33" s="251" t="s">
        <v>8121</v>
      </c>
      <c r="C33" s="251"/>
      <c r="D33" s="985">
        <f>'SOF2627-HB3'!I20</f>
        <v>0</v>
      </c>
      <c r="E33" s="1005">
        <f>'SOF2627-HB3'!I20</f>
        <v>0</v>
      </c>
      <c r="F33" s="409"/>
      <c r="G33" s="409"/>
      <c r="H33" s="2039"/>
      <c r="I33" s="2039"/>
      <c r="J33" s="2039"/>
      <c r="K33" s="2039"/>
      <c r="L33" s="2039"/>
      <c r="M33" s="2039"/>
      <c r="N33" s="2039"/>
      <c r="O33" s="2039"/>
    </row>
    <row r="34" spans="1:15" s="2040" customFormat="1" ht="15.5">
      <c r="A34" s="250" t="s">
        <v>2565</v>
      </c>
      <c r="B34" s="1685" t="s">
        <v>8122</v>
      </c>
      <c r="C34" s="1685"/>
      <c r="D34" s="1691">
        <f>'SOF2627-HB3'!I21</f>
        <v>0</v>
      </c>
      <c r="E34" s="1686"/>
      <c r="F34" s="409"/>
      <c r="G34" s="409"/>
      <c r="H34" s="2039"/>
      <c r="I34" s="2039"/>
      <c r="J34" s="2039"/>
      <c r="K34" s="2039"/>
      <c r="L34" s="2039"/>
      <c r="M34" s="2039"/>
      <c r="N34" s="2039"/>
      <c r="O34" s="2039"/>
    </row>
    <row r="35" spans="1:15" s="2040" customFormat="1" ht="15.5">
      <c r="A35" s="250" t="s">
        <v>2566</v>
      </c>
      <c r="B35" s="251" t="s">
        <v>8123</v>
      </c>
      <c r="C35" s="251"/>
      <c r="D35" s="985">
        <f>SUM('SOF2627-HB3'!I22:I28)</f>
        <v>0</v>
      </c>
      <c r="E35" s="1005">
        <f>'SOF2627-HB3'!I166</f>
        <v>0</v>
      </c>
      <c r="F35" s="409"/>
      <c r="G35" s="409"/>
      <c r="H35" s="2039"/>
      <c r="I35" s="2039"/>
      <c r="J35" s="2039"/>
      <c r="K35" s="2039"/>
      <c r="L35" s="2039"/>
      <c r="M35" s="2039"/>
      <c r="N35" s="2039"/>
      <c r="O35" s="2039"/>
    </row>
    <row r="36" spans="1:15" s="2040" customFormat="1" ht="15.5">
      <c r="A36" s="250" t="s">
        <v>2567</v>
      </c>
      <c r="B36" s="1685" t="s">
        <v>8269</v>
      </c>
      <c r="C36" s="1685"/>
      <c r="D36" s="1691">
        <f>'SOF2627-HB3'!I46</f>
        <v>0</v>
      </c>
      <c r="E36" s="1686"/>
      <c r="F36" s="409"/>
      <c r="G36" s="409"/>
      <c r="H36" s="2039"/>
      <c r="I36" s="2039"/>
      <c r="J36" s="2039"/>
      <c r="K36" s="2039"/>
      <c r="L36" s="2039"/>
      <c r="M36" s="2039"/>
      <c r="N36" s="2039"/>
      <c r="O36" s="2039"/>
    </row>
    <row r="37" spans="1:15" s="2040" customFormat="1" ht="15.5">
      <c r="A37" s="250" t="s">
        <v>2569</v>
      </c>
      <c r="B37" s="251" t="s">
        <v>8124</v>
      </c>
      <c r="C37" s="251"/>
      <c r="D37" s="985">
        <f>SUM('SOF2627-HB3'!I36:I42)</f>
        <v>0</v>
      </c>
      <c r="E37" s="1005" t="e">
        <f>'SOF2627-HB3'!I169</f>
        <v>#REF!</v>
      </c>
      <c r="F37" s="409"/>
      <c r="G37" s="409"/>
      <c r="H37" s="2039"/>
      <c r="I37" s="2039"/>
      <c r="J37" s="2039"/>
      <c r="K37" s="2039"/>
      <c r="L37" s="2039"/>
      <c r="M37" s="2039"/>
      <c r="N37" s="2039"/>
      <c r="O37" s="2039"/>
    </row>
    <row r="38" spans="1:15" s="2040" customFormat="1" ht="15.5">
      <c r="A38" s="250" t="s">
        <v>2570</v>
      </c>
      <c r="B38" s="251" t="s">
        <v>8125</v>
      </c>
      <c r="C38" s="251"/>
      <c r="D38" s="985">
        <f>SUM('SOF2627-HB3'!I43:I45)</f>
        <v>0</v>
      </c>
      <c r="E38" s="1005">
        <f>'SOF2627-HB3'!I172</f>
        <v>0</v>
      </c>
      <c r="F38" s="409"/>
      <c r="G38" s="409"/>
      <c r="H38" s="2039"/>
      <c r="I38" s="2039"/>
      <c r="J38" s="2039"/>
      <c r="K38" s="2039"/>
      <c r="L38" s="2039"/>
      <c r="M38" s="2039"/>
      <c r="N38" s="2039"/>
      <c r="O38" s="2039"/>
    </row>
    <row r="39" spans="1:15" s="2040" customFormat="1" ht="15.5">
      <c r="A39" s="250" t="s">
        <v>2571</v>
      </c>
      <c r="B39" s="251" t="s">
        <v>8126</v>
      </c>
      <c r="C39" s="251"/>
      <c r="D39" s="985">
        <f>SUM('SOF2627-HB3'!I29:I32)</f>
        <v>0</v>
      </c>
      <c r="E39" s="1005">
        <f>'SOF2627-HB3'!I167</f>
        <v>0</v>
      </c>
      <c r="F39" s="409"/>
      <c r="G39" s="409"/>
      <c r="H39" s="2039"/>
      <c r="I39" s="2039"/>
      <c r="J39" s="2039"/>
      <c r="K39" s="2039"/>
      <c r="L39" s="2039"/>
      <c r="M39" s="2039"/>
      <c r="N39" s="2039"/>
      <c r="O39" s="2039"/>
    </row>
    <row r="40" spans="1:15" s="2040" customFormat="1" ht="15.5">
      <c r="A40" s="250" t="s">
        <v>2572</v>
      </c>
      <c r="B40" s="251" t="s">
        <v>8127</v>
      </c>
      <c r="C40" s="251"/>
      <c r="D40" s="985">
        <f>'SOF2627-HB3'!I50</f>
        <v>0</v>
      </c>
      <c r="E40" s="1005">
        <f>'SOF2627-HB3'!I48</f>
        <v>0</v>
      </c>
      <c r="F40" s="409"/>
      <c r="G40" s="409"/>
      <c r="H40" s="2039"/>
      <c r="I40" s="2039"/>
      <c r="J40" s="2039"/>
      <c r="K40" s="2039"/>
      <c r="L40" s="2039"/>
      <c r="M40" s="2039"/>
      <c r="N40" s="2039"/>
      <c r="O40" s="2039"/>
    </row>
    <row r="41" spans="1:15" s="2040" customFormat="1" ht="15.5">
      <c r="A41" s="250" t="s">
        <v>2573</v>
      </c>
      <c r="B41" s="1685" t="s">
        <v>8270</v>
      </c>
      <c r="C41" s="1685"/>
      <c r="D41" s="1691">
        <f>'SOF2627-HB3'!I47</f>
        <v>0</v>
      </c>
      <c r="E41" s="1686"/>
      <c r="F41" s="409"/>
      <c r="G41" s="409"/>
      <c r="H41" s="2039"/>
      <c r="I41" s="2039"/>
      <c r="J41" s="2039"/>
      <c r="K41" s="2039"/>
      <c r="L41" s="2039"/>
      <c r="M41" s="2039"/>
      <c r="N41" s="2039"/>
      <c r="O41" s="2039"/>
    </row>
    <row r="42" spans="1:15" s="2040" customFormat="1" ht="15.5">
      <c r="A42" s="250" t="s">
        <v>2575</v>
      </c>
      <c r="B42" s="2186" t="s">
        <v>9064</v>
      </c>
      <c r="C42" s="2186"/>
      <c r="D42" s="2187">
        <f>'SOF2627-HB3'!I33+'SOF2627-HB3'!I34</f>
        <v>0</v>
      </c>
      <c r="E42" s="2188"/>
      <c r="F42" s="409"/>
      <c r="G42" s="409"/>
      <c r="H42" s="2039"/>
      <c r="I42" s="2039"/>
      <c r="J42" s="2039"/>
      <c r="K42" s="2039"/>
      <c r="L42" s="2039"/>
      <c r="M42" s="2039"/>
      <c r="N42" s="2039"/>
      <c r="O42" s="2039"/>
    </row>
    <row r="43" spans="1:15" s="2040" customFormat="1" ht="15.5">
      <c r="A43" s="250" t="s">
        <v>2576</v>
      </c>
      <c r="B43" s="1694" t="s">
        <v>8271</v>
      </c>
      <c r="C43" s="1685"/>
      <c r="D43" s="1148">
        <f>'SOF2627-HB3'!I48</f>
        <v>0</v>
      </c>
      <c r="E43" s="1686"/>
      <c r="F43" s="409"/>
      <c r="G43" s="409"/>
      <c r="H43" s="2039"/>
      <c r="I43" s="2039"/>
      <c r="J43" s="2039"/>
      <c r="K43" s="2039"/>
      <c r="L43" s="2039"/>
      <c r="M43" s="2039"/>
      <c r="N43" s="2039"/>
      <c r="O43" s="2039"/>
    </row>
    <row r="44" spans="1:15" s="2040" customFormat="1" ht="15.5">
      <c r="A44" s="250" t="s">
        <v>2577</v>
      </c>
      <c r="B44" s="1695" t="s">
        <v>8128</v>
      </c>
      <c r="C44" s="1147"/>
      <c r="D44" s="1148" t="e">
        <f>'SOF2627-HB3'!I51</f>
        <v>#DIV/0!</v>
      </c>
      <c r="E44" s="1149"/>
      <c r="F44" s="409"/>
      <c r="G44" s="409"/>
      <c r="H44" s="2039"/>
      <c r="I44" s="2039"/>
      <c r="J44" s="2039"/>
      <c r="K44" s="2039"/>
      <c r="L44" s="2039"/>
      <c r="M44" s="2039"/>
      <c r="N44" s="2039"/>
      <c r="O44" s="2039"/>
    </row>
    <row r="45" spans="1:15" s="2040" customFormat="1" ht="15.5">
      <c r="A45" s="250" t="s">
        <v>2578</v>
      </c>
      <c r="B45" s="1695" t="s">
        <v>8129</v>
      </c>
      <c r="C45" s="1147"/>
      <c r="D45" s="1148">
        <f>'SOF2627-HB3'!I52</f>
        <v>0</v>
      </c>
      <c r="E45" s="1149"/>
      <c r="F45" s="409"/>
      <c r="G45" s="409"/>
      <c r="H45" s="2039"/>
      <c r="I45" s="2039"/>
      <c r="J45" s="2039"/>
      <c r="K45" s="2039"/>
      <c r="L45" s="2039"/>
      <c r="M45" s="2039"/>
      <c r="N45" s="2039"/>
      <c r="O45" s="2039"/>
    </row>
    <row r="46" spans="1:15" s="2040" customFormat="1" ht="15.5">
      <c r="A46" s="250" t="s">
        <v>2579</v>
      </c>
      <c r="B46" s="1696" t="s">
        <v>8130</v>
      </c>
      <c r="C46" s="1147"/>
      <c r="D46" s="1148">
        <f>'SOF2627-HB3'!I53</f>
        <v>0</v>
      </c>
      <c r="E46" s="1149"/>
      <c r="F46" s="409"/>
      <c r="G46" s="409"/>
      <c r="H46" s="2039"/>
      <c r="I46" s="2039"/>
      <c r="J46" s="2039"/>
      <c r="K46" s="2039"/>
      <c r="L46" s="2039"/>
      <c r="M46" s="2039"/>
      <c r="N46" s="2039"/>
      <c r="O46" s="2039"/>
    </row>
    <row r="47" spans="1:15" s="2040" customFormat="1" ht="15.5">
      <c r="A47" s="250" t="s">
        <v>2580</v>
      </c>
      <c r="B47" s="1695" t="s">
        <v>8131</v>
      </c>
      <c r="C47" s="1147"/>
      <c r="D47" s="1148">
        <f>'SOF2627-HB3'!I54</f>
        <v>0</v>
      </c>
      <c r="E47" s="1149"/>
      <c r="F47" s="409"/>
      <c r="G47" s="409"/>
      <c r="H47" s="2039"/>
      <c r="I47" s="2039"/>
      <c r="J47" s="2039"/>
      <c r="K47" s="2039"/>
      <c r="L47" s="2039"/>
      <c r="M47" s="2039"/>
      <c r="N47" s="2039"/>
      <c r="O47" s="2039"/>
    </row>
    <row r="48" spans="1:15" s="2040" customFormat="1" ht="18">
      <c r="A48" s="621" t="s">
        <v>8132</v>
      </c>
      <c r="B48" s="621"/>
      <c r="C48" s="620"/>
      <c r="D48" s="1031"/>
      <c r="E48" s="1008"/>
      <c r="F48" s="611"/>
      <c r="G48" s="611"/>
      <c r="H48" s="2039"/>
      <c r="I48" s="2039"/>
      <c r="J48" s="2039"/>
      <c r="K48" s="2039"/>
      <c r="L48" s="2039"/>
      <c r="M48" s="2039"/>
      <c r="N48" s="2039"/>
      <c r="O48" s="2039"/>
    </row>
    <row r="49" spans="1:15" s="2040" customFormat="1" ht="15.5">
      <c r="A49" s="250" t="s">
        <v>2581</v>
      </c>
      <c r="B49" s="251" t="s">
        <v>8133</v>
      </c>
      <c r="C49" s="251"/>
      <c r="D49" s="985">
        <f>'SOF2627-HB3'!I57</f>
        <v>0</v>
      </c>
      <c r="E49" s="1005" t="e">
        <f>'SOF2627-HB3'!#REF!</f>
        <v>#REF!</v>
      </c>
      <c r="F49" s="409"/>
      <c r="G49" s="409"/>
      <c r="H49" s="2039"/>
      <c r="I49" s="2039"/>
      <c r="J49" s="2039"/>
      <c r="K49" s="2039"/>
      <c r="L49" s="2039"/>
      <c r="M49" s="2039"/>
      <c r="N49" s="2039"/>
      <c r="O49" s="2039"/>
    </row>
    <row r="50" spans="1:15" s="2040" customFormat="1" ht="15.5">
      <c r="A50" s="250" t="s">
        <v>2582</v>
      </c>
      <c r="B50" s="251" t="s">
        <v>8134</v>
      </c>
      <c r="C50" s="251"/>
      <c r="D50" s="985">
        <f>'SOF2627-HB3'!I56</f>
        <v>0</v>
      </c>
      <c r="E50" s="1005">
        <f>'SOF2627-HB3'!I54</f>
        <v>0</v>
      </c>
      <c r="F50" s="409"/>
      <c r="G50" s="409"/>
      <c r="H50" s="2039"/>
      <c r="I50" s="2039"/>
      <c r="J50" s="2039"/>
      <c r="K50" s="2039"/>
      <c r="L50" s="2039"/>
      <c r="M50" s="2039"/>
      <c r="N50" s="2039"/>
      <c r="O50" s="2039"/>
    </row>
    <row r="51" spans="1:15" s="2040" customFormat="1" ht="15.5">
      <c r="A51" s="250" t="s">
        <v>2583</v>
      </c>
      <c r="B51" s="1685" t="s">
        <v>8135</v>
      </c>
      <c r="C51" s="1685"/>
      <c r="D51" s="1691">
        <f>'SOF2627-HB3'!I60</f>
        <v>0</v>
      </c>
      <c r="E51" s="1686"/>
      <c r="F51" s="409"/>
      <c r="G51" s="409"/>
      <c r="H51" s="2039"/>
      <c r="I51" s="2039"/>
      <c r="J51" s="2039"/>
      <c r="K51" s="2039"/>
      <c r="L51" s="2039"/>
      <c r="M51" s="2039"/>
      <c r="N51" s="2039"/>
      <c r="O51" s="2039"/>
    </row>
    <row r="52" spans="1:15" ht="15.5">
      <c r="A52" s="250" t="s">
        <v>2584</v>
      </c>
      <c r="B52" s="1685" t="s">
        <v>8136</v>
      </c>
      <c r="C52" s="1685"/>
      <c r="D52" s="1691">
        <f>'SOF2627-HB3'!I55</f>
        <v>0</v>
      </c>
    </row>
    <row r="53" spans="1:15" ht="15.5">
      <c r="A53" s="250" t="s">
        <v>2585</v>
      </c>
      <c r="B53" s="1685" t="s">
        <v>8234</v>
      </c>
      <c r="C53" s="1685"/>
      <c r="D53" s="1691">
        <f>'SOF2627-HB3'!I59</f>
        <v>0</v>
      </c>
    </row>
    <row r="54" spans="1:15" ht="15.5">
      <c r="A54" s="250" t="s">
        <v>2586</v>
      </c>
      <c r="B54" s="1685" t="s">
        <v>8138</v>
      </c>
      <c r="C54" s="1685"/>
      <c r="D54" s="1691">
        <f>'SOF2627-HB3'!I60</f>
        <v>0</v>
      </c>
    </row>
    <row r="55" spans="1:15" s="2040" customFormat="1" ht="15.5">
      <c r="A55" s="250" t="s">
        <v>2587</v>
      </c>
      <c r="B55" s="411" t="s">
        <v>5980</v>
      </c>
      <c r="C55" s="251"/>
      <c r="D55" s="985" t="e">
        <f>'SOF2627-HB3'!I61</f>
        <v>#DIV/0!</v>
      </c>
      <c r="E55" s="1005" t="e">
        <f>'SOF2627-HB3'!I61</f>
        <v>#DIV/0!</v>
      </c>
      <c r="F55" s="409"/>
      <c r="G55" s="409"/>
      <c r="H55" s="2039"/>
      <c r="I55" s="2039"/>
      <c r="J55" s="2039"/>
      <c r="K55" s="2039"/>
      <c r="L55" s="2039"/>
      <c r="M55" s="2039"/>
      <c r="N55" s="2039"/>
      <c r="O55" s="2039"/>
    </row>
    <row r="56" spans="1:15" s="2040" customFormat="1" ht="15.5">
      <c r="A56" s="250" t="s">
        <v>2588</v>
      </c>
      <c r="B56" s="251" t="s">
        <v>2595</v>
      </c>
      <c r="C56" s="251"/>
      <c r="D56" s="985" t="e">
        <f>'SOF2627-HB3'!I62</f>
        <v>#DIV/0!</v>
      </c>
      <c r="E56" s="1005" t="e">
        <f>'SOF2627-HB3'!I62</f>
        <v>#DIV/0!</v>
      </c>
      <c r="F56" s="409"/>
      <c r="G56" s="409"/>
      <c r="H56" s="2039"/>
      <c r="I56" s="2039"/>
      <c r="J56" s="2039"/>
      <c r="K56" s="2039"/>
      <c r="L56" s="2039"/>
      <c r="M56" s="2039"/>
      <c r="N56" s="2039"/>
      <c r="O56" s="2039"/>
    </row>
    <row r="57" spans="1:15" s="2040" customFormat="1" ht="15.5">
      <c r="A57" s="250" t="s">
        <v>2589</v>
      </c>
      <c r="B57" s="251" t="s">
        <v>2596</v>
      </c>
      <c r="C57" s="251"/>
      <c r="D57" s="985">
        <f>'SOF2627-HB3'!I99</f>
        <v>0</v>
      </c>
      <c r="E57" s="1005">
        <f>'SOF2627-HB3'!I109</f>
        <v>0</v>
      </c>
      <c r="F57" s="409"/>
      <c r="G57" s="409"/>
      <c r="H57" s="2039"/>
      <c r="I57" s="2039"/>
      <c r="J57" s="2039"/>
      <c r="K57" s="2039"/>
      <c r="L57" s="2039"/>
      <c r="M57" s="2039"/>
      <c r="N57" s="2039"/>
      <c r="O57" s="2039"/>
    </row>
    <row r="58" spans="1:15" s="2040" customFormat="1" ht="18">
      <c r="A58" s="622" t="s">
        <v>8139</v>
      </c>
      <c r="B58" s="623"/>
      <c r="C58" s="623"/>
      <c r="D58" s="1048"/>
      <c r="E58" s="1011"/>
      <c r="F58" s="611"/>
      <c r="G58" s="611"/>
      <c r="H58" s="2039"/>
      <c r="I58" s="2039"/>
      <c r="J58" s="2039"/>
      <c r="K58" s="2039"/>
      <c r="L58" s="2039"/>
      <c r="M58" s="2039"/>
      <c r="N58" s="2039"/>
      <c r="O58" s="2039"/>
    </row>
    <row r="59" spans="1:15" s="2040" customFormat="1" ht="15.5">
      <c r="A59" s="250" t="s">
        <v>2590</v>
      </c>
      <c r="B59" s="251" t="s">
        <v>9245</v>
      </c>
      <c r="C59" s="251"/>
      <c r="D59" s="985" t="e">
        <f>IF(OR(D55-D56-D57&lt;=0,'Data Entry - SOF'!M74&lt;'Data Entry - SOF'!M72),0,D55-D56-D57)</f>
        <v>#DIV/0!</v>
      </c>
      <c r="E59" s="1005" t="e">
        <f>'SOF2627-HB3'!I63</f>
        <v>#DIV/0!</v>
      </c>
      <c r="F59" s="409"/>
      <c r="G59" s="409"/>
      <c r="H59" s="358" t="s">
        <v>11158</v>
      </c>
      <c r="I59" s="2039"/>
      <c r="J59" s="2039"/>
      <c r="K59" s="2039"/>
      <c r="L59" s="2039"/>
      <c r="M59" s="2039"/>
      <c r="N59" s="2039"/>
      <c r="O59" s="2039"/>
    </row>
    <row r="60" spans="1:15" s="2040" customFormat="1" ht="15.5">
      <c r="A60" s="250" t="s">
        <v>2591</v>
      </c>
      <c r="B60" s="410" t="s">
        <v>8346</v>
      </c>
      <c r="C60" s="251"/>
      <c r="D60" s="985" t="e">
        <f>'SOF2627-HB3'!I78</f>
        <v>#DIV/0!</v>
      </c>
      <c r="E60" s="1005" t="e">
        <f>'SOF2627-HB3'!I82</f>
        <v>#DIV/0!</v>
      </c>
      <c r="F60" s="409"/>
      <c r="G60" s="409"/>
      <c r="H60" s="2039"/>
      <c r="I60" s="2039"/>
      <c r="J60" s="2039"/>
      <c r="K60" s="2039"/>
      <c r="L60" s="2039"/>
      <c r="M60" s="2039"/>
      <c r="N60" s="2039"/>
      <c r="O60" s="2039"/>
    </row>
    <row r="61" spans="1:15" s="2040" customFormat="1" ht="15.5">
      <c r="A61" s="250" t="s">
        <v>2592</v>
      </c>
      <c r="B61" s="411" t="s">
        <v>5981</v>
      </c>
      <c r="C61" s="251"/>
      <c r="D61" s="985" t="e">
        <f>'OtherDetail2627-HB3'!D30</f>
        <v>#DIV/0!</v>
      </c>
      <c r="E61" s="1005"/>
      <c r="F61" s="409"/>
      <c r="G61" s="409"/>
      <c r="H61" s="358" t="s">
        <v>11469</v>
      </c>
      <c r="I61" s="2039"/>
      <c r="J61" s="2039"/>
      <c r="K61" s="2039"/>
      <c r="L61" s="2039"/>
      <c r="M61" s="2039"/>
      <c r="N61" s="2039"/>
      <c r="O61" s="2039"/>
    </row>
    <row r="62" spans="1:15" s="2040" customFormat="1" ht="15.5">
      <c r="A62" s="250" t="s">
        <v>2593</v>
      </c>
      <c r="B62" s="251" t="s">
        <v>2597</v>
      </c>
      <c r="C62" s="251"/>
      <c r="D62" s="985" t="e">
        <f>D59+D60+IF(D61&lt;0,D61-'Data Entry - SOF'!M116,D61)</f>
        <v>#DIV/0!</v>
      </c>
      <c r="E62" s="1005"/>
      <c r="F62" s="409"/>
      <c r="G62" s="409"/>
      <c r="H62" s="2039"/>
      <c r="I62" s="2039"/>
      <c r="J62" s="2039"/>
      <c r="K62" s="2039"/>
      <c r="L62" s="2039"/>
      <c r="M62" s="2039"/>
      <c r="N62" s="2039"/>
      <c r="O62" s="2039"/>
    </row>
    <row r="63" spans="1:15" s="2040" customFormat="1" ht="18">
      <c r="A63" s="607" t="s">
        <v>8140</v>
      </c>
      <c r="B63" s="620"/>
      <c r="C63" s="620"/>
      <c r="D63" s="1031"/>
      <c r="E63" s="1008"/>
      <c r="F63" s="611"/>
      <c r="G63" s="611"/>
      <c r="H63" s="2039"/>
      <c r="I63" s="2039"/>
      <c r="J63" s="2039"/>
      <c r="K63" s="2039"/>
      <c r="L63" s="2039"/>
      <c r="M63" s="2039"/>
      <c r="N63" s="2039"/>
      <c r="O63" s="2039"/>
    </row>
    <row r="64" spans="1:15" s="2040" customFormat="1" ht="18">
      <c r="A64" s="621" t="s">
        <v>8141</v>
      </c>
      <c r="B64" s="621"/>
      <c r="C64" s="620"/>
      <c r="D64" s="1031"/>
      <c r="E64" s="1008"/>
      <c r="F64" s="611"/>
      <c r="G64" s="611"/>
      <c r="H64" s="2039"/>
      <c r="I64" s="2039"/>
      <c r="J64" s="2039"/>
      <c r="K64" s="2039"/>
      <c r="L64" s="2039"/>
      <c r="M64" s="2039"/>
      <c r="N64" s="2039"/>
      <c r="O64" s="2039"/>
    </row>
    <row r="65" spans="1:15" s="2040" customFormat="1" ht="15.5">
      <c r="A65" s="250" t="s">
        <v>2602</v>
      </c>
      <c r="B65" s="251" t="s">
        <v>2608</v>
      </c>
      <c r="C65" s="251"/>
      <c r="D65" s="985" t="e">
        <f>D62</f>
        <v>#DIV/0!</v>
      </c>
      <c r="E65" s="1005">
        <f>'SOF2627-HB3'!I108</f>
        <v>0</v>
      </c>
      <c r="F65" s="409"/>
      <c r="G65" s="409"/>
      <c r="I65" s="2039"/>
      <c r="J65" s="2039"/>
      <c r="K65" s="2039"/>
      <c r="L65" s="2039"/>
      <c r="M65" s="2039"/>
      <c r="N65" s="2039"/>
      <c r="O65" s="2039"/>
    </row>
    <row r="66" spans="1:15" s="2040" customFormat="1" ht="15.5">
      <c r="A66" s="250" t="s">
        <v>2603</v>
      </c>
      <c r="B66" s="251" t="s">
        <v>2735</v>
      </c>
      <c r="C66" s="251"/>
      <c r="D66" s="985">
        <f>'SOF2627-HB3'!I99</f>
        <v>0</v>
      </c>
      <c r="E66" s="1005">
        <f>'SOF2627-HB3'!I109</f>
        <v>0</v>
      </c>
      <c r="F66" s="409"/>
      <c r="G66" s="409"/>
      <c r="H66" s="2039"/>
      <c r="I66" s="2039"/>
      <c r="J66" s="2039"/>
      <c r="K66" s="2039"/>
      <c r="L66" s="2039"/>
      <c r="M66" s="2039"/>
      <c r="N66" s="2039"/>
      <c r="O66" s="2039"/>
    </row>
    <row r="67" spans="1:15" s="2040" customFormat="1" ht="18">
      <c r="A67" s="621" t="s">
        <v>8142</v>
      </c>
      <c r="B67" s="621"/>
      <c r="C67" s="620"/>
      <c r="D67" s="1031"/>
      <c r="E67" s="1008"/>
      <c r="F67" s="611"/>
      <c r="G67" s="611"/>
      <c r="H67" s="2039"/>
      <c r="I67" s="2039"/>
      <c r="J67" s="2039"/>
      <c r="K67" s="2039"/>
      <c r="L67" s="2039"/>
      <c r="M67" s="2039"/>
      <c r="N67" s="2039"/>
      <c r="O67" s="2039"/>
    </row>
    <row r="68" spans="1:15" s="2040" customFormat="1" ht="15.5">
      <c r="A68" s="250" t="s">
        <v>2604</v>
      </c>
      <c r="B68" s="410" t="s">
        <v>7063</v>
      </c>
      <c r="C68" s="251"/>
      <c r="D68" s="985">
        <f>'Existing Debt-HB3'!W74</f>
        <v>0</v>
      </c>
      <c r="E68" s="1005">
        <f>D68</f>
        <v>0</v>
      </c>
      <c r="F68" s="409"/>
      <c r="G68" s="409"/>
      <c r="H68" s="2039"/>
      <c r="I68" s="2039"/>
      <c r="J68" s="2039"/>
      <c r="K68" s="2039"/>
      <c r="L68" s="2039"/>
      <c r="M68" s="2039"/>
      <c r="N68" s="2039"/>
      <c r="O68" s="2039"/>
    </row>
    <row r="69" spans="1:15" s="2040" customFormat="1" ht="15.5">
      <c r="A69" s="250" t="s">
        <v>2605</v>
      </c>
      <c r="B69" s="411" t="s">
        <v>11113</v>
      </c>
      <c r="C69" s="251"/>
      <c r="D69" s="985">
        <f>'IFA-HB3'!AI86</f>
        <v>0</v>
      </c>
      <c r="E69" s="1005">
        <f>D69</f>
        <v>0</v>
      </c>
      <c r="F69" s="409"/>
      <c r="G69" s="409"/>
      <c r="H69" s="2039"/>
      <c r="I69" s="2039"/>
      <c r="J69" s="2039"/>
      <c r="K69" s="2039"/>
      <c r="L69" s="2039"/>
      <c r="M69" s="2039"/>
      <c r="N69" s="2039"/>
      <c r="O69" s="2039"/>
    </row>
    <row r="70" spans="1:15" s="2040" customFormat="1" ht="15.5">
      <c r="A70" s="250" t="s">
        <v>2606</v>
      </c>
      <c r="B70" s="410" t="s">
        <v>5984</v>
      </c>
      <c r="C70" s="251"/>
      <c r="D70" s="985">
        <f>'IFA-HB3'!AL75</f>
        <v>0</v>
      </c>
      <c r="E70" s="1005">
        <f>D70</f>
        <v>0</v>
      </c>
      <c r="F70" s="409"/>
      <c r="G70" s="409"/>
      <c r="H70" s="2039"/>
      <c r="I70" s="2039"/>
      <c r="J70" s="2039"/>
      <c r="K70" s="2039"/>
      <c r="L70" s="2039"/>
      <c r="M70" s="2039"/>
      <c r="N70" s="2039"/>
      <c r="O70" s="2039"/>
    </row>
    <row r="71" spans="1:15" s="2040" customFormat="1" ht="15.5">
      <c r="A71" s="250" t="s">
        <v>2607</v>
      </c>
      <c r="B71" s="410" t="s">
        <v>11114</v>
      </c>
      <c r="C71" s="251"/>
      <c r="D71" s="985" t="e">
        <f>'HH2627-40KCalcs'!C50+'HH2627-40KCalcs'!C74</f>
        <v>#DIV/0!</v>
      </c>
      <c r="E71" s="1005"/>
      <c r="F71" s="409"/>
      <c r="G71" s="409"/>
      <c r="H71" s="2039"/>
      <c r="I71" s="2039"/>
      <c r="J71" s="2039"/>
      <c r="K71" s="2039"/>
      <c r="L71" s="2039"/>
      <c r="M71" s="2039"/>
      <c r="N71" s="2039"/>
      <c r="O71" s="2039"/>
    </row>
    <row r="72" spans="1:15" s="2040" customFormat="1" ht="18">
      <c r="A72" s="1763" t="s">
        <v>2662</v>
      </c>
      <c r="B72" s="567" t="s">
        <v>11079</v>
      </c>
      <c r="C72" s="624"/>
      <c r="D72" s="1049" t="e">
        <f>SUM(D65:D71)</f>
        <v>#DIV/0!</v>
      </c>
      <c r="E72" s="1007">
        <f>'SOF2627-HB3'!I114</f>
        <v>0</v>
      </c>
      <c r="F72" s="1001"/>
      <c r="G72" s="1001"/>
      <c r="H72" s="2039"/>
      <c r="I72" s="2039"/>
      <c r="J72" s="2039"/>
      <c r="K72" s="2039"/>
      <c r="L72" s="2039"/>
      <c r="M72" s="2039"/>
      <c r="N72" s="2039"/>
      <c r="O72" s="2039"/>
    </row>
    <row r="73" spans="1:15" s="2040" customFormat="1" ht="18">
      <c r="A73" s="621" t="s">
        <v>8143</v>
      </c>
      <c r="B73" s="621"/>
      <c r="C73" s="620"/>
      <c r="D73" s="1031"/>
      <c r="E73" s="1008"/>
      <c r="F73" s="611"/>
      <c r="G73" s="611"/>
      <c r="H73" s="2039"/>
      <c r="I73" s="2039"/>
      <c r="J73" s="2039"/>
      <c r="K73" s="2039"/>
      <c r="L73" s="2039"/>
      <c r="M73" s="2039"/>
      <c r="N73" s="2039"/>
      <c r="O73" s="2039"/>
    </row>
    <row r="74" spans="1:15" s="2040" customFormat="1" ht="15.5">
      <c r="A74" s="250" t="s">
        <v>2824</v>
      </c>
      <c r="B74" s="1693" t="s">
        <v>10444</v>
      </c>
      <c r="C74" s="1685"/>
      <c r="D74" s="1691" t="e">
        <f>Recap40K_Detail2627!C33</f>
        <v>#DIV/0!</v>
      </c>
      <c r="H74" s="2039"/>
      <c r="I74" s="2039"/>
      <c r="J74" s="2039"/>
      <c r="K74" s="2039"/>
      <c r="L74" s="2039"/>
      <c r="M74" s="2039"/>
      <c r="N74" s="2039"/>
      <c r="O74" s="2039"/>
    </row>
    <row r="75" spans="1:15" s="2040" customFormat="1" ht="15.5">
      <c r="A75" s="1697"/>
      <c r="B75" s="1689"/>
      <c r="C75" s="1689"/>
      <c r="D75" s="1689"/>
      <c r="H75" s="2039"/>
      <c r="I75" s="2039"/>
      <c r="J75" s="2039"/>
      <c r="K75" s="2039"/>
      <c r="L75" s="2039"/>
      <c r="M75" s="2039"/>
      <c r="N75" s="2039"/>
      <c r="O75" s="2039"/>
    </row>
    <row r="76" spans="1:15" s="2040" customFormat="1" ht="15.5">
      <c r="A76" s="2342"/>
      <c r="B76" s="2343" t="s">
        <v>5985</v>
      </c>
      <c r="C76" s="2344"/>
      <c r="D76" s="2344"/>
      <c r="H76" s="2039"/>
      <c r="I76" s="2039"/>
      <c r="J76" s="2039"/>
      <c r="K76" s="2039"/>
      <c r="L76" s="2039"/>
      <c r="M76" s="2039"/>
      <c r="N76" s="2039"/>
      <c r="O76" s="2039"/>
    </row>
    <row r="77" spans="1:15" s="2040" customFormat="1" ht="15.5">
      <c r="A77" s="1698"/>
      <c r="B77" s="1699"/>
      <c r="H77" s="2039"/>
      <c r="I77" s="2039"/>
      <c r="J77" s="2039"/>
      <c r="K77" s="2039"/>
      <c r="L77" s="2039"/>
      <c r="M77" s="2039"/>
      <c r="N77" s="2039"/>
      <c r="O77" s="2039"/>
    </row>
    <row r="78" spans="1:15" s="2040" customFormat="1" ht="16" thickBot="1">
      <c r="A78" s="1700"/>
      <c r="C78" s="1701"/>
      <c r="D78" s="1701"/>
      <c r="E78" s="2040" t="e">
        <f>(E65+E66)/D10</f>
        <v>#DIV/0!</v>
      </c>
      <c r="H78" s="2039"/>
      <c r="I78" s="2039"/>
      <c r="J78" s="2039"/>
      <c r="K78" s="2039"/>
      <c r="L78" s="2039"/>
      <c r="M78" s="2039"/>
      <c r="N78" s="2039"/>
      <c r="O78" s="2039"/>
    </row>
    <row r="79" spans="1:15" ht="16" thickTop="1">
      <c r="A79" s="1715" t="s">
        <v>2782</v>
      </c>
      <c r="B79" s="1716"/>
      <c r="C79" s="1717"/>
      <c r="D79" s="1718"/>
      <c r="E79" s="2040"/>
      <c r="F79" s="2040"/>
      <c r="G79" s="2040"/>
    </row>
    <row r="80" spans="1:15" ht="15.5">
      <c r="A80" s="1702" t="s">
        <v>2318</v>
      </c>
      <c r="C80" s="1703"/>
      <c r="D80" s="1704"/>
      <c r="E80" s="2039"/>
      <c r="F80" s="2039"/>
      <c r="G80" s="2039"/>
    </row>
    <row r="81" spans="1:7" ht="15.5">
      <c r="A81" s="382" t="s">
        <v>2825</v>
      </c>
      <c r="B81" s="1705" t="s">
        <v>8145</v>
      </c>
      <c r="C81" s="1703"/>
      <c r="D81" s="1725" t="e">
        <f>D65+D66</f>
        <v>#DIV/0!</v>
      </c>
      <c r="E81" s="2039"/>
      <c r="F81" s="2039"/>
      <c r="G81" s="2039"/>
    </row>
    <row r="82" spans="1:7" ht="15.5">
      <c r="A82" s="382" t="s">
        <v>2826</v>
      </c>
      <c r="B82" s="381" t="s">
        <v>7906</v>
      </c>
      <c r="C82" s="249"/>
      <c r="D82" s="281">
        <f>'Data Entry - SOF'!M75</f>
        <v>0</v>
      </c>
      <c r="E82" s="409"/>
      <c r="F82" s="409"/>
      <c r="G82" s="409"/>
    </row>
    <row r="83" spans="1:7" ht="15.5">
      <c r="A83" s="382" t="s">
        <v>2827</v>
      </c>
      <c r="B83" s="381" t="s">
        <v>7907</v>
      </c>
      <c r="C83" s="386"/>
      <c r="D83" s="1725" t="e">
        <f>'SOF2627-HB3'!I74</f>
        <v>#DIV/0!</v>
      </c>
      <c r="E83" s="409"/>
      <c r="F83" s="409"/>
      <c r="G83" s="409"/>
    </row>
    <row r="84" spans="1:7" ht="15.5">
      <c r="A84" s="382" t="s">
        <v>2828</v>
      </c>
      <c r="B84" s="381" t="s">
        <v>7908</v>
      </c>
      <c r="C84" s="249"/>
      <c r="D84" s="281" t="e">
        <f>'SOF2627-HB3'!I82</f>
        <v>#DIV/0!</v>
      </c>
      <c r="E84" s="409"/>
      <c r="F84" s="409"/>
      <c r="G84" s="409"/>
    </row>
    <row r="85" spans="1:7" ht="15.5">
      <c r="A85" s="382" t="s">
        <v>2829</v>
      </c>
      <c r="B85" s="1677" t="s">
        <v>7909</v>
      </c>
      <c r="C85" s="249"/>
      <c r="D85" s="281" t="e">
        <f>D82-D83-D84</f>
        <v>#DIV/0!</v>
      </c>
      <c r="E85" s="409"/>
      <c r="F85" s="409"/>
      <c r="G85" s="409"/>
    </row>
    <row r="86" spans="1:7" ht="15.5">
      <c r="A86" s="382" t="s">
        <v>2830</v>
      </c>
      <c r="B86" s="387" t="s">
        <v>9240</v>
      </c>
      <c r="C86" s="1707"/>
      <c r="D86" s="1708" t="e">
        <f>IF(D81&gt;=0,0,D81)</f>
        <v>#DIV/0!</v>
      </c>
      <c r="E86" s="409"/>
      <c r="F86" s="409"/>
      <c r="G86" s="409"/>
    </row>
    <row r="87" spans="1:7" ht="16" thickBot="1">
      <c r="A87" s="382" t="s">
        <v>2831</v>
      </c>
      <c r="B87" s="1679" t="s">
        <v>11080</v>
      </c>
      <c r="C87" s="565"/>
      <c r="D87" s="1726" t="e">
        <f>D81+D85+D86</f>
        <v>#DIV/0!</v>
      </c>
      <c r="E87" s="1002"/>
      <c r="F87" s="1002"/>
      <c r="G87" s="1002"/>
    </row>
    <row r="88" spans="1:7" ht="14" thickTop="1" thickBot="1">
      <c r="B88" s="1709"/>
    </row>
    <row r="89" spans="1:7" ht="16" thickTop="1">
      <c r="A89" s="1150" t="s">
        <v>7730</v>
      </c>
      <c r="B89" s="331"/>
      <c r="C89" s="1710"/>
      <c r="D89" s="330"/>
    </row>
    <row r="90" spans="1:7" ht="15.5">
      <c r="A90" s="382" t="s">
        <v>2832</v>
      </c>
      <c r="B90" s="385" t="s">
        <v>7910</v>
      </c>
      <c r="C90" s="1706"/>
      <c r="D90" s="1725" t="e">
        <f>'SOF2627-HB3'!I74</f>
        <v>#DIV/0!</v>
      </c>
    </row>
    <row r="91" spans="1:7" ht="15.5">
      <c r="A91" s="382" t="s">
        <v>2833</v>
      </c>
      <c r="B91" s="385" t="s">
        <v>7916</v>
      </c>
      <c r="C91" s="384"/>
      <c r="D91" s="281" t="e">
        <f>'SOF2627-HB3'!I82</f>
        <v>#DIV/0!</v>
      </c>
      <c r="E91" s="409"/>
      <c r="F91" s="409"/>
      <c r="G91" s="409"/>
    </row>
    <row r="92" spans="1:7" ht="15.5">
      <c r="A92" s="382" t="s">
        <v>2834</v>
      </c>
      <c r="B92" s="1714" t="s">
        <v>11081</v>
      </c>
      <c r="C92" s="1712"/>
      <c r="D92" s="1713" t="e">
        <f>D90+D91</f>
        <v>#DIV/0!</v>
      </c>
      <c r="E92" s="409"/>
      <c r="F92" s="409"/>
      <c r="G92" s="409"/>
    </row>
    <row r="93" spans="1:7" ht="15.5">
      <c r="A93" s="382" t="s">
        <v>2835</v>
      </c>
      <c r="B93" s="385" t="s">
        <v>10866</v>
      </c>
      <c r="C93" s="384"/>
      <c r="D93" s="281">
        <f>'Data Entry - SOF'!M116</f>
        <v>0</v>
      </c>
      <c r="E93" s="409"/>
      <c r="F93" s="409"/>
      <c r="G93" s="409"/>
    </row>
    <row r="94" spans="1:7" ht="16" thickBot="1">
      <c r="A94" s="383" t="s">
        <v>2836</v>
      </c>
      <c r="B94" s="565" t="s">
        <v>11082</v>
      </c>
      <c r="C94" s="1711"/>
      <c r="D94" s="315" t="e">
        <f>D92+D93</f>
        <v>#DIV/0!</v>
      </c>
      <c r="E94" s="366"/>
      <c r="F94" s="366"/>
      <c r="G94" s="366"/>
    </row>
    <row r="95" spans="1:7" ht="13.5" thickTop="1"/>
    <row r="98" spans="2:7" hidden="1">
      <c r="B98" s="58" t="s">
        <v>7082</v>
      </c>
      <c r="D98" s="724" t="e">
        <f>#REF!</f>
        <v>#REF!</v>
      </c>
      <c r="E98" s="724"/>
      <c r="F98" s="724"/>
      <c r="G98" s="724"/>
    </row>
    <row r="99" spans="2:7" hidden="1">
      <c r="D99" s="724" t="e">
        <f>D56</f>
        <v>#DIV/0!</v>
      </c>
      <c r="E99" s="724"/>
      <c r="F99" s="724"/>
      <c r="G99" s="724"/>
    </row>
    <row r="100" spans="2:7" hidden="1">
      <c r="D100" s="25" t="e">
        <f>IF(D98-D99&lt;=0,0,D98-D99)</f>
        <v>#REF!</v>
      </c>
    </row>
  </sheetData>
  <hyperlinks>
    <hyperlink ref="B70" location="'IFADetail2627-HB3'!A1" display="599/5829 - Instructional Facilities Allotment (Lease Purchase)  (See Link Above)" xr:uid="{00000000-0004-0000-1600-000000000000}"/>
    <hyperlink ref="B12" location="'SpEdDetail2627-HB3'!A1" display="Special Education FTEs                                                         (Link to Detail Report)                                                      " xr:uid="{00000000-0004-0000-1600-000001000000}"/>
    <hyperlink ref="B69" location="'IFADetail2627-HB3'!A1" display="599/5829 - Instructional Facilities Allotment (IFA) (Bond)    (Link to Detail Report)" xr:uid="{00000000-0004-0000-1600-000002000000}"/>
    <hyperlink ref="B68" location="'EDADetail2627-HB3'!A1" display="599/5829 - Existing Debt Allotment (EDA)                            (Link to Detail Report)" xr:uid="{00000000-0004-0000-1600-000003000000}"/>
    <hyperlink ref="B60" location="'T2Detail2627-HB3'!A1" display="Tier II State Aid                                                              (Link to Tier II Detail Report)" xr:uid="{00000000-0004-0000-1600-000004000000}"/>
    <hyperlink ref="B55" location="'T1Detail2627-HB3'!A1" display="Total Cost of Tier I                                                           (Link to Tier I Detail Report)" xr:uid="{00000000-0004-0000-1600-000005000000}"/>
    <hyperlink ref="B28" location="'Report-AA1920'!A1" display="Adjusted Allotment                                                                    (Link to Detail Report)" xr:uid="{00000000-0004-0000-1600-000006000000}"/>
    <hyperlink ref="B14" location="'Report-Calculations'!A1" display="Weighted ADA (WADA)                                                          (Link to Detail Report)" xr:uid="{00000000-0004-0000-1600-000007000000}"/>
    <hyperlink ref="B11" location="'Report-Calculations'!A1" display="Regular Program ADA (Line 1 - Line 3 - Line 4)          " xr:uid="{00000000-0004-0000-1600-000008000000}"/>
    <hyperlink ref="B76" location="'FSF2627-HB3'!A1" display="FSP Allocations and Adjustments Report                              (Link to Detail Report)" xr:uid="{00000000-0004-0000-1600-000009000000}"/>
    <hyperlink ref="B74" location="Recap40K_Detail2627!A1" display="Local Revenue in Excess of Entitlement                (Link to Cost of Recapture Report)" xr:uid="{00000000-0004-0000-1600-00000A000000}"/>
    <hyperlink ref="B61" location="'OtherDetail2627-HB3'!A1" display="Other Programs                                                                        (Link to Detail Report)" xr:uid="{00000000-0004-0000-1600-00000B000000}"/>
    <hyperlink ref="B71" location="'HH2627-40KCalcs'!B30" display="I&amp;S Hold Harmless (ASAHE for Facilities on TEA's Report) (Link to HH2627-Calcs tab)" xr:uid="{00000000-0004-0000-1600-00000C000000}"/>
    <hyperlink ref="B22" location="'M&amp;ODetail2627-HB3'!A1" display="2025-26 M&amp;O Tax Collections                                          (Link to Detail Report)              " xr:uid="{00000000-0004-0000-1600-00000D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99FF"/>
  </sheetPr>
  <dimension ref="A1:I98"/>
  <sheetViews>
    <sheetView zoomScaleNormal="100" workbookViewId="0">
      <selection activeCell="C4" sqref="C4"/>
    </sheetView>
  </sheetViews>
  <sheetFormatPr defaultRowHeight="12.5"/>
  <cols>
    <col min="1" max="1" width="7.1796875" customWidth="1"/>
    <col min="2" max="2" width="83.453125" customWidth="1"/>
    <col min="3" max="3" width="20.7265625" style="2042" customWidth="1"/>
    <col min="4" max="4" width="20.7265625" customWidth="1"/>
    <col min="5" max="6" width="20.54296875" customWidth="1"/>
    <col min="7" max="7" width="20.54296875" style="2042" hidden="1" customWidth="1"/>
    <col min="8" max="9" width="20.54296875" style="2042" customWidth="1"/>
  </cols>
  <sheetData>
    <row r="1" spans="1:9" ht="13">
      <c r="A1" s="57" t="s">
        <v>12495</v>
      </c>
      <c r="C1" s="426"/>
      <c r="D1" s="426"/>
      <c r="E1" s="47"/>
      <c r="F1" s="47"/>
      <c r="G1" s="1032" t="str">
        <f>'Report-SOF2425-SB1'!D1</f>
        <v>Release 2</v>
      </c>
      <c r="H1" s="47"/>
      <c r="I1" s="3227" t="str">
        <f>'Report-SOF2627-SB1'!D1</f>
        <v>Release 2</v>
      </c>
    </row>
    <row r="2" spans="1:9" ht="13">
      <c r="C2" s="58"/>
      <c r="D2" s="58"/>
      <c r="E2" s="47"/>
      <c r="F2" s="47"/>
      <c r="G2" s="1675">
        <f>'Report-SOF2425-SB1'!D2</f>
        <v>44930</v>
      </c>
      <c r="H2" s="47"/>
      <c r="I2" s="3228">
        <f>'Report-SOF2627-SB1'!D2</f>
        <v>44930</v>
      </c>
    </row>
    <row r="3" spans="1:9" ht="13">
      <c r="C3" s="47"/>
      <c r="D3" s="47"/>
      <c r="E3" s="47"/>
      <c r="F3" s="47"/>
      <c r="G3" s="47"/>
      <c r="H3" s="47"/>
      <c r="I3" s="47"/>
    </row>
    <row r="4" spans="1:9" ht="15.5">
      <c r="B4" s="1751" t="s">
        <v>12494</v>
      </c>
    </row>
    <row r="5" spans="1:9" ht="15.5">
      <c r="A5" s="248" t="str">
        <f>'Data Entry - SOF'!B1</f>
        <v xml:space="preserve"> </v>
      </c>
      <c r="B5" s="232"/>
    </row>
    <row r="6" spans="1:9" ht="15.5">
      <c r="A6" s="246">
        <f>'Data Entry - SOF'!B2</f>
        <v>0</v>
      </c>
      <c r="B6" s="232"/>
    </row>
    <row r="7" spans="1:9" ht="15.5">
      <c r="A7" s="246"/>
      <c r="B7" s="232"/>
    </row>
    <row r="8" spans="1:9" ht="15.5">
      <c r="A8" s="246"/>
      <c r="B8" s="232"/>
    </row>
    <row r="9" spans="1:9" ht="18">
      <c r="A9" s="356" t="s">
        <v>2554</v>
      </c>
      <c r="B9" s="359"/>
      <c r="C9" s="2794" t="s">
        <v>1202</v>
      </c>
      <c r="D9" s="2794" t="s">
        <v>1202</v>
      </c>
      <c r="E9" s="2794" t="s">
        <v>9082</v>
      </c>
      <c r="F9" s="2794" t="s">
        <v>9082</v>
      </c>
      <c r="G9" s="2794" t="s">
        <v>9082</v>
      </c>
      <c r="H9" s="2794" t="s">
        <v>9082</v>
      </c>
      <c r="I9" s="2794" t="s">
        <v>9082</v>
      </c>
    </row>
    <row r="10" spans="1:9" ht="18">
      <c r="A10" s="626" t="s">
        <v>2555</v>
      </c>
      <c r="B10" s="627"/>
      <c r="C10" s="2327" t="s">
        <v>5513</v>
      </c>
      <c r="D10" s="2327" t="s">
        <v>5951</v>
      </c>
      <c r="E10" s="2327" t="s">
        <v>7037</v>
      </c>
      <c r="F10" s="2327" t="s">
        <v>8487</v>
      </c>
      <c r="G10" s="2327" t="s">
        <v>9171</v>
      </c>
      <c r="H10" s="2327" t="s">
        <v>9171</v>
      </c>
      <c r="I10" s="2327" t="s">
        <v>11049</v>
      </c>
    </row>
    <row r="11" spans="1:9" ht="15.5">
      <c r="A11" s="250" t="s">
        <v>2063</v>
      </c>
      <c r="B11" s="251" t="s">
        <v>2556</v>
      </c>
      <c r="C11" s="256">
        <f>'Calc Data'!D7</f>
        <v>0</v>
      </c>
      <c r="D11" s="256">
        <f>'Calc Data'!E7</f>
        <v>0</v>
      </c>
      <c r="E11" s="256">
        <f>'Calc Data'!F7</f>
        <v>0</v>
      </c>
      <c r="F11" s="256">
        <f>'Calc Data'!G7</f>
        <v>0</v>
      </c>
      <c r="G11" s="256">
        <f>'Calc Data'!H7</f>
        <v>0</v>
      </c>
      <c r="H11" s="256">
        <f>'Calc Data'!H7</f>
        <v>0</v>
      </c>
      <c r="I11" s="256">
        <f>'Calc Data'!I7</f>
        <v>0</v>
      </c>
    </row>
    <row r="12" spans="1:9" ht="15.5">
      <c r="A12" s="250" t="s">
        <v>2064</v>
      </c>
      <c r="B12" s="410" t="s">
        <v>2847</v>
      </c>
      <c r="C12" s="256">
        <f>'Report-SOF2122-HB1525'!D11</f>
        <v>0</v>
      </c>
      <c r="D12" s="256">
        <f>'Report-SOF2223-SB1'!D11</f>
        <v>0</v>
      </c>
      <c r="E12" s="256">
        <f>'Report-SOF2324-SB1'!D11</f>
        <v>0</v>
      </c>
      <c r="F12" s="256">
        <f>'Report-SOF2425-SB1'!D11</f>
        <v>0</v>
      </c>
      <c r="G12" s="256">
        <f>'Report-SOF2627-SB1'!D11</f>
        <v>0</v>
      </c>
      <c r="H12" s="256">
        <f>'Report-SOF2526-SB1'!D11</f>
        <v>0</v>
      </c>
      <c r="I12" s="256">
        <f>'Report-SOF2627-SB1'!D11</f>
        <v>0</v>
      </c>
    </row>
    <row r="13" spans="1:9" ht="15.5">
      <c r="A13" s="250" t="s">
        <v>2065</v>
      </c>
      <c r="B13" s="1730" t="s">
        <v>2557</v>
      </c>
      <c r="C13" s="256">
        <f>'Report-SOF2122-HB1525'!D12</f>
        <v>0</v>
      </c>
      <c r="D13" s="256">
        <f>'Report-SOF2223-SB1'!D12</f>
        <v>0</v>
      </c>
      <c r="E13" s="256">
        <f>'Report-SOF2324-SB1'!D12</f>
        <v>0</v>
      </c>
      <c r="F13" s="256">
        <f>'Report-SOF2425-SB1'!D12</f>
        <v>0</v>
      </c>
      <c r="G13" s="256">
        <f>'Report-SOF2627-SB1'!D12</f>
        <v>0</v>
      </c>
      <c r="H13" s="256">
        <f>'Report-SOF2526-SB1'!D12</f>
        <v>0</v>
      </c>
      <c r="I13" s="256">
        <f>'Report-SOF2627-SB1'!D12</f>
        <v>0</v>
      </c>
    </row>
    <row r="14" spans="1:9" ht="15.5">
      <c r="A14" s="250" t="s">
        <v>862</v>
      </c>
      <c r="B14" s="251" t="s">
        <v>778</v>
      </c>
      <c r="C14" s="256">
        <f>'Data Entry - SOF'!C36+'Data Entry - SOF'!C37+'Data Entry - SOF'!C38</f>
        <v>0</v>
      </c>
      <c r="D14" s="256">
        <f>'Data Entry - SOF'!E36+'Data Entry - SOF'!E37+'Data Entry - SOF'!E38</f>
        <v>0</v>
      </c>
      <c r="E14" s="256">
        <f>'Data Entry - SOF'!G36+'Data Entry - SOF'!G37+'Data Entry - SOF'!G38</f>
        <v>0</v>
      </c>
      <c r="F14" s="256">
        <f>'Data Entry - SOF'!I36+'Data Entry - SOF'!I37+'Data Entry - SOF'!I38</f>
        <v>0</v>
      </c>
      <c r="G14" s="256">
        <f>'Data Entry - SOF'!K36+'Data Entry - SOF'!K37+'Data Entry - SOF'!K38</f>
        <v>0</v>
      </c>
      <c r="H14" s="256">
        <f>'Data Entry - SOF'!K36+'Data Entry - SOF'!K37+'Data Entry - SOF'!K38</f>
        <v>0</v>
      </c>
      <c r="I14" s="256">
        <f>'Data Entry - SOF'!M36+'Data Entry - SOF'!M37+'Data Entry - SOF'!M38</f>
        <v>0</v>
      </c>
    </row>
    <row r="15" spans="1:9" ht="15.5">
      <c r="A15" s="250" t="s">
        <v>863</v>
      </c>
      <c r="B15" s="1733" t="s">
        <v>8170</v>
      </c>
      <c r="C15" s="1732">
        <f>'SOF2122-HB3'!L61</f>
        <v>0</v>
      </c>
      <c r="D15" s="1732">
        <f>'SOF2223-HB3'!L61</f>
        <v>0</v>
      </c>
      <c r="E15" s="1732" t="e">
        <f>'SOF2324-HB3'!L61</f>
        <v>#DIV/0!</v>
      </c>
      <c r="F15" s="1732" t="e">
        <f>'SOF2425-HB3'!L61</f>
        <v>#DIV/0!</v>
      </c>
      <c r="G15" s="1732" t="e">
        <f>'SOF2526-HB3'!L61</f>
        <v>#DIV/0!</v>
      </c>
      <c r="H15" s="1732" t="e">
        <f>'SOF2526-HB3'!L61</f>
        <v>#DIV/0!</v>
      </c>
      <c r="I15" s="1732" t="e">
        <f>'SOF2627-HB3'!L61</f>
        <v>#DIV/0!</v>
      </c>
    </row>
    <row r="16" spans="1:9" ht="18">
      <c r="A16" s="607" t="s">
        <v>2560</v>
      </c>
      <c r="B16" s="620"/>
      <c r="C16" s="2183"/>
      <c r="D16" s="2183"/>
      <c r="E16" s="2183"/>
      <c r="F16" s="2183"/>
      <c r="G16" s="2183"/>
      <c r="H16" s="2183"/>
      <c r="I16" s="2183"/>
    </row>
    <row r="17" spans="1:9" ht="15.5">
      <c r="A17" s="250" t="s">
        <v>865</v>
      </c>
      <c r="B17" s="251" t="s">
        <v>8485</v>
      </c>
      <c r="C17" s="253">
        <f>'Report-SOF2122-HB1525'!D16</f>
        <v>0</v>
      </c>
      <c r="D17" s="253">
        <f>'Report-SOF2223-SB1'!D16</f>
        <v>0</v>
      </c>
      <c r="E17" s="253">
        <f>'Report-SOF2324-SB1'!D16</f>
        <v>0</v>
      </c>
      <c r="F17" s="253">
        <f>'Report-SOF2425-SB1'!D16</f>
        <v>0</v>
      </c>
      <c r="G17" s="253">
        <f>'Report-SOF2627-SB1'!D16</f>
        <v>0</v>
      </c>
      <c r="H17" s="253">
        <f>'Report-SOF2526-SB1'!D16</f>
        <v>0</v>
      </c>
      <c r="I17" s="253">
        <f>'Report-SOF2627-SB1'!D16</f>
        <v>0</v>
      </c>
    </row>
    <row r="18" spans="1:9" ht="15.5">
      <c r="A18" s="250" t="s">
        <v>866</v>
      </c>
      <c r="B18" s="251" t="s">
        <v>8486</v>
      </c>
      <c r="C18" s="253">
        <f>'Report-SOF2122-HB1525'!D17</f>
        <v>0</v>
      </c>
      <c r="D18" s="253">
        <f>'Report-SOF2223-SB1'!D17</f>
        <v>0</v>
      </c>
      <c r="E18" s="253">
        <f>'Report-SOF2324-SB1'!D17</f>
        <v>0</v>
      </c>
      <c r="F18" s="253">
        <f>'Report-SOF2425-SB1'!D17</f>
        <v>0</v>
      </c>
      <c r="G18" s="253">
        <f>'Report-SOF2526-SB1'!D17</f>
        <v>0</v>
      </c>
      <c r="H18" s="253">
        <f>'Report-SOF2526-SB1'!D17</f>
        <v>0</v>
      </c>
      <c r="I18" s="253">
        <f>'Report-SOF2627-SB1'!D17</f>
        <v>0</v>
      </c>
    </row>
    <row r="19" spans="1:9" ht="18">
      <c r="A19" s="607" t="s">
        <v>2561</v>
      </c>
      <c r="B19" s="620"/>
      <c r="C19" s="2183"/>
      <c r="D19" s="2183"/>
      <c r="E19" s="2183"/>
      <c r="F19" s="2183"/>
      <c r="G19" s="2183"/>
      <c r="H19" s="2183"/>
      <c r="I19" s="2183"/>
    </row>
    <row r="20" spans="1:9" ht="15.5">
      <c r="A20" s="250" t="s">
        <v>867</v>
      </c>
      <c r="B20" s="251" t="s">
        <v>2766</v>
      </c>
      <c r="C20" s="1676">
        <f>'Report-SOF2122-HB1525'!D19</f>
        <v>0</v>
      </c>
      <c r="D20" s="1676">
        <f>'Report-SOF2223-SB1'!D19</f>
        <v>0</v>
      </c>
      <c r="E20" s="1676">
        <f>'Report-SOF2324-SB1'!D19</f>
        <v>0</v>
      </c>
      <c r="F20" s="1676">
        <f>'Report-SOF2425-SB1'!D19</f>
        <v>0</v>
      </c>
      <c r="G20" s="1676">
        <f>'Report-SOF2526-SB1'!D19</f>
        <v>0</v>
      </c>
      <c r="H20" s="1676">
        <f>'Report-SOF2526-SB1'!D19</f>
        <v>0</v>
      </c>
      <c r="I20" s="1676">
        <f>'Report-SOF2627-SB1'!D19</f>
        <v>0</v>
      </c>
    </row>
    <row r="21" spans="1:9" ht="15.5">
      <c r="A21" s="250" t="s">
        <v>109</v>
      </c>
      <c r="B21" s="251" t="s">
        <v>9246</v>
      </c>
      <c r="C21" s="1676">
        <f>'Report-SOF2122-HB1525'!D20</f>
        <v>0</v>
      </c>
      <c r="D21" s="1676">
        <f>'Report-SOF2223-SB1'!D20</f>
        <v>0</v>
      </c>
      <c r="E21" s="1676" t="e">
        <f>'Report-SOF2324-SB1'!D20</f>
        <v>#DIV/0!</v>
      </c>
      <c r="F21" s="1676" t="e">
        <f>'Report-SOF2425-SB1'!D20</f>
        <v>#DIV/0!</v>
      </c>
      <c r="G21" s="1676" t="e">
        <f>'Report-SOF2526-SB1'!D20</f>
        <v>#DIV/0!</v>
      </c>
      <c r="H21" s="1676">
        <f>'Report-SOF2526-SB1'!DF20</f>
        <v>0</v>
      </c>
      <c r="I21" s="1676">
        <f>'Report-SOF2526-SB1'!DG20</f>
        <v>0</v>
      </c>
    </row>
    <row r="22" spans="1:9" ht="15.5">
      <c r="A22" s="250" t="s">
        <v>110</v>
      </c>
      <c r="B22" s="251" t="s">
        <v>9247</v>
      </c>
      <c r="C22" s="1676">
        <f>'Report-SOF2122-HB1525'!D21</f>
        <v>0</v>
      </c>
      <c r="D22" s="1676">
        <f>'Report-SOF2223-SB1'!D21</f>
        <v>0</v>
      </c>
      <c r="E22" s="1676" t="e">
        <f>'Report-SOF2324-SB1'!D21</f>
        <v>#DIV/0!</v>
      </c>
      <c r="F22" s="1676" t="e">
        <f>'Report-SOF2425-SB1'!D21</f>
        <v>#DIV/0!</v>
      </c>
      <c r="G22" s="1676" t="e">
        <f>'Report-SOF2526-SB1'!D21</f>
        <v>#DIV/0!</v>
      </c>
      <c r="H22" s="1676" t="e">
        <f>'Report-SOF2526-SB1'!D21</f>
        <v>#DIV/0!</v>
      </c>
      <c r="I22" s="1676" t="e">
        <f>'Report-SOF2627-SB1'!D21</f>
        <v>#DIV/0!</v>
      </c>
    </row>
    <row r="23" spans="1:9" ht="15.5">
      <c r="A23" s="250" t="s">
        <v>111</v>
      </c>
      <c r="B23" s="411" t="s">
        <v>9248</v>
      </c>
      <c r="C23" s="253">
        <f>'Report-SOF2122-HB1525'!D22</f>
        <v>0</v>
      </c>
      <c r="D23" s="253">
        <f>'Report-SOF2223-SB1'!D22</f>
        <v>0</v>
      </c>
      <c r="E23" s="253">
        <f>'Report-SOF2324-SB1'!D22</f>
        <v>0</v>
      </c>
      <c r="F23" s="253">
        <f>'Report-SOF2425-SB1'!D22</f>
        <v>0</v>
      </c>
      <c r="G23" s="253">
        <f>'Report-SOF2526-SB1'!D22</f>
        <v>0</v>
      </c>
      <c r="H23" s="253">
        <f>'Report-SOF2526-SB1'!D22</f>
        <v>0</v>
      </c>
      <c r="I23" s="253">
        <f>'Report-SOF2627-SB1'!D22</f>
        <v>0</v>
      </c>
    </row>
    <row r="24" spans="1:9" ht="15.5">
      <c r="A24" s="250" t="s">
        <v>112</v>
      </c>
      <c r="B24" s="251" t="s">
        <v>9249</v>
      </c>
      <c r="C24" s="1676">
        <f>'Report-SOF2223-SB1'!C23</f>
        <v>0</v>
      </c>
      <c r="D24" s="1676">
        <f>'Report-SOF2223-SB1'!D23</f>
        <v>0</v>
      </c>
      <c r="E24" s="1676">
        <f>'Report-SOF2324-SB1'!D23</f>
        <v>0</v>
      </c>
      <c r="F24" s="1676">
        <f>'Report-SOF2425-SB1'!D23</f>
        <v>0</v>
      </c>
      <c r="G24" s="1676">
        <f>'Report-SOF2526-SB1'!D23</f>
        <v>0</v>
      </c>
      <c r="H24" s="1676">
        <f>'Report-SOF2526-SB1'!D23</f>
        <v>0</v>
      </c>
      <c r="I24" s="1676">
        <f>'Report-SOF2627-SB1'!D23</f>
        <v>0</v>
      </c>
    </row>
    <row r="25" spans="1:9" ht="15.5">
      <c r="A25" s="250" t="s">
        <v>1424</v>
      </c>
      <c r="B25" s="251" t="s">
        <v>2767</v>
      </c>
      <c r="C25" s="253">
        <f>'Report-SOF2122-HB1525'!D24</f>
        <v>0</v>
      </c>
      <c r="D25" s="253">
        <f>'Report-SOF2223-SB1'!D24</f>
        <v>0</v>
      </c>
      <c r="E25" s="253">
        <f>'Report-SOF2324-SB1'!D24</f>
        <v>0</v>
      </c>
      <c r="F25" s="253">
        <f>'Report-SOF2425-SB1'!D24</f>
        <v>0</v>
      </c>
      <c r="G25" s="253">
        <f>'Report-SOF2526-SB1'!D24</f>
        <v>0</v>
      </c>
      <c r="H25" s="253">
        <f>'Report-SOF2526-SB1'!D24</f>
        <v>0</v>
      </c>
      <c r="I25" s="253">
        <f>'Report-SOF2627-SB1'!D24</f>
        <v>0</v>
      </c>
    </row>
    <row r="26" spans="1:9" ht="15.5">
      <c r="A26" s="250" t="s">
        <v>6</v>
      </c>
      <c r="B26" s="251" t="s">
        <v>9250</v>
      </c>
      <c r="C26" s="253">
        <f>'Report-SOF2122-HB1525'!D25</f>
        <v>0</v>
      </c>
      <c r="D26" s="253">
        <f>'Report-SOF2223-SB1'!D25</f>
        <v>0</v>
      </c>
      <c r="E26" s="253">
        <f>'Report-SOF2324-SB1'!D25</f>
        <v>0</v>
      </c>
      <c r="F26" s="253">
        <f>'Report-SOF2425-SB1'!D25</f>
        <v>0</v>
      </c>
      <c r="G26" s="253">
        <f>'Report-SOF2526-SB1'!D25</f>
        <v>0</v>
      </c>
      <c r="H26" s="253">
        <f>'Report-SOF2526-SB1'!D25</f>
        <v>0</v>
      </c>
      <c r="I26" s="253">
        <f>'Report-SOF2627-SB1'!D25</f>
        <v>0</v>
      </c>
    </row>
    <row r="27" spans="1:9" ht="15.5">
      <c r="A27" s="250" t="s">
        <v>2109</v>
      </c>
      <c r="B27" s="251" t="s">
        <v>257</v>
      </c>
      <c r="C27" s="341" t="str">
        <f>'Report-SOF2122-HB1525'!D26</f>
        <v>N/A</v>
      </c>
      <c r="D27" s="341" t="str">
        <f>'Report-SOF2223-SB1'!D26</f>
        <v>N/A</v>
      </c>
      <c r="E27" s="341" t="str">
        <f>'Report-SOF2324-SB1'!D26</f>
        <v>N/A</v>
      </c>
      <c r="F27" s="341" t="str">
        <f>'Report-SOF2425-SB1'!D26</f>
        <v>N/A</v>
      </c>
      <c r="G27" s="341" t="str">
        <f>'Report-SOF2526-SB1'!D26</f>
        <v>N/A</v>
      </c>
      <c r="H27" s="341" t="str">
        <f>'Report-SOF2526-SB1'!D26</f>
        <v>N/A</v>
      </c>
      <c r="I27" s="341" t="str">
        <f>'Report-SOF2627-SB1'!D26</f>
        <v>N/A</v>
      </c>
    </row>
    <row r="28" spans="1:9" ht="18">
      <c r="A28" s="607" t="s">
        <v>2568</v>
      </c>
      <c r="B28" s="620"/>
      <c r="C28" s="2183"/>
      <c r="D28" s="2183"/>
      <c r="E28" s="2183"/>
      <c r="F28" s="2183"/>
      <c r="G28" s="2183"/>
      <c r="H28" s="2183"/>
      <c r="I28" s="2183"/>
    </row>
    <row r="29" spans="1:9" ht="15.5">
      <c r="A29" s="250" t="s">
        <v>2110</v>
      </c>
      <c r="B29" s="411" t="s">
        <v>8118</v>
      </c>
      <c r="C29" s="255">
        <f>'Report-SOF2122-HB1525'!D28</f>
        <v>6160</v>
      </c>
      <c r="D29" s="255">
        <f>'Report-SOF2223-SB1'!D28</f>
        <v>6160</v>
      </c>
      <c r="E29" s="255" t="e">
        <f>'Report-SOF2324-SB1'!D28</f>
        <v>#DIV/0!</v>
      </c>
      <c r="F29" s="255" t="e">
        <f>'Report-SOF2425-SB1'!D28</f>
        <v>#DIV/0!</v>
      </c>
      <c r="G29" s="255" t="e">
        <f>'Report-SOF2526-SB1'!D28</f>
        <v>#DIV/0!</v>
      </c>
      <c r="H29" s="255" t="e">
        <f>'Report-SOF2526-SB1'!D28</f>
        <v>#DIV/0!</v>
      </c>
      <c r="I29" s="255">
        <f>'Report-SOF2627-SB1'!D28</f>
        <v>6160</v>
      </c>
    </row>
    <row r="30" spans="1:9" ht="15.5">
      <c r="A30" s="250" t="s">
        <v>2562</v>
      </c>
      <c r="B30" s="1693" t="s">
        <v>8119</v>
      </c>
      <c r="C30" s="255">
        <f>'Report-SOF2122-HB1525'!D29</f>
        <v>0</v>
      </c>
      <c r="D30" s="255">
        <f>'Report-SOF2223-SB1'!D29</f>
        <v>0</v>
      </c>
      <c r="E30" s="255">
        <f>'Report-SOF2324-SB1'!D29</f>
        <v>0</v>
      </c>
      <c r="F30" s="255">
        <f>'Report-SOF2425-SB1'!D29</f>
        <v>0</v>
      </c>
      <c r="G30" s="255">
        <f>'Report-SOF2526-SB1'!D29</f>
        <v>0</v>
      </c>
      <c r="H30" s="255">
        <f>'Report-SOF2526-SB1'!D29</f>
        <v>0</v>
      </c>
      <c r="I30" s="255">
        <f>'Report-SOF2627-SB1'!D29</f>
        <v>0</v>
      </c>
    </row>
    <row r="31" spans="1:9" ht="15.5">
      <c r="A31" s="250" t="s">
        <v>2563</v>
      </c>
      <c r="B31" s="251" t="s">
        <v>2574</v>
      </c>
      <c r="C31" s="257">
        <f>'Report-SOF2122-HB1525'!D30</f>
        <v>510.89</v>
      </c>
      <c r="D31" s="257">
        <f>'Report-SOF2223-SB1'!D30</f>
        <v>629.51800000000003</v>
      </c>
      <c r="E31" s="257">
        <f>'Report-SOF2324-SB1'!D30</f>
        <v>400</v>
      </c>
      <c r="F31" s="257">
        <f>'Report-SOF2425-SB1'!D30</f>
        <v>450</v>
      </c>
      <c r="G31" s="257">
        <f>'Report-SOF2526-SB1'!D30</f>
        <v>400</v>
      </c>
      <c r="H31" s="257">
        <f>'Report-SOF2526-SB1'!D30</f>
        <v>400</v>
      </c>
      <c r="I31" s="257">
        <f>'Report-SOF2627-SB1'!D30</f>
        <v>400</v>
      </c>
    </row>
    <row r="32" spans="1:9" ht="18">
      <c r="A32" s="621" t="s">
        <v>2594</v>
      </c>
      <c r="B32" s="620"/>
      <c r="C32" s="2183"/>
      <c r="D32" s="2183"/>
      <c r="E32" s="2183"/>
      <c r="F32" s="2183"/>
      <c r="G32" s="2183"/>
      <c r="H32" s="2183"/>
      <c r="I32" s="2183"/>
    </row>
    <row r="33" spans="1:9" ht="18">
      <c r="A33" s="621" t="s">
        <v>8120</v>
      </c>
      <c r="B33" s="621"/>
      <c r="C33" s="2792" t="s">
        <v>5513</v>
      </c>
      <c r="D33" s="2792" t="s">
        <v>5951</v>
      </c>
      <c r="E33" s="2792" t="s">
        <v>7037</v>
      </c>
      <c r="F33" s="2792" t="s">
        <v>8487</v>
      </c>
      <c r="G33" s="2792" t="s">
        <v>9171</v>
      </c>
      <c r="H33" s="2792" t="s">
        <v>9171</v>
      </c>
      <c r="I33" s="2792" t="str">
        <f>I10</f>
        <v>2026-27</v>
      </c>
    </row>
    <row r="34" spans="1:9" ht="15.5">
      <c r="A34" s="250" t="s">
        <v>2564</v>
      </c>
      <c r="B34" s="251" t="s">
        <v>8121</v>
      </c>
      <c r="C34" s="255">
        <f>'Report-SOF2122-HB1525'!D33</f>
        <v>0</v>
      </c>
      <c r="D34" s="255">
        <f>'Report-SOF2223-SB1'!D33</f>
        <v>0</v>
      </c>
      <c r="E34" s="255" t="e">
        <f>'Report-SOF2324-SB1'!D33</f>
        <v>#DIV/0!</v>
      </c>
      <c r="F34" s="255" t="e">
        <f>'Report-SOF2425-SB1'!D33</f>
        <v>#DIV/0!</v>
      </c>
      <c r="G34" s="255" t="e">
        <f>'Report-SOF2526-SB1'!D33</f>
        <v>#DIV/0!</v>
      </c>
      <c r="H34" s="255" t="e">
        <f>'Report-SOF2526-SB1'!D33</f>
        <v>#DIV/0!</v>
      </c>
      <c r="I34" s="255">
        <f>'Report-SOF2627-SB1'!D33</f>
        <v>0</v>
      </c>
    </row>
    <row r="35" spans="1:9" ht="15.5">
      <c r="A35" s="250" t="s">
        <v>2565</v>
      </c>
      <c r="B35" s="1685" t="s">
        <v>8122</v>
      </c>
      <c r="C35" s="255">
        <f>'Report-SOF2122-HB1525'!D34</f>
        <v>0</v>
      </c>
      <c r="D35" s="255">
        <f>'Report-SOF2223-SB1'!D34</f>
        <v>0</v>
      </c>
      <c r="E35" s="255">
        <f>'Report-SOF2324-SB1'!D34</f>
        <v>0</v>
      </c>
      <c r="F35" s="255">
        <f>'Report-SOF2425-SB1'!D34</f>
        <v>0</v>
      </c>
      <c r="G35" s="255">
        <f>'Report-SOF2526-SB1'!D34</f>
        <v>0</v>
      </c>
      <c r="H35" s="255">
        <f>'Report-SOF2526-SB1'!D34</f>
        <v>0</v>
      </c>
      <c r="I35" s="255">
        <f>'Report-SOF2627-SB1'!D34</f>
        <v>0</v>
      </c>
    </row>
    <row r="36" spans="1:9" ht="15.5">
      <c r="A36" s="250" t="s">
        <v>2566</v>
      </c>
      <c r="B36" s="251" t="s">
        <v>8123</v>
      </c>
      <c r="C36" s="255">
        <f>'Report-SOF2122-HB1525'!D35</f>
        <v>0</v>
      </c>
      <c r="D36" s="255">
        <f>'Report-SOF2223-SB1'!D35</f>
        <v>0</v>
      </c>
      <c r="E36" s="255" t="e">
        <f>'Report-SOF2324-SB1'!D35</f>
        <v>#DIV/0!</v>
      </c>
      <c r="F36" s="255" t="e">
        <f>'Report-SOF2425-SB1'!D35</f>
        <v>#DIV/0!</v>
      </c>
      <c r="G36" s="255" t="e">
        <f>'Report-SOF2526-SB1'!D35</f>
        <v>#DIV/0!</v>
      </c>
      <c r="H36" s="255" t="e">
        <f>'Report-SOF2526-SB1'!D35</f>
        <v>#DIV/0!</v>
      </c>
      <c r="I36" s="255">
        <f>'Report-SOF2627-SB1'!D35</f>
        <v>0</v>
      </c>
    </row>
    <row r="37" spans="1:9" ht="15.5">
      <c r="A37" s="250" t="s">
        <v>2567</v>
      </c>
      <c r="B37" s="1685" t="s">
        <v>8269</v>
      </c>
      <c r="C37" s="255">
        <f>'Report-SOF2122-HB1525'!D36</f>
        <v>0</v>
      </c>
      <c r="D37" s="255">
        <f>'Report-SOF2223-SB1'!D36</f>
        <v>0</v>
      </c>
      <c r="E37" s="255" t="e">
        <f>'Report-SOF2324-SB1'!D36</f>
        <v>#DIV/0!</v>
      </c>
      <c r="F37" s="255" t="e">
        <f>'Report-SOF2425-SB1'!D36</f>
        <v>#DIV/0!</v>
      </c>
      <c r="G37" s="255" t="e">
        <f>'Report-SOF2526-SB1'!D36</f>
        <v>#DIV/0!</v>
      </c>
      <c r="H37" s="255" t="e">
        <f>'Report-SOF2526-SB1'!D36</f>
        <v>#DIV/0!</v>
      </c>
      <c r="I37" s="255">
        <f>'Report-SOF2627-SB1'!D36</f>
        <v>0</v>
      </c>
    </row>
    <row r="38" spans="1:9" ht="15.5">
      <c r="A38" s="250" t="s">
        <v>2569</v>
      </c>
      <c r="B38" s="251" t="s">
        <v>8124</v>
      </c>
      <c r="C38" s="255">
        <f>'Report-SOF2122-HB1525'!D37</f>
        <v>0</v>
      </c>
      <c r="D38" s="255">
        <f>'Report-SOF2223-SB1'!D37</f>
        <v>0</v>
      </c>
      <c r="E38" s="255" t="e">
        <f>'Report-SOF2324-SB1'!D37</f>
        <v>#DIV/0!</v>
      </c>
      <c r="F38" s="255" t="e">
        <f>'Report-SOF2425-SB1'!D37</f>
        <v>#DIV/0!</v>
      </c>
      <c r="G38" s="255" t="e">
        <f>'Report-SOF2526-SB1'!D37</f>
        <v>#DIV/0!</v>
      </c>
      <c r="H38" s="255" t="e">
        <f>'Report-SOF2526-SB1'!D37</f>
        <v>#DIV/0!</v>
      </c>
      <c r="I38" s="255">
        <f>'Report-SOF2627-SB1'!D37</f>
        <v>0</v>
      </c>
    </row>
    <row r="39" spans="1:9" ht="15.5">
      <c r="A39" s="250" t="s">
        <v>2570</v>
      </c>
      <c r="B39" s="251" t="s">
        <v>8125</v>
      </c>
      <c r="C39" s="255">
        <f>'Report-SOF2122-HB1525'!D38</f>
        <v>0</v>
      </c>
      <c r="D39" s="255">
        <f>'Report-SOF2223-SB1'!D38</f>
        <v>0</v>
      </c>
      <c r="E39" s="255" t="e">
        <f>'Report-SOF2324-SB1'!D38</f>
        <v>#DIV/0!</v>
      </c>
      <c r="F39" s="255" t="e">
        <f>'Report-SOF2425-SB1'!D38</f>
        <v>#DIV/0!</v>
      </c>
      <c r="G39" s="255" t="e">
        <f>'Report-SOF2526-SB1'!D38</f>
        <v>#DIV/0!</v>
      </c>
      <c r="H39" s="255" t="e">
        <f>'Report-SOF2526-SB1'!D38</f>
        <v>#DIV/0!</v>
      </c>
      <c r="I39" s="255">
        <f>'Report-SOF2627-SB1'!D38</f>
        <v>0</v>
      </c>
    </row>
    <row r="40" spans="1:9" ht="15.5">
      <c r="A40" s="250" t="s">
        <v>2571</v>
      </c>
      <c r="B40" s="251" t="s">
        <v>8126</v>
      </c>
      <c r="C40" s="255">
        <f>'Report-SOF2122-HB1525'!D39</f>
        <v>0</v>
      </c>
      <c r="D40" s="255">
        <f>'Report-SOF2223-SB1'!D39</f>
        <v>0</v>
      </c>
      <c r="E40" s="255" t="e">
        <f>'Report-SOF2324-SB1'!D39</f>
        <v>#DIV/0!</v>
      </c>
      <c r="F40" s="255" t="e">
        <f>'Report-SOF2425-SB1'!D39</f>
        <v>#DIV/0!</v>
      </c>
      <c r="G40" s="255" t="e">
        <f>'Report-SOF2526-SB1'!D39</f>
        <v>#DIV/0!</v>
      </c>
      <c r="H40" s="255" t="e">
        <f>'Report-SOF2526-SB1'!D39</f>
        <v>#DIV/0!</v>
      </c>
      <c r="I40" s="255">
        <f>'Report-SOF2627-SB1'!D39</f>
        <v>0</v>
      </c>
    </row>
    <row r="41" spans="1:9" ht="15.5">
      <c r="A41" s="250" t="s">
        <v>2572</v>
      </c>
      <c r="B41" s="251" t="s">
        <v>8127</v>
      </c>
      <c r="C41" s="255">
        <f>'Report-SOF2122-HB1525'!D4</f>
        <v>0</v>
      </c>
      <c r="D41" s="255">
        <f>'Report-SOF2223-SB1'!D40</f>
        <v>0</v>
      </c>
      <c r="E41" s="255" t="e">
        <f>'Report-SOF2324-SB1'!D40</f>
        <v>#DIV/0!</v>
      </c>
      <c r="F41" s="255" t="e">
        <f>'Report-SOF2425-SB1'!D40</f>
        <v>#DIV/0!</v>
      </c>
      <c r="G41" s="255" t="e">
        <f>'Report-SOF2526-SB1'!D40</f>
        <v>#DIV/0!</v>
      </c>
      <c r="H41" s="255" t="e">
        <f>'Report-SOF2526-SB1'!D40</f>
        <v>#DIV/0!</v>
      </c>
      <c r="I41" s="255">
        <f>'Report-SOF2627-SB1'!D40</f>
        <v>0</v>
      </c>
    </row>
    <row r="42" spans="1:9" ht="15.5">
      <c r="A42" s="250" t="s">
        <v>2573</v>
      </c>
      <c r="B42" s="1685" t="s">
        <v>8270</v>
      </c>
      <c r="C42" s="255">
        <f>'Report-SOF2122-HB1525'!D41</f>
        <v>0</v>
      </c>
      <c r="D42" s="255">
        <f>'Report-SOF2223-SB1'!D41</f>
        <v>0</v>
      </c>
      <c r="E42" s="255" t="e">
        <f>'Report-SOF2324-SB1'!D41</f>
        <v>#DIV/0!</v>
      </c>
      <c r="F42" s="255" t="e">
        <f>'Report-SOF2425-SB1'!D41</f>
        <v>#DIV/0!</v>
      </c>
      <c r="G42" s="255" t="e">
        <f>'Report-SOF2526-SB1'!D41</f>
        <v>#DIV/0!</v>
      </c>
      <c r="H42" s="255" t="e">
        <f>'Report-SOF2526-SB1'!D41</f>
        <v>#DIV/0!</v>
      </c>
      <c r="I42" s="255">
        <f>'Report-SOF2627-SB1'!D41</f>
        <v>0</v>
      </c>
    </row>
    <row r="43" spans="1:9" s="2042" customFormat="1" ht="15.5">
      <c r="A43" s="250" t="s">
        <v>2575</v>
      </c>
      <c r="B43" s="2186" t="s">
        <v>9064</v>
      </c>
      <c r="C43" s="255">
        <f>'Report-SOF2122-HB1525'!D42</f>
        <v>0</v>
      </c>
      <c r="D43" s="2187">
        <f>'Report-SOF2223-SB1'!D42</f>
        <v>0</v>
      </c>
      <c r="E43" s="2187" t="e">
        <f>'Report-SOF2324-SB1'!D42</f>
        <v>#DIV/0!</v>
      </c>
      <c r="F43" s="2187" t="e">
        <f>'Report-SOF2425-SB1'!D42</f>
        <v>#DIV/0!</v>
      </c>
      <c r="G43" s="2187" t="e">
        <f>'Report-SOF2526-SB1'!D42</f>
        <v>#DIV/0!</v>
      </c>
      <c r="H43" s="255" t="e">
        <f>'Report-SOF2526-SB1'!D42</f>
        <v>#DIV/0!</v>
      </c>
      <c r="I43" s="255">
        <f>'Report-SOF2627-SB1'!D42</f>
        <v>0</v>
      </c>
    </row>
    <row r="44" spans="1:9" ht="15.5">
      <c r="A44" s="250" t="s">
        <v>2576</v>
      </c>
      <c r="B44" s="1694" t="s">
        <v>8271</v>
      </c>
      <c r="C44" s="255">
        <f>'Report-SOF2122-HB1525'!D43</f>
        <v>0</v>
      </c>
      <c r="D44" s="255">
        <f>'Report-SOF2223-SB1'!D43</f>
        <v>0</v>
      </c>
      <c r="E44" s="255">
        <f>'Report-SOF2324-SB1'!D43</f>
        <v>0</v>
      </c>
      <c r="F44" s="255">
        <f>'Report-SOF2425-SB1'!D43</f>
        <v>0</v>
      </c>
      <c r="G44" s="255">
        <f>'Report-SOF2526-SB1'!D43</f>
        <v>0</v>
      </c>
      <c r="H44" s="255">
        <f>'Report-SOF2526-SB1'!D43</f>
        <v>0</v>
      </c>
      <c r="I44" s="255">
        <f>'Report-SOF2627-SB1'!D43</f>
        <v>0</v>
      </c>
    </row>
    <row r="45" spans="1:9" ht="15.5">
      <c r="A45" s="250" t="s">
        <v>2577</v>
      </c>
      <c r="B45" s="1695" t="s">
        <v>8128</v>
      </c>
      <c r="C45" s="255" t="e">
        <f>'Report-SOF2122-HB1525'!D44</f>
        <v>#N/A</v>
      </c>
      <c r="D45" s="255">
        <f>'Report-SOF2223-SB1'!D44</f>
        <v>0</v>
      </c>
      <c r="E45" s="255" t="e">
        <f>'Report-SOF2324-SB1'!D44</f>
        <v>#DIV/0!</v>
      </c>
      <c r="F45" s="255" t="e">
        <f>'Report-SOF2425-SB1'!D44</f>
        <v>#DIV/0!</v>
      </c>
      <c r="G45" s="255" t="e">
        <f>'Report-SOF2526-SB1'!D44</f>
        <v>#DIV/0!</v>
      </c>
      <c r="H45" s="255" t="e">
        <f>'Report-SOF2526-SB1'!D44</f>
        <v>#DIV/0!</v>
      </c>
      <c r="I45" s="255" t="e">
        <f>'Report-SOF2627-SB1'!D44</f>
        <v>#DIV/0!</v>
      </c>
    </row>
    <row r="46" spans="1:9" ht="15.5">
      <c r="A46" s="250" t="s">
        <v>2578</v>
      </c>
      <c r="B46" s="1695" t="s">
        <v>8129</v>
      </c>
      <c r="C46" s="255">
        <f>'Report-SOF2122-HB1525'!D45</f>
        <v>0</v>
      </c>
      <c r="D46" s="255">
        <f>'Report-SOF2223-SB1'!D45</f>
        <v>0</v>
      </c>
      <c r="E46" s="255">
        <f>'Report-SOF2324-SB1'!D45</f>
        <v>0</v>
      </c>
      <c r="F46" s="255">
        <f>'Report-SOF2425-SB1'!D45</f>
        <v>0</v>
      </c>
      <c r="G46" s="255">
        <f>'Report-SOF2526-SB1'!D45</f>
        <v>0</v>
      </c>
      <c r="H46" s="255">
        <f>'Report-SOF2526-SB1'!D45</f>
        <v>0</v>
      </c>
      <c r="I46" s="255">
        <f>'Report-SOF2627-SB1'!D45</f>
        <v>0</v>
      </c>
    </row>
    <row r="47" spans="1:9" ht="15.5">
      <c r="A47" s="250" t="s">
        <v>2579</v>
      </c>
      <c r="B47" s="1696" t="s">
        <v>8130</v>
      </c>
      <c r="C47" s="255">
        <f>'Report-SOF2122-HB1525'!D46</f>
        <v>0</v>
      </c>
      <c r="D47" s="255">
        <f>'Report-SOF2223-SB1'!D46</f>
        <v>0</v>
      </c>
      <c r="E47" s="255">
        <f>'Report-SOF2324-SB1'!D46</f>
        <v>0</v>
      </c>
      <c r="F47" s="255">
        <f>'Report-SOF2425-SB1'!D46</f>
        <v>0</v>
      </c>
      <c r="G47" s="255">
        <f>'Report-SOF2526-SB1'!D46</f>
        <v>0</v>
      </c>
      <c r="H47" s="255">
        <f>'Report-SOF2526-SB1'!D46</f>
        <v>0</v>
      </c>
      <c r="I47" s="255">
        <f>'Report-SOF2627-SB1'!D46</f>
        <v>0</v>
      </c>
    </row>
    <row r="48" spans="1:9" ht="15.5">
      <c r="A48" s="250" t="s">
        <v>2580</v>
      </c>
      <c r="B48" s="1695" t="s">
        <v>8131</v>
      </c>
      <c r="C48" s="255">
        <f>'Report-SOF2122-HB1525'!D47</f>
        <v>0</v>
      </c>
      <c r="D48" s="255">
        <f>'Report-SOF2223-SB1'!D47</f>
        <v>0</v>
      </c>
      <c r="E48" s="255">
        <f>'Report-SOF2324-SB1'!D47</f>
        <v>0</v>
      </c>
      <c r="F48" s="255">
        <f>'Report-SOF2425-SB1'!D47</f>
        <v>0</v>
      </c>
      <c r="G48" s="255">
        <f>'Report-SOF2526-SB1'!D47</f>
        <v>0</v>
      </c>
      <c r="H48" s="255">
        <f>'Report-SOF2526-SB1'!D47</f>
        <v>0</v>
      </c>
      <c r="I48" s="255">
        <f>'Report-SOF2627-SB1'!D47</f>
        <v>0</v>
      </c>
    </row>
    <row r="49" spans="1:9" ht="18">
      <c r="A49" s="621" t="s">
        <v>8132</v>
      </c>
      <c r="B49" s="621"/>
      <c r="C49" s="2183"/>
      <c r="D49" s="2183"/>
      <c r="E49" s="2183"/>
      <c r="F49" s="2183"/>
      <c r="G49" s="2183"/>
      <c r="H49" s="2183"/>
      <c r="I49" s="2183"/>
    </row>
    <row r="50" spans="1:9" ht="15.5">
      <c r="A50" s="250" t="s">
        <v>2581</v>
      </c>
      <c r="B50" s="251" t="s">
        <v>8133</v>
      </c>
      <c r="C50" s="255">
        <f>'Report-SOF2122-HB1525'!D49</f>
        <v>0</v>
      </c>
      <c r="D50" s="255">
        <f>'Report-SOF2223-SB1'!D49</f>
        <v>0</v>
      </c>
      <c r="E50" s="255">
        <f>'Report-SOF2324-SB1'!D49</f>
        <v>0</v>
      </c>
      <c r="F50" s="255">
        <f>'Report-SOF2425-SB1'!D49</f>
        <v>0</v>
      </c>
      <c r="G50" s="255">
        <f>'Report-SOF2526-SB1'!D49</f>
        <v>0</v>
      </c>
      <c r="H50" s="255">
        <f>'Report-SOF2526-SB1'!D49</f>
        <v>0</v>
      </c>
      <c r="I50" s="255">
        <f>'Report-SOF2627-SB1'!D49</f>
        <v>0</v>
      </c>
    </row>
    <row r="51" spans="1:9" ht="15.5">
      <c r="A51" s="250" t="s">
        <v>2582</v>
      </c>
      <c r="B51" s="251" t="s">
        <v>8134</v>
      </c>
      <c r="C51" s="255">
        <f>'Report-SOF2122-HB1525'!D50</f>
        <v>0</v>
      </c>
      <c r="D51" s="255">
        <f>'Report-SOF2223-SB1'!D50</f>
        <v>0</v>
      </c>
      <c r="E51" s="255">
        <f>'Report-SOF2324-SB1'!D50</f>
        <v>0</v>
      </c>
      <c r="F51" s="255">
        <f>'Report-SOF2425-SB1'!D50</f>
        <v>0</v>
      </c>
      <c r="G51" s="255">
        <f>'Report-SOF2526-SB1'!D50</f>
        <v>0</v>
      </c>
      <c r="H51" s="255">
        <f>'Report-SOF2526-SB1'!D50</f>
        <v>0</v>
      </c>
      <c r="I51" s="255">
        <f>'Report-SOF2627-SB1'!D50</f>
        <v>0</v>
      </c>
    </row>
    <row r="52" spans="1:9" ht="15.5">
      <c r="A52" s="250" t="s">
        <v>2583</v>
      </c>
      <c r="B52" s="1685" t="s">
        <v>8135</v>
      </c>
      <c r="C52" s="255">
        <f>'Report-SOF2122-HB1525'!D51</f>
        <v>0</v>
      </c>
      <c r="D52" s="255">
        <f>'Report-SOF2223-SB1'!D51</f>
        <v>0</v>
      </c>
      <c r="E52" s="255">
        <f>'Report-SOF2324-SB1'!D51</f>
        <v>0</v>
      </c>
      <c r="F52" s="255">
        <f>'Report-SOF2425-SB1'!D51</f>
        <v>0</v>
      </c>
      <c r="G52" s="255">
        <f>'Report-SOF2526-SB1'!D51</f>
        <v>0</v>
      </c>
      <c r="H52" s="255">
        <f>'Report-SOF2526-SB1'!D51</f>
        <v>0</v>
      </c>
      <c r="I52" s="255">
        <f>'Report-SOF2627-SB1'!D51</f>
        <v>0</v>
      </c>
    </row>
    <row r="53" spans="1:9" ht="15.5">
      <c r="A53" s="250" t="s">
        <v>2584</v>
      </c>
      <c r="B53" s="1685" t="s">
        <v>8136</v>
      </c>
      <c r="C53" s="255">
        <f>'Report-SOF2122-HB1525'!D52</f>
        <v>0</v>
      </c>
      <c r="D53" s="255">
        <f>'Report-SOF2223-SB1'!D52</f>
        <v>0</v>
      </c>
      <c r="E53" s="255">
        <f>'Report-SOF2324-SB1'!D52</f>
        <v>0</v>
      </c>
      <c r="F53" s="255">
        <f>'Report-SOF2425-SB1'!D52</f>
        <v>0</v>
      </c>
      <c r="G53" s="255">
        <f>'Report-SOF2526-SB1'!D52</f>
        <v>0</v>
      </c>
      <c r="H53" s="255">
        <f>'Report-SOF2526-SB1'!D52</f>
        <v>0</v>
      </c>
      <c r="I53" s="255">
        <f>'Report-SOF2627-SB1'!D52</f>
        <v>0</v>
      </c>
    </row>
    <row r="54" spans="1:9" ht="15.5">
      <c r="A54" s="250" t="s">
        <v>2585</v>
      </c>
      <c r="B54" s="1685" t="s">
        <v>8137</v>
      </c>
      <c r="C54" s="255">
        <f>'Report-SOF2122-HB1525'!D53</f>
        <v>0</v>
      </c>
      <c r="D54" s="255">
        <f>'Report-SOF2223-SB1'!D53</f>
        <v>0</v>
      </c>
      <c r="E54" s="255">
        <f>'Report-SOF2324-SB1'!D53</f>
        <v>0</v>
      </c>
      <c r="F54" s="255">
        <f>'Report-SOF2425-SB1'!D53</f>
        <v>0</v>
      </c>
      <c r="G54" s="255">
        <f>'Report-SOF2526-SB1'!D53</f>
        <v>0</v>
      </c>
      <c r="H54" s="255">
        <f>'Report-SOF2526-SB1'!D53</f>
        <v>0</v>
      </c>
      <c r="I54" s="255">
        <f>'Report-SOF2627-SB1'!D53</f>
        <v>0</v>
      </c>
    </row>
    <row r="55" spans="1:9" ht="15.5">
      <c r="A55" s="250" t="s">
        <v>2586</v>
      </c>
      <c r="B55" s="1685" t="s">
        <v>8138</v>
      </c>
      <c r="C55" s="255">
        <f>'Report-SOF2122-HB1525'!D54</f>
        <v>0</v>
      </c>
      <c r="D55" s="255">
        <f>'Report-SOF2223-SB1'!D54</f>
        <v>0</v>
      </c>
      <c r="E55" s="255">
        <f>'Report-SOF2324-SB1'!D54</f>
        <v>0</v>
      </c>
      <c r="F55" s="255">
        <f>'Report-SOF2425-SB1'!D54</f>
        <v>0</v>
      </c>
      <c r="G55" s="255">
        <f>'Report-SOF2526-SB1'!D54</f>
        <v>0</v>
      </c>
      <c r="H55" s="255">
        <f>'Report-SOF2526-SB1'!D54</f>
        <v>0</v>
      </c>
      <c r="I55" s="255">
        <f>'Report-SOF2627-SB1'!D54</f>
        <v>0</v>
      </c>
    </row>
    <row r="56" spans="1:9" ht="15.5">
      <c r="A56" s="250" t="s">
        <v>2587</v>
      </c>
      <c r="B56" s="1731" t="s">
        <v>8171</v>
      </c>
      <c r="C56" s="255" t="e">
        <f>'Report-SOF2122-HB1525'!D55</f>
        <v>#N/A</v>
      </c>
      <c r="D56" s="255">
        <f>'Report-SOF2223-SB1'!D55</f>
        <v>0</v>
      </c>
      <c r="E56" s="255" t="e">
        <f>'Report-SOF2324-SB1'!D55</f>
        <v>#DIV/0!</v>
      </c>
      <c r="F56" s="255" t="e">
        <f>'Report-SOF2425-SB1'!D55</f>
        <v>#DIV/0!</v>
      </c>
      <c r="G56" s="255" t="e">
        <f>'Report-SOF2526-SB1'!D55</f>
        <v>#DIV/0!</v>
      </c>
      <c r="H56" s="255" t="e">
        <f>'Report-SOF2526-SB1'!D55</f>
        <v>#DIV/0!</v>
      </c>
      <c r="I56" s="255" t="e">
        <f>'Report-SOF2627-SB1'!D55</f>
        <v>#DIV/0!</v>
      </c>
    </row>
    <row r="57" spans="1:9" ht="15.5">
      <c r="A57" s="250" t="s">
        <v>2588</v>
      </c>
      <c r="B57" s="251" t="s">
        <v>2595</v>
      </c>
      <c r="C57" s="255">
        <f>'Report-SOF2122-HB1525'!D56</f>
        <v>0</v>
      </c>
      <c r="D57" s="255">
        <f>'Report-SOF2223-SB1'!D56</f>
        <v>0</v>
      </c>
      <c r="E57" s="255" t="e">
        <f>'Report-SOF2324-SB1'!D56</f>
        <v>#DIV/0!</v>
      </c>
      <c r="F57" s="255" t="e">
        <f>'Report-SOF2425-SB1'!D56</f>
        <v>#DIV/0!</v>
      </c>
      <c r="G57" s="255" t="e">
        <f>'Report-SOF2526-SB1'!D56</f>
        <v>#DIV/0!</v>
      </c>
      <c r="H57" s="255" t="e">
        <f>'Report-SOF2526-SB1'!D56</f>
        <v>#DIV/0!</v>
      </c>
      <c r="I57" s="255" t="e">
        <f>'Report-SOF2627-SB1'!D56</f>
        <v>#DIV/0!</v>
      </c>
    </row>
    <row r="58" spans="1:9" ht="15.5">
      <c r="A58" s="250" t="s">
        <v>2589</v>
      </c>
      <c r="B58" s="251" t="s">
        <v>2596</v>
      </c>
      <c r="C58" s="255">
        <f>'Report-SOF2122-HB1525'!D57</f>
        <v>0</v>
      </c>
      <c r="D58" s="255">
        <f>'Report-SOF2223-SB1'!D57</f>
        <v>0</v>
      </c>
      <c r="E58" s="255">
        <f>'Report-SOF2324-SB1'!D57</f>
        <v>0</v>
      </c>
      <c r="F58" s="255">
        <f>'Report-SOF2425-SB1'!D57</f>
        <v>0</v>
      </c>
      <c r="G58" s="255">
        <f>'Report-SOF2526-SB1'!D57</f>
        <v>0</v>
      </c>
      <c r="H58" s="255">
        <f>'Report-SOF2526-SB1'!D57</f>
        <v>0</v>
      </c>
      <c r="I58" s="255">
        <f>'Report-SOF2627-SB1'!D57</f>
        <v>0</v>
      </c>
    </row>
    <row r="59" spans="1:9" ht="18">
      <c r="A59" s="622" t="s">
        <v>8139</v>
      </c>
      <c r="B59" s="623"/>
      <c r="C59" s="2183"/>
      <c r="D59" s="2183"/>
      <c r="E59" s="2183"/>
      <c r="F59" s="2183"/>
      <c r="G59" s="2183"/>
      <c r="H59" s="2183"/>
      <c r="I59" s="2183"/>
    </row>
    <row r="60" spans="1:9" ht="15.5">
      <c r="A60" s="250" t="s">
        <v>2590</v>
      </c>
      <c r="B60" s="251" t="s">
        <v>9241</v>
      </c>
      <c r="C60" s="1734" t="e">
        <f>'Report-SOF2122-HB1525'!D59</f>
        <v>#N/A</v>
      </c>
      <c r="D60" s="1734">
        <f>'Report-SOF2223-SB1'!D59</f>
        <v>0</v>
      </c>
      <c r="E60" s="1734" t="e">
        <f>'Report-SOF2324-SB1'!D59</f>
        <v>#DIV/0!</v>
      </c>
      <c r="F60" s="1734" t="e">
        <f>'Report-SOF2425-SB1'!D59</f>
        <v>#DIV/0!</v>
      </c>
      <c r="G60" s="1734" t="e">
        <f>'Report-SOF2526-SB1'!D59</f>
        <v>#DIV/0!</v>
      </c>
      <c r="H60" s="1734" t="e">
        <f>'Report-SOF2526-SB1'!D59</f>
        <v>#DIV/0!</v>
      </c>
      <c r="I60" s="1734" t="e">
        <f>'Report-SOF2627-SB1'!D59</f>
        <v>#DIV/0!</v>
      </c>
    </row>
    <row r="61" spans="1:9" ht="15.5">
      <c r="A61" s="250" t="s">
        <v>2591</v>
      </c>
      <c r="B61" s="1731" t="s">
        <v>8172</v>
      </c>
      <c r="C61" s="1734" t="e">
        <f>'Report-SOF2122-HB1525'!D60</f>
        <v>#N/A</v>
      </c>
      <c r="D61" s="1734" t="e">
        <f>'Report-SOF2223-SB1'!D60</f>
        <v>#DIV/0!</v>
      </c>
      <c r="E61" s="1734" t="e">
        <f>'Report-SOF2324-SB1'!D60</f>
        <v>#DIV/0!</v>
      </c>
      <c r="F61" s="1734" t="e">
        <f>'Report-SOF2425-SB1'!D60</f>
        <v>#DIV/0!</v>
      </c>
      <c r="G61" s="1734" t="e">
        <f>'Report-SOF2526-SB1'!D60</f>
        <v>#DIV/0!</v>
      </c>
      <c r="H61" s="1734" t="e">
        <f>'Report-SOF2526-SB1'!D60</f>
        <v>#DIV/0!</v>
      </c>
      <c r="I61" s="1734" t="e">
        <f>'Report-SOF2627-SB1'!D60</f>
        <v>#DIV/0!</v>
      </c>
    </row>
    <row r="62" spans="1:9" ht="15.5">
      <c r="A62" s="250" t="s">
        <v>2592</v>
      </c>
      <c r="B62" s="1731" t="s">
        <v>2769</v>
      </c>
      <c r="C62" s="1734" t="e">
        <f>'Report-SOF2122-HB1525'!D61</f>
        <v>#DIV/0!</v>
      </c>
      <c r="D62" s="1734" t="e">
        <f>'Report-SOF2223-SB1'!D61</f>
        <v>#DIV/0!</v>
      </c>
      <c r="E62" s="1734" t="e">
        <f>'Report-SOF2324-SB1'!D61</f>
        <v>#DIV/0!</v>
      </c>
      <c r="F62" s="1734" t="e">
        <f>'Report-SOF2425-SB1'!D61</f>
        <v>#DIV/0!</v>
      </c>
      <c r="G62" s="1734" t="e">
        <f>'Report-SOF2526-SB1'!D61</f>
        <v>#DIV/0!</v>
      </c>
      <c r="H62" s="1734" t="e">
        <f>'Report-SOF2526-SB1'!D61</f>
        <v>#DIV/0!</v>
      </c>
      <c r="I62" s="1734" t="e">
        <f>'Report-SOF2627-SB1'!D61</f>
        <v>#DIV/0!</v>
      </c>
    </row>
    <row r="63" spans="1:9" ht="15.5">
      <c r="A63" s="250" t="s">
        <v>2593</v>
      </c>
      <c r="B63" s="251" t="s">
        <v>2597</v>
      </c>
      <c r="C63" s="1734" t="e">
        <f>'Report-SOF2122-HB1525'!D62</f>
        <v>#N/A</v>
      </c>
      <c r="D63" s="1734" t="e">
        <f>'Report-SOF2223-SB1'!D62</f>
        <v>#DIV/0!</v>
      </c>
      <c r="E63" s="1734" t="e">
        <f>'Report-SOF2324-SB1'!D62</f>
        <v>#DIV/0!</v>
      </c>
      <c r="F63" s="1734" t="e">
        <f>'Report-SOF2425-SB1'!D62</f>
        <v>#DIV/0!</v>
      </c>
      <c r="G63" s="1734" t="e">
        <f>'Report-SOF2526-SB1'!D62</f>
        <v>#DIV/0!</v>
      </c>
      <c r="H63" s="1734" t="e">
        <f>'Report-SOF2526-SB1'!D62</f>
        <v>#DIV/0!</v>
      </c>
      <c r="I63" s="1734" t="e">
        <f>'Report-SOF2627-SB1'!D62</f>
        <v>#DIV/0!</v>
      </c>
    </row>
    <row r="64" spans="1:9" ht="18">
      <c r="A64" s="607" t="s">
        <v>8140</v>
      </c>
      <c r="B64" s="620"/>
      <c r="C64" s="2183"/>
      <c r="D64" s="2183"/>
      <c r="E64" s="2183"/>
      <c r="F64" s="2183"/>
      <c r="G64" s="2183"/>
      <c r="H64" s="2183"/>
      <c r="I64" s="2183"/>
    </row>
    <row r="65" spans="1:9" ht="18">
      <c r="A65" s="621" t="s">
        <v>8141</v>
      </c>
      <c r="B65" s="621"/>
      <c r="C65" s="2792" t="s">
        <v>5513</v>
      </c>
      <c r="D65" s="2792" t="s">
        <v>5951</v>
      </c>
      <c r="E65" s="2792" t="s">
        <v>7037</v>
      </c>
      <c r="F65" s="2792" t="s">
        <v>8487</v>
      </c>
      <c r="G65" s="2792" t="s">
        <v>9171</v>
      </c>
      <c r="H65" s="2792" t="s">
        <v>9171</v>
      </c>
      <c r="I65" s="2792" t="str">
        <f>I33</f>
        <v>2026-27</v>
      </c>
    </row>
    <row r="66" spans="1:9" ht="15.5">
      <c r="A66" s="250" t="s">
        <v>2602</v>
      </c>
      <c r="B66" s="251" t="s">
        <v>2608</v>
      </c>
      <c r="C66" s="255" t="e">
        <f>'Report-SOF2122-HB1525'!D65</f>
        <v>#N/A</v>
      </c>
      <c r="D66" s="255" t="e">
        <f>'Report-SOF2223-SB1'!D65</f>
        <v>#DIV/0!</v>
      </c>
      <c r="E66" s="255" t="e">
        <f>'Report-SOF2324-SB1'!D65</f>
        <v>#DIV/0!</v>
      </c>
      <c r="F66" s="255" t="e">
        <f>'Report-SOF2425-SB1'!D65</f>
        <v>#DIV/0!</v>
      </c>
      <c r="G66" s="255" t="e">
        <f>'Report-SOF2526-SB1'!D65</f>
        <v>#DIV/0!</v>
      </c>
      <c r="H66" s="255" t="e">
        <f>'Report-SOF2526-SB1'!D65</f>
        <v>#DIV/0!</v>
      </c>
      <c r="I66" s="255" t="e">
        <f>'Report-SOF2627-SB1'!D65</f>
        <v>#DIV/0!</v>
      </c>
    </row>
    <row r="67" spans="1:9" ht="15.5">
      <c r="A67" s="250" t="s">
        <v>2603</v>
      </c>
      <c r="B67" s="251" t="s">
        <v>2735</v>
      </c>
      <c r="C67" s="255">
        <f>'Report-SOF2122-HB1525'!D66</f>
        <v>0</v>
      </c>
      <c r="D67" s="255">
        <f>'Report-SOF2223-SB1'!D66</f>
        <v>0</v>
      </c>
      <c r="E67" s="255">
        <f>'Report-SOF2324-SB1'!D66</f>
        <v>0</v>
      </c>
      <c r="F67" s="255">
        <f>'Report-SOF2425-SB1'!D66</f>
        <v>0</v>
      </c>
      <c r="G67" s="255">
        <f>'Report-SOF2526-SB1'!D66</f>
        <v>0</v>
      </c>
      <c r="H67" s="255">
        <f>'Report-SOF2526-SB1'!D66</f>
        <v>0</v>
      </c>
      <c r="I67" s="255">
        <f>'Report-SOF2627-SB1'!D66</f>
        <v>0</v>
      </c>
    </row>
    <row r="68" spans="1:9" ht="18">
      <c r="A68" s="621" t="s">
        <v>8142</v>
      </c>
      <c r="B68" s="621"/>
      <c r="C68" s="2183"/>
      <c r="D68" s="2183"/>
      <c r="E68" s="2183"/>
      <c r="F68" s="2183"/>
      <c r="G68" s="2183"/>
      <c r="H68" s="2183"/>
      <c r="I68" s="2183"/>
    </row>
    <row r="69" spans="1:9" ht="15.5">
      <c r="A69" s="250" t="s">
        <v>2604</v>
      </c>
      <c r="B69" s="1741" t="s">
        <v>8173</v>
      </c>
      <c r="C69" s="1740">
        <f>'Report-SOF2122-HB1525'!D68</f>
        <v>0</v>
      </c>
      <c r="D69" s="1740">
        <f>'Report-SOF2223-SB1'!D68</f>
        <v>0</v>
      </c>
      <c r="E69" s="1740">
        <f>'Report-SOF2324-SB1'!D68</f>
        <v>0</v>
      </c>
      <c r="F69" s="1740">
        <f>'Report-SOF2425-SB1'!D68</f>
        <v>0</v>
      </c>
      <c r="G69" s="1740">
        <f>'Report-SOF2526-SB1'!D68</f>
        <v>0</v>
      </c>
      <c r="H69" s="1740">
        <f>'Report-SOF2526-SB1'!D68</f>
        <v>0</v>
      </c>
      <c r="I69" s="1740">
        <f>'Report-SOF2627-SB1'!D68</f>
        <v>0</v>
      </c>
    </row>
    <row r="70" spans="1:9" ht="15.5">
      <c r="A70" s="250" t="s">
        <v>2605</v>
      </c>
      <c r="B70" s="1741" t="s">
        <v>8174</v>
      </c>
      <c r="C70" s="1740">
        <f>'Report-SOF2122-HB1525'!D69</f>
        <v>0</v>
      </c>
      <c r="D70" s="1740">
        <f>'Report-SOF2223-SB1'!D69</f>
        <v>0</v>
      </c>
      <c r="E70" s="1740">
        <f>'Report-SOF2324-SB1'!D69</f>
        <v>0</v>
      </c>
      <c r="F70" s="1740">
        <f>'Report-SOF2425-SB1'!D69</f>
        <v>0</v>
      </c>
      <c r="G70" s="1740">
        <f>'Report-SOF2526-SB1'!D69</f>
        <v>0</v>
      </c>
      <c r="H70" s="1740">
        <f>'Report-SOF2526-SB1'!D69</f>
        <v>0</v>
      </c>
      <c r="I70" s="1740">
        <f>'Report-SOF2627-SB1'!D69</f>
        <v>0</v>
      </c>
    </row>
    <row r="71" spans="1:9" ht="15.5">
      <c r="A71" s="250" t="s">
        <v>2606</v>
      </c>
      <c r="B71" s="1741" t="s">
        <v>8175</v>
      </c>
      <c r="C71" s="1740">
        <f>'Report-SOF2122-HB1525'!D70</f>
        <v>0</v>
      </c>
      <c r="D71" s="1740">
        <f>'Report-SOF2223-SB1'!D70</f>
        <v>0</v>
      </c>
      <c r="E71" s="1740">
        <f>'Report-SOF2324-SB1'!D70</f>
        <v>0</v>
      </c>
      <c r="F71" s="1740">
        <f>'Report-SOF2425-SB1'!D70</f>
        <v>0</v>
      </c>
      <c r="G71" s="1740">
        <f>'Report-SOF2526-SB1'!D70</f>
        <v>0</v>
      </c>
      <c r="H71" s="1740">
        <f>'Report-SOF2526-SB1'!D70</f>
        <v>0</v>
      </c>
      <c r="I71" s="1740">
        <f>'Report-SOF2627-SB1'!D70</f>
        <v>0</v>
      </c>
    </row>
    <row r="72" spans="1:9" ht="15.75" customHeight="1">
      <c r="A72" s="250" t="s">
        <v>2607</v>
      </c>
      <c r="B72" s="251" t="s">
        <v>4917</v>
      </c>
      <c r="C72" s="1740" t="e">
        <f>'Report-SOF2122-HB1525'!D71</f>
        <v>#DIV/0!</v>
      </c>
      <c r="D72" s="1740" t="e">
        <f>'Report-SOF2223-SB1'!D71</f>
        <v>#DIV/0!</v>
      </c>
      <c r="E72" s="1740" t="e">
        <f>'Report-SOF2324-SB1'!D71</f>
        <v>#DIV/0!</v>
      </c>
      <c r="F72" s="1740" t="e">
        <f>'Report-SOF2425-SB1'!D71</f>
        <v>#DIV/0!</v>
      </c>
      <c r="G72" s="1740" t="e">
        <f>'Report-SOF2526-SB1'!D71</f>
        <v>#DIV/0!</v>
      </c>
      <c r="H72" s="1740" t="e">
        <f>'Report-SOF2526-SB1'!D71</f>
        <v>#DIV/0!</v>
      </c>
      <c r="I72" s="1740" t="e">
        <f>'Report-SOF2627-SB1'!D71</f>
        <v>#DIV/0!</v>
      </c>
    </row>
    <row r="73" spans="1:9" ht="18">
      <c r="A73" s="1763" t="s">
        <v>2662</v>
      </c>
      <c r="B73" s="2359" t="s">
        <v>9236</v>
      </c>
      <c r="C73" s="2793" t="e">
        <f>'Report-SOF2122-HB1525'!D72</f>
        <v>#N/A</v>
      </c>
      <c r="D73" s="2793" t="e">
        <f>'Report-SOF2223-SB1'!D72</f>
        <v>#DIV/0!</v>
      </c>
      <c r="E73" s="2793" t="e">
        <f>'Report-SOF2324-SB1'!D72</f>
        <v>#DIV/0!</v>
      </c>
      <c r="F73" s="2793" t="e">
        <f>'Report-SOF2425-SB1'!D72</f>
        <v>#DIV/0!</v>
      </c>
      <c r="G73" s="2793" t="e">
        <f>'Report-SOF2526-SB1'!D72</f>
        <v>#DIV/0!</v>
      </c>
      <c r="H73" s="2793" t="e">
        <f>'Report-SOF2526-SB1'!D72</f>
        <v>#DIV/0!</v>
      </c>
      <c r="I73" s="2793" t="e">
        <f>'Report-SOF2627-SB1'!D72</f>
        <v>#DIV/0!</v>
      </c>
    </row>
    <row r="74" spans="1:9" ht="18">
      <c r="A74" s="621" t="s">
        <v>8143</v>
      </c>
      <c r="B74" s="621"/>
      <c r="C74" s="2183"/>
      <c r="D74" s="2183"/>
      <c r="E74" s="2183"/>
      <c r="F74" s="2183"/>
      <c r="G74" s="2183"/>
      <c r="H74" s="2183"/>
      <c r="I74" s="2183"/>
    </row>
    <row r="75" spans="1:9" ht="15.5">
      <c r="A75" s="250" t="s">
        <v>2824</v>
      </c>
      <c r="B75" s="1685" t="s">
        <v>8143</v>
      </c>
      <c r="C75" s="2132" t="e">
        <f>'Report-SOF2122-HB1525'!D74</f>
        <v>#N/A</v>
      </c>
      <c r="D75" s="2132" t="e">
        <f>'Report-SOF2223-SB1'!D74</f>
        <v>#DIV/0!</v>
      </c>
      <c r="E75" s="2132" t="e">
        <f>'Report-SOF2324-SB1'!D74</f>
        <v>#DIV/0!</v>
      </c>
      <c r="F75" s="2132" t="e">
        <f>'Report-SOF2425-SB1'!D74</f>
        <v>#DIV/0!</v>
      </c>
      <c r="G75" s="2132" t="e">
        <f>'Report-SOF2526-SB1'!D74</f>
        <v>#DIV/0!</v>
      </c>
      <c r="H75" s="2132" t="e">
        <f>'Report-SOF2526-SB1'!D74</f>
        <v>#DIV/0!</v>
      </c>
      <c r="I75" s="2132" t="e">
        <f>'Report-SOF2627-SB1'!D74</f>
        <v>#DIV/0!</v>
      </c>
    </row>
    <row r="76" spans="1:9" ht="15.5">
      <c r="A76" s="1697"/>
      <c r="B76" s="1689"/>
      <c r="C76" s="1689"/>
      <c r="D76" s="1689"/>
      <c r="E76" s="1689"/>
      <c r="F76" s="1689"/>
      <c r="G76" s="1689"/>
      <c r="H76" s="1689"/>
      <c r="I76" s="1689"/>
    </row>
    <row r="77" spans="1:9" ht="15.5">
      <c r="A77" s="2342"/>
      <c r="B77" s="2357" t="s">
        <v>8233</v>
      </c>
      <c r="C77" s="1762"/>
      <c r="D77" s="1762"/>
      <c r="E77" s="2358"/>
      <c r="F77" s="2358"/>
      <c r="G77" s="2358"/>
      <c r="H77" s="2358"/>
      <c r="I77" s="2358"/>
    </row>
    <row r="78" spans="1:9" ht="15.5">
      <c r="A78" s="1698"/>
      <c r="B78" s="247"/>
      <c r="C78" s="2040"/>
      <c r="D78" s="247"/>
      <c r="E78" s="247"/>
      <c r="F78" s="247"/>
      <c r="G78" s="2040"/>
      <c r="H78" s="2040"/>
      <c r="I78" s="2040"/>
    </row>
    <row r="79" spans="1:9" s="2042" customFormat="1" ht="15.5">
      <c r="A79" s="1698"/>
      <c r="B79" s="2040"/>
      <c r="C79" s="2040"/>
      <c r="D79" s="2040"/>
      <c r="E79" s="2040"/>
      <c r="F79" s="2040"/>
      <c r="G79" s="2040"/>
      <c r="H79" s="2040"/>
      <c r="I79" s="2040"/>
    </row>
    <row r="80" spans="1:9" s="2042" customFormat="1" ht="15.5">
      <c r="A80" s="1698"/>
      <c r="B80" s="2040"/>
    </row>
    <row r="81" spans="1:9" ht="16" thickBot="1">
      <c r="C81" s="348" t="s">
        <v>1202</v>
      </c>
      <c r="D81" s="348" t="s">
        <v>1202</v>
      </c>
      <c r="E81" s="348" t="s">
        <v>9082</v>
      </c>
      <c r="F81" s="348" t="s">
        <v>9082</v>
      </c>
      <c r="G81" s="348" t="s">
        <v>9082</v>
      </c>
      <c r="H81" s="348" t="s">
        <v>9082</v>
      </c>
      <c r="I81" s="348" t="s">
        <v>9082</v>
      </c>
    </row>
    <row r="82" spans="1:9" ht="16" thickTop="1">
      <c r="A82" s="2193" t="s">
        <v>2782</v>
      </c>
      <c r="B82" s="2194"/>
      <c r="C82" s="349" t="s">
        <v>5513</v>
      </c>
      <c r="D82" s="349" t="s">
        <v>5951</v>
      </c>
      <c r="E82" s="349" t="s">
        <v>7037</v>
      </c>
      <c r="F82" s="349" t="s">
        <v>8487</v>
      </c>
      <c r="G82" s="349" t="s">
        <v>9171</v>
      </c>
      <c r="H82" s="349" t="s">
        <v>9171</v>
      </c>
      <c r="I82" s="349" t="s">
        <v>11049</v>
      </c>
    </row>
    <row r="83" spans="1:9" ht="15.5">
      <c r="A83" s="1702" t="s">
        <v>2318</v>
      </c>
      <c r="B83" s="1097"/>
      <c r="C83" s="1757"/>
      <c r="D83" s="1757"/>
      <c r="E83" s="1754"/>
      <c r="F83" s="1754"/>
      <c r="G83" s="1754"/>
      <c r="H83" s="1754"/>
      <c r="I83" s="1754"/>
    </row>
    <row r="84" spans="1:9" ht="15.5">
      <c r="A84" s="382" t="s">
        <v>2825</v>
      </c>
      <c r="B84" s="1758" t="s">
        <v>8145</v>
      </c>
      <c r="C84" s="1757" t="e">
        <f>'Report-SOF2122-HB1525'!D81</f>
        <v>#N/A</v>
      </c>
      <c r="D84" s="1757" t="e">
        <f>'Report-SOF2223-SB1'!D81</f>
        <v>#DIV/0!</v>
      </c>
      <c r="E84" s="1754" t="e">
        <f>'Report-SOF2324-SB1'!D81</f>
        <v>#DIV/0!</v>
      </c>
      <c r="F84" s="1754" t="e">
        <f>'Report-SOF2425-SB1'!D81</f>
        <v>#DIV/0!</v>
      </c>
      <c r="G84" s="1754" t="e">
        <f>'Report-SOF2526-SB1'!D81</f>
        <v>#DIV/0!</v>
      </c>
      <c r="H84" s="1754" t="e">
        <f>'Report-SOF2526-SB1'!D81</f>
        <v>#DIV/0!</v>
      </c>
      <c r="I84" s="1754" t="e">
        <f>'Report-SOF2627-SB1'!D81</f>
        <v>#DIV/0!</v>
      </c>
    </row>
    <row r="85" spans="1:9" ht="15.5">
      <c r="A85" s="382" t="s">
        <v>2826</v>
      </c>
      <c r="B85" s="1759" t="s">
        <v>7906</v>
      </c>
      <c r="C85" s="1757">
        <f>'Report-SOF2122-HB1525'!D82</f>
        <v>0</v>
      </c>
      <c r="D85" s="1757">
        <f>'Report-SOF2223-SB1'!D82</f>
        <v>0</v>
      </c>
      <c r="E85" s="1754">
        <f>'Report-SOF2324-SB1'!D82</f>
        <v>0</v>
      </c>
      <c r="F85" s="1754">
        <f>'Report-SOF2425-SB1'!D82</f>
        <v>0</v>
      </c>
      <c r="G85" s="1754">
        <f>'Report-SOF2526-SB1'!D82</f>
        <v>0</v>
      </c>
      <c r="H85" s="1754">
        <f>'Report-SOF2526-SB1'!D82</f>
        <v>0</v>
      </c>
      <c r="I85" s="1754">
        <f>'Report-SOF2627-SB1'!D82</f>
        <v>0</v>
      </c>
    </row>
    <row r="86" spans="1:9" ht="15.5">
      <c r="A86" s="382" t="s">
        <v>2827</v>
      </c>
      <c r="B86" s="1759" t="s">
        <v>7907</v>
      </c>
      <c r="C86" s="1757" t="e">
        <f>'Report-SOF2122-HB1525'!D83</f>
        <v>#N/A</v>
      </c>
      <c r="D86" s="1757" t="e">
        <f>'Report-SOF2223-SB1'!D83</f>
        <v>#DIV/0!</v>
      </c>
      <c r="E86" s="1754" t="e">
        <f>'Report-SOF2324-SB1'!D83</f>
        <v>#DIV/0!</v>
      </c>
      <c r="F86" s="1754" t="e">
        <f>'Report-SOF2425-SB1'!D83</f>
        <v>#DIV/0!</v>
      </c>
      <c r="G86" s="1754" t="e">
        <f>'Report-SOF2526-SB1'!D83</f>
        <v>#DIV/0!</v>
      </c>
      <c r="H86" s="1754" t="e">
        <f>'Report-SOF2526-SB1'!D83</f>
        <v>#DIV/0!</v>
      </c>
      <c r="I86" s="1754" t="e">
        <f>'Report-SOF2627-SB1'!D83</f>
        <v>#DIV/0!</v>
      </c>
    </row>
    <row r="87" spans="1:9" ht="15.5">
      <c r="A87" s="382" t="s">
        <v>2828</v>
      </c>
      <c r="B87" s="1759" t="s">
        <v>7908</v>
      </c>
      <c r="C87" s="1757" t="e">
        <f>'Report-SOF2122-HB1525'!D84</f>
        <v>#N/A</v>
      </c>
      <c r="D87" s="1757" t="e">
        <f>'Report-SOF2223-SB1'!D84</f>
        <v>#DIV/0!</v>
      </c>
      <c r="E87" s="1754" t="e">
        <f>'Report-SOF2324-SB1'!D84</f>
        <v>#DIV/0!</v>
      </c>
      <c r="F87" s="1754" t="e">
        <f>'Report-SOF2425-SB1'!D84</f>
        <v>#DIV/0!</v>
      </c>
      <c r="G87" s="1754" t="e">
        <f>'Report-SOF2526-SB1'!D84</f>
        <v>#DIV/0!</v>
      </c>
      <c r="H87" s="1754" t="e">
        <f>'Report-SOF2526-SB1'!D84</f>
        <v>#DIV/0!</v>
      </c>
      <c r="I87" s="1754" t="e">
        <f>'Report-SOF2627-SB1'!D84</f>
        <v>#DIV/0!</v>
      </c>
    </row>
    <row r="88" spans="1:9" ht="15.5">
      <c r="A88" s="382" t="s">
        <v>2829</v>
      </c>
      <c r="B88" s="1759" t="s">
        <v>7909</v>
      </c>
      <c r="C88" s="1757" t="e">
        <f>'Report-SOF2122-HB1525'!D85</f>
        <v>#N/A</v>
      </c>
      <c r="D88" s="1757" t="e">
        <f>'Report-SOF2223-SB1'!D85</f>
        <v>#DIV/0!</v>
      </c>
      <c r="E88" s="1754" t="e">
        <f>'Report-SOF2324-SB1'!D85</f>
        <v>#DIV/0!</v>
      </c>
      <c r="F88" s="1754" t="e">
        <f>'Report-SOF2425-SB1'!D85</f>
        <v>#DIV/0!</v>
      </c>
      <c r="G88" s="1754" t="e">
        <f>'Report-SOF2526-SB1'!D85</f>
        <v>#DIV/0!</v>
      </c>
      <c r="H88" s="1754" t="e">
        <f>'Report-SOF2526-SB1'!D85</f>
        <v>#DIV/0!</v>
      </c>
      <c r="I88" s="1754" t="e">
        <f>'Report-SOF2627-SB1'!D85</f>
        <v>#DIV/0!</v>
      </c>
    </row>
    <row r="89" spans="1:9" ht="15.5">
      <c r="A89" s="382" t="s">
        <v>2830</v>
      </c>
      <c r="B89" s="1758" t="s">
        <v>9240</v>
      </c>
      <c r="C89" s="1757" t="e">
        <f>'Report-SOF2122-HB1525'!D86</f>
        <v>#N/A</v>
      </c>
      <c r="D89" s="1757" t="e">
        <f>'Report-SOF2223-SB1'!D86</f>
        <v>#DIV/0!</v>
      </c>
      <c r="E89" s="1754" t="e">
        <f>'Report-SOF2324-SB1'!D86</f>
        <v>#DIV/0!</v>
      </c>
      <c r="F89" s="1754" t="e">
        <f>'Report-SOF2425-SB1'!D86</f>
        <v>#DIV/0!</v>
      </c>
      <c r="G89" s="1754" t="e">
        <f>'Report-SOF2526-SB1'!D86</f>
        <v>#DIV/0!</v>
      </c>
      <c r="H89" s="1754" t="e">
        <f>'Report-SOF2526-SB1'!D86</f>
        <v>#DIV/0!</v>
      </c>
      <c r="I89" s="1754" t="e">
        <f>'Report-SOF2627-SB1'!D86</f>
        <v>#DIV/0!</v>
      </c>
    </row>
    <row r="90" spans="1:9" ht="16" thickBot="1">
      <c r="A90" s="382" t="s">
        <v>2831</v>
      </c>
      <c r="B90" s="1760" t="s">
        <v>9237</v>
      </c>
      <c r="C90" s="1825" t="e">
        <f>'Report-SOF2122-HB1525'!D87</f>
        <v>#N/A</v>
      </c>
      <c r="D90" s="1736" t="e">
        <f>'Report-SOF2223-SB1'!D87</f>
        <v>#DIV/0!</v>
      </c>
      <c r="E90" s="315" t="e">
        <f>'Report-SOF2324-SB1'!D87</f>
        <v>#DIV/0!</v>
      </c>
      <c r="F90" s="315" t="e">
        <f>'Report-SOF2425-SB1'!D87</f>
        <v>#DIV/0!</v>
      </c>
      <c r="G90" s="315" t="e">
        <f>'Report-SOF2526-SB1'!D87</f>
        <v>#DIV/0!</v>
      </c>
      <c r="H90" s="2791" t="e">
        <f>'Report-SOF2526-SB1'!D87</f>
        <v>#DIV/0!</v>
      </c>
      <c r="I90" s="2791" t="e">
        <f>'Report-SOF2627-SB1'!D87</f>
        <v>#DIV/0!</v>
      </c>
    </row>
    <row r="91" spans="1:9" ht="14" thickTop="1" thickBot="1">
      <c r="A91" s="52"/>
      <c r="B91" s="1098"/>
      <c r="C91" s="1098"/>
      <c r="D91" s="1098"/>
      <c r="E91" s="1098"/>
      <c r="F91" s="1098"/>
      <c r="G91" s="1098"/>
      <c r="H91" s="1098"/>
      <c r="I91" s="1098"/>
    </row>
    <row r="92" spans="1:9" ht="16" thickTop="1">
      <c r="A92" s="1150" t="s">
        <v>7730</v>
      </c>
      <c r="B92" s="1752"/>
      <c r="C92" s="1737"/>
      <c r="D92" s="1737"/>
      <c r="E92" s="1739"/>
      <c r="F92" s="1739"/>
      <c r="G92" s="1739"/>
      <c r="H92" s="1739"/>
      <c r="I92" s="1739"/>
    </row>
    <row r="93" spans="1:9" ht="15.5">
      <c r="A93" s="382" t="s">
        <v>2832</v>
      </c>
      <c r="B93" s="1753" t="s">
        <v>7910</v>
      </c>
      <c r="C93" s="1738" t="e">
        <f>'Report-SOF2122-HB1525'!D90</f>
        <v>#N/A</v>
      </c>
      <c r="D93" s="1738" t="e">
        <f>'Report-SOF2223-SB1'!D90</f>
        <v>#DIV/0!</v>
      </c>
      <c r="E93" s="1754" t="e">
        <f>'Report-SOF2324-SB1'!D90</f>
        <v>#DIV/0!</v>
      </c>
      <c r="F93" s="1754" t="e">
        <f>'Report-SOF2425-SB1'!D90</f>
        <v>#DIV/0!</v>
      </c>
      <c r="G93" s="1754" t="e">
        <f>'Report-SOF2526-SB1'!D90</f>
        <v>#DIV/0!</v>
      </c>
      <c r="H93" s="1754" t="e">
        <f>'Report-SOF2526-SB1'!D90</f>
        <v>#DIV/0!</v>
      </c>
      <c r="I93" s="1754" t="e">
        <f>'Report-SOF2627-SB1'!D90</f>
        <v>#DIV/0!</v>
      </c>
    </row>
    <row r="94" spans="1:9" ht="15.5">
      <c r="A94" s="382" t="s">
        <v>2833</v>
      </c>
      <c r="B94" s="1755" t="s">
        <v>7916</v>
      </c>
      <c r="C94" s="1738" t="e">
        <f>'Report-SOF2122-HB1525'!D91</f>
        <v>#N/A</v>
      </c>
      <c r="D94" s="1738" t="e">
        <f>'Report-SOF2223-SB1'!D91</f>
        <v>#DIV/0!</v>
      </c>
      <c r="E94" s="1725" t="e">
        <f>'Report-SOF2324-SB1'!D91</f>
        <v>#DIV/0!</v>
      </c>
      <c r="F94" s="1725" t="e">
        <f>'Report-SOF2425-SB1'!D91</f>
        <v>#DIV/0!</v>
      </c>
      <c r="G94" s="1725" t="e">
        <f>'Report-SOF2526-SB1'!D91</f>
        <v>#DIV/0!</v>
      </c>
      <c r="H94" s="1754" t="e">
        <f>'Report-SOF2526-SB1'!D91</f>
        <v>#DIV/0!</v>
      </c>
      <c r="I94" s="1754" t="e">
        <f>'Report-SOF2627-SB1'!D91</f>
        <v>#DIV/0!</v>
      </c>
    </row>
    <row r="95" spans="1:9" ht="15.5">
      <c r="A95" s="382" t="s">
        <v>2834</v>
      </c>
      <c r="B95" s="1756" t="s">
        <v>9238</v>
      </c>
      <c r="C95" s="1738" t="e">
        <f>'Report-SOF2122-HB1525'!D92</f>
        <v>#N/A</v>
      </c>
      <c r="D95" s="1738" t="e">
        <f>'Report-SOF2223-SB1'!D92</f>
        <v>#DIV/0!</v>
      </c>
      <c r="E95" s="1725" t="e">
        <f>'Report-SOF2324-SB1'!D92</f>
        <v>#DIV/0!</v>
      </c>
      <c r="F95" s="1725" t="e">
        <f>'Report-SOF2425-SB1'!D92</f>
        <v>#DIV/0!</v>
      </c>
      <c r="G95" s="1725" t="e">
        <f>'Report-SOF2526-SB1'!D92</f>
        <v>#DIV/0!</v>
      </c>
      <c r="H95" s="1754" t="e">
        <f>'Report-SOF2526-SB1'!D92</f>
        <v>#DIV/0!</v>
      </c>
      <c r="I95" s="1754" t="e">
        <f>'Report-SOF2627-SB1'!D92</f>
        <v>#DIV/0!</v>
      </c>
    </row>
    <row r="96" spans="1:9" ht="15.5">
      <c r="A96" s="382" t="s">
        <v>2835</v>
      </c>
      <c r="B96" s="1755" t="s">
        <v>8144</v>
      </c>
      <c r="C96" s="1738">
        <f>'Report-SOF2122-HB1525'!D93</f>
        <v>0</v>
      </c>
      <c r="D96" s="1738">
        <f>'Report-SOF2223-SB1'!D93</f>
        <v>0</v>
      </c>
      <c r="E96" s="1725">
        <f>'Report-SOF2324-SB1'!D93</f>
        <v>0</v>
      </c>
      <c r="F96" s="1725">
        <f>'Report-SOF2425-SB1'!D93</f>
        <v>0</v>
      </c>
      <c r="G96" s="1725">
        <f>'Report-SOF2526-SB1'!D93</f>
        <v>0</v>
      </c>
      <c r="H96" s="1754">
        <f>'Report-SOF2526-SB1'!D93</f>
        <v>0</v>
      </c>
      <c r="I96" s="1754">
        <f>'Report-SOF2627-SB1'!D93</f>
        <v>0</v>
      </c>
    </row>
    <row r="97" spans="1:9" ht="16" thickBot="1">
      <c r="A97" s="383" t="s">
        <v>2836</v>
      </c>
      <c r="B97" s="565" t="s">
        <v>9239</v>
      </c>
      <c r="C97" s="3229" t="e">
        <f>'Report-SOF2122-HB1525'!D94</f>
        <v>#N/A</v>
      </c>
      <c r="D97" s="1736" t="e">
        <f>'Report-SOF2223-SB1'!D94</f>
        <v>#DIV/0!</v>
      </c>
      <c r="E97" s="315" t="e">
        <f>'Report-SOF2324-SB1'!D94</f>
        <v>#DIV/0!</v>
      </c>
      <c r="F97" s="315" t="e">
        <f>'Report-SOF2425-SB1'!D94</f>
        <v>#DIV/0!</v>
      </c>
      <c r="G97" s="315" t="e">
        <f>'Report-SOF2526-SB1'!D94</f>
        <v>#DIV/0!</v>
      </c>
      <c r="H97" s="2791" t="e">
        <f>'Report-SOF2526-SB1'!D94</f>
        <v>#DIV/0!</v>
      </c>
      <c r="I97" s="2791" t="e">
        <f>'Report-SOF2627-SB1'!D94</f>
        <v>#DIV/0!</v>
      </c>
    </row>
    <row r="98" spans="1:9" ht="13" thickTop="1"/>
  </sheetData>
  <hyperlinks>
    <hyperlink ref="B29" location="'Report-AA1920'!A1" display="Adjusted Allotment                                                                    (Link to Detail Report)" xr:uid="{00000000-0004-0000-1700-000000000000}"/>
    <hyperlink ref="B23" location="'Report-M&amp;O1920'!A1" display="2018-19 (current year) M&amp;O Tax Collections                        (Link to Detail Report)" xr:uid="{00000000-0004-0000-1700-000001000000}"/>
    <hyperlink ref="B12" location="'Report-Calculations'!A1" display="Regular Program ADA (Line 1 - Line 3 - Line 4)          " xr:uid="{00000000-0004-0000-1700-000002000000}"/>
  </hyperlinks>
  <pageMargins left="0.45" right="0.45" top="0.5" bottom="0.5" header="0.3" footer="0.3"/>
  <pageSetup scale="70" orientation="landscape" r:id="rId1"/>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A1:N104"/>
  <sheetViews>
    <sheetView workbookViewId="0">
      <selection activeCell="F1" sqref="F1"/>
    </sheetView>
  </sheetViews>
  <sheetFormatPr defaultRowHeight="13"/>
  <cols>
    <col min="2" max="2" width="3.54296875" customWidth="1"/>
    <col min="3" max="3" width="5.81640625" style="100" customWidth="1"/>
    <col min="4" max="4" width="95.1796875" customWidth="1"/>
    <col min="5" max="5" width="11.1796875" customWidth="1"/>
    <col min="6" max="6" width="23.453125" customWidth="1"/>
    <col min="7" max="7" width="5.54296875" style="25" customWidth="1"/>
    <col min="8" max="8" width="37.81640625" customWidth="1"/>
    <col min="9" max="9" width="17.54296875" hidden="1" customWidth="1"/>
    <col min="10" max="10" width="19" customWidth="1"/>
    <col min="11" max="11" width="17.1796875" customWidth="1"/>
    <col min="13" max="13" width="4.54296875" customWidth="1"/>
    <col min="14" max="14" width="9.1796875" customWidth="1"/>
  </cols>
  <sheetData>
    <row r="1" spans="1:6">
      <c r="A1" s="16" t="s">
        <v>64</v>
      </c>
      <c r="D1" s="52" t="str">
        <f>'Data Entry - SOF'!B1</f>
        <v xml:space="preserve"> </v>
      </c>
      <c r="E1" s="372"/>
      <c r="F1" s="1103" t="str">
        <f>'Data Entry - SOF'!M1</f>
        <v>Release 2</v>
      </c>
    </row>
    <row r="2" spans="1:6">
      <c r="A2" s="16" t="s">
        <v>65</v>
      </c>
      <c r="D2" s="52">
        <f>'Data Entry - SOF'!B2</f>
        <v>0</v>
      </c>
      <c r="E2" s="52"/>
      <c r="F2" s="1105">
        <f>'Data Entry - SOF'!M2</f>
        <v>44930</v>
      </c>
    </row>
    <row r="3" spans="1:6">
      <c r="A3" s="16" t="s">
        <v>134</v>
      </c>
      <c r="D3" s="131">
        <f ca="1">'Data Entry - SOF'!B3</f>
        <v>44931.882496064813</v>
      </c>
      <c r="E3" s="131"/>
      <c r="F3" s="943"/>
    </row>
    <row r="4" spans="1:6">
      <c r="A4" s="16"/>
      <c r="D4" s="131"/>
      <c r="E4" s="131"/>
      <c r="F4" s="47"/>
    </row>
    <row r="7" spans="1:6">
      <c r="A7" s="100"/>
      <c r="C7" s="128">
        <v>1</v>
      </c>
      <c r="D7" s="124" t="s">
        <v>9426</v>
      </c>
      <c r="E7" s="124"/>
      <c r="F7" s="37" t="e">
        <f>'Report-SOF2122-HB1525'!D59+'Report-SOF2122-HB1525'!D66</f>
        <v>#N/A</v>
      </c>
    </row>
    <row r="8" spans="1:6">
      <c r="A8" s="100"/>
      <c r="C8" s="128"/>
      <c r="D8" s="124"/>
      <c r="E8" s="124"/>
      <c r="F8" s="5"/>
    </row>
    <row r="9" spans="1:6">
      <c r="C9" s="128">
        <v>2</v>
      </c>
      <c r="D9" s="124" t="s">
        <v>12540</v>
      </c>
      <c r="E9" s="124"/>
      <c r="F9" s="222" t="e">
        <f>'Report-SOF2122-HB1525'!D60</f>
        <v>#N/A</v>
      </c>
    </row>
    <row r="10" spans="1:6">
      <c r="C10" s="128"/>
      <c r="D10" s="124"/>
      <c r="E10" s="124"/>
      <c r="F10" s="5"/>
    </row>
    <row r="11" spans="1:6">
      <c r="C11" s="128">
        <v>3</v>
      </c>
      <c r="D11" s="108" t="s">
        <v>12541</v>
      </c>
      <c r="E11" s="108"/>
      <c r="F11" s="130" t="e">
        <f>'Data Entry - SOF'!C75-'Report-SOF2122-HB1525'!D74</f>
        <v>#N/A</v>
      </c>
    </row>
    <row r="12" spans="1:6">
      <c r="D12" s="108"/>
      <c r="E12" s="108"/>
    </row>
    <row r="13" spans="1:6">
      <c r="C13" s="128">
        <v>4</v>
      </c>
      <c r="D13" s="108" t="s">
        <v>12542</v>
      </c>
      <c r="E13" s="108"/>
      <c r="F13" s="37" t="e">
        <f>SUM(F7:F11)</f>
        <v>#N/A</v>
      </c>
    </row>
    <row r="14" spans="1:6">
      <c r="D14" s="108"/>
      <c r="E14" s="108"/>
    </row>
    <row r="15" spans="1:6">
      <c r="C15" s="128">
        <v>5</v>
      </c>
      <c r="D15" s="108" t="s">
        <v>12543</v>
      </c>
      <c r="E15" s="108"/>
      <c r="F15" s="1076">
        <f>'Data Entry - SOF'!C19</f>
        <v>0</v>
      </c>
    </row>
    <row r="16" spans="1:6">
      <c r="C16" s="114"/>
      <c r="D16" s="108"/>
      <c r="E16" s="108"/>
    </row>
    <row r="17" spans="3:9">
      <c r="C17" s="128">
        <v>6</v>
      </c>
      <c r="D17" s="108" t="s">
        <v>12544</v>
      </c>
      <c r="E17" s="108"/>
      <c r="F17" s="1076" t="e">
        <f>F13/F15</f>
        <v>#N/A</v>
      </c>
    </row>
    <row r="18" spans="3:9">
      <c r="C18" s="128"/>
      <c r="D18" s="108"/>
      <c r="E18" s="108"/>
    </row>
    <row r="19" spans="3:9">
      <c r="C19" s="128">
        <v>7</v>
      </c>
      <c r="D19" s="108" t="s">
        <v>12510</v>
      </c>
      <c r="E19" s="108"/>
      <c r="F19" s="1076">
        <f>'Data Entry - SOF'!G19</f>
        <v>0</v>
      </c>
    </row>
    <row r="20" spans="3:9">
      <c r="D20" s="108"/>
      <c r="E20" s="108"/>
    </row>
    <row r="21" spans="3:9">
      <c r="C21" s="128">
        <v>8</v>
      </c>
      <c r="D21" s="108" t="s">
        <v>12511</v>
      </c>
      <c r="E21" s="108"/>
      <c r="F21" s="126" t="e">
        <f>F17*F19</f>
        <v>#N/A</v>
      </c>
    </row>
    <row r="22" spans="3:9">
      <c r="C22" s="128"/>
      <c r="D22" s="108"/>
      <c r="E22" s="108"/>
      <c r="F22" s="1118"/>
    </row>
    <row r="23" spans="3:9">
      <c r="C23" s="128">
        <v>9</v>
      </c>
      <c r="D23" s="108" t="s">
        <v>12512</v>
      </c>
      <c r="E23" s="108"/>
      <c r="F23" s="126" t="e">
        <f>'SOF2324-HB3'!I62</f>
        <v>#DIV/0!</v>
      </c>
    </row>
    <row r="24" spans="3:9">
      <c r="C24" s="128"/>
      <c r="D24" s="108"/>
      <c r="E24" s="108"/>
      <c r="F24" s="1118"/>
    </row>
    <row r="25" spans="3:9">
      <c r="C25" s="1106">
        <v>10</v>
      </c>
      <c r="D25" s="1107" t="s">
        <v>12513</v>
      </c>
      <c r="E25" s="1107"/>
      <c r="F25" s="1119" t="e">
        <f>F23/'Data Entry - SOF'!G118</f>
        <v>#DIV/0!</v>
      </c>
    </row>
    <row r="26" spans="3:9">
      <c r="C26" s="128"/>
      <c r="D26" s="108"/>
      <c r="E26" s="108"/>
      <c r="F26" s="1118"/>
    </row>
    <row r="27" spans="3:9">
      <c r="C27" s="128">
        <v>11</v>
      </c>
      <c r="D27" s="108" t="s">
        <v>12514</v>
      </c>
      <c r="E27" s="108"/>
      <c r="F27" s="126" t="e">
        <f>'Report-SOF2324-SB1'!D59 +'Report-SOF2324-SB1'!D66</f>
        <v>#DIV/0!</v>
      </c>
    </row>
    <row r="28" spans="3:9">
      <c r="C28" s="128"/>
      <c r="D28" s="108"/>
      <c r="E28" s="108"/>
      <c r="F28" s="1118"/>
    </row>
    <row r="29" spans="3:9">
      <c r="C29" s="128">
        <v>12</v>
      </c>
      <c r="D29" s="108" t="s">
        <v>12545</v>
      </c>
      <c r="E29" s="108"/>
      <c r="F29" s="126" t="e">
        <f>IF(F21-F23-F27&lt;=0,0,F21-F23-F27)</f>
        <v>#N/A</v>
      </c>
    </row>
    <row r="30" spans="3:9">
      <c r="C30" s="128"/>
      <c r="D30" s="108"/>
      <c r="E30" s="108"/>
      <c r="F30" s="1118"/>
    </row>
    <row r="31" spans="3:9">
      <c r="C31" s="129">
        <v>13</v>
      </c>
      <c r="D31" s="25" t="s">
        <v>12515</v>
      </c>
      <c r="E31" s="108"/>
      <c r="F31" s="181" t="e">
        <f>F29/IF(I31&gt;Assumptions!H155,I31,Assumptions!H155)/'SOF2324-HB3'!L61/100</f>
        <v>#N/A</v>
      </c>
      <c r="I31" s="107" t="e">
        <f>'Data Entry - SOF'!E66/10000/'SOF2223-HB3'!L61</f>
        <v>#DIV/0!</v>
      </c>
    </row>
    <row r="32" spans="3:9">
      <c r="C32" s="128"/>
      <c r="D32" s="108"/>
      <c r="E32" s="108"/>
      <c r="F32" s="1118"/>
    </row>
    <row r="33" spans="3:9">
      <c r="C33" s="128">
        <v>14</v>
      </c>
      <c r="D33" s="25" t="s">
        <v>12516</v>
      </c>
      <c r="E33" s="108"/>
      <c r="F33" s="126" t="e">
        <f>'Calc Data'!F104</f>
        <v>#DIV/0!</v>
      </c>
    </row>
    <row r="34" spans="3:9">
      <c r="C34" s="128"/>
      <c r="D34" s="108"/>
      <c r="E34" s="108"/>
      <c r="F34" s="1118"/>
    </row>
    <row r="35" spans="3:9">
      <c r="C35" s="129">
        <v>15</v>
      </c>
      <c r="D35" s="25" t="s">
        <v>12517</v>
      </c>
      <c r="E35" s="108"/>
      <c r="F35" s="127" t="e">
        <f>F33/('Data Entry - SOF'!G66/100)</f>
        <v>#DIV/0!</v>
      </c>
    </row>
    <row r="36" spans="3:9">
      <c r="C36" s="129"/>
      <c r="D36" s="25"/>
      <c r="E36" s="108"/>
      <c r="F36" s="1120"/>
    </row>
    <row r="37" spans="3:9">
      <c r="C37" s="129">
        <v>16</v>
      </c>
      <c r="D37" s="25" t="s">
        <v>12518</v>
      </c>
      <c r="E37" s="108"/>
      <c r="F37" s="130" t="e">
        <f>MIN(F35,F31)*IF(I31&gt;Assumptions!H155,I31,Assumptions!H155)*'SOF2324-HB3'!L61*100</f>
        <v>#DIV/0!</v>
      </c>
    </row>
    <row r="38" spans="3:9">
      <c r="C38" s="129"/>
      <c r="D38" s="25"/>
      <c r="E38" s="108"/>
      <c r="F38" s="1120"/>
    </row>
    <row r="39" spans="3:9">
      <c r="C39" s="129">
        <v>17</v>
      </c>
      <c r="D39" s="25" t="s">
        <v>12519</v>
      </c>
      <c r="E39" s="108"/>
      <c r="F39" s="126" t="e">
        <f>MIN(F31,F35)*('Data Entry - SOF'!G66/100)</f>
        <v>#N/A</v>
      </c>
    </row>
    <row r="40" spans="3:9">
      <c r="C40" s="129"/>
      <c r="D40" s="25"/>
      <c r="E40" s="108"/>
      <c r="F40" s="1120"/>
      <c r="I40" s="41"/>
    </row>
    <row r="41" spans="3:9">
      <c r="C41" s="1108">
        <v>18</v>
      </c>
      <c r="D41" s="1075" t="s">
        <v>12520</v>
      </c>
      <c r="E41" s="1109"/>
      <c r="F41" s="1121" t="e">
        <f>IF(F39&gt;=F29,F29/'Data Entry - SOF'!G118,F39/'Data Entry - SOF'!G118)</f>
        <v>#N/A</v>
      </c>
      <c r="I41" s="41"/>
    </row>
    <row r="42" spans="3:9">
      <c r="C42" s="129"/>
      <c r="D42" s="25"/>
      <c r="E42" s="108"/>
      <c r="F42" s="1120"/>
    </row>
    <row r="43" spans="3:9">
      <c r="C43" s="129">
        <v>19</v>
      </c>
      <c r="D43" s="102" t="s">
        <v>12521</v>
      </c>
      <c r="E43" s="108"/>
      <c r="F43" s="126" t="e">
        <f>IF((Assumptions!H155*MIN(F31,F35)*'SOF2324-HB3'!L61*100)-F39&lt;0,0,(Assumptions!H155*MIN(F31,F35)*'SOF2324-HB3'!L61*100)-F39)</f>
        <v>#N/A</v>
      </c>
      <c r="H43" s="74"/>
    </row>
    <row r="44" spans="3:9">
      <c r="C44" s="129"/>
      <c r="D44" s="25"/>
      <c r="E44" s="108"/>
      <c r="F44" s="1120"/>
      <c r="H44" s="74"/>
    </row>
    <row r="45" spans="3:9">
      <c r="C45" s="129">
        <v>20</v>
      </c>
      <c r="D45" s="25" t="s">
        <v>12522</v>
      </c>
      <c r="E45" s="108"/>
      <c r="F45" s="126" t="e">
        <f>IF(F29-F39-F43&lt;0,0,F29-F39-F43)</f>
        <v>#N/A</v>
      </c>
      <c r="H45" s="74"/>
    </row>
    <row r="46" spans="3:9">
      <c r="C46" s="129"/>
      <c r="D46" s="25"/>
      <c r="E46" s="108"/>
      <c r="F46" s="1118"/>
      <c r="H46" s="74"/>
    </row>
    <row r="47" spans="3:9">
      <c r="C47" s="129">
        <v>21</v>
      </c>
      <c r="D47" s="25" t="s">
        <v>12523</v>
      </c>
      <c r="E47" s="25"/>
      <c r="F47" s="181" t="e">
        <f>F45/IF(I31&gt;Assumptions!H156,I31,Assumptions!H156)/'SOF2324-HB3'!L61/100</f>
        <v>#N/A</v>
      </c>
      <c r="H47" s="74"/>
    </row>
    <row r="48" spans="3:9">
      <c r="D48" s="108"/>
      <c r="E48" s="108"/>
    </row>
    <row r="49" spans="3:11">
      <c r="C49" s="129">
        <v>22</v>
      </c>
      <c r="D49" s="25" t="s">
        <v>12524</v>
      </c>
      <c r="E49" s="25"/>
      <c r="F49" s="130" t="e">
        <f>IF(F45=0,0,'Calc Data'!F109)</f>
        <v>#N/A</v>
      </c>
    </row>
    <row r="50" spans="3:11">
      <c r="C50" s="129"/>
      <c r="D50" s="125"/>
      <c r="E50" s="125"/>
    </row>
    <row r="51" spans="3:11">
      <c r="C51" s="129">
        <v>23</v>
      </c>
      <c r="D51" s="25" t="s">
        <v>12525</v>
      </c>
      <c r="E51" s="25"/>
      <c r="F51" s="127" t="e">
        <f>F49/('Data Entry - SOF'!G66/100)</f>
        <v>#N/A</v>
      </c>
    </row>
    <row r="52" spans="3:11">
      <c r="C52" s="129"/>
      <c r="D52" s="25"/>
      <c r="E52" s="25"/>
      <c r="F52" s="1120"/>
    </row>
    <row r="53" spans="3:11">
      <c r="C53" s="129">
        <v>24</v>
      </c>
      <c r="D53" s="25" t="s">
        <v>12526</v>
      </c>
      <c r="E53" s="25"/>
      <c r="F53" s="130" t="e">
        <f>MIN(F51,F47)*IF(I31&gt;Assumptions!H156,I31,Assumptions!H156)*'SOF2324-HB3'!L61*100</f>
        <v>#N/A</v>
      </c>
    </row>
    <row r="54" spans="3:11">
      <c r="C54" s="129"/>
      <c r="D54" s="125"/>
      <c r="E54" s="125"/>
    </row>
    <row r="55" spans="3:11">
      <c r="C55" s="129">
        <v>25</v>
      </c>
      <c r="D55" s="25" t="s">
        <v>12519</v>
      </c>
      <c r="E55" s="25"/>
      <c r="F55" s="126" t="e">
        <f>MIN(F47,F51)*('Data Entry - SOF'!F66/100)</f>
        <v>#N/A</v>
      </c>
    </row>
    <row r="56" spans="3:11">
      <c r="C56" s="372"/>
      <c r="D56" s="25"/>
      <c r="E56" s="25"/>
      <c r="F56" s="105"/>
    </row>
    <row r="57" spans="3:11">
      <c r="C57" s="129">
        <v>26</v>
      </c>
      <c r="D57" s="25" t="s">
        <v>12527</v>
      </c>
      <c r="E57" s="25"/>
      <c r="F57" s="126" t="e">
        <f>'SOF2324-HB3'!I82</f>
        <v>#DIV/0!</v>
      </c>
      <c r="K57" s="74"/>
    </row>
    <row r="58" spans="3:11">
      <c r="C58" s="129"/>
      <c r="D58" s="108"/>
      <c r="E58" s="108"/>
    </row>
    <row r="59" spans="3:11">
      <c r="C59" s="1110">
        <v>27</v>
      </c>
      <c r="D59" s="1075" t="s">
        <v>12528</v>
      </c>
      <c r="E59" s="1111"/>
      <c r="F59" s="1121" t="e">
        <f>IF(F55&gt;=F45,(F45+F57)/'Data Entry - SOF'!G118,(F55+F57)/'Data Entry - SOF'!G118)</f>
        <v>#N/A</v>
      </c>
    </row>
    <row r="60" spans="3:11">
      <c r="C60" s="129"/>
      <c r="D60" s="102"/>
      <c r="E60" s="102"/>
      <c r="F60" s="111"/>
      <c r="I60" s="114"/>
    </row>
    <row r="61" spans="3:11">
      <c r="C61" s="129">
        <v>28</v>
      </c>
      <c r="D61" s="102" t="s">
        <v>12529</v>
      </c>
      <c r="E61" s="25"/>
      <c r="F61" s="126" t="e">
        <f>IF((Assumptions!H156*MIN(F47,F51)*'SOF2324-HB3'!L61*100)-F55&lt;0,0,(Assumptions!H156*MIN(F47,F51)*'SOF2324-HB3'!L61*100)-F55)</f>
        <v>#N/A</v>
      </c>
      <c r="I61" s="114"/>
    </row>
    <row r="62" spans="3:11">
      <c r="C62" s="129"/>
      <c r="D62" s="108"/>
      <c r="E62" s="108"/>
      <c r="F62" s="74"/>
    </row>
    <row r="63" spans="3:11">
      <c r="C63" s="129">
        <v>29</v>
      </c>
      <c r="D63" s="25" t="s">
        <v>12530</v>
      </c>
      <c r="E63" s="25"/>
      <c r="F63" s="126" t="e">
        <f>IF(F45-F55-F61&lt;0,0,F45-F55-F61)</f>
        <v>#N/A</v>
      </c>
    </row>
    <row r="64" spans="3:11">
      <c r="C64" s="129"/>
      <c r="D64" s="25"/>
      <c r="E64" s="25"/>
      <c r="F64" s="74"/>
    </row>
    <row r="65" spans="3:14">
      <c r="C65" s="1110">
        <v>30</v>
      </c>
      <c r="D65" s="1112" t="s">
        <v>12531</v>
      </c>
      <c r="E65" s="1111"/>
      <c r="F65" s="1121" t="e">
        <f>IF(F63=0,0,F63/'Data Entry - SOF'!G118)</f>
        <v>#N/A</v>
      </c>
      <c r="H65" s="100"/>
      <c r="I65" s="111"/>
      <c r="J65" s="100"/>
      <c r="L65" s="100"/>
      <c r="M65" s="100"/>
      <c r="N65" s="100"/>
    </row>
    <row r="66" spans="3:14">
      <c r="C66" s="129"/>
      <c r="D66" s="108"/>
      <c r="E66" s="108"/>
      <c r="F66" s="74"/>
      <c r="H66" s="100"/>
      <c r="I66" s="111"/>
      <c r="J66" s="100"/>
      <c r="L66" s="100"/>
      <c r="M66" s="100"/>
      <c r="N66" s="100"/>
    </row>
    <row r="67" spans="3:14">
      <c r="C67" s="129">
        <v>32</v>
      </c>
      <c r="D67" s="25" t="s">
        <v>12532</v>
      </c>
      <c r="E67" s="25"/>
      <c r="F67" s="126">
        <f>'IFA-HB3'!W79</f>
        <v>0</v>
      </c>
      <c r="H67" s="100"/>
      <c r="I67" s="111"/>
      <c r="J67" s="100"/>
      <c r="L67" s="100"/>
      <c r="M67" s="100"/>
      <c r="N67" s="100"/>
    </row>
    <row r="68" spans="3:14">
      <c r="C68" s="129"/>
      <c r="D68" s="25"/>
      <c r="E68" s="25"/>
      <c r="F68" s="74"/>
      <c r="H68" s="100"/>
      <c r="I68" s="100"/>
      <c r="J68" s="100"/>
      <c r="L68" s="100"/>
      <c r="M68" s="100"/>
      <c r="N68" s="100"/>
    </row>
    <row r="69" spans="3:14">
      <c r="C69" s="1110">
        <v>33</v>
      </c>
      <c r="D69" s="1075" t="s">
        <v>12533</v>
      </c>
      <c r="E69" s="1113"/>
      <c r="F69" s="1121">
        <f>IF(F67=0,0,F67/'Data Entry - SOF'!G118)</f>
        <v>0</v>
      </c>
      <c r="I69" s="100"/>
    </row>
    <row r="70" spans="3:14">
      <c r="C70" s="1114"/>
      <c r="D70" s="1115"/>
      <c r="E70" s="1098"/>
      <c r="F70" s="25"/>
      <c r="I70" s="74"/>
    </row>
    <row r="71" spans="3:14">
      <c r="C71" s="129"/>
      <c r="D71" s="108"/>
      <c r="E71" s="108"/>
      <c r="F71" s="74"/>
      <c r="I71" s="74"/>
    </row>
    <row r="72" spans="3:14">
      <c r="C72" s="1110">
        <v>34</v>
      </c>
      <c r="D72" s="1075" t="s">
        <v>12534</v>
      </c>
      <c r="E72" s="1116"/>
      <c r="F72" s="1121" t="e">
        <f>F25+F41+F59+F65+F69</f>
        <v>#DIV/0!</v>
      </c>
      <c r="I72" s="74"/>
    </row>
    <row r="73" spans="3:14">
      <c r="C73" s="129"/>
      <c r="D73" s="874"/>
      <c r="E73" s="100"/>
      <c r="F73" s="100"/>
      <c r="H73" s="100"/>
    </row>
    <row r="74" spans="3:14">
      <c r="C74" s="129">
        <v>35</v>
      </c>
      <c r="D74" s="666" t="s">
        <v>12547</v>
      </c>
      <c r="E74" s="100"/>
      <c r="F74" s="130">
        <f>'Data Entry - SOF'!G119</f>
        <v>0</v>
      </c>
      <c r="H74" s="100"/>
    </row>
    <row r="75" spans="3:14">
      <c r="D75" s="100"/>
      <c r="E75" s="100"/>
      <c r="F75" s="100"/>
      <c r="H75" s="100"/>
    </row>
    <row r="76" spans="3:14">
      <c r="C76" s="1110">
        <v>36</v>
      </c>
      <c r="D76" s="1074" t="s">
        <v>12582</v>
      </c>
      <c r="E76" s="1117"/>
      <c r="F76" s="1665" t="e">
        <f>IF(F72/(F74/100)&lt;'Report-SOF2324-SB1'!D21,'Report-SOF2324-SB1'!D21,F72/(F74/100))</f>
        <v>#DIV/0!</v>
      </c>
      <c r="H76" s="100"/>
    </row>
    <row r="77" spans="3:14">
      <c r="D77" s="54"/>
      <c r="E77" s="54"/>
      <c r="F77" s="100"/>
    </row>
    <row r="78" spans="3:14" hidden="1">
      <c r="D78" s="54"/>
      <c r="E78" s="54"/>
      <c r="F78" s="100"/>
    </row>
    <row r="79" spans="3:14" hidden="1">
      <c r="D79" s="54"/>
      <c r="E79" s="54"/>
      <c r="F79" s="100"/>
    </row>
    <row r="80" spans="3:14" hidden="1">
      <c r="D80" s="177" t="s">
        <v>12546</v>
      </c>
      <c r="E80" s="223"/>
      <c r="F80" s="178"/>
    </row>
    <row r="81" spans="4:7" hidden="1">
      <c r="D81" s="179" t="s">
        <v>12535</v>
      </c>
      <c r="E81" s="224"/>
      <c r="F81" s="180"/>
    </row>
    <row r="82" spans="4:7" hidden="1">
      <c r="D82" s="54"/>
      <c r="E82" s="54"/>
      <c r="F82" s="100"/>
    </row>
    <row r="83" spans="4:7" ht="13.5" hidden="1" thickBot="1">
      <c r="D83" s="54"/>
      <c r="E83" s="54"/>
      <c r="F83" s="100"/>
    </row>
    <row r="84" spans="4:7" hidden="1">
      <c r="D84" s="164" t="s">
        <v>12536</v>
      </c>
      <c r="E84" s="225"/>
      <c r="F84" s="166"/>
    </row>
    <row r="85" spans="4:7" hidden="1">
      <c r="D85" s="333" t="s">
        <v>3278</v>
      </c>
      <c r="E85" s="226"/>
      <c r="F85" s="167"/>
    </row>
    <row r="86" spans="4:7" ht="13.5" hidden="1" thickBot="1">
      <c r="D86" s="165" t="s">
        <v>2741</v>
      </c>
      <c r="E86" s="227"/>
      <c r="F86" s="168"/>
    </row>
    <row r="87" spans="4:7" hidden="1">
      <c r="D87" s="54"/>
      <c r="E87" s="54"/>
      <c r="F87" s="100"/>
    </row>
    <row r="88" spans="4:7" ht="13.5" hidden="1" thickBot="1">
      <c r="D88" s="54"/>
      <c r="E88" s="54"/>
      <c r="F88" s="100"/>
    </row>
    <row r="89" spans="4:7" hidden="1">
      <c r="D89" s="334" t="s">
        <v>3279</v>
      </c>
      <c r="E89" s="335"/>
      <c r="F89" s="336"/>
    </row>
    <row r="90" spans="4:7" hidden="1">
      <c r="D90" s="370" t="s">
        <v>3280</v>
      </c>
      <c r="E90" s="244"/>
      <c r="F90" s="371"/>
    </row>
    <row r="91" spans="4:7" ht="13.5" hidden="1" thickBot="1">
      <c r="D91" s="337" t="s">
        <v>3281</v>
      </c>
      <c r="E91" s="338"/>
      <c r="F91" s="339"/>
    </row>
    <row r="92" spans="4:7" ht="13.5" hidden="1" thickBot="1">
      <c r="D92" s="100"/>
      <c r="E92" s="100"/>
      <c r="F92" s="100"/>
    </row>
    <row r="93" spans="4:7" ht="13.5" hidden="1" thickBot="1">
      <c r="D93" s="412"/>
      <c r="E93" s="413"/>
      <c r="F93" s="414"/>
    </row>
    <row r="94" spans="4:7" hidden="1">
      <c r="D94" s="415" t="s">
        <v>12537</v>
      </c>
      <c r="E94" s="228"/>
      <c r="F94" s="421" t="e">
        <f>IF('Data Entry - SOF'!#REF!&gt;1.5,('Data Entry - SOF'!#REF!*0.6667)+0.04,(1.5*0.6667)+0.04)</f>
        <v>#REF!</v>
      </c>
    </row>
    <row r="95" spans="4:7" hidden="1">
      <c r="D95" s="415" t="s">
        <v>690</v>
      </c>
      <c r="E95" s="228"/>
      <c r="F95" s="420" t="e">
        <f>'Data Entry - SOF'!#REF!</f>
        <v>#REF!</v>
      </c>
      <c r="G95" s="36"/>
    </row>
    <row r="96" spans="4:7" hidden="1">
      <c r="D96" s="424" t="s">
        <v>2285</v>
      </c>
      <c r="E96" s="425"/>
      <c r="F96" s="419" t="e">
        <f>F94+F95</f>
        <v>#REF!</v>
      </c>
    </row>
    <row r="97" spans="4:6" hidden="1">
      <c r="D97" s="415"/>
      <c r="E97" s="228"/>
      <c r="F97" s="429"/>
    </row>
    <row r="98" spans="4:6" hidden="1">
      <c r="D98" s="415"/>
      <c r="E98" s="228"/>
      <c r="F98" s="429"/>
    </row>
    <row r="99" spans="4:6" hidden="1">
      <c r="D99" s="424" t="s">
        <v>12538</v>
      </c>
      <c r="E99" s="425"/>
      <c r="F99" s="419" t="e">
        <f>#REF!+0.04</f>
        <v>#REF!</v>
      </c>
    </row>
    <row r="100" spans="4:6" hidden="1">
      <c r="D100" s="415"/>
      <c r="E100" s="228"/>
      <c r="F100" s="429"/>
    </row>
    <row r="101" spans="4:6" ht="13.5" hidden="1" thickBot="1">
      <c r="D101" s="415"/>
      <c r="E101" s="228"/>
      <c r="F101" s="429"/>
    </row>
    <row r="102" spans="4:6" ht="13.5" hidden="1" thickBot="1">
      <c r="D102" s="423" t="s">
        <v>12539</v>
      </c>
      <c r="E102" s="207"/>
      <c r="F102" s="422" t="e">
        <f>IF('Data Entry - SOF'!#REF!&gt;1.5,MIN(F96,F99),IF(MIN(F96,F99)&gt;1.17,1.17,MIN(F96,F99)))</f>
        <v>#REF!</v>
      </c>
    </row>
    <row r="103" spans="4:6" ht="13.5" hidden="1" thickBot="1">
      <c r="D103" s="416" t="s">
        <v>1041</v>
      </c>
      <c r="E103" s="417"/>
      <c r="F103" s="418"/>
    </row>
    <row r="104" spans="4:6" hidden="1"/>
  </sheetData>
  <phoneticPr fontId="24" type="noConversion"/>
  <pageMargins left="0.25" right="0.25" top="0.5" bottom="0.5" header="0.5" footer="0.5"/>
  <pageSetup scale="65" orientation="portrait" r:id="rId1"/>
  <headerFooter alignWithMargins="0"/>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K30"/>
  <sheetViews>
    <sheetView workbookViewId="0">
      <selection activeCell="K1" sqref="K1"/>
    </sheetView>
  </sheetViews>
  <sheetFormatPr defaultRowHeight="13"/>
  <cols>
    <col min="1" max="1" width="9.1796875" style="25" customWidth="1"/>
    <col min="2" max="2" width="14.453125" style="25" customWidth="1"/>
    <col min="3" max="3" width="13.54296875" style="25" customWidth="1"/>
    <col min="4" max="4" width="1.54296875" style="25" customWidth="1"/>
    <col min="5" max="5" width="13.54296875" style="25" customWidth="1"/>
    <col min="6" max="6" width="1.54296875" style="25" customWidth="1"/>
    <col min="7" max="7" width="13.54296875" style="25" customWidth="1"/>
    <col min="8" max="8" width="1.54296875" style="25" customWidth="1"/>
    <col min="9" max="9" width="13.54296875" style="25" customWidth="1"/>
    <col min="10" max="10" width="1.54296875" style="25" customWidth="1"/>
    <col min="11" max="11" width="13.54296875" style="25" customWidth="1"/>
    <col min="15" max="15" width="20.54296875" customWidth="1"/>
  </cols>
  <sheetData>
    <row r="1" spans="1:11">
      <c r="A1" s="57"/>
      <c r="B1"/>
      <c r="I1" s="102"/>
      <c r="J1" s="102"/>
      <c r="K1" s="1103" t="str">
        <f>RateToMaintain2324!F1</f>
        <v>Release 2</v>
      </c>
    </row>
    <row r="2" spans="1:11">
      <c r="A2" s="57"/>
      <c r="B2"/>
      <c r="K2" s="1104">
        <f>RateToMaintain2324!F2</f>
        <v>44930</v>
      </c>
    </row>
    <row r="3" spans="1:11">
      <c r="A3" s="57"/>
      <c r="B3"/>
      <c r="K3" s="47"/>
    </row>
    <row r="5" spans="1:11">
      <c r="A5" s="148" t="s">
        <v>684</v>
      </c>
      <c r="B5" s="149"/>
      <c r="C5" s="149"/>
      <c r="D5" s="149"/>
      <c r="E5" s="149"/>
      <c r="F5" s="149"/>
      <c r="G5" s="149"/>
      <c r="H5" s="149"/>
      <c r="I5" s="149"/>
      <c r="J5" s="149"/>
      <c r="K5" s="150"/>
    </row>
    <row r="6" spans="1:11">
      <c r="A6" s="151" t="s">
        <v>685</v>
      </c>
      <c r="K6" s="152"/>
    </row>
    <row r="7" spans="1:11">
      <c r="A7" s="151"/>
      <c r="K7" s="152"/>
    </row>
    <row r="8" spans="1:11">
      <c r="A8" s="151"/>
      <c r="C8" s="25" t="s">
        <v>1016</v>
      </c>
      <c r="K8" s="152"/>
    </row>
    <row r="9" spans="1:11" ht="12.75" customHeight="1">
      <c r="A9" s="151"/>
      <c r="K9" s="152"/>
    </row>
    <row r="10" spans="1:11" s="53" customFormat="1" ht="12.5">
      <c r="A10" s="153"/>
      <c r="C10" s="154" t="s">
        <v>711</v>
      </c>
      <c r="E10" s="154" t="s">
        <v>712</v>
      </c>
      <c r="I10" s="154" t="s">
        <v>2308</v>
      </c>
      <c r="K10" s="155" t="s">
        <v>2309</v>
      </c>
    </row>
    <row r="11" spans="1:11" s="53" customFormat="1" ht="12.5">
      <c r="A11" s="153"/>
      <c r="C11" s="133" t="s">
        <v>2310</v>
      </c>
      <c r="E11" s="133" t="s">
        <v>2311</v>
      </c>
      <c r="G11" s="133" t="s">
        <v>2312</v>
      </c>
      <c r="I11" s="133" t="s">
        <v>2313</v>
      </c>
      <c r="K11" s="156" t="s">
        <v>2313</v>
      </c>
    </row>
    <row r="12" spans="1:11" s="53" customFormat="1" ht="12.5">
      <c r="A12" s="153" t="s">
        <v>2314</v>
      </c>
      <c r="C12" s="157">
        <f>'Data Entry - SOF'!E74</f>
        <v>0</v>
      </c>
      <c r="D12" s="1666"/>
      <c r="E12" s="157">
        <f>'Data Entry - SOF'!E79</f>
        <v>0</v>
      </c>
      <c r="F12" s="1666"/>
      <c r="G12" s="157">
        <f>C12+E12</f>
        <v>0</v>
      </c>
      <c r="I12" s="158" t="e">
        <f>'Notice Calc2324'!D40</f>
        <v>#DIV/0!</v>
      </c>
      <c r="K12" s="159" t="e">
        <f>'Notice Calc2324'!D69</f>
        <v>#DIV/0!</v>
      </c>
    </row>
    <row r="13" spans="1:11" s="53" customFormat="1" ht="12.5">
      <c r="A13" s="153" t="s">
        <v>2315</v>
      </c>
      <c r="C13" s="157" t="e">
        <f>RateToMaintain2324!F76</f>
        <v>#DIV/0!</v>
      </c>
      <c r="D13" s="1666"/>
      <c r="E13" s="157">
        <f>'Notice Calc2324'!D28</f>
        <v>0</v>
      </c>
      <c r="F13" s="1666"/>
      <c r="G13" s="157" t="e">
        <f>C13+E13</f>
        <v>#DIV/0!</v>
      </c>
      <c r="I13" s="158" t="e">
        <f>'Notice Calc2324'!D48</f>
        <v>#DIV/0!</v>
      </c>
      <c r="K13" s="159" t="e">
        <f>'Notice Calc2324'!D81</f>
        <v>#N/A</v>
      </c>
    </row>
    <row r="14" spans="1:11" s="53" customFormat="1" ht="12.5">
      <c r="A14" s="153" t="s">
        <v>761</v>
      </c>
      <c r="C14" s="157"/>
      <c r="D14" s="1666"/>
      <c r="E14" s="157"/>
      <c r="F14" s="1666"/>
      <c r="G14" s="157"/>
      <c r="I14" s="154"/>
      <c r="K14" s="155"/>
    </row>
    <row r="15" spans="1:11" s="53" customFormat="1" ht="12.5">
      <c r="A15" s="153" t="s">
        <v>762</v>
      </c>
      <c r="C15" s="157"/>
      <c r="D15" s="1666"/>
      <c r="E15" s="157"/>
      <c r="F15" s="1666"/>
      <c r="G15" s="157"/>
      <c r="I15" s="154"/>
      <c r="K15" s="155"/>
    </row>
    <row r="16" spans="1:11" s="53" customFormat="1" ht="12.5">
      <c r="A16" s="153" t="s">
        <v>763</v>
      </c>
      <c r="C16" s="157"/>
      <c r="D16" s="1666"/>
      <c r="E16" s="157"/>
      <c r="F16" s="1666"/>
      <c r="G16" s="157"/>
      <c r="I16" s="154"/>
      <c r="K16" s="155"/>
    </row>
    <row r="17" spans="1:11" s="53" customFormat="1" ht="12.5">
      <c r="A17" s="153" t="s">
        <v>764</v>
      </c>
      <c r="C17" s="157">
        <f>'Data Entry - SOF'!G74</f>
        <v>0</v>
      </c>
      <c r="D17" s="1666"/>
      <c r="E17" s="157">
        <f>'Data Entry - SOF'!G79</f>
        <v>0</v>
      </c>
      <c r="F17" s="1666"/>
      <c r="G17" s="157">
        <f>C17+E17</f>
        <v>0</v>
      </c>
      <c r="I17" s="158" t="e">
        <f>'Notice Calc2324'!D57</f>
        <v>#DIV/0!</v>
      </c>
      <c r="K17" s="159" t="e">
        <f>'Notice Calc2324'!D92</f>
        <v>#DIV/0!</v>
      </c>
    </row>
    <row r="18" spans="1:11" s="53" customFormat="1" ht="12.5">
      <c r="A18" s="153"/>
      <c r="K18" s="160"/>
    </row>
    <row r="19" spans="1:11" s="53" customFormat="1" ht="12.5">
      <c r="A19" s="153" t="s">
        <v>2306</v>
      </c>
      <c r="K19" s="160"/>
    </row>
    <row r="20" spans="1:11" s="53" customFormat="1" ht="12.5">
      <c r="A20" s="153" t="s">
        <v>1798</v>
      </c>
      <c r="K20" s="160"/>
    </row>
    <row r="21" spans="1:11">
      <c r="A21" s="161"/>
      <c r="B21" s="110"/>
      <c r="C21" s="110"/>
      <c r="D21" s="110"/>
      <c r="E21" s="110"/>
      <c r="F21" s="110"/>
      <c r="G21" s="110"/>
      <c r="H21" s="110"/>
      <c r="I21" s="110"/>
      <c r="J21" s="110"/>
      <c r="K21" s="162"/>
    </row>
    <row r="24" spans="1:11">
      <c r="A24" s="662" t="s">
        <v>7698</v>
      </c>
    </row>
    <row r="25" spans="1:11">
      <c r="A25" s="662" t="s">
        <v>7699</v>
      </c>
    </row>
    <row r="26" spans="1:11">
      <c r="A26" s="662" t="s">
        <v>7700</v>
      </c>
    </row>
    <row r="27" spans="1:11">
      <c r="A27" s="662" t="s">
        <v>7701</v>
      </c>
    </row>
    <row r="28" spans="1:11">
      <c r="A28" s="662" t="s">
        <v>7702</v>
      </c>
    </row>
    <row r="29" spans="1:11">
      <c r="A29" s="662" t="s">
        <v>7703</v>
      </c>
    </row>
    <row r="30" spans="1:11">
      <c r="A30" s="662" t="s">
        <v>7704</v>
      </c>
    </row>
  </sheetData>
  <phoneticPr fontId="24" type="noConversion"/>
  <pageMargins left="0.25" right="0.25" top="0.75" bottom="1" header="0.5" footer="0.5"/>
  <pageSetup orientation="portrait" r:id="rId1"/>
  <headerFooter alignWithMargins="0"/>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H92"/>
  <sheetViews>
    <sheetView workbookViewId="0">
      <selection activeCell="D2" sqref="D2"/>
    </sheetView>
  </sheetViews>
  <sheetFormatPr defaultRowHeight="12.5"/>
  <cols>
    <col min="1" max="1" width="5.54296875" customWidth="1"/>
    <col min="2" max="2" width="75.54296875" customWidth="1"/>
    <col min="3" max="3" width="13.453125" customWidth="1"/>
    <col min="4" max="4" width="17.54296875" customWidth="1"/>
    <col min="5" max="5" width="17.54296875" hidden="1" customWidth="1"/>
    <col min="6" max="6" width="18.54296875" hidden="1" customWidth="1"/>
    <col min="7" max="7" width="31.453125" hidden="1" customWidth="1"/>
    <col min="8" max="8" width="28.81640625" hidden="1" customWidth="1"/>
    <col min="10" max="10" width="25.453125" customWidth="1"/>
  </cols>
  <sheetData>
    <row r="1" spans="1:8" ht="13">
      <c r="A1" s="25" t="s">
        <v>1188</v>
      </c>
      <c r="C1" s="100"/>
      <c r="D1" s="2158" t="str">
        <f>'Report-SOF2122-HB1525'!D1</f>
        <v>Release 2</v>
      </c>
      <c r="E1" s="428"/>
    </row>
    <row r="2" spans="1:8" ht="13">
      <c r="A2" s="25" t="s">
        <v>0</v>
      </c>
      <c r="D2" s="2159">
        <f>'Report-SOF2122-HB1525'!D2</f>
        <v>44930</v>
      </c>
      <c r="E2" s="58"/>
    </row>
    <row r="3" spans="1:8" ht="13" hidden="1">
      <c r="A3" s="142" t="s">
        <v>2052</v>
      </c>
      <c r="B3" s="143"/>
      <c r="D3" s="47"/>
      <c r="E3" s="47"/>
    </row>
    <row r="4" spans="1:8" ht="13" hidden="1">
      <c r="A4" s="144" t="s">
        <v>1616</v>
      </c>
      <c r="B4" s="145"/>
      <c r="D4" s="58"/>
      <c r="E4" s="58"/>
    </row>
    <row r="5" spans="1:8" ht="13.5" hidden="1" thickBot="1">
      <c r="A5" s="146" t="s">
        <v>1617</v>
      </c>
      <c r="B5" s="147"/>
      <c r="D5" s="58"/>
      <c r="E5" s="58"/>
    </row>
    <row r="6" spans="1:8" ht="13">
      <c r="A6" s="57"/>
      <c r="D6" s="47"/>
      <c r="E6" s="47"/>
    </row>
    <row r="8" spans="1:8">
      <c r="F8" s="27" t="s">
        <v>7639</v>
      </c>
      <c r="G8" t="s">
        <v>7635</v>
      </c>
      <c r="H8" s="326" t="e">
        <f>#REF!+#REF!</f>
        <v>#REF!</v>
      </c>
    </row>
    <row r="9" spans="1:8" ht="13">
      <c r="A9" s="138" t="s">
        <v>1285</v>
      </c>
      <c r="B9" s="34"/>
      <c r="F9" s="27" t="s">
        <v>7640</v>
      </c>
      <c r="G9" t="s">
        <v>7636</v>
      </c>
      <c r="H9" s="326" t="e">
        <f>'Data Entry - SOF'!#REF!-#REF!</f>
        <v>#REF!</v>
      </c>
    </row>
    <row r="10" spans="1:8" ht="13">
      <c r="A10" t="s">
        <v>2063</v>
      </c>
      <c r="B10" s="59" t="s">
        <v>2314</v>
      </c>
      <c r="D10" s="140">
        <f>'Data Entry - SOF'!E74</f>
        <v>0</v>
      </c>
      <c r="E10" s="1077"/>
      <c r="F10" s="27" t="s">
        <v>7641</v>
      </c>
      <c r="G10" t="s">
        <v>7646</v>
      </c>
      <c r="H10" s="326" t="e">
        <f>H8+H9</f>
        <v>#REF!</v>
      </c>
    </row>
    <row r="11" spans="1:8">
      <c r="D11" s="134"/>
      <c r="E11" s="1078"/>
      <c r="F11" s="27" t="s">
        <v>7642</v>
      </c>
      <c r="G11" t="s">
        <v>7634</v>
      </c>
      <c r="H11" s="76" t="e">
        <f>'Data Entry - SOF'!#REF!</f>
        <v>#REF!</v>
      </c>
    </row>
    <row r="12" spans="1:8" ht="13">
      <c r="A12" t="s">
        <v>2064</v>
      </c>
      <c r="B12" s="59" t="s">
        <v>1945</v>
      </c>
      <c r="D12" s="140" t="e">
        <f>RateToMaintain2324!F76</f>
        <v>#DIV/0!</v>
      </c>
      <c r="E12" s="1077"/>
      <c r="F12" s="27" t="s">
        <v>7643</v>
      </c>
      <c r="G12" t="s">
        <v>7647</v>
      </c>
      <c r="H12" s="74" t="e">
        <f>H10/H11</f>
        <v>#REF!</v>
      </c>
    </row>
    <row r="13" spans="1:8" ht="13">
      <c r="B13" s="59" t="s">
        <v>1946</v>
      </c>
      <c r="D13" s="134"/>
      <c r="E13" s="1078"/>
      <c r="F13" s="27"/>
    </row>
    <row r="14" spans="1:8">
      <c r="F14" s="27" t="s">
        <v>7644</v>
      </c>
      <c r="G14" t="s">
        <v>7637</v>
      </c>
      <c r="H14" s="74" t="e">
        <f>'Data Entry - SOF'!#REF!</f>
        <v>#REF!</v>
      </c>
    </row>
    <row r="15" spans="1:8" ht="13">
      <c r="A15" s="138" t="s">
        <v>687</v>
      </c>
      <c r="B15" s="139"/>
      <c r="F15" s="27" t="s">
        <v>7645</v>
      </c>
      <c r="G15" t="s">
        <v>7632</v>
      </c>
      <c r="H15" s="76" t="e">
        <f>'Data Entry - SOF'!_MailAutoSig</f>
        <v>#REF!</v>
      </c>
    </row>
    <row r="16" spans="1:8" ht="13">
      <c r="A16" t="s">
        <v>862</v>
      </c>
      <c r="B16" s="59" t="s">
        <v>2314</v>
      </c>
      <c r="D16" s="140">
        <f>'Data Entry - SOF'!E79</f>
        <v>0</v>
      </c>
      <c r="E16" s="1077"/>
    </row>
    <row r="17" spans="1:8">
      <c r="D17" s="134"/>
      <c r="E17" s="1078"/>
      <c r="F17" s="27" t="s">
        <v>7648</v>
      </c>
      <c r="G17" t="s">
        <v>7638</v>
      </c>
      <c r="H17" t="e">
        <f>((H15*H12)/H14)*100</f>
        <v>#REF!</v>
      </c>
    </row>
    <row r="18" spans="1:8" ht="13">
      <c r="A18" t="s">
        <v>863</v>
      </c>
      <c r="B18" s="59" t="s">
        <v>477</v>
      </c>
      <c r="D18" s="134"/>
      <c r="E18" s="1078"/>
      <c r="G18" t="s">
        <v>7649</v>
      </c>
    </row>
    <row r="19" spans="1:8" ht="13">
      <c r="B19" s="59" t="s">
        <v>1946</v>
      </c>
      <c r="D19" s="134"/>
      <c r="E19" s="1078"/>
    </row>
    <row r="20" spans="1:8">
      <c r="A20" t="s">
        <v>478</v>
      </c>
      <c r="B20" t="s">
        <v>12554</v>
      </c>
      <c r="D20" s="136">
        <f>'Data Entry - SOF'!G97</f>
        <v>0</v>
      </c>
      <c r="E20" s="1079"/>
    </row>
    <row r="21" spans="1:8">
      <c r="A21" t="s">
        <v>479</v>
      </c>
      <c r="B21" t="s">
        <v>12555</v>
      </c>
      <c r="D21" s="945">
        <f>'Report-SOF2324-SB1'!D69</f>
        <v>0</v>
      </c>
      <c r="E21" s="1079"/>
    </row>
    <row r="22" spans="1:8">
      <c r="A22" t="s">
        <v>480</v>
      </c>
      <c r="B22" t="s">
        <v>12556</v>
      </c>
      <c r="D22" s="945">
        <f>'Report-SOF2324-SB1'!D68</f>
        <v>0</v>
      </c>
      <c r="E22" s="1079"/>
    </row>
    <row r="23" spans="1:8">
      <c r="A23" t="s">
        <v>481</v>
      </c>
      <c r="B23" t="s">
        <v>12550</v>
      </c>
      <c r="D23" s="136">
        <f>'Data Entry - SOF'!G121</f>
        <v>0</v>
      </c>
      <c r="E23" s="1079"/>
    </row>
    <row r="24" spans="1:8">
      <c r="A24" t="s">
        <v>482</v>
      </c>
      <c r="B24" t="s">
        <v>934</v>
      </c>
      <c r="D24" s="136">
        <f>D20-D21-D22-D23</f>
        <v>0</v>
      </c>
      <c r="E24" s="1079"/>
    </row>
    <row r="25" spans="1:8">
      <c r="A25" t="s">
        <v>935</v>
      </c>
      <c r="B25" t="s">
        <v>936</v>
      </c>
      <c r="D25" s="137">
        <f>'Data Entry - SOF'!G118</f>
        <v>0</v>
      </c>
      <c r="E25" s="1080"/>
    </row>
    <row r="26" spans="1:8">
      <c r="A26" t="s">
        <v>937</v>
      </c>
      <c r="B26" t="s">
        <v>938</v>
      </c>
      <c r="D26" s="136">
        <f>IF(D25=0,0,D24/D25)</f>
        <v>0</v>
      </c>
      <c r="E26" s="1079"/>
    </row>
    <row r="27" spans="1:8">
      <c r="A27" t="s">
        <v>939</v>
      </c>
      <c r="B27" t="s">
        <v>12579</v>
      </c>
      <c r="D27" s="136">
        <f>IF('Data Entry - SOF'!G120=0,'Data Entry - SOF'!G119,'Data Entry - SOF'!G120)</f>
        <v>0</v>
      </c>
      <c r="E27" s="1079"/>
    </row>
    <row r="28" spans="1:8" ht="13">
      <c r="A28" t="s">
        <v>940</v>
      </c>
      <c r="B28" s="59" t="s">
        <v>1945</v>
      </c>
      <c r="D28" s="140">
        <f>IF(D26=0,0,(D26/D27)*100)</f>
        <v>0</v>
      </c>
      <c r="E28" s="1077"/>
    </row>
    <row r="29" spans="1:8" ht="13">
      <c r="B29" s="59" t="s">
        <v>941</v>
      </c>
      <c r="D29" s="134"/>
      <c r="E29" s="1078"/>
    </row>
    <row r="30" spans="1:8">
      <c r="D30" s="134"/>
      <c r="E30" s="1078"/>
    </row>
    <row r="31" spans="1:8" ht="13">
      <c r="A31" t="s">
        <v>865</v>
      </c>
      <c r="B31" s="59" t="s">
        <v>764</v>
      </c>
      <c r="D31" s="140">
        <f>'Data Entry - SOF'!G79</f>
        <v>0</v>
      </c>
      <c r="E31" s="1077"/>
    </row>
    <row r="33" spans="1:5" ht="13">
      <c r="A33" s="138" t="s">
        <v>2333</v>
      </c>
      <c r="B33" s="139"/>
    </row>
    <row r="34" spans="1:5" ht="13">
      <c r="A34" t="s">
        <v>866</v>
      </c>
      <c r="B34" s="59" t="s">
        <v>2334</v>
      </c>
    </row>
    <row r="35" spans="1:5">
      <c r="A35" t="s">
        <v>2335</v>
      </c>
      <c r="B35" t="s">
        <v>12570</v>
      </c>
      <c r="D35" s="136">
        <f>'Data Entry - SOF'!E75-'SOF2223-HB3'!I75-'SOF2223-HB3'!I83</f>
        <v>0</v>
      </c>
      <c r="E35" s="1081"/>
    </row>
    <row r="36" spans="1:5">
      <c r="A36" t="s">
        <v>2336</v>
      </c>
      <c r="B36" t="s">
        <v>12571</v>
      </c>
      <c r="D36" s="136">
        <f>'Data Entry - SOF'!E80</f>
        <v>0</v>
      </c>
      <c r="E36" s="1079"/>
    </row>
    <row r="37" spans="1:5" hidden="1">
      <c r="A37" t="s">
        <v>2337</v>
      </c>
      <c r="B37" t="s">
        <v>8902</v>
      </c>
      <c r="D37" s="136" t="e">
        <f>#REF!</f>
        <v>#REF!</v>
      </c>
      <c r="E37" s="1079"/>
    </row>
    <row r="38" spans="1:5">
      <c r="A38" t="s">
        <v>2337</v>
      </c>
      <c r="B38" t="s">
        <v>12572</v>
      </c>
      <c r="D38" s="136">
        <f>D35+D36</f>
        <v>0</v>
      </c>
      <c r="E38" s="1079"/>
    </row>
    <row r="39" spans="1:5">
      <c r="A39" t="s">
        <v>2338</v>
      </c>
      <c r="B39" t="s">
        <v>9428</v>
      </c>
      <c r="D39" s="185">
        <f>IF('Calc Data'!E7&gt;='Calc Data'!E11,'Calc Data'!E7,'Calc Data'!E11)</f>
        <v>0</v>
      </c>
      <c r="E39" s="1082"/>
    </row>
    <row r="40" spans="1:5" ht="13">
      <c r="A40" t="s">
        <v>2553</v>
      </c>
      <c r="B40" s="59" t="s">
        <v>698</v>
      </c>
      <c r="D40" s="136" t="e">
        <f>D38/D39</f>
        <v>#DIV/0!</v>
      </c>
      <c r="E40" s="1079"/>
    </row>
    <row r="41" spans="1:5">
      <c r="D41" s="134"/>
      <c r="E41" s="1078"/>
    </row>
    <row r="42" spans="1:5" ht="13">
      <c r="A42" t="s">
        <v>867</v>
      </c>
      <c r="B42" s="59" t="s">
        <v>1945</v>
      </c>
      <c r="D42" s="134"/>
      <c r="E42" s="1078"/>
    </row>
    <row r="43" spans="1:5" ht="13">
      <c r="B43" s="59" t="s">
        <v>1218</v>
      </c>
      <c r="D43" s="134"/>
      <c r="E43" s="1078"/>
    </row>
    <row r="44" spans="1:5">
      <c r="A44" t="s">
        <v>1219</v>
      </c>
      <c r="B44" t="s">
        <v>12557</v>
      </c>
      <c r="D44" s="1102" t="e">
        <f>RateToMaintain2324!F72-'SOF2324-HB3'!I74-'SOF2324-HB3'!I82</f>
        <v>#DIV/0!</v>
      </c>
      <c r="E44" s="1081"/>
    </row>
    <row r="45" spans="1:5">
      <c r="A45" t="s">
        <v>1220</v>
      </c>
      <c r="B45" t="s">
        <v>12558</v>
      </c>
      <c r="D45" s="136">
        <f>D24</f>
        <v>0</v>
      </c>
      <c r="E45" s="1079"/>
    </row>
    <row r="46" spans="1:5">
      <c r="A46" t="s">
        <v>1221</v>
      </c>
      <c r="B46" t="s">
        <v>12559</v>
      </c>
      <c r="D46" s="136" t="e">
        <f>D44+D45</f>
        <v>#DIV/0!</v>
      </c>
      <c r="E46" s="1079"/>
    </row>
    <row r="47" spans="1:5">
      <c r="A47" t="s">
        <v>1222</v>
      </c>
      <c r="B47" t="s">
        <v>12560</v>
      </c>
      <c r="D47" s="185">
        <f>IF('Calc Data'!F7&gt;='Calc Data'!F11,'Calc Data'!F7,'Calc Data'!F11)</f>
        <v>0</v>
      </c>
      <c r="E47" s="1083"/>
    </row>
    <row r="48" spans="1:5" ht="13">
      <c r="A48" t="s">
        <v>1223</v>
      </c>
      <c r="B48" s="59" t="s">
        <v>1224</v>
      </c>
      <c r="D48" s="136" t="e">
        <f>D46/D47</f>
        <v>#DIV/0!</v>
      </c>
      <c r="E48" s="1079"/>
    </row>
    <row r="49" spans="1:5" ht="13">
      <c r="B49" s="59" t="s">
        <v>1564</v>
      </c>
      <c r="D49" s="134"/>
      <c r="E49" s="1078"/>
    </row>
    <row r="50" spans="1:5">
      <c r="D50" s="134"/>
      <c r="E50" s="1078"/>
    </row>
    <row r="51" spans="1:5" ht="13">
      <c r="A51" t="s">
        <v>109</v>
      </c>
      <c r="B51" s="59" t="s">
        <v>1565</v>
      </c>
      <c r="D51" s="134"/>
      <c r="E51" s="1078"/>
    </row>
    <row r="52" spans="1:5">
      <c r="A52" t="s">
        <v>1566</v>
      </c>
      <c r="B52" t="s">
        <v>12561</v>
      </c>
      <c r="D52" s="136" t="e">
        <f>'Data Entry - SOF'!G75-'SOF2324-HB3'!I74-'SOF2324-HB3'!I82</f>
        <v>#DIV/0!</v>
      </c>
      <c r="E52" s="1081"/>
    </row>
    <row r="53" spans="1:5">
      <c r="A53" t="s">
        <v>1567</v>
      </c>
      <c r="B53" t="s">
        <v>12562</v>
      </c>
      <c r="D53" s="136">
        <f>'Data Entry - SOF'!G80</f>
        <v>0</v>
      </c>
      <c r="E53" s="1079"/>
    </row>
    <row r="54" spans="1:5" hidden="1">
      <c r="A54" t="s">
        <v>1568</v>
      </c>
      <c r="B54" t="s">
        <v>12573</v>
      </c>
      <c r="D54" s="136" t="e">
        <f>#REF!</f>
        <v>#REF!</v>
      </c>
      <c r="E54" s="1079"/>
    </row>
    <row r="55" spans="1:5">
      <c r="A55" t="s">
        <v>1568</v>
      </c>
      <c r="B55" t="s">
        <v>12563</v>
      </c>
      <c r="D55" s="136" t="e">
        <f>D52+D53</f>
        <v>#DIV/0!</v>
      </c>
      <c r="E55" s="1079"/>
    </row>
    <row r="56" spans="1:5">
      <c r="A56" t="s">
        <v>1569</v>
      </c>
      <c r="B56" t="s">
        <v>12564</v>
      </c>
      <c r="D56" s="185">
        <f>D47</f>
        <v>0</v>
      </c>
      <c r="E56" s="1083"/>
    </row>
    <row r="57" spans="1:5" ht="13">
      <c r="A57" t="s">
        <v>1570</v>
      </c>
      <c r="B57" s="59" t="s">
        <v>699</v>
      </c>
      <c r="D57" s="136" t="e">
        <f>D55/D56</f>
        <v>#DIV/0!</v>
      </c>
      <c r="E57" s="1079"/>
    </row>
    <row r="59" spans="1:5" ht="13">
      <c r="A59" s="138" t="s">
        <v>555</v>
      </c>
      <c r="B59" s="34"/>
    </row>
    <row r="60" spans="1:5" ht="13">
      <c r="A60" t="s">
        <v>110</v>
      </c>
      <c r="B60" s="59" t="s">
        <v>2334</v>
      </c>
    </row>
    <row r="61" spans="1:5">
      <c r="A61" t="s">
        <v>556</v>
      </c>
      <c r="B61" t="s">
        <v>9426</v>
      </c>
      <c r="D61" s="141">
        <f>'Report-SOF2223-SB1'!D59+'Report-SOF2223-SB1'!D66</f>
        <v>0</v>
      </c>
      <c r="E61" s="1084"/>
    </row>
    <row r="62" spans="1:5">
      <c r="A62" t="s">
        <v>557</v>
      </c>
      <c r="B62" t="s">
        <v>1678</v>
      </c>
      <c r="D62" s="141">
        <v>0</v>
      </c>
      <c r="E62" s="1084"/>
    </row>
    <row r="63" spans="1:5">
      <c r="A63" t="s">
        <v>558</v>
      </c>
      <c r="B63" t="s">
        <v>12574</v>
      </c>
      <c r="D63" s="141" t="e">
        <f>'SOF2223-HB3'!I77</f>
        <v>#DIV/0!</v>
      </c>
      <c r="E63" s="1084"/>
    </row>
    <row r="64" spans="1:5">
      <c r="A64" t="s">
        <v>559</v>
      </c>
      <c r="B64" t="s">
        <v>12575</v>
      </c>
      <c r="D64" s="141" t="e">
        <f>'SOF2223-HB3'!I78</f>
        <v>#DIV/0!</v>
      </c>
      <c r="E64" s="1084"/>
    </row>
    <row r="65" spans="1:6">
      <c r="A65" t="s">
        <v>560</v>
      </c>
      <c r="B65" t="s">
        <v>12576</v>
      </c>
      <c r="D65" s="136">
        <f>'Report-SOF2223-SB1'!D69+'Report-SOF2223-SB1'!D70</f>
        <v>0</v>
      </c>
      <c r="E65" s="1079"/>
    </row>
    <row r="66" spans="1:6">
      <c r="A66" t="s">
        <v>561</v>
      </c>
      <c r="B66" t="s">
        <v>9427</v>
      </c>
      <c r="D66" s="136">
        <f>'Report-SOF2223-SB1'!D68</f>
        <v>0</v>
      </c>
      <c r="E66" s="1079"/>
    </row>
    <row r="67" spans="1:6">
      <c r="A67" t="s">
        <v>562</v>
      </c>
      <c r="B67" t="s">
        <v>12577</v>
      </c>
      <c r="D67" s="141" t="e">
        <f>IF(SUM(D61:D66)&lt;0,'SOF2223-HB3'!I106,SUM(D61:D66))</f>
        <v>#DIV/0!</v>
      </c>
      <c r="E67" s="1084"/>
    </row>
    <row r="68" spans="1:6">
      <c r="A68" t="s">
        <v>1714</v>
      </c>
      <c r="B68" t="s">
        <v>9428</v>
      </c>
      <c r="D68" s="135">
        <f>D39</f>
        <v>0</v>
      </c>
      <c r="E68" s="1085"/>
    </row>
    <row r="69" spans="1:6" ht="13">
      <c r="A69" t="s">
        <v>688</v>
      </c>
      <c r="B69" s="59" t="s">
        <v>2815</v>
      </c>
      <c r="D69" s="136" t="e">
        <f>D67/D68</f>
        <v>#DIV/0!</v>
      </c>
      <c r="E69" s="1079"/>
    </row>
    <row r="70" spans="1:6">
      <c r="D70" s="134"/>
      <c r="E70" s="1078"/>
    </row>
    <row r="71" spans="1:6">
      <c r="D71" s="134"/>
      <c r="E71" s="1078"/>
    </row>
    <row r="72" spans="1:6" ht="13">
      <c r="A72" t="s">
        <v>111</v>
      </c>
      <c r="B72" s="59" t="s">
        <v>477</v>
      </c>
      <c r="D72" s="134"/>
      <c r="E72" s="1078"/>
    </row>
    <row r="73" spans="1:6" ht="13">
      <c r="B73" s="59" t="s">
        <v>1946</v>
      </c>
      <c r="D73" s="134"/>
      <c r="E73" s="1078"/>
    </row>
    <row r="74" spans="1:6">
      <c r="A74" t="s">
        <v>563</v>
      </c>
      <c r="B74" t="s">
        <v>12565</v>
      </c>
      <c r="D74" s="136" t="e">
        <f>RateToMaintain2324!F21</f>
        <v>#N/A</v>
      </c>
      <c r="E74" s="1079"/>
    </row>
    <row r="75" spans="1:6">
      <c r="A75" t="s">
        <v>757</v>
      </c>
      <c r="B75" t="s">
        <v>5718</v>
      </c>
      <c r="D75" s="136" t="e">
        <f>D44</f>
        <v>#DIV/0!</v>
      </c>
      <c r="E75" s="1081"/>
      <c r="F75" s="74"/>
    </row>
    <row r="76" spans="1:6" hidden="1">
      <c r="A76" t="s">
        <v>1330</v>
      </c>
      <c r="B76" t="s">
        <v>12578</v>
      </c>
      <c r="D76" s="136">
        <v>0</v>
      </c>
      <c r="E76" s="1079"/>
    </row>
    <row r="77" spans="1:6">
      <c r="A77" t="s">
        <v>1330</v>
      </c>
      <c r="B77" t="s">
        <v>12566</v>
      </c>
      <c r="D77" s="1667">
        <f>'Report-SOF2324-SB1'!D69+'Report-SOF2324-SB1'!D70</f>
        <v>0</v>
      </c>
      <c r="E77" s="1084"/>
    </row>
    <row r="78" spans="1:6">
      <c r="A78" t="s">
        <v>1331</v>
      </c>
      <c r="B78" t="s">
        <v>12556</v>
      </c>
      <c r="D78" s="1667">
        <f>'Report-SOF2324-SB1'!D68</f>
        <v>0</v>
      </c>
      <c r="E78" s="1084"/>
    </row>
    <row r="79" spans="1:6">
      <c r="A79" t="s">
        <v>1332</v>
      </c>
      <c r="B79" t="s">
        <v>12567</v>
      </c>
      <c r="D79" s="141" t="e">
        <f>IF(D74-D75+D76+D77+D78&lt;0,'SOF2324-HB3'!I99,D74-D75+D76+D77+D78)</f>
        <v>#N/A</v>
      </c>
      <c r="E79" s="1084"/>
    </row>
    <row r="80" spans="1:6">
      <c r="A80" t="s">
        <v>1333</v>
      </c>
      <c r="B80" t="s">
        <v>12560</v>
      </c>
      <c r="D80" s="137">
        <f>D56</f>
        <v>0</v>
      </c>
      <c r="E80" s="1080"/>
    </row>
    <row r="81" spans="1:5" ht="13">
      <c r="B81" s="59" t="s">
        <v>477</v>
      </c>
      <c r="D81" s="141" t="e">
        <f>D79/D80</f>
        <v>#N/A</v>
      </c>
      <c r="E81" s="1084"/>
    </row>
    <row r="82" spans="1:5" ht="13">
      <c r="B82" s="59" t="s">
        <v>689</v>
      </c>
      <c r="D82" s="134"/>
      <c r="E82" s="1078"/>
    </row>
    <row r="83" spans="1:5">
      <c r="D83" s="134"/>
      <c r="E83" s="1078"/>
    </row>
    <row r="84" spans="1:5" ht="13">
      <c r="A84" t="s">
        <v>112</v>
      </c>
      <c r="B84" s="59" t="s">
        <v>1565</v>
      </c>
      <c r="D84" s="134"/>
      <c r="E84" s="1078"/>
    </row>
    <row r="85" spans="1:5">
      <c r="A85" t="s">
        <v>1334</v>
      </c>
      <c r="B85" t="s">
        <v>12514</v>
      </c>
      <c r="D85" s="141" t="e">
        <f>'Report-SOF2324-SB1'!D59+'Report-SOF2324-SB1'!D66</f>
        <v>#DIV/0!</v>
      </c>
      <c r="E85" s="1084"/>
    </row>
    <row r="86" spans="1:5">
      <c r="A86" t="s">
        <v>1335</v>
      </c>
      <c r="B86" s="38" t="s">
        <v>12568</v>
      </c>
      <c r="D86" s="141" t="e">
        <f>'Report-SOF2324-SB1'!D60</f>
        <v>#DIV/0!</v>
      </c>
      <c r="E86" s="1084"/>
    </row>
    <row r="87" spans="1:5">
      <c r="A87" t="s">
        <v>647</v>
      </c>
      <c r="B87" t="s">
        <v>1678</v>
      </c>
      <c r="D87" s="141">
        <v>0</v>
      </c>
      <c r="E87" s="1084"/>
    </row>
    <row r="88" spans="1:5">
      <c r="A88" t="s">
        <v>648</v>
      </c>
      <c r="B88" t="s">
        <v>12566</v>
      </c>
      <c r="D88" s="136">
        <f>D77</f>
        <v>0</v>
      </c>
      <c r="E88" s="1079"/>
    </row>
    <row r="89" spans="1:5">
      <c r="A89" t="s">
        <v>649</v>
      </c>
      <c r="B89" t="s">
        <v>12556</v>
      </c>
      <c r="D89" s="136">
        <f>D78</f>
        <v>0</v>
      </c>
      <c r="E89" s="1079"/>
    </row>
    <row r="90" spans="1:5">
      <c r="A90" t="s">
        <v>650</v>
      </c>
      <c r="B90" t="s">
        <v>12569</v>
      </c>
      <c r="D90" s="141" t="e">
        <f>IF(SUM(D85:D89)&lt;0,'SOF2324-HB3'!I99,SUM(D85:D89))</f>
        <v>#DIV/0!</v>
      </c>
      <c r="E90" s="1084"/>
    </row>
    <row r="91" spans="1:5">
      <c r="A91" t="s">
        <v>798</v>
      </c>
      <c r="B91" t="s">
        <v>12560</v>
      </c>
      <c r="D91" s="137">
        <f>D80</f>
        <v>0</v>
      </c>
      <c r="E91" s="1080"/>
    </row>
    <row r="92" spans="1:5" ht="13">
      <c r="A92" t="s">
        <v>799</v>
      </c>
      <c r="B92" s="59" t="s">
        <v>1348</v>
      </c>
      <c r="D92" s="136" t="e">
        <f>D90/D91</f>
        <v>#DIV/0!</v>
      </c>
      <c r="E92" s="1079"/>
    </row>
  </sheetData>
  <phoneticPr fontId="24"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44"/>
  </sheetPr>
  <dimension ref="A1:BL232"/>
  <sheetViews>
    <sheetView topLeftCell="A16" workbookViewId="0">
      <selection activeCell="D95" sqref="D95"/>
    </sheetView>
  </sheetViews>
  <sheetFormatPr defaultRowHeight="13"/>
  <cols>
    <col min="1" max="1" width="5" customWidth="1"/>
    <col min="2" max="2" width="66.81640625" customWidth="1"/>
    <col min="3" max="3" width="19.54296875" style="524" customWidth="1"/>
    <col min="4" max="4" width="19.54296875" style="529" customWidth="1"/>
    <col min="5" max="5" width="19" style="571" customWidth="1"/>
    <col min="6" max="6" width="19.54296875" style="669" customWidth="1"/>
    <col min="7" max="7" width="19.54296875" style="866" customWidth="1"/>
    <col min="8" max="8" width="19" customWidth="1"/>
    <col min="9" max="9" width="19" style="2042" customWidth="1"/>
    <col min="10" max="10" width="22.54296875" style="201" customWidth="1"/>
    <col min="11" max="11" width="22.54296875" customWidth="1"/>
    <col min="12" max="12" width="18" customWidth="1"/>
    <col min="13" max="14" width="18" style="100" customWidth="1"/>
    <col min="15" max="18" width="18" customWidth="1"/>
    <col min="19" max="19" width="18.1796875" customWidth="1"/>
    <col min="20" max="20" width="20.54296875" style="122" customWidth="1"/>
    <col min="21" max="21" width="21.1796875" customWidth="1"/>
    <col min="22" max="25" width="17.54296875" customWidth="1"/>
    <col min="26" max="26" width="36.54296875" style="729" customWidth="1"/>
    <col min="27" max="27" width="19.54296875" style="729" customWidth="1"/>
    <col min="28" max="28" width="19.1796875" style="729" customWidth="1"/>
    <col min="29" max="29" width="19.81640625" style="729" customWidth="1"/>
    <col min="30" max="30" width="38.453125" customWidth="1"/>
    <col min="31" max="31" width="17.81640625" customWidth="1"/>
    <col min="32" max="33" width="18.54296875" customWidth="1"/>
    <col min="34" max="34" width="43.54296875" customWidth="1"/>
    <col min="35" max="35" width="21.54296875" customWidth="1"/>
    <col min="36" max="36" width="21.453125" customWidth="1"/>
    <col min="37" max="37" width="20.54296875" customWidth="1"/>
    <col min="38" max="38" width="41.453125" customWidth="1"/>
    <col min="39" max="39" width="21.54296875" customWidth="1"/>
    <col min="40" max="40" width="21.453125" customWidth="1"/>
    <col min="41" max="41" width="20.1796875" customWidth="1"/>
    <col min="42" max="42" width="16.54296875" customWidth="1"/>
    <col min="43" max="43" width="41.453125" style="717" customWidth="1"/>
    <col min="44" max="44" width="21.54296875" style="717" customWidth="1"/>
    <col min="45" max="45" width="21.453125" style="717" customWidth="1"/>
    <col min="46" max="46" width="20.1796875" style="717" customWidth="1"/>
    <col min="47" max="47" width="16.54296875" style="717" customWidth="1"/>
    <col min="48" max="48" width="41.453125" style="628" customWidth="1"/>
    <col min="49" max="49" width="21.54296875" style="628" customWidth="1"/>
    <col min="50" max="50" width="21.453125" style="628" customWidth="1"/>
    <col min="51" max="51" width="20.1796875" style="628" customWidth="1"/>
    <col min="52" max="52" width="16.54296875" style="717" customWidth="1"/>
    <col min="53" max="53" width="41.453125" style="855" customWidth="1"/>
    <col min="54" max="54" width="21.54296875" style="855" customWidth="1"/>
    <col min="55" max="55" width="21.453125" style="855" customWidth="1"/>
    <col min="56" max="56" width="20.1796875" style="855" customWidth="1"/>
    <col min="57" max="57" width="41.453125" style="855" customWidth="1"/>
    <col min="58" max="58" width="21.54296875" style="855" customWidth="1"/>
    <col min="59" max="59" width="21.453125" style="855" customWidth="1"/>
    <col min="60" max="60" width="20.1796875" style="855" customWidth="1"/>
    <col min="61" max="64" width="9.1796875" style="717"/>
  </cols>
  <sheetData>
    <row r="1" spans="1:60">
      <c r="A1" s="25" t="s">
        <v>1178</v>
      </c>
      <c r="L1" s="58"/>
      <c r="M1" s="112"/>
      <c r="N1" s="112"/>
      <c r="T1"/>
    </row>
    <row r="2" spans="1:60">
      <c r="L2" s="58"/>
      <c r="M2" s="112"/>
      <c r="N2" s="112"/>
      <c r="T2" s="2042"/>
    </row>
    <row r="3" spans="1:60">
      <c r="A3" s="13" t="s">
        <v>66</v>
      </c>
      <c r="G3" s="867"/>
      <c r="H3" s="200"/>
      <c r="I3" s="200"/>
      <c r="J3" s="200"/>
      <c r="K3" s="200"/>
      <c r="S3" s="2042"/>
      <c r="T3" s="2042"/>
      <c r="U3" s="2042"/>
    </row>
    <row r="4" spans="1:60">
      <c r="A4" s="17" t="s">
        <v>1201</v>
      </c>
      <c r="B4" s="9"/>
      <c r="C4" s="552"/>
      <c r="D4" s="552"/>
      <c r="E4" s="572"/>
      <c r="F4" s="670"/>
      <c r="G4" s="868"/>
      <c r="M4" s="113"/>
      <c r="N4" s="113"/>
      <c r="S4" s="2042"/>
      <c r="T4" s="2042"/>
      <c r="U4" s="2042"/>
      <c r="AD4" t="s">
        <v>1895</v>
      </c>
      <c r="AE4" s="1932" t="e">
        <f>'Data Entry - SOF'!#REF!</f>
        <v>#REF!</v>
      </c>
    </row>
    <row r="5" spans="1:60">
      <c r="A5" s="16"/>
      <c r="C5" s="58"/>
      <c r="D5" s="553" t="s">
        <v>5513</v>
      </c>
      <c r="E5" s="573" t="s">
        <v>5951</v>
      </c>
      <c r="F5" s="671" t="s">
        <v>7037</v>
      </c>
      <c r="G5" s="1947" t="s">
        <v>8487</v>
      </c>
      <c r="H5" s="2260" t="s">
        <v>9171</v>
      </c>
      <c r="I5" s="2260" t="s">
        <v>11049</v>
      </c>
      <c r="M5" s="114"/>
      <c r="N5" s="114"/>
      <c r="S5" s="2042"/>
      <c r="T5" s="2042"/>
      <c r="U5" s="2042"/>
      <c r="AD5" s="59" t="s">
        <v>1744</v>
      </c>
      <c r="AE5" s="1932" t="e">
        <f>AE4</f>
        <v>#REF!</v>
      </c>
    </row>
    <row r="6" spans="1:60">
      <c r="A6" s="16"/>
      <c r="B6" t="s">
        <v>1895</v>
      </c>
      <c r="D6" s="531">
        <f>'Data Entry - SOF'!C19</f>
        <v>0</v>
      </c>
      <c r="E6" s="574">
        <f>'Data Entry - SOF'!E19</f>
        <v>0</v>
      </c>
      <c r="F6" s="672">
        <f>'Data Entry - SOF'!G19</f>
        <v>0</v>
      </c>
      <c r="G6" s="1948">
        <f>'Data Entry - SOF'!I19</f>
        <v>0</v>
      </c>
      <c r="H6" s="2261">
        <f>'Data Entry - SOF'!K19</f>
        <v>0</v>
      </c>
      <c r="I6" s="2261">
        <f>'Data Entry - SOF'!M19</f>
        <v>0</v>
      </c>
      <c r="M6" s="115"/>
      <c r="N6" s="115"/>
      <c r="S6" s="2042"/>
      <c r="T6" s="2042"/>
      <c r="U6" s="2042"/>
      <c r="AD6" t="s">
        <v>1896</v>
      </c>
      <c r="AE6" s="1932"/>
    </row>
    <row r="7" spans="1:60">
      <c r="B7" s="59" t="s">
        <v>1744</v>
      </c>
      <c r="D7" s="531">
        <f t="shared" ref="D7" si="0">D6</f>
        <v>0</v>
      </c>
      <c r="E7" s="574">
        <f>E6</f>
        <v>0</v>
      </c>
      <c r="F7" s="672">
        <f>F6</f>
        <v>0</v>
      </c>
      <c r="G7" s="1948">
        <f>G6</f>
        <v>0</v>
      </c>
      <c r="H7" s="2261">
        <f>H6</f>
        <v>0</v>
      </c>
      <c r="I7" s="2261">
        <f>I6</f>
        <v>0</v>
      </c>
      <c r="M7" s="115"/>
      <c r="N7" s="115"/>
      <c r="S7" s="2042"/>
      <c r="T7" s="2042"/>
      <c r="U7" s="2042"/>
      <c r="AD7" t="s">
        <v>1897</v>
      </c>
      <c r="AE7" s="1932"/>
    </row>
    <row r="8" spans="1:60">
      <c r="B8" t="s">
        <v>1896</v>
      </c>
      <c r="D8" s="531">
        <f>SUM('Data Entry - SOF'!C22:C29)+SUM('Data Entry - SOF'!C31:C31)</f>
        <v>0</v>
      </c>
      <c r="E8" s="574">
        <f>SUM('Data Entry - SOF'!E22:E29)+SUM('Data Entry - SOF'!E31:E31)</f>
        <v>0</v>
      </c>
      <c r="F8" s="672">
        <f>SUM('Data Entry - SOF'!G22:G29)+SUM('Data Entry - SOF'!G31:G31)</f>
        <v>0</v>
      </c>
      <c r="G8" s="1948">
        <f>SUM('Data Entry - SOF'!I22:I29)+SUM('Data Entry - SOF'!I31:I31)</f>
        <v>0</v>
      </c>
      <c r="H8" s="2261">
        <f>SUM('Data Entry - SOF'!K22:K29)+SUM('Data Entry - SOF'!K31:K31)</f>
        <v>0</v>
      </c>
      <c r="I8" s="2261">
        <f>SUM('Data Entry - SOF'!M22:M29)+SUM('Data Entry - SOF'!M31:M31)</f>
        <v>0</v>
      </c>
      <c r="M8" s="115"/>
      <c r="N8" s="115"/>
      <c r="S8" s="2042"/>
      <c r="T8" s="2042"/>
      <c r="U8" s="2042"/>
      <c r="AD8" t="s">
        <v>1898</v>
      </c>
      <c r="AE8" s="1932" t="e">
        <f>'Data Entry - SOF'!#REF!</f>
        <v>#REF!</v>
      </c>
    </row>
    <row r="9" spans="1:60">
      <c r="B9" t="s">
        <v>1897</v>
      </c>
      <c r="D9" s="531">
        <f>('Data Entry - SOF'!C22*Weights!M10)+('Data Entry - SOF'!C23*Weights!M11)+('Data Entry - SOF'!C24*Weights!M12)+('Data Entry - SOF'!C25*Weights!M13)+('Data Entry - SOF'!C26*Weights!M14)+('Data Entry - SOF'!C27*Weights!M15)+('Data Entry - SOF'!C28*Weights!M16)</f>
        <v>0</v>
      </c>
      <c r="E9" s="574">
        <f>('Data Entry - SOF'!E22*Weights!N10)+('Data Entry - SOF'!E23*Weights!N11)+('Data Entry - SOF'!E24*Weights!N12)+('Data Entry - SOF'!E25*Weights!N13)+('Data Entry - SOF'!E26*Weights!N14)+('Data Entry - SOF'!E27*Weights!N15)+('Data Entry - SOF'!E28*Weights!N16)</f>
        <v>0</v>
      </c>
      <c r="F9" s="672">
        <f>('Data Entry - SOF'!G22*Weights!O10)+('Data Entry - SOF'!G23*Weights!O11)+('Data Entry - SOF'!G24*Weights!O12)+('Data Entry - SOF'!G25*Weights!O13)+('Data Entry - SOF'!G26*Weights!O14)+('Data Entry - SOF'!G27*Weights!O15)+('Data Entry - SOF'!G28*Weights!O16)</f>
        <v>0</v>
      </c>
      <c r="G9" s="1948">
        <f>('Data Entry - SOF'!I22*Weights!P10)+('Data Entry - SOF'!I23*Weights!P11)+('Data Entry - SOF'!I24*Weights!P12)+('Data Entry - SOF'!I25*Weights!P13)+('Data Entry - SOF'!I26*Weights!P14)+('Data Entry - SOF'!I27*Weights!P15)+('Data Entry - SOF'!I28*Weights!P16)</f>
        <v>0</v>
      </c>
      <c r="H9" s="2261">
        <f>('Data Entry - SOF'!K22*Weights!Q10)+('Data Entry - SOF'!K23*Weights!Q11)+('Data Entry - SOF'!K24*Weights!Q12)+('Data Entry - SOF'!K25*Weights!Q13)+('Data Entry - SOF'!K26*Weights!Q14)+('Data Entry - SOF'!K27*Weights!Q15)+('Data Entry - SOF'!K28*Weights!Q16)</f>
        <v>0</v>
      </c>
      <c r="I9" s="2987">
        <f>('Data Entry - SOF'!M22*Weights!R10)+('Data Entry - SOF'!M23*Weights!R11)+('Data Entry - SOF'!M24*Weights!R12)+('Data Entry - SOF'!M25*Weights!R13)+('Data Entry - SOF'!M26*Weights!R14)+('Data Entry - SOF'!M27*Weights!R15)+('Data Entry - SOF'!M28*Weights!R16)</f>
        <v>0</v>
      </c>
      <c r="M9" s="115"/>
      <c r="N9" s="115"/>
      <c r="S9" s="2042"/>
      <c r="T9" s="2042"/>
      <c r="U9" s="2042"/>
      <c r="AD9" t="s">
        <v>1899</v>
      </c>
      <c r="AE9" s="525">
        <f>IF('Data Entry - SOF'!B194=1,'Data Entry - SOF'!#REF!,IF('Data Entry - SOF'!B195=1,'Data Entry - SOF'!B192,IF('Data Entry - SOF'!B196=1,'Data Entry - SOF'!B193,0)))</f>
        <v>0</v>
      </c>
    </row>
    <row r="10" spans="1:60" hidden="1">
      <c r="B10" t="s">
        <v>1898</v>
      </c>
      <c r="C10" s="2328" t="s">
        <v>9172</v>
      </c>
      <c r="D10" s="531" t="e">
        <f>D7-D8-'Data Entry - SOF'!#REF!</f>
        <v>#REF!</v>
      </c>
      <c r="E10" s="574" t="e">
        <f>E7-E8-'Data Entry - SOF'!#REF!</f>
        <v>#REF!</v>
      </c>
      <c r="F10" s="672" t="e">
        <f>F7-F8-'Data Entry - SOF'!#REF!</f>
        <v>#REF!</v>
      </c>
      <c r="G10" s="1948" t="e">
        <f>G7-G8-'Data Entry - SOF'!#REF!</f>
        <v>#REF!</v>
      </c>
      <c r="H10" s="2261" t="e">
        <f>H7-H8-'Data Entry - SOF'!#REF!</f>
        <v>#REF!</v>
      </c>
      <c r="I10" s="2261" t="e">
        <f>I7-I8-'Data Entry - SOF'!#REF!</f>
        <v>#REF!</v>
      </c>
      <c r="M10" s="115"/>
      <c r="N10" s="115"/>
      <c r="S10" s="2042"/>
      <c r="T10" s="2042"/>
      <c r="U10" s="2042"/>
    </row>
    <row r="11" spans="1:60">
      <c r="B11" t="s">
        <v>1899</v>
      </c>
      <c r="D11" s="532">
        <f>IF('Data Entry - SOF'!C196=1,'Data Entry - SOF'!C193,IF('Data Entry - SOF'!C197=1,'Data Entry - SOF'!C194,IF('Data Entry - SOF'!C198=1,'Data Entry - SOF'!C195,0)))</f>
        <v>0</v>
      </c>
      <c r="E11" s="575">
        <f>IF('Data Entry - SOF'!E196=1,'Data Entry - SOF'!E193,IF('Data Entry - SOF'!E197=1,'Data Entry - SOF'!E194,IF('Data Entry - SOF'!E198=1,'Data Entry - SOF'!E195,0)))</f>
        <v>0</v>
      </c>
      <c r="F11" s="673">
        <f>IF('Data Entry - SOF'!G196=1,'Data Entry - SOF'!G193,IF('Data Entry - SOF'!G197=1,'Data Entry - SOF'!G194,IF('Data Entry - SOF'!G198=1,'Data Entry - SOF'!G195,0)))</f>
        <v>0</v>
      </c>
      <c r="G11" s="1949">
        <f>IF('Data Entry - SOF'!I196=1,'Data Entry - SOF'!I193,IF('Data Entry - SOF'!I197=1,'Data Entry - SOF'!I194,IF('Data Entry - SOF'!I198=1,'Data Entry - SOF'!I195,0)))</f>
        <v>0</v>
      </c>
      <c r="H11" s="2262">
        <f>IF('Data Entry - SOF'!K196=1,'Data Entry - SOF'!K193,IF('Data Entry - SOF'!K197=1,'Data Entry - SOF'!K194,IF('Data Entry - SOF'!K198=1,'Data Entry - SOF'!K195,0)))</f>
        <v>0</v>
      </c>
      <c r="I11" s="2262">
        <f>IF('Data Entry - SOF'!M196=1,'Data Entry - SOF'!M193,IF('Data Entry - SOF'!M197=1,'Data Entry - SOF'!M194,IF('Data Entry - SOF'!M198=1,'Data Entry - SOF'!M195,0)))</f>
        <v>0</v>
      </c>
      <c r="S11" s="2042"/>
      <c r="T11" s="2042"/>
      <c r="U11" s="2042"/>
    </row>
    <row r="12" spans="1:60">
      <c r="C12" s="1073" t="s">
        <v>7667</v>
      </c>
      <c r="D12" s="1101">
        <f>D7-D8-'Data Entry - SOF'!C36-'Data Entry - SOF'!C37-'Data Entry - SOF'!C38</f>
        <v>0</v>
      </c>
      <c r="E12" s="1101">
        <f>E7-E8-'Data Entry - SOF'!E36-'Data Entry - SOF'!E37-'Data Entry - SOF'!E38</f>
        <v>0</v>
      </c>
      <c r="F12" s="1101">
        <f>F7-F8-'Data Entry - SOF'!G36-'Data Entry - SOF'!G37-'Data Entry - SOF'!G38</f>
        <v>0</v>
      </c>
      <c r="G12" s="1101">
        <f>G7-G8-'Data Entry - SOF'!I36-'Data Entry - SOF'!I37-'Data Entry - SOF'!I38</f>
        <v>0</v>
      </c>
      <c r="H12" s="2263">
        <f>H7-H8-'Data Entry - SOF'!K36-'Data Entry - SOF'!K37-'Data Entry - SOF'!K38</f>
        <v>0</v>
      </c>
      <c r="I12" s="2263">
        <f>I7-I8-'Data Entry - SOF'!M36-'Data Entry - SOF'!M37-'Data Entry - SOF'!M38</f>
        <v>0</v>
      </c>
      <c r="T12"/>
      <c r="AB12" s="765"/>
      <c r="AC12" s="766"/>
      <c r="AR12" s="633"/>
      <c r="AS12" s="633"/>
      <c r="AT12" s="633"/>
      <c r="AW12" s="639"/>
      <c r="AX12" s="639"/>
      <c r="AY12" s="639"/>
    </row>
    <row r="13" spans="1:60" hidden="1">
      <c r="B13" s="59" t="s">
        <v>254</v>
      </c>
      <c r="G13" s="1037"/>
      <c r="H13" s="1037"/>
      <c r="I13" s="1037"/>
      <c r="T13"/>
      <c r="AR13" s="633"/>
      <c r="AS13" s="633"/>
      <c r="AT13" s="633"/>
      <c r="AW13" s="639"/>
      <c r="AX13" s="639"/>
      <c r="AY13" s="639"/>
    </row>
    <row r="14" spans="1:60" hidden="1">
      <c r="B14" s="59" t="s">
        <v>1956</v>
      </c>
      <c r="G14" s="1037"/>
      <c r="H14" s="1037"/>
      <c r="I14" s="1037"/>
      <c r="T14"/>
      <c r="AR14" s="633"/>
      <c r="AS14" s="633"/>
      <c r="AT14" s="633"/>
      <c r="AW14" s="639"/>
      <c r="AX14" s="639"/>
      <c r="AY14" s="639"/>
    </row>
    <row r="15" spans="1:60" hidden="1">
      <c r="B15" s="59" t="s">
        <v>715</v>
      </c>
      <c r="G15" s="1037"/>
      <c r="H15" s="1037"/>
      <c r="I15" s="1037"/>
      <c r="T15"/>
      <c r="AR15" s="633"/>
      <c r="AS15" s="633"/>
      <c r="AT15" s="633"/>
      <c r="AW15" s="639"/>
      <c r="AX15" s="639"/>
      <c r="AY15" s="639"/>
    </row>
    <row r="16" spans="1:60">
      <c r="B16" s="59"/>
      <c r="D16" s="530" t="s">
        <v>3289</v>
      </c>
      <c r="E16" s="572" t="s">
        <v>3289</v>
      </c>
      <c r="F16" s="670" t="s">
        <v>3289</v>
      </c>
      <c r="G16" s="670" t="s">
        <v>3289</v>
      </c>
      <c r="H16" s="670" t="s">
        <v>3289</v>
      </c>
      <c r="I16" s="670" t="s">
        <v>3289</v>
      </c>
      <c r="T16"/>
      <c r="AA16" s="767"/>
      <c r="AB16" s="768"/>
      <c r="AE16" s="71"/>
      <c r="AF16" s="477"/>
      <c r="AG16" s="446"/>
      <c r="AI16" s="71"/>
      <c r="AJ16" s="477"/>
      <c r="AM16" s="71"/>
      <c r="AN16" s="477"/>
      <c r="AR16" s="897"/>
      <c r="AS16" s="898"/>
      <c r="AT16" s="633"/>
      <c r="AW16" s="630"/>
      <c r="AX16" s="648"/>
      <c r="AY16" s="639"/>
      <c r="BA16" s="628"/>
      <c r="BB16" s="921"/>
      <c r="BC16" s="921"/>
      <c r="BD16" s="642"/>
      <c r="BE16" s="628"/>
      <c r="BF16" s="921"/>
      <c r="BG16" s="921"/>
      <c r="BH16" s="642"/>
    </row>
    <row r="17" spans="2:60">
      <c r="D17" s="553" t="str">
        <f t="shared" ref="D17:I17" si="1">D5</f>
        <v>2021-22</v>
      </c>
      <c r="E17" s="573" t="str">
        <f t="shared" si="1"/>
        <v>2022-23</v>
      </c>
      <c r="F17" s="872" t="str">
        <f t="shared" si="1"/>
        <v>2023-24</v>
      </c>
      <c r="G17" s="872" t="str">
        <f t="shared" si="1"/>
        <v>2024-25</v>
      </c>
      <c r="H17" s="2267" t="str">
        <f t="shared" si="1"/>
        <v>2025-26</v>
      </c>
      <c r="I17" s="2267" t="str">
        <f t="shared" si="1"/>
        <v>2026-27</v>
      </c>
      <c r="M17" s="114"/>
      <c r="N17" s="114"/>
      <c r="O17" s="2042"/>
      <c r="P17" s="2042"/>
      <c r="T17"/>
      <c r="AA17" s="769" t="s">
        <v>2816</v>
      </c>
      <c r="AB17" s="768"/>
      <c r="AE17" s="43" t="s">
        <v>2838</v>
      </c>
      <c r="AF17" s="477"/>
      <c r="AG17" s="445"/>
      <c r="AI17" s="43" t="s">
        <v>2839</v>
      </c>
      <c r="AJ17" s="477"/>
      <c r="AM17" s="43" t="s">
        <v>3325</v>
      </c>
      <c r="AN17" s="477"/>
      <c r="AR17" s="641" t="s">
        <v>5513</v>
      </c>
      <c r="AS17" s="898"/>
      <c r="AT17" s="633"/>
      <c r="AW17" s="631" t="s">
        <v>5951</v>
      </c>
      <c r="AX17" s="648"/>
      <c r="AY17" s="639"/>
      <c r="BA17" s="628"/>
      <c r="BB17" s="640" t="s">
        <v>7037</v>
      </c>
      <c r="BC17" s="921"/>
      <c r="BD17" s="642"/>
      <c r="BE17" s="628"/>
      <c r="BF17" s="640" t="s">
        <v>8487</v>
      </c>
      <c r="BG17" s="921"/>
      <c r="BH17" s="642"/>
    </row>
    <row r="18" spans="2:60">
      <c r="B18" t="s">
        <v>1705</v>
      </c>
      <c r="D18" s="533">
        <f>IF('Data Entry - SOF'!C126&gt;=300,Weights!M40,Weights!M39)</f>
        <v>3.5E-4</v>
      </c>
      <c r="E18" s="576">
        <f>IF('Data Entry - SOF'!E126&gt;=300,Weights!N40,Weights!N39)</f>
        <v>3.7500000000000001E-4</v>
      </c>
      <c r="F18" s="674">
        <f>Weights!O39</f>
        <v>4.0000000000000002E-4</v>
      </c>
      <c r="G18" s="674">
        <f>Weights!P39</f>
        <v>4.0000000000000002E-4</v>
      </c>
      <c r="H18" s="2264">
        <f>Weights!Q39</f>
        <v>4.0000000000000002E-4</v>
      </c>
      <c r="I18" s="2988">
        <f>Weights!S39</f>
        <v>0</v>
      </c>
      <c r="O18" s="2042"/>
      <c r="P18" s="2042"/>
      <c r="T18"/>
      <c r="AA18" s="769" t="s">
        <v>3292</v>
      </c>
      <c r="AB18" s="768"/>
      <c r="AE18" s="43" t="s">
        <v>3292</v>
      </c>
      <c r="AF18" s="477"/>
      <c r="AG18" s="445"/>
      <c r="AI18" s="43" t="s">
        <v>3292</v>
      </c>
      <c r="AJ18" s="1012" t="s">
        <v>7427</v>
      </c>
      <c r="AM18" s="43" t="s">
        <v>3292</v>
      </c>
      <c r="AN18" s="477"/>
      <c r="AR18" s="641" t="s">
        <v>3292</v>
      </c>
      <c r="AS18" s="898"/>
      <c r="AT18" s="633"/>
      <c r="AW18" s="631" t="s">
        <v>3292</v>
      </c>
      <c r="AX18" s="648"/>
      <c r="AY18" s="639"/>
      <c r="BA18" s="628"/>
      <c r="BB18" s="640" t="s">
        <v>3292</v>
      </c>
      <c r="BC18" s="921"/>
      <c r="BD18" s="642"/>
      <c r="BE18" s="628"/>
      <c r="BF18" s="640" t="s">
        <v>3292</v>
      </c>
      <c r="BG18" s="921"/>
      <c r="BH18" s="642"/>
    </row>
    <row r="19" spans="2:60" hidden="1">
      <c r="B19" t="s">
        <v>2284</v>
      </c>
      <c r="D19" s="559">
        <f>Assumptions!H136</f>
        <v>6160</v>
      </c>
      <c r="E19" s="559">
        <f>Assumptions!H145</f>
        <v>6160</v>
      </c>
      <c r="F19" s="559" t="e">
        <f>Assumptions!H154</f>
        <v>#DIV/0!</v>
      </c>
      <c r="G19" s="559" t="e">
        <f>Assumptions!H163</f>
        <v>#DIV/0!</v>
      </c>
      <c r="H19" s="559" t="e">
        <f>Assumptions!H172</f>
        <v>#DIV/0!</v>
      </c>
      <c r="I19" s="559">
        <f>Assumptions!I172</f>
        <v>0</v>
      </c>
      <c r="O19" s="219" t="e">
        <f>IF('Data Entry - SOF'!#REF!&gt;=1.5,Assumptions!G46,Assumptions!G46*('Data Entry - SOF'!#REF!/1.00005))</f>
        <v>#REF!</v>
      </c>
      <c r="P19" s="219" t="e">
        <f>IF('Data Entry - SOF'!#REF!&gt;=1.5,Assumptions!G46,Assumptions!G46*('Data Entry - SOF'!#REF!/1.00005))</f>
        <v>#REF!</v>
      </c>
      <c r="T19"/>
      <c r="AA19" s="770" t="e">
        <f>IF('Data Entry - SOF'!#REF!&gt;=1.5,Assumptions!G88,IF(AA24&gt;=AA25,Assumptions!G88,Assumptions!G88*(('Data Entry - SOF'!#REF!+(AA24/100))/1)))</f>
        <v>#REF!</v>
      </c>
      <c r="AB19" s="768"/>
      <c r="AE19" s="831" t="e">
        <f>IF('Data Entry - SOF'!#REF!&gt;=1.5,Assumptions!G108,IF(AE24&gt;=AE25,Assumptions!G108,Assumptions!G108*(('Data Entry - SOF'!#REF!+(AE24/100))/1)))</f>
        <v>#REF!</v>
      </c>
      <c r="AF19" s="876"/>
      <c r="AG19" s="478"/>
      <c r="AH19" s="27" t="s">
        <v>7387</v>
      </c>
      <c r="AI19" s="1013" t="e">
        <f>IF('Data Entry - SOF'!#REF!&gt;=1.5,Assumptions!G117,IF(AI24&gt;=AI25,Assumptions!G117,Assumptions!G117*(('Data Entry - SOF'!#REF!+(AI24/100))/1)))</f>
        <v>#REF!</v>
      </c>
      <c r="AJ19" s="1016">
        <f>Assumptions!H117</f>
        <v>6160</v>
      </c>
      <c r="AK19" s="25"/>
      <c r="AM19" s="831" t="e">
        <f>IF('Data Entry - SOF'!#REF!&gt;=1.5,Assumptions!G126,IF(AM24&gt;=AM25,Assumptions!G126,Assumptions!G126*(('Data Entry - SOF'!#REF!+(AM24/100))/1)))</f>
        <v>#REF!</v>
      </c>
      <c r="AN19" s="876"/>
      <c r="AO19" s="25"/>
      <c r="AP19" s="25"/>
      <c r="AR19" s="851" t="e">
        <f>IF('Data Entry - SOF'!#REF!&gt;=1.5,Assumptions!G135,IF(AR24&gt;=AR25,Assumptions!G135,Assumptions!G135*(('Data Entry - SOF'!C123+(AR24/100))/1)))</f>
        <v>#REF!</v>
      </c>
      <c r="AS19" s="897"/>
      <c r="AT19" s="643"/>
      <c r="AW19" s="851" t="e">
        <f>IF('Data Entry - SOF'!#REF!&gt;=1.5,Assumptions!G144,IF(AW24&gt;=AW25,Assumptions!G144,Assumptions!G144*(('Data Entry - SOF'!E123+(AW24/100))/1)))</f>
        <v>#REF!</v>
      </c>
      <c r="AX19" s="630"/>
      <c r="AY19" s="639"/>
      <c r="BA19" s="628"/>
      <c r="BB19" s="851" t="e">
        <f>IF('Data Entry - SOF'!#REF!&gt;=1.5,Assumptions!G153,IF(BB24&gt;=BB25,Assumptions!G153,Assumptions!G153*(('Data Entry - SOF'!G123+(BB24/100))/1)))</f>
        <v>#REF!</v>
      </c>
      <c r="BC19" s="921"/>
      <c r="BD19" s="642"/>
      <c r="BE19" s="628"/>
      <c r="BF19" s="851" t="e">
        <f>IF('Data Entry - SOF'!#REF!&gt;=1.5,Assumptions!G153,IF(BF24&gt;=BF25,Assumptions!G153,Assumptions!G153*(('Data Entry - SOF'!I123+(BF24/100))/1)))</f>
        <v>#REF!</v>
      </c>
      <c r="BG19" s="921"/>
      <c r="BH19" s="642"/>
    </row>
    <row r="20" spans="2:60" hidden="1">
      <c r="B20" t="s">
        <v>1605</v>
      </c>
      <c r="D20" s="534" t="e">
        <f>ROUND(D19*(((D59-1)*Weights!M44)+1),0)</f>
        <v>#REF!</v>
      </c>
      <c r="E20" s="577" t="e">
        <f>ROUND(E19*(((E59-1)*Weights!N44)+1),0)</f>
        <v>#REF!</v>
      </c>
      <c r="F20" s="675" t="e">
        <f>ROUND(F19*(((F59-1)*Weights!O44)+1),0)</f>
        <v>#DIV/0!</v>
      </c>
      <c r="G20" s="675" t="e">
        <f>ROUND(G19*(((G59-1)*Weights!P44)+1),0)</f>
        <v>#DIV/0!</v>
      </c>
      <c r="H20" s="2265" t="e">
        <f>ROUND(H19*(((H59-1)*Weights!Q44)+1),0)</f>
        <v>#DIV/0!</v>
      </c>
      <c r="I20" s="2265">
        <f>ROUND(I19*(((I59-1)*Weights!S44)+1),0)</f>
        <v>0</v>
      </c>
      <c r="M20" s="116"/>
      <c r="N20" s="116"/>
      <c r="O20" s="220" t="e">
        <f>ROUND(O19*(((#REF!-1)*Weights!E44)+1),0)</f>
        <v>#REF!</v>
      </c>
      <c r="P20" s="220" t="e">
        <f>ROUND(P19*(((#REF!-1)*Weights!E44)+1),0)</f>
        <v>#REF!</v>
      </c>
      <c r="T20"/>
      <c r="Z20" s="771" t="s">
        <v>3295</v>
      </c>
      <c r="AA20" s="772" t="e">
        <f>ROUND(AA19*(((#REF!-1)*Weights!H44)+1),0)</f>
        <v>#REF!</v>
      </c>
      <c r="AB20" s="768"/>
      <c r="AD20" s="27" t="s">
        <v>3295</v>
      </c>
      <c r="AE20" s="877" t="e">
        <f>ROUND(AE19*(((C59-1)*Weights!J44)+1),0)</f>
        <v>#REF!</v>
      </c>
      <c r="AF20" s="876"/>
      <c r="AG20" s="450"/>
      <c r="AH20" s="27" t="s">
        <v>3295</v>
      </c>
      <c r="AI20" s="1014" t="e">
        <f>ROUND(AI19*(((C59-1)*Weights!K44)+1),0)</f>
        <v>#REF!</v>
      </c>
      <c r="AJ20" s="1015" t="s">
        <v>1678</v>
      </c>
      <c r="AK20" s="25"/>
      <c r="AL20" s="27" t="s">
        <v>3295</v>
      </c>
      <c r="AM20" s="932" t="e">
        <f>ROUND(AM19*(((#REF!-1)*Weights!L44)+1),0)</f>
        <v>#REF!</v>
      </c>
      <c r="AN20" s="876"/>
      <c r="AO20" s="25"/>
      <c r="AP20" s="25"/>
      <c r="AQ20" s="838" t="s">
        <v>3295</v>
      </c>
      <c r="AR20" s="873" t="e">
        <f>ROUND(AR19*(((D59-1)*Weights!M44)+1),0)</f>
        <v>#REF!</v>
      </c>
      <c r="AS20" s="897"/>
      <c r="AT20" s="643"/>
      <c r="AV20" s="638" t="s">
        <v>3295</v>
      </c>
      <c r="AW20" s="903" t="e">
        <f>ROUND(AW19*(((E59-1)*Weights!N44)+1),0)</f>
        <v>#REF!</v>
      </c>
      <c r="AX20" s="630"/>
      <c r="AY20" s="639"/>
      <c r="BA20" s="638" t="s">
        <v>3295</v>
      </c>
      <c r="BB20" s="922" t="e">
        <f>ROUND(BB19*(((F59-1)*Weights!O44)+1),0)</f>
        <v>#REF!</v>
      </c>
      <c r="BC20" s="921"/>
      <c r="BD20" s="642"/>
      <c r="BE20" s="1036" t="s">
        <v>3295</v>
      </c>
      <c r="BF20" s="922" t="e">
        <f>ROUND(BF19*(((G59-1)*Weights!P44)+1),0)</f>
        <v>#REF!</v>
      </c>
      <c r="BG20" s="921"/>
      <c r="BH20" s="642"/>
    </row>
    <row r="21" spans="2:60" hidden="1">
      <c r="B21" t="s">
        <v>79</v>
      </c>
      <c r="D21" s="534" t="e">
        <f t="shared" ref="D21" si="2">ROUND(IF(D10&gt;1600,D20,(1+(1600-IF(D10&gt;D11,D10,D11))*D18)*D20),0)</f>
        <v>#REF!</v>
      </c>
      <c r="E21" s="577" t="e">
        <f>ROUND(IF(E10&gt;1600,E20,(1+(1600-IF(E10&gt;E11,E10,E11))*E18)*E20),0)</f>
        <v>#REF!</v>
      </c>
      <c r="F21" s="675" t="e">
        <f>ROUND(IF(F10&gt;1600,F20,(1+(1600-IF(F10&gt;F11,F10,F11))*F18)*F20),0)</f>
        <v>#REF!</v>
      </c>
      <c r="G21" s="675" t="e">
        <f>ROUND(IF(G10&gt;1600,G20,(1+(1600-IF(G10&gt;G11,G10,G11))*G18)*G20),0)</f>
        <v>#REF!</v>
      </c>
      <c r="H21" s="2265" t="e">
        <f>ROUND(IF(H10&gt;1600,H20,(1+(1600-IF(H10&gt;H11,H10,H11))*H18)*H20),0)</f>
        <v>#REF!</v>
      </c>
      <c r="I21" s="2265" t="e">
        <f>ROUND(IF(I10&gt;1600,I20,(1+(1600-IF(I10&gt;I11,I10,I11))*I18)*I20),0)</f>
        <v>#REF!</v>
      </c>
      <c r="M21" s="116"/>
      <c r="N21" s="116"/>
      <c r="O21" s="220" t="e">
        <f>ROUND(IF(#REF!&gt;1600,O20,(1+(1600-IF(#REF!&gt;#REF!,#REF!,#REF!))*O18)*O20),0)</f>
        <v>#REF!</v>
      </c>
      <c r="P21" s="220" t="e">
        <f>ROUND(IF(#REF!&gt;1600,P20,(1+(1600-IF(#REF!&gt;#REF!,#REF!,#REF!))*P18)*P20),0)</f>
        <v>#REF!</v>
      </c>
      <c r="T21"/>
      <c r="Z21" s="771" t="s">
        <v>2651</v>
      </c>
      <c r="AA21" s="772" t="e">
        <f>ROUND(IF(#REF!&gt;1600,AA20,(1+(1600-IF(#REF!&gt;#REF!,#REF!,#REF!))*#REF!)*AA20),0)</f>
        <v>#REF!</v>
      </c>
      <c r="AB21" s="768"/>
      <c r="AD21" s="27" t="s">
        <v>2651</v>
      </c>
      <c r="AE21" s="877" t="e">
        <f>ROUND(IF(#REF!&gt;1600,AE20,(1+(1600-IF(#REF!&gt;#REF!,#REF!,#REF!))*#REF!)*AE20),0)</f>
        <v>#REF!</v>
      </c>
      <c r="AF21" s="876"/>
      <c r="AG21" s="450"/>
      <c r="AH21" s="27" t="s">
        <v>2651</v>
      </c>
      <c r="AI21" s="1014" t="e">
        <f>ROUND(IF(C231&gt;1600,AI20,(1+(1600-IF(C231&gt;C232,C231,C232))*C18)*AI20),0)</f>
        <v>#REF!</v>
      </c>
      <c r="AJ21" s="1015" t="s">
        <v>1678</v>
      </c>
      <c r="AK21" s="25"/>
      <c r="AL21" s="27" t="s">
        <v>2651</v>
      </c>
      <c r="AM21" s="932" t="e">
        <f>ROUND(IF(#REF!&gt;1600,AM20,(1+(1600-IF(#REF!&gt;#REF!,#REF!,#REF!))*#REF!)*AM20),0)</f>
        <v>#REF!</v>
      </c>
      <c r="AN21" s="876"/>
      <c r="AO21" s="25"/>
      <c r="AP21" s="25"/>
      <c r="AQ21" s="838" t="s">
        <v>2651</v>
      </c>
      <c r="AR21" s="873" t="e">
        <f>ROUND(IF(D10&gt;1600,AR20,(1+(1600-IF(D10&gt;D11,D10,D11))*D18)*AR20),0)</f>
        <v>#REF!</v>
      </c>
      <c r="AS21" s="897"/>
      <c r="AT21" s="643"/>
      <c r="AV21" s="638" t="s">
        <v>2651</v>
      </c>
      <c r="AW21" s="903" t="e">
        <f>ROUND(IF(E10&gt;1600,AW20,(1+(1600-IF(E10&gt;E11,E10,E11))*E18)*AW20),0)</f>
        <v>#REF!</v>
      </c>
      <c r="AX21" s="630"/>
      <c r="AY21" s="639"/>
      <c r="BA21" s="638" t="s">
        <v>2651</v>
      </c>
      <c r="BB21" s="922" t="e">
        <f>ROUND(IF(F10&gt;1600,BB20,(1+(1600-IF(F10&gt;F11,F10,F11))*F18)*BB20),0)</f>
        <v>#REF!</v>
      </c>
      <c r="BC21" s="921"/>
      <c r="BD21" s="642"/>
      <c r="BE21" s="1036" t="s">
        <v>2651</v>
      </c>
      <c r="BF21" s="922" t="e">
        <f>ROUND(IF(G10&gt;1600,BF20,(1+(1600-IF(G10&gt;G11,G10,G11))*G18)*BF20),0)</f>
        <v>#REF!</v>
      </c>
      <c r="BG21" s="921"/>
      <c r="BH21" s="642"/>
    </row>
    <row r="22" spans="2:60" hidden="1">
      <c r="B22" t="s">
        <v>1789</v>
      </c>
      <c r="D22" s="534" t="e">
        <f>ROUND(IF(OR(D10&gt;4999.999,'Data Entry - SOF'!C125&lt;12),0,(1+((5000-D10)*Weights!M42))*D20),0)</f>
        <v>#REF!</v>
      </c>
      <c r="E22" s="577" t="e">
        <f>ROUND(IF(OR(E10&gt;4999.999,'Data Entry - SOF'!E125&lt;12),0,(1+((5000-E10)*Weights!N42))*E20),0)</f>
        <v>#REF!</v>
      </c>
      <c r="F22" s="675" t="e">
        <f>ROUND(IF(OR(F10&gt;4999.999,'Data Entry - SOF'!G125&lt;12),0,(1+((5000-F10)*Weights!O42))*F20),0)</f>
        <v>#REF!</v>
      </c>
      <c r="G22" s="675" t="e">
        <f>ROUND(IF(OR(G10&gt;4999.999,'Data Entry - SOF'!I125&lt;12),0,(1+((5000-G10)*Weights!P42))*G20),0)</f>
        <v>#REF!</v>
      </c>
      <c r="H22" s="2265" t="e">
        <f>ROUND(IF(OR(H10&gt;4999.999,'Data Entry - SOF'!K125&lt;12),0,(1+((5000-H10)*Weights!Q42))*H20),0)</f>
        <v>#REF!</v>
      </c>
      <c r="I22" s="2265" t="e">
        <f>ROUND(IF(OR(I10&gt;4999.999,'Data Entry - SOF'!M125&lt;12),0,(1+((5000-I10)*Weights!S42))*I20),0)</f>
        <v>#REF!</v>
      </c>
      <c r="M22" s="116"/>
      <c r="N22" s="116"/>
      <c r="O22" s="216" t="e">
        <f>ROUND(IF(OR(#REF!&gt;4999.999,'Data Entry - SOF'!#REF!&lt;12),0,(1+((5000-#REF!)*Weights!E42))*O20),0)</f>
        <v>#REF!</v>
      </c>
      <c r="P22" s="216" t="e">
        <f>ROUND(IF(OR(#REF!&gt;4999.999,'Data Entry - SOF'!#REF!&lt;12),0,(1+((5000-#REF!)*Weights!E42))*P20),0)</f>
        <v>#REF!</v>
      </c>
      <c r="T22"/>
      <c r="Z22" s="771" t="s">
        <v>2652</v>
      </c>
      <c r="AA22" s="773" t="e">
        <f>ROUND(IF(OR(#REF!&gt;4999.999,'Data Entry - SOF'!#REF!&lt;12),0,(1+((5000-#REF!)*Weights!H42))*AA20),0)</f>
        <v>#REF!</v>
      </c>
      <c r="AB22" s="768"/>
      <c r="AD22" s="27" t="s">
        <v>2652</v>
      </c>
      <c r="AE22" s="877" t="e">
        <f>ROUND(IF(OR(#REF!&gt;4999.999,'Data Entry - SOF'!#REF!&lt;12),0,(1+((5000-#REF!)*Weights!J42))*AE20),0)</f>
        <v>#REF!</v>
      </c>
      <c r="AF22" s="876"/>
      <c r="AG22" s="450"/>
      <c r="AH22" s="27" t="s">
        <v>2652</v>
      </c>
      <c r="AI22" s="1014" t="e">
        <f>ROUND(IF(OR(C231&gt;4999.999,'Data Entry - SOF'!#REF!&lt;12),0,(1+((5000-C231)*Weights!K42))*AI20),0)</f>
        <v>#REF!</v>
      </c>
      <c r="AJ22" s="1015" t="s">
        <v>1678</v>
      </c>
      <c r="AK22" s="25"/>
      <c r="AL22" s="27" t="s">
        <v>2652</v>
      </c>
      <c r="AM22" s="932" t="e">
        <f>ROUND(IF(OR(#REF!&gt;4999.999,'Data Entry - SOF'!#REF!&lt;12),0,(1+((5000-#REF!)*Weights!L42))*AM20),0)</f>
        <v>#REF!</v>
      </c>
      <c r="AN22" s="876"/>
      <c r="AO22" s="25"/>
      <c r="AP22" s="25"/>
      <c r="AQ22" s="838" t="s">
        <v>2652</v>
      </c>
      <c r="AR22" s="873" t="e">
        <f>ROUND(IF(OR(D10&gt;4999.999,'Data Entry - SOF'!C125&lt;12),0,(1+((5000-D10)*Weights!M42))*AR20),0)</f>
        <v>#REF!</v>
      </c>
      <c r="AS22" s="897"/>
      <c r="AT22" s="643"/>
      <c r="AV22" s="638" t="s">
        <v>2652</v>
      </c>
      <c r="AW22" s="903" t="e">
        <f>ROUND(IF(OR(E10&gt;4999.999,'Data Entry - SOF'!E125&lt;12),0,(1+((5000-E10)*Weights!N42))*AW20),0)</f>
        <v>#REF!</v>
      </c>
      <c r="AX22" s="630"/>
      <c r="AY22" s="639"/>
      <c r="BA22" s="638" t="s">
        <v>2652</v>
      </c>
      <c r="BB22" s="922" t="e">
        <f>ROUND(IF(OR(F10&gt;4999.999,'Data Entry - SOF'!G125&lt;12),0,(1+((5000-F10)*Weights!O42))*BB20),0)</f>
        <v>#REF!</v>
      </c>
      <c r="BC22" s="921"/>
      <c r="BD22" s="642"/>
      <c r="BE22" s="1036" t="s">
        <v>2652</v>
      </c>
      <c r="BF22" s="922">
        <f>ROUND(IF(OR(K10&gt;4999.999,'Data Entry - SOF'!I125&lt;12),0,(1+((5000-K10)*Weights!P42))*BF20),0)</f>
        <v>0</v>
      </c>
      <c r="BG22" s="921"/>
      <c r="BH22" s="642"/>
    </row>
    <row r="23" spans="2:60" hidden="1">
      <c r="B23" s="563" t="s">
        <v>1606</v>
      </c>
      <c r="D23" s="560" t="e">
        <f t="shared" ref="D23" si="3">IF(AND(D22&gt;=D21,D22&gt;=D20),D22,IF(AND(D21&gt;=D20,D21&gt;=D22),D21,D20))</f>
        <v>#REF!</v>
      </c>
      <c r="E23" s="578" t="e">
        <f>IF(AND(E22&gt;=E21,E22&gt;=E20),E22,IF(AND(E21&gt;=E20,E21&gt;=E22),E21,E20))</f>
        <v>#REF!</v>
      </c>
      <c r="F23" s="676" t="e">
        <f>IF(AND(F22&gt;=F21,F22&gt;=F20),F22,IF(AND(F21&gt;=F20,F21&gt;=F22),F21,F20))</f>
        <v>#REF!</v>
      </c>
      <c r="G23" s="676" t="e">
        <f>IF(AND(G22&gt;=G21,G22&gt;=G20),G22,IF(AND(G21&gt;=G20,G21&gt;=G22),G21,G20))</f>
        <v>#REF!</v>
      </c>
      <c r="H23" s="2266" t="e">
        <f>IF(AND(H22&gt;=H21,H22&gt;=H20),H22,IF(AND(H21&gt;=H20,H21&gt;=H22),H21,H20))</f>
        <v>#REF!</v>
      </c>
      <c r="I23" s="2266" t="e">
        <f>IF(AND(I22&gt;=I21,I22&gt;=I20),I22,IF(AND(I21&gt;=I20,I21&gt;=I22),I21,I20))</f>
        <v>#REF!</v>
      </c>
      <c r="M23" s="116"/>
      <c r="N23" s="116"/>
      <c r="O23" s="220" t="e">
        <f>IF(AND(O22&gt;=O21,O22&gt;=O20),O22,IF(AND(O21&gt;=O20,O21&gt;=O22),O21,O20))</f>
        <v>#REF!</v>
      </c>
      <c r="P23" s="220" t="e">
        <f>IF(AND(P22&gt;=P21,P22&gt;=P20),P22,IF(AND(P21&gt;=P20,P21&gt;=P22),P21,P20))</f>
        <v>#REF!</v>
      </c>
      <c r="T23"/>
      <c r="Z23" s="771" t="s">
        <v>3293</v>
      </c>
      <c r="AA23" s="772" t="e">
        <f>IF(AND(AA22&gt;=AA21,AA22&gt;=AA20),AA22,IF(AND(AA21&gt;=AA20,AA21&gt;=AA22),AA21,AA20))</f>
        <v>#REF!</v>
      </c>
      <c r="AB23" s="768"/>
      <c r="AD23" s="27" t="s">
        <v>3293</v>
      </c>
      <c r="AE23" s="877" t="e">
        <f>IF(AND(AE22&gt;=AE21,AE22&gt;=AE20),AE22,IF(AND(AE21&gt;=AE20,AE21&gt;=AE22),AE21,AE20))</f>
        <v>#REF!</v>
      </c>
      <c r="AF23" s="876"/>
      <c r="AG23" s="450"/>
      <c r="AH23" s="27" t="s">
        <v>3293</v>
      </c>
      <c r="AI23" s="1014" t="e">
        <f>IF(AND(AI22&gt;=AI21,AI22&gt;=AI20),AI22,IF(AND(AI21&gt;=AI20,AI21&gt;=AI22),AI21,AI20))</f>
        <v>#REF!</v>
      </c>
      <c r="AJ23" s="1015" t="s">
        <v>1678</v>
      </c>
      <c r="AK23" s="25"/>
      <c r="AL23" s="27" t="s">
        <v>3293</v>
      </c>
      <c r="AM23" s="932" t="e">
        <f>IF(AND(AM22&gt;=AM21,AM22&gt;=AM20),AM22,IF(AND(AM21&gt;=AM20,AM21&gt;=AM22),AM21,AM20))</f>
        <v>#REF!</v>
      </c>
      <c r="AN23" s="876"/>
      <c r="AO23" s="25"/>
      <c r="AP23" s="25"/>
      <c r="AQ23" s="838" t="s">
        <v>3293</v>
      </c>
      <c r="AR23" s="873" t="e">
        <f>IF(AND(AR22&gt;=AR21,AR22&gt;=AR20),AR22,IF(AND(AR21&gt;=AR20,AR21&gt;=AR22),AR21,AR20))</f>
        <v>#REF!</v>
      </c>
      <c r="AS23" s="897"/>
      <c r="AT23" s="643"/>
      <c r="AV23" s="638" t="s">
        <v>3293</v>
      </c>
      <c r="AW23" s="903" t="e">
        <f>IF(AND(AW22&gt;=AW21,AW22&gt;=AW20),AW22,IF(AND(AW21&gt;=AW20,AW21&gt;=AW22),AW21,AW20))</f>
        <v>#REF!</v>
      </c>
      <c r="AX23" s="630"/>
      <c r="AY23" s="639"/>
      <c r="BA23" s="638" t="s">
        <v>3293</v>
      </c>
      <c r="BB23" s="922" t="e">
        <f>IF(AND(BB22&gt;=BB21,BB22&gt;=BB20),BB22,IF(AND(BB21&gt;=BB20,BB21&gt;=BB22),BB21,BB20))</f>
        <v>#REF!</v>
      </c>
      <c r="BC23" s="921"/>
      <c r="BD23" s="642"/>
      <c r="BE23" s="1036" t="s">
        <v>3293</v>
      </c>
      <c r="BF23" s="922" t="e">
        <f>IF(AND(BF22&gt;=BF21,BF22&gt;=BF20),BF22,IF(AND(BF21&gt;=BF20,BF21&gt;=BF22),BF21,BF20))</f>
        <v>#REF!</v>
      </c>
      <c r="BG23" s="921"/>
      <c r="BH23" s="642"/>
    </row>
    <row r="24" spans="2:60" hidden="1">
      <c r="D24" s="553"/>
      <c r="E24" s="573"/>
      <c r="F24" s="671"/>
      <c r="G24" s="1037"/>
      <c r="H24" s="1037"/>
      <c r="I24" s="1037"/>
      <c r="M24" s="116"/>
      <c r="N24" s="116"/>
      <c r="O24" s="218"/>
      <c r="P24" s="218"/>
      <c r="T24"/>
      <c r="Z24" s="771" t="s">
        <v>3283</v>
      </c>
      <c r="AA24" s="774" t="e">
        <f>IF('Data Entry - SOF'!#REF!-'Data Entry - SOF'!#REF!&gt;0.06,('Data Entry - SOF'!#REF!-('Data Entry - SOF'!#REF!+0.06))*100,0)</f>
        <v>#REF!</v>
      </c>
      <c r="AB24" s="768"/>
      <c r="AD24" s="27" t="s">
        <v>3283</v>
      </c>
      <c r="AE24" s="896" t="e">
        <f>IF('Data Entry - SOF'!#REF!-'Data Entry - SOF'!#REF!&gt;0.06,('Data Entry - SOF'!#REF!-('Data Entry - SOF'!#REF!+0.06))*100,0)</f>
        <v>#REF!</v>
      </c>
      <c r="AF24" s="876"/>
      <c r="AG24" s="479"/>
      <c r="AH24" s="27" t="s">
        <v>3283</v>
      </c>
      <c r="AI24" s="896" t="e">
        <f>IF('Data Entry - SOF'!#REF!-'Data Entry - SOF'!#REF!&gt;0.06,('Data Entry - SOF'!#REF!-('Data Entry - SOF'!#REF!+0.06))*100,0)</f>
        <v>#REF!</v>
      </c>
      <c r="AJ24" s="896" t="e">
        <f>IF('Data Entry - SOF'!#REF!-'Weights-HB3'!G66&gt;0.06,('Data Entry - SOF'!#REF!-('Weights-HB3'!G66+0.06))*100,0)</f>
        <v>#REF!</v>
      </c>
      <c r="AK24" s="25"/>
      <c r="AL24" s="27" t="s">
        <v>3283</v>
      </c>
      <c r="AM24" s="896" t="e">
        <f>IF('Data Entry - SOF'!#REF!-'Data Entry - SOF'!#REF!&gt;0.06,('Data Entry - SOF'!#REF!-('Data Entry - SOF'!#REF!+0.06))*100,0)</f>
        <v>#REF!</v>
      </c>
      <c r="AN24" s="876"/>
      <c r="AO24" s="25"/>
      <c r="AP24" s="25"/>
      <c r="AQ24" s="838" t="s">
        <v>3283</v>
      </c>
      <c r="AR24" s="896" t="e">
        <f>IF('Data Entry - SOF'!#REF!-'Data Entry - SOF'!C123&gt;0.06,('Data Entry - SOF'!#REF!-('Data Entry - SOF'!C123+0.06))*100,0)</f>
        <v>#REF!</v>
      </c>
      <c r="AS24" s="897"/>
      <c r="AT24" s="643"/>
      <c r="AV24" s="638" t="s">
        <v>3283</v>
      </c>
      <c r="AW24" s="896" t="e">
        <f>IF('Data Entry - SOF'!#REF!-'Data Entry - SOF'!E123&gt;0.06,('Data Entry - SOF'!#REF!-('Data Entry - SOF'!E123+0.06))*100,0)</f>
        <v>#REF!</v>
      </c>
      <c r="AX24" s="630"/>
      <c r="AY24" s="639"/>
      <c r="BA24" s="638" t="s">
        <v>3283</v>
      </c>
      <c r="BB24" s="896" t="e">
        <f>IF('Data Entry - SOF'!#REF!-'Data Entry - SOF'!G123&gt;0.06,('Data Entry - SOF'!#REF!-('Data Entry - SOF'!G123+0.06))*100,0)</f>
        <v>#REF!</v>
      </c>
      <c r="BC24" s="921"/>
      <c r="BD24" s="642"/>
      <c r="BE24" s="1036" t="s">
        <v>3283</v>
      </c>
      <c r="BF24" s="896" t="e">
        <f>IF('Data Entry - SOF'!#REF!-'Data Entry - SOF'!I123&gt;0.06,('Data Entry - SOF'!#REF!-('Data Entry - SOF'!I123+0.06))*100,0)</f>
        <v>#REF!</v>
      </c>
      <c r="BG24" s="921"/>
      <c r="BH24" s="642"/>
    </row>
    <row r="25" spans="2:60" ht="15.5" hidden="1">
      <c r="B25" s="561" t="s">
        <v>886</v>
      </c>
      <c r="D25" s="554" t="e">
        <f>ROUND((('SOF2122-HB3'!H62-'SOF2122-HB3'!H58-'SOF2122-HB3'!H57-'SOF2122-HB3'!H49-'SOF2122-HB3'!H28)-(((AR20-AR19)*0.5)/AR20)*('SOF2122-HB3'!H62-'SOF2122-HB3'!H58-'SOF2122-HB3'!H57-'SOF2122-HB3'!H49-'SOF2122-HB3'!H28))/AR19,3)</f>
        <v>#REF!</v>
      </c>
      <c r="E25" s="554" t="e">
        <f>ROUND((('SOF2223-HB3'!H61-'SOF2223-HB3'!H57-'SOF2223-HB3'!H56-'SOF2223-HB3'!H49-'SOF2223-HB3'!H28)-(((AW20-AW19)*0.5)/AW20)*('SOF2223-HB3'!H61-'SOF2223-HB3'!H57-'SOF2223-HB3'!H56-'SOF2223-HB3'!H49-'SOF2223-HB3'!H28))/AW19,3)</f>
        <v>#REF!</v>
      </c>
      <c r="F25" s="554" t="e">
        <f>ROUND((('SOF2324-HB3'!H61-'SOF2324-HB3'!H57-'SOF2324-HB3'!H56-'SOF2324-HB3'!H49-'SOF2324-HB3'!H28)-(((BB20-BB19)*0.5)/BB20)*('SOF2324-HB3'!H61-'SOF2324-HB3'!H57-'SOF2324-HB3'!H56-'SOF2324-HB3'!H49-'SOF2324-HB3'!H28))/BB19,3)</f>
        <v>#REF!</v>
      </c>
      <c r="G25" s="1037"/>
      <c r="H25" s="1037"/>
      <c r="I25" s="1037"/>
      <c r="M25" s="117"/>
      <c r="N25" s="117"/>
      <c r="O25" s="233" t="e">
        <f>ROUND(((#REF!-#REF!-#REF!-#REF!-#REF!-#REF!-#REF!)-(((O20-O19)*0.5)/O20)*(#REF!-#REF!-#REF!-#REF!-#REF!-#REF!-#REF!))/O19,3)</f>
        <v>#REF!</v>
      </c>
      <c r="P25" s="233" t="e">
        <f>ROUND(((#REF!-#REF!-#REF!-#REF!-#REF!-#REF!-#REF!)-(((P20-P19)*0.5)/P20)*(#REF!-#REF!-#REF!-#REF!-#REF!-#REF!-#REF!))/P19,3)</f>
        <v>#REF!</v>
      </c>
      <c r="T25"/>
      <c r="Z25" s="771" t="s">
        <v>3282</v>
      </c>
      <c r="AA25" s="775" t="e">
        <f>ROUND(IF('Data Entry - SOF'!#REF!&gt;=1,0,(1 -'Data Entry - SOF'!#REF!)*100),4)</f>
        <v>#REF!</v>
      </c>
      <c r="AB25" s="768"/>
      <c r="AD25" s="27" t="s">
        <v>3282</v>
      </c>
      <c r="AE25" s="833" t="e">
        <f>ROUND(IF('Data Entry - SOF'!#REF!&gt;=1,0,(1 -'Data Entry - SOF'!#REF!)*100),4)</f>
        <v>#REF!</v>
      </c>
      <c r="AF25" s="876"/>
      <c r="AG25" s="479"/>
      <c r="AH25" s="27" t="s">
        <v>3282</v>
      </c>
      <c r="AI25" s="888" t="e">
        <f>ROUND(IF('Data Entry - SOF'!#REF!&gt;=1,0,(1 -'Data Entry - SOF'!#REF!)*100),4)</f>
        <v>#REF!</v>
      </c>
      <c r="AJ25" s="888">
        <v>0</v>
      </c>
      <c r="AK25" s="25"/>
      <c r="AL25" s="27" t="s">
        <v>3282</v>
      </c>
      <c r="AM25" s="933" t="e">
        <f>ROUND(IF('Data Entry - SOF'!#REF!&gt;=1,0,(1 -'Data Entry - SOF'!#REF!)*100),4)</f>
        <v>#REF!</v>
      </c>
      <c r="AN25" s="876"/>
      <c r="AO25" s="25"/>
      <c r="AP25" s="25"/>
      <c r="AQ25" s="838" t="s">
        <v>3282</v>
      </c>
      <c r="AR25" s="852">
        <f>ROUND(IF('Data Entry - SOF'!C123&gt;=1,0,(1 -'Data Entry - SOF'!C123)*100),4)</f>
        <v>100</v>
      </c>
      <c r="AS25" s="897"/>
      <c r="AT25" s="643"/>
      <c r="AV25" s="638" t="s">
        <v>3282</v>
      </c>
      <c r="AW25" s="860">
        <f>ROUND(IF('Data Entry - SOF'!E123&gt;=1,0,(1 -'Data Entry - SOF'!E123)*100),4)</f>
        <v>100</v>
      </c>
      <c r="AX25" s="630"/>
      <c r="AY25" s="639"/>
      <c r="BA25" s="638" t="s">
        <v>3282</v>
      </c>
      <c r="BB25" s="923">
        <f>ROUND(IF('Data Entry - SOF'!G123&gt;=1,0,(1 -'Data Entry - SOF'!G123)*100),4)</f>
        <v>100</v>
      </c>
      <c r="BC25" s="921"/>
      <c r="BD25" s="642"/>
      <c r="BE25" s="1036" t="s">
        <v>3282</v>
      </c>
      <c r="BF25" s="923">
        <f>ROUND(IF('Data Entry - SOF'!I123&gt;=1,0,(1 -'Data Entry - SOF'!I123)*100),4)</f>
        <v>100</v>
      </c>
      <c r="BG25" s="921"/>
      <c r="BH25" s="642"/>
    </row>
    <row r="26" spans="2:60" hidden="1">
      <c r="B26" t="s">
        <v>446</v>
      </c>
      <c r="D26" s="535" t="e">
        <f>#REF!</f>
        <v>#REF!</v>
      </c>
      <c r="E26" s="579" t="e">
        <f>#REF!</f>
        <v>#REF!</v>
      </c>
      <c r="F26" s="677" t="e">
        <f>#REF!</f>
        <v>#REF!</v>
      </c>
      <c r="G26" s="1037"/>
      <c r="H26" s="1037"/>
      <c r="I26" s="1037"/>
      <c r="M26" s="117"/>
      <c r="N26" s="117"/>
      <c r="T26"/>
      <c r="Z26" s="776"/>
      <c r="AA26" s="777"/>
      <c r="AB26" s="768"/>
      <c r="AD26" s="169"/>
      <c r="AE26" s="878"/>
      <c r="AF26" s="876"/>
      <c r="AG26" s="102"/>
      <c r="AH26" s="169"/>
      <c r="AI26" s="889"/>
      <c r="AJ26" s="876"/>
      <c r="AK26" s="25"/>
      <c r="AL26" s="169"/>
      <c r="AM26" s="934"/>
      <c r="AN26" s="876"/>
      <c r="AO26" s="25"/>
      <c r="AP26" s="25"/>
      <c r="AQ26" s="839"/>
      <c r="AR26" s="900"/>
      <c r="AS26" s="897"/>
      <c r="AT26" s="643"/>
      <c r="AV26" s="839"/>
      <c r="AW26" s="904"/>
      <c r="AX26" s="630"/>
      <c r="AY26" s="639"/>
      <c r="BA26" s="919"/>
      <c r="BB26" s="924"/>
      <c r="BC26" s="921"/>
      <c r="BD26" s="642"/>
      <c r="BE26" s="919"/>
      <c r="BF26" s="924"/>
      <c r="BG26" s="921"/>
      <c r="BH26" s="642"/>
    </row>
    <row r="27" spans="2:60" hidden="1">
      <c r="B27" t="s">
        <v>705</v>
      </c>
      <c r="D27" s="536" t="e">
        <f>('Data Entry - SOF'!#REF!-#REF!)/('Data Entry - SOF'!#REF!/100)</f>
        <v>#REF!</v>
      </c>
      <c r="E27" s="580" t="e">
        <f>('Data Entry - SOF'!#REF!-#REF!)/('Data Entry - SOF'!#REF!/100)</f>
        <v>#REF!</v>
      </c>
      <c r="F27" s="678" t="e">
        <f>('Data Entry - SOF'!#REF!-#REF!)/('Data Entry - SOF'!#REF!/100)</f>
        <v>#REF!</v>
      </c>
      <c r="G27" s="1037"/>
      <c r="H27" s="1037"/>
      <c r="I27" s="1037"/>
      <c r="M27" s="118"/>
      <c r="N27" s="118"/>
      <c r="T27"/>
      <c r="AA27" s="777"/>
      <c r="AB27" s="768"/>
      <c r="AE27" s="878"/>
      <c r="AF27" s="876"/>
      <c r="AG27" s="102"/>
      <c r="AI27" s="889"/>
      <c r="AJ27" s="876"/>
      <c r="AK27" s="25"/>
      <c r="AM27" s="934"/>
      <c r="AN27" s="876"/>
      <c r="AO27" s="25"/>
      <c r="AP27" s="25"/>
      <c r="AR27" s="900"/>
      <c r="AS27" s="897"/>
      <c r="AT27" s="643"/>
      <c r="AW27" s="904"/>
      <c r="AX27" s="630"/>
      <c r="AY27" s="639"/>
      <c r="BA27" s="628"/>
      <c r="BB27" s="924"/>
      <c r="BC27" s="921"/>
      <c r="BD27" s="642"/>
      <c r="BE27" s="628"/>
      <c r="BF27" s="924"/>
      <c r="BG27" s="921"/>
      <c r="BH27" s="642"/>
    </row>
    <row r="28" spans="2:60" hidden="1">
      <c r="B28" s="25" t="s">
        <v>738</v>
      </c>
      <c r="D28" s="553"/>
      <c r="E28" s="573"/>
      <c r="F28" s="671"/>
      <c r="G28" s="1037"/>
      <c r="H28" s="1037"/>
      <c r="I28" s="1037"/>
      <c r="T28"/>
      <c r="Z28" s="771" t="s">
        <v>8385</v>
      </c>
      <c r="AA28" s="775" t="e">
        <f>IF(AA24-AA25&lt;=0,0,AA24-AA25)</f>
        <v>#REF!</v>
      </c>
      <c r="AB28" s="768"/>
      <c r="AD28" s="27" t="s">
        <v>8385</v>
      </c>
      <c r="AE28" s="833" t="e">
        <f>IF(AE24-AE25&lt;=0,0,AE24-AE25)</f>
        <v>#REF!</v>
      </c>
      <c r="AF28" s="876"/>
      <c r="AG28" s="479"/>
      <c r="AH28" s="27" t="s">
        <v>8385</v>
      </c>
      <c r="AI28" s="888" t="e">
        <f>IF(AI24-AI25&lt;=0,0,AI24-AI25)</f>
        <v>#REF!</v>
      </c>
      <c r="AJ28" s="888" t="e">
        <f>IF(AJ24-AJ25&lt;=0,0,AJ24-AJ25)</f>
        <v>#REF!</v>
      </c>
      <c r="AK28" s="25"/>
      <c r="AL28" s="27" t="s">
        <v>8385</v>
      </c>
      <c r="AM28" s="933" t="e">
        <f>IF(AM24-AM25&lt;=0,0,AM24-AM25)</f>
        <v>#REF!</v>
      </c>
      <c r="AN28" s="876"/>
      <c r="AO28" s="25"/>
      <c r="AP28" s="25"/>
      <c r="AQ28" s="838" t="s">
        <v>8385</v>
      </c>
      <c r="AR28" s="852" t="e">
        <f>IF(AR24-AR25&lt;=0,0,AR24-AR25)</f>
        <v>#REF!</v>
      </c>
      <c r="AS28" s="897"/>
      <c r="AT28" s="643"/>
      <c r="AV28" s="638" t="s">
        <v>8385</v>
      </c>
      <c r="AW28" s="860" t="e">
        <f>IF(AW24-AW25&lt;=0,0,AW24-AW25)</f>
        <v>#REF!</v>
      </c>
      <c r="AX28" s="630"/>
      <c r="AY28" s="639"/>
      <c r="BA28" s="638" t="s">
        <v>8385</v>
      </c>
      <c r="BB28" s="923" t="e">
        <f>IF(BB24-BB25&lt;=0,0,BB24-BB25)</f>
        <v>#REF!</v>
      </c>
      <c r="BC28" s="921"/>
      <c r="BD28" s="642"/>
      <c r="BE28" s="1036" t="s">
        <v>8385</v>
      </c>
      <c r="BF28" s="923" t="e">
        <f>IF(BF24-BF25&lt;=0,0,BF24-BF25)</f>
        <v>#REF!</v>
      </c>
      <c r="BG28" s="921"/>
      <c r="BH28" s="642"/>
    </row>
    <row r="29" spans="2:60" hidden="1">
      <c r="B29" t="s">
        <v>582</v>
      </c>
      <c r="D29" s="555" t="e">
        <f>('Data Entry - SOF'!#REF!-#REF!)/('Data Entry - SOF'!#REF!*100)</f>
        <v>#REF!</v>
      </c>
      <c r="E29" s="581" t="e">
        <f>('Data Entry - SOF'!#REF!-#REF!)/('Data Entry - SOF'!#REF!*100)</f>
        <v>#REF!</v>
      </c>
      <c r="F29" s="679" t="e">
        <f>('Data Entry - SOF'!#REF!-#REF!)/('Data Entry - SOF'!#REF!*100)</f>
        <v>#REF!</v>
      </c>
      <c r="G29" s="1037"/>
      <c r="H29" s="1037"/>
      <c r="I29" s="1037"/>
      <c r="M29" s="118"/>
      <c r="N29" s="118"/>
      <c r="T29"/>
      <c r="Z29" s="771" t="s">
        <v>3284</v>
      </c>
      <c r="AA29" s="778" t="e">
        <f>ROUND(IF((((AA28*AA35)/'Data Entry - SOF'!#REF!)*100)&gt;0.17,0.17,((AA28*AA35)/'Data Entry - SOF'!#REF!)*100),4)</f>
        <v>#REF!</v>
      </c>
      <c r="AB29" s="768"/>
      <c r="AD29" s="27" t="s">
        <v>3284</v>
      </c>
      <c r="AE29" s="832" t="e">
        <f>ROUND(IF((((AE28*AE35)/'Data Entry - SOF'!#REF!)*100)&gt;0.17,0.17,((AE28*AE35)/'Data Entry - SOF'!#REF!)*100),4)</f>
        <v>#REF!</v>
      </c>
      <c r="AF29" s="876"/>
      <c r="AG29" s="120"/>
      <c r="AH29" s="27" t="s">
        <v>3284</v>
      </c>
      <c r="AI29" s="890" t="e">
        <f>ROUND(IF((((AI28*AI35)/'Data Entry - SOF'!#REF!)*100)&gt;0.17,0.17,((AI28*AI35)/'Data Entry - SOF'!#REF!)*100),4)</f>
        <v>#REF!</v>
      </c>
      <c r="AJ29" s="890" t="e">
        <f>ROUND(IF((((AJ28*AJ35)/'Data Entry - SOF'!#REF!)*100)&gt;0.17,0.17,((AJ28*AJ35)/'Data Entry - SOF'!#REF!)*100),4)</f>
        <v>#REF!</v>
      </c>
      <c r="AK29" s="25"/>
      <c r="AL29" s="27" t="s">
        <v>3284</v>
      </c>
      <c r="AM29" s="935" t="e">
        <f>ROUND(IF((((AM28*AM35)/'Data Entry - SOF'!#REF!)*100)&gt;0.17,0.17,((AM28*AM35)/'Data Entry - SOF'!#REF!)*100),4)</f>
        <v>#REF!</v>
      </c>
      <c r="AN29" s="876"/>
      <c r="AO29" s="25"/>
      <c r="AP29" s="25"/>
      <c r="AQ29" s="838" t="s">
        <v>3284</v>
      </c>
      <c r="AR29" s="853" t="e">
        <f>ROUND(IF((((AR28*AR35)/'Data Entry - SOF'!#REF!)*100)&gt;0.17,0.17,((AR28*AR35)/'Data Entry - SOF'!#REF!)*100),4)</f>
        <v>#REF!</v>
      </c>
      <c r="AS29" s="897"/>
      <c r="AT29" s="643"/>
      <c r="AV29" s="638" t="s">
        <v>3284</v>
      </c>
      <c r="AW29" s="861" t="e">
        <f>ROUND(IF((((AW28*AW35)/'Data Entry - SOF'!C63)*100)&gt;0.17,0.17,((AW28*AW35)/'Data Entry - SOF'!C63)*100),4)</f>
        <v>#REF!</v>
      </c>
      <c r="AX29" s="630"/>
      <c r="AY29" s="639"/>
      <c r="BA29" s="638" t="s">
        <v>3284</v>
      </c>
      <c r="BB29" s="925" t="e">
        <f>ROUND(IF((((BB28*BB35)/'Data Entry - SOF'!E63)*100)&gt;0.17,0.17,((BB28*BB35)/'Data Entry - SOF'!E63)*100),4)</f>
        <v>#REF!</v>
      </c>
      <c r="BC29" s="921"/>
      <c r="BD29" s="642"/>
      <c r="BE29" s="1036" t="s">
        <v>3284</v>
      </c>
      <c r="BF29" s="925" t="e">
        <f>ROUND(IF((((BF28*BF35)/'Data Entry - SOF'!G63)*100)&gt;0.17,0.17,((BF28*BF35)/'Data Entry - SOF'!G63)*100),4)</f>
        <v>#REF!</v>
      </c>
      <c r="BG29" s="921"/>
      <c r="BH29" s="642"/>
    </row>
    <row r="30" spans="2:60" hidden="1">
      <c r="B30" t="s">
        <v>602</v>
      </c>
      <c r="D30" s="555" t="e">
        <f>D29*IF('Data Entry - SOF'!#REF!&lt;'Data Entry - SOF'!C123,('Data Entry - SOF'!#REF!*100),('Data Entry - SOF'!C123*100))</f>
        <v>#REF!</v>
      </c>
      <c r="E30" s="581" t="e">
        <f>E29*IF('Data Entry - SOF'!#REF!&lt;'Data Entry - SOF'!E123,('Data Entry - SOF'!#REF!*100),('Data Entry - SOF'!E123*100))</f>
        <v>#REF!</v>
      </c>
      <c r="F30" s="679" t="e">
        <f>F29*IF('Data Entry - SOF'!#REF!&lt;'Data Entry - SOF'!G123,('Data Entry - SOF'!#REF!*100),('Data Entry - SOF'!G123*100))</f>
        <v>#REF!</v>
      </c>
      <c r="G30" s="1037"/>
      <c r="H30" s="1037"/>
      <c r="I30" s="1037"/>
      <c r="T30"/>
      <c r="Z30" s="771" t="s">
        <v>3285</v>
      </c>
      <c r="AA30" s="775" t="e">
        <f>'Data Entry - SOF'!#REF!+IF(AA24&lt;AA25,(AA24/100),(AA25/100))</f>
        <v>#REF!</v>
      </c>
      <c r="AB30" s="768"/>
      <c r="AD30" s="27" t="s">
        <v>3285</v>
      </c>
      <c r="AE30" s="833" t="e">
        <f>'Data Entry - SOF'!#REF!+IF(AE24&lt;AE25,(AE24/100),(AE25/100))</f>
        <v>#REF!</v>
      </c>
      <c r="AF30" s="876"/>
      <c r="AG30" s="479"/>
      <c r="AH30" s="27" t="s">
        <v>3285</v>
      </c>
      <c r="AI30" s="888" t="e">
        <f>TRUNC('Data Entry - SOF'!#REF!+IF(AI24&lt;AI25,(AI24/100),(AI25/100)),4)</f>
        <v>#REF!</v>
      </c>
      <c r="AJ30" s="876"/>
      <c r="AK30" s="25"/>
      <c r="AL30" s="27" t="s">
        <v>3285</v>
      </c>
      <c r="AM30" s="933" t="e">
        <f>'Data Entry - SOF'!#REF!+IF(AM24&lt;AM25,(AM24/100),(AM25/100))</f>
        <v>#REF!</v>
      </c>
      <c r="AN30" s="876"/>
      <c r="AO30" s="25"/>
      <c r="AP30" s="25"/>
      <c r="AQ30" s="838" t="s">
        <v>3285</v>
      </c>
      <c r="AR30" s="852" t="e">
        <f>'Data Entry - SOF'!C123+IF(AR24&lt;AR25,(AR24/100),(AR25/100))</f>
        <v>#REF!</v>
      </c>
      <c r="AS30" s="897"/>
      <c r="AT30" s="643"/>
      <c r="AV30" s="638" t="s">
        <v>3285</v>
      </c>
      <c r="AW30" s="860" t="e">
        <f>'Data Entry - SOF'!E123+IF(AW24&lt;AW25,(AW24/100),(AW25/100))</f>
        <v>#REF!</v>
      </c>
      <c r="AX30" s="630"/>
      <c r="AY30" s="639"/>
      <c r="BA30" s="638" t="s">
        <v>3285</v>
      </c>
      <c r="BB30" s="923" t="e">
        <f>'Data Entry - SOF'!G123+IF(BB24&lt;BB25,(BB24/100),(BB25/100))</f>
        <v>#REF!</v>
      </c>
      <c r="BC30" s="921"/>
      <c r="BD30" s="642"/>
      <c r="BE30" s="1036" t="s">
        <v>3285</v>
      </c>
      <c r="BF30" s="923" t="e">
        <f>'Data Entry - SOF'!I123+IF(BF24&lt;BF25,(BF24/100),(BF25/100))</f>
        <v>#REF!</v>
      </c>
      <c r="BG30" s="921"/>
      <c r="BH30" s="642"/>
    </row>
    <row r="31" spans="2:60" hidden="1">
      <c r="D31" s="553"/>
      <c r="E31" s="573"/>
      <c r="F31" s="671"/>
      <c r="G31" s="1037"/>
      <c r="H31" s="1037"/>
      <c r="I31" s="1037"/>
      <c r="T31"/>
      <c r="Z31" s="771" t="s">
        <v>3286</v>
      </c>
      <c r="AA31" s="779" t="e">
        <f>AA28*AA35</f>
        <v>#REF!</v>
      </c>
      <c r="AB31" s="768"/>
      <c r="AD31" s="27" t="s">
        <v>3286</v>
      </c>
      <c r="AE31" s="834" t="e">
        <f>AE28*AE35</f>
        <v>#REF!</v>
      </c>
      <c r="AF31" s="876"/>
      <c r="AG31" s="478"/>
      <c r="AH31" s="27" t="s">
        <v>3286</v>
      </c>
      <c r="AI31" s="891" t="e">
        <f>AI28*AI35</f>
        <v>#REF!</v>
      </c>
      <c r="AJ31" s="876"/>
      <c r="AK31" s="25"/>
      <c r="AL31" s="27" t="s">
        <v>3286</v>
      </c>
      <c r="AM31" s="936" t="e">
        <f>AM28*AM35</f>
        <v>#REF!</v>
      </c>
      <c r="AN31" s="876"/>
      <c r="AO31" s="25"/>
      <c r="AP31" s="25"/>
      <c r="AQ31" s="838" t="s">
        <v>3286</v>
      </c>
      <c r="AR31" s="854" t="e">
        <f>AR28*AR35</f>
        <v>#REF!</v>
      </c>
      <c r="AS31" s="897"/>
      <c r="AT31" s="643"/>
      <c r="AV31" s="638" t="s">
        <v>3286</v>
      </c>
      <c r="AW31" s="905" t="e">
        <f>AW28*AW35</f>
        <v>#REF!</v>
      </c>
      <c r="AX31" s="630"/>
      <c r="AY31" s="639"/>
      <c r="BA31" s="638" t="s">
        <v>3286</v>
      </c>
      <c r="BB31" s="926" t="e">
        <f>BB28*BB35</f>
        <v>#REF!</v>
      </c>
      <c r="BC31" s="921"/>
      <c r="BD31" s="642"/>
      <c r="BE31" s="1036" t="s">
        <v>3286</v>
      </c>
      <c r="BF31" s="926" t="e">
        <f>BF28*BF35</f>
        <v>#REF!</v>
      </c>
      <c r="BG31" s="921"/>
      <c r="BH31" s="642"/>
    </row>
    <row r="32" spans="2:60" hidden="1">
      <c r="D32" s="553"/>
      <c r="E32" s="573"/>
      <c r="F32" s="671"/>
      <c r="G32" s="1037"/>
      <c r="H32" s="1037"/>
      <c r="I32" s="1037"/>
      <c r="T32"/>
      <c r="Z32" s="771" t="s">
        <v>3287</v>
      </c>
      <c r="AA32" s="780" t="e">
        <f>AA35*IF('Data Entry - SOF'!#REF!&lt;'Calc Data'!AA30,('Data Entry - SOF'!#REF!*100),('Calc Data'!AA30*100))</f>
        <v>#REF!</v>
      </c>
      <c r="AB32" s="768"/>
      <c r="AD32" s="27" t="s">
        <v>3287</v>
      </c>
      <c r="AE32" s="834" t="e">
        <f>AE35*IF('Data Entry - SOF'!#REF!&lt;'Calc Data'!AE30,('Data Entry - SOF'!#REF!*100),('Calc Data'!AE30*100))</f>
        <v>#REF!</v>
      </c>
      <c r="AF32" s="876"/>
      <c r="AG32" s="478"/>
      <c r="AH32" s="27" t="s">
        <v>3287</v>
      </c>
      <c r="AI32" s="891" t="e">
        <f>AI35*IF('Data Entry - SOF'!#REF!&lt;'Calc Data'!AI30,('Data Entry - SOF'!#REF!*100),('Calc Data'!AI30*100))</f>
        <v>#REF!</v>
      </c>
      <c r="AJ32" s="876"/>
      <c r="AK32" s="25"/>
      <c r="AL32" s="27" t="s">
        <v>3287</v>
      </c>
      <c r="AM32" s="936" t="e">
        <f>AM35*IF('Data Entry - SOF'!#REF!&lt;'Calc Data'!AM30,('Data Entry - SOF'!#REF!*100),('Calc Data'!AM30*100))</f>
        <v>#REF!</v>
      </c>
      <c r="AN32" s="876"/>
      <c r="AO32" s="25"/>
      <c r="AP32" s="25"/>
      <c r="AQ32" s="838" t="s">
        <v>3287</v>
      </c>
      <c r="AR32" s="854" t="e">
        <f>AR35*IF('Data Entry - SOF'!#REF!&lt;'Calc Data'!AR30,('Data Entry - SOF'!#REF!*100),('Calc Data'!AR30*100))</f>
        <v>#REF!</v>
      </c>
      <c r="AS32" s="897"/>
      <c r="AT32" s="643"/>
      <c r="AV32" s="638" t="s">
        <v>3287</v>
      </c>
      <c r="AW32" s="905" t="e">
        <f>AW35*IF('Data Entry - SOF'!#REF!&lt;'Calc Data'!AW30,('Data Entry - SOF'!#REF!*100),('Calc Data'!AW30*100))</f>
        <v>#REF!</v>
      </c>
      <c r="AX32" s="630"/>
      <c r="AY32" s="639"/>
      <c r="BA32" s="638" t="s">
        <v>3287</v>
      </c>
      <c r="BB32" s="926" t="e">
        <f>BB35*IF('Data Entry - SOF'!#REF!&lt;'Calc Data'!BB30,('Data Entry - SOF'!#REF!*100),('Calc Data'!BB30*100))</f>
        <v>#REF!</v>
      </c>
      <c r="BC32" s="921"/>
      <c r="BD32" s="642"/>
      <c r="BE32" s="1036" t="s">
        <v>3287</v>
      </c>
      <c r="BF32" s="926" t="e">
        <f>BF35*IF('Data Entry - SOF'!#REF!&lt;'Calc Data'!BF30,('Data Entry - SOF'!#REF!*100),('Calc Data'!BF30*100))</f>
        <v>#REF!</v>
      </c>
      <c r="BG32" s="921"/>
      <c r="BH32" s="642"/>
    </row>
    <row r="33" spans="2:60" hidden="1">
      <c r="B33" t="s">
        <v>1695</v>
      </c>
      <c r="D33" s="556" t="e">
        <f>IF('Data Entry - SOF'!#REF!&lt;='Data Entry - SOF'!C123,0,IF('Data Entry - SOF'!#REF!&gt;'Data Entry - SOF'!C123+0.06,0.06*100,('Data Entry - SOF'!#REF!-'Data Entry - SOF'!C123)*100))</f>
        <v>#REF!</v>
      </c>
      <c r="E33" s="582" t="e">
        <f>IF('Data Entry - SOF'!#REF!&lt;='Data Entry - SOF'!E123,0,IF('Data Entry - SOF'!#REF!&gt;'Data Entry - SOF'!E123+0.06,0.06*100,('Data Entry - SOF'!#REF!-'Data Entry - SOF'!E123)*100))</f>
        <v>#REF!</v>
      </c>
      <c r="F33" s="680" t="e">
        <f>IF('Data Entry - SOF'!#REF!&lt;='Data Entry - SOF'!G123,0,IF('Data Entry - SOF'!#REF!&gt;'Data Entry - SOF'!G123+0.06,0.06*100,('Data Entry - SOF'!#REF!-'Data Entry - SOF'!G123)*100))</f>
        <v>#REF!</v>
      </c>
      <c r="G33" s="1037"/>
      <c r="H33" s="1037"/>
      <c r="I33" s="1037"/>
      <c r="T33"/>
      <c r="Z33" s="771" t="s">
        <v>3294</v>
      </c>
      <c r="AA33" s="779" t="e">
        <f>AA29*('Data Entry - SOF'!#REF!/100)</f>
        <v>#REF!</v>
      </c>
      <c r="AB33" s="768"/>
      <c r="AD33" s="27" t="s">
        <v>3294</v>
      </c>
      <c r="AE33" s="834" t="e">
        <f>AE29*('Data Entry - SOF'!#REF!/100)</f>
        <v>#REF!</v>
      </c>
      <c r="AF33" s="876"/>
      <c r="AG33" s="478"/>
      <c r="AH33" s="27" t="s">
        <v>3294</v>
      </c>
      <c r="AI33" s="891" t="e">
        <f>ROUND(AI29*('Data Entry - SOF'!#REF!/100),4)</f>
        <v>#REF!</v>
      </c>
      <c r="AJ33" s="876"/>
      <c r="AK33" s="25"/>
      <c r="AL33" s="27" t="s">
        <v>3294</v>
      </c>
      <c r="AM33" s="936" t="e">
        <f>AM29*('Data Entry - SOF'!#REF!/100)</f>
        <v>#REF!</v>
      </c>
      <c r="AN33" s="876"/>
      <c r="AO33" s="25"/>
      <c r="AP33" s="25"/>
      <c r="AQ33" s="838" t="s">
        <v>3294</v>
      </c>
      <c r="AR33" s="854" t="e">
        <f>AR29*('Data Entry - SOF'!#REF!/100)</f>
        <v>#REF!</v>
      </c>
      <c r="AS33" s="897"/>
      <c r="AT33" s="643"/>
      <c r="AV33" s="638" t="s">
        <v>3294</v>
      </c>
      <c r="AW33" s="905" t="e">
        <f>AW29*('Data Entry - SOF'!C63/100)</f>
        <v>#REF!</v>
      </c>
      <c r="AX33" s="630"/>
      <c r="AY33" s="639"/>
      <c r="BA33" s="638" t="s">
        <v>3294</v>
      </c>
      <c r="BB33" s="926" t="e">
        <f>BB29*('Data Entry - SOF'!E63/100)</f>
        <v>#REF!</v>
      </c>
      <c r="BC33" s="921"/>
      <c r="BD33" s="642"/>
      <c r="BE33" s="1036" t="s">
        <v>3294</v>
      </c>
      <c r="BF33" s="926" t="e">
        <f>BF29*('Data Entry - SOF'!G63/100)</f>
        <v>#REF!</v>
      </c>
      <c r="BG33" s="921"/>
      <c r="BH33" s="642"/>
    </row>
    <row r="34" spans="2:60" hidden="1">
      <c r="B34" t="s">
        <v>1696</v>
      </c>
      <c r="D34" s="537" t="e">
        <f t="shared" ref="D34" si="4">D33*D29</f>
        <v>#REF!</v>
      </c>
      <c r="E34" s="583" t="e">
        <f>E33*E29</f>
        <v>#REF!</v>
      </c>
      <c r="F34" s="681" t="e">
        <f>F33*F29</f>
        <v>#REF!</v>
      </c>
      <c r="G34" s="1037"/>
      <c r="H34" s="1037"/>
      <c r="I34" s="1037"/>
      <c r="M34" s="114"/>
      <c r="N34" s="114"/>
      <c r="T34"/>
      <c r="Z34" s="781"/>
      <c r="AA34" s="782"/>
      <c r="AB34" s="783" t="s">
        <v>7070</v>
      </c>
      <c r="AC34" s="783" t="s">
        <v>7071</v>
      </c>
      <c r="AE34" s="475"/>
      <c r="AF34" s="879" t="s">
        <v>5324</v>
      </c>
      <c r="AG34" s="505"/>
      <c r="AI34" s="476"/>
      <c r="AJ34" s="879" t="s">
        <v>5324</v>
      </c>
      <c r="AK34" s="892"/>
      <c r="AM34" s="937"/>
      <c r="AN34" s="879" t="s">
        <v>5324</v>
      </c>
      <c r="AO34" s="892"/>
      <c r="AP34" s="25"/>
      <c r="AQ34" s="840"/>
      <c r="AR34" s="901"/>
      <c r="AS34" s="908" t="s">
        <v>5324</v>
      </c>
      <c r="AT34" s="909"/>
      <c r="AV34" s="840"/>
      <c r="AW34" s="906"/>
      <c r="AX34" s="913" t="s">
        <v>5324</v>
      </c>
      <c r="AY34" s="914"/>
      <c r="AZ34" s="840"/>
      <c r="BA34" s="638"/>
      <c r="BB34" s="927"/>
      <c r="BC34" s="913" t="s">
        <v>5324</v>
      </c>
      <c r="BD34" s="914"/>
      <c r="BE34" s="1036"/>
      <c r="BF34" s="927"/>
      <c r="BG34" s="913" t="s">
        <v>5324</v>
      </c>
      <c r="BH34" s="914"/>
    </row>
    <row r="35" spans="2:60" hidden="1">
      <c r="B35" s="561" t="s">
        <v>743</v>
      </c>
      <c r="D35" s="557" t="e">
        <f>ROUND(((D33*D29)/'Data Entry - SOF'!#REF!)*100,4)</f>
        <v>#REF!</v>
      </c>
      <c r="E35" s="584" t="e">
        <f>ROUND(((E33*E29)/'Data Entry - SOF'!C63)*100,4)</f>
        <v>#REF!</v>
      </c>
      <c r="F35" s="682" t="e">
        <f>ROUND(((F33*F29)/'Data Entry - SOF'!E63)*100,4)</f>
        <v>#REF!</v>
      </c>
      <c r="G35" s="1037"/>
      <c r="H35" s="1037"/>
      <c r="I35" s="1037"/>
      <c r="M35" s="114"/>
      <c r="N35" s="114"/>
      <c r="T35"/>
      <c r="Z35" s="784"/>
      <c r="AA35" s="785" t="e">
        <f>('Data Entry - SOF'!#REF!-#REF!)/('Data Entry - SOF'!#REF!*100)</f>
        <v>#REF!</v>
      </c>
      <c r="AB35" s="786" t="e">
        <f>('Data Entry - SOF'!#REF!-#REF!-'Data Entry - SOF'!#REF!)/('Data Entry - SOF'!#REF!*100)</f>
        <v>#REF!</v>
      </c>
      <c r="AC35" s="787"/>
      <c r="AE35" s="880" t="e">
        <f>('Data Entry - SOF'!#REF!-#REF!)/('Data Entry - SOF'!C144*100)</f>
        <v>#REF!</v>
      </c>
      <c r="AF35" s="881" t="e">
        <f>('Data Entry - SOF'!#REF!-#REF!-'Data Entry - SOF'!#REF!)/('Data Entry - SOF'!#REF!*100)</f>
        <v>#REF!</v>
      </c>
      <c r="AG35" s="882" t="s">
        <v>5325</v>
      </c>
      <c r="AI35" s="893" t="e">
        <f>('Data Entry - SOF'!#REF!-#REF!)/('Data Entry - SOF'!#REF!*100)</f>
        <v>#REF!</v>
      </c>
      <c r="AJ35" s="881" t="e">
        <f>('Data Entry - SOF'!#REF!-#REF!-'Data Entry - SOF'!#REF!)/('Data Entry - SOF'!#REF!*100)</f>
        <v>#REF!</v>
      </c>
      <c r="AK35" s="882" t="s">
        <v>5325</v>
      </c>
      <c r="AM35" s="938" t="e">
        <f>('Data Entry - SOF'!#REF!-#REF!)/('Data Entry - SOF'!#REF!*100)</f>
        <v>#REF!</v>
      </c>
      <c r="AN35" s="881" t="e">
        <f>('Data Entry - SOF'!#REF!-#REF!-'Data Entry - SOF'!#REF!)/('Data Entry - SOF'!#REF!*100)</f>
        <v>#REF!</v>
      </c>
      <c r="AO35" s="882" t="s">
        <v>5325</v>
      </c>
      <c r="AP35" s="25"/>
      <c r="AQ35" s="841"/>
      <c r="AR35" s="645" t="e">
        <f>('Data Entry - SOF'!#REF!-#REF!)/('Data Entry - SOF'!#REF!*100)</f>
        <v>#REF!</v>
      </c>
      <c r="AS35" s="910" t="e">
        <f>('Data Entry - SOF'!#REF!-#REF!-'Data Entry - SOF'!#REF!)/('Data Entry - SOF'!#REF!*100)</f>
        <v>#REF!</v>
      </c>
      <c r="AT35" s="911" t="s">
        <v>5325</v>
      </c>
      <c r="AW35" s="713" t="e">
        <f>('Data Entry - SOF'!#REF!-#REF!)/('Data Entry - SOF'!#REF!*100)</f>
        <v>#REF!</v>
      </c>
      <c r="AX35" s="915" t="e">
        <f>('Data Entry - SOF'!#REF!-#REF!-'Data Entry - SOF'!#REF!)/('Data Entry - SOF'!#REF!*100)</f>
        <v>#REF!</v>
      </c>
      <c r="AY35" s="916" t="s">
        <v>5325</v>
      </c>
      <c r="BA35" s="628"/>
      <c r="BB35" s="928" t="e">
        <f>('Data Entry - SOF'!#REF!-#REF!)/('Data Entry - SOF'!#REF!*100)</f>
        <v>#REF!</v>
      </c>
      <c r="BC35" s="915" t="e">
        <f>('Data Entry - SOF'!#REF!-#REF!-'Data Entry - SOF'!#REF!)/('Data Entry - SOF'!#REF!*100)</f>
        <v>#REF!</v>
      </c>
      <c r="BD35" s="916" t="s">
        <v>5325</v>
      </c>
      <c r="BE35" s="628"/>
      <c r="BF35" s="928" t="e">
        <f>('Data Entry - SOF'!#REF!-#REF!)/('Data Entry - SOF'!#REF!*100)</f>
        <v>#REF!</v>
      </c>
      <c r="BG35" s="915" t="e">
        <f>('Data Entry - SOF'!#REF!-#REF!-'Data Entry - SOF'!#REF!)/('Data Entry - SOF'!#REF!*100)</f>
        <v>#REF!</v>
      </c>
      <c r="BH35" s="916" t="s">
        <v>5325</v>
      </c>
    </row>
    <row r="36" spans="2:60" hidden="1">
      <c r="B36" t="s">
        <v>1158</v>
      </c>
      <c r="D36" s="556" t="e">
        <f>IF('Data Entry - SOF'!#REF!-'Data Entry - SOF'!C123&gt;0.06,('Data Entry - SOF'!#REF!-('Data Entry - SOF'!C123+0.06))*100,0)</f>
        <v>#REF!</v>
      </c>
      <c r="E36" s="582" t="e">
        <f>IF('Data Entry - SOF'!#REF!-'Data Entry - SOF'!E123&gt;0.06,('Data Entry - SOF'!#REF!-('Data Entry - SOF'!E123+0.06))*100,0)</f>
        <v>#REF!</v>
      </c>
      <c r="F36" s="680" t="e">
        <f>IF('Data Entry - SOF'!#REF!-'Data Entry - SOF'!G123&gt;0.06,('Data Entry - SOF'!#REF!-('Data Entry - SOF'!G123+0.06))*100,0)</f>
        <v>#REF!</v>
      </c>
      <c r="G36" s="1037"/>
      <c r="H36" s="1037"/>
      <c r="I36" s="1037"/>
      <c r="M36" s="114"/>
      <c r="N36" s="114"/>
      <c r="T36"/>
      <c r="Z36" s="784"/>
      <c r="AA36" s="785"/>
      <c r="AB36" s="788" t="e">
        <f>AB35*IF('Data Entry - SOF'!#REF!&lt;'Data Entry - SOF'!#REF!,('Data Entry - SOF'!#REF!*100),('Data Entry - SOF'!#REF!*100))</f>
        <v>#REF!</v>
      </c>
      <c r="AC36" s="789" t="e">
        <f>AB35*IF('Data Entry - SOF'!#REF!&lt;='Calc Data'!AA30,('Data Entry - SOF'!#REF!*100),('Calc Data'!AA30*100))</f>
        <v>#REF!</v>
      </c>
      <c r="AE36" s="880"/>
      <c r="AF36" s="883" t="e">
        <f>AF35*IF('Data Entry - SOF'!#REF!&lt;'Data Entry - SOF'!#REF!,('Data Entry - SOF'!#REF!*100),('Data Entry - SOF'!#REF!*100))</f>
        <v>#REF!</v>
      </c>
      <c r="AG36" s="884" t="e">
        <f>AF35*IF('Data Entry - SOF'!#REF!&lt;='Calc Data'!AE30,('Data Entry - SOF'!#REF!*100),('Calc Data'!AE30*100))</f>
        <v>#REF!</v>
      </c>
      <c r="AI36" s="893"/>
      <c r="AJ36" s="883" t="e">
        <f>AJ35*IF('Data Entry - SOF'!#REF!&lt;'Data Entry - SOF'!#REF!,('Data Entry - SOF'!#REF!*100),('Data Entry - SOF'!#REF!*100))</f>
        <v>#REF!</v>
      </c>
      <c r="AK36" s="884" t="e">
        <f>AJ35*IF('Data Entry - SOF'!#REF!&lt;='Calc Data'!AI30,('Data Entry - SOF'!#REF!*100),('Calc Data'!AI30*100))</f>
        <v>#REF!</v>
      </c>
      <c r="AM36" s="938"/>
      <c r="AN36" s="883" t="e">
        <f>AN35*IF('Data Entry - SOF'!#REF!&lt;'Data Entry - SOF'!#REF!,('Data Entry - SOF'!#REF!*100),('Data Entry - SOF'!#REF!*100))</f>
        <v>#REF!</v>
      </c>
      <c r="AO36" s="884" t="e">
        <f>AN35*IF('Data Entry - SOF'!#REF!&lt;='Calc Data'!AM30,('Data Entry - SOF'!#REF!*100),('Calc Data'!AM30*100))</f>
        <v>#REF!</v>
      </c>
      <c r="AP36" s="25"/>
      <c r="AQ36" s="841"/>
      <c r="AR36" s="645"/>
      <c r="AS36" s="912" t="e">
        <f>AS35*IF('Data Entry - SOF'!#REF!&lt;'Data Entry - SOF'!C123,('Data Entry - SOF'!#REF!*100),('Data Entry - SOF'!C123*100))</f>
        <v>#REF!</v>
      </c>
      <c r="AT36" s="862" t="e">
        <f>AS35*IF('Data Entry - SOF'!#REF!&lt;='Calc Data'!AR30,('Data Entry - SOF'!#REF!*100),('Calc Data'!AR30*100))</f>
        <v>#REF!</v>
      </c>
      <c r="AV36" s="841"/>
      <c r="AW36" s="634"/>
      <c r="AX36" s="917" t="e">
        <f>AX35*IF('Data Entry - SOF'!#REF!&lt;'Data Entry - SOF'!E123,('Data Entry - SOF'!#REF!*100),('Data Entry - SOF'!E123*100))</f>
        <v>#REF!</v>
      </c>
      <c r="AY36" s="918" t="e">
        <f>AX35*IF('Data Entry - SOF'!#REF!&lt;='Calc Data'!AW30,('Data Entry - SOF'!#REF!*100),('Calc Data'!AW30*100))</f>
        <v>#REF!</v>
      </c>
      <c r="BA36" s="920"/>
      <c r="BB36" s="644"/>
      <c r="BC36" s="917" t="e">
        <f>BC35*IF('Data Entry - SOF'!#REF!&lt;'Data Entry - SOF'!G123,('Data Entry - SOF'!#REF!*100),('Data Entry - SOF'!G123*100))</f>
        <v>#REF!</v>
      </c>
      <c r="BD36" s="918" t="e">
        <f>BC35*IF('Data Entry - SOF'!#REF!&lt;='Calc Data'!BB30,('Data Entry - SOF'!#REF!*100),('Calc Data'!BB30*100))</f>
        <v>#REF!</v>
      </c>
      <c r="BE36" s="920"/>
      <c r="BF36" s="644"/>
      <c r="BG36" s="917" t="e">
        <f>BG35*IF('Data Entry - SOF'!#REF!&lt;'Data Entry - SOF'!I123,('Data Entry - SOF'!#REF!*100),('Data Entry - SOF'!I123*100))</f>
        <v>#REF!</v>
      </c>
      <c r="BH36" s="918" t="e">
        <f>BG35*IF('Data Entry - SOF'!#REF!&lt;='Calc Data'!BF30,('Data Entry - SOF'!#REF!*100),('Calc Data'!BF30*100))</f>
        <v>#REF!</v>
      </c>
    </row>
    <row r="37" spans="2:60" hidden="1">
      <c r="B37" t="s">
        <v>933</v>
      </c>
      <c r="D37" s="537" t="e">
        <f t="shared" ref="D37" si="5">D36*D29</f>
        <v>#REF!</v>
      </c>
      <c r="E37" s="583" t="e">
        <f>E36*E29</f>
        <v>#REF!</v>
      </c>
      <c r="F37" s="681" t="e">
        <f>F36*F29</f>
        <v>#REF!</v>
      </c>
      <c r="G37" s="1037"/>
      <c r="H37" s="1037"/>
      <c r="I37" s="1037"/>
      <c r="M37" s="119"/>
      <c r="N37" s="119"/>
      <c r="T37"/>
      <c r="Z37" s="784"/>
      <c r="AA37" s="790"/>
      <c r="AB37" s="781"/>
      <c r="AC37" s="792"/>
      <c r="AE37" s="885"/>
      <c r="AF37" s="886"/>
      <c r="AG37" s="887" t="s">
        <v>1776</v>
      </c>
      <c r="AI37" s="894"/>
      <c r="AJ37" s="895"/>
      <c r="AK37" s="487" t="s">
        <v>1776</v>
      </c>
      <c r="AM37" s="939"/>
      <c r="AN37" s="940"/>
      <c r="AO37" s="941" t="s">
        <v>1776</v>
      </c>
      <c r="AP37" s="25"/>
      <c r="AQ37" s="841"/>
      <c r="AR37" s="902"/>
      <c r="AS37" s="643"/>
      <c r="AT37" s="865" t="s">
        <v>1776</v>
      </c>
      <c r="AV37" s="841"/>
      <c r="AW37" s="639"/>
      <c r="AX37" s="632"/>
      <c r="AY37" s="639" t="s">
        <v>1776</v>
      </c>
      <c r="BA37" s="920"/>
      <c r="BB37" s="642"/>
      <c r="BC37" s="642"/>
      <c r="BD37" s="642" t="s">
        <v>1776</v>
      </c>
      <c r="BE37" s="920"/>
      <c r="BF37" s="642"/>
      <c r="BG37" s="642"/>
      <c r="BH37" s="642" t="s">
        <v>1776</v>
      </c>
    </row>
    <row r="38" spans="2:60" hidden="1">
      <c r="B38" s="561" t="s">
        <v>746</v>
      </c>
      <c r="D38" s="557" t="e">
        <f>ROUND(((D36*D29)/'Data Entry - SOF'!#REF!)*100,4)</f>
        <v>#REF!</v>
      </c>
      <c r="E38" s="584" t="e">
        <f>ROUND(((E36*E29)/'Data Entry - SOF'!C63)*100,4)</f>
        <v>#REF!</v>
      </c>
      <c r="F38" s="682" t="e">
        <f>ROUND(((F36*F29)/'Data Entry - SOF'!E63)*100,4)</f>
        <v>#REF!</v>
      </c>
      <c r="G38" s="1037"/>
      <c r="H38" s="1037"/>
      <c r="I38" s="1037"/>
      <c r="M38" s="119"/>
      <c r="N38" s="119"/>
      <c r="T38"/>
      <c r="Z38" s="781"/>
      <c r="AA38" s="793"/>
      <c r="AB38" s="830" t="s">
        <v>1776</v>
      </c>
      <c r="AC38" s="795"/>
      <c r="AE38" s="486"/>
      <c r="AF38" s="465"/>
      <c r="AG38" s="887" t="e">
        <f>'Data Entry - SOF'!#REF!+0.17</f>
        <v>#REF!</v>
      </c>
      <c r="AI38" s="480"/>
      <c r="AJ38" s="481"/>
      <c r="AK38" s="487" t="e">
        <f>'Data Entry - SOF'!#REF!+0.17</f>
        <v>#REF!</v>
      </c>
      <c r="AM38" s="931"/>
      <c r="AN38" s="942"/>
      <c r="AO38" s="941" t="e">
        <f>'Data Entry - SOF'!#REF!+0.17</f>
        <v>#REF!</v>
      </c>
      <c r="AP38" s="25"/>
      <c r="AQ38" s="842"/>
      <c r="AR38" s="654"/>
      <c r="AS38" s="899"/>
      <c r="AT38" s="865">
        <f>'Data Entry - SOF'!C123+0.17</f>
        <v>0.17</v>
      </c>
      <c r="AW38" s="632"/>
      <c r="AX38" s="639"/>
      <c r="AY38" s="907">
        <f>'Data Entry - SOF'!E123+0.17</f>
        <v>0.17</v>
      </c>
      <c r="AZ38" s="840"/>
      <c r="BB38" s="929"/>
      <c r="BC38" s="929"/>
      <c r="BD38" s="930">
        <f>'Data Entry - SOF'!G123+0.17</f>
        <v>0.17</v>
      </c>
      <c r="BF38" s="929"/>
      <c r="BG38" s="929"/>
      <c r="BH38" s="930">
        <f>'Data Entry - SOF'!I123+0.17</f>
        <v>0.17</v>
      </c>
    </row>
    <row r="39" spans="2:60" hidden="1">
      <c r="D39" s="553"/>
      <c r="E39" s="573"/>
      <c r="F39" s="671"/>
      <c r="G39" s="1037"/>
      <c r="H39" s="1037"/>
      <c r="I39" s="1037"/>
      <c r="M39" s="118"/>
      <c r="N39" s="118"/>
      <c r="T39"/>
      <c r="Z39" s="796"/>
      <c r="AA39" s="793"/>
      <c r="AB39" s="830" t="e">
        <f>'Data Entry - SOF'!#REF!+0.17</f>
        <v>#REF!</v>
      </c>
      <c r="AC39" s="797"/>
      <c r="AE39" s="486"/>
      <c r="AF39" s="465"/>
      <c r="AG39" s="887" t="e">
        <f>IF('Data Entry - SOF'!#REF!&lt;=1.5,0,AG38-0.86)</f>
        <v>#REF!</v>
      </c>
      <c r="AI39" s="480"/>
      <c r="AJ39" s="481"/>
      <c r="AK39" s="487" t="e">
        <f>IF('Data Entry - SOF'!#REF!&lt;=1.5,0,AK38-0.86)</f>
        <v>#REF!</v>
      </c>
      <c r="AM39" s="931"/>
      <c r="AN39" s="942"/>
      <c r="AO39" s="941" t="e">
        <f>IF('Data Entry - SOF'!#REF!&lt;=1.5,0,AO38-0.86)</f>
        <v>#REF!</v>
      </c>
      <c r="AP39" s="25"/>
      <c r="AQ39" s="843"/>
      <c r="AR39" s="654"/>
      <c r="AS39" s="899"/>
      <c r="AT39" s="865" t="e">
        <f>IF('Data Entry - SOF'!#REF!&lt;=1.5,0,AT38-0.86)</f>
        <v>#REF!</v>
      </c>
      <c r="AW39" s="632"/>
      <c r="AX39" s="639"/>
      <c r="AY39" s="907" t="e">
        <f>IF('Data Entry - SOF'!#REF!&lt;=1.5,0,AY38-0.86)</f>
        <v>#REF!</v>
      </c>
      <c r="BB39" s="929"/>
      <c r="BC39" s="929"/>
      <c r="BD39" s="930" t="e">
        <f>IF('Data Entry - SOF'!#REF!&lt;=1.5,0,BD38-0.86)</f>
        <v>#REF!</v>
      </c>
      <c r="BF39" s="929"/>
      <c r="BG39" s="929"/>
      <c r="BH39" s="930" t="e">
        <f>IF('Data Entry - SOF'!#REF!&lt;=1.5,0,BH38-0.86)</f>
        <v>#REF!</v>
      </c>
    </row>
    <row r="40" spans="2:60" hidden="1">
      <c r="D40" s="553"/>
      <c r="E40" s="573"/>
      <c r="F40" s="671"/>
      <c r="G40" s="1037"/>
      <c r="H40" s="1037"/>
      <c r="I40" s="1037"/>
      <c r="M40" s="120"/>
      <c r="N40" s="120"/>
      <c r="T40"/>
      <c r="Z40" s="796"/>
      <c r="AA40" s="793"/>
      <c r="AB40" s="830" t="e">
        <f>IF('Data Entry - SOF'!#REF!&lt;=1.5,0,AB39-0.86)</f>
        <v>#REF!</v>
      </c>
      <c r="AC40" s="799"/>
      <c r="AE40" s="486"/>
      <c r="AF40" s="465"/>
      <c r="AG40" s="397"/>
      <c r="AI40" s="480"/>
      <c r="AJ40" s="481"/>
      <c r="AK40" s="480"/>
      <c r="AM40" s="931"/>
      <c r="AN40" s="942"/>
      <c r="AO40" s="931"/>
      <c r="AP40" s="25"/>
      <c r="AQ40" s="843"/>
      <c r="AR40" s="654"/>
      <c r="AS40" s="899"/>
      <c r="AT40" s="654"/>
      <c r="AW40" s="632"/>
      <c r="AX40" s="639"/>
      <c r="AY40" s="632"/>
      <c r="BB40" s="929"/>
      <c r="BC40" s="929"/>
      <c r="BD40" s="929"/>
      <c r="BF40" s="929"/>
      <c r="BG40" s="929"/>
      <c r="BH40" s="929"/>
    </row>
    <row r="41" spans="2:60" hidden="1">
      <c r="D41" s="553"/>
      <c r="E41" s="573"/>
      <c r="F41" s="671"/>
      <c r="G41" s="1037"/>
      <c r="H41" s="1037"/>
      <c r="I41" s="1037"/>
      <c r="M41" s="121"/>
      <c r="N41" s="121"/>
      <c r="T41"/>
      <c r="AA41" s="793"/>
      <c r="AB41" s="781"/>
      <c r="AC41" s="734"/>
      <c r="AE41" s="486"/>
      <c r="AF41" s="465"/>
      <c r="AG41" s="397"/>
      <c r="AI41" s="480"/>
      <c r="AJ41" s="481"/>
      <c r="AK41" s="480"/>
      <c r="AM41" s="931"/>
      <c r="AN41" s="942"/>
      <c r="AO41" s="931"/>
      <c r="AP41" s="25"/>
      <c r="AQ41" s="843"/>
      <c r="AR41" s="654"/>
      <c r="AS41" s="899"/>
      <c r="AT41" s="654"/>
      <c r="AW41" s="632"/>
      <c r="AX41" s="639"/>
      <c r="AY41" s="632"/>
      <c r="BB41" s="929"/>
      <c r="BC41" s="929"/>
      <c r="BD41" s="929"/>
      <c r="BF41" s="929"/>
      <c r="BG41" s="929"/>
      <c r="BH41" s="929"/>
    </row>
    <row r="42" spans="2:60" hidden="1">
      <c r="B42" s="562" t="s">
        <v>744</v>
      </c>
      <c r="D42" s="558" t="e">
        <f>D35*('Data Entry - SOF'!#REF!/100)</f>
        <v>#REF!</v>
      </c>
      <c r="E42" s="585" t="e">
        <f>E35*('Data Entry - SOF'!C63/100)</f>
        <v>#REF!</v>
      </c>
      <c r="F42" s="683" t="e">
        <f>F35*('Data Entry - SOF'!E63/100)</f>
        <v>#REF!</v>
      </c>
      <c r="G42" s="1037"/>
      <c r="H42" s="1037"/>
      <c r="I42" s="1037"/>
      <c r="M42" s="111"/>
      <c r="N42" s="111"/>
      <c r="T42"/>
      <c r="AA42" s="793"/>
      <c r="AB42" s="796"/>
      <c r="AC42" s="734"/>
      <c r="AE42" s="486"/>
      <c r="AF42" s="465"/>
      <c r="AG42" s="397"/>
      <c r="AI42" s="480"/>
      <c r="AJ42" s="481"/>
      <c r="AK42" s="480"/>
      <c r="AM42" s="931"/>
      <c r="AN42" s="942"/>
      <c r="AO42" s="931"/>
      <c r="AP42" s="25"/>
      <c r="AQ42" s="843"/>
      <c r="AR42" s="654"/>
      <c r="AS42" s="899"/>
      <c r="AT42" s="654"/>
      <c r="AW42" s="632"/>
      <c r="AX42" s="639"/>
      <c r="AY42" s="632"/>
      <c r="BB42" s="929"/>
      <c r="BC42" s="929"/>
      <c r="BD42" s="929"/>
      <c r="BF42" s="929"/>
      <c r="BG42" s="929"/>
      <c r="BH42" s="929"/>
    </row>
    <row r="43" spans="2:60" hidden="1">
      <c r="B43" s="562" t="s">
        <v>745</v>
      </c>
      <c r="D43" s="558" t="e">
        <f>D38*('Data Entry - SOF'!#REF!/100)</f>
        <v>#REF!</v>
      </c>
      <c r="E43" s="585" t="e">
        <f>E38*('Data Entry - SOF'!C63/100)</f>
        <v>#REF!</v>
      </c>
      <c r="F43" s="683" t="e">
        <f>F38*('Data Entry - SOF'!E63/100)</f>
        <v>#REF!</v>
      </c>
      <c r="G43" s="1037"/>
      <c r="H43" s="1037"/>
      <c r="I43" s="1037"/>
      <c r="M43" s="120"/>
      <c r="N43" s="120"/>
      <c r="T43"/>
      <c r="AA43" s="793"/>
      <c r="AB43" s="796"/>
      <c r="AC43" s="734"/>
      <c r="AE43" s="486"/>
      <c r="AF43" s="465"/>
      <c r="AG43" s="397"/>
      <c r="AI43" s="480"/>
      <c r="AJ43" s="481"/>
      <c r="AK43" s="480"/>
      <c r="AM43" s="931"/>
      <c r="AN43" s="942"/>
      <c r="AO43" s="931"/>
      <c r="AP43" s="25"/>
      <c r="AQ43" s="843"/>
      <c r="AR43" s="654"/>
      <c r="AS43" s="899"/>
      <c r="AT43" s="654"/>
      <c r="AW43" s="632"/>
      <c r="AX43" s="639"/>
      <c r="AY43" s="632"/>
      <c r="BB43" s="929"/>
      <c r="BC43" s="929"/>
      <c r="BD43" s="929"/>
      <c r="BF43" s="929"/>
      <c r="BG43" s="929"/>
      <c r="BH43" s="929"/>
    </row>
    <row r="44" spans="2:60" hidden="1">
      <c r="G44" s="1037"/>
      <c r="H44" s="1037"/>
      <c r="I44" s="1037"/>
      <c r="J44" s="217"/>
      <c r="M44" s="121"/>
      <c r="N44" s="121"/>
      <c r="T44"/>
      <c r="AE44" s="449"/>
      <c r="AF44" s="449"/>
      <c r="AG44" s="449"/>
      <c r="AI44" s="482"/>
      <c r="AJ44" s="482"/>
      <c r="AK44" s="482"/>
      <c r="AM44" s="931"/>
      <c r="AN44" s="931"/>
      <c r="AO44" s="931"/>
      <c r="AP44" s="25"/>
      <c r="AR44" s="654"/>
      <c r="AS44" s="654"/>
      <c r="AT44" s="654"/>
      <c r="AW44" s="632"/>
      <c r="AX44" s="632"/>
      <c r="AY44" s="632"/>
      <c r="BB44" s="929"/>
      <c r="BC44" s="929"/>
      <c r="BD44" s="929"/>
      <c r="BF44" s="929"/>
      <c r="BG44" s="929"/>
      <c r="BH44" s="929"/>
    </row>
    <row r="45" spans="2:60" hidden="1">
      <c r="G45" s="1037"/>
      <c r="H45" s="1037"/>
      <c r="I45" s="1037"/>
      <c r="J45" s="217"/>
      <c r="M45" s="111"/>
      <c r="N45" s="111"/>
      <c r="T45"/>
      <c r="AA45" s="768"/>
      <c r="AC45" s="768"/>
      <c r="AD45" s="100"/>
      <c r="AE45" s="477"/>
      <c r="AF45" s="477"/>
      <c r="AG45" s="477"/>
      <c r="AH45" s="100"/>
      <c r="AI45" s="483"/>
      <c r="AJ45" s="483"/>
      <c r="AK45" s="483"/>
      <c r="AL45" s="100"/>
      <c r="AM45" s="477"/>
      <c r="AN45" s="477"/>
      <c r="AO45" s="477"/>
      <c r="AR45" s="835"/>
      <c r="AS45" s="835"/>
      <c r="AT45" s="835"/>
      <c r="AW45" s="856"/>
      <c r="AX45" s="856"/>
      <c r="AY45" s="856"/>
      <c r="BB45" s="857"/>
      <c r="BC45" s="857"/>
      <c r="BD45" s="857"/>
      <c r="BF45" s="857"/>
      <c r="BG45" s="857"/>
      <c r="BH45" s="857"/>
    </row>
    <row r="46" spans="2:60" hidden="1">
      <c r="B46" s="27" t="s">
        <v>2630</v>
      </c>
      <c r="D46" s="529">
        <v>0</v>
      </c>
      <c r="E46" s="571">
        <v>0</v>
      </c>
      <c r="F46" s="669">
        <v>0</v>
      </c>
      <c r="G46" s="1037"/>
      <c r="H46" s="1037"/>
      <c r="I46" s="1037"/>
      <c r="J46" s="217"/>
      <c r="M46" s="120"/>
      <c r="N46" s="120"/>
      <c r="T46"/>
      <c r="AA46" s="768"/>
      <c r="AC46" s="768"/>
      <c r="AD46" s="100"/>
      <c r="AE46" s="477"/>
      <c r="AF46" s="477"/>
      <c r="AG46" s="477"/>
      <c r="AH46" s="100"/>
      <c r="AI46" s="483"/>
      <c r="AJ46" s="483"/>
      <c r="AK46" s="483"/>
      <c r="AL46" s="100"/>
      <c r="AM46" s="477"/>
      <c r="AN46" s="477"/>
      <c r="AO46" s="477"/>
      <c r="AR46" s="835"/>
      <c r="AS46" s="835"/>
      <c r="AT46" s="835"/>
      <c r="AW46" s="856"/>
      <c r="AX46" s="856"/>
      <c r="AY46" s="856"/>
      <c r="BB46" s="857"/>
      <c r="BC46" s="857"/>
      <c r="BD46" s="857"/>
      <c r="BF46" s="857"/>
      <c r="BG46" s="857"/>
      <c r="BH46" s="857"/>
    </row>
    <row r="47" spans="2:60" hidden="1">
      <c r="B47" s="27" t="s">
        <v>2629</v>
      </c>
      <c r="D47" s="539" t="e">
        <f>'Data Entry - SOF'!#REF!-#REF!-D46</f>
        <v>#REF!</v>
      </c>
      <c r="E47" s="586" t="e">
        <f>'Data Entry - SOF'!#REF!-#REF!-E46</f>
        <v>#REF!</v>
      </c>
      <c r="F47" s="684" t="e">
        <f>'Data Entry - SOF'!#REF!-#REF!-F46</f>
        <v>#REF!</v>
      </c>
      <c r="G47" s="1037"/>
      <c r="H47" s="1037"/>
      <c r="I47" s="1037"/>
      <c r="J47" s="217"/>
      <c r="M47" s="114"/>
      <c r="N47" s="114"/>
      <c r="T47"/>
      <c r="AA47" s="768"/>
      <c r="AC47" s="768"/>
      <c r="AD47" s="100"/>
      <c r="AE47" s="477"/>
      <c r="AF47" s="477"/>
      <c r="AG47" s="477"/>
      <c r="AH47" s="100"/>
      <c r="AI47" s="483"/>
      <c r="AJ47" s="483"/>
      <c r="AK47" s="483"/>
      <c r="AL47" s="100"/>
      <c r="AM47" s="477"/>
      <c r="AN47" s="477"/>
      <c r="AO47" s="477"/>
      <c r="AR47" s="835"/>
      <c r="AS47" s="835"/>
      <c r="AT47" s="835"/>
      <c r="AW47" s="856"/>
      <c r="AX47" s="856"/>
      <c r="AY47" s="856"/>
      <c r="BB47" s="857"/>
      <c r="BC47" s="857"/>
      <c r="BD47" s="857"/>
      <c r="BF47" s="857"/>
      <c r="BG47" s="857"/>
      <c r="BH47" s="857"/>
    </row>
    <row r="48" spans="2:60" hidden="1">
      <c r="G48" s="1037"/>
      <c r="H48" s="1037"/>
      <c r="I48" s="1037"/>
      <c r="J48" s="217"/>
      <c r="M48" s="114"/>
      <c r="N48" s="114"/>
      <c r="T48"/>
      <c r="AA48" s="768"/>
      <c r="AB48" s="768"/>
      <c r="AC48" s="768"/>
      <c r="AD48" s="100"/>
      <c r="AE48" s="477"/>
      <c r="AF48" s="477"/>
      <c r="AG48" s="477"/>
      <c r="AH48" s="100"/>
      <c r="AI48" s="483"/>
      <c r="AJ48" s="483"/>
      <c r="AK48" s="483"/>
      <c r="AL48" s="100"/>
      <c r="AM48" s="477"/>
      <c r="AN48" s="477"/>
      <c r="AO48" s="477"/>
      <c r="AR48" s="835"/>
      <c r="AS48" s="835"/>
      <c r="AT48" s="835"/>
      <c r="AW48" s="856"/>
      <c r="AX48" s="856"/>
      <c r="AY48" s="856"/>
      <c r="BB48" s="857"/>
      <c r="BC48" s="857"/>
      <c r="BD48" s="857"/>
      <c r="BF48" s="857"/>
      <c r="BG48" s="857"/>
      <c r="BH48" s="857"/>
    </row>
    <row r="49" spans="1:64" hidden="1">
      <c r="B49" s="27" t="s">
        <v>2651</v>
      </c>
      <c r="D49" s="530" t="e">
        <f t="shared" ref="D49" si="6">IF(D21=D20,"N/A",D21)</f>
        <v>#REF!</v>
      </c>
      <c r="E49" s="572" t="e">
        <f>IF(E21=E20,"N/A",E21)</f>
        <v>#REF!</v>
      </c>
      <c r="F49" s="670" t="e">
        <f>IF(F21=F20,"N/A",F21)</f>
        <v>#REF!</v>
      </c>
      <c r="G49" s="1037"/>
      <c r="H49" s="1037"/>
      <c r="I49" s="1037"/>
      <c r="J49" s="217"/>
      <c r="M49" s="111"/>
      <c r="N49" s="111"/>
      <c r="T49"/>
      <c r="AA49" s="768"/>
      <c r="AB49" s="768"/>
      <c r="AC49" s="768"/>
      <c r="AD49" s="100"/>
      <c r="AE49" s="477"/>
      <c r="AF49" s="477"/>
      <c r="AG49" s="477"/>
      <c r="AH49" s="100"/>
      <c r="AI49" s="483"/>
      <c r="AJ49" s="483"/>
      <c r="AK49" s="483"/>
      <c r="AL49" s="100"/>
      <c r="AM49" s="477"/>
      <c r="AN49" s="477"/>
      <c r="AO49" s="477"/>
      <c r="AR49" s="835"/>
      <c r="AS49" s="835"/>
      <c r="AT49" s="835"/>
      <c r="AW49" s="856"/>
      <c r="AX49" s="856"/>
      <c r="AY49" s="856"/>
      <c r="BB49" s="857"/>
      <c r="BC49" s="857"/>
      <c r="BD49" s="857"/>
      <c r="BF49" s="857"/>
      <c r="BG49" s="857"/>
      <c r="BH49" s="857"/>
    </row>
    <row r="50" spans="1:64" hidden="1">
      <c r="B50" s="27" t="s">
        <v>2652</v>
      </c>
      <c r="D50" s="530" t="e">
        <f t="shared" ref="D50" si="7">IF(D22=0,"N/A",D22)</f>
        <v>#REF!</v>
      </c>
      <c r="E50" s="572" t="e">
        <f>IF(E22=0,"N/A",E22)</f>
        <v>#REF!</v>
      </c>
      <c r="F50" s="670" t="e">
        <f>IF(F22=0,"N/A",F22)</f>
        <v>#REF!</v>
      </c>
      <c r="G50" s="1037"/>
      <c r="H50" s="1037"/>
      <c r="I50" s="1037"/>
      <c r="J50" s="217"/>
      <c r="M50" s="111"/>
      <c r="N50" s="111"/>
      <c r="T50"/>
      <c r="AA50" s="768"/>
      <c r="AB50" s="768"/>
      <c r="AC50" s="768"/>
      <c r="AD50" s="100"/>
      <c r="AE50" s="477"/>
      <c r="AF50" s="477"/>
      <c r="AG50" s="477"/>
      <c r="AH50" s="100"/>
      <c r="AI50" s="483"/>
      <c r="AJ50" s="483"/>
      <c r="AK50" s="483"/>
      <c r="AL50" s="100"/>
      <c r="AM50" s="477"/>
      <c r="AN50" s="477"/>
      <c r="AO50" s="477"/>
      <c r="AR50" s="835"/>
      <c r="AS50" s="835"/>
      <c r="AT50" s="835"/>
      <c r="AW50" s="856"/>
      <c r="AX50" s="856"/>
      <c r="AY50" s="856"/>
      <c r="BB50" s="857"/>
      <c r="BC50" s="857"/>
      <c r="BD50" s="857"/>
      <c r="BF50" s="857"/>
      <c r="BG50" s="857"/>
      <c r="BH50" s="857"/>
    </row>
    <row r="51" spans="1:64" hidden="1">
      <c r="G51" s="1037"/>
      <c r="H51" s="1037"/>
      <c r="I51" s="1037"/>
      <c r="J51" s="217"/>
      <c r="M51" s="111"/>
      <c r="N51" s="111"/>
      <c r="T51"/>
      <c r="AA51" s="768"/>
      <c r="AB51" s="768"/>
      <c r="AC51" s="768"/>
      <c r="AD51" s="100"/>
      <c r="AE51" s="477"/>
      <c r="AF51" s="477"/>
      <c r="AG51" s="477"/>
      <c r="AH51" s="100"/>
      <c r="AI51" s="483"/>
      <c r="AJ51" s="483"/>
      <c r="AK51" s="483"/>
      <c r="AL51" s="100"/>
      <c r="AM51" s="477"/>
      <c r="AN51" s="477"/>
      <c r="AO51" s="477"/>
      <c r="AR51" s="835"/>
      <c r="AS51" s="835"/>
      <c r="AT51" s="835"/>
      <c r="AW51" s="856"/>
      <c r="AX51" s="856"/>
      <c r="AY51" s="856"/>
      <c r="BB51" s="857"/>
      <c r="BC51" s="857"/>
      <c r="BD51" s="857"/>
      <c r="BF51" s="857"/>
      <c r="BG51" s="857"/>
      <c r="BH51" s="857"/>
    </row>
    <row r="52" spans="1:64" hidden="1">
      <c r="G52" s="1037"/>
      <c r="H52" s="1037"/>
      <c r="I52" s="1037"/>
      <c r="J52" s="217"/>
      <c r="T52"/>
      <c r="AA52" s="768"/>
      <c r="AB52" s="768"/>
      <c r="AC52" s="768"/>
      <c r="AD52" s="100"/>
      <c r="AE52" s="477"/>
      <c r="AF52" s="477"/>
      <c r="AG52" s="477"/>
      <c r="AH52" s="100"/>
      <c r="AI52" s="483"/>
      <c r="AJ52" s="483"/>
      <c r="AK52" s="483"/>
      <c r="AL52" s="100"/>
      <c r="AM52" s="477"/>
      <c r="AN52" s="477"/>
      <c r="AO52" s="477"/>
      <c r="AR52" s="835"/>
      <c r="AS52" s="835"/>
      <c r="AT52" s="835"/>
      <c r="AW52" s="856"/>
      <c r="AX52" s="856"/>
      <c r="AY52" s="856"/>
      <c r="BB52" s="857"/>
      <c r="BC52" s="857"/>
      <c r="BD52" s="857"/>
      <c r="BF52" s="857"/>
      <c r="BG52" s="857"/>
      <c r="BH52" s="857"/>
    </row>
    <row r="53" spans="1:64" hidden="1">
      <c r="G53" s="1037"/>
      <c r="H53" s="1037"/>
      <c r="I53" s="1037"/>
      <c r="J53" s="217"/>
      <c r="T53"/>
      <c r="AA53" s="768"/>
      <c r="AB53" s="768"/>
      <c r="AC53" s="768"/>
      <c r="AD53" s="100"/>
      <c r="AE53" s="477"/>
      <c r="AF53" s="477"/>
      <c r="AG53" s="477"/>
      <c r="AH53" s="100"/>
      <c r="AI53" s="483"/>
      <c r="AJ53" s="483"/>
      <c r="AK53" s="483"/>
      <c r="AL53" s="100"/>
      <c r="AM53" s="477"/>
      <c r="AN53" s="477"/>
      <c r="AO53" s="477"/>
      <c r="AR53" s="835"/>
      <c r="AS53" s="835"/>
      <c r="AT53" s="835"/>
      <c r="AW53" s="856"/>
      <c r="AX53" s="856"/>
      <c r="AY53" s="856"/>
      <c r="BB53" s="857"/>
      <c r="BC53" s="857"/>
      <c r="BD53" s="857"/>
      <c r="BF53" s="857"/>
      <c r="BG53" s="857"/>
      <c r="BH53" s="857"/>
    </row>
    <row r="54" spans="1:64">
      <c r="G54" s="1037"/>
      <c r="H54" s="1037"/>
      <c r="I54" s="1037"/>
      <c r="J54" s="217"/>
      <c r="T54"/>
      <c r="AA54" s="768"/>
      <c r="AB54" s="768"/>
      <c r="AC54" s="768"/>
      <c r="AD54" s="100"/>
      <c r="AE54" s="477"/>
      <c r="AF54" s="477"/>
      <c r="AG54" s="477"/>
      <c r="AH54" s="100"/>
      <c r="AI54" s="483"/>
      <c r="AJ54" s="483"/>
      <c r="AK54" s="483"/>
      <c r="AL54" s="100"/>
      <c r="AM54" s="477"/>
      <c r="AN54" s="477"/>
      <c r="AO54" s="477"/>
      <c r="AR54" s="835"/>
      <c r="AS54" s="835"/>
      <c r="AT54" s="835"/>
      <c r="AW54" s="856"/>
      <c r="AX54" s="856"/>
      <c r="AY54" s="856"/>
      <c r="BB54" s="857"/>
      <c r="BC54" s="857"/>
      <c r="BD54" s="857"/>
      <c r="BF54" s="857"/>
      <c r="BG54" s="857"/>
      <c r="BH54" s="857"/>
    </row>
    <row r="55" spans="1:64">
      <c r="G55" s="1037"/>
      <c r="H55" s="1037"/>
      <c r="I55" s="1037"/>
      <c r="J55" s="217"/>
      <c r="T55"/>
      <c r="AA55" s="768"/>
      <c r="AB55" s="768"/>
      <c r="AC55" s="768"/>
      <c r="AD55" s="100"/>
      <c r="AE55" s="477"/>
      <c r="AF55" s="477"/>
      <c r="AG55" s="477"/>
      <c r="AH55" s="100"/>
      <c r="AI55" s="483"/>
      <c r="AJ55" s="483"/>
      <c r="AK55" s="483"/>
      <c r="AL55" s="100"/>
      <c r="AM55" s="477"/>
      <c r="AN55" s="477"/>
      <c r="AO55" s="477"/>
      <c r="AR55" s="835"/>
      <c r="AS55" s="835"/>
      <c r="AT55" s="835"/>
      <c r="AW55" s="856"/>
      <c r="AX55" s="856"/>
      <c r="AY55" s="856"/>
      <c r="BB55" s="857"/>
      <c r="BC55" s="857"/>
      <c r="BD55" s="857"/>
      <c r="BF55" s="857"/>
      <c r="BG55" s="857"/>
      <c r="BH55" s="857"/>
    </row>
    <row r="56" spans="1:64" hidden="1">
      <c r="D56" s="540" t="s">
        <v>5941</v>
      </c>
      <c r="E56" s="587" t="s">
        <v>5956</v>
      </c>
      <c r="F56" s="685" t="s">
        <v>7038</v>
      </c>
      <c r="G56" s="1037"/>
      <c r="H56" s="1037"/>
      <c r="I56" s="1037"/>
      <c r="T56"/>
      <c r="Z56" s="800"/>
      <c r="AA56" s="768"/>
      <c r="AB56" s="768"/>
      <c r="AC56" s="768"/>
      <c r="AD56" s="100"/>
      <c r="AE56" s="477"/>
      <c r="AF56" s="477"/>
      <c r="AG56" s="477"/>
      <c r="AH56" s="100"/>
      <c r="AI56" s="483"/>
      <c r="AJ56" s="483"/>
      <c r="AK56" s="483"/>
      <c r="AL56" s="100"/>
      <c r="AM56" s="477"/>
      <c r="AN56" s="477"/>
      <c r="AO56" s="477"/>
      <c r="AR56" s="835"/>
      <c r="AS56" s="835"/>
      <c r="AT56" s="835"/>
      <c r="AW56" s="856"/>
      <c r="AX56" s="856"/>
      <c r="AY56" s="856"/>
      <c r="BB56" s="857"/>
      <c r="BC56" s="857"/>
      <c r="BD56" s="857"/>
      <c r="BF56" s="857"/>
      <c r="BG56" s="857"/>
      <c r="BH56" s="857"/>
    </row>
    <row r="57" spans="1:64" hidden="1">
      <c r="B57" s="59" t="s">
        <v>1989</v>
      </c>
      <c r="D57" s="541" t="e">
        <f>IF(AND(D6&lt;2000,D10&gt;1599.999),'Data Entry - SOF'!C128*(1+((2000-'Calc Data'!D7)*Weights!M45)),0)</f>
        <v>#REF!</v>
      </c>
      <c r="E57" s="588" t="e">
        <f>IF(AND(E6&lt;2000,E10&gt;1599.999),'Data Entry - SOF'!E128*(1+((2000-'Calc Data'!E7)*Weights!N45)),0)</f>
        <v>#REF!</v>
      </c>
      <c r="F57" s="686" t="e">
        <f>IF(AND(F6&lt;2000,F10&gt;1599.999),'Data Entry - SOF'!G128*(1+((2000-'Calc Data'!F7)*Weights!O45)),0)</f>
        <v>#REF!</v>
      </c>
      <c r="G57" s="1037"/>
      <c r="H57" s="1037"/>
      <c r="I57" s="1037"/>
      <c r="O57" s="198" t="e">
        <f>IF(AND(#REF!&lt;2000,#REF!&gt;1599.999),'Data Entry - SOF'!#REF!*(1+((2000-'Calc Data'!#REF!)*0.00014)),0)</f>
        <v>#REF!</v>
      </c>
      <c r="T57"/>
      <c r="AA57" s="768"/>
      <c r="AB57" s="768"/>
      <c r="AC57" s="768"/>
      <c r="AD57" s="100"/>
      <c r="AE57" s="477"/>
      <c r="AF57" s="477"/>
      <c r="AG57" s="477"/>
      <c r="AH57" s="100"/>
      <c r="AI57" s="483"/>
      <c r="AJ57" s="483"/>
      <c r="AK57" s="483"/>
      <c r="AL57" s="100"/>
      <c r="AM57" s="477"/>
      <c r="AN57" s="477"/>
      <c r="AO57" s="477"/>
      <c r="AR57" s="835"/>
      <c r="AS57" s="835"/>
      <c r="AT57" s="835"/>
      <c r="AW57" s="856"/>
      <c r="AX57" s="856"/>
      <c r="AY57" s="856"/>
      <c r="BB57" s="857"/>
      <c r="BC57" s="857"/>
      <c r="BD57" s="857"/>
      <c r="BF57" s="857"/>
      <c r="BG57" s="857"/>
      <c r="BH57" s="857"/>
    </row>
    <row r="58" spans="1:64" hidden="1">
      <c r="B58" s="59" t="s">
        <v>930</v>
      </c>
      <c r="D58" s="542" t="e">
        <f>'Data Entry - SOF'!C128</f>
        <v>#REF!</v>
      </c>
      <c r="E58" s="589" t="e">
        <f>'Data Entry - SOF'!E128</f>
        <v>#REF!</v>
      </c>
      <c r="F58" s="687" t="e">
        <f>'Data Entry - SOF'!G128</f>
        <v>#REF!</v>
      </c>
      <c r="G58" s="1037"/>
      <c r="H58" s="1037"/>
      <c r="I58" s="1037"/>
      <c r="O58" s="199" t="e">
        <f>'Data Entry - SOF'!#REF!</f>
        <v>#REF!</v>
      </c>
      <c r="T58"/>
      <c r="AA58" s="768"/>
      <c r="AB58" s="768"/>
      <c r="AC58" s="768"/>
      <c r="AD58" s="100"/>
      <c r="AE58" s="477"/>
      <c r="AF58" s="477"/>
      <c r="AG58" s="477"/>
      <c r="AH58" s="100"/>
      <c r="AI58" s="483"/>
      <c r="AJ58" s="483"/>
      <c r="AK58" s="483"/>
      <c r="AL58" s="100"/>
      <c r="AM58" s="477"/>
      <c r="AN58" s="477"/>
      <c r="AO58" s="477"/>
      <c r="AR58" s="835"/>
      <c r="AS58" s="835"/>
      <c r="AT58" s="835"/>
      <c r="AW58" s="856"/>
      <c r="AX58" s="856"/>
      <c r="AY58" s="856"/>
      <c r="BB58" s="857"/>
      <c r="BC58" s="857"/>
      <c r="BD58" s="857"/>
      <c r="BF58" s="857"/>
      <c r="BG58" s="857"/>
      <c r="BH58" s="857"/>
    </row>
    <row r="59" spans="1:64" hidden="1">
      <c r="B59" s="59" t="s">
        <v>2147</v>
      </c>
      <c r="D59" s="540" t="e">
        <f t="shared" ref="D59" si="8">IF(D57&gt;D58,D57,D58)</f>
        <v>#REF!</v>
      </c>
      <c r="E59" s="587" t="e">
        <f>IF(E57&gt;E58,E57,E58)</f>
        <v>#REF!</v>
      </c>
      <c r="F59" s="685" t="e">
        <f>IF(F57&gt;F58,F57,F58)</f>
        <v>#REF!</v>
      </c>
      <c r="G59" s="1037"/>
      <c r="H59" s="1037"/>
      <c r="I59" s="1037"/>
      <c r="O59" s="197" t="e">
        <f>IF(O57&gt;O58,O57,O58)</f>
        <v>#REF!</v>
      </c>
      <c r="T59"/>
      <c r="AA59" s="768"/>
      <c r="AB59" s="768"/>
      <c r="AE59" s="477"/>
      <c r="AF59" s="477"/>
      <c r="AG59" s="477"/>
      <c r="AI59" s="483"/>
      <c r="AJ59" s="483"/>
      <c r="AK59" s="484"/>
      <c r="AM59" s="477"/>
      <c r="AN59" s="477"/>
      <c r="AO59" s="463"/>
      <c r="AR59" s="835"/>
      <c r="AS59" s="835"/>
      <c r="AT59" s="837"/>
      <c r="AW59" s="856"/>
      <c r="AX59" s="856"/>
      <c r="AY59" s="837"/>
      <c r="BB59" s="857"/>
      <c r="BC59" s="857"/>
      <c r="BF59" s="857"/>
      <c r="BG59" s="857"/>
    </row>
    <row r="60" spans="1:64">
      <c r="B60" s="59"/>
      <c r="J60" s="217"/>
      <c r="T60"/>
      <c r="AA60" s="768"/>
      <c r="AB60" s="768"/>
      <c r="AE60" s="477"/>
      <c r="AF60" s="477"/>
      <c r="AG60" s="477"/>
      <c r="AI60" s="483"/>
      <c r="AJ60" s="483"/>
      <c r="AK60" s="484"/>
      <c r="AM60" s="477"/>
      <c r="AN60" s="477"/>
      <c r="AO60" s="463"/>
      <c r="AR60" s="835"/>
      <c r="AS60" s="835"/>
      <c r="AT60" s="837"/>
      <c r="AW60" s="856"/>
      <c r="AX60" s="856"/>
      <c r="AY60" s="837"/>
      <c r="BB60" s="857"/>
      <c r="BC60" s="857"/>
      <c r="BF60" s="857"/>
      <c r="BG60" s="857"/>
    </row>
    <row r="61" spans="1:64">
      <c r="A61" s="77"/>
      <c r="B61" s="59"/>
      <c r="G61" s="871"/>
      <c r="J61" s="217"/>
      <c r="T61"/>
      <c r="AA61" s="768"/>
      <c r="AB61" s="768"/>
      <c r="AE61" s="477"/>
      <c r="AF61" s="477"/>
      <c r="AG61" s="477"/>
      <c r="AI61" s="483"/>
      <c r="AJ61" s="483"/>
      <c r="AK61" s="484"/>
      <c r="AM61" s="477"/>
      <c r="AN61" s="477"/>
      <c r="AO61" s="463"/>
      <c r="AR61" s="835"/>
      <c r="AS61" s="835"/>
      <c r="AT61" s="837"/>
      <c r="AW61" s="856"/>
      <c r="AX61" s="856"/>
      <c r="AY61" s="837"/>
      <c r="BB61" s="857"/>
      <c r="BC61" s="857"/>
      <c r="BF61" s="857"/>
      <c r="BG61" s="857"/>
    </row>
    <row r="62" spans="1:64" hidden="1">
      <c r="A62" s="77"/>
      <c r="B62" s="59" t="s">
        <v>739</v>
      </c>
      <c r="G62" s="871"/>
      <c r="J62" s="217"/>
      <c r="T62"/>
      <c r="AA62" s="768"/>
      <c r="AB62" s="768"/>
      <c r="AE62" s="477"/>
      <c r="AF62" s="477"/>
      <c r="AG62" s="477"/>
      <c r="AI62" s="483"/>
      <c r="AJ62" s="483"/>
      <c r="AK62" s="484"/>
      <c r="AM62" s="477"/>
      <c r="AN62" s="477"/>
      <c r="AO62" s="463"/>
      <c r="AR62" s="835"/>
      <c r="AS62" s="835"/>
      <c r="AT62" s="837"/>
      <c r="AW62" s="856"/>
      <c r="AX62" s="856"/>
      <c r="AY62" s="837"/>
      <c r="BB62" s="857"/>
      <c r="BC62" s="857"/>
      <c r="BF62" s="857"/>
      <c r="BG62" s="857"/>
    </row>
    <row r="63" spans="1:64" s="174" customFormat="1" ht="23" hidden="1">
      <c r="A63" s="172"/>
      <c r="B63" s="234" t="s">
        <v>889</v>
      </c>
      <c r="C63" s="524"/>
      <c r="D63" s="543" t="s">
        <v>5513</v>
      </c>
      <c r="E63" s="590" t="s">
        <v>5951</v>
      </c>
      <c r="F63" s="688" t="s">
        <v>7037</v>
      </c>
      <c r="G63" s="871"/>
      <c r="J63" s="217"/>
      <c r="K63"/>
      <c r="L63"/>
      <c r="M63" s="173"/>
      <c r="N63" s="173"/>
      <c r="O63"/>
      <c r="P63"/>
      <c r="Q63"/>
      <c r="R63"/>
      <c r="S63"/>
      <c r="T63"/>
      <c r="Z63" s="729"/>
      <c r="AA63" s="768"/>
      <c r="AB63" s="768"/>
      <c r="AC63" s="801"/>
      <c r="AE63" s="477"/>
      <c r="AF63" s="477"/>
      <c r="AG63" s="477"/>
      <c r="AI63" s="483"/>
      <c r="AJ63" s="483"/>
      <c r="AK63" s="485"/>
      <c r="AM63" s="477"/>
      <c r="AN63" s="477"/>
      <c r="AO63" s="464"/>
      <c r="AQ63" s="844"/>
      <c r="AR63" s="835"/>
      <c r="AS63" s="835"/>
      <c r="AT63" s="845"/>
      <c r="AU63" s="844"/>
      <c r="AV63" s="628"/>
      <c r="AW63" s="856"/>
      <c r="AX63" s="856"/>
      <c r="AY63" s="628"/>
      <c r="AZ63" s="717"/>
      <c r="BA63" s="855"/>
      <c r="BB63" s="857"/>
      <c r="BC63" s="857"/>
      <c r="BD63" s="855"/>
      <c r="BE63" s="855"/>
      <c r="BF63" s="857"/>
      <c r="BG63" s="857"/>
      <c r="BH63" s="855"/>
      <c r="BI63" s="844"/>
      <c r="BJ63" s="844"/>
      <c r="BK63" s="844"/>
      <c r="BL63" s="844"/>
    </row>
    <row r="64" spans="1:64" hidden="1">
      <c r="B64" s="235" t="e">
        <f>'Data Entry - SOF'!#REF!</f>
        <v>#REF!</v>
      </c>
      <c r="D64" s="544" t="e">
        <f>'Data Entry - SOF'!#REF!</f>
        <v>#REF!</v>
      </c>
      <c r="E64" s="591" t="e">
        <f>'Data Entry - SOF'!#REF!</f>
        <v>#REF!</v>
      </c>
      <c r="F64" s="689" t="e">
        <f>'Data Entry - SOF'!#REF!</f>
        <v>#REF!</v>
      </c>
      <c r="G64" s="871"/>
      <c r="J64" s="217"/>
      <c r="T64"/>
      <c r="AA64" s="768"/>
      <c r="AB64" s="768"/>
      <c r="AE64" s="477"/>
      <c r="AF64" s="477"/>
      <c r="AG64" s="477"/>
      <c r="AI64" s="483"/>
      <c r="AJ64" s="483"/>
      <c r="AK64" s="484"/>
      <c r="AM64" s="477"/>
      <c r="AN64" s="477"/>
      <c r="AO64" s="463"/>
      <c r="AR64" s="835"/>
      <c r="AS64" s="835"/>
      <c r="AT64" s="837"/>
      <c r="AW64" s="856"/>
      <c r="AX64" s="856"/>
      <c r="AY64" s="837"/>
      <c r="BB64" s="857"/>
      <c r="BC64" s="857"/>
      <c r="BF64" s="857"/>
      <c r="BG64" s="857"/>
    </row>
    <row r="65" spans="1:64" hidden="1">
      <c r="B65" s="235"/>
      <c r="D65" s="544" t="e">
        <f>D64-B64</f>
        <v>#REF!</v>
      </c>
      <c r="E65" s="591" t="e">
        <f>E64-B64</f>
        <v>#REF!</v>
      </c>
      <c r="F65" s="689" t="e">
        <f>F64-B64</f>
        <v>#REF!</v>
      </c>
      <c r="G65" s="871"/>
      <c r="J65" s="217"/>
      <c r="T65"/>
      <c r="Y65" s="27"/>
      <c r="AI65" s="484"/>
      <c r="AJ65" s="484"/>
      <c r="AK65" s="484"/>
    </row>
    <row r="66" spans="1:64" hidden="1">
      <c r="B66" s="236"/>
      <c r="D66" s="545"/>
      <c r="E66" s="592"/>
      <c r="F66" s="690"/>
      <c r="G66" s="871"/>
      <c r="J66" s="217"/>
      <c r="T66"/>
      <c r="Y66" s="27"/>
      <c r="AI66" s="484"/>
      <c r="AJ66" s="484"/>
      <c r="AK66" s="484"/>
    </row>
    <row r="67" spans="1:64" hidden="1">
      <c r="B67" s="235"/>
      <c r="D67" s="545"/>
      <c r="E67" s="592"/>
      <c r="F67" s="690"/>
      <c r="G67" s="871"/>
      <c r="J67" s="217"/>
      <c r="T67"/>
      <c r="Y67" s="27"/>
      <c r="AI67" s="484"/>
      <c r="AJ67" s="484"/>
      <c r="AK67" s="484"/>
    </row>
    <row r="68" spans="1:64" hidden="1">
      <c r="B68" s="237"/>
      <c r="D68" s="545"/>
      <c r="E68" s="592"/>
      <c r="F68" s="690"/>
      <c r="G68" s="871"/>
      <c r="H68" s="217"/>
      <c r="I68" s="217"/>
      <c r="J68" s="217"/>
      <c r="T68"/>
      <c r="Y68" s="27"/>
      <c r="AI68" s="484"/>
      <c r="AJ68" s="484"/>
      <c r="AK68" s="484"/>
    </row>
    <row r="69" spans="1:64" s="214" customFormat="1" ht="17.5" hidden="1">
      <c r="A69" s="213"/>
      <c r="B69" s="240" t="s">
        <v>1026</v>
      </c>
      <c r="C69" s="524"/>
      <c r="D69" s="545"/>
      <c r="E69" s="592"/>
      <c r="F69" s="690"/>
      <c r="G69" s="871"/>
      <c r="H69" s="217"/>
      <c r="I69" s="217"/>
      <c r="J69" s="217"/>
      <c r="M69" s="215"/>
      <c r="N69" s="215"/>
      <c r="T69"/>
      <c r="Z69" s="802"/>
      <c r="AA69" s="802" t="s">
        <v>3310</v>
      </c>
      <c r="AB69" s="803" t="e">
        <f>IF('Data Entry - SOF'!#REF!-'Calc Data'!AA30&lt;=0,0,'Data Entry - SOF'!#REF!-'Calc Data'!AA30)</f>
        <v>#REF!</v>
      </c>
      <c r="AC69" s="804"/>
      <c r="AD69"/>
      <c r="AE69"/>
      <c r="AF69"/>
      <c r="AG69"/>
      <c r="AH69"/>
      <c r="AI69"/>
      <c r="AJ69"/>
      <c r="AK69"/>
      <c r="AL69"/>
      <c r="AM69"/>
      <c r="AN69"/>
      <c r="AO69"/>
      <c r="AP69"/>
      <c r="AQ69"/>
      <c r="AR69"/>
      <c r="AS69"/>
      <c r="AT69"/>
      <c r="AU69"/>
      <c r="AV69"/>
      <c r="AW69"/>
      <c r="AX69"/>
      <c r="AY69"/>
      <c r="AZ69"/>
      <c r="BA69"/>
      <c r="BB69"/>
      <c r="BC69" s="855" t="e">
        <f>IF('Data Entry - SOF'!#REF!-'Calc Data'!BB30&lt;=0,0,'Data Entry - SOF'!#REF!-'Calc Data'!BB30)</f>
        <v>#REF!</v>
      </c>
      <c r="BD69" s="855"/>
      <c r="BE69" s="2042"/>
      <c r="BF69" s="2042"/>
      <c r="BG69" s="855" t="e">
        <f>IF('Data Entry - SOF'!#REF!-'Calc Data'!BF30&lt;=0,0,'Data Entry - SOF'!#REF!-'Calc Data'!BF30)</f>
        <v>#REF!</v>
      </c>
      <c r="BH69" s="855"/>
      <c r="BI69" s="846"/>
      <c r="BJ69" s="846"/>
      <c r="BK69" s="846"/>
      <c r="BL69" s="846"/>
    </row>
    <row r="70" spans="1:64" hidden="1">
      <c r="A70" s="77"/>
      <c r="B70" s="235" t="e">
        <f>'Data Entry - SOF'!#REF!</f>
        <v>#REF!</v>
      </c>
      <c r="D70" s="544" t="e">
        <f>#REF!</f>
        <v>#REF!</v>
      </c>
      <c r="E70" s="591" t="e">
        <f>#REF!</f>
        <v>#REF!</v>
      </c>
      <c r="F70" s="689" t="e">
        <f>#REF!</f>
        <v>#REF!</v>
      </c>
      <c r="G70" s="871"/>
      <c r="H70" s="217"/>
      <c r="I70" s="217"/>
      <c r="J70" s="217"/>
      <c r="T70"/>
      <c r="AA70" s="771" t="s">
        <v>3311</v>
      </c>
      <c r="AB70" s="729" t="e">
        <f>IF(AB69&gt;0.06,0.06,AB69)</f>
        <v>#REF!</v>
      </c>
      <c r="AQ70"/>
      <c r="AR70"/>
      <c r="AS70"/>
      <c r="AT70"/>
      <c r="AU70"/>
      <c r="AV70"/>
      <c r="AW70"/>
      <c r="AX70"/>
      <c r="AY70"/>
      <c r="AZ70"/>
      <c r="BA70"/>
      <c r="BB70"/>
      <c r="BC70" s="855" t="e">
        <f>IF(BC69&gt;0.06,0.06,BC69)</f>
        <v>#REF!</v>
      </c>
      <c r="BE70" s="2042"/>
      <c r="BF70" s="2042"/>
      <c r="BG70" s="855" t="e">
        <f>IF(BG69&gt;0.06,0.06,BG69)</f>
        <v>#REF!</v>
      </c>
    </row>
    <row r="71" spans="1:64" hidden="1">
      <c r="A71" s="77"/>
      <c r="B71" s="238"/>
      <c r="D71" s="546" t="e">
        <f>D70-B70</f>
        <v>#REF!</v>
      </c>
      <c r="E71" s="593" t="e">
        <f>E70-B70</f>
        <v>#REF!</v>
      </c>
      <c r="F71" s="691" t="e">
        <f>F70-B70</f>
        <v>#REF!</v>
      </c>
      <c r="G71" s="871"/>
      <c r="H71" s="217"/>
      <c r="I71" s="217"/>
      <c r="J71" s="217"/>
      <c r="T71"/>
      <c r="AA71" s="771" t="s">
        <v>3312</v>
      </c>
      <c r="AB71" s="800" t="e">
        <f>AB70*100*AA35</f>
        <v>#REF!</v>
      </c>
      <c r="AQ71"/>
      <c r="AR71"/>
      <c r="AS71"/>
      <c r="AT71"/>
      <c r="AU71"/>
      <c r="AV71"/>
      <c r="AW71"/>
      <c r="AX71"/>
      <c r="AY71"/>
      <c r="AZ71"/>
      <c r="BA71"/>
      <c r="BB71"/>
      <c r="BC71" s="855" t="e">
        <f>BC70*100*BB35</f>
        <v>#REF!</v>
      </c>
      <c r="BE71" s="2042"/>
      <c r="BF71" s="2042"/>
      <c r="BG71" s="855" t="e">
        <f>BG70*100*BF35</f>
        <v>#REF!</v>
      </c>
    </row>
    <row r="72" spans="1:64" hidden="1">
      <c r="A72" s="77"/>
      <c r="B72" s="25" t="s">
        <v>7072</v>
      </c>
      <c r="D72" s="946" t="s">
        <v>5942</v>
      </c>
      <c r="E72" s="947" t="s">
        <v>5957</v>
      </c>
      <c r="F72" s="948" t="s">
        <v>7039</v>
      </c>
      <c r="G72" s="871"/>
      <c r="H72" s="217"/>
      <c r="I72" s="217"/>
      <c r="J72" s="217"/>
      <c r="T72"/>
      <c r="AA72" s="769"/>
      <c r="AB72" s="768"/>
      <c r="AQ72"/>
      <c r="AR72"/>
      <c r="AS72"/>
      <c r="AT72"/>
      <c r="AU72"/>
      <c r="AV72"/>
      <c r="AW72"/>
      <c r="AX72"/>
      <c r="AY72"/>
      <c r="AZ72"/>
      <c r="BA72"/>
      <c r="BB72"/>
      <c r="BC72" s="857"/>
      <c r="BE72" s="2042"/>
      <c r="BF72" s="2042"/>
      <c r="BG72" s="857"/>
    </row>
    <row r="73" spans="1:64" hidden="1">
      <c r="A73" s="77"/>
      <c r="B73" t="s">
        <v>5332</v>
      </c>
      <c r="D73" s="547" t="e">
        <f>MIN('Data Entry - SOF'!#REF!,'Data Entry - SOF'!#REF!)</f>
        <v>#REF!</v>
      </c>
      <c r="E73" s="594" t="e">
        <f>MIN('Data Entry - SOF'!#REF!,'Data Entry - SOF'!#REF!)</f>
        <v>#REF!</v>
      </c>
      <c r="F73" s="692" t="e">
        <f>MIN('Data Entry - SOF'!#REF!,'Data Entry - SOF'!#REF!)</f>
        <v>#REF!</v>
      </c>
      <c r="G73" s="871"/>
      <c r="H73" s="217"/>
      <c r="I73" s="217"/>
      <c r="J73" s="217"/>
      <c r="T73"/>
      <c r="Z73" s="805" t="s">
        <v>3339</v>
      </c>
      <c r="AA73" s="769" t="s">
        <v>2816</v>
      </c>
      <c r="AB73" s="806"/>
      <c r="AD73" s="58" t="s">
        <v>3339</v>
      </c>
      <c r="AE73" s="43" t="s">
        <v>2838</v>
      </c>
      <c r="AF73" s="1012"/>
      <c r="AQ73"/>
      <c r="AR73"/>
      <c r="AS73"/>
      <c r="AT73"/>
      <c r="AU73"/>
      <c r="AV73"/>
      <c r="AW73"/>
      <c r="AX73"/>
      <c r="AY73"/>
      <c r="AZ73"/>
      <c r="BA73"/>
      <c r="BB73"/>
      <c r="BC73" s="857"/>
      <c r="BE73" s="2042"/>
      <c r="BF73" s="2042"/>
      <c r="BG73" s="857"/>
    </row>
    <row r="74" spans="1:64" hidden="1">
      <c r="A74" s="77"/>
      <c r="B74" t="s">
        <v>5333</v>
      </c>
      <c r="D74" s="538" t="e">
        <f>'HH2122-Calcs'!#REF!</f>
        <v>#REF!</v>
      </c>
      <c r="E74" s="595" t="e">
        <f>'HH2223-40KCalcs'!#REF!</f>
        <v>#REF!</v>
      </c>
      <c r="F74" s="693" t="e">
        <f>#REF!</f>
        <v>#REF!</v>
      </c>
      <c r="G74" s="871"/>
      <c r="H74" s="217"/>
      <c r="I74" s="217"/>
      <c r="J74" s="217"/>
      <c r="T74"/>
      <c r="Z74" s="805" t="s">
        <v>5327</v>
      </c>
      <c r="AA74" s="807" t="e">
        <f>IF('Data Entry - SOF'!#REF!&gt;=1.5,Assumptions!G88,IF(AA79&gt;=AA80,Assumptions!G88,Assumptions!G88*(('Data Entry - SOF'!#REF!+(AA79/100))/1)))</f>
        <v>#REF!</v>
      </c>
      <c r="AB74" s="806"/>
      <c r="AE74" s="1352" t="e">
        <f>IF('Data Entry - SOF'!#REF!&gt;=1,Assumptions!G117,IF(AE79&gt;=AE80,Assumptions!G117,Assumptions!G117*(('Data Entry - SOF'!#REF!+(AE79/100))/1)))</f>
        <v>#REF!</v>
      </c>
      <c r="AF74" s="1012"/>
      <c r="AQ74"/>
      <c r="AR74"/>
      <c r="AS74"/>
      <c r="AT74"/>
      <c r="AU74"/>
      <c r="AV74"/>
      <c r="AW74"/>
      <c r="AX74"/>
      <c r="AY74"/>
      <c r="AZ74"/>
      <c r="BA74"/>
      <c r="BB74"/>
      <c r="BE74" s="2042"/>
      <c r="BF74" s="2042"/>
    </row>
    <row r="75" spans="1:64" hidden="1">
      <c r="A75" s="77"/>
      <c r="B75" t="s">
        <v>5329</v>
      </c>
      <c r="D75" s="548" t="e">
        <f t="shared" ref="D75" si="9">D74/(D73*100)</f>
        <v>#REF!</v>
      </c>
      <c r="E75" s="596" t="e">
        <f>E74/(E73*100)</f>
        <v>#REF!</v>
      </c>
      <c r="F75" s="694" t="e">
        <f>F74/(F73*100)</f>
        <v>#REF!</v>
      </c>
      <c r="G75" s="871"/>
      <c r="H75" s="217"/>
      <c r="I75" s="217"/>
      <c r="J75" s="217"/>
      <c r="T75"/>
      <c r="Z75" s="771" t="s">
        <v>3295</v>
      </c>
      <c r="AA75" s="808" t="e">
        <f>ROUND(AA74*(((#REF!-1)*Weights!H44)+1),0)</f>
        <v>#REF!</v>
      </c>
      <c r="AB75" s="806"/>
      <c r="AD75" s="27" t="s">
        <v>3295</v>
      </c>
      <c r="AE75" s="1353" t="e">
        <f>ROUND(AE74*(((#REF!-1)*Weights!J44)+1),0)</f>
        <v>#REF!</v>
      </c>
      <c r="AF75" s="1012"/>
      <c r="AQ75"/>
      <c r="AR75"/>
      <c r="AS75"/>
      <c r="AT75"/>
      <c r="AU75"/>
      <c r="AV75"/>
      <c r="AW75"/>
      <c r="AX75"/>
      <c r="AY75"/>
      <c r="AZ75"/>
      <c r="BA75"/>
      <c r="BB75"/>
      <c r="BE75" s="2042"/>
      <c r="BF75" s="2042"/>
    </row>
    <row r="76" spans="1:64" hidden="1">
      <c r="A76" s="77"/>
      <c r="B76" t="s">
        <v>602</v>
      </c>
      <c r="D76" s="548" t="e">
        <f>D75*IF(D73&lt;'Data Entry - SOF'!C123,(D73*100),('Data Entry - SOF'!C123*100))</f>
        <v>#REF!</v>
      </c>
      <c r="E76" s="596" t="e">
        <f>E75*IF(E73&lt;'Data Entry - SOF'!E123,(E73*100),('Data Entry - SOF'!E123*100))</f>
        <v>#REF!</v>
      </c>
      <c r="F76" s="694" t="e">
        <f>F75*IF(F73&lt;'Data Entry - SOF'!G123,(F73*100),('Data Entry - SOF'!G123*100))</f>
        <v>#REF!</v>
      </c>
      <c r="G76" s="871"/>
      <c r="H76" s="217"/>
      <c r="I76" s="217"/>
      <c r="J76" s="217"/>
      <c r="T76"/>
      <c r="Z76" s="771" t="s">
        <v>2651</v>
      </c>
      <c r="AA76" s="808" t="e">
        <f>ROUND(IF(#REF!&gt;1600,AA75,(1+(1600-IF(#REF!&gt;#REF!,#REF!,#REF!))*#REF!)*AA75),0)</f>
        <v>#REF!</v>
      </c>
      <c r="AB76" s="806"/>
      <c r="AD76" s="27" t="s">
        <v>2651</v>
      </c>
      <c r="AE76" s="1353" t="e">
        <f>ROUND(IF(#REF!&gt;1600,AE75,(1+(1600-IF(#REF!&gt;#REF!,#REF!,#REF!))*#REF!)*AE75),0)</f>
        <v>#REF!</v>
      </c>
      <c r="AF76" s="1012"/>
      <c r="AQ76"/>
      <c r="AR76"/>
      <c r="AS76"/>
      <c r="AT76"/>
      <c r="AU76"/>
      <c r="AV76"/>
      <c r="AW76"/>
      <c r="AX76"/>
      <c r="AY76"/>
      <c r="AZ76"/>
      <c r="BA76"/>
      <c r="BB76"/>
      <c r="BE76" s="2042"/>
      <c r="BF76" s="2042"/>
    </row>
    <row r="77" spans="1:64" hidden="1">
      <c r="A77" s="77"/>
      <c r="B77" s="474" t="s">
        <v>5321</v>
      </c>
      <c r="D77" s="549" t="e">
        <f>('HH2122-Calcs'!#REF!-#REF!-'Data Entry - SOF'!#REF!)/(D73*100)</f>
        <v>#REF!</v>
      </c>
      <c r="E77" s="597" t="e">
        <f>('HH2223-40KCalcs'!#REF!-#REF!-'Data Entry - SOF'!#REF!)/(E73*100)</f>
        <v>#REF!</v>
      </c>
      <c r="F77" s="695" t="e">
        <f>(#REF!-#REF!-'Data Entry - SOF'!#REF!)/(F73*100)</f>
        <v>#REF!</v>
      </c>
      <c r="G77" s="870"/>
      <c r="H77" s="217"/>
      <c r="I77" s="217"/>
      <c r="J77" s="217"/>
      <c r="T77"/>
      <c r="Z77" s="771" t="s">
        <v>2652</v>
      </c>
      <c r="AA77" s="808" t="e">
        <f>ROUND(IF(OR(#REF!&gt;4999.999,'Data Entry - SOF'!#REF!&lt;12),0,(1+((5000-#REF!)*Weights!H42))*AA75),0)</f>
        <v>#REF!</v>
      </c>
      <c r="AB77" s="806"/>
      <c r="AD77" s="27" t="s">
        <v>2652</v>
      </c>
      <c r="AE77" s="1353" t="e">
        <f>ROUND(IF(OR(#REF!&gt;4999.999,'Data Entry - SOF'!#REF!&lt;12),0,(1+((5000-#REF!)*Weights!J42))*AE75),0)</f>
        <v>#REF!</v>
      </c>
      <c r="AF77" s="1012"/>
      <c r="AQ77"/>
      <c r="AR77"/>
      <c r="AS77"/>
      <c r="AT77"/>
      <c r="AU77"/>
      <c r="AV77"/>
      <c r="AW77"/>
      <c r="AX77"/>
      <c r="AY77"/>
      <c r="AZ77"/>
      <c r="BA77"/>
      <c r="BB77"/>
      <c r="BE77" s="2042"/>
      <c r="BF77" s="2042"/>
    </row>
    <row r="78" spans="1:64" hidden="1">
      <c r="A78" s="77"/>
      <c r="B78" s="474" t="s">
        <v>5322</v>
      </c>
      <c r="D78" s="549" t="e">
        <f>D77*IF(D73&lt;'Data Entry - SOF'!C123,(D73*100),('Data Entry - SOF'!C123*100))</f>
        <v>#REF!</v>
      </c>
      <c r="E78" s="597" t="e">
        <f>E77*IF(E73&lt;'Data Entry - SOF'!E123,(E73*100),('Data Entry - SOF'!E123*100))</f>
        <v>#REF!</v>
      </c>
      <c r="F78" s="695" t="e">
        <f>F77*IF(F73&lt;'Data Entry - SOF'!G123,(F73*100),('Data Entry - SOF'!G123*100))</f>
        <v>#REF!</v>
      </c>
      <c r="G78" s="871"/>
      <c r="H78" s="217"/>
      <c r="I78" s="217"/>
      <c r="J78" s="217"/>
      <c r="T78"/>
      <c r="Z78" s="771" t="s">
        <v>3293</v>
      </c>
      <c r="AA78" s="808" t="e">
        <f>IF(AND(AA77&gt;=AA76,AA77&gt;=AA75),AA77,IF(AND(AA76&gt;=AA75,AA76&gt;=AA77),AA76,AA75))</f>
        <v>#REF!</v>
      </c>
      <c r="AB78" s="806"/>
      <c r="AD78" s="27" t="s">
        <v>3293</v>
      </c>
      <c r="AE78" s="1353" t="e">
        <f>IF(AND(AE77&gt;=AE76,AE77&gt;=AE75),AE77,IF(AND(AE76&gt;=AE75,AE76&gt;=AE77),AE76,AE75))</f>
        <v>#REF!</v>
      </c>
      <c r="AF78" s="1012"/>
      <c r="AQ78"/>
      <c r="AR78"/>
      <c r="AS78"/>
      <c r="AT78"/>
      <c r="AU78"/>
      <c r="AV78"/>
      <c r="AW78"/>
      <c r="AX78"/>
      <c r="AY78"/>
      <c r="AZ78"/>
      <c r="BA78"/>
      <c r="BB78"/>
      <c r="BE78" s="2042"/>
      <c r="BF78" s="2042"/>
    </row>
    <row r="79" spans="1:64" hidden="1">
      <c r="A79" s="77"/>
      <c r="B79" t="s">
        <v>1695</v>
      </c>
      <c r="D79" s="550" t="e">
        <f>IF(D73&lt;='Data Entry - SOF'!C123,0,IF(D73&gt;'Data Entry - SOF'!C123+0.06,0.06*100,(D73-'Data Entry - SOF'!C123)*100))</f>
        <v>#REF!</v>
      </c>
      <c r="E79" s="598" t="e">
        <f>IF(E73&lt;='Data Entry - SOF'!E123,0,IF(E73&gt;'Data Entry - SOF'!E123+0.06,0.06*100,(E73-'Data Entry - SOF'!E123)*100))</f>
        <v>#REF!</v>
      </c>
      <c r="F79" s="696" t="e">
        <f>IF(F73&lt;='Data Entry - SOF'!G123,0,IF(F73&gt;'Data Entry - SOF'!G123+0.06,0.06*100,(F73-'Data Entry - SOF'!G123)*100))</f>
        <v>#REF!</v>
      </c>
      <c r="G79" s="871"/>
      <c r="H79" s="217"/>
      <c r="I79" s="217"/>
      <c r="J79" s="217"/>
      <c r="O79" s="100"/>
      <c r="P79" s="100"/>
      <c r="Q79" s="100"/>
      <c r="T79"/>
      <c r="Z79" s="771" t="s">
        <v>3283</v>
      </c>
      <c r="AA79" s="774" t="e">
        <f>IF(AA81-'Data Entry - SOF'!#REF!&gt;0.06,(AA81-('Data Entry - SOF'!#REF!+0.06))*100,0)</f>
        <v>#REF!</v>
      </c>
      <c r="AB79" s="806"/>
      <c r="AD79" s="27" t="s">
        <v>3283</v>
      </c>
      <c r="AE79" s="1354" t="e">
        <f>IF(AE81-'Data Entry - SOF'!#REF!&gt;0.06,(AE81-('Data Entry - SOF'!#REF!+0.06))*100,0)</f>
        <v>#REF!</v>
      </c>
      <c r="AF79" s="1012"/>
      <c r="AQ79"/>
      <c r="AR79"/>
      <c r="AS79"/>
      <c r="AT79"/>
      <c r="AU79"/>
      <c r="AV79"/>
      <c r="AW79"/>
      <c r="AX79"/>
      <c r="AY79"/>
      <c r="AZ79"/>
      <c r="BA79"/>
      <c r="BB79"/>
      <c r="BE79" s="2042"/>
      <c r="BF79" s="2042"/>
    </row>
    <row r="80" spans="1:64" hidden="1">
      <c r="A80" s="77"/>
      <c r="B80" t="s">
        <v>1696</v>
      </c>
      <c r="D80" s="538" t="e">
        <f t="shared" ref="D80" si="10">D79*D75</f>
        <v>#REF!</v>
      </c>
      <c r="E80" s="595" t="e">
        <f>E79*E75</f>
        <v>#REF!</v>
      </c>
      <c r="F80" s="693" t="e">
        <f>F79*F75</f>
        <v>#REF!</v>
      </c>
      <c r="G80" s="871"/>
      <c r="H80" s="217"/>
      <c r="I80" s="217"/>
      <c r="J80" s="217"/>
      <c r="O80" s="100"/>
      <c r="P80" s="100"/>
      <c r="T80"/>
      <c r="Z80" s="771" t="s">
        <v>3282</v>
      </c>
      <c r="AA80" s="809" t="e">
        <f>ROUNDDOWN(IF('Data Entry - SOF'!#REF!&gt;=1,0,(1 -'Data Entry - SOF'!#REF!)*100),4)</f>
        <v>#REF!</v>
      </c>
      <c r="AB80" s="806"/>
      <c r="AD80" s="27" t="s">
        <v>3282</v>
      </c>
      <c r="AE80" s="1355" t="e">
        <f>ROUNDDOWN(IF('Data Entry - SOF'!#REF!&gt;=1,0,(1 -'Data Entry - SOF'!#REF!)*100),4)</f>
        <v>#REF!</v>
      </c>
      <c r="AF80" s="1012"/>
      <c r="AQ80"/>
      <c r="AR80"/>
      <c r="AS80"/>
      <c r="AT80"/>
      <c r="AU80"/>
      <c r="AV80"/>
      <c r="AW80"/>
      <c r="AX80"/>
      <c r="AY80"/>
      <c r="AZ80"/>
      <c r="BA80"/>
      <c r="BB80"/>
      <c r="BE80" s="2042"/>
      <c r="BF80" s="2042"/>
    </row>
    <row r="81" spans="1:64" hidden="1">
      <c r="A81" s="77"/>
      <c r="B81" s="25" t="s">
        <v>743</v>
      </c>
      <c r="D81" s="550" t="e">
        <f>ROUND(((D79*D75)/'Data Entry - SOF'!C63)*100,4)</f>
        <v>#REF!</v>
      </c>
      <c r="E81" s="598" t="e">
        <f>ROUND(((E79*E75)/'Data Entry - SOF'!E63)*100,4)</f>
        <v>#REF!</v>
      </c>
      <c r="F81" s="696" t="e">
        <f>ROUND(((F79*F75)/'Data Entry - SOF'!G63)*100,4)</f>
        <v>#REF!</v>
      </c>
      <c r="G81" s="871"/>
      <c r="H81" s="217"/>
      <c r="I81" s="217"/>
      <c r="J81" s="217"/>
      <c r="O81" s="100"/>
      <c r="P81" s="100"/>
      <c r="T81"/>
      <c r="Z81" s="776"/>
      <c r="AA81" s="810" t="e">
        <f>MIN('Data Entry - SOF'!#REF!,'Data Entry - SOF'!#REF!)</f>
        <v>#REF!</v>
      </c>
      <c r="AB81" s="811" t="s">
        <v>5328</v>
      </c>
      <c r="AD81" s="169"/>
      <c r="AE81" s="1356" t="e">
        <f>MIN('Data Entry - SOF'!#REF!,'Data Entry - SOF'!#REF!)</f>
        <v>#REF!</v>
      </c>
      <c r="AF81" s="55" t="s">
        <v>5328</v>
      </c>
      <c r="AQ81"/>
      <c r="AR81"/>
      <c r="AS81"/>
      <c r="AT81"/>
      <c r="AU81"/>
      <c r="AV81"/>
      <c r="AW81"/>
      <c r="AX81"/>
      <c r="AY81"/>
      <c r="AZ81"/>
      <c r="BA81"/>
      <c r="BB81"/>
      <c r="BC81" s="858" t="s">
        <v>5328</v>
      </c>
      <c r="BE81" s="2042"/>
      <c r="BF81" s="2042"/>
      <c r="BG81" s="858" t="s">
        <v>5328</v>
      </c>
    </row>
    <row r="82" spans="1:64" hidden="1">
      <c r="A82" s="77"/>
      <c r="B82" t="s">
        <v>1158</v>
      </c>
      <c r="D82" s="550" t="e">
        <f>IF(D73-'Data Entry - SOF'!C123&gt;0.06,(D73-('Data Entry - SOF'!C123+0.06))*100,0)</f>
        <v>#REF!</v>
      </c>
      <c r="E82" s="598" t="e">
        <f>IF(E73-'Data Entry - SOF'!E123&gt;0.06,(E73-('Data Entry - SOF'!E123+0.06))*100,0)</f>
        <v>#REF!</v>
      </c>
      <c r="F82" s="696" t="e">
        <f>IF(F73-'Data Entry - SOF'!G123&gt;0.06,(F73-('Data Entry - SOF'!G123+0.06))*100,0)</f>
        <v>#REF!</v>
      </c>
      <c r="G82" s="871"/>
      <c r="H82" s="217"/>
      <c r="I82" s="217"/>
      <c r="J82" s="217"/>
      <c r="O82" s="100"/>
      <c r="P82" s="100"/>
      <c r="T82"/>
      <c r="AA82" s="812"/>
      <c r="AB82" s="806"/>
      <c r="AE82" s="1357"/>
      <c r="AF82" s="1012"/>
      <c r="AQ82"/>
      <c r="AR82"/>
      <c r="AS82"/>
      <c r="AT82"/>
      <c r="AU82"/>
      <c r="AV82"/>
      <c r="AW82"/>
      <c r="AX82"/>
      <c r="AY82"/>
      <c r="AZ82"/>
      <c r="BA82"/>
      <c r="BB82"/>
      <c r="BE82" s="2042"/>
      <c r="BF82" s="2042"/>
    </row>
    <row r="83" spans="1:64" hidden="1">
      <c r="A83" s="77"/>
      <c r="B83" t="s">
        <v>933</v>
      </c>
      <c r="D83" s="538" t="e">
        <f t="shared" ref="D83" si="11">D82*D75</f>
        <v>#REF!</v>
      </c>
      <c r="E83" s="595" t="e">
        <f>E82*E75</f>
        <v>#REF!</v>
      </c>
      <c r="F83" s="693" t="e">
        <f>F82*F75</f>
        <v>#REF!</v>
      </c>
      <c r="G83" s="871"/>
      <c r="H83" s="217"/>
      <c r="I83" s="217"/>
      <c r="J83" s="217"/>
      <c r="M83" s="74"/>
      <c r="N83" s="2043"/>
      <c r="O83" s="74"/>
      <c r="T83"/>
      <c r="Z83" s="771" t="s">
        <v>8385</v>
      </c>
      <c r="AA83" s="809" t="e">
        <f>IF(AA79-AA80&lt;=0,0,AA79-AA80)</f>
        <v>#REF!</v>
      </c>
      <c r="AB83" s="806"/>
      <c r="AD83" s="27" t="s">
        <v>8385</v>
      </c>
      <c r="AE83" s="1358" t="e">
        <f>IF(AE79-AE80&lt;=0,0,AE79-AE80)</f>
        <v>#REF!</v>
      </c>
      <c r="AF83" s="1012"/>
      <c r="AQ83"/>
      <c r="AR83"/>
      <c r="AS83"/>
      <c r="AT83"/>
      <c r="AU83"/>
      <c r="AV83"/>
      <c r="AW83"/>
      <c r="AX83"/>
      <c r="AY83"/>
      <c r="AZ83"/>
      <c r="BA83"/>
      <c r="BB83"/>
      <c r="BE83" s="2042"/>
      <c r="BF83" s="2042"/>
    </row>
    <row r="84" spans="1:64" hidden="1">
      <c r="A84" s="77"/>
      <c r="B84" s="25" t="s">
        <v>746</v>
      </c>
      <c r="D84" s="550" t="e">
        <f>ROUND(((D82*D75)/'Data Entry - SOF'!C63)*100,4)</f>
        <v>#REF!</v>
      </c>
      <c r="E84" s="598" t="e">
        <f>ROUND(((E82*E75)/'Data Entry - SOF'!E63)*100,4)</f>
        <v>#REF!</v>
      </c>
      <c r="F84" s="696" t="e">
        <f>ROUND(((F82*F75)/'Data Entry - SOF'!G63)*100,4)</f>
        <v>#REF!</v>
      </c>
      <c r="G84" s="871"/>
      <c r="H84" s="217"/>
      <c r="I84" s="217"/>
      <c r="J84" s="217"/>
      <c r="M84" s="74"/>
      <c r="N84" s="2043"/>
      <c r="O84" s="74"/>
      <c r="T84"/>
      <c r="Z84" s="771" t="s">
        <v>3284</v>
      </c>
      <c r="AA84" s="813" t="e">
        <f>ROUND(IF((AA83*AA91)/'Data Entry - SOF'!#REF!*100&gt;0.17,0.17,(AA83*AA91)/'Data Entry - SOF'!#REF!*100),4)</f>
        <v>#REF!</v>
      </c>
      <c r="AB84" s="806"/>
      <c r="AD84" s="27" t="s">
        <v>3284</v>
      </c>
      <c r="AE84" s="1359" t="e">
        <f>ROUND(IF((((AE83*AF35)/'Data Entry - SOF'!#REF!)*100)&gt;0.17,0.17,((AE83*AF35)/'Data Entry - SOF'!#REF!)*100),4)</f>
        <v>#REF!</v>
      </c>
      <c r="AF84" s="1012"/>
      <c r="AQ84"/>
      <c r="AR84"/>
      <c r="AS84"/>
      <c r="AT84"/>
      <c r="AU84"/>
      <c r="AV84"/>
      <c r="AW84"/>
      <c r="AX84"/>
      <c r="AY84"/>
      <c r="AZ84"/>
      <c r="BA84"/>
      <c r="BB84"/>
      <c r="BE84" s="2042"/>
      <c r="BF84" s="2042"/>
    </row>
    <row r="85" spans="1:64" hidden="1">
      <c r="A85" s="77"/>
      <c r="B85" s="25"/>
      <c r="D85" s="551"/>
      <c r="E85" s="599"/>
      <c r="F85" s="697"/>
      <c r="G85" s="871"/>
      <c r="H85" s="217"/>
      <c r="I85" s="217"/>
      <c r="J85" s="217"/>
      <c r="M85"/>
      <c r="N85" s="2042"/>
      <c r="T85"/>
      <c r="Z85" s="771" t="s">
        <v>3285</v>
      </c>
      <c r="AA85" s="814" t="e">
        <f>'Data Entry - SOF'!#REF!+IF(AA79&lt;AA80,(AA79/100),(AA80/100))</f>
        <v>#REF!</v>
      </c>
      <c r="AB85" s="806"/>
      <c r="AD85" s="27" t="s">
        <v>3285</v>
      </c>
      <c r="AE85" s="1359" t="e">
        <f>'Data Entry - SOF'!#REF!+IF(AE79&lt;AE80,(AE79/100),(AE80/100))</f>
        <v>#REF!</v>
      </c>
      <c r="AF85" s="1012"/>
      <c r="AQ85"/>
      <c r="AR85"/>
      <c r="AS85"/>
      <c r="AT85"/>
      <c r="AU85"/>
      <c r="AV85"/>
      <c r="AW85"/>
      <c r="AX85"/>
      <c r="AY85"/>
      <c r="AZ85"/>
      <c r="BA85"/>
      <c r="BB85"/>
      <c r="BE85" s="2042"/>
      <c r="BF85" s="2042"/>
    </row>
    <row r="86" spans="1:64" hidden="1">
      <c r="A86" s="77"/>
      <c r="D86" s="551"/>
      <c r="E86" s="599"/>
      <c r="F86" s="697"/>
      <c r="G86" s="871"/>
      <c r="H86" s="217"/>
      <c r="I86" s="217"/>
      <c r="J86" s="217"/>
      <c r="T86"/>
      <c r="Z86" s="771" t="s">
        <v>3286</v>
      </c>
      <c r="AA86" s="815" t="e">
        <f>AA83*AA91</f>
        <v>#REF!</v>
      </c>
      <c r="AB86" s="806"/>
      <c r="AD86" s="27" t="s">
        <v>3286</v>
      </c>
      <c r="AE86" s="1360" t="e">
        <f>AE83*AE91</f>
        <v>#REF!</v>
      </c>
      <c r="AF86" s="1012"/>
      <c r="AQ86"/>
      <c r="AR86"/>
      <c r="AS86"/>
      <c r="AT86"/>
      <c r="AU86"/>
      <c r="AV86"/>
      <c r="AW86"/>
      <c r="AX86"/>
      <c r="AY86"/>
      <c r="AZ86"/>
      <c r="BA86"/>
      <c r="BB86"/>
      <c r="BE86" s="2042"/>
      <c r="BF86" s="2042"/>
    </row>
    <row r="87" spans="1:64" hidden="1">
      <c r="A87" s="77"/>
      <c r="D87" s="551"/>
      <c r="E87" s="599"/>
      <c r="F87" s="697"/>
      <c r="G87" s="871"/>
      <c r="H87" s="217"/>
      <c r="I87" s="217"/>
      <c r="J87" s="217"/>
      <c r="T87"/>
      <c r="Z87" s="805" t="s">
        <v>3287</v>
      </c>
      <c r="AA87" s="815" t="e">
        <f>AA91*IF(AA81&lt;='Calc Data'!AA85,(AA81*100),('Calc Data'!AA85*100))</f>
        <v>#REF!</v>
      </c>
      <c r="AB87" s="806"/>
      <c r="AD87" s="58" t="s">
        <v>3287</v>
      </c>
      <c r="AE87" s="1360" t="e">
        <f>AE91*IF(AE81&lt;='Calc Data'!AE85,(AE81*100),('Calc Data'!AE85*100))</f>
        <v>#REF!</v>
      </c>
      <c r="AF87" s="1361"/>
      <c r="AQ87"/>
      <c r="AR87"/>
      <c r="AS87"/>
      <c r="AT87"/>
      <c r="AU87"/>
      <c r="AV87"/>
      <c r="AW87"/>
      <c r="AX87"/>
      <c r="AY87"/>
      <c r="AZ87"/>
      <c r="BA87"/>
      <c r="BB87"/>
      <c r="BE87" s="2042"/>
      <c r="BF87" s="2042"/>
    </row>
    <row r="88" spans="1:64" hidden="1">
      <c r="B88" s="102" t="s">
        <v>744</v>
      </c>
      <c r="D88" s="538" t="e">
        <f>D81*('Data Entry - SOF'!C63/100)</f>
        <v>#REF!</v>
      </c>
      <c r="E88" s="595" t="e">
        <f>E81*('Data Entry - SOF'!E63/100)</f>
        <v>#REF!</v>
      </c>
      <c r="F88" s="693" t="e">
        <f>F81*('Data Entry - SOF'!G63/100)</f>
        <v>#REF!</v>
      </c>
      <c r="G88" s="871"/>
      <c r="H88" s="217"/>
      <c r="I88" s="217"/>
      <c r="J88" s="217"/>
      <c r="T88"/>
      <c r="Z88" s="771" t="s">
        <v>3294</v>
      </c>
      <c r="AA88" s="816" t="e">
        <f>AA84*('Data Entry - SOF'!#REF!/100)</f>
        <v>#REF!</v>
      </c>
      <c r="AB88" s="806"/>
      <c r="AD88" s="27" t="s">
        <v>3294</v>
      </c>
      <c r="AE88" s="1360" t="e">
        <f>AE84*('Data Entry - SOF'!#REF!/100)</f>
        <v>#REF!</v>
      </c>
      <c r="AF88" s="1012"/>
      <c r="AQ88"/>
      <c r="AR88"/>
      <c r="AS88"/>
      <c r="AT88"/>
      <c r="AU88"/>
      <c r="AV88"/>
      <c r="AW88"/>
      <c r="AX88"/>
      <c r="AY88"/>
      <c r="AZ88"/>
      <c r="BA88"/>
      <c r="BB88"/>
      <c r="BE88" s="2042"/>
      <c r="BF88" s="2042"/>
    </row>
    <row r="89" spans="1:64" hidden="1">
      <c r="B89" s="102" t="s">
        <v>745</v>
      </c>
      <c r="D89" s="538" t="e">
        <f>D84*('Data Entry - SOF'!C63/100)</f>
        <v>#REF!</v>
      </c>
      <c r="E89" s="595" t="e">
        <f>E84*('Data Entry - SOF'!E63/100)</f>
        <v>#REF!</v>
      </c>
      <c r="F89" s="693" t="e">
        <f>F84*('Data Entry - SOF'!G63/100)</f>
        <v>#REF!</v>
      </c>
      <c r="G89" s="871"/>
      <c r="H89" s="217"/>
      <c r="I89" s="217"/>
      <c r="J89" s="217"/>
      <c r="T89"/>
      <c r="Y89" s="112"/>
      <c r="Z89" s="805"/>
      <c r="AA89" s="817"/>
      <c r="AB89" s="783" t="s">
        <v>7070</v>
      </c>
      <c r="AC89" s="783" t="s">
        <v>7071</v>
      </c>
      <c r="AD89" s="112"/>
      <c r="AE89" s="1362"/>
      <c r="AF89" s="1012"/>
      <c r="AQ89"/>
      <c r="AR89"/>
      <c r="AS89"/>
      <c r="AT89"/>
      <c r="AU89"/>
      <c r="AV89"/>
      <c r="AW89"/>
      <c r="AX89"/>
      <c r="AY89"/>
      <c r="AZ89"/>
      <c r="BA89"/>
      <c r="BB89"/>
      <c r="BE89" s="2042"/>
      <c r="BF89" s="2042"/>
    </row>
    <row r="90" spans="1:64">
      <c r="B90" s="102"/>
      <c r="D90" s="1039" t="s">
        <v>7447</v>
      </c>
      <c r="E90" s="1039" t="s">
        <v>7447</v>
      </c>
      <c r="F90" s="1039" t="s">
        <v>7447</v>
      </c>
      <c r="G90" s="1039" t="s">
        <v>7447</v>
      </c>
      <c r="H90" s="1039" t="s">
        <v>7447</v>
      </c>
      <c r="I90" s="1039" t="s">
        <v>7447</v>
      </c>
      <c r="J90" s="217"/>
      <c r="T90"/>
      <c r="Y90" s="112"/>
      <c r="Z90" s="805"/>
      <c r="AA90" s="1919"/>
      <c r="AB90" s="1920"/>
      <c r="AC90" s="1920"/>
      <c r="AD90" s="112"/>
      <c r="AE90" s="1921"/>
      <c r="AF90" s="1012"/>
      <c r="AQ90"/>
      <c r="AR90"/>
      <c r="AS90"/>
      <c r="AT90"/>
      <c r="AU90"/>
      <c r="AV90"/>
      <c r="AW90"/>
      <c r="AX90"/>
      <c r="AY90"/>
      <c r="AZ90"/>
      <c r="BA90"/>
      <c r="BB90"/>
      <c r="BE90" s="2042"/>
      <c r="BF90" s="2042"/>
      <c r="BI90" s="1037"/>
      <c r="BJ90" s="1037"/>
      <c r="BK90" s="1037"/>
      <c r="BL90" s="1037"/>
    </row>
    <row r="91" spans="1:64">
      <c r="A91" s="25"/>
      <c r="B91" s="59"/>
      <c r="D91" s="1039">
        <f t="shared" ref="D91:G91" si="12">IF(D12&gt;1600,0,IF(D12&gt;D11,D12,D11))</f>
        <v>0</v>
      </c>
      <c r="E91" s="1039">
        <f t="shared" si="12"/>
        <v>0</v>
      </c>
      <c r="F91" s="1039">
        <f t="shared" si="12"/>
        <v>0</v>
      </c>
      <c r="G91" s="1039">
        <f t="shared" si="12"/>
        <v>0</v>
      </c>
      <c r="H91" s="1039">
        <f t="shared" ref="H91:I91" si="13">IF(H12&gt;1600,0,IF(H12&gt;H11,H12,H11))</f>
        <v>0</v>
      </c>
      <c r="I91" s="1039">
        <f t="shared" si="13"/>
        <v>0</v>
      </c>
      <c r="J91" s="217"/>
      <c r="K91" s="25"/>
      <c r="L91" s="25"/>
      <c r="M91" s="25"/>
      <c r="N91" s="25"/>
      <c r="T91"/>
      <c r="AA91" s="818" t="e">
        <f>(#REF!-#REF!)/(AA81*100)</f>
        <v>#REF!</v>
      </c>
      <c r="AB91" s="819" t="e">
        <f>(#REF!-#REF!-'Data Entry - SOF'!#REF!)/(AA81*100)</f>
        <v>#REF!</v>
      </c>
      <c r="AC91" s="787"/>
      <c r="AD91" s="58" t="s">
        <v>7344</v>
      </c>
      <c r="AE91" s="1360" t="e">
        <f>(#REF!-#REF!)/(AE81*100)</f>
        <v>#REF!</v>
      </c>
      <c r="AF91" s="1012"/>
      <c r="AQ91"/>
      <c r="AR91"/>
      <c r="AS91"/>
      <c r="AT91"/>
      <c r="AU91"/>
      <c r="AV91"/>
      <c r="AW91"/>
      <c r="AX91"/>
      <c r="AY91"/>
      <c r="AZ91"/>
      <c r="BA91"/>
      <c r="BB91"/>
      <c r="BE91" s="2042"/>
      <c r="BF91" s="2042"/>
    </row>
    <row r="92" spans="1:64">
      <c r="A92" s="25"/>
      <c r="B92" s="59"/>
      <c r="D92" s="1039">
        <f t="shared" ref="D92:G92" si="14">IF(D12&gt;5000,0,D12)</f>
        <v>0</v>
      </c>
      <c r="E92" s="1039">
        <f t="shared" si="14"/>
        <v>0</v>
      </c>
      <c r="F92" s="1039">
        <f t="shared" si="14"/>
        <v>0</v>
      </c>
      <c r="G92" s="1039">
        <f t="shared" si="14"/>
        <v>0</v>
      </c>
      <c r="H92" s="1039">
        <f t="shared" ref="H92:I92" si="15">IF(H12&gt;5000,0,H12)</f>
        <v>0</v>
      </c>
      <c r="I92" s="1039">
        <f t="shared" si="15"/>
        <v>0</v>
      </c>
      <c r="J92" s="217"/>
      <c r="K92" s="25"/>
      <c r="L92" s="25"/>
      <c r="M92" s="25"/>
      <c r="N92" s="25"/>
      <c r="Q92" s="5"/>
      <c r="T92"/>
      <c r="AA92" s="818"/>
      <c r="AB92" s="820" t="e">
        <f>AB91*IF(AA81&lt;'Data Entry - SOF'!#REF!,(AA81*100),('Data Entry - SOF'!#REF!*100))</f>
        <v>#REF!</v>
      </c>
      <c r="AC92" s="821" t="e">
        <f>AB91*IF(AA81&lt;='Calc Data'!AA85,(AA81*100),('Calc Data'!AA85*100))</f>
        <v>#REF!</v>
      </c>
      <c r="AE92" s="1360"/>
      <c r="AF92" s="1012"/>
      <c r="AQ92"/>
      <c r="AR92"/>
      <c r="AS92"/>
      <c r="AT92"/>
      <c r="AU92"/>
      <c r="AV92"/>
      <c r="AW92"/>
      <c r="AX92"/>
      <c r="AY92"/>
      <c r="AZ92"/>
      <c r="BA92"/>
      <c r="BB92"/>
      <c r="BE92" s="2042"/>
      <c r="BF92" s="2042"/>
    </row>
    <row r="93" spans="1:64">
      <c r="A93" s="25"/>
      <c r="C93" s="2644"/>
      <c r="D93" s="1345" t="s">
        <v>5513</v>
      </c>
      <c r="E93" s="1345" t="s">
        <v>5951</v>
      </c>
      <c r="F93" s="1345" t="s">
        <v>7037</v>
      </c>
      <c r="G93" s="1345" t="s">
        <v>8487</v>
      </c>
      <c r="H93" s="1345" t="s">
        <v>9171</v>
      </c>
      <c r="I93" s="1345" t="s">
        <v>11049</v>
      </c>
      <c r="L93" s="25"/>
      <c r="M93" s="25"/>
      <c r="N93" s="25"/>
      <c r="Q93" s="5"/>
      <c r="T93"/>
      <c r="AA93" s="818"/>
      <c r="AB93" s="791" t="s">
        <v>7067</v>
      </c>
      <c r="AC93" s="792"/>
      <c r="AD93" s="27" t="s">
        <v>5330</v>
      </c>
      <c r="AE93" s="1363" t="e">
        <f>IF(AE81&lt;='Data Entry - SOF'!#REF!,0,IF(AE81&gt;'Data Entry - SOF'!#REF!+0.06,0.06*100,(AE81-'Data Entry - SOF'!#REF!)*100))</f>
        <v>#REF!</v>
      </c>
      <c r="AF93" s="1012"/>
      <c r="AQ93"/>
      <c r="AR93"/>
      <c r="AS93"/>
      <c r="AT93"/>
      <c r="AU93"/>
      <c r="AV93"/>
      <c r="AW93"/>
      <c r="AX93"/>
      <c r="AY93"/>
      <c r="AZ93"/>
      <c r="BA93"/>
      <c r="BB93"/>
      <c r="BE93" s="2042"/>
      <c r="BF93" s="2042"/>
    </row>
    <row r="94" spans="1:64">
      <c r="C94" s="1037"/>
      <c r="D94" s="1018">
        <f>ROUND(IF(D91=0,0,((1600-D91)*IF(AND('Data Entry - SOF'!C135="Y",'Data Entry - SOF'!C19&lt;300),'Weights-HB3'!I61,'Weights-HB3'!I59))*Assumptions!H136),0)</f>
        <v>0</v>
      </c>
      <c r="E94" s="1018">
        <f>ROUND(IF(E91=0,0,((1600-E91)*IF(AND('Data Entry - SOF'!E135="Y",'Data Entry - SOF'!E19&lt;300),'Weights-HB3'!J61,'Weights-HB3'!J59))*Assumptions!H145),0)</f>
        <v>0</v>
      </c>
      <c r="F94" s="1018">
        <f>ROUND(IF(F91=0,0,((1600-F91)*IF(AND('Data Entry - SOF'!G135="Y",'Data Entry - SOF'!G19&lt;300),'Weights-HB3'!K61,'Weights-HB3'!K59))*Assumptions!H154),0)</f>
        <v>0</v>
      </c>
      <c r="G94" s="1018">
        <f>ROUND(IF(G91=0,0,((1600-G91)*IF(AND('Data Entry - SOF'!I135="Y",'Data Entry - SOF'!I19&lt;300),'Weights-HB3'!L61,'Weights-HB3'!L59))*Assumptions!H163),0)</f>
        <v>0</v>
      </c>
      <c r="H94" s="1018">
        <f>ROUND(IF(H91=0,0,((1600-H91)*IF(AND('Data Entry - SOF'!K135="Y",'Data Entry - SOF'!K19&lt;300),'Weights-HB3'!M61,'Weights-HB3'!M59))*Assumptions!H172),0)</f>
        <v>0</v>
      </c>
      <c r="I94" s="1018">
        <f>ROUND(IF(I91=0,0,((1600-I91)*IF(AND('Data Entry - SOF'!M135="Y",'Data Entry - SOF'!M19&lt;300),'Weights-HB3'!N61,'Weights-HB3'!N59))*Assumptions!H181),0)</f>
        <v>0</v>
      </c>
      <c r="T94"/>
      <c r="AA94" s="818"/>
      <c r="AB94" s="794" t="s">
        <v>7068</v>
      </c>
      <c r="AC94" s="795"/>
      <c r="AD94" s="27" t="s">
        <v>5331</v>
      </c>
      <c r="AE94" s="1364" t="e">
        <f>AE93*AE91</f>
        <v>#REF!</v>
      </c>
      <c r="AF94" s="1012"/>
      <c r="AQ94"/>
      <c r="AR94"/>
      <c r="AS94"/>
      <c r="AT94"/>
      <c r="AU94"/>
      <c r="AV94"/>
      <c r="AW94"/>
      <c r="AX94"/>
      <c r="AY94"/>
      <c r="AZ94"/>
      <c r="BA94"/>
      <c r="BB94"/>
      <c r="BE94" s="2042"/>
      <c r="BF94" s="2042"/>
    </row>
    <row r="95" spans="1:64" s="122" customFormat="1">
      <c r="A95" s="57"/>
      <c r="C95" s="1037"/>
      <c r="D95" s="1019">
        <f>ROUND(IF(D92=0,0,IF(AND(D92&lt;5000,'Data Entry - SOF'!C125=12),((5000-D92)*'Weights-HB3'!I60)*Assumptions!H136,0)),0)</f>
        <v>0</v>
      </c>
      <c r="E95" s="1019">
        <f>ROUND(IF(E92=0,0,IF(AND(E92&lt;5000,'Data Entry - SOF'!E125=12),((5000-E92)*'Weights-HB3'!J60)*Assumptions!H145,0)),0)</f>
        <v>0</v>
      </c>
      <c r="F95" s="1019">
        <f>ROUND(IF(F92=0,0,IF(AND(F92&lt;5000,'Data Entry - SOF'!G125=12),((5000-F92)*'Weights-HB3'!K60)*Assumptions!H154,0)),0)</f>
        <v>0</v>
      </c>
      <c r="G95" s="1019">
        <f>ROUND(IF(G92=0,0,IF(AND(G92&lt;5000,'Data Entry - SOF'!I125=12),((5000-G92)*'Weights-HB3'!L60)*Assumptions!H163,0)),0)</f>
        <v>0</v>
      </c>
      <c r="H95" s="1019">
        <f>ROUND(IF(H92=0,0,IF(AND(H92&lt;5000,'Data Entry - SOF'!K125=12),((5000-H92)*'Weights-HB3'!M60)*Assumptions!H172,0)),0)</f>
        <v>0</v>
      </c>
      <c r="I95" s="1019">
        <f>ROUND(IF(I92=0,0,IF(AND(I92&lt;5000,'Data Entry - SOF'!M125=12),((5000-I92)*'Weights-HB3'!N60)*Assumptions!H181,0)),0)</f>
        <v>0</v>
      </c>
      <c r="J95" s="866"/>
      <c r="K95" s="866"/>
      <c r="L95"/>
      <c r="M95"/>
      <c r="N95" s="2042"/>
      <c r="O95" s="100"/>
      <c r="P95"/>
      <c r="Q95"/>
      <c r="R95" s="204"/>
      <c r="S95" s="205"/>
      <c r="T95"/>
      <c r="U95"/>
      <c r="V95"/>
      <c r="W95"/>
      <c r="X95"/>
      <c r="Y95"/>
      <c r="Z95" s="729"/>
      <c r="AA95" s="818"/>
      <c r="AB95" s="798" t="s">
        <v>7069</v>
      </c>
      <c r="AC95" s="859"/>
      <c r="AD95" s="1038" t="s">
        <v>3299</v>
      </c>
      <c r="AE95" s="1365" t="e">
        <f>#REF!*('Data Entry - SOF'!#REF!/100)</f>
        <v>#REF!</v>
      </c>
      <c r="AF95"/>
      <c r="AG95"/>
      <c r="AH95"/>
      <c r="AI95"/>
      <c r="AJ95"/>
      <c r="AK95"/>
      <c r="AL95"/>
      <c r="AM95"/>
      <c r="AN95"/>
      <c r="AO95"/>
      <c r="AP95"/>
      <c r="AQ95"/>
      <c r="AR95"/>
      <c r="AS95"/>
      <c r="AT95"/>
      <c r="AU95"/>
      <c r="AV95"/>
      <c r="AW95"/>
      <c r="AX95"/>
      <c r="AY95"/>
      <c r="AZ95"/>
      <c r="BA95"/>
      <c r="BB95"/>
      <c r="BC95" s="855"/>
      <c r="BD95" s="855"/>
      <c r="BE95" s="2042"/>
      <c r="BF95" s="2042"/>
      <c r="BG95" s="855"/>
      <c r="BH95" s="855"/>
      <c r="BI95" s="848"/>
      <c r="BJ95" s="848"/>
      <c r="BK95" s="848"/>
      <c r="BL95" s="848"/>
    </row>
    <row r="96" spans="1:64" s="122" customFormat="1">
      <c r="A96"/>
      <c r="C96" s="2645" t="s">
        <v>9042</v>
      </c>
      <c r="D96" s="1019">
        <f t="shared" ref="D96:G96" si="16">MAX(D94:D95)</f>
        <v>0</v>
      </c>
      <c r="E96" s="1019">
        <f t="shared" si="16"/>
        <v>0</v>
      </c>
      <c r="F96" s="1019">
        <f t="shared" si="16"/>
        <v>0</v>
      </c>
      <c r="G96" s="1019">
        <f t="shared" si="16"/>
        <v>0</v>
      </c>
      <c r="H96" s="1019">
        <f t="shared" ref="H96:I96" si="17">MAX(H94:H95)</f>
        <v>0</v>
      </c>
      <c r="I96" s="1019">
        <f t="shared" si="17"/>
        <v>0</v>
      </c>
      <c r="J96" s="866"/>
      <c r="K96" s="866"/>
      <c r="L96"/>
      <c r="M96" s="100"/>
      <c r="N96" s="100"/>
      <c r="O96"/>
      <c r="P96"/>
      <c r="Q96"/>
      <c r="R96"/>
      <c r="S96"/>
      <c r="T96"/>
      <c r="U96"/>
      <c r="V96"/>
      <c r="W96"/>
      <c r="X96"/>
      <c r="Y96"/>
      <c r="Z96" s="729"/>
      <c r="AA96" s="818"/>
      <c r="AB96" s="818"/>
      <c r="AC96" s="822"/>
      <c r="AD96"/>
      <c r="AE96"/>
      <c r="AF96"/>
      <c r="AG96"/>
      <c r="AH96"/>
      <c r="AI96"/>
      <c r="AJ96"/>
      <c r="AK96"/>
      <c r="AL96"/>
      <c r="AM96"/>
      <c r="AN96"/>
      <c r="AO96"/>
      <c r="AP96"/>
      <c r="AQ96"/>
      <c r="AR96"/>
      <c r="AS96"/>
      <c r="AT96"/>
      <c r="AU96"/>
      <c r="AV96"/>
      <c r="AW96"/>
      <c r="AX96"/>
      <c r="AY96"/>
      <c r="AZ96"/>
      <c r="BA96"/>
      <c r="BB96"/>
      <c r="BC96" s="855"/>
      <c r="BD96" s="855"/>
      <c r="BE96" s="2042"/>
      <c r="BF96" s="2042"/>
      <c r="BG96" s="855"/>
      <c r="BH96" s="855"/>
      <c r="BI96" s="848"/>
      <c r="BJ96" s="848"/>
      <c r="BK96" s="848"/>
      <c r="BL96" s="848"/>
    </row>
    <row r="97" spans="1:64" s="122" customFormat="1">
      <c r="A97" s="57"/>
      <c r="C97" s="840" t="s">
        <v>7432</v>
      </c>
      <c r="D97" s="1019">
        <f t="shared" ref="D97:G97" si="18">D96*IF(D12&gt;D11,D12,D11)</f>
        <v>0</v>
      </c>
      <c r="E97" s="1019">
        <f t="shared" si="18"/>
        <v>0</v>
      </c>
      <c r="F97" s="1019">
        <f t="shared" si="18"/>
        <v>0</v>
      </c>
      <c r="G97" s="1019">
        <f t="shared" si="18"/>
        <v>0</v>
      </c>
      <c r="H97" s="1019">
        <f t="shared" ref="H97:I97" si="19">H96*IF(H12&gt;H11,H12,H11)</f>
        <v>0</v>
      </c>
      <c r="I97" s="1019">
        <f t="shared" si="19"/>
        <v>0</v>
      </c>
      <c r="J97" s="866"/>
      <c r="K97" s="866"/>
      <c r="L97"/>
      <c r="M97" s="100"/>
      <c r="N97" s="100"/>
      <c r="O97"/>
      <c r="P97"/>
      <c r="Q97"/>
      <c r="R97"/>
      <c r="S97"/>
      <c r="T97"/>
      <c r="U97"/>
      <c r="V97"/>
      <c r="W97"/>
      <c r="X97"/>
      <c r="Y97"/>
      <c r="Z97" s="729"/>
      <c r="AA97" s="818"/>
      <c r="AB97" s="818"/>
      <c r="AC97" s="822"/>
      <c r="AD97"/>
      <c r="AE97"/>
      <c r="AF97"/>
      <c r="AG97"/>
      <c r="AH97"/>
      <c r="AI97"/>
      <c r="AJ97"/>
      <c r="AK97"/>
      <c r="AL97"/>
      <c r="AM97"/>
      <c r="AN97"/>
      <c r="AO97"/>
      <c r="AP97"/>
      <c r="AQ97"/>
      <c r="AR97"/>
      <c r="AS97"/>
      <c r="AT97"/>
      <c r="AU97"/>
      <c r="AV97"/>
      <c r="AW97"/>
      <c r="AX97"/>
      <c r="AY97"/>
      <c r="AZ97"/>
      <c r="BA97"/>
      <c r="BB97"/>
      <c r="BC97" s="855"/>
      <c r="BD97" s="855"/>
      <c r="BE97" s="2042"/>
      <c r="BF97" s="2042"/>
      <c r="BG97" s="855"/>
      <c r="BH97" s="855"/>
      <c r="BI97" s="848"/>
      <c r="BJ97" s="848"/>
      <c r="BK97" s="848"/>
      <c r="BL97" s="848"/>
    </row>
    <row r="98" spans="1:64" s="122" customFormat="1">
      <c r="A98"/>
      <c r="C98" s="840" t="s">
        <v>7619</v>
      </c>
      <c r="D98" s="1071">
        <f>IF('Data Entry - SOF'!C19&gt;=300,0,IF('Data Entry - SOF'!C135="Y",((1600-'Data Entry - SOF'!C19)*'Weights-HB3'!I61)*Assumptions!H136,0))</f>
        <v>0</v>
      </c>
      <c r="E98" s="1071">
        <f>IF('Data Entry - SOF'!E19&gt;=300,0,IF('Data Entry - SOF'!E135="Y",((1600-'Data Entry - SOF'!E19)*'Weights-HB3'!J61)*Assumptions!H145,0))</f>
        <v>0</v>
      </c>
      <c r="F98" s="1071">
        <f>IF('Data Entry - SOF'!G19&gt;=300,0,IF('Data Entry - SOF'!G135="Y",((1600-'Data Entry - SOF'!G19)*'Weights-HB3'!K61)*Assumptions!H154,0))</f>
        <v>0</v>
      </c>
      <c r="G98" s="1071">
        <f>IF('Data Entry - SOF'!I19&gt;=300,0,IF('Data Entry - SOF'!I135="Y",((1600-'Data Entry - SOF'!I19)*'Weights-HB3'!L61)*Assumptions!H163,0))</f>
        <v>0</v>
      </c>
      <c r="H98" s="1071">
        <f>IF('Data Entry - SOF'!K19&gt;=300,0,IF('Data Entry - SOF'!K135="Y",((1600-'Data Entry - SOF'!K19)*'Weights-HB3'!M61)*Assumptions!I172,0))</f>
        <v>0</v>
      </c>
      <c r="I98" s="1071">
        <f>IF('Data Entry - SOF'!M19&gt;=300,0,IF('Data Entry - SOF'!M135="Y",((1600-'Data Entry - SOF'!M19)*'Weights-HB3'!N61)*Assumptions!J181,0))</f>
        <v>0</v>
      </c>
      <c r="J98" s="866"/>
      <c r="K98" s="866"/>
      <c r="L98"/>
      <c r="M98" s="100"/>
      <c r="N98" s="100"/>
      <c r="O98"/>
      <c r="P98"/>
      <c r="Q98"/>
      <c r="R98"/>
      <c r="S98"/>
      <c r="T98"/>
      <c r="U98"/>
      <c r="V98"/>
      <c r="W98"/>
      <c r="X98"/>
      <c r="Y98"/>
      <c r="Z98" s="729"/>
      <c r="AA98" s="818"/>
      <c r="AB98" s="818"/>
      <c r="AC98" s="822"/>
      <c r="AD98"/>
      <c r="AE98" s="74">
        <f>106.28*2037.524*0.0613*100</f>
        <v>1327439.5509136</v>
      </c>
      <c r="AF98"/>
      <c r="AG98"/>
      <c r="AH98"/>
      <c r="AI98"/>
      <c r="AJ98"/>
      <c r="AK98"/>
      <c r="AL98"/>
      <c r="AM98"/>
      <c r="AN98"/>
      <c r="AO98"/>
      <c r="AP98"/>
      <c r="AQ98"/>
      <c r="AR98"/>
      <c r="AS98"/>
      <c r="AT98"/>
      <c r="AU98"/>
      <c r="AV98"/>
      <c r="AW98"/>
      <c r="AX98"/>
      <c r="AY98"/>
      <c r="AZ98"/>
      <c r="BA98"/>
      <c r="BB98"/>
      <c r="BC98" s="855"/>
      <c r="BD98" s="855"/>
      <c r="BE98" s="2042"/>
      <c r="BF98" s="2042"/>
      <c r="BG98" s="855"/>
      <c r="BH98" s="855"/>
      <c r="BI98" s="848"/>
      <c r="BJ98" s="848"/>
      <c r="BK98" s="848"/>
      <c r="BL98" s="848"/>
    </row>
    <row r="99" spans="1:64" s="122" customFormat="1">
      <c r="A99"/>
      <c r="C99" s="840" t="s">
        <v>7745</v>
      </c>
      <c r="D99" s="1253">
        <f t="shared" ref="D99:G99" si="20">D98*IF(D12&gt;D11,D12,D11)</f>
        <v>0</v>
      </c>
      <c r="E99" s="1253">
        <f t="shared" si="20"/>
        <v>0</v>
      </c>
      <c r="F99" s="1253">
        <f t="shared" si="20"/>
        <v>0</v>
      </c>
      <c r="G99" s="1253">
        <f t="shared" si="20"/>
        <v>0</v>
      </c>
      <c r="H99" s="1253">
        <f t="shared" ref="H99:I99" si="21">H98*IF(H12&gt;H11,H12,H11)</f>
        <v>0</v>
      </c>
      <c r="I99" s="1253">
        <f t="shared" si="21"/>
        <v>0</v>
      </c>
      <c r="J99" s="2651" t="s">
        <v>10723</v>
      </c>
      <c r="K99" s="848"/>
      <c r="L99" s="848"/>
      <c r="M99" s="848"/>
      <c r="N99" s="848"/>
      <c r="O99" s="2651" t="s">
        <v>10723</v>
      </c>
      <c r="P99" s="866"/>
      <c r="Q99"/>
      <c r="R99" s="100"/>
      <c r="S99"/>
      <c r="T99"/>
      <c r="U99"/>
      <c r="V99"/>
      <c r="W99"/>
      <c r="X99"/>
      <c r="Y99"/>
      <c r="Z99" s="729"/>
      <c r="AA99" s="818"/>
      <c r="AB99" s="818"/>
      <c r="AC99" s="822"/>
      <c r="AD99"/>
      <c r="AE99" s="74"/>
      <c r="AF99"/>
      <c r="AG99"/>
      <c r="AH99"/>
      <c r="AI99"/>
      <c r="AJ99"/>
      <c r="AK99"/>
      <c r="AL99"/>
      <c r="AM99"/>
      <c r="AN99"/>
      <c r="AO99"/>
      <c r="AP99"/>
      <c r="AQ99"/>
      <c r="AR99"/>
      <c r="AS99"/>
      <c r="AT99"/>
      <c r="AU99"/>
      <c r="AV99"/>
      <c r="AW99"/>
      <c r="AX99"/>
      <c r="AY99"/>
      <c r="AZ99"/>
      <c r="BA99"/>
      <c r="BB99"/>
      <c r="BC99" s="855"/>
      <c r="BD99" s="855"/>
      <c r="BE99" s="2042"/>
      <c r="BF99" s="2042"/>
      <c r="BG99" s="855"/>
      <c r="BH99" s="855"/>
      <c r="BI99" s="848"/>
      <c r="BJ99" s="848"/>
      <c r="BK99" s="848"/>
      <c r="BL99" s="848"/>
    </row>
    <row r="100" spans="1:64" s="122" customFormat="1">
      <c r="A100"/>
      <c r="C100" s="2644"/>
      <c r="D100" s="1345" t="s">
        <v>5513</v>
      </c>
      <c r="E100" s="1345" t="s">
        <v>10427</v>
      </c>
      <c r="F100" s="1345" t="s">
        <v>10428</v>
      </c>
      <c r="G100" s="1345" t="s">
        <v>10429</v>
      </c>
      <c r="H100" s="1345" t="s">
        <v>10430</v>
      </c>
      <c r="I100" s="1345" t="s">
        <v>11055</v>
      </c>
      <c r="J100" s="2654" t="s">
        <v>10427</v>
      </c>
      <c r="K100" s="2654" t="s">
        <v>10428</v>
      </c>
      <c r="L100" s="2654" t="s">
        <v>10429</v>
      </c>
      <c r="M100" s="2654" t="s">
        <v>10430</v>
      </c>
      <c r="N100" s="2654" t="s">
        <v>11055</v>
      </c>
      <c r="O100" s="2652" t="s">
        <v>10431</v>
      </c>
      <c r="P100" s="2653" t="s">
        <v>10440</v>
      </c>
      <c r="Q100" s="2654" t="s">
        <v>10443</v>
      </c>
      <c r="R100" s="2654" t="s">
        <v>10737</v>
      </c>
      <c r="S100" s="2654" t="s">
        <v>11058</v>
      </c>
      <c r="T100"/>
      <c r="U100"/>
      <c r="V100"/>
      <c r="W100"/>
      <c r="X100"/>
      <c r="Y100"/>
      <c r="Z100" s="771" t="s">
        <v>5330</v>
      </c>
      <c r="AA100" s="823" t="e">
        <f>IF(AA81&lt;='Data Entry - SOF'!#REF!,0,IF(AA81&gt;'Data Entry - SOF'!#REF!+0.06,0.06*100,(AA81-'Data Entry - SOF'!#REF!)*100))</f>
        <v>#REF!</v>
      </c>
      <c r="AB100" s="824"/>
      <c r="AC100" s="824"/>
      <c r="AD100"/>
      <c r="AE100" s="74" t="e">
        <f>AE98-AE95</f>
        <v>#REF!</v>
      </c>
      <c r="AF100"/>
      <c r="AG100"/>
      <c r="AH100"/>
      <c r="AI100"/>
      <c r="AJ100"/>
      <c r="AK100"/>
      <c r="AL100"/>
      <c r="AM100"/>
      <c r="AN100"/>
      <c r="AO100"/>
      <c r="AP100"/>
      <c r="AQ100"/>
      <c r="AR100"/>
      <c r="AS100"/>
      <c r="AT100"/>
      <c r="AU100"/>
      <c r="AV100"/>
      <c r="AW100"/>
      <c r="AX100"/>
      <c r="AY100"/>
      <c r="AZ100"/>
      <c r="BA100"/>
      <c r="BB100"/>
      <c r="BC100" s="855"/>
      <c r="BD100" s="855"/>
      <c r="BE100" s="2042"/>
      <c r="BF100" s="2042"/>
      <c r="BG100" s="855"/>
      <c r="BH100" s="855"/>
      <c r="BI100" s="848"/>
      <c r="BJ100" s="848"/>
      <c r="BK100" s="848"/>
      <c r="BL100" s="848"/>
    </row>
    <row r="101" spans="1:64" s="122" customFormat="1">
      <c r="A101"/>
      <c r="C101" s="1038" t="s">
        <v>582</v>
      </c>
      <c r="D101" s="1020" t="e">
        <f>('Data Entry - SOF'!C75-'IFA-HB3'!N79)/('Data Entry - SOF'!C74*100)</f>
        <v>#DIV/0!</v>
      </c>
      <c r="E101" s="1020" t="e">
        <f>('Data Entry - SOF'!E75-'IFA-HB3'!R79)/('Data Entry - SOF'!E74*100)</f>
        <v>#DIV/0!</v>
      </c>
      <c r="F101" s="1020" t="e">
        <f>('Data Entry - SOF'!G75-'IFA-HB3'!W79)/('Data Entry - SOF'!G74*100)</f>
        <v>#DIV/0!</v>
      </c>
      <c r="G101" s="1020" t="e">
        <f>('Data Entry - SOF'!I75-'IFA-HB3'!AB79)/('Data Entry - SOF'!I74*100)</f>
        <v>#DIV/0!</v>
      </c>
      <c r="H101" s="1020" t="e">
        <f>('Data Entry - SOF'!K75-'IFA-HB3'!AG79)/('Data Entry - SOF'!K74*100)</f>
        <v>#DIV/0!</v>
      </c>
      <c r="I101" s="1020" t="e">
        <f>('Data Entry - SOF'!M75-'IFA-HB3'!AL79)/('Data Entry - SOF'!M74*100)</f>
        <v>#DIV/0!</v>
      </c>
      <c r="J101" s="2528" t="e">
        <f>('HH2223-40KCalcs'!C12-'IFA-HB3'!R79)/('HH2223-40KCalcs'!G11*100)</f>
        <v>#DIV/0!</v>
      </c>
      <c r="K101" s="2528" t="e">
        <f>('HH2324-40KCalcs'!C12-'IFA-HB3'!W79)/('HH2324-40KCalcs'!G11*100)</f>
        <v>#DIV/0!</v>
      </c>
      <c r="L101" s="2528" t="e">
        <f>('HH2425-40KCalcs'!C12-'IFA-HB3'!AB79)/('HH2425-40KCalcs'!G11*100)</f>
        <v>#DIV/0!</v>
      </c>
      <c r="M101" s="2528" t="e">
        <f>('HH2526-40KCalcs'!C12-'IFA-HB3'!AG79)/('HH2526-40KCalcs'!G11*100)</f>
        <v>#DIV/0!</v>
      </c>
      <c r="N101" s="2528" t="e">
        <f>('HH2627-40KCalcs'!C12-'IFA-HB3'!AL79)/('HH2627-40KCalcs'!G11*100)</f>
        <v>#DIV/0!</v>
      </c>
      <c r="O101" s="2656" t="e">
        <f>('HH2223-40KCalcs'!D12-'IFA-HB3'!S79)/('HH2223-40KCalcs'!H11*100)</f>
        <v>#DIV/0!</v>
      </c>
      <c r="P101" s="2656" t="e">
        <f>('HH2324-40KCalcs'!D12-'IFA-HB3'!X79)/('HH2324-40KCalcs'!H11*100)</f>
        <v>#DIV/0!</v>
      </c>
      <c r="Q101" s="2656" t="e">
        <f>('HH2425-40KCalcs'!D12-'IFA-HB3'!AC79)/('HH2425-40KCalcs'!H11*100)</f>
        <v>#DIV/0!</v>
      </c>
      <c r="R101" s="2656" t="e">
        <f>('HH2526-40KCalcs'!D12-'IFA-HB3'!AH79)/('HH2526-40KCalcs'!H11*100)</f>
        <v>#DIV/0!</v>
      </c>
      <c r="S101" s="2656" t="e">
        <f>('HH2627-40KCalcs'!D12-'IFA-HB3'!AM79)/('HH2627-40KCalcs'!H11*100)</f>
        <v>#DIV/0!</v>
      </c>
      <c r="T101"/>
      <c r="U101"/>
      <c r="V101"/>
      <c r="W101"/>
      <c r="X101"/>
      <c r="Y101"/>
      <c r="Z101" s="771" t="s">
        <v>5331</v>
      </c>
      <c r="AA101" s="825" t="e">
        <f>AA100*AA91</f>
        <v>#REF!</v>
      </c>
      <c r="AB101" s="824"/>
      <c r="AC101" s="824"/>
      <c r="AD101"/>
      <c r="AE101">
        <v>1137064</v>
      </c>
      <c r="AF101"/>
      <c r="AG101"/>
      <c r="AH101"/>
      <c r="AI101"/>
      <c r="AJ101"/>
      <c r="AK101"/>
      <c r="AL101"/>
      <c r="AM101"/>
      <c r="AN101"/>
      <c r="AO101"/>
      <c r="AP101"/>
      <c r="AQ101"/>
      <c r="AR101"/>
      <c r="AS101"/>
      <c r="AT101"/>
      <c r="AU101"/>
      <c r="AV101"/>
      <c r="AW101"/>
      <c r="AX101"/>
      <c r="AY101"/>
      <c r="AZ101"/>
      <c r="BA101"/>
      <c r="BB101"/>
      <c r="BC101" s="855"/>
      <c r="BD101" s="855"/>
      <c r="BE101" s="2042"/>
      <c r="BF101" s="2042"/>
      <c r="BG101" s="855"/>
      <c r="BH101" s="855"/>
      <c r="BI101" s="848"/>
      <c r="BJ101" s="848"/>
      <c r="BK101" s="848"/>
      <c r="BL101" s="848"/>
    </row>
    <row r="102" spans="1:64" s="122" customFormat="1">
      <c r="A102"/>
      <c r="C102" s="1038" t="s">
        <v>602</v>
      </c>
      <c r="D102" s="1020" t="e">
        <f>D101*('Report-SOF2122-HB1525'!D20*100)</f>
        <v>#DIV/0!</v>
      </c>
      <c r="E102" s="1020" t="e">
        <f>E101*('Data Entry - SOF'!E124*100)</f>
        <v>#DIV/0!</v>
      </c>
      <c r="F102" s="1020" t="e">
        <f>F101*('Data Entry - SOF'!G124*100)</f>
        <v>#DIV/0!</v>
      </c>
      <c r="G102" s="1020" t="e">
        <f>G101*('Data Entry - SOF'!I124*100)</f>
        <v>#DIV/0!</v>
      </c>
      <c r="H102" s="1020" t="e">
        <f>H101*('Data Entry - SOF'!K124*100)</f>
        <v>#DIV/0!</v>
      </c>
      <c r="I102" s="1020" t="e">
        <f>I101*('Data Entry - SOF'!M124*100)</f>
        <v>#DIV/0!</v>
      </c>
      <c r="J102" s="2528" t="e">
        <f>J101*('HH2223-40KCalcs'!G12*100)</f>
        <v>#DIV/0!</v>
      </c>
      <c r="K102" s="2528" t="e">
        <f>K101*('HH2324-40KCalcs'!G12*100)</f>
        <v>#DIV/0!</v>
      </c>
      <c r="L102" s="2528" t="e">
        <f>L101*('HH2425-40KCalcs'!G12*100)</f>
        <v>#DIV/0!</v>
      </c>
      <c r="M102" s="2528" t="e">
        <f>M101*('HH2526-40KCalcs'!G12*100)</f>
        <v>#DIV/0!</v>
      </c>
      <c r="N102" s="2528" t="e">
        <f>N101*('HH2627-40KCalcs'!G12*100)</f>
        <v>#DIV/0!</v>
      </c>
      <c r="O102" s="2656" t="e">
        <f>O101*('HH2223-40KCalcs'!H12*100)</f>
        <v>#DIV/0!</v>
      </c>
      <c r="P102" s="2656" t="e">
        <f>P101*('HH2324-40KCalcs'!H12*100)</f>
        <v>#DIV/0!</v>
      </c>
      <c r="Q102" s="2656" t="e">
        <f>Q101*('HH2425-40KCalcs'!H12*100)</f>
        <v>#DIV/0!</v>
      </c>
      <c r="R102" s="2656" t="e">
        <f>R101*('HH2526-40KCalcs'!H12*100)</f>
        <v>#DIV/0!</v>
      </c>
      <c r="S102" s="2656" t="e">
        <f>S101*('HH2627-40KCalcs'!H12*100)</f>
        <v>#DIV/0!</v>
      </c>
      <c r="T102"/>
      <c r="U102"/>
      <c r="V102"/>
      <c r="W102"/>
      <c r="X102"/>
      <c r="Y102"/>
      <c r="Z102" s="729"/>
      <c r="AA102" s="826" t="s">
        <v>3298</v>
      </c>
      <c r="AB102" s="823" t="e">
        <f>ROUND((AA101/'Data Entry - SOF'!#REF!)*100,4)</f>
        <v>#REF!</v>
      </c>
      <c r="AC102" s="824"/>
      <c r="AD102"/>
      <c r="AE102" s="74" t="e">
        <f>AE100-AE101</f>
        <v>#REF!</v>
      </c>
      <c r="AF102"/>
      <c r="AG102"/>
      <c r="AH102"/>
      <c r="AI102"/>
      <c r="AJ102"/>
      <c r="AK102"/>
      <c r="AL102"/>
      <c r="AM102"/>
      <c r="AN102"/>
      <c r="AO102"/>
      <c r="AP102"/>
      <c r="AQ102"/>
      <c r="AR102"/>
      <c r="AS102"/>
      <c r="AT102"/>
      <c r="AU102"/>
      <c r="AV102"/>
      <c r="AW102"/>
      <c r="AX102"/>
      <c r="AY102"/>
      <c r="AZ102"/>
      <c r="BA102"/>
      <c r="BB102"/>
      <c r="BC102" s="855"/>
      <c r="BD102" s="855"/>
      <c r="BE102" s="2042"/>
      <c r="BF102" s="2042"/>
      <c r="BG102" s="855"/>
      <c r="BH102" s="855"/>
      <c r="BI102" s="848"/>
      <c r="BJ102" s="848"/>
      <c r="BK102" s="848"/>
      <c r="BL102" s="848"/>
    </row>
    <row r="103" spans="1:64" s="122" customFormat="1">
      <c r="A103"/>
      <c r="C103" s="1038" t="s">
        <v>7525</v>
      </c>
      <c r="D103" s="1021">
        <f>IF('Data Entry - SOF'!C74-D220&gt;=0.08,0.08,'Data Entry - SOF'!C74-D220)</f>
        <v>0</v>
      </c>
      <c r="E103" s="1021">
        <f>IF('Data Entry - SOF'!E74-E220&gt;=0.08,0.08,'Data Entry - SOF'!E74-E220)</f>
        <v>0</v>
      </c>
      <c r="F103" s="1021" t="e">
        <f>IF('Data Entry - SOF'!G74-F220&gt;=0.08,0.08,'Data Entry - SOF'!G74-F220)</f>
        <v>#DIV/0!</v>
      </c>
      <c r="G103" s="1021" t="e">
        <f>IF('Data Entry - SOF'!I74-G220&gt;=0.08,0.08,'Data Entry - SOF'!I74-G220)</f>
        <v>#DIV/0!</v>
      </c>
      <c r="H103" s="1021" t="e">
        <f>IF('Data Entry - SOF'!K74-H220&gt;=0.08,0.08,'Data Entry - SOF'!K74-H220)</f>
        <v>#DIV/0!</v>
      </c>
      <c r="I103" s="1021" t="e">
        <f>IF('Data Entry - SOF'!M74-I220&gt;=0.08,0.08,'Data Entry - SOF'!M74-I220)</f>
        <v>#DIV/0!</v>
      </c>
      <c r="J103" s="2785" t="e">
        <f>IF('HH2223-40KCalcs'!C9='HH2223-40KCalcs'!C10,IF('Data Entry - SOF'!E74-J220&gt;=0.08,0.08,'Data Entry - SOF'!E74-J220),IF('Data Entry - SOF'!C74-D220&gt;=0.08,0.08,'Data Entry - SOF'!C74-D220))</f>
        <v>#DIV/0!</v>
      </c>
      <c r="K103" s="2785" t="e">
        <f>IF('HH2324-40KCalcs'!C9='HH2324-40KCalcs'!C10,IF('Data Entry - SOF'!G74-K220&gt;=0.08,0.08,'Data Entry - SOF'!G74-K220),IF('Data Entry - SOF'!C74-D220&gt;=0.08,0.08,'Data Entry - SOF'!C74-D220))</f>
        <v>#DIV/0!</v>
      </c>
      <c r="L103" s="2785" t="e">
        <f>IF('HH2425-40KCalcs'!C9='HH2425-40KCalcs'!C10,IF('Data Entry - SOF'!I74-L220&gt;=0.08,0.08,'Data Entry - SOF'!I74-L220),IF('Data Entry - SOF'!C74-D220&gt;=0.08,0.08,'Data Entry - SOF'!C74-D220))</f>
        <v>#DIV/0!</v>
      </c>
      <c r="M103" s="2785" t="e">
        <f>IF('HH2526-40KCalcs'!C9='HH2526-40KCalcs'!C10,IF('Data Entry - SOF'!K74-M220&gt;=0.08,0.08,'Data Entry - SOF'!K74-M220),IF('Data Entry - SOF'!C74-D220&gt;=0.08,0.08,'Data Entry - SOF'!C74-D220))</f>
        <v>#DIV/0!</v>
      </c>
      <c r="N103" s="2785" t="e">
        <f>IF('HH2627-40KCalcs'!C9='HH2627-40KCalcs'!C10,IF('Data Entry - SOF'!M74-N220&gt;=0.08,0.08,'Data Entry - SOF'!M74-N220),IF('Data Entry - SOF'!C74-D220&gt;=0.08,0.08,'Data Entry - SOF'!C74-D220))</f>
        <v>#DIV/0!</v>
      </c>
      <c r="O103" s="2785" t="e">
        <f>IF('HH2223-40KCalcs'!D9='HH2223-40KCalcs'!D10,IF('Data Entry - SOF'!E74-O220&gt;=0.08,0.08,'Data Entry - SOF'!E74-O220),IF('Data Entry - SOF'!C74-D220&gt;=0.08,0.08,'Data Entry - SOF'!C74-D220))</f>
        <v>#DIV/0!</v>
      </c>
      <c r="P103" s="2785" t="e">
        <f>IF('HH2324-40KCalcs'!D9='HH2324-40KCalcs'!D10,IF('Data Entry - SOF'!G74-P220&gt;=0.08,0.08,'Data Entry - SOF'!G74-P220),IF('Data Entry - SOF'!C74-D220&gt;=0.08,0.08,'Data Entry - SOF'!C74-D220))</f>
        <v>#DIV/0!</v>
      </c>
      <c r="Q103" s="2785" t="e">
        <f>IF('HH2425-40KCalcs'!D9='HH2425-40KCalcs'!D10,IF('Data Entry - SOF'!I74-Q220&gt;=0.08,0.08,'Data Entry - SOF'!I74-Q220),IF('Data Entry - SOF'!C74-D220&gt;=0.08,0.08,'Data Entry - SOF'!C74-D220))</f>
        <v>#DIV/0!</v>
      </c>
      <c r="R103" s="2785" t="e">
        <f>IF('HH2526-40KCalcs'!D9='HH2526-40KCalcs'!D10,IF('Data Entry - SOF'!K74-R220&gt;=0.08,0.08,'Data Entry - SOF'!K74-R220),IF('Data Entry - SOF'!C74-D220&gt;=0.08,0.08,'Data Entry - SOF'!C74-D220))</f>
        <v>#DIV/0!</v>
      </c>
      <c r="S103" s="2785" t="e">
        <f>IF('HH2526-40KCalcs'!D9='HH2526-40KCalcs'!D10,IF('Data Entry - SOF'!M74-S220&gt;=0.08,0.08,'Data Entry - SOF'!M74-S220),IF('Data Entry - SOF'!C74-D220&gt;=0.08,0.08,'Data Entry - SOF'!C74-D220))</f>
        <v>#DIV/0!</v>
      </c>
      <c r="T103"/>
      <c r="U103"/>
      <c r="V103"/>
      <c r="W103"/>
      <c r="X103"/>
      <c r="Y103"/>
      <c r="Z103" s="729"/>
      <c r="AA103" s="826" t="s">
        <v>3299</v>
      </c>
      <c r="AB103" s="827" t="e">
        <f>AB102*('Data Entry - SOF'!#REF!/100)</f>
        <v>#REF!</v>
      </c>
      <c r="AC103" s="824"/>
      <c r="AD103"/>
      <c r="AE103"/>
      <c r="AF103"/>
      <c r="AG103"/>
      <c r="AH103"/>
      <c r="AI103"/>
      <c r="AJ103"/>
      <c r="AK103"/>
      <c r="AL103"/>
      <c r="AM103"/>
      <c r="AN103"/>
      <c r="AO103"/>
      <c r="AP103"/>
      <c r="AQ103" s="717"/>
      <c r="AR103" s="717"/>
      <c r="AS103" s="717"/>
      <c r="AT103" s="849"/>
      <c r="AU103" s="848"/>
      <c r="AV103" s="628"/>
      <c r="AW103" s="628"/>
      <c r="AX103" s="628"/>
      <c r="AY103" s="628"/>
      <c r="AZ103" s="717"/>
      <c r="BA103" s="855"/>
      <c r="BB103" s="855"/>
      <c r="BC103" s="855"/>
      <c r="BD103" s="855"/>
      <c r="BE103" s="855"/>
      <c r="BF103" s="855"/>
      <c r="BG103" s="855"/>
      <c r="BH103" s="855"/>
      <c r="BI103" s="848"/>
      <c r="BJ103" s="848"/>
      <c r="BK103" s="848"/>
      <c r="BL103" s="848"/>
    </row>
    <row r="104" spans="1:64" s="122" customFormat="1">
      <c r="A104"/>
      <c r="C104" s="1038" t="s">
        <v>7526</v>
      </c>
      <c r="D104" s="1018" t="e">
        <f t="shared" ref="D104:G104" si="22">D103*100*D101</f>
        <v>#DIV/0!</v>
      </c>
      <c r="E104" s="1018" t="e">
        <f t="shared" si="22"/>
        <v>#DIV/0!</v>
      </c>
      <c r="F104" s="1018" t="e">
        <f t="shared" si="22"/>
        <v>#DIV/0!</v>
      </c>
      <c r="G104" s="1018" t="e">
        <f t="shared" si="22"/>
        <v>#DIV/0!</v>
      </c>
      <c r="H104" s="1018" t="e">
        <f t="shared" ref="H104:L104" si="23">H103*100*H101</f>
        <v>#DIV/0!</v>
      </c>
      <c r="I104" s="1018" t="e">
        <f t="shared" ref="I104" si="24">I103*100*I101</f>
        <v>#DIV/0!</v>
      </c>
      <c r="J104" s="2530" t="e">
        <f t="shared" si="23"/>
        <v>#DIV/0!</v>
      </c>
      <c r="K104" s="2530" t="e">
        <f t="shared" si="23"/>
        <v>#DIV/0!</v>
      </c>
      <c r="L104" s="2530" t="e">
        <f t="shared" si="23"/>
        <v>#DIV/0!</v>
      </c>
      <c r="M104" s="2530" t="e">
        <f t="shared" ref="M104:N104" si="25">M103*100*M101</f>
        <v>#DIV/0!</v>
      </c>
      <c r="N104" s="2530" t="e">
        <f t="shared" si="25"/>
        <v>#DIV/0!</v>
      </c>
      <c r="O104" s="2658" t="e">
        <f>O103*100*O101</f>
        <v>#DIV/0!</v>
      </c>
      <c r="P104" s="2658" t="e">
        <f t="shared" ref="P104:Q104" si="26">P103*100*P101</f>
        <v>#DIV/0!</v>
      </c>
      <c r="Q104" s="2658" t="e">
        <f t="shared" si="26"/>
        <v>#DIV/0!</v>
      </c>
      <c r="R104" s="2658" t="e">
        <f t="shared" ref="R104:S104" si="27">R103*100*R101</f>
        <v>#DIV/0!</v>
      </c>
      <c r="S104" s="2658" t="e">
        <f t="shared" si="27"/>
        <v>#DIV/0!</v>
      </c>
      <c r="T104"/>
      <c r="U104"/>
      <c r="V104"/>
      <c r="W104"/>
      <c r="X104"/>
      <c r="Y104"/>
      <c r="Z104" s="729"/>
      <c r="AA104" s="826" t="s">
        <v>3300</v>
      </c>
      <c r="AB104" s="823" t="e">
        <f>AA84</f>
        <v>#REF!</v>
      </c>
      <c r="AC104" s="824"/>
      <c r="AD104"/>
      <c r="AE104"/>
      <c r="AF104"/>
      <c r="AG104"/>
      <c r="AH104"/>
      <c r="AI104"/>
      <c r="AJ104"/>
      <c r="AK104"/>
      <c r="AL104"/>
      <c r="AM104"/>
      <c r="AN104"/>
      <c r="AO104"/>
      <c r="AP104"/>
      <c r="AQ104" s="717"/>
      <c r="AR104" s="717"/>
      <c r="AS104" s="717"/>
      <c r="AT104" s="849"/>
      <c r="AU104" s="848"/>
      <c r="AV104" s="628"/>
      <c r="AW104" s="628"/>
      <c r="AX104" s="628"/>
      <c r="AY104" s="628"/>
      <c r="AZ104" s="717"/>
      <c r="BA104" s="855"/>
      <c r="BB104" s="855"/>
      <c r="BC104" s="855"/>
      <c r="BD104" s="855"/>
      <c r="BE104" s="855"/>
      <c r="BF104" s="855"/>
      <c r="BG104" s="855"/>
      <c r="BH104" s="855"/>
      <c r="BI104" s="848"/>
      <c r="BJ104" s="848"/>
      <c r="BK104" s="848"/>
      <c r="BL104" s="848"/>
    </row>
    <row r="105" spans="1:64" s="122" customFormat="1">
      <c r="A105"/>
      <c r="C105" s="2646" t="s">
        <v>743</v>
      </c>
      <c r="D105" s="1021" t="e">
        <f>ROUND((D104/'Data Entry - SOF'!C63)*100,4)</f>
        <v>#DIV/0!</v>
      </c>
      <c r="E105" s="1021" t="e">
        <f>ROUND((E104/'Data Entry - SOF'!E66)*100,4)</f>
        <v>#DIV/0!</v>
      </c>
      <c r="F105" s="1021" t="e">
        <f>ROUND((F104/'Data Entry - SOF'!G66)*100,4)</f>
        <v>#DIV/0!</v>
      </c>
      <c r="G105" s="1021" t="e">
        <f>ROUND((G104/'Data Entry - SOF'!I66)*100,4)</f>
        <v>#DIV/0!</v>
      </c>
      <c r="H105" s="1021" t="e">
        <f>ROUND((H104/'Data Entry - SOF'!K66)*100,4)</f>
        <v>#DIV/0!</v>
      </c>
      <c r="I105" s="1021" t="e">
        <f>ROUND((I104/'Data Entry - SOF'!M66)*100,4)</f>
        <v>#DIV/0!</v>
      </c>
      <c r="J105" s="2529" t="e">
        <f>ROUND((J104/'Data Entry - SOF'!E66)*100,4)</f>
        <v>#DIV/0!</v>
      </c>
      <c r="K105" s="2529" t="e">
        <f>ROUND((K104/'Data Entry - SOF'!G66)*100,4)</f>
        <v>#DIV/0!</v>
      </c>
      <c r="L105" s="2529" t="e">
        <f>ROUND((L104/'Data Entry - SOF'!I66)*100,4)</f>
        <v>#DIV/0!</v>
      </c>
      <c r="M105" s="2529" t="e">
        <f>ROUND((M104/'Data Entry - SOF'!K66)*100,4)</f>
        <v>#DIV/0!</v>
      </c>
      <c r="N105" s="2529" t="e">
        <f>ROUND((N104/'Data Entry - SOF'!M66)*100,4)</f>
        <v>#DIV/0!</v>
      </c>
      <c r="O105" s="2657" t="e">
        <f>ROUND((O104/'Data Entry - SOF'!E63)*100,4)</f>
        <v>#DIV/0!</v>
      </c>
      <c r="P105" s="2657" t="e">
        <f>ROUND((P104/'Data Entry - SOF'!G63)*100,4)</f>
        <v>#DIV/0!</v>
      </c>
      <c r="Q105" s="2657" t="e">
        <f>ROUND((Q104/'Data Entry - SOF'!I63)*100,4)</f>
        <v>#DIV/0!</v>
      </c>
      <c r="R105" s="2657" t="e">
        <f>ROUND((R104/'Data Entry - SOF'!K63)*100,4)</f>
        <v>#DIV/0!</v>
      </c>
      <c r="S105" s="2657" t="e">
        <f>ROUND((S104/'Data Entry - SOF'!M63)*100,4)</f>
        <v>#DIV/0!</v>
      </c>
      <c r="T105"/>
      <c r="U105"/>
      <c r="V105"/>
      <c r="W105"/>
      <c r="X105"/>
      <c r="Y105"/>
      <c r="Z105" s="729"/>
      <c r="AA105" s="826" t="s">
        <v>3301</v>
      </c>
      <c r="AB105" s="827" t="e">
        <f>AA88</f>
        <v>#REF!</v>
      </c>
      <c r="AC105" s="824"/>
      <c r="AD105"/>
      <c r="AE105"/>
      <c r="AF105"/>
      <c r="AG105"/>
      <c r="AH105"/>
      <c r="AI105"/>
      <c r="AJ105"/>
      <c r="AK105"/>
      <c r="AL105"/>
      <c r="AM105"/>
      <c r="AN105"/>
      <c r="AO105"/>
      <c r="AP105"/>
      <c r="AQ105" s="717"/>
      <c r="AR105" s="717"/>
      <c r="AS105" s="717"/>
      <c r="AT105" s="849"/>
      <c r="AU105" s="848"/>
      <c r="AV105" s="628"/>
      <c r="AW105" s="628"/>
      <c r="AX105" s="628"/>
      <c r="AY105" s="628"/>
      <c r="AZ105" s="717"/>
      <c r="BA105" s="855"/>
      <c r="BB105" s="855"/>
      <c r="BC105" s="855"/>
      <c r="BD105" s="855"/>
      <c r="BE105" s="855"/>
      <c r="BF105" s="855"/>
      <c r="BG105" s="855"/>
      <c r="BH105" s="855"/>
      <c r="BI105" s="848"/>
      <c r="BJ105" s="848"/>
      <c r="BK105" s="848"/>
      <c r="BL105" s="848"/>
    </row>
    <row r="106" spans="1:64" s="122" customFormat="1">
      <c r="A106"/>
      <c r="C106" s="2647" t="s">
        <v>744</v>
      </c>
      <c r="D106" s="1022" t="e">
        <f>D105*('Data Entry - SOF'!C63/100)</f>
        <v>#DIV/0!</v>
      </c>
      <c r="E106" s="1022" t="e">
        <f>E105*('Data Entry - SOF'!E66/100)</f>
        <v>#DIV/0!</v>
      </c>
      <c r="F106" s="1022" t="e">
        <f>F105*('Data Entry - SOF'!G66/100)</f>
        <v>#DIV/0!</v>
      </c>
      <c r="G106" s="1022" t="e">
        <f>G105*('Data Entry - SOF'!I66/100)</f>
        <v>#DIV/0!</v>
      </c>
      <c r="H106" s="1022" t="e">
        <f>H105*('Data Entry - SOF'!K66/100)</f>
        <v>#DIV/0!</v>
      </c>
      <c r="I106" s="1022" t="e">
        <f>I105*('Data Entry - SOF'!M66/100)</f>
        <v>#DIV/0!</v>
      </c>
      <c r="J106" s="2531" t="e">
        <f>J105*('Data Entry - SOF'!E66/100)</f>
        <v>#DIV/0!</v>
      </c>
      <c r="K106" s="2531" t="e">
        <f>K105*('Data Entry - SOF'!G66/100)</f>
        <v>#DIV/0!</v>
      </c>
      <c r="L106" s="2531" t="e">
        <f>L105*('Data Entry - SOF'!I66/100)</f>
        <v>#DIV/0!</v>
      </c>
      <c r="M106" s="2531" t="e">
        <f>M105*('Data Entry - SOF'!K66/100)</f>
        <v>#DIV/0!</v>
      </c>
      <c r="N106" s="2531" t="e">
        <f>N105*('Data Entry - SOF'!M66/100)</f>
        <v>#DIV/0!</v>
      </c>
      <c r="O106" s="2659" t="e">
        <f>O105*('Data Entry - SOF'!E63/100)</f>
        <v>#DIV/0!</v>
      </c>
      <c r="P106" s="2659" t="e">
        <f>P105*('Data Entry - SOF'!G63/100)</f>
        <v>#DIV/0!</v>
      </c>
      <c r="Q106" s="2659" t="e">
        <f>Q105*('Data Entry - SOF'!I63/100)</f>
        <v>#DIV/0!</v>
      </c>
      <c r="R106" s="2659" t="e">
        <f>R105*('Data Entry - SOF'!K63/100)</f>
        <v>#DIV/0!</v>
      </c>
      <c r="S106" s="2659" t="e">
        <f>S105*('Data Entry - SOF'!M63/100)</f>
        <v>#DIV/0!</v>
      </c>
      <c r="T106"/>
      <c r="U106"/>
      <c r="V106"/>
      <c r="W106"/>
      <c r="X106"/>
      <c r="Y106"/>
      <c r="Z106" s="729"/>
      <c r="AA106" s="828"/>
      <c r="AB106" s="829"/>
      <c r="AC106" s="829"/>
      <c r="AD106"/>
      <c r="AE106"/>
      <c r="AF106"/>
      <c r="AG106"/>
      <c r="AH106"/>
      <c r="AI106"/>
      <c r="AJ106"/>
      <c r="AK106"/>
      <c r="AL106"/>
      <c r="AM106"/>
      <c r="AN106"/>
      <c r="AO106"/>
      <c r="AP106"/>
      <c r="AQ106" s="717"/>
      <c r="AR106" s="717"/>
      <c r="AS106" s="717"/>
      <c r="AT106" s="850"/>
      <c r="AU106" s="848"/>
      <c r="AV106" s="628"/>
      <c r="AW106" s="628"/>
      <c r="AX106" s="628"/>
      <c r="AY106" s="628"/>
      <c r="AZ106" s="717"/>
      <c r="BA106" s="855"/>
      <c r="BB106" s="855"/>
      <c r="BC106" s="855"/>
      <c r="BD106" s="855"/>
      <c r="BE106" s="855"/>
      <c r="BF106" s="855"/>
      <c r="BG106" s="855"/>
      <c r="BH106" s="855"/>
      <c r="BI106" s="848"/>
      <c r="BJ106" s="848"/>
      <c r="BK106" s="848"/>
      <c r="BL106" s="848"/>
    </row>
    <row r="107" spans="1:64" s="122" customFormat="1">
      <c r="A107"/>
      <c r="C107" s="843"/>
      <c r="D107" s="1025" t="s">
        <v>7379</v>
      </c>
      <c r="E107" s="1025" t="s">
        <v>7379</v>
      </c>
      <c r="F107" s="1025" t="s">
        <v>7379</v>
      </c>
      <c r="G107" s="1025" t="s">
        <v>7379</v>
      </c>
      <c r="H107" s="1025" t="s">
        <v>7379</v>
      </c>
      <c r="I107" s="1025" t="s">
        <v>7379</v>
      </c>
      <c r="J107" s="631" t="s">
        <v>7379</v>
      </c>
      <c r="K107" s="631" t="s">
        <v>7379</v>
      </c>
      <c r="L107" s="631" t="s">
        <v>7379</v>
      </c>
      <c r="M107" s="631" t="s">
        <v>7379</v>
      </c>
      <c r="N107" s="631" t="s">
        <v>7379</v>
      </c>
      <c r="O107" s="631" t="s">
        <v>7379</v>
      </c>
      <c r="P107" s="631" t="s">
        <v>7379</v>
      </c>
      <c r="Q107" s="631" t="s">
        <v>7379</v>
      </c>
      <c r="R107" s="631" t="s">
        <v>7379</v>
      </c>
      <c r="S107" s="631" t="s">
        <v>7379</v>
      </c>
      <c r="T107"/>
      <c r="U107"/>
      <c r="V107"/>
      <c r="W107"/>
      <c r="X107"/>
      <c r="Y107"/>
      <c r="Z107" s="729"/>
      <c r="AA107" s="768"/>
      <c r="AB107" s="768"/>
      <c r="AC107" s="768"/>
      <c r="AD107" s="100"/>
      <c r="AE107" s="477"/>
      <c r="AF107" s="477"/>
      <c r="AG107" s="477"/>
      <c r="AH107" s="100"/>
      <c r="AI107" s="477"/>
      <c r="AJ107" s="477"/>
      <c r="AK107" s="477"/>
      <c r="AL107" s="100"/>
      <c r="AM107" s="477"/>
      <c r="AN107" s="477"/>
      <c r="AO107" s="477"/>
      <c r="AP107" s="176"/>
      <c r="AQ107" s="717"/>
      <c r="AR107" s="835"/>
      <c r="AS107" s="835"/>
      <c r="AT107" s="835"/>
      <c r="AU107" s="848"/>
      <c r="AV107" s="628"/>
      <c r="AW107" s="856"/>
      <c r="AX107" s="856"/>
      <c r="AY107" s="856"/>
      <c r="AZ107" s="717"/>
      <c r="BA107" s="855"/>
      <c r="BB107" s="857"/>
      <c r="BC107" s="857"/>
      <c r="BD107" s="857"/>
      <c r="BE107" s="855"/>
      <c r="BF107" s="857"/>
      <c r="BG107" s="857"/>
      <c r="BH107" s="857"/>
      <c r="BI107" s="848"/>
      <c r="BJ107" s="848"/>
      <c r="BK107" s="848"/>
      <c r="BL107" s="848"/>
    </row>
    <row r="108" spans="1:64" s="122" customFormat="1">
      <c r="A108"/>
      <c r="C108" s="2648" t="s">
        <v>3288</v>
      </c>
      <c r="D108" s="1050">
        <f>'Data Entry - SOF'!Q179</f>
        <v>0</v>
      </c>
      <c r="E108" s="1050">
        <f>'Data Entry - SOF'!R179</f>
        <v>0</v>
      </c>
      <c r="F108" s="1050" t="e">
        <f>'Data Entry - SOF'!S179</f>
        <v>#DIV/0!</v>
      </c>
      <c r="G108" s="1050" t="e">
        <f>'Data Entry - SOF'!T179</f>
        <v>#DIV/0!</v>
      </c>
      <c r="H108" s="1050" t="e">
        <f>'Data Entry - SOF'!V179</f>
        <v>#DIV/0!</v>
      </c>
      <c r="I108" s="1050" t="e">
        <f>'Data Entry - SOF'!W179</f>
        <v>#DIV/0!</v>
      </c>
      <c r="J108" s="2786">
        <f>IF('HH2223-40KCalcs'!C9='HH2223-40KCalcs'!C10,'Data Entry - SOF'!R179,'Data Entry - SOF'!R183)</f>
        <v>0</v>
      </c>
      <c r="K108" s="2786" t="e">
        <f>IF('HH2324-40KCalcs'!C9='HH2324-40KCalcs'!C10,'Data Entry - SOF'!S179,'Data Entry - SOF'!S183)</f>
        <v>#DIV/0!</v>
      </c>
      <c r="L108" s="2786" t="e">
        <f>IF('HH2425-40KCalcs'!C9='HH2425-40KCalcs'!C10,'Data Entry - SOF'!T179,'Data Entry - SOF'!T183)</f>
        <v>#DIV/0!</v>
      </c>
      <c r="M108" s="2786" t="e">
        <f>IF('HH2526-40KCalcs'!C9='HH2526-40KCalcs'!C10,'Data Entry - SOF'!V179,'Data Entry - SOF'!V183)</f>
        <v>#DIV/0!</v>
      </c>
      <c r="N108" s="2786" t="e">
        <f>IF('HH2526-40KCalcs'!D9='HH2526-40KCalcs'!D10,'Data Entry - SOF'!W179,'Data Entry - SOF'!W183)</f>
        <v>#DIV/0!</v>
      </c>
      <c r="O108" s="2786">
        <f>IF('HH2223-40KCalcs'!D9='HH2223-40KCalcs'!D10,'Data Entry - SOF'!R179,'Data Entry - SOF'!R183)</f>
        <v>0</v>
      </c>
      <c r="P108" s="2786" t="e">
        <f>IF('HH2324-40KCalcs'!D9='HH2324-40KCalcs'!D10,'Data Entry - SOF'!S179,'Data Entry - SOF'!S183)</f>
        <v>#DIV/0!</v>
      </c>
      <c r="Q108" s="2786" t="e">
        <f>IF('HH2425-40KCalcs'!D9='HH2425-40KCalcs'!D10,'Data Entry - SOF'!T179,'Data Entry - SOF'!T183)</f>
        <v>#DIV/0!</v>
      </c>
      <c r="R108" s="2786">
        <f>IF('HH2526-40KCalcs'!D9='HH2526-40KCalcs'!D10,'Data Entry - SOF'!V92,'Data Entry - SOF'!V183)</f>
        <v>0</v>
      </c>
      <c r="S108" s="2786">
        <f>IF('HH2526-40KCalcs'!D9='HH2526-40KCalcs'!D10,'Data Entry - SOF'!W92,'Data Entry - SOF'!W183)</f>
        <v>0</v>
      </c>
      <c r="T108"/>
      <c r="U108"/>
      <c r="V108"/>
      <c r="W108"/>
      <c r="X108"/>
      <c r="Y108"/>
      <c r="Z108" s="729"/>
      <c r="AA108" s="768"/>
      <c r="AB108" s="768"/>
      <c r="AC108" s="768"/>
      <c r="AD108" s="100"/>
      <c r="AE108" s="477"/>
      <c r="AF108" s="477"/>
      <c r="AG108" s="477"/>
      <c r="AH108" s="100"/>
      <c r="AI108" s="477"/>
      <c r="AJ108" s="477"/>
      <c r="AK108" s="477"/>
      <c r="AL108" s="100"/>
      <c r="AM108" s="477"/>
      <c r="AN108" s="477"/>
      <c r="AO108" s="477"/>
      <c r="AP108" s="176"/>
      <c r="AQ108" s="1037"/>
      <c r="AR108" s="835"/>
      <c r="AS108" s="835"/>
      <c r="AT108" s="835"/>
      <c r="AU108" s="848"/>
      <c r="AV108" s="628"/>
      <c r="AW108" s="856"/>
      <c r="AX108" s="856"/>
      <c r="AY108" s="856"/>
      <c r="AZ108" s="1037"/>
      <c r="BA108" s="855"/>
      <c r="BB108" s="857"/>
      <c r="BC108" s="857"/>
      <c r="BD108" s="857"/>
      <c r="BE108" s="855"/>
      <c r="BF108" s="857"/>
      <c r="BG108" s="857"/>
      <c r="BH108" s="857"/>
      <c r="BI108" s="848"/>
      <c r="BJ108" s="848"/>
      <c r="BK108" s="848"/>
      <c r="BL108" s="848"/>
    </row>
    <row r="109" spans="1:64" s="122" customFormat="1">
      <c r="A109"/>
      <c r="C109" s="1038" t="s">
        <v>7442</v>
      </c>
      <c r="D109" s="1026" t="e">
        <f>IF('Data Entry - SOF'!$B$2="101-908",D101*(D108*100),IF('Data Entry - SOF'!$B$2="101-910",D101*(D108*100),IF('Data Entry - SOF'!$B$2="101-914",D101*(D108*100),IF('Data Entry - SOF'!C75-'IFA-HB3'!N79-'Calc Data'!D102-'Calc Data'!D104&lt;=0,0,'Data Entry - SOF'!C75-'IFA-HB3'!N79-'Calc Data'!D102-'Calc Data'!D104))))</f>
        <v>#DIV/0!</v>
      </c>
      <c r="E109" s="1026" t="e">
        <f>IF('Data Entry - SOF'!$B$2="101-908",E101*(E108*100),IF('Data Entry - SOF'!$B$2="101-910",E101*(E108*100),IF('Data Entry - SOF'!$B$2="101-914",E101*(E108*100),IF('Data Entry - SOF'!E75-'IFA-HB3'!R79-'Calc Data'!E102-'Calc Data'!E104&lt;=0,0,'Data Entry - SOF'!E75-'IFA-HB3'!R79-'Calc Data'!E102-'Calc Data'!E104))))</f>
        <v>#DIV/0!</v>
      </c>
      <c r="F109" s="1026" t="e">
        <f>IF('Data Entry - SOF'!$B$2="101-908",F101*(F108*100),IF('Data Entry - SOF'!$B$2="101-910",F101*(F108*100),IF('Data Entry - SOF'!$B$2="101-914",F101*(F108*100),IF('Data Entry - SOF'!G75-'IFA-HB3'!W79-'Calc Data'!F102-'Calc Data'!F104&lt;=0,0,'Data Entry - SOF'!G75-'IFA-HB3'!W79-'Calc Data'!F102-'Calc Data'!F104))))</f>
        <v>#DIV/0!</v>
      </c>
      <c r="G109" s="1026" t="e">
        <f>IF('Data Entry - SOF'!$B$2="101-908",G101*(G108*100),IF('Data Entry - SOF'!$B$2="101-910",G101*(G108*100),IF('Data Entry - SOF'!$B$2="101-914",G101*(G108*100),IF('Data Entry - SOF'!I75-'IFA-HB3'!AB79-'Calc Data'!G102-'Calc Data'!G104&lt;=0,0,'Data Entry - SOF'!I75-'IFA-HB3'!AB79-'Calc Data'!G102-'Calc Data'!G104))))</f>
        <v>#DIV/0!</v>
      </c>
      <c r="H109" s="1026" t="e">
        <f>IF('Data Entry - SOF'!$B$2="101-908",H101*(H108*100),IF('Data Entry - SOF'!$B$2="101-910",H101*(H108*100),IF('Data Entry - SOF'!$B$2="101-914",H101*(H108*100),IF('Data Entry - SOF'!K75-'IFA-HB3'!AG79-'Calc Data'!H102-'Calc Data'!H104&lt;=0,0,'Data Entry - SOF'!K75-'IFA-HB3'!AG79-'Calc Data'!H102-'Calc Data'!H104))))</f>
        <v>#DIV/0!</v>
      </c>
      <c r="I109" s="1026" t="e">
        <f>IF('Data Entry - SOF'!$B$2="101-908",I101*(I108*100),IF('Data Entry - SOF'!$B$2="101-910",I101*(I108*100),IF('Data Entry - SOF'!$B$2="101-914",I101*(I108*100),IF('Data Entry - SOF'!M75-'IFA-HB3'!AL79-'Calc Data'!I102-'Calc Data'!I104&lt;=0,0,'Data Entry - SOF'!M75-'IFA-HB3'!AL79-'Calc Data'!I102-'Calc Data'!I104))))</f>
        <v>#DIV/0!</v>
      </c>
      <c r="J109" s="2655" t="e">
        <f>IF('Data Entry - SOF'!$B$2="101-908",J101*(J108*100),IF('Data Entry - SOF'!$B$2="101-910",J101*(J108*100),IF('Data Entry - SOF'!$B$2="101-914",J101*(J108*100),IF('HH2223-40KCalcs'!C12-'IFA-HB3'!R79-'Calc Data'!J102-'Calc Data'!J104&lt;=0,0,'HH2223-40KCalcs'!C12-'IFA-HB3'!R79-'Calc Data'!J102-'Calc Data'!J104))))</f>
        <v>#DIV/0!</v>
      </c>
      <c r="K109" s="2655" t="e">
        <f>IF('Data Entry - SOF'!$B$2="101-908",K101*(K108*100),IF('Data Entry - SOF'!$B$2="101-910",K101*(K108*100),IF('Data Entry - SOF'!$B$2="101-914",K101*(K108*100),IF('HH2324-40KCalcs'!C12-'IFA-HB3'!W79-'Calc Data'!K102-'Calc Data'!K104&lt;=0,0,'HH2324-40KCalcs'!C12-'IFA-HB3'!W79-'Calc Data'!K102-'Calc Data'!K104))))</f>
        <v>#DIV/0!</v>
      </c>
      <c r="L109" s="2655" t="e">
        <f>IF('Data Entry - SOF'!$B$2="101-908",L101*(L108*100),IF('Data Entry - SOF'!$B$2="101-910",L101*(L108*100),IF('Data Entry - SOF'!$B$2="101-914",L101*(L108*100),IF('HH2425-40KCalcs'!C12-'IFA-HB3'!AB79-'Calc Data'!L102-'Calc Data'!L104&lt;=0,0,'HH2425-40KCalcs'!C12-'IFA-HB3'!AB79-'Calc Data'!L102-'Calc Data'!L104))))</f>
        <v>#DIV/0!</v>
      </c>
      <c r="M109" s="2655" t="e">
        <f>IF('Data Entry - SOF'!$B$2="101-908",M101*(M108*100),IF('Data Entry - SOF'!$B$2="101-910",M101*(M108*100),IF('Data Entry - SOF'!$B$2="101-914",M101*(M108*100),IF('HH2526-40KCalcs'!C12-'IFA-HB3'!AG79-'Calc Data'!M102-'Calc Data'!M104&lt;=0,0,'HH2526-40KCalcs'!C12-'IFA-HB3'!AG79-'Calc Data'!M102-'Calc Data'!M104))))</f>
        <v>#DIV/0!</v>
      </c>
      <c r="N109" s="2655" t="e">
        <f>IF('Data Entry - SOF'!$B$2="101-908",N101*(N108*100),IF('Data Entry - SOF'!$B$2="101-910",N101*(N108*100),IF('Data Entry - SOF'!$B$2="101-914",N101*(N108*100),IF('HH2627-40KCalcs'!C12-'IFA-HB3'!AM79-'Calc Data'!N102-'Calc Data'!N104&lt;=0,0,'HH2627-40KCalcs'!C12-'IFA-HB3'!AM79-'Calc Data'!N102-'Calc Data'!N104))))</f>
        <v>#DIV/0!</v>
      </c>
      <c r="O109" s="2660" t="e">
        <f>IF('Data Entry - SOF'!$B$2="101-908",O101*(O108*100),IF('Data Entry - SOF'!$B$2="101-910",O101*(O108*100),IF('Data Entry - SOF'!$B$2="101-914",O101*(O108*100),IF('HH2223-40KCalcs'!D12-'IFA-HB3'!S79-'Calc Data'!O102-'Calc Data'!O104&lt;=0,0,'HH2223-40KCalcs'!D12-'IFA-HB3'!S79-'Calc Data'!O102-'Calc Data'!O104))))</f>
        <v>#DIV/0!</v>
      </c>
      <c r="P109" s="2660" t="e">
        <f>IF('Data Entry - SOF'!$B$2="101-908",P101*(P108*100),IF('Data Entry - SOF'!$B$2="101-910",P101*(P108*100),IF('Data Entry - SOF'!$B$2="101-914",P101*(P108*100),IF('HH2324-40KCalcs'!D12-'IFA-HB3'!X79-'Calc Data'!P102-'Calc Data'!P104&lt;=0,0,'HH2324-40KCalcs'!D12-'IFA-HB3'!X79-'Calc Data'!P102-'Calc Data'!P104))))</f>
        <v>#DIV/0!</v>
      </c>
      <c r="Q109" s="2660" t="e">
        <f>IF('Data Entry - SOF'!$B$2="101-908",Q101*(Q108*100),IF('Data Entry - SOF'!$B$2="101-910",Q101*(Q108*100),IF('Data Entry - SOF'!$B$2="101-914",Q101*(Q108*100),IF('HH2425-40KCalcs'!D12-'IFA-HB3'!AC79-'Calc Data'!Q102-'Calc Data'!Q104&lt;=0,0,'HH2425-40KCalcs'!D12-'IFA-HB3'!AC79-'Calc Data'!Q102-'Calc Data'!Q104))))</f>
        <v>#DIV/0!</v>
      </c>
      <c r="R109" s="2660" t="e">
        <f>IF('Data Entry - SOF'!$B$2="101-908",R101*(R108*100),IF('Data Entry - SOF'!$B$2="101-910",R101*(R108*100),IF('Data Entry - SOF'!$B$2="101-914",R101*(R108*100),IF('HH2526-40KCalcs'!D12-'IFA-HB3'!AG79-'Calc Data'!R102-'Calc Data'!R104&lt;=0,0,'HH2526-40KCalcs'!D12-'IFA-HB3'!AG79-'Calc Data'!R102-'Calc Data'!R104))))</f>
        <v>#DIV/0!</v>
      </c>
      <c r="S109" s="2660" t="e">
        <f>IF('Data Entry - SOF'!$B$2="101-908",S101*(S108*100),IF('Data Entry - SOF'!$B$2="101-910",S101*(S108*100),IF('Data Entry - SOF'!$B$2="101-914",S101*(S108*100),IF('HH2627-40KCalcs'!D12-'IFA-HB3'!AL79-'Calc Data'!S102-'Calc Data'!S104&lt;=0,0,'HH2627-40KCalcs'!D12-'IFA-HB3'!AL79-'Calc Data'!S102-'Calc Data'!S104))))</f>
        <v>#DIV/0!</v>
      </c>
      <c r="T109"/>
      <c r="U109"/>
      <c r="V109"/>
      <c r="W109"/>
      <c r="X109"/>
      <c r="Y109"/>
      <c r="Z109" s="729"/>
      <c r="AA109" s="768"/>
      <c r="AB109" s="768"/>
      <c r="AC109" s="768"/>
      <c r="AD109" s="100"/>
      <c r="AE109" s="477"/>
      <c r="AF109" s="477"/>
      <c r="AG109" s="477"/>
      <c r="AH109" s="100"/>
      <c r="AI109" s="477"/>
      <c r="AJ109" s="477"/>
      <c r="AK109" s="477"/>
      <c r="AL109" s="100"/>
      <c r="AM109" s="477"/>
      <c r="AN109" s="477"/>
      <c r="AO109" s="477"/>
      <c r="AP109" s="176"/>
      <c r="AQ109" s="717"/>
      <c r="AR109" s="835"/>
      <c r="AS109" s="835"/>
      <c r="AT109" s="835"/>
      <c r="AU109" s="848"/>
      <c r="AV109" s="628"/>
      <c r="AW109" s="856"/>
      <c r="AX109" s="856"/>
      <c r="AY109" s="856"/>
      <c r="AZ109" s="717"/>
      <c r="BA109" s="855"/>
      <c r="BB109" s="857"/>
      <c r="BC109" s="857"/>
      <c r="BD109" s="857"/>
      <c r="BE109" s="855"/>
      <c r="BF109" s="857"/>
      <c r="BG109" s="857"/>
      <c r="BH109" s="857"/>
      <c r="BI109" s="848"/>
      <c r="BJ109" s="848"/>
      <c r="BK109" s="848"/>
      <c r="BL109" s="848"/>
    </row>
    <row r="110" spans="1:64" s="122" customFormat="1">
      <c r="A110"/>
      <c r="C110" s="2649" t="s">
        <v>7433</v>
      </c>
      <c r="D110" s="1027" t="e">
        <f>ROUND((D109/'Data Entry - SOF'!C63)*100,4)</f>
        <v>#DIV/0!</v>
      </c>
      <c r="E110" s="1027" t="e">
        <f>ROUND((E109/'Data Entry - SOF'!E66)*100,4)</f>
        <v>#DIV/0!</v>
      </c>
      <c r="F110" s="1027" t="e">
        <f>ROUND((F109/'Data Entry - SOF'!G66)*100,4)</f>
        <v>#DIV/0!</v>
      </c>
      <c r="G110" s="1027" t="e">
        <f>ROUND((G109/'Data Entry - SOF'!I66)*100,4)</f>
        <v>#DIV/0!</v>
      </c>
      <c r="H110" s="1027" t="e">
        <f>ROUND((H109/'Data Entry - SOF'!K66)*100,4)</f>
        <v>#DIV/0!</v>
      </c>
      <c r="I110" s="1027" t="e">
        <f>ROUND((I109/'Data Entry - SOF'!M66)*100,4)</f>
        <v>#DIV/0!</v>
      </c>
      <c r="J110" s="2532" t="e">
        <f>ROUND((J109/'Data Entry - SOF'!E66)*100,4)</f>
        <v>#DIV/0!</v>
      </c>
      <c r="K110" s="2532" t="e">
        <f>ROUND((K109/'Data Entry - SOF'!G66)*100,4)</f>
        <v>#DIV/0!</v>
      </c>
      <c r="L110" s="2532" t="e">
        <f>ROUND((L109/'Data Entry - SOF'!I66)*100,4)</f>
        <v>#DIV/0!</v>
      </c>
      <c r="M110" s="2532" t="e">
        <f>ROUND((M109/'Data Entry - SOF'!K66)*100,4)</f>
        <v>#DIV/0!</v>
      </c>
      <c r="N110" s="2532" t="e">
        <f>ROUND((N109/'Data Entry - SOF'!M66)*100,4)</f>
        <v>#DIV/0!</v>
      </c>
      <c r="O110" s="2661" t="e">
        <f>ROUND((O109/'Data Entry - SOF'!E63)*100,4)</f>
        <v>#DIV/0!</v>
      </c>
      <c r="P110" s="2661" t="e">
        <f>ROUND((P109/'Data Entry - SOF'!G63)*100,4)</f>
        <v>#DIV/0!</v>
      </c>
      <c r="Q110" s="2661" t="e">
        <f>ROUND((Q109/'Data Entry - SOF'!I63)*100,4)</f>
        <v>#DIV/0!</v>
      </c>
      <c r="R110" s="2661" t="e">
        <f>ROUND((R109/'Data Entry - SOF'!K63)*100,4)</f>
        <v>#DIV/0!</v>
      </c>
      <c r="S110" s="2661" t="e">
        <f>ROUND((S109/'Data Entry - SOF'!M63)*100,4)</f>
        <v>#DIV/0!</v>
      </c>
      <c r="T110"/>
      <c r="U110"/>
      <c r="V110"/>
      <c r="W110"/>
      <c r="X110"/>
      <c r="Y110"/>
      <c r="Z110" s="729"/>
      <c r="AA110" s="768"/>
      <c r="AB110" s="768"/>
      <c r="AC110" s="768"/>
      <c r="AD110" s="100"/>
      <c r="AE110" s="477"/>
      <c r="AF110" s="477"/>
      <c r="AG110" s="477"/>
      <c r="AH110" s="100"/>
      <c r="AI110" s="477"/>
      <c r="AJ110" s="477"/>
      <c r="AK110" s="477"/>
      <c r="AL110" s="100"/>
      <c r="AM110" s="477"/>
      <c r="AN110" s="477"/>
      <c r="AO110" s="477"/>
      <c r="AP110" s="176"/>
      <c r="AQ110" s="717"/>
      <c r="AR110" s="835"/>
      <c r="AS110" s="835"/>
      <c r="AT110" s="835"/>
      <c r="AU110" s="848"/>
      <c r="AV110" s="628"/>
      <c r="AW110" s="856"/>
      <c r="AX110" s="856"/>
      <c r="AY110" s="856"/>
      <c r="AZ110" s="717"/>
      <c r="BA110" s="855"/>
      <c r="BB110" s="857"/>
      <c r="BC110" s="857"/>
      <c r="BD110" s="857"/>
      <c r="BE110" s="855"/>
      <c r="BF110" s="857"/>
      <c r="BG110" s="857"/>
      <c r="BH110" s="857"/>
      <c r="BI110" s="848"/>
      <c r="BJ110" s="848"/>
      <c r="BK110" s="848"/>
      <c r="BL110" s="848"/>
    </row>
    <row r="111" spans="1:64" s="122" customFormat="1">
      <c r="A111"/>
      <c r="C111" s="2650" t="s">
        <v>7434</v>
      </c>
      <c r="D111" s="1022" t="e">
        <f>D110*('Data Entry - SOF'!C63/100)</f>
        <v>#DIV/0!</v>
      </c>
      <c r="E111" s="1022" t="e">
        <f>E110*('Data Entry - SOF'!E66/100)</f>
        <v>#DIV/0!</v>
      </c>
      <c r="F111" s="1022" t="e">
        <f>F110*('Data Entry - SOF'!G66/100)</f>
        <v>#DIV/0!</v>
      </c>
      <c r="G111" s="1022" t="e">
        <f>G110*('Data Entry - SOF'!I66/100)</f>
        <v>#DIV/0!</v>
      </c>
      <c r="H111" s="1022" t="e">
        <f>H110*('Data Entry - SOF'!K66/100)</f>
        <v>#DIV/0!</v>
      </c>
      <c r="I111" s="1022" t="e">
        <f>I110*('Data Entry - SOF'!M66/100)</f>
        <v>#DIV/0!</v>
      </c>
      <c r="J111" s="2531" t="e">
        <f>J110*('Data Entry - SOF'!E66/100)</f>
        <v>#DIV/0!</v>
      </c>
      <c r="K111" s="2531" t="e">
        <f>K110*('Data Entry - SOF'!G66/100)</f>
        <v>#DIV/0!</v>
      </c>
      <c r="L111" s="2531" t="e">
        <f>L110*('Data Entry - SOF'!I66/100)</f>
        <v>#DIV/0!</v>
      </c>
      <c r="M111" s="2531" t="e">
        <f>M110*('Data Entry - SOF'!K66/100)</f>
        <v>#DIV/0!</v>
      </c>
      <c r="N111" s="2531" t="e">
        <f>N110*('Data Entry - SOF'!M66/100)</f>
        <v>#DIV/0!</v>
      </c>
      <c r="O111" s="2659" t="e">
        <f>O110*('Data Entry - SOF'!E63/100)</f>
        <v>#DIV/0!</v>
      </c>
      <c r="P111" s="2659" t="e">
        <f>P110*('Data Entry - SOF'!G63/100)</f>
        <v>#DIV/0!</v>
      </c>
      <c r="Q111" s="2659" t="e">
        <f>Q110*('Data Entry - SOF'!I63/100)</f>
        <v>#DIV/0!</v>
      </c>
      <c r="R111" s="2659" t="e">
        <f>R110*('Data Entry - SOF'!K63/100)</f>
        <v>#DIV/0!</v>
      </c>
      <c r="S111" s="2659" t="e">
        <f>S110*('Data Entry - SOF'!M63/100)</f>
        <v>#DIV/0!</v>
      </c>
      <c r="T111"/>
      <c r="U111"/>
      <c r="V111"/>
      <c r="W111"/>
      <c r="X111"/>
      <c r="Y111"/>
      <c r="Z111" s="729"/>
      <c r="AA111" s="768"/>
      <c r="AB111" s="768"/>
      <c r="AC111" s="768"/>
      <c r="AD111" s="100"/>
      <c r="AE111" s="477"/>
      <c r="AF111" s="477"/>
      <c r="AG111" s="477"/>
      <c r="AH111" s="100"/>
      <c r="AI111" s="477"/>
      <c r="AJ111" s="477"/>
      <c r="AK111" s="477"/>
      <c r="AL111" s="100"/>
      <c r="AM111" s="477"/>
      <c r="AN111" s="477"/>
      <c r="AO111" s="477"/>
      <c r="AP111" s="176"/>
      <c r="AQ111" s="717"/>
      <c r="AR111" s="835"/>
      <c r="AS111" s="835"/>
      <c r="AT111" s="835"/>
      <c r="AU111" s="848"/>
      <c r="AV111" s="628"/>
      <c r="AW111" s="856"/>
      <c r="AX111" s="856"/>
      <c r="AY111" s="856"/>
      <c r="AZ111" s="717"/>
      <c r="BA111" s="855"/>
      <c r="BB111" s="857"/>
      <c r="BC111" s="857"/>
      <c r="BD111" s="857"/>
      <c r="BE111" s="855"/>
      <c r="BF111" s="857"/>
      <c r="BG111" s="857"/>
      <c r="BH111" s="857"/>
      <c r="BI111" s="848"/>
      <c r="BJ111" s="848"/>
      <c r="BK111" s="848"/>
      <c r="BL111" s="848"/>
    </row>
    <row r="112" spans="1:64" s="122" customFormat="1">
      <c r="A112"/>
      <c r="C112" s="1038"/>
      <c r="D112" s="526"/>
      <c r="E112" s="526"/>
      <c r="F112" s="526"/>
      <c r="G112" s="866"/>
      <c r="H112" s="866"/>
      <c r="I112" s="866"/>
      <c r="J112" s="526"/>
      <c r="K112" s="526"/>
      <c r="L112" s="866"/>
      <c r="M112" s="866"/>
      <c r="N112" s="866"/>
      <c r="O112" s="2662"/>
      <c r="P112" s="2662"/>
      <c r="Q112" s="2662"/>
      <c r="R112" s="2662"/>
      <c r="S112" s="2662"/>
      <c r="T112"/>
      <c r="U112"/>
      <c r="V112"/>
      <c r="W112"/>
      <c r="X112"/>
      <c r="Y112"/>
      <c r="Z112" s="729"/>
      <c r="AA112" s="768"/>
      <c r="AB112" s="768"/>
      <c r="AC112" s="768"/>
      <c r="AD112" s="100"/>
      <c r="AE112" s="477"/>
      <c r="AF112" s="477"/>
      <c r="AG112" s="477"/>
      <c r="AH112" s="100"/>
      <c r="AI112" s="477"/>
      <c r="AJ112" s="477"/>
      <c r="AK112" s="477"/>
      <c r="AL112" s="100"/>
      <c r="AM112" s="477"/>
      <c r="AN112" s="477"/>
      <c r="AO112" s="477"/>
      <c r="AP112" s="176"/>
      <c r="AQ112" s="717"/>
      <c r="AR112" s="835"/>
      <c r="AS112" s="835"/>
      <c r="AT112" s="835"/>
      <c r="AU112" s="848"/>
      <c r="AV112" s="628"/>
      <c r="AW112" s="856"/>
      <c r="AX112" s="856"/>
      <c r="AY112" s="856"/>
      <c r="AZ112" s="717"/>
      <c r="BA112" s="855"/>
      <c r="BB112" s="857"/>
      <c r="BC112" s="857"/>
      <c r="BD112" s="857"/>
      <c r="BE112" s="855"/>
      <c r="BF112" s="857"/>
      <c r="BG112" s="857"/>
      <c r="BH112" s="857"/>
      <c r="BI112" s="848"/>
      <c r="BJ112" s="848"/>
      <c r="BK112" s="848"/>
      <c r="BL112" s="848"/>
    </row>
    <row r="113" spans="1:64" s="122" customFormat="1">
      <c r="A113"/>
      <c r="C113" s="1038" t="s">
        <v>7469</v>
      </c>
      <c r="D113" s="1034" t="e">
        <f>D101*('Data Entry - SOF'!C124*100)</f>
        <v>#DIV/0!</v>
      </c>
      <c r="E113" s="1034" t="e">
        <f>E101*('Data Entry - SOF'!E124*100)</f>
        <v>#DIV/0!</v>
      </c>
      <c r="F113" s="1034" t="e">
        <f>F101*('Data Entry - SOF'!G124*100)</f>
        <v>#DIV/0!</v>
      </c>
      <c r="G113" s="1034" t="e">
        <f>G101*('Data Entry - SOF'!I124*100)</f>
        <v>#DIV/0!</v>
      </c>
      <c r="H113" s="1034" t="e">
        <f>H101*('Data Entry - SOF'!K124*100)</f>
        <v>#DIV/0!</v>
      </c>
      <c r="I113" s="1034" t="e">
        <f>I101*('Data Entry - SOF'!M124*100)</f>
        <v>#DIV/0!</v>
      </c>
      <c r="J113" s="2533" t="e">
        <f>J101*('HH2223-40KCalcs'!G12*100)</f>
        <v>#DIV/0!</v>
      </c>
      <c r="K113" s="2533" t="e">
        <f>K101*('HH2324-40KCalcs'!G12*100)</f>
        <v>#DIV/0!</v>
      </c>
      <c r="L113" s="2533" t="e">
        <f>L101*('HH2425-40KCalcs'!G12*100)</f>
        <v>#DIV/0!</v>
      </c>
      <c r="M113" s="2533" t="e">
        <f>M101*('HH2526-40KCalcs'!G12*100)</f>
        <v>#DIV/0!</v>
      </c>
      <c r="N113" s="2533" t="e">
        <f>N101*('HH2526-40KCalcs'!H12*100)</f>
        <v>#DIV/0!</v>
      </c>
      <c r="O113" s="2533" t="e">
        <f>O101*('HH2223-40KCalcs'!H12*100)</f>
        <v>#DIV/0!</v>
      </c>
      <c r="P113" s="2533" t="e">
        <f>P101*('HH2324-40KCalcs'!H12*100)</f>
        <v>#DIV/0!</v>
      </c>
      <c r="Q113" s="2533" t="e">
        <f>Q101*('HH2425-40KCalcs'!H12*100)</f>
        <v>#DIV/0!</v>
      </c>
      <c r="R113" s="2533" t="e">
        <f>R101*('HH2526-40KCalcs'!H12*100)</f>
        <v>#DIV/0!</v>
      </c>
      <c r="S113" s="2533" t="e">
        <f>S101*('HH2526-40KCalcs'!H12*100)</f>
        <v>#DIV/0!</v>
      </c>
      <c r="T113"/>
      <c r="U113"/>
      <c r="V113"/>
      <c r="W113"/>
      <c r="X113"/>
      <c r="Y113"/>
      <c r="Z113" s="729"/>
      <c r="AA113" s="768"/>
      <c r="AB113" s="768"/>
      <c r="AC113" s="768"/>
      <c r="AD113" s="100"/>
      <c r="AE113" s="477"/>
      <c r="AF113" s="477"/>
      <c r="AG113" s="477"/>
      <c r="AH113" s="100"/>
      <c r="AI113" s="477"/>
      <c r="AJ113" s="477"/>
      <c r="AK113" s="477"/>
      <c r="AL113" s="100"/>
      <c r="AM113" s="477"/>
      <c r="AN113" s="477"/>
      <c r="AO113" s="477"/>
      <c r="AP113" s="176"/>
      <c r="AQ113" s="717"/>
      <c r="AR113" s="835"/>
      <c r="AS113" s="835"/>
      <c r="AT113" s="835"/>
      <c r="AU113" s="848"/>
      <c r="AV113" s="628"/>
      <c r="AW113" s="856"/>
      <c r="AX113" s="856"/>
      <c r="AY113" s="856"/>
      <c r="AZ113" s="717"/>
      <c r="BA113" s="855"/>
      <c r="BB113" s="857"/>
      <c r="BC113" s="857"/>
      <c r="BD113" s="857"/>
      <c r="BE113" s="855"/>
      <c r="BF113" s="857"/>
      <c r="BG113" s="857"/>
      <c r="BH113" s="857"/>
      <c r="BI113" s="848"/>
      <c r="BJ113" s="848"/>
      <c r="BK113" s="848"/>
      <c r="BL113" s="848"/>
    </row>
    <row r="114" spans="1:64" s="122" customFormat="1">
      <c r="A114" s="1037"/>
      <c r="B114" s="1036"/>
      <c r="C114" s="1154"/>
      <c r="D114" s="669"/>
      <c r="E114" s="59"/>
      <c r="F114" s="59"/>
      <c r="G114" s="866"/>
      <c r="H114" s="866"/>
      <c r="I114" s="866"/>
      <c r="J114" s="866"/>
      <c r="K114" s="866"/>
      <c r="L114" s="202"/>
      <c r="M114" s="208"/>
      <c r="N114" s="208"/>
      <c r="O114" s="209"/>
      <c r="P114" s="210"/>
      <c r="Q114" s="211"/>
      <c r="R114" s="212"/>
      <c r="S114" s="212"/>
      <c r="T114"/>
      <c r="U114"/>
      <c r="V114"/>
      <c r="W114"/>
      <c r="X114"/>
      <c r="Y114"/>
      <c r="Z114" s="729"/>
      <c r="AA114" s="768"/>
      <c r="AB114" s="768"/>
      <c r="AC114" s="768"/>
      <c r="AD114" s="100"/>
      <c r="AE114" s="477"/>
      <c r="AF114" s="477"/>
      <c r="AG114" s="477"/>
      <c r="AH114" s="100"/>
      <c r="AI114" s="477"/>
      <c r="AJ114" s="477"/>
      <c r="AK114" s="477"/>
      <c r="AL114" s="100"/>
      <c r="AM114" s="477"/>
      <c r="AN114" s="477"/>
      <c r="AO114" s="477"/>
      <c r="AP114" s="176"/>
      <c r="AQ114" s="1037"/>
      <c r="AR114" s="835"/>
      <c r="AS114" s="835"/>
      <c r="AT114" s="835"/>
      <c r="AU114" s="848"/>
      <c r="AV114" s="628"/>
      <c r="AW114" s="856"/>
      <c r="AX114" s="856"/>
      <c r="AY114" s="856"/>
      <c r="AZ114" s="1037"/>
      <c r="BA114" s="855"/>
      <c r="BB114" s="857"/>
      <c r="BC114" s="857"/>
      <c r="BD114" s="857"/>
      <c r="BE114" s="855"/>
      <c r="BF114" s="857"/>
      <c r="BG114" s="857"/>
      <c r="BH114" s="857"/>
      <c r="BI114" s="848"/>
      <c r="BJ114" s="848"/>
      <c r="BK114" s="848"/>
      <c r="BL114" s="848"/>
    </row>
    <row r="115" spans="1:64" s="848" customFormat="1">
      <c r="A115" s="1037"/>
      <c r="B115" s="1036"/>
      <c r="C115" s="1154"/>
      <c r="D115" s="1187" t="s">
        <v>7755</v>
      </c>
      <c r="E115" s="1187" t="s">
        <v>10457</v>
      </c>
      <c r="F115" s="1187" t="s">
        <v>10458</v>
      </c>
      <c r="G115" s="1187" t="s">
        <v>10459</v>
      </c>
      <c r="H115" s="1187" t="s">
        <v>10460</v>
      </c>
      <c r="I115" s="1187" t="s">
        <v>11057</v>
      </c>
      <c r="J115" s="2654" t="s">
        <v>10427</v>
      </c>
      <c r="K115" s="2654" t="s">
        <v>10428</v>
      </c>
      <c r="L115" s="2654" t="s">
        <v>10429</v>
      </c>
      <c r="M115" s="2654" t="s">
        <v>10430</v>
      </c>
      <c r="N115" s="2654" t="s">
        <v>10430</v>
      </c>
      <c r="O115" s="2652" t="s">
        <v>10431</v>
      </c>
      <c r="P115" s="2653" t="s">
        <v>10440</v>
      </c>
      <c r="Q115" s="2654" t="s">
        <v>10443</v>
      </c>
      <c r="R115" s="2654" t="s">
        <v>10737</v>
      </c>
      <c r="S115" s="2654" t="s">
        <v>11058</v>
      </c>
      <c r="T115" s="1037"/>
      <c r="U115" s="1037"/>
      <c r="V115" s="1037"/>
      <c r="W115" s="1037"/>
      <c r="X115" s="1037"/>
      <c r="Y115" s="1037"/>
      <c r="Z115" s="1037"/>
      <c r="AA115" s="835"/>
      <c r="AB115" s="835"/>
      <c r="AC115" s="835"/>
      <c r="AD115" s="1037"/>
      <c r="AE115" s="835"/>
      <c r="AF115" s="835"/>
      <c r="AG115" s="835"/>
      <c r="AH115" s="1037"/>
      <c r="AI115" s="835"/>
      <c r="AJ115" s="835"/>
      <c r="AK115" s="835"/>
      <c r="AL115" s="1037"/>
      <c r="AM115" s="835"/>
      <c r="AN115" s="835"/>
      <c r="AO115" s="835"/>
      <c r="AQ115" s="1037"/>
      <c r="AR115" s="835"/>
      <c r="AS115" s="835"/>
      <c r="AT115" s="835"/>
      <c r="AV115" s="628"/>
      <c r="AW115" s="856"/>
      <c r="AX115" s="856"/>
      <c r="AY115" s="856"/>
      <c r="AZ115" s="1037"/>
      <c r="BA115" s="855"/>
      <c r="BB115" s="857"/>
      <c r="BC115" s="857"/>
      <c r="BD115" s="857"/>
      <c r="BE115" s="855"/>
      <c r="BF115" s="857"/>
      <c r="BG115" s="857"/>
      <c r="BH115" s="857"/>
    </row>
    <row r="116" spans="1:64" s="848" customFormat="1">
      <c r="A116" s="1037"/>
      <c r="B116" s="1036"/>
      <c r="C116" s="1036" t="s">
        <v>7731</v>
      </c>
      <c r="D116" s="1347">
        <v>0.93</v>
      </c>
      <c r="E116" s="1347">
        <v>0.93</v>
      </c>
      <c r="F116" s="1347">
        <v>0.93</v>
      </c>
      <c r="G116" s="1347">
        <v>0.93</v>
      </c>
      <c r="H116" s="1347">
        <v>0.93</v>
      </c>
      <c r="I116" s="1347">
        <v>0.93</v>
      </c>
      <c r="J116" s="2699">
        <v>0.93</v>
      </c>
      <c r="K116" s="2699">
        <v>0.93</v>
      </c>
      <c r="L116" s="2699">
        <v>0.93</v>
      </c>
      <c r="M116" s="2699">
        <v>0.93</v>
      </c>
      <c r="N116" s="2699">
        <v>0.93</v>
      </c>
      <c r="O116" s="2688">
        <v>0.93</v>
      </c>
      <c r="P116" s="2688">
        <v>0.93</v>
      </c>
      <c r="Q116" s="2688">
        <v>0.93</v>
      </c>
      <c r="R116" s="2688">
        <v>0.93</v>
      </c>
      <c r="S116" s="2688">
        <v>0.93</v>
      </c>
      <c r="T116" s="1037"/>
      <c r="U116" s="1037"/>
      <c r="V116" s="1037"/>
      <c r="W116" s="1037"/>
      <c r="X116" s="1037"/>
      <c r="Y116" s="1037"/>
      <c r="Z116" s="1037"/>
      <c r="AA116" s="835"/>
      <c r="AB116" s="835"/>
      <c r="AC116" s="835"/>
      <c r="AD116" s="1037"/>
      <c r="AE116" s="835"/>
      <c r="AF116" s="835"/>
      <c r="AG116" s="835"/>
      <c r="AH116" s="1037"/>
      <c r="AI116" s="835"/>
      <c r="AJ116" s="835"/>
      <c r="AK116" s="835"/>
      <c r="AL116" s="1037"/>
      <c r="AM116" s="835"/>
      <c r="AN116" s="835"/>
      <c r="AO116" s="835"/>
      <c r="AQ116" s="1037"/>
      <c r="AR116" s="835"/>
      <c r="AS116" s="835"/>
      <c r="AT116" s="835"/>
      <c r="AV116" s="628"/>
      <c r="AW116" s="856"/>
      <c r="AX116" s="856"/>
      <c r="AY116" s="856"/>
      <c r="AZ116" s="1037"/>
      <c r="BA116" s="855"/>
      <c r="BB116" s="857"/>
      <c r="BC116" s="857"/>
      <c r="BD116" s="857"/>
      <c r="BE116" s="855"/>
      <c r="BF116" s="857"/>
      <c r="BG116" s="857"/>
      <c r="BH116" s="857"/>
    </row>
    <row r="117" spans="1:64" s="848" customFormat="1">
      <c r="A117" s="1037"/>
      <c r="B117" s="1036"/>
      <c r="C117" s="1160" t="s">
        <v>7732</v>
      </c>
      <c r="D117" s="1348"/>
      <c r="E117" s="1348"/>
      <c r="F117" s="1348"/>
      <c r="G117" s="866"/>
      <c r="H117" s="866"/>
      <c r="I117" s="866"/>
      <c r="J117" s="2700"/>
      <c r="K117" s="2701"/>
      <c r="L117" s="2702"/>
      <c r="M117" s="2703"/>
      <c r="N117" s="2703"/>
      <c r="O117" s="2689"/>
      <c r="P117" s="2690"/>
      <c r="Q117" s="2691"/>
      <c r="R117" s="2692"/>
      <c r="S117" s="2692"/>
      <c r="T117" s="1037"/>
      <c r="U117" s="1037"/>
      <c r="V117" s="1037"/>
      <c r="W117" s="1037"/>
      <c r="X117" s="1037"/>
      <c r="Y117" s="1037"/>
      <c r="Z117" s="1037"/>
      <c r="AA117" s="835"/>
      <c r="AB117" s="835"/>
      <c r="AC117" s="835"/>
      <c r="AD117" s="1037"/>
      <c r="AE117" s="835"/>
      <c r="AF117" s="835"/>
      <c r="AG117" s="835"/>
      <c r="AH117" s="1037"/>
      <c r="AI117" s="835"/>
      <c r="AJ117" s="835"/>
      <c r="AK117" s="835"/>
      <c r="AL117" s="1037"/>
      <c r="AM117" s="835"/>
      <c r="AN117" s="835"/>
      <c r="AO117" s="835"/>
      <c r="AQ117" s="1037"/>
      <c r="AR117" s="835"/>
      <c r="AS117" s="835"/>
      <c r="AT117" s="835"/>
      <c r="AV117" s="628"/>
      <c r="AW117" s="856"/>
      <c r="AX117" s="856"/>
      <c r="AY117" s="856"/>
      <c r="AZ117" s="1037"/>
      <c r="BA117" s="855"/>
      <c r="BB117" s="857"/>
      <c r="BC117" s="857"/>
      <c r="BD117" s="857"/>
      <c r="BE117" s="855"/>
      <c r="BF117" s="857"/>
      <c r="BG117" s="857"/>
      <c r="BH117" s="857"/>
    </row>
    <row r="118" spans="1:64" s="848" customFormat="1">
      <c r="A118" s="1037"/>
      <c r="B118" s="1036"/>
      <c r="C118" s="1161" t="s">
        <v>7733</v>
      </c>
      <c r="D118" s="1348"/>
      <c r="E118" s="1348"/>
      <c r="F118" s="1348"/>
      <c r="G118" s="866"/>
      <c r="H118" s="866"/>
      <c r="I118" s="866"/>
      <c r="J118" s="2700"/>
      <c r="K118" s="2701"/>
      <c r="L118" s="2702"/>
      <c r="M118" s="2703"/>
      <c r="N118" s="2703"/>
      <c r="O118" s="2689"/>
      <c r="P118" s="2690"/>
      <c r="Q118" s="2691"/>
      <c r="R118" s="2692"/>
      <c r="S118" s="2692"/>
      <c r="T118" s="1037"/>
      <c r="U118" s="1037"/>
      <c r="V118" s="1037"/>
      <c r="W118" s="1037"/>
      <c r="X118" s="1037"/>
      <c r="Y118" s="1037"/>
      <c r="Z118" s="1037"/>
      <c r="AA118" s="835"/>
      <c r="AB118" s="835"/>
      <c r="AC118" s="835"/>
      <c r="AD118" s="1037"/>
      <c r="AE118" s="835"/>
      <c r="AF118" s="835"/>
      <c r="AG118" s="835"/>
      <c r="AH118" s="1037"/>
      <c r="AI118" s="835"/>
      <c r="AJ118" s="835"/>
      <c r="AK118" s="835"/>
      <c r="AL118" s="1037"/>
      <c r="AM118" s="835"/>
      <c r="AN118" s="835"/>
      <c r="AO118" s="835"/>
      <c r="AQ118" s="1037"/>
      <c r="AR118" s="835"/>
      <c r="AS118" s="835"/>
      <c r="AT118" s="835"/>
      <c r="AV118" s="628"/>
      <c r="AW118" s="856"/>
      <c r="AX118" s="856"/>
      <c r="AY118" s="856"/>
      <c r="AZ118" s="1037"/>
      <c r="BA118" s="855"/>
      <c r="BB118" s="857"/>
      <c r="BC118" s="857"/>
      <c r="BD118" s="857"/>
      <c r="BE118" s="855"/>
      <c r="BF118" s="857"/>
      <c r="BG118" s="857"/>
      <c r="BH118" s="857"/>
    </row>
    <row r="119" spans="1:64" s="848" customFormat="1">
      <c r="A119" s="1037"/>
      <c r="B119" s="1036"/>
      <c r="C119" s="1162" t="s">
        <v>7734</v>
      </c>
      <c r="D119" s="1163">
        <v>0.91639999999999999</v>
      </c>
      <c r="E119" s="1163">
        <f t="shared" ref="E119:I119" si="28">D125</f>
        <v>0.91339999999999999</v>
      </c>
      <c r="F119" s="1163">
        <f t="shared" si="28"/>
        <v>0.89410000000000001</v>
      </c>
      <c r="G119" s="1163">
        <f t="shared" si="28"/>
        <v>0.88270000000000004</v>
      </c>
      <c r="H119" s="1163">
        <f t="shared" si="28"/>
        <v>0.86529999999999996</v>
      </c>
      <c r="I119" s="1163">
        <f t="shared" si="28"/>
        <v>0.84819999999999995</v>
      </c>
      <c r="J119" s="2704">
        <f>D125</f>
        <v>0.91339999999999999</v>
      </c>
      <c r="K119" s="2704">
        <f>J125</f>
        <v>0.89410000000000001</v>
      </c>
      <c r="L119" s="2704">
        <f>K125</f>
        <v>0.87809999999999999</v>
      </c>
      <c r="M119" s="2704">
        <f>L125</f>
        <v>0.86240000000000006</v>
      </c>
      <c r="N119" s="2704">
        <f>M125</f>
        <v>0.84699999999999998</v>
      </c>
      <c r="O119" s="2693">
        <f>D125</f>
        <v>0.91339999999999999</v>
      </c>
      <c r="P119" s="2693">
        <f>O125</f>
        <v>0.89410000000000001</v>
      </c>
      <c r="Q119" s="2693">
        <f>P125</f>
        <v>0.87809999999999999</v>
      </c>
      <c r="R119" s="2693">
        <f>Q125</f>
        <v>0.86240000000000006</v>
      </c>
      <c r="S119" s="2693">
        <f>R125</f>
        <v>0.84699999999999998</v>
      </c>
      <c r="T119" s="1037"/>
      <c r="U119" s="1037"/>
      <c r="V119" s="1037"/>
      <c r="W119" s="1037"/>
      <c r="X119" s="1037"/>
      <c r="Y119" s="1037"/>
      <c r="Z119" s="1037"/>
      <c r="AA119" s="835"/>
      <c r="AB119" s="835"/>
      <c r="AC119" s="835"/>
      <c r="AD119" s="1037"/>
      <c r="AE119" s="835"/>
      <c r="AF119" s="835"/>
      <c r="AG119" s="835"/>
      <c r="AH119" s="1037"/>
      <c r="AI119" s="835"/>
      <c r="AJ119" s="835"/>
      <c r="AK119" s="835"/>
      <c r="AL119" s="1037"/>
      <c r="AM119" s="835"/>
      <c r="AN119" s="835"/>
      <c r="AO119" s="835"/>
      <c r="AQ119" s="1037"/>
      <c r="AR119" s="835"/>
      <c r="AS119" s="835"/>
      <c r="AT119" s="835"/>
      <c r="AV119" s="628"/>
      <c r="AW119" s="856"/>
      <c r="AX119" s="856"/>
      <c r="AY119" s="856"/>
      <c r="AZ119" s="1037"/>
      <c r="BA119" s="855"/>
      <c r="BB119" s="857"/>
      <c r="BC119" s="857"/>
      <c r="BD119" s="857"/>
      <c r="BE119" s="855"/>
      <c r="BF119" s="857"/>
      <c r="BG119" s="857"/>
      <c r="BH119" s="857"/>
    </row>
    <row r="120" spans="1:64" s="848" customFormat="1">
      <c r="A120" s="1037"/>
      <c r="B120" s="1036"/>
      <c r="C120" s="1161" t="s">
        <v>7735</v>
      </c>
      <c r="D120" s="1886">
        <v>1.84E-2</v>
      </c>
      <c r="E120" s="1886">
        <v>4.36E-2</v>
      </c>
      <c r="F120" s="3209">
        <v>3.8199999999999998E-2</v>
      </c>
      <c r="G120" s="3210">
        <v>4.5600000000000002E-2</v>
      </c>
      <c r="H120" s="2139">
        <f>G120</f>
        <v>4.5600000000000002E-2</v>
      </c>
      <c r="I120" s="2139">
        <f>H120</f>
        <v>4.5600000000000002E-2</v>
      </c>
      <c r="J120" s="2705">
        <v>4.36E-2</v>
      </c>
      <c r="K120" s="2705">
        <f>J120</f>
        <v>4.36E-2</v>
      </c>
      <c r="L120" s="2706">
        <f>K120</f>
        <v>4.36E-2</v>
      </c>
      <c r="M120" s="2705">
        <f>L120</f>
        <v>4.36E-2</v>
      </c>
      <c r="N120" s="2705">
        <f>M120</f>
        <v>4.36E-2</v>
      </c>
      <c r="O120" s="2694">
        <v>4.36E-2</v>
      </c>
      <c r="P120" s="2694">
        <f>O120</f>
        <v>4.36E-2</v>
      </c>
      <c r="Q120" s="2695">
        <f>P120</f>
        <v>4.36E-2</v>
      </c>
      <c r="R120" s="2694">
        <f>Q120</f>
        <v>4.36E-2</v>
      </c>
      <c r="S120" s="2694">
        <f>R120</f>
        <v>4.36E-2</v>
      </c>
      <c r="T120" s="1037"/>
      <c r="U120" s="1037"/>
      <c r="V120" s="1037"/>
      <c r="W120" s="1037"/>
      <c r="X120" s="1037"/>
      <c r="Y120" s="1037"/>
      <c r="Z120" s="1037"/>
      <c r="AA120" s="835"/>
      <c r="AB120" s="835"/>
      <c r="AC120" s="835"/>
      <c r="AD120" s="1037"/>
      <c r="AE120" s="835"/>
      <c r="AF120" s="835"/>
      <c r="AG120" s="835"/>
      <c r="AH120" s="1037"/>
      <c r="AI120" s="835"/>
      <c r="AJ120" s="835"/>
      <c r="AK120" s="835"/>
      <c r="AL120" s="1037"/>
      <c r="AM120" s="835"/>
      <c r="AN120" s="835"/>
      <c r="AO120" s="835"/>
      <c r="AQ120" s="1037"/>
      <c r="AR120" s="835"/>
      <c r="AS120" s="835"/>
      <c r="AT120" s="835"/>
      <c r="AV120" s="628"/>
      <c r="AW120" s="856"/>
      <c r="AX120" s="856"/>
      <c r="AY120" s="856"/>
      <c r="AZ120" s="1037"/>
      <c r="BA120" s="855"/>
      <c r="BB120" s="857"/>
      <c r="BC120" s="857"/>
      <c r="BD120" s="857"/>
      <c r="BE120" s="855"/>
      <c r="BF120" s="857"/>
      <c r="BG120" s="857"/>
      <c r="BH120" s="857"/>
    </row>
    <row r="121" spans="1:64" s="848" customFormat="1">
      <c r="A121" s="1037"/>
      <c r="B121" s="1036"/>
      <c r="C121" s="1161" t="s">
        <v>7736</v>
      </c>
      <c r="D121" s="1163">
        <f t="shared" ref="D121:M121" si="29">TRUNC((D119*1.025)/(1+D120),4)</f>
        <v>0.92230000000000001</v>
      </c>
      <c r="E121" s="1163">
        <f t="shared" si="29"/>
        <v>0.89710000000000001</v>
      </c>
      <c r="F121" s="1163">
        <f t="shared" si="29"/>
        <v>0.88270000000000004</v>
      </c>
      <c r="G121" s="2140">
        <f t="shared" si="29"/>
        <v>0.86529999999999996</v>
      </c>
      <c r="H121" s="2140">
        <f t="shared" si="29"/>
        <v>0.84819999999999995</v>
      </c>
      <c r="I121" s="2140">
        <f t="shared" ref="I121" si="30">TRUNC((I119*1.025)/(1+I120),4)</f>
        <v>0.83140000000000003</v>
      </c>
      <c r="J121" s="2704">
        <f t="shared" si="29"/>
        <v>0.89710000000000001</v>
      </c>
      <c r="K121" s="2704">
        <f t="shared" si="29"/>
        <v>0.87809999999999999</v>
      </c>
      <c r="L121" s="2707">
        <f t="shared" si="29"/>
        <v>0.86240000000000006</v>
      </c>
      <c r="M121" s="2704">
        <f t="shared" si="29"/>
        <v>0.84699999999999998</v>
      </c>
      <c r="N121" s="2704">
        <f t="shared" ref="N121" si="31">TRUNC((N119*1.025)/(1+N120),4)</f>
        <v>0.83189999999999997</v>
      </c>
      <c r="O121" s="2693">
        <f t="shared" ref="O121:R121" si="32">TRUNC((O119*1.025)/(1+O120),4)</f>
        <v>0.89710000000000001</v>
      </c>
      <c r="P121" s="2693">
        <f t="shared" si="32"/>
        <v>0.87809999999999999</v>
      </c>
      <c r="Q121" s="2696">
        <f t="shared" si="32"/>
        <v>0.86240000000000006</v>
      </c>
      <c r="R121" s="2693">
        <f t="shared" si="32"/>
        <v>0.84699999999999998</v>
      </c>
      <c r="S121" s="2693">
        <f t="shared" ref="S121" si="33">TRUNC((S119*1.025)/(1+S120),4)</f>
        <v>0.83189999999999997</v>
      </c>
      <c r="T121" s="1037"/>
      <c r="U121" s="1037"/>
      <c r="V121" s="1037"/>
      <c r="W121" s="1037"/>
      <c r="X121" s="1037"/>
      <c r="Y121" s="1037"/>
      <c r="Z121" s="1037"/>
      <c r="AA121" s="835"/>
      <c r="AB121" s="835"/>
      <c r="AC121" s="835"/>
      <c r="AD121" s="1037"/>
      <c r="AE121" s="835"/>
      <c r="AF121" s="835"/>
      <c r="AG121" s="835"/>
      <c r="AH121" s="1037"/>
      <c r="AI121" s="835"/>
      <c r="AJ121" s="835"/>
      <c r="AK121" s="835"/>
      <c r="AL121" s="1037"/>
      <c r="AM121" s="835"/>
      <c r="AN121" s="835"/>
      <c r="AO121" s="835"/>
      <c r="AQ121" s="1037"/>
      <c r="AR121" s="835"/>
      <c r="AS121" s="835"/>
      <c r="AT121" s="835"/>
      <c r="AV121" s="628"/>
      <c r="AW121" s="856"/>
      <c r="AX121" s="856"/>
      <c r="AY121" s="856"/>
      <c r="AZ121" s="1037"/>
      <c r="BA121" s="855"/>
      <c r="BB121" s="857"/>
      <c r="BC121" s="857"/>
      <c r="BD121" s="857"/>
      <c r="BE121" s="855"/>
      <c r="BF121" s="857"/>
      <c r="BG121" s="857"/>
      <c r="BH121" s="857"/>
    </row>
    <row r="122" spans="1:64" s="848" customFormat="1">
      <c r="A122" s="1037"/>
      <c r="B122" s="1036"/>
      <c r="C122" s="1160" t="s">
        <v>7732</v>
      </c>
      <c r="D122" s="1164"/>
      <c r="E122" s="1164"/>
      <c r="F122" s="1164"/>
      <c r="G122" s="1164"/>
      <c r="H122" s="1164"/>
      <c r="I122" s="1164"/>
      <c r="J122" s="2708"/>
      <c r="K122" s="2534"/>
      <c r="L122" s="2534"/>
      <c r="M122" s="2642"/>
      <c r="N122" s="2642"/>
      <c r="O122" s="2697"/>
      <c r="P122" s="2685"/>
      <c r="Q122" s="2685"/>
      <c r="R122" s="2686"/>
      <c r="S122" s="2686"/>
      <c r="T122" s="1037"/>
      <c r="U122" s="1037"/>
      <c r="V122" s="1037"/>
      <c r="W122" s="1037"/>
      <c r="X122" s="1037"/>
      <c r="Y122" s="1037"/>
      <c r="Z122" s="1037"/>
      <c r="AA122" s="835"/>
      <c r="AB122" s="835"/>
      <c r="AC122" s="835"/>
      <c r="AD122" s="1037"/>
      <c r="AE122" s="835"/>
      <c r="AF122" s="835"/>
      <c r="AG122" s="835"/>
      <c r="AH122" s="1037"/>
      <c r="AI122" s="835"/>
      <c r="AJ122" s="835"/>
      <c r="AK122" s="835"/>
      <c r="AL122" s="1037"/>
      <c r="AM122" s="835"/>
      <c r="AN122" s="835"/>
      <c r="AO122" s="835"/>
      <c r="AQ122" s="1037"/>
      <c r="AR122" s="835"/>
      <c r="AS122" s="835"/>
      <c r="AT122" s="835"/>
      <c r="AV122" s="628"/>
      <c r="AW122" s="856"/>
      <c r="AX122" s="856"/>
      <c r="AY122" s="856"/>
      <c r="AZ122" s="1037"/>
      <c r="BA122" s="855"/>
      <c r="BB122" s="857"/>
      <c r="BC122" s="857"/>
      <c r="BD122" s="857"/>
      <c r="BE122" s="855"/>
      <c r="BF122" s="857"/>
      <c r="BG122" s="857"/>
      <c r="BH122" s="857"/>
    </row>
    <row r="123" spans="1:64" s="848" customFormat="1">
      <c r="A123" s="1037"/>
      <c r="B123" s="1036"/>
      <c r="C123" s="1161" t="s">
        <v>7737</v>
      </c>
      <c r="D123" s="1163">
        <f>D119</f>
        <v>0.91639999999999999</v>
      </c>
      <c r="E123" s="1163">
        <f t="shared" ref="E123:I123" si="34">D125</f>
        <v>0.91339999999999999</v>
      </c>
      <c r="F123" s="1163">
        <f t="shared" si="34"/>
        <v>0.89410000000000001</v>
      </c>
      <c r="G123" s="1163">
        <f t="shared" si="34"/>
        <v>0.88270000000000004</v>
      </c>
      <c r="H123" s="1163">
        <f t="shared" si="34"/>
        <v>0.86529999999999996</v>
      </c>
      <c r="I123" s="1163">
        <f t="shared" si="34"/>
        <v>0.84819999999999995</v>
      </c>
      <c r="J123" s="2704">
        <f>D125</f>
        <v>0.91339999999999999</v>
      </c>
      <c r="K123" s="2704">
        <f>J125</f>
        <v>0.89410000000000001</v>
      </c>
      <c r="L123" s="2704">
        <f>K125</f>
        <v>0.87809999999999999</v>
      </c>
      <c r="M123" s="2704">
        <f>L125</f>
        <v>0.86240000000000006</v>
      </c>
      <c r="N123" s="2704">
        <f>M125</f>
        <v>0.84699999999999998</v>
      </c>
      <c r="O123" s="2693">
        <f>D125</f>
        <v>0.91339999999999999</v>
      </c>
      <c r="P123" s="2693">
        <f>O125</f>
        <v>0.89410000000000001</v>
      </c>
      <c r="Q123" s="2693">
        <f>P125</f>
        <v>0.87809999999999999</v>
      </c>
      <c r="R123" s="2693">
        <f>Q125</f>
        <v>0.86240000000000006</v>
      </c>
      <c r="S123" s="2693">
        <f>R125</f>
        <v>0.84699999999999998</v>
      </c>
      <c r="T123" s="1037"/>
      <c r="U123" s="1037"/>
      <c r="V123" s="1037"/>
      <c r="W123" s="1037"/>
      <c r="X123" s="1037"/>
      <c r="Y123" s="1037"/>
      <c r="Z123" s="1037"/>
      <c r="AA123" s="835"/>
      <c r="AB123" s="835"/>
      <c r="AC123" s="835"/>
      <c r="AD123" s="1037"/>
      <c r="AE123" s="835"/>
      <c r="AF123" s="835"/>
      <c r="AG123" s="835"/>
      <c r="AH123" s="1037"/>
      <c r="AI123" s="835"/>
      <c r="AJ123" s="835"/>
      <c r="AK123" s="835"/>
      <c r="AL123" s="1037"/>
      <c r="AM123" s="835"/>
      <c r="AN123" s="835"/>
      <c r="AO123" s="835"/>
      <c r="AQ123" s="1037"/>
      <c r="AR123" s="835"/>
      <c r="AS123" s="835"/>
      <c r="AT123" s="835"/>
      <c r="AV123" s="628"/>
      <c r="AW123" s="856"/>
      <c r="AX123" s="856"/>
      <c r="AY123" s="856"/>
      <c r="AZ123" s="1037"/>
      <c r="BA123" s="855"/>
      <c r="BB123" s="857"/>
      <c r="BC123" s="857"/>
      <c r="BD123" s="857"/>
      <c r="BE123" s="855"/>
      <c r="BF123" s="857"/>
      <c r="BG123" s="857"/>
      <c r="BH123" s="857"/>
    </row>
    <row r="124" spans="1:64" s="848" customFormat="1">
      <c r="A124" s="1037"/>
      <c r="B124" s="1036"/>
      <c r="C124" s="1161"/>
      <c r="D124" s="1164"/>
      <c r="E124" s="1164"/>
      <c r="F124" s="1164"/>
      <c r="G124" s="1164"/>
      <c r="H124" s="1164"/>
      <c r="I124" s="1164"/>
      <c r="J124" s="2709"/>
      <c r="K124" s="2710"/>
      <c r="L124" s="2710"/>
      <c r="M124" s="2643"/>
      <c r="N124" s="2643"/>
      <c r="O124" s="2697"/>
      <c r="P124" s="2685"/>
      <c r="Q124" s="2685"/>
      <c r="R124" s="2687"/>
      <c r="S124" s="2687"/>
      <c r="T124" s="1037"/>
      <c r="U124" s="1037"/>
      <c r="V124" s="1037"/>
      <c r="W124" s="1037"/>
      <c r="X124" s="1037"/>
      <c r="Y124" s="1037"/>
      <c r="Z124" s="1037"/>
      <c r="AA124" s="835"/>
      <c r="AB124" s="835"/>
      <c r="AC124" s="835"/>
      <c r="AD124" s="1037"/>
      <c r="AE124" s="835"/>
      <c r="AF124" s="835"/>
      <c r="AG124" s="835"/>
      <c r="AH124" s="1037"/>
      <c r="AI124" s="835"/>
      <c r="AJ124" s="835"/>
      <c r="AK124" s="835"/>
      <c r="AL124" s="1037"/>
      <c r="AM124" s="835"/>
      <c r="AN124" s="835"/>
      <c r="AO124" s="835"/>
      <c r="AQ124" s="1037"/>
      <c r="AR124" s="835"/>
      <c r="AS124" s="835"/>
      <c r="AT124" s="835"/>
      <c r="AV124" s="628"/>
      <c r="AW124" s="856"/>
      <c r="AX124" s="856"/>
      <c r="AY124" s="856"/>
      <c r="AZ124" s="1037"/>
      <c r="BA124" s="855"/>
      <c r="BB124" s="857"/>
      <c r="BC124" s="857"/>
      <c r="BD124" s="857"/>
      <c r="BE124" s="855"/>
      <c r="BF124" s="857"/>
      <c r="BG124" s="857"/>
      <c r="BH124" s="857"/>
    </row>
    <row r="125" spans="1:64" s="848" customFormat="1">
      <c r="A125" s="1037"/>
      <c r="B125" s="1036"/>
      <c r="C125" s="1161" t="s">
        <v>7727</v>
      </c>
      <c r="D125" s="1182">
        <f>MIN(D116,D121,D123)-0.003</f>
        <v>0.91339999999999999</v>
      </c>
      <c r="E125" s="1182">
        <f>MIN(E116,E121,E123)-0.003</f>
        <v>0.89410000000000001</v>
      </c>
      <c r="F125" s="1182">
        <f>MIN(F116,F121,F123)</f>
        <v>0.88270000000000004</v>
      </c>
      <c r="G125" s="1182">
        <f>MIN(G116,G121,G123)</f>
        <v>0.86529999999999996</v>
      </c>
      <c r="H125" s="1182">
        <f>MIN(H116,H121,H123)</f>
        <v>0.84819999999999995</v>
      </c>
      <c r="I125" s="1182">
        <f>MIN(I116,I121,I123)</f>
        <v>0.83140000000000003</v>
      </c>
      <c r="J125" s="2698">
        <f>MIN(J116,J121,J123)-0.003</f>
        <v>0.89410000000000001</v>
      </c>
      <c r="K125" s="2698">
        <f>MIN(K116,K121,K123)</f>
        <v>0.87809999999999999</v>
      </c>
      <c r="L125" s="2698">
        <f>MIN(L116,L121,L123)</f>
        <v>0.86240000000000006</v>
      </c>
      <c r="M125" s="2698">
        <f>MIN(M116,M121,M123)</f>
        <v>0.84699999999999998</v>
      </c>
      <c r="N125" s="2698">
        <f>MIN(N116,N121,N123)</f>
        <v>0.83189999999999997</v>
      </c>
      <c r="O125" s="2698">
        <f>MIN(O116,O121,O123)-0.003</f>
        <v>0.89410000000000001</v>
      </c>
      <c r="P125" s="2698">
        <f>MIN(P116,P121,P123)</f>
        <v>0.87809999999999999</v>
      </c>
      <c r="Q125" s="2698">
        <f>MIN(Q116,Q121,Q123)</f>
        <v>0.86240000000000006</v>
      </c>
      <c r="R125" s="2698">
        <f>MIN(R116,R121,R123)</f>
        <v>0.84699999999999998</v>
      </c>
      <c r="S125" s="2698">
        <f>MIN(S116,S121,S123)</f>
        <v>0.83189999999999997</v>
      </c>
      <c r="T125" s="1037"/>
      <c r="U125" s="1037"/>
      <c r="V125" s="1037"/>
      <c r="W125" s="1037"/>
      <c r="X125" s="1037"/>
      <c r="Y125" s="1037"/>
      <c r="Z125" s="1037"/>
      <c r="AA125" s="835"/>
      <c r="AB125" s="835"/>
      <c r="AC125" s="835"/>
      <c r="AD125" s="1037"/>
      <c r="AE125" s="835"/>
      <c r="AF125" s="835"/>
      <c r="AG125" s="835"/>
      <c r="AH125" s="1037"/>
      <c r="AI125" s="835"/>
      <c r="AJ125" s="835"/>
      <c r="AK125" s="835"/>
      <c r="AL125" s="1037"/>
      <c r="AM125" s="835"/>
      <c r="AN125" s="835"/>
      <c r="AO125" s="835"/>
      <c r="AQ125" s="1037"/>
      <c r="AR125" s="835"/>
      <c r="AS125" s="835"/>
      <c r="AT125" s="835"/>
      <c r="AV125" s="628"/>
      <c r="AW125" s="856"/>
      <c r="AX125" s="856"/>
      <c r="AY125" s="856"/>
      <c r="AZ125" s="1037"/>
      <c r="BA125" s="855"/>
      <c r="BB125" s="857"/>
      <c r="BC125" s="857"/>
      <c r="BD125" s="857"/>
      <c r="BE125" s="855"/>
      <c r="BF125" s="857"/>
      <c r="BG125" s="857"/>
      <c r="BH125" s="857"/>
    </row>
    <row r="126" spans="1:64" s="848" customFormat="1">
      <c r="A126" s="1037"/>
      <c r="B126" s="1036"/>
      <c r="C126" s="1154"/>
      <c r="D126" s="855"/>
      <c r="E126" s="855"/>
      <c r="F126" s="855"/>
      <c r="G126" s="866"/>
      <c r="H126" s="866"/>
      <c r="I126" s="866"/>
      <c r="J126" s="855"/>
      <c r="K126" s="855"/>
      <c r="L126" s="866"/>
      <c r="M126" s="866"/>
      <c r="N126" s="866"/>
      <c r="O126" s="1155"/>
      <c r="P126" s="1156"/>
      <c r="Q126" s="1157"/>
      <c r="R126" s="1158"/>
      <c r="S126" s="1158"/>
      <c r="T126" s="1037"/>
      <c r="U126" s="1037"/>
      <c r="V126" s="1037"/>
      <c r="W126" s="1037"/>
      <c r="X126" s="1037"/>
      <c r="Y126" s="1037"/>
      <c r="Z126" s="1037"/>
      <c r="AA126" s="835"/>
      <c r="AB126" s="835"/>
      <c r="AC126" s="835"/>
      <c r="AD126" s="1037"/>
      <c r="AE126" s="835"/>
      <c r="AF126" s="835"/>
      <c r="AG126" s="835"/>
      <c r="AH126" s="1037"/>
      <c r="AI126" s="835"/>
      <c r="AJ126" s="835"/>
      <c r="AK126" s="835"/>
      <c r="AL126" s="1037"/>
      <c r="AM126" s="835"/>
      <c r="AN126" s="835"/>
      <c r="AO126" s="835"/>
      <c r="AQ126" s="1037"/>
      <c r="AR126" s="835"/>
      <c r="AS126" s="835"/>
      <c r="AT126" s="835"/>
      <c r="AV126" s="628"/>
      <c r="AW126" s="856"/>
      <c r="AX126" s="856"/>
      <c r="AY126" s="856"/>
      <c r="AZ126" s="1037"/>
      <c r="BA126" s="855"/>
      <c r="BB126" s="857"/>
      <c r="BC126" s="857"/>
      <c r="BD126" s="857"/>
      <c r="BE126" s="855"/>
      <c r="BF126" s="857"/>
      <c r="BG126" s="857"/>
      <c r="BH126" s="857"/>
    </row>
    <row r="127" spans="1:64" s="848" customFormat="1">
      <c r="A127" s="1037"/>
      <c r="B127" s="1036"/>
      <c r="C127" s="1154"/>
      <c r="D127" s="855"/>
      <c r="E127" s="855"/>
      <c r="F127" s="855"/>
      <c r="G127" s="866"/>
      <c r="H127" s="866"/>
      <c r="I127" s="866"/>
      <c r="J127" s="855"/>
      <c r="K127" s="855"/>
      <c r="L127" s="866"/>
      <c r="M127" s="866"/>
      <c r="N127" s="866"/>
      <c r="O127" s="1155"/>
      <c r="P127" s="1156"/>
      <c r="Q127" s="1157"/>
      <c r="R127" s="1158"/>
      <c r="S127" s="1158"/>
      <c r="T127" s="1037"/>
      <c r="U127" s="1037"/>
      <c r="V127" s="1037"/>
      <c r="W127" s="1037"/>
      <c r="X127" s="1037"/>
      <c r="Y127" s="1037"/>
      <c r="Z127" s="1037"/>
      <c r="AA127" s="835"/>
      <c r="AB127" s="835"/>
      <c r="AC127" s="835"/>
      <c r="AD127" s="1037"/>
      <c r="AE127" s="835"/>
      <c r="AF127" s="835"/>
      <c r="AG127" s="835"/>
      <c r="AH127" s="1037"/>
      <c r="AI127" s="835"/>
      <c r="AJ127" s="835"/>
      <c r="AK127" s="835"/>
      <c r="AL127" s="1037"/>
      <c r="AM127" s="835"/>
      <c r="AN127" s="835"/>
      <c r="AO127" s="835"/>
      <c r="AQ127" s="1037"/>
      <c r="AR127" s="835"/>
      <c r="AS127" s="835"/>
      <c r="AT127" s="835"/>
      <c r="AV127" s="628"/>
      <c r="AW127" s="856"/>
      <c r="AX127" s="856"/>
      <c r="AY127" s="856"/>
      <c r="AZ127" s="1037"/>
      <c r="BA127" s="855"/>
      <c r="BB127" s="857"/>
      <c r="BC127" s="857"/>
      <c r="BD127" s="857"/>
      <c r="BE127" s="855"/>
      <c r="BF127" s="857"/>
      <c r="BG127" s="857"/>
      <c r="BH127" s="857"/>
    </row>
    <row r="128" spans="1:64" s="122" customFormat="1">
      <c r="A128"/>
      <c r="B128" s="1036"/>
      <c r="C128" s="1183" t="s">
        <v>7738</v>
      </c>
      <c r="D128" s="669"/>
      <c r="E128" s="855"/>
      <c r="F128" s="855"/>
      <c r="G128" s="866"/>
      <c r="H128" s="866"/>
      <c r="I128" s="866"/>
      <c r="J128" s="855"/>
      <c r="K128" s="855"/>
      <c r="L128" s="866"/>
      <c r="M128" s="866"/>
      <c r="N128" s="866"/>
      <c r="O128" s="209"/>
      <c r="P128" s="210"/>
      <c r="Q128" s="211"/>
      <c r="R128" s="212"/>
      <c r="S128" s="212"/>
      <c r="T128"/>
      <c r="U128"/>
      <c r="V128"/>
      <c r="W128"/>
      <c r="X128"/>
      <c r="Y128"/>
      <c r="Z128" s="729"/>
      <c r="AA128" s="768"/>
      <c r="AB128" s="768"/>
      <c r="AC128" s="768"/>
      <c r="AD128" s="100"/>
      <c r="AE128" s="477"/>
      <c r="AF128" s="477"/>
      <c r="AG128" s="477"/>
      <c r="AH128" s="100"/>
      <c r="AI128" s="477"/>
      <c r="AJ128" s="477"/>
      <c r="AK128" s="477"/>
      <c r="AL128" s="100"/>
      <c r="AM128" s="477"/>
      <c r="AN128" s="477"/>
      <c r="AO128" s="477"/>
      <c r="AP128" s="176"/>
      <c r="AQ128" s="717"/>
      <c r="AR128" s="835"/>
      <c r="AS128" s="835"/>
      <c r="AT128" s="835"/>
      <c r="AU128" s="848"/>
      <c r="AV128" s="628"/>
      <c r="AW128" s="856"/>
      <c r="AX128" s="856"/>
      <c r="AY128" s="856"/>
      <c r="AZ128" s="717"/>
      <c r="BA128" s="855"/>
      <c r="BB128" s="857"/>
      <c r="BC128" s="857"/>
      <c r="BD128" s="857"/>
      <c r="BE128" s="855"/>
      <c r="BF128" s="857"/>
      <c r="BG128" s="857"/>
      <c r="BH128" s="857"/>
      <c r="BI128" s="848"/>
      <c r="BJ128" s="848"/>
      <c r="BK128" s="848"/>
      <c r="BL128" s="848"/>
    </row>
    <row r="129" spans="1:64" s="122" customFormat="1">
      <c r="A129"/>
      <c r="B129" s="1036"/>
      <c r="C129" s="1165" t="s">
        <v>7739</v>
      </c>
      <c r="D129" s="669"/>
      <c r="E129" s="669"/>
      <c r="F129" s="669"/>
      <c r="G129" s="866"/>
      <c r="H129" s="866"/>
      <c r="I129" s="866"/>
      <c r="J129" s="669"/>
      <c r="K129" s="669"/>
      <c r="L129" s="866"/>
      <c r="M129" s="866"/>
      <c r="N129" s="866"/>
      <c r="O129" s="209"/>
      <c r="P129" s="210"/>
      <c r="Q129" s="211"/>
      <c r="R129" s="212"/>
      <c r="S129" s="212"/>
      <c r="T129"/>
      <c r="U129"/>
      <c r="V129"/>
      <c r="W129"/>
      <c r="X129"/>
      <c r="Y129"/>
      <c r="Z129" s="729"/>
      <c r="AA129" s="768"/>
      <c r="AB129" s="768"/>
      <c r="AC129" s="768"/>
      <c r="AD129" s="100"/>
      <c r="AE129" s="477"/>
      <c r="AF129" s="477"/>
      <c r="AG129" s="477"/>
      <c r="AH129" s="100"/>
      <c r="AI129" s="477"/>
      <c r="AJ129" s="477"/>
      <c r="AK129" s="477"/>
      <c r="AL129" s="100"/>
      <c r="AM129" s="477"/>
      <c r="AN129" s="477"/>
      <c r="AO129" s="477"/>
      <c r="AP129" s="176"/>
      <c r="AQ129" s="717"/>
      <c r="AR129" s="835"/>
      <c r="AS129" s="835"/>
      <c r="AT129" s="835"/>
      <c r="AU129" s="848"/>
      <c r="AV129" s="628"/>
      <c r="AW129" s="856"/>
      <c r="AX129" s="856"/>
      <c r="AY129" s="856"/>
      <c r="AZ129" s="717"/>
      <c r="BA129" s="855"/>
      <c r="BB129" s="857"/>
      <c r="BC129" s="857"/>
      <c r="BD129" s="857"/>
      <c r="BE129" s="855"/>
      <c r="BF129" s="857"/>
      <c r="BG129" s="857"/>
      <c r="BH129" s="857"/>
      <c r="BI129" s="848"/>
      <c r="BJ129" s="848"/>
      <c r="BK129" s="848"/>
      <c r="BL129" s="848"/>
    </row>
    <row r="130" spans="1:64" s="122" customFormat="1">
      <c r="A130"/>
      <c r="B130" s="1036"/>
      <c r="C130" s="526"/>
      <c r="D130" s="1187" t="s">
        <v>7755</v>
      </c>
      <c r="E130" s="1187" t="s">
        <v>10457</v>
      </c>
      <c r="F130" s="1187" t="s">
        <v>10458</v>
      </c>
      <c r="G130" s="1187" t="s">
        <v>10459</v>
      </c>
      <c r="H130" s="1187" t="s">
        <v>10460</v>
      </c>
      <c r="I130" s="1187" t="s">
        <v>10460</v>
      </c>
      <c r="J130" s="2654" t="s">
        <v>10427</v>
      </c>
      <c r="K130" s="2654" t="s">
        <v>10428</v>
      </c>
      <c r="L130" s="2654" t="s">
        <v>10429</v>
      </c>
      <c r="M130" s="2654" t="s">
        <v>10430</v>
      </c>
      <c r="N130" s="2654" t="s">
        <v>10430</v>
      </c>
      <c r="O130" s="2771" t="s">
        <v>10431</v>
      </c>
      <c r="P130" s="2653" t="s">
        <v>10440</v>
      </c>
      <c r="Q130" s="2654" t="s">
        <v>10443</v>
      </c>
      <c r="R130" s="2654" t="s">
        <v>10737</v>
      </c>
      <c r="S130" s="2654" t="s">
        <v>11058</v>
      </c>
      <c r="T130"/>
      <c r="U130"/>
      <c r="V130"/>
      <c r="W130"/>
      <c r="X130"/>
      <c r="Y130"/>
      <c r="Z130" s="729"/>
      <c r="AA130" s="768"/>
      <c r="AB130" s="768"/>
      <c r="AC130" s="768"/>
      <c r="AD130" s="100"/>
      <c r="AE130" s="477"/>
      <c r="AF130" s="477"/>
      <c r="AG130" s="477"/>
      <c r="AH130" s="100"/>
      <c r="AI130" s="477"/>
      <c r="AJ130" s="477"/>
      <c r="AK130" s="477"/>
      <c r="AL130" s="100"/>
      <c r="AM130" s="477"/>
      <c r="AN130" s="477"/>
      <c r="AO130" s="477"/>
      <c r="AP130" s="176"/>
      <c r="AQ130" s="717"/>
      <c r="AR130" s="835"/>
      <c r="AS130" s="835"/>
      <c r="AT130" s="835"/>
      <c r="AU130" s="848"/>
      <c r="AV130" s="628"/>
      <c r="AW130" s="856"/>
      <c r="AX130" s="856"/>
      <c r="AY130" s="856"/>
      <c r="AZ130" s="717"/>
      <c r="BA130" s="855"/>
      <c r="BB130" s="857"/>
      <c r="BC130" s="857"/>
      <c r="BD130" s="857"/>
      <c r="BE130" s="855"/>
      <c r="BF130" s="857"/>
      <c r="BG130" s="857"/>
      <c r="BH130" s="857"/>
      <c r="BI130" s="848"/>
      <c r="BJ130" s="848"/>
      <c r="BK130" s="848"/>
      <c r="BL130" s="848"/>
    </row>
    <row r="131" spans="1:64" s="122" customFormat="1" hidden="1">
      <c r="A131" s="995"/>
      <c r="B131" s="1023"/>
      <c r="C131" s="526"/>
      <c r="D131" s="1166" t="e">
        <f>IF('Data Entry - SOF'!#REF!&gt;=1,0.04,'Data Entry - SOF'!#REF!-('Data Entry - SOF'!#REF!*0.96))</f>
        <v>#REF!</v>
      </c>
      <c r="E131" s="1166" t="e">
        <f>IF('Data Entry - SOF'!#REF!&gt;=1,0.04,'Data Entry - SOF'!#REF!-('Data Entry - SOF'!#REF!*0.96))</f>
        <v>#REF!</v>
      </c>
      <c r="F131" s="1166" t="e">
        <f>IF('Data Entry - SOF'!#REF!&gt;=1,0.04,'Data Entry - SOF'!#REF!-('Data Entry - SOF'!#REF!*0.96))</f>
        <v>#REF!</v>
      </c>
      <c r="G131" s="1166" t="e">
        <f>IF('Data Entry - SOF'!#REF!&gt;=1,0.04,'Data Entry - SOF'!#REF!-('Data Entry - SOF'!#REF!*0.96))</f>
        <v>#REF!</v>
      </c>
      <c r="H131" s="1166" t="e">
        <f>IF('Data Entry - SOF'!#REF!&gt;=1,0.04,'Data Entry - SOF'!#REF!-('Data Entry - SOF'!#REF!*0.96))</f>
        <v>#REF!</v>
      </c>
      <c r="I131" s="1166" t="e">
        <f>IF('Data Entry - SOF'!#REF!&gt;=1,0.04,'Data Entry - SOF'!#REF!-('Data Entry - SOF'!#REF!*0.96))</f>
        <v>#REF!</v>
      </c>
      <c r="J131" s="1166" t="e">
        <f>IF('Data Entry - SOF'!#REF!&gt;=1,0.04,'Data Entry - SOF'!#REF!-('Data Entry - SOF'!#REF!*0.96))</f>
        <v>#REF!</v>
      </c>
      <c r="K131" s="1166" t="e">
        <f>IF('Data Entry - SOF'!#REF!&gt;=1,0.04,'Data Entry - SOF'!#REF!-('Data Entry - SOF'!#REF!*0.96))</f>
        <v>#REF!</v>
      </c>
      <c r="L131" s="1166" t="e">
        <f>IF('Data Entry - SOF'!#REF!&gt;=1,0.04,'Data Entry - SOF'!#REF!-('Data Entry - SOF'!#REF!*0.96))</f>
        <v>#REF!</v>
      </c>
      <c r="M131" s="1166" t="e">
        <f>IF('Data Entry - SOF'!#REF!&gt;=1,0.04,'Data Entry - SOF'!#REF!-('Data Entry - SOF'!#REF!*0.96))</f>
        <v>#REF!</v>
      </c>
      <c r="N131" s="1166" t="e">
        <f>IF('Data Entry - SOF'!#REF!&gt;=1,0.04,'Data Entry - SOF'!#REF!-('Data Entry - SOF'!#REF!*0.96))</f>
        <v>#REF!</v>
      </c>
      <c r="O131" s="2770" t="e">
        <f>IF('Data Entry - SOF'!#REF!&gt;=1,0.04,'Data Entry - SOF'!#REF!-('Data Entry - SOF'!#REF!*0.96))</f>
        <v>#REF!</v>
      </c>
      <c r="P131" s="1166" t="e">
        <f>IF('Data Entry - SOF'!#REF!&gt;=1,0.04,'Data Entry - SOF'!#REF!-('Data Entry - SOF'!#REF!*0.96))</f>
        <v>#REF!</v>
      </c>
      <c r="Q131" s="1166" t="e">
        <f>IF('Data Entry - SOF'!#REF!&gt;=1,0.04,'Data Entry - SOF'!#REF!-('Data Entry - SOF'!#REF!*0.96))</f>
        <v>#REF!</v>
      </c>
      <c r="R131" s="1166" t="e">
        <f>IF('Data Entry - SOF'!#REF!&gt;=1,0.04,'Data Entry - SOF'!#REF!-('Data Entry - SOF'!#REF!*0.96))</f>
        <v>#REF!</v>
      </c>
      <c r="S131" s="1166" t="e">
        <f>IF('Data Entry - SOF'!#REF!&gt;=1,0.04,'Data Entry - SOF'!#REF!-('Data Entry - SOF'!#REF!*0.96))</f>
        <v>#REF!</v>
      </c>
      <c r="T131"/>
      <c r="U131"/>
      <c r="V131"/>
      <c r="W131"/>
      <c r="X131"/>
      <c r="Y131"/>
      <c r="Z131" s="729"/>
      <c r="AA131" s="768"/>
      <c r="AB131" s="768"/>
      <c r="AC131" s="768"/>
      <c r="AD131" s="100"/>
      <c r="AE131" s="477"/>
      <c r="AF131" s="477"/>
      <c r="AG131" s="477"/>
      <c r="AH131" s="100"/>
      <c r="AI131" s="477"/>
      <c r="AJ131" s="477"/>
      <c r="AK131" s="477"/>
      <c r="AL131" s="100"/>
      <c r="AM131" s="477"/>
      <c r="AN131" s="477"/>
      <c r="AO131" s="477"/>
      <c r="AP131" s="176"/>
      <c r="AQ131" s="717"/>
      <c r="AR131" s="835"/>
      <c r="AS131" s="835"/>
      <c r="AT131" s="835"/>
      <c r="AU131" s="848"/>
      <c r="AV131" s="628"/>
      <c r="AW131" s="856"/>
      <c r="AX131" s="856"/>
      <c r="AY131" s="856"/>
      <c r="AZ131" s="717"/>
      <c r="BA131" s="855"/>
      <c r="BB131" s="857"/>
      <c r="BC131" s="857"/>
      <c r="BD131" s="857"/>
      <c r="BE131" s="855"/>
      <c r="BF131" s="857"/>
      <c r="BG131" s="857"/>
      <c r="BH131" s="857"/>
      <c r="BI131" s="848"/>
      <c r="BJ131" s="848"/>
      <c r="BK131" s="848"/>
      <c r="BL131" s="848"/>
    </row>
    <row r="132" spans="1:64" s="122" customFormat="1" hidden="1">
      <c r="A132" s="995"/>
      <c r="B132" s="1023"/>
      <c r="C132" s="526"/>
      <c r="D132" s="1167" t="e">
        <f>'Weights-HB3'!I66</f>
        <v>#REF!</v>
      </c>
      <c r="E132" s="1167" t="e">
        <f>'Weights-HB3'!K66</f>
        <v>#REF!</v>
      </c>
      <c r="F132" s="1167">
        <f>'Weights-HB3'!O66</f>
        <v>0</v>
      </c>
      <c r="G132" s="1167">
        <f>'Weights-HB3'!P66</f>
        <v>0</v>
      </c>
      <c r="H132" s="1167">
        <f>'Weights-HB3'!Q66</f>
        <v>0</v>
      </c>
      <c r="I132" s="1167">
        <f>'Weights-HB3'!R66</f>
        <v>0</v>
      </c>
      <c r="J132" s="1167" t="e">
        <f>'Weights-HB3'!K66</f>
        <v>#REF!</v>
      </c>
      <c r="K132" s="1167">
        <f>'Weights-HB3'!O66</f>
        <v>0</v>
      </c>
      <c r="L132" s="1167">
        <f>'Weights-HB3'!P66</f>
        <v>0</v>
      </c>
      <c r="M132" s="1167">
        <f>'Weights-HB3'!Q66</f>
        <v>0</v>
      </c>
      <c r="N132" s="1167">
        <f>'Weights-HB3'!R66</f>
        <v>0</v>
      </c>
      <c r="O132" s="1167">
        <f>'Weights-HB3'!P66</f>
        <v>0</v>
      </c>
      <c r="P132" s="1167">
        <f>'Weights-HB3'!S66</f>
        <v>0</v>
      </c>
      <c r="Q132" s="1167">
        <f>'Weights-HB3'!T66</f>
        <v>0</v>
      </c>
      <c r="R132" s="1167">
        <f>'Weights-HB3'!U66</f>
        <v>0</v>
      </c>
      <c r="S132" s="1167">
        <f>'Weights-HB3'!V66</f>
        <v>0</v>
      </c>
      <c r="T132"/>
      <c r="U132"/>
      <c r="V132"/>
      <c r="W132"/>
      <c r="X132"/>
      <c r="Y132"/>
      <c r="Z132" s="729"/>
      <c r="AA132" s="768"/>
      <c r="AB132" s="768"/>
      <c r="AC132" s="768"/>
      <c r="AD132" s="100"/>
      <c r="AE132" s="477"/>
      <c r="AF132" s="477"/>
      <c r="AG132" s="477"/>
      <c r="AH132" s="100"/>
      <c r="AI132" s="477"/>
      <c r="AJ132" s="477"/>
      <c r="AK132" s="477"/>
      <c r="AL132" s="100"/>
      <c r="AM132" s="477"/>
      <c r="AN132" s="477"/>
      <c r="AO132" s="477"/>
      <c r="AP132" s="176"/>
      <c r="AQ132" s="717"/>
      <c r="AR132" s="835"/>
      <c r="AS132" s="835"/>
      <c r="AT132" s="835"/>
      <c r="AU132" s="848"/>
      <c r="AV132" s="628"/>
      <c r="AW132" s="856"/>
      <c r="AX132" s="856"/>
      <c r="AY132" s="856"/>
      <c r="AZ132" s="717"/>
      <c r="BA132" s="855"/>
      <c r="BB132" s="857"/>
      <c r="BC132" s="857"/>
      <c r="BD132" s="857"/>
      <c r="BE132" s="855"/>
      <c r="BF132" s="857"/>
      <c r="BG132" s="857"/>
      <c r="BH132" s="857"/>
      <c r="BI132" s="848"/>
      <c r="BJ132" s="848"/>
      <c r="BK132" s="848"/>
      <c r="BL132" s="848"/>
    </row>
    <row r="133" spans="1:64" s="122" customFormat="1" hidden="1">
      <c r="A133" s="995"/>
      <c r="B133" s="1023"/>
      <c r="C133" s="526"/>
      <c r="D133" s="1167" t="e">
        <f>'Data Entry - SOF'!#REF!</f>
        <v>#REF!</v>
      </c>
      <c r="E133" s="1167" t="e">
        <f>'Data Entry - SOF'!#REF!</f>
        <v>#REF!</v>
      </c>
      <c r="F133" s="1167">
        <f>'Data Entry - SOF'!E164</f>
        <v>0</v>
      </c>
      <c r="G133" s="1167">
        <f>'Data Entry - SOF'!F164</f>
        <v>0</v>
      </c>
      <c r="H133" s="1167">
        <f>'Data Entry - SOF'!G164</f>
        <v>0</v>
      </c>
      <c r="I133" s="1167">
        <f>'Data Entry - SOF'!H164</f>
        <v>0</v>
      </c>
      <c r="J133" s="1167" t="e">
        <f>'Data Entry - SOF'!#REF!</f>
        <v>#REF!</v>
      </c>
      <c r="K133" s="1167">
        <f>'Data Entry - SOF'!E164</f>
        <v>0</v>
      </c>
      <c r="L133" s="1167">
        <f>'Data Entry - SOF'!F164</f>
        <v>0</v>
      </c>
      <c r="M133" s="1167">
        <f>'Data Entry - SOF'!G164</f>
        <v>0</v>
      </c>
      <c r="N133" s="1167">
        <f>'Data Entry - SOF'!H164</f>
        <v>0</v>
      </c>
      <c r="O133" s="1167">
        <f>'Data Entry - SOF'!G164</f>
        <v>0</v>
      </c>
      <c r="P133" s="1167">
        <f>'Data Entry - SOF'!I164</f>
        <v>0</v>
      </c>
      <c r="Q133" s="1167">
        <f>'Data Entry - SOF'!J164</f>
        <v>0</v>
      </c>
      <c r="R133" s="1167">
        <f>'Data Entry - SOF'!K164</f>
        <v>0</v>
      </c>
      <c r="S133" s="1167">
        <f>'Data Entry - SOF'!L164</f>
        <v>0</v>
      </c>
      <c r="T133"/>
      <c r="U133"/>
      <c r="V133"/>
      <c r="W133"/>
      <c r="X133"/>
      <c r="Y133"/>
      <c r="Z133" s="729"/>
      <c r="AA133" s="768"/>
      <c r="AB133" s="768"/>
      <c r="AC133" s="768"/>
      <c r="AD133" s="100"/>
      <c r="AE133" s="477"/>
      <c r="AF133" s="477"/>
      <c r="AG133" s="477"/>
      <c r="AH133" s="100"/>
      <c r="AI133" s="477"/>
      <c r="AJ133" s="477"/>
      <c r="AK133" s="477"/>
      <c r="AL133" s="100"/>
      <c r="AM133" s="477"/>
      <c r="AN133" s="477"/>
      <c r="AO133" s="477"/>
      <c r="AP133" s="176"/>
      <c r="AQ133" s="717"/>
      <c r="AR133" s="835"/>
      <c r="AS133" s="835"/>
      <c r="AT133" s="835"/>
      <c r="AU133" s="848"/>
      <c r="AV133" s="628"/>
      <c r="AW133" s="856"/>
      <c r="AX133" s="856"/>
      <c r="AY133" s="856"/>
      <c r="AZ133" s="717"/>
      <c r="BA133" s="855"/>
      <c r="BB133" s="857"/>
      <c r="BC133" s="857"/>
      <c r="BD133" s="857"/>
      <c r="BE133" s="855"/>
      <c r="BF133" s="857"/>
      <c r="BG133" s="857"/>
      <c r="BH133" s="857"/>
      <c r="BI133" s="848"/>
      <c r="BJ133" s="848"/>
      <c r="BK133" s="848"/>
      <c r="BL133" s="848"/>
    </row>
    <row r="134" spans="1:64" s="122" customFormat="1" hidden="1">
      <c r="A134" s="995"/>
      <c r="B134" s="1023"/>
      <c r="C134" s="526"/>
      <c r="D134" s="1167" t="e">
        <f>'Data Entry - SOF'!#REF!</f>
        <v>#REF!</v>
      </c>
      <c r="E134" s="1167" t="e">
        <f>'Data Entry - SOF'!#REF!</f>
        <v>#REF!</v>
      </c>
      <c r="F134" s="1167" t="e">
        <f>'Data Entry - SOF'!#REF!</f>
        <v>#REF!</v>
      </c>
      <c r="G134" s="1167" t="e">
        <f>'Data Entry - SOF'!#REF!</f>
        <v>#REF!</v>
      </c>
      <c r="H134" s="1167" t="e">
        <f>'Data Entry - SOF'!#REF!</f>
        <v>#REF!</v>
      </c>
      <c r="I134" s="1167" t="e">
        <f>'Data Entry - SOF'!#REF!</f>
        <v>#REF!</v>
      </c>
      <c r="J134" s="1167" t="e">
        <f>'Data Entry - SOF'!#REF!</f>
        <v>#REF!</v>
      </c>
      <c r="K134" s="1167" t="e">
        <f>'Data Entry - SOF'!#REF!</f>
        <v>#REF!</v>
      </c>
      <c r="L134" s="1167" t="e">
        <f>'Data Entry - SOF'!#REF!</f>
        <v>#REF!</v>
      </c>
      <c r="M134" s="1167" t="e">
        <f>'Data Entry - SOF'!#REF!</f>
        <v>#REF!</v>
      </c>
      <c r="N134" s="1167" t="e">
        <f>'Data Entry - SOF'!#REF!</f>
        <v>#REF!</v>
      </c>
      <c r="O134" s="1167" t="e">
        <f>'Data Entry - SOF'!#REF!</f>
        <v>#REF!</v>
      </c>
      <c r="P134" s="1167" t="e">
        <f>'Data Entry - SOF'!#REF!</f>
        <v>#REF!</v>
      </c>
      <c r="Q134" s="1167" t="e">
        <f>'Data Entry - SOF'!#REF!</f>
        <v>#REF!</v>
      </c>
      <c r="R134" s="1167" t="e">
        <f>'Data Entry - SOF'!#REF!</f>
        <v>#REF!</v>
      </c>
      <c r="S134" s="1167" t="e">
        <f>'Data Entry - SOF'!#REF!</f>
        <v>#REF!</v>
      </c>
      <c r="T134"/>
      <c r="U134"/>
      <c r="V134"/>
      <c r="W134"/>
      <c r="X134"/>
      <c r="Y134"/>
      <c r="Z134" s="729"/>
      <c r="AA134" s="768"/>
      <c r="AB134" s="768"/>
      <c r="AC134" s="768"/>
      <c r="AD134" s="100"/>
      <c r="AE134" s="477"/>
      <c r="AF134" s="477"/>
      <c r="AG134" s="477"/>
      <c r="AH134" s="100"/>
      <c r="AI134" s="477"/>
      <c r="AJ134" s="477"/>
      <c r="AK134" s="477"/>
      <c r="AL134" s="100"/>
      <c r="AM134" s="477"/>
      <c r="AN134" s="477"/>
      <c r="AO134" s="477"/>
      <c r="AP134" s="176"/>
      <c r="AQ134" s="717"/>
      <c r="AR134" s="835"/>
      <c r="AS134" s="835"/>
      <c r="AT134" s="835"/>
      <c r="AU134" s="848"/>
      <c r="AV134" s="628"/>
      <c r="AW134" s="856"/>
      <c r="AX134" s="856"/>
      <c r="AY134" s="856"/>
      <c r="AZ134" s="717"/>
      <c r="BA134" s="855"/>
      <c r="BB134" s="857"/>
      <c r="BC134" s="857"/>
      <c r="BD134" s="857"/>
      <c r="BE134" s="855"/>
      <c r="BF134" s="857"/>
      <c r="BG134" s="857"/>
      <c r="BH134" s="857"/>
      <c r="BI134" s="848"/>
      <c r="BJ134" s="848"/>
      <c r="BK134" s="848"/>
      <c r="BL134" s="848"/>
    </row>
    <row r="135" spans="1:64" s="122" customFormat="1" hidden="1">
      <c r="A135" s="995"/>
      <c r="B135" s="1023"/>
      <c r="C135" s="526"/>
      <c r="D135" s="1167" t="e">
        <f>'Data Entry - SOF'!#REF!</f>
        <v>#REF!</v>
      </c>
      <c r="E135" s="1167" t="e">
        <f>'Data Entry - SOF'!#REF!</f>
        <v>#REF!</v>
      </c>
      <c r="F135" s="1167">
        <f>'Data Entry - SOF'!E165</f>
        <v>0</v>
      </c>
      <c r="G135" s="1167">
        <f>'Data Entry - SOF'!F165</f>
        <v>0</v>
      </c>
      <c r="H135" s="1167">
        <f>'Data Entry - SOF'!G165</f>
        <v>0</v>
      </c>
      <c r="I135" s="1167">
        <f>'Data Entry - SOF'!H165</f>
        <v>0</v>
      </c>
      <c r="J135" s="1167" t="e">
        <f>'Data Entry - SOF'!#REF!</f>
        <v>#REF!</v>
      </c>
      <c r="K135" s="1167">
        <f>'Data Entry - SOF'!E165</f>
        <v>0</v>
      </c>
      <c r="L135" s="1167">
        <f>'Data Entry - SOF'!F165</f>
        <v>0</v>
      </c>
      <c r="M135" s="1167">
        <f>'Data Entry - SOF'!G165</f>
        <v>0</v>
      </c>
      <c r="N135" s="1167">
        <f>'Data Entry - SOF'!H165</f>
        <v>0</v>
      </c>
      <c r="O135" s="1167">
        <f>'Data Entry - SOF'!G165</f>
        <v>0</v>
      </c>
      <c r="P135" s="1167">
        <f>'Data Entry - SOF'!I165</f>
        <v>0</v>
      </c>
      <c r="Q135" s="1167">
        <f>'Data Entry - SOF'!J165</f>
        <v>0</v>
      </c>
      <c r="R135" s="1167">
        <f>'Data Entry - SOF'!K165</f>
        <v>0</v>
      </c>
      <c r="S135" s="1167">
        <f>'Data Entry - SOF'!L165</f>
        <v>0</v>
      </c>
      <c r="T135"/>
      <c r="U135"/>
      <c r="V135"/>
      <c r="W135"/>
      <c r="X135"/>
      <c r="Y135"/>
      <c r="Z135" s="729"/>
      <c r="AA135" s="768"/>
      <c r="AB135" s="768"/>
      <c r="AC135" s="768"/>
      <c r="AD135" s="100"/>
      <c r="AE135" s="477"/>
      <c r="AF135" s="477"/>
      <c r="AG135" s="477"/>
      <c r="AH135" s="100"/>
      <c r="AI135" s="477"/>
      <c r="AJ135" s="477"/>
      <c r="AK135" s="477"/>
      <c r="AL135" s="100"/>
      <c r="AM135" s="477"/>
      <c r="AN135" s="477"/>
      <c r="AO135" s="477"/>
      <c r="AP135" s="176"/>
      <c r="AQ135" s="717"/>
      <c r="AR135" s="835"/>
      <c r="AS135" s="835"/>
      <c r="AT135" s="835"/>
      <c r="AU135" s="848"/>
      <c r="AV135" s="628"/>
      <c r="AW135" s="856"/>
      <c r="AX135" s="856"/>
      <c r="AY135" s="856"/>
      <c r="AZ135" s="717"/>
      <c r="BA135" s="855"/>
      <c r="BB135" s="857"/>
      <c r="BC135" s="857"/>
      <c r="BD135" s="857"/>
      <c r="BE135" s="855"/>
      <c r="BF135" s="857"/>
      <c r="BG135" s="857"/>
      <c r="BH135" s="857"/>
      <c r="BI135" s="848"/>
      <c r="BJ135" s="848"/>
      <c r="BK135" s="848"/>
      <c r="BL135" s="848"/>
    </row>
    <row r="136" spans="1:64" hidden="1">
      <c r="A136" s="1037"/>
      <c r="B136" s="1036"/>
      <c r="C136" s="527"/>
      <c r="D136" s="1168"/>
      <c r="E136" s="1168"/>
      <c r="F136" s="1168"/>
      <c r="G136" s="1168"/>
      <c r="H136" s="1168"/>
      <c r="I136" s="1168"/>
      <c r="J136" s="1168"/>
      <c r="K136" s="1168"/>
      <c r="L136" s="1168"/>
      <c r="M136" s="1168"/>
      <c r="N136" s="1168"/>
      <c r="O136" s="1168"/>
      <c r="P136" s="1168"/>
      <c r="Q136" s="1168"/>
      <c r="R136" s="1168"/>
      <c r="S136" s="1168"/>
      <c r="T136"/>
      <c r="AA136" s="768"/>
      <c r="AB136" s="768"/>
      <c r="AC136" s="768"/>
      <c r="AD136" s="100"/>
      <c r="AE136" s="477"/>
      <c r="AF136" s="477"/>
      <c r="AG136" s="477"/>
      <c r="AH136" s="100"/>
      <c r="AI136" s="477"/>
      <c r="AJ136" s="477"/>
      <c r="AK136" s="477"/>
      <c r="AL136" s="100"/>
      <c r="AM136" s="477"/>
      <c r="AN136" s="477"/>
      <c r="AO136" s="477"/>
      <c r="AP136" s="100"/>
      <c r="AR136" s="835"/>
      <c r="AS136" s="835"/>
      <c r="AT136" s="835"/>
      <c r="AW136" s="856"/>
      <c r="AX136" s="856"/>
      <c r="AY136" s="856"/>
      <c r="BB136" s="857"/>
      <c r="BC136" s="857"/>
      <c r="BD136" s="857"/>
      <c r="BF136" s="857"/>
      <c r="BG136" s="857"/>
      <c r="BH136" s="857"/>
    </row>
    <row r="137" spans="1:64" hidden="1">
      <c r="A137" s="995"/>
      <c r="B137" s="1023"/>
      <c r="C137" s="527"/>
      <c r="D137" s="1169" t="e">
        <f>IF('Data Entry - SOF'!#REF!="101-902",'Calc Data'!#REF!,IF('Data Entry - SOF'!#REF!="101-908",'Calc Data'!C215,IF('Data Entry - SOF'!#REF!="101-910",'Calc Data'!#REF!,IF('Data Entry - SOF'!#REF!="101-914",'Calc Data'!#REF!,IF('Data Entry - SOF'!#REF!="101-917",'Calc Data'!D215,IF('Data Entry - SOF'!#REF!="101-920",'Calc Data'!G215,0.96))))))</f>
        <v>#REF!</v>
      </c>
      <c r="E137" s="1169" t="e">
        <f>IF('Data Entry - SOF'!#REF!="101-902",'Calc Data'!#REF!,IF('Data Entry - SOF'!#REF!="101-908",'Calc Data'!#REF!,IF('Data Entry - SOF'!#REF!="101-910",'Calc Data'!#REF!,IF('Data Entry - SOF'!#REF!="101-914",'Calc Data'!G215,IF('Data Entry - SOF'!#REF!="101-917",'Calc Data'!E215,IF('Data Entry - SOF'!#REF!="101-920",'Calc Data'!O215,0.96))))))</f>
        <v>#REF!</v>
      </c>
      <c r="F137" s="1169" t="e">
        <f>IF('Data Entry - SOF'!#REF!="101-902",'Calc Data'!#REF!,IF('Data Entry - SOF'!#REF!="101-908",'Calc Data'!D215,IF('Data Entry - SOF'!#REF!="101-910",'Calc Data'!G215,IF('Data Entry - SOF'!#REF!="101-914",'Calc Data'!O215,IF('Data Entry - SOF'!#REF!="101-917",'Calc Data'!F215,IF('Data Entry - SOF'!#REF!="101-920",'Calc Data'!Q215,0.96))))))</f>
        <v>#REF!</v>
      </c>
      <c r="G137" s="1169" t="e">
        <f>IF('Data Entry - SOF'!#REF!="101-902",'Calc Data'!#REF!,IF('Data Entry - SOF'!#REF!="101-908",'Calc Data'!E215,IF('Data Entry - SOF'!#REF!="101-910",'Calc Data'!H215,IF('Data Entry - SOF'!#REF!="101-914",'Calc Data'!P215,IF('Data Entry - SOF'!#REF!="101-917",'Calc Data'!G215,IF('Data Entry - SOF'!#REF!="101-920",'Calc Data'!R215,0.96))))))</f>
        <v>#REF!</v>
      </c>
      <c r="H137" s="1169" t="e">
        <f>IF('Data Entry - SOF'!#REF!="101-902",'Calc Data'!#REF!,IF('Data Entry - SOF'!#REF!="101-908",'Calc Data'!F215,IF('Data Entry - SOF'!#REF!="101-910",'Calc Data'!O215,IF('Data Entry - SOF'!#REF!="101-914",'Calc Data'!Q215,IF('Data Entry - SOF'!#REF!="101-917",'Calc Data'!H215,IF('Data Entry - SOF'!#REF!="101-920",'Calc Data'!#REF!,0.96))))))</f>
        <v>#REF!</v>
      </c>
      <c r="I137" s="1169" t="e">
        <f>IF('Data Entry - SOF'!#REF!="101-902",'Calc Data'!#REF!,IF('Data Entry - SOF'!#REF!="101-908",'Calc Data'!G215,IF('Data Entry - SOF'!#REF!="101-910",'Calc Data'!P215,IF('Data Entry - SOF'!#REF!="101-914",'Calc Data'!R215,IF('Data Entry - SOF'!#REF!="101-917",'Calc Data'!I215,IF('Data Entry - SOF'!#REF!="101-920",'Calc Data'!#REF!,0.96))))))</f>
        <v>#REF!</v>
      </c>
      <c r="J137" s="1169" t="e">
        <f>IF('Data Entry - SOF'!#REF!="101-902",'Calc Data'!#REF!,IF('Data Entry - SOF'!#REF!="101-908",'Calc Data'!#REF!,IF('Data Entry - SOF'!#REF!="101-910",'Calc Data'!#REF!,IF('Data Entry - SOF'!#REF!="101-914",'Calc Data'!L215,IF('Data Entry - SOF'!#REF!="101-917",'Calc Data'!J215,IF('Data Entry - SOF'!#REF!="101-920",'Calc Data'!#REF!,0.96))))))</f>
        <v>#REF!</v>
      </c>
      <c r="K137" s="1169" t="e">
        <f>IF('Data Entry - SOF'!#REF!="101-902",'Calc Data'!#REF!,IF('Data Entry - SOF'!#REF!="101-908",'Calc Data'!D215,IF('Data Entry - SOF'!#REF!="101-910",'Calc Data'!L215,IF('Data Entry - SOF'!#REF!="101-914",'Calc Data'!#REF!,IF('Data Entry - SOF'!#REF!="101-917",'Calc Data'!K215,IF('Data Entry - SOF'!#REF!="101-920",'Calc Data'!#REF!,0.96))))))</f>
        <v>#REF!</v>
      </c>
      <c r="L137" s="1169" t="e">
        <f>IF('Data Entry - SOF'!#REF!="101-902",'Calc Data'!#REF!,IF('Data Entry - SOF'!#REF!="101-908",'Calc Data'!J215,IF('Data Entry - SOF'!#REF!="101-910",'Calc Data'!M215,IF('Data Entry - SOF'!#REF!="101-914",'Calc Data'!#REF!,IF('Data Entry - SOF'!#REF!="101-917",'Calc Data'!L215,IF('Data Entry - SOF'!#REF!="101-920",'Calc Data'!#REF!,0.96))))))</f>
        <v>#REF!</v>
      </c>
      <c r="M137" s="1169" t="e">
        <f>IF('Data Entry - SOF'!#REF!="101-902",'Calc Data'!#REF!,IF('Data Entry - SOF'!#REF!="101-908",'Calc Data'!K215,IF('Data Entry - SOF'!#REF!="101-910",'Calc Data'!#REF!,IF('Data Entry - SOF'!#REF!="101-914",'Calc Data'!#REF!,IF('Data Entry - SOF'!#REF!="101-917",'Calc Data'!M215,IF('Data Entry - SOF'!#REF!="101-920",'Calc Data'!O215,0.96))))))</f>
        <v>#REF!</v>
      </c>
      <c r="N137" s="1169" t="e">
        <f>IF('Data Entry - SOF'!#REF!="101-902",'Calc Data'!#REF!,IF('Data Entry - SOF'!#REF!="101-908",'Calc Data'!L215,IF('Data Entry - SOF'!#REF!="101-910",'Calc Data'!#REF!,IF('Data Entry - SOF'!#REF!="101-914",'Calc Data'!#REF!,IF('Data Entry - SOF'!#REF!="101-917",'Calc Data'!N215,IF('Data Entry - SOF'!#REF!="101-920",'Calc Data'!P215,0.96))))))</f>
        <v>#REF!</v>
      </c>
      <c r="O137" s="1169" t="e">
        <f>IF('Data Entry - SOF'!#REF!="101-902",'Calc Data'!#REF!,IF('Data Entry - SOF'!#REF!="101-908",'Calc Data'!#REF!,IF('Data Entry - SOF'!#REF!="101-910",'Calc Data'!#REF!,IF('Data Entry - SOF'!#REF!="101-914",'Calc Data'!Q215,IF('Data Entry - SOF'!#REF!="101-917",'Calc Data'!O215,IF('Data Entry - SOF'!#REF!="101-920",'Calc Data'!#REF!,0.96))))))</f>
        <v>#REF!</v>
      </c>
      <c r="P137" s="1169" t="e">
        <f>IF('Data Entry - SOF'!#REF!="101-902",'Calc Data'!#REF!,IF('Data Entry - SOF'!#REF!="101-908",'Calc Data'!H215,IF('Data Entry - SOF'!#REF!="101-910",'Calc Data'!Q215,IF('Data Entry - SOF'!#REF!="101-914",'Calc Data'!#REF!,IF('Data Entry - SOF'!#REF!="101-917",'Calc Data'!P215,IF('Data Entry - SOF'!#REF!="101-920",'Calc Data'!#REF!,0.96))))))</f>
        <v>#REF!</v>
      </c>
      <c r="Q137" s="1169" t="e">
        <f>IF('Data Entry - SOF'!#REF!="101-902",'Calc Data'!#REF!,IF('Data Entry - SOF'!#REF!="101-908",'Calc Data'!O215,IF('Data Entry - SOF'!#REF!="101-910",'Calc Data'!R215,IF('Data Entry - SOF'!#REF!="101-914",'Calc Data'!#REF!,IF('Data Entry - SOF'!#REF!="101-917",'Calc Data'!Q215,IF('Data Entry - SOF'!#REF!="101-920",'Calc Data'!#REF!,0.96))))))</f>
        <v>#REF!</v>
      </c>
      <c r="R137" s="1169" t="e">
        <f>IF('Data Entry - SOF'!#REF!="101-902",'Calc Data'!#REF!,IF('Data Entry - SOF'!#REF!="101-908",'Calc Data'!P215,IF('Data Entry - SOF'!#REF!="101-910",'Calc Data'!#REF!,IF('Data Entry - SOF'!#REF!="101-914",'Calc Data'!#REF!,IF('Data Entry - SOF'!#REF!="101-917",'Calc Data'!R215,IF('Data Entry - SOF'!#REF!="101-920",'Calc Data'!S215,0.96))))))</f>
        <v>#REF!</v>
      </c>
      <c r="S137" s="1169" t="e">
        <f>IF('Data Entry - SOF'!#REF!="101-902",'Calc Data'!#REF!,IF('Data Entry - SOF'!#REF!="101-908",'Calc Data'!Q215,IF('Data Entry - SOF'!#REF!="101-910",'Calc Data'!#REF!,IF('Data Entry - SOF'!#REF!="101-914",'Calc Data'!#REF!,IF('Data Entry - SOF'!#REF!="101-917",'Calc Data'!S215,IF('Data Entry - SOF'!#REF!="101-920",'Calc Data'!T215,0.96))))))</f>
        <v>#REF!</v>
      </c>
      <c r="T137"/>
      <c r="AA137" s="768"/>
      <c r="AB137" s="768"/>
      <c r="AC137" s="768"/>
      <c r="AD137" s="100"/>
      <c r="AE137" s="477"/>
      <c r="AF137" s="477"/>
      <c r="AG137" s="477"/>
      <c r="AH137" s="100"/>
      <c r="AI137" s="477"/>
      <c r="AJ137" s="477"/>
      <c r="AK137" s="477"/>
      <c r="AL137" s="100"/>
      <c r="AM137" s="477"/>
      <c r="AN137" s="477"/>
      <c r="AO137" s="477"/>
      <c r="AP137" s="100"/>
      <c r="AR137" s="835"/>
      <c r="AS137" s="835"/>
      <c r="AT137" s="835"/>
      <c r="AW137" s="856"/>
      <c r="AX137" s="856"/>
      <c r="AY137" s="856"/>
      <c r="BB137" s="857"/>
      <c r="BC137" s="857"/>
      <c r="BD137" s="857"/>
      <c r="BF137" s="857"/>
      <c r="BG137" s="857"/>
      <c r="BH137" s="857"/>
    </row>
    <row r="138" spans="1:64" hidden="1">
      <c r="A138" s="995"/>
      <c r="B138" s="1023"/>
      <c r="C138" s="527"/>
      <c r="D138" s="1169" t="e">
        <f t="shared" ref="D138:M138" si="35">D137+0.04</f>
        <v>#REF!</v>
      </c>
      <c r="E138" s="1169" t="e">
        <f t="shared" si="35"/>
        <v>#REF!</v>
      </c>
      <c r="F138" s="1169" t="e">
        <f t="shared" si="35"/>
        <v>#REF!</v>
      </c>
      <c r="G138" s="1169" t="e">
        <f t="shared" si="35"/>
        <v>#REF!</v>
      </c>
      <c r="H138" s="1169" t="e">
        <f t="shared" si="35"/>
        <v>#REF!</v>
      </c>
      <c r="I138" s="1169" t="e">
        <f t="shared" ref="I138" si="36">I137+0.04</f>
        <v>#REF!</v>
      </c>
      <c r="J138" s="1169" t="e">
        <f t="shared" si="35"/>
        <v>#REF!</v>
      </c>
      <c r="K138" s="1169" t="e">
        <f t="shared" si="35"/>
        <v>#REF!</v>
      </c>
      <c r="L138" s="1169" t="e">
        <f t="shared" si="35"/>
        <v>#REF!</v>
      </c>
      <c r="M138" s="1169" t="e">
        <f t="shared" si="35"/>
        <v>#REF!</v>
      </c>
      <c r="N138" s="1169" t="e">
        <f t="shared" ref="N138" si="37">N137+0.04</f>
        <v>#REF!</v>
      </c>
      <c r="O138" s="1169" t="e">
        <f t="shared" ref="O138:R138" si="38">O137+0.04</f>
        <v>#REF!</v>
      </c>
      <c r="P138" s="1169" t="e">
        <f t="shared" si="38"/>
        <v>#REF!</v>
      </c>
      <c r="Q138" s="1169" t="e">
        <f t="shared" si="38"/>
        <v>#REF!</v>
      </c>
      <c r="R138" s="1169" t="e">
        <f t="shared" si="38"/>
        <v>#REF!</v>
      </c>
      <c r="S138" s="1169" t="e">
        <f t="shared" ref="S138" si="39">S137+0.04</f>
        <v>#REF!</v>
      </c>
      <c r="T138"/>
      <c r="AA138" s="768"/>
      <c r="AB138" s="768"/>
      <c r="AC138" s="768"/>
      <c r="AD138" s="100"/>
      <c r="AE138" s="477"/>
      <c r="AF138" s="477"/>
      <c r="AG138" s="477"/>
      <c r="AH138" s="100"/>
      <c r="AI138" s="477"/>
      <c r="AJ138" s="477"/>
      <c r="AK138" s="477"/>
      <c r="AL138" s="100"/>
      <c r="AM138" s="477"/>
      <c r="AN138" s="477"/>
      <c r="AO138" s="477"/>
      <c r="AP138" s="100"/>
      <c r="AR138" s="835"/>
      <c r="AS138" s="835"/>
      <c r="AT138" s="835"/>
      <c r="AW138" s="856"/>
      <c r="AX138" s="856"/>
      <c r="AY138" s="856"/>
      <c r="BB138" s="857"/>
      <c r="BC138" s="857"/>
      <c r="BD138" s="857"/>
      <c r="BF138" s="857"/>
      <c r="BG138" s="857"/>
      <c r="BH138" s="857"/>
    </row>
    <row r="139" spans="1:64" hidden="1">
      <c r="A139" s="995"/>
      <c r="B139" s="1023"/>
      <c r="C139" s="527"/>
      <c r="D139" s="1169"/>
      <c r="E139" s="1169"/>
      <c r="F139" s="1169"/>
      <c r="G139" s="1169"/>
      <c r="H139" s="1169"/>
      <c r="I139" s="1169"/>
      <c r="J139" s="1169"/>
      <c r="K139" s="1169"/>
      <c r="L139" s="1169"/>
      <c r="M139" s="1169"/>
      <c r="N139" s="1169"/>
      <c r="O139" s="1169"/>
      <c r="P139" s="1169"/>
      <c r="Q139" s="1169"/>
      <c r="R139" s="1169"/>
      <c r="S139" s="1169"/>
      <c r="T139"/>
      <c r="AA139" s="768"/>
      <c r="AB139" s="768"/>
      <c r="AC139" s="768"/>
      <c r="AD139" s="100"/>
      <c r="AE139" s="477"/>
      <c r="AF139" s="477"/>
      <c r="AG139" s="477"/>
      <c r="AH139" s="100"/>
      <c r="AI139" s="477"/>
      <c r="AJ139" s="477"/>
      <c r="AK139" s="477"/>
      <c r="AL139" s="100"/>
      <c r="AM139" s="477"/>
      <c r="AN139" s="477"/>
      <c r="AO139" s="477"/>
      <c r="AP139" s="100"/>
      <c r="AR139" s="835"/>
      <c r="AS139" s="835"/>
      <c r="AT139" s="835"/>
      <c r="AW139" s="856"/>
      <c r="AX139" s="856"/>
      <c r="AY139" s="856"/>
      <c r="BB139" s="857"/>
      <c r="BC139" s="857"/>
      <c r="BD139" s="857"/>
      <c r="BF139" s="857"/>
      <c r="BG139" s="857"/>
      <c r="BH139" s="857"/>
    </row>
    <row r="140" spans="1:64" hidden="1">
      <c r="A140" s="995"/>
      <c r="B140" s="1023"/>
      <c r="C140" s="527"/>
      <c r="D140" s="1169" t="e">
        <f>IF('Data Entry - SOF'!#REF!&lt;=0.96,0,#REF!/100)</f>
        <v>#REF!</v>
      </c>
      <c r="E140" s="1169" t="e">
        <f>IF('Data Entry - SOF'!#REF!&lt;=0.96,0,E33/100)</f>
        <v>#REF!</v>
      </c>
      <c r="F140" s="1169" t="e">
        <f>IF('Data Entry - SOF'!#REF!&lt;=0.96,0,G33/100)</f>
        <v>#REF!</v>
      </c>
      <c r="G140" s="1169" t="e">
        <f>IF('Data Entry - SOF'!#REF!&lt;=0.96,0,H33/100)</f>
        <v>#REF!</v>
      </c>
      <c r="H140" s="1169" t="e">
        <f>IF('Data Entry - SOF'!#REF!&lt;=0.96,0,J33/100)</f>
        <v>#REF!</v>
      </c>
      <c r="I140" s="1169" t="e">
        <f>IF('Data Entry - SOF'!#REF!&lt;=0.96,0,K33/100)</f>
        <v>#REF!</v>
      </c>
      <c r="J140" s="1169" t="e">
        <f>IF('Data Entry - SOF'!#REF!&lt;=0.96,0,E33/100)</f>
        <v>#REF!</v>
      </c>
      <c r="K140" s="1169" t="e">
        <f>IF('Data Entry - SOF'!#REF!&lt;=0.96,0,G33/100)</f>
        <v>#REF!</v>
      </c>
      <c r="L140" s="1169" t="e">
        <f>IF('Data Entry - SOF'!#REF!&lt;=0.96,0,H33/100)</f>
        <v>#REF!</v>
      </c>
      <c r="M140" s="1169" t="e">
        <f>IF('Data Entry - SOF'!#REF!&lt;=0.96,0,J33/100)</f>
        <v>#REF!</v>
      </c>
      <c r="N140" s="1169" t="e">
        <f>IF('Data Entry - SOF'!#REF!&lt;=0.96,0,K33/100)</f>
        <v>#REF!</v>
      </c>
      <c r="O140" s="1169" t="e">
        <f>IF('Data Entry - SOF'!#REF!&lt;=0.96,0,J33/100)</f>
        <v>#REF!</v>
      </c>
      <c r="P140" s="1169" t="e">
        <f>IF('Data Entry - SOF'!#REF!&lt;=0.96,0,L33/100)</f>
        <v>#REF!</v>
      </c>
      <c r="Q140" s="1169" t="e">
        <f>IF('Data Entry - SOF'!#REF!&lt;=0.96,0,M33/100)</f>
        <v>#REF!</v>
      </c>
      <c r="R140" s="1169" t="e">
        <f>IF('Data Entry - SOF'!#REF!&lt;=0.96,0,O33/100)</f>
        <v>#REF!</v>
      </c>
      <c r="S140" s="1169" t="e">
        <f>IF('Data Entry - SOF'!#REF!&lt;=0.96,0,P33/100)</f>
        <v>#REF!</v>
      </c>
      <c r="T140"/>
      <c r="AA140" s="768"/>
      <c r="AB140" s="768"/>
      <c r="AC140" s="768"/>
      <c r="AD140" s="100"/>
      <c r="AE140" s="477"/>
      <c r="AF140" s="477"/>
      <c r="AG140" s="477"/>
      <c r="AH140" s="100"/>
      <c r="AI140" s="477"/>
      <c r="AJ140" s="477"/>
      <c r="AK140" s="477"/>
      <c r="AL140" s="100"/>
      <c r="AM140" s="477"/>
      <c r="AN140" s="477"/>
      <c r="AO140" s="477"/>
      <c r="AP140" s="100"/>
      <c r="AR140" s="835"/>
      <c r="AS140" s="835"/>
      <c r="AT140" s="835"/>
      <c r="AW140" s="856"/>
      <c r="AX140" s="856"/>
      <c r="AY140" s="856"/>
      <c r="BB140" s="857"/>
      <c r="BC140" s="857"/>
      <c r="BD140" s="857"/>
      <c r="BF140" s="857"/>
      <c r="BG140" s="857"/>
      <c r="BH140" s="857"/>
    </row>
    <row r="141" spans="1:64" hidden="1">
      <c r="A141" s="995"/>
      <c r="B141" s="1023"/>
      <c r="C141" s="527"/>
      <c r="D141" s="1169" t="e">
        <f t="shared" ref="D141:M141" si="40">D135</f>
        <v>#REF!</v>
      </c>
      <c r="E141" s="1169" t="e">
        <f t="shared" si="40"/>
        <v>#REF!</v>
      </c>
      <c r="F141" s="1169">
        <f t="shared" si="40"/>
        <v>0</v>
      </c>
      <c r="G141" s="1169">
        <f t="shared" si="40"/>
        <v>0</v>
      </c>
      <c r="H141" s="1169">
        <f t="shared" si="40"/>
        <v>0</v>
      </c>
      <c r="I141" s="1169">
        <f t="shared" ref="I141" si="41">I135</f>
        <v>0</v>
      </c>
      <c r="J141" s="1169" t="e">
        <f t="shared" si="40"/>
        <v>#REF!</v>
      </c>
      <c r="K141" s="1169">
        <f t="shared" si="40"/>
        <v>0</v>
      </c>
      <c r="L141" s="1169">
        <f t="shared" si="40"/>
        <v>0</v>
      </c>
      <c r="M141" s="1169">
        <f t="shared" si="40"/>
        <v>0</v>
      </c>
      <c r="N141" s="1169">
        <f t="shared" ref="N141" si="42">N135</f>
        <v>0</v>
      </c>
      <c r="O141" s="1169">
        <f t="shared" ref="O141:R141" si="43">O135</f>
        <v>0</v>
      </c>
      <c r="P141" s="1169">
        <f t="shared" si="43"/>
        <v>0</v>
      </c>
      <c r="Q141" s="1169">
        <f t="shared" si="43"/>
        <v>0</v>
      </c>
      <c r="R141" s="1169">
        <f t="shared" si="43"/>
        <v>0</v>
      </c>
      <c r="S141" s="1169">
        <f t="shared" ref="S141" si="44">S135</f>
        <v>0</v>
      </c>
      <c r="T141"/>
      <c r="AA141" s="768"/>
      <c r="AB141" s="768"/>
      <c r="AC141" s="768"/>
      <c r="AD141" s="100"/>
      <c r="AE141" s="477"/>
      <c r="AF141" s="477"/>
      <c r="AG141" s="477"/>
      <c r="AH141" s="100"/>
      <c r="AI141" s="477"/>
      <c r="AJ141" s="477"/>
      <c r="AK141" s="477"/>
      <c r="AL141" s="100"/>
      <c r="AM141" s="477"/>
      <c r="AN141" s="477"/>
      <c r="AO141" s="477"/>
      <c r="AP141" s="100"/>
      <c r="AR141" s="835"/>
      <c r="AS141" s="835"/>
      <c r="AT141" s="835"/>
      <c r="AW141" s="856"/>
      <c r="AX141" s="856"/>
      <c r="AY141" s="856"/>
      <c r="BB141" s="857"/>
      <c r="BC141" s="857"/>
      <c r="BD141" s="857"/>
      <c r="BF141" s="857"/>
      <c r="BG141" s="857"/>
      <c r="BH141" s="857"/>
    </row>
    <row r="142" spans="1:64" hidden="1">
      <c r="A142" s="995"/>
      <c r="B142" s="1023"/>
      <c r="C142" s="527"/>
      <c r="D142" s="1169" t="e">
        <f t="shared" ref="D142:M142" si="45">D140+D141</f>
        <v>#REF!</v>
      </c>
      <c r="E142" s="1169" t="e">
        <f t="shared" si="45"/>
        <v>#REF!</v>
      </c>
      <c r="F142" s="1169" t="e">
        <f t="shared" si="45"/>
        <v>#REF!</v>
      </c>
      <c r="G142" s="1169" t="e">
        <f t="shared" si="45"/>
        <v>#REF!</v>
      </c>
      <c r="H142" s="1169" t="e">
        <f t="shared" si="45"/>
        <v>#REF!</v>
      </c>
      <c r="I142" s="1169" t="e">
        <f t="shared" ref="I142" si="46">I140+I141</f>
        <v>#REF!</v>
      </c>
      <c r="J142" s="1169" t="e">
        <f t="shared" si="45"/>
        <v>#REF!</v>
      </c>
      <c r="K142" s="1169" t="e">
        <f t="shared" si="45"/>
        <v>#REF!</v>
      </c>
      <c r="L142" s="1169" t="e">
        <f t="shared" si="45"/>
        <v>#REF!</v>
      </c>
      <c r="M142" s="1169" t="e">
        <f t="shared" si="45"/>
        <v>#REF!</v>
      </c>
      <c r="N142" s="1169" t="e">
        <f t="shared" ref="N142" si="47">N140+N141</f>
        <v>#REF!</v>
      </c>
      <c r="O142" s="1169" t="e">
        <f t="shared" ref="O142:R142" si="48">O140+O141</f>
        <v>#REF!</v>
      </c>
      <c r="P142" s="1169" t="e">
        <f t="shared" si="48"/>
        <v>#REF!</v>
      </c>
      <c r="Q142" s="1169" t="e">
        <f t="shared" si="48"/>
        <v>#REF!</v>
      </c>
      <c r="R142" s="1169" t="e">
        <f t="shared" si="48"/>
        <v>#REF!</v>
      </c>
      <c r="S142" s="1169" t="e">
        <f t="shared" ref="S142" si="49">S140+S141</f>
        <v>#REF!</v>
      </c>
      <c r="T142"/>
      <c r="AA142" s="768"/>
      <c r="AB142" s="768"/>
      <c r="AC142" s="768"/>
      <c r="AD142" s="100"/>
      <c r="AE142" s="477"/>
      <c r="AF142" s="477"/>
      <c r="AG142" s="477"/>
      <c r="AH142" s="100"/>
      <c r="AI142" s="477"/>
      <c r="AJ142" s="477"/>
      <c r="AK142" s="477"/>
      <c r="AL142" s="100"/>
      <c r="AM142" s="477"/>
      <c r="AN142" s="477"/>
      <c r="AO142" s="477"/>
      <c r="AP142" s="100"/>
      <c r="AR142" s="835"/>
      <c r="AS142" s="835"/>
      <c r="AT142" s="835"/>
      <c r="AW142" s="856"/>
      <c r="AX142" s="856"/>
      <c r="AY142" s="856"/>
      <c r="BB142" s="857"/>
      <c r="BC142" s="857"/>
      <c r="BD142" s="857"/>
      <c r="BF142" s="857"/>
      <c r="BG142" s="857"/>
      <c r="BH142" s="857"/>
    </row>
    <row r="143" spans="1:64" hidden="1">
      <c r="A143" s="995"/>
      <c r="B143" s="1023"/>
      <c r="C143" s="527"/>
      <c r="D143" s="1169" t="e">
        <f t="shared" ref="D143:M143" si="50">D137+D142</f>
        <v>#REF!</v>
      </c>
      <c r="E143" s="1169" t="e">
        <f t="shared" si="50"/>
        <v>#REF!</v>
      </c>
      <c r="F143" s="1169" t="e">
        <f t="shared" si="50"/>
        <v>#REF!</v>
      </c>
      <c r="G143" s="1169" t="e">
        <f t="shared" si="50"/>
        <v>#REF!</v>
      </c>
      <c r="H143" s="1169" t="e">
        <f t="shared" si="50"/>
        <v>#REF!</v>
      </c>
      <c r="I143" s="1169" t="e">
        <f t="shared" ref="I143" si="51">I137+I142</f>
        <v>#REF!</v>
      </c>
      <c r="J143" s="1169" t="e">
        <f t="shared" si="50"/>
        <v>#REF!</v>
      </c>
      <c r="K143" s="1169" t="e">
        <f t="shared" si="50"/>
        <v>#REF!</v>
      </c>
      <c r="L143" s="1169" t="e">
        <f t="shared" si="50"/>
        <v>#REF!</v>
      </c>
      <c r="M143" s="1169" t="e">
        <f t="shared" si="50"/>
        <v>#REF!</v>
      </c>
      <c r="N143" s="1169" t="e">
        <f t="shared" ref="N143" si="52">N137+N142</f>
        <v>#REF!</v>
      </c>
      <c r="O143" s="1169" t="e">
        <f t="shared" ref="O143:R143" si="53">O137+O142</f>
        <v>#REF!</v>
      </c>
      <c r="P143" s="1169" t="e">
        <f t="shared" si="53"/>
        <v>#REF!</v>
      </c>
      <c r="Q143" s="1169" t="e">
        <f t="shared" si="53"/>
        <v>#REF!</v>
      </c>
      <c r="R143" s="1169" t="e">
        <f t="shared" si="53"/>
        <v>#REF!</v>
      </c>
      <c r="S143" s="1169" t="e">
        <f t="shared" ref="S143" si="54">S137+S142</f>
        <v>#REF!</v>
      </c>
      <c r="T143"/>
      <c r="AA143" s="768"/>
      <c r="AB143" s="768"/>
      <c r="AC143" s="768"/>
      <c r="AD143" s="100"/>
      <c r="AE143" s="477"/>
      <c r="AF143" s="477"/>
      <c r="AG143" s="477"/>
      <c r="AH143" s="100"/>
      <c r="AI143" s="477"/>
      <c r="AJ143" s="477"/>
      <c r="AK143" s="477"/>
      <c r="AL143" s="100"/>
      <c r="AM143" s="477"/>
      <c r="AN143" s="477"/>
      <c r="AO143" s="477"/>
      <c r="AP143" s="100"/>
      <c r="AR143" s="835"/>
      <c r="AS143" s="835"/>
      <c r="AT143" s="835"/>
      <c r="AW143" s="856"/>
      <c r="AX143" s="856"/>
      <c r="AY143" s="856"/>
      <c r="BB143" s="857"/>
      <c r="BC143" s="857"/>
      <c r="BD143" s="857"/>
      <c r="BF143" s="857"/>
      <c r="BG143" s="857"/>
      <c r="BH143" s="857"/>
    </row>
    <row r="144" spans="1:64" hidden="1">
      <c r="A144" s="995"/>
      <c r="B144" s="1023"/>
      <c r="C144" s="527"/>
      <c r="D144" s="1169" t="e">
        <f t="shared" ref="D144:M144" si="55">MAX(D138,D143)</f>
        <v>#REF!</v>
      </c>
      <c r="E144" s="1169" t="e">
        <f t="shared" si="55"/>
        <v>#REF!</v>
      </c>
      <c r="F144" s="1169" t="e">
        <f t="shared" si="55"/>
        <v>#REF!</v>
      </c>
      <c r="G144" s="1169" t="e">
        <f t="shared" si="55"/>
        <v>#REF!</v>
      </c>
      <c r="H144" s="1169" t="e">
        <f t="shared" si="55"/>
        <v>#REF!</v>
      </c>
      <c r="I144" s="1169" t="e">
        <f t="shared" ref="I144" si="56">MAX(I138,I143)</f>
        <v>#REF!</v>
      </c>
      <c r="J144" s="1169" t="e">
        <f t="shared" si="55"/>
        <v>#REF!</v>
      </c>
      <c r="K144" s="1169" t="e">
        <f t="shared" si="55"/>
        <v>#REF!</v>
      </c>
      <c r="L144" s="1169" t="e">
        <f t="shared" si="55"/>
        <v>#REF!</v>
      </c>
      <c r="M144" s="1169" t="e">
        <f t="shared" si="55"/>
        <v>#REF!</v>
      </c>
      <c r="N144" s="1169" t="e">
        <f t="shared" ref="N144" si="57">MAX(N138,N143)</f>
        <v>#REF!</v>
      </c>
      <c r="O144" s="1169" t="e">
        <f t="shared" ref="O144:R144" si="58">MAX(O138,O143)</f>
        <v>#REF!</v>
      </c>
      <c r="P144" s="1169" t="e">
        <f t="shared" si="58"/>
        <v>#REF!</v>
      </c>
      <c r="Q144" s="1169" t="e">
        <f t="shared" si="58"/>
        <v>#REF!</v>
      </c>
      <c r="R144" s="1169" t="e">
        <f t="shared" si="58"/>
        <v>#REF!</v>
      </c>
      <c r="S144" s="1169" t="e">
        <f t="shared" ref="S144" si="59">MAX(S138,S143)</f>
        <v>#REF!</v>
      </c>
      <c r="T144"/>
      <c r="AA144" s="768"/>
      <c r="AB144" s="768"/>
      <c r="AC144" s="768"/>
      <c r="AD144" s="100"/>
      <c r="AE144" s="477"/>
      <c r="AF144" s="477"/>
      <c r="AG144" s="477"/>
      <c r="AH144" s="100"/>
      <c r="AI144" s="477"/>
      <c r="AJ144" s="477"/>
      <c r="AK144" s="477"/>
      <c r="AL144" s="100"/>
      <c r="AM144" s="477"/>
      <c r="AN144" s="477"/>
      <c r="AO144" s="477"/>
      <c r="AP144" s="100"/>
      <c r="AR144" s="835"/>
      <c r="AS144" s="835"/>
      <c r="AT144" s="835"/>
      <c r="AW144" s="856"/>
      <c r="AX144" s="856"/>
      <c r="AY144" s="856"/>
      <c r="BB144" s="857"/>
      <c r="BC144" s="857"/>
      <c r="BD144" s="857"/>
      <c r="BF144" s="857"/>
      <c r="BG144" s="857"/>
      <c r="BH144" s="857"/>
    </row>
    <row r="145" spans="1:60" hidden="1">
      <c r="A145" s="995"/>
      <c r="B145" s="1023"/>
      <c r="C145" s="527"/>
      <c r="D145" s="1170"/>
      <c r="E145" s="1170"/>
      <c r="F145" s="1170"/>
      <c r="G145" s="1170"/>
      <c r="H145" s="1170"/>
      <c r="I145" s="1170"/>
      <c r="J145" s="1170"/>
      <c r="K145" s="1170"/>
      <c r="L145" s="1170"/>
      <c r="M145" s="1170"/>
      <c r="N145" s="1170"/>
      <c r="O145" s="1170"/>
      <c r="P145" s="1170"/>
      <c r="Q145" s="1170"/>
      <c r="R145" s="1170"/>
      <c r="S145" s="1170"/>
      <c r="T145"/>
      <c r="AA145" s="768"/>
      <c r="AB145" s="768"/>
      <c r="AC145" s="768"/>
      <c r="AD145" s="100"/>
      <c r="AE145" s="477"/>
      <c r="AF145" s="477"/>
      <c r="AG145" s="477"/>
      <c r="AH145" s="100"/>
      <c r="AI145" s="477"/>
      <c r="AJ145" s="477"/>
      <c r="AK145" s="477"/>
      <c r="AL145" s="100"/>
      <c r="AM145" s="477"/>
      <c r="AN145" s="477"/>
      <c r="AO145" s="477"/>
      <c r="AP145" s="100"/>
      <c r="AR145" s="835"/>
      <c r="AS145" s="835"/>
      <c r="AT145" s="835"/>
      <c r="AW145" s="856"/>
      <c r="AX145" s="856"/>
      <c r="AY145" s="856"/>
      <c r="BB145" s="857"/>
      <c r="BC145" s="857"/>
      <c r="BD145" s="857"/>
      <c r="BF145" s="857"/>
      <c r="BG145" s="857"/>
      <c r="BH145" s="857"/>
    </row>
    <row r="146" spans="1:60" hidden="1">
      <c r="B146" s="58"/>
      <c r="C146" s="528"/>
      <c r="D146" s="721"/>
      <c r="E146" s="721"/>
      <c r="F146" s="721"/>
      <c r="G146" s="721"/>
      <c r="H146" s="721"/>
      <c r="I146" s="721"/>
      <c r="J146" s="721"/>
      <c r="K146" s="721"/>
      <c r="L146" s="721"/>
      <c r="M146" s="721"/>
      <c r="N146" s="721"/>
      <c r="O146" s="721"/>
      <c r="P146" s="721"/>
      <c r="Q146" s="721"/>
      <c r="R146" s="721"/>
      <c r="S146" s="721"/>
      <c r="T146"/>
      <c r="AA146" s="768"/>
      <c r="AB146" s="768"/>
      <c r="AC146" s="768"/>
      <c r="AD146" s="100"/>
      <c r="AE146" s="477"/>
      <c r="AF146" s="477"/>
      <c r="AG146" s="477"/>
      <c r="AH146" s="100"/>
      <c r="AI146" s="477"/>
      <c r="AJ146" s="477"/>
      <c r="AK146" s="477"/>
      <c r="AL146" s="100"/>
      <c r="AM146" s="477"/>
      <c r="AN146" s="477"/>
      <c r="AO146" s="477"/>
      <c r="AP146" s="100"/>
      <c r="AR146" s="835"/>
      <c r="AS146" s="835"/>
      <c r="AT146" s="835"/>
      <c r="AW146" s="856"/>
      <c r="AX146" s="856"/>
      <c r="AY146" s="856"/>
      <c r="BB146" s="857"/>
      <c r="BC146" s="857"/>
      <c r="BD146" s="857"/>
      <c r="BF146" s="857"/>
      <c r="BG146" s="857"/>
      <c r="BH146" s="857"/>
    </row>
    <row r="147" spans="1:60" hidden="1">
      <c r="A147" s="995"/>
      <c r="B147" s="1023"/>
      <c r="C147" s="1024"/>
      <c r="D147" s="721"/>
      <c r="E147" s="721"/>
      <c r="F147" s="721"/>
      <c r="G147" s="721"/>
      <c r="H147" s="721"/>
      <c r="I147" s="721"/>
      <c r="J147" s="721"/>
      <c r="K147" s="721"/>
      <c r="L147" s="721"/>
      <c r="M147" s="721"/>
      <c r="N147" s="721"/>
      <c r="O147" s="721"/>
      <c r="P147" s="721"/>
      <c r="Q147" s="721"/>
      <c r="R147" s="721"/>
      <c r="S147" s="721"/>
      <c r="T147"/>
      <c r="AA147" s="768"/>
      <c r="AB147" s="768"/>
      <c r="AC147" s="768"/>
      <c r="AD147" s="100"/>
      <c r="AE147" s="477"/>
      <c r="AF147" s="477"/>
      <c r="AG147" s="477"/>
      <c r="AH147" s="100"/>
      <c r="AI147" s="477"/>
      <c r="AJ147" s="477"/>
      <c r="AK147" s="477"/>
      <c r="AL147" s="100"/>
      <c r="AM147" s="477"/>
      <c r="AN147" s="477"/>
      <c r="AO147" s="477"/>
      <c r="AP147" s="100"/>
      <c r="AR147" s="835"/>
      <c r="AS147" s="835"/>
      <c r="AT147" s="835"/>
      <c r="AW147" s="856"/>
      <c r="AX147" s="856"/>
      <c r="AY147" s="856"/>
      <c r="BB147" s="857"/>
      <c r="BC147" s="857"/>
      <c r="BD147" s="857"/>
      <c r="BF147" s="857"/>
      <c r="BG147" s="857"/>
      <c r="BH147" s="857"/>
    </row>
    <row r="148" spans="1:60" hidden="1">
      <c r="A148" s="995"/>
      <c r="B148" s="1023"/>
      <c r="C148" s="1024"/>
      <c r="D148" s="1171" t="e">
        <f>#REF!+#REF!</f>
        <v>#REF!</v>
      </c>
      <c r="E148" s="1171" t="e">
        <f>#REF!+#REF!</f>
        <v>#REF!</v>
      </c>
      <c r="F148" s="1171" t="e">
        <f>#REF!+#REF!</f>
        <v>#REF!</v>
      </c>
      <c r="G148" s="1171" t="e">
        <f>#REF!+#REF!</f>
        <v>#REF!</v>
      </c>
      <c r="H148" s="1171" t="e">
        <f>#REF!+#REF!</f>
        <v>#REF!</v>
      </c>
      <c r="I148" s="1171" t="e">
        <f>#REF!+#REF!</f>
        <v>#REF!</v>
      </c>
      <c r="J148" s="1171" t="e">
        <f>#REF!+#REF!</f>
        <v>#REF!</v>
      </c>
      <c r="K148" s="1171" t="e">
        <f>#REF!+#REF!</f>
        <v>#REF!</v>
      </c>
      <c r="L148" s="1171" t="e">
        <f>#REF!+#REF!</f>
        <v>#REF!</v>
      </c>
      <c r="M148" s="1171" t="e">
        <f>#REF!+#REF!</f>
        <v>#REF!</v>
      </c>
      <c r="N148" s="1171" t="e">
        <f>#REF!+#REF!</f>
        <v>#REF!</v>
      </c>
      <c r="O148" s="1171" t="e">
        <f>#REF!+#REF!</f>
        <v>#REF!</v>
      </c>
      <c r="P148" s="1171" t="e">
        <f>#REF!+#REF!</f>
        <v>#REF!</v>
      </c>
      <c r="Q148" s="1171" t="e">
        <f>#REF!+#REF!</f>
        <v>#REF!</v>
      </c>
      <c r="R148" s="1171" t="e">
        <f>#REF!+#REF!</f>
        <v>#REF!</v>
      </c>
      <c r="S148" s="1171" t="e">
        <f>#REF!+#REF!</f>
        <v>#REF!</v>
      </c>
      <c r="T148"/>
      <c r="AA148" s="768"/>
      <c r="AB148" s="768"/>
      <c r="AC148" s="768"/>
      <c r="AD148" s="100"/>
      <c r="AE148" s="477"/>
      <c r="AF148" s="477"/>
      <c r="AG148" s="477"/>
      <c r="AH148" s="100"/>
      <c r="AI148" s="477"/>
      <c r="AJ148" s="477"/>
      <c r="AK148" s="477"/>
      <c r="AL148" s="100"/>
      <c r="AM148" s="477"/>
      <c r="AN148" s="477"/>
      <c r="AO148" s="477"/>
      <c r="AP148" s="100"/>
      <c r="AR148" s="835"/>
      <c r="AS148" s="835"/>
      <c r="AT148" s="835"/>
      <c r="AW148" s="856"/>
      <c r="AX148" s="856"/>
      <c r="AY148" s="856"/>
      <c r="BB148" s="857"/>
      <c r="BC148" s="857"/>
      <c r="BD148" s="857"/>
      <c r="BF148" s="857"/>
      <c r="BG148" s="857"/>
      <c r="BH148" s="857"/>
    </row>
    <row r="149" spans="1:60" hidden="1">
      <c r="A149" s="995"/>
      <c r="B149" s="1023"/>
      <c r="C149" s="1024"/>
      <c r="D149" s="1171" t="e">
        <f>#REF!+#REF!</f>
        <v>#REF!</v>
      </c>
      <c r="E149" s="1171" t="e">
        <f>#REF!+#REF!</f>
        <v>#REF!</v>
      </c>
      <c r="F149" s="1171" t="e">
        <f>#REF!+#REF!</f>
        <v>#REF!</v>
      </c>
      <c r="G149" s="1171" t="e">
        <f>#REF!+#REF!</f>
        <v>#REF!</v>
      </c>
      <c r="H149" s="1171" t="e">
        <f>#REF!+#REF!</f>
        <v>#REF!</v>
      </c>
      <c r="I149" s="1171" t="e">
        <f>#REF!+#REF!</f>
        <v>#REF!</v>
      </c>
      <c r="J149" s="1171" t="e">
        <f>#REF!+#REF!</f>
        <v>#REF!</v>
      </c>
      <c r="K149" s="1171" t="e">
        <f>#REF!+#REF!</f>
        <v>#REF!</v>
      </c>
      <c r="L149" s="1171" t="e">
        <f>#REF!+#REF!</f>
        <v>#REF!</v>
      </c>
      <c r="M149" s="1171" t="e">
        <f>#REF!+#REF!</f>
        <v>#REF!</v>
      </c>
      <c r="N149" s="1171" t="e">
        <f>#REF!+#REF!</f>
        <v>#REF!</v>
      </c>
      <c r="O149" s="1171" t="e">
        <f>#REF!+#REF!</f>
        <v>#REF!</v>
      </c>
      <c r="P149" s="1171" t="e">
        <f>#REF!+#REF!</f>
        <v>#REF!</v>
      </c>
      <c r="Q149" s="1171" t="e">
        <f>#REF!+#REF!</f>
        <v>#REF!</v>
      </c>
      <c r="R149" s="1171" t="e">
        <f>#REF!+#REF!</f>
        <v>#REF!</v>
      </c>
      <c r="S149" s="1171" t="e">
        <f>#REF!+#REF!</f>
        <v>#REF!</v>
      </c>
      <c r="T149"/>
      <c r="AA149" s="768"/>
      <c r="AB149" s="768"/>
      <c r="AC149" s="768"/>
      <c r="AD149" s="100"/>
      <c r="AE149" s="477"/>
      <c r="AF149" s="477"/>
      <c r="AG149" s="477"/>
      <c r="AH149" s="100"/>
      <c r="AI149" s="477"/>
      <c r="AJ149" s="477"/>
      <c r="AK149" s="477"/>
      <c r="AL149" s="100"/>
      <c r="AM149" s="477"/>
      <c r="AN149" s="477"/>
      <c r="AO149" s="477"/>
      <c r="AP149" s="100"/>
      <c r="AR149" s="835"/>
      <c r="AS149" s="835"/>
      <c r="AT149" s="835"/>
      <c r="AW149" s="856"/>
      <c r="AX149" s="856"/>
      <c r="AY149" s="856"/>
      <c r="BB149" s="857"/>
      <c r="BC149" s="857"/>
      <c r="BD149" s="857"/>
      <c r="BF149" s="857"/>
      <c r="BG149" s="857"/>
      <c r="BH149" s="857"/>
    </row>
    <row r="150" spans="1:60" hidden="1">
      <c r="A150" s="995"/>
      <c r="B150" s="1023"/>
      <c r="C150" s="1024"/>
      <c r="D150" s="1171" t="e">
        <f>D149/'Data Entry - SOF'!#REF!</f>
        <v>#REF!</v>
      </c>
      <c r="E150" s="1171" t="e">
        <f>E149/'Data Entry - SOF'!C19</f>
        <v>#REF!</v>
      </c>
      <c r="F150" s="1171" t="e">
        <f>F149/'Data Entry - SOF'!E19</f>
        <v>#REF!</v>
      </c>
      <c r="G150" s="1171" t="e">
        <f>G149/'Data Entry - SOF'!F19</f>
        <v>#REF!</v>
      </c>
      <c r="H150" s="1171" t="e">
        <f>H149/'Data Entry - SOF'!G19</f>
        <v>#REF!</v>
      </c>
      <c r="I150" s="1171" t="e">
        <f>I149/'Data Entry - SOF'!H19</f>
        <v>#REF!</v>
      </c>
      <c r="J150" s="1171" t="e">
        <f>J149/'Data Entry - SOF'!C19</f>
        <v>#REF!</v>
      </c>
      <c r="K150" s="1171" t="e">
        <f>K149/'Data Entry - SOF'!E19</f>
        <v>#REF!</v>
      </c>
      <c r="L150" s="1171" t="e">
        <f>L149/'Data Entry - SOF'!F19</f>
        <v>#REF!</v>
      </c>
      <c r="M150" s="1171" t="e">
        <f>M149/'Data Entry - SOF'!G19</f>
        <v>#REF!</v>
      </c>
      <c r="N150" s="1171" t="e">
        <f>N149/'Data Entry - SOF'!H19</f>
        <v>#REF!</v>
      </c>
      <c r="O150" s="1171" t="e">
        <f>O149/'Data Entry - SOF'!G19</f>
        <v>#REF!</v>
      </c>
      <c r="P150" s="1171" t="e">
        <f>P149/'Data Entry - SOF'!I19</f>
        <v>#REF!</v>
      </c>
      <c r="Q150" s="1171" t="e">
        <f>Q149/'Data Entry - SOF'!J19</f>
        <v>#REF!</v>
      </c>
      <c r="R150" s="1171" t="e">
        <f>R149/'Data Entry - SOF'!K19</f>
        <v>#REF!</v>
      </c>
      <c r="S150" s="1171" t="e">
        <f>S149/'Data Entry - SOF'!L19</f>
        <v>#REF!</v>
      </c>
      <c r="T150"/>
      <c r="AA150" s="768"/>
      <c r="AB150" s="768"/>
      <c r="AC150" s="768"/>
      <c r="AD150" s="100"/>
      <c r="AE150" s="477"/>
      <c r="AF150" s="477"/>
      <c r="AG150" s="477"/>
      <c r="AH150" s="100"/>
      <c r="AI150" s="477"/>
      <c r="AJ150" s="477"/>
      <c r="AK150" s="477"/>
      <c r="AL150" s="100"/>
      <c r="AM150" s="477"/>
      <c r="AN150" s="477"/>
      <c r="AO150" s="477"/>
      <c r="AP150" s="100"/>
      <c r="AR150" s="835"/>
      <c r="AS150" s="835"/>
      <c r="AT150" s="835"/>
      <c r="AW150" s="856"/>
      <c r="AX150" s="856"/>
      <c r="AY150" s="856"/>
      <c r="BB150" s="857"/>
      <c r="BC150" s="857"/>
      <c r="BD150" s="857"/>
      <c r="BF150" s="857"/>
      <c r="BG150" s="857"/>
      <c r="BH150" s="857"/>
    </row>
    <row r="151" spans="1:60" hidden="1">
      <c r="A151" s="995"/>
      <c r="B151" s="1023"/>
      <c r="C151" s="1024"/>
      <c r="D151" s="1172" t="e">
        <f>D148/'Data Entry - SOF'!#REF!</f>
        <v>#REF!</v>
      </c>
      <c r="E151" s="1172" t="e">
        <f>E148/'Data Entry - SOF'!#REF!</f>
        <v>#REF!</v>
      </c>
      <c r="F151" s="1172" t="e">
        <f>F148/'Data Entry - SOF'!#REF!</f>
        <v>#REF!</v>
      </c>
      <c r="G151" s="1172" t="e">
        <f>G148/'Data Entry - SOF'!#REF!</f>
        <v>#REF!</v>
      </c>
      <c r="H151" s="1172" t="e">
        <f>H148/'Data Entry - SOF'!#REF!</f>
        <v>#REF!</v>
      </c>
      <c r="I151" s="1172" t="e">
        <f>I148/'Data Entry - SOF'!#REF!</f>
        <v>#REF!</v>
      </c>
      <c r="J151" s="1172" t="e">
        <f>J148/'Data Entry - SOF'!#REF!</f>
        <v>#REF!</v>
      </c>
      <c r="K151" s="1172" t="e">
        <f>K148/'Data Entry - SOF'!#REF!</f>
        <v>#REF!</v>
      </c>
      <c r="L151" s="1172" t="e">
        <f>L148/'Data Entry - SOF'!#REF!</f>
        <v>#REF!</v>
      </c>
      <c r="M151" s="1172" t="e">
        <f>M148/'Data Entry - SOF'!#REF!</f>
        <v>#REF!</v>
      </c>
      <c r="N151" s="1172" t="e">
        <f>N148/'Data Entry - SOF'!#REF!</f>
        <v>#REF!</v>
      </c>
      <c r="O151" s="1172" t="e">
        <f>O148/'Data Entry - SOF'!#REF!</f>
        <v>#REF!</v>
      </c>
      <c r="P151" s="1172" t="e">
        <f>P148/'Data Entry - SOF'!#REF!</f>
        <v>#REF!</v>
      </c>
      <c r="Q151" s="1172" t="e">
        <f>Q148/'Data Entry - SOF'!#REF!</f>
        <v>#REF!</v>
      </c>
      <c r="R151" s="1172" t="e">
        <f>R148/'Data Entry - SOF'!E19</f>
        <v>#REF!</v>
      </c>
      <c r="S151" s="1172" t="e">
        <f>S148/'Data Entry - SOF'!F19</f>
        <v>#REF!</v>
      </c>
      <c r="T151"/>
      <c r="AF151" s="100"/>
      <c r="AG151" s="100"/>
    </row>
    <row r="152" spans="1:60" hidden="1">
      <c r="A152" s="995"/>
      <c r="B152" s="1023"/>
      <c r="C152" s="1024"/>
      <c r="D152" s="1172" t="e">
        <f t="shared" ref="D152:M152" si="60">IF(D150-D151&lt;0,0,D150-D151)</f>
        <v>#REF!</v>
      </c>
      <c r="E152" s="1172" t="e">
        <f t="shared" si="60"/>
        <v>#REF!</v>
      </c>
      <c r="F152" s="1172" t="e">
        <f t="shared" si="60"/>
        <v>#REF!</v>
      </c>
      <c r="G152" s="1172" t="e">
        <f t="shared" si="60"/>
        <v>#REF!</v>
      </c>
      <c r="H152" s="1172" t="e">
        <f t="shared" si="60"/>
        <v>#REF!</v>
      </c>
      <c r="I152" s="1172" t="e">
        <f t="shared" ref="I152" si="61">IF(I150-I151&lt;0,0,I150-I151)</f>
        <v>#REF!</v>
      </c>
      <c r="J152" s="1172" t="e">
        <f t="shared" si="60"/>
        <v>#REF!</v>
      </c>
      <c r="K152" s="1172" t="e">
        <f t="shared" si="60"/>
        <v>#REF!</v>
      </c>
      <c r="L152" s="1172" t="e">
        <f t="shared" si="60"/>
        <v>#REF!</v>
      </c>
      <c r="M152" s="1172" t="e">
        <f t="shared" si="60"/>
        <v>#REF!</v>
      </c>
      <c r="N152" s="1172" t="e">
        <f t="shared" ref="N152" si="62">IF(N150-N151&lt;0,0,N150-N151)</f>
        <v>#REF!</v>
      </c>
      <c r="O152" s="1172" t="e">
        <f t="shared" ref="O152:R152" si="63">IF(O150-O151&lt;0,0,O150-O151)</f>
        <v>#REF!</v>
      </c>
      <c r="P152" s="1172" t="e">
        <f t="shared" si="63"/>
        <v>#REF!</v>
      </c>
      <c r="Q152" s="1172" t="e">
        <f t="shared" si="63"/>
        <v>#REF!</v>
      </c>
      <c r="R152" s="1172" t="e">
        <f t="shared" si="63"/>
        <v>#REF!</v>
      </c>
      <c r="S152" s="1172" t="e">
        <f t="shared" ref="S152" si="64">IF(S150-S151&lt;0,0,S150-S151)</f>
        <v>#REF!</v>
      </c>
      <c r="T152"/>
      <c r="AF152" s="100"/>
      <c r="AG152" s="100"/>
    </row>
    <row r="153" spans="1:60" hidden="1">
      <c r="A153" s="995"/>
      <c r="B153" s="1023"/>
      <c r="C153" s="1024"/>
      <c r="D153" s="1172" t="e">
        <f>D152*'Data Entry - SOF'!#REF!</f>
        <v>#REF!</v>
      </c>
      <c r="E153" s="1172" t="e">
        <f>E152*'Data Entry - SOF'!C19</f>
        <v>#REF!</v>
      </c>
      <c r="F153" s="1172" t="e">
        <f>F152*'Data Entry - SOF'!E19</f>
        <v>#REF!</v>
      </c>
      <c r="G153" s="1172" t="e">
        <f>G152*'Data Entry - SOF'!F19</f>
        <v>#REF!</v>
      </c>
      <c r="H153" s="1172" t="e">
        <f>H152*'Data Entry - SOF'!G19</f>
        <v>#REF!</v>
      </c>
      <c r="I153" s="1172" t="e">
        <f>I152*'Data Entry - SOF'!H19</f>
        <v>#REF!</v>
      </c>
      <c r="J153" s="1172" t="e">
        <f>J152*'Data Entry - SOF'!C19</f>
        <v>#REF!</v>
      </c>
      <c r="K153" s="1172" t="e">
        <f>K152*'Data Entry - SOF'!E19</f>
        <v>#REF!</v>
      </c>
      <c r="L153" s="1172" t="e">
        <f>L152*'Data Entry - SOF'!F19</f>
        <v>#REF!</v>
      </c>
      <c r="M153" s="1172" t="e">
        <f>M152*'Data Entry - SOF'!G19</f>
        <v>#REF!</v>
      </c>
      <c r="N153" s="1172" t="e">
        <f>N152*'Data Entry - SOF'!H19</f>
        <v>#REF!</v>
      </c>
      <c r="O153" s="1172" t="e">
        <f>O152*'Data Entry - SOF'!G19</f>
        <v>#REF!</v>
      </c>
      <c r="P153" s="1172" t="e">
        <f>P152*'Data Entry - SOF'!I19</f>
        <v>#REF!</v>
      </c>
      <c r="Q153" s="1172" t="e">
        <f>Q152*'Data Entry - SOF'!J19</f>
        <v>#REF!</v>
      </c>
      <c r="R153" s="1172" t="e">
        <f>R152*'Data Entry - SOF'!K19</f>
        <v>#REF!</v>
      </c>
      <c r="S153" s="1172" t="e">
        <f>S152*'Data Entry - SOF'!L19</f>
        <v>#REF!</v>
      </c>
      <c r="T153"/>
      <c r="AF153" s="100"/>
      <c r="AG153" s="100"/>
    </row>
    <row r="154" spans="1:60" hidden="1">
      <c r="A154" s="995"/>
      <c r="B154" s="1023"/>
      <c r="C154" s="1024"/>
      <c r="D154" s="1172" t="e">
        <f>1.5*'Data Entry - SOF'!#REF!-'Calc Data'!D153</f>
        <v>#REF!</v>
      </c>
      <c r="E154" s="1172" t="e">
        <f>1.5*'Data Entry - SOF'!#REF!-'Calc Data'!E153</f>
        <v>#REF!</v>
      </c>
      <c r="F154" s="1172" t="e">
        <f>1.5*'Data Entry - SOF'!#REF!-'Calc Data'!F153</f>
        <v>#REF!</v>
      </c>
      <c r="G154" s="1172" t="e">
        <f>1.5*'Data Entry - SOF'!#REF!-'Calc Data'!G153</f>
        <v>#REF!</v>
      </c>
      <c r="H154" s="1172" t="e">
        <f>1.5*'Data Entry - SOF'!#REF!-'Calc Data'!H153</f>
        <v>#REF!</v>
      </c>
      <c r="I154" s="1172" t="e">
        <f>1.5*'Data Entry - SOF'!#REF!-'Calc Data'!I153</f>
        <v>#REF!</v>
      </c>
      <c r="J154" s="1172" t="e">
        <f>1.5*'Data Entry - SOF'!#REF!-'Calc Data'!J153</f>
        <v>#REF!</v>
      </c>
      <c r="K154" s="1172" t="e">
        <f>1.5*'Data Entry - SOF'!#REF!-'Calc Data'!K153</f>
        <v>#REF!</v>
      </c>
      <c r="L154" s="1172" t="e">
        <f>1.5*'Data Entry - SOF'!#REF!-'Calc Data'!L153</f>
        <v>#REF!</v>
      </c>
      <c r="M154" s="1172" t="e">
        <f>1.5*'Data Entry - SOF'!#REF!-'Calc Data'!M153</f>
        <v>#REF!</v>
      </c>
      <c r="N154" s="1172" t="e">
        <f>1.5*'Data Entry - SOF'!#REF!-'Calc Data'!N153</f>
        <v>#REF!</v>
      </c>
      <c r="O154" s="1172" t="e">
        <f>1.5*'Data Entry - SOF'!#REF!-'Calc Data'!O153</f>
        <v>#REF!</v>
      </c>
      <c r="P154" s="1172" t="e">
        <f>1.5*'Data Entry - SOF'!#REF!-'Calc Data'!P153</f>
        <v>#REF!</v>
      </c>
      <c r="Q154" s="1172" t="e">
        <f>1.5*'Data Entry - SOF'!#REF!-'Calc Data'!Q153</f>
        <v>#REF!</v>
      </c>
      <c r="R154" s="1172" t="e">
        <f>1.5*'Data Entry - SOF'!#REF!-'Calc Data'!R153</f>
        <v>#REF!</v>
      </c>
      <c r="S154" s="1172" t="e">
        <f>1.5*'Data Entry - SOF'!#REF!-'Calc Data'!S153</f>
        <v>#REF!</v>
      </c>
      <c r="T154"/>
      <c r="AF154" s="100"/>
      <c r="AG154" s="100"/>
    </row>
    <row r="155" spans="1:60" hidden="1">
      <c r="B155" s="58"/>
      <c r="C155" s="528"/>
      <c r="D155" s="721"/>
      <c r="E155" s="721"/>
      <c r="F155" s="721"/>
      <c r="G155" s="721"/>
      <c r="H155" s="721"/>
      <c r="I155" s="721"/>
      <c r="J155" s="721"/>
      <c r="K155" s="721"/>
      <c r="L155" s="721"/>
      <c r="M155" s="721"/>
      <c r="N155" s="721"/>
      <c r="O155" s="721"/>
      <c r="P155" s="721"/>
      <c r="Q155" s="721"/>
      <c r="R155" s="721"/>
      <c r="S155" s="721"/>
      <c r="T155"/>
      <c r="AF155" s="100"/>
      <c r="AG155" s="100"/>
    </row>
    <row r="156" spans="1:60" hidden="1">
      <c r="A156" s="995"/>
      <c r="B156" s="1023"/>
      <c r="C156" s="528"/>
      <c r="D156" s="721"/>
      <c r="E156" s="721"/>
      <c r="F156" s="721"/>
      <c r="G156" s="721"/>
      <c r="H156" s="721"/>
      <c r="I156" s="721"/>
      <c r="J156" s="721"/>
      <c r="K156" s="721"/>
      <c r="L156" s="721"/>
      <c r="M156" s="721"/>
      <c r="N156" s="721"/>
      <c r="O156" s="721"/>
      <c r="P156" s="721"/>
      <c r="Q156" s="721"/>
      <c r="R156" s="721"/>
      <c r="S156" s="721"/>
      <c r="T156"/>
      <c r="AF156" s="100"/>
      <c r="AG156" s="100"/>
    </row>
    <row r="157" spans="1:60" hidden="1">
      <c r="A157" s="995"/>
      <c r="B157" s="1023"/>
      <c r="C157" s="528"/>
      <c r="D157" s="1173" t="e">
        <f>#REF!+#REF!</f>
        <v>#REF!</v>
      </c>
      <c r="E157" s="1173" t="e">
        <f>#REF!+#REF!</f>
        <v>#REF!</v>
      </c>
      <c r="F157" s="1173" t="e">
        <f>#REF!+#REF!</f>
        <v>#REF!</v>
      </c>
      <c r="G157" s="1173" t="e">
        <f>#REF!+#REF!</f>
        <v>#REF!</v>
      </c>
      <c r="H157" s="1173" t="e">
        <f>#REF!+#REF!</f>
        <v>#REF!</v>
      </c>
      <c r="I157" s="1173" t="e">
        <f>#REF!+#REF!</f>
        <v>#REF!</v>
      </c>
      <c r="J157" s="1173" t="e">
        <f>#REF!+#REF!</f>
        <v>#REF!</v>
      </c>
      <c r="K157" s="1173" t="e">
        <f>#REF!+#REF!</f>
        <v>#REF!</v>
      </c>
      <c r="L157" s="1173" t="e">
        <f>#REF!+#REF!</f>
        <v>#REF!</v>
      </c>
      <c r="M157" s="1173" t="e">
        <f>#REF!+#REF!</f>
        <v>#REF!</v>
      </c>
      <c r="N157" s="1173" t="e">
        <f>#REF!+#REF!</f>
        <v>#REF!</v>
      </c>
      <c r="O157" s="1173" t="e">
        <f>#REF!+#REF!</f>
        <v>#REF!</v>
      </c>
      <c r="P157" s="1173" t="e">
        <f>#REF!+#REF!</f>
        <v>#REF!</v>
      </c>
      <c r="Q157" s="1173" t="e">
        <f>#REF!+#REF!</f>
        <v>#REF!</v>
      </c>
      <c r="R157" s="1173" t="e">
        <f>#REF!+#REF!</f>
        <v>#REF!</v>
      </c>
      <c r="S157" s="1173" t="e">
        <f>#REF!+#REF!</f>
        <v>#REF!</v>
      </c>
      <c r="T157"/>
      <c r="AF157" s="100"/>
      <c r="AG157" s="100"/>
    </row>
    <row r="158" spans="1:60" hidden="1">
      <c r="A158" s="995"/>
      <c r="B158" s="1023"/>
      <c r="C158" s="528"/>
      <c r="D158" s="1173" t="e">
        <f>'Data Entry - SOF'!#REF!-D157</f>
        <v>#REF!</v>
      </c>
      <c r="E158" s="1173" t="e">
        <f>'Data Entry - SOF'!#REF!-E157</f>
        <v>#REF!</v>
      </c>
      <c r="F158" s="1173" t="e">
        <f>'Data Entry - SOF'!#REF!-F157</f>
        <v>#REF!</v>
      </c>
      <c r="G158" s="1173" t="e">
        <f>'Data Entry - SOF'!#REF!-G157</f>
        <v>#REF!</v>
      </c>
      <c r="H158" s="1173" t="e">
        <f>'Data Entry - SOF'!#REF!-H157</f>
        <v>#REF!</v>
      </c>
      <c r="I158" s="1173" t="e">
        <f>'Data Entry - SOF'!#REF!-I157</f>
        <v>#REF!</v>
      </c>
      <c r="J158" s="1173" t="e">
        <f>'Data Entry - SOF'!#REF!-J157</f>
        <v>#REF!</v>
      </c>
      <c r="K158" s="1173" t="e">
        <f>'Data Entry - SOF'!#REF!-K157</f>
        <v>#REF!</v>
      </c>
      <c r="L158" s="1173" t="e">
        <f>'Data Entry - SOF'!#REF!-L157</f>
        <v>#REF!</v>
      </c>
      <c r="M158" s="1173" t="e">
        <f>'Data Entry - SOF'!#REF!-M157</f>
        <v>#REF!</v>
      </c>
      <c r="N158" s="1173" t="e">
        <f>'Data Entry - SOF'!#REF!-N157</f>
        <v>#REF!</v>
      </c>
      <c r="O158" s="1173" t="e">
        <f>'Data Entry - SOF'!#REF!-O157</f>
        <v>#REF!</v>
      </c>
      <c r="P158" s="1173" t="e">
        <f>'Data Entry - SOF'!#REF!-P157</f>
        <v>#REF!</v>
      </c>
      <c r="Q158" s="1173" t="e">
        <f>'Data Entry - SOF'!#REF!-Q157</f>
        <v>#REF!</v>
      </c>
      <c r="R158" s="1173" t="e">
        <f>'Data Entry - SOF'!#REF!-R157</f>
        <v>#REF!</v>
      </c>
      <c r="S158" s="1173" t="e">
        <f>'Data Entry - SOF'!#REF!-S157</f>
        <v>#REF!</v>
      </c>
    </row>
    <row r="159" spans="1:60" hidden="1">
      <c r="A159" s="995"/>
      <c r="B159" s="1023"/>
      <c r="C159" s="528"/>
      <c r="D159" s="1173" t="e">
        <f>IF(D158-#REF!&gt;=0,0,D158-#REF!)</f>
        <v>#REF!</v>
      </c>
      <c r="E159" s="1173" t="e">
        <f>IF(E158-#REF!&gt;=0,0,E158-#REF!)</f>
        <v>#REF!</v>
      </c>
      <c r="F159" s="1173" t="e">
        <f>IF(F158-#REF!&gt;=0,0,F158-#REF!)</f>
        <v>#REF!</v>
      </c>
      <c r="G159" s="1173" t="e">
        <f>IF(G158-#REF!&gt;=0,0,G158-#REF!)</f>
        <v>#REF!</v>
      </c>
      <c r="H159" s="1173" t="e">
        <f>IF(H158-#REF!&gt;=0,0,H158-#REF!)</f>
        <v>#REF!</v>
      </c>
      <c r="I159" s="1173" t="e">
        <f>IF(I158-#REF!&gt;=0,0,I158-#REF!)</f>
        <v>#REF!</v>
      </c>
      <c r="J159" s="1173" t="e">
        <f>IF(J158-#REF!&gt;=0,0,J158-#REF!)</f>
        <v>#REF!</v>
      </c>
      <c r="K159" s="1173" t="e">
        <f>IF(K158-#REF!&gt;=0,0,K158-#REF!)</f>
        <v>#REF!</v>
      </c>
      <c r="L159" s="1173" t="e">
        <f>IF(L158-#REF!&gt;=0,0,L158-#REF!)</f>
        <v>#REF!</v>
      </c>
      <c r="M159" s="1173" t="e">
        <f>IF(M158-#REF!&gt;=0,0,M158-#REF!)</f>
        <v>#REF!</v>
      </c>
      <c r="N159" s="1173" t="e">
        <f>IF(N158-#REF!&gt;=0,0,N158-#REF!)</f>
        <v>#REF!</v>
      </c>
      <c r="O159" s="1173" t="e">
        <f>IF(O158-#REF!&gt;=0,0,O158-#REF!)</f>
        <v>#REF!</v>
      </c>
      <c r="P159" s="1173" t="e">
        <f>IF(P158-#REF!&gt;=0,0,P158-#REF!)</f>
        <v>#REF!</v>
      </c>
      <c r="Q159" s="1173" t="e">
        <f>IF(Q158-#REF!&gt;=0,0,Q158-#REF!)</f>
        <v>#REF!</v>
      </c>
      <c r="R159" s="1173" t="e">
        <f>IF(R158-#REF!&gt;=0,0,R158-#REF!)</f>
        <v>#REF!</v>
      </c>
      <c r="S159" s="1173" t="e">
        <f>IF(S158-#REF!&gt;=0,0,S158-#REF!)</f>
        <v>#REF!</v>
      </c>
    </row>
    <row r="160" spans="1:60" hidden="1">
      <c r="A160" s="995"/>
      <c r="B160" s="1023"/>
      <c r="C160" s="528"/>
      <c r="D160" s="721"/>
      <c r="E160" s="721"/>
      <c r="F160" s="721"/>
      <c r="G160" s="721"/>
      <c r="H160" s="721"/>
      <c r="I160" s="721"/>
      <c r="J160" s="721"/>
      <c r="K160" s="721"/>
      <c r="L160" s="721"/>
      <c r="M160" s="721"/>
      <c r="N160" s="721"/>
      <c r="O160" s="721"/>
      <c r="P160" s="721"/>
      <c r="Q160" s="721"/>
      <c r="R160" s="721"/>
      <c r="S160" s="721"/>
    </row>
    <row r="161" spans="2:19" hidden="1">
      <c r="B161" s="58"/>
      <c r="C161" s="528"/>
      <c r="D161" s="721"/>
      <c r="E161" s="721"/>
      <c r="F161" s="721"/>
      <c r="G161" s="721"/>
      <c r="H161" s="721"/>
      <c r="I161" s="721"/>
      <c r="J161" s="721"/>
      <c r="K161" s="721"/>
      <c r="L161" s="721"/>
      <c r="M161" s="721"/>
      <c r="N161" s="721"/>
      <c r="O161" s="721"/>
      <c r="P161" s="721"/>
      <c r="Q161" s="721"/>
      <c r="R161" s="721"/>
      <c r="S161" s="721"/>
    </row>
    <row r="162" spans="2:19" hidden="1">
      <c r="B162" s="58"/>
      <c r="C162" s="528"/>
      <c r="D162" s="721"/>
      <c r="E162" s="721"/>
      <c r="F162" s="721"/>
      <c r="G162" s="721"/>
      <c r="H162" s="721"/>
      <c r="I162" s="721"/>
      <c r="J162" s="721"/>
      <c r="K162" s="721"/>
      <c r="L162" s="721"/>
      <c r="M162" s="721"/>
      <c r="N162" s="721"/>
      <c r="O162" s="721"/>
      <c r="P162" s="721"/>
      <c r="Q162" s="721"/>
      <c r="R162" s="721"/>
      <c r="S162" s="721"/>
    </row>
    <row r="163" spans="2:19" hidden="1">
      <c r="B163" s="58"/>
      <c r="C163" s="528"/>
      <c r="D163" s="721"/>
      <c r="E163" s="721"/>
      <c r="F163" s="721"/>
      <c r="G163" s="721"/>
      <c r="H163" s="721"/>
      <c r="I163" s="721"/>
      <c r="J163" s="721"/>
      <c r="K163" s="721"/>
      <c r="L163" s="721"/>
      <c r="M163" s="721"/>
      <c r="N163" s="721"/>
      <c r="O163" s="721"/>
      <c r="P163" s="721"/>
      <c r="Q163" s="721"/>
      <c r="R163" s="721"/>
      <c r="S163" s="721"/>
    </row>
    <row r="164" spans="2:19" hidden="1">
      <c r="B164" s="58"/>
      <c r="C164" s="528"/>
      <c r="D164" s="1173">
        <v>3000</v>
      </c>
      <c r="E164" s="1173">
        <v>3000</v>
      </c>
      <c r="F164" s="1173">
        <v>3000</v>
      </c>
      <c r="G164" s="1173">
        <v>3000</v>
      </c>
      <c r="H164" s="1173">
        <v>3000</v>
      </c>
      <c r="I164" s="1173">
        <v>3000</v>
      </c>
      <c r="J164" s="1173">
        <v>3000</v>
      </c>
      <c r="K164" s="1173">
        <v>3000</v>
      </c>
      <c r="L164" s="1173">
        <v>3000</v>
      </c>
      <c r="M164" s="1173">
        <v>3000</v>
      </c>
      <c r="N164" s="1173">
        <v>3000</v>
      </c>
      <c r="O164" s="1173">
        <v>3000</v>
      </c>
      <c r="P164" s="1173">
        <v>3000</v>
      </c>
      <c r="Q164" s="1173">
        <v>3000</v>
      </c>
      <c r="R164" s="1173">
        <v>3000</v>
      </c>
      <c r="S164" s="1173">
        <v>3000</v>
      </c>
    </row>
    <row r="165" spans="2:19" hidden="1">
      <c r="B165" s="58"/>
      <c r="C165" s="528"/>
      <c r="D165" s="1173">
        <v>6000</v>
      </c>
      <c r="E165" s="1173">
        <v>6000</v>
      </c>
      <c r="F165" s="1173">
        <v>6000</v>
      </c>
      <c r="G165" s="1173">
        <v>6000</v>
      </c>
      <c r="H165" s="1173">
        <v>6000</v>
      </c>
      <c r="I165" s="1173">
        <v>6000</v>
      </c>
      <c r="J165" s="1173">
        <v>6000</v>
      </c>
      <c r="K165" s="1173">
        <v>6000</v>
      </c>
      <c r="L165" s="1173">
        <v>6000</v>
      </c>
      <c r="M165" s="1173">
        <v>6000</v>
      </c>
      <c r="N165" s="1173">
        <v>6000</v>
      </c>
      <c r="O165" s="1173">
        <v>6000</v>
      </c>
      <c r="P165" s="1173">
        <v>6000</v>
      </c>
      <c r="Q165" s="1173">
        <v>6000</v>
      </c>
      <c r="R165" s="1173">
        <v>6000</v>
      </c>
      <c r="S165" s="1173">
        <v>6000</v>
      </c>
    </row>
    <row r="166" spans="2:19" hidden="1">
      <c r="B166" s="58"/>
      <c r="C166" s="528"/>
      <c r="D166" s="1173">
        <v>12000</v>
      </c>
      <c r="E166" s="1173">
        <v>12000</v>
      </c>
      <c r="F166" s="1173">
        <v>12000</v>
      </c>
      <c r="G166" s="1173">
        <v>12000</v>
      </c>
      <c r="H166" s="1173">
        <v>12000</v>
      </c>
      <c r="I166" s="1173">
        <v>12000</v>
      </c>
      <c r="J166" s="1173">
        <v>12000</v>
      </c>
      <c r="K166" s="1173">
        <v>12000</v>
      </c>
      <c r="L166" s="1173">
        <v>12000</v>
      </c>
      <c r="M166" s="1173">
        <v>12000</v>
      </c>
      <c r="N166" s="1173">
        <v>12000</v>
      </c>
      <c r="O166" s="1173">
        <v>12000</v>
      </c>
      <c r="P166" s="1173">
        <v>12000</v>
      </c>
      <c r="Q166" s="1173">
        <v>12000</v>
      </c>
      <c r="R166" s="1173">
        <v>12000</v>
      </c>
      <c r="S166" s="1173">
        <v>12000</v>
      </c>
    </row>
    <row r="167" spans="2:19" hidden="1">
      <c r="B167" s="58"/>
      <c r="C167" s="528"/>
      <c r="D167" s="721"/>
      <c r="E167" s="721"/>
      <c r="F167" s="721"/>
      <c r="G167" s="721"/>
      <c r="H167" s="721"/>
      <c r="I167" s="721"/>
      <c r="J167" s="721"/>
      <c r="K167" s="721"/>
      <c r="L167" s="721"/>
      <c r="M167" s="721"/>
      <c r="N167" s="721"/>
      <c r="O167" s="721"/>
      <c r="P167" s="721"/>
      <c r="Q167" s="721"/>
      <c r="R167" s="721"/>
      <c r="S167" s="721"/>
    </row>
    <row r="168" spans="2:19" hidden="1">
      <c r="B168" s="58"/>
      <c r="C168" s="528"/>
      <c r="D168" s="1174">
        <v>0.5</v>
      </c>
      <c r="E168" s="1174">
        <v>0.5</v>
      </c>
      <c r="F168" s="1174">
        <v>0.5</v>
      </c>
      <c r="G168" s="1174">
        <v>0.5</v>
      </c>
      <c r="H168" s="1174">
        <v>0.5</v>
      </c>
      <c r="I168" s="1174">
        <v>0.5</v>
      </c>
      <c r="J168" s="1174">
        <v>0.5</v>
      </c>
      <c r="K168" s="1174">
        <v>0.5</v>
      </c>
      <c r="L168" s="1174">
        <v>0.5</v>
      </c>
      <c r="M168" s="1174">
        <v>0.5</v>
      </c>
      <c r="N168" s="1174">
        <v>0.5</v>
      </c>
      <c r="O168" s="1174">
        <v>0.5</v>
      </c>
      <c r="P168" s="1174">
        <v>0.5</v>
      </c>
      <c r="Q168" s="1174">
        <v>0.5</v>
      </c>
      <c r="R168" s="1174">
        <v>0.5</v>
      </c>
      <c r="S168" s="1174">
        <v>0.5</v>
      </c>
    </row>
    <row r="169" spans="2:19" hidden="1">
      <c r="B169" s="58"/>
      <c r="C169" s="528"/>
      <c r="D169" s="1174">
        <v>1</v>
      </c>
      <c r="E169" s="1174">
        <v>1</v>
      </c>
      <c r="F169" s="1174">
        <v>1</v>
      </c>
      <c r="G169" s="1174">
        <v>1</v>
      </c>
      <c r="H169" s="1174">
        <v>1</v>
      </c>
      <c r="I169" s="1174">
        <v>1</v>
      </c>
      <c r="J169" s="1174">
        <v>1</v>
      </c>
      <c r="K169" s="1174">
        <v>1</v>
      </c>
      <c r="L169" s="1174">
        <v>1</v>
      </c>
      <c r="M169" s="1174">
        <v>1</v>
      </c>
      <c r="N169" s="1174">
        <v>1</v>
      </c>
      <c r="O169" s="1174">
        <v>1</v>
      </c>
      <c r="P169" s="1174">
        <v>1</v>
      </c>
      <c r="Q169" s="1174">
        <v>1</v>
      </c>
      <c r="R169" s="1174">
        <v>1</v>
      </c>
      <c r="S169" s="1174">
        <v>1</v>
      </c>
    </row>
    <row r="170" spans="2:19" hidden="1">
      <c r="B170" s="58"/>
      <c r="C170" s="528"/>
      <c r="D170" s="1174">
        <v>2</v>
      </c>
      <c r="E170" s="1174">
        <v>2</v>
      </c>
      <c r="F170" s="1174">
        <v>2</v>
      </c>
      <c r="G170" s="1174">
        <v>2</v>
      </c>
      <c r="H170" s="1174">
        <v>2</v>
      </c>
      <c r="I170" s="1174">
        <v>2</v>
      </c>
      <c r="J170" s="1174">
        <v>2</v>
      </c>
      <c r="K170" s="1174">
        <v>2</v>
      </c>
      <c r="L170" s="1174">
        <v>2</v>
      </c>
      <c r="M170" s="1174">
        <v>2</v>
      </c>
      <c r="N170" s="1174">
        <v>2</v>
      </c>
      <c r="O170" s="1174">
        <v>2</v>
      </c>
      <c r="P170" s="1174">
        <v>2</v>
      </c>
      <c r="Q170" s="1174">
        <v>2</v>
      </c>
      <c r="R170" s="1174">
        <v>2</v>
      </c>
      <c r="S170" s="1174">
        <v>2</v>
      </c>
    </row>
    <row r="171" spans="2:19" hidden="1">
      <c r="B171" s="58"/>
      <c r="C171" s="528"/>
      <c r="D171" s="1174">
        <v>3</v>
      </c>
      <c r="E171" s="1174">
        <v>3</v>
      </c>
      <c r="F171" s="1174">
        <v>3</v>
      </c>
      <c r="G171" s="1174">
        <v>3</v>
      </c>
      <c r="H171" s="1174">
        <v>3</v>
      </c>
      <c r="I171" s="1174">
        <v>3</v>
      </c>
      <c r="J171" s="1174">
        <v>3</v>
      </c>
      <c r="K171" s="1174">
        <v>3</v>
      </c>
      <c r="L171" s="1174">
        <v>3</v>
      </c>
      <c r="M171" s="1174">
        <v>3</v>
      </c>
      <c r="N171" s="1174">
        <v>3</v>
      </c>
      <c r="O171" s="1174">
        <v>3</v>
      </c>
      <c r="P171" s="1174">
        <v>3</v>
      </c>
      <c r="Q171" s="1174">
        <v>3</v>
      </c>
      <c r="R171" s="1174">
        <v>3</v>
      </c>
      <c r="S171" s="1174">
        <v>3</v>
      </c>
    </row>
    <row r="172" spans="2:19" hidden="1">
      <c r="B172" s="58"/>
      <c r="C172" s="528"/>
      <c r="D172" s="1174">
        <v>4</v>
      </c>
      <c r="E172" s="1174">
        <v>4</v>
      </c>
      <c r="F172" s="1174">
        <v>4</v>
      </c>
      <c r="G172" s="1174">
        <v>4</v>
      </c>
      <c r="H172" s="1174">
        <v>4</v>
      </c>
      <c r="I172" s="1174">
        <v>4</v>
      </c>
      <c r="J172" s="1174">
        <v>4</v>
      </c>
      <c r="K172" s="1174">
        <v>4</v>
      </c>
      <c r="L172" s="1174">
        <v>4</v>
      </c>
      <c r="M172" s="1174">
        <v>4</v>
      </c>
      <c r="N172" s="1174">
        <v>4</v>
      </c>
      <c r="O172" s="1174">
        <v>4</v>
      </c>
      <c r="P172" s="1174">
        <v>4</v>
      </c>
      <c r="Q172" s="1174">
        <v>4</v>
      </c>
      <c r="R172" s="1174">
        <v>4</v>
      </c>
      <c r="S172" s="1174">
        <v>4</v>
      </c>
    </row>
    <row r="173" spans="2:19" hidden="1">
      <c r="B173" s="58"/>
      <c r="C173" s="528"/>
      <c r="D173" s="721"/>
      <c r="E173" s="721"/>
      <c r="F173" s="721"/>
      <c r="G173" s="721"/>
      <c r="H173" s="721"/>
      <c r="I173" s="721"/>
      <c r="J173" s="721"/>
      <c r="K173" s="721"/>
      <c r="L173" s="721"/>
      <c r="M173" s="721"/>
      <c r="N173" s="721"/>
      <c r="O173" s="721"/>
      <c r="P173" s="721"/>
      <c r="Q173" s="721"/>
      <c r="R173" s="721"/>
      <c r="S173" s="721"/>
    </row>
    <row r="174" spans="2:19" hidden="1">
      <c r="B174" s="58"/>
      <c r="C174" s="528"/>
      <c r="D174" s="1173">
        <v>1500</v>
      </c>
      <c r="E174" s="1173">
        <v>1500</v>
      </c>
      <c r="F174" s="1173">
        <v>1500</v>
      </c>
      <c r="G174" s="1173">
        <v>1500</v>
      </c>
      <c r="H174" s="1173">
        <v>1500</v>
      </c>
      <c r="I174" s="1173">
        <v>1500</v>
      </c>
      <c r="J174" s="1173">
        <v>1500</v>
      </c>
      <c r="K174" s="1173">
        <v>1500</v>
      </c>
      <c r="L174" s="1173">
        <v>1500</v>
      </c>
      <c r="M174" s="1173">
        <v>1500</v>
      </c>
      <c r="N174" s="1173">
        <v>1500</v>
      </c>
      <c r="O174" s="1173">
        <v>1500</v>
      </c>
      <c r="P174" s="1173">
        <v>1500</v>
      </c>
      <c r="Q174" s="1173">
        <v>1500</v>
      </c>
      <c r="R174" s="1173">
        <v>1500</v>
      </c>
      <c r="S174" s="1173">
        <v>1500</v>
      </c>
    </row>
    <row r="175" spans="2:19" hidden="1">
      <c r="B175" s="58"/>
      <c r="C175" s="528"/>
      <c r="D175" s="1173">
        <v>3000</v>
      </c>
      <c r="E175" s="1173">
        <v>3000</v>
      </c>
      <c r="F175" s="1173">
        <v>3000</v>
      </c>
      <c r="G175" s="1173">
        <v>3000</v>
      </c>
      <c r="H175" s="1173">
        <v>3000</v>
      </c>
      <c r="I175" s="1173">
        <v>3000</v>
      </c>
      <c r="J175" s="1173">
        <v>3000</v>
      </c>
      <c r="K175" s="1173">
        <v>3000</v>
      </c>
      <c r="L175" s="1173">
        <v>3000</v>
      </c>
      <c r="M175" s="1173">
        <v>3000</v>
      </c>
      <c r="N175" s="1173">
        <v>3000</v>
      </c>
      <c r="O175" s="1173">
        <v>3000</v>
      </c>
      <c r="P175" s="1173">
        <v>3000</v>
      </c>
      <c r="Q175" s="1173">
        <v>3000</v>
      </c>
      <c r="R175" s="1173">
        <v>3000</v>
      </c>
      <c r="S175" s="1173">
        <v>3000</v>
      </c>
    </row>
    <row r="176" spans="2:19" hidden="1">
      <c r="B176" s="58"/>
      <c r="C176" s="528"/>
      <c r="D176" s="1173">
        <v>5000</v>
      </c>
      <c r="E176" s="1173">
        <v>5000</v>
      </c>
      <c r="F176" s="1173">
        <v>5000</v>
      </c>
      <c r="G176" s="1173">
        <v>5000</v>
      </c>
      <c r="H176" s="1173">
        <v>5000</v>
      </c>
      <c r="I176" s="1173">
        <v>5000</v>
      </c>
      <c r="J176" s="1173">
        <v>5000</v>
      </c>
      <c r="K176" s="1173">
        <v>5000</v>
      </c>
      <c r="L176" s="1173">
        <v>5000</v>
      </c>
      <c r="M176" s="1173">
        <v>5000</v>
      </c>
      <c r="N176" s="1173">
        <v>5000</v>
      </c>
      <c r="O176" s="1173">
        <v>5000</v>
      </c>
      <c r="P176" s="1173">
        <v>5000</v>
      </c>
      <c r="Q176" s="1173">
        <v>5000</v>
      </c>
      <c r="R176" s="1173">
        <v>5000</v>
      </c>
      <c r="S176" s="1173">
        <v>5000</v>
      </c>
    </row>
    <row r="177" spans="1:64" hidden="1">
      <c r="B177" s="58"/>
      <c r="C177" s="528"/>
      <c r="D177" s="721"/>
      <c r="E177" s="721"/>
      <c r="F177" s="721"/>
      <c r="G177" s="721"/>
      <c r="H177" s="721"/>
      <c r="I177" s="721"/>
      <c r="J177" s="721"/>
      <c r="K177" s="721"/>
      <c r="L177" s="721"/>
      <c r="M177" s="721"/>
      <c r="N177" s="721"/>
      <c r="O177" s="721"/>
      <c r="P177" s="721"/>
      <c r="Q177" s="721"/>
      <c r="R177" s="721"/>
      <c r="S177" s="721"/>
    </row>
    <row r="178" spans="1:64" hidden="1">
      <c r="B178" s="58"/>
      <c r="C178" s="528"/>
      <c r="D178" s="721"/>
      <c r="E178" s="721"/>
      <c r="F178" s="721"/>
      <c r="G178" s="721"/>
      <c r="H178" s="721"/>
      <c r="I178" s="721"/>
      <c r="J178" s="721"/>
      <c r="K178" s="721"/>
      <c r="L178" s="721"/>
      <c r="M178" s="721"/>
      <c r="N178" s="721"/>
      <c r="O178" s="721"/>
      <c r="P178" s="721"/>
      <c r="Q178" s="721"/>
      <c r="R178" s="721"/>
      <c r="S178" s="721"/>
    </row>
    <row r="179" spans="1:64" hidden="1">
      <c r="B179" s="58"/>
      <c r="C179" s="528"/>
      <c r="D179" s="721"/>
      <c r="E179" s="721"/>
      <c r="F179" s="721"/>
      <c r="G179" s="721"/>
      <c r="H179" s="721"/>
      <c r="I179" s="721"/>
      <c r="J179" s="721"/>
      <c r="K179" s="721"/>
      <c r="L179" s="721"/>
      <c r="M179" s="721"/>
      <c r="N179" s="721"/>
      <c r="O179" s="721"/>
      <c r="P179" s="721"/>
      <c r="Q179" s="721"/>
      <c r="R179" s="721"/>
      <c r="S179" s="721"/>
    </row>
    <row r="180" spans="1:64" hidden="1">
      <c r="B180" s="58"/>
      <c r="C180" s="528"/>
      <c r="D180" s="1172"/>
      <c r="E180" s="1172"/>
      <c r="F180" s="1172"/>
      <c r="G180" s="1172"/>
      <c r="H180" s="1172"/>
      <c r="I180" s="1172"/>
      <c r="J180" s="1172"/>
      <c r="K180" s="1172"/>
      <c r="L180" s="1172"/>
      <c r="M180" s="1172"/>
      <c r="N180" s="1172"/>
      <c r="O180" s="1172"/>
      <c r="P180" s="1172"/>
      <c r="Q180" s="1172"/>
      <c r="R180" s="1172"/>
      <c r="S180" s="1172"/>
    </row>
    <row r="181" spans="1:64" hidden="1">
      <c r="B181" s="58"/>
      <c r="C181" s="528"/>
      <c r="D181" s="721"/>
      <c r="E181" s="721"/>
      <c r="F181" s="721"/>
      <c r="G181" s="721"/>
      <c r="H181" s="721"/>
      <c r="I181" s="721"/>
      <c r="J181" s="721"/>
      <c r="K181" s="721"/>
      <c r="L181" s="721"/>
      <c r="M181" s="721"/>
      <c r="N181" s="721"/>
      <c r="O181" s="721"/>
      <c r="P181" s="721"/>
      <c r="Q181" s="721"/>
      <c r="R181" s="721"/>
      <c r="S181" s="721"/>
    </row>
    <row r="182" spans="1:64" hidden="1">
      <c r="B182" s="58"/>
      <c r="C182" s="528"/>
      <c r="D182" s="721" t="e">
        <f>'Data Entry - SOF'!#REF!*0.96</f>
        <v>#REF!</v>
      </c>
      <c r="E182" s="721" t="e">
        <f>'Data Entry - SOF'!#REF!*0.96</f>
        <v>#REF!</v>
      </c>
      <c r="F182" s="721" t="e">
        <f>'Data Entry - SOF'!#REF!*0.96</f>
        <v>#REF!</v>
      </c>
      <c r="G182" s="721" t="e">
        <f>'Data Entry - SOF'!#REF!*0.96</f>
        <v>#REF!</v>
      </c>
      <c r="H182" s="721" t="e">
        <f>'Data Entry - SOF'!#REF!*0.96</f>
        <v>#REF!</v>
      </c>
      <c r="I182" s="721" t="e">
        <f>'Data Entry - SOF'!#REF!*0.96</f>
        <v>#REF!</v>
      </c>
      <c r="J182" s="721" t="e">
        <f>'Data Entry - SOF'!#REF!*0.96</f>
        <v>#REF!</v>
      </c>
      <c r="K182" s="721" t="e">
        <f>'Data Entry - SOF'!#REF!*0.96</f>
        <v>#REF!</v>
      </c>
      <c r="L182" s="721" t="e">
        <f>'Data Entry - SOF'!#REF!*0.96</f>
        <v>#REF!</v>
      </c>
      <c r="M182" s="721" t="e">
        <f>'Data Entry - SOF'!#REF!*0.96</f>
        <v>#REF!</v>
      </c>
      <c r="N182" s="721" t="e">
        <f>'Data Entry - SOF'!#REF!*0.96</f>
        <v>#REF!</v>
      </c>
      <c r="O182" s="721" t="e">
        <f>'Data Entry - SOF'!#REF!*0.96</f>
        <v>#REF!</v>
      </c>
      <c r="P182" s="721" t="e">
        <f>'Data Entry - SOF'!#REF!*0.96</f>
        <v>#REF!</v>
      </c>
      <c r="Q182" s="721" t="e">
        <f>'Data Entry - SOF'!#REF!*0.96</f>
        <v>#REF!</v>
      </c>
      <c r="R182" s="721" t="e">
        <f>'Data Entry - SOF'!#REF!*0.96</f>
        <v>#REF!</v>
      </c>
      <c r="S182" s="721" t="e">
        <f>'Data Entry - SOF'!#REF!*0.96</f>
        <v>#REF!</v>
      </c>
    </row>
    <row r="183" spans="1:64">
      <c r="B183" s="58"/>
      <c r="C183" s="404" t="s">
        <v>7709</v>
      </c>
      <c r="D183" s="1175">
        <f>'Data Entry - SOF'!C138</f>
        <v>0</v>
      </c>
      <c r="E183" s="1175">
        <f>'Data Entry - SOF'!C63</f>
        <v>0</v>
      </c>
      <c r="F183" s="1175">
        <f>E201</f>
        <v>0</v>
      </c>
      <c r="G183" s="1175">
        <f>F201</f>
        <v>0</v>
      </c>
      <c r="H183" s="1175">
        <f>G201</f>
        <v>0</v>
      </c>
      <c r="I183" s="1175">
        <f>H201</f>
        <v>0</v>
      </c>
      <c r="J183" s="2533">
        <f>'Data Entry - SOF'!C63</f>
        <v>0</v>
      </c>
      <c r="K183" s="2533">
        <f>J201</f>
        <v>0</v>
      </c>
      <c r="L183" s="2533">
        <f>K201</f>
        <v>0</v>
      </c>
      <c r="M183" s="2533">
        <f>L201</f>
        <v>0</v>
      </c>
      <c r="N183" s="2533">
        <f>M201</f>
        <v>0</v>
      </c>
      <c r="O183" s="2663">
        <f>'Data Entry - SOF'!C63</f>
        <v>0</v>
      </c>
      <c r="P183" s="2663">
        <f>O201</f>
        <v>0</v>
      </c>
      <c r="Q183" s="2663">
        <f t="shared" ref="Q183:S183" si="65">P201</f>
        <v>0</v>
      </c>
      <c r="R183" s="2663">
        <f t="shared" si="65"/>
        <v>0</v>
      </c>
      <c r="S183" s="2663">
        <f t="shared" si="65"/>
        <v>0</v>
      </c>
    </row>
    <row r="184" spans="1:64">
      <c r="B184" s="58"/>
      <c r="C184" s="404" t="s">
        <v>7643</v>
      </c>
      <c r="D184" s="1175">
        <f>'Data Entry - SOF'!C70</f>
        <v>0</v>
      </c>
      <c r="E184" s="1175">
        <f>'Data Entry - SOF'!E70</f>
        <v>0</v>
      </c>
      <c r="F184" s="1175">
        <f>'Data Entry - SOF'!G70</f>
        <v>0</v>
      </c>
      <c r="G184" s="1175">
        <f>'Data Entry - SOF'!I70</f>
        <v>0</v>
      </c>
      <c r="H184" s="1175">
        <f>'Data Entry - SOF'!K70</f>
        <v>0</v>
      </c>
      <c r="I184" s="1175">
        <f>'Data Entry - SOF'!M70</f>
        <v>0</v>
      </c>
      <c r="J184" s="2533">
        <f>'Data Entry - SOF'!E70</f>
        <v>0</v>
      </c>
      <c r="K184" s="2533">
        <f>'Data Entry - SOF'!G70</f>
        <v>0</v>
      </c>
      <c r="L184" s="2533">
        <f>'Data Entry - SOF'!I70</f>
        <v>0</v>
      </c>
      <c r="M184" s="2533">
        <f>'Data Entry - SOF'!K70</f>
        <v>0</v>
      </c>
      <c r="N184" s="2533">
        <f>'Data Entry - SOF'!L70</f>
        <v>0</v>
      </c>
      <c r="O184" s="2663">
        <f>'Data Entry - SOF'!E70</f>
        <v>0</v>
      </c>
      <c r="P184" s="2663">
        <f>'Data Entry - SOF'!G70</f>
        <v>0</v>
      </c>
      <c r="Q184" s="2663">
        <f>'Data Entry - SOF'!I70</f>
        <v>0</v>
      </c>
      <c r="R184" s="2663">
        <f>'Data Entry - SOF'!K70</f>
        <v>0</v>
      </c>
      <c r="S184" s="2663">
        <f>'Data Entry - SOF'!M70</f>
        <v>0</v>
      </c>
    </row>
    <row r="185" spans="1:64" hidden="1">
      <c r="A185" s="995"/>
      <c r="B185" s="1023"/>
      <c r="C185" s="1017"/>
      <c r="D185" s="1176" t="s">
        <v>7470</v>
      </c>
      <c r="E185" s="1176" t="s">
        <v>7470</v>
      </c>
      <c r="F185" s="1176" t="s">
        <v>7470</v>
      </c>
      <c r="G185" s="1176" t="s">
        <v>7470</v>
      </c>
      <c r="H185" s="1176" t="s">
        <v>7470</v>
      </c>
      <c r="I185" s="1176" t="s">
        <v>7470</v>
      </c>
      <c r="J185" s="2535" t="s">
        <v>7470</v>
      </c>
      <c r="K185" s="2535" t="s">
        <v>7470</v>
      </c>
      <c r="L185" s="2535" t="s">
        <v>7470</v>
      </c>
      <c r="M185" s="2535" t="s">
        <v>7470</v>
      </c>
      <c r="N185" s="2535" t="s">
        <v>7470</v>
      </c>
      <c r="O185" s="2711" t="s">
        <v>7470</v>
      </c>
      <c r="P185" s="2711" t="s">
        <v>7470</v>
      </c>
      <c r="Q185" s="2711" t="s">
        <v>7470</v>
      </c>
      <c r="R185" s="2711" t="s">
        <v>7470</v>
      </c>
      <c r="S185" s="2711" t="s">
        <v>7470</v>
      </c>
    </row>
    <row r="186" spans="1:64" hidden="1">
      <c r="A186" s="995"/>
      <c r="B186" s="1023"/>
      <c r="C186" s="1023" t="s">
        <v>7500</v>
      </c>
      <c r="D186" s="1177" t="e">
        <f>#REF!+#REF!</f>
        <v>#REF!</v>
      </c>
      <c r="E186" s="1177" t="e">
        <f>#REF!+#REF!</f>
        <v>#REF!</v>
      </c>
      <c r="F186" s="1177" t="e">
        <f>#REF!+#REF!</f>
        <v>#REF!</v>
      </c>
      <c r="G186" s="1177" t="e">
        <f>#REF!+#REF!</f>
        <v>#REF!</v>
      </c>
      <c r="H186" s="1177" t="e">
        <f>#REF!+#REF!</f>
        <v>#REF!</v>
      </c>
      <c r="I186" s="1177" t="e">
        <f>#REF!+#REF!</f>
        <v>#REF!</v>
      </c>
      <c r="J186" s="2536" t="e">
        <f>#REF!+#REF!</f>
        <v>#REF!</v>
      </c>
      <c r="K186" s="2536" t="e">
        <f>#REF!+#REF!</f>
        <v>#REF!</v>
      </c>
      <c r="L186" s="2536" t="e">
        <f>#REF!+#REF!</f>
        <v>#REF!</v>
      </c>
      <c r="M186" s="2536" t="e">
        <f>#REF!+#REF!</f>
        <v>#REF!</v>
      </c>
      <c r="N186" s="2536" t="e">
        <f>#REF!+#REF!</f>
        <v>#REF!</v>
      </c>
      <c r="O186" s="2712" t="e">
        <f>#REF!+#REF!</f>
        <v>#REF!</v>
      </c>
      <c r="P186" s="2712" t="e">
        <f>#REF!+#REF!</f>
        <v>#REF!</v>
      </c>
      <c r="Q186" s="2712" t="e">
        <f>#REF!+#REF!</f>
        <v>#REF!</v>
      </c>
      <c r="R186" s="2712" t="e">
        <f>#REF!+#REF!</f>
        <v>#REF!</v>
      </c>
      <c r="S186" s="2712" t="e">
        <f>#REF!+#REF!</f>
        <v>#REF!</v>
      </c>
    </row>
    <row r="187" spans="1:64" hidden="1">
      <c r="A187" s="995"/>
      <c r="B187" s="1023"/>
      <c r="C187" s="1023" t="s">
        <v>7503</v>
      </c>
      <c r="D187" s="1178" t="e">
        <f>'Data Entry - SOF'!#REF!-#REF!-#REF!</f>
        <v>#REF!</v>
      </c>
      <c r="E187" s="1178" t="e">
        <f>'Data Entry - SOF'!#REF!-#REF!-#REF!</f>
        <v>#REF!</v>
      </c>
      <c r="F187" s="1178" t="e">
        <f>'Data Entry - SOF'!#REF!-#REF!-#REF!</f>
        <v>#REF!</v>
      </c>
      <c r="G187" s="1178" t="e">
        <f>'Data Entry - SOF'!#REF!-#REF!-#REF!</f>
        <v>#REF!</v>
      </c>
      <c r="H187" s="1178" t="e">
        <f>'Data Entry - SOF'!#REF!-#REF!-#REF!</f>
        <v>#REF!</v>
      </c>
      <c r="I187" s="1178" t="e">
        <f>'Data Entry - SOF'!#REF!-#REF!-#REF!</f>
        <v>#REF!</v>
      </c>
      <c r="J187" s="2537" t="e">
        <f>'Data Entry - SOF'!#REF!-#REF!-#REF!</f>
        <v>#REF!</v>
      </c>
      <c r="K187" s="2537" t="e">
        <f>'Data Entry - SOF'!#REF!-#REF!-#REF!</f>
        <v>#REF!</v>
      </c>
      <c r="L187" s="2537" t="e">
        <f>'Data Entry - SOF'!#REF!-#REF!-#REF!</f>
        <v>#REF!</v>
      </c>
      <c r="M187" s="2537" t="e">
        <f>'Data Entry - SOF'!#REF!-#REF!-#REF!</f>
        <v>#REF!</v>
      </c>
      <c r="N187" s="2537" t="e">
        <f>'Data Entry - SOF'!#REF!-#REF!-#REF!</f>
        <v>#REF!</v>
      </c>
      <c r="O187" s="2713" t="e">
        <f>'Data Entry - SOF'!#REF!-#REF!-#REF!</f>
        <v>#REF!</v>
      </c>
      <c r="P187" s="2713" t="e">
        <f>'Data Entry - SOF'!#REF!-#REF!-#REF!</f>
        <v>#REF!</v>
      </c>
      <c r="Q187" s="2713" t="e">
        <f>'Data Entry - SOF'!#REF!-#REF!-#REF!</f>
        <v>#REF!</v>
      </c>
      <c r="R187" s="2713" t="e">
        <f>'Data Entry - SOF'!#REF!-#REF!-#REF!</f>
        <v>#REF!</v>
      </c>
      <c r="S187" s="2713" t="e">
        <f>'Data Entry - SOF'!#REF!-#REF!-#REF!</f>
        <v>#REF!</v>
      </c>
    </row>
    <row r="188" spans="1:64" hidden="1">
      <c r="A188" s="995"/>
      <c r="B188" s="1023"/>
      <c r="C188" s="1023" t="s">
        <v>2312</v>
      </c>
      <c r="D188" s="1177" t="e">
        <f t="shared" ref="D188:J188" si="66">D186+D187</f>
        <v>#REF!</v>
      </c>
      <c r="E188" s="1177" t="e">
        <f t="shared" si="66"/>
        <v>#REF!</v>
      </c>
      <c r="F188" s="1177" t="e">
        <f t="shared" si="66"/>
        <v>#REF!</v>
      </c>
      <c r="G188" s="1177" t="e">
        <f t="shared" si="66"/>
        <v>#REF!</v>
      </c>
      <c r="H188" s="1177" t="e">
        <f t="shared" si="66"/>
        <v>#REF!</v>
      </c>
      <c r="I188" s="1177" t="e">
        <f t="shared" ref="I188" si="67">I186+I187</f>
        <v>#REF!</v>
      </c>
      <c r="J188" s="2536" t="e">
        <f t="shared" si="66"/>
        <v>#REF!</v>
      </c>
      <c r="K188" s="2536" t="e">
        <f t="shared" ref="K188:L188" si="68">K186+K187</f>
        <v>#REF!</v>
      </c>
      <c r="L188" s="2536" t="e">
        <f t="shared" si="68"/>
        <v>#REF!</v>
      </c>
      <c r="M188" s="2536" t="e">
        <f t="shared" ref="M188:N188" si="69">M186+M187</f>
        <v>#REF!</v>
      </c>
      <c r="N188" s="2536" t="e">
        <f t="shared" si="69"/>
        <v>#REF!</v>
      </c>
      <c r="O188" s="2712" t="e">
        <f t="shared" ref="O188:R188" si="70">O186+O187</f>
        <v>#REF!</v>
      </c>
      <c r="P188" s="2712" t="e">
        <f t="shared" si="70"/>
        <v>#REF!</v>
      </c>
      <c r="Q188" s="2712" t="e">
        <f t="shared" si="70"/>
        <v>#REF!</v>
      </c>
      <c r="R188" s="2712" t="e">
        <f t="shared" si="70"/>
        <v>#REF!</v>
      </c>
      <c r="S188" s="2712" t="e">
        <f t="shared" ref="S188" si="71">S186+S187</f>
        <v>#REF!</v>
      </c>
    </row>
    <row r="189" spans="1:64" hidden="1">
      <c r="A189" s="995"/>
      <c r="B189" s="1023"/>
      <c r="C189" s="1023" t="s">
        <v>868</v>
      </c>
      <c r="D189" s="1179" t="e">
        <f>'Data Entry - SOF'!#REF!</f>
        <v>#REF!</v>
      </c>
      <c r="E189" s="1179">
        <f>'Data Entry - SOF'!C19</f>
        <v>0</v>
      </c>
      <c r="F189" s="1179">
        <f>'Data Entry - SOF'!E19</f>
        <v>0</v>
      </c>
      <c r="G189" s="1179">
        <f>'Data Entry - SOF'!F19</f>
        <v>0</v>
      </c>
      <c r="H189" s="1179">
        <f>'Data Entry - SOF'!G19</f>
        <v>0</v>
      </c>
      <c r="I189" s="1179">
        <f>'Data Entry - SOF'!H19</f>
        <v>0</v>
      </c>
      <c r="J189" s="2538">
        <f>'Data Entry - SOF'!C19</f>
        <v>0</v>
      </c>
      <c r="K189" s="2538">
        <f>'Data Entry - SOF'!D19</f>
        <v>0</v>
      </c>
      <c r="L189" s="2538">
        <f>'Data Entry - SOF'!E19</f>
        <v>0</v>
      </c>
      <c r="M189" s="2538">
        <f>'Data Entry - SOF'!F19</f>
        <v>0</v>
      </c>
      <c r="N189" s="2538">
        <f>'Data Entry - SOF'!G19</f>
        <v>0</v>
      </c>
      <c r="O189" s="2714">
        <f>'Data Entry - SOF'!G19</f>
        <v>0</v>
      </c>
      <c r="P189" s="2714">
        <f>'Data Entry - SOF'!I19</f>
        <v>0</v>
      </c>
      <c r="Q189" s="2714">
        <f>'Data Entry - SOF'!J19</f>
        <v>0</v>
      </c>
      <c r="R189" s="2714">
        <f>'Data Entry - SOF'!K19</f>
        <v>0</v>
      </c>
      <c r="S189" s="2714">
        <f>'Data Entry - SOF'!L19</f>
        <v>0</v>
      </c>
    </row>
    <row r="190" spans="1:64" hidden="1">
      <c r="A190" s="995"/>
      <c r="B190" s="1023"/>
      <c r="C190" s="1023" t="s">
        <v>7504</v>
      </c>
      <c r="D190" s="1177" t="e">
        <f t="shared" ref="D190:J190" si="72">D188/D189</f>
        <v>#REF!</v>
      </c>
      <c r="E190" s="1177" t="e">
        <f t="shared" si="72"/>
        <v>#REF!</v>
      </c>
      <c r="F190" s="1177" t="e">
        <f t="shared" si="72"/>
        <v>#REF!</v>
      </c>
      <c r="G190" s="1177" t="e">
        <f t="shared" si="72"/>
        <v>#REF!</v>
      </c>
      <c r="H190" s="1177" t="e">
        <f t="shared" si="72"/>
        <v>#REF!</v>
      </c>
      <c r="I190" s="1177" t="e">
        <f t="shared" ref="I190" si="73">I188/I189</f>
        <v>#REF!</v>
      </c>
      <c r="J190" s="2536" t="e">
        <f t="shared" si="72"/>
        <v>#REF!</v>
      </c>
      <c r="K190" s="2536" t="e">
        <f t="shared" ref="K190:L190" si="74">K188/K189</f>
        <v>#REF!</v>
      </c>
      <c r="L190" s="2536" t="e">
        <f t="shared" si="74"/>
        <v>#REF!</v>
      </c>
      <c r="M190" s="2536" t="e">
        <f t="shared" ref="M190:N190" si="75">M188/M189</f>
        <v>#REF!</v>
      </c>
      <c r="N190" s="2536" t="e">
        <f t="shared" si="75"/>
        <v>#REF!</v>
      </c>
      <c r="O190" s="2712" t="e">
        <f t="shared" ref="O190:R190" si="76">O188/O189</f>
        <v>#REF!</v>
      </c>
      <c r="P190" s="2712" t="e">
        <f t="shared" si="76"/>
        <v>#REF!</v>
      </c>
      <c r="Q190" s="2712" t="e">
        <f t="shared" si="76"/>
        <v>#REF!</v>
      </c>
      <c r="R190" s="2712" t="e">
        <f t="shared" si="76"/>
        <v>#REF!</v>
      </c>
      <c r="S190" s="2712" t="e">
        <f t="shared" ref="S190" si="77">S188/S189</f>
        <v>#REF!</v>
      </c>
    </row>
    <row r="191" spans="1:64" hidden="1">
      <c r="A191" s="995"/>
      <c r="B191" s="1023"/>
      <c r="C191" s="1072" t="s">
        <v>7499</v>
      </c>
      <c r="D191" s="1177" t="e">
        <f t="shared" ref="D191:J191" si="78">D190+(D190*0.03)</f>
        <v>#REF!</v>
      </c>
      <c r="E191" s="1177" t="e">
        <f t="shared" si="78"/>
        <v>#REF!</v>
      </c>
      <c r="F191" s="1177" t="e">
        <f t="shared" si="78"/>
        <v>#REF!</v>
      </c>
      <c r="G191" s="1177" t="e">
        <f t="shared" si="78"/>
        <v>#REF!</v>
      </c>
      <c r="H191" s="1177" t="e">
        <f t="shared" si="78"/>
        <v>#REF!</v>
      </c>
      <c r="I191" s="1177" t="e">
        <f t="shared" ref="I191" si="79">I190+(I190*0.03)</f>
        <v>#REF!</v>
      </c>
      <c r="J191" s="2536" t="e">
        <f t="shared" si="78"/>
        <v>#REF!</v>
      </c>
      <c r="K191" s="2536" t="e">
        <f t="shared" ref="K191:L191" si="80">K190+(K190*0.03)</f>
        <v>#REF!</v>
      </c>
      <c r="L191" s="2536" t="e">
        <f t="shared" si="80"/>
        <v>#REF!</v>
      </c>
      <c r="M191" s="2536" t="e">
        <f t="shared" ref="M191:N191" si="81">M190+(M190*0.03)</f>
        <v>#REF!</v>
      </c>
      <c r="N191" s="2536" t="e">
        <f t="shared" si="81"/>
        <v>#REF!</v>
      </c>
      <c r="O191" s="2712" t="e">
        <f t="shared" ref="O191:R191" si="82">O190+(O190*0.03)</f>
        <v>#REF!</v>
      </c>
      <c r="P191" s="2712" t="e">
        <f t="shared" si="82"/>
        <v>#REF!</v>
      </c>
      <c r="Q191" s="2712" t="e">
        <f t="shared" si="82"/>
        <v>#REF!</v>
      </c>
      <c r="R191" s="2712" t="e">
        <f t="shared" si="82"/>
        <v>#REF!</v>
      </c>
      <c r="S191" s="2712" t="e">
        <f t="shared" ref="S191" si="83">S190+(S190*0.03)</f>
        <v>#REF!</v>
      </c>
      <c r="AQ191" s="1037"/>
      <c r="AR191" s="1037"/>
      <c r="AS191" s="1037"/>
      <c r="AT191" s="1037"/>
      <c r="AU191" s="1037"/>
      <c r="AZ191" s="1037"/>
      <c r="BI191" s="1037"/>
      <c r="BJ191" s="1037"/>
      <c r="BK191" s="1037"/>
      <c r="BL191" s="1037"/>
    </row>
    <row r="192" spans="1:64" hidden="1">
      <c r="A192" s="995"/>
      <c r="B192" s="1023"/>
      <c r="C192" s="1023" t="s">
        <v>7501</v>
      </c>
      <c r="D192" s="1177">
        <v>9400</v>
      </c>
      <c r="E192" s="1177">
        <v>9400</v>
      </c>
      <c r="F192" s="1177">
        <v>9400</v>
      </c>
      <c r="G192" s="1177">
        <v>9400</v>
      </c>
      <c r="H192" s="1177">
        <v>9400</v>
      </c>
      <c r="I192" s="1177">
        <v>9400</v>
      </c>
      <c r="J192" s="2536">
        <v>9400</v>
      </c>
      <c r="K192" s="2536">
        <v>9400</v>
      </c>
      <c r="L192" s="2536">
        <v>9400</v>
      </c>
      <c r="M192" s="2536">
        <v>9400</v>
      </c>
      <c r="N192" s="2536">
        <v>9400</v>
      </c>
      <c r="O192" s="2712">
        <v>9400</v>
      </c>
      <c r="P192" s="2712">
        <v>9400</v>
      </c>
      <c r="Q192" s="2712">
        <v>9400</v>
      </c>
      <c r="R192" s="2712">
        <v>9400</v>
      </c>
      <c r="S192" s="2712">
        <v>9400</v>
      </c>
    </row>
    <row r="193" spans="1:64" hidden="1">
      <c r="A193" s="995"/>
      <c r="B193" s="1023"/>
      <c r="C193" s="1017"/>
      <c r="D193" s="1180">
        <v>1.28</v>
      </c>
      <c r="E193" s="1180">
        <v>1.28</v>
      </c>
      <c r="F193" s="1180">
        <v>1.28</v>
      </c>
      <c r="G193" s="1180">
        <v>1.28</v>
      </c>
      <c r="H193" s="1180">
        <v>1.28</v>
      </c>
      <c r="I193" s="1180">
        <v>1.28</v>
      </c>
      <c r="J193" s="2539">
        <v>1.28</v>
      </c>
      <c r="K193" s="2539">
        <v>1.28</v>
      </c>
      <c r="L193" s="2539">
        <v>1.28</v>
      </c>
      <c r="M193" s="2539">
        <v>1.28</v>
      </c>
      <c r="N193" s="2539">
        <v>1.28</v>
      </c>
      <c r="O193" s="2715">
        <v>1.28</v>
      </c>
      <c r="P193" s="2715">
        <v>1.28</v>
      </c>
      <c r="Q193" s="2715">
        <v>1.28</v>
      </c>
      <c r="R193" s="2715">
        <v>1.28</v>
      </c>
      <c r="S193" s="2715">
        <v>1.28</v>
      </c>
    </row>
    <row r="194" spans="1:64" hidden="1">
      <c r="A194" s="995"/>
      <c r="B194" s="1023"/>
      <c r="C194" s="1072" t="s">
        <v>7630</v>
      </c>
      <c r="D194" s="1177">
        <f t="shared" ref="D194:J194" si="84">D192+(D192*0.28)</f>
        <v>12032</v>
      </c>
      <c r="E194" s="1177">
        <f t="shared" si="84"/>
        <v>12032</v>
      </c>
      <c r="F194" s="1177">
        <f t="shared" si="84"/>
        <v>12032</v>
      </c>
      <c r="G194" s="1177">
        <f t="shared" si="84"/>
        <v>12032</v>
      </c>
      <c r="H194" s="1177">
        <f t="shared" si="84"/>
        <v>12032</v>
      </c>
      <c r="I194" s="1177">
        <f t="shared" ref="I194" si="85">I192+(I192*0.28)</f>
        <v>12032</v>
      </c>
      <c r="J194" s="2536">
        <f t="shared" si="84"/>
        <v>12032</v>
      </c>
      <c r="K194" s="2536">
        <f t="shared" ref="K194:L194" si="86">K192+(K192*0.28)</f>
        <v>12032</v>
      </c>
      <c r="L194" s="2536">
        <f t="shared" si="86"/>
        <v>12032</v>
      </c>
      <c r="M194" s="2536">
        <f t="shared" ref="M194:N194" si="87">M192+(M192*0.28)</f>
        <v>12032</v>
      </c>
      <c r="N194" s="2536">
        <f t="shared" si="87"/>
        <v>12032</v>
      </c>
      <c r="O194" s="2712">
        <f t="shared" ref="O194:R194" si="88">O192+(O192*0.28)</f>
        <v>12032</v>
      </c>
      <c r="P194" s="2712">
        <f t="shared" si="88"/>
        <v>12032</v>
      </c>
      <c r="Q194" s="2712">
        <f t="shared" si="88"/>
        <v>12032</v>
      </c>
      <c r="R194" s="2712">
        <f t="shared" si="88"/>
        <v>12032</v>
      </c>
      <c r="S194" s="2712">
        <f t="shared" ref="S194" si="89">S192+(S192*0.28)</f>
        <v>12032</v>
      </c>
    </row>
    <row r="195" spans="1:64" hidden="1">
      <c r="A195" s="995"/>
      <c r="B195" s="1023"/>
      <c r="C195" s="1072" t="s">
        <v>7502</v>
      </c>
      <c r="D195" s="1177" t="e">
        <f t="shared" ref="D195:J195" si="90">MIN(D191,D194)</f>
        <v>#REF!</v>
      </c>
      <c r="E195" s="1177" t="e">
        <f t="shared" si="90"/>
        <v>#REF!</v>
      </c>
      <c r="F195" s="1177" t="e">
        <f t="shared" si="90"/>
        <v>#REF!</v>
      </c>
      <c r="G195" s="1177" t="e">
        <f t="shared" si="90"/>
        <v>#REF!</v>
      </c>
      <c r="H195" s="1177" t="e">
        <f t="shared" si="90"/>
        <v>#REF!</v>
      </c>
      <c r="I195" s="1177" t="e">
        <f t="shared" ref="I195" si="91">MIN(I191,I194)</f>
        <v>#REF!</v>
      </c>
      <c r="J195" s="2536" t="e">
        <f t="shared" si="90"/>
        <v>#REF!</v>
      </c>
      <c r="K195" s="2536" t="e">
        <f t="shared" ref="K195:L195" si="92">MIN(K191,K194)</f>
        <v>#REF!</v>
      </c>
      <c r="L195" s="2536" t="e">
        <f t="shared" si="92"/>
        <v>#REF!</v>
      </c>
      <c r="M195" s="2536" t="e">
        <f t="shared" ref="M195:N195" si="93">MIN(M191,M194)</f>
        <v>#REF!</v>
      </c>
      <c r="N195" s="2536" t="e">
        <f t="shared" si="93"/>
        <v>#REF!</v>
      </c>
      <c r="O195" s="2712" t="e">
        <f t="shared" ref="O195:R195" si="94">MIN(O191,O194)</f>
        <v>#REF!</v>
      </c>
      <c r="P195" s="2712" t="e">
        <f t="shared" si="94"/>
        <v>#REF!</v>
      </c>
      <c r="Q195" s="2712" t="e">
        <f t="shared" si="94"/>
        <v>#REF!</v>
      </c>
      <c r="R195" s="2712" t="e">
        <f t="shared" si="94"/>
        <v>#REF!</v>
      </c>
      <c r="S195" s="2712" t="e">
        <f t="shared" ref="S195" si="95">MIN(S191,S194)</f>
        <v>#REF!</v>
      </c>
    </row>
    <row r="196" spans="1:64" hidden="1">
      <c r="A196" s="995"/>
      <c r="B196" s="1023"/>
      <c r="C196" s="1023" t="s">
        <v>7471</v>
      </c>
      <c r="D196" s="1177" t="e">
        <f>#REF!+#REF!</f>
        <v>#REF!</v>
      </c>
      <c r="E196" s="1177" t="e">
        <f>#REF!+#REF!</f>
        <v>#REF!</v>
      </c>
      <c r="F196" s="1177" t="e">
        <f>#REF!+#REF!</f>
        <v>#REF!</v>
      </c>
      <c r="G196" s="1177" t="e">
        <f>#REF!+#REF!</f>
        <v>#REF!</v>
      </c>
      <c r="H196" s="1177" t="e">
        <f>#REF!+#REF!</f>
        <v>#REF!</v>
      </c>
      <c r="I196" s="1177" t="e">
        <f>#REF!+#REF!</f>
        <v>#REF!</v>
      </c>
      <c r="J196" s="2536" t="e">
        <f>#REF!+#REF!</f>
        <v>#REF!</v>
      </c>
      <c r="K196" s="2536" t="e">
        <f>#REF!+#REF!</f>
        <v>#REF!</v>
      </c>
      <c r="L196" s="2536" t="e">
        <f>#REF!+#REF!</f>
        <v>#REF!</v>
      </c>
      <c r="M196" s="2536" t="e">
        <f>#REF!+#REF!</f>
        <v>#REF!</v>
      </c>
      <c r="N196" s="2536" t="e">
        <f>#REF!+#REF!</f>
        <v>#REF!</v>
      </c>
      <c r="O196" s="2712" t="e">
        <f>#REF!+#REF!</f>
        <v>#REF!</v>
      </c>
      <c r="P196" s="2712" t="e">
        <f>#REF!+#REF!</f>
        <v>#REF!</v>
      </c>
      <c r="Q196" s="2712" t="e">
        <f>#REF!+#REF!</f>
        <v>#REF!</v>
      </c>
      <c r="R196" s="2712" t="e">
        <f>#REF!+#REF!</f>
        <v>#REF!</v>
      </c>
      <c r="S196" s="2712" t="e">
        <f>#REF!+#REF!</f>
        <v>#REF!</v>
      </c>
    </row>
    <row r="197" spans="1:64" hidden="1">
      <c r="A197" s="995"/>
      <c r="B197" s="1023"/>
      <c r="C197" s="1023" t="s">
        <v>7472</v>
      </c>
      <c r="D197" s="1177" t="e">
        <f>'Data Entry - SOF'!#REF!-#REF!-#REF!</f>
        <v>#REF!</v>
      </c>
      <c r="E197" s="1177" t="e">
        <f>'Data Entry - SOF'!#REF!-#REF!-#REF!</f>
        <v>#REF!</v>
      </c>
      <c r="F197" s="1177" t="e">
        <f>'Data Entry - SOF'!#REF!-#REF!-#REF!</f>
        <v>#REF!</v>
      </c>
      <c r="G197" s="1177" t="e">
        <f>'Data Entry - SOF'!#REF!-#REF!-#REF!</f>
        <v>#REF!</v>
      </c>
      <c r="H197" s="1177" t="e">
        <f>'Data Entry - SOF'!#REF!-#REF!-#REF!</f>
        <v>#REF!</v>
      </c>
      <c r="I197" s="1177" t="e">
        <f>'Data Entry - SOF'!#REF!-#REF!-#REF!</f>
        <v>#REF!</v>
      </c>
      <c r="J197" s="2536" t="e">
        <f>'Data Entry - SOF'!#REF!-#REF!-#REF!</f>
        <v>#REF!</v>
      </c>
      <c r="K197" s="2536" t="e">
        <f>'Data Entry - SOF'!#REF!-#REF!-#REF!</f>
        <v>#REF!</v>
      </c>
      <c r="L197" s="2536" t="e">
        <f>'Data Entry - SOF'!#REF!-#REF!-#REF!</f>
        <v>#REF!</v>
      </c>
      <c r="M197" s="2536" t="e">
        <f>'Data Entry - SOF'!#REF!-#REF!-#REF!</f>
        <v>#REF!</v>
      </c>
      <c r="N197" s="2536" t="e">
        <f>'Data Entry - SOF'!#REF!-#REF!-#REF!</f>
        <v>#REF!</v>
      </c>
      <c r="O197" s="2712" t="e">
        <f>'Data Entry - SOF'!#REF!-#REF!-#REF!</f>
        <v>#REF!</v>
      </c>
      <c r="P197" s="2712" t="e">
        <f>'Data Entry - SOF'!#REF!-#REF!-#REF!</f>
        <v>#REF!</v>
      </c>
      <c r="Q197" s="2712" t="e">
        <f>'Data Entry - SOF'!#REF!-#REF!-#REF!</f>
        <v>#REF!</v>
      </c>
      <c r="R197" s="2712" t="e">
        <f>'Data Entry - SOF'!#REF!-#REF!-#REF!</f>
        <v>#REF!</v>
      </c>
      <c r="S197" s="2712" t="e">
        <f>'Data Entry - SOF'!#REF!-#REF!-#REF!</f>
        <v>#REF!</v>
      </c>
    </row>
    <row r="198" spans="1:64" hidden="1">
      <c r="A198" s="995"/>
      <c r="B198" s="1023"/>
      <c r="C198" s="1072" t="s">
        <v>7473</v>
      </c>
      <c r="D198" s="1177" t="e">
        <f>(D196+D197)/'Data Entry - SOF'!#REF!</f>
        <v>#REF!</v>
      </c>
      <c r="E198" s="1177" t="e">
        <f>(E196+E197)/'Data Entry - SOF'!C19</f>
        <v>#REF!</v>
      </c>
      <c r="F198" s="1177" t="e">
        <f>(F196+F197)/'Data Entry - SOF'!E19</f>
        <v>#REF!</v>
      </c>
      <c r="G198" s="1177" t="e">
        <f>(G196+G197)/'Data Entry - SOF'!F19</f>
        <v>#REF!</v>
      </c>
      <c r="H198" s="1177" t="e">
        <f>(H196+H197)/'Data Entry - SOF'!G19</f>
        <v>#REF!</v>
      </c>
      <c r="I198" s="1177" t="e">
        <f>(I196+I197)/'Data Entry - SOF'!H19</f>
        <v>#REF!</v>
      </c>
      <c r="J198" s="2536" t="e">
        <f>(J196+J197)/'Data Entry - SOF'!C19</f>
        <v>#REF!</v>
      </c>
      <c r="K198" s="2536" t="e">
        <f>(K196+K197)/'Data Entry - SOF'!D19</f>
        <v>#REF!</v>
      </c>
      <c r="L198" s="2536" t="e">
        <f>(L196+L197)/'Data Entry - SOF'!E19</f>
        <v>#REF!</v>
      </c>
      <c r="M198" s="2536" t="e">
        <f>(M196+M197)/'Data Entry - SOF'!F19</f>
        <v>#REF!</v>
      </c>
      <c r="N198" s="2536" t="e">
        <f>(N196+N197)/'Data Entry - SOF'!G19</f>
        <v>#REF!</v>
      </c>
      <c r="O198" s="2712" t="e">
        <f>(O196+O197)/'Data Entry - SOF'!G19</f>
        <v>#REF!</v>
      </c>
      <c r="P198" s="2712" t="e">
        <f>(P196+P197)/'Data Entry - SOF'!I19</f>
        <v>#REF!</v>
      </c>
      <c r="Q198" s="2712" t="e">
        <f>(Q196+Q197)/'Data Entry - SOF'!J19</f>
        <v>#REF!</v>
      </c>
      <c r="R198" s="2712" t="e">
        <f>(R196+R197)/'Data Entry - SOF'!K19</f>
        <v>#REF!</v>
      </c>
      <c r="S198" s="2712" t="e">
        <f>(S196+S197)/'Data Entry - SOF'!L19</f>
        <v>#REF!</v>
      </c>
    </row>
    <row r="199" spans="1:64" hidden="1">
      <c r="A199" s="995"/>
      <c r="B199" s="1023"/>
      <c r="C199" s="1023" t="s">
        <v>7461</v>
      </c>
      <c r="D199" s="1181" t="e">
        <f>IF(D198&gt;D195,0,(D195-D198)*'Data Entry - SOF'!#REF!)</f>
        <v>#REF!</v>
      </c>
      <c r="E199" s="1181" t="e">
        <f>IF(E198&gt;E195,0,(E195-E198)*'Data Entry - SOF'!C19)</f>
        <v>#REF!</v>
      </c>
      <c r="F199" s="1181" t="e">
        <f>IF(F198&gt;F195,0,(F195-F198)*'Data Entry - SOF'!E19)</f>
        <v>#REF!</v>
      </c>
      <c r="G199" s="1181" t="e">
        <f>IF(G198&gt;G195,0,(G195-G198)*'Data Entry - SOF'!F19)</f>
        <v>#REF!</v>
      </c>
      <c r="H199" s="1181" t="e">
        <f>IF(H198&gt;H195,0,(H195-H198)*'Data Entry - SOF'!G19)</f>
        <v>#REF!</v>
      </c>
      <c r="I199" s="1181" t="e">
        <f>IF(I198&gt;I195,0,(I195-I198)*'Data Entry - SOF'!H19)</f>
        <v>#REF!</v>
      </c>
      <c r="J199" s="2540" t="e">
        <f>IF(J198&gt;J195,0,(J195-J198)*'Data Entry - SOF'!C19)</f>
        <v>#REF!</v>
      </c>
      <c r="K199" s="2540" t="e">
        <f>IF(K198&gt;K195,0,(K195-K198)*'Data Entry - SOF'!D19)</f>
        <v>#REF!</v>
      </c>
      <c r="L199" s="2540" t="e">
        <f>IF(L198&gt;L195,0,(L195-L198)*'Data Entry - SOF'!E19)</f>
        <v>#REF!</v>
      </c>
      <c r="M199" s="2540" t="e">
        <f>IF(M198&gt;M195,0,(M195-M198)*'Data Entry - SOF'!F19)</f>
        <v>#REF!</v>
      </c>
      <c r="N199" s="2540" t="e">
        <f>IF(N198&gt;N195,0,(N195-N198)*'Data Entry - SOF'!G19)</f>
        <v>#REF!</v>
      </c>
      <c r="O199" s="2716" t="e">
        <f>IF(O198&gt;O195,0,(O195-O198)*'Data Entry - SOF'!G19)</f>
        <v>#REF!</v>
      </c>
      <c r="P199" s="2716" t="e">
        <f>IF(P198&gt;P195,0,(P195-P198)*'Data Entry - SOF'!I19)</f>
        <v>#REF!</v>
      </c>
      <c r="Q199" s="2716" t="e">
        <f>IF(Q198&gt;Q195,0,(Q195-Q198)*'Data Entry - SOF'!J19)</f>
        <v>#REF!</v>
      </c>
      <c r="R199" s="2716" t="e">
        <f>IF(R198&gt;R195,0,(R195-R198)*'Data Entry - SOF'!K19)</f>
        <v>#REF!</v>
      </c>
      <c r="S199" s="2716" t="e">
        <f>IF(S198&gt;S195,0,(S195-S198)*'Data Entry - SOF'!L19)</f>
        <v>#REF!</v>
      </c>
    </row>
    <row r="200" spans="1:64">
      <c r="B200" s="1184" t="s">
        <v>8254</v>
      </c>
      <c r="C200" s="404" t="s">
        <v>7710</v>
      </c>
      <c r="D200" s="1845">
        <f>'Data Entry - SOF'!C155</f>
        <v>0</v>
      </c>
      <c r="E200" s="1845">
        <f t="shared" ref="E200:I200" si="96">D220</f>
        <v>0</v>
      </c>
      <c r="F200" s="1845">
        <f t="shared" si="96"/>
        <v>0</v>
      </c>
      <c r="G200" s="1845" t="e">
        <f t="shared" si="96"/>
        <v>#DIV/0!</v>
      </c>
      <c r="H200" s="1845" t="e">
        <f t="shared" si="96"/>
        <v>#DIV/0!</v>
      </c>
      <c r="I200" s="1845" t="e">
        <f t="shared" si="96"/>
        <v>#DIV/0!</v>
      </c>
      <c r="J200" s="2541">
        <f>D220</f>
        <v>0</v>
      </c>
      <c r="K200" s="2541" t="e">
        <f>J220</f>
        <v>#DIV/0!</v>
      </c>
      <c r="L200" s="2541" t="e">
        <f>K220</f>
        <v>#DIV/0!</v>
      </c>
      <c r="M200" s="2541" t="e">
        <f>L220</f>
        <v>#DIV/0!</v>
      </c>
      <c r="N200" s="2541" t="e">
        <f>M220</f>
        <v>#DIV/0!</v>
      </c>
      <c r="O200" s="2717">
        <f>D220</f>
        <v>0</v>
      </c>
      <c r="P200" s="2717" t="e">
        <f>O220</f>
        <v>#DIV/0!</v>
      </c>
      <c r="Q200" s="2717" t="e">
        <f>P220</f>
        <v>#DIV/0!</v>
      </c>
      <c r="R200" s="2717" t="e">
        <f>Q220</f>
        <v>#DIV/0!</v>
      </c>
      <c r="S200" s="2717" t="e">
        <f>R220</f>
        <v>#DIV/0!</v>
      </c>
    </row>
    <row r="201" spans="1:64">
      <c r="B201" s="58"/>
      <c r="C201" s="404" t="s">
        <v>869</v>
      </c>
      <c r="D201" s="1175">
        <f>'Data Entry - SOF'!C63</f>
        <v>0</v>
      </c>
      <c r="E201" s="1175">
        <f>'Data Entry - SOF'!E66</f>
        <v>0</v>
      </c>
      <c r="F201" s="1175">
        <f>'Data Entry - SOF'!G66</f>
        <v>0</v>
      </c>
      <c r="G201" s="1175">
        <f>'Data Entry - SOF'!I66</f>
        <v>0</v>
      </c>
      <c r="H201" s="1175">
        <f>'Data Entry - SOF'!K66</f>
        <v>0</v>
      </c>
      <c r="I201" s="1175">
        <f>'Data Entry - SOF'!M66</f>
        <v>0</v>
      </c>
      <c r="J201" s="2533">
        <f>'Data Entry - SOF'!E66</f>
        <v>0</v>
      </c>
      <c r="K201" s="2533">
        <f>'Data Entry - SOF'!G66</f>
        <v>0</v>
      </c>
      <c r="L201" s="2533">
        <f>'Data Entry - SOF'!I66</f>
        <v>0</v>
      </c>
      <c r="M201" s="2533">
        <f>'Data Entry - SOF'!K66</f>
        <v>0</v>
      </c>
      <c r="N201" s="2533">
        <f>'Data Entry - SOF'!L66</f>
        <v>0</v>
      </c>
      <c r="O201" s="2663">
        <f>'Data Entry - SOF'!E63</f>
        <v>0</v>
      </c>
      <c r="P201" s="2663">
        <f>'Data Entry - SOF'!G63</f>
        <v>0</v>
      </c>
      <c r="Q201" s="2663">
        <f>'Data Entry - SOF'!I63</f>
        <v>0</v>
      </c>
      <c r="R201" s="2663">
        <f>'Data Entry - SOF'!K63</f>
        <v>0</v>
      </c>
      <c r="S201" s="2663">
        <f>'Data Entry - SOF'!M63</f>
        <v>0</v>
      </c>
    </row>
    <row r="202" spans="1:64">
      <c r="B202" s="58"/>
      <c r="C202" s="404" t="s">
        <v>7721</v>
      </c>
      <c r="D202" s="1349" t="e">
        <f t="shared" ref="D202:J202" si="97">(D201-(D183+D184))/(D183+D184)</f>
        <v>#DIV/0!</v>
      </c>
      <c r="E202" s="1349" t="e">
        <f t="shared" si="97"/>
        <v>#DIV/0!</v>
      </c>
      <c r="F202" s="1349" t="e">
        <f t="shared" si="97"/>
        <v>#DIV/0!</v>
      </c>
      <c r="G202" s="1349" t="e">
        <f t="shared" si="97"/>
        <v>#DIV/0!</v>
      </c>
      <c r="H202" s="1349" t="e">
        <f t="shared" si="97"/>
        <v>#DIV/0!</v>
      </c>
      <c r="I202" s="1349" t="e">
        <f t="shared" ref="I202" si="98">(I201-(I183+I184))/(I183+I184)</f>
        <v>#DIV/0!</v>
      </c>
      <c r="J202" s="2542" t="e">
        <f t="shared" si="97"/>
        <v>#DIV/0!</v>
      </c>
      <c r="K202" s="2542" t="e">
        <f t="shared" ref="K202:L202" si="99">(K201-(K183+K184))/(K183+K184)</f>
        <v>#DIV/0!</v>
      </c>
      <c r="L202" s="2542" t="e">
        <f t="shared" si="99"/>
        <v>#DIV/0!</v>
      </c>
      <c r="M202" s="2542" t="e">
        <f t="shared" ref="M202:N202" si="100">(M201-(M183+M184))/(M183+M184)</f>
        <v>#DIV/0!</v>
      </c>
      <c r="N202" s="2542" t="e">
        <f t="shared" si="100"/>
        <v>#DIV/0!</v>
      </c>
      <c r="O202" s="2718" t="e">
        <f t="shared" ref="O202:R202" si="101">(O201-(O183+O184))/(O183+O184)</f>
        <v>#DIV/0!</v>
      </c>
      <c r="P202" s="2718" t="e">
        <f t="shared" si="101"/>
        <v>#DIV/0!</v>
      </c>
      <c r="Q202" s="2718" t="e">
        <f t="shared" si="101"/>
        <v>#DIV/0!</v>
      </c>
      <c r="R202" s="2718" t="e">
        <f t="shared" si="101"/>
        <v>#DIV/0!</v>
      </c>
      <c r="S202" s="2718" t="e">
        <f t="shared" ref="S202" si="102">(S201-(S183+S184))/(S183+S184)</f>
        <v>#DIV/0!</v>
      </c>
      <c r="AQ202" s="1037"/>
      <c r="AR202" s="1037"/>
      <c r="AS202" s="1037"/>
      <c r="AT202" s="1037"/>
      <c r="AU202" s="1037"/>
      <c r="AZ202" s="1037"/>
      <c r="BI202" s="1037"/>
      <c r="BJ202" s="1037"/>
      <c r="BK202" s="1037"/>
      <c r="BL202" s="1037"/>
    </row>
    <row r="203" spans="1:64">
      <c r="B203" s="58"/>
      <c r="C203" s="404" t="s">
        <v>7740</v>
      </c>
      <c r="D203" s="1186" t="e">
        <f t="shared" ref="D203:H203" si="103">IF(D202&lt;0.025,D200,"N/A")</f>
        <v>#DIV/0!</v>
      </c>
      <c r="E203" s="1346" t="e">
        <f t="shared" si="103"/>
        <v>#DIV/0!</v>
      </c>
      <c r="F203" s="1346" t="e">
        <f t="shared" si="103"/>
        <v>#DIV/0!</v>
      </c>
      <c r="G203" s="1346" t="e">
        <f t="shared" si="103"/>
        <v>#DIV/0!</v>
      </c>
      <c r="H203" s="1346" t="e">
        <f t="shared" si="103"/>
        <v>#DIV/0!</v>
      </c>
      <c r="I203" s="1346" t="e">
        <f t="shared" ref="I203" si="104">IF(I202&lt;0.025,I200,"N/A")</f>
        <v>#DIV/0!</v>
      </c>
      <c r="J203" s="2543" t="e">
        <f t="shared" ref="J203:R203" si="105">IF(J202&lt;0.025,J200,"N/A")</f>
        <v>#DIV/0!</v>
      </c>
      <c r="K203" s="2543" t="e">
        <f t="shared" si="105"/>
        <v>#DIV/0!</v>
      </c>
      <c r="L203" s="2543" t="e">
        <f t="shared" si="105"/>
        <v>#DIV/0!</v>
      </c>
      <c r="M203" s="2543" t="e">
        <f t="shared" si="105"/>
        <v>#DIV/0!</v>
      </c>
      <c r="N203" s="2543" t="e">
        <f t="shared" ref="N203" si="106">IF(N202&lt;0.025,N200,"N/A")</f>
        <v>#DIV/0!</v>
      </c>
      <c r="O203" s="2719" t="e">
        <f t="shared" si="105"/>
        <v>#DIV/0!</v>
      </c>
      <c r="P203" s="2719" t="e">
        <f t="shared" si="105"/>
        <v>#DIV/0!</v>
      </c>
      <c r="Q203" s="2719" t="e">
        <f t="shared" si="105"/>
        <v>#DIV/0!</v>
      </c>
      <c r="R203" s="2719" t="e">
        <f t="shared" si="105"/>
        <v>#DIV/0!</v>
      </c>
      <c r="S203" s="2719" t="e">
        <f t="shared" ref="S203" si="107">IF(S202&lt;0.025,S200,"N/A")</f>
        <v>#DIV/0!</v>
      </c>
      <c r="AQ203" s="1037"/>
      <c r="AR203" s="1037"/>
      <c r="AS203" s="1037"/>
      <c r="AT203" s="1037"/>
      <c r="AU203" s="1037"/>
      <c r="AZ203" s="1037"/>
      <c r="BI203" s="1037"/>
      <c r="BJ203" s="1037"/>
      <c r="BK203" s="1037"/>
      <c r="BL203" s="1037"/>
    </row>
    <row r="204" spans="1:64">
      <c r="B204" s="58"/>
      <c r="C204" s="404" t="s">
        <v>7741</v>
      </c>
      <c r="D204" s="1766" t="e">
        <f t="shared" ref="D204:J204" si="108">IF(D202&gt;=0.025,(1.025*((D183+D184)*D200))/D201,"N/A")</f>
        <v>#DIV/0!</v>
      </c>
      <c r="E204" s="1186" t="e">
        <f t="shared" si="108"/>
        <v>#DIV/0!</v>
      </c>
      <c r="F204" s="1846" t="e">
        <f t="shared" si="108"/>
        <v>#DIV/0!</v>
      </c>
      <c r="G204" s="1846" t="e">
        <f t="shared" si="108"/>
        <v>#DIV/0!</v>
      </c>
      <c r="H204" s="1846" t="e">
        <f t="shared" si="108"/>
        <v>#DIV/0!</v>
      </c>
      <c r="I204" s="1846" t="e">
        <f t="shared" ref="I204" si="109">IF(I202&gt;=0.025,(1.025*((I183+I184)*I200))/I201,"N/A")</f>
        <v>#DIV/0!</v>
      </c>
      <c r="J204" s="2544" t="e">
        <f t="shared" si="108"/>
        <v>#DIV/0!</v>
      </c>
      <c r="K204" s="2544" t="e">
        <f t="shared" ref="K204:L204" si="110">IF(K202&gt;=0.025,(1.025*((K183+K184)*K200))/K201,"N/A")</f>
        <v>#DIV/0!</v>
      </c>
      <c r="L204" s="2544" t="e">
        <f t="shared" si="110"/>
        <v>#DIV/0!</v>
      </c>
      <c r="M204" s="2544" t="e">
        <f t="shared" ref="M204:N204" si="111">IF(M202&gt;=0.025,(1.025*((M183+M184)*M200))/M201,"N/A")</f>
        <v>#DIV/0!</v>
      </c>
      <c r="N204" s="2544" t="e">
        <f t="shared" si="111"/>
        <v>#DIV/0!</v>
      </c>
      <c r="O204" s="2720" t="e">
        <f t="shared" ref="O204:R204" si="112">IF(O202&gt;=0.025,(1.025*((O183+O184)*O200))/O201,"N/A")</f>
        <v>#DIV/0!</v>
      </c>
      <c r="P204" s="2721" t="e">
        <f t="shared" si="112"/>
        <v>#DIV/0!</v>
      </c>
      <c r="Q204" s="2721" t="e">
        <f t="shared" si="112"/>
        <v>#DIV/0!</v>
      </c>
      <c r="R204" s="2721" t="e">
        <f t="shared" si="112"/>
        <v>#DIV/0!</v>
      </c>
      <c r="S204" s="2721" t="e">
        <f t="shared" ref="S204" si="113">IF(S202&gt;=0.025,(1.025*((S183+S184)*S200))/S201,"N/A")</f>
        <v>#DIV/0!</v>
      </c>
      <c r="AQ204" s="1037"/>
      <c r="AR204" s="1037"/>
      <c r="AS204" s="1037"/>
      <c r="AT204" s="1037"/>
      <c r="AU204" s="1037"/>
      <c r="AZ204" s="1037"/>
      <c r="BI204" s="1037"/>
      <c r="BJ204" s="1037"/>
      <c r="BK204" s="1037"/>
      <c r="BL204" s="1037"/>
    </row>
    <row r="205" spans="1:64">
      <c r="B205" s="58"/>
      <c r="C205" s="404" t="s">
        <v>7720</v>
      </c>
      <c r="D205" s="1159" t="e">
        <f t="shared" ref="D205:H205" si="114">IF(D203="N/A",D204,D203)</f>
        <v>#DIV/0!</v>
      </c>
      <c r="E205" s="1159" t="e">
        <f t="shared" si="114"/>
        <v>#DIV/0!</v>
      </c>
      <c r="F205" s="1847" t="e">
        <f t="shared" si="114"/>
        <v>#DIV/0!</v>
      </c>
      <c r="G205" s="1847" t="e">
        <f t="shared" si="114"/>
        <v>#DIV/0!</v>
      </c>
      <c r="H205" s="1847" t="e">
        <f t="shared" si="114"/>
        <v>#DIV/0!</v>
      </c>
      <c r="I205" s="1847" t="e">
        <f t="shared" ref="I205" si="115">IF(I203="N/A",I204,I203)</f>
        <v>#DIV/0!</v>
      </c>
      <c r="J205" s="2545" t="e">
        <f t="shared" ref="J205:R205" si="116">IF(J203="N/A",J204,J203)</f>
        <v>#DIV/0!</v>
      </c>
      <c r="K205" s="2545" t="e">
        <f t="shared" si="116"/>
        <v>#DIV/0!</v>
      </c>
      <c r="L205" s="2545" t="e">
        <f t="shared" si="116"/>
        <v>#DIV/0!</v>
      </c>
      <c r="M205" s="2545" t="e">
        <f t="shared" si="116"/>
        <v>#DIV/0!</v>
      </c>
      <c r="N205" s="2545" t="e">
        <f t="shared" ref="N205" si="117">IF(N203="N/A",N204,N203)</f>
        <v>#DIV/0!</v>
      </c>
      <c r="O205" s="2722" t="e">
        <f t="shared" si="116"/>
        <v>#DIV/0!</v>
      </c>
      <c r="P205" s="2723" t="e">
        <f t="shared" si="116"/>
        <v>#DIV/0!</v>
      </c>
      <c r="Q205" s="2723" t="e">
        <f t="shared" si="116"/>
        <v>#DIV/0!</v>
      </c>
      <c r="R205" s="2723" t="e">
        <f t="shared" si="116"/>
        <v>#DIV/0!</v>
      </c>
      <c r="S205" s="2723" t="e">
        <f t="shared" ref="S205" si="118">IF(S203="N/A",S204,S203)</f>
        <v>#DIV/0!</v>
      </c>
      <c r="AQ205" s="1037"/>
      <c r="AR205" s="1037"/>
      <c r="AS205" s="1037"/>
      <c r="AT205" s="1037"/>
      <c r="AU205" s="1037"/>
      <c r="AZ205" s="1037"/>
      <c r="BI205" s="1037"/>
      <c r="BJ205" s="1037"/>
      <c r="BK205" s="1037"/>
      <c r="BL205" s="1037"/>
    </row>
    <row r="206" spans="1:64">
      <c r="B206" s="58"/>
      <c r="C206" s="1184" t="s">
        <v>7742</v>
      </c>
      <c r="D206" s="1159">
        <f t="shared" ref="D206:H206" si="119">D125</f>
        <v>0.91339999999999999</v>
      </c>
      <c r="E206" s="1159">
        <f t="shared" si="119"/>
        <v>0.89410000000000001</v>
      </c>
      <c r="F206" s="1847">
        <f t="shared" si="119"/>
        <v>0.88270000000000004</v>
      </c>
      <c r="G206" s="1847">
        <f t="shared" si="119"/>
        <v>0.86529999999999996</v>
      </c>
      <c r="H206" s="1847">
        <f t="shared" si="119"/>
        <v>0.84819999999999995</v>
      </c>
      <c r="I206" s="1847">
        <f t="shared" ref="I206" si="120">I125</f>
        <v>0.83140000000000003</v>
      </c>
      <c r="J206" s="2545">
        <f t="shared" ref="J206:R206" si="121">J125</f>
        <v>0.89410000000000001</v>
      </c>
      <c r="K206" s="2545">
        <f t="shared" si="121"/>
        <v>0.87809999999999999</v>
      </c>
      <c r="L206" s="2545">
        <f t="shared" si="121"/>
        <v>0.86240000000000006</v>
      </c>
      <c r="M206" s="2545">
        <f t="shared" si="121"/>
        <v>0.84699999999999998</v>
      </c>
      <c r="N206" s="2545">
        <f t="shared" ref="N206" si="122">N125</f>
        <v>0.83189999999999997</v>
      </c>
      <c r="O206" s="2722">
        <f t="shared" si="121"/>
        <v>0.89410000000000001</v>
      </c>
      <c r="P206" s="2723">
        <f t="shared" si="121"/>
        <v>0.87809999999999999</v>
      </c>
      <c r="Q206" s="2723">
        <f t="shared" si="121"/>
        <v>0.86240000000000006</v>
      </c>
      <c r="R206" s="2723">
        <f t="shared" si="121"/>
        <v>0.84699999999999998</v>
      </c>
      <c r="S206" s="2723">
        <f t="shared" ref="S206" si="123">S125</f>
        <v>0.83189999999999997</v>
      </c>
      <c r="AQ206" s="1037"/>
      <c r="AR206" s="1037"/>
      <c r="AS206" s="1037"/>
      <c r="AT206" s="1037"/>
      <c r="AU206" s="1037"/>
      <c r="AZ206" s="1037"/>
      <c r="BI206" s="1037"/>
      <c r="BJ206" s="1037"/>
      <c r="BK206" s="1037"/>
      <c r="BL206" s="1037"/>
    </row>
    <row r="207" spans="1:64">
      <c r="B207" s="58"/>
      <c r="C207" s="404" t="s">
        <v>7743</v>
      </c>
      <c r="D207" s="1833" t="e">
        <f t="shared" ref="D207:J207" si="124">MIN(D205,D206)</f>
        <v>#DIV/0!</v>
      </c>
      <c r="E207" s="1185" t="e">
        <f t="shared" si="124"/>
        <v>#DIV/0!</v>
      </c>
      <c r="F207" s="1848" t="e">
        <f t="shared" si="124"/>
        <v>#DIV/0!</v>
      </c>
      <c r="G207" s="1848" t="e">
        <f t="shared" si="124"/>
        <v>#DIV/0!</v>
      </c>
      <c r="H207" s="1848" t="e">
        <f t="shared" si="124"/>
        <v>#DIV/0!</v>
      </c>
      <c r="I207" s="1848" t="e">
        <f t="shared" ref="I207" si="125">MIN(I205,I206)</f>
        <v>#DIV/0!</v>
      </c>
      <c r="J207" s="1185" t="e">
        <f t="shared" si="124"/>
        <v>#DIV/0!</v>
      </c>
      <c r="K207" s="1185" t="e">
        <f t="shared" ref="K207:L207" si="126">MIN(K205,K206)</f>
        <v>#DIV/0!</v>
      </c>
      <c r="L207" s="1185" t="e">
        <f t="shared" si="126"/>
        <v>#DIV/0!</v>
      </c>
      <c r="M207" s="1185" t="e">
        <f t="shared" ref="M207:N207" si="127">MIN(M205,M206)</f>
        <v>#DIV/0!</v>
      </c>
      <c r="N207" s="1185" t="e">
        <f t="shared" si="127"/>
        <v>#DIV/0!</v>
      </c>
      <c r="O207" s="1185" t="e">
        <f t="shared" ref="O207:R207" si="128">MIN(O205,O206)</f>
        <v>#DIV/0!</v>
      </c>
      <c r="P207" s="1848" t="e">
        <f t="shared" si="128"/>
        <v>#DIV/0!</v>
      </c>
      <c r="Q207" s="1848" t="e">
        <f t="shared" si="128"/>
        <v>#DIV/0!</v>
      </c>
      <c r="R207" s="1848" t="e">
        <f t="shared" si="128"/>
        <v>#DIV/0!</v>
      </c>
      <c r="S207" s="1848" t="e">
        <f t="shared" ref="S207" si="129">MIN(S205,S206)</f>
        <v>#DIV/0!</v>
      </c>
      <c r="AQ207" s="1037"/>
      <c r="AR207" s="1037"/>
      <c r="AS207" s="1037"/>
      <c r="AT207" s="1037"/>
      <c r="AU207" s="1037"/>
      <c r="AZ207" s="1037"/>
      <c r="BI207" s="1037"/>
      <c r="BJ207" s="1037"/>
      <c r="BK207" s="1037"/>
      <c r="BL207" s="1037"/>
    </row>
    <row r="208" spans="1:64">
      <c r="B208" s="58"/>
      <c r="C208" s="528"/>
      <c r="D208" s="1843"/>
      <c r="E208" s="105"/>
      <c r="F208" s="1849"/>
      <c r="G208" s="1849"/>
      <c r="H208" s="1849"/>
      <c r="I208" s="1849"/>
      <c r="J208" s="2546"/>
      <c r="K208" s="2546"/>
      <c r="L208" s="2546"/>
      <c r="M208" s="2546"/>
      <c r="N208" s="2546"/>
      <c r="O208" s="2724"/>
      <c r="P208" s="2725"/>
      <c r="Q208" s="2725"/>
      <c r="R208" s="2725"/>
      <c r="S208" s="2725"/>
    </row>
    <row r="209" spans="2:19" hidden="1">
      <c r="C209" s="43" t="s">
        <v>46</v>
      </c>
      <c r="D209" s="1843"/>
      <c r="E209" s="105"/>
      <c r="F209" s="1849"/>
      <c r="G209" s="1849"/>
      <c r="H209" s="1849"/>
      <c r="I209" s="1849"/>
      <c r="J209" s="2546"/>
      <c r="K209" s="2546"/>
      <c r="L209" s="2546"/>
      <c r="M209" s="2546"/>
      <c r="N209" s="2546"/>
      <c r="O209" s="2724"/>
      <c r="P209" s="2725"/>
      <c r="Q209" s="2725"/>
      <c r="R209" s="2725"/>
      <c r="S209" s="2725"/>
    </row>
    <row r="210" spans="2:19" hidden="1">
      <c r="C210" s="431" t="s">
        <v>7492</v>
      </c>
      <c r="D210" s="1843"/>
      <c r="E210" s="105"/>
      <c r="F210" s="1849"/>
      <c r="G210" s="1849"/>
      <c r="H210" s="1849"/>
      <c r="I210" s="1849"/>
      <c r="J210" s="2546"/>
      <c r="K210" s="2546"/>
      <c r="L210" s="2546"/>
      <c r="M210" s="2546"/>
      <c r="N210" s="2546"/>
      <c r="O210" s="2724"/>
      <c r="P210" s="2725"/>
      <c r="Q210" s="2725"/>
      <c r="R210" s="2725"/>
      <c r="S210" s="2725"/>
    </row>
    <row r="211" spans="2:19" hidden="1">
      <c r="B211" s="27" t="s">
        <v>3332</v>
      </c>
      <c r="C211" s="432">
        <v>1.1466000000000001</v>
      </c>
      <c r="D211" s="1843"/>
      <c r="E211" s="105"/>
      <c r="F211" s="1849"/>
      <c r="G211" s="1849"/>
      <c r="H211" s="1849"/>
      <c r="I211" s="1849"/>
      <c r="J211" s="2546"/>
      <c r="K211" s="2546"/>
      <c r="L211" s="2546"/>
      <c r="M211" s="2546"/>
      <c r="N211" s="2546"/>
      <c r="O211" s="2724"/>
      <c r="P211" s="2725"/>
      <c r="Q211" s="2725"/>
      <c r="R211" s="2725"/>
      <c r="S211" s="2725"/>
    </row>
    <row r="212" spans="2:19" hidden="1">
      <c r="B212" s="27" t="s">
        <v>7493</v>
      </c>
      <c r="C212" s="1041">
        <v>1.0867</v>
      </c>
      <c r="D212" s="1844"/>
      <c r="E212" s="105"/>
      <c r="F212" s="1849"/>
      <c r="G212" s="1849"/>
      <c r="H212" s="1849"/>
      <c r="I212" s="1849"/>
      <c r="J212" s="2546"/>
      <c r="K212" s="2546"/>
      <c r="L212" s="2546"/>
      <c r="M212" s="2546"/>
      <c r="N212" s="2546"/>
      <c r="O212" s="2724"/>
      <c r="P212" s="2725"/>
      <c r="Q212" s="2725"/>
      <c r="R212" s="2725"/>
      <c r="S212" s="2725"/>
    </row>
    <row r="213" spans="2:19" hidden="1">
      <c r="B213" s="27" t="s">
        <v>7378</v>
      </c>
      <c r="C213" s="1041">
        <v>0.06</v>
      </c>
      <c r="D213" s="1844"/>
      <c r="E213" s="105"/>
      <c r="F213" s="1849"/>
      <c r="G213" s="1849"/>
      <c r="H213" s="1849"/>
      <c r="I213" s="1849"/>
      <c r="J213" s="2546"/>
      <c r="K213" s="2546"/>
      <c r="L213" s="2546"/>
      <c r="M213" s="2546"/>
      <c r="N213" s="2546"/>
      <c r="O213" s="2724"/>
      <c r="P213" s="2725"/>
      <c r="Q213" s="2725"/>
      <c r="R213" s="2725"/>
      <c r="S213" s="2725"/>
    </row>
    <row r="214" spans="2:19" hidden="1">
      <c r="B214" s="27" t="s">
        <v>7379</v>
      </c>
      <c r="C214" s="1041">
        <v>0</v>
      </c>
      <c r="D214" s="1844"/>
      <c r="E214" s="105"/>
      <c r="F214" s="1849"/>
      <c r="G214" s="1849"/>
      <c r="H214" s="1849"/>
      <c r="I214" s="1849"/>
      <c r="J214" s="2546"/>
      <c r="K214" s="2546"/>
      <c r="L214" s="2546"/>
      <c r="M214" s="2546"/>
      <c r="N214" s="2546"/>
      <c r="O214" s="2724"/>
      <c r="P214" s="2725"/>
      <c r="Q214" s="2725"/>
      <c r="R214" s="2725"/>
      <c r="S214" s="2725"/>
    </row>
    <row r="215" spans="2:19" hidden="1">
      <c r="B215" s="27" t="s">
        <v>7494</v>
      </c>
      <c r="C215" s="1041">
        <f>C212*0.93</f>
        <v>1.0106310000000001</v>
      </c>
      <c r="D215" s="1844"/>
      <c r="E215" s="105"/>
      <c r="F215" s="1849"/>
      <c r="G215" s="1849"/>
      <c r="H215" s="1849"/>
      <c r="I215" s="1849"/>
      <c r="J215" s="2546"/>
      <c r="K215" s="2546"/>
      <c r="L215" s="2546"/>
      <c r="M215" s="2546"/>
      <c r="N215" s="2546"/>
      <c r="O215" s="2724"/>
      <c r="P215" s="2725"/>
      <c r="Q215" s="2725"/>
      <c r="R215" s="2725"/>
      <c r="S215" s="2725"/>
    </row>
    <row r="216" spans="2:19" hidden="1">
      <c r="B216" s="27" t="s">
        <v>7495</v>
      </c>
      <c r="C216" s="1041">
        <v>0.06</v>
      </c>
      <c r="D216" s="1844"/>
      <c r="E216" s="105"/>
      <c r="F216" s="1849"/>
      <c r="G216" s="1849"/>
      <c r="H216" s="1849"/>
      <c r="I216" s="1849"/>
      <c r="J216" s="2546"/>
      <c r="K216" s="2546"/>
      <c r="L216" s="2546"/>
      <c r="M216" s="2546"/>
      <c r="N216" s="2546"/>
      <c r="O216" s="2724"/>
      <c r="P216" s="2725"/>
      <c r="Q216" s="2725"/>
      <c r="R216" s="2725"/>
      <c r="S216" s="2725"/>
    </row>
    <row r="217" spans="2:19" hidden="1">
      <c r="B217" s="27" t="s">
        <v>7496</v>
      </c>
      <c r="C217" s="1042">
        <f>C214*(31.95/48.24)</f>
        <v>0</v>
      </c>
      <c r="D217" s="1844"/>
      <c r="E217" s="105"/>
      <c r="F217" s="1849"/>
      <c r="G217" s="1849"/>
      <c r="H217" s="1849"/>
      <c r="I217" s="1849"/>
      <c r="J217" s="2546"/>
      <c r="K217" s="2546"/>
      <c r="L217" s="2546"/>
      <c r="M217" s="2546"/>
      <c r="N217" s="2546"/>
      <c r="O217" s="2724"/>
      <c r="P217" s="2725"/>
      <c r="Q217" s="2725"/>
      <c r="R217" s="2725"/>
      <c r="S217" s="2725"/>
    </row>
    <row r="218" spans="2:19" hidden="1">
      <c r="B218" s="1043" t="s">
        <v>7497</v>
      </c>
      <c r="C218" s="1044">
        <f>SUM(C215:C217)</f>
        <v>1.0706310000000001</v>
      </c>
      <c r="D218" s="1844"/>
      <c r="E218" s="105"/>
      <c r="F218" s="1849"/>
      <c r="G218" s="1849"/>
      <c r="H218" s="1849"/>
      <c r="I218" s="1849"/>
      <c r="J218" s="2546"/>
      <c r="K218" s="2546"/>
      <c r="L218" s="2546"/>
      <c r="M218" s="2546"/>
      <c r="N218" s="2546"/>
      <c r="O218" s="2724"/>
      <c r="P218" s="2725"/>
      <c r="Q218" s="2725"/>
      <c r="R218" s="2725"/>
      <c r="S218" s="2725"/>
    </row>
    <row r="219" spans="2:19" hidden="1">
      <c r="C219" s="526"/>
      <c r="D219" s="1844"/>
      <c r="E219" s="105"/>
      <c r="F219" s="1849"/>
      <c r="G219" s="1849"/>
      <c r="H219" s="1849"/>
      <c r="I219" s="1849"/>
      <c r="J219" s="2546"/>
      <c r="K219" s="2546"/>
      <c r="L219" s="2546"/>
      <c r="M219" s="2546"/>
      <c r="N219" s="2546"/>
      <c r="O219" s="2724"/>
      <c r="P219" s="2725"/>
      <c r="Q219" s="2725"/>
      <c r="R219" s="2725"/>
      <c r="S219" s="2725"/>
    </row>
    <row r="220" spans="2:19">
      <c r="C220" s="1183" t="s">
        <v>8252</v>
      </c>
      <c r="D220" s="1835">
        <f>'Data Entry - SOF'!C72</f>
        <v>0</v>
      </c>
      <c r="E220" s="1835">
        <f>'Data Entry - SOF'!E72</f>
        <v>0</v>
      </c>
      <c r="F220" s="1850" t="e">
        <f t="shared" ref="F220:H220" si="130">TRUNC(MAX(F206*0.9,F207),4)</f>
        <v>#DIV/0!</v>
      </c>
      <c r="G220" s="1850" t="e">
        <f t="shared" si="130"/>
        <v>#DIV/0!</v>
      </c>
      <c r="H220" s="1850" t="e">
        <f t="shared" si="130"/>
        <v>#DIV/0!</v>
      </c>
      <c r="I220" s="1850" t="e">
        <f t="shared" ref="I220" si="131">TRUNC(MAX(I206*0.9,I207),4)</f>
        <v>#DIV/0!</v>
      </c>
      <c r="J220" s="2547" t="e">
        <f t="shared" ref="J220:R220" si="132">TRUNC(MAX(J206*0.9,J207),4)</f>
        <v>#DIV/0!</v>
      </c>
      <c r="K220" s="2547" t="e">
        <f t="shared" si="132"/>
        <v>#DIV/0!</v>
      </c>
      <c r="L220" s="2547" t="e">
        <f t="shared" si="132"/>
        <v>#DIV/0!</v>
      </c>
      <c r="M220" s="2547" t="e">
        <f t="shared" si="132"/>
        <v>#DIV/0!</v>
      </c>
      <c r="N220" s="2547" t="e">
        <f t="shared" ref="N220" si="133">TRUNC(MAX(N206*0.9,N207),4)</f>
        <v>#DIV/0!</v>
      </c>
      <c r="O220" s="2726" t="e">
        <f t="shared" si="132"/>
        <v>#DIV/0!</v>
      </c>
      <c r="P220" s="2727" t="e">
        <f t="shared" si="132"/>
        <v>#DIV/0!</v>
      </c>
      <c r="Q220" s="2727" t="e">
        <f t="shared" si="132"/>
        <v>#DIV/0!</v>
      </c>
      <c r="R220" s="2727" t="e">
        <f t="shared" si="132"/>
        <v>#DIV/0!</v>
      </c>
      <c r="S220" s="2727" t="e">
        <f t="shared" ref="S220" si="134">TRUNC(MAX(S206*0.9,S207),4)</f>
        <v>#DIV/0!</v>
      </c>
    </row>
    <row r="221" spans="2:19">
      <c r="B221" s="432"/>
      <c r="C221" s="1183"/>
      <c r="H221" s="866"/>
      <c r="I221" s="866"/>
      <c r="J221" s="866"/>
      <c r="K221" s="866"/>
    </row>
    <row r="222" spans="2:19">
      <c r="D222" s="2633" t="s">
        <v>10712</v>
      </c>
      <c r="E222" s="2633" t="s">
        <v>10712</v>
      </c>
      <c r="H222" s="866"/>
      <c r="I222" s="866"/>
      <c r="J222" s="866"/>
      <c r="K222" s="866"/>
    </row>
    <row r="223" spans="2:19">
      <c r="C223" s="1765" t="s">
        <v>8255</v>
      </c>
      <c r="D223" s="3139">
        <f>TRUNC(D206*0.9,4)</f>
        <v>0.82199999999999995</v>
      </c>
      <c r="E223" s="571">
        <f>TRUNC(E206*0.9,4)</f>
        <v>0.80459999999999998</v>
      </c>
      <c r="H223" s="866"/>
      <c r="I223" s="866"/>
      <c r="J223" s="866"/>
      <c r="K223" s="866"/>
    </row>
    <row r="224" spans="2:19">
      <c r="D224" s="1834"/>
      <c r="H224" s="866"/>
      <c r="I224" s="866"/>
      <c r="J224" s="866"/>
      <c r="K224" s="866"/>
    </row>
    <row r="225" spans="2:11">
      <c r="D225" s="1835" t="e">
        <f>TRUNC(MAX(D206*0.9,D207),4)</f>
        <v>#DIV/0!</v>
      </c>
      <c r="E225" s="1835" t="e">
        <f>TRUNC(MAX(E206*0.9,E207),4)</f>
        <v>#DIV/0!</v>
      </c>
      <c r="H225" s="866"/>
      <c r="I225" s="866"/>
      <c r="J225" s="866"/>
      <c r="K225" s="866"/>
    </row>
    <row r="226" spans="2:11">
      <c r="B226" s="524"/>
      <c r="H226" s="866"/>
      <c r="I226" s="866"/>
      <c r="J226" s="866"/>
      <c r="K226" s="866"/>
    </row>
    <row r="227" spans="2:11">
      <c r="B227" s="524"/>
    </row>
    <row r="228" spans="2:11">
      <c r="B228" s="524"/>
    </row>
    <row r="229" spans="2:11">
      <c r="B229" s="524"/>
    </row>
    <row r="230" spans="2:11">
      <c r="B230" s="524"/>
    </row>
    <row r="231" spans="2:11">
      <c r="B231" s="524"/>
    </row>
    <row r="232" spans="2:11">
      <c r="B232" s="524"/>
    </row>
  </sheetData>
  <phoneticPr fontId="24" type="noConversion"/>
  <pageMargins left="0.25" right="0.25" top="0.5" bottom="0.5" header="0.5" footer="0.5"/>
  <pageSetup scale="55" orientation="landscape" r:id="rId1"/>
  <headerFooter alignWithMargins="0"/>
  <rowBreaks count="1" manualBreakCount="1">
    <brk id="52" max="1638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O56"/>
  <sheetViews>
    <sheetView topLeftCell="A28" workbookViewId="0">
      <selection activeCell="D32" sqref="D32"/>
    </sheetView>
  </sheetViews>
  <sheetFormatPr defaultColWidth="8.7265625" defaultRowHeight="12.5"/>
  <cols>
    <col min="1" max="1" width="8.1796875" style="2042" customWidth="1"/>
    <col min="2" max="2" width="88" style="2042" customWidth="1"/>
    <col min="3" max="3" width="3.54296875" style="2042" customWidth="1"/>
    <col min="4" max="4" width="22.7265625" style="2042" customWidth="1"/>
    <col min="5" max="5" width="0" style="2042" hidden="1" customWidth="1"/>
    <col min="6" max="6" width="17" style="2042" hidden="1" customWidth="1"/>
    <col min="7" max="7" width="0" style="2042" hidden="1" customWidth="1"/>
    <col min="8" max="8" width="70.7265625" style="2042" customWidth="1"/>
    <col min="9" max="9" width="8.7265625" style="2042"/>
    <col min="10" max="10" width="18.54296875" style="2042" customWidth="1"/>
    <col min="11" max="11" width="24.1796875" style="2042" customWidth="1"/>
    <col min="12" max="12" width="8.7265625" style="2042"/>
    <col min="13" max="13" width="19.81640625" style="2042" customWidth="1"/>
    <col min="14" max="14" width="9.7265625" style="2042" bestFit="1" customWidth="1"/>
    <col min="15" max="16384" width="8.7265625" style="2042"/>
  </cols>
  <sheetData>
    <row r="1" spans="1:8" ht="13">
      <c r="A1" s="662" t="s">
        <v>2716</v>
      </c>
      <c r="D1" s="1894" t="str">
        <f>'Data Entry - SOF'!M1</f>
        <v>Release 2</v>
      </c>
    </row>
    <row r="2" spans="1:8" ht="13">
      <c r="A2" s="662" t="s">
        <v>2717</v>
      </c>
      <c r="D2" s="2058">
        <f>'Data Entry - SOF'!M2</f>
        <v>44930</v>
      </c>
    </row>
    <row r="4" spans="1:8" ht="15.5">
      <c r="A4" s="2039" t="s">
        <v>9263</v>
      </c>
    </row>
    <row r="5" spans="1:8" ht="15.5">
      <c r="A5" s="248"/>
    </row>
    <row r="6" spans="1:8" ht="15.5">
      <c r="A6" s="246">
        <f>'Report-SOF2122-HB1525'!A6</f>
        <v>0</v>
      </c>
    </row>
    <row r="8" spans="1:8" ht="17.5">
      <c r="A8" s="2385"/>
      <c r="B8" s="2386"/>
      <c r="C8" s="2386"/>
      <c r="D8" s="2387" t="s">
        <v>2631</v>
      </c>
    </row>
    <row r="9" spans="1:8" ht="18">
      <c r="A9" s="2055"/>
      <c r="B9" s="2059" t="s">
        <v>8698</v>
      </c>
      <c r="C9" s="2059"/>
      <c r="D9" s="2388" t="s">
        <v>2628</v>
      </c>
    </row>
    <row r="10" spans="1:8" ht="20.149999999999999" customHeight="1">
      <c r="A10" s="2185" t="s">
        <v>2063</v>
      </c>
      <c r="B10" s="2186" t="s">
        <v>8904</v>
      </c>
      <c r="C10" s="2186"/>
      <c r="D10" s="2195" t="s">
        <v>8928</v>
      </c>
      <c r="H10" s="2164" t="s">
        <v>9271</v>
      </c>
    </row>
    <row r="11" spans="1:8" ht="20.149999999999999" customHeight="1">
      <c r="A11" s="2185" t="s">
        <v>2064</v>
      </c>
      <c r="B11" s="2186" t="s">
        <v>8905</v>
      </c>
      <c r="C11" s="2186"/>
      <c r="D11" s="2195" t="s">
        <v>8928</v>
      </c>
      <c r="H11" s="992" t="s">
        <v>9269</v>
      </c>
    </row>
    <row r="12" spans="1:8" ht="20.149999999999999" customHeight="1">
      <c r="B12" s="2186" t="s">
        <v>8906</v>
      </c>
      <c r="C12" s="2186"/>
      <c r="D12" s="2187"/>
      <c r="H12" s="992" t="s">
        <v>9270</v>
      </c>
    </row>
    <row r="13" spans="1:8" ht="20.149999999999999" customHeight="1">
      <c r="A13" s="2185" t="s">
        <v>2065</v>
      </c>
      <c r="B13" s="2186" t="s">
        <v>8907</v>
      </c>
      <c r="C13" s="2186"/>
      <c r="D13" s="2195" t="s">
        <v>8928</v>
      </c>
      <c r="H13" s="2165" t="s">
        <v>9273</v>
      </c>
    </row>
    <row r="14" spans="1:8" ht="20.149999999999999" customHeight="1">
      <c r="A14" s="2185" t="s">
        <v>862</v>
      </c>
      <c r="B14" s="2186" t="s">
        <v>8908</v>
      </c>
      <c r="C14" s="2186"/>
      <c r="D14" s="2195" t="s">
        <v>8928</v>
      </c>
    </row>
    <row r="15" spans="1:8" ht="20.149999999999999" customHeight="1">
      <c r="A15" s="2185" t="s">
        <v>863</v>
      </c>
      <c r="B15" s="2186" t="s">
        <v>8909</v>
      </c>
      <c r="C15" s="2186"/>
      <c r="D15" s="2195" t="s">
        <v>8928</v>
      </c>
    </row>
    <row r="16" spans="1:8" ht="20.149999999999999" customHeight="1">
      <c r="A16" s="2185" t="s">
        <v>865</v>
      </c>
      <c r="B16" s="2186" t="s">
        <v>8910</v>
      </c>
      <c r="C16" s="2186"/>
      <c r="D16" s="2195" t="s">
        <v>8928</v>
      </c>
      <c r="G16" s="105">
        <v>5.8299999999999998E-2</v>
      </c>
    </row>
    <row r="17" spans="1:7" ht="20.149999999999999" customHeight="1">
      <c r="A17" s="2185" t="s">
        <v>866</v>
      </c>
      <c r="B17" s="2186" t="s">
        <v>8911</v>
      </c>
      <c r="C17" s="2186"/>
      <c r="D17" s="2195" t="s">
        <v>8928</v>
      </c>
      <c r="E17" s="105">
        <v>0.93</v>
      </c>
      <c r="F17" s="105">
        <v>0.08</v>
      </c>
      <c r="G17" s="105">
        <f>MIN(0.0583,G16)</f>
        <v>5.8299999999999998E-2</v>
      </c>
    </row>
    <row r="18" spans="1:7" ht="20.149999999999999" customHeight="1">
      <c r="A18" s="2185"/>
      <c r="B18" s="2186" t="s">
        <v>8912</v>
      </c>
      <c r="C18" s="2186"/>
      <c r="D18" s="2187"/>
    </row>
    <row r="19" spans="1:7" ht="20.149999999999999" customHeight="1">
      <c r="A19" s="2185"/>
      <c r="B19" s="2186" t="s">
        <v>8913</v>
      </c>
      <c r="C19" s="2186"/>
      <c r="D19" s="2187"/>
    </row>
    <row r="20" spans="1:7" ht="20.149999999999999" customHeight="1">
      <c r="A20" s="2185" t="s">
        <v>867</v>
      </c>
      <c r="B20" s="2186" t="s">
        <v>8914</v>
      </c>
      <c r="C20" s="2186"/>
      <c r="D20" s="2195" t="s">
        <v>8928</v>
      </c>
    </row>
    <row r="21" spans="1:7" ht="20.149999999999999" customHeight="1">
      <c r="A21" s="2185" t="s">
        <v>109</v>
      </c>
      <c r="B21" s="2186" t="s">
        <v>8915</v>
      </c>
      <c r="C21" s="2186"/>
      <c r="D21" s="2195" t="s">
        <v>8928</v>
      </c>
    </row>
    <row r="22" spans="1:7" ht="20.149999999999999" customHeight="1">
      <c r="A22" s="2389"/>
      <c r="B22" s="2186" t="s">
        <v>8916</v>
      </c>
      <c r="C22" s="2186"/>
      <c r="D22" s="2187"/>
    </row>
    <row r="23" spans="1:7" ht="20.149999999999999" customHeight="1">
      <c r="A23" s="2185" t="s">
        <v>110</v>
      </c>
      <c r="B23" s="2186" t="s">
        <v>8917</v>
      </c>
      <c r="C23" s="2186"/>
      <c r="D23" s="2195" t="s">
        <v>8928</v>
      </c>
    </row>
    <row r="24" spans="1:7" ht="20.149999999999999" customHeight="1">
      <c r="A24" s="2389"/>
      <c r="B24" s="2186" t="s">
        <v>8918</v>
      </c>
      <c r="C24" s="2186"/>
      <c r="D24" s="2187"/>
    </row>
    <row r="25" spans="1:7" ht="20.149999999999999" customHeight="1">
      <c r="A25" s="2185" t="s">
        <v>111</v>
      </c>
      <c r="B25" s="2186" t="s">
        <v>8919</v>
      </c>
      <c r="C25" s="2186"/>
      <c r="D25" s="2195" t="s">
        <v>8928</v>
      </c>
    </row>
    <row r="26" spans="1:7" ht="20.149999999999999" customHeight="1">
      <c r="A26" s="2185" t="s">
        <v>112</v>
      </c>
      <c r="B26" s="2186" t="s">
        <v>8699</v>
      </c>
      <c r="C26" s="2186"/>
      <c r="D26" s="2195" t="s">
        <v>8928</v>
      </c>
    </row>
    <row r="27" spans="1:7" ht="20.149999999999999" customHeight="1">
      <c r="A27" s="2185" t="s">
        <v>1424</v>
      </c>
      <c r="B27" s="2186" t="s">
        <v>8700</v>
      </c>
      <c r="C27" s="2186"/>
      <c r="D27" s="2195" t="s">
        <v>8928</v>
      </c>
    </row>
    <row r="28" spans="1:7" ht="20.149999999999999" customHeight="1">
      <c r="A28" s="2185" t="s">
        <v>6</v>
      </c>
      <c r="B28" s="2186" t="s">
        <v>8701</v>
      </c>
      <c r="C28" s="2186"/>
      <c r="D28" s="2195" t="s">
        <v>8928</v>
      </c>
    </row>
    <row r="29" spans="1:7" ht="20.149999999999999" customHeight="1">
      <c r="A29" s="2185" t="s">
        <v>2109</v>
      </c>
      <c r="B29" s="2186" t="s">
        <v>8702</v>
      </c>
      <c r="C29" s="2186"/>
      <c r="D29" s="2195" t="s">
        <v>8928</v>
      </c>
    </row>
    <row r="30" spans="1:7" ht="20.149999999999999" customHeight="1">
      <c r="A30" s="2394" t="s">
        <v>2110</v>
      </c>
      <c r="B30" s="2395" t="s">
        <v>10382</v>
      </c>
      <c r="C30" s="2395"/>
      <c r="D30" s="3233">
        <f>'Data Entry - SOF'!C145</f>
        <v>0</v>
      </c>
    </row>
    <row r="31" spans="1:7" ht="20.149999999999999" customHeight="1">
      <c r="A31" s="2185" t="s">
        <v>2562</v>
      </c>
      <c r="B31" s="2186" t="s">
        <v>9266</v>
      </c>
      <c r="C31" s="2186"/>
      <c r="D31" s="2390">
        <f>'Data Entry - SOF'!C19</f>
        <v>0</v>
      </c>
    </row>
    <row r="32" spans="1:7" ht="20.149999999999999" customHeight="1">
      <c r="A32" s="2185" t="s">
        <v>2563</v>
      </c>
      <c r="B32" s="2186" t="s">
        <v>9264</v>
      </c>
      <c r="C32" s="2186"/>
      <c r="D32" s="2187">
        <f>D30*D31</f>
        <v>0</v>
      </c>
    </row>
    <row r="33" spans="1:8" ht="12" customHeight="1">
      <c r="A33" s="2391"/>
      <c r="B33" s="2056"/>
      <c r="C33" s="2056"/>
      <c r="D33" s="2392"/>
    </row>
    <row r="34" spans="1:8" ht="20.149999999999999" customHeight="1">
      <c r="A34" s="2057"/>
      <c r="B34" s="2060" t="s">
        <v>7461</v>
      </c>
      <c r="C34" s="2060"/>
      <c r="D34" s="2393"/>
    </row>
    <row r="35" spans="1:8" ht="20.149999999999999" customHeight="1">
      <c r="A35" s="2185" t="s">
        <v>2564</v>
      </c>
      <c r="B35" s="2186" t="s">
        <v>9265</v>
      </c>
      <c r="C35" s="2186"/>
      <c r="D35" s="2986" t="e">
        <f>'SOF2122-HB3'!I122+'SOF2122-HB3'!I126</f>
        <v>#N/A</v>
      </c>
      <c r="H35" s="2038" t="s">
        <v>11033</v>
      </c>
    </row>
    <row r="36" spans="1:8" ht="20.149999999999999" customHeight="1">
      <c r="A36" s="2394" t="s">
        <v>2565</v>
      </c>
      <c r="B36" s="2186" t="s">
        <v>10706</v>
      </c>
      <c r="C36" s="2186"/>
      <c r="D36" s="2187" t="e">
        <f>IF(D32&lt;=D35,0,D32-D35)</f>
        <v>#N/A</v>
      </c>
    </row>
    <row r="37" spans="1:8" ht="20.149999999999999" customHeight="1">
      <c r="A37" s="2185"/>
      <c r="B37" s="2186" t="s">
        <v>10707</v>
      </c>
      <c r="C37" s="2186"/>
      <c r="D37" s="2187"/>
    </row>
    <row r="38" spans="1:8" ht="20.149999999999999" customHeight="1">
      <c r="A38" s="2394" t="s">
        <v>2566</v>
      </c>
      <c r="B38" s="2429" t="s">
        <v>10708</v>
      </c>
      <c r="C38" s="2429"/>
      <c r="D38" s="2631" t="e">
        <f>D36</f>
        <v>#N/A</v>
      </c>
      <c r="H38" s="36" t="s">
        <v>10752</v>
      </c>
    </row>
    <row r="39" spans="1:8" ht="20.149999999999999" customHeight="1">
      <c r="A39" s="41"/>
      <c r="B39" s="719" t="s">
        <v>8703</v>
      </c>
      <c r="C39" s="719"/>
      <c r="D39" s="2031" t="s">
        <v>9267</v>
      </c>
    </row>
    <row r="40" spans="1:8" ht="20.149999999999999" customHeight="1">
      <c r="A40" s="41"/>
    </row>
    <row r="41" spans="1:8" ht="20.149999999999999" customHeight="1">
      <c r="A41" s="41"/>
      <c r="D41" s="326"/>
    </row>
    <row r="42" spans="1:8" ht="20.149999999999999" customHeight="1">
      <c r="A42" s="41"/>
    </row>
    <row r="43" spans="1:8" ht="20.149999999999999" customHeight="1">
      <c r="A43" s="41"/>
    </row>
    <row r="44" spans="1:8" ht="20.149999999999999" customHeight="1"/>
    <row r="45" spans="1:8" ht="20.149999999999999" customHeight="1"/>
    <row r="46" spans="1:8" ht="20.149999999999999" customHeight="1"/>
    <row r="47" spans="1:8" ht="20.149999999999999" customHeight="1"/>
    <row r="48" spans="1:8" ht="20.149999999999999" customHeight="1"/>
    <row r="49" spans="11:15" ht="20.149999999999999" customHeight="1"/>
    <row r="50" spans="11:15" ht="20.149999999999999" customHeight="1"/>
    <row r="51" spans="11:15" ht="20.149999999999999" customHeight="1">
      <c r="M51" s="2043"/>
      <c r="N51" s="2043"/>
      <c r="O51" s="2043"/>
    </row>
    <row r="52" spans="11:15" ht="20.149999999999999" customHeight="1">
      <c r="M52" s="2043"/>
      <c r="N52" s="2043"/>
      <c r="O52" s="2043"/>
    </row>
    <row r="53" spans="11:15" ht="20.149999999999999" customHeight="1">
      <c r="K53" s="2043"/>
      <c r="L53" s="2043"/>
      <c r="M53" s="2043"/>
      <c r="N53" s="2043"/>
      <c r="O53" s="2043"/>
    </row>
    <row r="54" spans="11:15" ht="20.149999999999999" customHeight="1">
      <c r="K54" s="2043"/>
      <c r="L54" s="2043"/>
      <c r="M54" s="2043"/>
      <c r="N54" s="2043"/>
      <c r="O54" s="2043"/>
    </row>
    <row r="55" spans="11:15">
      <c r="K55" s="2043"/>
      <c r="L55" s="2043"/>
      <c r="M55" s="2043"/>
      <c r="N55" s="2043"/>
      <c r="O55" s="2043"/>
    </row>
    <row r="56" spans="11:15">
      <c r="K56" s="2043"/>
      <c r="L56" s="2043"/>
      <c r="M56" s="2043"/>
      <c r="N56" s="2043"/>
      <c r="O56" s="2043"/>
    </row>
  </sheetData>
  <hyperlinks>
    <hyperlink ref="D39" location="'OtherDetail2122-HB3'!A1" display="'OtherDetail2122-HB3'!A1" xr:uid="{00000000-0004-0000-1C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742"/>
  <sheetViews>
    <sheetView topLeftCell="A2339" workbookViewId="0">
      <selection activeCell="C2" sqref="C2"/>
    </sheetView>
  </sheetViews>
  <sheetFormatPr defaultRowHeight="12.5"/>
  <cols>
    <col min="3" max="3" width="29.453125" customWidth="1"/>
    <col min="4" max="7" width="21.54296875" style="41" customWidth="1"/>
    <col min="8" max="9" width="21.54296875" style="2043" customWidth="1"/>
    <col min="10" max="10" width="21.54296875" customWidth="1"/>
    <col min="11" max="12" width="21.54296875" style="2043" customWidth="1"/>
    <col min="13" max="13" width="14.26953125" customWidth="1"/>
    <col min="14" max="14" width="17.90625" customWidth="1"/>
  </cols>
  <sheetData>
    <row r="1" spans="1:14" s="41" customFormat="1">
      <c r="A1" s="41" t="s">
        <v>3349</v>
      </c>
      <c r="C1" s="41" t="s">
        <v>7088</v>
      </c>
      <c r="D1" s="41" t="s">
        <v>7089</v>
      </c>
      <c r="E1" s="41" t="s">
        <v>3350</v>
      </c>
      <c r="F1" s="41" t="s">
        <v>3351</v>
      </c>
      <c r="G1" s="41" t="s">
        <v>3352</v>
      </c>
      <c r="H1" s="186" t="s">
        <v>7090</v>
      </c>
      <c r="I1" s="186" t="s">
        <v>7091</v>
      </c>
      <c r="J1" s="41" t="s">
        <v>7092</v>
      </c>
      <c r="K1" s="186" t="s">
        <v>7093</v>
      </c>
      <c r="L1" s="186" t="s">
        <v>7094</v>
      </c>
      <c r="M1" s="41" t="s">
        <v>7095</v>
      </c>
      <c r="N1" s="41" t="s">
        <v>9289</v>
      </c>
    </row>
    <row r="2" spans="1:14">
      <c r="A2" t="s">
        <v>2849</v>
      </c>
      <c r="B2" t="s">
        <v>1847</v>
      </c>
      <c r="C2" t="s">
        <v>266</v>
      </c>
      <c r="D2" s="41">
        <v>10</v>
      </c>
      <c r="E2" s="41">
        <v>1801</v>
      </c>
      <c r="F2" s="41" t="s">
        <v>3354</v>
      </c>
      <c r="G2" s="41" t="s">
        <v>3354</v>
      </c>
      <c r="H2" s="2043">
        <v>319250</v>
      </c>
      <c r="I2" s="2043">
        <v>0</v>
      </c>
      <c r="J2">
        <v>0</v>
      </c>
      <c r="K2" s="2043">
        <v>0</v>
      </c>
      <c r="L2" s="2043">
        <v>0</v>
      </c>
      <c r="M2">
        <v>599</v>
      </c>
      <c r="N2">
        <v>1</v>
      </c>
    </row>
    <row r="3" spans="1:14">
      <c r="A3" t="s">
        <v>2849</v>
      </c>
      <c r="B3" t="s">
        <v>1847</v>
      </c>
      <c r="C3" t="s">
        <v>266</v>
      </c>
      <c r="D3" s="41">
        <v>10</v>
      </c>
      <c r="E3" s="41">
        <v>1801</v>
      </c>
      <c r="F3" s="41" t="s">
        <v>3354</v>
      </c>
      <c r="G3" s="41" t="s">
        <v>7096</v>
      </c>
      <c r="H3" s="2043">
        <v>319250</v>
      </c>
      <c r="I3" s="2043">
        <v>635350</v>
      </c>
      <c r="J3">
        <v>0.67247036409822203</v>
      </c>
      <c r="K3" s="2043">
        <v>214686.16373835699</v>
      </c>
      <c r="L3" s="2043">
        <v>214686.16373835699</v>
      </c>
      <c r="M3">
        <v>599</v>
      </c>
      <c r="N3">
        <v>1</v>
      </c>
    </row>
    <row r="4" spans="1:14">
      <c r="A4" t="s">
        <v>2849</v>
      </c>
      <c r="B4" t="s">
        <v>1847</v>
      </c>
      <c r="C4" t="s">
        <v>266</v>
      </c>
      <c r="D4" s="41">
        <v>10</v>
      </c>
      <c r="E4" s="41">
        <v>1801</v>
      </c>
      <c r="F4" s="41" t="s">
        <v>3354</v>
      </c>
      <c r="G4" s="41" t="s">
        <v>8552</v>
      </c>
      <c r="H4" s="2043">
        <v>319250</v>
      </c>
      <c r="I4" s="2043">
        <v>309450</v>
      </c>
      <c r="J4">
        <v>0.32752963590177803</v>
      </c>
      <c r="K4" s="2043">
        <v>104563.83626164299</v>
      </c>
      <c r="L4" s="2043">
        <v>104563.83626164299</v>
      </c>
      <c r="M4">
        <v>599</v>
      </c>
      <c r="N4">
        <v>1</v>
      </c>
    </row>
    <row r="5" spans="1:14">
      <c r="A5" t="s">
        <v>4918</v>
      </c>
      <c r="B5" t="s">
        <v>14</v>
      </c>
      <c r="C5" t="s">
        <v>267</v>
      </c>
      <c r="D5" s="41">
        <v>11</v>
      </c>
      <c r="E5" s="41">
        <v>2543</v>
      </c>
      <c r="F5" s="41" t="s">
        <v>7097</v>
      </c>
      <c r="G5" s="41" t="s">
        <v>7097</v>
      </c>
      <c r="H5" s="2043">
        <v>195039</v>
      </c>
      <c r="I5" s="2043">
        <v>247700</v>
      </c>
      <c r="J5">
        <v>1</v>
      </c>
      <c r="K5" s="2043">
        <v>195039</v>
      </c>
      <c r="L5" s="2043">
        <v>195039</v>
      </c>
      <c r="M5">
        <v>599</v>
      </c>
      <c r="N5">
        <v>1</v>
      </c>
    </row>
    <row r="6" spans="1:14">
      <c r="A6" t="s">
        <v>2850</v>
      </c>
      <c r="B6" t="s">
        <v>16</v>
      </c>
      <c r="C6" t="s">
        <v>269</v>
      </c>
      <c r="D6" s="41">
        <v>10</v>
      </c>
      <c r="E6" s="41">
        <v>2170</v>
      </c>
      <c r="F6" s="41" t="s">
        <v>3355</v>
      </c>
      <c r="G6" s="41" t="s">
        <v>3355</v>
      </c>
      <c r="H6" s="2043">
        <v>751572</v>
      </c>
      <c r="I6" s="2043">
        <v>0</v>
      </c>
      <c r="J6">
        <v>0</v>
      </c>
      <c r="K6" s="2043">
        <v>0</v>
      </c>
      <c r="L6" s="2043">
        <v>0</v>
      </c>
      <c r="M6">
        <v>599</v>
      </c>
      <c r="N6">
        <v>1</v>
      </c>
    </row>
    <row r="7" spans="1:14">
      <c r="A7" t="s">
        <v>2850</v>
      </c>
      <c r="B7" t="s">
        <v>16</v>
      </c>
      <c r="C7" t="s">
        <v>269</v>
      </c>
      <c r="D7" s="41">
        <v>10</v>
      </c>
      <c r="E7" s="41">
        <v>2170</v>
      </c>
      <c r="F7" s="41" t="s">
        <v>3355</v>
      </c>
      <c r="G7" s="41" t="s">
        <v>5518</v>
      </c>
      <c r="H7" s="2043">
        <v>751572</v>
      </c>
      <c r="I7" s="2043">
        <v>3237598</v>
      </c>
      <c r="J7">
        <v>1</v>
      </c>
      <c r="K7" s="2043">
        <v>751572</v>
      </c>
      <c r="L7" s="2043">
        <v>751572</v>
      </c>
      <c r="M7">
        <v>599</v>
      </c>
      <c r="N7">
        <v>1</v>
      </c>
    </row>
    <row r="8" spans="1:14">
      <c r="A8" t="s">
        <v>4920</v>
      </c>
      <c r="B8" t="s">
        <v>1037</v>
      </c>
      <c r="C8" t="s">
        <v>1118</v>
      </c>
      <c r="D8" s="41">
        <v>11</v>
      </c>
      <c r="E8" s="41">
        <v>2578</v>
      </c>
      <c r="F8" s="41" t="s">
        <v>7098</v>
      </c>
      <c r="G8" s="41" t="s">
        <v>7098</v>
      </c>
      <c r="H8" s="2043">
        <v>100000</v>
      </c>
      <c r="I8" s="2043">
        <v>201075</v>
      </c>
      <c r="J8">
        <v>1</v>
      </c>
      <c r="K8" s="2043">
        <v>100000</v>
      </c>
      <c r="L8" s="2043">
        <v>100000</v>
      </c>
      <c r="M8">
        <v>599</v>
      </c>
      <c r="N8">
        <v>1</v>
      </c>
    </row>
    <row r="9" spans="1:14">
      <c r="A9" t="s">
        <v>2851</v>
      </c>
      <c r="B9" t="s">
        <v>635</v>
      </c>
      <c r="C9" t="s">
        <v>2249</v>
      </c>
      <c r="D9" s="41">
        <v>4</v>
      </c>
      <c r="E9" s="41">
        <v>1909</v>
      </c>
      <c r="F9" s="41" t="s">
        <v>3356</v>
      </c>
      <c r="G9" s="41" t="s">
        <v>3356</v>
      </c>
      <c r="H9" s="2043">
        <v>522310</v>
      </c>
      <c r="I9" s="2043">
        <v>0</v>
      </c>
      <c r="J9">
        <v>0</v>
      </c>
      <c r="K9" s="2043">
        <v>0</v>
      </c>
      <c r="L9" s="2043">
        <v>0</v>
      </c>
      <c r="M9">
        <v>599</v>
      </c>
      <c r="N9">
        <v>0</v>
      </c>
    </row>
    <row r="10" spans="1:14">
      <c r="A10" t="s">
        <v>2851</v>
      </c>
      <c r="B10" t="s">
        <v>635</v>
      </c>
      <c r="C10" t="s">
        <v>2249</v>
      </c>
      <c r="D10" s="41">
        <v>4</v>
      </c>
      <c r="E10" s="41">
        <v>1909</v>
      </c>
      <c r="F10" s="41" t="s">
        <v>3356</v>
      </c>
      <c r="G10" s="41" t="s">
        <v>3357</v>
      </c>
      <c r="H10" s="2043">
        <v>522310</v>
      </c>
      <c r="I10" s="2043">
        <v>0</v>
      </c>
      <c r="J10">
        <v>0</v>
      </c>
      <c r="K10" s="2043">
        <v>0</v>
      </c>
      <c r="L10" s="2043">
        <v>0</v>
      </c>
      <c r="M10">
        <v>599</v>
      </c>
      <c r="N10">
        <v>0</v>
      </c>
    </row>
    <row r="11" spans="1:14">
      <c r="A11" t="s">
        <v>2851</v>
      </c>
      <c r="B11" t="s">
        <v>635</v>
      </c>
      <c r="C11" t="s">
        <v>2249</v>
      </c>
      <c r="D11" s="41">
        <v>4</v>
      </c>
      <c r="E11" s="41">
        <v>1909</v>
      </c>
      <c r="F11" s="41" t="s">
        <v>3356</v>
      </c>
      <c r="G11" s="41" t="s">
        <v>3358</v>
      </c>
      <c r="H11" s="2043">
        <v>522310</v>
      </c>
      <c r="I11" s="2043">
        <v>444030</v>
      </c>
      <c r="J11">
        <v>1</v>
      </c>
      <c r="K11" s="2043">
        <v>522310</v>
      </c>
      <c r="L11" s="2043">
        <v>444030</v>
      </c>
      <c r="M11">
        <v>599</v>
      </c>
      <c r="N11">
        <v>1</v>
      </c>
    </row>
    <row r="12" spans="1:14">
      <c r="A12" t="s">
        <v>2851</v>
      </c>
      <c r="B12" t="s">
        <v>635</v>
      </c>
      <c r="C12" t="s">
        <v>2249</v>
      </c>
      <c r="D12" s="41">
        <v>9</v>
      </c>
      <c r="E12" s="41">
        <v>1910</v>
      </c>
      <c r="F12" s="41" t="s">
        <v>3359</v>
      </c>
      <c r="G12" s="41" t="s">
        <v>3359</v>
      </c>
      <c r="H12" s="2043">
        <v>578788</v>
      </c>
      <c r="I12" s="2043">
        <v>0</v>
      </c>
      <c r="J12">
        <v>0</v>
      </c>
      <c r="K12" s="2043">
        <v>0</v>
      </c>
      <c r="L12" s="2043">
        <v>0</v>
      </c>
      <c r="M12">
        <v>599</v>
      </c>
      <c r="N12">
        <v>1</v>
      </c>
    </row>
    <row r="13" spans="1:14">
      <c r="A13" t="s">
        <v>2851</v>
      </c>
      <c r="B13" t="s">
        <v>635</v>
      </c>
      <c r="C13" t="s">
        <v>2249</v>
      </c>
      <c r="D13" s="41">
        <v>9</v>
      </c>
      <c r="E13" s="41">
        <v>1910</v>
      </c>
      <c r="F13" s="41" t="s">
        <v>3359</v>
      </c>
      <c r="G13" s="41" t="s">
        <v>5519</v>
      </c>
      <c r="H13" s="2043">
        <v>578788</v>
      </c>
      <c r="I13" s="2043">
        <v>519036</v>
      </c>
      <c r="J13">
        <v>1</v>
      </c>
      <c r="K13" s="2043">
        <v>578788</v>
      </c>
      <c r="L13" s="2043">
        <v>519036</v>
      </c>
      <c r="M13">
        <v>599</v>
      </c>
      <c r="N13">
        <v>1</v>
      </c>
    </row>
    <row r="14" spans="1:14">
      <c r="A14" t="s">
        <v>2851</v>
      </c>
      <c r="B14" t="s">
        <v>635</v>
      </c>
      <c r="C14" t="s">
        <v>2249</v>
      </c>
      <c r="D14" s="41">
        <v>10</v>
      </c>
      <c r="E14" s="41">
        <v>1908</v>
      </c>
      <c r="F14" s="41" t="s">
        <v>3360</v>
      </c>
      <c r="G14" s="41" t="s">
        <v>3360</v>
      </c>
      <c r="H14" s="2043">
        <v>61268</v>
      </c>
      <c r="I14" s="2043">
        <v>0</v>
      </c>
      <c r="J14">
        <v>0</v>
      </c>
      <c r="K14" s="2043">
        <v>0</v>
      </c>
      <c r="L14" s="2043">
        <v>0</v>
      </c>
      <c r="M14">
        <v>599</v>
      </c>
      <c r="N14">
        <v>1</v>
      </c>
    </row>
    <row r="15" spans="1:14">
      <c r="A15" t="s">
        <v>2851</v>
      </c>
      <c r="B15" t="s">
        <v>635</v>
      </c>
      <c r="C15" t="s">
        <v>2249</v>
      </c>
      <c r="D15" s="41">
        <v>10</v>
      </c>
      <c r="E15" s="41">
        <v>1908</v>
      </c>
      <c r="F15" s="41" t="s">
        <v>3360</v>
      </c>
      <c r="G15" s="41" t="s">
        <v>7099</v>
      </c>
      <c r="H15" s="2043">
        <v>61268</v>
      </c>
      <c r="I15" s="2043">
        <v>153003</v>
      </c>
      <c r="J15">
        <v>1</v>
      </c>
      <c r="K15" s="2043">
        <v>61268</v>
      </c>
      <c r="L15" s="2043">
        <v>61268</v>
      </c>
      <c r="M15">
        <v>599</v>
      </c>
      <c r="N15">
        <v>1</v>
      </c>
    </row>
    <row r="16" spans="1:14">
      <c r="A16" t="s">
        <v>2851</v>
      </c>
      <c r="B16" t="s">
        <v>635</v>
      </c>
      <c r="C16" t="s">
        <v>2249</v>
      </c>
      <c r="D16" s="41">
        <v>10</v>
      </c>
      <c r="E16" s="41">
        <v>1908</v>
      </c>
      <c r="F16" s="41" t="s">
        <v>3360</v>
      </c>
      <c r="G16" s="41" t="s">
        <v>7100</v>
      </c>
      <c r="H16" s="2043">
        <v>61268</v>
      </c>
      <c r="I16" s="2043">
        <v>0</v>
      </c>
      <c r="J16">
        <v>0</v>
      </c>
      <c r="K16" s="2043">
        <v>0</v>
      </c>
      <c r="L16" s="2043">
        <v>0</v>
      </c>
      <c r="M16">
        <v>599</v>
      </c>
      <c r="N16">
        <v>1</v>
      </c>
    </row>
    <row r="17" spans="1:14">
      <c r="A17" t="s">
        <v>2852</v>
      </c>
      <c r="B17" t="s">
        <v>1053</v>
      </c>
      <c r="C17" t="s">
        <v>1192</v>
      </c>
      <c r="D17" s="41">
        <v>3</v>
      </c>
      <c r="E17" s="41">
        <v>1916</v>
      </c>
      <c r="F17" s="41" t="s">
        <v>3361</v>
      </c>
      <c r="G17" s="41" t="s">
        <v>3361</v>
      </c>
      <c r="H17" s="2043">
        <v>73837</v>
      </c>
      <c r="I17" s="2043">
        <v>0</v>
      </c>
      <c r="J17">
        <v>0</v>
      </c>
      <c r="K17" s="2043">
        <v>0</v>
      </c>
      <c r="L17" s="2043">
        <v>0</v>
      </c>
      <c r="M17">
        <v>599</v>
      </c>
      <c r="N17">
        <v>0</v>
      </c>
    </row>
    <row r="18" spans="1:14">
      <c r="A18" t="s">
        <v>2852</v>
      </c>
      <c r="B18" t="s">
        <v>1053</v>
      </c>
      <c r="C18" t="s">
        <v>1192</v>
      </c>
      <c r="D18" s="41">
        <v>3</v>
      </c>
      <c r="E18" s="41">
        <v>1916</v>
      </c>
      <c r="F18" s="41" t="s">
        <v>3361</v>
      </c>
      <c r="G18" s="41" t="s">
        <v>3362</v>
      </c>
      <c r="H18" s="2043">
        <v>73837</v>
      </c>
      <c r="I18" s="2043">
        <v>443759</v>
      </c>
      <c r="J18">
        <v>1</v>
      </c>
      <c r="K18" s="2043">
        <v>73837</v>
      </c>
      <c r="L18" s="2043">
        <v>73837</v>
      </c>
      <c r="M18">
        <v>599</v>
      </c>
      <c r="N18">
        <v>1</v>
      </c>
    </row>
    <row r="19" spans="1:14">
      <c r="A19" t="s">
        <v>2852</v>
      </c>
      <c r="B19" t="s">
        <v>1053</v>
      </c>
      <c r="C19" t="s">
        <v>1192</v>
      </c>
      <c r="D19" s="41">
        <v>3</v>
      </c>
      <c r="E19" s="41">
        <v>1917</v>
      </c>
      <c r="F19" s="41" t="s">
        <v>3363</v>
      </c>
      <c r="G19" s="41" t="s">
        <v>3363</v>
      </c>
      <c r="H19" s="2043">
        <v>254314</v>
      </c>
      <c r="I19" s="2043">
        <v>0</v>
      </c>
      <c r="J19">
        <v>0</v>
      </c>
      <c r="K19" s="2043">
        <v>0</v>
      </c>
      <c r="L19" s="2043">
        <v>0</v>
      </c>
      <c r="M19">
        <v>599</v>
      </c>
      <c r="N19">
        <v>0</v>
      </c>
    </row>
    <row r="20" spans="1:14">
      <c r="A20" t="s">
        <v>2852</v>
      </c>
      <c r="B20" t="s">
        <v>1053</v>
      </c>
      <c r="C20" t="s">
        <v>1192</v>
      </c>
      <c r="D20" s="41">
        <v>3</v>
      </c>
      <c r="E20" s="41">
        <v>1917</v>
      </c>
      <c r="F20" s="41" t="s">
        <v>3363</v>
      </c>
      <c r="G20" s="41" t="s">
        <v>3362</v>
      </c>
      <c r="H20" s="2043">
        <v>254314</v>
      </c>
      <c r="I20" s="2043">
        <v>212257</v>
      </c>
      <c r="J20">
        <v>1</v>
      </c>
      <c r="K20" s="2043">
        <v>254314</v>
      </c>
      <c r="L20" s="2043">
        <v>212257</v>
      </c>
      <c r="M20">
        <v>599</v>
      </c>
      <c r="N20">
        <v>1</v>
      </c>
    </row>
    <row r="21" spans="1:14">
      <c r="A21" t="s">
        <v>2852</v>
      </c>
      <c r="B21" t="s">
        <v>1053</v>
      </c>
      <c r="C21" t="s">
        <v>1192</v>
      </c>
      <c r="D21" s="41">
        <v>9</v>
      </c>
      <c r="E21" s="41">
        <v>1918</v>
      </c>
      <c r="F21" s="41" t="s">
        <v>3364</v>
      </c>
      <c r="G21" s="41" t="s">
        <v>3364</v>
      </c>
      <c r="H21" s="2043">
        <v>393008</v>
      </c>
      <c r="I21" s="2043">
        <v>0</v>
      </c>
      <c r="J21">
        <v>0</v>
      </c>
      <c r="K21" s="2043">
        <v>0</v>
      </c>
      <c r="L21" s="2043">
        <v>0</v>
      </c>
      <c r="M21">
        <v>599</v>
      </c>
      <c r="N21">
        <v>1</v>
      </c>
    </row>
    <row r="22" spans="1:14">
      <c r="A22" t="s">
        <v>2852</v>
      </c>
      <c r="B22" t="s">
        <v>1053</v>
      </c>
      <c r="C22" t="s">
        <v>1192</v>
      </c>
      <c r="D22" s="41">
        <v>9</v>
      </c>
      <c r="E22" s="41">
        <v>1918</v>
      </c>
      <c r="F22" s="41" t="s">
        <v>3364</v>
      </c>
      <c r="G22" s="41" t="s">
        <v>5334</v>
      </c>
      <c r="H22" s="2043">
        <v>393008</v>
      </c>
      <c r="I22" s="2043">
        <v>422386</v>
      </c>
      <c r="J22">
        <v>0.81673195840407098</v>
      </c>
      <c r="K22" s="2043">
        <v>320982.193508467</v>
      </c>
      <c r="L22" s="2043">
        <v>320982.193508467</v>
      </c>
      <c r="M22">
        <v>599</v>
      </c>
      <c r="N22">
        <v>1</v>
      </c>
    </row>
    <row r="23" spans="1:14">
      <c r="A23" t="s">
        <v>2852</v>
      </c>
      <c r="B23" t="s">
        <v>1053</v>
      </c>
      <c r="C23" t="s">
        <v>1192</v>
      </c>
      <c r="D23" s="41">
        <v>9</v>
      </c>
      <c r="E23" s="41">
        <v>1918</v>
      </c>
      <c r="F23" s="41" t="s">
        <v>3364</v>
      </c>
      <c r="G23" s="41" t="s">
        <v>5520</v>
      </c>
      <c r="H23" s="2043">
        <v>393008</v>
      </c>
      <c r="I23" s="2043">
        <v>94780</v>
      </c>
      <c r="J23">
        <v>0.18326804159592899</v>
      </c>
      <c r="K23" s="2043">
        <v>72025.806491532698</v>
      </c>
      <c r="L23" s="2043">
        <v>72025.806491532698</v>
      </c>
      <c r="M23">
        <v>599</v>
      </c>
      <c r="N23">
        <v>1</v>
      </c>
    </row>
    <row r="24" spans="1:14">
      <c r="A24" t="s">
        <v>2853</v>
      </c>
      <c r="B24" t="s">
        <v>320</v>
      </c>
      <c r="C24" t="s">
        <v>1121</v>
      </c>
      <c r="D24" s="41">
        <v>10</v>
      </c>
      <c r="E24" s="41">
        <v>1762</v>
      </c>
      <c r="F24" s="41" t="s">
        <v>3365</v>
      </c>
      <c r="G24" s="41" t="s">
        <v>3365</v>
      </c>
      <c r="H24" s="2043">
        <v>437500</v>
      </c>
      <c r="I24" s="2043">
        <v>0</v>
      </c>
      <c r="J24">
        <v>0</v>
      </c>
      <c r="K24" s="2043">
        <v>0</v>
      </c>
      <c r="L24" s="2043">
        <v>0</v>
      </c>
      <c r="M24">
        <v>599</v>
      </c>
      <c r="N24">
        <v>1</v>
      </c>
    </row>
    <row r="25" spans="1:14">
      <c r="A25" t="s">
        <v>2853</v>
      </c>
      <c r="B25" t="s">
        <v>320</v>
      </c>
      <c r="C25" t="s">
        <v>1121</v>
      </c>
      <c r="D25" s="41">
        <v>10</v>
      </c>
      <c r="E25" s="41">
        <v>1762</v>
      </c>
      <c r="F25" s="41" t="s">
        <v>3365</v>
      </c>
      <c r="G25" s="41" t="s">
        <v>7101</v>
      </c>
      <c r="H25" s="2043">
        <v>437500</v>
      </c>
      <c r="I25" s="2043">
        <v>277751</v>
      </c>
      <c r="J25">
        <v>0.65918994095198302</v>
      </c>
      <c r="K25" s="2043">
        <v>288395.59916649299</v>
      </c>
      <c r="L25" s="2043">
        <v>277751</v>
      </c>
      <c r="M25">
        <v>599</v>
      </c>
      <c r="N25">
        <v>1</v>
      </c>
    </row>
    <row r="26" spans="1:14">
      <c r="A26" t="s">
        <v>2853</v>
      </c>
      <c r="B26" t="s">
        <v>320</v>
      </c>
      <c r="C26" t="s">
        <v>1121</v>
      </c>
      <c r="D26" s="41">
        <v>10</v>
      </c>
      <c r="E26" s="41">
        <v>1762</v>
      </c>
      <c r="F26" s="41" t="s">
        <v>3365</v>
      </c>
      <c r="G26" s="41" t="s">
        <v>8553</v>
      </c>
      <c r="H26" s="2043">
        <v>437500</v>
      </c>
      <c r="I26" s="2043">
        <v>143601</v>
      </c>
      <c r="J26">
        <v>0.34081005904801698</v>
      </c>
      <c r="K26" s="2043">
        <v>149104.40083350701</v>
      </c>
      <c r="L26" s="2043">
        <v>143601</v>
      </c>
      <c r="M26">
        <v>599</v>
      </c>
      <c r="N26">
        <v>1</v>
      </c>
    </row>
    <row r="27" spans="1:14">
      <c r="A27" t="s">
        <v>2854</v>
      </c>
      <c r="B27" t="s">
        <v>322</v>
      </c>
      <c r="C27" t="s">
        <v>1123</v>
      </c>
      <c r="D27" s="41">
        <v>9</v>
      </c>
      <c r="E27" s="41">
        <v>1676</v>
      </c>
      <c r="F27" s="41" t="s">
        <v>3366</v>
      </c>
      <c r="G27" s="41" t="s">
        <v>3366</v>
      </c>
      <c r="H27" s="2043">
        <v>393343</v>
      </c>
      <c r="I27" s="2043">
        <v>322109</v>
      </c>
      <c r="J27">
        <v>0.55909277105087796</v>
      </c>
      <c r="K27" s="2043">
        <v>219915.22784346499</v>
      </c>
      <c r="L27" s="2043">
        <v>219915.22784346499</v>
      </c>
      <c r="M27">
        <v>599</v>
      </c>
      <c r="N27">
        <v>1</v>
      </c>
    </row>
    <row r="28" spans="1:14">
      <c r="A28" t="s">
        <v>2854</v>
      </c>
      <c r="B28" t="s">
        <v>322</v>
      </c>
      <c r="C28" t="s">
        <v>1123</v>
      </c>
      <c r="D28" s="41">
        <v>9</v>
      </c>
      <c r="E28" s="41">
        <v>1676</v>
      </c>
      <c r="F28" s="41" t="s">
        <v>3366</v>
      </c>
      <c r="G28" s="41" t="s">
        <v>5521</v>
      </c>
      <c r="H28" s="2043">
        <v>393343</v>
      </c>
      <c r="I28" s="2043">
        <v>254019</v>
      </c>
      <c r="J28">
        <v>0.44090722894912199</v>
      </c>
      <c r="K28" s="2043">
        <v>173427.77215653501</v>
      </c>
      <c r="L28" s="2043">
        <v>173427.77215653501</v>
      </c>
      <c r="M28">
        <v>599</v>
      </c>
      <c r="N28">
        <v>1</v>
      </c>
    </row>
    <row r="29" spans="1:14">
      <c r="A29" t="s">
        <v>4926</v>
      </c>
      <c r="B29" t="s">
        <v>2341</v>
      </c>
      <c r="C29" t="s">
        <v>1126</v>
      </c>
      <c r="D29" s="41">
        <v>11</v>
      </c>
      <c r="E29" s="41">
        <v>2552</v>
      </c>
      <c r="F29" s="41" t="s">
        <v>7102</v>
      </c>
      <c r="G29" s="41" t="s">
        <v>7102</v>
      </c>
      <c r="H29" s="2043">
        <v>229248</v>
      </c>
      <c r="I29" s="2043">
        <v>527150</v>
      </c>
      <c r="J29">
        <v>1</v>
      </c>
      <c r="K29" s="2043">
        <v>229248</v>
      </c>
      <c r="L29" s="2043">
        <v>229248</v>
      </c>
      <c r="M29">
        <v>599</v>
      </c>
      <c r="N29">
        <v>1</v>
      </c>
    </row>
    <row r="30" spans="1:14">
      <c r="A30" t="s">
        <v>2855</v>
      </c>
      <c r="B30" t="s">
        <v>1838</v>
      </c>
      <c r="C30" t="s">
        <v>1061</v>
      </c>
      <c r="D30" s="41">
        <v>6</v>
      </c>
      <c r="E30" s="41">
        <v>2458</v>
      </c>
      <c r="F30" s="41" t="s">
        <v>3367</v>
      </c>
      <c r="G30" s="41" t="s">
        <v>3367</v>
      </c>
      <c r="H30" s="2043">
        <v>108848</v>
      </c>
      <c r="I30" s="2043">
        <v>0</v>
      </c>
      <c r="J30">
        <v>0</v>
      </c>
      <c r="K30" s="2043">
        <v>0</v>
      </c>
      <c r="L30" s="2043">
        <v>0</v>
      </c>
      <c r="M30">
        <v>599</v>
      </c>
      <c r="N30">
        <v>0</v>
      </c>
    </row>
    <row r="31" spans="1:14">
      <c r="A31" t="s">
        <v>2855</v>
      </c>
      <c r="B31" t="s">
        <v>1838</v>
      </c>
      <c r="C31" t="s">
        <v>1061</v>
      </c>
      <c r="D31" s="41">
        <v>6</v>
      </c>
      <c r="E31" s="41">
        <v>2458</v>
      </c>
      <c r="F31" s="41" t="s">
        <v>3367</v>
      </c>
      <c r="G31" s="41" t="s">
        <v>3368</v>
      </c>
      <c r="H31" s="2043">
        <v>108848</v>
      </c>
      <c r="I31" s="2043">
        <v>173031</v>
      </c>
      <c r="J31">
        <v>0.51728251121076196</v>
      </c>
      <c r="K31" s="2043">
        <v>56305.166780269101</v>
      </c>
      <c r="L31" s="2043">
        <v>56305.166780269101</v>
      </c>
      <c r="M31">
        <v>599</v>
      </c>
      <c r="N31">
        <v>1</v>
      </c>
    </row>
    <row r="32" spans="1:14">
      <c r="A32" t="s">
        <v>2855</v>
      </c>
      <c r="B32" t="s">
        <v>1838</v>
      </c>
      <c r="C32" t="s">
        <v>1061</v>
      </c>
      <c r="D32" s="41">
        <v>6</v>
      </c>
      <c r="E32" s="41">
        <v>2458</v>
      </c>
      <c r="F32" s="41" t="s">
        <v>3367</v>
      </c>
      <c r="G32" s="41" t="s">
        <v>9290</v>
      </c>
      <c r="H32" s="2043">
        <v>108848</v>
      </c>
      <c r="I32" s="2043">
        <v>161469</v>
      </c>
      <c r="J32">
        <v>0.48271748878923798</v>
      </c>
      <c r="K32" s="2043">
        <v>52542.833219730899</v>
      </c>
      <c r="L32" s="2043">
        <v>52542.833219730899</v>
      </c>
      <c r="M32">
        <v>599</v>
      </c>
      <c r="N32">
        <v>1</v>
      </c>
    </row>
    <row r="33" spans="1:14">
      <c r="A33" t="s">
        <v>2856</v>
      </c>
      <c r="B33" t="s">
        <v>667</v>
      </c>
      <c r="C33" t="s">
        <v>620</v>
      </c>
      <c r="D33" s="41">
        <v>4</v>
      </c>
      <c r="E33" s="41">
        <v>1684</v>
      </c>
      <c r="F33" s="41" t="s">
        <v>3369</v>
      </c>
      <c r="G33" s="41" t="s">
        <v>3369</v>
      </c>
      <c r="H33" s="2043">
        <v>121726</v>
      </c>
      <c r="I33" s="2043">
        <v>0</v>
      </c>
      <c r="J33">
        <v>0</v>
      </c>
      <c r="K33" s="2043">
        <v>0</v>
      </c>
      <c r="L33" s="2043">
        <v>0</v>
      </c>
      <c r="M33">
        <v>599</v>
      </c>
      <c r="N33">
        <v>0</v>
      </c>
    </row>
    <row r="34" spans="1:14">
      <c r="A34" t="s">
        <v>2856</v>
      </c>
      <c r="B34" t="s">
        <v>667</v>
      </c>
      <c r="C34" t="s">
        <v>620</v>
      </c>
      <c r="D34" s="41">
        <v>4</v>
      </c>
      <c r="E34" s="41">
        <v>1684</v>
      </c>
      <c r="F34" s="41" t="s">
        <v>3369</v>
      </c>
      <c r="G34" s="41" t="s">
        <v>3370</v>
      </c>
      <c r="H34" s="2043">
        <v>121726</v>
      </c>
      <c r="I34" s="2043">
        <v>0</v>
      </c>
      <c r="J34">
        <v>0</v>
      </c>
      <c r="K34" s="2043">
        <v>0</v>
      </c>
      <c r="L34" s="2043">
        <v>0</v>
      </c>
      <c r="M34">
        <v>599</v>
      </c>
      <c r="N34">
        <v>1</v>
      </c>
    </row>
    <row r="35" spans="1:14">
      <c r="A35" t="s">
        <v>2856</v>
      </c>
      <c r="B35" t="s">
        <v>667</v>
      </c>
      <c r="C35" t="s">
        <v>620</v>
      </c>
      <c r="D35" s="41">
        <v>4</v>
      </c>
      <c r="E35" s="41">
        <v>1684</v>
      </c>
      <c r="F35" s="41" t="s">
        <v>3369</v>
      </c>
      <c r="G35" s="41" t="s">
        <v>3371</v>
      </c>
      <c r="H35" s="2043">
        <v>121726</v>
      </c>
      <c r="I35" s="2043">
        <v>106476</v>
      </c>
      <c r="J35">
        <v>1</v>
      </c>
      <c r="K35" s="2043">
        <v>121726</v>
      </c>
      <c r="L35" s="2043">
        <v>106476</v>
      </c>
      <c r="M35">
        <v>599</v>
      </c>
      <c r="N35">
        <v>1</v>
      </c>
    </row>
    <row r="36" spans="1:14">
      <c r="A36" t="s">
        <v>2856</v>
      </c>
      <c r="B36" t="s">
        <v>667</v>
      </c>
      <c r="C36" t="s">
        <v>620</v>
      </c>
      <c r="D36" s="41">
        <v>5</v>
      </c>
      <c r="E36" s="41">
        <v>1683</v>
      </c>
      <c r="F36" s="41" t="s">
        <v>3372</v>
      </c>
      <c r="G36" s="41" t="s">
        <v>3372</v>
      </c>
      <c r="H36" s="2043">
        <v>116170</v>
      </c>
      <c r="I36" s="2043">
        <v>0</v>
      </c>
      <c r="J36">
        <v>0</v>
      </c>
      <c r="K36" s="2043">
        <v>0</v>
      </c>
      <c r="L36" s="2043">
        <v>0</v>
      </c>
      <c r="M36">
        <v>599</v>
      </c>
      <c r="N36">
        <v>0</v>
      </c>
    </row>
    <row r="37" spans="1:14">
      <c r="A37" t="s">
        <v>2856</v>
      </c>
      <c r="B37" t="s">
        <v>667</v>
      </c>
      <c r="C37" t="s">
        <v>620</v>
      </c>
      <c r="D37" s="41">
        <v>5</v>
      </c>
      <c r="E37" s="41">
        <v>1683</v>
      </c>
      <c r="F37" s="41" t="s">
        <v>3372</v>
      </c>
      <c r="G37" s="41" t="s">
        <v>3370</v>
      </c>
      <c r="H37" s="2043">
        <v>116170</v>
      </c>
      <c r="I37" s="2043">
        <v>0</v>
      </c>
      <c r="J37">
        <v>0</v>
      </c>
      <c r="K37" s="2043">
        <v>0</v>
      </c>
      <c r="L37" s="2043">
        <v>0</v>
      </c>
      <c r="M37">
        <v>599</v>
      </c>
      <c r="N37">
        <v>1</v>
      </c>
    </row>
    <row r="38" spans="1:14">
      <c r="A38" t="s">
        <v>2856</v>
      </c>
      <c r="B38" t="s">
        <v>667</v>
      </c>
      <c r="C38" t="s">
        <v>620</v>
      </c>
      <c r="D38" s="41">
        <v>5</v>
      </c>
      <c r="E38" s="41">
        <v>1683</v>
      </c>
      <c r="F38" s="41" t="s">
        <v>3372</v>
      </c>
      <c r="G38" s="41" t="s">
        <v>3371</v>
      </c>
      <c r="H38" s="2043">
        <v>116170</v>
      </c>
      <c r="I38" s="2043">
        <v>109406</v>
      </c>
      <c r="J38">
        <v>1</v>
      </c>
      <c r="K38" s="2043">
        <v>116170</v>
      </c>
      <c r="L38" s="2043">
        <v>109406</v>
      </c>
      <c r="M38">
        <v>599</v>
      </c>
      <c r="N38">
        <v>1</v>
      </c>
    </row>
    <row r="39" spans="1:14">
      <c r="A39" t="s">
        <v>2856</v>
      </c>
      <c r="B39" t="s">
        <v>667</v>
      </c>
      <c r="C39" t="s">
        <v>620</v>
      </c>
      <c r="D39" s="41">
        <v>9</v>
      </c>
      <c r="E39" s="41">
        <v>1682</v>
      </c>
      <c r="F39" s="41" t="s">
        <v>3373</v>
      </c>
      <c r="G39" s="41" t="s">
        <v>3373</v>
      </c>
      <c r="H39" s="2043">
        <v>35459</v>
      </c>
      <c r="I39" s="2043">
        <v>0</v>
      </c>
      <c r="J39">
        <v>0</v>
      </c>
      <c r="K39" s="2043">
        <v>0</v>
      </c>
      <c r="L39" s="2043">
        <v>0</v>
      </c>
      <c r="M39">
        <v>599</v>
      </c>
      <c r="N39">
        <v>1</v>
      </c>
    </row>
    <row r="40" spans="1:14">
      <c r="A40" t="s">
        <v>2856</v>
      </c>
      <c r="B40" t="s">
        <v>667</v>
      </c>
      <c r="C40" t="s">
        <v>620</v>
      </c>
      <c r="D40" s="41">
        <v>9</v>
      </c>
      <c r="E40" s="41">
        <v>1682</v>
      </c>
      <c r="F40" s="41" t="s">
        <v>3373</v>
      </c>
      <c r="G40" s="41" t="s">
        <v>7103</v>
      </c>
      <c r="H40" s="2043">
        <v>35459</v>
      </c>
      <c r="I40" s="2043">
        <v>25674</v>
      </c>
      <c r="J40">
        <v>1</v>
      </c>
      <c r="K40" s="2043">
        <v>35459</v>
      </c>
      <c r="L40" s="2043">
        <v>25674</v>
      </c>
      <c r="M40">
        <v>599</v>
      </c>
      <c r="N40">
        <v>1</v>
      </c>
    </row>
    <row r="41" spans="1:14">
      <c r="A41" t="s">
        <v>2857</v>
      </c>
      <c r="B41" t="s">
        <v>1976</v>
      </c>
      <c r="C41" t="s">
        <v>1129</v>
      </c>
      <c r="D41" s="41">
        <v>10</v>
      </c>
      <c r="E41" s="41">
        <v>2048</v>
      </c>
      <c r="F41" s="41" t="s">
        <v>3374</v>
      </c>
      <c r="G41" s="41" t="s">
        <v>3374</v>
      </c>
      <c r="H41" s="2043">
        <v>399219</v>
      </c>
      <c r="I41" s="2043">
        <v>0</v>
      </c>
      <c r="J41">
        <v>0</v>
      </c>
      <c r="K41" s="2043">
        <v>0</v>
      </c>
      <c r="L41" s="2043">
        <v>0</v>
      </c>
      <c r="M41">
        <v>599</v>
      </c>
      <c r="N41">
        <v>1</v>
      </c>
    </row>
    <row r="42" spans="1:14">
      <c r="A42" t="s">
        <v>2857</v>
      </c>
      <c r="B42" t="s">
        <v>1976</v>
      </c>
      <c r="C42" t="s">
        <v>1129</v>
      </c>
      <c r="D42" s="41">
        <v>10</v>
      </c>
      <c r="E42" s="41">
        <v>2048</v>
      </c>
      <c r="F42" s="41" t="s">
        <v>3374</v>
      </c>
      <c r="G42" s="41" t="s">
        <v>7104</v>
      </c>
      <c r="H42" s="2043">
        <v>399219</v>
      </c>
      <c r="I42" s="2043">
        <v>669950</v>
      </c>
      <c r="J42">
        <v>1</v>
      </c>
      <c r="K42" s="2043">
        <v>399219</v>
      </c>
      <c r="L42" s="2043">
        <v>399219</v>
      </c>
      <c r="M42">
        <v>599</v>
      </c>
      <c r="N42">
        <v>1</v>
      </c>
    </row>
    <row r="43" spans="1:14">
      <c r="A43" t="s">
        <v>2858</v>
      </c>
      <c r="B43" t="s">
        <v>199</v>
      </c>
      <c r="C43" t="s">
        <v>947</v>
      </c>
      <c r="D43" s="41">
        <v>3</v>
      </c>
      <c r="E43" s="41">
        <v>2200</v>
      </c>
      <c r="F43" s="41" t="s">
        <v>3375</v>
      </c>
      <c r="G43" s="41" t="s">
        <v>3375</v>
      </c>
      <c r="H43" s="2043">
        <v>450000</v>
      </c>
      <c r="I43" s="2043">
        <v>0</v>
      </c>
      <c r="J43">
        <v>0</v>
      </c>
      <c r="L43" s="2043">
        <v>0</v>
      </c>
      <c r="M43">
        <v>599</v>
      </c>
      <c r="N43">
        <v>0</v>
      </c>
    </row>
    <row r="44" spans="1:14">
      <c r="A44" t="s">
        <v>2858</v>
      </c>
      <c r="B44" t="s">
        <v>199</v>
      </c>
      <c r="C44" t="s">
        <v>947</v>
      </c>
      <c r="D44" s="41">
        <v>6</v>
      </c>
      <c r="E44" s="41">
        <v>2199</v>
      </c>
      <c r="F44" s="41" t="s">
        <v>3377</v>
      </c>
      <c r="G44" s="41" t="s">
        <v>3377</v>
      </c>
      <c r="H44" s="2043">
        <v>406232</v>
      </c>
      <c r="I44" s="2043">
        <v>0</v>
      </c>
      <c r="J44">
        <v>0</v>
      </c>
      <c r="K44" s="2043">
        <v>0</v>
      </c>
      <c r="L44" s="2043">
        <v>0</v>
      </c>
      <c r="M44">
        <v>599</v>
      </c>
      <c r="N44">
        <v>0</v>
      </c>
    </row>
    <row r="45" spans="1:14">
      <c r="A45" t="s">
        <v>2858</v>
      </c>
      <c r="B45" t="s">
        <v>199</v>
      </c>
      <c r="C45" t="s">
        <v>947</v>
      </c>
      <c r="D45" s="41">
        <v>6</v>
      </c>
      <c r="E45" s="41">
        <v>2199</v>
      </c>
      <c r="F45" s="41" t="s">
        <v>3377</v>
      </c>
      <c r="G45" s="41" t="s">
        <v>3376</v>
      </c>
      <c r="H45" s="2043">
        <v>406232</v>
      </c>
      <c r="I45" s="2043">
        <v>495443</v>
      </c>
      <c r="J45">
        <v>0.624177012021357</v>
      </c>
      <c r="K45" s="2043">
        <v>253560.67594746</v>
      </c>
      <c r="L45" s="2043">
        <v>253560.67594746</v>
      </c>
      <c r="M45">
        <v>599</v>
      </c>
      <c r="N45">
        <v>1</v>
      </c>
    </row>
    <row r="46" spans="1:14">
      <c r="A46" t="s">
        <v>2858</v>
      </c>
      <c r="B46" t="s">
        <v>199</v>
      </c>
      <c r="C46" t="s">
        <v>947</v>
      </c>
      <c r="D46" s="41">
        <v>6</v>
      </c>
      <c r="E46" s="41">
        <v>2199</v>
      </c>
      <c r="F46" s="41" t="s">
        <v>3377</v>
      </c>
      <c r="G46" s="41" t="s">
        <v>5522</v>
      </c>
      <c r="H46" s="2043">
        <v>406232</v>
      </c>
      <c r="I46" s="2043">
        <v>298311</v>
      </c>
      <c r="J46">
        <v>0.375822987978643</v>
      </c>
      <c r="K46" s="2043">
        <v>152671.32405254</v>
      </c>
      <c r="L46" s="2043">
        <v>152671.32405254</v>
      </c>
      <c r="M46">
        <v>599</v>
      </c>
      <c r="N46">
        <v>1</v>
      </c>
    </row>
    <row r="47" spans="1:14">
      <c r="A47" t="s">
        <v>2858</v>
      </c>
      <c r="B47" t="s">
        <v>199</v>
      </c>
      <c r="C47" t="s">
        <v>947</v>
      </c>
      <c r="D47" s="41">
        <v>9</v>
      </c>
      <c r="E47" s="41">
        <v>2198</v>
      </c>
      <c r="F47" s="41" t="s">
        <v>3378</v>
      </c>
      <c r="G47" s="41" t="s">
        <v>3378</v>
      </c>
      <c r="H47" s="2043">
        <v>212024</v>
      </c>
      <c r="I47" s="2043">
        <v>0</v>
      </c>
      <c r="J47">
        <v>0</v>
      </c>
      <c r="K47" s="2043">
        <v>0</v>
      </c>
      <c r="L47" s="2043">
        <v>0</v>
      </c>
      <c r="M47">
        <v>599</v>
      </c>
      <c r="N47">
        <v>1</v>
      </c>
    </row>
    <row r="48" spans="1:14">
      <c r="A48" t="s">
        <v>2858</v>
      </c>
      <c r="B48" t="s">
        <v>199</v>
      </c>
      <c r="C48" t="s">
        <v>947</v>
      </c>
      <c r="D48" s="41">
        <v>9</v>
      </c>
      <c r="E48" s="41">
        <v>2198</v>
      </c>
      <c r="F48" s="41" t="s">
        <v>3378</v>
      </c>
      <c r="G48" s="41" t="s">
        <v>5523</v>
      </c>
      <c r="H48" s="2043">
        <v>212024</v>
      </c>
      <c r="I48" s="2043">
        <v>301955</v>
      </c>
      <c r="J48">
        <v>1</v>
      </c>
      <c r="K48" s="2043">
        <v>212024</v>
      </c>
      <c r="L48" s="2043">
        <v>212024</v>
      </c>
      <c r="M48">
        <v>599</v>
      </c>
      <c r="N48">
        <v>1</v>
      </c>
    </row>
    <row r="49" spans="1:14">
      <c r="A49" t="s">
        <v>2859</v>
      </c>
      <c r="B49" t="s">
        <v>2014</v>
      </c>
      <c r="C49" t="s">
        <v>950</v>
      </c>
      <c r="D49" s="41">
        <v>5</v>
      </c>
      <c r="E49" s="41">
        <v>2205</v>
      </c>
      <c r="F49" s="41" t="s">
        <v>3379</v>
      </c>
      <c r="G49" s="41" t="s">
        <v>3379</v>
      </c>
      <c r="H49" s="2043">
        <v>362375</v>
      </c>
      <c r="I49" s="2043">
        <v>0</v>
      </c>
      <c r="J49">
        <v>0</v>
      </c>
      <c r="K49" s="2043">
        <v>0</v>
      </c>
      <c r="L49" s="2043">
        <v>0</v>
      </c>
      <c r="M49">
        <v>599</v>
      </c>
      <c r="N49">
        <v>0</v>
      </c>
    </row>
    <row r="50" spans="1:14">
      <c r="A50" t="s">
        <v>2859</v>
      </c>
      <c r="B50" t="s">
        <v>2014</v>
      </c>
      <c r="C50" t="s">
        <v>950</v>
      </c>
      <c r="D50" s="41">
        <v>5</v>
      </c>
      <c r="E50" s="41">
        <v>2205</v>
      </c>
      <c r="F50" s="41" t="s">
        <v>3379</v>
      </c>
      <c r="G50" s="41" t="s">
        <v>3380</v>
      </c>
      <c r="H50" s="2043">
        <v>362375</v>
      </c>
      <c r="I50" s="2043">
        <v>0</v>
      </c>
      <c r="J50">
        <v>0</v>
      </c>
      <c r="K50" s="2043">
        <v>0</v>
      </c>
      <c r="L50" s="2043">
        <v>0</v>
      </c>
      <c r="M50">
        <v>599</v>
      </c>
      <c r="N50">
        <v>1</v>
      </c>
    </row>
    <row r="51" spans="1:14">
      <c r="A51" t="s">
        <v>2859</v>
      </c>
      <c r="B51" t="s">
        <v>2014</v>
      </c>
      <c r="C51" t="s">
        <v>950</v>
      </c>
      <c r="D51" s="41">
        <v>5</v>
      </c>
      <c r="E51" s="41">
        <v>2205</v>
      </c>
      <c r="F51" s="41" t="s">
        <v>3379</v>
      </c>
      <c r="G51" s="41" t="s">
        <v>5524</v>
      </c>
      <c r="H51" s="2043">
        <v>362375</v>
      </c>
      <c r="I51" s="2043">
        <v>138952</v>
      </c>
      <c r="J51">
        <v>0.443464301557768</v>
      </c>
      <c r="K51" s="2043">
        <v>160700.37627699599</v>
      </c>
      <c r="L51" s="2043">
        <v>138952</v>
      </c>
      <c r="M51">
        <v>599</v>
      </c>
      <c r="N51">
        <v>1</v>
      </c>
    </row>
    <row r="52" spans="1:14">
      <c r="A52" t="s">
        <v>2859</v>
      </c>
      <c r="B52" t="s">
        <v>2014</v>
      </c>
      <c r="C52" t="s">
        <v>950</v>
      </c>
      <c r="D52" s="41">
        <v>5</v>
      </c>
      <c r="E52" s="41">
        <v>2205</v>
      </c>
      <c r="F52" s="41" t="s">
        <v>3379</v>
      </c>
      <c r="G52" s="41" t="s">
        <v>5903</v>
      </c>
      <c r="H52" s="2043">
        <v>362375</v>
      </c>
      <c r="I52" s="2043">
        <v>174381</v>
      </c>
      <c r="J52">
        <v>0.55653569844223205</v>
      </c>
      <c r="K52" s="2043">
        <v>201674.62372300401</v>
      </c>
      <c r="L52" s="2043">
        <v>174381</v>
      </c>
      <c r="M52">
        <v>599</v>
      </c>
      <c r="N52">
        <v>1</v>
      </c>
    </row>
    <row r="53" spans="1:14">
      <c r="A53" t="s">
        <v>2859</v>
      </c>
      <c r="B53" t="s">
        <v>2014</v>
      </c>
      <c r="C53" t="s">
        <v>950</v>
      </c>
      <c r="D53" s="41">
        <v>6</v>
      </c>
      <c r="E53" s="41">
        <v>2203</v>
      </c>
      <c r="F53" s="41" t="s">
        <v>3381</v>
      </c>
      <c r="G53" s="41" t="s">
        <v>3381</v>
      </c>
      <c r="H53" s="2043">
        <v>28625</v>
      </c>
      <c r="I53" s="2043">
        <v>0</v>
      </c>
      <c r="J53">
        <v>0</v>
      </c>
      <c r="K53" s="2043">
        <v>0</v>
      </c>
      <c r="L53" s="2043">
        <v>0</v>
      </c>
      <c r="M53">
        <v>599</v>
      </c>
      <c r="N53">
        <v>1</v>
      </c>
    </row>
    <row r="54" spans="1:14">
      <c r="A54" t="s">
        <v>2859</v>
      </c>
      <c r="B54" t="s">
        <v>2014</v>
      </c>
      <c r="C54" t="s">
        <v>950</v>
      </c>
      <c r="D54" s="41">
        <v>6</v>
      </c>
      <c r="E54" s="41">
        <v>2203</v>
      </c>
      <c r="F54" s="41" t="s">
        <v>3381</v>
      </c>
      <c r="G54" s="41" t="s">
        <v>5524</v>
      </c>
      <c r="H54" s="2043">
        <v>28625</v>
      </c>
      <c r="I54" s="2043">
        <v>26732</v>
      </c>
      <c r="J54">
        <v>1</v>
      </c>
      <c r="K54" s="2043">
        <v>28625</v>
      </c>
      <c r="L54" s="2043">
        <v>26732</v>
      </c>
      <c r="M54">
        <v>599</v>
      </c>
      <c r="N54">
        <v>1</v>
      </c>
    </row>
    <row r="55" spans="1:14">
      <c r="A55" t="s">
        <v>2859</v>
      </c>
      <c r="B55" t="s">
        <v>2014</v>
      </c>
      <c r="C55" t="s">
        <v>950</v>
      </c>
      <c r="D55" s="41">
        <v>8</v>
      </c>
      <c r="E55" s="41">
        <v>2204</v>
      </c>
      <c r="F55" s="41" t="s">
        <v>3380</v>
      </c>
      <c r="G55" s="41" t="s">
        <v>3380</v>
      </c>
      <c r="H55" s="2043">
        <v>308669</v>
      </c>
      <c r="I55" s="2043">
        <v>0</v>
      </c>
      <c r="J55">
        <v>0</v>
      </c>
      <c r="K55" s="2043">
        <v>0</v>
      </c>
      <c r="L55" s="2043">
        <v>0</v>
      </c>
      <c r="M55">
        <v>599</v>
      </c>
      <c r="N55">
        <v>1</v>
      </c>
    </row>
    <row r="56" spans="1:14">
      <c r="A56" t="s">
        <v>2859</v>
      </c>
      <c r="B56" t="s">
        <v>2014</v>
      </c>
      <c r="C56" t="s">
        <v>950</v>
      </c>
      <c r="D56" s="41">
        <v>8</v>
      </c>
      <c r="E56" s="41">
        <v>2204</v>
      </c>
      <c r="F56" s="41" t="s">
        <v>3380</v>
      </c>
      <c r="G56" s="41" t="s">
        <v>5524</v>
      </c>
      <c r="H56" s="2043">
        <v>308669</v>
      </c>
      <c r="I56" s="2043">
        <v>121691</v>
      </c>
      <c r="J56">
        <v>0.44346415946940698</v>
      </c>
      <c r="K56" s="2043">
        <v>136883.638639262</v>
      </c>
      <c r="L56" s="2043">
        <v>121691</v>
      </c>
      <c r="M56">
        <v>599</v>
      </c>
      <c r="N56">
        <v>1</v>
      </c>
    </row>
    <row r="57" spans="1:14">
      <c r="A57" t="s">
        <v>2859</v>
      </c>
      <c r="B57" t="s">
        <v>2014</v>
      </c>
      <c r="C57" t="s">
        <v>950</v>
      </c>
      <c r="D57" s="41">
        <v>8</v>
      </c>
      <c r="E57" s="41">
        <v>2204</v>
      </c>
      <c r="F57" s="41" t="s">
        <v>3380</v>
      </c>
      <c r="G57" s="41" t="s">
        <v>5903</v>
      </c>
      <c r="H57" s="2043">
        <v>308669</v>
      </c>
      <c r="I57" s="2043">
        <v>152719</v>
      </c>
      <c r="J57">
        <v>0.55653584053059302</v>
      </c>
      <c r="K57" s="2043">
        <v>171785.361360738</v>
      </c>
      <c r="L57" s="2043">
        <v>152719</v>
      </c>
      <c r="M57">
        <v>599</v>
      </c>
      <c r="N57">
        <v>1</v>
      </c>
    </row>
    <row r="58" spans="1:14">
      <c r="A58" t="s">
        <v>2859</v>
      </c>
      <c r="B58" t="s">
        <v>2014</v>
      </c>
      <c r="C58" t="s">
        <v>950</v>
      </c>
      <c r="D58" s="41">
        <v>11</v>
      </c>
      <c r="E58" s="41">
        <v>2482</v>
      </c>
      <c r="F58" s="41" t="s">
        <v>7105</v>
      </c>
      <c r="G58" s="41" t="s">
        <v>7105</v>
      </c>
      <c r="H58" s="2043">
        <v>410232</v>
      </c>
      <c r="I58" s="2043">
        <v>1348400</v>
      </c>
      <c r="J58">
        <v>1</v>
      </c>
      <c r="K58" s="2043">
        <v>410232</v>
      </c>
      <c r="L58" s="2043">
        <v>410232</v>
      </c>
      <c r="M58">
        <v>599</v>
      </c>
      <c r="N58">
        <v>1</v>
      </c>
    </row>
    <row r="59" spans="1:14">
      <c r="A59" t="s">
        <v>2860</v>
      </c>
      <c r="B59" t="s">
        <v>646</v>
      </c>
      <c r="C59" t="s">
        <v>1133</v>
      </c>
      <c r="D59" s="41">
        <v>9</v>
      </c>
      <c r="E59" s="41">
        <v>2123</v>
      </c>
      <c r="F59" s="41" t="s">
        <v>3382</v>
      </c>
      <c r="G59" s="41" t="s">
        <v>3382</v>
      </c>
      <c r="H59" s="2043">
        <v>263987</v>
      </c>
      <c r="I59" s="2043">
        <v>271286</v>
      </c>
      <c r="J59">
        <v>1</v>
      </c>
      <c r="K59" s="2043">
        <v>263987</v>
      </c>
      <c r="L59" s="2043">
        <v>263987</v>
      </c>
      <c r="M59">
        <v>599</v>
      </c>
      <c r="N59">
        <v>1</v>
      </c>
    </row>
    <row r="60" spans="1:14">
      <c r="A60" t="s">
        <v>2861</v>
      </c>
      <c r="B60" t="s">
        <v>1839</v>
      </c>
      <c r="C60" t="s">
        <v>2002</v>
      </c>
      <c r="D60" s="41">
        <v>6</v>
      </c>
      <c r="E60" s="41">
        <v>1591</v>
      </c>
      <c r="F60" s="41" t="s">
        <v>3383</v>
      </c>
      <c r="G60" s="41" t="s">
        <v>3383</v>
      </c>
      <c r="H60" s="2043">
        <v>691574</v>
      </c>
      <c r="I60" s="2043">
        <v>0</v>
      </c>
      <c r="J60">
        <v>0</v>
      </c>
      <c r="K60" s="2043">
        <v>0</v>
      </c>
      <c r="L60" s="2043">
        <v>0</v>
      </c>
      <c r="M60">
        <v>599</v>
      </c>
      <c r="N60">
        <v>0</v>
      </c>
    </row>
    <row r="61" spans="1:14">
      <c r="A61" t="s">
        <v>2861</v>
      </c>
      <c r="B61" t="s">
        <v>1839</v>
      </c>
      <c r="C61" t="s">
        <v>2002</v>
      </c>
      <c r="D61" s="41">
        <v>6</v>
      </c>
      <c r="E61" s="41">
        <v>1591</v>
      </c>
      <c r="F61" s="41" t="s">
        <v>3383</v>
      </c>
      <c r="G61" s="41" t="s">
        <v>3384</v>
      </c>
      <c r="H61" s="2043">
        <v>691574</v>
      </c>
      <c r="I61" s="2043">
        <v>1375494</v>
      </c>
      <c r="J61">
        <v>0.53006202773984101</v>
      </c>
      <c r="K61" s="2043">
        <v>366577.11677215301</v>
      </c>
      <c r="L61" s="2043">
        <v>366577.11677215301</v>
      </c>
      <c r="M61">
        <v>599</v>
      </c>
      <c r="N61">
        <v>1</v>
      </c>
    </row>
    <row r="62" spans="1:14">
      <c r="A62" t="s">
        <v>2861</v>
      </c>
      <c r="B62" t="s">
        <v>1839</v>
      </c>
      <c r="C62" t="s">
        <v>2002</v>
      </c>
      <c r="D62" s="41">
        <v>6</v>
      </c>
      <c r="E62" s="41">
        <v>1591</v>
      </c>
      <c r="F62" s="41" t="s">
        <v>3383</v>
      </c>
      <c r="G62" s="41" t="s">
        <v>8613</v>
      </c>
      <c r="H62" s="2043">
        <v>691574</v>
      </c>
      <c r="I62" s="2043">
        <v>1219474</v>
      </c>
      <c r="J62">
        <v>0.46993797226015899</v>
      </c>
      <c r="K62" s="2043">
        <v>324996.88322784699</v>
      </c>
      <c r="L62" s="2043">
        <v>324996.88322784699</v>
      </c>
      <c r="M62">
        <v>599</v>
      </c>
      <c r="N62">
        <v>1</v>
      </c>
    </row>
    <row r="63" spans="1:14">
      <c r="A63" t="s">
        <v>2862</v>
      </c>
      <c r="B63" t="s">
        <v>1589</v>
      </c>
      <c r="C63" t="s">
        <v>2004</v>
      </c>
      <c r="D63" s="41">
        <v>3</v>
      </c>
      <c r="E63" s="41">
        <v>1596</v>
      </c>
      <c r="F63" s="41" t="s">
        <v>3385</v>
      </c>
      <c r="G63" s="41" t="s">
        <v>3385</v>
      </c>
      <c r="H63" s="2043">
        <v>1423475</v>
      </c>
      <c r="I63" s="2043">
        <v>2732725</v>
      </c>
      <c r="J63">
        <v>0.78293544673640902</v>
      </c>
      <c r="K63" s="2043">
        <v>1114489.0350431099</v>
      </c>
      <c r="L63" s="2043">
        <v>1114489.0350431099</v>
      </c>
      <c r="M63">
        <v>599</v>
      </c>
      <c r="N63">
        <v>1</v>
      </c>
    </row>
    <row r="64" spans="1:14">
      <c r="A64" t="s">
        <v>2862</v>
      </c>
      <c r="B64" t="s">
        <v>1589</v>
      </c>
      <c r="C64" t="s">
        <v>2004</v>
      </c>
      <c r="D64" s="41">
        <v>3</v>
      </c>
      <c r="E64" s="41">
        <v>1596</v>
      </c>
      <c r="F64" s="41" t="s">
        <v>3385</v>
      </c>
      <c r="G64" s="41" t="s">
        <v>3386</v>
      </c>
      <c r="H64" s="2043">
        <v>1423475</v>
      </c>
      <c r="I64" s="2043">
        <v>0</v>
      </c>
      <c r="J64">
        <v>0</v>
      </c>
      <c r="K64" s="2043">
        <v>0</v>
      </c>
      <c r="L64" s="2043">
        <v>0</v>
      </c>
      <c r="M64">
        <v>599</v>
      </c>
      <c r="N64">
        <v>0</v>
      </c>
    </row>
    <row r="65" spans="1:14">
      <c r="A65" t="s">
        <v>2862</v>
      </c>
      <c r="B65" t="s">
        <v>1589</v>
      </c>
      <c r="C65" t="s">
        <v>2004</v>
      </c>
      <c r="D65" s="41">
        <v>3</v>
      </c>
      <c r="E65" s="41">
        <v>1596</v>
      </c>
      <c r="F65" s="41" t="s">
        <v>3385</v>
      </c>
      <c r="G65" s="41" t="s">
        <v>3387</v>
      </c>
      <c r="H65" s="2043">
        <v>1423475</v>
      </c>
      <c r="I65" s="2043">
        <v>0</v>
      </c>
      <c r="J65">
        <v>0</v>
      </c>
      <c r="K65" s="2043">
        <v>0</v>
      </c>
      <c r="L65" s="2043">
        <v>0</v>
      </c>
      <c r="M65">
        <v>599</v>
      </c>
      <c r="N65">
        <v>0</v>
      </c>
    </row>
    <row r="66" spans="1:14">
      <c r="A66" t="s">
        <v>2862</v>
      </c>
      <c r="B66" t="s">
        <v>1589</v>
      </c>
      <c r="C66" t="s">
        <v>2004</v>
      </c>
      <c r="D66" s="41">
        <v>3</v>
      </c>
      <c r="E66" s="41">
        <v>1596</v>
      </c>
      <c r="F66" s="41" t="s">
        <v>3385</v>
      </c>
      <c r="G66" s="41" t="s">
        <v>3388</v>
      </c>
      <c r="H66" s="2043">
        <v>1423475</v>
      </c>
      <c r="I66" s="2043">
        <v>702337</v>
      </c>
      <c r="J66">
        <v>0.20122205229377599</v>
      </c>
      <c r="K66" s="2043">
        <v>286434.56088888302</v>
      </c>
      <c r="L66" s="2043">
        <v>286434.56088888302</v>
      </c>
      <c r="M66">
        <v>599</v>
      </c>
      <c r="N66">
        <v>1</v>
      </c>
    </row>
    <row r="67" spans="1:14">
      <c r="A67" t="s">
        <v>2862</v>
      </c>
      <c r="B67" t="s">
        <v>1589</v>
      </c>
      <c r="C67" t="s">
        <v>2004</v>
      </c>
      <c r="D67" s="41">
        <v>3</v>
      </c>
      <c r="E67" s="41">
        <v>1596</v>
      </c>
      <c r="F67" s="41" t="s">
        <v>3385</v>
      </c>
      <c r="G67" s="41" t="s">
        <v>5336</v>
      </c>
      <c r="H67" s="2043">
        <v>1423475</v>
      </c>
      <c r="I67" s="2043">
        <v>47760</v>
      </c>
      <c r="J67">
        <v>1.36834101258381E-2</v>
      </c>
      <c r="K67" s="2043">
        <v>19477.9922288774</v>
      </c>
      <c r="L67" s="2043">
        <v>19477.9922288774</v>
      </c>
      <c r="M67">
        <v>599</v>
      </c>
      <c r="N67">
        <v>1</v>
      </c>
    </row>
    <row r="68" spans="1:14">
      <c r="A68" t="s">
        <v>2862</v>
      </c>
      <c r="B68" t="s">
        <v>1589</v>
      </c>
      <c r="C68" t="s">
        <v>2004</v>
      </c>
      <c r="D68" s="41">
        <v>3</v>
      </c>
      <c r="E68" s="41">
        <v>1596</v>
      </c>
      <c r="F68" s="41" t="s">
        <v>3385</v>
      </c>
      <c r="G68" s="41" t="s">
        <v>5525</v>
      </c>
      <c r="H68" s="2043">
        <v>1423475</v>
      </c>
      <c r="I68" s="2043">
        <v>7536</v>
      </c>
      <c r="J68">
        <v>2.1590908439764601E-3</v>
      </c>
      <c r="K68" s="2043">
        <v>3073.4118391294001</v>
      </c>
      <c r="L68" s="2043">
        <v>3073.4118391294001</v>
      </c>
      <c r="M68">
        <v>599</v>
      </c>
      <c r="N68">
        <v>1</v>
      </c>
    </row>
    <row r="69" spans="1:14">
      <c r="A69" t="s">
        <v>2862</v>
      </c>
      <c r="B69" t="s">
        <v>1589</v>
      </c>
      <c r="C69" t="s">
        <v>2004</v>
      </c>
      <c r="D69" s="41">
        <v>9</v>
      </c>
      <c r="E69" s="41">
        <v>1595</v>
      </c>
      <c r="F69" s="41" t="s">
        <v>3389</v>
      </c>
      <c r="G69" s="41" t="s">
        <v>3389</v>
      </c>
      <c r="H69" s="2043">
        <v>1091461</v>
      </c>
      <c r="I69" s="2043">
        <v>0</v>
      </c>
      <c r="J69">
        <v>0</v>
      </c>
      <c r="K69" s="2043">
        <v>0</v>
      </c>
      <c r="L69" s="2043">
        <v>0</v>
      </c>
      <c r="M69">
        <v>599</v>
      </c>
      <c r="N69">
        <v>1</v>
      </c>
    </row>
    <row r="70" spans="1:14">
      <c r="A70" t="s">
        <v>2862</v>
      </c>
      <c r="B70" t="s">
        <v>1589</v>
      </c>
      <c r="C70" t="s">
        <v>2004</v>
      </c>
      <c r="D70" s="41">
        <v>9</v>
      </c>
      <c r="E70" s="41">
        <v>1595</v>
      </c>
      <c r="F70" s="41" t="s">
        <v>3389</v>
      </c>
      <c r="G70" s="41" t="s">
        <v>5335</v>
      </c>
      <c r="H70" s="2043">
        <v>1091461</v>
      </c>
      <c r="I70" s="2043">
        <v>1062746</v>
      </c>
      <c r="J70">
        <v>0.669564817457452</v>
      </c>
      <c r="K70" s="2043">
        <v>730803.88522692805</v>
      </c>
      <c r="L70" s="2043">
        <v>730803.88522692805</v>
      </c>
      <c r="M70">
        <v>599</v>
      </c>
      <c r="N70">
        <v>1</v>
      </c>
    </row>
    <row r="71" spans="1:14">
      <c r="A71" t="s">
        <v>2862</v>
      </c>
      <c r="B71" t="s">
        <v>1589</v>
      </c>
      <c r="C71" t="s">
        <v>2004</v>
      </c>
      <c r="D71" s="41">
        <v>9</v>
      </c>
      <c r="E71" s="41">
        <v>1595</v>
      </c>
      <c r="F71" s="41" t="s">
        <v>3389</v>
      </c>
      <c r="G71" s="41" t="s">
        <v>3390</v>
      </c>
      <c r="H71" s="2043">
        <v>1091461</v>
      </c>
      <c r="I71" s="2043">
        <v>315664</v>
      </c>
      <c r="J71">
        <v>0.19887866765707801</v>
      </c>
      <c r="K71" s="2043">
        <v>217068.30947966201</v>
      </c>
      <c r="L71" s="2043">
        <v>217068.30947966201</v>
      </c>
      <c r="M71">
        <v>599</v>
      </c>
      <c r="N71">
        <v>1</v>
      </c>
    </row>
    <row r="72" spans="1:14">
      <c r="A72" t="s">
        <v>2862</v>
      </c>
      <c r="B72" t="s">
        <v>1589</v>
      </c>
      <c r="C72" t="s">
        <v>2004</v>
      </c>
      <c r="D72" s="41">
        <v>9</v>
      </c>
      <c r="E72" s="41">
        <v>1595</v>
      </c>
      <c r="F72" s="41" t="s">
        <v>3389</v>
      </c>
      <c r="G72" s="41" t="s">
        <v>3388</v>
      </c>
      <c r="H72" s="2043">
        <v>1091461</v>
      </c>
      <c r="I72" s="2043">
        <v>28593</v>
      </c>
      <c r="J72">
        <v>1.80145272958552E-2</v>
      </c>
      <c r="K72" s="2043">
        <v>19662.153976861398</v>
      </c>
      <c r="L72" s="2043">
        <v>19662.153976861398</v>
      </c>
      <c r="M72">
        <v>599</v>
      </c>
      <c r="N72">
        <v>1</v>
      </c>
    </row>
    <row r="73" spans="1:14">
      <c r="A73" t="s">
        <v>2862</v>
      </c>
      <c r="B73" t="s">
        <v>1589</v>
      </c>
      <c r="C73" t="s">
        <v>2004</v>
      </c>
      <c r="D73" s="41">
        <v>9</v>
      </c>
      <c r="E73" s="41">
        <v>1595</v>
      </c>
      <c r="F73" s="41" t="s">
        <v>3389</v>
      </c>
      <c r="G73" s="41" t="s">
        <v>5336</v>
      </c>
      <c r="H73" s="2043">
        <v>1091461</v>
      </c>
      <c r="I73" s="2043">
        <v>149852</v>
      </c>
      <c r="J73">
        <v>9.4411672239306604E-2</v>
      </c>
      <c r="K73" s="2043">
        <v>103046.658193986</v>
      </c>
      <c r="L73" s="2043">
        <v>103046.658193986</v>
      </c>
      <c r="M73">
        <v>599</v>
      </c>
      <c r="N73">
        <v>1</v>
      </c>
    </row>
    <row r="74" spans="1:14">
      <c r="A74" t="s">
        <v>2862</v>
      </c>
      <c r="B74" t="s">
        <v>1589</v>
      </c>
      <c r="C74" t="s">
        <v>2004</v>
      </c>
      <c r="D74" s="41">
        <v>9</v>
      </c>
      <c r="E74" s="41">
        <v>1595</v>
      </c>
      <c r="F74" s="41" t="s">
        <v>3389</v>
      </c>
      <c r="G74" s="41" t="s">
        <v>5525</v>
      </c>
      <c r="H74" s="2043">
        <v>1091461</v>
      </c>
      <c r="I74" s="2043">
        <v>30364</v>
      </c>
      <c r="J74">
        <v>1.9130315350307701E-2</v>
      </c>
      <c r="K74" s="2043">
        <v>20879.993122562199</v>
      </c>
      <c r="L74" s="2043">
        <v>20879.993122562199</v>
      </c>
      <c r="M74">
        <v>599</v>
      </c>
      <c r="N74">
        <v>1</v>
      </c>
    </row>
    <row r="75" spans="1:14">
      <c r="A75" t="s">
        <v>2862</v>
      </c>
      <c r="B75" t="s">
        <v>1589</v>
      </c>
      <c r="C75" t="s">
        <v>2004</v>
      </c>
      <c r="D75" s="41">
        <v>9</v>
      </c>
      <c r="E75" s="41">
        <v>1594</v>
      </c>
      <c r="F75" s="41" t="s">
        <v>3391</v>
      </c>
      <c r="G75" s="41" t="s">
        <v>3391</v>
      </c>
      <c r="H75" s="2043">
        <v>871791</v>
      </c>
      <c r="I75" s="2043">
        <v>0</v>
      </c>
      <c r="J75">
        <v>0</v>
      </c>
      <c r="K75" s="2043">
        <v>0</v>
      </c>
      <c r="L75" s="2043">
        <v>0</v>
      </c>
      <c r="M75">
        <v>599</v>
      </c>
      <c r="N75">
        <v>1</v>
      </c>
    </row>
    <row r="76" spans="1:14">
      <c r="A76" t="s">
        <v>2862</v>
      </c>
      <c r="B76" t="s">
        <v>1589</v>
      </c>
      <c r="C76" t="s">
        <v>2004</v>
      </c>
      <c r="D76" s="41">
        <v>9</v>
      </c>
      <c r="E76" s="41">
        <v>1594</v>
      </c>
      <c r="F76" s="41" t="s">
        <v>3391</v>
      </c>
      <c r="G76" s="41" t="s">
        <v>3392</v>
      </c>
      <c r="H76" s="2043">
        <v>871791</v>
      </c>
      <c r="I76" s="2043">
        <v>0</v>
      </c>
      <c r="J76">
        <v>0</v>
      </c>
      <c r="K76" s="2043">
        <v>0</v>
      </c>
      <c r="L76" s="2043">
        <v>0</v>
      </c>
      <c r="M76">
        <v>599</v>
      </c>
      <c r="N76">
        <v>1</v>
      </c>
    </row>
    <row r="77" spans="1:14">
      <c r="A77" t="s">
        <v>2862</v>
      </c>
      <c r="B77" t="s">
        <v>1589</v>
      </c>
      <c r="C77" t="s">
        <v>2004</v>
      </c>
      <c r="D77" s="41">
        <v>9</v>
      </c>
      <c r="E77" s="41">
        <v>1594</v>
      </c>
      <c r="F77" s="41" t="s">
        <v>3391</v>
      </c>
      <c r="G77" s="41" t="s">
        <v>5337</v>
      </c>
      <c r="H77" s="2043">
        <v>871791</v>
      </c>
      <c r="I77" s="2043">
        <v>1294286</v>
      </c>
      <c r="J77">
        <v>1</v>
      </c>
      <c r="K77" s="2043">
        <v>871791</v>
      </c>
      <c r="L77" s="2043">
        <v>871791</v>
      </c>
      <c r="M77">
        <v>599</v>
      </c>
      <c r="N77">
        <v>1</v>
      </c>
    </row>
    <row r="78" spans="1:14">
      <c r="A78" t="s">
        <v>2862</v>
      </c>
      <c r="B78" t="s">
        <v>1589</v>
      </c>
      <c r="C78" t="s">
        <v>2004</v>
      </c>
      <c r="D78" s="41">
        <v>10</v>
      </c>
      <c r="E78" s="41">
        <v>1597</v>
      </c>
      <c r="F78" s="41" t="s">
        <v>3393</v>
      </c>
      <c r="G78" s="41" t="s">
        <v>3393</v>
      </c>
      <c r="H78" s="2043">
        <v>2083922</v>
      </c>
      <c r="I78" s="2043">
        <v>1811913</v>
      </c>
      <c r="J78">
        <v>0.481080827052697</v>
      </c>
      <c r="K78" s="2043">
        <v>1002534.91927331</v>
      </c>
      <c r="L78" s="2043">
        <v>1002534.91927331</v>
      </c>
      <c r="M78">
        <v>599</v>
      </c>
      <c r="N78">
        <v>1</v>
      </c>
    </row>
    <row r="79" spans="1:14">
      <c r="A79" t="s">
        <v>2862</v>
      </c>
      <c r="B79" t="s">
        <v>1589</v>
      </c>
      <c r="C79" t="s">
        <v>2004</v>
      </c>
      <c r="D79" s="41">
        <v>10</v>
      </c>
      <c r="E79" s="41">
        <v>1597</v>
      </c>
      <c r="F79" s="41" t="s">
        <v>3393</v>
      </c>
      <c r="G79" s="41" t="s">
        <v>5526</v>
      </c>
      <c r="H79" s="2043">
        <v>2083922</v>
      </c>
      <c r="I79" s="2043">
        <v>326200</v>
      </c>
      <c r="J79">
        <v>8.6609327150138901E-2</v>
      </c>
      <c r="K79" s="2043">
        <v>180487.08225337201</v>
      </c>
      <c r="L79" s="2043">
        <v>180487.08225337201</v>
      </c>
      <c r="M79">
        <v>599</v>
      </c>
      <c r="N79">
        <v>1</v>
      </c>
    </row>
    <row r="80" spans="1:14">
      <c r="A80" t="s">
        <v>2862</v>
      </c>
      <c r="B80" t="s">
        <v>1589</v>
      </c>
      <c r="C80" t="s">
        <v>2004</v>
      </c>
      <c r="D80" s="41">
        <v>10</v>
      </c>
      <c r="E80" s="41">
        <v>1597</v>
      </c>
      <c r="F80" s="41" t="s">
        <v>3393</v>
      </c>
      <c r="G80" s="41" t="s">
        <v>7106</v>
      </c>
      <c r="H80" s="2043">
        <v>2083922</v>
      </c>
      <c r="I80" s="2043">
        <v>1628225</v>
      </c>
      <c r="J80">
        <v>0.43230984579716403</v>
      </c>
      <c r="K80" s="2043">
        <v>900899.99847331794</v>
      </c>
      <c r="L80" s="2043">
        <v>900899.99847331794</v>
      </c>
      <c r="M80">
        <v>599</v>
      </c>
      <c r="N80">
        <v>1</v>
      </c>
    </row>
    <row r="81" spans="1:14">
      <c r="A81" t="s">
        <v>2863</v>
      </c>
      <c r="B81" t="s">
        <v>728</v>
      </c>
      <c r="C81" t="s">
        <v>843</v>
      </c>
      <c r="D81" s="41">
        <v>1</v>
      </c>
      <c r="E81" s="41">
        <v>1799</v>
      </c>
      <c r="F81" s="41" t="s">
        <v>3394</v>
      </c>
      <c r="G81" s="41" t="s">
        <v>3394</v>
      </c>
      <c r="H81" s="2043">
        <v>597138</v>
      </c>
      <c r="I81" s="2043">
        <v>0</v>
      </c>
      <c r="J81">
        <v>0</v>
      </c>
      <c r="K81" s="2043">
        <v>0</v>
      </c>
      <c r="L81" s="2043">
        <v>0</v>
      </c>
      <c r="M81">
        <v>599</v>
      </c>
      <c r="N81">
        <v>0</v>
      </c>
    </row>
    <row r="82" spans="1:14">
      <c r="A82" t="s">
        <v>2863</v>
      </c>
      <c r="B82" t="s">
        <v>728</v>
      </c>
      <c r="C82" t="s">
        <v>843</v>
      </c>
      <c r="D82" s="41">
        <v>1</v>
      </c>
      <c r="E82" s="41">
        <v>1799</v>
      </c>
      <c r="F82" s="41" t="s">
        <v>3394</v>
      </c>
      <c r="G82" s="41" t="s">
        <v>3395</v>
      </c>
      <c r="H82" s="2043">
        <v>597138</v>
      </c>
      <c r="I82" s="2043">
        <v>0</v>
      </c>
      <c r="J82">
        <v>0</v>
      </c>
      <c r="K82" s="2043">
        <v>0</v>
      </c>
      <c r="L82" s="2043">
        <v>0</v>
      </c>
      <c r="M82">
        <v>599</v>
      </c>
      <c r="N82">
        <v>1</v>
      </c>
    </row>
    <row r="83" spans="1:14">
      <c r="A83" t="s">
        <v>2863</v>
      </c>
      <c r="B83" t="s">
        <v>728</v>
      </c>
      <c r="C83" t="s">
        <v>843</v>
      </c>
      <c r="D83" s="41">
        <v>1</v>
      </c>
      <c r="E83" s="41">
        <v>1799</v>
      </c>
      <c r="F83" s="41" t="s">
        <v>3394</v>
      </c>
      <c r="G83" s="41" t="s">
        <v>5527</v>
      </c>
      <c r="H83" s="2043">
        <v>597138</v>
      </c>
      <c r="I83" s="2043">
        <v>966484</v>
      </c>
      <c r="J83">
        <v>1</v>
      </c>
      <c r="K83" s="2043">
        <v>597138</v>
      </c>
      <c r="L83" s="2043">
        <v>597138</v>
      </c>
      <c r="M83">
        <v>599</v>
      </c>
      <c r="N83">
        <v>1</v>
      </c>
    </row>
    <row r="84" spans="1:14">
      <c r="A84" t="s">
        <v>2863</v>
      </c>
      <c r="B84" t="s">
        <v>728</v>
      </c>
      <c r="C84" t="s">
        <v>843</v>
      </c>
      <c r="D84" s="41">
        <v>9</v>
      </c>
      <c r="E84" s="41">
        <v>1800</v>
      </c>
      <c r="F84" s="41" t="s">
        <v>3396</v>
      </c>
      <c r="G84" s="41" t="s">
        <v>3396</v>
      </c>
      <c r="H84" s="2043">
        <v>945091</v>
      </c>
      <c r="I84" s="2043">
        <v>0</v>
      </c>
      <c r="J84">
        <v>0</v>
      </c>
      <c r="K84" s="2043">
        <v>0</v>
      </c>
      <c r="L84" s="2043">
        <v>0</v>
      </c>
      <c r="M84">
        <v>599</v>
      </c>
      <c r="N84">
        <v>1</v>
      </c>
    </row>
    <row r="85" spans="1:14">
      <c r="A85" t="s">
        <v>2863</v>
      </c>
      <c r="B85" t="s">
        <v>728</v>
      </c>
      <c r="C85" t="s">
        <v>843</v>
      </c>
      <c r="D85" s="41">
        <v>9</v>
      </c>
      <c r="E85" s="41">
        <v>1800</v>
      </c>
      <c r="F85" s="41" t="s">
        <v>3396</v>
      </c>
      <c r="G85" s="41" t="s">
        <v>3397</v>
      </c>
      <c r="H85" s="2043">
        <v>945091</v>
      </c>
      <c r="I85" s="2043">
        <v>265013</v>
      </c>
      <c r="J85">
        <v>0.12223164666547701</v>
      </c>
      <c r="K85" s="2043">
        <v>115520.029178722</v>
      </c>
      <c r="L85" s="2043">
        <v>115520.029178722</v>
      </c>
      <c r="M85">
        <v>599</v>
      </c>
      <c r="N85">
        <v>1</v>
      </c>
    </row>
    <row r="86" spans="1:14">
      <c r="A86" t="s">
        <v>2863</v>
      </c>
      <c r="B86" t="s">
        <v>728</v>
      </c>
      <c r="C86" t="s">
        <v>843</v>
      </c>
      <c r="D86" s="41">
        <v>9</v>
      </c>
      <c r="E86" s="41">
        <v>1800</v>
      </c>
      <c r="F86" s="41" t="s">
        <v>3396</v>
      </c>
      <c r="G86" s="41" t="s">
        <v>3398</v>
      </c>
      <c r="H86" s="2043">
        <v>945091</v>
      </c>
      <c r="I86" s="2043">
        <v>321173</v>
      </c>
      <c r="J86">
        <v>0.14813426003437999</v>
      </c>
      <c r="K86" s="2043">
        <v>140000.35595015201</v>
      </c>
      <c r="L86" s="2043">
        <v>140000.35595015201</v>
      </c>
      <c r="M86">
        <v>599</v>
      </c>
      <c r="N86">
        <v>1</v>
      </c>
    </row>
    <row r="87" spans="1:14">
      <c r="A87" t="s">
        <v>2863</v>
      </c>
      <c r="B87" t="s">
        <v>728</v>
      </c>
      <c r="C87" t="s">
        <v>843</v>
      </c>
      <c r="D87" s="41">
        <v>9</v>
      </c>
      <c r="E87" s="41">
        <v>1800</v>
      </c>
      <c r="F87" s="41" t="s">
        <v>3396</v>
      </c>
      <c r="G87" s="41" t="s">
        <v>7107</v>
      </c>
      <c r="H87" s="2043">
        <v>945091</v>
      </c>
      <c r="I87" s="2043">
        <v>1581935</v>
      </c>
      <c r="J87">
        <v>0.72963409330014295</v>
      </c>
      <c r="K87" s="2043">
        <v>689570.61487112602</v>
      </c>
      <c r="L87" s="2043">
        <v>689570.61487112602</v>
      </c>
      <c r="M87">
        <v>599</v>
      </c>
      <c r="N87">
        <v>1</v>
      </c>
    </row>
    <row r="88" spans="1:14">
      <c r="A88" t="s">
        <v>2864</v>
      </c>
      <c r="B88" t="s">
        <v>2233</v>
      </c>
      <c r="C88" t="s">
        <v>1821</v>
      </c>
      <c r="D88" s="41">
        <v>6</v>
      </c>
      <c r="E88" s="41">
        <v>2342</v>
      </c>
      <c r="F88" s="41" t="s">
        <v>3399</v>
      </c>
      <c r="G88" s="41" t="s">
        <v>3399</v>
      </c>
      <c r="H88" s="2043">
        <v>449656</v>
      </c>
      <c r="I88" s="2043">
        <v>0</v>
      </c>
      <c r="J88">
        <v>0</v>
      </c>
      <c r="K88" s="2043">
        <v>0</v>
      </c>
      <c r="L88" s="2043">
        <v>0</v>
      </c>
      <c r="M88">
        <v>599</v>
      </c>
      <c r="N88">
        <v>0</v>
      </c>
    </row>
    <row r="89" spans="1:14">
      <c r="A89" t="s">
        <v>2864</v>
      </c>
      <c r="B89" t="s">
        <v>2233</v>
      </c>
      <c r="C89" t="s">
        <v>1821</v>
      </c>
      <c r="D89" s="41">
        <v>6</v>
      </c>
      <c r="E89" s="41">
        <v>2342</v>
      </c>
      <c r="F89" s="41" t="s">
        <v>3399</v>
      </c>
      <c r="G89" s="41" t="s">
        <v>3400</v>
      </c>
      <c r="H89" s="2043">
        <v>449656</v>
      </c>
      <c r="I89" s="2043">
        <v>941239</v>
      </c>
      <c r="J89">
        <v>0.53049187386855301</v>
      </c>
      <c r="K89" s="2043">
        <v>238538.85403623799</v>
      </c>
      <c r="L89" s="2043">
        <v>238538.85403623799</v>
      </c>
      <c r="M89">
        <v>599</v>
      </c>
      <c r="N89">
        <v>1</v>
      </c>
    </row>
    <row r="90" spans="1:14">
      <c r="A90" t="s">
        <v>2864</v>
      </c>
      <c r="B90" t="s">
        <v>2233</v>
      </c>
      <c r="C90" t="s">
        <v>1821</v>
      </c>
      <c r="D90" s="41">
        <v>6</v>
      </c>
      <c r="E90" s="41">
        <v>2342</v>
      </c>
      <c r="F90" s="41" t="s">
        <v>3399</v>
      </c>
      <c r="G90" s="41" t="s">
        <v>3401</v>
      </c>
      <c r="H90" s="2043">
        <v>449656</v>
      </c>
      <c r="I90" s="2043">
        <v>0</v>
      </c>
      <c r="J90">
        <v>0</v>
      </c>
      <c r="K90" s="2043">
        <v>0</v>
      </c>
      <c r="L90" s="2043">
        <v>0</v>
      </c>
      <c r="M90">
        <v>599</v>
      </c>
      <c r="N90">
        <v>1</v>
      </c>
    </row>
    <row r="91" spans="1:14">
      <c r="A91" t="s">
        <v>2864</v>
      </c>
      <c r="B91" t="s">
        <v>2233</v>
      </c>
      <c r="C91" t="s">
        <v>1821</v>
      </c>
      <c r="D91" s="41">
        <v>6</v>
      </c>
      <c r="E91" s="41">
        <v>2342</v>
      </c>
      <c r="F91" s="41" t="s">
        <v>3399</v>
      </c>
      <c r="G91" s="41" t="s">
        <v>5338</v>
      </c>
      <c r="H91" s="2043">
        <v>449656</v>
      </c>
      <c r="I91" s="2043">
        <v>833037</v>
      </c>
      <c r="J91">
        <v>0.46950812613144699</v>
      </c>
      <c r="K91" s="2043">
        <v>211117.14596376201</v>
      </c>
      <c r="L91" s="2043">
        <v>211117.14596376201</v>
      </c>
      <c r="M91">
        <v>599</v>
      </c>
      <c r="N91">
        <v>1</v>
      </c>
    </row>
    <row r="92" spans="1:14">
      <c r="A92" t="s">
        <v>2865</v>
      </c>
      <c r="B92" t="s">
        <v>2015</v>
      </c>
      <c r="C92" t="s">
        <v>772</v>
      </c>
      <c r="D92" s="41">
        <v>5</v>
      </c>
      <c r="E92" s="41">
        <v>2080</v>
      </c>
      <c r="F92" s="41" t="s">
        <v>3402</v>
      </c>
      <c r="G92" s="41" t="s">
        <v>3402</v>
      </c>
      <c r="H92" s="2043">
        <v>100000</v>
      </c>
      <c r="I92" s="2043">
        <v>0</v>
      </c>
      <c r="J92">
        <v>0</v>
      </c>
      <c r="K92" s="2043">
        <v>0</v>
      </c>
      <c r="L92" s="2043">
        <v>0</v>
      </c>
      <c r="M92">
        <v>599</v>
      </c>
      <c r="N92">
        <v>0</v>
      </c>
    </row>
    <row r="93" spans="1:14">
      <c r="A93" t="s">
        <v>2865</v>
      </c>
      <c r="B93" t="s">
        <v>2015</v>
      </c>
      <c r="C93" t="s">
        <v>772</v>
      </c>
      <c r="D93" s="41">
        <v>5</v>
      </c>
      <c r="E93" s="41">
        <v>2080</v>
      </c>
      <c r="F93" s="41" t="s">
        <v>3402</v>
      </c>
      <c r="G93" s="41" t="s">
        <v>3403</v>
      </c>
      <c r="H93" s="2043">
        <v>100000</v>
      </c>
      <c r="I93" s="2043">
        <v>0</v>
      </c>
      <c r="J93">
        <v>0</v>
      </c>
      <c r="K93" s="2043">
        <v>0</v>
      </c>
      <c r="L93" s="2043">
        <v>0</v>
      </c>
      <c r="M93">
        <v>599</v>
      </c>
      <c r="N93">
        <v>1</v>
      </c>
    </row>
    <row r="94" spans="1:14">
      <c r="A94" t="s">
        <v>2865</v>
      </c>
      <c r="B94" t="s">
        <v>2015</v>
      </c>
      <c r="C94" t="s">
        <v>772</v>
      </c>
      <c r="D94" s="41">
        <v>5</v>
      </c>
      <c r="E94" s="41">
        <v>2080</v>
      </c>
      <c r="F94" s="41" t="s">
        <v>3402</v>
      </c>
      <c r="G94" s="41" t="s">
        <v>9291</v>
      </c>
      <c r="H94" s="2043">
        <v>100000</v>
      </c>
      <c r="I94" s="2043">
        <v>82301</v>
      </c>
      <c r="J94">
        <v>1</v>
      </c>
      <c r="K94" s="2043">
        <v>100000</v>
      </c>
      <c r="L94" s="2043">
        <v>82301</v>
      </c>
      <c r="M94">
        <v>599</v>
      </c>
      <c r="N94">
        <v>1</v>
      </c>
    </row>
    <row r="95" spans="1:14">
      <c r="A95" t="s">
        <v>2866</v>
      </c>
      <c r="B95" t="s">
        <v>2234</v>
      </c>
      <c r="C95" t="s">
        <v>2005</v>
      </c>
      <c r="D95" s="41">
        <v>6</v>
      </c>
      <c r="E95" s="41">
        <v>1599</v>
      </c>
      <c r="F95" s="41" t="s">
        <v>3404</v>
      </c>
      <c r="G95" s="41" t="s">
        <v>3404</v>
      </c>
      <c r="H95" s="2043">
        <v>855519</v>
      </c>
      <c r="I95" s="2043">
        <v>0</v>
      </c>
      <c r="J95">
        <v>0</v>
      </c>
      <c r="K95" s="2043">
        <v>0</v>
      </c>
      <c r="L95" s="2043">
        <v>0</v>
      </c>
      <c r="M95">
        <v>599</v>
      </c>
      <c r="N95">
        <v>0</v>
      </c>
    </row>
    <row r="96" spans="1:14">
      <c r="A96" t="s">
        <v>2866</v>
      </c>
      <c r="B96" t="s">
        <v>2234</v>
      </c>
      <c r="C96" t="s">
        <v>2005</v>
      </c>
      <c r="D96" s="41">
        <v>6</v>
      </c>
      <c r="E96" s="41">
        <v>1599</v>
      </c>
      <c r="F96" s="41" t="s">
        <v>3404</v>
      </c>
      <c r="G96" s="41" t="s">
        <v>3405</v>
      </c>
      <c r="H96" s="2043">
        <v>855519</v>
      </c>
      <c r="I96" s="2043">
        <v>700000</v>
      </c>
      <c r="J96">
        <v>0.80556994073306898</v>
      </c>
      <c r="K96" s="2043">
        <v>689180.39012601401</v>
      </c>
      <c r="L96" s="2043">
        <v>689180.39012601401</v>
      </c>
      <c r="M96">
        <v>599</v>
      </c>
      <c r="N96">
        <v>1</v>
      </c>
    </row>
    <row r="97" spans="1:14">
      <c r="A97" t="s">
        <v>2866</v>
      </c>
      <c r="B97" t="s">
        <v>2234</v>
      </c>
      <c r="C97" t="s">
        <v>2005</v>
      </c>
      <c r="D97" s="41">
        <v>6</v>
      </c>
      <c r="E97" s="41">
        <v>1599</v>
      </c>
      <c r="F97" s="41" t="s">
        <v>3404</v>
      </c>
      <c r="G97" s="41" t="s">
        <v>3406</v>
      </c>
      <c r="H97" s="2043">
        <v>855519</v>
      </c>
      <c r="I97" s="2043">
        <v>0</v>
      </c>
      <c r="J97">
        <v>0</v>
      </c>
      <c r="K97" s="2043">
        <v>0</v>
      </c>
      <c r="L97" s="2043">
        <v>0</v>
      </c>
      <c r="M97">
        <v>599</v>
      </c>
      <c r="N97">
        <v>1</v>
      </c>
    </row>
    <row r="98" spans="1:14">
      <c r="A98" t="s">
        <v>2866</v>
      </c>
      <c r="B98" t="s">
        <v>2234</v>
      </c>
      <c r="C98" t="s">
        <v>2005</v>
      </c>
      <c r="D98" s="41">
        <v>6</v>
      </c>
      <c r="E98" s="41">
        <v>1599</v>
      </c>
      <c r="F98" s="41" t="s">
        <v>3404</v>
      </c>
      <c r="G98" s="41" t="s">
        <v>5528</v>
      </c>
      <c r="H98" s="2043">
        <v>855519</v>
      </c>
      <c r="I98" s="2043">
        <v>168950</v>
      </c>
      <c r="J98">
        <v>0.19443005926693099</v>
      </c>
      <c r="K98" s="2043">
        <v>166338.60987398599</v>
      </c>
      <c r="L98" s="2043">
        <v>166338.60987398599</v>
      </c>
      <c r="M98">
        <v>599</v>
      </c>
      <c r="N98">
        <v>1</v>
      </c>
    </row>
    <row r="99" spans="1:14">
      <c r="A99" t="s">
        <v>2866</v>
      </c>
      <c r="B99" t="s">
        <v>2234</v>
      </c>
      <c r="C99" t="s">
        <v>2005</v>
      </c>
      <c r="D99" s="41">
        <v>9</v>
      </c>
      <c r="E99" s="41">
        <v>1598</v>
      </c>
      <c r="F99" s="41" t="s">
        <v>3407</v>
      </c>
      <c r="G99" s="41" t="s">
        <v>3407</v>
      </c>
      <c r="H99" s="2043">
        <v>605485</v>
      </c>
      <c r="I99" s="2043">
        <v>0</v>
      </c>
      <c r="J99">
        <v>0</v>
      </c>
      <c r="K99" s="2043">
        <v>0</v>
      </c>
      <c r="L99" s="2043">
        <v>0</v>
      </c>
      <c r="M99">
        <v>599</v>
      </c>
      <c r="N99">
        <v>1</v>
      </c>
    </row>
    <row r="100" spans="1:14">
      <c r="A100" t="s">
        <v>2866</v>
      </c>
      <c r="B100" t="s">
        <v>2234</v>
      </c>
      <c r="C100" t="s">
        <v>2005</v>
      </c>
      <c r="D100" s="41">
        <v>9</v>
      </c>
      <c r="E100" s="41">
        <v>1598</v>
      </c>
      <c r="F100" s="41" t="s">
        <v>3407</v>
      </c>
      <c r="G100" s="41" t="s">
        <v>5339</v>
      </c>
      <c r="H100" s="2043">
        <v>605485</v>
      </c>
      <c r="I100" s="2043">
        <v>298800</v>
      </c>
      <c r="J100">
        <v>1</v>
      </c>
      <c r="K100" s="2043">
        <v>605485</v>
      </c>
      <c r="L100" s="2043">
        <v>298800</v>
      </c>
      <c r="M100">
        <v>599</v>
      </c>
      <c r="N100">
        <v>1</v>
      </c>
    </row>
    <row r="101" spans="1:14">
      <c r="A101" t="s">
        <v>2867</v>
      </c>
      <c r="B101" t="s">
        <v>1079</v>
      </c>
      <c r="C101" t="s">
        <v>1725</v>
      </c>
      <c r="D101" s="41">
        <v>3</v>
      </c>
      <c r="E101" s="41">
        <v>2338</v>
      </c>
      <c r="F101" s="41" t="s">
        <v>3408</v>
      </c>
      <c r="G101" s="41" t="s">
        <v>3408</v>
      </c>
      <c r="H101" s="2043">
        <v>176917</v>
      </c>
      <c r="I101" s="2043">
        <v>0</v>
      </c>
      <c r="J101">
        <v>0</v>
      </c>
      <c r="K101" s="2043">
        <v>0</v>
      </c>
      <c r="L101" s="2043">
        <v>0</v>
      </c>
      <c r="M101">
        <v>599</v>
      </c>
      <c r="N101">
        <v>0</v>
      </c>
    </row>
    <row r="102" spans="1:14">
      <c r="A102" t="s">
        <v>2867</v>
      </c>
      <c r="B102" t="s">
        <v>1079</v>
      </c>
      <c r="C102" t="s">
        <v>1725</v>
      </c>
      <c r="D102" s="41">
        <v>3</v>
      </c>
      <c r="E102" s="41">
        <v>2338</v>
      </c>
      <c r="F102" s="41" t="s">
        <v>3408</v>
      </c>
      <c r="G102" s="41" t="s">
        <v>3409</v>
      </c>
      <c r="H102" s="2043">
        <v>176917</v>
      </c>
      <c r="I102" s="2043">
        <v>0</v>
      </c>
      <c r="J102">
        <v>0</v>
      </c>
      <c r="K102" s="2043">
        <v>0</v>
      </c>
      <c r="L102" s="2043">
        <v>0</v>
      </c>
      <c r="M102">
        <v>599</v>
      </c>
      <c r="N102">
        <v>1</v>
      </c>
    </row>
    <row r="103" spans="1:14">
      <c r="A103" t="s">
        <v>2867</v>
      </c>
      <c r="B103" t="s">
        <v>1079</v>
      </c>
      <c r="C103" t="s">
        <v>1725</v>
      </c>
      <c r="D103" s="41">
        <v>3</v>
      </c>
      <c r="E103" s="41">
        <v>2338</v>
      </c>
      <c r="F103" s="41" t="s">
        <v>3408</v>
      </c>
      <c r="G103" s="41" t="s">
        <v>5529</v>
      </c>
      <c r="H103" s="2043">
        <v>176917</v>
      </c>
      <c r="I103" s="2043">
        <v>162975</v>
      </c>
      <c r="J103">
        <v>1</v>
      </c>
      <c r="K103" s="2043">
        <v>176917</v>
      </c>
      <c r="L103" s="2043">
        <v>162975</v>
      </c>
      <c r="M103">
        <v>599</v>
      </c>
      <c r="N103">
        <v>1</v>
      </c>
    </row>
    <row r="104" spans="1:14">
      <c r="A104" t="s">
        <v>2867</v>
      </c>
      <c r="B104" t="s">
        <v>1079</v>
      </c>
      <c r="C104" t="s">
        <v>1725</v>
      </c>
      <c r="D104" s="41">
        <v>9</v>
      </c>
      <c r="E104" s="41">
        <v>2339</v>
      </c>
      <c r="F104" s="41" t="s">
        <v>3410</v>
      </c>
      <c r="G104" s="41" t="s">
        <v>3410</v>
      </c>
      <c r="H104" s="2043">
        <v>182500</v>
      </c>
      <c r="I104" s="2043">
        <v>0</v>
      </c>
      <c r="J104">
        <v>0</v>
      </c>
      <c r="K104" s="2043">
        <v>0</v>
      </c>
      <c r="L104" s="2043">
        <v>0</v>
      </c>
      <c r="M104">
        <v>599</v>
      </c>
      <c r="N104">
        <v>1</v>
      </c>
    </row>
    <row r="105" spans="1:14">
      <c r="A105" t="s">
        <v>2867</v>
      </c>
      <c r="B105" t="s">
        <v>1079</v>
      </c>
      <c r="C105" t="s">
        <v>1725</v>
      </c>
      <c r="D105" s="41">
        <v>9</v>
      </c>
      <c r="E105" s="41">
        <v>2339</v>
      </c>
      <c r="F105" s="41" t="s">
        <v>3410</v>
      </c>
      <c r="G105" s="41" t="s">
        <v>5340</v>
      </c>
      <c r="H105" s="2043">
        <v>182500</v>
      </c>
      <c r="I105" s="2043">
        <v>239041</v>
      </c>
      <c r="J105">
        <v>1</v>
      </c>
      <c r="K105" s="2043">
        <v>182500</v>
      </c>
      <c r="L105" s="2043">
        <v>182500</v>
      </c>
      <c r="M105">
        <v>599</v>
      </c>
      <c r="N105">
        <v>1</v>
      </c>
    </row>
    <row r="106" spans="1:14">
      <c r="A106" t="s">
        <v>2867</v>
      </c>
      <c r="B106" t="s">
        <v>1079</v>
      </c>
      <c r="C106" t="s">
        <v>1725</v>
      </c>
      <c r="D106" s="41">
        <v>11</v>
      </c>
      <c r="E106" s="41">
        <v>2567</v>
      </c>
      <c r="F106" s="41" t="s">
        <v>7108</v>
      </c>
      <c r="G106" s="41" t="s">
        <v>7108</v>
      </c>
      <c r="H106" s="2043">
        <v>199592</v>
      </c>
      <c r="I106" s="2043">
        <v>0</v>
      </c>
      <c r="J106">
        <v>0</v>
      </c>
      <c r="K106" s="2043">
        <v>0</v>
      </c>
      <c r="L106" s="2043">
        <v>0</v>
      </c>
      <c r="M106">
        <v>599</v>
      </c>
      <c r="N106">
        <v>1</v>
      </c>
    </row>
    <row r="107" spans="1:14">
      <c r="A107" t="s">
        <v>2867</v>
      </c>
      <c r="B107" t="s">
        <v>1079</v>
      </c>
      <c r="C107" t="s">
        <v>1725</v>
      </c>
      <c r="D107" s="41">
        <v>11</v>
      </c>
      <c r="E107" s="41">
        <v>2567</v>
      </c>
      <c r="F107" s="41" t="s">
        <v>7108</v>
      </c>
      <c r="G107" s="41" t="s">
        <v>9292</v>
      </c>
      <c r="H107" s="2043">
        <v>199592</v>
      </c>
      <c r="I107" s="2043">
        <v>276400</v>
      </c>
      <c r="J107">
        <v>1</v>
      </c>
      <c r="K107" s="2043">
        <v>199592</v>
      </c>
      <c r="L107" s="2043">
        <v>199592</v>
      </c>
      <c r="M107">
        <v>599</v>
      </c>
      <c r="N107">
        <v>1</v>
      </c>
    </row>
    <row r="108" spans="1:14">
      <c r="A108" t="s">
        <v>2868</v>
      </c>
      <c r="B108" t="s">
        <v>1588</v>
      </c>
      <c r="C108" t="s">
        <v>2003</v>
      </c>
      <c r="D108" s="41">
        <v>2</v>
      </c>
      <c r="E108" s="41">
        <v>1593</v>
      </c>
      <c r="F108" s="41" t="s">
        <v>3411</v>
      </c>
      <c r="G108" s="41" t="s">
        <v>3411</v>
      </c>
      <c r="H108" s="2043">
        <v>134523</v>
      </c>
      <c r="I108" s="2043">
        <v>0</v>
      </c>
      <c r="J108">
        <v>0</v>
      </c>
      <c r="K108" s="2043">
        <v>0</v>
      </c>
      <c r="L108" s="2043">
        <v>0</v>
      </c>
      <c r="M108">
        <v>599</v>
      </c>
      <c r="N108">
        <v>0</v>
      </c>
    </row>
    <row r="109" spans="1:14">
      <c r="A109" t="s">
        <v>2868</v>
      </c>
      <c r="B109" t="s">
        <v>1588</v>
      </c>
      <c r="C109" t="s">
        <v>2003</v>
      </c>
      <c r="D109" s="41">
        <v>2</v>
      </c>
      <c r="E109" s="41">
        <v>1593</v>
      </c>
      <c r="F109" s="41" t="s">
        <v>3411</v>
      </c>
      <c r="G109" s="41" t="s">
        <v>3412</v>
      </c>
      <c r="H109" s="2043">
        <v>134523</v>
      </c>
      <c r="I109" s="2043">
        <v>102760</v>
      </c>
      <c r="J109">
        <v>0.91101713698059394</v>
      </c>
      <c r="K109" s="2043">
        <v>122552.75831804</v>
      </c>
      <c r="L109" s="2043">
        <v>102760</v>
      </c>
      <c r="M109">
        <v>599</v>
      </c>
      <c r="N109">
        <v>1</v>
      </c>
    </row>
    <row r="110" spans="1:14">
      <c r="A110" t="s">
        <v>2868</v>
      </c>
      <c r="B110" t="s">
        <v>1588</v>
      </c>
      <c r="C110" t="s">
        <v>2003</v>
      </c>
      <c r="D110" s="41">
        <v>2</v>
      </c>
      <c r="E110" s="41">
        <v>1593</v>
      </c>
      <c r="F110" s="41" t="s">
        <v>3411</v>
      </c>
      <c r="G110" s="41" t="s">
        <v>9293</v>
      </c>
      <c r="H110" s="2043">
        <v>134523</v>
      </c>
      <c r="I110" s="2043">
        <v>10037</v>
      </c>
      <c r="J110">
        <v>8.89828630194065E-2</v>
      </c>
      <c r="K110" s="2043">
        <v>11970.2416819596</v>
      </c>
      <c r="L110" s="2043">
        <v>10037</v>
      </c>
      <c r="M110">
        <v>599</v>
      </c>
      <c r="N110">
        <v>1</v>
      </c>
    </row>
    <row r="111" spans="1:14">
      <c r="A111" t="s">
        <v>2869</v>
      </c>
      <c r="B111" t="s">
        <v>1591</v>
      </c>
      <c r="C111" t="s">
        <v>2533</v>
      </c>
      <c r="D111" s="41">
        <v>1</v>
      </c>
      <c r="E111" s="41">
        <v>1603</v>
      </c>
      <c r="F111" s="41" t="s">
        <v>3413</v>
      </c>
      <c r="G111" s="41" t="s">
        <v>3413</v>
      </c>
      <c r="H111" s="2043">
        <v>428025</v>
      </c>
      <c r="I111" s="2043">
        <v>0</v>
      </c>
      <c r="J111">
        <v>0</v>
      </c>
      <c r="L111" s="2043">
        <v>0</v>
      </c>
      <c r="M111">
        <v>599</v>
      </c>
      <c r="N111">
        <v>0</v>
      </c>
    </row>
    <row r="112" spans="1:14">
      <c r="A112" t="s">
        <v>2869</v>
      </c>
      <c r="B112" t="s">
        <v>1591</v>
      </c>
      <c r="C112" t="s">
        <v>2533</v>
      </c>
      <c r="D112" s="41">
        <v>2</v>
      </c>
      <c r="E112" s="41">
        <v>1604</v>
      </c>
      <c r="F112" s="41" t="s">
        <v>3414</v>
      </c>
      <c r="G112" s="41" t="s">
        <v>3414</v>
      </c>
      <c r="H112" s="2043">
        <v>1175975</v>
      </c>
      <c r="I112" s="2043">
        <v>0</v>
      </c>
      <c r="J112">
        <v>0</v>
      </c>
      <c r="L112" s="2043">
        <v>0</v>
      </c>
      <c r="M112">
        <v>599</v>
      </c>
      <c r="N112">
        <v>0</v>
      </c>
    </row>
    <row r="113" spans="1:14">
      <c r="A113" t="s">
        <v>2870</v>
      </c>
      <c r="B113" t="s">
        <v>161</v>
      </c>
      <c r="C113" t="s">
        <v>2244</v>
      </c>
      <c r="D113" s="41">
        <v>2</v>
      </c>
      <c r="E113" s="41">
        <v>1894</v>
      </c>
      <c r="F113" s="41" t="s">
        <v>3415</v>
      </c>
      <c r="G113" s="41" t="s">
        <v>3415</v>
      </c>
      <c r="H113" s="2043">
        <v>88580</v>
      </c>
      <c r="I113" s="2043">
        <v>0</v>
      </c>
      <c r="J113">
        <v>0</v>
      </c>
      <c r="K113" s="2043">
        <v>0</v>
      </c>
      <c r="L113" s="2043">
        <v>0</v>
      </c>
      <c r="M113">
        <v>599</v>
      </c>
      <c r="N113">
        <v>1</v>
      </c>
    </row>
    <row r="114" spans="1:14">
      <c r="A114" t="s">
        <v>2870</v>
      </c>
      <c r="B114" t="s">
        <v>161</v>
      </c>
      <c r="C114" t="s">
        <v>2244</v>
      </c>
      <c r="D114" s="41">
        <v>2</v>
      </c>
      <c r="E114" s="41">
        <v>1894</v>
      </c>
      <c r="F114" s="41" t="s">
        <v>3415</v>
      </c>
      <c r="G114" s="41" t="s">
        <v>3416</v>
      </c>
      <c r="H114" s="2043">
        <v>88580</v>
      </c>
      <c r="I114" s="2043">
        <v>0</v>
      </c>
      <c r="J114">
        <v>0</v>
      </c>
      <c r="K114" s="2043">
        <v>0</v>
      </c>
      <c r="L114" s="2043">
        <v>0</v>
      </c>
      <c r="M114">
        <v>599</v>
      </c>
      <c r="N114">
        <v>1</v>
      </c>
    </row>
    <row r="115" spans="1:14">
      <c r="A115" t="s">
        <v>2870</v>
      </c>
      <c r="B115" t="s">
        <v>161</v>
      </c>
      <c r="C115" t="s">
        <v>2244</v>
      </c>
      <c r="D115" s="41">
        <v>2</v>
      </c>
      <c r="E115" s="41">
        <v>1894</v>
      </c>
      <c r="F115" s="41" t="s">
        <v>3415</v>
      </c>
      <c r="G115" s="41" t="s">
        <v>7109</v>
      </c>
      <c r="H115" s="2043">
        <v>88580</v>
      </c>
      <c r="I115" s="2043">
        <v>42462</v>
      </c>
      <c r="J115">
        <v>1</v>
      </c>
      <c r="K115" s="2043">
        <v>88580</v>
      </c>
      <c r="L115" s="2043">
        <v>42462</v>
      </c>
      <c r="M115">
        <v>599</v>
      </c>
      <c r="N115">
        <v>1</v>
      </c>
    </row>
    <row r="116" spans="1:14">
      <c r="A116" t="s">
        <v>2870</v>
      </c>
      <c r="B116" t="s">
        <v>161</v>
      </c>
      <c r="C116" t="s">
        <v>2244</v>
      </c>
      <c r="D116" s="41">
        <v>4</v>
      </c>
      <c r="E116" s="41">
        <v>1895</v>
      </c>
      <c r="F116" s="41" t="s">
        <v>3417</v>
      </c>
      <c r="G116" s="41" t="s">
        <v>3417</v>
      </c>
      <c r="H116" s="2043">
        <v>114590</v>
      </c>
      <c r="I116" s="2043">
        <v>0</v>
      </c>
      <c r="J116">
        <v>0</v>
      </c>
      <c r="K116" s="2043">
        <v>0</v>
      </c>
      <c r="L116" s="2043">
        <v>0</v>
      </c>
      <c r="M116">
        <v>599</v>
      </c>
      <c r="N116">
        <v>0</v>
      </c>
    </row>
    <row r="117" spans="1:14">
      <c r="A117" t="s">
        <v>2870</v>
      </c>
      <c r="B117" t="s">
        <v>161</v>
      </c>
      <c r="C117" t="s">
        <v>2244</v>
      </c>
      <c r="D117" s="41">
        <v>4</v>
      </c>
      <c r="E117" s="41">
        <v>1895</v>
      </c>
      <c r="F117" s="41" t="s">
        <v>3417</v>
      </c>
      <c r="G117" s="41" t="s">
        <v>3416</v>
      </c>
      <c r="H117" s="2043">
        <v>114590</v>
      </c>
      <c r="I117" s="2043">
        <v>0</v>
      </c>
      <c r="J117">
        <v>0</v>
      </c>
      <c r="K117" s="2043">
        <v>0</v>
      </c>
      <c r="L117" s="2043">
        <v>0</v>
      </c>
      <c r="M117">
        <v>599</v>
      </c>
      <c r="N117">
        <v>1</v>
      </c>
    </row>
    <row r="118" spans="1:14">
      <c r="A118" t="s">
        <v>2870</v>
      </c>
      <c r="B118" t="s">
        <v>161</v>
      </c>
      <c r="C118" t="s">
        <v>2244</v>
      </c>
      <c r="D118" s="41">
        <v>4</v>
      </c>
      <c r="E118" s="41">
        <v>1895</v>
      </c>
      <c r="F118" s="41" t="s">
        <v>3417</v>
      </c>
      <c r="G118" s="41" t="s">
        <v>7109</v>
      </c>
      <c r="H118" s="2043">
        <v>114590</v>
      </c>
      <c r="I118" s="2043">
        <v>101007</v>
      </c>
      <c r="J118">
        <v>1</v>
      </c>
      <c r="K118" s="2043">
        <v>114590</v>
      </c>
      <c r="L118" s="2043">
        <v>101007</v>
      </c>
      <c r="M118">
        <v>599</v>
      </c>
      <c r="N118">
        <v>1</v>
      </c>
    </row>
    <row r="119" spans="1:14">
      <c r="A119" t="s">
        <v>2870</v>
      </c>
      <c r="B119" t="s">
        <v>161</v>
      </c>
      <c r="C119" t="s">
        <v>2244</v>
      </c>
      <c r="D119" s="41">
        <v>9</v>
      </c>
      <c r="E119" s="41">
        <v>1896</v>
      </c>
      <c r="F119" s="41" t="s">
        <v>3418</v>
      </c>
      <c r="G119" s="41" t="s">
        <v>3418</v>
      </c>
      <c r="H119" s="2043">
        <v>137250</v>
      </c>
      <c r="I119" s="2043">
        <v>0</v>
      </c>
      <c r="J119">
        <v>0</v>
      </c>
      <c r="K119" s="2043">
        <v>0</v>
      </c>
      <c r="L119" s="2043">
        <v>0</v>
      </c>
      <c r="M119">
        <v>599</v>
      </c>
      <c r="N119">
        <v>1</v>
      </c>
    </row>
    <row r="120" spans="1:14">
      <c r="A120" t="s">
        <v>2870</v>
      </c>
      <c r="B120" t="s">
        <v>161</v>
      </c>
      <c r="C120" t="s">
        <v>2244</v>
      </c>
      <c r="D120" s="41">
        <v>9</v>
      </c>
      <c r="E120" s="41">
        <v>1896</v>
      </c>
      <c r="F120" s="41" t="s">
        <v>3418</v>
      </c>
      <c r="G120" s="41" t="s">
        <v>7109</v>
      </c>
      <c r="H120" s="2043">
        <v>137250</v>
      </c>
      <c r="I120" s="2043">
        <v>211618</v>
      </c>
      <c r="J120">
        <v>1</v>
      </c>
      <c r="K120" s="2043">
        <v>137250</v>
      </c>
      <c r="L120" s="2043">
        <v>137250</v>
      </c>
      <c r="M120">
        <v>599</v>
      </c>
      <c r="N120">
        <v>1</v>
      </c>
    </row>
    <row r="121" spans="1:14">
      <c r="A121" t="s">
        <v>2871</v>
      </c>
      <c r="B121" t="s">
        <v>51</v>
      </c>
      <c r="C121" t="s">
        <v>2378</v>
      </c>
      <c r="D121" s="41">
        <v>2</v>
      </c>
      <c r="E121" s="41">
        <v>1957</v>
      </c>
      <c r="F121" s="41" t="s">
        <v>3419</v>
      </c>
      <c r="G121" s="41" t="s">
        <v>3419</v>
      </c>
      <c r="H121" s="2043">
        <v>5126526</v>
      </c>
      <c r="I121" s="2043">
        <v>0</v>
      </c>
      <c r="J121">
        <v>0</v>
      </c>
      <c r="L121" s="2043">
        <v>0</v>
      </c>
      <c r="M121">
        <v>599</v>
      </c>
      <c r="N121">
        <v>0</v>
      </c>
    </row>
    <row r="122" spans="1:14">
      <c r="A122" t="s">
        <v>2871</v>
      </c>
      <c r="B122" t="s">
        <v>51</v>
      </c>
      <c r="C122" t="s">
        <v>2378</v>
      </c>
      <c r="D122" s="41">
        <v>6</v>
      </c>
      <c r="E122" s="41">
        <v>1958</v>
      </c>
      <c r="F122" s="41" t="s">
        <v>3420</v>
      </c>
      <c r="G122" s="41" t="s">
        <v>3420</v>
      </c>
      <c r="H122" s="2043">
        <v>7058303</v>
      </c>
      <c r="I122" s="2043">
        <v>0</v>
      </c>
      <c r="J122">
        <v>0</v>
      </c>
      <c r="K122" s="2043">
        <v>0</v>
      </c>
      <c r="L122" s="2043">
        <v>0</v>
      </c>
      <c r="M122">
        <v>599</v>
      </c>
      <c r="N122">
        <v>0</v>
      </c>
    </row>
    <row r="123" spans="1:14">
      <c r="A123" t="s">
        <v>2871</v>
      </c>
      <c r="B123" t="s">
        <v>51</v>
      </c>
      <c r="C123" t="s">
        <v>2378</v>
      </c>
      <c r="D123" s="41">
        <v>6</v>
      </c>
      <c r="E123" s="41">
        <v>1958</v>
      </c>
      <c r="F123" s="41" t="s">
        <v>3420</v>
      </c>
      <c r="G123" s="41" t="s">
        <v>3421</v>
      </c>
      <c r="H123" s="2043">
        <v>7058303</v>
      </c>
      <c r="I123" s="2043">
        <v>0</v>
      </c>
      <c r="J123">
        <v>0</v>
      </c>
      <c r="K123" s="2043">
        <v>0</v>
      </c>
      <c r="L123" s="2043">
        <v>0</v>
      </c>
      <c r="M123">
        <v>599</v>
      </c>
      <c r="N123">
        <v>1</v>
      </c>
    </row>
    <row r="124" spans="1:14">
      <c r="A124" t="s">
        <v>2871</v>
      </c>
      <c r="B124" t="s">
        <v>51</v>
      </c>
      <c r="C124" t="s">
        <v>2378</v>
      </c>
      <c r="D124" s="41">
        <v>6</v>
      </c>
      <c r="E124" s="41">
        <v>1958</v>
      </c>
      <c r="F124" s="41" t="s">
        <v>3420</v>
      </c>
      <c r="G124" s="41" t="s">
        <v>3422</v>
      </c>
      <c r="H124" s="2043">
        <v>7058303</v>
      </c>
      <c r="I124" s="2043">
        <v>885950</v>
      </c>
      <c r="J124">
        <v>0.14618563488324701</v>
      </c>
      <c r="K124" s="2043">
        <v>1031822.50525333</v>
      </c>
      <c r="L124" s="2043">
        <v>885950</v>
      </c>
      <c r="M124">
        <v>599</v>
      </c>
      <c r="N124">
        <v>1</v>
      </c>
    </row>
    <row r="125" spans="1:14">
      <c r="A125" t="s">
        <v>2871</v>
      </c>
      <c r="B125" t="s">
        <v>51</v>
      </c>
      <c r="C125" t="s">
        <v>2378</v>
      </c>
      <c r="D125" s="41">
        <v>6</v>
      </c>
      <c r="E125" s="41">
        <v>1958</v>
      </c>
      <c r="F125" s="41" t="s">
        <v>3420</v>
      </c>
      <c r="G125" s="41" t="s">
        <v>7110</v>
      </c>
      <c r="H125" s="2043">
        <v>7058303</v>
      </c>
      <c r="I125" s="2043">
        <v>428125</v>
      </c>
      <c r="J125">
        <v>7.0642502324499298E-2</v>
      </c>
      <c r="K125" s="2043">
        <v>498616.18608452001</v>
      </c>
      <c r="L125" s="2043">
        <v>428125</v>
      </c>
      <c r="M125">
        <v>599</v>
      </c>
      <c r="N125">
        <v>1</v>
      </c>
    </row>
    <row r="126" spans="1:14">
      <c r="A126" t="s">
        <v>2871</v>
      </c>
      <c r="B126" t="s">
        <v>51</v>
      </c>
      <c r="C126" t="s">
        <v>2378</v>
      </c>
      <c r="D126" s="41">
        <v>6</v>
      </c>
      <c r="E126" s="41">
        <v>1958</v>
      </c>
      <c r="F126" s="41" t="s">
        <v>3420</v>
      </c>
      <c r="G126" s="41" t="s">
        <v>8614</v>
      </c>
      <c r="H126" s="2043">
        <v>7058303</v>
      </c>
      <c r="I126" s="2043">
        <v>4247750</v>
      </c>
      <c r="J126">
        <v>0.70089737634777605</v>
      </c>
      <c r="K126" s="2043">
        <v>4947146.0541676404</v>
      </c>
      <c r="L126" s="2043">
        <v>4247750</v>
      </c>
      <c r="M126">
        <v>599</v>
      </c>
      <c r="N126">
        <v>1</v>
      </c>
    </row>
    <row r="127" spans="1:14">
      <c r="A127" t="s">
        <v>2871</v>
      </c>
      <c r="B127" t="s">
        <v>51</v>
      </c>
      <c r="C127" t="s">
        <v>2378</v>
      </c>
      <c r="D127" s="41">
        <v>6</v>
      </c>
      <c r="E127" s="41">
        <v>1958</v>
      </c>
      <c r="F127" s="41" t="s">
        <v>3420</v>
      </c>
      <c r="G127" s="41" t="s">
        <v>9294</v>
      </c>
      <c r="H127" s="2043">
        <v>7058303</v>
      </c>
      <c r="I127" s="2043">
        <v>498620</v>
      </c>
      <c r="J127">
        <v>8.2274486444477296E-2</v>
      </c>
      <c r="K127" s="2043">
        <v>580718.25449451304</v>
      </c>
      <c r="L127" s="2043">
        <v>498620</v>
      </c>
      <c r="M127">
        <v>599</v>
      </c>
      <c r="N127">
        <v>1</v>
      </c>
    </row>
    <row r="128" spans="1:14">
      <c r="A128" t="s">
        <v>2872</v>
      </c>
      <c r="B128" t="s">
        <v>157</v>
      </c>
      <c r="C128" t="s">
        <v>1317</v>
      </c>
      <c r="D128" s="41">
        <v>2</v>
      </c>
      <c r="E128" s="41">
        <v>2257</v>
      </c>
      <c r="F128" s="41" t="s">
        <v>3423</v>
      </c>
      <c r="G128" s="41" t="s">
        <v>3423</v>
      </c>
      <c r="H128" s="2043">
        <v>188100</v>
      </c>
      <c r="I128" s="2043">
        <v>0</v>
      </c>
      <c r="J128">
        <v>0</v>
      </c>
      <c r="K128" s="2043">
        <v>0</v>
      </c>
      <c r="L128" s="2043">
        <v>0</v>
      </c>
      <c r="M128">
        <v>599</v>
      </c>
      <c r="N128">
        <v>0</v>
      </c>
    </row>
    <row r="129" spans="1:14">
      <c r="A129" t="s">
        <v>2872</v>
      </c>
      <c r="B129" t="s">
        <v>157</v>
      </c>
      <c r="C129" t="s">
        <v>1317</v>
      </c>
      <c r="D129" s="41">
        <v>2</v>
      </c>
      <c r="E129" s="41">
        <v>2257</v>
      </c>
      <c r="F129" s="41" t="s">
        <v>3423</v>
      </c>
      <c r="G129" s="41" t="s">
        <v>5341</v>
      </c>
      <c r="H129" s="2043">
        <v>188100</v>
      </c>
      <c r="I129" s="2043">
        <v>190000</v>
      </c>
      <c r="J129">
        <v>1</v>
      </c>
      <c r="K129" s="2043">
        <v>188100</v>
      </c>
      <c r="L129" s="2043">
        <v>188100</v>
      </c>
      <c r="M129">
        <v>599</v>
      </c>
      <c r="N129">
        <v>0</v>
      </c>
    </row>
    <row r="130" spans="1:14">
      <c r="A130" t="s">
        <v>2872</v>
      </c>
      <c r="B130" t="s">
        <v>157</v>
      </c>
      <c r="C130" t="s">
        <v>1317</v>
      </c>
      <c r="D130" s="41">
        <v>9</v>
      </c>
      <c r="E130" s="41">
        <v>2258</v>
      </c>
      <c r="F130" s="41" t="s">
        <v>3424</v>
      </c>
      <c r="G130" s="41" t="s">
        <v>3424</v>
      </c>
      <c r="H130" s="2043">
        <v>192381</v>
      </c>
      <c r="I130" s="2043">
        <v>0</v>
      </c>
      <c r="J130">
        <v>0</v>
      </c>
      <c r="K130" s="2043">
        <v>0</v>
      </c>
      <c r="L130" s="2043">
        <v>0</v>
      </c>
      <c r="M130">
        <v>599</v>
      </c>
      <c r="N130">
        <v>1</v>
      </c>
    </row>
    <row r="131" spans="1:14">
      <c r="A131" t="s">
        <v>2872</v>
      </c>
      <c r="B131" t="s">
        <v>157</v>
      </c>
      <c r="C131" t="s">
        <v>1317</v>
      </c>
      <c r="D131" s="41">
        <v>9</v>
      </c>
      <c r="E131" s="41">
        <v>2258</v>
      </c>
      <c r="F131" s="41" t="s">
        <v>3424</v>
      </c>
      <c r="G131" s="41" t="s">
        <v>7111</v>
      </c>
      <c r="H131" s="2043">
        <v>192381</v>
      </c>
      <c r="I131" s="2043">
        <v>271200</v>
      </c>
      <c r="J131">
        <v>1</v>
      </c>
      <c r="K131" s="2043">
        <v>192381</v>
      </c>
      <c r="L131" s="2043">
        <v>192381</v>
      </c>
      <c r="M131">
        <v>599</v>
      </c>
      <c r="N131">
        <v>1</v>
      </c>
    </row>
    <row r="132" spans="1:14">
      <c r="A132" t="s">
        <v>2872</v>
      </c>
      <c r="B132" t="s">
        <v>157</v>
      </c>
      <c r="C132" t="s">
        <v>1317</v>
      </c>
      <c r="D132" s="41">
        <v>11</v>
      </c>
      <c r="E132" s="41">
        <v>2566</v>
      </c>
      <c r="F132" s="41" t="s">
        <v>5341</v>
      </c>
      <c r="G132" s="41" t="s">
        <v>5341</v>
      </c>
      <c r="H132" s="2043">
        <v>210073</v>
      </c>
      <c r="I132" s="2043">
        <v>305836</v>
      </c>
      <c r="J132">
        <v>1</v>
      </c>
      <c r="K132" s="2043">
        <v>210073</v>
      </c>
      <c r="L132" s="2043">
        <v>210073</v>
      </c>
      <c r="M132">
        <v>599</v>
      </c>
      <c r="N132">
        <v>0</v>
      </c>
    </row>
    <row r="133" spans="1:14">
      <c r="A133" t="s">
        <v>2873</v>
      </c>
      <c r="B133" t="s">
        <v>1236</v>
      </c>
      <c r="C133" t="s">
        <v>1912</v>
      </c>
      <c r="D133" s="41">
        <v>1</v>
      </c>
      <c r="E133" s="41">
        <v>2275</v>
      </c>
      <c r="F133" s="41" t="s">
        <v>3425</v>
      </c>
      <c r="G133" s="41" t="s">
        <v>3425</v>
      </c>
      <c r="H133" s="2043">
        <v>211190</v>
      </c>
      <c r="I133" s="2043">
        <v>0</v>
      </c>
      <c r="J133">
        <v>0</v>
      </c>
      <c r="K133" s="2043">
        <v>0</v>
      </c>
      <c r="L133" s="2043">
        <v>0</v>
      </c>
      <c r="M133">
        <v>599</v>
      </c>
      <c r="N133">
        <v>0</v>
      </c>
    </row>
    <row r="134" spans="1:14">
      <c r="A134" t="s">
        <v>2873</v>
      </c>
      <c r="B134" t="s">
        <v>1236</v>
      </c>
      <c r="C134" t="s">
        <v>1912</v>
      </c>
      <c r="D134" s="41">
        <v>1</v>
      </c>
      <c r="E134" s="41">
        <v>2275</v>
      </c>
      <c r="F134" s="41" t="s">
        <v>3425</v>
      </c>
      <c r="G134" s="41" t="s">
        <v>3426</v>
      </c>
      <c r="H134" s="2043">
        <v>211190</v>
      </c>
      <c r="I134" s="2043">
        <v>478113</v>
      </c>
      <c r="J134">
        <v>0.50369570484929604</v>
      </c>
      <c r="K134" s="2043">
        <v>106375.495907123</v>
      </c>
      <c r="L134" s="2043">
        <v>106375.495907123</v>
      </c>
      <c r="M134">
        <v>599</v>
      </c>
      <c r="N134">
        <v>1</v>
      </c>
    </row>
    <row r="135" spans="1:14">
      <c r="A135" t="s">
        <v>2873</v>
      </c>
      <c r="B135" t="s">
        <v>1236</v>
      </c>
      <c r="C135" t="s">
        <v>1912</v>
      </c>
      <c r="D135" s="41">
        <v>1</v>
      </c>
      <c r="E135" s="41">
        <v>2275</v>
      </c>
      <c r="F135" s="41" t="s">
        <v>3425</v>
      </c>
      <c r="G135" s="41" t="s">
        <v>3427</v>
      </c>
      <c r="H135" s="2043">
        <v>211190</v>
      </c>
      <c r="I135" s="2043">
        <v>68030</v>
      </c>
      <c r="J135">
        <v>7.1670125683463107E-2</v>
      </c>
      <c r="K135" s="2043">
        <v>15136.013843090601</v>
      </c>
      <c r="L135" s="2043">
        <v>15136.013843090601</v>
      </c>
      <c r="M135">
        <v>599</v>
      </c>
      <c r="N135">
        <v>1</v>
      </c>
    </row>
    <row r="136" spans="1:14">
      <c r="A136" t="s">
        <v>2873</v>
      </c>
      <c r="B136" t="s">
        <v>1236</v>
      </c>
      <c r="C136" t="s">
        <v>1912</v>
      </c>
      <c r="D136" s="41">
        <v>1</v>
      </c>
      <c r="E136" s="41">
        <v>2275</v>
      </c>
      <c r="F136" s="41" t="s">
        <v>3425</v>
      </c>
      <c r="G136" s="41" t="s">
        <v>5530</v>
      </c>
      <c r="H136" s="2043">
        <v>211190</v>
      </c>
      <c r="I136" s="2043">
        <v>403067</v>
      </c>
      <c r="J136">
        <v>0.42463416946724097</v>
      </c>
      <c r="K136" s="2043">
        <v>89678.490249786701</v>
      </c>
      <c r="L136" s="2043">
        <v>89678.490249786701</v>
      </c>
      <c r="M136">
        <v>599</v>
      </c>
      <c r="N136">
        <v>1</v>
      </c>
    </row>
    <row r="137" spans="1:14">
      <c r="A137" t="s">
        <v>2874</v>
      </c>
      <c r="B137" t="s">
        <v>1425</v>
      </c>
      <c r="C137" t="s">
        <v>566</v>
      </c>
      <c r="D137" s="41">
        <v>1</v>
      </c>
      <c r="E137" s="41">
        <v>2391</v>
      </c>
      <c r="F137" s="41" t="s">
        <v>3428</v>
      </c>
      <c r="G137" s="41" t="s">
        <v>3428</v>
      </c>
      <c r="H137" s="2043">
        <v>767280</v>
      </c>
      <c r="I137" s="2043">
        <v>0</v>
      </c>
      <c r="J137">
        <v>0</v>
      </c>
      <c r="L137" s="2043">
        <v>0</v>
      </c>
      <c r="M137">
        <v>599</v>
      </c>
      <c r="N137">
        <v>0</v>
      </c>
    </row>
    <row r="138" spans="1:14">
      <c r="A138" t="s">
        <v>2874</v>
      </c>
      <c r="B138" t="s">
        <v>1425</v>
      </c>
      <c r="C138" t="s">
        <v>566</v>
      </c>
      <c r="D138" s="41">
        <v>9</v>
      </c>
      <c r="E138" s="41">
        <v>2392</v>
      </c>
      <c r="F138" s="41" t="s">
        <v>3429</v>
      </c>
      <c r="G138" s="41" t="s">
        <v>3429</v>
      </c>
      <c r="H138" s="2043">
        <v>1498738</v>
      </c>
      <c r="I138" s="2043">
        <v>1444725</v>
      </c>
      <c r="J138">
        <v>0.46220476849370901</v>
      </c>
      <c r="K138" s="2043">
        <v>692723.85032272502</v>
      </c>
      <c r="L138" s="2043">
        <v>692723.85032272502</v>
      </c>
      <c r="M138">
        <v>599</v>
      </c>
      <c r="N138">
        <v>1</v>
      </c>
    </row>
    <row r="139" spans="1:14">
      <c r="A139" t="s">
        <v>2874</v>
      </c>
      <c r="B139" t="s">
        <v>1425</v>
      </c>
      <c r="C139" t="s">
        <v>566</v>
      </c>
      <c r="D139" s="41">
        <v>9</v>
      </c>
      <c r="E139" s="41">
        <v>2392</v>
      </c>
      <c r="F139" s="41" t="s">
        <v>3429</v>
      </c>
      <c r="G139" s="41" t="s">
        <v>5342</v>
      </c>
      <c r="H139" s="2043">
        <v>1498738</v>
      </c>
      <c r="I139" s="2043">
        <v>291800</v>
      </c>
      <c r="J139">
        <v>9.3354341792704104E-2</v>
      </c>
      <c r="K139" s="2043">
        <v>139913.699509714</v>
      </c>
      <c r="L139" s="2043">
        <v>139913.699509714</v>
      </c>
      <c r="M139">
        <v>599</v>
      </c>
      <c r="N139">
        <v>1</v>
      </c>
    </row>
    <row r="140" spans="1:14">
      <c r="A140" t="s">
        <v>2874</v>
      </c>
      <c r="B140" t="s">
        <v>1425</v>
      </c>
      <c r="C140" t="s">
        <v>566</v>
      </c>
      <c r="D140" s="41">
        <v>9</v>
      </c>
      <c r="E140" s="41">
        <v>2392</v>
      </c>
      <c r="F140" s="41" t="s">
        <v>3429</v>
      </c>
      <c r="G140" s="41" t="s">
        <v>3430</v>
      </c>
      <c r="H140" s="2043">
        <v>1498738</v>
      </c>
      <c r="I140" s="2043">
        <v>1389200</v>
      </c>
      <c r="J140">
        <v>0.44444088971358597</v>
      </c>
      <c r="K140" s="2043">
        <v>666100.45016756095</v>
      </c>
      <c r="L140" s="2043">
        <v>666100.45016756095</v>
      </c>
      <c r="M140">
        <v>599</v>
      </c>
      <c r="N140">
        <v>1</v>
      </c>
    </row>
    <row r="141" spans="1:14">
      <c r="A141" t="s">
        <v>2875</v>
      </c>
      <c r="B141" t="s">
        <v>1430</v>
      </c>
      <c r="C141" t="s">
        <v>2187</v>
      </c>
      <c r="D141" s="41">
        <v>3</v>
      </c>
      <c r="E141" s="41">
        <v>2403</v>
      </c>
      <c r="F141" s="41" t="s">
        <v>3431</v>
      </c>
      <c r="G141" s="41" t="s">
        <v>3431</v>
      </c>
      <c r="H141" s="2043">
        <v>290625</v>
      </c>
      <c r="I141" s="2043">
        <v>0</v>
      </c>
      <c r="J141">
        <v>0</v>
      </c>
      <c r="L141" s="2043">
        <v>0</v>
      </c>
      <c r="M141">
        <v>599</v>
      </c>
      <c r="N141">
        <v>0</v>
      </c>
    </row>
    <row r="142" spans="1:14">
      <c r="A142" t="s">
        <v>2875</v>
      </c>
      <c r="B142" t="s">
        <v>1430</v>
      </c>
      <c r="C142" t="s">
        <v>2187</v>
      </c>
      <c r="D142" s="41">
        <v>9</v>
      </c>
      <c r="E142" s="41">
        <v>2402</v>
      </c>
      <c r="F142" s="41" t="s">
        <v>3432</v>
      </c>
      <c r="G142" s="41" t="s">
        <v>3432</v>
      </c>
      <c r="H142" s="2043">
        <v>284227</v>
      </c>
      <c r="I142" s="2043">
        <v>0</v>
      </c>
      <c r="J142">
        <v>0</v>
      </c>
      <c r="K142" s="2043">
        <v>0</v>
      </c>
      <c r="L142" s="2043">
        <v>0</v>
      </c>
      <c r="M142">
        <v>599</v>
      </c>
      <c r="N142">
        <v>1</v>
      </c>
    </row>
    <row r="143" spans="1:14">
      <c r="A143" t="s">
        <v>2875</v>
      </c>
      <c r="B143" t="s">
        <v>1430</v>
      </c>
      <c r="C143" t="s">
        <v>2187</v>
      </c>
      <c r="D143" s="41">
        <v>9</v>
      </c>
      <c r="E143" s="41">
        <v>2402</v>
      </c>
      <c r="F143" s="41" t="s">
        <v>3432</v>
      </c>
      <c r="G143" s="41" t="s">
        <v>3433</v>
      </c>
      <c r="H143" s="2043">
        <v>284227</v>
      </c>
      <c r="I143" s="2043">
        <v>350136</v>
      </c>
      <c r="J143">
        <v>0.28504880989500397</v>
      </c>
      <c r="K143" s="2043">
        <v>81018.568090027402</v>
      </c>
      <c r="L143" s="2043">
        <v>81018.568090027402</v>
      </c>
      <c r="M143">
        <v>599</v>
      </c>
      <c r="N143">
        <v>1</v>
      </c>
    </row>
    <row r="144" spans="1:14">
      <c r="A144" t="s">
        <v>2875</v>
      </c>
      <c r="B144" t="s">
        <v>1430</v>
      </c>
      <c r="C144" t="s">
        <v>2187</v>
      </c>
      <c r="D144" s="41">
        <v>9</v>
      </c>
      <c r="E144" s="41">
        <v>2402</v>
      </c>
      <c r="F144" s="41" t="s">
        <v>3432</v>
      </c>
      <c r="G144" s="41" t="s">
        <v>3434</v>
      </c>
      <c r="H144" s="2043">
        <v>284227</v>
      </c>
      <c r="I144" s="2043">
        <v>878201</v>
      </c>
      <c r="J144">
        <v>0.71495119010499597</v>
      </c>
      <c r="K144" s="2043">
        <v>203208.43190997301</v>
      </c>
      <c r="L144" s="2043">
        <v>203208.43190997301</v>
      </c>
      <c r="M144">
        <v>599</v>
      </c>
      <c r="N144">
        <v>1</v>
      </c>
    </row>
    <row r="145" spans="1:14">
      <c r="A145" t="s">
        <v>2876</v>
      </c>
      <c r="B145" t="s">
        <v>1755</v>
      </c>
      <c r="C145" t="s">
        <v>683</v>
      </c>
      <c r="D145" s="41">
        <v>2</v>
      </c>
      <c r="E145" s="41">
        <v>1868</v>
      </c>
      <c r="F145" s="41" t="s">
        <v>3435</v>
      </c>
      <c r="G145" s="41" t="s">
        <v>3435</v>
      </c>
      <c r="H145" s="2043">
        <v>3489913</v>
      </c>
      <c r="I145" s="2043">
        <v>0</v>
      </c>
      <c r="J145">
        <v>0</v>
      </c>
      <c r="K145" s="2043">
        <v>0</v>
      </c>
      <c r="L145" s="2043">
        <v>0</v>
      </c>
      <c r="M145">
        <v>599</v>
      </c>
      <c r="N145">
        <v>0</v>
      </c>
    </row>
    <row r="146" spans="1:14">
      <c r="A146" t="s">
        <v>2876</v>
      </c>
      <c r="B146" t="s">
        <v>1755</v>
      </c>
      <c r="C146" t="s">
        <v>683</v>
      </c>
      <c r="D146" s="41">
        <v>2</v>
      </c>
      <c r="E146" s="41">
        <v>1868</v>
      </c>
      <c r="F146" s="41" t="s">
        <v>3435</v>
      </c>
      <c r="G146" s="41" t="s">
        <v>3436</v>
      </c>
      <c r="H146" s="2043">
        <v>3489913</v>
      </c>
      <c r="I146" s="2043">
        <v>0</v>
      </c>
      <c r="J146">
        <v>0</v>
      </c>
      <c r="K146" s="2043">
        <v>0</v>
      </c>
      <c r="L146" s="2043">
        <v>0</v>
      </c>
      <c r="M146">
        <v>599</v>
      </c>
      <c r="N146">
        <v>0</v>
      </c>
    </row>
    <row r="147" spans="1:14">
      <c r="A147" t="s">
        <v>2876</v>
      </c>
      <c r="B147" t="s">
        <v>1755</v>
      </c>
      <c r="C147" t="s">
        <v>683</v>
      </c>
      <c r="D147" s="41">
        <v>2</v>
      </c>
      <c r="E147" s="41">
        <v>1868</v>
      </c>
      <c r="F147" s="41" t="s">
        <v>3435</v>
      </c>
      <c r="G147" s="41" t="s">
        <v>3437</v>
      </c>
      <c r="H147" s="2043">
        <v>3489913</v>
      </c>
      <c r="I147" s="2043">
        <v>0</v>
      </c>
      <c r="J147">
        <v>0</v>
      </c>
      <c r="K147" s="2043">
        <v>0</v>
      </c>
      <c r="L147" s="2043">
        <v>0</v>
      </c>
      <c r="M147">
        <v>599</v>
      </c>
      <c r="N147">
        <v>1</v>
      </c>
    </row>
    <row r="148" spans="1:14">
      <c r="A148" t="s">
        <v>2876</v>
      </c>
      <c r="B148" t="s">
        <v>1755</v>
      </c>
      <c r="C148" t="s">
        <v>683</v>
      </c>
      <c r="D148" s="41">
        <v>2</v>
      </c>
      <c r="E148" s="41">
        <v>1868</v>
      </c>
      <c r="F148" s="41" t="s">
        <v>3435</v>
      </c>
      <c r="G148" s="41" t="s">
        <v>3438</v>
      </c>
      <c r="H148" s="2043">
        <v>3489913</v>
      </c>
      <c r="I148" s="2043">
        <v>0</v>
      </c>
      <c r="J148">
        <v>0</v>
      </c>
      <c r="K148" s="2043">
        <v>0</v>
      </c>
      <c r="L148" s="2043">
        <v>0</v>
      </c>
      <c r="M148">
        <v>599</v>
      </c>
      <c r="N148">
        <v>1</v>
      </c>
    </row>
    <row r="149" spans="1:14">
      <c r="A149" t="s">
        <v>2876</v>
      </c>
      <c r="B149" t="s">
        <v>1755</v>
      </c>
      <c r="C149" t="s">
        <v>683</v>
      </c>
      <c r="D149" s="41">
        <v>2</v>
      </c>
      <c r="E149" s="41">
        <v>1868</v>
      </c>
      <c r="F149" s="41" t="s">
        <v>3435</v>
      </c>
      <c r="G149" s="41" t="s">
        <v>3439</v>
      </c>
      <c r="H149" s="2043">
        <v>3489913</v>
      </c>
      <c r="I149" s="2043">
        <v>0</v>
      </c>
      <c r="J149">
        <v>0</v>
      </c>
      <c r="K149" s="2043">
        <v>0</v>
      </c>
      <c r="L149" s="2043">
        <v>0</v>
      </c>
      <c r="M149">
        <v>599</v>
      </c>
      <c r="N149">
        <v>1</v>
      </c>
    </row>
    <row r="150" spans="1:14">
      <c r="A150" t="s">
        <v>2876</v>
      </c>
      <c r="B150" t="s">
        <v>1755</v>
      </c>
      <c r="C150" t="s">
        <v>683</v>
      </c>
      <c r="D150" s="41">
        <v>2</v>
      </c>
      <c r="E150" s="41">
        <v>1868</v>
      </c>
      <c r="F150" s="41" t="s">
        <v>3435</v>
      </c>
      <c r="G150" s="41" t="s">
        <v>7112</v>
      </c>
      <c r="H150" s="2043">
        <v>3489913</v>
      </c>
      <c r="I150" s="2043">
        <v>0</v>
      </c>
      <c r="J150">
        <v>0</v>
      </c>
      <c r="K150" s="2043">
        <v>0</v>
      </c>
      <c r="L150" s="2043">
        <v>0</v>
      </c>
      <c r="M150">
        <v>599</v>
      </c>
      <c r="N150">
        <v>1</v>
      </c>
    </row>
    <row r="151" spans="1:14">
      <c r="A151" t="s">
        <v>2876</v>
      </c>
      <c r="B151" t="s">
        <v>1755</v>
      </c>
      <c r="C151" t="s">
        <v>683</v>
      </c>
      <c r="D151" s="41">
        <v>2</v>
      </c>
      <c r="E151" s="41">
        <v>1868</v>
      </c>
      <c r="F151" s="41" t="s">
        <v>3435</v>
      </c>
      <c r="G151" s="41" t="s">
        <v>7113</v>
      </c>
      <c r="H151" s="2043">
        <v>3489913</v>
      </c>
      <c r="I151" s="2043">
        <v>0</v>
      </c>
      <c r="J151">
        <v>0</v>
      </c>
      <c r="K151" s="2043">
        <v>0</v>
      </c>
      <c r="L151" s="2043">
        <v>0</v>
      </c>
      <c r="M151">
        <v>599</v>
      </c>
      <c r="N151">
        <v>1</v>
      </c>
    </row>
    <row r="152" spans="1:14">
      <c r="A152" t="s">
        <v>2876</v>
      </c>
      <c r="B152" t="s">
        <v>1755</v>
      </c>
      <c r="C152" t="s">
        <v>683</v>
      </c>
      <c r="D152" s="41">
        <v>2</v>
      </c>
      <c r="E152" s="41">
        <v>1868</v>
      </c>
      <c r="F152" s="41" t="s">
        <v>3435</v>
      </c>
      <c r="G152" s="41" t="s">
        <v>8615</v>
      </c>
      <c r="H152" s="2043">
        <v>3489913</v>
      </c>
      <c r="I152" s="2043">
        <v>211960</v>
      </c>
      <c r="J152">
        <v>0.54511693936229899</v>
      </c>
      <c r="K152" s="2043">
        <v>1902410.6932007</v>
      </c>
      <c r="L152" s="2043">
        <v>211960</v>
      </c>
      <c r="M152">
        <v>599</v>
      </c>
      <c r="N152">
        <v>1</v>
      </c>
    </row>
    <row r="153" spans="1:14">
      <c r="A153" t="s">
        <v>2876</v>
      </c>
      <c r="B153" t="s">
        <v>1755</v>
      </c>
      <c r="C153" t="s">
        <v>683</v>
      </c>
      <c r="D153" s="41">
        <v>2</v>
      </c>
      <c r="E153" s="41">
        <v>1868</v>
      </c>
      <c r="F153" s="41" t="s">
        <v>3435</v>
      </c>
      <c r="G153" s="41" t="s">
        <v>8616</v>
      </c>
      <c r="H153" s="2043">
        <v>3489913</v>
      </c>
      <c r="I153" s="2043">
        <v>55797</v>
      </c>
      <c r="J153">
        <v>0.14349825375353001</v>
      </c>
      <c r="K153" s="2043">
        <v>500796.42125174199</v>
      </c>
      <c r="L153" s="2043">
        <v>55797</v>
      </c>
      <c r="M153">
        <v>599</v>
      </c>
      <c r="N153">
        <v>1</v>
      </c>
    </row>
    <row r="154" spans="1:14">
      <c r="A154" t="s">
        <v>2876</v>
      </c>
      <c r="B154" t="s">
        <v>1755</v>
      </c>
      <c r="C154" t="s">
        <v>683</v>
      </c>
      <c r="D154" s="41">
        <v>2</v>
      </c>
      <c r="E154" s="41">
        <v>1868</v>
      </c>
      <c r="F154" s="41" t="s">
        <v>3435</v>
      </c>
      <c r="G154" s="41" t="s">
        <v>9295</v>
      </c>
      <c r="H154" s="2043">
        <v>3489913</v>
      </c>
      <c r="I154" s="2043">
        <v>121077</v>
      </c>
      <c r="J154">
        <v>0.31138480688417203</v>
      </c>
      <c r="K154" s="2043">
        <v>1086705.8855475599</v>
      </c>
      <c r="L154" s="2043">
        <v>121077</v>
      </c>
      <c r="M154">
        <v>599</v>
      </c>
      <c r="N154">
        <v>1</v>
      </c>
    </row>
    <row r="155" spans="1:14">
      <c r="A155" t="s">
        <v>2876</v>
      </c>
      <c r="B155" t="s">
        <v>1755</v>
      </c>
      <c r="C155" t="s">
        <v>683</v>
      </c>
      <c r="D155" s="41">
        <v>4</v>
      </c>
      <c r="E155" s="41">
        <v>1869</v>
      </c>
      <c r="F155" s="41" t="s">
        <v>3440</v>
      </c>
      <c r="G155" s="41" t="s">
        <v>3440</v>
      </c>
      <c r="H155" s="2043">
        <v>3515081</v>
      </c>
      <c r="I155" s="2043">
        <v>0</v>
      </c>
      <c r="J155">
        <v>0</v>
      </c>
      <c r="K155" s="2043">
        <v>0</v>
      </c>
      <c r="L155" s="2043">
        <v>0</v>
      </c>
      <c r="M155">
        <v>599</v>
      </c>
      <c r="N155">
        <v>0</v>
      </c>
    </row>
    <row r="156" spans="1:14">
      <c r="A156" t="s">
        <v>2876</v>
      </c>
      <c r="B156" t="s">
        <v>1755</v>
      </c>
      <c r="C156" t="s">
        <v>683</v>
      </c>
      <c r="D156" s="41">
        <v>4</v>
      </c>
      <c r="E156" s="41">
        <v>1869</v>
      </c>
      <c r="F156" s="41" t="s">
        <v>3440</v>
      </c>
      <c r="G156" s="41" t="s">
        <v>3436</v>
      </c>
      <c r="H156" s="2043">
        <v>3515081</v>
      </c>
      <c r="I156" s="2043">
        <v>0</v>
      </c>
      <c r="J156">
        <v>0</v>
      </c>
      <c r="K156" s="2043">
        <v>0</v>
      </c>
      <c r="L156" s="2043">
        <v>0</v>
      </c>
      <c r="M156">
        <v>599</v>
      </c>
      <c r="N156">
        <v>0</v>
      </c>
    </row>
    <row r="157" spans="1:14">
      <c r="A157" t="s">
        <v>2876</v>
      </c>
      <c r="B157" t="s">
        <v>1755</v>
      </c>
      <c r="C157" t="s">
        <v>683</v>
      </c>
      <c r="D157" s="41">
        <v>4</v>
      </c>
      <c r="E157" s="41">
        <v>1869</v>
      </c>
      <c r="F157" s="41" t="s">
        <v>3440</v>
      </c>
      <c r="G157" s="41" t="s">
        <v>3441</v>
      </c>
      <c r="H157" s="2043">
        <v>3515081</v>
      </c>
      <c r="I157" s="2043">
        <v>0</v>
      </c>
      <c r="J157">
        <v>0</v>
      </c>
      <c r="K157" s="2043">
        <v>0</v>
      </c>
      <c r="L157" s="2043">
        <v>0</v>
      </c>
      <c r="M157">
        <v>599</v>
      </c>
      <c r="N157">
        <v>1</v>
      </c>
    </row>
    <row r="158" spans="1:14">
      <c r="A158" t="s">
        <v>2876</v>
      </c>
      <c r="B158" t="s">
        <v>1755</v>
      </c>
      <c r="C158" t="s">
        <v>683</v>
      </c>
      <c r="D158" s="41">
        <v>4</v>
      </c>
      <c r="E158" s="41">
        <v>1869</v>
      </c>
      <c r="F158" s="41" t="s">
        <v>3440</v>
      </c>
      <c r="G158" s="41" t="s">
        <v>3438</v>
      </c>
      <c r="H158" s="2043">
        <v>3515081</v>
      </c>
      <c r="I158" s="2043">
        <v>0</v>
      </c>
      <c r="J158">
        <v>0</v>
      </c>
      <c r="K158" s="2043">
        <v>0</v>
      </c>
      <c r="L158" s="2043">
        <v>0</v>
      </c>
      <c r="M158">
        <v>599</v>
      </c>
      <c r="N158">
        <v>1</v>
      </c>
    </row>
    <row r="159" spans="1:14">
      <c r="A159" t="s">
        <v>2876</v>
      </c>
      <c r="B159" t="s">
        <v>1755</v>
      </c>
      <c r="C159" t="s">
        <v>683</v>
      </c>
      <c r="D159" s="41">
        <v>4</v>
      </c>
      <c r="E159" s="41">
        <v>1869</v>
      </c>
      <c r="F159" s="41" t="s">
        <v>3440</v>
      </c>
      <c r="G159" s="41" t="s">
        <v>3439</v>
      </c>
      <c r="H159" s="2043">
        <v>3515081</v>
      </c>
      <c r="I159" s="2043">
        <v>0</v>
      </c>
      <c r="J159">
        <v>0</v>
      </c>
      <c r="K159" s="2043">
        <v>0</v>
      </c>
      <c r="L159" s="2043">
        <v>0</v>
      </c>
      <c r="M159">
        <v>599</v>
      </c>
      <c r="N159">
        <v>1</v>
      </c>
    </row>
    <row r="160" spans="1:14">
      <c r="A160" t="s">
        <v>2876</v>
      </c>
      <c r="B160" t="s">
        <v>1755</v>
      </c>
      <c r="C160" t="s">
        <v>683</v>
      </c>
      <c r="D160" s="41">
        <v>4</v>
      </c>
      <c r="E160" s="41">
        <v>1869</v>
      </c>
      <c r="F160" s="41" t="s">
        <v>3440</v>
      </c>
      <c r="G160" s="41" t="s">
        <v>5343</v>
      </c>
      <c r="H160" s="2043">
        <v>3515081</v>
      </c>
      <c r="I160" s="2043">
        <v>0</v>
      </c>
      <c r="J160">
        <v>0</v>
      </c>
      <c r="K160" s="2043">
        <v>0</v>
      </c>
      <c r="L160" s="2043">
        <v>0</v>
      </c>
      <c r="M160">
        <v>599</v>
      </c>
      <c r="N160">
        <v>1</v>
      </c>
    </row>
    <row r="161" spans="1:14">
      <c r="A161" t="s">
        <v>2876</v>
      </c>
      <c r="B161" t="s">
        <v>1755</v>
      </c>
      <c r="C161" t="s">
        <v>683</v>
      </c>
      <c r="D161" s="41">
        <v>4</v>
      </c>
      <c r="E161" s="41">
        <v>1869</v>
      </c>
      <c r="F161" s="41" t="s">
        <v>3440</v>
      </c>
      <c r="G161" s="41" t="s">
        <v>8615</v>
      </c>
      <c r="H161" s="2043">
        <v>3515081</v>
      </c>
      <c r="I161" s="2043">
        <v>10569</v>
      </c>
      <c r="J161">
        <v>7.9555291266155306E-2</v>
      </c>
      <c r="K161" s="2043">
        <v>279643.292779129</v>
      </c>
      <c r="L161" s="2043">
        <v>10569</v>
      </c>
      <c r="M161">
        <v>599</v>
      </c>
      <c r="N161">
        <v>1</v>
      </c>
    </row>
    <row r="162" spans="1:14">
      <c r="A162" t="s">
        <v>2876</v>
      </c>
      <c r="B162" t="s">
        <v>1755</v>
      </c>
      <c r="C162" t="s">
        <v>683</v>
      </c>
      <c r="D162" s="41">
        <v>4</v>
      </c>
      <c r="E162" s="41">
        <v>1869</v>
      </c>
      <c r="F162" s="41" t="s">
        <v>3440</v>
      </c>
      <c r="G162" s="41" t="s">
        <v>8616</v>
      </c>
      <c r="H162" s="2043">
        <v>3515081</v>
      </c>
      <c r="I162" s="2043">
        <v>116245</v>
      </c>
      <c r="J162">
        <v>0.87500282271115803</v>
      </c>
      <c r="K162" s="2043">
        <v>3075705.7970583602</v>
      </c>
      <c r="L162" s="2043">
        <v>116245</v>
      </c>
      <c r="M162">
        <v>599</v>
      </c>
      <c r="N162">
        <v>1</v>
      </c>
    </row>
    <row r="163" spans="1:14">
      <c r="A163" t="s">
        <v>2876</v>
      </c>
      <c r="B163" t="s">
        <v>1755</v>
      </c>
      <c r="C163" t="s">
        <v>683</v>
      </c>
      <c r="D163" s="41">
        <v>4</v>
      </c>
      <c r="E163" s="41">
        <v>1869</v>
      </c>
      <c r="F163" s="41" t="s">
        <v>3440</v>
      </c>
      <c r="G163" s="41" t="s">
        <v>9295</v>
      </c>
      <c r="H163" s="2043">
        <v>3515081</v>
      </c>
      <c r="I163" s="2043">
        <v>6037</v>
      </c>
      <c r="J163">
        <v>4.5441886022687103E-2</v>
      </c>
      <c r="K163" s="2043">
        <v>159731.910162513</v>
      </c>
      <c r="L163" s="2043">
        <v>6037</v>
      </c>
      <c r="M163">
        <v>599</v>
      </c>
      <c r="N163">
        <v>1</v>
      </c>
    </row>
    <row r="164" spans="1:14">
      <c r="A164" t="s">
        <v>2876</v>
      </c>
      <c r="B164" t="s">
        <v>1755</v>
      </c>
      <c r="C164" t="s">
        <v>683</v>
      </c>
      <c r="D164" s="41">
        <v>5</v>
      </c>
      <c r="E164" s="41">
        <v>1867</v>
      </c>
      <c r="F164" s="41" t="s">
        <v>3442</v>
      </c>
      <c r="G164" s="41" t="s">
        <v>3442</v>
      </c>
      <c r="H164" s="2043">
        <v>3411660</v>
      </c>
      <c r="I164" s="2043">
        <v>0</v>
      </c>
      <c r="J164">
        <v>0</v>
      </c>
      <c r="K164" s="2043">
        <v>0</v>
      </c>
      <c r="L164" s="2043">
        <v>0</v>
      </c>
      <c r="M164">
        <v>599</v>
      </c>
      <c r="N164">
        <v>0</v>
      </c>
    </row>
    <row r="165" spans="1:14">
      <c r="A165" t="s">
        <v>2876</v>
      </c>
      <c r="B165" t="s">
        <v>1755</v>
      </c>
      <c r="C165" t="s">
        <v>683</v>
      </c>
      <c r="D165" s="41">
        <v>5</v>
      </c>
      <c r="E165" s="41">
        <v>1867</v>
      </c>
      <c r="F165" s="41" t="s">
        <v>3442</v>
      </c>
      <c r="G165" s="41" t="s">
        <v>3436</v>
      </c>
      <c r="H165" s="2043">
        <v>3411660</v>
      </c>
      <c r="I165" s="2043">
        <v>0</v>
      </c>
      <c r="J165">
        <v>0</v>
      </c>
      <c r="K165" s="2043">
        <v>0</v>
      </c>
      <c r="L165" s="2043">
        <v>0</v>
      </c>
      <c r="M165">
        <v>599</v>
      </c>
      <c r="N165">
        <v>0</v>
      </c>
    </row>
    <row r="166" spans="1:14">
      <c r="A166" t="s">
        <v>2876</v>
      </c>
      <c r="B166" t="s">
        <v>1755</v>
      </c>
      <c r="C166" t="s">
        <v>683</v>
      </c>
      <c r="D166" s="41">
        <v>5</v>
      </c>
      <c r="E166" s="41">
        <v>1867</v>
      </c>
      <c r="F166" s="41" t="s">
        <v>3442</v>
      </c>
      <c r="G166" s="41" t="s">
        <v>3437</v>
      </c>
      <c r="H166" s="2043">
        <v>3411660</v>
      </c>
      <c r="I166" s="2043">
        <v>0</v>
      </c>
      <c r="J166">
        <v>0</v>
      </c>
      <c r="K166" s="2043">
        <v>0</v>
      </c>
      <c r="L166" s="2043">
        <v>0</v>
      </c>
      <c r="M166">
        <v>599</v>
      </c>
      <c r="N166">
        <v>1</v>
      </c>
    </row>
    <row r="167" spans="1:14">
      <c r="A167" t="s">
        <v>2876</v>
      </c>
      <c r="B167" t="s">
        <v>1755</v>
      </c>
      <c r="C167" t="s">
        <v>683</v>
      </c>
      <c r="D167" s="41">
        <v>5</v>
      </c>
      <c r="E167" s="41">
        <v>1867</v>
      </c>
      <c r="F167" s="41" t="s">
        <v>3442</v>
      </c>
      <c r="G167" s="41" t="s">
        <v>3443</v>
      </c>
      <c r="H167" s="2043">
        <v>3411660</v>
      </c>
      <c r="I167" s="2043">
        <v>239450</v>
      </c>
      <c r="J167">
        <v>7.9457202283535894E-2</v>
      </c>
      <c r="K167" s="2043">
        <v>271080.95874264801</v>
      </c>
      <c r="L167" s="2043">
        <v>239450</v>
      </c>
      <c r="M167">
        <v>599</v>
      </c>
      <c r="N167">
        <v>1</v>
      </c>
    </row>
    <row r="168" spans="1:14">
      <c r="A168" t="s">
        <v>2876</v>
      </c>
      <c r="B168" t="s">
        <v>1755</v>
      </c>
      <c r="C168" t="s">
        <v>683</v>
      </c>
      <c r="D168" s="41">
        <v>5</v>
      </c>
      <c r="E168" s="41">
        <v>1867</v>
      </c>
      <c r="F168" s="41" t="s">
        <v>3442</v>
      </c>
      <c r="G168" s="41" t="s">
        <v>3439</v>
      </c>
      <c r="H168" s="2043">
        <v>3411660</v>
      </c>
      <c r="I168" s="2043">
        <v>0</v>
      </c>
      <c r="J168">
        <v>0</v>
      </c>
      <c r="K168" s="2043">
        <v>0</v>
      </c>
      <c r="L168" s="2043">
        <v>0</v>
      </c>
      <c r="M168">
        <v>599</v>
      </c>
      <c r="N168">
        <v>1</v>
      </c>
    </row>
    <row r="169" spans="1:14">
      <c r="A169" t="s">
        <v>2876</v>
      </c>
      <c r="B169" t="s">
        <v>1755</v>
      </c>
      <c r="C169" t="s">
        <v>683</v>
      </c>
      <c r="D169" s="41">
        <v>5</v>
      </c>
      <c r="E169" s="41">
        <v>1867</v>
      </c>
      <c r="F169" s="41" t="s">
        <v>3442</v>
      </c>
      <c r="G169" s="41" t="s">
        <v>7112</v>
      </c>
      <c r="H169" s="2043">
        <v>3411660</v>
      </c>
      <c r="I169" s="2043">
        <v>343600</v>
      </c>
      <c r="J169">
        <v>0.114017518081532</v>
      </c>
      <c r="K169" s="2043">
        <v>388989.00573804101</v>
      </c>
      <c r="L169" s="2043">
        <v>343600</v>
      </c>
      <c r="M169">
        <v>599</v>
      </c>
      <c r="N169">
        <v>1</v>
      </c>
    </row>
    <row r="170" spans="1:14">
      <c r="A170" t="s">
        <v>2876</v>
      </c>
      <c r="B170" t="s">
        <v>1755</v>
      </c>
      <c r="C170" t="s">
        <v>683</v>
      </c>
      <c r="D170" s="41">
        <v>5</v>
      </c>
      <c r="E170" s="41">
        <v>1867</v>
      </c>
      <c r="F170" s="41" t="s">
        <v>3442</v>
      </c>
      <c r="G170" s="41" t="s">
        <v>7113</v>
      </c>
      <c r="H170" s="2043">
        <v>3411660</v>
      </c>
      <c r="I170" s="2043">
        <v>2351000</v>
      </c>
      <c r="J170">
        <v>0.78013732540652803</v>
      </c>
      <c r="K170" s="2043">
        <v>2661563.3075964302</v>
      </c>
      <c r="L170" s="2043">
        <v>2351000</v>
      </c>
      <c r="M170">
        <v>599</v>
      </c>
      <c r="N170">
        <v>1</v>
      </c>
    </row>
    <row r="171" spans="1:14">
      <c r="A171" t="s">
        <v>2876</v>
      </c>
      <c r="B171" t="s">
        <v>1755</v>
      </c>
      <c r="C171" t="s">
        <v>683</v>
      </c>
      <c r="D171" s="41">
        <v>5</v>
      </c>
      <c r="E171" s="41">
        <v>1867</v>
      </c>
      <c r="F171" s="41" t="s">
        <v>3442</v>
      </c>
      <c r="G171" s="41" t="s">
        <v>8615</v>
      </c>
      <c r="H171" s="2043">
        <v>3411660</v>
      </c>
      <c r="I171" s="2043">
        <v>50389</v>
      </c>
      <c r="J171">
        <v>1.67206889365842E-2</v>
      </c>
      <c r="K171" s="2043">
        <v>57045.305617386897</v>
      </c>
      <c r="L171" s="2043">
        <v>50389</v>
      </c>
      <c r="M171">
        <v>599</v>
      </c>
      <c r="N171">
        <v>1</v>
      </c>
    </row>
    <row r="172" spans="1:14">
      <c r="A172" t="s">
        <v>2876</v>
      </c>
      <c r="B172" t="s">
        <v>1755</v>
      </c>
      <c r="C172" t="s">
        <v>683</v>
      </c>
      <c r="D172" s="41">
        <v>5</v>
      </c>
      <c r="E172" s="41">
        <v>1867</v>
      </c>
      <c r="F172" s="41" t="s">
        <v>3442</v>
      </c>
      <c r="G172" s="41" t="s">
        <v>8616</v>
      </c>
      <c r="H172" s="2043">
        <v>3411660</v>
      </c>
      <c r="I172" s="2043">
        <v>29133</v>
      </c>
      <c r="J172">
        <v>9.6672652918198092E-3</v>
      </c>
      <c r="K172" s="2043">
        <v>32981.422305489999</v>
      </c>
      <c r="L172" s="2043">
        <v>29133</v>
      </c>
      <c r="M172">
        <v>599</v>
      </c>
      <c r="N172">
        <v>1</v>
      </c>
    </row>
    <row r="173" spans="1:14">
      <c r="A173" t="s">
        <v>2876</v>
      </c>
      <c r="B173" t="s">
        <v>1755</v>
      </c>
      <c r="C173" t="s">
        <v>683</v>
      </c>
      <c r="D173" s="41">
        <v>8</v>
      </c>
      <c r="E173" s="41">
        <v>1866</v>
      </c>
      <c r="F173" s="41" t="s">
        <v>3444</v>
      </c>
      <c r="G173" s="41" t="s">
        <v>3444</v>
      </c>
      <c r="H173" s="2043">
        <v>3182950</v>
      </c>
      <c r="I173" s="2043">
        <v>0</v>
      </c>
      <c r="J173">
        <v>0</v>
      </c>
      <c r="K173" s="2043">
        <v>0</v>
      </c>
      <c r="L173" s="2043">
        <v>0</v>
      </c>
      <c r="M173">
        <v>599</v>
      </c>
      <c r="N173">
        <v>1</v>
      </c>
    </row>
    <row r="174" spans="1:14">
      <c r="A174" t="s">
        <v>2876</v>
      </c>
      <c r="B174" t="s">
        <v>1755</v>
      </c>
      <c r="C174" t="s">
        <v>683</v>
      </c>
      <c r="D174" s="41">
        <v>8</v>
      </c>
      <c r="E174" s="41">
        <v>1866</v>
      </c>
      <c r="F174" s="41" t="s">
        <v>3444</v>
      </c>
      <c r="G174" s="41" t="s">
        <v>3445</v>
      </c>
      <c r="H174" s="2043">
        <v>3182950</v>
      </c>
      <c r="I174" s="2043">
        <v>327213</v>
      </c>
      <c r="J174">
        <v>0.106552559227616</v>
      </c>
      <c r="K174" s="2043">
        <v>339151.46839354001</v>
      </c>
      <c r="L174" s="2043">
        <v>327213</v>
      </c>
      <c r="M174">
        <v>599</v>
      </c>
      <c r="N174">
        <v>1</v>
      </c>
    </row>
    <row r="175" spans="1:14">
      <c r="A175" t="s">
        <v>2876</v>
      </c>
      <c r="B175" t="s">
        <v>1755</v>
      </c>
      <c r="C175" t="s">
        <v>683</v>
      </c>
      <c r="D175" s="41">
        <v>8</v>
      </c>
      <c r="E175" s="41">
        <v>1866</v>
      </c>
      <c r="F175" s="41" t="s">
        <v>3444</v>
      </c>
      <c r="G175" s="41" t="s">
        <v>3446</v>
      </c>
      <c r="H175" s="2043">
        <v>3182950</v>
      </c>
      <c r="I175" s="2043">
        <v>340300</v>
      </c>
      <c r="J175">
        <v>0.110814166628947</v>
      </c>
      <c r="K175" s="2043">
        <v>352715.95167160698</v>
      </c>
      <c r="L175" s="2043">
        <v>340300</v>
      </c>
      <c r="M175">
        <v>599</v>
      </c>
      <c r="N175">
        <v>1</v>
      </c>
    </row>
    <row r="176" spans="1:14">
      <c r="A176" t="s">
        <v>2876</v>
      </c>
      <c r="B176" t="s">
        <v>1755</v>
      </c>
      <c r="C176" t="s">
        <v>683</v>
      </c>
      <c r="D176" s="41">
        <v>8</v>
      </c>
      <c r="E176" s="41">
        <v>1866</v>
      </c>
      <c r="F176" s="41" t="s">
        <v>3444</v>
      </c>
      <c r="G176" s="41" t="s">
        <v>5344</v>
      </c>
      <c r="H176" s="2043">
        <v>3182950</v>
      </c>
      <c r="I176" s="2043">
        <v>1385800</v>
      </c>
      <c r="J176">
        <v>0.45126732916366402</v>
      </c>
      <c r="K176" s="2043">
        <v>1436361.34536148</v>
      </c>
      <c r="L176" s="2043">
        <v>1385800</v>
      </c>
      <c r="M176">
        <v>599</v>
      </c>
      <c r="N176">
        <v>1</v>
      </c>
    </row>
    <row r="177" spans="1:14">
      <c r="A177" t="s">
        <v>2876</v>
      </c>
      <c r="B177" t="s">
        <v>1755</v>
      </c>
      <c r="C177" t="s">
        <v>683</v>
      </c>
      <c r="D177" s="41">
        <v>8</v>
      </c>
      <c r="E177" s="41">
        <v>1866</v>
      </c>
      <c r="F177" s="41" t="s">
        <v>3444</v>
      </c>
      <c r="G177" s="41" t="s">
        <v>5345</v>
      </c>
      <c r="H177" s="2043">
        <v>3182950</v>
      </c>
      <c r="I177" s="2043">
        <v>777900</v>
      </c>
      <c r="J177">
        <v>0.25331278348709402</v>
      </c>
      <c r="K177" s="2043">
        <v>806281.92420024402</v>
      </c>
      <c r="L177" s="2043">
        <v>777900</v>
      </c>
      <c r="M177">
        <v>599</v>
      </c>
      <c r="N177">
        <v>1</v>
      </c>
    </row>
    <row r="178" spans="1:14">
      <c r="A178" t="s">
        <v>2876</v>
      </c>
      <c r="B178" t="s">
        <v>1755</v>
      </c>
      <c r="C178" t="s">
        <v>683</v>
      </c>
      <c r="D178" s="41">
        <v>8</v>
      </c>
      <c r="E178" s="41">
        <v>1866</v>
      </c>
      <c r="F178" s="41" t="s">
        <v>3444</v>
      </c>
      <c r="G178" s="41" t="s">
        <v>8615</v>
      </c>
      <c r="H178" s="2043">
        <v>3182950</v>
      </c>
      <c r="I178" s="2043">
        <v>239694</v>
      </c>
      <c r="J178">
        <v>7.8053161492679504E-2</v>
      </c>
      <c r="K178" s="2043">
        <v>248439.310373124</v>
      </c>
      <c r="L178" s="2043">
        <v>239694</v>
      </c>
      <c r="M178">
        <v>599</v>
      </c>
      <c r="N178">
        <v>1</v>
      </c>
    </row>
    <row r="179" spans="1:14">
      <c r="A179" t="s">
        <v>2876</v>
      </c>
      <c r="B179" t="s">
        <v>1755</v>
      </c>
      <c r="C179" t="s">
        <v>683</v>
      </c>
      <c r="D179" s="41">
        <v>11</v>
      </c>
      <c r="E179" s="41">
        <v>2479</v>
      </c>
      <c r="F179" s="41" t="s">
        <v>7114</v>
      </c>
      <c r="G179" s="41" t="s">
        <v>7114</v>
      </c>
      <c r="H179" s="2043">
        <v>1216400</v>
      </c>
      <c r="I179" s="2043">
        <v>1120000</v>
      </c>
      <c r="J179">
        <v>0.33251639201901301</v>
      </c>
      <c r="K179" s="2043">
        <v>404472.93925192702</v>
      </c>
      <c r="L179" s="2043">
        <v>404472.93925192702</v>
      </c>
      <c r="M179">
        <v>599</v>
      </c>
      <c r="N179">
        <v>1</v>
      </c>
    </row>
    <row r="180" spans="1:14">
      <c r="A180" t="s">
        <v>2876</v>
      </c>
      <c r="B180" t="s">
        <v>1755</v>
      </c>
      <c r="C180" t="s">
        <v>683</v>
      </c>
      <c r="D180" s="41">
        <v>11</v>
      </c>
      <c r="E180" s="41">
        <v>2479</v>
      </c>
      <c r="F180" s="41" t="s">
        <v>7114</v>
      </c>
      <c r="G180" s="41" t="s">
        <v>9295</v>
      </c>
      <c r="H180" s="2043">
        <v>1216400</v>
      </c>
      <c r="I180" s="2043">
        <v>2248255</v>
      </c>
      <c r="J180">
        <v>0.66748360798098705</v>
      </c>
      <c r="K180" s="2043">
        <v>811927.06074807304</v>
      </c>
      <c r="L180" s="2043">
        <v>811927.06074807304</v>
      </c>
      <c r="M180">
        <v>599</v>
      </c>
      <c r="N180">
        <v>1</v>
      </c>
    </row>
    <row r="181" spans="1:14">
      <c r="A181" t="s">
        <v>2876</v>
      </c>
      <c r="B181" t="s">
        <v>1755</v>
      </c>
      <c r="C181" t="s">
        <v>683</v>
      </c>
      <c r="D181" s="41">
        <v>11</v>
      </c>
      <c r="E181" s="41">
        <v>2478</v>
      </c>
      <c r="F181" s="41" t="s">
        <v>7115</v>
      </c>
      <c r="G181" s="41" t="s">
        <v>7115</v>
      </c>
      <c r="H181" s="2043">
        <v>1221412</v>
      </c>
      <c r="I181" s="2043">
        <v>0</v>
      </c>
      <c r="J181">
        <v>0</v>
      </c>
      <c r="L181" s="2043">
        <v>0</v>
      </c>
      <c r="M181">
        <v>599</v>
      </c>
      <c r="N181">
        <v>1</v>
      </c>
    </row>
    <row r="182" spans="1:14">
      <c r="A182" t="s">
        <v>2877</v>
      </c>
      <c r="B182" t="s">
        <v>726</v>
      </c>
      <c r="C182" t="s">
        <v>841</v>
      </c>
      <c r="D182" s="41">
        <v>1</v>
      </c>
      <c r="E182" s="41">
        <v>1790</v>
      </c>
      <c r="F182" s="41" t="s">
        <v>3447</v>
      </c>
      <c r="G182" s="41" t="s">
        <v>3447</v>
      </c>
      <c r="H182" s="2043">
        <v>394754</v>
      </c>
      <c r="I182" s="2043">
        <v>0</v>
      </c>
      <c r="J182">
        <v>0</v>
      </c>
      <c r="K182" s="2043">
        <v>0</v>
      </c>
      <c r="L182" s="2043">
        <v>0</v>
      </c>
      <c r="M182">
        <v>599</v>
      </c>
      <c r="N182">
        <v>0</v>
      </c>
    </row>
    <row r="183" spans="1:14">
      <c r="A183" t="s">
        <v>2877</v>
      </c>
      <c r="B183" t="s">
        <v>726</v>
      </c>
      <c r="C183" t="s">
        <v>841</v>
      </c>
      <c r="D183" s="41">
        <v>1</v>
      </c>
      <c r="E183" s="41">
        <v>1790</v>
      </c>
      <c r="F183" s="41" t="s">
        <v>3447</v>
      </c>
      <c r="G183" s="41" t="s">
        <v>3448</v>
      </c>
      <c r="H183" s="2043">
        <v>394754</v>
      </c>
      <c r="I183" s="2043">
        <v>0</v>
      </c>
      <c r="J183">
        <v>0</v>
      </c>
      <c r="K183" s="2043">
        <v>0</v>
      </c>
      <c r="L183" s="2043">
        <v>0</v>
      </c>
      <c r="M183">
        <v>599</v>
      </c>
      <c r="N183">
        <v>0</v>
      </c>
    </row>
    <row r="184" spans="1:14">
      <c r="A184" t="s">
        <v>2877</v>
      </c>
      <c r="B184" t="s">
        <v>726</v>
      </c>
      <c r="C184" t="s">
        <v>841</v>
      </c>
      <c r="D184" s="41">
        <v>1</v>
      </c>
      <c r="E184" s="41">
        <v>1790</v>
      </c>
      <c r="F184" s="41" t="s">
        <v>3447</v>
      </c>
      <c r="G184" s="41" t="s">
        <v>5346</v>
      </c>
      <c r="H184" s="2043">
        <v>394754</v>
      </c>
      <c r="I184" s="2043">
        <v>274915</v>
      </c>
      <c r="J184">
        <v>1</v>
      </c>
      <c r="K184" s="2043">
        <v>394754</v>
      </c>
      <c r="L184" s="2043">
        <v>274915</v>
      </c>
      <c r="M184">
        <v>599</v>
      </c>
      <c r="N184">
        <v>1</v>
      </c>
    </row>
    <row r="185" spans="1:14">
      <c r="A185" t="s">
        <v>2877</v>
      </c>
      <c r="B185" t="s">
        <v>726</v>
      </c>
      <c r="C185" t="s">
        <v>841</v>
      </c>
      <c r="D185" s="41">
        <v>1</v>
      </c>
      <c r="E185" s="41">
        <v>1789</v>
      </c>
      <c r="F185" s="41" t="s">
        <v>3449</v>
      </c>
      <c r="G185" s="41" t="s">
        <v>3449</v>
      </c>
      <c r="H185" s="2043">
        <v>355472</v>
      </c>
      <c r="I185" s="2043">
        <v>0</v>
      </c>
      <c r="J185">
        <v>0</v>
      </c>
      <c r="K185" s="2043">
        <v>0</v>
      </c>
      <c r="L185" s="2043">
        <v>0</v>
      </c>
      <c r="M185">
        <v>599</v>
      </c>
      <c r="N185">
        <v>0</v>
      </c>
    </row>
    <row r="186" spans="1:14">
      <c r="A186" t="s">
        <v>2877</v>
      </c>
      <c r="B186" t="s">
        <v>726</v>
      </c>
      <c r="C186" t="s">
        <v>841</v>
      </c>
      <c r="D186" s="41">
        <v>1</v>
      </c>
      <c r="E186" s="41">
        <v>1789</v>
      </c>
      <c r="F186" s="41" t="s">
        <v>3449</v>
      </c>
      <c r="G186" s="41" t="s">
        <v>3448</v>
      </c>
      <c r="H186" s="2043">
        <v>355472</v>
      </c>
      <c r="I186" s="2043">
        <v>0</v>
      </c>
      <c r="J186">
        <v>0</v>
      </c>
      <c r="K186" s="2043">
        <v>0</v>
      </c>
      <c r="L186" s="2043">
        <v>0</v>
      </c>
      <c r="M186">
        <v>599</v>
      </c>
      <c r="N186">
        <v>0</v>
      </c>
    </row>
    <row r="187" spans="1:14">
      <c r="A187" t="s">
        <v>2877</v>
      </c>
      <c r="B187" t="s">
        <v>726</v>
      </c>
      <c r="C187" t="s">
        <v>841</v>
      </c>
      <c r="D187" s="41">
        <v>1</v>
      </c>
      <c r="E187" s="41">
        <v>1789</v>
      </c>
      <c r="F187" s="41" t="s">
        <v>3449</v>
      </c>
      <c r="G187" s="41" t="s">
        <v>3450</v>
      </c>
      <c r="H187" s="2043">
        <v>355472</v>
      </c>
      <c r="I187" s="2043">
        <v>323525</v>
      </c>
      <c r="J187">
        <v>1</v>
      </c>
      <c r="K187" s="2043">
        <v>355472</v>
      </c>
      <c r="L187" s="2043">
        <v>323525</v>
      </c>
      <c r="M187">
        <v>599</v>
      </c>
      <c r="N187">
        <v>1</v>
      </c>
    </row>
    <row r="188" spans="1:14">
      <c r="A188" t="s">
        <v>2877</v>
      </c>
      <c r="B188" t="s">
        <v>726</v>
      </c>
      <c r="C188" t="s">
        <v>841</v>
      </c>
      <c r="D188" s="41">
        <v>1</v>
      </c>
      <c r="E188" s="41">
        <v>1789</v>
      </c>
      <c r="F188" s="41" t="s">
        <v>3449</v>
      </c>
      <c r="G188" s="41" t="s">
        <v>5346</v>
      </c>
      <c r="H188" s="2043">
        <v>355472</v>
      </c>
      <c r="I188" s="2043">
        <v>0</v>
      </c>
      <c r="J188">
        <v>0</v>
      </c>
      <c r="K188" s="2043">
        <v>0</v>
      </c>
      <c r="L188" s="2043">
        <v>0</v>
      </c>
      <c r="M188">
        <v>599</v>
      </c>
      <c r="N188">
        <v>1</v>
      </c>
    </row>
    <row r="189" spans="1:14">
      <c r="A189" t="s">
        <v>2877</v>
      </c>
      <c r="B189" t="s">
        <v>726</v>
      </c>
      <c r="C189" t="s">
        <v>841</v>
      </c>
      <c r="D189" s="41">
        <v>2</v>
      </c>
      <c r="E189" s="41">
        <v>1791</v>
      </c>
      <c r="F189" s="41" t="s">
        <v>3451</v>
      </c>
      <c r="G189" s="41" t="s">
        <v>3451</v>
      </c>
      <c r="H189" s="2043">
        <v>591537</v>
      </c>
      <c r="I189" s="2043">
        <v>0</v>
      </c>
      <c r="J189">
        <v>0</v>
      </c>
      <c r="K189" s="2043">
        <v>0</v>
      </c>
      <c r="L189" s="2043">
        <v>0</v>
      </c>
      <c r="M189">
        <v>599</v>
      </c>
      <c r="N189">
        <v>0</v>
      </c>
    </row>
    <row r="190" spans="1:14">
      <c r="A190" t="s">
        <v>2877</v>
      </c>
      <c r="B190" t="s">
        <v>726</v>
      </c>
      <c r="C190" t="s">
        <v>841</v>
      </c>
      <c r="D190" s="41">
        <v>2</v>
      </c>
      <c r="E190" s="41">
        <v>1791</v>
      </c>
      <c r="F190" s="41" t="s">
        <v>3451</v>
      </c>
      <c r="G190" s="41" t="s">
        <v>3448</v>
      </c>
      <c r="H190" s="2043">
        <v>591537</v>
      </c>
      <c r="I190" s="2043">
        <v>0</v>
      </c>
      <c r="J190">
        <v>0</v>
      </c>
      <c r="K190" s="2043">
        <v>0</v>
      </c>
      <c r="L190" s="2043">
        <v>0</v>
      </c>
      <c r="M190">
        <v>599</v>
      </c>
      <c r="N190">
        <v>0</v>
      </c>
    </row>
    <row r="191" spans="1:14">
      <c r="A191" t="s">
        <v>2877</v>
      </c>
      <c r="B191" t="s">
        <v>726</v>
      </c>
      <c r="C191" t="s">
        <v>841</v>
      </c>
      <c r="D191" s="41">
        <v>2</v>
      </c>
      <c r="E191" s="41">
        <v>1791</v>
      </c>
      <c r="F191" s="41" t="s">
        <v>3451</v>
      </c>
      <c r="G191" s="41" t="s">
        <v>5346</v>
      </c>
      <c r="H191" s="2043">
        <v>591537</v>
      </c>
      <c r="I191" s="2043">
        <v>423735</v>
      </c>
      <c r="J191">
        <v>1</v>
      </c>
      <c r="K191" s="2043">
        <v>591537</v>
      </c>
      <c r="L191" s="2043">
        <v>423735</v>
      </c>
      <c r="M191">
        <v>599</v>
      </c>
      <c r="N191">
        <v>1</v>
      </c>
    </row>
    <row r="192" spans="1:14">
      <c r="A192" t="s">
        <v>2877</v>
      </c>
      <c r="B192" t="s">
        <v>726</v>
      </c>
      <c r="C192" t="s">
        <v>841</v>
      </c>
      <c r="D192" s="41">
        <v>2</v>
      </c>
      <c r="E192" s="41">
        <v>1792</v>
      </c>
      <c r="F192" s="41" t="s">
        <v>3452</v>
      </c>
      <c r="G192" s="41" t="s">
        <v>3452</v>
      </c>
      <c r="H192" s="2043">
        <v>892783</v>
      </c>
      <c r="I192" s="2043">
        <v>0</v>
      </c>
      <c r="J192">
        <v>0</v>
      </c>
      <c r="L192" s="2043">
        <v>0</v>
      </c>
      <c r="M192">
        <v>199</v>
      </c>
      <c r="N192">
        <v>0</v>
      </c>
    </row>
    <row r="193" spans="1:14">
      <c r="A193" t="s">
        <v>2877</v>
      </c>
      <c r="B193" t="s">
        <v>726</v>
      </c>
      <c r="C193" t="s">
        <v>841</v>
      </c>
      <c r="D193" s="41">
        <v>5</v>
      </c>
      <c r="E193" s="41">
        <v>1793</v>
      </c>
      <c r="F193" s="41" t="s">
        <v>3453</v>
      </c>
      <c r="G193" s="41" t="s">
        <v>3453</v>
      </c>
      <c r="H193" s="2043">
        <v>2880403</v>
      </c>
      <c r="I193" s="2043">
        <v>0</v>
      </c>
      <c r="J193">
        <v>0</v>
      </c>
      <c r="K193" s="2043">
        <v>0</v>
      </c>
      <c r="L193" s="2043">
        <v>0</v>
      </c>
      <c r="M193">
        <v>599</v>
      </c>
      <c r="N193">
        <v>0</v>
      </c>
    </row>
    <row r="194" spans="1:14">
      <c r="A194" t="s">
        <v>2877</v>
      </c>
      <c r="B194" t="s">
        <v>726</v>
      </c>
      <c r="C194" t="s">
        <v>841</v>
      </c>
      <c r="D194" s="41">
        <v>5</v>
      </c>
      <c r="E194" s="41">
        <v>1793</v>
      </c>
      <c r="F194" s="41" t="s">
        <v>3453</v>
      </c>
      <c r="G194" s="41" t="s">
        <v>3448</v>
      </c>
      <c r="H194" s="2043">
        <v>2880403</v>
      </c>
      <c r="I194" s="2043">
        <v>0</v>
      </c>
      <c r="J194">
        <v>0</v>
      </c>
      <c r="K194" s="2043">
        <v>0</v>
      </c>
      <c r="L194" s="2043">
        <v>0</v>
      </c>
      <c r="M194">
        <v>599</v>
      </c>
      <c r="N194">
        <v>0</v>
      </c>
    </row>
    <row r="195" spans="1:14">
      <c r="A195" t="s">
        <v>2877</v>
      </c>
      <c r="B195" t="s">
        <v>726</v>
      </c>
      <c r="C195" t="s">
        <v>841</v>
      </c>
      <c r="D195" s="41">
        <v>5</v>
      </c>
      <c r="E195" s="41">
        <v>1793</v>
      </c>
      <c r="F195" s="41" t="s">
        <v>3453</v>
      </c>
      <c r="G195" s="41" t="s">
        <v>3450</v>
      </c>
      <c r="H195" s="2043">
        <v>2880403</v>
      </c>
      <c r="I195" s="2043">
        <v>2667270</v>
      </c>
      <c r="J195">
        <v>1</v>
      </c>
      <c r="K195" s="2043">
        <v>2880403</v>
      </c>
      <c r="L195" s="2043">
        <v>2667270</v>
      </c>
      <c r="M195">
        <v>599</v>
      </c>
      <c r="N195">
        <v>1</v>
      </c>
    </row>
    <row r="196" spans="1:14">
      <c r="A196" t="s">
        <v>2877</v>
      </c>
      <c r="B196" t="s">
        <v>726</v>
      </c>
      <c r="C196" t="s">
        <v>841</v>
      </c>
      <c r="D196" s="41">
        <v>5</v>
      </c>
      <c r="E196" s="41">
        <v>1793</v>
      </c>
      <c r="F196" s="41" t="s">
        <v>3453</v>
      </c>
      <c r="G196" s="41" t="s">
        <v>5346</v>
      </c>
      <c r="H196" s="2043">
        <v>2880403</v>
      </c>
      <c r="I196" s="2043">
        <v>0</v>
      </c>
      <c r="J196">
        <v>0</v>
      </c>
      <c r="K196" s="2043">
        <v>0</v>
      </c>
      <c r="L196" s="2043">
        <v>0</v>
      </c>
      <c r="M196">
        <v>599</v>
      </c>
      <c r="N196">
        <v>1</v>
      </c>
    </row>
    <row r="197" spans="1:14">
      <c r="A197" t="s">
        <v>2877</v>
      </c>
      <c r="B197" t="s">
        <v>726</v>
      </c>
      <c r="C197" t="s">
        <v>841</v>
      </c>
      <c r="D197" s="41">
        <v>7</v>
      </c>
      <c r="E197" s="41">
        <v>1794</v>
      </c>
      <c r="F197" s="41" t="s">
        <v>3454</v>
      </c>
      <c r="G197" s="41" t="s">
        <v>3454</v>
      </c>
      <c r="H197" s="2043">
        <v>3107457</v>
      </c>
      <c r="I197" s="2043">
        <v>0</v>
      </c>
      <c r="J197">
        <v>0</v>
      </c>
      <c r="K197" s="2043">
        <v>0</v>
      </c>
      <c r="L197" s="2043">
        <v>0</v>
      </c>
      <c r="M197">
        <v>599</v>
      </c>
      <c r="N197">
        <v>0</v>
      </c>
    </row>
    <row r="198" spans="1:14">
      <c r="A198" t="s">
        <v>2877</v>
      </c>
      <c r="B198" t="s">
        <v>726</v>
      </c>
      <c r="C198" t="s">
        <v>841</v>
      </c>
      <c r="D198" s="41">
        <v>7</v>
      </c>
      <c r="E198" s="41">
        <v>1794</v>
      </c>
      <c r="F198" s="41" t="s">
        <v>3454</v>
      </c>
      <c r="G198" s="41" t="s">
        <v>3455</v>
      </c>
      <c r="H198" s="2043">
        <v>3107457</v>
      </c>
      <c r="I198" s="2043">
        <v>2744331</v>
      </c>
      <c r="J198">
        <v>1</v>
      </c>
      <c r="K198" s="2043">
        <v>3107457</v>
      </c>
      <c r="L198" s="2043">
        <v>2744331</v>
      </c>
      <c r="M198">
        <v>599</v>
      </c>
      <c r="N198">
        <v>1</v>
      </c>
    </row>
    <row r="199" spans="1:14">
      <c r="A199" t="s">
        <v>2878</v>
      </c>
      <c r="B199" t="s">
        <v>1238</v>
      </c>
      <c r="C199" t="s">
        <v>1915</v>
      </c>
      <c r="D199" s="41">
        <v>1</v>
      </c>
      <c r="E199" s="41">
        <v>2281</v>
      </c>
      <c r="F199" s="41" t="s">
        <v>3456</v>
      </c>
      <c r="G199" s="41" t="s">
        <v>3456</v>
      </c>
      <c r="H199" s="2043">
        <v>13875000</v>
      </c>
      <c r="I199" s="2043">
        <v>0</v>
      </c>
      <c r="J199">
        <v>0</v>
      </c>
      <c r="K199" s="2043">
        <v>0</v>
      </c>
      <c r="L199" s="2043">
        <v>0</v>
      </c>
      <c r="M199">
        <v>599</v>
      </c>
      <c r="N199">
        <v>0</v>
      </c>
    </row>
    <row r="200" spans="1:14">
      <c r="A200" t="s">
        <v>2878</v>
      </c>
      <c r="B200" t="s">
        <v>1238</v>
      </c>
      <c r="C200" t="s">
        <v>1915</v>
      </c>
      <c r="D200" s="41">
        <v>1</v>
      </c>
      <c r="E200" s="41">
        <v>2281</v>
      </c>
      <c r="F200" s="41" t="s">
        <v>3456</v>
      </c>
      <c r="G200" s="41" t="s">
        <v>3457</v>
      </c>
      <c r="H200" s="2043">
        <v>13875000</v>
      </c>
      <c r="I200" s="2043">
        <v>0</v>
      </c>
      <c r="J200">
        <v>0</v>
      </c>
      <c r="K200" s="2043">
        <v>0</v>
      </c>
      <c r="L200" s="2043">
        <v>0</v>
      </c>
      <c r="M200">
        <v>599</v>
      </c>
      <c r="N200">
        <v>0</v>
      </c>
    </row>
    <row r="201" spans="1:14">
      <c r="A201" t="s">
        <v>2878</v>
      </c>
      <c r="B201" t="s">
        <v>1238</v>
      </c>
      <c r="C201" t="s">
        <v>1915</v>
      </c>
      <c r="D201" s="41">
        <v>1</v>
      </c>
      <c r="E201" s="41">
        <v>2281</v>
      </c>
      <c r="F201" s="41" t="s">
        <v>3456</v>
      </c>
      <c r="G201" s="41" t="s">
        <v>3458</v>
      </c>
      <c r="H201" s="2043">
        <v>13875000</v>
      </c>
      <c r="I201" s="2043">
        <v>0</v>
      </c>
      <c r="J201">
        <v>0</v>
      </c>
      <c r="K201" s="2043">
        <v>0</v>
      </c>
      <c r="L201" s="2043">
        <v>0</v>
      </c>
      <c r="M201">
        <v>599</v>
      </c>
      <c r="N201">
        <v>0</v>
      </c>
    </row>
    <row r="202" spans="1:14">
      <c r="A202" t="s">
        <v>2878</v>
      </c>
      <c r="B202" t="s">
        <v>1238</v>
      </c>
      <c r="C202" t="s">
        <v>1915</v>
      </c>
      <c r="D202" s="41">
        <v>1</v>
      </c>
      <c r="E202" s="41">
        <v>2281</v>
      </c>
      <c r="F202" s="41" t="s">
        <v>3456</v>
      </c>
      <c r="G202" s="41" t="s">
        <v>3459</v>
      </c>
      <c r="H202" s="2043">
        <v>13875000</v>
      </c>
      <c r="I202" s="2043">
        <v>0</v>
      </c>
      <c r="J202">
        <v>0</v>
      </c>
      <c r="K202" s="2043">
        <v>0</v>
      </c>
      <c r="L202" s="2043">
        <v>0</v>
      </c>
      <c r="M202">
        <v>599</v>
      </c>
      <c r="N202">
        <v>1</v>
      </c>
    </row>
    <row r="203" spans="1:14">
      <c r="A203" t="s">
        <v>2878</v>
      </c>
      <c r="B203" t="s">
        <v>1238</v>
      </c>
      <c r="C203" t="s">
        <v>1915</v>
      </c>
      <c r="D203" s="41">
        <v>1</v>
      </c>
      <c r="E203" s="41">
        <v>2281</v>
      </c>
      <c r="F203" s="41" t="s">
        <v>3456</v>
      </c>
      <c r="G203" s="41" t="s">
        <v>5347</v>
      </c>
      <c r="H203" s="2043">
        <v>13875000</v>
      </c>
      <c r="I203" s="2043">
        <v>13628203</v>
      </c>
      <c r="J203">
        <v>0.96887145148474096</v>
      </c>
      <c r="K203" s="2043">
        <v>13443091.3893508</v>
      </c>
      <c r="L203" s="2043">
        <v>13443091.3893508</v>
      </c>
      <c r="M203">
        <v>599</v>
      </c>
      <c r="N203">
        <v>1</v>
      </c>
    </row>
    <row r="204" spans="1:14">
      <c r="A204" t="s">
        <v>2878</v>
      </c>
      <c r="B204" t="s">
        <v>1238</v>
      </c>
      <c r="C204" t="s">
        <v>1915</v>
      </c>
      <c r="D204" s="41">
        <v>1</v>
      </c>
      <c r="E204" s="41">
        <v>2281</v>
      </c>
      <c r="F204" s="41" t="s">
        <v>3456</v>
      </c>
      <c r="G204" s="41" t="s">
        <v>9296</v>
      </c>
      <c r="H204" s="2043">
        <v>13875000</v>
      </c>
      <c r="I204" s="2043">
        <v>437856</v>
      </c>
      <c r="J204">
        <v>3.1128548515259299E-2</v>
      </c>
      <c r="K204" s="2043">
        <v>431908.61064922297</v>
      </c>
      <c r="L204" s="2043">
        <v>431908.61064922297</v>
      </c>
      <c r="M204">
        <v>599</v>
      </c>
      <c r="N204">
        <v>1</v>
      </c>
    </row>
    <row r="205" spans="1:14">
      <c r="A205" t="s">
        <v>2878</v>
      </c>
      <c r="B205" t="s">
        <v>1238</v>
      </c>
      <c r="C205" t="s">
        <v>1915</v>
      </c>
      <c r="D205" s="41">
        <v>3</v>
      </c>
      <c r="E205" s="41">
        <v>2282</v>
      </c>
      <c r="F205" s="41" t="s">
        <v>3460</v>
      </c>
      <c r="G205" s="41" t="s">
        <v>3460</v>
      </c>
      <c r="H205" s="2043">
        <v>14004279</v>
      </c>
      <c r="I205" s="2043">
        <v>0</v>
      </c>
      <c r="J205">
        <v>0</v>
      </c>
      <c r="K205" s="2043">
        <v>0</v>
      </c>
      <c r="L205" s="2043">
        <v>0</v>
      </c>
      <c r="M205">
        <v>599</v>
      </c>
      <c r="N205">
        <v>0</v>
      </c>
    </row>
    <row r="206" spans="1:14">
      <c r="A206" t="s">
        <v>2878</v>
      </c>
      <c r="B206" t="s">
        <v>1238</v>
      </c>
      <c r="C206" t="s">
        <v>1915</v>
      </c>
      <c r="D206" s="41">
        <v>3</v>
      </c>
      <c r="E206" s="41">
        <v>2282</v>
      </c>
      <c r="F206" s="41" t="s">
        <v>3460</v>
      </c>
      <c r="G206" s="41" t="s">
        <v>3457</v>
      </c>
      <c r="H206" s="2043">
        <v>14004279</v>
      </c>
      <c r="I206" s="2043">
        <v>0</v>
      </c>
      <c r="J206">
        <v>0</v>
      </c>
      <c r="K206" s="2043">
        <v>0</v>
      </c>
      <c r="L206" s="2043">
        <v>0</v>
      </c>
      <c r="M206">
        <v>599</v>
      </c>
      <c r="N206">
        <v>0</v>
      </c>
    </row>
    <row r="207" spans="1:14">
      <c r="A207" t="s">
        <v>2878</v>
      </c>
      <c r="B207" t="s">
        <v>1238</v>
      </c>
      <c r="C207" t="s">
        <v>1915</v>
      </c>
      <c r="D207" s="41">
        <v>3</v>
      </c>
      <c r="E207" s="41">
        <v>2282</v>
      </c>
      <c r="F207" s="41" t="s">
        <v>3460</v>
      </c>
      <c r="G207" s="41" t="s">
        <v>3458</v>
      </c>
      <c r="H207" s="2043">
        <v>14004279</v>
      </c>
      <c r="I207" s="2043">
        <v>0</v>
      </c>
      <c r="J207">
        <v>0</v>
      </c>
      <c r="K207" s="2043">
        <v>0</v>
      </c>
      <c r="L207" s="2043">
        <v>0</v>
      </c>
      <c r="M207">
        <v>599</v>
      </c>
      <c r="N207">
        <v>0</v>
      </c>
    </row>
    <row r="208" spans="1:14">
      <c r="A208" t="s">
        <v>2878</v>
      </c>
      <c r="B208" t="s">
        <v>1238</v>
      </c>
      <c r="C208" t="s">
        <v>1915</v>
      </c>
      <c r="D208" s="41">
        <v>3</v>
      </c>
      <c r="E208" s="41">
        <v>2282</v>
      </c>
      <c r="F208" s="41" t="s">
        <v>3460</v>
      </c>
      <c r="G208" s="41" t="s">
        <v>3459</v>
      </c>
      <c r="H208" s="2043">
        <v>14004279</v>
      </c>
      <c r="I208" s="2043">
        <v>2937058</v>
      </c>
      <c r="J208">
        <v>0.19828421715804401</v>
      </c>
      <c r="K208" s="2043">
        <v>2776827.49837784</v>
      </c>
      <c r="L208" s="2043">
        <v>2776827.49837784</v>
      </c>
      <c r="M208">
        <v>599</v>
      </c>
      <c r="N208">
        <v>1</v>
      </c>
    </row>
    <row r="209" spans="1:14">
      <c r="A209" t="s">
        <v>2878</v>
      </c>
      <c r="B209" t="s">
        <v>1238</v>
      </c>
      <c r="C209" t="s">
        <v>1915</v>
      </c>
      <c r="D209" s="41">
        <v>3</v>
      </c>
      <c r="E209" s="41">
        <v>2282</v>
      </c>
      <c r="F209" s="41" t="s">
        <v>3460</v>
      </c>
      <c r="G209" s="41" t="s">
        <v>5347</v>
      </c>
      <c r="H209" s="2043">
        <v>14004279</v>
      </c>
      <c r="I209" s="2043">
        <v>8940620</v>
      </c>
      <c r="J209">
        <v>0.60359170217529101</v>
      </c>
      <c r="K209" s="2043">
        <v>8452866.5993476808</v>
      </c>
      <c r="L209" s="2043">
        <v>8452866.5993476808</v>
      </c>
      <c r="M209">
        <v>599</v>
      </c>
      <c r="N209">
        <v>1</v>
      </c>
    </row>
    <row r="210" spans="1:14">
      <c r="A210" t="s">
        <v>2878</v>
      </c>
      <c r="B210" t="s">
        <v>1238</v>
      </c>
      <c r="C210" t="s">
        <v>1915</v>
      </c>
      <c r="D210" s="41">
        <v>3</v>
      </c>
      <c r="E210" s="41">
        <v>2282</v>
      </c>
      <c r="F210" s="41" t="s">
        <v>3460</v>
      </c>
      <c r="G210" s="41" t="s">
        <v>9296</v>
      </c>
      <c r="H210" s="2043">
        <v>14004279</v>
      </c>
      <c r="I210" s="2043">
        <v>2934686</v>
      </c>
      <c r="J210">
        <v>0.19812408066666501</v>
      </c>
      <c r="K210" s="2043">
        <v>2774584.9022744801</v>
      </c>
      <c r="L210" s="2043">
        <v>2774584.9022744801</v>
      </c>
      <c r="M210">
        <v>599</v>
      </c>
      <c r="N210">
        <v>1</v>
      </c>
    </row>
    <row r="211" spans="1:14">
      <c r="A211" t="s">
        <v>2878</v>
      </c>
      <c r="B211" t="s">
        <v>1238</v>
      </c>
      <c r="C211" t="s">
        <v>1915</v>
      </c>
      <c r="D211" s="41">
        <v>5</v>
      </c>
      <c r="E211" s="41">
        <v>2280</v>
      </c>
      <c r="F211" s="41" t="s">
        <v>3461</v>
      </c>
      <c r="G211" s="41" t="s">
        <v>3461</v>
      </c>
      <c r="H211" s="2043">
        <v>8227563</v>
      </c>
      <c r="I211" s="2043">
        <v>0</v>
      </c>
      <c r="J211">
        <v>0</v>
      </c>
      <c r="K211" s="2043">
        <v>0</v>
      </c>
      <c r="L211" s="2043">
        <v>0</v>
      </c>
      <c r="M211">
        <v>599</v>
      </c>
      <c r="N211">
        <v>0</v>
      </c>
    </row>
    <row r="212" spans="1:14">
      <c r="A212" t="s">
        <v>2878</v>
      </c>
      <c r="B212" t="s">
        <v>1238</v>
      </c>
      <c r="C212" t="s">
        <v>1915</v>
      </c>
      <c r="D212" s="41">
        <v>5</v>
      </c>
      <c r="E212" s="41">
        <v>2280</v>
      </c>
      <c r="F212" s="41" t="s">
        <v>3461</v>
      </c>
      <c r="G212" s="41" t="s">
        <v>3458</v>
      </c>
      <c r="H212" s="2043">
        <v>8227563</v>
      </c>
      <c r="I212" s="2043">
        <v>0</v>
      </c>
      <c r="J212">
        <v>0</v>
      </c>
      <c r="K212" s="2043">
        <v>0</v>
      </c>
      <c r="L212" s="2043">
        <v>0</v>
      </c>
      <c r="M212">
        <v>599</v>
      </c>
      <c r="N212">
        <v>0</v>
      </c>
    </row>
    <row r="213" spans="1:14">
      <c r="A213" t="s">
        <v>2878</v>
      </c>
      <c r="B213" t="s">
        <v>1238</v>
      </c>
      <c r="C213" t="s">
        <v>1915</v>
      </c>
      <c r="D213" s="41">
        <v>5</v>
      </c>
      <c r="E213" s="41">
        <v>2280</v>
      </c>
      <c r="F213" s="41" t="s">
        <v>3461</v>
      </c>
      <c r="G213" s="41" t="s">
        <v>3462</v>
      </c>
      <c r="H213" s="2043">
        <v>8227563</v>
      </c>
      <c r="I213" s="2043">
        <v>0</v>
      </c>
      <c r="J213">
        <v>0</v>
      </c>
      <c r="K213" s="2043">
        <v>0</v>
      </c>
      <c r="L213" s="2043">
        <v>0</v>
      </c>
      <c r="M213">
        <v>599</v>
      </c>
      <c r="N213">
        <v>1</v>
      </c>
    </row>
    <row r="214" spans="1:14">
      <c r="A214" t="s">
        <v>2878</v>
      </c>
      <c r="B214" t="s">
        <v>1238</v>
      </c>
      <c r="C214" t="s">
        <v>1915</v>
      </c>
      <c r="D214" s="41">
        <v>5</v>
      </c>
      <c r="E214" s="41">
        <v>2280</v>
      </c>
      <c r="F214" s="41" t="s">
        <v>3461</v>
      </c>
      <c r="G214" s="41" t="s">
        <v>5347</v>
      </c>
      <c r="H214" s="2043">
        <v>8227563</v>
      </c>
      <c r="I214" s="2043">
        <v>4819445</v>
      </c>
      <c r="J214">
        <v>0.734649655993458</v>
      </c>
      <c r="K214" s="2043">
        <v>6044376.3276145002</v>
      </c>
      <c r="L214" s="2043">
        <v>4819445</v>
      </c>
      <c r="M214">
        <v>599</v>
      </c>
      <c r="N214">
        <v>1</v>
      </c>
    </row>
    <row r="215" spans="1:14">
      <c r="A215" t="s">
        <v>2878</v>
      </c>
      <c r="B215" t="s">
        <v>1238</v>
      </c>
      <c r="C215" t="s">
        <v>1915</v>
      </c>
      <c r="D215" s="41">
        <v>5</v>
      </c>
      <c r="E215" s="41">
        <v>2280</v>
      </c>
      <c r="F215" s="41" t="s">
        <v>3461</v>
      </c>
      <c r="G215" s="41" t="s">
        <v>5531</v>
      </c>
      <c r="H215" s="2043">
        <v>8227563</v>
      </c>
      <c r="I215" s="2043">
        <v>1740750</v>
      </c>
      <c r="J215">
        <v>0.265350344006543</v>
      </c>
      <c r="K215" s="2043">
        <v>2183186.6723854998</v>
      </c>
      <c r="L215" s="2043">
        <v>1740750</v>
      </c>
      <c r="M215">
        <v>599</v>
      </c>
      <c r="N215">
        <v>1</v>
      </c>
    </row>
    <row r="216" spans="1:14">
      <c r="A216" t="s">
        <v>2878</v>
      </c>
      <c r="B216" t="s">
        <v>1238</v>
      </c>
      <c r="C216" t="s">
        <v>1915</v>
      </c>
      <c r="D216" s="41">
        <v>11</v>
      </c>
      <c r="E216" s="41">
        <v>2588</v>
      </c>
      <c r="F216" s="41" t="s">
        <v>7116</v>
      </c>
      <c r="G216" s="41" t="s">
        <v>7116</v>
      </c>
      <c r="H216" s="2043">
        <v>4681761</v>
      </c>
      <c r="I216" s="2043">
        <v>0</v>
      </c>
      <c r="J216">
        <v>0</v>
      </c>
      <c r="K216" s="2043">
        <v>0</v>
      </c>
      <c r="L216" s="2043">
        <v>0</v>
      </c>
      <c r="M216">
        <v>599</v>
      </c>
      <c r="N216">
        <v>1</v>
      </c>
    </row>
    <row r="217" spans="1:14">
      <c r="A217" t="s">
        <v>2878</v>
      </c>
      <c r="B217" t="s">
        <v>1238</v>
      </c>
      <c r="C217" t="s">
        <v>1915</v>
      </c>
      <c r="D217" s="41">
        <v>11</v>
      </c>
      <c r="E217" s="41">
        <v>2588</v>
      </c>
      <c r="F217" s="41" t="s">
        <v>7116</v>
      </c>
      <c r="G217" s="41" t="s">
        <v>8617</v>
      </c>
      <c r="H217" s="2043">
        <v>4681761</v>
      </c>
      <c r="I217" s="2043">
        <v>6917953</v>
      </c>
      <c r="J217">
        <v>1</v>
      </c>
      <c r="K217" s="2043">
        <v>4681761</v>
      </c>
      <c r="L217" s="2043">
        <v>4681761</v>
      </c>
      <c r="M217">
        <v>599</v>
      </c>
      <c r="N217">
        <v>1</v>
      </c>
    </row>
    <row r="218" spans="1:14">
      <c r="A218" t="s">
        <v>2878</v>
      </c>
      <c r="B218" t="s">
        <v>1238</v>
      </c>
      <c r="C218" t="s">
        <v>1915</v>
      </c>
      <c r="D218" s="41">
        <v>11</v>
      </c>
      <c r="E218" s="41">
        <v>2537</v>
      </c>
      <c r="F218" s="41" t="s">
        <v>5531</v>
      </c>
      <c r="G218" s="41" t="s">
        <v>5531</v>
      </c>
      <c r="H218" s="2043">
        <v>7169125</v>
      </c>
      <c r="I218" s="2043">
        <v>2730742</v>
      </c>
      <c r="J218">
        <v>1</v>
      </c>
      <c r="K218" s="2043">
        <v>7169125</v>
      </c>
      <c r="L218" s="2043">
        <v>2730742</v>
      </c>
      <c r="M218">
        <v>599</v>
      </c>
      <c r="N218">
        <v>1</v>
      </c>
    </row>
    <row r="219" spans="1:14">
      <c r="A219" t="s">
        <v>2879</v>
      </c>
      <c r="B219" t="s">
        <v>1417</v>
      </c>
      <c r="C219" t="s">
        <v>1825</v>
      </c>
      <c r="D219" s="41">
        <v>3</v>
      </c>
      <c r="E219" s="41">
        <v>2358</v>
      </c>
      <c r="F219" s="41" t="s">
        <v>3463</v>
      </c>
      <c r="G219" s="41" t="s">
        <v>3463</v>
      </c>
      <c r="H219" s="2043">
        <v>2400433</v>
      </c>
      <c r="I219" s="2043">
        <v>0</v>
      </c>
      <c r="J219">
        <v>0</v>
      </c>
      <c r="K219" s="2043">
        <v>0</v>
      </c>
      <c r="L219" s="2043">
        <v>0</v>
      </c>
      <c r="M219">
        <v>599</v>
      </c>
      <c r="N219">
        <v>0</v>
      </c>
    </row>
    <row r="220" spans="1:14">
      <c r="A220" t="s">
        <v>2879</v>
      </c>
      <c r="B220" t="s">
        <v>1417</v>
      </c>
      <c r="C220" t="s">
        <v>1825</v>
      </c>
      <c r="D220" s="41">
        <v>3</v>
      </c>
      <c r="E220" s="41">
        <v>2358</v>
      </c>
      <c r="F220" s="41" t="s">
        <v>3463</v>
      </c>
      <c r="G220" s="41" t="s">
        <v>3464</v>
      </c>
      <c r="H220" s="2043">
        <v>2400433</v>
      </c>
      <c r="I220" s="2043">
        <v>0</v>
      </c>
      <c r="J220">
        <v>0</v>
      </c>
      <c r="K220" s="2043">
        <v>0</v>
      </c>
      <c r="L220" s="2043">
        <v>0</v>
      </c>
      <c r="M220">
        <v>599</v>
      </c>
      <c r="N220">
        <v>0</v>
      </c>
    </row>
    <row r="221" spans="1:14">
      <c r="A221" t="s">
        <v>2879</v>
      </c>
      <c r="B221" t="s">
        <v>1417</v>
      </c>
      <c r="C221" t="s">
        <v>1825</v>
      </c>
      <c r="D221" s="41">
        <v>3</v>
      </c>
      <c r="E221" s="41">
        <v>2358</v>
      </c>
      <c r="F221" s="41" t="s">
        <v>3463</v>
      </c>
      <c r="G221" s="41" t="s">
        <v>3465</v>
      </c>
      <c r="H221" s="2043">
        <v>2400433</v>
      </c>
      <c r="I221" s="2043">
        <v>179184</v>
      </c>
      <c r="J221">
        <v>6.01824780131291E-2</v>
      </c>
      <c r="K221" s="2043">
        <v>144464.00624449001</v>
      </c>
      <c r="L221" s="2043">
        <v>144464.00624449001</v>
      </c>
      <c r="M221">
        <v>599</v>
      </c>
      <c r="N221">
        <v>1</v>
      </c>
    </row>
    <row r="222" spans="1:14">
      <c r="A222" t="s">
        <v>2879</v>
      </c>
      <c r="B222" t="s">
        <v>1417</v>
      </c>
      <c r="C222" t="s">
        <v>1825</v>
      </c>
      <c r="D222" s="41">
        <v>3</v>
      </c>
      <c r="E222" s="41">
        <v>2358</v>
      </c>
      <c r="F222" s="41" t="s">
        <v>3463</v>
      </c>
      <c r="G222" s="41" t="s">
        <v>3466</v>
      </c>
      <c r="H222" s="2043">
        <v>2400433</v>
      </c>
      <c r="I222" s="2043">
        <v>2023263</v>
      </c>
      <c r="J222">
        <v>0.67955275589493302</v>
      </c>
      <c r="K222" s="2043">
        <v>1631220.86049114</v>
      </c>
      <c r="L222" s="2043">
        <v>1631220.86049114</v>
      </c>
      <c r="M222">
        <v>599</v>
      </c>
      <c r="N222">
        <v>1</v>
      </c>
    </row>
    <row r="223" spans="1:14">
      <c r="A223" t="s">
        <v>2879</v>
      </c>
      <c r="B223" t="s">
        <v>1417</v>
      </c>
      <c r="C223" t="s">
        <v>1825</v>
      </c>
      <c r="D223" s="41">
        <v>3</v>
      </c>
      <c r="E223" s="41">
        <v>2358</v>
      </c>
      <c r="F223" s="41" t="s">
        <v>3463</v>
      </c>
      <c r="G223" s="41" t="s">
        <v>8618</v>
      </c>
      <c r="H223" s="2043">
        <v>2400433</v>
      </c>
      <c r="I223" s="2043">
        <v>425401</v>
      </c>
      <c r="J223">
        <v>0.14287931025796499</v>
      </c>
      <c r="K223" s="2043">
        <v>342972.211360457</v>
      </c>
      <c r="L223" s="2043">
        <v>342972.211360457</v>
      </c>
      <c r="M223">
        <v>599</v>
      </c>
      <c r="N223">
        <v>1</v>
      </c>
    </row>
    <row r="224" spans="1:14">
      <c r="A224" t="s">
        <v>2879</v>
      </c>
      <c r="B224" t="s">
        <v>1417</v>
      </c>
      <c r="C224" t="s">
        <v>1825</v>
      </c>
      <c r="D224" s="41">
        <v>3</v>
      </c>
      <c r="E224" s="41">
        <v>2358</v>
      </c>
      <c r="F224" s="41" t="s">
        <v>3463</v>
      </c>
      <c r="G224" s="41" t="s">
        <v>8619</v>
      </c>
      <c r="H224" s="2043">
        <v>2400433</v>
      </c>
      <c r="I224" s="2043">
        <v>349497</v>
      </c>
      <c r="J224">
        <v>0.117385455833973</v>
      </c>
      <c r="K224" s="2043">
        <v>281775.92190391099</v>
      </c>
      <c r="L224" s="2043">
        <v>281775.92190391099</v>
      </c>
      <c r="M224">
        <v>599</v>
      </c>
      <c r="N224">
        <v>1</v>
      </c>
    </row>
    <row r="225" spans="1:14">
      <c r="A225" t="s">
        <v>2879</v>
      </c>
      <c r="B225" t="s">
        <v>1417</v>
      </c>
      <c r="C225" t="s">
        <v>1825</v>
      </c>
      <c r="D225" s="41">
        <v>6</v>
      </c>
      <c r="E225" s="41">
        <v>2357</v>
      </c>
      <c r="F225" s="41" t="s">
        <v>3467</v>
      </c>
      <c r="G225" s="41" t="s">
        <v>3467</v>
      </c>
      <c r="H225" s="2043">
        <v>2270472</v>
      </c>
      <c r="I225" s="2043">
        <v>0</v>
      </c>
      <c r="J225">
        <v>0</v>
      </c>
      <c r="K225" s="2043">
        <v>0</v>
      </c>
      <c r="L225" s="2043">
        <v>0</v>
      </c>
      <c r="M225">
        <v>599</v>
      </c>
      <c r="N225">
        <v>0</v>
      </c>
    </row>
    <row r="226" spans="1:14">
      <c r="A226" t="s">
        <v>2879</v>
      </c>
      <c r="B226" t="s">
        <v>1417</v>
      </c>
      <c r="C226" t="s">
        <v>1825</v>
      </c>
      <c r="D226" s="41">
        <v>6</v>
      </c>
      <c r="E226" s="41">
        <v>2357</v>
      </c>
      <c r="F226" s="41" t="s">
        <v>3467</v>
      </c>
      <c r="G226" s="41" t="s">
        <v>3465</v>
      </c>
      <c r="H226" s="2043">
        <v>2270472</v>
      </c>
      <c r="I226" s="2043">
        <v>1347438</v>
      </c>
      <c r="J226">
        <v>0.30946460962946598</v>
      </c>
      <c r="K226" s="2043">
        <v>702630.73115463299</v>
      </c>
      <c r="L226" s="2043">
        <v>702630.73115463299</v>
      </c>
      <c r="M226">
        <v>599</v>
      </c>
      <c r="N226">
        <v>1</v>
      </c>
    </row>
    <row r="227" spans="1:14">
      <c r="A227" t="s">
        <v>2879</v>
      </c>
      <c r="B227" t="s">
        <v>1417</v>
      </c>
      <c r="C227" t="s">
        <v>1825</v>
      </c>
      <c r="D227" s="41">
        <v>6</v>
      </c>
      <c r="E227" s="41">
        <v>2357</v>
      </c>
      <c r="F227" s="41" t="s">
        <v>3467</v>
      </c>
      <c r="G227" s="41" t="s">
        <v>3468</v>
      </c>
      <c r="H227" s="2043">
        <v>2270472</v>
      </c>
      <c r="I227" s="2043">
        <v>409118</v>
      </c>
      <c r="J227">
        <v>9.3961682958613194E-2</v>
      </c>
      <c r="K227" s="2043">
        <v>213337.37023040801</v>
      </c>
      <c r="L227" s="2043">
        <v>213337.37023040801</v>
      </c>
      <c r="M227">
        <v>599</v>
      </c>
      <c r="N227">
        <v>1</v>
      </c>
    </row>
    <row r="228" spans="1:14">
      <c r="A228" t="s">
        <v>2879</v>
      </c>
      <c r="B228" t="s">
        <v>1417</v>
      </c>
      <c r="C228" t="s">
        <v>1825</v>
      </c>
      <c r="D228" s="41">
        <v>6</v>
      </c>
      <c r="E228" s="41">
        <v>2357</v>
      </c>
      <c r="F228" s="41" t="s">
        <v>3467</v>
      </c>
      <c r="G228" s="41" t="s">
        <v>3469</v>
      </c>
      <c r="H228" s="2043">
        <v>2270472</v>
      </c>
      <c r="I228" s="2043">
        <v>266738</v>
      </c>
      <c r="J228">
        <v>6.1261424305492702E-2</v>
      </c>
      <c r="K228" s="2043">
        <v>139092.34856574101</v>
      </c>
      <c r="L228" s="2043">
        <v>139092.34856574101</v>
      </c>
      <c r="M228">
        <v>599</v>
      </c>
      <c r="N228">
        <v>1</v>
      </c>
    </row>
    <row r="229" spans="1:14">
      <c r="A229" t="s">
        <v>2879</v>
      </c>
      <c r="B229" t="s">
        <v>1417</v>
      </c>
      <c r="C229" t="s">
        <v>1825</v>
      </c>
      <c r="D229" s="41">
        <v>6</v>
      </c>
      <c r="E229" s="41">
        <v>2357</v>
      </c>
      <c r="F229" s="41" t="s">
        <v>3467</v>
      </c>
      <c r="G229" s="41" t="s">
        <v>8620</v>
      </c>
      <c r="H229" s="2043">
        <v>2270472</v>
      </c>
      <c r="I229" s="2043">
        <v>380895</v>
      </c>
      <c r="J229">
        <v>8.7479737460881599E-2</v>
      </c>
      <c r="K229" s="2043">
        <v>198620.29447228301</v>
      </c>
      <c r="L229" s="2043">
        <v>198620.29447228301</v>
      </c>
      <c r="M229">
        <v>599</v>
      </c>
      <c r="N229">
        <v>1</v>
      </c>
    </row>
    <row r="230" spans="1:14">
      <c r="A230" t="s">
        <v>2879</v>
      </c>
      <c r="B230" t="s">
        <v>1417</v>
      </c>
      <c r="C230" t="s">
        <v>1825</v>
      </c>
      <c r="D230" s="41">
        <v>6</v>
      </c>
      <c r="E230" s="41">
        <v>2357</v>
      </c>
      <c r="F230" s="41" t="s">
        <v>3467</v>
      </c>
      <c r="G230" s="41" t="s">
        <v>8619</v>
      </c>
      <c r="H230" s="2043">
        <v>2270472</v>
      </c>
      <c r="I230" s="2043">
        <v>1778660</v>
      </c>
      <c r="J230">
        <v>0.40850289405786799</v>
      </c>
      <c r="K230" s="2043">
        <v>927494.38287735602</v>
      </c>
      <c r="L230" s="2043">
        <v>927494.38287735602</v>
      </c>
      <c r="M230">
        <v>599</v>
      </c>
      <c r="N230">
        <v>1</v>
      </c>
    </row>
    <row r="231" spans="1:14">
      <c r="A231" t="s">
        <v>2879</v>
      </c>
      <c r="B231" t="s">
        <v>1417</v>
      </c>
      <c r="C231" t="s">
        <v>1825</v>
      </c>
      <c r="D231" s="41">
        <v>6</v>
      </c>
      <c r="E231" s="41">
        <v>2357</v>
      </c>
      <c r="F231" s="41" t="s">
        <v>3467</v>
      </c>
      <c r="G231" s="41" t="s">
        <v>9297</v>
      </c>
      <c r="H231" s="2043">
        <v>2270472</v>
      </c>
      <c r="I231" s="2043">
        <v>171245</v>
      </c>
      <c r="J231">
        <v>3.9329651587678198E-2</v>
      </c>
      <c r="K231" s="2043">
        <v>89296.872699578802</v>
      </c>
      <c r="L231" s="2043">
        <v>89296.872699578802</v>
      </c>
      <c r="M231">
        <v>599</v>
      </c>
      <c r="N231">
        <v>1</v>
      </c>
    </row>
    <row r="232" spans="1:14">
      <c r="A232" t="s">
        <v>2879</v>
      </c>
      <c r="B232" t="s">
        <v>1417</v>
      </c>
      <c r="C232" t="s">
        <v>1825</v>
      </c>
      <c r="D232" s="41">
        <v>8</v>
      </c>
      <c r="E232" s="41">
        <v>2356</v>
      </c>
      <c r="F232" s="41" t="s">
        <v>3470</v>
      </c>
      <c r="G232" s="41" t="s">
        <v>3470</v>
      </c>
      <c r="H232" s="2043">
        <v>1990738</v>
      </c>
      <c r="I232" s="2043">
        <v>413050</v>
      </c>
      <c r="J232">
        <v>0.101415520539927</v>
      </c>
      <c r="K232" s="2043">
        <v>201891.730528613</v>
      </c>
      <c r="L232" s="2043">
        <v>201891.730528613</v>
      </c>
      <c r="M232">
        <v>599</v>
      </c>
      <c r="N232">
        <v>1</v>
      </c>
    </row>
    <row r="233" spans="1:14">
      <c r="A233" t="s">
        <v>2879</v>
      </c>
      <c r="B233" t="s">
        <v>1417</v>
      </c>
      <c r="C233" t="s">
        <v>1825</v>
      </c>
      <c r="D233" s="41">
        <v>8</v>
      </c>
      <c r="E233" s="41">
        <v>2356</v>
      </c>
      <c r="F233" s="41" t="s">
        <v>3470</v>
      </c>
      <c r="G233" s="41" t="s">
        <v>3465</v>
      </c>
      <c r="H233" s="2043">
        <v>1990738</v>
      </c>
      <c r="I233" s="2043">
        <v>1329524</v>
      </c>
      <c r="J233">
        <v>0.32643594850581198</v>
      </c>
      <c r="K233" s="2043">
        <v>649848.447256563</v>
      </c>
      <c r="L233" s="2043">
        <v>649848.447256563</v>
      </c>
      <c r="M233">
        <v>599</v>
      </c>
      <c r="N233">
        <v>1</v>
      </c>
    </row>
    <row r="234" spans="1:14">
      <c r="A234" t="s">
        <v>2879</v>
      </c>
      <c r="B234" t="s">
        <v>1417</v>
      </c>
      <c r="C234" t="s">
        <v>1825</v>
      </c>
      <c r="D234" s="41">
        <v>8</v>
      </c>
      <c r="E234" s="41">
        <v>2356</v>
      </c>
      <c r="F234" s="41" t="s">
        <v>3470</v>
      </c>
      <c r="G234" s="41" t="s">
        <v>3471</v>
      </c>
      <c r="H234" s="2043">
        <v>1990738</v>
      </c>
      <c r="I234" s="2043">
        <v>828600</v>
      </c>
      <c r="J234">
        <v>0.203444862170157</v>
      </c>
      <c r="K234" s="2043">
        <v>405005.41802689398</v>
      </c>
      <c r="L234" s="2043">
        <v>405005.41802689398</v>
      </c>
      <c r="M234">
        <v>599</v>
      </c>
      <c r="N234">
        <v>1</v>
      </c>
    </row>
    <row r="235" spans="1:14">
      <c r="A235" t="s">
        <v>2879</v>
      </c>
      <c r="B235" t="s">
        <v>1417</v>
      </c>
      <c r="C235" t="s">
        <v>1825</v>
      </c>
      <c r="D235" s="41">
        <v>8</v>
      </c>
      <c r="E235" s="41">
        <v>2356</v>
      </c>
      <c r="F235" s="41" t="s">
        <v>3470</v>
      </c>
      <c r="G235" s="41" t="s">
        <v>8620</v>
      </c>
      <c r="H235" s="2043">
        <v>1990738</v>
      </c>
      <c r="I235" s="2043">
        <v>349302</v>
      </c>
      <c r="J235">
        <v>8.5763573794062506E-2</v>
      </c>
      <c r="K235" s="2043">
        <v>170732.805367644</v>
      </c>
      <c r="L235" s="2043">
        <v>170732.805367644</v>
      </c>
      <c r="M235">
        <v>599</v>
      </c>
      <c r="N235">
        <v>1</v>
      </c>
    </row>
    <row r="236" spans="1:14">
      <c r="A236" t="s">
        <v>2879</v>
      </c>
      <c r="B236" t="s">
        <v>1417</v>
      </c>
      <c r="C236" t="s">
        <v>1825</v>
      </c>
      <c r="D236" s="41">
        <v>8</v>
      </c>
      <c r="E236" s="41">
        <v>2356</v>
      </c>
      <c r="F236" s="41" t="s">
        <v>3470</v>
      </c>
      <c r="G236" s="41" t="s">
        <v>8619</v>
      </c>
      <c r="H236" s="2043">
        <v>1990738</v>
      </c>
      <c r="I236" s="2043">
        <v>1152372</v>
      </c>
      <c r="J236">
        <v>0.28294009499004102</v>
      </c>
      <c r="K236" s="2043">
        <v>563259.59882028506</v>
      </c>
      <c r="L236" s="2043">
        <v>563259.59882028506</v>
      </c>
      <c r="M236">
        <v>599</v>
      </c>
      <c r="N236">
        <v>1</v>
      </c>
    </row>
    <row r="237" spans="1:14">
      <c r="A237" t="s">
        <v>2880</v>
      </c>
      <c r="B237" t="s">
        <v>1082</v>
      </c>
      <c r="C237" t="s">
        <v>1824</v>
      </c>
      <c r="D237" s="41">
        <v>4</v>
      </c>
      <c r="E237" s="41">
        <v>2354</v>
      </c>
      <c r="F237" s="41" t="s">
        <v>3472</v>
      </c>
      <c r="G237" s="41" t="s">
        <v>3472</v>
      </c>
      <c r="H237" s="2043">
        <v>637500</v>
      </c>
      <c r="I237" s="2043">
        <v>0</v>
      </c>
      <c r="J237">
        <v>0</v>
      </c>
      <c r="K237" s="2043">
        <v>0</v>
      </c>
      <c r="L237" s="2043">
        <v>0</v>
      </c>
      <c r="M237">
        <v>599</v>
      </c>
      <c r="N237">
        <v>0</v>
      </c>
    </row>
    <row r="238" spans="1:14">
      <c r="A238" t="s">
        <v>2880</v>
      </c>
      <c r="B238" t="s">
        <v>1082</v>
      </c>
      <c r="C238" t="s">
        <v>1824</v>
      </c>
      <c r="D238" s="41">
        <v>4</v>
      </c>
      <c r="E238" s="41">
        <v>2354</v>
      </c>
      <c r="F238" s="41" t="s">
        <v>3472</v>
      </c>
      <c r="G238" s="41" t="s">
        <v>3473</v>
      </c>
      <c r="H238" s="2043">
        <v>637500</v>
      </c>
      <c r="I238" s="2043">
        <v>410279</v>
      </c>
      <c r="J238">
        <v>0.67839491781295302</v>
      </c>
      <c r="K238" s="2043">
        <v>432476.76010575797</v>
      </c>
      <c r="L238" s="2043">
        <v>410279</v>
      </c>
      <c r="M238">
        <v>599</v>
      </c>
      <c r="N238">
        <v>1</v>
      </c>
    </row>
    <row r="239" spans="1:14">
      <c r="A239" t="s">
        <v>2880</v>
      </c>
      <c r="B239" t="s">
        <v>1082</v>
      </c>
      <c r="C239" t="s">
        <v>1824</v>
      </c>
      <c r="D239" s="41">
        <v>4</v>
      </c>
      <c r="E239" s="41">
        <v>2354</v>
      </c>
      <c r="F239" s="41" t="s">
        <v>3472</v>
      </c>
      <c r="G239" s="41" t="s">
        <v>3474</v>
      </c>
      <c r="H239" s="2043">
        <v>637500</v>
      </c>
      <c r="I239" s="2043">
        <v>0</v>
      </c>
      <c r="J239">
        <v>0</v>
      </c>
      <c r="K239" s="2043">
        <v>0</v>
      </c>
      <c r="L239" s="2043">
        <v>0</v>
      </c>
      <c r="M239">
        <v>599</v>
      </c>
      <c r="N239">
        <v>1</v>
      </c>
    </row>
    <row r="240" spans="1:14">
      <c r="A240" t="s">
        <v>2880</v>
      </c>
      <c r="B240" t="s">
        <v>1082</v>
      </c>
      <c r="C240" t="s">
        <v>1824</v>
      </c>
      <c r="D240" s="41">
        <v>4</v>
      </c>
      <c r="E240" s="41">
        <v>2354</v>
      </c>
      <c r="F240" s="41" t="s">
        <v>3472</v>
      </c>
      <c r="G240" s="41" t="s">
        <v>5532</v>
      </c>
      <c r="H240" s="2043">
        <v>637500</v>
      </c>
      <c r="I240" s="2043">
        <v>126550</v>
      </c>
      <c r="J240">
        <v>0.20924999049239501</v>
      </c>
      <c r="K240" s="2043">
        <v>133396.86893890199</v>
      </c>
      <c r="L240" s="2043">
        <v>126550</v>
      </c>
      <c r="M240">
        <v>599</v>
      </c>
      <c r="N240">
        <v>1</v>
      </c>
    </row>
    <row r="241" spans="1:14">
      <c r="A241" t="s">
        <v>2880</v>
      </c>
      <c r="B241" t="s">
        <v>1082</v>
      </c>
      <c r="C241" t="s">
        <v>1824</v>
      </c>
      <c r="D241" s="41">
        <v>4</v>
      </c>
      <c r="E241" s="41">
        <v>2354</v>
      </c>
      <c r="F241" s="41" t="s">
        <v>3472</v>
      </c>
      <c r="G241" s="41" t="s">
        <v>9298</v>
      </c>
      <c r="H241" s="2043">
        <v>637500</v>
      </c>
      <c r="I241" s="2043">
        <v>67950</v>
      </c>
      <c r="J241">
        <v>0.11235509169465201</v>
      </c>
      <c r="K241" s="2043">
        <v>71626.370955340695</v>
      </c>
      <c r="L241" s="2043">
        <v>67950</v>
      </c>
      <c r="M241">
        <v>599</v>
      </c>
      <c r="N241">
        <v>1</v>
      </c>
    </row>
    <row r="242" spans="1:14">
      <c r="A242" t="s">
        <v>2880</v>
      </c>
      <c r="B242" t="s">
        <v>1082</v>
      </c>
      <c r="C242" t="s">
        <v>1824</v>
      </c>
      <c r="D242" s="41">
        <v>5</v>
      </c>
      <c r="E242" s="41">
        <v>2353</v>
      </c>
      <c r="F242" s="41" t="s">
        <v>3475</v>
      </c>
      <c r="G242" s="41" t="s">
        <v>3475</v>
      </c>
      <c r="H242" s="2043">
        <v>460677</v>
      </c>
      <c r="I242" s="2043">
        <v>0</v>
      </c>
      <c r="J242">
        <v>0</v>
      </c>
      <c r="K242" s="2043">
        <v>0</v>
      </c>
      <c r="L242" s="2043">
        <v>0</v>
      </c>
      <c r="M242">
        <v>599</v>
      </c>
      <c r="N242">
        <v>0</v>
      </c>
    </row>
    <row r="243" spans="1:14">
      <c r="A243" t="s">
        <v>2880</v>
      </c>
      <c r="B243" t="s">
        <v>1082</v>
      </c>
      <c r="C243" t="s">
        <v>1824</v>
      </c>
      <c r="D243" s="41">
        <v>5</v>
      </c>
      <c r="E243" s="41">
        <v>2353</v>
      </c>
      <c r="F243" s="41" t="s">
        <v>3475</v>
      </c>
      <c r="G243" s="41" t="s">
        <v>3473</v>
      </c>
      <c r="H243" s="2043">
        <v>460677</v>
      </c>
      <c r="I243" s="2043">
        <v>261996</v>
      </c>
      <c r="J243">
        <v>0.377411980276322</v>
      </c>
      <c r="K243" s="2043">
        <v>173865.01883775499</v>
      </c>
      <c r="L243" s="2043">
        <v>173865.01883775499</v>
      </c>
      <c r="M243">
        <v>599</v>
      </c>
      <c r="N243">
        <v>1</v>
      </c>
    </row>
    <row r="244" spans="1:14">
      <c r="A244" t="s">
        <v>2880</v>
      </c>
      <c r="B244" t="s">
        <v>1082</v>
      </c>
      <c r="C244" t="s">
        <v>1824</v>
      </c>
      <c r="D244" s="41">
        <v>5</v>
      </c>
      <c r="E244" s="41">
        <v>2353</v>
      </c>
      <c r="F244" s="41" t="s">
        <v>3475</v>
      </c>
      <c r="G244" s="41" t="s">
        <v>3474</v>
      </c>
      <c r="H244" s="2043">
        <v>460677</v>
      </c>
      <c r="I244" s="2043">
        <v>242275</v>
      </c>
      <c r="J244">
        <v>0.34900337227074402</v>
      </c>
      <c r="K244" s="2043">
        <v>160777.82652757</v>
      </c>
      <c r="L244" s="2043">
        <v>160777.82652757</v>
      </c>
      <c r="M244">
        <v>599</v>
      </c>
      <c r="N244">
        <v>1</v>
      </c>
    </row>
    <row r="245" spans="1:14">
      <c r="A245" t="s">
        <v>2880</v>
      </c>
      <c r="B245" t="s">
        <v>1082</v>
      </c>
      <c r="C245" t="s">
        <v>1824</v>
      </c>
      <c r="D245" s="41">
        <v>5</v>
      </c>
      <c r="E245" s="41">
        <v>2353</v>
      </c>
      <c r="F245" s="41" t="s">
        <v>3475</v>
      </c>
      <c r="G245" s="41" t="s">
        <v>5532</v>
      </c>
      <c r="H245" s="2043">
        <v>460677</v>
      </c>
      <c r="I245" s="2043">
        <v>96300</v>
      </c>
      <c r="J245">
        <v>0.138722628210392</v>
      </c>
      <c r="K245" s="2043">
        <v>63906.324196078604</v>
      </c>
      <c r="L245" s="2043">
        <v>63906.324196078604</v>
      </c>
      <c r="M245">
        <v>599</v>
      </c>
      <c r="N245">
        <v>1</v>
      </c>
    </row>
    <row r="246" spans="1:14">
      <c r="A246" t="s">
        <v>2880</v>
      </c>
      <c r="B246" t="s">
        <v>1082</v>
      </c>
      <c r="C246" t="s">
        <v>1824</v>
      </c>
      <c r="D246" s="41">
        <v>5</v>
      </c>
      <c r="E246" s="41">
        <v>2353</v>
      </c>
      <c r="F246" s="41" t="s">
        <v>3475</v>
      </c>
      <c r="G246" s="41" t="s">
        <v>9298</v>
      </c>
      <c r="H246" s="2043">
        <v>460677</v>
      </c>
      <c r="I246" s="2043">
        <v>93620</v>
      </c>
      <c r="J246">
        <v>0.13486201924254301</v>
      </c>
      <c r="K246" s="2043">
        <v>62127.830438596902</v>
      </c>
      <c r="L246" s="2043">
        <v>62127.830438596902</v>
      </c>
      <c r="M246">
        <v>599</v>
      </c>
      <c r="N246">
        <v>1</v>
      </c>
    </row>
    <row r="247" spans="1:14">
      <c r="A247" t="s">
        <v>2880</v>
      </c>
      <c r="B247" t="s">
        <v>1082</v>
      </c>
      <c r="C247" t="s">
        <v>1824</v>
      </c>
      <c r="D247" s="41">
        <v>6</v>
      </c>
      <c r="E247" s="41">
        <v>2351</v>
      </c>
      <c r="F247" s="41" t="s">
        <v>3476</v>
      </c>
      <c r="G247" s="41" t="s">
        <v>3476</v>
      </c>
      <c r="H247" s="2043">
        <v>230217</v>
      </c>
      <c r="I247" s="2043">
        <v>0</v>
      </c>
      <c r="J247">
        <v>0</v>
      </c>
      <c r="K247" s="2043">
        <v>0</v>
      </c>
      <c r="L247" s="2043">
        <v>0</v>
      </c>
      <c r="M247">
        <v>599</v>
      </c>
      <c r="N247">
        <v>0</v>
      </c>
    </row>
    <row r="248" spans="1:14">
      <c r="A248" t="s">
        <v>2880</v>
      </c>
      <c r="B248" t="s">
        <v>1082</v>
      </c>
      <c r="C248" t="s">
        <v>1824</v>
      </c>
      <c r="D248" s="41">
        <v>6</v>
      </c>
      <c r="E248" s="41">
        <v>2351</v>
      </c>
      <c r="F248" s="41" t="s">
        <v>3476</v>
      </c>
      <c r="G248" s="41" t="s">
        <v>3477</v>
      </c>
      <c r="H248" s="2043">
        <v>230217</v>
      </c>
      <c r="I248" s="2043">
        <v>230509</v>
      </c>
      <c r="J248">
        <v>1</v>
      </c>
      <c r="K248" s="2043">
        <v>230217</v>
      </c>
      <c r="L248" s="2043">
        <v>230217</v>
      </c>
      <c r="M248">
        <v>599</v>
      </c>
      <c r="N248">
        <v>1</v>
      </c>
    </row>
    <row r="249" spans="1:14">
      <c r="A249" t="s">
        <v>2880</v>
      </c>
      <c r="B249" t="s">
        <v>1082</v>
      </c>
      <c r="C249" t="s">
        <v>1824</v>
      </c>
      <c r="D249" s="41">
        <v>7</v>
      </c>
      <c r="E249" s="41">
        <v>2352</v>
      </c>
      <c r="F249" s="41" t="s">
        <v>3478</v>
      </c>
      <c r="G249" s="41" t="s">
        <v>3478</v>
      </c>
      <c r="H249" s="2043">
        <v>305924</v>
      </c>
      <c r="I249" s="2043">
        <v>0</v>
      </c>
      <c r="J249">
        <v>0</v>
      </c>
      <c r="K249" s="2043">
        <v>0</v>
      </c>
      <c r="L249" s="2043">
        <v>0</v>
      </c>
      <c r="M249">
        <v>599</v>
      </c>
      <c r="N249">
        <v>0</v>
      </c>
    </row>
    <row r="250" spans="1:14">
      <c r="A250" t="s">
        <v>2880</v>
      </c>
      <c r="B250" t="s">
        <v>1082</v>
      </c>
      <c r="C250" t="s">
        <v>1824</v>
      </c>
      <c r="D250" s="41">
        <v>7</v>
      </c>
      <c r="E250" s="41">
        <v>2352</v>
      </c>
      <c r="F250" s="41" t="s">
        <v>3478</v>
      </c>
      <c r="G250" s="41" t="s">
        <v>5348</v>
      </c>
      <c r="H250" s="2043">
        <v>305924</v>
      </c>
      <c r="I250" s="2043">
        <v>253813</v>
      </c>
      <c r="J250">
        <v>1</v>
      </c>
      <c r="K250" s="2043">
        <v>305924</v>
      </c>
      <c r="L250" s="2043">
        <v>253813</v>
      </c>
      <c r="M250">
        <v>599</v>
      </c>
      <c r="N250">
        <v>1</v>
      </c>
    </row>
    <row r="251" spans="1:14">
      <c r="A251" t="s">
        <v>2880</v>
      </c>
      <c r="B251" t="s">
        <v>1082</v>
      </c>
      <c r="C251" t="s">
        <v>1824</v>
      </c>
      <c r="D251" s="41">
        <v>10</v>
      </c>
      <c r="E251" s="41">
        <v>2355</v>
      </c>
      <c r="F251" s="41" t="s">
        <v>3474</v>
      </c>
      <c r="G251" s="41" t="s">
        <v>3474</v>
      </c>
      <c r="H251" s="2043">
        <v>732634</v>
      </c>
      <c r="I251" s="2043">
        <v>731125</v>
      </c>
      <c r="J251">
        <v>0.66147080164516103</v>
      </c>
      <c r="K251" s="2043">
        <v>484615.99929250102</v>
      </c>
      <c r="L251" s="2043">
        <v>484615.99929250102</v>
      </c>
      <c r="M251">
        <v>599</v>
      </c>
      <c r="N251">
        <v>1</v>
      </c>
    </row>
    <row r="252" spans="1:14">
      <c r="A252" t="s">
        <v>2880</v>
      </c>
      <c r="B252" t="s">
        <v>1082</v>
      </c>
      <c r="C252" t="s">
        <v>1824</v>
      </c>
      <c r="D252" s="41">
        <v>10</v>
      </c>
      <c r="E252" s="41">
        <v>2355</v>
      </c>
      <c r="F252" s="41" t="s">
        <v>3474</v>
      </c>
      <c r="G252" s="41" t="s">
        <v>9298</v>
      </c>
      <c r="H252" s="2043">
        <v>732634</v>
      </c>
      <c r="I252" s="2043">
        <v>374177</v>
      </c>
      <c r="J252">
        <v>0.33852919835483902</v>
      </c>
      <c r="K252" s="2043">
        <v>248018.00070749901</v>
      </c>
      <c r="L252" s="2043">
        <v>248018.00070749901</v>
      </c>
      <c r="M252">
        <v>599</v>
      </c>
      <c r="N252">
        <v>1</v>
      </c>
    </row>
    <row r="253" spans="1:14">
      <c r="A253" t="s">
        <v>2881</v>
      </c>
      <c r="B253" t="s">
        <v>1322</v>
      </c>
      <c r="C253" t="s">
        <v>2163</v>
      </c>
      <c r="D253" s="41">
        <v>1</v>
      </c>
      <c r="E253" s="41">
        <v>2147</v>
      </c>
      <c r="F253" s="41" t="s">
        <v>3479</v>
      </c>
      <c r="G253" s="41" t="s">
        <v>3479</v>
      </c>
      <c r="H253" s="2043">
        <v>6051325</v>
      </c>
      <c r="I253" s="2043">
        <v>0</v>
      </c>
      <c r="J253">
        <v>0</v>
      </c>
      <c r="L253" s="2043">
        <v>0</v>
      </c>
      <c r="M253">
        <v>599</v>
      </c>
      <c r="N253">
        <v>0</v>
      </c>
    </row>
    <row r="254" spans="1:14">
      <c r="A254" t="s">
        <v>2882</v>
      </c>
      <c r="B254" t="s">
        <v>723</v>
      </c>
      <c r="C254" t="s">
        <v>1008</v>
      </c>
      <c r="D254" s="41">
        <v>3</v>
      </c>
      <c r="E254" s="41">
        <v>1780</v>
      </c>
      <c r="F254" s="41" t="s">
        <v>3480</v>
      </c>
      <c r="G254" s="41" t="s">
        <v>3480</v>
      </c>
      <c r="H254" s="2043">
        <v>1803880</v>
      </c>
      <c r="I254" s="2043">
        <v>0</v>
      </c>
      <c r="J254">
        <v>0</v>
      </c>
      <c r="L254" s="2043">
        <v>0</v>
      </c>
      <c r="M254">
        <v>599</v>
      </c>
      <c r="N254">
        <v>0</v>
      </c>
    </row>
    <row r="255" spans="1:14">
      <c r="A255" t="s">
        <v>2882</v>
      </c>
      <c r="B255" t="s">
        <v>723</v>
      </c>
      <c r="C255" t="s">
        <v>1008</v>
      </c>
      <c r="D255" s="41">
        <v>6</v>
      </c>
      <c r="E255" s="41">
        <v>1779</v>
      </c>
      <c r="F255" s="41" t="s">
        <v>3481</v>
      </c>
      <c r="G255" s="41" t="s">
        <v>3481</v>
      </c>
      <c r="H255" s="2043">
        <v>1625293</v>
      </c>
      <c r="I255" s="2043">
        <v>0</v>
      </c>
      <c r="J255">
        <v>0</v>
      </c>
      <c r="K255" s="2043">
        <v>0</v>
      </c>
      <c r="L255" s="2043">
        <v>0</v>
      </c>
      <c r="M255">
        <v>599</v>
      </c>
      <c r="N255">
        <v>0</v>
      </c>
    </row>
    <row r="256" spans="1:14">
      <c r="A256" t="s">
        <v>2882</v>
      </c>
      <c r="B256" t="s">
        <v>723</v>
      </c>
      <c r="C256" t="s">
        <v>1008</v>
      </c>
      <c r="D256" s="41">
        <v>6</v>
      </c>
      <c r="E256" s="41">
        <v>1779</v>
      </c>
      <c r="F256" s="41" t="s">
        <v>3481</v>
      </c>
      <c r="G256" s="41" t="s">
        <v>3482</v>
      </c>
      <c r="H256" s="2043">
        <v>1625293</v>
      </c>
      <c r="I256" s="2043">
        <v>0</v>
      </c>
      <c r="J256">
        <v>0</v>
      </c>
      <c r="K256" s="2043">
        <v>0</v>
      </c>
      <c r="L256" s="2043">
        <v>0</v>
      </c>
      <c r="M256">
        <v>599</v>
      </c>
      <c r="N256">
        <v>1</v>
      </c>
    </row>
    <row r="257" spans="1:14">
      <c r="A257" t="s">
        <v>2882</v>
      </c>
      <c r="B257" t="s">
        <v>723</v>
      </c>
      <c r="C257" t="s">
        <v>1008</v>
      </c>
      <c r="D257" s="41">
        <v>6</v>
      </c>
      <c r="E257" s="41">
        <v>1779</v>
      </c>
      <c r="F257" s="41" t="s">
        <v>3481</v>
      </c>
      <c r="G257" s="41" t="s">
        <v>9299</v>
      </c>
      <c r="H257" s="2043">
        <v>1625293</v>
      </c>
      <c r="I257" s="2043">
        <v>1520800</v>
      </c>
      <c r="J257">
        <v>1</v>
      </c>
      <c r="K257" s="2043">
        <v>1625293</v>
      </c>
      <c r="L257" s="2043">
        <v>1520800</v>
      </c>
      <c r="M257">
        <v>599</v>
      </c>
      <c r="N257">
        <v>1</v>
      </c>
    </row>
    <row r="258" spans="1:14">
      <c r="A258" t="s">
        <v>2882</v>
      </c>
      <c r="B258" t="s">
        <v>723</v>
      </c>
      <c r="C258" t="s">
        <v>1008</v>
      </c>
      <c r="D258" s="41">
        <v>9</v>
      </c>
      <c r="E258" s="41">
        <v>1781</v>
      </c>
      <c r="F258" s="41" t="s">
        <v>3483</v>
      </c>
      <c r="G258" s="41" t="s">
        <v>3483</v>
      </c>
      <c r="H258" s="2043">
        <v>2096250</v>
      </c>
      <c r="I258" s="2043">
        <v>0</v>
      </c>
      <c r="J258">
        <v>0</v>
      </c>
      <c r="K258" s="2043">
        <v>0</v>
      </c>
      <c r="L258" s="2043">
        <v>0</v>
      </c>
      <c r="M258">
        <v>599</v>
      </c>
      <c r="N258">
        <v>1</v>
      </c>
    </row>
    <row r="259" spans="1:14">
      <c r="A259" t="s">
        <v>2882</v>
      </c>
      <c r="B259" t="s">
        <v>723</v>
      </c>
      <c r="C259" t="s">
        <v>1008</v>
      </c>
      <c r="D259" s="41">
        <v>9</v>
      </c>
      <c r="E259" s="41">
        <v>1781</v>
      </c>
      <c r="F259" s="41" t="s">
        <v>3483</v>
      </c>
      <c r="G259" s="41" t="s">
        <v>5349</v>
      </c>
      <c r="H259" s="2043">
        <v>2096250</v>
      </c>
      <c r="I259" s="2043">
        <v>353000</v>
      </c>
      <c r="J259">
        <v>0.11451557963374499</v>
      </c>
      <c r="K259" s="2043">
        <v>240053.28380723801</v>
      </c>
      <c r="L259" s="2043">
        <v>240053.28380723801</v>
      </c>
      <c r="M259">
        <v>599</v>
      </c>
      <c r="N259">
        <v>1</v>
      </c>
    </row>
    <row r="260" spans="1:14">
      <c r="A260" t="s">
        <v>2882</v>
      </c>
      <c r="B260" t="s">
        <v>723</v>
      </c>
      <c r="C260" t="s">
        <v>1008</v>
      </c>
      <c r="D260" s="41">
        <v>9</v>
      </c>
      <c r="E260" s="41">
        <v>1781</v>
      </c>
      <c r="F260" s="41" t="s">
        <v>3483</v>
      </c>
      <c r="G260" s="41" t="s">
        <v>5350</v>
      </c>
      <c r="H260" s="2043">
        <v>2096250</v>
      </c>
      <c r="I260" s="2043">
        <v>337400</v>
      </c>
      <c r="J260">
        <v>0.10945483447146</v>
      </c>
      <c r="K260" s="2043">
        <v>229444.69676079901</v>
      </c>
      <c r="L260" s="2043">
        <v>229444.69676079901</v>
      </c>
      <c r="M260">
        <v>599</v>
      </c>
      <c r="N260">
        <v>1</v>
      </c>
    </row>
    <row r="261" spans="1:14">
      <c r="A261" t="s">
        <v>2882</v>
      </c>
      <c r="B261" t="s">
        <v>723</v>
      </c>
      <c r="C261" t="s">
        <v>1008</v>
      </c>
      <c r="D261" s="41">
        <v>9</v>
      </c>
      <c r="E261" s="41">
        <v>1781</v>
      </c>
      <c r="F261" s="41" t="s">
        <v>3483</v>
      </c>
      <c r="G261" s="41" t="s">
        <v>5533</v>
      </c>
      <c r="H261" s="2043">
        <v>2096250</v>
      </c>
      <c r="I261" s="2043">
        <v>2392150</v>
      </c>
      <c r="J261">
        <v>0.77602958589479498</v>
      </c>
      <c r="K261" s="2043">
        <v>1626752.0194319601</v>
      </c>
      <c r="L261" s="2043">
        <v>1626752.0194319601</v>
      </c>
      <c r="M261">
        <v>599</v>
      </c>
      <c r="N261">
        <v>1</v>
      </c>
    </row>
    <row r="262" spans="1:14">
      <c r="A262" t="s">
        <v>2882</v>
      </c>
      <c r="B262" t="s">
        <v>723</v>
      </c>
      <c r="C262" t="s">
        <v>1008</v>
      </c>
      <c r="D262" s="41">
        <v>11</v>
      </c>
      <c r="E262" s="41">
        <v>2545</v>
      </c>
      <c r="F262" s="41" t="s">
        <v>7117</v>
      </c>
      <c r="G262" s="41" t="s">
        <v>7117</v>
      </c>
      <c r="H262" s="2043">
        <v>2345966</v>
      </c>
      <c r="I262" s="2043">
        <v>2388312</v>
      </c>
      <c r="J262">
        <v>1</v>
      </c>
      <c r="K262" s="2043">
        <v>2345966</v>
      </c>
      <c r="L262" s="2043">
        <v>2345966</v>
      </c>
      <c r="M262">
        <v>599</v>
      </c>
      <c r="N262">
        <v>0</v>
      </c>
    </row>
    <row r="263" spans="1:14">
      <c r="A263" t="s">
        <v>2883</v>
      </c>
      <c r="B263" t="s">
        <v>668</v>
      </c>
      <c r="C263" t="s">
        <v>1827</v>
      </c>
      <c r="D263" s="41">
        <v>4</v>
      </c>
      <c r="E263" s="41">
        <v>2369</v>
      </c>
      <c r="F263" s="41" t="s">
        <v>3484</v>
      </c>
      <c r="G263" s="41" t="s">
        <v>3484</v>
      </c>
      <c r="H263" s="2043">
        <v>2212705</v>
      </c>
      <c r="I263" s="2043">
        <v>0</v>
      </c>
      <c r="J263">
        <v>0</v>
      </c>
      <c r="K263" s="2043">
        <v>0</v>
      </c>
      <c r="L263" s="2043">
        <v>0</v>
      </c>
      <c r="M263">
        <v>599</v>
      </c>
      <c r="N263">
        <v>0</v>
      </c>
    </row>
    <row r="264" spans="1:14">
      <c r="A264" t="s">
        <v>2883</v>
      </c>
      <c r="B264" t="s">
        <v>668</v>
      </c>
      <c r="C264" t="s">
        <v>1827</v>
      </c>
      <c r="D264" s="41">
        <v>4</v>
      </c>
      <c r="E264" s="41">
        <v>2369</v>
      </c>
      <c r="F264" s="41" t="s">
        <v>3484</v>
      </c>
      <c r="G264" s="41" t="s">
        <v>3485</v>
      </c>
      <c r="H264" s="2043">
        <v>2212705</v>
      </c>
      <c r="I264" s="2043">
        <v>320775</v>
      </c>
      <c r="J264">
        <v>0.15932994747364401</v>
      </c>
      <c r="K264" s="2043">
        <v>352550.17142466898</v>
      </c>
      <c r="L264" s="2043">
        <v>320775</v>
      </c>
      <c r="M264">
        <v>599</v>
      </c>
      <c r="N264">
        <v>1</v>
      </c>
    </row>
    <row r="265" spans="1:14">
      <c r="A265" t="s">
        <v>2883</v>
      </c>
      <c r="B265" t="s">
        <v>668</v>
      </c>
      <c r="C265" t="s">
        <v>1827</v>
      </c>
      <c r="D265" s="41">
        <v>4</v>
      </c>
      <c r="E265" s="41">
        <v>2369</v>
      </c>
      <c r="F265" s="41" t="s">
        <v>3484</v>
      </c>
      <c r="G265" s="41" t="s">
        <v>5534</v>
      </c>
      <c r="H265" s="2043">
        <v>2212705</v>
      </c>
      <c r="I265" s="2043">
        <v>1692500</v>
      </c>
      <c r="J265">
        <v>0.84067005252635596</v>
      </c>
      <c r="K265" s="2043">
        <v>1860154.8285753301</v>
      </c>
      <c r="L265" s="2043">
        <v>1692500</v>
      </c>
      <c r="M265">
        <v>599</v>
      </c>
      <c r="N265">
        <v>1</v>
      </c>
    </row>
    <row r="266" spans="1:14">
      <c r="A266" t="s">
        <v>2883</v>
      </c>
      <c r="B266" t="s">
        <v>668</v>
      </c>
      <c r="C266" t="s">
        <v>1827</v>
      </c>
      <c r="D266" s="41">
        <v>6</v>
      </c>
      <c r="E266" s="41">
        <v>2368</v>
      </c>
      <c r="F266" s="41" t="s">
        <v>3486</v>
      </c>
      <c r="G266" s="41" t="s">
        <v>3486</v>
      </c>
      <c r="H266" s="2043">
        <v>1856996</v>
      </c>
      <c r="I266" s="2043">
        <v>0</v>
      </c>
      <c r="J266">
        <v>0</v>
      </c>
      <c r="K266" s="2043">
        <v>0</v>
      </c>
      <c r="L266" s="2043">
        <v>0</v>
      </c>
      <c r="M266">
        <v>599</v>
      </c>
      <c r="N266">
        <v>0</v>
      </c>
    </row>
    <row r="267" spans="1:14">
      <c r="A267" t="s">
        <v>2883</v>
      </c>
      <c r="B267" t="s">
        <v>668</v>
      </c>
      <c r="C267" t="s">
        <v>1827</v>
      </c>
      <c r="D267" s="41">
        <v>6</v>
      </c>
      <c r="E267" s="41">
        <v>2368</v>
      </c>
      <c r="F267" s="41" t="s">
        <v>3486</v>
      </c>
      <c r="G267" s="41" t="s">
        <v>3487</v>
      </c>
      <c r="H267" s="2043">
        <v>1856996</v>
      </c>
      <c r="I267" s="2043">
        <v>0</v>
      </c>
      <c r="J267">
        <v>0</v>
      </c>
      <c r="K267" s="2043">
        <v>0</v>
      </c>
      <c r="L267" s="2043">
        <v>0</v>
      </c>
      <c r="M267">
        <v>599</v>
      </c>
      <c r="N267">
        <v>1</v>
      </c>
    </row>
    <row r="268" spans="1:14">
      <c r="A268" t="s">
        <v>2883</v>
      </c>
      <c r="B268" t="s">
        <v>668</v>
      </c>
      <c r="C268" t="s">
        <v>1827</v>
      </c>
      <c r="D268" s="41">
        <v>6</v>
      </c>
      <c r="E268" s="41">
        <v>2368</v>
      </c>
      <c r="F268" s="41" t="s">
        <v>3486</v>
      </c>
      <c r="G268" s="41" t="s">
        <v>3488</v>
      </c>
      <c r="H268" s="2043">
        <v>1856996</v>
      </c>
      <c r="I268" s="2043">
        <v>0</v>
      </c>
      <c r="J268">
        <v>0</v>
      </c>
      <c r="K268" s="2043">
        <v>0</v>
      </c>
      <c r="L268" s="2043">
        <v>0</v>
      </c>
      <c r="M268">
        <v>599</v>
      </c>
      <c r="N268">
        <v>1</v>
      </c>
    </row>
    <row r="269" spans="1:14">
      <c r="A269" t="s">
        <v>2883</v>
      </c>
      <c r="B269" t="s">
        <v>668</v>
      </c>
      <c r="C269" t="s">
        <v>1827</v>
      </c>
      <c r="D269" s="41">
        <v>6</v>
      </c>
      <c r="E269" s="41">
        <v>2368</v>
      </c>
      <c r="F269" s="41" t="s">
        <v>3486</v>
      </c>
      <c r="G269" s="41" t="s">
        <v>5534</v>
      </c>
      <c r="H269" s="2043">
        <v>1856996</v>
      </c>
      <c r="I269" s="2043">
        <v>1683650</v>
      </c>
      <c r="J269">
        <v>1</v>
      </c>
      <c r="K269" s="2043">
        <v>1856996</v>
      </c>
      <c r="L269" s="2043">
        <v>1683650</v>
      </c>
      <c r="M269">
        <v>599</v>
      </c>
      <c r="N269">
        <v>1</v>
      </c>
    </row>
    <row r="270" spans="1:14">
      <c r="A270" t="s">
        <v>2883</v>
      </c>
      <c r="B270" t="s">
        <v>668</v>
      </c>
      <c r="C270" t="s">
        <v>1827</v>
      </c>
      <c r="D270" s="41">
        <v>8</v>
      </c>
      <c r="E270" s="41">
        <v>2370</v>
      </c>
      <c r="F270" s="41" t="s">
        <v>3489</v>
      </c>
      <c r="G270" s="41" t="s">
        <v>3489</v>
      </c>
      <c r="H270" s="2043">
        <v>2355500</v>
      </c>
      <c r="I270" s="2043">
        <v>0</v>
      </c>
      <c r="J270">
        <v>0</v>
      </c>
      <c r="K270" s="2043">
        <v>0</v>
      </c>
      <c r="L270" s="2043">
        <v>0</v>
      </c>
      <c r="M270">
        <v>599</v>
      </c>
      <c r="N270">
        <v>1</v>
      </c>
    </row>
    <row r="271" spans="1:14">
      <c r="A271" t="s">
        <v>2883</v>
      </c>
      <c r="B271" t="s">
        <v>668</v>
      </c>
      <c r="C271" t="s">
        <v>1827</v>
      </c>
      <c r="D271" s="41">
        <v>8</v>
      </c>
      <c r="E271" s="41">
        <v>2370</v>
      </c>
      <c r="F271" s="41" t="s">
        <v>3489</v>
      </c>
      <c r="G271" s="41" t="s">
        <v>5351</v>
      </c>
      <c r="H271" s="2043">
        <v>2355500</v>
      </c>
      <c r="I271" s="2043">
        <v>2192350</v>
      </c>
      <c r="J271">
        <v>1</v>
      </c>
      <c r="K271" s="2043">
        <v>2355500</v>
      </c>
      <c r="L271" s="2043">
        <v>2192350</v>
      </c>
      <c r="M271">
        <v>599</v>
      </c>
      <c r="N271">
        <v>1</v>
      </c>
    </row>
    <row r="272" spans="1:14">
      <c r="A272" t="s">
        <v>2883</v>
      </c>
      <c r="B272" t="s">
        <v>668</v>
      </c>
      <c r="C272" t="s">
        <v>1827</v>
      </c>
      <c r="D272" s="41">
        <v>8</v>
      </c>
      <c r="E272" s="41">
        <v>2370</v>
      </c>
      <c r="F272" s="41" t="s">
        <v>3489</v>
      </c>
      <c r="G272" s="41" t="s">
        <v>5534</v>
      </c>
      <c r="H272" s="2043">
        <v>2355500</v>
      </c>
      <c r="I272" s="2043">
        <v>0</v>
      </c>
      <c r="J272">
        <v>0</v>
      </c>
      <c r="K272" s="2043">
        <v>0</v>
      </c>
      <c r="L272" s="2043">
        <v>0</v>
      </c>
      <c r="M272">
        <v>599</v>
      </c>
      <c r="N272">
        <v>1</v>
      </c>
    </row>
    <row r="273" spans="1:14">
      <c r="A273" t="s">
        <v>2883</v>
      </c>
      <c r="B273" t="s">
        <v>668</v>
      </c>
      <c r="C273" t="s">
        <v>1827</v>
      </c>
      <c r="D273" s="41">
        <v>9</v>
      </c>
      <c r="E273" s="41">
        <v>2366</v>
      </c>
      <c r="F273" s="41" t="s">
        <v>3490</v>
      </c>
      <c r="G273" s="41" t="s">
        <v>3490</v>
      </c>
      <c r="H273" s="2043">
        <v>907250</v>
      </c>
      <c r="I273" s="2043">
        <v>0</v>
      </c>
      <c r="J273">
        <v>0</v>
      </c>
      <c r="K273" s="2043">
        <v>0</v>
      </c>
      <c r="L273" s="2043">
        <v>0</v>
      </c>
      <c r="M273">
        <v>599</v>
      </c>
      <c r="N273">
        <v>1</v>
      </c>
    </row>
    <row r="274" spans="1:14">
      <c r="A274" t="s">
        <v>2883</v>
      </c>
      <c r="B274" t="s">
        <v>668</v>
      </c>
      <c r="C274" t="s">
        <v>1827</v>
      </c>
      <c r="D274" s="41">
        <v>9</v>
      </c>
      <c r="E274" s="41">
        <v>2366</v>
      </c>
      <c r="F274" s="41" t="s">
        <v>3490</v>
      </c>
      <c r="G274" s="41" t="s">
        <v>5351</v>
      </c>
      <c r="H274" s="2043">
        <v>907250</v>
      </c>
      <c r="I274" s="2043">
        <v>836750</v>
      </c>
      <c r="J274">
        <v>1</v>
      </c>
      <c r="K274" s="2043">
        <v>907250</v>
      </c>
      <c r="L274" s="2043">
        <v>836750</v>
      </c>
      <c r="M274">
        <v>599</v>
      </c>
      <c r="N274">
        <v>1</v>
      </c>
    </row>
    <row r="275" spans="1:14">
      <c r="A275" t="s">
        <v>2883</v>
      </c>
      <c r="B275" t="s">
        <v>668</v>
      </c>
      <c r="C275" t="s">
        <v>1827</v>
      </c>
      <c r="D275" s="41">
        <v>9</v>
      </c>
      <c r="E275" s="41">
        <v>2366</v>
      </c>
      <c r="F275" s="41" t="s">
        <v>3490</v>
      </c>
      <c r="G275" s="41" t="s">
        <v>5534</v>
      </c>
      <c r="H275" s="2043">
        <v>907250</v>
      </c>
      <c r="I275" s="2043">
        <v>0</v>
      </c>
      <c r="J275">
        <v>0</v>
      </c>
      <c r="K275" s="2043">
        <v>0</v>
      </c>
      <c r="L275" s="2043">
        <v>0</v>
      </c>
      <c r="M275">
        <v>599</v>
      </c>
      <c r="N275">
        <v>1</v>
      </c>
    </row>
    <row r="276" spans="1:14">
      <c r="A276" t="s">
        <v>2883</v>
      </c>
      <c r="B276" t="s">
        <v>668</v>
      </c>
      <c r="C276" t="s">
        <v>1827</v>
      </c>
      <c r="D276" s="41">
        <v>9</v>
      </c>
      <c r="E276" s="41">
        <v>2367</v>
      </c>
      <c r="F276" s="41" t="s">
        <v>3491</v>
      </c>
      <c r="G276" s="41" t="s">
        <v>3491</v>
      </c>
      <c r="H276" s="2043">
        <v>1378513</v>
      </c>
      <c r="I276" s="2043">
        <v>0</v>
      </c>
      <c r="J276">
        <v>0</v>
      </c>
      <c r="K276" s="2043">
        <v>0</v>
      </c>
      <c r="L276" s="2043">
        <v>0</v>
      </c>
      <c r="M276">
        <v>599</v>
      </c>
      <c r="N276">
        <v>1</v>
      </c>
    </row>
    <row r="277" spans="1:14">
      <c r="A277" t="s">
        <v>2883</v>
      </c>
      <c r="B277" t="s">
        <v>668</v>
      </c>
      <c r="C277" t="s">
        <v>1827</v>
      </c>
      <c r="D277" s="41">
        <v>9</v>
      </c>
      <c r="E277" s="41">
        <v>2367</v>
      </c>
      <c r="F277" s="41" t="s">
        <v>3491</v>
      </c>
      <c r="G277" s="41" t="s">
        <v>5904</v>
      </c>
      <c r="H277" s="2043">
        <v>1378513</v>
      </c>
      <c r="I277" s="2043">
        <v>1210919</v>
      </c>
      <c r="J277">
        <v>1</v>
      </c>
      <c r="K277" s="2043">
        <v>1378513</v>
      </c>
      <c r="L277" s="2043">
        <v>1210919</v>
      </c>
      <c r="M277">
        <v>599</v>
      </c>
      <c r="N277">
        <v>1</v>
      </c>
    </row>
    <row r="278" spans="1:14">
      <c r="A278" t="s">
        <v>2883</v>
      </c>
      <c r="B278" t="s">
        <v>668</v>
      </c>
      <c r="C278" t="s">
        <v>1827</v>
      </c>
      <c r="D278" s="41">
        <v>11</v>
      </c>
      <c r="E278" s="41">
        <v>2595</v>
      </c>
      <c r="F278" s="41" t="s">
        <v>5904</v>
      </c>
      <c r="G278" s="41" t="s">
        <v>5904</v>
      </c>
      <c r="H278" s="2043">
        <v>2550985</v>
      </c>
      <c r="I278" s="2043">
        <v>1784371</v>
      </c>
      <c r="J278">
        <v>1</v>
      </c>
      <c r="K278" s="2043">
        <v>2550985</v>
      </c>
      <c r="L278" s="2043">
        <v>1784371</v>
      </c>
      <c r="M278">
        <v>599</v>
      </c>
      <c r="N278">
        <v>1</v>
      </c>
    </row>
    <row r="279" spans="1:14">
      <c r="A279" t="s">
        <v>2884</v>
      </c>
      <c r="B279" t="s">
        <v>1324</v>
      </c>
      <c r="C279" t="s">
        <v>2165</v>
      </c>
      <c r="D279" s="41">
        <v>1</v>
      </c>
      <c r="E279" s="41">
        <v>2152</v>
      </c>
      <c r="F279" s="41" t="s">
        <v>3492</v>
      </c>
      <c r="G279" s="41" t="s">
        <v>3492</v>
      </c>
      <c r="H279" s="2043">
        <v>1368888</v>
      </c>
      <c r="I279" s="2043">
        <v>0</v>
      </c>
      <c r="J279">
        <v>0</v>
      </c>
      <c r="K279" s="2043">
        <v>0</v>
      </c>
      <c r="L279" s="2043">
        <v>0</v>
      </c>
      <c r="M279">
        <v>599</v>
      </c>
      <c r="N279">
        <v>0</v>
      </c>
    </row>
    <row r="280" spans="1:14">
      <c r="A280" t="s">
        <v>2884</v>
      </c>
      <c r="B280" t="s">
        <v>1324</v>
      </c>
      <c r="C280" t="s">
        <v>2165</v>
      </c>
      <c r="D280" s="41">
        <v>1</v>
      </c>
      <c r="E280" s="41">
        <v>2152</v>
      </c>
      <c r="F280" s="41" t="s">
        <v>3492</v>
      </c>
      <c r="G280" s="41" t="s">
        <v>3493</v>
      </c>
      <c r="H280" s="2043">
        <v>1368888</v>
      </c>
      <c r="I280" s="2043">
        <v>0</v>
      </c>
      <c r="J280">
        <v>0</v>
      </c>
      <c r="K280" s="2043">
        <v>0</v>
      </c>
      <c r="L280" s="2043">
        <v>0</v>
      </c>
      <c r="M280">
        <v>599</v>
      </c>
      <c r="N280">
        <v>0</v>
      </c>
    </row>
    <row r="281" spans="1:14">
      <c r="A281" t="s">
        <v>2884</v>
      </c>
      <c r="B281" t="s">
        <v>1324</v>
      </c>
      <c r="C281" t="s">
        <v>2165</v>
      </c>
      <c r="D281" s="41">
        <v>1</v>
      </c>
      <c r="E281" s="41">
        <v>2152</v>
      </c>
      <c r="F281" s="41" t="s">
        <v>3492</v>
      </c>
      <c r="G281" s="41" t="s">
        <v>3494</v>
      </c>
      <c r="H281" s="2043">
        <v>1368888</v>
      </c>
      <c r="I281" s="2043">
        <v>0</v>
      </c>
      <c r="J281">
        <v>0</v>
      </c>
      <c r="K281" s="2043">
        <v>0</v>
      </c>
      <c r="L281" s="2043">
        <v>0</v>
      </c>
      <c r="M281">
        <v>599</v>
      </c>
      <c r="N281">
        <v>0</v>
      </c>
    </row>
    <row r="282" spans="1:14">
      <c r="A282" t="s">
        <v>2884</v>
      </c>
      <c r="B282" t="s">
        <v>1324</v>
      </c>
      <c r="C282" t="s">
        <v>2165</v>
      </c>
      <c r="D282" s="41">
        <v>1</v>
      </c>
      <c r="E282" s="41">
        <v>2152</v>
      </c>
      <c r="F282" s="41" t="s">
        <v>3492</v>
      </c>
      <c r="G282" s="41" t="s">
        <v>3495</v>
      </c>
      <c r="H282" s="2043">
        <v>1368888</v>
      </c>
      <c r="I282" s="2043">
        <v>0</v>
      </c>
      <c r="J282">
        <v>0</v>
      </c>
      <c r="K282" s="2043">
        <v>0</v>
      </c>
      <c r="L282" s="2043">
        <v>0</v>
      </c>
      <c r="M282">
        <v>599</v>
      </c>
      <c r="N282">
        <v>1</v>
      </c>
    </row>
    <row r="283" spans="1:14">
      <c r="A283" t="s">
        <v>2884</v>
      </c>
      <c r="B283" t="s">
        <v>1324</v>
      </c>
      <c r="C283" t="s">
        <v>2165</v>
      </c>
      <c r="D283" s="41">
        <v>1</v>
      </c>
      <c r="E283" s="41">
        <v>2152</v>
      </c>
      <c r="F283" s="41" t="s">
        <v>3492</v>
      </c>
      <c r="G283" s="41" t="s">
        <v>3496</v>
      </c>
      <c r="H283" s="2043">
        <v>1368888</v>
      </c>
      <c r="I283" s="2043">
        <v>0</v>
      </c>
      <c r="J283">
        <v>0</v>
      </c>
      <c r="K283" s="2043">
        <v>0</v>
      </c>
      <c r="L283" s="2043">
        <v>0</v>
      </c>
      <c r="M283">
        <v>599</v>
      </c>
      <c r="N283">
        <v>1</v>
      </c>
    </row>
    <row r="284" spans="1:14">
      <c r="A284" t="s">
        <v>2884</v>
      </c>
      <c r="B284" t="s">
        <v>1324</v>
      </c>
      <c r="C284" t="s">
        <v>2165</v>
      </c>
      <c r="D284" s="41">
        <v>1</v>
      </c>
      <c r="E284" s="41">
        <v>2152</v>
      </c>
      <c r="F284" s="41" t="s">
        <v>3492</v>
      </c>
      <c r="G284" s="41" t="s">
        <v>3497</v>
      </c>
      <c r="H284" s="2043">
        <v>1368888</v>
      </c>
      <c r="I284" s="2043">
        <v>94969</v>
      </c>
      <c r="J284">
        <v>0.115512703247088</v>
      </c>
      <c r="K284" s="2043">
        <v>158123.95332249999</v>
      </c>
      <c r="L284" s="2043">
        <v>94969</v>
      </c>
      <c r="M284">
        <v>599</v>
      </c>
      <c r="N284">
        <v>1</v>
      </c>
    </row>
    <row r="285" spans="1:14">
      <c r="A285" t="s">
        <v>2884</v>
      </c>
      <c r="B285" t="s">
        <v>1324</v>
      </c>
      <c r="C285" t="s">
        <v>2165</v>
      </c>
      <c r="D285" s="41">
        <v>1</v>
      </c>
      <c r="E285" s="41">
        <v>2152</v>
      </c>
      <c r="F285" s="41" t="s">
        <v>3492</v>
      </c>
      <c r="G285" s="41" t="s">
        <v>7118</v>
      </c>
      <c r="H285" s="2043">
        <v>1368888</v>
      </c>
      <c r="I285" s="2043">
        <v>198491</v>
      </c>
      <c r="J285">
        <v>0.24142859227977301</v>
      </c>
      <c r="K285" s="2043">
        <v>330488.702828674</v>
      </c>
      <c r="L285" s="2043">
        <v>198491</v>
      </c>
      <c r="M285">
        <v>599</v>
      </c>
      <c r="N285">
        <v>1</v>
      </c>
    </row>
    <row r="286" spans="1:14">
      <c r="A286" t="s">
        <v>2884</v>
      </c>
      <c r="B286" t="s">
        <v>1324</v>
      </c>
      <c r="C286" t="s">
        <v>2165</v>
      </c>
      <c r="D286" s="41">
        <v>1</v>
      </c>
      <c r="E286" s="41">
        <v>2152</v>
      </c>
      <c r="F286" s="41" t="s">
        <v>3492</v>
      </c>
      <c r="G286" s="41" t="s">
        <v>7119</v>
      </c>
      <c r="H286" s="2043">
        <v>1368888</v>
      </c>
      <c r="I286" s="2043">
        <v>190662</v>
      </c>
      <c r="J286">
        <v>0.23190602224406201</v>
      </c>
      <c r="K286" s="2043">
        <v>317453.37097762898</v>
      </c>
      <c r="L286" s="2043">
        <v>190662</v>
      </c>
      <c r="M286">
        <v>599</v>
      </c>
      <c r="N286">
        <v>1</v>
      </c>
    </row>
    <row r="287" spans="1:14">
      <c r="A287" t="s">
        <v>2884</v>
      </c>
      <c r="B287" t="s">
        <v>1324</v>
      </c>
      <c r="C287" t="s">
        <v>2165</v>
      </c>
      <c r="D287" s="41">
        <v>1</v>
      </c>
      <c r="E287" s="41">
        <v>2152</v>
      </c>
      <c r="F287" s="41" t="s">
        <v>3492</v>
      </c>
      <c r="G287" s="41" t="s">
        <v>8621</v>
      </c>
      <c r="H287" s="2043">
        <v>1368888</v>
      </c>
      <c r="I287" s="2043">
        <v>338030</v>
      </c>
      <c r="J287">
        <v>0.41115268222907703</v>
      </c>
      <c r="K287" s="2043">
        <v>562821.97287119704</v>
      </c>
      <c r="L287" s="2043">
        <v>338030</v>
      </c>
      <c r="M287">
        <v>599</v>
      </c>
      <c r="N287">
        <v>1</v>
      </c>
    </row>
    <row r="288" spans="1:14">
      <c r="A288" t="s">
        <v>2884</v>
      </c>
      <c r="B288" t="s">
        <v>1324</v>
      </c>
      <c r="C288" t="s">
        <v>2165</v>
      </c>
      <c r="D288" s="41">
        <v>1</v>
      </c>
      <c r="E288" s="41">
        <v>2153</v>
      </c>
      <c r="F288" s="41" t="s">
        <v>3498</v>
      </c>
      <c r="G288" s="41" t="s">
        <v>3498</v>
      </c>
      <c r="H288" s="2043">
        <v>3069626</v>
      </c>
      <c r="I288" s="2043">
        <v>0</v>
      </c>
      <c r="J288">
        <v>0</v>
      </c>
      <c r="K288" s="2043">
        <v>0</v>
      </c>
      <c r="L288" s="2043">
        <v>0</v>
      </c>
      <c r="M288">
        <v>599</v>
      </c>
      <c r="N288">
        <v>0</v>
      </c>
    </row>
    <row r="289" spans="1:14">
      <c r="A289" t="s">
        <v>2884</v>
      </c>
      <c r="B289" t="s">
        <v>1324</v>
      </c>
      <c r="C289" t="s">
        <v>2165</v>
      </c>
      <c r="D289" s="41">
        <v>1</v>
      </c>
      <c r="E289" s="41">
        <v>2153</v>
      </c>
      <c r="F289" s="41" t="s">
        <v>3498</v>
      </c>
      <c r="G289" s="41" t="s">
        <v>3493</v>
      </c>
      <c r="H289" s="2043">
        <v>3069626</v>
      </c>
      <c r="I289" s="2043">
        <v>0</v>
      </c>
      <c r="J289">
        <v>0</v>
      </c>
      <c r="K289" s="2043">
        <v>0</v>
      </c>
      <c r="L289" s="2043">
        <v>0</v>
      </c>
      <c r="M289">
        <v>599</v>
      </c>
      <c r="N289">
        <v>0</v>
      </c>
    </row>
    <row r="290" spans="1:14">
      <c r="A290" t="s">
        <v>2884</v>
      </c>
      <c r="B290" t="s">
        <v>1324</v>
      </c>
      <c r="C290" t="s">
        <v>2165</v>
      </c>
      <c r="D290" s="41">
        <v>1</v>
      </c>
      <c r="E290" s="41">
        <v>2153</v>
      </c>
      <c r="F290" s="41" t="s">
        <v>3498</v>
      </c>
      <c r="G290" s="41" t="s">
        <v>3494</v>
      </c>
      <c r="H290" s="2043">
        <v>3069626</v>
      </c>
      <c r="I290" s="2043">
        <v>0</v>
      </c>
      <c r="J290">
        <v>0</v>
      </c>
      <c r="K290" s="2043">
        <v>0</v>
      </c>
      <c r="L290" s="2043">
        <v>0</v>
      </c>
      <c r="M290">
        <v>599</v>
      </c>
      <c r="N290">
        <v>0</v>
      </c>
    </row>
    <row r="291" spans="1:14">
      <c r="A291" t="s">
        <v>2884</v>
      </c>
      <c r="B291" t="s">
        <v>1324</v>
      </c>
      <c r="C291" t="s">
        <v>2165</v>
      </c>
      <c r="D291" s="41">
        <v>1</v>
      </c>
      <c r="E291" s="41">
        <v>2153</v>
      </c>
      <c r="F291" s="41" t="s">
        <v>3498</v>
      </c>
      <c r="G291" s="41" t="s">
        <v>3499</v>
      </c>
      <c r="H291" s="2043">
        <v>3069626</v>
      </c>
      <c r="I291" s="2043">
        <v>0</v>
      </c>
      <c r="J291">
        <v>0</v>
      </c>
      <c r="K291" s="2043">
        <v>0</v>
      </c>
      <c r="L291" s="2043">
        <v>0</v>
      </c>
      <c r="M291">
        <v>599</v>
      </c>
      <c r="N291">
        <v>0</v>
      </c>
    </row>
    <row r="292" spans="1:14">
      <c r="A292" t="s">
        <v>2884</v>
      </c>
      <c r="B292" t="s">
        <v>1324</v>
      </c>
      <c r="C292" t="s">
        <v>2165</v>
      </c>
      <c r="D292" s="41">
        <v>1</v>
      </c>
      <c r="E292" s="41">
        <v>2153</v>
      </c>
      <c r="F292" s="41" t="s">
        <v>3498</v>
      </c>
      <c r="G292" s="41" t="s">
        <v>3495</v>
      </c>
      <c r="H292" s="2043">
        <v>3069626</v>
      </c>
      <c r="I292" s="2043">
        <v>0</v>
      </c>
      <c r="J292">
        <v>0</v>
      </c>
      <c r="K292" s="2043">
        <v>0</v>
      </c>
      <c r="L292" s="2043">
        <v>0</v>
      </c>
      <c r="M292">
        <v>599</v>
      </c>
      <c r="N292">
        <v>1</v>
      </c>
    </row>
    <row r="293" spans="1:14">
      <c r="A293" t="s">
        <v>2884</v>
      </c>
      <c r="B293" t="s">
        <v>1324</v>
      </c>
      <c r="C293" t="s">
        <v>2165</v>
      </c>
      <c r="D293" s="41">
        <v>1</v>
      </c>
      <c r="E293" s="41">
        <v>2153</v>
      </c>
      <c r="F293" s="41" t="s">
        <v>3498</v>
      </c>
      <c r="G293" s="41" t="s">
        <v>3496</v>
      </c>
      <c r="H293" s="2043">
        <v>3069626</v>
      </c>
      <c r="I293" s="2043">
        <v>0</v>
      </c>
      <c r="J293">
        <v>0</v>
      </c>
      <c r="K293" s="2043">
        <v>0</v>
      </c>
      <c r="L293" s="2043">
        <v>0</v>
      </c>
      <c r="M293">
        <v>599</v>
      </c>
      <c r="N293">
        <v>1</v>
      </c>
    </row>
    <row r="294" spans="1:14">
      <c r="A294" t="s">
        <v>2884</v>
      </c>
      <c r="B294" t="s">
        <v>1324</v>
      </c>
      <c r="C294" t="s">
        <v>2165</v>
      </c>
      <c r="D294" s="41">
        <v>1</v>
      </c>
      <c r="E294" s="41">
        <v>2153</v>
      </c>
      <c r="F294" s="41" t="s">
        <v>3498</v>
      </c>
      <c r="G294" s="41" t="s">
        <v>3497</v>
      </c>
      <c r="H294" s="2043">
        <v>3069626</v>
      </c>
      <c r="I294" s="2043">
        <v>162031</v>
      </c>
      <c r="J294">
        <v>0.229842942334644</v>
      </c>
      <c r="K294" s="2043">
        <v>705531.87170692405</v>
      </c>
      <c r="L294" s="2043">
        <v>162031</v>
      </c>
      <c r="M294">
        <v>599</v>
      </c>
      <c r="N294">
        <v>1</v>
      </c>
    </row>
    <row r="295" spans="1:14">
      <c r="A295" t="s">
        <v>2884</v>
      </c>
      <c r="B295" t="s">
        <v>1324</v>
      </c>
      <c r="C295" t="s">
        <v>2165</v>
      </c>
      <c r="D295" s="41">
        <v>1</v>
      </c>
      <c r="E295" s="41">
        <v>2153</v>
      </c>
      <c r="F295" s="41" t="s">
        <v>3498</v>
      </c>
      <c r="G295" s="41" t="s">
        <v>5352</v>
      </c>
      <c r="H295" s="2043">
        <v>3069626</v>
      </c>
      <c r="I295" s="2043">
        <v>416474</v>
      </c>
      <c r="J295">
        <v>0.59077342956519796</v>
      </c>
      <c r="K295" s="2043">
        <v>1813453.4795025</v>
      </c>
      <c r="L295" s="2043">
        <v>416474</v>
      </c>
      <c r="M295">
        <v>599</v>
      </c>
      <c r="N295">
        <v>1</v>
      </c>
    </row>
    <row r="296" spans="1:14">
      <c r="A296" t="s">
        <v>2884</v>
      </c>
      <c r="B296" t="s">
        <v>1324</v>
      </c>
      <c r="C296" t="s">
        <v>2165</v>
      </c>
      <c r="D296" s="41">
        <v>1</v>
      </c>
      <c r="E296" s="41">
        <v>2153</v>
      </c>
      <c r="F296" s="41" t="s">
        <v>3498</v>
      </c>
      <c r="G296" s="41" t="s">
        <v>7118</v>
      </c>
      <c r="H296" s="2043">
        <v>3069626</v>
      </c>
      <c r="I296" s="2043">
        <v>34518</v>
      </c>
      <c r="J296">
        <v>4.8964202427358001E-2</v>
      </c>
      <c r="K296" s="2043">
        <v>150301.78884028099</v>
      </c>
      <c r="L296" s="2043">
        <v>34518</v>
      </c>
      <c r="M296">
        <v>599</v>
      </c>
      <c r="N296">
        <v>1</v>
      </c>
    </row>
    <row r="297" spans="1:14">
      <c r="A297" t="s">
        <v>2884</v>
      </c>
      <c r="B297" t="s">
        <v>1324</v>
      </c>
      <c r="C297" t="s">
        <v>2165</v>
      </c>
      <c r="D297" s="41">
        <v>1</v>
      </c>
      <c r="E297" s="41">
        <v>2153</v>
      </c>
      <c r="F297" s="41" t="s">
        <v>3498</v>
      </c>
      <c r="G297" s="41" t="s">
        <v>7119</v>
      </c>
      <c r="H297" s="2043">
        <v>3069626</v>
      </c>
      <c r="I297" s="2043">
        <v>33157</v>
      </c>
      <c r="J297">
        <v>4.7033607389880903E-2</v>
      </c>
      <c r="K297" s="2043">
        <v>144375.58411777101</v>
      </c>
      <c r="L297" s="2043">
        <v>33157</v>
      </c>
      <c r="M297">
        <v>599</v>
      </c>
      <c r="N297">
        <v>1</v>
      </c>
    </row>
    <row r="298" spans="1:14">
      <c r="A298" t="s">
        <v>2884</v>
      </c>
      <c r="B298" t="s">
        <v>1324</v>
      </c>
      <c r="C298" t="s">
        <v>2165</v>
      </c>
      <c r="D298" s="41">
        <v>1</v>
      </c>
      <c r="E298" s="41">
        <v>2153</v>
      </c>
      <c r="F298" s="41" t="s">
        <v>3498</v>
      </c>
      <c r="G298" s="41" t="s">
        <v>8621</v>
      </c>
      <c r="H298" s="2043">
        <v>3069626</v>
      </c>
      <c r="I298" s="2043">
        <v>58784</v>
      </c>
      <c r="J298">
        <v>8.3385818282919397E-2</v>
      </c>
      <c r="K298" s="2043">
        <v>255963.27583252499</v>
      </c>
      <c r="L298" s="2043">
        <v>58784</v>
      </c>
      <c r="M298">
        <v>599</v>
      </c>
      <c r="N298">
        <v>1</v>
      </c>
    </row>
    <row r="299" spans="1:14">
      <c r="A299" t="s">
        <v>2885</v>
      </c>
      <c r="B299" t="s">
        <v>44</v>
      </c>
      <c r="C299" t="s">
        <v>386</v>
      </c>
      <c r="D299" s="41">
        <v>1</v>
      </c>
      <c r="E299" s="41">
        <v>1937</v>
      </c>
      <c r="F299" s="41" t="s">
        <v>3500</v>
      </c>
      <c r="G299" s="41" t="s">
        <v>3500</v>
      </c>
      <c r="H299" s="2043">
        <v>738000</v>
      </c>
      <c r="I299" s="2043">
        <v>0</v>
      </c>
      <c r="J299">
        <v>0</v>
      </c>
      <c r="L299" s="2043">
        <v>0</v>
      </c>
      <c r="M299">
        <v>599</v>
      </c>
      <c r="N299">
        <v>0</v>
      </c>
    </row>
    <row r="300" spans="1:14">
      <c r="A300" t="s">
        <v>2885</v>
      </c>
      <c r="B300" t="s">
        <v>44</v>
      </c>
      <c r="C300" t="s">
        <v>386</v>
      </c>
      <c r="D300" s="41">
        <v>6</v>
      </c>
      <c r="E300" s="41">
        <v>1938</v>
      </c>
      <c r="F300" s="41" t="s">
        <v>3501</v>
      </c>
      <c r="G300" s="41" t="s">
        <v>3501</v>
      </c>
      <c r="H300" s="2043">
        <v>3992710</v>
      </c>
      <c r="I300" s="2043">
        <v>0</v>
      </c>
      <c r="J300">
        <v>0</v>
      </c>
      <c r="K300" s="2043">
        <v>0</v>
      </c>
      <c r="L300" s="2043">
        <v>0</v>
      </c>
      <c r="M300">
        <v>599</v>
      </c>
      <c r="N300">
        <v>0</v>
      </c>
    </row>
    <row r="301" spans="1:14">
      <c r="A301" t="s">
        <v>2885</v>
      </c>
      <c r="B301" t="s">
        <v>44</v>
      </c>
      <c r="C301" t="s">
        <v>386</v>
      </c>
      <c r="D301" s="41">
        <v>6</v>
      </c>
      <c r="E301" s="41">
        <v>1938</v>
      </c>
      <c r="F301" s="41" t="s">
        <v>3501</v>
      </c>
      <c r="G301" s="41" t="s">
        <v>3502</v>
      </c>
      <c r="H301" s="2043">
        <v>3992710</v>
      </c>
      <c r="I301" s="2043">
        <v>3770418</v>
      </c>
      <c r="J301">
        <v>0.62326779277734201</v>
      </c>
      <c r="K301" s="2043">
        <v>2488527.5489000198</v>
      </c>
      <c r="L301" s="2043">
        <v>2488527.5489000198</v>
      </c>
      <c r="M301">
        <v>599</v>
      </c>
      <c r="N301">
        <v>1</v>
      </c>
    </row>
    <row r="302" spans="1:14">
      <c r="A302" t="s">
        <v>2885</v>
      </c>
      <c r="B302" t="s">
        <v>44</v>
      </c>
      <c r="C302" t="s">
        <v>386</v>
      </c>
      <c r="D302" s="41">
        <v>6</v>
      </c>
      <c r="E302" s="41">
        <v>1938</v>
      </c>
      <c r="F302" s="41" t="s">
        <v>3501</v>
      </c>
      <c r="G302" s="41" t="s">
        <v>3503</v>
      </c>
      <c r="H302" s="2043">
        <v>3992710</v>
      </c>
      <c r="I302" s="2043">
        <v>0</v>
      </c>
      <c r="J302">
        <v>0</v>
      </c>
      <c r="K302" s="2043">
        <v>0</v>
      </c>
      <c r="L302" s="2043">
        <v>0</v>
      </c>
      <c r="M302">
        <v>599</v>
      </c>
      <c r="N302">
        <v>1</v>
      </c>
    </row>
    <row r="303" spans="1:14">
      <c r="A303" t="s">
        <v>2885</v>
      </c>
      <c r="B303" t="s">
        <v>44</v>
      </c>
      <c r="C303" t="s">
        <v>386</v>
      </c>
      <c r="D303" s="41">
        <v>6</v>
      </c>
      <c r="E303" s="41">
        <v>1938</v>
      </c>
      <c r="F303" s="41" t="s">
        <v>3501</v>
      </c>
      <c r="G303" s="41" t="s">
        <v>3504</v>
      </c>
      <c r="H303" s="2043">
        <v>3992710</v>
      </c>
      <c r="I303" s="2043">
        <v>185575</v>
      </c>
      <c r="J303">
        <v>3.0676418541566299E-2</v>
      </c>
      <c r="K303" s="2043">
        <v>122482.043075097</v>
      </c>
      <c r="L303" s="2043">
        <v>122482.043075097</v>
      </c>
      <c r="M303">
        <v>599</v>
      </c>
      <c r="N303">
        <v>1</v>
      </c>
    </row>
    <row r="304" spans="1:14">
      <c r="A304" t="s">
        <v>2885</v>
      </c>
      <c r="B304" t="s">
        <v>44</v>
      </c>
      <c r="C304" t="s">
        <v>386</v>
      </c>
      <c r="D304" s="41">
        <v>6</v>
      </c>
      <c r="E304" s="41">
        <v>1938</v>
      </c>
      <c r="F304" s="41" t="s">
        <v>3501</v>
      </c>
      <c r="G304" s="41" t="s">
        <v>7120</v>
      </c>
      <c r="H304" s="2043">
        <v>3992710</v>
      </c>
      <c r="I304" s="2043">
        <v>869932</v>
      </c>
      <c r="J304">
        <v>0.14380384283821501</v>
      </c>
      <c r="K304" s="2043">
        <v>574167.041338571</v>
      </c>
      <c r="L304" s="2043">
        <v>574167.041338571</v>
      </c>
      <c r="M304">
        <v>599</v>
      </c>
      <c r="N304">
        <v>1</v>
      </c>
    </row>
    <row r="305" spans="1:14">
      <c r="A305" t="s">
        <v>2885</v>
      </c>
      <c r="B305" t="s">
        <v>44</v>
      </c>
      <c r="C305" t="s">
        <v>386</v>
      </c>
      <c r="D305" s="41">
        <v>6</v>
      </c>
      <c r="E305" s="41">
        <v>1938</v>
      </c>
      <c r="F305" s="41" t="s">
        <v>3501</v>
      </c>
      <c r="G305" s="41" t="s">
        <v>7121</v>
      </c>
      <c r="H305" s="2043">
        <v>3992710</v>
      </c>
      <c r="I305" s="2043">
        <v>583664</v>
      </c>
      <c r="J305">
        <v>9.64823987694719E-2</v>
      </c>
      <c r="K305" s="2043">
        <v>385226.23839085799</v>
      </c>
      <c r="L305" s="2043">
        <v>385226.23839085799</v>
      </c>
      <c r="M305">
        <v>599</v>
      </c>
      <c r="N305">
        <v>1</v>
      </c>
    </row>
    <row r="306" spans="1:14">
      <c r="A306" t="s">
        <v>2885</v>
      </c>
      <c r="B306" t="s">
        <v>44</v>
      </c>
      <c r="C306" t="s">
        <v>386</v>
      </c>
      <c r="D306" s="41">
        <v>6</v>
      </c>
      <c r="E306" s="41">
        <v>1938</v>
      </c>
      <c r="F306" s="41" t="s">
        <v>3501</v>
      </c>
      <c r="G306" s="41" t="s">
        <v>8622</v>
      </c>
      <c r="H306" s="2043">
        <v>3992710</v>
      </c>
      <c r="I306" s="2043">
        <v>639846</v>
      </c>
      <c r="J306">
        <v>0.105769547073404</v>
      </c>
      <c r="K306" s="2043">
        <v>422307.12829545198</v>
      </c>
      <c r="L306" s="2043">
        <v>422307.12829545198</v>
      </c>
      <c r="M306">
        <v>599</v>
      </c>
      <c r="N306">
        <v>1</v>
      </c>
    </row>
    <row r="307" spans="1:14">
      <c r="A307" t="s">
        <v>2885</v>
      </c>
      <c r="B307" t="s">
        <v>44</v>
      </c>
      <c r="C307" t="s">
        <v>386</v>
      </c>
      <c r="D307" s="41">
        <v>9</v>
      </c>
      <c r="E307" s="41">
        <v>1939</v>
      </c>
      <c r="F307" s="41" t="s">
        <v>3502</v>
      </c>
      <c r="G307" s="41" t="s">
        <v>3502</v>
      </c>
      <c r="H307" s="2043">
        <v>4799160</v>
      </c>
      <c r="I307" s="2043">
        <v>7565766</v>
      </c>
      <c r="J307">
        <v>0.72001694747339595</v>
      </c>
      <c r="K307" s="2043">
        <v>3455476.53363642</v>
      </c>
      <c r="L307" s="2043">
        <v>3455476.53363642</v>
      </c>
      <c r="M307">
        <v>599</v>
      </c>
      <c r="N307">
        <v>1</v>
      </c>
    </row>
    <row r="308" spans="1:14">
      <c r="A308" t="s">
        <v>2885</v>
      </c>
      <c r="B308" t="s">
        <v>44</v>
      </c>
      <c r="C308" t="s">
        <v>386</v>
      </c>
      <c r="D308" s="41">
        <v>9</v>
      </c>
      <c r="E308" s="41">
        <v>1939</v>
      </c>
      <c r="F308" s="41" t="s">
        <v>3502</v>
      </c>
      <c r="G308" s="41" t="s">
        <v>7120</v>
      </c>
      <c r="H308" s="2043">
        <v>4799160</v>
      </c>
      <c r="I308" s="2043">
        <v>1786840</v>
      </c>
      <c r="J308">
        <v>0.17004954718707399</v>
      </c>
      <c r="K308" s="2043">
        <v>816094.98487832001</v>
      </c>
      <c r="L308" s="2043">
        <v>816094.98487832001</v>
      </c>
      <c r="M308">
        <v>599</v>
      </c>
      <c r="N308">
        <v>1</v>
      </c>
    </row>
    <row r="309" spans="1:14">
      <c r="A309" t="s">
        <v>2885</v>
      </c>
      <c r="B309" t="s">
        <v>44</v>
      </c>
      <c r="C309" t="s">
        <v>386</v>
      </c>
      <c r="D309" s="41">
        <v>9</v>
      </c>
      <c r="E309" s="41">
        <v>1939</v>
      </c>
      <c r="F309" s="41" t="s">
        <v>3502</v>
      </c>
      <c r="G309" s="41" t="s">
        <v>7121</v>
      </c>
      <c r="H309" s="2043">
        <v>4799160</v>
      </c>
      <c r="I309" s="2043">
        <v>1155155</v>
      </c>
      <c r="J309">
        <v>0.10993350533953</v>
      </c>
      <c r="K309" s="2043">
        <v>527588.48148525599</v>
      </c>
      <c r="L309" s="2043">
        <v>527588.48148525599</v>
      </c>
      <c r="M309">
        <v>599</v>
      </c>
      <c r="N309">
        <v>1</v>
      </c>
    </row>
    <row r="310" spans="1:14">
      <c r="A310" t="s">
        <v>2885</v>
      </c>
      <c r="B310" t="s">
        <v>44</v>
      </c>
      <c r="C310" t="s">
        <v>386</v>
      </c>
      <c r="D310" s="41">
        <v>11</v>
      </c>
      <c r="E310" s="41">
        <v>2553</v>
      </c>
      <c r="F310" s="41" t="s">
        <v>7120</v>
      </c>
      <c r="G310" s="41" t="s">
        <v>7120</v>
      </c>
      <c r="H310" s="2043">
        <v>5380531</v>
      </c>
      <c r="I310" s="2043">
        <v>6429143</v>
      </c>
      <c r="J310">
        <v>1</v>
      </c>
      <c r="K310" s="2043">
        <v>5380531</v>
      </c>
      <c r="L310" s="2043">
        <v>5380531</v>
      </c>
      <c r="M310">
        <v>599</v>
      </c>
      <c r="N310">
        <v>1</v>
      </c>
    </row>
    <row r="311" spans="1:14">
      <c r="A311" t="s">
        <v>2886</v>
      </c>
      <c r="B311" t="s">
        <v>1418</v>
      </c>
      <c r="C311" t="s">
        <v>1826</v>
      </c>
      <c r="D311" s="41">
        <v>2</v>
      </c>
      <c r="E311" s="41">
        <v>2362</v>
      </c>
      <c r="F311" s="41" t="s">
        <v>3505</v>
      </c>
      <c r="G311" s="41" t="s">
        <v>3505</v>
      </c>
      <c r="H311" s="2043">
        <v>520585</v>
      </c>
      <c r="I311" s="2043">
        <v>0</v>
      </c>
      <c r="J311">
        <v>0</v>
      </c>
      <c r="L311" s="2043">
        <v>0</v>
      </c>
      <c r="M311">
        <v>199</v>
      </c>
      <c r="N311">
        <v>0</v>
      </c>
    </row>
    <row r="312" spans="1:14">
      <c r="A312" t="s">
        <v>2886</v>
      </c>
      <c r="B312" t="s">
        <v>1418</v>
      </c>
      <c r="C312" t="s">
        <v>1826</v>
      </c>
      <c r="D312" s="41">
        <v>3</v>
      </c>
      <c r="E312" s="41">
        <v>2360</v>
      </c>
      <c r="F312" s="41" t="s">
        <v>3506</v>
      </c>
      <c r="G312" s="41" t="s">
        <v>3506</v>
      </c>
      <c r="H312" s="2043">
        <v>441314</v>
      </c>
      <c r="I312" s="2043">
        <v>0</v>
      </c>
      <c r="J312">
        <v>0</v>
      </c>
      <c r="L312" s="2043">
        <v>0</v>
      </c>
      <c r="M312">
        <v>199</v>
      </c>
      <c r="N312">
        <v>0</v>
      </c>
    </row>
    <row r="313" spans="1:14">
      <c r="A313" t="s">
        <v>2886</v>
      </c>
      <c r="B313" t="s">
        <v>1418</v>
      </c>
      <c r="C313" t="s">
        <v>1826</v>
      </c>
      <c r="D313" s="41">
        <v>4</v>
      </c>
      <c r="E313" s="41">
        <v>2359</v>
      </c>
      <c r="F313" s="41" t="s">
        <v>3507</v>
      </c>
      <c r="G313" s="41" t="s">
        <v>3507</v>
      </c>
      <c r="H313" s="2043">
        <v>366250</v>
      </c>
      <c r="I313" s="2043">
        <v>0</v>
      </c>
      <c r="J313">
        <v>0</v>
      </c>
      <c r="L313" s="2043">
        <v>0</v>
      </c>
      <c r="M313">
        <v>199</v>
      </c>
      <c r="N313">
        <v>0</v>
      </c>
    </row>
    <row r="314" spans="1:14">
      <c r="A314" t="s">
        <v>2886</v>
      </c>
      <c r="B314" t="s">
        <v>1418</v>
      </c>
      <c r="C314" t="s">
        <v>1826</v>
      </c>
      <c r="D314" s="41">
        <v>4</v>
      </c>
      <c r="E314" s="41">
        <v>2361</v>
      </c>
      <c r="F314" s="41" t="s">
        <v>3508</v>
      </c>
      <c r="G314" s="41" t="s">
        <v>3508</v>
      </c>
      <c r="H314" s="2043">
        <v>518175</v>
      </c>
      <c r="I314" s="2043">
        <v>0</v>
      </c>
      <c r="J314">
        <v>0</v>
      </c>
      <c r="K314" s="2043">
        <v>0</v>
      </c>
      <c r="L314" s="2043">
        <v>0</v>
      </c>
      <c r="M314">
        <v>599</v>
      </c>
      <c r="N314">
        <v>0</v>
      </c>
    </row>
    <row r="315" spans="1:14">
      <c r="A315" t="s">
        <v>2886</v>
      </c>
      <c r="B315" t="s">
        <v>1418</v>
      </c>
      <c r="C315" t="s">
        <v>1826</v>
      </c>
      <c r="D315" s="41">
        <v>4</v>
      </c>
      <c r="E315" s="41">
        <v>2361</v>
      </c>
      <c r="F315" s="41" t="s">
        <v>3508</v>
      </c>
      <c r="G315" s="41" t="s">
        <v>3509</v>
      </c>
      <c r="H315" s="2043">
        <v>518175</v>
      </c>
      <c r="I315" s="2043">
        <v>0</v>
      </c>
      <c r="J315">
        <v>0</v>
      </c>
      <c r="K315" s="2043">
        <v>0</v>
      </c>
      <c r="L315" s="2043">
        <v>0</v>
      </c>
      <c r="M315">
        <v>599</v>
      </c>
      <c r="N315">
        <v>1</v>
      </c>
    </row>
    <row r="316" spans="1:14">
      <c r="A316" t="s">
        <v>2886</v>
      </c>
      <c r="B316" t="s">
        <v>1418</v>
      </c>
      <c r="C316" t="s">
        <v>1826</v>
      </c>
      <c r="D316" s="41">
        <v>4</v>
      </c>
      <c r="E316" s="41">
        <v>2361</v>
      </c>
      <c r="F316" s="41" t="s">
        <v>3508</v>
      </c>
      <c r="G316" s="41" t="s">
        <v>9300</v>
      </c>
      <c r="H316" s="2043">
        <v>518175</v>
      </c>
      <c r="I316" s="2043">
        <v>798820</v>
      </c>
      <c r="J316">
        <v>1</v>
      </c>
      <c r="K316" s="2043">
        <v>518175</v>
      </c>
      <c r="L316" s="2043">
        <v>518175</v>
      </c>
      <c r="M316">
        <v>599</v>
      </c>
      <c r="N316">
        <v>1</v>
      </c>
    </row>
    <row r="317" spans="1:14">
      <c r="A317" t="s">
        <v>2886</v>
      </c>
      <c r="B317" t="s">
        <v>1418</v>
      </c>
      <c r="C317" t="s">
        <v>1826</v>
      </c>
      <c r="D317" s="41">
        <v>6</v>
      </c>
      <c r="E317" s="41">
        <v>2363</v>
      </c>
      <c r="F317" s="41" t="s">
        <v>3510</v>
      </c>
      <c r="G317" s="41" t="s">
        <v>3510</v>
      </c>
      <c r="H317" s="2043">
        <v>1121000</v>
      </c>
      <c r="I317" s="2043">
        <v>0</v>
      </c>
      <c r="J317">
        <v>0</v>
      </c>
      <c r="K317" s="2043">
        <v>0</v>
      </c>
      <c r="L317" s="2043">
        <v>0</v>
      </c>
      <c r="M317">
        <v>599</v>
      </c>
      <c r="N317">
        <v>0</v>
      </c>
    </row>
    <row r="318" spans="1:14">
      <c r="A318" t="s">
        <v>2886</v>
      </c>
      <c r="B318" t="s">
        <v>1418</v>
      </c>
      <c r="C318" t="s">
        <v>1826</v>
      </c>
      <c r="D318" s="41">
        <v>6</v>
      </c>
      <c r="E318" s="41">
        <v>2363</v>
      </c>
      <c r="F318" s="41" t="s">
        <v>3510</v>
      </c>
      <c r="G318" s="41" t="s">
        <v>3511</v>
      </c>
      <c r="H318" s="2043">
        <v>1121000</v>
      </c>
      <c r="I318" s="2043">
        <v>15788</v>
      </c>
      <c r="J318">
        <v>2.4835926832491199E-2</v>
      </c>
      <c r="K318" s="2043">
        <v>27841.073979222601</v>
      </c>
      <c r="L318" s="2043">
        <v>15788</v>
      </c>
      <c r="M318">
        <v>599</v>
      </c>
      <c r="N318">
        <v>1</v>
      </c>
    </row>
    <row r="319" spans="1:14">
      <c r="A319" t="s">
        <v>2886</v>
      </c>
      <c r="B319" t="s">
        <v>1418</v>
      </c>
      <c r="C319" t="s">
        <v>1826</v>
      </c>
      <c r="D319" s="41">
        <v>6</v>
      </c>
      <c r="E319" s="41">
        <v>2363</v>
      </c>
      <c r="F319" s="41" t="s">
        <v>3510</v>
      </c>
      <c r="G319" s="41" t="s">
        <v>3512</v>
      </c>
      <c r="H319" s="2043">
        <v>1121000</v>
      </c>
      <c r="I319" s="2043">
        <v>0</v>
      </c>
      <c r="J319">
        <v>0</v>
      </c>
      <c r="K319" s="2043">
        <v>0</v>
      </c>
      <c r="L319" s="2043">
        <v>0</v>
      </c>
      <c r="M319">
        <v>599</v>
      </c>
      <c r="N319">
        <v>1</v>
      </c>
    </row>
    <row r="320" spans="1:14">
      <c r="A320" t="s">
        <v>2886</v>
      </c>
      <c r="B320" t="s">
        <v>1418</v>
      </c>
      <c r="C320" t="s">
        <v>1826</v>
      </c>
      <c r="D320" s="41">
        <v>6</v>
      </c>
      <c r="E320" s="41">
        <v>2363</v>
      </c>
      <c r="F320" s="41" t="s">
        <v>3510</v>
      </c>
      <c r="G320" s="41" t="s">
        <v>9300</v>
      </c>
      <c r="H320" s="2043">
        <v>1121000</v>
      </c>
      <c r="I320" s="2043">
        <v>260612</v>
      </c>
      <c r="J320">
        <v>0.40996583251008401</v>
      </c>
      <c r="K320" s="2043">
        <v>459571.69824380398</v>
      </c>
      <c r="L320" s="2043">
        <v>260612</v>
      </c>
      <c r="M320">
        <v>599</v>
      </c>
      <c r="N320">
        <v>1</v>
      </c>
    </row>
    <row r="321" spans="1:14">
      <c r="A321" t="s">
        <v>2886</v>
      </c>
      <c r="B321" t="s">
        <v>1418</v>
      </c>
      <c r="C321" t="s">
        <v>1826</v>
      </c>
      <c r="D321" s="41">
        <v>6</v>
      </c>
      <c r="E321" s="41">
        <v>2363</v>
      </c>
      <c r="F321" s="41" t="s">
        <v>3510</v>
      </c>
      <c r="G321" s="41" t="s">
        <v>9301</v>
      </c>
      <c r="H321" s="2043">
        <v>1121000</v>
      </c>
      <c r="I321" s="2043">
        <v>359292</v>
      </c>
      <c r="J321">
        <v>0.56519824065742497</v>
      </c>
      <c r="K321" s="2043">
        <v>633587.22777697397</v>
      </c>
      <c r="L321" s="2043">
        <v>359292</v>
      </c>
      <c r="M321">
        <v>599</v>
      </c>
      <c r="N321">
        <v>1</v>
      </c>
    </row>
    <row r="322" spans="1:14">
      <c r="A322" t="s">
        <v>2886</v>
      </c>
      <c r="B322" t="s">
        <v>1418</v>
      </c>
      <c r="C322" t="s">
        <v>1826</v>
      </c>
      <c r="D322" s="41">
        <v>7</v>
      </c>
      <c r="E322" s="41">
        <v>2365</v>
      </c>
      <c r="F322" s="41" t="s">
        <v>3513</v>
      </c>
      <c r="G322" s="41" t="s">
        <v>3513</v>
      </c>
      <c r="H322" s="2043">
        <v>1207669</v>
      </c>
      <c r="I322" s="2043">
        <v>0</v>
      </c>
      <c r="J322">
        <v>0</v>
      </c>
      <c r="K322" s="2043">
        <v>0</v>
      </c>
      <c r="L322" s="2043">
        <v>0</v>
      </c>
      <c r="M322">
        <v>599</v>
      </c>
      <c r="N322">
        <v>0</v>
      </c>
    </row>
    <row r="323" spans="1:14">
      <c r="A323" t="s">
        <v>2886</v>
      </c>
      <c r="B323" t="s">
        <v>1418</v>
      </c>
      <c r="C323" t="s">
        <v>1826</v>
      </c>
      <c r="D323" s="41">
        <v>7</v>
      </c>
      <c r="E323" s="41">
        <v>2365</v>
      </c>
      <c r="F323" s="41" t="s">
        <v>3513</v>
      </c>
      <c r="G323" s="41" t="s">
        <v>3514</v>
      </c>
      <c r="H323" s="2043">
        <v>1207669</v>
      </c>
      <c r="I323" s="2043">
        <v>1059663</v>
      </c>
      <c r="J323">
        <v>0.736765807088133</v>
      </c>
      <c r="K323" s="2043">
        <v>889769.225480319</v>
      </c>
      <c r="L323" s="2043">
        <v>889769.225480319</v>
      </c>
      <c r="M323">
        <v>599</v>
      </c>
      <c r="N323">
        <v>1</v>
      </c>
    </row>
    <row r="324" spans="1:14">
      <c r="A324" t="s">
        <v>2886</v>
      </c>
      <c r="B324" t="s">
        <v>1418</v>
      </c>
      <c r="C324" t="s">
        <v>1826</v>
      </c>
      <c r="D324" s="41">
        <v>7</v>
      </c>
      <c r="E324" s="41">
        <v>2365</v>
      </c>
      <c r="F324" s="41" t="s">
        <v>3513</v>
      </c>
      <c r="G324" s="41" t="s">
        <v>9301</v>
      </c>
      <c r="H324" s="2043">
        <v>1207669</v>
      </c>
      <c r="I324" s="2043">
        <v>378600</v>
      </c>
      <c r="J324">
        <v>0.263234192911867</v>
      </c>
      <c r="K324" s="2043">
        <v>317899.774519681</v>
      </c>
      <c r="L324" s="2043">
        <v>317899.774519681</v>
      </c>
      <c r="M324">
        <v>599</v>
      </c>
      <c r="N324">
        <v>1</v>
      </c>
    </row>
    <row r="325" spans="1:14">
      <c r="A325" t="s">
        <v>2886</v>
      </c>
      <c r="B325" t="s">
        <v>1418</v>
      </c>
      <c r="C325" t="s">
        <v>1826</v>
      </c>
      <c r="D325" s="41">
        <v>8</v>
      </c>
      <c r="E325" s="41">
        <v>2364</v>
      </c>
      <c r="F325" s="41" t="s">
        <v>3515</v>
      </c>
      <c r="G325" s="41" t="s">
        <v>3515</v>
      </c>
      <c r="H325" s="2043">
        <v>1193500</v>
      </c>
      <c r="I325" s="2043">
        <v>0</v>
      </c>
      <c r="J325">
        <v>0</v>
      </c>
      <c r="K325" s="2043">
        <v>0</v>
      </c>
      <c r="L325" s="2043">
        <v>0</v>
      </c>
      <c r="M325">
        <v>599</v>
      </c>
      <c r="N325">
        <v>1</v>
      </c>
    </row>
    <row r="326" spans="1:14">
      <c r="A326" t="s">
        <v>2886</v>
      </c>
      <c r="B326" t="s">
        <v>1418</v>
      </c>
      <c r="C326" t="s">
        <v>1826</v>
      </c>
      <c r="D326" s="41">
        <v>8</v>
      </c>
      <c r="E326" s="41">
        <v>2364</v>
      </c>
      <c r="F326" s="41" t="s">
        <v>3515</v>
      </c>
      <c r="G326" s="41" t="s">
        <v>5536</v>
      </c>
      <c r="H326" s="2043">
        <v>1193500</v>
      </c>
      <c r="I326" s="2043">
        <v>345075</v>
      </c>
      <c r="J326">
        <v>0.35272021056397401</v>
      </c>
      <c r="K326" s="2043">
        <v>420971.57130810298</v>
      </c>
      <c r="L326" s="2043">
        <v>345075</v>
      </c>
      <c r="M326">
        <v>599</v>
      </c>
      <c r="N326">
        <v>1</v>
      </c>
    </row>
    <row r="327" spans="1:14">
      <c r="A327" t="s">
        <v>2886</v>
      </c>
      <c r="B327" t="s">
        <v>1418</v>
      </c>
      <c r="C327" t="s">
        <v>1826</v>
      </c>
      <c r="D327" s="41">
        <v>8</v>
      </c>
      <c r="E327" s="41">
        <v>2364</v>
      </c>
      <c r="F327" s="41" t="s">
        <v>3515</v>
      </c>
      <c r="G327" s="41" t="s">
        <v>5535</v>
      </c>
      <c r="H327" s="2043">
        <v>1193500</v>
      </c>
      <c r="I327" s="2043">
        <v>633250</v>
      </c>
      <c r="J327">
        <v>0.64727978943602604</v>
      </c>
      <c r="K327" s="2043">
        <v>772528.42869189696</v>
      </c>
      <c r="L327" s="2043">
        <v>633250</v>
      </c>
      <c r="M327">
        <v>599</v>
      </c>
      <c r="N327">
        <v>1</v>
      </c>
    </row>
    <row r="328" spans="1:14">
      <c r="A328" t="s">
        <v>2887</v>
      </c>
      <c r="B328" t="s">
        <v>827</v>
      </c>
      <c r="C328" t="s">
        <v>753</v>
      </c>
      <c r="D328" s="41">
        <v>2</v>
      </c>
      <c r="E328" s="41">
        <v>1613</v>
      </c>
      <c r="F328" s="41" t="s">
        <v>3516</v>
      </c>
      <c r="G328" s="41" t="s">
        <v>3516</v>
      </c>
      <c r="H328" s="2043">
        <v>248495</v>
      </c>
      <c r="I328" s="2043">
        <v>0</v>
      </c>
      <c r="J328">
        <v>0</v>
      </c>
      <c r="K328" s="2043">
        <v>0</v>
      </c>
      <c r="L328" s="2043">
        <v>0</v>
      </c>
      <c r="M328">
        <v>599</v>
      </c>
      <c r="N328">
        <v>0</v>
      </c>
    </row>
    <row r="329" spans="1:14">
      <c r="A329" t="s">
        <v>2887</v>
      </c>
      <c r="B329" t="s">
        <v>827</v>
      </c>
      <c r="C329" t="s">
        <v>753</v>
      </c>
      <c r="D329" s="41">
        <v>2</v>
      </c>
      <c r="E329" s="41">
        <v>1613</v>
      </c>
      <c r="F329" s="41" t="s">
        <v>3516</v>
      </c>
      <c r="G329" s="41" t="s">
        <v>3517</v>
      </c>
      <c r="H329" s="2043">
        <v>248495</v>
      </c>
      <c r="I329" s="2043">
        <v>0</v>
      </c>
      <c r="J329">
        <v>0</v>
      </c>
      <c r="K329" s="2043">
        <v>0</v>
      </c>
      <c r="L329" s="2043">
        <v>0</v>
      </c>
      <c r="M329">
        <v>599</v>
      </c>
      <c r="N329">
        <v>0</v>
      </c>
    </row>
    <row r="330" spans="1:14">
      <c r="A330" t="s">
        <v>2887</v>
      </c>
      <c r="B330" t="s">
        <v>827</v>
      </c>
      <c r="C330" t="s">
        <v>753</v>
      </c>
      <c r="D330" s="41">
        <v>2</v>
      </c>
      <c r="E330" s="41">
        <v>1613</v>
      </c>
      <c r="F330" s="41" t="s">
        <v>3516</v>
      </c>
      <c r="G330" s="41" t="s">
        <v>5353</v>
      </c>
      <c r="H330" s="2043">
        <v>248495</v>
      </c>
      <c r="I330" s="2043">
        <v>605956</v>
      </c>
      <c r="J330">
        <v>1</v>
      </c>
      <c r="K330" s="2043">
        <v>248495</v>
      </c>
      <c r="L330" s="2043">
        <v>248495</v>
      </c>
      <c r="M330">
        <v>599</v>
      </c>
      <c r="N330">
        <v>1</v>
      </c>
    </row>
    <row r="331" spans="1:14">
      <c r="A331" t="s">
        <v>2888</v>
      </c>
      <c r="B331" t="s">
        <v>540</v>
      </c>
      <c r="C331" t="s">
        <v>1095</v>
      </c>
      <c r="D331" s="41">
        <v>2</v>
      </c>
      <c r="E331" s="41">
        <v>1695</v>
      </c>
      <c r="F331" s="41" t="s">
        <v>3518</v>
      </c>
      <c r="G331" s="41" t="s">
        <v>3518</v>
      </c>
      <c r="H331" s="2043">
        <v>314735</v>
      </c>
      <c r="I331" s="2043">
        <v>0</v>
      </c>
      <c r="J331">
        <v>0</v>
      </c>
      <c r="L331" s="2043">
        <v>0</v>
      </c>
      <c r="M331">
        <v>599</v>
      </c>
      <c r="N331">
        <v>0</v>
      </c>
    </row>
    <row r="332" spans="1:14">
      <c r="A332" t="s">
        <v>2889</v>
      </c>
      <c r="B332" t="s">
        <v>1141</v>
      </c>
      <c r="C332" t="s">
        <v>2535</v>
      </c>
      <c r="D332" s="41">
        <v>9</v>
      </c>
      <c r="E332" s="41">
        <v>2095</v>
      </c>
      <c r="F332" s="41" t="s">
        <v>3519</v>
      </c>
      <c r="G332" s="41" t="s">
        <v>3519</v>
      </c>
      <c r="H332" s="2043">
        <v>125707</v>
      </c>
      <c r="I332" s="2043">
        <v>0</v>
      </c>
      <c r="J332">
        <v>0</v>
      </c>
      <c r="K332" s="2043">
        <v>0</v>
      </c>
      <c r="L332" s="2043">
        <v>0</v>
      </c>
      <c r="M332">
        <v>599</v>
      </c>
      <c r="N332">
        <v>0</v>
      </c>
    </row>
    <row r="333" spans="1:14">
      <c r="A333" t="s">
        <v>2889</v>
      </c>
      <c r="B333" t="s">
        <v>1141</v>
      </c>
      <c r="C333" t="s">
        <v>2535</v>
      </c>
      <c r="D333" s="41">
        <v>9</v>
      </c>
      <c r="E333" s="41">
        <v>2095</v>
      </c>
      <c r="F333" s="41" t="s">
        <v>3519</v>
      </c>
      <c r="G333" s="41" t="s">
        <v>3520</v>
      </c>
      <c r="H333" s="2043">
        <v>125707</v>
      </c>
      <c r="I333" s="2043">
        <v>0</v>
      </c>
      <c r="J333">
        <v>0</v>
      </c>
      <c r="K333" s="2043">
        <v>0</v>
      </c>
      <c r="L333" s="2043">
        <v>0</v>
      </c>
      <c r="M333">
        <v>599</v>
      </c>
      <c r="N333">
        <v>1</v>
      </c>
    </row>
    <row r="334" spans="1:14">
      <c r="A334" t="s">
        <v>2889</v>
      </c>
      <c r="B334" t="s">
        <v>1141</v>
      </c>
      <c r="C334" t="s">
        <v>2535</v>
      </c>
      <c r="D334" s="41">
        <v>9</v>
      </c>
      <c r="E334" s="41">
        <v>2095</v>
      </c>
      <c r="F334" s="41" t="s">
        <v>3519</v>
      </c>
      <c r="G334" s="41" t="s">
        <v>7122</v>
      </c>
      <c r="H334" s="2043">
        <v>125707</v>
      </c>
      <c r="I334" s="2043">
        <v>482262</v>
      </c>
      <c r="J334">
        <v>1</v>
      </c>
      <c r="K334" s="2043">
        <v>125707</v>
      </c>
      <c r="L334" s="2043">
        <v>125707</v>
      </c>
      <c r="M334">
        <v>599</v>
      </c>
      <c r="N334">
        <v>1</v>
      </c>
    </row>
    <row r="335" spans="1:14">
      <c r="A335" t="s">
        <v>2890</v>
      </c>
      <c r="B335" t="s">
        <v>1049</v>
      </c>
      <c r="C335" t="s">
        <v>2537</v>
      </c>
      <c r="D335" s="41">
        <v>9</v>
      </c>
      <c r="E335" s="41">
        <v>2410</v>
      </c>
      <c r="F335" s="41" t="s">
        <v>3521</v>
      </c>
      <c r="G335" s="41" t="s">
        <v>3521</v>
      </c>
      <c r="H335" s="2043">
        <v>161705</v>
      </c>
      <c r="I335" s="2043">
        <v>0</v>
      </c>
      <c r="J335">
        <v>0</v>
      </c>
      <c r="K335" s="2043">
        <v>0</v>
      </c>
      <c r="L335" s="2043">
        <v>0</v>
      </c>
      <c r="M335">
        <v>599</v>
      </c>
      <c r="N335">
        <v>1</v>
      </c>
    </row>
    <row r="336" spans="1:14">
      <c r="A336" t="s">
        <v>2890</v>
      </c>
      <c r="B336" t="s">
        <v>1049</v>
      </c>
      <c r="C336" t="s">
        <v>2537</v>
      </c>
      <c r="D336" s="41">
        <v>9</v>
      </c>
      <c r="E336" s="41">
        <v>2410</v>
      </c>
      <c r="F336" s="41" t="s">
        <v>3521</v>
      </c>
      <c r="G336" s="41" t="s">
        <v>5537</v>
      </c>
      <c r="H336" s="2043">
        <v>161705</v>
      </c>
      <c r="I336" s="2043">
        <v>411550</v>
      </c>
      <c r="J336">
        <v>1</v>
      </c>
      <c r="K336" s="2043">
        <v>161705</v>
      </c>
      <c r="L336" s="2043">
        <v>161705</v>
      </c>
      <c r="M336">
        <v>599</v>
      </c>
      <c r="N336">
        <v>1</v>
      </c>
    </row>
    <row r="337" spans="1:14">
      <c r="A337" t="s">
        <v>3522</v>
      </c>
      <c r="B337" t="s">
        <v>1794</v>
      </c>
      <c r="C337" t="s">
        <v>1911</v>
      </c>
      <c r="D337" s="41">
        <v>5</v>
      </c>
      <c r="E337" s="41">
        <v>2435</v>
      </c>
      <c r="F337" s="41" t="s">
        <v>3523</v>
      </c>
      <c r="G337" s="41" t="s">
        <v>3523</v>
      </c>
      <c r="H337" s="2043">
        <v>100000</v>
      </c>
      <c r="I337" s="2043">
        <v>20117</v>
      </c>
      <c r="J337">
        <v>1</v>
      </c>
      <c r="K337" s="2043">
        <v>100000</v>
      </c>
      <c r="L337" s="2043">
        <v>20117</v>
      </c>
      <c r="M337">
        <v>199</v>
      </c>
      <c r="N337">
        <v>1</v>
      </c>
    </row>
    <row r="338" spans="1:14">
      <c r="A338" t="s">
        <v>3524</v>
      </c>
      <c r="B338" t="s">
        <v>838</v>
      </c>
      <c r="C338" t="s">
        <v>2519</v>
      </c>
      <c r="D338" s="41">
        <v>4</v>
      </c>
      <c r="E338" s="41">
        <v>1750</v>
      </c>
      <c r="F338" s="41" t="s">
        <v>3525</v>
      </c>
      <c r="G338" s="41" t="s">
        <v>3525</v>
      </c>
      <c r="H338" s="2043">
        <v>243750</v>
      </c>
      <c r="I338" s="2043">
        <v>0</v>
      </c>
      <c r="J338">
        <v>0</v>
      </c>
      <c r="L338" s="2043">
        <v>0</v>
      </c>
      <c r="M338">
        <v>199</v>
      </c>
      <c r="N338">
        <v>0</v>
      </c>
    </row>
    <row r="339" spans="1:14">
      <c r="A339" t="s">
        <v>2891</v>
      </c>
      <c r="B339" t="s">
        <v>669</v>
      </c>
      <c r="C339" t="s">
        <v>2246</v>
      </c>
      <c r="D339" s="41">
        <v>4</v>
      </c>
      <c r="E339" s="41">
        <v>1902</v>
      </c>
      <c r="F339" s="41" t="s">
        <v>3526</v>
      </c>
      <c r="G339" s="41" t="s">
        <v>3526</v>
      </c>
      <c r="H339" s="2043">
        <v>271149</v>
      </c>
      <c r="I339" s="2043">
        <v>0</v>
      </c>
      <c r="J339">
        <v>0</v>
      </c>
      <c r="K339" s="2043">
        <v>0</v>
      </c>
      <c r="L339" s="2043">
        <v>0</v>
      </c>
      <c r="M339">
        <v>599</v>
      </c>
      <c r="N339">
        <v>0</v>
      </c>
    </row>
    <row r="340" spans="1:14">
      <c r="A340" t="s">
        <v>2891</v>
      </c>
      <c r="B340" t="s">
        <v>669</v>
      </c>
      <c r="C340" t="s">
        <v>2246</v>
      </c>
      <c r="D340" s="41">
        <v>4</v>
      </c>
      <c r="E340" s="41">
        <v>1902</v>
      </c>
      <c r="F340" s="41" t="s">
        <v>3526</v>
      </c>
      <c r="G340" s="41" t="s">
        <v>3527</v>
      </c>
      <c r="H340" s="2043">
        <v>271149</v>
      </c>
      <c r="I340" s="2043">
        <v>0</v>
      </c>
      <c r="J340">
        <v>0</v>
      </c>
      <c r="K340" s="2043">
        <v>0</v>
      </c>
      <c r="L340" s="2043">
        <v>0</v>
      </c>
      <c r="M340">
        <v>599</v>
      </c>
      <c r="N340">
        <v>1</v>
      </c>
    </row>
    <row r="341" spans="1:14">
      <c r="A341" t="s">
        <v>2891</v>
      </c>
      <c r="B341" t="s">
        <v>669</v>
      </c>
      <c r="C341" t="s">
        <v>2246</v>
      </c>
      <c r="D341" s="41">
        <v>4</v>
      </c>
      <c r="E341" s="41">
        <v>1902</v>
      </c>
      <c r="F341" s="41" t="s">
        <v>3526</v>
      </c>
      <c r="G341" s="41" t="s">
        <v>5538</v>
      </c>
      <c r="H341" s="2043">
        <v>271149</v>
      </c>
      <c r="I341" s="2043">
        <v>248035</v>
      </c>
      <c r="J341">
        <v>1</v>
      </c>
      <c r="K341" s="2043">
        <v>271149</v>
      </c>
      <c r="L341" s="2043">
        <v>248035</v>
      </c>
      <c r="M341">
        <v>599</v>
      </c>
      <c r="N341">
        <v>1</v>
      </c>
    </row>
    <row r="342" spans="1:14">
      <c r="A342" t="s">
        <v>2891</v>
      </c>
      <c r="B342" t="s">
        <v>669</v>
      </c>
      <c r="C342" t="s">
        <v>2246</v>
      </c>
      <c r="D342" s="41">
        <v>6</v>
      </c>
      <c r="E342" s="41">
        <v>1900</v>
      </c>
      <c r="F342" s="41" t="s">
        <v>3528</v>
      </c>
      <c r="G342" s="41" t="s">
        <v>3528</v>
      </c>
      <c r="H342" s="2043">
        <v>233415</v>
      </c>
      <c r="I342" s="2043">
        <v>0</v>
      </c>
      <c r="J342">
        <v>0</v>
      </c>
      <c r="K342" s="2043">
        <v>0</v>
      </c>
      <c r="L342" s="2043">
        <v>0</v>
      </c>
      <c r="M342">
        <v>599</v>
      </c>
      <c r="N342">
        <v>0</v>
      </c>
    </row>
    <row r="343" spans="1:14">
      <c r="A343" t="s">
        <v>2891</v>
      </c>
      <c r="B343" t="s">
        <v>669</v>
      </c>
      <c r="C343" t="s">
        <v>2246</v>
      </c>
      <c r="D343" s="41">
        <v>6</v>
      </c>
      <c r="E343" s="41">
        <v>1900</v>
      </c>
      <c r="F343" s="41" t="s">
        <v>3528</v>
      </c>
      <c r="G343" s="41" t="s">
        <v>3529</v>
      </c>
      <c r="H343" s="2043">
        <v>233415</v>
      </c>
      <c r="I343" s="2043">
        <v>188150</v>
      </c>
      <c r="J343">
        <v>1</v>
      </c>
      <c r="K343" s="2043">
        <v>233415</v>
      </c>
      <c r="L343" s="2043">
        <v>188150</v>
      </c>
      <c r="M343">
        <v>599</v>
      </c>
      <c r="N343">
        <v>1</v>
      </c>
    </row>
    <row r="344" spans="1:14">
      <c r="A344" t="s">
        <v>2891</v>
      </c>
      <c r="B344" t="s">
        <v>669</v>
      </c>
      <c r="C344" t="s">
        <v>2246</v>
      </c>
      <c r="D344" s="41">
        <v>9</v>
      </c>
      <c r="E344" s="41">
        <v>1901</v>
      </c>
      <c r="F344" s="41" t="s">
        <v>3530</v>
      </c>
      <c r="G344" s="41" t="s">
        <v>3530</v>
      </c>
      <c r="H344" s="2043">
        <v>245486</v>
      </c>
      <c r="I344" s="2043">
        <v>0</v>
      </c>
      <c r="J344">
        <v>0</v>
      </c>
      <c r="K344" s="2043">
        <v>0</v>
      </c>
      <c r="L344" s="2043">
        <v>0</v>
      </c>
      <c r="M344">
        <v>599</v>
      </c>
      <c r="N344">
        <v>1</v>
      </c>
    </row>
    <row r="345" spans="1:14">
      <c r="A345" t="s">
        <v>2891</v>
      </c>
      <c r="B345" t="s">
        <v>669</v>
      </c>
      <c r="C345" t="s">
        <v>2246</v>
      </c>
      <c r="D345" s="41">
        <v>9</v>
      </c>
      <c r="E345" s="41">
        <v>1901</v>
      </c>
      <c r="F345" s="41" t="s">
        <v>3530</v>
      </c>
      <c r="G345" s="41" t="s">
        <v>5538</v>
      </c>
      <c r="H345" s="2043">
        <v>245486</v>
      </c>
      <c r="I345" s="2043">
        <v>217627</v>
      </c>
      <c r="J345">
        <v>1</v>
      </c>
      <c r="K345" s="2043">
        <v>245486</v>
      </c>
      <c r="L345" s="2043">
        <v>217627</v>
      </c>
      <c r="M345">
        <v>599</v>
      </c>
      <c r="N345">
        <v>1</v>
      </c>
    </row>
    <row r="346" spans="1:14">
      <c r="A346" t="s">
        <v>2892</v>
      </c>
      <c r="B346" t="s">
        <v>2017</v>
      </c>
      <c r="C346" t="s">
        <v>1954</v>
      </c>
      <c r="D346" s="41">
        <v>5</v>
      </c>
      <c r="E346" s="41">
        <v>2076</v>
      </c>
      <c r="F346" s="41" t="s">
        <v>3531</v>
      </c>
      <c r="G346" s="41" t="s">
        <v>3531</v>
      </c>
      <c r="H346" s="2043">
        <v>71216</v>
      </c>
      <c r="I346" s="2043">
        <v>0</v>
      </c>
      <c r="J346">
        <v>0</v>
      </c>
      <c r="K346" s="2043">
        <v>0</v>
      </c>
      <c r="L346" s="2043">
        <v>0</v>
      </c>
      <c r="M346">
        <v>599</v>
      </c>
      <c r="N346">
        <v>0</v>
      </c>
    </row>
    <row r="347" spans="1:14">
      <c r="A347" t="s">
        <v>2892</v>
      </c>
      <c r="B347" t="s">
        <v>2017</v>
      </c>
      <c r="C347" t="s">
        <v>1954</v>
      </c>
      <c r="D347" s="41">
        <v>5</v>
      </c>
      <c r="E347" s="41">
        <v>2076</v>
      </c>
      <c r="F347" s="41" t="s">
        <v>3531</v>
      </c>
      <c r="G347" s="41" t="s">
        <v>3532</v>
      </c>
      <c r="H347" s="2043">
        <v>71216</v>
      </c>
      <c r="I347" s="2043">
        <v>45788</v>
      </c>
      <c r="J347">
        <v>0.72095732955440095</v>
      </c>
      <c r="K347" s="2043">
        <v>51343.697181546202</v>
      </c>
      <c r="L347" s="2043">
        <v>45788</v>
      </c>
      <c r="M347">
        <v>599</v>
      </c>
      <c r="N347">
        <v>1</v>
      </c>
    </row>
    <row r="348" spans="1:14">
      <c r="A348" t="s">
        <v>2892</v>
      </c>
      <c r="B348" t="s">
        <v>2017</v>
      </c>
      <c r="C348" t="s">
        <v>1954</v>
      </c>
      <c r="D348" s="41">
        <v>5</v>
      </c>
      <c r="E348" s="41">
        <v>2076</v>
      </c>
      <c r="F348" s="41" t="s">
        <v>3531</v>
      </c>
      <c r="G348" s="41" t="s">
        <v>9302</v>
      </c>
      <c r="H348" s="2043">
        <v>71216</v>
      </c>
      <c r="I348" s="2043">
        <v>17722</v>
      </c>
      <c r="J348">
        <v>0.27904267044559899</v>
      </c>
      <c r="K348" s="2043">
        <v>19872.302818453802</v>
      </c>
      <c r="L348" s="2043">
        <v>17722</v>
      </c>
      <c r="M348">
        <v>599</v>
      </c>
      <c r="N348">
        <v>1</v>
      </c>
    </row>
    <row r="349" spans="1:14">
      <c r="A349" t="s">
        <v>2893</v>
      </c>
      <c r="B349" t="s">
        <v>2493</v>
      </c>
      <c r="C349" t="s">
        <v>1313</v>
      </c>
      <c r="D349" s="41">
        <v>9</v>
      </c>
      <c r="E349" s="41">
        <v>2134</v>
      </c>
      <c r="F349" s="41" t="s">
        <v>3533</v>
      </c>
      <c r="G349" s="41" t="s">
        <v>3533</v>
      </c>
      <c r="H349" s="2043">
        <v>323346</v>
      </c>
      <c r="I349" s="2043">
        <v>0</v>
      </c>
      <c r="J349">
        <v>0</v>
      </c>
      <c r="K349" s="2043">
        <v>0</v>
      </c>
      <c r="L349" s="2043">
        <v>0</v>
      </c>
      <c r="M349">
        <v>599</v>
      </c>
      <c r="N349">
        <v>1</v>
      </c>
    </row>
    <row r="350" spans="1:14">
      <c r="A350" t="s">
        <v>2893</v>
      </c>
      <c r="B350" t="s">
        <v>2493</v>
      </c>
      <c r="C350" t="s">
        <v>1313</v>
      </c>
      <c r="D350" s="41">
        <v>9</v>
      </c>
      <c r="E350" s="41">
        <v>2134</v>
      </c>
      <c r="F350" s="41" t="s">
        <v>3533</v>
      </c>
      <c r="G350" s="41" t="s">
        <v>5354</v>
      </c>
      <c r="H350" s="2043">
        <v>323346</v>
      </c>
      <c r="I350" s="2043">
        <v>509630</v>
      </c>
      <c r="J350">
        <v>0.77977299781811105</v>
      </c>
      <c r="K350" s="2043">
        <v>252136.47975249501</v>
      </c>
      <c r="L350" s="2043">
        <v>252136.47975249501</v>
      </c>
      <c r="M350">
        <v>599</v>
      </c>
      <c r="N350">
        <v>1</v>
      </c>
    </row>
    <row r="351" spans="1:14">
      <c r="A351" t="s">
        <v>2893</v>
      </c>
      <c r="B351" t="s">
        <v>2493</v>
      </c>
      <c r="C351" t="s">
        <v>1313</v>
      </c>
      <c r="D351" s="41">
        <v>9</v>
      </c>
      <c r="E351" s="41">
        <v>2134</v>
      </c>
      <c r="F351" s="41" t="s">
        <v>3533</v>
      </c>
      <c r="G351" s="41" t="s">
        <v>5539</v>
      </c>
      <c r="H351" s="2043">
        <v>323346</v>
      </c>
      <c r="I351" s="2043">
        <v>143932</v>
      </c>
      <c r="J351">
        <v>0.22022700218188901</v>
      </c>
      <c r="K351" s="2043">
        <v>71209.520247505206</v>
      </c>
      <c r="L351" s="2043">
        <v>71209.520247505206</v>
      </c>
      <c r="M351">
        <v>599</v>
      </c>
      <c r="N351">
        <v>1</v>
      </c>
    </row>
    <row r="352" spans="1:14">
      <c r="A352" t="s">
        <v>4940</v>
      </c>
      <c r="B352" t="s">
        <v>1035</v>
      </c>
      <c r="C352" t="s">
        <v>1315</v>
      </c>
      <c r="D352" s="41">
        <v>11</v>
      </c>
      <c r="E352" s="41">
        <v>2532</v>
      </c>
      <c r="F352" s="41" t="s">
        <v>7123</v>
      </c>
      <c r="G352" s="41" t="s">
        <v>7123</v>
      </c>
      <c r="H352" s="2043">
        <v>1436162</v>
      </c>
      <c r="I352" s="2043">
        <v>1442110</v>
      </c>
      <c r="J352">
        <v>1</v>
      </c>
      <c r="K352" s="2043">
        <v>1436162</v>
      </c>
      <c r="L352" s="2043">
        <v>1436162</v>
      </c>
      <c r="M352">
        <v>599</v>
      </c>
      <c r="N352">
        <v>1</v>
      </c>
    </row>
    <row r="353" spans="1:14">
      <c r="A353" t="s">
        <v>4941</v>
      </c>
      <c r="B353" t="s">
        <v>1057</v>
      </c>
      <c r="C353" t="s">
        <v>2346</v>
      </c>
      <c r="D353" s="41">
        <v>11</v>
      </c>
      <c r="E353" s="41">
        <v>2507</v>
      </c>
      <c r="F353" s="41" t="s">
        <v>7124</v>
      </c>
      <c r="G353" s="41" t="s">
        <v>7124</v>
      </c>
      <c r="H353" s="2043">
        <v>590702</v>
      </c>
      <c r="I353" s="2043">
        <v>889575</v>
      </c>
      <c r="J353">
        <v>1</v>
      </c>
      <c r="K353" s="2043">
        <v>590702</v>
      </c>
      <c r="L353" s="2043">
        <v>590702</v>
      </c>
      <c r="M353">
        <v>599</v>
      </c>
      <c r="N353">
        <v>0</v>
      </c>
    </row>
    <row r="354" spans="1:14">
      <c r="A354" t="s">
        <v>2894</v>
      </c>
      <c r="B354" t="s">
        <v>2018</v>
      </c>
      <c r="C354" t="s">
        <v>252</v>
      </c>
      <c r="D354" s="41">
        <v>5</v>
      </c>
      <c r="E354" s="41">
        <v>2335</v>
      </c>
      <c r="F354" s="41" t="s">
        <v>3534</v>
      </c>
      <c r="G354" s="41" t="s">
        <v>3534</v>
      </c>
      <c r="H354" s="2043">
        <v>130653</v>
      </c>
      <c r="I354" s="2043">
        <v>0</v>
      </c>
      <c r="J354">
        <v>0</v>
      </c>
      <c r="K354" s="2043">
        <v>0</v>
      </c>
      <c r="L354" s="2043">
        <v>0</v>
      </c>
      <c r="M354">
        <v>599</v>
      </c>
      <c r="N354">
        <v>0</v>
      </c>
    </row>
    <row r="355" spans="1:14">
      <c r="A355" t="s">
        <v>2894</v>
      </c>
      <c r="B355" t="s">
        <v>2018</v>
      </c>
      <c r="C355" t="s">
        <v>252</v>
      </c>
      <c r="D355" s="41">
        <v>5</v>
      </c>
      <c r="E355" s="41">
        <v>2335</v>
      </c>
      <c r="F355" s="41" t="s">
        <v>3534</v>
      </c>
      <c r="G355" s="41" t="s">
        <v>3535</v>
      </c>
      <c r="H355" s="2043">
        <v>130653</v>
      </c>
      <c r="I355" s="2043">
        <v>81600</v>
      </c>
      <c r="J355">
        <v>0.68889826931194598</v>
      </c>
      <c r="K355" s="2043">
        <v>90006.625580413704</v>
      </c>
      <c r="L355" s="2043">
        <v>81600</v>
      </c>
      <c r="M355">
        <v>599</v>
      </c>
      <c r="N355">
        <v>1</v>
      </c>
    </row>
    <row r="356" spans="1:14">
      <c r="A356" t="s">
        <v>2894</v>
      </c>
      <c r="B356" t="s">
        <v>2018</v>
      </c>
      <c r="C356" t="s">
        <v>252</v>
      </c>
      <c r="D356" s="41">
        <v>5</v>
      </c>
      <c r="E356" s="41">
        <v>2335</v>
      </c>
      <c r="F356" s="41" t="s">
        <v>3534</v>
      </c>
      <c r="G356" s="41" t="s">
        <v>8554</v>
      </c>
      <c r="H356" s="2043">
        <v>130653</v>
      </c>
      <c r="I356" s="2043">
        <v>36850</v>
      </c>
      <c r="J356">
        <v>0.31110173068805402</v>
      </c>
      <c r="K356" s="2043">
        <v>40646.374419586296</v>
      </c>
      <c r="L356" s="2043">
        <v>36850</v>
      </c>
      <c r="M356">
        <v>599</v>
      </c>
      <c r="N356">
        <v>1</v>
      </c>
    </row>
    <row r="357" spans="1:14">
      <c r="A357" t="s">
        <v>2895</v>
      </c>
      <c r="B357" t="s">
        <v>931</v>
      </c>
      <c r="C357" t="s">
        <v>274</v>
      </c>
      <c r="D357" s="41">
        <v>5</v>
      </c>
      <c r="E357" s="41">
        <v>2055</v>
      </c>
      <c r="F357" s="41" t="s">
        <v>3536</v>
      </c>
      <c r="G357" s="41" t="s">
        <v>3536</v>
      </c>
      <c r="H357" s="2043">
        <v>82900</v>
      </c>
      <c r="I357" s="2043">
        <v>0</v>
      </c>
      <c r="J357">
        <v>0</v>
      </c>
      <c r="K357" s="2043">
        <v>0</v>
      </c>
      <c r="L357" s="2043">
        <v>0</v>
      </c>
      <c r="M357">
        <v>599</v>
      </c>
      <c r="N357">
        <v>0</v>
      </c>
    </row>
    <row r="358" spans="1:14">
      <c r="A358" t="s">
        <v>2895</v>
      </c>
      <c r="B358" t="s">
        <v>931</v>
      </c>
      <c r="C358" t="s">
        <v>274</v>
      </c>
      <c r="D358" s="41">
        <v>5</v>
      </c>
      <c r="E358" s="41">
        <v>2055</v>
      </c>
      <c r="F358" s="41" t="s">
        <v>3536</v>
      </c>
      <c r="G358" s="41" t="s">
        <v>3537</v>
      </c>
      <c r="H358" s="2043">
        <v>82900</v>
      </c>
      <c r="I358" s="2043">
        <v>69706</v>
      </c>
      <c r="J358">
        <v>1</v>
      </c>
      <c r="K358" s="2043">
        <v>82900</v>
      </c>
      <c r="L358" s="2043">
        <v>69706</v>
      </c>
      <c r="M358">
        <v>599</v>
      </c>
      <c r="N358">
        <v>1</v>
      </c>
    </row>
    <row r="359" spans="1:14">
      <c r="A359" t="s">
        <v>2896</v>
      </c>
      <c r="B359" t="s">
        <v>168</v>
      </c>
      <c r="C359" t="s">
        <v>996</v>
      </c>
      <c r="D359" s="41">
        <v>5</v>
      </c>
      <c r="E359" s="41">
        <v>1567</v>
      </c>
      <c r="F359" s="41" t="s">
        <v>3538</v>
      </c>
      <c r="G359" s="41" t="s">
        <v>3538</v>
      </c>
      <c r="H359" s="2043">
        <v>532173</v>
      </c>
      <c r="I359" s="2043">
        <v>0</v>
      </c>
      <c r="J359">
        <v>0</v>
      </c>
      <c r="K359" s="2043">
        <v>0</v>
      </c>
      <c r="L359" s="2043">
        <v>0</v>
      </c>
      <c r="M359">
        <v>599</v>
      </c>
      <c r="N359">
        <v>0</v>
      </c>
    </row>
    <row r="360" spans="1:14">
      <c r="A360" t="s">
        <v>2896</v>
      </c>
      <c r="B360" t="s">
        <v>168</v>
      </c>
      <c r="C360" t="s">
        <v>996</v>
      </c>
      <c r="D360" s="41">
        <v>5</v>
      </c>
      <c r="E360" s="41">
        <v>1567</v>
      </c>
      <c r="F360" s="41" t="s">
        <v>3538</v>
      </c>
      <c r="G360" s="41" t="s">
        <v>3539</v>
      </c>
      <c r="H360" s="2043">
        <v>532173</v>
      </c>
      <c r="I360" s="2043">
        <v>0</v>
      </c>
      <c r="J360">
        <v>0</v>
      </c>
      <c r="K360" s="2043">
        <v>0</v>
      </c>
      <c r="L360" s="2043">
        <v>0</v>
      </c>
      <c r="M360">
        <v>599</v>
      </c>
      <c r="N360">
        <v>0</v>
      </c>
    </row>
    <row r="361" spans="1:14">
      <c r="A361" t="s">
        <v>2896</v>
      </c>
      <c r="B361" t="s">
        <v>168</v>
      </c>
      <c r="C361" t="s">
        <v>996</v>
      </c>
      <c r="D361" s="41">
        <v>5</v>
      </c>
      <c r="E361" s="41">
        <v>1567</v>
      </c>
      <c r="F361" s="41" t="s">
        <v>3538</v>
      </c>
      <c r="G361" s="41" t="s">
        <v>3540</v>
      </c>
      <c r="H361" s="2043">
        <v>532173</v>
      </c>
      <c r="I361" s="2043">
        <v>0</v>
      </c>
      <c r="J361">
        <v>0</v>
      </c>
      <c r="K361" s="2043">
        <v>0</v>
      </c>
      <c r="L361" s="2043">
        <v>0</v>
      </c>
      <c r="M361">
        <v>599</v>
      </c>
      <c r="N361">
        <v>1</v>
      </c>
    </row>
    <row r="362" spans="1:14">
      <c r="A362" t="s">
        <v>2896</v>
      </c>
      <c r="B362" t="s">
        <v>168</v>
      </c>
      <c r="C362" t="s">
        <v>996</v>
      </c>
      <c r="D362" s="41">
        <v>5</v>
      </c>
      <c r="E362" s="41">
        <v>1567</v>
      </c>
      <c r="F362" s="41" t="s">
        <v>3538</v>
      </c>
      <c r="G362" s="41" t="s">
        <v>3541</v>
      </c>
      <c r="H362" s="2043">
        <v>532173</v>
      </c>
      <c r="I362" s="2043">
        <v>0</v>
      </c>
      <c r="J362">
        <v>0</v>
      </c>
      <c r="K362" s="2043">
        <v>0</v>
      </c>
      <c r="L362" s="2043">
        <v>0</v>
      </c>
      <c r="M362">
        <v>599</v>
      </c>
      <c r="N362">
        <v>1</v>
      </c>
    </row>
    <row r="363" spans="1:14">
      <c r="A363" t="s">
        <v>2896</v>
      </c>
      <c r="B363" t="s">
        <v>168</v>
      </c>
      <c r="C363" t="s">
        <v>996</v>
      </c>
      <c r="D363" s="41">
        <v>5</v>
      </c>
      <c r="E363" s="41">
        <v>1567</v>
      </c>
      <c r="F363" s="41" t="s">
        <v>3538</v>
      </c>
      <c r="G363" s="41" t="s">
        <v>5355</v>
      </c>
      <c r="H363" s="2043">
        <v>532173</v>
      </c>
      <c r="I363" s="2043">
        <v>390779</v>
      </c>
      <c r="J363">
        <v>0.41415823220815001</v>
      </c>
      <c r="K363" s="2043">
        <v>220403.82890890801</v>
      </c>
      <c r="L363" s="2043">
        <v>220403.82890890801</v>
      </c>
      <c r="M363">
        <v>599</v>
      </c>
      <c r="N363">
        <v>1</v>
      </c>
    </row>
    <row r="364" spans="1:14">
      <c r="A364" t="s">
        <v>2896</v>
      </c>
      <c r="B364" t="s">
        <v>168</v>
      </c>
      <c r="C364" t="s">
        <v>996</v>
      </c>
      <c r="D364" s="41">
        <v>5</v>
      </c>
      <c r="E364" s="41">
        <v>1567</v>
      </c>
      <c r="F364" s="41" t="s">
        <v>3538</v>
      </c>
      <c r="G364" s="41" t="s">
        <v>5541</v>
      </c>
      <c r="H364" s="2043">
        <v>532173</v>
      </c>
      <c r="I364" s="2043">
        <v>69262</v>
      </c>
      <c r="J364">
        <v>7.3405754861957495E-2</v>
      </c>
      <c r="K364" s="2043">
        <v>39064.560782152497</v>
      </c>
      <c r="L364" s="2043">
        <v>39064.560782152497</v>
      </c>
      <c r="M364">
        <v>599</v>
      </c>
      <c r="N364">
        <v>1</v>
      </c>
    </row>
    <row r="365" spans="1:14">
      <c r="A365" t="s">
        <v>2896</v>
      </c>
      <c r="B365" t="s">
        <v>168</v>
      </c>
      <c r="C365" t="s">
        <v>996</v>
      </c>
      <c r="D365" s="41">
        <v>5</v>
      </c>
      <c r="E365" s="41">
        <v>1567</v>
      </c>
      <c r="F365" s="41" t="s">
        <v>3538</v>
      </c>
      <c r="G365" s="41" t="s">
        <v>5540</v>
      </c>
      <c r="H365" s="2043">
        <v>532173</v>
      </c>
      <c r="I365" s="2043">
        <v>392846</v>
      </c>
      <c r="J365">
        <v>0.41634889513009399</v>
      </c>
      <c r="K365" s="2043">
        <v>221569.640568067</v>
      </c>
      <c r="L365" s="2043">
        <v>221569.640568067</v>
      </c>
      <c r="M365">
        <v>599</v>
      </c>
      <c r="N365">
        <v>1</v>
      </c>
    </row>
    <row r="366" spans="1:14">
      <c r="A366" t="s">
        <v>2896</v>
      </c>
      <c r="B366" t="s">
        <v>168</v>
      </c>
      <c r="C366" t="s">
        <v>996</v>
      </c>
      <c r="D366" s="41">
        <v>5</v>
      </c>
      <c r="E366" s="41">
        <v>1567</v>
      </c>
      <c r="F366" s="41" t="s">
        <v>3538</v>
      </c>
      <c r="G366" s="41" t="s">
        <v>9303</v>
      </c>
      <c r="H366" s="2043">
        <v>532173</v>
      </c>
      <c r="I366" s="2043">
        <v>38264</v>
      </c>
      <c r="J366">
        <v>4.0553229823538803E-2</v>
      </c>
      <c r="K366" s="2043">
        <v>21581.333974882102</v>
      </c>
      <c r="L366" s="2043">
        <v>21581.333974882102</v>
      </c>
      <c r="M366">
        <v>599</v>
      </c>
      <c r="N366">
        <v>1</v>
      </c>
    </row>
    <row r="367" spans="1:14">
      <c r="A367" t="s">
        <v>2896</v>
      </c>
      <c r="B367" t="s">
        <v>168</v>
      </c>
      <c r="C367" t="s">
        <v>996</v>
      </c>
      <c r="D367" s="41">
        <v>5</v>
      </c>
      <c r="E367" s="41">
        <v>1567</v>
      </c>
      <c r="F367" s="41" t="s">
        <v>3538</v>
      </c>
      <c r="G367" s="41" t="s">
        <v>9304</v>
      </c>
      <c r="H367" s="2043">
        <v>532173</v>
      </c>
      <c r="I367" s="2043">
        <v>52399</v>
      </c>
      <c r="J367">
        <v>5.5533887976259903E-2</v>
      </c>
      <c r="K367" s="2043">
        <v>29553.6357659901</v>
      </c>
      <c r="L367" s="2043">
        <v>29553.6357659901</v>
      </c>
      <c r="M367">
        <v>599</v>
      </c>
      <c r="N367">
        <v>1</v>
      </c>
    </row>
    <row r="368" spans="1:14">
      <c r="A368" t="s">
        <v>2896</v>
      </c>
      <c r="B368" t="s">
        <v>168</v>
      </c>
      <c r="C368" t="s">
        <v>996</v>
      </c>
      <c r="D368" s="41">
        <v>5</v>
      </c>
      <c r="E368" s="41">
        <v>1566</v>
      </c>
      <c r="F368" s="41" t="s">
        <v>3542</v>
      </c>
      <c r="G368" s="41" t="s">
        <v>3542</v>
      </c>
      <c r="H368" s="2043">
        <v>348271</v>
      </c>
      <c r="I368" s="2043">
        <v>0</v>
      </c>
      <c r="J368">
        <v>0</v>
      </c>
      <c r="K368" s="2043">
        <v>0</v>
      </c>
      <c r="L368" s="2043">
        <v>0</v>
      </c>
      <c r="M368">
        <v>599</v>
      </c>
      <c r="N368">
        <v>1</v>
      </c>
    </row>
    <row r="369" spans="1:14">
      <c r="A369" t="s">
        <v>2896</v>
      </c>
      <c r="B369" t="s">
        <v>168</v>
      </c>
      <c r="C369" t="s">
        <v>996</v>
      </c>
      <c r="D369" s="41">
        <v>5</v>
      </c>
      <c r="E369" s="41">
        <v>1566</v>
      </c>
      <c r="F369" s="41" t="s">
        <v>3542</v>
      </c>
      <c r="G369" s="41" t="s">
        <v>3539</v>
      </c>
      <c r="H369" s="2043">
        <v>348271</v>
      </c>
      <c r="I369" s="2043">
        <v>0</v>
      </c>
      <c r="J369">
        <v>0</v>
      </c>
      <c r="K369" s="2043">
        <v>0</v>
      </c>
      <c r="L369" s="2043">
        <v>0</v>
      </c>
      <c r="M369">
        <v>599</v>
      </c>
      <c r="N369">
        <v>0</v>
      </c>
    </row>
    <row r="370" spans="1:14">
      <c r="A370" t="s">
        <v>2896</v>
      </c>
      <c r="B370" t="s">
        <v>168</v>
      </c>
      <c r="C370" t="s">
        <v>996</v>
      </c>
      <c r="D370" s="41">
        <v>5</v>
      </c>
      <c r="E370" s="41">
        <v>1566</v>
      </c>
      <c r="F370" s="41" t="s">
        <v>3542</v>
      </c>
      <c r="G370" s="41" t="s">
        <v>3541</v>
      </c>
      <c r="H370" s="2043">
        <v>348271</v>
      </c>
      <c r="I370" s="2043">
        <v>137077</v>
      </c>
      <c r="J370">
        <v>0.32738558688518299</v>
      </c>
      <c r="K370" s="2043">
        <v>114018.90573009</v>
      </c>
      <c r="L370" s="2043">
        <v>114018.90573009</v>
      </c>
      <c r="M370">
        <v>599</v>
      </c>
      <c r="N370">
        <v>1</v>
      </c>
    </row>
    <row r="371" spans="1:14">
      <c r="A371" t="s">
        <v>2896</v>
      </c>
      <c r="B371" t="s">
        <v>168</v>
      </c>
      <c r="C371" t="s">
        <v>996</v>
      </c>
      <c r="D371" s="41">
        <v>5</v>
      </c>
      <c r="E371" s="41">
        <v>1566</v>
      </c>
      <c r="F371" s="41" t="s">
        <v>3542</v>
      </c>
      <c r="G371" s="41" t="s">
        <v>5355</v>
      </c>
      <c r="H371" s="2043">
        <v>348271</v>
      </c>
      <c r="I371" s="2043">
        <v>41719</v>
      </c>
      <c r="J371">
        <v>9.9638883979536796E-2</v>
      </c>
      <c r="K371" s="2043">
        <v>34701.3337624372</v>
      </c>
      <c r="L371" s="2043">
        <v>34701.3337624372</v>
      </c>
      <c r="M371">
        <v>599</v>
      </c>
      <c r="N371">
        <v>1</v>
      </c>
    </row>
    <row r="372" spans="1:14">
      <c r="A372" t="s">
        <v>2896</v>
      </c>
      <c r="B372" t="s">
        <v>168</v>
      </c>
      <c r="C372" t="s">
        <v>996</v>
      </c>
      <c r="D372" s="41">
        <v>5</v>
      </c>
      <c r="E372" s="41">
        <v>1566</v>
      </c>
      <c r="F372" s="41" t="s">
        <v>3542</v>
      </c>
      <c r="G372" s="41" t="s">
        <v>8555</v>
      </c>
      <c r="H372" s="2043">
        <v>348271</v>
      </c>
      <c r="I372" s="2043">
        <v>168958</v>
      </c>
      <c r="J372">
        <v>0.403528046199923</v>
      </c>
      <c r="K372" s="2043">
        <v>140537.11617809301</v>
      </c>
      <c r="L372" s="2043">
        <v>140537.11617809301</v>
      </c>
      <c r="M372">
        <v>599</v>
      </c>
      <c r="N372">
        <v>1</v>
      </c>
    </row>
    <row r="373" spans="1:14">
      <c r="A373" t="s">
        <v>2896</v>
      </c>
      <c r="B373" t="s">
        <v>168</v>
      </c>
      <c r="C373" t="s">
        <v>996</v>
      </c>
      <c r="D373" s="41">
        <v>5</v>
      </c>
      <c r="E373" s="41">
        <v>1566</v>
      </c>
      <c r="F373" s="41" t="s">
        <v>3542</v>
      </c>
      <c r="G373" s="41" t="s">
        <v>9303</v>
      </c>
      <c r="H373" s="2043">
        <v>348271</v>
      </c>
      <c r="I373" s="2043">
        <v>54872</v>
      </c>
      <c r="J373">
        <v>0.13105263409298301</v>
      </c>
      <c r="K373" s="2043">
        <v>45641.831928197098</v>
      </c>
      <c r="L373" s="2043">
        <v>45641.831928197098</v>
      </c>
      <c r="M373">
        <v>599</v>
      </c>
      <c r="N373">
        <v>1</v>
      </c>
    </row>
    <row r="374" spans="1:14">
      <c r="A374" t="s">
        <v>2896</v>
      </c>
      <c r="B374" t="s">
        <v>168</v>
      </c>
      <c r="C374" t="s">
        <v>996</v>
      </c>
      <c r="D374" s="41">
        <v>5</v>
      </c>
      <c r="E374" s="41">
        <v>1566</v>
      </c>
      <c r="F374" s="41" t="s">
        <v>3542</v>
      </c>
      <c r="G374" s="41" t="s">
        <v>9304</v>
      </c>
      <c r="H374" s="2043">
        <v>348271</v>
      </c>
      <c r="I374" s="2043">
        <v>16076</v>
      </c>
      <c r="J374">
        <v>3.8394848842374797E-2</v>
      </c>
      <c r="K374" s="2043">
        <v>13371.8124011827</v>
      </c>
      <c r="L374" s="2043">
        <v>13371.8124011827</v>
      </c>
      <c r="M374">
        <v>599</v>
      </c>
      <c r="N374">
        <v>1</v>
      </c>
    </row>
    <row r="375" spans="1:14">
      <c r="A375" t="s">
        <v>2896</v>
      </c>
      <c r="B375" t="s">
        <v>168</v>
      </c>
      <c r="C375" t="s">
        <v>996</v>
      </c>
      <c r="D375" s="41">
        <v>6</v>
      </c>
      <c r="E375" s="41">
        <v>1565</v>
      </c>
      <c r="F375" s="41" t="s">
        <v>3543</v>
      </c>
      <c r="G375" s="41" t="s">
        <v>3543</v>
      </c>
      <c r="H375" s="2043">
        <v>310452</v>
      </c>
      <c r="I375" s="2043">
        <v>0</v>
      </c>
      <c r="J375">
        <v>0</v>
      </c>
      <c r="K375" s="2043">
        <v>0</v>
      </c>
      <c r="L375" s="2043">
        <v>0</v>
      </c>
      <c r="M375">
        <v>599</v>
      </c>
      <c r="N375">
        <v>0</v>
      </c>
    </row>
    <row r="376" spans="1:14">
      <c r="A376" t="s">
        <v>2896</v>
      </c>
      <c r="B376" t="s">
        <v>168</v>
      </c>
      <c r="C376" t="s">
        <v>996</v>
      </c>
      <c r="D376" s="41">
        <v>6</v>
      </c>
      <c r="E376" s="41">
        <v>1565</v>
      </c>
      <c r="F376" s="41" t="s">
        <v>3543</v>
      </c>
      <c r="G376" s="41" t="s">
        <v>3540</v>
      </c>
      <c r="H376" s="2043">
        <v>310452</v>
      </c>
      <c r="I376" s="2043">
        <v>0</v>
      </c>
      <c r="J376">
        <v>0</v>
      </c>
      <c r="K376" s="2043">
        <v>0</v>
      </c>
      <c r="L376" s="2043">
        <v>0</v>
      </c>
      <c r="M376">
        <v>599</v>
      </c>
      <c r="N376">
        <v>1</v>
      </c>
    </row>
    <row r="377" spans="1:14">
      <c r="A377" t="s">
        <v>2896</v>
      </c>
      <c r="B377" t="s">
        <v>168</v>
      </c>
      <c r="C377" t="s">
        <v>996</v>
      </c>
      <c r="D377" s="41">
        <v>6</v>
      </c>
      <c r="E377" s="41">
        <v>1565</v>
      </c>
      <c r="F377" s="41" t="s">
        <v>3543</v>
      </c>
      <c r="G377" s="41" t="s">
        <v>3544</v>
      </c>
      <c r="H377" s="2043">
        <v>310452</v>
      </c>
      <c r="I377" s="2043">
        <v>605205</v>
      </c>
      <c r="J377">
        <v>0.79440221464696503</v>
      </c>
      <c r="K377" s="2043">
        <v>246623.75634158001</v>
      </c>
      <c r="L377" s="2043">
        <v>246623.75634158001</v>
      </c>
      <c r="M377">
        <v>599</v>
      </c>
      <c r="N377">
        <v>1</v>
      </c>
    </row>
    <row r="378" spans="1:14">
      <c r="A378" t="s">
        <v>2896</v>
      </c>
      <c r="B378" t="s">
        <v>168</v>
      </c>
      <c r="C378" t="s">
        <v>996</v>
      </c>
      <c r="D378" s="41">
        <v>6</v>
      </c>
      <c r="E378" s="41">
        <v>1565</v>
      </c>
      <c r="F378" s="41" t="s">
        <v>3543</v>
      </c>
      <c r="G378" s="41" t="s">
        <v>5355</v>
      </c>
      <c r="H378" s="2043">
        <v>310452</v>
      </c>
      <c r="I378" s="2043">
        <v>66315</v>
      </c>
      <c r="J378">
        <v>8.7046179169559895E-2</v>
      </c>
      <c r="K378" s="2043">
        <v>27023.660415548198</v>
      </c>
      <c r="L378" s="2043">
        <v>27023.660415548198</v>
      </c>
      <c r="M378">
        <v>599</v>
      </c>
      <c r="N378">
        <v>1</v>
      </c>
    </row>
    <row r="379" spans="1:14">
      <c r="A379" t="s">
        <v>2896</v>
      </c>
      <c r="B379" t="s">
        <v>168</v>
      </c>
      <c r="C379" t="s">
        <v>996</v>
      </c>
      <c r="D379" s="41">
        <v>6</v>
      </c>
      <c r="E379" s="41">
        <v>1565</v>
      </c>
      <c r="F379" s="41" t="s">
        <v>3543</v>
      </c>
      <c r="G379" s="41" t="s">
        <v>5541</v>
      </c>
      <c r="H379" s="2043">
        <v>310452</v>
      </c>
      <c r="I379" s="2043">
        <v>19590</v>
      </c>
      <c r="J379">
        <v>2.5714161953278698E-2</v>
      </c>
      <c r="K379" s="2043">
        <v>7983.0130067192804</v>
      </c>
      <c r="L379" s="2043">
        <v>7983.0130067192804</v>
      </c>
      <c r="M379">
        <v>599</v>
      </c>
      <c r="N379">
        <v>1</v>
      </c>
    </row>
    <row r="380" spans="1:14">
      <c r="A380" t="s">
        <v>2896</v>
      </c>
      <c r="B380" t="s">
        <v>168</v>
      </c>
      <c r="C380" t="s">
        <v>996</v>
      </c>
      <c r="D380" s="41">
        <v>6</v>
      </c>
      <c r="E380" s="41">
        <v>1565</v>
      </c>
      <c r="F380" s="41" t="s">
        <v>3543</v>
      </c>
      <c r="G380" s="41" t="s">
        <v>5540</v>
      </c>
      <c r="H380" s="2043">
        <v>310452</v>
      </c>
      <c r="I380" s="2043">
        <v>0</v>
      </c>
      <c r="J380">
        <v>0</v>
      </c>
      <c r="K380" s="2043">
        <v>0</v>
      </c>
      <c r="L380" s="2043">
        <v>0</v>
      </c>
      <c r="M380">
        <v>599</v>
      </c>
      <c r="N380">
        <v>1</v>
      </c>
    </row>
    <row r="381" spans="1:14">
      <c r="A381" t="s">
        <v>2896</v>
      </c>
      <c r="B381" t="s">
        <v>168</v>
      </c>
      <c r="C381" t="s">
        <v>996</v>
      </c>
      <c r="D381" s="41">
        <v>6</v>
      </c>
      <c r="E381" s="41">
        <v>1565</v>
      </c>
      <c r="F381" s="41" t="s">
        <v>3543</v>
      </c>
      <c r="G381" s="41" t="s">
        <v>9305</v>
      </c>
      <c r="H381" s="2043">
        <v>310452</v>
      </c>
      <c r="I381" s="2043">
        <v>50668</v>
      </c>
      <c r="J381">
        <v>6.6507665025458199E-2</v>
      </c>
      <c r="K381" s="2043">
        <v>20647.4376224835</v>
      </c>
      <c r="L381" s="2043">
        <v>20647.4376224835</v>
      </c>
      <c r="M381">
        <v>599</v>
      </c>
      <c r="N381">
        <v>1</v>
      </c>
    </row>
    <row r="382" spans="1:14">
      <c r="A382" t="s">
        <v>2896</v>
      </c>
      <c r="B382" t="s">
        <v>168</v>
      </c>
      <c r="C382" t="s">
        <v>996</v>
      </c>
      <c r="D382" s="41">
        <v>6</v>
      </c>
      <c r="E382" s="41">
        <v>1565</v>
      </c>
      <c r="F382" s="41" t="s">
        <v>3543</v>
      </c>
      <c r="G382" s="41" t="s">
        <v>9304</v>
      </c>
      <c r="H382" s="2043">
        <v>310452</v>
      </c>
      <c r="I382" s="2043">
        <v>20059</v>
      </c>
      <c r="J382">
        <v>2.6329779204737998E-2</v>
      </c>
      <c r="K382" s="2043">
        <v>8174.1326136693297</v>
      </c>
      <c r="L382" s="2043">
        <v>8174.1326136693297</v>
      </c>
      <c r="M382">
        <v>599</v>
      </c>
      <c r="N382">
        <v>1</v>
      </c>
    </row>
    <row r="383" spans="1:14">
      <c r="A383" t="s">
        <v>2896</v>
      </c>
      <c r="B383" t="s">
        <v>168</v>
      </c>
      <c r="C383" t="s">
        <v>996</v>
      </c>
      <c r="D383" s="41">
        <v>10</v>
      </c>
      <c r="E383" s="41">
        <v>1568</v>
      </c>
      <c r="F383" s="41" t="s">
        <v>3545</v>
      </c>
      <c r="G383" s="41" t="s">
        <v>3545</v>
      </c>
      <c r="H383" s="2043">
        <v>750900</v>
      </c>
      <c r="I383" s="2043">
        <v>0</v>
      </c>
      <c r="J383">
        <v>0</v>
      </c>
      <c r="K383" s="2043">
        <v>0</v>
      </c>
      <c r="L383" s="2043">
        <v>0</v>
      </c>
      <c r="M383">
        <v>599</v>
      </c>
      <c r="N383">
        <v>1</v>
      </c>
    </row>
    <row r="384" spans="1:14">
      <c r="A384" t="s">
        <v>2896</v>
      </c>
      <c r="B384" t="s">
        <v>168</v>
      </c>
      <c r="C384" t="s">
        <v>996</v>
      </c>
      <c r="D384" s="41">
        <v>10</v>
      </c>
      <c r="E384" s="41">
        <v>1568</v>
      </c>
      <c r="F384" s="41" t="s">
        <v>3545</v>
      </c>
      <c r="G384" s="41" t="s">
        <v>9305</v>
      </c>
      <c r="H384" s="2043">
        <v>750900</v>
      </c>
      <c r="I384" s="2043">
        <v>1516188</v>
      </c>
      <c r="J384">
        <v>1</v>
      </c>
      <c r="K384" s="2043">
        <v>750900</v>
      </c>
      <c r="L384" s="2043">
        <v>750900</v>
      </c>
      <c r="M384">
        <v>599</v>
      </c>
      <c r="N384">
        <v>1</v>
      </c>
    </row>
    <row r="385" spans="1:14">
      <c r="A385" t="s">
        <v>2896</v>
      </c>
      <c r="B385" t="s">
        <v>168</v>
      </c>
      <c r="C385" t="s">
        <v>996</v>
      </c>
      <c r="D385" s="41">
        <v>11</v>
      </c>
      <c r="E385" s="41">
        <v>2501</v>
      </c>
      <c r="F385" s="41" t="s">
        <v>5540</v>
      </c>
      <c r="G385" s="41" t="s">
        <v>5540</v>
      </c>
      <c r="H385" s="2043">
        <v>2121839</v>
      </c>
      <c r="I385" s="2043">
        <v>3741674</v>
      </c>
      <c r="J385">
        <v>1</v>
      </c>
      <c r="K385" s="2043">
        <v>2121839</v>
      </c>
      <c r="L385" s="2043">
        <v>2121839</v>
      </c>
      <c r="M385">
        <v>599</v>
      </c>
      <c r="N385">
        <v>1</v>
      </c>
    </row>
    <row r="386" spans="1:14">
      <c r="A386" t="s">
        <v>2896</v>
      </c>
      <c r="B386" t="s">
        <v>168</v>
      </c>
      <c r="C386" t="s">
        <v>996</v>
      </c>
      <c r="D386" s="41">
        <v>11</v>
      </c>
      <c r="E386" s="41">
        <v>2500</v>
      </c>
      <c r="F386" s="41" t="s">
        <v>7125</v>
      </c>
      <c r="G386" s="41" t="s">
        <v>7125</v>
      </c>
      <c r="H386" s="2043">
        <v>3082328</v>
      </c>
      <c r="I386" s="2043">
        <v>2934921</v>
      </c>
      <c r="J386">
        <v>1</v>
      </c>
      <c r="K386" s="2043">
        <v>3082328</v>
      </c>
      <c r="L386" s="2043">
        <v>2934921</v>
      </c>
      <c r="M386">
        <v>599</v>
      </c>
      <c r="N386">
        <v>1</v>
      </c>
    </row>
    <row r="387" spans="1:14">
      <c r="A387" t="s">
        <v>2897</v>
      </c>
      <c r="B387" t="s">
        <v>670</v>
      </c>
      <c r="C387" t="s">
        <v>2515</v>
      </c>
      <c r="D387" s="41">
        <v>4</v>
      </c>
      <c r="E387" s="41">
        <v>1744</v>
      </c>
      <c r="F387" s="41" t="s">
        <v>3546</v>
      </c>
      <c r="G387" s="41" t="s">
        <v>3546</v>
      </c>
      <c r="H387" s="2043">
        <v>187870</v>
      </c>
      <c r="I387" s="2043">
        <v>0</v>
      </c>
      <c r="J387">
        <v>0</v>
      </c>
      <c r="K387" s="2043">
        <v>0</v>
      </c>
      <c r="L387" s="2043">
        <v>0</v>
      </c>
      <c r="M387">
        <v>599</v>
      </c>
      <c r="N387">
        <v>0</v>
      </c>
    </row>
    <row r="388" spans="1:14">
      <c r="A388" t="s">
        <v>2897</v>
      </c>
      <c r="B388" t="s">
        <v>670</v>
      </c>
      <c r="C388" t="s">
        <v>2515</v>
      </c>
      <c r="D388" s="41">
        <v>4</v>
      </c>
      <c r="E388" s="41">
        <v>1744</v>
      </c>
      <c r="F388" s="41" t="s">
        <v>3546</v>
      </c>
      <c r="G388" s="41" t="s">
        <v>3547</v>
      </c>
      <c r="H388" s="2043">
        <v>187870</v>
      </c>
      <c r="I388" s="2043">
        <v>0</v>
      </c>
      <c r="J388">
        <v>0</v>
      </c>
      <c r="K388" s="2043">
        <v>0</v>
      </c>
      <c r="L388" s="2043">
        <v>0</v>
      </c>
      <c r="M388">
        <v>599</v>
      </c>
      <c r="N388">
        <v>1</v>
      </c>
    </row>
    <row r="389" spans="1:14">
      <c r="A389" t="s">
        <v>2897</v>
      </c>
      <c r="B389" t="s">
        <v>670</v>
      </c>
      <c r="C389" t="s">
        <v>2515</v>
      </c>
      <c r="D389" s="41">
        <v>4</v>
      </c>
      <c r="E389" s="41">
        <v>1744</v>
      </c>
      <c r="F389" s="41" t="s">
        <v>3546</v>
      </c>
      <c r="G389" s="41" t="s">
        <v>5542</v>
      </c>
      <c r="H389" s="2043">
        <v>187870</v>
      </c>
      <c r="I389" s="2043">
        <v>197711</v>
      </c>
      <c r="J389">
        <v>1</v>
      </c>
      <c r="K389" s="2043">
        <v>187870</v>
      </c>
      <c r="L389" s="2043">
        <v>187870</v>
      </c>
      <c r="M389">
        <v>599</v>
      </c>
      <c r="N389">
        <v>1</v>
      </c>
    </row>
    <row r="390" spans="1:14">
      <c r="A390" t="s">
        <v>2898</v>
      </c>
      <c r="B390" t="s">
        <v>1350</v>
      </c>
      <c r="C390" t="s">
        <v>1458</v>
      </c>
      <c r="D390" s="41">
        <v>3</v>
      </c>
      <c r="E390" s="41">
        <v>1708</v>
      </c>
      <c r="F390" s="41" t="s">
        <v>3548</v>
      </c>
      <c r="G390" s="41" t="s">
        <v>3548</v>
      </c>
      <c r="H390" s="2043">
        <v>361373</v>
      </c>
      <c r="I390" s="2043">
        <v>0</v>
      </c>
      <c r="J390">
        <v>0</v>
      </c>
      <c r="K390" s="2043">
        <v>0</v>
      </c>
      <c r="L390" s="2043">
        <v>0</v>
      </c>
      <c r="M390">
        <v>599</v>
      </c>
      <c r="N390">
        <v>0</v>
      </c>
    </row>
    <row r="391" spans="1:14">
      <c r="A391" t="s">
        <v>2898</v>
      </c>
      <c r="B391" t="s">
        <v>1350</v>
      </c>
      <c r="C391" t="s">
        <v>1458</v>
      </c>
      <c r="D391" s="41">
        <v>3</v>
      </c>
      <c r="E391" s="41">
        <v>1708</v>
      </c>
      <c r="F391" s="41" t="s">
        <v>3548</v>
      </c>
      <c r="G391" s="41" t="s">
        <v>3549</v>
      </c>
      <c r="H391" s="2043">
        <v>361373</v>
      </c>
      <c r="I391" s="2043">
        <v>0</v>
      </c>
      <c r="J391">
        <v>0</v>
      </c>
      <c r="K391" s="2043">
        <v>0</v>
      </c>
      <c r="L391" s="2043">
        <v>0</v>
      </c>
      <c r="M391">
        <v>599</v>
      </c>
      <c r="N391">
        <v>1</v>
      </c>
    </row>
    <row r="392" spans="1:14">
      <c r="A392" t="s">
        <v>2898</v>
      </c>
      <c r="B392" t="s">
        <v>1350</v>
      </c>
      <c r="C392" t="s">
        <v>1458</v>
      </c>
      <c r="D392" s="41">
        <v>3</v>
      </c>
      <c r="E392" s="41">
        <v>1708</v>
      </c>
      <c r="F392" s="41" t="s">
        <v>3548</v>
      </c>
      <c r="G392" s="41" t="s">
        <v>3550</v>
      </c>
      <c r="H392" s="2043">
        <v>361373</v>
      </c>
      <c r="I392" s="2043">
        <v>0</v>
      </c>
      <c r="J392">
        <v>0</v>
      </c>
      <c r="K392" s="2043">
        <v>0</v>
      </c>
      <c r="L392" s="2043">
        <v>0</v>
      </c>
      <c r="M392">
        <v>599</v>
      </c>
      <c r="N392">
        <v>0</v>
      </c>
    </row>
    <row r="393" spans="1:14">
      <c r="A393" t="s">
        <v>2898</v>
      </c>
      <c r="B393" t="s">
        <v>1350</v>
      </c>
      <c r="C393" t="s">
        <v>1458</v>
      </c>
      <c r="D393" s="41">
        <v>3</v>
      </c>
      <c r="E393" s="41">
        <v>1708</v>
      </c>
      <c r="F393" s="41" t="s">
        <v>3548</v>
      </c>
      <c r="G393" s="41" t="s">
        <v>5543</v>
      </c>
      <c r="H393" s="2043">
        <v>361373</v>
      </c>
      <c r="I393" s="2043">
        <v>348017</v>
      </c>
      <c r="J393">
        <v>1</v>
      </c>
      <c r="K393" s="2043">
        <v>361373</v>
      </c>
      <c r="L393" s="2043">
        <v>348017</v>
      </c>
      <c r="M393">
        <v>599</v>
      </c>
      <c r="N393">
        <v>1</v>
      </c>
    </row>
    <row r="394" spans="1:14">
      <c r="A394" t="s">
        <v>2899</v>
      </c>
      <c r="B394" t="s">
        <v>193</v>
      </c>
      <c r="C394" t="s">
        <v>259</v>
      </c>
      <c r="D394" s="41">
        <v>1</v>
      </c>
      <c r="E394" s="41">
        <v>2180</v>
      </c>
      <c r="F394" s="41" t="s">
        <v>3551</v>
      </c>
      <c r="G394" s="41" t="s">
        <v>3551</v>
      </c>
      <c r="H394" s="2043">
        <v>1598791</v>
      </c>
      <c r="I394" s="2043">
        <v>0</v>
      </c>
      <c r="J394">
        <v>0</v>
      </c>
      <c r="K394" s="2043">
        <v>0</v>
      </c>
      <c r="L394" s="2043">
        <v>0</v>
      </c>
      <c r="M394">
        <v>599</v>
      </c>
      <c r="N394">
        <v>1</v>
      </c>
    </row>
    <row r="395" spans="1:14">
      <c r="A395" t="s">
        <v>2899</v>
      </c>
      <c r="B395" t="s">
        <v>193</v>
      </c>
      <c r="C395" t="s">
        <v>259</v>
      </c>
      <c r="D395" s="41">
        <v>1</v>
      </c>
      <c r="E395" s="41">
        <v>2180</v>
      </c>
      <c r="F395" s="41" t="s">
        <v>3551</v>
      </c>
      <c r="G395" s="41" t="s">
        <v>3552</v>
      </c>
      <c r="H395" s="2043">
        <v>1598791</v>
      </c>
      <c r="I395" s="2043">
        <v>0</v>
      </c>
      <c r="J395">
        <v>0</v>
      </c>
      <c r="K395" s="2043">
        <v>0</v>
      </c>
      <c r="L395" s="2043">
        <v>0</v>
      </c>
      <c r="M395">
        <v>599</v>
      </c>
      <c r="N395">
        <v>0</v>
      </c>
    </row>
    <row r="396" spans="1:14">
      <c r="A396" t="s">
        <v>2899</v>
      </c>
      <c r="B396" t="s">
        <v>193</v>
      </c>
      <c r="C396" t="s">
        <v>259</v>
      </c>
      <c r="D396" s="41">
        <v>1</v>
      </c>
      <c r="E396" s="41">
        <v>2180</v>
      </c>
      <c r="F396" s="41" t="s">
        <v>3551</v>
      </c>
      <c r="G396" s="41" t="s">
        <v>3553</v>
      </c>
      <c r="H396" s="2043">
        <v>1598791</v>
      </c>
      <c r="I396" s="2043">
        <v>0</v>
      </c>
      <c r="J396">
        <v>0</v>
      </c>
      <c r="K396" s="2043">
        <v>0</v>
      </c>
      <c r="L396" s="2043">
        <v>0</v>
      </c>
      <c r="M396">
        <v>599</v>
      </c>
      <c r="N396">
        <v>0</v>
      </c>
    </row>
    <row r="397" spans="1:14">
      <c r="A397" t="s">
        <v>2899</v>
      </c>
      <c r="B397" t="s">
        <v>193</v>
      </c>
      <c r="C397" t="s">
        <v>259</v>
      </c>
      <c r="D397" s="41">
        <v>1</v>
      </c>
      <c r="E397" s="41">
        <v>2180</v>
      </c>
      <c r="F397" s="41" t="s">
        <v>3551</v>
      </c>
      <c r="G397" s="41" t="s">
        <v>3554</v>
      </c>
      <c r="H397" s="2043">
        <v>1598791</v>
      </c>
      <c r="I397" s="2043">
        <v>0</v>
      </c>
      <c r="J397">
        <v>0</v>
      </c>
      <c r="K397" s="2043">
        <v>0</v>
      </c>
      <c r="L397" s="2043">
        <v>0</v>
      </c>
      <c r="M397">
        <v>599</v>
      </c>
      <c r="N397">
        <v>0</v>
      </c>
    </row>
    <row r="398" spans="1:14">
      <c r="A398" t="s">
        <v>2899</v>
      </c>
      <c r="B398" t="s">
        <v>193</v>
      </c>
      <c r="C398" t="s">
        <v>259</v>
      </c>
      <c r="D398" s="41">
        <v>1</v>
      </c>
      <c r="E398" s="41">
        <v>2180</v>
      </c>
      <c r="F398" s="41" t="s">
        <v>3551</v>
      </c>
      <c r="G398" s="41" t="s">
        <v>3555</v>
      </c>
      <c r="H398" s="2043">
        <v>1598791</v>
      </c>
      <c r="I398" s="2043">
        <v>234068</v>
      </c>
      <c r="J398">
        <v>0.26825433208031502</v>
      </c>
      <c r="K398" s="2043">
        <v>428882.61184102</v>
      </c>
      <c r="L398" s="2043">
        <v>234068</v>
      </c>
      <c r="M398">
        <v>599</v>
      </c>
      <c r="N398">
        <v>1</v>
      </c>
    </row>
    <row r="399" spans="1:14">
      <c r="A399" t="s">
        <v>2899</v>
      </c>
      <c r="B399" t="s">
        <v>193</v>
      </c>
      <c r="C399" t="s">
        <v>259</v>
      </c>
      <c r="D399" s="41">
        <v>1</v>
      </c>
      <c r="E399" s="41">
        <v>2180</v>
      </c>
      <c r="F399" s="41" t="s">
        <v>3551</v>
      </c>
      <c r="G399" s="41" t="s">
        <v>3556</v>
      </c>
      <c r="H399" s="2043">
        <v>1598791</v>
      </c>
      <c r="I399" s="2043">
        <v>62264</v>
      </c>
      <c r="J399">
        <v>7.1357843586687494E-2</v>
      </c>
      <c r="K399" s="2043">
        <v>114086.278105804</v>
      </c>
      <c r="L399" s="2043">
        <v>62264</v>
      </c>
      <c r="M399">
        <v>599</v>
      </c>
      <c r="N399">
        <v>1</v>
      </c>
    </row>
    <row r="400" spans="1:14">
      <c r="A400" t="s">
        <v>2899</v>
      </c>
      <c r="B400" t="s">
        <v>193</v>
      </c>
      <c r="C400" t="s">
        <v>259</v>
      </c>
      <c r="D400" s="41">
        <v>1</v>
      </c>
      <c r="E400" s="41">
        <v>2180</v>
      </c>
      <c r="F400" s="41" t="s">
        <v>3551</v>
      </c>
      <c r="G400" s="41" t="s">
        <v>5356</v>
      </c>
      <c r="H400" s="2043">
        <v>1598791</v>
      </c>
      <c r="I400" s="2043">
        <v>5241</v>
      </c>
      <c r="J400">
        <v>6.0064637388832897E-3</v>
      </c>
      <c r="K400" s="2043">
        <v>9603.0801675529492</v>
      </c>
      <c r="L400" s="2043">
        <v>5241</v>
      </c>
      <c r="M400">
        <v>599</v>
      </c>
      <c r="N400">
        <v>1</v>
      </c>
    </row>
    <row r="401" spans="1:14">
      <c r="A401" t="s">
        <v>2899</v>
      </c>
      <c r="B401" t="s">
        <v>193</v>
      </c>
      <c r="C401" t="s">
        <v>259</v>
      </c>
      <c r="D401" s="41">
        <v>1</v>
      </c>
      <c r="E401" s="41">
        <v>2180</v>
      </c>
      <c r="F401" s="41" t="s">
        <v>3551</v>
      </c>
      <c r="G401" s="41" t="s">
        <v>3557</v>
      </c>
      <c r="H401" s="2043">
        <v>1598791</v>
      </c>
      <c r="I401" s="2043">
        <v>98848</v>
      </c>
      <c r="J401">
        <v>0.113285046300541</v>
      </c>
      <c r="K401" s="2043">
        <v>181119.11245988801</v>
      </c>
      <c r="L401" s="2043">
        <v>98848</v>
      </c>
      <c r="M401">
        <v>599</v>
      </c>
      <c r="N401">
        <v>1</v>
      </c>
    </row>
    <row r="402" spans="1:14">
      <c r="A402" t="s">
        <v>2899</v>
      </c>
      <c r="B402" t="s">
        <v>193</v>
      </c>
      <c r="C402" t="s">
        <v>259</v>
      </c>
      <c r="D402" s="41">
        <v>1</v>
      </c>
      <c r="E402" s="41">
        <v>2180</v>
      </c>
      <c r="F402" s="41" t="s">
        <v>3551</v>
      </c>
      <c r="G402" s="41" t="s">
        <v>5357</v>
      </c>
      <c r="H402" s="2043">
        <v>1598791</v>
      </c>
      <c r="I402" s="2043">
        <v>29210</v>
      </c>
      <c r="J402">
        <v>3.3476207939855097E-2</v>
      </c>
      <c r="K402" s="2043">
        <v>53521.459968368901</v>
      </c>
      <c r="L402" s="2043">
        <v>29210</v>
      </c>
      <c r="M402">
        <v>599</v>
      </c>
      <c r="N402">
        <v>1</v>
      </c>
    </row>
    <row r="403" spans="1:14">
      <c r="A403" t="s">
        <v>2899</v>
      </c>
      <c r="B403" t="s">
        <v>193</v>
      </c>
      <c r="C403" t="s">
        <v>259</v>
      </c>
      <c r="D403" s="41">
        <v>1</v>
      </c>
      <c r="E403" s="41">
        <v>2180</v>
      </c>
      <c r="F403" s="41" t="s">
        <v>3551</v>
      </c>
      <c r="G403" s="41" t="s">
        <v>7126</v>
      </c>
      <c r="H403" s="2043">
        <v>1598791</v>
      </c>
      <c r="I403" s="2043">
        <v>401040</v>
      </c>
      <c r="J403">
        <v>0.45961309250939802</v>
      </c>
      <c r="K403" s="2043">
        <v>734825.27578619204</v>
      </c>
      <c r="L403" s="2043">
        <v>401040</v>
      </c>
      <c r="M403">
        <v>599</v>
      </c>
      <c r="N403">
        <v>1</v>
      </c>
    </row>
    <row r="404" spans="1:14">
      <c r="A404" t="s">
        <v>2899</v>
      </c>
      <c r="B404" t="s">
        <v>193</v>
      </c>
      <c r="C404" t="s">
        <v>259</v>
      </c>
      <c r="D404" s="41">
        <v>1</v>
      </c>
      <c r="E404" s="41">
        <v>2180</v>
      </c>
      <c r="F404" s="41" t="s">
        <v>3551</v>
      </c>
      <c r="G404" s="41" t="s">
        <v>9306</v>
      </c>
      <c r="H404" s="2043">
        <v>1598791</v>
      </c>
      <c r="I404" s="2043">
        <v>41889</v>
      </c>
      <c r="J404">
        <v>4.8007013844320198E-2</v>
      </c>
      <c r="K404" s="2043">
        <v>76753.181671174505</v>
      </c>
      <c r="L404" s="2043">
        <v>41889</v>
      </c>
      <c r="M404">
        <v>599</v>
      </c>
      <c r="N404">
        <v>1</v>
      </c>
    </row>
    <row r="405" spans="1:14">
      <c r="A405" t="s">
        <v>2900</v>
      </c>
      <c r="B405" t="s">
        <v>1089</v>
      </c>
      <c r="C405" t="s">
        <v>2353</v>
      </c>
      <c r="D405" s="41">
        <v>10</v>
      </c>
      <c r="E405" s="41">
        <v>1743</v>
      </c>
      <c r="F405" s="41" t="s">
        <v>3558</v>
      </c>
      <c r="G405" s="41" t="s">
        <v>3558</v>
      </c>
      <c r="H405" s="2043">
        <v>100000</v>
      </c>
      <c r="I405" s="2043">
        <v>110722</v>
      </c>
      <c r="J405">
        <v>1</v>
      </c>
      <c r="K405" s="2043">
        <v>100000</v>
      </c>
      <c r="L405" s="2043">
        <v>100000</v>
      </c>
      <c r="M405">
        <v>199</v>
      </c>
      <c r="N405">
        <v>1</v>
      </c>
    </row>
    <row r="406" spans="1:14">
      <c r="A406" t="s">
        <v>2901</v>
      </c>
      <c r="B406" t="s">
        <v>543</v>
      </c>
      <c r="C406" t="s">
        <v>1099</v>
      </c>
      <c r="D406" s="41">
        <v>2</v>
      </c>
      <c r="E406" s="41">
        <v>1705</v>
      </c>
      <c r="F406" s="41" t="s">
        <v>3559</v>
      </c>
      <c r="G406" s="41" t="s">
        <v>3559</v>
      </c>
      <c r="H406" s="2043">
        <v>1632000</v>
      </c>
      <c r="I406" s="2043">
        <v>0</v>
      </c>
      <c r="J406">
        <v>0</v>
      </c>
      <c r="L406" s="2043">
        <v>0</v>
      </c>
      <c r="M406">
        <v>599</v>
      </c>
      <c r="N406">
        <v>0</v>
      </c>
    </row>
    <row r="407" spans="1:14">
      <c r="A407" t="s">
        <v>2902</v>
      </c>
      <c r="B407" t="s">
        <v>835</v>
      </c>
      <c r="C407" t="s">
        <v>2491</v>
      </c>
      <c r="D407" s="41">
        <v>2</v>
      </c>
      <c r="E407" s="41">
        <v>1647</v>
      </c>
      <c r="F407" s="41" t="s">
        <v>3560</v>
      </c>
      <c r="G407" s="41" t="s">
        <v>3560</v>
      </c>
      <c r="H407" s="2043">
        <v>1547958</v>
      </c>
      <c r="I407" s="2043">
        <v>0</v>
      </c>
      <c r="J407">
        <v>0</v>
      </c>
      <c r="L407" s="2043">
        <v>0</v>
      </c>
      <c r="M407">
        <v>199</v>
      </c>
      <c r="N407">
        <v>0</v>
      </c>
    </row>
    <row r="408" spans="1:14">
      <c r="A408" t="s">
        <v>2902</v>
      </c>
      <c r="B408" t="s">
        <v>835</v>
      </c>
      <c r="C408" t="s">
        <v>2491</v>
      </c>
      <c r="D408" s="41">
        <v>6</v>
      </c>
      <c r="E408" s="41">
        <v>1646</v>
      </c>
      <c r="F408" s="41" t="s">
        <v>3561</v>
      </c>
      <c r="G408" s="41" t="s">
        <v>3561</v>
      </c>
      <c r="H408" s="2043">
        <v>424846</v>
      </c>
      <c r="I408" s="2043">
        <v>0</v>
      </c>
      <c r="J408">
        <v>0</v>
      </c>
      <c r="L408" s="2043">
        <v>0</v>
      </c>
      <c r="M408">
        <v>599</v>
      </c>
      <c r="N408">
        <v>1</v>
      </c>
    </row>
    <row r="409" spans="1:14">
      <c r="A409" t="s">
        <v>2902</v>
      </c>
      <c r="B409" t="s">
        <v>835</v>
      </c>
      <c r="C409" t="s">
        <v>2491</v>
      </c>
      <c r="D409" s="41">
        <v>9</v>
      </c>
      <c r="E409" s="41">
        <v>1648</v>
      </c>
      <c r="F409" s="41" t="s">
        <v>3562</v>
      </c>
      <c r="G409" s="41" t="s">
        <v>3562</v>
      </c>
      <c r="H409" s="2043">
        <v>2150873</v>
      </c>
      <c r="I409" s="2043">
        <v>103110</v>
      </c>
      <c r="J409">
        <v>2.1491449483734201E-2</v>
      </c>
      <c r="K409" s="2043">
        <v>46225.378425427698</v>
      </c>
      <c r="L409" s="2043">
        <v>46225.378425427698</v>
      </c>
      <c r="M409">
        <v>599</v>
      </c>
      <c r="N409">
        <v>1</v>
      </c>
    </row>
    <row r="410" spans="1:14">
      <c r="A410" t="s">
        <v>2902</v>
      </c>
      <c r="B410" t="s">
        <v>835</v>
      </c>
      <c r="C410" t="s">
        <v>2491</v>
      </c>
      <c r="D410" s="41">
        <v>9</v>
      </c>
      <c r="E410" s="41">
        <v>1648</v>
      </c>
      <c r="F410" s="41" t="s">
        <v>3562</v>
      </c>
      <c r="G410" s="41" t="s">
        <v>7323</v>
      </c>
      <c r="H410" s="2043">
        <v>2150873</v>
      </c>
      <c r="I410" s="2043">
        <v>4694612</v>
      </c>
      <c r="J410">
        <v>0.97850855051626595</v>
      </c>
      <c r="K410" s="2043">
        <v>2104647.62157457</v>
      </c>
      <c r="L410" s="2043">
        <v>2104647.62157457</v>
      </c>
      <c r="M410">
        <v>599</v>
      </c>
      <c r="N410">
        <v>1</v>
      </c>
    </row>
    <row r="411" spans="1:14">
      <c r="A411" t="s">
        <v>2903</v>
      </c>
      <c r="B411" t="s">
        <v>829</v>
      </c>
      <c r="C411" t="s">
        <v>1267</v>
      </c>
      <c r="D411" s="41">
        <v>2</v>
      </c>
      <c r="E411" s="41">
        <v>1616</v>
      </c>
      <c r="F411" s="41" t="s">
        <v>3563</v>
      </c>
      <c r="G411" s="41" t="s">
        <v>3563</v>
      </c>
      <c r="H411" s="2043">
        <v>100000</v>
      </c>
      <c r="I411" s="2043">
        <v>0</v>
      </c>
      <c r="J411">
        <v>0</v>
      </c>
      <c r="L411" s="2043">
        <v>0</v>
      </c>
      <c r="M411">
        <v>199</v>
      </c>
      <c r="N411">
        <v>0</v>
      </c>
    </row>
    <row r="412" spans="1:14">
      <c r="A412" t="s">
        <v>2903</v>
      </c>
      <c r="B412" t="s">
        <v>829</v>
      </c>
      <c r="C412" t="s">
        <v>1267</v>
      </c>
      <c r="D412" s="41">
        <v>4</v>
      </c>
      <c r="E412" s="41">
        <v>1617</v>
      </c>
      <c r="F412" s="41" t="s">
        <v>3564</v>
      </c>
      <c r="G412" s="41" t="s">
        <v>3564</v>
      </c>
      <c r="H412" s="2043">
        <v>100000</v>
      </c>
      <c r="I412" s="2043">
        <v>0</v>
      </c>
      <c r="J412">
        <v>0</v>
      </c>
      <c r="K412" s="2043">
        <v>0</v>
      </c>
      <c r="L412" s="2043">
        <v>0</v>
      </c>
      <c r="M412">
        <v>599</v>
      </c>
      <c r="N412">
        <v>0</v>
      </c>
    </row>
    <row r="413" spans="1:14">
      <c r="A413" t="s">
        <v>2903</v>
      </c>
      <c r="B413" t="s">
        <v>829</v>
      </c>
      <c r="C413" t="s">
        <v>1267</v>
      </c>
      <c r="D413" s="41">
        <v>4</v>
      </c>
      <c r="E413" s="41">
        <v>1617</v>
      </c>
      <c r="F413" s="41" t="s">
        <v>3564</v>
      </c>
      <c r="G413" s="41" t="s">
        <v>3565</v>
      </c>
      <c r="H413" s="2043">
        <v>100000</v>
      </c>
      <c r="I413" s="2043">
        <v>0</v>
      </c>
      <c r="J413">
        <v>0</v>
      </c>
      <c r="K413" s="2043">
        <v>0</v>
      </c>
      <c r="L413" s="2043">
        <v>0</v>
      </c>
      <c r="M413">
        <v>599</v>
      </c>
      <c r="N413">
        <v>1</v>
      </c>
    </row>
    <row r="414" spans="1:14">
      <c r="A414" t="s">
        <v>2903</v>
      </c>
      <c r="B414" t="s">
        <v>829</v>
      </c>
      <c r="C414" t="s">
        <v>1267</v>
      </c>
      <c r="D414" s="41">
        <v>4</v>
      </c>
      <c r="E414" s="41">
        <v>1617</v>
      </c>
      <c r="F414" s="41" t="s">
        <v>3564</v>
      </c>
      <c r="G414" s="41" t="s">
        <v>9307</v>
      </c>
      <c r="H414" s="2043">
        <v>100000</v>
      </c>
      <c r="I414" s="2043">
        <v>75434</v>
      </c>
      <c r="J414">
        <v>1</v>
      </c>
      <c r="K414" s="2043">
        <v>100000</v>
      </c>
      <c r="L414" s="2043">
        <v>75434</v>
      </c>
      <c r="M414">
        <v>599</v>
      </c>
      <c r="N414">
        <v>1</v>
      </c>
    </row>
    <row r="415" spans="1:14">
      <c r="A415" t="s">
        <v>2904</v>
      </c>
      <c r="B415" t="s">
        <v>2387</v>
      </c>
      <c r="C415" t="s">
        <v>1955</v>
      </c>
      <c r="D415" s="41">
        <v>1</v>
      </c>
      <c r="E415" s="41">
        <v>2077</v>
      </c>
      <c r="F415" s="41" t="s">
        <v>3566</v>
      </c>
      <c r="G415" s="41" t="s">
        <v>3566</v>
      </c>
      <c r="H415" s="2043">
        <v>92069</v>
      </c>
      <c r="I415" s="2043">
        <v>0</v>
      </c>
      <c r="J415">
        <v>0</v>
      </c>
      <c r="K415" s="2043">
        <v>0</v>
      </c>
      <c r="L415" s="2043">
        <v>0</v>
      </c>
      <c r="M415">
        <v>599</v>
      </c>
      <c r="N415">
        <v>0</v>
      </c>
    </row>
    <row r="416" spans="1:14">
      <c r="A416" t="s">
        <v>2904</v>
      </c>
      <c r="B416" t="s">
        <v>2387</v>
      </c>
      <c r="C416" t="s">
        <v>1955</v>
      </c>
      <c r="D416" s="41">
        <v>1</v>
      </c>
      <c r="E416" s="41">
        <v>2077</v>
      </c>
      <c r="F416" s="41" t="s">
        <v>3566</v>
      </c>
      <c r="G416" s="41" t="s">
        <v>3567</v>
      </c>
      <c r="H416" s="2043">
        <v>92069</v>
      </c>
      <c r="I416" s="2043">
        <v>93776</v>
      </c>
      <c r="J416">
        <v>1</v>
      </c>
      <c r="K416" s="2043">
        <v>92069</v>
      </c>
      <c r="L416" s="2043">
        <v>92069</v>
      </c>
      <c r="M416">
        <v>599</v>
      </c>
      <c r="N416">
        <v>1</v>
      </c>
    </row>
    <row r="417" spans="1:14">
      <c r="A417" t="s">
        <v>2905</v>
      </c>
      <c r="B417" t="s">
        <v>1116</v>
      </c>
      <c r="C417" t="s">
        <v>2528</v>
      </c>
      <c r="D417" s="41">
        <v>2</v>
      </c>
      <c r="E417" s="41">
        <v>2470</v>
      </c>
      <c r="F417" s="41" t="s">
        <v>3568</v>
      </c>
      <c r="G417" s="41" t="s">
        <v>3568</v>
      </c>
      <c r="H417" s="2043">
        <v>43725</v>
      </c>
      <c r="I417" s="2043">
        <v>0</v>
      </c>
      <c r="J417">
        <v>0</v>
      </c>
      <c r="L417" s="2043">
        <v>0</v>
      </c>
      <c r="M417">
        <v>599</v>
      </c>
      <c r="N417">
        <v>1</v>
      </c>
    </row>
    <row r="418" spans="1:14">
      <c r="A418" t="s">
        <v>2905</v>
      </c>
      <c r="B418" t="s">
        <v>1116</v>
      </c>
      <c r="C418" t="s">
        <v>2528</v>
      </c>
      <c r="D418" s="41">
        <v>9</v>
      </c>
      <c r="E418" s="41">
        <v>2471</v>
      </c>
      <c r="F418" s="41" t="s">
        <v>3569</v>
      </c>
      <c r="G418" s="41" t="s">
        <v>3569</v>
      </c>
      <c r="H418" s="2043">
        <v>100000</v>
      </c>
      <c r="I418" s="2043">
        <v>0</v>
      </c>
      <c r="J418">
        <v>0</v>
      </c>
      <c r="K418" s="2043">
        <v>0</v>
      </c>
      <c r="L418" s="2043">
        <v>0</v>
      </c>
      <c r="M418">
        <v>599</v>
      </c>
      <c r="N418">
        <v>1</v>
      </c>
    </row>
    <row r="419" spans="1:14">
      <c r="A419" t="s">
        <v>2905</v>
      </c>
      <c r="B419" t="s">
        <v>1116</v>
      </c>
      <c r="C419" t="s">
        <v>2528</v>
      </c>
      <c r="D419" s="41">
        <v>9</v>
      </c>
      <c r="E419" s="41">
        <v>2471</v>
      </c>
      <c r="F419" s="41" t="s">
        <v>3569</v>
      </c>
      <c r="G419" s="41" t="s">
        <v>5544</v>
      </c>
      <c r="H419" s="2043">
        <v>100000</v>
      </c>
      <c r="I419" s="2043">
        <v>175385</v>
      </c>
      <c r="J419">
        <v>1</v>
      </c>
      <c r="K419" s="2043">
        <v>100000</v>
      </c>
      <c r="L419" s="2043">
        <v>100000</v>
      </c>
      <c r="M419">
        <v>599</v>
      </c>
      <c r="N419">
        <v>1</v>
      </c>
    </row>
    <row r="420" spans="1:14">
      <c r="A420" t="s">
        <v>2905</v>
      </c>
      <c r="B420" t="s">
        <v>1116</v>
      </c>
      <c r="C420" t="s">
        <v>2528</v>
      </c>
      <c r="D420" s="41">
        <v>10</v>
      </c>
      <c r="E420" s="41">
        <v>2472</v>
      </c>
      <c r="F420" s="41" t="s">
        <v>3570</v>
      </c>
      <c r="G420" s="41" t="s">
        <v>3570</v>
      </c>
      <c r="H420" s="2043">
        <v>100000</v>
      </c>
      <c r="I420" s="2043">
        <v>0</v>
      </c>
      <c r="J420">
        <v>0</v>
      </c>
      <c r="K420" s="2043">
        <v>0</v>
      </c>
      <c r="L420" s="2043">
        <v>0</v>
      </c>
      <c r="M420">
        <v>599</v>
      </c>
      <c r="N420">
        <v>1</v>
      </c>
    </row>
    <row r="421" spans="1:14">
      <c r="A421" t="s">
        <v>2905</v>
      </c>
      <c r="B421" t="s">
        <v>1116</v>
      </c>
      <c r="C421" t="s">
        <v>2528</v>
      </c>
      <c r="D421" s="41">
        <v>10</v>
      </c>
      <c r="E421" s="41">
        <v>2472</v>
      </c>
      <c r="F421" s="41" t="s">
        <v>3570</v>
      </c>
      <c r="G421" s="41" t="s">
        <v>5544</v>
      </c>
      <c r="H421" s="2043">
        <v>100000</v>
      </c>
      <c r="I421" s="2043">
        <v>92365</v>
      </c>
      <c r="J421">
        <v>1</v>
      </c>
      <c r="K421" s="2043">
        <v>100000</v>
      </c>
      <c r="L421" s="2043">
        <v>92365</v>
      </c>
      <c r="M421">
        <v>599</v>
      </c>
      <c r="N421">
        <v>1</v>
      </c>
    </row>
    <row r="422" spans="1:14">
      <c r="A422" t="s">
        <v>2906</v>
      </c>
      <c r="B422" t="s">
        <v>671</v>
      </c>
      <c r="C422" t="s">
        <v>2278</v>
      </c>
      <c r="D422" s="41">
        <v>4</v>
      </c>
      <c r="E422" s="41">
        <v>1636</v>
      </c>
      <c r="F422" s="41" t="s">
        <v>3571</v>
      </c>
      <c r="G422" s="41" t="s">
        <v>3571</v>
      </c>
      <c r="H422" s="2043">
        <v>100000</v>
      </c>
      <c r="I422" s="2043">
        <v>0</v>
      </c>
      <c r="J422">
        <v>0</v>
      </c>
      <c r="K422" s="2043">
        <v>0</v>
      </c>
      <c r="L422" s="2043">
        <v>0</v>
      </c>
      <c r="M422">
        <v>599</v>
      </c>
      <c r="N422">
        <v>0</v>
      </c>
    </row>
    <row r="423" spans="1:14">
      <c r="A423" t="s">
        <v>2906</v>
      </c>
      <c r="B423" t="s">
        <v>671</v>
      </c>
      <c r="C423" t="s">
        <v>2278</v>
      </c>
      <c r="D423" s="41">
        <v>4</v>
      </c>
      <c r="E423" s="41">
        <v>1636</v>
      </c>
      <c r="F423" s="41" t="s">
        <v>3571</v>
      </c>
      <c r="G423" s="41" t="s">
        <v>3572</v>
      </c>
      <c r="H423" s="2043">
        <v>100000</v>
      </c>
      <c r="I423" s="2043">
        <v>94113</v>
      </c>
      <c r="J423">
        <v>1</v>
      </c>
      <c r="K423" s="2043">
        <v>100000</v>
      </c>
      <c r="L423" s="2043">
        <v>94113</v>
      </c>
      <c r="M423">
        <v>599</v>
      </c>
      <c r="N423">
        <v>1</v>
      </c>
    </row>
    <row r="424" spans="1:14">
      <c r="A424" t="s">
        <v>2907</v>
      </c>
      <c r="B424" t="s">
        <v>724</v>
      </c>
      <c r="C424" t="s">
        <v>1007</v>
      </c>
      <c r="D424" s="41">
        <v>1</v>
      </c>
      <c r="E424" s="41">
        <v>1777</v>
      </c>
      <c r="F424" s="41" t="s">
        <v>3573</v>
      </c>
      <c r="G424" s="41" t="s">
        <v>3573</v>
      </c>
      <c r="H424" s="2043">
        <v>209945</v>
      </c>
      <c r="I424" s="2043">
        <v>0</v>
      </c>
      <c r="J424">
        <v>0</v>
      </c>
      <c r="K424" s="2043">
        <v>0</v>
      </c>
      <c r="L424" s="2043">
        <v>0</v>
      </c>
      <c r="M424">
        <v>599</v>
      </c>
      <c r="N424">
        <v>0</v>
      </c>
    </row>
    <row r="425" spans="1:14">
      <c r="A425" t="s">
        <v>2907</v>
      </c>
      <c r="B425" t="s">
        <v>724</v>
      </c>
      <c r="C425" t="s">
        <v>1007</v>
      </c>
      <c r="D425" s="41">
        <v>1</v>
      </c>
      <c r="E425" s="41">
        <v>1777</v>
      </c>
      <c r="F425" s="41" t="s">
        <v>3573</v>
      </c>
      <c r="G425" s="41" t="s">
        <v>3574</v>
      </c>
      <c r="H425" s="2043">
        <v>209945</v>
      </c>
      <c r="I425" s="2043">
        <v>0</v>
      </c>
      <c r="J425">
        <v>0</v>
      </c>
      <c r="K425" s="2043">
        <v>0</v>
      </c>
      <c r="L425" s="2043">
        <v>0</v>
      </c>
      <c r="M425">
        <v>599</v>
      </c>
      <c r="N425">
        <v>0</v>
      </c>
    </row>
    <row r="426" spans="1:14">
      <c r="A426" t="s">
        <v>2907</v>
      </c>
      <c r="B426" t="s">
        <v>724</v>
      </c>
      <c r="C426" t="s">
        <v>1007</v>
      </c>
      <c r="D426" s="41">
        <v>1</v>
      </c>
      <c r="E426" s="41">
        <v>1777</v>
      </c>
      <c r="F426" s="41" t="s">
        <v>3573</v>
      </c>
      <c r="G426" s="41" t="s">
        <v>3575</v>
      </c>
      <c r="H426" s="2043">
        <v>209945</v>
      </c>
      <c r="I426" s="2043">
        <v>365400</v>
      </c>
      <c r="J426">
        <v>1</v>
      </c>
      <c r="K426" s="2043">
        <v>209945</v>
      </c>
      <c r="L426" s="2043">
        <v>209945</v>
      </c>
      <c r="M426">
        <v>599</v>
      </c>
      <c r="N426">
        <v>1</v>
      </c>
    </row>
    <row r="427" spans="1:14">
      <c r="A427" t="s">
        <v>2907</v>
      </c>
      <c r="B427" t="s">
        <v>724</v>
      </c>
      <c r="C427" t="s">
        <v>1007</v>
      </c>
      <c r="D427" s="41">
        <v>9</v>
      </c>
      <c r="E427" s="41">
        <v>1778</v>
      </c>
      <c r="F427" s="41" t="s">
        <v>3576</v>
      </c>
      <c r="G427" s="41" t="s">
        <v>3576</v>
      </c>
      <c r="H427" s="2043">
        <v>323704</v>
      </c>
      <c r="I427" s="2043">
        <v>0</v>
      </c>
      <c r="J427">
        <v>0</v>
      </c>
      <c r="K427" s="2043">
        <v>0</v>
      </c>
      <c r="L427" s="2043">
        <v>0</v>
      </c>
      <c r="M427">
        <v>599</v>
      </c>
      <c r="N427">
        <v>1</v>
      </c>
    </row>
    <row r="428" spans="1:14">
      <c r="A428" t="s">
        <v>2907</v>
      </c>
      <c r="B428" t="s">
        <v>724</v>
      </c>
      <c r="C428" t="s">
        <v>1007</v>
      </c>
      <c r="D428" s="41">
        <v>9</v>
      </c>
      <c r="E428" s="41">
        <v>1778</v>
      </c>
      <c r="F428" s="41" t="s">
        <v>3576</v>
      </c>
      <c r="G428" s="41" t="s">
        <v>3577</v>
      </c>
      <c r="H428" s="2043">
        <v>323704</v>
      </c>
      <c r="I428" s="2043">
        <v>424950</v>
      </c>
      <c r="J428">
        <v>0.40675775921893298</v>
      </c>
      <c r="K428" s="2043">
        <v>131669.113690206</v>
      </c>
      <c r="L428" s="2043">
        <v>131669.113690206</v>
      </c>
      <c r="M428">
        <v>599</v>
      </c>
      <c r="N428">
        <v>1</v>
      </c>
    </row>
    <row r="429" spans="1:14">
      <c r="A429" t="s">
        <v>2907</v>
      </c>
      <c r="B429" t="s">
        <v>724</v>
      </c>
      <c r="C429" t="s">
        <v>1007</v>
      </c>
      <c r="D429" s="41">
        <v>9</v>
      </c>
      <c r="E429" s="41">
        <v>1778</v>
      </c>
      <c r="F429" s="41" t="s">
        <v>3576</v>
      </c>
      <c r="G429" s="41" t="s">
        <v>5545</v>
      </c>
      <c r="H429" s="2043">
        <v>323704</v>
      </c>
      <c r="I429" s="2043">
        <v>619775</v>
      </c>
      <c r="J429">
        <v>0.59324224078106702</v>
      </c>
      <c r="K429" s="2043">
        <v>192034.886309794</v>
      </c>
      <c r="L429" s="2043">
        <v>192034.886309794</v>
      </c>
      <c r="M429">
        <v>599</v>
      </c>
      <c r="N429">
        <v>1</v>
      </c>
    </row>
    <row r="430" spans="1:14">
      <c r="A430" t="s">
        <v>2907</v>
      </c>
      <c r="B430" t="s">
        <v>724</v>
      </c>
      <c r="C430" t="s">
        <v>1007</v>
      </c>
      <c r="D430" s="41">
        <v>10</v>
      </c>
      <c r="E430" s="41">
        <v>1776</v>
      </c>
      <c r="F430" s="41" t="s">
        <v>3578</v>
      </c>
      <c r="G430" s="41" t="s">
        <v>3578</v>
      </c>
      <c r="H430" s="2043">
        <v>160450</v>
      </c>
      <c r="I430" s="2043">
        <v>0</v>
      </c>
      <c r="J430">
        <v>0</v>
      </c>
      <c r="K430" s="2043">
        <v>0</v>
      </c>
      <c r="L430" s="2043">
        <v>0</v>
      </c>
      <c r="M430">
        <v>599</v>
      </c>
      <c r="N430">
        <v>1</v>
      </c>
    </row>
    <row r="431" spans="1:14">
      <c r="A431" t="s">
        <v>2907</v>
      </c>
      <c r="B431" t="s">
        <v>724</v>
      </c>
      <c r="C431" t="s">
        <v>1007</v>
      </c>
      <c r="D431" s="41">
        <v>10</v>
      </c>
      <c r="E431" s="41">
        <v>1776</v>
      </c>
      <c r="F431" s="41" t="s">
        <v>3578</v>
      </c>
      <c r="G431" s="41" t="s">
        <v>9308</v>
      </c>
      <c r="H431" s="2043">
        <v>160450</v>
      </c>
      <c r="I431" s="2043">
        <v>100050</v>
      </c>
      <c r="J431">
        <v>1</v>
      </c>
      <c r="K431" s="2043">
        <v>160450</v>
      </c>
      <c r="L431" s="2043">
        <v>100050</v>
      </c>
      <c r="M431">
        <v>599</v>
      </c>
      <c r="N431">
        <v>1</v>
      </c>
    </row>
    <row r="432" spans="1:14">
      <c r="A432" t="s">
        <v>2908</v>
      </c>
      <c r="B432" t="s">
        <v>633</v>
      </c>
      <c r="C432" t="s">
        <v>1506</v>
      </c>
      <c r="D432" s="41">
        <v>9</v>
      </c>
      <c r="E432" s="41">
        <v>2345</v>
      </c>
      <c r="F432" s="41" t="s">
        <v>3579</v>
      </c>
      <c r="G432" s="41" t="s">
        <v>3579</v>
      </c>
      <c r="H432" s="2043">
        <v>110365</v>
      </c>
      <c r="I432" s="2043">
        <v>0</v>
      </c>
      <c r="J432">
        <v>0</v>
      </c>
      <c r="K432" s="2043">
        <v>0</v>
      </c>
      <c r="L432" s="2043">
        <v>0</v>
      </c>
      <c r="M432">
        <v>599</v>
      </c>
      <c r="N432">
        <v>1</v>
      </c>
    </row>
    <row r="433" spans="1:14">
      <c r="A433" t="s">
        <v>2908</v>
      </c>
      <c r="B433" t="s">
        <v>633</v>
      </c>
      <c r="C433" t="s">
        <v>1506</v>
      </c>
      <c r="D433" s="41">
        <v>9</v>
      </c>
      <c r="E433" s="41">
        <v>2345</v>
      </c>
      <c r="F433" s="41" t="s">
        <v>3579</v>
      </c>
      <c r="G433" s="41" t="s">
        <v>5546</v>
      </c>
      <c r="H433" s="2043">
        <v>110365</v>
      </c>
      <c r="I433" s="2043">
        <v>512250</v>
      </c>
      <c r="J433">
        <v>1</v>
      </c>
      <c r="K433" s="2043">
        <v>110365</v>
      </c>
      <c r="L433" s="2043">
        <v>110365</v>
      </c>
      <c r="M433">
        <v>599</v>
      </c>
      <c r="N433">
        <v>1</v>
      </c>
    </row>
    <row r="434" spans="1:14">
      <c r="A434" t="s">
        <v>2909</v>
      </c>
      <c r="B434" t="s">
        <v>1778</v>
      </c>
      <c r="C434" t="s">
        <v>124</v>
      </c>
      <c r="D434" s="41">
        <v>2</v>
      </c>
      <c r="E434" s="41">
        <v>1655</v>
      </c>
      <c r="F434" s="41" t="s">
        <v>3580</v>
      </c>
      <c r="G434" s="41" t="s">
        <v>3580</v>
      </c>
      <c r="H434" s="2043">
        <v>546449</v>
      </c>
      <c r="I434" s="2043">
        <v>0</v>
      </c>
      <c r="J434">
        <v>0</v>
      </c>
      <c r="K434" s="2043">
        <v>0</v>
      </c>
      <c r="L434" s="2043">
        <v>0</v>
      </c>
      <c r="M434">
        <v>599</v>
      </c>
      <c r="N434">
        <v>0</v>
      </c>
    </row>
    <row r="435" spans="1:14">
      <c r="A435" t="s">
        <v>2909</v>
      </c>
      <c r="B435" t="s">
        <v>1778</v>
      </c>
      <c r="C435" t="s">
        <v>124</v>
      </c>
      <c r="D435" s="41">
        <v>2</v>
      </c>
      <c r="E435" s="41">
        <v>1655</v>
      </c>
      <c r="F435" s="41" t="s">
        <v>3580</v>
      </c>
      <c r="G435" s="41" t="s">
        <v>3581</v>
      </c>
      <c r="H435" s="2043">
        <v>546449</v>
      </c>
      <c r="I435" s="2043">
        <v>0</v>
      </c>
      <c r="J435">
        <v>0</v>
      </c>
      <c r="K435" s="2043">
        <v>0</v>
      </c>
      <c r="L435" s="2043">
        <v>0</v>
      </c>
      <c r="M435">
        <v>599</v>
      </c>
      <c r="N435">
        <v>1</v>
      </c>
    </row>
    <row r="436" spans="1:14">
      <c r="A436" t="s">
        <v>2909</v>
      </c>
      <c r="B436" t="s">
        <v>1778</v>
      </c>
      <c r="C436" t="s">
        <v>124</v>
      </c>
      <c r="D436" s="41">
        <v>2</v>
      </c>
      <c r="E436" s="41">
        <v>1655</v>
      </c>
      <c r="F436" s="41" t="s">
        <v>3580</v>
      </c>
      <c r="G436" s="41" t="s">
        <v>5547</v>
      </c>
      <c r="H436" s="2043">
        <v>546449</v>
      </c>
      <c r="I436" s="2043">
        <v>490440</v>
      </c>
      <c r="J436">
        <v>1</v>
      </c>
      <c r="K436" s="2043">
        <v>546449</v>
      </c>
      <c r="L436" s="2043">
        <v>490440</v>
      </c>
      <c r="M436">
        <v>599</v>
      </c>
      <c r="N436">
        <v>1</v>
      </c>
    </row>
    <row r="437" spans="1:14">
      <c r="A437" t="s">
        <v>3582</v>
      </c>
      <c r="B437" t="s">
        <v>331</v>
      </c>
      <c r="C437" t="s">
        <v>276</v>
      </c>
      <c r="D437" s="41">
        <v>1</v>
      </c>
      <c r="E437" s="41">
        <v>2062</v>
      </c>
      <c r="F437" s="41" t="s">
        <v>3583</v>
      </c>
      <c r="G437" s="41" t="s">
        <v>3583</v>
      </c>
      <c r="H437" s="2043">
        <v>539135</v>
      </c>
      <c r="I437" s="2043">
        <v>0</v>
      </c>
      <c r="J437">
        <v>0</v>
      </c>
      <c r="L437" s="2043">
        <v>0</v>
      </c>
      <c r="M437">
        <v>599</v>
      </c>
      <c r="N437">
        <v>0</v>
      </c>
    </row>
    <row r="438" spans="1:14">
      <c r="A438" t="s">
        <v>2910</v>
      </c>
      <c r="B438" t="s">
        <v>431</v>
      </c>
      <c r="C438" t="s">
        <v>2104</v>
      </c>
      <c r="D438" s="41">
        <v>1</v>
      </c>
      <c r="E438" s="41">
        <v>2030</v>
      </c>
      <c r="F438" s="41" t="s">
        <v>3584</v>
      </c>
      <c r="G438" s="41" t="s">
        <v>3584</v>
      </c>
      <c r="H438" s="2043">
        <v>930541</v>
      </c>
      <c r="I438" s="2043">
        <v>0</v>
      </c>
      <c r="J438">
        <v>0</v>
      </c>
      <c r="K438" s="2043">
        <v>0</v>
      </c>
      <c r="L438" s="2043">
        <v>0</v>
      </c>
      <c r="M438">
        <v>599</v>
      </c>
      <c r="N438">
        <v>0</v>
      </c>
    </row>
    <row r="439" spans="1:14">
      <c r="A439" t="s">
        <v>2910</v>
      </c>
      <c r="B439" t="s">
        <v>431</v>
      </c>
      <c r="C439" t="s">
        <v>2104</v>
      </c>
      <c r="D439" s="41">
        <v>1</v>
      </c>
      <c r="E439" s="41">
        <v>2030</v>
      </c>
      <c r="F439" s="41" t="s">
        <v>3584</v>
      </c>
      <c r="G439" s="41" t="s">
        <v>3585</v>
      </c>
      <c r="H439" s="2043">
        <v>930541</v>
      </c>
      <c r="I439" s="2043">
        <v>949489</v>
      </c>
      <c r="J439">
        <v>0.83986406339698205</v>
      </c>
      <c r="K439" s="2043">
        <v>781527.94541749102</v>
      </c>
      <c r="L439" s="2043">
        <v>781527.94541749102</v>
      </c>
      <c r="M439">
        <v>599</v>
      </c>
      <c r="N439">
        <v>1</v>
      </c>
    </row>
    <row r="440" spans="1:14">
      <c r="A440" t="s">
        <v>2910</v>
      </c>
      <c r="B440" t="s">
        <v>431</v>
      </c>
      <c r="C440" t="s">
        <v>2104</v>
      </c>
      <c r="D440" s="41">
        <v>1</v>
      </c>
      <c r="E440" s="41">
        <v>2030</v>
      </c>
      <c r="F440" s="41" t="s">
        <v>3584</v>
      </c>
      <c r="G440" s="41" t="s">
        <v>3586</v>
      </c>
      <c r="H440" s="2043">
        <v>930541</v>
      </c>
      <c r="I440" s="2043">
        <v>181038</v>
      </c>
      <c r="J440">
        <v>0.160135936603018</v>
      </c>
      <c r="K440" s="2043">
        <v>149013.05458250901</v>
      </c>
      <c r="L440" s="2043">
        <v>149013.05458250901</v>
      </c>
      <c r="M440">
        <v>599</v>
      </c>
      <c r="N440">
        <v>1</v>
      </c>
    </row>
    <row r="441" spans="1:14">
      <c r="A441" t="s">
        <v>2910</v>
      </c>
      <c r="B441" t="s">
        <v>431</v>
      </c>
      <c r="C441" t="s">
        <v>2104</v>
      </c>
      <c r="D441" s="41">
        <v>6</v>
      </c>
      <c r="E441" s="41">
        <v>2031</v>
      </c>
      <c r="F441" s="41" t="s">
        <v>3587</v>
      </c>
      <c r="G441" s="41" t="s">
        <v>3587</v>
      </c>
      <c r="H441" s="2043">
        <v>954099</v>
      </c>
      <c r="I441" s="2043">
        <v>0</v>
      </c>
      <c r="J441">
        <v>0</v>
      </c>
      <c r="K441" s="2043">
        <v>0</v>
      </c>
      <c r="L441" s="2043">
        <v>0</v>
      </c>
      <c r="M441">
        <v>599</v>
      </c>
      <c r="N441">
        <v>0</v>
      </c>
    </row>
    <row r="442" spans="1:14">
      <c r="A442" t="s">
        <v>2910</v>
      </c>
      <c r="B442" t="s">
        <v>431</v>
      </c>
      <c r="C442" t="s">
        <v>2104</v>
      </c>
      <c r="D442" s="41">
        <v>6</v>
      </c>
      <c r="E442" s="41">
        <v>2031</v>
      </c>
      <c r="F442" s="41" t="s">
        <v>3587</v>
      </c>
      <c r="G442" s="41" t="s">
        <v>3588</v>
      </c>
      <c r="H442" s="2043">
        <v>954099</v>
      </c>
      <c r="I442" s="2043">
        <v>975018</v>
      </c>
      <c r="J442">
        <v>1</v>
      </c>
      <c r="K442" s="2043">
        <v>954099</v>
      </c>
      <c r="L442" s="2043">
        <v>954099</v>
      </c>
      <c r="M442">
        <v>599</v>
      </c>
      <c r="N442">
        <v>1</v>
      </c>
    </row>
    <row r="443" spans="1:14">
      <c r="A443" t="s">
        <v>2910</v>
      </c>
      <c r="B443" t="s">
        <v>431</v>
      </c>
      <c r="C443" t="s">
        <v>2104</v>
      </c>
      <c r="D443" s="41">
        <v>6</v>
      </c>
      <c r="E443" s="41">
        <v>2031</v>
      </c>
      <c r="F443" s="41" t="s">
        <v>3587</v>
      </c>
      <c r="G443" s="41" t="s">
        <v>3589</v>
      </c>
      <c r="H443" s="2043">
        <v>954099</v>
      </c>
      <c r="I443" s="2043">
        <v>0</v>
      </c>
      <c r="J443">
        <v>0</v>
      </c>
      <c r="K443" s="2043">
        <v>0</v>
      </c>
      <c r="L443" s="2043">
        <v>0</v>
      </c>
      <c r="M443">
        <v>599</v>
      </c>
      <c r="N443">
        <v>1</v>
      </c>
    </row>
    <row r="444" spans="1:14">
      <c r="A444" t="s">
        <v>2911</v>
      </c>
      <c r="B444" t="s">
        <v>1084</v>
      </c>
      <c r="C444" t="s">
        <v>792</v>
      </c>
      <c r="D444" s="41">
        <v>5</v>
      </c>
      <c r="E444" s="41">
        <v>2043</v>
      </c>
      <c r="F444" s="41" t="s">
        <v>3590</v>
      </c>
      <c r="G444" s="41" t="s">
        <v>3590</v>
      </c>
      <c r="H444" s="2043">
        <v>352232</v>
      </c>
      <c r="I444" s="2043">
        <v>0</v>
      </c>
      <c r="J444">
        <v>0</v>
      </c>
      <c r="K444" s="2043">
        <v>0</v>
      </c>
      <c r="L444" s="2043">
        <v>0</v>
      </c>
      <c r="M444">
        <v>599</v>
      </c>
      <c r="N444">
        <v>0</v>
      </c>
    </row>
    <row r="445" spans="1:14">
      <c r="A445" t="s">
        <v>2911</v>
      </c>
      <c r="B445" t="s">
        <v>1084</v>
      </c>
      <c r="C445" t="s">
        <v>792</v>
      </c>
      <c r="D445" s="41">
        <v>5</v>
      </c>
      <c r="E445" s="41">
        <v>2043</v>
      </c>
      <c r="F445" s="41" t="s">
        <v>3590</v>
      </c>
      <c r="G445" s="41" t="s">
        <v>3591</v>
      </c>
      <c r="H445" s="2043">
        <v>352232</v>
      </c>
      <c r="I445" s="2043">
        <v>0</v>
      </c>
      <c r="J445">
        <v>0</v>
      </c>
      <c r="K445" s="2043">
        <v>0</v>
      </c>
      <c r="L445" s="2043">
        <v>0</v>
      </c>
      <c r="M445">
        <v>599</v>
      </c>
      <c r="N445">
        <v>1</v>
      </c>
    </row>
    <row r="446" spans="1:14">
      <c r="A446" t="s">
        <v>2911</v>
      </c>
      <c r="B446" t="s">
        <v>1084</v>
      </c>
      <c r="C446" t="s">
        <v>792</v>
      </c>
      <c r="D446" s="41">
        <v>5</v>
      </c>
      <c r="E446" s="41">
        <v>2043</v>
      </c>
      <c r="F446" s="41" t="s">
        <v>3590</v>
      </c>
      <c r="G446" s="41" t="s">
        <v>5548</v>
      </c>
      <c r="H446" s="2043">
        <v>352232</v>
      </c>
      <c r="I446" s="2043">
        <v>332250</v>
      </c>
      <c r="J446">
        <v>1</v>
      </c>
      <c r="K446" s="2043">
        <v>352232</v>
      </c>
      <c r="L446" s="2043">
        <v>332250</v>
      </c>
      <c r="M446">
        <v>599</v>
      </c>
      <c r="N446">
        <v>1</v>
      </c>
    </row>
    <row r="447" spans="1:14">
      <c r="A447" t="s">
        <v>2912</v>
      </c>
      <c r="B447" t="s">
        <v>672</v>
      </c>
      <c r="C447" t="s">
        <v>29</v>
      </c>
      <c r="D447" s="41">
        <v>4</v>
      </c>
      <c r="E447" s="41">
        <v>1703</v>
      </c>
      <c r="F447" s="41" t="s">
        <v>3592</v>
      </c>
      <c r="G447" s="41" t="s">
        <v>3592</v>
      </c>
      <c r="H447" s="2043">
        <v>375000</v>
      </c>
      <c r="I447" s="2043">
        <v>0</v>
      </c>
      <c r="J447">
        <v>0</v>
      </c>
      <c r="K447" s="2043">
        <v>0</v>
      </c>
      <c r="L447" s="2043">
        <v>0</v>
      </c>
      <c r="M447">
        <v>599</v>
      </c>
      <c r="N447">
        <v>0</v>
      </c>
    </row>
    <row r="448" spans="1:14">
      <c r="A448" t="s">
        <v>2912</v>
      </c>
      <c r="B448" t="s">
        <v>672</v>
      </c>
      <c r="C448" t="s">
        <v>29</v>
      </c>
      <c r="D448" s="41">
        <v>4</v>
      </c>
      <c r="E448" s="41">
        <v>1703</v>
      </c>
      <c r="F448" s="41" t="s">
        <v>3592</v>
      </c>
      <c r="G448" s="41" t="s">
        <v>3593</v>
      </c>
      <c r="H448" s="2043">
        <v>375000</v>
      </c>
      <c r="I448" s="2043">
        <v>0</v>
      </c>
      <c r="J448">
        <v>0</v>
      </c>
      <c r="K448" s="2043">
        <v>0</v>
      </c>
      <c r="L448" s="2043">
        <v>0</v>
      </c>
      <c r="M448">
        <v>599</v>
      </c>
      <c r="N448">
        <v>0</v>
      </c>
    </row>
    <row r="449" spans="1:14">
      <c r="A449" t="s">
        <v>2912</v>
      </c>
      <c r="B449" t="s">
        <v>672</v>
      </c>
      <c r="C449" t="s">
        <v>29</v>
      </c>
      <c r="D449" s="41">
        <v>4</v>
      </c>
      <c r="E449" s="41">
        <v>1703</v>
      </c>
      <c r="F449" s="41" t="s">
        <v>3592</v>
      </c>
      <c r="G449" s="41" t="s">
        <v>5358</v>
      </c>
      <c r="H449" s="2043">
        <v>375000</v>
      </c>
      <c r="I449" s="2043">
        <v>436661</v>
      </c>
      <c r="J449">
        <v>1</v>
      </c>
      <c r="K449" s="2043">
        <v>375000</v>
      </c>
      <c r="L449" s="2043">
        <v>375000</v>
      </c>
      <c r="M449">
        <v>599</v>
      </c>
      <c r="N449">
        <v>1</v>
      </c>
    </row>
    <row r="450" spans="1:14">
      <c r="A450" t="s">
        <v>2912</v>
      </c>
      <c r="B450" t="s">
        <v>672</v>
      </c>
      <c r="C450" t="s">
        <v>29</v>
      </c>
      <c r="D450" s="41">
        <v>9</v>
      </c>
      <c r="E450" s="41">
        <v>1702</v>
      </c>
      <c r="F450" s="41" t="s">
        <v>3594</v>
      </c>
      <c r="G450" s="41" t="s">
        <v>3594</v>
      </c>
      <c r="H450" s="2043">
        <v>342278</v>
      </c>
      <c r="I450" s="2043">
        <v>0</v>
      </c>
      <c r="J450">
        <v>0</v>
      </c>
      <c r="K450" s="2043">
        <v>0</v>
      </c>
      <c r="L450" s="2043">
        <v>0</v>
      </c>
      <c r="M450">
        <v>599</v>
      </c>
      <c r="N450">
        <v>1</v>
      </c>
    </row>
    <row r="451" spans="1:14">
      <c r="A451" t="s">
        <v>2912</v>
      </c>
      <c r="B451" t="s">
        <v>672</v>
      </c>
      <c r="C451" t="s">
        <v>29</v>
      </c>
      <c r="D451" s="41">
        <v>9</v>
      </c>
      <c r="E451" s="41">
        <v>1702</v>
      </c>
      <c r="F451" s="41" t="s">
        <v>3594</v>
      </c>
      <c r="G451" s="41" t="s">
        <v>5358</v>
      </c>
      <c r="H451" s="2043">
        <v>342278</v>
      </c>
      <c r="I451" s="2043">
        <v>137741</v>
      </c>
      <c r="J451">
        <v>0.467054802416976</v>
      </c>
      <c r="K451" s="2043">
        <v>159862.58366167801</v>
      </c>
      <c r="L451" s="2043">
        <v>137741</v>
      </c>
      <c r="M451">
        <v>599</v>
      </c>
      <c r="N451">
        <v>1</v>
      </c>
    </row>
    <row r="452" spans="1:14">
      <c r="A452" t="s">
        <v>2912</v>
      </c>
      <c r="B452" t="s">
        <v>672</v>
      </c>
      <c r="C452" t="s">
        <v>29</v>
      </c>
      <c r="D452" s="41">
        <v>9</v>
      </c>
      <c r="E452" s="41">
        <v>1702</v>
      </c>
      <c r="F452" s="41" t="s">
        <v>3594</v>
      </c>
      <c r="G452" s="41" t="s">
        <v>5359</v>
      </c>
      <c r="H452" s="2043">
        <v>342278</v>
      </c>
      <c r="I452" s="2043">
        <v>157173</v>
      </c>
      <c r="J452">
        <v>0.53294519758302406</v>
      </c>
      <c r="K452" s="2043">
        <v>182415.41633832199</v>
      </c>
      <c r="L452" s="2043">
        <v>157173</v>
      </c>
      <c r="M452">
        <v>599</v>
      </c>
      <c r="N452">
        <v>1</v>
      </c>
    </row>
    <row r="453" spans="1:14">
      <c r="A453" t="s">
        <v>2913</v>
      </c>
      <c r="B453" t="s">
        <v>139</v>
      </c>
      <c r="C453" t="s">
        <v>1510</v>
      </c>
      <c r="D453" s="41">
        <v>9</v>
      </c>
      <c r="E453" s="41">
        <v>1589</v>
      </c>
      <c r="F453" s="41" t="s">
        <v>3595</v>
      </c>
      <c r="G453" s="41" t="s">
        <v>3595</v>
      </c>
      <c r="H453" s="2043">
        <v>94523</v>
      </c>
      <c r="I453" s="2043">
        <v>94970</v>
      </c>
      <c r="J453">
        <v>0.52262584128067302</v>
      </c>
      <c r="K453" s="2043">
        <v>49400.162395373001</v>
      </c>
      <c r="L453" s="2043">
        <v>49400.162395373001</v>
      </c>
      <c r="M453">
        <v>599</v>
      </c>
      <c r="N453">
        <v>1</v>
      </c>
    </row>
    <row r="454" spans="1:14">
      <c r="A454" t="s">
        <v>2913</v>
      </c>
      <c r="B454" t="s">
        <v>139</v>
      </c>
      <c r="C454" t="s">
        <v>1510</v>
      </c>
      <c r="D454" s="41">
        <v>9</v>
      </c>
      <c r="E454" s="41">
        <v>1589</v>
      </c>
      <c r="F454" s="41" t="s">
        <v>3595</v>
      </c>
      <c r="G454" s="41" t="s">
        <v>7127</v>
      </c>
      <c r="H454" s="2043">
        <v>94523</v>
      </c>
      <c r="I454" s="2043">
        <v>86747</v>
      </c>
      <c r="J454">
        <v>0.47737415871932698</v>
      </c>
      <c r="K454" s="2043">
        <v>45122.837604626999</v>
      </c>
      <c r="L454" s="2043">
        <v>45122.837604626999</v>
      </c>
      <c r="M454">
        <v>599</v>
      </c>
      <c r="N454">
        <v>1</v>
      </c>
    </row>
    <row r="455" spans="1:14">
      <c r="A455" t="s">
        <v>2914</v>
      </c>
      <c r="B455" t="s">
        <v>834</v>
      </c>
      <c r="C455" t="s">
        <v>2490</v>
      </c>
      <c r="D455" s="41">
        <v>3</v>
      </c>
      <c r="E455" s="41">
        <v>1642</v>
      </c>
      <c r="F455" s="41" t="s">
        <v>3596</v>
      </c>
      <c r="G455" s="41" t="s">
        <v>3596</v>
      </c>
      <c r="H455" s="2043">
        <v>2472263</v>
      </c>
      <c r="I455" s="2043">
        <v>0</v>
      </c>
      <c r="J455">
        <v>0</v>
      </c>
      <c r="K455" s="2043">
        <v>0</v>
      </c>
      <c r="L455" s="2043">
        <v>0</v>
      </c>
      <c r="M455">
        <v>599</v>
      </c>
      <c r="N455">
        <v>0</v>
      </c>
    </row>
    <row r="456" spans="1:14">
      <c r="A456" t="s">
        <v>2914</v>
      </c>
      <c r="B456" t="s">
        <v>834</v>
      </c>
      <c r="C456" t="s">
        <v>2490</v>
      </c>
      <c r="D456" s="41">
        <v>3</v>
      </c>
      <c r="E456" s="41">
        <v>1642</v>
      </c>
      <c r="F456" s="41" t="s">
        <v>3596</v>
      </c>
      <c r="G456" s="41" t="s">
        <v>3597</v>
      </c>
      <c r="H456" s="2043">
        <v>2472263</v>
      </c>
      <c r="I456" s="2043">
        <v>0</v>
      </c>
      <c r="J456">
        <v>0</v>
      </c>
      <c r="K456" s="2043">
        <v>0</v>
      </c>
      <c r="L456" s="2043">
        <v>0</v>
      </c>
      <c r="M456">
        <v>599</v>
      </c>
      <c r="N456">
        <v>0</v>
      </c>
    </row>
    <row r="457" spans="1:14">
      <c r="A457" t="s">
        <v>2914</v>
      </c>
      <c r="B457" t="s">
        <v>834</v>
      </c>
      <c r="C457" t="s">
        <v>2490</v>
      </c>
      <c r="D457" s="41">
        <v>3</v>
      </c>
      <c r="E457" s="41">
        <v>1642</v>
      </c>
      <c r="F457" s="41" t="s">
        <v>3596</v>
      </c>
      <c r="G457" s="41" t="s">
        <v>3598</v>
      </c>
      <c r="H457" s="2043">
        <v>2472263</v>
      </c>
      <c r="I457" s="2043">
        <v>2064434</v>
      </c>
      <c r="J457">
        <v>0.84217409839208801</v>
      </c>
      <c r="K457" s="2043">
        <v>2082075.8630131199</v>
      </c>
      <c r="L457" s="2043">
        <v>2064434</v>
      </c>
      <c r="M457">
        <v>599</v>
      </c>
      <c r="N457">
        <v>1</v>
      </c>
    </row>
    <row r="458" spans="1:14">
      <c r="A458" t="s">
        <v>2914</v>
      </c>
      <c r="B458" t="s">
        <v>834</v>
      </c>
      <c r="C458" t="s">
        <v>2490</v>
      </c>
      <c r="D458" s="41">
        <v>3</v>
      </c>
      <c r="E458" s="41">
        <v>1642</v>
      </c>
      <c r="F458" s="41" t="s">
        <v>3596</v>
      </c>
      <c r="G458" s="41" t="s">
        <v>5360</v>
      </c>
      <c r="H458" s="2043">
        <v>2472263</v>
      </c>
      <c r="I458" s="2043">
        <v>248800</v>
      </c>
      <c r="J458">
        <v>0.101496543691855</v>
      </c>
      <c r="K458" s="2043">
        <v>250926.149597257</v>
      </c>
      <c r="L458" s="2043">
        <v>248800</v>
      </c>
      <c r="M458">
        <v>599</v>
      </c>
      <c r="N458">
        <v>1</v>
      </c>
    </row>
    <row r="459" spans="1:14">
      <c r="A459" t="s">
        <v>2914</v>
      </c>
      <c r="B459" t="s">
        <v>834</v>
      </c>
      <c r="C459" t="s">
        <v>2490</v>
      </c>
      <c r="D459" s="41">
        <v>3</v>
      </c>
      <c r="E459" s="41">
        <v>1642</v>
      </c>
      <c r="F459" s="41" t="s">
        <v>3596</v>
      </c>
      <c r="G459" s="41" t="s">
        <v>9309</v>
      </c>
      <c r="H459" s="2043">
        <v>2472263</v>
      </c>
      <c r="I459" s="2043">
        <v>138081</v>
      </c>
      <c r="J459">
        <v>5.6329357916057303E-2</v>
      </c>
      <c r="K459" s="2043">
        <v>139260.98738962601</v>
      </c>
      <c r="L459" s="2043">
        <v>138081</v>
      </c>
      <c r="M459">
        <v>599</v>
      </c>
      <c r="N459">
        <v>1</v>
      </c>
    </row>
    <row r="460" spans="1:14">
      <c r="A460" t="s">
        <v>2914</v>
      </c>
      <c r="B460" t="s">
        <v>834</v>
      </c>
      <c r="C460" t="s">
        <v>2490</v>
      </c>
      <c r="D460" s="41">
        <v>5</v>
      </c>
      <c r="E460" s="41">
        <v>1643</v>
      </c>
      <c r="F460" s="41" t="s">
        <v>3599</v>
      </c>
      <c r="G460" s="41" t="s">
        <v>3599</v>
      </c>
      <c r="H460" s="2043">
        <v>3118521</v>
      </c>
      <c r="I460" s="2043">
        <v>0</v>
      </c>
      <c r="J460">
        <v>0</v>
      </c>
      <c r="K460" s="2043">
        <v>0</v>
      </c>
      <c r="L460" s="2043">
        <v>0</v>
      </c>
      <c r="M460">
        <v>599</v>
      </c>
      <c r="N460">
        <v>0</v>
      </c>
    </row>
    <row r="461" spans="1:14">
      <c r="A461" t="s">
        <v>2914</v>
      </c>
      <c r="B461" t="s">
        <v>834</v>
      </c>
      <c r="C461" t="s">
        <v>2490</v>
      </c>
      <c r="D461" s="41">
        <v>5</v>
      </c>
      <c r="E461" s="41">
        <v>1643</v>
      </c>
      <c r="F461" s="41" t="s">
        <v>3599</v>
      </c>
      <c r="G461" s="41" t="s">
        <v>3597</v>
      </c>
      <c r="H461" s="2043">
        <v>3118521</v>
      </c>
      <c r="I461" s="2043">
        <v>0</v>
      </c>
      <c r="J461">
        <v>0</v>
      </c>
      <c r="K461" s="2043">
        <v>0</v>
      </c>
      <c r="L461" s="2043">
        <v>0</v>
      </c>
      <c r="M461">
        <v>599</v>
      </c>
      <c r="N461">
        <v>0</v>
      </c>
    </row>
    <row r="462" spans="1:14">
      <c r="A462" t="s">
        <v>2914</v>
      </c>
      <c r="B462" t="s">
        <v>834</v>
      </c>
      <c r="C462" t="s">
        <v>2490</v>
      </c>
      <c r="D462" s="41">
        <v>5</v>
      </c>
      <c r="E462" s="41">
        <v>1643</v>
      </c>
      <c r="F462" s="41" t="s">
        <v>3599</v>
      </c>
      <c r="G462" s="41" t="s">
        <v>3600</v>
      </c>
      <c r="H462" s="2043">
        <v>3118521</v>
      </c>
      <c r="I462" s="2043">
        <v>0</v>
      </c>
      <c r="J462">
        <v>0</v>
      </c>
      <c r="K462" s="2043">
        <v>0</v>
      </c>
      <c r="L462" s="2043">
        <v>0</v>
      </c>
      <c r="M462">
        <v>599</v>
      </c>
      <c r="N462">
        <v>1</v>
      </c>
    </row>
    <row r="463" spans="1:14">
      <c r="A463" t="s">
        <v>2914</v>
      </c>
      <c r="B463" t="s">
        <v>834</v>
      </c>
      <c r="C463" t="s">
        <v>2490</v>
      </c>
      <c r="D463" s="41">
        <v>5</v>
      </c>
      <c r="E463" s="41">
        <v>1643</v>
      </c>
      <c r="F463" s="41" t="s">
        <v>3599</v>
      </c>
      <c r="G463" s="41" t="s">
        <v>3598</v>
      </c>
      <c r="H463" s="2043">
        <v>3118521</v>
      </c>
      <c r="I463" s="2043">
        <v>2363547</v>
      </c>
      <c r="J463">
        <v>0.948087476629216</v>
      </c>
      <c r="K463" s="2043">
        <v>2956630.7057052199</v>
      </c>
      <c r="L463" s="2043">
        <v>2363547</v>
      </c>
      <c r="M463">
        <v>599</v>
      </c>
      <c r="N463">
        <v>1</v>
      </c>
    </row>
    <row r="464" spans="1:14">
      <c r="A464" t="s">
        <v>2914</v>
      </c>
      <c r="B464" t="s">
        <v>834</v>
      </c>
      <c r="C464" t="s">
        <v>2490</v>
      </c>
      <c r="D464" s="41">
        <v>5</v>
      </c>
      <c r="E464" s="41">
        <v>1643</v>
      </c>
      <c r="F464" s="41" t="s">
        <v>3599</v>
      </c>
      <c r="G464" s="41" t="s">
        <v>5360</v>
      </c>
      <c r="H464" s="2043">
        <v>3118521</v>
      </c>
      <c r="I464" s="2043">
        <v>0</v>
      </c>
      <c r="J464">
        <v>0</v>
      </c>
      <c r="K464" s="2043">
        <v>0</v>
      </c>
      <c r="L464" s="2043">
        <v>0</v>
      </c>
      <c r="M464">
        <v>599</v>
      </c>
      <c r="N464">
        <v>1</v>
      </c>
    </row>
    <row r="465" spans="1:14">
      <c r="A465" t="s">
        <v>2914</v>
      </c>
      <c r="B465" t="s">
        <v>834</v>
      </c>
      <c r="C465" t="s">
        <v>2490</v>
      </c>
      <c r="D465" s="41">
        <v>5</v>
      </c>
      <c r="E465" s="41">
        <v>1643</v>
      </c>
      <c r="F465" s="41" t="s">
        <v>3599</v>
      </c>
      <c r="G465" s="41" t="s">
        <v>9310</v>
      </c>
      <c r="H465" s="2043">
        <v>3118521</v>
      </c>
      <c r="I465" s="2043">
        <v>18892</v>
      </c>
      <c r="J465">
        <v>7.5781309229218403E-3</v>
      </c>
      <c r="K465" s="2043">
        <v>23632.560423881099</v>
      </c>
      <c r="L465" s="2043">
        <v>18892</v>
      </c>
      <c r="M465">
        <v>599</v>
      </c>
      <c r="N465">
        <v>1</v>
      </c>
    </row>
    <row r="466" spans="1:14">
      <c r="A466" t="s">
        <v>2914</v>
      </c>
      <c r="B466" t="s">
        <v>834</v>
      </c>
      <c r="C466" t="s">
        <v>2490</v>
      </c>
      <c r="D466" s="41">
        <v>5</v>
      </c>
      <c r="E466" s="41">
        <v>1643</v>
      </c>
      <c r="F466" s="41" t="s">
        <v>3599</v>
      </c>
      <c r="G466" s="41" t="s">
        <v>9309</v>
      </c>
      <c r="H466" s="2043">
        <v>3118521</v>
      </c>
      <c r="I466" s="2043">
        <v>110524</v>
      </c>
      <c r="J466">
        <v>4.4334392447862199E-2</v>
      </c>
      <c r="K466" s="2043">
        <v>138257.7338709</v>
      </c>
      <c r="L466" s="2043">
        <v>110524</v>
      </c>
      <c r="M466">
        <v>599</v>
      </c>
      <c r="N466">
        <v>1</v>
      </c>
    </row>
    <row r="467" spans="1:14">
      <c r="A467" t="s">
        <v>2914</v>
      </c>
      <c r="B467" t="s">
        <v>834</v>
      </c>
      <c r="C467" t="s">
        <v>2490</v>
      </c>
      <c r="D467" s="41">
        <v>8</v>
      </c>
      <c r="E467" s="41">
        <v>1644</v>
      </c>
      <c r="F467" s="41" t="s">
        <v>3601</v>
      </c>
      <c r="G467" s="41" t="s">
        <v>3601</v>
      </c>
      <c r="H467" s="2043">
        <v>9847713</v>
      </c>
      <c r="I467" s="2043">
        <v>0</v>
      </c>
      <c r="J467">
        <v>0</v>
      </c>
      <c r="K467" s="2043">
        <v>0</v>
      </c>
      <c r="L467" s="2043">
        <v>0</v>
      </c>
      <c r="M467">
        <v>599</v>
      </c>
      <c r="N467">
        <v>1</v>
      </c>
    </row>
    <row r="468" spans="1:14">
      <c r="A468" t="s">
        <v>2914</v>
      </c>
      <c r="B468" t="s">
        <v>834</v>
      </c>
      <c r="C468" t="s">
        <v>2490</v>
      </c>
      <c r="D468" s="41">
        <v>8</v>
      </c>
      <c r="E468" s="41">
        <v>1644</v>
      </c>
      <c r="F468" s="41" t="s">
        <v>3601</v>
      </c>
      <c r="G468" s="41" t="s">
        <v>3600</v>
      </c>
      <c r="H468" s="2043">
        <v>9847713</v>
      </c>
      <c r="I468" s="2043">
        <v>9183875</v>
      </c>
      <c r="J468">
        <v>0.89383684102237504</v>
      </c>
      <c r="K468" s="2043">
        <v>8802248.6792149693</v>
      </c>
      <c r="L468" s="2043">
        <v>8802248.6792149693</v>
      </c>
      <c r="M468">
        <v>599</v>
      </c>
      <c r="N468">
        <v>1</v>
      </c>
    </row>
    <row r="469" spans="1:14">
      <c r="A469" t="s">
        <v>2914</v>
      </c>
      <c r="B469" t="s">
        <v>834</v>
      </c>
      <c r="C469" t="s">
        <v>2490</v>
      </c>
      <c r="D469" s="41">
        <v>8</v>
      </c>
      <c r="E469" s="41">
        <v>1644</v>
      </c>
      <c r="F469" s="41" t="s">
        <v>3601</v>
      </c>
      <c r="G469" s="41" t="s">
        <v>9310</v>
      </c>
      <c r="H469" s="2043">
        <v>9847713</v>
      </c>
      <c r="I469" s="2043">
        <v>1090791</v>
      </c>
      <c r="J469">
        <v>0.106163158977625</v>
      </c>
      <c r="K469" s="2043">
        <v>1045464.32078503</v>
      </c>
      <c r="L469" s="2043">
        <v>1045464.32078503</v>
      </c>
      <c r="M469">
        <v>599</v>
      </c>
      <c r="N469">
        <v>1</v>
      </c>
    </row>
    <row r="470" spans="1:14">
      <c r="A470" t="s">
        <v>2914</v>
      </c>
      <c r="B470" t="s">
        <v>834</v>
      </c>
      <c r="C470" t="s">
        <v>2490</v>
      </c>
      <c r="D470" s="41">
        <v>10</v>
      </c>
      <c r="E470" s="41">
        <v>1641</v>
      </c>
      <c r="F470" s="41" t="s">
        <v>3602</v>
      </c>
      <c r="G470" s="41" t="s">
        <v>3602</v>
      </c>
      <c r="H470" s="2043">
        <v>1323878</v>
      </c>
      <c r="I470" s="2043">
        <v>1245300</v>
      </c>
      <c r="J470">
        <v>1</v>
      </c>
      <c r="K470" s="2043">
        <v>1323878</v>
      </c>
      <c r="L470" s="2043">
        <v>1245300</v>
      </c>
      <c r="M470">
        <v>199</v>
      </c>
      <c r="N470">
        <v>0</v>
      </c>
    </row>
    <row r="471" spans="1:14">
      <c r="A471" t="s">
        <v>2914</v>
      </c>
      <c r="B471" t="s">
        <v>834</v>
      </c>
      <c r="C471" t="s">
        <v>2490</v>
      </c>
      <c r="D471" s="41">
        <v>10</v>
      </c>
      <c r="E471" s="41">
        <v>1638</v>
      </c>
      <c r="F471" s="41" t="s">
        <v>3603</v>
      </c>
      <c r="G471" s="41" t="s">
        <v>3603</v>
      </c>
      <c r="H471" s="2043">
        <v>414217</v>
      </c>
      <c r="I471" s="2043">
        <v>386161</v>
      </c>
      <c r="J471">
        <v>1</v>
      </c>
      <c r="K471" s="2043">
        <v>414217</v>
      </c>
      <c r="L471" s="2043">
        <v>386161</v>
      </c>
      <c r="M471">
        <v>199</v>
      </c>
      <c r="N471">
        <v>1</v>
      </c>
    </row>
    <row r="472" spans="1:14">
      <c r="A472" t="s">
        <v>2914</v>
      </c>
      <c r="B472" t="s">
        <v>834</v>
      </c>
      <c r="C472" t="s">
        <v>2490</v>
      </c>
      <c r="D472" s="41">
        <v>10</v>
      </c>
      <c r="E472" s="41">
        <v>1640</v>
      </c>
      <c r="F472" s="41" t="s">
        <v>3604</v>
      </c>
      <c r="G472" s="41" t="s">
        <v>3604</v>
      </c>
      <c r="H472" s="2043">
        <v>651339</v>
      </c>
      <c r="I472" s="2043">
        <v>544198</v>
      </c>
      <c r="J472">
        <v>1</v>
      </c>
      <c r="K472" s="2043">
        <v>651339</v>
      </c>
      <c r="L472" s="2043">
        <v>544198</v>
      </c>
      <c r="M472">
        <v>199</v>
      </c>
      <c r="N472">
        <v>1</v>
      </c>
    </row>
    <row r="473" spans="1:14">
      <c r="A473" t="s">
        <v>2914</v>
      </c>
      <c r="B473" t="s">
        <v>834</v>
      </c>
      <c r="C473" t="s">
        <v>2490</v>
      </c>
      <c r="D473" s="41">
        <v>10</v>
      </c>
      <c r="E473" s="41">
        <v>1639</v>
      </c>
      <c r="F473" s="41" t="s">
        <v>3605</v>
      </c>
      <c r="G473" s="41" t="s">
        <v>3605</v>
      </c>
      <c r="H473" s="2043">
        <v>427251</v>
      </c>
      <c r="I473" s="2043">
        <v>367105</v>
      </c>
      <c r="J473">
        <v>1</v>
      </c>
      <c r="K473" s="2043">
        <v>427251</v>
      </c>
      <c r="L473" s="2043">
        <v>367105</v>
      </c>
      <c r="M473">
        <v>199</v>
      </c>
      <c r="N473">
        <v>1</v>
      </c>
    </row>
    <row r="474" spans="1:14">
      <c r="A474" t="s">
        <v>2914</v>
      </c>
      <c r="B474" t="s">
        <v>834</v>
      </c>
      <c r="C474" t="s">
        <v>2490</v>
      </c>
      <c r="D474" s="41">
        <v>10</v>
      </c>
      <c r="E474" s="41">
        <v>1637</v>
      </c>
      <c r="F474" s="41" t="s">
        <v>3606</v>
      </c>
      <c r="G474" s="41" t="s">
        <v>3606</v>
      </c>
      <c r="H474" s="2043">
        <v>276579</v>
      </c>
      <c r="I474" s="2043">
        <v>198207</v>
      </c>
      <c r="J474">
        <v>1</v>
      </c>
      <c r="K474" s="2043">
        <v>276579</v>
      </c>
      <c r="L474" s="2043">
        <v>198207</v>
      </c>
      <c r="M474">
        <v>199</v>
      </c>
      <c r="N474">
        <v>1</v>
      </c>
    </row>
    <row r="475" spans="1:14">
      <c r="A475" t="s">
        <v>2915</v>
      </c>
      <c r="B475" t="s">
        <v>1756</v>
      </c>
      <c r="C475" t="s">
        <v>32</v>
      </c>
      <c r="D475" s="41">
        <v>3</v>
      </c>
      <c r="E475" s="41">
        <v>1872</v>
      </c>
      <c r="F475" s="41" t="s">
        <v>3607</v>
      </c>
      <c r="G475" s="41" t="s">
        <v>3607</v>
      </c>
      <c r="H475" s="2043">
        <v>3617370</v>
      </c>
      <c r="I475" s="2043">
        <v>0</v>
      </c>
      <c r="J475">
        <v>0</v>
      </c>
      <c r="K475" s="2043">
        <v>0</v>
      </c>
      <c r="L475" s="2043">
        <v>0</v>
      </c>
      <c r="M475">
        <v>599</v>
      </c>
      <c r="N475">
        <v>0</v>
      </c>
    </row>
    <row r="476" spans="1:14">
      <c r="A476" t="s">
        <v>2915</v>
      </c>
      <c r="B476" t="s">
        <v>1756</v>
      </c>
      <c r="C476" t="s">
        <v>32</v>
      </c>
      <c r="D476" s="41">
        <v>3</v>
      </c>
      <c r="E476" s="41">
        <v>1872</v>
      </c>
      <c r="F476" s="41" t="s">
        <v>3607</v>
      </c>
      <c r="G476" s="41" t="s">
        <v>3608</v>
      </c>
      <c r="H476" s="2043">
        <v>3617370</v>
      </c>
      <c r="I476" s="2043">
        <v>0</v>
      </c>
      <c r="J476">
        <v>0</v>
      </c>
      <c r="K476" s="2043">
        <v>0</v>
      </c>
      <c r="L476" s="2043">
        <v>0</v>
      </c>
      <c r="M476">
        <v>599</v>
      </c>
      <c r="N476">
        <v>0</v>
      </c>
    </row>
    <row r="477" spans="1:14">
      <c r="A477" t="s">
        <v>2915</v>
      </c>
      <c r="B477" t="s">
        <v>1756</v>
      </c>
      <c r="C477" t="s">
        <v>32</v>
      </c>
      <c r="D477" s="41">
        <v>3</v>
      </c>
      <c r="E477" s="41">
        <v>1872</v>
      </c>
      <c r="F477" s="41" t="s">
        <v>3607</v>
      </c>
      <c r="G477" s="41" t="s">
        <v>5361</v>
      </c>
      <c r="H477" s="2043">
        <v>3617370</v>
      </c>
      <c r="I477" s="2043">
        <v>2847039</v>
      </c>
      <c r="J477">
        <v>1</v>
      </c>
      <c r="K477" s="2043">
        <v>3617370</v>
      </c>
      <c r="L477" s="2043">
        <v>2847039</v>
      </c>
      <c r="M477">
        <v>599</v>
      </c>
      <c r="N477">
        <v>1</v>
      </c>
    </row>
    <row r="478" spans="1:14">
      <c r="A478" t="s">
        <v>2915</v>
      </c>
      <c r="B478" t="s">
        <v>1756</v>
      </c>
      <c r="C478" t="s">
        <v>32</v>
      </c>
      <c r="D478" s="41">
        <v>5</v>
      </c>
      <c r="E478" s="41">
        <v>1871</v>
      </c>
      <c r="F478" s="41" t="s">
        <v>3609</v>
      </c>
      <c r="G478" s="41" t="s">
        <v>3609</v>
      </c>
      <c r="H478" s="2043">
        <v>830941</v>
      </c>
      <c r="I478" s="2043">
        <v>0</v>
      </c>
      <c r="J478">
        <v>0</v>
      </c>
      <c r="K478" s="2043">
        <v>0</v>
      </c>
      <c r="L478" s="2043">
        <v>0</v>
      </c>
      <c r="M478">
        <v>599</v>
      </c>
      <c r="N478">
        <v>0</v>
      </c>
    </row>
    <row r="479" spans="1:14">
      <c r="A479" t="s">
        <v>2915</v>
      </c>
      <c r="B479" t="s">
        <v>1756</v>
      </c>
      <c r="C479" t="s">
        <v>32</v>
      </c>
      <c r="D479" s="41">
        <v>5</v>
      </c>
      <c r="E479" s="41">
        <v>1871</v>
      </c>
      <c r="F479" s="41" t="s">
        <v>3609</v>
      </c>
      <c r="G479" s="41" t="s">
        <v>3610</v>
      </c>
      <c r="H479" s="2043">
        <v>830941</v>
      </c>
      <c r="I479" s="2043">
        <v>634725</v>
      </c>
      <c r="J479">
        <v>1</v>
      </c>
      <c r="K479" s="2043">
        <v>830941</v>
      </c>
      <c r="L479" s="2043">
        <v>634725</v>
      </c>
      <c r="M479">
        <v>599</v>
      </c>
      <c r="N479">
        <v>1</v>
      </c>
    </row>
    <row r="480" spans="1:14">
      <c r="A480" t="s">
        <v>2915</v>
      </c>
      <c r="B480" t="s">
        <v>1756</v>
      </c>
      <c r="C480" t="s">
        <v>32</v>
      </c>
      <c r="D480" s="41">
        <v>9</v>
      </c>
      <c r="E480" s="41">
        <v>1870</v>
      </c>
      <c r="F480" s="41" t="s">
        <v>3611</v>
      </c>
      <c r="G480" s="41" t="s">
        <v>3611</v>
      </c>
      <c r="H480" s="2043">
        <v>462864</v>
      </c>
      <c r="I480" s="2043">
        <v>374650</v>
      </c>
      <c r="J480">
        <v>1</v>
      </c>
      <c r="K480" s="2043">
        <v>462864</v>
      </c>
      <c r="L480" s="2043">
        <v>374650</v>
      </c>
      <c r="M480">
        <v>199</v>
      </c>
      <c r="N480">
        <v>1</v>
      </c>
    </row>
    <row r="481" spans="1:14">
      <c r="A481" t="s">
        <v>2915</v>
      </c>
      <c r="B481" t="s">
        <v>1756</v>
      </c>
      <c r="C481" t="s">
        <v>32</v>
      </c>
      <c r="D481" s="41">
        <v>10</v>
      </c>
      <c r="E481" s="41">
        <v>1873</v>
      </c>
      <c r="F481" s="41" t="s">
        <v>3612</v>
      </c>
      <c r="G481" s="41" t="s">
        <v>3612</v>
      </c>
      <c r="H481" s="2043">
        <v>3813436</v>
      </c>
      <c r="I481" s="2043">
        <v>0</v>
      </c>
      <c r="J481">
        <v>0</v>
      </c>
      <c r="K481" s="2043">
        <v>0</v>
      </c>
      <c r="L481" s="2043">
        <v>0</v>
      </c>
      <c r="M481">
        <v>599</v>
      </c>
      <c r="N481">
        <v>1</v>
      </c>
    </row>
    <row r="482" spans="1:14">
      <c r="A482" t="s">
        <v>2915</v>
      </c>
      <c r="B482" t="s">
        <v>1756</v>
      </c>
      <c r="C482" t="s">
        <v>32</v>
      </c>
      <c r="D482" s="41">
        <v>10</v>
      </c>
      <c r="E482" s="41">
        <v>1873</v>
      </c>
      <c r="F482" s="41" t="s">
        <v>3612</v>
      </c>
      <c r="G482" s="41" t="s">
        <v>9311</v>
      </c>
      <c r="H482" s="2043">
        <v>3813436</v>
      </c>
      <c r="I482" s="2043">
        <v>4088442</v>
      </c>
      <c r="J482">
        <v>1</v>
      </c>
      <c r="K482" s="2043">
        <v>3813436</v>
      </c>
      <c r="L482" s="2043">
        <v>3813436</v>
      </c>
      <c r="M482">
        <v>599</v>
      </c>
      <c r="N482">
        <v>1</v>
      </c>
    </row>
    <row r="483" spans="1:14">
      <c r="A483" t="s">
        <v>2916</v>
      </c>
      <c r="B483" t="s">
        <v>55</v>
      </c>
      <c r="C483" t="s">
        <v>1775</v>
      </c>
      <c r="D483" s="41">
        <v>1</v>
      </c>
      <c r="E483" s="41">
        <v>1978</v>
      </c>
      <c r="F483" s="41" t="s">
        <v>3613</v>
      </c>
      <c r="G483" s="41" t="s">
        <v>3613</v>
      </c>
      <c r="H483" s="2043">
        <v>531801</v>
      </c>
      <c r="I483" s="2043">
        <v>0</v>
      </c>
      <c r="J483">
        <v>0</v>
      </c>
      <c r="K483" s="2043">
        <v>0</v>
      </c>
      <c r="L483" s="2043">
        <v>0</v>
      </c>
      <c r="M483">
        <v>599</v>
      </c>
      <c r="N483">
        <v>0</v>
      </c>
    </row>
    <row r="484" spans="1:14">
      <c r="A484" t="s">
        <v>2916</v>
      </c>
      <c r="B484" t="s">
        <v>55</v>
      </c>
      <c r="C484" t="s">
        <v>1775</v>
      </c>
      <c r="D484" s="41">
        <v>1</v>
      </c>
      <c r="E484" s="41">
        <v>1978</v>
      </c>
      <c r="F484" s="41" t="s">
        <v>3613</v>
      </c>
      <c r="G484" s="41" t="s">
        <v>3614</v>
      </c>
      <c r="H484" s="2043">
        <v>531801</v>
      </c>
      <c r="I484" s="2043">
        <v>0</v>
      </c>
      <c r="J484">
        <v>0</v>
      </c>
      <c r="K484" s="2043">
        <v>0</v>
      </c>
      <c r="L484" s="2043">
        <v>0</v>
      </c>
      <c r="M484">
        <v>599</v>
      </c>
      <c r="N484">
        <v>1</v>
      </c>
    </row>
    <row r="485" spans="1:14">
      <c r="A485" t="s">
        <v>2916</v>
      </c>
      <c r="B485" t="s">
        <v>55</v>
      </c>
      <c r="C485" t="s">
        <v>1775</v>
      </c>
      <c r="D485" s="41">
        <v>1</v>
      </c>
      <c r="E485" s="41">
        <v>1978</v>
      </c>
      <c r="F485" s="41" t="s">
        <v>3613</v>
      </c>
      <c r="G485" s="41" t="s">
        <v>7128</v>
      </c>
      <c r="H485" s="2043">
        <v>531801</v>
      </c>
      <c r="I485" s="2043">
        <v>333380</v>
      </c>
      <c r="J485">
        <v>1</v>
      </c>
      <c r="K485" s="2043">
        <v>531801</v>
      </c>
      <c r="L485" s="2043">
        <v>333380</v>
      </c>
      <c r="M485">
        <v>599</v>
      </c>
      <c r="N485">
        <v>1</v>
      </c>
    </row>
    <row r="486" spans="1:14">
      <c r="A486" t="s">
        <v>2916</v>
      </c>
      <c r="B486" t="s">
        <v>55</v>
      </c>
      <c r="C486" t="s">
        <v>1775</v>
      </c>
      <c r="D486" s="41">
        <v>3</v>
      </c>
      <c r="E486" s="41">
        <v>1975</v>
      </c>
      <c r="F486" s="41" t="s">
        <v>3615</v>
      </c>
      <c r="G486" s="41" t="s">
        <v>3615</v>
      </c>
      <c r="H486" s="2043">
        <v>124856</v>
      </c>
      <c r="I486" s="2043">
        <v>0</v>
      </c>
      <c r="J486">
        <v>0</v>
      </c>
      <c r="K486" s="2043">
        <v>0</v>
      </c>
      <c r="L486" s="2043">
        <v>0</v>
      </c>
      <c r="M486">
        <v>199</v>
      </c>
      <c r="N486">
        <v>0</v>
      </c>
    </row>
    <row r="487" spans="1:14">
      <c r="A487" t="s">
        <v>2916</v>
      </c>
      <c r="B487" t="s">
        <v>55</v>
      </c>
      <c r="C487" t="s">
        <v>1775</v>
      </c>
      <c r="D487" s="41">
        <v>3</v>
      </c>
      <c r="E487" s="41">
        <v>1975</v>
      </c>
      <c r="F487" s="41" t="s">
        <v>3615</v>
      </c>
      <c r="G487" s="41" t="s">
        <v>3616</v>
      </c>
      <c r="H487" s="2043">
        <v>124856</v>
      </c>
      <c r="I487" s="2043">
        <v>0</v>
      </c>
      <c r="J487">
        <v>0</v>
      </c>
      <c r="K487" s="2043">
        <v>0</v>
      </c>
      <c r="L487" s="2043">
        <v>0</v>
      </c>
      <c r="M487">
        <v>599</v>
      </c>
      <c r="N487">
        <v>1</v>
      </c>
    </row>
    <row r="488" spans="1:14">
      <c r="A488" t="s">
        <v>2916</v>
      </c>
      <c r="B488" t="s">
        <v>55</v>
      </c>
      <c r="C488" t="s">
        <v>1775</v>
      </c>
      <c r="D488" s="41">
        <v>3</v>
      </c>
      <c r="E488" s="41">
        <v>1975</v>
      </c>
      <c r="F488" s="41" t="s">
        <v>3615</v>
      </c>
      <c r="G488" s="41" t="s">
        <v>5362</v>
      </c>
      <c r="H488" s="2043">
        <v>124856</v>
      </c>
      <c r="I488" s="2043">
        <v>94915</v>
      </c>
      <c r="J488">
        <v>1</v>
      </c>
      <c r="K488" s="2043">
        <v>124856</v>
      </c>
      <c r="L488" s="2043">
        <v>94915</v>
      </c>
      <c r="M488">
        <v>599</v>
      </c>
      <c r="N488">
        <v>1</v>
      </c>
    </row>
    <row r="489" spans="1:14">
      <c r="A489" t="s">
        <v>2916</v>
      </c>
      <c r="B489" t="s">
        <v>55</v>
      </c>
      <c r="C489" t="s">
        <v>1775</v>
      </c>
      <c r="D489" s="41">
        <v>4</v>
      </c>
      <c r="E489" s="41">
        <v>1976</v>
      </c>
      <c r="F489" s="41" t="s">
        <v>3617</v>
      </c>
      <c r="G489" s="41" t="s">
        <v>3617</v>
      </c>
      <c r="H489" s="2043">
        <v>159423</v>
      </c>
      <c r="I489" s="2043">
        <v>0</v>
      </c>
      <c r="J489">
        <v>0</v>
      </c>
      <c r="L489" s="2043">
        <v>0</v>
      </c>
      <c r="M489">
        <v>199</v>
      </c>
      <c r="N489">
        <v>0</v>
      </c>
    </row>
    <row r="490" spans="1:14">
      <c r="A490" t="s">
        <v>2916</v>
      </c>
      <c r="B490" t="s">
        <v>55</v>
      </c>
      <c r="C490" t="s">
        <v>1775</v>
      </c>
      <c r="D490" s="41">
        <v>5</v>
      </c>
      <c r="E490" s="41">
        <v>1979</v>
      </c>
      <c r="F490" s="41" t="s">
        <v>3618</v>
      </c>
      <c r="G490" s="41" t="s">
        <v>3618</v>
      </c>
      <c r="H490" s="2043">
        <v>562519</v>
      </c>
      <c r="I490" s="2043">
        <v>0</v>
      </c>
      <c r="J490">
        <v>0</v>
      </c>
      <c r="K490" s="2043">
        <v>0</v>
      </c>
      <c r="L490" s="2043">
        <v>0</v>
      </c>
      <c r="M490">
        <v>199</v>
      </c>
      <c r="N490">
        <v>0</v>
      </c>
    </row>
    <row r="491" spans="1:14">
      <c r="A491" t="s">
        <v>2916</v>
      </c>
      <c r="B491" t="s">
        <v>55</v>
      </c>
      <c r="C491" t="s">
        <v>1775</v>
      </c>
      <c r="D491" s="41">
        <v>5</v>
      </c>
      <c r="E491" s="41">
        <v>1979</v>
      </c>
      <c r="F491" s="41" t="s">
        <v>3618</v>
      </c>
      <c r="G491" s="41" t="s">
        <v>3616</v>
      </c>
      <c r="H491" s="2043">
        <v>562519</v>
      </c>
      <c r="I491" s="2043">
        <v>0</v>
      </c>
      <c r="J491">
        <v>0</v>
      </c>
      <c r="K491" s="2043">
        <v>0</v>
      </c>
      <c r="L491" s="2043">
        <v>0</v>
      </c>
      <c r="M491">
        <v>599</v>
      </c>
      <c r="N491">
        <v>1</v>
      </c>
    </row>
    <row r="492" spans="1:14">
      <c r="A492" t="s">
        <v>2916</v>
      </c>
      <c r="B492" t="s">
        <v>55</v>
      </c>
      <c r="C492" t="s">
        <v>1775</v>
      </c>
      <c r="D492" s="41">
        <v>5</v>
      </c>
      <c r="E492" s="41">
        <v>1979</v>
      </c>
      <c r="F492" s="41" t="s">
        <v>3618</v>
      </c>
      <c r="G492" s="41" t="s">
        <v>5362</v>
      </c>
      <c r="H492" s="2043">
        <v>562519</v>
      </c>
      <c r="I492" s="2043">
        <v>452687</v>
      </c>
      <c r="J492">
        <v>1</v>
      </c>
      <c r="K492" s="2043">
        <v>562519</v>
      </c>
      <c r="L492" s="2043">
        <v>452687</v>
      </c>
      <c r="M492">
        <v>599</v>
      </c>
      <c r="N492">
        <v>1</v>
      </c>
    </row>
    <row r="493" spans="1:14">
      <c r="A493" t="s">
        <v>2916</v>
      </c>
      <c r="B493" t="s">
        <v>55</v>
      </c>
      <c r="C493" t="s">
        <v>1775</v>
      </c>
      <c r="D493" s="41">
        <v>6</v>
      </c>
      <c r="E493" s="41">
        <v>1974</v>
      </c>
      <c r="F493" s="41" t="s">
        <v>3619</v>
      </c>
      <c r="G493" s="41" t="s">
        <v>3619</v>
      </c>
      <c r="H493" s="2043">
        <v>89560</v>
      </c>
      <c r="I493" s="2043">
        <v>0</v>
      </c>
      <c r="J493">
        <v>0</v>
      </c>
      <c r="K493" s="2043">
        <v>0</v>
      </c>
      <c r="L493" s="2043">
        <v>0</v>
      </c>
      <c r="M493">
        <v>199</v>
      </c>
      <c r="N493">
        <v>0</v>
      </c>
    </row>
    <row r="494" spans="1:14">
      <c r="A494" t="s">
        <v>2916</v>
      </c>
      <c r="B494" t="s">
        <v>55</v>
      </c>
      <c r="C494" t="s">
        <v>1775</v>
      </c>
      <c r="D494" s="41">
        <v>6</v>
      </c>
      <c r="E494" s="41">
        <v>1974</v>
      </c>
      <c r="F494" s="41" t="s">
        <v>3619</v>
      </c>
      <c r="G494" s="41" t="s">
        <v>3616</v>
      </c>
      <c r="H494" s="2043">
        <v>89560</v>
      </c>
      <c r="I494" s="2043">
        <v>0</v>
      </c>
      <c r="J494">
        <v>0</v>
      </c>
      <c r="K494" s="2043">
        <v>0</v>
      </c>
      <c r="L494" s="2043">
        <v>0</v>
      </c>
      <c r="M494">
        <v>599</v>
      </c>
      <c r="N494">
        <v>1</v>
      </c>
    </row>
    <row r="495" spans="1:14">
      <c r="A495" t="s">
        <v>2916</v>
      </c>
      <c r="B495" t="s">
        <v>55</v>
      </c>
      <c r="C495" t="s">
        <v>1775</v>
      </c>
      <c r="D495" s="41">
        <v>6</v>
      </c>
      <c r="E495" s="41">
        <v>1974</v>
      </c>
      <c r="F495" s="41" t="s">
        <v>3619</v>
      </c>
      <c r="G495" s="41" t="s">
        <v>5362</v>
      </c>
      <c r="H495" s="2043">
        <v>89560</v>
      </c>
      <c r="I495" s="2043">
        <v>68861</v>
      </c>
      <c r="J495">
        <v>1</v>
      </c>
      <c r="K495" s="2043">
        <v>89560</v>
      </c>
      <c r="L495" s="2043">
        <v>68861</v>
      </c>
      <c r="M495">
        <v>599</v>
      </c>
      <c r="N495">
        <v>1</v>
      </c>
    </row>
    <row r="496" spans="1:14">
      <c r="A496" t="s">
        <v>2916</v>
      </c>
      <c r="B496" t="s">
        <v>55</v>
      </c>
      <c r="C496" t="s">
        <v>1775</v>
      </c>
      <c r="D496" s="41">
        <v>8</v>
      </c>
      <c r="E496" s="41">
        <v>1977</v>
      </c>
      <c r="F496" s="41" t="s">
        <v>3620</v>
      </c>
      <c r="G496" s="41" t="s">
        <v>3620</v>
      </c>
      <c r="H496" s="2043">
        <v>520989</v>
      </c>
      <c r="I496" s="2043">
        <v>0</v>
      </c>
      <c r="J496">
        <v>0</v>
      </c>
      <c r="K496" s="2043">
        <v>0</v>
      </c>
      <c r="L496" s="2043">
        <v>0</v>
      </c>
      <c r="M496">
        <v>599</v>
      </c>
      <c r="N496">
        <v>1</v>
      </c>
    </row>
    <row r="497" spans="1:14">
      <c r="A497" t="s">
        <v>2916</v>
      </c>
      <c r="B497" t="s">
        <v>55</v>
      </c>
      <c r="C497" t="s">
        <v>1775</v>
      </c>
      <c r="D497" s="41">
        <v>8</v>
      </c>
      <c r="E497" s="41">
        <v>1977</v>
      </c>
      <c r="F497" s="41" t="s">
        <v>3620</v>
      </c>
      <c r="G497" s="41" t="s">
        <v>5364</v>
      </c>
      <c r="H497" s="2043">
        <v>520989</v>
      </c>
      <c r="I497" s="2043">
        <v>163325</v>
      </c>
      <c r="J497">
        <v>0.414978085498317</v>
      </c>
      <c r="K497" s="2043">
        <v>216199.01778568301</v>
      </c>
      <c r="L497" s="2043">
        <v>163325</v>
      </c>
      <c r="M497">
        <v>599</v>
      </c>
      <c r="N497">
        <v>1</v>
      </c>
    </row>
    <row r="498" spans="1:14">
      <c r="A498" t="s">
        <v>2916</v>
      </c>
      <c r="B498" t="s">
        <v>55</v>
      </c>
      <c r="C498" t="s">
        <v>1775</v>
      </c>
      <c r="D498" s="41">
        <v>8</v>
      </c>
      <c r="E498" s="41">
        <v>1977</v>
      </c>
      <c r="F498" s="41" t="s">
        <v>3620</v>
      </c>
      <c r="G498" s="41" t="s">
        <v>5363</v>
      </c>
      <c r="H498" s="2043">
        <v>520989</v>
      </c>
      <c r="I498" s="2043">
        <v>230250</v>
      </c>
      <c r="J498">
        <v>0.58502191450168295</v>
      </c>
      <c r="K498" s="2043">
        <v>304789.98221431702</v>
      </c>
      <c r="L498" s="2043">
        <v>230250</v>
      </c>
      <c r="M498">
        <v>599</v>
      </c>
      <c r="N498">
        <v>1</v>
      </c>
    </row>
    <row r="499" spans="1:14">
      <c r="A499" t="s">
        <v>2916</v>
      </c>
      <c r="B499" t="s">
        <v>55</v>
      </c>
      <c r="C499" t="s">
        <v>1775</v>
      </c>
      <c r="D499" s="41">
        <v>9</v>
      </c>
      <c r="E499" s="41">
        <v>1980</v>
      </c>
      <c r="F499" s="41" t="s">
        <v>3621</v>
      </c>
      <c r="G499" s="41" t="s">
        <v>3621</v>
      </c>
      <c r="H499" s="2043">
        <v>790500</v>
      </c>
      <c r="I499" s="2043">
        <v>0</v>
      </c>
      <c r="J499">
        <v>0</v>
      </c>
      <c r="K499" s="2043">
        <v>0</v>
      </c>
      <c r="L499" s="2043">
        <v>0</v>
      </c>
      <c r="M499">
        <v>599</v>
      </c>
      <c r="N499">
        <v>1</v>
      </c>
    </row>
    <row r="500" spans="1:14">
      <c r="A500" t="s">
        <v>2916</v>
      </c>
      <c r="B500" t="s">
        <v>55</v>
      </c>
      <c r="C500" t="s">
        <v>1775</v>
      </c>
      <c r="D500" s="41">
        <v>9</v>
      </c>
      <c r="E500" s="41">
        <v>1980</v>
      </c>
      <c r="F500" s="41" t="s">
        <v>3621</v>
      </c>
      <c r="G500" s="41" t="s">
        <v>7128</v>
      </c>
      <c r="H500" s="2043">
        <v>790500</v>
      </c>
      <c r="I500" s="2043">
        <v>226720</v>
      </c>
      <c r="J500">
        <v>0.38497588806629102</v>
      </c>
      <c r="K500" s="2043">
        <v>304323.43951640301</v>
      </c>
      <c r="L500" s="2043">
        <v>226720</v>
      </c>
      <c r="M500">
        <v>599</v>
      </c>
      <c r="N500">
        <v>1</v>
      </c>
    </row>
    <row r="501" spans="1:14">
      <c r="A501" t="s">
        <v>2916</v>
      </c>
      <c r="B501" t="s">
        <v>55</v>
      </c>
      <c r="C501" t="s">
        <v>1775</v>
      </c>
      <c r="D501" s="41">
        <v>9</v>
      </c>
      <c r="E501" s="41">
        <v>1980</v>
      </c>
      <c r="F501" s="41" t="s">
        <v>3621</v>
      </c>
      <c r="G501" s="41" t="s">
        <v>7129</v>
      </c>
      <c r="H501" s="2043">
        <v>790500</v>
      </c>
      <c r="I501" s="2043">
        <v>362200</v>
      </c>
      <c r="J501">
        <v>0.61502411193370898</v>
      </c>
      <c r="K501" s="2043">
        <v>486176.56048359699</v>
      </c>
      <c r="L501" s="2043">
        <v>362200</v>
      </c>
      <c r="M501">
        <v>599</v>
      </c>
      <c r="N501">
        <v>1</v>
      </c>
    </row>
    <row r="502" spans="1:14">
      <c r="A502" t="s">
        <v>2917</v>
      </c>
      <c r="B502" t="s">
        <v>2159</v>
      </c>
      <c r="C502" t="s">
        <v>34</v>
      </c>
      <c r="D502" s="41">
        <v>1</v>
      </c>
      <c r="E502" s="41">
        <v>2037</v>
      </c>
      <c r="F502" s="41" t="s">
        <v>3622</v>
      </c>
      <c r="G502" s="41" t="s">
        <v>3622</v>
      </c>
      <c r="H502" s="2043">
        <v>680974</v>
      </c>
      <c r="I502" s="2043">
        <v>0</v>
      </c>
      <c r="J502">
        <v>0</v>
      </c>
      <c r="L502" s="2043">
        <v>0</v>
      </c>
      <c r="M502">
        <v>599</v>
      </c>
      <c r="N502">
        <v>0</v>
      </c>
    </row>
    <row r="503" spans="1:14">
      <c r="A503" t="s">
        <v>2917</v>
      </c>
      <c r="B503" t="s">
        <v>2159</v>
      </c>
      <c r="C503" t="s">
        <v>34</v>
      </c>
      <c r="D503" s="41">
        <v>4</v>
      </c>
      <c r="E503" s="41">
        <v>2038</v>
      </c>
      <c r="F503" s="41" t="s">
        <v>3623</v>
      </c>
      <c r="G503" s="41" t="s">
        <v>3623</v>
      </c>
      <c r="H503" s="2043">
        <v>1668879</v>
      </c>
      <c r="I503" s="2043">
        <v>0</v>
      </c>
      <c r="J503">
        <v>0</v>
      </c>
      <c r="L503" s="2043">
        <v>0</v>
      </c>
      <c r="M503">
        <v>599</v>
      </c>
      <c r="N503">
        <v>0</v>
      </c>
    </row>
    <row r="504" spans="1:14">
      <c r="A504" t="s">
        <v>2917</v>
      </c>
      <c r="B504" t="s">
        <v>2159</v>
      </c>
      <c r="C504" t="s">
        <v>34</v>
      </c>
      <c r="D504" s="41">
        <v>8</v>
      </c>
      <c r="E504" s="41">
        <v>2039</v>
      </c>
      <c r="F504" s="41" t="s">
        <v>3624</v>
      </c>
      <c r="G504" s="41" t="s">
        <v>3624</v>
      </c>
      <c r="H504" s="2043">
        <v>1935141</v>
      </c>
      <c r="I504" s="2043">
        <v>0</v>
      </c>
      <c r="J504">
        <v>0</v>
      </c>
      <c r="K504" s="2043">
        <v>0</v>
      </c>
      <c r="L504" s="2043">
        <v>0</v>
      </c>
      <c r="M504">
        <v>599</v>
      </c>
      <c r="N504">
        <v>1</v>
      </c>
    </row>
    <row r="505" spans="1:14">
      <c r="A505" t="s">
        <v>2917</v>
      </c>
      <c r="B505" t="s">
        <v>2159</v>
      </c>
      <c r="C505" t="s">
        <v>34</v>
      </c>
      <c r="D505" s="41">
        <v>8</v>
      </c>
      <c r="E505" s="41">
        <v>2039</v>
      </c>
      <c r="F505" s="41" t="s">
        <v>3624</v>
      </c>
      <c r="G505" s="41" t="s">
        <v>5549</v>
      </c>
      <c r="H505" s="2043">
        <v>1935141</v>
      </c>
      <c r="I505" s="2043">
        <v>1747531</v>
      </c>
      <c r="J505">
        <v>1</v>
      </c>
      <c r="K505" s="2043">
        <v>1935141</v>
      </c>
      <c r="L505" s="2043">
        <v>1747531</v>
      </c>
      <c r="M505">
        <v>599</v>
      </c>
      <c r="N505">
        <v>1</v>
      </c>
    </row>
    <row r="506" spans="1:14">
      <c r="A506" t="s">
        <v>2918</v>
      </c>
      <c r="B506" t="s">
        <v>673</v>
      </c>
      <c r="C506" t="s">
        <v>2547</v>
      </c>
      <c r="D506" s="41">
        <v>4</v>
      </c>
      <c r="E506" s="41">
        <v>2247</v>
      </c>
      <c r="F506" s="41" t="s">
        <v>3625</v>
      </c>
      <c r="G506" s="41" t="s">
        <v>3625</v>
      </c>
      <c r="H506" s="2043">
        <v>501695</v>
      </c>
      <c r="I506" s="2043">
        <v>0</v>
      </c>
      <c r="J506">
        <v>0</v>
      </c>
      <c r="K506" s="2043">
        <v>0</v>
      </c>
      <c r="L506" s="2043">
        <v>0</v>
      </c>
      <c r="M506">
        <v>599</v>
      </c>
      <c r="N506">
        <v>0</v>
      </c>
    </row>
    <row r="507" spans="1:14">
      <c r="A507" t="s">
        <v>2918</v>
      </c>
      <c r="B507" t="s">
        <v>673</v>
      </c>
      <c r="C507" t="s">
        <v>2547</v>
      </c>
      <c r="D507" s="41">
        <v>4</v>
      </c>
      <c r="E507" s="41">
        <v>2247</v>
      </c>
      <c r="F507" s="41" t="s">
        <v>3625</v>
      </c>
      <c r="G507" s="41" t="s">
        <v>3626</v>
      </c>
      <c r="H507" s="2043">
        <v>501695</v>
      </c>
      <c r="I507" s="2043">
        <v>0</v>
      </c>
      <c r="J507">
        <v>0</v>
      </c>
      <c r="K507" s="2043">
        <v>0</v>
      </c>
      <c r="L507" s="2043">
        <v>0</v>
      </c>
      <c r="M507">
        <v>599</v>
      </c>
      <c r="N507">
        <v>0</v>
      </c>
    </row>
    <row r="508" spans="1:14">
      <c r="A508" t="s">
        <v>2918</v>
      </c>
      <c r="B508" t="s">
        <v>673</v>
      </c>
      <c r="C508" t="s">
        <v>2547</v>
      </c>
      <c r="D508" s="41">
        <v>4</v>
      </c>
      <c r="E508" s="41">
        <v>2247</v>
      </c>
      <c r="F508" s="41" t="s">
        <v>3625</v>
      </c>
      <c r="G508" s="41" t="s">
        <v>5365</v>
      </c>
      <c r="H508" s="2043">
        <v>501695</v>
      </c>
      <c r="I508" s="2043">
        <v>439141</v>
      </c>
      <c r="J508">
        <v>1</v>
      </c>
      <c r="K508" s="2043">
        <v>501695</v>
      </c>
      <c r="L508" s="2043">
        <v>439141</v>
      </c>
      <c r="M508">
        <v>599</v>
      </c>
      <c r="N508">
        <v>1</v>
      </c>
    </row>
    <row r="509" spans="1:14">
      <c r="A509" t="s">
        <v>2918</v>
      </c>
      <c r="B509" t="s">
        <v>673</v>
      </c>
      <c r="C509" t="s">
        <v>2547</v>
      </c>
      <c r="D509" s="41">
        <v>5</v>
      </c>
      <c r="E509" s="41">
        <v>2246</v>
      </c>
      <c r="F509" s="41" t="s">
        <v>3627</v>
      </c>
      <c r="G509" s="41" t="s">
        <v>3627</v>
      </c>
      <c r="H509" s="2043">
        <v>476290</v>
      </c>
      <c r="I509" s="2043">
        <v>0</v>
      </c>
      <c r="J509">
        <v>0</v>
      </c>
      <c r="K509" s="2043">
        <v>0</v>
      </c>
      <c r="L509" s="2043">
        <v>0</v>
      </c>
      <c r="M509">
        <v>599</v>
      </c>
      <c r="N509">
        <v>0</v>
      </c>
    </row>
    <row r="510" spans="1:14">
      <c r="A510" t="s">
        <v>2918</v>
      </c>
      <c r="B510" t="s">
        <v>673</v>
      </c>
      <c r="C510" t="s">
        <v>2547</v>
      </c>
      <c r="D510" s="41">
        <v>5</v>
      </c>
      <c r="E510" s="41">
        <v>2246</v>
      </c>
      <c r="F510" s="41" t="s">
        <v>3627</v>
      </c>
      <c r="G510" s="41" t="s">
        <v>3628</v>
      </c>
      <c r="H510" s="2043">
        <v>476290</v>
      </c>
      <c r="I510" s="2043">
        <v>255000</v>
      </c>
      <c r="J510">
        <v>0.61653771760154696</v>
      </c>
      <c r="K510" s="2043">
        <v>293650.74951644102</v>
      </c>
      <c r="L510" s="2043">
        <v>255000</v>
      </c>
      <c r="M510">
        <v>599</v>
      </c>
      <c r="N510">
        <v>1</v>
      </c>
    </row>
    <row r="511" spans="1:14">
      <c r="A511" t="s">
        <v>2918</v>
      </c>
      <c r="B511" t="s">
        <v>673</v>
      </c>
      <c r="C511" t="s">
        <v>2547</v>
      </c>
      <c r="D511" s="41">
        <v>5</v>
      </c>
      <c r="E511" s="41">
        <v>2246</v>
      </c>
      <c r="F511" s="41" t="s">
        <v>3627</v>
      </c>
      <c r="G511" s="41" t="s">
        <v>5550</v>
      </c>
      <c r="H511" s="2043">
        <v>476290</v>
      </c>
      <c r="I511" s="2043">
        <v>158600</v>
      </c>
      <c r="J511">
        <v>0.38346228239845298</v>
      </c>
      <c r="K511" s="2043">
        <v>182639.25048355901</v>
      </c>
      <c r="L511" s="2043">
        <v>158600</v>
      </c>
      <c r="M511">
        <v>599</v>
      </c>
      <c r="N511">
        <v>1</v>
      </c>
    </row>
    <row r="512" spans="1:14">
      <c r="A512" t="s">
        <v>2918</v>
      </c>
      <c r="B512" t="s">
        <v>673</v>
      </c>
      <c r="C512" t="s">
        <v>2547</v>
      </c>
      <c r="D512" s="41">
        <v>8</v>
      </c>
      <c r="E512" s="41">
        <v>2245</v>
      </c>
      <c r="F512" s="41" t="s">
        <v>3629</v>
      </c>
      <c r="G512" s="41" t="s">
        <v>3629</v>
      </c>
      <c r="H512" s="2043">
        <v>262428</v>
      </c>
      <c r="I512" s="2043">
        <v>257815</v>
      </c>
      <c r="J512">
        <v>1</v>
      </c>
      <c r="K512" s="2043">
        <v>262428</v>
      </c>
      <c r="L512" s="2043">
        <v>257815</v>
      </c>
      <c r="M512">
        <v>599</v>
      </c>
      <c r="N512">
        <v>1</v>
      </c>
    </row>
    <row r="513" spans="1:14">
      <c r="A513" t="s">
        <v>2918</v>
      </c>
      <c r="B513" t="s">
        <v>673</v>
      </c>
      <c r="C513" t="s">
        <v>2547</v>
      </c>
      <c r="D513" s="41">
        <v>11</v>
      </c>
      <c r="E513" s="41">
        <v>2480</v>
      </c>
      <c r="F513" s="41" t="s">
        <v>7130</v>
      </c>
      <c r="G513" s="41" t="s">
        <v>7130</v>
      </c>
      <c r="H513" s="2043">
        <v>489203</v>
      </c>
      <c r="I513" s="2043">
        <v>853125</v>
      </c>
      <c r="J513">
        <v>1</v>
      </c>
      <c r="K513" s="2043">
        <v>489203</v>
      </c>
      <c r="L513" s="2043">
        <v>489203</v>
      </c>
      <c r="M513">
        <v>599</v>
      </c>
      <c r="N513">
        <v>0</v>
      </c>
    </row>
    <row r="514" spans="1:14">
      <c r="A514" t="s">
        <v>2919</v>
      </c>
      <c r="B514" t="s">
        <v>1239</v>
      </c>
      <c r="C514" t="s">
        <v>37</v>
      </c>
      <c r="D514" s="41">
        <v>2</v>
      </c>
      <c r="E514" s="41">
        <v>2284</v>
      </c>
      <c r="F514" s="41" t="s">
        <v>3630</v>
      </c>
      <c r="G514" s="41" t="s">
        <v>3630</v>
      </c>
      <c r="H514" s="2043">
        <v>1925904</v>
      </c>
      <c r="I514" s="2043">
        <v>0</v>
      </c>
      <c r="J514">
        <v>0</v>
      </c>
      <c r="L514" s="2043">
        <v>0</v>
      </c>
      <c r="M514">
        <v>599</v>
      </c>
      <c r="N514">
        <v>0</v>
      </c>
    </row>
    <row r="515" spans="1:14">
      <c r="A515" t="s">
        <v>2919</v>
      </c>
      <c r="B515" t="s">
        <v>1239</v>
      </c>
      <c r="C515" t="s">
        <v>37</v>
      </c>
      <c r="D515" s="41">
        <v>4</v>
      </c>
      <c r="E515" s="41">
        <v>2285</v>
      </c>
      <c r="F515" s="41" t="s">
        <v>3632</v>
      </c>
      <c r="G515" s="41" t="s">
        <v>3632</v>
      </c>
      <c r="H515" s="2043">
        <v>1943392</v>
      </c>
      <c r="I515" s="2043">
        <v>0</v>
      </c>
      <c r="J515">
        <v>0</v>
      </c>
      <c r="K515" s="2043">
        <v>0</v>
      </c>
      <c r="L515" s="2043">
        <v>0</v>
      </c>
      <c r="M515">
        <v>599</v>
      </c>
      <c r="N515">
        <v>0</v>
      </c>
    </row>
    <row r="516" spans="1:14">
      <c r="A516" t="s">
        <v>2919</v>
      </c>
      <c r="B516" t="s">
        <v>1239</v>
      </c>
      <c r="C516" t="s">
        <v>37</v>
      </c>
      <c r="D516" s="41">
        <v>4</v>
      </c>
      <c r="E516" s="41">
        <v>2285</v>
      </c>
      <c r="F516" s="41" t="s">
        <v>3632</v>
      </c>
      <c r="G516" s="41" t="s">
        <v>3631</v>
      </c>
      <c r="H516" s="2043">
        <v>1943392</v>
      </c>
      <c r="I516" s="2043">
        <v>0</v>
      </c>
      <c r="J516">
        <v>0</v>
      </c>
      <c r="K516" s="2043">
        <v>0</v>
      </c>
      <c r="L516" s="2043">
        <v>0</v>
      </c>
      <c r="M516">
        <v>599</v>
      </c>
      <c r="N516">
        <v>0</v>
      </c>
    </row>
    <row r="517" spans="1:14">
      <c r="A517" t="s">
        <v>2919</v>
      </c>
      <c r="B517" t="s">
        <v>1239</v>
      </c>
      <c r="C517" t="s">
        <v>37</v>
      </c>
      <c r="D517" s="41">
        <v>4</v>
      </c>
      <c r="E517" s="41">
        <v>2285</v>
      </c>
      <c r="F517" s="41" t="s">
        <v>3632</v>
      </c>
      <c r="G517" s="41" t="s">
        <v>3633</v>
      </c>
      <c r="H517" s="2043">
        <v>1943392</v>
      </c>
      <c r="I517" s="2043">
        <v>0</v>
      </c>
      <c r="J517">
        <v>0</v>
      </c>
      <c r="K517" s="2043">
        <v>0</v>
      </c>
      <c r="L517" s="2043">
        <v>0</v>
      </c>
      <c r="M517">
        <v>599</v>
      </c>
      <c r="N517">
        <v>1</v>
      </c>
    </row>
    <row r="518" spans="1:14">
      <c r="A518" t="s">
        <v>2919</v>
      </c>
      <c r="B518" t="s">
        <v>1239</v>
      </c>
      <c r="C518" t="s">
        <v>37</v>
      </c>
      <c r="D518" s="41">
        <v>4</v>
      </c>
      <c r="E518" s="41">
        <v>2285</v>
      </c>
      <c r="F518" s="41" t="s">
        <v>3632</v>
      </c>
      <c r="G518" s="41" t="s">
        <v>5366</v>
      </c>
      <c r="H518" s="2043">
        <v>1943392</v>
      </c>
      <c r="I518" s="2043">
        <v>1633313</v>
      </c>
      <c r="J518">
        <v>1</v>
      </c>
      <c r="K518" s="2043">
        <v>1943392</v>
      </c>
      <c r="L518" s="2043">
        <v>1633313</v>
      </c>
      <c r="M518">
        <v>599</v>
      </c>
      <c r="N518">
        <v>1</v>
      </c>
    </row>
    <row r="519" spans="1:14">
      <c r="A519" t="s">
        <v>2919</v>
      </c>
      <c r="B519" t="s">
        <v>1239</v>
      </c>
      <c r="C519" t="s">
        <v>37</v>
      </c>
      <c r="D519" s="41">
        <v>7</v>
      </c>
      <c r="E519" s="41">
        <v>2286</v>
      </c>
      <c r="F519" s="41" t="s">
        <v>3634</v>
      </c>
      <c r="G519" s="41" t="s">
        <v>3634</v>
      </c>
      <c r="H519" s="2043">
        <v>2335517</v>
      </c>
      <c r="I519" s="2043">
        <v>0</v>
      </c>
      <c r="J519">
        <v>0</v>
      </c>
      <c r="L519" s="2043">
        <v>0</v>
      </c>
      <c r="M519">
        <v>599</v>
      </c>
      <c r="N519">
        <v>0</v>
      </c>
    </row>
    <row r="520" spans="1:14">
      <c r="A520" t="s">
        <v>2919</v>
      </c>
      <c r="B520" t="s">
        <v>1239</v>
      </c>
      <c r="C520" t="s">
        <v>37</v>
      </c>
      <c r="D520" s="41">
        <v>7</v>
      </c>
      <c r="E520" s="41">
        <v>2286</v>
      </c>
      <c r="F520" s="41" t="s">
        <v>3634</v>
      </c>
      <c r="G520" s="41" t="s">
        <v>3635</v>
      </c>
      <c r="H520" s="2043">
        <v>2335517</v>
      </c>
      <c r="I520" s="2043">
        <v>0</v>
      </c>
      <c r="J520">
        <v>0</v>
      </c>
      <c r="L520" s="2043">
        <v>0</v>
      </c>
      <c r="M520">
        <v>599</v>
      </c>
      <c r="N520">
        <v>1</v>
      </c>
    </row>
    <row r="521" spans="1:14">
      <c r="A521" t="s">
        <v>2919</v>
      </c>
      <c r="B521" t="s">
        <v>1239</v>
      </c>
      <c r="C521" t="s">
        <v>37</v>
      </c>
      <c r="D521" s="41">
        <v>7</v>
      </c>
      <c r="E521" s="41">
        <v>2286</v>
      </c>
      <c r="F521" s="41" t="s">
        <v>3634</v>
      </c>
      <c r="G521" s="41" t="s">
        <v>3636</v>
      </c>
      <c r="H521" s="2043">
        <v>2335517</v>
      </c>
      <c r="I521" s="2043">
        <v>0</v>
      </c>
      <c r="J521">
        <v>0</v>
      </c>
      <c r="L521" s="2043">
        <v>0</v>
      </c>
      <c r="M521">
        <v>599</v>
      </c>
      <c r="N521">
        <v>1</v>
      </c>
    </row>
    <row r="522" spans="1:14">
      <c r="A522" t="s">
        <v>2919</v>
      </c>
      <c r="B522" t="s">
        <v>1239</v>
      </c>
      <c r="C522" t="s">
        <v>37</v>
      </c>
      <c r="D522" s="41">
        <v>9</v>
      </c>
      <c r="E522" s="41">
        <v>2287</v>
      </c>
      <c r="F522" s="41" t="s">
        <v>3637</v>
      </c>
      <c r="G522" s="41" t="s">
        <v>3637</v>
      </c>
      <c r="H522" s="2043">
        <v>2359625</v>
      </c>
      <c r="I522" s="2043">
        <v>0</v>
      </c>
      <c r="J522">
        <v>0</v>
      </c>
      <c r="K522" s="2043">
        <v>0</v>
      </c>
      <c r="L522" s="2043">
        <v>0</v>
      </c>
      <c r="M522">
        <v>599</v>
      </c>
      <c r="N522">
        <v>1</v>
      </c>
    </row>
    <row r="523" spans="1:14">
      <c r="A523" t="s">
        <v>2919</v>
      </c>
      <c r="B523" t="s">
        <v>1239</v>
      </c>
      <c r="C523" t="s">
        <v>37</v>
      </c>
      <c r="D523" s="41">
        <v>9</v>
      </c>
      <c r="E523" s="41">
        <v>2287</v>
      </c>
      <c r="F523" s="41" t="s">
        <v>3637</v>
      </c>
      <c r="G523" s="41" t="s">
        <v>5551</v>
      </c>
      <c r="H523" s="2043">
        <v>2359625</v>
      </c>
      <c r="I523" s="2043">
        <v>2083500</v>
      </c>
      <c r="J523">
        <v>1</v>
      </c>
      <c r="K523" s="2043">
        <v>2359625</v>
      </c>
      <c r="L523" s="2043">
        <v>2083500</v>
      </c>
      <c r="M523">
        <v>599</v>
      </c>
      <c r="N523">
        <v>1</v>
      </c>
    </row>
    <row r="524" spans="1:14">
      <c r="A524" t="s">
        <v>2920</v>
      </c>
      <c r="B524" t="s">
        <v>674</v>
      </c>
      <c r="C524" t="s">
        <v>84</v>
      </c>
      <c r="D524" s="41">
        <v>4</v>
      </c>
      <c r="E524" s="41">
        <v>2310</v>
      </c>
      <c r="F524" s="41" t="s">
        <v>3638</v>
      </c>
      <c r="G524" s="41" t="s">
        <v>3638</v>
      </c>
      <c r="H524" s="2043">
        <v>103380</v>
      </c>
      <c r="I524" s="2043">
        <v>0</v>
      </c>
      <c r="J524">
        <v>0</v>
      </c>
      <c r="K524" s="2043">
        <v>0</v>
      </c>
      <c r="L524" s="2043">
        <v>0</v>
      </c>
      <c r="M524">
        <v>599</v>
      </c>
      <c r="N524">
        <v>0</v>
      </c>
    </row>
    <row r="525" spans="1:14">
      <c r="A525" t="s">
        <v>2920</v>
      </c>
      <c r="B525" t="s">
        <v>674</v>
      </c>
      <c r="C525" t="s">
        <v>84</v>
      </c>
      <c r="D525" s="41">
        <v>4</v>
      </c>
      <c r="E525" s="41">
        <v>2310</v>
      </c>
      <c r="F525" s="41" t="s">
        <v>3638</v>
      </c>
      <c r="G525" s="41" t="s">
        <v>3639</v>
      </c>
      <c r="H525" s="2043">
        <v>103380</v>
      </c>
      <c r="I525" s="2043">
        <v>108625</v>
      </c>
      <c r="J525">
        <v>0.62030665562630305</v>
      </c>
      <c r="K525" s="2043">
        <v>64127.302058647198</v>
      </c>
      <c r="L525" s="2043">
        <v>64127.302058647198</v>
      </c>
      <c r="M525">
        <v>599</v>
      </c>
      <c r="N525">
        <v>1</v>
      </c>
    </row>
    <row r="526" spans="1:14">
      <c r="A526" t="s">
        <v>2920</v>
      </c>
      <c r="B526" t="s">
        <v>674</v>
      </c>
      <c r="C526" t="s">
        <v>84</v>
      </c>
      <c r="D526" s="41">
        <v>4</v>
      </c>
      <c r="E526" s="41">
        <v>2310</v>
      </c>
      <c r="F526" s="41" t="s">
        <v>3638</v>
      </c>
      <c r="G526" s="41" t="s">
        <v>9312</v>
      </c>
      <c r="H526" s="2043">
        <v>103380</v>
      </c>
      <c r="I526" s="2043">
        <v>66490</v>
      </c>
      <c r="J526">
        <v>0.37969334437369701</v>
      </c>
      <c r="K526" s="2043">
        <v>39252.697941352802</v>
      </c>
      <c r="L526" s="2043">
        <v>39252.697941352802</v>
      </c>
      <c r="M526">
        <v>599</v>
      </c>
      <c r="N526">
        <v>1</v>
      </c>
    </row>
    <row r="527" spans="1:14">
      <c r="A527" t="s">
        <v>2920</v>
      </c>
      <c r="B527" t="s">
        <v>674</v>
      </c>
      <c r="C527" t="s">
        <v>84</v>
      </c>
      <c r="D527" s="41">
        <v>7</v>
      </c>
      <c r="E527" s="41">
        <v>2311</v>
      </c>
      <c r="F527" s="41" t="s">
        <v>3640</v>
      </c>
      <c r="G527" s="41" t="s">
        <v>3640</v>
      </c>
      <c r="H527" s="2043">
        <v>128701</v>
      </c>
      <c r="I527" s="2043">
        <v>0</v>
      </c>
      <c r="J527">
        <v>0</v>
      </c>
      <c r="K527" s="2043">
        <v>0</v>
      </c>
      <c r="L527" s="2043">
        <v>0</v>
      </c>
      <c r="M527">
        <v>599</v>
      </c>
      <c r="N527">
        <v>1</v>
      </c>
    </row>
    <row r="528" spans="1:14">
      <c r="A528" t="s">
        <v>2920</v>
      </c>
      <c r="B528" t="s">
        <v>674</v>
      </c>
      <c r="C528" t="s">
        <v>84</v>
      </c>
      <c r="D528" s="41">
        <v>7</v>
      </c>
      <c r="E528" s="41">
        <v>2311</v>
      </c>
      <c r="F528" s="41" t="s">
        <v>3640</v>
      </c>
      <c r="G528" s="41" t="s">
        <v>5552</v>
      </c>
      <c r="H528" s="2043">
        <v>128701</v>
      </c>
      <c r="I528" s="2043">
        <v>110450</v>
      </c>
      <c r="J528">
        <v>1</v>
      </c>
      <c r="K528" s="2043">
        <v>128701</v>
      </c>
      <c r="L528" s="2043">
        <v>110450</v>
      </c>
      <c r="M528">
        <v>599</v>
      </c>
      <c r="N528">
        <v>1</v>
      </c>
    </row>
    <row r="529" spans="1:14">
      <c r="A529" t="s">
        <v>2920</v>
      </c>
      <c r="B529" t="s">
        <v>674</v>
      </c>
      <c r="C529" t="s">
        <v>84</v>
      </c>
      <c r="D529" s="41">
        <v>10</v>
      </c>
      <c r="E529" s="41">
        <v>2309</v>
      </c>
      <c r="F529" s="41" t="s">
        <v>3641</v>
      </c>
      <c r="G529" s="41" t="s">
        <v>3641</v>
      </c>
      <c r="H529" s="2043">
        <v>60163</v>
      </c>
      <c r="I529" s="2043">
        <v>0</v>
      </c>
      <c r="J529">
        <v>0</v>
      </c>
      <c r="K529" s="2043">
        <v>0</v>
      </c>
      <c r="L529" s="2043">
        <v>0</v>
      </c>
      <c r="M529">
        <v>599</v>
      </c>
      <c r="N529">
        <v>1</v>
      </c>
    </row>
    <row r="530" spans="1:14">
      <c r="A530" t="s">
        <v>2920</v>
      </c>
      <c r="B530" t="s">
        <v>674</v>
      </c>
      <c r="C530" t="s">
        <v>84</v>
      </c>
      <c r="D530" s="41">
        <v>10</v>
      </c>
      <c r="E530" s="41">
        <v>2309</v>
      </c>
      <c r="F530" s="41" t="s">
        <v>3641</v>
      </c>
      <c r="G530" s="41" t="s">
        <v>9312</v>
      </c>
      <c r="H530" s="2043">
        <v>60163</v>
      </c>
      <c r="I530" s="2043">
        <v>53954</v>
      </c>
      <c r="J530">
        <v>1</v>
      </c>
      <c r="K530" s="2043">
        <v>60163</v>
      </c>
      <c r="L530" s="2043">
        <v>53954</v>
      </c>
      <c r="M530">
        <v>599</v>
      </c>
      <c r="N530">
        <v>1</v>
      </c>
    </row>
    <row r="531" spans="1:14">
      <c r="A531" t="s">
        <v>2920</v>
      </c>
      <c r="B531" t="s">
        <v>674</v>
      </c>
      <c r="C531" t="s">
        <v>84</v>
      </c>
      <c r="D531" s="41">
        <v>11</v>
      </c>
      <c r="E531" s="41">
        <v>2476</v>
      </c>
      <c r="F531" s="41" t="s">
        <v>8556</v>
      </c>
      <c r="G531" s="41" t="s">
        <v>8556</v>
      </c>
      <c r="H531" s="2043">
        <v>160322</v>
      </c>
      <c r="I531" s="2043">
        <v>0</v>
      </c>
      <c r="J531">
        <v>0</v>
      </c>
      <c r="L531" s="2043">
        <v>0</v>
      </c>
      <c r="M531">
        <v>599</v>
      </c>
      <c r="N531">
        <v>0</v>
      </c>
    </row>
    <row r="532" spans="1:14">
      <c r="A532" t="s">
        <v>2920</v>
      </c>
      <c r="B532" t="s">
        <v>674</v>
      </c>
      <c r="C532" t="s">
        <v>84</v>
      </c>
      <c r="D532" s="41">
        <v>11</v>
      </c>
      <c r="E532" s="41">
        <v>2602</v>
      </c>
      <c r="F532" s="41" t="s">
        <v>7131</v>
      </c>
      <c r="G532" s="41" t="s">
        <v>7131</v>
      </c>
      <c r="H532" s="2043">
        <v>160322</v>
      </c>
      <c r="I532" s="2043">
        <v>147912</v>
      </c>
      <c r="J532">
        <v>1</v>
      </c>
      <c r="K532" s="2043">
        <v>160322</v>
      </c>
      <c r="L532" s="2043">
        <v>147912</v>
      </c>
      <c r="M532">
        <v>599</v>
      </c>
      <c r="N532">
        <v>0</v>
      </c>
    </row>
    <row r="533" spans="1:14">
      <c r="A533" t="s">
        <v>2921</v>
      </c>
      <c r="B533" t="s">
        <v>464</v>
      </c>
      <c r="C533" t="s">
        <v>85</v>
      </c>
      <c r="D533" s="41">
        <v>1</v>
      </c>
      <c r="E533" s="41">
        <v>2314</v>
      </c>
      <c r="F533" s="41" t="s">
        <v>3642</v>
      </c>
      <c r="G533" s="41" t="s">
        <v>3642</v>
      </c>
      <c r="H533" s="2043">
        <v>290250</v>
      </c>
      <c r="I533" s="2043">
        <v>0</v>
      </c>
      <c r="J533">
        <v>0</v>
      </c>
      <c r="K533" s="2043">
        <v>0</v>
      </c>
      <c r="L533" s="2043">
        <v>0</v>
      </c>
      <c r="M533">
        <v>599</v>
      </c>
      <c r="N533">
        <v>0</v>
      </c>
    </row>
    <row r="534" spans="1:14">
      <c r="A534" t="s">
        <v>2921</v>
      </c>
      <c r="B534" t="s">
        <v>464</v>
      </c>
      <c r="C534" t="s">
        <v>85</v>
      </c>
      <c r="D534" s="41">
        <v>1</v>
      </c>
      <c r="E534" s="41">
        <v>2314</v>
      </c>
      <c r="F534" s="41" t="s">
        <v>3642</v>
      </c>
      <c r="G534" s="41" t="s">
        <v>3643</v>
      </c>
      <c r="H534" s="2043">
        <v>290250</v>
      </c>
      <c r="I534" s="2043">
        <v>0</v>
      </c>
      <c r="J534">
        <v>0</v>
      </c>
      <c r="K534" s="2043">
        <v>0</v>
      </c>
      <c r="L534" s="2043">
        <v>0</v>
      </c>
      <c r="M534">
        <v>599</v>
      </c>
      <c r="N534">
        <v>1</v>
      </c>
    </row>
    <row r="535" spans="1:14">
      <c r="A535" t="s">
        <v>2921</v>
      </c>
      <c r="B535" t="s">
        <v>464</v>
      </c>
      <c r="C535" t="s">
        <v>85</v>
      </c>
      <c r="D535" s="41">
        <v>1</v>
      </c>
      <c r="E535" s="41">
        <v>2314</v>
      </c>
      <c r="F535" s="41" t="s">
        <v>3642</v>
      </c>
      <c r="G535" s="41" t="s">
        <v>7132</v>
      </c>
      <c r="H535" s="2043">
        <v>290250</v>
      </c>
      <c r="I535" s="2043">
        <v>270520</v>
      </c>
      <c r="J535">
        <v>1</v>
      </c>
      <c r="K535" s="2043">
        <v>290250</v>
      </c>
      <c r="L535" s="2043">
        <v>270520</v>
      </c>
      <c r="M535">
        <v>599</v>
      </c>
      <c r="N535">
        <v>1</v>
      </c>
    </row>
    <row r="536" spans="1:14">
      <c r="A536" t="s">
        <v>2921</v>
      </c>
      <c r="B536" t="s">
        <v>464</v>
      </c>
      <c r="C536" t="s">
        <v>85</v>
      </c>
      <c r="D536" s="41">
        <v>4</v>
      </c>
      <c r="E536" s="41">
        <v>2315</v>
      </c>
      <c r="F536" s="41" t="s">
        <v>3644</v>
      </c>
      <c r="G536" s="41" t="s">
        <v>3644</v>
      </c>
      <c r="H536" s="2043">
        <v>307688</v>
      </c>
      <c r="I536" s="2043">
        <v>0</v>
      </c>
      <c r="J536">
        <v>0</v>
      </c>
      <c r="K536" s="2043">
        <v>0</v>
      </c>
      <c r="L536" s="2043">
        <v>0</v>
      </c>
      <c r="M536">
        <v>599</v>
      </c>
      <c r="N536">
        <v>0</v>
      </c>
    </row>
    <row r="537" spans="1:14">
      <c r="A537" t="s">
        <v>2921</v>
      </c>
      <c r="B537" t="s">
        <v>464</v>
      </c>
      <c r="C537" t="s">
        <v>85</v>
      </c>
      <c r="D537" s="41">
        <v>4</v>
      </c>
      <c r="E537" s="41">
        <v>2315</v>
      </c>
      <c r="F537" s="41" t="s">
        <v>3644</v>
      </c>
      <c r="G537" s="41" t="s">
        <v>3643</v>
      </c>
      <c r="H537" s="2043">
        <v>307688</v>
      </c>
      <c r="I537" s="2043">
        <v>0</v>
      </c>
      <c r="J537">
        <v>0</v>
      </c>
      <c r="K537" s="2043">
        <v>0</v>
      </c>
      <c r="L537" s="2043">
        <v>0</v>
      </c>
      <c r="M537">
        <v>599</v>
      </c>
      <c r="N537">
        <v>1</v>
      </c>
    </row>
    <row r="538" spans="1:14">
      <c r="A538" t="s">
        <v>2921</v>
      </c>
      <c r="B538" t="s">
        <v>464</v>
      </c>
      <c r="C538" t="s">
        <v>85</v>
      </c>
      <c r="D538" s="41">
        <v>4</v>
      </c>
      <c r="E538" s="41">
        <v>2315</v>
      </c>
      <c r="F538" s="41" t="s">
        <v>3644</v>
      </c>
      <c r="G538" s="41" t="s">
        <v>7132</v>
      </c>
      <c r="H538" s="2043">
        <v>307688</v>
      </c>
      <c r="I538" s="2043">
        <v>269040</v>
      </c>
      <c r="J538">
        <v>1</v>
      </c>
      <c r="K538" s="2043">
        <v>307688</v>
      </c>
      <c r="L538" s="2043">
        <v>269040</v>
      </c>
      <c r="M538">
        <v>599</v>
      </c>
      <c r="N538">
        <v>1</v>
      </c>
    </row>
    <row r="539" spans="1:14">
      <c r="A539" t="s">
        <v>2921</v>
      </c>
      <c r="B539" t="s">
        <v>464</v>
      </c>
      <c r="C539" t="s">
        <v>85</v>
      </c>
      <c r="D539" s="41">
        <v>5</v>
      </c>
      <c r="E539" s="41">
        <v>2312</v>
      </c>
      <c r="F539" s="41" t="s">
        <v>3645</v>
      </c>
      <c r="G539" s="41" t="s">
        <v>3645</v>
      </c>
      <c r="H539" s="2043">
        <v>265690</v>
      </c>
      <c r="I539" s="2043">
        <v>0</v>
      </c>
      <c r="J539">
        <v>0</v>
      </c>
      <c r="K539" s="2043">
        <v>0</v>
      </c>
      <c r="L539" s="2043">
        <v>0</v>
      </c>
      <c r="M539">
        <v>599</v>
      </c>
      <c r="N539">
        <v>0</v>
      </c>
    </row>
    <row r="540" spans="1:14">
      <c r="A540" t="s">
        <v>2921</v>
      </c>
      <c r="B540" t="s">
        <v>464</v>
      </c>
      <c r="C540" t="s">
        <v>85</v>
      </c>
      <c r="D540" s="41">
        <v>5</v>
      </c>
      <c r="E540" s="41">
        <v>2312</v>
      </c>
      <c r="F540" s="41" t="s">
        <v>3645</v>
      </c>
      <c r="G540" s="41" t="s">
        <v>3643</v>
      </c>
      <c r="H540" s="2043">
        <v>265690</v>
      </c>
      <c r="I540" s="2043">
        <v>0</v>
      </c>
      <c r="J540">
        <v>0</v>
      </c>
      <c r="K540" s="2043">
        <v>0</v>
      </c>
      <c r="L540" s="2043">
        <v>0</v>
      </c>
      <c r="M540">
        <v>599</v>
      </c>
      <c r="N540">
        <v>1</v>
      </c>
    </row>
    <row r="541" spans="1:14">
      <c r="A541" t="s">
        <v>2921</v>
      </c>
      <c r="B541" t="s">
        <v>464</v>
      </c>
      <c r="C541" t="s">
        <v>85</v>
      </c>
      <c r="D541" s="41">
        <v>5</v>
      </c>
      <c r="E541" s="41">
        <v>2312</v>
      </c>
      <c r="F541" s="41" t="s">
        <v>3645</v>
      </c>
      <c r="G541" s="41" t="s">
        <v>7132</v>
      </c>
      <c r="H541" s="2043">
        <v>265690</v>
      </c>
      <c r="I541" s="2043">
        <v>247040</v>
      </c>
      <c r="J541">
        <v>1</v>
      </c>
      <c r="K541" s="2043">
        <v>265690</v>
      </c>
      <c r="L541" s="2043">
        <v>247040</v>
      </c>
      <c r="M541">
        <v>599</v>
      </c>
      <c r="N541">
        <v>1</v>
      </c>
    </row>
    <row r="542" spans="1:14">
      <c r="A542" t="s">
        <v>2921</v>
      </c>
      <c r="B542" t="s">
        <v>464</v>
      </c>
      <c r="C542" t="s">
        <v>85</v>
      </c>
      <c r="D542" s="41">
        <v>9</v>
      </c>
      <c r="E542" s="41">
        <v>2313</v>
      </c>
      <c r="F542" s="41" t="s">
        <v>3646</v>
      </c>
      <c r="G542" s="41" t="s">
        <v>3646</v>
      </c>
      <c r="H542" s="2043">
        <v>284877</v>
      </c>
      <c r="I542" s="2043">
        <v>0</v>
      </c>
      <c r="J542">
        <v>0</v>
      </c>
      <c r="K542" s="2043">
        <v>0</v>
      </c>
      <c r="L542" s="2043">
        <v>0</v>
      </c>
      <c r="M542">
        <v>599</v>
      </c>
      <c r="N542">
        <v>1</v>
      </c>
    </row>
    <row r="543" spans="1:14">
      <c r="A543" t="s">
        <v>2921</v>
      </c>
      <c r="B543" t="s">
        <v>464</v>
      </c>
      <c r="C543" t="s">
        <v>85</v>
      </c>
      <c r="D543" s="41">
        <v>9</v>
      </c>
      <c r="E543" s="41">
        <v>2313</v>
      </c>
      <c r="F543" s="41" t="s">
        <v>3646</v>
      </c>
      <c r="G543" s="41" t="s">
        <v>7133</v>
      </c>
      <c r="H543" s="2043">
        <v>284877</v>
      </c>
      <c r="I543" s="2043">
        <v>252600</v>
      </c>
      <c r="J543">
        <v>1</v>
      </c>
      <c r="K543" s="2043">
        <v>284877</v>
      </c>
      <c r="L543" s="2043">
        <v>252600</v>
      </c>
      <c r="M543">
        <v>599</v>
      </c>
      <c r="N543">
        <v>1</v>
      </c>
    </row>
    <row r="544" spans="1:14">
      <c r="A544" t="s">
        <v>4956</v>
      </c>
      <c r="B544" t="s">
        <v>884</v>
      </c>
      <c r="C544" t="s">
        <v>1513</v>
      </c>
      <c r="D544" s="41">
        <v>11</v>
      </c>
      <c r="E544" s="41">
        <v>2586</v>
      </c>
      <c r="F544" s="41" t="s">
        <v>7134</v>
      </c>
      <c r="G544" s="41" t="s">
        <v>7134</v>
      </c>
      <c r="H544" s="2043">
        <v>294575</v>
      </c>
      <c r="I544" s="2043">
        <v>911125</v>
      </c>
      <c r="J544">
        <v>1</v>
      </c>
      <c r="K544" s="2043">
        <v>294575</v>
      </c>
      <c r="L544" s="2043">
        <v>294575</v>
      </c>
      <c r="M544">
        <v>599</v>
      </c>
      <c r="N544">
        <v>1</v>
      </c>
    </row>
    <row r="545" spans="1:14">
      <c r="A545" t="s">
        <v>3647</v>
      </c>
      <c r="B545" t="s">
        <v>1771</v>
      </c>
      <c r="C545" t="s">
        <v>775</v>
      </c>
      <c r="D545" s="41">
        <v>4</v>
      </c>
      <c r="E545" s="41">
        <v>2083</v>
      </c>
      <c r="F545" s="41" t="s">
        <v>3648</v>
      </c>
      <c r="G545" s="41" t="s">
        <v>3648</v>
      </c>
      <c r="H545" s="2043">
        <v>80006</v>
      </c>
      <c r="I545" s="2043">
        <v>79924</v>
      </c>
      <c r="J545">
        <v>1</v>
      </c>
      <c r="K545" s="2043">
        <v>80006</v>
      </c>
      <c r="L545" s="2043">
        <v>79924</v>
      </c>
      <c r="M545">
        <v>199</v>
      </c>
      <c r="N545">
        <v>0</v>
      </c>
    </row>
    <row r="546" spans="1:14">
      <c r="A546" t="s">
        <v>4963</v>
      </c>
      <c r="B546" t="s">
        <v>1845</v>
      </c>
      <c r="C546" t="s">
        <v>1612</v>
      </c>
      <c r="D546" s="41">
        <v>11</v>
      </c>
      <c r="E546" s="41">
        <v>2557</v>
      </c>
      <c r="F546" s="41" t="s">
        <v>7135</v>
      </c>
      <c r="G546" s="41" t="s">
        <v>7135</v>
      </c>
      <c r="H546" s="2043">
        <v>23190</v>
      </c>
      <c r="I546" s="2043">
        <v>0</v>
      </c>
      <c r="J546">
        <v>0</v>
      </c>
      <c r="L546" s="2043">
        <v>0</v>
      </c>
      <c r="M546">
        <v>599</v>
      </c>
      <c r="N546">
        <v>1</v>
      </c>
    </row>
    <row r="547" spans="1:14">
      <c r="A547" t="s">
        <v>2922</v>
      </c>
      <c r="B547" t="s">
        <v>2398</v>
      </c>
      <c r="C547" t="s">
        <v>370</v>
      </c>
      <c r="D547" s="41">
        <v>3</v>
      </c>
      <c r="E547" s="41">
        <v>2128</v>
      </c>
      <c r="F547" s="41" t="s">
        <v>3649</v>
      </c>
      <c r="G547" s="41" t="s">
        <v>3649</v>
      </c>
      <c r="H547" s="2043">
        <v>100000</v>
      </c>
      <c r="I547" s="2043">
        <v>0</v>
      </c>
      <c r="J547">
        <v>0</v>
      </c>
      <c r="L547" s="2043">
        <v>0</v>
      </c>
      <c r="M547">
        <v>599</v>
      </c>
      <c r="N547">
        <v>0</v>
      </c>
    </row>
    <row r="548" spans="1:14">
      <c r="A548" t="s">
        <v>2923</v>
      </c>
      <c r="B548" t="s">
        <v>1548</v>
      </c>
      <c r="C548" t="s">
        <v>999</v>
      </c>
      <c r="D548" s="41">
        <v>3</v>
      </c>
      <c r="E548" s="41">
        <v>1573</v>
      </c>
      <c r="F548" s="41" t="s">
        <v>3650</v>
      </c>
      <c r="G548" s="41" t="s">
        <v>3650</v>
      </c>
      <c r="H548" s="2043">
        <v>342500</v>
      </c>
      <c r="I548" s="2043">
        <v>0</v>
      </c>
      <c r="J548">
        <v>0</v>
      </c>
      <c r="L548" s="2043">
        <v>0</v>
      </c>
      <c r="M548">
        <v>599</v>
      </c>
      <c r="N548">
        <v>0</v>
      </c>
    </row>
    <row r="549" spans="1:14">
      <c r="A549" t="s">
        <v>2923</v>
      </c>
      <c r="B549" t="s">
        <v>1548</v>
      </c>
      <c r="C549" t="s">
        <v>999</v>
      </c>
      <c r="D549" s="41">
        <v>10</v>
      </c>
      <c r="E549" s="41">
        <v>1572</v>
      </c>
      <c r="F549" s="41" t="s">
        <v>3651</v>
      </c>
      <c r="G549" s="41" t="s">
        <v>3651</v>
      </c>
      <c r="H549" s="2043">
        <v>321500</v>
      </c>
      <c r="I549" s="2043">
        <v>0</v>
      </c>
      <c r="J549">
        <v>0</v>
      </c>
      <c r="K549" s="2043">
        <v>0</v>
      </c>
      <c r="L549" s="2043">
        <v>0</v>
      </c>
      <c r="M549">
        <v>599</v>
      </c>
      <c r="N549">
        <v>1</v>
      </c>
    </row>
    <row r="550" spans="1:14">
      <c r="A550" t="s">
        <v>2923</v>
      </c>
      <c r="B550" t="s">
        <v>1548</v>
      </c>
      <c r="C550" t="s">
        <v>999</v>
      </c>
      <c r="D550" s="41">
        <v>10</v>
      </c>
      <c r="E550" s="41">
        <v>1572</v>
      </c>
      <c r="F550" s="41" t="s">
        <v>3651</v>
      </c>
      <c r="G550" s="41" t="s">
        <v>8623</v>
      </c>
      <c r="H550" s="2043">
        <v>321500</v>
      </c>
      <c r="I550" s="2043">
        <v>1327600</v>
      </c>
      <c r="J550">
        <v>1</v>
      </c>
      <c r="K550" s="2043">
        <v>321500</v>
      </c>
      <c r="L550" s="2043">
        <v>321500</v>
      </c>
      <c r="M550">
        <v>599</v>
      </c>
      <c r="N550">
        <v>1</v>
      </c>
    </row>
    <row r="551" spans="1:14">
      <c r="A551" t="s">
        <v>2924</v>
      </c>
      <c r="B551" t="s">
        <v>270</v>
      </c>
      <c r="C551" t="s">
        <v>2236</v>
      </c>
      <c r="D551" s="41">
        <v>9</v>
      </c>
      <c r="E551" s="41">
        <v>1782</v>
      </c>
      <c r="F551" s="41" t="s">
        <v>3652</v>
      </c>
      <c r="G551" s="41" t="s">
        <v>3652</v>
      </c>
      <c r="H551" s="2043">
        <v>300000</v>
      </c>
      <c r="I551" s="2043">
        <v>0</v>
      </c>
      <c r="J551">
        <v>0</v>
      </c>
      <c r="K551" s="2043">
        <v>0</v>
      </c>
      <c r="L551" s="2043">
        <v>0</v>
      </c>
      <c r="M551">
        <v>599</v>
      </c>
      <c r="N551">
        <v>1</v>
      </c>
    </row>
    <row r="552" spans="1:14">
      <c r="A552" t="s">
        <v>2924</v>
      </c>
      <c r="B552" t="s">
        <v>270</v>
      </c>
      <c r="C552" t="s">
        <v>2236</v>
      </c>
      <c r="D552" s="41">
        <v>9</v>
      </c>
      <c r="E552" s="41">
        <v>1782</v>
      </c>
      <c r="F552" s="41" t="s">
        <v>3652</v>
      </c>
      <c r="G552" s="41" t="s">
        <v>7324</v>
      </c>
      <c r="H552" s="2043">
        <v>300000</v>
      </c>
      <c r="I552" s="2043">
        <v>501026</v>
      </c>
      <c r="J552">
        <v>1</v>
      </c>
      <c r="K552" s="2043">
        <v>300000</v>
      </c>
      <c r="L552" s="2043">
        <v>300000</v>
      </c>
      <c r="M552">
        <v>599</v>
      </c>
      <c r="N552">
        <v>1</v>
      </c>
    </row>
    <row r="553" spans="1:14">
      <c r="A553" t="s">
        <v>2924</v>
      </c>
      <c r="B553" t="s">
        <v>270</v>
      </c>
      <c r="C553" t="s">
        <v>2236</v>
      </c>
      <c r="D553" s="41">
        <v>11</v>
      </c>
      <c r="E553" s="41">
        <v>2497</v>
      </c>
      <c r="F553" s="41" t="s">
        <v>7136</v>
      </c>
      <c r="G553" s="41" t="s">
        <v>7136</v>
      </c>
      <c r="H553" s="2043">
        <v>337922</v>
      </c>
      <c r="I553" s="2043">
        <v>411788</v>
      </c>
      <c r="J553">
        <v>1</v>
      </c>
      <c r="K553" s="2043">
        <v>337922</v>
      </c>
      <c r="L553" s="2043">
        <v>337922</v>
      </c>
      <c r="M553">
        <v>599</v>
      </c>
      <c r="N553">
        <v>0</v>
      </c>
    </row>
    <row r="554" spans="1:14">
      <c r="A554" t="s">
        <v>2925</v>
      </c>
      <c r="B554" t="s">
        <v>41</v>
      </c>
      <c r="C554" t="s">
        <v>383</v>
      </c>
      <c r="D554" s="41">
        <v>2</v>
      </c>
      <c r="E554" s="41">
        <v>1932</v>
      </c>
      <c r="F554" s="41" t="s">
        <v>3653</v>
      </c>
      <c r="G554" s="41" t="s">
        <v>3653</v>
      </c>
      <c r="H554" s="2043">
        <v>895013</v>
      </c>
      <c r="I554" s="2043">
        <v>0</v>
      </c>
      <c r="J554">
        <v>0</v>
      </c>
      <c r="L554" s="2043">
        <v>0</v>
      </c>
      <c r="M554">
        <v>599</v>
      </c>
      <c r="N554">
        <v>0</v>
      </c>
    </row>
    <row r="555" spans="1:14">
      <c r="A555" t="s">
        <v>2925</v>
      </c>
      <c r="B555" t="s">
        <v>41</v>
      </c>
      <c r="C555" t="s">
        <v>383</v>
      </c>
      <c r="D555" s="41">
        <v>11</v>
      </c>
      <c r="E555" s="41">
        <v>2506</v>
      </c>
      <c r="F555" s="41" t="s">
        <v>7137</v>
      </c>
      <c r="G555" s="41" t="s">
        <v>7137</v>
      </c>
      <c r="H555" s="2043">
        <v>1145766</v>
      </c>
      <c r="I555" s="2043">
        <v>1470875</v>
      </c>
      <c r="J555">
        <v>0.44385322690009299</v>
      </c>
      <c r="K555" s="2043">
        <v>508551.93637241202</v>
      </c>
      <c r="L555" s="2043">
        <v>508551.93637241202</v>
      </c>
      <c r="M555">
        <v>599</v>
      </c>
      <c r="N555">
        <v>1</v>
      </c>
    </row>
    <row r="556" spans="1:14">
      <c r="A556" t="s">
        <v>2925</v>
      </c>
      <c r="B556" t="s">
        <v>41</v>
      </c>
      <c r="C556" t="s">
        <v>383</v>
      </c>
      <c r="D556" s="41">
        <v>11</v>
      </c>
      <c r="E556" s="41">
        <v>2506</v>
      </c>
      <c r="F556" s="41" t="s">
        <v>7137</v>
      </c>
      <c r="G556" s="41" t="s">
        <v>9313</v>
      </c>
      <c r="H556" s="2043">
        <v>1145766</v>
      </c>
      <c r="I556" s="2043">
        <v>1843002</v>
      </c>
      <c r="J556">
        <v>0.55614677309990701</v>
      </c>
      <c r="K556" s="2043">
        <v>637214.06362758798</v>
      </c>
      <c r="L556" s="2043">
        <v>637214.06362758798</v>
      </c>
      <c r="M556">
        <v>599</v>
      </c>
      <c r="N556">
        <v>1</v>
      </c>
    </row>
    <row r="557" spans="1:14">
      <c r="A557" t="s">
        <v>2926</v>
      </c>
      <c r="B557" t="s">
        <v>1235</v>
      </c>
      <c r="C557" t="s">
        <v>577</v>
      </c>
      <c r="D557" s="41">
        <v>1</v>
      </c>
      <c r="E557" s="41">
        <v>2272</v>
      </c>
      <c r="F557" s="41" t="s">
        <v>3654</v>
      </c>
      <c r="G557" s="41" t="s">
        <v>3654</v>
      </c>
      <c r="H557" s="2043">
        <v>30292</v>
      </c>
      <c r="I557" s="2043">
        <v>0</v>
      </c>
      <c r="J557">
        <v>0</v>
      </c>
      <c r="L557" s="2043">
        <v>0</v>
      </c>
      <c r="M557">
        <v>599</v>
      </c>
      <c r="N557">
        <v>0</v>
      </c>
    </row>
    <row r="558" spans="1:14">
      <c r="A558" t="s">
        <v>2926</v>
      </c>
      <c r="B558" t="s">
        <v>1235</v>
      </c>
      <c r="C558" t="s">
        <v>577</v>
      </c>
      <c r="D558" s="41">
        <v>5</v>
      </c>
      <c r="E558" s="41">
        <v>2273</v>
      </c>
      <c r="F558" s="41" t="s">
        <v>3655</v>
      </c>
      <c r="G558" s="41" t="s">
        <v>3655</v>
      </c>
      <c r="H558" s="2043">
        <v>387158</v>
      </c>
      <c r="I558" s="2043">
        <v>0</v>
      </c>
      <c r="J558">
        <v>0</v>
      </c>
      <c r="K558" s="2043">
        <v>0</v>
      </c>
      <c r="L558" s="2043">
        <v>0</v>
      </c>
      <c r="M558">
        <v>599</v>
      </c>
      <c r="N558">
        <v>0</v>
      </c>
    </row>
    <row r="559" spans="1:14">
      <c r="A559" t="s">
        <v>2926</v>
      </c>
      <c r="B559" t="s">
        <v>1235</v>
      </c>
      <c r="C559" t="s">
        <v>577</v>
      </c>
      <c r="D559" s="41">
        <v>5</v>
      </c>
      <c r="E559" s="41">
        <v>2273</v>
      </c>
      <c r="F559" s="41" t="s">
        <v>3655</v>
      </c>
      <c r="G559" s="41" t="s">
        <v>3656</v>
      </c>
      <c r="H559" s="2043">
        <v>387158</v>
      </c>
      <c r="I559" s="2043">
        <v>375088</v>
      </c>
      <c r="J559">
        <v>1</v>
      </c>
      <c r="K559" s="2043">
        <v>387158</v>
      </c>
      <c r="L559" s="2043">
        <v>375088</v>
      </c>
      <c r="M559">
        <v>599</v>
      </c>
      <c r="N559">
        <v>1</v>
      </c>
    </row>
    <row r="560" spans="1:14">
      <c r="A560" t="s">
        <v>3657</v>
      </c>
      <c r="B560" t="s">
        <v>2401</v>
      </c>
      <c r="C560" t="s">
        <v>1073</v>
      </c>
      <c r="D560" s="41">
        <v>6</v>
      </c>
      <c r="E560" s="41">
        <v>2143</v>
      </c>
      <c r="F560" s="41" t="s">
        <v>3658</v>
      </c>
      <c r="G560" s="41" t="s">
        <v>3658</v>
      </c>
      <c r="H560" s="2043">
        <v>100400</v>
      </c>
      <c r="I560" s="2043">
        <v>0</v>
      </c>
      <c r="J560">
        <v>0</v>
      </c>
      <c r="L560" s="2043">
        <v>0</v>
      </c>
      <c r="M560">
        <v>199</v>
      </c>
      <c r="N560">
        <v>0</v>
      </c>
    </row>
    <row r="561" spans="1:14">
      <c r="A561" t="s">
        <v>3657</v>
      </c>
      <c r="B561" t="s">
        <v>2401</v>
      </c>
      <c r="C561" t="s">
        <v>1073</v>
      </c>
      <c r="D561" s="41">
        <v>11</v>
      </c>
      <c r="E561" s="41">
        <v>2558</v>
      </c>
      <c r="F561" s="41" t="s">
        <v>7138</v>
      </c>
      <c r="G561" s="41" t="s">
        <v>7138</v>
      </c>
      <c r="H561" s="2043">
        <v>126332</v>
      </c>
      <c r="I561" s="2043">
        <v>430928</v>
      </c>
      <c r="J561">
        <v>1</v>
      </c>
      <c r="K561" s="2043">
        <v>126332</v>
      </c>
      <c r="L561" s="2043">
        <v>126332</v>
      </c>
      <c r="M561">
        <v>599</v>
      </c>
      <c r="N561">
        <v>1</v>
      </c>
    </row>
    <row r="562" spans="1:14">
      <c r="A562" t="s">
        <v>2927</v>
      </c>
      <c r="B562" t="s">
        <v>69</v>
      </c>
      <c r="C562" t="s">
        <v>2062</v>
      </c>
      <c r="D562" s="41">
        <v>2</v>
      </c>
      <c r="E562" s="41">
        <v>1686</v>
      </c>
      <c r="F562" s="41" t="s">
        <v>3659</v>
      </c>
      <c r="G562" s="41" t="s">
        <v>3659</v>
      </c>
      <c r="H562" s="2043">
        <v>143416</v>
      </c>
      <c r="I562" s="2043">
        <v>0</v>
      </c>
      <c r="J562">
        <v>0</v>
      </c>
      <c r="L562" s="2043">
        <v>0</v>
      </c>
      <c r="M562">
        <v>599</v>
      </c>
      <c r="N562">
        <v>0</v>
      </c>
    </row>
    <row r="563" spans="1:14">
      <c r="A563" t="s">
        <v>2927</v>
      </c>
      <c r="B563" t="s">
        <v>69</v>
      </c>
      <c r="C563" t="s">
        <v>2062</v>
      </c>
      <c r="D563" s="41">
        <v>5</v>
      </c>
      <c r="E563" s="41">
        <v>1687</v>
      </c>
      <c r="F563" s="41" t="s">
        <v>3661</v>
      </c>
      <c r="G563" s="41" t="s">
        <v>3661</v>
      </c>
      <c r="H563" s="2043">
        <v>198700</v>
      </c>
      <c r="I563" s="2043">
        <v>0</v>
      </c>
      <c r="J563">
        <v>0</v>
      </c>
      <c r="K563" s="2043">
        <v>0</v>
      </c>
      <c r="L563" s="2043">
        <v>0</v>
      </c>
      <c r="M563">
        <v>599</v>
      </c>
      <c r="N563">
        <v>0</v>
      </c>
    </row>
    <row r="564" spans="1:14">
      <c r="A564" t="s">
        <v>2927</v>
      </c>
      <c r="B564" t="s">
        <v>69</v>
      </c>
      <c r="C564" t="s">
        <v>2062</v>
      </c>
      <c r="D564" s="41">
        <v>5</v>
      </c>
      <c r="E564" s="41">
        <v>1687</v>
      </c>
      <c r="F564" s="41" t="s">
        <v>3661</v>
      </c>
      <c r="G564" s="41" t="s">
        <v>3660</v>
      </c>
      <c r="H564" s="2043">
        <v>198700</v>
      </c>
      <c r="I564" s="2043">
        <v>164800</v>
      </c>
      <c r="J564">
        <v>1</v>
      </c>
      <c r="K564" s="2043">
        <v>198700</v>
      </c>
      <c r="L564" s="2043">
        <v>164800</v>
      </c>
      <c r="M564">
        <v>599</v>
      </c>
      <c r="N564">
        <v>1</v>
      </c>
    </row>
    <row r="565" spans="1:14">
      <c r="A565" t="s">
        <v>2928</v>
      </c>
      <c r="B565" t="s">
        <v>675</v>
      </c>
      <c r="C565" t="s">
        <v>3318</v>
      </c>
      <c r="D565" s="41">
        <v>5</v>
      </c>
      <c r="E565" s="41">
        <v>2187</v>
      </c>
      <c r="F565" s="41" t="s">
        <v>3662</v>
      </c>
      <c r="G565" s="41" t="s">
        <v>3662</v>
      </c>
      <c r="H565" s="2043">
        <v>232853</v>
      </c>
      <c r="I565" s="2043">
        <v>0</v>
      </c>
      <c r="J565">
        <v>0</v>
      </c>
      <c r="K565" s="2043">
        <v>0</v>
      </c>
      <c r="L565" s="2043">
        <v>0</v>
      </c>
      <c r="M565">
        <v>599</v>
      </c>
      <c r="N565">
        <v>0</v>
      </c>
    </row>
    <row r="566" spans="1:14">
      <c r="A566" t="s">
        <v>2928</v>
      </c>
      <c r="B566" t="s">
        <v>675</v>
      </c>
      <c r="C566" t="s">
        <v>3318</v>
      </c>
      <c r="D566" s="41">
        <v>5</v>
      </c>
      <c r="E566" s="41">
        <v>2187</v>
      </c>
      <c r="F566" s="41" t="s">
        <v>3662</v>
      </c>
      <c r="G566" s="41" t="s">
        <v>3663</v>
      </c>
      <c r="H566" s="2043">
        <v>232853</v>
      </c>
      <c r="I566" s="2043">
        <v>0</v>
      </c>
      <c r="J566">
        <v>0</v>
      </c>
      <c r="K566" s="2043">
        <v>0</v>
      </c>
      <c r="L566" s="2043">
        <v>0</v>
      </c>
      <c r="M566">
        <v>599</v>
      </c>
      <c r="N566">
        <v>1</v>
      </c>
    </row>
    <row r="567" spans="1:14">
      <c r="A567" t="s">
        <v>2928</v>
      </c>
      <c r="B567" t="s">
        <v>675</v>
      </c>
      <c r="C567" t="s">
        <v>3318</v>
      </c>
      <c r="D567" s="41">
        <v>5</v>
      </c>
      <c r="E567" s="41">
        <v>2187</v>
      </c>
      <c r="F567" s="41" t="s">
        <v>3662</v>
      </c>
      <c r="G567" s="41" t="s">
        <v>5553</v>
      </c>
      <c r="H567" s="2043">
        <v>232853</v>
      </c>
      <c r="I567" s="2043">
        <v>199087</v>
      </c>
      <c r="J567">
        <v>1</v>
      </c>
      <c r="K567" s="2043">
        <v>232853</v>
      </c>
      <c r="L567" s="2043">
        <v>199087</v>
      </c>
      <c r="M567">
        <v>599</v>
      </c>
      <c r="N567">
        <v>1</v>
      </c>
    </row>
    <row r="568" spans="1:14">
      <c r="A568" t="s">
        <v>3664</v>
      </c>
      <c r="B568" t="s">
        <v>542</v>
      </c>
      <c r="C568" t="s">
        <v>1098</v>
      </c>
      <c r="D568" s="41">
        <v>2</v>
      </c>
      <c r="E568" s="41">
        <v>1704</v>
      </c>
      <c r="F568" s="41" t="s">
        <v>3665</v>
      </c>
      <c r="G568" s="41" t="s">
        <v>3665</v>
      </c>
      <c r="H568" s="2043">
        <v>71550</v>
      </c>
      <c r="I568" s="2043">
        <v>0</v>
      </c>
      <c r="J568">
        <v>0</v>
      </c>
      <c r="L568" s="2043">
        <v>0</v>
      </c>
      <c r="M568">
        <v>599</v>
      </c>
      <c r="N568">
        <v>0</v>
      </c>
    </row>
    <row r="569" spans="1:14">
      <c r="A569" t="s">
        <v>2929</v>
      </c>
      <c r="B569" t="s">
        <v>2235</v>
      </c>
      <c r="C569" t="s">
        <v>82</v>
      </c>
      <c r="D569" s="41">
        <v>6</v>
      </c>
      <c r="E569" s="41">
        <v>2306</v>
      </c>
      <c r="F569" s="41" t="s">
        <v>3666</v>
      </c>
      <c r="G569" s="41" t="s">
        <v>3666</v>
      </c>
      <c r="H569" s="2043">
        <v>100000</v>
      </c>
      <c r="I569" s="2043">
        <v>0</v>
      </c>
      <c r="J569">
        <v>0</v>
      </c>
      <c r="K569" s="2043">
        <v>0</v>
      </c>
      <c r="L569" s="2043">
        <v>0</v>
      </c>
      <c r="M569">
        <v>599</v>
      </c>
      <c r="N569">
        <v>0</v>
      </c>
    </row>
    <row r="570" spans="1:14">
      <c r="A570" t="s">
        <v>2929</v>
      </c>
      <c r="B570" t="s">
        <v>2235</v>
      </c>
      <c r="C570" t="s">
        <v>82</v>
      </c>
      <c r="D570" s="41">
        <v>6</v>
      </c>
      <c r="E570" s="41">
        <v>2306</v>
      </c>
      <c r="F570" s="41" t="s">
        <v>3666</v>
      </c>
      <c r="G570" s="41" t="s">
        <v>3667</v>
      </c>
      <c r="H570" s="2043">
        <v>100000</v>
      </c>
      <c r="I570" s="2043">
        <v>90675</v>
      </c>
      <c r="J570">
        <v>1</v>
      </c>
      <c r="K570" s="2043">
        <v>100000</v>
      </c>
      <c r="L570" s="2043">
        <v>90675</v>
      </c>
      <c r="M570">
        <v>599</v>
      </c>
      <c r="N570">
        <v>1</v>
      </c>
    </row>
    <row r="571" spans="1:14">
      <c r="A571" t="s">
        <v>4971</v>
      </c>
      <c r="B571" t="s">
        <v>770</v>
      </c>
      <c r="C571" t="s">
        <v>974</v>
      </c>
      <c r="D571" s="41">
        <v>11</v>
      </c>
      <c r="E571" s="41">
        <v>2587</v>
      </c>
      <c r="F571" s="41" t="s">
        <v>7139</v>
      </c>
      <c r="G571" s="41" t="s">
        <v>7139</v>
      </c>
      <c r="H571" s="2043">
        <v>56550</v>
      </c>
      <c r="I571" s="2043">
        <v>51430</v>
      </c>
      <c r="J571">
        <v>1</v>
      </c>
      <c r="K571" s="2043">
        <v>56550</v>
      </c>
      <c r="L571" s="2043">
        <v>51430</v>
      </c>
      <c r="M571">
        <v>599</v>
      </c>
      <c r="N571">
        <v>1</v>
      </c>
    </row>
    <row r="572" spans="1:14">
      <c r="A572" t="s">
        <v>2930</v>
      </c>
      <c r="B572" t="s">
        <v>547</v>
      </c>
      <c r="C572" t="s">
        <v>1850</v>
      </c>
      <c r="D572" s="41">
        <v>1</v>
      </c>
      <c r="E572" s="41">
        <v>1560</v>
      </c>
      <c r="F572" s="41" t="s">
        <v>3668</v>
      </c>
      <c r="G572" s="41" t="s">
        <v>3668</v>
      </c>
      <c r="H572" s="2043">
        <v>1385015</v>
      </c>
      <c r="I572" s="2043">
        <v>0</v>
      </c>
      <c r="J572">
        <v>0</v>
      </c>
      <c r="L572" s="2043">
        <v>0</v>
      </c>
      <c r="M572">
        <v>599</v>
      </c>
      <c r="N572">
        <v>0</v>
      </c>
    </row>
    <row r="573" spans="1:14">
      <c r="A573" t="s">
        <v>2931</v>
      </c>
      <c r="B573" t="s">
        <v>1549</v>
      </c>
      <c r="C573" t="s">
        <v>1000</v>
      </c>
      <c r="D573" s="41">
        <v>2</v>
      </c>
      <c r="E573" s="41">
        <v>1575</v>
      </c>
      <c r="F573" s="41" t="s">
        <v>3669</v>
      </c>
      <c r="G573" s="41" t="s">
        <v>3669</v>
      </c>
      <c r="H573" s="2043">
        <v>200000</v>
      </c>
      <c r="I573" s="2043">
        <v>0</v>
      </c>
      <c r="J573">
        <v>0</v>
      </c>
      <c r="K573" s="2043">
        <v>0</v>
      </c>
      <c r="L573" s="2043">
        <v>0</v>
      </c>
      <c r="M573">
        <v>599</v>
      </c>
      <c r="N573">
        <v>1</v>
      </c>
    </row>
    <row r="574" spans="1:14">
      <c r="A574" t="s">
        <v>2931</v>
      </c>
      <c r="B574" t="s">
        <v>1549</v>
      </c>
      <c r="C574" t="s">
        <v>1000</v>
      </c>
      <c r="D574" s="41">
        <v>2</v>
      </c>
      <c r="E574" s="41">
        <v>1575</v>
      </c>
      <c r="F574" s="41" t="s">
        <v>3669</v>
      </c>
      <c r="G574" s="41" t="s">
        <v>3670</v>
      </c>
      <c r="H574" s="2043">
        <v>200000</v>
      </c>
      <c r="I574" s="2043">
        <v>493994</v>
      </c>
      <c r="J574">
        <v>0.90812227812777502</v>
      </c>
      <c r="K574" s="2043">
        <v>181624.45562555501</v>
      </c>
      <c r="L574" s="2043">
        <v>181624.45562555501</v>
      </c>
      <c r="M574">
        <v>599</v>
      </c>
      <c r="N574">
        <v>1</v>
      </c>
    </row>
    <row r="575" spans="1:14">
      <c r="A575" t="s">
        <v>2931</v>
      </c>
      <c r="B575" t="s">
        <v>1549</v>
      </c>
      <c r="C575" t="s">
        <v>1000</v>
      </c>
      <c r="D575" s="41">
        <v>2</v>
      </c>
      <c r="E575" s="41">
        <v>1575</v>
      </c>
      <c r="F575" s="41" t="s">
        <v>3669</v>
      </c>
      <c r="G575" s="41" t="s">
        <v>9314</v>
      </c>
      <c r="H575" s="2043">
        <v>200000</v>
      </c>
      <c r="I575" s="2043">
        <v>49979</v>
      </c>
      <c r="J575">
        <v>9.1877721872225301E-2</v>
      </c>
      <c r="K575" s="2043">
        <v>18375.5443744451</v>
      </c>
      <c r="L575" s="2043">
        <v>18375.5443744451</v>
      </c>
      <c r="M575">
        <v>599</v>
      </c>
      <c r="N575">
        <v>1</v>
      </c>
    </row>
    <row r="576" spans="1:14">
      <c r="A576" t="s">
        <v>2931</v>
      </c>
      <c r="B576" t="s">
        <v>1549</v>
      </c>
      <c r="C576" t="s">
        <v>1000</v>
      </c>
      <c r="D576" s="41">
        <v>9</v>
      </c>
      <c r="E576" s="41">
        <v>1578</v>
      </c>
      <c r="F576" s="41" t="s">
        <v>3671</v>
      </c>
      <c r="G576" s="41" t="s">
        <v>3671</v>
      </c>
      <c r="H576" s="2043">
        <v>634691</v>
      </c>
      <c r="I576" s="2043">
        <v>0</v>
      </c>
      <c r="J576">
        <v>0</v>
      </c>
      <c r="K576" s="2043">
        <v>0</v>
      </c>
      <c r="L576" s="2043">
        <v>0</v>
      </c>
      <c r="M576">
        <v>599</v>
      </c>
      <c r="N576">
        <v>1</v>
      </c>
    </row>
    <row r="577" spans="1:14">
      <c r="A577" t="s">
        <v>2931</v>
      </c>
      <c r="B577" t="s">
        <v>1549</v>
      </c>
      <c r="C577" t="s">
        <v>1000</v>
      </c>
      <c r="D577" s="41">
        <v>9</v>
      </c>
      <c r="E577" s="41">
        <v>1578</v>
      </c>
      <c r="F577" s="41" t="s">
        <v>3671</v>
      </c>
      <c r="G577" s="41" t="s">
        <v>5367</v>
      </c>
      <c r="H577" s="2043">
        <v>634691</v>
      </c>
      <c r="I577" s="2043">
        <v>130524</v>
      </c>
      <c r="J577">
        <v>0.154736557584609</v>
      </c>
      <c r="K577" s="2043">
        <v>98209.900469933302</v>
      </c>
      <c r="L577" s="2043">
        <v>98209.900469933302</v>
      </c>
      <c r="M577">
        <v>599</v>
      </c>
      <c r="N577">
        <v>1</v>
      </c>
    </row>
    <row r="578" spans="1:14">
      <c r="A578" t="s">
        <v>2931</v>
      </c>
      <c r="B578" t="s">
        <v>1549</v>
      </c>
      <c r="C578" t="s">
        <v>1000</v>
      </c>
      <c r="D578" s="41">
        <v>9</v>
      </c>
      <c r="E578" s="41">
        <v>1578</v>
      </c>
      <c r="F578" s="41" t="s">
        <v>3671</v>
      </c>
      <c r="G578" s="41" t="s">
        <v>5905</v>
      </c>
      <c r="H578" s="2043">
        <v>634691</v>
      </c>
      <c r="I578" s="2043">
        <v>713000</v>
      </c>
      <c r="J578">
        <v>0.84526344241539098</v>
      </c>
      <c r="K578" s="2043">
        <v>536481.09953006695</v>
      </c>
      <c r="L578" s="2043">
        <v>536481.09953006695</v>
      </c>
      <c r="M578">
        <v>599</v>
      </c>
      <c r="N578">
        <v>1</v>
      </c>
    </row>
    <row r="579" spans="1:14">
      <c r="A579" t="s">
        <v>2931</v>
      </c>
      <c r="B579" t="s">
        <v>1549</v>
      </c>
      <c r="C579" t="s">
        <v>1000</v>
      </c>
      <c r="D579" s="41">
        <v>10</v>
      </c>
      <c r="E579" s="41">
        <v>1574</v>
      </c>
      <c r="F579" s="41" t="s">
        <v>3672</v>
      </c>
      <c r="G579" s="41" t="s">
        <v>3672</v>
      </c>
      <c r="H579" s="2043">
        <v>180500</v>
      </c>
      <c r="I579" s="2043">
        <v>0</v>
      </c>
      <c r="J579">
        <v>0</v>
      </c>
      <c r="K579" s="2043">
        <v>0</v>
      </c>
      <c r="L579" s="2043">
        <v>0</v>
      </c>
      <c r="M579">
        <v>599</v>
      </c>
      <c r="N579">
        <v>1</v>
      </c>
    </row>
    <row r="580" spans="1:14">
      <c r="A580" t="s">
        <v>2931</v>
      </c>
      <c r="B580" t="s">
        <v>1549</v>
      </c>
      <c r="C580" t="s">
        <v>1000</v>
      </c>
      <c r="D580" s="41">
        <v>10</v>
      </c>
      <c r="E580" s="41">
        <v>1574</v>
      </c>
      <c r="F580" s="41" t="s">
        <v>3672</v>
      </c>
      <c r="G580" s="41" t="s">
        <v>8557</v>
      </c>
      <c r="H580" s="2043">
        <v>180500</v>
      </c>
      <c r="I580" s="2043">
        <v>142700</v>
      </c>
      <c r="J580">
        <v>1</v>
      </c>
      <c r="K580" s="2043">
        <v>180500</v>
      </c>
      <c r="L580" s="2043">
        <v>142700</v>
      </c>
      <c r="M580">
        <v>599</v>
      </c>
      <c r="N580">
        <v>1</v>
      </c>
    </row>
    <row r="581" spans="1:14">
      <c r="A581" t="s">
        <v>2931</v>
      </c>
      <c r="B581" t="s">
        <v>1549</v>
      </c>
      <c r="C581" t="s">
        <v>1000</v>
      </c>
      <c r="D581" s="41">
        <v>10</v>
      </c>
      <c r="E581" s="41">
        <v>1576</v>
      </c>
      <c r="F581" s="41" t="s">
        <v>3673</v>
      </c>
      <c r="G581" s="41" t="s">
        <v>3673</v>
      </c>
      <c r="H581" s="2043">
        <v>261525</v>
      </c>
      <c r="I581" s="2043">
        <v>0</v>
      </c>
      <c r="J581">
        <v>0</v>
      </c>
      <c r="K581" s="2043">
        <v>0</v>
      </c>
      <c r="L581" s="2043">
        <v>0</v>
      </c>
      <c r="M581">
        <v>599</v>
      </c>
      <c r="N581">
        <v>1</v>
      </c>
    </row>
    <row r="582" spans="1:14">
      <c r="A582" t="s">
        <v>2931</v>
      </c>
      <c r="B582" t="s">
        <v>1549</v>
      </c>
      <c r="C582" t="s">
        <v>1000</v>
      </c>
      <c r="D582" s="41">
        <v>10</v>
      </c>
      <c r="E582" s="41">
        <v>1576</v>
      </c>
      <c r="F582" s="41" t="s">
        <v>3673</v>
      </c>
      <c r="G582" s="41" t="s">
        <v>8624</v>
      </c>
      <c r="H582" s="2043">
        <v>261525</v>
      </c>
      <c r="I582" s="2043">
        <v>176650</v>
      </c>
      <c r="J582">
        <v>1</v>
      </c>
      <c r="K582" s="2043">
        <v>261525</v>
      </c>
      <c r="L582" s="2043">
        <v>176650</v>
      </c>
      <c r="M582">
        <v>599</v>
      </c>
      <c r="N582">
        <v>1</v>
      </c>
    </row>
    <row r="583" spans="1:14">
      <c r="A583" t="s">
        <v>2931</v>
      </c>
      <c r="B583" t="s">
        <v>1549</v>
      </c>
      <c r="C583" t="s">
        <v>1000</v>
      </c>
      <c r="D583" s="41">
        <v>10</v>
      </c>
      <c r="E583" s="41">
        <v>1577</v>
      </c>
      <c r="F583" s="41" t="s">
        <v>3674</v>
      </c>
      <c r="G583" s="41" t="s">
        <v>3674</v>
      </c>
      <c r="H583" s="2043">
        <v>285928</v>
      </c>
      <c r="I583" s="2043">
        <v>0</v>
      </c>
      <c r="J583">
        <v>0</v>
      </c>
      <c r="K583" s="2043">
        <v>0</v>
      </c>
      <c r="L583" s="2043">
        <v>0</v>
      </c>
      <c r="M583">
        <v>599</v>
      </c>
      <c r="N583">
        <v>1</v>
      </c>
    </row>
    <row r="584" spans="1:14">
      <c r="A584" t="s">
        <v>2931</v>
      </c>
      <c r="B584" t="s">
        <v>1549</v>
      </c>
      <c r="C584" t="s">
        <v>1000</v>
      </c>
      <c r="D584" s="41">
        <v>10</v>
      </c>
      <c r="E584" s="41">
        <v>1577</v>
      </c>
      <c r="F584" s="41" t="s">
        <v>3674</v>
      </c>
      <c r="G584" s="41" t="s">
        <v>9314</v>
      </c>
      <c r="H584" s="2043">
        <v>285928</v>
      </c>
      <c r="I584" s="2043">
        <v>675504</v>
      </c>
      <c r="J584">
        <v>1</v>
      </c>
      <c r="K584" s="2043">
        <v>285928</v>
      </c>
      <c r="L584" s="2043">
        <v>285928</v>
      </c>
      <c r="M584">
        <v>599</v>
      </c>
      <c r="N584">
        <v>1</v>
      </c>
    </row>
    <row r="585" spans="1:14">
      <c r="A585" t="s">
        <v>2931</v>
      </c>
      <c r="B585" t="s">
        <v>1549</v>
      </c>
      <c r="C585" t="s">
        <v>1000</v>
      </c>
      <c r="D585" s="41">
        <v>11</v>
      </c>
      <c r="E585" s="41">
        <v>2504</v>
      </c>
      <c r="F585" s="41" t="s">
        <v>7140</v>
      </c>
      <c r="G585" s="41" t="s">
        <v>7140</v>
      </c>
      <c r="H585" s="2043">
        <v>156800</v>
      </c>
      <c r="I585" s="2043">
        <v>156800</v>
      </c>
      <c r="J585">
        <v>0.42129586092937699</v>
      </c>
      <c r="K585" s="2043">
        <v>66059.190993726195</v>
      </c>
      <c r="L585" s="2043">
        <v>66059.190993726195</v>
      </c>
      <c r="M585">
        <v>599</v>
      </c>
      <c r="N585">
        <v>1</v>
      </c>
    </row>
    <row r="586" spans="1:14">
      <c r="A586" t="s">
        <v>2931</v>
      </c>
      <c r="B586" t="s">
        <v>1549</v>
      </c>
      <c r="C586" t="s">
        <v>1000</v>
      </c>
      <c r="D586" s="41">
        <v>11</v>
      </c>
      <c r="E586" s="41">
        <v>2504</v>
      </c>
      <c r="F586" s="41" t="s">
        <v>7140</v>
      </c>
      <c r="G586" s="41" t="s">
        <v>9315</v>
      </c>
      <c r="H586" s="2043">
        <v>156800</v>
      </c>
      <c r="I586" s="2043">
        <v>215385</v>
      </c>
      <c r="J586">
        <v>0.57870413907062301</v>
      </c>
      <c r="K586" s="2043">
        <v>90740.809006273805</v>
      </c>
      <c r="L586" s="2043">
        <v>90740.809006273805</v>
      </c>
      <c r="M586">
        <v>599</v>
      </c>
      <c r="N586">
        <v>1</v>
      </c>
    </row>
    <row r="587" spans="1:14">
      <c r="A587" t="s">
        <v>2931</v>
      </c>
      <c r="B587" t="s">
        <v>1549</v>
      </c>
      <c r="C587" t="s">
        <v>1000</v>
      </c>
      <c r="D587" s="41">
        <v>11</v>
      </c>
      <c r="E587" s="41">
        <v>2503</v>
      </c>
      <c r="F587" s="41" t="s">
        <v>7141</v>
      </c>
      <c r="G587" s="41" t="s">
        <v>7141</v>
      </c>
      <c r="H587" s="2043">
        <v>107088</v>
      </c>
      <c r="I587" s="2043">
        <v>30629</v>
      </c>
      <c r="J587">
        <v>1</v>
      </c>
      <c r="K587" s="2043">
        <v>107088</v>
      </c>
      <c r="L587" s="2043">
        <v>30629</v>
      </c>
      <c r="M587">
        <v>599</v>
      </c>
      <c r="N587">
        <v>1</v>
      </c>
    </row>
    <row r="588" spans="1:14">
      <c r="A588" t="s">
        <v>2931</v>
      </c>
      <c r="B588" t="s">
        <v>1549</v>
      </c>
      <c r="C588" t="s">
        <v>1000</v>
      </c>
      <c r="D588" s="41">
        <v>11</v>
      </c>
      <c r="E588" s="41">
        <v>2505</v>
      </c>
      <c r="F588" s="41" t="s">
        <v>7142</v>
      </c>
      <c r="G588" s="41" t="s">
        <v>7142</v>
      </c>
      <c r="H588" s="2043">
        <v>465516</v>
      </c>
      <c r="I588" s="2043">
        <v>1186542</v>
      </c>
      <c r="J588">
        <v>1</v>
      </c>
      <c r="K588" s="2043">
        <v>465516</v>
      </c>
      <c r="L588" s="2043">
        <v>465516</v>
      </c>
      <c r="M588">
        <v>599</v>
      </c>
      <c r="N588">
        <v>0</v>
      </c>
    </row>
    <row r="589" spans="1:14">
      <c r="A589" t="s">
        <v>2932</v>
      </c>
      <c r="B589" t="s">
        <v>2362</v>
      </c>
      <c r="C589" t="s">
        <v>617</v>
      </c>
      <c r="D589" s="41">
        <v>6</v>
      </c>
      <c r="E589" s="41">
        <v>1671</v>
      </c>
      <c r="F589" s="41" t="s">
        <v>3675</v>
      </c>
      <c r="G589" s="41" t="s">
        <v>3675</v>
      </c>
      <c r="H589" s="2043">
        <v>129550</v>
      </c>
      <c r="I589" s="2043">
        <v>0</v>
      </c>
      <c r="J589">
        <v>0</v>
      </c>
      <c r="K589" s="2043">
        <v>0</v>
      </c>
      <c r="L589" s="2043">
        <v>0</v>
      </c>
      <c r="M589">
        <v>599</v>
      </c>
      <c r="N589">
        <v>0</v>
      </c>
    </row>
    <row r="590" spans="1:14">
      <c r="A590" t="s">
        <v>2932</v>
      </c>
      <c r="B590" t="s">
        <v>2362</v>
      </c>
      <c r="C590" t="s">
        <v>617</v>
      </c>
      <c r="D590" s="41">
        <v>6</v>
      </c>
      <c r="E590" s="41">
        <v>1671</v>
      </c>
      <c r="F590" s="41" t="s">
        <v>3675</v>
      </c>
      <c r="G590" s="41" t="s">
        <v>3676</v>
      </c>
      <c r="H590" s="2043">
        <v>129550</v>
      </c>
      <c r="I590" s="2043">
        <v>106665</v>
      </c>
      <c r="J590">
        <v>0.79346718342024403</v>
      </c>
      <c r="K590" s="2043">
        <v>102793.673612093</v>
      </c>
      <c r="L590" s="2043">
        <v>102793.673612093</v>
      </c>
      <c r="M590">
        <v>599</v>
      </c>
      <c r="N590">
        <v>1</v>
      </c>
    </row>
    <row r="591" spans="1:14">
      <c r="A591" t="s">
        <v>2932</v>
      </c>
      <c r="B591" t="s">
        <v>2362</v>
      </c>
      <c r="C591" t="s">
        <v>617</v>
      </c>
      <c r="D591" s="41">
        <v>6</v>
      </c>
      <c r="E591" s="41">
        <v>1671</v>
      </c>
      <c r="F591" s="41" t="s">
        <v>3675</v>
      </c>
      <c r="G591" s="41" t="s">
        <v>5368</v>
      </c>
      <c r="H591" s="2043">
        <v>129550</v>
      </c>
      <c r="I591" s="2043">
        <v>27764</v>
      </c>
      <c r="J591">
        <v>0.206532816579756</v>
      </c>
      <c r="K591" s="2043">
        <v>26756.3263879074</v>
      </c>
      <c r="L591" s="2043">
        <v>26756.3263879074</v>
      </c>
      <c r="M591">
        <v>599</v>
      </c>
      <c r="N591">
        <v>1</v>
      </c>
    </row>
    <row r="592" spans="1:14">
      <c r="A592" t="s">
        <v>2932</v>
      </c>
      <c r="B592" t="s">
        <v>2362</v>
      </c>
      <c r="C592" t="s">
        <v>617</v>
      </c>
      <c r="D592" s="41">
        <v>6</v>
      </c>
      <c r="E592" s="41">
        <v>1672</v>
      </c>
      <c r="F592" s="41" t="s">
        <v>3677</v>
      </c>
      <c r="G592" s="41" t="s">
        <v>3677</v>
      </c>
      <c r="H592" s="2043">
        <v>143455</v>
      </c>
      <c r="I592" s="2043">
        <v>0</v>
      </c>
      <c r="J592">
        <v>0</v>
      </c>
      <c r="K592" s="2043">
        <v>0</v>
      </c>
      <c r="L592" s="2043">
        <v>0</v>
      </c>
      <c r="M592">
        <v>599</v>
      </c>
      <c r="N592">
        <v>0</v>
      </c>
    </row>
    <row r="593" spans="1:14">
      <c r="A593" t="s">
        <v>2932</v>
      </c>
      <c r="B593" t="s">
        <v>2362</v>
      </c>
      <c r="C593" t="s">
        <v>617</v>
      </c>
      <c r="D593" s="41">
        <v>6</v>
      </c>
      <c r="E593" s="41">
        <v>1672</v>
      </c>
      <c r="F593" s="41" t="s">
        <v>3677</v>
      </c>
      <c r="G593" s="41" t="s">
        <v>3676</v>
      </c>
      <c r="H593" s="2043">
        <v>143455</v>
      </c>
      <c r="I593" s="2043">
        <v>589254</v>
      </c>
      <c r="J593">
        <v>0.90754431034801397</v>
      </c>
      <c r="K593" s="2043">
        <v>130191.769040974</v>
      </c>
      <c r="L593" s="2043">
        <v>130191.769040974</v>
      </c>
      <c r="M593">
        <v>599</v>
      </c>
      <c r="N593">
        <v>1</v>
      </c>
    </row>
    <row r="594" spans="1:14">
      <c r="A594" t="s">
        <v>2932</v>
      </c>
      <c r="B594" t="s">
        <v>2362</v>
      </c>
      <c r="C594" t="s">
        <v>617</v>
      </c>
      <c r="D594" s="41">
        <v>6</v>
      </c>
      <c r="E594" s="41">
        <v>1672</v>
      </c>
      <c r="F594" s="41" t="s">
        <v>3677</v>
      </c>
      <c r="G594" s="41" t="s">
        <v>5368</v>
      </c>
      <c r="H594" s="2043">
        <v>143455</v>
      </c>
      <c r="I594" s="2043">
        <v>60030</v>
      </c>
      <c r="J594">
        <v>9.2455689651985903E-2</v>
      </c>
      <c r="K594" s="2043">
        <v>13263.230959025601</v>
      </c>
      <c r="L594" s="2043">
        <v>13263.230959025601</v>
      </c>
      <c r="M594">
        <v>599</v>
      </c>
      <c r="N594">
        <v>1</v>
      </c>
    </row>
    <row r="595" spans="1:14">
      <c r="A595" t="s">
        <v>2933</v>
      </c>
      <c r="B595" t="s">
        <v>1593</v>
      </c>
      <c r="C595" t="s">
        <v>99</v>
      </c>
      <c r="D595" s="41">
        <v>3</v>
      </c>
      <c r="E595" s="41">
        <v>1811</v>
      </c>
      <c r="F595" s="41" t="s">
        <v>3678</v>
      </c>
      <c r="G595" s="41" t="s">
        <v>3678</v>
      </c>
      <c r="H595" s="2043">
        <v>172081</v>
      </c>
      <c r="I595" s="2043">
        <v>0</v>
      </c>
      <c r="J595">
        <v>0</v>
      </c>
      <c r="K595" s="2043">
        <v>0</v>
      </c>
      <c r="L595" s="2043">
        <v>0</v>
      </c>
      <c r="M595">
        <v>599</v>
      </c>
      <c r="N595">
        <v>0</v>
      </c>
    </row>
    <row r="596" spans="1:14">
      <c r="A596" t="s">
        <v>2933</v>
      </c>
      <c r="B596" t="s">
        <v>1593</v>
      </c>
      <c r="C596" t="s">
        <v>99</v>
      </c>
      <c r="D596" s="41">
        <v>3</v>
      </c>
      <c r="E596" s="41">
        <v>1811</v>
      </c>
      <c r="F596" s="41" t="s">
        <v>3678</v>
      </c>
      <c r="G596" s="41" t="s">
        <v>3679</v>
      </c>
      <c r="H596" s="2043">
        <v>172081</v>
      </c>
      <c r="I596" s="2043">
        <v>0</v>
      </c>
      <c r="J596">
        <v>0</v>
      </c>
      <c r="K596" s="2043">
        <v>0</v>
      </c>
      <c r="L596" s="2043">
        <v>0</v>
      </c>
      <c r="M596">
        <v>599</v>
      </c>
      <c r="N596">
        <v>1</v>
      </c>
    </row>
    <row r="597" spans="1:14">
      <c r="A597" t="s">
        <v>2933</v>
      </c>
      <c r="B597" t="s">
        <v>1593</v>
      </c>
      <c r="C597" t="s">
        <v>99</v>
      </c>
      <c r="D597" s="41">
        <v>3</v>
      </c>
      <c r="E597" s="41">
        <v>1811</v>
      </c>
      <c r="F597" s="41" t="s">
        <v>3678</v>
      </c>
      <c r="G597" s="41" t="s">
        <v>7325</v>
      </c>
      <c r="H597" s="2043">
        <v>172081</v>
      </c>
      <c r="I597" s="2043">
        <v>609128</v>
      </c>
      <c r="J597">
        <v>1</v>
      </c>
      <c r="K597" s="2043">
        <v>172081</v>
      </c>
      <c r="L597" s="2043">
        <v>172081</v>
      </c>
      <c r="M597">
        <v>599</v>
      </c>
      <c r="N597">
        <v>1</v>
      </c>
    </row>
    <row r="598" spans="1:14">
      <c r="A598" t="s">
        <v>2934</v>
      </c>
      <c r="B598" t="s">
        <v>1340</v>
      </c>
      <c r="C598" t="s">
        <v>1389</v>
      </c>
      <c r="D598" s="41">
        <v>1</v>
      </c>
      <c r="E598" s="41">
        <v>1831</v>
      </c>
      <c r="F598" s="41" t="s">
        <v>3680</v>
      </c>
      <c r="G598" s="41" t="s">
        <v>3680</v>
      </c>
      <c r="H598" s="2043">
        <v>569214</v>
      </c>
      <c r="I598" s="2043">
        <v>0</v>
      </c>
      <c r="J598">
        <v>0</v>
      </c>
      <c r="K598" s="2043">
        <v>0</v>
      </c>
      <c r="L598" s="2043">
        <v>0</v>
      </c>
      <c r="M598">
        <v>599</v>
      </c>
      <c r="N598">
        <v>0</v>
      </c>
    </row>
    <row r="599" spans="1:14">
      <c r="A599" t="s">
        <v>2934</v>
      </c>
      <c r="B599" t="s">
        <v>1340</v>
      </c>
      <c r="C599" t="s">
        <v>1389</v>
      </c>
      <c r="D599" s="41">
        <v>1</v>
      </c>
      <c r="E599" s="41">
        <v>1831</v>
      </c>
      <c r="F599" s="41" t="s">
        <v>3680</v>
      </c>
      <c r="G599" s="41" t="s">
        <v>3681</v>
      </c>
      <c r="H599" s="2043">
        <v>569214</v>
      </c>
      <c r="I599" s="2043">
        <v>0</v>
      </c>
      <c r="J599">
        <v>0</v>
      </c>
      <c r="K599" s="2043">
        <v>0</v>
      </c>
      <c r="L599" s="2043">
        <v>0</v>
      </c>
      <c r="M599">
        <v>599</v>
      </c>
      <c r="N599">
        <v>1</v>
      </c>
    </row>
    <row r="600" spans="1:14">
      <c r="A600" t="s">
        <v>2934</v>
      </c>
      <c r="B600" t="s">
        <v>1340</v>
      </c>
      <c r="C600" t="s">
        <v>1389</v>
      </c>
      <c r="D600" s="41">
        <v>1</v>
      </c>
      <c r="E600" s="41">
        <v>1831</v>
      </c>
      <c r="F600" s="41" t="s">
        <v>3680</v>
      </c>
      <c r="G600" s="41" t="s">
        <v>3682</v>
      </c>
      <c r="H600" s="2043">
        <v>569214</v>
      </c>
      <c r="I600" s="2043">
        <v>12580</v>
      </c>
      <c r="J600">
        <v>3.75303927564552E-2</v>
      </c>
      <c r="K600" s="2043">
        <v>21362.824982472899</v>
      </c>
      <c r="L600" s="2043">
        <v>12580</v>
      </c>
      <c r="M600">
        <v>599</v>
      </c>
      <c r="N600">
        <v>1</v>
      </c>
    </row>
    <row r="601" spans="1:14">
      <c r="A601" t="s">
        <v>2934</v>
      </c>
      <c r="B601" t="s">
        <v>1340</v>
      </c>
      <c r="C601" t="s">
        <v>1389</v>
      </c>
      <c r="D601" s="41">
        <v>1</v>
      </c>
      <c r="E601" s="41">
        <v>1831</v>
      </c>
      <c r="F601" s="41" t="s">
        <v>3680</v>
      </c>
      <c r="G601" s="41" t="s">
        <v>3683</v>
      </c>
      <c r="H601" s="2043">
        <v>569214</v>
      </c>
      <c r="I601" s="2043">
        <v>0</v>
      </c>
      <c r="J601">
        <v>0</v>
      </c>
      <c r="K601" s="2043">
        <v>0</v>
      </c>
      <c r="L601" s="2043">
        <v>0</v>
      </c>
      <c r="M601">
        <v>599</v>
      </c>
      <c r="N601">
        <v>0</v>
      </c>
    </row>
    <row r="602" spans="1:14">
      <c r="A602" t="s">
        <v>2934</v>
      </c>
      <c r="B602" t="s">
        <v>1340</v>
      </c>
      <c r="C602" t="s">
        <v>1389</v>
      </c>
      <c r="D602" s="41">
        <v>1</v>
      </c>
      <c r="E602" s="41">
        <v>1831</v>
      </c>
      <c r="F602" s="41" t="s">
        <v>3680</v>
      </c>
      <c r="G602" s="41" t="s">
        <v>3684</v>
      </c>
      <c r="H602" s="2043">
        <v>569214</v>
      </c>
      <c r="I602" s="2043">
        <v>0</v>
      </c>
      <c r="J602">
        <v>0</v>
      </c>
      <c r="K602" s="2043">
        <v>0</v>
      </c>
      <c r="L602" s="2043">
        <v>0</v>
      </c>
      <c r="M602">
        <v>599</v>
      </c>
      <c r="N602">
        <v>1</v>
      </c>
    </row>
    <row r="603" spans="1:14">
      <c r="A603" t="s">
        <v>2934</v>
      </c>
      <c r="B603" t="s">
        <v>1340</v>
      </c>
      <c r="C603" t="s">
        <v>1389</v>
      </c>
      <c r="D603" s="41">
        <v>1</v>
      </c>
      <c r="E603" s="41">
        <v>1831</v>
      </c>
      <c r="F603" s="41" t="s">
        <v>3680</v>
      </c>
      <c r="G603" s="41" t="s">
        <v>3685</v>
      </c>
      <c r="H603" s="2043">
        <v>569214</v>
      </c>
      <c r="I603" s="2043">
        <v>4006</v>
      </c>
      <c r="J603">
        <v>1.1951252256149399E-2</v>
      </c>
      <c r="K603" s="2043">
        <v>6802.8201017318297</v>
      </c>
      <c r="L603" s="2043">
        <v>4006</v>
      </c>
      <c r="M603">
        <v>599</v>
      </c>
      <c r="N603">
        <v>1</v>
      </c>
    </row>
    <row r="604" spans="1:14">
      <c r="A604" t="s">
        <v>2934</v>
      </c>
      <c r="B604" t="s">
        <v>1340</v>
      </c>
      <c r="C604" t="s">
        <v>1389</v>
      </c>
      <c r="D604" s="41">
        <v>1</v>
      </c>
      <c r="E604" s="41">
        <v>1831</v>
      </c>
      <c r="F604" s="41" t="s">
        <v>3680</v>
      </c>
      <c r="G604" s="41" t="s">
        <v>3686</v>
      </c>
      <c r="H604" s="2043">
        <v>569214</v>
      </c>
      <c r="I604" s="2043">
        <v>79</v>
      </c>
      <c r="J604">
        <v>2.3568370649920201E-4</v>
      </c>
      <c r="K604" s="2043">
        <v>134.154465311237</v>
      </c>
      <c r="L604" s="2043">
        <v>79</v>
      </c>
      <c r="M604">
        <v>599</v>
      </c>
      <c r="N604">
        <v>1</v>
      </c>
    </row>
    <row r="605" spans="1:14">
      <c r="A605" t="s">
        <v>2934</v>
      </c>
      <c r="B605" t="s">
        <v>1340</v>
      </c>
      <c r="C605" t="s">
        <v>1389</v>
      </c>
      <c r="D605" s="41">
        <v>1</v>
      </c>
      <c r="E605" s="41">
        <v>1831</v>
      </c>
      <c r="F605" s="41" t="s">
        <v>3680</v>
      </c>
      <c r="G605" s="41" t="s">
        <v>3687</v>
      </c>
      <c r="H605" s="2043">
        <v>569214</v>
      </c>
      <c r="I605" s="2043">
        <v>76642</v>
      </c>
      <c r="J605">
        <v>0.22864899536090899</v>
      </c>
      <c r="K605" s="2043">
        <v>130150.209245365</v>
      </c>
      <c r="L605" s="2043">
        <v>76642</v>
      </c>
      <c r="M605">
        <v>599</v>
      </c>
      <c r="N605">
        <v>1</v>
      </c>
    </row>
    <row r="606" spans="1:14">
      <c r="A606" t="s">
        <v>2934</v>
      </c>
      <c r="B606" t="s">
        <v>1340</v>
      </c>
      <c r="C606" t="s">
        <v>1389</v>
      </c>
      <c r="D606" s="41">
        <v>1</v>
      </c>
      <c r="E606" s="41">
        <v>1831</v>
      </c>
      <c r="F606" s="41" t="s">
        <v>3680</v>
      </c>
      <c r="G606" s="41" t="s">
        <v>5369</v>
      </c>
      <c r="H606" s="2043">
        <v>569214</v>
      </c>
      <c r="I606" s="2043">
        <v>237266</v>
      </c>
      <c r="J606">
        <v>0.70784468742075501</v>
      </c>
      <c r="K606" s="2043">
        <v>402915.10590551799</v>
      </c>
      <c r="L606" s="2043">
        <v>237266</v>
      </c>
      <c r="M606">
        <v>599</v>
      </c>
      <c r="N606">
        <v>0</v>
      </c>
    </row>
    <row r="607" spans="1:14">
      <c r="A607" t="s">
        <v>2934</v>
      </c>
      <c r="B607" t="s">
        <v>1340</v>
      </c>
      <c r="C607" t="s">
        <v>1389</v>
      </c>
      <c r="D607" s="41">
        <v>1</v>
      </c>
      <c r="E607" s="41">
        <v>1831</v>
      </c>
      <c r="F607" s="41" t="s">
        <v>3680</v>
      </c>
      <c r="G607" s="41" t="s">
        <v>8558</v>
      </c>
      <c r="H607" s="2043">
        <v>569214</v>
      </c>
      <c r="I607" s="2043">
        <v>3014</v>
      </c>
      <c r="J607">
        <v>8.9917809036530998E-3</v>
      </c>
      <c r="K607" s="2043">
        <v>5118.24757529199</v>
      </c>
      <c r="L607" s="2043">
        <v>3014</v>
      </c>
      <c r="M607">
        <v>599</v>
      </c>
      <c r="N607">
        <v>1</v>
      </c>
    </row>
    <row r="608" spans="1:14">
      <c r="A608" t="s">
        <v>2934</v>
      </c>
      <c r="B608" t="s">
        <v>1340</v>
      </c>
      <c r="C608" t="s">
        <v>1389</v>
      </c>
      <c r="D608" s="41">
        <v>1</v>
      </c>
      <c r="E608" s="41">
        <v>1831</v>
      </c>
      <c r="F608" s="41" t="s">
        <v>3680</v>
      </c>
      <c r="G608" s="41" t="s">
        <v>9316</v>
      </c>
      <c r="H608" s="2043">
        <v>569214</v>
      </c>
      <c r="I608" s="2043">
        <v>980</v>
      </c>
      <c r="J608">
        <v>2.9236712958128899E-3</v>
      </c>
      <c r="K608" s="2043">
        <v>1664.19463297484</v>
      </c>
      <c r="L608" s="2043">
        <v>980</v>
      </c>
      <c r="M608">
        <v>599</v>
      </c>
      <c r="N608">
        <v>1</v>
      </c>
    </row>
    <row r="609" spans="1:14">
      <c r="A609" t="s">
        <v>2934</v>
      </c>
      <c r="B609" t="s">
        <v>1340</v>
      </c>
      <c r="C609" t="s">
        <v>1389</v>
      </c>
      <c r="D609" s="41">
        <v>1</v>
      </c>
      <c r="E609" s="41">
        <v>1831</v>
      </c>
      <c r="F609" s="41" t="s">
        <v>3680</v>
      </c>
      <c r="G609" s="41" t="s">
        <v>9317</v>
      </c>
      <c r="H609" s="2043">
        <v>569214</v>
      </c>
      <c r="I609" s="2043">
        <v>628</v>
      </c>
      <c r="J609">
        <v>1.8735362997658099E-3</v>
      </c>
      <c r="K609" s="2043">
        <v>1066.4430913348899</v>
      </c>
      <c r="L609" s="2043">
        <v>628</v>
      </c>
      <c r="M609">
        <v>599</v>
      </c>
      <c r="N609">
        <v>1</v>
      </c>
    </row>
    <row r="610" spans="1:14">
      <c r="A610" t="s">
        <v>2934</v>
      </c>
      <c r="B610" t="s">
        <v>1340</v>
      </c>
      <c r="C610" t="s">
        <v>1389</v>
      </c>
      <c r="D610" s="41">
        <v>2</v>
      </c>
      <c r="E610" s="41">
        <v>1830</v>
      </c>
      <c r="F610" s="41" t="s">
        <v>3688</v>
      </c>
      <c r="G610" s="41" t="s">
        <v>3688</v>
      </c>
      <c r="H610" s="2043">
        <v>364536</v>
      </c>
      <c r="I610" s="2043">
        <v>0</v>
      </c>
      <c r="J610">
        <v>0</v>
      </c>
      <c r="K610" s="2043">
        <v>0</v>
      </c>
      <c r="L610" s="2043">
        <v>0</v>
      </c>
      <c r="M610">
        <v>599</v>
      </c>
      <c r="N610">
        <v>0</v>
      </c>
    </row>
    <row r="611" spans="1:14">
      <c r="A611" t="s">
        <v>2934</v>
      </c>
      <c r="B611" t="s">
        <v>1340</v>
      </c>
      <c r="C611" t="s">
        <v>1389</v>
      </c>
      <c r="D611" s="41">
        <v>2</v>
      </c>
      <c r="E611" s="41">
        <v>1830</v>
      </c>
      <c r="F611" s="41" t="s">
        <v>3688</v>
      </c>
      <c r="G611" s="41" t="s">
        <v>3681</v>
      </c>
      <c r="H611" s="2043">
        <v>364536</v>
      </c>
      <c r="I611" s="2043">
        <v>0</v>
      </c>
      <c r="J611">
        <v>0</v>
      </c>
      <c r="K611" s="2043">
        <v>0</v>
      </c>
      <c r="L611" s="2043">
        <v>0</v>
      </c>
      <c r="M611">
        <v>599</v>
      </c>
      <c r="N611">
        <v>1</v>
      </c>
    </row>
    <row r="612" spans="1:14">
      <c r="A612" t="s">
        <v>2934</v>
      </c>
      <c r="B612" t="s">
        <v>1340</v>
      </c>
      <c r="C612" t="s">
        <v>1389</v>
      </c>
      <c r="D612" s="41">
        <v>2</v>
      </c>
      <c r="E612" s="41">
        <v>1830</v>
      </c>
      <c r="F612" s="41" t="s">
        <v>3688</v>
      </c>
      <c r="G612" s="41" t="s">
        <v>3682</v>
      </c>
      <c r="H612" s="2043">
        <v>364536</v>
      </c>
      <c r="I612" s="2043">
        <v>29868</v>
      </c>
      <c r="J612">
        <v>5.7233960196068703E-2</v>
      </c>
      <c r="K612" s="2043">
        <v>20863.838914034099</v>
      </c>
      <c r="L612" s="2043">
        <v>20863.838914034099</v>
      </c>
      <c r="M612">
        <v>599</v>
      </c>
      <c r="N612">
        <v>1</v>
      </c>
    </row>
    <row r="613" spans="1:14">
      <c r="A613" t="s">
        <v>2934</v>
      </c>
      <c r="B613" t="s">
        <v>1340</v>
      </c>
      <c r="C613" t="s">
        <v>1389</v>
      </c>
      <c r="D613" s="41">
        <v>2</v>
      </c>
      <c r="E613" s="41">
        <v>1830</v>
      </c>
      <c r="F613" s="41" t="s">
        <v>3688</v>
      </c>
      <c r="G613" s="41" t="s">
        <v>3689</v>
      </c>
      <c r="H613" s="2043">
        <v>364536</v>
      </c>
      <c r="I613" s="2043">
        <v>0</v>
      </c>
      <c r="J613">
        <v>0</v>
      </c>
      <c r="K613" s="2043">
        <v>0</v>
      </c>
      <c r="L613" s="2043">
        <v>0</v>
      </c>
      <c r="M613">
        <v>599</v>
      </c>
      <c r="N613">
        <v>1</v>
      </c>
    </row>
    <row r="614" spans="1:14">
      <c r="A614" t="s">
        <v>2934</v>
      </c>
      <c r="B614" t="s">
        <v>1340</v>
      </c>
      <c r="C614" t="s">
        <v>1389</v>
      </c>
      <c r="D614" s="41">
        <v>2</v>
      </c>
      <c r="E614" s="41">
        <v>1830</v>
      </c>
      <c r="F614" s="41" t="s">
        <v>3688</v>
      </c>
      <c r="G614" s="41" t="s">
        <v>3684</v>
      </c>
      <c r="H614" s="2043">
        <v>364536</v>
      </c>
      <c r="I614" s="2043">
        <v>0</v>
      </c>
      <c r="J614">
        <v>0</v>
      </c>
      <c r="K614" s="2043">
        <v>0</v>
      </c>
      <c r="L614" s="2043">
        <v>0</v>
      </c>
      <c r="M614">
        <v>599</v>
      </c>
      <c r="N614">
        <v>1</v>
      </c>
    </row>
    <row r="615" spans="1:14">
      <c r="A615" t="s">
        <v>2934</v>
      </c>
      <c r="B615" t="s">
        <v>1340</v>
      </c>
      <c r="C615" t="s">
        <v>1389</v>
      </c>
      <c r="D615" s="41">
        <v>2</v>
      </c>
      <c r="E615" s="41">
        <v>1830</v>
      </c>
      <c r="F615" s="41" t="s">
        <v>3688</v>
      </c>
      <c r="G615" s="41" t="s">
        <v>3685</v>
      </c>
      <c r="H615" s="2043">
        <v>364536</v>
      </c>
      <c r="I615" s="2043">
        <v>9509</v>
      </c>
      <c r="J615">
        <v>1.8221431883769099E-2</v>
      </c>
      <c r="K615" s="2043">
        <v>6642.3678931816703</v>
      </c>
      <c r="L615" s="2043">
        <v>6642.3678931816703</v>
      </c>
      <c r="M615">
        <v>599</v>
      </c>
      <c r="N615">
        <v>1</v>
      </c>
    </row>
    <row r="616" spans="1:14">
      <c r="A616" t="s">
        <v>2934</v>
      </c>
      <c r="B616" t="s">
        <v>1340</v>
      </c>
      <c r="C616" t="s">
        <v>1389</v>
      </c>
      <c r="D616" s="41">
        <v>2</v>
      </c>
      <c r="E616" s="41">
        <v>1830</v>
      </c>
      <c r="F616" s="41" t="s">
        <v>3688</v>
      </c>
      <c r="G616" s="41" t="s">
        <v>3686</v>
      </c>
      <c r="H616" s="2043">
        <v>364536</v>
      </c>
      <c r="I616" s="2043">
        <v>187</v>
      </c>
      <c r="J616">
        <v>3.5833502600324198E-4</v>
      </c>
      <c r="K616" s="2043">
        <v>130.62601703911801</v>
      </c>
      <c r="L616" s="2043">
        <v>130.62601703911801</v>
      </c>
      <c r="M616">
        <v>599</v>
      </c>
      <c r="N616">
        <v>1</v>
      </c>
    </row>
    <row r="617" spans="1:14">
      <c r="A617" t="s">
        <v>2934</v>
      </c>
      <c r="B617" t="s">
        <v>1340</v>
      </c>
      <c r="C617" t="s">
        <v>1389</v>
      </c>
      <c r="D617" s="41">
        <v>2</v>
      </c>
      <c r="E617" s="41">
        <v>1830</v>
      </c>
      <c r="F617" s="41" t="s">
        <v>3688</v>
      </c>
      <c r="G617" s="41" t="s">
        <v>8558</v>
      </c>
      <c r="H617" s="2043">
        <v>364536</v>
      </c>
      <c r="I617" s="2043">
        <v>478478</v>
      </c>
      <c r="J617">
        <v>0.91687393888758995</v>
      </c>
      <c r="K617" s="2043">
        <v>334233.55818632699</v>
      </c>
      <c r="L617" s="2043">
        <v>334233.55818632699</v>
      </c>
      <c r="M617">
        <v>599</v>
      </c>
      <c r="N617">
        <v>1</v>
      </c>
    </row>
    <row r="618" spans="1:14">
      <c r="A618" t="s">
        <v>2934</v>
      </c>
      <c r="B618" t="s">
        <v>1340</v>
      </c>
      <c r="C618" t="s">
        <v>1389</v>
      </c>
      <c r="D618" s="41">
        <v>2</v>
      </c>
      <c r="E618" s="41">
        <v>1830</v>
      </c>
      <c r="F618" s="41" t="s">
        <v>3688</v>
      </c>
      <c r="G618" s="41" t="s">
        <v>9316</v>
      </c>
      <c r="H618" s="2043">
        <v>364536</v>
      </c>
      <c r="I618" s="2043">
        <v>2325</v>
      </c>
      <c r="J618">
        <v>4.4552349489707897E-3</v>
      </c>
      <c r="K618" s="2043">
        <v>1624.0935273580201</v>
      </c>
      <c r="L618" s="2043">
        <v>1624.0935273580201</v>
      </c>
      <c r="M618">
        <v>599</v>
      </c>
      <c r="N618">
        <v>1</v>
      </c>
    </row>
    <row r="619" spans="1:14">
      <c r="A619" t="s">
        <v>2934</v>
      </c>
      <c r="B619" t="s">
        <v>1340</v>
      </c>
      <c r="C619" t="s">
        <v>1389</v>
      </c>
      <c r="D619" s="41">
        <v>2</v>
      </c>
      <c r="E619" s="41">
        <v>1830</v>
      </c>
      <c r="F619" s="41" t="s">
        <v>3688</v>
      </c>
      <c r="G619" s="41" t="s">
        <v>9317</v>
      </c>
      <c r="H619" s="2043">
        <v>364536</v>
      </c>
      <c r="I619" s="2043">
        <v>1491</v>
      </c>
      <c r="J619">
        <v>2.8570990575980401E-3</v>
      </c>
      <c r="K619" s="2043">
        <v>1041.5154620605599</v>
      </c>
      <c r="L619" s="2043">
        <v>1041.5154620605599</v>
      </c>
      <c r="M619">
        <v>599</v>
      </c>
      <c r="N619">
        <v>1</v>
      </c>
    </row>
    <row r="620" spans="1:14">
      <c r="A620" t="s">
        <v>2935</v>
      </c>
      <c r="B620" t="s">
        <v>2389</v>
      </c>
      <c r="C620" t="s">
        <v>774</v>
      </c>
      <c r="D620" s="41">
        <v>1</v>
      </c>
      <c r="E620" s="41">
        <v>2082</v>
      </c>
      <c r="F620" s="41" t="s">
        <v>3690</v>
      </c>
      <c r="G620" s="41" t="s">
        <v>3690</v>
      </c>
      <c r="H620" s="2043">
        <v>1347187</v>
      </c>
      <c r="I620" s="2043">
        <v>0</v>
      </c>
      <c r="J620">
        <v>0</v>
      </c>
      <c r="L620" s="2043">
        <v>0</v>
      </c>
      <c r="M620">
        <v>599</v>
      </c>
      <c r="N620">
        <v>0</v>
      </c>
    </row>
    <row r="621" spans="1:14">
      <c r="A621" t="s">
        <v>2936</v>
      </c>
      <c r="B621" t="s">
        <v>608</v>
      </c>
      <c r="C621" t="s">
        <v>2076</v>
      </c>
      <c r="D621" s="41">
        <v>9</v>
      </c>
      <c r="E621" s="41">
        <v>2089</v>
      </c>
      <c r="F621" s="41" t="s">
        <v>3691</v>
      </c>
      <c r="G621" s="41" t="s">
        <v>3691</v>
      </c>
      <c r="H621" s="2043">
        <v>334507</v>
      </c>
      <c r="I621" s="2043">
        <v>0</v>
      </c>
      <c r="J621">
        <v>0</v>
      </c>
      <c r="K621" s="2043">
        <v>0</v>
      </c>
      <c r="L621" s="2043">
        <v>0</v>
      </c>
      <c r="M621">
        <v>599</v>
      </c>
      <c r="N621">
        <v>1</v>
      </c>
    </row>
    <row r="622" spans="1:14">
      <c r="A622" t="s">
        <v>2936</v>
      </c>
      <c r="B622" t="s">
        <v>608</v>
      </c>
      <c r="C622" t="s">
        <v>2076</v>
      </c>
      <c r="D622" s="41">
        <v>9</v>
      </c>
      <c r="E622" s="41">
        <v>2089</v>
      </c>
      <c r="F622" s="41" t="s">
        <v>3691</v>
      </c>
      <c r="G622" s="41" t="s">
        <v>5906</v>
      </c>
      <c r="H622" s="2043">
        <v>334507</v>
      </c>
      <c r="I622" s="2043">
        <v>531490</v>
      </c>
      <c r="J622">
        <v>1</v>
      </c>
      <c r="K622" s="2043">
        <v>334507</v>
      </c>
      <c r="L622" s="2043">
        <v>334507</v>
      </c>
      <c r="M622">
        <v>599</v>
      </c>
      <c r="N622">
        <v>1</v>
      </c>
    </row>
    <row r="623" spans="1:14">
      <c r="A623" t="s">
        <v>2936</v>
      </c>
      <c r="B623" t="s">
        <v>608</v>
      </c>
      <c r="C623" t="s">
        <v>2076</v>
      </c>
      <c r="D623" s="41">
        <v>10</v>
      </c>
      <c r="E623" s="41">
        <v>2088</v>
      </c>
      <c r="F623" s="41" t="s">
        <v>3692</v>
      </c>
      <c r="G623" s="41" t="s">
        <v>3692</v>
      </c>
      <c r="H623" s="2043">
        <v>121098</v>
      </c>
      <c r="I623" s="2043">
        <v>0</v>
      </c>
      <c r="J623">
        <v>0</v>
      </c>
      <c r="K623" s="2043">
        <v>0</v>
      </c>
      <c r="L623" s="2043">
        <v>0</v>
      </c>
      <c r="M623">
        <v>599</v>
      </c>
      <c r="N623">
        <v>1</v>
      </c>
    </row>
    <row r="624" spans="1:14">
      <c r="A624" t="s">
        <v>2936</v>
      </c>
      <c r="B624" t="s">
        <v>608</v>
      </c>
      <c r="C624" t="s">
        <v>2076</v>
      </c>
      <c r="D624" s="41">
        <v>10</v>
      </c>
      <c r="E624" s="41">
        <v>2088</v>
      </c>
      <c r="F624" s="41" t="s">
        <v>3692</v>
      </c>
      <c r="G624" s="41" t="s">
        <v>7143</v>
      </c>
      <c r="H624" s="2043">
        <v>121098</v>
      </c>
      <c r="I624" s="2043">
        <v>188795</v>
      </c>
      <c r="J624">
        <v>1</v>
      </c>
      <c r="K624" s="2043">
        <v>121098</v>
      </c>
      <c r="L624" s="2043">
        <v>121098</v>
      </c>
      <c r="M624">
        <v>599</v>
      </c>
      <c r="N624">
        <v>1</v>
      </c>
    </row>
    <row r="625" spans="1:14">
      <c r="A625" t="s">
        <v>2936</v>
      </c>
      <c r="B625" t="s">
        <v>608</v>
      </c>
      <c r="C625" t="s">
        <v>2076</v>
      </c>
      <c r="D625" s="41">
        <v>11</v>
      </c>
      <c r="E625" s="41">
        <v>2515</v>
      </c>
      <c r="F625" s="41" t="s">
        <v>7144</v>
      </c>
      <c r="G625" s="41" t="s">
        <v>7144</v>
      </c>
      <c r="H625" s="2043">
        <v>561949</v>
      </c>
      <c r="I625" s="2043">
        <v>66971</v>
      </c>
      <c r="J625">
        <v>9.9090634691413604E-2</v>
      </c>
      <c r="K625" s="2043">
        <v>55683.883074205201</v>
      </c>
      <c r="L625" s="2043">
        <v>55683.883074205201</v>
      </c>
      <c r="M625">
        <v>599</v>
      </c>
      <c r="N625">
        <v>1</v>
      </c>
    </row>
    <row r="626" spans="1:14">
      <c r="A626" t="s">
        <v>2936</v>
      </c>
      <c r="B626" t="s">
        <v>608</v>
      </c>
      <c r="C626" t="s">
        <v>2076</v>
      </c>
      <c r="D626" s="41">
        <v>11</v>
      </c>
      <c r="E626" s="41">
        <v>2515</v>
      </c>
      <c r="F626" s="41" t="s">
        <v>7144</v>
      </c>
      <c r="G626" s="41" t="s">
        <v>9318</v>
      </c>
      <c r="H626" s="2043">
        <v>561949</v>
      </c>
      <c r="I626" s="2043">
        <v>608885</v>
      </c>
      <c r="J626">
        <v>0.90090936530858601</v>
      </c>
      <c r="K626" s="2043">
        <v>506265.11692579498</v>
      </c>
      <c r="L626" s="2043">
        <v>506265.11692579498</v>
      </c>
      <c r="M626">
        <v>599</v>
      </c>
      <c r="N626">
        <v>1</v>
      </c>
    </row>
    <row r="627" spans="1:14">
      <c r="A627" t="s">
        <v>2937</v>
      </c>
      <c r="B627" t="s">
        <v>204</v>
      </c>
      <c r="C627" t="s">
        <v>72</v>
      </c>
      <c r="D627" s="41">
        <v>2</v>
      </c>
      <c r="E627" s="41">
        <v>2214</v>
      </c>
      <c r="F627" s="41" t="s">
        <v>3693</v>
      </c>
      <c r="G627" s="41" t="s">
        <v>3693</v>
      </c>
      <c r="H627" s="2043">
        <v>470750</v>
      </c>
      <c r="I627" s="2043">
        <v>0</v>
      </c>
      <c r="J627">
        <v>0</v>
      </c>
      <c r="L627" s="2043">
        <v>0</v>
      </c>
      <c r="M627">
        <v>599</v>
      </c>
      <c r="N627">
        <v>0</v>
      </c>
    </row>
    <row r="628" spans="1:14">
      <c r="A628" t="s">
        <v>2937</v>
      </c>
      <c r="B628" t="s">
        <v>204</v>
      </c>
      <c r="C628" t="s">
        <v>72</v>
      </c>
      <c r="D628" s="41">
        <v>6</v>
      </c>
      <c r="E628" s="41">
        <v>2215</v>
      </c>
      <c r="F628" s="41" t="s">
        <v>3694</v>
      </c>
      <c r="G628" s="41" t="s">
        <v>3694</v>
      </c>
      <c r="H628" s="2043">
        <v>556250</v>
      </c>
      <c r="I628" s="2043">
        <v>0</v>
      </c>
      <c r="J628">
        <v>0</v>
      </c>
      <c r="K628" s="2043">
        <v>0</v>
      </c>
      <c r="L628" s="2043">
        <v>0</v>
      </c>
      <c r="M628">
        <v>599</v>
      </c>
      <c r="N628">
        <v>0</v>
      </c>
    </row>
    <row r="629" spans="1:14">
      <c r="A629" t="s">
        <v>2937</v>
      </c>
      <c r="B629" t="s">
        <v>204</v>
      </c>
      <c r="C629" t="s">
        <v>72</v>
      </c>
      <c r="D629" s="41">
        <v>6</v>
      </c>
      <c r="E629" s="41">
        <v>2215</v>
      </c>
      <c r="F629" s="41" t="s">
        <v>3694</v>
      </c>
      <c r="G629" s="41" t="s">
        <v>3695</v>
      </c>
      <c r="H629" s="2043">
        <v>556250</v>
      </c>
      <c r="I629" s="2043">
        <v>687162</v>
      </c>
      <c r="J629">
        <v>0.25391432873599301</v>
      </c>
      <c r="K629" s="2043">
        <v>141239.84535939599</v>
      </c>
      <c r="L629" s="2043">
        <v>141239.84535939599</v>
      </c>
      <c r="M629">
        <v>599</v>
      </c>
      <c r="N629">
        <v>1</v>
      </c>
    </row>
    <row r="630" spans="1:14">
      <c r="A630" t="s">
        <v>2937</v>
      </c>
      <c r="B630" t="s">
        <v>204</v>
      </c>
      <c r="C630" t="s">
        <v>72</v>
      </c>
      <c r="D630" s="41">
        <v>6</v>
      </c>
      <c r="E630" s="41">
        <v>2215</v>
      </c>
      <c r="F630" s="41" t="s">
        <v>3694</v>
      </c>
      <c r="G630" s="41" t="s">
        <v>3696</v>
      </c>
      <c r="H630" s="2043">
        <v>556250</v>
      </c>
      <c r="I630" s="2043">
        <v>0</v>
      </c>
      <c r="J630">
        <v>0</v>
      </c>
      <c r="K630" s="2043">
        <v>0</v>
      </c>
      <c r="L630" s="2043">
        <v>0</v>
      </c>
      <c r="M630">
        <v>599</v>
      </c>
      <c r="N630">
        <v>1</v>
      </c>
    </row>
    <row r="631" spans="1:14">
      <c r="A631" t="s">
        <v>2937</v>
      </c>
      <c r="B631" t="s">
        <v>204</v>
      </c>
      <c r="C631" t="s">
        <v>72</v>
      </c>
      <c r="D631" s="41">
        <v>6</v>
      </c>
      <c r="E631" s="41">
        <v>2215</v>
      </c>
      <c r="F631" s="41" t="s">
        <v>3694</v>
      </c>
      <c r="G631" s="41" t="s">
        <v>5370</v>
      </c>
      <c r="H631" s="2043">
        <v>556250</v>
      </c>
      <c r="I631" s="2043">
        <v>1019726</v>
      </c>
      <c r="J631">
        <v>0.37680058382832499</v>
      </c>
      <c r="K631" s="2043">
        <v>209595.324754506</v>
      </c>
      <c r="L631" s="2043">
        <v>209595.324754506</v>
      </c>
      <c r="M631">
        <v>599</v>
      </c>
      <c r="N631">
        <v>1</v>
      </c>
    </row>
    <row r="632" spans="1:14">
      <c r="A632" t="s">
        <v>2937</v>
      </c>
      <c r="B632" t="s">
        <v>204</v>
      </c>
      <c r="C632" t="s">
        <v>72</v>
      </c>
      <c r="D632" s="41">
        <v>6</v>
      </c>
      <c r="E632" s="41">
        <v>2215</v>
      </c>
      <c r="F632" s="41" t="s">
        <v>3694</v>
      </c>
      <c r="G632" s="41" t="s">
        <v>7145</v>
      </c>
      <c r="H632" s="2043">
        <v>556250</v>
      </c>
      <c r="I632" s="2043">
        <v>999387</v>
      </c>
      <c r="J632">
        <v>0.369285087435682</v>
      </c>
      <c r="K632" s="2043">
        <v>205414.82988609801</v>
      </c>
      <c r="L632" s="2043">
        <v>205414.82988609801</v>
      </c>
      <c r="M632">
        <v>599</v>
      </c>
      <c r="N632">
        <v>1</v>
      </c>
    </row>
    <row r="633" spans="1:14">
      <c r="A633" t="s">
        <v>2937</v>
      </c>
      <c r="B633" t="s">
        <v>204</v>
      </c>
      <c r="C633" t="s">
        <v>72</v>
      </c>
      <c r="D633" s="41">
        <v>9</v>
      </c>
      <c r="E633" s="41">
        <v>2216</v>
      </c>
      <c r="F633" s="41" t="s">
        <v>3697</v>
      </c>
      <c r="G633" s="41" t="s">
        <v>3697</v>
      </c>
      <c r="H633" s="2043">
        <v>607244</v>
      </c>
      <c r="I633" s="2043">
        <v>0</v>
      </c>
      <c r="J633">
        <v>0</v>
      </c>
      <c r="K633" s="2043">
        <v>0</v>
      </c>
      <c r="L633" s="2043">
        <v>0</v>
      </c>
      <c r="M633">
        <v>599</v>
      </c>
      <c r="N633">
        <v>1</v>
      </c>
    </row>
    <row r="634" spans="1:14">
      <c r="A634" t="s">
        <v>2937</v>
      </c>
      <c r="B634" t="s">
        <v>204</v>
      </c>
      <c r="C634" t="s">
        <v>72</v>
      </c>
      <c r="D634" s="41">
        <v>9</v>
      </c>
      <c r="E634" s="41">
        <v>2216</v>
      </c>
      <c r="F634" s="41" t="s">
        <v>3697</v>
      </c>
      <c r="G634" s="41" t="s">
        <v>5554</v>
      </c>
      <c r="H634" s="2043">
        <v>607244</v>
      </c>
      <c r="I634" s="2043">
        <v>609278</v>
      </c>
      <c r="J634">
        <v>1</v>
      </c>
      <c r="K634" s="2043">
        <v>607244</v>
      </c>
      <c r="L634" s="2043">
        <v>607244</v>
      </c>
      <c r="M634">
        <v>599</v>
      </c>
      <c r="N634">
        <v>1</v>
      </c>
    </row>
    <row r="635" spans="1:14">
      <c r="A635" t="s">
        <v>2937</v>
      </c>
      <c r="B635" t="s">
        <v>204</v>
      </c>
      <c r="C635" t="s">
        <v>72</v>
      </c>
      <c r="D635" s="41">
        <v>10</v>
      </c>
      <c r="E635" s="41">
        <v>2213</v>
      </c>
      <c r="F635" s="41" t="s">
        <v>3698</v>
      </c>
      <c r="G635" s="41" t="s">
        <v>3698</v>
      </c>
      <c r="H635" s="2043">
        <v>251143</v>
      </c>
      <c r="I635" s="2043">
        <v>219800</v>
      </c>
      <c r="J635">
        <v>1</v>
      </c>
      <c r="K635" s="2043">
        <v>251143</v>
      </c>
      <c r="L635" s="2043">
        <v>219800</v>
      </c>
      <c r="M635">
        <v>599</v>
      </c>
      <c r="N635">
        <v>1</v>
      </c>
    </row>
    <row r="636" spans="1:14">
      <c r="A636" t="s">
        <v>2937</v>
      </c>
      <c r="B636" t="s">
        <v>204</v>
      </c>
      <c r="C636" t="s">
        <v>72</v>
      </c>
      <c r="D636" s="41">
        <v>11</v>
      </c>
      <c r="E636" s="41">
        <v>2487</v>
      </c>
      <c r="F636" s="41" t="s">
        <v>7146</v>
      </c>
      <c r="G636" s="41" t="s">
        <v>7146</v>
      </c>
      <c r="H636" s="2043">
        <v>903924</v>
      </c>
      <c r="I636" s="2043">
        <v>463125</v>
      </c>
      <c r="J636">
        <v>1</v>
      </c>
      <c r="K636" s="2043">
        <v>903924</v>
      </c>
      <c r="L636" s="2043">
        <v>463125</v>
      </c>
      <c r="M636">
        <v>599</v>
      </c>
      <c r="N636">
        <v>1</v>
      </c>
    </row>
    <row r="637" spans="1:14">
      <c r="A637" t="s">
        <v>2938</v>
      </c>
      <c r="B637" t="s">
        <v>1492</v>
      </c>
      <c r="C637" t="s">
        <v>74</v>
      </c>
      <c r="D637" s="41">
        <v>2</v>
      </c>
      <c r="E637" s="41">
        <v>2222</v>
      </c>
      <c r="F637" s="41" t="s">
        <v>3699</v>
      </c>
      <c r="G637" s="41" t="s">
        <v>3699</v>
      </c>
      <c r="H637" s="2043">
        <v>210750</v>
      </c>
      <c r="I637" s="2043">
        <v>0</v>
      </c>
      <c r="J637">
        <v>0</v>
      </c>
      <c r="K637" s="2043">
        <v>0</v>
      </c>
      <c r="L637" s="2043">
        <v>0</v>
      </c>
      <c r="M637">
        <v>599</v>
      </c>
      <c r="N637">
        <v>0</v>
      </c>
    </row>
    <row r="638" spans="1:14">
      <c r="A638" t="s">
        <v>2938</v>
      </c>
      <c r="B638" t="s">
        <v>1492</v>
      </c>
      <c r="C638" t="s">
        <v>74</v>
      </c>
      <c r="D638" s="41">
        <v>2</v>
      </c>
      <c r="E638" s="41">
        <v>2222</v>
      </c>
      <c r="F638" s="41" t="s">
        <v>3699</v>
      </c>
      <c r="G638" s="41" t="s">
        <v>3700</v>
      </c>
      <c r="H638" s="2043">
        <v>210750</v>
      </c>
      <c r="I638" s="2043">
        <v>8266</v>
      </c>
      <c r="J638">
        <v>1.74863341738733E-2</v>
      </c>
      <c r="K638" s="2043">
        <v>3685.2449271437999</v>
      </c>
      <c r="L638" s="2043">
        <v>3685.2449271437999</v>
      </c>
      <c r="M638">
        <v>599</v>
      </c>
      <c r="N638">
        <v>1</v>
      </c>
    </row>
    <row r="639" spans="1:14">
      <c r="A639" t="s">
        <v>2938</v>
      </c>
      <c r="B639" t="s">
        <v>1492</v>
      </c>
      <c r="C639" t="s">
        <v>74</v>
      </c>
      <c r="D639" s="41">
        <v>2</v>
      </c>
      <c r="E639" s="41">
        <v>2222</v>
      </c>
      <c r="F639" s="41" t="s">
        <v>3699</v>
      </c>
      <c r="G639" s="41" t="s">
        <v>3701</v>
      </c>
      <c r="H639" s="2043">
        <v>210750</v>
      </c>
      <c r="I639" s="2043">
        <v>0</v>
      </c>
      <c r="J639">
        <v>0</v>
      </c>
      <c r="K639" s="2043">
        <v>0</v>
      </c>
      <c r="L639" s="2043">
        <v>0</v>
      </c>
      <c r="M639">
        <v>599</v>
      </c>
      <c r="N639">
        <v>1</v>
      </c>
    </row>
    <row r="640" spans="1:14">
      <c r="A640" t="s">
        <v>2938</v>
      </c>
      <c r="B640" t="s">
        <v>1492</v>
      </c>
      <c r="C640" t="s">
        <v>74</v>
      </c>
      <c r="D640" s="41">
        <v>2</v>
      </c>
      <c r="E640" s="41">
        <v>2222</v>
      </c>
      <c r="F640" s="41" t="s">
        <v>3699</v>
      </c>
      <c r="G640" s="41" t="s">
        <v>3702</v>
      </c>
      <c r="H640" s="2043">
        <v>210750</v>
      </c>
      <c r="I640" s="2043">
        <v>2337</v>
      </c>
      <c r="J640">
        <v>4.9438135693614703E-3</v>
      </c>
      <c r="K640" s="2043">
        <v>1041.9087097429299</v>
      </c>
      <c r="L640" s="2043">
        <v>1041.9087097429299</v>
      </c>
      <c r="M640">
        <v>599</v>
      </c>
      <c r="N640">
        <v>1</v>
      </c>
    </row>
    <row r="641" spans="1:14">
      <c r="A641" t="s">
        <v>2938</v>
      </c>
      <c r="B641" t="s">
        <v>1492</v>
      </c>
      <c r="C641" t="s">
        <v>74</v>
      </c>
      <c r="D641" s="41">
        <v>2</v>
      </c>
      <c r="E641" s="41">
        <v>2222</v>
      </c>
      <c r="F641" s="41" t="s">
        <v>3699</v>
      </c>
      <c r="G641" s="41" t="s">
        <v>5371</v>
      </c>
      <c r="H641" s="2043">
        <v>210750</v>
      </c>
      <c r="I641" s="2043">
        <v>402824</v>
      </c>
      <c r="J641">
        <v>0.85215522347645101</v>
      </c>
      <c r="K641" s="2043">
        <v>179591.71334766201</v>
      </c>
      <c r="L641" s="2043">
        <v>179591.71334766201</v>
      </c>
      <c r="M641">
        <v>599</v>
      </c>
      <c r="N641">
        <v>1</v>
      </c>
    </row>
    <row r="642" spans="1:14">
      <c r="A642" t="s">
        <v>2938</v>
      </c>
      <c r="B642" t="s">
        <v>1492</v>
      </c>
      <c r="C642" t="s">
        <v>74</v>
      </c>
      <c r="D642" s="41">
        <v>2</v>
      </c>
      <c r="E642" s="41">
        <v>2222</v>
      </c>
      <c r="F642" s="41" t="s">
        <v>3699</v>
      </c>
      <c r="G642" s="41" t="s">
        <v>7147</v>
      </c>
      <c r="H642" s="2043">
        <v>210750</v>
      </c>
      <c r="I642" s="2043">
        <v>58197</v>
      </c>
      <c r="J642">
        <v>0.123113015958977</v>
      </c>
      <c r="K642" s="2043">
        <v>25946.068113354399</v>
      </c>
      <c r="L642" s="2043">
        <v>25946.068113354399</v>
      </c>
      <c r="M642">
        <v>599</v>
      </c>
      <c r="N642">
        <v>1</v>
      </c>
    </row>
    <row r="643" spans="1:14">
      <c r="A643" t="s">
        <v>2938</v>
      </c>
      <c r="B643" t="s">
        <v>1492</v>
      </c>
      <c r="C643" t="s">
        <v>74</v>
      </c>
      <c r="D643" s="41">
        <v>2</v>
      </c>
      <c r="E643" s="41">
        <v>2222</v>
      </c>
      <c r="F643" s="41" t="s">
        <v>3699</v>
      </c>
      <c r="G643" s="41" t="s">
        <v>8559</v>
      </c>
      <c r="H643" s="2043">
        <v>210750</v>
      </c>
      <c r="I643" s="2043">
        <v>1088</v>
      </c>
      <c r="J643">
        <v>2.3016128213373E-3</v>
      </c>
      <c r="K643" s="2043">
        <v>485.06490209683699</v>
      </c>
      <c r="L643" s="2043">
        <v>485.06490209683699</v>
      </c>
      <c r="M643">
        <v>599</v>
      </c>
      <c r="N643">
        <v>1</v>
      </c>
    </row>
    <row r="644" spans="1:14">
      <c r="A644" t="s">
        <v>2939</v>
      </c>
      <c r="B644" t="s">
        <v>1113</v>
      </c>
      <c r="C644" t="s">
        <v>1065</v>
      </c>
      <c r="D644" s="41">
        <v>5</v>
      </c>
      <c r="E644" s="41">
        <v>2463</v>
      </c>
      <c r="F644" s="41" t="s">
        <v>3703</v>
      </c>
      <c r="G644" s="41" t="s">
        <v>3703</v>
      </c>
      <c r="H644" s="2043">
        <v>440511</v>
      </c>
      <c r="I644" s="2043">
        <v>0</v>
      </c>
      <c r="J644">
        <v>0</v>
      </c>
      <c r="K644" s="2043">
        <v>0</v>
      </c>
      <c r="L644" s="2043">
        <v>0</v>
      </c>
      <c r="M644">
        <v>599</v>
      </c>
      <c r="N644">
        <v>0</v>
      </c>
    </row>
    <row r="645" spans="1:14">
      <c r="A645" t="s">
        <v>2939</v>
      </c>
      <c r="B645" t="s">
        <v>1113</v>
      </c>
      <c r="C645" t="s">
        <v>1065</v>
      </c>
      <c r="D645" s="41">
        <v>5</v>
      </c>
      <c r="E645" s="41">
        <v>2463</v>
      </c>
      <c r="F645" s="41" t="s">
        <v>3703</v>
      </c>
      <c r="G645" s="41" t="s">
        <v>3704</v>
      </c>
      <c r="H645" s="2043">
        <v>440511</v>
      </c>
      <c r="I645" s="2043">
        <v>0</v>
      </c>
      <c r="J645">
        <v>0</v>
      </c>
      <c r="K645" s="2043">
        <v>0</v>
      </c>
      <c r="L645" s="2043">
        <v>0</v>
      </c>
      <c r="M645">
        <v>599</v>
      </c>
      <c r="N645">
        <v>0</v>
      </c>
    </row>
    <row r="646" spans="1:14">
      <c r="A646" t="s">
        <v>2939</v>
      </c>
      <c r="B646" t="s">
        <v>1113</v>
      </c>
      <c r="C646" t="s">
        <v>1065</v>
      </c>
      <c r="D646" s="41">
        <v>5</v>
      </c>
      <c r="E646" s="41">
        <v>2463</v>
      </c>
      <c r="F646" s="41" t="s">
        <v>3703</v>
      </c>
      <c r="G646" s="41" t="s">
        <v>3705</v>
      </c>
      <c r="H646" s="2043">
        <v>440511</v>
      </c>
      <c r="I646" s="2043">
        <v>320732</v>
      </c>
      <c r="J646">
        <v>6.8160639043712598E-2</v>
      </c>
      <c r="K646" s="2043">
        <v>30025.511265784899</v>
      </c>
      <c r="L646" s="2043">
        <v>30025.511265784899</v>
      </c>
      <c r="M646">
        <v>599</v>
      </c>
      <c r="N646">
        <v>1</v>
      </c>
    </row>
    <row r="647" spans="1:14">
      <c r="A647" t="s">
        <v>2939</v>
      </c>
      <c r="B647" t="s">
        <v>1113</v>
      </c>
      <c r="C647" t="s">
        <v>1065</v>
      </c>
      <c r="D647" s="41">
        <v>5</v>
      </c>
      <c r="E647" s="41">
        <v>2463</v>
      </c>
      <c r="F647" s="41" t="s">
        <v>3703</v>
      </c>
      <c r="G647" s="41" t="s">
        <v>3706</v>
      </c>
      <c r="H647" s="2043">
        <v>440511</v>
      </c>
      <c r="I647" s="2043">
        <v>0</v>
      </c>
      <c r="J647">
        <v>0</v>
      </c>
      <c r="K647" s="2043">
        <v>0</v>
      </c>
      <c r="L647" s="2043">
        <v>0</v>
      </c>
      <c r="M647">
        <v>599</v>
      </c>
      <c r="N647">
        <v>1</v>
      </c>
    </row>
    <row r="648" spans="1:14">
      <c r="A648" t="s">
        <v>2939</v>
      </c>
      <c r="B648" t="s">
        <v>1113</v>
      </c>
      <c r="C648" t="s">
        <v>1065</v>
      </c>
      <c r="D648" s="41">
        <v>5</v>
      </c>
      <c r="E648" s="41">
        <v>2463</v>
      </c>
      <c r="F648" s="41" t="s">
        <v>3703</v>
      </c>
      <c r="G648" s="41" t="s">
        <v>3707</v>
      </c>
      <c r="H648" s="2043">
        <v>440511</v>
      </c>
      <c r="I648" s="2043">
        <v>2230051</v>
      </c>
      <c r="J648">
        <v>0.47392122164321099</v>
      </c>
      <c r="K648" s="2043">
        <v>208767.511267272</v>
      </c>
      <c r="L648" s="2043">
        <v>208767.511267272</v>
      </c>
      <c r="M648">
        <v>599</v>
      </c>
      <c r="N648">
        <v>1</v>
      </c>
    </row>
    <row r="649" spans="1:14">
      <c r="A649" t="s">
        <v>2939</v>
      </c>
      <c r="B649" t="s">
        <v>1113</v>
      </c>
      <c r="C649" t="s">
        <v>1065</v>
      </c>
      <c r="D649" s="41">
        <v>5</v>
      </c>
      <c r="E649" s="41">
        <v>2463</v>
      </c>
      <c r="F649" s="41" t="s">
        <v>3703</v>
      </c>
      <c r="G649" s="41" t="s">
        <v>5555</v>
      </c>
      <c r="H649" s="2043">
        <v>440511</v>
      </c>
      <c r="I649" s="2043">
        <v>2033610</v>
      </c>
      <c r="J649">
        <v>0.43217439222055898</v>
      </c>
      <c r="K649" s="2043">
        <v>190377.57369147101</v>
      </c>
      <c r="L649" s="2043">
        <v>190377.57369147101</v>
      </c>
      <c r="M649">
        <v>599</v>
      </c>
      <c r="N649">
        <v>1</v>
      </c>
    </row>
    <row r="650" spans="1:14">
      <c r="A650" t="s">
        <v>2939</v>
      </c>
      <c r="B650" t="s">
        <v>1113</v>
      </c>
      <c r="C650" t="s">
        <v>1065</v>
      </c>
      <c r="D650" s="41">
        <v>5</v>
      </c>
      <c r="E650" s="41">
        <v>2463</v>
      </c>
      <c r="F650" s="41" t="s">
        <v>3703</v>
      </c>
      <c r="G650" s="41" t="s">
        <v>7148</v>
      </c>
      <c r="H650" s="2043">
        <v>440511</v>
      </c>
      <c r="I650" s="2043">
        <v>50184</v>
      </c>
      <c r="J650">
        <v>1.06648962678176E-2</v>
      </c>
      <c r="K650" s="2043">
        <v>4698.0041198325998</v>
      </c>
      <c r="L650" s="2043">
        <v>4698.0041198325998</v>
      </c>
      <c r="M650">
        <v>599</v>
      </c>
      <c r="N650">
        <v>1</v>
      </c>
    </row>
    <row r="651" spans="1:14">
      <c r="A651" t="s">
        <v>2939</v>
      </c>
      <c r="B651" t="s">
        <v>1113</v>
      </c>
      <c r="C651" t="s">
        <v>1065</v>
      </c>
      <c r="D651" s="41">
        <v>5</v>
      </c>
      <c r="E651" s="41">
        <v>2463</v>
      </c>
      <c r="F651" s="41" t="s">
        <v>3703</v>
      </c>
      <c r="G651" s="41" t="s">
        <v>9319</v>
      </c>
      <c r="H651" s="2043">
        <v>440511</v>
      </c>
      <c r="I651" s="2043">
        <v>70954</v>
      </c>
      <c r="J651">
        <v>1.50788508246997E-2</v>
      </c>
      <c r="K651" s="2043">
        <v>6642.3996556392904</v>
      </c>
      <c r="L651" s="2043">
        <v>6642.3996556392904</v>
      </c>
      <c r="M651">
        <v>599</v>
      </c>
      <c r="N651">
        <v>1</v>
      </c>
    </row>
    <row r="652" spans="1:14">
      <c r="A652" t="s">
        <v>2939</v>
      </c>
      <c r="B652" t="s">
        <v>1113</v>
      </c>
      <c r="C652" t="s">
        <v>1065</v>
      </c>
      <c r="D652" s="41">
        <v>9</v>
      </c>
      <c r="E652" s="41">
        <v>2465</v>
      </c>
      <c r="F652" s="41" t="s">
        <v>3708</v>
      </c>
      <c r="G652" s="41" t="s">
        <v>3708</v>
      </c>
      <c r="H652" s="2043">
        <v>897102</v>
      </c>
      <c r="I652" s="2043">
        <v>0</v>
      </c>
      <c r="J652">
        <v>0</v>
      </c>
      <c r="K652" s="2043">
        <v>0</v>
      </c>
      <c r="L652" s="2043">
        <v>0</v>
      </c>
      <c r="M652">
        <v>599</v>
      </c>
      <c r="N652">
        <v>0</v>
      </c>
    </row>
    <row r="653" spans="1:14">
      <c r="A653" t="s">
        <v>2939</v>
      </c>
      <c r="B653" t="s">
        <v>1113</v>
      </c>
      <c r="C653" t="s">
        <v>1065</v>
      </c>
      <c r="D653" s="41">
        <v>9</v>
      </c>
      <c r="E653" s="41">
        <v>2465</v>
      </c>
      <c r="F653" s="41" t="s">
        <v>3708</v>
      </c>
      <c r="G653" s="41" t="s">
        <v>3707</v>
      </c>
      <c r="H653" s="2043">
        <v>897102</v>
      </c>
      <c r="I653" s="2043">
        <v>1785214</v>
      </c>
      <c r="J653">
        <v>0.99737751884454395</v>
      </c>
      <c r="K653" s="2043">
        <v>894749.36691047798</v>
      </c>
      <c r="L653" s="2043">
        <v>894749.36691047798</v>
      </c>
      <c r="M653">
        <v>599</v>
      </c>
      <c r="N653">
        <v>1</v>
      </c>
    </row>
    <row r="654" spans="1:14">
      <c r="A654" t="s">
        <v>2939</v>
      </c>
      <c r="B654" t="s">
        <v>1113</v>
      </c>
      <c r="C654" t="s">
        <v>1065</v>
      </c>
      <c r="D654" s="41">
        <v>9</v>
      </c>
      <c r="E654" s="41">
        <v>2465</v>
      </c>
      <c r="F654" s="41" t="s">
        <v>3708</v>
      </c>
      <c r="G654" s="41" t="s">
        <v>9319</v>
      </c>
      <c r="H654" s="2043">
        <v>897102</v>
      </c>
      <c r="I654" s="2043">
        <v>4694</v>
      </c>
      <c r="J654">
        <v>2.6224811554560299E-3</v>
      </c>
      <c r="K654" s="2043">
        <v>2352.6330895219198</v>
      </c>
      <c r="L654" s="2043">
        <v>2352.6330895219198</v>
      </c>
      <c r="M654">
        <v>599</v>
      </c>
      <c r="N654">
        <v>1</v>
      </c>
    </row>
    <row r="655" spans="1:14">
      <c r="A655" t="s">
        <v>2939</v>
      </c>
      <c r="B655" t="s">
        <v>1113</v>
      </c>
      <c r="C655" t="s">
        <v>1065</v>
      </c>
      <c r="D655" s="41">
        <v>9</v>
      </c>
      <c r="E655" s="41">
        <v>2464</v>
      </c>
      <c r="F655" s="41" t="s">
        <v>3709</v>
      </c>
      <c r="G655" s="41" t="s">
        <v>3709</v>
      </c>
      <c r="H655" s="2043">
        <v>633540</v>
      </c>
      <c r="I655" s="2043">
        <v>0</v>
      </c>
      <c r="J655">
        <v>0</v>
      </c>
      <c r="K655" s="2043">
        <v>0</v>
      </c>
      <c r="L655" s="2043">
        <v>0</v>
      </c>
      <c r="M655">
        <v>599</v>
      </c>
      <c r="N655">
        <v>1</v>
      </c>
    </row>
    <row r="656" spans="1:14">
      <c r="A656" t="s">
        <v>2939</v>
      </c>
      <c r="B656" t="s">
        <v>1113</v>
      </c>
      <c r="C656" t="s">
        <v>1065</v>
      </c>
      <c r="D656" s="41">
        <v>9</v>
      </c>
      <c r="E656" s="41">
        <v>2464</v>
      </c>
      <c r="F656" s="41" t="s">
        <v>3709</v>
      </c>
      <c r="G656" s="41" t="s">
        <v>5555</v>
      </c>
      <c r="H656" s="2043">
        <v>633540</v>
      </c>
      <c r="I656" s="2043">
        <v>2033610</v>
      </c>
      <c r="J656">
        <v>0.95471017299342098</v>
      </c>
      <c r="K656" s="2043">
        <v>604847.08299825201</v>
      </c>
      <c r="L656" s="2043">
        <v>604847.08299825201</v>
      </c>
      <c r="M656">
        <v>599</v>
      </c>
      <c r="N656">
        <v>1</v>
      </c>
    </row>
    <row r="657" spans="1:14">
      <c r="A657" t="s">
        <v>2939</v>
      </c>
      <c r="B657" t="s">
        <v>1113</v>
      </c>
      <c r="C657" t="s">
        <v>1065</v>
      </c>
      <c r="D657" s="41">
        <v>9</v>
      </c>
      <c r="E657" s="41">
        <v>2464</v>
      </c>
      <c r="F657" s="41" t="s">
        <v>3709</v>
      </c>
      <c r="G657" s="41" t="s">
        <v>9319</v>
      </c>
      <c r="H657" s="2043">
        <v>633540</v>
      </c>
      <c r="I657" s="2043">
        <v>96471</v>
      </c>
      <c r="J657">
        <v>4.5289827006578597E-2</v>
      </c>
      <c r="K657" s="2043">
        <v>28692.917001747799</v>
      </c>
      <c r="L657" s="2043">
        <v>28692.917001747799</v>
      </c>
      <c r="M657">
        <v>599</v>
      </c>
      <c r="N657">
        <v>1</v>
      </c>
    </row>
    <row r="658" spans="1:14">
      <c r="A658" t="s">
        <v>2939</v>
      </c>
      <c r="B658" t="s">
        <v>1113</v>
      </c>
      <c r="C658" t="s">
        <v>1065</v>
      </c>
      <c r="D658" s="41">
        <v>10</v>
      </c>
      <c r="E658" s="41">
        <v>2462</v>
      </c>
      <c r="F658" s="41" t="s">
        <v>3710</v>
      </c>
      <c r="G658" s="41" t="s">
        <v>3710</v>
      </c>
      <c r="H658" s="2043">
        <v>92075</v>
      </c>
      <c r="I658" s="2043">
        <v>0</v>
      </c>
      <c r="J658">
        <v>0</v>
      </c>
      <c r="K658" s="2043">
        <v>0</v>
      </c>
      <c r="L658" s="2043">
        <v>0</v>
      </c>
      <c r="M658">
        <v>599</v>
      </c>
      <c r="N658">
        <v>1</v>
      </c>
    </row>
    <row r="659" spans="1:14">
      <c r="A659" t="s">
        <v>2939</v>
      </c>
      <c r="B659" t="s">
        <v>1113</v>
      </c>
      <c r="C659" t="s">
        <v>1065</v>
      </c>
      <c r="D659" s="41">
        <v>10</v>
      </c>
      <c r="E659" s="41">
        <v>2462</v>
      </c>
      <c r="F659" s="41" t="s">
        <v>3710</v>
      </c>
      <c r="G659" s="41" t="s">
        <v>9319</v>
      </c>
      <c r="H659" s="2043">
        <v>92075</v>
      </c>
      <c r="I659" s="2043">
        <v>3098237</v>
      </c>
      <c r="J659">
        <v>1</v>
      </c>
      <c r="K659" s="2043">
        <v>92075</v>
      </c>
      <c r="L659" s="2043">
        <v>92075</v>
      </c>
      <c r="M659">
        <v>599</v>
      </c>
      <c r="N659">
        <v>1</v>
      </c>
    </row>
    <row r="660" spans="1:14">
      <c r="A660" t="s">
        <v>2939</v>
      </c>
      <c r="B660" t="s">
        <v>1113</v>
      </c>
      <c r="C660" t="s">
        <v>1065</v>
      </c>
      <c r="D660" s="41">
        <v>11</v>
      </c>
      <c r="E660" s="41">
        <v>2526</v>
      </c>
      <c r="F660" s="41" t="s">
        <v>7149</v>
      </c>
      <c r="G660" s="41" t="s">
        <v>7149</v>
      </c>
      <c r="H660" s="2043">
        <v>532079</v>
      </c>
      <c r="I660" s="2043">
        <v>703295</v>
      </c>
      <c r="J660">
        <v>0.92854888944340797</v>
      </c>
      <c r="K660" s="2043">
        <v>494061.36454615899</v>
      </c>
      <c r="L660" s="2043">
        <v>494061.36454615899</v>
      </c>
      <c r="M660">
        <v>599</v>
      </c>
      <c r="N660">
        <v>1</v>
      </c>
    </row>
    <row r="661" spans="1:14">
      <c r="A661" t="s">
        <v>2939</v>
      </c>
      <c r="B661" t="s">
        <v>1113</v>
      </c>
      <c r="C661" t="s">
        <v>1065</v>
      </c>
      <c r="D661" s="41">
        <v>11</v>
      </c>
      <c r="E661" s="41">
        <v>2526</v>
      </c>
      <c r="F661" s="41" t="s">
        <v>7149</v>
      </c>
      <c r="G661" s="41" t="s">
        <v>9319</v>
      </c>
      <c r="H661" s="2043">
        <v>532079</v>
      </c>
      <c r="I661" s="2043">
        <v>36892</v>
      </c>
      <c r="J661">
        <v>4.8707904406182598E-2</v>
      </c>
      <c r="K661" s="2043">
        <v>25916.453068537201</v>
      </c>
      <c r="L661" s="2043">
        <v>25916.453068537201</v>
      </c>
      <c r="M661">
        <v>599</v>
      </c>
      <c r="N661">
        <v>1</v>
      </c>
    </row>
    <row r="662" spans="1:14">
      <c r="A662" t="s">
        <v>2939</v>
      </c>
      <c r="B662" t="s">
        <v>1113</v>
      </c>
      <c r="C662" t="s">
        <v>1065</v>
      </c>
      <c r="D662" s="41">
        <v>11</v>
      </c>
      <c r="E662" s="41">
        <v>2526</v>
      </c>
      <c r="F662" s="41" t="s">
        <v>7149</v>
      </c>
      <c r="G662" s="41" t="s">
        <v>9320</v>
      </c>
      <c r="H662" s="2043">
        <v>532079</v>
      </c>
      <c r="I662" s="2043">
        <v>17226</v>
      </c>
      <c r="J662">
        <v>2.2743206150409399E-2</v>
      </c>
      <c r="K662" s="2043">
        <v>12101.1823853037</v>
      </c>
      <c r="L662" s="2043">
        <v>12101.1823853037</v>
      </c>
      <c r="M662">
        <v>599</v>
      </c>
      <c r="N662">
        <v>1</v>
      </c>
    </row>
    <row r="663" spans="1:14">
      <c r="A663" t="s">
        <v>2940</v>
      </c>
      <c r="B663" t="s">
        <v>831</v>
      </c>
      <c r="C663" t="s">
        <v>1269</v>
      </c>
      <c r="D663" s="41">
        <v>2</v>
      </c>
      <c r="E663" s="41">
        <v>1621</v>
      </c>
      <c r="F663" s="41" t="s">
        <v>3711</v>
      </c>
      <c r="G663" s="41" t="s">
        <v>3711</v>
      </c>
      <c r="H663" s="2043">
        <v>95044</v>
      </c>
      <c r="I663" s="2043">
        <v>0</v>
      </c>
      <c r="J663">
        <v>0</v>
      </c>
      <c r="L663" s="2043">
        <v>0</v>
      </c>
      <c r="M663">
        <v>199</v>
      </c>
      <c r="N663">
        <v>0</v>
      </c>
    </row>
    <row r="664" spans="1:14">
      <c r="A664" t="s">
        <v>2940</v>
      </c>
      <c r="B664" t="s">
        <v>831</v>
      </c>
      <c r="C664" t="s">
        <v>1269</v>
      </c>
      <c r="D664" s="41">
        <v>4</v>
      </c>
      <c r="E664" s="41">
        <v>1623</v>
      </c>
      <c r="F664" s="41" t="s">
        <v>3712</v>
      </c>
      <c r="G664" s="41" t="s">
        <v>3712</v>
      </c>
      <c r="H664" s="2043">
        <v>172750</v>
      </c>
      <c r="I664" s="2043">
        <v>0</v>
      </c>
      <c r="J664">
        <v>0</v>
      </c>
      <c r="K664" s="2043">
        <v>0</v>
      </c>
      <c r="L664" s="2043">
        <v>0</v>
      </c>
      <c r="M664">
        <v>599</v>
      </c>
      <c r="N664">
        <v>0</v>
      </c>
    </row>
    <row r="665" spans="1:14">
      <c r="A665" t="s">
        <v>2940</v>
      </c>
      <c r="B665" t="s">
        <v>831</v>
      </c>
      <c r="C665" t="s">
        <v>1269</v>
      </c>
      <c r="D665" s="41">
        <v>4</v>
      </c>
      <c r="E665" s="41">
        <v>1623</v>
      </c>
      <c r="F665" s="41" t="s">
        <v>3712</v>
      </c>
      <c r="G665" s="41" t="s">
        <v>3713</v>
      </c>
      <c r="H665" s="2043">
        <v>172750</v>
      </c>
      <c r="I665" s="2043">
        <v>0</v>
      </c>
      <c r="J665">
        <v>0</v>
      </c>
      <c r="K665" s="2043">
        <v>0</v>
      </c>
      <c r="L665" s="2043">
        <v>0</v>
      </c>
      <c r="M665">
        <v>599</v>
      </c>
      <c r="N665">
        <v>1</v>
      </c>
    </row>
    <row r="666" spans="1:14">
      <c r="A666" t="s">
        <v>2940</v>
      </c>
      <c r="B666" t="s">
        <v>831</v>
      </c>
      <c r="C666" t="s">
        <v>1269</v>
      </c>
      <c r="D666" s="41">
        <v>4</v>
      </c>
      <c r="E666" s="41">
        <v>1623</v>
      </c>
      <c r="F666" s="41" t="s">
        <v>3712</v>
      </c>
      <c r="G666" s="41" t="s">
        <v>5556</v>
      </c>
      <c r="H666" s="2043">
        <v>172750</v>
      </c>
      <c r="I666" s="2043">
        <v>231488</v>
      </c>
      <c r="J666">
        <v>1</v>
      </c>
      <c r="K666" s="2043">
        <v>172750</v>
      </c>
      <c r="L666" s="2043">
        <v>172750</v>
      </c>
      <c r="M666">
        <v>599</v>
      </c>
      <c r="N666">
        <v>1</v>
      </c>
    </row>
    <row r="667" spans="1:14">
      <c r="A667" t="s">
        <v>2940</v>
      </c>
      <c r="B667" t="s">
        <v>831</v>
      </c>
      <c r="C667" t="s">
        <v>1269</v>
      </c>
      <c r="D667" s="41">
        <v>6</v>
      </c>
      <c r="E667" s="41">
        <v>1624</v>
      </c>
      <c r="F667" s="41" t="s">
        <v>3714</v>
      </c>
      <c r="G667" s="41" t="s">
        <v>3714</v>
      </c>
      <c r="H667" s="2043">
        <v>192252</v>
      </c>
      <c r="I667" s="2043">
        <v>0</v>
      </c>
      <c r="J667">
        <v>0</v>
      </c>
      <c r="K667" s="2043">
        <v>0</v>
      </c>
      <c r="L667" s="2043">
        <v>0</v>
      </c>
      <c r="M667">
        <v>599</v>
      </c>
      <c r="N667">
        <v>0</v>
      </c>
    </row>
    <row r="668" spans="1:14">
      <c r="A668" t="s">
        <v>2940</v>
      </c>
      <c r="B668" t="s">
        <v>831</v>
      </c>
      <c r="C668" t="s">
        <v>1269</v>
      </c>
      <c r="D668" s="41">
        <v>6</v>
      </c>
      <c r="E668" s="41">
        <v>1624</v>
      </c>
      <c r="F668" s="41" t="s">
        <v>3714</v>
      </c>
      <c r="G668" s="41" t="s">
        <v>3715</v>
      </c>
      <c r="H668" s="2043">
        <v>192252</v>
      </c>
      <c r="I668" s="2043">
        <v>215502</v>
      </c>
      <c r="J668">
        <v>1</v>
      </c>
      <c r="K668" s="2043">
        <v>192252</v>
      </c>
      <c r="L668" s="2043">
        <v>192252</v>
      </c>
      <c r="M668">
        <v>599</v>
      </c>
      <c r="N668">
        <v>1</v>
      </c>
    </row>
    <row r="669" spans="1:14">
      <c r="A669" t="s">
        <v>2940</v>
      </c>
      <c r="B669" t="s">
        <v>831</v>
      </c>
      <c r="C669" t="s">
        <v>1269</v>
      </c>
      <c r="D669" s="41">
        <v>10</v>
      </c>
      <c r="E669" s="41">
        <v>1622</v>
      </c>
      <c r="F669" s="41" t="s">
        <v>3716</v>
      </c>
      <c r="G669" s="41" t="s">
        <v>3716</v>
      </c>
      <c r="H669" s="2043">
        <v>158475</v>
      </c>
      <c r="I669" s="2043">
        <v>0</v>
      </c>
      <c r="J669">
        <v>0</v>
      </c>
      <c r="K669" s="2043">
        <v>0</v>
      </c>
      <c r="L669" s="2043">
        <v>0</v>
      </c>
      <c r="M669">
        <v>599</v>
      </c>
      <c r="N669">
        <v>1</v>
      </c>
    </row>
    <row r="670" spans="1:14">
      <c r="A670" t="s">
        <v>2940</v>
      </c>
      <c r="B670" t="s">
        <v>831</v>
      </c>
      <c r="C670" t="s">
        <v>1269</v>
      </c>
      <c r="D670" s="41">
        <v>10</v>
      </c>
      <c r="E670" s="41">
        <v>1622</v>
      </c>
      <c r="F670" s="41" t="s">
        <v>3716</v>
      </c>
      <c r="G670" s="41" t="s">
        <v>9321</v>
      </c>
      <c r="H670" s="2043">
        <v>158475</v>
      </c>
      <c r="I670" s="2043">
        <v>343660</v>
      </c>
      <c r="J670">
        <v>1</v>
      </c>
      <c r="K670" s="2043">
        <v>158475</v>
      </c>
      <c r="L670" s="2043">
        <v>158475</v>
      </c>
      <c r="M670">
        <v>599</v>
      </c>
      <c r="N670">
        <v>1</v>
      </c>
    </row>
    <row r="671" spans="1:14">
      <c r="A671" t="s">
        <v>2941</v>
      </c>
      <c r="B671" t="s">
        <v>1353</v>
      </c>
      <c r="C671" t="s">
        <v>1461</v>
      </c>
      <c r="D671" s="41">
        <v>2</v>
      </c>
      <c r="E671" s="41">
        <v>1713</v>
      </c>
      <c r="F671" s="41" t="s">
        <v>3717</v>
      </c>
      <c r="G671" s="41" t="s">
        <v>3717</v>
      </c>
      <c r="H671" s="2043">
        <v>245000</v>
      </c>
      <c r="I671" s="2043">
        <v>0</v>
      </c>
      <c r="J671">
        <v>0</v>
      </c>
      <c r="K671" s="2043">
        <v>0</v>
      </c>
      <c r="L671" s="2043">
        <v>0</v>
      </c>
      <c r="M671">
        <v>599</v>
      </c>
      <c r="N671">
        <v>0</v>
      </c>
    </row>
    <row r="672" spans="1:14">
      <c r="A672" t="s">
        <v>2941</v>
      </c>
      <c r="B672" t="s">
        <v>1353</v>
      </c>
      <c r="C672" t="s">
        <v>1461</v>
      </c>
      <c r="D672" s="41">
        <v>2</v>
      </c>
      <c r="E672" s="41">
        <v>1713</v>
      </c>
      <c r="F672" s="41" t="s">
        <v>3717</v>
      </c>
      <c r="G672" s="41" t="s">
        <v>3718</v>
      </c>
      <c r="H672" s="2043">
        <v>245000</v>
      </c>
      <c r="I672" s="2043">
        <v>0</v>
      </c>
      <c r="J672">
        <v>0</v>
      </c>
      <c r="K672" s="2043">
        <v>0</v>
      </c>
      <c r="L672" s="2043">
        <v>0</v>
      </c>
      <c r="M672">
        <v>599</v>
      </c>
      <c r="N672">
        <v>1</v>
      </c>
    </row>
    <row r="673" spans="1:14">
      <c r="A673" t="s">
        <v>2941</v>
      </c>
      <c r="B673" t="s">
        <v>1353</v>
      </c>
      <c r="C673" t="s">
        <v>1461</v>
      </c>
      <c r="D673" s="41">
        <v>2</v>
      </c>
      <c r="E673" s="41">
        <v>1713</v>
      </c>
      <c r="F673" s="41" t="s">
        <v>3717</v>
      </c>
      <c r="G673" s="41" t="s">
        <v>3719</v>
      </c>
      <c r="H673" s="2043">
        <v>245000</v>
      </c>
      <c r="I673" s="2043">
        <v>0</v>
      </c>
      <c r="J673">
        <v>0</v>
      </c>
      <c r="K673" s="2043">
        <v>0</v>
      </c>
      <c r="L673" s="2043">
        <v>0</v>
      </c>
      <c r="M673">
        <v>599</v>
      </c>
      <c r="N673">
        <v>1</v>
      </c>
    </row>
    <row r="674" spans="1:14">
      <c r="A674" t="s">
        <v>2941</v>
      </c>
      <c r="B674" t="s">
        <v>1353</v>
      </c>
      <c r="C674" t="s">
        <v>1461</v>
      </c>
      <c r="D674" s="41">
        <v>2</v>
      </c>
      <c r="E674" s="41">
        <v>1713</v>
      </c>
      <c r="F674" s="41" t="s">
        <v>3717</v>
      </c>
      <c r="G674" s="41" t="s">
        <v>3720</v>
      </c>
      <c r="H674" s="2043">
        <v>245000</v>
      </c>
      <c r="I674" s="2043">
        <v>281924</v>
      </c>
      <c r="J674">
        <v>0.56607380219021197</v>
      </c>
      <c r="K674" s="2043">
        <v>138688.081536602</v>
      </c>
      <c r="L674" s="2043">
        <v>138688.081536602</v>
      </c>
      <c r="M674">
        <v>599</v>
      </c>
      <c r="N674">
        <v>1</v>
      </c>
    </row>
    <row r="675" spans="1:14">
      <c r="A675" t="s">
        <v>2941</v>
      </c>
      <c r="B675" t="s">
        <v>1353</v>
      </c>
      <c r="C675" t="s">
        <v>1461</v>
      </c>
      <c r="D675" s="41">
        <v>2</v>
      </c>
      <c r="E675" s="41">
        <v>1713</v>
      </c>
      <c r="F675" s="41" t="s">
        <v>3717</v>
      </c>
      <c r="G675" s="41" t="s">
        <v>3721</v>
      </c>
      <c r="H675" s="2043">
        <v>245000</v>
      </c>
      <c r="I675" s="2043">
        <v>0</v>
      </c>
      <c r="J675">
        <v>0</v>
      </c>
      <c r="K675" s="2043">
        <v>0</v>
      </c>
      <c r="L675" s="2043">
        <v>0</v>
      </c>
      <c r="M675">
        <v>599</v>
      </c>
      <c r="N675">
        <v>1</v>
      </c>
    </row>
    <row r="676" spans="1:14">
      <c r="A676" t="s">
        <v>2941</v>
      </c>
      <c r="B676" t="s">
        <v>1353</v>
      </c>
      <c r="C676" t="s">
        <v>1461</v>
      </c>
      <c r="D676" s="41">
        <v>2</v>
      </c>
      <c r="E676" s="41">
        <v>1713</v>
      </c>
      <c r="F676" s="41" t="s">
        <v>3717</v>
      </c>
      <c r="G676" s="41" t="s">
        <v>3722</v>
      </c>
      <c r="H676" s="2043">
        <v>245000</v>
      </c>
      <c r="I676" s="2043">
        <v>0</v>
      </c>
      <c r="J676">
        <v>0</v>
      </c>
      <c r="K676" s="2043">
        <v>0</v>
      </c>
      <c r="L676" s="2043">
        <v>0</v>
      </c>
      <c r="M676">
        <v>599</v>
      </c>
      <c r="N676">
        <v>1</v>
      </c>
    </row>
    <row r="677" spans="1:14">
      <c r="A677" t="s">
        <v>2941</v>
      </c>
      <c r="B677" t="s">
        <v>1353</v>
      </c>
      <c r="C677" t="s">
        <v>1461</v>
      </c>
      <c r="D677" s="41">
        <v>2</v>
      </c>
      <c r="E677" s="41">
        <v>1713</v>
      </c>
      <c r="F677" s="41" t="s">
        <v>3717</v>
      </c>
      <c r="G677" s="41" t="s">
        <v>5372</v>
      </c>
      <c r="H677" s="2043">
        <v>245000</v>
      </c>
      <c r="I677" s="2043">
        <v>84852</v>
      </c>
      <c r="J677">
        <v>0.17037391021496501</v>
      </c>
      <c r="K677" s="2043">
        <v>41741.6080026665</v>
      </c>
      <c r="L677" s="2043">
        <v>41741.6080026665</v>
      </c>
      <c r="M677">
        <v>599</v>
      </c>
      <c r="N677">
        <v>1</v>
      </c>
    </row>
    <row r="678" spans="1:14">
      <c r="A678" t="s">
        <v>2941</v>
      </c>
      <c r="B678" t="s">
        <v>1353</v>
      </c>
      <c r="C678" t="s">
        <v>1461</v>
      </c>
      <c r="D678" s="41">
        <v>2</v>
      </c>
      <c r="E678" s="41">
        <v>1713</v>
      </c>
      <c r="F678" s="41" t="s">
        <v>3717</v>
      </c>
      <c r="G678" s="41" t="s">
        <v>5558</v>
      </c>
      <c r="H678" s="2043">
        <v>245000</v>
      </c>
      <c r="I678" s="2043">
        <v>70904</v>
      </c>
      <c r="J678">
        <v>0.142367790150873</v>
      </c>
      <c r="K678" s="2043">
        <v>34880.108586963899</v>
      </c>
      <c r="L678" s="2043">
        <v>34880.108586963899</v>
      </c>
      <c r="M678">
        <v>599</v>
      </c>
      <c r="N678">
        <v>1</v>
      </c>
    </row>
    <row r="679" spans="1:14">
      <c r="A679" t="s">
        <v>2941</v>
      </c>
      <c r="B679" t="s">
        <v>1353</v>
      </c>
      <c r="C679" t="s">
        <v>1461</v>
      </c>
      <c r="D679" s="41">
        <v>2</v>
      </c>
      <c r="E679" s="41">
        <v>1713</v>
      </c>
      <c r="F679" s="41" t="s">
        <v>3717</v>
      </c>
      <c r="G679" s="41" t="s">
        <v>5557</v>
      </c>
      <c r="H679" s="2043">
        <v>245000</v>
      </c>
      <c r="I679" s="2043">
        <v>3191</v>
      </c>
      <c r="J679">
        <v>6.4071930832031504E-3</v>
      </c>
      <c r="K679" s="2043">
        <v>1569.7623053847699</v>
      </c>
      <c r="L679" s="2043">
        <v>1569.7623053847699</v>
      </c>
      <c r="M679">
        <v>599</v>
      </c>
      <c r="N679">
        <v>1</v>
      </c>
    </row>
    <row r="680" spans="1:14">
      <c r="A680" t="s">
        <v>2941</v>
      </c>
      <c r="B680" t="s">
        <v>1353</v>
      </c>
      <c r="C680" t="s">
        <v>1461</v>
      </c>
      <c r="D680" s="41">
        <v>2</v>
      </c>
      <c r="E680" s="41">
        <v>1713</v>
      </c>
      <c r="F680" s="41" t="s">
        <v>3717</v>
      </c>
      <c r="G680" s="41" t="s">
        <v>7150</v>
      </c>
      <c r="H680" s="2043">
        <v>245000</v>
      </c>
      <c r="I680" s="2043">
        <v>57163</v>
      </c>
      <c r="J680">
        <v>0.114777304360746</v>
      </c>
      <c r="K680" s="2043">
        <v>28120.439568382899</v>
      </c>
      <c r="L680" s="2043">
        <v>28120.439568382899</v>
      </c>
      <c r="M680">
        <v>599</v>
      </c>
      <c r="N680">
        <v>1</v>
      </c>
    </row>
    <row r="681" spans="1:14">
      <c r="A681" t="s">
        <v>2941</v>
      </c>
      <c r="B681" t="s">
        <v>1353</v>
      </c>
      <c r="C681" t="s">
        <v>1461</v>
      </c>
      <c r="D681" s="41">
        <v>5</v>
      </c>
      <c r="E681" s="41">
        <v>1712</v>
      </c>
      <c r="F681" s="41" t="s">
        <v>3719</v>
      </c>
      <c r="G681" s="41" t="s">
        <v>3719</v>
      </c>
      <c r="H681" s="2043">
        <v>12352</v>
      </c>
      <c r="I681" s="2043">
        <v>0</v>
      </c>
      <c r="J681">
        <v>0</v>
      </c>
      <c r="K681" s="2043">
        <v>0</v>
      </c>
      <c r="L681" s="2043">
        <v>0</v>
      </c>
      <c r="M681">
        <v>599</v>
      </c>
      <c r="N681">
        <v>1</v>
      </c>
    </row>
    <row r="682" spans="1:14">
      <c r="A682" t="s">
        <v>2941</v>
      </c>
      <c r="B682" t="s">
        <v>1353</v>
      </c>
      <c r="C682" t="s">
        <v>1461</v>
      </c>
      <c r="D682" s="41">
        <v>5</v>
      </c>
      <c r="E682" s="41">
        <v>1712</v>
      </c>
      <c r="F682" s="41" t="s">
        <v>3719</v>
      </c>
      <c r="G682" s="41" t="s">
        <v>5557</v>
      </c>
      <c r="H682" s="2043">
        <v>12352</v>
      </c>
      <c r="I682" s="2043">
        <v>18815</v>
      </c>
      <c r="J682">
        <v>1</v>
      </c>
      <c r="K682" s="2043">
        <v>12352</v>
      </c>
      <c r="L682" s="2043">
        <v>12352</v>
      </c>
      <c r="M682">
        <v>599</v>
      </c>
      <c r="N682">
        <v>1</v>
      </c>
    </row>
    <row r="683" spans="1:14">
      <c r="A683" t="s">
        <v>2941</v>
      </c>
      <c r="B683" t="s">
        <v>1353</v>
      </c>
      <c r="C683" t="s">
        <v>1461</v>
      </c>
      <c r="D683" s="41">
        <v>9</v>
      </c>
      <c r="E683" s="41">
        <v>1714</v>
      </c>
      <c r="F683" s="41" t="s">
        <v>3720</v>
      </c>
      <c r="G683" s="41" t="s">
        <v>3720</v>
      </c>
      <c r="H683" s="2043">
        <v>347968</v>
      </c>
      <c r="I683" s="2043">
        <v>0</v>
      </c>
      <c r="J683">
        <v>0</v>
      </c>
      <c r="K683" s="2043">
        <v>0</v>
      </c>
      <c r="L683" s="2043">
        <v>0</v>
      </c>
      <c r="M683">
        <v>599</v>
      </c>
      <c r="N683">
        <v>1</v>
      </c>
    </row>
    <row r="684" spans="1:14">
      <c r="A684" t="s">
        <v>2941</v>
      </c>
      <c r="B684" t="s">
        <v>1353</v>
      </c>
      <c r="C684" t="s">
        <v>1461</v>
      </c>
      <c r="D684" s="41">
        <v>9</v>
      </c>
      <c r="E684" s="41">
        <v>1714</v>
      </c>
      <c r="F684" s="41" t="s">
        <v>3720</v>
      </c>
      <c r="G684" s="41" t="s">
        <v>5372</v>
      </c>
      <c r="H684" s="2043">
        <v>347968</v>
      </c>
      <c r="I684" s="2043">
        <v>407325</v>
      </c>
      <c r="J684">
        <v>0.46227361559081798</v>
      </c>
      <c r="K684" s="2043">
        <v>160856.42546990601</v>
      </c>
      <c r="L684" s="2043">
        <v>160856.42546990601</v>
      </c>
      <c r="M684">
        <v>599</v>
      </c>
      <c r="N684">
        <v>1</v>
      </c>
    </row>
    <row r="685" spans="1:14">
      <c r="A685" t="s">
        <v>2941</v>
      </c>
      <c r="B685" t="s">
        <v>1353</v>
      </c>
      <c r="C685" t="s">
        <v>1461</v>
      </c>
      <c r="D685" s="41">
        <v>9</v>
      </c>
      <c r="E685" s="41">
        <v>1714</v>
      </c>
      <c r="F685" s="41" t="s">
        <v>3720</v>
      </c>
      <c r="G685" s="41" t="s">
        <v>5558</v>
      </c>
      <c r="H685" s="2043">
        <v>347968</v>
      </c>
      <c r="I685" s="2043">
        <v>340434</v>
      </c>
      <c r="J685">
        <v>0.38635894199974102</v>
      </c>
      <c r="K685" s="2043">
        <v>134440.548329766</v>
      </c>
      <c r="L685" s="2043">
        <v>134440.548329766</v>
      </c>
      <c r="M685">
        <v>599</v>
      </c>
      <c r="N685">
        <v>1</v>
      </c>
    </row>
    <row r="686" spans="1:14">
      <c r="A686" t="s">
        <v>2941</v>
      </c>
      <c r="B686" t="s">
        <v>1353</v>
      </c>
      <c r="C686" t="s">
        <v>1461</v>
      </c>
      <c r="D686" s="41">
        <v>9</v>
      </c>
      <c r="E686" s="41">
        <v>1714</v>
      </c>
      <c r="F686" s="41" t="s">
        <v>3720</v>
      </c>
      <c r="G686" s="41" t="s">
        <v>7150</v>
      </c>
      <c r="H686" s="2043">
        <v>347968</v>
      </c>
      <c r="I686" s="2043">
        <v>133375</v>
      </c>
      <c r="J686">
        <v>0.151367442409441</v>
      </c>
      <c r="K686" s="2043">
        <v>52671.026200328197</v>
      </c>
      <c r="L686" s="2043">
        <v>52671.026200328197</v>
      </c>
      <c r="M686">
        <v>599</v>
      </c>
      <c r="N686">
        <v>1</v>
      </c>
    </row>
    <row r="687" spans="1:14">
      <c r="A687" t="s">
        <v>2942</v>
      </c>
      <c r="B687" t="s">
        <v>1351</v>
      </c>
      <c r="C687" t="s">
        <v>1459</v>
      </c>
      <c r="D687" s="41">
        <v>2</v>
      </c>
      <c r="E687" s="41">
        <v>1709</v>
      </c>
      <c r="F687" s="41" t="s">
        <v>3723</v>
      </c>
      <c r="G687" s="41" t="s">
        <v>3723</v>
      </c>
      <c r="H687" s="2043">
        <v>289660</v>
      </c>
      <c r="I687" s="2043">
        <v>0</v>
      </c>
      <c r="J687">
        <v>0</v>
      </c>
      <c r="L687" s="2043">
        <v>0</v>
      </c>
      <c r="M687">
        <v>599</v>
      </c>
      <c r="N687">
        <v>0</v>
      </c>
    </row>
    <row r="688" spans="1:14">
      <c r="A688" t="s">
        <v>2943</v>
      </c>
      <c r="B688" t="s">
        <v>26</v>
      </c>
      <c r="C688" t="s">
        <v>2083</v>
      </c>
      <c r="D688" s="41">
        <v>9</v>
      </c>
      <c r="E688" s="41">
        <v>2135</v>
      </c>
      <c r="F688" s="41" t="s">
        <v>3724</v>
      </c>
      <c r="G688" s="41" t="s">
        <v>3724</v>
      </c>
      <c r="H688" s="2043">
        <v>1200408</v>
      </c>
      <c r="I688" s="2043">
        <v>0</v>
      </c>
      <c r="J688">
        <v>0</v>
      </c>
      <c r="K688" s="2043">
        <v>0</v>
      </c>
      <c r="L688" s="2043">
        <v>0</v>
      </c>
      <c r="M688">
        <v>599</v>
      </c>
      <c r="N688">
        <v>0</v>
      </c>
    </row>
    <row r="689" spans="1:14">
      <c r="A689" t="s">
        <v>2943</v>
      </c>
      <c r="B689" t="s">
        <v>26</v>
      </c>
      <c r="C689" t="s">
        <v>2083</v>
      </c>
      <c r="D689" s="41">
        <v>9</v>
      </c>
      <c r="E689" s="41">
        <v>2135</v>
      </c>
      <c r="F689" s="41" t="s">
        <v>3724</v>
      </c>
      <c r="G689" s="41" t="s">
        <v>3725</v>
      </c>
      <c r="H689" s="2043">
        <v>1200408</v>
      </c>
      <c r="I689" s="2043">
        <v>548962</v>
      </c>
      <c r="J689">
        <v>0.55773234106321901</v>
      </c>
      <c r="K689" s="2043">
        <v>669506.36407101701</v>
      </c>
      <c r="L689" s="2043">
        <v>548962</v>
      </c>
      <c r="M689">
        <v>599</v>
      </c>
      <c r="N689">
        <v>1</v>
      </c>
    </row>
    <row r="690" spans="1:14">
      <c r="A690" t="s">
        <v>2943</v>
      </c>
      <c r="B690" t="s">
        <v>26</v>
      </c>
      <c r="C690" t="s">
        <v>2083</v>
      </c>
      <c r="D690" s="41">
        <v>9</v>
      </c>
      <c r="E690" s="41">
        <v>2135</v>
      </c>
      <c r="F690" s="41" t="s">
        <v>3724</v>
      </c>
      <c r="G690" s="41" t="s">
        <v>3726</v>
      </c>
      <c r="H690" s="2043">
        <v>1200408</v>
      </c>
      <c r="I690" s="2043">
        <v>252088</v>
      </c>
      <c r="J690">
        <v>0.25611541489929102</v>
      </c>
      <c r="K690" s="2043">
        <v>307442.992968429</v>
      </c>
      <c r="L690" s="2043">
        <v>252088</v>
      </c>
      <c r="M690">
        <v>599</v>
      </c>
      <c r="N690">
        <v>1</v>
      </c>
    </row>
    <row r="691" spans="1:14">
      <c r="A691" t="s">
        <v>2943</v>
      </c>
      <c r="B691" t="s">
        <v>26</v>
      </c>
      <c r="C691" t="s">
        <v>2083</v>
      </c>
      <c r="D691" s="41">
        <v>9</v>
      </c>
      <c r="E691" s="41">
        <v>2135</v>
      </c>
      <c r="F691" s="41" t="s">
        <v>3724</v>
      </c>
      <c r="G691" s="41" t="s">
        <v>5373</v>
      </c>
      <c r="H691" s="2043">
        <v>1200408</v>
      </c>
      <c r="I691" s="2043">
        <v>183225</v>
      </c>
      <c r="J691">
        <v>0.18615224403749001</v>
      </c>
      <c r="K691" s="2043">
        <v>223458.64296055501</v>
      </c>
      <c r="L691" s="2043">
        <v>183225</v>
      </c>
      <c r="M691">
        <v>599</v>
      </c>
      <c r="N691">
        <v>1</v>
      </c>
    </row>
    <row r="692" spans="1:14">
      <c r="A692" t="s">
        <v>2944</v>
      </c>
      <c r="B692" t="s">
        <v>2190</v>
      </c>
      <c r="C692" t="s">
        <v>2085</v>
      </c>
      <c r="D692" s="41">
        <v>9</v>
      </c>
      <c r="E692" s="41">
        <v>1710</v>
      </c>
      <c r="F692" s="41" t="s">
        <v>3727</v>
      </c>
      <c r="G692" s="41" t="s">
        <v>3727</v>
      </c>
      <c r="H692" s="2043">
        <v>312761</v>
      </c>
      <c r="I692" s="2043">
        <v>0</v>
      </c>
      <c r="J692">
        <v>0</v>
      </c>
      <c r="K692" s="2043">
        <v>0</v>
      </c>
      <c r="L692" s="2043">
        <v>0</v>
      </c>
      <c r="M692">
        <v>599</v>
      </c>
      <c r="N692">
        <v>1</v>
      </c>
    </row>
    <row r="693" spans="1:14">
      <c r="A693" t="s">
        <v>2944</v>
      </c>
      <c r="B693" t="s">
        <v>2190</v>
      </c>
      <c r="C693" t="s">
        <v>2085</v>
      </c>
      <c r="D693" s="41">
        <v>9</v>
      </c>
      <c r="E693" s="41">
        <v>1710</v>
      </c>
      <c r="F693" s="41" t="s">
        <v>3727</v>
      </c>
      <c r="G693" s="41" t="s">
        <v>5374</v>
      </c>
      <c r="H693" s="2043">
        <v>312761</v>
      </c>
      <c r="I693" s="2043">
        <v>367675</v>
      </c>
      <c r="J693">
        <v>0.92883578168222403</v>
      </c>
      <c r="K693" s="2043">
        <v>290503.60791471403</v>
      </c>
      <c r="L693" s="2043">
        <v>290503.60791471403</v>
      </c>
      <c r="M693">
        <v>599</v>
      </c>
      <c r="N693">
        <v>1</v>
      </c>
    </row>
    <row r="694" spans="1:14">
      <c r="A694" t="s">
        <v>2944</v>
      </c>
      <c r="B694" t="s">
        <v>2190</v>
      </c>
      <c r="C694" t="s">
        <v>2085</v>
      </c>
      <c r="D694" s="41">
        <v>9</v>
      </c>
      <c r="E694" s="41">
        <v>1710</v>
      </c>
      <c r="F694" s="41" t="s">
        <v>3727</v>
      </c>
      <c r="G694" s="41" t="s">
        <v>9322</v>
      </c>
      <c r="H694" s="2043">
        <v>312761</v>
      </c>
      <c r="I694" s="2043">
        <v>28170</v>
      </c>
      <c r="J694">
        <v>7.1164218317775904E-2</v>
      </c>
      <c r="K694" s="2043">
        <v>22257.392085285901</v>
      </c>
      <c r="L694" s="2043">
        <v>22257.392085285901</v>
      </c>
      <c r="M694">
        <v>599</v>
      </c>
      <c r="N694">
        <v>1</v>
      </c>
    </row>
    <row r="695" spans="1:14">
      <c r="A695" t="s">
        <v>2945</v>
      </c>
      <c r="B695" t="s">
        <v>2271</v>
      </c>
      <c r="C695" t="s">
        <v>2518</v>
      </c>
      <c r="D695" s="41">
        <v>2</v>
      </c>
      <c r="E695" s="41">
        <v>1748</v>
      </c>
      <c r="F695" s="41" t="s">
        <v>3728</v>
      </c>
      <c r="G695" s="41" t="s">
        <v>3728</v>
      </c>
      <c r="H695" s="2043">
        <v>129726</v>
      </c>
      <c r="I695" s="2043">
        <v>0</v>
      </c>
      <c r="J695">
        <v>0</v>
      </c>
      <c r="L695" s="2043">
        <v>0</v>
      </c>
      <c r="M695">
        <v>199</v>
      </c>
      <c r="N695">
        <v>0</v>
      </c>
    </row>
    <row r="696" spans="1:14">
      <c r="A696" t="s">
        <v>2945</v>
      </c>
      <c r="B696" t="s">
        <v>2271</v>
      </c>
      <c r="C696" t="s">
        <v>2518</v>
      </c>
      <c r="D696" s="41">
        <v>10</v>
      </c>
      <c r="E696" s="41">
        <v>1749</v>
      </c>
      <c r="F696" s="41" t="s">
        <v>3729</v>
      </c>
      <c r="G696" s="41" t="s">
        <v>3729</v>
      </c>
      <c r="H696" s="2043">
        <v>157394</v>
      </c>
      <c r="I696" s="2043">
        <v>387313</v>
      </c>
      <c r="J696">
        <v>1</v>
      </c>
      <c r="K696" s="2043">
        <v>157394</v>
      </c>
      <c r="L696" s="2043">
        <v>157394</v>
      </c>
      <c r="M696">
        <v>599</v>
      </c>
      <c r="N696">
        <v>1</v>
      </c>
    </row>
    <row r="697" spans="1:14">
      <c r="A697" t="s">
        <v>2945</v>
      </c>
      <c r="B697" t="s">
        <v>2271</v>
      </c>
      <c r="C697" t="s">
        <v>2518</v>
      </c>
      <c r="D697" s="41">
        <v>11</v>
      </c>
      <c r="E697" s="41">
        <v>2581</v>
      </c>
      <c r="F697" s="41" t="s">
        <v>7151</v>
      </c>
      <c r="G697" s="41" t="s">
        <v>7151</v>
      </c>
      <c r="H697" s="2043">
        <v>36285</v>
      </c>
      <c r="I697" s="2043">
        <v>36285</v>
      </c>
      <c r="J697">
        <v>1</v>
      </c>
      <c r="K697" s="2043">
        <v>36285</v>
      </c>
      <c r="L697" s="2043">
        <v>36285</v>
      </c>
      <c r="M697">
        <v>599</v>
      </c>
      <c r="N697">
        <v>1</v>
      </c>
    </row>
    <row r="698" spans="1:14">
      <c r="A698" t="s">
        <v>2946</v>
      </c>
      <c r="B698" t="s">
        <v>2217</v>
      </c>
      <c r="C698" t="s">
        <v>1637</v>
      </c>
      <c r="D698" s="41">
        <v>5</v>
      </c>
      <c r="E698" s="41">
        <v>1863</v>
      </c>
      <c r="F698" s="41" t="s">
        <v>3730</v>
      </c>
      <c r="G698" s="41" t="s">
        <v>3730</v>
      </c>
      <c r="H698" s="2043">
        <v>100000</v>
      </c>
      <c r="I698" s="2043">
        <v>0</v>
      </c>
      <c r="J698">
        <v>0</v>
      </c>
      <c r="K698" s="2043">
        <v>0</v>
      </c>
      <c r="L698" s="2043">
        <v>0</v>
      </c>
      <c r="M698">
        <v>599</v>
      </c>
      <c r="N698">
        <v>0</v>
      </c>
    </row>
    <row r="699" spans="1:14">
      <c r="A699" t="s">
        <v>2946</v>
      </c>
      <c r="B699" t="s">
        <v>2217</v>
      </c>
      <c r="C699" t="s">
        <v>1637</v>
      </c>
      <c r="D699" s="41">
        <v>5</v>
      </c>
      <c r="E699" s="41">
        <v>1863</v>
      </c>
      <c r="F699" s="41" t="s">
        <v>3730</v>
      </c>
      <c r="G699" s="41" t="s">
        <v>3731</v>
      </c>
      <c r="H699" s="2043">
        <v>100000</v>
      </c>
      <c r="I699" s="2043">
        <v>83638</v>
      </c>
      <c r="J699">
        <v>1</v>
      </c>
      <c r="K699" s="2043">
        <v>100000</v>
      </c>
      <c r="L699" s="2043">
        <v>83638</v>
      </c>
      <c r="M699">
        <v>599</v>
      </c>
      <c r="N699">
        <v>1</v>
      </c>
    </row>
    <row r="700" spans="1:14">
      <c r="A700" t="s">
        <v>2947</v>
      </c>
      <c r="B700" t="s">
        <v>2191</v>
      </c>
      <c r="C700" t="s">
        <v>2086</v>
      </c>
      <c r="D700" s="41">
        <v>10</v>
      </c>
      <c r="E700" s="41">
        <v>2332</v>
      </c>
      <c r="F700" s="41" t="s">
        <v>3732</v>
      </c>
      <c r="G700" s="41" t="s">
        <v>3732</v>
      </c>
      <c r="H700" s="2043">
        <v>99680</v>
      </c>
      <c r="I700" s="2043">
        <v>95550</v>
      </c>
      <c r="J700">
        <v>1</v>
      </c>
      <c r="K700" s="2043">
        <v>99680</v>
      </c>
      <c r="L700" s="2043">
        <v>95550</v>
      </c>
      <c r="M700">
        <v>599</v>
      </c>
      <c r="N700">
        <v>1</v>
      </c>
    </row>
    <row r="701" spans="1:14">
      <c r="A701" t="s">
        <v>2948</v>
      </c>
      <c r="B701" t="s">
        <v>1342</v>
      </c>
      <c r="C701" t="s">
        <v>1391</v>
      </c>
      <c r="D701" s="41">
        <v>1</v>
      </c>
      <c r="E701" s="41">
        <v>1833</v>
      </c>
      <c r="F701" s="41" t="s">
        <v>3733</v>
      </c>
      <c r="G701" s="41" t="s">
        <v>3733</v>
      </c>
      <c r="H701" s="2043">
        <v>301682</v>
      </c>
      <c r="I701" s="2043">
        <v>0</v>
      </c>
      <c r="J701">
        <v>0</v>
      </c>
      <c r="K701" s="2043">
        <v>0</v>
      </c>
      <c r="L701" s="2043">
        <v>0</v>
      </c>
      <c r="M701">
        <v>599</v>
      </c>
      <c r="N701">
        <v>0</v>
      </c>
    </row>
    <row r="702" spans="1:14">
      <c r="A702" t="s">
        <v>2948</v>
      </c>
      <c r="B702" t="s">
        <v>1342</v>
      </c>
      <c r="C702" t="s">
        <v>1391</v>
      </c>
      <c r="D702" s="41">
        <v>1</v>
      </c>
      <c r="E702" s="41">
        <v>1833</v>
      </c>
      <c r="F702" s="41" t="s">
        <v>3733</v>
      </c>
      <c r="G702" s="41" t="s">
        <v>3734</v>
      </c>
      <c r="H702" s="2043">
        <v>301682</v>
      </c>
      <c r="I702" s="2043">
        <v>0</v>
      </c>
      <c r="J702">
        <v>0</v>
      </c>
      <c r="K702" s="2043">
        <v>0</v>
      </c>
      <c r="L702" s="2043">
        <v>0</v>
      </c>
      <c r="M702">
        <v>599</v>
      </c>
      <c r="N702">
        <v>0</v>
      </c>
    </row>
    <row r="703" spans="1:14">
      <c r="A703" t="s">
        <v>2948</v>
      </c>
      <c r="B703" t="s">
        <v>1342</v>
      </c>
      <c r="C703" t="s">
        <v>1391</v>
      </c>
      <c r="D703" s="41">
        <v>1</v>
      </c>
      <c r="E703" s="41">
        <v>1833</v>
      </c>
      <c r="F703" s="41" t="s">
        <v>3733</v>
      </c>
      <c r="G703" s="41" t="s">
        <v>5375</v>
      </c>
      <c r="H703" s="2043">
        <v>301682</v>
      </c>
      <c r="I703" s="2043">
        <v>144599</v>
      </c>
      <c r="J703">
        <v>1</v>
      </c>
      <c r="K703" s="2043">
        <v>301682</v>
      </c>
      <c r="L703" s="2043">
        <v>144599</v>
      </c>
      <c r="M703">
        <v>599</v>
      </c>
      <c r="N703">
        <v>1</v>
      </c>
    </row>
    <row r="704" spans="1:14">
      <c r="A704" t="s">
        <v>2949</v>
      </c>
      <c r="B704" t="s">
        <v>2363</v>
      </c>
      <c r="C704" t="s">
        <v>2231</v>
      </c>
      <c r="D704" s="41">
        <v>6</v>
      </c>
      <c r="E704" s="41">
        <v>2411</v>
      </c>
      <c r="F704" s="41" t="s">
        <v>3735</v>
      </c>
      <c r="G704" s="41" t="s">
        <v>3735</v>
      </c>
      <c r="H704" s="2043">
        <v>163056</v>
      </c>
      <c r="I704" s="2043">
        <v>0</v>
      </c>
      <c r="J704">
        <v>0</v>
      </c>
      <c r="K704" s="2043">
        <v>0</v>
      </c>
      <c r="L704" s="2043">
        <v>0</v>
      </c>
      <c r="M704">
        <v>599</v>
      </c>
      <c r="N704">
        <v>0</v>
      </c>
    </row>
    <row r="705" spans="1:14">
      <c r="A705" t="s">
        <v>2949</v>
      </c>
      <c r="B705" t="s">
        <v>2363</v>
      </c>
      <c r="C705" t="s">
        <v>2231</v>
      </c>
      <c r="D705" s="41">
        <v>6</v>
      </c>
      <c r="E705" s="41">
        <v>2411</v>
      </c>
      <c r="F705" s="41" t="s">
        <v>3735</v>
      </c>
      <c r="G705" s="41" t="s">
        <v>3736</v>
      </c>
      <c r="H705" s="2043">
        <v>163056</v>
      </c>
      <c r="I705" s="2043">
        <v>128750</v>
      </c>
      <c r="J705">
        <v>0.85311228614214296</v>
      </c>
      <c r="K705" s="2043">
        <v>139105.07692919299</v>
      </c>
      <c r="L705" s="2043">
        <v>128750</v>
      </c>
      <c r="M705">
        <v>599</v>
      </c>
      <c r="N705">
        <v>1</v>
      </c>
    </row>
    <row r="706" spans="1:14">
      <c r="A706" t="s">
        <v>2949</v>
      </c>
      <c r="B706" t="s">
        <v>2363</v>
      </c>
      <c r="C706" t="s">
        <v>2231</v>
      </c>
      <c r="D706" s="41">
        <v>6</v>
      </c>
      <c r="E706" s="41">
        <v>2411</v>
      </c>
      <c r="F706" s="41" t="s">
        <v>3735</v>
      </c>
      <c r="G706" s="41" t="s">
        <v>9323</v>
      </c>
      <c r="H706" s="2043">
        <v>163056</v>
      </c>
      <c r="I706" s="2043">
        <v>22168</v>
      </c>
      <c r="J706">
        <v>0.14688771385785701</v>
      </c>
      <c r="K706" s="2043">
        <v>23950.923070806701</v>
      </c>
      <c r="L706" s="2043">
        <v>22168</v>
      </c>
      <c r="M706">
        <v>599</v>
      </c>
      <c r="N706">
        <v>1</v>
      </c>
    </row>
    <row r="707" spans="1:14">
      <c r="A707" t="s">
        <v>2950</v>
      </c>
      <c r="B707" t="s">
        <v>286</v>
      </c>
      <c r="C707" t="s">
        <v>2091</v>
      </c>
      <c r="D707" s="41">
        <v>9</v>
      </c>
      <c r="E707" s="41">
        <v>1802</v>
      </c>
      <c r="F707" s="41" t="s">
        <v>3737</v>
      </c>
      <c r="G707" s="41" t="s">
        <v>3737</v>
      </c>
      <c r="H707" s="2043">
        <v>43739</v>
      </c>
      <c r="I707" s="2043">
        <v>0</v>
      </c>
      <c r="J707">
        <v>0</v>
      </c>
      <c r="K707" s="2043">
        <v>0</v>
      </c>
      <c r="L707" s="2043">
        <v>0</v>
      </c>
      <c r="M707">
        <v>599</v>
      </c>
      <c r="N707">
        <v>1</v>
      </c>
    </row>
    <row r="708" spans="1:14">
      <c r="A708" t="s">
        <v>2950</v>
      </c>
      <c r="B708" t="s">
        <v>286</v>
      </c>
      <c r="C708" t="s">
        <v>2091</v>
      </c>
      <c r="D708" s="41">
        <v>9</v>
      </c>
      <c r="E708" s="41">
        <v>1802</v>
      </c>
      <c r="F708" s="41" t="s">
        <v>3737</v>
      </c>
      <c r="G708" s="41" t="s">
        <v>5907</v>
      </c>
      <c r="H708" s="2043">
        <v>43739</v>
      </c>
      <c r="I708" s="2043">
        <v>85345</v>
      </c>
      <c r="J708">
        <v>1</v>
      </c>
      <c r="K708" s="2043">
        <v>43739</v>
      </c>
      <c r="L708" s="2043">
        <v>43739</v>
      </c>
      <c r="M708">
        <v>599</v>
      </c>
      <c r="N708">
        <v>1</v>
      </c>
    </row>
    <row r="709" spans="1:14">
      <c r="A709" t="s">
        <v>4981</v>
      </c>
      <c r="B709" t="s">
        <v>1042</v>
      </c>
      <c r="C709" t="s">
        <v>2096</v>
      </c>
      <c r="D709" s="41">
        <v>11</v>
      </c>
      <c r="E709" s="41">
        <v>2576</v>
      </c>
      <c r="F709" s="41" t="s">
        <v>7152</v>
      </c>
      <c r="G709" s="41" t="s">
        <v>7152</v>
      </c>
      <c r="H709" s="2043">
        <v>188872</v>
      </c>
      <c r="I709" s="2043">
        <v>813046</v>
      </c>
      <c r="J709">
        <v>1</v>
      </c>
      <c r="K709" s="2043">
        <v>188872</v>
      </c>
      <c r="L709" s="2043">
        <v>188872</v>
      </c>
      <c r="M709">
        <v>599</v>
      </c>
      <c r="N709">
        <v>1</v>
      </c>
    </row>
    <row r="710" spans="1:14">
      <c r="A710" t="s">
        <v>4981</v>
      </c>
      <c r="B710" t="s">
        <v>1042</v>
      </c>
      <c r="C710" t="s">
        <v>2096</v>
      </c>
      <c r="D710" s="41">
        <v>11</v>
      </c>
      <c r="E710" s="41">
        <v>2596</v>
      </c>
      <c r="F710" s="41" t="s">
        <v>7153</v>
      </c>
      <c r="G710" s="41" t="s">
        <v>7153</v>
      </c>
      <c r="H710" s="2043">
        <v>480835</v>
      </c>
      <c r="I710" s="2043">
        <v>481760</v>
      </c>
      <c r="J710">
        <v>1</v>
      </c>
      <c r="K710" s="2043">
        <v>480835</v>
      </c>
      <c r="L710" s="2043">
        <v>480835</v>
      </c>
      <c r="M710">
        <v>599</v>
      </c>
      <c r="N710">
        <v>1</v>
      </c>
    </row>
    <row r="711" spans="1:14">
      <c r="A711" t="s">
        <v>2951</v>
      </c>
      <c r="B711" t="s">
        <v>2029</v>
      </c>
      <c r="C711" t="s">
        <v>247</v>
      </c>
      <c r="D711" s="41">
        <v>5</v>
      </c>
      <c r="E711" s="41">
        <v>2157</v>
      </c>
      <c r="F711" s="41" t="s">
        <v>3738</v>
      </c>
      <c r="G711" s="41" t="s">
        <v>3738</v>
      </c>
      <c r="H711" s="2043">
        <v>93713</v>
      </c>
      <c r="I711" s="2043">
        <v>0</v>
      </c>
      <c r="J711">
        <v>0</v>
      </c>
      <c r="L711" s="2043">
        <v>0</v>
      </c>
      <c r="M711">
        <v>599</v>
      </c>
      <c r="N711">
        <v>1</v>
      </c>
    </row>
    <row r="712" spans="1:14">
      <c r="A712" t="s">
        <v>2952</v>
      </c>
      <c r="B712" t="s">
        <v>2260</v>
      </c>
      <c r="C712" t="s">
        <v>2430</v>
      </c>
      <c r="D712" s="41">
        <v>1</v>
      </c>
      <c r="E712" s="41">
        <v>1720</v>
      </c>
      <c r="F712" s="41" t="s">
        <v>3739</v>
      </c>
      <c r="G712" s="41" t="s">
        <v>3739</v>
      </c>
      <c r="H712" s="2043">
        <v>767600</v>
      </c>
      <c r="I712" s="2043">
        <v>0</v>
      </c>
      <c r="J712">
        <v>0</v>
      </c>
      <c r="L712" s="2043">
        <v>0</v>
      </c>
      <c r="M712">
        <v>599</v>
      </c>
      <c r="N712">
        <v>0</v>
      </c>
    </row>
    <row r="713" spans="1:14">
      <c r="A713" t="s">
        <v>2953</v>
      </c>
      <c r="B713" t="s">
        <v>368</v>
      </c>
      <c r="C713" t="s">
        <v>119</v>
      </c>
      <c r="D713" s="41">
        <v>9</v>
      </c>
      <c r="E713" s="41">
        <v>1752</v>
      </c>
      <c r="F713" s="41" t="s">
        <v>3740</v>
      </c>
      <c r="G713" s="41" t="s">
        <v>3740</v>
      </c>
      <c r="H713" s="2043">
        <v>1796397</v>
      </c>
      <c r="I713" s="2043">
        <v>0</v>
      </c>
      <c r="J713">
        <v>0</v>
      </c>
      <c r="K713" s="2043">
        <v>0</v>
      </c>
      <c r="L713" s="2043">
        <v>0</v>
      </c>
      <c r="M713">
        <v>599</v>
      </c>
      <c r="N713">
        <v>1</v>
      </c>
    </row>
    <row r="714" spans="1:14">
      <c r="A714" t="s">
        <v>2953</v>
      </c>
      <c r="B714" t="s">
        <v>368</v>
      </c>
      <c r="C714" t="s">
        <v>119</v>
      </c>
      <c r="D714" s="41">
        <v>9</v>
      </c>
      <c r="E714" s="41">
        <v>1752</v>
      </c>
      <c r="F714" s="41" t="s">
        <v>3740</v>
      </c>
      <c r="G714" s="41" t="s">
        <v>5559</v>
      </c>
      <c r="H714" s="2043">
        <v>1796397</v>
      </c>
      <c r="I714" s="2043">
        <v>1964306</v>
      </c>
      <c r="J714">
        <v>0.96782626775837299</v>
      </c>
      <c r="K714" s="2043">
        <v>1738600.2039223399</v>
      </c>
      <c r="L714" s="2043">
        <v>1738600.2039223399</v>
      </c>
      <c r="M714">
        <v>599</v>
      </c>
      <c r="N714">
        <v>1</v>
      </c>
    </row>
    <row r="715" spans="1:14">
      <c r="A715" t="s">
        <v>2953</v>
      </c>
      <c r="B715" t="s">
        <v>368</v>
      </c>
      <c r="C715" t="s">
        <v>119</v>
      </c>
      <c r="D715" s="41">
        <v>9</v>
      </c>
      <c r="E715" s="41">
        <v>1752</v>
      </c>
      <c r="F715" s="41" t="s">
        <v>3740</v>
      </c>
      <c r="G715" s="41" t="s">
        <v>5560</v>
      </c>
      <c r="H715" s="2043">
        <v>1796397</v>
      </c>
      <c r="I715" s="2043">
        <v>65300</v>
      </c>
      <c r="J715">
        <v>3.2173732241627201E-2</v>
      </c>
      <c r="K715" s="2043">
        <v>57796.796077662402</v>
      </c>
      <c r="L715" s="2043">
        <v>57796.796077662402</v>
      </c>
      <c r="M715">
        <v>599</v>
      </c>
      <c r="N715">
        <v>1</v>
      </c>
    </row>
    <row r="716" spans="1:14">
      <c r="A716" t="s">
        <v>2953</v>
      </c>
      <c r="B716" t="s">
        <v>368</v>
      </c>
      <c r="C716" t="s">
        <v>119</v>
      </c>
      <c r="D716" s="41">
        <v>11</v>
      </c>
      <c r="E716" s="41">
        <v>2512</v>
      </c>
      <c r="F716" s="41" t="s">
        <v>7154</v>
      </c>
      <c r="G716" s="41" t="s">
        <v>7154</v>
      </c>
      <c r="H716" s="2043">
        <v>1559225</v>
      </c>
      <c r="I716" s="2043">
        <v>1256404</v>
      </c>
      <c r="J716">
        <v>1</v>
      </c>
      <c r="K716" s="2043">
        <v>1559225</v>
      </c>
      <c r="L716" s="2043">
        <v>1256404</v>
      </c>
      <c r="M716">
        <v>599</v>
      </c>
      <c r="N716">
        <v>0</v>
      </c>
    </row>
    <row r="717" spans="1:14">
      <c r="A717" t="s">
        <v>2954</v>
      </c>
      <c r="B717" t="s">
        <v>2435</v>
      </c>
      <c r="C717" t="s">
        <v>1394</v>
      </c>
      <c r="D717" s="41">
        <v>1</v>
      </c>
      <c r="E717" s="41">
        <v>1842</v>
      </c>
      <c r="F717" s="41" t="s">
        <v>3741</v>
      </c>
      <c r="G717" s="41" t="s">
        <v>3741</v>
      </c>
      <c r="H717" s="2043">
        <v>1619723</v>
      </c>
      <c r="I717" s="2043">
        <v>0</v>
      </c>
      <c r="J717">
        <v>0</v>
      </c>
      <c r="L717" s="2043">
        <v>0</v>
      </c>
      <c r="M717">
        <v>599</v>
      </c>
      <c r="N717">
        <v>0</v>
      </c>
    </row>
    <row r="718" spans="1:14">
      <c r="A718" t="s">
        <v>2954</v>
      </c>
      <c r="B718" t="s">
        <v>2435</v>
      </c>
      <c r="C718" t="s">
        <v>1394</v>
      </c>
      <c r="D718" s="41">
        <v>1</v>
      </c>
      <c r="E718" s="41">
        <v>1843</v>
      </c>
      <c r="F718" s="41" t="s">
        <v>3742</v>
      </c>
      <c r="G718" s="41" t="s">
        <v>3742</v>
      </c>
      <c r="H718" s="2043">
        <v>8781971</v>
      </c>
      <c r="I718" s="2043">
        <v>0</v>
      </c>
      <c r="J718">
        <v>0</v>
      </c>
      <c r="L718" s="2043">
        <v>0</v>
      </c>
      <c r="M718">
        <v>599</v>
      </c>
      <c r="N718">
        <v>0</v>
      </c>
    </row>
    <row r="719" spans="1:14">
      <c r="A719" t="s">
        <v>2954</v>
      </c>
      <c r="B719" t="s">
        <v>2435</v>
      </c>
      <c r="C719" t="s">
        <v>1394</v>
      </c>
      <c r="D719" s="41">
        <v>11</v>
      </c>
      <c r="E719" s="41">
        <v>2519</v>
      </c>
      <c r="F719" s="41" t="s">
        <v>5376</v>
      </c>
      <c r="G719" s="41" t="s">
        <v>5376</v>
      </c>
      <c r="H719" s="2043">
        <v>13500244</v>
      </c>
      <c r="I719" s="2043">
        <v>8624480</v>
      </c>
      <c r="J719">
        <v>1</v>
      </c>
      <c r="K719" s="2043">
        <v>13500244</v>
      </c>
      <c r="L719" s="2043">
        <v>8624480</v>
      </c>
      <c r="M719">
        <v>599</v>
      </c>
      <c r="N719">
        <v>1</v>
      </c>
    </row>
    <row r="720" spans="1:14">
      <c r="A720" t="s">
        <v>2955</v>
      </c>
      <c r="B720" t="s">
        <v>625</v>
      </c>
      <c r="C720" t="s">
        <v>816</v>
      </c>
      <c r="D720" s="41">
        <v>5</v>
      </c>
      <c r="E720" s="41">
        <v>1854</v>
      </c>
      <c r="F720" s="41" t="s">
        <v>3743</v>
      </c>
      <c r="G720" s="41" t="s">
        <v>3743</v>
      </c>
      <c r="H720" s="2043">
        <v>1848646</v>
      </c>
      <c r="I720" s="2043">
        <v>0</v>
      </c>
      <c r="J720">
        <v>0</v>
      </c>
      <c r="L720" s="2043">
        <v>0</v>
      </c>
      <c r="M720">
        <v>599</v>
      </c>
      <c r="N720">
        <v>0</v>
      </c>
    </row>
    <row r="721" spans="1:14">
      <c r="A721" t="s">
        <v>2955</v>
      </c>
      <c r="B721" t="s">
        <v>625</v>
      </c>
      <c r="C721" t="s">
        <v>816</v>
      </c>
      <c r="D721" s="41">
        <v>5</v>
      </c>
      <c r="E721" s="41">
        <v>1855</v>
      </c>
      <c r="F721" s="41" t="s">
        <v>3744</v>
      </c>
      <c r="G721" s="41" t="s">
        <v>3744</v>
      </c>
      <c r="H721" s="2043">
        <v>2988473</v>
      </c>
      <c r="I721" s="2043">
        <v>0</v>
      </c>
      <c r="J721">
        <v>0</v>
      </c>
      <c r="K721" s="2043">
        <v>0</v>
      </c>
      <c r="L721" s="2043">
        <v>0</v>
      </c>
      <c r="M721">
        <v>599</v>
      </c>
      <c r="N721">
        <v>1</v>
      </c>
    </row>
    <row r="722" spans="1:14">
      <c r="A722" t="s">
        <v>2955</v>
      </c>
      <c r="B722" t="s">
        <v>625</v>
      </c>
      <c r="C722" t="s">
        <v>816</v>
      </c>
      <c r="D722" s="41">
        <v>5</v>
      </c>
      <c r="E722" s="41">
        <v>1855</v>
      </c>
      <c r="F722" s="41" t="s">
        <v>3744</v>
      </c>
      <c r="G722" s="41" t="s">
        <v>3745</v>
      </c>
      <c r="H722" s="2043">
        <v>2988473</v>
      </c>
      <c r="I722" s="2043">
        <v>0</v>
      </c>
      <c r="J722">
        <v>0</v>
      </c>
      <c r="K722" s="2043">
        <v>0</v>
      </c>
      <c r="L722" s="2043">
        <v>0</v>
      </c>
      <c r="M722">
        <v>599</v>
      </c>
      <c r="N722">
        <v>1</v>
      </c>
    </row>
    <row r="723" spans="1:14">
      <c r="A723" t="s">
        <v>2955</v>
      </c>
      <c r="B723" t="s">
        <v>625</v>
      </c>
      <c r="C723" t="s">
        <v>816</v>
      </c>
      <c r="D723" s="41">
        <v>5</v>
      </c>
      <c r="E723" s="41">
        <v>1855</v>
      </c>
      <c r="F723" s="41" t="s">
        <v>3744</v>
      </c>
      <c r="G723" s="41" t="s">
        <v>3746</v>
      </c>
      <c r="H723" s="2043">
        <v>2988473</v>
      </c>
      <c r="I723" s="2043">
        <v>6477136</v>
      </c>
      <c r="J723">
        <v>1</v>
      </c>
      <c r="K723" s="2043">
        <v>2988473</v>
      </c>
      <c r="L723" s="2043">
        <v>2988473</v>
      </c>
      <c r="M723">
        <v>599</v>
      </c>
      <c r="N723">
        <v>1</v>
      </c>
    </row>
    <row r="724" spans="1:14">
      <c r="A724" t="s">
        <v>2955</v>
      </c>
      <c r="B724" t="s">
        <v>625</v>
      </c>
      <c r="C724" t="s">
        <v>816</v>
      </c>
      <c r="D724" s="41">
        <v>9</v>
      </c>
      <c r="E724" s="41">
        <v>1856</v>
      </c>
      <c r="F724" s="41" t="s">
        <v>3747</v>
      </c>
      <c r="G724" s="41" t="s">
        <v>3747</v>
      </c>
      <c r="H724" s="2043">
        <v>5871653</v>
      </c>
      <c r="I724" s="2043">
        <v>0</v>
      </c>
      <c r="J724">
        <v>0</v>
      </c>
      <c r="K724" s="2043">
        <v>0</v>
      </c>
      <c r="L724" s="2043">
        <v>0</v>
      </c>
      <c r="M724">
        <v>599</v>
      </c>
      <c r="N724">
        <v>1</v>
      </c>
    </row>
    <row r="725" spans="1:14">
      <c r="A725" t="s">
        <v>2955</v>
      </c>
      <c r="B725" t="s">
        <v>625</v>
      </c>
      <c r="C725" t="s">
        <v>816</v>
      </c>
      <c r="D725" s="41">
        <v>9</v>
      </c>
      <c r="E725" s="41">
        <v>1856</v>
      </c>
      <c r="F725" s="41" t="s">
        <v>3747</v>
      </c>
      <c r="G725" s="41" t="s">
        <v>5377</v>
      </c>
      <c r="H725" s="2043">
        <v>5871653</v>
      </c>
      <c r="I725" s="2043">
        <v>8621185</v>
      </c>
      <c r="J725">
        <v>1</v>
      </c>
      <c r="K725" s="2043">
        <v>5871653</v>
      </c>
      <c r="L725" s="2043">
        <v>5871653</v>
      </c>
      <c r="M725">
        <v>599</v>
      </c>
      <c r="N725">
        <v>1</v>
      </c>
    </row>
    <row r="726" spans="1:14">
      <c r="A726" t="s">
        <v>2955</v>
      </c>
      <c r="B726" t="s">
        <v>625</v>
      </c>
      <c r="C726" t="s">
        <v>816</v>
      </c>
      <c r="D726" s="41">
        <v>11</v>
      </c>
      <c r="E726" s="41">
        <v>2491</v>
      </c>
      <c r="F726" s="41" t="s">
        <v>7155</v>
      </c>
      <c r="G726" s="41" t="s">
        <v>7155</v>
      </c>
      <c r="H726" s="2043">
        <v>318311</v>
      </c>
      <c r="I726" s="2043">
        <v>686075</v>
      </c>
      <c r="J726">
        <v>1</v>
      </c>
      <c r="K726" s="2043">
        <v>318311</v>
      </c>
      <c r="L726" s="2043">
        <v>318311</v>
      </c>
      <c r="M726">
        <v>599</v>
      </c>
      <c r="N726">
        <v>1</v>
      </c>
    </row>
    <row r="727" spans="1:14">
      <c r="A727" t="s">
        <v>2955</v>
      </c>
      <c r="B727" t="s">
        <v>625</v>
      </c>
      <c r="C727" t="s">
        <v>816</v>
      </c>
      <c r="D727" s="41">
        <v>11</v>
      </c>
      <c r="E727" s="41">
        <v>2492</v>
      </c>
      <c r="F727" s="41" t="s">
        <v>7156</v>
      </c>
      <c r="G727" s="41" t="s">
        <v>7156</v>
      </c>
      <c r="H727" s="2043">
        <v>1071200</v>
      </c>
      <c r="I727" s="2043">
        <v>1506450</v>
      </c>
      <c r="J727">
        <v>1</v>
      </c>
      <c r="K727" s="2043">
        <v>1071200</v>
      </c>
      <c r="L727" s="2043">
        <v>1071200</v>
      </c>
      <c r="M727">
        <v>599</v>
      </c>
      <c r="N727">
        <v>1</v>
      </c>
    </row>
    <row r="728" spans="1:14">
      <c r="A728" t="s">
        <v>2955</v>
      </c>
      <c r="B728" t="s">
        <v>625</v>
      </c>
      <c r="C728" t="s">
        <v>816</v>
      </c>
      <c r="D728" s="41">
        <v>11</v>
      </c>
      <c r="E728" s="41">
        <v>2592</v>
      </c>
      <c r="F728" s="41" t="s">
        <v>7157</v>
      </c>
      <c r="G728" s="41" t="s">
        <v>7157</v>
      </c>
      <c r="H728" s="2043">
        <v>5384850</v>
      </c>
      <c r="I728" s="2043">
        <v>5456150</v>
      </c>
      <c r="J728">
        <v>1</v>
      </c>
      <c r="K728" s="2043">
        <v>5384850</v>
      </c>
      <c r="L728" s="2043">
        <v>5384850</v>
      </c>
      <c r="M728">
        <v>599</v>
      </c>
      <c r="N728">
        <v>0</v>
      </c>
    </row>
    <row r="729" spans="1:14">
      <c r="A729" t="s">
        <v>2956</v>
      </c>
      <c r="B729" t="s">
        <v>39</v>
      </c>
      <c r="C729" t="s">
        <v>1195</v>
      </c>
      <c r="D729" s="41">
        <v>2</v>
      </c>
      <c r="E729" s="41">
        <v>1929</v>
      </c>
      <c r="F729" s="41" t="s">
        <v>3748</v>
      </c>
      <c r="G729" s="41" t="s">
        <v>3748</v>
      </c>
      <c r="H729" s="2043">
        <v>6225000</v>
      </c>
      <c r="I729" s="2043">
        <v>0</v>
      </c>
      <c r="J729">
        <v>0</v>
      </c>
      <c r="K729" s="2043">
        <v>0</v>
      </c>
      <c r="L729" s="2043">
        <v>0</v>
      </c>
      <c r="M729">
        <v>599</v>
      </c>
      <c r="N729">
        <v>0</v>
      </c>
    </row>
    <row r="730" spans="1:14">
      <c r="A730" t="s">
        <v>2956</v>
      </c>
      <c r="B730" t="s">
        <v>39</v>
      </c>
      <c r="C730" t="s">
        <v>1195</v>
      </c>
      <c r="D730" s="41">
        <v>2</v>
      </c>
      <c r="E730" s="41">
        <v>1929</v>
      </c>
      <c r="F730" s="41" t="s">
        <v>3748</v>
      </c>
      <c r="G730" s="41" t="s">
        <v>3749</v>
      </c>
      <c r="H730" s="2043">
        <v>6225000</v>
      </c>
      <c r="I730" s="2043">
        <v>0</v>
      </c>
      <c r="J730">
        <v>0</v>
      </c>
      <c r="K730" s="2043">
        <v>0</v>
      </c>
      <c r="L730" s="2043">
        <v>0</v>
      </c>
      <c r="M730">
        <v>599</v>
      </c>
      <c r="N730">
        <v>0</v>
      </c>
    </row>
    <row r="731" spans="1:14">
      <c r="A731" t="s">
        <v>2956</v>
      </c>
      <c r="B731" t="s">
        <v>39</v>
      </c>
      <c r="C731" t="s">
        <v>1195</v>
      </c>
      <c r="D731" s="41">
        <v>2</v>
      </c>
      <c r="E731" s="41">
        <v>1929</v>
      </c>
      <c r="F731" s="41" t="s">
        <v>3748</v>
      </c>
      <c r="G731" s="41" t="s">
        <v>3750</v>
      </c>
      <c r="H731" s="2043">
        <v>6225000</v>
      </c>
      <c r="I731" s="2043">
        <v>0</v>
      </c>
      <c r="J731">
        <v>0</v>
      </c>
      <c r="K731" s="2043">
        <v>0</v>
      </c>
      <c r="L731" s="2043">
        <v>0</v>
      </c>
      <c r="M731">
        <v>599</v>
      </c>
      <c r="N731">
        <v>0</v>
      </c>
    </row>
    <row r="732" spans="1:14">
      <c r="A732" t="s">
        <v>2956</v>
      </c>
      <c r="B732" t="s">
        <v>39</v>
      </c>
      <c r="C732" t="s">
        <v>1195</v>
      </c>
      <c r="D732" s="41">
        <v>2</v>
      </c>
      <c r="E732" s="41">
        <v>1929</v>
      </c>
      <c r="F732" s="41" t="s">
        <v>3748</v>
      </c>
      <c r="G732" s="41" t="s">
        <v>3751</v>
      </c>
      <c r="H732" s="2043">
        <v>6225000</v>
      </c>
      <c r="I732" s="2043">
        <v>0</v>
      </c>
      <c r="J732">
        <v>0</v>
      </c>
      <c r="K732" s="2043">
        <v>0</v>
      </c>
      <c r="L732" s="2043">
        <v>0</v>
      </c>
      <c r="M732">
        <v>599</v>
      </c>
      <c r="N732">
        <v>0</v>
      </c>
    </row>
    <row r="733" spans="1:14">
      <c r="A733" t="s">
        <v>2956</v>
      </c>
      <c r="B733" t="s">
        <v>39</v>
      </c>
      <c r="C733" t="s">
        <v>1195</v>
      </c>
      <c r="D733" s="41">
        <v>2</v>
      </c>
      <c r="E733" s="41">
        <v>1929</v>
      </c>
      <c r="F733" s="41" t="s">
        <v>3748</v>
      </c>
      <c r="G733" s="41" t="s">
        <v>3752</v>
      </c>
      <c r="H733" s="2043">
        <v>6225000</v>
      </c>
      <c r="I733" s="2043">
        <v>2738517</v>
      </c>
      <c r="J733">
        <v>0.18545599272077001</v>
      </c>
      <c r="K733" s="2043">
        <v>1154463.5546868001</v>
      </c>
      <c r="L733" s="2043">
        <v>1154463.5546868001</v>
      </c>
      <c r="M733">
        <v>599</v>
      </c>
      <c r="N733">
        <v>1</v>
      </c>
    </row>
    <row r="734" spans="1:14">
      <c r="A734" t="s">
        <v>2956</v>
      </c>
      <c r="B734" t="s">
        <v>39</v>
      </c>
      <c r="C734" t="s">
        <v>1195</v>
      </c>
      <c r="D734" s="41">
        <v>2</v>
      </c>
      <c r="E734" s="41">
        <v>1929</v>
      </c>
      <c r="F734" s="41" t="s">
        <v>3748</v>
      </c>
      <c r="G734" s="41" t="s">
        <v>3753</v>
      </c>
      <c r="H734" s="2043">
        <v>6225000</v>
      </c>
      <c r="I734" s="2043">
        <v>9892555</v>
      </c>
      <c r="J734">
        <v>0.66993690675274997</v>
      </c>
      <c r="K734" s="2043">
        <v>4170357.2445358699</v>
      </c>
      <c r="L734" s="2043">
        <v>4170357.2445358699</v>
      </c>
      <c r="M734">
        <v>599</v>
      </c>
      <c r="N734">
        <v>1</v>
      </c>
    </row>
    <row r="735" spans="1:14">
      <c r="A735" t="s">
        <v>2956</v>
      </c>
      <c r="B735" t="s">
        <v>39</v>
      </c>
      <c r="C735" t="s">
        <v>1195</v>
      </c>
      <c r="D735" s="41">
        <v>2</v>
      </c>
      <c r="E735" s="41">
        <v>1929</v>
      </c>
      <c r="F735" s="41" t="s">
        <v>3748</v>
      </c>
      <c r="G735" s="41" t="s">
        <v>5378</v>
      </c>
      <c r="H735" s="2043">
        <v>6225000</v>
      </c>
      <c r="I735" s="2043">
        <v>175522</v>
      </c>
      <c r="J735">
        <v>1.1886581954515901E-2</v>
      </c>
      <c r="K735" s="2043">
        <v>73993.972666861606</v>
      </c>
      <c r="L735" s="2043">
        <v>73993.972666861606</v>
      </c>
      <c r="M735">
        <v>599</v>
      </c>
      <c r="N735">
        <v>1</v>
      </c>
    </row>
    <row r="736" spans="1:14">
      <c r="A736" t="s">
        <v>2956</v>
      </c>
      <c r="B736" t="s">
        <v>39</v>
      </c>
      <c r="C736" t="s">
        <v>1195</v>
      </c>
      <c r="D736" s="41">
        <v>2</v>
      </c>
      <c r="E736" s="41">
        <v>1929</v>
      </c>
      <c r="F736" s="41" t="s">
        <v>3748</v>
      </c>
      <c r="G736" s="41" t="s">
        <v>5562</v>
      </c>
      <c r="H736" s="2043">
        <v>6225000</v>
      </c>
      <c r="I736" s="2043">
        <v>1959804</v>
      </c>
      <c r="J736">
        <v>0.13272051857196299</v>
      </c>
      <c r="K736" s="2043">
        <v>826185.22811047104</v>
      </c>
      <c r="L736" s="2043">
        <v>826185.22811047104</v>
      </c>
      <c r="M736">
        <v>599</v>
      </c>
      <c r="N736">
        <v>1</v>
      </c>
    </row>
    <row r="737" spans="1:14">
      <c r="A737" t="s">
        <v>2956</v>
      </c>
      <c r="B737" t="s">
        <v>39</v>
      </c>
      <c r="C737" t="s">
        <v>1195</v>
      </c>
      <c r="D737" s="41">
        <v>9</v>
      </c>
      <c r="E737" s="41">
        <v>1928</v>
      </c>
      <c r="F737" s="41" t="s">
        <v>3754</v>
      </c>
      <c r="G737" s="41" t="s">
        <v>3754</v>
      </c>
      <c r="H737" s="2043">
        <v>4239880</v>
      </c>
      <c r="I737" s="2043">
        <v>1991084</v>
      </c>
      <c r="J737">
        <v>0.41775459767691198</v>
      </c>
      <c r="K737" s="2043">
        <v>1771229.36359839</v>
      </c>
      <c r="L737" s="2043">
        <v>1771229.36359839</v>
      </c>
      <c r="M737">
        <v>599</v>
      </c>
      <c r="N737">
        <v>1</v>
      </c>
    </row>
    <row r="738" spans="1:14">
      <c r="A738" t="s">
        <v>2956</v>
      </c>
      <c r="B738" t="s">
        <v>39</v>
      </c>
      <c r="C738" t="s">
        <v>1195</v>
      </c>
      <c r="D738" s="41">
        <v>9</v>
      </c>
      <c r="E738" s="41">
        <v>1928</v>
      </c>
      <c r="F738" s="41" t="s">
        <v>3754</v>
      </c>
      <c r="G738" s="41" t="s">
        <v>5378</v>
      </c>
      <c r="H738" s="2043">
        <v>4239880</v>
      </c>
      <c r="I738" s="2043">
        <v>1347217</v>
      </c>
      <c r="J738">
        <v>0.282663160277767</v>
      </c>
      <c r="K738" s="2043">
        <v>1198457.8799985</v>
      </c>
      <c r="L738" s="2043">
        <v>1198457.8799985</v>
      </c>
      <c r="M738">
        <v>599</v>
      </c>
      <c r="N738">
        <v>1</v>
      </c>
    </row>
    <row r="739" spans="1:14">
      <c r="A739" t="s">
        <v>2956</v>
      </c>
      <c r="B739" t="s">
        <v>39</v>
      </c>
      <c r="C739" t="s">
        <v>1195</v>
      </c>
      <c r="D739" s="41">
        <v>9</v>
      </c>
      <c r="E739" s="41">
        <v>1928</v>
      </c>
      <c r="F739" s="41" t="s">
        <v>3754</v>
      </c>
      <c r="G739" s="41" t="s">
        <v>5561</v>
      </c>
      <c r="H739" s="2043">
        <v>4239880</v>
      </c>
      <c r="I739" s="2043">
        <v>1427856</v>
      </c>
      <c r="J739">
        <v>0.29958224204532102</v>
      </c>
      <c r="K739" s="2043">
        <v>1270192.75640311</v>
      </c>
      <c r="L739" s="2043">
        <v>1270192.75640311</v>
      </c>
      <c r="M739">
        <v>599</v>
      </c>
      <c r="N739">
        <v>1</v>
      </c>
    </row>
    <row r="740" spans="1:14">
      <c r="A740" t="s">
        <v>2956</v>
      </c>
      <c r="B740" t="s">
        <v>39</v>
      </c>
      <c r="C740" t="s">
        <v>1195</v>
      </c>
      <c r="D740" s="41">
        <v>10</v>
      </c>
      <c r="E740" s="41">
        <v>1927</v>
      </c>
      <c r="F740" s="41" t="s">
        <v>3755</v>
      </c>
      <c r="G740" s="41" t="s">
        <v>3755</v>
      </c>
      <c r="H740" s="2043">
        <v>3568037</v>
      </c>
      <c r="I740" s="2043">
        <v>0</v>
      </c>
      <c r="J740">
        <v>0</v>
      </c>
      <c r="K740" s="2043">
        <v>0</v>
      </c>
      <c r="L740" s="2043">
        <v>0</v>
      </c>
      <c r="M740">
        <v>599</v>
      </c>
      <c r="N740">
        <v>1</v>
      </c>
    </row>
    <row r="741" spans="1:14">
      <c r="A741" t="s">
        <v>2956</v>
      </c>
      <c r="B741" t="s">
        <v>39</v>
      </c>
      <c r="C741" t="s">
        <v>1195</v>
      </c>
      <c r="D741" s="41">
        <v>10</v>
      </c>
      <c r="E741" s="41">
        <v>1927</v>
      </c>
      <c r="F741" s="41" t="s">
        <v>3755</v>
      </c>
      <c r="G741" s="41" t="s">
        <v>5561</v>
      </c>
      <c r="H741" s="2043">
        <v>3568037</v>
      </c>
      <c r="I741" s="2043">
        <v>2068490</v>
      </c>
      <c r="J741">
        <v>0.89247722413863795</v>
      </c>
      <c r="K741" s="2043">
        <v>3184391.7573839501</v>
      </c>
      <c r="L741" s="2043">
        <v>2068490</v>
      </c>
      <c r="M741">
        <v>599</v>
      </c>
      <c r="N741">
        <v>1</v>
      </c>
    </row>
    <row r="742" spans="1:14">
      <c r="A742" t="s">
        <v>2956</v>
      </c>
      <c r="B742" t="s">
        <v>39</v>
      </c>
      <c r="C742" t="s">
        <v>1195</v>
      </c>
      <c r="D742" s="41">
        <v>10</v>
      </c>
      <c r="E742" s="41">
        <v>1927</v>
      </c>
      <c r="F742" s="41" t="s">
        <v>3755</v>
      </c>
      <c r="G742" s="41" t="s">
        <v>7326</v>
      </c>
      <c r="H742" s="2043">
        <v>3568037</v>
      </c>
      <c r="I742" s="2043">
        <v>153491</v>
      </c>
      <c r="J742">
        <v>6.6225711320945999E-2</v>
      </c>
      <c r="K742" s="2043">
        <v>236295.78834445399</v>
      </c>
      <c r="L742" s="2043">
        <v>153491</v>
      </c>
      <c r="M742">
        <v>599</v>
      </c>
      <c r="N742">
        <v>1</v>
      </c>
    </row>
    <row r="743" spans="1:14">
      <c r="A743" t="s">
        <v>2956</v>
      </c>
      <c r="B743" t="s">
        <v>39</v>
      </c>
      <c r="C743" t="s">
        <v>1195</v>
      </c>
      <c r="D743" s="41">
        <v>10</v>
      </c>
      <c r="E743" s="41">
        <v>1927</v>
      </c>
      <c r="F743" s="41" t="s">
        <v>3755</v>
      </c>
      <c r="G743" s="41" t="s">
        <v>8625</v>
      </c>
      <c r="H743" s="2043">
        <v>3568037</v>
      </c>
      <c r="I743" s="2043">
        <v>95714</v>
      </c>
      <c r="J743">
        <v>4.1297064540416199E-2</v>
      </c>
      <c r="K743" s="2043">
        <v>147349.45427159299</v>
      </c>
      <c r="L743" s="2043">
        <v>95714</v>
      </c>
      <c r="M743">
        <v>599</v>
      </c>
      <c r="N743">
        <v>1</v>
      </c>
    </row>
    <row r="744" spans="1:14">
      <c r="A744" t="s">
        <v>2956</v>
      </c>
      <c r="B744" t="s">
        <v>39</v>
      </c>
      <c r="C744" t="s">
        <v>1195</v>
      </c>
      <c r="D744" s="41">
        <v>10</v>
      </c>
      <c r="E744" s="41">
        <v>1925</v>
      </c>
      <c r="F744" s="41" t="s">
        <v>3756</v>
      </c>
      <c r="G744" s="41" t="s">
        <v>3756</v>
      </c>
      <c r="H744" s="2043">
        <v>223714</v>
      </c>
      <c r="I744" s="2043">
        <v>0</v>
      </c>
      <c r="J744">
        <v>0</v>
      </c>
      <c r="K744" s="2043">
        <v>0</v>
      </c>
      <c r="L744" s="2043">
        <v>0</v>
      </c>
      <c r="M744">
        <v>599</v>
      </c>
      <c r="N744">
        <v>1</v>
      </c>
    </row>
    <row r="745" spans="1:14">
      <c r="A745" t="s">
        <v>2956</v>
      </c>
      <c r="B745" t="s">
        <v>39</v>
      </c>
      <c r="C745" t="s">
        <v>1195</v>
      </c>
      <c r="D745" s="41">
        <v>10</v>
      </c>
      <c r="E745" s="41">
        <v>1925</v>
      </c>
      <c r="F745" s="41" t="s">
        <v>3756</v>
      </c>
      <c r="G745" s="41" t="s">
        <v>7326</v>
      </c>
      <c r="H745" s="2043">
        <v>223714</v>
      </c>
      <c r="I745" s="2043">
        <v>227764</v>
      </c>
      <c r="J745">
        <v>0.91505295129123998</v>
      </c>
      <c r="K745" s="2043">
        <v>204710.15594516799</v>
      </c>
      <c r="L745" s="2043">
        <v>204710.15594516799</v>
      </c>
      <c r="M745">
        <v>599</v>
      </c>
      <c r="N745">
        <v>1</v>
      </c>
    </row>
    <row r="746" spans="1:14">
      <c r="A746" t="s">
        <v>2956</v>
      </c>
      <c r="B746" t="s">
        <v>39</v>
      </c>
      <c r="C746" t="s">
        <v>1195</v>
      </c>
      <c r="D746" s="41">
        <v>10</v>
      </c>
      <c r="E746" s="41">
        <v>1925</v>
      </c>
      <c r="F746" s="41" t="s">
        <v>3756</v>
      </c>
      <c r="G746" s="41" t="s">
        <v>8625</v>
      </c>
      <c r="H746" s="2043">
        <v>223714</v>
      </c>
      <c r="I746" s="2043">
        <v>21144</v>
      </c>
      <c r="J746">
        <v>8.4947048708759895E-2</v>
      </c>
      <c r="K746" s="2043">
        <v>19003.844054831501</v>
      </c>
      <c r="L746" s="2043">
        <v>19003.844054831501</v>
      </c>
      <c r="M746">
        <v>599</v>
      </c>
      <c r="N746">
        <v>1</v>
      </c>
    </row>
    <row r="747" spans="1:14">
      <c r="A747" t="s">
        <v>2956</v>
      </c>
      <c r="B747" t="s">
        <v>39</v>
      </c>
      <c r="C747" t="s">
        <v>1195</v>
      </c>
      <c r="D747" s="41">
        <v>10</v>
      </c>
      <c r="E747" s="41">
        <v>1926</v>
      </c>
      <c r="F747" s="41" t="s">
        <v>3757</v>
      </c>
      <c r="G747" s="41" t="s">
        <v>3757</v>
      </c>
      <c r="H747" s="2043">
        <v>1178718</v>
      </c>
      <c r="I747" s="2043">
        <v>1301639</v>
      </c>
      <c r="J747">
        <v>0.27563706868675902</v>
      </c>
      <c r="K747" s="2043">
        <v>324898.37432831898</v>
      </c>
      <c r="L747" s="2043">
        <v>324898.37432831898</v>
      </c>
      <c r="M747">
        <v>599</v>
      </c>
      <c r="N747">
        <v>1</v>
      </c>
    </row>
    <row r="748" spans="1:14">
      <c r="A748" t="s">
        <v>2956</v>
      </c>
      <c r="B748" t="s">
        <v>39</v>
      </c>
      <c r="C748" t="s">
        <v>1195</v>
      </c>
      <c r="D748" s="41">
        <v>10</v>
      </c>
      <c r="E748" s="41">
        <v>1926</v>
      </c>
      <c r="F748" s="41" t="s">
        <v>3757</v>
      </c>
      <c r="G748" s="41" t="s">
        <v>8625</v>
      </c>
      <c r="H748" s="2043">
        <v>1178718</v>
      </c>
      <c r="I748" s="2043">
        <v>3420654</v>
      </c>
      <c r="J748">
        <v>0.72436293131324103</v>
      </c>
      <c r="K748" s="2043">
        <v>853819.62567168102</v>
      </c>
      <c r="L748" s="2043">
        <v>853819.62567168102</v>
      </c>
      <c r="M748">
        <v>599</v>
      </c>
      <c r="N748">
        <v>1</v>
      </c>
    </row>
    <row r="749" spans="1:14">
      <c r="A749" t="s">
        <v>4991</v>
      </c>
      <c r="B749" t="s">
        <v>1693</v>
      </c>
      <c r="C749" t="s">
        <v>122</v>
      </c>
      <c r="D749" s="41">
        <v>11</v>
      </c>
      <c r="E749" s="41">
        <v>2510</v>
      </c>
      <c r="F749" s="41" t="s">
        <v>7158</v>
      </c>
      <c r="G749" s="41" t="s">
        <v>7158</v>
      </c>
      <c r="H749" s="2043">
        <v>1673781</v>
      </c>
      <c r="I749" s="2043">
        <v>2517388</v>
      </c>
      <c r="J749">
        <v>1</v>
      </c>
      <c r="K749" s="2043">
        <v>1673781</v>
      </c>
      <c r="L749" s="2043">
        <v>1673781</v>
      </c>
      <c r="M749">
        <v>599</v>
      </c>
      <c r="N749">
        <v>1</v>
      </c>
    </row>
    <row r="750" spans="1:14">
      <c r="A750" t="s">
        <v>2957</v>
      </c>
      <c r="B750" t="s">
        <v>2392</v>
      </c>
      <c r="C750" t="s">
        <v>2112</v>
      </c>
      <c r="D750" s="41">
        <v>1</v>
      </c>
      <c r="E750" s="41">
        <v>2097</v>
      </c>
      <c r="F750" s="41" t="s">
        <v>3758</v>
      </c>
      <c r="G750" s="41" t="s">
        <v>3758</v>
      </c>
      <c r="H750" s="2043">
        <v>838538</v>
      </c>
      <c r="I750" s="2043">
        <v>0</v>
      </c>
      <c r="J750">
        <v>0</v>
      </c>
      <c r="L750" s="2043">
        <v>0</v>
      </c>
      <c r="M750">
        <v>599</v>
      </c>
      <c r="N750">
        <v>0</v>
      </c>
    </row>
    <row r="751" spans="1:14">
      <c r="A751" t="s">
        <v>2957</v>
      </c>
      <c r="B751" t="s">
        <v>2392</v>
      </c>
      <c r="C751" t="s">
        <v>2112</v>
      </c>
      <c r="D751" s="41">
        <v>1</v>
      </c>
      <c r="E751" s="41">
        <v>2102</v>
      </c>
      <c r="F751" s="41" t="s">
        <v>3760</v>
      </c>
      <c r="G751" s="41" t="s">
        <v>3760</v>
      </c>
      <c r="H751" s="2043">
        <v>5978212</v>
      </c>
      <c r="I751" s="2043">
        <v>0</v>
      </c>
      <c r="J751">
        <v>0</v>
      </c>
      <c r="L751" s="2043">
        <v>0</v>
      </c>
      <c r="M751">
        <v>599</v>
      </c>
      <c r="N751">
        <v>0</v>
      </c>
    </row>
    <row r="752" spans="1:14">
      <c r="A752" t="s">
        <v>2957</v>
      </c>
      <c r="B752" t="s">
        <v>2392</v>
      </c>
      <c r="C752" t="s">
        <v>2112</v>
      </c>
      <c r="D752" s="41">
        <v>5</v>
      </c>
      <c r="E752" s="41">
        <v>2096</v>
      </c>
      <c r="F752" s="41" t="s">
        <v>3763</v>
      </c>
      <c r="G752" s="41" t="s">
        <v>3763</v>
      </c>
      <c r="H752" s="2043">
        <v>684105</v>
      </c>
      <c r="I752" s="2043">
        <v>0</v>
      </c>
      <c r="J752">
        <v>0</v>
      </c>
      <c r="K752" s="2043">
        <v>0</v>
      </c>
      <c r="L752" s="2043">
        <v>0</v>
      </c>
      <c r="M752">
        <v>599</v>
      </c>
      <c r="N752">
        <v>0</v>
      </c>
    </row>
    <row r="753" spans="1:14">
      <c r="A753" t="s">
        <v>2957</v>
      </c>
      <c r="B753" t="s">
        <v>2392</v>
      </c>
      <c r="C753" t="s">
        <v>2112</v>
      </c>
      <c r="D753" s="41">
        <v>5</v>
      </c>
      <c r="E753" s="41">
        <v>2096</v>
      </c>
      <c r="F753" s="41" t="s">
        <v>3763</v>
      </c>
      <c r="G753" s="41" t="s">
        <v>3764</v>
      </c>
      <c r="H753" s="2043">
        <v>684105</v>
      </c>
      <c r="I753" s="2043">
        <v>414750</v>
      </c>
      <c r="J753">
        <v>0.54090112366584198</v>
      </c>
      <c r="K753" s="2043">
        <v>370033.16320542101</v>
      </c>
      <c r="L753" s="2043">
        <v>370033.16320542101</v>
      </c>
      <c r="M753">
        <v>599</v>
      </c>
      <c r="N753">
        <v>1</v>
      </c>
    </row>
    <row r="754" spans="1:14">
      <c r="A754" t="s">
        <v>2957</v>
      </c>
      <c r="B754" t="s">
        <v>2392</v>
      </c>
      <c r="C754" t="s">
        <v>2112</v>
      </c>
      <c r="D754" s="41">
        <v>5</v>
      </c>
      <c r="E754" s="41">
        <v>2096</v>
      </c>
      <c r="F754" s="41" t="s">
        <v>3763</v>
      </c>
      <c r="G754" s="41" t="s">
        <v>9324</v>
      </c>
      <c r="H754" s="2043">
        <v>684105</v>
      </c>
      <c r="I754" s="2043">
        <v>352026</v>
      </c>
      <c r="J754">
        <v>0.45909887633415802</v>
      </c>
      <c r="K754" s="2043">
        <v>314071.83679457899</v>
      </c>
      <c r="L754" s="2043">
        <v>314071.83679457899</v>
      </c>
      <c r="M754">
        <v>599</v>
      </c>
      <c r="N754">
        <v>1</v>
      </c>
    </row>
    <row r="755" spans="1:14">
      <c r="A755" t="s">
        <v>2957</v>
      </c>
      <c r="B755" t="s">
        <v>2392</v>
      </c>
      <c r="C755" t="s">
        <v>2112</v>
      </c>
      <c r="D755" s="41">
        <v>6</v>
      </c>
      <c r="E755" s="41">
        <v>2101</v>
      </c>
      <c r="F755" s="41" t="s">
        <v>3765</v>
      </c>
      <c r="G755" s="41" t="s">
        <v>3765</v>
      </c>
      <c r="H755" s="2043">
        <v>3859835</v>
      </c>
      <c r="I755" s="2043">
        <v>0</v>
      </c>
      <c r="J755">
        <v>0</v>
      </c>
      <c r="K755" s="2043">
        <v>0</v>
      </c>
      <c r="L755" s="2043">
        <v>0</v>
      </c>
      <c r="M755">
        <v>599</v>
      </c>
      <c r="N755">
        <v>0</v>
      </c>
    </row>
    <row r="756" spans="1:14">
      <c r="A756" t="s">
        <v>2957</v>
      </c>
      <c r="B756" t="s">
        <v>2392</v>
      </c>
      <c r="C756" t="s">
        <v>2112</v>
      </c>
      <c r="D756" s="41">
        <v>6</v>
      </c>
      <c r="E756" s="41">
        <v>2101</v>
      </c>
      <c r="F756" s="41" t="s">
        <v>3765</v>
      </c>
      <c r="G756" s="41" t="s">
        <v>3761</v>
      </c>
      <c r="H756" s="2043">
        <v>3859835</v>
      </c>
      <c r="I756" s="2043">
        <v>0</v>
      </c>
      <c r="J756">
        <v>0</v>
      </c>
      <c r="K756" s="2043">
        <v>0</v>
      </c>
      <c r="L756" s="2043">
        <v>0</v>
      </c>
      <c r="M756">
        <v>599</v>
      </c>
      <c r="N756">
        <v>0</v>
      </c>
    </row>
    <row r="757" spans="1:14">
      <c r="A757" t="s">
        <v>2957</v>
      </c>
      <c r="B757" t="s">
        <v>2392</v>
      </c>
      <c r="C757" t="s">
        <v>2112</v>
      </c>
      <c r="D757" s="41">
        <v>6</v>
      </c>
      <c r="E757" s="41">
        <v>2101</v>
      </c>
      <c r="F757" s="41" t="s">
        <v>3765</v>
      </c>
      <c r="G757" s="41" t="s">
        <v>3762</v>
      </c>
      <c r="H757" s="2043">
        <v>3859835</v>
      </c>
      <c r="I757" s="2043">
        <v>1635330</v>
      </c>
      <c r="J757">
        <v>0.37636733588229498</v>
      </c>
      <c r="K757" s="2043">
        <v>1452715.8158952401</v>
      </c>
      <c r="L757" s="2043">
        <v>1452715.8158952401</v>
      </c>
      <c r="M757">
        <v>599</v>
      </c>
      <c r="N757">
        <v>1</v>
      </c>
    </row>
    <row r="758" spans="1:14">
      <c r="A758" t="s">
        <v>2957</v>
      </c>
      <c r="B758" t="s">
        <v>2392</v>
      </c>
      <c r="C758" t="s">
        <v>2112</v>
      </c>
      <c r="D758" s="41">
        <v>6</v>
      </c>
      <c r="E758" s="41">
        <v>2101</v>
      </c>
      <c r="F758" s="41" t="s">
        <v>3765</v>
      </c>
      <c r="G758" s="41" t="s">
        <v>3764</v>
      </c>
      <c r="H758" s="2043">
        <v>3859835</v>
      </c>
      <c r="I758" s="2043">
        <v>846498</v>
      </c>
      <c r="J758">
        <v>0.19481951477053</v>
      </c>
      <c r="K758" s="2043">
        <v>751971.18179430906</v>
      </c>
      <c r="L758" s="2043">
        <v>751971.18179430906</v>
      </c>
      <c r="M758">
        <v>599</v>
      </c>
      <c r="N758">
        <v>1</v>
      </c>
    </row>
    <row r="759" spans="1:14">
      <c r="A759" t="s">
        <v>2957</v>
      </c>
      <c r="B759" t="s">
        <v>2392</v>
      </c>
      <c r="C759" t="s">
        <v>2112</v>
      </c>
      <c r="D759" s="41">
        <v>6</v>
      </c>
      <c r="E759" s="41">
        <v>2101</v>
      </c>
      <c r="F759" s="41" t="s">
        <v>3765</v>
      </c>
      <c r="G759" s="41" t="s">
        <v>3759</v>
      </c>
      <c r="H759" s="2043">
        <v>3859835</v>
      </c>
      <c r="I759" s="2043">
        <v>343496</v>
      </c>
      <c r="J759">
        <v>7.9054792859071202E-2</v>
      </c>
      <c r="K759" s="2043">
        <v>305138.456395193</v>
      </c>
      <c r="L759" s="2043">
        <v>305138.456395193</v>
      </c>
      <c r="M759">
        <v>599</v>
      </c>
      <c r="N759">
        <v>1</v>
      </c>
    </row>
    <row r="760" spans="1:14">
      <c r="A760" t="s">
        <v>2957</v>
      </c>
      <c r="B760" t="s">
        <v>2392</v>
      </c>
      <c r="C760" t="s">
        <v>2112</v>
      </c>
      <c r="D760" s="41">
        <v>6</v>
      </c>
      <c r="E760" s="41">
        <v>2101</v>
      </c>
      <c r="F760" s="41" t="s">
        <v>3765</v>
      </c>
      <c r="G760" s="41" t="s">
        <v>5379</v>
      </c>
      <c r="H760" s="2043">
        <v>3859835</v>
      </c>
      <c r="I760" s="2043">
        <v>440975</v>
      </c>
      <c r="J760">
        <v>0.10148935440595799</v>
      </c>
      <c r="K760" s="2043">
        <v>391732.16226352</v>
      </c>
      <c r="L760" s="2043">
        <v>391732.16226352</v>
      </c>
      <c r="M760">
        <v>599</v>
      </c>
      <c r="N760">
        <v>1</v>
      </c>
    </row>
    <row r="761" spans="1:14">
      <c r="A761" t="s">
        <v>2957</v>
      </c>
      <c r="B761" t="s">
        <v>2392</v>
      </c>
      <c r="C761" t="s">
        <v>2112</v>
      </c>
      <c r="D761" s="41">
        <v>6</v>
      </c>
      <c r="E761" s="41">
        <v>2101</v>
      </c>
      <c r="F761" s="41" t="s">
        <v>3765</v>
      </c>
      <c r="G761" s="41" t="s">
        <v>7159</v>
      </c>
      <c r="H761" s="2043">
        <v>3859835</v>
      </c>
      <c r="I761" s="2043">
        <v>204683</v>
      </c>
      <c r="J761">
        <v>4.7107308867565499E-2</v>
      </c>
      <c r="K761" s="2043">
        <v>181826.43952284</v>
      </c>
      <c r="L761" s="2043">
        <v>181826.43952284</v>
      </c>
      <c r="M761">
        <v>599</v>
      </c>
      <c r="N761">
        <v>1</v>
      </c>
    </row>
    <row r="762" spans="1:14">
      <c r="A762" t="s">
        <v>2957</v>
      </c>
      <c r="B762" t="s">
        <v>2392</v>
      </c>
      <c r="C762" t="s">
        <v>2112</v>
      </c>
      <c r="D762" s="41">
        <v>6</v>
      </c>
      <c r="E762" s="41">
        <v>2101</v>
      </c>
      <c r="F762" s="41" t="s">
        <v>3765</v>
      </c>
      <c r="G762" s="41" t="s">
        <v>9324</v>
      </c>
      <c r="H762" s="2043">
        <v>3859835</v>
      </c>
      <c r="I762" s="2043">
        <v>874055</v>
      </c>
      <c r="J762">
        <v>0.20116169321458</v>
      </c>
      <c r="K762" s="2043">
        <v>776450.94412889902</v>
      </c>
      <c r="L762" s="2043">
        <v>776450.94412889902</v>
      </c>
      <c r="M762">
        <v>599</v>
      </c>
      <c r="N762">
        <v>1</v>
      </c>
    </row>
    <row r="763" spans="1:14">
      <c r="A763" t="s">
        <v>2957</v>
      </c>
      <c r="B763" t="s">
        <v>2392</v>
      </c>
      <c r="C763" t="s">
        <v>2112</v>
      </c>
      <c r="D763" s="41">
        <v>9</v>
      </c>
      <c r="E763" s="41">
        <v>2100</v>
      </c>
      <c r="F763" s="41" t="s">
        <v>3762</v>
      </c>
      <c r="G763" s="41" t="s">
        <v>3762</v>
      </c>
      <c r="H763" s="2043">
        <v>3273731</v>
      </c>
      <c r="I763" s="2043">
        <v>4814510</v>
      </c>
      <c r="J763">
        <v>0.58889933481239798</v>
      </c>
      <c r="K763" s="2043">
        <v>1927898.0082547299</v>
      </c>
      <c r="L763" s="2043">
        <v>1927898.0082547299</v>
      </c>
      <c r="M763">
        <v>599</v>
      </c>
      <c r="N763">
        <v>1</v>
      </c>
    </row>
    <row r="764" spans="1:14">
      <c r="A764" t="s">
        <v>2957</v>
      </c>
      <c r="B764" t="s">
        <v>2392</v>
      </c>
      <c r="C764" t="s">
        <v>2112</v>
      </c>
      <c r="D764" s="41">
        <v>9</v>
      </c>
      <c r="E764" s="41">
        <v>2100</v>
      </c>
      <c r="F764" s="41" t="s">
        <v>3762</v>
      </c>
      <c r="G764" s="41" t="s">
        <v>5379</v>
      </c>
      <c r="H764" s="2043">
        <v>3273731</v>
      </c>
      <c r="I764" s="2043">
        <v>2287734</v>
      </c>
      <c r="J764">
        <v>0.27983014488031099</v>
      </c>
      <c r="K764" s="2043">
        <v>916088.62002916494</v>
      </c>
      <c r="L764" s="2043">
        <v>916088.62002916494</v>
      </c>
      <c r="M764">
        <v>599</v>
      </c>
      <c r="N764">
        <v>1</v>
      </c>
    </row>
    <row r="765" spans="1:14">
      <c r="A765" t="s">
        <v>2957</v>
      </c>
      <c r="B765" t="s">
        <v>2392</v>
      </c>
      <c r="C765" t="s">
        <v>2112</v>
      </c>
      <c r="D765" s="41">
        <v>9</v>
      </c>
      <c r="E765" s="41">
        <v>2100</v>
      </c>
      <c r="F765" s="41" t="s">
        <v>3762</v>
      </c>
      <c r="G765" s="41" t="s">
        <v>7159</v>
      </c>
      <c r="H765" s="2043">
        <v>3273731</v>
      </c>
      <c r="I765" s="2043">
        <v>1073194</v>
      </c>
      <c r="J765">
        <v>0.131270520307291</v>
      </c>
      <c r="K765" s="2043">
        <v>429744.37171610899</v>
      </c>
      <c r="L765" s="2043">
        <v>429744.37171610899</v>
      </c>
      <c r="M765">
        <v>599</v>
      </c>
      <c r="N765">
        <v>1</v>
      </c>
    </row>
    <row r="766" spans="1:14">
      <c r="A766" t="s">
        <v>2957</v>
      </c>
      <c r="B766" t="s">
        <v>2392</v>
      </c>
      <c r="C766" t="s">
        <v>2112</v>
      </c>
      <c r="D766" s="41">
        <v>10</v>
      </c>
      <c r="E766" s="41">
        <v>2098</v>
      </c>
      <c r="F766" s="41" t="s">
        <v>3766</v>
      </c>
      <c r="G766" s="41" t="s">
        <v>3766</v>
      </c>
      <c r="H766" s="2043">
        <v>1093194</v>
      </c>
      <c r="I766" s="2043">
        <v>0</v>
      </c>
      <c r="J766">
        <v>0</v>
      </c>
      <c r="K766" s="2043">
        <v>0</v>
      </c>
      <c r="L766" s="2043">
        <v>0</v>
      </c>
      <c r="M766">
        <v>599</v>
      </c>
      <c r="N766">
        <v>1</v>
      </c>
    </row>
    <row r="767" spans="1:14">
      <c r="A767" t="s">
        <v>2957</v>
      </c>
      <c r="B767" t="s">
        <v>2392</v>
      </c>
      <c r="C767" t="s">
        <v>2112</v>
      </c>
      <c r="D767" s="41">
        <v>10</v>
      </c>
      <c r="E767" s="41">
        <v>2098</v>
      </c>
      <c r="F767" s="41" t="s">
        <v>3766</v>
      </c>
      <c r="G767" s="41" t="s">
        <v>5908</v>
      </c>
      <c r="H767" s="2043">
        <v>1093194</v>
      </c>
      <c r="I767" s="2043">
        <v>1612800</v>
      </c>
      <c r="J767">
        <v>1</v>
      </c>
      <c r="K767" s="2043">
        <v>1093194</v>
      </c>
      <c r="L767" s="2043">
        <v>1093194</v>
      </c>
      <c r="M767">
        <v>599</v>
      </c>
      <c r="N767">
        <v>1</v>
      </c>
    </row>
    <row r="768" spans="1:14">
      <c r="A768" t="s">
        <v>2957</v>
      </c>
      <c r="B768" t="s">
        <v>2392</v>
      </c>
      <c r="C768" t="s">
        <v>2112</v>
      </c>
      <c r="D768" s="41">
        <v>10</v>
      </c>
      <c r="E768" s="41">
        <v>2099</v>
      </c>
      <c r="F768" s="41" t="s">
        <v>3767</v>
      </c>
      <c r="G768" s="41" t="s">
        <v>3767</v>
      </c>
      <c r="H768" s="2043">
        <v>2344293</v>
      </c>
      <c r="I768" s="2043">
        <v>0</v>
      </c>
      <c r="J768">
        <v>0</v>
      </c>
      <c r="K768" s="2043">
        <v>0</v>
      </c>
      <c r="L768" s="2043">
        <v>0</v>
      </c>
      <c r="M768">
        <v>599</v>
      </c>
      <c r="N768">
        <v>1</v>
      </c>
    </row>
    <row r="769" spans="1:14">
      <c r="A769" t="s">
        <v>2957</v>
      </c>
      <c r="B769" t="s">
        <v>2392</v>
      </c>
      <c r="C769" t="s">
        <v>2112</v>
      </c>
      <c r="D769" s="41">
        <v>10</v>
      </c>
      <c r="E769" s="41">
        <v>2099</v>
      </c>
      <c r="F769" s="41" t="s">
        <v>3767</v>
      </c>
      <c r="G769" s="41" t="s">
        <v>5909</v>
      </c>
      <c r="H769" s="2043">
        <v>2344293</v>
      </c>
      <c r="I769" s="2043">
        <v>2411700</v>
      </c>
      <c r="J769">
        <v>0.91390352040623002</v>
      </c>
      <c r="K769" s="2043">
        <v>2142457.6255636802</v>
      </c>
      <c r="L769" s="2043">
        <v>2142457.6255636802</v>
      </c>
      <c r="M769">
        <v>599</v>
      </c>
      <c r="N769">
        <v>1</v>
      </c>
    </row>
    <row r="770" spans="1:14">
      <c r="A770" t="s">
        <v>2957</v>
      </c>
      <c r="B770" t="s">
        <v>2392</v>
      </c>
      <c r="C770" t="s">
        <v>2112</v>
      </c>
      <c r="D770" s="41">
        <v>10</v>
      </c>
      <c r="E770" s="41">
        <v>2099</v>
      </c>
      <c r="F770" s="41" t="s">
        <v>3767</v>
      </c>
      <c r="G770" s="41" t="s">
        <v>9325</v>
      </c>
      <c r="H770" s="2043">
        <v>2344293</v>
      </c>
      <c r="I770" s="2043">
        <v>227200</v>
      </c>
      <c r="J770">
        <v>8.6096479593770106E-2</v>
      </c>
      <c r="K770" s="2043">
        <v>201835.374436318</v>
      </c>
      <c r="L770" s="2043">
        <v>201835.374436318</v>
      </c>
      <c r="M770">
        <v>599</v>
      </c>
      <c r="N770">
        <v>1</v>
      </c>
    </row>
    <row r="771" spans="1:14">
      <c r="A771" t="s">
        <v>2957</v>
      </c>
      <c r="B771" t="s">
        <v>2392</v>
      </c>
      <c r="C771" t="s">
        <v>2112</v>
      </c>
      <c r="D771" s="41">
        <v>11</v>
      </c>
      <c r="E771" s="41">
        <v>2486</v>
      </c>
      <c r="F771" s="41" t="s">
        <v>7160</v>
      </c>
      <c r="G771" s="41" t="s">
        <v>7160</v>
      </c>
      <c r="H771" s="2043">
        <v>3093300</v>
      </c>
      <c r="I771" s="2043">
        <v>4865850</v>
      </c>
      <c r="J771">
        <v>1</v>
      </c>
      <c r="K771" s="2043">
        <v>3093300</v>
      </c>
      <c r="L771" s="2043">
        <v>3093300</v>
      </c>
      <c r="M771">
        <v>599</v>
      </c>
      <c r="N771">
        <v>0</v>
      </c>
    </row>
    <row r="772" spans="1:14">
      <c r="A772" t="s">
        <v>3768</v>
      </c>
      <c r="B772" t="s">
        <v>1760</v>
      </c>
      <c r="C772" t="s">
        <v>2239</v>
      </c>
      <c r="D772" s="41">
        <v>2</v>
      </c>
      <c r="E772" s="41">
        <v>1883</v>
      </c>
      <c r="F772" s="41" t="s">
        <v>3769</v>
      </c>
      <c r="G772" s="41" t="s">
        <v>3769</v>
      </c>
      <c r="H772" s="2043">
        <v>1022728</v>
      </c>
      <c r="I772" s="2043">
        <v>0</v>
      </c>
      <c r="J772">
        <v>0</v>
      </c>
      <c r="K772" s="2043">
        <v>0</v>
      </c>
      <c r="L772" s="2043">
        <v>0</v>
      </c>
      <c r="M772">
        <v>199</v>
      </c>
      <c r="N772">
        <v>0</v>
      </c>
    </row>
    <row r="773" spans="1:14">
      <c r="A773" t="s">
        <v>3768</v>
      </c>
      <c r="B773" t="s">
        <v>1760</v>
      </c>
      <c r="C773" t="s">
        <v>2239</v>
      </c>
      <c r="D773" s="41">
        <v>2</v>
      </c>
      <c r="E773" s="41">
        <v>1883</v>
      </c>
      <c r="F773" s="41" t="s">
        <v>3769</v>
      </c>
      <c r="G773" s="41" t="s">
        <v>3770</v>
      </c>
      <c r="H773" s="2043">
        <v>1022728</v>
      </c>
      <c r="I773" s="2043">
        <v>946460</v>
      </c>
      <c r="J773">
        <v>1</v>
      </c>
      <c r="K773" s="2043">
        <v>1022728</v>
      </c>
      <c r="L773" s="2043">
        <v>946460</v>
      </c>
      <c r="M773">
        <v>199</v>
      </c>
      <c r="N773">
        <v>0</v>
      </c>
    </row>
    <row r="774" spans="1:14">
      <c r="A774" t="s">
        <v>2958</v>
      </c>
      <c r="B774" t="s">
        <v>1013</v>
      </c>
      <c r="C774" t="s">
        <v>2473</v>
      </c>
      <c r="D774" s="41">
        <v>9</v>
      </c>
      <c r="E774" s="41">
        <v>1719</v>
      </c>
      <c r="F774" s="41" t="s">
        <v>3771</v>
      </c>
      <c r="G774" s="41" t="s">
        <v>3771</v>
      </c>
      <c r="H774" s="2043">
        <v>201802</v>
      </c>
      <c r="I774" s="2043">
        <v>0</v>
      </c>
      <c r="J774">
        <v>0</v>
      </c>
      <c r="K774" s="2043">
        <v>0</v>
      </c>
      <c r="L774" s="2043">
        <v>0</v>
      </c>
      <c r="M774">
        <v>599</v>
      </c>
      <c r="N774">
        <v>1</v>
      </c>
    </row>
    <row r="775" spans="1:14">
      <c r="A775" t="s">
        <v>2958</v>
      </c>
      <c r="B775" t="s">
        <v>1013</v>
      </c>
      <c r="C775" t="s">
        <v>2473</v>
      </c>
      <c r="D775" s="41">
        <v>9</v>
      </c>
      <c r="E775" s="41">
        <v>1719</v>
      </c>
      <c r="F775" s="41" t="s">
        <v>3771</v>
      </c>
      <c r="G775" s="41" t="s">
        <v>5563</v>
      </c>
      <c r="H775" s="2043">
        <v>201802</v>
      </c>
      <c r="I775" s="2043">
        <v>169450</v>
      </c>
      <c r="J775">
        <v>1</v>
      </c>
      <c r="K775" s="2043">
        <v>201802</v>
      </c>
      <c r="L775" s="2043">
        <v>169450</v>
      </c>
      <c r="M775">
        <v>599</v>
      </c>
      <c r="N775">
        <v>1</v>
      </c>
    </row>
    <row r="776" spans="1:14">
      <c r="A776" t="s">
        <v>2959</v>
      </c>
      <c r="B776" t="s">
        <v>603</v>
      </c>
      <c r="C776" t="s">
        <v>98</v>
      </c>
      <c r="D776" s="41">
        <v>5</v>
      </c>
      <c r="E776" s="41">
        <v>1810</v>
      </c>
      <c r="F776" s="41" t="s">
        <v>3772</v>
      </c>
      <c r="G776" s="41" t="s">
        <v>3772</v>
      </c>
      <c r="H776" s="2043">
        <v>100000</v>
      </c>
      <c r="I776" s="2043">
        <v>0</v>
      </c>
      <c r="J776">
        <v>0</v>
      </c>
      <c r="K776" s="2043">
        <v>0</v>
      </c>
      <c r="L776" s="2043">
        <v>0</v>
      </c>
      <c r="M776">
        <v>599</v>
      </c>
      <c r="N776">
        <v>0</v>
      </c>
    </row>
    <row r="777" spans="1:14">
      <c r="A777" t="s">
        <v>2959</v>
      </c>
      <c r="B777" t="s">
        <v>603</v>
      </c>
      <c r="C777" t="s">
        <v>98</v>
      </c>
      <c r="D777" s="41">
        <v>5</v>
      </c>
      <c r="E777" s="41">
        <v>1810</v>
      </c>
      <c r="F777" s="41" t="s">
        <v>3772</v>
      </c>
      <c r="G777" s="41" t="s">
        <v>3773</v>
      </c>
      <c r="H777" s="2043">
        <v>100000</v>
      </c>
      <c r="I777" s="2043">
        <v>100800</v>
      </c>
      <c r="J777">
        <v>1</v>
      </c>
      <c r="K777" s="2043">
        <v>100000</v>
      </c>
      <c r="L777" s="2043">
        <v>100000</v>
      </c>
      <c r="M777">
        <v>599</v>
      </c>
      <c r="N777">
        <v>1</v>
      </c>
    </row>
    <row r="778" spans="1:14">
      <c r="A778" t="s">
        <v>2960</v>
      </c>
      <c r="B778" t="s">
        <v>1673</v>
      </c>
      <c r="C778" t="s">
        <v>2327</v>
      </c>
      <c r="D778" s="41">
        <v>1</v>
      </c>
      <c r="E778" s="41">
        <v>2019</v>
      </c>
      <c r="F778" s="41" t="s">
        <v>3774</v>
      </c>
      <c r="G778" s="41" t="s">
        <v>3774</v>
      </c>
      <c r="H778" s="2043">
        <v>3797900</v>
      </c>
      <c r="I778" s="2043">
        <v>0</v>
      </c>
      <c r="J778">
        <v>0</v>
      </c>
      <c r="L778" s="2043">
        <v>0</v>
      </c>
      <c r="M778">
        <v>599</v>
      </c>
      <c r="N778">
        <v>0</v>
      </c>
    </row>
    <row r="779" spans="1:14">
      <c r="A779" t="s">
        <v>2960</v>
      </c>
      <c r="B779" t="s">
        <v>1673</v>
      </c>
      <c r="C779" t="s">
        <v>2327</v>
      </c>
      <c r="D779" s="41">
        <v>2</v>
      </c>
      <c r="E779" s="41">
        <v>2018</v>
      </c>
      <c r="F779" s="41" t="s">
        <v>3775</v>
      </c>
      <c r="G779" s="41" t="s">
        <v>3775</v>
      </c>
      <c r="H779" s="2043">
        <v>1811486</v>
      </c>
      <c r="I779" s="2043">
        <v>0</v>
      </c>
      <c r="J779">
        <v>0</v>
      </c>
      <c r="L779" s="2043">
        <v>0</v>
      </c>
      <c r="M779">
        <v>599</v>
      </c>
      <c r="N779">
        <v>0</v>
      </c>
    </row>
    <row r="780" spans="1:14">
      <c r="A780" t="s">
        <v>3776</v>
      </c>
      <c r="B780" t="s">
        <v>198</v>
      </c>
      <c r="C780" t="s">
        <v>946</v>
      </c>
      <c r="D780" s="41">
        <v>1</v>
      </c>
      <c r="E780" s="41">
        <v>2197</v>
      </c>
      <c r="F780" s="41" t="s">
        <v>3777</v>
      </c>
      <c r="G780" s="41" t="s">
        <v>3777</v>
      </c>
      <c r="H780" s="2043">
        <v>294250</v>
      </c>
      <c r="I780" s="2043">
        <v>0</v>
      </c>
      <c r="J780">
        <v>0</v>
      </c>
      <c r="L780" s="2043">
        <v>0</v>
      </c>
      <c r="M780">
        <v>599</v>
      </c>
      <c r="N780">
        <v>0</v>
      </c>
    </row>
    <row r="781" spans="1:14">
      <c r="A781" t="s">
        <v>2961</v>
      </c>
      <c r="B781" t="s">
        <v>676</v>
      </c>
      <c r="C781" t="s">
        <v>1598</v>
      </c>
      <c r="D781" s="41">
        <v>4</v>
      </c>
      <c r="E781" s="41">
        <v>1972</v>
      </c>
      <c r="F781" s="41" t="s">
        <v>3778</v>
      </c>
      <c r="G781" s="41" t="s">
        <v>3778</v>
      </c>
      <c r="H781" s="2043">
        <v>90131</v>
      </c>
      <c r="I781" s="2043">
        <v>0</v>
      </c>
      <c r="J781">
        <v>0</v>
      </c>
      <c r="K781" s="2043">
        <v>0</v>
      </c>
      <c r="L781" s="2043">
        <v>0</v>
      </c>
      <c r="M781">
        <v>599</v>
      </c>
      <c r="N781">
        <v>0</v>
      </c>
    </row>
    <row r="782" spans="1:14">
      <c r="A782" t="s">
        <v>2961</v>
      </c>
      <c r="B782" t="s">
        <v>676</v>
      </c>
      <c r="C782" t="s">
        <v>1598</v>
      </c>
      <c r="D782" s="41">
        <v>4</v>
      </c>
      <c r="E782" s="41">
        <v>1972</v>
      </c>
      <c r="F782" s="41" t="s">
        <v>3778</v>
      </c>
      <c r="G782" s="41" t="s">
        <v>3779</v>
      </c>
      <c r="H782" s="2043">
        <v>90131</v>
      </c>
      <c r="I782" s="2043">
        <v>0</v>
      </c>
      <c r="J782">
        <v>0</v>
      </c>
      <c r="K782" s="2043">
        <v>0</v>
      </c>
      <c r="L782" s="2043">
        <v>0</v>
      </c>
      <c r="M782">
        <v>599</v>
      </c>
      <c r="N782">
        <v>0</v>
      </c>
    </row>
    <row r="783" spans="1:14">
      <c r="A783" t="s">
        <v>2961</v>
      </c>
      <c r="B783" t="s">
        <v>676</v>
      </c>
      <c r="C783" t="s">
        <v>1598</v>
      </c>
      <c r="D783" s="41">
        <v>4</v>
      </c>
      <c r="E783" s="41">
        <v>1972</v>
      </c>
      <c r="F783" s="41" t="s">
        <v>3778</v>
      </c>
      <c r="G783" s="41" t="s">
        <v>5380</v>
      </c>
      <c r="H783" s="2043">
        <v>90131</v>
      </c>
      <c r="I783" s="2043">
        <v>64879</v>
      </c>
      <c r="J783">
        <v>1</v>
      </c>
      <c r="K783" s="2043">
        <v>90131</v>
      </c>
      <c r="L783" s="2043">
        <v>64879</v>
      </c>
      <c r="M783">
        <v>599</v>
      </c>
      <c r="N783">
        <v>1</v>
      </c>
    </row>
    <row r="784" spans="1:14">
      <c r="A784" t="s">
        <v>2961</v>
      </c>
      <c r="B784" t="s">
        <v>676</v>
      </c>
      <c r="C784" t="s">
        <v>1598</v>
      </c>
      <c r="D784" s="41">
        <v>4</v>
      </c>
      <c r="E784" s="41">
        <v>1973</v>
      </c>
      <c r="F784" s="41" t="s">
        <v>3780</v>
      </c>
      <c r="G784" s="41" t="s">
        <v>3780</v>
      </c>
      <c r="H784" s="2043">
        <v>236619</v>
      </c>
      <c r="I784" s="2043">
        <v>0</v>
      </c>
      <c r="J784">
        <v>0</v>
      </c>
      <c r="K784" s="2043">
        <v>0</v>
      </c>
      <c r="L784" s="2043">
        <v>0</v>
      </c>
      <c r="M784">
        <v>599</v>
      </c>
      <c r="N784">
        <v>0</v>
      </c>
    </row>
    <row r="785" spans="1:14">
      <c r="A785" t="s">
        <v>2961</v>
      </c>
      <c r="B785" t="s">
        <v>676</v>
      </c>
      <c r="C785" t="s">
        <v>1598</v>
      </c>
      <c r="D785" s="41">
        <v>4</v>
      </c>
      <c r="E785" s="41">
        <v>1973</v>
      </c>
      <c r="F785" s="41" t="s">
        <v>3780</v>
      </c>
      <c r="G785" s="41" t="s">
        <v>3781</v>
      </c>
      <c r="H785" s="2043">
        <v>236619</v>
      </c>
      <c r="I785" s="2043">
        <v>0</v>
      </c>
      <c r="J785">
        <v>0</v>
      </c>
      <c r="K785" s="2043">
        <v>0</v>
      </c>
      <c r="L785" s="2043">
        <v>0</v>
      </c>
      <c r="M785">
        <v>599</v>
      </c>
      <c r="N785">
        <v>1</v>
      </c>
    </row>
    <row r="786" spans="1:14">
      <c r="A786" t="s">
        <v>2961</v>
      </c>
      <c r="B786" t="s">
        <v>676</v>
      </c>
      <c r="C786" t="s">
        <v>1598</v>
      </c>
      <c r="D786" s="41">
        <v>4</v>
      </c>
      <c r="E786" s="41">
        <v>1973</v>
      </c>
      <c r="F786" s="41" t="s">
        <v>3780</v>
      </c>
      <c r="G786" s="41" t="s">
        <v>3779</v>
      </c>
      <c r="H786" s="2043">
        <v>236619</v>
      </c>
      <c r="I786" s="2043">
        <v>0</v>
      </c>
      <c r="J786">
        <v>0</v>
      </c>
      <c r="K786" s="2043">
        <v>0</v>
      </c>
      <c r="L786" s="2043">
        <v>0</v>
      </c>
      <c r="M786">
        <v>599</v>
      </c>
      <c r="N786">
        <v>0</v>
      </c>
    </row>
    <row r="787" spans="1:14">
      <c r="A787" t="s">
        <v>2961</v>
      </c>
      <c r="B787" t="s">
        <v>676</v>
      </c>
      <c r="C787" t="s">
        <v>1598</v>
      </c>
      <c r="D787" s="41">
        <v>4</v>
      </c>
      <c r="E787" s="41">
        <v>1973</v>
      </c>
      <c r="F787" s="41" t="s">
        <v>3780</v>
      </c>
      <c r="G787" s="41" t="s">
        <v>3782</v>
      </c>
      <c r="H787" s="2043">
        <v>236619</v>
      </c>
      <c r="I787" s="2043">
        <v>1782</v>
      </c>
      <c r="J787">
        <v>3.5019455252918298E-3</v>
      </c>
      <c r="K787" s="2043">
        <v>828.62684824902703</v>
      </c>
      <c r="L787" s="2043">
        <v>828.62684824902703</v>
      </c>
      <c r="M787">
        <v>599</v>
      </c>
      <c r="N787">
        <v>1</v>
      </c>
    </row>
    <row r="788" spans="1:14">
      <c r="A788" t="s">
        <v>2961</v>
      </c>
      <c r="B788" t="s">
        <v>676</v>
      </c>
      <c r="C788" t="s">
        <v>1598</v>
      </c>
      <c r="D788" s="41">
        <v>4</v>
      </c>
      <c r="E788" s="41">
        <v>1973</v>
      </c>
      <c r="F788" s="41" t="s">
        <v>3780</v>
      </c>
      <c r="G788" s="41" t="s">
        <v>5380</v>
      </c>
      <c r="H788" s="2043">
        <v>236619</v>
      </c>
      <c r="I788" s="2043">
        <v>505652</v>
      </c>
      <c r="J788">
        <v>0.99369571198365003</v>
      </c>
      <c r="K788" s="2043">
        <v>235127.28567385901</v>
      </c>
      <c r="L788" s="2043">
        <v>235127.28567385901</v>
      </c>
      <c r="M788">
        <v>599</v>
      </c>
      <c r="N788">
        <v>1</v>
      </c>
    </row>
    <row r="789" spans="1:14">
      <c r="A789" t="s">
        <v>2961</v>
      </c>
      <c r="B789" t="s">
        <v>676</v>
      </c>
      <c r="C789" t="s">
        <v>1598</v>
      </c>
      <c r="D789" s="41">
        <v>4</v>
      </c>
      <c r="E789" s="41">
        <v>1973</v>
      </c>
      <c r="F789" s="41" t="s">
        <v>3780</v>
      </c>
      <c r="G789" s="41" t="s">
        <v>9326</v>
      </c>
      <c r="H789" s="2043">
        <v>236619</v>
      </c>
      <c r="I789" s="2043">
        <v>1426</v>
      </c>
      <c r="J789">
        <v>2.8023424910584402E-3</v>
      </c>
      <c r="K789" s="2043">
        <v>663.087477891758</v>
      </c>
      <c r="L789" s="2043">
        <v>663.087477891758</v>
      </c>
      <c r="M789">
        <v>599</v>
      </c>
      <c r="N789">
        <v>1</v>
      </c>
    </row>
    <row r="790" spans="1:14">
      <c r="A790" t="s">
        <v>2962</v>
      </c>
      <c r="B790" t="s">
        <v>200</v>
      </c>
      <c r="C790" t="s">
        <v>948</v>
      </c>
      <c r="D790" s="41">
        <v>2</v>
      </c>
      <c r="E790" s="41">
        <v>2201</v>
      </c>
      <c r="F790" s="41" t="s">
        <v>3783</v>
      </c>
      <c r="G790" s="41" t="s">
        <v>3783</v>
      </c>
      <c r="H790" s="2043">
        <v>139761</v>
      </c>
      <c r="I790" s="2043">
        <v>0</v>
      </c>
      <c r="J790">
        <v>0</v>
      </c>
      <c r="L790" s="2043">
        <v>0</v>
      </c>
      <c r="M790">
        <v>599</v>
      </c>
      <c r="N790">
        <v>0</v>
      </c>
    </row>
    <row r="791" spans="1:14">
      <c r="A791" t="s">
        <v>2963</v>
      </c>
      <c r="B791" t="s">
        <v>1586</v>
      </c>
      <c r="C791" t="s">
        <v>1997</v>
      </c>
      <c r="D791" s="41">
        <v>1</v>
      </c>
      <c r="E791" s="41">
        <v>1585</v>
      </c>
      <c r="F791" s="41" t="s">
        <v>3784</v>
      </c>
      <c r="G791" s="41" t="s">
        <v>3784</v>
      </c>
      <c r="H791" s="2043">
        <v>223500</v>
      </c>
      <c r="I791" s="2043">
        <v>685000</v>
      </c>
      <c r="J791">
        <v>0.83541985030739796</v>
      </c>
      <c r="K791" s="2043">
        <v>186716.33654370299</v>
      </c>
      <c r="L791" s="2043">
        <v>186716.33654370299</v>
      </c>
      <c r="M791">
        <v>599</v>
      </c>
      <c r="N791">
        <v>1</v>
      </c>
    </row>
    <row r="792" spans="1:14">
      <c r="A792" t="s">
        <v>2963</v>
      </c>
      <c r="B792" t="s">
        <v>1586</v>
      </c>
      <c r="C792" t="s">
        <v>1997</v>
      </c>
      <c r="D792" s="41">
        <v>1</v>
      </c>
      <c r="E792" s="41">
        <v>1585</v>
      </c>
      <c r="F792" s="41" t="s">
        <v>3784</v>
      </c>
      <c r="G792" s="41" t="s">
        <v>3785</v>
      </c>
      <c r="H792" s="2043">
        <v>223500</v>
      </c>
      <c r="I792" s="2043">
        <v>0</v>
      </c>
      <c r="J792">
        <v>0</v>
      </c>
      <c r="K792" s="2043">
        <v>0</v>
      </c>
      <c r="L792" s="2043">
        <v>0</v>
      </c>
      <c r="M792">
        <v>599</v>
      </c>
      <c r="N792">
        <v>1</v>
      </c>
    </row>
    <row r="793" spans="1:14">
      <c r="A793" t="s">
        <v>2963</v>
      </c>
      <c r="B793" t="s">
        <v>1586</v>
      </c>
      <c r="C793" t="s">
        <v>1997</v>
      </c>
      <c r="D793" s="41">
        <v>1</v>
      </c>
      <c r="E793" s="41">
        <v>1585</v>
      </c>
      <c r="F793" s="41" t="s">
        <v>3784</v>
      </c>
      <c r="G793" s="41" t="s">
        <v>3786</v>
      </c>
      <c r="H793" s="2043">
        <v>223500</v>
      </c>
      <c r="I793" s="2043">
        <v>30063</v>
      </c>
      <c r="J793">
        <v>3.6664564904804797E-2</v>
      </c>
      <c r="K793" s="2043">
        <v>8194.5302562238794</v>
      </c>
      <c r="L793" s="2043">
        <v>8194.5302562238794</v>
      </c>
      <c r="M793">
        <v>599</v>
      </c>
      <c r="N793">
        <v>1</v>
      </c>
    </row>
    <row r="794" spans="1:14">
      <c r="A794" t="s">
        <v>2963</v>
      </c>
      <c r="B794" t="s">
        <v>1586</v>
      </c>
      <c r="C794" t="s">
        <v>1997</v>
      </c>
      <c r="D794" s="41">
        <v>1</v>
      </c>
      <c r="E794" s="41">
        <v>1585</v>
      </c>
      <c r="F794" s="41" t="s">
        <v>3784</v>
      </c>
      <c r="G794" s="41" t="s">
        <v>3787</v>
      </c>
      <c r="H794" s="2043">
        <v>223500</v>
      </c>
      <c r="I794" s="2043">
        <v>32050</v>
      </c>
      <c r="J794">
        <v>3.90878922662075E-2</v>
      </c>
      <c r="K794" s="2043">
        <v>8736.1439214973707</v>
      </c>
      <c r="L794" s="2043">
        <v>8736.1439214973707</v>
      </c>
      <c r="M794">
        <v>599</v>
      </c>
      <c r="N794">
        <v>1</v>
      </c>
    </row>
    <row r="795" spans="1:14">
      <c r="A795" t="s">
        <v>2963</v>
      </c>
      <c r="B795" t="s">
        <v>1586</v>
      </c>
      <c r="C795" t="s">
        <v>1997</v>
      </c>
      <c r="D795" s="41">
        <v>1</v>
      </c>
      <c r="E795" s="41">
        <v>1585</v>
      </c>
      <c r="F795" s="41" t="s">
        <v>3784</v>
      </c>
      <c r="G795" s="41" t="s">
        <v>5381</v>
      </c>
      <c r="H795" s="2043">
        <v>223500</v>
      </c>
      <c r="I795" s="2043">
        <v>15654</v>
      </c>
      <c r="J795">
        <v>1.90914778638131E-2</v>
      </c>
      <c r="K795" s="2043">
        <v>4266.9453025622397</v>
      </c>
      <c r="L795" s="2043">
        <v>4266.9453025622397</v>
      </c>
      <c r="M795">
        <v>599</v>
      </c>
      <c r="N795">
        <v>1</v>
      </c>
    </row>
    <row r="796" spans="1:14">
      <c r="A796" t="s">
        <v>2963</v>
      </c>
      <c r="B796" t="s">
        <v>1586</v>
      </c>
      <c r="C796" t="s">
        <v>1997</v>
      </c>
      <c r="D796" s="41">
        <v>1</v>
      </c>
      <c r="E796" s="41">
        <v>1585</v>
      </c>
      <c r="F796" s="41" t="s">
        <v>3784</v>
      </c>
      <c r="G796" s="41" t="s">
        <v>5564</v>
      </c>
      <c r="H796" s="2043">
        <v>223500</v>
      </c>
      <c r="I796" s="2043">
        <v>35197</v>
      </c>
      <c r="J796">
        <v>4.2925945213532102E-2</v>
      </c>
      <c r="K796" s="2043">
        <v>9593.9487552244209</v>
      </c>
      <c r="L796" s="2043">
        <v>9593.9487552244209</v>
      </c>
      <c r="M796">
        <v>599</v>
      </c>
      <c r="N796">
        <v>1</v>
      </c>
    </row>
    <row r="797" spans="1:14">
      <c r="A797" t="s">
        <v>2963</v>
      </c>
      <c r="B797" t="s">
        <v>1586</v>
      </c>
      <c r="C797" t="s">
        <v>1997</v>
      </c>
      <c r="D797" s="41">
        <v>1</v>
      </c>
      <c r="E797" s="41">
        <v>1585</v>
      </c>
      <c r="F797" s="41" t="s">
        <v>3784</v>
      </c>
      <c r="G797" s="41" t="s">
        <v>9327</v>
      </c>
      <c r="H797" s="2043">
        <v>223500</v>
      </c>
      <c r="I797" s="2043">
        <v>21983</v>
      </c>
      <c r="J797">
        <v>2.6810269444244601E-2</v>
      </c>
      <c r="K797" s="2043">
        <v>5992.0952207886603</v>
      </c>
      <c r="L797" s="2043">
        <v>5992.0952207886603</v>
      </c>
      <c r="M797">
        <v>599</v>
      </c>
      <c r="N797">
        <v>1</v>
      </c>
    </row>
    <row r="798" spans="1:14">
      <c r="A798" t="s">
        <v>2963</v>
      </c>
      <c r="B798" t="s">
        <v>1586</v>
      </c>
      <c r="C798" t="s">
        <v>1997</v>
      </c>
      <c r="D798" s="41">
        <v>9</v>
      </c>
      <c r="E798" s="41">
        <v>1586</v>
      </c>
      <c r="F798" s="41" t="s">
        <v>3788</v>
      </c>
      <c r="G798" s="41" t="s">
        <v>3788</v>
      </c>
      <c r="H798" s="2043">
        <v>244398</v>
      </c>
      <c r="I798" s="2043">
        <v>58739</v>
      </c>
      <c r="J798">
        <v>0.18248102618588299</v>
      </c>
      <c r="K798" s="2043">
        <v>44597.997837777402</v>
      </c>
      <c r="L798" s="2043">
        <v>44597.997837777402</v>
      </c>
      <c r="M798">
        <v>599</v>
      </c>
      <c r="N798">
        <v>1</v>
      </c>
    </row>
    <row r="799" spans="1:14">
      <c r="A799" t="s">
        <v>2963</v>
      </c>
      <c r="B799" t="s">
        <v>1586</v>
      </c>
      <c r="C799" t="s">
        <v>1997</v>
      </c>
      <c r="D799" s="41">
        <v>9</v>
      </c>
      <c r="E799" s="41">
        <v>1586</v>
      </c>
      <c r="F799" s="41" t="s">
        <v>3788</v>
      </c>
      <c r="G799" s="41" t="s">
        <v>7161</v>
      </c>
      <c r="H799" s="2043">
        <v>244398</v>
      </c>
      <c r="I799" s="2043">
        <v>263152</v>
      </c>
      <c r="J799">
        <v>0.81751897381411698</v>
      </c>
      <c r="K799" s="2043">
        <v>199800.00216222301</v>
      </c>
      <c r="L799" s="2043">
        <v>199800.00216222301</v>
      </c>
      <c r="M799">
        <v>599</v>
      </c>
      <c r="N799">
        <v>1</v>
      </c>
    </row>
    <row r="800" spans="1:14">
      <c r="A800" t="s">
        <v>2964</v>
      </c>
      <c r="B800" t="s">
        <v>462</v>
      </c>
      <c r="C800" t="s">
        <v>1947</v>
      </c>
      <c r="D800" s="41">
        <v>1</v>
      </c>
      <c r="E800" s="41">
        <v>2303</v>
      </c>
      <c r="F800" s="41" t="s">
        <v>3789</v>
      </c>
      <c r="G800" s="41" t="s">
        <v>3789</v>
      </c>
      <c r="H800" s="2043">
        <v>161107</v>
      </c>
      <c r="I800" s="2043">
        <v>441080</v>
      </c>
      <c r="J800">
        <v>0.83170071747103202</v>
      </c>
      <c r="K800" s="2043">
        <v>133992.807489606</v>
      </c>
      <c r="L800" s="2043">
        <v>133992.807489606</v>
      </c>
      <c r="M800">
        <v>599</v>
      </c>
      <c r="N800">
        <v>1</v>
      </c>
    </row>
    <row r="801" spans="1:14">
      <c r="A801" t="s">
        <v>2964</v>
      </c>
      <c r="B801" t="s">
        <v>462</v>
      </c>
      <c r="C801" t="s">
        <v>1947</v>
      </c>
      <c r="D801" s="41">
        <v>1</v>
      </c>
      <c r="E801" s="41">
        <v>2303</v>
      </c>
      <c r="F801" s="41" t="s">
        <v>3789</v>
      </c>
      <c r="G801" s="41" t="s">
        <v>3790</v>
      </c>
      <c r="H801" s="2043">
        <v>161107</v>
      </c>
      <c r="I801" s="2043">
        <v>8005</v>
      </c>
      <c r="J801">
        <v>1.50942328905315E-2</v>
      </c>
      <c r="K801" s="2043">
        <v>2431.7865782948502</v>
      </c>
      <c r="L801" s="2043">
        <v>2431.7865782948502</v>
      </c>
      <c r="M801">
        <v>599</v>
      </c>
      <c r="N801">
        <v>1</v>
      </c>
    </row>
    <row r="802" spans="1:14">
      <c r="A802" t="s">
        <v>2964</v>
      </c>
      <c r="B802" t="s">
        <v>462</v>
      </c>
      <c r="C802" t="s">
        <v>1947</v>
      </c>
      <c r="D802" s="41">
        <v>1</v>
      </c>
      <c r="E802" s="41">
        <v>2303</v>
      </c>
      <c r="F802" s="41" t="s">
        <v>3789</v>
      </c>
      <c r="G802" s="41" t="s">
        <v>3791</v>
      </c>
      <c r="H802" s="2043">
        <v>161107</v>
      </c>
      <c r="I802" s="2043">
        <v>35945</v>
      </c>
      <c r="J802">
        <v>6.7777913960044095E-2</v>
      </c>
      <c r="K802" s="2043">
        <v>10919.4963843608</v>
      </c>
      <c r="L802" s="2043">
        <v>10919.4963843608</v>
      </c>
      <c r="M802">
        <v>599</v>
      </c>
      <c r="N802">
        <v>1</v>
      </c>
    </row>
    <row r="803" spans="1:14">
      <c r="A803" t="s">
        <v>2964</v>
      </c>
      <c r="B803" t="s">
        <v>462</v>
      </c>
      <c r="C803" t="s">
        <v>1947</v>
      </c>
      <c r="D803" s="41">
        <v>1</v>
      </c>
      <c r="E803" s="41">
        <v>2303</v>
      </c>
      <c r="F803" s="41" t="s">
        <v>3789</v>
      </c>
      <c r="G803" s="41" t="s">
        <v>5382</v>
      </c>
      <c r="H803" s="2043">
        <v>161107</v>
      </c>
      <c r="I803" s="2043">
        <v>39979</v>
      </c>
      <c r="J803">
        <v>7.5384426824554304E-2</v>
      </c>
      <c r="K803" s="2043">
        <v>12144.958852423501</v>
      </c>
      <c r="L803" s="2043">
        <v>12144.958852423501</v>
      </c>
      <c r="M803">
        <v>599</v>
      </c>
      <c r="N803">
        <v>1</v>
      </c>
    </row>
    <row r="804" spans="1:14">
      <c r="A804" t="s">
        <v>2964</v>
      </c>
      <c r="B804" t="s">
        <v>462</v>
      </c>
      <c r="C804" t="s">
        <v>1947</v>
      </c>
      <c r="D804" s="41">
        <v>1</v>
      </c>
      <c r="E804" s="41">
        <v>2303</v>
      </c>
      <c r="F804" s="41" t="s">
        <v>3789</v>
      </c>
      <c r="G804" s="41" t="s">
        <v>7327</v>
      </c>
      <c r="H804" s="2043">
        <v>161107</v>
      </c>
      <c r="I804" s="2043">
        <v>5326</v>
      </c>
      <c r="J804">
        <v>1.0042708853837699E-2</v>
      </c>
      <c r="K804" s="2043">
        <v>1617.95069531523</v>
      </c>
      <c r="L804" s="2043">
        <v>1617.95069531523</v>
      </c>
      <c r="M804">
        <v>599</v>
      </c>
      <c r="N804">
        <v>1</v>
      </c>
    </row>
    <row r="805" spans="1:14">
      <c r="A805" t="s">
        <v>2964</v>
      </c>
      <c r="B805" t="s">
        <v>462</v>
      </c>
      <c r="C805" t="s">
        <v>1947</v>
      </c>
      <c r="D805" s="41">
        <v>5</v>
      </c>
      <c r="E805" s="41">
        <v>2304</v>
      </c>
      <c r="F805" s="41" t="s">
        <v>3792</v>
      </c>
      <c r="G805" s="41" t="s">
        <v>3792</v>
      </c>
      <c r="H805" s="2043">
        <v>461721</v>
      </c>
      <c r="I805" s="2043">
        <v>1386827</v>
      </c>
      <c r="J805">
        <v>1</v>
      </c>
      <c r="K805" s="2043">
        <v>461721</v>
      </c>
      <c r="L805" s="2043">
        <v>461721</v>
      </c>
      <c r="M805">
        <v>599</v>
      </c>
      <c r="N805">
        <v>1</v>
      </c>
    </row>
    <row r="806" spans="1:14">
      <c r="A806" t="s">
        <v>2964</v>
      </c>
      <c r="B806" t="s">
        <v>462</v>
      </c>
      <c r="C806" t="s">
        <v>1947</v>
      </c>
      <c r="D806" s="41">
        <v>9</v>
      </c>
      <c r="E806" s="41">
        <v>2305</v>
      </c>
      <c r="F806" s="41" t="s">
        <v>3790</v>
      </c>
      <c r="G806" s="41" t="s">
        <v>3790</v>
      </c>
      <c r="H806" s="2043">
        <v>566674</v>
      </c>
      <c r="I806" s="2043">
        <v>344009</v>
      </c>
      <c r="J806">
        <v>0.49257787609985898</v>
      </c>
      <c r="K806" s="2043">
        <v>279131.07536101103</v>
      </c>
      <c r="L806" s="2043">
        <v>279131.07536101103</v>
      </c>
      <c r="M806">
        <v>599</v>
      </c>
      <c r="N806">
        <v>1</v>
      </c>
    </row>
    <row r="807" spans="1:14">
      <c r="A807" t="s">
        <v>2964</v>
      </c>
      <c r="B807" t="s">
        <v>462</v>
      </c>
      <c r="C807" t="s">
        <v>1947</v>
      </c>
      <c r="D807" s="41">
        <v>9</v>
      </c>
      <c r="E807" s="41">
        <v>2305</v>
      </c>
      <c r="F807" s="41" t="s">
        <v>3790</v>
      </c>
      <c r="G807" s="41" t="s">
        <v>3791</v>
      </c>
      <c r="H807" s="2043">
        <v>566674</v>
      </c>
      <c r="I807" s="2043">
        <v>0</v>
      </c>
      <c r="J807">
        <v>0</v>
      </c>
      <c r="K807" s="2043">
        <v>0</v>
      </c>
      <c r="L807" s="2043">
        <v>0</v>
      </c>
      <c r="M807">
        <v>599</v>
      </c>
      <c r="N807">
        <v>1</v>
      </c>
    </row>
    <row r="808" spans="1:14">
      <c r="A808" t="s">
        <v>2964</v>
      </c>
      <c r="B808" t="s">
        <v>462</v>
      </c>
      <c r="C808" t="s">
        <v>1947</v>
      </c>
      <c r="D808" s="41">
        <v>9</v>
      </c>
      <c r="E808" s="41">
        <v>2305</v>
      </c>
      <c r="F808" s="41" t="s">
        <v>3790</v>
      </c>
      <c r="G808" s="41" t="s">
        <v>5382</v>
      </c>
      <c r="H808" s="2043">
        <v>566674</v>
      </c>
      <c r="I808" s="2043">
        <v>312916</v>
      </c>
      <c r="J808">
        <v>0.448056587698762</v>
      </c>
      <c r="K808" s="2043">
        <v>253902.018777608</v>
      </c>
      <c r="L808" s="2043">
        <v>253902.018777608</v>
      </c>
      <c r="M808">
        <v>599</v>
      </c>
      <c r="N808">
        <v>1</v>
      </c>
    </row>
    <row r="809" spans="1:14">
      <c r="A809" t="s">
        <v>2964</v>
      </c>
      <c r="B809" t="s">
        <v>462</v>
      </c>
      <c r="C809" t="s">
        <v>1947</v>
      </c>
      <c r="D809" s="41">
        <v>9</v>
      </c>
      <c r="E809" s="41">
        <v>2305</v>
      </c>
      <c r="F809" s="41" t="s">
        <v>3790</v>
      </c>
      <c r="G809" s="41" t="s">
        <v>7327</v>
      </c>
      <c r="H809" s="2043">
        <v>566674</v>
      </c>
      <c r="I809" s="2043">
        <v>41460</v>
      </c>
      <c r="J809">
        <v>5.9365536201378903E-2</v>
      </c>
      <c r="K809" s="2043">
        <v>33640.905861380197</v>
      </c>
      <c r="L809" s="2043">
        <v>33640.905861380197</v>
      </c>
      <c r="M809">
        <v>599</v>
      </c>
      <c r="N809">
        <v>1</v>
      </c>
    </row>
    <row r="810" spans="1:14">
      <c r="A810" t="s">
        <v>2965</v>
      </c>
      <c r="B810" t="s">
        <v>1325</v>
      </c>
      <c r="C810" t="s">
        <v>1182</v>
      </c>
      <c r="D810" s="41">
        <v>1</v>
      </c>
      <c r="E810" s="41">
        <v>2154</v>
      </c>
      <c r="F810" s="41" t="s">
        <v>3793</v>
      </c>
      <c r="G810" s="41" t="s">
        <v>3793</v>
      </c>
      <c r="H810" s="2043">
        <v>740900</v>
      </c>
      <c r="I810" s="2043">
        <v>0</v>
      </c>
      <c r="J810">
        <v>0</v>
      </c>
      <c r="K810" s="2043">
        <v>0</v>
      </c>
      <c r="L810" s="2043">
        <v>0</v>
      </c>
      <c r="M810">
        <v>599</v>
      </c>
      <c r="N810">
        <v>0</v>
      </c>
    </row>
    <row r="811" spans="1:14">
      <c r="A811" t="s">
        <v>2965</v>
      </c>
      <c r="B811" t="s">
        <v>1325</v>
      </c>
      <c r="C811" t="s">
        <v>1182</v>
      </c>
      <c r="D811" s="41">
        <v>1</v>
      </c>
      <c r="E811" s="41">
        <v>2154</v>
      </c>
      <c r="F811" s="41" t="s">
        <v>3793</v>
      </c>
      <c r="G811" s="41" t="s">
        <v>3794</v>
      </c>
      <c r="H811" s="2043">
        <v>740900</v>
      </c>
      <c r="I811" s="2043">
        <v>0</v>
      </c>
      <c r="J811">
        <v>0</v>
      </c>
      <c r="K811" s="2043">
        <v>0</v>
      </c>
      <c r="L811" s="2043">
        <v>0</v>
      </c>
      <c r="M811">
        <v>599</v>
      </c>
      <c r="N811">
        <v>0</v>
      </c>
    </row>
    <row r="812" spans="1:14">
      <c r="A812" t="s">
        <v>2965</v>
      </c>
      <c r="B812" t="s">
        <v>1325</v>
      </c>
      <c r="C812" t="s">
        <v>1182</v>
      </c>
      <c r="D812" s="41">
        <v>1</v>
      </c>
      <c r="E812" s="41">
        <v>2154</v>
      </c>
      <c r="F812" s="41" t="s">
        <v>3793</v>
      </c>
      <c r="G812" s="41" t="s">
        <v>3795</v>
      </c>
      <c r="H812" s="2043">
        <v>740900</v>
      </c>
      <c r="I812" s="2043">
        <v>0</v>
      </c>
      <c r="J812">
        <v>0</v>
      </c>
      <c r="K812" s="2043">
        <v>0</v>
      </c>
      <c r="L812" s="2043">
        <v>0</v>
      </c>
      <c r="M812">
        <v>599</v>
      </c>
      <c r="N812">
        <v>1</v>
      </c>
    </row>
    <row r="813" spans="1:14">
      <c r="A813" t="s">
        <v>2965</v>
      </c>
      <c r="B813" t="s">
        <v>1325</v>
      </c>
      <c r="C813" t="s">
        <v>1182</v>
      </c>
      <c r="D813" s="41">
        <v>1</v>
      </c>
      <c r="E813" s="41">
        <v>2154</v>
      </c>
      <c r="F813" s="41" t="s">
        <v>3793</v>
      </c>
      <c r="G813" s="41" t="s">
        <v>5383</v>
      </c>
      <c r="H813" s="2043">
        <v>740900</v>
      </c>
      <c r="I813" s="2043">
        <v>648110</v>
      </c>
      <c r="J813">
        <v>0.37137675450031699</v>
      </c>
      <c r="K813" s="2043">
        <v>275153.03740928503</v>
      </c>
      <c r="L813" s="2043">
        <v>275153.03740928503</v>
      </c>
      <c r="M813">
        <v>599</v>
      </c>
      <c r="N813">
        <v>1</v>
      </c>
    </row>
    <row r="814" spans="1:14">
      <c r="A814" t="s">
        <v>2965</v>
      </c>
      <c r="B814" t="s">
        <v>1325</v>
      </c>
      <c r="C814" t="s">
        <v>1182</v>
      </c>
      <c r="D814" s="41">
        <v>1</v>
      </c>
      <c r="E814" s="41">
        <v>2154</v>
      </c>
      <c r="F814" s="41" t="s">
        <v>3793</v>
      </c>
      <c r="G814" s="41" t="s">
        <v>5565</v>
      </c>
      <c r="H814" s="2043">
        <v>740900</v>
      </c>
      <c r="I814" s="2043">
        <v>6310</v>
      </c>
      <c r="J814">
        <v>3.6157246777506901E-3</v>
      </c>
      <c r="K814" s="2043">
        <v>2678.8904137454801</v>
      </c>
      <c r="L814" s="2043">
        <v>2678.8904137454801</v>
      </c>
      <c r="M814">
        <v>599</v>
      </c>
      <c r="N814">
        <v>1</v>
      </c>
    </row>
    <row r="815" spans="1:14">
      <c r="A815" t="s">
        <v>2965</v>
      </c>
      <c r="B815" t="s">
        <v>1325</v>
      </c>
      <c r="C815" t="s">
        <v>1182</v>
      </c>
      <c r="D815" s="41">
        <v>1</v>
      </c>
      <c r="E815" s="41">
        <v>2154</v>
      </c>
      <c r="F815" s="41" t="s">
        <v>3793</v>
      </c>
      <c r="G815" s="41" t="s">
        <v>9328</v>
      </c>
      <c r="H815" s="2043">
        <v>740900</v>
      </c>
      <c r="I815" s="2043">
        <v>1090735</v>
      </c>
      <c r="J815">
        <v>0.625007520821933</v>
      </c>
      <c r="K815" s="2043">
        <v>463068.07217697002</v>
      </c>
      <c r="L815" s="2043">
        <v>463068.07217697002</v>
      </c>
      <c r="M815">
        <v>599</v>
      </c>
      <c r="N815">
        <v>1</v>
      </c>
    </row>
    <row r="816" spans="1:14">
      <c r="A816" t="s">
        <v>2966</v>
      </c>
      <c r="B816" t="s">
        <v>59</v>
      </c>
      <c r="C816" t="s">
        <v>2176</v>
      </c>
      <c r="D816" s="41">
        <v>3</v>
      </c>
      <c r="E816" s="41">
        <v>1997</v>
      </c>
      <c r="F816" s="41" t="s">
        <v>3796</v>
      </c>
      <c r="G816" s="41" t="s">
        <v>3796</v>
      </c>
      <c r="H816" s="2043">
        <v>661840</v>
      </c>
      <c r="I816" s="2043">
        <v>0</v>
      </c>
      <c r="J816">
        <v>0</v>
      </c>
      <c r="K816" s="2043">
        <v>0</v>
      </c>
      <c r="L816" s="2043">
        <v>0</v>
      </c>
      <c r="M816">
        <v>599</v>
      </c>
      <c r="N816">
        <v>0</v>
      </c>
    </row>
    <row r="817" spans="1:14">
      <c r="A817" t="s">
        <v>2966</v>
      </c>
      <c r="B817" t="s">
        <v>59</v>
      </c>
      <c r="C817" t="s">
        <v>2176</v>
      </c>
      <c r="D817" s="41">
        <v>3</v>
      </c>
      <c r="E817" s="41">
        <v>1997</v>
      </c>
      <c r="F817" s="41" t="s">
        <v>3796</v>
      </c>
      <c r="G817" s="41" t="s">
        <v>3797</v>
      </c>
      <c r="H817" s="2043">
        <v>661840</v>
      </c>
      <c r="I817" s="2043">
        <v>0</v>
      </c>
      <c r="J817">
        <v>0</v>
      </c>
      <c r="K817" s="2043">
        <v>0</v>
      </c>
      <c r="L817" s="2043">
        <v>0</v>
      </c>
      <c r="M817">
        <v>599</v>
      </c>
      <c r="N817">
        <v>0</v>
      </c>
    </row>
    <row r="818" spans="1:14">
      <c r="A818" t="s">
        <v>2966</v>
      </c>
      <c r="B818" t="s">
        <v>59</v>
      </c>
      <c r="C818" t="s">
        <v>2176</v>
      </c>
      <c r="D818" s="41">
        <v>3</v>
      </c>
      <c r="E818" s="41">
        <v>1997</v>
      </c>
      <c r="F818" s="41" t="s">
        <v>3796</v>
      </c>
      <c r="G818" s="41" t="s">
        <v>3798</v>
      </c>
      <c r="H818" s="2043">
        <v>661840</v>
      </c>
      <c r="I818" s="2043">
        <v>561000</v>
      </c>
      <c r="J818">
        <v>0.98179393527860404</v>
      </c>
      <c r="K818" s="2043">
        <v>649790.49812479096</v>
      </c>
      <c r="L818" s="2043">
        <v>561000</v>
      </c>
      <c r="M818">
        <v>599</v>
      </c>
      <c r="N818">
        <v>1</v>
      </c>
    </row>
    <row r="819" spans="1:14">
      <c r="A819" t="s">
        <v>2966</v>
      </c>
      <c r="B819" t="s">
        <v>59</v>
      </c>
      <c r="C819" t="s">
        <v>2176</v>
      </c>
      <c r="D819" s="41">
        <v>3</v>
      </c>
      <c r="E819" s="41">
        <v>1997</v>
      </c>
      <c r="F819" s="41" t="s">
        <v>3796</v>
      </c>
      <c r="G819" s="41" t="s">
        <v>3799</v>
      </c>
      <c r="H819" s="2043">
        <v>661840</v>
      </c>
      <c r="I819" s="2043">
        <v>0</v>
      </c>
      <c r="J819">
        <v>0</v>
      </c>
      <c r="K819" s="2043">
        <v>0</v>
      </c>
      <c r="L819" s="2043">
        <v>0</v>
      </c>
      <c r="M819">
        <v>599</v>
      </c>
      <c r="N819">
        <v>1</v>
      </c>
    </row>
    <row r="820" spans="1:14">
      <c r="A820" t="s">
        <v>2966</v>
      </c>
      <c r="B820" t="s">
        <v>59</v>
      </c>
      <c r="C820" t="s">
        <v>2176</v>
      </c>
      <c r="D820" s="41">
        <v>3</v>
      </c>
      <c r="E820" s="41">
        <v>1997</v>
      </c>
      <c r="F820" s="41" t="s">
        <v>3796</v>
      </c>
      <c r="G820" s="41" t="s">
        <v>3800</v>
      </c>
      <c r="H820" s="2043">
        <v>661840</v>
      </c>
      <c r="I820" s="2043">
        <v>7156</v>
      </c>
      <c r="J820">
        <v>1.25235604293292E-2</v>
      </c>
      <c r="K820" s="2043">
        <v>8288.5932345472502</v>
      </c>
      <c r="L820" s="2043">
        <v>7156</v>
      </c>
      <c r="M820">
        <v>599</v>
      </c>
      <c r="N820">
        <v>1</v>
      </c>
    </row>
    <row r="821" spans="1:14">
      <c r="A821" t="s">
        <v>2966</v>
      </c>
      <c r="B821" t="s">
        <v>59</v>
      </c>
      <c r="C821" t="s">
        <v>2176</v>
      </c>
      <c r="D821" s="41">
        <v>3</v>
      </c>
      <c r="E821" s="41">
        <v>1997</v>
      </c>
      <c r="F821" s="41" t="s">
        <v>3796</v>
      </c>
      <c r="G821" s="41" t="s">
        <v>5384</v>
      </c>
      <c r="H821" s="2043">
        <v>661840</v>
      </c>
      <c r="I821" s="2043">
        <v>3247</v>
      </c>
      <c r="J821">
        <v>5.6825042920670699E-3</v>
      </c>
      <c r="K821" s="2043">
        <v>3760.9086406616698</v>
      </c>
      <c r="L821" s="2043">
        <v>3247</v>
      </c>
      <c r="M821">
        <v>599</v>
      </c>
      <c r="N821">
        <v>1</v>
      </c>
    </row>
    <row r="822" spans="1:14">
      <c r="A822" t="s">
        <v>2966</v>
      </c>
      <c r="B822" t="s">
        <v>59</v>
      </c>
      <c r="C822" t="s">
        <v>2176</v>
      </c>
      <c r="D822" s="41">
        <v>9</v>
      </c>
      <c r="E822" s="41">
        <v>1996</v>
      </c>
      <c r="F822" s="41" t="s">
        <v>3801</v>
      </c>
      <c r="G822" s="41" t="s">
        <v>3801</v>
      </c>
      <c r="H822" s="2043">
        <v>296517</v>
      </c>
      <c r="I822" s="2043">
        <v>0</v>
      </c>
      <c r="J822">
        <v>0</v>
      </c>
      <c r="K822" s="2043">
        <v>0</v>
      </c>
      <c r="L822" s="2043">
        <v>0</v>
      </c>
      <c r="M822">
        <v>599</v>
      </c>
      <c r="N822">
        <v>1</v>
      </c>
    </row>
    <row r="823" spans="1:14">
      <c r="A823" t="s">
        <v>2966</v>
      </c>
      <c r="B823" t="s">
        <v>59</v>
      </c>
      <c r="C823" t="s">
        <v>2176</v>
      </c>
      <c r="D823" s="41">
        <v>9</v>
      </c>
      <c r="E823" s="41">
        <v>1996</v>
      </c>
      <c r="F823" s="41" t="s">
        <v>3801</v>
      </c>
      <c r="G823" s="41" t="s">
        <v>5384</v>
      </c>
      <c r="H823" s="2043">
        <v>296517</v>
      </c>
      <c r="I823" s="2043">
        <v>51806</v>
      </c>
      <c r="J823">
        <v>8.9840837122512798E-2</v>
      </c>
      <c r="K823" s="2043">
        <v>26639.335501056099</v>
      </c>
      <c r="L823" s="2043">
        <v>26639.335501056099</v>
      </c>
      <c r="M823">
        <v>599</v>
      </c>
      <c r="N823">
        <v>1</v>
      </c>
    </row>
    <row r="824" spans="1:14">
      <c r="A824" t="s">
        <v>2966</v>
      </c>
      <c r="B824" t="s">
        <v>59</v>
      </c>
      <c r="C824" t="s">
        <v>2176</v>
      </c>
      <c r="D824" s="41">
        <v>9</v>
      </c>
      <c r="E824" s="41">
        <v>1996</v>
      </c>
      <c r="F824" s="41" t="s">
        <v>3801</v>
      </c>
      <c r="G824" s="41" t="s">
        <v>5566</v>
      </c>
      <c r="H824" s="2043">
        <v>296517</v>
      </c>
      <c r="I824" s="2043">
        <v>524836</v>
      </c>
      <c r="J824">
        <v>0.91015916287748699</v>
      </c>
      <c r="K824" s="2043">
        <v>269877.66449894401</v>
      </c>
      <c r="L824" s="2043">
        <v>269877.66449894401</v>
      </c>
      <c r="M824">
        <v>599</v>
      </c>
      <c r="N824">
        <v>1</v>
      </c>
    </row>
    <row r="825" spans="1:14">
      <c r="A825" t="s">
        <v>2966</v>
      </c>
      <c r="B825" t="s">
        <v>59</v>
      </c>
      <c r="C825" t="s">
        <v>2176</v>
      </c>
      <c r="D825" s="41">
        <v>10</v>
      </c>
      <c r="E825" s="41">
        <v>1995</v>
      </c>
      <c r="F825" s="41" t="s">
        <v>3802</v>
      </c>
      <c r="G825" s="41" t="s">
        <v>3802</v>
      </c>
      <c r="H825" s="2043">
        <v>177100</v>
      </c>
      <c r="I825" s="2043">
        <v>0</v>
      </c>
      <c r="J825">
        <v>0</v>
      </c>
      <c r="K825" s="2043">
        <v>0</v>
      </c>
      <c r="L825" s="2043">
        <v>0</v>
      </c>
      <c r="M825">
        <v>599</v>
      </c>
      <c r="N825">
        <v>1</v>
      </c>
    </row>
    <row r="826" spans="1:14">
      <c r="A826" t="s">
        <v>2966</v>
      </c>
      <c r="B826" t="s">
        <v>59</v>
      </c>
      <c r="C826" t="s">
        <v>2176</v>
      </c>
      <c r="D826" s="41">
        <v>10</v>
      </c>
      <c r="E826" s="41">
        <v>1995</v>
      </c>
      <c r="F826" s="41" t="s">
        <v>3802</v>
      </c>
      <c r="G826" s="41" t="s">
        <v>5384</v>
      </c>
      <c r="H826" s="2043">
        <v>177100</v>
      </c>
      <c r="I826" s="2043">
        <v>128958</v>
      </c>
      <c r="J826">
        <v>1</v>
      </c>
      <c r="K826" s="2043">
        <v>177100</v>
      </c>
      <c r="L826" s="2043">
        <v>128958</v>
      </c>
      <c r="M826">
        <v>599</v>
      </c>
      <c r="N826">
        <v>1</v>
      </c>
    </row>
    <row r="827" spans="1:14">
      <c r="A827" t="s">
        <v>2967</v>
      </c>
      <c r="B827" t="s">
        <v>604</v>
      </c>
      <c r="C827" t="s">
        <v>1476</v>
      </c>
      <c r="D827" s="41">
        <v>5</v>
      </c>
      <c r="E827" s="41">
        <v>2026</v>
      </c>
      <c r="F827" s="41" t="s">
        <v>3803</v>
      </c>
      <c r="G827" s="41" t="s">
        <v>3803</v>
      </c>
      <c r="H827" s="2043">
        <v>512028</v>
      </c>
      <c r="I827" s="2043">
        <v>0</v>
      </c>
      <c r="J827">
        <v>0</v>
      </c>
      <c r="K827" s="2043">
        <v>0</v>
      </c>
      <c r="L827" s="2043">
        <v>0</v>
      </c>
      <c r="M827">
        <v>599</v>
      </c>
      <c r="N827">
        <v>0</v>
      </c>
    </row>
    <row r="828" spans="1:14">
      <c r="A828" t="s">
        <v>2967</v>
      </c>
      <c r="B828" t="s">
        <v>604</v>
      </c>
      <c r="C828" t="s">
        <v>1476</v>
      </c>
      <c r="D828" s="41">
        <v>5</v>
      </c>
      <c r="E828" s="41">
        <v>2026</v>
      </c>
      <c r="F828" s="41" t="s">
        <v>3803</v>
      </c>
      <c r="G828" s="41" t="s">
        <v>3804</v>
      </c>
      <c r="H828" s="2043">
        <v>512028</v>
      </c>
      <c r="I828" s="2043">
        <v>0</v>
      </c>
      <c r="J828">
        <v>0</v>
      </c>
      <c r="K828" s="2043">
        <v>0</v>
      </c>
      <c r="L828" s="2043">
        <v>0</v>
      </c>
      <c r="M828">
        <v>599</v>
      </c>
      <c r="N828">
        <v>1</v>
      </c>
    </row>
    <row r="829" spans="1:14">
      <c r="A829" t="s">
        <v>2967</v>
      </c>
      <c r="B829" t="s">
        <v>604</v>
      </c>
      <c r="C829" t="s">
        <v>1476</v>
      </c>
      <c r="D829" s="41">
        <v>5</v>
      </c>
      <c r="E829" s="41">
        <v>2026</v>
      </c>
      <c r="F829" s="41" t="s">
        <v>3803</v>
      </c>
      <c r="G829" s="41" t="s">
        <v>3805</v>
      </c>
      <c r="H829" s="2043">
        <v>512028</v>
      </c>
      <c r="I829" s="2043">
        <v>0</v>
      </c>
      <c r="J829">
        <v>0</v>
      </c>
      <c r="K829" s="2043">
        <v>0</v>
      </c>
      <c r="L829" s="2043">
        <v>0</v>
      </c>
      <c r="M829">
        <v>599</v>
      </c>
      <c r="N829">
        <v>1</v>
      </c>
    </row>
    <row r="830" spans="1:14">
      <c r="A830" t="s">
        <v>2967</v>
      </c>
      <c r="B830" t="s">
        <v>604</v>
      </c>
      <c r="C830" t="s">
        <v>1476</v>
      </c>
      <c r="D830" s="41">
        <v>5</v>
      </c>
      <c r="E830" s="41">
        <v>2026</v>
      </c>
      <c r="F830" s="41" t="s">
        <v>3803</v>
      </c>
      <c r="G830" s="41" t="s">
        <v>3806</v>
      </c>
      <c r="H830" s="2043">
        <v>512028</v>
      </c>
      <c r="I830" s="2043">
        <v>0</v>
      </c>
      <c r="J830">
        <v>0</v>
      </c>
      <c r="K830" s="2043">
        <v>0</v>
      </c>
      <c r="L830" s="2043">
        <v>0</v>
      </c>
      <c r="M830">
        <v>599</v>
      </c>
      <c r="N830">
        <v>1</v>
      </c>
    </row>
    <row r="831" spans="1:14">
      <c r="A831" t="s">
        <v>2967</v>
      </c>
      <c r="B831" t="s">
        <v>604</v>
      </c>
      <c r="C831" t="s">
        <v>1476</v>
      </c>
      <c r="D831" s="41">
        <v>5</v>
      </c>
      <c r="E831" s="41">
        <v>2026</v>
      </c>
      <c r="F831" s="41" t="s">
        <v>3803</v>
      </c>
      <c r="G831" s="41" t="s">
        <v>3807</v>
      </c>
      <c r="H831" s="2043">
        <v>512028</v>
      </c>
      <c r="I831" s="2043">
        <v>0</v>
      </c>
      <c r="J831">
        <v>0</v>
      </c>
      <c r="K831" s="2043">
        <v>0</v>
      </c>
      <c r="L831" s="2043">
        <v>0</v>
      </c>
      <c r="M831">
        <v>599</v>
      </c>
      <c r="N831">
        <v>0</v>
      </c>
    </row>
    <row r="832" spans="1:14">
      <c r="A832" t="s">
        <v>2967</v>
      </c>
      <c r="B832" t="s">
        <v>604</v>
      </c>
      <c r="C832" t="s">
        <v>1476</v>
      </c>
      <c r="D832" s="41">
        <v>5</v>
      </c>
      <c r="E832" s="41">
        <v>2026</v>
      </c>
      <c r="F832" s="41" t="s">
        <v>3803</v>
      </c>
      <c r="G832" s="41" t="s">
        <v>3808</v>
      </c>
      <c r="H832" s="2043">
        <v>512028</v>
      </c>
      <c r="I832" s="2043">
        <v>576809</v>
      </c>
      <c r="J832">
        <v>0.31336802348702297</v>
      </c>
      <c r="K832" s="2043">
        <v>160453.202330014</v>
      </c>
      <c r="L832" s="2043">
        <v>160453.202330014</v>
      </c>
      <c r="M832">
        <v>599</v>
      </c>
      <c r="N832">
        <v>1</v>
      </c>
    </row>
    <row r="833" spans="1:14">
      <c r="A833" t="s">
        <v>2967</v>
      </c>
      <c r="B833" t="s">
        <v>604</v>
      </c>
      <c r="C833" t="s">
        <v>1476</v>
      </c>
      <c r="D833" s="41">
        <v>5</v>
      </c>
      <c r="E833" s="41">
        <v>2026</v>
      </c>
      <c r="F833" s="41" t="s">
        <v>3803</v>
      </c>
      <c r="G833" s="41" t="s">
        <v>3809</v>
      </c>
      <c r="H833" s="2043">
        <v>512028</v>
      </c>
      <c r="I833" s="2043">
        <v>0</v>
      </c>
      <c r="J833">
        <v>0</v>
      </c>
      <c r="K833" s="2043">
        <v>0</v>
      </c>
      <c r="L833" s="2043">
        <v>0</v>
      </c>
      <c r="M833">
        <v>599</v>
      </c>
      <c r="N833">
        <v>1</v>
      </c>
    </row>
    <row r="834" spans="1:14">
      <c r="A834" t="s">
        <v>2967</v>
      </c>
      <c r="B834" t="s">
        <v>604</v>
      </c>
      <c r="C834" t="s">
        <v>1476</v>
      </c>
      <c r="D834" s="41">
        <v>5</v>
      </c>
      <c r="E834" s="41">
        <v>2026</v>
      </c>
      <c r="F834" s="41" t="s">
        <v>3803</v>
      </c>
      <c r="G834" s="41" t="s">
        <v>3810</v>
      </c>
      <c r="H834" s="2043">
        <v>512028</v>
      </c>
      <c r="I834" s="2043">
        <v>352307</v>
      </c>
      <c r="J834">
        <v>0.19140087663445399</v>
      </c>
      <c r="K834" s="2043">
        <v>98002.6080613862</v>
      </c>
      <c r="L834" s="2043">
        <v>98002.6080613862</v>
      </c>
      <c r="M834">
        <v>599</v>
      </c>
      <c r="N834">
        <v>1</v>
      </c>
    </row>
    <row r="835" spans="1:14">
      <c r="A835" t="s">
        <v>2967</v>
      </c>
      <c r="B835" t="s">
        <v>604</v>
      </c>
      <c r="C835" t="s">
        <v>1476</v>
      </c>
      <c r="D835" s="41">
        <v>5</v>
      </c>
      <c r="E835" s="41">
        <v>2026</v>
      </c>
      <c r="F835" s="41" t="s">
        <v>3803</v>
      </c>
      <c r="G835" s="41" t="s">
        <v>3811</v>
      </c>
      <c r="H835" s="2043">
        <v>512028</v>
      </c>
      <c r="I835" s="2043">
        <v>21382</v>
      </c>
      <c r="J835">
        <v>1.1616384415290899E-2</v>
      </c>
      <c r="K835" s="2043">
        <v>5947.9140793925699</v>
      </c>
      <c r="L835" s="2043">
        <v>5947.9140793925699</v>
      </c>
      <c r="M835">
        <v>599</v>
      </c>
      <c r="N835">
        <v>1</v>
      </c>
    </row>
    <row r="836" spans="1:14">
      <c r="A836" t="s">
        <v>2967</v>
      </c>
      <c r="B836" t="s">
        <v>604</v>
      </c>
      <c r="C836" t="s">
        <v>1476</v>
      </c>
      <c r="D836" s="41">
        <v>5</v>
      </c>
      <c r="E836" s="41">
        <v>2026</v>
      </c>
      <c r="F836" s="41" t="s">
        <v>3803</v>
      </c>
      <c r="G836" s="41" t="s">
        <v>3812</v>
      </c>
      <c r="H836" s="2043">
        <v>512028</v>
      </c>
      <c r="I836" s="2043">
        <v>0</v>
      </c>
      <c r="J836">
        <v>0</v>
      </c>
      <c r="K836" s="2043">
        <v>0</v>
      </c>
      <c r="L836" s="2043">
        <v>0</v>
      </c>
      <c r="M836">
        <v>599</v>
      </c>
      <c r="N836">
        <v>1</v>
      </c>
    </row>
    <row r="837" spans="1:14">
      <c r="A837" t="s">
        <v>2967</v>
      </c>
      <c r="B837" t="s">
        <v>604</v>
      </c>
      <c r="C837" t="s">
        <v>1476</v>
      </c>
      <c r="D837" s="41">
        <v>5</v>
      </c>
      <c r="E837" s="41">
        <v>2026</v>
      </c>
      <c r="F837" s="41" t="s">
        <v>3803</v>
      </c>
      <c r="G837" s="41" t="s">
        <v>3813</v>
      </c>
      <c r="H837" s="2043">
        <v>512028</v>
      </c>
      <c r="I837" s="2043">
        <v>3</v>
      </c>
      <c r="J837">
        <v>1.6298359950366099E-6</v>
      </c>
      <c r="K837" s="2043">
        <v>0.83452166486660295</v>
      </c>
      <c r="L837" s="2043">
        <v>0.83452166486660295</v>
      </c>
      <c r="M837">
        <v>599</v>
      </c>
      <c r="N837">
        <v>1</v>
      </c>
    </row>
    <row r="838" spans="1:14">
      <c r="A838" t="s">
        <v>2967</v>
      </c>
      <c r="B838" t="s">
        <v>604</v>
      </c>
      <c r="C838" t="s">
        <v>1476</v>
      </c>
      <c r="D838" s="41">
        <v>5</v>
      </c>
      <c r="E838" s="41">
        <v>2026</v>
      </c>
      <c r="F838" s="41" t="s">
        <v>3803</v>
      </c>
      <c r="G838" s="41" t="s">
        <v>5385</v>
      </c>
      <c r="H838" s="2043">
        <v>512028</v>
      </c>
      <c r="I838" s="2043">
        <v>1873</v>
      </c>
      <c r="J838">
        <v>1.01756093956785E-3</v>
      </c>
      <c r="K838" s="2043">
        <v>521.01969276504894</v>
      </c>
      <c r="L838" s="2043">
        <v>521.01969276504894</v>
      </c>
      <c r="M838">
        <v>599</v>
      </c>
      <c r="N838">
        <v>1</v>
      </c>
    </row>
    <row r="839" spans="1:14">
      <c r="A839" t="s">
        <v>2967</v>
      </c>
      <c r="B839" t="s">
        <v>604</v>
      </c>
      <c r="C839" t="s">
        <v>1476</v>
      </c>
      <c r="D839" s="41">
        <v>5</v>
      </c>
      <c r="E839" s="41">
        <v>2026</v>
      </c>
      <c r="F839" s="41" t="s">
        <v>3803</v>
      </c>
      <c r="G839" s="41" t="s">
        <v>5386</v>
      </c>
      <c r="H839" s="2043">
        <v>512028</v>
      </c>
      <c r="I839" s="2043">
        <v>140789</v>
      </c>
      <c r="J839">
        <v>7.6487659968402899E-2</v>
      </c>
      <c r="K839" s="2043">
        <v>39163.823558301403</v>
      </c>
      <c r="L839" s="2043">
        <v>39163.823558301403</v>
      </c>
      <c r="M839">
        <v>599</v>
      </c>
      <c r="N839">
        <v>1</v>
      </c>
    </row>
    <row r="840" spans="1:14">
      <c r="A840" t="s">
        <v>2967</v>
      </c>
      <c r="B840" t="s">
        <v>604</v>
      </c>
      <c r="C840" t="s">
        <v>1476</v>
      </c>
      <c r="D840" s="41">
        <v>5</v>
      </c>
      <c r="E840" s="41">
        <v>2026</v>
      </c>
      <c r="F840" s="41" t="s">
        <v>3803</v>
      </c>
      <c r="G840" s="41" t="s">
        <v>5567</v>
      </c>
      <c r="H840" s="2043">
        <v>512028</v>
      </c>
      <c r="I840" s="2043">
        <v>159993</v>
      </c>
      <c r="J840">
        <v>8.6920783451297196E-2</v>
      </c>
      <c r="K840" s="2043">
        <v>44505.874909000799</v>
      </c>
      <c r="L840" s="2043">
        <v>44505.874909000799</v>
      </c>
      <c r="M840">
        <v>599</v>
      </c>
      <c r="N840">
        <v>1</v>
      </c>
    </row>
    <row r="841" spans="1:14">
      <c r="A841" t="s">
        <v>2967</v>
      </c>
      <c r="B841" t="s">
        <v>604</v>
      </c>
      <c r="C841" t="s">
        <v>1476</v>
      </c>
      <c r="D841" s="41">
        <v>5</v>
      </c>
      <c r="E841" s="41">
        <v>2026</v>
      </c>
      <c r="F841" s="41" t="s">
        <v>3803</v>
      </c>
      <c r="G841" s="41" t="s">
        <v>7162</v>
      </c>
      <c r="H841" s="2043">
        <v>512028</v>
      </c>
      <c r="I841" s="2043">
        <v>1496</v>
      </c>
      <c r="J841">
        <v>8.1274488285825396E-4</v>
      </c>
      <c r="K841" s="2043">
        <v>416.14813688014601</v>
      </c>
      <c r="L841" s="2043">
        <v>416.14813688014601</v>
      </c>
      <c r="M841">
        <v>599</v>
      </c>
      <c r="N841">
        <v>1</v>
      </c>
    </row>
    <row r="842" spans="1:14">
      <c r="A842" t="s">
        <v>2967</v>
      </c>
      <c r="B842" t="s">
        <v>604</v>
      </c>
      <c r="C842" t="s">
        <v>1476</v>
      </c>
      <c r="D842" s="41">
        <v>5</v>
      </c>
      <c r="E842" s="41">
        <v>2026</v>
      </c>
      <c r="F842" s="41" t="s">
        <v>3803</v>
      </c>
      <c r="G842" s="41" t="s">
        <v>8626</v>
      </c>
      <c r="H842" s="2043">
        <v>512028</v>
      </c>
      <c r="I842" s="2043">
        <v>583592</v>
      </c>
      <c r="J842">
        <v>0.31705308267180099</v>
      </c>
      <c r="K842" s="2043">
        <v>162340.055814277</v>
      </c>
      <c r="L842" s="2043">
        <v>162340.055814277</v>
      </c>
      <c r="M842">
        <v>599</v>
      </c>
      <c r="N842">
        <v>1</v>
      </c>
    </row>
    <row r="843" spans="1:14">
      <c r="A843" t="s">
        <v>2967</v>
      </c>
      <c r="B843" t="s">
        <v>604</v>
      </c>
      <c r="C843" t="s">
        <v>1476</v>
      </c>
      <c r="D843" s="41">
        <v>5</v>
      </c>
      <c r="E843" s="41">
        <v>2026</v>
      </c>
      <c r="F843" s="41" t="s">
        <v>3803</v>
      </c>
      <c r="G843" s="41" t="s">
        <v>9329</v>
      </c>
      <c r="H843" s="2043">
        <v>512028</v>
      </c>
      <c r="I843" s="2043">
        <v>2432</v>
      </c>
      <c r="J843">
        <v>1.3212537133096801E-3</v>
      </c>
      <c r="K843" s="2043">
        <v>676.518896318526</v>
      </c>
      <c r="L843" s="2043">
        <v>676.518896318526</v>
      </c>
      <c r="M843">
        <v>599</v>
      </c>
      <c r="N843">
        <v>1</v>
      </c>
    </row>
    <row r="844" spans="1:14">
      <c r="A844" t="s">
        <v>2967</v>
      </c>
      <c r="B844" t="s">
        <v>604</v>
      </c>
      <c r="C844" t="s">
        <v>1476</v>
      </c>
      <c r="D844" s="41">
        <v>9</v>
      </c>
      <c r="E844" s="41">
        <v>2027</v>
      </c>
      <c r="F844" s="41" t="s">
        <v>3808</v>
      </c>
      <c r="G844" s="41" t="s">
        <v>3808</v>
      </c>
      <c r="H844" s="2043">
        <v>606882</v>
      </c>
      <c r="I844" s="2043">
        <v>0</v>
      </c>
      <c r="J844">
        <v>0</v>
      </c>
      <c r="K844" s="2043">
        <v>0</v>
      </c>
      <c r="L844" s="2043">
        <v>0</v>
      </c>
      <c r="M844">
        <v>599</v>
      </c>
      <c r="N844">
        <v>1</v>
      </c>
    </row>
    <row r="845" spans="1:14">
      <c r="A845" t="s">
        <v>2967</v>
      </c>
      <c r="B845" t="s">
        <v>604</v>
      </c>
      <c r="C845" t="s">
        <v>1476</v>
      </c>
      <c r="D845" s="41">
        <v>9</v>
      </c>
      <c r="E845" s="41">
        <v>2027</v>
      </c>
      <c r="F845" s="41" t="s">
        <v>3808</v>
      </c>
      <c r="G845" s="41" t="s">
        <v>5386</v>
      </c>
      <c r="H845" s="2043">
        <v>606882</v>
      </c>
      <c r="I845" s="2043">
        <v>313632</v>
      </c>
      <c r="J845">
        <v>0.39765690376569002</v>
      </c>
      <c r="K845" s="2043">
        <v>241330.81707113</v>
      </c>
      <c r="L845" s="2043">
        <v>241330.81707113</v>
      </c>
      <c r="M845">
        <v>599</v>
      </c>
      <c r="N845">
        <v>1</v>
      </c>
    </row>
    <row r="846" spans="1:14">
      <c r="A846" t="s">
        <v>2967</v>
      </c>
      <c r="B846" t="s">
        <v>604</v>
      </c>
      <c r="C846" t="s">
        <v>1476</v>
      </c>
      <c r="D846" s="41">
        <v>9</v>
      </c>
      <c r="E846" s="41">
        <v>2027</v>
      </c>
      <c r="F846" s="41" t="s">
        <v>3808</v>
      </c>
      <c r="G846" s="41" t="s">
        <v>5567</v>
      </c>
      <c r="H846" s="2043">
        <v>606882</v>
      </c>
      <c r="I846" s="2043">
        <v>475068</v>
      </c>
      <c r="J846">
        <v>0.60234309623431004</v>
      </c>
      <c r="K846" s="2043">
        <v>365551.18292887002</v>
      </c>
      <c r="L846" s="2043">
        <v>365551.18292887002</v>
      </c>
      <c r="M846">
        <v>599</v>
      </c>
      <c r="N846">
        <v>1</v>
      </c>
    </row>
    <row r="847" spans="1:14">
      <c r="A847" t="s">
        <v>2967</v>
      </c>
      <c r="B847" t="s">
        <v>604</v>
      </c>
      <c r="C847" t="s">
        <v>1476</v>
      </c>
      <c r="D847" s="41">
        <v>9</v>
      </c>
      <c r="E847" s="41">
        <v>2025</v>
      </c>
      <c r="F847" s="41" t="s">
        <v>3814</v>
      </c>
      <c r="G847" s="41" t="s">
        <v>3814</v>
      </c>
      <c r="H847" s="2043">
        <v>353398</v>
      </c>
      <c r="I847" s="2043">
        <v>80462</v>
      </c>
      <c r="J847">
        <v>0.18609438168984099</v>
      </c>
      <c r="K847" s="2043">
        <v>65765.3823004265</v>
      </c>
      <c r="L847" s="2043">
        <v>65765.3823004265</v>
      </c>
      <c r="M847">
        <v>599</v>
      </c>
      <c r="N847">
        <v>1</v>
      </c>
    </row>
    <row r="848" spans="1:14">
      <c r="A848" t="s">
        <v>2967</v>
      </c>
      <c r="B848" t="s">
        <v>604</v>
      </c>
      <c r="C848" t="s">
        <v>1476</v>
      </c>
      <c r="D848" s="41">
        <v>9</v>
      </c>
      <c r="E848" s="41">
        <v>2025</v>
      </c>
      <c r="F848" s="41" t="s">
        <v>3814</v>
      </c>
      <c r="G848" s="41" t="s">
        <v>7162</v>
      </c>
      <c r="H848" s="2043">
        <v>353398</v>
      </c>
      <c r="I848" s="2043">
        <v>351910</v>
      </c>
      <c r="J848">
        <v>0.81390561831015895</v>
      </c>
      <c r="K848" s="2043">
        <v>287632.61769957398</v>
      </c>
      <c r="L848" s="2043">
        <v>287632.61769957398</v>
      </c>
      <c r="M848">
        <v>599</v>
      </c>
      <c r="N848">
        <v>1</v>
      </c>
    </row>
    <row r="849" spans="1:14">
      <c r="A849" t="s">
        <v>2968</v>
      </c>
      <c r="B849" t="s">
        <v>2364</v>
      </c>
      <c r="C849" t="s">
        <v>399</v>
      </c>
      <c r="D849" s="41">
        <v>6</v>
      </c>
      <c r="E849" s="41">
        <v>1741</v>
      </c>
      <c r="F849" s="41" t="s">
        <v>3815</v>
      </c>
      <c r="G849" s="41" t="s">
        <v>3815</v>
      </c>
      <c r="H849" s="2043">
        <v>487605</v>
      </c>
      <c r="I849" s="2043">
        <v>0</v>
      </c>
      <c r="J849">
        <v>0</v>
      </c>
      <c r="K849" s="2043">
        <v>0</v>
      </c>
      <c r="L849" s="2043">
        <v>0</v>
      </c>
      <c r="M849">
        <v>599</v>
      </c>
      <c r="N849">
        <v>0</v>
      </c>
    </row>
    <row r="850" spans="1:14">
      <c r="A850" t="s">
        <v>2968</v>
      </c>
      <c r="B850" t="s">
        <v>2364</v>
      </c>
      <c r="C850" t="s">
        <v>399</v>
      </c>
      <c r="D850" s="41">
        <v>6</v>
      </c>
      <c r="E850" s="41">
        <v>1741</v>
      </c>
      <c r="F850" s="41" t="s">
        <v>3815</v>
      </c>
      <c r="G850" s="41" t="s">
        <v>5387</v>
      </c>
      <c r="H850" s="2043">
        <v>487605</v>
      </c>
      <c r="I850" s="2043">
        <v>354198</v>
      </c>
      <c r="J850">
        <v>1</v>
      </c>
      <c r="K850" s="2043">
        <v>487605</v>
      </c>
      <c r="L850" s="2043">
        <v>354198</v>
      </c>
      <c r="M850">
        <v>599</v>
      </c>
      <c r="N850">
        <v>1</v>
      </c>
    </row>
    <row r="851" spans="1:14">
      <c r="A851" t="s">
        <v>2969</v>
      </c>
      <c r="B851" t="s">
        <v>1114</v>
      </c>
      <c r="C851" t="s">
        <v>2073</v>
      </c>
      <c r="D851" s="41">
        <v>3</v>
      </c>
      <c r="E851" s="41">
        <v>2466</v>
      </c>
      <c r="F851" s="41" t="s">
        <v>3816</v>
      </c>
      <c r="G851" s="41" t="s">
        <v>3816</v>
      </c>
      <c r="H851" s="2043">
        <v>5516</v>
      </c>
      <c r="I851" s="2043">
        <v>0</v>
      </c>
      <c r="J851">
        <v>0</v>
      </c>
      <c r="L851" s="2043">
        <v>0</v>
      </c>
      <c r="M851">
        <v>599</v>
      </c>
      <c r="N851">
        <v>0</v>
      </c>
    </row>
    <row r="852" spans="1:14">
      <c r="A852" t="s">
        <v>2969</v>
      </c>
      <c r="B852" t="s">
        <v>1114</v>
      </c>
      <c r="C852" t="s">
        <v>2073</v>
      </c>
      <c r="D852" s="41">
        <v>3</v>
      </c>
      <c r="E852" s="41">
        <v>2467</v>
      </c>
      <c r="F852" s="41" t="s">
        <v>3817</v>
      </c>
      <c r="G852" s="41" t="s">
        <v>3817</v>
      </c>
      <c r="H852" s="2043">
        <v>324334</v>
      </c>
      <c r="I852" s="2043">
        <v>0</v>
      </c>
      <c r="J852">
        <v>0</v>
      </c>
      <c r="L852" s="2043">
        <v>0</v>
      </c>
      <c r="M852">
        <v>599</v>
      </c>
      <c r="N852">
        <v>0</v>
      </c>
    </row>
    <row r="853" spans="1:14">
      <c r="A853" t="s">
        <v>2969</v>
      </c>
      <c r="B853" t="s">
        <v>1114</v>
      </c>
      <c r="C853" t="s">
        <v>2073</v>
      </c>
      <c r="D853" s="41">
        <v>9</v>
      </c>
      <c r="E853" s="41">
        <v>2468</v>
      </c>
      <c r="F853" s="41" t="s">
        <v>3818</v>
      </c>
      <c r="G853" s="41" t="s">
        <v>3818</v>
      </c>
      <c r="H853" s="2043">
        <v>368750</v>
      </c>
      <c r="I853" s="2043">
        <v>0</v>
      </c>
      <c r="J853">
        <v>0</v>
      </c>
      <c r="K853" s="2043">
        <v>0</v>
      </c>
      <c r="L853" s="2043">
        <v>0</v>
      </c>
      <c r="M853">
        <v>599</v>
      </c>
      <c r="N853">
        <v>0</v>
      </c>
    </row>
    <row r="854" spans="1:14">
      <c r="A854" t="s">
        <v>2969</v>
      </c>
      <c r="B854" t="s">
        <v>1114</v>
      </c>
      <c r="C854" t="s">
        <v>2073</v>
      </c>
      <c r="D854" s="41">
        <v>9</v>
      </c>
      <c r="E854" s="41">
        <v>2468</v>
      </c>
      <c r="F854" s="41" t="s">
        <v>3818</v>
      </c>
      <c r="G854" s="41" t="s">
        <v>5568</v>
      </c>
      <c r="H854" s="2043">
        <v>368750</v>
      </c>
      <c r="I854" s="2043">
        <v>455803</v>
      </c>
      <c r="J854">
        <v>1</v>
      </c>
      <c r="K854" s="2043">
        <v>368750</v>
      </c>
      <c r="L854" s="2043">
        <v>368750</v>
      </c>
      <c r="M854">
        <v>599</v>
      </c>
      <c r="N854">
        <v>0</v>
      </c>
    </row>
    <row r="855" spans="1:14">
      <c r="A855" t="s">
        <v>2970</v>
      </c>
      <c r="B855" t="s">
        <v>677</v>
      </c>
      <c r="C855" t="s">
        <v>28</v>
      </c>
      <c r="D855" s="41">
        <v>4</v>
      </c>
      <c r="E855" s="41">
        <v>1665</v>
      </c>
      <c r="F855" s="41" t="s">
        <v>3819</v>
      </c>
      <c r="G855" s="41" t="s">
        <v>3819</v>
      </c>
      <c r="H855" s="2043">
        <v>551763</v>
      </c>
      <c r="I855" s="2043">
        <v>0</v>
      </c>
      <c r="J855">
        <v>0</v>
      </c>
      <c r="K855" s="2043">
        <v>0</v>
      </c>
      <c r="L855" s="2043">
        <v>0</v>
      </c>
      <c r="M855">
        <v>599</v>
      </c>
      <c r="N855">
        <v>0</v>
      </c>
    </row>
    <row r="856" spans="1:14">
      <c r="A856" t="s">
        <v>2970</v>
      </c>
      <c r="B856" t="s">
        <v>677</v>
      </c>
      <c r="C856" t="s">
        <v>28</v>
      </c>
      <c r="D856" s="41">
        <v>4</v>
      </c>
      <c r="E856" s="41">
        <v>1665</v>
      </c>
      <c r="F856" s="41" t="s">
        <v>3819</v>
      </c>
      <c r="G856" s="41" t="s">
        <v>3820</v>
      </c>
      <c r="H856" s="2043">
        <v>551763</v>
      </c>
      <c r="I856" s="2043">
        <v>0</v>
      </c>
      <c r="J856">
        <v>0</v>
      </c>
      <c r="K856" s="2043">
        <v>0</v>
      </c>
      <c r="L856" s="2043">
        <v>0</v>
      </c>
      <c r="M856">
        <v>599</v>
      </c>
      <c r="N856">
        <v>0</v>
      </c>
    </row>
    <row r="857" spans="1:14">
      <c r="A857" t="s">
        <v>2970</v>
      </c>
      <c r="B857" t="s">
        <v>677</v>
      </c>
      <c r="C857" t="s">
        <v>28</v>
      </c>
      <c r="D857" s="41">
        <v>4</v>
      </c>
      <c r="E857" s="41">
        <v>1665</v>
      </c>
      <c r="F857" s="41" t="s">
        <v>3819</v>
      </c>
      <c r="G857" s="41" t="s">
        <v>5388</v>
      </c>
      <c r="H857" s="2043">
        <v>551763</v>
      </c>
      <c r="I857" s="2043">
        <v>457700</v>
      </c>
      <c r="J857">
        <v>0.91337778159155603</v>
      </c>
      <c r="K857" s="2043">
        <v>503968.06490430201</v>
      </c>
      <c r="L857" s="2043">
        <v>457700</v>
      </c>
      <c r="M857">
        <v>599</v>
      </c>
      <c r="N857">
        <v>1</v>
      </c>
    </row>
    <row r="858" spans="1:14">
      <c r="A858" t="s">
        <v>2970</v>
      </c>
      <c r="B858" t="s">
        <v>677</v>
      </c>
      <c r="C858" t="s">
        <v>28</v>
      </c>
      <c r="D858" s="41">
        <v>4</v>
      </c>
      <c r="E858" s="41">
        <v>1665</v>
      </c>
      <c r="F858" s="41" t="s">
        <v>3819</v>
      </c>
      <c r="G858" s="41" t="s">
        <v>9330</v>
      </c>
      <c r="H858" s="2043">
        <v>551763</v>
      </c>
      <c r="I858" s="2043">
        <v>43407</v>
      </c>
      <c r="J858">
        <v>8.6622218408443696E-2</v>
      </c>
      <c r="K858" s="2043">
        <v>47794.9350956981</v>
      </c>
      <c r="L858" s="2043">
        <v>43407</v>
      </c>
      <c r="M858">
        <v>599</v>
      </c>
      <c r="N858">
        <v>1</v>
      </c>
    </row>
    <row r="859" spans="1:14">
      <c r="A859" t="s">
        <v>2971</v>
      </c>
      <c r="B859" t="s">
        <v>1465</v>
      </c>
      <c r="C859" t="s">
        <v>2237</v>
      </c>
      <c r="D859" s="41">
        <v>6</v>
      </c>
      <c r="E859" s="41">
        <v>1880</v>
      </c>
      <c r="F859" s="41" t="s">
        <v>3821</v>
      </c>
      <c r="G859" s="41" t="s">
        <v>3821</v>
      </c>
      <c r="H859" s="2043">
        <v>89335</v>
      </c>
      <c r="I859" s="2043">
        <v>0</v>
      </c>
      <c r="J859">
        <v>0</v>
      </c>
      <c r="L859" s="2043">
        <v>0</v>
      </c>
      <c r="M859">
        <v>599</v>
      </c>
      <c r="N859">
        <v>1</v>
      </c>
    </row>
    <row r="860" spans="1:14">
      <c r="A860" t="s">
        <v>2972</v>
      </c>
      <c r="B860" t="s">
        <v>678</v>
      </c>
      <c r="C860" t="s">
        <v>1917</v>
      </c>
      <c r="D860" s="41">
        <v>4</v>
      </c>
      <c r="E860" s="41">
        <v>2291</v>
      </c>
      <c r="F860" s="41" t="s">
        <v>3822</v>
      </c>
      <c r="G860" s="41" t="s">
        <v>3822</v>
      </c>
      <c r="H860" s="2043">
        <v>395737</v>
      </c>
      <c r="I860" s="2043">
        <v>0</v>
      </c>
      <c r="J860">
        <v>0</v>
      </c>
      <c r="K860" s="2043">
        <v>0</v>
      </c>
      <c r="L860" s="2043">
        <v>0</v>
      </c>
      <c r="M860">
        <v>599</v>
      </c>
      <c r="N860">
        <v>0</v>
      </c>
    </row>
    <row r="861" spans="1:14">
      <c r="A861" t="s">
        <v>2972</v>
      </c>
      <c r="B861" t="s">
        <v>678</v>
      </c>
      <c r="C861" t="s">
        <v>1917</v>
      </c>
      <c r="D861" s="41">
        <v>4</v>
      </c>
      <c r="E861" s="41">
        <v>2291</v>
      </c>
      <c r="F861" s="41" t="s">
        <v>3822</v>
      </c>
      <c r="G861" s="41" t="s">
        <v>3823</v>
      </c>
      <c r="H861" s="2043">
        <v>395737</v>
      </c>
      <c r="I861" s="2043">
        <v>0</v>
      </c>
      <c r="J861">
        <v>0</v>
      </c>
      <c r="K861" s="2043">
        <v>0</v>
      </c>
      <c r="L861" s="2043">
        <v>0</v>
      </c>
      <c r="M861">
        <v>599</v>
      </c>
      <c r="N861">
        <v>0</v>
      </c>
    </row>
    <row r="862" spans="1:14">
      <c r="A862" t="s">
        <v>2972</v>
      </c>
      <c r="B862" t="s">
        <v>678</v>
      </c>
      <c r="C862" t="s">
        <v>1917</v>
      </c>
      <c r="D862" s="41">
        <v>4</v>
      </c>
      <c r="E862" s="41">
        <v>2291</v>
      </c>
      <c r="F862" s="41" t="s">
        <v>3822</v>
      </c>
      <c r="G862" s="41" t="s">
        <v>5389</v>
      </c>
      <c r="H862" s="2043">
        <v>395737</v>
      </c>
      <c r="I862" s="2043">
        <v>320600</v>
      </c>
      <c r="J862">
        <v>1</v>
      </c>
      <c r="K862" s="2043">
        <v>395737</v>
      </c>
      <c r="L862" s="2043">
        <v>320600</v>
      </c>
      <c r="M862">
        <v>599</v>
      </c>
      <c r="N862">
        <v>1</v>
      </c>
    </row>
    <row r="863" spans="1:14">
      <c r="A863" t="s">
        <v>2972</v>
      </c>
      <c r="B863" t="s">
        <v>678</v>
      </c>
      <c r="C863" t="s">
        <v>1917</v>
      </c>
      <c r="D863" s="41">
        <v>5</v>
      </c>
      <c r="E863" s="41">
        <v>2288</v>
      </c>
      <c r="F863" s="41" t="s">
        <v>3824</v>
      </c>
      <c r="G863" s="41" t="s">
        <v>3824</v>
      </c>
      <c r="H863" s="2043">
        <v>221765</v>
      </c>
      <c r="I863" s="2043">
        <v>0</v>
      </c>
      <c r="J863">
        <v>0</v>
      </c>
      <c r="K863" s="2043">
        <v>0</v>
      </c>
      <c r="L863" s="2043">
        <v>0</v>
      </c>
      <c r="M863">
        <v>599</v>
      </c>
      <c r="N863">
        <v>0</v>
      </c>
    </row>
    <row r="864" spans="1:14">
      <c r="A864" t="s">
        <v>2972</v>
      </c>
      <c r="B864" t="s">
        <v>678</v>
      </c>
      <c r="C864" t="s">
        <v>1917</v>
      </c>
      <c r="D864" s="41">
        <v>5</v>
      </c>
      <c r="E864" s="41">
        <v>2288</v>
      </c>
      <c r="F864" s="41" t="s">
        <v>3824</v>
      </c>
      <c r="G864" s="41" t="s">
        <v>3823</v>
      </c>
      <c r="H864" s="2043">
        <v>221765</v>
      </c>
      <c r="I864" s="2043">
        <v>0</v>
      </c>
      <c r="J864">
        <v>0</v>
      </c>
      <c r="K864" s="2043">
        <v>0</v>
      </c>
      <c r="L864" s="2043">
        <v>0</v>
      </c>
      <c r="M864">
        <v>599</v>
      </c>
      <c r="N864">
        <v>0</v>
      </c>
    </row>
    <row r="865" spans="1:14">
      <c r="A865" t="s">
        <v>2972</v>
      </c>
      <c r="B865" t="s">
        <v>678</v>
      </c>
      <c r="C865" t="s">
        <v>1917</v>
      </c>
      <c r="D865" s="41">
        <v>5</v>
      </c>
      <c r="E865" s="41">
        <v>2288</v>
      </c>
      <c r="F865" s="41" t="s">
        <v>3824</v>
      </c>
      <c r="G865" s="41" t="s">
        <v>5389</v>
      </c>
      <c r="H865" s="2043">
        <v>221765</v>
      </c>
      <c r="I865" s="2043">
        <v>202200</v>
      </c>
      <c r="J865">
        <v>1</v>
      </c>
      <c r="K865" s="2043">
        <v>221765</v>
      </c>
      <c r="L865" s="2043">
        <v>202200</v>
      </c>
      <c r="M865">
        <v>599</v>
      </c>
      <c r="N865">
        <v>1</v>
      </c>
    </row>
    <row r="866" spans="1:14">
      <c r="A866" t="s">
        <v>2972</v>
      </c>
      <c r="B866" t="s">
        <v>678</v>
      </c>
      <c r="C866" t="s">
        <v>1917</v>
      </c>
      <c r="D866" s="41">
        <v>8</v>
      </c>
      <c r="E866" s="41">
        <v>2290</v>
      </c>
      <c r="F866" s="41" t="s">
        <v>3825</v>
      </c>
      <c r="G866" s="41" t="s">
        <v>3825</v>
      </c>
      <c r="H866" s="2043">
        <v>346350</v>
      </c>
      <c r="I866" s="2043">
        <v>0</v>
      </c>
      <c r="J866">
        <v>0</v>
      </c>
      <c r="K866" s="2043">
        <v>0</v>
      </c>
      <c r="L866" s="2043">
        <v>0</v>
      </c>
      <c r="M866">
        <v>599</v>
      </c>
      <c r="N866">
        <v>1</v>
      </c>
    </row>
    <row r="867" spans="1:14">
      <c r="A867" t="s">
        <v>2972</v>
      </c>
      <c r="B867" t="s">
        <v>678</v>
      </c>
      <c r="C867" t="s">
        <v>1917</v>
      </c>
      <c r="D867" s="41">
        <v>8</v>
      </c>
      <c r="E867" s="41">
        <v>2290</v>
      </c>
      <c r="F867" s="41" t="s">
        <v>3825</v>
      </c>
      <c r="G867" s="41" t="s">
        <v>5569</v>
      </c>
      <c r="H867" s="2043">
        <v>346350</v>
      </c>
      <c r="I867" s="2043">
        <v>457400</v>
      </c>
      <c r="J867">
        <v>1</v>
      </c>
      <c r="K867" s="2043">
        <v>346350</v>
      </c>
      <c r="L867" s="2043">
        <v>346350</v>
      </c>
      <c r="M867">
        <v>599</v>
      </c>
      <c r="N867">
        <v>1</v>
      </c>
    </row>
    <row r="868" spans="1:14">
      <c r="A868" t="s">
        <v>2972</v>
      </c>
      <c r="B868" t="s">
        <v>678</v>
      </c>
      <c r="C868" t="s">
        <v>1917</v>
      </c>
      <c r="D868" s="41">
        <v>10</v>
      </c>
      <c r="E868" s="41">
        <v>2289</v>
      </c>
      <c r="F868" s="41" t="s">
        <v>3826</v>
      </c>
      <c r="G868" s="41" t="s">
        <v>3826</v>
      </c>
      <c r="H868" s="2043">
        <v>275767</v>
      </c>
      <c r="I868" s="2043">
        <v>0</v>
      </c>
      <c r="J868">
        <v>0</v>
      </c>
      <c r="K868" s="2043">
        <v>0</v>
      </c>
      <c r="L868" s="2043">
        <v>0</v>
      </c>
      <c r="M868">
        <v>599</v>
      </c>
      <c r="N868">
        <v>1</v>
      </c>
    </row>
    <row r="869" spans="1:14">
      <c r="A869" t="s">
        <v>2972</v>
      </c>
      <c r="B869" t="s">
        <v>678</v>
      </c>
      <c r="C869" t="s">
        <v>1917</v>
      </c>
      <c r="D869" s="41">
        <v>10</v>
      </c>
      <c r="E869" s="41">
        <v>2289</v>
      </c>
      <c r="F869" s="41" t="s">
        <v>3826</v>
      </c>
      <c r="G869" s="41" t="s">
        <v>9331</v>
      </c>
      <c r="H869" s="2043">
        <v>275767</v>
      </c>
      <c r="I869" s="2043">
        <v>243150</v>
      </c>
      <c r="J869">
        <v>1</v>
      </c>
      <c r="K869" s="2043">
        <v>275767</v>
      </c>
      <c r="L869" s="2043">
        <v>243150</v>
      </c>
      <c r="M869">
        <v>599</v>
      </c>
      <c r="N869">
        <v>1</v>
      </c>
    </row>
    <row r="870" spans="1:14">
      <c r="A870" t="s">
        <v>3827</v>
      </c>
      <c r="B870" t="s">
        <v>2030</v>
      </c>
      <c r="C870" t="s">
        <v>2032</v>
      </c>
      <c r="D870" s="41">
        <v>5</v>
      </c>
      <c r="E870" s="41">
        <v>1692</v>
      </c>
      <c r="F870" s="41" t="s">
        <v>3828</v>
      </c>
      <c r="G870" s="41" t="s">
        <v>3828</v>
      </c>
      <c r="H870" s="2043">
        <v>108854</v>
      </c>
      <c r="I870" s="2043">
        <v>0</v>
      </c>
      <c r="J870">
        <v>0</v>
      </c>
      <c r="L870" s="2043">
        <v>0</v>
      </c>
      <c r="M870">
        <v>199</v>
      </c>
      <c r="N870">
        <v>0</v>
      </c>
    </row>
    <row r="871" spans="1:14">
      <c r="A871" t="s">
        <v>2973</v>
      </c>
      <c r="B871" t="s">
        <v>232</v>
      </c>
      <c r="C871" t="s">
        <v>1998</v>
      </c>
      <c r="D871" s="41">
        <v>5</v>
      </c>
      <c r="E871" s="41">
        <v>1587</v>
      </c>
      <c r="F871" s="41" t="s">
        <v>3829</v>
      </c>
      <c r="G871" s="41" t="s">
        <v>3829</v>
      </c>
      <c r="H871" s="2043">
        <v>100000</v>
      </c>
      <c r="I871" s="2043">
        <v>0</v>
      </c>
      <c r="J871">
        <v>0</v>
      </c>
      <c r="K871" s="2043">
        <v>0</v>
      </c>
      <c r="L871" s="2043">
        <v>0</v>
      </c>
      <c r="M871">
        <v>599</v>
      </c>
      <c r="N871">
        <v>0</v>
      </c>
    </row>
    <row r="872" spans="1:14">
      <c r="A872" t="s">
        <v>2973</v>
      </c>
      <c r="B872" t="s">
        <v>232</v>
      </c>
      <c r="C872" t="s">
        <v>1998</v>
      </c>
      <c r="D872" s="41">
        <v>5</v>
      </c>
      <c r="E872" s="41">
        <v>1587</v>
      </c>
      <c r="F872" s="41" t="s">
        <v>3829</v>
      </c>
      <c r="G872" s="41" t="s">
        <v>3830</v>
      </c>
      <c r="H872" s="2043">
        <v>100000</v>
      </c>
      <c r="I872" s="2043">
        <v>84800</v>
      </c>
      <c r="J872">
        <v>1</v>
      </c>
      <c r="K872" s="2043">
        <v>100000</v>
      </c>
      <c r="L872" s="2043">
        <v>84800</v>
      </c>
      <c r="M872">
        <v>599</v>
      </c>
      <c r="N872">
        <v>1</v>
      </c>
    </row>
    <row r="873" spans="1:14">
      <c r="A873" t="s">
        <v>2974</v>
      </c>
      <c r="B873" t="s">
        <v>1321</v>
      </c>
      <c r="C873" t="s">
        <v>1863</v>
      </c>
      <c r="D873" s="41">
        <v>9</v>
      </c>
      <c r="E873" s="41">
        <v>1812</v>
      </c>
      <c r="F873" s="41" t="s">
        <v>3831</v>
      </c>
      <c r="G873" s="41" t="s">
        <v>3831</v>
      </c>
      <c r="H873" s="2043">
        <v>367965</v>
      </c>
      <c r="I873" s="2043">
        <v>0</v>
      </c>
      <c r="J873">
        <v>0</v>
      </c>
      <c r="K873" s="2043">
        <v>0</v>
      </c>
      <c r="L873" s="2043">
        <v>0</v>
      </c>
      <c r="M873">
        <v>599</v>
      </c>
      <c r="N873">
        <v>0</v>
      </c>
    </row>
    <row r="874" spans="1:14">
      <c r="A874" t="s">
        <v>2974</v>
      </c>
      <c r="B874" t="s">
        <v>1321</v>
      </c>
      <c r="C874" t="s">
        <v>1863</v>
      </c>
      <c r="D874" s="41">
        <v>9</v>
      </c>
      <c r="E874" s="41">
        <v>1812</v>
      </c>
      <c r="F874" s="41" t="s">
        <v>3831</v>
      </c>
      <c r="G874" s="41" t="s">
        <v>3832</v>
      </c>
      <c r="H874" s="2043">
        <v>367965</v>
      </c>
      <c r="I874" s="2043">
        <v>483196</v>
      </c>
      <c r="J874">
        <v>1</v>
      </c>
      <c r="K874" s="2043">
        <v>367965</v>
      </c>
      <c r="L874" s="2043">
        <v>367965</v>
      </c>
      <c r="M874">
        <v>599</v>
      </c>
      <c r="N874">
        <v>1</v>
      </c>
    </row>
    <row r="875" spans="1:14">
      <c r="A875" t="s">
        <v>2974</v>
      </c>
      <c r="B875" t="s">
        <v>1321</v>
      </c>
      <c r="C875" t="s">
        <v>1863</v>
      </c>
      <c r="D875" s="41">
        <v>9</v>
      </c>
      <c r="E875" s="41">
        <v>1812</v>
      </c>
      <c r="F875" s="41" t="s">
        <v>3831</v>
      </c>
      <c r="G875" s="41" t="s">
        <v>5390</v>
      </c>
      <c r="H875" s="2043">
        <v>367965</v>
      </c>
      <c r="I875" s="2043">
        <v>0</v>
      </c>
      <c r="J875">
        <v>0</v>
      </c>
      <c r="K875" s="2043">
        <v>0</v>
      </c>
      <c r="L875" s="2043">
        <v>0</v>
      </c>
      <c r="M875">
        <v>599</v>
      </c>
      <c r="N875">
        <v>0</v>
      </c>
    </row>
    <row r="876" spans="1:14">
      <c r="A876" t="s">
        <v>2975</v>
      </c>
      <c r="B876" t="s">
        <v>679</v>
      </c>
      <c r="C876" t="s">
        <v>1196</v>
      </c>
      <c r="D876" s="41">
        <v>4</v>
      </c>
      <c r="E876" s="41">
        <v>1930</v>
      </c>
      <c r="F876" s="41" t="s">
        <v>3833</v>
      </c>
      <c r="G876" s="41" t="s">
        <v>3833</v>
      </c>
      <c r="H876" s="2043">
        <v>137308</v>
      </c>
      <c r="I876" s="2043">
        <v>0</v>
      </c>
      <c r="J876">
        <v>0</v>
      </c>
      <c r="K876" s="2043">
        <v>0</v>
      </c>
      <c r="L876" s="2043">
        <v>0</v>
      </c>
      <c r="M876">
        <v>599</v>
      </c>
      <c r="N876">
        <v>0</v>
      </c>
    </row>
    <row r="877" spans="1:14">
      <c r="A877" t="s">
        <v>2975</v>
      </c>
      <c r="B877" t="s">
        <v>679</v>
      </c>
      <c r="C877" t="s">
        <v>1196</v>
      </c>
      <c r="D877" s="41">
        <v>4</v>
      </c>
      <c r="E877" s="41">
        <v>1930</v>
      </c>
      <c r="F877" s="41" t="s">
        <v>3833</v>
      </c>
      <c r="G877" s="41" t="s">
        <v>3834</v>
      </c>
      <c r="H877" s="2043">
        <v>137308</v>
      </c>
      <c r="I877" s="2043">
        <v>134876</v>
      </c>
      <c r="J877">
        <v>1</v>
      </c>
      <c r="K877" s="2043">
        <v>137308</v>
      </c>
      <c r="L877" s="2043">
        <v>134876</v>
      </c>
      <c r="M877">
        <v>599</v>
      </c>
      <c r="N877">
        <v>1</v>
      </c>
    </row>
    <row r="878" spans="1:14">
      <c r="A878" t="s">
        <v>2975</v>
      </c>
      <c r="B878" t="s">
        <v>679</v>
      </c>
      <c r="C878" t="s">
        <v>1196</v>
      </c>
      <c r="D878" s="41">
        <v>11</v>
      </c>
      <c r="E878" s="41">
        <v>2563</v>
      </c>
      <c r="F878" s="41" t="s">
        <v>7163</v>
      </c>
      <c r="G878" s="41" t="s">
        <v>7163</v>
      </c>
      <c r="H878" s="2043">
        <v>130375</v>
      </c>
      <c r="I878" s="2043">
        <v>282177</v>
      </c>
      <c r="J878">
        <v>1</v>
      </c>
      <c r="K878" s="2043">
        <v>130375</v>
      </c>
      <c r="L878" s="2043">
        <v>130375</v>
      </c>
      <c r="M878">
        <v>599</v>
      </c>
      <c r="N878">
        <v>1</v>
      </c>
    </row>
    <row r="879" spans="1:14">
      <c r="A879" t="s">
        <v>2976</v>
      </c>
      <c r="B879" t="s">
        <v>233</v>
      </c>
      <c r="C879" t="s">
        <v>1287</v>
      </c>
      <c r="D879" s="41">
        <v>5</v>
      </c>
      <c r="E879" s="41">
        <v>2171</v>
      </c>
      <c r="F879" s="41" t="s">
        <v>3835</v>
      </c>
      <c r="G879" s="41" t="s">
        <v>3835</v>
      </c>
      <c r="H879" s="2043">
        <v>229000</v>
      </c>
      <c r="I879" s="2043">
        <v>0</v>
      </c>
      <c r="J879">
        <v>0</v>
      </c>
      <c r="K879" s="2043">
        <v>0</v>
      </c>
      <c r="L879" s="2043">
        <v>0</v>
      </c>
      <c r="M879">
        <v>599</v>
      </c>
      <c r="N879">
        <v>0</v>
      </c>
    </row>
    <row r="880" spans="1:14">
      <c r="A880" t="s">
        <v>2976</v>
      </c>
      <c r="B880" t="s">
        <v>233</v>
      </c>
      <c r="C880" t="s">
        <v>1287</v>
      </c>
      <c r="D880" s="41">
        <v>5</v>
      </c>
      <c r="E880" s="41">
        <v>2171</v>
      </c>
      <c r="F880" s="41" t="s">
        <v>3835</v>
      </c>
      <c r="G880" s="41" t="s">
        <v>3836</v>
      </c>
      <c r="H880" s="2043">
        <v>229000</v>
      </c>
      <c r="I880" s="2043">
        <v>0</v>
      </c>
      <c r="J880">
        <v>0</v>
      </c>
      <c r="K880" s="2043">
        <v>0</v>
      </c>
      <c r="L880" s="2043">
        <v>0</v>
      </c>
      <c r="M880">
        <v>599</v>
      </c>
      <c r="N880">
        <v>1</v>
      </c>
    </row>
    <row r="881" spans="1:14">
      <c r="A881" t="s">
        <v>2976</v>
      </c>
      <c r="B881" t="s">
        <v>233</v>
      </c>
      <c r="C881" t="s">
        <v>1287</v>
      </c>
      <c r="D881" s="41">
        <v>5</v>
      </c>
      <c r="E881" s="41">
        <v>2171</v>
      </c>
      <c r="F881" s="41" t="s">
        <v>3835</v>
      </c>
      <c r="G881" s="41" t="s">
        <v>5570</v>
      </c>
      <c r="H881" s="2043">
        <v>229000</v>
      </c>
      <c r="I881" s="2043">
        <v>320138</v>
      </c>
      <c r="J881">
        <v>1</v>
      </c>
      <c r="K881" s="2043">
        <v>229000</v>
      </c>
      <c r="L881" s="2043">
        <v>229000</v>
      </c>
      <c r="M881">
        <v>599</v>
      </c>
      <c r="N881">
        <v>1</v>
      </c>
    </row>
    <row r="882" spans="1:14">
      <c r="A882" t="s">
        <v>2977</v>
      </c>
      <c r="B882" t="s">
        <v>1971</v>
      </c>
      <c r="C882" t="s">
        <v>77</v>
      </c>
      <c r="D882" s="41">
        <v>3</v>
      </c>
      <c r="E882" s="41">
        <v>2230</v>
      </c>
      <c r="F882" s="41" t="s">
        <v>3837</v>
      </c>
      <c r="G882" s="41" t="s">
        <v>3837</v>
      </c>
      <c r="H882" s="2043">
        <v>350000</v>
      </c>
      <c r="I882" s="2043">
        <v>0</v>
      </c>
      <c r="J882">
        <v>0</v>
      </c>
      <c r="L882" s="2043">
        <v>0</v>
      </c>
      <c r="M882">
        <v>599</v>
      </c>
      <c r="N882">
        <v>1</v>
      </c>
    </row>
    <row r="883" spans="1:14">
      <c r="A883" t="s">
        <v>2977</v>
      </c>
      <c r="B883" t="s">
        <v>1971</v>
      </c>
      <c r="C883" t="s">
        <v>77</v>
      </c>
      <c r="D883" s="41">
        <v>6</v>
      </c>
      <c r="E883" s="41">
        <v>2229</v>
      </c>
      <c r="F883" s="41" t="s">
        <v>3838</v>
      </c>
      <c r="G883" s="41" t="s">
        <v>3838</v>
      </c>
      <c r="H883" s="2043">
        <v>67680</v>
      </c>
      <c r="I883" s="2043">
        <v>0</v>
      </c>
      <c r="J883">
        <v>0</v>
      </c>
      <c r="L883" s="2043">
        <v>0</v>
      </c>
      <c r="M883">
        <v>599</v>
      </c>
      <c r="N883">
        <v>0</v>
      </c>
    </row>
    <row r="884" spans="1:14">
      <c r="A884" t="s">
        <v>2977</v>
      </c>
      <c r="B884" t="s">
        <v>1971</v>
      </c>
      <c r="C884" t="s">
        <v>77</v>
      </c>
      <c r="D884" s="41">
        <v>9</v>
      </c>
      <c r="E884" s="41">
        <v>2231</v>
      </c>
      <c r="F884" s="41" t="s">
        <v>3839</v>
      </c>
      <c r="G884" s="41" t="s">
        <v>3839</v>
      </c>
      <c r="H884" s="2043">
        <v>1269033</v>
      </c>
      <c r="I884" s="2043">
        <v>0</v>
      </c>
      <c r="J884">
        <v>0</v>
      </c>
      <c r="K884" s="2043">
        <v>0</v>
      </c>
      <c r="L884" s="2043">
        <v>0</v>
      </c>
      <c r="M884">
        <v>599</v>
      </c>
      <c r="N884">
        <v>1</v>
      </c>
    </row>
    <row r="885" spans="1:14">
      <c r="A885" t="s">
        <v>2977</v>
      </c>
      <c r="B885" t="s">
        <v>1971</v>
      </c>
      <c r="C885" t="s">
        <v>77</v>
      </c>
      <c r="D885" s="41">
        <v>9</v>
      </c>
      <c r="E885" s="41">
        <v>2231</v>
      </c>
      <c r="F885" s="41" t="s">
        <v>3839</v>
      </c>
      <c r="G885" s="41" t="s">
        <v>5391</v>
      </c>
      <c r="H885" s="2043">
        <v>1269033</v>
      </c>
      <c r="I885" s="2043">
        <v>791650</v>
      </c>
      <c r="J885">
        <v>0.39540073501133299</v>
      </c>
      <c r="K885" s="2043">
        <v>501776.58095363702</v>
      </c>
      <c r="L885" s="2043">
        <v>501776.58095363702</v>
      </c>
      <c r="M885">
        <v>599</v>
      </c>
      <c r="N885">
        <v>1</v>
      </c>
    </row>
    <row r="886" spans="1:14">
      <c r="A886" t="s">
        <v>2977</v>
      </c>
      <c r="B886" t="s">
        <v>1971</v>
      </c>
      <c r="C886" t="s">
        <v>77</v>
      </c>
      <c r="D886" s="41">
        <v>9</v>
      </c>
      <c r="E886" s="41">
        <v>2231</v>
      </c>
      <c r="F886" s="41" t="s">
        <v>3839</v>
      </c>
      <c r="G886" s="41" t="s">
        <v>5392</v>
      </c>
      <c r="H886" s="2043">
        <v>1269033</v>
      </c>
      <c r="I886" s="2043">
        <v>777200</v>
      </c>
      <c r="J886">
        <v>0.38818347912689699</v>
      </c>
      <c r="K886" s="2043">
        <v>492617.64506684302</v>
      </c>
      <c r="L886" s="2043">
        <v>492617.64506684302</v>
      </c>
      <c r="M886">
        <v>599</v>
      </c>
      <c r="N886">
        <v>1</v>
      </c>
    </row>
    <row r="887" spans="1:14">
      <c r="A887" t="s">
        <v>2977</v>
      </c>
      <c r="B887" t="s">
        <v>1971</v>
      </c>
      <c r="C887" t="s">
        <v>77</v>
      </c>
      <c r="D887" s="41">
        <v>9</v>
      </c>
      <c r="E887" s="41">
        <v>2231</v>
      </c>
      <c r="F887" s="41" t="s">
        <v>3839</v>
      </c>
      <c r="G887" s="41" t="s">
        <v>5571</v>
      </c>
      <c r="H887" s="2043">
        <v>1269033</v>
      </c>
      <c r="I887" s="2043">
        <v>366700</v>
      </c>
      <c r="J887">
        <v>0.183153476319909</v>
      </c>
      <c r="K887" s="2043">
        <v>232427.80551468299</v>
      </c>
      <c r="L887" s="2043">
        <v>232427.80551468299</v>
      </c>
      <c r="M887">
        <v>599</v>
      </c>
      <c r="N887">
        <v>1</v>
      </c>
    </row>
    <row r="888" spans="1:14">
      <c r="A888" t="s">
        <v>2977</v>
      </c>
      <c r="B888" t="s">
        <v>1971</v>
      </c>
      <c r="C888" t="s">
        <v>77</v>
      </c>
      <c r="D888" s="41">
        <v>9</v>
      </c>
      <c r="E888" s="41">
        <v>2231</v>
      </c>
      <c r="F888" s="41" t="s">
        <v>3839</v>
      </c>
      <c r="G888" s="41" t="s">
        <v>7164</v>
      </c>
      <c r="H888" s="2043">
        <v>1269033</v>
      </c>
      <c r="I888" s="2043">
        <v>66596</v>
      </c>
      <c r="J888">
        <v>3.3262309541861601E-2</v>
      </c>
      <c r="K888" s="2043">
        <v>42210.968464837199</v>
      </c>
      <c r="L888" s="2043">
        <v>42210.968464837199</v>
      </c>
      <c r="M888">
        <v>599</v>
      </c>
      <c r="N888">
        <v>1</v>
      </c>
    </row>
    <row r="889" spans="1:14">
      <c r="A889" t="s">
        <v>2977</v>
      </c>
      <c r="B889" t="s">
        <v>1971</v>
      </c>
      <c r="C889" t="s">
        <v>77</v>
      </c>
      <c r="D889" s="41">
        <v>10</v>
      </c>
      <c r="E889" s="41">
        <v>2232</v>
      </c>
      <c r="F889" s="41" t="s">
        <v>3840</v>
      </c>
      <c r="G889" s="41" t="s">
        <v>3840</v>
      </c>
      <c r="H889" s="2043">
        <v>1279231</v>
      </c>
      <c r="I889" s="2043">
        <v>0</v>
      </c>
      <c r="J889">
        <v>0</v>
      </c>
      <c r="K889" s="2043">
        <v>0</v>
      </c>
      <c r="L889" s="2043">
        <v>0</v>
      </c>
      <c r="M889">
        <v>599</v>
      </c>
      <c r="N889">
        <v>1</v>
      </c>
    </row>
    <row r="890" spans="1:14">
      <c r="A890" t="s">
        <v>2977</v>
      </c>
      <c r="B890" t="s">
        <v>1971</v>
      </c>
      <c r="C890" t="s">
        <v>77</v>
      </c>
      <c r="D890" s="41">
        <v>10</v>
      </c>
      <c r="E890" s="41">
        <v>2232</v>
      </c>
      <c r="F890" s="41" t="s">
        <v>3840</v>
      </c>
      <c r="G890" s="41" t="s">
        <v>7164</v>
      </c>
      <c r="H890" s="2043">
        <v>1279231</v>
      </c>
      <c r="I890" s="2043">
        <v>2754817</v>
      </c>
      <c r="J890">
        <v>1</v>
      </c>
      <c r="K890" s="2043">
        <v>1279231</v>
      </c>
      <c r="L890" s="2043">
        <v>1279231</v>
      </c>
      <c r="M890">
        <v>599</v>
      </c>
      <c r="N890">
        <v>1</v>
      </c>
    </row>
    <row r="891" spans="1:14">
      <c r="A891" t="s">
        <v>2978</v>
      </c>
      <c r="B891" t="s">
        <v>326</v>
      </c>
      <c r="C891" t="s">
        <v>130</v>
      </c>
      <c r="D891" s="41">
        <v>1</v>
      </c>
      <c r="E891" s="41">
        <v>2438</v>
      </c>
      <c r="F891" s="41" t="s">
        <v>3841</v>
      </c>
      <c r="G891" s="41" t="s">
        <v>3841</v>
      </c>
      <c r="H891" s="2043">
        <v>1270445</v>
      </c>
      <c r="I891" s="2043">
        <v>0</v>
      </c>
      <c r="J891">
        <v>0</v>
      </c>
      <c r="L891" s="2043">
        <v>0</v>
      </c>
      <c r="M891">
        <v>599</v>
      </c>
      <c r="N891">
        <v>0</v>
      </c>
    </row>
    <row r="892" spans="1:14">
      <c r="A892" t="s">
        <v>2979</v>
      </c>
      <c r="B892" t="s">
        <v>680</v>
      </c>
      <c r="C892" t="s">
        <v>1879</v>
      </c>
      <c r="D892" s="41">
        <v>4</v>
      </c>
      <c r="E892" s="41">
        <v>2078</v>
      </c>
      <c r="F892" s="41" t="s">
        <v>3842</v>
      </c>
      <c r="G892" s="41" t="s">
        <v>3842</v>
      </c>
      <c r="H892" s="2043">
        <v>207500</v>
      </c>
      <c r="I892" s="2043">
        <v>0</v>
      </c>
      <c r="J892">
        <v>0</v>
      </c>
      <c r="K892" s="2043">
        <v>0</v>
      </c>
      <c r="L892" s="2043">
        <v>0</v>
      </c>
      <c r="M892">
        <v>599</v>
      </c>
      <c r="N892">
        <v>0</v>
      </c>
    </row>
    <row r="893" spans="1:14">
      <c r="A893" t="s">
        <v>2979</v>
      </c>
      <c r="B893" t="s">
        <v>680</v>
      </c>
      <c r="C893" t="s">
        <v>1879</v>
      </c>
      <c r="D893" s="41">
        <v>4</v>
      </c>
      <c r="E893" s="41">
        <v>2078</v>
      </c>
      <c r="F893" s="41" t="s">
        <v>3842</v>
      </c>
      <c r="G893" s="41" t="s">
        <v>3843</v>
      </c>
      <c r="H893" s="2043">
        <v>207500</v>
      </c>
      <c r="I893" s="2043">
        <v>128162</v>
      </c>
      <c r="J893">
        <v>0.41061376444542702</v>
      </c>
      <c r="K893" s="2043">
        <v>85202.356122426107</v>
      </c>
      <c r="L893" s="2043">
        <v>85202.356122426107</v>
      </c>
      <c r="M893">
        <v>599</v>
      </c>
      <c r="N893">
        <v>0</v>
      </c>
    </row>
    <row r="894" spans="1:14">
      <c r="A894" t="s">
        <v>2979</v>
      </c>
      <c r="B894" t="s">
        <v>680</v>
      </c>
      <c r="C894" t="s">
        <v>1879</v>
      </c>
      <c r="D894" s="41">
        <v>4</v>
      </c>
      <c r="E894" s="41">
        <v>2078</v>
      </c>
      <c r="F894" s="41" t="s">
        <v>3842</v>
      </c>
      <c r="G894" s="41" t="s">
        <v>3844</v>
      </c>
      <c r="H894" s="2043">
        <v>207500</v>
      </c>
      <c r="I894" s="2043">
        <v>62600</v>
      </c>
      <c r="J894">
        <v>0.20056195794606599</v>
      </c>
      <c r="K894" s="2043">
        <v>41616.606273808698</v>
      </c>
      <c r="L894" s="2043">
        <v>41616.606273808698</v>
      </c>
      <c r="M894">
        <v>599</v>
      </c>
      <c r="N894">
        <v>1</v>
      </c>
    </row>
    <row r="895" spans="1:14">
      <c r="A895" t="s">
        <v>2979</v>
      </c>
      <c r="B895" t="s">
        <v>680</v>
      </c>
      <c r="C895" t="s">
        <v>1879</v>
      </c>
      <c r="D895" s="41">
        <v>4</v>
      </c>
      <c r="E895" s="41">
        <v>2078</v>
      </c>
      <c r="F895" s="41" t="s">
        <v>3842</v>
      </c>
      <c r="G895" s="41" t="s">
        <v>3845</v>
      </c>
      <c r="H895" s="2043">
        <v>207500</v>
      </c>
      <c r="I895" s="2043">
        <v>69532</v>
      </c>
      <c r="J895">
        <v>0.22277115111670701</v>
      </c>
      <c r="K895" s="2043">
        <v>46225.013856716701</v>
      </c>
      <c r="L895" s="2043">
        <v>46225.013856716701</v>
      </c>
      <c r="M895">
        <v>599</v>
      </c>
      <c r="N895">
        <v>1</v>
      </c>
    </row>
    <row r="896" spans="1:14">
      <c r="A896" t="s">
        <v>2979</v>
      </c>
      <c r="B896" t="s">
        <v>680</v>
      </c>
      <c r="C896" t="s">
        <v>1879</v>
      </c>
      <c r="D896" s="41">
        <v>4</v>
      </c>
      <c r="E896" s="41">
        <v>2078</v>
      </c>
      <c r="F896" s="41" t="s">
        <v>3842</v>
      </c>
      <c r="G896" s="41" t="s">
        <v>5393</v>
      </c>
      <c r="H896" s="2043">
        <v>207500</v>
      </c>
      <c r="I896" s="2043">
        <v>51829</v>
      </c>
      <c r="J896">
        <v>0.16605312649180001</v>
      </c>
      <c r="K896" s="2043">
        <v>34456.023747048399</v>
      </c>
      <c r="L896" s="2043">
        <v>34456.023747048399</v>
      </c>
      <c r="M896">
        <v>599</v>
      </c>
      <c r="N896">
        <v>1</v>
      </c>
    </row>
    <row r="897" spans="1:14">
      <c r="A897" t="s">
        <v>2980</v>
      </c>
      <c r="B897" t="s">
        <v>541</v>
      </c>
      <c r="C897" t="s">
        <v>1096</v>
      </c>
      <c r="D897" s="41">
        <v>2</v>
      </c>
      <c r="E897" s="41">
        <v>1696</v>
      </c>
      <c r="F897" s="41" t="s">
        <v>3846</v>
      </c>
      <c r="G897" s="41" t="s">
        <v>3846</v>
      </c>
      <c r="H897" s="2043">
        <v>530747</v>
      </c>
      <c r="I897" s="2043">
        <v>0</v>
      </c>
      <c r="J897">
        <v>0</v>
      </c>
      <c r="L897" s="2043">
        <v>0</v>
      </c>
      <c r="M897">
        <v>199</v>
      </c>
      <c r="N897">
        <v>0</v>
      </c>
    </row>
    <row r="898" spans="1:14">
      <c r="A898" t="s">
        <v>2980</v>
      </c>
      <c r="B898" t="s">
        <v>541</v>
      </c>
      <c r="C898" t="s">
        <v>1096</v>
      </c>
      <c r="D898" s="41">
        <v>3</v>
      </c>
      <c r="E898" s="41">
        <v>1698</v>
      </c>
      <c r="F898" s="41" t="s">
        <v>3847</v>
      </c>
      <c r="G898" s="41" t="s">
        <v>3847</v>
      </c>
      <c r="H898" s="2043">
        <v>1037938</v>
      </c>
      <c r="I898" s="2043">
        <v>0</v>
      </c>
      <c r="J898">
        <v>0</v>
      </c>
      <c r="L898" s="2043">
        <v>0</v>
      </c>
      <c r="M898">
        <v>199</v>
      </c>
      <c r="N898">
        <v>0</v>
      </c>
    </row>
    <row r="899" spans="1:14">
      <c r="A899" t="s">
        <v>2980</v>
      </c>
      <c r="B899" t="s">
        <v>541</v>
      </c>
      <c r="C899" t="s">
        <v>1096</v>
      </c>
      <c r="D899" s="41">
        <v>3</v>
      </c>
      <c r="E899" s="41">
        <v>1698</v>
      </c>
      <c r="F899" s="41" t="s">
        <v>3847</v>
      </c>
      <c r="G899" s="41" t="s">
        <v>3848</v>
      </c>
      <c r="H899" s="2043">
        <v>1037938</v>
      </c>
      <c r="I899" s="2043">
        <v>0</v>
      </c>
      <c r="J899">
        <v>0</v>
      </c>
      <c r="L899" s="2043">
        <v>0</v>
      </c>
      <c r="M899">
        <v>599</v>
      </c>
      <c r="N899">
        <v>1</v>
      </c>
    </row>
    <row r="900" spans="1:14">
      <c r="A900" t="s">
        <v>2980</v>
      </c>
      <c r="B900" t="s">
        <v>541</v>
      </c>
      <c r="C900" t="s">
        <v>1096</v>
      </c>
      <c r="D900" s="41">
        <v>3</v>
      </c>
      <c r="E900" s="41">
        <v>1698</v>
      </c>
      <c r="F900" s="41" t="s">
        <v>3847</v>
      </c>
      <c r="G900" s="41" t="s">
        <v>3849</v>
      </c>
      <c r="H900" s="2043">
        <v>1037938</v>
      </c>
      <c r="I900" s="2043">
        <v>0</v>
      </c>
      <c r="J900">
        <v>0</v>
      </c>
      <c r="L900" s="2043">
        <v>0</v>
      </c>
      <c r="M900">
        <v>599</v>
      </c>
      <c r="N900">
        <v>1</v>
      </c>
    </row>
    <row r="901" spans="1:14">
      <c r="A901" t="s">
        <v>2980</v>
      </c>
      <c r="B901" t="s">
        <v>541</v>
      </c>
      <c r="C901" t="s">
        <v>1096</v>
      </c>
      <c r="D901" s="41">
        <v>3</v>
      </c>
      <c r="E901" s="41">
        <v>1698</v>
      </c>
      <c r="F901" s="41" t="s">
        <v>3847</v>
      </c>
      <c r="G901" s="41" t="s">
        <v>3850</v>
      </c>
      <c r="H901" s="2043">
        <v>1037938</v>
      </c>
      <c r="I901" s="2043">
        <v>0</v>
      </c>
      <c r="J901">
        <v>0</v>
      </c>
      <c r="L901" s="2043">
        <v>0</v>
      </c>
      <c r="M901">
        <v>599</v>
      </c>
      <c r="N901">
        <v>1</v>
      </c>
    </row>
    <row r="902" spans="1:14">
      <c r="A902" t="s">
        <v>2980</v>
      </c>
      <c r="B902" t="s">
        <v>541</v>
      </c>
      <c r="C902" t="s">
        <v>1096</v>
      </c>
      <c r="D902" s="41">
        <v>3</v>
      </c>
      <c r="E902" s="41">
        <v>1698</v>
      </c>
      <c r="F902" s="41" t="s">
        <v>3847</v>
      </c>
      <c r="G902" s="41" t="s">
        <v>5573</v>
      </c>
      <c r="H902" s="2043">
        <v>1037938</v>
      </c>
      <c r="I902" s="2043">
        <v>0</v>
      </c>
      <c r="J902">
        <v>0</v>
      </c>
      <c r="L902" s="2043">
        <v>0</v>
      </c>
      <c r="M902">
        <v>599</v>
      </c>
      <c r="N902">
        <v>1</v>
      </c>
    </row>
    <row r="903" spans="1:14">
      <c r="A903" t="s">
        <v>2980</v>
      </c>
      <c r="B903" t="s">
        <v>541</v>
      </c>
      <c r="C903" t="s">
        <v>1096</v>
      </c>
      <c r="D903" s="41">
        <v>4</v>
      </c>
      <c r="E903" s="41">
        <v>1697</v>
      </c>
      <c r="F903" s="41" t="s">
        <v>3851</v>
      </c>
      <c r="G903" s="41" t="s">
        <v>3851</v>
      </c>
      <c r="H903" s="2043">
        <v>732644</v>
      </c>
      <c r="I903" s="2043">
        <v>0</v>
      </c>
      <c r="J903">
        <v>0</v>
      </c>
      <c r="L903" s="2043">
        <v>0</v>
      </c>
      <c r="M903">
        <v>199</v>
      </c>
      <c r="N903">
        <v>0</v>
      </c>
    </row>
    <row r="904" spans="1:14">
      <c r="A904" t="s">
        <v>2980</v>
      </c>
      <c r="B904" t="s">
        <v>541</v>
      </c>
      <c r="C904" t="s">
        <v>1096</v>
      </c>
      <c r="D904" s="41">
        <v>6</v>
      </c>
      <c r="E904" s="41">
        <v>1699</v>
      </c>
      <c r="F904" s="41" t="s">
        <v>3852</v>
      </c>
      <c r="G904" s="41" t="s">
        <v>3852</v>
      </c>
      <c r="H904" s="2043">
        <v>1200698</v>
      </c>
      <c r="I904" s="2043">
        <v>0</v>
      </c>
      <c r="J904">
        <v>0</v>
      </c>
      <c r="K904" s="2043">
        <v>0</v>
      </c>
      <c r="L904" s="2043">
        <v>0</v>
      </c>
      <c r="M904">
        <v>599</v>
      </c>
      <c r="N904">
        <v>0</v>
      </c>
    </row>
    <row r="905" spans="1:14">
      <c r="A905" t="s">
        <v>2980</v>
      </c>
      <c r="B905" t="s">
        <v>541</v>
      </c>
      <c r="C905" t="s">
        <v>1096</v>
      </c>
      <c r="D905" s="41">
        <v>6</v>
      </c>
      <c r="E905" s="41">
        <v>1699</v>
      </c>
      <c r="F905" s="41" t="s">
        <v>3852</v>
      </c>
      <c r="G905" s="41" t="s">
        <v>3849</v>
      </c>
      <c r="H905" s="2043">
        <v>1200698</v>
      </c>
      <c r="I905" s="2043">
        <v>0</v>
      </c>
      <c r="J905">
        <v>0</v>
      </c>
      <c r="K905" s="2043">
        <v>0</v>
      </c>
      <c r="L905" s="2043">
        <v>0</v>
      </c>
      <c r="M905">
        <v>599</v>
      </c>
      <c r="N905">
        <v>1</v>
      </c>
    </row>
    <row r="906" spans="1:14">
      <c r="A906" t="s">
        <v>2980</v>
      </c>
      <c r="B906" t="s">
        <v>541</v>
      </c>
      <c r="C906" t="s">
        <v>1096</v>
      </c>
      <c r="D906" s="41">
        <v>6</v>
      </c>
      <c r="E906" s="41">
        <v>1699</v>
      </c>
      <c r="F906" s="41" t="s">
        <v>3852</v>
      </c>
      <c r="G906" s="41" t="s">
        <v>3853</v>
      </c>
      <c r="H906" s="2043">
        <v>1200698</v>
      </c>
      <c r="I906" s="2043">
        <v>270550</v>
      </c>
      <c r="J906">
        <v>0.20156769075917699</v>
      </c>
      <c r="K906" s="2043">
        <v>242021.92315916301</v>
      </c>
      <c r="L906" s="2043">
        <v>242021.92315916301</v>
      </c>
      <c r="M906">
        <v>599</v>
      </c>
      <c r="N906">
        <v>1</v>
      </c>
    </row>
    <row r="907" spans="1:14">
      <c r="A907" t="s">
        <v>2980</v>
      </c>
      <c r="B907" t="s">
        <v>541</v>
      </c>
      <c r="C907" t="s">
        <v>1096</v>
      </c>
      <c r="D907" s="41">
        <v>6</v>
      </c>
      <c r="E907" s="41">
        <v>1699</v>
      </c>
      <c r="F907" s="41" t="s">
        <v>3852</v>
      </c>
      <c r="G907" s="41" t="s">
        <v>5573</v>
      </c>
      <c r="H907" s="2043">
        <v>1200698</v>
      </c>
      <c r="I907" s="2043">
        <v>1071679</v>
      </c>
      <c r="J907">
        <v>0.79843230924082298</v>
      </c>
      <c r="K907" s="2043">
        <v>958676.07684083702</v>
      </c>
      <c r="L907" s="2043">
        <v>958676.07684083702</v>
      </c>
      <c r="M907">
        <v>599</v>
      </c>
      <c r="N907">
        <v>1</v>
      </c>
    </row>
    <row r="908" spans="1:14">
      <c r="A908" t="s">
        <v>2980</v>
      </c>
      <c r="B908" t="s">
        <v>541</v>
      </c>
      <c r="C908" t="s">
        <v>1096</v>
      </c>
      <c r="D908" s="41">
        <v>8</v>
      </c>
      <c r="E908" s="41">
        <v>1700</v>
      </c>
      <c r="F908" s="41" t="s">
        <v>3854</v>
      </c>
      <c r="G908" s="41" t="s">
        <v>3854</v>
      </c>
      <c r="H908" s="2043">
        <v>2334930</v>
      </c>
      <c r="I908" s="2043">
        <v>0</v>
      </c>
      <c r="J908">
        <v>0</v>
      </c>
      <c r="K908" s="2043">
        <v>0</v>
      </c>
      <c r="L908" s="2043">
        <v>0</v>
      </c>
      <c r="M908">
        <v>599</v>
      </c>
      <c r="N908">
        <v>1</v>
      </c>
    </row>
    <row r="909" spans="1:14">
      <c r="A909" t="s">
        <v>2980</v>
      </c>
      <c r="B909" t="s">
        <v>541</v>
      </c>
      <c r="C909" t="s">
        <v>1096</v>
      </c>
      <c r="D909" s="41">
        <v>8</v>
      </c>
      <c r="E909" s="41">
        <v>1700</v>
      </c>
      <c r="F909" s="41" t="s">
        <v>3854</v>
      </c>
      <c r="G909" s="41" t="s">
        <v>3855</v>
      </c>
      <c r="H909" s="2043">
        <v>2334930</v>
      </c>
      <c r="I909" s="2043">
        <v>2193000</v>
      </c>
      <c r="J909">
        <v>1</v>
      </c>
      <c r="K909" s="2043">
        <v>2334930</v>
      </c>
      <c r="L909" s="2043">
        <v>2193000</v>
      </c>
      <c r="M909">
        <v>599</v>
      </c>
      <c r="N909">
        <v>1</v>
      </c>
    </row>
    <row r="910" spans="1:14">
      <c r="A910" t="s">
        <v>2980</v>
      </c>
      <c r="B910" t="s">
        <v>541</v>
      </c>
      <c r="C910" t="s">
        <v>1096</v>
      </c>
      <c r="D910" s="41">
        <v>9</v>
      </c>
      <c r="E910" s="41">
        <v>1701</v>
      </c>
      <c r="F910" s="41" t="s">
        <v>3856</v>
      </c>
      <c r="G910" s="41" t="s">
        <v>3856</v>
      </c>
      <c r="H910" s="2043">
        <v>2567970</v>
      </c>
      <c r="I910" s="2043">
        <v>0</v>
      </c>
      <c r="J910">
        <v>0</v>
      </c>
      <c r="K910" s="2043">
        <v>0</v>
      </c>
      <c r="L910" s="2043">
        <v>0</v>
      </c>
      <c r="M910">
        <v>599</v>
      </c>
      <c r="N910">
        <v>1</v>
      </c>
    </row>
    <row r="911" spans="1:14">
      <c r="A911" t="s">
        <v>2980</v>
      </c>
      <c r="B911" t="s">
        <v>541</v>
      </c>
      <c r="C911" t="s">
        <v>1096</v>
      </c>
      <c r="D911" s="41">
        <v>9</v>
      </c>
      <c r="E911" s="41">
        <v>1701</v>
      </c>
      <c r="F911" s="41" t="s">
        <v>3856</v>
      </c>
      <c r="G911" s="41" t="s">
        <v>5572</v>
      </c>
      <c r="H911" s="2043">
        <v>2567970</v>
      </c>
      <c r="I911" s="2043">
        <v>2226900</v>
      </c>
      <c r="J911">
        <v>1</v>
      </c>
      <c r="K911" s="2043">
        <v>2567970</v>
      </c>
      <c r="L911" s="2043">
        <v>2226900</v>
      </c>
      <c r="M911">
        <v>599</v>
      </c>
      <c r="N911">
        <v>1</v>
      </c>
    </row>
    <row r="912" spans="1:14">
      <c r="A912" t="s">
        <v>2980</v>
      </c>
      <c r="B912" t="s">
        <v>541</v>
      </c>
      <c r="C912" t="s">
        <v>1096</v>
      </c>
      <c r="D912" s="41">
        <v>11</v>
      </c>
      <c r="E912" s="41">
        <v>2556</v>
      </c>
      <c r="F912" s="41" t="s">
        <v>7165</v>
      </c>
      <c r="G912" s="41" t="s">
        <v>7165</v>
      </c>
      <c r="H912" s="2043">
        <v>2547117</v>
      </c>
      <c r="I912" s="2043">
        <v>2547133</v>
      </c>
      <c r="J912">
        <v>0.59264401288625101</v>
      </c>
      <c r="K912" s="2043">
        <v>1509533.64017079</v>
      </c>
      <c r="L912" s="2043">
        <v>1509533.64017079</v>
      </c>
      <c r="M912">
        <v>599</v>
      </c>
      <c r="N912">
        <v>1</v>
      </c>
    </row>
    <row r="913" spans="1:14">
      <c r="A913" t="s">
        <v>2980</v>
      </c>
      <c r="B913" t="s">
        <v>541</v>
      </c>
      <c r="C913" t="s">
        <v>1096</v>
      </c>
      <c r="D913" s="41">
        <v>11</v>
      </c>
      <c r="E913" s="41">
        <v>2556</v>
      </c>
      <c r="F913" s="41" t="s">
        <v>7165</v>
      </c>
      <c r="G913" s="41" t="s">
        <v>9332</v>
      </c>
      <c r="H913" s="2043">
        <v>2547117</v>
      </c>
      <c r="I913" s="2043">
        <v>1750781</v>
      </c>
      <c r="J913">
        <v>0.40735598711374899</v>
      </c>
      <c r="K913" s="2043">
        <v>1037583.35982921</v>
      </c>
      <c r="L913" s="2043">
        <v>1037583.35982921</v>
      </c>
      <c r="M913">
        <v>599</v>
      </c>
      <c r="N913">
        <v>1</v>
      </c>
    </row>
    <row r="914" spans="1:14">
      <c r="A914" t="s">
        <v>2981</v>
      </c>
      <c r="B914" t="s">
        <v>2275</v>
      </c>
      <c r="C914" t="s">
        <v>1866</v>
      </c>
      <c r="D914" s="41">
        <v>9</v>
      </c>
      <c r="E914" s="41">
        <v>1798</v>
      </c>
      <c r="F914" s="41" t="s">
        <v>3857</v>
      </c>
      <c r="G914" s="41" t="s">
        <v>3857</v>
      </c>
      <c r="H914" s="2043">
        <v>9773773</v>
      </c>
      <c r="I914" s="2043">
        <v>1662500</v>
      </c>
      <c r="J914">
        <v>0.12592329230216001</v>
      </c>
      <c r="K914" s="2043">
        <v>1230745.6743739501</v>
      </c>
      <c r="L914" s="2043">
        <v>1230745.6743739501</v>
      </c>
      <c r="M914">
        <v>599</v>
      </c>
      <c r="N914">
        <v>1</v>
      </c>
    </row>
    <row r="915" spans="1:14">
      <c r="A915" t="s">
        <v>2981</v>
      </c>
      <c r="B915" t="s">
        <v>2275</v>
      </c>
      <c r="C915" t="s">
        <v>1866</v>
      </c>
      <c r="D915" s="41">
        <v>9</v>
      </c>
      <c r="E915" s="41">
        <v>1798</v>
      </c>
      <c r="F915" s="41" t="s">
        <v>3857</v>
      </c>
      <c r="G915" s="41" t="s">
        <v>5394</v>
      </c>
      <c r="H915" s="2043">
        <v>9773773</v>
      </c>
      <c r="I915" s="2043">
        <v>9673225</v>
      </c>
      <c r="J915">
        <v>0.73268230928093703</v>
      </c>
      <c r="K915" s="2043">
        <v>7161070.5720276702</v>
      </c>
      <c r="L915" s="2043">
        <v>7161070.5720276702</v>
      </c>
      <c r="M915">
        <v>599</v>
      </c>
      <c r="N915">
        <v>1</v>
      </c>
    </row>
    <row r="916" spans="1:14">
      <c r="A916" t="s">
        <v>2981</v>
      </c>
      <c r="B916" t="s">
        <v>2275</v>
      </c>
      <c r="C916" t="s">
        <v>1866</v>
      </c>
      <c r="D916" s="41">
        <v>9</v>
      </c>
      <c r="E916" s="41">
        <v>1798</v>
      </c>
      <c r="F916" s="41" t="s">
        <v>3857</v>
      </c>
      <c r="G916" s="41" t="s">
        <v>8560</v>
      </c>
      <c r="H916" s="2043">
        <v>9773773</v>
      </c>
      <c r="I916" s="2043">
        <v>710190</v>
      </c>
      <c r="J916">
        <v>5.3792158171471101E-2</v>
      </c>
      <c r="K916" s="2043">
        <v>525752.34314805397</v>
      </c>
      <c r="L916" s="2043">
        <v>525752.34314805397</v>
      </c>
      <c r="M916">
        <v>599</v>
      </c>
      <c r="N916">
        <v>1</v>
      </c>
    </row>
    <row r="917" spans="1:14">
      <c r="A917" t="s">
        <v>2981</v>
      </c>
      <c r="B917" t="s">
        <v>2275</v>
      </c>
      <c r="C917" t="s">
        <v>1866</v>
      </c>
      <c r="D917" s="41">
        <v>9</v>
      </c>
      <c r="E917" s="41">
        <v>1798</v>
      </c>
      <c r="F917" s="41" t="s">
        <v>3857</v>
      </c>
      <c r="G917" s="41" t="s">
        <v>9333</v>
      </c>
      <c r="H917" s="2043">
        <v>9773773</v>
      </c>
      <c r="I917" s="2043">
        <v>1156567</v>
      </c>
      <c r="J917">
        <v>8.7602240245432603E-2</v>
      </c>
      <c r="K917" s="2043">
        <v>856204.41045032302</v>
      </c>
      <c r="L917" s="2043">
        <v>856204.41045032302</v>
      </c>
      <c r="M917">
        <v>599</v>
      </c>
      <c r="N917">
        <v>1</v>
      </c>
    </row>
    <row r="918" spans="1:14">
      <c r="A918" t="s">
        <v>2982</v>
      </c>
      <c r="B918" t="s">
        <v>730</v>
      </c>
      <c r="C918" t="s">
        <v>845</v>
      </c>
      <c r="D918" s="41">
        <v>2</v>
      </c>
      <c r="E918" s="41">
        <v>1807</v>
      </c>
      <c r="F918" s="41" t="s">
        <v>3858</v>
      </c>
      <c r="G918" s="41" t="s">
        <v>3858</v>
      </c>
      <c r="H918" s="2043">
        <v>665953</v>
      </c>
      <c r="I918" s="2043">
        <v>0</v>
      </c>
      <c r="J918">
        <v>0</v>
      </c>
      <c r="K918" s="2043">
        <v>0</v>
      </c>
      <c r="L918" s="2043">
        <v>0</v>
      </c>
      <c r="M918">
        <v>599</v>
      </c>
      <c r="N918">
        <v>0</v>
      </c>
    </row>
    <row r="919" spans="1:14">
      <c r="A919" t="s">
        <v>2982</v>
      </c>
      <c r="B919" t="s">
        <v>730</v>
      </c>
      <c r="C919" t="s">
        <v>845</v>
      </c>
      <c r="D919" s="41">
        <v>2</v>
      </c>
      <c r="E919" s="41">
        <v>1807</v>
      </c>
      <c r="F919" s="41" t="s">
        <v>3858</v>
      </c>
      <c r="G919" s="41" t="s">
        <v>3859</v>
      </c>
      <c r="H919" s="2043">
        <v>665953</v>
      </c>
      <c r="I919" s="2043">
        <v>0</v>
      </c>
      <c r="J919">
        <v>0</v>
      </c>
      <c r="K919" s="2043">
        <v>0</v>
      </c>
      <c r="L919" s="2043">
        <v>0</v>
      </c>
      <c r="M919">
        <v>599</v>
      </c>
      <c r="N919">
        <v>1</v>
      </c>
    </row>
    <row r="920" spans="1:14">
      <c r="A920" t="s">
        <v>2982</v>
      </c>
      <c r="B920" t="s">
        <v>730</v>
      </c>
      <c r="C920" t="s">
        <v>845</v>
      </c>
      <c r="D920" s="41">
        <v>2</v>
      </c>
      <c r="E920" s="41">
        <v>1807</v>
      </c>
      <c r="F920" s="41" t="s">
        <v>3858</v>
      </c>
      <c r="G920" s="41" t="s">
        <v>5575</v>
      </c>
      <c r="H920" s="2043">
        <v>665953</v>
      </c>
      <c r="I920" s="2043">
        <v>526850</v>
      </c>
      <c r="J920">
        <v>1</v>
      </c>
      <c r="K920" s="2043">
        <v>665953</v>
      </c>
      <c r="L920" s="2043">
        <v>526850</v>
      </c>
      <c r="M920">
        <v>599</v>
      </c>
      <c r="N920">
        <v>1</v>
      </c>
    </row>
    <row r="921" spans="1:14">
      <c r="A921" t="s">
        <v>2982</v>
      </c>
      <c r="B921" t="s">
        <v>730</v>
      </c>
      <c r="C921" t="s">
        <v>845</v>
      </c>
      <c r="D921" s="41">
        <v>8</v>
      </c>
      <c r="E921" s="41">
        <v>1806</v>
      </c>
      <c r="F921" s="41" t="s">
        <v>3860</v>
      </c>
      <c r="G921" s="41" t="s">
        <v>3860</v>
      </c>
      <c r="H921" s="2043">
        <v>601866</v>
      </c>
      <c r="I921" s="2043">
        <v>0</v>
      </c>
      <c r="J921">
        <v>0</v>
      </c>
      <c r="K921" s="2043">
        <v>0</v>
      </c>
      <c r="L921" s="2043">
        <v>0</v>
      </c>
      <c r="M921">
        <v>599</v>
      </c>
      <c r="N921">
        <v>1</v>
      </c>
    </row>
    <row r="922" spans="1:14">
      <c r="A922" t="s">
        <v>2982</v>
      </c>
      <c r="B922" t="s">
        <v>730</v>
      </c>
      <c r="C922" t="s">
        <v>845</v>
      </c>
      <c r="D922" s="41">
        <v>8</v>
      </c>
      <c r="E922" s="41">
        <v>1806</v>
      </c>
      <c r="F922" s="41" t="s">
        <v>3860</v>
      </c>
      <c r="G922" s="41" t="s">
        <v>5395</v>
      </c>
      <c r="H922" s="2043">
        <v>601866</v>
      </c>
      <c r="I922" s="2043">
        <v>593600</v>
      </c>
      <c r="J922">
        <v>1</v>
      </c>
      <c r="K922" s="2043">
        <v>601866</v>
      </c>
      <c r="L922" s="2043">
        <v>593600</v>
      </c>
      <c r="M922">
        <v>599</v>
      </c>
      <c r="N922">
        <v>1</v>
      </c>
    </row>
    <row r="923" spans="1:14">
      <c r="A923" t="s">
        <v>2982</v>
      </c>
      <c r="B923" t="s">
        <v>730</v>
      </c>
      <c r="C923" t="s">
        <v>845</v>
      </c>
      <c r="D923" s="41">
        <v>9</v>
      </c>
      <c r="E923" s="41">
        <v>1805</v>
      </c>
      <c r="F923" s="41" t="s">
        <v>3861</v>
      </c>
      <c r="G923" s="41" t="s">
        <v>3861</v>
      </c>
      <c r="H923" s="2043">
        <v>586545</v>
      </c>
      <c r="I923" s="2043">
        <v>0</v>
      </c>
      <c r="J923">
        <v>0</v>
      </c>
      <c r="K923" s="2043">
        <v>0</v>
      </c>
      <c r="L923" s="2043">
        <v>0</v>
      </c>
      <c r="M923">
        <v>599</v>
      </c>
      <c r="N923">
        <v>1</v>
      </c>
    </row>
    <row r="924" spans="1:14">
      <c r="A924" t="s">
        <v>2982</v>
      </c>
      <c r="B924" t="s">
        <v>730</v>
      </c>
      <c r="C924" t="s">
        <v>845</v>
      </c>
      <c r="D924" s="41">
        <v>9</v>
      </c>
      <c r="E924" s="41">
        <v>1805</v>
      </c>
      <c r="F924" s="41" t="s">
        <v>3861</v>
      </c>
      <c r="G924" s="41" t="s">
        <v>5574</v>
      </c>
      <c r="H924" s="2043">
        <v>586545</v>
      </c>
      <c r="I924" s="2043">
        <v>258650</v>
      </c>
      <c r="J924">
        <v>0.52116600945816105</v>
      </c>
      <c r="K924" s="2043">
        <v>305687.31701763702</v>
      </c>
      <c r="L924" s="2043">
        <v>258650</v>
      </c>
      <c r="M924">
        <v>599</v>
      </c>
      <c r="N924">
        <v>1</v>
      </c>
    </row>
    <row r="925" spans="1:14">
      <c r="A925" t="s">
        <v>2982</v>
      </c>
      <c r="B925" t="s">
        <v>730</v>
      </c>
      <c r="C925" t="s">
        <v>845</v>
      </c>
      <c r="D925" s="41">
        <v>9</v>
      </c>
      <c r="E925" s="41">
        <v>1805</v>
      </c>
      <c r="F925" s="41" t="s">
        <v>3861</v>
      </c>
      <c r="G925" s="41" t="s">
        <v>8627</v>
      </c>
      <c r="H925" s="2043">
        <v>586545</v>
      </c>
      <c r="I925" s="2043">
        <v>237641</v>
      </c>
      <c r="J925">
        <v>0.47883399054183901</v>
      </c>
      <c r="K925" s="2043">
        <v>280857.68298236298</v>
      </c>
      <c r="L925" s="2043">
        <v>237641</v>
      </c>
      <c r="M925">
        <v>599</v>
      </c>
      <c r="N925">
        <v>1</v>
      </c>
    </row>
    <row r="926" spans="1:14">
      <c r="A926" t="s">
        <v>3862</v>
      </c>
      <c r="B926" t="s">
        <v>173</v>
      </c>
      <c r="C926" t="s">
        <v>1918</v>
      </c>
      <c r="D926" s="41">
        <v>2</v>
      </c>
      <c r="E926" s="41">
        <v>2293</v>
      </c>
      <c r="F926" s="41" t="s">
        <v>3863</v>
      </c>
      <c r="G926" s="41" t="s">
        <v>3863</v>
      </c>
      <c r="H926" s="2043">
        <v>204473</v>
      </c>
      <c r="I926" s="2043">
        <v>0</v>
      </c>
      <c r="J926">
        <v>0</v>
      </c>
      <c r="L926" s="2043">
        <v>0</v>
      </c>
      <c r="M926">
        <v>199</v>
      </c>
      <c r="N926">
        <v>0</v>
      </c>
    </row>
    <row r="927" spans="1:14">
      <c r="A927" t="s">
        <v>3862</v>
      </c>
      <c r="B927" t="s">
        <v>173</v>
      </c>
      <c r="C927" t="s">
        <v>1918</v>
      </c>
      <c r="D927" s="41">
        <v>3</v>
      </c>
      <c r="E927" s="41">
        <v>2294</v>
      </c>
      <c r="F927" s="41" t="s">
        <v>3864</v>
      </c>
      <c r="G927" s="41" t="s">
        <v>3864</v>
      </c>
      <c r="H927" s="2043">
        <v>828370</v>
      </c>
      <c r="I927" s="2043">
        <v>0</v>
      </c>
      <c r="J927">
        <v>0</v>
      </c>
      <c r="L927" s="2043">
        <v>0</v>
      </c>
      <c r="M927">
        <v>199</v>
      </c>
      <c r="N927">
        <v>0</v>
      </c>
    </row>
    <row r="928" spans="1:14">
      <c r="A928" t="s">
        <v>3862</v>
      </c>
      <c r="B928" t="s">
        <v>173</v>
      </c>
      <c r="C928" t="s">
        <v>1918</v>
      </c>
      <c r="D928" s="41">
        <v>7</v>
      </c>
      <c r="E928" s="41">
        <v>2292</v>
      </c>
      <c r="F928" s="41" t="s">
        <v>3865</v>
      </c>
      <c r="G928" s="41" t="s">
        <v>3865</v>
      </c>
      <c r="H928" s="2043">
        <v>177544</v>
      </c>
      <c r="I928" s="2043">
        <v>0</v>
      </c>
      <c r="J928">
        <v>0</v>
      </c>
      <c r="L928" s="2043">
        <v>0</v>
      </c>
      <c r="M928">
        <v>199</v>
      </c>
      <c r="N928">
        <v>0</v>
      </c>
    </row>
    <row r="929" spans="1:14">
      <c r="A929" t="s">
        <v>3862</v>
      </c>
      <c r="B929" t="s">
        <v>173</v>
      </c>
      <c r="C929" t="s">
        <v>1918</v>
      </c>
      <c r="D929" s="41">
        <v>8</v>
      </c>
      <c r="E929" s="41">
        <v>2295</v>
      </c>
      <c r="F929" s="41" t="s">
        <v>3866</v>
      </c>
      <c r="G929" s="41" t="s">
        <v>3866</v>
      </c>
      <c r="H929" s="2043">
        <v>837604</v>
      </c>
      <c r="I929" s="2043">
        <v>834992</v>
      </c>
      <c r="J929">
        <v>1</v>
      </c>
      <c r="K929" s="2043">
        <v>837604</v>
      </c>
      <c r="L929" s="2043">
        <v>834992</v>
      </c>
      <c r="M929">
        <v>199</v>
      </c>
      <c r="N929">
        <v>0</v>
      </c>
    </row>
    <row r="930" spans="1:14">
      <c r="A930" t="s">
        <v>3867</v>
      </c>
      <c r="B930" t="s">
        <v>1115</v>
      </c>
      <c r="C930" t="s">
        <v>716</v>
      </c>
      <c r="D930" s="41">
        <v>3</v>
      </c>
      <c r="E930" s="41">
        <v>2469</v>
      </c>
      <c r="F930" s="41" t="s">
        <v>3868</v>
      </c>
      <c r="G930" s="41" t="s">
        <v>3868</v>
      </c>
      <c r="H930" s="2043">
        <v>5086781</v>
      </c>
      <c r="I930" s="2043">
        <v>0</v>
      </c>
      <c r="J930">
        <v>0</v>
      </c>
      <c r="K930" s="2043">
        <v>0</v>
      </c>
      <c r="L930" s="2043">
        <v>0</v>
      </c>
      <c r="M930">
        <v>199</v>
      </c>
      <c r="N930">
        <v>0</v>
      </c>
    </row>
    <row r="931" spans="1:14">
      <c r="A931" t="s">
        <v>3867</v>
      </c>
      <c r="B931" t="s">
        <v>1115</v>
      </c>
      <c r="C931" t="s">
        <v>716</v>
      </c>
      <c r="D931" s="41">
        <v>3</v>
      </c>
      <c r="E931" s="41">
        <v>2469</v>
      </c>
      <c r="F931" s="41" t="s">
        <v>3868</v>
      </c>
      <c r="G931" s="41" t="s">
        <v>3869</v>
      </c>
      <c r="H931" s="2043">
        <v>5086781</v>
      </c>
      <c r="I931" s="2043">
        <v>3537212</v>
      </c>
      <c r="J931">
        <v>1</v>
      </c>
      <c r="K931" s="2043">
        <v>5086781</v>
      </c>
      <c r="L931" s="2043">
        <v>3537212</v>
      </c>
      <c r="M931">
        <v>199</v>
      </c>
      <c r="N931">
        <v>0</v>
      </c>
    </row>
    <row r="932" spans="1:14">
      <c r="A932" t="s">
        <v>3867</v>
      </c>
      <c r="B932" t="s">
        <v>1115</v>
      </c>
      <c r="C932" t="s">
        <v>716</v>
      </c>
      <c r="D932" s="41">
        <v>11</v>
      </c>
      <c r="E932" s="41">
        <v>2489</v>
      </c>
      <c r="F932" s="41" t="s">
        <v>7166</v>
      </c>
      <c r="G932" s="41" t="s">
        <v>7166</v>
      </c>
      <c r="H932" s="2043">
        <v>9805840</v>
      </c>
      <c r="I932" s="2043">
        <v>0</v>
      </c>
      <c r="J932">
        <v>0</v>
      </c>
      <c r="K932" s="2043">
        <v>0</v>
      </c>
      <c r="L932" s="2043">
        <v>0</v>
      </c>
      <c r="M932">
        <v>599</v>
      </c>
      <c r="N932">
        <v>0</v>
      </c>
    </row>
    <row r="933" spans="1:14">
      <c r="A933" t="s">
        <v>3867</v>
      </c>
      <c r="B933" t="s">
        <v>1115</v>
      </c>
      <c r="C933" t="s">
        <v>716</v>
      </c>
      <c r="D933" s="41">
        <v>11</v>
      </c>
      <c r="E933" s="41">
        <v>2489</v>
      </c>
      <c r="F933" s="41" t="s">
        <v>7166</v>
      </c>
      <c r="G933" s="41" t="s">
        <v>9334</v>
      </c>
      <c r="H933" s="2043">
        <v>9805840</v>
      </c>
      <c r="I933" s="2043">
        <v>9053819</v>
      </c>
      <c r="J933">
        <v>1</v>
      </c>
      <c r="K933" s="2043">
        <v>9805840</v>
      </c>
      <c r="L933" s="2043">
        <v>9053819</v>
      </c>
      <c r="M933">
        <v>599</v>
      </c>
      <c r="N933">
        <v>0</v>
      </c>
    </row>
    <row r="934" spans="1:14">
      <c r="A934" t="s">
        <v>2983</v>
      </c>
      <c r="B934" t="s">
        <v>1979</v>
      </c>
      <c r="C934" t="s">
        <v>123</v>
      </c>
      <c r="D934" s="41">
        <v>2</v>
      </c>
      <c r="E934" s="41">
        <v>1580</v>
      </c>
      <c r="F934" s="41" t="s">
        <v>3870</v>
      </c>
      <c r="G934" s="41" t="s">
        <v>3870</v>
      </c>
      <c r="H934" s="2043">
        <v>199299</v>
      </c>
      <c r="I934" s="2043">
        <v>0</v>
      </c>
      <c r="J934">
        <v>0</v>
      </c>
      <c r="K934" s="2043">
        <v>0</v>
      </c>
      <c r="L934" s="2043">
        <v>0</v>
      </c>
      <c r="M934">
        <v>599</v>
      </c>
      <c r="N934">
        <v>0</v>
      </c>
    </row>
    <row r="935" spans="1:14">
      <c r="A935" t="s">
        <v>2983</v>
      </c>
      <c r="B935" t="s">
        <v>1979</v>
      </c>
      <c r="C935" t="s">
        <v>123</v>
      </c>
      <c r="D935" s="41">
        <v>2</v>
      </c>
      <c r="E935" s="41">
        <v>1580</v>
      </c>
      <c r="F935" s="41" t="s">
        <v>3870</v>
      </c>
      <c r="G935" s="41" t="s">
        <v>3871</v>
      </c>
      <c r="H935" s="2043">
        <v>199299</v>
      </c>
      <c r="I935" s="2043">
        <v>0</v>
      </c>
      <c r="J935">
        <v>0</v>
      </c>
      <c r="K935" s="2043">
        <v>0</v>
      </c>
      <c r="L935" s="2043">
        <v>0</v>
      </c>
      <c r="M935">
        <v>599</v>
      </c>
      <c r="N935">
        <v>1</v>
      </c>
    </row>
    <row r="936" spans="1:14">
      <c r="A936" t="s">
        <v>2983</v>
      </c>
      <c r="B936" t="s">
        <v>1979</v>
      </c>
      <c r="C936" t="s">
        <v>123</v>
      </c>
      <c r="D936" s="41">
        <v>2</v>
      </c>
      <c r="E936" s="41">
        <v>1580</v>
      </c>
      <c r="F936" s="41" t="s">
        <v>3870</v>
      </c>
      <c r="G936" s="41" t="s">
        <v>5576</v>
      </c>
      <c r="H936" s="2043">
        <v>199299</v>
      </c>
      <c r="I936" s="2043">
        <v>245200</v>
      </c>
      <c r="J936">
        <v>1</v>
      </c>
      <c r="K936" s="2043">
        <v>199299</v>
      </c>
      <c r="L936" s="2043">
        <v>199299</v>
      </c>
      <c r="M936">
        <v>599</v>
      </c>
      <c r="N936">
        <v>1</v>
      </c>
    </row>
    <row r="937" spans="1:14">
      <c r="A937" t="s">
        <v>2983</v>
      </c>
      <c r="B937" t="s">
        <v>1979</v>
      </c>
      <c r="C937" t="s">
        <v>123</v>
      </c>
      <c r="D937" s="41">
        <v>3</v>
      </c>
      <c r="E937" s="41">
        <v>1579</v>
      </c>
      <c r="F937" s="41" t="s">
        <v>3872</v>
      </c>
      <c r="G937" s="41" t="s">
        <v>3872</v>
      </c>
      <c r="H937" s="2043">
        <v>91971</v>
      </c>
      <c r="I937" s="2043">
        <v>0</v>
      </c>
      <c r="J937">
        <v>0</v>
      </c>
      <c r="L937" s="2043">
        <v>0</v>
      </c>
      <c r="M937">
        <v>199</v>
      </c>
      <c r="N937">
        <v>0</v>
      </c>
    </row>
    <row r="938" spans="1:14">
      <c r="A938" t="s">
        <v>2984</v>
      </c>
      <c r="B938" t="s">
        <v>1781</v>
      </c>
      <c r="C938" t="s">
        <v>612</v>
      </c>
      <c r="D938" s="41">
        <v>5</v>
      </c>
      <c r="E938" s="41">
        <v>1662</v>
      </c>
      <c r="F938" s="41" t="s">
        <v>3873</v>
      </c>
      <c r="G938" s="41" t="s">
        <v>3873</v>
      </c>
      <c r="H938" s="2043">
        <v>1070895</v>
      </c>
      <c r="I938" s="2043">
        <v>0</v>
      </c>
      <c r="J938">
        <v>0</v>
      </c>
      <c r="K938" s="2043">
        <v>0</v>
      </c>
      <c r="L938" s="2043">
        <v>0</v>
      </c>
      <c r="M938">
        <v>599</v>
      </c>
      <c r="N938">
        <v>0</v>
      </c>
    </row>
    <row r="939" spans="1:14">
      <c r="A939" t="s">
        <v>2984</v>
      </c>
      <c r="B939" t="s">
        <v>1781</v>
      </c>
      <c r="C939" t="s">
        <v>612</v>
      </c>
      <c r="D939" s="41">
        <v>5</v>
      </c>
      <c r="E939" s="41">
        <v>1662</v>
      </c>
      <c r="F939" s="41" t="s">
        <v>3873</v>
      </c>
      <c r="G939" s="41" t="s">
        <v>3874</v>
      </c>
      <c r="H939" s="2043">
        <v>1070895</v>
      </c>
      <c r="I939" s="2043">
        <v>0</v>
      </c>
      <c r="J939">
        <v>0</v>
      </c>
      <c r="K939" s="2043">
        <v>0</v>
      </c>
      <c r="L939" s="2043">
        <v>0</v>
      </c>
      <c r="M939">
        <v>599</v>
      </c>
      <c r="N939">
        <v>0</v>
      </c>
    </row>
    <row r="940" spans="1:14">
      <c r="A940" t="s">
        <v>2984</v>
      </c>
      <c r="B940" t="s">
        <v>1781</v>
      </c>
      <c r="C940" t="s">
        <v>612</v>
      </c>
      <c r="D940" s="41">
        <v>5</v>
      </c>
      <c r="E940" s="41">
        <v>1662</v>
      </c>
      <c r="F940" s="41" t="s">
        <v>3873</v>
      </c>
      <c r="G940" s="41" t="s">
        <v>3875</v>
      </c>
      <c r="H940" s="2043">
        <v>1070895</v>
      </c>
      <c r="I940" s="2043">
        <v>1523347</v>
      </c>
      <c r="J940">
        <v>0.73913146847446598</v>
      </c>
      <c r="K940" s="2043">
        <v>791532.19393196295</v>
      </c>
      <c r="L940" s="2043">
        <v>791532.19393196295</v>
      </c>
      <c r="M940">
        <v>599</v>
      </c>
      <c r="N940">
        <v>1</v>
      </c>
    </row>
    <row r="941" spans="1:14">
      <c r="A941" t="s">
        <v>2984</v>
      </c>
      <c r="B941" t="s">
        <v>1781</v>
      </c>
      <c r="C941" t="s">
        <v>612</v>
      </c>
      <c r="D941" s="41">
        <v>5</v>
      </c>
      <c r="E941" s="41">
        <v>1662</v>
      </c>
      <c r="F941" s="41" t="s">
        <v>3873</v>
      </c>
      <c r="G941" s="41" t="s">
        <v>3876</v>
      </c>
      <c r="H941" s="2043">
        <v>1070895</v>
      </c>
      <c r="I941" s="2043">
        <v>252614</v>
      </c>
      <c r="J941">
        <v>0.12256889387461201</v>
      </c>
      <c r="K941" s="2043">
        <v>131258.41560585299</v>
      </c>
      <c r="L941" s="2043">
        <v>131258.41560585299</v>
      </c>
      <c r="M941">
        <v>599</v>
      </c>
      <c r="N941">
        <v>1</v>
      </c>
    </row>
    <row r="942" spans="1:14">
      <c r="A942" t="s">
        <v>2984</v>
      </c>
      <c r="B942" t="s">
        <v>1781</v>
      </c>
      <c r="C942" t="s">
        <v>612</v>
      </c>
      <c r="D942" s="41">
        <v>5</v>
      </c>
      <c r="E942" s="41">
        <v>1662</v>
      </c>
      <c r="F942" s="41" t="s">
        <v>3873</v>
      </c>
      <c r="G942" s="41" t="s">
        <v>7167</v>
      </c>
      <c r="H942" s="2043">
        <v>1070895</v>
      </c>
      <c r="I942" s="2043">
        <v>34460</v>
      </c>
      <c r="J942">
        <v>1.6720071266513901E-2</v>
      </c>
      <c r="K942" s="2043">
        <v>17905.440718953399</v>
      </c>
      <c r="L942" s="2043">
        <v>17905.440718953399</v>
      </c>
      <c r="M942">
        <v>599</v>
      </c>
      <c r="N942">
        <v>1</v>
      </c>
    </row>
    <row r="943" spans="1:14">
      <c r="A943" t="s">
        <v>2984</v>
      </c>
      <c r="B943" t="s">
        <v>1781</v>
      </c>
      <c r="C943" t="s">
        <v>612</v>
      </c>
      <c r="D943" s="41">
        <v>5</v>
      </c>
      <c r="E943" s="41">
        <v>1662</v>
      </c>
      <c r="F943" s="41" t="s">
        <v>3873</v>
      </c>
      <c r="G943" s="41" t="s">
        <v>8628</v>
      </c>
      <c r="H943" s="2043">
        <v>1070895</v>
      </c>
      <c r="I943" s="2043">
        <v>250575</v>
      </c>
      <c r="J943">
        <v>0.12157956638440801</v>
      </c>
      <c r="K943" s="2043">
        <v>130198.949743231</v>
      </c>
      <c r="L943" s="2043">
        <v>130198.949743231</v>
      </c>
      <c r="M943">
        <v>599</v>
      </c>
      <c r="N943">
        <v>1</v>
      </c>
    </row>
    <row r="944" spans="1:14">
      <c r="A944" t="s">
        <v>2984</v>
      </c>
      <c r="B944" t="s">
        <v>1781</v>
      </c>
      <c r="C944" t="s">
        <v>612</v>
      </c>
      <c r="D944" s="41">
        <v>11</v>
      </c>
      <c r="E944" s="41">
        <v>2539</v>
      </c>
      <c r="F944" s="41" t="s">
        <v>3876</v>
      </c>
      <c r="G944" s="41" t="s">
        <v>3876</v>
      </c>
      <c r="H944" s="2043">
        <v>1193792</v>
      </c>
      <c r="I944" s="2043">
        <v>349997</v>
      </c>
      <c r="J944">
        <v>0.4206355978545</v>
      </c>
      <c r="K944" s="2043">
        <v>502151.41163391899</v>
      </c>
      <c r="L944" s="2043">
        <v>349997</v>
      </c>
      <c r="M944">
        <v>599</v>
      </c>
      <c r="N944">
        <v>1</v>
      </c>
    </row>
    <row r="945" spans="1:14">
      <c r="A945" t="s">
        <v>2984</v>
      </c>
      <c r="B945" t="s">
        <v>1781</v>
      </c>
      <c r="C945" t="s">
        <v>612</v>
      </c>
      <c r="D945" s="41">
        <v>11</v>
      </c>
      <c r="E945" s="41">
        <v>2539</v>
      </c>
      <c r="F945" s="41" t="s">
        <v>3876</v>
      </c>
      <c r="G945" s="41" t="s">
        <v>7167</v>
      </c>
      <c r="H945" s="2043">
        <v>1193792</v>
      </c>
      <c r="I945" s="2043">
        <v>202626</v>
      </c>
      <c r="J945">
        <v>0.243521254898944</v>
      </c>
      <c r="K945" s="2043">
        <v>290713.72592832102</v>
      </c>
      <c r="L945" s="2043">
        <v>202626</v>
      </c>
      <c r="M945">
        <v>599</v>
      </c>
      <c r="N945">
        <v>1</v>
      </c>
    </row>
    <row r="946" spans="1:14">
      <c r="A946" t="s">
        <v>2984</v>
      </c>
      <c r="B946" t="s">
        <v>1781</v>
      </c>
      <c r="C946" t="s">
        <v>612</v>
      </c>
      <c r="D946" s="41">
        <v>11</v>
      </c>
      <c r="E946" s="41">
        <v>2539</v>
      </c>
      <c r="F946" s="41" t="s">
        <v>3876</v>
      </c>
      <c r="G946" s="41" t="s">
        <v>8628</v>
      </c>
      <c r="H946" s="2043">
        <v>1193792</v>
      </c>
      <c r="I946" s="2043">
        <v>279444</v>
      </c>
      <c r="J946">
        <v>0.33584314724655601</v>
      </c>
      <c r="K946" s="2043">
        <v>400926.86243775999</v>
      </c>
      <c r="L946" s="2043">
        <v>279444</v>
      </c>
      <c r="M946">
        <v>599</v>
      </c>
      <c r="N946">
        <v>1</v>
      </c>
    </row>
    <row r="947" spans="1:14">
      <c r="A947" t="s">
        <v>2984</v>
      </c>
      <c r="B947" t="s">
        <v>1781</v>
      </c>
      <c r="C947" t="s">
        <v>612</v>
      </c>
      <c r="D947" s="41">
        <v>11</v>
      </c>
      <c r="E947" s="41">
        <v>2540</v>
      </c>
      <c r="F947" s="41" t="s">
        <v>7168</v>
      </c>
      <c r="G947" s="41" t="s">
        <v>7168</v>
      </c>
      <c r="H947" s="2043">
        <v>195054</v>
      </c>
      <c r="I947" s="2043">
        <v>0</v>
      </c>
      <c r="J947">
        <v>0</v>
      </c>
      <c r="K947" s="2043">
        <v>0</v>
      </c>
      <c r="L947" s="2043">
        <v>0</v>
      </c>
      <c r="M947">
        <v>599</v>
      </c>
      <c r="N947">
        <v>1</v>
      </c>
    </row>
    <row r="948" spans="1:14">
      <c r="A948" t="s">
        <v>2984</v>
      </c>
      <c r="B948" t="s">
        <v>1781</v>
      </c>
      <c r="C948" t="s">
        <v>612</v>
      </c>
      <c r="D948" s="41">
        <v>11</v>
      </c>
      <c r="E948" s="41">
        <v>2540</v>
      </c>
      <c r="F948" s="41" t="s">
        <v>7168</v>
      </c>
      <c r="G948" s="41" t="s">
        <v>9335</v>
      </c>
      <c r="H948" s="2043">
        <v>195054</v>
      </c>
      <c r="I948" s="2043">
        <v>720512</v>
      </c>
      <c r="J948">
        <v>1</v>
      </c>
      <c r="K948" s="2043">
        <v>195054</v>
      </c>
      <c r="L948" s="2043">
        <v>195054</v>
      </c>
      <c r="M948">
        <v>599</v>
      </c>
      <c r="N948">
        <v>1</v>
      </c>
    </row>
    <row r="949" spans="1:14">
      <c r="A949" t="s">
        <v>2985</v>
      </c>
      <c r="B949" t="s">
        <v>1428</v>
      </c>
      <c r="C949" t="s">
        <v>569</v>
      </c>
      <c r="D949" s="41">
        <v>1</v>
      </c>
      <c r="E949" s="41">
        <v>2396</v>
      </c>
      <c r="F949" s="41" t="s">
        <v>3877</v>
      </c>
      <c r="G949" s="41" t="s">
        <v>3877</v>
      </c>
      <c r="H949" s="2043">
        <v>44910</v>
      </c>
      <c r="I949" s="2043">
        <v>0</v>
      </c>
      <c r="J949">
        <v>0</v>
      </c>
      <c r="K949" s="2043">
        <v>0</v>
      </c>
      <c r="L949" s="2043">
        <v>0</v>
      </c>
      <c r="M949">
        <v>599</v>
      </c>
      <c r="N949">
        <v>0</v>
      </c>
    </row>
    <row r="950" spans="1:14">
      <c r="A950" t="s">
        <v>2985</v>
      </c>
      <c r="B950" t="s">
        <v>1428</v>
      </c>
      <c r="C950" t="s">
        <v>569</v>
      </c>
      <c r="D950" s="41">
        <v>1</v>
      </c>
      <c r="E950" s="41">
        <v>2396</v>
      </c>
      <c r="F950" s="41" t="s">
        <v>3877</v>
      </c>
      <c r="G950" s="41" t="s">
        <v>3878</v>
      </c>
      <c r="H950" s="2043">
        <v>44910</v>
      </c>
      <c r="I950" s="2043">
        <v>0</v>
      </c>
      <c r="J950">
        <v>0</v>
      </c>
      <c r="K950" s="2043">
        <v>0</v>
      </c>
      <c r="L950" s="2043">
        <v>0</v>
      </c>
      <c r="M950">
        <v>599</v>
      </c>
      <c r="N950">
        <v>1</v>
      </c>
    </row>
    <row r="951" spans="1:14">
      <c r="A951" t="s">
        <v>2985</v>
      </c>
      <c r="B951" t="s">
        <v>1428</v>
      </c>
      <c r="C951" t="s">
        <v>569</v>
      </c>
      <c r="D951" s="41">
        <v>1</v>
      </c>
      <c r="E951" s="41">
        <v>2396</v>
      </c>
      <c r="F951" s="41" t="s">
        <v>3877</v>
      </c>
      <c r="G951" s="41" t="s">
        <v>3879</v>
      </c>
      <c r="H951" s="2043">
        <v>44910</v>
      </c>
      <c r="I951" s="2043">
        <v>24468</v>
      </c>
      <c r="J951">
        <v>0.83731435220039696</v>
      </c>
      <c r="K951" s="2043">
        <v>37603.787557319803</v>
      </c>
      <c r="L951" s="2043">
        <v>24468</v>
      </c>
      <c r="M951">
        <v>599</v>
      </c>
      <c r="N951">
        <v>1</v>
      </c>
    </row>
    <row r="952" spans="1:14">
      <c r="A952" t="s">
        <v>2985</v>
      </c>
      <c r="B952" t="s">
        <v>1428</v>
      </c>
      <c r="C952" t="s">
        <v>569</v>
      </c>
      <c r="D952" s="41">
        <v>1</v>
      </c>
      <c r="E952" s="41">
        <v>2396</v>
      </c>
      <c r="F952" s="41" t="s">
        <v>3877</v>
      </c>
      <c r="G952" s="41" t="s">
        <v>9336</v>
      </c>
      <c r="H952" s="2043">
        <v>44910</v>
      </c>
      <c r="I952" s="2043">
        <v>4754</v>
      </c>
      <c r="J952">
        <v>0.16268564779960301</v>
      </c>
      <c r="K952" s="2043">
        <v>7306.2124426801702</v>
      </c>
      <c r="L952" s="2043">
        <v>4754</v>
      </c>
      <c r="M952">
        <v>599</v>
      </c>
      <c r="N952">
        <v>1</v>
      </c>
    </row>
    <row r="953" spans="1:14">
      <c r="A953" t="s">
        <v>2985</v>
      </c>
      <c r="B953" t="s">
        <v>1428</v>
      </c>
      <c r="C953" t="s">
        <v>569</v>
      </c>
      <c r="D953" s="41">
        <v>3</v>
      </c>
      <c r="E953" s="41">
        <v>2395</v>
      </c>
      <c r="F953" s="41" t="s">
        <v>3880</v>
      </c>
      <c r="G953" s="41" t="s">
        <v>3880</v>
      </c>
      <c r="H953" s="2043">
        <v>37010</v>
      </c>
      <c r="I953" s="2043">
        <v>0</v>
      </c>
      <c r="J953">
        <v>0</v>
      </c>
      <c r="K953" s="2043">
        <v>0</v>
      </c>
      <c r="L953" s="2043">
        <v>0</v>
      </c>
      <c r="M953">
        <v>599</v>
      </c>
      <c r="N953">
        <v>0</v>
      </c>
    </row>
    <row r="954" spans="1:14">
      <c r="A954" t="s">
        <v>2985</v>
      </c>
      <c r="B954" t="s">
        <v>1428</v>
      </c>
      <c r="C954" t="s">
        <v>569</v>
      </c>
      <c r="D954" s="41">
        <v>3</v>
      </c>
      <c r="E954" s="41">
        <v>2395</v>
      </c>
      <c r="F954" s="41" t="s">
        <v>3880</v>
      </c>
      <c r="G954" s="41" t="s">
        <v>3878</v>
      </c>
      <c r="H954" s="2043">
        <v>37010</v>
      </c>
      <c r="I954" s="2043">
        <v>0</v>
      </c>
      <c r="J954">
        <v>0</v>
      </c>
      <c r="K954" s="2043">
        <v>0</v>
      </c>
      <c r="L954" s="2043">
        <v>0</v>
      </c>
      <c r="M954">
        <v>599</v>
      </c>
      <c r="N954">
        <v>1</v>
      </c>
    </row>
    <row r="955" spans="1:14">
      <c r="A955" t="s">
        <v>2985</v>
      </c>
      <c r="B955" t="s">
        <v>1428</v>
      </c>
      <c r="C955" t="s">
        <v>569</v>
      </c>
      <c r="D955" s="41">
        <v>3</v>
      </c>
      <c r="E955" s="41">
        <v>2395</v>
      </c>
      <c r="F955" s="41" t="s">
        <v>3880</v>
      </c>
      <c r="G955" s="41" t="s">
        <v>3879</v>
      </c>
      <c r="H955" s="2043">
        <v>37010</v>
      </c>
      <c r="I955" s="2043">
        <v>22900</v>
      </c>
      <c r="J955">
        <v>0.83732494789571799</v>
      </c>
      <c r="K955" s="2043">
        <v>30989.396321620501</v>
      </c>
      <c r="L955" s="2043">
        <v>22900</v>
      </c>
      <c r="M955">
        <v>599</v>
      </c>
      <c r="N955">
        <v>1</v>
      </c>
    </row>
    <row r="956" spans="1:14">
      <c r="A956" t="s">
        <v>2985</v>
      </c>
      <c r="B956" t="s">
        <v>1428</v>
      </c>
      <c r="C956" t="s">
        <v>569</v>
      </c>
      <c r="D956" s="41">
        <v>3</v>
      </c>
      <c r="E956" s="41">
        <v>2395</v>
      </c>
      <c r="F956" s="41" t="s">
        <v>3880</v>
      </c>
      <c r="G956" s="41" t="s">
        <v>9336</v>
      </c>
      <c r="H956" s="2043">
        <v>37010</v>
      </c>
      <c r="I956" s="2043">
        <v>4449</v>
      </c>
      <c r="J956">
        <v>0.16267505210428199</v>
      </c>
      <c r="K956" s="2043">
        <v>6020.6036783794698</v>
      </c>
      <c r="L956" s="2043">
        <v>4449</v>
      </c>
      <c r="M956">
        <v>599</v>
      </c>
      <c r="N956">
        <v>1</v>
      </c>
    </row>
    <row r="957" spans="1:14">
      <c r="A957" t="s">
        <v>2985</v>
      </c>
      <c r="B957" t="s">
        <v>1428</v>
      </c>
      <c r="C957" t="s">
        <v>569</v>
      </c>
      <c r="D957" s="41">
        <v>4</v>
      </c>
      <c r="E957" s="41">
        <v>2397</v>
      </c>
      <c r="F957" s="41" t="s">
        <v>3881</v>
      </c>
      <c r="G957" s="41" t="s">
        <v>3881</v>
      </c>
      <c r="H957" s="2043">
        <v>170176</v>
      </c>
      <c r="I957" s="2043">
        <v>0</v>
      </c>
      <c r="J957">
        <v>0</v>
      </c>
      <c r="K957" s="2043">
        <v>0</v>
      </c>
      <c r="L957" s="2043">
        <v>0</v>
      </c>
      <c r="M957">
        <v>599</v>
      </c>
      <c r="N957">
        <v>0</v>
      </c>
    </row>
    <row r="958" spans="1:14">
      <c r="A958" t="s">
        <v>2985</v>
      </c>
      <c r="B958" t="s">
        <v>1428</v>
      </c>
      <c r="C958" t="s">
        <v>569</v>
      </c>
      <c r="D958" s="41">
        <v>4</v>
      </c>
      <c r="E958" s="41">
        <v>2397</v>
      </c>
      <c r="F958" s="41" t="s">
        <v>3881</v>
      </c>
      <c r="G958" s="41" t="s">
        <v>3878</v>
      </c>
      <c r="H958" s="2043">
        <v>170176</v>
      </c>
      <c r="I958" s="2043">
        <v>0</v>
      </c>
      <c r="J958">
        <v>0</v>
      </c>
      <c r="K958" s="2043">
        <v>0</v>
      </c>
      <c r="L958" s="2043">
        <v>0</v>
      </c>
      <c r="M958">
        <v>599</v>
      </c>
      <c r="N958">
        <v>1</v>
      </c>
    </row>
    <row r="959" spans="1:14">
      <c r="A959" t="s">
        <v>2985</v>
      </c>
      <c r="B959" t="s">
        <v>1428</v>
      </c>
      <c r="C959" t="s">
        <v>569</v>
      </c>
      <c r="D959" s="41">
        <v>4</v>
      </c>
      <c r="E959" s="41">
        <v>2397</v>
      </c>
      <c r="F959" s="41" t="s">
        <v>3881</v>
      </c>
      <c r="G959" s="41" t="s">
        <v>3879</v>
      </c>
      <c r="H959" s="2043">
        <v>170176</v>
      </c>
      <c r="I959" s="2043">
        <v>130184</v>
      </c>
      <c r="J959">
        <v>0.83731460399542101</v>
      </c>
      <c r="K959" s="2043">
        <v>142490.850049525</v>
      </c>
      <c r="L959" s="2043">
        <v>130184</v>
      </c>
      <c r="M959">
        <v>599</v>
      </c>
      <c r="N959">
        <v>1</v>
      </c>
    </row>
    <row r="960" spans="1:14">
      <c r="A960" t="s">
        <v>2985</v>
      </c>
      <c r="B960" t="s">
        <v>1428</v>
      </c>
      <c r="C960" t="s">
        <v>569</v>
      </c>
      <c r="D960" s="41">
        <v>4</v>
      </c>
      <c r="E960" s="41">
        <v>2397</v>
      </c>
      <c r="F960" s="41" t="s">
        <v>3881</v>
      </c>
      <c r="G960" s="41" t="s">
        <v>9336</v>
      </c>
      <c r="H960" s="2043">
        <v>170176</v>
      </c>
      <c r="I960" s="2043">
        <v>25294</v>
      </c>
      <c r="J960">
        <v>0.16268539600457901</v>
      </c>
      <c r="K960" s="2043">
        <v>27685.149950475301</v>
      </c>
      <c r="L960" s="2043">
        <v>25294</v>
      </c>
      <c r="M960">
        <v>599</v>
      </c>
      <c r="N960">
        <v>1</v>
      </c>
    </row>
    <row r="961" spans="1:14">
      <c r="A961" t="s">
        <v>2985</v>
      </c>
      <c r="B961" t="s">
        <v>1428</v>
      </c>
      <c r="C961" t="s">
        <v>569</v>
      </c>
      <c r="D961" s="41">
        <v>5</v>
      </c>
      <c r="E961" s="41">
        <v>2398</v>
      </c>
      <c r="F961" s="41" t="s">
        <v>3882</v>
      </c>
      <c r="G961" s="41" t="s">
        <v>3882</v>
      </c>
      <c r="H961" s="2043">
        <v>229390</v>
      </c>
      <c r="I961" s="2043">
        <v>0</v>
      </c>
      <c r="J961">
        <v>0</v>
      </c>
      <c r="K961" s="2043">
        <v>0</v>
      </c>
      <c r="L961" s="2043">
        <v>0</v>
      </c>
      <c r="M961">
        <v>599</v>
      </c>
      <c r="N961">
        <v>0</v>
      </c>
    </row>
    <row r="962" spans="1:14">
      <c r="A962" t="s">
        <v>2985</v>
      </c>
      <c r="B962" t="s">
        <v>1428</v>
      </c>
      <c r="C962" t="s">
        <v>569</v>
      </c>
      <c r="D962" s="41">
        <v>5</v>
      </c>
      <c r="E962" s="41">
        <v>2398</v>
      </c>
      <c r="F962" s="41" t="s">
        <v>3882</v>
      </c>
      <c r="G962" s="41" t="s">
        <v>3883</v>
      </c>
      <c r="H962" s="2043">
        <v>229390</v>
      </c>
      <c r="I962" s="2043">
        <v>0</v>
      </c>
      <c r="J962">
        <v>0</v>
      </c>
      <c r="K962" s="2043">
        <v>0</v>
      </c>
      <c r="L962" s="2043">
        <v>0</v>
      </c>
      <c r="M962">
        <v>599</v>
      </c>
      <c r="N962">
        <v>1</v>
      </c>
    </row>
    <row r="963" spans="1:14">
      <c r="A963" t="s">
        <v>2985</v>
      </c>
      <c r="B963" t="s">
        <v>1428</v>
      </c>
      <c r="C963" t="s">
        <v>569</v>
      </c>
      <c r="D963" s="41">
        <v>5</v>
      </c>
      <c r="E963" s="41">
        <v>2398</v>
      </c>
      <c r="F963" s="41" t="s">
        <v>3882</v>
      </c>
      <c r="G963" s="41" t="s">
        <v>5577</v>
      </c>
      <c r="H963" s="2043">
        <v>229390</v>
      </c>
      <c r="I963" s="2043">
        <v>195225</v>
      </c>
      <c r="J963">
        <v>1</v>
      </c>
      <c r="K963" s="2043">
        <v>229390</v>
      </c>
      <c r="L963" s="2043">
        <v>195225</v>
      </c>
      <c r="M963">
        <v>599</v>
      </c>
      <c r="N963">
        <v>1</v>
      </c>
    </row>
    <row r="964" spans="1:14">
      <c r="A964" t="s">
        <v>2985</v>
      </c>
      <c r="B964" t="s">
        <v>1428</v>
      </c>
      <c r="C964" t="s">
        <v>569</v>
      </c>
      <c r="D964" s="41">
        <v>8</v>
      </c>
      <c r="E964" s="41">
        <v>2399</v>
      </c>
      <c r="F964" s="41" t="s">
        <v>3884</v>
      </c>
      <c r="G964" s="41" t="s">
        <v>3884</v>
      </c>
      <c r="H964" s="2043">
        <v>317310</v>
      </c>
      <c r="I964" s="2043">
        <v>0</v>
      </c>
      <c r="J964">
        <v>0</v>
      </c>
      <c r="K964" s="2043">
        <v>0</v>
      </c>
      <c r="L964" s="2043">
        <v>0</v>
      </c>
      <c r="M964">
        <v>599</v>
      </c>
      <c r="N964">
        <v>1</v>
      </c>
    </row>
    <row r="965" spans="1:14">
      <c r="A965" t="s">
        <v>2985</v>
      </c>
      <c r="B965" t="s">
        <v>1428</v>
      </c>
      <c r="C965" t="s">
        <v>569</v>
      </c>
      <c r="D965" s="41">
        <v>8</v>
      </c>
      <c r="E965" s="41">
        <v>2399</v>
      </c>
      <c r="F965" s="41" t="s">
        <v>3884</v>
      </c>
      <c r="G965" s="41" t="s">
        <v>3885</v>
      </c>
      <c r="H965" s="2043">
        <v>317310</v>
      </c>
      <c r="I965" s="2043">
        <v>215450</v>
      </c>
      <c r="J965">
        <v>0.724152998117774</v>
      </c>
      <c r="K965" s="2043">
        <v>229780.98783275101</v>
      </c>
      <c r="L965" s="2043">
        <v>215450</v>
      </c>
      <c r="M965">
        <v>599</v>
      </c>
      <c r="N965">
        <v>1</v>
      </c>
    </row>
    <row r="966" spans="1:14">
      <c r="A966" t="s">
        <v>2985</v>
      </c>
      <c r="B966" t="s">
        <v>1428</v>
      </c>
      <c r="C966" t="s">
        <v>569</v>
      </c>
      <c r="D966" s="41">
        <v>8</v>
      </c>
      <c r="E966" s="41">
        <v>2399</v>
      </c>
      <c r="F966" s="41" t="s">
        <v>3884</v>
      </c>
      <c r="G966" s="41" t="s">
        <v>9337</v>
      </c>
      <c r="H966" s="2043">
        <v>317310</v>
      </c>
      <c r="I966" s="2043">
        <v>82070</v>
      </c>
      <c r="J966">
        <v>0.275847001882226</v>
      </c>
      <c r="K966" s="2043">
        <v>87529.012167249297</v>
      </c>
      <c r="L966" s="2043">
        <v>82070</v>
      </c>
      <c r="M966">
        <v>599</v>
      </c>
      <c r="N966">
        <v>1</v>
      </c>
    </row>
    <row r="967" spans="1:14">
      <c r="A967" t="s">
        <v>2985</v>
      </c>
      <c r="B967" t="s">
        <v>1428</v>
      </c>
      <c r="C967" t="s">
        <v>569</v>
      </c>
      <c r="D967" s="41">
        <v>11</v>
      </c>
      <c r="E967" s="41">
        <v>2475</v>
      </c>
      <c r="F967" s="41" t="s">
        <v>7169</v>
      </c>
      <c r="G967" s="41" t="s">
        <v>7169</v>
      </c>
      <c r="H967" s="2043">
        <v>147078</v>
      </c>
      <c r="I967" s="2043">
        <v>197680</v>
      </c>
      <c r="J967">
        <v>1</v>
      </c>
      <c r="K967" s="2043">
        <v>147078</v>
      </c>
      <c r="L967" s="2043">
        <v>147078</v>
      </c>
      <c r="M967">
        <v>599</v>
      </c>
      <c r="N967">
        <v>0</v>
      </c>
    </row>
    <row r="968" spans="1:14">
      <c r="A968" t="s">
        <v>2986</v>
      </c>
      <c r="B968" t="s">
        <v>1081</v>
      </c>
      <c r="C968" t="s">
        <v>1823</v>
      </c>
      <c r="D968" s="41">
        <v>2</v>
      </c>
      <c r="E968" s="41">
        <v>2346</v>
      </c>
      <c r="F968" s="41" t="s">
        <v>3886</v>
      </c>
      <c r="G968" s="41" t="s">
        <v>3886</v>
      </c>
      <c r="H968" s="2043">
        <v>1524945</v>
      </c>
      <c r="I968" s="2043">
        <v>0</v>
      </c>
      <c r="J968">
        <v>0</v>
      </c>
      <c r="K968" s="2043">
        <v>0</v>
      </c>
      <c r="L968" s="2043">
        <v>0</v>
      </c>
      <c r="M968">
        <v>599</v>
      </c>
      <c r="N968">
        <v>0</v>
      </c>
    </row>
    <row r="969" spans="1:14">
      <c r="A969" t="s">
        <v>2986</v>
      </c>
      <c r="B969" t="s">
        <v>1081</v>
      </c>
      <c r="C969" t="s">
        <v>1823</v>
      </c>
      <c r="D969" s="41">
        <v>2</v>
      </c>
      <c r="E969" s="41">
        <v>2346</v>
      </c>
      <c r="F969" s="41" t="s">
        <v>3886</v>
      </c>
      <c r="G969" s="41" t="s">
        <v>3887</v>
      </c>
      <c r="H969" s="2043">
        <v>1524945</v>
      </c>
      <c r="I969" s="2043">
        <v>0</v>
      </c>
      <c r="J969">
        <v>0</v>
      </c>
      <c r="K969" s="2043">
        <v>0</v>
      </c>
      <c r="L969" s="2043">
        <v>0</v>
      </c>
      <c r="M969">
        <v>599</v>
      </c>
      <c r="N969">
        <v>0</v>
      </c>
    </row>
    <row r="970" spans="1:14">
      <c r="A970" t="s">
        <v>2986</v>
      </c>
      <c r="B970" t="s">
        <v>1081</v>
      </c>
      <c r="C970" t="s">
        <v>1823</v>
      </c>
      <c r="D970" s="41">
        <v>2</v>
      </c>
      <c r="E970" s="41">
        <v>2346</v>
      </c>
      <c r="F970" s="41" t="s">
        <v>3886</v>
      </c>
      <c r="G970" s="41" t="s">
        <v>3888</v>
      </c>
      <c r="H970" s="2043">
        <v>1524945</v>
      </c>
      <c r="I970" s="2043">
        <v>404715</v>
      </c>
      <c r="J970">
        <v>0.25120913580308202</v>
      </c>
      <c r="K970" s="2043">
        <v>383080.11559723102</v>
      </c>
      <c r="L970" s="2043">
        <v>383080.11559723102</v>
      </c>
      <c r="M970">
        <v>599</v>
      </c>
      <c r="N970">
        <v>1</v>
      </c>
    </row>
    <row r="971" spans="1:14">
      <c r="A971" t="s">
        <v>2986</v>
      </c>
      <c r="B971" t="s">
        <v>1081</v>
      </c>
      <c r="C971" t="s">
        <v>1823</v>
      </c>
      <c r="D971" s="41">
        <v>2</v>
      </c>
      <c r="E971" s="41">
        <v>2346</v>
      </c>
      <c r="F971" s="41" t="s">
        <v>3886</v>
      </c>
      <c r="G971" s="41" t="s">
        <v>3889</v>
      </c>
      <c r="H971" s="2043">
        <v>1524945</v>
      </c>
      <c r="I971" s="2043">
        <v>363602</v>
      </c>
      <c r="J971">
        <v>0.22569003915415101</v>
      </c>
      <c r="K971" s="2043">
        <v>344164.89675792702</v>
      </c>
      <c r="L971" s="2043">
        <v>344164.89675792702</v>
      </c>
      <c r="M971">
        <v>599</v>
      </c>
      <c r="N971">
        <v>1</v>
      </c>
    </row>
    <row r="972" spans="1:14">
      <c r="A972" t="s">
        <v>2986</v>
      </c>
      <c r="B972" t="s">
        <v>1081</v>
      </c>
      <c r="C972" t="s">
        <v>1823</v>
      </c>
      <c r="D972" s="41">
        <v>2</v>
      </c>
      <c r="E972" s="41">
        <v>2346</v>
      </c>
      <c r="F972" s="41" t="s">
        <v>3886</v>
      </c>
      <c r="G972" s="41" t="s">
        <v>5396</v>
      </c>
      <c r="H972" s="2043">
        <v>1524945</v>
      </c>
      <c r="I972" s="2043">
        <v>41113</v>
      </c>
      <c r="J972">
        <v>2.5519096648931001E-2</v>
      </c>
      <c r="K972" s="2043">
        <v>38915.2188393041</v>
      </c>
      <c r="L972" s="2043">
        <v>38915.2188393041</v>
      </c>
      <c r="M972">
        <v>599</v>
      </c>
      <c r="N972">
        <v>1</v>
      </c>
    </row>
    <row r="973" spans="1:14">
      <c r="A973" t="s">
        <v>2986</v>
      </c>
      <c r="B973" t="s">
        <v>1081</v>
      </c>
      <c r="C973" t="s">
        <v>1823</v>
      </c>
      <c r="D973" s="41">
        <v>2</v>
      </c>
      <c r="E973" s="41">
        <v>2346</v>
      </c>
      <c r="F973" s="41" t="s">
        <v>3886</v>
      </c>
      <c r="G973" s="41" t="s">
        <v>5578</v>
      </c>
      <c r="H973" s="2043">
        <v>1524945</v>
      </c>
      <c r="I973" s="2043">
        <v>801638</v>
      </c>
      <c r="J973">
        <v>0.49758172839383602</v>
      </c>
      <c r="K973" s="2043">
        <v>758784.76880553795</v>
      </c>
      <c r="L973" s="2043">
        <v>758784.76880553795</v>
      </c>
      <c r="M973">
        <v>599</v>
      </c>
      <c r="N973">
        <v>1</v>
      </c>
    </row>
    <row r="974" spans="1:14">
      <c r="A974" t="s">
        <v>2986</v>
      </c>
      <c r="B974" t="s">
        <v>1081</v>
      </c>
      <c r="C974" t="s">
        <v>1823</v>
      </c>
      <c r="D974" s="41">
        <v>4</v>
      </c>
      <c r="E974" s="41">
        <v>2347</v>
      </c>
      <c r="F974" s="41" t="s">
        <v>3890</v>
      </c>
      <c r="G974" s="41" t="s">
        <v>3890</v>
      </c>
      <c r="H974" s="2043">
        <v>1767522</v>
      </c>
      <c r="I974" s="2043">
        <v>0</v>
      </c>
      <c r="J974">
        <v>0</v>
      </c>
      <c r="K974" s="2043">
        <v>0</v>
      </c>
      <c r="L974" s="2043">
        <v>0</v>
      </c>
      <c r="M974">
        <v>599</v>
      </c>
      <c r="N974">
        <v>1</v>
      </c>
    </row>
    <row r="975" spans="1:14">
      <c r="A975" t="s">
        <v>2986</v>
      </c>
      <c r="B975" t="s">
        <v>1081</v>
      </c>
      <c r="C975" t="s">
        <v>1823</v>
      </c>
      <c r="D975" s="41">
        <v>4</v>
      </c>
      <c r="E975" s="41">
        <v>2347</v>
      </c>
      <c r="F975" s="41" t="s">
        <v>3890</v>
      </c>
      <c r="G975" s="41" t="s">
        <v>3887</v>
      </c>
      <c r="H975" s="2043">
        <v>1767522</v>
      </c>
      <c r="I975" s="2043">
        <v>0</v>
      </c>
      <c r="J975">
        <v>0</v>
      </c>
      <c r="K975" s="2043">
        <v>0</v>
      </c>
      <c r="L975" s="2043">
        <v>0</v>
      </c>
      <c r="M975">
        <v>599</v>
      </c>
      <c r="N975">
        <v>0</v>
      </c>
    </row>
    <row r="976" spans="1:14">
      <c r="A976" t="s">
        <v>2986</v>
      </c>
      <c r="B976" t="s">
        <v>1081</v>
      </c>
      <c r="C976" t="s">
        <v>1823</v>
      </c>
      <c r="D976" s="41">
        <v>4</v>
      </c>
      <c r="E976" s="41">
        <v>2347</v>
      </c>
      <c r="F976" s="41" t="s">
        <v>3890</v>
      </c>
      <c r="G976" s="41" t="s">
        <v>3891</v>
      </c>
      <c r="H976" s="2043">
        <v>1767522</v>
      </c>
      <c r="I976" s="2043">
        <v>0</v>
      </c>
      <c r="J976">
        <v>0</v>
      </c>
      <c r="K976" s="2043">
        <v>0</v>
      </c>
      <c r="L976" s="2043">
        <v>0</v>
      </c>
      <c r="M976">
        <v>599</v>
      </c>
      <c r="N976">
        <v>1</v>
      </c>
    </row>
    <row r="977" spans="1:14">
      <c r="A977" t="s">
        <v>2986</v>
      </c>
      <c r="B977" t="s">
        <v>1081</v>
      </c>
      <c r="C977" t="s">
        <v>1823</v>
      </c>
      <c r="D977" s="41">
        <v>4</v>
      </c>
      <c r="E977" s="41">
        <v>2347</v>
      </c>
      <c r="F977" s="41" t="s">
        <v>3890</v>
      </c>
      <c r="G977" s="41" t="s">
        <v>3889</v>
      </c>
      <c r="H977" s="2043">
        <v>1767522</v>
      </c>
      <c r="I977" s="2043">
        <v>1459311</v>
      </c>
      <c r="J977">
        <v>0.87200718490739204</v>
      </c>
      <c r="K977" s="2043">
        <v>1541291.88348188</v>
      </c>
      <c r="L977" s="2043">
        <v>1459311</v>
      </c>
      <c r="M977">
        <v>599</v>
      </c>
      <c r="N977">
        <v>1</v>
      </c>
    </row>
    <row r="978" spans="1:14">
      <c r="A978" t="s">
        <v>2986</v>
      </c>
      <c r="B978" t="s">
        <v>1081</v>
      </c>
      <c r="C978" t="s">
        <v>1823</v>
      </c>
      <c r="D978" s="41">
        <v>4</v>
      </c>
      <c r="E978" s="41">
        <v>2347</v>
      </c>
      <c r="F978" s="41" t="s">
        <v>3890</v>
      </c>
      <c r="G978" s="41" t="s">
        <v>5396</v>
      </c>
      <c r="H978" s="2043">
        <v>1767522</v>
      </c>
      <c r="I978" s="2043">
        <v>165006</v>
      </c>
      <c r="J978">
        <v>9.8598871352870696E-2</v>
      </c>
      <c r="K978" s="2043">
        <v>174275.67429136901</v>
      </c>
      <c r="L978" s="2043">
        <v>165006</v>
      </c>
      <c r="M978">
        <v>599</v>
      </c>
      <c r="N978">
        <v>1</v>
      </c>
    </row>
    <row r="979" spans="1:14">
      <c r="A979" t="s">
        <v>2986</v>
      </c>
      <c r="B979" t="s">
        <v>1081</v>
      </c>
      <c r="C979" t="s">
        <v>1823</v>
      </c>
      <c r="D979" s="41">
        <v>4</v>
      </c>
      <c r="E979" s="41">
        <v>2347</v>
      </c>
      <c r="F979" s="41" t="s">
        <v>3890</v>
      </c>
      <c r="G979" s="41" t="s">
        <v>7328</v>
      </c>
      <c r="H979" s="2043">
        <v>1767522</v>
      </c>
      <c r="I979" s="2043">
        <v>49191</v>
      </c>
      <c r="J979">
        <v>2.93939437397371E-2</v>
      </c>
      <c r="K979" s="2043">
        <v>51954.442226747597</v>
      </c>
      <c r="L979" s="2043">
        <v>49191</v>
      </c>
      <c r="M979">
        <v>599</v>
      </c>
      <c r="N979">
        <v>1</v>
      </c>
    </row>
    <row r="980" spans="1:14">
      <c r="A980" t="s">
        <v>2986</v>
      </c>
      <c r="B980" t="s">
        <v>1081</v>
      </c>
      <c r="C980" t="s">
        <v>1823</v>
      </c>
      <c r="D980" s="41">
        <v>4</v>
      </c>
      <c r="E980" s="41">
        <v>2349</v>
      </c>
      <c r="F980" s="41" t="s">
        <v>3892</v>
      </c>
      <c r="G980" s="41" t="s">
        <v>3892</v>
      </c>
      <c r="H980" s="2043">
        <v>3395093</v>
      </c>
      <c r="I980" s="2043">
        <v>0</v>
      </c>
      <c r="J980">
        <v>0</v>
      </c>
      <c r="K980" s="2043">
        <v>0</v>
      </c>
      <c r="L980" s="2043">
        <v>0</v>
      </c>
      <c r="M980">
        <v>599</v>
      </c>
      <c r="N980">
        <v>0</v>
      </c>
    </row>
    <row r="981" spans="1:14">
      <c r="A981" t="s">
        <v>2986</v>
      </c>
      <c r="B981" t="s">
        <v>1081</v>
      </c>
      <c r="C981" t="s">
        <v>1823</v>
      </c>
      <c r="D981" s="41">
        <v>4</v>
      </c>
      <c r="E981" s="41">
        <v>2349</v>
      </c>
      <c r="F981" s="41" t="s">
        <v>3892</v>
      </c>
      <c r="G981" s="41" t="s">
        <v>3887</v>
      </c>
      <c r="H981" s="2043">
        <v>3395093</v>
      </c>
      <c r="I981" s="2043">
        <v>0</v>
      </c>
      <c r="J981">
        <v>0</v>
      </c>
      <c r="K981" s="2043">
        <v>0</v>
      </c>
      <c r="L981" s="2043">
        <v>0</v>
      </c>
      <c r="M981">
        <v>599</v>
      </c>
      <c r="N981">
        <v>0</v>
      </c>
    </row>
    <row r="982" spans="1:14">
      <c r="A982" t="s">
        <v>2986</v>
      </c>
      <c r="B982" t="s">
        <v>1081</v>
      </c>
      <c r="C982" t="s">
        <v>1823</v>
      </c>
      <c r="D982" s="41">
        <v>4</v>
      </c>
      <c r="E982" s="41">
        <v>2349</v>
      </c>
      <c r="F982" s="41" t="s">
        <v>3892</v>
      </c>
      <c r="G982" s="41" t="s">
        <v>3888</v>
      </c>
      <c r="H982" s="2043">
        <v>3395093</v>
      </c>
      <c r="I982" s="2043">
        <v>0</v>
      </c>
      <c r="J982">
        <v>0</v>
      </c>
      <c r="K982" s="2043">
        <v>0</v>
      </c>
      <c r="L982" s="2043">
        <v>0</v>
      </c>
      <c r="M982">
        <v>599</v>
      </c>
      <c r="N982">
        <v>1</v>
      </c>
    </row>
    <row r="983" spans="1:14">
      <c r="A983" t="s">
        <v>2986</v>
      </c>
      <c r="B983" t="s">
        <v>1081</v>
      </c>
      <c r="C983" t="s">
        <v>1823</v>
      </c>
      <c r="D983" s="41">
        <v>4</v>
      </c>
      <c r="E983" s="41">
        <v>2349</v>
      </c>
      <c r="F983" s="41" t="s">
        <v>3892</v>
      </c>
      <c r="G983" s="41" t="s">
        <v>3889</v>
      </c>
      <c r="H983" s="2043">
        <v>3395093</v>
      </c>
      <c r="I983" s="2043">
        <v>2690589</v>
      </c>
      <c r="J983">
        <v>0.89841516192809101</v>
      </c>
      <c r="K983" s="2043">
        <v>3050203.0273559298</v>
      </c>
      <c r="L983" s="2043">
        <v>2690589</v>
      </c>
      <c r="M983">
        <v>599</v>
      </c>
      <c r="N983">
        <v>1</v>
      </c>
    </row>
    <row r="984" spans="1:14">
      <c r="A984" t="s">
        <v>2986</v>
      </c>
      <c r="B984" t="s">
        <v>1081</v>
      </c>
      <c r="C984" t="s">
        <v>1823</v>
      </c>
      <c r="D984" s="41">
        <v>4</v>
      </c>
      <c r="E984" s="41">
        <v>2349</v>
      </c>
      <c r="F984" s="41" t="s">
        <v>3892</v>
      </c>
      <c r="G984" s="41" t="s">
        <v>5396</v>
      </c>
      <c r="H984" s="2043">
        <v>3395093</v>
      </c>
      <c r="I984" s="2043">
        <v>304228</v>
      </c>
      <c r="J984">
        <v>0.101584838071909</v>
      </c>
      <c r="K984" s="2043">
        <v>344889.97264407098</v>
      </c>
      <c r="L984" s="2043">
        <v>304228</v>
      </c>
      <c r="M984">
        <v>599</v>
      </c>
      <c r="N984">
        <v>1</v>
      </c>
    </row>
    <row r="985" spans="1:14">
      <c r="A985" t="s">
        <v>2986</v>
      </c>
      <c r="B985" t="s">
        <v>1081</v>
      </c>
      <c r="C985" t="s">
        <v>1823</v>
      </c>
      <c r="D985" s="41">
        <v>4</v>
      </c>
      <c r="E985" s="41">
        <v>2349</v>
      </c>
      <c r="F985" s="41" t="s">
        <v>3892</v>
      </c>
      <c r="G985" s="41" t="s">
        <v>5578</v>
      </c>
      <c r="H985" s="2043">
        <v>3395093</v>
      </c>
      <c r="I985" s="2043">
        <v>0</v>
      </c>
      <c r="J985">
        <v>0</v>
      </c>
      <c r="K985" s="2043">
        <v>0</v>
      </c>
      <c r="L985" s="2043">
        <v>0</v>
      </c>
      <c r="M985">
        <v>599</v>
      </c>
      <c r="N985">
        <v>1</v>
      </c>
    </row>
    <row r="986" spans="1:14">
      <c r="A986" t="s">
        <v>2986</v>
      </c>
      <c r="B986" t="s">
        <v>1081</v>
      </c>
      <c r="C986" t="s">
        <v>1823</v>
      </c>
      <c r="D986" s="41">
        <v>5</v>
      </c>
      <c r="E986" s="41">
        <v>2348</v>
      </c>
      <c r="F986" s="41" t="s">
        <v>3893</v>
      </c>
      <c r="G986" s="41" t="s">
        <v>3893</v>
      </c>
      <c r="H986" s="2043">
        <v>2358164</v>
      </c>
      <c r="I986" s="2043">
        <v>0</v>
      </c>
      <c r="J986">
        <v>0</v>
      </c>
      <c r="K986" s="2043">
        <v>0</v>
      </c>
      <c r="L986" s="2043">
        <v>0</v>
      </c>
      <c r="M986">
        <v>599</v>
      </c>
      <c r="N986">
        <v>1</v>
      </c>
    </row>
    <row r="987" spans="1:14">
      <c r="A987" t="s">
        <v>2986</v>
      </c>
      <c r="B987" t="s">
        <v>1081</v>
      </c>
      <c r="C987" t="s">
        <v>1823</v>
      </c>
      <c r="D987" s="41">
        <v>5</v>
      </c>
      <c r="E987" s="41">
        <v>2348</v>
      </c>
      <c r="F987" s="41" t="s">
        <v>3893</v>
      </c>
      <c r="G987" s="41" t="s">
        <v>3888</v>
      </c>
      <c r="H987" s="2043">
        <v>2358164</v>
      </c>
      <c r="I987" s="2043">
        <v>0</v>
      </c>
      <c r="J987">
        <v>0</v>
      </c>
      <c r="K987" s="2043">
        <v>0</v>
      </c>
      <c r="L987" s="2043">
        <v>0</v>
      </c>
      <c r="M987">
        <v>599</v>
      </c>
      <c r="N987">
        <v>1</v>
      </c>
    </row>
    <row r="988" spans="1:14">
      <c r="A988" t="s">
        <v>2986</v>
      </c>
      <c r="B988" t="s">
        <v>1081</v>
      </c>
      <c r="C988" t="s">
        <v>1823</v>
      </c>
      <c r="D988" s="41">
        <v>5</v>
      </c>
      <c r="E988" s="41">
        <v>2348</v>
      </c>
      <c r="F988" s="41" t="s">
        <v>3893</v>
      </c>
      <c r="G988" s="41" t="s">
        <v>3894</v>
      </c>
      <c r="H988" s="2043">
        <v>2358164</v>
      </c>
      <c r="I988" s="2043">
        <v>2202672</v>
      </c>
      <c r="J988">
        <v>0.565506610711772</v>
      </c>
      <c r="K988" s="2043">
        <v>1333557.3311425101</v>
      </c>
      <c r="L988" s="2043">
        <v>1333557.3311425101</v>
      </c>
      <c r="M988">
        <v>599</v>
      </c>
      <c r="N988">
        <v>1</v>
      </c>
    </row>
    <row r="989" spans="1:14">
      <c r="A989" t="s">
        <v>2986</v>
      </c>
      <c r="B989" t="s">
        <v>1081</v>
      </c>
      <c r="C989" t="s">
        <v>1823</v>
      </c>
      <c r="D989" s="41">
        <v>5</v>
      </c>
      <c r="E989" s="41">
        <v>2348</v>
      </c>
      <c r="F989" s="41" t="s">
        <v>3893</v>
      </c>
      <c r="G989" s="41" t="s">
        <v>3895</v>
      </c>
      <c r="H989" s="2043">
        <v>2358164</v>
      </c>
      <c r="I989" s="2043">
        <v>118877</v>
      </c>
      <c r="J989">
        <v>3.0520081683329699E-2</v>
      </c>
      <c r="K989" s="2043">
        <v>71971.357902687596</v>
      </c>
      <c r="L989" s="2043">
        <v>71971.357902687596</v>
      </c>
      <c r="M989">
        <v>599</v>
      </c>
      <c r="N989">
        <v>1</v>
      </c>
    </row>
    <row r="990" spans="1:14">
      <c r="A990" t="s">
        <v>2986</v>
      </c>
      <c r="B990" t="s">
        <v>1081</v>
      </c>
      <c r="C990" t="s">
        <v>1823</v>
      </c>
      <c r="D990" s="41">
        <v>5</v>
      </c>
      <c r="E990" s="41">
        <v>2348</v>
      </c>
      <c r="F990" s="41" t="s">
        <v>3893</v>
      </c>
      <c r="G990" s="41" t="s">
        <v>5578</v>
      </c>
      <c r="H990" s="2043">
        <v>2358164</v>
      </c>
      <c r="I990" s="2043">
        <v>0</v>
      </c>
      <c r="J990">
        <v>0</v>
      </c>
      <c r="K990" s="2043">
        <v>0</v>
      </c>
      <c r="L990" s="2043">
        <v>0</v>
      </c>
      <c r="M990">
        <v>599</v>
      </c>
      <c r="N990">
        <v>1</v>
      </c>
    </row>
    <row r="991" spans="1:14">
      <c r="A991" t="s">
        <v>2986</v>
      </c>
      <c r="B991" t="s">
        <v>1081</v>
      </c>
      <c r="C991" t="s">
        <v>1823</v>
      </c>
      <c r="D991" s="41">
        <v>5</v>
      </c>
      <c r="E991" s="41">
        <v>2348</v>
      </c>
      <c r="F991" s="41" t="s">
        <v>3893</v>
      </c>
      <c r="G991" s="41" t="s">
        <v>7170</v>
      </c>
      <c r="H991" s="2043">
        <v>2358164</v>
      </c>
      <c r="I991" s="2043">
        <v>0</v>
      </c>
      <c r="J991">
        <v>0</v>
      </c>
      <c r="K991" s="2043">
        <v>0</v>
      </c>
      <c r="L991" s="2043">
        <v>0</v>
      </c>
      <c r="M991">
        <v>599</v>
      </c>
      <c r="N991">
        <v>1</v>
      </c>
    </row>
    <row r="992" spans="1:14">
      <c r="A992" t="s">
        <v>2986</v>
      </c>
      <c r="B992" t="s">
        <v>1081</v>
      </c>
      <c r="C992" t="s">
        <v>1823</v>
      </c>
      <c r="D992" s="41">
        <v>5</v>
      </c>
      <c r="E992" s="41">
        <v>2348</v>
      </c>
      <c r="F992" s="41" t="s">
        <v>3893</v>
      </c>
      <c r="G992" s="41" t="s">
        <v>8629</v>
      </c>
      <c r="H992" s="2043">
        <v>2358164</v>
      </c>
      <c r="I992" s="2043">
        <v>1557001</v>
      </c>
      <c r="J992">
        <v>0.399739206919977</v>
      </c>
      <c r="K992" s="2043">
        <v>942650.60714723996</v>
      </c>
      <c r="L992" s="2043">
        <v>942650.60714723996</v>
      </c>
      <c r="M992">
        <v>599</v>
      </c>
      <c r="N992">
        <v>1</v>
      </c>
    </row>
    <row r="993" spans="1:14">
      <c r="A993" t="s">
        <v>2986</v>
      </c>
      <c r="B993" t="s">
        <v>1081</v>
      </c>
      <c r="C993" t="s">
        <v>1823</v>
      </c>
      <c r="D993" s="41">
        <v>5</v>
      </c>
      <c r="E993" s="41">
        <v>2348</v>
      </c>
      <c r="F993" s="41" t="s">
        <v>3893</v>
      </c>
      <c r="G993" s="41" t="s">
        <v>9338</v>
      </c>
      <c r="H993" s="2043">
        <v>2358164</v>
      </c>
      <c r="I993" s="2043">
        <v>16492</v>
      </c>
      <c r="J993">
        <v>4.2341006849220099E-3</v>
      </c>
      <c r="K993" s="2043">
        <v>9984.7038075584296</v>
      </c>
      <c r="L993" s="2043">
        <v>9984.7038075584296</v>
      </c>
      <c r="M993">
        <v>599</v>
      </c>
      <c r="N993">
        <v>1</v>
      </c>
    </row>
    <row r="994" spans="1:14">
      <c r="A994" t="s">
        <v>2986</v>
      </c>
      <c r="B994" t="s">
        <v>1081</v>
      </c>
      <c r="C994" t="s">
        <v>1823</v>
      </c>
      <c r="D994" s="41">
        <v>8</v>
      </c>
      <c r="E994" s="41">
        <v>2350</v>
      </c>
      <c r="F994" s="41" t="s">
        <v>3896</v>
      </c>
      <c r="G994" s="41" t="s">
        <v>3896</v>
      </c>
      <c r="H994" s="2043">
        <v>4042418</v>
      </c>
      <c r="I994" s="2043">
        <v>0</v>
      </c>
      <c r="J994">
        <v>0</v>
      </c>
      <c r="K994" s="2043">
        <v>0</v>
      </c>
      <c r="L994" s="2043">
        <v>0</v>
      </c>
      <c r="M994">
        <v>599</v>
      </c>
      <c r="N994">
        <v>1</v>
      </c>
    </row>
    <row r="995" spans="1:14">
      <c r="A995" t="s">
        <v>2986</v>
      </c>
      <c r="B995" t="s">
        <v>1081</v>
      </c>
      <c r="C995" t="s">
        <v>1823</v>
      </c>
      <c r="D995" s="41">
        <v>8</v>
      </c>
      <c r="E995" s="41">
        <v>2350</v>
      </c>
      <c r="F995" s="41" t="s">
        <v>3896</v>
      </c>
      <c r="G995" s="41" t="s">
        <v>3897</v>
      </c>
      <c r="H995" s="2043">
        <v>4042418</v>
      </c>
      <c r="I995" s="2043">
        <v>3301351</v>
      </c>
      <c r="J995">
        <v>0.53695669817637903</v>
      </c>
      <c r="K995" s="2043">
        <v>2170603.4219287601</v>
      </c>
      <c r="L995" s="2043">
        <v>2170603.4219287601</v>
      </c>
      <c r="M995">
        <v>599</v>
      </c>
      <c r="N995">
        <v>1</v>
      </c>
    </row>
    <row r="996" spans="1:14">
      <c r="A996" t="s">
        <v>2986</v>
      </c>
      <c r="B996" t="s">
        <v>1081</v>
      </c>
      <c r="C996" t="s">
        <v>1823</v>
      </c>
      <c r="D996" s="41">
        <v>8</v>
      </c>
      <c r="E996" s="41">
        <v>2350</v>
      </c>
      <c r="F996" s="41" t="s">
        <v>3896</v>
      </c>
      <c r="G996" s="41" t="s">
        <v>9339</v>
      </c>
      <c r="H996" s="2043">
        <v>4042418</v>
      </c>
      <c r="I996" s="2043">
        <v>2846912</v>
      </c>
      <c r="J996">
        <v>0.46304330182362102</v>
      </c>
      <c r="K996" s="2043">
        <v>1871814.5780712401</v>
      </c>
      <c r="L996" s="2043">
        <v>1871814.5780712401</v>
      </c>
      <c r="M996">
        <v>599</v>
      </c>
      <c r="N996">
        <v>1</v>
      </c>
    </row>
    <row r="997" spans="1:14">
      <c r="A997" t="s">
        <v>2986</v>
      </c>
      <c r="B997" t="s">
        <v>1081</v>
      </c>
      <c r="C997" t="s">
        <v>1823</v>
      </c>
      <c r="D997" s="41">
        <v>11</v>
      </c>
      <c r="E997" s="41">
        <v>2568</v>
      </c>
      <c r="F997" s="41" t="s">
        <v>3895</v>
      </c>
      <c r="G997" s="41" t="s">
        <v>3895</v>
      </c>
      <c r="H997" s="2043">
        <v>2371274</v>
      </c>
      <c r="I997" s="2043">
        <v>391339</v>
      </c>
      <c r="J997">
        <v>0.144360735284733</v>
      </c>
      <c r="K997" s="2043">
        <v>342318.858201569</v>
      </c>
      <c r="L997" s="2043">
        <v>342318.858201569</v>
      </c>
      <c r="M997">
        <v>599</v>
      </c>
      <c r="N997">
        <v>1</v>
      </c>
    </row>
    <row r="998" spans="1:14">
      <c r="A998" t="s">
        <v>2986</v>
      </c>
      <c r="B998" t="s">
        <v>1081</v>
      </c>
      <c r="C998" t="s">
        <v>1823</v>
      </c>
      <c r="D998" s="41">
        <v>11</v>
      </c>
      <c r="E998" s="41">
        <v>2568</v>
      </c>
      <c r="F998" s="41" t="s">
        <v>3895</v>
      </c>
      <c r="G998" s="41" t="s">
        <v>7170</v>
      </c>
      <c r="H998" s="2043">
        <v>2371274</v>
      </c>
      <c r="I998" s="2043">
        <v>1822754</v>
      </c>
      <c r="J998">
        <v>0.67239428649633104</v>
      </c>
      <c r="K998" s="2043">
        <v>1594431.0893172999</v>
      </c>
      <c r="L998" s="2043">
        <v>1594431.0893172999</v>
      </c>
      <c r="M998">
        <v>599</v>
      </c>
      <c r="N998">
        <v>1</v>
      </c>
    </row>
    <row r="999" spans="1:14">
      <c r="A999" t="s">
        <v>2986</v>
      </c>
      <c r="B999" t="s">
        <v>1081</v>
      </c>
      <c r="C999" t="s">
        <v>1823</v>
      </c>
      <c r="D999" s="41">
        <v>11</v>
      </c>
      <c r="E999" s="41">
        <v>2568</v>
      </c>
      <c r="F999" s="41" t="s">
        <v>3895</v>
      </c>
      <c r="G999" s="41" t="s">
        <v>9338</v>
      </c>
      <c r="H999" s="2043">
        <v>2371274</v>
      </c>
      <c r="I999" s="2043">
        <v>496748</v>
      </c>
      <c r="J999">
        <v>0.18324497821893601</v>
      </c>
      <c r="K999" s="2043">
        <v>434524.05248113</v>
      </c>
      <c r="L999" s="2043">
        <v>434524.05248113</v>
      </c>
      <c r="M999">
        <v>599</v>
      </c>
      <c r="N999">
        <v>1</v>
      </c>
    </row>
    <row r="1000" spans="1:14">
      <c r="A1000" t="s">
        <v>2986</v>
      </c>
      <c r="B1000" t="s">
        <v>1081</v>
      </c>
      <c r="C1000" t="s">
        <v>1823</v>
      </c>
      <c r="D1000" s="41">
        <v>11</v>
      </c>
      <c r="E1000" s="41">
        <v>2569</v>
      </c>
      <c r="F1000" s="41" t="s">
        <v>7171</v>
      </c>
      <c r="G1000" s="41" t="s">
        <v>7171</v>
      </c>
      <c r="H1000" s="2043">
        <v>5574209</v>
      </c>
      <c r="I1000" s="2043">
        <v>0</v>
      </c>
      <c r="J1000">
        <v>0</v>
      </c>
      <c r="K1000" s="2043">
        <v>0</v>
      </c>
      <c r="L1000" s="2043">
        <v>0</v>
      </c>
      <c r="M1000">
        <v>599</v>
      </c>
      <c r="N1000">
        <v>1</v>
      </c>
    </row>
    <row r="1001" spans="1:14">
      <c r="A1001" t="s">
        <v>2986</v>
      </c>
      <c r="B1001" t="s">
        <v>1081</v>
      </c>
      <c r="C1001" t="s">
        <v>1823</v>
      </c>
      <c r="D1001" s="41">
        <v>11</v>
      </c>
      <c r="E1001" s="41">
        <v>2569</v>
      </c>
      <c r="F1001" s="41" t="s">
        <v>7171</v>
      </c>
      <c r="G1001" s="41" t="s">
        <v>7172</v>
      </c>
      <c r="H1001" s="2043">
        <v>5574209</v>
      </c>
      <c r="I1001" s="2043">
        <v>5202471</v>
      </c>
      <c r="J1001">
        <v>1</v>
      </c>
      <c r="K1001" s="2043">
        <v>5574209</v>
      </c>
      <c r="L1001" s="2043">
        <v>5202471</v>
      </c>
      <c r="M1001">
        <v>599</v>
      </c>
      <c r="N1001">
        <v>1</v>
      </c>
    </row>
    <row r="1002" spans="1:14">
      <c r="A1002" t="s">
        <v>2986</v>
      </c>
      <c r="B1002" t="s">
        <v>1081</v>
      </c>
      <c r="C1002" t="s">
        <v>1823</v>
      </c>
      <c r="D1002" s="41">
        <v>11</v>
      </c>
      <c r="E1002" s="41">
        <v>2570</v>
      </c>
      <c r="F1002" s="41" t="s">
        <v>7173</v>
      </c>
      <c r="G1002" s="41" t="s">
        <v>7173</v>
      </c>
      <c r="H1002" s="2043">
        <v>2675851</v>
      </c>
      <c r="I1002" s="2043">
        <v>40994</v>
      </c>
      <c r="J1002">
        <v>9.4453892496198805E-3</v>
      </c>
      <c r="K1002" s="2043">
        <v>25274.454268984598</v>
      </c>
      <c r="L1002" s="2043">
        <v>25274.454268984598</v>
      </c>
      <c r="M1002">
        <v>599</v>
      </c>
      <c r="N1002">
        <v>1</v>
      </c>
    </row>
    <row r="1003" spans="1:14">
      <c r="A1003" t="s">
        <v>2986</v>
      </c>
      <c r="B1003" t="s">
        <v>1081</v>
      </c>
      <c r="C1003" t="s">
        <v>1823</v>
      </c>
      <c r="D1003" s="41">
        <v>11</v>
      </c>
      <c r="E1003" s="41">
        <v>2570</v>
      </c>
      <c r="F1003" s="41" t="s">
        <v>7173</v>
      </c>
      <c r="G1003" s="41" t="s">
        <v>9340</v>
      </c>
      <c r="H1003" s="2043">
        <v>2675851</v>
      </c>
      <c r="I1003" s="2043">
        <v>4299113</v>
      </c>
      <c r="J1003">
        <v>0.99055461075037998</v>
      </c>
      <c r="K1003" s="2043">
        <v>2650576.5457310202</v>
      </c>
      <c r="L1003" s="2043">
        <v>2650576.5457310202</v>
      </c>
      <c r="M1003">
        <v>599</v>
      </c>
      <c r="N1003">
        <v>1</v>
      </c>
    </row>
    <row r="1004" spans="1:14">
      <c r="A1004" t="s">
        <v>2987</v>
      </c>
      <c r="B1004" t="s">
        <v>1422</v>
      </c>
      <c r="C1004" t="s">
        <v>1980</v>
      </c>
      <c r="D1004" s="41">
        <v>2</v>
      </c>
      <c r="E1004" s="41">
        <v>2383</v>
      </c>
      <c r="F1004" s="41" t="s">
        <v>3898</v>
      </c>
      <c r="G1004" s="41" t="s">
        <v>3898</v>
      </c>
      <c r="H1004" s="2043">
        <v>583662</v>
      </c>
      <c r="I1004" s="2043">
        <v>0</v>
      </c>
      <c r="J1004">
        <v>0</v>
      </c>
      <c r="L1004" s="2043">
        <v>0</v>
      </c>
      <c r="M1004">
        <v>599</v>
      </c>
      <c r="N1004">
        <v>0</v>
      </c>
    </row>
    <row r="1005" spans="1:14">
      <c r="A1005" t="s">
        <v>2988</v>
      </c>
      <c r="B1005" t="s">
        <v>1160</v>
      </c>
      <c r="C1005" t="s">
        <v>2329</v>
      </c>
      <c r="D1005" s="41">
        <v>5</v>
      </c>
      <c r="E1005" s="41">
        <v>2022</v>
      </c>
      <c r="F1005" s="41" t="s">
        <v>3899</v>
      </c>
      <c r="G1005" s="41" t="s">
        <v>3899</v>
      </c>
      <c r="H1005" s="2043">
        <v>100000</v>
      </c>
      <c r="I1005" s="2043">
        <v>0</v>
      </c>
      <c r="J1005">
        <v>0</v>
      </c>
      <c r="K1005" s="2043">
        <v>0</v>
      </c>
      <c r="L1005" s="2043">
        <v>0</v>
      </c>
      <c r="M1005">
        <v>599</v>
      </c>
      <c r="N1005">
        <v>0</v>
      </c>
    </row>
    <row r="1006" spans="1:14">
      <c r="A1006" t="s">
        <v>2988</v>
      </c>
      <c r="B1006" t="s">
        <v>1160</v>
      </c>
      <c r="C1006" t="s">
        <v>2329</v>
      </c>
      <c r="D1006" s="41">
        <v>5</v>
      </c>
      <c r="E1006" s="41">
        <v>2022</v>
      </c>
      <c r="F1006" s="41" t="s">
        <v>3899</v>
      </c>
      <c r="G1006" s="41" t="s">
        <v>3900</v>
      </c>
      <c r="H1006" s="2043">
        <v>100000</v>
      </c>
      <c r="I1006" s="2043">
        <v>89608</v>
      </c>
      <c r="J1006">
        <v>1</v>
      </c>
      <c r="K1006" s="2043">
        <v>100000</v>
      </c>
      <c r="L1006" s="2043">
        <v>89608</v>
      </c>
      <c r="M1006">
        <v>599</v>
      </c>
      <c r="N1006">
        <v>1</v>
      </c>
    </row>
    <row r="1007" spans="1:14">
      <c r="A1007" t="s">
        <v>3901</v>
      </c>
      <c r="B1007" t="s">
        <v>1730</v>
      </c>
      <c r="C1007" t="s">
        <v>1950</v>
      </c>
      <c r="D1007" s="41">
        <v>2</v>
      </c>
      <c r="E1007" s="41">
        <v>2068</v>
      </c>
      <c r="F1007" s="41" t="s">
        <v>3902</v>
      </c>
      <c r="G1007" s="41" t="s">
        <v>3902</v>
      </c>
      <c r="H1007" s="2043">
        <v>386120</v>
      </c>
      <c r="I1007" s="2043">
        <v>0</v>
      </c>
      <c r="J1007">
        <v>0</v>
      </c>
      <c r="L1007" s="2043">
        <v>0</v>
      </c>
      <c r="M1007">
        <v>199</v>
      </c>
      <c r="N1007">
        <v>0</v>
      </c>
    </row>
    <row r="1008" spans="1:14">
      <c r="A1008" t="s">
        <v>3903</v>
      </c>
      <c r="B1008" t="s">
        <v>1738</v>
      </c>
      <c r="C1008" t="s">
        <v>1256</v>
      </c>
      <c r="D1008" s="41">
        <v>4</v>
      </c>
      <c r="E1008" s="41">
        <v>2448</v>
      </c>
      <c r="F1008" s="41" t="s">
        <v>3904</v>
      </c>
      <c r="G1008" s="41" t="s">
        <v>3904</v>
      </c>
      <c r="H1008" s="2043">
        <v>100000</v>
      </c>
      <c r="I1008" s="2043">
        <v>0</v>
      </c>
      <c r="J1008">
        <v>0</v>
      </c>
      <c r="L1008" s="2043">
        <v>0</v>
      </c>
      <c r="M1008">
        <v>199</v>
      </c>
      <c r="N1008">
        <v>0</v>
      </c>
    </row>
    <row r="1009" spans="1:14">
      <c r="A1009" t="s">
        <v>3903</v>
      </c>
      <c r="B1009" t="s">
        <v>1738</v>
      </c>
      <c r="C1009" t="s">
        <v>1256</v>
      </c>
      <c r="D1009" s="41">
        <v>8</v>
      </c>
      <c r="E1009" s="41">
        <v>2447</v>
      </c>
      <c r="F1009" s="41" t="s">
        <v>3905</v>
      </c>
      <c r="G1009" s="41" t="s">
        <v>3905</v>
      </c>
      <c r="H1009" s="2043">
        <v>91803</v>
      </c>
      <c r="I1009" s="2043">
        <v>92048</v>
      </c>
      <c r="J1009">
        <v>1</v>
      </c>
      <c r="K1009" s="2043">
        <v>91803</v>
      </c>
      <c r="L1009" s="2043">
        <v>91803</v>
      </c>
      <c r="M1009">
        <v>199</v>
      </c>
      <c r="N1009">
        <v>0</v>
      </c>
    </row>
    <row r="1010" spans="1:14">
      <c r="A1010" t="s">
        <v>5012</v>
      </c>
      <c r="B1010" t="s">
        <v>189</v>
      </c>
      <c r="C1010" t="s">
        <v>1</v>
      </c>
      <c r="D1010" s="41">
        <v>11</v>
      </c>
      <c r="E1010" s="41">
        <v>2590</v>
      </c>
      <c r="F1010" s="41" t="s">
        <v>7174</v>
      </c>
      <c r="G1010" s="41" t="s">
        <v>7174</v>
      </c>
      <c r="H1010" s="2043">
        <v>352788</v>
      </c>
      <c r="I1010" s="2043">
        <v>352888</v>
      </c>
      <c r="J1010">
        <v>1</v>
      </c>
      <c r="K1010" s="2043">
        <v>352788</v>
      </c>
      <c r="L1010" s="2043">
        <v>352788</v>
      </c>
      <c r="M1010">
        <v>599</v>
      </c>
      <c r="N1010">
        <v>1</v>
      </c>
    </row>
    <row r="1011" spans="1:14">
      <c r="A1011" t="s">
        <v>2989</v>
      </c>
      <c r="B1011" t="s">
        <v>1161</v>
      </c>
      <c r="C1011" t="s">
        <v>2058</v>
      </c>
      <c r="D1011" s="41">
        <v>5</v>
      </c>
      <c r="E1011" s="41">
        <v>1765</v>
      </c>
      <c r="F1011" s="41" t="s">
        <v>3906</v>
      </c>
      <c r="G1011" s="41" t="s">
        <v>3906</v>
      </c>
      <c r="H1011" s="2043">
        <v>100000</v>
      </c>
      <c r="I1011" s="2043">
        <v>0</v>
      </c>
      <c r="J1011">
        <v>0</v>
      </c>
      <c r="K1011" s="2043">
        <v>0</v>
      </c>
      <c r="L1011" s="2043">
        <v>0</v>
      </c>
      <c r="M1011">
        <v>599</v>
      </c>
      <c r="N1011">
        <v>0</v>
      </c>
    </row>
    <row r="1012" spans="1:14">
      <c r="A1012" t="s">
        <v>2989</v>
      </c>
      <c r="B1012" t="s">
        <v>1161</v>
      </c>
      <c r="C1012" t="s">
        <v>2058</v>
      </c>
      <c r="D1012" s="41">
        <v>5</v>
      </c>
      <c r="E1012" s="41">
        <v>1765</v>
      </c>
      <c r="F1012" s="41" t="s">
        <v>3906</v>
      </c>
      <c r="G1012" s="41" t="s">
        <v>3907</v>
      </c>
      <c r="H1012" s="2043">
        <v>100000</v>
      </c>
      <c r="I1012" s="2043">
        <v>97975</v>
      </c>
      <c r="J1012">
        <v>1</v>
      </c>
      <c r="K1012" s="2043">
        <v>100000</v>
      </c>
      <c r="L1012" s="2043">
        <v>97975</v>
      </c>
      <c r="M1012">
        <v>599</v>
      </c>
      <c r="N1012">
        <v>1</v>
      </c>
    </row>
    <row r="1013" spans="1:14">
      <c r="A1013" t="s">
        <v>2989</v>
      </c>
      <c r="B1013" t="s">
        <v>1161</v>
      </c>
      <c r="C1013" t="s">
        <v>2058</v>
      </c>
      <c r="D1013" s="41">
        <v>11</v>
      </c>
      <c r="E1013" s="41">
        <v>2555</v>
      </c>
      <c r="F1013" s="41" t="s">
        <v>7175</v>
      </c>
      <c r="G1013" s="41" t="s">
        <v>7175</v>
      </c>
      <c r="H1013" s="2043">
        <v>100000</v>
      </c>
      <c r="I1013" s="2043">
        <v>197194</v>
      </c>
      <c r="J1013">
        <v>1</v>
      </c>
      <c r="K1013" s="2043">
        <v>100000</v>
      </c>
      <c r="L1013" s="2043">
        <v>100000</v>
      </c>
      <c r="M1013">
        <v>599</v>
      </c>
      <c r="N1013">
        <v>1</v>
      </c>
    </row>
    <row r="1014" spans="1:14">
      <c r="A1014" t="s">
        <v>2990</v>
      </c>
      <c r="B1014" t="s">
        <v>681</v>
      </c>
      <c r="C1014" t="s">
        <v>1009</v>
      </c>
      <c r="D1014" s="41">
        <v>5</v>
      </c>
      <c r="E1014" s="41">
        <v>1784</v>
      </c>
      <c r="F1014" s="41" t="s">
        <v>3908</v>
      </c>
      <c r="G1014" s="41" t="s">
        <v>3908</v>
      </c>
      <c r="H1014" s="2043">
        <v>110298</v>
      </c>
      <c r="I1014" s="2043">
        <v>0</v>
      </c>
      <c r="J1014">
        <v>0</v>
      </c>
      <c r="K1014" s="2043">
        <v>0</v>
      </c>
      <c r="L1014" s="2043">
        <v>0</v>
      </c>
      <c r="M1014">
        <v>599</v>
      </c>
      <c r="N1014">
        <v>0</v>
      </c>
    </row>
    <row r="1015" spans="1:14">
      <c r="A1015" t="s">
        <v>2990</v>
      </c>
      <c r="B1015" t="s">
        <v>681</v>
      </c>
      <c r="C1015" t="s">
        <v>1009</v>
      </c>
      <c r="D1015" s="41">
        <v>5</v>
      </c>
      <c r="E1015" s="41">
        <v>1784</v>
      </c>
      <c r="F1015" s="41" t="s">
        <v>3908</v>
      </c>
      <c r="G1015" s="41" t="s">
        <v>3909</v>
      </c>
      <c r="H1015" s="2043">
        <v>110298</v>
      </c>
      <c r="I1015" s="2043">
        <v>87406</v>
      </c>
      <c r="J1015">
        <v>1</v>
      </c>
      <c r="K1015" s="2043">
        <v>110298</v>
      </c>
      <c r="L1015" s="2043">
        <v>87406</v>
      </c>
      <c r="M1015">
        <v>599</v>
      </c>
      <c r="N1015">
        <v>1</v>
      </c>
    </row>
    <row r="1016" spans="1:14">
      <c r="A1016" t="s">
        <v>2990</v>
      </c>
      <c r="B1016" t="s">
        <v>681</v>
      </c>
      <c r="C1016" t="s">
        <v>1009</v>
      </c>
      <c r="D1016" s="41">
        <v>6</v>
      </c>
      <c r="E1016" s="41">
        <v>1783</v>
      </c>
      <c r="F1016" s="41" t="s">
        <v>3910</v>
      </c>
      <c r="G1016" s="41" t="s">
        <v>3910</v>
      </c>
      <c r="H1016" s="2043">
        <v>79936</v>
      </c>
      <c r="I1016" s="2043">
        <v>0</v>
      </c>
      <c r="J1016">
        <v>0</v>
      </c>
      <c r="K1016" s="2043">
        <v>0</v>
      </c>
      <c r="L1016" s="2043">
        <v>0</v>
      </c>
      <c r="M1016">
        <v>599</v>
      </c>
      <c r="N1016">
        <v>0</v>
      </c>
    </row>
    <row r="1017" spans="1:14">
      <c r="A1017" t="s">
        <v>2990</v>
      </c>
      <c r="B1017" t="s">
        <v>681</v>
      </c>
      <c r="C1017" t="s">
        <v>1009</v>
      </c>
      <c r="D1017" s="41">
        <v>6</v>
      </c>
      <c r="E1017" s="41">
        <v>1783</v>
      </c>
      <c r="F1017" s="41" t="s">
        <v>3910</v>
      </c>
      <c r="G1017" s="41" t="s">
        <v>3909</v>
      </c>
      <c r="H1017" s="2043">
        <v>79936</v>
      </c>
      <c r="I1017" s="2043">
        <v>71441</v>
      </c>
      <c r="J1017">
        <v>1</v>
      </c>
      <c r="K1017" s="2043">
        <v>79936</v>
      </c>
      <c r="L1017" s="2043">
        <v>71441</v>
      </c>
      <c r="M1017">
        <v>599</v>
      </c>
      <c r="N1017">
        <v>1</v>
      </c>
    </row>
    <row r="1018" spans="1:14">
      <c r="A1018" t="s">
        <v>2991</v>
      </c>
      <c r="B1018" t="s">
        <v>190</v>
      </c>
      <c r="C1018" t="s">
        <v>2</v>
      </c>
      <c r="D1018" s="41">
        <v>9</v>
      </c>
      <c r="E1018" s="41">
        <v>1899</v>
      </c>
      <c r="F1018" s="41" t="s">
        <v>3911</v>
      </c>
      <c r="G1018" s="41" t="s">
        <v>3911</v>
      </c>
      <c r="H1018" s="2043">
        <v>162500</v>
      </c>
      <c r="I1018" s="2043">
        <v>0</v>
      </c>
      <c r="J1018">
        <v>0</v>
      </c>
      <c r="K1018" s="2043">
        <v>0</v>
      </c>
      <c r="L1018" s="2043">
        <v>0</v>
      </c>
      <c r="M1018">
        <v>599</v>
      </c>
      <c r="N1018">
        <v>1</v>
      </c>
    </row>
    <row r="1019" spans="1:14">
      <c r="A1019" t="s">
        <v>2991</v>
      </c>
      <c r="B1019" t="s">
        <v>190</v>
      </c>
      <c r="C1019" t="s">
        <v>2</v>
      </c>
      <c r="D1019" s="41">
        <v>9</v>
      </c>
      <c r="E1019" s="41">
        <v>1899</v>
      </c>
      <c r="F1019" s="41" t="s">
        <v>3911</v>
      </c>
      <c r="G1019" s="41" t="s">
        <v>5397</v>
      </c>
      <c r="H1019" s="2043">
        <v>162500</v>
      </c>
      <c r="I1019" s="2043">
        <v>566889</v>
      </c>
      <c r="J1019">
        <v>1</v>
      </c>
      <c r="K1019" s="2043">
        <v>162500</v>
      </c>
      <c r="L1019" s="2043">
        <v>162500</v>
      </c>
      <c r="M1019">
        <v>599</v>
      </c>
      <c r="N1019">
        <v>1</v>
      </c>
    </row>
    <row r="1020" spans="1:14">
      <c r="A1020" t="s">
        <v>2992</v>
      </c>
      <c r="B1020" t="s">
        <v>1645</v>
      </c>
      <c r="C1020" t="s">
        <v>5</v>
      </c>
      <c r="D1020" s="41">
        <v>9</v>
      </c>
      <c r="E1020" s="41">
        <v>2400</v>
      </c>
      <c r="F1020" s="41" t="s">
        <v>3912</v>
      </c>
      <c r="G1020" s="41" t="s">
        <v>3912</v>
      </c>
      <c r="H1020" s="2043">
        <v>25828</v>
      </c>
      <c r="I1020" s="2043">
        <v>0</v>
      </c>
      <c r="J1020">
        <v>0</v>
      </c>
      <c r="K1020" s="2043">
        <v>0</v>
      </c>
      <c r="L1020" s="2043">
        <v>0</v>
      </c>
      <c r="M1020">
        <v>599</v>
      </c>
      <c r="N1020">
        <v>1</v>
      </c>
    </row>
    <row r="1021" spans="1:14">
      <c r="A1021" t="s">
        <v>2992</v>
      </c>
      <c r="B1021" t="s">
        <v>1645</v>
      </c>
      <c r="C1021" t="s">
        <v>5</v>
      </c>
      <c r="D1021" s="41">
        <v>9</v>
      </c>
      <c r="E1021" s="41">
        <v>2400</v>
      </c>
      <c r="F1021" s="41" t="s">
        <v>3912</v>
      </c>
      <c r="G1021" s="41" t="s">
        <v>5579</v>
      </c>
      <c r="H1021" s="2043">
        <v>25828</v>
      </c>
      <c r="I1021" s="2043">
        <v>28281</v>
      </c>
      <c r="J1021">
        <v>1</v>
      </c>
      <c r="K1021" s="2043">
        <v>25828</v>
      </c>
      <c r="L1021" s="2043">
        <v>25828</v>
      </c>
      <c r="M1021">
        <v>599</v>
      </c>
      <c r="N1021">
        <v>1</v>
      </c>
    </row>
    <row r="1022" spans="1:14">
      <c r="A1022" t="s">
        <v>2993</v>
      </c>
      <c r="B1022" t="s">
        <v>1162</v>
      </c>
      <c r="C1022" t="s">
        <v>1913</v>
      </c>
      <c r="D1022" s="41">
        <v>5</v>
      </c>
      <c r="E1022" s="41">
        <v>2276</v>
      </c>
      <c r="F1022" s="41" t="s">
        <v>3913</v>
      </c>
      <c r="G1022" s="41" t="s">
        <v>3913</v>
      </c>
      <c r="H1022" s="2043">
        <v>45485</v>
      </c>
      <c r="I1022" s="2043">
        <v>0</v>
      </c>
      <c r="J1022">
        <v>0</v>
      </c>
      <c r="L1022" s="2043">
        <v>0</v>
      </c>
      <c r="M1022">
        <v>599</v>
      </c>
      <c r="N1022">
        <v>0</v>
      </c>
    </row>
    <row r="1023" spans="1:14">
      <c r="A1023" t="s">
        <v>2993</v>
      </c>
      <c r="B1023" t="s">
        <v>1162</v>
      </c>
      <c r="C1023" t="s">
        <v>1913</v>
      </c>
      <c r="D1023" s="41">
        <v>11</v>
      </c>
      <c r="E1023" s="41">
        <v>2571</v>
      </c>
      <c r="F1023" s="41" t="s">
        <v>7176</v>
      </c>
      <c r="G1023" s="41" t="s">
        <v>7176</v>
      </c>
      <c r="H1023" s="2043">
        <v>114528</v>
      </c>
      <c r="I1023" s="2043">
        <v>185450</v>
      </c>
      <c r="J1023">
        <v>1</v>
      </c>
      <c r="K1023" s="2043">
        <v>114528</v>
      </c>
      <c r="L1023" s="2043">
        <v>114528</v>
      </c>
      <c r="M1023">
        <v>599</v>
      </c>
      <c r="N1023">
        <v>1</v>
      </c>
    </row>
    <row r="1024" spans="1:14">
      <c r="A1024" t="s">
        <v>2994</v>
      </c>
      <c r="B1024" t="s">
        <v>2365</v>
      </c>
      <c r="C1024" t="s">
        <v>573</v>
      </c>
      <c r="D1024" s="41">
        <v>6</v>
      </c>
      <c r="E1024" s="41">
        <v>2265</v>
      </c>
      <c r="F1024" s="41" t="s">
        <v>3914</v>
      </c>
      <c r="G1024" s="41" t="s">
        <v>3914</v>
      </c>
      <c r="H1024" s="2043">
        <v>42457</v>
      </c>
      <c r="I1024" s="2043">
        <v>0</v>
      </c>
      <c r="J1024">
        <v>0</v>
      </c>
      <c r="L1024" s="2043">
        <v>0</v>
      </c>
      <c r="M1024">
        <v>599</v>
      </c>
      <c r="N1024">
        <v>1</v>
      </c>
    </row>
    <row r="1025" spans="1:14">
      <c r="A1025" t="s">
        <v>2995</v>
      </c>
      <c r="B1025" t="s">
        <v>2400</v>
      </c>
      <c r="C1025" t="s">
        <v>847</v>
      </c>
      <c r="D1025" s="41">
        <v>3</v>
      </c>
      <c r="E1025" s="41">
        <v>2132</v>
      </c>
      <c r="F1025" s="41" t="s">
        <v>3915</v>
      </c>
      <c r="G1025" s="41" t="s">
        <v>3915</v>
      </c>
      <c r="H1025" s="2043">
        <v>559413</v>
      </c>
      <c r="I1025" s="2043">
        <v>0</v>
      </c>
      <c r="J1025">
        <v>0</v>
      </c>
      <c r="K1025" s="2043">
        <v>0</v>
      </c>
      <c r="L1025" s="2043">
        <v>0</v>
      </c>
      <c r="M1025">
        <v>599</v>
      </c>
      <c r="N1025">
        <v>0</v>
      </c>
    </row>
    <row r="1026" spans="1:14">
      <c r="A1026" t="s">
        <v>2995</v>
      </c>
      <c r="B1026" t="s">
        <v>2400</v>
      </c>
      <c r="C1026" t="s">
        <v>847</v>
      </c>
      <c r="D1026" s="41">
        <v>3</v>
      </c>
      <c r="E1026" s="41">
        <v>2132</v>
      </c>
      <c r="F1026" s="41" t="s">
        <v>3915</v>
      </c>
      <c r="G1026" s="41" t="s">
        <v>3916</v>
      </c>
      <c r="H1026" s="2043">
        <v>559413</v>
      </c>
      <c r="I1026" s="2043">
        <v>0</v>
      </c>
      <c r="J1026">
        <v>0</v>
      </c>
      <c r="K1026" s="2043">
        <v>0</v>
      </c>
      <c r="L1026" s="2043">
        <v>0</v>
      </c>
      <c r="M1026">
        <v>599</v>
      </c>
      <c r="N1026">
        <v>0</v>
      </c>
    </row>
    <row r="1027" spans="1:14">
      <c r="A1027" t="s">
        <v>2995</v>
      </c>
      <c r="B1027" t="s">
        <v>2400</v>
      </c>
      <c r="C1027" t="s">
        <v>847</v>
      </c>
      <c r="D1027" s="41">
        <v>3</v>
      </c>
      <c r="E1027" s="41">
        <v>2132</v>
      </c>
      <c r="F1027" s="41" t="s">
        <v>3915</v>
      </c>
      <c r="G1027" s="41" t="s">
        <v>3917</v>
      </c>
      <c r="H1027" s="2043">
        <v>559413</v>
      </c>
      <c r="I1027" s="2043">
        <v>146633</v>
      </c>
      <c r="J1027">
        <v>0.133010949616886</v>
      </c>
      <c r="K1027" s="2043">
        <v>74408.054358031004</v>
      </c>
      <c r="L1027" s="2043">
        <v>74408.054358031004</v>
      </c>
      <c r="M1027">
        <v>599</v>
      </c>
      <c r="N1027">
        <v>1</v>
      </c>
    </row>
    <row r="1028" spans="1:14">
      <c r="A1028" t="s">
        <v>2995</v>
      </c>
      <c r="B1028" t="s">
        <v>2400</v>
      </c>
      <c r="C1028" t="s">
        <v>847</v>
      </c>
      <c r="D1028" s="41">
        <v>3</v>
      </c>
      <c r="E1028" s="41">
        <v>2132</v>
      </c>
      <c r="F1028" s="41" t="s">
        <v>3915</v>
      </c>
      <c r="G1028" s="41" t="s">
        <v>5399</v>
      </c>
      <c r="H1028" s="2043">
        <v>559413</v>
      </c>
      <c r="I1028" s="2043">
        <v>907495</v>
      </c>
      <c r="J1028">
        <v>0.82318967573858404</v>
      </c>
      <c r="K1028" s="2043">
        <v>460503.00607394899</v>
      </c>
      <c r="L1028" s="2043">
        <v>460503.00607394899</v>
      </c>
      <c r="M1028">
        <v>599</v>
      </c>
      <c r="N1028">
        <v>1</v>
      </c>
    </row>
    <row r="1029" spans="1:14">
      <c r="A1029" t="s">
        <v>2995</v>
      </c>
      <c r="B1029" t="s">
        <v>2400</v>
      </c>
      <c r="C1029" t="s">
        <v>847</v>
      </c>
      <c r="D1029" s="41">
        <v>3</v>
      </c>
      <c r="E1029" s="41">
        <v>2132</v>
      </c>
      <c r="F1029" s="41" t="s">
        <v>3915</v>
      </c>
      <c r="G1029" s="41" t="s">
        <v>8630</v>
      </c>
      <c r="H1029" s="2043">
        <v>559413</v>
      </c>
      <c r="I1029" s="2043">
        <v>48285</v>
      </c>
      <c r="J1029">
        <v>4.37993746445298E-2</v>
      </c>
      <c r="K1029" s="2043">
        <v>24501.939568020302</v>
      </c>
      <c r="L1029" s="2043">
        <v>24501.939568020302</v>
      </c>
      <c r="M1029">
        <v>599</v>
      </c>
      <c r="N1029">
        <v>1</v>
      </c>
    </row>
    <row r="1030" spans="1:14">
      <c r="A1030" t="s">
        <v>2995</v>
      </c>
      <c r="B1030" t="s">
        <v>2400</v>
      </c>
      <c r="C1030" t="s">
        <v>847</v>
      </c>
      <c r="D1030" s="41">
        <v>9</v>
      </c>
      <c r="E1030" s="41">
        <v>2131</v>
      </c>
      <c r="F1030" s="41" t="s">
        <v>3918</v>
      </c>
      <c r="G1030" s="41" t="s">
        <v>3918</v>
      </c>
      <c r="H1030" s="2043">
        <v>338364</v>
      </c>
      <c r="I1030" s="2043">
        <v>0</v>
      </c>
      <c r="J1030">
        <v>0</v>
      </c>
      <c r="K1030" s="2043">
        <v>0</v>
      </c>
      <c r="L1030" s="2043">
        <v>0</v>
      </c>
      <c r="M1030">
        <v>599</v>
      </c>
      <c r="N1030">
        <v>1</v>
      </c>
    </row>
    <row r="1031" spans="1:14">
      <c r="A1031" t="s">
        <v>2995</v>
      </c>
      <c r="B1031" t="s">
        <v>2400</v>
      </c>
      <c r="C1031" t="s">
        <v>847</v>
      </c>
      <c r="D1031" s="41">
        <v>9</v>
      </c>
      <c r="E1031" s="41">
        <v>2131</v>
      </c>
      <c r="F1031" s="41" t="s">
        <v>3918</v>
      </c>
      <c r="G1031" s="41" t="s">
        <v>5398</v>
      </c>
      <c r="H1031" s="2043">
        <v>338364</v>
      </c>
      <c r="I1031" s="2043">
        <v>372759</v>
      </c>
      <c r="J1031">
        <v>1</v>
      </c>
      <c r="K1031" s="2043">
        <v>338364</v>
      </c>
      <c r="L1031" s="2043">
        <v>338364</v>
      </c>
      <c r="M1031">
        <v>599</v>
      </c>
      <c r="N1031">
        <v>1</v>
      </c>
    </row>
    <row r="1032" spans="1:14">
      <c r="A1032" t="s">
        <v>2995</v>
      </c>
      <c r="B1032" t="s">
        <v>2400</v>
      </c>
      <c r="C1032" t="s">
        <v>847</v>
      </c>
      <c r="D1032" s="41">
        <v>10</v>
      </c>
      <c r="E1032" s="41">
        <v>2133</v>
      </c>
      <c r="F1032" s="41" t="s">
        <v>3919</v>
      </c>
      <c r="G1032" s="41" t="s">
        <v>3919</v>
      </c>
      <c r="H1032" s="2043">
        <v>639148</v>
      </c>
      <c r="I1032" s="2043">
        <v>0</v>
      </c>
      <c r="J1032">
        <v>0</v>
      </c>
      <c r="K1032" s="2043">
        <v>0</v>
      </c>
      <c r="L1032" s="2043">
        <v>0</v>
      </c>
      <c r="M1032">
        <v>599</v>
      </c>
      <c r="N1032">
        <v>1</v>
      </c>
    </row>
    <row r="1033" spans="1:14">
      <c r="A1033" t="s">
        <v>2995</v>
      </c>
      <c r="B1033" t="s">
        <v>2400</v>
      </c>
      <c r="C1033" t="s">
        <v>847</v>
      </c>
      <c r="D1033" s="41">
        <v>10</v>
      </c>
      <c r="E1033" s="41">
        <v>2133</v>
      </c>
      <c r="F1033" s="41" t="s">
        <v>3919</v>
      </c>
      <c r="G1033" s="41" t="s">
        <v>5398</v>
      </c>
      <c r="H1033" s="2043">
        <v>639148</v>
      </c>
      <c r="I1033" s="2043">
        <v>86340</v>
      </c>
      <c r="J1033">
        <v>7.3884606860126698E-2</v>
      </c>
      <c r="K1033" s="2043">
        <v>47223.198705436298</v>
      </c>
      <c r="L1033" s="2043">
        <v>47223.198705436298</v>
      </c>
      <c r="M1033">
        <v>599</v>
      </c>
      <c r="N1033">
        <v>1</v>
      </c>
    </row>
    <row r="1034" spans="1:14">
      <c r="A1034" t="s">
        <v>2995</v>
      </c>
      <c r="B1034" t="s">
        <v>2400</v>
      </c>
      <c r="C1034" t="s">
        <v>847</v>
      </c>
      <c r="D1034" s="41">
        <v>10</v>
      </c>
      <c r="E1034" s="41">
        <v>2133</v>
      </c>
      <c r="F1034" s="41" t="s">
        <v>3919</v>
      </c>
      <c r="G1034" s="41" t="s">
        <v>7177</v>
      </c>
      <c r="H1034" s="2043">
        <v>639148</v>
      </c>
      <c r="I1034" s="2043">
        <v>1082239</v>
      </c>
      <c r="J1034">
        <v>0.92611539313987301</v>
      </c>
      <c r="K1034" s="2043">
        <v>591924.80129456404</v>
      </c>
      <c r="L1034" s="2043">
        <v>591924.80129456404</v>
      </c>
      <c r="M1034">
        <v>599</v>
      </c>
      <c r="N1034">
        <v>1</v>
      </c>
    </row>
    <row r="1035" spans="1:14">
      <c r="A1035" t="s">
        <v>2995</v>
      </c>
      <c r="B1035" t="s">
        <v>2400</v>
      </c>
      <c r="C1035" t="s">
        <v>847</v>
      </c>
      <c r="D1035" s="41">
        <v>11</v>
      </c>
      <c r="E1035" s="41">
        <v>2572</v>
      </c>
      <c r="F1035" s="41" t="s">
        <v>7178</v>
      </c>
      <c r="G1035" s="41" t="s">
        <v>7178</v>
      </c>
      <c r="H1035" s="2043">
        <v>557250</v>
      </c>
      <c r="I1035" s="2043">
        <v>0</v>
      </c>
      <c r="J1035">
        <v>0</v>
      </c>
      <c r="K1035" s="2043">
        <v>0</v>
      </c>
      <c r="L1035" s="2043">
        <v>0</v>
      </c>
      <c r="M1035">
        <v>599</v>
      </c>
      <c r="N1035">
        <v>1</v>
      </c>
    </row>
    <row r="1036" spans="1:14">
      <c r="A1036" t="s">
        <v>2995</v>
      </c>
      <c r="B1036" t="s">
        <v>2400</v>
      </c>
      <c r="C1036" t="s">
        <v>847</v>
      </c>
      <c r="D1036" s="41">
        <v>11</v>
      </c>
      <c r="E1036" s="41">
        <v>2572</v>
      </c>
      <c r="F1036" s="41" t="s">
        <v>7178</v>
      </c>
      <c r="G1036" s="41" t="s">
        <v>7177</v>
      </c>
      <c r="H1036" s="2043">
        <v>557250</v>
      </c>
      <c r="I1036" s="2043">
        <v>567519</v>
      </c>
      <c r="J1036">
        <v>0.60876005895388996</v>
      </c>
      <c r="K1036" s="2043">
        <v>339231.54285205499</v>
      </c>
      <c r="L1036" s="2043">
        <v>339231.54285205499</v>
      </c>
      <c r="M1036">
        <v>599</v>
      </c>
      <c r="N1036">
        <v>1</v>
      </c>
    </row>
    <row r="1037" spans="1:14">
      <c r="A1037" t="s">
        <v>2995</v>
      </c>
      <c r="B1037" t="s">
        <v>2400</v>
      </c>
      <c r="C1037" t="s">
        <v>847</v>
      </c>
      <c r="D1037" s="41">
        <v>11</v>
      </c>
      <c r="E1037" s="41">
        <v>2572</v>
      </c>
      <c r="F1037" s="41" t="s">
        <v>7178</v>
      </c>
      <c r="G1037" s="41" t="s">
        <v>8630</v>
      </c>
      <c r="H1037" s="2043">
        <v>557250</v>
      </c>
      <c r="I1037" s="2043">
        <v>364735</v>
      </c>
      <c r="J1037">
        <v>0.39123994104610998</v>
      </c>
      <c r="K1037" s="2043">
        <v>218018.45714794501</v>
      </c>
      <c r="L1037" s="2043">
        <v>218018.45714794501</v>
      </c>
      <c r="M1037">
        <v>599</v>
      </c>
      <c r="N1037">
        <v>1</v>
      </c>
    </row>
    <row r="1038" spans="1:14">
      <c r="A1038" t="s">
        <v>2996</v>
      </c>
      <c r="B1038" t="s">
        <v>1337</v>
      </c>
      <c r="C1038" t="s">
        <v>103</v>
      </c>
      <c r="D1038" s="41">
        <v>1</v>
      </c>
      <c r="E1038" s="41">
        <v>1822</v>
      </c>
      <c r="F1038" s="41" t="s">
        <v>3920</v>
      </c>
      <c r="G1038" s="41" t="s">
        <v>3920</v>
      </c>
      <c r="H1038" s="2043">
        <v>4738980</v>
      </c>
      <c r="I1038" s="2043">
        <v>0</v>
      </c>
      <c r="J1038">
        <v>0</v>
      </c>
      <c r="K1038" s="2043">
        <v>0</v>
      </c>
      <c r="L1038" s="2043">
        <v>0</v>
      </c>
      <c r="M1038">
        <v>599</v>
      </c>
      <c r="N1038">
        <v>0</v>
      </c>
    </row>
    <row r="1039" spans="1:14">
      <c r="A1039" t="s">
        <v>2996</v>
      </c>
      <c r="B1039" t="s">
        <v>1337</v>
      </c>
      <c r="C1039" t="s">
        <v>103</v>
      </c>
      <c r="D1039" s="41">
        <v>1</v>
      </c>
      <c r="E1039" s="41">
        <v>1822</v>
      </c>
      <c r="F1039" s="41" t="s">
        <v>3920</v>
      </c>
      <c r="G1039" s="41" t="s">
        <v>3921</v>
      </c>
      <c r="H1039" s="2043">
        <v>4738980</v>
      </c>
      <c r="I1039" s="2043">
        <v>0</v>
      </c>
      <c r="J1039">
        <v>0</v>
      </c>
      <c r="K1039" s="2043">
        <v>0</v>
      </c>
      <c r="L1039" s="2043">
        <v>0</v>
      </c>
      <c r="M1039">
        <v>599</v>
      </c>
      <c r="N1039">
        <v>1</v>
      </c>
    </row>
    <row r="1040" spans="1:14">
      <c r="A1040" t="s">
        <v>2996</v>
      </c>
      <c r="B1040" t="s">
        <v>1337</v>
      </c>
      <c r="C1040" t="s">
        <v>103</v>
      </c>
      <c r="D1040" s="41">
        <v>1</v>
      </c>
      <c r="E1040" s="41">
        <v>1822</v>
      </c>
      <c r="F1040" s="41" t="s">
        <v>3920</v>
      </c>
      <c r="G1040" s="41" t="s">
        <v>3922</v>
      </c>
      <c r="H1040" s="2043">
        <v>4738980</v>
      </c>
      <c r="I1040" s="2043">
        <v>4687260</v>
      </c>
      <c r="J1040">
        <v>0.60039357093185497</v>
      </c>
      <c r="K1040" s="2043">
        <v>2845253.12477464</v>
      </c>
      <c r="L1040" s="2043">
        <v>2845253.12477464</v>
      </c>
      <c r="M1040">
        <v>599</v>
      </c>
      <c r="N1040">
        <v>1</v>
      </c>
    </row>
    <row r="1041" spans="1:14">
      <c r="A1041" t="s">
        <v>2996</v>
      </c>
      <c r="B1041" t="s">
        <v>1337</v>
      </c>
      <c r="C1041" t="s">
        <v>103</v>
      </c>
      <c r="D1041" s="41">
        <v>1</v>
      </c>
      <c r="E1041" s="41">
        <v>1822</v>
      </c>
      <c r="F1041" s="41" t="s">
        <v>3920</v>
      </c>
      <c r="G1041" s="41" t="s">
        <v>3923</v>
      </c>
      <c r="H1041" s="2043">
        <v>4738980</v>
      </c>
      <c r="I1041" s="2043">
        <v>138829</v>
      </c>
      <c r="J1041">
        <v>1.77826788057199E-2</v>
      </c>
      <c r="K1041" s="2043">
        <v>84271.759206730305</v>
      </c>
      <c r="L1041" s="2043">
        <v>84271.759206730305</v>
      </c>
      <c r="M1041">
        <v>599</v>
      </c>
      <c r="N1041">
        <v>1</v>
      </c>
    </row>
    <row r="1042" spans="1:14">
      <c r="A1042" t="s">
        <v>2996</v>
      </c>
      <c r="B1042" t="s">
        <v>1337</v>
      </c>
      <c r="C1042" t="s">
        <v>103</v>
      </c>
      <c r="D1042" s="41">
        <v>1</v>
      </c>
      <c r="E1042" s="41">
        <v>1822</v>
      </c>
      <c r="F1042" s="41" t="s">
        <v>3920</v>
      </c>
      <c r="G1042" s="41" t="s">
        <v>7179</v>
      </c>
      <c r="H1042" s="2043">
        <v>4738980</v>
      </c>
      <c r="I1042" s="2043">
        <v>1072615</v>
      </c>
      <c r="J1042">
        <v>0.137391813145648</v>
      </c>
      <c r="K1042" s="2043">
        <v>651097.05466096394</v>
      </c>
      <c r="L1042" s="2043">
        <v>651097.05466096394</v>
      </c>
      <c r="M1042">
        <v>599</v>
      </c>
      <c r="N1042">
        <v>1</v>
      </c>
    </row>
    <row r="1043" spans="1:14">
      <c r="A1043" t="s">
        <v>2996</v>
      </c>
      <c r="B1043" t="s">
        <v>1337</v>
      </c>
      <c r="C1043" t="s">
        <v>103</v>
      </c>
      <c r="D1043" s="41">
        <v>1</v>
      </c>
      <c r="E1043" s="41">
        <v>1822</v>
      </c>
      <c r="F1043" s="41" t="s">
        <v>3920</v>
      </c>
      <c r="G1043" s="41" t="s">
        <v>8561</v>
      </c>
      <c r="H1043" s="2043">
        <v>4738980</v>
      </c>
      <c r="I1043" s="2043">
        <v>723272</v>
      </c>
      <c r="J1043">
        <v>9.2644286605612705E-2</v>
      </c>
      <c r="K1043" s="2043">
        <v>439039.42133826698</v>
      </c>
      <c r="L1043" s="2043">
        <v>439039.42133826698</v>
      </c>
      <c r="M1043">
        <v>599</v>
      </c>
      <c r="N1043">
        <v>1</v>
      </c>
    </row>
    <row r="1044" spans="1:14">
      <c r="A1044" t="s">
        <v>2996</v>
      </c>
      <c r="B1044" t="s">
        <v>1337</v>
      </c>
      <c r="C1044" t="s">
        <v>103</v>
      </c>
      <c r="D1044" s="41">
        <v>1</v>
      </c>
      <c r="E1044" s="41">
        <v>1822</v>
      </c>
      <c r="F1044" s="41" t="s">
        <v>3920</v>
      </c>
      <c r="G1044" s="41" t="s">
        <v>9341</v>
      </c>
      <c r="H1044" s="2043">
        <v>4738980</v>
      </c>
      <c r="I1044" s="2043">
        <v>1185003</v>
      </c>
      <c r="J1044">
        <v>0.151787650511164</v>
      </c>
      <c r="K1044" s="2043">
        <v>719318.64001939795</v>
      </c>
      <c r="L1044" s="2043">
        <v>719318.64001939795</v>
      </c>
      <c r="M1044">
        <v>599</v>
      </c>
      <c r="N1044">
        <v>1</v>
      </c>
    </row>
    <row r="1045" spans="1:14">
      <c r="A1045" t="s">
        <v>2996</v>
      </c>
      <c r="B1045" t="s">
        <v>1337</v>
      </c>
      <c r="C1045" t="s">
        <v>103</v>
      </c>
      <c r="D1045" s="41">
        <v>2</v>
      </c>
      <c r="E1045" s="41">
        <v>1821</v>
      </c>
      <c r="F1045" s="41" t="s">
        <v>3924</v>
      </c>
      <c r="G1045" s="41" t="s">
        <v>3924</v>
      </c>
      <c r="H1045" s="2043">
        <v>2155774</v>
      </c>
      <c r="I1045" s="2043">
        <v>0</v>
      </c>
      <c r="J1045">
        <v>0</v>
      </c>
      <c r="K1045" s="2043">
        <v>0</v>
      </c>
      <c r="L1045" s="2043">
        <v>0</v>
      </c>
      <c r="M1045">
        <v>599</v>
      </c>
      <c r="N1045">
        <v>0</v>
      </c>
    </row>
    <row r="1046" spans="1:14">
      <c r="A1046" t="s">
        <v>2996</v>
      </c>
      <c r="B1046" t="s">
        <v>1337</v>
      </c>
      <c r="C1046" t="s">
        <v>103</v>
      </c>
      <c r="D1046" s="41">
        <v>2</v>
      </c>
      <c r="E1046" s="41">
        <v>1821</v>
      </c>
      <c r="F1046" s="41" t="s">
        <v>3924</v>
      </c>
      <c r="G1046" s="41" t="s">
        <v>3925</v>
      </c>
      <c r="H1046" s="2043">
        <v>2155774</v>
      </c>
      <c r="I1046" s="2043">
        <v>0</v>
      </c>
      <c r="J1046">
        <v>0</v>
      </c>
      <c r="K1046" s="2043">
        <v>0</v>
      </c>
      <c r="L1046" s="2043">
        <v>0</v>
      </c>
      <c r="M1046">
        <v>599</v>
      </c>
      <c r="N1046">
        <v>0</v>
      </c>
    </row>
    <row r="1047" spans="1:14">
      <c r="A1047" t="s">
        <v>2996</v>
      </c>
      <c r="B1047" t="s">
        <v>1337</v>
      </c>
      <c r="C1047" t="s">
        <v>103</v>
      </c>
      <c r="D1047" s="41">
        <v>2</v>
      </c>
      <c r="E1047" s="41">
        <v>1821</v>
      </c>
      <c r="F1047" s="41" t="s">
        <v>3924</v>
      </c>
      <c r="G1047" s="41" t="s">
        <v>3921</v>
      </c>
      <c r="H1047" s="2043">
        <v>2155774</v>
      </c>
      <c r="I1047" s="2043">
        <v>2036370</v>
      </c>
      <c r="J1047">
        <v>0.58053353768049998</v>
      </c>
      <c r="K1047" s="2043">
        <v>1251499.1066596401</v>
      </c>
      <c r="L1047" s="2043">
        <v>1251499.1066596401</v>
      </c>
      <c r="M1047">
        <v>599</v>
      </c>
      <c r="N1047">
        <v>1</v>
      </c>
    </row>
    <row r="1048" spans="1:14">
      <c r="A1048" t="s">
        <v>2996</v>
      </c>
      <c r="B1048" t="s">
        <v>1337</v>
      </c>
      <c r="C1048" t="s">
        <v>103</v>
      </c>
      <c r="D1048" s="41">
        <v>2</v>
      </c>
      <c r="E1048" s="41">
        <v>1821</v>
      </c>
      <c r="F1048" s="41" t="s">
        <v>3924</v>
      </c>
      <c r="G1048" s="41" t="s">
        <v>3923</v>
      </c>
      <c r="H1048" s="2043">
        <v>2155774</v>
      </c>
      <c r="I1048" s="2043">
        <v>154296</v>
      </c>
      <c r="J1048">
        <v>4.3987096023782701E-2</v>
      </c>
      <c r="K1048" s="2043">
        <v>94826.237943574204</v>
      </c>
      <c r="L1048" s="2043">
        <v>94826.237943574204</v>
      </c>
      <c r="M1048">
        <v>599</v>
      </c>
      <c r="N1048">
        <v>1</v>
      </c>
    </row>
    <row r="1049" spans="1:14">
      <c r="A1049" t="s">
        <v>2996</v>
      </c>
      <c r="B1049" t="s">
        <v>1337</v>
      </c>
      <c r="C1049" t="s">
        <v>103</v>
      </c>
      <c r="D1049" s="41">
        <v>2</v>
      </c>
      <c r="E1049" s="41">
        <v>1821</v>
      </c>
      <c r="F1049" s="41" t="s">
        <v>3924</v>
      </c>
      <c r="G1049" s="41" t="s">
        <v>3926</v>
      </c>
      <c r="H1049" s="2043">
        <v>2155774</v>
      </c>
      <c r="I1049" s="2043">
        <v>7063</v>
      </c>
      <c r="J1049">
        <v>2.0135379997924599E-3</v>
      </c>
      <c r="K1049" s="2043">
        <v>4340.7328679645898</v>
      </c>
      <c r="L1049" s="2043">
        <v>4340.7328679645898</v>
      </c>
      <c r="M1049">
        <v>599</v>
      </c>
      <c r="N1049">
        <v>1</v>
      </c>
    </row>
    <row r="1050" spans="1:14">
      <c r="A1050" t="s">
        <v>2996</v>
      </c>
      <c r="B1050" t="s">
        <v>1337</v>
      </c>
      <c r="C1050" t="s">
        <v>103</v>
      </c>
      <c r="D1050" s="41">
        <v>2</v>
      </c>
      <c r="E1050" s="41">
        <v>1821</v>
      </c>
      <c r="F1050" s="41" t="s">
        <v>3924</v>
      </c>
      <c r="G1050" s="41" t="s">
        <v>7179</v>
      </c>
      <c r="H1050" s="2043">
        <v>2155774</v>
      </c>
      <c r="I1050" s="2043">
        <v>782429</v>
      </c>
      <c r="J1050">
        <v>0.223056848880025</v>
      </c>
      <c r="K1050" s="2043">
        <v>480860.15533748601</v>
      </c>
      <c r="L1050" s="2043">
        <v>480860.15533748601</v>
      </c>
      <c r="M1050">
        <v>599</v>
      </c>
      <c r="N1050">
        <v>1</v>
      </c>
    </row>
    <row r="1051" spans="1:14">
      <c r="A1051" t="s">
        <v>2996</v>
      </c>
      <c r="B1051" t="s">
        <v>1337</v>
      </c>
      <c r="C1051" t="s">
        <v>103</v>
      </c>
      <c r="D1051" s="41">
        <v>2</v>
      </c>
      <c r="E1051" s="41">
        <v>1821</v>
      </c>
      <c r="F1051" s="41" t="s">
        <v>3924</v>
      </c>
      <c r="G1051" s="41" t="s">
        <v>8561</v>
      </c>
      <c r="H1051" s="2043">
        <v>2155774</v>
      </c>
      <c r="I1051" s="2043">
        <v>527598</v>
      </c>
      <c r="J1051">
        <v>0.15040897941590001</v>
      </c>
      <c r="K1051" s="2043">
        <v>324247.767191333</v>
      </c>
      <c r="L1051" s="2043">
        <v>324247.767191333</v>
      </c>
      <c r="M1051">
        <v>599</v>
      </c>
      <c r="N1051">
        <v>1</v>
      </c>
    </row>
    <row r="1052" spans="1:14">
      <c r="A1052" t="s">
        <v>2996</v>
      </c>
      <c r="B1052" t="s">
        <v>1337</v>
      </c>
      <c r="C1052" t="s">
        <v>103</v>
      </c>
      <c r="D1052" s="41">
        <v>9</v>
      </c>
      <c r="E1052" s="41">
        <v>1823</v>
      </c>
      <c r="F1052" s="41" t="s">
        <v>3927</v>
      </c>
      <c r="G1052" s="41" t="s">
        <v>3927</v>
      </c>
      <c r="H1052" s="2043">
        <v>7005446</v>
      </c>
      <c r="I1052" s="2043">
        <v>0</v>
      </c>
      <c r="J1052">
        <v>0</v>
      </c>
      <c r="K1052" s="2043">
        <v>0</v>
      </c>
      <c r="L1052" s="2043">
        <v>0</v>
      </c>
      <c r="M1052">
        <v>599</v>
      </c>
      <c r="N1052">
        <v>1</v>
      </c>
    </row>
    <row r="1053" spans="1:14">
      <c r="A1053" t="s">
        <v>2996</v>
      </c>
      <c r="B1053" t="s">
        <v>1337</v>
      </c>
      <c r="C1053" t="s">
        <v>103</v>
      </c>
      <c r="D1053" s="41">
        <v>9</v>
      </c>
      <c r="E1053" s="41">
        <v>1823</v>
      </c>
      <c r="F1053" s="41" t="s">
        <v>3927</v>
      </c>
      <c r="G1053" s="41" t="s">
        <v>5580</v>
      </c>
      <c r="H1053" s="2043">
        <v>7005446</v>
      </c>
      <c r="I1053" s="2043">
        <v>5228142</v>
      </c>
      <c r="J1053">
        <v>1</v>
      </c>
      <c r="K1053" s="2043">
        <v>7005446</v>
      </c>
      <c r="L1053" s="2043">
        <v>5228142</v>
      </c>
      <c r="M1053">
        <v>599</v>
      </c>
      <c r="N1053">
        <v>1</v>
      </c>
    </row>
    <row r="1054" spans="1:14">
      <c r="A1054" t="s">
        <v>2996</v>
      </c>
      <c r="B1054" t="s">
        <v>1337</v>
      </c>
      <c r="C1054" t="s">
        <v>103</v>
      </c>
      <c r="D1054" s="41">
        <v>10</v>
      </c>
      <c r="E1054" s="41">
        <v>1824</v>
      </c>
      <c r="F1054" s="41" t="s">
        <v>3928</v>
      </c>
      <c r="G1054" s="41" t="s">
        <v>3928</v>
      </c>
      <c r="H1054" s="2043">
        <v>8781990</v>
      </c>
      <c r="I1054" s="2043">
        <v>0</v>
      </c>
      <c r="J1054">
        <v>0</v>
      </c>
      <c r="K1054" s="2043">
        <v>0</v>
      </c>
      <c r="L1054" s="2043">
        <v>0</v>
      </c>
      <c r="M1054">
        <v>599</v>
      </c>
      <c r="N1054">
        <v>1</v>
      </c>
    </row>
    <row r="1055" spans="1:14">
      <c r="A1055" t="s">
        <v>2996</v>
      </c>
      <c r="B1055" t="s">
        <v>1337</v>
      </c>
      <c r="C1055" t="s">
        <v>103</v>
      </c>
      <c r="D1055" s="41">
        <v>10</v>
      </c>
      <c r="E1055" s="41">
        <v>1824</v>
      </c>
      <c r="F1055" s="41" t="s">
        <v>3928</v>
      </c>
      <c r="G1055" s="41" t="s">
        <v>7179</v>
      </c>
      <c r="H1055" s="2043">
        <v>8781990</v>
      </c>
      <c r="I1055" s="2043">
        <v>6187908</v>
      </c>
      <c r="J1055">
        <v>0.33933540381458599</v>
      </c>
      <c r="K1055" s="2043">
        <v>2980040.1229456598</v>
      </c>
      <c r="L1055" s="2043">
        <v>2980040.1229456598</v>
      </c>
      <c r="M1055">
        <v>599</v>
      </c>
      <c r="N1055">
        <v>1</v>
      </c>
    </row>
    <row r="1056" spans="1:14">
      <c r="A1056" t="s">
        <v>2996</v>
      </c>
      <c r="B1056" t="s">
        <v>1337</v>
      </c>
      <c r="C1056" t="s">
        <v>103</v>
      </c>
      <c r="D1056" s="41">
        <v>10</v>
      </c>
      <c r="E1056" s="41">
        <v>1824</v>
      </c>
      <c r="F1056" s="41" t="s">
        <v>3928</v>
      </c>
      <c r="G1056" s="41" t="s">
        <v>8562</v>
      </c>
      <c r="H1056" s="2043">
        <v>8781990</v>
      </c>
      <c r="I1056" s="2043">
        <v>12047466</v>
      </c>
      <c r="J1056">
        <v>0.66066459618541395</v>
      </c>
      <c r="K1056" s="2043">
        <v>5801949.8770543505</v>
      </c>
      <c r="L1056" s="2043">
        <v>5801949.8770543505</v>
      </c>
      <c r="M1056">
        <v>599</v>
      </c>
      <c r="N1056">
        <v>1</v>
      </c>
    </row>
    <row r="1057" spans="1:14">
      <c r="A1057" t="s">
        <v>2996</v>
      </c>
      <c r="B1057" t="s">
        <v>1337</v>
      </c>
      <c r="C1057" t="s">
        <v>103</v>
      </c>
      <c r="D1057" s="41">
        <v>10</v>
      </c>
      <c r="E1057" s="41">
        <v>1820</v>
      </c>
      <c r="F1057" s="41" t="s">
        <v>3922</v>
      </c>
      <c r="G1057" s="41" t="s">
        <v>3922</v>
      </c>
      <c r="H1057" s="2043">
        <v>653006</v>
      </c>
      <c r="I1057" s="2043">
        <v>653006</v>
      </c>
      <c r="J1057">
        <v>0.83659727115495497</v>
      </c>
      <c r="K1057" s="2043">
        <v>546303.03764781205</v>
      </c>
      <c r="L1057" s="2043">
        <v>546303.03764781205</v>
      </c>
      <c r="M1057">
        <v>599</v>
      </c>
      <c r="N1057">
        <v>1</v>
      </c>
    </row>
    <row r="1058" spans="1:14">
      <c r="A1058" t="s">
        <v>2996</v>
      </c>
      <c r="B1058" t="s">
        <v>1337</v>
      </c>
      <c r="C1058" t="s">
        <v>103</v>
      </c>
      <c r="D1058" s="41">
        <v>10</v>
      </c>
      <c r="E1058" s="41">
        <v>1820</v>
      </c>
      <c r="F1058" s="41" t="s">
        <v>3922</v>
      </c>
      <c r="G1058" s="41" t="s">
        <v>9341</v>
      </c>
      <c r="H1058" s="2043">
        <v>653006</v>
      </c>
      <c r="I1058" s="2043">
        <v>127544</v>
      </c>
      <c r="J1058">
        <v>0.163402728845045</v>
      </c>
      <c r="K1058" s="2043">
        <v>106702.962352188</v>
      </c>
      <c r="L1058" s="2043">
        <v>106702.962352188</v>
      </c>
      <c r="M1058">
        <v>599</v>
      </c>
      <c r="N1058">
        <v>1</v>
      </c>
    </row>
    <row r="1059" spans="1:14">
      <c r="A1059" t="s">
        <v>2997</v>
      </c>
      <c r="B1059" t="s">
        <v>1163</v>
      </c>
      <c r="C1059" t="s">
        <v>2057</v>
      </c>
      <c r="D1059" s="41">
        <v>5</v>
      </c>
      <c r="E1059" s="41">
        <v>1764</v>
      </c>
      <c r="F1059" s="41" t="s">
        <v>3929</v>
      </c>
      <c r="G1059" s="41" t="s">
        <v>3929</v>
      </c>
      <c r="H1059" s="2043">
        <v>192327</v>
      </c>
      <c r="I1059" s="2043">
        <v>0</v>
      </c>
      <c r="J1059">
        <v>0</v>
      </c>
      <c r="K1059" s="2043">
        <v>0</v>
      </c>
      <c r="L1059" s="2043">
        <v>0</v>
      </c>
      <c r="M1059">
        <v>599</v>
      </c>
      <c r="N1059">
        <v>0</v>
      </c>
    </row>
    <row r="1060" spans="1:14">
      <c r="A1060" t="s">
        <v>2997</v>
      </c>
      <c r="B1060" t="s">
        <v>1163</v>
      </c>
      <c r="C1060" t="s">
        <v>2057</v>
      </c>
      <c r="D1060" s="41">
        <v>5</v>
      </c>
      <c r="E1060" s="41">
        <v>1764</v>
      </c>
      <c r="F1060" s="41" t="s">
        <v>3929</v>
      </c>
      <c r="G1060" s="41" t="s">
        <v>3930</v>
      </c>
      <c r="H1060" s="2043">
        <v>192327</v>
      </c>
      <c r="I1060" s="2043">
        <v>0</v>
      </c>
      <c r="J1060">
        <v>0</v>
      </c>
      <c r="K1060" s="2043">
        <v>0</v>
      </c>
      <c r="L1060" s="2043">
        <v>0</v>
      </c>
      <c r="M1060">
        <v>599</v>
      </c>
      <c r="N1060">
        <v>1</v>
      </c>
    </row>
    <row r="1061" spans="1:14">
      <c r="A1061" t="s">
        <v>2997</v>
      </c>
      <c r="B1061" t="s">
        <v>1163</v>
      </c>
      <c r="C1061" t="s">
        <v>2057</v>
      </c>
      <c r="D1061" s="41">
        <v>5</v>
      </c>
      <c r="E1061" s="41">
        <v>1764</v>
      </c>
      <c r="F1061" s="41" t="s">
        <v>3929</v>
      </c>
      <c r="G1061" s="41" t="s">
        <v>3931</v>
      </c>
      <c r="H1061" s="2043">
        <v>192327</v>
      </c>
      <c r="I1061" s="2043">
        <v>0</v>
      </c>
      <c r="J1061">
        <v>0</v>
      </c>
      <c r="K1061" s="2043">
        <v>0</v>
      </c>
      <c r="L1061" s="2043">
        <v>0</v>
      </c>
      <c r="M1061">
        <v>599</v>
      </c>
      <c r="N1061">
        <v>1</v>
      </c>
    </row>
    <row r="1062" spans="1:14">
      <c r="A1062" t="s">
        <v>2997</v>
      </c>
      <c r="B1062" t="s">
        <v>1163</v>
      </c>
      <c r="C1062" t="s">
        <v>2057</v>
      </c>
      <c r="D1062" s="41">
        <v>5</v>
      </c>
      <c r="E1062" s="41">
        <v>1764</v>
      </c>
      <c r="F1062" s="41" t="s">
        <v>3929</v>
      </c>
      <c r="G1062" s="41" t="s">
        <v>7180</v>
      </c>
      <c r="H1062" s="2043">
        <v>192327</v>
      </c>
      <c r="I1062" s="2043">
        <v>176600</v>
      </c>
      <c r="J1062">
        <v>1</v>
      </c>
      <c r="K1062" s="2043">
        <v>192327</v>
      </c>
      <c r="L1062" s="2043">
        <v>176600</v>
      </c>
      <c r="M1062">
        <v>599</v>
      </c>
      <c r="N1062">
        <v>1</v>
      </c>
    </row>
    <row r="1063" spans="1:14">
      <c r="A1063" t="s">
        <v>2997</v>
      </c>
      <c r="B1063" t="s">
        <v>1163</v>
      </c>
      <c r="C1063" t="s">
        <v>2057</v>
      </c>
      <c r="D1063" s="41">
        <v>9</v>
      </c>
      <c r="E1063" s="41">
        <v>1763</v>
      </c>
      <c r="F1063" s="41" t="s">
        <v>3932</v>
      </c>
      <c r="G1063" s="41" t="s">
        <v>3932</v>
      </c>
      <c r="H1063" s="2043">
        <v>183808</v>
      </c>
      <c r="I1063" s="2043">
        <v>0</v>
      </c>
      <c r="J1063">
        <v>0</v>
      </c>
      <c r="K1063" s="2043">
        <v>0</v>
      </c>
      <c r="L1063" s="2043">
        <v>0</v>
      </c>
      <c r="M1063">
        <v>599</v>
      </c>
      <c r="N1063">
        <v>1</v>
      </c>
    </row>
    <row r="1064" spans="1:14">
      <c r="A1064" t="s">
        <v>2997</v>
      </c>
      <c r="B1064" t="s">
        <v>1163</v>
      </c>
      <c r="C1064" t="s">
        <v>2057</v>
      </c>
      <c r="D1064" s="41">
        <v>9</v>
      </c>
      <c r="E1064" s="41">
        <v>1763</v>
      </c>
      <c r="F1064" s="41" t="s">
        <v>3932</v>
      </c>
      <c r="G1064" s="41" t="s">
        <v>7180</v>
      </c>
      <c r="H1064" s="2043">
        <v>183808</v>
      </c>
      <c r="I1064" s="2043">
        <v>186400</v>
      </c>
      <c r="J1064">
        <v>1</v>
      </c>
      <c r="K1064" s="2043">
        <v>183808</v>
      </c>
      <c r="L1064" s="2043">
        <v>183808</v>
      </c>
      <c r="M1064">
        <v>599</v>
      </c>
      <c r="N1064">
        <v>1</v>
      </c>
    </row>
    <row r="1065" spans="1:14">
      <c r="A1065" t="s">
        <v>2998</v>
      </c>
      <c r="B1065" t="s">
        <v>2366</v>
      </c>
      <c r="C1065" t="s">
        <v>2448</v>
      </c>
      <c r="D1065" s="41">
        <v>6</v>
      </c>
      <c r="E1065" s="41">
        <v>2182</v>
      </c>
      <c r="F1065" s="41" t="s">
        <v>3933</v>
      </c>
      <c r="G1065" s="41" t="s">
        <v>3933</v>
      </c>
      <c r="H1065" s="2043">
        <v>496016</v>
      </c>
      <c r="I1065" s="2043">
        <v>0</v>
      </c>
      <c r="J1065">
        <v>0</v>
      </c>
      <c r="K1065" s="2043">
        <v>0</v>
      </c>
      <c r="L1065" s="2043">
        <v>0</v>
      </c>
      <c r="M1065">
        <v>599</v>
      </c>
      <c r="N1065">
        <v>0</v>
      </c>
    </row>
    <row r="1066" spans="1:14">
      <c r="A1066" t="s">
        <v>2998</v>
      </c>
      <c r="B1066" t="s">
        <v>2366</v>
      </c>
      <c r="C1066" t="s">
        <v>2448</v>
      </c>
      <c r="D1066" s="41">
        <v>6</v>
      </c>
      <c r="E1066" s="41">
        <v>2182</v>
      </c>
      <c r="F1066" s="41" t="s">
        <v>3933</v>
      </c>
      <c r="G1066" s="41" t="s">
        <v>3934</v>
      </c>
      <c r="H1066" s="2043">
        <v>496016</v>
      </c>
      <c r="I1066" s="2043">
        <v>169651</v>
      </c>
      <c r="J1066">
        <v>0.21108510667418201</v>
      </c>
      <c r="K1066" s="2043">
        <v>104701.59027210101</v>
      </c>
      <c r="L1066" s="2043">
        <v>104701.59027210101</v>
      </c>
      <c r="M1066">
        <v>599</v>
      </c>
      <c r="N1066">
        <v>1</v>
      </c>
    </row>
    <row r="1067" spans="1:14">
      <c r="A1067" t="s">
        <v>2998</v>
      </c>
      <c r="B1067" t="s">
        <v>2366</v>
      </c>
      <c r="C1067" t="s">
        <v>2448</v>
      </c>
      <c r="D1067" s="41">
        <v>6</v>
      </c>
      <c r="E1067" s="41">
        <v>2182</v>
      </c>
      <c r="F1067" s="41" t="s">
        <v>3933</v>
      </c>
      <c r="G1067" s="41" t="s">
        <v>3935</v>
      </c>
      <c r="H1067" s="2043">
        <v>496016</v>
      </c>
      <c r="I1067" s="2043">
        <v>303900</v>
      </c>
      <c r="J1067">
        <v>0.37812193219187501</v>
      </c>
      <c r="K1067" s="2043">
        <v>187554.52831808501</v>
      </c>
      <c r="L1067" s="2043">
        <v>187554.52831808501</v>
      </c>
      <c r="M1067">
        <v>599</v>
      </c>
      <c r="N1067">
        <v>1</v>
      </c>
    </row>
    <row r="1068" spans="1:14">
      <c r="A1068" t="s">
        <v>2998</v>
      </c>
      <c r="B1068" t="s">
        <v>2366</v>
      </c>
      <c r="C1068" t="s">
        <v>2448</v>
      </c>
      <c r="D1068" s="41">
        <v>6</v>
      </c>
      <c r="E1068" s="41">
        <v>2182</v>
      </c>
      <c r="F1068" s="41" t="s">
        <v>3933</v>
      </c>
      <c r="G1068" s="41" t="s">
        <v>5581</v>
      </c>
      <c r="H1068" s="2043">
        <v>496016</v>
      </c>
      <c r="I1068" s="2043">
        <v>330158</v>
      </c>
      <c r="J1068">
        <v>0.41079296113394298</v>
      </c>
      <c r="K1068" s="2043">
        <v>203759.881409814</v>
      </c>
      <c r="L1068" s="2043">
        <v>203759.881409814</v>
      </c>
      <c r="M1068">
        <v>599</v>
      </c>
      <c r="N1068">
        <v>1</v>
      </c>
    </row>
    <row r="1069" spans="1:14">
      <c r="A1069" t="s">
        <v>2998</v>
      </c>
      <c r="B1069" t="s">
        <v>2366</v>
      </c>
      <c r="C1069" t="s">
        <v>2448</v>
      </c>
      <c r="D1069" s="41">
        <v>9</v>
      </c>
      <c r="E1069" s="41">
        <v>2181</v>
      </c>
      <c r="F1069" s="41" t="s">
        <v>3936</v>
      </c>
      <c r="G1069" s="41" t="s">
        <v>3936</v>
      </c>
      <c r="H1069" s="2043">
        <v>285496</v>
      </c>
      <c r="I1069" s="2043">
        <v>0</v>
      </c>
      <c r="J1069">
        <v>0</v>
      </c>
      <c r="K1069" s="2043">
        <v>0</v>
      </c>
      <c r="L1069" s="2043">
        <v>0</v>
      </c>
      <c r="M1069">
        <v>599</v>
      </c>
      <c r="N1069">
        <v>1</v>
      </c>
    </row>
    <row r="1070" spans="1:14">
      <c r="A1070" t="s">
        <v>2998</v>
      </c>
      <c r="B1070" t="s">
        <v>2366</v>
      </c>
      <c r="C1070" t="s">
        <v>2448</v>
      </c>
      <c r="D1070" s="41">
        <v>9</v>
      </c>
      <c r="E1070" s="41">
        <v>2181</v>
      </c>
      <c r="F1070" s="41" t="s">
        <v>3936</v>
      </c>
      <c r="G1070" s="41" t="s">
        <v>7181</v>
      </c>
      <c r="H1070" s="2043">
        <v>285496</v>
      </c>
      <c r="I1070" s="2043">
        <v>507000</v>
      </c>
      <c r="J1070">
        <v>1</v>
      </c>
      <c r="K1070" s="2043">
        <v>285496</v>
      </c>
      <c r="L1070" s="2043">
        <v>285496</v>
      </c>
      <c r="M1070">
        <v>599</v>
      </c>
      <c r="N1070">
        <v>1</v>
      </c>
    </row>
    <row r="1071" spans="1:14">
      <c r="A1071" t="s">
        <v>5029</v>
      </c>
      <c r="B1071" t="s">
        <v>1880</v>
      </c>
      <c r="C1071" t="s">
        <v>345</v>
      </c>
      <c r="D1071" s="41">
        <v>11</v>
      </c>
      <c r="E1071" s="41">
        <v>2527</v>
      </c>
      <c r="F1071" s="41" t="s">
        <v>7182</v>
      </c>
      <c r="G1071" s="41" t="s">
        <v>7182</v>
      </c>
      <c r="H1071" s="2043">
        <v>2081125</v>
      </c>
      <c r="I1071" s="2043">
        <v>3452700</v>
      </c>
      <c r="J1071">
        <v>1</v>
      </c>
      <c r="K1071" s="2043">
        <v>2081125</v>
      </c>
      <c r="L1071" s="2043">
        <v>2081125</v>
      </c>
      <c r="M1071">
        <v>599</v>
      </c>
      <c r="N1071">
        <v>0</v>
      </c>
    </row>
    <row r="1072" spans="1:14">
      <c r="A1072" t="s">
        <v>2999</v>
      </c>
      <c r="B1072" t="s">
        <v>463</v>
      </c>
      <c r="C1072" t="s">
        <v>83</v>
      </c>
      <c r="D1072" s="41">
        <v>1</v>
      </c>
      <c r="E1072" s="41">
        <v>2307</v>
      </c>
      <c r="F1072" s="41" t="s">
        <v>3937</v>
      </c>
      <c r="G1072" s="41" t="s">
        <v>3937</v>
      </c>
      <c r="H1072" s="2043">
        <v>1012578</v>
      </c>
      <c r="I1072" s="2043">
        <v>0</v>
      </c>
      <c r="J1072">
        <v>0</v>
      </c>
      <c r="L1072" s="2043">
        <v>0</v>
      </c>
      <c r="M1072">
        <v>599</v>
      </c>
      <c r="N1072">
        <v>0</v>
      </c>
    </row>
    <row r="1073" spans="1:14">
      <c r="A1073" t="s">
        <v>2999</v>
      </c>
      <c r="B1073" t="s">
        <v>463</v>
      </c>
      <c r="C1073" t="s">
        <v>83</v>
      </c>
      <c r="D1073" s="41">
        <v>10</v>
      </c>
      <c r="E1073" s="41">
        <v>2308</v>
      </c>
      <c r="F1073" s="41" t="s">
        <v>3938</v>
      </c>
      <c r="G1073" s="41" t="s">
        <v>3938</v>
      </c>
      <c r="H1073" s="2043">
        <v>1049443</v>
      </c>
      <c r="I1073" s="2043">
        <v>0</v>
      </c>
      <c r="J1073">
        <v>0</v>
      </c>
      <c r="K1073" s="2043">
        <v>0</v>
      </c>
      <c r="L1073" s="2043">
        <v>0</v>
      </c>
      <c r="M1073">
        <v>599</v>
      </c>
      <c r="N1073">
        <v>1</v>
      </c>
    </row>
    <row r="1074" spans="1:14">
      <c r="A1074" t="s">
        <v>2999</v>
      </c>
      <c r="B1074" t="s">
        <v>463</v>
      </c>
      <c r="C1074" t="s">
        <v>83</v>
      </c>
      <c r="D1074" s="41">
        <v>10</v>
      </c>
      <c r="E1074" s="41">
        <v>2308</v>
      </c>
      <c r="F1074" s="41" t="s">
        <v>3938</v>
      </c>
      <c r="G1074" s="41" t="s">
        <v>5400</v>
      </c>
      <c r="H1074" s="2043">
        <v>1049443</v>
      </c>
      <c r="I1074" s="2043">
        <v>264280</v>
      </c>
      <c r="J1074">
        <v>0.174317747984608</v>
      </c>
      <c r="K1074" s="2043">
        <v>182936.54039821099</v>
      </c>
      <c r="L1074" s="2043">
        <v>182936.54039821099</v>
      </c>
      <c r="M1074">
        <v>599</v>
      </c>
      <c r="N1074">
        <v>1</v>
      </c>
    </row>
    <row r="1075" spans="1:14">
      <c r="A1075" t="s">
        <v>2999</v>
      </c>
      <c r="B1075" t="s">
        <v>463</v>
      </c>
      <c r="C1075" t="s">
        <v>83</v>
      </c>
      <c r="D1075" s="41">
        <v>10</v>
      </c>
      <c r="E1075" s="41">
        <v>2308</v>
      </c>
      <c r="F1075" s="41" t="s">
        <v>3938</v>
      </c>
      <c r="G1075" s="41" t="s">
        <v>7183</v>
      </c>
      <c r="H1075" s="2043">
        <v>1049443</v>
      </c>
      <c r="I1075" s="2043">
        <v>1251802</v>
      </c>
      <c r="J1075">
        <v>0.82568225201539203</v>
      </c>
      <c r="K1075" s="2043">
        <v>866506.45960178901</v>
      </c>
      <c r="L1075" s="2043">
        <v>866506.45960178901</v>
      </c>
      <c r="M1075">
        <v>599</v>
      </c>
      <c r="N1075">
        <v>1</v>
      </c>
    </row>
    <row r="1076" spans="1:14">
      <c r="A1076" t="s">
        <v>2999</v>
      </c>
      <c r="B1076" t="s">
        <v>463</v>
      </c>
      <c r="C1076" t="s">
        <v>83</v>
      </c>
      <c r="D1076" s="41">
        <v>11</v>
      </c>
      <c r="E1076" s="41">
        <v>2523</v>
      </c>
      <c r="F1076" s="41" t="s">
        <v>7184</v>
      </c>
      <c r="G1076" s="41" t="s">
        <v>7184</v>
      </c>
      <c r="H1076" s="2043">
        <v>235500</v>
      </c>
      <c r="I1076" s="2043">
        <v>0</v>
      </c>
      <c r="J1076">
        <v>0</v>
      </c>
      <c r="K1076" s="2043">
        <v>0</v>
      </c>
      <c r="L1076" s="2043">
        <v>0</v>
      </c>
      <c r="M1076">
        <v>599</v>
      </c>
      <c r="N1076">
        <v>1</v>
      </c>
    </row>
    <row r="1077" spans="1:14">
      <c r="A1077" t="s">
        <v>2999</v>
      </c>
      <c r="B1077" t="s">
        <v>463</v>
      </c>
      <c r="C1077" t="s">
        <v>83</v>
      </c>
      <c r="D1077" s="41">
        <v>11</v>
      </c>
      <c r="E1077" s="41">
        <v>2523</v>
      </c>
      <c r="F1077" s="41" t="s">
        <v>7184</v>
      </c>
      <c r="G1077" s="41" t="s">
        <v>7183</v>
      </c>
      <c r="H1077" s="2043">
        <v>235500</v>
      </c>
      <c r="I1077" s="2043">
        <v>444974</v>
      </c>
      <c r="J1077">
        <v>0.97960324851014602</v>
      </c>
      <c r="K1077" s="2043">
        <v>230696.56502413901</v>
      </c>
      <c r="L1077" s="2043">
        <v>230696.56502413901</v>
      </c>
      <c r="M1077">
        <v>599</v>
      </c>
      <c r="N1077">
        <v>1</v>
      </c>
    </row>
    <row r="1078" spans="1:14">
      <c r="A1078" t="s">
        <v>2999</v>
      </c>
      <c r="B1078" t="s">
        <v>463</v>
      </c>
      <c r="C1078" t="s">
        <v>83</v>
      </c>
      <c r="D1078" s="41">
        <v>11</v>
      </c>
      <c r="E1078" s="41">
        <v>2523</v>
      </c>
      <c r="F1078" s="41" t="s">
        <v>7184</v>
      </c>
      <c r="G1078" s="41" t="s">
        <v>8563</v>
      </c>
      <c r="H1078" s="2043">
        <v>235500</v>
      </c>
      <c r="I1078" s="2043">
        <v>9265</v>
      </c>
      <c r="J1078">
        <v>2.0396751489854498E-2</v>
      </c>
      <c r="K1078" s="2043">
        <v>4803.4349758607204</v>
      </c>
      <c r="L1078" s="2043">
        <v>4803.4349758607204</v>
      </c>
      <c r="M1078">
        <v>599</v>
      </c>
      <c r="N1078">
        <v>1</v>
      </c>
    </row>
    <row r="1079" spans="1:14">
      <c r="A1079" t="s">
        <v>3000</v>
      </c>
      <c r="B1079" t="s">
        <v>1339</v>
      </c>
      <c r="C1079" t="s">
        <v>1388</v>
      </c>
      <c r="D1079" s="41">
        <v>2</v>
      </c>
      <c r="E1079" s="41">
        <v>1829</v>
      </c>
      <c r="F1079" s="41" t="s">
        <v>3939</v>
      </c>
      <c r="G1079" s="41" t="s">
        <v>3939</v>
      </c>
      <c r="H1079" s="2043">
        <v>1100400</v>
      </c>
      <c r="I1079" s="2043">
        <v>0</v>
      </c>
      <c r="J1079">
        <v>0</v>
      </c>
      <c r="L1079" s="2043">
        <v>0</v>
      </c>
      <c r="M1079">
        <v>599</v>
      </c>
      <c r="N1079">
        <v>0</v>
      </c>
    </row>
    <row r="1080" spans="1:14">
      <c r="A1080" t="s">
        <v>3001</v>
      </c>
      <c r="B1080" t="s">
        <v>859</v>
      </c>
      <c r="C1080" t="s">
        <v>814</v>
      </c>
      <c r="D1080" s="41">
        <v>2</v>
      </c>
      <c r="E1080" s="41">
        <v>1850</v>
      </c>
      <c r="F1080" s="41" t="s">
        <v>3940</v>
      </c>
      <c r="G1080" s="41" t="s">
        <v>3940</v>
      </c>
      <c r="H1080" s="2043">
        <v>566258</v>
      </c>
      <c r="I1080" s="2043">
        <v>0</v>
      </c>
      <c r="J1080">
        <v>0</v>
      </c>
      <c r="L1080" s="2043">
        <v>0</v>
      </c>
      <c r="M1080">
        <v>599</v>
      </c>
      <c r="N1080">
        <v>0</v>
      </c>
    </row>
    <row r="1081" spans="1:14">
      <c r="A1081" t="s">
        <v>3002</v>
      </c>
      <c r="B1081" t="s">
        <v>1908</v>
      </c>
      <c r="C1081" t="s">
        <v>1288</v>
      </c>
      <c r="D1081" s="41">
        <v>1</v>
      </c>
      <c r="E1081" s="41">
        <v>2172</v>
      </c>
      <c r="F1081" s="41" t="s">
        <v>3941</v>
      </c>
      <c r="G1081" s="41" t="s">
        <v>3941</v>
      </c>
      <c r="H1081" s="2043">
        <v>779066</v>
      </c>
      <c r="I1081" s="2043">
        <v>0</v>
      </c>
      <c r="J1081">
        <v>0</v>
      </c>
      <c r="K1081" s="2043">
        <v>0</v>
      </c>
      <c r="L1081" s="2043">
        <v>0</v>
      </c>
      <c r="M1081">
        <v>599</v>
      </c>
      <c r="N1081">
        <v>0</v>
      </c>
    </row>
    <row r="1082" spans="1:14">
      <c r="A1082" t="s">
        <v>3002</v>
      </c>
      <c r="B1082" t="s">
        <v>1908</v>
      </c>
      <c r="C1082" t="s">
        <v>1288</v>
      </c>
      <c r="D1082" s="41">
        <v>1</v>
      </c>
      <c r="E1082" s="41">
        <v>2172</v>
      </c>
      <c r="F1082" s="41" t="s">
        <v>3941</v>
      </c>
      <c r="G1082" s="41" t="s">
        <v>3942</v>
      </c>
      <c r="H1082" s="2043">
        <v>779066</v>
      </c>
      <c r="I1082" s="2043">
        <v>0</v>
      </c>
      <c r="J1082">
        <v>0</v>
      </c>
      <c r="K1082" s="2043">
        <v>0</v>
      </c>
      <c r="L1082" s="2043">
        <v>0</v>
      </c>
      <c r="M1082">
        <v>599</v>
      </c>
      <c r="N1082">
        <v>0</v>
      </c>
    </row>
    <row r="1083" spans="1:14">
      <c r="A1083" t="s">
        <v>3002</v>
      </c>
      <c r="B1083" t="s">
        <v>1908</v>
      </c>
      <c r="C1083" t="s">
        <v>1288</v>
      </c>
      <c r="D1083" s="41">
        <v>1</v>
      </c>
      <c r="E1083" s="41">
        <v>2172</v>
      </c>
      <c r="F1083" s="41" t="s">
        <v>3941</v>
      </c>
      <c r="G1083" s="41" t="s">
        <v>3943</v>
      </c>
      <c r="H1083" s="2043">
        <v>779066</v>
      </c>
      <c r="I1083" s="2043">
        <v>546350</v>
      </c>
      <c r="J1083">
        <v>1</v>
      </c>
      <c r="K1083" s="2043">
        <v>779066</v>
      </c>
      <c r="L1083" s="2043">
        <v>546350</v>
      </c>
      <c r="M1083">
        <v>599</v>
      </c>
      <c r="N1083">
        <v>1</v>
      </c>
    </row>
    <row r="1084" spans="1:14">
      <c r="A1084" t="s">
        <v>3003</v>
      </c>
      <c r="B1084" t="s">
        <v>1590</v>
      </c>
      <c r="C1084" t="s">
        <v>1469</v>
      </c>
      <c r="D1084" s="41">
        <v>2</v>
      </c>
      <c r="E1084" s="41">
        <v>1601</v>
      </c>
      <c r="F1084" s="41" t="s">
        <v>3944</v>
      </c>
      <c r="G1084" s="41" t="s">
        <v>3944</v>
      </c>
      <c r="H1084" s="2043">
        <v>85000</v>
      </c>
      <c r="I1084" s="2043">
        <v>0</v>
      </c>
      <c r="J1084">
        <v>0</v>
      </c>
      <c r="K1084" s="2043">
        <v>0</v>
      </c>
      <c r="L1084" s="2043">
        <v>0</v>
      </c>
      <c r="M1084">
        <v>599</v>
      </c>
      <c r="N1084">
        <v>0</v>
      </c>
    </row>
    <row r="1085" spans="1:14">
      <c r="A1085" t="s">
        <v>3003</v>
      </c>
      <c r="B1085" t="s">
        <v>1590</v>
      </c>
      <c r="C1085" t="s">
        <v>1469</v>
      </c>
      <c r="D1085" s="41">
        <v>2</v>
      </c>
      <c r="E1085" s="41">
        <v>1601</v>
      </c>
      <c r="F1085" s="41" t="s">
        <v>3944</v>
      </c>
      <c r="G1085" s="41" t="s">
        <v>3945</v>
      </c>
      <c r="H1085" s="2043">
        <v>85000</v>
      </c>
      <c r="I1085" s="2043">
        <v>0</v>
      </c>
      <c r="J1085">
        <v>0</v>
      </c>
      <c r="K1085" s="2043">
        <v>0</v>
      </c>
      <c r="L1085" s="2043">
        <v>0</v>
      </c>
      <c r="M1085">
        <v>599</v>
      </c>
      <c r="N1085">
        <v>1</v>
      </c>
    </row>
    <row r="1086" spans="1:14">
      <c r="A1086" t="s">
        <v>3003</v>
      </c>
      <c r="B1086" t="s">
        <v>1590</v>
      </c>
      <c r="C1086" t="s">
        <v>1469</v>
      </c>
      <c r="D1086" s="41">
        <v>2</v>
      </c>
      <c r="E1086" s="41">
        <v>1601</v>
      </c>
      <c r="F1086" s="41" t="s">
        <v>3944</v>
      </c>
      <c r="G1086" s="41" t="s">
        <v>3946</v>
      </c>
      <c r="H1086" s="2043">
        <v>85000</v>
      </c>
      <c r="I1086" s="2043">
        <v>0</v>
      </c>
      <c r="J1086">
        <v>0</v>
      </c>
      <c r="K1086" s="2043">
        <v>0</v>
      </c>
      <c r="L1086" s="2043">
        <v>0</v>
      </c>
      <c r="M1086">
        <v>599</v>
      </c>
      <c r="N1086">
        <v>1</v>
      </c>
    </row>
    <row r="1087" spans="1:14">
      <c r="A1087" t="s">
        <v>3003</v>
      </c>
      <c r="B1087" t="s">
        <v>1590</v>
      </c>
      <c r="C1087" t="s">
        <v>1469</v>
      </c>
      <c r="D1087" s="41">
        <v>2</v>
      </c>
      <c r="E1087" s="41">
        <v>1601</v>
      </c>
      <c r="F1087" s="41" t="s">
        <v>3944</v>
      </c>
      <c r="G1087" s="41" t="s">
        <v>7185</v>
      </c>
      <c r="H1087" s="2043">
        <v>85000</v>
      </c>
      <c r="I1087" s="2043">
        <v>209463</v>
      </c>
      <c r="J1087">
        <v>1</v>
      </c>
      <c r="K1087" s="2043">
        <v>85000</v>
      </c>
      <c r="L1087" s="2043">
        <v>85000</v>
      </c>
      <c r="M1087">
        <v>599</v>
      </c>
      <c r="N1087">
        <v>1</v>
      </c>
    </row>
    <row r="1088" spans="1:14">
      <c r="A1088" t="s">
        <v>3003</v>
      </c>
      <c r="B1088" t="s">
        <v>1590</v>
      </c>
      <c r="C1088" t="s">
        <v>1469</v>
      </c>
      <c r="D1088" s="41">
        <v>3</v>
      </c>
      <c r="E1088" s="41">
        <v>1600</v>
      </c>
      <c r="F1088" s="41" t="s">
        <v>3947</v>
      </c>
      <c r="G1088" s="41" t="s">
        <v>3947</v>
      </c>
      <c r="H1088" s="2043">
        <v>51750</v>
      </c>
      <c r="I1088" s="2043">
        <v>0</v>
      </c>
      <c r="J1088">
        <v>0</v>
      </c>
      <c r="K1088" s="2043">
        <v>0</v>
      </c>
      <c r="L1088" s="2043">
        <v>0</v>
      </c>
      <c r="M1088">
        <v>599</v>
      </c>
      <c r="N1088">
        <v>0</v>
      </c>
    </row>
    <row r="1089" spans="1:14">
      <c r="A1089" t="s">
        <v>3003</v>
      </c>
      <c r="B1089" t="s">
        <v>1590</v>
      </c>
      <c r="C1089" t="s">
        <v>1469</v>
      </c>
      <c r="D1089" s="41">
        <v>3</v>
      </c>
      <c r="E1089" s="41">
        <v>1600</v>
      </c>
      <c r="F1089" s="41" t="s">
        <v>3947</v>
      </c>
      <c r="G1089" s="41" t="s">
        <v>3946</v>
      </c>
      <c r="H1089" s="2043">
        <v>51750</v>
      </c>
      <c r="I1089" s="2043">
        <v>41400</v>
      </c>
      <c r="J1089">
        <v>1</v>
      </c>
      <c r="K1089" s="2043">
        <v>51750</v>
      </c>
      <c r="L1089" s="2043">
        <v>41400</v>
      </c>
      <c r="M1089">
        <v>599</v>
      </c>
      <c r="N1089">
        <v>1</v>
      </c>
    </row>
    <row r="1090" spans="1:14">
      <c r="A1090" t="s">
        <v>3003</v>
      </c>
      <c r="B1090" t="s">
        <v>1590</v>
      </c>
      <c r="C1090" t="s">
        <v>1469</v>
      </c>
      <c r="D1090" s="41">
        <v>9</v>
      </c>
      <c r="E1090" s="41">
        <v>1602</v>
      </c>
      <c r="F1090" s="41" t="s">
        <v>3945</v>
      </c>
      <c r="G1090" s="41" t="s">
        <v>3945</v>
      </c>
      <c r="H1090" s="2043">
        <v>180464</v>
      </c>
      <c r="I1090" s="2043">
        <v>0</v>
      </c>
      <c r="J1090">
        <v>0</v>
      </c>
      <c r="K1090" s="2043">
        <v>0</v>
      </c>
      <c r="L1090" s="2043">
        <v>0</v>
      </c>
      <c r="M1090">
        <v>599</v>
      </c>
      <c r="N1090">
        <v>1</v>
      </c>
    </row>
    <row r="1091" spans="1:14">
      <c r="A1091" t="s">
        <v>3003</v>
      </c>
      <c r="B1091" t="s">
        <v>1590</v>
      </c>
      <c r="C1091" t="s">
        <v>1469</v>
      </c>
      <c r="D1091" s="41">
        <v>9</v>
      </c>
      <c r="E1091" s="41">
        <v>1602</v>
      </c>
      <c r="F1091" s="41" t="s">
        <v>3945</v>
      </c>
      <c r="G1091" s="41" t="s">
        <v>7185</v>
      </c>
      <c r="H1091" s="2043">
        <v>180464</v>
      </c>
      <c r="I1091" s="2043">
        <v>354320</v>
      </c>
      <c r="J1091">
        <v>1</v>
      </c>
      <c r="K1091" s="2043">
        <v>180464</v>
      </c>
      <c r="L1091" s="2043">
        <v>180464</v>
      </c>
      <c r="M1091">
        <v>599</v>
      </c>
      <c r="N1091">
        <v>1</v>
      </c>
    </row>
    <row r="1092" spans="1:14">
      <c r="A1092" t="s">
        <v>3948</v>
      </c>
      <c r="B1092" t="s">
        <v>928</v>
      </c>
      <c r="C1092" t="s">
        <v>1360</v>
      </c>
      <c r="D1092" s="41">
        <v>9</v>
      </c>
      <c r="E1092" s="41">
        <v>1706</v>
      </c>
      <c r="F1092" s="41" t="s">
        <v>3949</v>
      </c>
      <c r="G1092" s="41" t="s">
        <v>3949</v>
      </c>
      <c r="H1092" s="2043">
        <v>147510</v>
      </c>
      <c r="I1092" s="2043">
        <v>0</v>
      </c>
      <c r="J1092">
        <v>0</v>
      </c>
      <c r="L1092" s="2043">
        <v>0</v>
      </c>
      <c r="M1092">
        <v>199</v>
      </c>
      <c r="N1092">
        <v>0</v>
      </c>
    </row>
    <row r="1093" spans="1:14">
      <c r="A1093" t="s">
        <v>3948</v>
      </c>
      <c r="B1093" t="s">
        <v>928</v>
      </c>
      <c r="C1093" t="s">
        <v>1360</v>
      </c>
      <c r="D1093" s="41">
        <v>11</v>
      </c>
      <c r="E1093" s="41">
        <v>2529</v>
      </c>
      <c r="F1093" s="41" t="s">
        <v>7186</v>
      </c>
      <c r="G1093" s="41" t="s">
        <v>7186</v>
      </c>
      <c r="H1093" s="2043">
        <v>126123</v>
      </c>
      <c r="I1093" s="2043">
        <v>300187</v>
      </c>
      <c r="J1093">
        <v>1</v>
      </c>
      <c r="K1093" s="2043">
        <v>126123</v>
      </c>
      <c r="L1093" s="2043">
        <v>126123</v>
      </c>
      <c r="M1093">
        <v>599</v>
      </c>
      <c r="N1093">
        <v>0</v>
      </c>
    </row>
    <row r="1094" spans="1:14">
      <c r="A1094" t="s">
        <v>3004</v>
      </c>
      <c r="B1094" t="s">
        <v>1050</v>
      </c>
      <c r="C1094" t="s">
        <v>2247</v>
      </c>
      <c r="D1094" s="41">
        <v>5</v>
      </c>
      <c r="E1094" s="41">
        <v>1904</v>
      </c>
      <c r="F1094" s="41" t="s">
        <v>3950</v>
      </c>
      <c r="G1094" s="41" t="s">
        <v>3950</v>
      </c>
      <c r="H1094" s="2043">
        <v>308470</v>
      </c>
      <c r="I1094" s="2043">
        <v>0</v>
      </c>
      <c r="J1094">
        <v>0</v>
      </c>
      <c r="K1094" s="2043">
        <v>0</v>
      </c>
      <c r="L1094" s="2043">
        <v>0</v>
      </c>
      <c r="M1094">
        <v>599</v>
      </c>
      <c r="N1094">
        <v>0</v>
      </c>
    </row>
    <row r="1095" spans="1:14">
      <c r="A1095" t="s">
        <v>3004</v>
      </c>
      <c r="B1095" t="s">
        <v>1050</v>
      </c>
      <c r="C1095" t="s">
        <v>2247</v>
      </c>
      <c r="D1095" s="41">
        <v>5</v>
      </c>
      <c r="E1095" s="41">
        <v>1904</v>
      </c>
      <c r="F1095" s="41" t="s">
        <v>3950</v>
      </c>
      <c r="G1095" s="41" t="s">
        <v>3951</v>
      </c>
      <c r="H1095" s="2043">
        <v>308470</v>
      </c>
      <c r="I1095" s="2043">
        <v>0</v>
      </c>
      <c r="J1095">
        <v>0</v>
      </c>
      <c r="K1095" s="2043">
        <v>0</v>
      </c>
      <c r="L1095" s="2043">
        <v>0</v>
      </c>
      <c r="M1095">
        <v>599</v>
      </c>
      <c r="N1095">
        <v>1</v>
      </c>
    </row>
    <row r="1096" spans="1:14">
      <c r="A1096" t="s">
        <v>3004</v>
      </c>
      <c r="B1096" t="s">
        <v>1050</v>
      </c>
      <c r="C1096" t="s">
        <v>2247</v>
      </c>
      <c r="D1096" s="41">
        <v>5</v>
      </c>
      <c r="E1096" s="41">
        <v>1904</v>
      </c>
      <c r="F1096" s="41" t="s">
        <v>3950</v>
      </c>
      <c r="G1096" s="41" t="s">
        <v>3952</v>
      </c>
      <c r="H1096" s="2043">
        <v>308470</v>
      </c>
      <c r="I1096" s="2043">
        <v>31406</v>
      </c>
      <c r="J1096">
        <v>6.2984198799517901E-2</v>
      </c>
      <c r="K1096" s="2043">
        <v>19428.735803687301</v>
      </c>
      <c r="L1096" s="2043">
        <v>19428.735803687301</v>
      </c>
      <c r="M1096">
        <v>599</v>
      </c>
      <c r="N1096">
        <v>1</v>
      </c>
    </row>
    <row r="1097" spans="1:14">
      <c r="A1097" t="s">
        <v>3004</v>
      </c>
      <c r="B1097" t="s">
        <v>1050</v>
      </c>
      <c r="C1097" t="s">
        <v>2247</v>
      </c>
      <c r="D1097" s="41">
        <v>5</v>
      </c>
      <c r="E1097" s="41">
        <v>1904</v>
      </c>
      <c r="F1097" s="41" t="s">
        <v>3950</v>
      </c>
      <c r="G1097" s="41" t="s">
        <v>5582</v>
      </c>
      <c r="H1097" s="2043">
        <v>308470</v>
      </c>
      <c r="I1097" s="2043">
        <v>467227</v>
      </c>
      <c r="J1097">
        <v>0.937015801200482</v>
      </c>
      <c r="K1097" s="2043">
        <v>289041.26419631299</v>
      </c>
      <c r="L1097" s="2043">
        <v>289041.26419631299</v>
      </c>
      <c r="M1097">
        <v>599</v>
      </c>
      <c r="N1097">
        <v>1</v>
      </c>
    </row>
    <row r="1098" spans="1:14">
      <c r="A1098" t="s">
        <v>3004</v>
      </c>
      <c r="B1098" t="s">
        <v>1050</v>
      </c>
      <c r="C1098" t="s">
        <v>2247</v>
      </c>
      <c r="D1098" s="41">
        <v>5</v>
      </c>
      <c r="E1098" s="41">
        <v>1903</v>
      </c>
      <c r="F1098" s="41" t="s">
        <v>3953</v>
      </c>
      <c r="G1098" s="41" t="s">
        <v>3953</v>
      </c>
      <c r="H1098" s="2043">
        <v>153973</v>
      </c>
      <c r="I1098" s="2043">
        <v>152757</v>
      </c>
      <c r="J1098">
        <v>1</v>
      </c>
      <c r="K1098" s="2043">
        <v>153973</v>
      </c>
      <c r="L1098" s="2043">
        <v>152757</v>
      </c>
      <c r="M1098">
        <v>599</v>
      </c>
      <c r="N1098">
        <v>1</v>
      </c>
    </row>
    <row r="1099" spans="1:14">
      <c r="A1099" t="s">
        <v>3005</v>
      </c>
      <c r="B1099" t="s">
        <v>748</v>
      </c>
      <c r="C1099" t="s">
        <v>1556</v>
      </c>
      <c r="D1099" s="41">
        <v>9</v>
      </c>
      <c r="E1099" s="41">
        <v>2331</v>
      </c>
      <c r="F1099" s="41" t="s">
        <v>3954</v>
      </c>
      <c r="G1099" s="41" t="s">
        <v>3954</v>
      </c>
      <c r="H1099" s="2043">
        <v>1512500</v>
      </c>
      <c r="I1099" s="2043">
        <v>707490</v>
      </c>
      <c r="J1099">
        <v>0.32296970159003802</v>
      </c>
      <c r="K1099" s="2043">
        <v>488491.673654932</v>
      </c>
      <c r="L1099" s="2043">
        <v>488491.673654932</v>
      </c>
      <c r="M1099">
        <v>599</v>
      </c>
      <c r="N1099">
        <v>1</v>
      </c>
    </row>
    <row r="1100" spans="1:14">
      <c r="A1100" t="s">
        <v>3005</v>
      </c>
      <c r="B1100" t="s">
        <v>748</v>
      </c>
      <c r="C1100" t="s">
        <v>1556</v>
      </c>
      <c r="D1100" s="41">
        <v>9</v>
      </c>
      <c r="E1100" s="41">
        <v>2331</v>
      </c>
      <c r="F1100" s="41" t="s">
        <v>3954</v>
      </c>
      <c r="G1100" s="41" t="s">
        <v>3955</v>
      </c>
      <c r="H1100" s="2043">
        <v>1512500</v>
      </c>
      <c r="I1100" s="2043">
        <v>156248</v>
      </c>
      <c r="J1100">
        <v>7.1327326088058099E-2</v>
      </c>
      <c r="K1100" s="2043">
        <v>107882.580708188</v>
      </c>
      <c r="L1100" s="2043">
        <v>107882.580708188</v>
      </c>
      <c r="M1100">
        <v>599</v>
      </c>
      <c r="N1100">
        <v>1</v>
      </c>
    </row>
    <row r="1101" spans="1:14">
      <c r="A1101" t="s">
        <v>3005</v>
      </c>
      <c r="B1101" t="s">
        <v>748</v>
      </c>
      <c r="C1101" t="s">
        <v>1556</v>
      </c>
      <c r="D1101" s="41">
        <v>9</v>
      </c>
      <c r="E1101" s="41">
        <v>2331</v>
      </c>
      <c r="F1101" s="41" t="s">
        <v>3954</v>
      </c>
      <c r="G1101" s="41" t="s">
        <v>3956</v>
      </c>
      <c r="H1101" s="2043">
        <v>1512500</v>
      </c>
      <c r="I1101" s="2043">
        <v>1111491</v>
      </c>
      <c r="J1101">
        <v>0.50739645308062697</v>
      </c>
      <c r="K1101" s="2043">
        <v>767437.13528444804</v>
      </c>
      <c r="L1101" s="2043">
        <v>767437.13528444804</v>
      </c>
      <c r="M1101">
        <v>599</v>
      </c>
      <c r="N1101">
        <v>1</v>
      </c>
    </row>
    <row r="1102" spans="1:14">
      <c r="A1102" t="s">
        <v>3005</v>
      </c>
      <c r="B1102" t="s">
        <v>748</v>
      </c>
      <c r="C1102" t="s">
        <v>1556</v>
      </c>
      <c r="D1102" s="41">
        <v>9</v>
      </c>
      <c r="E1102" s="41">
        <v>2331</v>
      </c>
      <c r="F1102" s="41" t="s">
        <v>3954</v>
      </c>
      <c r="G1102" s="41" t="s">
        <v>5583</v>
      </c>
      <c r="H1102" s="2043">
        <v>1512500</v>
      </c>
      <c r="I1102" s="2043">
        <v>215348</v>
      </c>
      <c r="J1102">
        <v>9.8306519241277507E-2</v>
      </c>
      <c r="K1102" s="2043">
        <v>148688.61035243201</v>
      </c>
      <c r="L1102" s="2043">
        <v>148688.61035243201</v>
      </c>
      <c r="M1102">
        <v>599</v>
      </c>
      <c r="N1102">
        <v>1</v>
      </c>
    </row>
    <row r="1103" spans="1:14">
      <c r="A1103" t="s">
        <v>5045</v>
      </c>
      <c r="B1103" t="s">
        <v>749</v>
      </c>
      <c r="C1103" t="s">
        <v>1557</v>
      </c>
      <c r="D1103" s="41">
        <v>11</v>
      </c>
      <c r="E1103" s="41">
        <v>2561</v>
      </c>
      <c r="F1103" s="41" t="s">
        <v>7187</v>
      </c>
      <c r="G1103" s="41" t="s">
        <v>7187</v>
      </c>
      <c r="H1103" s="2043">
        <v>93975</v>
      </c>
      <c r="I1103" s="2043">
        <v>30562</v>
      </c>
      <c r="J1103">
        <v>0.316376811594203</v>
      </c>
      <c r="K1103" s="2043">
        <v>29731.510869565202</v>
      </c>
      <c r="L1103" s="2043">
        <v>29731.510869565202</v>
      </c>
      <c r="M1103">
        <v>599</v>
      </c>
      <c r="N1103">
        <v>1</v>
      </c>
    </row>
    <row r="1104" spans="1:14">
      <c r="A1104" t="s">
        <v>5045</v>
      </c>
      <c r="B1104" t="s">
        <v>749</v>
      </c>
      <c r="C1104" t="s">
        <v>1557</v>
      </c>
      <c r="D1104" s="41">
        <v>11</v>
      </c>
      <c r="E1104" s="41">
        <v>2561</v>
      </c>
      <c r="F1104" s="41" t="s">
        <v>7187</v>
      </c>
      <c r="G1104" s="41" t="s">
        <v>9342</v>
      </c>
      <c r="H1104" s="2043">
        <v>93975</v>
      </c>
      <c r="I1104" s="2043">
        <v>66038</v>
      </c>
      <c r="J1104">
        <v>0.68362318840579706</v>
      </c>
      <c r="K1104" s="2043">
        <v>64243.489130434798</v>
      </c>
      <c r="L1104" s="2043">
        <v>64243.489130434798</v>
      </c>
      <c r="M1104">
        <v>599</v>
      </c>
      <c r="N1104">
        <v>1</v>
      </c>
    </row>
    <row r="1105" spans="1:14">
      <c r="A1105" t="s">
        <v>3006</v>
      </c>
      <c r="B1105" t="s">
        <v>1164</v>
      </c>
      <c r="C1105" t="s">
        <v>2232</v>
      </c>
      <c r="D1105" s="41">
        <v>5</v>
      </c>
      <c r="E1105" s="41">
        <v>2420</v>
      </c>
      <c r="F1105" s="41" t="s">
        <v>3957</v>
      </c>
      <c r="G1105" s="41" t="s">
        <v>3957</v>
      </c>
      <c r="H1105" s="2043">
        <v>304630</v>
      </c>
      <c r="I1105" s="2043">
        <v>0</v>
      </c>
      <c r="J1105">
        <v>0</v>
      </c>
      <c r="K1105" s="2043">
        <v>0</v>
      </c>
      <c r="L1105" s="2043">
        <v>0</v>
      </c>
      <c r="M1105">
        <v>599</v>
      </c>
      <c r="N1105">
        <v>0</v>
      </c>
    </row>
    <row r="1106" spans="1:14">
      <c r="A1106" t="s">
        <v>3006</v>
      </c>
      <c r="B1106" t="s">
        <v>1164</v>
      </c>
      <c r="C1106" t="s">
        <v>2232</v>
      </c>
      <c r="D1106" s="41">
        <v>5</v>
      </c>
      <c r="E1106" s="41">
        <v>2420</v>
      </c>
      <c r="F1106" s="41" t="s">
        <v>3957</v>
      </c>
      <c r="G1106" s="41" t="s">
        <v>3958</v>
      </c>
      <c r="H1106" s="2043">
        <v>304630</v>
      </c>
      <c r="I1106" s="2043">
        <v>432320</v>
      </c>
      <c r="J1106">
        <v>1</v>
      </c>
      <c r="K1106" s="2043">
        <v>304630</v>
      </c>
      <c r="L1106" s="2043">
        <v>304630</v>
      </c>
      <c r="M1106">
        <v>599</v>
      </c>
      <c r="N1106">
        <v>1</v>
      </c>
    </row>
    <row r="1107" spans="1:14">
      <c r="A1107" t="s">
        <v>3006</v>
      </c>
      <c r="B1107" t="s">
        <v>1164</v>
      </c>
      <c r="C1107" t="s">
        <v>2232</v>
      </c>
      <c r="D1107" s="41">
        <v>6</v>
      </c>
      <c r="E1107" s="41">
        <v>2418</v>
      </c>
      <c r="F1107" s="41" t="s">
        <v>3959</v>
      </c>
      <c r="G1107" s="41" t="s">
        <v>3959</v>
      </c>
      <c r="H1107" s="2043">
        <v>15230</v>
      </c>
      <c r="I1107" s="2043">
        <v>0</v>
      </c>
      <c r="J1107">
        <v>0</v>
      </c>
      <c r="K1107" s="2043">
        <v>0</v>
      </c>
      <c r="L1107" s="2043">
        <v>0</v>
      </c>
      <c r="M1107">
        <v>599</v>
      </c>
      <c r="N1107">
        <v>0</v>
      </c>
    </row>
    <row r="1108" spans="1:14">
      <c r="A1108" t="s">
        <v>3006</v>
      </c>
      <c r="B1108" t="s">
        <v>1164</v>
      </c>
      <c r="C1108" t="s">
        <v>2232</v>
      </c>
      <c r="D1108" s="41">
        <v>6</v>
      </c>
      <c r="E1108" s="41">
        <v>2418</v>
      </c>
      <c r="F1108" s="41" t="s">
        <v>3959</v>
      </c>
      <c r="G1108" s="41" t="s">
        <v>3960</v>
      </c>
      <c r="H1108" s="2043">
        <v>15230</v>
      </c>
      <c r="I1108" s="2043">
        <v>273950</v>
      </c>
      <c r="J1108">
        <v>1</v>
      </c>
      <c r="K1108" s="2043">
        <v>15230</v>
      </c>
      <c r="L1108" s="2043">
        <v>15230</v>
      </c>
      <c r="M1108">
        <v>599</v>
      </c>
      <c r="N1108">
        <v>1</v>
      </c>
    </row>
    <row r="1109" spans="1:14">
      <c r="A1109" t="s">
        <v>3006</v>
      </c>
      <c r="B1109" t="s">
        <v>1164</v>
      </c>
      <c r="C1109" t="s">
        <v>2232</v>
      </c>
      <c r="D1109" s="41">
        <v>9</v>
      </c>
      <c r="E1109" s="41">
        <v>2419</v>
      </c>
      <c r="F1109" s="41" t="s">
        <v>3961</v>
      </c>
      <c r="G1109" s="41" t="s">
        <v>3961</v>
      </c>
      <c r="H1109" s="2043">
        <v>292584</v>
      </c>
      <c r="I1109" s="2043">
        <v>0</v>
      </c>
      <c r="J1109">
        <v>0</v>
      </c>
      <c r="K1109" s="2043">
        <v>0</v>
      </c>
      <c r="L1109" s="2043">
        <v>0</v>
      </c>
      <c r="M1109">
        <v>599</v>
      </c>
      <c r="N1109">
        <v>1</v>
      </c>
    </row>
    <row r="1110" spans="1:14">
      <c r="A1110" t="s">
        <v>3006</v>
      </c>
      <c r="B1110" t="s">
        <v>1164</v>
      </c>
      <c r="C1110" t="s">
        <v>2232</v>
      </c>
      <c r="D1110" s="41">
        <v>9</v>
      </c>
      <c r="E1110" s="41">
        <v>2419</v>
      </c>
      <c r="F1110" s="41" t="s">
        <v>3961</v>
      </c>
      <c r="G1110" s="41" t="s">
        <v>8564</v>
      </c>
      <c r="H1110" s="2043">
        <v>292584</v>
      </c>
      <c r="I1110" s="2043">
        <v>376030</v>
      </c>
      <c r="J1110">
        <v>1</v>
      </c>
      <c r="K1110" s="2043">
        <v>292584</v>
      </c>
      <c r="L1110" s="2043">
        <v>292584</v>
      </c>
      <c r="M1110">
        <v>599</v>
      </c>
      <c r="N1110">
        <v>1</v>
      </c>
    </row>
    <row r="1111" spans="1:14">
      <c r="A1111" t="s">
        <v>3007</v>
      </c>
      <c r="B1111" t="s">
        <v>1165</v>
      </c>
      <c r="C1111" t="s">
        <v>1259</v>
      </c>
      <c r="D1111" s="41">
        <v>5</v>
      </c>
      <c r="E1111" s="41">
        <v>2452</v>
      </c>
      <c r="F1111" s="41" t="s">
        <v>3962</v>
      </c>
      <c r="G1111" s="41" t="s">
        <v>3962</v>
      </c>
      <c r="H1111" s="2043">
        <v>323783</v>
      </c>
      <c r="I1111" s="2043">
        <v>0</v>
      </c>
      <c r="J1111">
        <v>0</v>
      </c>
      <c r="K1111" s="2043">
        <v>0</v>
      </c>
      <c r="L1111" s="2043">
        <v>0</v>
      </c>
      <c r="M1111">
        <v>599</v>
      </c>
      <c r="N1111">
        <v>0</v>
      </c>
    </row>
    <row r="1112" spans="1:14">
      <c r="A1112" t="s">
        <v>3007</v>
      </c>
      <c r="B1112" t="s">
        <v>1165</v>
      </c>
      <c r="C1112" t="s">
        <v>1259</v>
      </c>
      <c r="D1112" s="41">
        <v>5</v>
      </c>
      <c r="E1112" s="41">
        <v>2452</v>
      </c>
      <c r="F1112" s="41" t="s">
        <v>3962</v>
      </c>
      <c r="G1112" s="41" t="s">
        <v>3963</v>
      </c>
      <c r="H1112" s="2043">
        <v>323783</v>
      </c>
      <c r="I1112" s="2043">
        <v>343400</v>
      </c>
      <c r="J1112">
        <v>0.53574966730164097</v>
      </c>
      <c r="K1112" s="2043">
        <v>173466.634527927</v>
      </c>
      <c r="L1112" s="2043">
        <v>173466.634527927</v>
      </c>
      <c r="M1112">
        <v>599</v>
      </c>
      <c r="N1112">
        <v>1</v>
      </c>
    </row>
    <row r="1113" spans="1:14">
      <c r="A1113" t="s">
        <v>3007</v>
      </c>
      <c r="B1113" t="s">
        <v>1165</v>
      </c>
      <c r="C1113" t="s">
        <v>1259</v>
      </c>
      <c r="D1113" s="41">
        <v>5</v>
      </c>
      <c r="E1113" s="41">
        <v>2452</v>
      </c>
      <c r="F1113" s="41" t="s">
        <v>3962</v>
      </c>
      <c r="G1113" s="41" t="s">
        <v>9343</v>
      </c>
      <c r="H1113" s="2043">
        <v>323783</v>
      </c>
      <c r="I1113" s="2043">
        <v>297571</v>
      </c>
      <c r="J1113">
        <v>0.46425033269835903</v>
      </c>
      <c r="K1113" s="2043">
        <v>150316.365472073</v>
      </c>
      <c r="L1113" s="2043">
        <v>150316.365472073</v>
      </c>
      <c r="M1113">
        <v>599</v>
      </c>
      <c r="N1113">
        <v>1</v>
      </c>
    </row>
    <row r="1114" spans="1:14">
      <c r="A1114" t="s">
        <v>3008</v>
      </c>
      <c r="B1114" t="s">
        <v>201</v>
      </c>
      <c r="C1114" t="s">
        <v>1981</v>
      </c>
      <c r="D1114" s="41">
        <v>2</v>
      </c>
      <c r="E1114" s="41">
        <v>2207</v>
      </c>
      <c r="F1114" s="41" t="s">
        <v>3964</v>
      </c>
      <c r="G1114" s="41" t="s">
        <v>3964</v>
      </c>
      <c r="H1114" s="2043">
        <v>315852</v>
      </c>
      <c r="I1114" s="2043">
        <v>0</v>
      </c>
      <c r="J1114">
        <v>0</v>
      </c>
      <c r="K1114" s="2043">
        <v>0</v>
      </c>
      <c r="L1114" s="2043">
        <v>0</v>
      </c>
      <c r="M1114">
        <v>599</v>
      </c>
      <c r="N1114">
        <v>0</v>
      </c>
    </row>
    <row r="1115" spans="1:14">
      <c r="A1115" t="s">
        <v>3008</v>
      </c>
      <c r="B1115" t="s">
        <v>201</v>
      </c>
      <c r="C1115" t="s">
        <v>1981</v>
      </c>
      <c r="D1115" s="41">
        <v>2</v>
      </c>
      <c r="E1115" s="41">
        <v>2207</v>
      </c>
      <c r="F1115" s="41" t="s">
        <v>3964</v>
      </c>
      <c r="G1115" s="41" t="s">
        <v>3965</v>
      </c>
      <c r="H1115" s="2043">
        <v>315852</v>
      </c>
      <c r="I1115" s="2043">
        <v>0</v>
      </c>
      <c r="J1115">
        <v>0</v>
      </c>
      <c r="K1115" s="2043">
        <v>0</v>
      </c>
      <c r="L1115" s="2043">
        <v>0</v>
      </c>
      <c r="M1115">
        <v>599</v>
      </c>
      <c r="N1115">
        <v>1</v>
      </c>
    </row>
    <row r="1116" spans="1:14">
      <c r="A1116" t="s">
        <v>3008</v>
      </c>
      <c r="B1116" t="s">
        <v>201</v>
      </c>
      <c r="C1116" t="s">
        <v>1981</v>
      </c>
      <c r="D1116" s="41">
        <v>2</v>
      </c>
      <c r="E1116" s="41">
        <v>2207</v>
      </c>
      <c r="F1116" s="41" t="s">
        <v>3964</v>
      </c>
      <c r="G1116" s="41" t="s">
        <v>5401</v>
      </c>
      <c r="H1116" s="2043">
        <v>315852</v>
      </c>
      <c r="I1116" s="2043">
        <v>664560</v>
      </c>
      <c r="J1116">
        <v>1</v>
      </c>
      <c r="K1116" s="2043">
        <v>315852</v>
      </c>
      <c r="L1116" s="2043">
        <v>315852</v>
      </c>
      <c r="M1116">
        <v>599</v>
      </c>
      <c r="N1116">
        <v>1</v>
      </c>
    </row>
    <row r="1117" spans="1:14">
      <c r="A1117" t="s">
        <v>3009</v>
      </c>
      <c r="B1117" t="s">
        <v>1232</v>
      </c>
      <c r="C1117" t="s">
        <v>1636</v>
      </c>
      <c r="D1117" s="41">
        <v>3</v>
      </c>
      <c r="E1117" s="41">
        <v>1862</v>
      </c>
      <c r="F1117" s="41" t="s">
        <v>3966</v>
      </c>
      <c r="G1117" s="41" t="s">
        <v>3966</v>
      </c>
      <c r="H1117" s="2043">
        <v>145000</v>
      </c>
      <c r="I1117" s="2043">
        <v>0</v>
      </c>
      <c r="J1117">
        <v>0</v>
      </c>
      <c r="L1117" s="2043">
        <v>0</v>
      </c>
      <c r="M1117">
        <v>599</v>
      </c>
      <c r="N1117">
        <v>0</v>
      </c>
    </row>
    <row r="1118" spans="1:14">
      <c r="A1118" t="s">
        <v>3009</v>
      </c>
      <c r="B1118" t="s">
        <v>1232</v>
      </c>
      <c r="C1118" t="s">
        <v>1636</v>
      </c>
      <c r="D1118" s="41">
        <v>3</v>
      </c>
      <c r="E1118" s="41">
        <v>1862</v>
      </c>
      <c r="F1118" s="41" t="s">
        <v>3966</v>
      </c>
      <c r="G1118" s="41" t="s">
        <v>3967</v>
      </c>
      <c r="H1118" s="2043">
        <v>145000</v>
      </c>
      <c r="I1118" s="2043">
        <v>0</v>
      </c>
      <c r="J1118">
        <v>0</v>
      </c>
      <c r="L1118" s="2043">
        <v>0</v>
      </c>
      <c r="M1118">
        <v>599</v>
      </c>
      <c r="N1118">
        <v>1</v>
      </c>
    </row>
    <row r="1119" spans="1:14">
      <c r="A1119" t="s">
        <v>3009</v>
      </c>
      <c r="B1119" t="s">
        <v>1232</v>
      </c>
      <c r="C1119" t="s">
        <v>1636</v>
      </c>
      <c r="D1119" s="41">
        <v>9</v>
      </c>
      <c r="E1119" s="41">
        <v>1861</v>
      </c>
      <c r="F1119" s="41" t="s">
        <v>3968</v>
      </c>
      <c r="G1119" s="41" t="s">
        <v>3968</v>
      </c>
      <c r="H1119" s="2043">
        <v>129415</v>
      </c>
      <c r="I1119" s="2043">
        <v>0</v>
      </c>
      <c r="J1119">
        <v>0</v>
      </c>
      <c r="K1119" s="2043">
        <v>0</v>
      </c>
      <c r="L1119" s="2043">
        <v>0</v>
      </c>
      <c r="M1119">
        <v>599</v>
      </c>
      <c r="N1119">
        <v>1</v>
      </c>
    </row>
    <row r="1120" spans="1:14">
      <c r="A1120" t="s">
        <v>3009</v>
      </c>
      <c r="B1120" t="s">
        <v>1232</v>
      </c>
      <c r="C1120" t="s">
        <v>1636</v>
      </c>
      <c r="D1120" s="41">
        <v>9</v>
      </c>
      <c r="E1120" s="41">
        <v>1861</v>
      </c>
      <c r="F1120" s="41" t="s">
        <v>3968</v>
      </c>
      <c r="G1120" s="41" t="s">
        <v>5584</v>
      </c>
      <c r="H1120" s="2043">
        <v>129415</v>
      </c>
      <c r="I1120" s="2043">
        <v>108927</v>
      </c>
      <c r="J1120">
        <v>1</v>
      </c>
      <c r="K1120" s="2043">
        <v>129415</v>
      </c>
      <c r="L1120" s="2043">
        <v>108927</v>
      </c>
      <c r="M1120">
        <v>599</v>
      </c>
      <c r="N1120">
        <v>1</v>
      </c>
    </row>
    <row r="1121" spans="1:14">
      <c r="A1121" t="s">
        <v>3009</v>
      </c>
      <c r="B1121" t="s">
        <v>1232</v>
      </c>
      <c r="C1121" t="s">
        <v>1636</v>
      </c>
      <c r="D1121" s="41">
        <v>11</v>
      </c>
      <c r="E1121" s="41">
        <v>2533</v>
      </c>
      <c r="F1121" s="41" t="s">
        <v>7188</v>
      </c>
      <c r="G1121" s="41" t="s">
        <v>7188</v>
      </c>
      <c r="H1121" s="2043">
        <v>31500</v>
      </c>
      <c r="I1121" s="2043">
        <v>31500</v>
      </c>
      <c r="J1121">
        <v>1</v>
      </c>
      <c r="K1121" s="2043">
        <v>31500</v>
      </c>
      <c r="L1121" s="2043">
        <v>31500</v>
      </c>
      <c r="M1121">
        <v>599</v>
      </c>
      <c r="N1121">
        <v>1</v>
      </c>
    </row>
    <row r="1122" spans="1:14">
      <c r="A1122" t="s">
        <v>3009</v>
      </c>
      <c r="B1122" t="s">
        <v>1232</v>
      </c>
      <c r="C1122" t="s">
        <v>1636</v>
      </c>
      <c r="D1122" s="41">
        <v>11</v>
      </c>
      <c r="E1122" s="41">
        <v>2534</v>
      </c>
      <c r="F1122" s="41" t="s">
        <v>7189</v>
      </c>
      <c r="G1122" s="41" t="s">
        <v>7189</v>
      </c>
      <c r="H1122" s="2043">
        <v>156750</v>
      </c>
      <c r="I1122" s="2043">
        <v>117250</v>
      </c>
      <c r="J1122">
        <v>1</v>
      </c>
      <c r="K1122" s="2043">
        <v>156750</v>
      </c>
      <c r="L1122" s="2043">
        <v>117250</v>
      </c>
      <c r="M1122">
        <v>599</v>
      </c>
      <c r="N1122">
        <v>0</v>
      </c>
    </row>
    <row r="1123" spans="1:14">
      <c r="A1123" t="s">
        <v>3969</v>
      </c>
      <c r="B1123" t="s">
        <v>432</v>
      </c>
      <c r="C1123" t="s">
        <v>2007</v>
      </c>
      <c r="D1123" s="41">
        <v>1</v>
      </c>
      <c r="E1123" s="41">
        <v>2034</v>
      </c>
      <c r="F1123" s="41" t="s">
        <v>3970</v>
      </c>
      <c r="G1123" s="41" t="s">
        <v>3970</v>
      </c>
      <c r="H1123" s="2043">
        <v>346003</v>
      </c>
      <c r="I1123" s="2043">
        <v>0</v>
      </c>
      <c r="J1123">
        <v>0</v>
      </c>
      <c r="L1123" s="2043">
        <v>0</v>
      </c>
      <c r="M1123">
        <v>599</v>
      </c>
      <c r="N1123">
        <v>0</v>
      </c>
    </row>
    <row r="1124" spans="1:14">
      <c r="A1124" t="s">
        <v>3010</v>
      </c>
      <c r="B1124" t="s">
        <v>1420</v>
      </c>
      <c r="C1124" t="s">
        <v>1829</v>
      </c>
      <c r="D1124" s="41">
        <v>2</v>
      </c>
      <c r="E1124" s="41">
        <v>2375</v>
      </c>
      <c r="F1124" s="41" t="s">
        <v>3971</v>
      </c>
      <c r="G1124" s="41" t="s">
        <v>3971</v>
      </c>
      <c r="H1124" s="2043">
        <v>398517</v>
      </c>
      <c r="I1124" s="2043">
        <v>0</v>
      </c>
      <c r="J1124">
        <v>0</v>
      </c>
      <c r="K1124" s="2043">
        <v>0</v>
      </c>
      <c r="L1124" s="2043">
        <v>0</v>
      </c>
      <c r="M1124">
        <v>599</v>
      </c>
      <c r="N1124">
        <v>0</v>
      </c>
    </row>
    <row r="1125" spans="1:14">
      <c r="A1125" t="s">
        <v>3010</v>
      </c>
      <c r="B1125" t="s">
        <v>1420</v>
      </c>
      <c r="C1125" t="s">
        <v>1829</v>
      </c>
      <c r="D1125" s="41">
        <v>2</v>
      </c>
      <c r="E1125" s="41">
        <v>2375</v>
      </c>
      <c r="F1125" s="41" t="s">
        <v>3971</v>
      </c>
      <c r="G1125" s="41" t="s">
        <v>3972</v>
      </c>
      <c r="H1125" s="2043">
        <v>398517</v>
      </c>
      <c r="I1125" s="2043">
        <v>0</v>
      </c>
      <c r="J1125">
        <v>0</v>
      </c>
      <c r="K1125" s="2043">
        <v>0</v>
      </c>
      <c r="L1125" s="2043">
        <v>0</v>
      </c>
      <c r="M1125">
        <v>599</v>
      </c>
      <c r="N1125">
        <v>1</v>
      </c>
    </row>
    <row r="1126" spans="1:14">
      <c r="A1126" t="s">
        <v>3010</v>
      </c>
      <c r="B1126" t="s">
        <v>1420</v>
      </c>
      <c r="C1126" t="s">
        <v>1829</v>
      </c>
      <c r="D1126" s="41">
        <v>2</v>
      </c>
      <c r="E1126" s="41">
        <v>2375</v>
      </c>
      <c r="F1126" s="41" t="s">
        <v>3971</v>
      </c>
      <c r="G1126" s="41" t="s">
        <v>3973</v>
      </c>
      <c r="H1126" s="2043">
        <v>398517</v>
      </c>
      <c r="I1126" s="2043">
        <v>749277</v>
      </c>
      <c r="J1126">
        <v>0.912692824915464</v>
      </c>
      <c r="K1126" s="2043">
        <v>363723.60650683602</v>
      </c>
      <c r="L1126" s="2043">
        <v>363723.60650683602</v>
      </c>
      <c r="M1126">
        <v>599</v>
      </c>
      <c r="N1126">
        <v>1</v>
      </c>
    </row>
    <row r="1127" spans="1:14">
      <c r="A1127" t="s">
        <v>3010</v>
      </c>
      <c r="B1127" t="s">
        <v>1420</v>
      </c>
      <c r="C1127" t="s">
        <v>1829</v>
      </c>
      <c r="D1127" s="41">
        <v>2</v>
      </c>
      <c r="E1127" s="41">
        <v>2375</v>
      </c>
      <c r="F1127" s="41" t="s">
        <v>3971</v>
      </c>
      <c r="G1127" s="41" t="s">
        <v>5585</v>
      </c>
      <c r="H1127" s="2043">
        <v>398517</v>
      </c>
      <c r="I1127" s="2043">
        <v>0</v>
      </c>
      <c r="J1127">
        <v>0</v>
      </c>
      <c r="K1127" s="2043">
        <v>0</v>
      </c>
      <c r="L1127" s="2043">
        <v>0</v>
      </c>
      <c r="M1127">
        <v>599</v>
      </c>
      <c r="N1127">
        <v>1</v>
      </c>
    </row>
    <row r="1128" spans="1:14">
      <c r="A1128" t="s">
        <v>3010</v>
      </c>
      <c r="B1128" t="s">
        <v>1420</v>
      </c>
      <c r="C1128" t="s">
        <v>1829</v>
      </c>
      <c r="D1128" s="41">
        <v>2</v>
      </c>
      <c r="E1128" s="41">
        <v>2375</v>
      </c>
      <c r="F1128" s="41" t="s">
        <v>3971</v>
      </c>
      <c r="G1128" s="41" t="s">
        <v>9344</v>
      </c>
      <c r="H1128" s="2043">
        <v>398517</v>
      </c>
      <c r="I1128" s="2043">
        <v>71675</v>
      </c>
      <c r="J1128">
        <v>8.7307175084536004E-2</v>
      </c>
      <c r="K1128" s="2043">
        <v>34793.393493164003</v>
      </c>
      <c r="L1128" s="2043">
        <v>34793.393493164003</v>
      </c>
      <c r="M1128">
        <v>599</v>
      </c>
      <c r="N1128">
        <v>1</v>
      </c>
    </row>
    <row r="1129" spans="1:14">
      <c r="A1129" t="s">
        <v>3010</v>
      </c>
      <c r="B1129" t="s">
        <v>1420</v>
      </c>
      <c r="C1129" t="s">
        <v>1829</v>
      </c>
      <c r="D1129" s="41">
        <v>9</v>
      </c>
      <c r="E1129" s="41">
        <v>2376</v>
      </c>
      <c r="F1129" s="41" t="s">
        <v>3974</v>
      </c>
      <c r="G1129" s="41" t="s">
        <v>3974</v>
      </c>
      <c r="H1129" s="2043">
        <v>437500</v>
      </c>
      <c r="I1129" s="2043">
        <v>0</v>
      </c>
      <c r="J1129">
        <v>0</v>
      </c>
      <c r="K1129" s="2043">
        <v>0</v>
      </c>
      <c r="L1129" s="2043">
        <v>0</v>
      </c>
      <c r="M1129">
        <v>599</v>
      </c>
      <c r="N1129">
        <v>1</v>
      </c>
    </row>
    <row r="1130" spans="1:14">
      <c r="A1130" t="s">
        <v>3010</v>
      </c>
      <c r="B1130" t="s">
        <v>1420</v>
      </c>
      <c r="C1130" t="s">
        <v>1829</v>
      </c>
      <c r="D1130" s="41">
        <v>9</v>
      </c>
      <c r="E1130" s="41">
        <v>2376</v>
      </c>
      <c r="F1130" s="41" t="s">
        <v>3974</v>
      </c>
      <c r="G1130" s="41" t="s">
        <v>5402</v>
      </c>
      <c r="H1130" s="2043">
        <v>437500</v>
      </c>
      <c r="I1130" s="2043">
        <v>440053</v>
      </c>
      <c r="J1130">
        <v>0.35033863315921998</v>
      </c>
      <c r="K1130" s="2043">
        <v>153273.15200715899</v>
      </c>
      <c r="L1130" s="2043">
        <v>153273.15200715899</v>
      </c>
      <c r="M1130">
        <v>599</v>
      </c>
      <c r="N1130">
        <v>1</v>
      </c>
    </row>
    <row r="1131" spans="1:14">
      <c r="A1131" t="s">
        <v>3010</v>
      </c>
      <c r="B1131" t="s">
        <v>1420</v>
      </c>
      <c r="C1131" t="s">
        <v>1829</v>
      </c>
      <c r="D1131" s="41">
        <v>9</v>
      </c>
      <c r="E1131" s="41">
        <v>2376</v>
      </c>
      <c r="F1131" s="41" t="s">
        <v>3974</v>
      </c>
      <c r="G1131" s="41" t="s">
        <v>5586</v>
      </c>
      <c r="H1131" s="2043">
        <v>437500</v>
      </c>
      <c r="I1131" s="2043">
        <v>377573</v>
      </c>
      <c r="J1131">
        <v>0.30059653891196297</v>
      </c>
      <c r="K1131" s="2043">
        <v>131510.98577398399</v>
      </c>
      <c r="L1131" s="2043">
        <v>131510.98577398399</v>
      </c>
      <c r="M1131">
        <v>599</v>
      </c>
      <c r="N1131">
        <v>1</v>
      </c>
    </row>
    <row r="1132" spans="1:14">
      <c r="A1132" t="s">
        <v>3010</v>
      </c>
      <c r="B1132" t="s">
        <v>1420</v>
      </c>
      <c r="C1132" t="s">
        <v>1829</v>
      </c>
      <c r="D1132" s="41">
        <v>9</v>
      </c>
      <c r="E1132" s="41">
        <v>2376</v>
      </c>
      <c r="F1132" s="41" t="s">
        <v>3974</v>
      </c>
      <c r="G1132" s="41" t="s">
        <v>7190</v>
      </c>
      <c r="H1132" s="2043">
        <v>437500</v>
      </c>
      <c r="I1132" s="2043">
        <v>392973</v>
      </c>
      <c r="J1132">
        <v>0.312856914254597</v>
      </c>
      <c r="K1132" s="2043">
        <v>136874.89998638601</v>
      </c>
      <c r="L1132" s="2043">
        <v>136874.89998638601</v>
      </c>
      <c r="M1132">
        <v>599</v>
      </c>
      <c r="N1132">
        <v>1</v>
      </c>
    </row>
    <row r="1133" spans="1:14">
      <c r="A1133" t="s">
        <v>3010</v>
      </c>
      <c r="B1133" t="s">
        <v>1420</v>
      </c>
      <c r="C1133" t="s">
        <v>1829</v>
      </c>
      <c r="D1133" s="41">
        <v>9</v>
      </c>
      <c r="E1133" s="41">
        <v>2376</v>
      </c>
      <c r="F1133" s="41" t="s">
        <v>3974</v>
      </c>
      <c r="G1133" s="41" t="s">
        <v>8565</v>
      </c>
      <c r="H1133" s="2043">
        <v>437500</v>
      </c>
      <c r="I1133" s="2043">
        <v>45480</v>
      </c>
      <c r="J1133">
        <v>3.6207913674219501E-2</v>
      </c>
      <c r="K1133" s="2043">
        <v>15840.962232471</v>
      </c>
      <c r="L1133" s="2043">
        <v>15840.962232471</v>
      </c>
      <c r="M1133">
        <v>599</v>
      </c>
      <c r="N1133">
        <v>1</v>
      </c>
    </row>
    <row r="1134" spans="1:14">
      <c r="A1134" t="s">
        <v>3010</v>
      </c>
      <c r="B1134" t="s">
        <v>1420</v>
      </c>
      <c r="C1134" t="s">
        <v>1829</v>
      </c>
      <c r="D1134" s="41">
        <v>10</v>
      </c>
      <c r="E1134" s="41">
        <v>2377</v>
      </c>
      <c r="F1134" s="41" t="s">
        <v>3975</v>
      </c>
      <c r="G1134" s="41" t="s">
        <v>3975</v>
      </c>
      <c r="H1134" s="2043">
        <v>456338</v>
      </c>
      <c r="I1134" s="2043">
        <v>0</v>
      </c>
      <c r="J1134">
        <v>0</v>
      </c>
      <c r="K1134" s="2043">
        <v>0</v>
      </c>
      <c r="L1134" s="2043">
        <v>0</v>
      </c>
      <c r="M1134">
        <v>599</v>
      </c>
      <c r="N1134">
        <v>1</v>
      </c>
    </row>
    <row r="1135" spans="1:14">
      <c r="A1135" t="s">
        <v>3010</v>
      </c>
      <c r="B1135" t="s">
        <v>1420</v>
      </c>
      <c r="C1135" t="s">
        <v>1829</v>
      </c>
      <c r="D1135" s="41">
        <v>10</v>
      </c>
      <c r="E1135" s="41">
        <v>2377</v>
      </c>
      <c r="F1135" s="41" t="s">
        <v>3975</v>
      </c>
      <c r="G1135" s="41" t="s">
        <v>8565</v>
      </c>
      <c r="H1135" s="2043">
        <v>456338</v>
      </c>
      <c r="I1135" s="2043">
        <v>239309</v>
      </c>
      <c r="J1135">
        <v>1</v>
      </c>
      <c r="K1135" s="2043">
        <v>456338</v>
      </c>
      <c r="L1135" s="2043">
        <v>239309</v>
      </c>
      <c r="M1135">
        <v>599</v>
      </c>
      <c r="N1135">
        <v>1</v>
      </c>
    </row>
    <row r="1136" spans="1:14">
      <c r="A1136" t="s">
        <v>3010</v>
      </c>
      <c r="B1136" t="s">
        <v>1420</v>
      </c>
      <c r="C1136" t="s">
        <v>1829</v>
      </c>
      <c r="D1136" s="41">
        <v>11</v>
      </c>
      <c r="E1136" s="41">
        <v>2531</v>
      </c>
      <c r="F1136" s="41" t="s">
        <v>9345</v>
      </c>
      <c r="G1136" s="41" t="s">
        <v>9345</v>
      </c>
      <c r="H1136" s="2043">
        <v>0</v>
      </c>
      <c r="I1136" s="2043">
        <v>0</v>
      </c>
      <c r="J1136">
        <v>0</v>
      </c>
      <c r="L1136" s="2043">
        <v>0</v>
      </c>
      <c r="M1136">
        <v>599</v>
      </c>
      <c r="N1136">
        <v>0</v>
      </c>
    </row>
    <row r="1137" spans="1:14">
      <c r="A1137" t="s">
        <v>3011</v>
      </c>
      <c r="B1137" t="s">
        <v>2497</v>
      </c>
      <c r="C1137" t="s">
        <v>215</v>
      </c>
      <c r="D1137" s="41">
        <v>10</v>
      </c>
      <c r="E1137" s="41">
        <v>1924</v>
      </c>
      <c r="F1137" s="41" t="s">
        <v>3976</v>
      </c>
      <c r="G1137" s="41" t="s">
        <v>3976</v>
      </c>
      <c r="H1137" s="2043">
        <v>119954</v>
      </c>
      <c r="I1137" s="2043">
        <v>195900</v>
      </c>
      <c r="J1137">
        <v>0.32616024973985402</v>
      </c>
      <c r="K1137" s="2043">
        <v>39124.226597294502</v>
      </c>
      <c r="L1137" s="2043">
        <v>39124.226597294502</v>
      </c>
      <c r="M1137">
        <v>599</v>
      </c>
      <c r="N1137">
        <v>1</v>
      </c>
    </row>
    <row r="1138" spans="1:14">
      <c r="A1138" t="s">
        <v>3011</v>
      </c>
      <c r="B1138" t="s">
        <v>2497</v>
      </c>
      <c r="C1138" t="s">
        <v>215</v>
      </c>
      <c r="D1138" s="41">
        <v>10</v>
      </c>
      <c r="E1138" s="41">
        <v>1924</v>
      </c>
      <c r="F1138" s="41" t="s">
        <v>3976</v>
      </c>
      <c r="G1138" s="41" t="s">
        <v>7191</v>
      </c>
      <c r="H1138" s="2043">
        <v>119954</v>
      </c>
      <c r="I1138" s="2043">
        <v>404725</v>
      </c>
      <c r="J1138">
        <v>0.67383975026014598</v>
      </c>
      <c r="K1138" s="2043">
        <v>80829.773402705498</v>
      </c>
      <c r="L1138" s="2043">
        <v>80829.773402705498</v>
      </c>
      <c r="M1138">
        <v>599</v>
      </c>
      <c r="N1138">
        <v>1</v>
      </c>
    </row>
    <row r="1139" spans="1:14">
      <c r="A1139" t="s">
        <v>3012</v>
      </c>
      <c r="B1139" t="s">
        <v>467</v>
      </c>
      <c r="C1139" t="s">
        <v>1175</v>
      </c>
      <c r="D1139" s="41">
        <v>2</v>
      </c>
      <c r="E1139" s="41">
        <v>2324</v>
      </c>
      <c r="F1139" s="41" t="s">
        <v>3977</v>
      </c>
      <c r="G1139" s="41" t="s">
        <v>3977</v>
      </c>
      <c r="H1139" s="2043">
        <v>1582356</v>
      </c>
      <c r="I1139" s="2043">
        <v>0</v>
      </c>
      <c r="J1139">
        <v>0</v>
      </c>
      <c r="K1139" s="2043">
        <v>0</v>
      </c>
      <c r="L1139" s="2043">
        <v>0</v>
      </c>
      <c r="M1139">
        <v>599</v>
      </c>
      <c r="N1139">
        <v>0</v>
      </c>
    </row>
    <row r="1140" spans="1:14">
      <c r="A1140" t="s">
        <v>3012</v>
      </c>
      <c r="B1140" t="s">
        <v>467</v>
      </c>
      <c r="C1140" t="s">
        <v>1175</v>
      </c>
      <c r="D1140" s="41">
        <v>2</v>
      </c>
      <c r="E1140" s="41">
        <v>2324</v>
      </c>
      <c r="F1140" s="41" t="s">
        <v>3977</v>
      </c>
      <c r="G1140" s="41" t="s">
        <v>3978</v>
      </c>
      <c r="H1140" s="2043">
        <v>1582356</v>
      </c>
      <c r="I1140" s="2043">
        <v>0</v>
      </c>
      <c r="J1140">
        <v>0</v>
      </c>
      <c r="K1140" s="2043">
        <v>0</v>
      </c>
      <c r="L1140" s="2043">
        <v>0</v>
      </c>
      <c r="M1140">
        <v>599</v>
      </c>
      <c r="N1140">
        <v>0</v>
      </c>
    </row>
    <row r="1141" spans="1:14">
      <c r="A1141" t="s">
        <v>3012</v>
      </c>
      <c r="B1141" t="s">
        <v>467</v>
      </c>
      <c r="C1141" t="s">
        <v>1175</v>
      </c>
      <c r="D1141" s="41">
        <v>2</v>
      </c>
      <c r="E1141" s="41">
        <v>2324</v>
      </c>
      <c r="F1141" s="41" t="s">
        <v>3977</v>
      </c>
      <c r="G1141" s="41" t="s">
        <v>3979</v>
      </c>
      <c r="H1141" s="2043">
        <v>1582356</v>
      </c>
      <c r="I1141" s="2043">
        <v>1428218</v>
      </c>
      <c r="J1141">
        <v>1</v>
      </c>
      <c r="K1141" s="2043">
        <v>1582356</v>
      </c>
      <c r="L1141" s="2043">
        <v>1428218</v>
      </c>
      <c r="M1141">
        <v>599</v>
      </c>
      <c r="N1141">
        <v>1</v>
      </c>
    </row>
    <row r="1142" spans="1:14">
      <c r="A1142" t="s">
        <v>3012</v>
      </c>
      <c r="B1142" t="s">
        <v>467</v>
      </c>
      <c r="C1142" t="s">
        <v>1175</v>
      </c>
      <c r="D1142" s="41">
        <v>6</v>
      </c>
      <c r="E1142" s="41">
        <v>2323</v>
      </c>
      <c r="F1142" s="41" t="s">
        <v>3980</v>
      </c>
      <c r="G1142" s="41" t="s">
        <v>3980</v>
      </c>
      <c r="H1142" s="2043">
        <v>931261</v>
      </c>
      <c r="I1142" s="2043">
        <v>0</v>
      </c>
      <c r="J1142">
        <v>0</v>
      </c>
      <c r="K1142" s="2043">
        <v>0</v>
      </c>
      <c r="L1142" s="2043">
        <v>0</v>
      </c>
      <c r="M1142">
        <v>599</v>
      </c>
      <c r="N1142">
        <v>0</v>
      </c>
    </row>
    <row r="1143" spans="1:14">
      <c r="A1143" t="s">
        <v>3012</v>
      </c>
      <c r="B1143" t="s">
        <v>467</v>
      </c>
      <c r="C1143" t="s">
        <v>1175</v>
      </c>
      <c r="D1143" s="41">
        <v>6</v>
      </c>
      <c r="E1143" s="41">
        <v>2323</v>
      </c>
      <c r="F1143" s="41" t="s">
        <v>3980</v>
      </c>
      <c r="G1143" s="41" t="s">
        <v>3981</v>
      </c>
      <c r="H1143" s="2043">
        <v>931261</v>
      </c>
      <c r="I1143" s="2043">
        <v>0</v>
      </c>
      <c r="J1143">
        <v>0</v>
      </c>
      <c r="K1143" s="2043">
        <v>0</v>
      </c>
      <c r="L1143" s="2043">
        <v>0</v>
      </c>
      <c r="M1143">
        <v>599</v>
      </c>
      <c r="N1143">
        <v>1</v>
      </c>
    </row>
    <row r="1144" spans="1:14">
      <c r="A1144" t="s">
        <v>3012</v>
      </c>
      <c r="B1144" t="s">
        <v>467</v>
      </c>
      <c r="C1144" t="s">
        <v>1175</v>
      </c>
      <c r="D1144" s="41">
        <v>6</v>
      </c>
      <c r="E1144" s="41">
        <v>2323</v>
      </c>
      <c r="F1144" s="41" t="s">
        <v>3980</v>
      </c>
      <c r="G1144" s="41" t="s">
        <v>3982</v>
      </c>
      <c r="H1144" s="2043">
        <v>931261</v>
      </c>
      <c r="I1144" s="2043">
        <v>1054126</v>
      </c>
      <c r="J1144">
        <v>0.82478213175219395</v>
      </c>
      <c r="K1144" s="2043">
        <v>768087.43279768003</v>
      </c>
      <c r="L1144" s="2043">
        <v>768087.43279768003</v>
      </c>
      <c r="M1144">
        <v>599</v>
      </c>
      <c r="N1144">
        <v>1</v>
      </c>
    </row>
    <row r="1145" spans="1:14">
      <c r="A1145" t="s">
        <v>3012</v>
      </c>
      <c r="B1145" t="s">
        <v>467</v>
      </c>
      <c r="C1145" t="s">
        <v>1175</v>
      </c>
      <c r="D1145" s="41">
        <v>6</v>
      </c>
      <c r="E1145" s="41">
        <v>2323</v>
      </c>
      <c r="F1145" s="41" t="s">
        <v>3980</v>
      </c>
      <c r="G1145" s="41" t="s">
        <v>5587</v>
      </c>
      <c r="H1145" s="2043">
        <v>931261</v>
      </c>
      <c r="I1145" s="2043">
        <v>223940</v>
      </c>
      <c r="J1145">
        <v>0.175217868247806</v>
      </c>
      <c r="K1145" s="2043">
        <v>163173.56720232</v>
      </c>
      <c r="L1145" s="2043">
        <v>163173.56720232</v>
      </c>
      <c r="M1145">
        <v>599</v>
      </c>
      <c r="N1145">
        <v>1</v>
      </c>
    </row>
    <row r="1146" spans="1:14">
      <c r="A1146" t="s">
        <v>3013</v>
      </c>
      <c r="B1146" t="s">
        <v>465</v>
      </c>
      <c r="C1146" t="s">
        <v>1173</v>
      </c>
      <c r="D1146" s="41">
        <v>1</v>
      </c>
      <c r="E1146" s="41">
        <v>2316</v>
      </c>
      <c r="F1146" s="41" t="s">
        <v>3983</v>
      </c>
      <c r="G1146" s="41" t="s">
        <v>3983</v>
      </c>
      <c r="H1146" s="2043">
        <v>328404</v>
      </c>
      <c r="I1146" s="2043">
        <v>0</v>
      </c>
      <c r="J1146">
        <v>0</v>
      </c>
      <c r="L1146" s="2043">
        <v>0</v>
      </c>
      <c r="M1146">
        <v>599</v>
      </c>
      <c r="N1146">
        <v>0</v>
      </c>
    </row>
    <row r="1147" spans="1:14">
      <c r="A1147" t="s">
        <v>3013</v>
      </c>
      <c r="B1147" t="s">
        <v>465</v>
      </c>
      <c r="C1147" t="s">
        <v>1173</v>
      </c>
      <c r="D1147" s="41">
        <v>1</v>
      </c>
      <c r="E1147" s="41">
        <v>2317</v>
      </c>
      <c r="F1147" s="41" t="s">
        <v>3986</v>
      </c>
      <c r="G1147" s="41" t="s">
        <v>3986</v>
      </c>
      <c r="H1147" s="2043">
        <v>445556</v>
      </c>
      <c r="I1147" s="2043">
        <v>0</v>
      </c>
      <c r="J1147">
        <v>0</v>
      </c>
      <c r="L1147" s="2043">
        <v>0</v>
      </c>
      <c r="M1147">
        <v>599</v>
      </c>
      <c r="N1147">
        <v>0</v>
      </c>
    </row>
    <row r="1148" spans="1:14">
      <c r="A1148" t="s">
        <v>3013</v>
      </c>
      <c r="B1148" t="s">
        <v>465</v>
      </c>
      <c r="C1148" t="s">
        <v>1173</v>
      </c>
      <c r="D1148" s="41">
        <v>6</v>
      </c>
      <c r="E1148" s="41">
        <v>2320</v>
      </c>
      <c r="F1148" s="41" t="s">
        <v>3987</v>
      </c>
      <c r="G1148" s="41" t="s">
        <v>3987</v>
      </c>
      <c r="H1148" s="2043">
        <v>1730235</v>
      </c>
      <c r="I1148" s="2043">
        <v>80050</v>
      </c>
      <c r="J1148">
        <v>2.4921577198048901E-2</v>
      </c>
      <c r="K1148" s="2043">
        <v>43120.185123266099</v>
      </c>
      <c r="L1148" s="2043">
        <v>43120.185123266099</v>
      </c>
      <c r="M1148">
        <v>599</v>
      </c>
      <c r="N1148">
        <v>1</v>
      </c>
    </row>
    <row r="1149" spans="1:14">
      <c r="A1149" t="s">
        <v>3013</v>
      </c>
      <c r="B1149" t="s">
        <v>465</v>
      </c>
      <c r="C1149" t="s">
        <v>1173</v>
      </c>
      <c r="D1149" s="41">
        <v>6</v>
      </c>
      <c r="E1149" s="41">
        <v>2320</v>
      </c>
      <c r="F1149" s="41" t="s">
        <v>3987</v>
      </c>
      <c r="G1149" s="41" t="s">
        <v>3984</v>
      </c>
      <c r="H1149" s="2043">
        <v>1730235</v>
      </c>
      <c r="I1149" s="2043">
        <v>2027125</v>
      </c>
      <c r="J1149">
        <v>0.63109496786501895</v>
      </c>
      <c r="K1149" s="2043">
        <v>1091942.6017239301</v>
      </c>
      <c r="L1149" s="2043">
        <v>1091942.6017239301</v>
      </c>
      <c r="M1149">
        <v>599</v>
      </c>
      <c r="N1149">
        <v>1</v>
      </c>
    </row>
    <row r="1150" spans="1:14">
      <c r="A1150" t="s">
        <v>3013</v>
      </c>
      <c r="B1150" t="s">
        <v>465</v>
      </c>
      <c r="C1150" t="s">
        <v>1173</v>
      </c>
      <c r="D1150" s="41">
        <v>6</v>
      </c>
      <c r="E1150" s="41">
        <v>2320</v>
      </c>
      <c r="F1150" s="41" t="s">
        <v>3987</v>
      </c>
      <c r="G1150" s="41" t="s">
        <v>3985</v>
      </c>
      <c r="H1150" s="2043">
        <v>1730235</v>
      </c>
      <c r="I1150" s="2043">
        <v>74313</v>
      </c>
      <c r="J1150">
        <v>2.3135504888427302E-2</v>
      </c>
      <c r="K1150" s="2043">
        <v>40029.860300628003</v>
      </c>
      <c r="L1150" s="2043">
        <v>40029.860300628003</v>
      </c>
      <c r="M1150">
        <v>599</v>
      </c>
      <c r="N1150">
        <v>1</v>
      </c>
    </row>
    <row r="1151" spans="1:14">
      <c r="A1151" t="s">
        <v>3013</v>
      </c>
      <c r="B1151" t="s">
        <v>465</v>
      </c>
      <c r="C1151" t="s">
        <v>1173</v>
      </c>
      <c r="D1151" s="41">
        <v>6</v>
      </c>
      <c r="E1151" s="41">
        <v>2320</v>
      </c>
      <c r="F1151" s="41" t="s">
        <v>3987</v>
      </c>
      <c r="G1151" s="41" t="s">
        <v>8566</v>
      </c>
      <c r="H1151" s="2043">
        <v>1730235</v>
      </c>
      <c r="I1151" s="2043">
        <v>974950</v>
      </c>
      <c r="J1151">
        <v>0.30352644208916602</v>
      </c>
      <c r="K1151" s="2043">
        <v>525172.073528148</v>
      </c>
      <c r="L1151" s="2043">
        <v>525172.073528148</v>
      </c>
      <c r="M1151">
        <v>599</v>
      </c>
      <c r="N1151">
        <v>1</v>
      </c>
    </row>
    <row r="1152" spans="1:14">
      <c r="A1152" t="s">
        <v>3013</v>
      </c>
      <c r="B1152" t="s">
        <v>465</v>
      </c>
      <c r="C1152" t="s">
        <v>1173</v>
      </c>
      <c r="D1152" s="41">
        <v>6</v>
      </c>
      <c r="E1152" s="41">
        <v>2320</v>
      </c>
      <c r="F1152" s="41" t="s">
        <v>3987</v>
      </c>
      <c r="G1152" s="41" t="s">
        <v>9346</v>
      </c>
      <c r="H1152" s="2043">
        <v>1730235</v>
      </c>
      <c r="I1152" s="2043">
        <v>55638</v>
      </c>
      <c r="J1152">
        <v>1.73215079593384E-2</v>
      </c>
      <c r="K1152" s="2043">
        <v>29970.279324026</v>
      </c>
      <c r="L1152" s="2043">
        <v>29970.279324026</v>
      </c>
      <c r="M1152">
        <v>599</v>
      </c>
      <c r="N1152">
        <v>1</v>
      </c>
    </row>
    <row r="1153" spans="1:14">
      <c r="A1153" t="s">
        <v>3013</v>
      </c>
      <c r="B1153" t="s">
        <v>465</v>
      </c>
      <c r="C1153" t="s">
        <v>1173</v>
      </c>
      <c r="D1153" s="41">
        <v>9</v>
      </c>
      <c r="E1153" s="41">
        <v>2319</v>
      </c>
      <c r="F1153" s="41" t="s">
        <v>3988</v>
      </c>
      <c r="G1153" s="41" t="s">
        <v>3988</v>
      </c>
      <c r="H1153" s="2043">
        <v>1351905</v>
      </c>
      <c r="I1153" s="2043">
        <v>0</v>
      </c>
      <c r="J1153">
        <v>0</v>
      </c>
      <c r="K1153" s="2043">
        <v>0</v>
      </c>
      <c r="L1153" s="2043">
        <v>0</v>
      </c>
      <c r="M1153">
        <v>599</v>
      </c>
      <c r="N1153">
        <v>1</v>
      </c>
    </row>
    <row r="1154" spans="1:14">
      <c r="A1154" t="s">
        <v>3013</v>
      </c>
      <c r="B1154" t="s">
        <v>465</v>
      </c>
      <c r="C1154" t="s">
        <v>1173</v>
      </c>
      <c r="D1154" s="41">
        <v>9</v>
      </c>
      <c r="E1154" s="41">
        <v>2319</v>
      </c>
      <c r="F1154" s="41" t="s">
        <v>3988</v>
      </c>
      <c r="G1154" s="41" t="s">
        <v>5403</v>
      </c>
      <c r="H1154" s="2043">
        <v>1351905</v>
      </c>
      <c r="I1154" s="2043">
        <v>0</v>
      </c>
      <c r="J1154">
        <v>0</v>
      </c>
      <c r="K1154" s="2043">
        <v>0</v>
      </c>
      <c r="L1154" s="2043">
        <v>0</v>
      </c>
      <c r="M1154">
        <v>599</v>
      </c>
      <c r="N1154">
        <v>1</v>
      </c>
    </row>
    <row r="1155" spans="1:14">
      <c r="A1155" t="s">
        <v>3013</v>
      </c>
      <c r="B1155" t="s">
        <v>465</v>
      </c>
      <c r="C1155" t="s">
        <v>1173</v>
      </c>
      <c r="D1155" s="41">
        <v>9</v>
      </c>
      <c r="E1155" s="41">
        <v>2319</v>
      </c>
      <c r="F1155" s="41" t="s">
        <v>3988</v>
      </c>
      <c r="G1155" s="41" t="s">
        <v>5588</v>
      </c>
      <c r="H1155" s="2043">
        <v>1351905</v>
      </c>
      <c r="I1155" s="2043">
        <v>2142350</v>
      </c>
      <c r="J1155">
        <v>1</v>
      </c>
      <c r="K1155" s="2043">
        <v>1351905</v>
      </c>
      <c r="L1155" s="2043">
        <v>1351905</v>
      </c>
      <c r="M1155">
        <v>599</v>
      </c>
      <c r="N1155">
        <v>1</v>
      </c>
    </row>
    <row r="1156" spans="1:14">
      <c r="A1156" t="s">
        <v>3013</v>
      </c>
      <c r="B1156" t="s">
        <v>465</v>
      </c>
      <c r="C1156" t="s">
        <v>1173</v>
      </c>
      <c r="D1156" s="41">
        <v>9</v>
      </c>
      <c r="E1156" s="41">
        <v>2318</v>
      </c>
      <c r="F1156" s="41" t="s">
        <v>3989</v>
      </c>
      <c r="G1156" s="41" t="s">
        <v>3989</v>
      </c>
      <c r="H1156" s="2043">
        <v>1272470</v>
      </c>
      <c r="I1156" s="2043">
        <v>0</v>
      </c>
      <c r="J1156">
        <v>0</v>
      </c>
      <c r="K1156" s="2043">
        <v>0</v>
      </c>
      <c r="L1156" s="2043">
        <v>0</v>
      </c>
      <c r="M1156">
        <v>599</v>
      </c>
      <c r="N1156">
        <v>1</v>
      </c>
    </row>
    <row r="1157" spans="1:14">
      <c r="A1157" t="s">
        <v>3013</v>
      </c>
      <c r="B1157" t="s">
        <v>465</v>
      </c>
      <c r="C1157" t="s">
        <v>1173</v>
      </c>
      <c r="D1157" s="41">
        <v>9</v>
      </c>
      <c r="E1157" s="41">
        <v>2318</v>
      </c>
      <c r="F1157" s="41" t="s">
        <v>3989</v>
      </c>
      <c r="G1157" s="41" t="s">
        <v>5588</v>
      </c>
      <c r="H1157" s="2043">
        <v>1272470</v>
      </c>
      <c r="I1157" s="2043">
        <v>5589275</v>
      </c>
      <c r="J1157">
        <v>1</v>
      </c>
      <c r="K1157" s="2043">
        <v>1272470</v>
      </c>
      <c r="L1157" s="2043">
        <v>1272470</v>
      </c>
      <c r="M1157">
        <v>599</v>
      </c>
      <c r="N1157">
        <v>1</v>
      </c>
    </row>
    <row r="1158" spans="1:14">
      <c r="A1158" t="s">
        <v>3014</v>
      </c>
      <c r="B1158" t="s">
        <v>2024</v>
      </c>
      <c r="C1158" t="s">
        <v>218</v>
      </c>
      <c r="D1158" s="41">
        <v>9</v>
      </c>
      <c r="E1158" s="41">
        <v>2127</v>
      </c>
      <c r="F1158" s="41" t="s">
        <v>3990</v>
      </c>
      <c r="G1158" s="41" t="s">
        <v>3990</v>
      </c>
      <c r="H1158" s="2043">
        <v>388765</v>
      </c>
      <c r="I1158" s="2043">
        <v>0</v>
      </c>
      <c r="J1158">
        <v>0</v>
      </c>
      <c r="K1158" s="2043">
        <v>0</v>
      </c>
      <c r="L1158" s="2043">
        <v>0</v>
      </c>
      <c r="M1158">
        <v>599</v>
      </c>
      <c r="N1158">
        <v>1</v>
      </c>
    </row>
    <row r="1159" spans="1:14">
      <c r="A1159" t="s">
        <v>3014</v>
      </c>
      <c r="B1159" t="s">
        <v>2024</v>
      </c>
      <c r="C1159" t="s">
        <v>218</v>
      </c>
      <c r="D1159" s="41">
        <v>9</v>
      </c>
      <c r="E1159" s="41">
        <v>2127</v>
      </c>
      <c r="F1159" s="41" t="s">
        <v>3990</v>
      </c>
      <c r="G1159" s="41" t="s">
        <v>3991</v>
      </c>
      <c r="H1159" s="2043">
        <v>388765</v>
      </c>
      <c r="I1159" s="2043">
        <v>587661</v>
      </c>
      <c r="J1159">
        <v>0.45343128366528301</v>
      </c>
      <c r="K1159" s="2043">
        <v>176278.212994134</v>
      </c>
      <c r="L1159" s="2043">
        <v>176278.212994134</v>
      </c>
      <c r="M1159">
        <v>599</v>
      </c>
      <c r="N1159">
        <v>1</v>
      </c>
    </row>
    <row r="1160" spans="1:14">
      <c r="A1160" t="s">
        <v>3014</v>
      </c>
      <c r="B1160" t="s">
        <v>2024</v>
      </c>
      <c r="C1160" t="s">
        <v>218</v>
      </c>
      <c r="D1160" s="41">
        <v>9</v>
      </c>
      <c r="E1160" s="41">
        <v>2127</v>
      </c>
      <c r="F1160" s="41" t="s">
        <v>3990</v>
      </c>
      <c r="G1160" s="41" t="s">
        <v>3992</v>
      </c>
      <c r="H1160" s="2043">
        <v>388765</v>
      </c>
      <c r="I1160" s="2043">
        <v>150051</v>
      </c>
      <c r="J1160">
        <v>0.115777323227608</v>
      </c>
      <c r="K1160" s="2043">
        <v>45010.171064581002</v>
      </c>
      <c r="L1160" s="2043">
        <v>45010.171064581002</v>
      </c>
      <c r="M1160">
        <v>599</v>
      </c>
      <c r="N1160">
        <v>1</v>
      </c>
    </row>
    <row r="1161" spans="1:14">
      <c r="A1161" t="s">
        <v>3014</v>
      </c>
      <c r="B1161" t="s">
        <v>2024</v>
      </c>
      <c r="C1161" t="s">
        <v>218</v>
      </c>
      <c r="D1161" s="41">
        <v>9</v>
      </c>
      <c r="E1161" s="41">
        <v>2127</v>
      </c>
      <c r="F1161" s="41" t="s">
        <v>3990</v>
      </c>
      <c r="G1161" s="41" t="s">
        <v>8567</v>
      </c>
      <c r="H1161" s="2043">
        <v>388765</v>
      </c>
      <c r="I1161" s="2043">
        <v>558319</v>
      </c>
      <c r="J1161">
        <v>0.43079139310710901</v>
      </c>
      <c r="K1161" s="2043">
        <v>167476.61594128501</v>
      </c>
      <c r="L1161" s="2043">
        <v>167476.61594128501</v>
      </c>
      <c r="M1161">
        <v>599</v>
      </c>
      <c r="N1161">
        <v>1</v>
      </c>
    </row>
    <row r="1162" spans="1:14">
      <c r="A1162" t="s">
        <v>3993</v>
      </c>
      <c r="B1162" t="s">
        <v>332</v>
      </c>
      <c r="C1162" t="s">
        <v>278</v>
      </c>
      <c r="D1162" s="41">
        <v>1</v>
      </c>
      <c r="E1162" s="41">
        <v>2066</v>
      </c>
      <c r="F1162" s="41" t="s">
        <v>3994</v>
      </c>
      <c r="G1162" s="41" t="s">
        <v>3994</v>
      </c>
      <c r="H1162" s="2043">
        <v>213569</v>
      </c>
      <c r="I1162" s="2043">
        <v>0</v>
      </c>
      <c r="J1162">
        <v>0</v>
      </c>
      <c r="L1162" s="2043">
        <v>0</v>
      </c>
      <c r="M1162">
        <v>599</v>
      </c>
      <c r="N1162">
        <v>0</v>
      </c>
    </row>
    <row r="1163" spans="1:14">
      <c r="A1163" t="s">
        <v>3993</v>
      </c>
      <c r="B1163" t="s">
        <v>332</v>
      </c>
      <c r="C1163" t="s">
        <v>278</v>
      </c>
      <c r="D1163" s="41">
        <v>3</v>
      </c>
      <c r="E1163" s="41">
        <v>2065</v>
      </c>
      <c r="F1163" s="41" t="s">
        <v>3995</v>
      </c>
      <c r="G1163" s="41" t="s">
        <v>3995</v>
      </c>
      <c r="H1163" s="2043">
        <v>167150</v>
      </c>
      <c r="I1163" s="2043">
        <v>0</v>
      </c>
      <c r="J1163">
        <v>0</v>
      </c>
      <c r="L1163" s="2043">
        <v>0</v>
      </c>
      <c r="M1163">
        <v>199</v>
      </c>
      <c r="N1163">
        <v>0</v>
      </c>
    </row>
    <row r="1164" spans="1:14">
      <c r="A1164" t="s">
        <v>3993</v>
      </c>
      <c r="B1164" t="s">
        <v>332</v>
      </c>
      <c r="C1164" t="s">
        <v>278</v>
      </c>
      <c r="D1164" s="41">
        <v>5</v>
      </c>
      <c r="E1164" s="41">
        <v>2067</v>
      </c>
      <c r="F1164" s="41" t="s">
        <v>3996</v>
      </c>
      <c r="G1164" s="41" t="s">
        <v>3996</v>
      </c>
      <c r="H1164" s="2043">
        <v>325000</v>
      </c>
      <c r="I1164" s="2043">
        <v>0</v>
      </c>
      <c r="J1164">
        <v>0</v>
      </c>
      <c r="L1164" s="2043">
        <v>0</v>
      </c>
      <c r="M1164">
        <v>599</v>
      </c>
      <c r="N1164">
        <v>0</v>
      </c>
    </row>
    <row r="1165" spans="1:14">
      <c r="A1165" t="s">
        <v>3015</v>
      </c>
      <c r="B1165" t="s">
        <v>2367</v>
      </c>
      <c r="C1165" t="s">
        <v>2240</v>
      </c>
      <c r="D1165" s="41">
        <v>6</v>
      </c>
      <c r="E1165" s="41">
        <v>1884</v>
      </c>
      <c r="F1165" s="41" t="s">
        <v>3997</v>
      </c>
      <c r="G1165" s="41" t="s">
        <v>3997</v>
      </c>
      <c r="H1165" s="2043">
        <v>176577</v>
      </c>
      <c r="I1165" s="2043">
        <v>0</v>
      </c>
      <c r="J1165">
        <v>0</v>
      </c>
      <c r="K1165" s="2043">
        <v>0</v>
      </c>
      <c r="L1165" s="2043">
        <v>0</v>
      </c>
      <c r="M1165">
        <v>599</v>
      </c>
      <c r="N1165">
        <v>0</v>
      </c>
    </row>
    <row r="1166" spans="1:14">
      <c r="A1166" t="s">
        <v>3015</v>
      </c>
      <c r="B1166" t="s">
        <v>2367</v>
      </c>
      <c r="C1166" t="s">
        <v>2240</v>
      </c>
      <c r="D1166" s="41">
        <v>6</v>
      </c>
      <c r="E1166" s="41">
        <v>1884</v>
      </c>
      <c r="F1166" s="41" t="s">
        <v>3997</v>
      </c>
      <c r="G1166" s="41" t="s">
        <v>3998</v>
      </c>
      <c r="H1166" s="2043">
        <v>176577</v>
      </c>
      <c r="I1166" s="2043">
        <v>0</v>
      </c>
      <c r="J1166">
        <v>0</v>
      </c>
      <c r="K1166" s="2043">
        <v>0</v>
      </c>
      <c r="L1166" s="2043">
        <v>0</v>
      </c>
      <c r="M1166">
        <v>599</v>
      </c>
      <c r="N1166">
        <v>1</v>
      </c>
    </row>
    <row r="1167" spans="1:14">
      <c r="A1167" t="s">
        <v>3015</v>
      </c>
      <c r="B1167" t="s">
        <v>2367</v>
      </c>
      <c r="C1167" t="s">
        <v>2240</v>
      </c>
      <c r="D1167" s="41">
        <v>6</v>
      </c>
      <c r="E1167" s="41">
        <v>1884</v>
      </c>
      <c r="F1167" s="41" t="s">
        <v>3997</v>
      </c>
      <c r="G1167" s="41" t="s">
        <v>9347</v>
      </c>
      <c r="H1167" s="2043">
        <v>176577</v>
      </c>
      <c r="I1167" s="2043">
        <v>189287</v>
      </c>
      <c r="J1167">
        <v>1</v>
      </c>
      <c r="K1167" s="2043">
        <v>176577</v>
      </c>
      <c r="L1167" s="2043">
        <v>176577</v>
      </c>
      <c r="M1167">
        <v>599</v>
      </c>
      <c r="N1167">
        <v>1</v>
      </c>
    </row>
    <row r="1168" spans="1:14">
      <c r="A1168" t="s">
        <v>3016</v>
      </c>
      <c r="B1168" t="s">
        <v>1078</v>
      </c>
      <c r="C1168" t="s">
        <v>1406</v>
      </c>
      <c r="D1168" s="41">
        <v>2</v>
      </c>
      <c r="E1168" s="41">
        <v>2334</v>
      </c>
      <c r="F1168" s="41" t="s">
        <v>3999</v>
      </c>
      <c r="G1168" s="41" t="s">
        <v>3999</v>
      </c>
      <c r="H1168" s="2043">
        <v>831475</v>
      </c>
      <c r="I1168" s="2043">
        <v>0</v>
      </c>
      <c r="J1168">
        <v>0</v>
      </c>
      <c r="K1168" s="2043">
        <v>0</v>
      </c>
      <c r="L1168" s="2043">
        <v>0</v>
      </c>
      <c r="M1168">
        <v>599</v>
      </c>
      <c r="N1168">
        <v>0</v>
      </c>
    </row>
    <row r="1169" spans="1:14">
      <c r="A1169" t="s">
        <v>3016</v>
      </c>
      <c r="B1169" t="s">
        <v>1078</v>
      </c>
      <c r="C1169" t="s">
        <v>1406</v>
      </c>
      <c r="D1169" s="41">
        <v>2</v>
      </c>
      <c r="E1169" s="41">
        <v>2334</v>
      </c>
      <c r="F1169" s="41" t="s">
        <v>3999</v>
      </c>
      <c r="G1169" s="41" t="s">
        <v>4000</v>
      </c>
      <c r="H1169" s="2043">
        <v>831475</v>
      </c>
      <c r="I1169" s="2043">
        <v>74077</v>
      </c>
      <c r="J1169">
        <v>9.4307578903680897E-2</v>
      </c>
      <c r="K1169" s="2043">
        <v>78414.394168938103</v>
      </c>
      <c r="L1169" s="2043">
        <v>74077</v>
      </c>
      <c r="M1169">
        <v>599</v>
      </c>
      <c r="N1169">
        <v>1</v>
      </c>
    </row>
    <row r="1170" spans="1:14">
      <c r="A1170" t="s">
        <v>3016</v>
      </c>
      <c r="B1170" t="s">
        <v>1078</v>
      </c>
      <c r="C1170" t="s">
        <v>1406</v>
      </c>
      <c r="D1170" s="41">
        <v>2</v>
      </c>
      <c r="E1170" s="41">
        <v>2334</v>
      </c>
      <c r="F1170" s="41" t="s">
        <v>3999</v>
      </c>
      <c r="G1170" s="41" t="s">
        <v>7192</v>
      </c>
      <c r="H1170" s="2043">
        <v>831475</v>
      </c>
      <c r="I1170" s="2043">
        <v>704597</v>
      </c>
      <c r="J1170">
        <v>0.89702386938991696</v>
      </c>
      <c r="K1170" s="2043">
        <v>745852.92180098104</v>
      </c>
      <c r="L1170" s="2043">
        <v>704597</v>
      </c>
      <c r="M1170">
        <v>599</v>
      </c>
      <c r="N1170">
        <v>1</v>
      </c>
    </row>
    <row r="1171" spans="1:14">
      <c r="A1171" t="s">
        <v>3016</v>
      </c>
      <c r="B1171" t="s">
        <v>1078</v>
      </c>
      <c r="C1171" t="s">
        <v>1406</v>
      </c>
      <c r="D1171" s="41">
        <v>2</v>
      </c>
      <c r="E1171" s="41">
        <v>2334</v>
      </c>
      <c r="F1171" s="41" t="s">
        <v>3999</v>
      </c>
      <c r="G1171" s="41" t="s">
        <v>9348</v>
      </c>
      <c r="H1171" s="2043">
        <v>831475</v>
      </c>
      <c r="I1171" s="2043">
        <v>6809</v>
      </c>
      <c r="J1171">
        <v>8.6685517064022995E-3</v>
      </c>
      <c r="K1171" s="2043">
        <v>7207.6840300808599</v>
      </c>
      <c r="L1171" s="2043">
        <v>6809</v>
      </c>
      <c r="M1171">
        <v>599</v>
      </c>
      <c r="N1171">
        <v>1</v>
      </c>
    </row>
    <row r="1172" spans="1:14">
      <c r="A1172" t="s">
        <v>3016</v>
      </c>
      <c r="B1172" t="s">
        <v>1078</v>
      </c>
      <c r="C1172" t="s">
        <v>1406</v>
      </c>
      <c r="D1172" s="41">
        <v>3</v>
      </c>
      <c r="E1172" s="41">
        <v>2333</v>
      </c>
      <c r="F1172" s="41" t="s">
        <v>4001</v>
      </c>
      <c r="G1172" s="41" t="s">
        <v>4001</v>
      </c>
      <c r="H1172" s="2043">
        <v>701598</v>
      </c>
      <c r="I1172" s="2043">
        <v>0</v>
      </c>
      <c r="J1172">
        <v>0</v>
      </c>
      <c r="K1172" s="2043">
        <v>0</v>
      </c>
      <c r="L1172" s="2043">
        <v>0</v>
      </c>
      <c r="M1172">
        <v>599</v>
      </c>
      <c r="N1172">
        <v>0</v>
      </c>
    </row>
    <row r="1173" spans="1:14">
      <c r="A1173" t="s">
        <v>3016</v>
      </c>
      <c r="B1173" t="s">
        <v>1078</v>
      </c>
      <c r="C1173" t="s">
        <v>1406</v>
      </c>
      <c r="D1173" s="41">
        <v>3</v>
      </c>
      <c r="E1173" s="41">
        <v>2333</v>
      </c>
      <c r="F1173" s="41" t="s">
        <v>4001</v>
      </c>
      <c r="G1173" s="41" t="s">
        <v>4002</v>
      </c>
      <c r="H1173" s="2043">
        <v>701598</v>
      </c>
      <c r="I1173" s="2043">
        <v>0</v>
      </c>
      <c r="J1173">
        <v>0</v>
      </c>
      <c r="K1173" s="2043">
        <v>0</v>
      </c>
      <c r="L1173" s="2043">
        <v>0</v>
      </c>
      <c r="M1173">
        <v>599</v>
      </c>
      <c r="N1173">
        <v>1</v>
      </c>
    </row>
    <row r="1174" spans="1:14">
      <c r="A1174" t="s">
        <v>3016</v>
      </c>
      <c r="B1174" t="s">
        <v>1078</v>
      </c>
      <c r="C1174" t="s">
        <v>1406</v>
      </c>
      <c r="D1174" s="41">
        <v>3</v>
      </c>
      <c r="E1174" s="41">
        <v>2333</v>
      </c>
      <c r="F1174" s="41" t="s">
        <v>4001</v>
      </c>
      <c r="G1174" s="41" t="s">
        <v>7192</v>
      </c>
      <c r="H1174" s="2043">
        <v>701598</v>
      </c>
      <c r="I1174" s="2043">
        <v>651257</v>
      </c>
      <c r="J1174">
        <v>1</v>
      </c>
      <c r="K1174" s="2043">
        <v>701598</v>
      </c>
      <c r="L1174" s="2043">
        <v>651257</v>
      </c>
      <c r="M1174">
        <v>599</v>
      </c>
      <c r="N1174">
        <v>1</v>
      </c>
    </row>
    <row r="1175" spans="1:14">
      <c r="A1175" t="s">
        <v>3017</v>
      </c>
      <c r="B1175" t="s">
        <v>2161</v>
      </c>
      <c r="C1175" t="s">
        <v>793</v>
      </c>
      <c r="D1175" s="41">
        <v>1</v>
      </c>
      <c r="E1175" s="41">
        <v>2045</v>
      </c>
      <c r="F1175" s="41" t="s">
        <v>4003</v>
      </c>
      <c r="G1175" s="41" t="s">
        <v>4003</v>
      </c>
      <c r="H1175" s="2043">
        <v>855058</v>
      </c>
      <c r="I1175" s="2043">
        <v>0</v>
      </c>
      <c r="J1175">
        <v>0</v>
      </c>
      <c r="L1175" s="2043">
        <v>0</v>
      </c>
      <c r="M1175">
        <v>599</v>
      </c>
      <c r="N1175">
        <v>0</v>
      </c>
    </row>
    <row r="1176" spans="1:14">
      <c r="A1176" t="s">
        <v>3017</v>
      </c>
      <c r="B1176" t="s">
        <v>2161</v>
      </c>
      <c r="C1176" t="s">
        <v>793</v>
      </c>
      <c r="D1176" s="41">
        <v>5</v>
      </c>
      <c r="E1176" s="41">
        <v>2044</v>
      </c>
      <c r="F1176" s="41" t="s">
        <v>4005</v>
      </c>
      <c r="G1176" s="41" t="s">
        <v>4005</v>
      </c>
      <c r="H1176" s="2043">
        <v>663791</v>
      </c>
      <c r="I1176" s="2043">
        <v>0</v>
      </c>
      <c r="J1176">
        <v>0</v>
      </c>
      <c r="K1176" s="2043">
        <v>0</v>
      </c>
      <c r="L1176" s="2043">
        <v>0</v>
      </c>
      <c r="M1176">
        <v>599</v>
      </c>
      <c r="N1176">
        <v>0</v>
      </c>
    </row>
    <row r="1177" spans="1:14">
      <c r="A1177" t="s">
        <v>3017</v>
      </c>
      <c r="B1177" t="s">
        <v>2161</v>
      </c>
      <c r="C1177" t="s">
        <v>793</v>
      </c>
      <c r="D1177" s="41">
        <v>5</v>
      </c>
      <c r="E1177" s="41">
        <v>2044</v>
      </c>
      <c r="F1177" s="41" t="s">
        <v>4005</v>
      </c>
      <c r="G1177" s="41" t="s">
        <v>4004</v>
      </c>
      <c r="H1177" s="2043">
        <v>663791</v>
      </c>
      <c r="I1177" s="2043">
        <v>0</v>
      </c>
      <c r="J1177">
        <v>0</v>
      </c>
      <c r="K1177" s="2043">
        <v>0</v>
      </c>
      <c r="L1177" s="2043">
        <v>0</v>
      </c>
      <c r="M1177">
        <v>599</v>
      </c>
      <c r="N1177">
        <v>1</v>
      </c>
    </row>
    <row r="1178" spans="1:14">
      <c r="A1178" t="s">
        <v>3017</v>
      </c>
      <c r="B1178" t="s">
        <v>2161</v>
      </c>
      <c r="C1178" t="s">
        <v>793</v>
      </c>
      <c r="D1178" s="41">
        <v>5</v>
      </c>
      <c r="E1178" s="41">
        <v>2044</v>
      </c>
      <c r="F1178" s="41" t="s">
        <v>4005</v>
      </c>
      <c r="G1178" s="41" t="s">
        <v>4006</v>
      </c>
      <c r="H1178" s="2043">
        <v>663791</v>
      </c>
      <c r="I1178" s="2043">
        <v>0</v>
      </c>
      <c r="J1178">
        <v>0</v>
      </c>
      <c r="K1178" s="2043">
        <v>0</v>
      </c>
      <c r="L1178" s="2043">
        <v>0</v>
      </c>
      <c r="M1178">
        <v>599</v>
      </c>
      <c r="N1178">
        <v>0</v>
      </c>
    </row>
    <row r="1179" spans="1:14">
      <c r="A1179" t="s">
        <v>3017</v>
      </c>
      <c r="B1179" t="s">
        <v>2161</v>
      </c>
      <c r="C1179" t="s">
        <v>793</v>
      </c>
      <c r="D1179" s="41">
        <v>5</v>
      </c>
      <c r="E1179" s="41">
        <v>2044</v>
      </c>
      <c r="F1179" s="41" t="s">
        <v>4005</v>
      </c>
      <c r="G1179" s="41" t="s">
        <v>5589</v>
      </c>
      <c r="H1179" s="2043">
        <v>663791</v>
      </c>
      <c r="I1179" s="2043">
        <v>611050</v>
      </c>
      <c r="J1179">
        <v>1</v>
      </c>
      <c r="K1179" s="2043">
        <v>663791</v>
      </c>
      <c r="L1179" s="2043">
        <v>611050</v>
      </c>
      <c r="M1179">
        <v>599</v>
      </c>
      <c r="N1179">
        <v>1</v>
      </c>
    </row>
    <row r="1180" spans="1:14">
      <c r="A1180" t="s">
        <v>3018</v>
      </c>
      <c r="B1180" t="s">
        <v>1108</v>
      </c>
      <c r="C1180" t="s">
        <v>280</v>
      </c>
      <c r="D1180" s="41">
        <v>3</v>
      </c>
      <c r="E1180" s="41">
        <v>2443</v>
      </c>
      <c r="F1180" s="41" t="s">
        <v>4007</v>
      </c>
      <c r="G1180" s="41" t="s">
        <v>4007</v>
      </c>
      <c r="H1180" s="2043">
        <v>1101</v>
      </c>
      <c r="I1180" s="2043">
        <v>0</v>
      </c>
      <c r="J1180">
        <v>0</v>
      </c>
      <c r="K1180" s="2043">
        <v>0</v>
      </c>
      <c r="L1180" s="2043">
        <v>0</v>
      </c>
      <c r="M1180">
        <v>599</v>
      </c>
      <c r="N1180">
        <v>0</v>
      </c>
    </row>
    <row r="1181" spans="1:14">
      <c r="A1181" t="s">
        <v>3018</v>
      </c>
      <c r="B1181" t="s">
        <v>1108</v>
      </c>
      <c r="C1181" t="s">
        <v>280</v>
      </c>
      <c r="D1181" s="41">
        <v>3</v>
      </c>
      <c r="E1181" s="41">
        <v>2443</v>
      </c>
      <c r="F1181" s="41" t="s">
        <v>4007</v>
      </c>
      <c r="G1181" s="41" t="s">
        <v>4008</v>
      </c>
      <c r="H1181" s="2043">
        <v>1101</v>
      </c>
      <c r="I1181" s="2043">
        <v>0</v>
      </c>
      <c r="J1181">
        <v>0</v>
      </c>
      <c r="K1181" s="2043">
        <v>0</v>
      </c>
      <c r="L1181" s="2043">
        <v>0</v>
      </c>
      <c r="M1181">
        <v>599</v>
      </c>
      <c r="N1181">
        <v>1</v>
      </c>
    </row>
    <row r="1182" spans="1:14">
      <c r="A1182" t="s">
        <v>3018</v>
      </c>
      <c r="B1182" t="s">
        <v>1108</v>
      </c>
      <c r="C1182" t="s">
        <v>280</v>
      </c>
      <c r="D1182" s="41">
        <v>3</v>
      </c>
      <c r="E1182" s="41">
        <v>2443</v>
      </c>
      <c r="F1182" s="41" t="s">
        <v>4007</v>
      </c>
      <c r="G1182" s="41" t="s">
        <v>5590</v>
      </c>
      <c r="H1182" s="2043">
        <v>1101</v>
      </c>
      <c r="I1182" s="2043">
        <v>222925</v>
      </c>
      <c r="J1182">
        <v>1</v>
      </c>
      <c r="K1182" s="2043">
        <v>1101</v>
      </c>
      <c r="L1182" s="2043">
        <v>1101</v>
      </c>
      <c r="M1182">
        <v>599</v>
      </c>
      <c r="N1182">
        <v>1</v>
      </c>
    </row>
    <row r="1183" spans="1:14">
      <c r="A1183" t="s">
        <v>3019</v>
      </c>
      <c r="B1183" t="s">
        <v>548</v>
      </c>
      <c r="C1183" t="s">
        <v>658</v>
      </c>
      <c r="D1183" s="41">
        <v>1</v>
      </c>
      <c r="E1183" s="41">
        <v>1545</v>
      </c>
      <c r="F1183" s="41" t="s">
        <v>4009</v>
      </c>
      <c r="G1183" s="41" t="s">
        <v>4009</v>
      </c>
      <c r="H1183" s="2043">
        <v>3458574</v>
      </c>
      <c r="I1183" s="2043">
        <v>0</v>
      </c>
      <c r="J1183">
        <v>0</v>
      </c>
      <c r="K1183" s="2043">
        <v>0</v>
      </c>
      <c r="L1183" s="2043">
        <v>0</v>
      </c>
      <c r="M1183">
        <v>599</v>
      </c>
      <c r="N1183">
        <v>0</v>
      </c>
    </row>
    <row r="1184" spans="1:14">
      <c r="A1184" t="s">
        <v>3019</v>
      </c>
      <c r="B1184" t="s">
        <v>548</v>
      </c>
      <c r="C1184" t="s">
        <v>658</v>
      </c>
      <c r="D1184" s="41">
        <v>1</v>
      </c>
      <c r="E1184" s="41">
        <v>1545</v>
      </c>
      <c r="F1184" s="41" t="s">
        <v>4009</v>
      </c>
      <c r="G1184" s="41" t="s">
        <v>4010</v>
      </c>
      <c r="H1184" s="2043">
        <v>3458574</v>
      </c>
      <c r="I1184" s="2043">
        <v>0</v>
      </c>
      <c r="J1184">
        <v>0</v>
      </c>
      <c r="K1184" s="2043">
        <v>0</v>
      </c>
      <c r="L1184" s="2043">
        <v>0</v>
      </c>
      <c r="M1184">
        <v>599</v>
      </c>
      <c r="N1184">
        <v>0</v>
      </c>
    </row>
    <row r="1185" spans="1:14">
      <c r="A1185" t="s">
        <v>3019</v>
      </c>
      <c r="B1185" t="s">
        <v>548</v>
      </c>
      <c r="C1185" t="s">
        <v>658</v>
      </c>
      <c r="D1185" s="41">
        <v>1</v>
      </c>
      <c r="E1185" s="41">
        <v>1545</v>
      </c>
      <c r="F1185" s="41" t="s">
        <v>4009</v>
      </c>
      <c r="G1185" s="41" t="s">
        <v>4011</v>
      </c>
      <c r="H1185" s="2043">
        <v>3458574</v>
      </c>
      <c r="I1185" s="2043">
        <v>0</v>
      </c>
      <c r="J1185">
        <v>0</v>
      </c>
      <c r="K1185" s="2043">
        <v>0</v>
      </c>
      <c r="L1185" s="2043">
        <v>0</v>
      </c>
      <c r="M1185">
        <v>599</v>
      </c>
      <c r="N1185">
        <v>1</v>
      </c>
    </row>
    <row r="1186" spans="1:14">
      <c r="A1186" t="s">
        <v>3019</v>
      </c>
      <c r="B1186" t="s">
        <v>548</v>
      </c>
      <c r="C1186" t="s">
        <v>658</v>
      </c>
      <c r="D1186" s="41">
        <v>1</v>
      </c>
      <c r="E1186" s="41">
        <v>1545</v>
      </c>
      <c r="F1186" s="41" t="s">
        <v>4009</v>
      </c>
      <c r="G1186" s="41" t="s">
        <v>4012</v>
      </c>
      <c r="H1186" s="2043">
        <v>3458574</v>
      </c>
      <c r="I1186" s="2043">
        <v>293083</v>
      </c>
      <c r="J1186">
        <v>7.0542874672146705E-2</v>
      </c>
      <c r="K1186" s="2043">
        <v>243977.75222634501</v>
      </c>
      <c r="L1186" s="2043">
        <v>243977.75222634501</v>
      </c>
      <c r="M1186">
        <v>599</v>
      </c>
      <c r="N1186">
        <v>1</v>
      </c>
    </row>
    <row r="1187" spans="1:14">
      <c r="A1187" t="s">
        <v>3019</v>
      </c>
      <c r="B1187" t="s">
        <v>548</v>
      </c>
      <c r="C1187" t="s">
        <v>658</v>
      </c>
      <c r="D1187" s="41">
        <v>1</v>
      </c>
      <c r="E1187" s="41">
        <v>1545</v>
      </c>
      <c r="F1187" s="41" t="s">
        <v>4009</v>
      </c>
      <c r="G1187" s="41" t="s">
        <v>4013</v>
      </c>
      <c r="H1187" s="2043">
        <v>3458574</v>
      </c>
      <c r="I1187" s="2043">
        <v>3099695</v>
      </c>
      <c r="J1187">
        <v>0.74607328267719397</v>
      </c>
      <c r="K1187" s="2043">
        <v>2580349.65756199</v>
      </c>
      <c r="L1187" s="2043">
        <v>2580349.65756199</v>
      </c>
      <c r="M1187">
        <v>599</v>
      </c>
      <c r="N1187">
        <v>1</v>
      </c>
    </row>
    <row r="1188" spans="1:14">
      <c r="A1188" t="s">
        <v>3019</v>
      </c>
      <c r="B1188" t="s">
        <v>548</v>
      </c>
      <c r="C1188" t="s">
        <v>658</v>
      </c>
      <c r="D1188" s="41">
        <v>1</v>
      </c>
      <c r="E1188" s="41">
        <v>1545</v>
      </c>
      <c r="F1188" s="41" t="s">
        <v>4009</v>
      </c>
      <c r="G1188" s="41" t="s">
        <v>7193</v>
      </c>
      <c r="H1188" s="2043">
        <v>3458574</v>
      </c>
      <c r="I1188" s="2043">
        <v>714571</v>
      </c>
      <c r="J1188">
        <v>0.17199186748242201</v>
      </c>
      <c r="K1188" s="2043">
        <v>594846.60108614899</v>
      </c>
      <c r="L1188" s="2043">
        <v>594846.60108614899</v>
      </c>
      <c r="M1188">
        <v>599</v>
      </c>
      <c r="N1188">
        <v>1</v>
      </c>
    </row>
    <row r="1189" spans="1:14">
      <c r="A1189" t="s">
        <v>3019</v>
      </c>
      <c r="B1189" t="s">
        <v>548</v>
      </c>
      <c r="C1189" t="s">
        <v>658</v>
      </c>
      <c r="D1189" s="41">
        <v>1</v>
      </c>
      <c r="E1189" s="41">
        <v>1545</v>
      </c>
      <c r="F1189" s="41" t="s">
        <v>4009</v>
      </c>
      <c r="G1189" s="41" t="s">
        <v>9349</v>
      </c>
      <c r="H1189" s="2043">
        <v>3458574</v>
      </c>
      <c r="I1189" s="2043">
        <v>47330</v>
      </c>
      <c r="J1189">
        <v>1.1391975168238E-2</v>
      </c>
      <c r="K1189" s="2043">
        <v>39399.989125513697</v>
      </c>
      <c r="L1189" s="2043">
        <v>39399.989125513697</v>
      </c>
      <c r="M1189">
        <v>599</v>
      </c>
      <c r="N1189">
        <v>1</v>
      </c>
    </row>
    <row r="1190" spans="1:14">
      <c r="A1190" t="s">
        <v>3019</v>
      </c>
      <c r="B1190" t="s">
        <v>548</v>
      </c>
      <c r="C1190" t="s">
        <v>658</v>
      </c>
      <c r="D1190" s="41">
        <v>1</v>
      </c>
      <c r="E1190" s="41">
        <v>1548</v>
      </c>
      <c r="F1190" s="41" t="s">
        <v>4014</v>
      </c>
      <c r="G1190" s="41" t="s">
        <v>4014</v>
      </c>
      <c r="H1190" s="2043">
        <v>6381926</v>
      </c>
      <c r="I1190" s="2043">
        <v>0</v>
      </c>
      <c r="J1190">
        <v>0</v>
      </c>
      <c r="K1190" s="2043">
        <v>0</v>
      </c>
      <c r="L1190" s="2043">
        <v>0</v>
      </c>
      <c r="M1190">
        <v>599</v>
      </c>
      <c r="N1190">
        <v>0</v>
      </c>
    </row>
    <row r="1191" spans="1:14">
      <c r="A1191" t="s">
        <v>3019</v>
      </c>
      <c r="B1191" t="s">
        <v>548</v>
      </c>
      <c r="C1191" t="s">
        <v>658</v>
      </c>
      <c r="D1191" s="41">
        <v>1</v>
      </c>
      <c r="E1191" s="41">
        <v>1548</v>
      </c>
      <c r="F1191" s="41" t="s">
        <v>4014</v>
      </c>
      <c r="G1191" s="41" t="s">
        <v>4010</v>
      </c>
      <c r="H1191" s="2043">
        <v>6381926</v>
      </c>
      <c r="I1191" s="2043">
        <v>0</v>
      </c>
      <c r="J1191">
        <v>0</v>
      </c>
      <c r="K1191" s="2043">
        <v>0</v>
      </c>
      <c r="L1191" s="2043">
        <v>0</v>
      </c>
      <c r="M1191">
        <v>599</v>
      </c>
      <c r="N1191">
        <v>0</v>
      </c>
    </row>
    <row r="1192" spans="1:14">
      <c r="A1192" t="s">
        <v>3019</v>
      </c>
      <c r="B1192" t="s">
        <v>548</v>
      </c>
      <c r="C1192" t="s">
        <v>658</v>
      </c>
      <c r="D1192" s="41">
        <v>1</v>
      </c>
      <c r="E1192" s="41">
        <v>1548</v>
      </c>
      <c r="F1192" s="41" t="s">
        <v>4014</v>
      </c>
      <c r="G1192" s="41" t="s">
        <v>4011</v>
      </c>
      <c r="H1192" s="2043">
        <v>6381926</v>
      </c>
      <c r="I1192" s="2043">
        <v>0</v>
      </c>
      <c r="J1192">
        <v>0</v>
      </c>
      <c r="K1192" s="2043">
        <v>0</v>
      </c>
      <c r="L1192" s="2043">
        <v>0</v>
      </c>
      <c r="M1192">
        <v>599</v>
      </c>
      <c r="N1192">
        <v>1</v>
      </c>
    </row>
    <row r="1193" spans="1:14">
      <c r="A1193" t="s">
        <v>3019</v>
      </c>
      <c r="B1193" t="s">
        <v>548</v>
      </c>
      <c r="C1193" t="s">
        <v>658</v>
      </c>
      <c r="D1193" s="41">
        <v>1</v>
      </c>
      <c r="E1193" s="41">
        <v>1548</v>
      </c>
      <c r="F1193" s="41" t="s">
        <v>4014</v>
      </c>
      <c r="G1193" s="41" t="s">
        <v>4012</v>
      </c>
      <c r="H1193" s="2043">
        <v>6381926</v>
      </c>
      <c r="I1193" s="2043">
        <v>0</v>
      </c>
      <c r="J1193">
        <v>0</v>
      </c>
      <c r="K1193" s="2043">
        <v>0</v>
      </c>
      <c r="L1193" s="2043">
        <v>0</v>
      </c>
      <c r="M1193">
        <v>599</v>
      </c>
      <c r="N1193">
        <v>1</v>
      </c>
    </row>
    <row r="1194" spans="1:14">
      <c r="A1194" t="s">
        <v>3019</v>
      </c>
      <c r="B1194" t="s">
        <v>548</v>
      </c>
      <c r="C1194" t="s">
        <v>658</v>
      </c>
      <c r="D1194" s="41">
        <v>1</v>
      </c>
      <c r="E1194" s="41">
        <v>1548</v>
      </c>
      <c r="F1194" s="41" t="s">
        <v>4014</v>
      </c>
      <c r="G1194" s="41" t="s">
        <v>4013</v>
      </c>
      <c r="H1194" s="2043">
        <v>6381926</v>
      </c>
      <c r="I1194" s="2043">
        <v>0</v>
      </c>
      <c r="J1194">
        <v>0</v>
      </c>
      <c r="K1194" s="2043">
        <v>0</v>
      </c>
      <c r="L1194" s="2043">
        <v>0</v>
      </c>
      <c r="M1194">
        <v>599</v>
      </c>
      <c r="N1194">
        <v>1</v>
      </c>
    </row>
    <row r="1195" spans="1:14">
      <c r="A1195" t="s">
        <v>3019</v>
      </c>
      <c r="B1195" t="s">
        <v>548</v>
      </c>
      <c r="C1195" t="s">
        <v>658</v>
      </c>
      <c r="D1195" s="41">
        <v>1</v>
      </c>
      <c r="E1195" s="41">
        <v>1548</v>
      </c>
      <c r="F1195" s="41" t="s">
        <v>4014</v>
      </c>
      <c r="G1195" s="41" t="s">
        <v>7193</v>
      </c>
      <c r="H1195" s="2043">
        <v>6381926</v>
      </c>
      <c r="I1195" s="2043">
        <v>2057750</v>
      </c>
      <c r="J1195">
        <v>0.98917020265070199</v>
      </c>
      <c r="K1195" s="2043">
        <v>6312811.0347217796</v>
      </c>
      <c r="L1195" s="2043">
        <v>2057750</v>
      </c>
      <c r="M1195">
        <v>599</v>
      </c>
      <c r="N1195">
        <v>1</v>
      </c>
    </row>
    <row r="1196" spans="1:14">
      <c r="A1196" t="s">
        <v>3019</v>
      </c>
      <c r="B1196" t="s">
        <v>548</v>
      </c>
      <c r="C1196" t="s">
        <v>658</v>
      </c>
      <c r="D1196" s="41">
        <v>1</v>
      </c>
      <c r="E1196" s="41">
        <v>1548</v>
      </c>
      <c r="F1196" s="41" t="s">
        <v>4014</v>
      </c>
      <c r="G1196" s="41" t="s">
        <v>9349</v>
      </c>
      <c r="H1196" s="2043">
        <v>6381926</v>
      </c>
      <c r="I1196" s="2043">
        <v>22529</v>
      </c>
      <c r="J1196">
        <v>1.08297973492979E-2</v>
      </c>
      <c r="K1196" s="2043">
        <v>69114.965278215095</v>
      </c>
      <c r="L1196" s="2043">
        <v>22529</v>
      </c>
      <c r="M1196">
        <v>599</v>
      </c>
      <c r="N1196">
        <v>1</v>
      </c>
    </row>
    <row r="1197" spans="1:14">
      <c r="A1197" t="s">
        <v>3019</v>
      </c>
      <c r="B1197" t="s">
        <v>548</v>
      </c>
      <c r="C1197" t="s">
        <v>658</v>
      </c>
      <c r="D1197" s="41">
        <v>2</v>
      </c>
      <c r="E1197" s="41">
        <v>1543</v>
      </c>
      <c r="F1197" s="41" t="s">
        <v>4015</v>
      </c>
      <c r="G1197" s="41" t="s">
        <v>4015</v>
      </c>
      <c r="H1197" s="2043">
        <v>871986</v>
      </c>
      <c r="I1197" s="2043">
        <v>0</v>
      </c>
      <c r="J1197">
        <v>0</v>
      </c>
      <c r="L1197" s="2043">
        <v>0</v>
      </c>
      <c r="M1197">
        <v>199</v>
      </c>
      <c r="N1197">
        <v>0</v>
      </c>
    </row>
    <row r="1198" spans="1:14">
      <c r="A1198" t="s">
        <v>3019</v>
      </c>
      <c r="B1198" t="s">
        <v>548</v>
      </c>
      <c r="C1198" t="s">
        <v>658</v>
      </c>
      <c r="D1198" s="41">
        <v>5</v>
      </c>
      <c r="E1198" s="41">
        <v>1546</v>
      </c>
      <c r="F1198" s="41" t="s">
        <v>4016</v>
      </c>
      <c r="G1198" s="41" t="s">
        <v>4016</v>
      </c>
      <c r="H1198" s="2043">
        <v>5192317</v>
      </c>
      <c r="I1198" s="2043">
        <v>0</v>
      </c>
      <c r="J1198">
        <v>0</v>
      </c>
      <c r="K1198" s="2043">
        <v>0</v>
      </c>
      <c r="L1198" s="2043">
        <v>0</v>
      </c>
      <c r="M1198">
        <v>599</v>
      </c>
      <c r="N1198">
        <v>0</v>
      </c>
    </row>
    <row r="1199" spans="1:14">
      <c r="A1199" t="s">
        <v>3019</v>
      </c>
      <c r="B1199" t="s">
        <v>548</v>
      </c>
      <c r="C1199" t="s">
        <v>658</v>
      </c>
      <c r="D1199" s="41">
        <v>5</v>
      </c>
      <c r="E1199" s="41">
        <v>1546</v>
      </c>
      <c r="F1199" s="41" t="s">
        <v>4016</v>
      </c>
      <c r="G1199" s="41" t="s">
        <v>4011</v>
      </c>
      <c r="H1199" s="2043">
        <v>5192317</v>
      </c>
      <c r="I1199" s="2043">
        <v>0</v>
      </c>
      <c r="J1199">
        <v>0</v>
      </c>
      <c r="K1199" s="2043">
        <v>0</v>
      </c>
      <c r="L1199" s="2043">
        <v>0</v>
      </c>
      <c r="M1199">
        <v>599</v>
      </c>
      <c r="N1199">
        <v>1</v>
      </c>
    </row>
    <row r="1200" spans="1:14">
      <c r="A1200" t="s">
        <v>3019</v>
      </c>
      <c r="B1200" t="s">
        <v>548</v>
      </c>
      <c r="C1200" t="s">
        <v>658</v>
      </c>
      <c r="D1200" s="41">
        <v>5</v>
      </c>
      <c r="E1200" s="41">
        <v>1546</v>
      </c>
      <c r="F1200" s="41" t="s">
        <v>4016</v>
      </c>
      <c r="G1200" s="41" t="s">
        <v>4012</v>
      </c>
      <c r="H1200" s="2043">
        <v>5192317</v>
      </c>
      <c r="I1200" s="2043">
        <v>1000588</v>
      </c>
      <c r="J1200">
        <v>0.212280283770759</v>
      </c>
      <c r="K1200" s="2043">
        <v>1102226.52618774</v>
      </c>
      <c r="L1200" s="2043">
        <v>1000588</v>
      </c>
      <c r="M1200">
        <v>599</v>
      </c>
      <c r="N1200">
        <v>1</v>
      </c>
    </row>
    <row r="1201" spans="1:14">
      <c r="A1201" t="s">
        <v>3019</v>
      </c>
      <c r="B1201" t="s">
        <v>548</v>
      </c>
      <c r="C1201" t="s">
        <v>658</v>
      </c>
      <c r="D1201" s="41">
        <v>5</v>
      </c>
      <c r="E1201" s="41">
        <v>1546</v>
      </c>
      <c r="F1201" s="41" t="s">
        <v>4016</v>
      </c>
      <c r="G1201" s="41" t="s">
        <v>7193</v>
      </c>
      <c r="H1201" s="2043">
        <v>5192317</v>
      </c>
      <c r="I1201" s="2043">
        <v>3628000</v>
      </c>
      <c r="J1201">
        <v>0.76970028575229199</v>
      </c>
      <c r="K1201" s="2043">
        <v>3996527.8786164802</v>
      </c>
      <c r="L1201" s="2043">
        <v>3628000</v>
      </c>
      <c r="M1201">
        <v>599</v>
      </c>
      <c r="N1201">
        <v>1</v>
      </c>
    </row>
    <row r="1202" spans="1:14">
      <c r="A1202" t="s">
        <v>3019</v>
      </c>
      <c r="B1202" t="s">
        <v>548</v>
      </c>
      <c r="C1202" t="s">
        <v>658</v>
      </c>
      <c r="D1202" s="41">
        <v>5</v>
      </c>
      <c r="E1202" s="41">
        <v>1546</v>
      </c>
      <c r="F1202" s="41" t="s">
        <v>4016</v>
      </c>
      <c r="G1202" s="41" t="s">
        <v>9349</v>
      </c>
      <c r="H1202" s="2043">
        <v>5192317</v>
      </c>
      <c r="I1202" s="2043">
        <v>84935</v>
      </c>
      <c r="J1202">
        <v>1.8019430476949001E-2</v>
      </c>
      <c r="K1202" s="2043">
        <v>93562.595195780304</v>
      </c>
      <c r="L1202" s="2043">
        <v>84935</v>
      </c>
      <c r="M1202">
        <v>599</v>
      </c>
      <c r="N1202">
        <v>1</v>
      </c>
    </row>
    <row r="1203" spans="1:14">
      <c r="A1203" t="s">
        <v>3019</v>
      </c>
      <c r="B1203" t="s">
        <v>548</v>
      </c>
      <c r="C1203" t="s">
        <v>658</v>
      </c>
      <c r="D1203" s="41">
        <v>5</v>
      </c>
      <c r="E1203" s="41">
        <v>1542</v>
      </c>
      <c r="F1203" s="41" t="s">
        <v>4017</v>
      </c>
      <c r="G1203" s="41" t="s">
        <v>4017</v>
      </c>
      <c r="H1203" s="2043">
        <v>871410</v>
      </c>
      <c r="I1203" s="2043">
        <v>0</v>
      </c>
      <c r="J1203">
        <v>0</v>
      </c>
      <c r="L1203" s="2043">
        <v>0</v>
      </c>
      <c r="M1203">
        <v>199</v>
      </c>
      <c r="N1203">
        <v>0</v>
      </c>
    </row>
    <row r="1204" spans="1:14">
      <c r="A1204" t="s">
        <v>3019</v>
      </c>
      <c r="B1204" t="s">
        <v>548</v>
      </c>
      <c r="C1204" t="s">
        <v>658</v>
      </c>
      <c r="D1204" s="41">
        <v>9</v>
      </c>
      <c r="E1204" s="41">
        <v>1547</v>
      </c>
      <c r="F1204" s="41" t="s">
        <v>4018</v>
      </c>
      <c r="G1204" s="41" t="s">
        <v>4018</v>
      </c>
      <c r="H1204" s="2043">
        <v>6114066</v>
      </c>
      <c r="I1204" s="2043">
        <v>0</v>
      </c>
      <c r="J1204">
        <v>0</v>
      </c>
      <c r="K1204" s="2043">
        <v>0</v>
      </c>
      <c r="L1204" s="2043">
        <v>0</v>
      </c>
      <c r="M1204">
        <v>599</v>
      </c>
      <c r="N1204">
        <v>1</v>
      </c>
    </row>
    <row r="1205" spans="1:14">
      <c r="A1205" t="s">
        <v>3019</v>
      </c>
      <c r="B1205" t="s">
        <v>548</v>
      </c>
      <c r="C1205" t="s">
        <v>658</v>
      </c>
      <c r="D1205" s="41">
        <v>9</v>
      </c>
      <c r="E1205" s="41">
        <v>1547</v>
      </c>
      <c r="F1205" s="41" t="s">
        <v>4018</v>
      </c>
      <c r="G1205" s="41" t="s">
        <v>7193</v>
      </c>
      <c r="H1205" s="2043">
        <v>6114066</v>
      </c>
      <c r="I1205" s="2043">
        <v>4924613</v>
      </c>
      <c r="J1205">
        <v>1</v>
      </c>
      <c r="K1205" s="2043">
        <v>6114066</v>
      </c>
      <c r="L1205" s="2043">
        <v>4924613</v>
      </c>
      <c r="M1205">
        <v>599</v>
      </c>
      <c r="N1205">
        <v>1</v>
      </c>
    </row>
    <row r="1206" spans="1:14">
      <c r="A1206" t="s">
        <v>3019</v>
      </c>
      <c r="B1206" t="s">
        <v>548</v>
      </c>
      <c r="C1206" t="s">
        <v>658</v>
      </c>
      <c r="D1206" s="41">
        <v>9</v>
      </c>
      <c r="E1206" s="41">
        <v>1544</v>
      </c>
      <c r="F1206" s="41" t="s">
        <v>4019</v>
      </c>
      <c r="G1206" s="41" t="s">
        <v>4019</v>
      </c>
      <c r="H1206" s="2043">
        <v>1073703</v>
      </c>
      <c r="I1206" s="2043">
        <v>0</v>
      </c>
      <c r="J1206">
        <v>0</v>
      </c>
      <c r="L1206" s="2043">
        <v>0</v>
      </c>
      <c r="M1206">
        <v>199</v>
      </c>
      <c r="N1206">
        <v>0</v>
      </c>
    </row>
    <row r="1207" spans="1:14">
      <c r="A1207" t="s">
        <v>3019</v>
      </c>
      <c r="B1207" t="s">
        <v>548</v>
      </c>
      <c r="C1207" t="s">
        <v>658</v>
      </c>
      <c r="D1207" s="41">
        <v>11</v>
      </c>
      <c r="E1207" s="41">
        <v>2583</v>
      </c>
      <c r="F1207" s="41" t="s">
        <v>7194</v>
      </c>
      <c r="G1207" s="41" t="s">
        <v>7194</v>
      </c>
      <c r="H1207" s="2043">
        <v>6464000</v>
      </c>
      <c r="I1207" s="2043">
        <v>0</v>
      </c>
      <c r="J1207">
        <v>0</v>
      </c>
      <c r="K1207" s="2043">
        <v>0</v>
      </c>
      <c r="L1207" s="2043">
        <v>0</v>
      </c>
      <c r="M1207">
        <v>599</v>
      </c>
      <c r="N1207">
        <v>1</v>
      </c>
    </row>
    <row r="1208" spans="1:14">
      <c r="A1208" t="s">
        <v>3019</v>
      </c>
      <c r="B1208" t="s">
        <v>548</v>
      </c>
      <c r="C1208" t="s">
        <v>658</v>
      </c>
      <c r="D1208" s="41">
        <v>11</v>
      </c>
      <c r="E1208" s="41">
        <v>2583</v>
      </c>
      <c r="F1208" s="41" t="s">
        <v>7194</v>
      </c>
      <c r="G1208" s="41" t="s">
        <v>9349</v>
      </c>
      <c r="H1208" s="2043">
        <v>6464000</v>
      </c>
      <c r="I1208" s="2043">
        <v>1819071</v>
      </c>
      <c r="J1208">
        <v>1</v>
      </c>
      <c r="K1208" s="2043">
        <v>6464000</v>
      </c>
      <c r="L1208" s="2043">
        <v>1819071</v>
      </c>
      <c r="M1208">
        <v>599</v>
      </c>
      <c r="N1208">
        <v>1</v>
      </c>
    </row>
    <row r="1209" spans="1:14">
      <c r="A1209" t="s">
        <v>3020</v>
      </c>
      <c r="B1209" t="s">
        <v>180</v>
      </c>
      <c r="C1209" t="s">
        <v>1874</v>
      </c>
      <c r="D1209" s="41">
        <v>1</v>
      </c>
      <c r="E1209" s="41">
        <v>1554</v>
      </c>
      <c r="F1209" s="41" t="s">
        <v>4020</v>
      </c>
      <c r="G1209" s="41" t="s">
        <v>4020</v>
      </c>
      <c r="H1209" s="2043">
        <v>1417777</v>
      </c>
      <c r="I1209" s="2043">
        <v>0</v>
      </c>
      <c r="J1209">
        <v>0</v>
      </c>
      <c r="L1209" s="2043">
        <v>0</v>
      </c>
      <c r="M1209">
        <v>599</v>
      </c>
      <c r="N1209">
        <v>0</v>
      </c>
    </row>
    <row r="1210" spans="1:14">
      <c r="A1210" t="s">
        <v>3020</v>
      </c>
      <c r="B1210" t="s">
        <v>180</v>
      </c>
      <c r="C1210" t="s">
        <v>1874</v>
      </c>
      <c r="D1210" s="41">
        <v>2</v>
      </c>
      <c r="E1210" s="41">
        <v>1559</v>
      </c>
      <c r="F1210" s="41" t="s">
        <v>4021</v>
      </c>
      <c r="G1210" s="41" t="s">
        <v>4021</v>
      </c>
      <c r="H1210" s="2043">
        <v>4312614</v>
      </c>
      <c r="I1210" s="2043">
        <v>0</v>
      </c>
      <c r="J1210">
        <v>0</v>
      </c>
      <c r="L1210" s="2043">
        <v>0</v>
      </c>
      <c r="M1210">
        <v>599</v>
      </c>
      <c r="N1210">
        <v>0</v>
      </c>
    </row>
    <row r="1211" spans="1:14">
      <c r="A1211" t="s">
        <v>3020</v>
      </c>
      <c r="B1211" t="s">
        <v>180</v>
      </c>
      <c r="C1211" t="s">
        <v>1874</v>
      </c>
      <c r="D1211" s="41">
        <v>3</v>
      </c>
      <c r="E1211" s="41">
        <v>1555</v>
      </c>
      <c r="F1211" s="41" t="s">
        <v>4022</v>
      </c>
      <c r="G1211" s="41" t="s">
        <v>4022</v>
      </c>
      <c r="H1211" s="2043">
        <v>2098629</v>
      </c>
      <c r="I1211" s="2043">
        <v>0</v>
      </c>
      <c r="J1211">
        <v>0</v>
      </c>
      <c r="L1211" s="2043">
        <v>0</v>
      </c>
      <c r="M1211">
        <v>599</v>
      </c>
      <c r="N1211">
        <v>0</v>
      </c>
    </row>
    <row r="1212" spans="1:14">
      <c r="A1212" t="s">
        <v>3020</v>
      </c>
      <c r="B1212" t="s">
        <v>180</v>
      </c>
      <c r="C1212" t="s">
        <v>1874</v>
      </c>
      <c r="D1212" s="41">
        <v>3</v>
      </c>
      <c r="E1212" s="41">
        <v>1558</v>
      </c>
      <c r="F1212" s="41" t="s">
        <v>4023</v>
      </c>
      <c r="G1212" s="41" t="s">
        <v>4023</v>
      </c>
      <c r="H1212" s="2043">
        <v>3113521</v>
      </c>
      <c r="I1212" s="2043">
        <v>0</v>
      </c>
      <c r="J1212">
        <v>0</v>
      </c>
      <c r="L1212" s="2043">
        <v>0</v>
      </c>
      <c r="M1212">
        <v>599</v>
      </c>
      <c r="N1212">
        <v>0</v>
      </c>
    </row>
    <row r="1213" spans="1:14">
      <c r="A1213" t="s">
        <v>3020</v>
      </c>
      <c r="B1213" t="s">
        <v>180</v>
      </c>
      <c r="C1213" t="s">
        <v>1874</v>
      </c>
      <c r="D1213" s="41">
        <v>5</v>
      </c>
      <c r="E1213" s="41">
        <v>1556</v>
      </c>
      <c r="F1213" s="41" t="s">
        <v>4025</v>
      </c>
      <c r="G1213" s="41" t="s">
        <v>4025</v>
      </c>
      <c r="H1213" s="2043">
        <v>2380440</v>
      </c>
      <c r="I1213" s="2043">
        <v>0</v>
      </c>
      <c r="J1213">
        <v>0</v>
      </c>
      <c r="L1213" s="2043">
        <v>0</v>
      </c>
      <c r="M1213">
        <v>599</v>
      </c>
      <c r="N1213">
        <v>0</v>
      </c>
    </row>
    <row r="1214" spans="1:14">
      <c r="A1214" t="s">
        <v>3020</v>
      </c>
      <c r="B1214" t="s">
        <v>180</v>
      </c>
      <c r="C1214" t="s">
        <v>1874</v>
      </c>
      <c r="D1214" s="41">
        <v>6</v>
      </c>
      <c r="E1214" s="41">
        <v>1557</v>
      </c>
      <c r="F1214" s="41" t="s">
        <v>4026</v>
      </c>
      <c r="G1214" s="41" t="s">
        <v>4026</v>
      </c>
      <c r="H1214" s="2043">
        <v>2566718</v>
      </c>
      <c r="I1214" s="2043">
        <v>0</v>
      </c>
      <c r="J1214">
        <v>0</v>
      </c>
      <c r="K1214" s="2043">
        <v>0</v>
      </c>
      <c r="L1214" s="2043">
        <v>0</v>
      </c>
      <c r="M1214">
        <v>599</v>
      </c>
      <c r="N1214">
        <v>0</v>
      </c>
    </row>
    <row r="1215" spans="1:14">
      <c r="A1215" t="s">
        <v>3020</v>
      </c>
      <c r="B1215" t="s">
        <v>180</v>
      </c>
      <c r="C1215" t="s">
        <v>1874</v>
      </c>
      <c r="D1215" s="41">
        <v>6</v>
      </c>
      <c r="E1215" s="41">
        <v>1557</v>
      </c>
      <c r="F1215" s="41" t="s">
        <v>4026</v>
      </c>
      <c r="G1215" s="41" t="s">
        <v>4024</v>
      </c>
      <c r="H1215" s="2043">
        <v>2566718</v>
      </c>
      <c r="I1215" s="2043">
        <v>0</v>
      </c>
      <c r="J1215">
        <v>0</v>
      </c>
      <c r="K1215" s="2043">
        <v>0</v>
      </c>
      <c r="L1215" s="2043">
        <v>0</v>
      </c>
      <c r="M1215">
        <v>599</v>
      </c>
      <c r="N1215">
        <v>1</v>
      </c>
    </row>
    <row r="1216" spans="1:14">
      <c r="A1216" t="s">
        <v>3020</v>
      </c>
      <c r="B1216" t="s">
        <v>180</v>
      </c>
      <c r="C1216" t="s">
        <v>1874</v>
      </c>
      <c r="D1216" s="41">
        <v>6</v>
      </c>
      <c r="E1216" s="41">
        <v>1557</v>
      </c>
      <c r="F1216" s="41" t="s">
        <v>4026</v>
      </c>
      <c r="G1216" s="41" t="s">
        <v>8568</v>
      </c>
      <c r="H1216" s="2043">
        <v>2566718</v>
      </c>
      <c r="I1216" s="2043">
        <v>476521</v>
      </c>
      <c r="J1216">
        <v>1</v>
      </c>
      <c r="K1216" s="2043">
        <v>2566718</v>
      </c>
      <c r="L1216" s="2043">
        <v>476521</v>
      </c>
      <c r="M1216">
        <v>599</v>
      </c>
      <c r="N1216">
        <v>1</v>
      </c>
    </row>
    <row r="1217" spans="1:14">
      <c r="A1217" t="s">
        <v>3020</v>
      </c>
      <c r="B1217" t="s">
        <v>180</v>
      </c>
      <c r="C1217" t="s">
        <v>1874</v>
      </c>
      <c r="D1217" s="41">
        <v>10</v>
      </c>
      <c r="E1217" s="41">
        <v>1553</v>
      </c>
      <c r="F1217" s="41" t="s">
        <v>4027</v>
      </c>
      <c r="G1217" s="41" t="s">
        <v>4027</v>
      </c>
      <c r="H1217" s="2043">
        <v>967583</v>
      </c>
      <c r="I1217" s="2043">
        <v>1032089</v>
      </c>
      <c r="J1217">
        <v>1</v>
      </c>
      <c r="K1217" s="2043">
        <v>967583</v>
      </c>
      <c r="L1217" s="2043">
        <v>967583</v>
      </c>
      <c r="M1217">
        <v>599</v>
      </c>
      <c r="N1217">
        <v>1</v>
      </c>
    </row>
    <row r="1218" spans="1:14">
      <c r="A1218" t="s">
        <v>3020</v>
      </c>
      <c r="B1218" t="s">
        <v>180</v>
      </c>
      <c r="C1218" t="s">
        <v>1874</v>
      </c>
      <c r="D1218" s="41">
        <v>10</v>
      </c>
      <c r="E1218" s="41">
        <v>1552</v>
      </c>
      <c r="F1218" s="41" t="s">
        <v>4028</v>
      </c>
      <c r="G1218" s="41" t="s">
        <v>4028</v>
      </c>
      <c r="H1218" s="2043">
        <v>901072</v>
      </c>
      <c r="I1218" s="2043">
        <v>910461</v>
      </c>
      <c r="J1218">
        <v>1</v>
      </c>
      <c r="K1218" s="2043">
        <v>901072</v>
      </c>
      <c r="L1218" s="2043">
        <v>901072</v>
      </c>
      <c r="M1218">
        <v>599</v>
      </c>
      <c r="N1218">
        <v>1</v>
      </c>
    </row>
    <row r="1219" spans="1:14">
      <c r="A1219" t="s">
        <v>3021</v>
      </c>
      <c r="B1219" t="s">
        <v>2188</v>
      </c>
      <c r="C1219" t="s">
        <v>452</v>
      </c>
      <c r="D1219" s="41">
        <v>10</v>
      </c>
      <c r="E1219" s="41">
        <v>1677</v>
      </c>
      <c r="F1219" s="41" t="s">
        <v>4029</v>
      </c>
      <c r="G1219" s="41" t="s">
        <v>4029</v>
      </c>
      <c r="H1219" s="2043">
        <v>330868</v>
      </c>
      <c r="I1219" s="2043">
        <v>0</v>
      </c>
      <c r="J1219">
        <v>0</v>
      </c>
      <c r="L1219" s="2043">
        <v>0</v>
      </c>
      <c r="M1219">
        <v>599</v>
      </c>
      <c r="N1219">
        <v>1</v>
      </c>
    </row>
    <row r="1220" spans="1:14">
      <c r="A1220" t="s">
        <v>3021</v>
      </c>
      <c r="B1220" t="s">
        <v>2188</v>
      </c>
      <c r="C1220" t="s">
        <v>452</v>
      </c>
      <c r="D1220" s="41">
        <v>10</v>
      </c>
      <c r="E1220" s="41">
        <v>1678</v>
      </c>
      <c r="F1220" s="41" t="s">
        <v>4030</v>
      </c>
      <c r="G1220" s="41" t="s">
        <v>4030</v>
      </c>
      <c r="H1220" s="2043">
        <v>1101389</v>
      </c>
      <c r="I1220" s="2043">
        <v>2376361</v>
      </c>
      <c r="J1220">
        <v>1</v>
      </c>
      <c r="K1220" s="2043">
        <v>1101389</v>
      </c>
      <c r="L1220" s="2043">
        <v>1101389</v>
      </c>
      <c r="M1220">
        <v>599</v>
      </c>
      <c r="N1220">
        <v>1</v>
      </c>
    </row>
    <row r="1221" spans="1:14">
      <c r="A1221" t="s">
        <v>3021</v>
      </c>
      <c r="B1221" t="s">
        <v>2188</v>
      </c>
      <c r="C1221" t="s">
        <v>452</v>
      </c>
      <c r="D1221" s="41">
        <v>11</v>
      </c>
      <c r="E1221" s="41">
        <v>2542</v>
      </c>
      <c r="F1221" s="41" t="s">
        <v>7195</v>
      </c>
      <c r="G1221" s="41" t="s">
        <v>7195</v>
      </c>
      <c r="H1221" s="2043">
        <v>721415</v>
      </c>
      <c r="I1221" s="2043">
        <v>712452</v>
      </c>
      <c r="J1221">
        <v>1</v>
      </c>
      <c r="K1221" s="2043">
        <v>721415</v>
      </c>
      <c r="L1221" s="2043">
        <v>712452</v>
      </c>
      <c r="M1221">
        <v>599</v>
      </c>
      <c r="N1221">
        <v>1</v>
      </c>
    </row>
    <row r="1222" spans="1:14">
      <c r="A1222" t="s">
        <v>3022</v>
      </c>
      <c r="B1222" t="s">
        <v>2266</v>
      </c>
      <c r="C1222" t="s">
        <v>396</v>
      </c>
      <c r="D1222" s="41">
        <v>3</v>
      </c>
      <c r="E1222" s="41">
        <v>1732</v>
      </c>
      <c r="F1222" s="41" t="s">
        <v>4031</v>
      </c>
      <c r="G1222" s="41" t="s">
        <v>4031</v>
      </c>
      <c r="H1222" s="2043">
        <v>926340</v>
      </c>
      <c r="I1222" s="2043">
        <v>0</v>
      </c>
      <c r="J1222">
        <v>0</v>
      </c>
      <c r="K1222" s="2043">
        <v>0</v>
      </c>
      <c r="L1222" s="2043">
        <v>0</v>
      </c>
      <c r="M1222">
        <v>599</v>
      </c>
      <c r="N1222">
        <v>1</v>
      </c>
    </row>
    <row r="1223" spans="1:14">
      <c r="A1223" t="s">
        <v>3022</v>
      </c>
      <c r="B1223" t="s">
        <v>2266</v>
      </c>
      <c r="C1223" t="s">
        <v>396</v>
      </c>
      <c r="D1223" s="41">
        <v>3</v>
      </c>
      <c r="E1223" s="41">
        <v>1732</v>
      </c>
      <c r="F1223" s="41" t="s">
        <v>4031</v>
      </c>
      <c r="G1223" s="41" t="s">
        <v>4032</v>
      </c>
      <c r="H1223" s="2043">
        <v>926340</v>
      </c>
      <c r="I1223" s="2043">
        <v>0</v>
      </c>
      <c r="J1223">
        <v>0</v>
      </c>
      <c r="K1223" s="2043">
        <v>0</v>
      </c>
      <c r="L1223" s="2043">
        <v>0</v>
      </c>
      <c r="M1223">
        <v>599</v>
      </c>
      <c r="N1223">
        <v>1</v>
      </c>
    </row>
    <row r="1224" spans="1:14">
      <c r="A1224" t="s">
        <v>3022</v>
      </c>
      <c r="B1224" t="s">
        <v>2266</v>
      </c>
      <c r="C1224" t="s">
        <v>396</v>
      </c>
      <c r="D1224" s="41">
        <v>3</v>
      </c>
      <c r="E1224" s="41">
        <v>1732</v>
      </c>
      <c r="F1224" s="41" t="s">
        <v>4031</v>
      </c>
      <c r="G1224" s="41" t="s">
        <v>4033</v>
      </c>
      <c r="H1224" s="2043">
        <v>926340</v>
      </c>
      <c r="I1224" s="2043">
        <v>374541</v>
      </c>
      <c r="J1224">
        <v>0.224829370486647</v>
      </c>
      <c r="K1224" s="2043">
        <v>208268.43905660001</v>
      </c>
      <c r="L1224" s="2043">
        <v>208268.43905660001</v>
      </c>
      <c r="M1224">
        <v>599</v>
      </c>
      <c r="N1224">
        <v>1</v>
      </c>
    </row>
    <row r="1225" spans="1:14">
      <c r="A1225" t="s">
        <v>3022</v>
      </c>
      <c r="B1225" t="s">
        <v>2266</v>
      </c>
      <c r="C1225" t="s">
        <v>396</v>
      </c>
      <c r="D1225" s="41">
        <v>3</v>
      </c>
      <c r="E1225" s="41">
        <v>1732</v>
      </c>
      <c r="F1225" s="41" t="s">
        <v>4031</v>
      </c>
      <c r="G1225" s="41" t="s">
        <v>5591</v>
      </c>
      <c r="H1225" s="2043">
        <v>926340</v>
      </c>
      <c r="I1225" s="2043">
        <v>1291349</v>
      </c>
      <c r="J1225">
        <v>0.77517062951335303</v>
      </c>
      <c r="K1225" s="2043">
        <v>718071.56094340002</v>
      </c>
      <c r="L1225" s="2043">
        <v>718071.56094340002</v>
      </c>
      <c r="M1225">
        <v>599</v>
      </c>
      <c r="N1225">
        <v>1</v>
      </c>
    </row>
    <row r="1226" spans="1:14">
      <c r="A1226" t="s">
        <v>3022</v>
      </c>
      <c r="B1226" t="s">
        <v>2266</v>
      </c>
      <c r="C1226" t="s">
        <v>396</v>
      </c>
      <c r="D1226" s="41">
        <v>11</v>
      </c>
      <c r="E1226" s="41">
        <v>2530</v>
      </c>
      <c r="F1226" s="41" t="s">
        <v>7196</v>
      </c>
      <c r="G1226" s="41" t="s">
        <v>7196</v>
      </c>
      <c r="H1226" s="2043">
        <v>1333191</v>
      </c>
      <c r="I1226" s="2043">
        <v>3097038</v>
      </c>
      <c r="J1226">
        <v>0.50105021878816602</v>
      </c>
      <c r="K1226" s="2043">
        <v>667995.64223641402</v>
      </c>
      <c r="L1226" s="2043">
        <v>667995.64223641402</v>
      </c>
      <c r="M1226">
        <v>599</v>
      </c>
      <c r="N1226">
        <v>1</v>
      </c>
    </row>
    <row r="1227" spans="1:14">
      <c r="A1227" t="s">
        <v>3022</v>
      </c>
      <c r="B1227" t="s">
        <v>2266</v>
      </c>
      <c r="C1227" t="s">
        <v>396</v>
      </c>
      <c r="D1227" s="41">
        <v>11</v>
      </c>
      <c r="E1227" s="41">
        <v>2530</v>
      </c>
      <c r="F1227" s="41" t="s">
        <v>7196</v>
      </c>
      <c r="G1227" s="41" t="s">
        <v>9350</v>
      </c>
      <c r="H1227" s="2043">
        <v>1333191</v>
      </c>
      <c r="I1227" s="2043">
        <v>3084055</v>
      </c>
      <c r="J1227">
        <v>0.49894978121183398</v>
      </c>
      <c r="K1227" s="2043">
        <v>665195.35776358598</v>
      </c>
      <c r="L1227" s="2043">
        <v>665195.35776358598</v>
      </c>
      <c r="M1227">
        <v>599</v>
      </c>
      <c r="N1227">
        <v>1</v>
      </c>
    </row>
    <row r="1228" spans="1:14">
      <c r="A1228" t="s">
        <v>3023</v>
      </c>
      <c r="B1228" t="s">
        <v>1343</v>
      </c>
      <c r="C1228" t="s">
        <v>1392</v>
      </c>
      <c r="D1228" s="41">
        <v>1</v>
      </c>
      <c r="E1228" s="41">
        <v>1837</v>
      </c>
      <c r="F1228" s="41" t="s">
        <v>4034</v>
      </c>
      <c r="G1228" s="41" t="s">
        <v>4034</v>
      </c>
      <c r="H1228" s="2043">
        <v>827390</v>
      </c>
      <c r="I1228" s="2043">
        <v>0</v>
      </c>
      <c r="J1228">
        <v>0</v>
      </c>
      <c r="K1228" s="2043">
        <v>0</v>
      </c>
      <c r="L1228" s="2043">
        <v>0</v>
      </c>
      <c r="M1228">
        <v>599</v>
      </c>
      <c r="N1228">
        <v>0</v>
      </c>
    </row>
    <row r="1229" spans="1:14">
      <c r="A1229" t="s">
        <v>3023</v>
      </c>
      <c r="B1229" t="s">
        <v>1343</v>
      </c>
      <c r="C1229" t="s">
        <v>1392</v>
      </c>
      <c r="D1229" s="41">
        <v>1</v>
      </c>
      <c r="E1229" s="41">
        <v>1837</v>
      </c>
      <c r="F1229" s="41" t="s">
        <v>4034</v>
      </c>
      <c r="G1229" s="41" t="s">
        <v>4035</v>
      </c>
      <c r="H1229" s="2043">
        <v>827390</v>
      </c>
      <c r="I1229" s="2043">
        <v>0</v>
      </c>
      <c r="J1229">
        <v>0</v>
      </c>
      <c r="K1229" s="2043">
        <v>0</v>
      </c>
      <c r="L1229" s="2043">
        <v>0</v>
      </c>
      <c r="M1229">
        <v>599</v>
      </c>
      <c r="N1229">
        <v>0</v>
      </c>
    </row>
    <row r="1230" spans="1:14">
      <c r="A1230" t="s">
        <v>3023</v>
      </c>
      <c r="B1230" t="s">
        <v>1343</v>
      </c>
      <c r="C1230" t="s">
        <v>1392</v>
      </c>
      <c r="D1230" s="41">
        <v>1</v>
      </c>
      <c r="E1230" s="41">
        <v>1837</v>
      </c>
      <c r="F1230" s="41" t="s">
        <v>4034</v>
      </c>
      <c r="G1230" s="41" t="s">
        <v>4036</v>
      </c>
      <c r="H1230" s="2043">
        <v>827390</v>
      </c>
      <c r="I1230" s="2043">
        <v>1096059</v>
      </c>
      <c r="J1230">
        <v>1</v>
      </c>
      <c r="K1230" s="2043">
        <v>827390</v>
      </c>
      <c r="L1230" s="2043">
        <v>827390</v>
      </c>
      <c r="M1230">
        <v>599</v>
      </c>
      <c r="N1230">
        <v>1</v>
      </c>
    </row>
    <row r="1231" spans="1:14">
      <c r="A1231" t="s">
        <v>3023</v>
      </c>
      <c r="B1231" t="s">
        <v>1343</v>
      </c>
      <c r="C1231" t="s">
        <v>1392</v>
      </c>
      <c r="D1231" s="41">
        <v>2</v>
      </c>
      <c r="E1231" s="41">
        <v>1839</v>
      </c>
      <c r="F1231" s="41" t="s">
        <v>4037</v>
      </c>
      <c r="G1231" s="41" t="s">
        <v>4037</v>
      </c>
      <c r="H1231" s="2043">
        <v>1792083</v>
      </c>
      <c r="I1231" s="2043">
        <v>0</v>
      </c>
      <c r="J1231">
        <v>0</v>
      </c>
      <c r="L1231" s="2043">
        <v>0</v>
      </c>
      <c r="M1231">
        <v>599</v>
      </c>
      <c r="N1231">
        <v>0</v>
      </c>
    </row>
    <row r="1232" spans="1:14">
      <c r="A1232" t="s">
        <v>3023</v>
      </c>
      <c r="B1232" t="s">
        <v>1343</v>
      </c>
      <c r="C1232" t="s">
        <v>1392</v>
      </c>
      <c r="D1232" s="41">
        <v>6</v>
      </c>
      <c r="E1232" s="41">
        <v>1838</v>
      </c>
      <c r="F1232" s="41" t="s">
        <v>4038</v>
      </c>
      <c r="G1232" s="41" t="s">
        <v>4038</v>
      </c>
      <c r="H1232" s="2043">
        <v>907274</v>
      </c>
      <c r="I1232" s="2043">
        <v>0</v>
      </c>
      <c r="J1232">
        <v>0</v>
      </c>
      <c r="K1232" s="2043">
        <v>0</v>
      </c>
      <c r="L1232" s="2043">
        <v>0</v>
      </c>
      <c r="M1232">
        <v>599</v>
      </c>
      <c r="N1232">
        <v>0</v>
      </c>
    </row>
    <row r="1233" spans="1:14">
      <c r="A1233" t="s">
        <v>3023</v>
      </c>
      <c r="B1233" t="s">
        <v>1343</v>
      </c>
      <c r="C1233" t="s">
        <v>1392</v>
      </c>
      <c r="D1233" s="41">
        <v>6</v>
      </c>
      <c r="E1233" s="41">
        <v>1838</v>
      </c>
      <c r="F1233" s="41" t="s">
        <v>4038</v>
      </c>
      <c r="G1233" s="41" t="s">
        <v>4039</v>
      </c>
      <c r="H1233" s="2043">
        <v>907274</v>
      </c>
      <c r="I1233" s="2043">
        <v>1016009</v>
      </c>
      <c r="J1233">
        <v>0.57873454205756503</v>
      </c>
      <c r="K1233" s="2043">
        <v>525070.80291073595</v>
      </c>
      <c r="L1233" s="2043">
        <v>525070.80291073595</v>
      </c>
      <c r="M1233">
        <v>599</v>
      </c>
      <c r="N1233">
        <v>1</v>
      </c>
    </row>
    <row r="1234" spans="1:14">
      <c r="A1234" t="s">
        <v>3023</v>
      </c>
      <c r="B1234" t="s">
        <v>1343</v>
      </c>
      <c r="C1234" t="s">
        <v>1392</v>
      </c>
      <c r="D1234" s="41">
        <v>6</v>
      </c>
      <c r="E1234" s="41">
        <v>1838</v>
      </c>
      <c r="F1234" s="41" t="s">
        <v>4038</v>
      </c>
      <c r="G1234" s="41" t="s">
        <v>4040</v>
      </c>
      <c r="H1234" s="2043">
        <v>907274</v>
      </c>
      <c r="I1234" s="2043">
        <v>87098</v>
      </c>
      <c r="J1234">
        <v>4.96123766070279E-2</v>
      </c>
      <c r="K1234" s="2043">
        <v>45012.019373764597</v>
      </c>
      <c r="L1234" s="2043">
        <v>45012.019373764597</v>
      </c>
      <c r="M1234">
        <v>599</v>
      </c>
      <c r="N1234">
        <v>1</v>
      </c>
    </row>
    <row r="1235" spans="1:14">
      <c r="A1235" t="s">
        <v>3023</v>
      </c>
      <c r="B1235" t="s">
        <v>1343</v>
      </c>
      <c r="C1235" t="s">
        <v>1392</v>
      </c>
      <c r="D1235" s="41">
        <v>6</v>
      </c>
      <c r="E1235" s="41">
        <v>1838</v>
      </c>
      <c r="F1235" s="41" t="s">
        <v>4038</v>
      </c>
      <c r="G1235" s="41" t="s">
        <v>5404</v>
      </c>
      <c r="H1235" s="2043">
        <v>907274</v>
      </c>
      <c r="I1235" s="2043">
        <v>0</v>
      </c>
      <c r="J1235">
        <v>0</v>
      </c>
      <c r="K1235" s="2043">
        <v>0</v>
      </c>
      <c r="L1235" s="2043">
        <v>0</v>
      </c>
      <c r="M1235">
        <v>599</v>
      </c>
      <c r="N1235">
        <v>1</v>
      </c>
    </row>
    <row r="1236" spans="1:14">
      <c r="A1236" t="s">
        <v>3023</v>
      </c>
      <c r="B1236" t="s">
        <v>1343</v>
      </c>
      <c r="C1236" t="s">
        <v>1392</v>
      </c>
      <c r="D1236" s="41">
        <v>6</v>
      </c>
      <c r="E1236" s="41">
        <v>1838</v>
      </c>
      <c r="F1236" s="41" t="s">
        <v>4038</v>
      </c>
      <c r="G1236" s="41" t="s">
        <v>7197</v>
      </c>
      <c r="H1236" s="2043">
        <v>907274</v>
      </c>
      <c r="I1236" s="2043">
        <v>143490</v>
      </c>
      <c r="J1236">
        <v>8.1734137630513196E-2</v>
      </c>
      <c r="K1236" s="2043">
        <v>74155.257984586206</v>
      </c>
      <c r="L1236" s="2043">
        <v>74155.257984586206</v>
      </c>
      <c r="M1236">
        <v>599</v>
      </c>
      <c r="N1236">
        <v>1</v>
      </c>
    </row>
    <row r="1237" spans="1:14">
      <c r="A1237" t="s">
        <v>3023</v>
      </c>
      <c r="B1237" t="s">
        <v>1343</v>
      </c>
      <c r="C1237" t="s">
        <v>1392</v>
      </c>
      <c r="D1237" s="41">
        <v>6</v>
      </c>
      <c r="E1237" s="41">
        <v>1838</v>
      </c>
      <c r="F1237" s="41" t="s">
        <v>4038</v>
      </c>
      <c r="G1237" s="41" t="s">
        <v>7198</v>
      </c>
      <c r="H1237" s="2043">
        <v>907274</v>
      </c>
      <c r="I1237" s="2043">
        <v>508973</v>
      </c>
      <c r="J1237">
        <v>0.28991894370489402</v>
      </c>
      <c r="K1237" s="2043">
        <v>263035.919730914</v>
      </c>
      <c r="L1237" s="2043">
        <v>263035.919730914</v>
      </c>
      <c r="M1237">
        <v>599</v>
      </c>
      <c r="N1237">
        <v>1</v>
      </c>
    </row>
    <row r="1238" spans="1:14">
      <c r="A1238" t="s">
        <v>3023</v>
      </c>
      <c r="B1238" t="s">
        <v>1343</v>
      </c>
      <c r="C1238" t="s">
        <v>1392</v>
      </c>
      <c r="D1238" s="41">
        <v>6</v>
      </c>
      <c r="E1238" s="41">
        <v>1834</v>
      </c>
      <c r="F1238" s="41" t="s">
        <v>4041</v>
      </c>
      <c r="G1238" s="41" t="s">
        <v>4041</v>
      </c>
      <c r="H1238" s="2043">
        <v>608673</v>
      </c>
      <c r="I1238" s="2043">
        <v>0</v>
      </c>
      <c r="J1238">
        <v>0</v>
      </c>
      <c r="K1238" s="2043">
        <v>0</v>
      </c>
      <c r="L1238" s="2043">
        <v>0</v>
      </c>
      <c r="M1238">
        <v>599</v>
      </c>
      <c r="N1238">
        <v>1</v>
      </c>
    </row>
    <row r="1239" spans="1:14">
      <c r="A1239" t="s">
        <v>3023</v>
      </c>
      <c r="B1239" t="s">
        <v>1343</v>
      </c>
      <c r="C1239" t="s">
        <v>1392</v>
      </c>
      <c r="D1239" s="41">
        <v>6</v>
      </c>
      <c r="E1239" s="41">
        <v>1834</v>
      </c>
      <c r="F1239" s="41" t="s">
        <v>4041</v>
      </c>
      <c r="G1239" s="41" t="s">
        <v>4040</v>
      </c>
      <c r="H1239" s="2043">
        <v>608673</v>
      </c>
      <c r="I1239" s="2043">
        <v>32821</v>
      </c>
      <c r="J1239">
        <v>1.3747366948432999E-2</v>
      </c>
      <c r="K1239" s="2043">
        <v>8367.6510826035792</v>
      </c>
      <c r="L1239" s="2043">
        <v>8367.6510826035792</v>
      </c>
      <c r="M1239">
        <v>599</v>
      </c>
      <c r="N1239">
        <v>1</v>
      </c>
    </row>
    <row r="1240" spans="1:14">
      <c r="A1240" t="s">
        <v>3023</v>
      </c>
      <c r="B1240" t="s">
        <v>1343</v>
      </c>
      <c r="C1240" t="s">
        <v>1392</v>
      </c>
      <c r="D1240" s="41">
        <v>6</v>
      </c>
      <c r="E1240" s="41">
        <v>1834</v>
      </c>
      <c r="F1240" s="41" t="s">
        <v>4041</v>
      </c>
      <c r="G1240" s="41" t="s">
        <v>4042</v>
      </c>
      <c r="H1240" s="2043">
        <v>608673</v>
      </c>
      <c r="I1240" s="2043">
        <v>2354618</v>
      </c>
      <c r="J1240">
        <v>0.98625263305156696</v>
      </c>
      <c r="K1240" s="2043">
        <v>600305.34891739604</v>
      </c>
      <c r="L1240" s="2043">
        <v>600305.34891739604</v>
      </c>
      <c r="M1240">
        <v>599</v>
      </c>
      <c r="N1240">
        <v>1</v>
      </c>
    </row>
    <row r="1241" spans="1:14">
      <c r="A1241" t="s">
        <v>3023</v>
      </c>
      <c r="B1241" t="s">
        <v>1343</v>
      </c>
      <c r="C1241" t="s">
        <v>1392</v>
      </c>
      <c r="D1241" s="41">
        <v>9</v>
      </c>
      <c r="E1241" s="41">
        <v>1836</v>
      </c>
      <c r="F1241" s="41" t="s">
        <v>4043</v>
      </c>
      <c r="G1241" s="41" t="s">
        <v>4043</v>
      </c>
      <c r="H1241" s="2043">
        <v>792979</v>
      </c>
      <c r="I1241" s="2043">
        <v>0</v>
      </c>
      <c r="J1241">
        <v>0</v>
      </c>
      <c r="K1241" s="2043">
        <v>0</v>
      </c>
      <c r="L1241" s="2043">
        <v>0</v>
      </c>
      <c r="M1241">
        <v>599</v>
      </c>
      <c r="N1241">
        <v>1</v>
      </c>
    </row>
    <row r="1242" spans="1:14">
      <c r="A1242" t="s">
        <v>3023</v>
      </c>
      <c r="B1242" t="s">
        <v>1343</v>
      </c>
      <c r="C1242" t="s">
        <v>1392</v>
      </c>
      <c r="D1242" s="41">
        <v>9</v>
      </c>
      <c r="E1242" s="41">
        <v>1836</v>
      </c>
      <c r="F1242" s="41" t="s">
        <v>4043</v>
      </c>
      <c r="G1242" s="41" t="s">
        <v>8569</v>
      </c>
      <c r="H1242" s="2043">
        <v>792979</v>
      </c>
      <c r="I1242" s="2043">
        <v>561402</v>
      </c>
      <c r="J1242">
        <v>1</v>
      </c>
      <c r="K1242" s="2043">
        <v>792979</v>
      </c>
      <c r="L1242" s="2043">
        <v>561402</v>
      </c>
      <c r="M1242">
        <v>599</v>
      </c>
      <c r="N1242">
        <v>1</v>
      </c>
    </row>
    <row r="1243" spans="1:14">
      <c r="A1243" t="s">
        <v>3023</v>
      </c>
      <c r="B1243" t="s">
        <v>1343</v>
      </c>
      <c r="C1243" t="s">
        <v>1392</v>
      </c>
      <c r="D1243" s="41">
        <v>10</v>
      </c>
      <c r="E1243" s="41">
        <v>1835</v>
      </c>
      <c r="F1243" s="41" t="s">
        <v>4044</v>
      </c>
      <c r="G1243" s="41" t="s">
        <v>4044</v>
      </c>
      <c r="H1243" s="2043">
        <v>663147</v>
      </c>
      <c r="I1243" s="2043">
        <v>0</v>
      </c>
      <c r="J1243">
        <v>0</v>
      </c>
      <c r="K1243" s="2043">
        <v>0</v>
      </c>
      <c r="L1243" s="2043">
        <v>0</v>
      </c>
      <c r="M1243">
        <v>599</v>
      </c>
      <c r="N1243">
        <v>1</v>
      </c>
    </row>
    <row r="1244" spans="1:14">
      <c r="A1244" t="s">
        <v>3023</v>
      </c>
      <c r="B1244" t="s">
        <v>1343</v>
      </c>
      <c r="C1244" t="s">
        <v>1392</v>
      </c>
      <c r="D1244" s="41">
        <v>10</v>
      </c>
      <c r="E1244" s="41">
        <v>1835</v>
      </c>
      <c r="F1244" s="41" t="s">
        <v>4044</v>
      </c>
      <c r="G1244" s="41" t="s">
        <v>9351</v>
      </c>
      <c r="H1244" s="2043">
        <v>663147</v>
      </c>
      <c r="I1244" s="2043">
        <v>596723</v>
      </c>
      <c r="J1244">
        <v>1</v>
      </c>
      <c r="K1244" s="2043">
        <v>663147</v>
      </c>
      <c r="L1244" s="2043">
        <v>596723</v>
      </c>
      <c r="M1244">
        <v>599</v>
      </c>
      <c r="N1244">
        <v>1</v>
      </c>
    </row>
    <row r="1245" spans="1:14">
      <c r="A1245" t="s">
        <v>3024</v>
      </c>
      <c r="B1245" t="s">
        <v>1052</v>
      </c>
      <c r="C1245" t="s">
        <v>2252</v>
      </c>
      <c r="D1245" s="41">
        <v>1</v>
      </c>
      <c r="E1245" s="41">
        <v>1914</v>
      </c>
      <c r="F1245" s="41" t="s">
        <v>4045</v>
      </c>
      <c r="G1245" s="41" t="s">
        <v>4045</v>
      </c>
      <c r="H1245" s="2043">
        <v>1259509</v>
      </c>
      <c r="I1245" s="2043">
        <v>0</v>
      </c>
      <c r="J1245">
        <v>0</v>
      </c>
      <c r="L1245" s="2043">
        <v>0</v>
      </c>
      <c r="M1245">
        <v>599</v>
      </c>
      <c r="N1245">
        <v>0</v>
      </c>
    </row>
    <row r="1246" spans="1:14">
      <c r="A1246" t="s">
        <v>3024</v>
      </c>
      <c r="B1246" t="s">
        <v>1052</v>
      </c>
      <c r="C1246" t="s">
        <v>2252</v>
      </c>
      <c r="D1246" s="41">
        <v>1</v>
      </c>
      <c r="E1246" s="41">
        <v>1915</v>
      </c>
      <c r="F1246" s="41" t="s">
        <v>4046</v>
      </c>
      <c r="G1246" s="41" t="s">
        <v>4046</v>
      </c>
      <c r="H1246" s="2043">
        <v>1479767</v>
      </c>
      <c r="I1246" s="2043">
        <v>0</v>
      </c>
      <c r="J1246">
        <v>0</v>
      </c>
      <c r="L1246" s="2043">
        <v>0</v>
      </c>
      <c r="M1246">
        <v>599</v>
      </c>
      <c r="N1246">
        <v>0</v>
      </c>
    </row>
    <row r="1247" spans="1:14">
      <c r="A1247" t="s">
        <v>3024</v>
      </c>
      <c r="B1247" t="s">
        <v>1052</v>
      </c>
      <c r="C1247" t="s">
        <v>2252</v>
      </c>
      <c r="D1247" s="41">
        <v>11</v>
      </c>
      <c r="E1247" s="41">
        <v>2544</v>
      </c>
      <c r="F1247" s="41" t="s">
        <v>7199</v>
      </c>
      <c r="G1247" s="41" t="s">
        <v>7199</v>
      </c>
      <c r="H1247" s="2043">
        <v>2848025</v>
      </c>
      <c r="I1247" s="2043">
        <v>2817975</v>
      </c>
      <c r="J1247">
        <v>1</v>
      </c>
      <c r="K1247" s="2043">
        <v>2848025</v>
      </c>
      <c r="L1247" s="2043">
        <v>2817975</v>
      </c>
      <c r="M1247">
        <v>599</v>
      </c>
      <c r="N1247">
        <v>0</v>
      </c>
    </row>
    <row r="1248" spans="1:14">
      <c r="A1248" t="s">
        <v>3025</v>
      </c>
      <c r="B1248" t="s">
        <v>46</v>
      </c>
      <c r="C1248" t="s">
        <v>388</v>
      </c>
      <c r="D1248" s="41">
        <v>1</v>
      </c>
      <c r="E1248" s="41">
        <v>1942</v>
      </c>
      <c r="F1248" s="41" t="s">
        <v>4047</v>
      </c>
      <c r="G1248" s="41" t="s">
        <v>4047</v>
      </c>
      <c r="H1248" s="2043">
        <v>1428934</v>
      </c>
      <c r="I1248" s="2043">
        <v>0</v>
      </c>
      <c r="J1248">
        <v>0</v>
      </c>
      <c r="L1248" s="2043">
        <v>0</v>
      </c>
      <c r="M1248">
        <v>599</v>
      </c>
      <c r="N1248">
        <v>1</v>
      </c>
    </row>
    <row r="1249" spans="1:14">
      <c r="A1249" t="s">
        <v>3025</v>
      </c>
      <c r="B1249" t="s">
        <v>46</v>
      </c>
      <c r="C1249" t="s">
        <v>388</v>
      </c>
      <c r="D1249" s="41">
        <v>1</v>
      </c>
      <c r="E1249" s="41">
        <v>1942</v>
      </c>
      <c r="F1249" s="41" t="s">
        <v>4047</v>
      </c>
      <c r="G1249" s="41" t="s">
        <v>4048</v>
      </c>
      <c r="H1249" s="2043">
        <v>1428934</v>
      </c>
      <c r="I1249" s="2043">
        <v>0</v>
      </c>
      <c r="J1249">
        <v>0</v>
      </c>
      <c r="L1249" s="2043">
        <v>0</v>
      </c>
      <c r="M1249">
        <v>599</v>
      </c>
      <c r="N1249">
        <v>1</v>
      </c>
    </row>
    <row r="1250" spans="1:14">
      <c r="A1250" t="s">
        <v>3025</v>
      </c>
      <c r="B1250" t="s">
        <v>46</v>
      </c>
      <c r="C1250" t="s">
        <v>388</v>
      </c>
      <c r="D1250" s="41">
        <v>1</v>
      </c>
      <c r="E1250" s="41">
        <v>1943</v>
      </c>
      <c r="F1250" s="41" t="s">
        <v>4049</v>
      </c>
      <c r="G1250" s="41" t="s">
        <v>4049</v>
      </c>
      <c r="H1250" s="2043">
        <v>1506643</v>
      </c>
      <c r="I1250" s="2043">
        <v>0</v>
      </c>
      <c r="J1250">
        <v>0</v>
      </c>
      <c r="L1250" s="2043">
        <v>0</v>
      </c>
      <c r="M1250">
        <v>599</v>
      </c>
      <c r="N1250">
        <v>0</v>
      </c>
    </row>
    <row r="1251" spans="1:14">
      <c r="A1251" t="s">
        <v>3025</v>
      </c>
      <c r="B1251" t="s">
        <v>46</v>
      </c>
      <c r="C1251" t="s">
        <v>388</v>
      </c>
      <c r="D1251" s="41">
        <v>2</v>
      </c>
      <c r="E1251" s="41">
        <v>1944</v>
      </c>
      <c r="F1251" s="41" t="s">
        <v>4051</v>
      </c>
      <c r="G1251" s="41" t="s">
        <v>4051</v>
      </c>
      <c r="H1251" s="2043">
        <v>1987951</v>
      </c>
      <c r="I1251" s="2043">
        <v>0</v>
      </c>
      <c r="J1251">
        <v>0</v>
      </c>
      <c r="K1251" s="2043">
        <v>0</v>
      </c>
      <c r="L1251" s="2043">
        <v>0</v>
      </c>
      <c r="M1251">
        <v>599</v>
      </c>
      <c r="N1251">
        <v>0</v>
      </c>
    </row>
    <row r="1252" spans="1:14">
      <c r="A1252" t="s">
        <v>3025</v>
      </c>
      <c r="B1252" t="s">
        <v>46</v>
      </c>
      <c r="C1252" t="s">
        <v>388</v>
      </c>
      <c r="D1252" s="41">
        <v>2</v>
      </c>
      <c r="E1252" s="41">
        <v>1944</v>
      </c>
      <c r="F1252" s="41" t="s">
        <v>4051</v>
      </c>
      <c r="G1252" s="41" t="s">
        <v>4050</v>
      </c>
      <c r="H1252" s="2043">
        <v>1987951</v>
      </c>
      <c r="I1252" s="2043">
        <v>0</v>
      </c>
      <c r="J1252">
        <v>0</v>
      </c>
      <c r="K1252" s="2043">
        <v>0</v>
      </c>
      <c r="L1252" s="2043">
        <v>0</v>
      </c>
      <c r="M1252">
        <v>599</v>
      </c>
      <c r="N1252">
        <v>1</v>
      </c>
    </row>
    <row r="1253" spans="1:14">
      <c r="A1253" t="s">
        <v>3025</v>
      </c>
      <c r="B1253" t="s">
        <v>46</v>
      </c>
      <c r="C1253" t="s">
        <v>388</v>
      </c>
      <c r="D1253" s="41">
        <v>2</v>
      </c>
      <c r="E1253" s="41">
        <v>1944</v>
      </c>
      <c r="F1253" s="41" t="s">
        <v>4051</v>
      </c>
      <c r="G1253" s="41" t="s">
        <v>4048</v>
      </c>
      <c r="H1253" s="2043">
        <v>1987951</v>
      </c>
      <c r="I1253" s="2043">
        <v>0</v>
      </c>
      <c r="J1253">
        <v>0</v>
      </c>
      <c r="K1253" s="2043">
        <v>0</v>
      </c>
      <c r="L1253" s="2043">
        <v>0</v>
      </c>
      <c r="M1253">
        <v>599</v>
      </c>
      <c r="N1253">
        <v>1</v>
      </c>
    </row>
    <row r="1254" spans="1:14">
      <c r="A1254" t="s">
        <v>3025</v>
      </c>
      <c r="B1254" t="s">
        <v>46</v>
      </c>
      <c r="C1254" t="s">
        <v>388</v>
      </c>
      <c r="D1254" s="41">
        <v>2</v>
      </c>
      <c r="E1254" s="41">
        <v>1944</v>
      </c>
      <c r="F1254" s="41" t="s">
        <v>4051</v>
      </c>
      <c r="G1254" s="41" t="s">
        <v>5405</v>
      </c>
      <c r="H1254" s="2043">
        <v>1987951</v>
      </c>
      <c r="I1254" s="2043">
        <v>1210747</v>
      </c>
      <c r="J1254">
        <v>1</v>
      </c>
      <c r="K1254" s="2043">
        <v>1987951</v>
      </c>
      <c r="L1254" s="2043">
        <v>1210747</v>
      </c>
      <c r="M1254">
        <v>599</v>
      </c>
      <c r="N1254">
        <v>1</v>
      </c>
    </row>
    <row r="1255" spans="1:14">
      <c r="A1255" t="s">
        <v>3025</v>
      </c>
      <c r="B1255" t="s">
        <v>46</v>
      </c>
      <c r="C1255" t="s">
        <v>388</v>
      </c>
      <c r="D1255" s="41">
        <v>9</v>
      </c>
      <c r="E1255" s="41">
        <v>1945</v>
      </c>
      <c r="F1255" s="41" t="s">
        <v>4052</v>
      </c>
      <c r="G1255" s="41" t="s">
        <v>4052</v>
      </c>
      <c r="H1255" s="2043">
        <v>5681065</v>
      </c>
      <c r="I1255" s="2043">
        <v>0</v>
      </c>
      <c r="J1255">
        <v>0</v>
      </c>
      <c r="K1255" s="2043">
        <v>0</v>
      </c>
      <c r="L1255" s="2043">
        <v>0</v>
      </c>
      <c r="M1255">
        <v>599</v>
      </c>
      <c r="N1255">
        <v>1</v>
      </c>
    </row>
    <row r="1256" spans="1:14">
      <c r="A1256" t="s">
        <v>3025</v>
      </c>
      <c r="B1256" t="s">
        <v>46</v>
      </c>
      <c r="C1256" t="s">
        <v>388</v>
      </c>
      <c r="D1256" s="41">
        <v>9</v>
      </c>
      <c r="E1256" s="41">
        <v>1945</v>
      </c>
      <c r="F1256" s="41" t="s">
        <v>4052</v>
      </c>
      <c r="G1256" s="41" t="s">
        <v>5406</v>
      </c>
      <c r="H1256" s="2043">
        <v>5681065</v>
      </c>
      <c r="I1256" s="2043">
        <v>4147415</v>
      </c>
      <c r="J1256">
        <v>1</v>
      </c>
      <c r="K1256" s="2043">
        <v>5681065</v>
      </c>
      <c r="L1256" s="2043">
        <v>4147415</v>
      </c>
      <c r="M1256">
        <v>599</v>
      </c>
      <c r="N1256">
        <v>1</v>
      </c>
    </row>
    <row r="1257" spans="1:14">
      <c r="A1257" t="s">
        <v>3025</v>
      </c>
      <c r="B1257" t="s">
        <v>46</v>
      </c>
      <c r="C1257" t="s">
        <v>388</v>
      </c>
      <c r="D1257" s="41">
        <v>9</v>
      </c>
      <c r="E1257" s="41">
        <v>1946</v>
      </c>
      <c r="F1257" s="41" t="s">
        <v>4053</v>
      </c>
      <c r="G1257" s="41" t="s">
        <v>4053</v>
      </c>
      <c r="H1257" s="2043">
        <v>5902797</v>
      </c>
      <c r="I1257" s="2043">
        <v>3581720</v>
      </c>
      <c r="J1257">
        <v>0.55217259594594703</v>
      </c>
      <c r="K1257" s="2043">
        <v>3259362.7428319501</v>
      </c>
      <c r="L1257" s="2043">
        <v>3259362.7428319501</v>
      </c>
      <c r="M1257">
        <v>599</v>
      </c>
      <c r="N1257">
        <v>1</v>
      </c>
    </row>
    <row r="1258" spans="1:14">
      <c r="A1258" t="s">
        <v>3025</v>
      </c>
      <c r="B1258" t="s">
        <v>46</v>
      </c>
      <c r="C1258" t="s">
        <v>388</v>
      </c>
      <c r="D1258" s="41">
        <v>9</v>
      </c>
      <c r="E1258" s="41">
        <v>1946</v>
      </c>
      <c r="F1258" s="41" t="s">
        <v>4053</v>
      </c>
      <c r="G1258" s="41" t="s">
        <v>5406</v>
      </c>
      <c r="H1258" s="2043">
        <v>5902797</v>
      </c>
      <c r="I1258" s="2043">
        <v>1583690</v>
      </c>
      <c r="J1258">
        <v>0.24414812393867699</v>
      </c>
      <c r="K1258" s="2043">
        <v>1441156.8135408501</v>
      </c>
      <c r="L1258" s="2043">
        <v>1441156.8135408501</v>
      </c>
      <c r="M1258">
        <v>599</v>
      </c>
      <c r="N1258">
        <v>1</v>
      </c>
    </row>
    <row r="1259" spans="1:14">
      <c r="A1259" t="s">
        <v>3025</v>
      </c>
      <c r="B1259" t="s">
        <v>46</v>
      </c>
      <c r="C1259" t="s">
        <v>388</v>
      </c>
      <c r="D1259" s="41">
        <v>9</v>
      </c>
      <c r="E1259" s="41">
        <v>1946</v>
      </c>
      <c r="F1259" s="41" t="s">
        <v>4053</v>
      </c>
      <c r="G1259" s="41" t="s">
        <v>5407</v>
      </c>
      <c r="H1259" s="2043">
        <v>5902797</v>
      </c>
      <c r="I1259" s="2043">
        <v>769887</v>
      </c>
      <c r="J1259">
        <v>0.11868892693315999</v>
      </c>
      <c r="K1259" s="2043">
        <v>700596.64183427498</v>
      </c>
      <c r="L1259" s="2043">
        <v>700596.64183427498</v>
      </c>
      <c r="M1259">
        <v>599</v>
      </c>
      <c r="N1259">
        <v>1</v>
      </c>
    </row>
    <row r="1260" spans="1:14">
      <c r="A1260" t="s">
        <v>3025</v>
      </c>
      <c r="B1260" t="s">
        <v>46</v>
      </c>
      <c r="C1260" t="s">
        <v>388</v>
      </c>
      <c r="D1260" s="41">
        <v>9</v>
      </c>
      <c r="E1260" s="41">
        <v>1946</v>
      </c>
      <c r="F1260" s="41" t="s">
        <v>4053</v>
      </c>
      <c r="G1260" s="41" t="s">
        <v>5592</v>
      </c>
      <c r="H1260" s="2043">
        <v>5902797</v>
      </c>
      <c r="I1260" s="2043">
        <v>551298</v>
      </c>
      <c r="J1260">
        <v>8.4990353182216594E-2</v>
      </c>
      <c r="K1260" s="2043">
        <v>501680.80179292802</v>
      </c>
      <c r="L1260" s="2043">
        <v>501680.80179292802</v>
      </c>
      <c r="M1260">
        <v>599</v>
      </c>
      <c r="N1260">
        <v>1</v>
      </c>
    </row>
    <row r="1261" spans="1:14">
      <c r="A1261" t="s">
        <v>3025</v>
      </c>
      <c r="B1261" t="s">
        <v>46</v>
      </c>
      <c r="C1261" t="s">
        <v>388</v>
      </c>
      <c r="D1261" s="41">
        <v>9</v>
      </c>
      <c r="E1261" s="41">
        <v>1941</v>
      </c>
      <c r="F1261" s="41" t="s">
        <v>4054</v>
      </c>
      <c r="G1261" s="41" t="s">
        <v>4054</v>
      </c>
      <c r="H1261" s="2043">
        <v>212152</v>
      </c>
      <c r="I1261" s="2043">
        <v>0</v>
      </c>
      <c r="J1261">
        <v>0</v>
      </c>
      <c r="K1261" s="2043">
        <v>0</v>
      </c>
      <c r="L1261" s="2043">
        <v>0</v>
      </c>
      <c r="M1261">
        <v>599</v>
      </c>
      <c r="N1261">
        <v>1</v>
      </c>
    </row>
    <row r="1262" spans="1:14">
      <c r="A1262" t="s">
        <v>3025</v>
      </c>
      <c r="B1262" t="s">
        <v>46</v>
      </c>
      <c r="C1262" t="s">
        <v>388</v>
      </c>
      <c r="D1262" s="41">
        <v>9</v>
      </c>
      <c r="E1262" s="41">
        <v>1941</v>
      </c>
      <c r="F1262" s="41" t="s">
        <v>4054</v>
      </c>
      <c r="G1262" s="41" t="s">
        <v>5407</v>
      </c>
      <c r="H1262" s="2043">
        <v>212152</v>
      </c>
      <c r="I1262" s="2043">
        <v>285706</v>
      </c>
      <c r="J1262">
        <v>0.67702362305481201</v>
      </c>
      <c r="K1262" s="2043">
        <v>143631.91567832499</v>
      </c>
      <c r="L1262" s="2043">
        <v>143631.91567832499</v>
      </c>
      <c r="M1262">
        <v>599</v>
      </c>
      <c r="N1262">
        <v>1</v>
      </c>
    </row>
    <row r="1263" spans="1:14">
      <c r="A1263" t="s">
        <v>3025</v>
      </c>
      <c r="B1263" t="s">
        <v>46</v>
      </c>
      <c r="C1263" t="s">
        <v>388</v>
      </c>
      <c r="D1263" s="41">
        <v>9</v>
      </c>
      <c r="E1263" s="41">
        <v>1941</v>
      </c>
      <c r="F1263" s="41" t="s">
        <v>4054</v>
      </c>
      <c r="G1263" s="41" t="s">
        <v>5592</v>
      </c>
      <c r="H1263" s="2043">
        <v>212152</v>
      </c>
      <c r="I1263" s="2043">
        <v>136297</v>
      </c>
      <c r="J1263">
        <v>0.32297637694518799</v>
      </c>
      <c r="K1263" s="2043">
        <v>68520.0843216754</v>
      </c>
      <c r="L1263" s="2043">
        <v>68520.0843216754</v>
      </c>
      <c r="M1263">
        <v>599</v>
      </c>
      <c r="N1263">
        <v>1</v>
      </c>
    </row>
    <row r="1264" spans="1:14">
      <c r="A1264" t="s">
        <v>3026</v>
      </c>
      <c r="B1264" t="s">
        <v>53</v>
      </c>
      <c r="C1264" t="s">
        <v>2442</v>
      </c>
      <c r="D1264" s="41">
        <v>1</v>
      </c>
      <c r="E1264" s="41">
        <v>1963</v>
      </c>
      <c r="F1264" s="41" t="s">
        <v>4055</v>
      </c>
      <c r="G1264" s="41" t="s">
        <v>4055</v>
      </c>
      <c r="H1264" s="2043">
        <v>282821</v>
      </c>
      <c r="I1264" s="2043">
        <v>0</v>
      </c>
      <c r="J1264">
        <v>0</v>
      </c>
      <c r="L1264" s="2043">
        <v>0</v>
      </c>
      <c r="M1264">
        <v>599</v>
      </c>
      <c r="N1264">
        <v>0</v>
      </c>
    </row>
    <row r="1265" spans="1:14">
      <c r="A1265" t="s">
        <v>3026</v>
      </c>
      <c r="B1265" t="s">
        <v>53</v>
      </c>
      <c r="C1265" t="s">
        <v>2442</v>
      </c>
      <c r="D1265" s="41">
        <v>2</v>
      </c>
      <c r="E1265" s="41">
        <v>1965</v>
      </c>
      <c r="F1265" s="41" t="s">
        <v>4057</v>
      </c>
      <c r="G1265" s="41" t="s">
        <v>4057</v>
      </c>
      <c r="H1265" s="2043">
        <v>1172621</v>
      </c>
      <c r="I1265" s="2043">
        <v>0</v>
      </c>
      <c r="J1265">
        <v>0</v>
      </c>
      <c r="L1265" s="2043">
        <v>0</v>
      </c>
      <c r="M1265">
        <v>599</v>
      </c>
      <c r="N1265">
        <v>0</v>
      </c>
    </row>
    <row r="1266" spans="1:14">
      <c r="A1266" t="s">
        <v>3026</v>
      </c>
      <c r="B1266" t="s">
        <v>53</v>
      </c>
      <c r="C1266" t="s">
        <v>2442</v>
      </c>
      <c r="D1266" s="41">
        <v>6</v>
      </c>
      <c r="E1266" s="41">
        <v>1966</v>
      </c>
      <c r="F1266" s="41" t="s">
        <v>4058</v>
      </c>
      <c r="G1266" s="41" t="s">
        <v>4058</v>
      </c>
      <c r="H1266" s="2043">
        <v>2380705</v>
      </c>
      <c r="I1266" s="2043">
        <v>0</v>
      </c>
      <c r="J1266">
        <v>0</v>
      </c>
      <c r="K1266" s="2043">
        <v>0</v>
      </c>
      <c r="L1266" s="2043">
        <v>0</v>
      </c>
      <c r="M1266">
        <v>599</v>
      </c>
      <c r="N1266">
        <v>0</v>
      </c>
    </row>
    <row r="1267" spans="1:14">
      <c r="A1267" t="s">
        <v>3026</v>
      </c>
      <c r="B1267" t="s">
        <v>53</v>
      </c>
      <c r="C1267" t="s">
        <v>2442</v>
      </c>
      <c r="D1267" s="41">
        <v>6</v>
      </c>
      <c r="E1267" s="41">
        <v>1966</v>
      </c>
      <c r="F1267" s="41" t="s">
        <v>4058</v>
      </c>
      <c r="G1267" s="41" t="s">
        <v>4056</v>
      </c>
      <c r="H1267" s="2043">
        <v>2380705</v>
      </c>
      <c r="I1267" s="2043">
        <v>0</v>
      </c>
      <c r="J1267">
        <v>0</v>
      </c>
      <c r="K1267" s="2043">
        <v>0</v>
      </c>
      <c r="L1267" s="2043">
        <v>0</v>
      </c>
      <c r="M1267">
        <v>599</v>
      </c>
      <c r="N1267">
        <v>0</v>
      </c>
    </row>
    <row r="1268" spans="1:14">
      <c r="A1268" t="s">
        <v>3026</v>
      </c>
      <c r="B1268" t="s">
        <v>53</v>
      </c>
      <c r="C1268" t="s">
        <v>2442</v>
      </c>
      <c r="D1268" s="41">
        <v>6</v>
      </c>
      <c r="E1268" s="41">
        <v>1966</v>
      </c>
      <c r="F1268" s="41" t="s">
        <v>4058</v>
      </c>
      <c r="G1268" s="41" t="s">
        <v>4059</v>
      </c>
      <c r="H1268" s="2043">
        <v>2380705</v>
      </c>
      <c r="I1268" s="2043">
        <v>0</v>
      </c>
      <c r="J1268">
        <v>0</v>
      </c>
      <c r="K1268" s="2043">
        <v>0</v>
      </c>
      <c r="L1268" s="2043">
        <v>0</v>
      </c>
      <c r="M1268">
        <v>599</v>
      </c>
      <c r="N1268">
        <v>1</v>
      </c>
    </row>
    <row r="1269" spans="1:14">
      <c r="A1269" t="s">
        <v>3026</v>
      </c>
      <c r="B1269" t="s">
        <v>53</v>
      </c>
      <c r="C1269" t="s">
        <v>2442</v>
      </c>
      <c r="D1269" s="41">
        <v>6</v>
      </c>
      <c r="E1269" s="41">
        <v>1966</v>
      </c>
      <c r="F1269" s="41" t="s">
        <v>4058</v>
      </c>
      <c r="G1269" s="41" t="s">
        <v>4060</v>
      </c>
      <c r="H1269" s="2043">
        <v>2380705</v>
      </c>
      <c r="I1269" s="2043">
        <v>1342576</v>
      </c>
      <c r="J1269">
        <v>0.79611812834773199</v>
      </c>
      <c r="K1269" s="2043">
        <v>1895322.40874809</v>
      </c>
      <c r="L1269" s="2043">
        <v>1342576</v>
      </c>
      <c r="M1269">
        <v>599</v>
      </c>
      <c r="N1269">
        <v>1</v>
      </c>
    </row>
    <row r="1270" spans="1:14">
      <c r="A1270" t="s">
        <v>3026</v>
      </c>
      <c r="B1270" t="s">
        <v>53</v>
      </c>
      <c r="C1270" t="s">
        <v>2442</v>
      </c>
      <c r="D1270" s="41">
        <v>6</v>
      </c>
      <c r="E1270" s="41">
        <v>1966</v>
      </c>
      <c r="F1270" s="41" t="s">
        <v>4058</v>
      </c>
      <c r="G1270" s="41" t="s">
        <v>5408</v>
      </c>
      <c r="H1270" s="2043">
        <v>2380705</v>
      </c>
      <c r="I1270" s="2043">
        <v>230225</v>
      </c>
      <c r="J1270">
        <v>0.136518376686948</v>
      </c>
      <c r="K1270" s="2043">
        <v>325009.98197050201</v>
      </c>
      <c r="L1270" s="2043">
        <v>230225</v>
      </c>
      <c r="M1270">
        <v>599</v>
      </c>
      <c r="N1270">
        <v>1</v>
      </c>
    </row>
    <row r="1271" spans="1:14">
      <c r="A1271" t="s">
        <v>3026</v>
      </c>
      <c r="B1271" t="s">
        <v>53</v>
      </c>
      <c r="C1271" t="s">
        <v>2442</v>
      </c>
      <c r="D1271" s="41">
        <v>6</v>
      </c>
      <c r="E1271" s="41">
        <v>1966</v>
      </c>
      <c r="F1271" s="41" t="s">
        <v>4058</v>
      </c>
      <c r="G1271" s="41" t="s">
        <v>5593</v>
      </c>
      <c r="H1271" s="2043">
        <v>2380705</v>
      </c>
      <c r="I1271" s="2043">
        <v>98192</v>
      </c>
      <c r="J1271">
        <v>5.8225702871733502E-2</v>
      </c>
      <c r="K1271" s="2043">
        <v>138618.22195524999</v>
      </c>
      <c r="L1271" s="2043">
        <v>98192</v>
      </c>
      <c r="M1271">
        <v>599</v>
      </c>
      <c r="N1271">
        <v>1</v>
      </c>
    </row>
    <row r="1272" spans="1:14">
      <c r="A1272" t="s">
        <v>3026</v>
      </c>
      <c r="B1272" t="s">
        <v>53</v>
      </c>
      <c r="C1272" t="s">
        <v>2442</v>
      </c>
      <c r="D1272" s="41">
        <v>6</v>
      </c>
      <c r="E1272" s="41">
        <v>1966</v>
      </c>
      <c r="F1272" s="41" t="s">
        <v>4058</v>
      </c>
      <c r="G1272" s="41" t="s">
        <v>8570</v>
      </c>
      <c r="H1272" s="2043">
        <v>2380705</v>
      </c>
      <c r="I1272" s="2043">
        <v>15410</v>
      </c>
      <c r="J1272">
        <v>9.1377920935861705E-3</v>
      </c>
      <c r="K1272" s="2043">
        <v>21754.387326161101</v>
      </c>
      <c r="L1272" s="2043">
        <v>15410</v>
      </c>
      <c r="M1272">
        <v>599</v>
      </c>
      <c r="N1272">
        <v>1</v>
      </c>
    </row>
    <row r="1273" spans="1:14">
      <c r="A1273" t="s">
        <v>3026</v>
      </c>
      <c r="B1273" t="s">
        <v>53</v>
      </c>
      <c r="C1273" t="s">
        <v>2442</v>
      </c>
      <c r="D1273" s="41">
        <v>9</v>
      </c>
      <c r="E1273" s="41">
        <v>1964</v>
      </c>
      <c r="F1273" s="41" t="s">
        <v>4061</v>
      </c>
      <c r="G1273" s="41" t="s">
        <v>4061</v>
      </c>
      <c r="H1273" s="2043">
        <v>1083584</v>
      </c>
      <c r="I1273" s="2043">
        <v>0</v>
      </c>
      <c r="J1273">
        <v>0</v>
      </c>
      <c r="K1273" s="2043">
        <v>0</v>
      </c>
      <c r="L1273" s="2043">
        <v>0</v>
      </c>
      <c r="M1273">
        <v>599</v>
      </c>
      <c r="N1273">
        <v>1</v>
      </c>
    </row>
    <row r="1274" spans="1:14">
      <c r="A1274" t="s">
        <v>3026</v>
      </c>
      <c r="B1274" t="s">
        <v>53</v>
      </c>
      <c r="C1274" t="s">
        <v>2442</v>
      </c>
      <c r="D1274" s="41">
        <v>9</v>
      </c>
      <c r="E1274" s="41">
        <v>1964</v>
      </c>
      <c r="F1274" s="41" t="s">
        <v>4061</v>
      </c>
      <c r="G1274" s="41" t="s">
        <v>5408</v>
      </c>
      <c r="H1274" s="2043">
        <v>1083584</v>
      </c>
      <c r="I1274" s="2043">
        <v>313154</v>
      </c>
      <c r="J1274">
        <v>0.53874659363043298</v>
      </c>
      <c r="K1274" s="2043">
        <v>583777.18891243904</v>
      </c>
      <c r="L1274" s="2043">
        <v>313154</v>
      </c>
      <c r="M1274">
        <v>599</v>
      </c>
      <c r="N1274">
        <v>1</v>
      </c>
    </row>
    <row r="1275" spans="1:14">
      <c r="A1275" t="s">
        <v>3026</v>
      </c>
      <c r="B1275" t="s">
        <v>53</v>
      </c>
      <c r="C1275" t="s">
        <v>2442</v>
      </c>
      <c r="D1275" s="41">
        <v>9</v>
      </c>
      <c r="E1275" s="41">
        <v>1964</v>
      </c>
      <c r="F1275" s="41" t="s">
        <v>4061</v>
      </c>
      <c r="G1275" s="41" t="s">
        <v>5593</v>
      </c>
      <c r="H1275" s="2043">
        <v>1083584</v>
      </c>
      <c r="I1275" s="2043">
        <v>268110</v>
      </c>
      <c r="J1275">
        <v>0.46125340636956702</v>
      </c>
      <c r="K1275" s="2043">
        <v>499806.81108756101</v>
      </c>
      <c r="L1275" s="2043">
        <v>268110</v>
      </c>
      <c r="M1275">
        <v>599</v>
      </c>
      <c r="N1275">
        <v>1</v>
      </c>
    </row>
    <row r="1276" spans="1:14">
      <c r="A1276" t="s">
        <v>3026</v>
      </c>
      <c r="B1276" t="s">
        <v>53</v>
      </c>
      <c r="C1276" t="s">
        <v>2442</v>
      </c>
      <c r="D1276" s="41">
        <v>9</v>
      </c>
      <c r="E1276" s="41">
        <v>1968</v>
      </c>
      <c r="F1276" s="41" t="s">
        <v>4059</v>
      </c>
      <c r="G1276" s="41" t="s">
        <v>4059</v>
      </c>
      <c r="H1276" s="2043">
        <v>8267781</v>
      </c>
      <c r="I1276" s="2043">
        <v>8837794</v>
      </c>
      <c r="J1276">
        <v>0.65236262936464995</v>
      </c>
      <c r="K1276" s="2043">
        <v>5393591.3521710904</v>
      </c>
      <c r="L1276" s="2043">
        <v>5393591.3521710904</v>
      </c>
      <c r="M1276">
        <v>599</v>
      </c>
      <c r="N1276">
        <v>1</v>
      </c>
    </row>
    <row r="1277" spans="1:14">
      <c r="A1277" t="s">
        <v>3026</v>
      </c>
      <c r="B1277" t="s">
        <v>53</v>
      </c>
      <c r="C1277" t="s">
        <v>2442</v>
      </c>
      <c r="D1277" s="41">
        <v>9</v>
      </c>
      <c r="E1277" s="41">
        <v>1968</v>
      </c>
      <c r="F1277" s="41" t="s">
        <v>4059</v>
      </c>
      <c r="G1277" s="41" t="s">
        <v>5408</v>
      </c>
      <c r="H1277" s="2043">
        <v>8267781</v>
      </c>
      <c r="I1277" s="2043">
        <v>1415545</v>
      </c>
      <c r="J1277">
        <v>0.1044885927624</v>
      </c>
      <c r="K1277" s="2043">
        <v>863888.80195770902</v>
      </c>
      <c r="L1277" s="2043">
        <v>863888.80195770902</v>
      </c>
      <c r="M1277">
        <v>599</v>
      </c>
      <c r="N1277">
        <v>1</v>
      </c>
    </row>
    <row r="1278" spans="1:14">
      <c r="A1278" t="s">
        <v>3026</v>
      </c>
      <c r="B1278" t="s">
        <v>53</v>
      </c>
      <c r="C1278" t="s">
        <v>2442</v>
      </c>
      <c r="D1278" s="41">
        <v>9</v>
      </c>
      <c r="E1278" s="41">
        <v>1968</v>
      </c>
      <c r="F1278" s="41" t="s">
        <v>4059</v>
      </c>
      <c r="G1278" s="41" t="s">
        <v>5593</v>
      </c>
      <c r="H1278" s="2043">
        <v>8267781</v>
      </c>
      <c r="I1278" s="2043">
        <v>2894229</v>
      </c>
      <c r="J1278">
        <v>0.21363779699135599</v>
      </c>
      <c r="K1278" s="2043">
        <v>1766310.5188469901</v>
      </c>
      <c r="L1278" s="2043">
        <v>1766310.5188469901</v>
      </c>
      <c r="M1278">
        <v>599</v>
      </c>
      <c r="N1278">
        <v>1</v>
      </c>
    </row>
    <row r="1279" spans="1:14">
      <c r="A1279" t="s">
        <v>3026</v>
      </c>
      <c r="B1279" t="s">
        <v>53</v>
      </c>
      <c r="C1279" t="s">
        <v>2442</v>
      </c>
      <c r="D1279" s="41">
        <v>9</v>
      </c>
      <c r="E1279" s="41">
        <v>1968</v>
      </c>
      <c r="F1279" s="41" t="s">
        <v>4059</v>
      </c>
      <c r="G1279" s="41" t="s">
        <v>8570</v>
      </c>
      <c r="H1279" s="2043">
        <v>8267781</v>
      </c>
      <c r="I1279" s="2043">
        <v>399796</v>
      </c>
      <c r="J1279">
        <v>2.9510980881594401E-2</v>
      </c>
      <c r="K1279" s="2043">
        <v>243990.32702420899</v>
      </c>
      <c r="L1279" s="2043">
        <v>243990.32702420899</v>
      </c>
      <c r="M1279">
        <v>599</v>
      </c>
      <c r="N1279">
        <v>1</v>
      </c>
    </row>
    <row r="1280" spans="1:14">
      <c r="A1280" t="s">
        <v>3026</v>
      </c>
      <c r="B1280" t="s">
        <v>53</v>
      </c>
      <c r="C1280" t="s">
        <v>2442</v>
      </c>
      <c r="D1280" s="41">
        <v>10</v>
      </c>
      <c r="E1280" s="41">
        <v>1967</v>
      </c>
      <c r="F1280" s="41" t="s">
        <v>4062</v>
      </c>
      <c r="G1280" s="41" t="s">
        <v>4062</v>
      </c>
      <c r="H1280" s="2043">
        <v>3671148</v>
      </c>
      <c r="I1280" s="2043">
        <v>2936917</v>
      </c>
      <c r="J1280">
        <v>0.24967601559885899</v>
      </c>
      <c r="K1280" s="2043">
        <v>916597.60531371797</v>
      </c>
      <c r="L1280" s="2043">
        <v>916597.60531371797</v>
      </c>
      <c r="M1280">
        <v>599</v>
      </c>
      <c r="N1280">
        <v>1</v>
      </c>
    </row>
    <row r="1281" spans="1:14">
      <c r="A1281" t="s">
        <v>3026</v>
      </c>
      <c r="B1281" t="s">
        <v>53</v>
      </c>
      <c r="C1281" t="s">
        <v>2442</v>
      </c>
      <c r="D1281" s="41">
        <v>10</v>
      </c>
      <c r="E1281" s="41">
        <v>1967</v>
      </c>
      <c r="F1281" s="41" t="s">
        <v>4062</v>
      </c>
      <c r="G1281" s="41" t="s">
        <v>9352</v>
      </c>
      <c r="H1281" s="2043">
        <v>3671148</v>
      </c>
      <c r="I1281" s="2043">
        <v>8825995</v>
      </c>
      <c r="J1281">
        <v>0.75032398440114101</v>
      </c>
      <c r="K1281" s="2043">
        <v>2754550.3946862798</v>
      </c>
      <c r="L1281" s="2043">
        <v>2754550.3946862798</v>
      </c>
      <c r="M1281">
        <v>599</v>
      </c>
      <c r="N1281">
        <v>1</v>
      </c>
    </row>
    <row r="1282" spans="1:14">
      <c r="A1282" t="s">
        <v>3027</v>
      </c>
      <c r="B1282" t="s">
        <v>192</v>
      </c>
      <c r="C1282" t="s">
        <v>258</v>
      </c>
      <c r="D1282" s="41">
        <v>2</v>
      </c>
      <c r="E1282" s="41">
        <v>2178</v>
      </c>
      <c r="F1282" s="41" t="s">
        <v>4063</v>
      </c>
      <c r="G1282" s="41" t="s">
        <v>4063</v>
      </c>
      <c r="H1282" s="2043">
        <v>1635967</v>
      </c>
      <c r="I1282" s="2043">
        <v>0</v>
      </c>
      <c r="J1282">
        <v>0</v>
      </c>
      <c r="L1282" s="2043">
        <v>0</v>
      </c>
      <c r="M1282">
        <v>599</v>
      </c>
      <c r="N1282">
        <v>0</v>
      </c>
    </row>
    <row r="1283" spans="1:14">
      <c r="A1283" t="s">
        <v>3027</v>
      </c>
      <c r="B1283" t="s">
        <v>192</v>
      </c>
      <c r="C1283" t="s">
        <v>258</v>
      </c>
      <c r="D1283" s="41">
        <v>6</v>
      </c>
      <c r="E1283" s="41">
        <v>2179</v>
      </c>
      <c r="F1283" s="41" t="s">
        <v>4064</v>
      </c>
      <c r="G1283" s="41" t="s">
        <v>4064</v>
      </c>
      <c r="H1283" s="2043">
        <v>7578719</v>
      </c>
      <c r="I1283" s="2043">
        <v>0</v>
      </c>
      <c r="J1283">
        <v>0</v>
      </c>
      <c r="K1283" s="2043">
        <v>0</v>
      </c>
      <c r="L1283" s="2043">
        <v>0</v>
      </c>
      <c r="M1283">
        <v>599</v>
      </c>
      <c r="N1283">
        <v>0</v>
      </c>
    </row>
    <row r="1284" spans="1:14">
      <c r="A1284" t="s">
        <v>3027</v>
      </c>
      <c r="B1284" t="s">
        <v>192</v>
      </c>
      <c r="C1284" t="s">
        <v>258</v>
      </c>
      <c r="D1284" s="41">
        <v>6</v>
      </c>
      <c r="E1284" s="41">
        <v>2179</v>
      </c>
      <c r="F1284" s="41" t="s">
        <v>4064</v>
      </c>
      <c r="G1284" s="41" t="s">
        <v>4065</v>
      </c>
      <c r="H1284" s="2043">
        <v>7578719</v>
      </c>
      <c r="I1284" s="2043">
        <v>0</v>
      </c>
      <c r="J1284">
        <v>0</v>
      </c>
      <c r="K1284" s="2043">
        <v>0</v>
      </c>
      <c r="L1284" s="2043">
        <v>0</v>
      </c>
      <c r="M1284">
        <v>599</v>
      </c>
      <c r="N1284">
        <v>1</v>
      </c>
    </row>
    <row r="1285" spans="1:14">
      <c r="A1285" t="s">
        <v>3027</v>
      </c>
      <c r="B1285" t="s">
        <v>192</v>
      </c>
      <c r="C1285" t="s">
        <v>258</v>
      </c>
      <c r="D1285" s="41">
        <v>6</v>
      </c>
      <c r="E1285" s="41">
        <v>2179</v>
      </c>
      <c r="F1285" s="41" t="s">
        <v>4064</v>
      </c>
      <c r="G1285" s="41" t="s">
        <v>4066</v>
      </c>
      <c r="H1285" s="2043">
        <v>7578719</v>
      </c>
      <c r="I1285" s="2043">
        <v>2055367</v>
      </c>
      <c r="J1285">
        <v>0.52793944909402002</v>
      </c>
      <c r="K1285" s="2043">
        <v>4001104.7336983802</v>
      </c>
      <c r="L1285" s="2043">
        <v>2055367</v>
      </c>
      <c r="M1285">
        <v>599</v>
      </c>
      <c r="N1285">
        <v>1</v>
      </c>
    </row>
    <row r="1286" spans="1:14">
      <c r="A1286" t="s">
        <v>3027</v>
      </c>
      <c r="B1286" t="s">
        <v>192</v>
      </c>
      <c r="C1286" t="s">
        <v>258</v>
      </c>
      <c r="D1286" s="41">
        <v>6</v>
      </c>
      <c r="E1286" s="41">
        <v>2179</v>
      </c>
      <c r="F1286" s="41" t="s">
        <v>4064</v>
      </c>
      <c r="G1286" s="41" t="s">
        <v>8631</v>
      </c>
      <c r="H1286" s="2043">
        <v>7578719</v>
      </c>
      <c r="I1286" s="2043">
        <v>1837820</v>
      </c>
      <c r="J1286">
        <v>0.47206055090597998</v>
      </c>
      <c r="K1286" s="2043">
        <v>3577614.2663016198</v>
      </c>
      <c r="L1286" s="2043">
        <v>1837820</v>
      </c>
      <c r="M1286">
        <v>599</v>
      </c>
      <c r="N1286">
        <v>1</v>
      </c>
    </row>
    <row r="1287" spans="1:14">
      <c r="A1287" t="s">
        <v>3027</v>
      </c>
      <c r="B1287" t="s">
        <v>192</v>
      </c>
      <c r="C1287" t="s">
        <v>258</v>
      </c>
      <c r="D1287" s="41">
        <v>11</v>
      </c>
      <c r="E1287" s="41">
        <v>2509</v>
      </c>
      <c r="F1287" s="41" t="s">
        <v>7200</v>
      </c>
      <c r="G1287" s="41" t="s">
        <v>7200</v>
      </c>
      <c r="H1287" s="2043">
        <v>1860980</v>
      </c>
      <c r="I1287" s="2043">
        <v>1848241</v>
      </c>
      <c r="J1287">
        <v>1</v>
      </c>
      <c r="K1287" s="2043">
        <v>1860980</v>
      </c>
      <c r="L1287" s="2043">
        <v>1848241</v>
      </c>
      <c r="M1287">
        <v>599</v>
      </c>
      <c r="N1287">
        <v>1</v>
      </c>
    </row>
    <row r="1288" spans="1:14">
      <c r="A1288" t="s">
        <v>3027</v>
      </c>
      <c r="B1288" t="s">
        <v>192</v>
      </c>
      <c r="C1288" t="s">
        <v>258</v>
      </c>
      <c r="D1288" s="41">
        <v>11</v>
      </c>
      <c r="E1288" s="41">
        <v>2508</v>
      </c>
      <c r="F1288" s="41" t="s">
        <v>7201</v>
      </c>
      <c r="G1288" s="41" t="s">
        <v>7201</v>
      </c>
      <c r="H1288" s="2043">
        <v>8143242</v>
      </c>
      <c r="I1288" s="2043">
        <v>2092821</v>
      </c>
      <c r="J1288">
        <v>0.64650508320642097</v>
      </c>
      <c r="K1288" s="2043">
        <v>5264647.3467800198</v>
      </c>
      <c r="L1288" s="2043">
        <v>2092821</v>
      </c>
      <c r="M1288">
        <v>599</v>
      </c>
      <c r="N1288">
        <v>1</v>
      </c>
    </row>
    <row r="1289" spans="1:14">
      <c r="A1289" t="s">
        <v>3027</v>
      </c>
      <c r="B1289" t="s">
        <v>192</v>
      </c>
      <c r="C1289" t="s">
        <v>258</v>
      </c>
      <c r="D1289" s="41">
        <v>11</v>
      </c>
      <c r="E1289" s="41">
        <v>2508</v>
      </c>
      <c r="F1289" s="41" t="s">
        <v>7201</v>
      </c>
      <c r="G1289" s="41" t="s">
        <v>9353</v>
      </c>
      <c r="H1289" s="2043">
        <v>8143242</v>
      </c>
      <c r="I1289" s="2043">
        <v>1144309</v>
      </c>
      <c r="J1289">
        <v>0.35349491679357897</v>
      </c>
      <c r="K1289" s="2043">
        <v>2878594.6532199802</v>
      </c>
      <c r="L1289" s="2043">
        <v>1144309</v>
      </c>
      <c r="M1289">
        <v>599</v>
      </c>
      <c r="N1289">
        <v>1</v>
      </c>
    </row>
    <row r="1290" spans="1:14">
      <c r="A1290" t="s">
        <v>3028</v>
      </c>
      <c r="B1290" t="s">
        <v>820</v>
      </c>
      <c r="C1290" t="s">
        <v>2250</v>
      </c>
      <c r="D1290" s="41">
        <v>5</v>
      </c>
      <c r="E1290" s="41">
        <v>1912</v>
      </c>
      <c r="F1290" s="41" t="s">
        <v>4067</v>
      </c>
      <c r="G1290" s="41" t="s">
        <v>4067</v>
      </c>
      <c r="H1290" s="2043">
        <v>409219</v>
      </c>
      <c r="I1290" s="2043">
        <v>0</v>
      </c>
      <c r="J1290">
        <v>0</v>
      </c>
      <c r="K1290" s="2043">
        <v>0</v>
      </c>
      <c r="L1290" s="2043">
        <v>0</v>
      </c>
      <c r="M1290">
        <v>599</v>
      </c>
      <c r="N1290">
        <v>0</v>
      </c>
    </row>
    <row r="1291" spans="1:14">
      <c r="A1291" t="s">
        <v>3028</v>
      </c>
      <c r="B1291" t="s">
        <v>820</v>
      </c>
      <c r="C1291" t="s">
        <v>2250</v>
      </c>
      <c r="D1291" s="41">
        <v>5</v>
      </c>
      <c r="E1291" s="41">
        <v>1912</v>
      </c>
      <c r="F1291" s="41" t="s">
        <v>4067</v>
      </c>
      <c r="G1291" s="41" t="s">
        <v>4068</v>
      </c>
      <c r="H1291" s="2043">
        <v>409219</v>
      </c>
      <c r="I1291" s="2043">
        <v>0</v>
      </c>
      <c r="J1291">
        <v>0</v>
      </c>
      <c r="K1291" s="2043">
        <v>0</v>
      </c>
      <c r="L1291" s="2043">
        <v>0</v>
      </c>
      <c r="M1291">
        <v>599</v>
      </c>
      <c r="N1291">
        <v>0</v>
      </c>
    </row>
    <row r="1292" spans="1:14">
      <c r="A1292" t="s">
        <v>3028</v>
      </c>
      <c r="B1292" t="s">
        <v>820</v>
      </c>
      <c r="C1292" t="s">
        <v>2250</v>
      </c>
      <c r="D1292" s="41">
        <v>5</v>
      </c>
      <c r="E1292" s="41">
        <v>1912</v>
      </c>
      <c r="F1292" s="41" t="s">
        <v>4067</v>
      </c>
      <c r="G1292" s="41" t="s">
        <v>4069</v>
      </c>
      <c r="H1292" s="2043">
        <v>409219</v>
      </c>
      <c r="I1292" s="2043">
        <v>412063</v>
      </c>
      <c r="J1292">
        <v>1</v>
      </c>
      <c r="K1292" s="2043">
        <v>409219</v>
      </c>
      <c r="L1292" s="2043">
        <v>409219</v>
      </c>
      <c r="M1292">
        <v>599</v>
      </c>
      <c r="N1292">
        <v>1</v>
      </c>
    </row>
    <row r="1293" spans="1:14">
      <c r="A1293" t="s">
        <v>3028</v>
      </c>
      <c r="B1293" t="s">
        <v>820</v>
      </c>
      <c r="C1293" t="s">
        <v>2250</v>
      </c>
      <c r="D1293" s="41">
        <v>5</v>
      </c>
      <c r="E1293" s="41">
        <v>1911</v>
      </c>
      <c r="F1293" s="41" t="s">
        <v>4070</v>
      </c>
      <c r="G1293" s="41" t="s">
        <v>4070</v>
      </c>
      <c r="H1293" s="2043">
        <v>189309</v>
      </c>
      <c r="I1293" s="2043">
        <v>0</v>
      </c>
      <c r="J1293">
        <v>0</v>
      </c>
      <c r="K1293" s="2043">
        <v>0</v>
      </c>
      <c r="L1293" s="2043">
        <v>0</v>
      </c>
      <c r="M1293">
        <v>599</v>
      </c>
      <c r="N1293">
        <v>0</v>
      </c>
    </row>
    <row r="1294" spans="1:14">
      <c r="A1294" t="s">
        <v>3028</v>
      </c>
      <c r="B1294" t="s">
        <v>820</v>
      </c>
      <c r="C1294" t="s">
        <v>2250</v>
      </c>
      <c r="D1294" s="41">
        <v>5</v>
      </c>
      <c r="E1294" s="41">
        <v>1911</v>
      </c>
      <c r="F1294" s="41" t="s">
        <v>4070</v>
      </c>
      <c r="G1294" s="41" t="s">
        <v>4071</v>
      </c>
      <c r="H1294" s="2043">
        <v>189309</v>
      </c>
      <c r="I1294" s="2043">
        <v>0</v>
      </c>
      <c r="J1294">
        <v>0</v>
      </c>
      <c r="K1294" s="2043">
        <v>0</v>
      </c>
      <c r="L1294" s="2043">
        <v>0</v>
      </c>
      <c r="M1294">
        <v>599</v>
      </c>
      <c r="N1294">
        <v>1</v>
      </c>
    </row>
    <row r="1295" spans="1:14">
      <c r="A1295" t="s">
        <v>3028</v>
      </c>
      <c r="B1295" t="s">
        <v>820</v>
      </c>
      <c r="C1295" t="s">
        <v>2250</v>
      </c>
      <c r="D1295" s="41">
        <v>5</v>
      </c>
      <c r="E1295" s="41">
        <v>1911</v>
      </c>
      <c r="F1295" s="41" t="s">
        <v>4070</v>
      </c>
      <c r="G1295" s="41" t="s">
        <v>7202</v>
      </c>
      <c r="H1295" s="2043">
        <v>189309</v>
      </c>
      <c r="I1295" s="2043">
        <v>292843</v>
      </c>
      <c r="J1295">
        <v>1</v>
      </c>
      <c r="K1295" s="2043">
        <v>189309</v>
      </c>
      <c r="L1295" s="2043">
        <v>189309</v>
      </c>
      <c r="M1295">
        <v>599</v>
      </c>
      <c r="N1295">
        <v>1</v>
      </c>
    </row>
    <row r="1296" spans="1:14">
      <c r="A1296" t="s">
        <v>3028</v>
      </c>
      <c r="B1296" t="s">
        <v>820</v>
      </c>
      <c r="C1296" t="s">
        <v>2250</v>
      </c>
      <c r="D1296" s="41">
        <v>11</v>
      </c>
      <c r="E1296" s="41">
        <v>2535</v>
      </c>
      <c r="F1296" s="41" t="s">
        <v>7203</v>
      </c>
      <c r="G1296" s="41" t="s">
        <v>7203</v>
      </c>
      <c r="H1296" s="2043">
        <v>212723</v>
      </c>
      <c r="I1296" s="2043">
        <v>449896</v>
      </c>
      <c r="J1296">
        <v>1</v>
      </c>
      <c r="K1296" s="2043">
        <v>212723</v>
      </c>
      <c r="L1296" s="2043">
        <v>212723</v>
      </c>
      <c r="M1296">
        <v>599</v>
      </c>
      <c r="N1296">
        <v>0</v>
      </c>
    </row>
    <row r="1297" spans="1:14">
      <c r="A1297" t="s">
        <v>3029</v>
      </c>
      <c r="B1297" t="s">
        <v>439</v>
      </c>
      <c r="C1297" t="s">
        <v>782</v>
      </c>
      <c r="D1297" s="41">
        <v>6</v>
      </c>
      <c r="E1297" s="41">
        <v>1875</v>
      </c>
      <c r="F1297" s="41" t="s">
        <v>4072</v>
      </c>
      <c r="G1297" s="41" t="s">
        <v>4072</v>
      </c>
      <c r="H1297" s="2043">
        <v>90011</v>
      </c>
      <c r="I1297" s="2043">
        <v>0</v>
      </c>
      <c r="J1297">
        <v>0</v>
      </c>
      <c r="K1297" s="2043">
        <v>0</v>
      </c>
      <c r="L1297" s="2043">
        <v>0</v>
      </c>
      <c r="M1297">
        <v>599</v>
      </c>
      <c r="N1297">
        <v>0</v>
      </c>
    </row>
    <row r="1298" spans="1:14">
      <c r="A1298" t="s">
        <v>3029</v>
      </c>
      <c r="B1298" t="s">
        <v>439</v>
      </c>
      <c r="C1298" t="s">
        <v>782</v>
      </c>
      <c r="D1298" s="41">
        <v>6</v>
      </c>
      <c r="E1298" s="41">
        <v>1875</v>
      </c>
      <c r="F1298" s="41" t="s">
        <v>4072</v>
      </c>
      <c r="G1298" s="41" t="s">
        <v>4073</v>
      </c>
      <c r="H1298" s="2043">
        <v>90011</v>
      </c>
      <c r="I1298" s="2043">
        <v>84034</v>
      </c>
      <c r="J1298">
        <v>1</v>
      </c>
      <c r="K1298" s="2043">
        <v>90011</v>
      </c>
      <c r="L1298" s="2043">
        <v>84034</v>
      </c>
      <c r="M1298">
        <v>599</v>
      </c>
      <c r="N1298">
        <v>1</v>
      </c>
    </row>
    <row r="1299" spans="1:14">
      <c r="A1299" t="s">
        <v>3030</v>
      </c>
      <c r="B1299" t="s">
        <v>1400</v>
      </c>
      <c r="C1299" t="s">
        <v>1005</v>
      </c>
      <c r="D1299" s="41">
        <v>1</v>
      </c>
      <c r="E1299" s="41">
        <v>1771</v>
      </c>
      <c r="F1299" s="41" t="s">
        <v>4074</v>
      </c>
      <c r="G1299" s="41" t="s">
        <v>4074</v>
      </c>
      <c r="H1299" s="2043">
        <v>687500</v>
      </c>
      <c r="I1299" s="2043">
        <v>0</v>
      </c>
      <c r="J1299">
        <v>0</v>
      </c>
      <c r="K1299" s="2043">
        <v>0</v>
      </c>
      <c r="L1299" s="2043">
        <v>0</v>
      </c>
      <c r="M1299">
        <v>599</v>
      </c>
      <c r="N1299">
        <v>0</v>
      </c>
    </row>
    <row r="1300" spans="1:14">
      <c r="A1300" t="s">
        <v>3030</v>
      </c>
      <c r="B1300" t="s">
        <v>1400</v>
      </c>
      <c r="C1300" t="s">
        <v>1005</v>
      </c>
      <c r="D1300" s="41">
        <v>1</v>
      </c>
      <c r="E1300" s="41">
        <v>1771</v>
      </c>
      <c r="F1300" s="41" t="s">
        <v>4074</v>
      </c>
      <c r="G1300" s="41" t="s">
        <v>4075</v>
      </c>
      <c r="H1300" s="2043">
        <v>687500</v>
      </c>
      <c r="I1300" s="2043">
        <v>0</v>
      </c>
      <c r="J1300">
        <v>0</v>
      </c>
      <c r="K1300" s="2043">
        <v>0</v>
      </c>
      <c r="L1300" s="2043">
        <v>0</v>
      </c>
      <c r="M1300">
        <v>599</v>
      </c>
      <c r="N1300">
        <v>1</v>
      </c>
    </row>
    <row r="1301" spans="1:14">
      <c r="A1301" t="s">
        <v>3030</v>
      </c>
      <c r="B1301" t="s">
        <v>1400</v>
      </c>
      <c r="C1301" t="s">
        <v>1005</v>
      </c>
      <c r="D1301" s="41">
        <v>1</v>
      </c>
      <c r="E1301" s="41">
        <v>1771</v>
      </c>
      <c r="F1301" s="41" t="s">
        <v>4074</v>
      </c>
      <c r="G1301" s="41" t="s">
        <v>5409</v>
      </c>
      <c r="H1301" s="2043">
        <v>687500</v>
      </c>
      <c r="I1301" s="2043">
        <v>184439</v>
      </c>
      <c r="J1301">
        <v>0.62987804669810799</v>
      </c>
      <c r="K1301" s="2043">
        <v>433041.15710494999</v>
      </c>
      <c r="L1301" s="2043">
        <v>184439</v>
      </c>
      <c r="M1301">
        <v>599</v>
      </c>
      <c r="N1301">
        <v>1</v>
      </c>
    </row>
    <row r="1302" spans="1:14">
      <c r="A1302" t="s">
        <v>3030</v>
      </c>
      <c r="B1302" t="s">
        <v>1400</v>
      </c>
      <c r="C1302" t="s">
        <v>1005</v>
      </c>
      <c r="D1302" s="41">
        <v>1</v>
      </c>
      <c r="E1302" s="41">
        <v>1771</v>
      </c>
      <c r="F1302" s="41" t="s">
        <v>4074</v>
      </c>
      <c r="G1302" s="41" t="s">
        <v>9354</v>
      </c>
      <c r="H1302" s="2043">
        <v>687500</v>
      </c>
      <c r="I1302" s="2043">
        <v>108378</v>
      </c>
      <c r="J1302">
        <v>0.37012195330189201</v>
      </c>
      <c r="K1302" s="2043">
        <v>254458.842895051</v>
      </c>
      <c r="L1302" s="2043">
        <v>108378</v>
      </c>
      <c r="M1302">
        <v>599</v>
      </c>
      <c r="N1302">
        <v>1</v>
      </c>
    </row>
    <row r="1303" spans="1:14">
      <c r="A1303" t="s">
        <v>3031</v>
      </c>
      <c r="B1303" t="s">
        <v>1759</v>
      </c>
      <c r="C1303" t="s">
        <v>33</v>
      </c>
      <c r="D1303" s="41">
        <v>1</v>
      </c>
      <c r="E1303" s="41">
        <v>1876</v>
      </c>
      <c r="F1303" s="41" t="s">
        <v>4076</v>
      </c>
      <c r="G1303" s="41" t="s">
        <v>4076</v>
      </c>
      <c r="H1303" s="2043">
        <v>1147081</v>
      </c>
      <c r="I1303" s="2043">
        <v>0</v>
      </c>
      <c r="J1303">
        <v>0</v>
      </c>
      <c r="K1303" s="2043">
        <v>0</v>
      </c>
      <c r="L1303" s="2043">
        <v>0</v>
      </c>
      <c r="M1303">
        <v>599</v>
      </c>
      <c r="N1303">
        <v>0</v>
      </c>
    </row>
    <row r="1304" spans="1:14">
      <c r="A1304" t="s">
        <v>3031</v>
      </c>
      <c r="B1304" t="s">
        <v>1759</v>
      </c>
      <c r="C1304" t="s">
        <v>33</v>
      </c>
      <c r="D1304" s="41">
        <v>1</v>
      </c>
      <c r="E1304" s="41">
        <v>1876</v>
      </c>
      <c r="F1304" s="41" t="s">
        <v>4076</v>
      </c>
      <c r="G1304" s="41" t="s">
        <v>4077</v>
      </c>
      <c r="H1304" s="2043">
        <v>1147081</v>
      </c>
      <c r="I1304" s="2043">
        <v>0</v>
      </c>
      <c r="J1304">
        <v>0</v>
      </c>
      <c r="K1304" s="2043">
        <v>0</v>
      </c>
      <c r="L1304" s="2043">
        <v>0</v>
      </c>
      <c r="M1304">
        <v>599</v>
      </c>
      <c r="N1304">
        <v>0</v>
      </c>
    </row>
    <row r="1305" spans="1:14">
      <c r="A1305" t="s">
        <v>3031</v>
      </c>
      <c r="B1305" t="s">
        <v>1759</v>
      </c>
      <c r="C1305" t="s">
        <v>33</v>
      </c>
      <c r="D1305" s="41">
        <v>1</v>
      </c>
      <c r="E1305" s="41">
        <v>1876</v>
      </c>
      <c r="F1305" s="41" t="s">
        <v>4076</v>
      </c>
      <c r="G1305" s="41" t="s">
        <v>4078</v>
      </c>
      <c r="H1305" s="2043">
        <v>1147081</v>
      </c>
      <c r="I1305" s="2043">
        <v>1600224</v>
      </c>
      <c r="J1305">
        <v>0.90433835152023401</v>
      </c>
      <c r="K1305" s="2043">
        <v>1037349.34060018</v>
      </c>
      <c r="L1305" s="2043">
        <v>1037349.34060018</v>
      </c>
      <c r="M1305">
        <v>599</v>
      </c>
      <c r="N1305">
        <v>1</v>
      </c>
    </row>
    <row r="1306" spans="1:14">
      <c r="A1306" t="s">
        <v>3031</v>
      </c>
      <c r="B1306" t="s">
        <v>1759</v>
      </c>
      <c r="C1306" t="s">
        <v>33</v>
      </c>
      <c r="D1306" s="41">
        <v>1</v>
      </c>
      <c r="E1306" s="41">
        <v>1876</v>
      </c>
      <c r="F1306" s="41" t="s">
        <v>4076</v>
      </c>
      <c r="G1306" s="41" t="s">
        <v>9355</v>
      </c>
      <c r="H1306" s="2043">
        <v>1147081</v>
      </c>
      <c r="I1306" s="2043">
        <v>169273</v>
      </c>
      <c r="J1306">
        <v>9.5661648479765701E-2</v>
      </c>
      <c r="K1306" s="2043">
        <v>109731.659399818</v>
      </c>
      <c r="L1306" s="2043">
        <v>109731.659399818</v>
      </c>
      <c r="M1306">
        <v>599</v>
      </c>
      <c r="N1306">
        <v>1</v>
      </c>
    </row>
    <row r="1307" spans="1:14">
      <c r="A1307" t="s">
        <v>3031</v>
      </c>
      <c r="B1307" t="s">
        <v>1759</v>
      </c>
      <c r="C1307" t="s">
        <v>33</v>
      </c>
      <c r="D1307" s="41">
        <v>5</v>
      </c>
      <c r="E1307" s="41">
        <v>1879</v>
      </c>
      <c r="F1307" s="41" t="s">
        <v>4079</v>
      </c>
      <c r="G1307" s="41" t="s">
        <v>4079</v>
      </c>
      <c r="H1307" s="2043">
        <v>1891253</v>
      </c>
      <c r="I1307" s="2043">
        <v>0</v>
      </c>
      <c r="J1307">
        <v>0</v>
      </c>
      <c r="K1307" s="2043">
        <v>0</v>
      </c>
      <c r="L1307" s="2043">
        <v>0</v>
      </c>
      <c r="M1307">
        <v>599</v>
      </c>
      <c r="N1307">
        <v>0</v>
      </c>
    </row>
    <row r="1308" spans="1:14">
      <c r="A1308" t="s">
        <v>3031</v>
      </c>
      <c r="B1308" t="s">
        <v>1759</v>
      </c>
      <c r="C1308" t="s">
        <v>33</v>
      </c>
      <c r="D1308" s="41">
        <v>5</v>
      </c>
      <c r="E1308" s="41">
        <v>1879</v>
      </c>
      <c r="F1308" s="41" t="s">
        <v>4079</v>
      </c>
      <c r="G1308" s="41" t="s">
        <v>4080</v>
      </c>
      <c r="H1308" s="2043">
        <v>1891253</v>
      </c>
      <c r="I1308" s="2043">
        <v>0</v>
      </c>
      <c r="J1308">
        <v>0</v>
      </c>
      <c r="K1308" s="2043">
        <v>0</v>
      </c>
      <c r="L1308" s="2043">
        <v>0</v>
      </c>
      <c r="M1308">
        <v>599</v>
      </c>
      <c r="N1308">
        <v>1</v>
      </c>
    </row>
    <row r="1309" spans="1:14">
      <c r="A1309" t="s">
        <v>3031</v>
      </c>
      <c r="B1309" t="s">
        <v>1759</v>
      </c>
      <c r="C1309" t="s">
        <v>33</v>
      </c>
      <c r="D1309" s="41">
        <v>5</v>
      </c>
      <c r="E1309" s="41">
        <v>1879</v>
      </c>
      <c r="F1309" s="41" t="s">
        <v>4079</v>
      </c>
      <c r="G1309" s="41" t="s">
        <v>4077</v>
      </c>
      <c r="H1309" s="2043">
        <v>1891253</v>
      </c>
      <c r="I1309" s="2043">
        <v>0</v>
      </c>
      <c r="J1309">
        <v>0</v>
      </c>
      <c r="K1309" s="2043">
        <v>0</v>
      </c>
      <c r="L1309" s="2043">
        <v>0</v>
      </c>
      <c r="M1309">
        <v>599</v>
      </c>
      <c r="N1309">
        <v>0</v>
      </c>
    </row>
    <row r="1310" spans="1:14">
      <c r="A1310" t="s">
        <v>3031</v>
      </c>
      <c r="B1310" t="s">
        <v>1759</v>
      </c>
      <c r="C1310" t="s">
        <v>33</v>
      </c>
      <c r="D1310" s="41">
        <v>5</v>
      </c>
      <c r="E1310" s="41">
        <v>1879</v>
      </c>
      <c r="F1310" s="41" t="s">
        <v>4079</v>
      </c>
      <c r="G1310" s="41" t="s">
        <v>4081</v>
      </c>
      <c r="H1310" s="2043">
        <v>1891253</v>
      </c>
      <c r="I1310" s="2043">
        <v>0</v>
      </c>
      <c r="J1310">
        <v>0</v>
      </c>
      <c r="K1310" s="2043">
        <v>0</v>
      </c>
      <c r="L1310" s="2043">
        <v>0</v>
      </c>
      <c r="M1310">
        <v>599</v>
      </c>
      <c r="N1310">
        <v>1</v>
      </c>
    </row>
    <row r="1311" spans="1:14">
      <c r="A1311" t="s">
        <v>3031</v>
      </c>
      <c r="B1311" t="s">
        <v>1759</v>
      </c>
      <c r="C1311" t="s">
        <v>33</v>
      </c>
      <c r="D1311" s="41">
        <v>5</v>
      </c>
      <c r="E1311" s="41">
        <v>1879</v>
      </c>
      <c r="F1311" s="41" t="s">
        <v>4079</v>
      </c>
      <c r="G1311" s="41" t="s">
        <v>4082</v>
      </c>
      <c r="H1311" s="2043">
        <v>1891253</v>
      </c>
      <c r="I1311" s="2043">
        <v>0</v>
      </c>
      <c r="J1311">
        <v>0</v>
      </c>
      <c r="K1311" s="2043">
        <v>0</v>
      </c>
      <c r="L1311" s="2043">
        <v>0</v>
      </c>
      <c r="M1311">
        <v>599</v>
      </c>
      <c r="N1311">
        <v>1</v>
      </c>
    </row>
    <row r="1312" spans="1:14">
      <c r="A1312" t="s">
        <v>3031</v>
      </c>
      <c r="B1312" t="s">
        <v>1759</v>
      </c>
      <c r="C1312" t="s">
        <v>33</v>
      </c>
      <c r="D1312" s="41">
        <v>5</v>
      </c>
      <c r="E1312" s="41">
        <v>1879</v>
      </c>
      <c r="F1312" s="41" t="s">
        <v>4079</v>
      </c>
      <c r="G1312" s="41" t="s">
        <v>4078</v>
      </c>
      <c r="H1312" s="2043">
        <v>1891253</v>
      </c>
      <c r="I1312" s="2043">
        <v>5951049</v>
      </c>
      <c r="J1312">
        <v>0.92730624040329301</v>
      </c>
      <c r="K1312" s="2043">
        <v>1753770.70908145</v>
      </c>
      <c r="L1312" s="2043">
        <v>1753770.70908145</v>
      </c>
      <c r="M1312">
        <v>599</v>
      </c>
      <c r="N1312">
        <v>1</v>
      </c>
    </row>
    <row r="1313" spans="1:14">
      <c r="A1313" t="s">
        <v>3031</v>
      </c>
      <c r="B1313" t="s">
        <v>1759</v>
      </c>
      <c r="C1313" t="s">
        <v>33</v>
      </c>
      <c r="D1313" s="41">
        <v>5</v>
      </c>
      <c r="E1313" s="41">
        <v>1879</v>
      </c>
      <c r="F1313" s="41" t="s">
        <v>4079</v>
      </c>
      <c r="G1313" s="41" t="s">
        <v>4083</v>
      </c>
      <c r="H1313" s="2043">
        <v>1891253</v>
      </c>
      <c r="I1313" s="2043">
        <v>0</v>
      </c>
      <c r="J1313">
        <v>0</v>
      </c>
      <c r="K1313" s="2043">
        <v>0</v>
      </c>
      <c r="L1313" s="2043">
        <v>0</v>
      </c>
      <c r="M1313">
        <v>599</v>
      </c>
      <c r="N1313">
        <v>1</v>
      </c>
    </row>
    <row r="1314" spans="1:14">
      <c r="A1314" t="s">
        <v>3031</v>
      </c>
      <c r="B1314" t="s">
        <v>1759</v>
      </c>
      <c r="C1314" t="s">
        <v>33</v>
      </c>
      <c r="D1314" s="41">
        <v>5</v>
      </c>
      <c r="E1314" s="41">
        <v>1879</v>
      </c>
      <c r="F1314" s="41" t="s">
        <v>4079</v>
      </c>
      <c r="G1314" s="41" t="s">
        <v>9355</v>
      </c>
      <c r="H1314" s="2043">
        <v>1891253</v>
      </c>
      <c r="I1314" s="2043">
        <v>446871</v>
      </c>
      <c r="J1314">
        <v>6.9632474368008096E-2</v>
      </c>
      <c r="K1314" s="2043">
        <v>131692.626045918</v>
      </c>
      <c r="L1314" s="2043">
        <v>131692.626045918</v>
      </c>
      <c r="M1314">
        <v>599</v>
      </c>
      <c r="N1314">
        <v>1</v>
      </c>
    </row>
    <row r="1315" spans="1:14">
      <c r="A1315" t="s">
        <v>3031</v>
      </c>
      <c r="B1315" t="s">
        <v>1759</v>
      </c>
      <c r="C1315" t="s">
        <v>33</v>
      </c>
      <c r="D1315" s="41">
        <v>5</v>
      </c>
      <c r="E1315" s="41">
        <v>1879</v>
      </c>
      <c r="F1315" s="41" t="s">
        <v>4079</v>
      </c>
      <c r="G1315" s="41" t="s">
        <v>9356</v>
      </c>
      <c r="H1315" s="2043">
        <v>1891253</v>
      </c>
      <c r="I1315" s="2043">
        <v>19646</v>
      </c>
      <c r="J1315">
        <v>3.0612852286988602E-3</v>
      </c>
      <c r="K1315" s="2043">
        <v>5789.6648726324001</v>
      </c>
      <c r="L1315" s="2043">
        <v>5789.6648726324001</v>
      </c>
      <c r="M1315">
        <v>599</v>
      </c>
      <c r="N1315">
        <v>1</v>
      </c>
    </row>
    <row r="1316" spans="1:14">
      <c r="A1316" t="s">
        <v>3031</v>
      </c>
      <c r="B1316" t="s">
        <v>1759</v>
      </c>
      <c r="C1316" t="s">
        <v>33</v>
      </c>
      <c r="D1316" s="41">
        <v>9</v>
      </c>
      <c r="E1316" s="41">
        <v>1878</v>
      </c>
      <c r="F1316" s="41" t="s">
        <v>4084</v>
      </c>
      <c r="G1316" s="41" t="s">
        <v>4084</v>
      </c>
      <c r="H1316" s="2043">
        <v>1795685</v>
      </c>
      <c r="I1316" s="2043">
        <v>100253</v>
      </c>
      <c r="J1316">
        <v>8.8826296404259597E-2</v>
      </c>
      <c r="K1316" s="2043">
        <v>159504.04805868299</v>
      </c>
      <c r="L1316" s="2043">
        <v>100253</v>
      </c>
      <c r="M1316">
        <v>599</v>
      </c>
      <c r="N1316">
        <v>1</v>
      </c>
    </row>
    <row r="1317" spans="1:14">
      <c r="A1317" t="s">
        <v>3031</v>
      </c>
      <c r="B1317" t="s">
        <v>1759</v>
      </c>
      <c r="C1317" t="s">
        <v>33</v>
      </c>
      <c r="D1317" s="41">
        <v>9</v>
      </c>
      <c r="E1317" s="41">
        <v>1878</v>
      </c>
      <c r="F1317" s="41" t="s">
        <v>4084</v>
      </c>
      <c r="G1317" s="41" t="s">
        <v>4083</v>
      </c>
      <c r="H1317" s="2043">
        <v>1795685</v>
      </c>
      <c r="I1317" s="2043">
        <v>123877</v>
      </c>
      <c r="J1317">
        <v>0.10975766430601</v>
      </c>
      <c r="K1317" s="2043">
        <v>197090.19142933801</v>
      </c>
      <c r="L1317" s="2043">
        <v>123877</v>
      </c>
      <c r="M1317">
        <v>599</v>
      </c>
      <c r="N1317">
        <v>1</v>
      </c>
    </row>
    <row r="1318" spans="1:14">
      <c r="A1318" t="s">
        <v>3031</v>
      </c>
      <c r="B1318" t="s">
        <v>1759</v>
      </c>
      <c r="C1318" t="s">
        <v>33</v>
      </c>
      <c r="D1318" s="41">
        <v>9</v>
      </c>
      <c r="E1318" s="41">
        <v>1878</v>
      </c>
      <c r="F1318" s="41" t="s">
        <v>4084</v>
      </c>
      <c r="G1318" s="41" t="s">
        <v>5595</v>
      </c>
      <c r="H1318" s="2043">
        <v>1795685</v>
      </c>
      <c r="I1318" s="2043">
        <v>298209</v>
      </c>
      <c r="J1318">
        <v>0.26421953482108101</v>
      </c>
      <c r="K1318" s="2043">
        <v>474455.05538519297</v>
      </c>
      <c r="L1318" s="2043">
        <v>298209</v>
      </c>
      <c r="M1318">
        <v>599</v>
      </c>
      <c r="N1318">
        <v>1</v>
      </c>
    </row>
    <row r="1319" spans="1:14">
      <c r="A1319" t="s">
        <v>3031</v>
      </c>
      <c r="B1319" t="s">
        <v>1759</v>
      </c>
      <c r="C1319" t="s">
        <v>33</v>
      </c>
      <c r="D1319" s="41">
        <v>9</v>
      </c>
      <c r="E1319" s="41">
        <v>1878</v>
      </c>
      <c r="F1319" s="41" t="s">
        <v>4084</v>
      </c>
      <c r="G1319" s="41" t="s">
        <v>5594</v>
      </c>
      <c r="H1319" s="2043">
        <v>1795685</v>
      </c>
      <c r="I1319" s="2043">
        <v>51511</v>
      </c>
      <c r="J1319">
        <v>4.5639844733622099E-2</v>
      </c>
      <c r="K1319" s="2043">
        <v>81954.784590494193</v>
      </c>
      <c r="L1319" s="2043">
        <v>51511</v>
      </c>
      <c r="M1319">
        <v>599</v>
      </c>
      <c r="N1319">
        <v>1</v>
      </c>
    </row>
    <row r="1320" spans="1:14">
      <c r="A1320" t="s">
        <v>3031</v>
      </c>
      <c r="B1320" t="s">
        <v>1759</v>
      </c>
      <c r="C1320" t="s">
        <v>33</v>
      </c>
      <c r="D1320" s="41">
        <v>9</v>
      </c>
      <c r="E1320" s="41">
        <v>1878</v>
      </c>
      <c r="F1320" s="41" t="s">
        <v>4084</v>
      </c>
      <c r="G1320" s="41" t="s">
        <v>7329</v>
      </c>
      <c r="H1320" s="2043">
        <v>1795685</v>
      </c>
      <c r="I1320" s="2043">
        <v>224554</v>
      </c>
      <c r="J1320">
        <v>0.19895963375422299</v>
      </c>
      <c r="K1320" s="2043">
        <v>357268.82993795199</v>
      </c>
      <c r="L1320" s="2043">
        <v>224554</v>
      </c>
      <c r="M1320">
        <v>599</v>
      </c>
      <c r="N1320">
        <v>1</v>
      </c>
    </row>
    <row r="1321" spans="1:14">
      <c r="A1321" t="s">
        <v>3031</v>
      </c>
      <c r="B1321" t="s">
        <v>1759</v>
      </c>
      <c r="C1321" t="s">
        <v>33</v>
      </c>
      <c r="D1321" s="41">
        <v>9</v>
      </c>
      <c r="E1321" s="41">
        <v>1878</v>
      </c>
      <c r="F1321" s="41" t="s">
        <v>4084</v>
      </c>
      <c r="G1321" s="41" t="s">
        <v>9356</v>
      </c>
      <c r="H1321" s="2043">
        <v>1795685</v>
      </c>
      <c r="I1321" s="2043">
        <v>330237</v>
      </c>
      <c r="J1321">
        <v>0.292597025980803</v>
      </c>
      <c r="K1321" s="2043">
        <v>525412.09059833898</v>
      </c>
      <c r="L1321" s="2043">
        <v>330237</v>
      </c>
      <c r="M1321">
        <v>599</v>
      </c>
      <c r="N1321">
        <v>1</v>
      </c>
    </row>
    <row r="1322" spans="1:14">
      <c r="A1322" t="s">
        <v>3031</v>
      </c>
      <c r="B1322" t="s">
        <v>1759</v>
      </c>
      <c r="C1322" t="s">
        <v>33</v>
      </c>
      <c r="D1322" s="41">
        <v>9</v>
      </c>
      <c r="E1322" s="41">
        <v>1877</v>
      </c>
      <c r="F1322" s="41" t="s">
        <v>4085</v>
      </c>
      <c r="G1322" s="41" t="s">
        <v>4085</v>
      </c>
      <c r="H1322" s="2043">
        <v>1578006</v>
      </c>
      <c r="I1322" s="2043">
        <v>0</v>
      </c>
      <c r="J1322">
        <v>0</v>
      </c>
      <c r="K1322" s="2043">
        <v>0</v>
      </c>
      <c r="L1322" s="2043">
        <v>0</v>
      </c>
      <c r="M1322">
        <v>599</v>
      </c>
      <c r="N1322">
        <v>1</v>
      </c>
    </row>
    <row r="1323" spans="1:14">
      <c r="A1323" t="s">
        <v>3031</v>
      </c>
      <c r="B1323" t="s">
        <v>1759</v>
      </c>
      <c r="C1323" t="s">
        <v>33</v>
      </c>
      <c r="D1323" s="41">
        <v>9</v>
      </c>
      <c r="E1323" s="41">
        <v>1877</v>
      </c>
      <c r="F1323" s="41" t="s">
        <v>4085</v>
      </c>
      <c r="G1323" s="41" t="s">
        <v>5594</v>
      </c>
      <c r="H1323" s="2043">
        <v>1578006</v>
      </c>
      <c r="I1323" s="2043">
        <v>2054234</v>
      </c>
      <c r="J1323">
        <v>0.77217523749953498</v>
      </c>
      <c r="K1323" s="2043">
        <v>1218497.15782569</v>
      </c>
      <c r="L1323" s="2043">
        <v>1218497.15782569</v>
      </c>
      <c r="M1323">
        <v>599</v>
      </c>
      <c r="N1323">
        <v>1</v>
      </c>
    </row>
    <row r="1324" spans="1:14">
      <c r="A1324" t="s">
        <v>3031</v>
      </c>
      <c r="B1324" t="s">
        <v>1759</v>
      </c>
      <c r="C1324" t="s">
        <v>33</v>
      </c>
      <c r="D1324" s="41">
        <v>9</v>
      </c>
      <c r="E1324" s="41">
        <v>1877</v>
      </c>
      <c r="F1324" s="41" t="s">
        <v>4085</v>
      </c>
      <c r="G1324" s="41" t="s">
        <v>7329</v>
      </c>
      <c r="H1324" s="2043">
        <v>1578006</v>
      </c>
      <c r="I1324" s="2043">
        <v>606087</v>
      </c>
      <c r="J1324">
        <v>0.22782476250046499</v>
      </c>
      <c r="K1324" s="2043">
        <v>359508.84217430901</v>
      </c>
      <c r="L1324" s="2043">
        <v>359508.84217430901</v>
      </c>
      <c r="M1324">
        <v>599</v>
      </c>
      <c r="N1324">
        <v>1</v>
      </c>
    </row>
    <row r="1325" spans="1:14">
      <c r="A1325" t="s">
        <v>5087</v>
      </c>
      <c r="B1325" t="s">
        <v>2403</v>
      </c>
      <c r="C1325" t="s">
        <v>1274</v>
      </c>
      <c r="D1325" s="41">
        <v>11</v>
      </c>
      <c r="E1325" s="41">
        <v>2513</v>
      </c>
      <c r="F1325" s="41" t="s">
        <v>7204</v>
      </c>
      <c r="G1325" s="41" t="s">
        <v>7204</v>
      </c>
      <c r="H1325" s="2043">
        <v>640624</v>
      </c>
      <c r="I1325" s="2043">
        <v>0</v>
      </c>
      <c r="J1325">
        <v>0</v>
      </c>
      <c r="K1325" s="2043">
        <v>0</v>
      </c>
      <c r="L1325" s="2043">
        <v>0</v>
      </c>
      <c r="M1325">
        <v>599</v>
      </c>
      <c r="N1325">
        <v>1</v>
      </c>
    </row>
    <row r="1326" spans="1:14">
      <c r="A1326" t="s">
        <v>5087</v>
      </c>
      <c r="B1326" t="s">
        <v>2403</v>
      </c>
      <c r="C1326" t="s">
        <v>1274</v>
      </c>
      <c r="D1326" s="41">
        <v>11</v>
      </c>
      <c r="E1326" s="41">
        <v>2513</v>
      </c>
      <c r="F1326" s="41" t="s">
        <v>7204</v>
      </c>
      <c r="G1326" s="41" t="s">
        <v>7205</v>
      </c>
      <c r="H1326" s="2043">
        <v>640624</v>
      </c>
      <c r="I1326" s="2043">
        <v>332400</v>
      </c>
      <c r="J1326">
        <v>0.200148847157092</v>
      </c>
      <c r="K1326" s="2043">
        <v>128220.155061165</v>
      </c>
      <c r="L1326" s="2043">
        <v>128220.155061165</v>
      </c>
      <c r="M1326">
        <v>599</v>
      </c>
      <c r="N1326">
        <v>1</v>
      </c>
    </row>
    <row r="1327" spans="1:14">
      <c r="A1327" t="s">
        <v>5087</v>
      </c>
      <c r="B1327" t="s">
        <v>2403</v>
      </c>
      <c r="C1327" t="s">
        <v>1274</v>
      </c>
      <c r="D1327" s="41">
        <v>11</v>
      </c>
      <c r="E1327" s="41">
        <v>2513</v>
      </c>
      <c r="F1327" s="41" t="s">
        <v>7204</v>
      </c>
      <c r="G1327" s="41" t="s">
        <v>9357</v>
      </c>
      <c r="H1327" s="2043">
        <v>640624</v>
      </c>
      <c r="I1327" s="2043">
        <v>1328364</v>
      </c>
      <c r="J1327">
        <v>0.79985115284290798</v>
      </c>
      <c r="K1327" s="2043">
        <v>512403.84493883501</v>
      </c>
      <c r="L1327" s="2043">
        <v>512403.84493883501</v>
      </c>
      <c r="M1327">
        <v>599</v>
      </c>
      <c r="N1327">
        <v>1</v>
      </c>
    </row>
    <row r="1328" spans="1:14">
      <c r="A1328" t="s">
        <v>3032</v>
      </c>
      <c r="B1328" t="s">
        <v>1429</v>
      </c>
      <c r="C1328" t="s">
        <v>570</v>
      </c>
      <c r="D1328" s="41">
        <v>3</v>
      </c>
      <c r="E1328" s="41">
        <v>2401</v>
      </c>
      <c r="F1328" s="41" t="s">
        <v>4086</v>
      </c>
      <c r="G1328" s="41" t="s">
        <v>4086</v>
      </c>
      <c r="H1328" s="2043">
        <v>68908</v>
      </c>
      <c r="I1328" s="2043">
        <v>0</v>
      </c>
      <c r="J1328">
        <v>0</v>
      </c>
      <c r="L1328" s="2043">
        <v>0</v>
      </c>
      <c r="M1328">
        <v>599</v>
      </c>
      <c r="N1328">
        <v>0</v>
      </c>
    </row>
    <row r="1329" spans="1:14">
      <c r="A1329" t="s">
        <v>4087</v>
      </c>
      <c r="B1329" t="s">
        <v>821</v>
      </c>
      <c r="C1329" t="s">
        <v>1986</v>
      </c>
      <c r="D1329" s="41">
        <v>5</v>
      </c>
      <c r="E1329" s="41">
        <v>2124</v>
      </c>
      <c r="F1329" s="41" t="s">
        <v>4088</v>
      </c>
      <c r="G1329" s="41" t="s">
        <v>4088</v>
      </c>
      <c r="H1329" s="2043">
        <v>100000</v>
      </c>
      <c r="I1329" s="2043">
        <v>105600</v>
      </c>
      <c r="J1329">
        <v>1</v>
      </c>
      <c r="K1329" s="2043">
        <v>100000</v>
      </c>
      <c r="L1329" s="2043">
        <v>100000</v>
      </c>
      <c r="M1329">
        <v>199</v>
      </c>
      <c r="N1329">
        <v>0</v>
      </c>
    </row>
    <row r="1330" spans="1:14">
      <c r="A1330" t="s">
        <v>3033</v>
      </c>
      <c r="B1330" t="s">
        <v>2008</v>
      </c>
      <c r="C1330" t="s">
        <v>30</v>
      </c>
      <c r="D1330" s="41">
        <v>2</v>
      </c>
      <c r="E1330" s="41">
        <v>1769</v>
      </c>
      <c r="F1330" s="41" t="s">
        <v>4089</v>
      </c>
      <c r="G1330" s="41" t="s">
        <v>4089</v>
      </c>
      <c r="H1330" s="2043">
        <v>2278200</v>
      </c>
      <c r="I1330" s="2043">
        <v>0</v>
      </c>
      <c r="J1330">
        <v>0</v>
      </c>
      <c r="L1330" s="2043">
        <v>0</v>
      </c>
      <c r="M1330">
        <v>599</v>
      </c>
      <c r="N1330">
        <v>0</v>
      </c>
    </row>
    <row r="1331" spans="1:14">
      <c r="A1331" t="s">
        <v>3033</v>
      </c>
      <c r="B1331" t="s">
        <v>2008</v>
      </c>
      <c r="C1331" t="s">
        <v>30</v>
      </c>
      <c r="D1331" s="41">
        <v>4</v>
      </c>
      <c r="E1331" s="41">
        <v>1768</v>
      </c>
      <c r="F1331" s="41" t="s">
        <v>4091</v>
      </c>
      <c r="G1331" s="41" t="s">
        <v>4091</v>
      </c>
      <c r="H1331" s="2043">
        <v>2119597</v>
      </c>
      <c r="I1331" s="2043">
        <v>0</v>
      </c>
      <c r="J1331">
        <v>0</v>
      </c>
      <c r="K1331" s="2043">
        <v>0</v>
      </c>
      <c r="L1331" s="2043">
        <v>0</v>
      </c>
      <c r="M1331">
        <v>599</v>
      </c>
      <c r="N1331">
        <v>0</v>
      </c>
    </row>
    <row r="1332" spans="1:14">
      <c r="A1332" t="s">
        <v>3033</v>
      </c>
      <c r="B1332" t="s">
        <v>2008</v>
      </c>
      <c r="C1332" t="s">
        <v>30</v>
      </c>
      <c r="D1332" s="41">
        <v>4</v>
      </c>
      <c r="E1332" s="41">
        <v>1768</v>
      </c>
      <c r="F1332" s="41" t="s">
        <v>4091</v>
      </c>
      <c r="G1332" s="41" t="s">
        <v>4090</v>
      </c>
      <c r="H1332" s="2043">
        <v>2119597</v>
      </c>
      <c r="I1332" s="2043">
        <v>0</v>
      </c>
      <c r="J1332">
        <v>0</v>
      </c>
      <c r="K1332" s="2043">
        <v>0</v>
      </c>
      <c r="L1332" s="2043">
        <v>0</v>
      </c>
      <c r="M1332">
        <v>599</v>
      </c>
      <c r="N1332">
        <v>0</v>
      </c>
    </row>
    <row r="1333" spans="1:14">
      <c r="A1333" t="s">
        <v>3033</v>
      </c>
      <c r="B1333" t="s">
        <v>2008</v>
      </c>
      <c r="C1333" t="s">
        <v>30</v>
      </c>
      <c r="D1333" s="41">
        <v>4</v>
      </c>
      <c r="E1333" s="41">
        <v>1768</v>
      </c>
      <c r="F1333" s="41" t="s">
        <v>4091</v>
      </c>
      <c r="G1333" s="41" t="s">
        <v>4092</v>
      </c>
      <c r="H1333" s="2043">
        <v>2119597</v>
      </c>
      <c r="I1333" s="2043">
        <v>1630000</v>
      </c>
      <c r="J1333">
        <v>0.79982335189774001</v>
      </c>
      <c r="K1333" s="2043">
        <v>1695303.1772123899</v>
      </c>
      <c r="L1333" s="2043">
        <v>1630000</v>
      </c>
      <c r="M1333">
        <v>599</v>
      </c>
      <c r="N1333">
        <v>1</v>
      </c>
    </row>
    <row r="1334" spans="1:14">
      <c r="A1334" t="s">
        <v>3033</v>
      </c>
      <c r="B1334" t="s">
        <v>2008</v>
      </c>
      <c r="C1334" t="s">
        <v>30</v>
      </c>
      <c r="D1334" s="41">
        <v>4</v>
      </c>
      <c r="E1334" s="41">
        <v>1768</v>
      </c>
      <c r="F1334" s="41" t="s">
        <v>4091</v>
      </c>
      <c r="G1334" s="41" t="s">
        <v>4093</v>
      </c>
      <c r="H1334" s="2043">
        <v>2119597</v>
      </c>
      <c r="I1334" s="2043">
        <v>0</v>
      </c>
      <c r="J1334">
        <v>0</v>
      </c>
      <c r="K1334" s="2043">
        <v>0</v>
      </c>
      <c r="L1334" s="2043">
        <v>0</v>
      </c>
      <c r="M1334">
        <v>599</v>
      </c>
      <c r="N1334">
        <v>1</v>
      </c>
    </row>
    <row r="1335" spans="1:14">
      <c r="A1335" t="s">
        <v>3033</v>
      </c>
      <c r="B1335" t="s">
        <v>2008</v>
      </c>
      <c r="C1335" t="s">
        <v>30</v>
      </c>
      <c r="D1335" s="41">
        <v>4</v>
      </c>
      <c r="E1335" s="41">
        <v>1768</v>
      </c>
      <c r="F1335" s="41" t="s">
        <v>4091</v>
      </c>
      <c r="G1335" s="41" t="s">
        <v>5410</v>
      </c>
      <c r="H1335" s="2043">
        <v>2119597</v>
      </c>
      <c r="I1335" s="2043">
        <v>0</v>
      </c>
      <c r="J1335">
        <v>0</v>
      </c>
      <c r="K1335" s="2043">
        <v>0</v>
      </c>
      <c r="L1335" s="2043">
        <v>0</v>
      </c>
      <c r="M1335">
        <v>599</v>
      </c>
      <c r="N1335">
        <v>1</v>
      </c>
    </row>
    <row r="1336" spans="1:14">
      <c r="A1336" t="s">
        <v>3033</v>
      </c>
      <c r="B1336" t="s">
        <v>2008</v>
      </c>
      <c r="C1336" t="s">
        <v>30</v>
      </c>
      <c r="D1336" s="41">
        <v>4</v>
      </c>
      <c r="E1336" s="41">
        <v>1768</v>
      </c>
      <c r="F1336" s="41" t="s">
        <v>4091</v>
      </c>
      <c r="G1336" s="41" t="s">
        <v>7206</v>
      </c>
      <c r="H1336" s="2043">
        <v>2119597</v>
      </c>
      <c r="I1336" s="2043">
        <v>270600</v>
      </c>
      <c r="J1336">
        <v>0.13278049019848401</v>
      </c>
      <c r="K1336" s="2043">
        <v>281441.12868323602</v>
      </c>
      <c r="L1336" s="2043">
        <v>270600</v>
      </c>
      <c r="M1336">
        <v>599</v>
      </c>
      <c r="N1336">
        <v>1</v>
      </c>
    </row>
    <row r="1337" spans="1:14">
      <c r="A1337" t="s">
        <v>3033</v>
      </c>
      <c r="B1337" t="s">
        <v>2008</v>
      </c>
      <c r="C1337" t="s">
        <v>30</v>
      </c>
      <c r="D1337" s="41">
        <v>4</v>
      </c>
      <c r="E1337" s="41">
        <v>1768</v>
      </c>
      <c r="F1337" s="41" t="s">
        <v>4091</v>
      </c>
      <c r="G1337" s="41" t="s">
        <v>8632</v>
      </c>
      <c r="H1337" s="2043">
        <v>2119597</v>
      </c>
      <c r="I1337" s="2043">
        <v>137350</v>
      </c>
      <c r="J1337">
        <v>6.73961579037759E-2</v>
      </c>
      <c r="K1337" s="2043">
        <v>142852.69410436999</v>
      </c>
      <c r="L1337" s="2043">
        <v>137350</v>
      </c>
      <c r="M1337">
        <v>599</v>
      </c>
      <c r="N1337">
        <v>1</v>
      </c>
    </row>
    <row r="1338" spans="1:14">
      <c r="A1338" t="s">
        <v>3033</v>
      </c>
      <c r="B1338" t="s">
        <v>2008</v>
      </c>
      <c r="C1338" t="s">
        <v>30</v>
      </c>
      <c r="D1338" s="41">
        <v>6</v>
      </c>
      <c r="E1338" s="41">
        <v>1767</v>
      </c>
      <c r="F1338" s="41" t="s">
        <v>4094</v>
      </c>
      <c r="G1338" s="41" t="s">
        <v>4094</v>
      </c>
      <c r="H1338" s="2043">
        <v>1121326</v>
      </c>
      <c r="I1338" s="2043">
        <v>0</v>
      </c>
      <c r="J1338">
        <v>0</v>
      </c>
      <c r="K1338" s="2043">
        <v>0</v>
      </c>
      <c r="L1338" s="2043">
        <v>0</v>
      </c>
      <c r="M1338">
        <v>599</v>
      </c>
      <c r="N1338">
        <v>1</v>
      </c>
    </row>
    <row r="1339" spans="1:14">
      <c r="A1339" t="s">
        <v>3033</v>
      </c>
      <c r="B1339" t="s">
        <v>2008</v>
      </c>
      <c r="C1339" t="s">
        <v>30</v>
      </c>
      <c r="D1339" s="41">
        <v>6</v>
      </c>
      <c r="E1339" s="41">
        <v>1767</v>
      </c>
      <c r="F1339" s="41" t="s">
        <v>4094</v>
      </c>
      <c r="G1339" s="41" t="s">
        <v>4093</v>
      </c>
      <c r="H1339" s="2043">
        <v>1121326</v>
      </c>
      <c r="I1339" s="2043">
        <v>0</v>
      </c>
      <c r="J1339">
        <v>0</v>
      </c>
      <c r="K1339" s="2043">
        <v>0</v>
      </c>
      <c r="L1339" s="2043">
        <v>0</v>
      </c>
      <c r="M1339">
        <v>599</v>
      </c>
      <c r="N1339">
        <v>1</v>
      </c>
    </row>
    <row r="1340" spans="1:14">
      <c r="A1340" t="s">
        <v>3033</v>
      </c>
      <c r="B1340" t="s">
        <v>2008</v>
      </c>
      <c r="C1340" t="s">
        <v>30</v>
      </c>
      <c r="D1340" s="41">
        <v>6</v>
      </c>
      <c r="E1340" s="41">
        <v>1767</v>
      </c>
      <c r="F1340" s="41" t="s">
        <v>4094</v>
      </c>
      <c r="G1340" s="41" t="s">
        <v>4095</v>
      </c>
      <c r="H1340" s="2043">
        <v>1121326</v>
      </c>
      <c r="I1340" s="2043">
        <v>363000</v>
      </c>
      <c r="J1340">
        <v>0.48690977280226599</v>
      </c>
      <c r="K1340" s="2043">
        <v>545984.58789727394</v>
      </c>
      <c r="L1340" s="2043">
        <v>363000</v>
      </c>
      <c r="M1340">
        <v>599</v>
      </c>
      <c r="N1340">
        <v>1</v>
      </c>
    </row>
    <row r="1341" spans="1:14">
      <c r="A1341" t="s">
        <v>3033</v>
      </c>
      <c r="B1341" t="s">
        <v>2008</v>
      </c>
      <c r="C1341" t="s">
        <v>30</v>
      </c>
      <c r="D1341" s="41">
        <v>6</v>
      </c>
      <c r="E1341" s="41">
        <v>1767</v>
      </c>
      <c r="F1341" s="41" t="s">
        <v>4094</v>
      </c>
      <c r="G1341" s="41" t="s">
        <v>8632</v>
      </c>
      <c r="H1341" s="2043">
        <v>1121326</v>
      </c>
      <c r="I1341" s="2043">
        <v>338900</v>
      </c>
      <c r="J1341">
        <v>0.45458325620575202</v>
      </c>
      <c r="K1341" s="2043">
        <v>509736.02434817102</v>
      </c>
      <c r="L1341" s="2043">
        <v>338900</v>
      </c>
      <c r="M1341">
        <v>599</v>
      </c>
      <c r="N1341">
        <v>1</v>
      </c>
    </row>
    <row r="1342" spans="1:14">
      <c r="A1342" t="s">
        <v>3033</v>
      </c>
      <c r="B1342" t="s">
        <v>2008</v>
      </c>
      <c r="C1342" t="s">
        <v>30</v>
      </c>
      <c r="D1342" s="41">
        <v>6</v>
      </c>
      <c r="E1342" s="41">
        <v>1767</v>
      </c>
      <c r="F1342" s="41" t="s">
        <v>4094</v>
      </c>
      <c r="G1342" s="41" t="s">
        <v>9358</v>
      </c>
      <c r="H1342" s="2043">
        <v>1121326</v>
      </c>
      <c r="I1342" s="2043">
        <v>43618</v>
      </c>
      <c r="J1342">
        <v>5.8506970991981398E-2</v>
      </c>
      <c r="K1342" s="2043">
        <v>65605.387754554598</v>
      </c>
      <c r="L1342" s="2043">
        <v>43618</v>
      </c>
      <c r="M1342">
        <v>599</v>
      </c>
      <c r="N1342">
        <v>1</v>
      </c>
    </row>
    <row r="1343" spans="1:14">
      <c r="A1343" t="s">
        <v>3033</v>
      </c>
      <c r="B1343" t="s">
        <v>2008</v>
      </c>
      <c r="C1343" t="s">
        <v>30</v>
      </c>
      <c r="D1343" s="41">
        <v>7</v>
      </c>
      <c r="E1343" s="41">
        <v>1766</v>
      </c>
      <c r="F1343" s="41" t="s">
        <v>4096</v>
      </c>
      <c r="G1343" s="41" t="s">
        <v>4096</v>
      </c>
      <c r="H1343" s="2043">
        <v>1010853</v>
      </c>
      <c r="I1343" s="2043">
        <v>0</v>
      </c>
      <c r="J1343">
        <v>0</v>
      </c>
      <c r="K1343" s="2043">
        <v>0</v>
      </c>
      <c r="L1343" s="2043">
        <v>0</v>
      </c>
      <c r="M1343">
        <v>599</v>
      </c>
      <c r="N1343">
        <v>0</v>
      </c>
    </row>
    <row r="1344" spans="1:14">
      <c r="A1344" t="s">
        <v>3033</v>
      </c>
      <c r="B1344" t="s">
        <v>2008</v>
      </c>
      <c r="C1344" t="s">
        <v>30</v>
      </c>
      <c r="D1344" s="41">
        <v>7</v>
      </c>
      <c r="E1344" s="41">
        <v>1766</v>
      </c>
      <c r="F1344" s="41" t="s">
        <v>4096</v>
      </c>
      <c r="G1344" s="41" t="s">
        <v>4095</v>
      </c>
      <c r="H1344" s="2043">
        <v>1010853</v>
      </c>
      <c r="I1344" s="2043">
        <v>200431</v>
      </c>
      <c r="J1344">
        <v>0.19156828486882899</v>
      </c>
      <c r="K1344" s="2043">
        <v>193647.37546451</v>
      </c>
      <c r="L1344" s="2043">
        <v>193647.37546451</v>
      </c>
      <c r="M1344">
        <v>599</v>
      </c>
      <c r="N1344">
        <v>1</v>
      </c>
    </row>
    <row r="1345" spans="1:14">
      <c r="A1345" t="s">
        <v>3033</v>
      </c>
      <c r="B1345" t="s">
        <v>2008</v>
      </c>
      <c r="C1345" t="s">
        <v>30</v>
      </c>
      <c r="D1345" s="41">
        <v>7</v>
      </c>
      <c r="E1345" s="41">
        <v>1766</v>
      </c>
      <c r="F1345" s="41" t="s">
        <v>4096</v>
      </c>
      <c r="G1345" s="41" t="s">
        <v>4097</v>
      </c>
      <c r="H1345" s="2043">
        <v>1010853</v>
      </c>
      <c r="I1345" s="2043">
        <v>643225</v>
      </c>
      <c r="J1345">
        <v>0.61478269346933501</v>
      </c>
      <c r="K1345" s="2043">
        <v>621454.93004155695</v>
      </c>
      <c r="L1345" s="2043">
        <v>621454.93004155695</v>
      </c>
      <c r="M1345">
        <v>599</v>
      </c>
      <c r="N1345">
        <v>1</v>
      </c>
    </row>
    <row r="1346" spans="1:14">
      <c r="A1346" t="s">
        <v>3033</v>
      </c>
      <c r="B1346" t="s">
        <v>2008</v>
      </c>
      <c r="C1346" t="s">
        <v>30</v>
      </c>
      <c r="D1346" s="41">
        <v>7</v>
      </c>
      <c r="E1346" s="41">
        <v>1766</v>
      </c>
      <c r="F1346" s="41" t="s">
        <v>4096</v>
      </c>
      <c r="G1346" s="41" t="s">
        <v>9358</v>
      </c>
      <c r="H1346" s="2043">
        <v>1010853</v>
      </c>
      <c r="I1346" s="2043">
        <v>202608</v>
      </c>
      <c r="J1346">
        <v>0.19364902166183701</v>
      </c>
      <c r="K1346" s="2043">
        <v>195750.694493933</v>
      </c>
      <c r="L1346" s="2043">
        <v>195750.694493933</v>
      </c>
      <c r="M1346">
        <v>599</v>
      </c>
      <c r="N1346">
        <v>1</v>
      </c>
    </row>
    <row r="1347" spans="1:14">
      <c r="A1347" t="s">
        <v>3033</v>
      </c>
      <c r="B1347" t="s">
        <v>2008</v>
      </c>
      <c r="C1347" t="s">
        <v>30</v>
      </c>
      <c r="D1347" s="41">
        <v>10</v>
      </c>
      <c r="E1347" s="41">
        <v>1770</v>
      </c>
      <c r="F1347" s="41" t="s">
        <v>4098</v>
      </c>
      <c r="G1347" s="41" t="s">
        <v>4098</v>
      </c>
      <c r="H1347" s="2043">
        <v>2922800</v>
      </c>
      <c r="I1347" s="2043">
        <v>0</v>
      </c>
      <c r="J1347">
        <v>0</v>
      </c>
      <c r="K1347" s="2043">
        <v>0</v>
      </c>
      <c r="L1347" s="2043">
        <v>0</v>
      </c>
      <c r="M1347">
        <v>599</v>
      </c>
      <c r="N1347">
        <v>1</v>
      </c>
    </row>
    <row r="1348" spans="1:14">
      <c r="A1348" t="s">
        <v>3033</v>
      </c>
      <c r="B1348" t="s">
        <v>2008</v>
      </c>
      <c r="C1348" t="s">
        <v>30</v>
      </c>
      <c r="D1348" s="41">
        <v>10</v>
      </c>
      <c r="E1348" s="41">
        <v>1770</v>
      </c>
      <c r="F1348" s="41" t="s">
        <v>4098</v>
      </c>
      <c r="G1348" s="41" t="s">
        <v>8632</v>
      </c>
      <c r="H1348" s="2043">
        <v>2922800</v>
      </c>
      <c r="I1348" s="2043">
        <v>2260075</v>
      </c>
      <c r="J1348">
        <v>1</v>
      </c>
      <c r="K1348" s="2043">
        <v>2922800</v>
      </c>
      <c r="L1348" s="2043">
        <v>2260075</v>
      </c>
      <c r="M1348">
        <v>599</v>
      </c>
      <c r="N1348">
        <v>1</v>
      </c>
    </row>
    <row r="1349" spans="1:14">
      <c r="A1349" t="s">
        <v>3034</v>
      </c>
      <c r="B1349" t="s">
        <v>725</v>
      </c>
      <c r="C1349" t="s">
        <v>1010</v>
      </c>
      <c r="D1349" s="41">
        <v>1</v>
      </c>
      <c r="E1349" s="41">
        <v>1786</v>
      </c>
      <c r="F1349" s="41" t="s">
        <v>4099</v>
      </c>
      <c r="G1349" s="41" t="s">
        <v>4099</v>
      </c>
      <c r="H1349" s="2043">
        <v>1057575</v>
      </c>
      <c r="I1349" s="2043">
        <v>0</v>
      </c>
      <c r="J1349">
        <v>0</v>
      </c>
      <c r="K1349" s="2043">
        <v>0</v>
      </c>
      <c r="L1349" s="2043">
        <v>0</v>
      </c>
      <c r="M1349">
        <v>599</v>
      </c>
      <c r="N1349">
        <v>0</v>
      </c>
    </row>
    <row r="1350" spans="1:14">
      <c r="A1350" t="s">
        <v>3034</v>
      </c>
      <c r="B1350" t="s">
        <v>725</v>
      </c>
      <c r="C1350" t="s">
        <v>1010</v>
      </c>
      <c r="D1350" s="41">
        <v>1</v>
      </c>
      <c r="E1350" s="41">
        <v>1786</v>
      </c>
      <c r="F1350" s="41" t="s">
        <v>4099</v>
      </c>
      <c r="G1350" s="41" t="s">
        <v>4100</v>
      </c>
      <c r="H1350" s="2043">
        <v>1057575</v>
      </c>
      <c r="I1350" s="2043">
        <v>152256</v>
      </c>
      <c r="J1350">
        <v>0.157341757631937</v>
      </c>
      <c r="K1350" s="2043">
        <v>166400.70932759601</v>
      </c>
      <c r="L1350" s="2043">
        <v>152256</v>
      </c>
      <c r="M1350">
        <v>599</v>
      </c>
      <c r="N1350">
        <v>0</v>
      </c>
    </row>
    <row r="1351" spans="1:14">
      <c r="A1351" t="s">
        <v>3034</v>
      </c>
      <c r="B1351" t="s">
        <v>725</v>
      </c>
      <c r="C1351" t="s">
        <v>1010</v>
      </c>
      <c r="D1351" s="41">
        <v>1</v>
      </c>
      <c r="E1351" s="41">
        <v>1786</v>
      </c>
      <c r="F1351" s="41" t="s">
        <v>4099</v>
      </c>
      <c r="G1351" s="41" t="s">
        <v>4101</v>
      </c>
      <c r="H1351" s="2043">
        <v>1057575</v>
      </c>
      <c r="I1351" s="2043">
        <v>815421</v>
      </c>
      <c r="J1351">
        <v>0.84265824236806297</v>
      </c>
      <c r="K1351" s="2043">
        <v>891174.29067240399</v>
      </c>
      <c r="L1351" s="2043">
        <v>815421</v>
      </c>
      <c r="M1351">
        <v>599</v>
      </c>
      <c r="N1351">
        <v>1</v>
      </c>
    </row>
    <row r="1352" spans="1:14">
      <c r="A1352" t="s">
        <v>3034</v>
      </c>
      <c r="B1352" t="s">
        <v>725</v>
      </c>
      <c r="C1352" t="s">
        <v>1010</v>
      </c>
      <c r="D1352" s="41">
        <v>1</v>
      </c>
      <c r="E1352" s="41">
        <v>1786</v>
      </c>
      <c r="F1352" s="41" t="s">
        <v>4099</v>
      </c>
      <c r="G1352" s="41" t="s">
        <v>5411</v>
      </c>
      <c r="H1352" s="2043">
        <v>1057575</v>
      </c>
      <c r="I1352" s="2043">
        <v>0</v>
      </c>
      <c r="J1352">
        <v>0</v>
      </c>
      <c r="K1352" s="2043">
        <v>0</v>
      </c>
      <c r="L1352" s="2043">
        <v>0</v>
      </c>
      <c r="M1352">
        <v>599</v>
      </c>
      <c r="N1352">
        <v>1</v>
      </c>
    </row>
    <row r="1353" spans="1:14">
      <c r="A1353" t="s">
        <v>3034</v>
      </c>
      <c r="B1353" t="s">
        <v>725</v>
      </c>
      <c r="C1353" t="s">
        <v>1010</v>
      </c>
      <c r="D1353" s="41">
        <v>4</v>
      </c>
      <c r="E1353" s="41">
        <v>1787</v>
      </c>
      <c r="F1353" s="41" t="s">
        <v>4102</v>
      </c>
      <c r="G1353" s="41" t="s">
        <v>4102</v>
      </c>
      <c r="H1353" s="2043">
        <v>1123190</v>
      </c>
      <c r="I1353" s="2043">
        <v>0</v>
      </c>
      <c r="J1353">
        <v>0</v>
      </c>
      <c r="K1353" s="2043">
        <v>0</v>
      </c>
      <c r="L1353" s="2043">
        <v>0</v>
      </c>
      <c r="M1353">
        <v>599</v>
      </c>
      <c r="N1353">
        <v>0</v>
      </c>
    </row>
    <row r="1354" spans="1:14">
      <c r="A1354" t="s">
        <v>3034</v>
      </c>
      <c r="B1354" t="s">
        <v>725</v>
      </c>
      <c r="C1354" t="s">
        <v>1010</v>
      </c>
      <c r="D1354" s="41">
        <v>4</v>
      </c>
      <c r="E1354" s="41">
        <v>1787</v>
      </c>
      <c r="F1354" s="41" t="s">
        <v>4102</v>
      </c>
      <c r="G1354" s="41" t="s">
        <v>4100</v>
      </c>
      <c r="H1354" s="2043">
        <v>1123190</v>
      </c>
      <c r="I1354" s="2043">
        <v>0</v>
      </c>
      <c r="J1354">
        <v>0</v>
      </c>
      <c r="K1354" s="2043">
        <v>0</v>
      </c>
      <c r="L1354" s="2043">
        <v>0</v>
      </c>
      <c r="M1354">
        <v>599</v>
      </c>
      <c r="N1354">
        <v>0</v>
      </c>
    </row>
    <row r="1355" spans="1:14">
      <c r="A1355" t="s">
        <v>3034</v>
      </c>
      <c r="B1355" t="s">
        <v>725</v>
      </c>
      <c r="C1355" t="s">
        <v>1010</v>
      </c>
      <c r="D1355" s="41">
        <v>4</v>
      </c>
      <c r="E1355" s="41">
        <v>1787</v>
      </c>
      <c r="F1355" s="41" t="s">
        <v>4102</v>
      </c>
      <c r="G1355" s="41" t="s">
        <v>4101</v>
      </c>
      <c r="H1355" s="2043">
        <v>1123190</v>
      </c>
      <c r="I1355" s="2043">
        <v>871454</v>
      </c>
      <c r="J1355">
        <v>0.861279702869997</v>
      </c>
      <c r="K1355" s="2043">
        <v>967380.74946655205</v>
      </c>
      <c r="L1355" s="2043">
        <v>871454</v>
      </c>
      <c r="M1355">
        <v>599</v>
      </c>
      <c r="N1355">
        <v>1</v>
      </c>
    </row>
    <row r="1356" spans="1:14">
      <c r="A1356" t="s">
        <v>3034</v>
      </c>
      <c r="B1356" t="s">
        <v>725</v>
      </c>
      <c r="C1356" t="s">
        <v>1010</v>
      </c>
      <c r="D1356" s="41">
        <v>4</v>
      </c>
      <c r="E1356" s="41">
        <v>1787</v>
      </c>
      <c r="F1356" s="41" t="s">
        <v>4102</v>
      </c>
      <c r="G1356" s="41" t="s">
        <v>5411</v>
      </c>
      <c r="H1356" s="2043">
        <v>1123190</v>
      </c>
      <c r="I1356" s="2043">
        <v>140359</v>
      </c>
      <c r="J1356">
        <v>0.138720297130003</v>
      </c>
      <c r="K1356" s="2043">
        <v>155809.25053344801</v>
      </c>
      <c r="L1356" s="2043">
        <v>140359</v>
      </c>
      <c r="M1356">
        <v>599</v>
      </c>
      <c r="N1356">
        <v>1</v>
      </c>
    </row>
    <row r="1357" spans="1:14">
      <c r="A1357" t="s">
        <v>3034</v>
      </c>
      <c r="B1357" t="s">
        <v>725</v>
      </c>
      <c r="C1357" t="s">
        <v>1010</v>
      </c>
      <c r="D1357" s="41">
        <v>6</v>
      </c>
      <c r="E1357" s="41">
        <v>1785</v>
      </c>
      <c r="F1357" s="41" t="s">
        <v>5596</v>
      </c>
      <c r="G1357" s="41" t="s">
        <v>5596</v>
      </c>
      <c r="H1357" s="2043">
        <v>259798</v>
      </c>
      <c r="I1357" s="2043">
        <v>0</v>
      </c>
      <c r="J1357">
        <v>0</v>
      </c>
      <c r="L1357" s="2043">
        <v>0</v>
      </c>
      <c r="M1357">
        <v>599</v>
      </c>
      <c r="N1357">
        <v>0</v>
      </c>
    </row>
    <row r="1358" spans="1:14">
      <c r="A1358" t="s">
        <v>3034</v>
      </c>
      <c r="B1358" t="s">
        <v>725</v>
      </c>
      <c r="C1358" t="s">
        <v>1010</v>
      </c>
      <c r="D1358" s="41">
        <v>8</v>
      </c>
      <c r="E1358" s="41">
        <v>1788</v>
      </c>
      <c r="F1358" s="41" t="s">
        <v>4104</v>
      </c>
      <c r="G1358" s="41" t="s">
        <v>4104</v>
      </c>
      <c r="H1358" s="2043">
        <v>1293870</v>
      </c>
      <c r="I1358" s="2043">
        <v>0</v>
      </c>
      <c r="J1358">
        <v>0</v>
      </c>
      <c r="K1358" s="2043">
        <v>0</v>
      </c>
      <c r="L1358" s="2043">
        <v>0</v>
      </c>
      <c r="M1358">
        <v>599</v>
      </c>
      <c r="N1358">
        <v>1</v>
      </c>
    </row>
    <row r="1359" spans="1:14">
      <c r="A1359" t="s">
        <v>3034</v>
      </c>
      <c r="B1359" t="s">
        <v>725</v>
      </c>
      <c r="C1359" t="s">
        <v>1010</v>
      </c>
      <c r="D1359" s="41">
        <v>8</v>
      </c>
      <c r="E1359" s="41">
        <v>1788</v>
      </c>
      <c r="F1359" s="41" t="s">
        <v>4104</v>
      </c>
      <c r="G1359" s="41" t="s">
        <v>4103</v>
      </c>
      <c r="H1359" s="2043">
        <v>1293870</v>
      </c>
      <c r="I1359" s="2043">
        <v>903175</v>
      </c>
      <c r="J1359">
        <v>0.73636180563651998</v>
      </c>
      <c r="K1359" s="2043">
        <v>952756.44945892401</v>
      </c>
      <c r="L1359" s="2043">
        <v>903175</v>
      </c>
      <c r="M1359">
        <v>599</v>
      </c>
      <c r="N1359">
        <v>1</v>
      </c>
    </row>
    <row r="1360" spans="1:14">
      <c r="A1360" t="s">
        <v>3034</v>
      </c>
      <c r="B1360" t="s">
        <v>725</v>
      </c>
      <c r="C1360" t="s">
        <v>1010</v>
      </c>
      <c r="D1360" s="41">
        <v>8</v>
      </c>
      <c r="E1360" s="41">
        <v>1788</v>
      </c>
      <c r="F1360" s="41" t="s">
        <v>4104</v>
      </c>
      <c r="G1360" s="41" t="s">
        <v>5411</v>
      </c>
      <c r="H1360" s="2043">
        <v>1293870</v>
      </c>
      <c r="I1360" s="2043">
        <v>323362</v>
      </c>
      <c r="J1360">
        <v>0.26363819436348002</v>
      </c>
      <c r="K1360" s="2043">
        <v>341113.55054107599</v>
      </c>
      <c r="L1360" s="2043">
        <v>323362</v>
      </c>
      <c r="M1360">
        <v>599</v>
      </c>
      <c r="N1360">
        <v>1</v>
      </c>
    </row>
    <row r="1361" spans="1:14">
      <c r="A1361" t="s">
        <v>3035</v>
      </c>
      <c r="B1361" t="s">
        <v>727</v>
      </c>
      <c r="C1361" t="s">
        <v>31</v>
      </c>
      <c r="D1361" s="41">
        <v>3</v>
      </c>
      <c r="E1361" s="41">
        <v>1795</v>
      </c>
      <c r="F1361" s="41" t="s">
        <v>4105</v>
      </c>
      <c r="G1361" s="41" t="s">
        <v>4105</v>
      </c>
      <c r="H1361" s="2043">
        <v>3968103</v>
      </c>
      <c r="I1361" s="2043">
        <v>0</v>
      </c>
      <c r="J1361">
        <v>0</v>
      </c>
      <c r="L1361" s="2043">
        <v>0</v>
      </c>
      <c r="M1361">
        <v>199</v>
      </c>
      <c r="N1361">
        <v>0</v>
      </c>
    </row>
    <row r="1362" spans="1:14">
      <c r="A1362" t="s">
        <v>3035</v>
      </c>
      <c r="B1362" t="s">
        <v>727</v>
      </c>
      <c r="C1362" t="s">
        <v>31</v>
      </c>
      <c r="D1362" s="41">
        <v>3</v>
      </c>
      <c r="E1362" s="41">
        <v>1795</v>
      </c>
      <c r="F1362" s="41" t="s">
        <v>4105</v>
      </c>
      <c r="G1362" s="41" t="s">
        <v>4106</v>
      </c>
      <c r="H1362" s="2043">
        <v>3968103</v>
      </c>
      <c r="I1362" s="2043">
        <v>0</v>
      </c>
      <c r="J1362">
        <v>0</v>
      </c>
      <c r="L1362" s="2043">
        <v>0</v>
      </c>
      <c r="M1362">
        <v>599</v>
      </c>
      <c r="N1362">
        <v>1</v>
      </c>
    </row>
    <row r="1363" spans="1:14">
      <c r="A1363" t="s">
        <v>3035</v>
      </c>
      <c r="B1363" t="s">
        <v>727</v>
      </c>
      <c r="C1363" t="s">
        <v>31</v>
      </c>
      <c r="D1363" s="41">
        <v>4</v>
      </c>
      <c r="E1363" s="41">
        <v>1796</v>
      </c>
      <c r="F1363" s="41" t="s">
        <v>4107</v>
      </c>
      <c r="G1363" s="41" t="s">
        <v>4107</v>
      </c>
      <c r="H1363" s="2043">
        <v>3996878</v>
      </c>
      <c r="I1363" s="2043">
        <v>0</v>
      </c>
      <c r="J1363">
        <v>0</v>
      </c>
      <c r="K1363" s="2043">
        <v>0</v>
      </c>
      <c r="L1363" s="2043">
        <v>0</v>
      </c>
      <c r="M1363">
        <v>599</v>
      </c>
      <c r="N1363">
        <v>0</v>
      </c>
    </row>
    <row r="1364" spans="1:14">
      <c r="A1364" t="s">
        <v>3035</v>
      </c>
      <c r="B1364" t="s">
        <v>727</v>
      </c>
      <c r="C1364" t="s">
        <v>31</v>
      </c>
      <c r="D1364" s="41">
        <v>4</v>
      </c>
      <c r="E1364" s="41">
        <v>1796</v>
      </c>
      <c r="F1364" s="41" t="s">
        <v>4107</v>
      </c>
      <c r="G1364" s="41" t="s">
        <v>4108</v>
      </c>
      <c r="H1364" s="2043">
        <v>3996878</v>
      </c>
      <c r="I1364" s="2043">
        <v>0</v>
      </c>
      <c r="J1364">
        <v>0</v>
      </c>
      <c r="K1364" s="2043">
        <v>0</v>
      </c>
      <c r="L1364" s="2043">
        <v>0</v>
      </c>
      <c r="M1364">
        <v>599</v>
      </c>
      <c r="N1364">
        <v>0</v>
      </c>
    </row>
    <row r="1365" spans="1:14">
      <c r="A1365" t="s">
        <v>3035</v>
      </c>
      <c r="B1365" t="s">
        <v>727</v>
      </c>
      <c r="C1365" t="s">
        <v>31</v>
      </c>
      <c r="D1365" s="41">
        <v>4</v>
      </c>
      <c r="E1365" s="41">
        <v>1796</v>
      </c>
      <c r="F1365" s="41" t="s">
        <v>4107</v>
      </c>
      <c r="G1365" s="41" t="s">
        <v>5412</v>
      </c>
      <c r="H1365" s="2043">
        <v>3996878</v>
      </c>
      <c r="I1365" s="2043">
        <v>3316016</v>
      </c>
      <c r="J1365">
        <v>1</v>
      </c>
      <c r="K1365" s="2043">
        <v>3996878</v>
      </c>
      <c r="L1365" s="2043">
        <v>3316016</v>
      </c>
      <c r="M1365">
        <v>599</v>
      </c>
      <c r="N1365">
        <v>1</v>
      </c>
    </row>
    <row r="1366" spans="1:14">
      <c r="A1366" t="s">
        <v>3035</v>
      </c>
      <c r="B1366" t="s">
        <v>727</v>
      </c>
      <c r="C1366" t="s">
        <v>31</v>
      </c>
      <c r="D1366" s="41">
        <v>9</v>
      </c>
      <c r="E1366" s="41">
        <v>1797</v>
      </c>
      <c r="F1366" s="41" t="s">
        <v>4109</v>
      </c>
      <c r="G1366" s="41" t="s">
        <v>4109</v>
      </c>
      <c r="H1366" s="2043">
        <v>7109662</v>
      </c>
      <c r="I1366" s="2043">
        <v>0</v>
      </c>
      <c r="J1366">
        <v>0</v>
      </c>
      <c r="K1366" s="2043">
        <v>0</v>
      </c>
      <c r="L1366" s="2043">
        <v>0</v>
      </c>
      <c r="M1366">
        <v>599</v>
      </c>
      <c r="N1366">
        <v>1</v>
      </c>
    </row>
    <row r="1367" spans="1:14">
      <c r="A1367" t="s">
        <v>3035</v>
      </c>
      <c r="B1367" t="s">
        <v>727</v>
      </c>
      <c r="C1367" t="s">
        <v>31</v>
      </c>
      <c r="D1367" s="41">
        <v>9</v>
      </c>
      <c r="E1367" s="41">
        <v>1797</v>
      </c>
      <c r="F1367" s="41" t="s">
        <v>4109</v>
      </c>
      <c r="G1367" s="41" t="s">
        <v>5597</v>
      </c>
      <c r="H1367" s="2043">
        <v>7109662</v>
      </c>
      <c r="I1367" s="2043">
        <v>6362550</v>
      </c>
      <c r="J1367">
        <v>1</v>
      </c>
      <c r="K1367" s="2043">
        <v>7109662</v>
      </c>
      <c r="L1367" s="2043">
        <v>6362550</v>
      </c>
      <c r="M1367">
        <v>599</v>
      </c>
      <c r="N1367">
        <v>1</v>
      </c>
    </row>
    <row r="1368" spans="1:14">
      <c r="A1368" t="s">
        <v>3036</v>
      </c>
      <c r="B1368" t="s">
        <v>1761</v>
      </c>
      <c r="C1368" t="s">
        <v>2241</v>
      </c>
      <c r="D1368" s="41">
        <v>1</v>
      </c>
      <c r="E1368" s="41">
        <v>1889</v>
      </c>
      <c r="F1368" s="41" t="s">
        <v>4110</v>
      </c>
      <c r="G1368" s="41" t="s">
        <v>4110</v>
      </c>
      <c r="H1368" s="2043">
        <v>551171</v>
      </c>
      <c r="I1368" s="2043">
        <v>0</v>
      </c>
      <c r="J1368">
        <v>0</v>
      </c>
      <c r="L1368" s="2043">
        <v>0</v>
      </c>
      <c r="M1368">
        <v>599</v>
      </c>
      <c r="N1368">
        <v>0</v>
      </c>
    </row>
    <row r="1369" spans="1:14">
      <c r="A1369" t="s">
        <v>3036</v>
      </c>
      <c r="B1369" t="s">
        <v>1761</v>
      </c>
      <c r="C1369" t="s">
        <v>2241</v>
      </c>
      <c r="D1369" s="41">
        <v>4</v>
      </c>
      <c r="E1369" s="41">
        <v>1890</v>
      </c>
      <c r="F1369" s="41" t="s">
        <v>4112</v>
      </c>
      <c r="G1369" s="41" t="s">
        <v>4112</v>
      </c>
      <c r="H1369" s="2043">
        <v>613155</v>
      </c>
      <c r="I1369" s="2043">
        <v>0</v>
      </c>
      <c r="J1369">
        <v>0</v>
      </c>
      <c r="K1369" s="2043">
        <v>0</v>
      </c>
      <c r="L1369" s="2043">
        <v>0</v>
      </c>
      <c r="M1369">
        <v>599</v>
      </c>
      <c r="N1369">
        <v>0</v>
      </c>
    </row>
    <row r="1370" spans="1:14">
      <c r="A1370" t="s">
        <v>3036</v>
      </c>
      <c r="B1370" t="s">
        <v>1761</v>
      </c>
      <c r="C1370" t="s">
        <v>2241</v>
      </c>
      <c r="D1370" s="41">
        <v>4</v>
      </c>
      <c r="E1370" s="41">
        <v>1890</v>
      </c>
      <c r="F1370" s="41" t="s">
        <v>4112</v>
      </c>
      <c r="G1370" s="41" t="s">
        <v>4111</v>
      </c>
      <c r="H1370" s="2043">
        <v>613155</v>
      </c>
      <c r="I1370" s="2043">
        <v>609000</v>
      </c>
      <c r="J1370">
        <v>1</v>
      </c>
      <c r="K1370" s="2043">
        <v>613155</v>
      </c>
      <c r="L1370" s="2043">
        <v>609000</v>
      </c>
      <c r="M1370">
        <v>599</v>
      </c>
      <c r="N1370">
        <v>1</v>
      </c>
    </row>
    <row r="1371" spans="1:14">
      <c r="A1371" t="s">
        <v>3036</v>
      </c>
      <c r="B1371" t="s">
        <v>1761</v>
      </c>
      <c r="C1371" t="s">
        <v>2241</v>
      </c>
      <c r="D1371" s="41">
        <v>7</v>
      </c>
      <c r="E1371" s="41">
        <v>1885</v>
      </c>
      <c r="F1371" s="41" t="s">
        <v>4113</v>
      </c>
      <c r="G1371" s="41" t="s">
        <v>4113</v>
      </c>
      <c r="H1371" s="2043">
        <v>198684</v>
      </c>
      <c r="I1371" s="2043">
        <v>0</v>
      </c>
      <c r="J1371">
        <v>0</v>
      </c>
      <c r="K1371" s="2043">
        <v>0</v>
      </c>
      <c r="L1371" s="2043">
        <v>0</v>
      </c>
      <c r="M1371">
        <v>599</v>
      </c>
      <c r="N1371">
        <v>0</v>
      </c>
    </row>
    <row r="1372" spans="1:14">
      <c r="A1372" t="s">
        <v>3036</v>
      </c>
      <c r="B1372" t="s">
        <v>1761</v>
      </c>
      <c r="C1372" t="s">
        <v>2241</v>
      </c>
      <c r="D1372" s="41">
        <v>7</v>
      </c>
      <c r="E1372" s="41">
        <v>1885</v>
      </c>
      <c r="F1372" s="41" t="s">
        <v>4113</v>
      </c>
      <c r="G1372" s="41" t="s">
        <v>4114</v>
      </c>
      <c r="H1372" s="2043">
        <v>198684</v>
      </c>
      <c r="I1372" s="2043">
        <v>334659</v>
      </c>
      <c r="J1372">
        <v>1</v>
      </c>
      <c r="K1372" s="2043">
        <v>198684</v>
      </c>
      <c r="L1372" s="2043">
        <v>198684</v>
      </c>
      <c r="M1372">
        <v>599</v>
      </c>
      <c r="N1372">
        <v>1</v>
      </c>
    </row>
    <row r="1373" spans="1:14">
      <c r="A1373" t="s">
        <v>3036</v>
      </c>
      <c r="B1373" t="s">
        <v>1761</v>
      </c>
      <c r="C1373" t="s">
        <v>2241</v>
      </c>
      <c r="D1373" s="41">
        <v>7</v>
      </c>
      <c r="E1373" s="41">
        <v>1888</v>
      </c>
      <c r="F1373" s="41" t="s">
        <v>4115</v>
      </c>
      <c r="G1373" s="41" t="s">
        <v>4115</v>
      </c>
      <c r="H1373" s="2043">
        <v>437778</v>
      </c>
      <c r="I1373" s="2043">
        <v>0</v>
      </c>
      <c r="J1373">
        <v>0</v>
      </c>
      <c r="K1373" s="2043">
        <v>0</v>
      </c>
      <c r="L1373" s="2043">
        <v>0</v>
      </c>
      <c r="M1373">
        <v>599</v>
      </c>
      <c r="N1373">
        <v>0</v>
      </c>
    </row>
    <row r="1374" spans="1:14">
      <c r="A1374" t="s">
        <v>3036</v>
      </c>
      <c r="B1374" t="s">
        <v>1761</v>
      </c>
      <c r="C1374" t="s">
        <v>2241</v>
      </c>
      <c r="D1374" s="41">
        <v>7</v>
      </c>
      <c r="E1374" s="41">
        <v>1888</v>
      </c>
      <c r="F1374" s="41" t="s">
        <v>4115</v>
      </c>
      <c r="G1374" s="41" t="s">
        <v>5413</v>
      </c>
      <c r="H1374" s="2043">
        <v>437778</v>
      </c>
      <c r="I1374" s="2043">
        <v>430800</v>
      </c>
      <c r="J1374">
        <v>1</v>
      </c>
      <c r="K1374" s="2043">
        <v>437778</v>
      </c>
      <c r="L1374" s="2043">
        <v>430800</v>
      </c>
      <c r="M1374">
        <v>599</v>
      </c>
      <c r="N1374">
        <v>1</v>
      </c>
    </row>
    <row r="1375" spans="1:14">
      <c r="A1375" t="s">
        <v>3036</v>
      </c>
      <c r="B1375" t="s">
        <v>1761</v>
      </c>
      <c r="C1375" t="s">
        <v>2241</v>
      </c>
      <c r="D1375" s="41">
        <v>8</v>
      </c>
      <c r="E1375" s="41">
        <v>1891</v>
      </c>
      <c r="F1375" s="41" t="s">
        <v>4116</v>
      </c>
      <c r="G1375" s="41" t="s">
        <v>4116</v>
      </c>
      <c r="H1375" s="2043">
        <v>750887</v>
      </c>
      <c r="I1375" s="2043">
        <v>0</v>
      </c>
      <c r="J1375">
        <v>0</v>
      </c>
      <c r="K1375" s="2043">
        <v>0</v>
      </c>
      <c r="L1375" s="2043">
        <v>0</v>
      </c>
      <c r="M1375">
        <v>599</v>
      </c>
      <c r="N1375">
        <v>1</v>
      </c>
    </row>
    <row r="1376" spans="1:14">
      <c r="A1376" t="s">
        <v>3036</v>
      </c>
      <c r="B1376" t="s">
        <v>1761</v>
      </c>
      <c r="C1376" t="s">
        <v>2241</v>
      </c>
      <c r="D1376" s="41">
        <v>8</v>
      </c>
      <c r="E1376" s="41">
        <v>1891</v>
      </c>
      <c r="F1376" s="41" t="s">
        <v>4116</v>
      </c>
      <c r="G1376" s="41" t="s">
        <v>5599</v>
      </c>
      <c r="H1376" s="2043">
        <v>750887</v>
      </c>
      <c r="I1376" s="2043">
        <v>545675</v>
      </c>
      <c r="J1376">
        <v>1</v>
      </c>
      <c r="K1376" s="2043">
        <v>750887</v>
      </c>
      <c r="L1376" s="2043">
        <v>545675</v>
      </c>
      <c r="M1376">
        <v>599</v>
      </c>
      <c r="N1376">
        <v>1</v>
      </c>
    </row>
    <row r="1377" spans="1:14">
      <c r="A1377" t="s">
        <v>3036</v>
      </c>
      <c r="B1377" t="s">
        <v>1761</v>
      </c>
      <c r="C1377" t="s">
        <v>2241</v>
      </c>
      <c r="D1377" s="41">
        <v>9</v>
      </c>
      <c r="E1377" s="41">
        <v>1886</v>
      </c>
      <c r="F1377" s="41" t="s">
        <v>4117</v>
      </c>
      <c r="G1377" s="41" t="s">
        <v>4117</v>
      </c>
      <c r="H1377" s="2043">
        <v>199228</v>
      </c>
      <c r="I1377" s="2043">
        <v>0</v>
      </c>
      <c r="J1377">
        <v>0</v>
      </c>
      <c r="K1377" s="2043">
        <v>0</v>
      </c>
      <c r="L1377" s="2043">
        <v>0</v>
      </c>
      <c r="M1377">
        <v>599</v>
      </c>
      <c r="N1377">
        <v>1</v>
      </c>
    </row>
    <row r="1378" spans="1:14">
      <c r="A1378" t="s">
        <v>3036</v>
      </c>
      <c r="B1378" t="s">
        <v>1761</v>
      </c>
      <c r="C1378" t="s">
        <v>2241</v>
      </c>
      <c r="D1378" s="41">
        <v>9</v>
      </c>
      <c r="E1378" s="41">
        <v>1886</v>
      </c>
      <c r="F1378" s="41" t="s">
        <v>4117</v>
      </c>
      <c r="G1378" s="41" t="s">
        <v>5598</v>
      </c>
      <c r="H1378" s="2043">
        <v>199228</v>
      </c>
      <c r="I1378" s="2043">
        <v>134300</v>
      </c>
      <c r="J1378">
        <v>1</v>
      </c>
      <c r="K1378" s="2043">
        <v>199228</v>
      </c>
      <c r="L1378" s="2043">
        <v>134300</v>
      </c>
      <c r="M1378">
        <v>599</v>
      </c>
      <c r="N1378">
        <v>1</v>
      </c>
    </row>
    <row r="1379" spans="1:14">
      <c r="A1379" t="s">
        <v>3036</v>
      </c>
      <c r="B1379" t="s">
        <v>1761</v>
      </c>
      <c r="C1379" t="s">
        <v>2241</v>
      </c>
      <c r="D1379" s="41">
        <v>9</v>
      </c>
      <c r="E1379" s="41">
        <v>1887</v>
      </c>
      <c r="F1379" s="41" t="s">
        <v>4118</v>
      </c>
      <c r="G1379" s="41" t="s">
        <v>4118</v>
      </c>
      <c r="H1379" s="2043">
        <v>342650</v>
      </c>
      <c r="I1379" s="2043">
        <v>0</v>
      </c>
      <c r="J1379">
        <v>0</v>
      </c>
      <c r="K1379" s="2043">
        <v>0</v>
      </c>
      <c r="L1379" s="2043">
        <v>0</v>
      </c>
      <c r="M1379">
        <v>599</v>
      </c>
      <c r="N1379">
        <v>1</v>
      </c>
    </row>
    <row r="1380" spans="1:14">
      <c r="A1380" t="s">
        <v>3036</v>
      </c>
      <c r="B1380" t="s">
        <v>1761</v>
      </c>
      <c r="C1380" t="s">
        <v>2241</v>
      </c>
      <c r="D1380" s="41">
        <v>9</v>
      </c>
      <c r="E1380" s="41">
        <v>1887</v>
      </c>
      <c r="F1380" s="41" t="s">
        <v>4118</v>
      </c>
      <c r="G1380" s="41" t="s">
        <v>7207</v>
      </c>
      <c r="H1380" s="2043">
        <v>342650</v>
      </c>
      <c r="I1380" s="2043">
        <v>159700</v>
      </c>
      <c r="J1380">
        <v>1</v>
      </c>
      <c r="K1380" s="2043">
        <v>342650</v>
      </c>
      <c r="L1380" s="2043">
        <v>159700</v>
      </c>
      <c r="M1380">
        <v>599</v>
      </c>
      <c r="N1380">
        <v>1</v>
      </c>
    </row>
    <row r="1381" spans="1:14">
      <c r="A1381" t="s">
        <v>3037</v>
      </c>
      <c r="B1381" t="s">
        <v>2388</v>
      </c>
      <c r="C1381" t="s">
        <v>771</v>
      </c>
      <c r="D1381" s="41">
        <v>2</v>
      </c>
      <c r="E1381" s="41">
        <v>2079</v>
      </c>
      <c r="F1381" s="41" t="s">
        <v>4119</v>
      </c>
      <c r="G1381" s="41" t="s">
        <v>4119</v>
      </c>
      <c r="H1381" s="2043">
        <v>1567290</v>
      </c>
      <c r="I1381" s="2043">
        <v>0</v>
      </c>
      <c r="J1381">
        <v>0</v>
      </c>
      <c r="L1381" s="2043">
        <v>0</v>
      </c>
      <c r="M1381">
        <v>599</v>
      </c>
      <c r="N1381">
        <v>0</v>
      </c>
    </row>
    <row r="1382" spans="1:14">
      <c r="A1382" t="s">
        <v>3038</v>
      </c>
      <c r="B1382" t="s">
        <v>2391</v>
      </c>
      <c r="C1382" t="s">
        <v>2111</v>
      </c>
      <c r="D1382" s="41">
        <v>2</v>
      </c>
      <c r="E1382" s="41">
        <v>2092</v>
      </c>
      <c r="F1382" s="41" t="s">
        <v>4120</v>
      </c>
      <c r="G1382" s="41" t="s">
        <v>4120</v>
      </c>
      <c r="H1382" s="2043">
        <v>1136573</v>
      </c>
      <c r="I1382" s="2043">
        <v>0</v>
      </c>
      <c r="J1382">
        <v>0</v>
      </c>
      <c r="K1382" s="2043">
        <v>0</v>
      </c>
      <c r="L1382" s="2043">
        <v>0</v>
      </c>
      <c r="M1382">
        <v>599</v>
      </c>
      <c r="N1382">
        <v>0</v>
      </c>
    </row>
    <row r="1383" spans="1:14">
      <c r="A1383" t="s">
        <v>3038</v>
      </c>
      <c r="B1383" t="s">
        <v>2391</v>
      </c>
      <c r="C1383" t="s">
        <v>2111</v>
      </c>
      <c r="D1383" s="41">
        <v>2</v>
      </c>
      <c r="E1383" s="41">
        <v>2092</v>
      </c>
      <c r="F1383" s="41" t="s">
        <v>4120</v>
      </c>
      <c r="G1383" s="41" t="s">
        <v>4121</v>
      </c>
      <c r="H1383" s="2043">
        <v>1136573</v>
      </c>
      <c r="I1383" s="2043">
        <v>0</v>
      </c>
      <c r="J1383">
        <v>0</v>
      </c>
      <c r="K1383" s="2043">
        <v>0</v>
      </c>
      <c r="L1383" s="2043">
        <v>0</v>
      </c>
      <c r="M1383">
        <v>599</v>
      </c>
      <c r="N1383">
        <v>0</v>
      </c>
    </row>
    <row r="1384" spans="1:14">
      <c r="A1384" t="s">
        <v>3038</v>
      </c>
      <c r="B1384" t="s">
        <v>2391</v>
      </c>
      <c r="C1384" t="s">
        <v>2111</v>
      </c>
      <c r="D1384" s="41">
        <v>2</v>
      </c>
      <c r="E1384" s="41">
        <v>2092</v>
      </c>
      <c r="F1384" s="41" t="s">
        <v>4120</v>
      </c>
      <c r="G1384" s="41" t="s">
        <v>5414</v>
      </c>
      <c r="H1384" s="2043">
        <v>1136573</v>
      </c>
      <c r="I1384" s="2043">
        <v>1007407</v>
      </c>
      <c r="J1384">
        <v>1</v>
      </c>
      <c r="K1384" s="2043">
        <v>1136573</v>
      </c>
      <c r="L1384" s="2043">
        <v>1007407</v>
      </c>
      <c r="M1384">
        <v>599</v>
      </c>
      <c r="N1384">
        <v>1</v>
      </c>
    </row>
    <row r="1385" spans="1:14">
      <c r="A1385" t="s">
        <v>3038</v>
      </c>
      <c r="B1385" t="s">
        <v>2391</v>
      </c>
      <c r="C1385" t="s">
        <v>2111</v>
      </c>
      <c r="D1385" s="41">
        <v>4</v>
      </c>
      <c r="E1385" s="41">
        <v>2093</v>
      </c>
      <c r="F1385" s="41" t="s">
        <v>4122</v>
      </c>
      <c r="G1385" s="41" t="s">
        <v>4122</v>
      </c>
      <c r="H1385" s="2043">
        <v>1178123</v>
      </c>
      <c r="I1385" s="2043">
        <v>0</v>
      </c>
      <c r="J1385">
        <v>0</v>
      </c>
      <c r="K1385" s="2043">
        <v>0</v>
      </c>
      <c r="L1385" s="2043">
        <v>0</v>
      </c>
      <c r="M1385">
        <v>599</v>
      </c>
      <c r="N1385">
        <v>0</v>
      </c>
    </row>
    <row r="1386" spans="1:14">
      <c r="A1386" t="s">
        <v>3038</v>
      </c>
      <c r="B1386" t="s">
        <v>2391</v>
      </c>
      <c r="C1386" t="s">
        <v>2111</v>
      </c>
      <c r="D1386" s="41">
        <v>4</v>
      </c>
      <c r="E1386" s="41">
        <v>2093</v>
      </c>
      <c r="F1386" s="41" t="s">
        <v>4122</v>
      </c>
      <c r="G1386" s="41" t="s">
        <v>4121</v>
      </c>
      <c r="H1386" s="2043">
        <v>1178123</v>
      </c>
      <c r="I1386" s="2043">
        <v>0</v>
      </c>
      <c r="J1386">
        <v>0</v>
      </c>
      <c r="K1386" s="2043">
        <v>0</v>
      </c>
      <c r="L1386" s="2043">
        <v>0</v>
      </c>
      <c r="M1386">
        <v>599</v>
      </c>
      <c r="N1386">
        <v>0</v>
      </c>
    </row>
    <row r="1387" spans="1:14">
      <c r="A1387" t="s">
        <v>3038</v>
      </c>
      <c r="B1387" t="s">
        <v>2391</v>
      </c>
      <c r="C1387" t="s">
        <v>2111</v>
      </c>
      <c r="D1387" s="41">
        <v>4</v>
      </c>
      <c r="E1387" s="41">
        <v>2093</v>
      </c>
      <c r="F1387" s="41" t="s">
        <v>4122</v>
      </c>
      <c r="G1387" s="41" t="s">
        <v>5414</v>
      </c>
      <c r="H1387" s="2043">
        <v>1178123</v>
      </c>
      <c r="I1387" s="2043">
        <v>1073326</v>
      </c>
      <c r="J1387">
        <v>1</v>
      </c>
      <c r="K1387" s="2043">
        <v>1178123</v>
      </c>
      <c r="L1387" s="2043">
        <v>1073326</v>
      </c>
      <c r="M1387">
        <v>599</v>
      </c>
      <c r="N1387">
        <v>1</v>
      </c>
    </row>
    <row r="1388" spans="1:14">
      <c r="A1388" t="s">
        <v>3038</v>
      </c>
      <c r="B1388" t="s">
        <v>2391</v>
      </c>
      <c r="C1388" t="s">
        <v>2111</v>
      </c>
      <c r="D1388" s="41">
        <v>6</v>
      </c>
      <c r="E1388" s="41">
        <v>2091</v>
      </c>
      <c r="F1388" s="41" t="s">
        <v>4123</v>
      </c>
      <c r="G1388" s="41" t="s">
        <v>4123</v>
      </c>
      <c r="H1388" s="2043">
        <v>668147</v>
      </c>
      <c r="I1388" s="2043">
        <v>0</v>
      </c>
      <c r="J1388">
        <v>0</v>
      </c>
      <c r="K1388" s="2043">
        <v>0</v>
      </c>
      <c r="L1388" s="2043">
        <v>0</v>
      </c>
      <c r="M1388">
        <v>599</v>
      </c>
      <c r="N1388">
        <v>0</v>
      </c>
    </row>
    <row r="1389" spans="1:14">
      <c r="A1389" t="s">
        <v>3038</v>
      </c>
      <c r="B1389" t="s">
        <v>2391</v>
      </c>
      <c r="C1389" t="s">
        <v>2111</v>
      </c>
      <c r="D1389" s="41">
        <v>6</v>
      </c>
      <c r="E1389" s="41">
        <v>2091</v>
      </c>
      <c r="F1389" s="41" t="s">
        <v>4123</v>
      </c>
      <c r="G1389" s="41" t="s">
        <v>4124</v>
      </c>
      <c r="H1389" s="2043">
        <v>668147</v>
      </c>
      <c r="I1389" s="2043">
        <v>640678</v>
      </c>
      <c r="J1389">
        <v>1</v>
      </c>
      <c r="K1389" s="2043">
        <v>668147</v>
      </c>
      <c r="L1389" s="2043">
        <v>640678</v>
      </c>
      <c r="M1389">
        <v>599</v>
      </c>
      <c r="N1389">
        <v>1</v>
      </c>
    </row>
    <row r="1390" spans="1:14">
      <c r="A1390" t="s">
        <v>3038</v>
      </c>
      <c r="B1390" t="s">
        <v>2391</v>
      </c>
      <c r="C1390" t="s">
        <v>2111</v>
      </c>
      <c r="D1390" s="41">
        <v>7</v>
      </c>
      <c r="E1390" s="41">
        <v>2094</v>
      </c>
      <c r="F1390" s="41" t="s">
        <v>4125</v>
      </c>
      <c r="G1390" s="41" t="s">
        <v>4125</v>
      </c>
      <c r="H1390" s="2043">
        <v>1254960</v>
      </c>
      <c r="I1390" s="2043">
        <v>0</v>
      </c>
      <c r="J1390">
        <v>0</v>
      </c>
      <c r="K1390" s="2043">
        <v>0</v>
      </c>
      <c r="L1390" s="2043">
        <v>0</v>
      </c>
      <c r="M1390">
        <v>599</v>
      </c>
      <c r="N1390">
        <v>1</v>
      </c>
    </row>
    <row r="1391" spans="1:14">
      <c r="A1391" t="s">
        <v>3038</v>
      </c>
      <c r="B1391" t="s">
        <v>2391</v>
      </c>
      <c r="C1391" t="s">
        <v>2111</v>
      </c>
      <c r="D1391" s="41">
        <v>7</v>
      </c>
      <c r="E1391" s="41">
        <v>2094</v>
      </c>
      <c r="F1391" s="41" t="s">
        <v>4125</v>
      </c>
      <c r="G1391" s="41" t="s">
        <v>4126</v>
      </c>
      <c r="H1391" s="2043">
        <v>1254960</v>
      </c>
      <c r="I1391" s="2043">
        <v>566444</v>
      </c>
      <c r="J1391">
        <v>1</v>
      </c>
      <c r="K1391" s="2043">
        <v>1254960</v>
      </c>
      <c r="L1391" s="2043">
        <v>566444</v>
      </c>
      <c r="M1391">
        <v>599</v>
      </c>
      <c r="N1391">
        <v>1</v>
      </c>
    </row>
    <row r="1392" spans="1:14">
      <c r="A1392" t="s">
        <v>3038</v>
      </c>
      <c r="B1392" t="s">
        <v>2391</v>
      </c>
      <c r="C1392" t="s">
        <v>2111</v>
      </c>
      <c r="D1392" s="41">
        <v>8</v>
      </c>
      <c r="E1392" s="41">
        <v>2090</v>
      </c>
      <c r="F1392" s="41" t="s">
        <v>4127</v>
      </c>
      <c r="G1392" s="41" t="s">
        <v>4127</v>
      </c>
      <c r="H1392" s="2043">
        <v>547625</v>
      </c>
      <c r="I1392" s="2043">
        <v>0</v>
      </c>
      <c r="J1392">
        <v>0</v>
      </c>
      <c r="K1392" s="2043">
        <v>0</v>
      </c>
      <c r="L1392" s="2043">
        <v>0</v>
      </c>
      <c r="M1392">
        <v>599</v>
      </c>
      <c r="N1392">
        <v>1</v>
      </c>
    </row>
    <row r="1393" spans="1:14">
      <c r="A1393" t="s">
        <v>3038</v>
      </c>
      <c r="B1393" t="s">
        <v>2391</v>
      </c>
      <c r="C1393" t="s">
        <v>2111</v>
      </c>
      <c r="D1393" s="41">
        <v>8</v>
      </c>
      <c r="E1393" s="41">
        <v>2090</v>
      </c>
      <c r="F1393" s="41" t="s">
        <v>4127</v>
      </c>
      <c r="G1393" s="41" t="s">
        <v>5414</v>
      </c>
      <c r="H1393" s="2043">
        <v>547625</v>
      </c>
      <c r="I1393" s="2043">
        <v>361639</v>
      </c>
      <c r="J1393">
        <v>0.73541379850289501</v>
      </c>
      <c r="K1393" s="2043">
        <v>402730.98140514799</v>
      </c>
      <c r="L1393" s="2043">
        <v>361639</v>
      </c>
      <c r="M1393">
        <v>599</v>
      </c>
      <c r="N1393">
        <v>1</v>
      </c>
    </row>
    <row r="1394" spans="1:14">
      <c r="A1394" t="s">
        <v>3038</v>
      </c>
      <c r="B1394" t="s">
        <v>2391</v>
      </c>
      <c r="C1394" t="s">
        <v>2111</v>
      </c>
      <c r="D1394" s="41">
        <v>8</v>
      </c>
      <c r="E1394" s="41">
        <v>2090</v>
      </c>
      <c r="F1394" s="41" t="s">
        <v>4127</v>
      </c>
      <c r="G1394" s="41" t="s">
        <v>7208</v>
      </c>
      <c r="H1394" s="2043">
        <v>547625</v>
      </c>
      <c r="I1394" s="2043">
        <v>130110</v>
      </c>
      <c r="J1394">
        <v>0.26458620149710499</v>
      </c>
      <c r="K1394" s="2043">
        <v>144894.01859485201</v>
      </c>
      <c r="L1394" s="2043">
        <v>130110</v>
      </c>
      <c r="M1394">
        <v>599</v>
      </c>
      <c r="N1394">
        <v>1</v>
      </c>
    </row>
    <row r="1395" spans="1:14">
      <c r="A1395" t="s">
        <v>3038</v>
      </c>
      <c r="B1395" t="s">
        <v>2391</v>
      </c>
      <c r="C1395" t="s">
        <v>2111</v>
      </c>
      <c r="D1395" s="41">
        <v>11</v>
      </c>
      <c r="E1395" s="41">
        <v>2554</v>
      </c>
      <c r="F1395" s="41" t="s">
        <v>5414</v>
      </c>
      <c r="G1395" s="41" t="s">
        <v>5414</v>
      </c>
      <c r="H1395" s="2043">
        <v>1317586</v>
      </c>
      <c r="I1395" s="2043">
        <v>52764</v>
      </c>
      <c r="J1395">
        <v>1</v>
      </c>
      <c r="K1395" s="2043">
        <v>1317586</v>
      </c>
      <c r="L1395" s="2043">
        <v>52764</v>
      </c>
      <c r="M1395">
        <v>599</v>
      </c>
      <c r="N1395">
        <v>1</v>
      </c>
    </row>
    <row r="1396" spans="1:14">
      <c r="A1396" t="s">
        <v>3039</v>
      </c>
      <c r="B1396" t="s">
        <v>2397</v>
      </c>
      <c r="C1396" t="s">
        <v>36</v>
      </c>
      <c r="D1396" s="41">
        <v>2</v>
      </c>
      <c r="E1396" s="41">
        <v>2112</v>
      </c>
      <c r="F1396" s="41" t="s">
        <v>4128</v>
      </c>
      <c r="G1396" s="41" t="s">
        <v>4128</v>
      </c>
      <c r="H1396" s="2043">
        <v>2844700</v>
      </c>
      <c r="I1396" s="2043">
        <v>0</v>
      </c>
      <c r="J1396">
        <v>0</v>
      </c>
      <c r="L1396" s="2043">
        <v>0</v>
      </c>
      <c r="M1396">
        <v>599</v>
      </c>
      <c r="N1396">
        <v>0</v>
      </c>
    </row>
    <row r="1397" spans="1:14">
      <c r="A1397" t="s">
        <v>3039</v>
      </c>
      <c r="B1397" t="s">
        <v>2397</v>
      </c>
      <c r="C1397" t="s">
        <v>36</v>
      </c>
      <c r="D1397" s="41">
        <v>4</v>
      </c>
      <c r="E1397" s="41">
        <v>2111</v>
      </c>
      <c r="F1397" s="41" t="s">
        <v>4130</v>
      </c>
      <c r="G1397" s="41" t="s">
        <v>4130</v>
      </c>
      <c r="H1397" s="2043">
        <v>2592893</v>
      </c>
      <c r="I1397" s="2043">
        <v>0</v>
      </c>
      <c r="J1397">
        <v>0</v>
      </c>
      <c r="K1397" s="2043">
        <v>0</v>
      </c>
      <c r="L1397" s="2043">
        <v>0</v>
      </c>
      <c r="M1397">
        <v>599</v>
      </c>
      <c r="N1397">
        <v>0</v>
      </c>
    </row>
    <row r="1398" spans="1:14">
      <c r="A1398" t="s">
        <v>3039</v>
      </c>
      <c r="B1398" t="s">
        <v>2397</v>
      </c>
      <c r="C1398" t="s">
        <v>36</v>
      </c>
      <c r="D1398" s="41">
        <v>4</v>
      </c>
      <c r="E1398" s="41">
        <v>2111</v>
      </c>
      <c r="F1398" s="41" t="s">
        <v>4130</v>
      </c>
      <c r="G1398" s="41" t="s">
        <v>4129</v>
      </c>
      <c r="H1398" s="2043">
        <v>2592893</v>
      </c>
      <c r="I1398" s="2043">
        <v>0</v>
      </c>
      <c r="J1398">
        <v>0</v>
      </c>
      <c r="K1398" s="2043">
        <v>0</v>
      </c>
      <c r="L1398" s="2043">
        <v>0</v>
      </c>
      <c r="M1398">
        <v>599</v>
      </c>
      <c r="N1398">
        <v>0</v>
      </c>
    </row>
    <row r="1399" spans="1:14">
      <c r="A1399" t="s">
        <v>3039</v>
      </c>
      <c r="B1399" t="s">
        <v>2397</v>
      </c>
      <c r="C1399" t="s">
        <v>36</v>
      </c>
      <c r="D1399" s="41">
        <v>4</v>
      </c>
      <c r="E1399" s="41">
        <v>2111</v>
      </c>
      <c r="F1399" s="41" t="s">
        <v>4130</v>
      </c>
      <c r="G1399" s="41" t="s">
        <v>5415</v>
      </c>
      <c r="H1399" s="2043">
        <v>2592893</v>
      </c>
      <c r="I1399" s="2043">
        <v>1299115</v>
      </c>
      <c r="J1399">
        <v>0.75349890668228803</v>
      </c>
      <c r="K1399" s="2043">
        <v>1953742.04064416</v>
      </c>
      <c r="L1399" s="2043">
        <v>1299115</v>
      </c>
      <c r="M1399">
        <v>599</v>
      </c>
      <c r="N1399">
        <v>1</v>
      </c>
    </row>
    <row r="1400" spans="1:14">
      <c r="A1400" t="s">
        <v>3039</v>
      </c>
      <c r="B1400" t="s">
        <v>2397</v>
      </c>
      <c r="C1400" t="s">
        <v>36</v>
      </c>
      <c r="D1400" s="41">
        <v>4</v>
      </c>
      <c r="E1400" s="41">
        <v>2111</v>
      </c>
      <c r="F1400" s="41" t="s">
        <v>4130</v>
      </c>
      <c r="G1400" s="41" t="s">
        <v>9359</v>
      </c>
      <c r="H1400" s="2043">
        <v>2592893</v>
      </c>
      <c r="I1400" s="2043">
        <v>424995</v>
      </c>
      <c r="J1400">
        <v>0.246501093317712</v>
      </c>
      <c r="K1400" s="2043">
        <v>639150.95935584197</v>
      </c>
      <c r="L1400" s="2043">
        <v>424995</v>
      </c>
      <c r="M1400">
        <v>599</v>
      </c>
      <c r="N1400">
        <v>1</v>
      </c>
    </row>
    <row r="1401" spans="1:14">
      <c r="A1401" t="s">
        <v>3039</v>
      </c>
      <c r="B1401" t="s">
        <v>2397</v>
      </c>
      <c r="C1401" t="s">
        <v>36</v>
      </c>
      <c r="D1401" s="41">
        <v>8</v>
      </c>
      <c r="E1401" s="41">
        <v>2113</v>
      </c>
      <c r="F1401" s="41" t="s">
        <v>4131</v>
      </c>
      <c r="G1401" s="41" t="s">
        <v>4131</v>
      </c>
      <c r="H1401" s="2043">
        <v>3559524</v>
      </c>
      <c r="I1401" s="2043">
        <v>0</v>
      </c>
      <c r="J1401">
        <v>0</v>
      </c>
      <c r="K1401" s="2043">
        <v>0</v>
      </c>
      <c r="L1401" s="2043">
        <v>0</v>
      </c>
      <c r="M1401">
        <v>599</v>
      </c>
      <c r="N1401">
        <v>1</v>
      </c>
    </row>
    <row r="1402" spans="1:14">
      <c r="A1402" t="s">
        <v>3039</v>
      </c>
      <c r="B1402" t="s">
        <v>2397</v>
      </c>
      <c r="C1402" t="s">
        <v>36</v>
      </c>
      <c r="D1402" s="41">
        <v>8</v>
      </c>
      <c r="E1402" s="41">
        <v>2113</v>
      </c>
      <c r="F1402" s="41" t="s">
        <v>4131</v>
      </c>
      <c r="G1402" s="41" t="s">
        <v>5416</v>
      </c>
      <c r="H1402" s="2043">
        <v>3559524</v>
      </c>
      <c r="I1402" s="2043">
        <v>1982750</v>
      </c>
      <c r="J1402">
        <v>0.56792516764211498</v>
      </c>
      <c r="K1402" s="2043">
        <v>2021543.2644261301</v>
      </c>
      <c r="L1402" s="2043">
        <v>1982750</v>
      </c>
      <c r="M1402">
        <v>599</v>
      </c>
      <c r="N1402">
        <v>1</v>
      </c>
    </row>
    <row r="1403" spans="1:14">
      <c r="A1403" t="s">
        <v>3039</v>
      </c>
      <c r="B1403" t="s">
        <v>2397</v>
      </c>
      <c r="C1403" t="s">
        <v>36</v>
      </c>
      <c r="D1403" s="41">
        <v>8</v>
      </c>
      <c r="E1403" s="41">
        <v>2113</v>
      </c>
      <c r="F1403" s="41" t="s">
        <v>4131</v>
      </c>
      <c r="G1403" s="41" t="s">
        <v>9359</v>
      </c>
      <c r="H1403" s="2043">
        <v>3559524</v>
      </c>
      <c r="I1403" s="2043">
        <v>1508467</v>
      </c>
      <c r="J1403">
        <v>0.43207483235788602</v>
      </c>
      <c r="K1403" s="2043">
        <v>1537980.7355738699</v>
      </c>
      <c r="L1403" s="2043">
        <v>1508467</v>
      </c>
      <c r="M1403">
        <v>599</v>
      </c>
      <c r="N1403">
        <v>1</v>
      </c>
    </row>
    <row r="1404" spans="1:14">
      <c r="A1404" t="s">
        <v>3039</v>
      </c>
      <c r="B1404" t="s">
        <v>2397</v>
      </c>
      <c r="C1404" t="s">
        <v>36</v>
      </c>
      <c r="D1404" s="41">
        <v>9</v>
      </c>
      <c r="E1404" s="41">
        <v>2114</v>
      </c>
      <c r="F1404" s="41" t="s">
        <v>4132</v>
      </c>
      <c r="G1404" s="41" t="s">
        <v>4132</v>
      </c>
      <c r="H1404" s="2043">
        <v>3776225</v>
      </c>
      <c r="I1404" s="2043">
        <v>0</v>
      </c>
      <c r="J1404">
        <v>0</v>
      </c>
      <c r="K1404" s="2043">
        <v>0</v>
      </c>
      <c r="L1404" s="2043">
        <v>0</v>
      </c>
      <c r="M1404">
        <v>599</v>
      </c>
      <c r="N1404">
        <v>1</v>
      </c>
    </row>
    <row r="1405" spans="1:14">
      <c r="A1405" t="s">
        <v>3039</v>
      </c>
      <c r="B1405" t="s">
        <v>2397</v>
      </c>
      <c r="C1405" t="s">
        <v>36</v>
      </c>
      <c r="D1405" s="41">
        <v>9</v>
      </c>
      <c r="E1405" s="41">
        <v>2114</v>
      </c>
      <c r="F1405" s="41" t="s">
        <v>4132</v>
      </c>
      <c r="G1405" s="41" t="s">
        <v>7209</v>
      </c>
      <c r="H1405" s="2043">
        <v>3776225</v>
      </c>
      <c r="I1405" s="2043">
        <v>3059894</v>
      </c>
      <c r="J1405">
        <v>1</v>
      </c>
      <c r="K1405" s="2043">
        <v>3776225</v>
      </c>
      <c r="L1405" s="2043">
        <v>3059894</v>
      </c>
      <c r="M1405">
        <v>599</v>
      </c>
      <c r="N1405">
        <v>1</v>
      </c>
    </row>
    <row r="1406" spans="1:14">
      <c r="A1406" t="s">
        <v>3040</v>
      </c>
      <c r="B1406" t="s">
        <v>197</v>
      </c>
      <c r="C1406" t="s">
        <v>945</v>
      </c>
      <c r="D1406" s="41">
        <v>1</v>
      </c>
      <c r="E1406" s="41">
        <v>2192</v>
      </c>
      <c r="F1406" s="41" t="s">
        <v>4133</v>
      </c>
      <c r="G1406" s="41" t="s">
        <v>4133</v>
      </c>
      <c r="H1406" s="2043">
        <v>3945431</v>
      </c>
      <c r="I1406" s="2043">
        <v>0</v>
      </c>
      <c r="J1406">
        <v>0</v>
      </c>
      <c r="L1406" s="2043">
        <v>0</v>
      </c>
      <c r="M1406">
        <v>599</v>
      </c>
      <c r="N1406">
        <v>0</v>
      </c>
    </row>
    <row r="1407" spans="1:14">
      <c r="A1407" t="s">
        <v>3040</v>
      </c>
      <c r="B1407" t="s">
        <v>197</v>
      </c>
      <c r="C1407" t="s">
        <v>945</v>
      </c>
      <c r="D1407" s="41">
        <v>4</v>
      </c>
      <c r="E1407" s="41">
        <v>2193</v>
      </c>
      <c r="F1407" s="41" t="s">
        <v>4136</v>
      </c>
      <c r="G1407" s="41" t="s">
        <v>4136</v>
      </c>
      <c r="H1407" s="2043">
        <v>4254043</v>
      </c>
      <c r="I1407" s="2043">
        <v>0</v>
      </c>
      <c r="J1407">
        <v>0</v>
      </c>
      <c r="K1407" s="2043">
        <v>0</v>
      </c>
      <c r="L1407" s="2043">
        <v>0</v>
      </c>
      <c r="M1407">
        <v>599</v>
      </c>
      <c r="N1407">
        <v>0</v>
      </c>
    </row>
    <row r="1408" spans="1:14">
      <c r="A1408" t="s">
        <v>3040</v>
      </c>
      <c r="B1408" t="s">
        <v>197</v>
      </c>
      <c r="C1408" t="s">
        <v>945</v>
      </c>
      <c r="D1408" s="41">
        <v>4</v>
      </c>
      <c r="E1408" s="41">
        <v>2193</v>
      </c>
      <c r="F1408" s="41" t="s">
        <v>4136</v>
      </c>
      <c r="G1408" s="41" t="s">
        <v>4134</v>
      </c>
      <c r="H1408" s="2043">
        <v>4254043</v>
      </c>
      <c r="I1408" s="2043">
        <v>0</v>
      </c>
      <c r="J1408">
        <v>0</v>
      </c>
      <c r="K1408" s="2043">
        <v>0</v>
      </c>
      <c r="L1408" s="2043">
        <v>0</v>
      </c>
      <c r="M1408">
        <v>599</v>
      </c>
      <c r="N1408">
        <v>1</v>
      </c>
    </row>
    <row r="1409" spans="1:14">
      <c r="A1409" t="s">
        <v>3040</v>
      </c>
      <c r="B1409" t="s">
        <v>197</v>
      </c>
      <c r="C1409" t="s">
        <v>945</v>
      </c>
      <c r="D1409" s="41">
        <v>4</v>
      </c>
      <c r="E1409" s="41">
        <v>2193</v>
      </c>
      <c r="F1409" s="41" t="s">
        <v>4136</v>
      </c>
      <c r="G1409" s="41" t="s">
        <v>4135</v>
      </c>
      <c r="H1409" s="2043">
        <v>4254043</v>
      </c>
      <c r="I1409" s="2043">
        <v>1728811</v>
      </c>
      <c r="J1409">
        <v>0.47804539079574898</v>
      </c>
      <c r="K1409" s="2043">
        <v>2033625.6483969199</v>
      </c>
      <c r="L1409" s="2043">
        <v>1728811</v>
      </c>
      <c r="M1409">
        <v>599</v>
      </c>
      <c r="N1409">
        <v>1</v>
      </c>
    </row>
    <row r="1410" spans="1:14">
      <c r="A1410" t="s">
        <v>3040</v>
      </c>
      <c r="B1410" t="s">
        <v>197</v>
      </c>
      <c r="C1410" t="s">
        <v>945</v>
      </c>
      <c r="D1410" s="41">
        <v>4</v>
      </c>
      <c r="E1410" s="41">
        <v>2193</v>
      </c>
      <c r="F1410" s="41" t="s">
        <v>4136</v>
      </c>
      <c r="G1410" s="41" t="s">
        <v>5417</v>
      </c>
      <c r="H1410" s="2043">
        <v>4254043</v>
      </c>
      <c r="I1410" s="2043">
        <v>0</v>
      </c>
      <c r="J1410">
        <v>0</v>
      </c>
      <c r="K1410" s="2043">
        <v>0</v>
      </c>
      <c r="L1410" s="2043">
        <v>0</v>
      </c>
      <c r="M1410">
        <v>599</v>
      </c>
      <c r="N1410">
        <v>1</v>
      </c>
    </row>
    <row r="1411" spans="1:14">
      <c r="A1411" t="s">
        <v>3040</v>
      </c>
      <c r="B1411" t="s">
        <v>197</v>
      </c>
      <c r="C1411" t="s">
        <v>945</v>
      </c>
      <c r="D1411" s="41">
        <v>4</v>
      </c>
      <c r="E1411" s="41">
        <v>2193</v>
      </c>
      <c r="F1411" s="41" t="s">
        <v>4136</v>
      </c>
      <c r="G1411" s="41" t="s">
        <v>5600</v>
      </c>
      <c r="H1411" s="2043">
        <v>4254043</v>
      </c>
      <c r="I1411" s="2043">
        <v>1887605</v>
      </c>
      <c r="J1411">
        <v>0.52195460920425096</v>
      </c>
      <c r="K1411" s="2043">
        <v>2220417.3516030801</v>
      </c>
      <c r="L1411" s="2043">
        <v>1887605</v>
      </c>
      <c r="M1411">
        <v>599</v>
      </c>
      <c r="N1411">
        <v>1</v>
      </c>
    </row>
    <row r="1412" spans="1:14">
      <c r="A1412" t="s">
        <v>3040</v>
      </c>
      <c r="B1412" t="s">
        <v>197</v>
      </c>
      <c r="C1412" t="s">
        <v>945</v>
      </c>
      <c r="D1412" s="41">
        <v>8</v>
      </c>
      <c r="E1412" s="41">
        <v>2191</v>
      </c>
      <c r="F1412" s="41" t="s">
        <v>4137</v>
      </c>
      <c r="G1412" s="41" t="s">
        <v>4137</v>
      </c>
      <c r="H1412" s="2043">
        <v>1734000</v>
      </c>
      <c r="I1412" s="2043">
        <v>0</v>
      </c>
      <c r="J1412">
        <v>0</v>
      </c>
      <c r="K1412" s="2043">
        <v>0</v>
      </c>
      <c r="L1412" s="2043">
        <v>0</v>
      </c>
      <c r="M1412">
        <v>599</v>
      </c>
      <c r="N1412">
        <v>0</v>
      </c>
    </row>
    <row r="1413" spans="1:14">
      <c r="A1413" t="s">
        <v>3040</v>
      </c>
      <c r="B1413" t="s">
        <v>197</v>
      </c>
      <c r="C1413" t="s">
        <v>945</v>
      </c>
      <c r="D1413" s="41">
        <v>8</v>
      </c>
      <c r="E1413" s="41">
        <v>2191</v>
      </c>
      <c r="F1413" s="41" t="s">
        <v>4137</v>
      </c>
      <c r="G1413" s="41" t="s">
        <v>4134</v>
      </c>
      <c r="H1413" s="2043">
        <v>1734000</v>
      </c>
      <c r="I1413" s="2043">
        <v>0</v>
      </c>
      <c r="J1413">
        <v>0</v>
      </c>
      <c r="K1413" s="2043">
        <v>0</v>
      </c>
      <c r="L1413" s="2043">
        <v>0</v>
      </c>
      <c r="M1413">
        <v>599</v>
      </c>
      <c r="N1413">
        <v>1</v>
      </c>
    </row>
    <row r="1414" spans="1:14">
      <c r="A1414" t="s">
        <v>3040</v>
      </c>
      <c r="B1414" t="s">
        <v>197</v>
      </c>
      <c r="C1414" t="s">
        <v>945</v>
      </c>
      <c r="D1414" s="41">
        <v>8</v>
      </c>
      <c r="E1414" s="41">
        <v>2191</v>
      </c>
      <c r="F1414" s="41" t="s">
        <v>4137</v>
      </c>
      <c r="G1414" s="41" t="s">
        <v>4135</v>
      </c>
      <c r="H1414" s="2043">
        <v>1734000</v>
      </c>
      <c r="I1414" s="2043">
        <v>866652</v>
      </c>
      <c r="J1414">
        <v>0.479319060445</v>
      </c>
      <c r="K1414" s="2043">
        <v>831139.25081163005</v>
      </c>
      <c r="L1414" s="2043">
        <v>831139.25081163005</v>
      </c>
      <c r="M1414">
        <v>599</v>
      </c>
      <c r="N1414">
        <v>1</v>
      </c>
    </row>
    <row r="1415" spans="1:14">
      <c r="A1415" t="s">
        <v>3040</v>
      </c>
      <c r="B1415" t="s">
        <v>197</v>
      </c>
      <c r="C1415" t="s">
        <v>945</v>
      </c>
      <c r="D1415" s="41">
        <v>8</v>
      </c>
      <c r="E1415" s="41">
        <v>2191</v>
      </c>
      <c r="F1415" s="41" t="s">
        <v>4137</v>
      </c>
      <c r="G1415" s="41" t="s">
        <v>5417</v>
      </c>
      <c r="H1415" s="2043">
        <v>1734000</v>
      </c>
      <c r="I1415" s="2043">
        <v>504949</v>
      </c>
      <c r="J1415">
        <v>0.27927204951081003</v>
      </c>
      <c r="K1415" s="2043">
        <v>484257.73385174398</v>
      </c>
      <c r="L1415" s="2043">
        <v>484257.73385174398</v>
      </c>
      <c r="M1415">
        <v>599</v>
      </c>
      <c r="N1415">
        <v>1</v>
      </c>
    </row>
    <row r="1416" spans="1:14">
      <c r="A1416" t="s">
        <v>3040</v>
      </c>
      <c r="B1416" t="s">
        <v>197</v>
      </c>
      <c r="C1416" t="s">
        <v>945</v>
      </c>
      <c r="D1416" s="41">
        <v>8</v>
      </c>
      <c r="E1416" s="41">
        <v>2191</v>
      </c>
      <c r="F1416" s="41" t="s">
        <v>4137</v>
      </c>
      <c r="G1416" s="41" t="s">
        <v>5600</v>
      </c>
      <c r="H1416" s="2043">
        <v>1734000</v>
      </c>
      <c r="I1416" s="2043">
        <v>436489</v>
      </c>
      <c r="J1416">
        <v>0.24140889004419</v>
      </c>
      <c r="K1416" s="2043">
        <v>418603.01533662598</v>
      </c>
      <c r="L1416" s="2043">
        <v>418603.01533662598</v>
      </c>
      <c r="M1416">
        <v>599</v>
      </c>
      <c r="N1416">
        <v>1</v>
      </c>
    </row>
    <row r="1417" spans="1:14">
      <c r="A1417" t="s">
        <v>3040</v>
      </c>
      <c r="B1417" t="s">
        <v>197</v>
      </c>
      <c r="C1417" t="s">
        <v>945</v>
      </c>
      <c r="D1417" s="41">
        <v>8</v>
      </c>
      <c r="E1417" s="41">
        <v>2194</v>
      </c>
      <c r="F1417" s="41" t="s">
        <v>4134</v>
      </c>
      <c r="G1417" s="41" t="s">
        <v>4134</v>
      </c>
      <c r="H1417" s="2043">
        <v>4319089</v>
      </c>
      <c r="I1417" s="2043">
        <v>0</v>
      </c>
      <c r="J1417">
        <v>0</v>
      </c>
      <c r="K1417" s="2043">
        <v>0</v>
      </c>
      <c r="L1417" s="2043">
        <v>0</v>
      </c>
      <c r="M1417">
        <v>599</v>
      </c>
      <c r="N1417">
        <v>1</v>
      </c>
    </row>
    <row r="1418" spans="1:14">
      <c r="A1418" t="s">
        <v>3040</v>
      </c>
      <c r="B1418" t="s">
        <v>197</v>
      </c>
      <c r="C1418" t="s">
        <v>945</v>
      </c>
      <c r="D1418" s="41">
        <v>8</v>
      </c>
      <c r="E1418" s="41">
        <v>2194</v>
      </c>
      <c r="F1418" s="41" t="s">
        <v>4134</v>
      </c>
      <c r="G1418" s="41" t="s">
        <v>4135</v>
      </c>
      <c r="H1418" s="2043">
        <v>4319089</v>
      </c>
      <c r="I1418" s="2043">
        <v>1911126</v>
      </c>
      <c r="J1418">
        <v>0.47847001835641501</v>
      </c>
      <c r="K1418" s="2043">
        <v>2066554.59311299</v>
      </c>
      <c r="L1418" s="2043">
        <v>1911126</v>
      </c>
      <c r="M1418">
        <v>599</v>
      </c>
      <c r="N1418">
        <v>1</v>
      </c>
    </row>
    <row r="1419" spans="1:14">
      <c r="A1419" t="s">
        <v>3040</v>
      </c>
      <c r="B1419" t="s">
        <v>197</v>
      </c>
      <c r="C1419" t="s">
        <v>945</v>
      </c>
      <c r="D1419" s="41">
        <v>8</v>
      </c>
      <c r="E1419" s="41">
        <v>2194</v>
      </c>
      <c r="F1419" s="41" t="s">
        <v>4134</v>
      </c>
      <c r="G1419" s="41" t="s">
        <v>5417</v>
      </c>
      <c r="H1419" s="2043">
        <v>4319089</v>
      </c>
      <c r="I1419" s="2043">
        <v>371811</v>
      </c>
      <c r="J1419">
        <v>9.3086701763838195E-2</v>
      </c>
      <c r="K1419" s="2043">
        <v>402049.74963447399</v>
      </c>
      <c r="L1419" s="2043">
        <v>371811</v>
      </c>
      <c r="M1419">
        <v>599</v>
      </c>
      <c r="N1419">
        <v>1</v>
      </c>
    </row>
    <row r="1420" spans="1:14">
      <c r="A1420" t="s">
        <v>3040</v>
      </c>
      <c r="B1420" t="s">
        <v>197</v>
      </c>
      <c r="C1420" t="s">
        <v>945</v>
      </c>
      <c r="D1420" s="41">
        <v>8</v>
      </c>
      <c r="E1420" s="41">
        <v>2194</v>
      </c>
      <c r="F1420" s="41" t="s">
        <v>4134</v>
      </c>
      <c r="G1420" s="41" t="s">
        <v>5600</v>
      </c>
      <c r="H1420" s="2043">
        <v>4319089</v>
      </c>
      <c r="I1420" s="2043">
        <v>1711307</v>
      </c>
      <c r="J1420">
        <v>0.42844327987974701</v>
      </c>
      <c r="K1420" s="2043">
        <v>1850484.6572525401</v>
      </c>
      <c r="L1420" s="2043">
        <v>1711307</v>
      </c>
      <c r="M1420">
        <v>599</v>
      </c>
      <c r="N1420">
        <v>1</v>
      </c>
    </row>
    <row r="1421" spans="1:14">
      <c r="A1421" t="s">
        <v>3040</v>
      </c>
      <c r="B1421" t="s">
        <v>197</v>
      </c>
      <c r="C1421" t="s">
        <v>945</v>
      </c>
      <c r="D1421" s="41">
        <v>9</v>
      </c>
      <c r="E1421" s="41">
        <v>2196</v>
      </c>
      <c r="F1421" s="41" t="s">
        <v>4138</v>
      </c>
      <c r="G1421" s="41" t="s">
        <v>4138</v>
      </c>
      <c r="H1421" s="2043">
        <v>6721621</v>
      </c>
      <c r="I1421" s="2043">
        <v>0</v>
      </c>
      <c r="J1421">
        <v>0</v>
      </c>
      <c r="K1421" s="2043">
        <v>0</v>
      </c>
      <c r="L1421" s="2043">
        <v>0</v>
      </c>
      <c r="M1421">
        <v>599</v>
      </c>
      <c r="N1421">
        <v>1</v>
      </c>
    </row>
    <row r="1422" spans="1:14">
      <c r="A1422" t="s">
        <v>3040</v>
      </c>
      <c r="B1422" t="s">
        <v>197</v>
      </c>
      <c r="C1422" t="s">
        <v>945</v>
      </c>
      <c r="D1422" s="41">
        <v>9</v>
      </c>
      <c r="E1422" s="41">
        <v>2196</v>
      </c>
      <c r="F1422" s="41" t="s">
        <v>4138</v>
      </c>
      <c r="G1422" s="41" t="s">
        <v>5417</v>
      </c>
      <c r="H1422" s="2043">
        <v>6721621</v>
      </c>
      <c r="I1422" s="2043">
        <v>4712203</v>
      </c>
      <c r="J1422">
        <v>0.77702989490430796</v>
      </c>
      <c r="K1422" s="2043">
        <v>5222900.45921659</v>
      </c>
      <c r="L1422" s="2043">
        <v>4712203</v>
      </c>
      <c r="M1422">
        <v>599</v>
      </c>
      <c r="N1422">
        <v>1</v>
      </c>
    </row>
    <row r="1423" spans="1:14">
      <c r="A1423" t="s">
        <v>3040</v>
      </c>
      <c r="B1423" t="s">
        <v>197</v>
      </c>
      <c r="C1423" t="s">
        <v>945</v>
      </c>
      <c r="D1423" s="41">
        <v>9</v>
      </c>
      <c r="E1423" s="41">
        <v>2196</v>
      </c>
      <c r="F1423" s="41" t="s">
        <v>4138</v>
      </c>
      <c r="G1423" s="41" t="s">
        <v>5600</v>
      </c>
      <c r="H1423" s="2043">
        <v>6721621</v>
      </c>
      <c r="I1423" s="2043">
        <v>1352175</v>
      </c>
      <c r="J1423">
        <v>0.22297010509569201</v>
      </c>
      <c r="K1423" s="2043">
        <v>1498720.54078341</v>
      </c>
      <c r="L1423" s="2043">
        <v>1352175</v>
      </c>
      <c r="M1423">
        <v>599</v>
      </c>
      <c r="N1423">
        <v>1</v>
      </c>
    </row>
    <row r="1424" spans="1:14">
      <c r="A1424" t="s">
        <v>3040</v>
      </c>
      <c r="B1424" t="s">
        <v>197</v>
      </c>
      <c r="C1424" t="s">
        <v>945</v>
      </c>
      <c r="D1424" s="41">
        <v>10</v>
      </c>
      <c r="E1424" s="41">
        <v>2195</v>
      </c>
      <c r="F1424" s="41" t="s">
        <v>4139</v>
      </c>
      <c r="G1424" s="41" t="s">
        <v>4139</v>
      </c>
      <c r="H1424" s="2043">
        <v>5985990</v>
      </c>
      <c r="I1424" s="2043">
        <v>1661400</v>
      </c>
      <c r="J1424">
        <v>0.23427638013521301</v>
      </c>
      <c r="K1424" s="2043">
        <v>1402376.0687255799</v>
      </c>
      <c r="L1424" s="2043">
        <v>1402376.0687255799</v>
      </c>
      <c r="M1424">
        <v>599</v>
      </c>
      <c r="N1424">
        <v>1</v>
      </c>
    </row>
    <row r="1425" spans="1:14">
      <c r="A1425" t="s">
        <v>3040</v>
      </c>
      <c r="B1425" t="s">
        <v>197</v>
      </c>
      <c r="C1425" t="s">
        <v>945</v>
      </c>
      <c r="D1425" s="41">
        <v>10</v>
      </c>
      <c r="E1425" s="41">
        <v>2195</v>
      </c>
      <c r="F1425" s="41" t="s">
        <v>4139</v>
      </c>
      <c r="G1425" s="41" t="s">
        <v>5600</v>
      </c>
      <c r="H1425" s="2043">
        <v>5985990</v>
      </c>
      <c r="I1425" s="2043">
        <v>3753174</v>
      </c>
      <c r="J1425">
        <v>0.52924041094113305</v>
      </c>
      <c r="K1425" s="2043">
        <v>3168027.8074895102</v>
      </c>
      <c r="L1425" s="2043">
        <v>3168027.8074895102</v>
      </c>
      <c r="M1425">
        <v>599</v>
      </c>
      <c r="N1425">
        <v>1</v>
      </c>
    </row>
    <row r="1426" spans="1:14">
      <c r="A1426" t="s">
        <v>3040</v>
      </c>
      <c r="B1426" t="s">
        <v>197</v>
      </c>
      <c r="C1426" t="s">
        <v>945</v>
      </c>
      <c r="D1426" s="41">
        <v>10</v>
      </c>
      <c r="E1426" s="41">
        <v>2195</v>
      </c>
      <c r="F1426" s="41" t="s">
        <v>4139</v>
      </c>
      <c r="G1426" s="41" t="s">
        <v>7210</v>
      </c>
      <c r="H1426" s="2043">
        <v>5985990</v>
      </c>
      <c r="I1426" s="2043">
        <v>350400</v>
      </c>
      <c r="J1426">
        <v>4.9410403033212098E-2</v>
      </c>
      <c r="K1426" s="2043">
        <v>295770.17845277803</v>
      </c>
      <c r="L1426" s="2043">
        <v>295770.17845277803</v>
      </c>
      <c r="M1426">
        <v>599</v>
      </c>
      <c r="N1426">
        <v>1</v>
      </c>
    </row>
    <row r="1427" spans="1:14">
      <c r="A1427" t="s">
        <v>3040</v>
      </c>
      <c r="B1427" t="s">
        <v>197</v>
      </c>
      <c r="C1427" t="s">
        <v>945</v>
      </c>
      <c r="D1427" s="41">
        <v>10</v>
      </c>
      <c r="E1427" s="41">
        <v>2195</v>
      </c>
      <c r="F1427" s="41" t="s">
        <v>4139</v>
      </c>
      <c r="G1427" s="41" t="s">
        <v>8633</v>
      </c>
      <c r="H1427" s="2043">
        <v>5985990</v>
      </c>
      <c r="I1427" s="2043">
        <v>1326650</v>
      </c>
      <c r="J1427">
        <v>0.18707280589044201</v>
      </c>
      <c r="K1427" s="2043">
        <v>1119815.94533213</v>
      </c>
      <c r="L1427" s="2043">
        <v>1119815.94533213</v>
      </c>
      <c r="M1427">
        <v>599</v>
      </c>
      <c r="N1427">
        <v>1</v>
      </c>
    </row>
    <row r="1428" spans="1:14">
      <c r="A1428" t="s">
        <v>3041</v>
      </c>
      <c r="B1428" t="s">
        <v>1011</v>
      </c>
      <c r="C1428" t="s">
        <v>73</v>
      </c>
      <c r="D1428" s="41">
        <v>1</v>
      </c>
      <c r="E1428" s="41">
        <v>2218</v>
      </c>
      <c r="F1428" s="41" t="s">
        <v>4140</v>
      </c>
      <c r="G1428" s="41" t="s">
        <v>4140</v>
      </c>
      <c r="H1428" s="2043">
        <v>426618</v>
      </c>
      <c r="I1428" s="2043">
        <v>0</v>
      </c>
      <c r="J1428">
        <v>0</v>
      </c>
      <c r="K1428" s="2043">
        <v>0</v>
      </c>
      <c r="L1428" s="2043">
        <v>0</v>
      </c>
      <c r="M1428">
        <v>599</v>
      </c>
      <c r="N1428">
        <v>0</v>
      </c>
    </row>
    <row r="1429" spans="1:14">
      <c r="A1429" t="s">
        <v>3041</v>
      </c>
      <c r="B1429" t="s">
        <v>1011</v>
      </c>
      <c r="C1429" t="s">
        <v>73</v>
      </c>
      <c r="D1429" s="41">
        <v>1</v>
      </c>
      <c r="E1429" s="41">
        <v>2218</v>
      </c>
      <c r="F1429" s="41" t="s">
        <v>4140</v>
      </c>
      <c r="G1429" s="41" t="s">
        <v>4141</v>
      </c>
      <c r="H1429" s="2043">
        <v>426618</v>
      </c>
      <c r="I1429" s="2043">
        <v>0</v>
      </c>
      <c r="J1429">
        <v>0</v>
      </c>
      <c r="K1429" s="2043">
        <v>0</v>
      </c>
      <c r="L1429" s="2043">
        <v>0</v>
      </c>
      <c r="M1429">
        <v>599</v>
      </c>
      <c r="N1429">
        <v>1</v>
      </c>
    </row>
    <row r="1430" spans="1:14">
      <c r="A1430" t="s">
        <v>3041</v>
      </c>
      <c r="B1430" t="s">
        <v>1011</v>
      </c>
      <c r="C1430" t="s">
        <v>73</v>
      </c>
      <c r="D1430" s="41">
        <v>1</v>
      </c>
      <c r="E1430" s="41">
        <v>2218</v>
      </c>
      <c r="F1430" s="41" t="s">
        <v>4140</v>
      </c>
      <c r="G1430" s="41" t="s">
        <v>9360</v>
      </c>
      <c r="H1430" s="2043">
        <v>426618</v>
      </c>
      <c r="I1430" s="2043">
        <v>100683</v>
      </c>
      <c r="J1430">
        <v>1</v>
      </c>
      <c r="K1430" s="2043">
        <v>426618</v>
      </c>
      <c r="L1430" s="2043">
        <v>100683</v>
      </c>
      <c r="M1430">
        <v>599</v>
      </c>
      <c r="N1430">
        <v>1</v>
      </c>
    </row>
    <row r="1431" spans="1:14">
      <c r="A1431" t="s">
        <v>3041</v>
      </c>
      <c r="B1431" t="s">
        <v>1011</v>
      </c>
      <c r="C1431" t="s">
        <v>73</v>
      </c>
      <c r="D1431" s="41">
        <v>6</v>
      </c>
      <c r="E1431" s="41">
        <v>2220</v>
      </c>
      <c r="F1431" s="41" t="s">
        <v>4142</v>
      </c>
      <c r="G1431" s="41" t="s">
        <v>4142</v>
      </c>
      <c r="H1431" s="2043">
        <v>448118</v>
      </c>
      <c r="I1431" s="2043">
        <v>0</v>
      </c>
      <c r="J1431">
        <v>0</v>
      </c>
      <c r="K1431" s="2043">
        <v>0</v>
      </c>
      <c r="L1431" s="2043">
        <v>0</v>
      </c>
      <c r="M1431">
        <v>599</v>
      </c>
      <c r="N1431">
        <v>0</v>
      </c>
    </row>
    <row r="1432" spans="1:14">
      <c r="A1432" t="s">
        <v>3041</v>
      </c>
      <c r="B1432" t="s">
        <v>1011</v>
      </c>
      <c r="C1432" t="s">
        <v>73</v>
      </c>
      <c r="D1432" s="41">
        <v>6</v>
      </c>
      <c r="E1432" s="41">
        <v>2220</v>
      </c>
      <c r="F1432" s="41" t="s">
        <v>4142</v>
      </c>
      <c r="G1432" s="41" t="s">
        <v>4143</v>
      </c>
      <c r="H1432" s="2043">
        <v>448118</v>
      </c>
      <c r="I1432" s="2043">
        <v>426563</v>
      </c>
      <c r="J1432">
        <v>0.89306942301371095</v>
      </c>
      <c r="K1432" s="2043">
        <v>400200.48370205797</v>
      </c>
      <c r="L1432" s="2043">
        <v>400200.48370205797</v>
      </c>
      <c r="M1432">
        <v>599</v>
      </c>
      <c r="N1432">
        <v>1</v>
      </c>
    </row>
    <row r="1433" spans="1:14">
      <c r="A1433" t="s">
        <v>3041</v>
      </c>
      <c r="B1433" t="s">
        <v>1011</v>
      </c>
      <c r="C1433" t="s">
        <v>73</v>
      </c>
      <c r="D1433" s="41">
        <v>6</v>
      </c>
      <c r="E1433" s="41">
        <v>2220</v>
      </c>
      <c r="F1433" s="41" t="s">
        <v>4142</v>
      </c>
      <c r="G1433" s="41" t="s">
        <v>4144</v>
      </c>
      <c r="H1433" s="2043">
        <v>448118</v>
      </c>
      <c r="I1433" s="2043">
        <v>0</v>
      </c>
      <c r="J1433">
        <v>0</v>
      </c>
      <c r="K1433" s="2043">
        <v>0</v>
      </c>
      <c r="L1433" s="2043">
        <v>0</v>
      </c>
      <c r="M1433">
        <v>599</v>
      </c>
      <c r="N1433">
        <v>1</v>
      </c>
    </row>
    <row r="1434" spans="1:14">
      <c r="A1434" t="s">
        <v>3041</v>
      </c>
      <c r="B1434" t="s">
        <v>1011</v>
      </c>
      <c r="C1434" t="s">
        <v>73</v>
      </c>
      <c r="D1434" s="41">
        <v>6</v>
      </c>
      <c r="E1434" s="41">
        <v>2220</v>
      </c>
      <c r="F1434" s="41" t="s">
        <v>4142</v>
      </c>
      <c r="G1434" s="41" t="s">
        <v>9361</v>
      </c>
      <c r="H1434" s="2043">
        <v>448118</v>
      </c>
      <c r="I1434" s="2043">
        <v>51074</v>
      </c>
      <c r="J1434">
        <v>0.10693057698628899</v>
      </c>
      <c r="K1434" s="2043">
        <v>47917.5162979417</v>
      </c>
      <c r="L1434" s="2043">
        <v>47917.5162979417</v>
      </c>
      <c r="M1434">
        <v>599</v>
      </c>
      <c r="N1434">
        <v>1</v>
      </c>
    </row>
    <row r="1435" spans="1:14">
      <c r="A1435" t="s">
        <v>3041</v>
      </c>
      <c r="B1435" t="s">
        <v>1011</v>
      </c>
      <c r="C1435" t="s">
        <v>73</v>
      </c>
      <c r="D1435" s="41">
        <v>7</v>
      </c>
      <c r="E1435" s="41">
        <v>2217</v>
      </c>
      <c r="F1435" s="41" t="s">
        <v>4145</v>
      </c>
      <c r="G1435" s="41" t="s">
        <v>4145</v>
      </c>
      <c r="H1435" s="2043">
        <v>267450</v>
      </c>
      <c r="I1435" s="2043">
        <v>0</v>
      </c>
      <c r="J1435">
        <v>0</v>
      </c>
      <c r="K1435" s="2043">
        <v>0</v>
      </c>
      <c r="L1435" s="2043">
        <v>0</v>
      </c>
      <c r="M1435">
        <v>599</v>
      </c>
      <c r="N1435">
        <v>0</v>
      </c>
    </row>
    <row r="1436" spans="1:14">
      <c r="A1436" t="s">
        <v>3041</v>
      </c>
      <c r="B1436" t="s">
        <v>1011</v>
      </c>
      <c r="C1436" t="s">
        <v>73</v>
      </c>
      <c r="D1436" s="41">
        <v>7</v>
      </c>
      <c r="E1436" s="41">
        <v>2217</v>
      </c>
      <c r="F1436" s="41" t="s">
        <v>4145</v>
      </c>
      <c r="G1436" s="41" t="s">
        <v>4146</v>
      </c>
      <c r="H1436" s="2043">
        <v>267450</v>
      </c>
      <c r="I1436" s="2043">
        <v>231775</v>
      </c>
      <c r="J1436">
        <v>1</v>
      </c>
      <c r="K1436" s="2043">
        <v>267450</v>
      </c>
      <c r="L1436" s="2043">
        <v>231775</v>
      </c>
      <c r="M1436">
        <v>599</v>
      </c>
      <c r="N1436">
        <v>1</v>
      </c>
    </row>
    <row r="1437" spans="1:14">
      <c r="A1437" t="s">
        <v>3041</v>
      </c>
      <c r="B1437" t="s">
        <v>1011</v>
      </c>
      <c r="C1437" t="s">
        <v>73</v>
      </c>
      <c r="D1437" s="41">
        <v>8</v>
      </c>
      <c r="E1437" s="41">
        <v>2221</v>
      </c>
      <c r="F1437" s="41" t="s">
        <v>4147</v>
      </c>
      <c r="G1437" s="41" t="s">
        <v>4147</v>
      </c>
      <c r="H1437" s="2043">
        <v>486219</v>
      </c>
      <c r="I1437" s="2043">
        <v>0</v>
      </c>
      <c r="J1437">
        <v>0</v>
      </c>
      <c r="K1437" s="2043">
        <v>0</v>
      </c>
      <c r="L1437" s="2043">
        <v>0</v>
      </c>
      <c r="M1437">
        <v>599</v>
      </c>
      <c r="N1437">
        <v>1</v>
      </c>
    </row>
    <row r="1438" spans="1:14">
      <c r="A1438" t="s">
        <v>3041</v>
      </c>
      <c r="B1438" t="s">
        <v>1011</v>
      </c>
      <c r="C1438" t="s">
        <v>73</v>
      </c>
      <c r="D1438" s="41">
        <v>8</v>
      </c>
      <c r="E1438" s="41">
        <v>2221</v>
      </c>
      <c r="F1438" s="41" t="s">
        <v>4147</v>
      </c>
      <c r="G1438" s="41" t="s">
        <v>7211</v>
      </c>
      <c r="H1438" s="2043">
        <v>486219</v>
      </c>
      <c r="I1438" s="2043">
        <v>405425</v>
      </c>
      <c r="J1438">
        <v>1</v>
      </c>
      <c r="K1438" s="2043">
        <v>486219</v>
      </c>
      <c r="L1438" s="2043">
        <v>405425</v>
      </c>
      <c r="M1438">
        <v>599</v>
      </c>
      <c r="N1438">
        <v>1</v>
      </c>
    </row>
    <row r="1439" spans="1:14">
      <c r="A1439" t="s">
        <v>3041</v>
      </c>
      <c r="B1439" t="s">
        <v>1011</v>
      </c>
      <c r="C1439" t="s">
        <v>73</v>
      </c>
      <c r="D1439" s="41">
        <v>10</v>
      </c>
      <c r="E1439" s="41">
        <v>2219</v>
      </c>
      <c r="F1439" s="41" t="s">
        <v>4148</v>
      </c>
      <c r="G1439" s="41" t="s">
        <v>4148</v>
      </c>
      <c r="H1439" s="2043">
        <v>428983</v>
      </c>
      <c r="I1439" s="2043">
        <v>0</v>
      </c>
      <c r="J1439">
        <v>0</v>
      </c>
      <c r="K1439" s="2043">
        <v>0</v>
      </c>
      <c r="L1439" s="2043">
        <v>0</v>
      </c>
      <c r="M1439">
        <v>599</v>
      </c>
      <c r="N1439">
        <v>1</v>
      </c>
    </row>
    <row r="1440" spans="1:14">
      <c r="A1440" t="s">
        <v>3041</v>
      </c>
      <c r="B1440" t="s">
        <v>1011</v>
      </c>
      <c r="C1440" t="s">
        <v>73</v>
      </c>
      <c r="D1440" s="41">
        <v>10</v>
      </c>
      <c r="E1440" s="41">
        <v>2219</v>
      </c>
      <c r="F1440" s="41" t="s">
        <v>4148</v>
      </c>
      <c r="G1440" s="41" t="s">
        <v>9360</v>
      </c>
      <c r="H1440" s="2043">
        <v>428983</v>
      </c>
      <c r="I1440" s="2043">
        <v>815467</v>
      </c>
      <c r="J1440">
        <v>1</v>
      </c>
      <c r="K1440" s="2043">
        <v>428983</v>
      </c>
      <c r="L1440" s="2043">
        <v>428983</v>
      </c>
      <c r="M1440">
        <v>599</v>
      </c>
      <c r="N1440">
        <v>1</v>
      </c>
    </row>
    <row r="1441" spans="1:14">
      <c r="A1441" t="s">
        <v>3042</v>
      </c>
      <c r="B1441" t="s">
        <v>1471</v>
      </c>
      <c r="C1441" t="s">
        <v>2458</v>
      </c>
      <c r="D1441" s="41">
        <v>10</v>
      </c>
      <c r="E1441" s="41">
        <v>2327</v>
      </c>
      <c r="F1441" s="41" t="s">
        <v>4149</v>
      </c>
      <c r="G1441" s="41" t="s">
        <v>4149</v>
      </c>
      <c r="H1441" s="2043">
        <v>570407</v>
      </c>
      <c r="I1441" s="2043">
        <v>0</v>
      </c>
      <c r="J1441">
        <v>0</v>
      </c>
      <c r="K1441" s="2043">
        <v>0</v>
      </c>
      <c r="L1441" s="2043">
        <v>0</v>
      </c>
      <c r="M1441">
        <v>599</v>
      </c>
      <c r="N1441">
        <v>1</v>
      </c>
    </row>
    <row r="1442" spans="1:14">
      <c r="A1442" t="s">
        <v>3042</v>
      </c>
      <c r="B1442" t="s">
        <v>1471</v>
      </c>
      <c r="C1442" t="s">
        <v>2458</v>
      </c>
      <c r="D1442" s="41">
        <v>10</v>
      </c>
      <c r="E1442" s="41">
        <v>2327</v>
      </c>
      <c r="F1442" s="41" t="s">
        <v>4149</v>
      </c>
      <c r="G1442" s="41" t="s">
        <v>8634</v>
      </c>
      <c r="H1442" s="2043">
        <v>570407</v>
      </c>
      <c r="I1442" s="2043">
        <v>254150</v>
      </c>
      <c r="J1442">
        <v>1</v>
      </c>
      <c r="K1442" s="2043">
        <v>570407</v>
      </c>
      <c r="L1442" s="2043">
        <v>254150</v>
      </c>
      <c r="M1442">
        <v>599</v>
      </c>
      <c r="N1442">
        <v>1</v>
      </c>
    </row>
    <row r="1443" spans="1:14">
      <c r="A1443" t="s">
        <v>3043</v>
      </c>
      <c r="B1443" t="s">
        <v>56</v>
      </c>
      <c r="C1443" t="s">
        <v>1790</v>
      </c>
      <c r="D1443" s="41">
        <v>2</v>
      </c>
      <c r="E1443" s="41">
        <v>1981</v>
      </c>
      <c r="F1443" s="41" t="s">
        <v>4150</v>
      </c>
      <c r="G1443" s="41" t="s">
        <v>4150</v>
      </c>
      <c r="H1443" s="2043">
        <v>3415997</v>
      </c>
      <c r="I1443" s="2043">
        <v>0</v>
      </c>
      <c r="J1443">
        <v>0</v>
      </c>
      <c r="K1443" s="2043">
        <v>0</v>
      </c>
      <c r="L1443" s="2043">
        <v>0</v>
      </c>
      <c r="M1443">
        <v>599</v>
      </c>
      <c r="N1443">
        <v>0</v>
      </c>
    </row>
    <row r="1444" spans="1:14">
      <c r="A1444" t="s">
        <v>3043</v>
      </c>
      <c r="B1444" t="s">
        <v>56</v>
      </c>
      <c r="C1444" t="s">
        <v>1790</v>
      </c>
      <c r="D1444" s="41">
        <v>2</v>
      </c>
      <c r="E1444" s="41">
        <v>1981</v>
      </c>
      <c r="F1444" s="41" t="s">
        <v>4150</v>
      </c>
      <c r="G1444" s="41" t="s">
        <v>4151</v>
      </c>
      <c r="H1444" s="2043">
        <v>3415997</v>
      </c>
      <c r="I1444" s="2043">
        <v>0</v>
      </c>
      <c r="J1444">
        <v>0</v>
      </c>
      <c r="K1444" s="2043">
        <v>0</v>
      </c>
      <c r="L1444" s="2043">
        <v>0</v>
      </c>
      <c r="M1444">
        <v>599</v>
      </c>
      <c r="N1444">
        <v>0</v>
      </c>
    </row>
    <row r="1445" spans="1:14">
      <c r="A1445" t="s">
        <v>3043</v>
      </c>
      <c r="B1445" t="s">
        <v>56</v>
      </c>
      <c r="C1445" t="s">
        <v>1790</v>
      </c>
      <c r="D1445" s="41">
        <v>2</v>
      </c>
      <c r="E1445" s="41">
        <v>1981</v>
      </c>
      <c r="F1445" s="41" t="s">
        <v>4150</v>
      </c>
      <c r="G1445" s="41" t="s">
        <v>4152</v>
      </c>
      <c r="H1445" s="2043">
        <v>3415997</v>
      </c>
      <c r="I1445" s="2043">
        <v>89611</v>
      </c>
      <c r="J1445">
        <v>4.48648786669157E-2</v>
      </c>
      <c r="K1445" s="2043">
        <v>153258.29093154799</v>
      </c>
      <c r="L1445" s="2043">
        <v>89611</v>
      </c>
      <c r="M1445">
        <v>599</v>
      </c>
      <c r="N1445">
        <v>1</v>
      </c>
    </row>
    <row r="1446" spans="1:14">
      <c r="A1446" t="s">
        <v>3043</v>
      </c>
      <c r="B1446" t="s">
        <v>56</v>
      </c>
      <c r="C1446" t="s">
        <v>1790</v>
      </c>
      <c r="D1446" s="41">
        <v>2</v>
      </c>
      <c r="E1446" s="41">
        <v>1981</v>
      </c>
      <c r="F1446" s="41" t="s">
        <v>4150</v>
      </c>
      <c r="G1446" s="41" t="s">
        <v>4153</v>
      </c>
      <c r="H1446" s="2043">
        <v>3415997</v>
      </c>
      <c r="I1446" s="2043">
        <v>0</v>
      </c>
      <c r="J1446">
        <v>0</v>
      </c>
      <c r="K1446" s="2043">
        <v>0</v>
      </c>
      <c r="L1446" s="2043">
        <v>0</v>
      </c>
      <c r="M1446">
        <v>599</v>
      </c>
      <c r="N1446">
        <v>1</v>
      </c>
    </row>
    <row r="1447" spans="1:14">
      <c r="A1447" t="s">
        <v>3043</v>
      </c>
      <c r="B1447" t="s">
        <v>56</v>
      </c>
      <c r="C1447" t="s">
        <v>1790</v>
      </c>
      <c r="D1447" s="41">
        <v>2</v>
      </c>
      <c r="E1447" s="41">
        <v>1981</v>
      </c>
      <c r="F1447" s="41" t="s">
        <v>4150</v>
      </c>
      <c r="G1447" s="41" t="s">
        <v>5418</v>
      </c>
      <c r="H1447" s="2043">
        <v>3415997</v>
      </c>
      <c r="I1447" s="2043">
        <v>0</v>
      </c>
      <c r="J1447">
        <v>0</v>
      </c>
      <c r="K1447" s="2043">
        <v>0</v>
      </c>
      <c r="L1447" s="2043">
        <v>0</v>
      </c>
      <c r="M1447">
        <v>599</v>
      </c>
      <c r="N1447">
        <v>1</v>
      </c>
    </row>
    <row r="1448" spans="1:14">
      <c r="A1448" t="s">
        <v>3043</v>
      </c>
      <c r="B1448" t="s">
        <v>56</v>
      </c>
      <c r="C1448" t="s">
        <v>1790</v>
      </c>
      <c r="D1448" s="41">
        <v>2</v>
      </c>
      <c r="E1448" s="41">
        <v>1981</v>
      </c>
      <c r="F1448" s="41" t="s">
        <v>4150</v>
      </c>
      <c r="G1448" s="41" t="s">
        <v>7212</v>
      </c>
      <c r="H1448" s="2043">
        <v>3415997</v>
      </c>
      <c r="I1448" s="2043">
        <v>1566100</v>
      </c>
      <c r="J1448">
        <v>0.78408774012405402</v>
      </c>
      <c r="K1448" s="2043">
        <v>2678441.3680005502</v>
      </c>
      <c r="L1448" s="2043">
        <v>1566100</v>
      </c>
      <c r="M1448">
        <v>599</v>
      </c>
      <c r="N1448">
        <v>1</v>
      </c>
    </row>
    <row r="1449" spans="1:14">
      <c r="A1449" t="s">
        <v>3043</v>
      </c>
      <c r="B1449" t="s">
        <v>56</v>
      </c>
      <c r="C1449" t="s">
        <v>1790</v>
      </c>
      <c r="D1449" s="41">
        <v>2</v>
      </c>
      <c r="E1449" s="41">
        <v>1981</v>
      </c>
      <c r="F1449" s="41" t="s">
        <v>4150</v>
      </c>
      <c r="G1449" s="41" t="s">
        <v>9362</v>
      </c>
      <c r="H1449" s="2043">
        <v>3415997</v>
      </c>
      <c r="I1449" s="2043">
        <v>290398</v>
      </c>
      <c r="J1449">
        <v>0.145391425551718</v>
      </c>
      <c r="K1449" s="2043">
        <v>496656.67351039097</v>
      </c>
      <c r="L1449" s="2043">
        <v>290398</v>
      </c>
      <c r="M1449">
        <v>599</v>
      </c>
      <c r="N1449">
        <v>1</v>
      </c>
    </row>
    <row r="1450" spans="1:14">
      <c r="A1450" t="s">
        <v>3043</v>
      </c>
      <c r="B1450" t="s">
        <v>56</v>
      </c>
      <c r="C1450" t="s">
        <v>1790</v>
      </c>
      <c r="D1450" s="41">
        <v>2</v>
      </c>
      <c r="E1450" s="41">
        <v>1981</v>
      </c>
      <c r="F1450" s="41" t="s">
        <v>4150</v>
      </c>
      <c r="G1450" s="41" t="s">
        <v>9363</v>
      </c>
      <c r="H1450" s="2043">
        <v>3415997</v>
      </c>
      <c r="I1450" s="2043">
        <v>51244</v>
      </c>
      <c r="J1450">
        <v>2.5655955657312501E-2</v>
      </c>
      <c r="K1450" s="2043">
        <v>87640.667557512395</v>
      </c>
      <c r="L1450" s="2043">
        <v>51244</v>
      </c>
      <c r="M1450">
        <v>599</v>
      </c>
      <c r="N1450">
        <v>1</v>
      </c>
    </row>
    <row r="1451" spans="1:14">
      <c r="A1451" t="s">
        <v>3043</v>
      </c>
      <c r="B1451" t="s">
        <v>56</v>
      </c>
      <c r="C1451" t="s">
        <v>1790</v>
      </c>
      <c r="D1451" s="41">
        <v>4</v>
      </c>
      <c r="E1451" s="41">
        <v>1982</v>
      </c>
      <c r="F1451" s="41" t="s">
        <v>4154</v>
      </c>
      <c r="G1451" s="41" t="s">
        <v>4154</v>
      </c>
      <c r="H1451" s="2043">
        <v>3469419</v>
      </c>
      <c r="I1451" s="2043">
        <v>0</v>
      </c>
      <c r="J1451">
        <v>0</v>
      </c>
      <c r="K1451" s="2043">
        <v>0</v>
      </c>
      <c r="L1451" s="2043">
        <v>0</v>
      </c>
      <c r="M1451">
        <v>599</v>
      </c>
      <c r="N1451">
        <v>0</v>
      </c>
    </row>
    <row r="1452" spans="1:14">
      <c r="A1452" t="s">
        <v>3043</v>
      </c>
      <c r="B1452" t="s">
        <v>56</v>
      </c>
      <c r="C1452" t="s">
        <v>1790</v>
      </c>
      <c r="D1452" s="41">
        <v>4</v>
      </c>
      <c r="E1452" s="41">
        <v>1982</v>
      </c>
      <c r="F1452" s="41" t="s">
        <v>4154</v>
      </c>
      <c r="G1452" s="41" t="s">
        <v>4151</v>
      </c>
      <c r="H1452" s="2043">
        <v>3469419</v>
      </c>
      <c r="I1452" s="2043">
        <v>0</v>
      </c>
      <c r="J1452">
        <v>0</v>
      </c>
      <c r="K1452" s="2043">
        <v>0</v>
      </c>
      <c r="L1452" s="2043">
        <v>0</v>
      </c>
      <c r="M1452">
        <v>599</v>
      </c>
      <c r="N1452">
        <v>0</v>
      </c>
    </row>
    <row r="1453" spans="1:14">
      <c r="A1453" t="s">
        <v>3043</v>
      </c>
      <c r="B1453" t="s">
        <v>56</v>
      </c>
      <c r="C1453" t="s">
        <v>1790</v>
      </c>
      <c r="D1453" s="41">
        <v>4</v>
      </c>
      <c r="E1453" s="41">
        <v>1982</v>
      </c>
      <c r="F1453" s="41" t="s">
        <v>4154</v>
      </c>
      <c r="G1453" s="41" t="s">
        <v>4153</v>
      </c>
      <c r="H1453" s="2043">
        <v>3469419</v>
      </c>
      <c r="I1453" s="2043">
        <v>2899344</v>
      </c>
      <c r="J1453">
        <v>0.85546635382953495</v>
      </c>
      <c r="K1453" s="2043">
        <v>2967971.2218369101</v>
      </c>
      <c r="L1453" s="2043">
        <v>2899344</v>
      </c>
      <c r="M1453">
        <v>599</v>
      </c>
      <c r="N1453">
        <v>1</v>
      </c>
    </row>
    <row r="1454" spans="1:14">
      <c r="A1454" t="s">
        <v>3043</v>
      </c>
      <c r="B1454" t="s">
        <v>56</v>
      </c>
      <c r="C1454" t="s">
        <v>1790</v>
      </c>
      <c r="D1454" s="41">
        <v>4</v>
      </c>
      <c r="E1454" s="41">
        <v>1982</v>
      </c>
      <c r="F1454" s="41" t="s">
        <v>4154</v>
      </c>
      <c r="G1454" s="41" t="s">
        <v>5418</v>
      </c>
      <c r="H1454" s="2043">
        <v>3469419</v>
      </c>
      <c r="I1454" s="2043">
        <v>393765</v>
      </c>
      <c r="J1454">
        <v>0.11618238774553399</v>
      </c>
      <c r="K1454" s="2043">
        <v>403085.38350972201</v>
      </c>
      <c r="L1454" s="2043">
        <v>393765</v>
      </c>
      <c r="M1454">
        <v>599</v>
      </c>
      <c r="N1454">
        <v>1</v>
      </c>
    </row>
    <row r="1455" spans="1:14">
      <c r="A1455" t="s">
        <v>3043</v>
      </c>
      <c r="B1455" t="s">
        <v>56</v>
      </c>
      <c r="C1455" t="s">
        <v>1790</v>
      </c>
      <c r="D1455" s="41">
        <v>4</v>
      </c>
      <c r="E1455" s="41">
        <v>1982</v>
      </c>
      <c r="F1455" s="41" t="s">
        <v>4154</v>
      </c>
      <c r="G1455" s="41" t="s">
        <v>9363</v>
      </c>
      <c r="H1455" s="2043">
        <v>3469419</v>
      </c>
      <c r="I1455" s="2043">
        <v>96088</v>
      </c>
      <c r="J1455">
        <v>2.8351258424930699E-2</v>
      </c>
      <c r="K1455" s="2043">
        <v>98362.394653364798</v>
      </c>
      <c r="L1455" s="2043">
        <v>96088</v>
      </c>
      <c r="M1455">
        <v>599</v>
      </c>
      <c r="N1455">
        <v>1</v>
      </c>
    </row>
    <row r="1456" spans="1:14">
      <c r="A1456" t="s">
        <v>3043</v>
      </c>
      <c r="B1456" t="s">
        <v>56</v>
      </c>
      <c r="C1456" t="s">
        <v>1790</v>
      </c>
      <c r="D1456" s="41">
        <v>7</v>
      </c>
      <c r="E1456" s="41">
        <v>1983</v>
      </c>
      <c r="F1456" s="41" t="s">
        <v>4155</v>
      </c>
      <c r="G1456" s="41" t="s">
        <v>4155</v>
      </c>
      <c r="H1456" s="2043">
        <v>5218175</v>
      </c>
      <c r="I1456" s="2043">
        <v>0</v>
      </c>
      <c r="J1456">
        <v>0</v>
      </c>
      <c r="K1456" s="2043">
        <v>0</v>
      </c>
      <c r="L1456" s="2043">
        <v>0</v>
      </c>
      <c r="M1456">
        <v>599</v>
      </c>
      <c r="N1456">
        <v>0</v>
      </c>
    </row>
    <row r="1457" spans="1:14">
      <c r="A1457" t="s">
        <v>3043</v>
      </c>
      <c r="B1457" t="s">
        <v>56</v>
      </c>
      <c r="C1457" t="s">
        <v>1790</v>
      </c>
      <c r="D1457" s="41">
        <v>7</v>
      </c>
      <c r="E1457" s="41">
        <v>1983</v>
      </c>
      <c r="F1457" s="41" t="s">
        <v>4155</v>
      </c>
      <c r="G1457" s="41" t="s">
        <v>4152</v>
      </c>
      <c r="H1457" s="2043">
        <v>5218175</v>
      </c>
      <c r="I1457" s="2043">
        <v>1334902</v>
      </c>
      <c r="J1457">
        <v>0.141762510291811</v>
      </c>
      <c r="K1457" s="2043">
        <v>739741.58714197204</v>
      </c>
      <c r="L1457" s="2043">
        <v>739741.58714197204</v>
      </c>
      <c r="M1457">
        <v>599</v>
      </c>
      <c r="N1457">
        <v>1</v>
      </c>
    </row>
    <row r="1458" spans="1:14">
      <c r="A1458" t="s">
        <v>3043</v>
      </c>
      <c r="B1458" t="s">
        <v>56</v>
      </c>
      <c r="C1458" t="s">
        <v>1790</v>
      </c>
      <c r="D1458" s="41">
        <v>7</v>
      </c>
      <c r="E1458" s="41">
        <v>1983</v>
      </c>
      <c r="F1458" s="41" t="s">
        <v>4155</v>
      </c>
      <c r="G1458" s="41" t="s">
        <v>4156</v>
      </c>
      <c r="H1458" s="2043">
        <v>5218175</v>
      </c>
      <c r="I1458" s="2043">
        <v>3248713</v>
      </c>
      <c r="J1458">
        <v>0.34500338608949599</v>
      </c>
      <c r="K1458" s="2043">
        <v>1800288.0442075599</v>
      </c>
      <c r="L1458" s="2043">
        <v>1800288.0442075599</v>
      </c>
      <c r="M1458">
        <v>599</v>
      </c>
      <c r="N1458">
        <v>1</v>
      </c>
    </row>
    <row r="1459" spans="1:14">
      <c r="A1459" t="s">
        <v>3043</v>
      </c>
      <c r="B1459" t="s">
        <v>56</v>
      </c>
      <c r="C1459" t="s">
        <v>1790</v>
      </c>
      <c r="D1459" s="41">
        <v>7</v>
      </c>
      <c r="E1459" s="41">
        <v>1983</v>
      </c>
      <c r="F1459" s="41" t="s">
        <v>4155</v>
      </c>
      <c r="G1459" s="41" t="s">
        <v>4157</v>
      </c>
      <c r="H1459" s="2043">
        <v>5218175</v>
      </c>
      <c r="I1459" s="2043">
        <v>1637625</v>
      </c>
      <c r="J1459">
        <v>0.17391076716989501</v>
      </c>
      <c r="K1459" s="2043">
        <v>907496.817476767</v>
      </c>
      <c r="L1459" s="2043">
        <v>907496.817476767</v>
      </c>
      <c r="M1459">
        <v>599</v>
      </c>
      <c r="N1459">
        <v>1</v>
      </c>
    </row>
    <row r="1460" spans="1:14">
      <c r="A1460" t="s">
        <v>3043</v>
      </c>
      <c r="B1460" t="s">
        <v>56</v>
      </c>
      <c r="C1460" t="s">
        <v>1790</v>
      </c>
      <c r="D1460" s="41">
        <v>7</v>
      </c>
      <c r="E1460" s="41">
        <v>1983</v>
      </c>
      <c r="F1460" s="41" t="s">
        <v>4155</v>
      </c>
      <c r="G1460" s="41" t="s">
        <v>7212</v>
      </c>
      <c r="H1460" s="2043">
        <v>5218175</v>
      </c>
      <c r="I1460" s="2043">
        <v>0</v>
      </c>
      <c r="J1460">
        <v>0</v>
      </c>
      <c r="K1460" s="2043">
        <v>0</v>
      </c>
      <c r="L1460" s="2043">
        <v>0</v>
      </c>
      <c r="M1460">
        <v>599</v>
      </c>
      <c r="N1460">
        <v>1</v>
      </c>
    </row>
    <row r="1461" spans="1:14">
      <c r="A1461" t="s">
        <v>3043</v>
      </c>
      <c r="B1461" t="s">
        <v>56</v>
      </c>
      <c r="C1461" t="s">
        <v>1790</v>
      </c>
      <c r="D1461" s="41">
        <v>7</v>
      </c>
      <c r="E1461" s="41">
        <v>1983</v>
      </c>
      <c r="F1461" s="41" t="s">
        <v>4155</v>
      </c>
      <c r="G1461" s="41" t="s">
        <v>9362</v>
      </c>
      <c r="H1461" s="2043">
        <v>5218175</v>
      </c>
      <c r="I1461" s="2043">
        <v>1743386</v>
      </c>
      <c r="J1461">
        <v>0.18514226195451</v>
      </c>
      <c r="K1461" s="2043">
        <v>966104.72277447605</v>
      </c>
      <c r="L1461" s="2043">
        <v>966104.72277447605</v>
      </c>
      <c r="M1461">
        <v>599</v>
      </c>
      <c r="N1461">
        <v>1</v>
      </c>
    </row>
    <row r="1462" spans="1:14">
      <c r="A1462" t="s">
        <v>3043</v>
      </c>
      <c r="B1462" t="s">
        <v>56</v>
      </c>
      <c r="C1462" t="s">
        <v>1790</v>
      </c>
      <c r="D1462" s="41">
        <v>7</v>
      </c>
      <c r="E1462" s="41">
        <v>1983</v>
      </c>
      <c r="F1462" s="41" t="s">
        <v>4155</v>
      </c>
      <c r="G1462" s="41" t="s">
        <v>9363</v>
      </c>
      <c r="H1462" s="2043">
        <v>5218175</v>
      </c>
      <c r="I1462" s="2043">
        <v>1451841</v>
      </c>
      <c r="J1462">
        <v>0.154181074494288</v>
      </c>
      <c r="K1462" s="2043">
        <v>804543.82839922898</v>
      </c>
      <c r="L1462" s="2043">
        <v>804543.82839922898</v>
      </c>
      <c r="M1462">
        <v>599</v>
      </c>
      <c r="N1462">
        <v>1</v>
      </c>
    </row>
    <row r="1463" spans="1:14">
      <c r="A1463" t="s">
        <v>3043</v>
      </c>
      <c r="B1463" t="s">
        <v>56</v>
      </c>
      <c r="C1463" t="s">
        <v>1790</v>
      </c>
      <c r="D1463" s="41">
        <v>8</v>
      </c>
      <c r="E1463" s="41">
        <v>1984</v>
      </c>
      <c r="F1463" s="41" t="s">
        <v>4158</v>
      </c>
      <c r="G1463" s="41" t="s">
        <v>4158</v>
      </c>
      <c r="H1463" s="2043">
        <v>5556579</v>
      </c>
      <c r="I1463" s="2043">
        <v>0</v>
      </c>
      <c r="J1463">
        <v>0</v>
      </c>
      <c r="K1463" s="2043">
        <v>0</v>
      </c>
      <c r="L1463" s="2043">
        <v>0</v>
      </c>
      <c r="M1463">
        <v>599</v>
      </c>
      <c r="N1463">
        <v>1</v>
      </c>
    </row>
    <row r="1464" spans="1:14">
      <c r="A1464" t="s">
        <v>3043</v>
      </c>
      <c r="B1464" t="s">
        <v>56</v>
      </c>
      <c r="C1464" t="s">
        <v>1790</v>
      </c>
      <c r="D1464" s="41">
        <v>8</v>
      </c>
      <c r="E1464" s="41">
        <v>1984</v>
      </c>
      <c r="F1464" s="41" t="s">
        <v>4158</v>
      </c>
      <c r="G1464" s="41" t="s">
        <v>4157</v>
      </c>
      <c r="H1464" s="2043">
        <v>5556579</v>
      </c>
      <c r="I1464" s="2043">
        <v>3559850</v>
      </c>
      <c r="J1464">
        <v>0.55199791348401706</v>
      </c>
      <c r="K1464" s="2043">
        <v>3067220.0141091002</v>
      </c>
      <c r="L1464" s="2043">
        <v>3067220.0141091002</v>
      </c>
      <c r="M1464">
        <v>599</v>
      </c>
      <c r="N1464">
        <v>1</v>
      </c>
    </row>
    <row r="1465" spans="1:14">
      <c r="A1465" t="s">
        <v>3043</v>
      </c>
      <c r="B1465" t="s">
        <v>56</v>
      </c>
      <c r="C1465" t="s">
        <v>1790</v>
      </c>
      <c r="D1465" s="41">
        <v>8</v>
      </c>
      <c r="E1465" s="41">
        <v>1984</v>
      </c>
      <c r="F1465" s="41" t="s">
        <v>4158</v>
      </c>
      <c r="G1465" s="41" t="s">
        <v>4159</v>
      </c>
      <c r="H1465" s="2043">
        <v>5556579</v>
      </c>
      <c r="I1465" s="2043">
        <v>1773091</v>
      </c>
      <c r="J1465">
        <v>0.27493926216477899</v>
      </c>
      <c r="K1465" s="2043">
        <v>1527721.7304203101</v>
      </c>
      <c r="L1465" s="2043">
        <v>1527721.7304203101</v>
      </c>
      <c r="M1465">
        <v>599</v>
      </c>
      <c r="N1465">
        <v>1</v>
      </c>
    </row>
    <row r="1466" spans="1:14">
      <c r="A1466" t="s">
        <v>3043</v>
      </c>
      <c r="B1466" t="s">
        <v>56</v>
      </c>
      <c r="C1466" t="s">
        <v>1790</v>
      </c>
      <c r="D1466" s="41">
        <v>8</v>
      </c>
      <c r="E1466" s="41">
        <v>1984</v>
      </c>
      <c r="F1466" s="41" t="s">
        <v>4158</v>
      </c>
      <c r="G1466" s="41" t="s">
        <v>5418</v>
      </c>
      <c r="H1466" s="2043">
        <v>5556579</v>
      </c>
      <c r="I1466" s="2043">
        <v>0</v>
      </c>
      <c r="J1466">
        <v>0</v>
      </c>
      <c r="K1466" s="2043">
        <v>0</v>
      </c>
      <c r="L1466" s="2043">
        <v>0</v>
      </c>
      <c r="M1466">
        <v>599</v>
      </c>
      <c r="N1466">
        <v>1</v>
      </c>
    </row>
    <row r="1467" spans="1:14">
      <c r="A1467" t="s">
        <v>3043</v>
      </c>
      <c r="B1467" t="s">
        <v>56</v>
      </c>
      <c r="C1467" t="s">
        <v>1790</v>
      </c>
      <c r="D1467" s="41">
        <v>8</v>
      </c>
      <c r="E1467" s="41">
        <v>1984</v>
      </c>
      <c r="F1467" s="41" t="s">
        <v>4158</v>
      </c>
      <c r="G1467" s="41" t="s">
        <v>9363</v>
      </c>
      <c r="H1467" s="2043">
        <v>5556579</v>
      </c>
      <c r="I1467" s="2043">
        <v>1116087</v>
      </c>
      <c r="J1467">
        <v>0.17306282435120501</v>
      </c>
      <c r="K1467" s="2043">
        <v>961637.25547059195</v>
      </c>
      <c r="L1467" s="2043">
        <v>961637.25547059195</v>
      </c>
      <c r="M1467">
        <v>599</v>
      </c>
      <c r="N1467">
        <v>1</v>
      </c>
    </row>
    <row r="1468" spans="1:14">
      <c r="A1468" t="s">
        <v>3043</v>
      </c>
      <c r="B1468" t="s">
        <v>56</v>
      </c>
      <c r="C1468" t="s">
        <v>1790</v>
      </c>
      <c r="D1468" s="41">
        <v>9</v>
      </c>
      <c r="E1468" s="41">
        <v>1985</v>
      </c>
      <c r="F1468" s="41" t="s">
        <v>4160</v>
      </c>
      <c r="G1468" s="41" t="s">
        <v>4160</v>
      </c>
      <c r="H1468" s="2043">
        <v>5948498</v>
      </c>
      <c r="I1468" s="2043">
        <v>0</v>
      </c>
      <c r="J1468">
        <v>0</v>
      </c>
      <c r="K1468" s="2043">
        <v>0</v>
      </c>
      <c r="L1468" s="2043">
        <v>0</v>
      </c>
      <c r="M1468">
        <v>599</v>
      </c>
      <c r="N1468">
        <v>1</v>
      </c>
    </row>
    <row r="1469" spans="1:14">
      <c r="A1469" t="s">
        <v>3043</v>
      </c>
      <c r="B1469" t="s">
        <v>56</v>
      </c>
      <c r="C1469" t="s">
        <v>1790</v>
      </c>
      <c r="D1469" s="41">
        <v>9</v>
      </c>
      <c r="E1469" s="41">
        <v>1985</v>
      </c>
      <c r="F1469" s="41" t="s">
        <v>4160</v>
      </c>
      <c r="G1469" s="41" t="s">
        <v>4159</v>
      </c>
      <c r="H1469" s="2043">
        <v>5948498</v>
      </c>
      <c r="I1469" s="2043">
        <v>2181540</v>
      </c>
      <c r="J1469">
        <v>0.38898383736262598</v>
      </c>
      <c r="K1469" s="2043">
        <v>2313869.5785838999</v>
      </c>
      <c r="L1469" s="2043">
        <v>2181540</v>
      </c>
      <c r="M1469">
        <v>599</v>
      </c>
      <c r="N1469">
        <v>1</v>
      </c>
    </row>
    <row r="1470" spans="1:14">
      <c r="A1470" t="s">
        <v>3043</v>
      </c>
      <c r="B1470" t="s">
        <v>56</v>
      </c>
      <c r="C1470" t="s">
        <v>1790</v>
      </c>
      <c r="D1470" s="41">
        <v>9</v>
      </c>
      <c r="E1470" s="41">
        <v>1985</v>
      </c>
      <c r="F1470" s="41" t="s">
        <v>4160</v>
      </c>
      <c r="G1470" s="41" t="s">
        <v>5418</v>
      </c>
      <c r="H1470" s="2043">
        <v>5948498</v>
      </c>
      <c r="I1470" s="2043">
        <v>3028998</v>
      </c>
      <c r="J1470">
        <v>0.54009152497947199</v>
      </c>
      <c r="K1470" s="2043">
        <v>3212733.3561573401</v>
      </c>
      <c r="L1470" s="2043">
        <v>3028998</v>
      </c>
      <c r="M1470">
        <v>599</v>
      </c>
      <c r="N1470">
        <v>1</v>
      </c>
    </row>
    <row r="1471" spans="1:14">
      <c r="A1471" t="s">
        <v>3043</v>
      </c>
      <c r="B1471" t="s">
        <v>56</v>
      </c>
      <c r="C1471" t="s">
        <v>1790</v>
      </c>
      <c r="D1471" s="41">
        <v>9</v>
      </c>
      <c r="E1471" s="41">
        <v>1985</v>
      </c>
      <c r="F1471" s="41" t="s">
        <v>4160</v>
      </c>
      <c r="G1471" s="41" t="s">
        <v>7212</v>
      </c>
      <c r="H1471" s="2043">
        <v>5948498</v>
      </c>
      <c r="I1471" s="2043">
        <v>130898</v>
      </c>
      <c r="J1471">
        <v>2.3340028760918001E-2</v>
      </c>
      <c r="K1471" s="2043">
        <v>138838.114404263</v>
      </c>
      <c r="L1471" s="2043">
        <v>130898</v>
      </c>
      <c r="M1471">
        <v>599</v>
      </c>
      <c r="N1471">
        <v>1</v>
      </c>
    </row>
    <row r="1472" spans="1:14">
      <c r="A1472" t="s">
        <v>3043</v>
      </c>
      <c r="B1472" t="s">
        <v>56</v>
      </c>
      <c r="C1472" t="s">
        <v>1790</v>
      </c>
      <c r="D1472" s="41">
        <v>9</v>
      </c>
      <c r="E1472" s="41">
        <v>1985</v>
      </c>
      <c r="F1472" s="41" t="s">
        <v>4160</v>
      </c>
      <c r="G1472" s="41" t="s">
        <v>9363</v>
      </c>
      <c r="H1472" s="2043">
        <v>5948498</v>
      </c>
      <c r="I1472" s="2043">
        <v>266869</v>
      </c>
      <c r="J1472">
        <v>4.7584608896984001E-2</v>
      </c>
      <c r="K1472" s="2043">
        <v>283056.95085449202</v>
      </c>
      <c r="L1472" s="2043">
        <v>266869</v>
      </c>
      <c r="M1472">
        <v>599</v>
      </c>
      <c r="N1472">
        <v>1</v>
      </c>
    </row>
    <row r="1473" spans="1:14">
      <c r="A1473" t="s">
        <v>3044</v>
      </c>
      <c r="B1473" t="s">
        <v>682</v>
      </c>
      <c r="C1473" t="s">
        <v>132</v>
      </c>
      <c r="D1473" s="41">
        <v>4</v>
      </c>
      <c r="E1473" s="41">
        <v>2440</v>
      </c>
      <c r="F1473" s="41" t="s">
        <v>4161</v>
      </c>
      <c r="G1473" s="41" t="s">
        <v>4161</v>
      </c>
      <c r="H1473" s="2043">
        <v>1471397</v>
      </c>
      <c r="I1473" s="2043">
        <v>0</v>
      </c>
      <c r="J1473">
        <v>0</v>
      </c>
      <c r="K1473" s="2043">
        <v>0</v>
      </c>
      <c r="L1473" s="2043">
        <v>0</v>
      </c>
      <c r="M1473">
        <v>599</v>
      </c>
      <c r="N1473">
        <v>0</v>
      </c>
    </row>
    <row r="1474" spans="1:14">
      <c r="A1474" t="s">
        <v>3044</v>
      </c>
      <c r="B1474" t="s">
        <v>682</v>
      </c>
      <c r="C1474" t="s">
        <v>132</v>
      </c>
      <c r="D1474" s="41">
        <v>4</v>
      </c>
      <c r="E1474" s="41">
        <v>2440</v>
      </c>
      <c r="F1474" s="41" t="s">
        <v>4161</v>
      </c>
      <c r="G1474" s="41" t="s">
        <v>4162</v>
      </c>
      <c r="H1474" s="2043">
        <v>1471397</v>
      </c>
      <c r="I1474" s="2043">
        <v>0</v>
      </c>
      <c r="J1474">
        <v>0</v>
      </c>
      <c r="K1474" s="2043">
        <v>0</v>
      </c>
      <c r="L1474" s="2043">
        <v>0</v>
      </c>
      <c r="M1474">
        <v>599</v>
      </c>
      <c r="N1474">
        <v>0</v>
      </c>
    </row>
    <row r="1475" spans="1:14">
      <c r="A1475" t="s">
        <v>3044</v>
      </c>
      <c r="B1475" t="s">
        <v>682</v>
      </c>
      <c r="C1475" t="s">
        <v>132</v>
      </c>
      <c r="D1475" s="41">
        <v>4</v>
      </c>
      <c r="E1475" s="41">
        <v>2440</v>
      </c>
      <c r="F1475" s="41" t="s">
        <v>4161</v>
      </c>
      <c r="G1475" s="41" t="s">
        <v>5420</v>
      </c>
      <c r="H1475" s="2043">
        <v>1471397</v>
      </c>
      <c r="I1475" s="2043">
        <v>1433625</v>
      </c>
      <c r="J1475">
        <v>1</v>
      </c>
      <c r="K1475" s="2043">
        <v>1471397</v>
      </c>
      <c r="L1475" s="2043">
        <v>1433625</v>
      </c>
      <c r="M1475">
        <v>599</v>
      </c>
      <c r="N1475">
        <v>1</v>
      </c>
    </row>
    <row r="1476" spans="1:14">
      <c r="A1476" t="s">
        <v>3044</v>
      </c>
      <c r="B1476" t="s">
        <v>682</v>
      </c>
      <c r="C1476" t="s">
        <v>132</v>
      </c>
      <c r="D1476" s="41">
        <v>8</v>
      </c>
      <c r="E1476" s="41">
        <v>2441</v>
      </c>
      <c r="F1476" s="41" t="s">
        <v>4163</v>
      </c>
      <c r="G1476" s="41" t="s">
        <v>4163</v>
      </c>
      <c r="H1476" s="2043">
        <v>1506042</v>
      </c>
      <c r="I1476" s="2043">
        <v>0</v>
      </c>
      <c r="J1476">
        <v>0</v>
      </c>
      <c r="K1476" s="2043">
        <v>0</v>
      </c>
      <c r="L1476" s="2043">
        <v>0</v>
      </c>
      <c r="M1476">
        <v>599</v>
      </c>
      <c r="N1476">
        <v>1</v>
      </c>
    </row>
    <row r="1477" spans="1:14">
      <c r="A1477" t="s">
        <v>3044</v>
      </c>
      <c r="B1477" t="s">
        <v>682</v>
      </c>
      <c r="C1477" t="s">
        <v>132</v>
      </c>
      <c r="D1477" s="41">
        <v>8</v>
      </c>
      <c r="E1477" s="41">
        <v>2441</v>
      </c>
      <c r="F1477" s="41" t="s">
        <v>4163</v>
      </c>
      <c r="G1477" s="41" t="s">
        <v>5419</v>
      </c>
      <c r="H1477" s="2043">
        <v>1506042</v>
      </c>
      <c r="I1477" s="2043">
        <v>1352050</v>
      </c>
      <c r="J1477">
        <v>1</v>
      </c>
      <c r="K1477" s="2043">
        <v>1506042</v>
      </c>
      <c r="L1477" s="2043">
        <v>1352050</v>
      </c>
      <c r="M1477">
        <v>599</v>
      </c>
      <c r="N1477">
        <v>1</v>
      </c>
    </row>
    <row r="1478" spans="1:14">
      <c r="A1478" t="s">
        <v>3044</v>
      </c>
      <c r="B1478" t="s">
        <v>682</v>
      </c>
      <c r="C1478" t="s">
        <v>132</v>
      </c>
      <c r="D1478" s="41">
        <v>9</v>
      </c>
      <c r="E1478" s="41">
        <v>2442</v>
      </c>
      <c r="F1478" s="41" t="s">
        <v>4164</v>
      </c>
      <c r="G1478" s="41" t="s">
        <v>4164</v>
      </c>
      <c r="H1478" s="2043">
        <v>1586343</v>
      </c>
      <c r="I1478" s="2043">
        <v>0</v>
      </c>
      <c r="J1478">
        <v>0</v>
      </c>
      <c r="K1478" s="2043">
        <v>0</v>
      </c>
      <c r="L1478" s="2043">
        <v>0</v>
      </c>
      <c r="M1478">
        <v>599</v>
      </c>
      <c r="N1478">
        <v>1</v>
      </c>
    </row>
    <row r="1479" spans="1:14">
      <c r="A1479" t="s">
        <v>3044</v>
      </c>
      <c r="B1479" t="s">
        <v>682</v>
      </c>
      <c r="C1479" t="s">
        <v>132</v>
      </c>
      <c r="D1479" s="41">
        <v>9</v>
      </c>
      <c r="E1479" s="41">
        <v>2442</v>
      </c>
      <c r="F1479" s="41" t="s">
        <v>4164</v>
      </c>
      <c r="G1479" s="41" t="s">
        <v>7213</v>
      </c>
      <c r="H1479" s="2043">
        <v>1586343</v>
      </c>
      <c r="I1479" s="2043">
        <v>1167400</v>
      </c>
      <c r="J1479">
        <v>1</v>
      </c>
      <c r="K1479" s="2043">
        <v>1586343</v>
      </c>
      <c r="L1479" s="2043">
        <v>1167400</v>
      </c>
      <c r="M1479">
        <v>599</v>
      </c>
      <c r="N1479">
        <v>1</v>
      </c>
    </row>
    <row r="1480" spans="1:14">
      <c r="A1480" t="s">
        <v>3045</v>
      </c>
      <c r="B1480" t="s">
        <v>58</v>
      </c>
      <c r="C1480" t="s">
        <v>2175</v>
      </c>
      <c r="D1480" s="41">
        <v>1</v>
      </c>
      <c r="E1480" s="41">
        <v>1993</v>
      </c>
      <c r="F1480" s="41" t="s">
        <v>4165</v>
      </c>
      <c r="G1480" s="41" t="s">
        <v>4165</v>
      </c>
      <c r="H1480" s="2043">
        <v>163370</v>
      </c>
      <c r="I1480" s="2043">
        <v>0</v>
      </c>
      <c r="J1480">
        <v>0</v>
      </c>
      <c r="K1480" s="2043">
        <v>0</v>
      </c>
      <c r="L1480" s="2043">
        <v>0</v>
      </c>
      <c r="M1480">
        <v>599</v>
      </c>
      <c r="N1480">
        <v>0</v>
      </c>
    </row>
    <row r="1481" spans="1:14">
      <c r="A1481" t="s">
        <v>3045</v>
      </c>
      <c r="B1481" t="s">
        <v>58</v>
      </c>
      <c r="C1481" t="s">
        <v>2175</v>
      </c>
      <c r="D1481" s="41">
        <v>1</v>
      </c>
      <c r="E1481" s="41">
        <v>1993</v>
      </c>
      <c r="F1481" s="41" t="s">
        <v>4165</v>
      </c>
      <c r="G1481" s="41" t="s">
        <v>4166</v>
      </c>
      <c r="H1481" s="2043">
        <v>163370</v>
      </c>
      <c r="I1481" s="2043">
        <v>0</v>
      </c>
      <c r="J1481">
        <v>0</v>
      </c>
      <c r="K1481" s="2043">
        <v>0</v>
      </c>
      <c r="L1481" s="2043">
        <v>0</v>
      </c>
      <c r="M1481">
        <v>599</v>
      </c>
      <c r="N1481">
        <v>1</v>
      </c>
    </row>
    <row r="1482" spans="1:14">
      <c r="A1482" t="s">
        <v>3045</v>
      </c>
      <c r="B1482" t="s">
        <v>58</v>
      </c>
      <c r="C1482" t="s">
        <v>2175</v>
      </c>
      <c r="D1482" s="41">
        <v>1</v>
      </c>
      <c r="E1482" s="41">
        <v>1993</v>
      </c>
      <c r="F1482" s="41" t="s">
        <v>4165</v>
      </c>
      <c r="G1482" s="41" t="s">
        <v>7330</v>
      </c>
      <c r="H1482" s="2043">
        <v>163370</v>
      </c>
      <c r="I1482" s="2043">
        <v>150382</v>
      </c>
      <c r="J1482">
        <v>1</v>
      </c>
      <c r="K1482" s="2043">
        <v>163370</v>
      </c>
      <c r="L1482" s="2043">
        <v>150382</v>
      </c>
      <c r="M1482">
        <v>599</v>
      </c>
      <c r="N1482">
        <v>1</v>
      </c>
    </row>
    <row r="1483" spans="1:14">
      <c r="A1483" t="s">
        <v>3045</v>
      </c>
      <c r="B1483" t="s">
        <v>58</v>
      </c>
      <c r="C1483" t="s">
        <v>2175</v>
      </c>
      <c r="D1483" s="41">
        <v>4</v>
      </c>
      <c r="E1483" s="41">
        <v>1994</v>
      </c>
      <c r="F1483" s="41" t="s">
        <v>4167</v>
      </c>
      <c r="G1483" s="41" t="s">
        <v>4167</v>
      </c>
      <c r="H1483" s="2043">
        <v>173535</v>
      </c>
      <c r="I1483" s="2043">
        <v>0</v>
      </c>
      <c r="J1483">
        <v>0</v>
      </c>
      <c r="K1483" s="2043">
        <v>0</v>
      </c>
      <c r="L1483" s="2043">
        <v>0</v>
      </c>
      <c r="M1483">
        <v>599</v>
      </c>
      <c r="N1483">
        <v>0</v>
      </c>
    </row>
    <row r="1484" spans="1:14">
      <c r="A1484" t="s">
        <v>3045</v>
      </c>
      <c r="B1484" t="s">
        <v>58</v>
      </c>
      <c r="C1484" t="s">
        <v>2175</v>
      </c>
      <c r="D1484" s="41">
        <v>4</v>
      </c>
      <c r="E1484" s="41">
        <v>1994</v>
      </c>
      <c r="F1484" s="41" t="s">
        <v>4167</v>
      </c>
      <c r="G1484" s="41" t="s">
        <v>4166</v>
      </c>
      <c r="H1484" s="2043">
        <v>173535</v>
      </c>
      <c r="I1484" s="2043">
        <v>0</v>
      </c>
      <c r="J1484">
        <v>0</v>
      </c>
      <c r="K1484" s="2043">
        <v>0</v>
      </c>
      <c r="L1484" s="2043">
        <v>0</v>
      </c>
      <c r="M1484">
        <v>599</v>
      </c>
      <c r="N1484">
        <v>1</v>
      </c>
    </row>
    <row r="1485" spans="1:14">
      <c r="A1485" t="s">
        <v>3045</v>
      </c>
      <c r="B1485" t="s">
        <v>58</v>
      </c>
      <c r="C1485" t="s">
        <v>2175</v>
      </c>
      <c r="D1485" s="41">
        <v>4</v>
      </c>
      <c r="E1485" s="41">
        <v>1994</v>
      </c>
      <c r="F1485" s="41" t="s">
        <v>4167</v>
      </c>
      <c r="G1485" s="41" t="s">
        <v>7330</v>
      </c>
      <c r="H1485" s="2043">
        <v>173535</v>
      </c>
      <c r="I1485" s="2043">
        <v>166818</v>
      </c>
      <c r="J1485">
        <v>1</v>
      </c>
      <c r="K1485" s="2043">
        <v>173535</v>
      </c>
      <c r="L1485" s="2043">
        <v>166818</v>
      </c>
      <c r="M1485">
        <v>599</v>
      </c>
      <c r="N1485">
        <v>1</v>
      </c>
    </row>
    <row r="1486" spans="1:14">
      <c r="A1486" t="s">
        <v>3046</v>
      </c>
      <c r="B1486" t="s">
        <v>483</v>
      </c>
      <c r="C1486" t="s">
        <v>2119</v>
      </c>
      <c r="D1486" s="41">
        <v>4</v>
      </c>
      <c r="E1486" s="41">
        <v>2115</v>
      </c>
      <c r="F1486" s="41" t="s">
        <v>4168</v>
      </c>
      <c r="G1486" s="41" t="s">
        <v>4168</v>
      </c>
      <c r="H1486" s="2043">
        <v>99356</v>
      </c>
      <c r="I1486" s="2043">
        <v>0</v>
      </c>
      <c r="J1486">
        <v>0</v>
      </c>
      <c r="K1486" s="2043">
        <v>0</v>
      </c>
      <c r="L1486" s="2043">
        <v>0</v>
      </c>
      <c r="M1486">
        <v>599</v>
      </c>
      <c r="N1486">
        <v>0</v>
      </c>
    </row>
    <row r="1487" spans="1:14">
      <c r="A1487" t="s">
        <v>3046</v>
      </c>
      <c r="B1487" t="s">
        <v>483</v>
      </c>
      <c r="C1487" t="s">
        <v>2119</v>
      </c>
      <c r="D1487" s="41">
        <v>4</v>
      </c>
      <c r="E1487" s="41">
        <v>2115</v>
      </c>
      <c r="F1487" s="41" t="s">
        <v>4168</v>
      </c>
      <c r="G1487" s="41" t="s">
        <v>4169</v>
      </c>
      <c r="H1487" s="2043">
        <v>99356</v>
      </c>
      <c r="I1487" s="2043">
        <v>75000</v>
      </c>
      <c r="J1487">
        <v>1</v>
      </c>
      <c r="K1487" s="2043">
        <v>99356</v>
      </c>
      <c r="L1487" s="2043">
        <v>75000</v>
      </c>
      <c r="M1487">
        <v>599</v>
      </c>
      <c r="N1487">
        <v>1</v>
      </c>
    </row>
    <row r="1488" spans="1:14">
      <c r="A1488" t="s">
        <v>3046</v>
      </c>
      <c r="B1488" t="s">
        <v>483</v>
      </c>
      <c r="C1488" t="s">
        <v>2119</v>
      </c>
      <c r="D1488" s="41">
        <v>5</v>
      </c>
      <c r="E1488" s="41">
        <v>2116</v>
      </c>
      <c r="F1488" s="41" t="s">
        <v>4170</v>
      </c>
      <c r="G1488" s="41" t="s">
        <v>4170</v>
      </c>
      <c r="H1488" s="2043">
        <v>110000</v>
      </c>
      <c r="I1488" s="2043">
        <v>0</v>
      </c>
      <c r="J1488">
        <v>0</v>
      </c>
      <c r="K1488" s="2043">
        <v>0</v>
      </c>
      <c r="L1488" s="2043">
        <v>0</v>
      </c>
      <c r="M1488">
        <v>599</v>
      </c>
      <c r="N1488">
        <v>0</v>
      </c>
    </row>
    <row r="1489" spans="1:14">
      <c r="A1489" t="s">
        <v>3046</v>
      </c>
      <c r="B1489" t="s">
        <v>483</v>
      </c>
      <c r="C1489" t="s">
        <v>2119</v>
      </c>
      <c r="D1489" s="41">
        <v>5</v>
      </c>
      <c r="E1489" s="41">
        <v>2116</v>
      </c>
      <c r="F1489" s="41" t="s">
        <v>4170</v>
      </c>
      <c r="G1489" s="41" t="s">
        <v>4169</v>
      </c>
      <c r="H1489" s="2043">
        <v>110000</v>
      </c>
      <c r="I1489" s="2043">
        <v>91200</v>
      </c>
      <c r="J1489">
        <v>1</v>
      </c>
      <c r="K1489" s="2043">
        <v>110000</v>
      </c>
      <c r="L1489" s="2043">
        <v>91200</v>
      </c>
      <c r="M1489">
        <v>599</v>
      </c>
      <c r="N1489">
        <v>1</v>
      </c>
    </row>
    <row r="1490" spans="1:14">
      <c r="A1490" t="s">
        <v>3046</v>
      </c>
      <c r="B1490" t="s">
        <v>483</v>
      </c>
      <c r="C1490" t="s">
        <v>2119</v>
      </c>
      <c r="D1490" s="41">
        <v>9</v>
      </c>
      <c r="E1490" s="41">
        <v>2117</v>
      </c>
      <c r="F1490" s="41" t="s">
        <v>4171</v>
      </c>
      <c r="G1490" s="41" t="s">
        <v>4171</v>
      </c>
      <c r="H1490" s="2043">
        <v>152606</v>
      </c>
      <c r="I1490" s="2043">
        <v>0</v>
      </c>
      <c r="J1490">
        <v>0</v>
      </c>
      <c r="K1490" s="2043">
        <v>0</v>
      </c>
      <c r="L1490" s="2043">
        <v>0</v>
      </c>
      <c r="M1490">
        <v>599</v>
      </c>
      <c r="N1490">
        <v>1</v>
      </c>
    </row>
    <row r="1491" spans="1:14">
      <c r="A1491" t="s">
        <v>3046</v>
      </c>
      <c r="B1491" t="s">
        <v>483</v>
      </c>
      <c r="C1491" t="s">
        <v>2119</v>
      </c>
      <c r="D1491" s="41">
        <v>9</v>
      </c>
      <c r="E1491" s="41">
        <v>2117</v>
      </c>
      <c r="F1491" s="41" t="s">
        <v>4171</v>
      </c>
      <c r="G1491" s="41" t="s">
        <v>7214</v>
      </c>
      <c r="H1491" s="2043">
        <v>152606</v>
      </c>
      <c r="I1491" s="2043">
        <v>148575</v>
      </c>
      <c r="J1491">
        <v>1</v>
      </c>
      <c r="K1491" s="2043">
        <v>152606</v>
      </c>
      <c r="L1491" s="2043">
        <v>148575</v>
      </c>
      <c r="M1491">
        <v>599</v>
      </c>
      <c r="N1491">
        <v>1</v>
      </c>
    </row>
    <row r="1492" spans="1:14">
      <c r="A1492" t="s">
        <v>3046</v>
      </c>
      <c r="B1492" t="s">
        <v>483</v>
      </c>
      <c r="C1492" t="s">
        <v>2119</v>
      </c>
      <c r="D1492" s="41">
        <v>10</v>
      </c>
      <c r="E1492" s="41">
        <v>2118</v>
      </c>
      <c r="F1492" s="41" t="s">
        <v>4172</v>
      </c>
      <c r="G1492" s="41" t="s">
        <v>4172</v>
      </c>
      <c r="H1492" s="2043">
        <v>184727</v>
      </c>
      <c r="I1492" s="2043">
        <v>633400</v>
      </c>
      <c r="J1492">
        <v>1</v>
      </c>
      <c r="K1492" s="2043">
        <v>184727</v>
      </c>
      <c r="L1492" s="2043">
        <v>184727</v>
      </c>
      <c r="M1492">
        <v>599</v>
      </c>
      <c r="N1492">
        <v>1</v>
      </c>
    </row>
    <row r="1493" spans="1:14">
      <c r="A1493" t="s">
        <v>3047</v>
      </c>
      <c r="B1493" t="s">
        <v>1433</v>
      </c>
      <c r="C1493" t="s">
        <v>2231</v>
      </c>
      <c r="D1493" s="41">
        <v>1</v>
      </c>
      <c r="E1493" s="41">
        <v>2413</v>
      </c>
      <c r="F1493" s="41" t="s">
        <v>4173</v>
      </c>
      <c r="G1493" s="41" t="s">
        <v>4173</v>
      </c>
      <c r="H1493" s="2043">
        <v>401791</v>
      </c>
      <c r="I1493" s="2043">
        <v>0</v>
      </c>
      <c r="J1493">
        <v>0</v>
      </c>
      <c r="L1493" s="2043">
        <v>0</v>
      </c>
      <c r="M1493">
        <v>599</v>
      </c>
      <c r="N1493">
        <v>0</v>
      </c>
    </row>
    <row r="1494" spans="1:14">
      <c r="A1494" t="s">
        <v>3047</v>
      </c>
      <c r="B1494" t="s">
        <v>1433</v>
      </c>
      <c r="C1494" t="s">
        <v>2231</v>
      </c>
      <c r="D1494" s="41">
        <v>4</v>
      </c>
      <c r="E1494" s="41">
        <v>2414</v>
      </c>
      <c r="F1494" s="41" t="s">
        <v>4174</v>
      </c>
      <c r="G1494" s="41" t="s">
        <v>4174</v>
      </c>
      <c r="H1494" s="2043">
        <v>511379</v>
      </c>
      <c r="I1494" s="2043">
        <v>0</v>
      </c>
      <c r="J1494">
        <v>0</v>
      </c>
      <c r="K1494" s="2043">
        <v>0</v>
      </c>
      <c r="L1494" s="2043">
        <v>0</v>
      </c>
      <c r="M1494">
        <v>599</v>
      </c>
      <c r="N1494">
        <v>0</v>
      </c>
    </row>
    <row r="1495" spans="1:14">
      <c r="A1495" t="s">
        <v>3047</v>
      </c>
      <c r="B1495" t="s">
        <v>1433</v>
      </c>
      <c r="C1495" t="s">
        <v>2231</v>
      </c>
      <c r="D1495" s="41">
        <v>4</v>
      </c>
      <c r="E1495" s="41">
        <v>2414</v>
      </c>
      <c r="F1495" s="41" t="s">
        <v>4174</v>
      </c>
      <c r="G1495" s="41" t="s">
        <v>4175</v>
      </c>
      <c r="H1495" s="2043">
        <v>511379</v>
      </c>
      <c r="I1495" s="2043">
        <v>485160</v>
      </c>
      <c r="J1495">
        <v>0.51484602160578996</v>
      </c>
      <c r="K1495" s="2043">
        <v>263281.44368274702</v>
      </c>
      <c r="L1495" s="2043">
        <v>263281.44368274702</v>
      </c>
      <c r="M1495">
        <v>599</v>
      </c>
      <c r="N1495">
        <v>1</v>
      </c>
    </row>
    <row r="1496" spans="1:14">
      <c r="A1496" t="s">
        <v>3047</v>
      </c>
      <c r="B1496" t="s">
        <v>1433</v>
      </c>
      <c r="C1496" t="s">
        <v>2231</v>
      </c>
      <c r="D1496" s="41">
        <v>4</v>
      </c>
      <c r="E1496" s="41">
        <v>2414</v>
      </c>
      <c r="F1496" s="41" t="s">
        <v>4174</v>
      </c>
      <c r="G1496" s="41" t="s">
        <v>5601</v>
      </c>
      <c r="H1496" s="2043">
        <v>511379</v>
      </c>
      <c r="I1496" s="2043">
        <v>457180</v>
      </c>
      <c r="J1496">
        <v>0.48515397839420998</v>
      </c>
      <c r="K1496" s="2043">
        <v>248097.55631725301</v>
      </c>
      <c r="L1496" s="2043">
        <v>248097.55631725301</v>
      </c>
      <c r="M1496">
        <v>599</v>
      </c>
      <c r="N1496">
        <v>1</v>
      </c>
    </row>
    <row r="1497" spans="1:14">
      <c r="A1497" t="s">
        <v>3047</v>
      </c>
      <c r="B1497" t="s">
        <v>1433</v>
      </c>
      <c r="C1497" t="s">
        <v>2231</v>
      </c>
      <c r="D1497" s="41">
        <v>5</v>
      </c>
      <c r="E1497" s="41">
        <v>2412</v>
      </c>
      <c r="F1497" s="41" t="s">
        <v>4176</v>
      </c>
      <c r="G1497" s="41" t="s">
        <v>4176</v>
      </c>
      <c r="H1497" s="2043">
        <v>164762</v>
      </c>
      <c r="I1497" s="2043">
        <v>0</v>
      </c>
      <c r="J1497">
        <v>0</v>
      </c>
      <c r="K1497" s="2043">
        <v>0</v>
      </c>
      <c r="L1497" s="2043">
        <v>0</v>
      </c>
      <c r="M1497">
        <v>599</v>
      </c>
      <c r="N1497">
        <v>0</v>
      </c>
    </row>
    <row r="1498" spans="1:14">
      <c r="A1498" t="s">
        <v>3047</v>
      </c>
      <c r="B1498" t="s">
        <v>1433</v>
      </c>
      <c r="C1498" t="s">
        <v>2231</v>
      </c>
      <c r="D1498" s="41">
        <v>5</v>
      </c>
      <c r="E1498" s="41">
        <v>2412</v>
      </c>
      <c r="F1498" s="41" t="s">
        <v>4176</v>
      </c>
      <c r="G1498" s="41" t="s">
        <v>4175</v>
      </c>
      <c r="H1498" s="2043">
        <v>164762</v>
      </c>
      <c r="I1498" s="2043">
        <v>155315</v>
      </c>
      <c r="J1498">
        <v>0.49910183200563002</v>
      </c>
      <c r="K1498" s="2043">
        <v>82233.016044911594</v>
      </c>
      <c r="L1498" s="2043">
        <v>82233.016044911594</v>
      </c>
      <c r="M1498">
        <v>599</v>
      </c>
      <c r="N1498">
        <v>1</v>
      </c>
    </row>
    <row r="1499" spans="1:14">
      <c r="A1499" t="s">
        <v>3047</v>
      </c>
      <c r="B1499" t="s">
        <v>1433</v>
      </c>
      <c r="C1499" t="s">
        <v>2231</v>
      </c>
      <c r="D1499" s="41">
        <v>5</v>
      </c>
      <c r="E1499" s="41">
        <v>2412</v>
      </c>
      <c r="F1499" s="41" t="s">
        <v>4176</v>
      </c>
      <c r="G1499" s="41" t="s">
        <v>5601</v>
      </c>
      <c r="H1499" s="2043">
        <v>164762</v>
      </c>
      <c r="I1499" s="2043">
        <v>155874</v>
      </c>
      <c r="J1499">
        <v>0.50089816799437004</v>
      </c>
      <c r="K1499" s="2043">
        <v>82528.983955088406</v>
      </c>
      <c r="L1499" s="2043">
        <v>82528.983955088406</v>
      </c>
      <c r="M1499">
        <v>599</v>
      </c>
      <c r="N1499">
        <v>1</v>
      </c>
    </row>
    <row r="1500" spans="1:14">
      <c r="A1500" t="s">
        <v>3047</v>
      </c>
      <c r="B1500" t="s">
        <v>1433</v>
      </c>
      <c r="C1500" t="s">
        <v>2231</v>
      </c>
      <c r="D1500" s="41">
        <v>7</v>
      </c>
      <c r="E1500" s="41">
        <v>2415</v>
      </c>
      <c r="F1500" s="41" t="s">
        <v>4177</v>
      </c>
      <c r="G1500" s="41" t="s">
        <v>4177</v>
      </c>
      <c r="H1500" s="2043">
        <v>753475</v>
      </c>
      <c r="I1500" s="2043">
        <v>0</v>
      </c>
      <c r="J1500">
        <v>0</v>
      </c>
      <c r="K1500" s="2043">
        <v>0</v>
      </c>
      <c r="L1500" s="2043">
        <v>0</v>
      </c>
      <c r="M1500">
        <v>599</v>
      </c>
      <c r="N1500">
        <v>0</v>
      </c>
    </row>
    <row r="1501" spans="1:14">
      <c r="A1501" t="s">
        <v>3047</v>
      </c>
      <c r="B1501" t="s">
        <v>1433</v>
      </c>
      <c r="C1501" t="s">
        <v>2231</v>
      </c>
      <c r="D1501" s="41">
        <v>7</v>
      </c>
      <c r="E1501" s="41">
        <v>2415</v>
      </c>
      <c r="F1501" s="41" t="s">
        <v>4177</v>
      </c>
      <c r="G1501" s="41" t="s">
        <v>4178</v>
      </c>
      <c r="H1501" s="2043">
        <v>753475</v>
      </c>
      <c r="I1501" s="2043">
        <v>0</v>
      </c>
      <c r="J1501">
        <v>0</v>
      </c>
      <c r="K1501" s="2043">
        <v>0</v>
      </c>
      <c r="L1501" s="2043">
        <v>0</v>
      </c>
      <c r="M1501">
        <v>599</v>
      </c>
      <c r="N1501">
        <v>1</v>
      </c>
    </row>
    <row r="1502" spans="1:14">
      <c r="A1502" t="s">
        <v>3047</v>
      </c>
      <c r="B1502" t="s">
        <v>1433</v>
      </c>
      <c r="C1502" t="s">
        <v>2231</v>
      </c>
      <c r="D1502" s="41">
        <v>7</v>
      </c>
      <c r="E1502" s="41">
        <v>2415</v>
      </c>
      <c r="F1502" s="41" t="s">
        <v>4177</v>
      </c>
      <c r="G1502" s="41" t="s">
        <v>4179</v>
      </c>
      <c r="H1502" s="2043">
        <v>753475</v>
      </c>
      <c r="I1502" s="2043">
        <v>427609</v>
      </c>
      <c r="J1502">
        <v>0.63059036231638299</v>
      </c>
      <c r="K1502" s="2043">
        <v>475134.07324633602</v>
      </c>
      <c r="L1502" s="2043">
        <v>427609</v>
      </c>
      <c r="M1502">
        <v>599</v>
      </c>
      <c r="N1502">
        <v>1</v>
      </c>
    </row>
    <row r="1503" spans="1:14">
      <c r="A1503" t="s">
        <v>3047</v>
      </c>
      <c r="B1503" t="s">
        <v>1433</v>
      </c>
      <c r="C1503" t="s">
        <v>2231</v>
      </c>
      <c r="D1503" s="41">
        <v>7</v>
      </c>
      <c r="E1503" s="41">
        <v>2415</v>
      </c>
      <c r="F1503" s="41" t="s">
        <v>4177</v>
      </c>
      <c r="G1503" s="41" t="s">
        <v>5421</v>
      </c>
      <c r="H1503" s="2043">
        <v>753475</v>
      </c>
      <c r="I1503" s="2043">
        <v>0</v>
      </c>
      <c r="J1503">
        <v>0</v>
      </c>
      <c r="K1503" s="2043">
        <v>0</v>
      </c>
      <c r="L1503" s="2043">
        <v>0</v>
      </c>
      <c r="M1503">
        <v>599</v>
      </c>
      <c r="N1503">
        <v>1</v>
      </c>
    </row>
    <row r="1504" spans="1:14">
      <c r="A1504" t="s">
        <v>3047</v>
      </c>
      <c r="B1504" t="s">
        <v>1433</v>
      </c>
      <c r="C1504" t="s">
        <v>2231</v>
      </c>
      <c r="D1504" s="41">
        <v>7</v>
      </c>
      <c r="E1504" s="41">
        <v>2415</v>
      </c>
      <c r="F1504" s="41" t="s">
        <v>4177</v>
      </c>
      <c r="G1504" s="41" t="s">
        <v>8571</v>
      </c>
      <c r="H1504" s="2043">
        <v>753475</v>
      </c>
      <c r="I1504" s="2043">
        <v>250500</v>
      </c>
      <c r="J1504">
        <v>0.36940963768361701</v>
      </c>
      <c r="K1504" s="2043">
        <v>278340.92675366398</v>
      </c>
      <c r="L1504" s="2043">
        <v>250500</v>
      </c>
      <c r="M1504">
        <v>599</v>
      </c>
      <c r="N1504">
        <v>1</v>
      </c>
    </row>
    <row r="1505" spans="1:14">
      <c r="A1505" t="s">
        <v>3047</v>
      </c>
      <c r="B1505" t="s">
        <v>1433</v>
      </c>
      <c r="C1505" t="s">
        <v>2231</v>
      </c>
      <c r="D1505" s="41">
        <v>8</v>
      </c>
      <c r="E1505" s="41">
        <v>2416</v>
      </c>
      <c r="F1505" s="41" t="s">
        <v>4180</v>
      </c>
      <c r="G1505" s="41" t="s">
        <v>4180</v>
      </c>
      <c r="H1505" s="2043">
        <v>913768</v>
      </c>
      <c r="I1505" s="2043">
        <v>0</v>
      </c>
      <c r="J1505">
        <v>0</v>
      </c>
      <c r="K1505" s="2043">
        <v>0</v>
      </c>
      <c r="L1505" s="2043">
        <v>0</v>
      </c>
      <c r="M1505">
        <v>599</v>
      </c>
      <c r="N1505">
        <v>1</v>
      </c>
    </row>
    <row r="1506" spans="1:14">
      <c r="A1506" t="s">
        <v>3047</v>
      </c>
      <c r="B1506" t="s">
        <v>1433</v>
      </c>
      <c r="C1506" t="s">
        <v>2231</v>
      </c>
      <c r="D1506" s="41">
        <v>8</v>
      </c>
      <c r="E1506" s="41">
        <v>2416</v>
      </c>
      <c r="F1506" s="41" t="s">
        <v>4180</v>
      </c>
      <c r="G1506" s="41" t="s">
        <v>4179</v>
      </c>
      <c r="H1506" s="2043">
        <v>913768</v>
      </c>
      <c r="I1506" s="2043">
        <v>445991</v>
      </c>
      <c r="J1506">
        <v>0.47402180544307099</v>
      </c>
      <c r="K1506" s="2043">
        <v>433145.95711610402</v>
      </c>
      <c r="L1506" s="2043">
        <v>433145.95711610402</v>
      </c>
      <c r="M1506">
        <v>599</v>
      </c>
      <c r="N1506">
        <v>1</v>
      </c>
    </row>
    <row r="1507" spans="1:14">
      <c r="A1507" t="s">
        <v>3047</v>
      </c>
      <c r="B1507" t="s">
        <v>1433</v>
      </c>
      <c r="C1507" t="s">
        <v>2231</v>
      </c>
      <c r="D1507" s="41">
        <v>8</v>
      </c>
      <c r="E1507" s="41">
        <v>2416</v>
      </c>
      <c r="F1507" s="41" t="s">
        <v>4180</v>
      </c>
      <c r="G1507" s="41" t="s">
        <v>5421</v>
      </c>
      <c r="H1507" s="2043">
        <v>913768</v>
      </c>
      <c r="I1507" s="2043">
        <v>494875</v>
      </c>
      <c r="J1507">
        <v>0.52597819455692996</v>
      </c>
      <c r="K1507" s="2043">
        <v>480622.04288389598</v>
      </c>
      <c r="L1507" s="2043">
        <v>480622.04288389598</v>
      </c>
      <c r="M1507">
        <v>599</v>
      </c>
      <c r="N1507">
        <v>1</v>
      </c>
    </row>
    <row r="1508" spans="1:14">
      <c r="A1508" t="s">
        <v>3047</v>
      </c>
      <c r="B1508" t="s">
        <v>1433</v>
      </c>
      <c r="C1508" t="s">
        <v>2231</v>
      </c>
      <c r="D1508" s="41">
        <v>9</v>
      </c>
      <c r="E1508" s="41">
        <v>2417</v>
      </c>
      <c r="F1508" s="41" t="s">
        <v>4181</v>
      </c>
      <c r="G1508" s="41" t="s">
        <v>4181</v>
      </c>
      <c r="H1508" s="2043">
        <v>1075060</v>
      </c>
      <c r="I1508" s="2043">
        <v>0</v>
      </c>
      <c r="J1508">
        <v>0</v>
      </c>
      <c r="K1508" s="2043">
        <v>0</v>
      </c>
      <c r="L1508" s="2043">
        <v>0</v>
      </c>
      <c r="M1508">
        <v>599</v>
      </c>
      <c r="N1508">
        <v>1</v>
      </c>
    </row>
    <row r="1509" spans="1:14">
      <c r="A1509" t="s">
        <v>3047</v>
      </c>
      <c r="B1509" t="s">
        <v>1433</v>
      </c>
      <c r="C1509" t="s">
        <v>2231</v>
      </c>
      <c r="D1509" s="41">
        <v>9</v>
      </c>
      <c r="E1509" s="41">
        <v>2417</v>
      </c>
      <c r="F1509" s="41" t="s">
        <v>4181</v>
      </c>
      <c r="G1509" s="41" t="s">
        <v>5602</v>
      </c>
      <c r="H1509" s="2043">
        <v>1075060</v>
      </c>
      <c r="I1509" s="2043">
        <v>282400</v>
      </c>
      <c r="J1509">
        <v>0.30377023611036402</v>
      </c>
      <c r="K1509" s="2043">
        <v>326571.23003280797</v>
      </c>
      <c r="L1509" s="2043">
        <v>282400</v>
      </c>
      <c r="M1509">
        <v>599</v>
      </c>
      <c r="N1509">
        <v>1</v>
      </c>
    </row>
    <row r="1510" spans="1:14">
      <c r="A1510" t="s">
        <v>3047</v>
      </c>
      <c r="B1510" t="s">
        <v>1433</v>
      </c>
      <c r="C1510" t="s">
        <v>2231</v>
      </c>
      <c r="D1510" s="41">
        <v>9</v>
      </c>
      <c r="E1510" s="41">
        <v>2417</v>
      </c>
      <c r="F1510" s="41" t="s">
        <v>4181</v>
      </c>
      <c r="G1510" s="41" t="s">
        <v>8571</v>
      </c>
      <c r="H1510" s="2043">
        <v>1075060</v>
      </c>
      <c r="I1510" s="2043">
        <v>647250</v>
      </c>
      <c r="J1510">
        <v>0.69622976388963598</v>
      </c>
      <c r="K1510" s="2043">
        <v>748488.76996719197</v>
      </c>
      <c r="L1510" s="2043">
        <v>647250</v>
      </c>
      <c r="M1510">
        <v>599</v>
      </c>
      <c r="N1510">
        <v>1</v>
      </c>
    </row>
    <row r="1511" spans="1:14">
      <c r="A1511" t="s">
        <v>3048</v>
      </c>
      <c r="B1511" t="s">
        <v>140</v>
      </c>
      <c r="C1511" t="s">
        <v>2031</v>
      </c>
      <c r="D1511" s="41">
        <v>9</v>
      </c>
      <c r="E1511" s="41">
        <v>1541</v>
      </c>
      <c r="F1511" s="41" t="s">
        <v>4182</v>
      </c>
      <c r="G1511" s="41" t="s">
        <v>4182</v>
      </c>
      <c r="H1511" s="2043">
        <v>100000</v>
      </c>
      <c r="I1511" s="2043">
        <v>0</v>
      </c>
      <c r="J1511">
        <v>0</v>
      </c>
      <c r="K1511" s="2043">
        <v>0</v>
      </c>
      <c r="L1511" s="2043">
        <v>0</v>
      </c>
      <c r="M1511">
        <v>599</v>
      </c>
      <c r="N1511">
        <v>1</v>
      </c>
    </row>
    <row r="1512" spans="1:14">
      <c r="A1512" t="s">
        <v>3048</v>
      </c>
      <c r="B1512" t="s">
        <v>140</v>
      </c>
      <c r="C1512" t="s">
        <v>2031</v>
      </c>
      <c r="D1512" s="41">
        <v>9</v>
      </c>
      <c r="E1512" s="41">
        <v>1541</v>
      </c>
      <c r="F1512" s="41" t="s">
        <v>4182</v>
      </c>
      <c r="G1512" s="41" t="s">
        <v>5422</v>
      </c>
      <c r="H1512" s="2043">
        <v>100000</v>
      </c>
      <c r="I1512" s="2043">
        <v>240888</v>
      </c>
      <c r="J1512">
        <v>1</v>
      </c>
      <c r="K1512" s="2043">
        <v>100000</v>
      </c>
      <c r="L1512" s="2043">
        <v>100000</v>
      </c>
      <c r="M1512">
        <v>599</v>
      </c>
      <c r="N1512">
        <v>1</v>
      </c>
    </row>
    <row r="1513" spans="1:14">
      <c r="A1513" t="s">
        <v>3049</v>
      </c>
      <c r="B1513" t="s">
        <v>2369</v>
      </c>
      <c r="C1513" t="s">
        <v>851</v>
      </c>
      <c r="D1513" s="41">
        <v>6</v>
      </c>
      <c r="E1513" s="41">
        <v>1656</v>
      </c>
      <c r="F1513" s="41" t="s">
        <v>4183</v>
      </c>
      <c r="G1513" s="41" t="s">
        <v>4183</v>
      </c>
      <c r="H1513" s="2043">
        <v>93778</v>
      </c>
      <c r="I1513" s="2043">
        <v>0</v>
      </c>
      <c r="J1513">
        <v>0</v>
      </c>
      <c r="K1513" s="2043">
        <v>0</v>
      </c>
      <c r="L1513" s="2043">
        <v>0</v>
      </c>
      <c r="M1513">
        <v>599</v>
      </c>
      <c r="N1513">
        <v>0</v>
      </c>
    </row>
    <row r="1514" spans="1:14">
      <c r="A1514" t="s">
        <v>3049</v>
      </c>
      <c r="B1514" t="s">
        <v>2369</v>
      </c>
      <c r="C1514" t="s">
        <v>851</v>
      </c>
      <c r="D1514" s="41">
        <v>6</v>
      </c>
      <c r="E1514" s="41">
        <v>1656</v>
      </c>
      <c r="F1514" s="41" t="s">
        <v>4183</v>
      </c>
      <c r="G1514" s="41" t="s">
        <v>4184</v>
      </c>
      <c r="H1514" s="2043">
        <v>93778</v>
      </c>
      <c r="I1514" s="2043">
        <v>90075</v>
      </c>
      <c r="J1514">
        <v>1</v>
      </c>
      <c r="K1514" s="2043">
        <v>93778</v>
      </c>
      <c r="L1514" s="2043">
        <v>90075</v>
      </c>
      <c r="M1514">
        <v>599</v>
      </c>
      <c r="N1514">
        <v>1</v>
      </c>
    </row>
    <row r="1515" spans="1:14">
      <c r="A1515" t="s">
        <v>4185</v>
      </c>
      <c r="B1515" t="s">
        <v>2264</v>
      </c>
      <c r="C1515" t="s">
        <v>626</v>
      </c>
      <c r="D1515" s="41">
        <v>3</v>
      </c>
      <c r="E1515" s="41">
        <v>1727</v>
      </c>
      <c r="F1515" s="41" t="s">
        <v>4186</v>
      </c>
      <c r="G1515" s="41" t="s">
        <v>4186</v>
      </c>
      <c r="H1515" s="2043">
        <v>111000</v>
      </c>
      <c r="I1515" s="2043">
        <v>0</v>
      </c>
      <c r="J1515">
        <v>0</v>
      </c>
      <c r="L1515" s="2043">
        <v>0</v>
      </c>
      <c r="M1515">
        <v>199</v>
      </c>
      <c r="N1515">
        <v>0</v>
      </c>
    </row>
    <row r="1516" spans="1:14">
      <c r="A1516" t="s">
        <v>3050</v>
      </c>
      <c r="B1516" t="s">
        <v>1763</v>
      </c>
      <c r="C1516" t="s">
        <v>2243</v>
      </c>
      <c r="D1516" s="41">
        <v>1</v>
      </c>
      <c r="E1516" s="41">
        <v>1892</v>
      </c>
      <c r="F1516" s="41" t="s">
        <v>4187</v>
      </c>
      <c r="G1516" s="41" t="s">
        <v>4187</v>
      </c>
      <c r="H1516" s="2043">
        <v>373075</v>
      </c>
      <c r="I1516" s="2043">
        <v>0</v>
      </c>
      <c r="J1516">
        <v>0</v>
      </c>
      <c r="K1516" s="2043">
        <v>0</v>
      </c>
      <c r="L1516" s="2043">
        <v>0</v>
      </c>
      <c r="M1516">
        <v>599</v>
      </c>
      <c r="N1516">
        <v>0</v>
      </c>
    </row>
    <row r="1517" spans="1:14">
      <c r="A1517" t="s">
        <v>3050</v>
      </c>
      <c r="B1517" t="s">
        <v>1763</v>
      </c>
      <c r="C1517" t="s">
        <v>2243</v>
      </c>
      <c r="D1517" s="41">
        <v>1</v>
      </c>
      <c r="E1517" s="41">
        <v>1892</v>
      </c>
      <c r="F1517" s="41" t="s">
        <v>4187</v>
      </c>
      <c r="G1517" s="41" t="s">
        <v>4188</v>
      </c>
      <c r="H1517" s="2043">
        <v>373075</v>
      </c>
      <c r="I1517" s="2043">
        <v>0</v>
      </c>
      <c r="J1517">
        <v>0</v>
      </c>
      <c r="K1517" s="2043">
        <v>0</v>
      </c>
      <c r="L1517" s="2043">
        <v>0</v>
      </c>
      <c r="M1517">
        <v>599</v>
      </c>
      <c r="N1517">
        <v>1</v>
      </c>
    </row>
    <row r="1518" spans="1:14">
      <c r="A1518" t="s">
        <v>3050</v>
      </c>
      <c r="B1518" t="s">
        <v>1763</v>
      </c>
      <c r="C1518" t="s">
        <v>2243</v>
      </c>
      <c r="D1518" s="41">
        <v>1</v>
      </c>
      <c r="E1518" s="41">
        <v>1892</v>
      </c>
      <c r="F1518" s="41" t="s">
        <v>4187</v>
      </c>
      <c r="G1518" s="41" t="s">
        <v>4189</v>
      </c>
      <c r="H1518" s="2043">
        <v>373075</v>
      </c>
      <c r="I1518" s="2043">
        <v>0</v>
      </c>
      <c r="J1518">
        <v>0</v>
      </c>
      <c r="K1518" s="2043">
        <v>0</v>
      </c>
      <c r="L1518" s="2043">
        <v>0</v>
      </c>
      <c r="M1518">
        <v>599</v>
      </c>
      <c r="N1518">
        <v>0</v>
      </c>
    </row>
    <row r="1519" spans="1:14">
      <c r="A1519" t="s">
        <v>3050</v>
      </c>
      <c r="B1519" t="s">
        <v>1763</v>
      </c>
      <c r="C1519" t="s">
        <v>2243</v>
      </c>
      <c r="D1519" s="41">
        <v>1</v>
      </c>
      <c r="E1519" s="41">
        <v>1892</v>
      </c>
      <c r="F1519" s="41" t="s">
        <v>4187</v>
      </c>
      <c r="G1519" s="41" t="s">
        <v>4190</v>
      </c>
      <c r="H1519" s="2043">
        <v>373075</v>
      </c>
      <c r="I1519" s="2043">
        <v>0</v>
      </c>
      <c r="J1519">
        <v>0</v>
      </c>
      <c r="K1519" s="2043">
        <v>0</v>
      </c>
      <c r="L1519" s="2043">
        <v>0</v>
      </c>
      <c r="M1519">
        <v>599</v>
      </c>
      <c r="N1519">
        <v>0</v>
      </c>
    </row>
    <row r="1520" spans="1:14">
      <c r="A1520" t="s">
        <v>3050</v>
      </c>
      <c r="B1520" t="s">
        <v>1763</v>
      </c>
      <c r="C1520" t="s">
        <v>2243</v>
      </c>
      <c r="D1520" s="41">
        <v>1</v>
      </c>
      <c r="E1520" s="41">
        <v>1892</v>
      </c>
      <c r="F1520" s="41" t="s">
        <v>4187</v>
      </c>
      <c r="G1520" s="41" t="s">
        <v>4191</v>
      </c>
      <c r="H1520" s="2043">
        <v>373075</v>
      </c>
      <c r="I1520" s="2043">
        <v>603244</v>
      </c>
      <c r="J1520">
        <v>0.99663462094465205</v>
      </c>
      <c r="K1520" s="2043">
        <v>371819.46120892599</v>
      </c>
      <c r="L1520" s="2043">
        <v>371819.46120892599</v>
      </c>
      <c r="M1520">
        <v>599</v>
      </c>
      <c r="N1520">
        <v>1</v>
      </c>
    </row>
    <row r="1521" spans="1:14">
      <c r="A1521" t="s">
        <v>3050</v>
      </c>
      <c r="B1521" t="s">
        <v>1763</v>
      </c>
      <c r="C1521" t="s">
        <v>2243</v>
      </c>
      <c r="D1521" s="41">
        <v>1</v>
      </c>
      <c r="E1521" s="41">
        <v>1892</v>
      </c>
      <c r="F1521" s="41" t="s">
        <v>4187</v>
      </c>
      <c r="G1521" s="41" t="s">
        <v>5423</v>
      </c>
      <c r="H1521" s="2043">
        <v>373075</v>
      </c>
      <c r="I1521" s="2043">
        <v>2037</v>
      </c>
      <c r="J1521">
        <v>3.3653790553478499E-3</v>
      </c>
      <c r="K1521" s="2043">
        <v>1255.5387910739</v>
      </c>
      <c r="L1521" s="2043">
        <v>1255.5387910739</v>
      </c>
      <c r="M1521">
        <v>599</v>
      </c>
      <c r="N1521">
        <v>0</v>
      </c>
    </row>
    <row r="1522" spans="1:14">
      <c r="A1522" t="s">
        <v>3050</v>
      </c>
      <c r="B1522" t="s">
        <v>1763</v>
      </c>
      <c r="C1522" t="s">
        <v>2243</v>
      </c>
      <c r="D1522" s="41">
        <v>6</v>
      </c>
      <c r="E1522" s="41">
        <v>1893</v>
      </c>
      <c r="F1522" s="41" t="s">
        <v>4188</v>
      </c>
      <c r="G1522" s="41" t="s">
        <v>4188</v>
      </c>
      <c r="H1522" s="2043">
        <v>449169</v>
      </c>
      <c r="I1522" s="2043">
        <v>0</v>
      </c>
      <c r="J1522">
        <v>0</v>
      </c>
      <c r="K1522" s="2043">
        <v>0</v>
      </c>
      <c r="L1522" s="2043">
        <v>0</v>
      </c>
      <c r="M1522">
        <v>599</v>
      </c>
      <c r="N1522">
        <v>1</v>
      </c>
    </row>
    <row r="1523" spans="1:14">
      <c r="A1523" t="s">
        <v>3050</v>
      </c>
      <c r="B1523" t="s">
        <v>1763</v>
      </c>
      <c r="C1523" t="s">
        <v>2243</v>
      </c>
      <c r="D1523" s="41">
        <v>6</v>
      </c>
      <c r="E1523" s="41">
        <v>1893</v>
      </c>
      <c r="F1523" s="41" t="s">
        <v>4188</v>
      </c>
      <c r="G1523" s="41" t="s">
        <v>4190</v>
      </c>
      <c r="H1523" s="2043">
        <v>449169</v>
      </c>
      <c r="I1523" s="2043">
        <v>823709</v>
      </c>
      <c r="J1523">
        <v>0.53209388315121198</v>
      </c>
      <c r="K1523" s="2043">
        <v>239000.07740114699</v>
      </c>
      <c r="L1523" s="2043">
        <v>239000.07740114699</v>
      </c>
      <c r="M1523">
        <v>599</v>
      </c>
      <c r="N1523">
        <v>0</v>
      </c>
    </row>
    <row r="1524" spans="1:14">
      <c r="A1524" t="s">
        <v>3050</v>
      </c>
      <c r="B1524" t="s">
        <v>1763</v>
      </c>
      <c r="C1524" t="s">
        <v>2243</v>
      </c>
      <c r="D1524" s="41">
        <v>6</v>
      </c>
      <c r="E1524" s="41">
        <v>1893</v>
      </c>
      <c r="F1524" s="41" t="s">
        <v>4188</v>
      </c>
      <c r="G1524" s="41" t="s">
        <v>5423</v>
      </c>
      <c r="H1524" s="2043">
        <v>449169</v>
      </c>
      <c r="I1524" s="2043">
        <v>724343</v>
      </c>
      <c r="J1524">
        <v>0.46790611684878802</v>
      </c>
      <c r="K1524" s="2043">
        <v>210168.92259885301</v>
      </c>
      <c r="L1524" s="2043">
        <v>210168.92259885301</v>
      </c>
      <c r="M1524">
        <v>599</v>
      </c>
      <c r="N1524">
        <v>0</v>
      </c>
    </row>
    <row r="1525" spans="1:14">
      <c r="A1525" t="s">
        <v>3051</v>
      </c>
      <c r="B1525" t="s">
        <v>484</v>
      </c>
      <c r="C1525" t="s">
        <v>2248</v>
      </c>
      <c r="D1525" s="41">
        <v>4</v>
      </c>
      <c r="E1525" s="41">
        <v>1906</v>
      </c>
      <c r="F1525" s="41" t="s">
        <v>4192</v>
      </c>
      <c r="G1525" s="41" t="s">
        <v>4192</v>
      </c>
      <c r="H1525" s="2043">
        <v>105808</v>
      </c>
      <c r="I1525" s="2043">
        <v>0</v>
      </c>
      <c r="J1525">
        <v>0</v>
      </c>
      <c r="K1525" s="2043">
        <v>0</v>
      </c>
      <c r="L1525" s="2043">
        <v>0</v>
      </c>
      <c r="M1525">
        <v>599</v>
      </c>
      <c r="N1525">
        <v>0</v>
      </c>
    </row>
    <row r="1526" spans="1:14">
      <c r="A1526" t="s">
        <v>3051</v>
      </c>
      <c r="B1526" t="s">
        <v>484</v>
      </c>
      <c r="C1526" t="s">
        <v>2248</v>
      </c>
      <c r="D1526" s="41">
        <v>4</v>
      </c>
      <c r="E1526" s="41">
        <v>1906</v>
      </c>
      <c r="F1526" s="41" t="s">
        <v>4192</v>
      </c>
      <c r="G1526" s="41" t="s">
        <v>4193</v>
      </c>
      <c r="H1526" s="2043">
        <v>105808</v>
      </c>
      <c r="I1526" s="2043">
        <v>88129</v>
      </c>
      <c r="J1526">
        <v>1</v>
      </c>
      <c r="K1526" s="2043">
        <v>105808</v>
      </c>
      <c r="L1526" s="2043">
        <v>88129</v>
      </c>
      <c r="M1526">
        <v>599</v>
      </c>
      <c r="N1526">
        <v>1</v>
      </c>
    </row>
    <row r="1527" spans="1:14">
      <c r="A1527" t="s">
        <v>3051</v>
      </c>
      <c r="B1527" t="s">
        <v>484</v>
      </c>
      <c r="C1527" t="s">
        <v>2248</v>
      </c>
      <c r="D1527" s="41">
        <v>5</v>
      </c>
      <c r="E1527" s="41">
        <v>1907</v>
      </c>
      <c r="F1527" s="41" t="s">
        <v>4194</v>
      </c>
      <c r="G1527" s="41" t="s">
        <v>4194</v>
      </c>
      <c r="H1527" s="2043">
        <v>109410</v>
      </c>
      <c r="I1527" s="2043">
        <v>0</v>
      </c>
      <c r="J1527">
        <v>0</v>
      </c>
      <c r="K1527" s="2043">
        <v>0</v>
      </c>
      <c r="L1527" s="2043">
        <v>0</v>
      </c>
      <c r="M1527">
        <v>599</v>
      </c>
      <c r="N1527">
        <v>0</v>
      </c>
    </row>
    <row r="1528" spans="1:14">
      <c r="A1528" t="s">
        <v>3051</v>
      </c>
      <c r="B1528" t="s">
        <v>484</v>
      </c>
      <c r="C1528" t="s">
        <v>2248</v>
      </c>
      <c r="D1528" s="41">
        <v>5</v>
      </c>
      <c r="E1528" s="41">
        <v>1907</v>
      </c>
      <c r="F1528" s="41" t="s">
        <v>4194</v>
      </c>
      <c r="G1528" s="41" t="s">
        <v>4195</v>
      </c>
      <c r="H1528" s="2043">
        <v>109410</v>
      </c>
      <c r="I1528" s="2043">
        <v>15564</v>
      </c>
      <c r="J1528">
        <v>0.141638986212859</v>
      </c>
      <c r="K1528" s="2043">
        <v>15496.721481548901</v>
      </c>
      <c r="L1528" s="2043">
        <v>15496.721481548901</v>
      </c>
      <c r="M1528">
        <v>599</v>
      </c>
      <c r="N1528">
        <v>1</v>
      </c>
    </row>
    <row r="1529" spans="1:14">
      <c r="A1529" t="s">
        <v>3051</v>
      </c>
      <c r="B1529" t="s">
        <v>484</v>
      </c>
      <c r="C1529" t="s">
        <v>2248</v>
      </c>
      <c r="D1529" s="41">
        <v>5</v>
      </c>
      <c r="E1529" s="41">
        <v>1907</v>
      </c>
      <c r="F1529" s="41" t="s">
        <v>4194</v>
      </c>
      <c r="G1529" s="41" t="s">
        <v>7215</v>
      </c>
      <c r="H1529" s="2043">
        <v>109410</v>
      </c>
      <c r="I1529" s="2043">
        <v>82245</v>
      </c>
      <c r="J1529">
        <v>0.74846430359011695</v>
      </c>
      <c r="K1529" s="2043">
        <v>81889.479455794703</v>
      </c>
      <c r="L1529" s="2043">
        <v>81889.479455794703</v>
      </c>
      <c r="M1529">
        <v>599</v>
      </c>
      <c r="N1529">
        <v>1</v>
      </c>
    </row>
    <row r="1530" spans="1:14">
      <c r="A1530" t="s">
        <v>3051</v>
      </c>
      <c r="B1530" t="s">
        <v>484</v>
      </c>
      <c r="C1530" t="s">
        <v>2248</v>
      </c>
      <c r="D1530" s="41">
        <v>5</v>
      </c>
      <c r="E1530" s="41">
        <v>1907</v>
      </c>
      <c r="F1530" s="41" t="s">
        <v>4194</v>
      </c>
      <c r="G1530" s="41" t="s">
        <v>8635</v>
      </c>
      <c r="H1530" s="2043">
        <v>109410</v>
      </c>
      <c r="I1530" s="2043">
        <v>12076</v>
      </c>
      <c r="J1530">
        <v>0.109896710197024</v>
      </c>
      <c r="K1530" s="2043">
        <v>12023.799062656401</v>
      </c>
      <c r="L1530" s="2043">
        <v>12023.799062656401</v>
      </c>
      <c r="M1530">
        <v>599</v>
      </c>
      <c r="N1530">
        <v>1</v>
      </c>
    </row>
    <row r="1531" spans="1:14">
      <c r="A1531" t="s">
        <v>3051</v>
      </c>
      <c r="B1531" t="s">
        <v>484</v>
      </c>
      <c r="C1531" t="s">
        <v>2248</v>
      </c>
      <c r="D1531" s="41">
        <v>10</v>
      </c>
      <c r="E1531" s="41">
        <v>1905</v>
      </c>
      <c r="F1531" s="41" t="s">
        <v>4195</v>
      </c>
      <c r="G1531" s="41" t="s">
        <v>4195</v>
      </c>
      <c r="H1531" s="2043">
        <v>100000</v>
      </c>
      <c r="I1531" s="2043">
        <v>0</v>
      </c>
      <c r="J1531">
        <v>0</v>
      </c>
      <c r="K1531" s="2043">
        <v>0</v>
      </c>
      <c r="L1531" s="2043">
        <v>0</v>
      </c>
      <c r="M1531">
        <v>599</v>
      </c>
      <c r="N1531">
        <v>1</v>
      </c>
    </row>
    <row r="1532" spans="1:14">
      <c r="A1532" t="s">
        <v>3051</v>
      </c>
      <c r="B1532" t="s">
        <v>484</v>
      </c>
      <c r="C1532" t="s">
        <v>2248</v>
      </c>
      <c r="D1532" s="41">
        <v>10</v>
      </c>
      <c r="E1532" s="41">
        <v>1905</v>
      </c>
      <c r="F1532" s="41" t="s">
        <v>4195</v>
      </c>
      <c r="G1532" s="41" t="s">
        <v>7215</v>
      </c>
      <c r="H1532" s="2043">
        <v>100000</v>
      </c>
      <c r="I1532" s="2043">
        <v>170889</v>
      </c>
      <c r="J1532">
        <v>0.852837401498176</v>
      </c>
      <c r="K1532" s="2043">
        <v>85283.740149817604</v>
      </c>
      <c r="L1532" s="2043">
        <v>85283.740149817604</v>
      </c>
      <c r="M1532">
        <v>599</v>
      </c>
      <c r="N1532">
        <v>1</v>
      </c>
    </row>
    <row r="1533" spans="1:14">
      <c r="A1533" t="s">
        <v>3051</v>
      </c>
      <c r="B1533" t="s">
        <v>484</v>
      </c>
      <c r="C1533" t="s">
        <v>2248</v>
      </c>
      <c r="D1533" s="41">
        <v>10</v>
      </c>
      <c r="E1533" s="41">
        <v>1905</v>
      </c>
      <c r="F1533" s="41" t="s">
        <v>4195</v>
      </c>
      <c r="G1533" s="41" t="s">
        <v>8635</v>
      </c>
      <c r="H1533" s="2043">
        <v>100000</v>
      </c>
      <c r="I1533" s="2043">
        <v>29488</v>
      </c>
      <c r="J1533">
        <v>0.147162598501824</v>
      </c>
      <c r="K1533" s="2043">
        <v>14716.2598501824</v>
      </c>
      <c r="L1533" s="2043">
        <v>14716.2598501824</v>
      </c>
      <c r="M1533">
        <v>599</v>
      </c>
      <c r="N1533">
        <v>1</v>
      </c>
    </row>
    <row r="1534" spans="1:14">
      <c r="A1534" t="s">
        <v>3052</v>
      </c>
      <c r="B1534" t="s">
        <v>40</v>
      </c>
      <c r="C1534" t="s">
        <v>382</v>
      </c>
      <c r="D1534" s="41">
        <v>2</v>
      </c>
      <c r="E1534" s="41">
        <v>1931</v>
      </c>
      <c r="F1534" s="41" t="s">
        <v>4196</v>
      </c>
      <c r="G1534" s="41" t="s">
        <v>4196</v>
      </c>
      <c r="H1534" s="2043">
        <v>110751</v>
      </c>
      <c r="I1534" s="2043">
        <v>0</v>
      </c>
      <c r="J1534">
        <v>0</v>
      </c>
      <c r="K1534" s="2043">
        <v>0</v>
      </c>
      <c r="L1534" s="2043">
        <v>0</v>
      </c>
      <c r="M1534">
        <v>599</v>
      </c>
      <c r="N1534">
        <v>1</v>
      </c>
    </row>
    <row r="1535" spans="1:14">
      <c r="A1535" t="s">
        <v>3052</v>
      </c>
      <c r="B1535" t="s">
        <v>40</v>
      </c>
      <c r="C1535" t="s">
        <v>382</v>
      </c>
      <c r="D1535" s="41">
        <v>2</v>
      </c>
      <c r="E1535" s="41">
        <v>1931</v>
      </c>
      <c r="F1535" s="41" t="s">
        <v>4196</v>
      </c>
      <c r="G1535" s="41" t="s">
        <v>8572</v>
      </c>
      <c r="H1535" s="2043">
        <v>110751</v>
      </c>
      <c r="I1535" s="2043">
        <v>30906</v>
      </c>
      <c r="J1535">
        <v>1</v>
      </c>
      <c r="K1535" s="2043">
        <v>110751</v>
      </c>
      <c r="L1535" s="2043">
        <v>30906</v>
      </c>
      <c r="M1535">
        <v>599</v>
      </c>
      <c r="N1535">
        <v>1</v>
      </c>
    </row>
    <row r="1536" spans="1:14">
      <c r="A1536" t="s">
        <v>3052</v>
      </c>
      <c r="B1536" t="s">
        <v>40</v>
      </c>
      <c r="C1536" t="s">
        <v>382</v>
      </c>
      <c r="D1536" s="41">
        <v>11</v>
      </c>
      <c r="E1536" s="41">
        <v>2585</v>
      </c>
      <c r="F1536" s="41" t="s">
        <v>7216</v>
      </c>
      <c r="G1536" s="41" t="s">
        <v>7216</v>
      </c>
      <c r="H1536" s="2043">
        <v>153617</v>
      </c>
      <c r="I1536" s="2043">
        <v>0</v>
      </c>
      <c r="J1536">
        <v>0</v>
      </c>
      <c r="K1536" s="2043">
        <v>0</v>
      </c>
      <c r="L1536" s="2043">
        <v>0</v>
      </c>
      <c r="M1536">
        <v>599</v>
      </c>
      <c r="N1536">
        <v>1</v>
      </c>
    </row>
    <row r="1537" spans="1:14">
      <c r="A1537" t="s">
        <v>3052</v>
      </c>
      <c r="B1537" t="s">
        <v>40</v>
      </c>
      <c r="C1537" t="s">
        <v>382</v>
      </c>
      <c r="D1537" s="41">
        <v>11</v>
      </c>
      <c r="E1537" s="41">
        <v>2585</v>
      </c>
      <c r="F1537" s="41" t="s">
        <v>7216</v>
      </c>
      <c r="G1537" s="41" t="s">
        <v>9364</v>
      </c>
      <c r="H1537" s="2043">
        <v>153617</v>
      </c>
      <c r="I1537" s="2043">
        <v>152868</v>
      </c>
      <c r="J1537">
        <v>1</v>
      </c>
      <c r="K1537" s="2043">
        <v>153617</v>
      </c>
      <c r="L1537" s="2043">
        <v>152868</v>
      </c>
      <c r="M1537">
        <v>599</v>
      </c>
      <c r="N1537">
        <v>1</v>
      </c>
    </row>
    <row r="1538" spans="1:14">
      <c r="A1538" t="s">
        <v>3053</v>
      </c>
      <c r="B1538" t="s">
        <v>141</v>
      </c>
      <c r="C1538" t="s">
        <v>2033</v>
      </c>
      <c r="D1538" s="41">
        <v>5</v>
      </c>
      <c r="E1538" s="41">
        <v>2053</v>
      </c>
      <c r="F1538" s="41" t="s">
        <v>4197</v>
      </c>
      <c r="G1538" s="41" t="s">
        <v>4197</v>
      </c>
      <c r="H1538" s="2043">
        <v>99613</v>
      </c>
      <c r="I1538" s="2043">
        <v>99248</v>
      </c>
      <c r="J1538">
        <v>1</v>
      </c>
      <c r="K1538" s="2043">
        <v>99613</v>
      </c>
      <c r="L1538" s="2043">
        <v>99248</v>
      </c>
      <c r="M1538">
        <v>199</v>
      </c>
      <c r="N1538">
        <v>0</v>
      </c>
    </row>
    <row r="1539" spans="1:14">
      <c r="A1539" t="s">
        <v>3053</v>
      </c>
      <c r="B1539" t="s">
        <v>141</v>
      </c>
      <c r="C1539" t="s">
        <v>2033</v>
      </c>
      <c r="D1539" s="41">
        <v>9</v>
      </c>
      <c r="E1539" s="41">
        <v>2054</v>
      </c>
      <c r="F1539" s="41" t="s">
        <v>4198</v>
      </c>
      <c r="G1539" s="41" t="s">
        <v>4198</v>
      </c>
      <c r="H1539" s="2043">
        <v>100000</v>
      </c>
      <c r="I1539" s="2043">
        <v>82431</v>
      </c>
      <c r="J1539">
        <v>1</v>
      </c>
      <c r="K1539" s="2043">
        <v>100000</v>
      </c>
      <c r="L1539" s="2043">
        <v>82431</v>
      </c>
      <c r="M1539">
        <v>599</v>
      </c>
      <c r="N1539">
        <v>1</v>
      </c>
    </row>
    <row r="1540" spans="1:14">
      <c r="A1540" t="s">
        <v>3054</v>
      </c>
      <c r="B1540" t="s">
        <v>488</v>
      </c>
      <c r="C1540" t="s">
        <v>2120</v>
      </c>
      <c r="D1540" s="41">
        <v>5</v>
      </c>
      <c r="E1540" s="41">
        <v>2121</v>
      </c>
      <c r="F1540" s="41" t="s">
        <v>4199</v>
      </c>
      <c r="G1540" s="41" t="s">
        <v>4199</v>
      </c>
      <c r="H1540" s="2043">
        <v>100000</v>
      </c>
      <c r="I1540" s="2043">
        <v>100071</v>
      </c>
      <c r="J1540">
        <v>1</v>
      </c>
      <c r="K1540" s="2043">
        <v>100000</v>
      </c>
      <c r="L1540" s="2043">
        <v>100000</v>
      </c>
      <c r="M1540">
        <v>199</v>
      </c>
      <c r="N1540">
        <v>0</v>
      </c>
    </row>
    <row r="1541" spans="1:14">
      <c r="A1541" t="s">
        <v>3054</v>
      </c>
      <c r="B1541" t="s">
        <v>488</v>
      </c>
      <c r="C1541" t="s">
        <v>2120</v>
      </c>
      <c r="D1541" s="41">
        <v>10</v>
      </c>
      <c r="E1541" s="41">
        <v>2120</v>
      </c>
      <c r="F1541" s="41" t="s">
        <v>4200</v>
      </c>
      <c r="G1541" s="41" t="s">
        <v>4200</v>
      </c>
      <c r="H1541" s="2043">
        <v>85000</v>
      </c>
      <c r="I1541" s="2043">
        <v>90000</v>
      </c>
      <c r="J1541">
        <v>1</v>
      </c>
      <c r="K1541" s="2043">
        <v>85000</v>
      </c>
      <c r="L1541" s="2043">
        <v>85000</v>
      </c>
      <c r="M1541">
        <v>599</v>
      </c>
      <c r="N1541">
        <v>1</v>
      </c>
    </row>
    <row r="1542" spans="1:14">
      <c r="A1542" t="s">
        <v>3055</v>
      </c>
      <c r="B1542" t="s">
        <v>489</v>
      </c>
      <c r="C1542" t="s">
        <v>2281</v>
      </c>
      <c r="D1542" s="41">
        <v>5</v>
      </c>
      <c r="E1542" s="41">
        <v>1581</v>
      </c>
      <c r="F1542" s="41" t="s">
        <v>4201</v>
      </c>
      <c r="G1542" s="41" t="s">
        <v>4201</v>
      </c>
      <c r="H1542" s="2043">
        <v>88897</v>
      </c>
      <c r="I1542" s="2043">
        <v>0</v>
      </c>
      <c r="J1542">
        <v>0</v>
      </c>
      <c r="K1542" s="2043">
        <v>0</v>
      </c>
      <c r="L1542" s="2043">
        <v>0</v>
      </c>
      <c r="M1542">
        <v>599</v>
      </c>
      <c r="N1542">
        <v>0</v>
      </c>
    </row>
    <row r="1543" spans="1:14">
      <c r="A1543" t="s">
        <v>3055</v>
      </c>
      <c r="B1543" t="s">
        <v>489</v>
      </c>
      <c r="C1543" t="s">
        <v>2281</v>
      </c>
      <c r="D1543" s="41">
        <v>5</v>
      </c>
      <c r="E1543" s="41">
        <v>1581</v>
      </c>
      <c r="F1543" s="41" t="s">
        <v>4201</v>
      </c>
      <c r="G1543" s="41" t="s">
        <v>4202</v>
      </c>
      <c r="H1543" s="2043">
        <v>88897</v>
      </c>
      <c r="I1543" s="2043">
        <v>88829</v>
      </c>
      <c r="J1543">
        <v>1</v>
      </c>
      <c r="K1543" s="2043">
        <v>88897</v>
      </c>
      <c r="L1543" s="2043">
        <v>88829</v>
      </c>
      <c r="M1543">
        <v>599</v>
      </c>
      <c r="N1543">
        <v>1</v>
      </c>
    </row>
    <row r="1544" spans="1:14">
      <c r="A1544" t="s">
        <v>4203</v>
      </c>
      <c r="B1544" t="s">
        <v>1450</v>
      </c>
      <c r="C1544" t="s">
        <v>1270</v>
      </c>
      <c r="D1544" s="41">
        <v>5</v>
      </c>
      <c r="E1544" s="41">
        <v>1625</v>
      </c>
      <c r="F1544" s="41" t="s">
        <v>4204</v>
      </c>
      <c r="G1544" s="41" t="s">
        <v>4204</v>
      </c>
      <c r="H1544" s="2043">
        <v>91413</v>
      </c>
      <c r="I1544" s="2043">
        <v>0</v>
      </c>
      <c r="J1544">
        <v>0</v>
      </c>
      <c r="L1544" s="2043">
        <v>0</v>
      </c>
      <c r="M1544">
        <v>599</v>
      </c>
      <c r="N1544">
        <v>0</v>
      </c>
    </row>
    <row r="1545" spans="1:14">
      <c r="A1545" t="s">
        <v>4205</v>
      </c>
      <c r="B1545" t="s">
        <v>490</v>
      </c>
      <c r="C1545" t="s">
        <v>2450</v>
      </c>
      <c r="D1545" s="41">
        <v>5</v>
      </c>
      <c r="E1545" s="41">
        <v>2185</v>
      </c>
      <c r="F1545" s="41" t="s">
        <v>4206</v>
      </c>
      <c r="G1545" s="41" t="s">
        <v>4206</v>
      </c>
      <c r="H1545" s="2043">
        <v>99258</v>
      </c>
      <c r="I1545" s="2043">
        <v>96820</v>
      </c>
      <c r="J1545">
        <v>1</v>
      </c>
      <c r="K1545" s="2043">
        <v>99258</v>
      </c>
      <c r="L1545" s="2043">
        <v>96820</v>
      </c>
      <c r="M1545">
        <v>199</v>
      </c>
      <c r="N1545">
        <v>1</v>
      </c>
    </row>
    <row r="1546" spans="1:14">
      <c r="A1546" t="s">
        <v>3056</v>
      </c>
      <c r="B1546" t="s">
        <v>1739</v>
      </c>
      <c r="C1546" t="s">
        <v>1822</v>
      </c>
      <c r="D1546" s="41">
        <v>4</v>
      </c>
      <c r="E1546" s="41">
        <v>2344</v>
      </c>
      <c r="F1546" s="41" t="s">
        <v>4207</v>
      </c>
      <c r="G1546" s="41" t="s">
        <v>4207</v>
      </c>
      <c r="H1546" s="2043">
        <v>97293</v>
      </c>
      <c r="I1546" s="2043">
        <v>0</v>
      </c>
      <c r="J1546">
        <v>0</v>
      </c>
      <c r="L1546" s="2043">
        <v>0</v>
      </c>
      <c r="M1546">
        <v>199</v>
      </c>
      <c r="N1546">
        <v>0</v>
      </c>
    </row>
    <row r="1547" spans="1:14">
      <c r="A1547" t="s">
        <v>3056</v>
      </c>
      <c r="B1547" t="s">
        <v>1739</v>
      </c>
      <c r="C1547" t="s">
        <v>1822</v>
      </c>
      <c r="D1547" s="41">
        <v>10</v>
      </c>
      <c r="E1547" s="41">
        <v>2343</v>
      </c>
      <c r="F1547" s="41" t="s">
        <v>4208</v>
      </c>
      <c r="G1547" s="41" t="s">
        <v>4208</v>
      </c>
      <c r="H1547" s="2043">
        <v>51451</v>
      </c>
      <c r="I1547" s="2043">
        <v>46660</v>
      </c>
      <c r="J1547">
        <v>1</v>
      </c>
      <c r="K1547" s="2043">
        <v>51451</v>
      </c>
      <c r="L1547" s="2043">
        <v>46660</v>
      </c>
      <c r="M1547">
        <v>599</v>
      </c>
      <c r="N1547">
        <v>1</v>
      </c>
    </row>
    <row r="1548" spans="1:14">
      <c r="A1548" t="s">
        <v>3057</v>
      </c>
      <c r="B1548" t="s">
        <v>1675</v>
      </c>
      <c r="C1548" t="s">
        <v>1475</v>
      </c>
      <c r="D1548" s="41">
        <v>2</v>
      </c>
      <c r="E1548" s="41">
        <v>2023</v>
      </c>
      <c r="F1548" s="41" t="s">
        <v>4209</v>
      </c>
      <c r="G1548" s="41" t="s">
        <v>4209</v>
      </c>
      <c r="H1548" s="2043">
        <v>100000</v>
      </c>
      <c r="I1548" s="2043">
        <v>0</v>
      </c>
      <c r="J1548">
        <v>0</v>
      </c>
      <c r="K1548" s="2043">
        <v>0</v>
      </c>
      <c r="L1548" s="2043">
        <v>0</v>
      </c>
      <c r="M1548">
        <v>599</v>
      </c>
      <c r="N1548">
        <v>0</v>
      </c>
    </row>
    <row r="1549" spans="1:14">
      <c r="A1549" t="s">
        <v>3057</v>
      </c>
      <c r="B1549" t="s">
        <v>1675</v>
      </c>
      <c r="C1549" t="s">
        <v>1475</v>
      </c>
      <c r="D1549" s="41">
        <v>2</v>
      </c>
      <c r="E1549" s="41">
        <v>2023</v>
      </c>
      <c r="F1549" s="41" t="s">
        <v>4209</v>
      </c>
      <c r="G1549" s="41" t="s">
        <v>4210</v>
      </c>
      <c r="H1549" s="2043">
        <v>100000</v>
      </c>
      <c r="I1549" s="2043">
        <v>78500</v>
      </c>
      <c r="J1549">
        <v>1</v>
      </c>
      <c r="K1549" s="2043">
        <v>100000</v>
      </c>
      <c r="L1549" s="2043">
        <v>78500</v>
      </c>
      <c r="M1549">
        <v>599</v>
      </c>
      <c r="N1549">
        <v>1</v>
      </c>
    </row>
    <row r="1550" spans="1:14">
      <c r="A1550" t="s">
        <v>3057</v>
      </c>
      <c r="B1550" t="s">
        <v>1675</v>
      </c>
      <c r="C1550" t="s">
        <v>1475</v>
      </c>
      <c r="D1550" s="41">
        <v>3</v>
      </c>
      <c r="E1550" s="41">
        <v>2024</v>
      </c>
      <c r="F1550" s="41" t="s">
        <v>4211</v>
      </c>
      <c r="G1550" s="41" t="s">
        <v>4211</v>
      </c>
      <c r="H1550" s="2043">
        <v>100000</v>
      </c>
      <c r="I1550" s="2043">
        <v>160000</v>
      </c>
      <c r="J1550">
        <v>1</v>
      </c>
      <c r="K1550" s="2043">
        <v>100000</v>
      </c>
      <c r="L1550" s="2043">
        <v>100000</v>
      </c>
      <c r="M1550">
        <v>599</v>
      </c>
      <c r="N1550">
        <v>1</v>
      </c>
    </row>
    <row r="1551" spans="1:14">
      <c r="A1551" t="s">
        <v>3058</v>
      </c>
      <c r="B1551" t="s">
        <v>1427</v>
      </c>
      <c r="C1551" t="s">
        <v>568</v>
      </c>
      <c r="D1551" s="41">
        <v>3</v>
      </c>
      <c r="E1551" s="41">
        <v>2394</v>
      </c>
      <c r="F1551" s="41" t="s">
        <v>4212</v>
      </c>
      <c r="G1551" s="41" t="s">
        <v>4212</v>
      </c>
      <c r="H1551" s="2043">
        <v>142382</v>
      </c>
      <c r="I1551" s="2043">
        <v>0</v>
      </c>
      <c r="J1551">
        <v>0</v>
      </c>
      <c r="K1551" s="2043">
        <v>0</v>
      </c>
      <c r="L1551" s="2043">
        <v>0</v>
      </c>
      <c r="M1551">
        <v>599</v>
      </c>
      <c r="N1551">
        <v>0</v>
      </c>
    </row>
    <row r="1552" spans="1:14">
      <c r="A1552" t="s">
        <v>3058</v>
      </c>
      <c r="B1552" t="s">
        <v>1427</v>
      </c>
      <c r="C1552" t="s">
        <v>568</v>
      </c>
      <c r="D1552" s="41">
        <v>3</v>
      </c>
      <c r="E1552" s="41">
        <v>2394</v>
      </c>
      <c r="F1552" s="41" t="s">
        <v>4212</v>
      </c>
      <c r="G1552" s="41" t="s">
        <v>4213</v>
      </c>
      <c r="H1552" s="2043">
        <v>142382</v>
      </c>
      <c r="I1552" s="2043">
        <v>208563</v>
      </c>
      <c r="J1552">
        <v>1</v>
      </c>
      <c r="K1552" s="2043">
        <v>142382</v>
      </c>
      <c r="L1552" s="2043">
        <v>142382</v>
      </c>
      <c r="M1552">
        <v>599</v>
      </c>
      <c r="N1552">
        <v>1</v>
      </c>
    </row>
    <row r="1553" spans="1:14">
      <c r="A1553" t="s">
        <v>3059</v>
      </c>
      <c r="B1553" t="s">
        <v>169</v>
      </c>
      <c r="C1553" t="s">
        <v>206</v>
      </c>
      <c r="D1553" s="41">
        <v>10</v>
      </c>
      <c r="E1553" s="41">
        <v>2387</v>
      </c>
      <c r="F1553" s="41" t="s">
        <v>4214</v>
      </c>
      <c r="G1553" s="41" t="s">
        <v>4214</v>
      </c>
      <c r="H1553" s="2043">
        <v>922406</v>
      </c>
      <c r="I1553" s="2043">
        <v>0</v>
      </c>
      <c r="J1553">
        <v>0</v>
      </c>
      <c r="K1553" s="2043">
        <v>0</v>
      </c>
      <c r="L1553" s="2043">
        <v>0</v>
      </c>
      <c r="M1553">
        <v>599</v>
      </c>
      <c r="N1553">
        <v>1</v>
      </c>
    </row>
    <row r="1554" spans="1:14">
      <c r="A1554" t="s">
        <v>3059</v>
      </c>
      <c r="B1554" t="s">
        <v>169</v>
      </c>
      <c r="C1554" t="s">
        <v>206</v>
      </c>
      <c r="D1554" s="41">
        <v>10</v>
      </c>
      <c r="E1554" s="41">
        <v>2387</v>
      </c>
      <c r="F1554" s="41" t="s">
        <v>4214</v>
      </c>
      <c r="G1554" s="41" t="s">
        <v>7217</v>
      </c>
      <c r="H1554" s="2043">
        <v>922406</v>
      </c>
      <c r="I1554" s="2043">
        <v>1410691</v>
      </c>
      <c r="J1554">
        <v>1</v>
      </c>
      <c r="K1554" s="2043">
        <v>922406</v>
      </c>
      <c r="L1554" s="2043">
        <v>922406</v>
      </c>
      <c r="M1554">
        <v>599</v>
      </c>
      <c r="N1554">
        <v>1</v>
      </c>
    </row>
    <row r="1555" spans="1:14">
      <c r="A1555" t="s">
        <v>3060</v>
      </c>
      <c r="B1555" t="s">
        <v>1409</v>
      </c>
      <c r="C1555" t="s">
        <v>400</v>
      </c>
      <c r="D1555" s="41">
        <v>5</v>
      </c>
      <c r="E1555" s="41">
        <v>1742</v>
      </c>
      <c r="F1555" s="41" t="s">
        <v>4215</v>
      </c>
      <c r="G1555" s="41" t="s">
        <v>4215</v>
      </c>
      <c r="H1555" s="2043">
        <v>100000</v>
      </c>
      <c r="I1555" s="2043">
        <v>0</v>
      </c>
      <c r="J1555">
        <v>0</v>
      </c>
      <c r="K1555" s="2043">
        <v>0</v>
      </c>
      <c r="L1555" s="2043">
        <v>0</v>
      </c>
      <c r="M1555">
        <v>599</v>
      </c>
      <c r="N1555">
        <v>0</v>
      </c>
    </row>
    <row r="1556" spans="1:14">
      <c r="A1556" t="s">
        <v>3060</v>
      </c>
      <c r="B1556" t="s">
        <v>1409</v>
      </c>
      <c r="C1556" t="s">
        <v>400</v>
      </c>
      <c r="D1556" s="41">
        <v>5</v>
      </c>
      <c r="E1556" s="41">
        <v>1742</v>
      </c>
      <c r="F1556" s="41" t="s">
        <v>4215</v>
      </c>
      <c r="G1556" s="41" t="s">
        <v>4216</v>
      </c>
      <c r="H1556" s="2043">
        <v>100000</v>
      </c>
      <c r="I1556" s="2043">
        <v>94338</v>
      </c>
      <c r="J1556">
        <v>1</v>
      </c>
      <c r="K1556" s="2043">
        <v>100000</v>
      </c>
      <c r="L1556" s="2043">
        <v>94338</v>
      </c>
      <c r="M1556">
        <v>599</v>
      </c>
      <c r="N1556">
        <v>1</v>
      </c>
    </row>
    <row r="1557" spans="1:14">
      <c r="A1557" t="s">
        <v>3061</v>
      </c>
      <c r="B1557" t="s">
        <v>1836</v>
      </c>
      <c r="C1557" t="s">
        <v>2115</v>
      </c>
      <c r="D1557" s="41">
        <v>4</v>
      </c>
      <c r="E1557" s="41">
        <v>2107</v>
      </c>
      <c r="F1557" s="41" t="s">
        <v>4217</v>
      </c>
      <c r="G1557" s="41" t="s">
        <v>4217</v>
      </c>
      <c r="H1557" s="2043">
        <v>98475</v>
      </c>
      <c r="I1557" s="2043">
        <v>0</v>
      </c>
      <c r="J1557">
        <v>0</v>
      </c>
      <c r="K1557" s="2043">
        <v>0</v>
      </c>
      <c r="L1557" s="2043">
        <v>0</v>
      </c>
      <c r="M1557">
        <v>599</v>
      </c>
      <c r="N1557">
        <v>0</v>
      </c>
    </row>
    <row r="1558" spans="1:14">
      <c r="A1558" t="s">
        <v>3061</v>
      </c>
      <c r="B1558" t="s">
        <v>1836</v>
      </c>
      <c r="C1558" t="s">
        <v>2115</v>
      </c>
      <c r="D1558" s="41">
        <v>4</v>
      </c>
      <c r="E1558" s="41">
        <v>2107</v>
      </c>
      <c r="F1558" s="41" t="s">
        <v>4217</v>
      </c>
      <c r="G1558" s="41" t="s">
        <v>4218</v>
      </c>
      <c r="H1558" s="2043">
        <v>98475</v>
      </c>
      <c r="I1558" s="2043">
        <v>61092</v>
      </c>
      <c r="J1558">
        <v>0.76297286158534305</v>
      </c>
      <c r="K1558" s="2043">
        <v>75133.752544616698</v>
      </c>
      <c r="L1558" s="2043">
        <v>61092</v>
      </c>
      <c r="M1558">
        <v>599</v>
      </c>
      <c r="N1558">
        <v>1</v>
      </c>
    </row>
    <row r="1559" spans="1:14">
      <c r="A1559" t="s">
        <v>3061</v>
      </c>
      <c r="B1559" t="s">
        <v>1836</v>
      </c>
      <c r="C1559" t="s">
        <v>2115</v>
      </c>
      <c r="D1559" s="41">
        <v>4</v>
      </c>
      <c r="E1559" s="41">
        <v>2107</v>
      </c>
      <c r="F1559" s="41" t="s">
        <v>4217</v>
      </c>
      <c r="G1559" s="41" t="s">
        <v>8636</v>
      </c>
      <c r="H1559" s="2043">
        <v>98475</v>
      </c>
      <c r="I1559" s="2043">
        <v>18979</v>
      </c>
      <c r="J1559">
        <v>0.237027138414657</v>
      </c>
      <c r="K1559" s="2043">
        <v>23341.247455383302</v>
      </c>
      <c r="L1559" s="2043">
        <v>18979</v>
      </c>
      <c r="M1559">
        <v>599</v>
      </c>
      <c r="N1559">
        <v>1</v>
      </c>
    </row>
    <row r="1560" spans="1:14">
      <c r="A1560" t="s">
        <v>3061</v>
      </c>
      <c r="B1560" t="s">
        <v>1836</v>
      </c>
      <c r="C1560" t="s">
        <v>2115</v>
      </c>
      <c r="D1560" s="41">
        <v>6</v>
      </c>
      <c r="E1560" s="41">
        <v>2106</v>
      </c>
      <c r="F1560" s="41" t="s">
        <v>4219</v>
      </c>
      <c r="G1560" s="41" t="s">
        <v>4219</v>
      </c>
      <c r="H1560" s="2043">
        <v>94341</v>
      </c>
      <c r="I1560" s="2043">
        <v>0</v>
      </c>
      <c r="J1560">
        <v>0</v>
      </c>
      <c r="K1560" s="2043">
        <v>0</v>
      </c>
      <c r="L1560" s="2043">
        <v>0</v>
      </c>
      <c r="M1560">
        <v>599</v>
      </c>
      <c r="N1560">
        <v>0</v>
      </c>
    </row>
    <row r="1561" spans="1:14">
      <c r="A1561" t="s">
        <v>3061</v>
      </c>
      <c r="B1561" t="s">
        <v>1836</v>
      </c>
      <c r="C1561" t="s">
        <v>2115</v>
      </c>
      <c r="D1561" s="41">
        <v>6</v>
      </c>
      <c r="E1561" s="41">
        <v>2106</v>
      </c>
      <c r="F1561" s="41" t="s">
        <v>4219</v>
      </c>
      <c r="G1561" s="41" t="s">
        <v>4218</v>
      </c>
      <c r="H1561" s="2043">
        <v>94341</v>
      </c>
      <c r="I1561" s="2043">
        <v>76608</v>
      </c>
      <c r="J1561">
        <v>0.76297469299949205</v>
      </c>
      <c r="K1561" s="2043">
        <v>71979.795512265104</v>
      </c>
      <c r="L1561" s="2043">
        <v>71979.795512265104</v>
      </c>
      <c r="M1561">
        <v>599</v>
      </c>
      <c r="N1561">
        <v>1</v>
      </c>
    </row>
    <row r="1562" spans="1:14">
      <c r="A1562" t="s">
        <v>3061</v>
      </c>
      <c r="B1562" t="s">
        <v>1836</v>
      </c>
      <c r="C1562" t="s">
        <v>2115</v>
      </c>
      <c r="D1562" s="41">
        <v>6</v>
      </c>
      <c r="E1562" s="41">
        <v>2106</v>
      </c>
      <c r="F1562" s="41" t="s">
        <v>4219</v>
      </c>
      <c r="G1562" s="41" t="s">
        <v>8636</v>
      </c>
      <c r="H1562" s="2043">
        <v>94341</v>
      </c>
      <c r="I1562" s="2043">
        <v>23799</v>
      </c>
      <c r="J1562">
        <v>0.237025307000508</v>
      </c>
      <c r="K1562" s="2043">
        <v>22361.2044877349</v>
      </c>
      <c r="L1562" s="2043">
        <v>22361.2044877349</v>
      </c>
      <c r="M1562">
        <v>599</v>
      </c>
      <c r="N1562">
        <v>1</v>
      </c>
    </row>
    <row r="1563" spans="1:14">
      <c r="A1563" t="s">
        <v>3062</v>
      </c>
      <c r="B1563" t="s">
        <v>1410</v>
      </c>
      <c r="C1563" t="s">
        <v>1835</v>
      </c>
      <c r="D1563" s="41">
        <v>5</v>
      </c>
      <c r="E1563" s="41">
        <v>2386</v>
      </c>
      <c r="F1563" s="41" t="s">
        <v>4220</v>
      </c>
      <c r="G1563" s="41" t="s">
        <v>4220</v>
      </c>
      <c r="H1563" s="2043">
        <v>100000</v>
      </c>
      <c r="I1563" s="2043">
        <v>0</v>
      </c>
      <c r="J1563">
        <v>0</v>
      </c>
      <c r="K1563" s="2043">
        <v>0</v>
      </c>
      <c r="L1563" s="2043">
        <v>0</v>
      </c>
      <c r="M1563">
        <v>599</v>
      </c>
      <c r="N1563">
        <v>0</v>
      </c>
    </row>
    <row r="1564" spans="1:14">
      <c r="A1564" t="s">
        <v>3062</v>
      </c>
      <c r="B1564" t="s">
        <v>1410</v>
      </c>
      <c r="C1564" t="s">
        <v>1835</v>
      </c>
      <c r="D1564" s="41">
        <v>5</v>
      </c>
      <c r="E1564" s="41">
        <v>2386</v>
      </c>
      <c r="F1564" s="41" t="s">
        <v>4220</v>
      </c>
      <c r="G1564" s="41" t="s">
        <v>4221</v>
      </c>
      <c r="H1564" s="2043">
        <v>100000</v>
      </c>
      <c r="I1564" s="2043">
        <v>83650</v>
      </c>
      <c r="J1564">
        <v>1</v>
      </c>
      <c r="K1564" s="2043">
        <v>100000</v>
      </c>
      <c r="L1564" s="2043">
        <v>83650</v>
      </c>
      <c r="M1564">
        <v>599</v>
      </c>
      <c r="N1564">
        <v>1</v>
      </c>
    </row>
    <row r="1565" spans="1:14">
      <c r="A1565" t="s">
        <v>3063</v>
      </c>
      <c r="B1565" t="s">
        <v>1699</v>
      </c>
      <c r="C1565" t="s">
        <v>1481</v>
      </c>
      <c r="D1565" s="41">
        <v>10</v>
      </c>
      <c r="E1565" s="41">
        <v>1608</v>
      </c>
      <c r="F1565" s="41" t="s">
        <v>4222</v>
      </c>
      <c r="G1565" s="41" t="s">
        <v>4222</v>
      </c>
      <c r="H1565" s="2043">
        <v>889573</v>
      </c>
      <c r="I1565" s="2043">
        <v>0</v>
      </c>
      <c r="J1565">
        <v>0</v>
      </c>
      <c r="K1565" s="2043">
        <v>0</v>
      </c>
      <c r="L1565" s="2043">
        <v>0</v>
      </c>
      <c r="M1565">
        <v>599</v>
      </c>
      <c r="N1565">
        <v>1</v>
      </c>
    </row>
    <row r="1566" spans="1:14">
      <c r="A1566" t="s">
        <v>3063</v>
      </c>
      <c r="B1566" t="s">
        <v>1699</v>
      </c>
      <c r="C1566" t="s">
        <v>1481</v>
      </c>
      <c r="D1566" s="41">
        <v>10</v>
      </c>
      <c r="E1566" s="41">
        <v>1608</v>
      </c>
      <c r="F1566" s="41" t="s">
        <v>4222</v>
      </c>
      <c r="G1566" s="41" t="s">
        <v>7218</v>
      </c>
      <c r="H1566" s="2043">
        <v>889573</v>
      </c>
      <c r="I1566" s="2043">
        <v>3443400</v>
      </c>
      <c r="J1566">
        <v>1</v>
      </c>
      <c r="K1566" s="2043">
        <v>889573</v>
      </c>
      <c r="L1566" s="2043">
        <v>889573</v>
      </c>
      <c r="M1566">
        <v>599</v>
      </c>
      <c r="N1566">
        <v>1</v>
      </c>
    </row>
    <row r="1567" spans="1:14">
      <c r="A1567" t="s">
        <v>3064</v>
      </c>
      <c r="B1567" t="s">
        <v>1779</v>
      </c>
      <c r="C1567" t="s">
        <v>610</v>
      </c>
      <c r="D1567" s="41">
        <v>5</v>
      </c>
      <c r="E1567" s="41">
        <v>1658</v>
      </c>
      <c r="F1567" s="41" t="s">
        <v>4223</v>
      </c>
      <c r="G1567" s="41" t="s">
        <v>4223</v>
      </c>
      <c r="H1567" s="2043">
        <v>490385</v>
      </c>
      <c r="I1567" s="2043">
        <v>0</v>
      </c>
      <c r="J1567">
        <v>0</v>
      </c>
      <c r="K1567" s="2043">
        <v>0</v>
      </c>
      <c r="L1567" s="2043">
        <v>0</v>
      </c>
      <c r="M1567">
        <v>599</v>
      </c>
      <c r="N1567">
        <v>1</v>
      </c>
    </row>
    <row r="1568" spans="1:14">
      <c r="A1568" t="s">
        <v>3064</v>
      </c>
      <c r="B1568" t="s">
        <v>1779</v>
      </c>
      <c r="C1568" t="s">
        <v>610</v>
      </c>
      <c r="D1568" s="41">
        <v>5</v>
      </c>
      <c r="E1568" s="41">
        <v>1658</v>
      </c>
      <c r="F1568" s="41" t="s">
        <v>4223</v>
      </c>
      <c r="G1568" s="41" t="s">
        <v>4224</v>
      </c>
      <c r="H1568" s="2043">
        <v>490385</v>
      </c>
      <c r="I1568" s="2043">
        <v>3086</v>
      </c>
      <c r="J1568">
        <v>6.3067757988208E-3</v>
      </c>
      <c r="K1568" s="2043">
        <v>3092.7482501047398</v>
      </c>
      <c r="L1568" s="2043">
        <v>3086</v>
      </c>
      <c r="M1568">
        <v>599</v>
      </c>
      <c r="N1568">
        <v>1</v>
      </c>
    </row>
    <row r="1569" spans="1:14">
      <c r="A1569" t="s">
        <v>3064</v>
      </c>
      <c r="B1569" t="s">
        <v>1779</v>
      </c>
      <c r="C1569" t="s">
        <v>610</v>
      </c>
      <c r="D1569" s="41">
        <v>5</v>
      </c>
      <c r="E1569" s="41">
        <v>1658</v>
      </c>
      <c r="F1569" s="41" t="s">
        <v>4223</v>
      </c>
      <c r="G1569" s="41" t="s">
        <v>4225</v>
      </c>
      <c r="H1569" s="2043">
        <v>490385</v>
      </c>
      <c r="I1569" s="2043">
        <v>284653</v>
      </c>
      <c r="J1569">
        <v>0.58173773540561802</v>
      </c>
      <c r="K1569" s="2043">
        <v>285275.45937688398</v>
      </c>
      <c r="L1569" s="2043">
        <v>284653</v>
      </c>
      <c r="M1569">
        <v>599</v>
      </c>
      <c r="N1569">
        <v>1</v>
      </c>
    </row>
    <row r="1570" spans="1:14">
      <c r="A1570" t="s">
        <v>3064</v>
      </c>
      <c r="B1570" t="s">
        <v>1779</v>
      </c>
      <c r="C1570" t="s">
        <v>610</v>
      </c>
      <c r="D1570" s="41">
        <v>5</v>
      </c>
      <c r="E1570" s="41">
        <v>1658</v>
      </c>
      <c r="F1570" s="41" t="s">
        <v>4223</v>
      </c>
      <c r="G1570" s="41" t="s">
        <v>5425</v>
      </c>
      <c r="H1570" s="2043">
        <v>490385</v>
      </c>
      <c r="I1570" s="2043">
        <v>173000</v>
      </c>
      <c r="J1570">
        <v>0.353555480620868</v>
      </c>
      <c r="K1570" s="2043">
        <v>173378.30436426401</v>
      </c>
      <c r="L1570" s="2043">
        <v>173000</v>
      </c>
      <c r="M1570">
        <v>599</v>
      </c>
      <c r="N1570">
        <v>1</v>
      </c>
    </row>
    <row r="1571" spans="1:14">
      <c r="A1571" t="s">
        <v>3064</v>
      </c>
      <c r="B1571" t="s">
        <v>1779</v>
      </c>
      <c r="C1571" t="s">
        <v>610</v>
      </c>
      <c r="D1571" s="41">
        <v>5</v>
      </c>
      <c r="E1571" s="41">
        <v>1658</v>
      </c>
      <c r="F1571" s="41" t="s">
        <v>4223</v>
      </c>
      <c r="G1571" s="41" t="s">
        <v>9365</v>
      </c>
      <c r="H1571" s="2043">
        <v>490385</v>
      </c>
      <c r="I1571" s="2043">
        <v>28576</v>
      </c>
      <c r="J1571">
        <v>5.8400008174693201E-2</v>
      </c>
      <c r="K1571" s="2043">
        <v>28638.488008746899</v>
      </c>
      <c r="L1571" s="2043">
        <v>28576</v>
      </c>
      <c r="M1571">
        <v>599</v>
      </c>
      <c r="N1571">
        <v>1</v>
      </c>
    </row>
    <row r="1572" spans="1:14">
      <c r="A1572" t="s">
        <v>3064</v>
      </c>
      <c r="B1572" t="s">
        <v>1779</v>
      </c>
      <c r="C1572" t="s">
        <v>610</v>
      </c>
      <c r="D1572" s="41">
        <v>9</v>
      </c>
      <c r="E1572" s="41">
        <v>1657</v>
      </c>
      <c r="F1572" s="41" t="s">
        <v>4226</v>
      </c>
      <c r="G1572" s="41" t="s">
        <v>4226</v>
      </c>
      <c r="H1572" s="2043">
        <v>355698</v>
      </c>
      <c r="I1572" s="2043">
        <v>0</v>
      </c>
      <c r="J1572">
        <v>0</v>
      </c>
      <c r="K1572" s="2043">
        <v>0</v>
      </c>
      <c r="L1572" s="2043">
        <v>0</v>
      </c>
      <c r="M1572">
        <v>599</v>
      </c>
      <c r="N1572">
        <v>1</v>
      </c>
    </row>
    <row r="1573" spans="1:14">
      <c r="A1573" t="s">
        <v>3064</v>
      </c>
      <c r="B1573" t="s">
        <v>1779</v>
      </c>
      <c r="C1573" t="s">
        <v>610</v>
      </c>
      <c r="D1573" s="41">
        <v>9</v>
      </c>
      <c r="E1573" s="41">
        <v>1657</v>
      </c>
      <c r="F1573" s="41" t="s">
        <v>4226</v>
      </c>
      <c r="G1573" s="41" t="s">
        <v>5424</v>
      </c>
      <c r="H1573" s="2043">
        <v>355698</v>
      </c>
      <c r="I1573" s="2043">
        <v>278225</v>
      </c>
      <c r="J1573">
        <v>0.41141720639990498</v>
      </c>
      <c r="K1573" s="2043">
        <v>146340.277482034</v>
      </c>
      <c r="L1573" s="2043">
        <v>146340.277482034</v>
      </c>
      <c r="M1573">
        <v>599</v>
      </c>
      <c r="N1573">
        <v>1</v>
      </c>
    </row>
    <row r="1574" spans="1:14">
      <c r="A1574" t="s">
        <v>3064</v>
      </c>
      <c r="B1574" t="s">
        <v>1779</v>
      </c>
      <c r="C1574" t="s">
        <v>610</v>
      </c>
      <c r="D1574" s="41">
        <v>9</v>
      </c>
      <c r="E1574" s="41">
        <v>1657</v>
      </c>
      <c r="F1574" s="41" t="s">
        <v>4226</v>
      </c>
      <c r="G1574" s="41" t="s">
        <v>5603</v>
      </c>
      <c r="H1574" s="2043">
        <v>355698</v>
      </c>
      <c r="I1574" s="2043">
        <v>398035</v>
      </c>
      <c r="J1574">
        <v>0.58858279360009502</v>
      </c>
      <c r="K1574" s="2043">
        <v>209357.722517966</v>
      </c>
      <c r="L1574" s="2043">
        <v>209357.722517966</v>
      </c>
      <c r="M1574">
        <v>599</v>
      </c>
      <c r="N1574">
        <v>1</v>
      </c>
    </row>
    <row r="1575" spans="1:14">
      <c r="A1575" t="s">
        <v>3065</v>
      </c>
      <c r="B1575" t="s">
        <v>1047</v>
      </c>
      <c r="C1575" t="s">
        <v>1487</v>
      </c>
      <c r="D1575" s="41">
        <v>9</v>
      </c>
      <c r="E1575" s="41">
        <v>1670</v>
      </c>
      <c r="F1575" s="41" t="s">
        <v>4227</v>
      </c>
      <c r="G1575" s="41" t="s">
        <v>4227</v>
      </c>
      <c r="H1575" s="2043">
        <v>123500</v>
      </c>
      <c r="I1575" s="2043">
        <v>0</v>
      </c>
      <c r="J1575">
        <v>0</v>
      </c>
      <c r="K1575" s="2043">
        <v>0</v>
      </c>
      <c r="L1575" s="2043">
        <v>0</v>
      </c>
      <c r="M1575">
        <v>599</v>
      </c>
      <c r="N1575">
        <v>1</v>
      </c>
    </row>
    <row r="1576" spans="1:14">
      <c r="A1576" t="s">
        <v>3065</v>
      </c>
      <c r="B1576" t="s">
        <v>1047</v>
      </c>
      <c r="C1576" t="s">
        <v>1487</v>
      </c>
      <c r="D1576" s="41">
        <v>9</v>
      </c>
      <c r="E1576" s="41">
        <v>1670</v>
      </c>
      <c r="F1576" s="41" t="s">
        <v>4227</v>
      </c>
      <c r="G1576" s="41" t="s">
        <v>5426</v>
      </c>
      <c r="H1576" s="2043">
        <v>123500</v>
      </c>
      <c r="I1576" s="2043">
        <v>436533</v>
      </c>
      <c r="J1576">
        <v>1</v>
      </c>
      <c r="K1576" s="2043">
        <v>123500</v>
      </c>
      <c r="L1576" s="2043">
        <v>123500</v>
      </c>
      <c r="M1576">
        <v>599</v>
      </c>
      <c r="N1576">
        <v>1</v>
      </c>
    </row>
    <row r="1577" spans="1:14">
      <c r="A1577" t="s">
        <v>3066</v>
      </c>
      <c r="B1577" t="s">
        <v>1352</v>
      </c>
      <c r="C1577" t="s">
        <v>1460</v>
      </c>
      <c r="D1577" s="41">
        <v>5</v>
      </c>
      <c r="E1577" s="41">
        <v>1711</v>
      </c>
      <c r="F1577" s="41" t="s">
        <v>4228</v>
      </c>
      <c r="G1577" s="41" t="s">
        <v>4228</v>
      </c>
      <c r="H1577" s="2043">
        <v>568204</v>
      </c>
      <c r="I1577" s="2043">
        <v>0</v>
      </c>
      <c r="J1577">
        <v>0</v>
      </c>
      <c r="K1577" s="2043">
        <v>0</v>
      </c>
      <c r="L1577" s="2043">
        <v>0</v>
      </c>
      <c r="M1577">
        <v>599</v>
      </c>
      <c r="N1577">
        <v>0</v>
      </c>
    </row>
    <row r="1578" spans="1:14">
      <c r="A1578" t="s">
        <v>3066</v>
      </c>
      <c r="B1578" t="s">
        <v>1352</v>
      </c>
      <c r="C1578" t="s">
        <v>1460</v>
      </c>
      <c r="D1578" s="41">
        <v>5</v>
      </c>
      <c r="E1578" s="41">
        <v>1711</v>
      </c>
      <c r="F1578" s="41" t="s">
        <v>4228</v>
      </c>
      <c r="G1578" s="41" t="s">
        <v>4229</v>
      </c>
      <c r="H1578" s="2043">
        <v>568204</v>
      </c>
      <c r="I1578" s="2043">
        <v>0</v>
      </c>
      <c r="J1578">
        <v>0</v>
      </c>
      <c r="K1578" s="2043">
        <v>0</v>
      </c>
      <c r="L1578" s="2043">
        <v>0</v>
      </c>
      <c r="M1578">
        <v>599</v>
      </c>
      <c r="N1578">
        <v>1</v>
      </c>
    </row>
    <row r="1579" spans="1:14">
      <c r="A1579" t="s">
        <v>3066</v>
      </c>
      <c r="B1579" t="s">
        <v>1352</v>
      </c>
      <c r="C1579" t="s">
        <v>1460</v>
      </c>
      <c r="D1579" s="41">
        <v>5</v>
      </c>
      <c r="E1579" s="41">
        <v>1711</v>
      </c>
      <c r="F1579" s="41" t="s">
        <v>4228</v>
      </c>
      <c r="G1579" s="41" t="s">
        <v>4230</v>
      </c>
      <c r="H1579" s="2043">
        <v>568204</v>
      </c>
      <c r="I1579" s="2043">
        <v>165048</v>
      </c>
      <c r="J1579">
        <v>0.18035292999205599</v>
      </c>
      <c r="K1579" s="2043">
        <v>102477.256233206</v>
      </c>
      <c r="L1579" s="2043">
        <v>102477.256233206</v>
      </c>
      <c r="M1579">
        <v>599</v>
      </c>
      <c r="N1579">
        <v>1</v>
      </c>
    </row>
    <row r="1580" spans="1:14">
      <c r="A1580" t="s">
        <v>3066</v>
      </c>
      <c r="B1580" t="s">
        <v>1352</v>
      </c>
      <c r="C1580" t="s">
        <v>1460</v>
      </c>
      <c r="D1580" s="41">
        <v>5</v>
      </c>
      <c r="E1580" s="41">
        <v>1711</v>
      </c>
      <c r="F1580" s="41" t="s">
        <v>4228</v>
      </c>
      <c r="G1580" s="41" t="s">
        <v>5427</v>
      </c>
      <c r="H1580" s="2043">
        <v>568204</v>
      </c>
      <c r="I1580" s="2043">
        <v>314823</v>
      </c>
      <c r="J1580">
        <v>0.34401659201498402</v>
      </c>
      <c r="K1580" s="2043">
        <v>195471.60364928201</v>
      </c>
      <c r="L1580" s="2043">
        <v>195471.60364928201</v>
      </c>
      <c r="M1580">
        <v>599</v>
      </c>
      <c r="N1580">
        <v>1</v>
      </c>
    </row>
    <row r="1581" spans="1:14">
      <c r="A1581" t="s">
        <v>3066</v>
      </c>
      <c r="B1581" t="s">
        <v>1352</v>
      </c>
      <c r="C1581" t="s">
        <v>1460</v>
      </c>
      <c r="D1581" s="41">
        <v>5</v>
      </c>
      <c r="E1581" s="41">
        <v>1711</v>
      </c>
      <c r="F1581" s="41" t="s">
        <v>4228</v>
      </c>
      <c r="G1581" s="41" t="s">
        <v>7219</v>
      </c>
      <c r="H1581" s="2043">
        <v>568204</v>
      </c>
      <c r="I1581" s="2043">
        <v>312596</v>
      </c>
      <c r="J1581">
        <v>0.34158308191433201</v>
      </c>
      <c r="K1581" s="2043">
        <v>194088.873476051</v>
      </c>
      <c r="L1581" s="2043">
        <v>194088.873476051</v>
      </c>
      <c r="M1581">
        <v>599</v>
      </c>
      <c r="N1581">
        <v>1</v>
      </c>
    </row>
    <row r="1582" spans="1:14">
      <c r="A1582" t="s">
        <v>3066</v>
      </c>
      <c r="B1582" t="s">
        <v>1352</v>
      </c>
      <c r="C1582" t="s">
        <v>1460</v>
      </c>
      <c r="D1582" s="41">
        <v>5</v>
      </c>
      <c r="E1582" s="41">
        <v>1711</v>
      </c>
      <c r="F1582" s="41" t="s">
        <v>4228</v>
      </c>
      <c r="G1582" s="41" t="s">
        <v>7331</v>
      </c>
      <c r="H1582" s="2043">
        <v>568204</v>
      </c>
      <c r="I1582" s="2043">
        <v>122672</v>
      </c>
      <c r="J1582">
        <v>0.13404739607862901</v>
      </c>
      <c r="K1582" s="2043">
        <v>76166.266641460999</v>
      </c>
      <c r="L1582" s="2043">
        <v>76166.266641460999</v>
      </c>
      <c r="M1582">
        <v>599</v>
      </c>
      <c r="N1582">
        <v>1</v>
      </c>
    </row>
    <row r="1583" spans="1:14">
      <c r="A1583" t="s">
        <v>3067</v>
      </c>
      <c r="B1583" t="s">
        <v>1837</v>
      </c>
      <c r="C1583" t="s">
        <v>2006</v>
      </c>
      <c r="D1583" s="41">
        <v>4</v>
      </c>
      <c r="E1583" s="41">
        <v>2033</v>
      </c>
      <c r="F1583" s="41" t="s">
        <v>4231</v>
      </c>
      <c r="G1583" s="41" t="s">
        <v>4231</v>
      </c>
      <c r="H1583" s="2043">
        <v>179503</v>
      </c>
      <c r="I1583" s="2043">
        <v>0</v>
      </c>
      <c r="J1583">
        <v>0</v>
      </c>
      <c r="K1583" s="2043">
        <v>0</v>
      </c>
      <c r="L1583" s="2043">
        <v>0</v>
      </c>
      <c r="M1583">
        <v>599</v>
      </c>
      <c r="N1583">
        <v>0</v>
      </c>
    </row>
    <row r="1584" spans="1:14">
      <c r="A1584" t="s">
        <v>3067</v>
      </c>
      <c r="B1584" t="s">
        <v>1837</v>
      </c>
      <c r="C1584" t="s">
        <v>2006</v>
      </c>
      <c r="D1584" s="41">
        <v>4</v>
      </c>
      <c r="E1584" s="41">
        <v>2033</v>
      </c>
      <c r="F1584" s="41" t="s">
        <v>4231</v>
      </c>
      <c r="G1584" s="41" t="s">
        <v>4232</v>
      </c>
      <c r="H1584" s="2043">
        <v>179503</v>
      </c>
      <c r="I1584" s="2043">
        <v>239860</v>
      </c>
      <c r="J1584">
        <v>1</v>
      </c>
      <c r="K1584" s="2043">
        <v>179503</v>
      </c>
      <c r="L1584" s="2043">
        <v>179503</v>
      </c>
      <c r="M1584">
        <v>599</v>
      </c>
      <c r="N1584">
        <v>1</v>
      </c>
    </row>
    <row r="1585" spans="1:14">
      <c r="A1585" t="s">
        <v>3068</v>
      </c>
      <c r="B1585" t="s">
        <v>1493</v>
      </c>
      <c r="C1585" t="s">
        <v>75</v>
      </c>
      <c r="D1585" s="41">
        <v>1</v>
      </c>
      <c r="E1585" s="41">
        <v>2223</v>
      </c>
      <c r="F1585" s="41" t="s">
        <v>4233</v>
      </c>
      <c r="G1585" s="41" t="s">
        <v>4233</v>
      </c>
      <c r="H1585" s="2043">
        <v>647776</v>
      </c>
      <c r="I1585" s="2043">
        <v>0</v>
      </c>
      <c r="J1585">
        <v>0</v>
      </c>
      <c r="K1585" s="2043">
        <v>0</v>
      </c>
      <c r="L1585" s="2043">
        <v>0</v>
      </c>
      <c r="M1585">
        <v>599</v>
      </c>
      <c r="N1585">
        <v>0</v>
      </c>
    </row>
    <row r="1586" spans="1:14">
      <c r="A1586" t="s">
        <v>3068</v>
      </c>
      <c r="B1586" t="s">
        <v>1493</v>
      </c>
      <c r="C1586" t="s">
        <v>75</v>
      </c>
      <c r="D1586" s="41">
        <v>1</v>
      </c>
      <c r="E1586" s="41">
        <v>2223</v>
      </c>
      <c r="F1586" s="41" t="s">
        <v>4233</v>
      </c>
      <c r="G1586" s="41" t="s">
        <v>4234</v>
      </c>
      <c r="H1586" s="2043">
        <v>647776</v>
      </c>
      <c r="I1586" s="2043">
        <v>0</v>
      </c>
      <c r="J1586">
        <v>0</v>
      </c>
      <c r="K1586" s="2043">
        <v>0</v>
      </c>
      <c r="L1586" s="2043">
        <v>0</v>
      </c>
      <c r="M1586">
        <v>599</v>
      </c>
      <c r="N1586">
        <v>1</v>
      </c>
    </row>
    <row r="1587" spans="1:14">
      <c r="A1587" t="s">
        <v>3068</v>
      </c>
      <c r="B1587" t="s">
        <v>1493</v>
      </c>
      <c r="C1587" t="s">
        <v>75</v>
      </c>
      <c r="D1587" s="41">
        <v>1</v>
      </c>
      <c r="E1587" s="41">
        <v>2223</v>
      </c>
      <c r="F1587" s="41" t="s">
        <v>4233</v>
      </c>
      <c r="G1587" s="41" t="s">
        <v>7220</v>
      </c>
      <c r="H1587" s="2043">
        <v>647776</v>
      </c>
      <c r="I1587" s="2043">
        <v>821525</v>
      </c>
      <c r="J1587">
        <v>1</v>
      </c>
      <c r="K1587" s="2043">
        <v>647776</v>
      </c>
      <c r="L1587" s="2043">
        <v>647776</v>
      </c>
      <c r="M1587">
        <v>599</v>
      </c>
      <c r="N1587">
        <v>1</v>
      </c>
    </row>
    <row r="1588" spans="1:14">
      <c r="A1588" t="s">
        <v>3068</v>
      </c>
      <c r="B1588" t="s">
        <v>1493</v>
      </c>
      <c r="C1588" t="s">
        <v>75</v>
      </c>
      <c r="D1588" s="41">
        <v>6</v>
      </c>
      <c r="E1588" s="41">
        <v>2224</v>
      </c>
      <c r="F1588" s="41" t="s">
        <v>4235</v>
      </c>
      <c r="G1588" s="41" t="s">
        <v>4235</v>
      </c>
      <c r="H1588" s="2043">
        <v>685070</v>
      </c>
      <c r="I1588" s="2043">
        <v>0</v>
      </c>
      <c r="J1588">
        <v>0</v>
      </c>
      <c r="K1588" s="2043">
        <v>0</v>
      </c>
      <c r="L1588" s="2043">
        <v>0</v>
      </c>
      <c r="M1588">
        <v>599</v>
      </c>
      <c r="N1588">
        <v>0</v>
      </c>
    </row>
    <row r="1589" spans="1:14">
      <c r="A1589" t="s">
        <v>3068</v>
      </c>
      <c r="B1589" t="s">
        <v>1493</v>
      </c>
      <c r="C1589" t="s">
        <v>75</v>
      </c>
      <c r="D1589" s="41">
        <v>6</v>
      </c>
      <c r="E1589" s="41">
        <v>2224</v>
      </c>
      <c r="F1589" s="41" t="s">
        <v>4235</v>
      </c>
      <c r="G1589" s="41" t="s">
        <v>4236</v>
      </c>
      <c r="H1589" s="2043">
        <v>685070</v>
      </c>
      <c r="I1589" s="2043">
        <v>326220</v>
      </c>
      <c r="J1589">
        <v>0.53940275802771298</v>
      </c>
      <c r="K1589" s="2043">
        <v>369528.64744204498</v>
      </c>
      <c r="L1589" s="2043">
        <v>326220</v>
      </c>
      <c r="M1589">
        <v>599</v>
      </c>
      <c r="N1589">
        <v>1</v>
      </c>
    </row>
    <row r="1590" spans="1:14">
      <c r="A1590" t="s">
        <v>3068</v>
      </c>
      <c r="B1590" t="s">
        <v>1493</v>
      </c>
      <c r="C1590" t="s">
        <v>75</v>
      </c>
      <c r="D1590" s="41">
        <v>6</v>
      </c>
      <c r="E1590" s="41">
        <v>2224</v>
      </c>
      <c r="F1590" s="41" t="s">
        <v>4235</v>
      </c>
      <c r="G1590" s="41" t="s">
        <v>7332</v>
      </c>
      <c r="H1590" s="2043">
        <v>685070</v>
      </c>
      <c r="I1590" s="2043">
        <v>278560</v>
      </c>
      <c r="J1590">
        <v>0.46059724197228702</v>
      </c>
      <c r="K1590" s="2043">
        <v>315541.35255795502</v>
      </c>
      <c r="L1590" s="2043">
        <v>278560</v>
      </c>
      <c r="M1590">
        <v>599</v>
      </c>
      <c r="N1590">
        <v>1</v>
      </c>
    </row>
    <row r="1591" spans="1:14">
      <c r="A1591" t="s">
        <v>3069</v>
      </c>
      <c r="B1591" t="s">
        <v>231</v>
      </c>
      <c r="C1591" t="s">
        <v>1064</v>
      </c>
      <c r="D1591" s="41">
        <v>5</v>
      </c>
      <c r="E1591" s="41">
        <v>2461</v>
      </c>
      <c r="F1591" s="41" t="s">
        <v>4237</v>
      </c>
      <c r="G1591" s="41" t="s">
        <v>4237</v>
      </c>
      <c r="H1591" s="2043">
        <v>144000</v>
      </c>
      <c r="I1591" s="2043">
        <v>0</v>
      </c>
      <c r="J1591">
        <v>0</v>
      </c>
      <c r="K1591" s="2043">
        <v>0</v>
      </c>
      <c r="L1591" s="2043">
        <v>0</v>
      </c>
      <c r="M1591">
        <v>599</v>
      </c>
      <c r="N1591">
        <v>0</v>
      </c>
    </row>
    <row r="1592" spans="1:14">
      <c r="A1592" t="s">
        <v>3069</v>
      </c>
      <c r="B1592" t="s">
        <v>231</v>
      </c>
      <c r="C1592" t="s">
        <v>1064</v>
      </c>
      <c r="D1592" s="41">
        <v>5</v>
      </c>
      <c r="E1592" s="41">
        <v>2461</v>
      </c>
      <c r="F1592" s="41" t="s">
        <v>4237</v>
      </c>
      <c r="G1592" s="41" t="s">
        <v>4238</v>
      </c>
      <c r="H1592" s="2043">
        <v>144000</v>
      </c>
      <c r="I1592" s="2043">
        <v>125600</v>
      </c>
      <c r="J1592">
        <v>1</v>
      </c>
      <c r="K1592" s="2043">
        <v>144000</v>
      </c>
      <c r="L1592" s="2043">
        <v>125600</v>
      </c>
      <c r="M1592">
        <v>599</v>
      </c>
      <c r="N1592">
        <v>1</v>
      </c>
    </row>
    <row r="1593" spans="1:14">
      <c r="A1593" t="s">
        <v>3070</v>
      </c>
      <c r="B1593" t="s">
        <v>828</v>
      </c>
      <c r="C1593" t="s">
        <v>754</v>
      </c>
      <c r="D1593" s="41">
        <v>2</v>
      </c>
      <c r="E1593" s="41">
        <v>1614</v>
      </c>
      <c r="F1593" s="41" t="s">
        <v>4239</v>
      </c>
      <c r="G1593" s="41" t="s">
        <v>4239</v>
      </c>
      <c r="H1593" s="2043">
        <v>93784</v>
      </c>
      <c r="I1593" s="2043">
        <v>0</v>
      </c>
      <c r="J1593">
        <v>0</v>
      </c>
      <c r="L1593" s="2043">
        <v>0</v>
      </c>
      <c r="M1593">
        <v>199</v>
      </c>
      <c r="N1593">
        <v>0</v>
      </c>
    </row>
    <row r="1594" spans="1:14">
      <c r="A1594" t="s">
        <v>3070</v>
      </c>
      <c r="B1594" t="s">
        <v>828</v>
      </c>
      <c r="C1594" t="s">
        <v>754</v>
      </c>
      <c r="D1594" s="41">
        <v>9</v>
      </c>
      <c r="E1594" s="41">
        <v>1615</v>
      </c>
      <c r="F1594" s="41" t="s">
        <v>4240</v>
      </c>
      <c r="G1594" s="41" t="s">
        <v>4240</v>
      </c>
      <c r="H1594" s="2043">
        <v>144241</v>
      </c>
      <c r="I1594" s="2043">
        <v>0</v>
      </c>
      <c r="J1594">
        <v>0</v>
      </c>
      <c r="K1594" s="2043">
        <v>0</v>
      </c>
      <c r="L1594" s="2043">
        <v>0</v>
      </c>
      <c r="M1594">
        <v>599</v>
      </c>
      <c r="N1594">
        <v>1</v>
      </c>
    </row>
    <row r="1595" spans="1:14">
      <c r="A1595" t="s">
        <v>3070</v>
      </c>
      <c r="B1595" t="s">
        <v>828</v>
      </c>
      <c r="C1595" t="s">
        <v>754</v>
      </c>
      <c r="D1595" s="41">
        <v>9</v>
      </c>
      <c r="E1595" s="41">
        <v>1615</v>
      </c>
      <c r="F1595" s="41" t="s">
        <v>4240</v>
      </c>
      <c r="G1595" s="41" t="s">
        <v>5604</v>
      </c>
      <c r="H1595" s="2043">
        <v>144241</v>
      </c>
      <c r="I1595" s="2043">
        <v>549350</v>
      </c>
      <c r="J1595">
        <v>0.61874190460100198</v>
      </c>
      <c r="K1595" s="2043">
        <v>89247.951061553205</v>
      </c>
      <c r="L1595" s="2043">
        <v>89247.951061553205</v>
      </c>
      <c r="M1595">
        <v>599</v>
      </c>
      <c r="N1595">
        <v>1</v>
      </c>
    </row>
    <row r="1596" spans="1:14">
      <c r="A1596" t="s">
        <v>3070</v>
      </c>
      <c r="B1596" t="s">
        <v>828</v>
      </c>
      <c r="C1596" t="s">
        <v>754</v>
      </c>
      <c r="D1596" s="41">
        <v>9</v>
      </c>
      <c r="E1596" s="41">
        <v>1615</v>
      </c>
      <c r="F1596" s="41" t="s">
        <v>4240</v>
      </c>
      <c r="G1596" s="41" t="s">
        <v>7221</v>
      </c>
      <c r="H1596" s="2043">
        <v>144241</v>
      </c>
      <c r="I1596" s="2043">
        <v>338500</v>
      </c>
      <c r="J1596">
        <v>0.38125809539899802</v>
      </c>
      <c r="K1596" s="2043">
        <v>54993.048938446802</v>
      </c>
      <c r="L1596" s="2043">
        <v>54993.048938446802</v>
      </c>
      <c r="M1596">
        <v>599</v>
      </c>
      <c r="N1596">
        <v>1</v>
      </c>
    </row>
    <row r="1597" spans="1:14">
      <c r="A1597" t="s">
        <v>3071</v>
      </c>
      <c r="B1597" t="s">
        <v>1740</v>
      </c>
      <c r="C1597" t="s">
        <v>1271</v>
      </c>
      <c r="D1597" s="41">
        <v>5</v>
      </c>
      <c r="E1597" s="41">
        <v>1626</v>
      </c>
      <c r="F1597" s="41" t="s">
        <v>4241</v>
      </c>
      <c r="G1597" s="41" t="s">
        <v>4241</v>
      </c>
      <c r="H1597" s="2043">
        <v>139355</v>
      </c>
      <c r="I1597" s="2043">
        <v>0</v>
      </c>
      <c r="J1597">
        <v>0</v>
      </c>
      <c r="K1597" s="2043">
        <v>0</v>
      </c>
      <c r="L1597" s="2043">
        <v>0</v>
      </c>
      <c r="M1597">
        <v>599</v>
      </c>
      <c r="N1597">
        <v>0</v>
      </c>
    </row>
    <row r="1598" spans="1:14">
      <c r="A1598" t="s">
        <v>3071</v>
      </c>
      <c r="B1598" t="s">
        <v>1740</v>
      </c>
      <c r="C1598" t="s">
        <v>1271</v>
      </c>
      <c r="D1598" s="41">
        <v>5</v>
      </c>
      <c r="E1598" s="41">
        <v>1626</v>
      </c>
      <c r="F1598" s="41" t="s">
        <v>4241</v>
      </c>
      <c r="G1598" s="41" t="s">
        <v>4242</v>
      </c>
      <c r="H1598" s="2043">
        <v>139355</v>
      </c>
      <c r="I1598" s="2043">
        <v>0</v>
      </c>
      <c r="J1598">
        <v>0</v>
      </c>
      <c r="K1598" s="2043">
        <v>0</v>
      </c>
      <c r="L1598" s="2043">
        <v>0</v>
      </c>
      <c r="M1598">
        <v>599</v>
      </c>
      <c r="N1598">
        <v>0</v>
      </c>
    </row>
    <row r="1599" spans="1:14">
      <c r="A1599" t="s">
        <v>3071</v>
      </c>
      <c r="B1599" t="s">
        <v>1740</v>
      </c>
      <c r="C1599" t="s">
        <v>1271</v>
      </c>
      <c r="D1599" s="41">
        <v>5</v>
      </c>
      <c r="E1599" s="41">
        <v>1626</v>
      </c>
      <c r="F1599" s="41" t="s">
        <v>4241</v>
      </c>
      <c r="G1599" s="41" t="s">
        <v>5428</v>
      </c>
      <c r="H1599" s="2043">
        <v>139355</v>
      </c>
      <c r="I1599" s="2043">
        <v>130192</v>
      </c>
      <c r="J1599">
        <v>1</v>
      </c>
      <c r="K1599" s="2043">
        <v>139355</v>
      </c>
      <c r="L1599" s="2043">
        <v>130192</v>
      </c>
      <c r="M1599">
        <v>599</v>
      </c>
      <c r="N1599">
        <v>1</v>
      </c>
    </row>
    <row r="1600" spans="1:14">
      <c r="A1600" t="s">
        <v>5106</v>
      </c>
      <c r="B1600" t="s">
        <v>2021</v>
      </c>
      <c r="C1600" t="s">
        <v>990</v>
      </c>
      <c r="D1600" s="41">
        <v>11</v>
      </c>
      <c r="E1600" s="41">
        <v>2494</v>
      </c>
      <c r="F1600" s="41" t="s">
        <v>7222</v>
      </c>
      <c r="G1600" s="41" t="s">
        <v>7222</v>
      </c>
      <c r="H1600" s="2043">
        <v>175424</v>
      </c>
      <c r="I1600" s="2043">
        <v>564562</v>
      </c>
      <c r="J1600">
        <v>1</v>
      </c>
      <c r="K1600" s="2043">
        <v>175424</v>
      </c>
      <c r="L1600" s="2043">
        <v>175424</v>
      </c>
      <c r="M1600">
        <v>599</v>
      </c>
      <c r="N1600">
        <v>1</v>
      </c>
    </row>
    <row r="1601" spans="1:14">
      <c r="A1601" t="s">
        <v>3072</v>
      </c>
      <c r="B1601" t="s">
        <v>2434</v>
      </c>
      <c r="C1601" t="s">
        <v>1393</v>
      </c>
      <c r="D1601" s="41">
        <v>2</v>
      </c>
      <c r="E1601" s="41">
        <v>1840</v>
      </c>
      <c r="F1601" s="41" t="s">
        <v>4243</v>
      </c>
      <c r="G1601" s="41" t="s">
        <v>4243</v>
      </c>
      <c r="H1601" s="2043">
        <v>137438</v>
      </c>
      <c r="I1601" s="2043">
        <v>0</v>
      </c>
      <c r="J1601">
        <v>0</v>
      </c>
      <c r="L1601" s="2043">
        <v>0</v>
      </c>
      <c r="M1601">
        <v>599</v>
      </c>
      <c r="N1601">
        <v>0</v>
      </c>
    </row>
    <row r="1602" spans="1:14">
      <c r="A1602" t="s">
        <v>3072</v>
      </c>
      <c r="B1602" t="s">
        <v>2434</v>
      </c>
      <c r="C1602" t="s">
        <v>1393</v>
      </c>
      <c r="D1602" s="41">
        <v>9</v>
      </c>
      <c r="E1602" s="41">
        <v>1841</v>
      </c>
      <c r="F1602" s="41" t="s">
        <v>4244</v>
      </c>
      <c r="G1602" s="41" t="s">
        <v>4244</v>
      </c>
      <c r="H1602" s="2043">
        <v>152500</v>
      </c>
      <c r="I1602" s="2043">
        <v>0</v>
      </c>
      <c r="J1602">
        <v>0</v>
      </c>
      <c r="K1602" s="2043">
        <v>0</v>
      </c>
      <c r="L1602" s="2043">
        <v>0</v>
      </c>
      <c r="M1602">
        <v>599</v>
      </c>
      <c r="N1602">
        <v>1</v>
      </c>
    </row>
    <row r="1603" spans="1:14">
      <c r="A1603" t="s">
        <v>3072</v>
      </c>
      <c r="B1603" t="s">
        <v>2434</v>
      </c>
      <c r="C1603" t="s">
        <v>1393</v>
      </c>
      <c r="D1603" s="41">
        <v>9</v>
      </c>
      <c r="E1603" s="41">
        <v>1841</v>
      </c>
      <c r="F1603" s="41" t="s">
        <v>4244</v>
      </c>
      <c r="G1603" s="41" t="s">
        <v>5605</v>
      </c>
      <c r="H1603" s="2043">
        <v>152500</v>
      </c>
      <c r="I1603" s="2043">
        <v>347823</v>
      </c>
      <c r="J1603">
        <v>1</v>
      </c>
      <c r="K1603" s="2043">
        <v>152500</v>
      </c>
      <c r="L1603" s="2043">
        <v>152500</v>
      </c>
      <c r="M1603">
        <v>599</v>
      </c>
      <c r="N1603">
        <v>1</v>
      </c>
    </row>
    <row r="1604" spans="1:14">
      <c r="A1604" t="s">
        <v>3073</v>
      </c>
      <c r="B1604" t="s">
        <v>836</v>
      </c>
      <c r="C1604" t="s">
        <v>1362</v>
      </c>
      <c r="D1604" s="41">
        <v>2</v>
      </c>
      <c r="E1604" s="41">
        <v>1651</v>
      </c>
      <c r="F1604" s="41" t="s">
        <v>4245</v>
      </c>
      <c r="G1604" s="41" t="s">
        <v>4245</v>
      </c>
      <c r="H1604" s="2043">
        <v>409486</v>
      </c>
      <c r="I1604" s="2043">
        <v>0</v>
      </c>
      <c r="J1604">
        <v>0</v>
      </c>
      <c r="K1604" s="2043">
        <v>0</v>
      </c>
      <c r="L1604" s="2043">
        <v>0</v>
      </c>
      <c r="M1604">
        <v>599</v>
      </c>
      <c r="N1604">
        <v>0</v>
      </c>
    </row>
    <row r="1605" spans="1:14">
      <c r="A1605" t="s">
        <v>3073</v>
      </c>
      <c r="B1605" t="s">
        <v>836</v>
      </c>
      <c r="C1605" t="s">
        <v>1362</v>
      </c>
      <c r="D1605" s="41">
        <v>2</v>
      </c>
      <c r="E1605" s="41">
        <v>1651</v>
      </c>
      <c r="F1605" s="41" t="s">
        <v>4245</v>
      </c>
      <c r="G1605" s="41" t="s">
        <v>4246</v>
      </c>
      <c r="H1605" s="2043">
        <v>409486</v>
      </c>
      <c r="I1605" s="2043">
        <v>0</v>
      </c>
      <c r="J1605">
        <v>0</v>
      </c>
      <c r="K1605" s="2043">
        <v>0</v>
      </c>
      <c r="L1605" s="2043">
        <v>0</v>
      </c>
      <c r="M1605">
        <v>599</v>
      </c>
      <c r="N1605">
        <v>1</v>
      </c>
    </row>
    <row r="1606" spans="1:14">
      <c r="A1606" t="s">
        <v>3073</v>
      </c>
      <c r="B1606" t="s">
        <v>836</v>
      </c>
      <c r="C1606" t="s">
        <v>1362</v>
      </c>
      <c r="D1606" s="41">
        <v>2</v>
      </c>
      <c r="E1606" s="41">
        <v>1651</v>
      </c>
      <c r="F1606" s="41" t="s">
        <v>4245</v>
      </c>
      <c r="G1606" s="41" t="s">
        <v>5606</v>
      </c>
      <c r="H1606" s="2043">
        <v>409486</v>
      </c>
      <c r="I1606" s="2043">
        <v>296077</v>
      </c>
      <c r="J1606">
        <v>1</v>
      </c>
      <c r="K1606" s="2043">
        <v>409486</v>
      </c>
      <c r="L1606" s="2043">
        <v>296077</v>
      </c>
      <c r="M1606">
        <v>599</v>
      </c>
      <c r="N1606">
        <v>1</v>
      </c>
    </row>
    <row r="1607" spans="1:14">
      <c r="A1607" t="s">
        <v>3073</v>
      </c>
      <c r="B1607" t="s">
        <v>836</v>
      </c>
      <c r="C1607" t="s">
        <v>1362</v>
      </c>
      <c r="D1607" s="41">
        <v>3</v>
      </c>
      <c r="E1607" s="41">
        <v>1650</v>
      </c>
      <c r="F1607" s="41" t="s">
        <v>4247</v>
      </c>
      <c r="G1607" s="41" t="s">
        <v>4247</v>
      </c>
      <c r="H1607" s="2043">
        <v>319854</v>
      </c>
      <c r="I1607" s="2043">
        <v>0</v>
      </c>
      <c r="J1607">
        <v>0</v>
      </c>
      <c r="K1607" s="2043">
        <v>0</v>
      </c>
      <c r="L1607" s="2043">
        <v>0</v>
      </c>
      <c r="M1607">
        <v>599</v>
      </c>
      <c r="N1607">
        <v>0</v>
      </c>
    </row>
    <row r="1608" spans="1:14">
      <c r="A1608" t="s">
        <v>3073</v>
      </c>
      <c r="B1608" t="s">
        <v>836</v>
      </c>
      <c r="C1608" t="s">
        <v>1362</v>
      </c>
      <c r="D1608" s="41">
        <v>3</v>
      </c>
      <c r="E1608" s="41">
        <v>1650</v>
      </c>
      <c r="F1608" s="41" t="s">
        <v>4247</v>
      </c>
      <c r="G1608" s="41" t="s">
        <v>4246</v>
      </c>
      <c r="H1608" s="2043">
        <v>319854</v>
      </c>
      <c r="I1608" s="2043">
        <v>0</v>
      </c>
      <c r="J1608">
        <v>0</v>
      </c>
      <c r="K1608" s="2043">
        <v>0</v>
      </c>
      <c r="L1608" s="2043">
        <v>0</v>
      </c>
      <c r="M1608">
        <v>599</v>
      </c>
      <c r="N1608">
        <v>1</v>
      </c>
    </row>
    <row r="1609" spans="1:14">
      <c r="A1609" t="s">
        <v>3073</v>
      </c>
      <c r="B1609" t="s">
        <v>836</v>
      </c>
      <c r="C1609" t="s">
        <v>1362</v>
      </c>
      <c r="D1609" s="41">
        <v>3</v>
      </c>
      <c r="E1609" s="41">
        <v>1650</v>
      </c>
      <c r="F1609" s="41" t="s">
        <v>4247</v>
      </c>
      <c r="G1609" s="41" t="s">
        <v>5606</v>
      </c>
      <c r="H1609" s="2043">
        <v>319854</v>
      </c>
      <c r="I1609" s="2043">
        <v>539873</v>
      </c>
      <c r="J1609">
        <v>1</v>
      </c>
      <c r="K1609" s="2043">
        <v>319854</v>
      </c>
      <c r="L1609" s="2043">
        <v>319854</v>
      </c>
      <c r="M1609">
        <v>599</v>
      </c>
      <c r="N1609">
        <v>1</v>
      </c>
    </row>
    <row r="1610" spans="1:14">
      <c r="A1610" t="s">
        <v>3074</v>
      </c>
      <c r="B1610" t="s">
        <v>42</v>
      </c>
      <c r="C1610" t="s">
        <v>384</v>
      </c>
      <c r="D1610" s="41">
        <v>1</v>
      </c>
      <c r="E1610" s="41">
        <v>1935</v>
      </c>
      <c r="F1610" s="41" t="s">
        <v>4248</v>
      </c>
      <c r="G1610" s="41" t="s">
        <v>4248</v>
      </c>
      <c r="H1610" s="2043">
        <v>422458</v>
      </c>
      <c r="I1610" s="2043">
        <v>0</v>
      </c>
      <c r="J1610">
        <v>0</v>
      </c>
      <c r="K1610" s="2043">
        <v>0</v>
      </c>
      <c r="L1610" s="2043">
        <v>0</v>
      </c>
      <c r="M1610">
        <v>599</v>
      </c>
      <c r="N1610">
        <v>0</v>
      </c>
    </row>
    <row r="1611" spans="1:14">
      <c r="A1611" t="s">
        <v>3074</v>
      </c>
      <c r="B1611" t="s">
        <v>42</v>
      </c>
      <c r="C1611" t="s">
        <v>384</v>
      </c>
      <c r="D1611" s="41">
        <v>1</v>
      </c>
      <c r="E1611" s="41">
        <v>1935</v>
      </c>
      <c r="F1611" s="41" t="s">
        <v>4248</v>
      </c>
      <c r="G1611" s="41" t="s">
        <v>4249</v>
      </c>
      <c r="H1611" s="2043">
        <v>422458</v>
      </c>
      <c r="I1611" s="2043">
        <v>0</v>
      </c>
      <c r="J1611">
        <v>0</v>
      </c>
      <c r="K1611" s="2043">
        <v>0</v>
      </c>
      <c r="L1611" s="2043">
        <v>0</v>
      </c>
      <c r="M1611">
        <v>599</v>
      </c>
      <c r="N1611">
        <v>0</v>
      </c>
    </row>
    <row r="1612" spans="1:14">
      <c r="A1612" t="s">
        <v>3074</v>
      </c>
      <c r="B1612" t="s">
        <v>42</v>
      </c>
      <c r="C1612" t="s">
        <v>384</v>
      </c>
      <c r="D1612" s="41">
        <v>1</v>
      </c>
      <c r="E1612" s="41">
        <v>1935</v>
      </c>
      <c r="F1612" s="41" t="s">
        <v>4248</v>
      </c>
      <c r="G1612" s="41" t="s">
        <v>4250</v>
      </c>
      <c r="H1612" s="2043">
        <v>422458</v>
      </c>
      <c r="I1612" s="2043">
        <v>553175</v>
      </c>
      <c r="J1612">
        <v>1</v>
      </c>
      <c r="K1612" s="2043">
        <v>422458</v>
      </c>
      <c r="L1612" s="2043">
        <v>422458</v>
      </c>
      <c r="M1612">
        <v>599</v>
      </c>
      <c r="N1612">
        <v>1</v>
      </c>
    </row>
    <row r="1613" spans="1:14">
      <c r="A1613" t="s">
        <v>3074</v>
      </c>
      <c r="B1613" t="s">
        <v>42</v>
      </c>
      <c r="C1613" t="s">
        <v>384</v>
      </c>
      <c r="D1613" s="41">
        <v>2</v>
      </c>
      <c r="E1613" s="41">
        <v>1934</v>
      </c>
      <c r="F1613" s="41" t="s">
        <v>4251</v>
      </c>
      <c r="G1613" s="41" t="s">
        <v>4251</v>
      </c>
      <c r="H1613" s="2043">
        <v>410042</v>
      </c>
      <c r="I1613" s="2043">
        <v>0</v>
      </c>
      <c r="J1613">
        <v>0</v>
      </c>
      <c r="K1613" s="2043">
        <v>0</v>
      </c>
      <c r="L1613" s="2043">
        <v>0</v>
      </c>
      <c r="M1613">
        <v>599</v>
      </c>
      <c r="N1613">
        <v>0</v>
      </c>
    </row>
    <row r="1614" spans="1:14">
      <c r="A1614" t="s">
        <v>3074</v>
      </c>
      <c r="B1614" t="s">
        <v>42</v>
      </c>
      <c r="C1614" t="s">
        <v>384</v>
      </c>
      <c r="D1614" s="41">
        <v>2</v>
      </c>
      <c r="E1614" s="41">
        <v>1934</v>
      </c>
      <c r="F1614" s="41" t="s">
        <v>4251</v>
      </c>
      <c r="G1614" s="41" t="s">
        <v>4252</v>
      </c>
      <c r="H1614" s="2043">
        <v>410042</v>
      </c>
      <c r="I1614" s="2043">
        <v>427419</v>
      </c>
      <c r="J1614">
        <v>1</v>
      </c>
      <c r="K1614" s="2043">
        <v>410042</v>
      </c>
      <c r="L1614" s="2043">
        <v>410042</v>
      </c>
      <c r="M1614">
        <v>599</v>
      </c>
      <c r="N1614">
        <v>1</v>
      </c>
    </row>
    <row r="1615" spans="1:14">
      <c r="A1615" t="s">
        <v>3074</v>
      </c>
      <c r="B1615" t="s">
        <v>42</v>
      </c>
      <c r="C1615" t="s">
        <v>384</v>
      </c>
      <c r="D1615" s="41">
        <v>3</v>
      </c>
      <c r="E1615" s="41">
        <v>1933</v>
      </c>
      <c r="F1615" s="41" t="s">
        <v>4253</v>
      </c>
      <c r="G1615" s="41" t="s">
        <v>4253</v>
      </c>
      <c r="H1615" s="2043">
        <v>359938</v>
      </c>
      <c r="I1615" s="2043">
        <v>0</v>
      </c>
      <c r="J1615">
        <v>0</v>
      </c>
      <c r="K1615" s="2043">
        <v>0</v>
      </c>
      <c r="L1615" s="2043">
        <v>0</v>
      </c>
      <c r="M1615">
        <v>599</v>
      </c>
      <c r="N1615">
        <v>0</v>
      </c>
    </row>
    <row r="1616" spans="1:14">
      <c r="A1616" t="s">
        <v>3074</v>
      </c>
      <c r="B1616" t="s">
        <v>42</v>
      </c>
      <c r="C1616" t="s">
        <v>384</v>
      </c>
      <c r="D1616" s="41">
        <v>3</v>
      </c>
      <c r="E1616" s="41">
        <v>1933</v>
      </c>
      <c r="F1616" s="41" t="s">
        <v>4253</v>
      </c>
      <c r="G1616" s="41" t="s">
        <v>4252</v>
      </c>
      <c r="H1616" s="2043">
        <v>359938</v>
      </c>
      <c r="I1616" s="2043">
        <v>352097</v>
      </c>
      <c r="J1616">
        <v>1</v>
      </c>
      <c r="K1616" s="2043">
        <v>359938</v>
      </c>
      <c r="L1616" s="2043">
        <v>352097</v>
      </c>
      <c r="M1616">
        <v>599</v>
      </c>
      <c r="N1616">
        <v>1</v>
      </c>
    </row>
    <row r="1617" spans="1:14">
      <c r="A1617" t="s">
        <v>3075</v>
      </c>
      <c r="B1617" t="s">
        <v>52</v>
      </c>
      <c r="C1617" t="s">
        <v>1904</v>
      </c>
      <c r="D1617" s="41">
        <v>3</v>
      </c>
      <c r="E1617" s="41">
        <v>1962</v>
      </c>
      <c r="F1617" s="41" t="s">
        <v>4254</v>
      </c>
      <c r="G1617" s="41" t="s">
        <v>4254</v>
      </c>
      <c r="H1617" s="2043">
        <v>413051</v>
      </c>
      <c r="I1617" s="2043">
        <v>0</v>
      </c>
      <c r="J1617">
        <v>0</v>
      </c>
      <c r="K1617" s="2043">
        <v>0</v>
      </c>
      <c r="L1617" s="2043">
        <v>0</v>
      </c>
      <c r="M1617">
        <v>599</v>
      </c>
      <c r="N1617">
        <v>0</v>
      </c>
    </row>
    <row r="1618" spans="1:14">
      <c r="A1618" t="s">
        <v>3075</v>
      </c>
      <c r="B1618" t="s">
        <v>52</v>
      </c>
      <c r="C1618" t="s">
        <v>1904</v>
      </c>
      <c r="D1618" s="41">
        <v>3</v>
      </c>
      <c r="E1618" s="41">
        <v>1962</v>
      </c>
      <c r="F1618" s="41" t="s">
        <v>4254</v>
      </c>
      <c r="G1618" s="41" t="s">
        <v>4255</v>
      </c>
      <c r="H1618" s="2043">
        <v>413051</v>
      </c>
      <c r="I1618" s="2043">
        <v>0</v>
      </c>
      <c r="J1618">
        <v>0</v>
      </c>
      <c r="K1618" s="2043">
        <v>0</v>
      </c>
      <c r="L1618" s="2043">
        <v>0</v>
      </c>
      <c r="M1618">
        <v>599</v>
      </c>
      <c r="N1618">
        <v>0</v>
      </c>
    </row>
    <row r="1619" spans="1:14">
      <c r="A1619" t="s">
        <v>3075</v>
      </c>
      <c r="B1619" t="s">
        <v>52</v>
      </c>
      <c r="C1619" t="s">
        <v>1904</v>
      </c>
      <c r="D1619" s="41">
        <v>3</v>
      </c>
      <c r="E1619" s="41">
        <v>1962</v>
      </c>
      <c r="F1619" s="41" t="s">
        <v>4254</v>
      </c>
      <c r="G1619" s="41" t="s">
        <v>5429</v>
      </c>
      <c r="H1619" s="2043">
        <v>413051</v>
      </c>
      <c r="I1619" s="2043">
        <v>356860</v>
      </c>
      <c r="J1619">
        <v>1</v>
      </c>
      <c r="K1619" s="2043">
        <v>413051</v>
      </c>
      <c r="L1619" s="2043">
        <v>356860</v>
      </c>
      <c r="M1619">
        <v>599</v>
      </c>
      <c r="N1619">
        <v>1</v>
      </c>
    </row>
    <row r="1620" spans="1:14">
      <c r="A1620" t="s">
        <v>3076</v>
      </c>
      <c r="B1620" t="s">
        <v>2399</v>
      </c>
      <c r="C1620" t="s">
        <v>371</v>
      </c>
      <c r="D1620" s="41">
        <v>1</v>
      </c>
      <c r="E1620" s="41">
        <v>2129</v>
      </c>
      <c r="F1620" s="41" t="s">
        <v>4256</v>
      </c>
      <c r="G1620" s="41" t="s">
        <v>4256</v>
      </c>
      <c r="H1620" s="2043">
        <v>285609</v>
      </c>
      <c r="I1620" s="2043">
        <v>0</v>
      </c>
      <c r="J1620">
        <v>0</v>
      </c>
      <c r="L1620" s="2043">
        <v>0</v>
      </c>
      <c r="M1620">
        <v>599</v>
      </c>
      <c r="N1620">
        <v>0</v>
      </c>
    </row>
    <row r="1621" spans="1:14">
      <c r="A1621" t="s">
        <v>3076</v>
      </c>
      <c r="B1621" t="s">
        <v>2399</v>
      </c>
      <c r="C1621" t="s">
        <v>371</v>
      </c>
      <c r="D1621" s="41">
        <v>2</v>
      </c>
      <c r="E1621" s="41">
        <v>2130</v>
      </c>
      <c r="F1621" s="41" t="s">
        <v>4257</v>
      </c>
      <c r="G1621" s="41" t="s">
        <v>4257</v>
      </c>
      <c r="H1621" s="2043">
        <v>539458</v>
      </c>
      <c r="I1621" s="2043">
        <v>0</v>
      </c>
      <c r="J1621">
        <v>0</v>
      </c>
      <c r="L1621" s="2043">
        <v>0</v>
      </c>
      <c r="M1621">
        <v>599</v>
      </c>
      <c r="N1621">
        <v>0</v>
      </c>
    </row>
    <row r="1622" spans="1:14">
      <c r="A1622" t="s">
        <v>3077</v>
      </c>
      <c r="B1622" t="s">
        <v>1233</v>
      </c>
      <c r="C1622" t="s">
        <v>1638</v>
      </c>
      <c r="D1622" s="41">
        <v>2</v>
      </c>
      <c r="E1622" s="41">
        <v>1864</v>
      </c>
      <c r="F1622" s="41" t="s">
        <v>4258</v>
      </c>
      <c r="G1622" s="41" t="s">
        <v>4258</v>
      </c>
      <c r="H1622" s="2043">
        <v>512950</v>
      </c>
      <c r="I1622" s="2043">
        <v>0</v>
      </c>
      <c r="J1622">
        <v>0</v>
      </c>
      <c r="L1622" s="2043">
        <v>0</v>
      </c>
      <c r="M1622">
        <v>599</v>
      </c>
      <c r="N1622">
        <v>0</v>
      </c>
    </row>
    <row r="1623" spans="1:14">
      <c r="A1623" t="s">
        <v>3078</v>
      </c>
      <c r="B1623" t="s">
        <v>1906</v>
      </c>
      <c r="C1623" t="s">
        <v>660</v>
      </c>
      <c r="D1623" s="41">
        <v>3</v>
      </c>
      <c r="E1623" s="41">
        <v>1551</v>
      </c>
      <c r="F1623" s="41" t="s">
        <v>4259</v>
      </c>
      <c r="G1623" s="41" t="s">
        <v>4259</v>
      </c>
      <c r="H1623" s="2043">
        <v>1313562</v>
      </c>
      <c r="I1623" s="2043">
        <v>0</v>
      </c>
      <c r="J1623">
        <v>0</v>
      </c>
      <c r="L1623" s="2043">
        <v>0</v>
      </c>
      <c r="M1623">
        <v>599</v>
      </c>
      <c r="N1623">
        <v>0</v>
      </c>
    </row>
    <row r="1624" spans="1:14">
      <c r="A1624" t="s">
        <v>3078</v>
      </c>
      <c r="B1624" t="s">
        <v>1906</v>
      </c>
      <c r="C1624" t="s">
        <v>660</v>
      </c>
      <c r="D1624" s="41">
        <v>6</v>
      </c>
      <c r="E1624" s="41">
        <v>1549</v>
      </c>
      <c r="F1624" s="41" t="s">
        <v>4261</v>
      </c>
      <c r="G1624" s="41" t="s">
        <v>4261</v>
      </c>
      <c r="H1624" s="2043">
        <v>1226843</v>
      </c>
      <c r="I1624" s="2043">
        <v>0</v>
      </c>
      <c r="J1624">
        <v>0</v>
      </c>
      <c r="K1624" s="2043">
        <v>0</v>
      </c>
      <c r="L1624" s="2043">
        <v>0</v>
      </c>
      <c r="M1624">
        <v>599</v>
      </c>
      <c r="N1624">
        <v>0</v>
      </c>
    </row>
    <row r="1625" spans="1:14">
      <c r="A1625" t="s">
        <v>3078</v>
      </c>
      <c r="B1625" t="s">
        <v>1906</v>
      </c>
      <c r="C1625" t="s">
        <v>660</v>
      </c>
      <c r="D1625" s="41">
        <v>6</v>
      </c>
      <c r="E1625" s="41">
        <v>1549</v>
      </c>
      <c r="F1625" s="41" t="s">
        <v>4261</v>
      </c>
      <c r="G1625" s="41" t="s">
        <v>4262</v>
      </c>
      <c r="H1625" s="2043">
        <v>1226843</v>
      </c>
      <c r="I1625" s="2043">
        <v>0</v>
      </c>
      <c r="J1625">
        <v>0</v>
      </c>
      <c r="K1625" s="2043">
        <v>0</v>
      </c>
      <c r="L1625" s="2043">
        <v>0</v>
      </c>
      <c r="M1625">
        <v>599</v>
      </c>
      <c r="N1625">
        <v>1</v>
      </c>
    </row>
    <row r="1626" spans="1:14">
      <c r="A1626" t="s">
        <v>3078</v>
      </c>
      <c r="B1626" t="s">
        <v>1906</v>
      </c>
      <c r="C1626" t="s">
        <v>660</v>
      </c>
      <c r="D1626" s="41">
        <v>6</v>
      </c>
      <c r="E1626" s="41">
        <v>1549</v>
      </c>
      <c r="F1626" s="41" t="s">
        <v>4261</v>
      </c>
      <c r="G1626" s="41" t="s">
        <v>4260</v>
      </c>
      <c r="H1626" s="2043">
        <v>1226843</v>
      </c>
      <c r="I1626" s="2043">
        <v>0</v>
      </c>
      <c r="J1626">
        <v>0</v>
      </c>
      <c r="K1626" s="2043">
        <v>0</v>
      </c>
      <c r="L1626" s="2043">
        <v>0</v>
      </c>
      <c r="M1626">
        <v>599</v>
      </c>
      <c r="N1626">
        <v>1</v>
      </c>
    </row>
    <row r="1627" spans="1:14">
      <c r="A1627" t="s">
        <v>3078</v>
      </c>
      <c r="B1627" t="s">
        <v>1906</v>
      </c>
      <c r="C1627" t="s">
        <v>660</v>
      </c>
      <c r="D1627" s="41">
        <v>6</v>
      </c>
      <c r="E1627" s="41">
        <v>1549</v>
      </c>
      <c r="F1627" s="41" t="s">
        <v>4261</v>
      </c>
      <c r="G1627" s="41" t="s">
        <v>5608</v>
      </c>
      <c r="H1627" s="2043">
        <v>1226843</v>
      </c>
      <c r="I1627" s="2043">
        <v>1121000</v>
      </c>
      <c r="J1627">
        <v>1</v>
      </c>
      <c r="K1627" s="2043">
        <v>1226843</v>
      </c>
      <c r="L1627" s="2043">
        <v>1121000</v>
      </c>
      <c r="M1627">
        <v>599</v>
      </c>
      <c r="N1627">
        <v>1</v>
      </c>
    </row>
    <row r="1628" spans="1:14">
      <c r="A1628" t="s">
        <v>3078</v>
      </c>
      <c r="B1628" t="s">
        <v>1906</v>
      </c>
      <c r="C1628" t="s">
        <v>660</v>
      </c>
      <c r="D1628" s="41">
        <v>9</v>
      </c>
      <c r="E1628" s="41">
        <v>1550</v>
      </c>
      <c r="F1628" s="41" t="s">
        <v>4263</v>
      </c>
      <c r="G1628" s="41" t="s">
        <v>4263</v>
      </c>
      <c r="H1628" s="2043">
        <v>1240465</v>
      </c>
      <c r="I1628" s="2043">
        <v>0</v>
      </c>
      <c r="J1628">
        <v>0</v>
      </c>
      <c r="K1628" s="2043">
        <v>0</v>
      </c>
      <c r="L1628" s="2043">
        <v>0</v>
      </c>
      <c r="M1628">
        <v>599</v>
      </c>
      <c r="N1628">
        <v>1</v>
      </c>
    </row>
    <row r="1629" spans="1:14">
      <c r="A1629" t="s">
        <v>3078</v>
      </c>
      <c r="B1629" t="s">
        <v>1906</v>
      </c>
      <c r="C1629" t="s">
        <v>660</v>
      </c>
      <c r="D1629" s="41">
        <v>9</v>
      </c>
      <c r="E1629" s="41">
        <v>1550</v>
      </c>
      <c r="F1629" s="41" t="s">
        <v>4263</v>
      </c>
      <c r="G1629" s="41" t="s">
        <v>5607</v>
      </c>
      <c r="H1629" s="2043">
        <v>1240465</v>
      </c>
      <c r="I1629" s="2043">
        <v>322200</v>
      </c>
      <c r="J1629">
        <v>0.27833448514167197</v>
      </c>
      <c r="K1629" s="2043">
        <v>345264.18711126503</v>
      </c>
      <c r="L1629" s="2043">
        <v>322200</v>
      </c>
      <c r="M1629">
        <v>599</v>
      </c>
      <c r="N1629">
        <v>1</v>
      </c>
    </row>
    <row r="1630" spans="1:14">
      <c r="A1630" t="s">
        <v>3078</v>
      </c>
      <c r="B1630" t="s">
        <v>1906</v>
      </c>
      <c r="C1630" t="s">
        <v>660</v>
      </c>
      <c r="D1630" s="41">
        <v>9</v>
      </c>
      <c r="E1630" s="41">
        <v>1550</v>
      </c>
      <c r="F1630" s="41" t="s">
        <v>4263</v>
      </c>
      <c r="G1630" s="41" t="s">
        <v>7223</v>
      </c>
      <c r="H1630" s="2043">
        <v>1240465</v>
      </c>
      <c r="I1630" s="2043">
        <v>835400</v>
      </c>
      <c r="J1630">
        <v>0.72166551485832797</v>
      </c>
      <c r="K1630" s="2043">
        <v>895200.81288873497</v>
      </c>
      <c r="L1630" s="2043">
        <v>835400</v>
      </c>
      <c r="M1630">
        <v>599</v>
      </c>
      <c r="N1630">
        <v>1</v>
      </c>
    </row>
    <row r="1631" spans="1:14">
      <c r="A1631" t="s">
        <v>3079</v>
      </c>
      <c r="B1631" t="s">
        <v>2198</v>
      </c>
      <c r="C1631" t="s">
        <v>2534</v>
      </c>
      <c r="D1631" s="41">
        <v>4</v>
      </c>
      <c r="E1631" s="41">
        <v>1607</v>
      </c>
      <c r="F1631" s="41" t="s">
        <v>4264</v>
      </c>
      <c r="G1631" s="41" t="s">
        <v>4264</v>
      </c>
      <c r="H1631" s="2043">
        <v>148749</v>
      </c>
      <c r="I1631" s="2043">
        <v>0</v>
      </c>
      <c r="J1631">
        <v>0</v>
      </c>
      <c r="K1631" s="2043">
        <v>0</v>
      </c>
      <c r="L1631" s="2043">
        <v>0</v>
      </c>
      <c r="M1631">
        <v>599</v>
      </c>
      <c r="N1631">
        <v>0</v>
      </c>
    </row>
    <row r="1632" spans="1:14">
      <c r="A1632" t="s">
        <v>3079</v>
      </c>
      <c r="B1632" t="s">
        <v>2198</v>
      </c>
      <c r="C1632" t="s">
        <v>2534</v>
      </c>
      <c r="D1632" s="41">
        <v>4</v>
      </c>
      <c r="E1632" s="41">
        <v>1607</v>
      </c>
      <c r="F1632" s="41" t="s">
        <v>4264</v>
      </c>
      <c r="G1632" s="41" t="s">
        <v>4265</v>
      </c>
      <c r="H1632" s="2043">
        <v>148749</v>
      </c>
      <c r="I1632" s="2043">
        <v>0</v>
      </c>
      <c r="J1632">
        <v>0</v>
      </c>
      <c r="K1632" s="2043">
        <v>0</v>
      </c>
      <c r="L1632" s="2043">
        <v>0</v>
      </c>
      <c r="M1632">
        <v>599</v>
      </c>
      <c r="N1632">
        <v>1</v>
      </c>
    </row>
    <row r="1633" spans="1:14">
      <c r="A1633" t="s">
        <v>3079</v>
      </c>
      <c r="B1633" t="s">
        <v>2198</v>
      </c>
      <c r="C1633" t="s">
        <v>2534</v>
      </c>
      <c r="D1633" s="41">
        <v>4</v>
      </c>
      <c r="E1633" s="41">
        <v>1607</v>
      </c>
      <c r="F1633" s="41" t="s">
        <v>4264</v>
      </c>
      <c r="G1633" s="41" t="s">
        <v>7333</v>
      </c>
      <c r="H1633" s="2043">
        <v>148749</v>
      </c>
      <c r="I1633" s="2043">
        <v>138800</v>
      </c>
      <c r="J1633">
        <v>1</v>
      </c>
      <c r="K1633" s="2043">
        <v>148749</v>
      </c>
      <c r="L1633" s="2043">
        <v>138800</v>
      </c>
      <c r="M1633">
        <v>599</v>
      </c>
      <c r="N1633">
        <v>1</v>
      </c>
    </row>
    <row r="1634" spans="1:14">
      <c r="A1634" t="s">
        <v>3079</v>
      </c>
      <c r="B1634" t="s">
        <v>2198</v>
      </c>
      <c r="C1634" t="s">
        <v>2534</v>
      </c>
      <c r="D1634" s="41">
        <v>6</v>
      </c>
      <c r="E1634" s="41">
        <v>1605</v>
      </c>
      <c r="F1634" s="41" t="s">
        <v>4266</v>
      </c>
      <c r="G1634" s="41" t="s">
        <v>4266</v>
      </c>
      <c r="H1634" s="2043">
        <v>134002</v>
      </c>
      <c r="I1634" s="2043">
        <v>0</v>
      </c>
      <c r="J1634">
        <v>0</v>
      </c>
      <c r="K1634" s="2043">
        <v>0</v>
      </c>
      <c r="L1634" s="2043">
        <v>0</v>
      </c>
      <c r="M1634">
        <v>599</v>
      </c>
      <c r="N1634">
        <v>0</v>
      </c>
    </row>
    <row r="1635" spans="1:14">
      <c r="A1635" t="s">
        <v>3079</v>
      </c>
      <c r="B1635" t="s">
        <v>2198</v>
      </c>
      <c r="C1635" t="s">
        <v>2534</v>
      </c>
      <c r="D1635" s="41">
        <v>6</v>
      </c>
      <c r="E1635" s="41">
        <v>1605</v>
      </c>
      <c r="F1635" s="41" t="s">
        <v>4266</v>
      </c>
      <c r="G1635" s="41" t="s">
        <v>4267</v>
      </c>
      <c r="H1635" s="2043">
        <v>134002</v>
      </c>
      <c r="I1635" s="2043">
        <v>126650</v>
      </c>
      <c r="J1635">
        <v>1</v>
      </c>
      <c r="K1635" s="2043">
        <v>134002</v>
      </c>
      <c r="L1635" s="2043">
        <v>126650</v>
      </c>
      <c r="M1635">
        <v>599</v>
      </c>
      <c r="N1635">
        <v>1</v>
      </c>
    </row>
    <row r="1636" spans="1:14">
      <c r="A1636" t="s">
        <v>3079</v>
      </c>
      <c r="B1636" t="s">
        <v>2198</v>
      </c>
      <c r="C1636" t="s">
        <v>2534</v>
      </c>
      <c r="D1636" s="41">
        <v>10</v>
      </c>
      <c r="E1636" s="41">
        <v>1606</v>
      </c>
      <c r="F1636" s="41" t="s">
        <v>4268</v>
      </c>
      <c r="G1636" s="41" t="s">
        <v>4268</v>
      </c>
      <c r="H1636" s="2043">
        <v>142643</v>
      </c>
      <c r="I1636" s="2043">
        <v>0</v>
      </c>
      <c r="J1636">
        <v>0</v>
      </c>
      <c r="K1636" s="2043">
        <v>0</v>
      </c>
      <c r="L1636" s="2043">
        <v>0</v>
      </c>
      <c r="M1636">
        <v>599</v>
      </c>
      <c r="N1636">
        <v>1</v>
      </c>
    </row>
    <row r="1637" spans="1:14">
      <c r="A1637" t="s">
        <v>3079</v>
      </c>
      <c r="B1637" t="s">
        <v>2198</v>
      </c>
      <c r="C1637" t="s">
        <v>2534</v>
      </c>
      <c r="D1637" s="41">
        <v>10</v>
      </c>
      <c r="E1637" s="41">
        <v>1606</v>
      </c>
      <c r="F1637" s="41" t="s">
        <v>4268</v>
      </c>
      <c r="G1637" s="41" t="s">
        <v>7333</v>
      </c>
      <c r="H1637" s="2043">
        <v>142643</v>
      </c>
      <c r="I1637" s="2043">
        <v>152400</v>
      </c>
      <c r="J1637">
        <v>1</v>
      </c>
      <c r="K1637" s="2043">
        <v>142643</v>
      </c>
      <c r="L1637" s="2043">
        <v>142643</v>
      </c>
      <c r="M1637">
        <v>599</v>
      </c>
      <c r="N1637">
        <v>1</v>
      </c>
    </row>
    <row r="1638" spans="1:14">
      <c r="A1638" t="s">
        <v>3080</v>
      </c>
      <c r="B1638" t="s">
        <v>1328</v>
      </c>
      <c r="C1638" t="s">
        <v>961</v>
      </c>
      <c r="D1638" s="41">
        <v>2</v>
      </c>
      <c r="E1638" s="41">
        <v>2163</v>
      </c>
      <c r="F1638" s="41" t="s">
        <v>4269</v>
      </c>
      <c r="G1638" s="41" t="s">
        <v>4269</v>
      </c>
      <c r="H1638" s="2043">
        <v>340500</v>
      </c>
      <c r="I1638" s="2043">
        <v>0</v>
      </c>
      <c r="J1638">
        <v>0</v>
      </c>
      <c r="K1638" s="2043">
        <v>0</v>
      </c>
      <c r="L1638" s="2043">
        <v>0</v>
      </c>
      <c r="M1638">
        <v>599</v>
      </c>
      <c r="N1638">
        <v>0</v>
      </c>
    </row>
    <row r="1639" spans="1:14">
      <c r="A1639" t="s">
        <v>3080</v>
      </c>
      <c r="B1639" t="s">
        <v>1328</v>
      </c>
      <c r="C1639" t="s">
        <v>961</v>
      </c>
      <c r="D1639" s="41">
        <v>2</v>
      </c>
      <c r="E1639" s="41">
        <v>2163</v>
      </c>
      <c r="F1639" s="41" t="s">
        <v>4269</v>
      </c>
      <c r="G1639" s="41" t="s">
        <v>4270</v>
      </c>
      <c r="H1639" s="2043">
        <v>340500</v>
      </c>
      <c r="I1639" s="2043">
        <v>0</v>
      </c>
      <c r="J1639">
        <v>0</v>
      </c>
      <c r="K1639" s="2043">
        <v>0</v>
      </c>
      <c r="L1639" s="2043">
        <v>0</v>
      </c>
      <c r="M1639">
        <v>599</v>
      </c>
      <c r="N1639">
        <v>1</v>
      </c>
    </row>
    <row r="1640" spans="1:14">
      <c r="A1640" t="s">
        <v>3080</v>
      </c>
      <c r="B1640" t="s">
        <v>1328</v>
      </c>
      <c r="C1640" t="s">
        <v>961</v>
      </c>
      <c r="D1640" s="41">
        <v>2</v>
      </c>
      <c r="E1640" s="41">
        <v>2163</v>
      </c>
      <c r="F1640" s="41" t="s">
        <v>4269</v>
      </c>
      <c r="G1640" s="41" t="s">
        <v>8637</v>
      </c>
      <c r="H1640" s="2043">
        <v>340500</v>
      </c>
      <c r="I1640" s="2043">
        <v>404820</v>
      </c>
      <c r="J1640">
        <v>1</v>
      </c>
      <c r="K1640" s="2043">
        <v>340500</v>
      </c>
      <c r="L1640" s="2043">
        <v>340500</v>
      </c>
      <c r="M1640">
        <v>599</v>
      </c>
      <c r="N1640">
        <v>1</v>
      </c>
    </row>
    <row r="1641" spans="1:14">
      <c r="A1641" t="s">
        <v>3080</v>
      </c>
      <c r="B1641" t="s">
        <v>1328</v>
      </c>
      <c r="C1641" t="s">
        <v>961</v>
      </c>
      <c r="D1641" s="41">
        <v>6</v>
      </c>
      <c r="E1641" s="41">
        <v>2162</v>
      </c>
      <c r="F1641" s="41" t="s">
        <v>4271</v>
      </c>
      <c r="G1641" s="41" t="s">
        <v>4271</v>
      </c>
      <c r="H1641" s="2043">
        <v>318941</v>
      </c>
      <c r="I1641" s="2043">
        <v>0</v>
      </c>
      <c r="J1641">
        <v>0</v>
      </c>
      <c r="K1641" s="2043">
        <v>0</v>
      </c>
      <c r="L1641" s="2043">
        <v>0</v>
      </c>
      <c r="M1641">
        <v>599</v>
      </c>
      <c r="N1641">
        <v>0</v>
      </c>
    </row>
    <row r="1642" spans="1:14">
      <c r="A1642" t="s">
        <v>3080</v>
      </c>
      <c r="B1642" t="s">
        <v>1328</v>
      </c>
      <c r="C1642" t="s">
        <v>961</v>
      </c>
      <c r="D1642" s="41">
        <v>6</v>
      </c>
      <c r="E1642" s="41">
        <v>2162</v>
      </c>
      <c r="F1642" s="41" t="s">
        <v>4271</v>
      </c>
      <c r="G1642" s="41" t="s">
        <v>4270</v>
      </c>
      <c r="H1642" s="2043">
        <v>318941</v>
      </c>
      <c r="I1642" s="2043">
        <v>0</v>
      </c>
      <c r="J1642">
        <v>0</v>
      </c>
      <c r="K1642" s="2043">
        <v>0</v>
      </c>
      <c r="L1642" s="2043">
        <v>0</v>
      </c>
      <c r="M1642">
        <v>599</v>
      </c>
      <c r="N1642">
        <v>1</v>
      </c>
    </row>
    <row r="1643" spans="1:14">
      <c r="A1643" t="s">
        <v>3080</v>
      </c>
      <c r="B1643" t="s">
        <v>1328</v>
      </c>
      <c r="C1643" t="s">
        <v>961</v>
      </c>
      <c r="D1643" s="41">
        <v>6</v>
      </c>
      <c r="E1643" s="41">
        <v>2162</v>
      </c>
      <c r="F1643" s="41" t="s">
        <v>4271</v>
      </c>
      <c r="G1643" s="41" t="s">
        <v>8637</v>
      </c>
      <c r="H1643" s="2043">
        <v>318941</v>
      </c>
      <c r="I1643" s="2043">
        <v>330883</v>
      </c>
      <c r="J1643">
        <v>1</v>
      </c>
      <c r="K1643" s="2043">
        <v>318941</v>
      </c>
      <c r="L1643" s="2043">
        <v>318941</v>
      </c>
      <c r="M1643">
        <v>599</v>
      </c>
      <c r="N1643">
        <v>1</v>
      </c>
    </row>
    <row r="1644" spans="1:14">
      <c r="A1644" t="s">
        <v>3080</v>
      </c>
      <c r="B1644" t="s">
        <v>1328</v>
      </c>
      <c r="C1644" t="s">
        <v>961</v>
      </c>
      <c r="D1644" s="41">
        <v>9</v>
      </c>
      <c r="E1644" s="41">
        <v>2164</v>
      </c>
      <c r="F1644" s="41" t="s">
        <v>4272</v>
      </c>
      <c r="G1644" s="41" t="s">
        <v>4272</v>
      </c>
      <c r="H1644" s="2043">
        <v>408114</v>
      </c>
      <c r="I1644" s="2043">
        <v>0</v>
      </c>
      <c r="J1644">
        <v>0</v>
      </c>
      <c r="K1644" s="2043">
        <v>0</v>
      </c>
      <c r="L1644" s="2043">
        <v>0</v>
      </c>
      <c r="M1644">
        <v>599</v>
      </c>
      <c r="N1644">
        <v>1</v>
      </c>
    </row>
    <row r="1645" spans="1:14">
      <c r="A1645" t="s">
        <v>3080</v>
      </c>
      <c r="B1645" t="s">
        <v>1328</v>
      </c>
      <c r="C1645" t="s">
        <v>961</v>
      </c>
      <c r="D1645" s="41">
        <v>9</v>
      </c>
      <c r="E1645" s="41">
        <v>2164</v>
      </c>
      <c r="F1645" s="41" t="s">
        <v>4272</v>
      </c>
      <c r="G1645" s="41" t="s">
        <v>5430</v>
      </c>
      <c r="H1645" s="2043">
        <v>408114</v>
      </c>
      <c r="I1645" s="2043">
        <v>381600</v>
      </c>
      <c r="J1645">
        <v>1</v>
      </c>
      <c r="K1645" s="2043">
        <v>408114</v>
      </c>
      <c r="L1645" s="2043">
        <v>381600</v>
      </c>
      <c r="M1645">
        <v>599</v>
      </c>
      <c r="N1645">
        <v>1</v>
      </c>
    </row>
    <row r="1646" spans="1:14">
      <c r="A1646" t="s">
        <v>3081</v>
      </c>
      <c r="B1646" t="s">
        <v>202</v>
      </c>
      <c r="C1646" t="s">
        <v>1983</v>
      </c>
      <c r="D1646" s="41">
        <v>3</v>
      </c>
      <c r="E1646" s="41">
        <v>2209</v>
      </c>
      <c r="F1646" s="41" t="s">
        <v>4273</v>
      </c>
      <c r="G1646" s="41" t="s">
        <v>4273</v>
      </c>
      <c r="H1646" s="2043">
        <v>228901</v>
      </c>
      <c r="I1646" s="2043">
        <v>0</v>
      </c>
      <c r="J1646">
        <v>0</v>
      </c>
      <c r="K1646" s="2043">
        <v>0</v>
      </c>
      <c r="L1646" s="2043">
        <v>0</v>
      </c>
      <c r="M1646">
        <v>599</v>
      </c>
      <c r="N1646">
        <v>0</v>
      </c>
    </row>
    <row r="1647" spans="1:14">
      <c r="A1647" t="s">
        <v>3081</v>
      </c>
      <c r="B1647" t="s">
        <v>202</v>
      </c>
      <c r="C1647" t="s">
        <v>1983</v>
      </c>
      <c r="D1647" s="41">
        <v>3</v>
      </c>
      <c r="E1647" s="41">
        <v>2209</v>
      </c>
      <c r="F1647" s="41" t="s">
        <v>4273</v>
      </c>
      <c r="G1647" s="41" t="s">
        <v>4274</v>
      </c>
      <c r="H1647" s="2043">
        <v>228901</v>
      </c>
      <c r="I1647" s="2043">
        <v>0</v>
      </c>
      <c r="J1647">
        <v>0</v>
      </c>
      <c r="K1647" s="2043">
        <v>0</v>
      </c>
      <c r="L1647" s="2043">
        <v>0</v>
      </c>
      <c r="M1647">
        <v>599</v>
      </c>
      <c r="N1647">
        <v>1</v>
      </c>
    </row>
    <row r="1648" spans="1:14">
      <c r="A1648" t="s">
        <v>3081</v>
      </c>
      <c r="B1648" t="s">
        <v>202</v>
      </c>
      <c r="C1648" t="s">
        <v>1983</v>
      </c>
      <c r="D1648" s="41">
        <v>3</v>
      </c>
      <c r="E1648" s="41">
        <v>2209</v>
      </c>
      <c r="F1648" s="41" t="s">
        <v>4273</v>
      </c>
      <c r="G1648" s="41" t="s">
        <v>7224</v>
      </c>
      <c r="H1648" s="2043">
        <v>228901</v>
      </c>
      <c r="I1648" s="2043">
        <v>222763</v>
      </c>
      <c r="J1648">
        <v>1</v>
      </c>
      <c r="K1648" s="2043">
        <v>228901</v>
      </c>
      <c r="L1648" s="2043">
        <v>222763</v>
      </c>
      <c r="M1648">
        <v>599</v>
      </c>
      <c r="N1648">
        <v>1</v>
      </c>
    </row>
    <row r="1649" spans="1:14">
      <c r="A1649" t="s">
        <v>3082</v>
      </c>
      <c r="B1649" t="s">
        <v>181</v>
      </c>
      <c r="C1649" t="s">
        <v>995</v>
      </c>
      <c r="D1649" s="41">
        <v>3</v>
      </c>
      <c r="E1649" s="41">
        <v>1562</v>
      </c>
      <c r="F1649" s="41" t="s">
        <v>4275</v>
      </c>
      <c r="G1649" s="41" t="s">
        <v>4275</v>
      </c>
      <c r="H1649" s="2043">
        <v>590835</v>
      </c>
      <c r="I1649" s="2043">
        <v>0</v>
      </c>
      <c r="J1649">
        <v>0</v>
      </c>
      <c r="K1649" s="2043">
        <v>0</v>
      </c>
      <c r="L1649" s="2043">
        <v>0</v>
      </c>
      <c r="M1649">
        <v>599</v>
      </c>
      <c r="N1649">
        <v>1</v>
      </c>
    </row>
    <row r="1650" spans="1:14">
      <c r="A1650" t="s">
        <v>3082</v>
      </c>
      <c r="B1650" t="s">
        <v>181</v>
      </c>
      <c r="C1650" t="s">
        <v>995</v>
      </c>
      <c r="D1650" s="41">
        <v>3</v>
      </c>
      <c r="E1650" s="41">
        <v>1562</v>
      </c>
      <c r="F1650" s="41" t="s">
        <v>4275</v>
      </c>
      <c r="G1650" s="41" t="s">
        <v>4276</v>
      </c>
      <c r="H1650" s="2043">
        <v>590835</v>
      </c>
      <c r="I1650" s="2043">
        <v>0</v>
      </c>
      <c r="J1650">
        <v>0</v>
      </c>
      <c r="K1650" s="2043">
        <v>0</v>
      </c>
      <c r="L1650" s="2043">
        <v>0</v>
      </c>
      <c r="M1650">
        <v>599</v>
      </c>
      <c r="N1650">
        <v>1</v>
      </c>
    </row>
    <row r="1651" spans="1:14">
      <c r="A1651" t="s">
        <v>3082</v>
      </c>
      <c r="B1651" t="s">
        <v>181</v>
      </c>
      <c r="C1651" t="s">
        <v>995</v>
      </c>
      <c r="D1651" s="41">
        <v>3</v>
      </c>
      <c r="E1651" s="41">
        <v>1562</v>
      </c>
      <c r="F1651" s="41" t="s">
        <v>4275</v>
      </c>
      <c r="G1651" s="41" t="s">
        <v>7225</v>
      </c>
      <c r="H1651" s="2043">
        <v>590835</v>
      </c>
      <c r="I1651" s="2043">
        <v>405719</v>
      </c>
      <c r="J1651">
        <v>1</v>
      </c>
      <c r="K1651" s="2043">
        <v>590835</v>
      </c>
      <c r="L1651" s="2043">
        <v>405719</v>
      </c>
      <c r="M1651">
        <v>599</v>
      </c>
      <c r="N1651">
        <v>1</v>
      </c>
    </row>
    <row r="1652" spans="1:14">
      <c r="A1652" t="s">
        <v>3082</v>
      </c>
      <c r="B1652" t="s">
        <v>181</v>
      </c>
      <c r="C1652" t="s">
        <v>995</v>
      </c>
      <c r="D1652" s="41">
        <v>3</v>
      </c>
      <c r="E1652" s="41">
        <v>1561</v>
      </c>
      <c r="F1652" s="41" t="s">
        <v>4277</v>
      </c>
      <c r="G1652" s="41" t="s">
        <v>4277</v>
      </c>
      <c r="H1652" s="2043">
        <v>87080</v>
      </c>
      <c r="I1652" s="2043">
        <v>0</v>
      </c>
      <c r="J1652">
        <v>0</v>
      </c>
      <c r="L1652" s="2043">
        <v>0</v>
      </c>
      <c r="M1652">
        <v>599</v>
      </c>
      <c r="N1652">
        <v>0</v>
      </c>
    </row>
    <row r="1653" spans="1:14">
      <c r="A1653" t="s">
        <v>3082</v>
      </c>
      <c r="B1653" t="s">
        <v>181</v>
      </c>
      <c r="C1653" t="s">
        <v>995</v>
      </c>
      <c r="D1653" s="41">
        <v>5</v>
      </c>
      <c r="E1653" s="41">
        <v>1564</v>
      </c>
      <c r="F1653" s="41" t="s">
        <v>4278</v>
      </c>
      <c r="G1653" s="41" t="s">
        <v>4278</v>
      </c>
      <c r="H1653" s="2043">
        <v>793345</v>
      </c>
      <c r="I1653" s="2043">
        <v>0</v>
      </c>
      <c r="J1653">
        <v>0</v>
      </c>
      <c r="K1653" s="2043">
        <v>0</v>
      </c>
      <c r="L1653" s="2043">
        <v>0</v>
      </c>
      <c r="M1653">
        <v>599</v>
      </c>
      <c r="N1653">
        <v>0</v>
      </c>
    </row>
    <row r="1654" spans="1:14">
      <c r="A1654" t="s">
        <v>3082</v>
      </c>
      <c r="B1654" t="s">
        <v>181</v>
      </c>
      <c r="C1654" t="s">
        <v>995</v>
      </c>
      <c r="D1654" s="41">
        <v>5</v>
      </c>
      <c r="E1654" s="41">
        <v>1564</v>
      </c>
      <c r="F1654" s="41" t="s">
        <v>4278</v>
      </c>
      <c r="G1654" s="41" t="s">
        <v>4279</v>
      </c>
      <c r="H1654" s="2043">
        <v>793345</v>
      </c>
      <c r="I1654" s="2043">
        <v>384720</v>
      </c>
      <c r="J1654">
        <v>0.40409472571933902</v>
      </c>
      <c r="K1654" s="2043">
        <v>320586.53017580899</v>
      </c>
      <c r="L1654" s="2043">
        <v>320586.53017580899</v>
      </c>
      <c r="M1654">
        <v>599</v>
      </c>
      <c r="N1654">
        <v>1</v>
      </c>
    </row>
    <row r="1655" spans="1:14">
      <c r="A1655" t="s">
        <v>3082</v>
      </c>
      <c r="B1655" t="s">
        <v>181</v>
      </c>
      <c r="C1655" t="s">
        <v>995</v>
      </c>
      <c r="D1655" s="41">
        <v>5</v>
      </c>
      <c r="E1655" s="41">
        <v>1564</v>
      </c>
      <c r="F1655" s="41" t="s">
        <v>4278</v>
      </c>
      <c r="G1655" s="41" t="s">
        <v>4280</v>
      </c>
      <c r="H1655" s="2043">
        <v>793345</v>
      </c>
      <c r="I1655" s="2043">
        <v>323112</v>
      </c>
      <c r="J1655">
        <v>0.33938411056515699</v>
      </c>
      <c r="K1655" s="2043">
        <v>269248.68719631399</v>
      </c>
      <c r="L1655" s="2043">
        <v>269248.68719631399</v>
      </c>
      <c r="M1655">
        <v>599</v>
      </c>
      <c r="N1655">
        <v>1</v>
      </c>
    </row>
    <row r="1656" spans="1:14">
      <c r="A1656" t="s">
        <v>3082</v>
      </c>
      <c r="B1656" t="s">
        <v>181</v>
      </c>
      <c r="C1656" t="s">
        <v>995</v>
      </c>
      <c r="D1656" s="41">
        <v>5</v>
      </c>
      <c r="E1656" s="41">
        <v>1564</v>
      </c>
      <c r="F1656" s="41" t="s">
        <v>4278</v>
      </c>
      <c r="G1656" s="41" t="s">
        <v>9366</v>
      </c>
      <c r="H1656" s="2043">
        <v>793345</v>
      </c>
      <c r="I1656" s="2043">
        <v>244222</v>
      </c>
      <c r="J1656">
        <v>0.25652116371550399</v>
      </c>
      <c r="K1656" s="2043">
        <v>203509.782627876</v>
      </c>
      <c r="L1656" s="2043">
        <v>203509.782627876</v>
      </c>
      <c r="M1656">
        <v>599</v>
      </c>
      <c r="N1656">
        <v>1</v>
      </c>
    </row>
    <row r="1657" spans="1:14">
      <c r="A1657" t="s">
        <v>3082</v>
      </c>
      <c r="B1657" t="s">
        <v>181</v>
      </c>
      <c r="C1657" t="s">
        <v>995</v>
      </c>
      <c r="D1657" s="41">
        <v>9</v>
      </c>
      <c r="E1657" s="41">
        <v>1563</v>
      </c>
      <c r="F1657" s="41" t="s">
        <v>4281</v>
      </c>
      <c r="G1657" s="41" t="s">
        <v>4281</v>
      </c>
      <c r="H1657" s="2043">
        <v>760564</v>
      </c>
      <c r="I1657" s="2043">
        <v>0</v>
      </c>
      <c r="J1657">
        <v>0</v>
      </c>
      <c r="K1657" s="2043">
        <v>0</v>
      </c>
      <c r="L1657" s="2043">
        <v>0</v>
      </c>
      <c r="M1657">
        <v>599</v>
      </c>
      <c r="N1657">
        <v>1</v>
      </c>
    </row>
    <row r="1658" spans="1:14">
      <c r="A1658" t="s">
        <v>3082</v>
      </c>
      <c r="B1658" t="s">
        <v>181</v>
      </c>
      <c r="C1658" t="s">
        <v>995</v>
      </c>
      <c r="D1658" s="41">
        <v>9</v>
      </c>
      <c r="E1658" s="41">
        <v>1563</v>
      </c>
      <c r="F1658" s="41" t="s">
        <v>4281</v>
      </c>
      <c r="G1658" s="41" t="s">
        <v>5431</v>
      </c>
      <c r="H1658" s="2043">
        <v>760564</v>
      </c>
      <c r="I1658" s="2043">
        <v>372337</v>
      </c>
      <c r="J1658">
        <v>0.40732276711285798</v>
      </c>
      <c r="K1658" s="2043">
        <v>309795.03304642299</v>
      </c>
      <c r="L1658" s="2043">
        <v>309795.03304642299</v>
      </c>
      <c r="M1658">
        <v>599</v>
      </c>
      <c r="N1658">
        <v>1</v>
      </c>
    </row>
    <row r="1659" spans="1:14">
      <c r="A1659" t="s">
        <v>3082</v>
      </c>
      <c r="B1659" t="s">
        <v>181</v>
      </c>
      <c r="C1659" t="s">
        <v>995</v>
      </c>
      <c r="D1659" s="41">
        <v>9</v>
      </c>
      <c r="E1659" s="41">
        <v>1563</v>
      </c>
      <c r="F1659" s="41" t="s">
        <v>4281</v>
      </c>
      <c r="G1659" s="41" t="s">
        <v>5609</v>
      </c>
      <c r="H1659" s="2043">
        <v>760564</v>
      </c>
      <c r="I1659" s="2043">
        <v>343651</v>
      </c>
      <c r="J1659">
        <v>0.37594135485084901</v>
      </c>
      <c r="K1659" s="2043">
        <v>285927.46061078098</v>
      </c>
      <c r="L1659" s="2043">
        <v>285927.46061078098</v>
      </c>
      <c r="M1659">
        <v>599</v>
      </c>
      <c r="N1659">
        <v>1</v>
      </c>
    </row>
    <row r="1660" spans="1:14">
      <c r="A1660" t="s">
        <v>3082</v>
      </c>
      <c r="B1660" t="s">
        <v>181</v>
      </c>
      <c r="C1660" t="s">
        <v>995</v>
      </c>
      <c r="D1660" s="41">
        <v>9</v>
      </c>
      <c r="E1660" s="41">
        <v>1563</v>
      </c>
      <c r="F1660" s="41" t="s">
        <v>4281</v>
      </c>
      <c r="G1660" s="41" t="s">
        <v>7225</v>
      </c>
      <c r="H1660" s="2043">
        <v>760564</v>
      </c>
      <c r="I1660" s="2043">
        <v>198120</v>
      </c>
      <c r="J1660">
        <v>0.21673587803629299</v>
      </c>
      <c r="K1660" s="2043">
        <v>164841.50634279501</v>
      </c>
      <c r="L1660" s="2043">
        <v>164841.50634279501</v>
      </c>
      <c r="M1660">
        <v>599</v>
      </c>
      <c r="N1660">
        <v>1</v>
      </c>
    </row>
    <row r="1661" spans="1:14">
      <c r="A1661" t="s">
        <v>3083</v>
      </c>
      <c r="B1661" t="s">
        <v>1777</v>
      </c>
      <c r="C1661" t="s">
        <v>1364</v>
      </c>
      <c r="D1661" s="41">
        <v>1</v>
      </c>
      <c r="E1661" s="41">
        <v>1653</v>
      </c>
      <c r="F1661" s="41" t="s">
        <v>4282</v>
      </c>
      <c r="G1661" s="41" t="s">
        <v>4282</v>
      </c>
      <c r="H1661" s="2043">
        <v>584119</v>
      </c>
      <c r="I1661" s="2043">
        <v>0</v>
      </c>
      <c r="J1661">
        <v>0</v>
      </c>
      <c r="K1661" s="2043">
        <v>0</v>
      </c>
      <c r="L1661" s="2043">
        <v>0</v>
      </c>
      <c r="M1661">
        <v>599</v>
      </c>
      <c r="N1661">
        <v>0</v>
      </c>
    </row>
    <row r="1662" spans="1:14">
      <c r="A1662" t="s">
        <v>3083</v>
      </c>
      <c r="B1662" t="s">
        <v>1777</v>
      </c>
      <c r="C1662" t="s">
        <v>1364</v>
      </c>
      <c r="D1662" s="41">
        <v>1</v>
      </c>
      <c r="E1662" s="41">
        <v>1653</v>
      </c>
      <c r="F1662" s="41" t="s">
        <v>4282</v>
      </c>
      <c r="G1662" s="41" t="s">
        <v>4283</v>
      </c>
      <c r="H1662" s="2043">
        <v>584119</v>
      </c>
      <c r="I1662" s="2043">
        <v>325120</v>
      </c>
      <c r="J1662">
        <v>0.43099528466342402</v>
      </c>
      <c r="K1662" s="2043">
        <v>251752.53468231499</v>
      </c>
      <c r="L1662" s="2043">
        <v>251752.53468231499</v>
      </c>
      <c r="M1662">
        <v>599</v>
      </c>
      <c r="N1662">
        <v>1</v>
      </c>
    </row>
    <row r="1663" spans="1:14">
      <c r="A1663" t="s">
        <v>3083</v>
      </c>
      <c r="B1663" t="s">
        <v>1777</v>
      </c>
      <c r="C1663" t="s">
        <v>1364</v>
      </c>
      <c r="D1663" s="41">
        <v>1</v>
      </c>
      <c r="E1663" s="41">
        <v>1653</v>
      </c>
      <c r="F1663" s="41" t="s">
        <v>4282</v>
      </c>
      <c r="G1663" s="41" t="s">
        <v>9367</v>
      </c>
      <c r="H1663" s="2043">
        <v>584119</v>
      </c>
      <c r="I1663" s="2043">
        <v>429227</v>
      </c>
      <c r="J1663">
        <v>0.56900471533657604</v>
      </c>
      <c r="K1663" s="2043">
        <v>332366.46531768498</v>
      </c>
      <c r="L1663" s="2043">
        <v>332366.46531768498</v>
      </c>
      <c r="M1663">
        <v>599</v>
      </c>
      <c r="N1663">
        <v>1</v>
      </c>
    </row>
    <row r="1664" spans="1:14">
      <c r="A1664" t="s">
        <v>3083</v>
      </c>
      <c r="B1664" t="s">
        <v>1777</v>
      </c>
      <c r="C1664" t="s">
        <v>1364</v>
      </c>
      <c r="D1664" s="41">
        <v>9</v>
      </c>
      <c r="E1664" s="41">
        <v>1654</v>
      </c>
      <c r="F1664" s="41" t="s">
        <v>4284</v>
      </c>
      <c r="G1664" s="41" t="s">
        <v>4284</v>
      </c>
      <c r="H1664" s="2043">
        <v>2156750</v>
      </c>
      <c r="I1664" s="2043">
        <v>0</v>
      </c>
      <c r="J1664">
        <v>0</v>
      </c>
      <c r="K1664" s="2043">
        <v>0</v>
      </c>
      <c r="L1664" s="2043">
        <v>0</v>
      </c>
      <c r="M1664">
        <v>599</v>
      </c>
      <c r="N1664">
        <v>1</v>
      </c>
    </row>
    <row r="1665" spans="1:14">
      <c r="A1665" t="s">
        <v>3083</v>
      </c>
      <c r="B1665" t="s">
        <v>1777</v>
      </c>
      <c r="C1665" t="s">
        <v>1364</v>
      </c>
      <c r="D1665" s="41">
        <v>9</v>
      </c>
      <c r="E1665" s="41">
        <v>1654</v>
      </c>
      <c r="F1665" s="41" t="s">
        <v>4284</v>
      </c>
      <c r="G1665" s="41" t="s">
        <v>5610</v>
      </c>
      <c r="H1665" s="2043">
        <v>2156750</v>
      </c>
      <c r="I1665" s="2043">
        <v>3488346</v>
      </c>
      <c r="J1665">
        <v>0.95288989558859605</v>
      </c>
      <c r="K1665" s="2043">
        <v>2055145.2823107</v>
      </c>
      <c r="L1665" s="2043">
        <v>2055145.2823107</v>
      </c>
      <c r="M1665">
        <v>599</v>
      </c>
      <c r="N1665">
        <v>1</v>
      </c>
    </row>
    <row r="1666" spans="1:14">
      <c r="A1666" t="s">
        <v>3083</v>
      </c>
      <c r="B1666" t="s">
        <v>1777</v>
      </c>
      <c r="C1666" t="s">
        <v>1364</v>
      </c>
      <c r="D1666" s="41">
        <v>9</v>
      </c>
      <c r="E1666" s="41">
        <v>1654</v>
      </c>
      <c r="F1666" s="41" t="s">
        <v>4284</v>
      </c>
      <c r="G1666" s="41" t="s">
        <v>7226</v>
      </c>
      <c r="H1666" s="2043">
        <v>2156750</v>
      </c>
      <c r="I1666" s="2043">
        <v>172461</v>
      </c>
      <c r="J1666">
        <v>4.7110104411404403E-2</v>
      </c>
      <c r="K1666" s="2043">
        <v>101604.717689296</v>
      </c>
      <c r="L1666" s="2043">
        <v>101604.717689296</v>
      </c>
      <c r="M1666">
        <v>599</v>
      </c>
      <c r="N1666">
        <v>1</v>
      </c>
    </row>
    <row r="1667" spans="1:14">
      <c r="A1667" t="s">
        <v>4285</v>
      </c>
      <c r="B1667" t="s">
        <v>1700</v>
      </c>
      <c r="C1667" t="s">
        <v>818</v>
      </c>
      <c r="D1667" s="41">
        <v>6</v>
      </c>
      <c r="E1667" s="41">
        <v>1858</v>
      </c>
      <c r="F1667" s="41" t="s">
        <v>4286</v>
      </c>
      <c r="G1667" s="41" t="s">
        <v>4286</v>
      </c>
      <c r="H1667" s="2043">
        <v>262527</v>
      </c>
      <c r="I1667" s="2043">
        <v>0</v>
      </c>
      <c r="J1667">
        <v>0</v>
      </c>
      <c r="L1667" s="2043">
        <v>0</v>
      </c>
      <c r="M1667">
        <v>199</v>
      </c>
      <c r="N1667">
        <v>0</v>
      </c>
    </row>
    <row r="1668" spans="1:14">
      <c r="A1668" t="s">
        <v>3084</v>
      </c>
      <c r="B1668" t="s">
        <v>43</v>
      </c>
      <c r="C1668" t="s">
        <v>385</v>
      </c>
      <c r="D1668" s="41">
        <v>2</v>
      </c>
      <c r="E1668" s="41">
        <v>1936</v>
      </c>
      <c r="F1668" s="41" t="s">
        <v>4287</v>
      </c>
      <c r="G1668" s="41" t="s">
        <v>4287</v>
      </c>
      <c r="H1668" s="2043">
        <v>787721</v>
      </c>
      <c r="I1668" s="2043">
        <v>0</v>
      </c>
      <c r="J1668">
        <v>0</v>
      </c>
      <c r="L1668" s="2043">
        <v>0</v>
      </c>
      <c r="M1668">
        <v>599</v>
      </c>
      <c r="N1668">
        <v>0</v>
      </c>
    </row>
    <row r="1669" spans="1:14">
      <c r="A1669" t="s">
        <v>3085</v>
      </c>
      <c r="B1669" t="s">
        <v>1253</v>
      </c>
      <c r="C1669" t="s">
        <v>1921</v>
      </c>
      <c r="D1669" s="41">
        <v>9</v>
      </c>
      <c r="E1669" s="41">
        <v>1949</v>
      </c>
      <c r="F1669" s="41" t="s">
        <v>4288</v>
      </c>
      <c r="G1669" s="41" t="s">
        <v>4288</v>
      </c>
      <c r="H1669" s="2043">
        <v>196049</v>
      </c>
      <c r="I1669" s="2043">
        <v>0</v>
      </c>
      <c r="J1669">
        <v>0</v>
      </c>
      <c r="K1669" s="2043">
        <v>0</v>
      </c>
      <c r="L1669" s="2043">
        <v>0</v>
      </c>
      <c r="M1669">
        <v>599</v>
      </c>
      <c r="N1669">
        <v>0</v>
      </c>
    </row>
    <row r="1670" spans="1:14">
      <c r="A1670" t="s">
        <v>3085</v>
      </c>
      <c r="B1670" t="s">
        <v>1253</v>
      </c>
      <c r="C1670" t="s">
        <v>1921</v>
      </c>
      <c r="D1670" s="41">
        <v>9</v>
      </c>
      <c r="E1670" s="41">
        <v>1949</v>
      </c>
      <c r="F1670" s="41" t="s">
        <v>4288</v>
      </c>
      <c r="G1670" s="41" t="s">
        <v>4289</v>
      </c>
      <c r="H1670" s="2043">
        <v>196049</v>
      </c>
      <c r="I1670" s="2043">
        <v>0</v>
      </c>
      <c r="J1670">
        <v>0</v>
      </c>
      <c r="K1670" s="2043">
        <v>0</v>
      </c>
      <c r="L1670" s="2043">
        <v>0</v>
      </c>
      <c r="M1670">
        <v>599</v>
      </c>
      <c r="N1670">
        <v>1</v>
      </c>
    </row>
    <row r="1671" spans="1:14">
      <c r="A1671" t="s">
        <v>3085</v>
      </c>
      <c r="B1671" t="s">
        <v>1253</v>
      </c>
      <c r="C1671" t="s">
        <v>1921</v>
      </c>
      <c r="D1671" s="41">
        <v>9</v>
      </c>
      <c r="E1671" s="41">
        <v>1949</v>
      </c>
      <c r="F1671" s="41" t="s">
        <v>4288</v>
      </c>
      <c r="G1671" s="41" t="s">
        <v>9368</v>
      </c>
      <c r="H1671" s="2043">
        <v>196049</v>
      </c>
      <c r="I1671" s="2043">
        <v>737962</v>
      </c>
      <c r="J1671">
        <v>1</v>
      </c>
      <c r="K1671" s="2043">
        <v>196049</v>
      </c>
      <c r="L1671" s="2043">
        <v>196049</v>
      </c>
      <c r="M1671">
        <v>599</v>
      </c>
      <c r="N1671">
        <v>1</v>
      </c>
    </row>
    <row r="1672" spans="1:14">
      <c r="A1672" t="s">
        <v>3086</v>
      </c>
      <c r="B1672" t="s">
        <v>2199</v>
      </c>
      <c r="C1672" t="s">
        <v>2548</v>
      </c>
      <c r="D1672" s="41">
        <v>4</v>
      </c>
      <c r="E1672" s="41">
        <v>2248</v>
      </c>
      <c r="F1672" s="41" t="s">
        <v>4290</v>
      </c>
      <c r="G1672" s="41" t="s">
        <v>4290</v>
      </c>
      <c r="H1672" s="2043">
        <v>140320</v>
      </c>
      <c r="I1672" s="2043">
        <v>0</v>
      </c>
      <c r="J1672">
        <v>0</v>
      </c>
      <c r="K1672" s="2043">
        <v>0</v>
      </c>
      <c r="L1672" s="2043">
        <v>0</v>
      </c>
      <c r="M1672">
        <v>599</v>
      </c>
      <c r="N1672">
        <v>0</v>
      </c>
    </row>
    <row r="1673" spans="1:14">
      <c r="A1673" t="s">
        <v>3086</v>
      </c>
      <c r="B1673" t="s">
        <v>2199</v>
      </c>
      <c r="C1673" t="s">
        <v>2548</v>
      </c>
      <c r="D1673" s="41">
        <v>4</v>
      </c>
      <c r="E1673" s="41">
        <v>2248</v>
      </c>
      <c r="F1673" s="41" t="s">
        <v>4290</v>
      </c>
      <c r="G1673" s="41" t="s">
        <v>4291</v>
      </c>
      <c r="H1673" s="2043">
        <v>140320</v>
      </c>
      <c r="I1673" s="2043">
        <v>265541</v>
      </c>
      <c r="J1673">
        <v>1</v>
      </c>
      <c r="K1673" s="2043">
        <v>140320</v>
      </c>
      <c r="L1673" s="2043">
        <v>140320</v>
      </c>
      <c r="M1673">
        <v>599</v>
      </c>
      <c r="N1673">
        <v>1</v>
      </c>
    </row>
    <row r="1674" spans="1:14">
      <c r="A1674" t="s">
        <v>3087</v>
      </c>
      <c r="B1674" t="s">
        <v>241</v>
      </c>
      <c r="C1674" t="s">
        <v>2499</v>
      </c>
      <c r="D1674" s="41">
        <v>3</v>
      </c>
      <c r="E1674" s="41">
        <v>2422</v>
      </c>
      <c r="F1674" s="41" t="s">
        <v>4292</v>
      </c>
      <c r="G1674" s="41" t="s">
        <v>4292</v>
      </c>
      <c r="H1674" s="2043">
        <v>198161</v>
      </c>
      <c r="I1674" s="2043">
        <v>0</v>
      </c>
      <c r="J1674">
        <v>0</v>
      </c>
      <c r="K1674" s="2043">
        <v>0</v>
      </c>
      <c r="L1674" s="2043">
        <v>0</v>
      </c>
      <c r="M1674">
        <v>599</v>
      </c>
      <c r="N1674">
        <v>0</v>
      </c>
    </row>
    <row r="1675" spans="1:14">
      <c r="A1675" t="s">
        <v>3087</v>
      </c>
      <c r="B1675" t="s">
        <v>241</v>
      </c>
      <c r="C1675" t="s">
        <v>2499</v>
      </c>
      <c r="D1675" s="41">
        <v>3</v>
      </c>
      <c r="E1675" s="41">
        <v>2422</v>
      </c>
      <c r="F1675" s="41" t="s">
        <v>4292</v>
      </c>
      <c r="G1675" s="41" t="s">
        <v>4293</v>
      </c>
      <c r="H1675" s="2043">
        <v>198161</v>
      </c>
      <c r="I1675" s="2043">
        <v>317200</v>
      </c>
      <c r="J1675">
        <v>0.671527407294498</v>
      </c>
      <c r="K1675" s="2043">
        <v>133070.54255688499</v>
      </c>
      <c r="L1675" s="2043">
        <v>133070.54255688499</v>
      </c>
      <c r="M1675">
        <v>599</v>
      </c>
      <c r="N1675">
        <v>1</v>
      </c>
    </row>
    <row r="1676" spans="1:14">
      <c r="A1676" t="s">
        <v>3087</v>
      </c>
      <c r="B1676" t="s">
        <v>241</v>
      </c>
      <c r="C1676" t="s">
        <v>2499</v>
      </c>
      <c r="D1676" s="41">
        <v>3</v>
      </c>
      <c r="E1676" s="41">
        <v>2422</v>
      </c>
      <c r="F1676" s="41" t="s">
        <v>4292</v>
      </c>
      <c r="G1676" s="41" t="s">
        <v>4294</v>
      </c>
      <c r="H1676" s="2043">
        <v>198161</v>
      </c>
      <c r="I1676" s="2043">
        <v>0</v>
      </c>
      <c r="J1676">
        <v>0</v>
      </c>
      <c r="K1676" s="2043">
        <v>0</v>
      </c>
      <c r="L1676" s="2043">
        <v>0</v>
      </c>
      <c r="M1676">
        <v>599</v>
      </c>
      <c r="N1676">
        <v>1</v>
      </c>
    </row>
    <row r="1677" spans="1:14">
      <c r="A1677" t="s">
        <v>3087</v>
      </c>
      <c r="B1677" t="s">
        <v>241</v>
      </c>
      <c r="C1677" t="s">
        <v>2499</v>
      </c>
      <c r="D1677" s="41">
        <v>3</v>
      </c>
      <c r="E1677" s="41">
        <v>2422</v>
      </c>
      <c r="F1677" s="41" t="s">
        <v>4292</v>
      </c>
      <c r="G1677" s="41" t="s">
        <v>4295</v>
      </c>
      <c r="H1677" s="2043">
        <v>198161</v>
      </c>
      <c r="I1677" s="2043">
        <v>143244</v>
      </c>
      <c r="J1677">
        <v>0.30325432512765799</v>
      </c>
      <c r="K1677" s="2043">
        <v>60093.180321621803</v>
      </c>
      <c r="L1677" s="2043">
        <v>60093.180321621803</v>
      </c>
      <c r="M1677">
        <v>599</v>
      </c>
      <c r="N1677">
        <v>1</v>
      </c>
    </row>
    <row r="1678" spans="1:14">
      <c r="A1678" t="s">
        <v>3087</v>
      </c>
      <c r="B1678" t="s">
        <v>241</v>
      </c>
      <c r="C1678" t="s">
        <v>2499</v>
      </c>
      <c r="D1678" s="41">
        <v>3</v>
      </c>
      <c r="E1678" s="41">
        <v>2422</v>
      </c>
      <c r="F1678" s="41" t="s">
        <v>4292</v>
      </c>
      <c r="G1678" s="41" t="s">
        <v>5611</v>
      </c>
      <c r="H1678" s="2043">
        <v>198161</v>
      </c>
      <c r="I1678" s="2043">
        <v>11912</v>
      </c>
      <c r="J1678">
        <v>2.52182675778438E-2</v>
      </c>
      <c r="K1678" s="2043">
        <v>4997.2771214931099</v>
      </c>
      <c r="L1678" s="2043">
        <v>4997.2771214931099</v>
      </c>
      <c r="M1678">
        <v>599</v>
      </c>
      <c r="N1678">
        <v>1</v>
      </c>
    </row>
    <row r="1679" spans="1:14">
      <c r="A1679" t="s">
        <v>3087</v>
      </c>
      <c r="B1679" t="s">
        <v>241</v>
      </c>
      <c r="C1679" t="s">
        <v>2499</v>
      </c>
      <c r="D1679" s="41">
        <v>3</v>
      </c>
      <c r="E1679" s="41">
        <v>2423</v>
      </c>
      <c r="F1679" s="41" t="s">
        <v>4296</v>
      </c>
      <c r="G1679" s="41" t="s">
        <v>4296</v>
      </c>
      <c r="H1679" s="2043">
        <v>260380</v>
      </c>
      <c r="I1679" s="2043">
        <v>0</v>
      </c>
      <c r="J1679">
        <v>0</v>
      </c>
      <c r="K1679" s="2043">
        <v>0</v>
      </c>
      <c r="L1679" s="2043">
        <v>0</v>
      </c>
      <c r="M1679">
        <v>599</v>
      </c>
      <c r="N1679">
        <v>0</v>
      </c>
    </row>
    <row r="1680" spans="1:14">
      <c r="A1680" t="s">
        <v>3087</v>
      </c>
      <c r="B1680" t="s">
        <v>241</v>
      </c>
      <c r="C1680" t="s">
        <v>2499</v>
      </c>
      <c r="D1680" s="41">
        <v>3</v>
      </c>
      <c r="E1680" s="41">
        <v>2423</v>
      </c>
      <c r="F1680" s="41" t="s">
        <v>4296</v>
      </c>
      <c r="G1680" s="41" t="s">
        <v>4293</v>
      </c>
      <c r="H1680" s="2043">
        <v>260380</v>
      </c>
      <c r="I1680" s="2043">
        <v>292800</v>
      </c>
      <c r="J1680">
        <v>0.891036682227348</v>
      </c>
      <c r="K1680" s="2043">
        <v>232008.13131835699</v>
      </c>
      <c r="L1680" s="2043">
        <v>232008.13131835699</v>
      </c>
      <c r="M1680">
        <v>599</v>
      </c>
      <c r="N1680">
        <v>1</v>
      </c>
    </row>
    <row r="1681" spans="1:14">
      <c r="A1681" t="s">
        <v>3087</v>
      </c>
      <c r="B1681" t="s">
        <v>241</v>
      </c>
      <c r="C1681" t="s">
        <v>2499</v>
      </c>
      <c r="D1681" s="41">
        <v>3</v>
      </c>
      <c r="E1681" s="41">
        <v>2423</v>
      </c>
      <c r="F1681" s="41" t="s">
        <v>4296</v>
      </c>
      <c r="G1681" s="41" t="s">
        <v>4294</v>
      </c>
      <c r="H1681" s="2043">
        <v>260380</v>
      </c>
      <c r="I1681" s="2043">
        <v>0</v>
      </c>
      <c r="J1681">
        <v>0</v>
      </c>
      <c r="K1681" s="2043">
        <v>0</v>
      </c>
      <c r="L1681" s="2043">
        <v>0</v>
      </c>
      <c r="M1681">
        <v>599</v>
      </c>
      <c r="N1681">
        <v>1</v>
      </c>
    </row>
    <row r="1682" spans="1:14">
      <c r="A1682" t="s">
        <v>3087</v>
      </c>
      <c r="B1682" t="s">
        <v>241</v>
      </c>
      <c r="C1682" t="s">
        <v>2499</v>
      </c>
      <c r="D1682" s="41">
        <v>3</v>
      </c>
      <c r="E1682" s="41">
        <v>2423</v>
      </c>
      <c r="F1682" s="41" t="s">
        <v>4296</v>
      </c>
      <c r="G1682" s="41" t="s">
        <v>4295</v>
      </c>
      <c r="H1682" s="2043">
        <v>260380</v>
      </c>
      <c r="I1682" s="2043">
        <v>12711</v>
      </c>
      <c r="J1682">
        <v>3.8681582198742598E-2</v>
      </c>
      <c r="K1682" s="2043">
        <v>10071.9103729086</v>
      </c>
      <c r="L1682" s="2043">
        <v>10071.9103729086</v>
      </c>
      <c r="M1682">
        <v>599</v>
      </c>
      <c r="N1682">
        <v>1</v>
      </c>
    </row>
    <row r="1683" spans="1:14">
      <c r="A1683" t="s">
        <v>3087</v>
      </c>
      <c r="B1683" t="s">
        <v>241</v>
      </c>
      <c r="C1683" t="s">
        <v>2499</v>
      </c>
      <c r="D1683" s="41">
        <v>3</v>
      </c>
      <c r="E1683" s="41">
        <v>2423</v>
      </c>
      <c r="F1683" s="41" t="s">
        <v>4296</v>
      </c>
      <c r="G1683" s="41" t="s">
        <v>5611</v>
      </c>
      <c r="H1683" s="2043">
        <v>260380</v>
      </c>
      <c r="I1683" s="2043">
        <v>23095</v>
      </c>
      <c r="J1683">
        <v>7.0281735573909196E-2</v>
      </c>
      <c r="K1683" s="2043">
        <v>18299.958308734502</v>
      </c>
      <c r="L1683" s="2043">
        <v>18299.958308734502</v>
      </c>
      <c r="M1683">
        <v>599</v>
      </c>
      <c r="N1683">
        <v>1</v>
      </c>
    </row>
    <row r="1684" spans="1:14">
      <c r="A1684" t="s">
        <v>3087</v>
      </c>
      <c r="B1684" t="s">
        <v>241</v>
      </c>
      <c r="C1684" t="s">
        <v>2499</v>
      </c>
      <c r="D1684" s="41">
        <v>8</v>
      </c>
      <c r="E1684" s="41">
        <v>2424</v>
      </c>
      <c r="F1684" s="41" t="s">
        <v>4293</v>
      </c>
      <c r="G1684" s="41" t="s">
        <v>4293</v>
      </c>
      <c r="H1684" s="2043">
        <v>338505</v>
      </c>
      <c r="I1684" s="2043">
        <v>368245</v>
      </c>
      <c r="J1684">
        <v>0.93074364457115699</v>
      </c>
      <c r="K1684" s="2043">
        <v>315061.377405559</v>
      </c>
      <c r="L1684" s="2043">
        <v>315061.377405559</v>
      </c>
      <c r="M1684">
        <v>599</v>
      </c>
      <c r="N1684">
        <v>1</v>
      </c>
    </row>
    <row r="1685" spans="1:14">
      <c r="A1685" t="s">
        <v>3087</v>
      </c>
      <c r="B1685" t="s">
        <v>241</v>
      </c>
      <c r="C1685" t="s">
        <v>2499</v>
      </c>
      <c r="D1685" s="41">
        <v>8</v>
      </c>
      <c r="E1685" s="41">
        <v>2424</v>
      </c>
      <c r="F1685" s="41" t="s">
        <v>4293</v>
      </c>
      <c r="G1685" s="41" t="s">
        <v>5611</v>
      </c>
      <c r="H1685" s="2043">
        <v>338505</v>
      </c>
      <c r="I1685" s="2043">
        <v>27401</v>
      </c>
      <c r="J1685">
        <v>6.9256355428842994E-2</v>
      </c>
      <c r="K1685" s="2043">
        <v>23443.622594440501</v>
      </c>
      <c r="L1685" s="2043">
        <v>23443.622594440501</v>
      </c>
      <c r="M1685">
        <v>599</v>
      </c>
      <c r="N1685">
        <v>1</v>
      </c>
    </row>
    <row r="1686" spans="1:14">
      <c r="A1686" t="s">
        <v>3087</v>
      </c>
      <c r="B1686" t="s">
        <v>241</v>
      </c>
      <c r="C1686" t="s">
        <v>2499</v>
      </c>
      <c r="D1686" s="41">
        <v>11</v>
      </c>
      <c r="E1686" s="41">
        <v>2481</v>
      </c>
      <c r="F1686" s="41" t="s">
        <v>7227</v>
      </c>
      <c r="G1686" s="41" t="s">
        <v>7227</v>
      </c>
      <c r="H1686" s="2043">
        <v>475845</v>
      </c>
      <c r="I1686" s="2043">
        <v>1063838</v>
      </c>
      <c r="J1686">
        <v>1</v>
      </c>
      <c r="K1686" s="2043">
        <v>475845</v>
      </c>
      <c r="L1686" s="2043">
        <v>475845</v>
      </c>
      <c r="M1686">
        <v>599</v>
      </c>
      <c r="N1686">
        <v>0</v>
      </c>
    </row>
    <row r="1687" spans="1:14">
      <c r="A1687" t="s">
        <v>3088</v>
      </c>
      <c r="B1687" t="s">
        <v>1189</v>
      </c>
      <c r="C1687" t="s">
        <v>2197</v>
      </c>
      <c r="D1687" s="41">
        <v>1</v>
      </c>
      <c r="E1687" s="41">
        <v>1847</v>
      </c>
      <c r="F1687" s="41" t="s">
        <v>4297</v>
      </c>
      <c r="G1687" s="41" t="s">
        <v>4297</v>
      </c>
      <c r="H1687" s="2043">
        <v>212707</v>
      </c>
      <c r="I1687" s="2043">
        <v>0</v>
      </c>
      <c r="J1687">
        <v>0</v>
      </c>
      <c r="K1687" s="2043">
        <v>0</v>
      </c>
      <c r="L1687" s="2043">
        <v>0</v>
      </c>
      <c r="M1687">
        <v>599</v>
      </c>
      <c r="N1687">
        <v>0</v>
      </c>
    </row>
    <row r="1688" spans="1:14">
      <c r="A1688" t="s">
        <v>3088</v>
      </c>
      <c r="B1688" t="s">
        <v>1189</v>
      </c>
      <c r="C1688" t="s">
        <v>2197</v>
      </c>
      <c r="D1688" s="41">
        <v>1</v>
      </c>
      <c r="E1688" s="41">
        <v>1847</v>
      </c>
      <c r="F1688" s="41" t="s">
        <v>4297</v>
      </c>
      <c r="G1688" s="41" t="s">
        <v>4298</v>
      </c>
      <c r="H1688" s="2043">
        <v>212707</v>
      </c>
      <c r="I1688" s="2043">
        <v>0</v>
      </c>
      <c r="J1688">
        <v>0</v>
      </c>
      <c r="K1688" s="2043">
        <v>0</v>
      </c>
      <c r="L1688" s="2043">
        <v>0</v>
      </c>
      <c r="M1688">
        <v>599</v>
      </c>
      <c r="N1688">
        <v>0</v>
      </c>
    </row>
    <row r="1689" spans="1:14">
      <c r="A1689" t="s">
        <v>3088</v>
      </c>
      <c r="B1689" t="s">
        <v>1189</v>
      </c>
      <c r="C1689" t="s">
        <v>2197</v>
      </c>
      <c r="D1689" s="41">
        <v>1</v>
      </c>
      <c r="E1689" s="41">
        <v>1847</v>
      </c>
      <c r="F1689" s="41" t="s">
        <v>4297</v>
      </c>
      <c r="G1689" s="41" t="s">
        <v>5432</v>
      </c>
      <c r="H1689" s="2043">
        <v>212707</v>
      </c>
      <c r="I1689" s="2043">
        <v>199933</v>
      </c>
      <c r="J1689">
        <v>1</v>
      </c>
      <c r="K1689" s="2043">
        <v>212707</v>
      </c>
      <c r="L1689" s="2043">
        <v>199933</v>
      </c>
      <c r="M1689">
        <v>599</v>
      </c>
      <c r="N1689">
        <v>1</v>
      </c>
    </row>
    <row r="1690" spans="1:14">
      <c r="A1690" t="s">
        <v>3088</v>
      </c>
      <c r="B1690" t="s">
        <v>1189</v>
      </c>
      <c r="C1690" t="s">
        <v>2197</v>
      </c>
      <c r="D1690" s="41">
        <v>4</v>
      </c>
      <c r="E1690" s="41">
        <v>1848</v>
      </c>
      <c r="F1690" s="41" t="s">
        <v>4299</v>
      </c>
      <c r="G1690" s="41" t="s">
        <v>4299</v>
      </c>
      <c r="H1690" s="2043">
        <v>279766</v>
      </c>
      <c r="I1690" s="2043">
        <v>0</v>
      </c>
      <c r="J1690">
        <v>0</v>
      </c>
      <c r="K1690" s="2043">
        <v>0</v>
      </c>
      <c r="L1690" s="2043">
        <v>0</v>
      </c>
      <c r="M1690">
        <v>599</v>
      </c>
      <c r="N1690">
        <v>0</v>
      </c>
    </row>
    <row r="1691" spans="1:14">
      <c r="A1691" t="s">
        <v>3088</v>
      </c>
      <c r="B1691" t="s">
        <v>1189</v>
      </c>
      <c r="C1691" t="s">
        <v>2197</v>
      </c>
      <c r="D1691" s="41">
        <v>4</v>
      </c>
      <c r="E1691" s="41">
        <v>1848</v>
      </c>
      <c r="F1691" s="41" t="s">
        <v>4299</v>
      </c>
      <c r="G1691" s="41" t="s">
        <v>4298</v>
      </c>
      <c r="H1691" s="2043">
        <v>279766</v>
      </c>
      <c r="I1691" s="2043">
        <v>0</v>
      </c>
      <c r="J1691">
        <v>0</v>
      </c>
      <c r="K1691" s="2043">
        <v>0</v>
      </c>
      <c r="L1691" s="2043">
        <v>0</v>
      </c>
      <c r="M1691">
        <v>599</v>
      </c>
      <c r="N1691">
        <v>0</v>
      </c>
    </row>
    <row r="1692" spans="1:14">
      <c r="A1692" t="s">
        <v>3088</v>
      </c>
      <c r="B1692" t="s">
        <v>1189</v>
      </c>
      <c r="C1692" t="s">
        <v>2197</v>
      </c>
      <c r="D1692" s="41">
        <v>4</v>
      </c>
      <c r="E1692" s="41">
        <v>1848</v>
      </c>
      <c r="F1692" s="41" t="s">
        <v>4299</v>
      </c>
      <c r="G1692" s="41" t="s">
        <v>5432</v>
      </c>
      <c r="H1692" s="2043">
        <v>279766</v>
      </c>
      <c r="I1692" s="2043">
        <v>256880</v>
      </c>
      <c r="J1692">
        <v>1</v>
      </c>
      <c r="K1692" s="2043">
        <v>279766</v>
      </c>
      <c r="L1692" s="2043">
        <v>256880</v>
      </c>
      <c r="M1692">
        <v>599</v>
      </c>
      <c r="N1692">
        <v>1</v>
      </c>
    </row>
    <row r="1693" spans="1:14">
      <c r="A1693" t="s">
        <v>3089</v>
      </c>
      <c r="B1693" t="s">
        <v>2370</v>
      </c>
      <c r="C1693" t="s">
        <v>135</v>
      </c>
      <c r="D1693" s="41">
        <v>6</v>
      </c>
      <c r="E1693" s="41">
        <v>2042</v>
      </c>
      <c r="F1693" s="41" t="s">
        <v>4300</v>
      </c>
      <c r="G1693" s="41" t="s">
        <v>4300</v>
      </c>
      <c r="H1693" s="2043">
        <v>100000</v>
      </c>
      <c r="I1693" s="2043">
        <v>0</v>
      </c>
      <c r="J1693">
        <v>0</v>
      </c>
      <c r="K1693" s="2043">
        <v>0</v>
      </c>
      <c r="L1693" s="2043">
        <v>0</v>
      </c>
      <c r="M1693">
        <v>599</v>
      </c>
      <c r="N1693">
        <v>0</v>
      </c>
    </row>
    <row r="1694" spans="1:14">
      <c r="A1694" t="s">
        <v>3089</v>
      </c>
      <c r="B1694" t="s">
        <v>2370</v>
      </c>
      <c r="C1694" t="s">
        <v>135</v>
      </c>
      <c r="D1694" s="41">
        <v>6</v>
      </c>
      <c r="E1694" s="41">
        <v>2042</v>
      </c>
      <c r="F1694" s="41" t="s">
        <v>4300</v>
      </c>
      <c r="G1694" s="41" t="s">
        <v>4301</v>
      </c>
      <c r="H1694" s="2043">
        <v>100000</v>
      </c>
      <c r="I1694" s="2043">
        <v>89200</v>
      </c>
      <c r="J1694">
        <v>1</v>
      </c>
      <c r="K1694" s="2043">
        <v>100000</v>
      </c>
      <c r="L1694" s="2043">
        <v>89200</v>
      </c>
      <c r="M1694">
        <v>599</v>
      </c>
      <c r="N1694">
        <v>1</v>
      </c>
    </row>
    <row r="1695" spans="1:14">
      <c r="A1695" t="s">
        <v>3090</v>
      </c>
      <c r="B1695" t="s">
        <v>245</v>
      </c>
      <c r="C1695" t="s">
        <v>1832</v>
      </c>
      <c r="D1695" s="41">
        <v>5</v>
      </c>
      <c r="E1695" s="41">
        <v>2382</v>
      </c>
      <c r="F1695" s="41" t="s">
        <v>4302</v>
      </c>
      <c r="G1695" s="41" t="s">
        <v>4302</v>
      </c>
      <c r="H1695" s="2043">
        <v>187854</v>
      </c>
      <c r="I1695" s="2043">
        <v>0</v>
      </c>
      <c r="J1695">
        <v>0</v>
      </c>
      <c r="K1695" s="2043">
        <v>0</v>
      </c>
      <c r="L1695" s="2043">
        <v>0</v>
      </c>
      <c r="M1695">
        <v>599</v>
      </c>
      <c r="N1695">
        <v>0</v>
      </c>
    </row>
    <row r="1696" spans="1:14">
      <c r="A1696" t="s">
        <v>3090</v>
      </c>
      <c r="B1696" t="s">
        <v>245</v>
      </c>
      <c r="C1696" t="s">
        <v>1832</v>
      </c>
      <c r="D1696" s="41">
        <v>5</v>
      </c>
      <c r="E1696" s="41">
        <v>2382</v>
      </c>
      <c r="F1696" s="41" t="s">
        <v>4302</v>
      </c>
      <c r="G1696" s="41" t="s">
        <v>4303</v>
      </c>
      <c r="H1696" s="2043">
        <v>187854</v>
      </c>
      <c r="I1696" s="2043">
        <v>0</v>
      </c>
      <c r="J1696">
        <v>0</v>
      </c>
      <c r="K1696" s="2043">
        <v>0</v>
      </c>
      <c r="L1696" s="2043">
        <v>0</v>
      </c>
      <c r="M1696">
        <v>599</v>
      </c>
      <c r="N1696">
        <v>1</v>
      </c>
    </row>
    <row r="1697" spans="1:14">
      <c r="A1697" t="s">
        <v>3090</v>
      </c>
      <c r="B1697" t="s">
        <v>245</v>
      </c>
      <c r="C1697" t="s">
        <v>1832</v>
      </c>
      <c r="D1697" s="41">
        <v>5</v>
      </c>
      <c r="E1697" s="41">
        <v>2382</v>
      </c>
      <c r="F1697" s="41" t="s">
        <v>4302</v>
      </c>
      <c r="G1697" s="41" t="s">
        <v>5612</v>
      </c>
      <c r="H1697" s="2043">
        <v>187854</v>
      </c>
      <c r="I1697" s="2043">
        <v>157125</v>
      </c>
      <c r="J1697">
        <v>1</v>
      </c>
      <c r="K1697" s="2043">
        <v>187854</v>
      </c>
      <c r="L1697" s="2043">
        <v>157125</v>
      </c>
      <c r="M1697">
        <v>599</v>
      </c>
      <c r="N1697">
        <v>1</v>
      </c>
    </row>
    <row r="1698" spans="1:14">
      <c r="A1698" t="s">
        <v>3090</v>
      </c>
      <c r="B1698" t="s">
        <v>245</v>
      </c>
      <c r="C1698" t="s">
        <v>1832</v>
      </c>
      <c r="D1698" s="41">
        <v>10</v>
      </c>
      <c r="E1698" s="41">
        <v>2381</v>
      </c>
      <c r="F1698" s="41" t="s">
        <v>4304</v>
      </c>
      <c r="G1698" s="41" t="s">
        <v>4304</v>
      </c>
      <c r="H1698" s="2043">
        <v>143981</v>
      </c>
      <c r="I1698" s="2043">
        <v>0</v>
      </c>
      <c r="J1698">
        <v>0</v>
      </c>
      <c r="K1698" s="2043">
        <v>0</v>
      </c>
      <c r="L1698" s="2043">
        <v>0</v>
      </c>
      <c r="M1698">
        <v>599</v>
      </c>
      <c r="N1698">
        <v>1</v>
      </c>
    </row>
    <row r="1699" spans="1:14">
      <c r="A1699" t="s">
        <v>3090</v>
      </c>
      <c r="B1699" t="s">
        <v>245</v>
      </c>
      <c r="C1699" t="s">
        <v>1832</v>
      </c>
      <c r="D1699" s="41">
        <v>10</v>
      </c>
      <c r="E1699" s="41">
        <v>2381</v>
      </c>
      <c r="F1699" s="41" t="s">
        <v>4304</v>
      </c>
      <c r="G1699" s="41" t="s">
        <v>5612</v>
      </c>
      <c r="H1699" s="2043">
        <v>143981</v>
      </c>
      <c r="I1699" s="2043">
        <v>403286</v>
      </c>
      <c r="J1699">
        <v>1</v>
      </c>
      <c r="K1699" s="2043">
        <v>143981</v>
      </c>
      <c r="L1699" s="2043">
        <v>143981</v>
      </c>
      <c r="M1699">
        <v>599</v>
      </c>
      <c r="N1699">
        <v>1</v>
      </c>
    </row>
    <row r="1700" spans="1:14">
      <c r="A1700" t="s">
        <v>4305</v>
      </c>
      <c r="B1700" t="s">
        <v>45</v>
      </c>
      <c r="C1700" t="s">
        <v>387</v>
      </c>
      <c r="D1700" s="41">
        <v>2</v>
      </c>
      <c r="E1700" s="41">
        <v>1940</v>
      </c>
      <c r="F1700" s="41" t="s">
        <v>4306</v>
      </c>
      <c r="G1700" s="41" t="s">
        <v>4306</v>
      </c>
      <c r="H1700" s="2043">
        <v>91832</v>
      </c>
      <c r="I1700" s="2043">
        <v>0</v>
      </c>
      <c r="J1700">
        <v>0</v>
      </c>
      <c r="L1700" s="2043">
        <v>0</v>
      </c>
      <c r="M1700">
        <v>599</v>
      </c>
      <c r="N1700">
        <v>0</v>
      </c>
    </row>
    <row r="1701" spans="1:14">
      <c r="A1701" t="s">
        <v>3091</v>
      </c>
      <c r="B1701" t="s">
        <v>2371</v>
      </c>
      <c r="C1701" t="s">
        <v>392</v>
      </c>
      <c r="D1701" s="41">
        <v>6</v>
      </c>
      <c r="E1701" s="41">
        <v>1954</v>
      </c>
      <c r="F1701" s="41" t="s">
        <v>4307</v>
      </c>
      <c r="G1701" s="41" t="s">
        <v>4307</v>
      </c>
      <c r="H1701" s="2043">
        <v>195337</v>
      </c>
      <c r="I1701" s="2043">
        <v>0</v>
      </c>
      <c r="J1701">
        <v>0</v>
      </c>
      <c r="K1701" s="2043">
        <v>0</v>
      </c>
      <c r="L1701" s="2043">
        <v>0</v>
      </c>
      <c r="M1701">
        <v>599</v>
      </c>
      <c r="N1701">
        <v>0</v>
      </c>
    </row>
    <row r="1702" spans="1:14">
      <c r="A1702" t="s">
        <v>3091</v>
      </c>
      <c r="B1702" t="s">
        <v>2371</v>
      </c>
      <c r="C1702" t="s">
        <v>392</v>
      </c>
      <c r="D1702" s="41">
        <v>6</v>
      </c>
      <c r="E1702" s="41">
        <v>1954</v>
      </c>
      <c r="F1702" s="41" t="s">
        <v>4307</v>
      </c>
      <c r="G1702" s="41" t="s">
        <v>4308</v>
      </c>
      <c r="H1702" s="2043">
        <v>195337</v>
      </c>
      <c r="I1702" s="2043">
        <v>0</v>
      </c>
      <c r="J1702">
        <v>0</v>
      </c>
      <c r="K1702" s="2043">
        <v>0</v>
      </c>
      <c r="L1702" s="2043">
        <v>0</v>
      </c>
      <c r="M1702">
        <v>599</v>
      </c>
      <c r="N1702">
        <v>1</v>
      </c>
    </row>
    <row r="1703" spans="1:14">
      <c r="A1703" t="s">
        <v>3091</v>
      </c>
      <c r="B1703" t="s">
        <v>2371</v>
      </c>
      <c r="C1703" t="s">
        <v>392</v>
      </c>
      <c r="D1703" s="41">
        <v>6</v>
      </c>
      <c r="E1703" s="41">
        <v>1954</v>
      </c>
      <c r="F1703" s="41" t="s">
        <v>4307</v>
      </c>
      <c r="G1703" s="41" t="s">
        <v>9369</v>
      </c>
      <c r="H1703" s="2043">
        <v>195337</v>
      </c>
      <c r="I1703" s="2043">
        <v>206811</v>
      </c>
      <c r="J1703">
        <v>1</v>
      </c>
      <c r="K1703" s="2043">
        <v>195337</v>
      </c>
      <c r="L1703" s="2043">
        <v>195337</v>
      </c>
      <c r="M1703">
        <v>599</v>
      </c>
      <c r="N1703">
        <v>1</v>
      </c>
    </row>
    <row r="1704" spans="1:14">
      <c r="A1704" t="s">
        <v>3092</v>
      </c>
      <c r="B1704" t="s">
        <v>1592</v>
      </c>
      <c r="C1704" t="s">
        <v>846</v>
      </c>
      <c r="D1704" s="41">
        <v>3</v>
      </c>
      <c r="E1704" s="41">
        <v>1809</v>
      </c>
      <c r="F1704" s="41" t="s">
        <v>4309</v>
      </c>
      <c r="G1704" s="41" t="s">
        <v>4309</v>
      </c>
      <c r="H1704" s="2043">
        <v>114000</v>
      </c>
      <c r="I1704" s="2043">
        <v>0</v>
      </c>
      <c r="J1704">
        <v>0</v>
      </c>
      <c r="L1704" s="2043">
        <v>0</v>
      </c>
      <c r="M1704">
        <v>199</v>
      </c>
      <c r="N1704">
        <v>0</v>
      </c>
    </row>
    <row r="1705" spans="1:14">
      <c r="A1705" t="s">
        <v>3092</v>
      </c>
      <c r="B1705" t="s">
        <v>1592</v>
      </c>
      <c r="C1705" t="s">
        <v>846</v>
      </c>
      <c r="D1705" s="41">
        <v>5</v>
      </c>
      <c r="E1705" s="41">
        <v>1808</v>
      </c>
      <c r="F1705" s="41" t="s">
        <v>4310</v>
      </c>
      <c r="G1705" s="41" t="s">
        <v>4310</v>
      </c>
      <c r="H1705" s="2043">
        <v>95588</v>
      </c>
      <c r="I1705" s="2043">
        <v>0</v>
      </c>
      <c r="J1705">
        <v>0</v>
      </c>
      <c r="L1705" s="2043">
        <v>0</v>
      </c>
      <c r="M1705">
        <v>199</v>
      </c>
      <c r="N1705">
        <v>0</v>
      </c>
    </row>
    <row r="1706" spans="1:14">
      <c r="A1706" t="s">
        <v>3092</v>
      </c>
      <c r="B1706" t="s">
        <v>1592</v>
      </c>
      <c r="C1706" t="s">
        <v>846</v>
      </c>
      <c r="D1706" s="41">
        <v>5</v>
      </c>
      <c r="E1706" s="41">
        <v>1808</v>
      </c>
      <c r="F1706" s="41" t="s">
        <v>4310</v>
      </c>
      <c r="G1706" s="41" t="s">
        <v>4311</v>
      </c>
      <c r="H1706" s="2043">
        <v>95588</v>
      </c>
      <c r="I1706" s="2043">
        <v>0</v>
      </c>
      <c r="J1706">
        <v>0</v>
      </c>
      <c r="L1706" s="2043">
        <v>0</v>
      </c>
      <c r="M1706">
        <v>599</v>
      </c>
      <c r="N1706">
        <v>0</v>
      </c>
    </row>
    <row r="1707" spans="1:14">
      <c r="A1707" t="s">
        <v>3092</v>
      </c>
      <c r="B1707" t="s">
        <v>1592</v>
      </c>
      <c r="C1707" t="s">
        <v>846</v>
      </c>
      <c r="D1707" s="41">
        <v>5</v>
      </c>
      <c r="E1707" s="41">
        <v>1808</v>
      </c>
      <c r="F1707" s="41" t="s">
        <v>4310</v>
      </c>
      <c r="G1707" s="41" t="s">
        <v>4312</v>
      </c>
      <c r="H1707" s="2043">
        <v>95588</v>
      </c>
      <c r="I1707" s="2043">
        <v>0</v>
      </c>
      <c r="J1707">
        <v>0</v>
      </c>
      <c r="L1707" s="2043">
        <v>0</v>
      </c>
      <c r="M1707">
        <v>599</v>
      </c>
      <c r="N1707">
        <v>1</v>
      </c>
    </row>
    <row r="1708" spans="1:14">
      <c r="A1708" t="s">
        <v>3092</v>
      </c>
      <c r="B1708" t="s">
        <v>1592</v>
      </c>
      <c r="C1708" t="s">
        <v>846</v>
      </c>
      <c r="D1708" s="41">
        <v>5</v>
      </c>
      <c r="E1708" s="41">
        <v>1808</v>
      </c>
      <c r="F1708" s="41" t="s">
        <v>4310</v>
      </c>
      <c r="G1708" s="41" t="s">
        <v>4313</v>
      </c>
      <c r="H1708" s="2043">
        <v>95588</v>
      </c>
      <c r="I1708" s="2043">
        <v>0</v>
      </c>
      <c r="J1708">
        <v>0</v>
      </c>
      <c r="L1708" s="2043">
        <v>0</v>
      </c>
      <c r="M1708">
        <v>599</v>
      </c>
      <c r="N1708">
        <v>0</v>
      </c>
    </row>
    <row r="1709" spans="1:14">
      <c r="A1709" t="s">
        <v>3093</v>
      </c>
      <c r="B1709" t="s">
        <v>2265</v>
      </c>
      <c r="C1709" t="s">
        <v>394</v>
      </c>
      <c r="D1709" s="41">
        <v>2</v>
      </c>
      <c r="E1709" s="41">
        <v>1728</v>
      </c>
      <c r="F1709" s="41" t="s">
        <v>4314</v>
      </c>
      <c r="G1709" s="41" t="s">
        <v>4314</v>
      </c>
      <c r="H1709" s="2043">
        <v>347484</v>
      </c>
      <c r="I1709" s="2043">
        <v>0</v>
      </c>
      <c r="J1709">
        <v>0</v>
      </c>
      <c r="K1709" s="2043">
        <v>0</v>
      </c>
      <c r="L1709" s="2043">
        <v>0</v>
      </c>
      <c r="M1709">
        <v>599</v>
      </c>
      <c r="N1709">
        <v>0</v>
      </c>
    </row>
    <row r="1710" spans="1:14">
      <c r="A1710" t="s">
        <v>3093</v>
      </c>
      <c r="B1710" t="s">
        <v>2265</v>
      </c>
      <c r="C1710" t="s">
        <v>394</v>
      </c>
      <c r="D1710" s="41">
        <v>2</v>
      </c>
      <c r="E1710" s="41">
        <v>1728</v>
      </c>
      <c r="F1710" s="41" t="s">
        <v>4314</v>
      </c>
      <c r="G1710" s="41" t="s">
        <v>4315</v>
      </c>
      <c r="H1710" s="2043">
        <v>347484</v>
      </c>
      <c r="I1710" s="2043">
        <v>0</v>
      </c>
      <c r="J1710">
        <v>0</v>
      </c>
      <c r="K1710" s="2043">
        <v>0</v>
      </c>
      <c r="L1710" s="2043">
        <v>0</v>
      </c>
      <c r="M1710">
        <v>599</v>
      </c>
      <c r="N1710">
        <v>0</v>
      </c>
    </row>
    <row r="1711" spans="1:14">
      <c r="A1711" t="s">
        <v>3093</v>
      </c>
      <c r="B1711" t="s">
        <v>2265</v>
      </c>
      <c r="C1711" t="s">
        <v>394</v>
      </c>
      <c r="D1711" s="41">
        <v>2</v>
      </c>
      <c r="E1711" s="41">
        <v>1728</v>
      </c>
      <c r="F1711" s="41" t="s">
        <v>4314</v>
      </c>
      <c r="G1711" s="41" t="s">
        <v>4316</v>
      </c>
      <c r="H1711" s="2043">
        <v>347484</v>
      </c>
      <c r="I1711" s="2043">
        <v>313090</v>
      </c>
      <c r="J1711">
        <v>1</v>
      </c>
      <c r="K1711" s="2043">
        <v>347484</v>
      </c>
      <c r="L1711" s="2043">
        <v>313090</v>
      </c>
      <c r="M1711">
        <v>599</v>
      </c>
      <c r="N1711">
        <v>1</v>
      </c>
    </row>
    <row r="1712" spans="1:14">
      <c r="A1712" t="s">
        <v>3093</v>
      </c>
      <c r="B1712" t="s">
        <v>2265</v>
      </c>
      <c r="C1712" t="s">
        <v>394</v>
      </c>
      <c r="D1712" s="41">
        <v>6</v>
      </c>
      <c r="E1712" s="41">
        <v>1729</v>
      </c>
      <c r="F1712" s="41" t="s">
        <v>4317</v>
      </c>
      <c r="G1712" s="41" t="s">
        <v>4317</v>
      </c>
      <c r="H1712" s="2043">
        <v>483733</v>
      </c>
      <c r="I1712" s="2043">
        <v>1981395</v>
      </c>
      <c r="J1712">
        <v>1</v>
      </c>
      <c r="K1712" s="2043">
        <v>483733</v>
      </c>
      <c r="L1712" s="2043">
        <v>483733</v>
      </c>
      <c r="M1712">
        <v>599</v>
      </c>
      <c r="N1712">
        <v>1</v>
      </c>
    </row>
    <row r="1713" spans="1:14">
      <c r="A1713" t="s">
        <v>3093</v>
      </c>
      <c r="B1713" t="s">
        <v>2265</v>
      </c>
      <c r="C1713" t="s">
        <v>394</v>
      </c>
      <c r="D1713" s="41">
        <v>6</v>
      </c>
      <c r="E1713" s="41">
        <v>1729</v>
      </c>
      <c r="F1713" s="41" t="s">
        <v>4317</v>
      </c>
      <c r="G1713" s="41" t="s">
        <v>4318</v>
      </c>
      <c r="H1713" s="2043">
        <v>483733</v>
      </c>
      <c r="I1713" s="2043">
        <v>0</v>
      </c>
      <c r="J1713">
        <v>0</v>
      </c>
      <c r="K1713" s="2043">
        <v>0</v>
      </c>
      <c r="L1713" s="2043">
        <v>0</v>
      </c>
      <c r="M1713">
        <v>599</v>
      </c>
      <c r="N1713">
        <v>1</v>
      </c>
    </row>
    <row r="1714" spans="1:14">
      <c r="A1714" t="s">
        <v>3093</v>
      </c>
      <c r="B1714" t="s">
        <v>2265</v>
      </c>
      <c r="C1714" t="s">
        <v>394</v>
      </c>
      <c r="D1714" s="41">
        <v>6</v>
      </c>
      <c r="E1714" s="41">
        <v>1729</v>
      </c>
      <c r="F1714" s="41" t="s">
        <v>4317</v>
      </c>
      <c r="G1714" s="41" t="s">
        <v>7228</v>
      </c>
      <c r="H1714" s="2043">
        <v>483733</v>
      </c>
      <c r="I1714" s="2043">
        <v>0</v>
      </c>
      <c r="J1714">
        <v>0</v>
      </c>
      <c r="K1714" s="2043">
        <v>0</v>
      </c>
      <c r="L1714" s="2043">
        <v>0</v>
      </c>
      <c r="M1714">
        <v>599</v>
      </c>
      <c r="N1714">
        <v>1</v>
      </c>
    </row>
    <row r="1715" spans="1:14">
      <c r="A1715" t="s">
        <v>3093</v>
      </c>
      <c r="B1715" t="s">
        <v>2265</v>
      </c>
      <c r="C1715" t="s">
        <v>394</v>
      </c>
      <c r="D1715" s="41">
        <v>9</v>
      </c>
      <c r="E1715" s="41">
        <v>1730</v>
      </c>
      <c r="F1715" s="41" t="s">
        <v>4319</v>
      </c>
      <c r="G1715" s="41" t="s">
        <v>4319</v>
      </c>
      <c r="H1715" s="2043">
        <v>538407</v>
      </c>
      <c r="I1715" s="2043">
        <v>0</v>
      </c>
      <c r="J1715">
        <v>0</v>
      </c>
      <c r="K1715" s="2043">
        <v>0</v>
      </c>
      <c r="L1715" s="2043">
        <v>0</v>
      </c>
      <c r="M1715">
        <v>599</v>
      </c>
      <c r="N1715">
        <v>1</v>
      </c>
    </row>
    <row r="1716" spans="1:14">
      <c r="A1716" t="s">
        <v>3093</v>
      </c>
      <c r="B1716" t="s">
        <v>2265</v>
      </c>
      <c r="C1716" t="s">
        <v>394</v>
      </c>
      <c r="D1716" s="41">
        <v>9</v>
      </c>
      <c r="E1716" s="41">
        <v>1730</v>
      </c>
      <c r="F1716" s="41" t="s">
        <v>4319</v>
      </c>
      <c r="G1716" s="41" t="s">
        <v>5613</v>
      </c>
      <c r="H1716" s="2043">
        <v>538407</v>
      </c>
      <c r="I1716" s="2043">
        <v>281080</v>
      </c>
      <c r="J1716">
        <v>0.352823036176035</v>
      </c>
      <c r="K1716" s="2043">
        <v>189962.39243842999</v>
      </c>
      <c r="L1716" s="2043">
        <v>189962.39243842999</v>
      </c>
      <c r="M1716">
        <v>599</v>
      </c>
      <c r="N1716">
        <v>1</v>
      </c>
    </row>
    <row r="1717" spans="1:14">
      <c r="A1717" t="s">
        <v>3093</v>
      </c>
      <c r="B1717" t="s">
        <v>2265</v>
      </c>
      <c r="C1717" t="s">
        <v>394</v>
      </c>
      <c r="D1717" s="41">
        <v>9</v>
      </c>
      <c r="E1717" s="41">
        <v>1730</v>
      </c>
      <c r="F1717" s="41" t="s">
        <v>4319</v>
      </c>
      <c r="G1717" s="41" t="s">
        <v>5614</v>
      </c>
      <c r="H1717" s="2043">
        <v>538407</v>
      </c>
      <c r="I1717" s="2043">
        <v>515580</v>
      </c>
      <c r="J1717">
        <v>0.64717696382396495</v>
      </c>
      <c r="K1717" s="2043">
        <v>348444.60756157001</v>
      </c>
      <c r="L1717" s="2043">
        <v>348444.60756157001</v>
      </c>
      <c r="M1717">
        <v>599</v>
      </c>
      <c r="N1717">
        <v>1</v>
      </c>
    </row>
    <row r="1718" spans="1:14">
      <c r="A1718" t="s">
        <v>3093</v>
      </c>
      <c r="B1718" t="s">
        <v>2265</v>
      </c>
      <c r="C1718" t="s">
        <v>394</v>
      </c>
      <c r="D1718" s="41">
        <v>11</v>
      </c>
      <c r="E1718" s="41">
        <v>2484</v>
      </c>
      <c r="F1718" s="41" t="s">
        <v>7229</v>
      </c>
      <c r="G1718" s="41" t="s">
        <v>7229</v>
      </c>
      <c r="H1718" s="2043">
        <v>224250</v>
      </c>
      <c r="I1718" s="2043">
        <v>0</v>
      </c>
      <c r="J1718">
        <v>0</v>
      </c>
      <c r="K1718" s="2043">
        <v>0</v>
      </c>
      <c r="L1718" s="2043">
        <v>0</v>
      </c>
      <c r="M1718">
        <v>599</v>
      </c>
      <c r="N1718">
        <v>1</v>
      </c>
    </row>
    <row r="1719" spans="1:14">
      <c r="A1719" t="s">
        <v>3093</v>
      </c>
      <c r="B1719" t="s">
        <v>2265</v>
      </c>
      <c r="C1719" t="s">
        <v>394</v>
      </c>
      <c r="D1719" s="41">
        <v>11</v>
      </c>
      <c r="E1719" s="41">
        <v>2484</v>
      </c>
      <c r="F1719" s="41" t="s">
        <v>7229</v>
      </c>
      <c r="G1719" s="41" t="s">
        <v>7228</v>
      </c>
      <c r="H1719" s="2043">
        <v>224250</v>
      </c>
      <c r="I1719" s="2043">
        <v>209576</v>
      </c>
      <c r="J1719">
        <v>1</v>
      </c>
      <c r="K1719" s="2043">
        <v>224250</v>
      </c>
      <c r="L1719" s="2043">
        <v>209576</v>
      </c>
      <c r="M1719">
        <v>599</v>
      </c>
      <c r="N1719">
        <v>1</v>
      </c>
    </row>
    <row r="1720" spans="1:14">
      <c r="A1720" t="s">
        <v>3093</v>
      </c>
      <c r="B1720" t="s">
        <v>2265</v>
      </c>
      <c r="C1720" t="s">
        <v>394</v>
      </c>
      <c r="D1720" s="41">
        <v>11</v>
      </c>
      <c r="E1720" s="41">
        <v>2485</v>
      </c>
      <c r="F1720" s="41" t="s">
        <v>7230</v>
      </c>
      <c r="G1720" s="41" t="s">
        <v>7230</v>
      </c>
      <c r="H1720" s="2043">
        <v>598147</v>
      </c>
      <c r="I1720" s="2043">
        <v>810500</v>
      </c>
      <c r="J1720">
        <v>1</v>
      </c>
      <c r="K1720" s="2043">
        <v>598147</v>
      </c>
      <c r="L1720" s="2043">
        <v>598147</v>
      </c>
      <c r="M1720">
        <v>599</v>
      </c>
      <c r="N1720">
        <v>0</v>
      </c>
    </row>
    <row r="1721" spans="1:14">
      <c r="A1721" t="s">
        <v>3094</v>
      </c>
      <c r="B1721" t="s">
        <v>1263</v>
      </c>
      <c r="C1721" t="s">
        <v>102</v>
      </c>
      <c r="D1721" s="41">
        <v>1</v>
      </c>
      <c r="E1721" s="41">
        <v>1817</v>
      </c>
      <c r="F1721" s="41" t="s">
        <v>4320</v>
      </c>
      <c r="G1721" s="41" t="s">
        <v>4320</v>
      </c>
      <c r="H1721" s="2043">
        <v>553750</v>
      </c>
      <c r="I1721" s="2043">
        <v>0</v>
      </c>
      <c r="J1721">
        <v>0</v>
      </c>
      <c r="L1721" s="2043">
        <v>0</v>
      </c>
      <c r="M1721">
        <v>599</v>
      </c>
      <c r="N1721">
        <v>0</v>
      </c>
    </row>
    <row r="1722" spans="1:14">
      <c r="A1722" t="s">
        <v>3094</v>
      </c>
      <c r="B1722" t="s">
        <v>1263</v>
      </c>
      <c r="C1722" t="s">
        <v>102</v>
      </c>
      <c r="D1722" s="41">
        <v>9</v>
      </c>
      <c r="E1722" s="41">
        <v>1818</v>
      </c>
      <c r="F1722" s="41" t="s">
        <v>4321</v>
      </c>
      <c r="G1722" s="41" t="s">
        <v>4321</v>
      </c>
      <c r="H1722" s="2043">
        <v>1954750</v>
      </c>
      <c r="I1722" s="2043">
        <v>1930250</v>
      </c>
      <c r="J1722">
        <v>0.59964069709609602</v>
      </c>
      <c r="K1722" s="2043">
        <v>1172147.65264859</v>
      </c>
      <c r="L1722" s="2043">
        <v>1172147.65264859</v>
      </c>
      <c r="M1722">
        <v>599</v>
      </c>
      <c r="N1722">
        <v>1</v>
      </c>
    </row>
    <row r="1723" spans="1:14">
      <c r="A1723" t="s">
        <v>3094</v>
      </c>
      <c r="B1723" t="s">
        <v>1263</v>
      </c>
      <c r="C1723" t="s">
        <v>102</v>
      </c>
      <c r="D1723" s="41">
        <v>9</v>
      </c>
      <c r="E1723" s="41">
        <v>1818</v>
      </c>
      <c r="F1723" s="41" t="s">
        <v>4321</v>
      </c>
      <c r="G1723" s="41" t="s">
        <v>5433</v>
      </c>
      <c r="H1723" s="2043">
        <v>1954750</v>
      </c>
      <c r="I1723" s="2043">
        <v>0</v>
      </c>
      <c r="J1723">
        <v>0</v>
      </c>
      <c r="K1723" s="2043">
        <v>0</v>
      </c>
      <c r="L1723" s="2043">
        <v>0</v>
      </c>
      <c r="M1723">
        <v>599</v>
      </c>
      <c r="N1723">
        <v>1</v>
      </c>
    </row>
    <row r="1724" spans="1:14">
      <c r="A1724" t="s">
        <v>3094</v>
      </c>
      <c r="B1724" t="s">
        <v>1263</v>
      </c>
      <c r="C1724" t="s">
        <v>102</v>
      </c>
      <c r="D1724" s="41">
        <v>9</v>
      </c>
      <c r="E1724" s="41">
        <v>1818</v>
      </c>
      <c r="F1724" s="41" t="s">
        <v>4321</v>
      </c>
      <c r="G1724" s="41" t="s">
        <v>7231</v>
      </c>
      <c r="H1724" s="2043">
        <v>1954750</v>
      </c>
      <c r="I1724" s="2043">
        <v>1169967</v>
      </c>
      <c r="J1724">
        <v>0.36345542155649702</v>
      </c>
      <c r="K1724" s="2043">
        <v>710464.48528756201</v>
      </c>
      <c r="L1724" s="2043">
        <v>710464.48528756201</v>
      </c>
      <c r="M1724">
        <v>599</v>
      </c>
      <c r="N1724">
        <v>1</v>
      </c>
    </row>
    <row r="1725" spans="1:14">
      <c r="A1725" t="s">
        <v>3094</v>
      </c>
      <c r="B1725" t="s">
        <v>1263</v>
      </c>
      <c r="C1725" t="s">
        <v>102</v>
      </c>
      <c r="D1725" s="41">
        <v>9</v>
      </c>
      <c r="E1725" s="41">
        <v>1818</v>
      </c>
      <c r="F1725" s="41" t="s">
        <v>4321</v>
      </c>
      <c r="G1725" s="41" t="s">
        <v>8573</v>
      </c>
      <c r="H1725" s="2043">
        <v>1954750</v>
      </c>
      <c r="I1725" s="2043">
        <v>118794</v>
      </c>
      <c r="J1725">
        <v>3.6903881347407602E-2</v>
      </c>
      <c r="K1725" s="2043">
        <v>72137.862063845096</v>
      </c>
      <c r="L1725" s="2043">
        <v>72137.862063845096</v>
      </c>
      <c r="M1725">
        <v>599</v>
      </c>
      <c r="N1725">
        <v>1</v>
      </c>
    </row>
    <row r="1726" spans="1:14">
      <c r="A1726" t="s">
        <v>3094</v>
      </c>
      <c r="B1726" t="s">
        <v>1263</v>
      </c>
      <c r="C1726" t="s">
        <v>102</v>
      </c>
      <c r="D1726" s="41">
        <v>10</v>
      </c>
      <c r="E1726" s="41">
        <v>1819</v>
      </c>
      <c r="F1726" s="41" t="s">
        <v>4322</v>
      </c>
      <c r="G1726" s="41" t="s">
        <v>4322</v>
      </c>
      <c r="H1726" s="2043">
        <v>2007613</v>
      </c>
      <c r="I1726" s="2043">
        <v>2792613</v>
      </c>
      <c r="J1726">
        <v>0.90820670175763796</v>
      </c>
      <c r="K1726" s="2043">
        <v>1823327.5811357601</v>
      </c>
      <c r="L1726" s="2043">
        <v>1823327.5811357601</v>
      </c>
      <c r="M1726">
        <v>599</v>
      </c>
      <c r="N1726">
        <v>1</v>
      </c>
    </row>
    <row r="1727" spans="1:14">
      <c r="A1727" t="s">
        <v>3094</v>
      </c>
      <c r="B1727" t="s">
        <v>1263</v>
      </c>
      <c r="C1727" t="s">
        <v>102</v>
      </c>
      <c r="D1727" s="41">
        <v>10</v>
      </c>
      <c r="E1727" s="41">
        <v>1819</v>
      </c>
      <c r="F1727" s="41" t="s">
        <v>4322</v>
      </c>
      <c r="G1727" s="41" t="s">
        <v>5433</v>
      </c>
      <c r="H1727" s="2043">
        <v>2007613</v>
      </c>
      <c r="I1727" s="2043">
        <v>0</v>
      </c>
      <c r="J1727">
        <v>0</v>
      </c>
      <c r="K1727" s="2043">
        <v>0</v>
      </c>
      <c r="L1727" s="2043">
        <v>0</v>
      </c>
      <c r="M1727">
        <v>599</v>
      </c>
      <c r="N1727">
        <v>1</v>
      </c>
    </row>
    <row r="1728" spans="1:14">
      <c r="A1728" t="s">
        <v>3094</v>
      </c>
      <c r="B1728" t="s">
        <v>1263</v>
      </c>
      <c r="C1728" t="s">
        <v>102</v>
      </c>
      <c r="D1728" s="41">
        <v>10</v>
      </c>
      <c r="E1728" s="41">
        <v>1819</v>
      </c>
      <c r="F1728" s="41" t="s">
        <v>4322</v>
      </c>
      <c r="G1728" s="41" t="s">
        <v>8573</v>
      </c>
      <c r="H1728" s="2043">
        <v>2007613</v>
      </c>
      <c r="I1728" s="2043">
        <v>282252</v>
      </c>
      <c r="J1728">
        <v>9.1793298242361904E-2</v>
      </c>
      <c r="K1728" s="2043">
        <v>184285.41886424299</v>
      </c>
      <c r="L1728" s="2043">
        <v>184285.41886424299</v>
      </c>
      <c r="M1728">
        <v>599</v>
      </c>
      <c r="N1728">
        <v>1</v>
      </c>
    </row>
    <row r="1729" spans="1:14">
      <c r="A1729" t="s">
        <v>3094</v>
      </c>
      <c r="B1729" t="s">
        <v>1263</v>
      </c>
      <c r="C1729" t="s">
        <v>102</v>
      </c>
      <c r="D1729" s="41">
        <v>10</v>
      </c>
      <c r="E1729" s="41">
        <v>1816</v>
      </c>
      <c r="F1729" s="41" t="s">
        <v>4323</v>
      </c>
      <c r="G1729" s="41" t="s">
        <v>4323</v>
      </c>
      <c r="H1729" s="2043">
        <v>497282</v>
      </c>
      <c r="I1729" s="2043">
        <v>400162</v>
      </c>
      <c r="J1729">
        <v>0.69484512094960804</v>
      </c>
      <c r="K1729" s="2043">
        <v>345533.971436063</v>
      </c>
      <c r="L1729" s="2043">
        <v>345533.971436063</v>
      </c>
      <c r="M1729">
        <v>599</v>
      </c>
      <c r="N1729">
        <v>1</v>
      </c>
    </row>
    <row r="1730" spans="1:14">
      <c r="A1730" t="s">
        <v>3094</v>
      </c>
      <c r="B1730" t="s">
        <v>1263</v>
      </c>
      <c r="C1730" t="s">
        <v>102</v>
      </c>
      <c r="D1730" s="41">
        <v>10</v>
      </c>
      <c r="E1730" s="41">
        <v>1816</v>
      </c>
      <c r="F1730" s="41" t="s">
        <v>4323</v>
      </c>
      <c r="G1730" s="41" t="s">
        <v>9370</v>
      </c>
      <c r="H1730" s="2043">
        <v>497282</v>
      </c>
      <c r="I1730" s="2043">
        <v>175739</v>
      </c>
      <c r="J1730">
        <v>0.30515487905039201</v>
      </c>
      <c r="K1730" s="2043">
        <v>151748.028563937</v>
      </c>
      <c r="L1730" s="2043">
        <v>151748.028563937</v>
      </c>
      <c r="M1730">
        <v>599</v>
      </c>
      <c r="N1730">
        <v>1</v>
      </c>
    </row>
    <row r="1731" spans="1:14">
      <c r="A1731" t="s">
        <v>3094</v>
      </c>
      <c r="B1731" t="s">
        <v>1263</v>
      </c>
      <c r="C1731" t="s">
        <v>102</v>
      </c>
      <c r="D1731" s="41">
        <v>11</v>
      </c>
      <c r="E1731" s="41">
        <v>2520</v>
      </c>
      <c r="F1731" s="41" t="s">
        <v>7232</v>
      </c>
      <c r="G1731" s="41" t="s">
        <v>7232</v>
      </c>
      <c r="H1731" s="2043">
        <v>175339</v>
      </c>
      <c r="I1731" s="2043">
        <v>753665</v>
      </c>
      <c r="J1731">
        <v>1</v>
      </c>
      <c r="K1731" s="2043">
        <v>175339</v>
      </c>
      <c r="L1731" s="2043">
        <v>175339</v>
      </c>
      <c r="M1731">
        <v>599</v>
      </c>
      <c r="N1731">
        <v>1</v>
      </c>
    </row>
    <row r="1732" spans="1:14">
      <c r="A1732" t="s">
        <v>3094</v>
      </c>
      <c r="B1732" t="s">
        <v>1263</v>
      </c>
      <c r="C1732" t="s">
        <v>102</v>
      </c>
      <c r="D1732" s="41">
        <v>11</v>
      </c>
      <c r="E1732" s="41">
        <v>2520</v>
      </c>
      <c r="F1732" s="41" t="s">
        <v>7232</v>
      </c>
      <c r="G1732" s="41" t="s">
        <v>7233</v>
      </c>
      <c r="H1732" s="2043">
        <v>175339</v>
      </c>
      <c r="I1732" s="2043">
        <v>0</v>
      </c>
      <c r="J1732">
        <v>0</v>
      </c>
      <c r="K1732" s="2043">
        <v>0</v>
      </c>
      <c r="L1732" s="2043">
        <v>0</v>
      </c>
      <c r="M1732">
        <v>599</v>
      </c>
      <c r="N1732">
        <v>1</v>
      </c>
    </row>
    <row r="1733" spans="1:14">
      <c r="A1733" t="s">
        <v>3094</v>
      </c>
      <c r="B1733" t="s">
        <v>1263</v>
      </c>
      <c r="C1733" t="s">
        <v>102</v>
      </c>
      <c r="D1733" s="41">
        <v>11</v>
      </c>
      <c r="E1733" s="41">
        <v>2520</v>
      </c>
      <c r="F1733" s="41" t="s">
        <v>7232</v>
      </c>
      <c r="G1733" s="41" t="s">
        <v>7234</v>
      </c>
      <c r="H1733" s="2043">
        <v>175339</v>
      </c>
      <c r="I1733" s="2043">
        <v>0</v>
      </c>
      <c r="J1733">
        <v>0</v>
      </c>
      <c r="K1733" s="2043">
        <v>0</v>
      </c>
      <c r="L1733" s="2043">
        <v>0</v>
      </c>
      <c r="M1733">
        <v>599</v>
      </c>
      <c r="N1733">
        <v>1</v>
      </c>
    </row>
    <row r="1734" spans="1:14">
      <c r="A1734" t="s">
        <v>3094</v>
      </c>
      <c r="B1734" t="s">
        <v>1263</v>
      </c>
      <c r="C1734" t="s">
        <v>102</v>
      </c>
      <c r="D1734" s="41">
        <v>11</v>
      </c>
      <c r="E1734" s="41">
        <v>2520</v>
      </c>
      <c r="F1734" s="41" t="s">
        <v>7232</v>
      </c>
      <c r="G1734" s="41" t="s">
        <v>7235</v>
      </c>
      <c r="H1734" s="2043">
        <v>175339</v>
      </c>
      <c r="I1734" s="2043">
        <v>0</v>
      </c>
      <c r="J1734">
        <v>0</v>
      </c>
      <c r="K1734" s="2043">
        <v>0</v>
      </c>
      <c r="L1734" s="2043">
        <v>0</v>
      </c>
      <c r="M1734">
        <v>599</v>
      </c>
      <c r="N1734">
        <v>1</v>
      </c>
    </row>
    <row r="1735" spans="1:14">
      <c r="A1735" t="s">
        <v>3094</v>
      </c>
      <c r="B1735" t="s">
        <v>1263</v>
      </c>
      <c r="C1735" t="s">
        <v>102</v>
      </c>
      <c r="D1735" s="41">
        <v>11</v>
      </c>
      <c r="E1735" s="41">
        <v>2520</v>
      </c>
      <c r="F1735" s="41" t="s">
        <v>7232</v>
      </c>
      <c r="G1735" s="41" t="s">
        <v>7236</v>
      </c>
      <c r="H1735" s="2043">
        <v>175339</v>
      </c>
      <c r="I1735" s="2043">
        <v>0</v>
      </c>
      <c r="J1735">
        <v>0</v>
      </c>
      <c r="K1735" s="2043">
        <v>0</v>
      </c>
      <c r="L1735" s="2043">
        <v>0</v>
      </c>
      <c r="M1735">
        <v>599</v>
      </c>
      <c r="N1735">
        <v>1</v>
      </c>
    </row>
    <row r="1736" spans="1:14">
      <c r="A1736" t="s">
        <v>3094</v>
      </c>
      <c r="B1736" t="s">
        <v>1263</v>
      </c>
      <c r="C1736" t="s">
        <v>102</v>
      </c>
      <c r="D1736" s="41">
        <v>11</v>
      </c>
      <c r="E1736" s="41">
        <v>2521</v>
      </c>
      <c r="F1736" s="41" t="s">
        <v>7237</v>
      </c>
      <c r="G1736" s="41" t="s">
        <v>7237</v>
      </c>
      <c r="H1736" s="2043">
        <v>248004</v>
      </c>
      <c r="I1736" s="2043">
        <v>700307</v>
      </c>
      <c r="J1736">
        <v>1</v>
      </c>
      <c r="K1736" s="2043">
        <v>248004</v>
      </c>
      <c r="L1736" s="2043">
        <v>248004</v>
      </c>
      <c r="M1736">
        <v>599</v>
      </c>
      <c r="N1736">
        <v>1</v>
      </c>
    </row>
    <row r="1737" spans="1:14">
      <c r="A1737" t="s">
        <v>3095</v>
      </c>
      <c r="B1737" t="s">
        <v>47</v>
      </c>
      <c r="C1737" t="s">
        <v>389</v>
      </c>
      <c r="D1737" s="41">
        <v>3</v>
      </c>
      <c r="E1737" s="41">
        <v>1947</v>
      </c>
      <c r="F1737" s="41" t="s">
        <v>4324</v>
      </c>
      <c r="G1737" s="41" t="s">
        <v>4324</v>
      </c>
      <c r="H1737" s="2043">
        <v>709521</v>
      </c>
      <c r="I1737" s="2043">
        <v>0</v>
      </c>
      <c r="J1737">
        <v>0</v>
      </c>
      <c r="L1737" s="2043">
        <v>0</v>
      </c>
      <c r="M1737">
        <v>199</v>
      </c>
      <c r="N1737">
        <v>0</v>
      </c>
    </row>
    <row r="1738" spans="1:14">
      <c r="A1738" t="s">
        <v>3095</v>
      </c>
      <c r="B1738" t="s">
        <v>47</v>
      </c>
      <c r="C1738" t="s">
        <v>389</v>
      </c>
      <c r="D1738" s="41">
        <v>6</v>
      </c>
      <c r="E1738" s="41">
        <v>1948</v>
      </c>
      <c r="F1738" s="41" t="s">
        <v>4325</v>
      </c>
      <c r="G1738" s="41" t="s">
        <v>4325</v>
      </c>
      <c r="H1738" s="2043">
        <v>812500</v>
      </c>
      <c r="I1738" s="2043">
        <v>0</v>
      </c>
      <c r="J1738">
        <v>0</v>
      </c>
      <c r="K1738" s="2043">
        <v>0</v>
      </c>
      <c r="L1738" s="2043">
        <v>0</v>
      </c>
      <c r="M1738">
        <v>599</v>
      </c>
      <c r="N1738">
        <v>1</v>
      </c>
    </row>
    <row r="1739" spans="1:14">
      <c r="A1739" t="s">
        <v>3095</v>
      </c>
      <c r="B1739" t="s">
        <v>47</v>
      </c>
      <c r="C1739" t="s">
        <v>389</v>
      </c>
      <c r="D1739" s="41">
        <v>6</v>
      </c>
      <c r="E1739" s="41">
        <v>1948</v>
      </c>
      <c r="F1739" s="41" t="s">
        <v>4325</v>
      </c>
      <c r="G1739" s="41" t="s">
        <v>4326</v>
      </c>
      <c r="H1739" s="2043">
        <v>812500</v>
      </c>
      <c r="I1739" s="2043">
        <v>0</v>
      </c>
      <c r="J1739">
        <v>0</v>
      </c>
      <c r="K1739" s="2043">
        <v>0</v>
      </c>
      <c r="L1739" s="2043">
        <v>0</v>
      </c>
      <c r="M1739">
        <v>599</v>
      </c>
      <c r="N1739">
        <v>1</v>
      </c>
    </row>
    <row r="1740" spans="1:14">
      <c r="A1740" t="s">
        <v>3095</v>
      </c>
      <c r="B1740" t="s">
        <v>47</v>
      </c>
      <c r="C1740" t="s">
        <v>389</v>
      </c>
      <c r="D1740" s="41">
        <v>6</v>
      </c>
      <c r="E1740" s="41">
        <v>1948</v>
      </c>
      <c r="F1740" s="41" t="s">
        <v>4325</v>
      </c>
      <c r="G1740" s="41" t="s">
        <v>5434</v>
      </c>
      <c r="H1740" s="2043">
        <v>812500</v>
      </c>
      <c r="I1740" s="2043">
        <v>68333</v>
      </c>
      <c r="J1740">
        <v>4.8081604967112002E-2</v>
      </c>
      <c r="K1740" s="2043">
        <v>39066.304035778499</v>
      </c>
      <c r="L1740" s="2043">
        <v>39066.304035778499</v>
      </c>
      <c r="M1740">
        <v>599</v>
      </c>
      <c r="N1740">
        <v>1</v>
      </c>
    </row>
    <row r="1741" spans="1:14">
      <c r="A1741" t="s">
        <v>3095</v>
      </c>
      <c r="B1741" t="s">
        <v>47</v>
      </c>
      <c r="C1741" t="s">
        <v>389</v>
      </c>
      <c r="D1741" s="41">
        <v>6</v>
      </c>
      <c r="E1741" s="41">
        <v>1948</v>
      </c>
      <c r="F1741" s="41" t="s">
        <v>4325</v>
      </c>
      <c r="G1741" s="41" t="s">
        <v>5615</v>
      </c>
      <c r="H1741" s="2043">
        <v>812500</v>
      </c>
      <c r="I1741" s="2043">
        <v>1352855</v>
      </c>
      <c r="J1741">
        <v>0.951918395032888</v>
      </c>
      <c r="K1741" s="2043">
        <v>773433.69596422103</v>
      </c>
      <c r="L1741" s="2043">
        <v>773433.69596422103</v>
      </c>
      <c r="M1741">
        <v>599</v>
      </c>
      <c r="N1741">
        <v>1</v>
      </c>
    </row>
    <row r="1742" spans="1:14">
      <c r="A1742" t="s">
        <v>3095</v>
      </c>
      <c r="B1742" t="s">
        <v>47</v>
      </c>
      <c r="C1742" t="s">
        <v>389</v>
      </c>
      <c r="D1742" s="41">
        <v>11</v>
      </c>
      <c r="E1742" s="41">
        <v>2488</v>
      </c>
      <c r="F1742" s="41" t="s">
        <v>5615</v>
      </c>
      <c r="G1742" s="41" t="s">
        <v>5615</v>
      </c>
      <c r="H1742" s="2043">
        <v>895315</v>
      </c>
      <c r="I1742" s="2043">
        <v>1588792</v>
      </c>
      <c r="J1742">
        <v>1</v>
      </c>
      <c r="K1742" s="2043">
        <v>895315</v>
      </c>
      <c r="L1742" s="2043">
        <v>895315</v>
      </c>
      <c r="M1742">
        <v>599</v>
      </c>
      <c r="N1742">
        <v>1</v>
      </c>
    </row>
    <row r="1743" spans="1:14">
      <c r="A1743" t="s">
        <v>3096</v>
      </c>
      <c r="B1743" t="s">
        <v>49</v>
      </c>
      <c r="C1743" t="s">
        <v>391</v>
      </c>
      <c r="D1743" s="41">
        <v>3</v>
      </c>
      <c r="E1743" s="41">
        <v>1953</v>
      </c>
      <c r="F1743" s="41" t="s">
        <v>4327</v>
      </c>
      <c r="G1743" s="41" t="s">
        <v>4327</v>
      </c>
      <c r="H1743" s="2043">
        <v>438984</v>
      </c>
      <c r="I1743" s="2043">
        <v>0</v>
      </c>
      <c r="J1743">
        <v>0</v>
      </c>
      <c r="L1743" s="2043">
        <v>0</v>
      </c>
      <c r="M1743">
        <v>599</v>
      </c>
      <c r="N1743">
        <v>0</v>
      </c>
    </row>
    <row r="1744" spans="1:14">
      <c r="A1744" t="s">
        <v>3096</v>
      </c>
      <c r="B1744" t="s">
        <v>49</v>
      </c>
      <c r="C1744" t="s">
        <v>391</v>
      </c>
      <c r="D1744" s="41">
        <v>9</v>
      </c>
      <c r="E1744" s="41">
        <v>1952</v>
      </c>
      <c r="F1744" s="41" t="s">
        <v>4328</v>
      </c>
      <c r="G1744" s="41" t="s">
        <v>4328</v>
      </c>
      <c r="H1744" s="2043">
        <v>395867</v>
      </c>
      <c r="I1744" s="2043">
        <v>0</v>
      </c>
      <c r="J1744">
        <v>0</v>
      </c>
      <c r="K1744" s="2043">
        <v>0</v>
      </c>
      <c r="L1744" s="2043">
        <v>0</v>
      </c>
      <c r="M1744">
        <v>599</v>
      </c>
      <c r="N1744">
        <v>1</v>
      </c>
    </row>
    <row r="1745" spans="1:14">
      <c r="A1745" t="s">
        <v>3096</v>
      </c>
      <c r="B1745" t="s">
        <v>49</v>
      </c>
      <c r="C1745" t="s">
        <v>391</v>
      </c>
      <c r="D1745" s="41">
        <v>9</v>
      </c>
      <c r="E1745" s="41">
        <v>1952</v>
      </c>
      <c r="F1745" s="41" t="s">
        <v>4328</v>
      </c>
      <c r="G1745" s="41" t="s">
        <v>5436</v>
      </c>
      <c r="H1745" s="2043">
        <v>395867</v>
      </c>
      <c r="I1745" s="2043">
        <v>371374</v>
      </c>
      <c r="J1745">
        <v>0.21762409807716801</v>
      </c>
      <c r="K1745" s="2043">
        <v>86150.198833514107</v>
      </c>
      <c r="L1745" s="2043">
        <v>86150.198833514107</v>
      </c>
      <c r="M1745">
        <v>599</v>
      </c>
      <c r="N1745">
        <v>1</v>
      </c>
    </row>
    <row r="1746" spans="1:14">
      <c r="A1746" t="s">
        <v>3096</v>
      </c>
      <c r="B1746" t="s">
        <v>49</v>
      </c>
      <c r="C1746" t="s">
        <v>391</v>
      </c>
      <c r="D1746" s="41">
        <v>9</v>
      </c>
      <c r="E1746" s="41">
        <v>1952</v>
      </c>
      <c r="F1746" s="41" t="s">
        <v>4328</v>
      </c>
      <c r="G1746" s="41" t="s">
        <v>5435</v>
      </c>
      <c r="H1746" s="2043">
        <v>395867</v>
      </c>
      <c r="I1746" s="2043">
        <v>311891</v>
      </c>
      <c r="J1746">
        <v>0.18276723080610399</v>
      </c>
      <c r="K1746" s="2043">
        <v>72351.515357519806</v>
      </c>
      <c r="L1746" s="2043">
        <v>72351.515357519806</v>
      </c>
      <c r="M1746">
        <v>599</v>
      </c>
      <c r="N1746">
        <v>1</v>
      </c>
    </row>
    <row r="1747" spans="1:14">
      <c r="A1747" t="s">
        <v>3096</v>
      </c>
      <c r="B1747" t="s">
        <v>49</v>
      </c>
      <c r="C1747" t="s">
        <v>391</v>
      </c>
      <c r="D1747" s="41">
        <v>9</v>
      </c>
      <c r="E1747" s="41">
        <v>1952</v>
      </c>
      <c r="F1747" s="41" t="s">
        <v>4328</v>
      </c>
      <c r="G1747" s="41" t="s">
        <v>5616</v>
      </c>
      <c r="H1747" s="2043">
        <v>395867</v>
      </c>
      <c r="I1747" s="2043">
        <v>1023228</v>
      </c>
      <c r="J1747">
        <v>0.599608671116729</v>
      </c>
      <c r="K1747" s="2043">
        <v>237365.285808966</v>
      </c>
      <c r="L1747" s="2043">
        <v>237365.285808966</v>
      </c>
      <c r="M1747">
        <v>599</v>
      </c>
      <c r="N1747">
        <v>1</v>
      </c>
    </row>
    <row r="1748" spans="1:14">
      <c r="A1748" t="s">
        <v>3097</v>
      </c>
      <c r="B1748" t="s">
        <v>466</v>
      </c>
      <c r="C1748" t="s">
        <v>1174</v>
      </c>
      <c r="D1748" s="41">
        <v>2</v>
      </c>
      <c r="E1748" s="41">
        <v>2321</v>
      </c>
      <c r="F1748" s="41" t="s">
        <v>4329</v>
      </c>
      <c r="G1748" s="41" t="s">
        <v>4329</v>
      </c>
      <c r="H1748" s="2043">
        <v>170846</v>
      </c>
      <c r="I1748" s="2043">
        <v>0</v>
      </c>
      <c r="J1748">
        <v>0</v>
      </c>
      <c r="L1748" s="2043">
        <v>0</v>
      </c>
      <c r="M1748">
        <v>199</v>
      </c>
      <c r="N1748">
        <v>0</v>
      </c>
    </row>
    <row r="1749" spans="1:14">
      <c r="A1749" t="s">
        <v>3097</v>
      </c>
      <c r="B1749" t="s">
        <v>466</v>
      </c>
      <c r="C1749" t="s">
        <v>1174</v>
      </c>
      <c r="D1749" s="41">
        <v>6</v>
      </c>
      <c r="E1749" s="41">
        <v>2322</v>
      </c>
      <c r="F1749" s="41" t="s">
        <v>4330</v>
      </c>
      <c r="G1749" s="41" t="s">
        <v>4330</v>
      </c>
      <c r="H1749" s="2043">
        <v>186248</v>
      </c>
      <c r="I1749" s="2043">
        <v>0</v>
      </c>
      <c r="J1749">
        <v>0</v>
      </c>
      <c r="K1749" s="2043">
        <v>0</v>
      </c>
      <c r="L1749" s="2043">
        <v>0</v>
      </c>
      <c r="M1749">
        <v>599</v>
      </c>
      <c r="N1749">
        <v>1</v>
      </c>
    </row>
    <row r="1750" spans="1:14">
      <c r="A1750" t="s">
        <v>3097</v>
      </c>
      <c r="B1750" t="s">
        <v>466</v>
      </c>
      <c r="C1750" t="s">
        <v>1174</v>
      </c>
      <c r="D1750" s="41">
        <v>6</v>
      </c>
      <c r="E1750" s="41">
        <v>2322</v>
      </c>
      <c r="F1750" s="41" t="s">
        <v>4330</v>
      </c>
      <c r="G1750" s="41" t="s">
        <v>4331</v>
      </c>
      <c r="H1750" s="2043">
        <v>186248</v>
      </c>
      <c r="I1750" s="2043">
        <v>0</v>
      </c>
      <c r="J1750">
        <v>0</v>
      </c>
      <c r="K1750" s="2043">
        <v>0</v>
      </c>
      <c r="L1750" s="2043">
        <v>0</v>
      </c>
      <c r="M1750">
        <v>599</v>
      </c>
      <c r="N1750">
        <v>1</v>
      </c>
    </row>
    <row r="1751" spans="1:14">
      <c r="A1751" t="s">
        <v>3097</v>
      </c>
      <c r="B1751" t="s">
        <v>466</v>
      </c>
      <c r="C1751" t="s">
        <v>1174</v>
      </c>
      <c r="D1751" s="41">
        <v>6</v>
      </c>
      <c r="E1751" s="41">
        <v>2322</v>
      </c>
      <c r="F1751" s="41" t="s">
        <v>4330</v>
      </c>
      <c r="G1751" s="41" t="s">
        <v>4332</v>
      </c>
      <c r="H1751" s="2043">
        <v>186248</v>
      </c>
      <c r="I1751" s="2043">
        <v>36173</v>
      </c>
      <c r="J1751">
        <v>7.0401921344006593E-2</v>
      </c>
      <c r="K1751" s="2043">
        <v>13112.217046478499</v>
      </c>
      <c r="L1751" s="2043">
        <v>13112.217046478499</v>
      </c>
      <c r="M1751">
        <v>599</v>
      </c>
      <c r="N1751">
        <v>1</v>
      </c>
    </row>
    <row r="1752" spans="1:14">
      <c r="A1752" t="s">
        <v>3097</v>
      </c>
      <c r="B1752" t="s">
        <v>466</v>
      </c>
      <c r="C1752" t="s">
        <v>1174</v>
      </c>
      <c r="D1752" s="41">
        <v>6</v>
      </c>
      <c r="E1752" s="41">
        <v>2322</v>
      </c>
      <c r="F1752" s="41" t="s">
        <v>4330</v>
      </c>
      <c r="G1752" s="41" t="s">
        <v>7238</v>
      </c>
      <c r="H1752" s="2043">
        <v>186248</v>
      </c>
      <c r="I1752" s="2043">
        <v>477634</v>
      </c>
      <c r="J1752">
        <v>0.92959807865599298</v>
      </c>
      <c r="K1752" s="2043">
        <v>173135.782953521</v>
      </c>
      <c r="L1752" s="2043">
        <v>173135.782953521</v>
      </c>
      <c r="M1752">
        <v>599</v>
      </c>
      <c r="N1752">
        <v>1</v>
      </c>
    </row>
    <row r="1753" spans="1:14">
      <c r="A1753" t="s">
        <v>3098</v>
      </c>
      <c r="B1753" t="s">
        <v>1451</v>
      </c>
      <c r="C1753" t="s">
        <v>618</v>
      </c>
      <c r="D1753" s="41">
        <v>6</v>
      </c>
      <c r="E1753" s="41">
        <v>1674</v>
      </c>
      <c r="F1753" s="41" t="s">
        <v>4333</v>
      </c>
      <c r="G1753" s="41" t="s">
        <v>4333</v>
      </c>
      <c r="H1753" s="2043">
        <v>140055</v>
      </c>
      <c r="I1753" s="2043">
        <v>0</v>
      </c>
      <c r="J1753">
        <v>0</v>
      </c>
      <c r="K1753" s="2043">
        <v>0</v>
      </c>
      <c r="L1753" s="2043">
        <v>0</v>
      </c>
      <c r="M1753">
        <v>599</v>
      </c>
      <c r="N1753">
        <v>0</v>
      </c>
    </row>
    <row r="1754" spans="1:14">
      <c r="A1754" t="s">
        <v>3098</v>
      </c>
      <c r="B1754" t="s">
        <v>1451</v>
      </c>
      <c r="C1754" t="s">
        <v>618</v>
      </c>
      <c r="D1754" s="41">
        <v>6</v>
      </c>
      <c r="E1754" s="41">
        <v>1674</v>
      </c>
      <c r="F1754" s="41" t="s">
        <v>4333</v>
      </c>
      <c r="G1754" s="41" t="s">
        <v>4334</v>
      </c>
      <c r="H1754" s="2043">
        <v>140055</v>
      </c>
      <c r="I1754" s="2043">
        <v>15212</v>
      </c>
      <c r="J1754">
        <v>1</v>
      </c>
      <c r="K1754" s="2043">
        <v>140055</v>
      </c>
      <c r="L1754" s="2043">
        <v>15212</v>
      </c>
      <c r="M1754">
        <v>599</v>
      </c>
      <c r="N1754">
        <v>1</v>
      </c>
    </row>
    <row r="1755" spans="1:14">
      <c r="A1755" t="s">
        <v>3099</v>
      </c>
      <c r="B1755" t="s">
        <v>2372</v>
      </c>
      <c r="C1755" t="s">
        <v>1903</v>
      </c>
      <c r="D1755" s="41">
        <v>6</v>
      </c>
      <c r="E1755" s="41">
        <v>1961</v>
      </c>
      <c r="F1755" s="41" t="s">
        <v>4335</v>
      </c>
      <c r="G1755" s="41" t="s">
        <v>4335</v>
      </c>
      <c r="H1755" s="2043">
        <v>1060285</v>
      </c>
      <c r="I1755" s="2043">
        <v>0</v>
      </c>
      <c r="J1755">
        <v>0</v>
      </c>
      <c r="K1755" s="2043">
        <v>0</v>
      </c>
      <c r="L1755" s="2043">
        <v>0</v>
      </c>
      <c r="M1755">
        <v>599</v>
      </c>
      <c r="N1755">
        <v>0</v>
      </c>
    </row>
    <row r="1756" spans="1:14">
      <c r="A1756" t="s">
        <v>3099</v>
      </c>
      <c r="B1756" t="s">
        <v>2372</v>
      </c>
      <c r="C1756" t="s">
        <v>1903</v>
      </c>
      <c r="D1756" s="41">
        <v>6</v>
      </c>
      <c r="E1756" s="41">
        <v>1961</v>
      </c>
      <c r="F1756" s="41" t="s">
        <v>4335</v>
      </c>
      <c r="G1756" s="41" t="s">
        <v>4336</v>
      </c>
      <c r="H1756" s="2043">
        <v>1060285</v>
      </c>
      <c r="I1756" s="2043">
        <v>0</v>
      </c>
      <c r="J1756">
        <v>0</v>
      </c>
      <c r="K1756" s="2043">
        <v>0</v>
      </c>
      <c r="L1756" s="2043">
        <v>0</v>
      </c>
      <c r="M1756">
        <v>599</v>
      </c>
      <c r="N1756">
        <v>1</v>
      </c>
    </row>
    <row r="1757" spans="1:14">
      <c r="A1757" t="s">
        <v>3099</v>
      </c>
      <c r="B1757" t="s">
        <v>2372</v>
      </c>
      <c r="C1757" t="s">
        <v>1903</v>
      </c>
      <c r="D1757" s="41">
        <v>6</v>
      </c>
      <c r="E1757" s="41">
        <v>1961</v>
      </c>
      <c r="F1757" s="41" t="s">
        <v>4335</v>
      </c>
      <c r="G1757" s="41" t="s">
        <v>4337</v>
      </c>
      <c r="H1757" s="2043">
        <v>1060285</v>
      </c>
      <c r="I1757" s="2043">
        <v>0</v>
      </c>
      <c r="J1757">
        <v>0</v>
      </c>
      <c r="K1757" s="2043">
        <v>0</v>
      </c>
      <c r="L1757" s="2043">
        <v>0</v>
      </c>
      <c r="M1757">
        <v>599</v>
      </c>
      <c r="N1757">
        <v>1</v>
      </c>
    </row>
    <row r="1758" spans="1:14">
      <c r="A1758" t="s">
        <v>3099</v>
      </c>
      <c r="B1758" t="s">
        <v>2372</v>
      </c>
      <c r="C1758" t="s">
        <v>1903</v>
      </c>
      <c r="D1758" s="41">
        <v>6</v>
      </c>
      <c r="E1758" s="41">
        <v>1961</v>
      </c>
      <c r="F1758" s="41" t="s">
        <v>4335</v>
      </c>
      <c r="G1758" s="41" t="s">
        <v>5617</v>
      </c>
      <c r="H1758" s="2043">
        <v>1060285</v>
      </c>
      <c r="I1758" s="2043">
        <v>906175</v>
      </c>
      <c r="J1758">
        <v>0.75936855530797498</v>
      </c>
      <c r="K1758" s="2043">
        <v>805147.08866471599</v>
      </c>
      <c r="L1758" s="2043">
        <v>805147.08866471599</v>
      </c>
      <c r="M1758">
        <v>599</v>
      </c>
      <c r="N1758">
        <v>1</v>
      </c>
    </row>
    <row r="1759" spans="1:14">
      <c r="A1759" t="s">
        <v>3099</v>
      </c>
      <c r="B1759" t="s">
        <v>2372</v>
      </c>
      <c r="C1759" t="s">
        <v>1903</v>
      </c>
      <c r="D1759" s="41">
        <v>6</v>
      </c>
      <c r="E1759" s="41">
        <v>1961</v>
      </c>
      <c r="F1759" s="41" t="s">
        <v>4335</v>
      </c>
      <c r="G1759" s="41" t="s">
        <v>8638</v>
      </c>
      <c r="H1759" s="2043">
        <v>1060285</v>
      </c>
      <c r="I1759" s="2043">
        <v>287152</v>
      </c>
      <c r="J1759">
        <v>0.24063144469202499</v>
      </c>
      <c r="K1759" s="2043">
        <v>255137.91133528401</v>
      </c>
      <c r="L1759" s="2043">
        <v>255137.91133528401</v>
      </c>
      <c r="M1759">
        <v>599</v>
      </c>
      <c r="N1759">
        <v>1</v>
      </c>
    </row>
    <row r="1760" spans="1:14">
      <c r="A1760" t="s">
        <v>3099</v>
      </c>
      <c r="B1760" t="s">
        <v>2372</v>
      </c>
      <c r="C1760" t="s">
        <v>1903</v>
      </c>
      <c r="D1760" s="41">
        <v>9</v>
      </c>
      <c r="E1760" s="41">
        <v>1960</v>
      </c>
      <c r="F1760" s="41" t="s">
        <v>4338</v>
      </c>
      <c r="G1760" s="41" t="s">
        <v>4338</v>
      </c>
      <c r="H1760" s="2043">
        <v>889358</v>
      </c>
      <c r="I1760" s="2043">
        <v>0</v>
      </c>
      <c r="J1760">
        <v>0</v>
      </c>
      <c r="K1760" s="2043">
        <v>0</v>
      </c>
      <c r="L1760" s="2043">
        <v>0</v>
      </c>
      <c r="M1760">
        <v>599</v>
      </c>
      <c r="N1760">
        <v>1</v>
      </c>
    </row>
    <row r="1761" spans="1:14">
      <c r="A1761" t="s">
        <v>3099</v>
      </c>
      <c r="B1761" t="s">
        <v>2372</v>
      </c>
      <c r="C1761" t="s">
        <v>1903</v>
      </c>
      <c r="D1761" s="41">
        <v>9</v>
      </c>
      <c r="E1761" s="41">
        <v>1960</v>
      </c>
      <c r="F1761" s="41" t="s">
        <v>4338</v>
      </c>
      <c r="G1761" s="41" t="s">
        <v>5438</v>
      </c>
      <c r="H1761" s="2043">
        <v>889358</v>
      </c>
      <c r="I1761" s="2043">
        <v>350800</v>
      </c>
      <c r="J1761">
        <v>0.25595563824741902</v>
      </c>
      <c r="K1761" s="2043">
        <v>227636.19452044801</v>
      </c>
      <c r="L1761" s="2043">
        <v>227636.19452044801</v>
      </c>
      <c r="M1761">
        <v>599</v>
      </c>
      <c r="N1761">
        <v>1</v>
      </c>
    </row>
    <row r="1762" spans="1:14">
      <c r="A1762" t="s">
        <v>3099</v>
      </c>
      <c r="B1762" t="s">
        <v>2372</v>
      </c>
      <c r="C1762" t="s">
        <v>1903</v>
      </c>
      <c r="D1762" s="41">
        <v>9</v>
      </c>
      <c r="E1762" s="41">
        <v>1960</v>
      </c>
      <c r="F1762" s="41" t="s">
        <v>4338</v>
      </c>
      <c r="G1762" s="41" t="s">
        <v>5437</v>
      </c>
      <c r="H1762" s="2043">
        <v>889358</v>
      </c>
      <c r="I1762" s="2043">
        <v>303475</v>
      </c>
      <c r="J1762">
        <v>0.22142570500893799</v>
      </c>
      <c r="K1762" s="2043">
        <v>196926.722155339</v>
      </c>
      <c r="L1762" s="2043">
        <v>196926.722155339</v>
      </c>
      <c r="M1762">
        <v>599</v>
      </c>
      <c r="N1762">
        <v>1</v>
      </c>
    </row>
    <row r="1763" spans="1:14">
      <c r="A1763" t="s">
        <v>3099</v>
      </c>
      <c r="B1763" t="s">
        <v>2372</v>
      </c>
      <c r="C1763" t="s">
        <v>1903</v>
      </c>
      <c r="D1763" s="41">
        <v>9</v>
      </c>
      <c r="E1763" s="41">
        <v>1960</v>
      </c>
      <c r="F1763" s="41" t="s">
        <v>4338</v>
      </c>
      <c r="G1763" s="41" t="s">
        <v>5617</v>
      </c>
      <c r="H1763" s="2043">
        <v>889358</v>
      </c>
      <c r="I1763" s="2043">
        <v>716275</v>
      </c>
      <c r="J1763">
        <v>0.52261865674364305</v>
      </c>
      <c r="K1763" s="2043">
        <v>464795.08332421299</v>
      </c>
      <c r="L1763" s="2043">
        <v>464795.08332421299</v>
      </c>
      <c r="M1763">
        <v>599</v>
      </c>
      <c r="N1763">
        <v>1</v>
      </c>
    </row>
    <row r="1764" spans="1:14">
      <c r="A1764" t="s">
        <v>3099</v>
      </c>
      <c r="B1764" t="s">
        <v>2372</v>
      </c>
      <c r="C1764" t="s">
        <v>1903</v>
      </c>
      <c r="D1764" s="41">
        <v>9</v>
      </c>
      <c r="E1764" s="41">
        <v>1960</v>
      </c>
      <c r="F1764" s="41" t="s">
        <v>4338</v>
      </c>
      <c r="G1764" s="41" t="s">
        <v>7239</v>
      </c>
      <c r="H1764" s="2043">
        <v>889358</v>
      </c>
      <c r="I1764" s="2043">
        <v>0</v>
      </c>
      <c r="J1764">
        <v>0</v>
      </c>
      <c r="K1764" s="2043">
        <v>0</v>
      </c>
      <c r="L1764" s="2043">
        <v>0</v>
      </c>
      <c r="M1764">
        <v>599</v>
      </c>
      <c r="N1764">
        <v>1</v>
      </c>
    </row>
    <row r="1765" spans="1:14">
      <c r="A1765" t="s">
        <v>3099</v>
      </c>
      <c r="B1765" t="s">
        <v>2372</v>
      </c>
      <c r="C1765" t="s">
        <v>1903</v>
      </c>
      <c r="D1765" s="41">
        <v>10</v>
      </c>
      <c r="E1765" s="41">
        <v>1959</v>
      </c>
      <c r="F1765" s="41" t="s">
        <v>4339</v>
      </c>
      <c r="G1765" s="41" t="s">
        <v>4339</v>
      </c>
      <c r="H1765" s="2043">
        <v>861411</v>
      </c>
      <c r="I1765" s="2043">
        <v>0</v>
      </c>
      <c r="J1765">
        <v>0</v>
      </c>
      <c r="K1765" s="2043">
        <v>0</v>
      </c>
      <c r="L1765" s="2043">
        <v>0</v>
      </c>
      <c r="M1765">
        <v>599</v>
      </c>
      <c r="N1765">
        <v>1</v>
      </c>
    </row>
    <row r="1766" spans="1:14">
      <c r="A1766" t="s">
        <v>3099</v>
      </c>
      <c r="B1766" t="s">
        <v>2372</v>
      </c>
      <c r="C1766" t="s">
        <v>1903</v>
      </c>
      <c r="D1766" s="41">
        <v>10</v>
      </c>
      <c r="E1766" s="41">
        <v>1959</v>
      </c>
      <c r="F1766" s="41" t="s">
        <v>4339</v>
      </c>
      <c r="G1766" s="41" t="s">
        <v>7239</v>
      </c>
      <c r="H1766" s="2043">
        <v>861411</v>
      </c>
      <c r="I1766" s="2043">
        <v>61200</v>
      </c>
      <c r="J1766">
        <v>8.2575380393204501E-2</v>
      </c>
      <c r="K1766" s="2043">
        <v>71131.340999890701</v>
      </c>
      <c r="L1766" s="2043">
        <v>61200</v>
      </c>
      <c r="M1766">
        <v>599</v>
      </c>
      <c r="N1766">
        <v>1</v>
      </c>
    </row>
    <row r="1767" spans="1:14">
      <c r="A1767" t="s">
        <v>3099</v>
      </c>
      <c r="B1767" t="s">
        <v>2372</v>
      </c>
      <c r="C1767" t="s">
        <v>1903</v>
      </c>
      <c r="D1767" s="41">
        <v>10</v>
      </c>
      <c r="E1767" s="41">
        <v>1959</v>
      </c>
      <c r="F1767" s="41" t="s">
        <v>4339</v>
      </c>
      <c r="G1767" s="41" t="s">
        <v>8638</v>
      </c>
      <c r="H1767" s="2043">
        <v>861411</v>
      </c>
      <c r="I1767" s="2043">
        <v>679941</v>
      </c>
      <c r="J1767">
        <v>0.917424619606795</v>
      </c>
      <c r="K1767" s="2043">
        <v>790279.65900010895</v>
      </c>
      <c r="L1767" s="2043">
        <v>679941</v>
      </c>
      <c r="M1767">
        <v>599</v>
      </c>
      <c r="N1767">
        <v>1</v>
      </c>
    </row>
    <row r="1768" spans="1:14">
      <c r="A1768" t="s">
        <v>3099</v>
      </c>
      <c r="B1768" t="s">
        <v>2372</v>
      </c>
      <c r="C1768" t="s">
        <v>1903</v>
      </c>
      <c r="D1768" s="41">
        <v>11</v>
      </c>
      <c r="E1768" s="41">
        <v>2577</v>
      </c>
      <c r="F1768" s="41" t="s">
        <v>7240</v>
      </c>
      <c r="G1768" s="41" t="s">
        <v>7240</v>
      </c>
      <c r="H1768" s="2043">
        <v>323272</v>
      </c>
      <c r="I1768" s="2043">
        <v>325094</v>
      </c>
      <c r="J1768">
        <v>1</v>
      </c>
      <c r="K1768" s="2043">
        <v>323272</v>
      </c>
      <c r="L1768" s="2043">
        <v>323272</v>
      </c>
      <c r="M1768">
        <v>599</v>
      </c>
      <c r="N1768">
        <v>1</v>
      </c>
    </row>
    <row r="1769" spans="1:14">
      <c r="A1769" t="s">
        <v>3100</v>
      </c>
      <c r="B1769" t="s">
        <v>2373</v>
      </c>
      <c r="C1769" t="s">
        <v>1597</v>
      </c>
      <c r="D1769" s="41">
        <v>6</v>
      </c>
      <c r="E1769" s="41">
        <v>1971</v>
      </c>
      <c r="F1769" s="41" t="s">
        <v>4340</v>
      </c>
      <c r="G1769" s="41" t="s">
        <v>4340</v>
      </c>
      <c r="H1769" s="2043">
        <v>88605</v>
      </c>
      <c r="I1769" s="2043">
        <v>0</v>
      </c>
      <c r="J1769">
        <v>0</v>
      </c>
      <c r="L1769" s="2043">
        <v>0</v>
      </c>
      <c r="M1769">
        <v>599</v>
      </c>
      <c r="N1769">
        <v>1</v>
      </c>
    </row>
    <row r="1770" spans="1:14">
      <c r="A1770" t="s">
        <v>3102</v>
      </c>
      <c r="B1770" t="s">
        <v>1910</v>
      </c>
      <c r="C1770" t="s">
        <v>184</v>
      </c>
      <c r="D1770" s="41">
        <v>1</v>
      </c>
      <c r="E1770" s="41">
        <v>2177</v>
      </c>
      <c r="F1770" s="41" t="s">
        <v>4341</v>
      </c>
      <c r="G1770" s="41" t="s">
        <v>4341</v>
      </c>
      <c r="H1770" s="2043">
        <v>824548</v>
      </c>
      <c r="I1770" s="2043">
        <v>0</v>
      </c>
      <c r="J1770">
        <v>0</v>
      </c>
      <c r="L1770" s="2043">
        <v>0</v>
      </c>
      <c r="M1770">
        <v>599</v>
      </c>
      <c r="N1770">
        <v>0</v>
      </c>
    </row>
    <row r="1771" spans="1:14">
      <c r="A1771" t="s">
        <v>3102</v>
      </c>
      <c r="B1771" t="s">
        <v>1910</v>
      </c>
      <c r="C1771" t="s">
        <v>184</v>
      </c>
      <c r="D1771" s="41">
        <v>10</v>
      </c>
      <c r="E1771" s="41">
        <v>2176</v>
      </c>
      <c r="F1771" s="41" t="s">
        <v>4342</v>
      </c>
      <c r="G1771" s="41" t="s">
        <v>4342</v>
      </c>
      <c r="H1771" s="2043">
        <v>493697</v>
      </c>
      <c r="I1771" s="2043">
        <v>0</v>
      </c>
      <c r="J1771">
        <v>0</v>
      </c>
      <c r="K1771" s="2043">
        <v>0</v>
      </c>
      <c r="L1771" s="2043">
        <v>0</v>
      </c>
      <c r="M1771">
        <v>599</v>
      </c>
      <c r="N1771">
        <v>1</v>
      </c>
    </row>
    <row r="1772" spans="1:14">
      <c r="A1772" t="s">
        <v>3102</v>
      </c>
      <c r="B1772" t="s">
        <v>1910</v>
      </c>
      <c r="C1772" t="s">
        <v>184</v>
      </c>
      <c r="D1772" s="41">
        <v>10</v>
      </c>
      <c r="E1772" s="41">
        <v>2176</v>
      </c>
      <c r="F1772" s="41" t="s">
        <v>4342</v>
      </c>
      <c r="G1772" s="41" t="s">
        <v>7241</v>
      </c>
      <c r="H1772" s="2043">
        <v>493697</v>
      </c>
      <c r="I1772" s="2043">
        <v>327871</v>
      </c>
      <c r="J1772">
        <v>1</v>
      </c>
      <c r="K1772" s="2043">
        <v>493697</v>
      </c>
      <c r="L1772" s="2043">
        <v>327871</v>
      </c>
      <c r="M1772">
        <v>599</v>
      </c>
      <c r="N1772">
        <v>1</v>
      </c>
    </row>
    <row r="1773" spans="1:14">
      <c r="A1773" t="s">
        <v>3102</v>
      </c>
      <c r="B1773" t="s">
        <v>1910</v>
      </c>
      <c r="C1773" t="s">
        <v>184</v>
      </c>
      <c r="D1773" s="41">
        <v>10</v>
      </c>
      <c r="E1773" s="41">
        <v>2175</v>
      </c>
      <c r="F1773" s="41" t="s">
        <v>4343</v>
      </c>
      <c r="G1773" s="41" t="s">
        <v>4343</v>
      </c>
      <c r="H1773" s="2043">
        <v>185701</v>
      </c>
      <c r="I1773" s="2043">
        <v>0</v>
      </c>
      <c r="J1773">
        <v>0</v>
      </c>
      <c r="K1773" s="2043">
        <v>0</v>
      </c>
      <c r="L1773" s="2043">
        <v>0</v>
      </c>
      <c r="M1773">
        <v>599</v>
      </c>
      <c r="N1773">
        <v>1</v>
      </c>
    </row>
    <row r="1774" spans="1:14">
      <c r="A1774" t="s">
        <v>3102</v>
      </c>
      <c r="B1774" t="s">
        <v>1910</v>
      </c>
      <c r="C1774" t="s">
        <v>184</v>
      </c>
      <c r="D1774" s="41">
        <v>10</v>
      </c>
      <c r="E1774" s="41">
        <v>2175</v>
      </c>
      <c r="F1774" s="41" t="s">
        <v>4343</v>
      </c>
      <c r="G1774" s="41" t="s">
        <v>7241</v>
      </c>
      <c r="H1774" s="2043">
        <v>185701</v>
      </c>
      <c r="I1774" s="2043">
        <v>170534</v>
      </c>
      <c r="J1774">
        <v>1</v>
      </c>
      <c r="K1774" s="2043">
        <v>185701</v>
      </c>
      <c r="L1774" s="2043">
        <v>170534</v>
      </c>
      <c r="M1774">
        <v>599</v>
      </c>
      <c r="N1774">
        <v>1</v>
      </c>
    </row>
    <row r="1775" spans="1:14">
      <c r="A1775" t="s">
        <v>3103</v>
      </c>
      <c r="B1775" t="s">
        <v>2374</v>
      </c>
      <c r="C1775" t="s">
        <v>1982</v>
      </c>
      <c r="D1775" s="41">
        <v>6</v>
      </c>
      <c r="E1775" s="41">
        <v>2208</v>
      </c>
      <c r="F1775" s="41" t="s">
        <v>4344</v>
      </c>
      <c r="G1775" s="41" t="s">
        <v>4344</v>
      </c>
      <c r="H1775" s="2043">
        <v>229112</v>
      </c>
      <c r="I1775" s="2043">
        <v>0</v>
      </c>
      <c r="J1775">
        <v>0</v>
      </c>
      <c r="K1775" s="2043">
        <v>0</v>
      </c>
      <c r="L1775" s="2043">
        <v>0</v>
      </c>
      <c r="M1775">
        <v>599</v>
      </c>
      <c r="N1775">
        <v>0</v>
      </c>
    </row>
    <row r="1776" spans="1:14">
      <c r="A1776" t="s">
        <v>3103</v>
      </c>
      <c r="B1776" t="s">
        <v>2374</v>
      </c>
      <c r="C1776" t="s">
        <v>1982</v>
      </c>
      <c r="D1776" s="41">
        <v>6</v>
      </c>
      <c r="E1776" s="41">
        <v>2208</v>
      </c>
      <c r="F1776" s="41" t="s">
        <v>4344</v>
      </c>
      <c r="G1776" s="41" t="s">
        <v>4345</v>
      </c>
      <c r="H1776" s="2043">
        <v>229112</v>
      </c>
      <c r="I1776" s="2043">
        <v>258561</v>
      </c>
      <c r="J1776">
        <v>0.61715550081631498</v>
      </c>
      <c r="K1776" s="2043">
        <v>141397.731103028</v>
      </c>
      <c r="L1776" s="2043">
        <v>141397.731103028</v>
      </c>
      <c r="M1776">
        <v>599</v>
      </c>
      <c r="N1776">
        <v>1</v>
      </c>
    </row>
    <row r="1777" spans="1:14">
      <c r="A1777" t="s">
        <v>3103</v>
      </c>
      <c r="B1777" t="s">
        <v>2374</v>
      </c>
      <c r="C1777" t="s">
        <v>1982</v>
      </c>
      <c r="D1777" s="41">
        <v>6</v>
      </c>
      <c r="E1777" s="41">
        <v>2208</v>
      </c>
      <c r="F1777" s="41" t="s">
        <v>4344</v>
      </c>
      <c r="G1777" s="41" t="s">
        <v>4346</v>
      </c>
      <c r="H1777" s="2043">
        <v>229112</v>
      </c>
      <c r="I1777" s="2043">
        <v>80612</v>
      </c>
      <c r="J1777">
        <v>0.192411613630071</v>
      </c>
      <c r="K1777" s="2043">
        <v>44083.809622012799</v>
      </c>
      <c r="L1777" s="2043">
        <v>44083.809622012799</v>
      </c>
      <c r="M1777">
        <v>599</v>
      </c>
      <c r="N1777">
        <v>1</v>
      </c>
    </row>
    <row r="1778" spans="1:14">
      <c r="A1778" t="s">
        <v>3103</v>
      </c>
      <c r="B1778" t="s">
        <v>2374</v>
      </c>
      <c r="C1778" t="s">
        <v>1982</v>
      </c>
      <c r="D1778" s="41">
        <v>6</v>
      </c>
      <c r="E1778" s="41">
        <v>2208</v>
      </c>
      <c r="F1778" s="41" t="s">
        <v>4344</v>
      </c>
      <c r="G1778" s="41" t="s">
        <v>9371</v>
      </c>
      <c r="H1778" s="2043">
        <v>229112</v>
      </c>
      <c r="I1778" s="2043">
        <v>79783</v>
      </c>
      <c r="J1778">
        <v>0.19043288555361401</v>
      </c>
      <c r="K1778" s="2043">
        <v>43630.4592749597</v>
      </c>
      <c r="L1778" s="2043">
        <v>43630.4592749597</v>
      </c>
      <c r="M1778">
        <v>599</v>
      </c>
      <c r="N1778">
        <v>1</v>
      </c>
    </row>
    <row r="1779" spans="1:14">
      <c r="A1779" t="s">
        <v>4347</v>
      </c>
      <c r="B1779" t="s">
        <v>1327</v>
      </c>
      <c r="C1779" t="s">
        <v>780</v>
      </c>
      <c r="D1779" s="41">
        <v>2</v>
      </c>
      <c r="E1779" s="41">
        <v>2161</v>
      </c>
      <c r="F1779" s="41" t="s">
        <v>4348</v>
      </c>
      <c r="G1779" s="41" t="s">
        <v>4348</v>
      </c>
      <c r="H1779" s="2043">
        <v>187763</v>
      </c>
      <c r="I1779" s="2043">
        <v>0</v>
      </c>
      <c r="J1779">
        <v>0</v>
      </c>
      <c r="L1779" s="2043">
        <v>0</v>
      </c>
      <c r="M1779">
        <v>599</v>
      </c>
      <c r="N1779">
        <v>0</v>
      </c>
    </row>
    <row r="1780" spans="1:14">
      <c r="A1780" t="s">
        <v>3104</v>
      </c>
      <c r="B1780" t="s">
        <v>2140</v>
      </c>
      <c r="C1780" t="s">
        <v>894</v>
      </c>
      <c r="D1780" s="41">
        <v>9</v>
      </c>
      <c r="E1780" s="41">
        <v>2002</v>
      </c>
      <c r="F1780" s="41" t="s">
        <v>4349</v>
      </c>
      <c r="G1780" s="41" t="s">
        <v>4349</v>
      </c>
      <c r="H1780" s="2043">
        <v>800000</v>
      </c>
      <c r="I1780" s="2043">
        <v>0</v>
      </c>
      <c r="J1780">
        <v>0</v>
      </c>
      <c r="K1780" s="2043">
        <v>0</v>
      </c>
      <c r="L1780" s="2043">
        <v>0</v>
      </c>
      <c r="M1780">
        <v>599</v>
      </c>
      <c r="N1780">
        <v>1</v>
      </c>
    </row>
    <row r="1781" spans="1:14">
      <c r="A1781" t="s">
        <v>3104</v>
      </c>
      <c r="B1781" t="s">
        <v>2140</v>
      </c>
      <c r="C1781" t="s">
        <v>894</v>
      </c>
      <c r="D1781" s="41">
        <v>9</v>
      </c>
      <c r="E1781" s="41">
        <v>2002</v>
      </c>
      <c r="F1781" s="41" t="s">
        <v>4349</v>
      </c>
      <c r="G1781" s="41" t="s">
        <v>4350</v>
      </c>
      <c r="H1781" s="2043">
        <v>800000</v>
      </c>
      <c r="I1781" s="2043">
        <v>266580</v>
      </c>
      <c r="J1781">
        <v>9.8032149308354494E-2</v>
      </c>
      <c r="K1781" s="2043">
        <v>78425.719446683594</v>
      </c>
      <c r="L1781" s="2043">
        <v>78425.719446683594</v>
      </c>
      <c r="M1781">
        <v>599</v>
      </c>
      <c r="N1781">
        <v>1</v>
      </c>
    </row>
    <row r="1782" spans="1:14">
      <c r="A1782" t="s">
        <v>3104</v>
      </c>
      <c r="B1782" t="s">
        <v>2140</v>
      </c>
      <c r="C1782" t="s">
        <v>894</v>
      </c>
      <c r="D1782" s="41">
        <v>9</v>
      </c>
      <c r="E1782" s="41">
        <v>2002</v>
      </c>
      <c r="F1782" s="41" t="s">
        <v>4349</v>
      </c>
      <c r="G1782" s="41" t="s">
        <v>4351</v>
      </c>
      <c r="H1782" s="2043">
        <v>800000</v>
      </c>
      <c r="I1782" s="2043">
        <v>2452732</v>
      </c>
      <c r="J1782">
        <v>0.90196785069164598</v>
      </c>
      <c r="K1782" s="2043">
        <v>721574.280553316</v>
      </c>
      <c r="L1782" s="2043">
        <v>721574.280553316</v>
      </c>
      <c r="M1782">
        <v>599</v>
      </c>
      <c r="N1782">
        <v>1</v>
      </c>
    </row>
    <row r="1783" spans="1:14">
      <c r="A1783" t="s">
        <v>3105</v>
      </c>
      <c r="B1783" t="s">
        <v>2263</v>
      </c>
      <c r="C1783" t="s">
        <v>1040</v>
      </c>
      <c r="D1783" s="41">
        <v>2</v>
      </c>
      <c r="E1783" s="41">
        <v>1726</v>
      </c>
      <c r="F1783" s="41" t="s">
        <v>4352</v>
      </c>
      <c r="G1783" s="41" t="s">
        <v>4352</v>
      </c>
      <c r="H1783" s="2043">
        <v>282771</v>
      </c>
      <c r="I1783" s="2043">
        <v>0</v>
      </c>
      <c r="J1783">
        <v>0</v>
      </c>
      <c r="K1783" s="2043">
        <v>0</v>
      </c>
      <c r="L1783" s="2043">
        <v>0</v>
      </c>
      <c r="M1783">
        <v>599</v>
      </c>
      <c r="N1783">
        <v>0</v>
      </c>
    </row>
    <row r="1784" spans="1:14">
      <c r="A1784" t="s">
        <v>3105</v>
      </c>
      <c r="B1784" t="s">
        <v>2263</v>
      </c>
      <c r="C1784" t="s">
        <v>1040</v>
      </c>
      <c r="D1784" s="41">
        <v>2</v>
      </c>
      <c r="E1784" s="41">
        <v>1726</v>
      </c>
      <c r="F1784" s="41" t="s">
        <v>4352</v>
      </c>
      <c r="G1784" s="41" t="s">
        <v>4353</v>
      </c>
      <c r="H1784" s="2043">
        <v>282771</v>
      </c>
      <c r="I1784" s="2043">
        <v>16500</v>
      </c>
      <c r="J1784">
        <v>0.27274079706431698</v>
      </c>
      <c r="K1784" s="2043">
        <v>77123.187926674102</v>
      </c>
      <c r="L1784" s="2043">
        <v>16500</v>
      </c>
      <c r="M1784">
        <v>599</v>
      </c>
      <c r="N1784">
        <v>1</v>
      </c>
    </row>
    <row r="1785" spans="1:14">
      <c r="A1785" t="s">
        <v>3105</v>
      </c>
      <c r="B1785" t="s">
        <v>2263</v>
      </c>
      <c r="C1785" t="s">
        <v>1040</v>
      </c>
      <c r="D1785" s="41">
        <v>2</v>
      </c>
      <c r="E1785" s="41">
        <v>1726</v>
      </c>
      <c r="F1785" s="41" t="s">
        <v>4352</v>
      </c>
      <c r="G1785" s="41" t="s">
        <v>9372</v>
      </c>
      <c r="H1785" s="2043">
        <v>282771</v>
      </c>
      <c r="I1785" s="2043">
        <v>43997</v>
      </c>
      <c r="J1785">
        <v>0.72725920293568302</v>
      </c>
      <c r="K1785" s="2043">
        <v>205647.812073326</v>
      </c>
      <c r="L1785" s="2043">
        <v>43997</v>
      </c>
      <c r="M1785">
        <v>599</v>
      </c>
      <c r="N1785">
        <v>1</v>
      </c>
    </row>
    <row r="1786" spans="1:14">
      <c r="A1786" t="s">
        <v>3106</v>
      </c>
      <c r="B1786" t="s">
        <v>2489</v>
      </c>
      <c r="C1786" t="s">
        <v>1094</v>
      </c>
      <c r="D1786" s="41">
        <v>5</v>
      </c>
      <c r="E1786" s="41">
        <v>1694</v>
      </c>
      <c r="F1786" s="41" t="s">
        <v>4354</v>
      </c>
      <c r="G1786" s="41" t="s">
        <v>4354</v>
      </c>
      <c r="H1786" s="2043">
        <v>754473</v>
      </c>
      <c r="I1786" s="2043">
        <v>0</v>
      </c>
      <c r="J1786">
        <v>0</v>
      </c>
      <c r="K1786" s="2043">
        <v>0</v>
      </c>
      <c r="L1786" s="2043">
        <v>0</v>
      </c>
      <c r="M1786">
        <v>599</v>
      </c>
      <c r="N1786">
        <v>0</v>
      </c>
    </row>
    <row r="1787" spans="1:14">
      <c r="A1787" t="s">
        <v>3106</v>
      </c>
      <c r="B1787" t="s">
        <v>2489</v>
      </c>
      <c r="C1787" t="s">
        <v>1094</v>
      </c>
      <c r="D1787" s="41">
        <v>5</v>
      </c>
      <c r="E1787" s="41">
        <v>1694</v>
      </c>
      <c r="F1787" s="41" t="s">
        <v>4354</v>
      </c>
      <c r="G1787" s="41" t="s">
        <v>4355</v>
      </c>
      <c r="H1787" s="2043">
        <v>754473</v>
      </c>
      <c r="I1787" s="2043">
        <v>0</v>
      </c>
      <c r="J1787">
        <v>0</v>
      </c>
      <c r="K1787" s="2043">
        <v>0</v>
      </c>
      <c r="L1787" s="2043">
        <v>0</v>
      </c>
      <c r="M1787">
        <v>599</v>
      </c>
      <c r="N1787">
        <v>1</v>
      </c>
    </row>
    <row r="1788" spans="1:14">
      <c r="A1788" t="s">
        <v>3106</v>
      </c>
      <c r="B1788" t="s">
        <v>2489</v>
      </c>
      <c r="C1788" t="s">
        <v>1094</v>
      </c>
      <c r="D1788" s="41">
        <v>5</v>
      </c>
      <c r="E1788" s="41">
        <v>1694</v>
      </c>
      <c r="F1788" s="41" t="s">
        <v>4354</v>
      </c>
      <c r="G1788" s="41" t="s">
        <v>4356</v>
      </c>
      <c r="H1788" s="2043">
        <v>754473</v>
      </c>
      <c r="I1788" s="2043">
        <v>0</v>
      </c>
      <c r="J1788">
        <v>0</v>
      </c>
      <c r="K1788" s="2043">
        <v>0</v>
      </c>
      <c r="L1788" s="2043">
        <v>0</v>
      </c>
      <c r="M1788">
        <v>599</v>
      </c>
      <c r="N1788">
        <v>1</v>
      </c>
    </row>
    <row r="1789" spans="1:14">
      <c r="A1789" t="s">
        <v>3106</v>
      </c>
      <c r="B1789" t="s">
        <v>2489</v>
      </c>
      <c r="C1789" t="s">
        <v>1094</v>
      </c>
      <c r="D1789" s="41">
        <v>5</v>
      </c>
      <c r="E1789" s="41">
        <v>1694</v>
      </c>
      <c r="F1789" s="41" t="s">
        <v>4354</v>
      </c>
      <c r="G1789" s="41" t="s">
        <v>4357</v>
      </c>
      <c r="H1789" s="2043">
        <v>754473</v>
      </c>
      <c r="I1789" s="2043">
        <v>0</v>
      </c>
      <c r="J1789">
        <v>0</v>
      </c>
      <c r="K1789" s="2043">
        <v>0</v>
      </c>
      <c r="L1789" s="2043">
        <v>0</v>
      </c>
      <c r="M1789">
        <v>599</v>
      </c>
      <c r="N1789">
        <v>1</v>
      </c>
    </row>
    <row r="1790" spans="1:14">
      <c r="A1790" t="s">
        <v>3106</v>
      </c>
      <c r="B1790" t="s">
        <v>2489</v>
      </c>
      <c r="C1790" t="s">
        <v>1094</v>
      </c>
      <c r="D1790" s="41">
        <v>5</v>
      </c>
      <c r="E1790" s="41">
        <v>1694</v>
      </c>
      <c r="F1790" s="41" t="s">
        <v>4354</v>
      </c>
      <c r="G1790" s="41" t="s">
        <v>5618</v>
      </c>
      <c r="H1790" s="2043">
        <v>754473</v>
      </c>
      <c r="I1790" s="2043">
        <v>328188</v>
      </c>
      <c r="J1790">
        <v>0.25275600375220098</v>
      </c>
      <c r="K1790" s="2043">
        <v>190697.580418934</v>
      </c>
      <c r="L1790" s="2043">
        <v>190697.580418934</v>
      </c>
      <c r="M1790">
        <v>599</v>
      </c>
      <c r="N1790">
        <v>1</v>
      </c>
    </row>
    <row r="1791" spans="1:14">
      <c r="A1791" t="s">
        <v>3106</v>
      </c>
      <c r="B1791" t="s">
        <v>2489</v>
      </c>
      <c r="C1791" t="s">
        <v>1094</v>
      </c>
      <c r="D1791" s="41">
        <v>5</v>
      </c>
      <c r="E1791" s="41">
        <v>1694</v>
      </c>
      <c r="F1791" s="41" t="s">
        <v>4354</v>
      </c>
      <c r="G1791" s="41" t="s">
        <v>7242</v>
      </c>
      <c r="H1791" s="2043">
        <v>754473</v>
      </c>
      <c r="I1791" s="2043">
        <v>793898</v>
      </c>
      <c r="J1791">
        <v>0.61142542038973002</v>
      </c>
      <c r="K1791" s="2043">
        <v>461303.971197701</v>
      </c>
      <c r="L1791" s="2043">
        <v>461303.971197701</v>
      </c>
      <c r="M1791">
        <v>599</v>
      </c>
      <c r="N1791">
        <v>1</v>
      </c>
    </row>
    <row r="1792" spans="1:14">
      <c r="A1792" t="s">
        <v>3106</v>
      </c>
      <c r="B1792" t="s">
        <v>2489</v>
      </c>
      <c r="C1792" t="s">
        <v>1094</v>
      </c>
      <c r="D1792" s="41">
        <v>5</v>
      </c>
      <c r="E1792" s="41">
        <v>1694</v>
      </c>
      <c r="F1792" s="41" t="s">
        <v>4354</v>
      </c>
      <c r="G1792" s="41" t="s">
        <v>8639</v>
      </c>
      <c r="H1792" s="2043">
        <v>754473</v>
      </c>
      <c r="I1792" s="2043">
        <v>176352</v>
      </c>
      <c r="J1792">
        <v>0.135818575858069</v>
      </c>
      <c r="K1792" s="2043">
        <v>102471.448383365</v>
      </c>
      <c r="L1792" s="2043">
        <v>102471.448383365</v>
      </c>
      <c r="M1792">
        <v>599</v>
      </c>
      <c r="N1792">
        <v>1</v>
      </c>
    </row>
    <row r="1793" spans="1:14">
      <c r="A1793" t="s">
        <v>3106</v>
      </c>
      <c r="B1793" t="s">
        <v>2489</v>
      </c>
      <c r="C1793" t="s">
        <v>1094</v>
      </c>
      <c r="D1793" s="41">
        <v>11</v>
      </c>
      <c r="E1793" s="41">
        <v>2511</v>
      </c>
      <c r="F1793" s="41" t="s">
        <v>7243</v>
      </c>
      <c r="G1793" s="41" t="s">
        <v>7243</v>
      </c>
      <c r="H1793" s="2043">
        <v>961727</v>
      </c>
      <c r="I1793" s="2043">
        <v>1568750</v>
      </c>
      <c r="J1793">
        <v>1</v>
      </c>
      <c r="K1793" s="2043">
        <v>961727</v>
      </c>
      <c r="L1793" s="2043">
        <v>961727</v>
      </c>
      <c r="M1793">
        <v>599</v>
      </c>
      <c r="N1793">
        <v>0</v>
      </c>
    </row>
    <row r="1794" spans="1:14">
      <c r="A1794" t="s">
        <v>3107</v>
      </c>
      <c r="B1794" t="s">
        <v>2270</v>
      </c>
      <c r="C1794" t="s">
        <v>2517</v>
      </c>
      <c r="D1794" s="41">
        <v>1</v>
      </c>
      <c r="E1794" s="41">
        <v>1747</v>
      </c>
      <c r="F1794" s="41" t="s">
        <v>4358</v>
      </c>
      <c r="G1794" s="41" t="s">
        <v>4358</v>
      </c>
      <c r="H1794" s="2043">
        <v>967500</v>
      </c>
      <c r="I1794" s="2043">
        <v>0</v>
      </c>
      <c r="J1794">
        <v>0</v>
      </c>
      <c r="L1794" s="2043">
        <v>0</v>
      </c>
      <c r="M1794">
        <v>599</v>
      </c>
      <c r="N1794">
        <v>0</v>
      </c>
    </row>
    <row r="1795" spans="1:14">
      <c r="A1795" t="s">
        <v>3107</v>
      </c>
      <c r="B1795" t="s">
        <v>2270</v>
      </c>
      <c r="C1795" t="s">
        <v>2517</v>
      </c>
      <c r="D1795" s="41">
        <v>11</v>
      </c>
      <c r="E1795" s="41">
        <v>2550</v>
      </c>
      <c r="F1795" s="41" t="s">
        <v>7244</v>
      </c>
      <c r="G1795" s="41" t="s">
        <v>7244</v>
      </c>
      <c r="H1795" s="2043">
        <v>1222658</v>
      </c>
      <c r="I1795" s="2043">
        <v>0</v>
      </c>
      <c r="J1795">
        <v>0</v>
      </c>
      <c r="L1795" s="2043">
        <v>0</v>
      </c>
      <c r="M1795">
        <v>599</v>
      </c>
      <c r="N1795">
        <v>1</v>
      </c>
    </row>
    <row r="1796" spans="1:14">
      <c r="A1796" t="s">
        <v>3108</v>
      </c>
      <c r="B1796" t="s">
        <v>2375</v>
      </c>
      <c r="C1796" t="s">
        <v>1639</v>
      </c>
      <c r="D1796" s="41">
        <v>9</v>
      </c>
      <c r="E1796" s="41">
        <v>1865</v>
      </c>
      <c r="F1796" s="41" t="s">
        <v>4359</v>
      </c>
      <c r="G1796" s="41" t="s">
        <v>4359</v>
      </c>
      <c r="H1796" s="2043">
        <v>80675</v>
      </c>
      <c r="I1796" s="2043">
        <v>0</v>
      </c>
      <c r="J1796">
        <v>0</v>
      </c>
      <c r="K1796" s="2043">
        <v>0</v>
      </c>
      <c r="L1796" s="2043">
        <v>0</v>
      </c>
      <c r="M1796">
        <v>599</v>
      </c>
      <c r="N1796">
        <v>1</v>
      </c>
    </row>
    <row r="1797" spans="1:14">
      <c r="A1797" t="s">
        <v>3108</v>
      </c>
      <c r="B1797" t="s">
        <v>2375</v>
      </c>
      <c r="C1797" t="s">
        <v>1639</v>
      </c>
      <c r="D1797" s="41">
        <v>9</v>
      </c>
      <c r="E1797" s="41">
        <v>1865</v>
      </c>
      <c r="F1797" s="41" t="s">
        <v>4359</v>
      </c>
      <c r="G1797" s="41" t="s">
        <v>5619</v>
      </c>
      <c r="H1797" s="2043">
        <v>80675</v>
      </c>
      <c r="I1797" s="2043">
        <v>37725</v>
      </c>
      <c r="J1797">
        <v>0.30565120518533501</v>
      </c>
      <c r="K1797" s="2043">
        <v>24658.410978326901</v>
      </c>
      <c r="L1797" s="2043">
        <v>24658.410978326901</v>
      </c>
      <c r="M1797">
        <v>599</v>
      </c>
      <c r="N1797">
        <v>1</v>
      </c>
    </row>
    <row r="1798" spans="1:14">
      <c r="A1798" t="s">
        <v>3108</v>
      </c>
      <c r="B1798" t="s">
        <v>2375</v>
      </c>
      <c r="C1798" t="s">
        <v>1639</v>
      </c>
      <c r="D1798" s="41">
        <v>9</v>
      </c>
      <c r="E1798" s="41">
        <v>1865</v>
      </c>
      <c r="F1798" s="41" t="s">
        <v>4359</v>
      </c>
      <c r="G1798" s="41" t="s">
        <v>7245</v>
      </c>
      <c r="H1798" s="2043">
        <v>80675</v>
      </c>
      <c r="I1798" s="2043">
        <v>85700</v>
      </c>
      <c r="J1798">
        <v>0.69434879481466505</v>
      </c>
      <c r="K1798" s="2043">
        <v>56016.589021673099</v>
      </c>
      <c r="L1798" s="2043">
        <v>56016.589021673099</v>
      </c>
      <c r="M1798">
        <v>599</v>
      </c>
      <c r="N1798">
        <v>1</v>
      </c>
    </row>
    <row r="1799" spans="1:14">
      <c r="A1799" t="s">
        <v>3109</v>
      </c>
      <c r="B1799" t="s">
        <v>1051</v>
      </c>
      <c r="C1799" t="s">
        <v>2251</v>
      </c>
      <c r="D1799" s="41">
        <v>2</v>
      </c>
      <c r="E1799" s="41">
        <v>1913</v>
      </c>
      <c r="F1799" s="41" t="s">
        <v>4360</v>
      </c>
      <c r="G1799" s="41" t="s">
        <v>4360</v>
      </c>
      <c r="H1799" s="2043">
        <v>159897</v>
      </c>
      <c r="I1799" s="2043">
        <v>0</v>
      </c>
      <c r="J1799">
        <v>0</v>
      </c>
      <c r="L1799" s="2043">
        <v>0</v>
      </c>
      <c r="M1799">
        <v>599</v>
      </c>
      <c r="N1799">
        <v>0</v>
      </c>
    </row>
    <row r="1800" spans="1:14">
      <c r="A1800" t="s">
        <v>3110</v>
      </c>
      <c r="B1800" t="s">
        <v>914</v>
      </c>
      <c r="C1800" t="s">
        <v>1464</v>
      </c>
      <c r="D1800" s="41">
        <v>4</v>
      </c>
      <c r="E1800" s="41">
        <v>1718</v>
      </c>
      <c r="F1800" s="41" t="s">
        <v>4361</v>
      </c>
      <c r="G1800" s="41" t="s">
        <v>4361</v>
      </c>
      <c r="H1800" s="2043">
        <v>100000</v>
      </c>
      <c r="I1800" s="2043">
        <v>0</v>
      </c>
      <c r="J1800">
        <v>0</v>
      </c>
      <c r="K1800" s="2043">
        <v>0</v>
      </c>
      <c r="L1800" s="2043">
        <v>0</v>
      </c>
      <c r="M1800">
        <v>599</v>
      </c>
      <c r="N1800">
        <v>0</v>
      </c>
    </row>
    <row r="1801" spans="1:14">
      <c r="A1801" t="s">
        <v>3110</v>
      </c>
      <c r="B1801" t="s">
        <v>914</v>
      </c>
      <c r="C1801" t="s">
        <v>1464</v>
      </c>
      <c r="D1801" s="41">
        <v>4</v>
      </c>
      <c r="E1801" s="41">
        <v>1718</v>
      </c>
      <c r="F1801" s="41" t="s">
        <v>4361</v>
      </c>
      <c r="G1801" s="41" t="s">
        <v>4362</v>
      </c>
      <c r="H1801" s="2043">
        <v>100000</v>
      </c>
      <c r="I1801" s="2043">
        <v>0</v>
      </c>
      <c r="J1801">
        <v>0</v>
      </c>
      <c r="K1801" s="2043">
        <v>0</v>
      </c>
      <c r="L1801" s="2043">
        <v>0</v>
      </c>
      <c r="M1801">
        <v>599</v>
      </c>
      <c r="N1801">
        <v>1</v>
      </c>
    </row>
    <row r="1802" spans="1:14">
      <c r="A1802" t="s">
        <v>3110</v>
      </c>
      <c r="B1802" t="s">
        <v>914</v>
      </c>
      <c r="C1802" t="s">
        <v>1464</v>
      </c>
      <c r="D1802" s="41">
        <v>4</v>
      </c>
      <c r="E1802" s="41">
        <v>1718</v>
      </c>
      <c r="F1802" s="41" t="s">
        <v>4361</v>
      </c>
      <c r="G1802" s="41" t="s">
        <v>9373</v>
      </c>
      <c r="H1802" s="2043">
        <v>100000</v>
      </c>
      <c r="I1802" s="2043">
        <v>75885</v>
      </c>
      <c r="J1802">
        <v>1</v>
      </c>
      <c r="K1802" s="2043">
        <v>100000</v>
      </c>
      <c r="L1802" s="2043">
        <v>75885</v>
      </c>
      <c r="M1802">
        <v>599</v>
      </c>
      <c r="N1802">
        <v>1</v>
      </c>
    </row>
    <row r="1803" spans="1:14">
      <c r="A1803" t="s">
        <v>5152</v>
      </c>
      <c r="B1803" t="s">
        <v>1595</v>
      </c>
      <c r="C1803" t="s">
        <v>511</v>
      </c>
      <c r="D1803" s="41">
        <v>11</v>
      </c>
      <c r="E1803" s="41">
        <v>2574</v>
      </c>
      <c r="F1803" s="41" t="s">
        <v>7246</v>
      </c>
      <c r="G1803" s="41" t="s">
        <v>7246</v>
      </c>
      <c r="H1803" s="2043">
        <v>141879</v>
      </c>
      <c r="I1803" s="2043">
        <v>327400</v>
      </c>
      <c r="J1803">
        <v>1</v>
      </c>
      <c r="K1803" s="2043">
        <v>141879</v>
      </c>
      <c r="L1803" s="2043">
        <v>141879</v>
      </c>
      <c r="M1803">
        <v>599</v>
      </c>
      <c r="N1803">
        <v>1</v>
      </c>
    </row>
    <row r="1804" spans="1:14">
      <c r="A1804" t="s">
        <v>5152</v>
      </c>
      <c r="B1804" t="s">
        <v>1595</v>
      </c>
      <c r="C1804" t="s">
        <v>511</v>
      </c>
      <c r="D1804" s="41">
        <v>11</v>
      </c>
      <c r="E1804" s="41">
        <v>2575</v>
      </c>
      <c r="F1804" s="41" t="s">
        <v>7247</v>
      </c>
      <c r="G1804" s="41" t="s">
        <v>7247</v>
      </c>
      <c r="H1804" s="2043">
        <v>123874</v>
      </c>
      <c r="I1804" s="2043">
        <v>434207</v>
      </c>
      <c r="J1804">
        <v>1</v>
      </c>
      <c r="K1804" s="2043">
        <v>123874</v>
      </c>
      <c r="L1804" s="2043">
        <v>123874</v>
      </c>
      <c r="M1804">
        <v>599</v>
      </c>
      <c r="N1804">
        <v>0</v>
      </c>
    </row>
    <row r="1805" spans="1:14">
      <c r="A1805" t="s">
        <v>4363</v>
      </c>
      <c r="B1805" t="s">
        <v>2160</v>
      </c>
      <c r="C1805" t="s">
        <v>549</v>
      </c>
      <c r="D1805" s="41">
        <v>1</v>
      </c>
      <c r="E1805" s="41">
        <v>2040</v>
      </c>
      <c r="F1805" s="41" t="s">
        <v>4364</v>
      </c>
      <c r="G1805" s="41" t="s">
        <v>4364</v>
      </c>
      <c r="H1805" s="2043">
        <v>112803</v>
      </c>
      <c r="I1805" s="2043">
        <v>0</v>
      </c>
      <c r="J1805">
        <v>0</v>
      </c>
      <c r="L1805" s="2043">
        <v>0</v>
      </c>
      <c r="M1805">
        <v>599</v>
      </c>
      <c r="N1805">
        <v>0</v>
      </c>
    </row>
    <row r="1806" spans="1:14">
      <c r="A1806" t="s">
        <v>5160</v>
      </c>
      <c r="B1806" t="s">
        <v>2273</v>
      </c>
      <c r="C1806" t="s">
        <v>520</v>
      </c>
      <c r="D1806" s="41">
        <v>11</v>
      </c>
      <c r="E1806" s="41">
        <v>2541</v>
      </c>
      <c r="F1806" s="41" t="s">
        <v>7248</v>
      </c>
      <c r="G1806" s="41" t="s">
        <v>7248</v>
      </c>
      <c r="H1806" s="2043">
        <v>290364</v>
      </c>
      <c r="I1806" s="2043">
        <v>727012</v>
      </c>
      <c r="J1806">
        <v>1</v>
      </c>
      <c r="K1806" s="2043">
        <v>290364</v>
      </c>
      <c r="L1806" s="2043">
        <v>290364</v>
      </c>
      <c r="M1806">
        <v>599</v>
      </c>
      <c r="N1806">
        <v>1</v>
      </c>
    </row>
    <row r="1807" spans="1:14">
      <c r="A1807" t="s">
        <v>3111</v>
      </c>
      <c r="B1807" t="s">
        <v>1985</v>
      </c>
      <c r="C1807" t="s">
        <v>550</v>
      </c>
      <c r="D1807" s="41">
        <v>5</v>
      </c>
      <c r="E1807" s="41">
        <v>2041</v>
      </c>
      <c r="F1807" s="41" t="s">
        <v>4365</v>
      </c>
      <c r="G1807" s="41" t="s">
        <v>4365</v>
      </c>
      <c r="H1807" s="2043">
        <v>445840</v>
      </c>
      <c r="I1807" s="2043">
        <v>0</v>
      </c>
      <c r="J1807">
        <v>0</v>
      </c>
      <c r="K1807" s="2043">
        <v>0</v>
      </c>
      <c r="L1807" s="2043">
        <v>0</v>
      </c>
      <c r="M1807">
        <v>599</v>
      </c>
      <c r="N1807">
        <v>0</v>
      </c>
    </row>
    <row r="1808" spans="1:14">
      <c r="A1808" t="s">
        <v>3111</v>
      </c>
      <c r="B1808" t="s">
        <v>1985</v>
      </c>
      <c r="C1808" t="s">
        <v>550</v>
      </c>
      <c r="D1808" s="41">
        <v>5</v>
      </c>
      <c r="E1808" s="41">
        <v>2041</v>
      </c>
      <c r="F1808" s="41" t="s">
        <v>4365</v>
      </c>
      <c r="G1808" s="41" t="s">
        <v>4366</v>
      </c>
      <c r="H1808" s="2043">
        <v>445840</v>
      </c>
      <c r="I1808" s="2043">
        <v>0</v>
      </c>
      <c r="J1808">
        <v>0</v>
      </c>
      <c r="K1808" s="2043">
        <v>0</v>
      </c>
      <c r="L1808" s="2043">
        <v>0</v>
      </c>
      <c r="M1808">
        <v>599</v>
      </c>
      <c r="N1808">
        <v>1</v>
      </c>
    </row>
    <row r="1809" spans="1:14">
      <c r="A1809" t="s">
        <v>3111</v>
      </c>
      <c r="B1809" t="s">
        <v>1985</v>
      </c>
      <c r="C1809" t="s">
        <v>550</v>
      </c>
      <c r="D1809" s="41">
        <v>5</v>
      </c>
      <c r="E1809" s="41">
        <v>2041</v>
      </c>
      <c r="F1809" s="41" t="s">
        <v>4365</v>
      </c>
      <c r="G1809" s="41" t="s">
        <v>8640</v>
      </c>
      <c r="H1809" s="2043">
        <v>445840</v>
      </c>
      <c r="I1809" s="2043">
        <v>728375</v>
      </c>
      <c r="J1809">
        <v>1</v>
      </c>
      <c r="K1809" s="2043">
        <v>445840</v>
      </c>
      <c r="L1809" s="2043">
        <v>445840</v>
      </c>
      <c r="M1809">
        <v>599</v>
      </c>
      <c r="N1809">
        <v>1</v>
      </c>
    </row>
    <row r="1810" spans="1:14">
      <c r="A1810" t="s">
        <v>3112</v>
      </c>
      <c r="B1810" t="s">
        <v>1338</v>
      </c>
      <c r="C1810" t="s">
        <v>2179</v>
      </c>
      <c r="D1810" s="41">
        <v>1</v>
      </c>
      <c r="E1810" s="41">
        <v>1825</v>
      </c>
      <c r="F1810" s="41" t="s">
        <v>4367</v>
      </c>
      <c r="G1810" s="41" t="s">
        <v>4367</v>
      </c>
      <c r="H1810" s="2043">
        <v>125335</v>
      </c>
      <c r="I1810" s="2043">
        <v>0</v>
      </c>
      <c r="J1810">
        <v>0</v>
      </c>
      <c r="L1810" s="2043">
        <v>0</v>
      </c>
      <c r="M1810">
        <v>599</v>
      </c>
      <c r="N1810">
        <v>0</v>
      </c>
    </row>
    <row r="1811" spans="1:14">
      <c r="A1811" t="s">
        <v>3112</v>
      </c>
      <c r="B1811" t="s">
        <v>1338</v>
      </c>
      <c r="C1811" t="s">
        <v>2179</v>
      </c>
      <c r="D1811" s="41">
        <v>2</v>
      </c>
      <c r="E1811" s="41">
        <v>1826</v>
      </c>
      <c r="F1811" s="41" t="s">
        <v>4368</v>
      </c>
      <c r="G1811" s="41" t="s">
        <v>4368</v>
      </c>
      <c r="H1811" s="2043">
        <v>596622</v>
      </c>
      <c r="I1811" s="2043">
        <v>0</v>
      </c>
      <c r="J1811">
        <v>0</v>
      </c>
      <c r="L1811" s="2043">
        <v>0</v>
      </c>
      <c r="M1811">
        <v>599</v>
      </c>
      <c r="N1811">
        <v>0</v>
      </c>
    </row>
    <row r="1812" spans="1:14">
      <c r="A1812" t="s">
        <v>3112</v>
      </c>
      <c r="B1812" t="s">
        <v>1338</v>
      </c>
      <c r="C1812" t="s">
        <v>2179</v>
      </c>
      <c r="D1812" s="41">
        <v>9</v>
      </c>
      <c r="E1812" s="41">
        <v>1828</v>
      </c>
      <c r="F1812" s="41" t="s">
        <v>4369</v>
      </c>
      <c r="G1812" s="41" t="s">
        <v>4369</v>
      </c>
      <c r="H1812" s="2043">
        <v>1482602</v>
      </c>
      <c r="I1812" s="2043">
        <v>0</v>
      </c>
      <c r="J1812">
        <v>0</v>
      </c>
      <c r="K1812" s="2043">
        <v>0</v>
      </c>
      <c r="L1812" s="2043">
        <v>0</v>
      </c>
      <c r="M1812">
        <v>599</v>
      </c>
      <c r="N1812">
        <v>1</v>
      </c>
    </row>
    <row r="1813" spans="1:14">
      <c r="A1813" t="s">
        <v>3112</v>
      </c>
      <c r="B1813" t="s">
        <v>1338</v>
      </c>
      <c r="C1813" t="s">
        <v>2179</v>
      </c>
      <c r="D1813" s="41">
        <v>9</v>
      </c>
      <c r="E1813" s="41">
        <v>1828</v>
      </c>
      <c r="F1813" s="41" t="s">
        <v>4369</v>
      </c>
      <c r="G1813" s="41" t="s">
        <v>5439</v>
      </c>
      <c r="H1813" s="2043">
        <v>1482602</v>
      </c>
      <c r="I1813" s="2043">
        <v>4086340</v>
      </c>
      <c r="J1813">
        <v>0.54074626038114004</v>
      </c>
      <c r="K1813" s="2043">
        <v>801711.487133599</v>
      </c>
      <c r="L1813" s="2043">
        <v>801711.487133599</v>
      </c>
      <c r="M1813">
        <v>599</v>
      </c>
      <c r="N1813">
        <v>1</v>
      </c>
    </row>
    <row r="1814" spans="1:14">
      <c r="A1814" t="s">
        <v>3112</v>
      </c>
      <c r="B1814" t="s">
        <v>1338</v>
      </c>
      <c r="C1814" t="s">
        <v>2179</v>
      </c>
      <c r="D1814" s="41">
        <v>9</v>
      </c>
      <c r="E1814" s="41">
        <v>1828</v>
      </c>
      <c r="F1814" s="41" t="s">
        <v>4369</v>
      </c>
      <c r="G1814" s="41" t="s">
        <v>9374</v>
      </c>
      <c r="H1814" s="2043">
        <v>1482602</v>
      </c>
      <c r="I1814" s="2043">
        <v>3470513</v>
      </c>
      <c r="J1814">
        <v>0.45925373961886001</v>
      </c>
      <c r="K1814" s="2043">
        <v>680890.512866401</v>
      </c>
      <c r="L1814" s="2043">
        <v>680890.512866401</v>
      </c>
      <c r="M1814">
        <v>599</v>
      </c>
      <c r="N1814">
        <v>1</v>
      </c>
    </row>
    <row r="1815" spans="1:14">
      <c r="A1815" t="s">
        <v>3112</v>
      </c>
      <c r="B1815" t="s">
        <v>1338</v>
      </c>
      <c r="C1815" t="s">
        <v>2179</v>
      </c>
      <c r="D1815" s="41">
        <v>10</v>
      </c>
      <c r="E1815" s="41">
        <v>1827</v>
      </c>
      <c r="F1815" s="41" t="s">
        <v>4370</v>
      </c>
      <c r="G1815" s="41" t="s">
        <v>4370</v>
      </c>
      <c r="H1815" s="2043">
        <v>664408</v>
      </c>
      <c r="I1815" s="2043">
        <v>0</v>
      </c>
      <c r="J1815">
        <v>0</v>
      </c>
      <c r="K1815" s="2043">
        <v>0</v>
      </c>
      <c r="L1815" s="2043">
        <v>0</v>
      </c>
      <c r="M1815">
        <v>599</v>
      </c>
      <c r="N1815">
        <v>1</v>
      </c>
    </row>
    <row r="1816" spans="1:14">
      <c r="A1816" t="s">
        <v>3112</v>
      </c>
      <c r="B1816" t="s">
        <v>1338</v>
      </c>
      <c r="C1816" t="s">
        <v>2179</v>
      </c>
      <c r="D1816" s="41">
        <v>10</v>
      </c>
      <c r="E1816" s="41">
        <v>1827</v>
      </c>
      <c r="F1816" s="41" t="s">
        <v>4370</v>
      </c>
      <c r="G1816" s="41" t="s">
        <v>5620</v>
      </c>
      <c r="H1816" s="2043">
        <v>664408</v>
      </c>
      <c r="I1816" s="2043">
        <v>313293</v>
      </c>
      <c r="J1816">
        <v>1</v>
      </c>
      <c r="K1816" s="2043">
        <v>664408</v>
      </c>
      <c r="L1816" s="2043">
        <v>313293</v>
      </c>
      <c r="M1816">
        <v>599</v>
      </c>
      <c r="N1816">
        <v>1</v>
      </c>
    </row>
    <row r="1817" spans="1:14">
      <c r="A1817" t="s">
        <v>3113</v>
      </c>
      <c r="B1817" t="s">
        <v>468</v>
      </c>
      <c r="C1817" t="s">
        <v>1176</v>
      </c>
      <c r="D1817" s="41">
        <v>2</v>
      </c>
      <c r="E1817" s="41">
        <v>2325</v>
      </c>
      <c r="F1817" s="41" t="s">
        <v>4371</v>
      </c>
      <c r="G1817" s="41" t="s">
        <v>4371</v>
      </c>
      <c r="H1817" s="2043">
        <v>281008</v>
      </c>
      <c r="I1817" s="2043">
        <v>0</v>
      </c>
      <c r="J1817">
        <v>0</v>
      </c>
      <c r="K1817" s="2043">
        <v>0</v>
      </c>
      <c r="L1817" s="2043">
        <v>0</v>
      </c>
      <c r="M1817">
        <v>599</v>
      </c>
      <c r="N1817">
        <v>0</v>
      </c>
    </row>
    <row r="1818" spans="1:14">
      <c r="A1818" t="s">
        <v>3113</v>
      </c>
      <c r="B1818" t="s">
        <v>468</v>
      </c>
      <c r="C1818" t="s">
        <v>1176</v>
      </c>
      <c r="D1818" s="41">
        <v>2</v>
      </c>
      <c r="E1818" s="41">
        <v>2325</v>
      </c>
      <c r="F1818" s="41" t="s">
        <v>4371</v>
      </c>
      <c r="G1818" s="41" t="s">
        <v>4372</v>
      </c>
      <c r="H1818" s="2043">
        <v>281008</v>
      </c>
      <c r="I1818" s="2043">
        <v>0</v>
      </c>
      <c r="J1818">
        <v>0</v>
      </c>
      <c r="K1818" s="2043">
        <v>0</v>
      </c>
      <c r="L1818" s="2043">
        <v>0</v>
      </c>
      <c r="M1818">
        <v>599</v>
      </c>
      <c r="N1818">
        <v>1</v>
      </c>
    </row>
    <row r="1819" spans="1:14">
      <c r="A1819" t="s">
        <v>3113</v>
      </c>
      <c r="B1819" t="s">
        <v>468</v>
      </c>
      <c r="C1819" t="s">
        <v>1176</v>
      </c>
      <c r="D1819" s="41">
        <v>2</v>
      </c>
      <c r="E1819" s="41">
        <v>2325</v>
      </c>
      <c r="F1819" s="41" t="s">
        <v>4371</v>
      </c>
      <c r="G1819" s="41" t="s">
        <v>4373</v>
      </c>
      <c r="H1819" s="2043">
        <v>281008</v>
      </c>
      <c r="I1819" s="2043">
        <v>249100</v>
      </c>
      <c r="J1819">
        <v>0.96713075483565403</v>
      </c>
      <c r="K1819" s="2043">
        <v>271771.47915485699</v>
      </c>
      <c r="L1819" s="2043">
        <v>249100</v>
      </c>
      <c r="M1819">
        <v>599</v>
      </c>
      <c r="N1819">
        <v>1</v>
      </c>
    </row>
    <row r="1820" spans="1:14">
      <c r="A1820" t="s">
        <v>3113</v>
      </c>
      <c r="B1820" t="s">
        <v>468</v>
      </c>
      <c r="C1820" t="s">
        <v>1176</v>
      </c>
      <c r="D1820" s="41">
        <v>2</v>
      </c>
      <c r="E1820" s="41">
        <v>2325</v>
      </c>
      <c r="F1820" s="41" t="s">
        <v>4371</v>
      </c>
      <c r="G1820" s="41" t="s">
        <v>7249</v>
      </c>
      <c r="H1820" s="2043">
        <v>281008</v>
      </c>
      <c r="I1820" s="2043">
        <v>0</v>
      </c>
      <c r="J1820">
        <v>0</v>
      </c>
      <c r="K1820" s="2043">
        <v>0</v>
      </c>
      <c r="L1820" s="2043">
        <v>0</v>
      </c>
      <c r="M1820">
        <v>599</v>
      </c>
      <c r="N1820">
        <v>1</v>
      </c>
    </row>
    <row r="1821" spans="1:14">
      <c r="A1821" t="s">
        <v>3113</v>
      </c>
      <c r="B1821" t="s">
        <v>468</v>
      </c>
      <c r="C1821" t="s">
        <v>1176</v>
      </c>
      <c r="D1821" s="41">
        <v>2</v>
      </c>
      <c r="E1821" s="41">
        <v>2325</v>
      </c>
      <c r="F1821" s="41" t="s">
        <v>4371</v>
      </c>
      <c r="G1821" s="41" t="s">
        <v>9375</v>
      </c>
      <c r="H1821" s="2043">
        <v>281008</v>
      </c>
      <c r="I1821" s="2043">
        <v>8466</v>
      </c>
      <c r="J1821">
        <v>3.2869245164346202E-2</v>
      </c>
      <c r="K1821" s="2043">
        <v>9236.5208451426006</v>
      </c>
      <c r="L1821" s="2043">
        <v>8466</v>
      </c>
      <c r="M1821">
        <v>599</v>
      </c>
      <c r="N1821">
        <v>1</v>
      </c>
    </row>
    <row r="1822" spans="1:14">
      <c r="A1822" t="s">
        <v>3113</v>
      </c>
      <c r="B1822" t="s">
        <v>468</v>
      </c>
      <c r="C1822" t="s">
        <v>1176</v>
      </c>
      <c r="D1822" s="41">
        <v>5</v>
      </c>
      <c r="E1822" s="41">
        <v>2326</v>
      </c>
      <c r="F1822" s="41" t="s">
        <v>4374</v>
      </c>
      <c r="G1822" s="41" t="s">
        <v>4374</v>
      </c>
      <c r="H1822" s="2043">
        <v>289979</v>
      </c>
      <c r="I1822" s="2043">
        <v>0</v>
      </c>
      <c r="J1822">
        <v>0</v>
      </c>
      <c r="K1822" s="2043">
        <v>0</v>
      </c>
      <c r="L1822" s="2043">
        <v>0</v>
      </c>
      <c r="M1822">
        <v>599</v>
      </c>
      <c r="N1822">
        <v>0</v>
      </c>
    </row>
    <row r="1823" spans="1:14">
      <c r="A1823" t="s">
        <v>3113</v>
      </c>
      <c r="B1823" t="s">
        <v>468</v>
      </c>
      <c r="C1823" t="s">
        <v>1176</v>
      </c>
      <c r="D1823" s="41">
        <v>5</v>
      </c>
      <c r="E1823" s="41">
        <v>2326</v>
      </c>
      <c r="F1823" s="41" t="s">
        <v>4374</v>
      </c>
      <c r="G1823" s="41" t="s">
        <v>4372</v>
      </c>
      <c r="H1823" s="2043">
        <v>289979</v>
      </c>
      <c r="I1823" s="2043">
        <v>0</v>
      </c>
      <c r="J1823">
        <v>0</v>
      </c>
      <c r="K1823" s="2043">
        <v>0</v>
      </c>
      <c r="L1823" s="2043">
        <v>0</v>
      </c>
      <c r="M1823">
        <v>599</v>
      </c>
      <c r="N1823">
        <v>1</v>
      </c>
    </row>
    <row r="1824" spans="1:14">
      <c r="A1824" t="s">
        <v>3113</v>
      </c>
      <c r="B1824" t="s">
        <v>468</v>
      </c>
      <c r="C1824" t="s">
        <v>1176</v>
      </c>
      <c r="D1824" s="41">
        <v>5</v>
      </c>
      <c r="E1824" s="41">
        <v>2326</v>
      </c>
      <c r="F1824" s="41" t="s">
        <v>4374</v>
      </c>
      <c r="G1824" s="41" t="s">
        <v>4373</v>
      </c>
      <c r="H1824" s="2043">
        <v>289979</v>
      </c>
      <c r="I1824" s="2043">
        <v>0</v>
      </c>
      <c r="J1824">
        <v>0</v>
      </c>
      <c r="K1824" s="2043">
        <v>0</v>
      </c>
      <c r="L1824" s="2043">
        <v>0</v>
      </c>
      <c r="M1824">
        <v>599</v>
      </c>
      <c r="N1824">
        <v>1</v>
      </c>
    </row>
    <row r="1825" spans="1:14">
      <c r="A1825" t="s">
        <v>3113</v>
      </c>
      <c r="B1825" t="s">
        <v>468</v>
      </c>
      <c r="C1825" t="s">
        <v>1176</v>
      </c>
      <c r="D1825" s="41">
        <v>5</v>
      </c>
      <c r="E1825" s="41">
        <v>2326</v>
      </c>
      <c r="F1825" s="41" t="s">
        <v>4374</v>
      </c>
      <c r="G1825" s="41" t="s">
        <v>7249</v>
      </c>
      <c r="H1825" s="2043">
        <v>289979</v>
      </c>
      <c r="I1825" s="2043">
        <v>252525</v>
      </c>
      <c r="J1825">
        <v>0.97317388992084397</v>
      </c>
      <c r="K1825" s="2043">
        <v>282199.99142535601</v>
      </c>
      <c r="L1825" s="2043">
        <v>252525</v>
      </c>
      <c r="M1825">
        <v>599</v>
      </c>
      <c r="N1825">
        <v>1</v>
      </c>
    </row>
    <row r="1826" spans="1:14">
      <c r="A1826" t="s">
        <v>3113</v>
      </c>
      <c r="B1826" t="s">
        <v>468</v>
      </c>
      <c r="C1826" t="s">
        <v>1176</v>
      </c>
      <c r="D1826" s="41">
        <v>5</v>
      </c>
      <c r="E1826" s="41">
        <v>2326</v>
      </c>
      <c r="F1826" s="41" t="s">
        <v>4374</v>
      </c>
      <c r="G1826" s="41" t="s">
        <v>9375</v>
      </c>
      <c r="H1826" s="2043">
        <v>289979</v>
      </c>
      <c r="I1826" s="2043">
        <v>6961</v>
      </c>
      <c r="J1826">
        <v>2.6826110079156501E-2</v>
      </c>
      <c r="K1826" s="2043">
        <v>7779.0085746437198</v>
      </c>
      <c r="L1826" s="2043">
        <v>6961</v>
      </c>
      <c r="M1826">
        <v>599</v>
      </c>
      <c r="N1826">
        <v>1</v>
      </c>
    </row>
    <row r="1827" spans="1:14">
      <c r="A1827" t="s">
        <v>3114</v>
      </c>
      <c r="B1827" t="s">
        <v>636</v>
      </c>
      <c r="C1827" t="s">
        <v>522</v>
      </c>
      <c r="D1827" s="41">
        <v>10</v>
      </c>
      <c r="E1827" s="41">
        <v>1923</v>
      </c>
      <c r="F1827" s="41" t="s">
        <v>4375</v>
      </c>
      <c r="G1827" s="41" t="s">
        <v>4375</v>
      </c>
      <c r="H1827" s="2043">
        <v>220668</v>
      </c>
      <c r="I1827" s="2043">
        <v>151950</v>
      </c>
      <c r="J1827">
        <v>0.16060551290710201</v>
      </c>
      <c r="K1827" s="2043">
        <v>35440.497322184499</v>
      </c>
      <c r="L1827" s="2043">
        <v>35440.497322184499</v>
      </c>
      <c r="M1827">
        <v>599</v>
      </c>
      <c r="N1827">
        <v>1</v>
      </c>
    </row>
    <row r="1828" spans="1:14">
      <c r="A1828" t="s">
        <v>3114</v>
      </c>
      <c r="B1828" t="s">
        <v>636</v>
      </c>
      <c r="C1828" t="s">
        <v>522</v>
      </c>
      <c r="D1828" s="41">
        <v>10</v>
      </c>
      <c r="E1828" s="41">
        <v>1923</v>
      </c>
      <c r="F1828" s="41" t="s">
        <v>4375</v>
      </c>
      <c r="G1828" s="41" t="s">
        <v>5621</v>
      </c>
      <c r="H1828" s="2043">
        <v>220668</v>
      </c>
      <c r="I1828" s="2043">
        <v>653517</v>
      </c>
      <c r="J1828">
        <v>0.69074322460355997</v>
      </c>
      <c r="K1828" s="2043">
        <v>152424.925886818</v>
      </c>
      <c r="L1828" s="2043">
        <v>152424.925886818</v>
      </c>
      <c r="M1828">
        <v>599</v>
      </c>
      <c r="N1828">
        <v>1</v>
      </c>
    </row>
    <row r="1829" spans="1:14">
      <c r="A1829" t="s">
        <v>3114</v>
      </c>
      <c r="B1829" t="s">
        <v>636</v>
      </c>
      <c r="C1829" t="s">
        <v>522</v>
      </c>
      <c r="D1829" s="41">
        <v>10</v>
      </c>
      <c r="E1829" s="41">
        <v>1923</v>
      </c>
      <c r="F1829" s="41" t="s">
        <v>4375</v>
      </c>
      <c r="G1829" s="41" t="s">
        <v>7334</v>
      </c>
      <c r="H1829" s="2043">
        <v>220668</v>
      </c>
      <c r="I1829" s="2043">
        <v>140640</v>
      </c>
      <c r="J1829">
        <v>0.14865126248933799</v>
      </c>
      <c r="K1829" s="2043">
        <v>32802.576790997198</v>
      </c>
      <c r="L1829" s="2043">
        <v>32802.576790997198</v>
      </c>
      <c r="M1829">
        <v>599</v>
      </c>
      <c r="N1829">
        <v>1</v>
      </c>
    </row>
    <row r="1830" spans="1:14">
      <c r="A1830" t="s">
        <v>3115</v>
      </c>
      <c r="B1830" t="s">
        <v>1977</v>
      </c>
      <c r="C1830" t="s">
        <v>35</v>
      </c>
      <c r="D1830" s="41">
        <v>3</v>
      </c>
      <c r="E1830" s="41">
        <v>2049</v>
      </c>
      <c r="F1830" s="41" t="s">
        <v>4376</v>
      </c>
      <c r="G1830" s="41" t="s">
        <v>4376</v>
      </c>
      <c r="H1830" s="2043">
        <v>471642</v>
      </c>
      <c r="I1830" s="2043">
        <v>0</v>
      </c>
      <c r="J1830">
        <v>0</v>
      </c>
      <c r="L1830" s="2043">
        <v>0</v>
      </c>
      <c r="M1830">
        <v>599</v>
      </c>
      <c r="N1830">
        <v>0</v>
      </c>
    </row>
    <row r="1831" spans="1:14">
      <c r="A1831" t="s">
        <v>3115</v>
      </c>
      <c r="B1831" t="s">
        <v>1977</v>
      </c>
      <c r="C1831" t="s">
        <v>35</v>
      </c>
      <c r="D1831" s="41">
        <v>6</v>
      </c>
      <c r="E1831" s="41">
        <v>2050</v>
      </c>
      <c r="F1831" s="41" t="s">
        <v>4377</v>
      </c>
      <c r="G1831" s="41" t="s">
        <v>4377</v>
      </c>
      <c r="H1831" s="2043">
        <v>471900</v>
      </c>
      <c r="I1831" s="2043">
        <v>0</v>
      </c>
      <c r="J1831">
        <v>0</v>
      </c>
      <c r="K1831" s="2043">
        <v>0</v>
      </c>
      <c r="L1831" s="2043">
        <v>0</v>
      </c>
      <c r="M1831">
        <v>599</v>
      </c>
      <c r="N1831">
        <v>0</v>
      </c>
    </row>
    <row r="1832" spans="1:14">
      <c r="A1832" t="s">
        <v>3115</v>
      </c>
      <c r="B1832" t="s">
        <v>1977</v>
      </c>
      <c r="C1832" t="s">
        <v>35</v>
      </c>
      <c r="D1832" s="41">
        <v>6</v>
      </c>
      <c r="E1832" s="41">
        <v>2050</v>
      </c>
      <c r="F1832" s="41" t="s">
        <v>4377</v>
      </c>
      <c r="G1832" s="41" t="s">
        <v>4378</v>
      </c>
      <c r="H1832" s="2043">
        <v>471900</v>
      </c>
      <c r="I1832" s="2043">
        <v>439600</v>
      </c>
      <c r="J1832">
        <v>1</v>
      </c>
      <c r="K1832" s="2043">
        <v>471900</v>
      </c>
      <c r="L1832" s="2043">
        <v>439600</v>
      </c>
      <c r="M1832">
        <v>599</v>
      </c>
      <c r="N1832">
        <v>1</v>
      </c>
    </row>
    <row r="1833" spans="1:14">
      <c r="A1833" t="s">
        <v>3116</v>
      </c>
      <c r="B1833" t="s">
        <v>1379</v>
      </c>
      <c r="C1833" t="s">
        <v>527</v>
      </c>
      <c r="D1833" s="41">
        <v>9</v>
      </c>
      <c r="E1833" s="41">
        <v>2150</v>
      </c>
      <c r="F1833" s="41" t="s">
        <v>4379</v>
      </c>
      <c r="G1833" s="41" t="s">
        <v>4379</v>
      </c>
      <c r="H1833" s="2043">
        <v>100000</v>
      </c>
      <c r="I1833" s="2043">
        <v>0</v>
      </c>
      <c r="J1833">
        <v>0</v>
      </c>
      <c r="K1833" s="2043">
        <v>0</v>
      </c>
      <c r="L1833" s="2043">
        <v>0</v>
      </c>
      <c r="M1833">
        <v>599</v>
      </c>
      <c r="N1833">
        <v>0</v>
      </c>
    </row>
    <row r="1834" spans="1:14">
      <c r="A1834" t="s">
        <v>3116</v>
      </c>
      <c r="B1834" t="s">
        <v>1379</v>
      </c>
      <c r="C1834" t="s">
        <v>527</v>
      </c>
      <c r="D1834" s="41">
        <v>9</v>
      </c>
      <c r="E1834" s="41">
        <v>2150</v>
      </c>
      <c r="F1834" s="41" t="s">
        <v>4379</v>
      </c>
      <c r="G1834" s="41" t="s">
        <v>4380</v>
      </c>
      <c r="H1834" s="2043">
        <v>100000</v>
      </c>
      <c r="I1834" s="2043">
        <v>267650</v>
      </c>
      <c r="J1834">
        <v>0.535367456299494</v>
      </c>
      <c r="K1834" s="2043">
        <v>53536.745629949401</v>
      </c>
      <c r="L1834" s="2043">
        <v>53536.745629949401</v>
      </c>
      <c r="M1834">
        <v>599</v>
      </c>
      <c r="N1834">
        <v>1</v>
      </c>
    </row>
    <row r="1835" spans="1:14">
      <c r="A1835" t="s">
        <v>3116</v>
      </c>
      <c r="B1835" t="s">
        <v>1379</v>
      </c>
      <c r="C1835" t="s">
        <v>527</v>
      </c>
      <c r="D1835" s="41">
        <v>9</v>
      </c>
      <c r="E1835" s="41">
        <v>2150</v>
      </c>
      <c r="F1835" s="41" t="s">
        <v>4379</v>
      </c>
      <c r="G1835" s="41" t="s">
        <v>9376</v>
      </c>
      <c r="H1835" s="2043">
        <v>100000</v>
      </c>
      <c r="I1835" s="2043">
        <v>232287</v>
      </c>
      <c r="J1835">
        <v>0.464632543700506</v>
      </c>
      <c r="K1835" s="2043">
        <v>46463.254370050599</v>
      </c>
      <c r="L1835" s="2043">
        <v>46463.254370050599</v>
      </c>
      <c r="M1835">
        <v>599</v>
      </c>
      <c r="N1835">
        <v>1</v>
      </c>
    </row>
    <row r="1836" spans="1:14">
      <c r="A1836" t="s">
        <v>3117</v>
      </c>
      <c r="B1836" t="s">
        <v>1713</v>
      </c>
      <c r="C1836" t="s">
        <v>1006</v>
      </c>
      <c r="D1836" s="41">
        <v>1</v>
      </c>
      <c r="E1836" s="41">
        <v>1774</v>
      </c>
      <c r="F1836" s="41" t="s">
        <v>4381</v>
      </c>
      <c r="G1836" s="41" t="s">
        <v>4381</v>
      </c>
      <c r="H1836" s="2043">
        <v>1514140</v>
      </c>
      <c r="I1836" s="2043">
        <v>0</v>
      </c>
      <c r="J1836">
        <v>0</v>
      </c>
      <c r="L1836" s="2043">
        <v>0</v>
      </c>
      <c r="M1836">
        <v>599</v>
      </c>
      <c r="N1836">
        <v>0</v>
      </c>
    </row>
    <row r="1837" spans="1:14">
      <c r="A1837" t="s">
        <v>3117</v>
      </c>
      <c r="B1837" t="s">
        <v>1713</v>
      </c>
      <c r="C1837" t="s">
        <v>1006</v>
      </c>
      <c r="D1837" s="41">
        <v>4</v>
      </c>
      <c r="E1837" s="41">
        <v>1773</v>
      </c>
      <c r="F1837" s="41" t="s">
        <v>4383</v>
      </c>
      <c r="G1837" s="41" t="s">
        <v>4383</v>
      </c>
      <c r="H1837" s="2043">
        <v>1415215</v>
      </c>
      <c r="I1837" s="2043">
        <v>0</v>
      </c>
      <c r="J1837">
        <v>0</v>
      </c>
      <c r="K1837" s="2043">
        <v>0</v>
      </c>
      <c r="L1837" s="2043">
        <v>0</v>
      </c>
      <c r="M1837">
        <v>599</v>
      </c>
      <c r="N1837">
        <v>0</v>
      </c>
    </row>
    <row r="1838" spans="1:14">
      <c r="A1838" t="s">
        <v>3117</v>
      </c>
      <c r="B1838" t="s">
        <v>1713</v>
      </c>
      <c r="C1838" t="s">
        <v>1006</v>
      </c>
      <c r="D1838" s="41">
        <v>4</v>
      </c>
      <c r="E1838" s="41">
        <v>1773</v>
      </c>
      <c r="F1838" s="41" t="s">
        <v>4383</v>
      </c>
      <c r="G1838" s="41" t="s">
        <v>4382</v>
      </c>
      <c r="H1838" s="2043">
        <v>1415215</v>
      </c>
      <c r="I1838" s="2043">
        <v>0</v>
      </c>
      <c r="J1838">
        <v>0</v>
      </c>
      <c r="K1838" s="2043">
        <v>0</v>
      </c>
      <c r="L1838" s="2043">
        <v>0</v>
      </c>
      <c r="M1838">
        <v>599</v>
      </c>
      <c r="N1838">
        <v>1</v>
      </c>
    </row>
    <row r="1839" spans="1:14">
      <c r="A1839" t="s">
        <v>3117</v>
      </c>
      <c r="B1839" t="s">
        <v>1713</v>
      </c>
      <c r="C1839" t="s">
        <v>1006</v>
      </c>
      <c r="D1839" s="41">
        <v>4</v>
      </c>
      <c r="E1839" s="41">
        <v>1773</v>
      </c>
      <c r="F1839" s="41" t="s">
        <v>4383</v>
      </c>
      <c r="G1839" s="41" t="s">
        <v>5440</v>
      </c>
      <c r="H1839" s="2043">
        <v>1415215</v>
      </c>
      <c r="I1839" s="2043">
        <v>1219900</v>
      </c>
      <c r="J1839">
        <v>1</v>
      </c>
      <c r="K1839" s="2043">
        <v>1415215</v>
      </c>
      <c r="L1839" s="2043">
        <v>1219900</v>
      </c>
      <c r="M1839">
        <v>599</v>
      </c>
      <c r="N1839">
        <v>1</v>
      </c>
    </row>
    <row r="1840" spans="1:14">
      <c r="A1840" t="s">
        <v>3117</v>
      </c>
      <c r="B1840" t="s">
        <v>1713</v>
      </c>
      <c r="C1840" t="s">
        <v>1006</v>
      </c>
      <c r="D1840" s="41">
        <v>9</v>
      </c>
      <c r="E1840" s="41">
        <v>1775</v>
      </c>
      <c r="F1840" s="41" t="s">
        <v>4384</v>
      </c>
      <c r="G1840" s="41" t="s">
        <v>4384</v>
      </c>
      <c r="H1840" s="2043">
        <v>1955528</v>
      </c>
      <c r="I1840" s="2043">
        <v>0</v>
      </c>
      <c r="J1840">
        <v>0</v>
      </c>
      <c r="K1840" s="2043">
        <v>0</v>
      </c>
      <c r="L1840" s="2043">
        <v>0</v>
      </c>
      <c r="M1840">
        <v>599</v>
      </c>
      <c r="N1840">
        <v>1</v>
      </c>
    </row>
    <row r="1841" spans="1:14">
      <c r="A1841" t="s">
        <v>3117</v>
      </c>
      <c r="B1841" t="s">
        <v>1713</v>
      </c>
      <c r="C1841" t="s">
        <v>1006</v>
      </c>
      <c r="D1841" s="41">
        <v>9</v>
      </c>
      <c r="E1841" s="41">
        <v>1775</v>
      </c>
      <c r="F1841" s="41" t="s">
        <v>4384</v>
      </c>
      <c r="G1841" s="41" t="s">
        <v>5622</v>
      </c>
      <c r="H1841" s="2043">
        <v>1955528</v>
      </c>
      <c r="I1841" s="2043">
        <v>1775750</v>
      </c>
      <c r="J1841">
        <v>1</v>
      </c>
      <c r="K1841" s="2043">
        <v>1955528</v>
      </c>
      <c r="L1841" s="2043">
        <v>1775750</v>
      </c>
      <c r="M1841">
        <v>599</v>
      </c>
      <c r="N1841">
        <v>1</v>
      </c>
    </row>
    <row r="1842" spans="1:14">
      <c r="A1842" t="s">
        <v>3118</v>
      </c>
      <c r="B1842" t="s">
        <v>833</v>
      </c>
      <c r="C1842" t="s">
        <v>1750</v>
      </c>
      <c r="D1842" s="41">
        <v>2</v>
      </c>
      <c r="E1842" s="41">
        <v>1632</v>
      </c>
      <c r="F1842" s="41" t="s">
        <v>4385</v>
      </c>
      <c r="G1842" s="41" t="s">
        <v>4385</v>
      </c>
      <c r="H1842" s="2043">
        <v>348110</v>
      </c>
      <c r="I1842" s="2043">
        <v>0</v>
      </c>
      <c r="J1842">
        <v>0</v>
      </c>
      <c r="K1842" s="2043">
        <v>0</v>
      </c>
      <c r="L1842" s="2043">
        <v>0</v>
      </c>
      <c r="M1842">
        <v>599</v>
      </c>
      <c r="N1842">
        <v>0</v>
      </c>
    </row>
    <row r="1843" spans="1:14">
      <c r="A1843" t="s">
        <v>3118</v>
      </c>
      <c r="B1843" t="s">
        <v>833</v>
      </c>
      <c r="C1843" t="s">
        <v>1750</v>
      </c>
      <c r="D1843" s="41">
        <v>2</v>
      </c>
      <c r="E1843" s="41">
        <v>1632</v>
      </c>
      <c r="F1843" s="41" t="s">
        <v>4385</v>
      </c>
      <c r="G1843" s="41" t="s">
        <v>4386</v>
      </c>
      <c r="H1843" s="2043">
        <v>348110</v>
      </c>
      <c r="I1843" s="2043">
        <v>0</v>
      </c>
      <c r="J1843">
        <v>0</v>
      </c>
      <c r="K1843" s="2043">
        <v>0</v>
      </c>
      <c r="L1843" s="2043">
        <v>0</v>
      </c>
      <c r="M1843">
        <v>599</v>
      </c>
      <c r="N1843">
        <v>0</v>
      </c>
    </row>
    <row r="1844" spans="1:14">
      <c r="A1844" t="s">
        <v>3118</v>
      </c>
      <c r="B1844" t="s">
        <v>833</v>
      </c>
      <c r="C1844" t="s">
        <v>1750</v>
      </c>
      <c r="D1844" s="41">
        <v>2</v>
      </c>
      <c r="E1844" s="41">
        <v>1632</v>
      </c>
      <c r="F1844" s="41" t="s">
        <v>4385</v>
      </c>
      <c r="G1844" s="41" t="s">
        <v>4387</v>
      </c>
      <c r="H1844" s="2043">
        <v>348110</v>
      </c>
      <c r="I1844" s="2043">
        <v>58061</v>
      </c>
      <c r="J1844">
        <v>9.2593449038597994E-2</v>
      </c>
      <c r="K1844" s="2043">
        <v>32232.7055448264</v>
      </c>
      <c r="L1844" s="2043">
        <v>32232.7055448264</v>
      </c>
      <c r="M1844">
        <v>599</v>
      </c>
      <c r="N1844">
        <v>1</v>
      </c>
    </row>
    <row r="1845" spans="1:14">
      <c r="A1845" t="s">
        <v>3118</v>
      </c>
      <c r="B1845" t="s">
        <v>833</v>
      </c>
      <c r="C1845" t="s">
        <v>1750</v>
      </c>
      <c r="D1845" s="41">
        <v>2</v>
      </c>
      <c r="E1845" s="41">
        <v>1632</v>
      </c>
      <c r="F1845" s="41" t="s">
        <v>4385</v>
      </c>
      <c r="G1845" s="41" t="s">
        <v>4388</v>
      </c>
      <c r="H1845" s="2043">
        <v>348110</v>
      </c>
      <c r="I1845" s="2043">
        <v>568992</v>
      </c>
      <c r="J1845">
        <v>0.90740655096140199</v>
      </c>
      <c r="K1845" s="2043">
        <v>315877.29445517401</v>
      </c>
      <c r="L1845" s="2043">
        <v>315877.29445517401</v>
      </c>
      <c r="M1845">
        <v>599</v>
      </c>
      <c r="N1845">
        <v>1</v>
      </c>
    </row>
    <row r="1846" spans="1:14">
      <c r="A1846" t="s">
        <v>3118</v>
      </c>
      <c r="B1846" t="s">
        <v>833</v>
      </c>
      <c r="C1846" t="s">
        <v>1750</v>
      </c>
      <c r="D1846" s="41">
        <v>9</v>
      </c>
      <c r="E1846" s="41">
        <v>1631</v>
      </c>
      <c r="F1846" s="41" t="s">
        <v>4389</v>
      </c>
      <c r="G1846" s="41" t="s">
        <v>4389</v>
      </c>
      <c r="H1846" s="2043">
        <v>309622</v>
      </c>
      <c r="I1846" s="2043">
        <v>0</v>
      </c>
      <c r="J1846">
        <v>0</v>
      </c>
      <c r="K1846" s="2043">
        <v>0</v>
      </c>
      <c r="L1846" s="2043">
        <v>0</v>
      </c>
      <c r="M1846">
        <v>599</v>
      </c>
      <c r="N1846">
        <v>1</v>
      </c>
    </row>
    <row r="1847" spans="1:14">
      <c r="A1847" t="s">
        <v>3118</v>
      </c>
      <c r="B1847" t="s">
        <v>833</v>
      </c>
      <c r="C1847" t="s">
        <v>1750</v>
      </c>
      <c r="D1847" s="41">
        <v>9</v>
      </c>
      <c r="E1847" s="41">
        <v>1631</v>
      </c>
      <c r="F1847" s="41" t="s">
        <v>4389</v>
      </c>
      <c r="G1847" s="41" t="s">
        <v>5441</v>
      </c>
      <c r="H1847" s="2043">
        <v>309622</v>
      </c>
      <c r="I1847" s="2043">
        <v>754953</v>
      </c>
      <c r="J1847">
        <v>1</v>
      </c>
      <c r="K1847" s="2043">
        <v>309622</v>
      </c>
      <c r="L1847" s="2043">
        <v>309622</v>
      </c>
      <c r="M1847">
        <v>599</v>
      </c>
      <c r="N1847">
        <v>1</v>
      </c>
    </row>
    <row r="1848" spans="1:14">
      <c r="A1848" t="s">
        <v>3119</v>
      </c>
      <c r="B1848" t="s">
        <v>1875</v>
      </c>
      <c r="C1848" t="s">
        <v>2105</v>
      </c>
      <c r="D1848" s="41">
        <v>6</v>
      </c>
      <c r="E1848" s="41">
        <v>2032</v>
      </c>
      <c r="F1848" s="41" t="s">
        <v>4390</v>
      </c>
      <c r="G1848" s="41" t="s">
        <v>4390</v>
      </c>
      <c r="H1848" s="2043">
        <v>100000</v>
      </c>
      <c r="I1848" s="2043">
        <v>96628</v>
      </c>
      <c r="J1848">
        <v>1</v>
      </c>
      <c r="K1848" s="2043">
        <v>100000</v>
      </c>
      <c r="L1848" s="2043">
        <v>96628</v>
      </c>
      <c r="M1848">
        <v>599</v>
      </c>
      <c r="N1848">
        <v>1</v>
      </c>
    </row>
    <row r="1849" spans="1:14">
      <c r="A1849" t="s">
        <v>3120</v>
      </c>
      <c r="B1849" t="s">
        <v>915</v>
      </c>
      <c r="C1849" t="s">
        <v>395</v>
      </c>
      <c r="D1849" s="41">
        <v>5</v>
      </c>
      <c r="E1849" s="41">
        <v>1731</v>
      </c>
      <c r="F1849" s="41" t="s">
        <v>4391</v>
      </c>
      <c r="G1849" s="41" t="s">
        <v>4391</v>
      </c>
      <c r="H1849" s="2043">
        <v>257868</v>
      </c>
      <c r="I1849" s="2043">
        <v>0</v>
      </c>
      <c r="J1849">
        <v>0</v>
      </c>
      <c r="K1849" s="2043">
        <v>0</v>
      </c>
      <c r="L1849" s="2043">
        <v>0</v>
      </c>
      <c r="M1849">
        <v>599</v>
      </c>
      <c r="N1849">
        <v>0</v>
      </c>
    </row>
    <row r="1850" spans="1:14">
      <c r="A1850" t="s">
        <v>3120</v>
      </c>
      <c r="B1850" t="s">
        <v>915</v>
      </c>
      <c r="C1850" t="s">
        <v>395</v>
      </c>
      <c r="D1850" s="41">
        <v>5</v>
      </c>
      <c r="E1850" s="41">
        <v>1731</v>
      </c>
      <c r="F1850" s="41" t="s">
        <v>4391</v>
      </c>
      <c r="G1850" s="41" t="s">
        <v>4392</v>
      </c>
      <c r="H1850" s="2043">
        <v>257868</v>
      </c>
      <c r="I1850" s="2043">
        <v>0</v>
      </c>
      <c r="J1850">
        <v>0</v>
      </c>
      <c r="K1850" s="2043">
        <v>0</v>
      </c>
      <c r="L1850" s="2043">
        <v>0</v>
      </c>
      <c r="M1850">
        <v>599</v>
      </c>
      <c r="N1850">
        <v>1</v>
      </c>
    </row>
    <row r="1851" spans="1:14">
      <c r="A1851" t="s">
        <v>3120</v>
      </c>
      <c r="B1851" t="s">
        <v>915</v>
      </c>
      <c r="C1851" t="s">
        <v>395</v>
      </c>
      <c r="D1851" s="41">
        <v>5</v>
      </c>
      <c r="E1851" s="41">
        <v>1731</v>
      </c>
      <c r="F1851" s="41" t="s">
        <v>4391</v>
      </c>
      <c r="G1851" s="41" t="s">
        <v>5442</v>
      </c>
      <c r="H1851" s="2043">
        <v>257868</v>
      </c>
      <c r="I1851" s="2043">
        <v>233275</v>
      </c>
      <c r="J1851">
        <v>1</v>
      </c>
      <c r="K1851" s="2043">
        <v>257868</v>
      </c>
      <c r="L1851" s="2043">
        <v>233275</v>
      </c>
      <c r="M1851">
        <v>599</v>
      </c>
      <c r="N1851">
        <v>1</v>
      </c>
    </row>
    <row r="1852" spans="1:14">
      <c r="A1852" t="s">
        <v>3121</v>
      </c>
      <c r="B1852" t="s">
        <v>661</v>
      </c>
      <c r="C1852" t="s">
        <v>1792</v>
      </c>
      <c r="D1852" s="41">
        <v>5</v>
      </c>
      <c r="E1852" s="41">
        <v>1988</v>
      </c>
      <c r="F1852" s="41" t="s">
        <v>4393</v>
      </c>
      <c r="G1852" s="41" t="s">
        <v>4393</v>
      </c>
      <c r="H1852" s="2043">
        <v>575000</v>
      </c>
      <c r="I1852" s="2043">
        <v>0</v>
      </c>
      <c r="J1852">
        <v>0</v>
      </c>
      <c r="K1852" s="2043">
        <v>0</v>
      </c>
      <c r="L1852" s="2043">
        <v>0</v>
      </c>
      <c r="M1852">
        <v>599</v>
      </c>
      <c r="N1852">
        <v>0</v>
      </c>
    </row>
    <row r="1853" spans="1:14">
      <c r="A1853" t="s">
        <v>3121</v>
      </c>
      <c r="B1853" t="s">
        <v>661</v>
      </c>
      <c r="C1853" t="s">
        <v>1792</v>
      </c>
      <c r="D1853" s="41">
        <v>5</v>
      </c>
      <c r="E1853" s="41">
        <v>1988</v>
      </c>
      <c r="F1853" s="41" t="s">
        <v>4393</v>
      </c>
      <c r="G1853" s="41" t="s">
        <v>4394</v>
      </c>
      <c r="H1853" s="2043">
        <v>575000</v>
      </c>
      <c r="I1853" s="2043">
        <v>0</v>
      </c>
      <c r="J1853">
        <v>0</v>
      </c>
      <c r="K1853" s="2043">
        <v>0</v>
      </c>
      <c r="L1853" s="2043">
        <v>0</v>
      </c>
      <c r="M1853">
        <v>599</v>
      </c>
      <c r="N1853">
        <v>1</v>
      </c>
    </row>
    <row r="1854" spans="1:14">
      <c r="A1854" t="s">
        <v>3121</v>
      </c>
      <c r="B1854" t="s">
        <v>661</v>
      </c>
      <c r="C1854" t="s">
        <v>1792</v>
      </c>
      <c r="D1854" s="41">
        <v>5</v>
      </c>
      <c r="E1854" s="41">
        <v>1988</v>
      </c>
      <c r="F1854" s="41" t="s">
        <v>4393</v>
      </c>
      <c r="G1854" s="41" t="s">
        <v>5623</v>
      </c>
      <c r="H1854" s="2043">
        <v>575000</v>
      </c>
      <c r="I1854" s="2043">
        <v>484350</v>
      </c>
      <c r="J1854">
        <v>1</v>
      </c>
      <c r="K1854" s="2043">
        <v>575000</v>
      </c>
      <c r="L1854" s="2043">
        <v>484350</v>
      </c>
      <c r="M1854">
        <v>599</v>
      </c>
      <c r="N1854">
        <v>1</v>
      </c>
    </row>
    <row r="1855" spans="1:14">
      <c r="A1855" t="s">
        <v>3121</v>
      </c>
      <c r="B1855" t="s">
        <v>661</v>
      </c>
      <c r="C1855" t="s">
        <v>1792</v>
      </c>
      <c r="D1855" s="41">
        <v>10</v>
      </c>
      <c r="E1855" s="41">
        <v>1989</v>
      </c>
      <c r="F1855" s="41" t="s">
        <v>4395</v>
      </c>
      <c r="G1855" s="41" t="s">
        <v>4395</v>
      </c>
      <c r="H1855" s="2043">
        <v>634429</v>
      </c>
      <c r="I1855" s="2043">
        <v>0</v>
      </c>
      <c r="J1855">
        <v>0</v>
      </c>
      <c r="K1855" s="2043">
        <v>0</v>
      </c>
      <c r="L1855" s="2043">
        <v>0</v>
      </c>
      <c r="M1855">
        <v>599</v>
      </c>
      <c r="N1855">
        <v>1</v>
      </c>
    </row>
    <row r="1856" spans="1:14">
      <c r="A1856" t="s">
        <v>3121</v>
      </c>
      <c r="B1856" t="s">
        <v>661</v>
      </c>
      <c r="C1856" t="s">
        <v>1792</v>
      </c>
      <c r="D1856" s="41">
        <v>10</v>
      </c>
      <c r="E1856" s="41">
        <v>1989</v>
      </c>
      <c r="F1856" s="41" t="s">
        <v>4395</v>
      </c>
      <c r="G1856" s="41" t="s">
        <v>7250</v>
      </c>
      <c r="H1856" s="2043">
        <v>634429</v>
      </c>
      <c r="I1856" s="2043">
        <v>352000</v>
      </c>
      <c r="J1856">
        <v>0.44695574884134298</v>
      </c>
      <c r="K1856" s="2043">
        <v>283561.688781665</v>
      </c>
      <c r="L1856" s="2043">
        <v>283561.688781665</v>
      </c>
      <c r="M1856">
        <v>599</v>
      </c>
      <c r="N1856">
        <v>1</v>
      </c>
    </row>
    <row r="1857" spans="1:14">
      <c r="A1857" t="s">
        <v>3121</v>
      </c>
      <c r="B1857" t="s">
        <v>661</v>
      </c>
      <c r="C1857" t="s">
        <v>1792</v>
      </c>
      <c r="D1857" s="41">
        <v>10</v>
      </c>
      <c r="E1857" s="41">
        <v>1989</v>
      </c>
      <c r="F1857" s="41" t="s">
        <v>4395</v>
      </c>
      <c r="G1857" s="41" t="s">
        <v>8641</v>
      </c>
      <c r="H1857" s="2043">
        <v>634429</v>
      </c>
      <c r="I1857" s="2043">
        <v>435550</v>
      </c>
      <c r="J1857">
        <v>0.55304425115865696</v>
      </c>
      <c r="K1857" s="2043">
        <v>350867.311218335</v>
      </c>
      <c r="L1857" s="2043">
        <v>350867.311218335</v>
      </c>
      <c r="M1857">
        <v>599</v>
      </c>
      <c r="N1857">
        <v>1</v>
      </c>
    </row>
    <row r="1858" spans="1:14">
      <c r="A1858" t="s">
        <v>3122</v>
      </c>
      <c r="B1858" t="s">
        <v>916</v>
      </c>
      <c r="C1858" t="s">
        <v>1183</v>
      </c>
      <c r="D1858" s="41">
        <v>4</v>
      </c>
      <c r="E1858" s="41">
        <v>2036</v>
      </c>
      <c r="F1858" s="41" t="s">
        <v>4396</v>
      </c>
      <c r="G1858" s="41" t="s">
        <v>4396</v>
      </c>
      <c r="H1858" s="2043">
        <v>336827</v>
      </c>
      <c r="I1858" s="2043">
        <v>0</v>
      </c>
      <c r="J1858">
        <v>0</v>
      </c>
      <c r="K1858" s="2043">
        <v>0</v>
      </c>
      <c r="L1858" s="2043">
        <v>0</v>
      </c>
      <c r="M1858">
        <v>599</v>
      </c>
      <c r="N1858">
        <v>0</v>
      </c>
    </row>
    <row r="1859" spans="1:14">
      <c r="A1859" t="s">
        <v>3122</v>
      </c>
      <c r="B1859" t="s">
        <v>916</v>
      </c>
      <c r="C1859" t="s">
        <v>1183</v>
      </c>
      <c r="D1859" s="41">
        <v>4</v>
      </c>
      <c r="E1859" s="41">
        <v>2036</v>
      </c>
      <c r="F1859" s="41" t="s">
        <v>4396</v>
      </c>
      <c r="G1859" s="41" t="s">
        <v>4397</v>
      </c>
      <c r="H1859" s="2043">
        <v>336827</v>
      </c>
      <c r="I1859" s="2043">
        <v>0</v>
      </c>
      <c r="J1859">
        <v>0</v>
      </c>
      <c r="K1859" s="2043">
        <v>0</v>
      </c>
      <c r="L1859" s="2043">
        <v>0</v>
      </c>
      <c r="M1859">
        <v>599</v>
      </c>
      <c r="N1859">
        <v>0</v>
      </c>
    </row>
    <row r="1860" spans="1:14">
      <c r="A1860" t="s">
        <v>3122</v>
      </c>
      <c r="B1860" t="s">
        <v>916</v>
      </c>
      <c r="C1860" t="s">
        <v>1183</v>
      </c>
      <c r="D1860" s="41">
        <v>4</v>
      </c>
      <c r="E1860" s="41">
        <v>2036</v>
      </c>
      <c r="F1860" s="41" t="s">
        <v>4396</v>
      </c>
      <c r="G1860" s="41" t="s">
        <v>5443</v>
      </c>
      <c r="H1860" s="2043">
        <v>336827</v>
      </c>
      <c r="I1860" s="2043">
        <v>577700</v>
      </c>
      <c r="J1860">
        <v>1</v>
      </c>
      <c r="K1860" s="2043">
        <v>336827</v>
      </c>
      <c r="L1860" s="2043">
        <v>336827</v>
      </c>
      <c r="M1860">
        <v>599</v>
      </c>
      <c r="N1860">
        <v>1</v>
      </c>
    </row>
    <row r="1861" spans="1:14">
      <c r="A1861" t="s">
        <v>3122</v>
      </c>
      <c r="B1861" t="s">
        <v>916</v>
      </c>
      <c r="C1861" t="s">
        <v>1183</v>
      </c>
      <c r="D1861" s="41">
        <v>6</v>
      </c>
      <c r="E1861" s="41">
        <v>2035</v>
      </c>
      <c r="F1861" s="41" t="s">
        <v>4398</v>
      </c>
      <c r="G1861" s="41" t="s">
        <v>4398</v>
      </c>
      <c r="H1861" s="2043">
        <v>330640</v>
      </c>
      <c r="I1861" s="2043">
        <v>0</v>
      </c>
      <c r="J1861">
        <v>0</v>
      </c>
      <c r="K1861" s="2043">
        <v>0</v>
      </c>
      <c r="L1861" s="2043">
        <v>0</v>
      </c>
      <c r="M1861">
        <v>599</v>
      </c>
      <c r="N1861">
        <v>0</v>
      </c>
    </row>
    <row r="1862" spans="1:14">
      <c r="A1862" t="s">
        <v>3122</v>
      </c>
      <c r="B1862" t="s">
        <v>916</v>
      </c>
      <c r="C1862" t="s">
        <v>1183</v>
      </c>
      <c r="D1862" s="41">
        <v>6</v>
      </c>
      <c r="E1862" s="41">
        <v>2035</v>
      </c>
      <c r="F1862" s="41" t="s">
        <v>4398</v>
      </c>
      <c r="G1862" s="41" t="s">
        <v>4399</v>
      </c>
      <c r="H1862" s="2043">
        <v>330640</v>
      </c>
      <c r="I1862" s="2043">
        <v>0</v>
      </c>
      <c r="J1862">
        <v>0</v>
      </c>
      <c r="K1862" s="2043">
        <v>0</v>
      </c>
      <c r="L1862" s="2043">
        <v>0</v>
      </c>
      <c r="M1862">
        <v>599</v>
      </c>
      <c r="N1862">
        <v>1</v>
      </c>
    </row>
    <row r="1863" spans="1:14">
      <c r="A1863" t="s">
        <v>3122</v>
      </c>
      <c r="B1863" t="s">
        <v>916</v>
      </c>
      <c r="C1863" t="s">
        <v>1183</v>
      </c>
      <c r="D1863" s="41">
        <v>6</v>
      </c>
      <c r="E1863" s="41">
        <v>2035</v>
      </c>
      <c r="F1863" s="41" t="s">
        <v>4398</v>
      </c>
      <c r="G1863" s="41" t="s">
        <v>4400</v>
      </c>
      <c r="H1863" s="2043">
        <v>330640</v>
      </c>
      <c r="I1863" s="2043">
        <v>0</v>
      </c>
      <c r="J1863">
        <v>0</v>
      </c>
      <c r="K1863" s="2043">
        <v>0</v>
      </c>
      <c r="L1863" s="2043">
        <v>0</v>
      </c>
      <c r="M1863">
        <v>599</v>
      </c>
      <c r="N1863">
        <v>1</v>
      </c>
    </row>
    <row r="1864" spans="1:14">
      <c r="A1864" t="s">
        <v>3122</v>
      </c>
      <c r="B1864" t="s">
        <v>916</v>
      </c>
      <c r="C1864" t="s">
        <v>1183</v>
      </c>
      <c r="D1864" s="41">
        <v>6</v>
      </c>
      <c r="E1864" s="41">
        <v>2035</v>
      </c>
      <c r="F1864" s="41" t="s">
        <v>4398</v>
      </c>
      <c r="G1864" s="41" t="s">
        <v>5624</v>
      </c>
      <c r="H1864" s="2043">
        <v>330640</v>
      </c>
      <c r="I1864" s="2043">
        <v>484000</v>
      </c>
      <c r="J1864">
        <v>1</v>
      </c>
      <c r="K1864" s="2043">
        <v>330640</v>
      </c>
      <c r="L1864" s="2043">
        <v>330640</v>
      </c>
      <c r="M1864">
        <v>599</v>
      </c>
      <c r="N1864">
        <v>1</v>
      </c>
    </row>
    <row r="1865" spans="1:14">
      <c r="A1865" t="s">
        <v>3123</v>
      </c>
      <c r="B1865" t="s">
        <v>1731</v>
      </c>
      <c r="C1865" t="s">
        <v>1951</v>
      </c>
      <c r="D1865" s="41">
        <v>2</v>
      </c>
      <c r="E1865" s="41">
        <v>2069</v>
      </c>
      <c r="F1865" s="41" t="s">
        <v>4401</v>
      </c>
      <c r="G1865" s="41" t="s">
        <v>4401</v>
      </c>
      <c r="H1865" s="2043">
        <v>177063</v>
      </c>
      <c r="I1865" s="2043">
        <v>0</v>
      </c>
      <c r="J1865">
        <v>0</v>
      </c>
      <c r="K1865" s="2043">
        <v>0</v>
      </c>
      <c r="L1865" s="2043">
        <v>0</v>
      </c>
      <c r="M1865">
        <v>599</v>
      </c>
      <c r="N1865">
        <v>0</v>
      </c>
    </row>
    <row r="1866" spans="1:14">
      <c r="A1866" t="s">
        <v>3123</v>
      </c>
      <c r="B1866" t="s">
        <v>1731</v>
      </c>
      <c r="C1866" t="s">
        <v>1951</v>
      </c>
      <c r="D1866" s="41">
        <v>2</v>
      </c>
      <c r="E1866" s="41">
        <v>2069</v>
      </c>
      <c r="F1866" s="41" t="s">
        <v>4401</v>
      </c>
      <c r="G1866" s="41" t="s">
        <v>4402</v>
      </c>
      <c r="H1866" s="2043">
        <v>177063</v>
      </c>
      <c r="I1866" s="2043">
        <v>0</v>
      </c>
      <c r="J1866">
        <v>0</v>
      </c>
      <c r="K1866" s="2043">
        <v>0</v>
      </c>
      <c r="L1866" s="2043">
        <v>0</v>
      </c>
      <c r="M1866">
        <v>599</v>
      </c>
      <c r="N1866">
        <v>1</v>
      </c>
    </row>
    <row r="1867" spans="1:14">
      <c r="A1867" t="s">
        <v>3123</v>
      </c>
      <c r="B1867" t="s">
        <v>1731</v>
      </c>
      <c r="C1867" t="s">
        <v>1951</v>
      </c>
      <c r="D1867" s="41">
        <v>2</v>
      </c>
      <c r="E1867" s="41">
        <v>2069</v>
      </c>
      <c r="F1867" s="41" t="s">
        <v>4401</v>
      </c>
      <c r="G1867" s="41" t="s">
        <v>8574</v>
      </c>
      <c r="H1867" s="2043">
        <v>177063</v>
      </c>
      <c r="I1867" s="2043">
        <v>74022</v>
      </c>
      <c r="J1867">
        <v>1</v>
      </c>
      <c r="K1867" s="2043">
        <v>177063</v>
      </c>
      <c r="L1867" s="2043">
        <v>74022</v>
      </c>
      <c r="M1867">
        <v>599</v>
      </c>
      <c r="N1867">
        <v>1</v>
      </c>
    </row>
    <row r="1868" spans="1:14">
      <c r="A1868" t="s">
        <v>3124</v>
      </c>
      <c r="B1868" t="s">
        <v>1452</v>
      </c>
      <c r="C1868" t="s">
        <v>773</v>
      </c>
      <c r="D1868" s="41">
        <v>5</v>
      </c>
      <c r="E1868" s="41">
        <v>2081</v>
      </c>
      <c r="F1868" s="41" t="s">
        <v>4403</v>
      </c>
      <c r="G1868" s="41" t="s">
        <v>4403</v>
      </c>
      <c r="H1868" s="2043">
        <v>241790</v>
      </c>
      <c r="I1868" s="2043">
        <v>277866</v>
      </c>
      <c r="J1868">
        <v>0.48783425299908201</v>
      </c>
      <c r="K1868" s="2043">
        <v>117953.444032648</v>
      </c>
      <c r="L1868" s="2043">
        <v>117953.444032648</v>
      </c>
      <c r="M1868">
        <v>599</v>
      </c>
      <c r="N1868">
        <v>1</v>
      </c>
    </row>
    <row r="1869" spans="1:14">
      <c r="A1869" t="s">
        <v>3124</v>
      </c>
      <c r="B1869" t="s">
        <v>1452</v>
      </c>
      <c r="C1869" t="s">
        <v>773</v>
      </c>
      <c r="D1869" s="41">
        <v>5</v>
      </c>
      <c r="E1869" s="41">
        <v>2081</v>
      </c>
      <c r="F1869" s="41" t="s">
        <v>4403</v>
      </c>
      <c r="G1869" s="41" t="s">
        <v>4404</v>
      </c>
      <c r="H1869" s="2043">
        <v>241790</v>
      </c>
      <c r="I1869" s="2043">
        <v>0</v>
      </c>
      <c r="J1869">
        <v>0</v>
      </c>
      <c r="K1869" s="2043">
        <v>0</v>
      </c>
      <c r="L1869" s="2043">
        <v>0</v>
      </c>
      <c r="M1869">
        <v>599</v>
      </c>
      <c r="N1869">
        <v>1</v>
      </c>
    </row>
    <row r="1870" spans="1:14">
      <c r="A1870" t="s">
        <v>3124</v>
      </c>
      <c r="B1870" t="s">
        <v>1452</v>
      </c>
      <c r="C1870" t="s">
        <v>773</v>
      </c>
      <c r="D1870" s="41">
        <v>5</v>
      </c>
      <c r="E1870" s="41">
        <v>2081</v>
      </c>
      <c r="F1870" s="41" t="s">
        <v>4403</v>
      </c>
      <c r="G1870" s="41" t="s">
        <v>7251</v>
      </c>
      <c r="H1870" s="2043">
        <v>241790</v>
      </c>
      <c r="I1870" s="2043">
        <v>291725</v>
      </c>
      <c r="J1870">
        <v>0.51216574700091799</v>
      </c>
      <c r="K1870" s="2043">
        <v>123836.555967352</v>
      </c>
      <c r="L1870" s="2043">
        <v>123836.555967352</v>
      </c>
      <c r="M1870">
        <v>599</v>
      </c>
      <c r="N1870">
        <v>1</v>
      </c>
    </row>
    <row r="1871" spans="1:14">
      <c r="A1871" t="s">
        <v>3124</v>
      </c>
      <c r="B1871" t="s">
        <v>1452</v>
      </c>
      <c r="C1871" t="s">
        <v>773</v>
      </c>
      <c r="D1871" s="41">
        <v>11</v>
      </c>
      <c r="E1871" s="41">
        <v>2522</v>
      </c>
      <c r="F1871" s="41" t="s">
        <v>7252</v>
      </c>
      <c r="G1871" s="41" t="s">
        <v>7252</v>
      </c>
      <c r="H1871" s="2043">
        <v>330174</v>
      </c>
      <c r="I1871" s="2043">
        <v>25458</v>
      </c>
      <c r="J1871">
        <v>5.5456199013211603E-2</v>
      </c>
      <c r="K1871" s="2043">
        <v>18310.1950529881</v>
      </c>
      <c r="L1871" s="2043">
        <v>18310.1950529881</v>
      </c>
      <c r="M1871">
        <v>599</v>
      </c>
      <c r="N1871">
        <v>1</v>
      </c>
    </row>
    <row r="1872" spans="1:14">
      <c r="A1872" t="s">
        <v>3124</v>
      </c>
      <c r="B1872" t="s">
        <v>1452</v>
      </c>
      <c r="C1872" t="s">
        <v>773</v>
      </c>
      <c r="D1872" s="41">
        <v>11</v>
      </c>
      <c r="E1872" s="41">
        <v>2522</v>
      </c>
      <c r="F1872" s="41" t="s">
        <v>7252</v>
      </c>
      <c r="G1872" s="41" t="s">
        <v>9377</v>
      </c>
      <c r="H1872" s="2043">
        <v>330174</v>
      </c>
      <c r="I1872" s="2043">
        <v>433607</v>
      </c>
      <c r="J1872">
        <v>0.94454380098678803</v>
      </c>
      <c r="K1872" s="2043">
        <v>311863.80494701199</v>
      </c>
      <c r="L1872" s="2043">
        <v>311863.80494701199</v>
      </c>
      <c r="M1872">
        <v>599</v>
      </c>
      <c r="N1872">
        <v>1</v>
      </c>
    </row>
    <row r="1873" spans="1:14">
      <c r="A1873" t="s">
        <v>3125</v>
      </c>
      <c r="B1873" t="s">
        <v>104</v>
      </c>
      <c r="C1873" t="s">
        <v>1653</v>
      </c>
      <c r="D1873" s="41">
        <v>10</v>
      </c>
      <c r="E1873" s="41">
        <v>2119</v>
      </c>
      <c r="F1873" s="41" t="s">
        <v>4405</v>
      </c>
      <c r="G1873" s="41" t="s">
        <v>4405</v>
      </c>
      <c r="H1873" s="2043">
        <v>185967</v>
      </c>
      <c r="I1873" s="2043">
        <v>32200</v>
      </c>
      <c r="J1873">
        <v>4.8628583337612198E-2</v>
      </c>
      <c r="K1873" s="2043">
        <v>9043.31175754574</v>
      </c>
      <c r="L1873" s="2043">
        <v>9043.31175754574</v>
      </c>
      <c r="M1873">
        <v>599</v>
      </c>
      <c r="N1873">
        <v>1</v>
      </c>
    </row>
    <row r="1874" spans="1:14">
      <c r="A1874" t="s">
        <v>3125</v>
      </c>
      <c r="B1874" t="s">
        <v>104</v>
      </c>
      <c r="C1874" t="s">
        <v>1653</v>
      </c>
      <c r="D1874" s="41">
        <v>10</v>
      </c>
      <c r="E1874" s="41">
        <v>2119</v>
      </c>
      <c r="F1874" s="41" t="s">
        <v>4405</v>
      </c>
      <c r="G1874" s="41" t="s">
        <v>7253</v>
      </c>
      <c r="H1874" s="2043">
        <v>185967</v>
      </c>
      <c r="I1874" s="2043">
        <v>629962</v>
      </c>
      <c r="J1874">
        <v>0.951371416662388</v>
      </c>
      <c r="K1874" s="2043">
        <v>176923.68824245399</v>
      </c>
      <c r="L1874" s="2043">
        <v>176923.68824245399</v>
      </c>
      <c r="M1874">
        <v>599</v>
      </c>
      <c r="N1874">
        <v>1</v>
      </c>
    </row>
    <row r="1875" spans="1:14">
      <c r="A1875" t="s">
        <v>3126</v>
      </c>
      <c r="B1875" t="s">
        <v>1973</v>
      </c>
      <c r="C1875" t="s">
        <v>1643</v>
      </c>
      <c r="D1875" s="41">
        <v>2</v>
      </c>
      <c r="E1875" s="41">
        <v>2238</v>
      </c>
      <c r="F1875" s="41" t="s">
        <v>4406</v>
      </c>
      <c r="G1875" s="41" t="s">
        <v>4406</v>
      </c>
      <c r="H1875" s="2043">
        <v>154071</v>
      </c>
      <c r="I1875" s="2043">
        <v>0</v>
      </c>
      <c r="J1875">
        <v>0</v>
      </c>
      <c r="K1875" s="2043">
        <v>0</v>
      </c>
      <c r="L1875" s="2043">
        <v>0</v>
      </c>
      <c r="M1875">
        <v>599</v>
      </c>
      <c r="N1875">
        <v>0</v>
      </c>
    </row>
    <row r="1876" spans="1:14">
      <c r="A1876" t="s">
        <v>3126</v>
      </c>
      <c r="B1876" t="s">
        <v>1973</v>
      </c>
      <c r="C1876" t="s">
        <v>1643</v>
      </c>
      <c r="D1876" s="41">
        <v>2</v>
      </c>
      <c r="E1876" s="41">
        <v>2238</v>
      </c>
      <c r="F1876" s="41" t="s">
        <v>4406</v>
      </c>
      <c r="G1876" s="41" t="s">
        <v>4407</v>
      </c>
      <c r="H1876" s="2043">
        <v>154071</v>
      </c>
      <c r="I1876" s="2043">
        <v>0</v>
      </c>
      <c r="J1876">
        <v>0</v>
      </c>
      <c r="K1876" s="2043">
        <v>0</v>
      </c>
      <c r="L1876" s="2043">
        <v>0</v>
      </c>
      <c r="M1876">
        <v>599</v>
      </c>
      <c r="N1876">
        <v>1</v>
      </c>
    </row>
    <row r="1877" spans="1:14">
      <c r="A1877" t="s">
        <v>3126</v>
      </c>
      <c r="B1877" t="s">
        <v>1973</v>
      </c>
      <c r="C1877" t="s">
        <v>1643</v>
      </c>
      <c r="D1877" s="41">
        <v>2</v>
      </c>
      <c r="E1877" s="41">
        <v>2238</v>
      </c>
      <c r="F1877" s="41" t="s">
        <v>4406</v>
      </c>
      <c r="G1877" s="41" t="s">
        <v>7335</v>
      </c>
      <c r="H1877" s="2043">
        <v>154071</v>
      </c>
      <c r="I1877" s="2043">
        <v>57136</v>
      </c>
      <c r="J1877">
        <v>1</v>
      </c>
      <c r="K1877" s="2043">
        <v>154071</v>
      </c>
      <c r="L1877" s="2043">
        <v>57136</v>
      </c>
      <c r="M1877">
        <v>599</v>
      </c>
      <c r="N1877">
        <v>1</v>
      </c>
    </row>
    <row r="1878" spans="1:14">
      <c r="A1878" t="s">
        <v>3126</v>
      </c>
      <c r="B1878" t="s">
        <v>1973</v>
      </c>
      <c r="C1878" t="s">
        <v>1643</v>
      </c>
      <c r="D1878" s="41">
        <v>6</v>
      </c>
      <c r="E1878" s="41">
        <v>2236</v>
      </c>
      <c r="F1878" s="41" t="s">
        <v>4408</v>
      </c>
      <c r="G1878" s="41" t="s">
        <v>4408</v>
      </c>
      <c r="H1878" s="2043">
        <v>120494</v>
      </c>
      <c r="I1878" s="2043">
        <v>0</v>
      </c>
      <c r="J1878">
        <v>0</v>
      </c>
      <c r="L1878" s="2043">
        <v>0</v>
      </c>
      <c r="M1878">
        <v>599</v>
      </c>
      <c r="N1878">
        <v>1</v>
      </c>
    </row>
    <row r="1879" spans="1:14">
      <c r="A1879" t="s">
        <v>3126</v>
      </c>
      <c r="B1879" t="s">
        <v>1973</v>
      </c>
      <c r="C1879" t="s">
        <v>1643</v>
      </c>
      <c r="D1879" s="41">
        <v>10</v>
      </c>
      <c r="E1879" s="41">
        <v>2237</v>
      </c>
      <c r="F1879" s="41" t="s">
        <v>4409</v>
      </c>
      <c r="G1879" s="41" t="s">
        <v>4409</v>
      </c>
      <c r="H1879" s="2043">
        <v>131250</v>
      </c>
      <c r="I1879" s="2043">
        <v>0</v>
      </c>
      <c r="J1879">
        <v>0</v>
      </c>
      <c r="K1879" s="2043">
        <v>0</v>
      </c>
      <c r="L1879" s="2043">
        <v>0</v>
      </c>
      <c r="M1879">
        <v>599</v>
      </c>
      <c r="N1879">
        <v>1</v>
      </c>
    </row>
    <row r="1880" spans="1:14">
      <c r="A1880" t="s">
        <v>3126</v>
      </c>
      <c r="B1880" t="s">
        <v>1973</v>
      </c>
      <c r="C1880" t="s">
        <v>1643</v>
      </c>
      <c r="D1880" s="41">
        <v>10</v>
      </c>
      <c r="E1880" s="41">
        <v>2237</v>
      </c>
      <c r="F1880" s="41" t="s">
        <v>4409</v>
      </c>
      <c r="G1880" s="41" t="s">
        <v>7335</v>
      </c>
      <c r="H1880" s="2043">
        <v>131250</v>
      </c>
      <c r="I1880" s="2043">
        <v>600314</v>
      </c>
      <c r="J1880">
        <v>0.68996533588333697</v>
      </c>
      <c r="K1880" s="2043">
        <v>90557.950334687994</v>
      </c>
      <c r="L1880" s="2043">
        <v>90557.950334687994</v>
      </c>
      <c r="M1880">
        <v>599</v>
      </c>
      <c r="N1880">
        <v>1</v>
      </c>
    </row>
    <row r="1881" spans="1:14">
      <c r="A1881" t="s">
        <v>3126</v>
      </c>
      <c r="B1881" t="s">
        <v>1973</v>
      </c>
      <c r="C1881" t="s">
        <v>1643</v>
      </c>
      <c r="D1881" s="41">
        <v>10</v>
      </c>
      <c r="E1881" s="41">
        <v>2237</v>
      </c>
      <c r="F1881" s="41" t="s">
        <v>4409</v>
      </c>
      <c r="G1881" s="41" t="s">
        <v>8575</v>
      </c>
      <c r="H1881" s="2043">
        <v>131250</v>
      </c>
      <c r="I1881" s="2043">
        <v>269750</v>
      </c>
      <c r="J1881">
        <v>0.31003466411666297</v>
      </c>
      <c r="K1881" s="2043">
        <v>40692.049665311999</v>
      </c>
      <c r="L1881" s="2043">
        <v>40692.049665311999</v>
      </c>
      <c r="M1881">
        <v>599</v>
      </c>
      <c r="N1881">
        <v>1</v>
      </c>
    </row>
    <row r="1882" spans="1:14">
      <c r="A1882" t="s">
        <v>3127</v>
      </c>
      <c r="B1882" t="s">
        <v>324</v>
      </c>
      <c r="C1882" t="s">
        <v>127</v>
      </c>
      <c r="D1882" s="41">
        <v>2</v>
      </c>
      <c r="E1882" s="41">
        <v>2430</v>
      </c>
      <c r="F1882" s="41" t="s">
        <v>4410</v>
      </c>
      <c r="G1882" s="41" t="s">
        <v>4410</v>
      </c>
      <c r="H1882" s="2043">
        <v>1464892</v>
      </c>
      <c r="I1882" s="2043">
        <v>0</v>
      </c>
      <c r="J1882">
        <v>0</v>
      </c>
      <c r="L1882" s="2043">
        <v>0</v>
      </c>
      <c r="M1882">
        <v>599</v>
      </c>
      <c r="N1882">
        <v>0</v>
      </c>
    </row>
    <row r="1883" spans="1:14">
      <c r="A1883" t="s">
        <v>3127</v>
      </c>
      <c r="B1883" t="s">
        <v>324</v>
      </c>
      <c r="C1883" t="s">
        <v>127</v>
      </c>
      <c r="D1883" s="41">
        <v>6</v>
      </c>
      <c r="E1883" s="41">
        <v>2429</v>
      </c>
      <c r="F1883" s="41" t="s">
        <v>4411</v>
      </c>
      <c r="G1883" s="41" t="s">
        <v>4411</v>
      </c>
      <c r="H1883" s="2043">
        <v>908082</v>
      </c>
      <c r="I1883" s="2043">
        <v>0</v>
      </c>
      <c r="J1883">
        <v>0</v>
      </c>
      <c r="K1883" s="2043">
        <v>0</v>
      </c>
      <c r="L1883" s="2043">
        <v>0</v>
      </c>
      <c r="M1883">
        <v>599</v>
      </c>
      <c r="N1883">
        <v>0</v>
      </c>
    </row>
    <row r="1884" spans="1:14">
      <c r="A1884" t="s">
        <v>3127</v>
      </c>
      <c r="B1884" t="s">
        <v>324</v>
      </c>
      <c r="C1884" t="s">
        <v>127</v>
      </c>
      <c r="D1884" s="41">
        <v>6</v>
      </c>
      <c r="E1884" s="41">
        <v>2429</v>
      </c>
      <c r="F1884" s="41" t="s">
        <v>4411</v>
      </c>
      <c r="G1884" s="41" t="s">
        <v>4412</v>
      </c>
      <c r="H1884" s="2043">
        <v>908082</v>
      </c>
      <c r="I1884" s="2043">
        <v>0</v>
      </c>
      <c r="J1884">
        <v>0</v>
      </c>
      <c r="K1884" s="2043">
        <v>0</v>
      </c>
      <c r="L1884" s="2043">
        <v>0</v>
      </c>
      <c r="M1884">
        <v>599</v>
      </c>
      <c r="N1884">
        <v>1</v>
      </c>
    </row>
    <row r="1885" spans="1:14">
      <c r="A1885" t="s">
        <v>3127</v>
      </c>
      <c r="B1885" t="s">
        <v>324</v>
      </c>
      <c r="C1885" t="s">
        <v>127</v>
      </c>
      <c r="D1885" s="41">
        <v>6</v>
      </c>
      <c r="E1885" s="41">
        <v>2429</v>
      </c>
      <c r="F1885" s="41" t="s">
        <v>4411</v>
      </c>
      <c r="G1885" s="41" t="s">
        <v>4413</v>
      </c>
      <c r="H1885" s="2043">
        <v>908082</v>
      </c>
      <c r="I1885" s="2043">
        <v>0</v>
      </c>
      <c r="J1885">
        <v>0</v>
      </c>
      <c r="K1885" s="2043">
        <v>0</v>
      </c>
      <c r="L1885" s="2043">
        <v>0</v>
      </c>
      <c r="M1885">
        <v>599</v>
      </c>
      <c r="N1885">
        <v>1</v>
      </c>
    </row>
    <row r="1886" spans="1:14">
      <c r="A1886" t="s">
        <v>3127</v>
      </c>
      <c r="B1886" t="s">
        <v>324</v>
      </c>
      <c r="C1886" t="s">
        <v>127</v>
      </c>
      <c r="D1886" s="41">
        <v>6</v>
      </c>
      <c r="E1886" s="41">
        <v>2429</v>
      </c>
      <c r="F1886" s="41" t="s">
        <v>4411</v>
      </c>
      <c r="G1886" s="41" t="s">
        <v>5625</v>
      </c>
      <c r="H1886" s="2043">
        <v>908082</v>
      </c>
      <c r="I1886" s="2043">
        <v>487648</v>
      </c>
      <c r="J1886">
        <v>0.92295521003870495</v>
      </c>
      <c r="K1886" s="2043">
        <v>838119.01304236695</v>
      </c>
      <c r="L1886" s="2043">
        <v>487648</v>
      </c>
      <c r="M1886">
        <v>599</v>
      </c>
      <c r="N1886">
        <v>1</v>
      </c>
    </row>
    <row r="1887" spans="1:14">
      <c r="A1887" t="s">
        <v>3127</v>
      </c>
      <c r="B1887" t="s">
        <v>324</v>
      </c>
      <c r="C1887" t="s">
        <v>127</v>
      </c>
      <c r="D1887" s="41">
        <v>6</v>
      </c>
      <c r="E1887" s="41">
        <v>2429</v>
      </c>
      <c r="F1887" s="41" t="s">
        <v>4411</v>
      </c>
      <c r="G1887" s="41" t="s">
        <v>9378</v>
      </c>
      <c r="H1887" s="2043">
        <v>908082</v>
      </c>
      <c r="I1887" s="2043">
        <v>40707</v>
      </c>
      <c r="J1887">
        <v>7.7044789961295004E-2</v>
      </c>
      <c r="K1887" s="2043">
        <v>69962.986957632602</v>
      </c>
      <c r="L1887" s="2043">
        <v>40707</v>
      </c>
      <c r="M1887">
        <v>599</v>
      </c>
      <c r="N1887">
        <v>1</v>
      </c>
    </row>
    <row r="1888" spans="1:14">
      <c r="A1888" t="s">
        <v>3127</v>
      </c>
      <c r="B1888" t="s">
        <v>324</v>
      </c>
      <c r="C1888" t="s">
        <v>127</v>
      </c>
      <c r="D1888" s="41">
        <v>10</v>
      </c>
      <c r="E1888" s="41">
        <v>2431</v>
      </c>
      <c r="F1888" s="41" t="s">
        <v>4414</v>
      </c>
      <c r="G1888" s="41" t="s">
        <v>4414</v>
      </c>
      <c r="H1888" s="2043">
        <v>2267241</v>
      </c>
      <c r="I1888" s="2043">
        <v>0</v>
      </c>
      <c r="J1888">
        <v>0</v>
      </c>
      <c r="K1888" s="2043">
        <v>0</v>
      </c>
      <c r="L1888" s="2043">
        <v>0</v>
      </c>
      <c r="M1888">
        <v>599</v>
      </c>
      <c r="N1888">
        <v>1</v>
      </c>
    </row>
    <row r="1889" spans="1:14">
      <c r="A1889" t="s">
        <v>3127</v>
      </c>
      <c r="B1889" t="s">
        <v>324</v>
      </c>
      <c r="C1889" t="s">
        <v>127</v>
      </c>
      <c r="D1889" s="41">
        <v>10</v>
      </c>
      <c r="E1889" s="41">
        <v>2431</v>
      </c>
      <c r="F1889" s="41" t="s">
        <v>4414</v>
      </c>
      <c r="G1889" s="41" t="s">
        <v>5625</v>
      </c>
      <c r="H1889" s="2043">
        <v>2267241</v>
      </c>
      <c r="I1889" s="2043">
        <v>4000458</v>
      </c>
      <c r="J1889">
        <v>0.90856540547243503</v>
      </c>
      <c r="K1889" s="2043">
        <v>2059936.7384687299</v>
      </c>
      <c r="L1889" s="2043">
        <v>2059936.7384687299</v>
      </c>
      <c r="M1889">
        <v>599</v>
      </c>
      <c r="N1889">
        <v>1</v>
      </c>
    </row>
    <row r="1890" spans="1:14">
      <c r="A1890" t="s">
        <v>3127</v>
      </c>
      <c r="B1890" t="s">
        <v>324</v>
      </c>
      <c r="C1890" t="s">
        <v>127</v>
      </c>
      <c r="D1890" s="41">
        <v>10</v>
      </c>
      <c r="E1890" s="41">
        <v>2431</v>
      </c>
      <c r="F1890" s="41" t="s">
        <v>4414</v>
      </c>
      <c r="G1890" s="41" t="s">
        <v>9378</v>
      </c>
      <c r="H1890" s="2043">
        <v>2267241</v>
      </c>
      <c r="I1890" s="2043">
        <v>402591</v>
      </c>
      <c r="J1890">
        <v>9.1434594527564902E-2</v>
      </c>
      <c r="K1890" s="2043">
        <v>207304.26153127101</v>
      </c>
      <c r="L1890" s="2043">
        <v>207304.26153127101</v>
      </c>
      <c r="M1890">
        <v>599</v>
      </c>
      <c r="N1890">
        <v>1</v>
      </c>
    </row>
    <row r="1891" spans="1:14">
      <c r="A1891" t="s">
        <v>3128</v>
      </c>
      <c r="B1891" t="s">
        <v>327</v>
      </c>
      <c r="C1891" t="s">
        <v>1345</v>
      </c>
      <c r="D1891" s="41">
        <v>3</v>
      </c>
      <c r="E1891" s="41">
        <v>2444</v>
      </c>
      <c r="F1891" s="41" t="s">
        <v>4415</v>
      </c>
      <c r="G1891" s="41" t="s">
        <v>4415</v>
      </c>
      <c r="H1891" s="2043">
        <v>489842</v>
      </c>
      <c r="I1891" s="2043">
        <v>0</v>
      </c>
      <c r="J1891">
        <v>0</v>
      </c>
      <c r="K1891" s="2043">
        <v>0</v>
      </c>
      <c r="L1891" s="2043">
        <v>0</v>
      </c>
      <c r="M1891">
        <v>599</v>
      </c>
      <c r="N1891">
        <v>1</v>
      </c>
    </row>
    <row r="1892" spans="1:14">
      <c r="A1892" t="s">
        <v>3128</v>
      </c>
      <c r="B1892" t="s">
        <v>327</v>
      </c>
      <c r="C1892" t="s">
        <v>1345</v>
      </c>
      <c r="D1892" s="41">
        <v>3</v>
      </c>
      <c r="E1892" s="41">
        <v>2444</v>
      </c>
      <c r="F1892" s="41" t="s">
        <v>4415</v>
      </c>
      <c r="G1892" s="41" t="s">
        <v>4416</v>
      </c>
      <c r="H1892" s="2043">
        <v>489842</v>
      </c>
      <c r="I1892" s="2043">
        <v>659569</v>
      </c>
      <c r="J1892">
        <v>0.99856324884408898</v>
      </c>
      <c r="K1892" s="2043">
        <v>489138.21894028602</v>
      </c>
      <c r="L1892" s="2043">
        <v>489138.21894028602</v>
      </c>
      <c r="M1892">
        <v>599</v>
      </c>
      <c r="N1892">
        <v>1</v>
      </c>
    </row>
    <row r="1893" spans="1:14">
      <c r="A1893" t="s">
        <v>3128</v>
      </c>
      <c r="B1893" t="s">
        <v>327</v>
      </c>
      <c r="C1893" t="s">
        <v>1345</v>
      </c>
      <c r="D1893" s="41">
        <v>3</v>
      </c>
      <c r="E1893" s="41">
        <v>2444</v>
      </c>
      <c r="F1893" s="41" t="s">
        <v>4415</v>
      </c>
      <c r="G1893" s="41" t="s">
        <v>9379</v>
      </c>
      <c r="H1893" s="2043">
        <v>489842</v>
      </c>
      <c r="I1893" s="2043">
        <v>949</v>
      </c>
      <c r="J1893">
        <v>1.4367511559109699E-3</v>
      </c>
      <c r="K1893" s="2043">
        <v>703.78105971373998</v>
      </c>
      <c r="L1893" s="2043">
        <v>703.78105971373998</v>
      </c>
      <c r="M1893">
        <v>599</v>
      </c>
      <c r="N1893">
        <v>1</v>
      </c>
    </row>
    <row r="1894" spans="1:14">
      <c r="A1894" t="s">
        <v>3129</v>
      </c>
      <c r="B1894" t="s">
        <v>2322</v>
      </c>
      <c r="C1894" t="s">
        <v>1655</v>
      </c>
      <c r="D1894" s="41">
        <v>9</v>
      </c>
      <c r="E1894" s="41">
        <v>1645</v>
      </c>
      <c r="F1894" s="41" t="s">
        <v>4417</v>
      </c>
      <c r="G1894" s="41" t="s">
        <v>4417</v>
      </c>
      <c r="H1894" s="2043">
        <v>204185</v>
      </c>
      <c r="I1894" s="2043">
        <v>0</v>
      </c>
      <c r="J1894">
        <v>0</v>
      </c>
      <c r="K1894" s="2043">
        <v>0</v>
      </c>
      <c r="L1894" s="2043">
        <v>0</v>
      </c>
      <c r="M1894">
        <v>599</v>
      </c>
      <c r="N1894">
        <v>1</v>
      </c>
    </row>
    <row r="1895" spans="1:14">
      <c r="A1895" t="s">
        <v>3129</v>
      </c>
      <c r="B1895" t="s">
        <v>2322</v>
      </c>
      <c r="C1895" t="s">
        <v>1655</v>
      </c>
      <c r="D1895" s="41">
        <v>9</v>
      </c>
      <c r="E1895" s="41">
        <v>1645</v>
      </c>
      <c r="F1895" s="41" t="s">
        <v>4417</v>
      </c>
      <c r="G1895" s="41" t="s">
        <v>5626</v>
      </c>
      <c r="H1895" s="2043">
        <v>204185</v>
      </c>
      <c r="I1895" s="2043">
        <v>329037</v>
      </c>
      <c r="J1895">
        <v>1</v>
      </c>
      <c r="K1895" s="2043">
        <v>204185</v>
      </c>
      <c r="L1895" s="2043">
        <v>204185</v>
      </c>
      <c r="M1895">
        <v>599</v>
      </c>
      <c r="N1895">
        <v>1</v>
      </c>
    </row>
    <row r="1896" spans="1:14">
      <c r="A1896" t="s">
        <v>3130</v>
      </c>
      <c r="B1896" t="s">
        <v>70</v>
      </c>
      <c r="C1896" t="s">
        <v>1090</v>
      </c>
      <c r="D1896" s="41">
        <v>2</v>
      </c>
      <c r="E1896" s="41">
        <v>1688</v>
      </c>
      <c r="F1896" s="41" t="s">
        <v>4418</v>
      </c>
      <c r="G1896" s="41" t="s">
        <v>4418</v>
      </c>
      <c r="H1896" s="2043">
        <v>361316</v>
      </c>
      <c r="I1896" s="2043">
        <v>0</v>
      </c>
      <c r="J1896">
        <v>0</v>
      </c>
      <c r="K1896" s="2043">
        <v>0</v>
      </c>
      <c r="L1896" s="2043">
        <v>0</v>
      </c>
      <c r="M1896">
        <v>599</v>
      </c>
      <c r="N1896">
        <v>0</v>
      </c>
    </row>
    <row r="1897" spans="1:14">
      <c r="A1897" t="s">
        <v>3130</v>
      </c>
      <c r="B1897" t="s">
        <v>70</v>
      </c>
      <c r="C1897" t="s">
        <v>1090</v>
      </c>
      <c r="D1897" s="41">
        <v>2</v>
      </c>
      <c r="E1897" s="41">
        <v>1688</v>
      </c>
      <c r="F1897" s="41" t="s">
        <v>4418</v>
      </c>
      <c r="G1897" s="41" t="s">
        <v>4419</v>
      </c>
      <c r="H1897" s="2043">
        <v>361316</v>
      </c>
      <c r="I1897" s="2043">
        <v>0</v>
      </c>
      <c r="J1897">
        <v>0</v>
      </c>
      <c r="K1897" s="2043">
        <v>0</v>
      </c>
      <c r="L1897" s="2043">
        <v>0</v>
      </c>
      <c r="M1897">
        <v>599</v>
      </c>
      <c r="N1897">
        <v>1</v>
      </c>
    </row>
    <row r="1898" spans="1:14">
      <c r="A1898" t="s">
        <v>3130</v>
      </c>
      <c r="B1898" t="s">
        <v>70</v>
      </c>
      <c r="C1898" t="s">
        <v>1090</v>
      </c>
      <c r="D1898" s="41">
        <v>2</v>
      </c>
      <c r="E1898" s="41">
        <v>1688</v>
      </c>
      <c r="F1898" s="41" t="s">
        <v>4418</v>
      </c>
      <c r="G1898" s="41" t="s">
        <v>7254</v>
      </c>
      <c r="H1898" s="2043">
        <v>361316</v>
      </c>
      <c r="I1898" s="2043">
        <v>262939</v>
      </c>
      <c r="J1898">
        <v>1</v>
      </c>
      <c r="K1898" s="2043">
        <v>361316</v>
      </c>
      <c r="L1898" s="2043">
        <v>262939</v>
      </c>
      <c r="M1898">
        <v>599</v>
      </c>
      <c r="N1898">
        <v>1</v>
      </c>
    </row>
    <row r="1899" spans="1:14">
      <c r="A1899" t="s">
        <v>3130</v>
      </c>
      <c r="B1899" t="s">
        <v>70</v>
      </c>
      <c r="C1899" t="s">
        <v>1090</v>
      </c>
      <c r="D1899" s="41">
        <v>6</v>
      </c>
      <c r="E1899" s="41">
        <v>1689</v>
      </c>
      <c r="F1899" s="41" t="s">
        <v>4420</v>
      </c>
      <c r="G1899" s="41" t="s">
        <v>4420</v>
      </c>
      <c r="H1899" s="2043">
        <v>361625</v>
      </c>
      <c r="I1899" s="2043">
        <v>0</v>
      </c>
      <c r="J1899">
        <v>0</v>
      </c>
      <c r="K1899" s="2043">
        <v>0</v>
      </c>
      <c r="L1899" s="2043">
        <v>0</v>
      </c>
      <c r="M1899">
        <v>599</v>
      </c>
      <c r="N1899">
        <v>0</v>
      </c>
    </row>
    <row r="1900" spans="1:14">
      <c r="A1900" t="s">
        <v>3130</v>
      </c>
      <c r="B1900" t="s">
        <v>70</v>
      </c>
      <c r="C1900" t="s">
        <v>1090</v>
      </c>
      <c r="D1900" s="41">
        <v>6</v>
      </c>
      <c r="E1900" s="41">
        <v>1689</v>
      </c>
      <c r="F1900" s="41" t="s">
        <v>4420</v>
      </c>
      <c r="G1900" s="41" t="s">
        <v>4419</v>
      </c>
      <c r="H1900" s="2043">
        <v>361625</v>
      </c>
      <c r="I1900" s="2043">
        <v>0</v>
      </c>
      <c r="J1900">
        <v>0</v>
      </c>
      <c r="K1900" s="2043">
        <v>0</v>
      </c>
      <c r="L1900" s="2043">
        <v>0</v>
      </c>
      <c r="M1900">
        <v>599</v>
      </c>
      <c r="N1900">
        <v>1</v>
      </c>
    </row>
    <row r="1901" spans="1:14">
      <c r="A1901" t="s">
        <v>3130</v>
      </c>
      <c r="B1901" t="s">
        <v>70</v>
      </c>
      <c r="C1901" t="s">
        <v>1090</v>
      </c>
      <c r="D1901" s="41">
        <v>6</v>
      </c>
      <c r="E1901" s="41">
        <v>1689</v>
      </c>
      <c r="F1901" s="41" t="s">
        <v>4420</v>
      </c>
      <c r="G1901" s="41" t="s">
        <v>4421</v>
      </c>
      <c r="H1901" s="2043">
        <v>361625</v>
      </c>
      <c r="I1901" s="2043">
        <v>0</v>
      </c>
      <c r="J1901">
        <v>0</v>
      </c>
      <c r="K1901" s="2043">
        <v>0</v>
      </c>
      <c r="L1901" s="2043">
        <v>0</v>
      </c>
      <c r="M1901">
        <v>599</v>
      </c>
      <c r="N1901">
        <v>1</v>
      </c>
    </row>
    <row r="1902" spans="1:14">
      <c r="A1902" t="s">
        <v>3130</v>
      </c>
      <c r="B1902" t="s">
        <v>70</v>
      </c>
      <c r="C1902" t="s">
        <v>1090</v>
      </c>
      <c r="D1902" s="41">
        <v>6</v>
      </c>
      <c r="E1902" s="41">
        <v>1689</v>
      </c>
      <c r="F1902" s="41" t="s">
        <v>4420</v>
      </c>
      <c r="G1902" s="41" t="s">
        <v>7254</v>
      </c>
      <c r="H1902" s="2043">
        <v>361625</v>
      </c>
      <c r="I1902" s="2043">
        <v>350667</v>
      </c>
      <c r="J1902">
        <v>1</v>
      </c>
      <c r="K1902" s="2043">
        <v>361625</v>
      </c>
      <c r="L1902" s="2043">
        <v>350667</v>
      </c>
      <c r="M1902">
        <v>599</v>
      </c>
      <c r="N1902">
        <v>1</v>
      </c>
    </row>
    <row r="1903" spans="1:14">
      <c r="A1903" t="s">
        <v>3130</v>
      </c>
      <c r="B1903" t="s">
        <v>70</v>
      </c>
      <c r="C1903" t="s">
        <v>1090</v>
      </c>
      <c r="D1903" s="41">
        <v>9</v>
      </c>
      <c r="E1903" s="41">
        <v>1690</v>
      </c>
      <c r="F1903" s="41" t="s">
        <v>4422</v>
      </c>
      <c r="G1903" s="41" t="s">
        <v>4422</v>
      </c>
      <c r="H1903" s="2043">
        <v>535250</v>
      </c>
      <c r="I1903" s="2043">
        <v>0</v>
      </c>
      <c r="J1903">
        <v>0</v>
      </c>
      <c r="K1903" s="2043">
        <v>0</v>
      </c>
      <c r="L1903" s="2043">
        <v>0</v>
      </c>
      <c r="M1903">
        <v>599</v>
      </c>
      <c r="N1903">
        <v>1</v>
      </c>
    </row>
    <row r="1904" spans="1:14">
      <c r="A1904" t="s">
        <v>3130</v>
      </c>
      <c r="B1904" t="s">
        <v>70</v>
      </c>
      <c r="C1904" t="s">
        <v>1090</v>
      </c>
      <c r="D1904" s="41">
        <v>9</v>
      </c>
      <c r="E1904" s="41">
        <v>1690</v>
      </c>
      <c r="F1904" s="41" t="s">
        <v>4422</v>
      </c>
      <c r="G1904" s="41" t="s">
        <v>5444</v>
      </c>
      <c r="H1904" s="2043">
        <v>535250</v>
      </c>
      <c r="I1904" s="2043">
        <v>298900</v>
      </c>
      <c r="J1904">
        <v>0.21940835351978299</v>
      </c>
      <c r="K1904" s="2043">
        <v>117438.32122146399</v>
      </c>
      <c r="L1904" s="2043">
        <v>117438.32122146399</v>
      </c>
      <c r="M1904">
        <v>599</v>
      </c>
      <c r="N1904">
        <v>1</v>
      </c>
    </row>
    <row r="1905" spans="1:14">
      <c r="A1905" t="s">
        <v>3130</v>
      </c>
      <c r="B1905" t="s">
        <v>70</v>
      </c>
      <c r="C1905" t="s">
        <v>1090</v>
      </c>
      <c r="D1905" s="41">
        <v>9</v>
      </c>
      <c r="E1905" s="41">
        <v>1690</v>
      </c>
      <c r="F1905" s="41" t="s">
        <v>4422</v>
      </c>
      <c r="G1905" s="41" t="s">
        <v>5627</v>
      </c>
      <c r="H1905" s="2043">
        <v>535250</v>
      </c>
      <c r="I1905" s="2043">
        <v>1063400</v>
      </c>
      <c r="J1905">
        <v>0.78059164648021695</v>
      </c>
      <c r="K1905" s="2043">
        <v>417811.67877853598</v>
      </c>
      <c r="L1905" s="2043">
        <v>417811.67877853598</v>
      </c>
      <c r="M1905">
        <v>599</v>
      </c>
      <c r="N1905">
        <v>1</v>
      </c>
    </row>
    <row r="1906" spans="1:14">
      <c r="A1906" t="s">
        <v>3131</v>
      </c>
      <c r="B1906" t="s">
        <v>2185</v>
      </c>
      <c r="C1906" t="s">
        <v>1462</v>
      </c>
      <c r="D1906" s="41">
        <v>2</v>
      </c>
      <c r="E1906" s="41">
        <v>1715</v>
      </c>
      <c r="F1906" s="41" t="s">
        <v>4423</v>
      </c>
      <c r="G1906" s="41" t="s">
        <v>4423</v>
      </c>
      <c r="H1906" s="2043">
        <v>141220</v>
      </c>
      <c r="I1906" s="2043">
        <v>0</v>
      </c>
      <c r="J1906">
        <v>0</v>
      </c>
      <c r="L1906" s="2043">
        <v>0</v>
      </c>
      <c r="M1906">
        <v>599</v>
      </c>
      <c r="N1906">
        <v>0</v>
      </c>
    </row>
    <row r="1907" spans="1:14">
      <c r="A1907" t="s">
        <v>3131</v>
      </c>
      <c r="B1907" t="s">
        <v>2185</v>
      </c>
      <c r="C1907" t="s">
        <v>1462</v>
      </c>
      <c r="D1907" s="41">
        <v>3</v>
      </c>
      <c r="E1907" s="41">
        <v>1716</v>
      </c>
      <c r="F1907" s="41" t="s">
        <v>4424</v>
      </c>
      <c r="G1907" s="41" t="s">
        <v>4424</v>
      </c>
      <c r="H1907" s="2043">
        <v>590544</v>
      </c>
      <c r="I1907" s="2043">
        <v>0</v>
      </c>
      <c r="J1907">
        <v>0</v>
      </c>
      <c r="K1907" s="2043">
        <v>0</v>
      </c>
      <c r="L1907" s="2043">
        <v>0</v>
      </c>
      <c r="M1907">
        <v>599</v>
      </c>
      <c r="N1907">
        <v>0</v>
      </c>
    </row>
    <row r="1908" spans="1:14">
      <c r="A1908" t="s">
        <v>3131</v>
      </c>
      <c r="B1908" t="s">
        <v>2185</v>
      </c>
      <c r="C1908" t="s">
        <v>1462</v>
      </c>
      <c r="D1908" s="41">
        <v>3</v>
      </c>
      <c r="E1908" s="41">
        <v>1716</v>
      </c>
      <c r="F1908" s="41" t="s">
        <v>4424</v>
      </c>
      <c r="G1908" s="41" t="s">
        <v>4425</v>
      </c>
      <c r="H1908" s="2043">
        <v>590544</v>
      </c>
      <c r="I1908" s="2043">
        <v>0</v>
      </c>
      <c r="J1908">
        <v>0</v>
      </c>
      <c r="K1908" s="2043">
        <v>0</v>
      </c>
      <c r="L1908" s="2043">
        <v>0</v>
      </c>
      <c r="M1908">
        <v>599</v>
      </c>
      <c r="N1908">
        <v>1</v>
      </c>
    </row>
    <row r="1909" spans="1:14">
      <c r="A1909" t="s">
        <v>3131</v>
      </c>
      <c r="B1909" t="s">
        <v>2185</v>
      </c>
      <c r="C1909" t="s">
        <v>1462</v>
      </c>
      <c r="D1909" s="41">
        <v>3</v>
      </c>
      <c r="E1909" s="41">
        <v>1716</v>
      </c>
      <c r="F1909" s="41" t="s">
        <v>4424</v>
      </c>
      <c r="G1909" s="41" t="s">
        <v>4426</v>
      </c>
      <c r="H1909" s="2043">
        <v>590544</v>
      </c>
      <c r="I1909" s="2043">
        <v>44750</v>
      </c>
      <c r="J1909">
        <v>5.8104054948907399E-2</v>
      </c>
      <c r="K1909" s="2043">
        <v>34313.001025747602</v>
      </c>
      <c r="L1909" s="2043">
        <v>34313.001025747602</v>
      </c>
      <c r="M1909">
        <v>599</v>
      </c>
      <c r="N1909">
        <v>1</v>
      </c>
    </row>
    <row r="1910" spans="1:14">
      <c r="A1910" t="s">
        <v>3131</v>
      </c>
      <c r="B1910" t="s">
        <v>2185</v>
      </c>
      <c r="C1910" t="s">
        <v>1462</v>
      </c>
      <c r="D1910" s="41">
        <v>3</v>
      </c>
      <c r="E1910" s="41">
        <v>1716</v>
      </c>
      <c r="F1910" s="41" t="s">
        <v>4424</v>
      </c>
      <c r="G1910" s="41" t="s">
        <v>5628</v>
      </c>
      <c r="H1910" s="2043">
        <v>590544</v>
      </c>
      <c r="I1910" s="2043">
        <v>725420</v>
      </c>
      <c r="J1910">
        <v>0.94189594505109298</v>
      </c>
      <c r="K1910" s="2043">
        <v>556230.99897425203</v>
      </c>
      <c r="L1910" s="2043">
        <v>556230.99897425203</v>
      </c>
      <c r="M1910">
        <v>599</v>
      </c>
      <c r="N1910">
        <v>1</v>
      </c>
    </row>
    <row r="1911" spans="1:14">
      <c r="A1911" t="s">
        <v>3132</v>
      </c>
      <c r="B1911" t="s">
        <v>155</v>
      </c>
      <c r="C1911" t="s">
        <v>2551</v>
      </c>
      <c r="D1911" s="41">
        <v>3</v>
      </c>
      <c r="E1911" s="41">
        <v>2252</v>
      </c>
      <c r="F1911" s="41" t="s">
        <v>4427</v>
      </c>
      <c r="G1911" s="41" t="s">
        <v>4427</v>
      </c>
      <c r="H1911" s="2043">
        <v>486000</v>
      </c>
      <c r="I1911" s="2043">
        <v>0</v>
      </c>
      <c r="J1911">
        <v>0</v>
      </c>
      <c r="K1911" s="2043">
        <v>0</v>
      </c>
      <c r="L1911" s="2043">
        <v>0</v>
      </c>
      <c r="M1911">
        <v>599</v>
      </c>
      <c r="N1911">
        <v>0</v>
      </c>
    </row>
    <row r="1912" spans="1:14">
      <c r="A1912" t="s">
        <v>3132</v>
      </c>
      <c r="B1912" t="s">
        <v>155</v>
      </c>
      <c r="C1912" t="s">
        <v>2551</v>
      </c>
      <c r="D1912" s="41">
        <v>3</v>
      </c>
      <c r="E1912" s="41">
        <v>2252</v>
      </c>
      <c r="F1912" s="41" t="s">
        <v>4427</v>
      </c>
      <c r="G1912" s="41" t="s">
        <v>4428</v>
      </c>
      <c r="H1912" s="2043">
        <v>486000</v>
      </c>
      <c r="I1912" s="2043">
        <v>1080206</v>
      </c>
      <c r="J1912">
        <v>1</v>
      </c>
      <c r="K1912" s="2043">
        <v>486000</v>
      </c>
      <c r="L1912" s="2043">
        <v>486000</v>
      </c>
      <c r="M1912">
        <v>599</v>
      </c>
      <c r="N1912">
        <v>1</v>
      </c>
    </row>
    <row r="1913" spans="1:14">
      <c r="A1913" t="s">
        <v>3132</v>
      </c>
      <c r="B1913" t="s">
        <v>155</v>
      </c>
      <c r="C1913" t="s">
        <v>2551</v>
      </c>
      <c r="D1913" s="41">
        <v>3</v>
      </c>
      <c r="E1913" s="41">
        <v>2252</v>
      </c>
      <c r="F1913" s="41" t="s">
        <v>4427</v>
      </c>
      <c r="G1913" s="41" t="s">
        <v>4429</v>
      </c>
      <c r="H1913" s="2043">
        <v>486000</v>
      </c>
      <c r="I1913" s="2043">
        <v>0</v>
      </c>
      <c r="J1913">
        <v>0</v>
      </c>
      <c r="K1913" s="2043">
        <v>0</v>
      </c>
      <c r="L1913" s="2043">
        <v>0</v>
      </c>
      <c r="M1913">
        <v>599</v>
      </c>
      <c r="N1913">
        <v>0</v>
      </c>
    </row>
    <row r="1914" spans="1:14">
      <c r="A1914" t="s">
        <v>3133</v>
      </c>
      <c r="B1914" t="s">
        <v>832</v>
      </c>
      <c r="C1914" t="s">
        <v>1272</v>
      </c>
      <c r="D1914" s="41">
        <v>3</v>
      </c>
      <c r="E1914" s="41">
        <v>1628</v>
      </c>
      <c r="F1914" s="41" t="s">
        <v>4430</v>
      </c>
      <c r="G1914" s="41" t="s">
        <v>4430</v>
      </c>
      <c r="H1914" s="2043">
        <v>96640</v>
      </c>
      <c r="I1914" s="2043">
        <v>0</v>
      </c>
      <c r="J1914">
        <v>0</v>
      </c>
      <c r="L1914" s="2043">
        <v>0</v>
      </c>
      <c r="M1914">
        <v>599</v>
      </c>
      <c r="N1914">
        <v>0</v>
      </c>
    </row>
    <row r="1915" spans="1:14">
      <c r="A1915" t="s">
        <v>3133</v>
      </c>
      <c r="B1915" t="s">
        <v>832</v>
      </c>
      <c r="C1915" t="s">
        <v>1272</v>
      </c>
      <c r="D1915" s="41">
        <v>3</v>
      </c>
      <c r="E1915" s="41">
        <v>1628</v>
      </c>
      <c r="F1915" s="41" t="s">
        <v>4430</v>
      </c>
      <c r="G1915" s="41" t="s">
        <v>4431</v>
      </c>
      <c r="H1915" s="2043">
        <v>96640</v>
      </c>
      <c r="I1915" s="2043">
        <v>0</v>
      </c>
      <c r="J1915">
        <v>0</v>
      </c>
      <c r="L1915" s="2043">
        <v>0</v>
      </c>
      <c r="M1915">
        <v>599</v>
      </c>
      <c r="N1915">
        <v>1</v>
      </c>
    </row>
    <row r="1916" spans="1:14">
      <c r="A1916" t="s">
        <v>3133</v>
      </c>
      <c r="B1916" t="s">
        <v>832</v>
      </c>
      <c r="C1916" t="s">
        <v>1272</v>
      </c>
      <c r="D1916" s="41">
        <v>3</v>
      </c>
      <c r="E1916" s="41">
        <v>1628</v>
      </c>
      <c r="F1916" s="41" t="s">
        <v>4430</v>
      </c>
      <c r="G1916" s="41" t="s">
        <v>5445</v>
      </c>
      <c r="H1916" s="2043">
        <v>96640</v>
      </c>
      <c r="I1916" s="2043">
        <v>0</v>
      </c>
      <c r="J1916">
        <v>0</v>
      </c>
      <c r="L1916" s="2043">
        <v>0</v>
      </c>
      <c r="M1916">
        <v>599</v>
      </c>
      <c r="N1916">
        <v>1</v>
      </c>
    </row>
    <row r="1917" spans="1:14">
      <c r="A1917" t="s">
        <v>3133</v>
      </c>
      <c r="B1917" t="s">
        <v>832</v>
      </c>
      <c r="C1917" t="s">
        <v>1272</v>
      </c>
      <c r="D1917" s="41">
        <v>3</v>
      </c>
      <c r="E1917" s="41">
        <v>1628</v>
      </c>
      <c r="F1917" s="41" t="s">
        <v>4430</v>
      </c>
      <c r="G1917" s="41" t="s">
        <v>7255</v>
      </c>
      <c r="H1917" s="2043">
        <v>96640</v>
      </c>
      <c r="I1917" s="2043">
        <v>0</v>
      </c>
      <c r="J1917">
        <v>0</v>
      </c>
      <c r="L1917" s="2043">
        <v>0</v>
      </c>
      <c r="M1917">
        <v>599</v>
      </c>
      <c r="N1917">
        <v>1</v>
      </c>
    </row>
    <row r="1918" spans="1:14">
      <c r="A1918" t="s">
        <v>3133</v>
      </c>
      <c r="B1918" t="s">
        <v>832</v>
      </c>
      <c r="C1918" t="s">
        <v>1272</v>
      </c>
      <c r="D1918" s="41">
        <v>5</v>
      </c>
      <c r="E1918" s="41">
        <v>1627</v>
      </c>
      <c r="F1918" s="41" t="s">
        <v>4432</v>
      </c>
      <c r="G1918" s="41" t="s">
        <v>4432</v>
      </c>
      <c r="H1918" s="2043">
        <v>47466</v>
      </c>
      <c r="I1918" s="2043">
        <v>0</v>
      </c>
      <c r="J1918">
        <v>0</v>
      </c>
      <c r="L1918" s="2043">
        <v>0</v>
      </c>
      <c r="M1918">
        <v>599</v>
      </c>
      <c r="N1918">
        <v>1</v>
      </c>
    </row>
    <row r="1919" spans="1:14">
      <c r="A1919" t="s">
        <v>3133</v>
      </c>
      <c r="B1919" t="s">
        <v>832</v>
      </c>
      <c r="C1919" t="s">
        <v>1272</v>
      </c>
      <c r="D1919" s="41">
        <v>9</v>
      </c>
      <c r="E1919" s="41">
        <v>1629</v>
      </c>
      <c r="F1919" s="41" t="s">
        <v>4431</v>
      </c>
      <c r="G1919" s="41" t="s">
        <v>4431</v>
      </c>
      <c r="H1919" s="2043">
        <v>109337</v>
      </c>
      <c r="I1919" s="2043">
        <v>0</v>
      </c>
      <c r="J1919">
        <v>0</v>
      </c>
      <c r="K1919" s="2043">
        <v>0</v>
      </c>
      <c r="L1919" s="2043">
        <v>0</v>
      </c>
      <c r="M1919">
        <v>599</v>
      </c>
      <c r="N1919">
        <v>1</v>
      </c>
    </row>
    <row r="1920" spans="1:14">
      <c r="A1920" t="s">
        <v>3133</v>
      </c>
      <c r="B1920" t="s">
        <v>832</v>
      </c>
      <c r="C1920" t="s">
        <v>1272</v>
      </c>
      <c r="D1920" s="41">
        <v>9</v>
      </c>
      <c r="E1920" s="41">
        <v>1629</v>
      </c>
      <c r="F1920" s="41" t="s">
        <v>4431</v>
      </c>
      <c r="G1920" s="41" t="s">
        <v>5445</v>
      </c>
      <c r="H1920" s="2043">
        <v>109337</v>
      </c>
      <c r="I1920" s="2043">
        <v>0</v>
      </c>
      <c r="J1920">
        <v>0</v>
      </c>
      <c r="K1920" s="2043">
        <v>0</v>
      </c>
      <c r="L1920" s="2043">
        <v>0</v>
      </c>
      <c r="M1920">
        <v>599</v>
      </c>
      <c r="N1920">
        <v>1</v>
      </c>
    </row>
    <row r="1921" spans="1:14">
      <c r="A1921" t="s">
        <v>3133</v>
      </c>
      <c r="B1921" t="s">
        <v>832</v>
      </c>
      <c r="C1921" t="s">
        <v>1272</v>
      </c>
      <c r="D1921" s="41">
        <v>9</v>
      </c>
      <c r="E1921" s="41">
        <v>1629</v>
      </c>
      <c r="F1921" s="41" t="s">
        <v>4431</v>
      </c>
      <c r="G1921" s="41" t="s">
        <v>7255</v>
      </c>
      <c r="H1921" s="2043">
        <v>109337</v>
      </c>
      <c r="I1921" s="2043">
        <v>56600</v>
      </c>
      <c r="J1921">
        <v>1</v>
      </c>
      <c r="K1921" s="2043">
        <v>109337</v>
      </c>
      <c r="L1921" s="2043">
        <v>56600</v>
      </c>
      <c r="M1921">
        <v>599</v>
      </c>
      <c r="N1921">
        <v>1</v>
      </c>
    </row>
    <row r="1922" spans="1:14">
      <c r="A1922" t="s">
        <v>3134</v>
      </c>
      <c r="B1922" t="s">
        <v>1067</v>
      </c>
      <c r="C1922" t="s">
        <v>2522</v>
      </c>
      <c r="D1922" s="41">
        <v>2</v>
      </c>
      <c r="E1922" s="41">
        <v>1758</v>
      </c>
      <c r="F1922" s="41" t="s">
        <v>4433</v>
      </c>
      <c r="G1922" s="41" t="s">
        <v>4433</v>
      </c>
      <c r="H1922" s="2043">
        <v>429904</v>
      </c>
      <c r="I1922" s="2043">
        <v>0</v>
      </c>
      <c r="J1922">
        <v>0</v>
      </c>
      <c r="L1922" s="2043">
        <v>0</v>
      </c>
      <c r="M1922">
        <v>599</v>
      </c>
      <c r="N1922">
        <v>0</v>
      </c>
    </row>
    <row r="1923" spans="1:14">
      <c r="A1923" t="s">
        <v>3134</v>
      </c>
      <c r="B1923" t="s">
        <v>1067</v>
      </c>
      <c r="C1923" t="s">
        <v>2522</v>
      </c>
      <c r="D1923" s="41">
        <v>9</v>
      </c>
      <c r="E1923" s="41">
        <v>1757</v>
      </c>
      <c r="F1923" s="41" t="s">
        <v>4434</v>
      </c>
      <c r="G1923" s="41" t="s">
        <v>4434</v>
      </c>
      <c r="H1923" s="2043">
        <v>417950</v>
      </c>
      <c r="I1923" s="2043">
        <v>0</v>
      </c>
      <c r="J1923">
        <v>0</v>
      </c>
      <c r="K1923" s="2043">
        <v>0</v>
      </c>
      <c r="L1923" s="2043">
        <v>0</v>
      </c>
      <c r="M1923">
        <v>599</v>
      </c>
      <c r="N1923">
        <v>1</v>
      </c>
    </row>
    <row r="1924" spans="1:14">
      <c r="A1924" t="s">
        <v>3134</v>
      </c>
      <c r="B1924" t="s">
        <v>1067</v>
      </c>
      <c r="C1924" t="s">
        <v>2522</v>
      </c>
      <c r="D1924" s="41">
        <v>9</v>
      </c>
      <c r="E1924" s="41">
        <v>1757</v>
      </c>
      <c r="F1924" s="41" t="s">
        <v>4434</v>
      </c>
      <c r="G1924" s="41" t="s">
        <v>5629</v>
      </c>
      <c r="H1924" s="2043">
        <v>417950</v>
      </c>
      <c r="I1924" s="2043">
        <v>361975</v>
      </c>
      <c r="J1924">
        <v>1</v>
      </c>
      <c r="K1924" s="2043">
        <v>417950</v>
      </c>
      <c r="L1924" s="2043">
        <v>361975</v>
      </c>
      <c r="M1924">
        <v>599</v>
      </c>
      <c r="N1924">
        <v>1</v>
      </c>
    </row>
    <row r="1925" spans="1:14">
      <c r="A1925" t="s">
        <v>3134</v>
      </c>
      <c r="B1925" t="s">
        <v>1067</v>
      </c>
      <c r="C1925" t="s">
        <v>2522</v>
      </c>
      <c r="D1925" s="41">
        <v>10</v>
      </c>
      <c r="E1925" s="41">
        <v>1756</v>
      </c>
      <c r="F1925" s="41" t="s">
        <v>4435</v>
      </c>
      <c r="G1925" s="41" t="s">
        <v>4435</v>
      </c>
      <c r="H1925" s="2043">
        <v>403194</v>
      </c>
      <c r="I1925" s="2043">
        <v>0</v>
      </c>
      <c r="J1925">
        <v>0</v>
      </c>
      <c r="K1925" s="2043">
        <v>0</v>
      </c>
      <c r="L1925" s="2043">
        <v>0</v>
      </c>
      <c r="M1925">
        <v>599</v>
      </c>
      <c r="N1925">
        <v>1</v>
      </c>
    </row>
    <row r="1926" spans="1:14">
      <c r="A1926" t="s">
        <v>3134</v>
      </c>
      <c r="B1926" t="s">
        <v>1067</v>
      </c>
      <c r="C1926" t="s">
        <v>2522</v>
      </c>
      <c r="D1926" s="41">
        <v>10</v>
      </c>
      <c r="E1926" s="41">
        <v>1756</v>
      </c>
      <c r="F1926" s="41" t="s">
        <v>4435</v>
      </c>
      <c r="G1926" s="41" t="s">
        <v>7256</v>
      </c>
      <c r="H1926" s="2043">
        <v>403194</v>
      </c>
      <c r="I1926" s="2043">
        <v>383100</v>
      </c>
      <c r="J1926">
        <v>1</v>
      </c>
      <c r="K1926" s="2043">
        <v>403194</v>
      </c>
      <c r="L1926" s="2043">
        <v>383100</v>
      </c>
      <c r="M1926">
        <v>599</v>
      </c>
      <c r="N1926">
        <v>1</v>
      </c>
    </row>
    <row r="1927" spans="1:14">
      <c r="A1927" t="s">
        <v>3135</v>
      </c>
      <c r="B1927" t="s">
        <v>1876</v>
      </c>
      <c r="C1927" t="s">
        <v>2056</v>
      </c>
      <c r="D1927" s="41">
        <v>6</v>
      </c>
      <c r="E1927" s="41">
        <v>1760</v>
      </c>
      <c r="F1927" s="41" t="s">
        <v>4436</v>
      </c>
      <c r="G1927" s="41" t="s">
        <v>4436</v>
      </c>
      <c r="H1927" s="2043">
        <v>100000</v>
      </c>
      <c r="I1927" s="2043">
        <v>0</v>
      </c>
      <c r="J1927">
        <v>0</v>
      </c>
      <c r="K1927" s="2043">
        <v>0</v>
      </c>
      <c r="L1927" s="2043">
        <v>0</v>
      </c>
      <c r="M1927">
        <v>599</v>
      </c>
      <c r="N1927">
        <v>0</v>
      </c>
    </row>
    <row r="1928" spans="1:14">
      <c r="A1928" t="s">
        <v>3135</v>
      </c>
      <c r="B1928" t="s">
        <v>1876</v>
      </c>
      <c r="C1928" t="s">
        <v>2056</v>
      </c>
      <c r="D1928" s="41">
        <v>6</v>
      </c>
      <c r="E1928" s="41">
        <v>1760</v>
      </c>
      <c r="F1928" s="41" t="s">
        <v>4436</v>
      </c>
      <c r="G1928" s="41" t="s">
        <v>4437</v>
      </c>
      <c r="H1928" s="2043">
        <v>100000</v>
      </c>
      <c r="I1928" s="2043">
        <v>90802</v>
      </c>
      <c r="J1928">
        <v>1</v>
      </c>
      <c r="K1928" s="2043">
        <v>100000</v>
      </c>
      <c r="L1928" s="2043">
        <v>90802</v>
      </c>
      <c r="M1928">
        <v>599</v>
      </c>
      <c r="N1928">
        <v>1</v>
      </c>
    </row>
    <row r="1929" spans="1:14">
      <c r="A1929" t="s">
        <v>3135</v>
      </c>
      <c r="B1929" t="s">
        <v>1876</v>
      </c>
      <c r="C1929" t="s">
        <v>2056</v>
      </c>
      <c r="D1929" s="41">
        <v>9</v>
      </c>
      <c r="E1929" s="41">
        <v>1761</v>
      </c>
      <c r="F1929" s="41" t="s">
        <v>4438</v>
      </c>
      <c r="G1929" s="41" t="s">
        <v>4438</v>
      </c>
      <c r="H1929" s="2043">
        <v>100000</v>
      </c>
      <c r="I1929" s="2043">
        <v>0</v>
      </c>
      <c r="J1929">
        <v>0</v>
      </c>
      <c r="K1929" s="2043">
        <v>0</v>
      </c>
      <c r="L1929" s="2043">
        <v>0</v>
      </c>
      <c r="M1929">
        <v>599</v>
      </c>
      <c r="N1929">
        <v>0</v>
      </c>
    </row>
    <row r="1930" spans="1:14">
      <c r="A1930" t="s">
        <v>3135</v>
      </c>
      <c r="B1930" t="s">
        <v>1876</v>
      </c>
      <c r="C1930" t="s">
        <v>2056</v>
      </c>
      <c r="D1930" s="41">
        <v>9</v>
      </c>
      <c r="E1930" s="41">
        <v>1761</v>
      </c>
      <c r="F1930" s="41" t="s">
        <v>4438</v>
      </c>
      <c r="G1930" s="41" t="s">
        <v>5446</v>
      </c>
      <c r="H1930" s="2043">
        <v>100000</v>
      </c>
      <c r="I1930" s="2043">
        <v>134122</v>
      </c>
      <c r="J1930">
        <v>1</v>
      </c>
      <c r="K1930" s="2043">
        <v>100000</v>
      </c>
      <c r="L1930" s="2043">
        <v>100000</v>
      </c>
      <c r="M1930">
        <v>599</v>
      </c>
      <c r="N1930">
        <v>1</v>
      </c>
    </row>
    <row r="1931" spans="1:14">
      <c r="A1931" t="s">
        <v>3136</v>
      </c>
      <c r="B1931" t="s">
        <v>872</v>
      </c>
      <c r="C1931" t="s">
        <v>2121</v>
      </c>
      <c r="D1931" s="41">
        <v>4</v>
      </c>
      <c r="E1931" s="41">
        <v>2125</v>
      </c>
      <c r="F1931" s="41" t="s">
        <v>4439</v>
      </c>
      <c r="G1931" s="41" t="s">
        <v>4439</v>
      </c>
      <c r="H1931" s="2043">
        <v>240522</v>
      </c>
      <c r="I1931" s="2043">
        <v>0</v>
      </c>
      <c r="J1931">
        <v>0</v>
      </c>
      <c r="L1931" s="2043">
        <v>0</v>
      </c>
      <c r="M1931">
        <v>599</v>
      </c>
      <c r="N1931">
        <v>0</v>
      </c>
    </row>
    <row r="1932" spans="1:14">
      <c r="A1932" t="s">
        <v>3136</v>
      </c>
      <c r="B1932" t="s">
        <v>872</v>
      </c>
      <c r="C1932" t="s">
        <v>2121</v>
      </c>
      <c r="D1932" s="41">
        <v>8</v>
      </c>
      <c r="E1932" s="41">
        <v>2126</v>
      </c>
      <c r="F1932" s="41" t="s">
        <v>4440</v>
      </c>
      <c r="G1932" s="41" t="s">
        <v>4440</v>
      </c>
      <c r="H1932" s="2043">
        <v>260720</v>
      </c>
      <c r="I1932" s="2043">
        <v>0</v>
      </c>
      <c r="J1932">
        <v>0</v>
      </c>
      <c r="K1932" s="2043">
        <v>0</v>
      </c>
      <c r="L1932" s="2043">
        <v>0</v>
      </c>
      <c r="M1932">
        <v>599</v>
      </c>
      <c r="N1932">
        <v>1</v>
      </c>
    </row>
    <row r="1933" spans="1:14">
      <c r="A1933" t="s">
        <v>3136</v>
      </c>
      <c r="B1933" t="s">
        <v>872</v>
      </c>
      <c r="C1933" t="s">
        <v>2121</v>
      </c>
      <c r="D1933" s="41">
        <v>8</v>
      </c>
      <c r="E1933" s="41">
        <v>2126</v>
      </c>
      <c r="F1933" s="41" t="s">
        <v>4440</v>
      </c>
      <c r="G1933" s="41" t="s">
        <v>5630</v>
      </c>
      <c r="H1933" s="2043">
        <v>260720</v>
      </c>
      <c r="I1933" s="2043">
        <v>248230</v>
      </c>
      <c r="J1933">
        <v>1</v>
      </c>
      <c r="K1933" s="2043">
        <v>260720</v>
      </c>
      <c r="L1933" s="2043">
        <v>248230</v>
      </c>
      <c r="M1933">
        <v>599</v>
      </c>
      <c r="N1933">
        <v>1</v>
      </c>
    </row>
    <row r="1934" spans="1:14">
      <c r="A1934" t="s">
        <v>3137</v>
      </c>
      <c r="B1934" t="s">
        <v>162</v>
      </c>
      <c r="C1934" t="s">
        <v>2245</v>
      </c>
      <c r="D1934" s="41">
        <v>2</v>
      </c>
      <c r="E1934" s="41">
        <v>1898</v>
      </c>
      <c r="F1934" s="41" t="s">
        <v>4441</v>
      </c>
      <c r="G1934" s="41" t="s">
        <v>4441</v>
      </c>
      <c r="H1934" s="2043">
        <v>468918</v>
      </c>
      <c r="I1934" s="2043">
        <v>0</v>
      </c>
      <c r="J1934">
        <v>0</v>
      </c>
      <c r="K1934" s="2043">
        <v>0</v>
      </c>
      <c r="L1934" s="2043">
        <v>0</v>
      </c>
      <c r="M1934">
        <v>599</v>
      </c>
      <c r="N1934">
        <v>0</v>
      </c>
    </row>
    <row r="1935" spans="1:14">
      <c r="A1935" t="s">
        <v>3137</v>
      </c>
      <c r="B1935" t="s">
        <v>162</v>
      </c>
      <c r="C1935" t="s">
        <v>2245</v>
      </c>
      <c r="D1935" s="41">
        <v>2</v>
      </c>
      <c r="E1935" s="41">
        <v>1898</v>
      </c>
      <c r="F1935" s="41" t="s">
        <v>4441</v>
      </c>
      <c r="G1935" s="41" t="s">
        <v>4442</v>
      </c>
      <c r="H1935" s="2043">
        <v>468918</v>
      </c>
      <c r="I1935" s="2043">
        <v>0</v>
      </c>
      <c r="J1935">
        <v>0</v>
      </c>
      <c r="K1935" s="2043">
        <v>0</v>
      </c>
      <c r="L1935" s="2043">
        <v>0</v>
      </c>
      <c r="M1935">
        <v>599</v>
      </c>
      <c r="N1935">
        <v>0</v>
      </c>
    </row>
    <row r="1936" spans="1:14">
      <c r="A1936" t="s">
        <v>3137</v>
      </c>
      <c r="B1936" t="s">
        <v>162</v>
      </c>
      <c r="C1936" t="s">
        <v>2245</v>
      </c>
      <c r="D1936" s="41">
        <v>2</v>
      </c>
      <c r="E1936" s="41">
        <v>1898</v>
      </c>
      <c r="F1936" s="41" t="s">
        <v>4441</v>
      </c>
      <c r="G1936" s="41" t="s">
        <v>4443</v>
      </c>
      <c r="H1936" s="2043">
        <v>468918</v>
      </c>
      <c r="I1936" s="2043">
        <v>426551</v>
      </c>
      <c r="J1936">
        <v>1</v>
      </c>
      <c r="K1936" s="2043">
        <v>468918</v>
      </c>
      <c r="L1936" s="2043">
        <v>426551</v>
      </c>
      <c r="M1936">
        <v>599</v>
      </c>
      <c r="N1936">
        <v>1</v>
      </c>
    </row>
    <row r="1937" spans="1:14">
      <c r="A1937" t="s">
        <v>3137</v>
      </c>
      <c r="B1937" t="s">
        <v>162</v>
      </c>
      <c r="C1937" t="s">
        <v>2245</v>
      </c>
      <c r="D1937" s="41">
        <v>5</v>
      </c>
      <c r="E1937" s="41">
        <v>1897</v>
      </c>
      <c r="F1937" s="41" t="s">
        <v>4444</v>
      </c>
      <c r="G1937" s="41" t="s">
        <v>4444</v>
      </c>
      <c r="H1937" s="2043">
        <v>351045</v>
      </c>
      <c r="I1937" s="2043">
        <v>0</v>
      </c>
      <c r="J1937">
        <v>0</v>
      </c>
      <c r="K1937" s="2043">
        <v>0</v>
      </c>
      <c r="L1937" s="2043">
        <v>0</v>
      </c>
      <c r="M1937">
        <v>599</v>
      </c>
      <c r="N1937">
        <v>0</v>
      </c>
    </row>
    <row r="1938" spans="1:14">
      <c r="A1938" t="s">
        <v>3137</v>
      </c>
      <c r="B1938" t="s">
        <v>162</v>
      </c>
      <c r="C1938" t="s">
        <v>2245</v>
      </c>
      <c r="D1938" s="41">
        <v>5</v>
      </c>
      <c r="E1938" s="41">
        <v>1897</v>
      </c>
      <c r="F1938" s="41" t="s">
        <v>4444</v>
      </c>
      <c r="G1938" s="41" t="s">
        <v>4445</v>
      </c>
      <c r="H1938" s="2043">
        <v>351045</v>
      </c>
      <c r="I1938" s="2043">
        <v>328373</v>
      </c>
      <c r="J1938">
        <v>0.52724934329259299</v>
      </c>
      <c r="K1938" s="2043">
        <v>185088.245716148</v>
      </c>
      <c r="L1938" s="2043">
        <v>185088.245716148</v>
      </c>
      <c r="M1938">
        <v>599</v>
      </c>
      <c r="N1938">
        <v>1</v>
      </c>
    </row>
    <row r="1939" spans="1:14">
      <c r="A1939" t="s">
        <v>3137</v>
      </c>
      <c r="B1939" t="s">
        <v>162</v>
      </c>
      <c r="C1939" t="s">
        <v>2245</v>
      </c>
      <c r="D1939" s="41">
        <v>5</v>
      </c>
      <c r="E1939" s="41">
        <v>1897</v>
      </c>
      <c r="F1939" s="41" t="s">
        <v>4444</v>
      </c>
      <c r="G1939" s="41" t="s">
        <v>4443</v>
      </c>
      <c r="H1939" s="2043">
        <v>351045</v>
      </c>
      <c r="I1939" s="2043">
        <v>0</v>
      </c>
      <c r="J1939">
        <v>0</v>
      </c>
      <c r="K1939" s="2043">
        <v>0</v>
      </c>
      <c r="L1939" s="2043">
        <v>0</v>
      </c>
      <c r="M1939">
        <v>599</v>
      </c>
      <c r="N1939">
        <v>1</v>
      </c>
    </row>
    <row r="1940" spans="1:14">
      <c r="A1940" t="s">
        <v>3137</v>
      </c>
      <c r="B1940" t="s">
        <v>162</v>
      </c>
      <c r="C1940" t="s">
        <v>2245</v>
      </c>
      <c r="D1940" s="41">
        <v>5</v>
      </c>
      <c r="E1940" s="41">
        <v>1897</v>
      </c>
      <c r="F1940" s="41" t="s">
        <v>4444</v>
      </c>
      <c r="G1940" s="41" t="s">
        <v>7257</v>
      </c>
      <c r="H1940" s="2043">
        <v>351045</v>
      </c>
      <c r="I1940" s="2043">
        <v>294431</v>
      </c>
      <c r="J1940">
        <v>0.47275065670740701</v>
      </c>
      <c r="K1940" s="2043">
        <v>165956.754283852</v>
      </c>
      <c r="L1940" s="2043">
        <v>165956.754283852</v>
      </c>
      <c r="M1940">
        <v>599</v>
      </c>
      <c r="N1940">
        <v>1</v>
      </c>
    </row>
    <row r="1941" spans="1:14">
      <c r="A1941" t="s">
        <v>3138</v>
      </c>
      <c r="B1941" t="s">
        <v>2390</v>
      </c>
      <c r="C1941" t="s">
        <v>777</v>
      </c>
      <c r="D1941" s="41">
        <v>2</v>
      </c>
      <c r="E1941" s="41">
        <v>2085</v>
      </c>
      <c r="F1941" s="41" t="s">
        <v>4446</v>
      </c>
      <c r="G1941" s="41" t="s">
        <v>4446</v>
      </c>
      <c r="H1941" s="2043">
        <v>528404</v>
      </c>
      <c r="I1941" s="2043">
        <v>0</v>
      </c>
      <c r="J1941">
        <v>0</v>
      </c>
      <c r="L1941" s="2043">
        <v>0</v>
      </c>
      <c r="M1941">
        <v>599</v>
      </c>
      <c r="N1941">
        <v>0</v>
      </c>
    </row>
    <row r="1942" spans="1:14">
      <c r="A1942" t="s">
        <v>3138</v>
      </c>
      <c r="B1942" t="s">
        <v>2390</v>
      </c>
      <c r="C1942" t="s">
        <v>777</v>
      </c>
      <c r="D1942" s="41">
        <v>5</v>
      </c>
      <c r="E1942" s="41">
        <v>2086</v>
      </c>
      <c r="F1942" s="41" t="s">
        <v>4449</v>
      </c>
      <c r="G1942" s="41" t="s">
        <v>4449</v>
      </c>
      <c r="H1942" s="2043">
        <v>728095</v>
      </c>
      <c r="I1942" s="2043">
        <v>0</v>
      </c>
      <c r="J1942">
        <v>0</v>
      </c>
      <c r="K1942" s="2043">
        <v>0</v>
      </c>
      <c r="L1942" s="2043">
        <v>0</v>
      </c>
      <c r="M1942">
        <v>599</v>
      </c>
      <c r="N1942">
        <v>0</v>
      </c>
    </row>
    <row r="1943" spans="1:14">
      <c r="A1943" t="s">
        <v>3138</v>
      </c>
      <c r="B1943" t="s">
        <v>2390</v>
      </c>
      <c r="C1943" t="s">
        <v>777</v>
      </c>
      <c r="D1943" s="41">
        <v>5</v>
      </c>
      <c r="E1943" s="41">
        <v>2086</v>
      </c>
      <c r="F1943" s="41" t="s">
        <v>4449</v>
      </c>
      <c r="G1943" s="41" t="s">
        <v>4447</v>
      </c>
      <c r="H1943" s="2043">
        <v>728095</v>
      </c>
      <c r="I1943" s="2043">
        <v>0</v>
      </c>
      <c r="J1943">
        <v>0</v>
      </c>
      <c r="K1943" s="2043">
        <v>0</v>
      </c>
      <c r="L1943" s="2043">
        <v>0</v>
      </c>
      <c r="M1943">
        <v>599</v>
      </c>
      <c r="N1943">
        <v>1</v>
      </c>
    </row>
    <row r="1944" spans="1:14">
      <c r="A1944" t="s">
        <v>3138</v>
      </c>
      <c r="B1944" t="s">
        <v>2390</v>
      </c>
      <c r="C1944" t="s">
        <v>777</v>
      </c>
      <c r="D1944" s="41">
        <v>5</v>
      </c>
      <c r="E1944" s="41">
        <v>2086</v>
      </c>
      <c r="F1944" s="41" t="s">
        <v>4449</v>
      </c>
      <c r="G1944" s="41" t="s">
        <v>4448</v>
      </c>
      <c r="H1944" s="2043">
        <v>728095</v>
      </c>
      <c r="I1944" s="2043">
        <v>0</v>
      </c>
      <c r="J1944">
        <v>0</v>
      </c>
      <c r="K1944" s="2043">
        <v>0</v>
      </c>
      <c r="L1944" s="2043">
        <v>0</v>
      </c>
      <c r="M1944">
        <v>599</v>
      </c>
      <c r="N1944">
        <v>1</v>
      </c>
    </row>
    <row r="1945" spans="1:14">
      <c r="A1945" t="s">
        <v>3138</v>
      </c>
      <c r="B1945" t="s">
        <v>2390</v>
      </c>
      <c r="C1945" t="s">
        <v>777</v>
      </c>
      <c r="D1945" s="41">
        <v>5</v>
      </c>
      <c r="E1945" s="41">
        <v>2086</v>
      </c>
      <c r="F1945" s="41" t="s">
        <v>4449</v>
      </c>
      <c r="G1945" s="41" t="s">
        <v>5632</v>
      </c>
      <c r="H1945" s="2043">
        <v>728095</v>
      </c>
      <c r="I1945" s="2043">
        <v>667625</v>
      </c>
      <c r="J1945">
        <v>1</v>
      </c>
      <c r="K1945" s="2043">
        <v>728095</v>
      </c>
      <c r="L1945" s="2043">
        <v>667625</v>
      </c>
      <c r="M1945">
        <v>599</v>
      </c>
      <c r="N1945">
        <v>1</v>
      </c>
    </row>
    <row r="1946" spans="1:14">
      <c r="A1946" t="s">
        <v>3138</v>
      </c>
      <c r="B1946" t="s">
        <v>2390</v>
      </c>
      <c r="C1946" t="s">
        <v>777</v>
      </c>
      <c r="D1946" s="41">
        <v>9</v>
      </c>
      <c r="E1946" s="41">
        <v>2087</v>
      </c>
      <c r="F1946" s="41" t="s">
        <v>4450</v>
      </c>
      <c r="G1946" s="41" t="s">
        <v>4450</v>
      </c>
      <c r="H1946" s="2043">
        <v>778750</v>
      </c>
      <c r="I1946" s="2043">
        <v>0</v>
      </c>
      <c r="J1946">
        <v>0</v>
      </c>
      <c r="K1946" s="2043">
        <v>0</v>
      </c>
      <c r="L1946" s="2043">
        <v>0</v>
      </c>
      <c r="M1946">
        <v>599</v>
      </c>
      <c r="N1946">
        <v>1</v>
      </c>
    </row>
    <row r="1947" spans="1:14">
      <c r="A1947" t="s">
        <v>3138</v>
      </c>
      <c r="B1947" t="s">
        <v>2390</v>
      </c>
      <c r="C1947" t="s">
        <v>777</v>
      </c>
      <c r="D1947" s="41">
        <v>9</v>
      </c>
      <c r="E1947" s="41">
        <v>2087</v>
      </c>
      <c r="F1947" s="41" t="s">
        <v>4450</v>
      </c>
      <c r="G1947" s="41" t="s">
        <v>5447</v>
      </c>
      <c r="H1947" s="2043">
        <v>778750</v>
      </c>
      <c r="I1947" s="2043">
        <v>99183</v>
      </c>
      <c r="J1947">
        <v>4.4221426813478397E-2</v>
      </c>
      <c r="K1947" s="2043">
        <v>34437.436130996299</v>
      </c>
      <c r="L1947" s="2043">
        <v>34437.436130996299</v>
      </c>
      <c r="M1947">
        <v>599</v>
      </c>
      <c r="N1947">
        <v>1</v>
      </c>
    </row>
    <row r="1948" spans="1:14">
      <c r="A1948" t="s">
        <v>3138</v>
      </c>
      <c r="B1948" t="s">
        <v>2390</v>
      </c>
      <c r="C1948" t="s">
        <v>777</v>
      </c>
      <c r="D1948" s="41">
        <v>9</v>
      </c>
      <c r="E1948" s="41">
        <v>2087</v>
      </c>
      <c r="F1948" s="41" t="s">
        <v>4450</v>
      </c>
      <c r="G1948" s="41" t="s">
        <v>5448</v>
      </c>
      <c r="H1948" s="2043">
        <v>778750</v>
      </c>
      <c r="I1948" s="2043">
        <v>225117</v>
      </c>
      <c r="J1948">
        <v>0.100369972071523</v>
      </c>
      <c r="K1948" s="2043">
        <v>78163.115750698198</v>
      </c>
      <c r="L1948" s="2043">
        <v>78163.115750698198</v>
      </c>
      <c r="M1948">
        <v>599</v>
      </c>
      <c r="N1948">
        <v>1</v>
      </c>
    </row>
    <row r="1949" spans="1:14">
      <c r="A1949" t="s">
        <v>3138</v>
      </c>
      <c r="B1949" t="s">
        <v>2390</v>
      </c>
      <c r="C1949" t="s">
        <v>777</v>
      </c>
      <c r="D1949" s="41">
        <v>9</v>
      </c>
      <c r="E1949" s="41">
        <v>2087</v>
      </c>
      <c r="F1949" s="41" t="s">
        <v>4450</v>
      </c>
      <c r="G1949" s="41" t="s">
        <v>5631</v>
      </c>
      <c r="H1949" s="2043">
        <v>778750</v>
      </c>
      <c r="I1949" s="2043">
        <v>1918572</v>
      </c>
      <c r="J1949">
        <v>0.85540860111499895</v>
      </c>
      <c r="K1949" s="2043">
        <v>666149.44811830495</v>
      </c>
      <c r="L1949" s="2043">
        <v>666149.44811830495</v>
      </c>
      <c r="M1949">
        <v>599</v>
      </c>
      <c r="N1949">
        <v>1</v>
      </c>
    </row>
    <row r="1950" spans="1:14">
      <c r="A1950" t="s">
        <v>3138</v>
      </c>
      <c r="B1950" t="s">
        <v>2390</v>
      </c>
      <c r="C1950" t="s">
        <v>777</v>
      </c>
      <c r="D1950" s="41">
        <v>11</v>
      </c>
      <c r="E1950" s="41">
        <v>2538</v>
      </c>
      <c r="F1950" s="41" t="s">
        <v>7258</v>
      </c>
      <c r="G1950" s="41" t="s">
        <v>7258</v>
      </c>
      <c r="H1950" s="2043">
        <v>1050671</v>
      </c>
      <c r="I1950" s="2043">
        <v>2952200</v>
      </c>
      <c r="J1950">
        <v>1</v>
      </c>
      <c r="K1950" s="2043">
        <v>1050671</v>
      </c>
      <c r="L1950" s="2043">
        <v>1050671</v>
      </c>
      <c r="M1950">
        <v>599</v>
      </c>
      <c r="N1950">
        <v>0</v>
      </c>
    </row>
    <row r="1951" spans="1:14">
      <c r="A1951" t="s">
        <v>3139</v>
      </c>
      <c r="B1951" t="s">
        <v>2393</v>
      </c>
      <c r="C1951" t="s">
        <v>2113</v>
      </c>
      <c r="D1951" s="41">
        <v>1</v>
      </c>
      <c r="E1951" s="41">
        <v>2103</v>
      </c>
      <c r="F1951" s="41" t="s">
        <v>4451</v>
      </c>
      <c r="G1951" s="41" t="s">
        <v>4451</v>
      </c>
      <c r="H1951" s="2043">
        <v>1268572</v>
      </c>
      <c r="I1951" s="2043">
        <v>0</v>
      </c>
      <c r="J1951">
        <v>0</v>
      </c>
      <c r="L1951" s="2043">
        <v>0</v>
      </c>
      <c r="M1951">
        <v>599</v>
      </c>
      <c r="N1951">
        <v>0</v>
      </c>
    </row>
    <row r="1952" spans="1:14">
      <c r="A1952" t="s">
        <v>3139</v>
      </c>
      <c r="B1952" t="s">
        <v>2393</v>
      </c>
      <c r="C1952" t="s">
        <v>2113</v>
      </c>
      <c r="D1952" s="41">
        <v>1</v>
      </c>
      <c r="E1952" s="41">
        <v>2104</v>
      </c>
      <c r="F1952" s="41" t="s">
        <v>4452</v>
      </c>
      <c r="G1952" s="41" t="s">
        <v>4452</v>
      </c>
      <c r="H1952" s="2043">
        <v>1498095</v>
      </c>
      <c r="I1952" s="2043">
        <v>0</v>
      </c>
      <c r="J1952">
        <v>0</v>
      </c>
      <c r="L1952" s="2043">
        <v>0</v>
      </c>
      <c r="M1952">
        <v>599</v>
      </c>
      <c r="N1952">
        <v>0</v>
      </c>
    </row>
    <row r="1953" spans="1:14">
      <c r="A1953" t="s">
        <v>3140</v>
      </c>
      <c r="B1953" t="s">
        <v>1780</v>
      </c>
      <c r="C1953" t="s">
        <v>611</v>
      </c>
      <c r="D1953" s="41">
        <v>3</v>
      </c>
      <c r="E1953" s="41">
        <v>1660</v>
      </c>
      <c r="F1953" s="41" t="s">
        <v>4453</v>
      </c>
      <c r="G1953" s="41" t="s">
        <v>4453</v>
      </c>
      <c r="H1953" s="2043">
        <v>407753</v>
      </c>
      <c r="I1953" s="2043">
        <v>0</v>
      </c>
      <c r="J1953">
        <v>0</v>
      </c>
      <c r="K1953" s="2043">
        <v>0</v>
      </c>
      <c r="L1953" s="2043">
        <v>0</v>
      </c>
      <c r="M1953">
        <v>599</v>
      </c>
      <c r="N1953">
        <v>0</v>
      </c>
    </row>
    <row r="1954" spans="1:14">
      <c r="A1954" t="s">
        <v>3140</v>
      </c>
      <c r="B1954" t="s">
        <v>1780</v>
      </c>
      <c r="C1954" t="s">
        <v>611</v>
      </c>
      <c r="D1954" s="41">
        <v>3</v>
      </c>
      <c r="E1954" s="41">
        <v>1660</v>
      </c>
      <c r="F1954" s="41" t="s">
        <v>4453</v>
      </c>
      <c r="G1954" s="41" t="s">
        <v>4454</v>
      </c>
      <c r="H1954" s="2043">
        <v>407753</v>
      </c>
      <c r="I1954" s="2043">
        <v>0</v>
      </c>
      <c r="J1954">
        <v>0</v>
      </c>
      <c r="K1954" s="2043">
        <v>0</v>
      </c>
      <c r="L1954" s="2043">
        <v>0</v>
      </c>
      <c r="M1954">
        <v>599</v>
      </c>
      <c r="N1954">
        <v>1</v>
      </c>
    </row>
    <row r="1955" spans="1:14">
      <c r="A1955" t="s">
        <v>3140</v>
      </c>
      <c r="B1955" t="s">
        <v>1780</v>
      </c>
      <c r="C1955" t="s">
        <v>611</v>
      </c>
      <c r="D1955" s="41">
        <v>3</v>
      </c>
      <c r="E1955" s="41">
        <v>1660</v>
      </c>
      <c r="F1955" s="41" t="s">
        <v>4453</v>
      </c>
      <c r="G1955" s="41" t="s">
        <v>5633</v>
      </c>
      <c r="H1955" s="2043">
        <v>407753</v>
      </c>
      <c r="I1955" s="2043">
        <v>498650</v>
      </c>
      <c r="J1955">
        <v>1</v>
      </c>
      <c r="K1955" s="2043">
        <v>407753</v>
      </c>
      <c r="L1955" s="2043">
        <v>407753</v>
      </c>
      <c r="M1955">
        <v>599</v>
      </c>
      <c r="N1955">
        <v>1</v>
      </c>
    </row>
    <row r="1956" spans="1:14">
      <c r="A1956" t="s">
        <v>3140</v>
      </c>
      <c r="B1956" t="s">
        <v>1780</v>
      </c>
      <c r="C1956" t="s">
        <v>611</v>
      </c>
      <c r="D1956" s="41">
        <v>6</v>
      </c>
      <c r="E1956" s="41">
        <v>1659</v>
      </c>
      <c r="F1956" s="41" t="s">
        <v>4455</v>
      </c>
      <c r="G1956" s="41" t="s">
        <v>4455</v>
      </c>
      <c r="H1956" s="2043">
        <v>390173</v>
      </c>
      <c r="I1956" s="2043">
        <v>0</v>
      </c>
      <c r="J1956">
        <v>0</v>
      </c>
      <c r="K1956" s="2043">
        <v>0</v>
      </c>
      <c r="L1956" s="2043">
        <v>0</v>
      </c>
      <c r="M1956">
        <v>599</v>
      </c>
      <c r="N1956">
        <v>0</v>
      </c>
    </row>
    <row r="1957" spans="1:14">
      <c r="A1957" t="s">
        <v>3140</v>
      </c>
      <c r="B1957" t="s">
        <v>1780</v>
      </c>
      <c r="C1957" t="s">
        <v>611</v>
      </c>
      <c r="D1957" s="41">
        <v>6</v>
      </c>
      <c r="E1957" s="41">
        <v>1659</v>
      </c>
      <c r="F1957" s="41" t="s">
        <v>4455</v>
      </c>
      <c r="G1957" s="41" t="s">
        <v>4456</v>
      </c>
      <c r="H1957" s="2043">
        <v>390173</v>
      </c>
      <c r="I1957" s="2043">
        <v>0</v>
      </c>
      <c r="J1957">
        <v>0</v>
      </c>
      <c r="K1957" s="2043">
        <v>0</v>
      </c>
      <c r="L1957" s="2043">
        <v>0</v>
      </c>
      <c r="M1957">
        <v>599</v>
      </c>
      <c r="N1957">
        <v>1</v>
      </c>
    </row>
    <row r="1958" spans="1:14">
      <c r="A1958" t="s">
        <v>3140</v>
      </c>
      <c r="B1958" t="s">
        <v>1780</v>
      </c>
      <c r="C1958" t="s">
        <v>611</v>
      </c>
      <c r="D1958" s="41">
        <v>6</v>
      </c>
      <c r="E1958" s="41">
        <v>1659</v>
      </c>
      <c r="F1958" s="41" t="s">
        <v>4455</v>
      </c>
      <c r="G1958" s="41" t="s">
        <v>8576</v>
      </c>
      <c r="H1958" s="2043">
        <v>390173</v>
      </c>
      <c r="I1958" s="2043">
        <v>708771</v>
      </c>
      <c r="J1958">
        <v>1</v>
      </c>
      <c r="K1958" s="2043">
        <v>390173</v>
      </c>
      <c r="L1958" s="2043">
        <v>390173</v>
      </c>
      <c r="M1958">
        <v>599</v>
      </c>
      <c r="N1958">
        <v>1</v>
      </c>
    </row>
    <row r="1959" spans="1:14">
      <c r="A1959" t="s">
        <v>3140</v>
      </c>
      <c r="B1959" t="s">
        <v>1780</v>
      </c>
      <c r="C1959" t="s">
        <v>611</v>
      </c>
      <c r="D1959" s="41">
        <v>11</v>
      </c>
      <c r="E1959" s="41">
        <v>2564</v>
      </c>
      <c r="F1959" s="41" t="s">
        <v>9380</v>
      </c>
      <c r="G1959" s="41" t="s">
        <v>9380</v>
      </c>
      <c r="H1959" s="2043">
        <v>0</v>
      </c>
      <c r="I1959" s="2043">
        <v>0</v>
      </c>
      <c r="J1959">
        <v>0</v>
      </c>
      <c r="L1959" s="2043">
        <v>0</v>
      </c>
      <c r="M1959">
        <v>599</v>
      </c>
      <c r="N1959">
        <v>1</v>
      </c>
    </row>
    <row r="1960" spans="1:14">
      <c r="A1960" t="s">
        <v>3141</v>
      </c>
      <c r="B1960" t="s">
        <v>356</v>
      </c>
      <c r="C1960" t="s">
        <v>2492</v>
      </c>
      <c r="D1960" s="41">
        <v>4</v>
      </c>
      <c r="E1960" s="41">
        <v>1649</v>
      </c>
      <c r="F1960" s="41" t="s">
        <v>4457</v>
      </c>
      <c r="G1960" s="41" t="s">
        <v>4457</v>
      </c>
      <c r="H1960" s="2043">
        <v>100000</v>
      </c>
      <c r="I1960" s="2043">
        <v>0</v>
      </c>
      <c r="J1960">
        <v>0</v>
      </c>
      <c r="K1960" s="2043">
        <v>0</v>
      </c>
      <c r="L1960" s="2043">
        <v>0</v>
      </c>
      <c r="M1960">
        <v>599</v>
      </c>
      <c r="N1960">
        <v>0</v>
      </c>
    </row>
    <row r="1961" spans="1:14">
      <c r="A1961" t="s">
        <v>3141</v>
      </c>
      <c r="B1961" t="s">
        <v>356</v>
      </c>
      <c r="C1961" t="s">
        <v>2492</v>
      </c>
      <c r="D1961" s="41">
        <v>4</v>
      </c>
      <c r="E1961" s="41">
        <v>1649</v>
      </c>
      <c r="F1961" s="41" t="s">
        <v>4457</v>
      </c>
      <c r="G1961" s="41" t="s">
        <v>4458</v>
      </c>
      <c r="H1961" s="2043">
        <v>100000</v>
      </c>
      <c r="I1961" s="2043">
        <v>88862</v>
      </c>
      <c r="J1961">
        <v>1</v>
      </c>
      <c r="K1961" s="2043">
        <v>100000</v>
      </c>
      <c r="L1961" s="2043">
        <v>88862</v>
      </c>
      <c r="M1961">
        <v>599</v>
      </c>
      <c r="N1961">
        <v>1</v>
      </c>
    </row>
    <row r="1962" spans="1:14">
      <c r="A1962" t="s">
        <v>3142</v>
      </c>
      <c r="B1962" t="s">
        <v>1190</v>
      </c>
      <c r="C1962" t="s">
        <v>813</v>
      </c>
      <c r="D1962" s="41">
        <v>2</v>
      </c>
      <c r="E1962" s="41">
        <v>1849</v>
      </c>
      <c r="F1962" s="41" t="s">
        <v>4459</v>
      </c>
      <c r="G1962" s="41" t="s">
        <v>4459</v>
      </c>
      <c r="H1962" s="2043">
        <v>149754</v>
      </c>
      <c r="I1962" s="2043">
        <v>0</v>
      </c>
      <c r="J1962">
        <v>0</v>
      </c>
      <c r="K1962" s="2043">
        <v>0</v>
      </c>
      <c r="L1962" s="2043">
        <v>0</v>
      </c>
      <c r="M1962">
        <v>599</v>
      </c>
      <c r="N1962">
        <v>0</v>
      </c>
    </row>
    <row r="1963" spans="1:14">
      <c r="A1963" t="s">
        <v>3142</v>
      </c>
      <c r="B1963" t="s">
        <v>1190</v>
      </c>
      <c r="C1963" t="s">
        <v>813</v>
      </c>
      <c r="D1963" s="41">
        <v>2</v>
      </c>
      <c r="E1963" s="41">
        <v>1849</v>
      </c>
      <c r="F1963" s="41" t="s">
        <v>4459</v>
      </c>
      <c r="G1963" s="41" t="s">
        <v>4460</v>
      </c>
      <c r="H1963" s="2043">
        <v>149754</v>
      </c>
      <c r="I1963" s="2043">
        <v>148195</v>
      </c>
      <c r="J1963">
        <v>1</v>
      </c>
      <c r="K1963" s="2043">
        <v>149754</v>
      </c>
      <c r="L1963" s="2043">
        <v>148195</v>
      </c>
      <c r="M1963">
        <v>599</v>
      </c>
      <c r="N1963">
        <v>1</v>
      </c>
    </row>
    <row r="1964" spans="1:14">
      <c r="A1964" t="s">
        <v>3143</v>
      </c>
      <c r="B1964" t="s">
        <v>1877</v>
      </c>
      <c r="C1964" t="s">
        <v>71</v>
      </c>
      <c r="D1964" s="41">
        <v>6</v>
      </c>
      <c r="E1964" s="41">
        <v>2212</v>
      </c>
      <c r="F1964" s="41" t="s">
        <v>4461</v>
      </c>
      <c r="G1964" s="41" t="s">
        <v>4461</v>
      </c>
      <c r="H1964" s="2043">
        <v>73691</v>
      </c>
      <c r="I1964" s="2043">
        <v>0</v>
      </c>
      <c r="J1964">
        <v>0</v>
      </c>
      <c r="L1964" s="2043">
        <v>0</v>
      </c>
      <c r="M1964">
        <v>599</v>
      </c>
      <c r="N1964">
        <v>1</v>
      </c>
    </row>
    <row r="1965" spans="1:14">
      <c r="A1965" t="s">
        <v>3144</v>
      </c>
      <c r="B1965" t="s">
        <v>1242</v>
      </c>
      <c r="C1965" t="s">
        <v>1290</v>
      </c>
      <c r="D1965" s="41">
        <v>9</v>
      </c>
      <c r="E1965" s="41">
        <v>1630</v>
      </c>
      <c r="F1965" s="41" t="s">
        <v>4462</v>
      </c>
      <c r="G1965" s="41" t="s">
        <v>4462</v>
      </c>
      <c r="H1965" s="2043">
        <v>357946</v>
      </c>
      <c r="I1965" s="2043">
        <v>0</v>
      </c>
      <c r="J1965">
        <v>0</v>
      </c>
      <c r="K1965" s="2043">
        <v>0</v>
      </c>
      <c r="L1965" s="2043">
        <v>0</v>
      </c>
      <c r="M1965">
        <v>599</v>
      </c>
      <c r="N1965">
        <v>1</v>
      </c>
    </row>
    <row r="1966" spans="1:14">
      <c r="A1966" t="s">
        <v>3144</v>
      </c>
      <c r="B1966" t="s">
        <v>1242</v>
      </c>
      <c r="C1966" t="s">
        <v>1290</v>
      </c>
      <c r="D1966" s="41">
        <v>9</v>
      </c>
      <c r="E1966" s="41">
        <v>1630</v>
      </c>
      <c r="F1966" s="41" t="s">
        <v>4462</v>
      </c>
      <c r="G1966" s="41" t="s">
        <v>4463</v>
      </c>
      <c r="H1966" s="2043">
        <v>357946</v>
      </c>
      <c r="I1966" s="2043">
        <v>563568</v>
      </c>
      <c r="J1966">
        <v>1</v>
      </c>
      <c r="K1966" s="2043">
        <v>357946</v>
      </c>
      <c r="L1966" s="2043">
        <v>357946</v>
      </c>
      <c r="M1966">
        <v>599</v>
      </c>
      <c r="N1966">
        <v>1</v>
      </c>
    </row>
    <row r="1967" spans="1:14">
      <c r="A1967" t="s">
        <v>3145</v>
      </c>
      <c r="B1967" t="s">
        <v>2186</v>
      </c>
      <c r="C1967" t="s">
        <v>1463</v>
      </c>
      <c r="D1967" s="41">
        <v>1</v>
      </c>
      <c r="E1967" s="41">
        <v>1717</v>
      </c>
      <c r="F1967" s="41" t="s">
        <v>4464</v>
      </c>
      <c r="G1967" s="41" t="s">
        <v>4464</v>
      </c>
      <c r="H1967" s="2043">
        <v>398132</v>
      </c>
      <c r="I1967" s="2043">
        <v>0</v>
      </c>
      <c r="J1967">
        <v>0</v>
      </c>
      <c r="K1967" s="2043">
        <v>0</v>
      </c>
      <c r="L1967" s="2043">
        <v>0</v>
      </c>
      <c r="M1967">
        <v>599</v>
      </c>
      <c r="N1967">
        <v>0</v>
      </c>
    </row>
    <row r="1968" spans="1:14">
      <c r="A1968" t="s">
        <v>3145</v>
      </c>
      <c r="B1968" t="s">
        <v>2186</v>
      </c>
      <c r="C1968" t="s">
        <v>1463</v>
      </c>
      <c r="D1968" s="41">
        <v>1</v>
      </c>
      <c r="E1968" s="41">
        <v>1717</v>
      </c>
      <c r="F1968" s="41" t="s">
        <v>4464</v>
      </c>
      <c r="G1968" s="41" t="s">
        <v>4465</v>
      </c>
      <c r="H1968" s="2043">
        <v>398132</v>
      </c>
      <c r="I1968" s="2043">
        <v>0</v>
      </c>
      <c r="J1968">
        <v>0</v>
      </c>
      <c r="K1968" s="2043">
        <v>0</v>
      </c>
      <c r="L1968" s="2043">
        <v>0</v>
      </c>
      <c r="M1968">
        <v>599</v>
      </c>
      <c r="N1968">
        <v>0</v>
      </c>
    </row>
    <row r="1969" spans="1:14">
      <c r="A1969" t="s">
        <v>3145</v>
      </c>
      <c r="B1969" t="s">
        <v>2186</v>
      </c>
      <c r="C1969" t="s">
        <v>1463</v>
      </c>
      <c r="D1969" s="41">
        <v>1</v>
      </c>
      <c r="E1969" s="41">
        <v>1717</v>
      </c>
      <c r="F1969" s="41" t="s">
        <v>4464</v>
      </c>
      <c r="G1969" s="41" t="s">
        <v>4466</v>
      </c>
      <c r="H1969" s="2043">
        <v>398132</v>
      </c>
      <c r="I1969" s="2043">
        <v>0</v>
      </c>
      <c r="J1969">
        <v>0</v>
      </c>
      <c r="K1969" s="2043">
        <v>0</v>
      </c>
      <c r="L1969" s="2043">
        <v>0</v>
      </c>
      <c r="M1969">
        <v>599</v>
      </c>
      <c r="N1969">
        <v>1</v>
      </c>
    </row>
    <row r="1970" spans="1:14">
      <c r="A1970" t="s">
        <v>3145</v>
      </c>
      <c r="B1970" t="s">
        <v>2186</v>
      </c>
      <c r="C1970" t="s">
        <v>1463</v>
      </c>
      <c r="D1970" s="41">
        <v>1</v>
      </c>
      <c r="E1970" s="41">
        <v>1717</v>
      </c>
      <c r="F1970" s="41" t="s">
        <v>4464</v>
      </c>
      <c r="G1970" s="41" t="s">
        <v>4467</v>
      </c>
      <c r="H1970" s="2043">
        <v>398132</v>
      </c>
      <c r="I1970" s="2043">
        <v>466</v>
      </c>
      <c r="J1970">
        <v>9.6012790716840601E-4</v>
      </c>
      <c r="K1970" s="2043">
        <v>382.25764393677201</v>
      </c>
      <c r="L1970" s="2043">
        <v>382.25764393677201</v>
      </c>
      <c r="M1970">
        <v>599</v>
      </c>
      <c r="N1970">
        <v>1</v>
      </c>
    </row>
    <row r="1971" spans="1:14">
      <c r="A1971" t="s">
        <v>3145</v>
      </c>
      <c r="B1971" t="s">
        <v>2186</v>
      </c>
      <c r="C1971" t="s">
        <v>1463</v>
      </c>
      <c r="D1971" s="41">
        <v>1</v>
      </c>
      <c r="E1971" s="41">
        <v>1717</v>
      </c>
      <c r="F1971" s="41" t="s">
        <v>4464</v>
      </c>
      <c r="G1971" s="41" t="s">
        <v>4468</v>
      </c>
      <c r="H1971" s="2043">
        <v>398132</v>
      </c>
      <c r="I1971" s="2043">
        <v>158005</v>
      </c>
      <c r="J1971">
        <v>0.32554723169987998</v>
      </c>
      <c r="K1971" s="2043">
        <v>129610.770451137</v>
      </c>
      <c r="L1971" s="2043">
        <v>129610.770451137</v>
      </c>
      <c r="M1971">
        <v>599</v>
      </c>
      <c r="N1971">
        <v>1</v>
      </c>
    </row>
    <row r="1972" spans="1:14">
      <c r="A1972" t="s">
        <v>3145</v>
      </c>
      <c r="B1972" t="s">
        <v>2186</v>
      </c>
      <c r="C1972" t="s">
        <v>1463</v>
      </c>
      <c r="D1972" s="41">
        <v>1</v>
      </c>
      <c r="E1972" s="41">
        <v>1717</v>
      </c>
      <c r="F1972" s="41" t="s">
        <v>4464</v>
      </c>
      <c r="G1972" s="41" t="s">
        <v>5449</v>
      </c>
      <c r="H1972" s="2043">
        <v>398132</v>
      </c>
      <c r="I1972" s="2043">
        <v>145317</v>
      </c>
      <c r="J1972">
        <v>0.29940538001285699</v>
      </c>
      <c r="K1972" s="2043">
        <v>119202.862755279</v>
      </c>
      <c r="L1972" s="2043">
        <v>119202.862755279</v>
      </c>
      <c r="M1972">
        <v>599</v>
      </c>
      <c r="N1972">
        <v>1</v>
      </c>
    </row>
    <row r="1973" spans="1:14">
      <c r="A1973" t="s">
        <v>3145</v>
      </c>
      <c r="B1973" t="s">
        <v>2186</v>
      </c>
      <c r="C1973" t="s">
        <v>1463</v>
      </c>
      <c r="D1973" s="41">
        <v>1</v>
      </c>
      <c r="E1973" s="41">
        <v>1717</v>
      </c>
      <c r="F1973" s="41" t="s">
        <v>4464</v>
      </c>
      <c r="G1973" s="41" t="s">
        <v>5634</v>
      </c>
      <c r="H1973" s="2043">
        <v>398132</v>
      </c>
      <c r="I1973" s="2043">
        <v>74426</v>
      </c>
      <c r="J1973">
        <v>0.15334437686462599</v>
      </c>
      <c r="K1973" s="2043">
        <v>61051.303449867301</v>
      </c>
      <c r="L1973" s="2043">
        <v>61051.303449867301</v>
      </c>
      <c r="M1973">
        <v>599</v>
      </c>
      <c r="N1973">
        <v>1</v>
      </c>
    </row>
    <row r="1974" spans="1:14">
      <c r="A1974" t="s">
        <v>3145</v>
      </c>
      <c r="B1974" t="s">
        <v>2186</v>
      </c>
      <c r="C1974" t="s">
        <v>1463</v>
      </c>
      <c r="D1974" s="41">
        <v>1</v>
      </c>
      <c r="E1974" s="41">
        <v>1717</v>
      </c>
      <c r="F1974" s="41" t="s">
        <v>4464</v>
      </c>
      <c r="G1974" s="41" t="s">
        <v>7259</v>
      </c>
      <c r="H1974" s="2043">
        <v>398132</v>
      </c>
      <c r="I1974" s="2043">
        <v>4635</v>
      </c>
      <c r="J1974">
        <v>9.5497700637887494E-3</v>
      </c>
      <c r="K1974" s="2043">
        <v>3802.0690550363402</v>
      </c>
      <c r="L1974" s="2043">
        <v>3802.0690550363402</v>
      </c>
      <c r="M1974">
        <v>599</v>
      </c>
      <c r="N1974">
        <v>1</v>
      </c>
    </row>
    <row r="1975" spans="1:14">
      <c r="A1975" t="s">
        <v>3145</v>
      </c>
      <c r="B1975" t="s">
        <v>2186</v>
      </c>
      <c r="C1975" t="s">
        <v>1463</v>
      </c>
      <c r="D1975" s="41">
        <v>1</v>
      </c>
      <c r="E1975" s="41">
        <v>1717</v>
      </c>
      <c r="F1975" s="41" t="s">
        <v>4464</v>
      </c>
      <c r="G1975" s="41" t="s">
        <v>8642</v>
      </c>
      <c r="H1975" s="2043">
        <v>398132</v>
      </c>
      <c r="I1975" s="2043">
        <v>102503</v>
      </c>
      <c r="J1975">
        <v>0.21119311345167999</v>
      </c>
      <c r="K1975" s="2043">
        <v>84082.736644744393</v>
      </c>
      <c r="L1975" s="2043">
        <v>84082.736644744393</v>
      </c>
      <c r="M1975">
        <v>599</v>
      </c>
      <c r="N1975">
        <v>1</v>
      </c>
    </row>
    <row r="1976" spans="1:14">
      <c r="A1976" t="s">
        <v>3146</v>
      </c>
      <c r="B1976" t="s">
        <v>1111</v>
      </c>
      <c r="C1976" t="s">
        <v>1060</v>
      </c>
      <c r="D1976" s="41">
        <v>2</v>
      </c>
      <c r="E1976" s="41">
        <v>2457</v>
      </c>
      <c r="F1976" s="41" t="s">
        <v>4469</v>
      </c>
      <c r="G1976" s="41" t="s">
        <v>4469</v>
      </c>
      <c r="H1976" s="2043">
        <v>890114</v>
      </c>
      <c r="I1976" s="2043">
        <v>1530919</v>
      </c>
      <c r="J1976">
        <v>0.80923336015062797</v>
      </c>
      <c r="K1976" s="2043">
        <v>720309.94313711603</v>
      </c>
      <c r="L1976" s="2043">
        <v>720309.94313711603</v>
      </c>
      <c r="M1976">
        <v>599</v>
      </c>
      <c r="N1976">
        <v>1</v>
      </c>
    </row>
    <row r="1977" spans="1:14">
      <c r="A1977" t="s">
        <v>3146</v>
      </c>
      <c r="B1977" t="s">
        <v>1111</v>
      </c>
      <c r="C1977" t="s">
        <v>1060</v>
      </c>
      <c r="D1977" s="41">
        <v>2</v>
      </c>
      <c r="E1977" s="41">
        <v>2457</v>
      </c>
      <c r="F1977" s="41" t="s">
        <v>4469</v>
      </c>
      <c r="G1977" s="41" t="s">
        <v>4470</v>
      </c>
      <c r="H1977" s="2043">
        <v>890114</v>
      </c>
      <c r="I1977" s="2043">
        <v>0</v>
      </c>
      <c r="J1977">
        <v>0</v>
      </c>
      <c r="K1977" s="2043">
        <v>0</v>
      </c>
      <c r="L1977" s="2043">
        <v>0</v>
      </c>
      <c r="M1977">
        <v>599</v>
      </c>
      <c r="N1977">
        <v>0</v>
      </c>
    </row>
    <row r="1978" spans="1:14">
      <c r="A1978" t="s">
        <v>3146</v>
      </c>
      <c r="B1978" t="s">
        <v>1111</v>
      </c>
      <c r="C1978" t="s">
        <v>1060</v>
      </c>
      <c r="D1978" s="41">
        <v>2</v>
      </c>
      <c r="E1978" s="41">
        <v>2457</v>
      </c>
      <c r="F1978" s="41" t="s">
        <v>4469</v>
      </c>
      <c r="G1978" s="41" t="s">
        <v>4471</v>
      </c>
      <c r="H1978" s="2043">
        <v>890114</v>
      </c>
      <c r="I1978" s="2043">
        <v>0</v>
      </c>
      <c r="J1978">
        <v>0</v>
      </c>
      <c r="K1978" s="2043">
        <v>0</v>
      </c>
      <c r="L1978" s="2043">
        <v>0</v>
      </c>
      <c r="M1978">
        <v>599</v>
      </c>
      <c r="N1978">
        <v>1</v>
      </c>
    </row>
    <row r="1979" spans="1:14">
      <c r="A1979" t="s">
        <v>3146</v>
      </c>
      <c r="B1979" t="s">
        <v>1111</v>
      </c>
      <c r="C1979" t="s">
        <v>1060</v>
      </c>
      <c r="D1979" s="41">
        <v>2</v>
      </c>
      <c r="E1979" s="41">
        <v>2457</v>
      </c>
      <c r="F1979" s="41" t="s">
        <v>4469</v>
      </c>
      <c r="G1979" s="41" t="s">
        <v>5450</v>
      </c>
      <c r="H1979" s="2043">
        <v>890114</v>
      </c>
      <c r="I1979" s="2043">
        <v>351863</v>
      </c>
      <c r="J1979">
        <v>0.18599238614367</v>
      </c>
      <c r="K1979" s="2043">
        <v>165554.42679988599</v>
      </c>
      <c r="L1979" s="2043">
        <v>165554.42679988599</v>
      </c>
      <c r="M1979">
        <v>599</v>
      </c>
      <c r="N1979">
        <v>1</v>
      </c>
    </row>
    <row r="1980" spans="1:14">
      <c r="A1980" t="s">
        <v>3146</v>
      </c>
      <c r="B1980" t="s">
        <v>1111</v>
      </c>
      <c r="C1980" t="s">
        <v>1060</v>
      </c>
      <c r="D1980" s="41">
        <v>2</v>
      </c>
      <c r="E1980" s="41">
        <v>2457</v>
      </c>
      <c r="F1980" s="41" t="s">
        <v>4469</v>
      </c>
      <c r="G1980" s="41" t="s">
        <v>7260</v>
      </c>
      <c r="H1980" s="2043">
        <v>890114</v>
      </c>
      <c r="I1980" s="2043">
        <v>9032</v>
      </c>
      <c r="J1980">
        <v>4.7742537057025702E-3</v>
      </c>
      <c r="K1980" s="2043">
        <v>4249.6300629977404</v>
      </c>
      <c r="L1980" s="2043">
        <v>4249.6300629977404</v>
      </c>
      <c r="M1980">
        <v>599</v>
      </c>
      <c r="N1980">
        <v>1</v>
      </c>
    </row>
    <row r="1981" spans="1:14">
      <c r="A1981" t="s">
        <v>3146</v>
      </c>
      <c r="B1981" t="s">
        <v>1111</v>
      </c>
      <c r="C1981" t="s">
        <v>1060</v>
      </c>
      <c r="D1981" s="41">
        <v>6</v>
      </c>
      <c r="E1981" s="41">
        <v>2455</v>
      </c>
      <c r="F1981" s="41" t="s">
        <v>4472</v>
      </c>
      <c r="G1981" s="41" t="s">
        <v>4472</v>
      </c>
      <c r="H1981" s="2043">
        <v>700706</v>
      </c>
      <c r="I1981" s="2043">
        <v>0</v>
      </c>
      <c r="J1981">
        <v>0</v>
      </c>
      <c r="K1981" s="2043">
        <v>0</v>
      </c>
      <c r="L1981" s="2043">
        <v>0</v>
      </c>
      <c r="M1981">
        <v>599</v>
      </c>
      <c r="N1981">
        <v>0</v>
      </c>
    </row>
    <row r="1982" spans="1:14">
      <c r="A1982" t="s">
        <v>3146</v>
      </c>
      <c r="B1982" t="s">
        <v>1111</v>
      </c>
      <c r="C1982" t="s">
        <v>1060</v>
      </c>
      <c r="D1982" s="41">
        <v>6</v>
      </c>
      <c r="E1982" s="41">
        <v>2455</v>
      </c>
      <c r="F1982" s="41" t="s">
        <v>4472</v>
      </c>
      <c r="G1982" s="41" t="s">
        <v>4473</v>
      </c>
      <c r="H1982" s="2043">
        <v>700706</v>
      </c>
      <c r="I1982" s="2043">
        <v>0</v>
      </c>
      <c r="J1982">
        <v>0</v>
      </c>
      <c r="K1982" s="2043">
        <v>0</v>
      </c>
      <c r="L1982" s="2043">
        <v>0</v>
      </c>
      <c r="M1982">
        <v>599</v>
      </c>
      <c r="N1982">
        <v>1</v>
      </c>
    </row>
    <row r="1983" spans="1:14">
      <c r="A1983" t="s">
        <v>3146</v>
      </c>
      <c r="B1983" t="s">
        <v>1111</v>
      </c>
      <c r="C1983" t="s">
        <v>1060</v>
      </c>
      <c r="D1983" s="41">
        <v>6</v>
      </c>
      <c r="E1983" s="41">
        <v>2455</v>
      </c>
      <c r="F1983" s="41" t="s">
        <v>4472</v>
      </c>
      <c r="G1983" s="41" t="s">
        <v>5450</v>
      </c>
      <c r="H1983" s="2043">
        <v>700706</v>
      </c>
      <c r="I1983" s="2043">
        <v>51135</v>
      </c>
      <c r="J1983">
        <v>0.112110376156786</v>
      </c>
      <c r="K1983" s="2043">
        <v>78556.413235316693</v>
      </c>
      <c r="L1983" s="2043">
        <v>51135</v>
      </c>
      <c r="M1983">
        <v>599</v>
      </c>
      <c r="N1983">
        <v>1</v>
      </c>
    </row>
    <row r="1984" spans="1:14">
      <c r="A1984" t="s">
        <v>3146</v>
      </c>
      <c r="B1984" t="s">
        <v>1111</v>
      </c>
      <c r="C1984" t="s">
        <v>1060</v>
      </c>
      <c r="D1984" s="41">
        <v>6</v>
      </c>
      <c r="E1984" s="41">
        <v>2455</v>
      </c>
      <c r="F1984" s="41" t="s">
        <v>4472</v>
      </c>
      <c r="G1984" s="41" t="s">
        <v>8643</v>
      </c>
      <c r="H1984" s="2043">
        <v>700706</v>
      </c>
      <c r="I1984" s="2043">
        <v>404978</v>
      </c>
      <c r="J1984">
        <v>0.88788962384321402</v>
      </c>
      <c r="K1984" s="2043">
        <v>622149.58676468302</v>
      </c>
      <c r="L1984" s="2043">
        <v>404978</v>
      </c>
      <c r="M1984">
        <v>599</v>
      </c>
      <c r="N1984">
        <v>1</v>
      </c>
    </row>
    <row r="1985" spans="1:14">
      <c r="A1985" t="s">
        <v>3146</v>
      </c>
      <c r="B1985" t="s">
        <v>1111</v>
      </c>
      <c r="C1985" t="s">
        <v>1060</v>
      </c>
      <c r="D1985" s="41">
        <v>9</v>
      </c>
      <c r="E1985" s="41">
        <v>2456</v>
      </c>
      <c r="F1985" s="41" t="s">
        <v>4474</v>
      </c>
      <c r="G1985" s="41" t="s">
        <v>4474</v>
      </c>
      <c r="H1985" s="2043">
        <v>798894</v>
      </c>
      <c r="I1985" s="2043">
        <v>0</v>
      </c>
      <c r="J1985">
        <v>0</v>
      </c>
      <c r="K1985" s="2043">
        <v>0</v>
      </c>
      <c r="L1985" s="2043">
        <v>0</v>
      </c>
      <c r="M1985">
        <v>599</v>
      </c>
      <c r="N1985">
        <v>1</v>
      </c>
    </row>
    <row r="1986" spans="1:14">
      <c r="A1986" t="s">
        <v>3146</v>
      </c>
      <c r="B1986" t="s">
        <v>1111</v>
      </c>
      <c r="C1986" t="s">
        <v>1060</v>
      </c>
      <c r="D1986" s="41">
        <v>9</v>
      </c>
      <c r="E1986" s="41">
        <v>2456</v>
      </c>
      <c r="F1986" s="41" t="s">
        <v>4474</v>
      </c>
      <c r="G1986" s="41" t="s">
        <v>4475</v>
      </c>
      <c r="H1986" s="2043">
        <v>798894</v>
      </c>
      <c r="I1986" s="2043">
        <v>167869</v>
      </c>
      <c r="J1986">
        <v>0.13262371677276899</v>
      </c>
      <c r="K1986" s="2043">
        <v>105952.29158746501</v>
      </c>
      <c r="L1986" s="2043">
        <v>105952.29158746501</v>
      </c>
      <c r="M1986">
        <v>599</v>
      </c>
      <c r="N1986">
        <v>1</v>
      </c>
    </row>
    <row r="1987" spans="1:14">
      <c r="A1987" t="s">
        <v>3146</v>
      </c>
      <c r="B1987" t="s">
        <v>1111</v>
      </c>
      <c r="C1987" t="s">
        <v>1060</v>
      </c>
      <c r="D1987" s="41">
        <v>9</v>
      </c>
      <c r="E1987" s="41">
        <v>2456</v>
      </c>
      <c r="F1987" s="41" t="s">
        <v>4474</v>
      </c>
      <c r="G1987" s="41" t="s">
        <v>5450</v>
      </c>
      <c r="H1987" s="2043">
        <v>798894</v>
      </c>
      <c r="I1987" s="2043">
        <v>1097885</v>
      </c>
      <c r="J1987">
        <v>0.86737628322723104</v>
      </c>
      <c r="K1987" s="2043">
        <v>692941.70841253502</v>
      </c>
      <c r="L1987" s="2043">
        <v>692941.70841253502</v>
      </c>
      <c r="M1987">
        <v>599</v>
      </c>
      <c r="N1987">
        <v>1</v>
      </c>
    </row>
    <row r="1988" spans="1:14">
      <c r="A1988" t="s">
        <v>3146</v>
      </c>
      <c r="B1988" t="s">
        <v>1111</v>
      </c>
      <c r="C1988" t="s">
        <v>1060</v>
      </c>
      <c r="D1988" s="41">
        <v>10</v>
      </c>
      <c r="E1988" s="41">
        <v>2454</v>
      </c>
      <c r="F1988" s="41" t="s">
        <v>4476</v>
      </c>
      <c r="G1988" s="41" t="s">
        <v>4476</v>
      </c>
      <c r="H1988" s="2043">
        <v>258116</v>
      </c>
      <c r="I1988" s="2043">
        <v>0</v>
      </c>
      <c r="J1988">
        <v>0</v>
      </c>
      <c r="K1988" s="2043">
        <v>0</v>
      </c>
      <c r="L1988" s="2043">
        <v>0</v>
      </c>
      <c r="M1988">
        <v>599</v>
      </c>
      <c r="N1988">
        <v>1</v>
      </c>
    </row>
    <row r="1989" spans="1:14">
      <c r="A1989" t="s">
        <v>3146</v>
      </c>
      <c r="B1989" t="s">
        <v>1111</v>
      </c>
      <c r="C1989" t="s">
        <v>1060</v>
      </c>
      <c r="D1989" s="41">
        <v>10</v>
      </c>
      <c r="E1989" s="41">
        <v>2454</v>
      </c>
      <c r="F1989" s="41" t="s">
        <v>4476</v>
      </c>
      <c r="G1989" s="41" t="s">
        <v>5635</v>
      </c>
      <c r="H1989" s="2043">
        <v>258116</v>
      </c>
      <c r="I1989" s="2043">
        <v>220352</v>
      </c>
      <c r="J1989">
        <v>1</v>
      </c>
      <c r="K1989" s="2043">
        <v>258116</v>
      </c>
      <c r="L1989" s="2043">
        <v>220352</v>
      </c>
      <c r="M1989">
        <v>599</v>
      </c>
      <c r="N1989">
        <v>1</v>
      </c>
    </row>
    <row r="1990" spans="1:14">
      <c r="A1990" t="s">
        <v>3147</v>
      </c>
      <c r="B1990" t="s">
        <v>329</v>
      </c>
      <c r="C1990" t="s">
        <v>273</v>
      </c>
      <c r="D1990" s="41">
        <v>3</v>
      </c>
      <c r="E1990" s="41">
        <v>2052</v>
      </c>
      <c r="F1990" s="41" t="s">
        <v>4477</v>
      </c>
      <c r="G1990" s="41" t="s">
        <v>4477</v>
      </c>
      <c r="H1990" s="2043">
        <v>1530990</v>
      </c>
      <c r="I1990" s="2043">
        <v>0</v>
      </c>
      <c r="J1990">
        <v>0</v>
      </c>
      <c r="K1990" s="2043">
        <v>0</v>
      </c>
      <c r="L1990" s="2043">
        <v>0</v>
      </c>
      <c r="M1990">
        <v>599</v>
      </c>
      <c r="N1990">
        <v>0</v>
      </c>
    </row>
    <row r="1991" spans="1:14">
      <c r="A1991" t="s">
        <v>3147</v>
      </c>
      <c r="B1991" t="s">
        <v>329</v>
      </c>
      <c r="C1991" t="s">
        <v>273</v>
      </c>
      <c r="D1991" s="41">
        <v>3</v>
      </c>
      <c r="E1991" s="41">
        <v>2052</v>
      </c>
      <c r="F1991" s="41" t="s">
        <v>4477</v>
      </c>
      <c r="G1991" s="41" t="s">
        <v>4478</v>
      </c>
      <c r="H1991" s="2043">
        <v>1530990</v>
      </c>
      <c r="I1991" s="2043">
        <v>0</v>
      </c>
      <c r="J1991">
        <v>0</v>
      </c>
      <c r="K1991" s="2043">
        <v>0</v>
      </c>
      <c r="L1991" s="2043">
        <v>0</v>
      </c>
      <c r="M1991">
        <v>599</v>
      </c>
      <c r="N1991">
        <v>1</v>
      </c>
    </row>
    <row r="1992" spans="1:14">
      <c r="A1992" t="s">
        <v>3147</v>
      </c>
      <c r="B1992" t="s">
        <v>329</v>
      </c>
      <c r="C1992" t="s">
        <v>273</v>
      </c>
      <c r="D1992" s="41">
        <v>3</v>
      </c>
      <c r="E1992" s="41">
        <v>2052</v>
      </c>
      <c r="F1992" s="41" t="s">
        <v>4477</v>
      </c>
      <c r="G1992" s="41" t="s">
        <v>4479</v>
      </c>
      <c r="H1992" s="2043">
        <v>1530990</v>
      </c>
      <c r="I1992" s="2043">
        <v>0</v>
      </c>
      <c r="J1992">
        <v>0</v>
      </c>
      <c r="K1992" s="2043">
        <v>0</v>
      </c>
      <c r="L1992" s="2043">
        <v>0</v>
      </c>
      <c r="M1992">
        <v>599</v>
      </c>
      <c r="N1992">
        <v>1</v>
      </c>
    </row>
    <row r="1993" spans="1:14">
      <c r="A1993" t="s">
        <v>3147</v>
      </c>
      <c r="B1993" t="s">
        <v>329</v>
      </c>
      <c r="C1993" t="s">
        <v>273</v>
      </c>
      <c r="D1993" s="41">
        <v>3</v>
      </c>
      <c r="E1993" s="41">
        <v>2052</v>
      </c>
      <c r="F1993" s="41" t="s">
        <v>4477</v>
      </c>
      <c r="G1993" s="41" t="s">
        <v>5636</v>
      </c>
      <c r="H1993" s="2043">
        <v>1530990</v>
      </c>
      <c r="I1993" s="2043">
        <v>385174</v>
      </c>
      <c r="J1993">
        <v>0.13577103200704399</v>
      </c>
      <c r="K1993" s="2043">
        <v>207864.09229246501</v>
      </c>
      <c r="L1993" s="2043">
        <v>207864.09229246501</v>
      </c>
      <c r="M1993">
        <v>599</v>
      </c>
      <c r="N1993">
        <v>1</v>
      </c>
    </row>
    <row r="1994" spans="1:14">
      <c r="A1994" t="s">
        <v>3147</v>
      </c>
      <c r="B1994" t="s">
        <v>329</v>
      </c>
      <c r="C1994" t="s">
        <v>273</v>
      </c>
      <c r="D1994" s="41">
        <v>3</v>
      </c>
      <c r="E1994" s="41">
        <v>2052</v>
      </c>
      <c r="F1994" s="41" t="s">
        <v>4477</v>
      </c>
      <c r="G1994" s="41" t="s">
        <v>7261</v>
      </c>
      <c r="H1994" s="2043">
        <v>1530990</v>
      </c>
      <c r="I1994" s="2043">
        <v>2334116</v>
      </c>
      <c r="J1994">
        <v>0.82275890414242403</v>
      </c>
      <c r="K1994" s="2043">
        <v>1259635.65465301</v>
      </c>
      <c r="L1994" s="2043">
        <v>1259635.65465301</v>
      </c>
      <c r="M1994">
        <v>599</v>
      </c>
      <c r="N1994">
        <v>1</v>
      </c>
    </row>
    <row r="1995" spans="1:14">
      <c r="A1995" t="s">
        <v>3147</v>
      </c>
      <c r="B1995" t="s">
        <v>329</v>
      </c>
      <c r="C1995" t="s">
        <v>273</v>
      </c>
      <c r="D1995" s="41">
        <v>3</v>
      </c>
      <c r="E1995" s="41">
        <v>2052</v>
      </c>
      <c r="F1995" s="41" t="s">
        <v>4477</v>
      </c>
      <c r="G1995" s="41" t="s">
        <v>9381</v>
      </c>
      <c r="H1995" s="2043">
        <v>1530990</v>
      </c>
      <c r="I1995" s="2043">
        <v>117648</v>
      </c>
      <c r="J1995">
        <v>4.1470063850531799E-2</v>
      </c>
      <c r="K1995" s="2043">
        <v>63490.253054525703</v>
      </c>
      <c r="L1995" s="2043">
        <v>63490.253054525703</v>
      </c>
      <c r="M1995">
        <v>599</v>
      </c>
      <c r="N1995">
        <v>1</v>
      </c>
    </row>
    <row r="1996" spans="1:14">
      <c r="A1996" t="s">
        <v>3147</v>
      </c>
      <c r="B1996" t="s">
        <v>329</v>
      </c>
      <c r="C1996" t="s">
        <v>273</v>
      </c>
      <c r="D1996" s="41">
        <v>9</v>
      </c>
      <c r="E1996" s="41">
        <v>2051</v>
      </c>
      <c r="F1996" s="41" t="s">
        <v>4478</v>
      </c>
      <c r="G1996" s="41" t="s">
        <v>4478</v>
      </c>
      <c r="H1996" s="2043">
        <v>617287</v>
      </c>
      <c r="I1996" s="2043">
        <v>0</v>
      </c>
      <c r="J1996">
        <v>0</v>
      </c>
      <c r="K1996" s="2043">
        <v>0</v>
      </c>
      <c r="L1996" s="2043">
        <v>0</v>
      </c>
      <c r="M1996">
        <v>599</v>
      </c>
      <c r="N1996">
        <v>1</v>
      </c>
    </row>
    <row r="1997" spans="1:14">
      <c r="A1997" t="s">
        <v>3147</v>
      </c>
      <c r="B1997" t="s">
        <v>329</v>
      </c>
      <c r="C1997" t="s">
        <v>273</v>
      </c>
      <c r="D1997" s="41">
        <v>9</v>
      </c>
      <c r="E1997" s="41">
        <v>2051</v>
      </c>
      <c r="F1997" s="41" t="s">
        <v>4478</v>
      </c>
      <c r="G1997" s="41" t="s">
        <v>5636</v>
      </c>
      <c r="H1997" s="2043">
        <v>617287</v>
      </c>
      <c r="I1997" s="2043">
        <v>29095</v>
      </c>
      <c r="J1997">
        <v>0.14691179737835999</v>
      </c>
      <c r="K1997" s="2043">
        <v>90686.742668295905</v>
      </c>
      <c r="L1997" s="2043">
        <v>29095</v>
      </c>
      <c r="M1997">
        <v>599</v>
      </c>
      <c r="N1997">
        <v>1</v>
      </c>
    </row>
    <row r="1998" spans="1:14">
      <c r="A1998" t="s">
        <v>3147</v>
      </c>
      <c r="B1998" t="s">
        <v>329</v>
      </c>
      <c r="C1998" t="s">
        <v>273</v>
      </c>
      <c r="D1998" s="41">
        <v>9</v>
      </c>
      <c r="E1998" s="41">
        <v>2051</v>
      </c>
      <c r="F1998" s="41" t="s">
        <v>4478</v>
      </c>
      <c r="G1998" s="41" t="s">
        <v>7261</v>
      </c>
      <c r="H1998" s="2043">
        <v>617287</v>
      </c>
      <c r="I1998" s="2043">
        <v>160062</v>
      </c>
      <c r="J1998">
        <v>0.808214336208115</v>
      </c>
      <c r="K1998" s="2043">
        <v>498900.202954899</v>
      </c>
      <c r="L1998" s="2043">
        <v>160062</v>
      </c>
      <c r="M1998">
        <v>599</v>
      </c>
      <c r="N1998">
        <v>1</v>
      </c>
    </row>
    <row r="1999" spans="1:14">
      <c r="A1999" t="s">
        <v>3147</v>
      </c>
      <c r="B1999" t="s">
        <v>329</v>
      </c>
      <c r="C1999" t="s">
        <v>273</v>
      </c>
      <c r="D1999" s="41">
        <v>9</v>
      </c>
      <c r="E1999" s="41">
        <v>2051</v>
      </c>
      <c r="F1999" s="41" t="s">
        <v>4478</v>
      </c>
      <c r="G1999" s="41" t="s">
        <v>9381</v>
      </c>
      <c r="H1999" s="2043">
        <v>617287</v>
      </c>
      <c r="I1999" s="2043">
        <v>8887</v>
      </c>
      <c r="J1999">
        <v>4.4873866413524303E-2</v>
      </c>
      <c r="K1999" s="2043">
        <v>27700.054376805201</v>
      </c>
      <c r="L1999" s="2043">
        <v>8887</v>
      </c>
      <c r="M1999">
        <v>599</v>
      </c>
      <c r="N1999">
        <v>1</v>
      </c>
    </row>
    <row r="2000" spans="1:14">
      <c r="A2000" t="s">
        <v>3148</v>
      </c>
      <c r="B2000" t="s">
        <v>1419</v>
      </c>
      <c r="C2000" t="s">
        <v>1828</v>
      </c>
      <c r="D2000" s="41">
        <v>2</v>
      </c>
      <c r="E2000" s="41">
        <v>2373</v>
      </c>
      <c r="F2000" s="41" t="s">
        <v>4480</v>
      </c>
      <c r="G2000" s="41" t="s">
        <v>4480</v>
      </c>
      <c r="H2000" s="2043">
        <v>605123</v>
      </c>
      <c r="I2000" s="2043">
        <v>0</v>
      </c>
      <c r="J2000">
        <v>0</v>
      </c>
      <c r="L2000" s="2043">
        <v>0</v>
      </c>
      <c r="M2000">
        <v>199</v>
      </c>
      <c r="N2000">
        <v>0</v>
      </c>
    </row>
    <row r="2001" spans="1:14">
      <c r="A2001" t="s">
        <v>3148</v>
      </c>
      <c r="B2001" t="s">
        <v>1419</v>
      </c>
      <c r="C2001" t="s">
        <v>1828</v>
      </c>
      <c r="D2001" s="41">
        <v>6</v>
      </c>
      <c r="E2001" s="41">
        <v>2374</v>
      </c>
      <c r="F2001" s="41" t="s">
        <v>4481</v>
      </c>
      <c r="G2001" s="41" t="s">
        <v>4481</v>
      </c>
      <c r="H2001" s="2043">
        <v>687496</v>
      </c>
      <c r="I2001" s="2043">
        <v>78221</v>
      </c>
      <c r="J2001">
        <v>0.10949586631092401</v>
      </c>
      <c r="K2001" s="2043">
        <v>75277.970105294997</v>
      </c>
      <c r="L2001" s="2043">
        <v>75277.970105294997</v>
      </c>
      <c r="M2001">
        <v>599</v>
      </c>
      <c r="N2001">
        <v>1</v>
      </c>
    </row>
    <row r="2002" spans="1:14">
      <c r="A2002" t="s">
        <v>3148</v>
      </c>
      <c r="B2002" t="s">
        <v>1419</v>
      </c>
      <c r="C2002" t="s">
        <v>1828</v>
      </c>
      <c r="D2002" s="41">
        <v>6</v>
      </c>
      <c r="E2002" s="41">
        <v>2374</v>
      </c>
      <c r="F2002" s="41" t="s">
        <v>4481</v>
      </c>
      <c r="G2002" s="41" t="s">
        <v>4482</v>
      </c>
      <c r="H2002" s="2043">
        <v>687496</v>
      </c>
      <c r="I2002" s="2043">
        <v>0</v>
      </c>
      <c r="J2002">
        <v>0</v>
      </c>
      <c r="K2002" s="2043">
        <v>0</v>
      </c>
      <c r="L2002" s="2043">
        <v>0</v>
      </c>
      <c r="M2002">
        <v>599</v>
      </c>
      <c r="N2002">
        <v>1</v>
      </c>
    </row>
    <row r="2003" spans="1:14">
      <c r="A2003" t="s">
        <v>3148</v>
      </c>
      <c r="B2003" t="s">
        <v>1419</v>
      </c>
      <c r="C2003" t="s">
        <v>1828</v>
      </c>
      <c r="D2003" s="41">
        <v>6</v>
      </c>
      <c r="E2003" s="41">
        <v>2374</v>
      </c>
      <c r="F2003" s="41" t="s">
        <v>4481</v>
      </c>
      <c r="G2003" s="41" t="s">
        <v>8644</v>
      </c>
      <c r="H2003" s="2043">
        <v>687496</v>
      </c>
      <c r="I2003" s="2043">
        <v>636153</v>
      </c>
      <c r="J2003">
        <v>0.89050413368907599</v>
      </c>
      <c r="K2003" s="2043">
        <v>612218.02989470505</v>
      </c>
      <c r="L2003" s="2043">
        <v>612218.02989470505</v>
      </c>
      <c r="M2003">
        <v>599</v>
      </c>
      <c r="N2003">
        <v>1</v>
      </c>
    </row>
    <row r="2004" spans="1:14">
      <c r="A2004" t="s">
        <v>3148</v>
      </c>
      <c r="B2004" t="s">
        <v>1419</v>
      </c>
      <c r="C2004" t="s">
        <v>1828</v>
      </c>
      <c r="D2004" s="41">
        <v>9</v>
      </c>
      <c r="E2004" s="41">
        <v>2372</v>
      </c>
      <c r="F2004" s="41" t="s">
        <v>4483</v>
      </c>
      <c r="G2004" s="41" t="s">
        <v>4483</v>
      </c>
      <c r="H2004" s="2043">
        <v>565041</v>
      </c>
      <c r="I2004" s="2043">
        <v>0</v>
      </c>
      <c r="J2004">
        <v>0</v>
      </c>
      <c r="K2004" s="2043">
        <v>0</v>
      </c>
      <c r="L2004" s="2043">
        <v>0</v>
      </c>
      <c r="M2004">
        <v>599</v>
      </c>
      <c r="N2004">
        <v>1</v>
      </c>
    </row>
    <row r="2005" spans="1:14">
      <c r="A2005" t="s">
        <v>3148</v>
      </c>
      <c r="B2005" t="s">
        <v>1419</v>
      </c>
      <c r="C2005" t="s">
        <v>1828</v>
      </c>
      <c r="D2005" s="41">
        <v>9</v>
      </c>
      <c r="E2005" s="41">
        <v>2372</v>
      </c>
      <c r="F2005" s="41" t="s">
        <v>4483</v>
      </c>
      <c r="G2005" s="41" t="s">
        <v>7262</v>
      </c>
      <c r="H2005" s="2043">
        <v>565041</v>
      </c>
      <c r="I2005" s="2043">
        <v>471957</v>
      </c>
      <c r="J2005">
        <v>1</v>
      </c>
      <c r="K2005" s="2043">
        <v>565041</v>
      </c>
      <c r="L2005" s="2043">
        <v>471957</v>
      </c>
      <c r="M2005">
        <v>599</v>
      </c>
      <c r="N2005">
        <v>1</v>
      </c>
    </row>
    <row r="2006" spans="1:14">
      <c r="A2006" t="s">
        <v>3148</v>
      </c>
      <c r="B2006" t="s">
        <v>1419</v>
      </c>
      <c r="C2006" t="s">
        <v>1828</v>
      </c>
      <c r="D2006" s="41">
        <v>9</v>
      </c>
      <c r="E2006" s="41">
        <v>2371</v>
      </c>
      <c r="F2006" s="41" t="s">
        <v>4484</v>
      </c>
      <c r="G2006" s="41" t="s">
        <v>4484</v>
      </c>
      <c r="H2006" s="2043">
        <v>207452</v>
      </c>
      <c r="I2006" s="2043">
        <v>0</v>
      </c>
      <c r="J2006">
        <v>0</v>
      </c>
      <c r="K2006" s="2043">
        <v>0</v>
      </c>
      <c r="L2006" s="2043">
        <v>0</v>
      </c>
      <c r="M2006">
        <v>599</v>
      </c>
      <c r="N2006">
        <v>1</v>
      </c>
    </row>
    <row r="2007" spans="1:14">
      <c r="A2007" t="s">
        <v>3148</v>
      </c>
      <c r="B2007" t="s">
        <v>1419</v>
      </c>
      <c r="C2007" t="s">
        <v>1828</v>
      </c>
      <c r="D2007" s="41">
        <v>9</v>
      </c>
      <c r="E2007" s="41">
        <v>2371</v>
      </c>
      <c r="F2007" s="41" t="s">
        <v>4484</v>
      </c>
      <c r="G2007" s="41" t="s">
        <v>7262</v>
      </c>
      <c r="H2007" s="2043">
        <v>207452</v>
      </c>
      <c r="I2007" s="2043">
        <v>416402</v>
      </c>
      <c r="J2007">
        <v>1</v>
      </c>
      <c r="K2007" s="2043">
        <v>207452</v>
      </c>
      <c r="L2007" s="2043">
        <v>207452</v>
      </c>
      <c r="M2007">
        <v>599</v>
      </c>
      <c r="N2007">
        <v>1</v>
      </c>
    </row>
    <row r="2008" spans="1:14">
      <c r="A2008" t="s">
        <v>3148</v>
      </c>
      <c r="B2008" t="s">
        <v>1419</v>
      </c>
      <c r="C2008" t="s">
        <v>1828</v>
      </c>
      <c r="D2008" s="41">
        <v>11</v>
      </c>
      <c r="E2008" s="41">
        <v>2483</v>
      </c>
      <c r="F2008" s="41" t="s">
        <v>7263</v>
      </c>
      <c r="G2008" s="41" t="s">
        <v>7263</v>
      </c>
      <c r="H2008" s="2043">
        <v>875292</v>
      </c>
      <c r="I2008" s="2043">
        <v>2935321</v>
      </c>
      <c r="J2008">
        <v>1</v>
      </c>
      <c r="K2008" s="2043">
        <v>875292</v>
      </c>
      <c r="L2008" s="2043">
        <v>875292</v>
      </c>
      <c r="M2008">
        <v>599</v>
      </c>
      <c r="N2008">
        <v>1</v>
      </c>
    </row>
    <row r="2009" spans="1:14">
      <c r="A2009" t="s">
        <v>3149</v>
      </c>
      <c r="B2009" t="s">
        <v>662</v>
      </c>
      <c r="C2009" t="s">
        <v>1072</v>
      </c>
      <c r="D2009" s="41">
        <v>5</v>
      </c>
      <c r="E2009" s="41">
        <v>2136</v>
      </c>
      <c r="F2009" s="41" t="s">
        <v>4485</v>
      </c>
      <c r="G2009" s="41" t="s">
        <v>4485</v>
      </c>
      <c r="H2009" s="2043">
        <v>342303</v>
      </c>
      <c r="I2009" s="2043">
        <v>0</v>
      </c>
      <c r="J2009">
        <v>0</v>
      </c>
      <c r="K2009" s="2043">
        <v>0</v>
      </c>
      <c r="L2009" s="2043">
        <v>0</v>
      </c>
      <c r="M2009">
        <v>599</v>
      </c>
      <c r="N2009">
        <v>0</v>
      </c>
    </row>
    <row r="2010" spans="1:14">
      <c r="A2010" t="s">
        <v>3149</v>
      </c>
      <c r="B2010" t="s">
        <v>662</v>
      </c>
      <c r="C2010" t="s">
        <v>1072</v>
      </c>
      <c r="D2010" s="41">
        <v>5</v>
      </c>
      <c r="E2010" s="41">
        <v>2136</v>
      </c>
      <c r="F2010" s="41" t="s">
        <v>4485</v>
      </c>
      <c r="G2010" s="41" t="s">
        <v>4486</v>
      </c>
      <c r="H2010" s="2043">
        <v>342303</v>
      </c>
      <c r="I2010" s="2043">
        <v>292800</v>
      </c>
      <c r="J2010">
        <v>1</v>
      </c>
      <c r="K2010" s="2043">
        <v>342303</v>
      </c>
      <c r="L2010" s="2043">
        <v>292800</v>
      </c>
      <c r="M2010">
        <v>599</v>
      </c>
      <c r="N2010">
        <v>1</v>
      </c>
    </row>
    <row r="2011" spans="1:14">
      <c r="A2011" t="s">
        <v>3149</v>
      </c>
      <c r="B2011" t="s">
        <v>662</v>
      </c>
      <c r="C2011" t="s">
        <v>1072</v>
      </c>
      <c r="D2011" s="41">
        <v>6</v>
      </c>
      <c r="E2011" s="41">
        <v>2139</v>
      </c>
      <c r="F2011" s="41" t="s">
        <v>4487</v>
      </c>
      <c r="G2011" s="41" t="s">
        <v>4487</v>
      </c>
      <c r="H2011" s="2043">
        <v>945263</v>
      </c>
      <c r="I2011" s="2043">
        <v>0</v>
      </c>
      <c r="J2011">
        <v>0</v>
      </c>
      <c r="K2011" s="2043">
        <v>0</v>
      </c>
      <c r="L2011" s="2043">
        <v>0</v>
      </c>
      <c r="M2011">
        <v>599</v>
      </c>
      <c r="N2011">
        <v>0</v>
      </c>
    </row>
    <row r="2012" spans="1:14">
      <c r="A2012" t="s">
        <v>3149</v>
      </c>
      <c r="B2012" t="s">
        <v>662</v>
      </c>
      <c r="C2012" t="s">
        <v>1072</v>
      </c>
      <c r="D2012" s="41">
        <v>6</v>
      </c>
      <c r="E2012" s="41">
        <v>2139</v>
      </c>
      <c r="F2012" s="41" t="s">
        <v>4487</v>
      </c>
      <c r="G2012" s="41" t="s">
        <v>4488</v>
      </c>
      <c r="H2012" s="2043">
        <v>945263</v>
      </c>
      <c r="I2012" s="2043">
        <v>0</v>
      </c>
      <c r="J2012">
        <v>0</v>
      </c>
      <c r="K2012" s="2043">
        <v>0</v>
      </c>
      <c r="L2012" s="2043">
        <v>0</v>
      </c>
      <c r="M2012">
        <v>599</v>
      </c>
      <c r="N2012">
        <v>1</v>
      </c>
    </row>
    <row r="2013" spans="1:14">
      <c r="A2013" t="s">
        <v>3149</v>
      </c>
      <c r="B2013" t="s">
        <v>662</v>
      </c>
      <c r="C2013" t="s">
        <v>1072</v>
      </c>
      <c r="D2013" s="41">
        <v>6</v>
      </c>
      <c r="E2013" s="41">
        <v>2139</v>
      </c>
      <c r="F2013" s="41" t="s">
        <v>4487</v>
      </c>
      <c r="G2013" s="41" t="s">
        <v>8645</v>
      </c>
      <c r="H2013" s="2043">
        <v>945263</v>
      </c>
      <c r="I2013" s="2043">
        <v>77738</v>
      </c>
      <c r="J2013">
        <v>1</v>
      </c>
      <c r="K2013" s="2043">
        <v>945263</v>
      </c>
      <c r="L2013" s="2043">
        <v>77738</v>
      </c>
      <c r="M2013">
        <v>599</v>
      </c>
      <c r="N2013">
        <v>1</v>
      </c>
    </row>
    <row r="2014" spans="1:14">
      <c r="A2014" t="s">
        <v>3149</v>
      </c>
      <c r="B2014" t="s">
        <v>662</v>
      </c>
      <c r="C2014" t="s">
        <v>1072</v>
      </c>
      <c r="D2014" s="41">
        <v>9</v>
      </c>
      <c r="E2014" s="41">
        <v>2138</v>
      </c>
      <c r="F2014" s="41" t="s">
        <v>4489</v>
      </c>
      <c r="G2014" s="41" t="s">
        <v>4489</v>
      </c>
      <c r="H2014" s="2043">
        <v>571354</v>
      </c>
      <c r="I2014" s="2043">
        <v>0</v>
      </c>
      <c r="J2014">
        <v>0</v>
      </c>
      <c r="K2014" s="2043">
        <v>0</v>
      </c>
      <c r="L2014" s="2043">
        <v>0</v>
      </c>
      <c r="M2014">
        <v>599</v>
      </c>
      <c r="N2014">
        <v>1</v>
      </c>
    </row>
    <row r="2015" spans="1:14">
      <c r="A2015" t="s">
        <v>3149</v>
      </c>
      <c r="B2015" t="s">
        <v>662</v>
      </c>
      <c r="C2015" t="s">
        <v>1072</v>
      </c>
      <c r="D2015" s="41">
        <v>9</v>
      </c>
      <c r="E2015" s="41">
        <v>2138</v>
      </c>
      <c r="F2015" s="41" t="s">
        <v>4489</v>
      </c>
      <c r="G2015" s="41" t="s">
        <v>5451</v>
      </c>
      <c r="H2015" s="2043">
        <v>571354</v>
      </c>
      <c r="I2015" s="2043">
        <v>790453</v>
      </c>
      <c r="J2015">
        <v>1</v>
      </c>
      <c r="K2015" s="2043">
        <v>571354</v>
      </c>
      <c r="L2015" s="2043">
        <v>571354</v>
      </c>
      <c r="M2015">
        <v>599</v>
      </c>
      <c r="N2015">
        <v>1</v>
      </c>
    </row>
    <row r="2016" spans="1:14">
      <c r="A2016" t="s">
        <v>3149</v>
      </c>
      <c r="B2016" t="s">
        <v>662</v>
      </c>
      <c r="C2016" t="s">
        <v>1072</v>
      </c>
      <c r="D2016" s="41">
        <v>9</v>
      </c>
      <c r="E2016" s="41">
        <v>2137</v>
      </c>
      <c r="F2016" s="41" t="s">
        <v>4490</v>
      </c>
      <c r="G2016" s="41" t="s">
        <v>4490</v>
      </c>
      <c r="H2016" s="2043">
        <v>527036</v>
      </c>
      <c r="I2016" s="2043">
        <v>0</v>
      </c>
      <c r="J2016">
        <v>0</v>
      </c>
      <c r="K2016" s="2043">
        <v>0</v>
      </c>
      <c r="L2016" s="2043">
        <v>0</v>
      </c>
      <c r="M2016">
        <v>599</v>
      </c>
      <c r="N2016">
        <v>1</v>
      </c>
    </row>
    <row r="2017" spans="1:14">
      <c r="A2017" t="s">
        <v>3149</v>
      </c>
      <c r="B2017" t="s">
        <v>662</v>
      </c>
      <c r="C2017" t="s">
        <v>1072</v>
      </c>
      <c r="D2017" s="41">
        <v>9</v>
      </c>
      <c r="E2017" s="41">
        <v>2137</v>
      </c>
      <c r="F2017" s="41" t="s">
        <v>4490</v>
      </c>
      <c r="G2017" s="41" t="s">
        <v>5451</v>
      </c>
      <c r="H2017" s="2043">
        <v>527036</v>
      </c>
      <c r="I2017" s="2043">
        <v>1879632</v>
      </c>
      <c r="J2017">
        <v>1</v>
      </c>
      <c r="K2017" s="2043">
        <v>527036</v>
      </c>
      <c r="L2017" s="2043">
        <v>527036</v>
      </c>
      <c r="M2017">
        <v>599</v>
      </c>
      <c r="N2017">
        <v>1</v>
      </c>
    </row>
    <row r="2018" spans="1:14">
      <c r="A2018" t="s">
        <v>3149</v>
      </c>
      <c r="B2018" t="s">
        <v>662</v>
      </c>
      <c r="C2018" t="s">
        <v>1072</v>
      </c>
      <c r="D2018" s="41">
        <v>9</v>
      </c>
      <c r="E2018" s="41">
        <v>2140</v>
      </c>
      <c r="F2018" s="41" t="s">
        <v>4491</v>
      </c>
      <c r="G2018" s="41" t="s">
        <v>4491</v>
      </c>
      <c r="H2018" s="2043">
        <v>1003527</v>
      </c>
      <c r="I2018" s="2043">
        <v>0</v>
      </c>
      <c r="J2018">
        <v>0</v>
      </c>
      <c r="K2018" s="2043">
        <v>0</v>
      </c>
      <c r="L2018" s="2043">
        <v>0</v>
      </c>
      <c r="M2018">
        <v>599</v>
      </c>
      <c r="N2018">
        <v>1</v>
      </c>
    </row>
    <row r="2019" spans="1:14">
      <c r="A2019" t="s">
        <v>3149</v>
      </c>
      <c r="B2019" t="s">
        <v>662</v>
      </c>
      <c r="C2019" t="s">
        <v>1072</v>
      </c>
      <c r="D2019" s="41">
        <v>9</v>
      </c>
      <c r="E2019" s="41">
        <v>2140</v>
      </c>
      <c r="F2019" s="41" t="s">
        <v>4491</v>
      </c>
      <c r="G2019" s="41" t="s">
        <v>5637</v>
      </c>
      <c r="H2019" s="2043">
        <v>1003527</v>
      </c>
      <c r="I2019" s="2043">
        <v>461200</v>
      </c>
      <c r="J2019">
        <v>0.40337639688319099</v>
      </c>
      <c r="K2019" s="2043">
        <v>404799.105434998</v>
      </c>
      <c r="L2019" s="2043">
        <v>404799.105434998</v>
      </c>
      <c r="M2019">
        <v>599</v>
      </c>
      <c r="N2019">
        <v>1</v>
      </c>
    </row>
    <row r="2020" spans="1:14">
      <c r="A2020" t="s">
        <v>3149</v>
      </c>
      <c r="B2020" t="s">
        <v>662</v>
      </c>
      <c r="C2020" t="s">
        <v>1072</v>
      </c>
      <c r="D2020" s="41">
        <v>9</v>
      </c>
      <c r="E2020" s="41">
        <v>2140</v>
      </c>
      <c r="F2020" s="41" t="s">
        <v>4491</v>
      </c>
      <c r="G2020" s="41" t="s">
        <v>7264</v>
      </c>
      <c r="H2020" s="2043">
        <v>1003527</v>
      </c>
      <c r="I2020" s="2043">
        <v>682149</v>
      </c>
      <c r="J2020">
        <v>0.59662360311680895</v>
      </c>
      <c r="K2020" s="2043">
        <v>598727.89456500195</v>
      </c>
      <c r="L2020" s="2043">
        <v>598727.89456500195</v>
      </c>
      <c r="M2020">
        <v>599</v>
      </c>
      <c r="N2020">
        <v>1</v>
      </c>
    </row>
    <row r="2021" spans="1:14">
      <c r="A2021" t="s">
        <v>3149</v>
      </c>
      <c r="B2021" t="s">
        <v>662</v>
      </c>
      <c r="C2021" t="s">
        <v>1072</v>
      </c>
      <c r="D2021" s="41">
        <v>10</v>
      </c>
      <c r="E2021" s="41">
        <v>2141</v>
      </c>
      <c r="F2021" s="41" t="s">
        <v>4492</v>
      </c>
      <c r="G2021" s="41" t="s">
        <v>4492</v>
      </c>
      <c r="H2021" s="2043">
        <v>2229297</v>
      </c>
      <c r="I2021" s="2043">
        <v>0</v>
      </c>
      <c r="J2021">
        <v>0</v>
      </c>
      <c r="K2021" s="2043">
        <v>0</v>
      </c>
      <c r="L2021" s="2043">
        <v>0</v>
      </c>
      <c r="M2021">
        <v>599</v>
      </c>
      <c r="N2021">
        <v>1</v>
      </c>
    </row>
    <row r="2022" spans="1:14">
      <c r="A2022" t="s">
        <v>3149</v>
      </c>
      <c r="B2022" t="s">
        <v>662</v>
      </c>
      <c r="C2022" t="s">
        <v>1072</v>
      </c>
      <c r="D2022" s="41">
        <v>10</v>
      </c>
      <c r="E2022" s="41">
        <v>2141</v>
      </c>
      <c r="F2022" s="41" t="s">
        <v>4492</v>
      </c>
      <c r="G2022" s="41" t="s">
        <v>7264</v>
      </c>
      <c r="H2022" s="2043">
        <v>2229297</v>
      </c>
      <c r="I2022" s="2043">
        <v>1547026</v>
      </c>
      <c r="J2022">
        <v>1</v>
      </c>
      <c r="K2022" s="2043">
        <v>2229297</v>
      </c>
      <c r="L2022" s="2043">
        <v>1547026</v>
      </c>
      <c r="M2022">
        <v>599</v>
      </c>
      <c r="N2022">
        <v>1</v>
      </c>
    </row>
    <row r="2023" spans="1:14">
      <c r="A2023" t="s">
        <v>3149</v>
      </c>
      <c r="B2023" t="s">
        <v>662</v>
      </c>
      <c r="C2023" t="s">
        <v>1072</v>
      </c>
      <c r="D2023" s="41">
        <v>11</v>
      </c>
      <c r="E2023" s="41">
        <v>2593</v>
      </c>
      <c r="F2023" s="41" t="s">
        <v>7265</v>
      </c>
      <c r="G2023" s="41" t="s">
        <v>7265</v>
      </c>
      <c r="H2023" s="2043">
        <v>3206980</v>
      </c>
      <c r="I2023" s="2043">
        <v>4300500</v>
      </c>
      <c r="J2023">
        <v>1</v>
      </c>
      <c r="K2023" s="2043">
        <v>3206980</v>
      </c>
      <c r="L2023" s="2043">
        <v>3206980</v>
      </c>
      <c r="M2023">
        <v>599</v>
      </c>
      <c r="N2023">
        <v>1</v>
      </c>
    </row>
    <row r="2024" spans="1:14">
      <c r="A2024" t="s">
        <v>3150</v>
      </c>
      <c r="B2024" t="s">
        <v>663</v>
      </c>
      <c r="C2024" t="s">
        <v>1091</v>
      </c>
      <c r="D2024" s="41">
        <v>5</v>
      </c>
      <c r="E2024" s="41">
        <v>1691</v>
      </c>
      <c r="F2024" s="41" t="s">
        <v>4493</v>
      </c>
      <c r="G2024" s="41" t="s">
        <v>4493</v>
      </c>
      <c r="H2024" s="2043">
        <v>91693</v>
      </c>
      <c r="I2024" s="2043">
        <v>0</v>
      </c>
      <c r="J2024">
        <v>0</v>
      </c>
      <c r="K2024" s="2043">
        <v>0</v>
      </c>
      <c r="L2024" s="2043">
        <v>0</v>
      </c>
      <c r="M2024">
        <v>599</v>
      </c>
      <c r="N2024">
        <v>0</v>
      </c>
    </row>
    <row r="2025" spans="1:14">
      <c r="A2025" t="s">
        <v>3150</v>
      </c>
      <c r="B2025" t="s">
        <v>663</v>
      </c>
      <c r="C2025" t="s">
        <v>1091</v>
      </c>
      <c r="D2025" s="41">
        <v>5</v>
      </c>
      <c r="E2025" s="41">
        <v>1691</v>
      </c>
      <c r="F2025" s="41" t="s">
        <v>4493</v>
      </c>
      <c r="G2025" s="41" t="s">
        <v>4494</v>
      </c>
      <c r="H2025" s="2043">
        <v>91693</v>
      </c>
      <c r="I2025" s="2043">
        <v>83150</v>
      </c>
      <c r="J2025">
        <v>1</v>
      </c>
      <c r="K2025" s="2043">
        <v>91693</v>
      </c>
      <c r="L2025" s="2043">
        <v>83150</v>
      </c>
      <c r="M2025">
        <v>599</v>
      </c>
      <c r="N2025">
        <v>1</v>
      </c>
    </row>
    <row r="2026" spans="1:14">
      <c r="A2026" t="s">
        <v>3151</v>
      </c>
      <c r="B2026" t="s">
        <v>664</v>
      </c>
      <c r="C2026" t="s">
        <v>429</v>
      </c>
      <c r="D2026" s="41">
        <v>5</v>
      </c>
      <c r="E2026" s="41">
        <v>1844</v>
      </c>
      <c r="F2026" s="41" t="s">
        <v>4495</v>
      </c>
      <c r="G2026" s="41" t="s">
        <v>4495</v>
      </c>
      <c r="H2026" s="2043">
        <v>152414</v>
      </c>
      <c r="I2026" s="2043">
        <v>0</v>
      </c>
      <c r="J2026">
        <v>0</v>
      </c>
      <c r="K2026" s="2043">
        <v>0</v>
      </c>
      <c r="L2026" s="2043">
        <v>0</v>
      </c>
      <c r="M2026">
        <v>599</v>
      </c>
      <c r="N2026">
        <v>0</v>
      </c>
    </row>
    <row r="2027" spans="1:14">
      <c r="A2027" t="s">
        <v>3151</v>
      </c>
      <c r="B2027" t="s">
        <v>664</v>
      </c>
      <c r="C2027" t="s">
        <v>429</v>
      </c>
      <c r="D2027" s="41">
        <v>5</v>
      </c>
      <c r="E2027" s="41">
        <v>1844</v>
      </c>
      <c r="F2027" s="41" t="s">
        <v>4495</v>
      </c>
      <c r="G2027" s="41" t="s">
        <v>4496</v>
      </c>
      <c r="H2027" s="2043">
        <v>152414</v>
      </c>
      <c r="I2027" s="2043">
        <v>146375</v>
      </c>
      <c r="J2027">
        <v>1</v>
      </c>
      <c r="K2027" s="2043">
        <v>152414</v>
      </c>
      <c r="L2027" s="2043">
        <v>146375</v>
      </c>
      <c r="M2027">
        <v>599</v>
      </c>
      <c r="N2027">
        <v>1</v>
      </c>
    </row>
    <row r="2028" spans="1:14">
      <c r="A2028" t="s">
        <v>3152</v>
      </c>
      <c r="B2028" t="s">
        <v>357</v>
      </c>
      <c r="C2028" t="s">
        <v>1063</v>
      </c>
      <c r="D2028" s="41">
        <v>4</v>
      </c>
      <c r="E2028" s="41">
        <v>2460</v>
      </c>
      <c r="F2028" s="41" t="s">
        <v>4497</v>
      </c>
      <c r="G2028" s="41" t="s">
        <v>4497</v>
      </c>
      <c r="H2028" s="2043">
        <v>188922</v>
      </c>
      <c r="I2028" s="2043">
        <v>0</v>
      </c>
      <c r="J2028">
        <v>0</v>
      </c>
      <c r="K2028" s="2043">
        <v>0</v>
      </c>
      <c r="L2028" s="2043">
        <v>0</v>
      </c>
      <c r="M2028">
        <v>599</v>
      </c>
      <c r="N2028">
        <v>0</v>
      </c>
    </row>
    <row r="2029" spans="1:14">
      <c r="A2029" t="s">
        <v>3152</v>
      </c>
      <c r="B2029" t="s">
        <v>357</v>
      </c>
      <c r="C2029" t="s">
        <v>1063</v>
      </c>
      <c r="D2029" s="41">
        <v>4</v>
      </c>
      <c r="E2029" s="41">
        <v>2460</v>
      </c>
      <c r="F2029" s="41" t="s">
        <v>4497</v>
      </c>
      <c r="G2029" s="41" t="s">
        <v>4498</v>
      </c>
      <c r="H2029" s="2043">
        <v>188922</v>
      </c>
      <c r="I2029" s="2043">
        <v>0</v>
      </c>
      <c r="J2029">
        <v>0</v>
      </c>
      <c r="K2029" s="2043">
        <v>0</v>
      </c>
      <c r="L2029" s="2043">
        <v>0</v>
      </c>
      <c r="M2029">
        <v>599</v>
      </c>
      <c r="N2029">
        <v>1</v>
      </c>
    </row>
    <row r="2030" spans="1:14">
      <c r="A2030" t="s">
        <v>3152</v>
      </c>
      <c r="B2030" t="s">
        <v>357</v>
      </c>
      <c r="C2030" t="s">
        <v>1063</v>
      </c>
      <c r="D2030" s="41">
        <v>4</v>
      </c>
      <c r="E2030" s="41">
        <v>2460</v>
      </c>
      <c r="F2030" s="41" t="s">
        <v>4497</v>
      </c>
      <c r="G2030" s="41" t="s">
        <v>8646</v>
      </c>
      <c r="H2030" s="2043">
        <v>188922</v>
      </c>
      <c r="I2030" s="2043">
        <v>173150</v>
      </c>
      <c r="J2030">
        <v>1</v>
      </c>
      <c r="K2030" s="2043">
        <v>188922</v>
      </c>
      <c r="L2030" s="2043">
        <v>173150</v>
      </c>
      <c r="M2030">
        <v>599</v>
      </c>
      <c r="N2030">
        <v>1</v>
      </c>
    </row>
    <row r="2031" spans="1:14">
      <c r="A2031" t="s">
        <v>3153</v>
      </c>
      <c r="B2031" t="s">
        <v>493</v>
      </c>
      <c r="C2031" t="s">
        <v>2134</v>
      </c>
      <c r="D2031" s="41">
        <v>10</v>
      </c>
      <c r="E2031" s="41">
        <v>1675</v>
      </c>
      <c r="F2031" s="41" t="s">
        <v>4499</v>
      </c>
      <c r="G2031" s="41" t="s">
        <v>4499</v>
      </c>
      <c r="H2031" s="2043">
        <v>176552</v>
      </c>
      <c r="I2031" s="2043">
        <v>353256</v>
      </c>
      <c r="J2031">
        <v>0.51385979611786103</v>
      </c>
      <c r="K2031" s="2043">
        <v>90722.974724200496</v>
      </c>
      <c r="L2031" s="2043">
        <v>90722.974724200496</v>
      </c>
      <c r="M2031">
        <v>599</v>
      </c>
      <c r="N2031">
        <v>1</v>
      </c>
    </row>
    <row r="2032" spans="1:14">
      <c r="A2032" t="s">
        <v>3153</v>
      </c>
      <c r="B2032" t="s">
        <v>493</v>
      </c>
      <c r="C2032" t="s">
        <v>2134</v>
      </c>
      <c r="D2032" s="41">
        <v>10</v>
      </c>
      <c r="E2032" s="41">
        <v>1675</v>
      </c>
      <c r="F2032" s="41" t="s">
        <v>4499</v>
      </c>
      <c r="G2032" s="41" t="s">
        <v>7266</v>
      </c>
      <c r="H2032" s="2043">
        <v>176552</v>
      </c>
      <c r="I2032" s="2043">
        <v>334200</v>
      </c>
      <c r="J2032">
        <v>0.48614020388213902</v>
      </c>
      <c r="K2032" s="2043">
        <v>85829.025275799504</v>
      </c>
      <c r="L2032" s="2043">
        <v>85829.025275799504</v>
      </c>
      <c r="M2032">
        <v>599</v>
      </c>
      <c r="N2032">
        <v>1</v>
      </c>
    </row>
    <row r="2033" spans="1:14">
      <c r="A2033" t="s">
        <v>4500</v>
      </c>
      <c r="B2033" t="s">
        <v>494</v>
      </c>
      <c r="C2033" t="s">
        <v>2135</v>
      </c>
      <c r="D2033" s="41">
        <v>10</v>
      </c>
      <c r="E2033" s="41">
        <v>2072</v>
      </c>
      <c r="F2033" s="41" t="s">
        <v>4501</v>
      </c>
      <c r="G2033" s="41" t="s">
        <v>4501</v>
      </c>
      <c r="H2033" s="2043">
        <v>100000</v>
      </c>
      <c r="I2033" s="2043">
        <v>185756</v>
      </c>
      <c r="J2033">
        <v>1</v>
      </c>
      <c r="K2033" s="2043">
        <v>100000</v>
      </c>
      <c r="L2033" s="2043">
        <v>100000</v>
      </c>
      <c r="M2033">
        <v>599</v>
      </c>
      <c r="N2033">
        <v>1</v>
      </c>
    </row>
    <row r="2034" spans="1:14">
      <c r="A2034" t="s">
        <v>3154</v>
      </c>
      <c r="B2034" t="s">
        <v>2262</v>
      </c>
      <c r="C2034" t="s">
        <v>1039</v>
      </c>
      <c r="D2034" s="41">
        <v>2</v>
      </c>
      <c r="E2034" s="41">
        <v>1725</v>
      </c>
      <c r="F2034" s="41" t="s">
        <v>4502</v>
      </c>
      <c r="G2034" s="41" t="s">
        <v>4502</v>
      </c>
      <c r="H2034" s="2043">
        <v>1169000</v>
      </c>
      <c r="I2034" s="2043">
        <v>0</v>
      </c>
      <c r="J2034">
        <v>0</v>
      </c>
      <c r="K2034" s="2043">
        <v>0</v>
      </c>
      <c r="L2034" s="2043">
        <v>0</v>
      </c>
      <c r="M2034">
        <v>599</v>
      </c>
      <c r="N2034">
        <v>0</v>
      </c>
    </row>
    <row r="2035" spans="1:14">
      <c r="A2035" t="s">
        <v>3154</v>
      </c>
      <c r="B2035" t="s">
        <v>2262</v>
      </c>
      <c r="C2035" t="s">
        <v>1039</v>
      </c>
      <c r="D2035" s="41">
        <v>2</v>
      </c>
      <c r="E2035" s="41">
        <v>1725</v>
      </c>
      <c r="F2035" s="41" t="s">
        <v>4502</v>
      </c>
      <c r="G2035" s="41" t="s">
        <v>4503</v>
      </c>
      <c r="H2035" s="2043">
        <v>1169000</v>
      </c>
      <c r="I2035" s="2043">
        <v>0</v>
      </c>
      <c r="J2035">
        <v>0</v>
      </c>
      <c r="K2035" s="2043">
        <v>0</v>
      </c>
      <c r="L2035" s="2043">
        <v>0</v>
      </c>
      <c r="M2035">
        <v>599</v>
      </c>
      <c r="N2035">
        <v>1</v>
      </c>
    </row>
    <row r="2036" spans="1:14">
      <c r="A2036" t="s">
        <v>3154</v>
      </c>
      <c r="B2036" t="s">
        <v>2262</v>
      </c>
      <c r="C2036" t="s">
        <v>1039</v>
      </c>
      <c r="D2036" s="41">
        <v>2</v>
      </c>
      <c r="E2036" s="41">
        <v>1725</v>
      </c>
      <c r="F2036" s="41" t="s">
        <v>4502</v>
      </c>
      <c r="G2036" s="41" t="s">
        <v>5638</v>
      </c>
      <c r="H2036" s="2043">
        <v>1169000</v>
      </c>
      <c r="I2036" s="2043">
        <v>1482625</v>
      </c>
      <c r="J2036">
        <v>0.81538985273073405</v>
      </c>
      <c r="K2036" s="2043">
        <v>953190.73784222896</v>
      </c>
      <c r="L2036" s="2043">
        <v>953190.73784222896</v>
      </c>
      <c r="M2036">
        <v>599</v>
      </c>
      <c r="N2036">
        <v>1</v>
      </c>
    </row>
    <row r="2037" spans="1:14">
      <c r="A2037" t="s">
        <v>3154</v>
      </c>
      <c r="B2037" t="s">
        <v>2262</v>
      </c>
      <c r="C2037" t="s">
        <v>1039</v>
      </c>
      <c r="D2037" s="41">
        <v>2</v>
      </c>
      <c r="E2037" s="41">
        <v>1725</v>
      </c>
      <c r="F2037" s="41" t="s">
        <v>4502</v>
      </c>
      <c r="G2037" s="41" t="s">
        <v>9382</v>
      </c>
      <c r="H2037" s="2043">
        <v>1169000</v>
      </c>
      <c r="I2037" s="2043">
        <v>335677</v>
      </c>
      <c r="J2037">
        <v>0.184610147269266</v>
      </c>
      <c r="K2037" s="2043">
        <v>215809.26215777101</v>
      </c>
      <c r="L2037" s="2043">
        <v>215809.26215777101</v>
      </c>
      <c r="M2037">
        <v>599</v>
      </c>
      <c r="N2037">
        <v>1</v>
      </c>
    </row>
    <row r="2038" spans="1:14">
      <c r="A2038" t="s">
        <v>3154</v>
      </c>
      <c r="B2038" t="s">
        <v>2262</v>
      </c>
      <c r="C2038" t="s">
        <v>1039</v>
      </c>
      <c r="D2038" s="41">
        <v>11</v>
      </c>
      <c r="E2038" s="41">
        <v>2516</v>
      </c>
      <c r="F2038" s="41" t="s">
        <v>7267</v>
      </c>
      <c r="G2038" s="41" t="s">
        <v>7267</v>
      </c>
      <c r="H2038" s="2043">
        <v>1389149</v>
      </c>
      <c r="I2038" s="2043">
        <v>143445</v>
      </c>
      <c r="J2038">
        <v>5.91740752001036E-2</v>
      </c>
      <c r="K2038" s="2043">
        <v>82201.607390148798</v>
      </c>
      <c r="L2038" s="2043">
        <v>82201.607390148798</v>
      </c>
      <c r="M2038">
        <v>599</v>
      </c>
      <c r="N2038">
        <v>1</v>
      </c>
    </row>
    <row r="2039" spans="1:14">
      <c r="A2039" t="s">
        <v>3154</v>
      </c>
      <c r="B2039" t="s">
        <v>2262</v>
      </c>
      <c r="C2039" t="s">
        <v>1039</v>
      </c>
      <c r="D2039" s="41">
        <v>11</v>
      </c>
      <c r="E2039" s="41">
        <v>2516</v>
      </c>
      <c r="F2039" s="41" t="s">
        <v>7267</v>
      </c>
      <c r="G2039" s="41" t="s">
        <v>9382</v>
      </c>
      <c r="H2039" s="2043">
        <v>1389149</v>
      </c>
      <c r="I2039" s="2043">
        <v>2280674</v>
      </c>
      <c r="J2039">
        <v>0.94082592479989602</v>
      </c>
      <c r="K2039" s="2043">
        <v>1306947.39260985</v>
      </c>
      <c r="L2039" s="2043">
        <v>1306947.39260985</v>
      </c>
      <c r="M2039">
        <v>599</v>
      </c>
      <c r="N2039">
        <v>1</v>
      </c>
    </row>
    <row r="2040" spans="1:14">
      <c r="A2040" t="s">
        <v>3155</v>
      </c>
      <c r="B2040" t="s">
        <v>2269</v>
      </c>
      <c r="C2040" t="s">
        <v>2516</v>
      </c>
      <c r="D2040" s="41">
        <v>4</v>
      </c>
      <c r="E2040" s="41">
        <v>1746</v>
      </c>
      <c r="F2040" s="41" t="s">
        <v>4504</v>
      </c>
      <c r="G2040" s="41" t="s">
        <v>4504</v>
      </c>
      <c r="H2040" s="2043">
        <v>123498</v>
      </c>
      <c r="I2040" s="2043">
        <v>0</v>
      </c>
      <c r="J2040">
        <v>0</v>
      </c>
      <c r="L2040" s="2043">
        <v>0</v>
      </c>
      <c r="M2040">
        <v>199</v>
      </c>
      <c r="N2040">
        <v>0</v>
      </c>
    </row>
    <row r="2041" spans="1:14">
      <c r="A2041" t="s">
        <v>3155</v>
      </c>
      <c r="B2041" t="s">
        <v>2269</v>
      </c>
      <c r="C2041" t="s">
        <v>2516</v>
      </c>
      <c r="D2041" s="41">
        <v>9</v>
      </c>
      <c r="E2041" s="41">
        <v>1745</v>
      </c>
      <c r="F2041" s="41" t="s">
        <v>4505</v>
      </c>
      <c r="G2041" s="41" t="s">
        <v>4505</v>
      </c>
      <c r="H2041" s="2043">
        <v>45525</v>
      </c>
      <c r="I2041" s="2043">
        <v>0</v>
      </c>
      <c r="J2041">
        <v>0</v>
      </c>
      <c r="K2041" s="2043">
        <v>0</v>
      </c>
      <c r="L2041" s="2043">
        <v>0</v>
      </c>
      <c r="M2041">
        <v>599</v>
      </c>
      <c r="N2041">
        <v>1</v>
      </c>
    </row>
    <row r="2042" spans="1:14">
      <c r="A2042" t="s">
        <v>3155</v>
      </c>
      <c r="B2042" t="s">
        <v>2269</v>
      </c>
      <c r="C2042" t="s">
        <v>2516</v>
      </c>
      <c r="D2042" s="41">
        <v>9</v>
      </c>
      <c r="E2042" s="41">
        <v>1745</v>
      </c>
      <c r="F2042" s="41" t="s">
        <v>4505</v>
      </c>
      <c r="G2042" s="41" t="s">
        <v>7268</v>
      </c>
      <c r="H2042" s="2043">
        <v>45525</v>
      </c>
      <c r="I2042" s="2043">
        <v>310200</v>
      </c>
      <c r="J2042">
        <v>1</v>
      </c>
      <c r="K2042" s="2043">
        <v>45525</v>
      </c>
      <c r="L2042" s="2043">
        <v>45525</v>
      </c>
      <c r="M2042">
        <v>599</v>
      </c>
      <c r="N2042">
        <v>1</v>
      </c>
    </row>
    <row r="2043" spans="1:14">
      <c r="A2043" t="s">
        <v>3156</v>
      </c>
      <c r="B2043" t="s">
        <v>665</v>
      </c>
      <c r="C2043" t="s">
        <v>2377</v>
      </c>
      <c r="D2043" s="41">
        <v>5</v>
      </c>
      <c r="E2043" s="41">
        <v>1956</v>
      </c>
      <c r="F2043" s="41" t="s">
        <v>4506</v>
      </c>
      <c r="G2043" s="41" t="s">
        <v>4506</v>
      </c>
      <c r="H2043" s="2043">
        <v>172700</v>
      </c>
      <c r="I2043" s="2043">
        <v>0</v>
      </c>
      <c r="J2043">
        <v>0</v>
      </c>
      <c r="K2043" s="2043">
        <v>0</v>
      </c>
      <c r="L2043" s="2043">
        <v>0</v>
      </c>
      <c r="M2043">
        <v>599</v>
      </c>
      <c r="N2043">
        <v>0</v>
      </c>
    </row>
    <row r="2044" spans="1:14">
      <c r="A2044" t="s">
        <v>3156</v>
      </c>
      <c r="B2044" t="s">
        <v>665</v>
      </c>
      <c r="C2044" t="s">
        <v>2377</v>
      </c>
      <c r="D2044" s="41">
        <v>5</v>
      </c>
      <c r="E2044" s="41">
        <v>1956</v>
      </c>
      <c r="F2044" s="41" t="s">
        <v>4506</v>
      </c>
      <c r="G2044" s="41" t="s">
        <v>4507</v>
      </c>
      <c r="H2044" s="2043">
        <v>172700</v>
      </c>
      <c r="I2044" s="2043">
        <v>0</v>
      </c>
      <c r="J2044">
        <v>0</v>
      </c>
      <c r="K2044" s="2043">
        <v>0</v>
      </c>
      <c r="L2044" s="2043">
        <v>0</v>
      </c>
      <c r="M2044">
        <v>599</v>
      </c>
      <c r="N2044">
        <v>1</v>
      </c>
    </row>
    <row r="2045" spans="1:14">
      <c r="A2045" t="s">
        <v>3156</v>
      </c>
      <c r="B2045" t="s">
        <v>665</v>
      </c>
      <c r="C2045" t="s">
        <v>2377</v>
      </c>
      <c r="D2045" s="41">
        <v>5</v>
      </c>
      <c r="E2045" s="41">
        <v>1956</v>
      </c>
      <c r="F2045" s="41" t="s">
        <v>4506</v>
      </c>
      <c r="G2045" s="41" t="s">
        <v>7336</v>
      </c>
      <c r="H2045" s="2043">
        <v>172700</v>
      </c>
      <c r="I2045" s="2043">
        <v>102496</v>
      </c>
      <c r="J2045">
        <v>1</v>
      </c>
      <c r="K2045" s="2043">
        <v>172700</v>
      </c>
      <c r="L2045" s="2043">
        <v>102496</v>
      </c>
      <c r="M2045">
        <v>599</v>
      </c>
      <c r="N2045">
        <v>1</v>
      </c>
    </row>
    <row r="2046" spans="1:14">
      <c r="A2046" t="s">
        <v>3157</v>
      </c>
      <c r="B2046" t="s">
        <v>1972</v>
      </c>
      <c r="C2046" t="s">
        <v>78</v>
      </c>
      <c r="D2046" s="41">
        <v>2</v>
      </c>
      <c r="E2046" s="41">
        <v>2234</v>
      </c>
      <c r="F2046" s="41" t="s">
        <v>4508</v>
      </c>
      <c r="G2046" s="41" t="s">
        <v>4508</v>
      </c>
      <c r="H2046" s="2043">
        <v>81645</v>
      </c>
      <c r="I2046" s="2043">
        <v>0</v>
      </c>
      <c r="J2046">
        <v>0</v>
      </c>
      <c r="K2046" s="2043">
        <v>0</v>
      </c>
      <c r="L2046" s="2043">
        <v>0</v>
      </c>
      <c r="M2046">
        <v>599</v>
      </c>
      <c r="N2046">
        <v>0</v>
      </c>
    </row>
    <row r="2047" spans="1:14">
      <c r="A2047" t="s">
        <v>3157</v>
      </c>
      <c r="B2047" t="s">
        <v>1972</v>
      </c>
      <c r="C2047" t="s">
        <v>78</v>
      </c>
      <c r="D2047" s="41">
        <v>2</v>
      </c>
      <c r="E2047" s="41">
        <v>2234</v>
      </c>
      <c r="F2047" s="41" t="s">
        <v>4508</v>
      </c>
      <c r="G2047" s="41" t="s">
        <v>4509</v>
      </c>
      <c r="H2047" s="2043">
        <v>81645</v>
      </c>
      <c r="I2047" s="2043">
        <v>0</v>
      </c>
      <c r="J2047">
        <v>0</v>
      </c>
      <c r="K2047" s="2043">
        <v>0</v>
      </c>
      <c r="L2047" s="2043">
        <v>0</v>
      </c>
      <c r="M2047">
        <v>599</v>
      </c>
      <c r="N2047">
        <v>0</v>
      </c>
    </row>
    <row r="2048" spans="1:14">
      <c r="A2048" t="s">
        <v>3157</v>
      </c>
      <c r="B2048" t="s">
        <v>1972</v>
      </c>
      <c r="C2048" t="s">
        <v>78</v>
      </c>
      <c r="D2048" s="41">
        <v>2</v>
      </c>
      <c r="E2048" s="41">
        <v>2234</v>
      </c>
      <c r="F2048" s="41" t="s">
        <v>4508</v>
      </c>
      <c r="G2048" s="41" t="s">
        <v>5452</v>
      </c>
      <c r="H2048" s="2043">
        <v>81645</v>
      </c>
      <c r="I2048" s="2043">
        <v>65024</v>
      </c>
      <c r="J2048">
        <v>1</v>
      </c>
      <c r="K2048" s="2043">
        <v>81645</v>
      </c>
      <c r="L2048" s="2043">
        <v>65024</v>
      </c>
      <c r="M2048">
        <v>599</v>
      </c>
      <c r="N2048">
        <v>1</v>
      </c>
    </row>
    <row r="2049" spans="1:14">
      <c r="A2049" t="s">
        <v>3157</v>
      </c>
      <c r="B2049" t="s">
        <v>1972</v>
      </c>
      <c r="C2049" t="s">
        <v>78</v>
      </c>
      <c r="D2049" s="41">
        <v>9</v>
      </c>
      <c r="E2049" s="41">
        <v>2235</v>
      </c>
      <c r="F2049" s="41" t="s">
        <v>4510</v>
      </c>
      <c r="G2049" s="41" t="s">
        <v>4510</v>
      </c>
      <c r="H2049" s="2043">
        <v>173838</v>
      </c>
      <c r="I2049" s="2043">
        <v>0</v>
      </c>
      <c r="J2049">
        <v>0</v>
      </c>
      <c r="K2049" s="2043">
        <v>0</v>
      </c>
      <c r="L2049" s="2043">
        <v>0</v>
      </c>
      <c r="M2049">
        <v>599</v>
      </c>
      <c r="N2049">
        <v>0</v>
      </c>
    </row>
    <row r="2050" spans="1:14">
      <c r="A2050" t="s">
        <v>3157</v>
      </c>
      <c r="B2050" t="s">
        <v>1972</v>
      </c>
      <c r="C2050" t="s">
        <v>78</v>
      </c>
      <c r="D2050" s="41">
        <v>9</v>
      </c>
      <c r="E2050" s="41">
        <v>2235</v>
      </c>
      <c r="F2050" s="41" t="s">
        <v>4510</v>
      </c>
      <c r="G2050" s="41" t="s">
        <v>4511</v>
      </c>
      <c r="H2050" s="2043">
        <v>173838</v>
      </c>
      <c r="I2050" s="2043">
        <v>0</v>
      </c>
      <c r="J2050">
        <v>0</v>
      </c>
      <c r="K2050" s="2043">
        <v>0</v>
      </c>
      <c r="L2050" s="2043">
        <v>0</v>
      </c>
      <c r="M2050">
        <v>599</v>
      </c>
      <c r="N2050">
        <v>1</v>
      </c>
    </row>
    <row r="2051" spans="1:14">
      <c r="A2051" t="s">
        <v>3157</v>
      </c>
      <c r="B2051" t="s">
        <v>1972</v>
      </c>
      <c r="C2051" t="s">
        <v>78</v>
      </c>
      <c r="D2051" s="41">
        <v>9</v>
      </c>
      <c r="E2051" s="41">
        <v>2235</v>
      </c>
      <c r="F2051" s="41" t="s">
        <v>4510</v>
      </c>
      <c r="G2051" s="41" t="s">
        <v>9383</v>
      </c>
      <c r="H2051" s="2043">
        <v>173838</v>
      </c>
      <c r="I2051" s="2043">
        <v>228325</v>
      </c>
      <c r="J2051">
        <v>1</v>
      </c>
      <c r="K2051" s="2043">
        <v>173838</v>
      </c>
      <c r="L2051" s="2043">
        <v>173838</v>
      </c>
      <c r="M2051">
        <v>599</v>
      </c>
      <c r="N2051">
        <v>1</v>
      </c>
    </row>
    <row r="2052" spans="1:14">
      <c r="A2052" t="s">
        <v>3157</v>
      </c>
      <c r="B2052" t="s">
        <v>1972</v>
      </c>
      <c r="C2052" t="s">
        <v>78</v>
      </c>
      <c r="D2052" s="41">
        <v>10</v>
      </c>
      <c r="E2052" s="41">
        <v>2233</v>
      </c>
      <c r="F2052" s="41" t="s">
        <v>4511</v>
      </c>
      <c r="G2052" s="41" t="s">
        <v>4511</v>
      </c>
      <c r="H2052" s="2043">
        <v>62309</v>
      </c>
      <c r="I2052" s="2043">
        <v>41920</v>
      </c>
      <c r="J2052">
        <v>0.98767759112221098</v>
      </c>
      <c r="K2052" s="2043">
        <v>61541.203025233801</v>
      </c>
      <c r="L2052" s="2043">
        <v>41920</v>
      </c>
      <c r="M2052">
        <v>599</v>
      </c>
      <c r="N2052">
        <v>1</v>
      </c>
    </row>
    <row r="2053" spans="1:14">
      <c r="A2053" t="s">
        <v>3157</v>
      </c>
      <c r="B2053" t="s">
        <v>1972</v>
      </c>
      <c r="C2053" t="s">
        <v>78</v>
      </c>
      <c r="D2053" s="41">
        <v>10</v>
      </c>
      <c r="E2053" s="41">
        <v>2233</v>
      </c>
      <c r="F2053" s="41" t="s">
        <v>4511</v>
      </c>
      <c r="G2053" s="41" t="s">
        <v>9383</v>
      </c>
      <c r="H2053" s="2043">
        <v>62309</v>
      </c>
      <c r="I2053" s="2043">
        <v>523</v>
      </c>
      <c r="J2053">
        <v>1.2322408877788999E-2</v>
      </c>
      <c r="K2053" s="2043">
        <v>767.79697476615695</v>
      </c>
      <c r="L2053" s="2043">
        <v>523</v>
      </c>
      <c r="M2053">
        <v>599</v>
      </c>
      <c r="N2053">
        <v>1</v>
      </c>
    </row>
    <row r="2054" spans="1:14">
      <c r="A2054" t="s">
        <v>3158</v>
      </c>
      <c r="B2054" t="s">
        <v>965</v>
      </c>
      <c r="C2054" t="s">
        <v>2162</v>
      </c>
      <c r="D2054" s="41">
        <v>3</v>
      </c>
      <c r="E2054" s="41">
        <v>2146</v>
      </c>
      <c r="F2054" s="41" t="s">
        <v>4512</v>
      </c>
      <c r="G2054" s="41" t="s">
        <v>4512</v>
      </c>
      <c r="H2054" s="2043">
        <v>343700</v>
      </c>
      <c r="I2054" s="2043">
        <v>0</v>
      </c>
      <c r="J2054">
        <v>0</v>
      </c>
      <c r="K2054" s="2043">
        <v>0</v>
      </c>
      <c r="L2054" s="2043">
        <v>0</v>
      </c>
      <c r="M2054">
        <v>599</v>
      </c>
      <c r="N2054">
        <v>0</v>
      </c>
    </row>
    <row r="2055" spans="1:14">
      <c r="A2055" t="s">
        <v>3158</v>
      </c>
      <c r="B2055" t="s">
        <v>965</v>
      </c>
      <c r="C2055" t="s">
        <v>2162</v>
      </c>
      <c r="D2055" s="41">
        <v>3</v>
      </c>
      <c r="E2055" s="41">
        <v>2146</v>
      </c>
      <c r="F2055" s="41" t="s">
        <v>4512</v>
      </c>
      <c r="G2055" s="41" t="s">
        <v>4513</v>
      </c>
      <c r="H2055" s="2043">
        <v>343700</v>
      </c>
      <c r="I2055" s="2043">
        <v>0</v>
      </c>
      <c r="J2055">
        <v>0</v>
      </c>
      <c r="K2055" s="2043">
        <v>0</v>
      </c>
      <c r="L2055" s="2043">
        <v>0</v>
      </c>
      <c r="M2055">
        <v>599</v>
      </c>
      <c r="N2055">
        <v>1</v>
      </c>
    </row>
    <row r="2056" spans="1:14">
      <c r="A2056" t="s">
        <v>3158</v>
      </c>
      <c r="B2056" t="s">
        <v>965</v>
      </c>
      <c r="C2056" t="s">
        <v>2162</v>
      </c>
      <c r="D2056" s="41">
        <v>3</v>
      </c>
      <c r="E2056" s="41">
        <v>2146</v>
      </c>
      <c r="F2056" s="41" t="s">
        <v>4512</v>
      </c>
      <c r="G2056" s="41" t="s">
        <v>5639</v>
      </c>
      <c r="H2056" s="2043">
        <v>343700</v>
      </c>
      <c r="I2056" s="2043">
        <v>743000</v>
      </c>
      <c r="J2056">
        <v>1</v>
      </c>
      <c r="K2056" s="2043">
        <v>343700</v>
      </c>
      <c r="L2056" s="2043">
        <v>343700</v>
      </c>
      <c r="M2056">
        <v>599</v>
      </c>
      <c r="N2056">
        <v>1</v>
      </c>
    </row>
    <row r="2057" spans="1:14">
      <c r="A2057" t="s">
        <v>3159</v>
      </c>
      <c r="B2057" t="s">
        <v>1878</v>
      </c>
      <c r="C2057" t="s">
        <v>2523</v>
      </c>
      <c r="D2057" s="41">
        <v>6</v>
      </c>
      <c r="E2057" s="41">
        <v>1759</v>
      </c>
      <c r="F2057" s="41" t="s">
        <v>4514</v>
      </c>
      <c r="G2057" s="41" t="s">
        <v>4514</v>
      </c>
      <c r="H2057" s="2043">
        <v>173765</v>
      </c>
      <c r="I2057" s="2043">
        <v>0</v>
      </c>
      <c r="J2057">
        <v>0</v>
      </c>
      <c r="K2057" s="2043">
        <v>0</v>
      </c>
      <c r="L2057" s="2043">
        <v>0</v>
      </c>
      <c r="M2057">
        <v>599</v>
      </c>
      <c r="N2057">
        <v>0</v>
      </c>
    </row>
    <row r="2058" spans="1:14">
      <c r="A2058" t="s">
        <v>3159</v>
      </c>
      <c r="B2058" t="s">
        <v>1878</v>
      </c>
      <c r="C2058" t="s">
        <v>2523</v>
      </c>
      <c r="D2058" s="41">
        <v>6</v>
      </c>
      <c r="E2058" s="41">
        <v>1759</v>
      </c>
      <c r="F2058" s="41" t="s">
        <v>4514</v>
      </c>
      <c r="G2058" s="41" t="s">
        <v>4515</v>
      </c>
      <c r="H2058" s="2043">
        <v>173765</v>
      </c>
      <c r="I2058" s="2043">
        <v>0</v>
      </c>
      <c r="J2058">
        <v>0</v>
      </c>
      <c r="K2058" s="2043">
        <v>0</v>
      </c>
      <c r="L2058" s="2043">
        <v>0</v>
      </c>
      <c r="M2058">
        <v>599</v>
      </c>
      <c r="N2058">
        <v>1</v>
      </c>
    </row>
    <row r="2059" spans="1:14">
      <c r="A2059" t="s">
        <v>3159</v>
      </c>
      <c r="B2059" t="s">
        <v>1878</v>
      </c>
      <c r="C2059" t="s">
        <v>2523</v>
      </c>
      <c r="D2059" s="41">
        <v>6</v>
      </c>
      <c r="E2059" s="41">
        <v>1759</v>
      </c>
      <c r="F2059" s="41" t="s">
        <v>4514</v>
      </c>
      <c r="G2059" s="41" t="s">
        <v>8647</v>
      </c>
      <c r="H2059" s="2043">
        <v>173765</v>
      </c>
      <c r="I2059" s="2043">
        <v>533147</v>
      </c>
      <c r="J2059">
        <v>1</v>
      </c>
      <c r="K2059" s="2043">
        <v>173765</v>
      </c>
      <c r="L2059" s="2043">
        <v>173765</v>
      </c>
      <c r="M2059">
        <v>599</v>
      </c>
      <c r="N2059">
        <v>1</v>
      </c>
    </row>
    <row r="2060" spans="1:14">
      <c r="A2060" t="s">
        <v>3160</v>
      </c>
      <c r="B2060" t="s">
        <v>1453</v>
      </c>
      <c r="C2060" t="s">
        <v>3320</v>
      </c>
      <c r="D2060" s="41">
        <v>5</v>
      </c>
      <c r="E2060" s="41">
        <v>2264</v>
      </c>
      <c r="F2060" s="41" t="s">
        <v>4516</v>
      </c>
      <c r="G2060" s="41" t="s">
        <v>4516</v>
      </c>
      <c r="H2060" s="2043">
        <v>100000</v>
      </c>
      <c r="I2060" s="2043">
        <v>0</v>
      </c>
      <c r="J2060">
        <v>0</v>
      </c>
      <c r="K2060" s="2043">
        <v>0</v>
      </c>
      <c r="L2060" s="2043">
        <v>0</v>
      </c>
      <c r="M2060">
        <v>599</v>
      </c>
      <c r="N2060">
        <v>0</v>
      </c>
    </row>
    <row r="2061" spans="1:14">
      <c r="A2061" t="s">
        <v>3160</v>
      </c>
      <c r="B2061" t="s">
        <v>1453</v>
      </c>
      <c r="C2061" t="s">
        <v>3320</v>
      </c>
      <c r="D2061" s="41">
        <v>5</v>
      </c>
      <c r="E2061" s="41">
        <v>2264</v>
      </c>
      <c r="F2061" s="41" t="s">
        <v>4516</v>
      </c>
      <c r="G2061" s="41" t="s">
        <v>4517</v>
      </c>
      <c r="H2061" s="2043">
        <v>100000</v>
      </c>
      <c r="I2061" s="2043">
        <v>72150</v>
      </c>
      <c r="J2061">
        <v>1</v>
      </c>
      <c r="K2061" s="2043">
        <v>100000</v>
      </c>
      <c r="L2061" s="2043">
        <v>72150</v>
      </c>
      <c r="M2061">
        <v>599</v>
      </c>
      <c r="N2061">
        <v>1</v>
      </c>
    </row>
    <row r="2062" spans="1:14">
      <c r="A2062" t="s">
        <v>3161</v>
      </c>
      <c r="B2062" t="s">
        <v>2261</v>
      </c>
      <c r="C2062" t="s">
        <v>1038</v>
      </c>
      <c r="D2062" s="41">
        <v>1</v>
      </c>
      <c r="E2062" s="41">
        <v>1724</v>
      </c>
      <c r="F2062" s="41" t="s">
        <v>4518</v>
      </c>
      <c r="G2062" s="41" t="s">
        <v>4518</v>
      </c>
      <c r="H2062" s="2043">
        <v>3668595</v>
      </c>
      <c r="I2062" s="2043">
        <v>0</v>
      </c>
      <c r="J2062">
        <v>0</v>
      </c>
      <c r="L2062" s="2043">
        <v>0</v>
      </c>
      <c r="M2062">
        <v>599</v>
      </c>
      <c r="N2062">
        <v>0</v>
      </c>
    </row>
    <row r="2063" spans="1:14">
      <c r="A2063" t="s">
        <v>3161</v>
      </c>
      <c r="B2063" t="s">
        <v>2261</v>
      </c>
      <c r="C2063" t="s">
        <v>1038</v>
      </c>
      <c r="D2063" s="41">
        <v>9</v>
      </c>
      <c r="E2063" s="41">
        <v>1722</v>
      </c>
      <c r="F2063" s="41" t="s">
        <v>8577</v>
      </c>
      <c r="G2063" s="41" t="s">
        <v>8577</v>
      </c>
      <c r="H2063" s="2043">
        <v>726420</v>
      </c>
      <c r="I2063" s="2043">
        <v>0</v>
      </c>
      <c r="J2063">
        <v>0</v>
      </c>
      <c r="L2063" s="2043">
        <v>0</v>
      </c>
      <c r="M2063">
        <v>199</v>
      </c>
      <c r="N2063">
        <v>0</v>
      </c>
    </row>
    <row r="2064" spans="1:14">
      <c r="A2064" t="s">
        <v>3161</v>
      </c>
      <c r="B2064" t="s">
        <v>2261</v>
      </c>
      <c r="C2064" t="s">
        <v>1038</v>
      </c>
      <c r="D2064" s="41">
        <v>9</v>
      </c>
      <c r="E2064" s="41">
        <v>1723</v>
      </c>
      <c r="F2064" s="41" t="s">
        <v>4519</v>
      </c>
      <c r="G2064" s="41" t="s">
        <v>4519</v>
      </c>
      <c r="H2064" s="2043">
        <v>822393</v>
      </c>
      <c r="I2064" s="2043">
        <v>0</v>
      </c>
      <c r="J2064">
        <v>0</v>
      </c>
      <c r="K2064" s="2043">
        <v>0</v>
      </c>
      <c r="L2064" s="2043">
        <v>0</v>
      </c>
      <c r="M2064">
        <v>199</v>
      </c>
      <c r="N2064">
        <v>0</v>
      </c>
    </row>
    <row r="2065" spans="1:14">
      <c r="A2065" t="s">
        <v>3161</v>
      </c>
      <c r="B2065" t="s">
        <v>2261</v>
      </c>
      <c r="C2065" t="s">
        <v>1038</v>
      </c>
      <c r="D2065" s="41">
        <v>9</v>
      </c>
      <c r="E2065" s="41">
        <v>1723</v>
      </c>
      <c r="F2065" s="41" t="s">
        <v>4519</v>
      </c>
      <c r="G2065" s="41" t="s">
        <v>4520</v>
      </c>
      <c r="H2065" s="2043">
        <v>822393</v>
      </c>
      <c r="I2065" s="2043">
        <v>808828</v>
      </c>
      <c r="J2065">
        <v>0.50837712130735402</v>
      </c>
      <c r="K2065" s="2043">
        <v>418085.785923319</v>
      </c>
      <c r="L2065" s="2043">
        <v>418085.785923319</v>
      </c>
      <c r="M2065">
        <v>599</v>
      </c>
      <c r="N2065">
        <v>1</v>
      </c>
    </row>
    <row r="2066" spans="1:14">
      <c r="A2066" t="s">
        <v>3161</v>
      </c>
      <c r="B2066" t="s">
        <v>2261</v>
      </c>
      <c r="C2066" t="s">
        <v>1038</v>
      </c>
      <c r="D2066" s="41">
        <v>9</v>
      </c>
      <c r="E2066" s="41">
        <v>1723</v>
      </c>
      <c r="F2066" s="41" t="s">
        <v>4519</v>
      </c>
      <c r="G2066" s="41" t="s">
        <v>7269</v>
      </c>
      <c r="H2066" s="2043">
        <v>822393</v>
      </c>
      <c r="I2066" s="2043">
        <v>782172</v>
      </c>
      <c r="J2066">
        <v>0.49162287869264598</v>
      </c>
      <c r="K2066" s="2043">
        <v>404307.214076681</v>
      </c>
      <c r="L2066" s="2043">
        <v>404307.214076681</v>
      </c>
      <c r="M2066">
        <v>599</v>
      </c>
      <c r="N2066">
        <v>1</v>
      </c>
    </row>
    <row r="2067" spans="1:14">
      <c r="A2067" t="s">
        <v>3161</v>
      </c>
      <c r="B2067" t="s">
        <v>2261</v>
      </c>
      <c r="C2067" t="s">
        <v>1038</v>
      </c>
      <c r="D2067" s="41">
        <v>9</v>
      </c>
      <c r="E2067" s="41">
        <v>1721</v>
      </c>
      <c r="F2067" s="41" t="s">
        <v>4521</v>
      </c>
      <c r="G2067" s="41" t="s">
        <v>4521</v>
      </c>
      <c r="H2067" s="2043">
        <v>379812</v>
      </c>
      <c r="I2067" s="2043">
        <v>0</v>
      </c>
      <c r="J2067">
        <v>0</v>
      </c>
      <c r="K2067" s="2043">
        <v>0</v>
      </c>
      <c r="L2067" s="2043">
        <v>0</v>
      </c>
      <c r="M2067">
        <v>199</v>
      </c>
      <c r="N2067">
        <v>0</v>
      </c>
    </row>
    <row r="2068" spans="1:14">
      <c r="A2068" t="s">
        <v>3161</v>
      </c>
      <c r="B2068" t="s">
        <v>2261</v>
      </c>
      <c r="C2068" t="s">
        <v>1038</v>
      </c>
      <c r="D2068" s="41">
        <v>9</v>
      </c>
      <c r="E2068" s="41">
        <v>1721</v>
      </c>
      <c r="F2068" s="41" t="s">
        <v>4521</v>
      </c>
      <c r="G2068" s="41" t="s">
        <v>4520</v>
      </c>
      <c r="H2068" s="2043">
        <v>379812</v>
      </c>
      <c r="I2068" s="2043">
        <v>369238</v>
      </c>
      <c r="J2068">
        <v>0.51066166199668594</v>
      </c>
      <c r="K2068" s="2043">
        <v>193955.42716628499</v>
      </c>
      <c r="L2068" s="2043">
        <v>193955.42716628499</v>
      </c>
      <c r="M2068">
        <v>599</v>
      </c>
      <c r="N2068">
        <v>1</v>
      </c>
    </row>
    <row r="2069" spans="1:14">
      <c r="A2069" t="s">
        <v>3161</v>
      </c>
      <c r="B2069" t="s">
        <v>2261</v>
      </c>
      <c r="C2069" t="s">
        <v>1038</v>
      </c>
      <c r="D2069" s="41">
        <v>9</v>
      </c>
      <c r="E2069" s="41">
        <v>1721</v>
      </c>
      <c r="F2069" s="41" t="s">
        <v>4521</v>
      </c>
      <c r="G2069" s="41" t="s">
        <v>7269</v>
      </c>
      <c r="H2069" s="2043">
        <v>379812</v>
      </c>
      <c r="I2069" s="2043">
        <v>353820</v>
      </c>
      <c r="J2069">
        <v>0.489338338003314</v>
      </c>
      <c r="K2069" s="2043">
        <v>185856.57283371501</v>
      </c>
      <c r="L2069" s="2043">
        <v>185856.57283371501</v>
      </c>
      <c r="M2069">
        <v>599</v>
      </c>
      <c r="N2069">
        <v>1</v>
      </c>
    </row>
    <row r="2070" spans="1:14">
      <c r="A2070" t="s">
        <v>3162</v>
      </c>
      <c r="B2070" t="s">
        <v>156</v>
      </c>
      <c r="C2070" t="s">
        <v>2552</v>
      </c>
      <c r="D2070" s="41">
        <v>1</v>
      </c>
      <c r="E2070" s="41">
        <v>2253</v>
      </c>
      <c r="F2070" s="41" t="s">
        <v>4522</v>
      </c>
      <c r="G2070" s="41" t="s">
        <v>4522</v>
      </c>
      <c r="H2070" s="2043">
        <v>485685</v>
      </c>
      <c r="I2070" s="2043">
        <v>0</v>
      </c>
      <c r="J2070">
        <v>0</v>
      </c>
      <c r="K2070" s="2043">
        <v>0</v>
      </c>
      <c r="L2070" s="2043">
        <v>0</v>
      </c>
      <c r="M2070">
        <v>599</v>
      </c>
      <c r="N2070">
        <v>0</v>
      </c>
    </row>
    <row r="2071" spans="1:14">
      <c r="A2071" t="s">
        <v>3162</v>
      </c>
      <c r="B2071" t="s">
        <v>156</v>
      </c>
      <c r="C2071" t="s">
        <v>2552</v>
      </c>
      <c r="D2071" s="41">
        <v>1</v>
      </c>
      <c r="E2071" s="41">
        <v>2253</v>
      </c>
      <c r="F2071" s="41" t="s">
        <v>4522</v>
      </c>
      <c r="G2071" s="41" t="s">
        <v>4523</v>
      </c>
      <c r="H2071" s="2043">
        <v>485685</v>
      </c>
      <c r="I2071" s="2043">
        <v>0</v>
      </c>
      <c r="J2071">
        <v>0</v>
      </c>
      <c r="K2071" s="2043">
        <v>0</v>
      </c>
      <c r="L2071" s="2043">
        <v>0</v>
      </c>
      <c r="M2071">
        <v>599</v>
      </c>
      <c r="N2071">
        <v>1</v>
      </c>
    </row>
    <row r="2072" spans="1:14">
      <c r="A2072" t="s">
        <v>3162</v>
      </c>
      <c r="B2072" t="s">
        <v>156</v>
      </c>
      <c r="C2072" t="s">
        <v>2552</v>
      </c>
      <c r="D2072" s="41">
        <v>1</v>
      </c>
      <c r="E2072" s="41">
        <v>2253</v>
      </c>
      <c r="F2072" s="41" t="s">
        <v>4522</v>
      </c>
      <c r="G2072" s="41" t="s">
        <v>8648</v>
      </c>
      <c r="H2072" s="2043">
        <v>485685</v>
      </c>
      <c r="I2072" s="2043">
        <v>396000</v>
      </c>
      <c r="J2072">
        <v>1</v>
      </c>
      <c r="K2072" s="2043">
        <v>485685</v>
      </c>
      <c r="L2072" s="2043">
        <v>396000</v>
      </c>
      <c r="M2072">
        <v>599</v>
      </c>
      <c r="N2072">
        <v>1</v>
      </c>
    </row>
    <row r="2073" spans="1:14">
      <c r="A2073" t="s">
        <v>3162</v>
      </c>
      <c r="B2073" t="s">
        <v>156</v>
      </c>
      <c r="C2073" t="s">
        <v>2552</v>
      </c>
      <c r="D2073" s="41">
        <v>7</v>
      </c>
      <c r="E2073" s="41">
        <v>2256</v>
      </c>
      <c r="F2073" s="41" t="s">
        <v>4524</v>
      </c>
      <c r="G2073" s="41" t="s">
        <v>4524</v>
      </c>
      <c r="H2073" s="2043">
        <v>883718</v>
      </c>
      <c r="I2073" s="2043">
        <v>0</v>
      </c>
      <c r="J2073">
        <v>0</v>
      </c>
      <c r="K2073" s="2043">
        <v>0</v>
      </c>
      <c r="L2073" s="2043">
        <v>0</v>
      </c>
      <c r="M2073">
        <v>599</v>
      </c>
      <c r="N2073">
        <v>0</v>
      </c>
    </row>
    <row r="2074" spans="1:14">
      <c r="A2074" t="s">
        <v>3162</v>
      </c>
      <c r="B2074" t="s">
        <v>156</v>
      </c>
      <c r="C2074" t="s">
        <v>2552</v>
      </c>
      <c r="D2074" s="41">
        <v>7</v>
      </c>
      <c r="E2074" s="41">
        <v>2256</v>
      </c>
      <c r="F2074" s="41" t="s">
        <v>4524</v>
      </c>
      <c r="G2074" s="41" t="s">
        <v>4525</v>
      </c>
      <c r="H2074" s="2043">
        <v>883718</v>
      </c>
      <c r="I2074" s="2043">
        <v>101000</v>
      </c>
      <c r="J2074">
        <v>0.11898226575219201</v>
      </c>
      <c r="K2074" s="2043">
        <v>105146.769925995</v>
      </c>
      <c r="L2074" s="2043">
        <v>101000</v>
      </c>
      <c r="M2074">
        <v>599</v>
      </c>
      <c r="N2074">
        <v>1</v>
      </c>
    </row>
    <row r="2075" spans="1:14">
      <c r="A2075" t="s">
        <v>3162</v>
      </c>
      <c r="B2075" t="s">
        <v>156</v>
      </c>
      <c r="C2075" t="s">
        <v>2552</v>
      </c>
      <c r="D2075" s="41">
        <v>7</v>
      </c>
      <c r="E2075" s="41">
        <v>2256</v>
      </c>
      <c r="F2075" s="41" t="s">
        <v>4524</v>
      </c>
      <c r="G2075" s="41" t="s">
        <v>4526</v>
      </c>
      <c r="H2075" s="2043">
        <v>883718</v>
      </c>
      <c r="I2075" s="2043">
        <v>464075</v>
      </c>
      <c r="J2075">
        <v>0.546699950286618</v>
      </c>
      <c r="K2075" s="2043">
        <v>483128.58666738903</v>
      </c>
      <c r="L2075" s="2043">
        <v>464075</v>
      </c>
      <c r="M2075">
        <v>599</v>
      </c>
      <c r="N2075">
        <v>1</v>
      </c>
    </row>
    <row r="2076" spans="1:14">
      <c r="A2076" t="s">
        <v>3162</v>
      </c>
      <c r="B2076" t="s">
        <v>156</v>
      </c>
      <c r="C2076" t="s">
        <v>2552</v>
      </c>
      <c r="D2076" s="41">
        <v>7</v>
      </c>
      <c r="E2076" s="41">
        <v>2256</v>
      </c>
      <c r="F2076" s="41" t="s">
        <v>4524</v>
      </c>
      <c r="G2076" s="41" t="s">
        <v>9384</v>
      </c>
      <c r="H2076" s="2043">
        <v>883718</v>
      </c>
      <c r="I2076" s="2043">
        <v>283791</v>
      </c>
      <c r="J2076">
        <v>0.334317783961191</v>
      </c>
      <c r="K2076" s="2043">
        <v>295442.64340661501</v>
      </c>
      <c r="L2076" s="2043">
        <v>283791</v>
      </c>
      <c r="M2076">
        <v>599</v>
      </c>
      <c r="N2076">
        <v>1</v>
      </c>
    </row>
    <row r="2077" spans="1:14">
      <c r="A2077" t="s">
        <v>3162</v>
      </c>
      <c r="B2077" t="s">
        <v>156</v>
      </c>
      <c r="C2077" t="s">
        <v>2552</v>
      </c>
      <c r="D2077" s="41">
        <v>9</v>
      </c>
      <c r="E2077" s="41">
        <v>2255</v>
      </c>
      <c r="F2077" s="41" t="s">
        <v>4527</v>
      </c>
      <c r="G2077" s="41" t="s">
        <v>4527</v>
      </c>
      <c r="H2077" s="2043">
        <v>829400</v>
      </c>
      <c r="I2077" s="2043">
        <v>0</v>
      </c>
      <c r="J2077">
        <v>0</v>
      </c>
      <c r="K2077" s="2043">
        <v>0</v>
      </c>
      <c r="L2077" s="2043">
        <v>0</v>
      </c>
      <c r="M2077">
        <v>599</v>
      </c>
      <c r="N2077">
        <v>1</v>
      </c>
    </row>
    <row r="2078" spans="1:14">
      <c r="A2078" t="s">
        <v>3162</v>
      </c>
      <c r="B2078" t="s">
        <v>156</v>
      </c>
      <c r="C2078" t="s">
        <v>2552</v>
      </c>
      <c r="D2078" s="41">
        <v>9</v>
      </c>
      <c r="E2078" s="41">
        <v>2255</v>
      </c>
      <c r="F2078" s="41" t="s">
        <v>4527</v>
      </c>
      <c r="G2078" s="41" t="s">
        <v>5453</v>
      </c>
      <c r="H2078" s="2043">
        <v>829400</v>
      </c>
      <c r="I2078" s="2043">
        <v>364450</v>
      </c>
      <c r="J2078">
        <v>0.51159852605720302</v>
      </c>
      <c r="K2078" s="2043">
        <v>424319.81751184398</v>
      </c>
      <c r="L2078" s="2043">
        <v>364450</v>
      </c>
      <c r="M2078">
        <v>599</v>
      </c>
      <c r="N2078">
        <v>1</v>
      </c>
    </row>
    <row r="2079" spans="1:14">
      <c r="A2079" t="s">
        <v>3162</v>
      </c>
      <c r="B2079" t="s">
        <v>156</v>
      </c>
      <c r="C2079" t="s">
        <v>2552</v>
      </c>
      <c r="D2079" s="41">
        <v>9</v>
      </c>
      <c r="E2079" s="41">
        <v>2255</v>
      </c>
      <c r="F2079" s="41" t="s">
        <v>4527</v>
      </c>
      <c r="G2079" s="41" t="s">
        <v>5640</v>
      </c>
      <c r="H2079" s="2043">
        <v>829400</v>
      </c>
      <c r="I2079" s="2043">
        <v>347925</v>
      </c>
      <c r="J2079">
        <v>0.48840147394279698</v>
      </c>
      <c r="K2079" s="2043">
        <v>405080.18248815602</v>
      </c>
      <c r="L2079" s="2043">
        <v>347925</v>
      </c>
      <c r="M2079">
        <v>599</v>
      </c>
      <c r="N2079">
        <v>1</v>
      </c>
    </row>
    <row r="2080" spans="1:14">
      <c r="A2080" t="s">
        <v>3162</v>
      </c>
      <c r="B2080" t="s">
        <v>156</v>
      </c>
      <c r="C2080" t="s">
        <v>2552</v>
      </c>
      <c r="D2080" s="41">
        <v>10</v>
      </c>
      <c r="E2080" s="41">
        <v>2254</v>
      </c>
      <c r="F2080" s="41" t="s">
        <v>4528</v>
      </c>
      <c r="G2080" s="41" t="s">
        <v>4528</v>
      </c>
      <c r="H2080" s="2043">
        <v>707375</v>
      </c>
      <c r="I2080" s="2043">
        <v>0</v>
      </c>
      <c r="J2080">
        <v>0</v>
      </c>
      <c r="K2080" s="2043">
        <v>0</v>
      </c>
      <c r="L2080" s="2043">
        <v>0</v>
      </c>
      <c r="M2080">
        <v>599</v>
      </c>
      <c r="N2080">
        <v>1</v>
      </c>
    </row>
    <row r="2081" spans="1:14">
      <c r="A2081" t="s">
        <v>3162</v>
      </c>
      <c r="B2081" t="s">
        <v>156</v>
      </c>
      <c r="C2081" t="s">
        <v>2552</v>
      </c>
      <c r="D2081" s="41">
        <v>10</v>
      </c>
      <c r="E2081" s="41">
        <v>2254</v>
      </c>
      <c r="F2081" s="41" t="s">
        <v>4528</v>
      </c>
      <c r="G2081" s="41" t="s">
        <v>7270</v>
      </c>
      <c r="H2081" s="2043">
        <v>707375</v>
      </c>
      <c r="I2081" s="2043">
        <v>243400</v>
      </c>
      <c r="J2081">
        <v>0.37438090257482998</v>
      </c>
      <c r="K2081" s="2043">
        <v>264827.69095886999</v>
      </c>
      <c r="L2081" s="2043">
        <v>243400</v>
      </c>
      <c r="M2081">
        <v>599</v>
      </c>
      <c r="N2081">
        <v>1</v>
      </c>
    </row>
    <row r="2082" spans="1:14">
      <c r="A2082" t="s">
        <v>3162</v>
      </c>
      <c r="B2082" t="s">
        <v>156</v>
      </c>
      <c r="C2082" t="s">
        <v>2552</v>
      </c>
      <c r="D2082" s="41">
        <v>10</v>
      </c>
      <c r="E2082" s="41">
        <v>2254</v>
      </c>
      <c r="F2082" s="41" t="s">
        <v>4528</v>
      </c>
      <c r="G2082" s="41" t="s">
        <v>8648</v>
      </c>
      <c r="H2082" s="2043">
        <v>707375</v>
      </c>
      <c r="I2082" s="2043">
        <v>406740</v>
      </c>
      <c r="J2082">
        <v>0.62561909742516997</v>
      </c>
      <c r="K2082" s="2043">
        <v>442547.30904113001</v>
      </c>
      <c r="L2082" s="2043">
        <v>406740</v>
      </c>
      <c r="M2082">
        <v>599</v>
      </c>
      <c r="N2082">
        <v>1</v>
      </c>
    </row>
    <row r="2083" spans="1:14">
      <c r="A2083" t="s">
        <v>3163</v>
      </c>
      <c r="B2083" t="s">
        <v>911</v>
      </c>
      <c r="C2083" t="s">
        <v>304</v>
      </c>
      <c r="D2083" s="41">
        <v>9</v>
      </c>
      <c r="E2083" s="41">
        <v>1592</v>
      </c>
      <c r="F2083" s="41" t="s">
        <v>4529</v>
      </c>
      <c r="G2083" s="41" t="s">
        <v>4529</v>
      </c>
      <c r="H2083" s="2043">
        <v>156610</v>
      </c>
      <c r="I2083" s="2043">
        <v>0</v>
      </c>
      <c r="J2083">
        <v>0</v>
      </c>
      <c r="K2083" s="2043">
        <v>0</v>
      </c>
      <c r="L2083" s="2043">
        <v>0</v>
      </c>
      <c r="M2083">
        <v>599</v>
      </c>
      <c r="N2083">
        <v>1</v>
      </c>
    </row>
    <row r="2084" spans="1:14">
      <c r="A2084" t="s">
        <v>3163</v>
      </c>
      <c r="B2084" t="s">
        <v>911</v>
      </c>
      <c r="C2084" t="s">
        <v>304</v>
      </c>
      <c r="D2084" s="41">
        <v>9</v>
      </c>
      <c r="E2084" s="41">
        <v>1592</v>
      </c>
      <c r="F2084" s="41" t="s">
        <v>4529</v>
      </c>
      <c r="G2084" s="41" t="s">
        <v>5454</v>
      </c>
      <c r="H2084" s="2043">
        <v>156610</v>
      </c>
      <c r="I2084" s="2043">
        <v>149628</v>
      </c>
      <c r="J2084">
        <v>1</v>
      </c>
      <c r="K2084" s="2043">
        <v>156610</v>
      </c>
      <c r="L2084" s="2043">
        <v>149628</v>
      </c>
      <c r="M2084">
        <v>599</v>
      </c>
      <c r="N2084">
        <v>1</v>
      </c>
    </row>
    <row r="2085" spans="1:14">
      <c r="A2085" t="s">
        <v>3164</v>
      </c>
      <c r="B2085" t="s">
        <v>2020</v>
      </c>
      <c r="C2085" t="s">
        <v>306</v>
      </c>
      <c r="D2085" s="41">
        <v>10</v>
      </c>
      <c r="E2085" s="41">
        <v>2445</v>
      </c>
      <c r="F2085" s="41" t="s">
        <v>4530</v>
      </c>
      <c r="G2085" s="41" t="s">
        <v>4530</v>
      </c>
      <c r="H2085" s="2043">
        <v>243416</v>
      </c>
      <c r="I2085" s="2043">
        <v>0</v>
      </c>
      <c r="J2085">
        <v>0</v>
      </c>
      <c r="K2085" s="2043">
        <v>0</v>
      </c>
      <c r="L2085" s="2043">
        <v>0</v>
      </c>
      <c r="M2085">
        <v>599</v>
      </c>
      <c r="N2085">
        <v>1</v>
      </c>
    </row>
    <row r="2086" spans="1:14">
      <c r="A2086" t="s">
        <v>3164</v>
      </c>
      <c r="B2086" t="s">
        <v>2020</v>
      </c>
      <c r="C2086" t="s">
        <v>306</v>
      </c>
      <c r="D2086" s="41">
        <v>10</v>
      </c>
      <c r="E2086" s="41">
        <v>2445</v>
      </c>
      <c r="F2086" s="41" t="s">
        <v>4530</v>
      </c>
      <c r="G2086" s="41" t="s">
        <v>5910</v>
      </c>
      <c r="H2086" s="2043">
        <v>243416</v>
      </c>
      <c r="I2086" s="2043">
        <v>278806</v>
      </c>
      <c r="J2086">
        <v>0.82133419746358105</v>
      </c>
      <c r="K2086" s="2043">
        <v>199925.88500979499</v>
      </c>
      <c r="L2086" s="2043">
        <v>199925.88500979499</v>
      </c>
      <c r="M2086">
        <v>599</v>
      </c>
      <c r="N2086">
        <v>1</v>
      </c>
    </row>
    <row r="2087" spans="1:14">
      <c r="A2087" t="s">
        <v>3164</v>
      </c>
      <c r="B2087" t="s">
        <v>2020</v>
      </c>
      <c r="C2087" t="s">
        <v>306</v>
      </c>
      <c r="D2087" s="41">
        <v>10</v>
      </c>
      <c r="E2087" s="41">
        <v>2445</v>
      </c>
      <c r="F2087" s="41" t="s">
        <v>4530</v>
      </c>
      <c r="G2087" s="41" t="s">
        <v>9385</v>
      </c>
      <c r="H2087" s="2043">
        <v>243416</v>
      </c>
      <c r="I2087" s="2043">
        <v>60649</v>
      </c>
      <c r="J2087">
        <v>0.178665802536419</v>
      </c>
      <c r="K2087" s="2043">
        <v>43490.1149902049</v>
      </c>
      <c r="L2087" s="2043">
        <v>43490.1149902049</v>
      </c>
      <c r="M2087">
        <v>599</v>
      </c>
      <c r="N2087">
        <v>1</v>
      </c>
    </row>
    <row r="2088" spans="1:14">
      <c r="A2088" t="s">
        <v>3165</v>
      </c>
      <c r="B2088" t="s">
        <v>195</v>
      </c>
      <c r="C2088" t="s">
        <v>942</v>
      </c>
      <c r="D2088" s="41">
        <v>1</v>
      </c>
      <c r="E2088" s="41">
        <v>2186</v>
      </c>
      <c r="F2088" s="41" t="s">
        <v>4531</v>
      </c>
      <c r="G2088" s="41" t="s">
        <v>4531</v>
      </c>
      <c r="H2088" s="2043">
        <v>477623</v>
      </c>
      <c r="I2088" s="2043">
        <v>0</v>
      </c>
      <c r="J2088">
        <v>0</v>
      </c>
      <c r="L2088" s="2043">
        <v>0</v>
      </c>
      <c r="M2088">
        <v>599</v>
      </c>
      <c r="N2088">
        <v>0</v>
      </c>
    </row>
    <row r="2089" spans="1:14">
      <c r="A2089" t="s">
        <v>3166</v>
      </c>
      <c r="B2089" t="s">
        <v>1844</v>
      </c>
      <c r="C2089" t="s">
        <v>1751</v>
      </c>
      <c r="D2089" s="41">
        <v>6</v>
      </c>
      <c r="E2089" s="41">
        <v>1633</v>
      </c>
      <c r="F2089" s="41" t="s">
        <v>4532</v>
      </c>
      <c r="G2089" s="41" t="s">
        <v>4532</v>
      </c>
      <c r="H2089" s="2043">
        <v>649545</v>
      </c>
      <c r="I2089" s="2043">
        <v>0</v>
      </c>
      <c r="J2089">
        <v>0</v>
      </c>
      <c r="K2089" s="2043">
        <v>0</v>
      </c>
      <c r="L2089" s="2043">
        <v>0</v>
      </c>
      <c r="M2089">
        <v>599</v>
      </c>
      <c r="N2089">
        <v>0</v>
      </c>
    </row>
    <row r="2090" spans="1:14">
      <c r="A2090" t="s">
        <v>3166</v>
      </c>
      <c r="B2090" t="s">
        <v>1844</v>
      </c>
      <c r="C2090" t="s">
        <v>1751</v>
      </c>
      <c r="D2090" s="41">
        <v>6</v>
      </c>
      <c r="E2090" s="41">
        <v>1633</v>
      </c>
      <c r="F2090" s="41" t="s">
        <v>4532</v>
      </c>
      <c r="G2090" s="41" t="s">
        <v>4533</v>
      </c>
      <c r="H2090" s="2043">
        <v>649545</v>
      </c>
      <c r="I2090" s="2043">
        <v>420000</v>
      </c>
      <c r="J2090">
        <v>0.74115903155219898</v>
      </c>
      <c r="K2090" s="2043">
        <v>481416.14314957301</v>
      </c>
      <c r="L2090" s="2043">
        <v>420000</v>
      </c>
      <c r="M2090">
        <v>599</v>
      </c>
      <c r="N2090">
        <v>1</v>
      </c>
    </row>
    <row r="2091" spans="1:14">
      <c r="A2091" t="s">
        <v>3166</v>
      </c>
      <c r="B2091" t="s">
        <v>1844</v>
      </c>
      <c r="C2091" t="s">
        <v>1751</v>
      </c>
      <c r="D2091" s="41">
        <v>6</v>
      </c>
      <c r="E2091" s="41">
        <v>1633</v>
      </c>
      <c r="F2091" s="41" t="s">
        <v>4532</v>
      </c>
      <c r="G2091" s="41" t="s">
        <v>4534</v>
      </c>
      <c r="H2091" s="2043">
        <v>649545</v>
      </c>
      <c r="I2091" s="2043">
        <v>0</v>
      </c>
      <c r="J2091">
        <v>0</v>
      </c>
      <c r="K2091" s="2043">
        <v>0</v>
      </c>
      <c r="L2091" s="2043">
        <v>0</v>
      </c>
      <c r="M2091">
        <v>599</v>
      </c>
      <c r="N2091">
        <v>1</v>
      </c>
    </row>
    <row r="2092" spans="1:14">
      <c r="A2092" t="s">
        <v>3166</v>
      </c>
      <c r="B2092" t="s">
        <v>1844</v>
      </c>
      <c r="C2092" t="s">
        <v>1751</v>
      </c>
      <c r="D2092" s="41">
        <v>6</v>
      </c>
      <c r="E2092" s="41">
        <v>1633</v>
      </c>
      <c r="F2092" s="41" t="s">
        <v>4532</v>
      </c>
      <c r="G2092" s="41" t="s">
        <v>7271</v>
      </c>
      <c r="H2092" s="2043">
        <v>649545</v>
      </c>
      <c r="I2092" s="2043">
        <v>130050</v>
      </c>
      <c r="J2092">
        <v>0.229494600127056</v>
      </c>
      <c r="K2092" s="2043">
        <v>149067.07003952799</v>
      </c>
      <c r="L2092" s="2043">
        <v>130050</v>
      </c>
      <c r="M2092">
        <v>599</v>
      </c>
      <c r="N2092">
        <v>1</v>
      </c>
    </row>
    <row r="2093" spans="1:14">
      <c r="A2093" t="s">
        <v>3166</v>
      </c>
      <c r="B2093" t="s">
        <v>1844</v>
      </c>
      <c r="C2093" t="s">
        <v>1751</v>
      </c>
      <c r="D2093" s="41">
        <v>6</v>
      </c>
      <c r="E2093" s="41">
        <v>1633</v>
      </c>
      <c r="F2093" s="41" t="s">
        <v>4532</v>
      </c>
      <c r="G2093" s="41" t="s">
        <v>8649</v>
      </c>
      <c r="H2093" s="2043">
        <v>649545</v>
      </c>
      <c r="I2093" s="2043">
        <v>16630</v>
      </c>
      <c r="J2093">
        <v>2.93463683207454E-2</v>
      </c>
      <c r="K2093" s="2043">
        <v>19061.7868108986</v>
      </c>
      <c r="L2093" s="2043">
        <v>16630</v>
      </c>
      <c r="M2093">
        <v>599</v>
      </c>
      <c r="N2093">
        <v>1</v>
      </c>
    </row>
    <row r="2094" spans="1:14">
      <c r="A2094" t="s">
        <v>3167</v>
      </c>
      <c r="B2094" t="s">
        <v>1380</v>
      </c>
      <c r="C2094" t="s">
        <v>126</v>
      </c>
      <c r="D2094" s="41">
        <v>6</v>
      </c>
      <c r="E2094" s="41">
        <v>2428</v>
      </c>
      <c r="F2094" s="41" t="s">
        <v>4535</v>
      </c>
      <c r="G2094" s="41" t="s">
        <v>4535</v>
      </c>
      <c r="H2094" s="2043">
        <v>1258064</v>
      </c>
      <c r="I2094" s="2043">
        <v>0</v>
      </c>
      <c r="J2094">
        <v>0</v>
      </c>
      <c r="K2094" s="2043">
        <v>0</v>
      </c>
      <c r="L2094" s="2043">
        <v>0</v>
      </c>
      <c r="M2094">
        <v>599</v>
      </c>
      <c r="N2094">
        <v>0</v>
      </c>
    </row>
    <row r="2095" spans="1:14">
      <c r="A2095" t="s">
        <v>3167</v>
      </c>
      <c r="B2095" t="s">
        <v>1380</v>
      </c>
      <c r="C2095" t="s">
        <v>126</v>
      </c>
      <c r="D2095" s="41">
        <v>6</v>
      </c>
      <c r="E2095" s="41">
        <v>2428</v>
      </c>
      <c r="F2095" s="41" t="s">
        <v>4535</v>
      </c>
      <c r="G2095" s="41" t="s">
        <v>4536</v>
      </c>
      <c r="H2095" s="2043">
        <v>1258064</v>
      </c>
      <c r="I2095" s="2043">
        <v>0</v>
      </c>
      <c r="J2095">
        <v>0</v>
      </c>
      <c r="K2095" s="2043">
        <v>0</v>
      </c>
      <c r="L2095" s="2043">
        <v>0</v>
      </c>
      <c r="M2095">
        <v>599</v>
      </c>
      <c r="N2095">
        <v>1</v>
      </c>
    </row>
    <row r="2096" spans="1:14">
      <c r="A2096" t="s">
        <v>3167</v>
      </c>
      <c r="B2096" t="s">
        <v>1380</v>
      </c>
      <c r="C2096" t="s">
        <v>126</v>
      </c>
      <c r="D2096" s="41">
        <v>6</v>
      </c>
      <c r="E2096" s="41">
        <v>2428</v>
      </c>
      <c r="F2096" s="41" t="s">
        <v>4535</v>
      </c>
      <c r="G2096" s="41" t="s">
        <v>4537</v>
      </c>
      <c r="H2096" s="2043">
        <v>1258064</v>
      </c>
      <c r="I2096" s="2043">
        <v>0</v>
      </c>
      <c r="J2096">
        <v>0</v>
      </c>
      <c r="K2096" s="2043">
        <v>0</v>
      </c>
      <c r="L2096" s="2043">
        <v>0</v>
      </c>
      <c r="M2096">
        <v>599</v>
      </c>
      <c r="N2096">
        <v>1</v>
      </c>
    </row>
    <row r="2097" spans="1:14">
      <c r="A2097" t="s">
        <v>3167</v>
      </c>
      <c r="B2097" t="s">
        <v>1380</v>
      </c>
      <c r="C2097" t="s">
        <v>126</v>
      </c>
      <c r="D2097" s="41">
        <v>6</v>
      </c>
      <c r="E2097" s="41">
        <v>2428</v>
      </c>
      <c r="F2097" s="41" t="s">
        <v>4535</v>
      </c>
      <c r="G2097" s="41" t="s">
        <v>5641</v>
      </c>
      <c r="H2097" s="2043">
        <v>1258064</v>
      </c>
      <c r="I2097" s="2043">
        <v>290100</v>
      </c>
      <c r="J2097">
        <v>0.33789528856793399</v>
      </c>
      <c r="K2097" s="2043">
        <v>425093.89831692999</v>
      </c>
      <c r="L2097" s="2043">
        <v>290100</v>
      </c>
      <c r="M2097">
        <v>599</v>
      </c>
      <c r="N2097">
        <v>1</v>
      </c>
    </row>
    <row r="2098" spans="1:14">
      <c r="A2098" t="s">
        <v>3167</v>
      </c>
      <c r="B2098" t="s">
        <v>1380</v>
      </c>
      <c r="C2098" t="s">
        <v>126</v>
      </c>
      <c r="D2098" s="41">
        <v>6</v>
      </c>
      <c r="E2098" s="41">
        <v>2428</v>
      </c>
      <c r="F2098" s="41" t="s">
        <v>4535</v>
      </c>
      <c r="G2098" s="41" t="s">
        <v>8650</v>
      </c>
      <c r="H2098" s="2043">
        <v>1258064</v>
      </c>
      <c r="I2098" s="2043">
        <v>568450</v>
      </c>
      <c r="J2098">
        <v>0.66210471143206595</v>
      </c>
      <c r="K2098" s="2043">
        <v>832970.10168306995</v>
      </c>
      <c r="L2098" s="2043">
        <v>568450</v>
      </c>
      <c r="M2098">
        <v>599</v>
      </c>
      <c r="N2098">
        <v>1</v>
      </c>
    </row>
    <row r="2099" spans="1:14">
      <c r="A2099" t="s">
        <v>5211</v>
      </c>
      <c r="B2099" t="s">
        <v>1030</v>
      </c>
      <c r="C2099" t="s">
        <v>3321</v>
      </c>
      <c r="D2099" s="41">
        <v>11</v>
      </c>
      <c r="E2099" s="41">
        <v>2536</v>
      </c>
      <c r="F2099" s="41" t="s">
        <v>7272</v>
      </c>
      <c r="G2099" s="41" t="s">
        <v>7272</v>
      </c>
      <c r="H2099" s="2043">
        <v>531973</v>
      </c>
      <c r="I2099" s="2043">
        <v>306379</v>
      </c>
      <c r="J2099">
        <v>1</v>
      </c>
      <c r="K2099" s="2043">
        <v>531973</v>
      </c>
      <c r="L2099" s="2043">
        <v>306379</v>
      </c>
      <c r="M2099">
        <v>599</v>
      </c>
      <c r="N2099">
        <v>1</v>
      </c>
    </row>
    <row r="2100" spans="1:14">
      <c r="A2100" t="s">
        <v>3168</v>
      </c>
      <c r="B2100" t="s">
        <v>2396</v>
      </c>
      <c r="C2100" t="s">
        <v>2117</v>
      </c>
      <c r="D2100" s="41">
        <v>2</v>
      </c>
      <c r="E2100" s="41">
        <v>2110</v>
      </c>
      <c r="F2100" s="41" t="s">
        <v>4538</v>
      </c>
      <c r="G2100" s="41" t="s">
        <v>4538</v>
      </c>
      <c r="H2100" s="2043">
        <v>772750</v>
      </c>
      <c r="I2100" s="2043">
        <v>0</v>
      </c>
      <c r="J2100">
        <v>0</v>
      </c>
      <c r="K2100" s="2043">
        <v>0</v>
      </c>
      <c r="L2100" s="2043">
        <v>0</v>
      </c>
      <c r="M2100">
        <v>599</v>
      </c>
      <c r="N2100">
        <v>0</v>
      </c>
    </row>
    <row r="2101" spans="1:14">
      <c r="A2101" t="s">
        <v>3168</v>
      </c>
      <c r="B2101" t="s">
        <v>2396</v>
      </c>
      <c r="C2101" t="s">
        <v>2117</v>
      </c>
      <c r="D2101" s="41">
        <v>2</v>
      </c>
      <c r="E2101" s="41">
        <v>2110</v>
      </c>
      <c r="F2101" s="41" t="s">
        <v>4538</v>
      </c>
      <c r="G2101" s="41" t="s">
        <v>4539</v>
      </c>
      <c r="H2101" s="2043">
        <v>772750</v>
      </c>
      <c r="I2101" s="2043">
        <v>0</v>
      </c>
      <c r="J2101">
        <v>0</v>
      </c>
      <c r="K2101" s="2043">
        <v>0</v>
      </c>
      <c r="L2101" s="2043">
        <v>0</v>
      </c>
      <c r="M2101">
        <v>599</v>
      </c>
      <c r="N2101">
        <v>1</v>
      </c>
    </row>
    <row r="2102" spans="1:14">
      <c r="A2102" t="s">
        <v>3168</v>
      </c>
      <c r="B2102" t="s">
        <v>2396</v>
      </c>
      <c r="C2102" t="s">
        <v>2117</v>
      </c>
      <c r="D2102" s="41">
        <v>2</v>
      </c>
      <c r="E2102" s="41">
        <v>2110</v>
      </c>
      <c r="F2102" s="41" t="s">
        <v>4538</v>
      </c>
      <c r="G2102" s="41" t="s">
        <v>4540</v>
      </c>
      <c r="H2102" s="2043">
        <v>772750</v>
      </c>
      <c r="I2102" s="2043">
        <v>793503</v>
      </c>
      <c r="J2102">
        <v>0.35511768067634603</v>
      </c>
      <c r="K2102" s="2043">
        <v>274417.18774264603</v>
      </c>
      <c r="L2102" s="2043">
        <v>274417.18774264603</v>
      </c>
      <c r="M2102">
        <v>599</v>
      </c>
      <c r="N2102">
        <v>1</v>
      </c>
    </row>
    <row r="2103" spans="1:14">
      <c r="A2103" t="s">
        <v>3168</v>
      </c>
      <c r="B2103" t="s">
        <v>2396</v>
      </c>
      <c r="C2103" t="s">
        <v>2117</v>
      </c>
      <c r="D2103" s="41">
        <v>2</v>
      </c>
      <c r="E2103" s="41">
        <v>2110</v>
      </c>
      <c r="F2103" s="41" t="s">
        <v>4538</v>
      </c>
      <c r="G2103" s="41" t="s">
        <v>4541</v>
      </c>
      <c r="H2103" s="2043">
        <v>772750</v>
      </c>
      <c r="I2103" s="2043">
        <v>0</v>
      </c>
      <c r="J2103">
        <v>0</v>
      </c>
      <c r="K2103" s="2043">
        <v>0</v>
      </c>
      <c r="L2103" s="2043">
        <v>0</v>
      </c>
      <c r="M2103">
        <v>599</v>
      </c>
      <c r="N2103">
        <v>1</v>
      </c>
    </row>
    <row r="2104" spans="1:14">
      <c r="A2104" t="s">
        <v>3168</v>
      </c>
      <c r="B2104" t="s">
        <v>2396</v>
      </c>
      <c r="C2104" t="s">
        <v>2117</v>
      </c>
      <c r="D2104" s="41">
        <v>2</v>
      </c>
      <c r="E2104" s="41">
        <v>2110</v>
      </c>
      <c r="F2104" s="41" t="s">
        <v>4538</v>
      </c>
      <c r="G2104" s="41" t="s">
        <v>5455</v>
      </c>
      <c r="H2104" s="2043">
        <v>772750</v>
      </c>
      <c r="I2104" s="2043">
        <v>0</v>
      </c>
      <c r="J2104">
        <v>0</v>
      </c>
      <c r="K2104" s="2043">
        <v>0</v>
      </c>
      <c r="L2104" s="2043">
        <v>0</v>
      </c>
      <c r="M2104">
        <v>599</v>
      </c>
      <c r="N2104">
        <v>1</v>
      </c>
    </row>
    <row r="2105" spans="1:14">
      <c r="A2105" t="s">
        <v>3168</v>
      </c>
      <c r="B2105" t="s">
        <v>2396</v>
      </c>
      <c r="C2105" t="s">
        <v>2117</v>
      </c>
      <c r="D2105" s="41">
        <v>2</v>
      </c>
      <c r="E2105" s="41">
        <v>2110</v>
      </c>
      <c r="F2105" s="41" t="s">
        <v>4538</v>
      </c>
      <c r="G2105" s="41" t="s">
        <v>5643</v>
      </c>
      <c r="H2105" s="2043">
        <v>772750</v>
      </c>
      <c r="I2105" s="2043">
        <v>711619</v>
      </c>
      <c r="J2105">
        <v>0.31847200175074403</v>
      </c>
      <c r="K2105" s="2043">
        <v>246099.239352887</v>
      </c>
      <c r="L2105" s="2043">
        <v>246099.239352887</v>
      </c>
      <c r="M2105">
        <v>599</v>
      </c>
      <c r="N2105">
        <v>1</v>
      </c>
    </row>
    <row r="2106" spans="1:14">
      <c r="A2106" t="s">
        <v>3168</v>
      </c>
      <c r="B2106" t="s">
        <v>2396</v>
      </c>
      <c r="C2106" t="s">
        <v>2117</v>
      </c>
      <c r="D2106" s="41">
        <v>2</v>
      </c>
      <c r="E2106" s="41">
        <v>2110</v>
      </c>
      <c r="F2106" s="41" t="s">
        <v>4538</v>
      </c>
      <c r="G2106" s="41" t="s">
        <v>5642</v>
      </c>
      <c r="H2106" s="2043">
        <v>772750</v>
      </c>
      <c r="I2106" s="2043">
        <v>0</v>
      </c>
      <c r="J2106">
        <v>0</v>
      </c>
      <c r="K2106" s="2043">
        <v>0</v>
      </c>
      <c r="L2106" s="2043">
        <v>0</v>
      </c>
      <c r="M2106">
        <v>599</v>
      </c>
      <c r="N2106">
        <v>1</v>
      </c>
    </row>
    <row r="2107" spans="1:14">
      <c r="A2107" t="s">
        <v>3168</v>
      </c>
      <c r="B2107" t="s">
        <v>2396</v>
      </c>
      <c r="C2107" t="s">
        <v>2117</v>
      </c>
      <c r="D2107" s="41">
        <v>2</v>
      </c>
      <c r="E2107" s="41">
        <v>2110</v>
      </c>
      <c r="F2107" s="41" t="s">
        <v>4538</v>
      </c>
      <c r="G2107" s="41" t="s">
        <v>8578</v>
      </c>
      <c r="H2107" s="2043">
        <v>772750</v>
      </c>
      <c r="I2107" s="2043">
        <v>729357</v>
      </c>
      <c r="J2107">
        <v>0.326410317572911</v>
      </c>
      <c r="K2107" s="2043">
        <v>252233.572904467</v>
      </c>
      <c r="L2107" s="2043">
        <v>252233.572904467</v>
      </c>
      <c r="M2107">
        <v>599</v>
      </c>
      <c r="N2107">
        <v>1</v>
      </c>
    </row>
    <row r="2108" spans="1:14">
      <c r="A2108" t="s">
        <v>3168</v>
      </c>
      <c r="B2108" t="s">
        <v>2396</v>
      </c>
      <c r="C2108" t="s">
        <v>2117</v>
      </c>
      <c r="D2108" s="41">
        <v>11</v>
      </c>
      <c r="E2108" s="41">
        <v>2514</v>
      </c>
      <c r="F2108" s="41" t="s">
        <v>7273</v>
      </c>
      <c r="G2108" s="41" t="s">
        <v>7273</v>
      </c>
      <c r="H2108" s="2043">
        <v>744217</v>
      </c>
      <c r="I2108" s="2043">
        <v>963828</v>
      </c>
      <c r="J2108">
        <v>0.82174360093647703</v>
      </c>
      <c r="K2108" s="2043">
        <v>611555.55745814205</v>
      </c>
      <c r="L2108" s="2043">
        <v>611555.55745814205</v>
      </c>
      <c r="M2108">
        <v>599</v>
      </c>
      <c r="N2108">
        <v>1</v>
      </c>
    </row>
    <row r="2109" spans="1:14">
      <c r="A2109" t="s">
        <v>3168</v>
      </c>
      <c r="B2109" t="s">
        <v>2396</v>
      </c>
      <c r="C2109" t="s">
        <v>2117</v>
      </c>
      <c r="D2109" s="41">
        <v>11</v>
      </c>
      <c r="E2109" s="41">
        <v>2514</v>
      </c>
      <c r="F2109" s="41" t="s">
        <v>7273</v>
      </c>
      <c r="G2109" s="41" t="s">
        <v>9386</v>
      </c>
      <c r="H2109" s="2043">
        <v>744217</v>
      </c>
      <c r="I2109" s="2043">
        <v>209078</v>
      </c>
      <c r="J2109">
        <v>0.178256399063523</v>
      </c>
      <c r="K2109" s="2043">
        <v>132661.44254185801</v>
      </c>
      <c r="L2109" s="2043">
        <v>132661.44254185801</v>
      </c>
      <c r="M2109">
        <v>599</v>
      </c>
      <c r="N2109">
        <v>1</v>
      </c>
    </row>
    <row r="2110" spans="1:14">
      <c r="A2110" t="s">
        <v>3169</v>
      </c>
      <c r="B2110" t="s">
        <v>2436</v>
      </c>
      <c r="C2110" t="s">
        <v>430</v>
      </c>
      <c r="D2110" s="41">
        <v>1</v>
      </c>
      <c r="E2110" s="41">
        <v>1845</v>
      </c>
      <c r="F2110" s="41" t="s">
        <v>4542</v>
      </c>
      <c r="G2110" s="41" t="s">
        <v>4542</v>
      </c>
      <c r="H2110" s="2043">
        <v>100000</v>
      </c>
      <c r="I2110" s="2043">
        <v>0</v>
      </c>
      <c r="J2110">
        <v>0</v>
      </c>
      <c r="K2110" s="2043">
        <v>0</v>
      </c>
      <c r="L2110" s="2043">
        <v>0</v>
      </c>
      <c r="M2110">
        <v>599</v>
      </c>
      <c r="N2110">
        <v>0</v>
      </c>
    </row>
    <row r="2111" spans="1:14">
      <c r="A2111" t="s">
        <v>3169</v>
      </c>
      <c r="B2111" t="s">
        <v>2436</v>
      </c>
      <c r="C2111" t="s">
        <v>430</v>
      </c>
      <c r="D2111" s="41">
        <v>1</v>
      </c>
      <c r="E2111" s="41">
        <v>1845</v>
      </c>
      <c r="F2111" s="41" t="s">
        <v>4542</v>
      </c>
      <c r="G2111" s="41" t="s">
        <v>4543</v>
      </c>
      <c r="H2111" s="2043">
        <v>100000</v>
      </c>
      <c r="I2111" s="2043">
        <v>0</v>
      </c>
      <c r="J2111">
        <v>0</v>
      </c>
      <c r="K2111" s="2043">
        <v>0</v>
      </c>
      <c r="L2111" s="2043">
        <v>0</v>
      </c>
      <c r="M2111">
        <v>599</v>
      </c>
      <c r="N2111">
        <v>1</v>
      </c>
    </row>
    <row r="2112" spans="1:14">
      <c r="A2112" t="s">
        <v>3169</v>
      </c>
      <c r="B2112" t="s">
        <v>2436</v>
      </c>
      <c r="C2112" t="s">
        <v>430</v>
      </c>
      <c r="D2112" s="41">
        <v>1</v>
      </c>
      <c r="E2112" s="41">
        <v>1845</v>
      </c>
      <c r="F2112" s="41" t="s">
        <v>4542</v>
      </c>
      <c r="G2112" s="41" t="s">
        <v>5644</v>
      </c>
      <c r="H2112" s="2043">
        <v>100000</v>
      </c>
      <c r="I2112" s="2043">
        <v>98336</v>
      </c>
      <c r="J2112">
        <v>1</v>
      </c>
      <c r="K2112" s="2043">
        <v>100000</v>
      </c>
      <c r="L2112" s="2043">
        <v>98336</v>
      </c>
      <c r="M2112">
        <v>599</v>
      </c>
      <c r="N2112">
        <v>1</v>
      </c>
    </row>
    <row r="2113" spans="1:14">
      <c r="A2113" t="s">
        <v>3170</v>
      </c>
      <c r="B2113" t="s">
        <v>666</v>
      </c>
      <c r="C2113" t="s">
        <v>949</v>
      </c>
      <c r="D2113" s="41">
        <v>5</v>
      </c>
      <c r="E2113" s="41">
        <v>2202</v>
      </c>
      <c r="F2113" s="41" t="s">
        <v>4544</v>
      </c>
      <c r="G2113" s="41" t="s">
        <v>4544</v>
      </c>
      <c r="H2113" s="2043">
        <v>107925</v>
      </c>
      <c r="I2113" s="2043">
        <v>0</v>
      </c>
      <c r="J2113">
        <v>0</v>
      </c>
      <c r="K2113" s="2043">
        <v>0</v>
      </c>
      <c r="L2113" s="2043">
        <v>0</v>
      </c>
      <c r="M2113">
        <v>599</v>
      </c>
      <c r="N2113">
        <v>0</v>
      </c>
    </row>
    <row r="2114" spans="1:14">
      <c r="A2114" t="s">
        <v>3170</v>
      </c>
      <c r="B2114" t="s">
        <v>666</v>
      </c>
      <c r="C2114" t="s">
        <v>949</v>
      </c>
      <c r="D2114" s="41">
        <v>5</v>
      </c>
      <c r="E2114" s="41">
        <v>2202</v>
      </c>
      <c r="F2114" s="41" t="s">
        <v>4544</v>
      </c>
      <c r="G2114" s="41" t="s">
        <v>4545</v>
      </c>
      <c r="H2114" s="2043">
        <v>107925</v>
      </c>
      <c r="I2114" s="2043">
        <v>0</v>
      </c>
      <c r="J2114">
        <v>0</v>
      </c>
      <c r="K2114" s="2043">
        <v>0</v>
      </c>
      <c r="L2114" s="2043">
        <v>0</v>
      </c>
      <c r="M2114">
        <v>599</v>
      </c>
      <c r="N2114">
        <v>1</v>
      </c>
    </row>
    <row r="2115" spans="1:14">
      <c r="A2115" t="s">
        <v>3170</v>
      </c>
      <c r="B2115" t="s">
        <v>666</v>
      </c>
      <c r="C2115" t="s">
        <v>949</v>
      </c>
      <c r="D2115" s="41">
        <v>5</v>
      </c>
      <c r="E2115" s="41">
        <v>2202</v>
      </c>
      <c r="F2115" s="41" t="s">
        <v>4544</v>
      </c>
      <c r="G2115" s="41" t="s">
        <v>9387</v>
      </c>
      <c r="H2115" s="2043">
        <v>107925</v>
      </c>
      <c r="I2115" s="2043">
        <v>189618</v>
      </c>
      <c r="J2115">
        <v>1</v>
      </c>
      <c r="K2115" s="2043">
        <v>107925</v>
      </c>
      <c r="L2115" s="2043">
        <v>107925</v>
      </c>
      <c r="M2115">
        <v>599</v>
      </c>
      <c r="N2115">
        <v>1</v>
      </c>
    </row>
    <row r="2116" spans="1:14">
      <c r="A2116" t="s">
        <v>3171</v>
      </c>
      <c r="B2116" t="s">
        <v>1421</v>
      </c>
      <c r="C2116" t="s">
        <v>1830</v>
      </c>
      <c r="D2116" s="41">
        <v>2</v>
      </c>
      <c r="E2116" s="41">
        <v>2378</v>
      </c>
      <c r="F2116" s="41" t="s">
        <v>4546</v>
      </c>
      <c r="G2116" s="41" t="s">
        <v>4546</v>
      </c>
      <c r="H2116" s="2043">
        <v>700070</v>
      </c>
      <c r="I2116" s="2043">
        <v>0</v>
      </c>
      <c r="J2116">
        <v>0</v>
      </c>
      <c r="K2116" s="2043">
        <v>0</v>
      </c>
      <c r="L2116" s="2043">
        <v>0</v>
      </c>
      <c r="M2116">
        <v>599</v>
      </c>
      <c r="N2116">
        <v>0</v>
      </c>
    </row>
    <row r="2117" spans="1:14">
      <c r="A2117" t="s">
        <v>3171</v>
      </c>
      <c r="B2117" t="s">
        <v>1421</v>
      </c>
      <c r="C2117" t="s">
        <v>1830</v>
      </c>
      <c r="D2117" s="41">
        <v>2</v>
      </c>
      <c r="E2117" s="41">
        <v>2378</v>
      </c>
      <c r="F2117" s="41" t="s">
        <v>4546</v>
      </c>
      <c r="G2117" s="41" t="s">
        <v>4547</v>
      </c>
      <c r="H2117" s="2043">
        <v>700070</v>
      </c>
      <c r="I2117" s="2043">
        <v>0</v>
      </c>
      <c r="J2117">
        <v>0</v>
      </c>
      <c r="K2117" s="2043">
        <v>0</v>
      </c>
      <c r="L2117" s="2043">
        <v>0</v>
      </c>
      <c r="M2117">
        <v>599</v>
      </c>
      <c r="N2117">
        <v>1</v>
      </c>
    </row>
    <row r="2118" spans="1:14">
      <c r="A2118" t="s">
        <v>3171</v>
      </c>
      <c r="B2118" t="s">
        <v>1421</v>
      </c>
      <c r="C2118" t="s">
        <v>1830</v>
      </c>
      <c r="D2118" s="41">
        <v>2</v>
      </c>
      <c r="E2118" s="41">
        <v>2378</v>
      </c>
      <c r="F2118" s="41" t="s">
        <v>4546</v>
      </c>
      <c r="G2118" s="41" t="s">
        <v>4548</v>
      </c>
      <c r="H2118" s="2043">
        <v>700070</v>
      </c>
      <c r="I2118" s="2043">
        <v>0</v>
      </c>
      <c r="J2118">
        <v>0</v>
      </c>
      <c r="K2118" s="2043">
        <v>0</v>
      </c>
      <c r="L2118" s="2043">
        <v>0</v>
      </c>
      <c r="M2118">
        <v>599</v>
      </c>
      <c r="N2118">
        <v>1</v>
      </c>
    </row>
    <row r="2119" spans="1:14">
      <c r="A2119" t="s">
        <v>3171</v>
      </c>
      <c r="B2119" t="s">
        <v>1421</v>
      </c>
      <c r="C2119" t="s">
        <v>1830</v>
      </c>
      <c r="D2119" s="41">
        <v>2</v>
      </c>
      <c r="E2119" s="41">
        <v>2378</v>
      </c>
      <c r="F2119" s="41" t="s">
        <v>4546</v>
      </c>
      <c r="G2119" s="41" t="s">
        <v>4549</v>
      </c>
      <c r="H2119" s="2043">
        <v>700070</v>
      </c>
      <c r="I2119" s="2043">
        <v>564906</v>
      </c>
      <c r="J2119">
        <v>0.39003498471015602</v>
      </c>
      <c r="K2119" s="2043">
        <v>273051.791746039</v>
      </c>
      <c r="L2119" s="2043">
        <v>273051.791746039</v>
      </c>
      <c r="M2119">
        <v>599</v>
      </c>
      <c r="N2119">
        <v>1</v>
      </c>
    </row>
    <row r="2120" spans="1:14">
      <c r="A2120" t="s">
        <v>3171</v>
      </c>
      <c r="B2120" t="s">
        <v>1421</v>
      </c>
      <c r="C2120" t="s">
        <v>1830</v>
      </c>
      <c r="D2120" s="41">
        <v>2</v>
      </c>
      <c r="E2120" s="41">
        <v>2378</v>
      </c>
      <c r="F2120" s="41" t="s">
        <v>4546</v>
      </c>
      <c r="G2120" s="41" t="s">
        <v>5456</v>
      </c>
      <c r="H2120" s="2043">
        <v>700070</v>
      </c>
      <c r="I2120" s="2043">
        <v>634880</v>
      </c>
      <c r="J2120">
        <v>0.43834799257360302</v>
      </c>
      <c r="K2120" s="2043">
        <v>306874.27916100202</v>
      </c>
      <c r="L2120" s="2043">
        <v>306874.27916100202</v>
      </c>
      <c r="M2120">
        <v>599</v>
      </c>
      <c r="N2120">
        <v>1</v>
      </c>
    </row>
    <row r="2121" spans="1:14">
      <c r="A2121" t="s">
        <v>3171</v>
      </c>
      <c r="B2121" t="s">
        <v>1421</v>
      </c>
      <c r="C2121" t="s">
        <v>1830</v>
      </c>
      <c r="D2121" s="41">
        <v>2</v>
      </c>
      <c r="E2121" s="41">
        <v>2378</v>
      </c>
      <c r="F2121" s="41" t="s">
        <v>4546</v>
      </c>
      <c r="G2121" s="41" t="s">
        <v>5457</v>
      </c>
      <c r="H2121" s="2043">
        <v>700070</v>
      </c>
      <c r="I2121" s="2043">
        <v>0</v>
      </c>
      <c r="J2121">
        <v>0</v>
      </c>
      <c r="K2121" s="2043">
        <v>0</v>
      </c>
      <c r="L2121" s="2043">
        <v>0</v>
      </c>
      <c r="M2121">
        <v>599</v>
      </c>
      <c r="N2121">
        <v>1</v>
      </c>
    </row>
    <row r="2122" spans="1:14">
      <c r="A2122" t="s">
        <v>3171</v>
      </c>
      <c r="B2122" t="s">
        <v>1421</v>
      </c>
      <c r="C2122" t="s">
        <v>1830</v>
      </c>
      <c r="D2122" s="41">
        <v>2</v>
      </c>
      <c r="E2122" s="41">
        <v>2378</v>
      </c>
      <c r="F2122" s="41" t="s">
        <v>4546</v>
      </c>
      <c r="G2122" s="41" t="s">
        <v>7274</v>
      </c>
      <c r="H2122" s="2043">
        <v>700070</v>
      </c>
      <c r="I2122" s="2043">
        <v>248561</v>
      </c>
      <c r="J2122">
        <v>0.17161702271624099</v>
      </c>
      <c r="K2122" s="2043">
        <v>120143.92909295901</v>
      </c>
      <c r="L2122" s="2043">
        <v>120143.92909295901</v>
      </c>
      <c r="M2122">
        <v>599</v>
      </c>
      <c r="N2122">
        <v>1</v>
      </c>
    </row>
    <row r="2123" spans="1:14">
      <c r="A2123" t="s">
        <v>3171</v>
      </c>
      <c r="B2123" t="s">
        <v>1421</v>
      </c>
      <c r="C2123" t="s">
        <v>1830</v>
      </c>
      <c r="D2123" s="41">
        <v>9</v>
      </c>
      <c r="E2123" s="41">
        <v>2379</v>
      </c>
      <c r="F2123" s="41" t="s">
        <v>4550</v>
      </c>
      <c r="G2123" s="41" t="s">
        <v>4550</v>
      </c>
      <c r="H2123" s="2043">
        <v>824218</v>
      </c>
      <c r="I2123" s="2043">
        <v>0</v>
      </c>
      <c r="J2123">
        <v>0</v>
      </c>
      <c r="K2123" s="2043">
        <v>0</v>
      </c>
      <c r="L2123" s="2043">
        <v>0</v>
      </c>
      <c r="M2123">
        <v>599</v>
      </c>
      <c r="N2123">
        <v>1</v>
      </c>
    </row>
    <row r="2124" spans="1:14">
      <c r="A2124" t="s">
        <v>3171</v>
      </c>
      <c r="B2124" t="s">
        <v>1421</v>
      </c>
      <c r="C2124" t="s">
        <v>1830</v>
      </c>
      <c r="D2124" s="41">
        <v>9</v>
      </c>
      <c r="E2124" s="41">
        <v>2379</v>
      </c>
      <c r="F2124" s="41" t="s">
        <v>4550</v>
      </c>
      <c r="G2124" s="41" t="s">
        <v>5457</v>
      </c>
      <c r="H2124" s="2043">
        <v>824218</v>
      </c>
      <c r="I2124" s="2043">
        <v>181415</v>
      </c>
      <c r="J2124">
        <v>0.168560884100281</v>
      </c>
      <c r="K2124" s="2043">
        <v>138930.914771365</v>
      </c>
      <c r="L2124" s="2043">
        <v>138930.914771365</v>
      </c>
      <c r="M2124">
        <v>599</v>
      </c>
      <c r="N2124">
        <v>1</v>
      </c>
    </row>
    <row r="2125" spans="1:14">
      <c r="A2125" t="s">
        <v>3171</v>
      </c>
      <c r="B2125" t="s">
        <v>1421</v>
      </c>
      <c r="C2125" t="s">
        <v>1830</v>
      </c>
      <c r="D2125" s="41">
        <v>9</v>
      </c>
      <c r="E2125" s="41">
        <v>2379</v>
      </c>
      <c r="F2125" s="41" t="s">
        <v>4550</v>
      </c>
      <c r="G2125" s="41" t="s">
        <v>5645</v>
      </c>
      <c r="H2125" s="2043">
        <v>824218</v>
      </c>
      <c r="I2125" s="2043">
        <v>894843</v>
      </c>
      <c r="J2125">
        <v>0.83143911589971897</v>
      </c>
      <c r="K2125" s="2043">
        <v>685287.085228635</v>
      </c>
      <c r="L2125" s="2043">
        <v>685287.085228635</v>
      </c>
      <c r="M2125">
        <v>599</v>
      </c>
      <c r="N2125">
        <v>1</v>
      </c>
    </row>
    <row r="2126" spans="1:14">
      <c r="A2126" t="s">
        <v>3172</v>
      </c>
      <c r="B2126" t="s">
        <v>1381</v>
      </c>
      <c r="C2126" t="s">
        <v>131</v>
      </c>
      <c r="D2126" s="41">
        <v>6</v>
      </c>
      <c r="E2126" s="41">
        <v>2439</v>
      </c>
      <c r="F2126" s="41" t="s">
        <v>4551</v>
      </c>
      <c r="G2126" s="41" t="s">
        <v>4551</v>
      </c>
      <c r="H2126" s="2043">
        <v>240000</v>
      </c>
      <c r="I2126" s="2043">
        <v>0</v>
      </c>
      <c r="J2126">
        <v>0</v>
      </c>
      <c r="K2126" s="2043">
        <v>0</v>
      </c>
      <c r="L2126" s="2043">
        <v>0</v>
      </c>
      <c r="M2126">
        <v>599</v>
      </c>
      <c r="N2126">
        <v>1</v>
      </c>
    </row>
    <row r="2127" spans="1:14">
      <c r="A2127" t="s">
        <v>3172</v>
      </c>
      <c r="B2127" t="s">
        <v>1381</v>
      </c>
      <c r="C2127" t="s">
        <v>131</v>
      </c>
      <c r="D2127" s="41">
        <v>6</v>
      </c>
      <c r="E2127" s="41">
        <v>2439</v>
      </c>
      <c r="F2127" s="41" t="s">
        <v>4551</v>
      </c>
      <c r="G2127" s="41" t="s">
        <v>4552</v>
      </c>
      <c r="H2127" s="2043">
        <v>240000</v>
      </c>
      <c r="I2127" s="2043">
        <v>0</v>
      </c>
      <c r="J2127">
        <v>0</v>
      </c>
      <c r="K2127" s="2043">
        <v>0</v>
      </c>
      <c r="L2127" s="2043">
        <v>0</v>
      </c>
      <c r="M2127">
        <v>599</v>
      </c>
      <c r="N2127">
        <v>1</v>
      </c>
    </row>
    <row r="2128" spans="1:14">
      <c r="A2128" t="s">
        <v>3172</v>
      </c>
      <c r="B2128" t="s">
        <v>1381</v>
      </c>
      <c r="C2128" t="s">
        <v>131</v>
      </c>
      <c r="D2128" s="41">
        <v>6</v>
      </c>
      <c r="E2128" s="41">
        <v>2439</v>
      </c>
      <c r="F2128" s="41" t="s">
        <v>4551</v>
      </c>
      <c r="G2128" s="41" t="s">
        <v>4553</v>
      </c>
      <c r="H2128" s="2043">
        <v>240000</v>
      </c>
      <c r="I2128" s="2043">
        <v>167996</v>
      </c>
      <c r="J2128">
        <v>0.101186317356758</v>
      </c>
      <c r="K2128" s="2043">
        <v>24284.7161656219</v>
      </c>
      <c r="L2128" s="2043">
        <v>24284.7161656219</v>
      </c>
      <c r="M2128">
        <v>599</v>
      </c>
      <c r="N2128">
        <v>1</v>
      </c>
    </row>
    <row r="2129" spans="1:14">
      <c r="A2129" t="s">
        <v>3172</v>
      </c>
      <c r="B2129" t="s">
        <v>1381</v>
      </c>
      <c r="C2129" t="s">
        <v>131</v>
      </c>
      <c r="D2129" s="41">
        <v>6</v>
      </c>
      <c r="E2129" s="41">
        <v>2439</v>
      </c>
      <c r="F2129" s="41" t="s">
        <v>4551</v>
      </c>
      <c r="G2129" s="41" t="s">
        <v>4554</v>
      </c>
      <c r="H2129" s="2043">
        <v>240000</v>
      </c>
      <c r="I2129" s="2043">
        <v>0</v>
      </c>
      <c r="J2129">
        <v>0</v>
      </c>
      <c r="K2129" s="2043">
        <v>0</v>
      </c>
      <c r="L2129" s="2043">
        <v>0</v>
      </c>
      <c r="M2129">
        <v>599</v>
      </c>
      <c r="N2129">
        <v>1</v>
      </c>
    </row>
    <row r="2130" spans="1:14">
      <c r="A2130" t="s">
        <v>3172</v>
      </c>
      <c r="B2130" t="s">
        <v>1381</v>
      </c>
      <c r="C2130" t="s">
        <v>131</v>
      </c>
      <c r="D2130" s="41">
        <v>6</v>
      </c>
      <c r="E2130" s="41">
        <v>2439</v>
      </c>
      <c r="F2130" s="41" t="s">
        <v>4551</v>
      </c>
      <c r="G2130" s="41" t="s">
        <v>4555</v>
      </c>
      <c r="H2130" s="2043">
        <v>240000</v>
      </c>
      <c r="I2130" s="2043">
        <v>0</v>
      </c>
      <c r="J2130">
        <v>0</v>
      </c>
      <c r="K2130" s="2043">
        <v>0</v>
      </c>
      <c r="L2130" s="2043">
        <v>0</v>
      </c>
      <c r="M2130">
        <v>599</v>
      </c>
      <c r="N2130">
        <v>1</v>
      </c>
    </row>
    <row r="2131" spans="1:14">
      <c r="A2131" t="s">
        <v>3172</v>
      </c>
      <c r="B2131" t="s">
        <v>1381</v>
      </c>
      <c r="C2131" t="s">
        <v>131</v>
      </c>
      <c r="D2131" s="41">
        <v>6</v>
      </c>
      <c r="E2131" s="41">
        <v>2439</v>
      </c>
      <c r="F2131" s="41" t="s">
        <v>4551</v>
      </c>
      <c r="G2131" s="41" t="s">
        <v>4556</v>
      </c>
      <c r="H2131" s="2043">
        <v>240000</v>
      </c>
      <c r="I2131" s="2043">
        <v>61995</v>
      </c>
      <c r="J2131">
        <v>3.7340447061431199E-2</v>
      </c>
      <c r="K2131" s="2043">
        <v>8961.7072947434899</v>
      </c>
      <c r="L2131" s="2043">
        <v>8961.7072947434899</v>
      </c>
      <c r="M2131">
        <v>599</v>
      </c>
      <c r="N2131">
        <v>1</v>
      </c>
    </row>
    <row r="2132" spans="1:14">
      <c r="A2132" t="s">
        <v>3172</v>
      </c>
      <c r="B2132" t="s">
        <v>1381</v>
      </c>
      <c r="C2132" t="s">
        <v>131</v>
      </c>
      <c r="D2132" s="41">
        <v>6</v>
      </c>
      <c r="E2132" s="41">
        <v>2439</v>
      </c>
      <c r="F2132" s="41" t="s">
        <v>4551</v>
      </c>
      <c r="G2132" s="41" t="s">
        <v>5646</v>
      </c>
      <c r="H2132" s="2043">
        <v>240000</v>
      </c>
      <c r="I2132" s="2043">
        <v>690183</v>
      </c>
      <c r="J2132">
        <v>0.415706779162832</v>
      </c>
      <c r="K2132" s="2043">
        <v>99769.626999079701</v>
      </c>
      <c r="L2132" s="2043">
        <v>99769.626999079701</v>
      </c>
      <c r="M2132">
        <v>599</v>
      </c>
      <c r="N2132">
        <v>1</v>
      </c>
    </row>
    <row r="2133" spans="1:14">
      <c r="A2133" t="s">
        <v>3172</v>
      </c>
      <c r="B2133" t="s">
        <v>1381</v>
      </c>
      <c r="C2133" t="s">
        <v>131</v>
      </c>
      <c r="D2133" s="41">
        <v>6</v>
      </c>
      <c r="E2133" s="41">
        <v>2439</v>
      </c>
      <c r="F2133" s="41" t="s">
        <v>4551</v>
      </c>
      <c r="G2133" s="41" t="s">
        <v>8651</v>
      </c>
      <c r="H2133" s="2043">
        <v>240000</v>
      </c>
      <c r="I2133" s="2043">
        <v>740090</v>
      </c>
      <c r="J2133">
        <v>0.445766456418979</v>
      </c>
      <c r="K2133" s="2043">
        <v>106983.949540555</v>
      </c>
      <c r="L2133" s="2043">
        <v>106983.949540555</v>
      </c>
      <c r="M2133">
        <v>599</v>
      </c>
      <c r="N2133">
        <v>1</v>
      </c>
    </row>
    <row r="2134" spans="1:14">
      <c r="A2134" t="s">
        <v>3173</v>
      </c>
      <c r="B2134" t="s">
        <v>2395</v>
      </c>
      <c r="C2134" t="s">
        <v>2116</v>
      </c>
      <c r="D2134" s="41">
        <v>3</v>
      </c>
      <c r="E2134" s="41">
        <v>2108</v>
      </c>
      <c r="F2134" s="41" t="s">
        <v>4557</v>
      </c>
      <c r="G2134" s="41" t="s">
        <v>4557</v>
      </c>
      <c r="H2134" s="2043">
        <v>166883</v>
      </c>
      <c r="I2134" s="2043">
        <v>0</v>
      </c>
      <c r="J2134">
        <v>0</v>
      </c>
      <c r="K2134" s="2043">
        <v>0</v>
      </c>
      <c r="L2134" s="2043">
        <v>0</v>
      </c>
      <c r="M2134">
        <v>599</v>
      </c>
      <c r="N2134">
        <v>0</v>
      </c>
    </row>
    <row r="2135" spans="1:14">
      <c r="A2135" t="s">
        <v>3173</v>
      </c>
      <c r="B2135" t="s">
        <v>2395</v>
      </c>
      <c r="C2135" t="s">
        <v>2116</v>
      </c>
      <c r="D2135" s="41">
        <v>3</v>
      </c>
      <c r="E2135" s="41">
        <v>2108</v>
      </c>
      <c r="F2135" s="41" t="s">
        <v>4557</v>
      </c>
      <c r="G2135" s="41" t="s">
        <v>4558</v>
      </c>
      <c r="H2135" s="2043">
        <v>166883</v>
      </c>
      <c r="I2135" s="2043">
        <v>0</v>
      </c>
      <c r="J2135">
        <v>0</v>
      </c>
      <c r="K2135" s="2043">
        <v>0</v>
      </c>
      <c r="L2135" s="2043">
        <v>0</v>
      </c>
      <c r="M2135">
        <v>599</v>
      </c>
      <c r="N2135">
        <v>0</v>
      </c>
    </row>
    <row r="2136" spans="1:14">
      <c r="A2136" t="s">
        <v>3173</v>
      </c>
      <c r="B2136" t="s">
        <v>2395</v>
      </c>
      <c r="C2136" t="s">
        <v>2116</v>
      </c>
      <c r="D2136" s="41">
        <v>3</v>
      </c>
      <c r="E2136" s="41">
        <v>2108</v>
      </c>
      <c r="F2136" s="41" t="s">
        <v>4557</v>
      </c>
      <c r="G2136" s="41" t="s">
        <v>5460</v>
      </c>
      <c r="H2136" s="2043">
        <v>166883</v>
      </c>
      <c r="I2136" s="2043">
        <v>494050</v>
      </c>
      <c r="J2136">
        <v>1</v>
      </c>
      <c r="K2136" s="2043">
        <v>166883</v>
      </c>
      <c r="L2136" s="2043">
        <v>166883</v>
      </c>
      <c r="M2136">
        <v>599</v>
      </c>
      <c r="N2136">
        <v>1</v>
      </c>
    </row>
    <row r="2137" spans="1:14">
      <c r="A2137" t="s">
        <v>3173</v>
      </c>
      <c r="B2137" t="s">
        <v>2395</v>
      </c>
      <c r="C2137" t="s">
        <v>2116</v>
      </c>
      <c r="D2137" s="41">
        <v>9</v>
      </c>
      <c r="E2137" s="41">
        <v>2109</v>
      </c>
      <c r="F2137" s="41" t="s">
        <v>4559</v>
      </c>
      <c r="G2137" s="41" t="s">
        <v>4559</v>
      </c>
      <c r="H2137" s="2043">
        <v>193685</v>
      </c>
      <c r="I2137" s="2043">
        <v>0</v>
      </c>
      <c r="J2137">
        <v>0</v>
      </c>
      <c r="K2137" s="2043">
        <v>0</v>
      </c>
      <c r="L2137" s="2043">
        <v>0</v>
      </c>
      <c r="M2137">
        <v>599</v>
      </c>
      <c r="N2137">
        <v>1</v>
      </c>
    </row>
    <row r="2138" spans="1:14">
      <c r="A2138" t="s">
        <v>3173</v>
      </c>
      <c r="B2138" t="s">
        <v>2395</v>
      </c>
      <c r="C2138" t="s">
        <v>2116</v>
      </c>
      <c r="D2138" s="41">
        <v>9</v>
      </c>
      <c r="E2138" s="41">
        <v>2109</v>
      </c>
      <c r="F2138" s="41" t="s">
        <v>4559</v>
      </c>
      <c r="G2138" s="41" t="s">
        <v>5459</v>
      </c>
      <c r="H2138" s="2043">
        <v>193685</v>
      </c>
      <c r="I2138" s="2043">
        <v>288600</v>
      </c>
      <c r="J2138">
        <v>0.43575418994413401</v>
      </c>
      <c r="K2138" s="2043">
        <v>84399.050279329604</v>
      </c>
      <c r="L2138" s="2043">
        <v>84399.050279329604</v>
      </c>
      <c r="M2138">
        <v>599</v>
      </c>
      <c r="N2138">
        <v>1</v>
      </c>
    </row>
    <row r="2139" spans="1:14">
      <c r="A2139" t="s">
        <v>3173</v>
      </c>
      <c r="B2139" t="s">
        <v>2395</v>
      </c>
      <c r="C2139" t="s">
        <v>2116</v>
      </c>
      <c r="D2139" s="41">
        <v>9</v>
      </c>
      <c r="E2139" s="41">
        <v>2109</v>
      </c>
      <c r="F2139" s="41" t="s">
        <v>4559</v>
      </c>
      <c r="G2139" s="41" t="s">
        <v>5458</v>
      </c>
      <c r="H2139" s="2043">
        <v>193685</v>
      </c>
      <c r="I2139" s="2043">
        <v>373700</v>
      </c>
      <c r="J2139">
        <v>0.56424581005586605</v>
      </c>
      <c r="K2139" s="2043">
        <v>109285.94972067</v>
      </c>
      <c r="L2139" s="2043">
        <v>109285.94972067</v>
      </c>
      <c r="M2139">
        <v>599</v>
      </c>
      <c r="N2139">
        <v>1</v>
      </c>
    </row>
    <row r="2140" spans="1:14">
      <c r="A2140" t="s">
        <v>3174</v>
      </c>
      <c r="B2140" t="s">
        <v>194</v>
      </c>
      <c r="C2140" t="s">
        <v>2449</v>
      </c>
      <c r="D2140" s="41">
        <v>6</v>
      </c>
      <c r="E2140" s="41">
        <v>2184</v>
      </c>
      <c r="F2140" s="41" t="s">
        <v>4560</v>
      </c>
      <c r="G2140" s="41" t="s">
        <v>4560</v>
      </c>
      <c r="H2140" s="2043">
        <v>242636</v>
      </c>
      <c r="I2140" s="2043">
        <v>0</v>
      </c>
      <c r="J2140">
        <v>0</v>
      </c>
      <c r="K2140" s="2043">
        <v>0</v>
      </c>
      <c r="L2140" s="2043">
        <v>0</v>
      </c>
      <c r="M2140">
        <v>599</v>
      </c>
      <c r="N2140">
        <v>0</v>
      </c>
    </row>
    <row r="2141" spans="1:14">
      <c r="A2141" t="s">
        <v>3174</v>
      </c>
      <c r="B2141" t="s">
        <v>194</v>
      </c>
      <c r="C2141" t="s">
        <v>2449</v>
      </c>
      <c r="D2141" s="41">
        <v>6</v>
      </c>
      <c r="E2141" s="41">
        <v>2184</v>
      </c>
      <c r="F2141" s="41" t="s">
        <v>4560</v>
      </c>
      <c r="G2141" s="41" t="s">
        <v>4561</v>
      </c>
      <c r="H2141" s="2043">
        <v>242636</v>
      </c>
      <c r="I2141" s="2043">
        <v>0</v>
      </c>
      <c r="J2141">
        <v>0</v>
      </c>
      <c r="K2141" s="2043">
        <v>0</v>
      </c>
      <c r="L2141" s="2043">
        <v>0</v>
      </c>
      <c r="M2141">
        <v>599</v>
      </c>
      <c r="N2141">
        <v>1</v>
      </c>
    </row>
    <row r="2142" spans="1:14">
      <c r="A2142" t="s">
        <v>3174</v>
      </c>
      <c r="B2142" t="s">
        <v>194</v>
      </c>
      <c r="C2142" t="s">
        <v>2449</v>
      </c>
      <c r="D2142" s="41">
        <v>6</v>
      </c>
      <c r="E2142" s="41">
        <v>2184</v>
      </c>
      <c r="F2142" s="41" t="s">
        <v>4560</v>
      </c>
      <c r="G2142" s="41" t="s">
        <v>8579</v>
      </c>
      <c r="H2142" s="2043">
        <v>242636</v>
      </c>
      <c r="I2142" s="2043">
        <v>422259</v>
      </c>
      <c r="J2142">
        <v>1</v>
      </c>
      <c r="K2142" s="2043">
        <v>242636</v>
      </c>
      <c r="L2142" s="2043">
        <v>242636</v>
      </c>
      <c r="M2142">
        <v>599</v>
      </c>
      <c r="N2142">
        <v>1</v>
      </c>
    </row>
    <row r="2143" spans="1:14">
      <c r="A2143" t="s">
        <v>3174</v>
      </c>
      <c r="B2143" t="s">
        <v>194</v>
      </c>
      <c r="C2143" t="s">
        <v>2449</v>
      </c>
      <c r="D2143" s="41">
        <v>9</v>
      </c>
      <c r="E2143" s="41">
        <v>2183</v>
      </c>
      <c r="F2143" s="41" t="s">
        <v>4562</v>
      </c>
      <c r="G2143" s="41" t="s">
        <v>4562</v>
      </c>
      <c r="H2143" s="2043">
        <v>201241</v>
      </c>
      <c r="I2143" s="2043">
        <v>0</v>
      </c>
      <c r="J2143">
        <v>0</v>
      </c>
      <c r="K2143" s="2043">
        <v>0</v>
      </c>
      <c r="L2143" s="2043">
        <v>0</v>
      </c>
      <c r="M2143">
        <v>599</v>
      </c>
      <c r="N2143">
        <v>1</v>
      </c>
    </row>
    <row r="2144" spans="1:14">
      <c r="A2144" t="s">
        <v>3174</v>
      </c>
      <c r="B2144" t="s">
        <v>194</v>
      </c>
      <c r="C2144" t="s">
        <v>2449</v>
      </c>
      <c r="D2144" s="41">
        <v>9</v>
      </c>
      <c r="E2144" s="41">
        <v>2183</v>
      </c>
      <c r="F2144" s="41" t="s">
        <v>4562</v>
      </c>
      <c r="G2144" s="41" t="s">
        <v>5461</v>
      </c>
      <c r="H2144" s="2043">
        <v>201241</v>
      </c>
      <c r="I2144" s="2043">
        <v>287750</v>
      </c>
      <c r="J2144">
        <v>1</v>
      </c>
      <c r="K2144" s="2043">
        <v>201241</v>
      </c>
      <c r="L2144" s="2043">
        <v>201241</v>
      </c>
      <c r="M2144">
        <v>599</v>
      </c>
      <c r="N2144">
        <v>1</v>
      </c>
    </row>
    <row r="2145" spans="1:14">
      <c r="A2145" t="s">
        <v>3174</v>
      </c>
      <c r="B2145" t="s">
        <v>194</v>
      </c>
      <c r="C2145" t="s">
        <v>2449</v>
      </c>
      <c r="D2145" s="41">
        <v>11</v>
      </c>
      <c r="E2145" s="41">
        <v>2528</v>
      </c>
      <c r="F2145" s="41" t="s">
        <v>8580</v>
      </c>
      <c r="G2145" s="41" t="s">
        <v>8580</v>
      </c>
      <c r="H2145" s="2043">
        <v>191681</v>
      </c>
      <c r="I2145" s="2043">
        <v>0</v>
      </c>
      <c r="J2145">
        <v>0</v>
      </c>
      <c r="L2145" s="2043">
        <v>0</v>
      </c>
      <c r="M2145">
        <v>599</v>
      </c>
      <c r="N2145">
        <v>1</v>
      </c>
    </row>
    <row r="2146" spans="1:14">
      <c r="A2146" t="s">
        <v>3174</v>
      </c>
      <c r="B2146" t="s">
        <v>194</v>
      </c>
      <c r="C2146" t="s">
        <v>2449</v>
      </c>
      <c r="D2146" s="41">
        <v>11</v>
      </c>
      <c r="E2146" s="41">
        <v>2600</v>
      </c>
      <c r="F2146" s="41" t="s">
        <v>7275</v>
      </c>
      <c r="G2146" s="41" t="s">
        <v>7275</v>
      </c>
      <c r="H2146" s="2043">
        <v>188521</v>
      </c>
      <c r="I2146" s="2043">
        <v>206235</v>
      </c>
      <c r="J2146">
        <v>0.56481539805607195</v>
      </c>
      <c r="K2146" s="2043">
        <v>106479.56365692901</v>
      </c>
      <c r="L2146" s="2043">
        <v>106479.56365692901</v>
      </c>
      <c r="M2146">
        <v>599</v>
      </c>
      <c r="N2146">
        <v>1</v>
      </c>
    </row>
    <row r="2147" spans="1:14">
      <c r="A2147" t="s">
        <v>3174</v>
      </c>
      <c r="B2147" t="s">
        <v>194</v>
      </c>
      <c r="C2147" t="s">
        <v>2449</v>
      </c>
      <c r="D2147" s="41">
        <v>11</v>
      </c>
      <c r="E2147" s="41">
        <v>2600</v>
      </c>
      <c r="F2147" s="41" t="s">
        <v>7275</v>
      </c>
      <c r="G2147" s="41" t="s">
        <v>9388</v>
      </c>
      <c r="H2147" s="2043">
        <v>188521</v>
      </c>
      <c r="I2147" s="2043">
        <v>158902</v>
      </c>
      <c r="J2147">
        <v>0.435184601943928</v>
      </c>
      <c r="K2147" s="2043">
        <v>82041.436343071196</v>
      </c>
      <c r="L2147" s="2043">
        <v>82041.436343071196</v>
      </c>
      <c r="M2147">
        <v>599</v>
      </c>
      <c r="N2147">
        <v>1</v>
      </c>
    </row>
    <row r="2148" spans="1:14">
      <c r="A2148" t="s">
        <v>3175</v>
      </c>
      <c r="B2148" t="s">
        <v>1773</v>
      </c>
      <c r="C2148" t="s">
        <v>1752</v>
      </c>
      <c r="D2148" s="41">
        <v>5</v>
      </c>
      <c r="E2148" s="41">
        <v>1634</v>
      </c>
      <c r="F2148" s="41" t="s">
        <v>4563</v>
      </c>
      <c r="G2148" s="41" t="s">
        <v>4563</v>
      </c>
      <c r="H2148" s="2043">
        <v>167169</v>
      </c>
      <c r="I2148" s="2043">
        <v>0</v>
      </c>
      <c r="J2148">
        <v>0</v>
      </c>
      <c r="K2148" s="2043">
        <v>0</v>
      </c>
      <c r="L2148" s="2043">
        <v>0</v>
      </c>
      <c r="M2148">
        <v>599</v>
      </c>
      <c r="N2148">
        <v>1</v>
      </c>
    </row>
    <row r="2149" spans="1:14">
      <c r="A2149" t="s">
        <v>3175</v>
      </c>
      <c r="B2149" t="s">
        <v>1773</v>
      </c>
      <c r="C2149" t="s">
        <v>1752</v>
      </c>
      <c r="D2149" s="41">
        <v>5</v>
      </c>
      <c r="E2149" s="41">
        <v>1634</v>
      </c>
      <c r="F2149" s="41" t="s">
        <v>4563</v>
      </c>
      <c r="G2149" s="41" t="s">
        <v>4564</v>
      </c>
      <c r="H2149" s="2043">
        <v>167169</v>
      </c>
      <c r="I2149" s="2043">
        <v>0</v>
      </c>
      <c r="J2149">
        <v>0</v>
      </c>
      <c r="K2149" s="2043">
        <v>0</v>
      </c>
      <c r="L2149" s="2043">
        <v>0</v>
      </c>
      <c r="M2149">
        <v>599</v>
      </c>
      <c r="N2149">
        <v>1</v>
      </c>
    </row>
    <row r="2150" spans="1:14">
      <c r="A2150" t="s">
        <v>3175</v>
      </c>
      <c r="B2150" t="s">
        <v>1773</v>
      </c>
      <c r="C2150" t="s">
        <v>1752</v>
      </c>
      <c r="D2150" s="41">
        <v>5</v>
      </c>
      <c r="E2150" s="41">
        <v>1634</v>
      </c>
      <c r="F2150" s="41" t="s">
        <v>4563</v>
      </c>
      <c r="G2150" s="41" t="s">
        <v>5647</v>
      </c>
      <c r="H2150" s="2043">
        <v>167169</v>
      </c>
      <c r="I2150" s="2043">
        <v>32500</v>
      </c>
      <c r="J2150">
        <v>0.57358677044174999</v>
      </c>
      <c r="K2150" s="2043">
        <v>95885.926827976902</v>
      </c>
      <c r="L2150" s="2043">
        <v>32500</v>
      </c>
      <c r="M2150">
        <v>599</v>
      </c>
      <c r="N2150">
        <v>1</v>
      </c>
    </row>
    <row r="2151" spans="1:14">
      <c r="A2151" t="s">
        <v>3175</v>
      </c>
      <c r="B2151" t="s">
        <v>1773</v>
      </c>
      <c r="C2151" t="s">
        <v>1752</v>
      </c>
      <c r="D2151" s="41">
        <v>5</v>
      </c>
      <c r="E2151" s="41">
        <v>1634</v>
      </c>
      <c r="F2151" s="41" t="s">
        <v>4563</v>
      </c>
      <c r="G2151" s="41" t="s">
        <v>9389</v>
      </c>
      <c r="H2151" s="2043">
        <v>167169</v>
      </c>
      <c r="I2151" s="2043">
        <v>24161</v>
      </c>
      <c r="J2151">
        <v>0.42641322955825001</v>
      </c>
      <c r="K2151" s="2043">
        <v>71283.073172023098</v>
      </c>
      <c r="L2151" s="2043">
        <v>24161</v>
      </c>
      <c r="M2151">
        <v>599</v>
      </c>
      <c r="N2151">
        <v>1</v>
      </c>
    </row>
    <row r="2152" spans="1:14">
      <c r="A2152" t="s">
        <v>5865</v>
      </c>
      <c r="B2152" t="s">
        <v>651</v>
      </c>
      <c r="C2152" t="s">
        <v>422</v>
      </c>
      <c r="D2152" s="41">
        <v>11</v>
      </c>
      <c r="E2152" s="41">
        <v>2524</v>
      </c>
      <c r="F2152" s="41" t="s">
        <v>7276</v>
      </c>
      <c r="G2152" s="41" t="s">
        <v>7276</v>
      </c>
      <c r="H2152" s="2043">
        <v>40895</v>
      </c>
      <c r="I2152" s="2043">
        <v>48588</v>
      </c>
      <c r="J2152">
        <v>1</v>
      </c>
      <c r="K2152" s="2043">
        <v>40895</v>
      </c>
      <c r="L2152" s="2043">
        <v>40895</v>
      </c>
      <c r="M2152">
        <v>599</v>
      </c>
      <c r="N2152">
        <v>0</v>
      </c>
    </row>
    <row r="2153" spans="1:14">
      <c r="A2153" t="s">
        <v>3176</v>
      </c>
      <c r="B2153" t="s">
        <v>1676</v>
      </c>
      <c r="C2153" t="s">
        <v>2103</v>
      </c>
      <c r="D2153" s="41">
        <v>1</v>
      </c>
      <c r="E2153" s="41">
        <v>2028</v>
      </c>
      <c r="F2153" s="41" t="s">
        <v>4565</v>
      </c>
      <c r="G2153" s="41" t="s">
        <v>4565</v>
      </c>
      <c r="H2153" s="2043">
        <v>925000</v>
      </c>
      <c r="I2153" s="2043">
        <v>0</v>
      </c>
      <c r="J2153">
        <v>0</v>
      </c>
      <c r="K2153" s="2043">
        <v>0</v>
      </c>
      <c r="L2153" s="2043">
        <v>0</v>
      </c>
      <c r="M2153">
        <v>599</v>
      </c>
      <c r="N2153">
        <v>0</v>
      </c>
    </row>
    <row r="2154" spans="1:14">
      <c r="A2154" t="s">
        <v>3176</v>
      </c>
      <c r="B2154" t="s">
        <v>1676</v>
      </c>
      <c r="C2154" t="s">
        <v>2103</v>
      </c>
      <c r="D2154" s="41">
        <v>1</v>
      </c>
      <c r="E2154" s="41">
        <v>2028</v>
      </c>
      <c r="F2154" s="41" t="s">
        <v>4565</v>
      </c>
      <c r="G2154" s="41" t="s">
        <v>4566</v>
      </c>
      <c r="H2154" s="2043">
        <v>925000</v>
      </c>
      <c r="I2154" s="2043">
        <v>0</v>
      </c>
      <c r="J2154">
        <v>0</v>
      </c>
      <c r="K2154" s="2043">
        <v>0</v>
      </c>
      <c r="L2154" s="2043">
        <v>0</v>
      </c>
      <c r="M2154">
        <v>599</v>
      </c>
      <c r="N2154">
        <v>1</v>
      </c>
    </row>
    <row r="2155" spans="1:14">
      <c r="A2155" t="s">
        <v>3176</v>
      </c>
      <c r="B2155" t="s">
        <v>1676</v>
      </c>
      <c r="C2155" t="s">
        <v>2103</v>
      </c>
      <c r="D2155" s="41">
        <v>1</v>
      </c>
      <c r="E2155" s="41">
        <v>2028</v>
      </c>
      <c r="F2155" s="41" t="s">
        <v>4565</v>
      </c>
      <c r="G2155" s="41" t="s">
        <v>5462</v>
      </c>
      <c r="H2155" s="2043">
        <v>925000</v>
      </c>
      <c r="I2155" s="2043">
        <v>869800</v>
      </c>
      <c r="J2155">
        <v>1</v>
      </c>
      <c r="K2155" s="2043">
        <v>925000</v>
      </c>
      <c r="L2155" s="2043">
        <v>869800</v>
      </c>
      <c r="M2155">
        <v>599</v>
      </c>
      <c r="N2155">
        <v>1</v>
      </c>
    </row>
    <row r="2156" spans="1:14">
      <c r="A2156" t="s">
        <v>3176</v>
      </c>
      <c r="B2156" t="s">
        <v>1676</v>
      </c>
      <c r="C2156" t="s">
        <v>2103</v>
      </c>
      <c r="D2156" s="41">
        <v>9</v>
      </c>
      <c r="E2156" s="41">
        <v>2029</v>
      </c>
      <c r="F2156" s="41" t="s">
        <v>4567</v>
      </c>
      <c r="G2156" s="41" t="s">
        <v>4567</v>
      </c>
      <c r="H2156" s="2043">
        <v>954000</v>
      </c>
      <c r="I2156" s="2043">
        <v>0</v>
      </c>
      <c r="J2156">
        <v>0</v>
      </c>
      <c r="K2156" s="2043">
        <v>0</v>
      </c>
      <c r="L2156" s="2043">
        <v>0</v>
      </c>
      <c r="M2156">
        <v>599</v>
      </c>
      <c r="N2156">
        <v>1</v>
      </c>
    </row>
    <row r="2157" spans="1:14">
      <c r="A2157" t="s">
        <v>3176</v>
      </c>
      <c r="B2157" t="s">
        <v>1676</v>
      </c>
      <c r="C2157" t="s">
        <v>2103</v>
      </c>
      <c r="D2157" s="41">
        <v>9</v>
      </c>
      <c r="E2157" s="41">
        <v>2029</v>
      </c>
      <c r="F2157" s="41" t="s">
        <v>4567</v>
      </c>
      <c r="G2157" s="41" t="s">
        <v>5648</v>
      </c>
      <c r="H2157" s="2043">
        <v>954000</v>
      </c>
      <c r="I2157" s="2043">
        <v>550963</v>
      </c>
      <c r="J2157">
        <v>0.192518124474995</v>
      </c>
      <c r="K2157" s="2043">
        <v>183662.290749145</v>
      </c>
      <c r="L2157" s="2043">
        <v>183662.290749145</v>
      </c>
      <c r="M2157">
        <v>599</v>
      </c>
      <c r="N2157">
        <v>1</v>
      </c>
    </row>
    <row r="2158" spans="1:14">
      <c r="A2158" t="s">
        <v>3176</v>
      </c>
      <c r="B2158" t="s">
        <v>1676</v>
      </c>
      <c r="C2158" t="s">
        <v>2103</v>
      </c>
      <c r="D2158" s="41">
        <v>9</v>
      </c>
      <c r="E2158" s="41">
        <v>2029</v>
      </c>
      <c r="F2158" s="41" t="s">
        <v>4567</v>
      </c>
      <c r="G2158" s="41" t="s">
        <v>7277</v>
      </c>
      <c r="H2158" s="2043">
        <v>954000</v>
      </c>
      <c r="I2158" s="2043">
        <v>2310913</v>
      </c>
      <c r="J2158">
        <v>0.80748187552500506</v>
      </c>
      <c r="K2158" s="2043">
        <v>770337.70925085503</v>
      </c>
      <c r="L2158" s="2043">
        <v>770337.70925085503</v>
      </c>
      <c r="M2158">
        <v>599</v>
      </c>
      <c r="N2158">
        <v>1</v>
      </c>
    </row>
    <row r="2159" spans="1:14">
      <c r="A2159" t="s">
        <v>3177</v>
      </c>
      <c r="B2159" t="s">
        <v>1547</v>
      </c>
      <c r="C2159" t="s">
        <v>998</v>
      </c>
      <c r="D2159" s="41">
        <v>1</v>
      </c>
      <c r="E2159" s="41">
        <v>1571</v>
      </c>
      <c r="F2159" s="41" t="s">
        <v>4568</v>
      </c>
      <c r="G2159" s="41" t="s">
        <v>4568</v>
      </c>
      <c r="H2159" s="2043">
        <v>2142810</v>
      </c>
      <c r="I2159" s="2043">
        <v>0</v>
      </c>
      <c r="J2159">
        <v>0</v>
      </c>
      <c r="L2159" s="2043">
        <v>0</v>
      </c>
      <c r="M2159">
        <v>599</v>
      </c>
      <c r="N2159">
        <v>0</v>
      </c>
    </row>
    <row r="2160" spans="1:14">
      <c r="A2160" t="s">
        <v>3177</v>
      </c>
      <c r="B2160" t="s">
        <v>1547</v>
      </c>
      <c r="C2160" t="s">
        <v>998</v>
      </c>
      <c r="D2160" s="41">
        <v>11</v>
      </c>
      <c r="E2160" s="41">
        <v>2579</v>
      </c>
      <c r="F2160" s="41" t="s">
        <v>7278</v>
      </c>
      <c r="G2160" s="41" t="s">
        <v>7278</v>
      </c>
      <c r="H2160" s="2043">
        <v>2787250</v>
      </c>
      <c r="I2160" s="2043">
        <v>2577628</v>
      </c>
      <c r="J2160">
        <v>0.49399559249409303</v>
      </c>
      <c r="K2160" s="2043">
        <v>1376889.21517916</v>
      </c>
      <c r="L2160" s="2043">
        <v>1376889.21517916</v>
      </c>
      <c r="M2160">
        <v>599</v>
      </c>
      <c r="N2160">
        <v>1</v>
      </c>
    </row>
    <row r="2161" spans="1:14">
      <c r="A2161" t="s">
        <v>3177</v>
      </c>
      <c r="B2161" t="s">
        <v>1547</v>
      </c>
      <c r="C2161" t="s">
        <v>998</v>
      </c>
      <c r="D2161" s="41">
        <v>11</v>
      </c>
      <c r="E2161" s="41">
        <v>2579</v>
      </c>
      <c r="F2161" s="41" t="s">
        <v>7278</v>
      </c>
      <c r="G2161" s="41" t="s">
        <v>9390</v>
      </c>
      <c r="H2161" s="2043">
        <v>2787250</v>
      </c>
      <c r="I2161" s="2043">
        <v>2640289</v>
      </c>
      <c r="J2161">
        <v>0.50600440750590703</v>
      </c>
      <c r="K2161" s="2043">
        <v>1410360.78482084</v>
      </c>
      <c r="L2161" s="2043">
        <v>1410360.78482084</v>
      </c>
      <c r="M2161">
        <v>599</v>
      </c>
      <c r="N2161">
        <v>1</v>
      </c>
    </row>
    <row r="2162" spans="1:14">
      <c r="A2162" t="s">
        <v>3177</v>
      </c>
      <c r="B2162" t="s">
        <v>1547</v>
      </c>
      <c r="C2162" t="s">
        <v>998</v>
      </c>
      <c r="D2162" s="41">
        <v>11</v>
      </c>
      <c r="E2162" s="41">
        <v>2580</v>
      </c>
      <c r="F2162" s="41" t="s">
        <v>7279</v>
      </c>
      <c r="G2162" s="41" t="s">
        <v>7279</v>
      </c>
      <c r="H2162" s="2043">
        <v>1025288</v>
      </c>
      <c r="I2162" s="2043">
        <v>976431</v>
      </c>
      <c r="J2162">
        <v>1</v>
      </c>
      <c r="K2162" s="2043">
        <v>1025288</v>
      </c>
      <c r="L2162" s="2043">
        <v>976431</v>
      </c>
      <c r="M2162">
        <v>599</v>
      </c>
      <c r="N2162">
        <v>1</v>
      </c>
    </row>
    <row r="2163" spans="1:14">
      <c r="A2163" t="s">
        <v>3178</v>
      </c>
      <c r="B2163" t="s">
        <v>185</v>
      </c>
      <c r="C2163" t="s">
        <v>2549</v>
      </c>
      <c r="D2163" s="41">
        <v>1</v>
      </c>
      <c r="E2163" s="41">
        <v>2249</v>
      </c>
      <c r="F2163" s="41" t="s">
        <v>4569</v>
      </c>
      <c r="G2163" s="41" t="s">
        <v>4569</v>
      </c>
      <c r="H2163" s="2043">
        <v>331772</v>
      </c>
      <c r="I2163" s="2043">
        <v>0</v>
      </c>
      <c r="J2163">
        <v>0</v>
      </c>
      <c r="L2163" s="2043">
        <v>0</v>
      </c>
      <c r="M2163">
        <v>599</v>
      </c>
      <c r="N2163">
        <v>0</v>
      </c>
    </row>
    <row r="2164" spans="1:14">
      <c r="A2164" t="s">
        <v>3179</v>
      </c>
      <c r="B2164" t="s">
        <v>1382</v>
      </c>
      <c r="C2164" t="s">
        <v>277</v>
      </c>
      <c r="D2164" s="41">
        <v>6</v>
      </c>
      <c r="E2164" s="41">
        <v>2064</v>
      </c>
      <c r="F2164" s="41" t="s">
        <v>4570</v>
      </c>
      <c r="G2164" s="41" t="s">
        <v>4570</v>
      </c>
      <c r="H2164" s="2043">
        <v>141412</v>
      </c>
      <c r="I2164" s="2043">
        <v>0</v>
      </c>
      <c r="J2164">
        <v>0</v>
      </c>
      <c r="K2164" s="2043">
        <v>0</v>
      </c>
      <c r="L2164" s="2043">
        <v>0</v>
      </c>
      <c r="M2164">
        <v>599</v>
      </c>
      <c r="N2164">
        <v>0</v>
      </c>
    </row>
    <row r="2165" spans="1:14">
      <c r="A2165" t="s">
        <v>3179</v>
      </c>
      <c r="B2165" t="s">
        <v>1382</v>
      </c>
      <c r="C2165" t="s">
        <v>277</v>
      </c>
      <c r="D2165" s="41">
        <v>6</v>
      </c>
      <c r="E2165" s="41">
        <v>2064</v>
      </c>
      <c r="F2165" s="41" t="s">
        <v>4570</v>
      </c>
      <c r="G2165" s="41" t="s">
        <v>4571</v>
      </c>
      <c r="H2165" s="2043">
        <v>141412</v>
      </c>
      <c r="I2165" s="2043">
        <v>0</v>
      </c>
      <c r="J2165">
        <v>0</v>
      </c>
      <c r="K2165" s="2043">
        <v>0</v>
      </c>
      <c r="L2165" s="2043">
        <v>0</v>
      </c>
      <c r="M2165">
        <v>599</v>
      </c>
      <c r="N2165">
        <v>1</v>
      </c>
    </row>
    <row r="2166" spans="1:14">
      <c r="A2166" t="s">
        <v>3179</v>
      </c>
      <c r="B2166" t="s">
        <v>1382</v>
      </c>
      <c r="C2166" t="s">
        <v>277</v>
      </c>
      <c r="D2166" s="41">
        <v>6</v>
      </c>
      <c r="E2166" s="41">
        <v>2064</v>
      </c>
      <c r="F2166" s="41" t="s">
        <v>4570</v>
      </c>
      <c r="G2166" s="41" t="s">
        <v>5463</v>
      </c>
      <c r="H2166" s="2043">
        <v>141412</v>
      </c>
      <c r="I2166" s="2043">
        <v>168650</v>
      </c>
      <c r="J2166">
        <v>1</v>
      </c>
      <c r="K2166" s="2043">
        <v>141412</v>
      </c>
      <c r="L2166" s="2043">
        <v>141412</v>
      </c>
      <c r="M2166">
        <v>599</v>
      </c>
      <c r="N2166">
        <v>1</v>
      </c>
    </row>
    <row r="2167" spans="1:14">
      <c r="A2167" t="s">
        <v>3179</v>
      </c>
      <c r="B2167" t="s">
        <v>1382</v>
      </c>
      <c r="C2167" t="s">
        <v>277</v>
      </c>
      <c r="D2167" s="41">
        <v>9</v>
      </c>
      <c r="E2167" s="41">
        <v>2063</v>
      </c>
      <c r="F2167" s="41" t="s">
        <v>4572</v>
      </c>
      <c r="G2167" s="41" t="s">
        <v>4572</v>
      </c>
      <c r="H2167" s="2043">
        <v>100000</v>
      </c>
      <c r="I2167" s="2043">
        <v>0</v>
      </c>
      <c r="J2167">
        <v>0</v>
      </c>
      <c r="K2167" s="2043">
        <v>0</v>
      </c>
      <c r="L2167" s="2043">
        <v>0</v>
      </c>
      <c r="M2167">
        <v>599</v>
      </c>
      <c r="N2167">
        <v>1</v>
      </c>
    </row>
    <row r="2168" spans="1:14">
      <c r="A2168" t="s">
        <v>3179</v>
      </c>
      <c r="B2168" t="s">
        <v>1382</v>
      </c>
      <c r="C2168" t="s">
        <v>277</v>
      </c>
      <c r="D2168" s="41">
        <v>9</v>
      </c>
      <c r="E2168" s="41">
        <v>2063</v>
      </c>
      <c r="F2168" s="41" t="s">
        <v>4572</v>
      </c>
      <c r="G2168" s="41" t="s">
        <v>5463</v>
      </c>
      <c r="H2168" s="2043">
        <v>100000</v>
      </c>
      <c r="I2168" s="2043">
        <v>146897</v>
      </c>
      <c r="J2168">
        <v>1</v>
      </c>
      <c r="K2168" s="2043">
        <v>100000</v>
      </c>
      <c r="L2168" s="2043">
        <v>100000</v>
      </c>
      <c r="M2168">
        <v>599</v>
      </c>
      <c r="N2168">
        <v>1</v>
      </c>
    </row>
    <row r="2169" spans="1:14">
      <c r="A2169" t="s">
        <v>3180</v>
      </c>
      <c r="B2169" t="s">
        <v>203</v>
      </c>
      <c r="C2169" t="s">
        <v>1984</v>
      </c>
      <c r="D2169" s="41">
        <v>2</v>
      </c>
      <c r="E2169" s="41">
        <v>2210</v>
      </c>
      <c r="F2169" s="41" t="s">
        <v>4573</v>
      </c>
      <c r="G2169" s="41" t="s">
        <v>4573</v>
      </c>
      <c r="H2169" s="2043">
        <v>292085</v>
      </c>
      <c r="I2169" s="2043">
        <v>750</v>
      </c>
      <c r="J2169">
        <v>3.2988783813503401E-3</v>
      </c>
      <c r="K2169" s="2043">
        <v>963.55289201671405</v>
      </c>
      <c r="L2169" s="2043">
        <v>750</v>
      </c>
      <c r="M2169">
        <v>599</v>
      </c>
      <c r="N2169">
        <v>1</v>
      </c>
    </row>
    <row r="2170" spans="1:14">
      <c r="A2170" t="s">
        <v>3180</v>
      </c>
      <c r="B2170" t="s">
        <v>203</v>
      </c>
      <c r="C2170" t="s">
        <v>1984</v>
      </c>
      <c r="D2170" s="41">
        <v>2</v>
      </c>
      <c r="E2170" s="41">
        <v>2210</v>
      </c>
      <c r="F2170" s="41" t="s">
        <v>4573</v>
      </c>
      <c r="G2170" s="41" t="s">
        <v>4574</v>
      </c>
      <c r="H2170" s="2043">
        <v>292085</v>
      </c>
      <c r="I2170" s="2043">
        <v>0</v>
      </c>
      <c r="J2170">
        <v>0</v>
      </c>
      <c r="K2170" s="2043">
        <v>0</v>
      </c>
      <c r="L2170" s="2043">
        <v>0</v>
      </c>
      <c r="M2170">
        <v>599</v>
      </c>
      <c r="N2170">
        <v>1</v>
      </c>
    </row>
    <row r="2171" spans="1:14">
      <c r="A2171" t="s">
        <v>3180</v>
      </c>
      <c r="B2171" t="s">
        <v>203</v>
      </c>
      <c r="C2171" t="s">
        <v>1984</v>
      </c>
      <c r="D2171" s="41">
        <v>2</v>
      </c>
      <c r="E2171" s="41">
        <v>2210</v>
      </c>
      <c r="F2171" s="41" t="s">
        <v>4573</v>
      </c>
      <c r="G2171" s="41" t="s">
        <v>7280</v>
      </c>
      <c r="H2171" s="2043">
        <v>292085</v>
      </c>
      <c r="I2171" s="2043">
        <v>226600</v>
      </c>
      <c r="J2171">
        <v>0.99670112161864999</v>
      </c>
      <c r="K2171" s="2043">
        <v>291121.447107983</v>
      </c>
      <c r="L2171" s="2043">
        <v>229200</v>
      </c>
      <c r="M2171">
        <v>599</v>
      </c>
      <c r="N2171">
        <v>1</v>
      </c>
    </row>
    <row r="2172" spans="1:14">
      <c r="A2172" t="s">
        <v>3180</v>
      </c>
      <c r="B2172" t="s">
        <v>203</v>
      </c>
      <c r="C2172" t="s">
        <v>1984</v>
      </c>
      <c r="D2172" s="41">
        <v>4</v>
      </c>
      <c r="E2172" s="41">
        <v>2211</v>
      </c>
      <c r="F2172" s="41" t="s">
        <v>4575</v>
      </c>
      <c r="G2172" s="41" t="s">
        <v>4575</v>
      </c>
      <c r="H2172" s="2043">
        <v>333511</v>
      </c>
      <c r="I2172" s="2043">
        <v>0</v>
      </c>
      <c r="J2172">
        <v>0</v>
      </c>
      <c r="K2172" s="2043">
        <v>0</v>
      </c>
      <c r="L2172" s="2043">
        <v>0</v>
      </c>
      <c r="M2172">
        <v>599</v>
      </c>
      <c r="N2172">
        <v>0</v>
      </c>
    </row>
    <row r="2173" spans="1:14">
      <c r="A2173" t="s">
        <v>3180</v>
      </c>
      <c r="B2173" t="s">
        <v>203</v>
      </c>
      <c r="C2173" t="s">
        <v>1984</v>
      </c>
      <c r="D2173" s="41">
        <v>4</v>
      </c>
      <c r="E2173" s="41">
        <v>2211</v>
      </c>
      <c r="F2173" s="41" t="s">
        <v>4575</v>
      </c>
      <c r="G2173" s="41" t="s">
        <v>4574</v>
      </c>
      <c r="H2173" s="2043">
        <v>333511</v>
      </c>
      <c r="I2173" s="2043">
        <v>0</v>
      </c>
      <c r="J2173">
        <v>0</v>
      </c>
      <c r="K2173" s="2043">
        <v>0</v>
      </c>
      <c r="L2173" s="2043">
        <v>0</v>
      </c>
      <c r="M2173">
        <v>599</v>
      </c>
      <c r="N2173">
        <v>1</v>
      </c>
    </row>
    <row r="2174" spans="1:14">
      <c r="A2174" t="s">
        <v>3180</v>
      </c>
      <c r="B2174" t="s">
        <v>203</v>
      </c>
      <c r="C2174" t="s">
        <v>1984</v>
      </c>
      <c r="D2174" s="41">
        <v>4</v>
      </c>
      <c r="E2174" s="41">
        <v>2211</v>
      </c>
      <c r="F2174" s="41" t="s">
        <v>4575</v>
      </c>
      <c r="G2174" s="41" t="s">
        <v>7280</v>
      </c>
      <c r="H2174" s="2043">
        <v>333511</v>
      </c>
      <c r="I2174" s="2043">
        <v>223521</v>
      </c>
      <c r="J2174">
        <v>1</v>
      </c>
      <c r="K2174" s="2043">
        <v>333511</v>
      </c>
      <c r="L2174" s="2043">
        <v>221421</v>
      </c>
      <c r="M2174">
        <v>599</v>
      </c>
      <c r="N2174">
        <v>1</v>
      </c>
    </row>
    <row r="2175" spans="1:14">
      <c r="A2175" t="s">
        <v>3181</v>
      </c>
      <c r="B2175" t="s">
        <v>2508</v>
      </c>
      <c r="C2175" t="s">
        <v>2550</v>
      </c>
      <c r="D2175" s="41">
        <v>3</v>
      </c>
      <c r="E2175" s="41">
        <v>2251</v>
      </c>
      <c r="F2175" s="41" t="s">
        <v>4576</v>
      </c>
      <c r="G2175" s="41" t="s">
        <v>4576</v>
      </c>
      <c r="H2175" s="2043">
        <v>172500</v>
      </c>
      <c r="I2175" s="2043">
        <v>0</v>
      </c>
      <c r="J2175">
        <v>0</v>
      </c>
      <c r="K2175" s="2043">
        <v>0</v>
      </c>
      <c r="L2175" s="2043">
        <v>0</v>
      </c>
      <c r="M2175">
        <v>599</v>
      </c>
      <c r="N2175">
        <v>0</v>
      </c>
    </row>
    <row r="2176" spans="1:14">
      <c r="A2176" t="s">
        <v>3181</v>
      </c>
      <c r="B2176" t="s">
        <v>2508</v>
      </c>
      <c r="C2176" t="s">
        <v>2550</v>
      </c>
      <c r="D2176" s="41">
        <v>3</v>
      </c>
      <c r="E2176" s="41">
        <v>2251</v>
      </c>
      <c r="F2176" s="41" t="s">
        <v>4576</v>
      </c>
      <c r="G2176" s="41" t="s">
        <v>4577</v>
      </c>
      <c r="H2176" s="2043">
        <v>172500</v>
      </c>
      <c r="I2176" s="2043">
        <v>0</v>
      </c>
      <c r="J2176">
        <v>0</v>
      </c>
      <c r="K2176" s="2043">
        <v>0</v>
      </c>
      <c r="L2176" s="2043">
        <v>0</v>
      </c>
      <c r="M2176">
        <v>599</v>
      </c>
      <c r="N2176">
        <v>0</v>
      </c>
    </row>
    <row r="2177" spans="1:14">
      <c r="A2177" t="s">
        <v>3181</v>
      </c>
      <c r="B2177" t="s">
        <v>2508</v>
      </c>
      <c r="C2177" t="s">
        <v>2550</v>
      </c>
      <c r="D2177" s="41">
        <v>3</v>
      </c>
      <c r="E2177" s="41">
        <v>2251</v>
      </c>
      <c r="F2177" s="41" t="s">
        <v>4576</v>
      </c>
      <c r="G2177" s="41" t="s">
        <v>5464</v>
      </c>
      <c r="H2177" s="2043">
        <v>172500</v>
      </c>
      <c r="I2177" s="2043">
        <v>243993</v>
      </c>
      <c r="J2177">
        <v>1</v>
      </c>
      <c r="K2177" s="2043">
        <v>172500</v>
      </c>
      <c r="L2177" s="2043">
        <v>172500</v>
      </c>
      <c r="M2177">
        <v>599</v>
      </c>
      <c r="N2177">
        <v>1</v>
      </c>
    </row>
    <row r="2178" spans="1:14">
      <c r="A2178" t="s">
        <v>3181</v>
      </c>
      <c r="B2178" t="s">
        <v>2508</v>
      </c>
      <c r="C2178" t="s">
        <v>2550</v>
      </c>
      <c r="D2178" s="41">
        <v>5</v>
      </c>
      <c r="E2178" s="41">
        <v>2250</v>
      </c>
      <c r="F2178" s="41" t="s">
        <v>4578</v>
      </c>
      <c r="G2178" s="41" t="s">
        <v>4578</v>
      </c>
      <c r="H2178" s="2043">
        <v>166474</v>
      </c>
      <c r="I2178" s="2043">
        <v>0</v>
      </c>
      <c r="J2178">
        <v>0</v>
      </c>
      <c r="K2178" s="2043">
        <v>0</v>
      </c>
      <c r="L2178" s="2043">
        <v>0</v>
      </c>
      <c r="M2178">
        <v>599</v>
      </c>
      <c r="N2178">
        <v>0</v>
      </c>
    </row>
    <row r="2179" spans="1:14">
      <c r="A2179" t="s">
        <v>3181</v>
      </c>
      <c r="B2179" t="s">
        <v>2508</v>
      </c>
      <c r="C2179" t="s">
        <v>2550</v>
      </c>
      <c r="D2179" s="41">
        <v>5</v>
      </c>
      <c r="E2179" s="41">
        <v>2250</v>
      </c>
      <c r="F2179" s="41" t="s">
        <v>4578</v>
      </c>
      <c r="G2179" s="41" t="s">
        <v>4579</v>
      </c>
      <c r="H2179" s="2043">
        <v>166474</v>
      </c>
      <c r="I2179" s="2043">
        <v>0</v>
      </c>
      <c r="J2179">
        <v>0</v>
      </c>
      <c r="K2179" s="2043">
        <v>0</v>
      </c>
      <c r="L2179" s="2043">
        <v>0</v>
      </c>
      <c r="M2179">
        <v>599</v>
      </c>
      <c r="N2179">
        <v>1</v>
      </c>
    </row>
    <row r="2180" spans="1:14">
      <c r="A2180" t="s">
        <v>3181</v>
      </c>
      <c r="B2180" t="s">
        <v>2508</v>
      </c>
      <c r="C2180" t="s">
        <v>2550</v>
      </c>
      <c r="D2180" s="41">
        <v>5</v>
      </c>
      <c r="E2180" s="41">
        <v>2250</v>
      </c>
      <c r="F2180" s="41" t="s">
        <v>4578</v>
      </c>
      <c r="G2180" s="41" t="s">
        <v>7337</v>
      </c>
      <c r="H2180" s="2043">
        <v>166474</v>
      </c>
      <c r="I2180" s="2043">
        <v>187425</v>
      </c>
      <c r="J2180">
        <v>1</v>
      </c>
      <c r="K2180" s="2043">
        <v>166474</v>
      </c>
      <c r="L2180" s="2043">
        <v>166474</v>
      </c>
      <c r="M2180">
        <v>599</v>
      </c>
      <c r="N2180">
        <v>1</v>
      </c>
    </row>
    <row r="2181" spans="1:14">
      <c r="A2181" t="s">
        <v>3182</v>
      </c>
      <c r="B2181" t="s">
        <v>358</v>
      </c>
      <c r="C2181" t="s">
        <v>2521</v>
      </c>
      <c r="D2181" s="41">
        <v>4</v>
      </c>
      <c r="E2181" s="41">
        <v>1753</v>
      </c>
      <c r="F2181" s="41" t="s">
        <v>4580</v>
      </c>
      <c r="G2181" s="41" t="s">
        <v>4580</v>
      </c>
      <c r="H2181" s="2043">
        <v>109658</v>
      </c>
      <c r="I2181" s="2043">
        <v>0</v>
      </c>
      <c r="J2181">
        <v>0</v>
      </c>
      <c r="L2181" s="2043">
        <v>0</v>
      </c>
      <c r="M2181">
        <v>599</v>
      </c>
      <c r="N2181">
        <v>0</v>
      </c>
    </row>
    <row r="2182" spans="1:14">
      <c r="A2182" t="s">
        <v>3182</v>
      </c>
      <c r="B2182" t="s">
        <v>358</v>
      </c>
      <c r="C2182" t="s">
        <v>2521</v>
      </c>
      <c r="D2182" s="41">
        <v>8</v>
      </c>
      <c r="E2182" s="41">
        <v>1755</v>
      </c>
      <c r="F2182" s="41" t="s">
        <v>4582</v>
      </c>
      <c r="G2182" s="41" t="s">
        <v>4582</v>
      </c>
      <c r="H2182" s="2043">
        <v>116500</v>
      </c>
      <c r="I2182" s="2043">
        <v>0</v>
      </c>
      <c r="J2182">
        <v>0</v>
      </c>
      <c r="K2182" s="2043">
        <v>0</v>
      </c>
      <c r="L2182" s="2043">
        <v>0</v>
      </c>
      <c r="M2182">
        <v>599</v>
      </c>
      <c r="N2182">
        <v>1</v>
      </c>
    </row>
    <row r="2183" spans="1:14">
      <c r="A2183" t="s">
        <v>3182</v>
      </c>
      <c r="B2183" t="s">
        <v>358</v>
      </c>
      <c r="C2183" t="s">
        <v>2521</v>
      </c>
      <c r="D2183" s="41">
        <v>8</v>
      </c>
      <c r="E2183" s="41">
        <v>1755</v>
      </c>
      <c r="F2183" s="41" t="s">
        <v>4582</v>
      </c>
      <c r="G2183" s="41" t="s">
        <v>5649</v>
      </c>
      <c r="H2183" s="2043">
        <v>116500</v>
      </c>
      <c r="I2183" s="2043">
        <v>102900</v>
      </c>
      <c r="J2183">
        <v>1</v>
      </c>
      <c r="K2183" s="2043">
        <v>116500</v>
      </c>
      <c r="L2183" s="2043">
        <v>102900</v>
      </c>
      <c r="M2183">
        <v>599</v>
      </c>
      <c r="N2183">
        <v>1</v>
      </c>
    </row>
    <row r="2184" spans="1:14">
      <c r="A2184" t="s">
        <v>3182</v>
      </c>
      <c r="B2184" t="s">
        <v>358</v>
      </c>
      <c r="C2184" t="s">
        <v>2521</v>
      </c>
      <c r="D2184" s="41">
        <v>9</v>
      </c>
      <c r="E2184" s="41">
        <v>1754</v>
      </c>
      <c r="F2184" s="41" t="s">
        <v>4581</v>
      </c>
      <c r="G2184" s="41" t="s">
        <v>4581</v>
      </c>
      <c r="H2184" s="2043">
        <v>115000</v>
      </c>
      <c r="I2184" s="2043">
        <v>0</v>
      </c>
      <c r="J2184">
        <v>0</v>
      </c>
      <c r="K2184" s="2043">
        <v>0</v>
      </c>
      <c r="L2184" s="2043">
        <v>0</v>
      </c>
      <c r="M2184">
        <v>599</v>
      </c>
      <c r="N2184">
        <v>1</v>
      </c>
    </row>
    <row r="2185" spans="1:14">
      <c r="A2185" t="s">
        <v>3182</v>
      </c>
      <c r="B2185" t="s">
        <v>358</v>
      </c>
      <c r="C2185" t="s">
        <v>2521</v>
      </c>
      <c r="D2185" s="41">
        <v>9</v>
      </c>
      <c r="E2185" s="41">
        <v>1754</v>
      </c>
      <c r="F2185" s="41" t="s">
        <v>4581</v>
      </c>
      <c r="G2185" s="41" t="s">
        <v>7338</v>
      </c>
      <c r="H2185" s="2043">
        <v>115000</v>
      </c>
      <c r="I2185" s="2043">
        <v>195892</v>
      </c>
      <c r="J2185">
        <v>1</v>
      </c>
      <c r="K2185" s="2043">
        <v>115000</v>
      </c>
      <c r="L2185" s="2043">
        <v>115000</v>
      </c>
      <c r="M2185">
        <v>599</v>
      </c>
      <c r="N2185">
        <v>1</v>
      </c>
    </row>
    <row r="2186" spans="1:14">
      <c r="A2186" t="s">
        <v>3183</v>
      </c>
      <c r="B2186" t="s">
        <v>1620</v>
      </c>
      <c r="C2186" t="s">
        <v>2001</v>
      </c>
      <c r="D2186" s="41">
        <v>5</v>
      </c>
      <c r="E2186" s="41">
        <v>1590</v>
      </c>
      <c r="F2186" s="41" t="s">
        <v>4583</v>
      </c>
      <c r="G2186" s="41" t="s">
        <v>4583</v>
      </c>
      <c r="H2186" s="2043">
        <v>100000</v>
      </c>
      <c r="I2186" s="2043">
        <v>0</v>
      </c>
      <c r="J2186">
        <v>0</v>
      </c>
      <c r="K2186" s="2043">
        <v>0</v>
      </c>
      <c r="L2186" s="2043">
        <v>0</v>
      </c>
      <c r="M2186">
        <v>599</v>
      </c>
      <c r="N2186">
        <v>0</v>
      </c>
    </row>
    <row r="2187" spans="1:14">
      <c r="A2187" t="s">
        <v>3183</v>
      </c>
      <c r="B2187" t="s">
        <v>1620</v>
      </c>
      <c r="C2187" t="s">
        <v>2001</v>
      </c>
      <c r="D2187" s="41">
        <v>5</v>
      </c>
      <c r="E2187" s="41">
        <v>1590</v>
      </c>
      <c r="F2187" s="41" t="s">
        <v>4583</v>
      </c>
      <c r="G2187" s="41" t="s">
        <v>4584</v>
      </c>
      <c r="H2187" s="2043">
        <v>100000</v>
      </c>
      <c r="I2187" s="2043">
        <v>64800</v>
      </c>
      <c r="J2187">
        <v>1</v>
      </c>
      <c r="K2187" s="2043">
        <v>100000</v>
      </c>
      <c r="L2187" s="2043">
        <v>64800</v>
      </c>
      <c r="M2187">
        <v>599</v>
      </c>
      <c r="N2187">
        <v>1</v>
      </c>
    </row>
    <row r="2188" spans="1:14">
      <c r="A2188" t="s">
        <v>3184</v>
      </c>
      <c r="B2188" t="s">
        <v>1712</v>
      </c>
      <c r="C2188" t="s">
        <v>576</v>
      </c>
      <c r="D2188" s="41">
        <v>5</v>
      </c>
      <c r="E2188" s="41">
        <v>2270</v>
      </c>
      <c r="F2188" s="41" t="s">
        <v>4585</v>
      </c>
      <c r="G2188" s="41" t="s">
        <v>4585</v>
      </c>
      <c r="H2188" s="2043">
        <v>491500</v>
      </c>
      <c r="I2188" s="2043">
        <v>0</v>
      </c>
      <c r="J2188">
        <v>0</v>
      </c>
      <c r="K2188" s="2043">
        <v>0</v>
      </c>
      <c r="L2188" s="2043">
        <v>0</v>
      </c>
      <c r="M2188">
        <v>599</v>
      </c>
      <c r="N2188">
        <v>0</v>
      </c>
    </row>
    <row r="2189" spans="1:14">
      <c r="A2189" t="s">
        <v>3184</v>
      </c>
      <c r="B2189" t="s">
        <v>1712</v>
      </c>
      <c r="C2189" t="s">
        <v>576</v>
      </c>
      <c r="D2189" s="41">
        <v>5</v>
      </c>
      <c r="E2189" s="41">
        <v>2270</v>
      </c>
      <c r="F2189" s="41" t="s">
        <v>4585</v>
      </c>
      <c r="G2189" s="41" t="s">
        <v>4586</v>
      </c>
      <c r="H2189" s="2043">
        <v>491500</v>
      </c>
      <c r="I2189" s="2043">
        <v>0</v>
      </c>
      <c r="J2189">
        <v>0</v>
      </c>
      <c r="K2189" s="2043">
        <v>0</v>
      </c>
      <c r="L2189" s="2043">
        <v>0</v>
      </c>
      <c r="M2189">
        <v>599</v>
      </c>
      <c r="N2189">
        <v>1</v>
      </c>
    </row>
    <row r="2190" spans="1:14">
      <c r="A2190" t="s">
        <v>3184</v>
      </c>
      <c r="B2190" t="s">
        <v>1712</v>
      </c>
      <c r="C2190" t="s">
        <v>576</v>
      </c>
      <c r="D2190" s="41">
        <v>5</v>
      </c>
      <c r="E2190" s="41">
        <v>2270</v>
      </c>
      <c r="F2190" s="41" t="s">
        <v>4585</v>
      </c>
      <c r="G2190" s="41" t="s">
        <v>4587</v>
      </c>
      <c r="H2190" s="2043">
        <v>491500</v>
      </c>
      <c r="I2190" s="2043">
        <v>0</v>
      </c>
      <c r="J2190">
        <v>0</v>
      </c>
      <c r="K2190" s="2043">
        <v>0</v>
      </c>
      <c r="L2190" s="2043">
        <v>0</v>
      </c>
      <c r="M2190">
        <v>599</v>
      </c>
      <c r="N2190">
        <v>1</v>
      </c>
    </row>
    <row r="2191" spans="1:14">
      <c r="A2191" t="s">
        <v>3184</v>
      </c>
      <c r="B2191" t="s">
        <v>1712</v>
      </c>
      <c r="C2191" t="s">
        <v>576</v>
      </c>
      <c r="D2191" s="41">
        <v>5</v>
      </c>
      <c r="E2191" s="41">
        <v>2270</v>
      </c>
      <c r="F2191" s="41" t="s">
        <v>4585</v>
      </c>
      <c r="G2191" s="41" t="s">
        <v>7281</v>
      </c>
      <c r="H2191" s="2043">
        <v>491500</v>
      </c>
      <c r="I2191" s="2043">
        <v>0</v>
      </c>
      <c r="J2191">
        <v>0</v>
      </c>
      <c r="K2191" s="2043">
        <v>0</v>
      </c>
      <c r="L2191" s="2043">
        <v>0</v>
      </c>
      <c r="M2191">
        <v>599</v>
      </c>
      <c r="N2191">
        <v>1</v>
      </c>
    </row>
    <row r="2192" spans="1:14">
      <c r="A2192" t="s">
        <v>3184</v>
      </c>
      <c r="B2192" t="s">
        <v>1712</v>
      </c>
      <c r="C2192" t="s">
        <v>576</v>
      </c>
      <c r="D2192" s="41">
        <v>5</v>
      </c>
      <c r="E2192" s="41">
        <v>2270</v>
      </c>
      <c r="F2192" s="41" t="s">
        <v>4585</v>
      </c>
      <c r="G2192" s="41" t="s">
        <v>7339</v>
      </c>
      <c r="H2192" s="2043">
        <v>491500</v>
      </c>
      <c r="I2192" s="2043">
        <v>136262</v>
      </c>
      <c r="J2192">
        <v>0.52235281489829899</v>
      </c>
      <c r="K2192" s="2043">
        <v>256736.40852251399</v>
      </c>
      <c r="L2192" s="2043">
        <v>136262</v>
      </c>
      <c r="M2192">
        <v>599</v>
      </c>
      <c r="N2192">
        <v>1</v>
      </c>
    </row>
    <row r="2193" spans="1:14">
      <c r="A2193" t="s">
        <v>3184</v>
      </c>
      <c r="B2193" t="s">
        <v>1712</v>
      </c>
      <c r="C2193" t="s">
        <v>576</v>
      </c>
      <c r="D2193" s="41">
        <v>5</v>
      </c>
      <c r="E2193" s="41">
        <v>2270</v>
      </c>
      <c r="F2193" s="41" t="s">
        <v>4585</v>
      </c>
      <c r="G2193" s="41" t="s">
        <v>9391</v>
      </c>
      <c r="H2193" s="2043">
        <v>491500</v>
      </c>
      <c r="I2193" s="2043">
        <v>121116</v>
      </c>
      <c r="J2193">
        <v>0.46429146445246899</v>
      </c>
      <c r="K2193" s="2043">
        <v>228199.254778389</v>
      </c>
      <c r="L2193" s="2043">
        <v>121116</v>
      </c>
      <c r="M2193">
        <v>599</v>
      </c>
      <c r="N2193">
        <v>1</v>
      </c>
    </row>
    <row r="2194" spans="1:14">
      <c r="A2194" t="s">
        <v>3184</v>
      </c>
      <c r="B2194" t="s">
        <v>1712</v>
      </c>
      <c r="C2194" t="s">
        <v>576</v>
      </c>
      <c r="D2194" s="41">
        <v>5</v>
      </c>
      <c r="E2194" s="41">
        <v>2270</v>
      </c>
      <c r="F2194" s="41" t="s">
        <v>4585</v>
      </c>
      <c r="G2194" s="41" t="s">
        <v>9392</v>
      </c>
      <c r="H2194" s="2043">
        <v>491500</v>
      </c>
      <c r="I2194" s="2043">
        <v>3484</v>
      </c>
      <c r="J2194">
        <v>1.3355720649232201E-2</v>
      </c>
      <c r="K2194" s="2043">
        <v>6564.3366990976101</v>
      </c>
      <c r="L2194" s="2043">
        <v>3484</v>
      </c>
      <c r="M2194">
        <v>599</v>
      </c>
      <c r="N2194">
        <v>1</v>
      </c>
    </row>
    <row r="2195" spans="1:14">
      <c r="A2195" t="s">
        <v>3184</v>
      </c>
      <c r="B2195" t="s">
        <v>1712</v>
      </c>
      <c r="C2195" t="s">
        <v>576</v>
      </c>
      <c r="D2195" s="41">
        <v>9</v>
      </c>
      <c r="E2195" s="41">
        <v>2271</v>
      </c>
      <c r="F2195" s="41" t="s">
        <v>4588</v>
      </c>
      <c r="G2195" s="41" t="s">
        <v>4588</v>
      </c>
      <c r="H2195" s="2043">
        <v>523367</v>
      </c>
      <c r="I2195" s="2043">
        <v>0</v>
      </c>
      <c r="J2195">
        <v>0</v>
      </c>
      <c r="K2195" s="2043">
        <v>0</v>
      </c>
      <c r="L2195" s="2043">
        <v>0</v>
      </c>
      <c r="M2195">
        <v>599</v>
      </c>
      <c r="N2195">
        <v>1</v>
      </c>
    </row>
    <row r="2196" spans="1:14">
      <c r="A2196" t="s">
        <v>3184</v>
      </c>
      <c r="B2196" t="s">
        <v>1712</v>
      </c>
      <c r="C2196" t="s">
        <v>576</v>
      </c>
      <c r="D2196" s="41">
        <v>9</v>
      </c>
      <c r="E2196" s="41">
        <v>2271</v>
      </c>
      <c r="F2196" s="41" t="s">
        <v>4588</v>
      </c>
      <c r="G2196" s="41" t="s">
        <v>5465</v>
      </c>
      <c r="H2196" s="2043">
        <v>523367</v>
      </c>
      <c r="I2196" s="2043">
        <v>1194310</v>
      </c>
      <c r="J2196">
        <v>1</v>
      </c>
      <c r="K2196" s="2043">
        <v>523367</v>
      </c>
      <c r="L2196" s="2043">
        <v>523367</v>
      </c>
      <c r="M2196">
        <v>599</v>
      </c>
      <c r="N2196">
        <v>1</v>
      </c>
    </row>
    <row r="2197" spans="1:14">
      <c r="A2197" t="s">
        <v>3185</v>
      </c>
      <c r="B2197" t="s">
        <v>359</v>
      </c>
      <c r="C2197" t="s">
        <v>2114</v>
      </c>
      <c r="D2197" s="41">
        <v>4</v>
      </c>
      <c r="E2197" s="41">
        <v>2105</v>
      </c>
      <c r="F2197" s="41" t="s">
        <v>4589</v>
      </c>
      <c r="G2197" s="41" t="s">
        <v>4589</v>
      </c>
      <c r="H2197" s="2043">
        <v>116481</v>
      </c>
      <c r="I2197" s="2043">
        <v>0</v>
      </c>
      <c r="J2197">
        <v>0</v>
      </c>
      <c r="K2197" s="2043">
        <v>0</v>
      </c>
      <c r="L2197" s="2043">
        <v>0</v>
      </c>
      <c r="M2197">
        <v>599</v>
      </c>
      <c r="N2197">
        <v>0</v>
      </c>
    </row>
    <row r="2198" spans="1:14">
      <c r="A2198" t="s">
        <v>3185</v>
      </c>
      <c r="B2198" t="s">
        <v>359</v>
      </c>
      <c r="C2198" t="s">
        <v>2114</v>
      </c>
      <c r="D2198" s="41">
        <v>4</v>
      </c>
      <c r="E2198" s="41">
        <v>2105</v>
      </c>
      <c r="F2198" s="41" t="s">
        <v>4589</v>
      </c>
      <c r="G2198" s="41" t="s">
        <v>4590</v>
      </c>
      <c r="H2198" s="2043">
        <v>116481</v>
      </c>
      <c r="I2198" s="2043">
        <v>100796</v>
      </c>
      <c r="J2198">
        <v>1</v>
      </c>
      <c r="K2198" s="2043">
        <v>116481</v>
      </c>
      <c r="L2198" s="2043">
        <v>100796</v>
      </c>
      <c r="M2198">
        <v>599</v>
      </c>
      <c r="N2198">
        <v>1</v>
      </c>
    </row>
    <row r="2199" spans="1:14">
      <c r="A2199" t="s">
        <v>3185</v>
      </c>
      <c r="B2199" t="s">
        <v>359</v>
      </c>
      <c r="C2199" t="s">
        <v>2114</v>
      </c>
      <c r="D2199" s="41">
        <v>11</v>
      </c>
      <c r="E2199" s="41">
        <v>2565</v>
      </c>
      <c r="F2199" s="41" t="s">
        <v>7282</v>
      </c>
      <c r="G2199" s="41" t="s">
        <v>7282</v>
      </c>
      <c r="H2199" s="2043">
        <v>100000</v>
      </c>
      <c r="I2199" s="2043">
        <v>396250</v>
      </c>
      <c r="J2199">
        <v>1</v>
      </c>
      <c r="K2199" s="2043">
        <v>100000</v>
      </c>
      <c r="L2199" s="2043">
        <v>100000</v>
      </c>
      <c r="M2199">
        <v>599</v>
      </c>
      <c r="N2199">
        <v>1</v>
      </c>
    </row>
    <row r="2200" spans="1:14">
      <c r="A2200" t="s">
        <v>4591</v>
      </c>
      <c r="B2200" t="s">
        <v>1112</v>
      </c>
      <c r="C2200" t="s">
        <v>1062</v>
      </c>
      <c r="D2200" s="41">
        <v>2</v>
      </c>
      <c r="E2200" s="41">
        <v>2459</v>
      </c>
      <c r="F2200" s="41" t="s">
        <v>4592</v>
      </c>
      <c r="G2200" s="41" t="s">
        <v>4592</v>
      </c>
      <c r="H2200" s="2043">
        <v>177666</v>
      </c>
      <c r="I2200" s="2043">
        <v>0</v>
      </c>
      <c r="J2200">
        <v>0</v>
      </c>
      <c r="L2200" s="2043">
        <v>0</v>
      </c>
      <c r="M2200">
        <v>199</v>
      </c>
      <c r="N2200">
        <v>0</v>
      </c>
    </row>
    <row r="2201" spans="1:14">
      <c r="A2201" t="s">
        <v>3186</v>
      </c>
      <c r="B2201" t="s">
        <v>360</v>
      </c>
      <c r="C2201" t="s">
        <v>248</v>
      </c>
      <c r="D2201" s="41">
        <v>4</v>
      </c>
      <c r="E2201" s="41">
        <v>2158</v>
      </c>
      <c r="F2201" s="41" t="s">
        <v>4593</v>
      </c>
      <c r="G2201" s="41" t="s">
        <v>4593</v>
      </c>
      <c r="H2201" s="2043">
        <v>100000</v>
      </c>
      <c r="I2201" s="2043">
        <v>0</v>
      </c>
      <c r="J2201">
        <v>0</v>
      </c>
      <c r="K2201" s="2043">
        <v>0</v>
      </c>
      <c r="L2201" s="2043">
        <v>0</v>
      </c>
      <c r="M2201">
        <v>599</v>
      </c>
      <c r="N2201">
        <v>0</v>
      </c>
    </row>
    <row r="2202" spans="1:14">
      <c r="A2202" t="s">
        <v>3186</v>
      </c>
      <c r="B2202" t="s">
        <v>360</v>
      </c>
      <c r="C2202" t="s">
        <v>248</v>
      </c>
      <c r="D2202" s="41">
        <v>4</v>
      </c>
      <c r="E2202" s="41">
        <v>2158</v>
      </c>
      <c r="F2202" s="41" t="s">
        <v>4593</v>
      </c>
      <c r="G2202" s="41" t="s">
        <v>4594</v>
      </c>
      <c r="H2202" s="2043">
        <v>100000</v>
      </c>
      <c r="I2202" s="2043">
        <v>81625</v>
      </c>
      <c r="J2202">
        <v>1</v>
      </c>
      <c r="K2202" s="2043">
        <v>100000</v>
      </c>
      <c r="L2202" s="2043">
        <v>81625</v>
      </c>
      <c r="M2202">
        <v>599</v>
      </c>
      <c r="N2202">
        <v>1</v>
      </c>
    </row>
    <row r="2203" spans="1:14">
      <c r="A2203" t="s">
        <v>4595</v>
      </c>
      <c r="B2203" t="s">
        <v>2330</v>
      </c>
      <c r="C2203" t="s">
        <v>2034</v>
      </c>
      <c r="D2203" s="41">
        <v>5</v>
      </c>
      <c r="E2203" s="41">
        <v>2122</v>
      </c>
      <c r="F2203" s="41" t="s">
        <v>4596</v>
      </c>
      <c r="G2203" s="41" t="s">
        <v>4596</v>
      </c>
      <c r="H2203" s="2043">
        <v>59747</v>
      </c>
      <c r="I2203" s="2043">
        <v>0</v>
      </c>
      <c r="J2203">
        <v>0</v>
      </c>
      <c r="L2203" s="2043">
        <v>0</v>
      </c>
      <c r="M2203">
        <v>199</v>
      </c>
      <c r="N2203">
        <v>0</v>
      </c>
    </row>
    <row r="2204" spans="1:14">
      <c r="A2204" t="s">
        <v>3187</v>
      </c>
      <c r="B2204" t="s">
        <v>2331</v>
      </c>
      <c r="C2204" t="s">
        <v>1286</v>
      </c>
      <c r="D2204" s="41">
        <v>5</v>
      </c>
      <c r="E2204" s="41">
        <v>2167</v>
      </c>
      <c r="F2204" s="41" t="s">
        <v>4597</v>
      </c>
      <c r="G2204" s="41" t="s">
        <v>4597</v>
      </c>
      <c r="H2204" s="2043">
        <v>112110</v>
      </c>
      <c r="I2204" s="2043">
        <v>0</v>
      </c>
      <c r="J2204">
        <v>0</v>
      </c>
      <c r="K2204" s="2043">
        <v>0</v>
      </c>
      <c r="L2204" s="2043">
        <v>0</v>
      </c>
      <c r="M2204">
        <v>599</v>
      </c>
      <c r="N2204">
        <v>0</v>
      </c>
    </row>
    <row r="2205" spans="1:14">
      <c r="A2205" t="s">
        <v>3187</v>
      </c>
      <c r="B2205" t="s">
        <v>2331</v>
      </c>
      <c r="C2205" t="s">
        <v>1286</v>
      </c>
      <c r="D2205" s="41">
        <v>5</v>
      </c>
      <c r="E2205" s="41">
        <v>2167</v>
      </c>
      <c r="F2205" s="41" t="s">
        <v>4597</v>
      </c>
      <c r="G2205" s="41" t="s">
        <v>5466</v>
      </c>
      <c r="H2205" s="2043">
        <v>112110</v>
      </c>
      <c r="I2205" s="2043">
        <v>120647</v>
      </c>
      <c r="J2205">
        <v>1</v>
      </c>
      <c r="K2205" s="2043">
        <v>112110</v>
      </c>
      <c r="L2205" s="2043">
        <v>112110</v>
      </c>
      <c r="M2205">
        <v>599</v>
      </c>
      <c r="N2205">
        <v>1</v>
      </c>
    </row>
    <row r="2206" spans="1:14">
      <c r="A2206" t="s">
        <v>3187</v>
      </c>
      <c r="B2206" t="s">
        <v>2331</v>
      </c>
      <c r="C2206" t="s">
        <v>1286</v>
      </c>
      <c r="D2206" s="41">
        <v>8</v>
      </c>
      <c r="E2206" s="41">
        <v>2169</v>
      </c>
      <c r="F2206" s="41" t="s">
        <v>4598</v>
      </c>
      <c r="G2206" s="41" t="s">
        <v>4598</v>
      </c>
      <c r="H2206" s="2043">
        <v>126133</v>
      </c>
      <c r="I2206" s="2043">
        <v>0</v>
      </c>
      <c r="J2206">
        <v>0</v>
      </c>
      <c r="K2206" s="2043">
        <v>0</v>
      </c>
      <c r="L2206" s="2043">
        <v>0</v>
      </c>
      <c r="M2206">
        <v>599</v>
      </c>
      <c r="N2206">
        <v>1</v>
      </c>
    </row>
    <row r="2207" spans="1:14">
      <c r="A2207" t="s">
        <v>3187</v>
      </c>
      <c r="B2207" t="s">
        <v>2331</v>
      </c>
      <c r="C2207" t="s">
        <v>1286</v>
      </c>
      <c r="D2207" s="41">
        <v>8</v>
      </c>
      <c r="E2207" s="41">
        <v>2169</v>
      </c>
      <c r="F2207" s="41" t="s">
        <v>4598</v>
      </c>
      <c r="G2207" s="41" t="s">
        <v>5650</v>
      </c>
      <c r="H2207" s="2043">
        <v>126133</v>
      </c>
      <c r="I2207" s="2043">
        <v>113931</v>
      </c>
      <c r="J2207">
        <v>1</v>
      </c>
      <c r="K2207" s="2043">
        <v>126133</v>
      </c>
      <c r="L2207" s="2043">
        <v>113931</v>
      </c>
      <c r="M2207">
        <v>599</v>
      </c>
      <c r="N2207">
        <v>1</v>
      </c>
    </row>
    <row r="2208" spans="1:14">
      <c r="A2208" t="s">
        <v>3187</v>
      </c>
      <c r="B2208" t="s">
        <v>2331</v>
      </c>
      <c r="C2208" t="s">
        <v>1286</v>
      </c>
      <c r="D2208" s="41">
        <v>10</v>
      </c>
      <c r="E2208" s="41">
        <v>2168</v>
      </c>
      <c r="F2208" s="41" t="s">
        <v>4599</v>
      </c>
      <c r="G2208" s="41" t="s">
        <v>4599</v>
      </c>
      <c r="H2208" s="2043">
        <v>123590</v>
      </c>
      <c r="I2208" s="2043">
        <v>0</v>
      </c>
      <c r="J2208">
        <v>0</v>
      </c>
      <c r="K2208" s="2043">
        <v>0</v>
      </c>
      <c r="L2208" s="2043">
        <v>0</v>
      </c>
      <c r="M2208">
        <v>599</v>
      </c>
      <c r="N2208">
        <v>1</v>
      </c>
    </row>
    <row r="2209" spans="1:14">
      <c r="A2209" t="s">
        <v>3187</v>
      </c>
      <c r="B2209" t="s">
        <v>2331</v>
      </c>
      <c r="C2209" t="s">
        <v>1286</v>
      </c>
      <c r="D2209" s="41">
        <v>10</v>
      </c>
      <c r="E2209" s="41">
        <v>2168</v>
      </c>
      <c r="F2209" s="41" t="s">
        <v>4599</v>
      </c>
      <c r="G2209" s="41" t="s">
        <v>7283</v>
      </c>
      <c r="H2209" s="2043">
        <v>123590</v>
      </c>
      <c r="I2209" s="2043">
        <v>295350</v>
      </c>
      <c r="J2209">
        <v>1</v>
      </c>
      <c r="K2209" s="2043">
        <v>123590</v>
      </c>
      <c r="L2209" s="2043">
        <v>123590</v>
      </c>
      <c r="M2209">
        <v>599</v>
      </c>
      <c r="N2209">
        <v>1</v>
      </c>
    </row>
    <row r="2210" spans="1:14">
      <c r="A2210" t="s">
        <v>3188</v>
      </c>
      <c r="B2210" t="s">
        <v>176</v>
      </c>
      <c r="C2210" t="s">
        <v>613</v>
      </c>
      <c r="D2210" s="41">
        <v>4</v>
      </c>
      <c r="E2210" s="41">
        <v>1663</v>
      </c>
      <c r="F2210" s="41" t="s">
        <v>4600</v>
      </c>
      <c r="G2210" s="41" t="s">
        <v>4600</v>
      </c>
      <c r="H2210" s="2043">
        <v>113895</v>
      </c>
      <c r="I2210" s="2043">
        <v>0</v>
      </c>
      <c r="J2210">
        <v>0</v>
      </c>
      <c r="K2210" s="2043">
        <v>0</v>
      </c>
      <c r="L2210" s="2043">
        <v>0</v>
      </c>
      <c r="M2210">
        <v>599</v>
      </c>
      <c r="N2210">
        <v>0</v>
      </c>
    </row>
    <row r="2211" spans="1:14">
      <c r="A2211" t="s">
        <v>3188</v>
      </c>
      <c r="B2211" t="s">
        <v>176</v>
      </c>
      <c r="C2211" t="s">
        <v>613</v>
      </c>
      <c r="D2211" s="41">
        <v>4</v>
      </c>
      <c r="E2211" s="41">
        <v>1663</v>
      </c>
      <c r="F2211" s="41" t="s">
        <v>4600</v>
      </c>
      <c r="G2211" s="41" t="s">
        <v>4601</v>
      </c>
      <c r="H2211" s="2043">
        <v>113895</v>
      </c>
      <c r="I2211" s="2043">
        <v>0</v>
      </c>
      <c r="J2211">
        <v>0</v>
      </c>
      <c r="K2211" s="2043">
        <v>0</v>
      </c>
      <c r="L2211" s="2043">
        <v>0</v>
      </c>
      <c r="M2211">
        <v>599</v>
      </c>
      <c r="N2211">
        <v>1</v>
      </c>
    </row>
    <row r="2212" spans="1:14">
      <c r="A2212" t="s">
        <v>3188</v>
      </c>
      <c r="B2212" t="s">
        <v>176</v>
      </c>
      <c r="C2212" t="s">
        <v>613</v>
      </c>
      <c r="D2212" s="41">
        <v>4</v>
      </c>
      <c r="E2212" s="41">
        <v>1663</v>
      </c>
      <c r="F2212" s="41" t="s">
        <v>4600</v>
      </c>
      <c r="G2212" s="41" t="s">
        <v>9393</v>
      </c>
      <c r="H2212" s="2043">
        <v>113895</v>
      </c>
      <c r="I2212" s="2043">
        <v>52518</v>
      </c>
      <c r="J2212">
        <v>1</v>
      </c>
      <c r="K2212" s="2043">
        <v>113895</v>
      </c>
      <c r="L2212" s="2043">
        <v>52518</v>
      </c>
      <c r="M2212">
        <v>599</v>
      </c>
      <c r="N2212">
        <v>1</v>
      </c>
    </row>
    <row r="2213" spans="1:14">
      <c r="A2213" t="s">
        <v>3188</v>
      </c>
      <c r="B2213" t="s">
        <v>176</v>
      </c>
      <c r="C2213" t="s">
        <v>613</v>
      </c>
      <c r="D2213" s="41">
        <v>8</v>
      </c>
      <c r="E2213" s="41">
        <v>1664</v>
      </c>
      <c r="F2213" s="41" t="s">
        <v>4602</v>
      </c>
      <c r="G2213" s="41" t="s">
        <v>4602</v>
      </c>
      <c r="H2213" s="2043">
        <v>134790</v>
      </c>
      <c r="I2213" s="2043">
        <v>0</v>
      </c>
      <c r="J2213">
        <v>0</v>
      </c>
      <c r="K2213" s="2043">
        <v>0</v>
      </c>
      <c r="L2213" s="2043">
        <v>0</v>
      </c>
      <c r="M2213">
        <v>599</v>
      </c>
      <c r="N2213">
        <v>1</v>
      </c>
    </row>
    <row r="2214" spans="1:14">
      <c r="A2214" t="s">
        <v>3188</v>
      </c>
      <c r="B2214" t="s">
        <v>176</v>
      </c>
      <c r="C2214" t="s">
        <v>613</v>
      </c>
      <c r="D2214" s="41">
        <v>8</v>
      </c>
      <c r="E2214" s="41">
        <v>1664</v>
      </c>
      <c r="F2214" s="41" t="s">
        <v>4602</v>
      </c>
      <c r="G2214" s="41" t="s">
        <v>5651</v>
      </c>
      <c r="H2214" s="2043">
        <v>134790</v>
      </c>
      <c r="I2214" s="2043">
        <v>95825</v>
      </c>
      <c r="J2214">
        <v>1</v>
      </c>
      <c r="K2214" s="2043">
        <v>134790</v>
      </c>
      <c r="L2214" s="2043">
        <v>95825</v>
      </c>
      <c r="M2214">
        <v>599</v>
      </c>
      <c r="N2214">
        <v>1</v>
      </c>
    </row>
    <row r="2215" spans="1:14">
      <c r="A2215" t="s">
        <v>3188</v>
      </c>
      <c r="B2215" t="s">
        <v>176</v>
      </c>
      <c r="C2215" t="s">
        <v>613</v>
      </c>
      <c r="D2215" s="41">
        <v>11</v>
      </c>
      <c r="E2215" s="41">
        <v>2495</v>
      </c>
      <c r="F2215" s="41" t="s">
        <v>7284</v>
      </c>
      <c r="G2215" s="41" t="s">
        <v>7284</v>
      </c>
      <c r="H2215" s="2043">
        <v>94075</v>
      </c>
      <c r="I2215" s="2043">
        <v>0</v>
      </c>
      <c r="J2215">
        <v>0</v>
      </c>
      <c r="K2215" s="2043">
        <v>0</v>
      </c>
      <c r="L2215" s="2043">
        <v>0</v>
      </c>
      <c r="M2215">
        <v>599</v>
      </c>
      <c r="N2215">
        <v>1</v>
      </c>
    </row>
    <row r="2216" spans="1:14">
      <c r="A2216" t="s">
        <v>3188</v>
      </c>
      <c r="B2216" t="s">
        <v>176</v>
      </c>
      <c r="C2216" t="s">
        <v>613</v>
      </c>
      <c r="D2216" s="41">
        <v>11</v>
      </c>
      <c r="E2216" s="41">
        <v>2495</v>
      </c>
      <c r="F2216" s="41" t="s">
        <v>7284</v>
      </c>
      <c r="G2216" s="41" t="s">
        <v>9393</v>
      </c>
      <c r="H2216" s="2043">
        <v>94075</v>
      </c>
      <c r="I2216" s="2043">
        <v>151720</v>
      </c>
      <c r="J2216">
        <v>1</v>
      </c>
      <c r="K2216" s="2043">
        <v>94075</v>
      </c>
      <c r="L2216" s="2043">
        <v>94075</v>
      </c>
      <c r="M2216">
        <v>599</v>
      </c>
      <c r="N2216">
        <v>1</v>
      </c>
    </row>
    <row r="2217" spans="1:14">
      <c r="A2217" t="s">
        <v>3188</v>
      </c>
      <c r="B2217" t="s">
        <v>176</v>
      </c>
      <c r="C2217" t="s">
        <v>613</v>
      </c>
      <c r="D2217" s="41">
        <v>11</v>
      </c>
      <c r="E2217" s="41">
        <v>2496</v>
      </c>
      <c r="F2217" s="41" t="s">
        <v>7285</v>
      </c>
      <c r="G2217" s="41" t="s">
        <v>7285</v>
      </c>
      <c r="H2217" s="2043">
        <v>52893</v>
      </c>
      <c r="I2217" s="2043">
        <v>283560</v>
      </c>
      <c r="J2217">
        <v>1</v>
      </c>
      <c r="K2217" s="2043">
        <v>52893</v>
      </c>
      <c r="L2217" s="2043">
        <v>52893</v>
      </c>
      <c r="M2217">
        <v>599</v>
      </c>
      <c r="N2217">
        <v>1</v>
      </c>
    </row>
    <row r="2218" spans="1:14">
      <c r="A2218" t="s">
        <v>3189</v>
      </c>
      <c r="B2218" t="s">
        <v>1311</v>
      </c>
      <c r="C2218" t="s">
        <v>1440</v>
      </c>
      <c r="D2218" s="41">
        <v>9</v>
      </c>
      <c r="E2218" s="41">
        <v>2446</v>
      </c>
      <c r="F2218" s="41" t="s">
        <v>4603</v>
      </c>
      <c r="G2218" s="41" t="s">
        <v>4603</v>
      </c>
      <c r="H2218" s="2043">
        <v>142579</v>
      </c>
      <c r="I2218" s="2043">
        <v>0</v>
      </c>
      <c r="J2218">
        <v>0</v>
      </c>
      <c r="K2218" s="2043">
        <v>0</v>
      </c>
      <c r="L2218" s="2043">
        <v>0</v>
      </c>
      <c r="M2218">
        <v>599</v>
      </c>
      <c r="N2218">
        <v>1</v>
      </c>
    </row>
    <row r="2219" spans="1:14">
      <c r="A2219" t="s">
        <v>3189</v>
      </c>
      <c r="B2219" t="s">
        <v>1311</v>
      </c>
      <c r="C2219" t="s">
        <v>1440</v>
      </c>
      <c r="D2219" s="41">
        <v>9</v>
      </c>
      <c r="E2219" s="41">
        <v>2446</v>
      </c>
      <c r="F2219" s="41" t="s">
        <v>4603</v>
      </c>
      <c r="G2219" s="41" t="s">
        <v>5467</v>
      </c>
      <c r="H2219" s="2043">
        <v>142579</v>
      </c>
      <c r="I2219" s="2043">
        <v>559925</v>
      </c>
      <c r="J2219">
        <v>1</v>
      </c>
      <c r="K2219" s="2043">
        <v>142579</v>
      </c>
      <c r="L2219" s="2043">
        <v>142579</v>
      </c>
      <c r="M2219">
        <v>599</v>
      </c>
      <c r="N2219">
        <v>1</v>
      </c>
    </row>
    <row r="2220" spans="1:14">
      <c r="A2220" t="s">
        <v>3190</v>
      </c>
      <c r="B2220" t="s">
        <v>1312</v>
      </c>
      <c r="C2220" t="s">
        <v>1957</v>
      </c>
      <c r="D2220" s="41">
        <v>9</v>
      </c>
      <c r="E2220" s="41">
        <v>2283</v>
      </c>
      <c r="F2220" s="41" t="s">
        <v>4604</v>
      </c>
      <c r="G2220" s="41" t="s">
        <v>4604</v>
      </c>
      <c r="H2220" s="2043">
        <v>152660</v>
      </c>
      <c r="I2220" s="2043">
        <v>0</v>
      </c>
      <c r="J2220">
        <v>0</v>
      </c>
      <c r="L2220" s="2043">
        <v>0</v>
      </c>
      <c r="M2220">
        <v>599</v>
      </c>
      <c r="N2220">
        <v>0</v>
      </c>
    </row>
    <row r="2221" spans="1:14">
      <c r="A2221" t="s">
        <v>3191</v>
      </c>
      <c r="B2221" t="s">
        <v>2294</v>
      </c>
      <c r="C2221" t="s">
        <v>334</v>
      </c>
      <c r="D2221" s="41">
        <v>9</v>
      </c>
      <c r="E2221" s="41">
        <v>2330</v>
      </c>
      <c r="F2221" s="41" t="s">
        <v>4605</v>
      </c>
      <c r="G2221" s="41" t="s">
        <v>4605</v>
      </c>
      <c r="H2221" s="2043">
        <v>436757</v>
      </c>
      <c r="I2221" s="2043">
        <v>0</v>
      </c>
      <c r="J2221">
        <v>0</v>
      </c>
      <c r="K2221" s="2043">
        <v>0</v>
      </c>
      <c r="L2221" s="2043">
        <v>0</v>
      </c>
      <c r="M2221">
        <v>599</v>
      </c>
      <c r="N2221">
        <v>1</v>
      </c>
    </row>
    <row r="2222" spans="1:14">
      <c r="A2222" t="s">
        <v>3191</v>
      </c>
      <c r="B2222" t="s">
        <v>2294</v>
      </c>
      <c r="C2222" t="s">
        <v>334</v>
      </c>
      <c r="D2222" s="41">
        <v>9</v>
      </c>
      <c r="E2222" s="41">
        <v>2330</v>
      </c>
      <c r="F2222" s="41" t="s">
        <v>4605</v>
      </c>
      <c r="G2222" s="41" t="s">
        <v>5652</v>
      </c>
      <c r="H2222" s="2043">
        <v>436757</v>
      </c>
      <c r="I2222" s="2043">
        <v>448166</v>
      </c>
      <c r="J2222">
        <v>1</v>
      </c>
      <c r="K2222" s="2043">
        <v>436757</v>
      </c>
      <c r="L2222" s="2043">
        <v>436757</v>
      </c>
      <c r="M2222">
        <v>599</v>
      </c>
      <c r="N2222">
        <v>1</v>
      </c>
    </row>
    <row r="2223" spans="1:14">
      <c r="A2223" t="s">
        <v>3191</v>
      </c>
      <c r="B2223" t="s">
        <v>2294</v>
      </c>
      <c r="C2223" t="s">
        <v>334</v>
      </c>
      <c r="D2223" s="41">
        <v>9</v>
      </c>
      <c r="E2223" s="41">
        <v>2330</v>
      </c>
      <c r="F2223" s="41" t="s">
        <v>4605</v>
      </c>
      <c r="G2223" s="41" t="s">
        <v>7286</v>
      </c>
      <c r="H2223" s="2043">
        <v>436757</v>
      </c>
      <c r="I2223" s="2043">
        <v>0</v>
      </c>
      <c r="J2223">
        <v>0</v>
      </c>
      <c r="K2223" s="2043">
        <v>0</v>
      </c>
      <c r="L2223" s="2043">
        <v>0</v>
      </c>
      <c r="M2223">
        <v>599</v>
      </c>
      <c r="N2223">
        <v>1</v>
      </c>
    </row>
    <row r="2224" spans="1:14">
      <c r="A2224" t="s">
        <v>3191</v>
      </c>
      <c r="B2224" t="s">
        <v>2294</v>
      </c>
      <c r="C2224" t="s">
        <v>334</v>
      </c>
      <c r="D2224" s="41">
        <v>10</v>
      </c>
      <c r="E2224" s="41">
        <v>2329</v>
      </c>
      <c r="F2224" s="41" t="s">
        <v>4606</v>
      </c>
      <c r="G2224" s="41" t="s">
        <v>4606</v>
      </c>
      <c r="H2224" s="2043">
        <v>132650</v>
      </c>
      <c r="I2224" s="2043">
        <v>0</v>
      </c>
      <c r="J2224">
        <v>0</v>
      </c>
      <c r="K2224" s="2043">
        <v>0</v>
      </c>
      <c r="L2224" s="2043">
        <v>0</v>
      </c>
      <c r="M2224">
        <v>599</v>
      </c>
      <c r="N2224">
        <v>1</v>
      </c>
    </row>
    <row r="2225" spans="1:14">
      <c r="A2225" t="s">
        <v>3191</v>
      </c>
      <c r="B2225" t="s">
        <v>2294</v>
      </c>
      <c r="C2225" t="s">
        <v>334</v>
      </c>
      <c r="D2225" s="41">
        <v>10</v>
      </c>
      <c r="E2225" s="41">
        <v>2329</v>
      </c>
      <c r="F2225" s="41" t="s">
        <v>4606</v>
      </c>
      <c r="G2225" s="41" t="s">
        <v>7286</v>
      </c>
      <c r="H2225" s="2043">
        <v>132650</v>
      </c>
      <c r="I2225" s="2043">
        <v>152475</v>
      </c>
      <c r="J2225">
        <v>1</v>
      </c>
      <c r="K2225" s="2043">
        <v>132650</v>
      </c>
      <c r="L2225" s="2043">
        <v>132650</v>
      </c>
      <c r="M2225">
        <v>599</v>
      </c>
      <c r="N2225">
        <v>1</v>
      </c>
    </row>
    <row r="2226" spans="1:14">
      <c r="A2226" t="s">
        <v>3192</v>
      </c>
      <c r="B2226" t="s">
        <v>1144</v>
      </c>
      <c r="C2226" t="s">
        <v>2282</v>
      </c>
      <c r="D2226" s="41">
        <v>5</v>
      </c>
      <c r="E2226" s="41">
        <v>1582</v>
      </c>
      <c r="F2226" s="41" t="s">
        <v>4607</v>
      </c>
      <c r="G2226" s="41" t="s">
        <v>4607</v>
      </c>
      <c r="H2226" s="2043">
        <v>270047</v>
      </c>
      <c r="I2226" s="2043">
        <v>0</v>
      </c>
      <c r="J2226">
        <v>0</v>
      </c>
      <c r="K2226" s="2043">
        <v>0</v>
      </c>
      <c r="L2226" s="2043">
        <v>0</v>
      </c>
      <c r="M2226">
        <v>599</v>
      </c>
      <c r="N2226">
        <v>0</v>
      </c>
    </row>
    <row r="2227" spans="1:14">
      <c r="A2227" t="s">
        <v>3192</v>
      </c>
      <c r="B2227" t="s">
        <v>1144</v>
      </c>
      <c r="C2227" t="s">
        <v>2282</v>
      </c>
      <c r="D2227" s="41">
        <v>5</v>
      </c>
      <c r="E2227" s="41">
        <v>1582</v>
      </c>
      <c r="F2227" s="41" t="s">
        <v>4607</v>
      </c>
      <c r="G2227" s="41" t="s">
        <v>4608</v>
      </c>
      <c r="H2227" s="2043">
        <v>270047</v>
      </c>
      <c r="I2227" s="2043">
        <v>154299</v>
      </c>
      <c r="J2227">
        <v>1</v>
      </c>
      <c r="K2227" s="2043">
        <v>270047</v>
      </c>
      <c r="L2227" s="2043">
        <v>154299</v>
      </c>
      <c r="M2227">
        <v>599</v>
      </c>
      <c r="N2227">
        <v>1</v>
      </c>
    </row>
    <row r="2228" spans="1:14">
      <c r="A2228" t="s">
        <v>3193</v>
      </c>
      <c r="B2228" t="s">
        <v>2386</v>
      </c>
      <c r="C2228" t="s">
        <v>1953</v>
      </c>
      <c r="D2228" s="41">
        <v>3</v>
      </c>
      <c r="E2228" s="41">
        <v>2075</v>
      </c>
      <c r="F2228" s="41" t="s">
        <v>4609</v>
      </c>
      <c r="G2228" s="41" t="s">
        <v>4609</v>
      </c>
      <c r="H2228" s="2043">
        <v>513813</v>
      </c>
      <c r="I2228" s="2043">
        <v>0</v>
      </c>
      <c r="J2228">
        <v>0</v>
      </c>
      <c r="K2228" s="2043">
        <v>0</v>
      </c>
      <c r="L2228" s="2043">
        <v>0</v>
      </c>
      <c r="M2228">
        <v>599</v>
      </c>
      <c r="N2228">
        <v>0</v>
      </c>
    </row>
    <row r="2229" spans="1:14">
      <c r="A2229" t="s">
        <v>3193</v>
      </c>
      <c r="B2229" t="s">
        <v>2386</v>
      </c>
      <c r="C2229" t="s">
        <v>1953</v>
      </c>
      <c r="D2229" s="41">
        <v>3</v>
      </c>
      <c r="E2229" s="41">
        <v>2075</v>
      </c>
      <c r="F2229" s="41" t="s">
        <v>4609</v>
      </c>
      <c r="G2229" s="41" t="s">
        <v>4610</v>
      </c>
      <c r="H2229" s="2043">
        <v>513813</v>
      </c>
      <c r="I2229" s="2043">
        <v>0</v>
      </c>
      <c r="J2229">
        <v>0</v>
      </c>
      <c r="K2229" s="2043">
        <v>0</v>
      </c>
      <c r="L2229" s="2043">
        <v>0</v>
      </c>
      <c r="M2229">
        <v>599</v>
      </c>
      <c r="N2229">
        <v>1</v>
      </c>
    </row>
    <row r="2230" spans="1:14">
      <c r="A2230" t="s">
        <v>3193</v>
      </c>
      <c r="B2230" t="s">
        <v>2386</v>
      </c>
      <c r="C2230" t="s">
        <v>1953</v>
      </c>
      <c r="D2230" s="41">
        <v>3</v>
      </c>
      <c r="E2230" s="41">
        <v>2075</v>
      </c>
      <c r="F2230" s="41" t="s">
        <v>4609</v>
      </c>
      <c r="G2230" s="41" t="s">
        <v>4611</v>
      </c>
      <c r="H2230" s="2043">
        <v>513813</v>
      </c>
      <c r="I2230" s="2043">
        <v>0</v>
      </c>
      <c r="J2230">
        <v>0</v>
      </c>
      <c r="K2230" s="2043">
        <v>0</v>
      </c>
      <c r="L2230" s="2043">
        <v>0</v>
      </c>
      <c r="M2230">
        <v>599</v>
      </c>
      <c r="N2230">
        <v>1</v>
      </c>
    </row>
    <row r="2231" spans="1:14">
      <c r="A2231" t="s">
        <v>3193</v>
      </c>
      <c r="B2231" t="s">
        <v>2386</v>
      </c>
      <c r="C2231" t="s">
        <v>1953</v>
      </c>
      <c r="D2231" s="41">
        <v>3</v>
      </c>
      <c r="E2231" s="41">
        <v>2075</v>
      </c>
      <c r="F2231" s="41" t="s">
        <v>4609</v>
      </c>
      <c r="G2231" s="41" t="s">
        <v>5653</v>
      </c>
      <c r="H2231" s="2043">
        <v>513813</v>
      </c>
      <c r="I2231" s="2043">
        <v>355350</v>
      </c>
      <c r="J2231">
        <v>0.64619195001400198</v>
      </c>
      <c r="K2231" s="2043">
        <v>332021.82441254403</v>
      </c>
      <c r="L2231" s="2043">
        <v>332021.82441254403</v>
      </c>
      <c r="M2231">
        <v>599</v>
      </c>
      <c r="N2231">
        <v>1</v>
      </c>
    </row>
    <row r="2232" spans="1:14">
      <c r="A2232" t="s">
        <v>3193</v>
      </c>
      <c r="B2232" t="s">
        <v>2386</v>
      </c>
      <c r="C2232" t="s">
        <v>1953</v>
      </c>
      <c r="D2232" s="41">
        <v>3</v>
      </c>
      <c r="E2232" s="41">
        <v>2075</v>
      </c>
      <c r="F2232" s="41" t="s">
        <v>4609</v>
      </c>
      <c r="G2232" s="41" t="s">
        <v>7287</v>
      </c>
      <c r="H2232" s="2043">
        <v>513813</v>
      </c>
      <c r="I2232" s="2043">
        <v>140400</v>
      </c>
      <c r="J2232">
        <v>0.25531264888691702</v>
      </c>
      <c r="K2232" s="2043">
        <v>131182.958062533</v>
      </c>
      <c r="L2232" s="2043">
        <v>131182.958062533</v>
      </c>
      <c r="M2232">
        <v>599</v>
      </c>
      <c r="N2232">
        <v>1</v>
      </c>
    </row>
    <row r="2233" spans="1:14">
      <c r="A2233" t="s">
        <v>3193</v>
      </c>
      <c r="B2233" t="s">
        <v>2386</v>
      </c>
      <c r="C2233" t="s">
        <v>1953</v>
      </c>
      <c r="D2233" s="41">
        <v>3</v>
      </c>
      <c r="E2233" s="41">
        <v>2075</v>
      </c>
      <c r="F2233" s="41" t="s">
        <v>4609</v>
      </c>
      <c r="G2233" s="41" t="s">
        <v>9394</v>
      </c>
      <c r="H2233" s="2043">
        <v>513813</v>
      </c>
      <c r="I2233" s="2043">
        <v>54164</v>
      </c>
      <c r="J2233">
        <v>9.8495401099080906E-2</v>
      </c>
      <c r="K2233" s="2043">
        <v>50608.217524922104</v>
      </c>
      <c r="L2233" s="2043">
        <v>50608.217524922104</v>
      </c>
      <c r="M2233">
        <v>599</v>
      </c>
      <c r="N2233">
        <v>1</v>
      </c>
    </row>
    <row r="2234" spans="1:14">
      <c r="A2234" t="s">
        <v>3193</v>
      </c>
      <c r="B2234" t="s">
        <v>2386</v>
      </c>
      <c r="C2234" t="s">
        <v>1953</v>
      </c>
      <c r="D2234" s="41">
        <v>9</v>
      </c>
      <c r="E2234" s="41">
        <v>2074</v>
      </c>
      <c r="F2234" s="41" t="s">
        <v>4610</v>
      </c>
      <c r="G2234" s="41" t="s">
        <v>4610</v>
      </c>
      <c r="H2234" s="2043">
        <v>425296</v>
      </c>
      <c r="I2234" s="2043">
        <v>0</v>
      </c>
      <c r="J2234">
        <v>0</v>
      </c>
      <c r="K2234" s="2043">
        <v>0</v>
      </c>
      <c r="L2234" s="2043">
        <v>0</v>
      </c>
      <c r="M2234">
        <v>599</v>
      </c>
      <c r="N2234">
        <v>1</v>
      </c>
    </row>
    <row r="2235" spans="1:14">
      <c r="A2235" t="s">
        <v>3193</v>
      </c>
      <c r="B2235" t="s">
        <v>2386</v>
      </c>
      <c r="C2235" t="s">
        <v>1953</v>
      </c>
      <c r="D2235" s="41">
        <v>9</v>
      </c>
      <c r="E2235" s="41">
        <v>2074</v>
      </c>
      <c r="F2235" s="41" t="s">
        <v>4610</v>
      </c>
      <c r="G2235" s="41" t="s">
        <v>5653</v>
      </c>
      <c r="H2235" s="2043">
        <v>425296</v>
      </c>
      <c r="I2235" s="2043">
        <v>279550</v>
      </c>
      <c r="J2235">
        <v>0.70629105608893405</v>
      </c>
      <c r="K2235" s="2043">
        <v>300382.76099039899</v>
      </c>
      <c r="L2235" s="2043">
        <v>279550</v>
      </c>
      <c r="M2235">
        <v>599</v>
      </c>
      <c r="N2235">
        <v>1</v>
      </c>
    </row>
    <row r="2236" spans="1:14">
      <c r="A2236" t="s">
        <v>3193</v>
      </c>
      <c r="B2236" t="s">
        <v>2386</v>
      </c>
      <c r="C2236" t="s">
        <v>1953</v>
      </c>
      <c r="D2236" s="41">
        <v>9</v>
      </c>
      <c r="E2236" s="41">
        <v>2074</v>
      </c>
      <c r="F2236" s="41" t="s">
        <v>4610</v>
      </c>
      <c r="G2236" s="41" t="s">
        <v>7287</v>
      </c>
      <c r="H2236" s="2043">
        <v>425296</v>
      </c>
      <c r="I2236" s="2043">
        <v>116250</v>
      </c>
      <c r="J2236">
        <v>0.293708943911066</v>
      </c>
      <c r="K2236" s="2043">
        <v>124913.23900960101</v>
      </c>
      <c r="L2236" s="2043">
        <v>116250</v>
      </c>
      <c r="M2236">
        <v>599</v>
      </c>
      <c r="N2236">
        <v>1</v>
      </c>
    </row>
    <row r="2237" spans="1:14">
      <c r="A2237" t="s">
        <v>3193</v>
      </c>
      <c r="B2237" t="s">
        <v>2386</v>
      </c>
      <c r="C2237" t="s">
        <v>1953</v>
      </c>
      <c r="D2237" s="41">
        <v>10</v>
      </c>
      <c r="E2237" s="41">
        <v>2073</v>
      </c>
      <c r="F2237" s="41" t="s">
        <v>4611</v>
      </c>
      <c r="G2237" s="41" t="s">
        <v>4611</v>
      </c>
      <c r="H2237" s="2043">
        <v>383389</v>
      </c>
      <c r="I2237" s="2043">
        <v>277056</v>
      </c>
      <c r="J2237">
        <v>0.53888316184622598</v>
      </c>
      <c r="K2237" s="2043">
        <v>206601.87653706301</v>
      </c>
      <c r="L2237" s="2043">
        <v>206601.87653706301</v>
      </c>
      <c r="M2237">
        <v>599</v>
      </c>
      <c r="N2237">
        <v>1</v>
      </c>
    </row>
    <row r="2238" spans="1:14">
      <c r="A2238" t="s">
        <v>3193</v>
      </c>
      <c r="B2238" t="s">
        <v>2386</v>
      </c>
      <c r="C2238" t="s">
        <v>1953</v>
      </c>
      <c r="D2238" s="41">
        <v>10</v>
      </c>
      <c r="E2238" s="41">
        <v>2073</v>
      </c>
      <c r="F2238" s="41" t="s">
        <v>4611</v>
      </c>
      <c r="G2238" s="41" t="s">
        <v>7287</v>
      </c>
      <c r="H2238" s="2043">
        <v>383389</v>
      </c>
      <c r="I2238" s="2043">
        <v>84800</v>
      </c>
      <c r="J2238">
        <v>0.164938828700912</v>
      </c>
      <c r="K2238" s="2043">
        <v>63235.732596813999</v>
      </c>
      <c r="L2238" s="2043">
        <v>63235.732596813999</v>
      </c>
      <c r="M2238">
        <v>599</v>
      </c>
      <c r="N2238">
        <v>1</v>
      </c>
    </row>
    <row r="2239" spans="1:14">
      <c r="A2239" t="s">
        <v>3193</v>
      </c>
      <c r="B2239" t="s">
        <v>2386</v>
      </c>
      <c r="C2239" t="s">
        <v>1953</v>
      </c>
      <c r="D2239" s="41">
        <v>10</v>
      </c>
      <c r="E2239" s="41">
        <v>2073</v>
      </c>
      <c r="F2239" s="41" t="s">
        <v>4611</v>
      </c>
      <c r="G2239" s="41" t="s">
        <v>9394</v>
      </c>
      <c r="H2239" s="2043">
        <v>383389</v>
      </c>
      <c r="I2239" s="2043">
        <v>152274</v>
      </c>
      <c r="J2239">
        <v>0.29617800945286199</v>
      </c>
      <c r="K2239" s="2043">
        <v>113551.39086612299</v>
      </c>
      <c r="L2239" s="2043">
        <v>113551.39086612299</v>
      </c>
      <c r="M2239">
        <v>599</v>
      </c>
      <c r="N2239">
        <v>1</v>
      </c>
    </row>
    <row r="2240" spans="1:14">
      <c r="A2240" t="s">
        <v>3194</v>
      </c>
      <c r="B2240" t="s">
        <v>1326</v>
      </c>
      <c r="C2240" t="s">
        <v>246</v>
      </c>
      <c r="D2240" s="41">
        <v>3</v>
      </c>
      <c r="E2240" s="41">
        <v>2155</v>
      </c>
      <c r="F2240" s="41" t="s">
        <v>4612</v>
      </c>
      <c r="G2240" s="41" t="s">
        <v>4612</v>
      </c>
      <c r="H2240" s="2043">
        <v>175026</v>
      </c>
      <c r="I2240" s="2043">
        <v>0</v>
      </c>
      <c r="J2240">
        <v>0</v>
      </c>
      <c r="K2240" s="2043">
        <v>0</v>
      </c>
      <c r="L2240" s="2043">
        <v>0</v>
      </c>
      <c r="M2240">
        <v>599</v>
      </c>
      <c r="N2240">
        <v>0</v>
      </c>
    </row>
    <row r="2241" spans="1:14">
      <c r="A2241" t="s">
        <v>3194</v>
      </c>
      <c r="B2241" t="s">
        <v>1326</v>
      </c>
      <c r="C2241" t="s">
        <v>246</v>
      </c>
      <c r="D2241" s="41">
        <v>3</v>
      </c>
      <c r="E2241" s="41">
        <v>2155</v>
      </c>
      <c r="F2241" s="41" t="s">
        <v>4612</v>
      </c>
      <c r="G2241" s="41" t="s">
        <v>4613</v>
      </c>
      <c r="H2241" s="2043">
        <v>175026</v>
      </c>
      <c r="I2241" s="2043">
        <v>0</v>
      </c>
      <c r="J2241">
        <v>0</v>
      </c>
      <c r="K2241" s="2043">
        <v>0</v>
      </c>
      <c r="L2241" s="2043">
        <v>0</v>
      </c>
      <c r="M2241">
        <v>599</v>
      </c>
      <c r="N2241">
        <v>1</v>
      </c>
    </row>
    <row r="2242" spans="1:14">
      <c r="A2242" t="s">
        <v>3194</v>
      </c>
      <c r="B2242" t="s">
        <v>1326</v>
      </c>
      <c r="C2242" t="s">
        <v>246</v>
      </c>
      <c r="D2242" s="41">
        <v>3</v>
      </c>
      <c r="E2242" s="41">
        <v>2155</v>
      </c>
      <c r="F2242" s="41" t="s">
        <v>4612</v>
      </c>
      <c r="G2242" s="41" t="s">
        <v>7288</v>
      </c>
      <c r="H2242" s="2043">
        <v>175026</v>
      </c>
      <c r="I2242" s="2043">
        <v>172934</v>
      </c>
      <c r="J2242">
        <v>1</v>
      </c>
      <c r="K2242" s="2043">
        <v>175026</v>
      </c>
      <c r="L2242" s="2043">
        <v>172934</v>
      </c>
      <c r="M2242">
        <v>599</v>
      </c>
      <c r="N2242">
        <v>1</v>
      </c>
    </row>
    <row r="2243" spans="1:14">
      <c r="A2243" t="s">
        <v>3194</v>
      </c>
      <c r="B2243" t="s">
        <v>1326</v>
      </c>
      <c r="C2243" t="s">
        <v>246</v>
      </c>
      <c r="D2243" s="41">
        <v>5</v>
      </c>
      <c r="E2243" s="41">
        <v>2156</v>
      </c>
      <c r="F2243" s="41" t="s">
        <v>4614</v>
      </c>
      <c r="G2243" s="41" t="s">
        <v>4614</v>
      </c>
      <c r="H2243" s="2043">
        <v>274260</v>
      </c>
      <c r="I2243" s="2043">
        <v>0</v>
      </c>
      <c r="J2243">
        <v>0</v>
      </c>
      <c r="K2243" s="2043">
        <v>0</v>
      </c>
      <c r="L2243" s="2043">
        <v>0</v>
      </c>
      <c r="M2243">
        <v>599</v>
      </c>
      <c r="N2243">
        <v>1</v>
      </c>
    </row>
    <row r="2244" spans="1:14">
      <c r="A2244" t="s">
        <v>3194</v>
      </c>
      <c r="B2244" t="s">
        <v>1326</v>
      </c>
      <c r="C2244" t="s">
        <v>246</v>
      </c>
      <c r="D2244" s="41">
        <v>5</v>
      </c>
      <c r="E2244" s="41">
        <v>2156</v>
      </c>
      <c r="F2244" s="41" t="s">
        <v>4614</v>
      </c>
      <c r="G2244" s="41" t="s">
        <v>4613</v>
      </c>
      <c r="H2244" s="2043">
        <v>274260</v>
      </c>
      <c r="I2244" s="2043">
        <v>0</v>
      </c>
      <c r="J2244">
        <v>0</v>
      </c>
      <c r="K2244" s="2043">
        <v>0</v>
      </c>
      <c r="L2244" s="2043">
        <v>0</v>
      </c>
      <c r="M2244">
        <v>599</v>
      </c>
      <c r="N2244">
        <v>1</v>
      </c>
    </row>
    <row r="2245" spans="1:14">
      <c r="A2245" t="s">
        <v>3194</v>
      </c>
      <c r="B2245" t="s">
        <v>1326</v>
      </c>
      <c r="C2245" t="s">
        <v>246</v>
      </c>
      <c r="D2245" s="41">
        <v>5</v>
      </c>
      <c r="E2245" s="41">
        <v>2156</v>
      </c>
      <c r="F2245" s="41" t="s">
        <v>4614</v>
      </c>
      <c r="G2245" s="41" t="s">
        <v>7288</v>
      </c>
      <c r="H2245" s="2043">
        <v>274260</v>
      </c>
      <c r="I2245" s="2043">
        <v>245258</v>
      </c>
      <c r="J2245">
        <v>1</v>
      </c>
      <c r="K2245" s="2043">
        <v>274260</v>
      </c>
      <c r="L2245" s="2043">
        <v>245258</v>
      </c>
      <c r="M2245">
        <v>599</v>
      </c>
      <c r="N2245">
        <v>1</v>
      </c>
    </row>
    <row r="2246" spans="1:14">
      <c r="A2246" t="s">
        <v>3194</v>
      </c>
      <c r="B2246" t="s">
        <v>1326</v>
      </c>
      <c r="C2246" t="s">
        <v>246</v>
      </c>
      <c r="D2246" s="41">
        <v>11</v>
      </c>
      <c r="E2246" s="41">
        <v>2551</v>
      </c>
      <c r="F2246" s="41" t="s">
        <v>7289</v>
      </c>
      <c r="G2246" s="41" t="s">
        <v>7289</v>
      </c>
      <c r="H2246" s="2043">
        <v>230344</v>
      </c>
      <c r="I2246" s="2043">
        <v>1301962</v>
      </c>
      <c r="J2246">
        <v>1</v>
      </c>
      <c r="K2246" s="2043">
        <v>230344</v>
      </c>
      <c r="L2246" s="2043">
        <v>230344</v>
      </c>
      <c r="M2246">
        <v>599</v>
      </c>
      <c r="N2246">
        <v>1</v>
      </c>
    </row>
    <row r="2247" spans="1:14">
      <c r="A2247" t="s">
        <v>3195</v>
      </c>
      <c r="B2247" t="s">
        <v>1241</v>
      </c>
      <c r="C2247" t="s">
        <v>253</v>
      </c>
      <c r="D2247" s="41">
        <v>5</v>
      </c>
      <c r="E2247" s="41">
        <v>2337</v>
      </c>
      <c r="F2247" s="41" t="s">
        <v>4615</v>
      </c>
      <c r="G2247" s="41" t="s">
        <v>4615</v>
      </c>
      <c r="H2247" s="2043">
        <v>463509</v>
      </c>
      <c r="I2247" s="2043">
        <v>0</v>
      </c>
      <c r="J2247">
        <v>0</v>
      </c>
      <c r="K2247" s="2043">
        <v>0</v>
      </c>
      <c r="L2247" s="2043">
        <v>0</v>
      </c>
      <c r="M2247">
        <v>599</v>
      </c>
      <c r="N2247">
        <v>0</v>
      </c>
    </row>
    <row r="2248" spans="1:14">
      <c r="A2248" t="s">
        <v>3195</v>
      </c>
      <c r="B2248" t="s">
        <v>1241</v>
      </c>
      <c r="C2248" t="s">
        <v>253</v>
      </c>
      <c r="D2248" s="41">
        <v>5</v>
      </c>
      <c r="E2248" s="41">
        <v>2337</v>
      </c>
      <c r="F2248" s="41" t="s">
        <v>4615</v>
      </c>
      <c r="G2248" s="41" t="s">
        <v>4616</v>
      </c>
      <c r="H2248" s="2043">
        <v>463509</v>
      </c>
      <c r="I2248" s="2043">
        <v>0</v>
      </c>
      <c r="J2248">
        <v>0</v>
      </c>
      <c r="K2248" s="2043">
        <v>0</v>
      </c>
      <c r="L2248" s="2043">
        <v>0</v>
      </c>
      <c r="M2248">
        <v>599</v>
      </c>
      <c r="N2248">
        <v>1</v>
      </c>
    </row>
    <row r="2249" spans="1:14">
      <c r="A2249" t="s">
        <v>3195</v>
      </c>
      <c r="B2249" t="s">
        <v>1241</v>
      </c>
      <c r="C2249" t="s">
        <v>253</v>
      </c>
      <c r="D2249" s="41">
        <v>5</v>
      </c>
      <c r="E2249" s="41">
        <v>2337</v>
      </c>
      <c r="F2249" s="41" t="s">
        <v>4615</v>
      </c>
      <c r="G2249" s="41" t="s">
        <v>4617</v>
      </c>
      <c r="H2249" s="2043">
        <v>463509</v>
      </c>
      <c r="I2249" s="2043">
        <v>0</v>
      </c>
      <c r="J2249">
        <v>0</v>
      </c>
      <c r="K2249" s="2043">
        <v>0</v>
      </c>
      <c r="L2249" s="2043">
        <v>0</v>
      </c>
      <c r="M2249">
        <v>599</v>
      </c>
      <c r="N2249">
        <v>1</v>
      </c>
    </row>
    <row r="2250" spans="1:14">
      <c r="A2250" t="s">
        <v>3195</v>
      </c>
      <c r="B2250" t="s">
        <v>1241</v>
      </c>
      <c r="C2250" t="s">
        <v>253</v>
      </c>
      <c r="D2250" s="41">
        <v>5</v>
      </c>
      <c r="E2250" s="41">
        <v>2337</v>
      </c>
      <c r="F2250" s="41" t="s">
        <v>4615</v>
      </c>
      <c r="G2250" s="41" t="s">
        <v>7290</v>
      </c>
      <c r="H2250" s="2043">
        <v>463509</v>
      </c>
      <c r="I2250" s="2043">
        <v>434875</v>
      </c>
      <c r="J2250">
        <v>1</v>
      </c>
      <c r="K2250" s="2043">
        <v>463509</v>
      </c>
      <c r="L2250" s="2043">
        <v>434875</v>
      </c>
      <c r="M2250">
        <v>599</v>
      </c>
      <c r="N2250">
        <v>1</v>
      </c>
    </row>
    <row r="2251" spans="1:14">
      <c r="A2251" t="s">
        <v>3195</v>
      </c>
      <c r="B2251" t="s">
        <v>1241</v>
      </c>
      <c r="C2251" t="s">
        <v>253</v>
      </c>
      <c r="D2251" s="41">
        <v>10</v>
      </c>
      <c r="E2251" s="41">
        <v>2336</v>
      </c>
      <c r="F2251" s="41" t="s">
        <v>4618</v>
      </c>
      <c r="G2251" s="41" t="s">
        <v>4618</v>
      </c>
      <c r="H2251" s="2043">
        <v>359677</v>
      </c>
      <c r="I2251" s="2043">
        <v>309009</v>
      </c>
      <c r="J2251">
        <v>1</v>
      </c>
      <c r="K2251" s="2043">
        <v>359677</v>
      </c>
      <c r="L2251" s="2043">
        <v>309009</v>
      </c>
      <c r="M2251">
        <v>199</v>
      </c>
      <c r="N2251">
        <v>1</v>
      </c>
    </row>
    <row r="2252" spans="1:14">
      <c r="A2252" t="s">
        <v>3196</v>
      </c>
      <c r="B2252" t="s">
        <v>177</v>
      </c>
      <c r="C2252" t="s">
        <v>564</v>
      </c>
      <c r="D2252" s="41">
        <v>4</v>
      </c>
      <c r="E2252" s="41">
        <v>2389</v>
      </c>
      <c r="F2252" s="41" t="s">
        <v>4619</v>
      </c>
      <c r="G2252" s="41" t="s">
        <v>4619</v>
      </c>
      <c r="H2252" s="2043">
        <v>347528</v>
      </c>
      <c r="I2252" s="2043">
        <v>0</v>
      </c>
      <c r="J2252">
        <v>0</v>
      </c>
      <c r="K2252" s="2043">
        <v>0</v>
      </c>
      <c r="L2252" s="2043">
        <v>0</v>
      </c>
      <c r="M2252">
        <v>599</v>
      </c>
      <c r="N2252">
        <v>0</v>
      </c>
    </row>
    <row r="2253" spans="1:14">
      <c r="A2253" t="s">
        <v>3196</v>
      </c>
      <c r="B2253" t="s">
        <v>177</v>
      </c>
      <c r="C2253" t="s">
        <v>564</v>
      </c>
      <c r="D2253" s="41">
        <v>4</v>
      </c>
      <c r="E2253" s="41">
        <v>2389</v>
      </c>
      <c r="F2253" s="41" t="s">
        <v>4619</v>
      </c>
      <c r="G2253" s="41" t="s">
        <v>4620</v>
      </c>
      <c r="H2253" s="2043">
        <v>347528</v>
      </c>
      <c r="I2253" s="2043">
        <v>0</v>
      </c>
      <c r="J2253">
        <v>0</v>
      </c>
      <c r="K2253" s="2043">
        <v>0</v>
      </c>
      <c r="L2253" s="2043">
        <v>0</v>
      </c>
      <c r="M2253">
        <v>599</v>
      </c>
      <c r="N2253">
        <v>1</v>
      </c>
    </row>
    <row r="2254" spans="1:14">
      <c r="A2254" t="s">
        <v>3196</v>
      </c>
      <c r="B2254" t="s">
        <v>177</v>
      </c>
      <c r="C2254" t="s">
        <v>564</v>
      </c>
      <c r="D2254" s="41">
        <v>4</v>
      </c>
      <c r="E2254" s="41">
        <v>2389</v>
      </c>
      <c r="F2254" s="41" t="s">
        <v>4619</v>
      </c>
      <c r="G2254" s="41" t="s">
        <v>5654</v>
      </c>
      <c r="H2254" s="2043">
        <v>347528</v>
      </c>
      <c r="I2254" s="2043">
        <v>295150</v>
      </c>
      <c r="J2254">
        <v>1</v>
      </c>
      <c r="K2254" s="2043">
        <v>347528</v>
      </c>
      <c r="L2254" s="2043">
        <v>295150</v>
      </c>
      <c r="M2254">
        <v>599</v>
      </c>
      <c r="N2254">
        <v>1</v>
      </c>
    </row>
    <row r="2255" spans="1:14">
      <c r="A2255" t="s">
        <v>3196</v>
      </c>
      <c r="B2255" t="s">
        <v>177</v>
      </c>
      <c r="C2255" t="s">
        <v>564</v>
      </c>
      <c r="D2255" s="41">
        <v>10</v>
      </c>
      <c r="E2255" s="41">
        <v>2388</v>
      </c>
      <c r="F2255" s="41" t="s">
        <v>4621</v>
      </c>
      <c r="G2255" s="41" t="s">
        <v>4621</v>
      </c>
      <c r="H2255" s="2043">
        <v>284438</v>
      </c>
      <c r="I2255" s="2043">
        <v>0</v>
      </c>
      <c r="J2255">
        <v>0</v>
      </c>
      <c r="K2255" s="2043">
        <v>0</v>
      </c>
      <c r="L2255" s="2043">
        <v>0</v>
      </c>
      <c r="M2255">
        <v>599</v>
      </c>
      <c r="N2255">
        <v>1</v>
      </c>
    </row>
    <row r="2256" spans="1:14">
      <c r="A2256" t="s">
        <v>3196</v>
      </c>
      <c r="B2256" t="s">
        <v>177</v>
      </c>
      <c r="C2256" t="s">
        <v>564</v>
      </c>
      <c r="D2256" s="41">
        <v>10</v>
      </c>
      <c r="E2256" s="41">
        <v>2388</v>
      </c>
      <c r="F2256" s="41" t="s">
        <v>4621</v>
      </c>
      <c r="G2256" s="41" t="s">
        <v>7291</v>
      </c>
      <c r="H2256" s="2043">
        <v>284438</v>
      </c>
      <c r="I2256" s="2043">
        <v>186050</v>
      </c>
      <c r="J2256">
        <v>0.24056022539348801</v>
      </c>
      <c r="K2256" s="2043">
        <v>68424.469390472994</v>
      </c>
      <c r="L2256" s="2043">
        <v>68424.469390472994</v>
      </c>
      <c r="M2256">
        <v>599</v>
      </c>
      <c r="N2256">
        <v>1</v>
      </c>
    </row>
    <row r="2257" spans="1:14">
      <c r="A2257" t="s">
        <v>3196</v>
      </c>
      <c r="B2257" t="s">
        <v>177</v>
      </c>
      <c r="C2257" t="s">
        <v>564</v>
      </c>
      <c r="D2257" s="41">
        <v>10</v>
      </c>
      <c r="E2257" s="41">
        <v>2388</v>
      </c>
      <c r="F2257" s="41" t="s">
        <v>4621</v>
      </c>
      <c r="G2257" s="41" t="s">
        <v>9395</v>
      </c>
      <c r="H2257" s="2043">
        <v>284438</v>
      </c>
      <c r="I2257" s="2043">
        <v>587353</v>
      </c>
      <c r="J2257">
        <v>0.75943977460651202</v>
      </c>
      <c r="K2257" s="2043">
        <v>216013.53060952699</v>
      </c>
      <c r="L2257" s="2043">
        <v>216013.53060952699</v>
      </c>
      <c r="M2257">
        <v>599</v>
      </c>
      <c r="N2257">
        <v>1</v>
      </c>
    </row>
    <row r="2258" spans="1:14">
      <c r="A2258" t="s">
        <v>3197</v>
      </c>
      <c r="B2258" t="s">
        <v>461</v>
      </c>
      <c r="C2258" t="s">
        <v>1319</v>
      </c>
      <c r="D2258" s="41">
        <v>2</v>
      </c>
      <c r="E2258" s="41">
        <v>2302</v>
      </c>
      <c r="F2258" s="41" t="s">
        <v>4622</v>
      </c>
      <c r="G2258" s="41" t="s">
        <v>4622</v>
      </c>
      <c r="H2258" s="2043">
        <v>190287</v>
      </c>
      <c r="I2258" s="2043">
        <v>0</v>
      </c>
      <c r="J2258">
        <v>0</v>
      </c>
      <c r="K2258" s="2043">
        <v>0</v>
      </c>
      <c r="L2258" s="2043">
        <v>0</v>
      </c>
      <c r="M2258">
        <v>599</v>
      </c>
      <c r="N2258">
        <v>0</v>
      </c>
    </row>
    <row r="2259" spans="1:14">
      <c r="A2259" t="s">
        <v>3197</v>
      </c>
      <c r="B2259" t="s">
        <v>461</v>
      </c>
      <c r="C2259" t="s">
        <v>1319</v>
      </c>
      <c r="D2259" s="41">
        <v>2</v>
      </c>
      <c r="E2259" s="41">
        <v>2302</v>
      </c>
      <c r="F2259" s="41" t="s">
        <v>4622</v>
      </c>
      <c r="G2259" s="41" t="s">
        <v>4623</v>
      </c>
      <c r="H2259" s="2043">
        <v>190287</v>
      </c>
      <c r="I2259" s="2043">
        <v>177000</v>
      </c>
      <c r="J2259">
        <v>1</v>
      </c>
      <c r="K2259" s="2043">
        <v>190287</v>
      </c>
      <c r="L2259" s="2043">
        <v>177000</v>
      </c>
      <c r="M2259">
        <v>599</v>
      </c>
      <c r="N2259">
        <v>1</v>
      </c>
    </row>
    <row r="2260" spans="1:14">
      <c r="A2260" t="s">
        <v>5875</v>
      </c>
      <c r="B2260" t="s">
        <v>1369</v>
      </c>
      <c r="C2260" t="s">
        <v>337</v>
      </c>
      <c r="D2260" s="41">
        <v>11</v>
      </c>
      <c r="E2260" s="41">
        <v>2559</v>
      </c>
      <c r="F2260" s="41" t="s">
        <v>7292</v>
      </c>
      <c r="G2260" s="41" t="s">
        <v>7292</v>
      </c>
      <c r="H2260" s="2043">
        <v>100000</v>
      </c>
      <c r="I2260" s="2043">
        <v>0</v>
      </c>
      <c r="J2260">
        <v>0</v>
      </c>
      <c r="L2260" s="2043">
        <v>0</v>
      </c>
      <c r="M2260">
        <v>599</v>
      </c>
      <c r="N2260">
        <v>0</v>
      </c>
    </row>
    <row r="2261" spans="1:14">
      <c r="A2261" t="s">
        <v>3198</v>
      </c>
      <c r="B2261" t="s">
        <v>910</v>
      </c>
      <c r="C2261" t="s">
        <v>1679</v>
      </c>
      <c r="D2261" s="41">
        <v>9</v>
      </c>
      <c r="E2261" s="41">
        <v>1673</v>
      </c>
      <c r="F2261" s="41" t="s">
        <v>4624</v>
      </c>
      <c r="G2261" s="41" t="s">
        <v>4624</v>
      </c>
      <c r="H2261" s="2043">
        <v>246712</v>
      </c>
      <c r="I2261" s="2043">
        <v>0</v>
      </c>
      <c r="J2261">
        <v>0</v>
      </c>
      <c r="K2261" s="2043">
        <v>0</v>
      </c>
      <c r="L2261" s="2043">
        <v>0</v>
      </c>
      <c r="M2261">
        <v>599</v>
      </c>
      <c r="N2261">
        <v>1</v>
      </c>
    </row>
    <row r="2262" spans="1:14">
      <c r="A2262" t="s">
        <v>3198</v>
      </c>
      <c r="B2262" t="s">
        <v>910</v>
      </c>
      <c r="C2262" t="s">
        <v>1679</v>
      </c>
      <c r="D2262" s="41">
        <v>9</v>
      </c>
      <c r="E2262" s="41">
        <v>1673</v>
      </c>
      <c r="F2262" s="41" t="s">
        <v>4624</v>
      </c>
      <c r="G2262" s="41" t="s">
        <v>5655</v>
      </c>
      <c r="H2262" s="2043">
        <v>246712</v>
      </c>
      <c r="I2262" s="2043">
        <v>1236700</v>
      </c>
      <c r="J2262">
        <v>1</v>
      </c>
      <c r="K2262" s="2043">
        <v>246712</v>
      </c>
      <c r="L2262" s="2043">
        <v>246712</v>
      </c>
      <c r="M2262">
        <v>599</v>
      </c>
      <c r="N2262">
        <v>1</v>
      </c>
    </row>
    <row r="2263" spans="1:14">
      <c r="A2263" t="s">
        <v>3199</v>
      </c>
      <c r="B2263" t="s">
        <v>178</v>
      </c>
      <c r="C2263" t="s">
        <v>1177</v>
      </c>
      <c r="D2263" s="41">
        <v>4</v>
      </c>
      <c r="E2263" s="41">
        <v>2328</v>
      </c>
      <c r="F2263" s="41" t="s">
        <v>4625</v>
      </c>
      <c r="G2263" s="41" t="s">
        <v>4625</v>
      </c>
      <c r="H2263" s="2043">
        <v>176318</v>
      </c>
      <c r="I2263" s="2043">
        <v>0</v>
      </c>
      <c r="J2263">
        <v>0</v>
      </c>
      <c r="K2263" s="2043">
        <v>0</v>
      </c>
      <c r="L2263" s="2043">
        <v>0</v>
      </c>
      <c r="M2263">
        <v>599</v>
      </c>
      <c r="N2263">
        <v>0</v>
      </c>
    </row>
    <row r="2264" spans="1:14">
      <c r="A2264" t="s">
        <v>3199</v>
      </c>
      <c r="B2264" t="s">
        <v>178</v>
      </c>
      <c r="C2264" t="s">
        <v>1177</v>
      </c>
      <c r="D2264" s="41">
        <v>4</v>
      </c>
      <c r="E2264" s="41">
        <v>2328</v>
      </c>
      <c r="F2264" s="41" t="s">
        <v>4625</v>
      </c>
      <c r="G2264" s="41" t="s">
        <v>4626</v>
      </c>
      <c r="H2264" s="2043">
        <v>176318</v>
      </c>
      <c r="I2264" s="2043">
        <v>0</v>
      </c>
      <c r="J2264">
        <v>0</v>
      </c>
      <c r="K2264" s="2043">
        <v>0</v>
      </c>
      <c r="L2264" s="2043">
        <v>0</v>
      </c>
      <c r="M2264">
        <v>599</v>
      </c>
      <c r="N2264">
        <v>0</v>
      </c>
    </row>
    <row r="2265" spans="1:14">
      <c r="A2265" t="s">
        <v>3199</v>
      </c>
      <c r="B2265" t="s">
        <v>178</v>
      </c>
      <c r="C2265" t="s">
        <v>1177</v>
      </c>
      <c r="D2265" s="41">
        <v>4</v>
      </c>
      <c r="E2265" s="41">
        <v>2328</v>
      </c>
      <c r="F2265" s="41" t="s">
        <v>4625</v>
      </c>
      <c r="G2265" s="41" t="s">
        <v>5468</v>
      </c>
      <c r="H2265" s="2043">
        <v>176318</v>
      </c>
      <c r="I2265" s="2043">
        <v>154950</v>
      </c>
      <c r="J2265">
        <v>1</v>
      </c>
      <c r="K2265" s="2043">
        <v>176318</v>
      </c>
      <c r="L2265" s="2043">
        <v>154950</v>
      </c>
      <c r="M2265">
        <v>599</v>
      </c>
      <c r="N2265">
        <v>1</v>
      </c>
    </row>
    <row r="2266" spans="1:14">
      <c r="A2266" t="s">
        <v>3200</v>
      </c>
      <c r="B2266" t="s">
        <v>260</v>
      </c>
      <c r="C2266" t="s">
        <v>1996</v>
      </c>
      <c r="D2266" s="41">
        <v>6</v>
      </c>
      <c r="E2266" s="41">
        <v>1584</v>
      </c>
      <c r="F2266" s="41" t="s">
        <v>4627</v>
      </c>
      <c r="G2266" s="41" t="s">
        <v>4627</v>
      </c>
      <c r="H2266" s="2043">
        <v>219258</v>
      </c>
      <c r="I2266" s="2043">
        <v>0</v>
      </c>
      <c r="J2266">
        <v>0</v>
      </c>
      <c r="K2266" s="2043">
        <v>0</v>
      </c>
      <c r="L2266" s="2043">
        <v>0</v>
      </c>
      <c r="M2266">
        <v>599</v>
      </c>
      <c r="N2266">
        <v>0</v>
      </c>
    </row>
    <row r="2267" spans="1:14">
      <c r="A2267" t="s">
        <v>3200</v>
      </c>
      <c r="B2267" t="s">
        <v>260</v>
      </c>
      <c r="C2267" t="s">
        <v>1996</v>
      </c>
      <c r="D2267" s="41">
        <v>6</v>
      </c>
      <c r="E2267" s="41">
        <v>1584</v>
      </c>
      <c r="F2267" s="41" t="s">
        <v>4627</v>
      </c>
      <c r="G2267" s="41" t="s">
        <v>4628</v>
      </c>
      <c r="H2267" s="2043">
        <v>219258</v>
      </c>
      <c r="I2267" s="2043">
        <v>0</v>
      </c>
      <c r="J2267">
        <v>0</v>
      </c>
      <c r="K2267" s="2043">
        <v>0</v>
      </c>
      <c r="L2267" s="2043">
        <v>0</v>
      </c>
      <c r="M2267">
        <v>599</v>
      </c>
      <c r="N2267">
        <v>1</v>
      </c>
    </row>
    <row r="2268" spans="1:14">
      <c r="A2268" t="s">
        <v>3200</v>
      </c>
      <c r="B2268" t="s">
        <v>260</v>
      </c>
      <c r="C2268" t="s">
        <v>1996</v>
      </c>
      <c r="D2268" s="41">
        <v>6</v>
      </c>
      <c r="E2268" s="41">
        <v>1584</v>
      </c>
      <c r="F2268" s="41" t="s">
        <v>4627</v>
      </c>
      <c r="G2268" s="41" t="s">
        <v>4629</v>
      </c>
      <c r="H2268" s="2043">
        <v>219258</v>
      </c>
      <c r="I2268" s="2043">
        <v>0</v>
      </c>
      <c r="J2268">
        <v>0</v>
      </c>
      <c r="K2268" s="2043">
        <v>0</v>
      </c>
      <c r="L2268" s="2043">
        <v>0</v>
      </c>
      <c r="M2268">
        <v>599</v>
      </c>
      <c r="N2268">
        <v>1</v>
      </c>
    </row>
    <row r="2269" spans="1:14">
      <c r="A2269" t="s">
        <v>3200</v>
      </c>
      <c r="B2269" t="s">
        <v>260</v>
      </c>
      <c r="C2269" t="s">
        <v>1996</v>
      </c>
      <c r="D2269" s="41">
        <v>6</v>
      </c>
      <c r="E2269" s="41">
        <v>1584</v>
      </c>
      <c r="F2269" s="41" t="s">
        <v>4627</v>
      </c>
      <c r="G2269" s="41" t="s">
        <v>7293</v>
      </c>
      <c r="H2269" s="2043">
        <v>219258</v>
      </c>
      <c r="I2269" s="2043">
        <v>351125</v>
      </c>
      <c r="J2269">
        <v>1</v>
      </c>
      <c r="K2269" s="2043">
        <v>219258</v>
      </c>
      <c r="L2269" s="2043">
        <v>219258</v>
      </c>
      <c r="M2269">
        <v>599</v>
      </c>
      <c r="N2269">
        <v>1</v>
      </c>
    </row>
    <row r="2270" spans="1:14">
      <c r="A2270" t="s">
        <v>3201</v>
      </c>
      <c r="B2270" t="s">
        <v>1632</v>
      </c>
      <c r="C2270" t="s">
        <v>1883</v>
      </c>
      <c r="D2270" s="41">
        <v>10</v>
      </c>
      <c r="E2270" s="41">
        <v>2021</v>
      </c>
      <c r="F2270" s="41" t="s">
        <v>4630</v>
      </c>
      <c r="G2270" s="41" t="s">
        <v>4630</v>
      </c>
      <c r="H2270" s="2043">
        <v>863361</v>
      </c>
      <c r="I2270" s="2043">
        <v>0</v>
      </c>
      <c r="J2270">
        <v>0</v>
      </c>
      <c r="K2270" s="2043">
        <v>0</v>
      </c>
      <c r="L2270" s="2043">
        <v>0</v>
      </c>
      <c r="M2270">
        <v>599</v>
      </c>
      <c r="N2270">
        <v>1</v>
      </c>
    </row>
    <row r="2271" spans="1:14">
      <c r="A2271" t="s">
        <v>3201</v>
      </c>
      <c r="B2271" t="s">
        <v>1632</v>
      </c>
      <c r="C2271" t="s">
        <v>1883</v>
      </c>
      <c r="D2271" s="41">
        <v>10</v>
      </c>
      <c r="E2271" s="41">
        <v>2021</v>
      </c>
      <c r="F2271" s="41" t="s">
        <v>4630</v>
      </c>
      <c r="G2271" s="41" t="s">
        <v>8581</v>
      </c>
      <c r="H2271" s="2043">
        <v>863361</v>
      </c>
      <c r="I2271" s="2043">
        <v>1789825</v>
      </c>
      <c r="J2271">
        <v>1</v>
      </c>
      <c r="K2271" s="2043">
        <v>863361</v>
      </c>
      <c r="L2271" s="2043">
        <v>863361</v>
      </c>
      <c r="M2271">
        <v>599</v>
      </c>
      <c r="N2271">
        <v>1</v>
      </c>
    </row>
    <row r="2272" spans="1:14">
      <c r="A2272" t="s">
        <v>3202</v>
      </c>
      <c r="B2272" t="s">
        <v>1110</v>
      </c>
      <c r="C2272" t="s">
        <v>1258</v>
      </c>
      <c r="D2272" s="41">
        <v>2</v>
      </c>
      <c r="E2272" s="41">
        <v>2451</v>
      </c>
      <c r="F2272" s="41" t="s">
        <v>4631</v>
      </c>
      <c r="G2272" s="41" t="s">
        <v>4631</v>
      </c>
      <c r="H2272" s="2043">
        <v>962500</v>
      </c>
      <c r="I2272" s="2043">
        <v>0</v>
      </c>
      <c r="J2272">
        <v>0</v>
      </c>
      <c r="K2272" s="2043">
        <v>0</v>
      </c>
      <c r="L2272" s="2043">
        <v>0</v>
      </c>
      <c r="M2272">
        <v>599</v>
      </c>
      <c r="N2272">
        <v>1</v>
      </c>
    </row>
    <row r="2273" spans="1:14">
      <c r="A2273" t="s">
        <v>3202</v>
      </c>
      <c r="B2273" t="s">
        <v>1110</v>
      </c>
      <c r="C2273" t="s">
        <v>1258</v>
      </c>
      <c r="D2273" s="41">
        <v>2</v>
      </c>
      <c r="E2273" s="41">
        <v>2451</v>
      </c>
      <c r="F2273" s="41" t="s">
        <v>4631</v>
      </c>
      <c r="G2273" s="41" t="s">
        <v>4632</v>
      </c>
      <c r="H2273" s="2043">
        <v>962500</v>
      </c>
      <c r="I2273" s="2043">
        <v>0</v>
      </c>
      <c r="J2273">
        <v>0</v>
      </c>
      <c r="K2273" s="2043">
        <v>0</v>
      </c>
      <c r="L2273" s="2043">
        <v>0</v>
      </c>
      <c r="M2273">
        <v>599</v>
      </c>
      <c r="N2273">
        <v>1</v>
      </c>
    </row>
    <row r="2274" spans="1:14">
      <c r="A2274" t="s">
        <v>3202</v>
      </c>
      <c r="B2274" t="s">
        <v>1110</v>
      </c>
      <c r="C2274" t="s">
        <v>1258</v>
      </c>
      <c r="D2274" s="41">
        <v>2</v>
      </c>
      <c r="E2274" s="41">
        <v>2451</v>
      </c>
      <c r="F2274" s="41" t="s">
        <v>4631</v>
      </c>
      <c r="G2274" s="41" t="s">
        <v>7294</v>
      </c>
      <c r="H2274" s="2043">
        <v>962500</v>
      </c>
      <c r="I2274" s="2043">
        <v>1126105</v>
      </c>
      <c r="J2274">
        <v>1</v>
      </c>
      <c r="K2274" s="2043">
        <v>962500</v>
      </c>
      <c r="L2274" s="2043">
        <v>962500</v>
      </c>
      <c r="M2274">
        <v>599</v>
      </c>
      <c r="N2274">
        <v>1</v>
      </c>
    </row>
    <row r="2275" spans="1:14">
      <c r="A2275" t="s">
        <v>3203</v>
      </c>
      <c r="B2275" t="s">
        <v>1264</v>
      </c>
      <c r="C2275" t="s">
        <v>619</v>
      </c>
      <c r="D2275" s="41">
        <v>9</v>
      </c>
      <c r="E2275" s="41">
        <v>1681</v>
      </c>
      <c r="F2275" s="41" t="s">
        <v>4633</v>
      </c>
      <c r="G2275" s="41" t="s">
        <v>4633</v>
      </c>
      <c r="H2275" s="2043">
        <v>722890</v>
      </c>
      <c r="I2275" s="2043">
        <v>0</v>
      </c>
      <c r="J2275">
        <v>0</v>
      </c>
      <c r="K2275" s="2043">
        <v>0</v>
      </c>
      <c r="L2275" s="2043">
        <v>0</v>
      </c>
      <c r="M2275">
        <v>599</v>
      </c>
      <c r="N2275">
        <v>1</v>
      </c>
    </row>
    <row r="2276" spans="1:14">
      <c r="A2276" t="s">
        <v>3203</v>
      </c>
      <c r="B2276" t="s">
        <v>1264</v>
      </c>
      <c r="C2276" t="s">
        <v>619</v>
      </c>
      <c r="D2276" s="41">
        <v>9</v>
      </c>
      <c r="E2276" s="41">
        <v>1681</v>
      </c>
      <c r="F2276" s="41" t="s">
        <v>4633</v>
      </c>
      <c r="G2276" s="41" t="s">
        <v>5469</v>
      </c>
      <c r="H2276" s="2043">
        <v>722890</v>
      </c>
      <c r="I2276" s="2043">
        <v>887900</v>
      </c>
      <c r="J2276">
        <v>0.854950218576078</v>
      </c>
      <c r="K2276" s="2043">
        <v>618034.963506461</v>
      </c>
      <c r="L2276" s="2043">
        <v>618034.963506461</v>
      </c>
      <c r="M2276">
        <v>599</v>
      </c>
      <c r="N2276">
        <v>1</v>
      </c>
    </row>
    <row r="2277" spans="1:14">
      <c r="A2277" t="s">
        <v>3203</v>
      </c>
      <c r="B2277" t="s">
        <v>1264</v>
      </c>
      <c r="C2277" t="s">
        <v>619</v>
      </c>
      <c r="D2277" s="41">
        <v>9</v>
      </c>
      <c r="E2277" s="41">
        <v>1681</v>
      </c>
      <c r="F2277" s="41" t="s">
        <v>4633</v>
      </c>
      <c r="G2277" s="41" t="s">
        <v>5470</v>
      </c>
      <c r="H2277" s="2043">
        <v>722890</v>
      </c>
      <c r="I2277" s="2043">
        <v>150640</v>
      </c>
      <c r="J2277">
        <v>0.145049781423922</v>
      </c>
      <c r="K2277" s="2043">
        <v>104855.036493539</v>
      </c>
      <c r="L2277" s="2043">
        <v>104855.036493539</v>
      </c>
      <c r="M2277">
        <v>599</v>
      </c>
      <c r="N2277">
        <v>1</v>
      </c>
    </row>
    <row r="2278" spans="1:14">
      <c r="A2278" t="s">
        <v>3204</v>
      </c>
      <c r="B2278" t="s">
        <v>2507</v>
      </c>
      <c r="C2278" t="s">
        <v>2546</v>
      </c>
      <c r="D2278" s="41">
        <v>2</v>
      </c>
      <c r="E2278" s="41">
        <v>2239</v>
      </c>
      <c r="F2278" s="41" t="s">
        <v>4634</v>
      </c>
      <c r="G2278" s="41" t="s">
        <v>4634</v>
      </c>
      <c r="H2278" s="2043">
        <v>595803</v>
      </c>
      <c r="I2278" s="2043">
        <v>0</v>
      </c>
      <c r="J2278">
        <v>0</v>
      </c>
      <c r="L2278" s="2043">
        <v>0</v>
      </c>
      <c r="M2278">
        <v>199</v>
      </c>
      <c r="N2278">
        <v>0</v>
      </c>
    </row>
    <row r="2279" spans="1:14">
      <c r="A2279" t="s">
        <v>3204</v>
      </c>
      <c r="B2279" t="s">
        <v>2507</v>
      </c>
      <c r="C2279" t="s">
        <v>2546</v>
      </c>
      <c r="D2279" s="41">
        <v>4</v>
      </c>
      <c r="E2279" s="41">
        <v>2242</v>
      </c>
      <c r="F2279" s="41" t="s">
        <v>4635</v>
      </c>
      <c r="G2279" s="41" t="s">
        <v>4635</v>
      </c>
      <c r="H2279" s="2043">
        <v>1967288</v>
      </c>
      <c r="I2279" s="2043">
        <v>0</v>
      </c>
      <c r="J2279">
        <v>0</v>
      </c>
      <c r="K2279" s="2043">
        <v>0</v>
      </c>
      <c r="L2279" s="2043">
        <v>0</v>
      </c>
      <c r="M2279">
        <v>599</v>
      </c>
      <c r="N2279">
        <v>0</v>
      </c>
    </row>
    <row r="2280" spans="1:14">
      <c r="A2280" t="s">
        <v>3204</v>
      </c>
      <c r="B2280" t="s">
        <v>2507</v>
      </c>
      <c r="C2280" t="s">
        <v>2546</v>
      </c>
      <c r="D2280" s="41">
        <v>4</v>
      </c>
      <c r="E2280" s="41">
        <v>2242</v>
      </c>
      <c r="F2280" s="41" t="s">
        <v>4635</v>
      </c>
      <c r="G2280" s="41" t="s">
        <v>4636</v>
      </c>
      <c r="H2280" s="2043">
        <v>1967288</v>
      </c>
      <c r="I2280" s="2043">
        <v>0</v>
      </c>
      <c r="J2280">
        <v>0</v>
      </c>
      <c r="K2280" s="2043">
        <v>0</v>
      </c>
      <c r="L2280" s="2043">
        <v>0</v>
      </c>
      <c r="M2280">
        <v>599</v>
      </c>
      <c r="N2280">
        <v>0</v>
      </c>
    </row>
    <row r="2281" spans="1:14">
      <c r="A2281" t="s">
        <v>3204</v>
      </c>
      <c r="B2281" t="s">
        <v>2507</v>
      </c>
      <c r="C2281" t="s">
        <v>2546</v>
      </c>
      <c r="D2281" s="41">
        <v>4</v>
      </c>
      <c r="E2281" s="41">
        <v>2242</v>
      </c>
      <c r="F2281" s="41" t="s">
        <v>4635</v>
      </c>
      <c r="G2281" s="41" t="s">
        <v>5471</v>
      </c>
      <c r="H2281" s="2043">
        <v>1967288</v>
      </c>
      <c r="I2281" s="2043">
        <v>1688750</v>
      </c>
      <c r="J2281">
        <v>1</v>
      </c>
      <c r="K2281" s="2043">
        <v>1967288</v>
      </c>
      <c r="L2281" s="2043">
        <v>1688750</v>
      </c>
      <c r="M2281">
        <v>599</v>
      </c>
      <c r="N2281">
        <v>1</v>
      </c>
    </row>
    <row r="2282" spans="1:14">
      <c r="A2282" t="s">
        <v>3204</v>
      </c>
      <c r="B2282" t="s">
        <v>2507</v>
      </c>
      <c r="C2282" t="s">
        <v>2546</v>
      </c>
      <c r="D2282" s="41">
        <v>6</v>
      </c>
      <c r="E2282" s="41">
        <v>2241</v>
      </c>
      <c r="F2282" s="41" t="s">
        <v>4637</v>
      </c>
      <c r="G2282" s="41" t="s">
        <v>4637</v>
      </c>
      <c r="H2282" s="2043">
        <v>1797043</v>
      </c>
      <c r="I2282" s="2043">
        <v>0</v>
      </c>
      <c r="J2282">
        <v>0</v>
      </c>
      <c r="K2282" s="2043">
        <v>0</v>
      </c>
      <c r="L2282" s="2043">
        <v>0</v>
      </c>
      <c r="M2282">
        <v>599</v>
      </c>
      <c r="N2282">
        <v>0</v>
      </c>
    </row>
    <row r="2283" spans="1:14">
      <c r="A2283" t="s">
        <v>3204</v>
      </c>
      <c r="B2283" t="s">
        <v>2507</v>
      </c>
      <c r="C2283" t="s">
        <v>2546</v>
      </c>
      <c r="D2283" s="41">
        <v>6</v>
      </c>
      <c r="E2283" s="41">
        <v>2241</v>
      </c>
      <c r="F2283" s="41" t="s">
        <v>4637</v>
      </c>
      <c r="G2283" s="41" t="s">
        <v>4638</v>
      </c>
      <c r="H2283" s="2043">
        <v>1797043</v>
      </c>
      <c r="I2283" s="2043">
        <v>548622</v>
      </c>
      <c r="J2283">
        <v>0.59184439625877905</v>
      </c>
      <c r="K2283" s="2043">
        <v>1063569.8293860599</v>
      </c>
      <c r="L2283" s="2043">
        <v>548622</v>
      </c>
      <c r="M2283">
        <v>599</v>
      </c>
      <c r="N2283">
        <v>1</v>
      </c>
    </row>
    <row r="2284" spans="1:14">
      <c r="A2284" t="s">
        <v>3204</v>
      </c>
      <c r="B2284" t="s">
        <v>2507</v>
      </c>
      <c r="C2284" t="s">
        <v>2546</v>
      </c>
      <c r="D2284" s="41">
        <v>6</v>
      </c>
      <c r="E2284" s="41">
        <v>2241</v>
      </c>
      <c r="F2284" s="41" t="s">
        <v>4637</v>
      </c>
      <c r="G2284" s="41" t="s">
        <v>4639</v>
      </c>
      <c r="H2284" s="2043">
        <v>1797043</v>
      </c>
      <c r="I2284" s="2043">
        <v>378348</v>
      </c>
      <c r="J2284">
        <v>0.40815560374122101</v>
      </c>
      <c r="K2284" s="2043">
        <v>733473.17061393603</v>
      </c>
      <c r="L2284" s="2043">
        <v>378348</v>
      </c>
      <c r="M2284">
        <v>599</v>
      </c>
      <c r="N2284">
        <v>1</v>
      </c>
    </row>
    <row r="2285" spans="1:14">
      <c r="A2285" t="s">
        <v>3204</v>
      </c>
      <c r="B2285" t="s">
        <v>2507</v>
      </c>
      <c r="C2285" t="s">
        <v>2546</v>
      </c>
      <c r="D2285" s="41">
        <v>7</v>
      </c>
      <c r="E2285" s="41">
        <v>2240</v>
      </c>
      <c r="F2285" s="41" t="s">
        <v>4640</v>
      </c>
      <c r="G2285" s="41" t="s">
        <v>4640</v>
      </c>
      <c r="H2285" s="2043">
        <v>1469426</v>
      </c>
      <c r="I2285" s="2043">
        <v>0</v>
      </c>
      <c r="J2285">
        <v>0</v>
      </c>
      <c r="K2285" s="2043">
        <v>0</v>
      </c>
      <c r="L2285" s="2043">
        <v>0</v>
      </c>
      <c r="M2285">
        <v>599</v>
      </c>
      <c r="N2285">
        <v>0</v>
      </c>
    </row>
    <row r="2286" spans="1:14">
      <c r="A2286" t="s">
        <v>3204</v>
      </c>
      <c r="B2286" t="s">
        <v>2507</v>
      </c>
      <c r="C2286" t="s">
        <v>2546</v>
      </c>
      <c r="D2286" s="41">
        <v>7</v>
      </c>
      <c r="E2286" s="41">
        <v>2240</v>
      </c>
      <c r="F2286" s="41" t="s">
        <v>4640</v>
      </c>
      <c r="G2286" s="41" t="s">
        <v>4641</v>
      </c>
      <c r="H2286" s="2043">
        <v>1469426</v>
      </c>
      <c r="I2286" s="2043">
        <v>1356375</v>
      </c>
      <c r="J2286">
        <v>1</v>
      </c>
      <c r="K2286" s="2043">
        <v>1469426</v>
      </c>
      <c r="L2286" s="2043">
        <v>1356375</v>
      </c>
      <c r="M2286">
        <v>599</v>
      </c>
      <c r="N2286">
        <v>1</v>
      </c>
    </row>
    <row r="2287" spans="1:14">
      <c r="A2287" t="s">
        <v>3204</v>
      </c>
      <c r="B2287" t="s">
        <v>2507</v>
      </c>
      <c r="C2287" t="s">
        <v>2546</v>
      </c>
      <c r="D2287" s="41">
        <v>8</v>
      </c>
      <c r="E2287" s="41">
        <v>2244</v>
      </c>
      <c r="F2287" s="41" t="s">
        <v>4642</v>
      </c>
      <c r="G2287" s="41" t="s">
        <v>4642</v>
      </c>
      <c r="H2287" s="2043">
        <v>2370209</v>
      </c>
      <c r="I2287" s="2043">
        <v>0</v>
      </c>
      <c r="J2287">
        <v>0</v>
      </c>
      <c r="K2287" s="2043">
        <v>0</v>
      </c>
      <c r="L2287" s="2043">
        <v>0</v>
      </c>
      <c r="M2287">
        <v>599</v>
      </c>
      <c r="N2287">
        <v>1</v>
      </c>
    </row>
    <row r="2288" spans="1:14">
      <c r="A2288" t="s">
        <v>3204</v>
      </c>
      <c r="B2288" t="s">
        <v>2507</v>
      </c>
      <c r="C2288" t="s">
        <v>2546</v>
      </c>
      <c r="D2288" s="41">
        <v>8</v>
      </c>
      <c r="E2288" s="41">
        <v>2244</v>
      </c>
      <c r="F2288" s="41" t="s">
        <v>4642</v>
      </c>
      <c r="G2288" s="41" t="s">
        <v>5656</v>
      </c>
      <c r="H2288" s="2043">
        <v>2370209</v>
      </c>
      <c r="I2288" s="2043">
        <v>2126275</v>
      </c>
      <c r="J2288">
        <v>1</v>
      </c>
      <c r="K2288" s="2043">
        <v>2370209</v>
      </c>
      <c r="L2288" s="2043">
        <v>2126275</v>
      </c>
      <c r="M2288">
        <v>599</v>
      </c>
      <c r="N2288">
        <v>1</v>
      </c>
    </row>
    <row r="2289" spans="1:14">
      <c r="A2289" t="s">
        <v>3204</v>
      </c>
      <c r="B2289" t="s">
        <v>2507</v>
      </c>
      <c r="C2289" t="s">
        <v>2546</v>
      </c>
      <c r="D2289" s="41">
        <v>10</v>
      </c>
      <c r="E2289" s="41">
        <v>2243</v>
      </c>
      <c r="F2289" s="41" t="s">
        <v>4643</v>
      </c>
      <c r="G2289" s="41" t="s">
        <v>4643</v>
      </c>
      <c r="H2289" s="2043">
        <v>2133360</v>
      </c>
      <c r="I2289" s="2043">
        <v>0</v>
      </c>
      <c r="J2289">
        <v>0</v>
      </c>
      <c r="K2289" s="2043">
        <v>0</v>
      </c>
      <c r="L2289" s="2043">
        <v>0</v>
      </c>
      <c r="M2289">
        <v>599</v>
      </c>
      <c r="N2289">
        <v>1</v>
      </c>
    </row>
    <row r="2290" spans="1:14">
      <c r="A2290" t="s">
        <v>3204</v>
      </c>
      <c r="B2290" t="s">
        <v>2507</v>
      </c>
      <c r="C2290" t="s">
        <v>2546</v>
      </c>
      <c r="D2290" s="41">
        <v>10</v>
      </c>
      <c r="E2290" s="41">
        <v>2243</v>
      </c>
      <c r="F2290" s="41" t="s">
        <v>4643</v>
      </c>
      <c r="G2290" s="41" t="s">
        <v>7295</v>
      </c>
      <c r="H2290" s="2043">
        <v>2133360</v>
      </c>
      <c r="I2290" s="2043">
        <v>203000</v>
      </c>
      <c r="J2290">
        <v>0.21993499458288199</v>
      </c>
      <c r="K2290" s="2043">
        <v>469200.52004333702</v>
      </c>
      <c r="L2290" s="2043">
        <v>203000</v>
      </c>
      <c r="M2290">
        <v>599</v>
      </c>
      <c r="N2290">
        <v>1</v>
      </c>
    </row>
    <row r="2291" spans="1:14">
      <c r="A2291" t="s">
        <v>3204</v>
      </c>
      <c r="B2291" t="s">
        <v>2507</v>
      </c>
      <c r="C2291" t="s">
        <v>2546</v>
      </c>
      <c r="D2291" s="41">
        <v>10</v>
      </c>
      <c r="E2291" s="41">
        <v>2243</v>
      </c>
      <c r="F2291" s="41" t="s">
        <v>4643</v>
      </c>
      <c r="G2291" s="41" t="s">
        <v>9396</v>
      </c>
      <c r="H2291" s="2043">
        <v>2133360</v>
      </c>
      <c r="I2291" s="2043">
        <v>720000</v>
      </c>
      <c r="J2291">
        <v>0.78006500541711798</v>
      </c>
      <c r="K2291" s="2043">
        <v>1664159.47995666</v>
      </c>
      <c r="L2291" s="2043">
        <v>720000</v>
      </c>
      <c r="M2291">
        <v>599</v>
      </c>
      <c r="N2291">
        <v>1</v>
      </c>
    </row>
    <row r="2292" spans="1:14">
      <c r="A2292" t="s">
        <v>3205</v>
      </c>
      <c r="B2292" t="s">
        <v>179</v>
      </c>
      <c r="C2292" t="s">
        <v>571</v>
      </c>
      <c r="D2292" s="41">
        <v>4</v>
      </c>
      <c r="E2292" s="41">
        <v>2262</v>
      </c>
      <c r="F2292" s="41" t="s">
        <v>4644</v>
      </c>
      <c r="G2292" s="41" t="s">
        <v>4644</v>
      </c>
      <c r="H2292" s="2043">
        <v>1385266</v>
      </c>
      <c r="I2292" s="2043">
        <v>0</v>
      </c>
      <c r="J2292">
        <v>0</v>
      </c>
      <c r="K2292" s="2043">
        <v>0</v>
      </c>
      <c r="L2292" s="2043">
        <v>0</v>
      </c>
      <c r="M2292">
        <v>599</v>
      </c>
      <c r="N2292">
        <v>0</v>
      </c>
    </row>
    <row r="2293" spans="1:14">
      <c r="A2293" t="s">
        <v>3205</v>
      </c>
      <c r="B2293" t="s">
        <v>179</v>
      </c>
      <c r="C2293" t="s">
        <v>571</v>
      </c>
      <c r="D2293" s="41">
        <v>4</v>
      </c>
      <c r="E2293" s="41">
        <v>2262</v>
      </c>
      <c r="F2293" s="41" t="s">
        <v>4644</v>
      </c>
      <c r="G2293" s="41" t="s">
        <v>4645</v>
      </c>
      <c r="H2293" s="2043">
        <v>1385266</v>
      </c>
      <c r="I2293" s="2043">
        <v>0</v>
      </c>
      <c r="J2293">
        <v>0</v>
      </c>
      <c r="K2293" s="2043">
        <v>0</v>
      </c>
      <c r="L2293" s="2043">
        <v>0</v>
      </c>
      <c r="M2293">
        <v>599</v>
      </c>
      <c r="N2293">
        <v>0</v>
      </c>
    </row>
    <row r="2294" spans="1:14">
      <c r="A2294" t="s">
        <v>3205</v>
      </c>
      <c r="B2294" t="s">
        <v>179</v>
      </c>
      <c r="C2294" t="s">
        <v>571</v>
      </c>
      <c r="D2294" s="41">
        <v>4</v>
      </c>
      <c r="E2294" s="41">
        <v>2262</v>
      </c>
      <c r="F2294" s="41" t="s">
        <v>4644</v>
      </c>
      <c r="G2294" s="41" t="s">
        <v>5472</v>
      </c>
      <c r="H2294" s="2043">
        <v>1385266</v>
      </c>
      <c r="I2294" s="2043">
        <v>1183600</v>
      </c>
      <c r="J2294">
        <v>1</v>
      </c>
      <c r="K2294" s="2043">
        <v>1385266</v>
      </c>
      <c r="L2294" s="2043">
        <v>1183600</v>
      </c>
      <c r="M2294">
        <v>599</v>
      </c>
      <c r="N2294">
        <v>1</v>
      </c>
    </row>
    <row r="2295" spans="1:14">
      <c r="A2295" t="s">
        <v>3205</v>
      </c>
      <c r="B2295" t="s">
        <v>179</v>
      </c>
      <c r="C2295" t="s">
        <v>571</v>
      </c>
      <c r="D2295" s="41">
        <v>7</v>
      </c>
      <c r="E2295" s="41">
        <v>2260</v>
      </c>
      <c r="F2295" s="41" t="s">
        <v>4646</v>
      </c>
      <c r="G2295" s="41" t="s">
        <v>4646</v>
      </c>
      <c r="H2295" s="2043">
        <v>816105</v>
      </c>
      <c r="I2295" s="2043">
        <v>0</v>
      </c>
      <c r="J2295">
        <v>0</v>
      </c>
      <c r="K2295" s="2043">
        <v>0</v>
      </c>
      <c r="L2295" s="2043">
        <v>0</v>
      </c>
      <c r="M2295">
        <v>599</v>
      </c>
      <c r="N2295">
        <v>0</v>
      </c>
    </row>
    <row r="2296" spans="1:14">
      <c r="A2296" t="s">
        <v>3205</v>
      </c>
      <c r="B2296" t="s">
        <v>179</v>
      </c>
      <c r="C2296" t="s">
        <v>571</v>
      </c>
      <c r="D2296" s="41">
        <v>7</v>
      </c>
      <c r="E2296" s="41">
        <v>2260</v>
      </c>
      <c r="F2296" s="41" t="s">
        <v>4646</v>
      </c>
      <c r="G2296" s="41" t="s">
        <v>4647</v>
      </c>
      <c r="H2296" s="2043">
        <v>816105</v>
      </c>
      <c r="I2296" s="2043">
        <v>736000</v>
      </c>
      <c r="J2296">
        <v>1</v>
      </c>
      <c r="K2296" s="2043">
        <v>816105</v>
      </c>
      <c r="L2296" s="2043">
        <v>736000</v>
      </c>
      <c r="M2296">
        <v>599</v>
      </c>
      <c r="N2296">
        <v>1</v>
      </c>
    </row>
    <row r="2297" spans="1:14">
      <c r="A2297" t="s">
        <v>3205</v>
      </c>
      <c r="B2297" t="s">
        <v>179</v>
      </c>
      <c r="C2297" t="s">
        <v>571</v>
      </c>
      <c r="D2297" s="41">
        <v>8</v>
      </c>
      <c r="E2297" s="41">
        <v>2263</v>
      </c>
      <c r="F2297" s="41" t="s">
        <v>4648</v>
      </c>
      <c r="G2297" s="41" t="s">
        <v>4648</v>
      </c>
      <c r="H2297" s="2043">
        <v>1448810</v>
      </c>
      <c r="I2297" s="2043">
        <v>0</v>
      </c>
      <c r="J2297">
        <v>0</v>
      </c>
      <c r="K2297" s="2043">
        <v>0</v>
      </c>
      <c r="L2297" s="2043">
        <v>0</v>
      </c>
      <c r="M2297">
        <v>599</v>
      </c>
      <c r="N2297">
        <v>1</v>
      </c>
    </row>
    <row r="2298" spans="1:14">
      <c r="A2298" t="s">
        <v>3205</v>
      </c>
      <c r="B2298" t="s">
        <v>179</v>
      </c>
      <c r="C2298" t="s">
        <v>571</v>
      </c>
      <c r="D2298" s="41">
        <v>8</v>
      </c>
      <c r="E2298" s="41">
        <v>2263</v>
      </c>
      <c r="F2298" s="41" t="s">
        <v>4648</v>
      </c>
      <c r="G2298" s="41" t="s">
        <v>4649</v>
      </c>
      <c r="H2298" s="2043">
        <v>1448810</v>
      </c>
      <c r="I2298" s="2043">
        <v>353150</v>
      </c>
      <c r="J2298">
        <v>0.26702708833481398</v>
      </c>
      <c r="K2298" s="2043">
        <v>386871.51585036202</v>
      </c>
      <c r="L2298" s="2043">
        <v>353150</v>
      </c>
      <c r="M2298">
        <v>599</v>
      </c>
      <c r="N2298">
        <v>1</v>
      </c>
    </row>
    <row r="2299" spans="1:14">
      <c r="A2299" t="s">
        <v>3205</v>
      </c>
      <c r="B2299" t="s">
        <v>179</v>
      </c>
      <c r="C2299" t="s">
        <v>571</v>
      </c>
      <c r="D2299" s="41">
        <v>8</v>
      </c>
      <c r="E2299" s="41">
        <v>2263</v>
      </c>
      <c r="F2299" s="41" t="s">
        <v>4648</v>
      </c>
      <c r="G2299" s="41" t="s">
        <v>4650</v>
      </c>
      <c r="H2299" s="2043">
        <v>1448810</v>
      </c>
      <c r="I2299" s="2043">
        <v>969375</v>
      </c>
      <c r="J2299">
        <v>0.73297291166518597</v>
      </c>
      <c r="K2299" s="2043">
        <v>1061938.48414964</v>
      </c>
      <c r="L2299" s="2043">
        <v>969375</v>
      </c>
      <c r="M2299">
        <v>599</v>
      </c>
      <c r="N2299">
        <v>1</v>
      </c>
    </row>
    <row r="2300" spans="1:14">
      <c r="A2300" t="s">
        <v>3205</v>
      </c>
      <c r="B2300" t="s">
        <v>179</v>
      </c>
      <c r="C2300" t="s">
        <v>571</v>
      </c>
      <c r="D2300" s="41">
        <v>9</v>
      </c>
      <c r="E2300" s="41">
        <v>2261</v>
      </c>
      <c r="F2300" s="41" t="s">
        <v>4651</v>
      </c>
      <c r="G2300" s="41" t="s">
        <v>4651</v>
      </c>
      <c r="H2300" s="2043">
        <v>1016430</v>
      </c>
      <c r="I2300" s="2043">
        <v>0</v>
      </c>
      <c r="J2300">
        <v>0</v>
      </c>
      <c r="K2300" s="2043">
        <v>0</v>
      </c>
      <c r="L2300" s="2043">
        <v>0</v>
      </c>
      <c r="M2300">
        <v>599</v>
      </c>
      <c r="N2300">
        <v>1</v>
      </c>
    </row>
    <row r="2301" spans="1:14">
      <c r="A2301" t="s">
        <v>3205</v>
      </c>
      <c r="B2301" t="s">
        <v>179</v>
      </c>
      <c r="C2301" t="s">
        <v>571</v>
      </c>
      <c r="D2301" s="41">
        <v>9</v>
      </c>
      <c r="E2301" s="41">
        <v>2261</v>
      </c>
      <c r="F2301" s="41" t="s">
        <v>4651</v>
      </c>
      <c r="G2301" s="41" t="s">
        <v>5657</v>
      </c>
      <c r="H2301" s="2043">
        <v>1016430</v>
      </c>
      <c r="I2301" s="2043">
        <v>944500</v>
      </c>
      <c r="J2301">
        <v>1</v>
      </c>
      <c r="K2301" s="2043">
        <v>1016430</v>
      </c>
      <c r="L2301" s="2043">
        <v>944500</v>
      </c>
      <c r="M2301">
        <v>599</v>
      </c>
      <c r="N2301">
        <v>1</v>
      </c>
    </row>
    <row r="2302" spans="1:14">
      <c r="A2302" t="s">
        <v>3205</v>
      </c>
      <c r="B2302" t="s">
        <v>179</v>
      </c>
      <c r="C2302" t="s">
        <v>571</v>
      </c>
      <c r="D2302" s="41">
        <v>10</v>
      </c>
      <c r="E2302" s="41">
        <v>2259</v>
      </c>
      <c r="F2302" s="41" t="s">
        <v>4652</v>
      </c>
      <c r="G2302" s="41" t="s">
        <v>4652</v>
      </c>
      <c r="H2302" s="2043">
        <v>623963</v>
      </c>
      <c r="I2302" s="2043">
        <v>0</v>
      </c>
      <c r="J2302">
        <v>0</v>
      </c>
      <c r="K2302" s="2043">
        <v>0</v>
      </c>
      <c r="L2302" s="2043">
        <v>0</v>
      </c>
      <c r="M2302">
        <v>599</v>
      </c>
      <c r="N2302">
        <v>1</v>
      </c>
    </row>
    <row r="2303" spans="1:14">
      <c r="A2303" t="s">
        <v>3205</v>
      </c>
      <c r="B2303" t="s">
        <v>179</v>
      </c>
      <c r="C2303" t="s">
        <v>571</v>
      </c>
      <c r="D2303" s="41">
        <v>10</v>
      </c>
      <c r="E2303" s="41">
        <v>2259</v>
      </c>
      <c r="F2303" s="41" t="s">
        <v>4652</v>
      </c>
      <c r="G2303" s="41" t="s">
        <v>9397</v>
      </c>
      <c r="H2303" s="2043">
        <v>623963</v>
      </c>
      <c r="I2303" s="2043">
        <v>527656</v>
      </c>
      <c r="J2303">
        <v>1</v>
      </c>
      <c r="K2303" s="2043">
        <v>623963</v>
      </c>
      <c r="L2303" s="2043">
        <v>527656</v>
      </c>
      <c r="M2303">
        <v>599</v>
      </c>
      <c r="N2303">
        <v>1</v>
      </c>
    </row>
    <row r="2304" spans="1:14">
      <c r="A2304" t="s">
        <v>3205</v>
      </c>
      <c r="B2304" t="s">
        <v>179</v>
      </c>
      <c r="C2304" t="s">
        <v>571</v>
      </c>
      <c r="D2304" s="41">
        <v>11</v>
      </c>
      <c r="E2304" s="41">
        <v>2477</v>
      </c>
      <c r="F2304" s="41" t="s">
        <v>7296</v>
      </c>
      <c r="G2304" s="41" t="s">
        <v>7296</v>
      </c>
      <c r="H2304" s="2043">
        <v>1318001</v>
      </c>
      <c r="I2304" s="2043">
        <v>1312550</v>
      </c>
      <c r="J2304">
        <v>1</v>
      </c>
      <c r="K2304" s="2043">
        <v>1318001</v>
      </c>
      <c r="L2304" s="2043">
        <v>1312550</v>
      </c>
      <c r="M2304">
        <v>599</v>
      </c>
      <c r="N2304">
        <v>0</v>
      </c>
    </row>
    <row r="2305" spans="1:14">
      <c r="A2305" t="s">
        <v>3206</v>
      </c>
      <c r="B2305" t="s">
        <v>2174</v>
      </c>
      <c r="C2305" t="s">
        <v>2283</v>
      </c>
      <c r="D2305" s="41">
        <v>1</v>
      </c>
      <c r="E2305" s="41">
        <v>1583</v>
      </c>
      <c r="F2305" s="41" t="s">
        <v>4653</v>
      </c>
      <c r="G2305" s="41" t="s">
        <v>4653</v>
      </c>
      <c r="H2305" s="2043">
        <v>5173531</v>
      </c>
      <c r="I2305" s="2043">
        <v>0</v>
      </c>
      <c r="J2305">
        <v>0</v>
      </c>
      <c r="L2305" s="2043">
        <v>0</v>
      </c>
      <c r="M2305">
        <v>599</v>
      </c>
      <c r="N2305">
        <v>0</v>
      </c>
    </row>
    <row r="2306" spans="1:14">
      <c r="A2306" t="s">
        <v>3207</v>
      </c>
      <c r="B2306" t="s">
        <v>826</v>
      </c>
      <c r="C2306" t="s">
        <v>752</v>
      </c>
      <c r="D2306" s="41">
        <v>1</v>
      </c>
      <c r="E2306" s="41">
        <v>1609</v>
      </c>
      <c r="F2306" s="41" t="s">
        <v>4654</v>
      </c>
      <c r="G2306" s="41" t="s">
        <v>4654</v>
      </c>
      <c r="H2306" s="2043">
        <v>796895</v>
      </c>
      <c r="I2306" s="2043">
        <v>0</v>
      </c>
      <c r="J2306">
        <v>0</v>
      </c>
      <c r="L2306" s="2043">
        <v>0</v>
      </c>
      <c r="M2306">
        <v>599</v>
      </c>
      <c r="N2306">
        <v>0</v>
      </c>
    </row>
    <row r="2307" spans="1:14">
      <c r="A2307" t="s">
        <v>3207</v>
      </c>
      <c r="B2307" t="s">
        <v>826</v>
      </c>
      <c r="C2307" t="s">
        <v>752</v>
      </c>
      <c r="D2307" s="41">
        <v>1</v>
      </c>
      <c r="E2307" s="41">
        <v>1611</v>
      </c>
      <c r="F2307" s="41" t="s">
        <v>4656</v>
      </c>
      <c r="G2307" s="41" t="s">
        <v>4656</v>
      </c>
      <c r="H2307" s="2043">
        <v>1775156</v>
      </c>
      <c r="I2307" s="2043">
        <v>0</v>
      </c>
      <c r="J2307">
        <v>0</v>
      </c>
      <c r="L2307" s="2043">
        <v>0</v>
      </c>
      <c r="M2307">
        <v>599</v>
      </c>
      <c r="N2307">
        <v>0</v>
      </c>
    </row>
    <row r="2308" spans="1:14">
      <c r="A2308" t="s">
        <v>3207</v>
      </c>
      <c r="B2308" t="s">
        <v>826</v>
      </c>
      <c r="C2308" t="s">
        <v>752</v>
      </c>
      <c r="D2308" s="41">
        <v>9</v>
      </c>
      <c r="E2308" s="41">
        <v>1612</v>
      </c>
      <c r="F2308" s="41" t="s">
        <v>4657</v>
      </c>
      <c r="G2308" s="41" t="s">
        <v>4657</v>
      </c>
      <c r="H2308" s="2043">
        <v>3559977</v>
      </c>
      <c r="I2308" s="2043">
        <v>0</v>
      </c>
      <c r="J2308">
        <v>0</v>
      </c>
      <c r="K2308" s="2043">
        <v>0</v>
      </c>
      <c r="L2308" s="2043">
        <v>0</v>
      </c>
      <c r="M2308">
        <v>599</v>
      </c>
      <c r="N2308">
        <v>0</v>
      </c>
    </row>
    <row r="2309" spans="1:14">
      <c r="A2309" t="s">
        <v>3207</v>
      </c>
      <c r="B2309" t="s">
        <v>826</v>
      </c>
      <c r="C2309" t="s">
        <v>752</v>
      </c>
      <c r="D2309" s="41">
        <v>9</v>
      </c>
      <c r="E2309" s="41">
        <v>1612</v>
      </c>
      <c r="F2309" s="41" t="s">
        <v>4657</v>
      </c>
      <c r="G2309" s="41" t="s">
        <v>4658</v>
      </c>
      <c r="H2309" s="2043">
        <v>3559977</v>
      </c>
      <c r="I2309" s="2043">
        <v>3897403</v>
      </c>
      <c r="J2309">
        <v>1</v>
      </c>
      <c r="K2309" s="2043">
        <v>3559977</v>
      </c>
      <c r="L2309" s="2043">
        <v>3559977</v>
      </c>
      <c r="M2309">
        <v>599</v>
      </c>
      <c r="N2309">
        <v>1</v>
      </c>
    </row>
    <row r="2310" spans="1:14">
      <c r="A2310" t="s">
        <v>3207</v>
      </c>
      <c r="B2310" t="s">
        <v>826</v>
      </c>
      <c r="C2310" t="s">
        <v>752</v>
      </c>
      <c r="D2310" s="41">
        <v>9</v>
      </c>
      <c r="E2310" s="41">
        <v>1610</v>
      </c>
      <c r="F2310" s="41" t="s">
        <v>4655</v>
      </c>
      <c r="G2310" s="41" t="s">
        <v>4655</v>
      </c>
      <c r="H2310" s="2043">
        <v>1653470</v>
      </c>
      <c r="I2310" s="2043">
        <v>1092860</v>
      </c>
      <c r="J2310">
        <v>0.281513018489506</v>
      </c>
      <c r="K2310" s="2043">
        <v>465473.33068184298</v>
      </c>
      <c r="L2310" s="2043">
        <v>465473.33068184298</v>
      </c>
      <c r="M2310">
        <v>599</v>
      </c>
      <c r="N2310">
        <v>1</v>
      </c>
    </row>
    <row r="2311" spans="1:14">
      <c r="A2311" t="s">
        <v>3207</v>
      </c>
      <c r="B2311" t="s">
        <v>826</v>
      </c>
      <c r="C2311" t="s">
        <v>752</v>
      </c>
      <c r="D2311" s="41">
        <v>9</v>
      </c>
      <c r="E2311" s="41">
        <v>1610</v>
      </c>
      <c r="F2311" s="41" t="s">
        <v>4655</v>
      </c>
      <c r="G2311" s="41" t="s">
        <v>5473</v>
      </c>
      <c r="H2311" s="2043">
        <v>1653470</v>
      </c>
      <c r="I2311" s="2043">
        <v>2789234</v>
      </c>
      <c r="J2311">
        <v>0.71848698151049395</v>
      </c>
      <c r="K2311" s="2043">
        <v>1187996.66931816</v>
      </c>
      <c r="L2311" s="2043">
        <v>1187996.66931816</v>
      </c>
      <c r="M2311">
        <v>599</v>
      </c>
      <c r="N2311">
        <v>1</v>
      </c>
    </row>
    <row r="2312" spans="1:14">
      <c r="A2312" t="s">
        <v>3207</v>
      </c>
      <c r="B2312" t="s">
        <v>826</v>
      </c>
      <c r="C2312" t="s">
        <v>752</v>
      </c>
      <c r="D2312" s="41">
        <v>11</v>
      </c>
      <c r="E2312" s="41">
        <v>2549</v>
      </c>
      <c r="F2312" s="41" t="s">
        <v>7297</v>
      </c>
      <c r="G2312" s="41" t="s">
        <v>7297</v>
      </c>
      <c r="H2312" s="2043">
        <v>1621471</v>
      </c>
      <c r="I2312" s="2043">
        <v>2103663</v>
      </c>
      <c r="J2312">
        <v>1</v>
      </c>
      <c r="K2312" s="2043">
        <v>1621471</v>
      </c>
      <c r="L2312" s="2043">
        <v>1621471</v>
      </c>
      <c r="M2312">
        <v>599</v>
      </c>
      <c r="N2312">
        <v>0</v>
      </c>
    </row>
    <row r="2313" spans="1:14">
      <c r="A2313" t="s">
        <v>3208</v>
      </c>
      <c r="B2313" t="s">
        <v>1745</v>
      </c>
      <c r="C2313" t="s">
        <v>2427</v>
      </c>
      <c r="D2313" s="41">
        <v>9</v>
      </c>
      <c r="E2313" s="41">
        <v>1804</v>
      </c>
      <c r="F2313" s="41" t="s">
        <v>4659</v>
      </c>
      <c r="G2313" s="41" t="s">
        <v>4659</v>
      </c>
      <c r="H2313" s="2043">
        <v>784151</v>
      </c>
      <c r="I2313" s="2043">
        <v>0</v>
      </c>
      <c r="J2313">
        <v>0</v>
      </c>
      <c r="K2313" s="2043">
        <v>0</v>
      </c>
      <c r="L2313" s="2043">
        <v>0</v>
      </c>
      <c r="M2313">
        <v>599</v>
      </c>
      <c r="N2313">
        <v>1</v>
      </c>
    </row>
    <row r="2314" spans="1:14">
      <c r="A2314" t="s">
        <v>3208</v>
      </c>
      <c r="B2314" t="s">
        <v>1745</v>
      </c>
      <c r="C2314" t="s">
        <v>2427</v>
      </c>
      <c r="D2314" s="41">
        <v>9</v>
      </c>
      <c r="E2314" s="41">
        <v>1804</v>
      </c>
      <c r="F2314" s="41" t="s">
        <v>4659</v>
      </c>
      <c r="G2314" s="41" t="s">
        <v>4660</v>
      </c>
      <c r="H2314" s="2043">
        <v>784151</v>
      </c>
      <c r="I2314" s="2043">
        <v>732538</v>
      </c>
      <c r="J2314">
        <v>0.71409993956054696</v>
      </c>
      <c r="K2314" s="2043">
        <v>559962.18170634203</v>
      </c>
      <c r="L2314" s="2043">
        <v>559962.18170634203</v>
      </c>
      <c r="M2314">
        <v>599</v>
      </c>
      <c r="N2314">
        <v>1</v>
      </c>
    </row>
    <row r="2315" spans="1:14">
      <c r="A2315" t="s">
        <v>3208</v>
      </c>
      <c r="B2315" t="s">
        <v>1745</v>
      </c>
      <c r="C2315" t="s">
        <v>2427</v>
      </c>
      <c r="D2315" s="41">
        <v>9</v>
      </c>
      <c r="E2315" s="41">
        <v>1804</v>
      </c>
      <c r="F2315" s="41" t="s">
        <v>4659</v>
      </c>
      <c r="G2315" s="41" t="s">
        <v>5474</v>
      </c>
      <c r="H2315" s="2043">
        <v>784151</v>
      </c>
      <c r="I2315" s="2043">
        <v>0</v>
      </c>
      <c r="J2315">
        <v>0</v>
      </c>
      <c r="K2315" s="2043">
        <v>0</v>
      </c>
      <c r="L2315" s="2043">
        <v>0</v>
      </c>
      <c r="M2315">
        <v>599</v>
      </c>
      <c r="N2315">
        <v>1</v>
      </c>
    </row>
    <row r="2316" spans="1:14">
      <c r="A2316" t="s">
        <v>3208</v>
      </c>
      <c r="B2316" t="s">
        <v>1745</v>
      </c>
      <c r="C2316" t="s">
        <v>2427</v>
      </c>
      <c r="D2316" s="41">
        <v>9</v>
      </c>
      <c r="E2316" s="41">
        <v>1804</v>
      </c>
      <c r="F2316" s="41" t="s">
        <v>4659</v>
      </c>
      <c r="G2316" s="41" t="s">
        <v>9398</v>
      </c>
      <c r="H2316" s="2043">
        <v>784151</v>
      </c>
      <c r="I2316" s="2043">
        <v>293282</v>
      </c>
      <c r="J2316">
        <v>0.28590006043945299</v>
      </c>
      <c r="K2316" s="2043">
        <v>224188.818293658</v>
      </c>
      <c r="L2316" s="2043">
        <v>224188.818293658</v>
      </c>
      <c r="M2316">
        <v>599</v>
      </c>
      <c r="N2316">
        <v>1</v>
      </c>
    </row>
    <row r="2317" spans="1:14">
      <c r="A2317" t="s">
        <v>3208</v>
      </c>
      <c r="B2317" t="s">
        <v>1745</v>
      </c>
      <c r="C2317" t="s">
        <v>2427</v>
      </c>
      <c r="D2317" s="41">
        <v>9</v>
      </c>
      <c r="E2317" s="41">
        <v>1803</v>
      </c>
      <c r="F2317" s="41" t="s">
        <v>4661</v>
      </c>
      <c r="G2317" s="41" t="s">
        <v>4661</v>
      </c>
      <c r="H2317" s="2043">
        <v>357599</v>
      </c>
      <c r="I2317" s="2043">
        <v>0</v>
      </c>
      <c r="J2317">
        <v>0</v>
      </c>
      <c r="K2317" s="2043">
        <v>0</v>
      </c>
      <c r="L2317" s="2043">
        <v>0</v>
      </c>
      <c r="M2317">
        <v>599</v>
      </c>
      <c r="N2317">
        <v>1</v>
      </c>
    </row>
    <row r="2318" spans="1:14">
      <c r="A2318" t="s">
        <v>3208</v>
      </c>
      <c r="B2318" t="s">
        <v>1745</v>
      </c>
      <c r="C2318" t="s">
        <v>2427</v>
      </c>
      <c r="D2318" s="41">
        <v>9</v>
      </c>
      <c r="E2318" s="41">
        <v>1803</v>
      </c>
      <c r="F2318" s="41" t="s">
        <v>4661</v>
      </c>
      <c r="G2318" s="41" t="s">
        <v>7298</v>
      </c>
      <c r="H2318" s="2043">
        <v>357599</v>
      </c>
      <c r="I2318" s="2043">
        <v>1134421</v>
      </c>
      <c r="J2318">
        <v>1</v>
      </c>
      <c r="K2318" s="2043">
        <v>357599</v>
      </c>
      <c r="L2318" s="2043">
        <v>357599</v>
      </c>
      <c r="M2318">
        <v>599</v>
      </c>
      <c r="N2318">
        <v>1</v>
      </c>
    </row>
    <row r="2319" spans="1:14">
      <c r="A2319" t="s">
        <v>3208</v>
      </c>
      <c r="B2319" t="s">
        <v>1745</v>
      </c>
      <c r="C2319" t="s">
        <v>2427</v>
      </c>
      <c r="D2319" s="41">
        <v>11</v>
      </c>
      <c r="E2319" s="41">
        <v>2493</v>
      </c>
      <c r="F2319" s="41" t="s">
        <v>7299</v>
      </c>
      <c r="G2319" s="41" t="s">
        <v>7299</v>
      </c>
      <c r="H2319" s="2043">
        <v>1307135</v>
      </c>
      <c r="I2319" s="2043">
        <v>1047875</v>
      </c>
      <c r="J2319">
        <v>0.51400335711699996</v>
      </c>
      <c r="K2319" s="2043">
        <v>671871.77820512897</v>
      </c>
      <c r="L2319" s="2043">
        <v>671871.77820512897</v>
      </c>
      <c r="M2319">
        <v>599</v>
      </c>
      <c r="N2319">
        <v>1</v>
      </c>
    </row>
    <row r="2320" spans="1:14">
      <c r="A2320" t="s">
        <v>3208</v>
      </c>
      <c r="B2320" t="s">
        <v>1745</v>
      </c>
      <c r="C2320" t="s">
        <v>2427</v>
      </c>
      <c r="D2320" s="41">
        <v>11</v>
      </c>
      <c r="E2320" s="41">
        <v>2493</v>
      </c>
      <c r="F2320" s="41" t="s">
        <v>7299</v>
      </c>
      <c r="G2320" s="41" t="s">
        <v>9398</v>
      </c>
      <c r="H2320" s="2043">
        <v>1307135</v>
      </c>
      <c r="I2320" s="2043">
        <v>990779</v>
      </c>
      <c r="J2320">
        <v>0.48599664288299999</v>
      </c>
      <c r="K2320" s="2043">
        <v>635263.22179487103</v>
      </c>
      <c r="L2320" s="2043">
        <v>635263.22179487103</v>
      </c>
      <c r="M2320">
        <v>599</v>
      </c>
      <c r="N2320">
        <v>1</v>
      </c>
    </row>
    <row r="2321" spans="1:14">
      <c r="A2321" t="s">
        <v>3209</v>
      </c>
      <c r="B2321" t="s">
        <v>48</v>
      </c>
      <c r="C2321" t="s">
        <v>390</v>
      </c>
      <c r="D2321" s="41">
        <v>2</v>
      </c>
      <c r="E2321" s="41">
        <v>1950</v>
      </c>
      <c r="F2321" s="41" t="s">
        <v>4662</v>
      </c>
      <c r="G2321" s="41" t="s">
        <v>4662</v>
      </c>
      <c r="H2321" s="2043">
        <v>1280601</v>
      </c>
      <c r="I2321" s="2043">
        <v>0</v>
      </c>
      <c r="J2321">
        <v>0</v>
      </c>
      <c r="K2321" s="2043">
        <v>0</v>
      </c>
      <c r="L2321" s="2043">
        <v>0</v>
      </c>
      <c r="M2321">
        <v>599</v>
      </c>
      <c r="N2321">
        <v>0</v>
      </c>
    </row>
    <row r="2322" spans="1:14">
      <c r="A2322" t="s">
        <v>3209</v>
      </c>
      <c r="B2322" t="s">
        <v>48</v>
      </c>
      <c r="C2322" t="s">
        <v>390</v>
      </c>
      <c r="D2322" s="41">
        <v>2</v>
      </c>
      <c r="E2322" s="41">
        <v>1950</v>
      </c>
      <c r="F2322" s="41" t="s">
        <v>4662</v>
      </c>
      <c r="G2322" s="41" t="s">
        <v>4663</v>
      </c>
      <c r="H2322" s="2043">
        <v>1280601</v>
      </c>
      <c r="I2322" s="2043">
        <v>0</v>
      </c>
      <c r="J2322">
        <v>0</v>
      </c>
      <c r="K2322" s="2043">
        <v>0</v>
      </c>
      <c r="L2322" s="2043">
        <v>0</v>
      </c>
      <c r="M2322">
        <v>599</v>
      </c>
      <c r="N2322">
        <v>0</v>
      </c>
    </row>
    <row r="2323" spans="1:14">
      <c r="A2323" t="s">
        <v>3209</v>
      </c>
      <c r="B2323" t="s">
        <v>48</v>
      </c>
      <c r="C2323" t="s">
        <v>390</v>
      </c>
      <c r="D2323" s="41">
        <v>2</v>
      </c>
      <c r="E2323" s="41">
        <v>1950</v>
      </c>
      <c r="F2323" s="41" t="s">
        <v>4662</v>
      </c>
      <c r="G2323" s="41" t="s">
        <v>4664</v>
      </c>
      <c r="H2323" s="2043">
        <v>1280601</v>
      </c>
      <c r="I2323" s="2043">
        <v>0</v>
      </c>
      <c r="J2323">
        <v>0</v>
      </c>
      <c r="K2323" s="2043">
        <v>0</v>
      </c>
      <c r="L2323" s="2043">
        <v>0</v>
      </c>
      <c r="M2323">
        <v>599</v>
      </c>
      <c r="N2323">
        <v>0</v>
      </c>
    </row>
    <row r="2324" spans="1:14">
      <c r="A2324" t="s">
        <v>3209</v>
      </c>
      <c r="B2324" t="s">
        <v>48</v>
      </c>
      <c r="C2324" t="s">
        <v>390</v>
      </c>
      <c r="D2324" s="41">
        <v>2</v>
      </c>
      <c r="E2324" s="41">
        <v>1950</v>
      </c>
      <c r="F2324" s="41" t="s">
        <v>4662</v>
      </c>
      <c r="G2324" s="41" t="s">
        <v>4665</v>
      </c>
      <c r="H2324" s="2043">
        <v>1280601</v>
      </c>
      <c r="I2324" s="2043">
        <v>0</v>
      </c>
      <c r="J2324">
        <v>0</v>
      </c>
      <c r="K2324" s="2043">
        <v>0</v>
      </c>
      <c r="L2324" s="2043">
        <v>0</v>
      </c>
      <c r="M2324">
        <v>599</v>
      </c>
      <c r="N2324">
        <v>0</v>
      </c>
    </row>
    <row r="2325" spans="1:14">
      <c r="A2325" t="s">
        <v>3209</v>
      </c>
      <c r="B2325" t="s">
        <v>48</v>
      </c>
      <c r="C2325" t="s">
        <v>390</v>
      </c>
      <c r="D2325" s="41">
        <v>2</v>
      </c>
      <c r="E2325" s="41">
        <v>1950</v>
      </c>
      <c r="F2325" s="41" t="s">
        <v>4662</v>
      </c>
      <c r="G2325" s="41" t="s">
        <v>4666</v>
      </c>
      <c r="H2325" s="2043">
        <v>1280601</v>
      </c>
      <c r="I2325" s="2043">
        <v>0</v>
      </c>
      <c r="J2325">
        <v>0</v>
      </c>
      <c r="K2325" s="2043">
        <v>0</v>
      </c>
      <c r="L2325" s="2043">
        <v>0</v>
      </c>
      <c r="M2325">
        <v>599</v>
      </c>
      <c r="N2325">
        <v>1</v>
      </c>
    </row>
    <row r="2326" spans="1:14">
      <c r="A2326" t="s">
        <v>3209</v>
      </c>
      <c r="B2326" t="s">
        <v>48</v>
      </c>
      <c r="C2326" t="s">
        <v>390</v>
      </c>
      <c r="D2326" s="41">
        <v>2</v>
      </c>
      <c r="E2326" s="41">
        <v>1950</v>
      </c>
      <c r="F2326" s="41" t="s">
        <v>4662</v>
      </c>
      <c r="G2326" s="41" t="s">
        <v>4667</v>
      </c>
      <c r="H2326" s="2043">
        <v>1280601</v>
      </c>
      <c r="I2326" s="2043">
        <v>0</v>
      </c>
      <c r="J2326">
        <v>0</v>
      </c>
      <c r="K2326" s="2043">
        <v>0</v>
      </c>
      <c r="L2326" s="2043">
        <v>0</v>
      </c>
      <c r="M2326">
        <v>599</v>
      </c>
      <c r="N2326">
        <v>1</v>
      </c>
    </row>
    <row r="2327" spans="1:14">
      <c r="A2327" t="s">
        <v>3209</v>
      </c>
      <c r="B2327" t="s">
        <v>48</v>
      </c>
      <c r="C2327" t="s">
        <v>390</v>
      </c>
      <c r="D2327" s="41">
        <v>2</v>
      </c>
      <c r="E2327" s="41">
        <v>1950</v>
      </c>
      <c r="F2327" s="41" t="s">
        <v>4662</v>
      </c>
      <c r="G2327" s="41" t="s">
        <v>4668</v>
      </c>
      <c r="H2327" s="2043">
        <v>1280601</v>
      </c>
      <c r="I2327" s="2043">
        <v>0</v>
      </c>
      <c r="J2327">
        <v>0</v>
      </c>
      <c r="K2327" s="2043">
        <v>0</v>
      </c>
      <c r="L2327" s="2043">
        <v>0</v>
      </c>
      <c r="M2327">
        <v>599</v>
      </c>
      <c r="N2327">
        <v>1</v>
      </c>
    </row>
    <row r="2328" spans="1:14">
      <c r="A2328" t="s">
        <v>3209</v>
      </c>
      <c r="B2328" t="s">
        <v>48</v>
      </c>
      <c r="C2328" t="s">
        <v>390</v>
      </c>
      <c r="D2328" s="41">
        <v>2</v>
      </c>
      <c r="E2328" s="41">
        <v>1950</v>
      </c>
      <c r="F2328" s="41" t="s">
        <v>4662</v>
      </c>
      <c r="G2328" s="41" t="s">
        <v>4669</v>
      </c>
      <c r="H2328" s="2043">
        <v>1280601</v>
      </c>
      <c r="I2328" s="2043">
        <v>0</v>
      </c>
      <c r="J2328">
        <v>0</v>
      </c>
      <c r="K2328" s="2043">
        <v>0</v>
      </c>
      <c r="L2328" s="2043">
        <v>0</v>
      </c>
      <c r="M2328">
        <v>599</v>
      </c>
      <c r="N2328">
        <v>1</v>
      </c>
    </row>
    <row r="2329" spans="1:14">
      <c r="A2329" t="s">
        <v>3209</v>
      </c>
      <c r="B2329" t="s">
        <v>48</v>
      </c>
      <c r="C2329" t="s">
        <v>390</v>
      </c>
      <c r="D2329" s="41">
        <v>2</v>
      </c>
      <c r="E2329" s="41">
        <v>1950</v>
      </c>
      <c r="F2329" s="41" t="s">
        <v>4662</v>
      </c>
      <c r="G2329" s="41" t="s">
        <v>4670</v>
      </c>
      <c r="H2329" s="2043">
        <v>1280601</v>
      </c>
      <c r="I2329" s="2043">
        <v>0</v>
      </c>
      <c r="J2329">
        <v>0</v>
      </c>
      <c r="K2329" s="2043">
        <v>0</v>
      </c>
      <c r="L2329" s="2043">
        <v>0</v>
      </c>
      <c r="M2329">
        <v>599</v>
      </c>
      <c r="N2329">
        <v>1</v>
      </c>
    </row>
    <row r="2330" spans="1:14">
      <c r="A2330" t="s">
        <v>3209</v>
      </c>
      <c r="B2330" t="s">
        <v>48</v>
      </c>
      <c r="C2330" t="s">
        <v>390</v>
      </c>
      <c r="D2330" s="41">
        <v>2</v>
      </c>
      <c r="E2330" s="41">
        <v>1950</v>
      </c>
      <c r="F2330" s="41" t="s">
        <v>4662</v>
      </c>
      <c r="G2330" s="41" t="s">
        <v>4671</v>
      </c>
      <c r="H2330" s="2043">
        <v>1280601</v>
      </c>
      <c r="I2330" s="2043">
        <v>0</v>
      </c>
      <c r="J2330">
        <v>0</v>
      </c>
      <c r="K2330" s="2043">
        <v>0</v>
      </c>
      <c r="L2330" s="2043">
        <v>0</v>
      </c>
      <c r="M2330">
        <v>599</v>
      </c>
      <c r="N2330">
        <v>1</v>
      </c>
    </row>
    <row r="2331" spans="1:14">
      <c r="A2331" t="s">
        <v>3209</v>
      </c>
      <c r="B2331" t="s">
        <v>48</v>
      </c>
      <c r="C2331" t="s">
        <v>390</v>
      </c>
      <c r="D2331" s="41">
        <v>2</v>
      </c>
      <c r="E2331" s="41">
        <v>1950</v>
      </c>
      <c r="F2331" s="41" t="s">
        <v>4662</v>
      </c>
      <c r="G2331" s="41" t="s">
        <v>4672</v>
      </c>
      <c r="H2331" s="2043">
        <v>1280601</v>
      </c>
      <c r="I2331" s="2043">
        <v>0</v>
      </c>
      <c r="J2331">
        <v>0</v>
      </c>
      <c r="K2331" s="2043">
        <v>0</v>
      </c>
      <c r="L2331" s="2043">
        <v>0</v>
      </c>
      <c r="M2331">
        <v>599</v>
      </c>
      <c r="N2331">
        <v>1</v>
      </c>
    </row>
    <row r="2332" spans="1:14">
      <c r="A2332" t="s">
        <v>3209</v>
      </c>
      <c r="B2332" t="s">
        <v>48</v>
      </c>
      <c r="C2332" t="s">
        <v>390</v>
      </c>
      <c r="D2332" s="41">
        <v>2</v>
      </c>
      <c r="E2332" s="41">
        <v>1950</v>
      </c>
      <c r="F2332" s="41" t="s">
        <v>4662</v>
      </c>
      <c r="G2332" s="41" t="s">
        <v>4673</v>
      </c>
      <c r="H2332" s="2043">
        <v>1280601</v>
      </c>
      <c r="I2332" s="2043">
        <v>0</v>
      </c>
      <c r="J2332">
        <v>0</v>
      </c>
      <c r="K2332" s="2043">
        <v>0</v>
      </c>
      <c r="L2332" s="2043">
        <v>0</v>
      </c>
      <c r="M2332">
        <v>599</v>
      </c>
      <c r="N2332">
        <v>1</v>
      </c>
    </row>
    <row r="2333" spans="1:14">
      <c r="A2333" t="s">
        <v>3209</v>
      </c>
      <c r="B2333" t="s">
        <v>48</v>
      </c>
      <c r="C2333" t="s">
        <v>390</v>
      </c>
      <c r="D2333" s="41">
        <v>2</v>
      </c>
      <c r="E2333" s="41">
        <v>1950</v>
      </c>
      <c r="F2333" s="41" t="s">
        <v>4662</v>
      </c>
      <c r="G2333" s="41" t="s">
        <v>4674</v>
      </c>
      <c r="H2333" s="2043">
        <v>1280601</v>
      </c>
      <c r="I2333" s="2043">
        <v>215225</v>
      </c>
      <c r="J2333">
        <v>8.7146459094308501E-2</v>
      </c>
      <c r="K2333" s="2043">
        <v>111599.842662631</v>
      </c>
      <c r="L2333" s="2043">
        <v>111599.842662631</v>
      </c>
      <c r="M2333">
        <v>599</v>
      </c>
      <c r="N2333">
        <v>1</v>
      </c>
    </row>
    <row r="2334" spans="1:14">
      <c r="A2334" t="s">
        <v>3209</v>
      </c>
      <c r="B2334" t="s">
        <v>48</v>
      </c>
      <c r="C2334" t="s">
        <v>390</v>
      </c>
      <c r="D2334" s="41">
        <v>2</v>
      </c>
      <c r="E2334" s="41">
        <v>1950</v>
      </c>
      <c r="F2334" s="41" t="s">
        <v>4662</v>
      </c>
      <c r="G2334" s="41" t="s">
        <v>5476</v>
      </c>
      <c r="H2334" s="2043">
        <v>1280601</v>
      </c>
      <c r="I2334" s="2043">
        <v>123321</v>
      </c>
      <c r="J2334">
        <v>4.9933736703306801E-2</v>
      </c>
      <c r="K2334" s="2043">
        <v>63945.193155991503</v>
      </c>
      <c r="L2334" s="2043">
        <v>63945.193155991503</v>
      </c>
      <c r="M2334">
        <v>599</v>
      </c>
      <c r="N2334">
        <v>1</v>
      </c>
    </row>
    <row r="2335" spans="1:14">
      <c r="A2335" t="s">
        <v>3209</v>
      </c>
      <c r="B2335" t="s">
        <v>48</v>
      </c>
      <c r="C2335" t="s">
        <v>390</v>
      </c>
      <c r="D2335" s="41">
        <v>2</v>
      </c>
      <c r="E2335" s="41">
        <v>1950</v>
      </c>
      <c r="F2335" s="41" t="s">
        <v>4662</v>
      </c>
      <c r="G2335" s="41" t="s">
        <v>5659</v>
      </c>
      <c r="H2335" s="2043">
        <v>1280601</v>
      </c>
      <c r="I2335" s="2043">
        <v>11263</v>
      </c>
      <c r="J2335">
        <v>4.5604858579588597E-3</v>
      </c>
      <c r="K2335" s="2043">
        <v>5840.1627501879802</v>
      </c>
      <c r="L2335" s="2043">
        <v>5840.1627501879802</v>
      </c>
      <c r="M2335">
        <v>599</v>
      </c>
      <c r="N2335">
        <v>1</v>
      </c>
    </row>
    <row r="2336" spans="1:14">
      <c r="A2336" t="s">
        <v>3209</v>
      </c>
      <c r="B2336" t="s">
        <v>48</v>
      </c>
      <c r="C2336" t="s">
        <v>390</v>
      </c>
      <c r="D2336" s="41">
        <v>2</v>
      </c>
      <c r="E2336" s="41">
        <v>1950</v>
      </c>
      <c r="F2336" s="41" t="s">
        <v>4662</v>
      </c>
      <c r="G2336" s="41" t="s">
        <v>5658</v>
      </c>
      <c r="H2336" s="2043">
        <v>1280601</v>
      </c>
      <c r="I2336" s="2043">
        <v>1669742</v>
      </c>
      <c r="J2336">
        <v>0.67609293948681104</v>
      </c>
      <c r="K2336" s="2043">
        <v>865805.29439974902</v>
      </c>
      <c r="L2336" s="2043">
        <v>865805.29439974902</v>
      </c>
      <c r="M2336">
        <v>599</v>
      </c>
      <c r="N2336">
        <v>1</v>
      </c>
    </row>
    <row r="2337" spans="1:14">
      <c r="A2337" t="s">
        <v>3209</v>
      </c>
      <c r="B2337" t="s">
        <v>48</v>
      </c>
      <c r="C2337" t="s">
        <v>390</v>
      </c>
      <c r="D2337" s="41">
        <v>2</v>
      </c>
      <c r="E2337" s="41">
        <v>1950</v>
      </c>
      <c r="F2337" s="41" t="s">
        <v>4662</v>
      </c>
      <c r="G2337" s="41" t="s">
        <v>8652</v>
      </c>
      <c r="H2337" s="2043">
        <v>1280601</v>
      </c>
      <c r="I2337" s="2043">
        <v>424323</v>
      </c>
      <c r="J2337">
        <v>0.171812043035308</v>
      </c>
      <c r="K2337" s="2043">
        <v>220022.674123059</v>
      </c>
      <c r="L2337" s="2043">
        <v>220022.674123059</v>
      </c>
      <c r="M2337">
        <v>599</v>
      </c>
      <c r="N2337">
        <v>1</v>
      </c>
    </row>
    <row r="2338" spans="1:14">
      <c r="A2338" t="s">
        <v>3209</v>
      </c>
      <c r="B2338" t="s">
        <v>48</v>
      </c>
      <c r="C2338" t="s">
        <v>390</v>
      </c>
      <c r="D2338" s="41">
        <v>2</v>
      </c>
      <c r="E2338" s="41">
        <v>1950</v>
      </c>
      <c r="F2338" s="41" t="s">
        <v>4662</v>
      </c>
      <c r="G2338" s="41" t="s">
        <v>9399</v>
      </c>
      <c r="H2338" s="2043">
        <v>1280601</v>
      </c>
      <c r="I2338" s="2043">
        <v>653</v>
      </c>
      <c r="J2338">
        <v>2.6440533297053499E-4</v>
      </c>
      <c r="K2338" s="2043">
        <v>338.5977338074</v>
      </c>
      <c r="L2338" s="2043">
        <v>338.5977338074</v>
      </c>
      <c r="M2338">
        <v>599</v>
      </c>
      <c r="N2338">
        <v>1</v>
      </c>
    </row>
    <row r="2339" spans="1:14">
      <c r="A2339" t="s">
        <v>3209</v>
      </c>
      <c r="B2339" t="s">
        <v>48</v>
      </c>
      <c r="C2339" t="s">
        <v>390</v>
      </c>
      <c r="D2339" s="41">
        <v>2</v>
      </c>
      <c r="E2339" s="41">
        <v>1950</v>
      </c>
      <c r="F2339" s="41" t="s">
        <v>4662</v>
      </c>
      <c r="G2339" s="41" t="s">
        <v>9400</v>
      </c>
      <c r="H2339" s="2043">
        <v>1280601</v>
      </c>
      <c r="I2339" s="2043">
        <v>25166</v>
      </c>
      <c r="J2339">
        <v>1.0189930489336099E-2</v>
      </c>
      <c r="K2339" s="2043">
        <v>13049.2351745743</v>
      </c>
      <c r="L2339" s="2043">
        <v>13049.2351745743</v>
      </c>
      <c r="M2339">
        <v>599</v>
      </c>
      <c r="N2339">
        <v>1</v>
      </c>
    </row>
    <row r="2340" spans="1:14">
      <c r="A2340" t="s">
        <v>3209</v>
      </c>
      <c r="B2340" t="s">
        <v>48</v>
      </c>
      <c r="C2340" t="s">
        <v>390</v>
      </c>
      <c r="D2340" s="41">
        <v>10</v>
      </c>
      <c r="E2340" s="41">
        <v>1951</v>
      </c>
      <c r="F2340" s="41" t="s">
        <v>4675</v>
      </c>
      <c r="G2340" s="41" t="s">
        <v>4675</v>
      </c>
      <c r="H2340" s="2043">
        <v>6801638</v>
      </c>
      <c r="I2340" s="2043">
        <v>36282</v>
      </c>
      <c r="J2340">
        <v>5.2984987440855202E-3</v>
      </c>
      <c r="K2340" s="2043">
        <v>36038.470400724298</v>
      </c>
      <c r="L2340" s="2043">
        <v>36038.470400724298</v>
      </c>
      <c r="M2340">
        <v>599</v>
      </c>
      <c r="N2340">
        <v>1</v>
      </c>
    </row>
    <row r="2341" spans="1:14">
      <c r="A2341" t="s">
        <v>3209</v>
      </c>
      <c r="B2341" t="s">
        <v>48</v>
      </c>
      <c r="C2341" t="s">
        <v>390</v>
      </c>
      <c r="D2341" s="41">
        <v>10</v>
      </c>
      <c r="E2341" s="41">
        <v>1951</v>
      </c>
      <c r="F2341" s="41" t="s">
        <v>4675</v>
      </c>
      <c r="G2341" s="41" t="s">
        <v>5475</v>
      </c>
      <c r="H2341" s="2043">
        <v>6801638</v>
      </c>
      <c r="I2341" s="2043">
        <v>6504347</v>
      </c>
      <c r="J2341">
        <v>0.94987251007652296</v>
      </c>
      <c r="K2341" s="2043">
        <v>6460688.9596918598</v>
      </c>
      <c r="L2341" s="2043">
        <v>6460688.9596918598</v>
      </c>
      <c r="M2341">
        <v>599</v>
      </c>
      <c r="N2341">
        <v>1</v>
      </c>
    </row>
    <row r="2342" spans="1:14">
      <c r="A2342" t="s">
        <v>3209</v>
      </c>
      <c r="B2342" t="s">
        <v>48</v>
      </c>
      <c r="C2342" t="s">
        <v>390</v>
      </c>
      <c r="D2342" s="41">
        <v>10</v>
      </c>
      <c r="E2342" s="41">
        <v>1951</v>
      </c>
      <c r="F2342" s="41" t="s">
        <v>4675</v>
      </c>
      <c r="G2342" s="41" t="s">
        <v>9400</v>
      </c>
      <c r="H2342" s="2043">
        <v>6801638</v>
      </c>
      <c r="I2342" s="2043">
        <v>306971</v>
      </c>
      <c r="J2342">
        <v>4.4828991179391299E-2</v>
      </c>
      <c r="K2342" s="2043">
        <v>304910.56990741298</v>
      </c>
      <c r="L2342" s="2043">
        <v>304910.56990741298</v>
      </c>
      <c r="M2342">
        <v>599</v>
      </c>
      <c r="N2342">
        <v>1</v>
      </c>
    </row>
    <row r="2343" spans="1:14">
      <c r="A2343" t="s">
        <v>3210</v>
      </c>
      <c r="B2343" t="s">
        <v>330</v>
      </c>
      <c r="C2343" t="s">
        <v>275</v>
      </c>
      <c r="D2343" s="41">
        <v>1</v>
      </c>
      <c r="E2343" s="41">
        <v>2058</v>
      </c>
      <c r="F2343" s="41" t="s">
        <v>4676</v>
      </c>
      <c r="G2343" s="41" t="s">
        <v>4676</v>
      </c>
      <c r="H2343" s="2043">
        <v>2772030</v>
      </c>
      <c r="I2343" s="2043">
        <v>0</v>
      </c>
      <c r="J2343">
        <v>0</v>
      </c>
      <c r="L2343" s="2043">
        <v>0</v>
      </c>
      <c r="M2343">
        <v>599</v>
      </c>
      <c r="N2343">
        <v>0</v>
      </c>
    </row>
    <row r="2344" spans="1:14">
      <c r="A2344" t="s">
        <v>3210</v>
      </c>
      <c r="B2344" t="s">
        <v>330</v>
      </c>
      <c r="C2344" t="s">
        <v>275</v>
      </c>
      <c r="D2344" s="41">
        <v>6</v>
      </c>
      <c r="E2344" s="41">
        <v>2057</v>
      </c>
      <c r="F2344" s="41" t="s">
        <v>4678</v>
      </c>
      <c r="G2344" s="41" t="s">
        <v>4678</v>
      </c>
      <c r="H2344" s="2043">
        <v>2346513</v>
      </c>
      <c r="I2344" s="2043">
        <v>0</v>
      </c>
      <c r="J2344">
        <v>0</v>
      </c>
      <c r="K2344" s="2043">
        <v>0</v>
      </c>
      <c r="L2344" s="2043">
        <v>0</v>
      </c>
      <c r="M2344">
        <v>599</v>
      </c>
      <c r="N2344">
        <v>0</v>
      </c>
    </row>
    <row r="2345" spans="1:14">
      <c r="A2345" t="s">
        <v>3210</v>
      </c>
      <c r="B2345" t="s">
        <v>330</v>
      </c>
      <c r="C2345" t="s">
        <v>275</v>
      </c>
      <c r="D2345" s="41">
        <v>6</v>
      </c>
      <c r="E2345" s="41">
        <v>2057</v>
      </c>
      <c r="F2345" s="41" t="s">
        <v>4678</v>
      </c>
      <c r="G2345" s="41" t="s">
        <v>4679</v>
      </c>
      <c r="H2345" s="2043">
        <v>2346513</v>
      </c>
      <c r="I2345" s="2043">
        <v>0</v>
      </c>
      <c r="J2345">
        <v>0</v>
      </c>
      <c r="K2345" s="2043">
        <v>0</v>
      </c>
      <c r="L2345" s="2043">
        <v>0</v>
      </c>
      <c r="M2345">
        <v>599</v>
      </c>
      <c r="N2345">
        <v>1</v>
      </c>
    </row>
    <row r="2346" spans="1:14">
      <c r="A2346" t="s">
        <v>3210</v>
      </c>
      <c r="B2346" t="s">
        <v>330</v>
      </c>
      <c r="C2346" t="s">
        <v>275</v>
      </c>
      <c r="D2346" s="41">
        <v>6</v>
      </c>
      <c r="E2346" s="41">
        <v>2057</v>
      </c>
      <c r="F2346" s="41" t="s">
        <v>4678</v>
      </c>
      <c r="G2346" s="41" t="s">
        <v>4680</v>
      </c>
      <c r="H2346" s="2043">
        <v>2346513</v>
      </c>
      <c r="I2346" s="2043">
        <v>0</v>
      </c>
      <c r="J2346">
        <v>0</v>
      </c>
      <c r="K2346" s="2043">
        <v>0</v>
      </c>
      <c r="L2346" s="2043">
        <v>0</v>
      </c>
      <c r="M2346">
        <v>599</v>
      </c>
      <c r="N2346">
        <v>1</v>
      </c>
    </row>
    <row r="2347" spans="1:14">
      <c r="A2347" t="s">
        <v>3210</v>
      </c>
      <c r="B2347" t="s">
        <v>330</v>
      </c>
      <c r="C2347" t="s">
        <v>275</v>
      </c>
      <c r="D2347" s="41">
        <v>6</v>
      </c>
      <c r="E2347" s="41">
        <v>2057</v>
      </c>
      <c r="F2347" s="41" t="s">
        <v>4678</v>
      </c>
      <c r="G2347" s="41" t="s">
        <v>7300</v>
      </c>
      <c r="H2347" s="2043">
        <v>2346513</v>
      </c>
      <c r="I2347" s="2043">
        <v>399586</v>
      </c>
      <c r="J2347">
        <v>0.13408075796535099</v>
      </c>
      <c r="K2347" s="2043">
        <v>314622.24161554902</v>
      </c>
      <c r="L2347" s="2043">
        <v>314622.24161554902</v>
      </c>
      <c r="M2347">
        <v>599</v>
      </c>
      <c r="N2347">
        <v>1</v>
      </c>
    </row>
    <row r="2348" spans="1:14">
      <c r="A2348" t="s">
        <v>3210</v>
      </c>
      <c r="B2348" t="s">
        <v>330</v>
      </c>
      <c r="C2348" t="s">
        <v>275</v>
      </c>
      <c r="D2348" s="41">
        <v>6</v>
      </c>
      <c r="E2348" s="41">
        <v>2057</v>
      </c>
      <c r="F2348" s="41" t="s">
        <v>4678</v>
      </c>
      <c r="G2348" s="41" t="s">
        <v>8653</v>
      </c>
      <c r="H2348" s="2043">
        <v>2346513</v>
      </c>
      <c r="I2348" s="2043">
        <v>2580603</v>
      </c>
      <c r="J2348">
        <v>0.86591924203464898</v>
      </c>
      <c r="K2348" s="2043">
        <v>2031890.7583844501</v>
      </c>
      <c r="L2348" s="2043">
        <v>2031890.7583844501</v>
      </c>
      <c r="M2348">
        <v>599</v>
      </c>
      <c r="N2348">
        <v>1</v>
      </c>
    </row>
    <row r="2349" spans="1:14">
      <c r="A2349" t="s">
        <v>3210</v>
      </c>
      <c r="B2349" t="s">
        <v>330</v>
      </c>
      <c r="C2349" t="s">
        <v>275</v>
      </c>
      <c r="D2349" s="41">
        <v>6</v>
      </c>
      <c r="E2349" s="41">
        <v>2056</v>
      </c>
      <c r="F2349" s="41" t="s">
        <v>4681</v>
      </c>
      <c r="G2349" s="41" t="s">
        <v>4681</v>
      </c>
      <c r="H2349" s="2043">
        <v>2153875</v>
      </c>
      <c r="I2349" s="2043">
        <v>67656</v>
      </c>
      <c r="J2349">
        <v>6.8895533999960299E-3</v>
      </c>
      <c r="K2349" s="2043">
        <v>14839.236829416401</v>
      </c>
      <c r="L2349" s="2043">
        <v>14839.236829416401</v>
      </c>
      <c r="M2349">
        <v>599</v>
      </c>
      <c r="N2349">
        <v>1</v>
      </c>
    </row>
    <row r="2350" spans="1:14">
      <c r="A2350" t="s">
        <v>3210</v>
      </c>
      <c r="B2350" t="s">
        <v>330</v>
      </c>
      <c r="C2350" t="s">
        <v>275</v>
      </c>
      <c r="D2350" s="41">
        <v>6</v>
      </c>
      <c r="E2350" s="41">
        <v>2056</v>
      </c>
      <c r="F2350" s="41" t="s">
        <v>4681</v>
      </c>
      <c r="G2350" s="41" t="s">
        <v>4679</v>
      </c>
      <c r="H2350" s="2043">
        <v>2153875</v>
      </c>
      <c r="I2350" s="2043">
        <v>0</v>
      </c>
      <c r="J2350">
        <v>0</v>
      </c>
      <c r="K2350" s="2043">
        <v>0</v>
      </c>
      <c r="L2350" s="2043">
        <v>0</v>
      </c>
      <c r="M2350">
        <v>599</v>
      </c>
      <c r="N2350">
        <v>1</v>
      </c>
    </row>
    <row r="2351" spans="1:14">
      <c r="A2351" t="s">
        <v>3210</v>
      </c>
      <c r="B2351" t="s">
        <v>330</v>
      </c>
      <c r="C2351" t="s">
        <v>275</v>
      </c>
      <c r="D2351" s="41">
        <v>6</v>
      </c>
      <c r="E2351" s="41">
        <v>2056</v>
      </c>
      <c r="F2351" s="41" t="s">
        <v>4681</v>
      </c>
      <c r="G2351" s="41" t="s">
        <v>4677</v>
      </c>
      <c r="H2351" s="2043">
        <v>2153875</v>
      </c>
      <c r="I2351" s="2043">
        <v>0</v>
      </c>
      <c r="J2351">
        <v>0</v>
      </c>
      <c r="K2351" s="2043">
        <v>0</v>
      </c>
      <c r="L2351" s="2043">
        <v>0</v>
      </c>
      <c r="M2351">
        <v>599</v>
      </c>
      <c r="N2351">
        <v>1</v>
      </c>
    </row>
    <row r="2352" spans="1:14">
      <c r="A2352" t="s">
        <v>3210</v>
      </c>
      <c r="B2352" t="s">
        <v>330</v>
      </c>
      <c r="C2352" t="s">
        <v>275</v>
      </c>
      <c r="D2352" s="41">
        <v>6</v>
      </c>
      <c r="E2352" s="41">
        <v>2056</v>
      </c>
      <c r="F2352" s="41" t="s">
        <v>4681</v>
      </c>
      <c r="G2352" s="41" t="s">
        <v>7300</v>
      </c>
      <c r="H2352" s="2043">
        <v>2153875</v>
      </c>
      <c r="I2352" s="2043">
        <v>523467</v>
      </c>
      <c r="J2352">
        <v>5.3305750408474101E-2</v>
      </c>
      <c r="K2352" s="2043">
        <v>114813.92316105199</v>
      </c>
      <c r="L2352" s="2043">
        <v>114813.92316105199</v>
      </c>
      <c r="M2352">
        <v>599</v>
      </c>
      <c r="N2352">
        <v>1</v>
      </c>
    </row>
    <row r="2353" spans="1:14">
      <c r="A2353" t="s">
        <v>3210</v>
      </c>
      <c r="B2353" t="s">
        <v>330</v>
      </c>
      <c r="C2353" t="s">
        <v>275</v>
      </c>
      <c r="D2353" s="41">
        <v>6</v>
      </c>
      <c r="E2353" s="41">
        <v>2056</v>
      </c>
      <c r="F2353" s="41" t="s">
        <v>4681</v>
      </c>
      <c r="G2353" s="41" t="s">
        <v>8653</v>
      </c>
      <c r="H2353" s="2043">
        <v>2153875</v>
      </c>
      <c r="I2353" s="2043">
        <v>9228962</v>
      </c>
      <c r="J2353">
        <v>0.93980469619152995</v>
      </c>
      <c r="K2353" s="2043">
        <v>2024221.8400095301</v>
      </c>
      <c r="L2353" s="2043">
        <v>2024221.8400095301</v>
      </c>
      <c r="M2353">
        <v>599</v>
      </c>
      <c r="N2353">
        <v>1</v>
      </c>
    </row>
    <row r="2354" spans="1:14">
      <c r="A2354" t="s">
        <v>3210</v>
      </c>
      <c r="B2354" t="s">
        <v>330</v>
      </c>
      <c r="C2354" t="s">
        <v>275</v>
      </c>
      <c r="D2354" s="41">
        <v>9</v>
      </c>
      <c r="E2354" s="41">
        <v>2060</v>
      </c>
      <c r="F2354" s="41" t="s">
        <v>4682</v>
      </c>
      <c r="G2354" s="41" t="s">
        <v>4682</v>
      </c>
      <c r="H2354" s="2043">
        <v>4155279</v>
      </c>
      <c r="I2354" s="2043">
        <v>0</v>
      </c>
      <c r="J2354">
        <v>0</v>
      </c>
      <c r="K2354" s="2043">
        <v>0</v>
      </c>
      <c r="L2354" s="2043">
        <v>0</v>
      </c>
      <c r="M2354">
        <v>599</v>
      </c>
      <c r="N2354">
        <v>1</v>
      </c>
    </row>
    <row r="2355" spans="1:14">
      <c r="A2355" t="s">
        <v>3210</v>
      </c>
      <c r="B2355" t="s">
        <v>330</v>
      </c>
      <c r="C2355" t="s">
        <v>275</v>
      </c>
      <c r="D2355" s="41">
        <v>9</v>
      </c>
      <c r="E2355" s="41">
        <v>2060</v>
      </c>
      <c r="F2355" s="41" t="s">
        <v>4682</v>
      </c>
      <c r="G2355" s="41" t="s">
        <v>4683</v>
      </c>
      <c r="H2355" s="2043">
        <v>4155279</v>
      </c>
      <c r="I2355" s="2043">
        <v>7224019</v>
      </c>
      <c r="J2355">
        <v>0.67758653017048298</v>
      </c>
      <c r="K2355" s="2043">
        <v>2815561.0795002799</v>
      </c>
      <c r="L2355" s="2043">
        <v>2815561.0795002799</v>
      </c>
      <c r="M2355">
        <v>599</v>
      </c>
      <c r="N2355">
        <v>1</v>
      </c>
    </row>
    <row r="2356" spans="1:14">
      <c r="A2356" t="s">
        <v>3210</v>
      </c>
      <c r="B2356" t="s">
        <v>330</v>
      </c>
      <c r="C2356" t="s">
        <v>275</v>
      </c>
      <c r="D2356" s="41">
        <v>9</v>
      </c>
      <c r="E2356" s="41">
        <v>2060</v>
      </c>
      <c r="F2356" s="41" t="s">
        <v>4682</v>
      </c>
      <c r="G2356" s="41" t="s">
        <v>9401</v>
      </c>
      <c r="H2356" s="2043">
        <v>4155279</v>
      </c>
      <c r="I2356" s="2043">
        <v>3437378</v>
      </c>
      <c r="J2356">
        <v>0.32241346982951702</v>
      </c>
      <c r="K2356" s="2043">
        <v>1339717.9204997199</v>
      </c>
      <c r="L2356" s="2043">
        <v>1339717.9204997199</v>
      </c>
      <c r="M2356">
        <v>599</v>
      </c>
      <c r="N2356">
        <v>1</v>
      </c>
    </row>
    <row r="2357" spans="1:14">
      <c r="A2357" t="s">
        <v>3210</v>
      </c>
      <c r="B2357" t="s">
        <v>330</v>
      </c>
      <c r="C2357" t="s">
        <v>275</v>
      </c>
      <c r="D2357" s="41">
        <v>9</v>
      </c>
      <c r="E2357" s="41">
        <v>2059</v>
      </c>
      <c r="F2357" s="41" t="s">
        <v>4684</v>
      </c>
      <c r="G2357" s="41" t="s">
        <v>4684</v>
      </c>
      <c r="H2357" s="2043">
        <v>3920147</v>
      </c>
      <c r="I2357" s="2043">
        <v>0</v>
      </c>
      <c r="J2357">
        <v>0</v>
      </c>
      <c r="K2357" s="2043">
        <v>0</v>
      </c>
      <c r="L2357" s="2043">
        <v>0</v>
      </c>
      <c r="M2357">
        <v>599</v>
      </c>
      <c r="N2357">
        <v>1</v>
      </c>
    </row>
    <row r="2358" spans="1:14">
      <c r="A2358" t="s">
        <v>3210</v>
      </c>
      <c r="B2358" t="s">
        <v>330</v>
      </c>
      <c r="C2358" t="s">
        <v>275</v>
      </c>
      <c r="D2358" s="41">
        <v>9</v>
      </c>
      <c r="E2358" s="41">
        <v>2059</v>
      </c>
      <c r="F2358" s="41" t="s">
        <v>4684</v>
      </c>
      <c r="G2358" s="41" t="s">
        <v>5477</v>
      </c>
      <c r="H2358" s="2043">
        <v>3920147</v>
      </c>
      <c r="I2358" s="2043">
        <v>4374900</v>
      </c>
      <c r="J2358">
        <v>0.48541524090017002</v>
      </c>
      <c r="K2358" s="2043">
        <v>1902899.10036908</v>
      </c>
      <c r="L2358" s="2043">
        <v>1902899.10036908</v>
      </c>
      <c r="M2358">
        <v>599</v>
      </c>
      <c r="N2358">
        <v>1</v>
      </c>
    </row>
    <row r="2359" spans="1:14">
      <c r="A2359" t="s">
        <v>3210</v>
      </c>
      <c r="B2359" t="s">
        <v>330</v>
      </c>
      <c r="C2359" t="s">
        <v>275</v>
      </c>
      <c r="D2359" s="41">
        <v>9</v>
      </c>
      <c r="E2359" s="41">
        <v>2059</v>
      </c>
      <c r="F2359" s="41" t="s">
        <v>4684</v>
      </c>
      <c r="G2359" s="41" t="s">
        <v>9401</v>
      </c>
      <c r="H2359" s="2043">
        <v>3920147</v>
      </c>
      <c r="I2359" s="2043">
        <v>4637796</v>
      </c>
      <c r="J2359">
        <v>0.51458475909983004</v>
      </c>
      <c r="K2359" s="2043">
        <v>2017247.89963092</v>
      </c>
      <c r="L2359" s="2043">
        <v>2017247.89963092</v>
      </c>
      <c r="M2359">
        <v>599</v>
      </c>
      <c r="N2359">
        <v>1</v>
      </c>
    </row>
    <row r="2360" spans="1:14">
      <c r="A2360" t="s">
        <v>3210</v>
      </c>
      <c r="B2360" t="s">
        <v>330</v>
      </c>
      <c r="C2360" t="s">
        <v>275</v>
      </c>
      <c r="D2360" s="41">
        <v>10</v>
      </c>
      <c r="E2360" s="41">
        <v>2061</v>
      </c>
      <c r="F2360" s="41" t="s">
        <v>4685</v>
      </c>
      <c r="G2360" s="41" t="s">
        <v>4685</v>
      </c>
      <c r="H2360" s="2043">
        <v>4627576</v>
      </c>
      <c r="I2360" s="2043">
        <v>0</v>
      </c>
      <c r="J2360">
        <v>0</v>
      </c>
      <c r="K2360" s="2043">
        <v>0</v>
      </c>
      <c r="L2360" s="2043">
        <v>0</v>
      </c>
      <c r="M2360">
        <v>599</v>
      </c>
      <c r="N2360">
        <v>1</v>
      </c>
    </row>
    <row r="2361" spans="1:14">
      <c r="A2361" t="s">
        <v>3210</v>
      </c>
      <c r="B2361" t="s">
        <v>330</v>
      </c>
      <c r="C2361" t="s">
        <v>275</v>
      </c>
      <c r="D2361" s="41">
        <v>10</v>
      </c>
      <c r="E2361" s="41">
        <v>2061</v>
      </c>
      <c r="F2361" s="41" t="s">
        <v>4685</v>
      </c>
      <c r="G2361" s="41" t="s">
        <v>5660</v>
      </c>
      <c r="H2361" s="2043">
        <v>4627576</v>
      </c>
      <c r="I2361" s="2043">
        <v>2123100</v>
      </c>
      <c r="J2361">
        <v>1</v>
      </c>
      <c r="K2361" s="2043">
        <v>4627576</v>
      </c>
      <c r="L2361" s="2043">
        <v>2123100</v>
      </c>
      <c r="M2361">
        <v>599</v>
      </c>
      <c r="N2361">
        <v>1</v>
      </c>
    </row>
    <row r="2362" spans="1:14">
      <c r="A2362" t="s">
        <v>3210</v>
      </c>
      <c r="B2362" t="s">
        <v>330</v>
      </c>
      <c r="C2362" t="s">
        <v>275</v>
      </c>
      <c r="D2362" s="41">
        <v>11</v>
      </c>
      <c r="E2362" s="41">
        <v>2546</v>
      </c>
      <c r="F2362" s="41" t="s">
        <v>7301</v>
      </c>
      <c r="G2362" s="41" t="s">
        <v>7301</v>
      </c>
      <c r="H2362" s="2043">
        <v>658427</v>
      </c>
      <c r="I2362" s="2043">
        <v>909854</v>
      </c>
      <c r="J2362">
        <v>1</v>
      </c>
      <c r="K2362" s="2043">
        <v>658427</v>
      </c>
      <c r="L2362" s="2043">
        <v>658427</v>
      </c>
      <c r="M2362">
        <v>599</v>
      </c>
      <c r="N2362">
        <v>1</v>
      </c>
    </row>
    <row r="2363" spans="1:14">
      <c r="A2363" t="s">
        <v>3210</v>
      </c>
      <c r="B2363" t="s">
        <v>330</v>
      </c>
      <c r="C2363" t="s">
        <v>275</v>
      </c>
      <c r="D2363" s="41">
        <v>11</v>
      </c>
      <c r="E2363" s="41">
        <v>2547</v>
      </c>
      <c r="F2363" s="41" t="s">
        <v>7302</v>
      </c>
      <c r="G2363" s="41" t="s">
        <v>7302</v>
      </c>
      <c r="H2363" s="2043">
        <v>2024619</v>
      </c>
      <c r="I2363" s="2043">
        <v>0</v>
      </c>
      <c r="J2363">
        <v>0</v>
      </c>
      <c r="K2363" s="2043">
        <v>0</v>
      </c>
      <c r="L2363" s="2043">
        <v>0</v>
      </c>
      <c r="M2363">
        <v>599</v>
      </c>
      <c r="N2363">
        <v>1</v>
      </c>
    </row>
    <row r="2364" spans="1:14">
      <c r="A2364" t="s">
        <v>3210</v>
      </c>
      <c r="B2364" t="s">
        <v>330</v>
      </c>
      <c r="C2364" t="s">
        <v>275</v>
      </c>
      <c r="D2364" s="41">
        <v>11</v>
      </c>
      <c r="E2364" s="41">
        <v>2547</v>
      </c>
      <c r="F2364" s="41" t="s">
        <v>7302</v>
      </c>
      <c r="G2364" s="41" t="s">
        <v>9401</v>
      </c>
      <c r="H2364" s="2043">
        <v>2024619</v>
      </c>
      <c r="I2364" s="2043">
        <v>3078911</v>
      </c>
      <c r="J2364">
        <v>1</v>
      </c>
      <c r="K2364" s="2043">
        <v>2024619</v>
      </c>
      <c r="L2364" s="2043">
        <v>2024619</v>
      </c>
      <c r="M2364">
        <v>599</v>
      </c>
      <c r="N2364">
        <v>1</v>
      </c>
    </row>
    <row r="2365" spans="1:14">
      <c r="A2365" t="s">
        <v>3210</v>
      </c>
      <c r="B2365" t="s">
        <v>330</v>
      </c>
      <c r="C2365" t="s">
        <v>275</v>
      </c>
      <c r="D2365" s="41">
        <v>11</v>
      </c>
      <c r="E2365" s="41">
        <v>2548</v>
      </c>
      <c r="F2365" s="41" t="s">
        <v>7303</v>
      </c>
      <c r="G2365" s="41" t="s">
        <v>7303</v>
      </c>
      <c r="H2365" s="2043">
        <v>1895868</v>
      </c>
      <c r="I2365" s="2043">
        <v>0</v>
      </c>
      <c r="J2365">
        <v>0</v>
      </c>
      <c r="K2365" s="2043">
        <v>0</v>
      </c>
      <c r="L2365" s="2043">
        <v>0</v>
      </c>
      <c r="M2365">
        <v>599</v>
      </c>
      <c r="N2365">
        <v>1</v>
      </c>
    </row>
    <row r="2366" spans="1:14">
      <c r="A2366" t="s">
        <v>3210</v>
      </c>
      <c r="B2366" t="s">
        <v>330</v>
      </c>
      <c r="C2366" t="s">
        <v>275</v>
      </c>
      <c r="D2366" s="41">
        <v>11</v>
      </c>
      <c r="E2366" s="41">
        <v>2548</v>
      </c>
      <c r="F2366" s="41" t="s">
        <v>7303</v>
      </c>
      <c r="G2366" s="41" t="s">
        <v>9401</v>
      </c>
      <c r="H2366" s="2043">
        <v>1895868</v>
      </c>
      <c r="I2366" s="2043">
        <v>2476274</v>
      </c>
      <c r="J2366">
        <v>1</v>
      </c>
      <c r="K2366" s="2043">
        <v>1895868</v>
      </c>
      <c r="L2366" s="2043">
        <v>1895868</v>
      </c>
      <c r="M2366">
        <v>599</v>
      </c>
      <c r="N2366">
        <v>1</v>
      </c>
    </row>
    <row r="2367" spans="1:14">
      <c r="A2367" t="s">
        <v>3211</v>
      </c>
      <c r="B2367" t="s">
        <v>1670</v>
      </c>
      <c r="C2367" t="s">
        <v>2177</v>
      </c>
      <c r="D2367" s="41">
        <v>2</v>
      </c>
      <c r="E2367" s="41">
        <v>2000</v>
      </c>
      <c r="F2367" s="41" t="s">
        <v>4686</v>
      </c>
      <c r="G2367" s="41" t="s">
        <v>4686</v>
      </c>
      <c r="H2367" s="2043">
        <v>425000</v>
      </c>
      <c r="I2367" s="2043">
        <v>0</v>
      </c>
      <c r="J2367">
        <v>0</v>
      </c>
      <c r="K2367" s="2043">
        <v>0</v>
      </c>
      <c r="L2367" s="2043">
        <v>0</v>
      </c>
      <c r="M2367">
        <v>599</v>
      </c>
      <c r="N2367">
        <v>0</v>
      </c>
    </row>
    <row r="2368" spans="1:14">
      <c r="A2368" t="s">
        <v>3211</v>
      </c>
      <c r="B2368" t="s">
        <v>1670</v>
      </c>
      <c r="C2368" t="s">
        <v>2177</v>
      </c>
      <c r="D2368" s="41">
        <v>2</v>
      </c>
      <c r="E2368" s="41">
        <v>2000</v>
      </c>
      <c r="F2368" s="41" t="s">
        <v>4686</v>
      </c>
      <c r="G2368" s="41" t="s">
        <v>4687</v>
      </c>
      <c r="H2368" s="2043">
        <v>425000</v>
      </c>
      <c r="I2368" s="2043">
        <v>155788</v>
      </c>
      <c r="J2368">
        <v>1</v>
      </c>
      <c r="K2368" s="2043">
        <v>425000</v>
      </c>
      <c r="L2368" s="2043">
        <v>155788</v>
      </c>
      <c r="M2368">
        <v>599</v>
      </c>
      <c r="N2368">
        <v>1</v>
      </c>
    </row>
    <row r="2369" spans="1:14">
      <c r="A2369" t="s">
        <v>3211</v>
      </c>
      <c r="B2369" t="s">
        <v>1670</v>
      </c>
      <c r="C2369" t="s">
        <v>2177</v>
      </c>
      <c r="D2369" s="41">
        <v>5</v>
      </c>
      <c r="E2369" s="41">
        <v>2001</v>
      </c>
      <c r="F2369" s="41" t="s">
        <v>4688</v>
      </c>
      <c r="G2369" s="41" t="s">
        <v>4688</v>
      </c>
      <c r="H2369" s="2043">
        <v>464180</v>
      </c>
      <c r="I2369" s="2043">
        <v>0</v>
      </c>
      <c r="J2369">
        <v>0</v>
      </c>
      <c r="K2369" s="2043">
        <v>0</v>
      </c>
      <c r="L2369" s="2043">
        <v>0</v>
      </c>
      <c r="M2369">
        <v>599</v>
      </c>
      <c r="N2369">
        <v>0</v>
      </c>
    </row>
    <row r="2370" spans="1:14">
      <c r="A2370" t="s">
        <v>3211</v>
      </c>
      <c r="B2370" t="s">
        <v>1670</v>
      </c>
      <c r="C2370" t="s">
        <v>2177</v>
      </c>
      <c r="D2370" s="41">
        <v>5</v>
      </c>
      <c r="E2370" s="41">
        <v>2001</v>
      </c>
      <c r="F2370" s="41" t="s">
        <v>4688</v>
      </c>
      <c r="G2370" s="41" t="s">
        <v>4689</v>
      </c>
      <c r="H2370" s="2043">
        <v>464180</v>
      </c>
      <c r="I2370" s="2043">
        <v>0</v>
      </c>
      <c r="J2370">
        <v>0</v>
      </c>
      <c r="K2370" s="2043">
        <v>0</v>
      </c>
      <c r="L2370" s="2043">
        <v>0</v>
      </c>
      <c r="M2370">
        <v>599</v>
      </c>
      <c r="N2370">
        <v>1</v>
      </c>
    </row>
    <row r="2371" spans="1:14">
      <c r="A2371" t="s">
        <v>3211</v>
      </c>
      <c r="B2371" t="s">
        <v>1670</v>
      </c>
      <c r="C2371" t="s">
        <v>2177</v>
      </c>
      <c r="D2371" s="41">
        <v>5</v>
      </c>
      <c r="E2371" s="41">
        <v>2001</v>
      </c>
      <c r="F2371" s="41" t="s">
        <v>4688</v>
      </c>
      <c r="G2371" s="41" t="s">
        <v>7304</v>
      </c>
      <c r="H2371" s="2043">
        <v>464180</v>
      </c>
      <c r="I2371" s="2043">
        <v>631360</v>
      </c>
      <c r="J2371">
        <v>1</v>
      </c>
      <c r="K2371" s="2043">
        <v>464180</v>
      </c>
      <c r="L2371" s="2043">
        <v>464180</v>
      </c>
      <c r="M2371">
        <v>599</v>
      </c>
      <c r="N2371">
        <v>1</v>
      </c>
    </row>
    <row r="2372" spans="1:14">
      <c r="A2372" t="s">
        <v>3211</v>
      </c>
      <c r="B2372" t="s">
        <v>1670</v>
      </c>
      <c r="C2372" t="s">
        <v>2177</v>
      </c>
      <c r="D2372" s="41">
        <v>9</v>
      </c>
      <c r="E2372" s="41">
        <v>1999</v>
      </c>
      <c r="F2372" s="41" t="s">
        <v>4690</v>
      </c>
      <c r="G2372" s="41" t="s">
        <v>4690</v>
      </c>
      <c r="H2372" s="2043">
        <v>335046</v>
      </c>
      <c r="I2372" s="2043">
        <v>0</v>
      </c>
      <c r="J2372">
        <v>0</v>
      </c>
      <c r="K2372" s="2043">
        <v>0</v>
      </c>
      <c r="L2372" s="2043">
        <v>0</v>
      </c>
      <c r="M2372">
        <v>599</v>
      </c>
      <c r="N2372">
        <v>0</v>
      </c>
    </row>
    <row r="2373" spans="1:14">
      <c r="A2373" t="s">
        <v>3211</v>
      </c>
      <c r="B2373" t="s">
        <v>1670</v>
      </c>
      <c r="C2373" t="s">
        <v>2177</v>
      </c>
      <c r="D2373" s="41">
        <v>9</v>
      </c>
      <c r="E2373" s="41">
        <v>1999</v>
      </c>
      <c r="F2373" s="41" t="s">
        <v>4690</v>
      </c>
      <c r="G2373" s="41" t="s">
        <v>5478</v>
      </c>
      <c r="H2373" s="2043">
        <v>335046</v>
      </c>
      <c r="I2373" s="2043">
        <v>553656</v>
      </c>
      <c r="J2373">
        <v>1</v>
      </c>
      <c r="K2373" s="2043">
        <v>335046</v>
      </c>
      <c r="L2373" s="2043">
        <v>335046</v>
      </c>
      <c r="M2373">
        <v>599</v>
      </c>
      <c r="N2373">
        <v>1</v>
      </c>
    </row>
    <row r="2374" spans="1:14">
      <c r="A2374" t="s">
        <v>3211</v>
      </c>
      <c r="B2374" t="s">
        <v>1670</v>
      </c>
      <c r="C2374" t="s">
        <v>2177</v>
      </c>
      <c r="D2374" s="41">
        <v>9</v>
      </c>
      <c r="E2374" s="41">
        <v>1998</v>
      </c>
      <c r="F2374" s="41" t="s">
        <v>4691</v>
      </c>
      <c r="G2374" s="41" t="s">
        <v>4691</v>
      </c>
      <c r="H2374" s="2043">
        <v>83579</v>
      </c>
      <c r="I2374" s="2043">
        <v>0</v>
      </c>
      <c r="J2374">
        <v>0</v>
      </c>
      <c r="K2374" s="2043">
        <v>0</v>
      </c>
      <c r="L2374" s="2043">
        <v>0</v>
      </c>
      <c r="M2374">
        <v>599</v>
      </c>
      <c r="N2374">
        <v>1</v>
      </c>
    </row>
    <row r="2375" spans="1:14">
      <c r="A2375" t="s">
        <v>3211</v>
      </c>
      <c r="B2375" t="s">
        <v>1670</v>
      </c>
      <c r="C2375" t="s">
        <v>2177</v>
      </c>
      <c r="D2375" s="41">
        <v>9</v>
      </c>
      <c r="E2375" s="41">
        <v>1998</v>
      </c>
      <c r="F2375" s="41" t="s">
        <v>4691</v>
      </c>
      <c r="G2375" s="41" t="s">
        <v>5661</v>
      </c>
      <c r="H2375" s="2043">
        <v>83579</v>
      </c>
      <c r="I2375" s="2043">
        <v>352950</v>
      </c>
      <c r="J2375">
        <v>0.76669925057021804</v>
      </c>
      <c r="K2375" s="2043">
        <v>64079.956663408302</v>
      </c>
      <c r="L2375" s="2043">
        <v>64079.956663408302</v>
      </c>
      <c r="M2375">
        <v>599</v>
      </c>
      <c r="N2375">
        <v>1</v>
      </c>
    </row>
    <row r="2376" spans="1:14">
      <c r="A2376" t="s">
        <v>3211</v>
      </c>
      <c r="B2376" t="s">
        <v>1670</v>
      </c>
      <c r="C2376" t="s">
        <v>2177</v>
      </c>
      <c r="D2376" s="41">
        <v>9</v>
      </c>
      <c r="E2376" s="41">
        <v>1998</v>
      </c>
      <c r="F2376" s="41" t="s">
        <v>4691</v>
      </c>
      <c r="G2376" s="41" t="s">
        <v>7305</v>
      </c>
      <c r="H2376" s="2043">
        <v>83579</v>
      </c>
      <c r="I2376" s="2043">
        <v>107400</v>
      </c>
      <c r="J2376">
        <v>0.23330074942978199</v>
      </c>
      <c r="K2376" s="2043">
        <v>19499.043336591702</v>
      </c>
      <c r="L2376" s="2043">
        <v>19499.043336591702</v>
      </c>
      <c r="M2376">
        <v>599</v>
      </c>
      <c r="N2376">
        <v>1</v>
      </c>
    </row>
    <row r="2377" spans="1:14">
      <c r="A2377" t="s">
        <v>3212</v>
      </c>
      <c r="B2377" t="s">
        <v>2267</v>
      </c>
      <c r="C2377" t="s">
        <v>397</v>
      </c>
      <c r="D2377" s="41">
        <v>1</v>
      </c>
      <c r="E2377" s="41">
        <v>1733</v>
      </c>
      <c r="F2377" s="41" t="s">
        <v>4692</v>
      </c>
      <c r="G2377" s="41" t="s">
        <v>4692</v>
      </c>
      <c r="H2377" s="2043">
        <v>1863688</v>
      </c>
      <c r="I2377" s="2043">
        <v>0</v>
      </c>
      <c r="J2377">
        <v>0</v>
      </c>
      <c r="K2377" s="2043">
        <v>0</v>
      </c>
      <c r="L2377" s="2043">
        <v>0</v>
      </c>
      <c r="M2377">
        <v>599</v>
      </c>
      <c r="N2377">
        <v>0</v>
      </c>
    </row>
    <row r="2378" spans="1:14">
      <c r="A2378" t="s">
        <v>3212</v>
      </c>
      <c r="B2378" t="s">
        <v>2267</v>
      </c>
      <c r="C2378" t="s">
        <v>397</v>
      </c>
      <c r="D2378" s="41">
        <v>1</v>
      </c>
      <c r="E2378" s="41">
        <v>1733</v>
      </c>
      <c r="F2378" s="41" t="s">
        <v>4692</v>
      </c>
      <c r="G2378" s="41" t="s">
        <v>4693</v>
      </c>
      <c r="H2378" s="2043">
        <v>1863688</v>
      </c>
      <c r="I2378" s="2043">
        <v>0</v>
      </c>
      <c r="J2378">
        <v>0</v>
      </c>
      <c r="K2378" s="2043">
        <v>0</v>
      </c>
      <c r="L2378" s="2043">
        <v>0</v>
      </c>
      <c r="M2378">
        <v>599</v>
      </c>
      <c r="N2378">
        <v>0</v>
      </c>
    </row>
    <row r="2379" spans="1:14">
      <c r="A2379" t="s">
        <v>3212</v>
      </c>
      <c r="B2379" t="s">
        <v>2267</v>
      </c>
      <c r="C2379" t="s">
        <v>397</v>
      </c>
      <c r="D2379" s="41">
        <v>1</v>
      </c>
      <c r="E2379" s="41">
        <v>1733</v>
      </c>
      <c r="F2379" s="41" t="s">
        <v>4692</v>
      </c>
      <c r="G2379" s="41" t="s">
        <v>4694</v>
      </c>
      <c r="H2379" s="2043">
        <v>1863688</v>
      </c>
      <c r="I2379" s="2043">
        <v>632660</v>
      </c>
      <c r="J2379">
        <v>0.31834960992536698</v>
      </c>
      <c r="K2379" s="2043">
        <v>593304.34782258701</v>
      </c>
      <c r="L2379" s="2043">
        <v>593304.34782258701</v>
      </c>
      <c r="M2379">
        <v>599</v>
      </c>
      <c r="N2379">
        <v>1</v>
      </c>
    </row>
    <row r="2380" spans="1:14">
      <c r="A2380" t="s">
        <v>3212</v>
      </c>
      <c r="B2380" t="s">
        <v>2267</v>
      </c>
      <c r="C2380" t="s">
        <v>397</v>
      </c>
      <c r="D2380" s="41">
        <v>1</v>
      </c>
      <c r="E2380" s="41">
        <v>1733</v>
      </c>
      <c r="F2380" s="41" t="s">
        <v>4692</v>
      </c>
      <c r="G2380" s="41" t="s">
        <v>5480</v>
      </c>
      <c r="H2380" s="2043">
        <v>1863688</v>
      </c>
      <c r="I2380" s="2043">
        <v>1025512</v>
      </c>
      <c r="J2380">
        <v>0.51602969236838503</v>
      </c>
      <c r="K2380" s="2043">
        <v>961718.345310651</v>
      </c>
      <c r="L2380" s="2043">
        <v>961718.345310651</v>
      </c>
      <c r="M2380">
        <v>599</v>
      </c>
      <c r="N2380">
        <v>1</v>
      </c>
    </row>
    <row r="2381" spans="1:14">
      <c r="A2381" t="s">
        <v>3212</v>
      </c>
      <c r="B2381" t="s">
        <v>2267</v>
      </c>
      <c r="C2381" t="s">
        <v>397</v>
      </c>
      <c r="D2381" s="41">
        <v>1</v>
      </c>
      <c r="E2381" s="41">
        <v>1733</v>
      </c>
      <c r="F2381" s="41" t="s">
        <v>4692</v>
      </c>
      <c r="G2381" s="41" t="s">
        <v>9402</v>
      </c>
      <c r="H2381" s="2043">
        <v>1863688</v>
      </c>
      <c r="I2381" s="2043">
        <v>329140</v>
      </c>
      <c r="J2381">
        <v>0.16562069770624799</v>
      </c>
      <c r="K2381" s="2043">
        <v>308665.30686676299</v>
      </c>
      <c r="L2381" s="2043">
        <v>308665.30686676299</v>
      </c>
      <c r="M2381">
        <v>599</v>
      </c>
      <c r="N2381">
        <v>1</v>
      </c>
    </row>
    <row r="2382" spans="1:14">
      <c r="A2382" t="s">
        <v>3212</v>
      </c>
      <c r="B2382" t="s">
        <v>2267</v>
      </c>
      <c r="C2382" t="s">
        <v>397</v>
      </c>
      <c r="D2382" s="41">
        <v>9</v>
      </c>
      <c r="E2382" s="41">
        <v>1735</v>
      </c>
      <c r="F2382" s="41" t="s">
        <v>4695</v>
      </c>
      <c r="G2382" s="41" t="s">
        <v>4695</v>
      </c>
      <c r="H2382" s="2043">
        <v>3761388</v>
      </c>
      <c r="I2382" s="2043">
        <v>1170194</v>
      </c>
      <c r="J2382">
        <v>0.26180336055040299</v>
      </c>
      <c r="K2382" s="2043">
        <v>984744.01873395895</v>
      </c>
      <c r="L2382" s="2043">
        <v>984744.01873395895</v>
      </c>
      <c r="M2382">
        <v>599</v>
      </c>
      <c r="N2382">
        <v>1</v>
      </c>
    </row>
    <row r="2383" spans="1:14">
      <c r="A2383" t="s">
        <v>3212</v>
      </c>
      <c r="B2383" t="s">
        <v>2267</v>
      </c>
      <c r="C2383" t="s">
        <v>397</v>
      </c>
      <c r="D2383" s="41">
        <v>9</v>
      </c>
      <c r="E2383" s="41">
        <v>1735</v>
      </c>
      <c r="F2383" s="41" t="s">
        <v>4695</v>
      </c>
      <c r="G2383" s="41" t="s">
        <v>5479</v>
      </c>
      <c r="H2383" s="2043">
        <v>3761388</v>
      </c>
      <c r="I2383" s="2043">
        <v>1620599</v>
      </c>
      <c r="J2383">
        <v>0.36257087654237002</v>
      </c>
      <c r="K2383" s="2043">
        <v>1363769.7441759501</v>
      </c>
      <c r="L2383" s="2043">
        <v>1363769.7441759501</v>
      </c>
      <c r="M2383">
        <v>599</v>
      </c>
      <c r="N2383">
        <v>1</v>
      </c>
    </row>
    <row r="2384" spans="1:14">
      <c r="A2384" t="s">
        <v>3212</v>
      </c>
      <c r="B2384" t="s">
        <v>2267</v>
      </c>
      <c r="C2384" t="s">
        <v>397</v>
      </c>
      <c r="D2384" s="41">
        <v>9</v>
      </c>
      <c r="E2384" s="41">
        <v>1735</v>
      </c>
      <c r="F2384" s="41" t="s">
        <v>4695</v>
      </c>
      <c r="G2384" s="41" t="s">
        <v>5663</v>
      </c>
      <c r="H2384" s="2043">
        <v>3761388</v>
      </c>
      <c r="I2384" s="2043">
        <v>0</v>
      </c>
      <c r="J2384">
        <v>0</v>
      </c>
      <c r="K2384" s="2043">
        <v>0</v>
      </c>
      <c r="L2384" s="2043">
        <v>0</v>
      </c>
      <c r="M2384">
        <v>599</v>
      </c>
      <c r="N2384">
        <v>1</v>
      </c>
    </row>
    <row r="2385" spans="1:14">
      <c r="A2385" t="s">
        <v>3212</v>
      </c>
      <c r="B2385" t="s">
        <v>2267</v>
      </c>
      <c r="C2385" t="s">
        <v>397</v>
      </c>
      <c r="D2385" s="41">
        <v>9</v>
      </c>
      <c r="E2385" s="41">
        <v>1735</v>
      </c>
      <c r="F2385" s="41" t="s">
        <v>4695</v>
      </c>
      <c r="G2385" s="41" t="s">
        <v>9402</v>
      </c>
      <c r="H2385" s="2043">
        <v>3761388</v>
      </c>
      <c r="I2385" s="2043">
        <v>1678951</v>
      </c>
      <c r="J2385">
        <v>0.37562576290722699</v>
      </c>
      <c r="K2385" s="2043">
        <v>1412874.2370900901</v>
      </c>
      <c r="L2385" s="2043">
        <v>1412874.2370900901</v>
      </c>
      <c r="M2385">
        <v>599</v>
      </c>
      <c r="N2385">
        <v>1</v>
      </c>
    </row>
    <row r="2386" spans="1:14">
      <c r="A2386" t="s">
        <v>3212</v>
      </c>
      <c r="B2386" t="s">
        <v>2267</v>
      </c>
      <c r="C2386" t="s">
        <v>397</v>
      </c>
      <c r="D2386" s="41">
        <v>10</v>
      </c>
      <c r="E2386" s="41">
        <v>1734</v>
      </c>
      <c r="F2386" s="41" t="s">
        <v>4696</v>
      </c>
      <c r="G2386" s="41" t="s">
        <v>4696</v>
      </c>
      <c r="H2386" s="2043">
        <v>3735112</v>
      </c>
      <c r="I2386" s="2043">
        <v>0</v>
      </c>
      <c r="J2386">
        <v>0</v>
      </c>
      <c r="K2386" s="2043">
        <v>0</v>
      </c>
      <c r="L2386" s="2043">
        <v>0</v>
      </c>
      <c r="M2386">
        <v>599</v>
      </c>
      <c r="N2386">
        <v>1</v>
      </c>
    </row>
    <row r="2387" spans="1:14">
      <c r="A2387" t="s">
        <v>3212</v>
      </c>
      <c r="B2387" t="s">
        <v>2267</v>
      </c>
      <c r="C2387" t="s">
        <v>397</v>
      </c>
      <c r="D2387" s="41">
        <v>10</v>
      </c>
      <c r="E2387" s="41">
        <v>1734</v>
      </c>
      <c r="F2387" s="41" t="s">
        <v>4696</v>
      </c>
      <c r="G2387" s="41" t="s">
        <v>5662</v>
      </c>
      <c r="H2387" s="2043">
        <v>3735112</v>
      </c>
      <c r="I2387" s="2043">
        <v>3565350</v>
      </c>
      <c r="J2387">
        <v>0.40015730867483901</v>
      </c>
      <c r="K2387" s="2043">
        <v>1494632.3655191001</v>
      </c>
      <c r="L2387" s="2043">
        <v>1494632.3655191001</v>
      </c>
      <c r="M2387">
        <v>599</v>
      </c>
      <c r="N2387">
        <v>1</v>
      </c>
    </row>
    <row r="2388" spans="1:14">
      <c r="A2388" t="s">
        <v>3212</v>
      </c>
      <c r="B2388" t="s">
        <v>2267</v>
      </c>
      <c r="C2388" t="s">
        <v>397</v>
      </c>
      <c r="D2388" s="41">
        <v>10</v>
      </c>
      <c r="E2388" s="41">
        <v>1734</v>
      </c>
      <c r="F2388" s="41" t="s">
        <v>4696</v>
      </c>
      <c r="G2388" s="41" t="s">
        <v>9402</v>
      </c>
      <c r="H2388" s="2043">
        <v>3735112</v>
      </c>
      <c r="I2388" s="2043">
        <v>5344521</v>
      </c>
      <c r="J2388">
        <v>0.59984269132516099</v>
      </c>
      <c r="K2388" s="2043">
        <v>2240479.6344809001</v>
      </c>
      <c r="L2388" s="2043">
        <v>2240479.6344809001</v>
      </c>
      <c r="M2388">
        <v>599</v>
      </c>
      <c r="N2388">
        <v>1</v>
      </c>
    </row>
    <row r="2389" spans="1:14">
      <c r="A2389" t="s">
        <v>3213</v>
      </c>
      <c r="B2389" t="s">
        <v>50</v>
      </c>
      <c r="C2389" t="s">
        <v>2376</v>
      </c>
      <c r="D2389" s="41">
        <v>1</v>
      </c>
      <c r="E2389" s="41">
        <v>1955</v>
      </c>
      <c r="F2389" s="41" t="s">
        <v>4697</v>
      </c>
      <c r="G2389" s="41" t="s">
        <v>4697</v>
      </c>
      <c r="H2389" s="2043">
        <v>565360</v>
      </c>
      <c r="I2389" s="2043">
        <v>0</v>
      </c>
      <c r="J2389">
        <v>0</v>
      </c>
      <c r="K2389" s="2043">
        <v>0</v>
      </c>
      <c r="L2389" s="2043">
        <v>0</v>
      </c>
      <c r="M2389">
        <v>599</v>
      </c>
      <c r="N2389">
        <v>0</v>
      </c>
    </row>
    <row r="2390" spans="1:14">
      <c r="A2390" t="s">
        <v>3213</v>
      </c>
      <c r="B2390" t="s">
        <v>50</v>
      </c>
      <c r="C2390" t="s">
        <v>2376</v>
      </c>
      <c r="D2390" s="41">
        <v>1</v>
      </c>
      <c r="E2390" s="41">
        <v>1955</v>
      </c>
      <c r="F2390" s="41" t="s">
        <v>4697</v>
      </c>
      <c r="G2390" s="41" t="s">
        <v>4698</v>
      </c>
      <c r="H2390" s="2043">
        <v>565360</v>
      </c>
      <c r="I2390" s="2043">
        <v>0</v>
      </c>
      <c r="J2390">
        <v>0</v>
      </c>
      <c r="K2390" s="2043">
        <v>0</v>
      </c>
      <c r="L2390" s="2043">
        <v>0</v>
      </c>
      <c r="M2390">
        <v>599</v>
      </c>
      <c r="N2390">
        <v>1</v>
      </c>
    </row>
    <row r="2391" spans="1:14">
      <c r="A2391" t="s">
        <v>3213</v>
      </c>
      <c r="B2391" t="s">
        <v>50</v>
      </c>
      <c r="C2391" t="s">
        <v>2376</v>
      </c>
      <c r="D2391" s="41">
        <v>1</v>
      </c>
      <c r="E2391" s="41">
        <v>1955</v>
      </c>
      <c r="F2391" s="41" t="s">
        <v>4697</v>
      </c>
      <c r="G2391" s="41" t="s">
        <v>4699</v>
      </c>
      <c r="H2391" s="2043">
        <v>565360</v>
      </c>
      <c r="I2391" s="2043">
        <v>0</v>
      </c>
      <c r="J2391">
        <v>0</v>
      </c>
      <c r="K2391" s="2043">
        <v>0</v>
      </c>
      <c r="L2391" s="2043">
        <v>0</v>
      </c>
      <c r="M2391">
        <v>599</v>
      </c>
      <c r="N2391">
        <v>1</v>
      </c>
    </row>
    <row r="2392" spans="1:14">
      <c r="A2392" t="s">
        <v>3213</v>
      </c>
      <c r="B2392" t="s">
        <v>50</v>
      </c>
      <c r="C2392" t="s">
        <v>2376</v>
      </c>
      <c r="D2392" s="41">
        <v>1</v>
      </c>
      <c r="E2392" s="41">
        <v>1955</v>
      </c>
      <c r="F2392" s="41" t="s">
        <v>4697</v>
      </c>
      <c r="G2392" s="41" t="s">
        <v>5481</v>
      </c>
      <c r="H2392" s="2043">
        <v>565360</v>
      </c>
      <c r="I2392" s="2043">
        <v>457754</v>
      </c>
      <c r="J2392">
        <v>1</v>
      </c>
      <c r="K2392" s="2043">
        <v>565360</v>
      </c>
      <c r="L2392" s="2043">
        <v>457754</v>
      </c>
      <c r="M2392">
        <v>599</v>
      </c>
      <c r="N2392">
        <v>1</v>
      </c>
    </row>
    <row r="2393" spans="1:14">
      <c r="A2393" t="s">
        <v>3214</v>
      </c>
      <c r="B2393" t="s">
        <v>1587</v>
      </c>
      <c r="C2393" t="s">
        <v>2000</v>
      </c>
      <c r="D2393" s="41">
        <v>3</v>
      </c>
      <c r="E2393" s="41">
        <v>1588</v>
      </c>
      <c r="F2393" s="41" t="s">
        <v>4700</v>
      </c>
      <c r="G2393" s="41" t="s">
        <v>4700</v>
      </c>
      <c r="H2393" s="2043">
        <v>1377910</v>
      </c>
      <c r="I2393" s="2043">
        <v>0</v>
      </c>
      <c r="J2393">
        <v>0</v>
      </c>
      <c r="K2393" s="2043">
        <v>0</v>
      </c>
      <c r="L2393" s="2043">
        <v>0</v>
      </c>
      <c r="M2393">
        <v>599</v>
      </c>
      <c r="N2393">
        <v>0</v>
      </c>
    </row>
    <row r="2394" spans="1:14">
      <c r="A2394" t="s">
        <v>3214</v>
      </c>
      <c r="B2394" t="s">
        <v>1587</v>
      </c>
      <c r="C2394" t="s">
        <v>2000</v>
      </c>
      <c r="D2394" s="41">
        <v>3</v>
      </c>
      <c r="E2394" s="41">
        <v>1588</v>
      </c>
      <c r="F2394" s="41" t="s">
        <v>4700</v>
      </c>
      <c r="G2394" s="41" t="s">
        <v>4701</v>
      </c>
      <c r="H2394" s="2043">
        <v>1377910</v>
      </c>
      <c r="I2394" s="2043">
        <v>0</v>
      </c>
      <c r="J2394">
        <v>0</v>
      </c>
      <c r="K2394" s="2043">
        <v>0</v>
      </c>
      <c r="L2394" s="2043">
        <v>0</v>
      </c>
      <c r="M2394">
        <v>599</v>
      </c>
      <c r="N2394">
        <v>0</v>
      </c>
    </row>
    <row r="2395" spans="1:14">
      <c r="A2395" t="s">
        <v>3214</v>
      </c>
      <c r="B2395" t="s">
        <v>1587</v>
      </c>
      <c r="C2395" t="s">
        <v>2000</v>
      </c>
      <c r="D2395" s="41">
        <v>3</v>
      </c>
      <c r="E2395" s="41">
        <v>1588</v>
      </c>
      <c r="F2395" s="41" t="s">
        <v>4700</v>
      </c>
      <c r="G2395" s="41" t="s">
        <v>4702</v>
      </c>
      <c r="H2395" s="2043">
        <v>1377910</v>
      </c>
      <c r="I2395" s="2043">
        <v>0</v>
      </c>
      <c r="J2395">
        <v>0</v>
      </c>
      <c r="K2395" s="2043">
        <v>0</v>
      </c>
      <c r="L2395" s="2043">
        <v>0</v>
      </c>
      <c r="M2395">
        <v>599</v>
      </c>
      <c r="N2395">
        <v>0</v>
      </c>
    </row>
    <row r="2396" spans="1:14">
      <c r="A2396" t="s">
        <v>3214</v>
      </c>
      <c r="B2396" t="s">
        <v>1587</v>
      </c>
      <c r="C2396" t="s">
        <v>2000</v>
      </c>
      <c r="D2396" s="41">
        <v>3</v>
      </c>
      <c r="E2396" s="41">
        <v>1588</v>
      </c>
      <c r="F2396" s="41" t="s">
        <v>4700</v>
      </c>
      <c r="G2396" s="41" t="s">
        <v>4703</v>
      </c>
      <c r="H2396" s="2043">
        <v>1377910</v>
      </c>
      <c r="I2396" s="2043">
        <v>1989888</v>
      </c>
      <c r="J2396">
        <v>1</v>
      </c>
      <c r="K2396" s="2043">
        <v>1377910</v>
      </c>
      <c r="L2396" s="2043">
        <v>1377910</v>
      </c>
      <c r="M2396">
        <v>599</v>
      </c>
      <c r="N2396">
        <v>1</v>
      </c>
    </row>
    <row r="2397" spans="1:14">
      <c r="A2397" t="s">
        <v>3215</v>
      </c>
      <c r="B2397" t="s">
        <v>1054</v>
      </c>
      <c r="C2397" t="s">
        <v>1193</v>
      </c>
      <c r="D2397" s="41">
        <v>2</v>
      </c>
      <c r="E2397" s="41">
        <v>1920</v>
      </c>
      <c r="F2397" s="41" t="s">
        <v>4704</v>
      </c>
      <c r="G2397" s="41" t="s">
        <v>4704</v>
      </c>
      <c r="H2397" s="2043">
        <v>4462566</v>
      </c>
      <c r="I2397" s="2043">
        <v>0</v>
      </c>
      <c r="J2397">
        <v>0</v>
      </c>
      <c r="K2397" s="2043">
        <v>0</v>
      </c>
      <c r="L2397" s="2043">
        <v>0</v>
      </c>
      <c r="M2397">
        <v>599</v>
      </c>
      <c r="N2397">
        <v>0</v>
      </c>
    </row>
    <row r="2398" spans="1:14">
      <c r="A2398" t="s">
        <v>3215</v>
      </c>
      <c r="B2398" t="s">
        <v>1054</v>
      </c>
      <c r="C2398" t="s">
        <v>1193</v>
      </c>
      <c r="D2398" s="41">
        <v>2</v>
      </c>
      <c r="E2398" s="41">
        <v>1920</v>
      </c>
      <c r="F2398" s="41" t="s">
        <v>4704</v>
      </c>
      <c r="G2398" s="41" t="s">
        <v>4705</v>
      </c>
      <c r="H2398" s="2043">
        <v>4462566</v>
      </c>
      <c r="I2398" s="2043">
        <v>0</v>
      </c>
      <c r="J2398">
        <v>0</v>
      </c>
      <c r="K2398" s="2043">
        <v>0</v>
      </c>
      <c r="L2398" s="2043">
        <v>0</v>
      </c>
      <c r="M2398">
        <v>599</v>
      </c>
      <c r="N2398">
        <v>1</v>
      </c>
    </row>
    <row r="2399" spans="1:14">
      <c r="A2399" t="s">
        <v>3215</v>
      </c>
      <c r="B2399" t="s">
        <v>1054</v>
      </c>
      <c r="C2399" t="s">
        <v>1193</v>
      </c>
      <c r="D2399" s="41">
        <v>2</v>
      </c>
      <c r="E2399" s="41">
        <v>1920</v>
      </c>
      <c r="F2399" s="41" t="s">
        <v>4704</v>
      </c>
      <c r="G2399" s="41" t="s">
        <v>4706</v>
      </c>
      <c r="H2399" s="2043">
        <v>4462566</v>
      </c>
      <c r="I2399" s="2043">
        <v>100762</v>
      </c>
      <c r="J2399">
        <v>9.8505389289462297E-3</v>
      </c>
      <c r="K2399" s="2043">
        <v>43958.680105991902</v>
      </c>
      <c r="L2399" s="2043">
        <v>43958.680105991902</v>
      </c>
      <c r="M2399">
        <v>599</v>
      </c>
      <c r="N2399">
        <v>1</v>
      </c>
    </row>
    <row r="2400" spans="1:14">
      <c r="A2400" t="s">
        <v>3215</v>
      </c>
      <c r="B2400" t="s">
        <v>1054</v>
      </c>
      <c r="C2400" t="s">
        <v>1193</v>
      </c>
      <c r="D2400" s="41">
        <v>2</v>
      </c>
      <c r="E2400" s="41">
        <v>1920</v>
      </c>
      <c r="F2400" s="41" t="s">
        <v>4704</v>
      </c>
      <c r="G2400" s="41" t="s">
        <v>5482</v>
      </c>
      <c r="H2400" s="2043">
        <v>4462566</v>
      </c>
      <c r="I2400" s="2043">
        <v>2447449</v>
      </c>
      <c r="J2400">
        <v>0.23926372691203601</v>
      </c>
      <c r="K2400" s="2043">
        <v>1067730.1727509401</v>
      </c>
      <c r="L2400" s="2043">
        <v>1067730.1727509401</v>
      </c>
      <c r="M2400">
        <v>599</v>
      </c>
      <c r="N2400">
        <v>1</v>
      </c>
    </row>
    <row r="2401" spans="1:14">
      <c r="A2401" t="s">
        <v>3215</v>
      </c>
      <c r="B2401" t="s">
        <v>1054</v>
      </c>
      <c r="C2401" t="s">
        <v>1193</v>
      </c>
      <c r="D2401" s="41">
        <v>2</v>
      </c>
      <c r="E2401" s="41">
        <v>1920</v>
      </c>
      <c r="F2401" s="41" t="s">
        <v>4704</v>
      </c>
      <c r="G2401" s="41" t="s">
        <v>7306</v>
      </c>
      <c r="H2401" s="2043">
        <v>4462566</v>
      </c>
      <c r="I2401" s="2043">
        <v>7266583</v>
      </c>
      <c r="J2401">
        <v>0.71038445765188196</v>
      </c>
      <c r="K2401" s="2043">
        <v>3170137.5276457299</v>
      </c>
      <c r="L2401" s="2043">
        <v>3170137.5276457299</v>
      </c>
      <c r="M2401">
        <v>599</v>
      </c>
      <c r="N2401">
        <v>1</v>
      </c>
    </row>
    <row r="2402" spans="1:14">
      <c r="A2402" t="s">
        <v>3215</v>
      </c>
      <c r="B2402" t="s">
        <v>1054</v>
      </c>
      <c r="C2402" t="s">
        <v>1193</v>
      </c>
      <c r="D2402" s="41">
        <v>2</v>
      </c>
      <c r="E2402" s="41">
        <v>1920</v>
      </c>
      <c r="F2402" s="41" t="s">
        <v>4704</v>
      </c>
      <c r="G2402" s="41" t="s">
        <v>9403</v>
      </c>
      <c r="H2402" s="2043">
        <v>4462566</v>
      </c>
      <c r="I2402" s="2043">
        <v>414291</v>
      </c>
      <c r="J2402">
        <v>4.0501276507136301E-2</v>
      </c>
      <c r="K2402" s="2043">
        <v>180739.619497345</v>
      </c>
      <c r="L2402" s="2043">
        <v>180739.619497345</v>
      </c>
      <c r="M2402">
        <v>599</v>
      </c>
      <c r="N2402">
        <v>1</v>
      </c>
    </row>
    <row r="2403" spans="1:14">
      <c r="A2403" t="s">
        <v>3216</v>
      </c>
      <c r="B2403" t="s">
        <v>1743</v>
      </c>
      <c r="C2403" t="s">
        <v>616</v>
      </c>
      <c r="D2403" s="41">
        <v>5</v>
      </c>
      <c r="E2403" s="41">
        <v>1668</v>
      </c>
      <c r="F2403" s="41" t="s">
        <v>4707</v>
      </c>
      <c r="G2403" s="41" t="s">
        <v>4707</v>
      </c>
      <c r="H2403" s="2043">
        <v>711722</v>
      </c>
      <c r="I2403" s="2043">
        <v>0</v>
      </c>
      <c r="J2403">
        <v>0</v>
      </c>
      <c r="L2403" s="2043">
        <v>0</v>
      </c>
      <c r="M2403">
        <v>199</v>
      </c>
      <c r="N2403">
        <v>0</v>
      </c>
    </row>
    <row r="2404" spans="1:14">
      <c r="A2404" t="s">
        <v>3216</v>
      </c>
      <c r="B2404" t="s">
        <v>1743</v>
      </c>
      <c r="C2404" t="s">
        <v>616</v>
      </c>
      <c r="D2404" s="41">
        <v>10</v>
      </c>
      <c r="E2404" s="41">
        <v>1669</v>
      </c>
      <c r="F2404" s="41" t="s">
        <v>4708</v>
      </c>
      <c r="G2404" s="41" t="s">
        <v>4708</v>
      </c>
      <c r="H2404" s="2043">
        <v>843841</v>
      </c>
      <c r="I2404" s="2043">
        <v>0</v>
      </c>
      <c r="J2404">
        <v>0</v>
      </c>
      <c r="K2404" s="2043">
        <v>0</v>
      </c>
      <c r="L2404" s="2043">
        <v>0</v>
      </c>
      <c r="M2404">
        <v>599</v>
      </c>
      <c r="N2404">
        <v>1</v>
      </c>
    </row>
    <row r="2405" spans="1:14">
      <c r="A2405" t="s">
        <v>3216</v>
      </c>
      <c r="B2405" t="s">
        <v>1743</v>
      </c>
      <c r="C2405" t="s">
        <v>616</v>
      </c>
      <c r="D2405" s="41">
        <v>10</v>
      </c>
      <c r="E2405" s="41">
        <v>1669</v>
      </c>
      <c r="F2405" s="41" t="s">
        <v>4708</v>
      </c>
      <c r="G2405" s="41" t="s">
        <v>7340</v>
      </c>
      <c r="H2405" s="2043">
        <v>843841</v>
      </c>
      <c r="I2405" s="2043">
        <v>1388025</v>
      </c>
      <c r="J2405">
        <v>1</v>
      </c>
      <c r="K2405" s="2043">
        <v>843841</v>
      </c>
      <c r="L2405" s="2043">
        <v>843841</v>
      </c>
      <c r="M2405">
        <v>599</v>
      </c>
      <c r="N2405">
        <v>1</v>
      </c>
    </row>
    <row r="2406" spans="1:14">
      <c r="A2406" t="s">
        <v>3217</v>
      </c>
      <c r="B2406" t="s">
        <v>2100</v>
      </c>
      <c r="C2406" t="s">
        <v>1205</v>
      </c>
      <c r="D2406" s="41">
        <v>10</v>
      </c>
      <c r="E2406" s="41">
        <v>1772</v>
      </c>
      <c r="F2406" s="41" t="s">
        <v>4709</v>
      </c>
      <c r="G2406" s="41" t="s">
        <v>4709</v>
      </c>
      <c r="H2406" s="2043">
        <v>4072151</v>
      </c>
      <c r="I2406" s="2043">
        <v>0</v>
      </c>
      <c r="J2406">
        <v>0</v>
      </c>
      <c r="K2406" s="2043">
        <v>0</v>
      </c>
      <c r="L2406" s="2043">
        <v>0</v>
      </c>
      <c r="M2406">
        <v>599</v>
      </c>
      <c r="N2406">
        <v>1</v>
      </c>
    </row>
    <row r="2407" spans="1:14">
      <c r="A2407" t="s">
        <v>3217</v>
      </c>
      <c r="B2407" t="s">
        <v>2100</v>
      </c>
      <c r="C2407" t="s">
        <v>1205</v>
      </c>
      <c r="D2407" s="41">
        <v>10</v>
      </c>
      <c r="E2407" s="41">
        <v>1772</v>
      </c>
      <c r="F2407" s="41" t="s">
        <v>4709</v>
      </c>
      <c r="G2407" s="41" t="s">
        <v>5483</v>
      </c>
      <c r="H2407" s="2043">
        <v>4072151</v>
      </c>
      <c r="I2407" s="2043">
        <v>1592511</v>
      </c>
      <c r="J2407">
        <v>0.33075646232393202</v>
      </c>
      <c r="K2407" s="2043">
        <v>1346890.2588088601</v>
      </c>
      <c r="L2407" s="2043">
        <v>1346890.2588088601</v>
      </c>
      <c r="M2407">
        <v>599</v>
      </c>
      <c r="N2407">
        <v>1</v>
      </c>
    </row>
    <row r="2408" spans="1:14">
      <c r="A2408" t="s">
        <v>3217</v>
      </c>
      <c r="B2408" t="s">
        <v>2100</v>
      </c>
      <c r="C2408" t="s">
        <v>1205</v>
      </c>
      <c r="D2408" s="41">
        <v>10</v>
      </c>
      <c r="E2408" s="41">
        <v>1772</v>
      </c>
      <c r="F2408" s="41" t="s">
        <v>4709</v>
      </c>
      <c r="G2408" s="41" t="s">
        <v>5664</v>
      </c>
      <c r="H2408" s="2043">
        <v>4072151</v>
      </c>
      <c r="I2408" s="2043">
        <v>1359215</v>
      </c>
      <c r="J2408">
        <v>0.28230206569224497</v>
      </c>
      <c r="K2408" s="2043">
        <v>1149576.63911074</v>
      </c>
      <c r="L2408" s="2043">
        <v>1149576.63911074</v>
      </c>
      <c r="M2408">
        <v>599</v>
      </c>
      <c r="N2408">
        <v>1</v>
      </c>
    </row>
    <row r="2409" spans="1:14">
      <c r="A2409" t="s">
        <v>3217</v>
      </c>
      <c r="B2409" t="s">
        <v>2100</v>
      </c>
      <c r="C2409" t="s">
        <v>1205</v>
      </c>
      <c r="D2409" s="41">
        <v>10</v>
      </c>
      <c r="E2409" s="41">
        <v>1772</v>
      </c>
      <c r="F2409" s="41" t="s">
        <v>4709</v>
      </c>
      <c r="G2409" s="41" t="s">
        <v>7307</v>
      </c>
      <c r="H2409" s="2043">
        <v>4072151</v>
      </c>
      <c r="I2409" s="2043">
        <v>1844174</v>
      </c>
      <c r="J2409">
        <v>0.38302559175401302</v>
      </c>
      <c r="K2409" s="2043">
        <v>1559738.0464867</v>
      </c>
      <c r="L2409" s="2043">
        <v>1559738.0464867</v>
      </c>
      <c r="M2409">
        <v>599</v>
      </c>
      <c r="N2409">
        <v>1</v>
      </c>
    </row>
    <row r="2410" spans="1:14">
      <c r="A2410" t="s">
        <v>3217</v>
      </c>
      <c r="B2410" t="s">
        <v>2100</v>
      </c>
      <c r="C2410" t="s">
        <v>1205</v>
      </c>
      <c r="D2410" s="41">
        <v>10</v>
      </c>
      <c r="E2410" s="41">
        <v>1772</v>
      </c>
      <c r="F2410" s="41" t="s">
        <v>4709</v>
      </c>
      <c r="G2410" s="41" t="s">
        <v>9404</v>
      </c>
      <c r="H2410" s="2043">
        <v>4072151</v>
      </c>
      <c r="I2410" s="2043">
        <v>18854</v>
      </c>
      <c r="J2410">
        <v>3.9158802298102898E-3</v>
      </c>
      <c r="K2410" s="2043">
        <v>15946.0555937022</v>
      </c>
      <c r="L2410" s="2043">
        <v>15946.0555937022</v>
      </c>
      <c r="M2410">
        <v>599</v>
      </c>
      <c r="N2410">
        <v>1</v>
      </c>
    </row>
    <row r="2411" spans="1:14">
      <c r="A2411" t="s">
        <v>4710</v>
      </c>
      <c r="B2411" t="s">
        <v>1742</v>
      </c>
      <c r="C2411" t="s">
        <v>615</v>
      </c>
      <c r="D2411" s="41">
        <v>1</v>
      </c>
      <c r="E2411" s="41">
        <v>1666</v>
      </c>
      <c r="F2411" s="41" t="s">
        <v>4711</v>
      </c>
      <c r="G2411" s="41" t="s">
        <v>4711</v>
      </c>
      <c r="H2411" s="2043">
        <v>602473</v>
      </c>
      <c r="I2411" s="2043">
        <v>0</v>
      </c>
      <c r="J2411">
        <v>0</v>
      </c>
      <c r="L2411" s="2043">
        <v>0</v>
      </c>
      <c r="M2411">
        <v>599</v>
      </c>
      <c r="N2411">
        <v>0</v>
      </c>
    </row>
    <row r="2412" spans="1:14">
      <c r="A2412" t="s">
        <v>4710</v>
      </c>
      <c r="B2412" t="s">
        <v>1742</v>
      </c>
      <c r="C2412" t="s">
        <v>615</v>
      </c>
      <c r="D2412" s="41">
        <v>1</v>
      </c>
      <c r="E2412" s="41">
        <v>1667</v>
      </c>
      <c r="F2412" s="41" t="s">
        <v>4712</v>
      </c>
      <c r="G2412" s="41" t="s">
        <v>4712</v>
      </c>
      <c r="H2412" s="2043">
        <v>693277</v>
      </c>
      <c r="I2412" s="2043">
        <v>1548820</v>
      </c>
      <c r="J2412">
        <v>1</v>
      </c>
      <c r="K2412" s="2043">
        <v>693277</v>
      </c>
      <c r="L2412" s="2043">
        <v>693277</v>
      </c>
      <c r="M2412">
        <v>599</v>
      </c>
      <c r="N2412">
        <v>1</v>
      </c>
    </row>
    <row r="2413" spans="1:14">
      <c r="A2413" t="s">
        <v>3218</v>
      </c>
      <c r="B2413" t="s">
        <v>1109</v>
      </c>
      <c r="C2413" t="s">
        <v>1257</v>
      </c>
      <c r="D2413" s="41">
        <v>1</v>
      </c>
      <c r="E2413" s="41">
        <v>2449</v>
      </c>
      <c r="F2413" s="41" t="s">
        <v>4713</v>
      </c>
      <c r="G2413" s="41" t="s">
        <v>4713</v>
      </c>
      <c r="H2413" s="2043">
        <v>729878</v>
      </c>
      <c r="I2413" s="2043">
        <v>0</v>
      </c>
      <c r="J2413">
        <v>0</v>
      </c>
      <c r="L2413" s="2043">
        <v>0</v>
      </c>
      <c r="M2413">
        <v>599</v>
      </c>
      <c r="N2413">
        <v>0</v>
      </c>
    </row>
    <row r="2414" spans="1:14">
      <c r="A2414" t="s">
        <v>3218</v>
      </c>
      <c r="B2414" t="s">
        <v>1109</v>
      </c>
      <c r="C2414" t="s">
        <v>1257</v>
      </c>
      <c r="D2414" s="41">
        <v>9</v>
      </c>
      <c r="E2414" s="41">
        <v>2450</v>
      </c>
      <c r="F2414" s="41" t="s">
        <v>4714</v>
      </c>
      <c r="G2414" s="41" t="s">
        <v>4714</v>
      </c>
      <c r="H2414" s="2043">
        <v>1433532</v>
      </c>
      <c r="I2414" s="2043">
        <v>0</v>
      </c>
      <c r="J2414">
        <v>0</v>
      </c>
      <c r="K2414" s="2043">
        <v>0</v>
      </c>
      <c r="L2414" s="2043">
        <v>0</v>
      </c>
      <c r="M2414">
        <v>599</v>
      </c>
      <c r="N2414">
        <v>0</v>
      </c>
    </row>
    <row r="2415" spans="1:14">
      <c r="A2415" t="s">
        <v>3218</v>
      </c>
      <c r="B2415" t="s">
        <v>1109</v>
      </c>
      <c r="C2415" t="s">
        <v>1257</v>
      </c>
      <c r="D2415" s="41">
        <v>9</v>
      </c>
      <c r="E2415" s="41">
        <v>2450</v>
      </c>
      <c r="F2415" s="41" t="s">
        <v>4714</v>
      </c>
      <c r="G2415" s="41" t="s">
        <v>4715</v>
      </c>
      <c r="H2415" s="2043">
        <v>1433532</v>
      </c>
      <c r="I2415" s="2043">
        <v>1604691</v>
      </c>
      <c r="J2415">
        <v>0.58251022039461497</v>
      </c>
      <c r="K2415" s="2043">
        <v>835047.04126273305</v>
      </c>
      <c r="L2415" s="2043">
        <v>835047.04126273305</v>
      </c>
      <c r="M2415">
        <v>599</v>
      </c>
      <c r="N2415">
        <v>1</v>
      </c>
    </row>
    <row r="2416" spans="1:14">
      <c r="A2416" t="s">
        <v>3218</v>
      </c>
      <c r="B2416" t="s">
        <v>1109</v>
      </c>
      <c r="C2416" t="s">
        <v>1257</v>
      </c>
      <c r="D2416" s="41">
        <v>9</v>
      </c>
      <c r="E2416" s="41">
        <v>2450</v>
      </c>
      <c r="F2416" s="41" t="s">
        <v>4714</v>
      </c>
      <c r="G2416" s="41" t="s">
        <v>4716</v>
      </c>
      <c r="H2416" s="2043">
        <v>1433532</v>
      </c>
      <c r="I2416" s="2043">
        <v>289</v>
      </c>
      <c r="J2416">
        <v>1.04908330447447E-4</v>
      </c>
      <c r="K2416" s="2043">
        <v>150.38944876298899</v>
      </c>
      <c r="L2416" s="2043">
        <v>150.38944876298899</v>
      </c>
      <c r="M2416">
        <v>599</v>
      </c>
      <c r="N2416">
        <v>1</v>
      </c>
    </row>
    <row r="2417" spans="1:14">
      <c r="A2417" t="s">
        <v>3218</v>
      </c>
      <c r="B2417" t="s">
        <v>1109</v>
      </c>
      <c r="C2417" t="s">
        <v>1257</v>
      </c>
      <c r="D2417" s="41">
        <v>9</v>
      </c>
      <c r="E2417" s="41">
        <v>2450</v>
      </c>
      <c r="F2417" s="41" t="s">
        <v>4714</v>
      </c>
      <c r="G2417" s="41" t="s">
        <v>5484</v>
      </c>
      <c r="H2417" s="2043">
        <v>1433532</v>
      </c>
      <c r="I2417" s="2043">
        <v>200325</v>
      </c>
      <c r="J2417">
        <v>7.2718897221054596E-2</v>
      </c>
      <c r="K2417" s="2043">
        <v>104244.866171093</v>
      </c>
      <c r="L2417" s="2043">
        <v>104244.866171093</v>
      </c>
      <c r="M2417">
        <v>599</v>
      </c>
      <c r="N2417">
        <v>1</v>
      </c>
    </row>
    <row r="2418" spans="1:14">
      <c r="A2418" t="s">
        <v>3218</v>
      </c>
      <c r="B2418" t="s">
        <v>1109</v>
      </c>
      <c r="C2418" t="s">
        <v>1257</v>
      </c>
      <c r="D2418" s="41">
        <v>9</v>
      </c>
      <c r="E2418" s="41">
        <v>2450</v>
      </c>
      <c r="F2418" s="41" t="s">
        <v>4714</v>
      </c>
      <c r="G2418" s="41" t="s">
        <v>9405</v>
      </c>
      <c r="H2418" s="2043">
        <v>1433532</v>
      </c>
      <c r="I2418" s="2043">
        <v>949481</v>
      </c>
      <c r="J2418">
        <v>0.344665974053883</v>
      </c>
      <c r="K2418" s="2043">
        <v>494089.703117411</v>
      </c>
      <c r="L2418" s="2043">
        <v>494089.703117411</v>
      </c>
      <c r="M2418">
        <v>599</v>
      </c>
      <c r="N2418">
        <v>1</v>
      </c>
    </row>
    <row r="2419" spans="1:14">
      <c r="A2419" t="s">
        <v>5268</v>
      </c>
      <c r="B2419" t="s">
        <v>2101</v>
      </c>
      <c r="C2419" t="s">
        <v>1206</v>
      </c>
      <c r="D2419" s="41">
        <v>11</v>
      </c>
      <c r="E2419" s="41">
        <v>2582</v>
      </c>
      <c r="F2419" s="41" t="s">
        <v>7308</v>
      </c>
      <c r="G2419" s="41" t="s">
        <v>7308</v>
      </c>
      <c r="H2419" s="2043">
        <v>2870323</v>
      </c>
      <c r="I2419" s="2043">
        <v>5208907</v>
      </c>
      <c r="J2419">
        <v>0.73813496647016297</v>
      </c>
      <c r="K2419" s="2043">
        <v>2118685.7713635401</v>
      </c>
      <c r="L2419" s="2043">
        <v>2118685.7713635401</v>
      </c>
      <c r="M2419">
        <v>599</v>
      </c>
      <c r="N2419">
        <v>1</v>
      </c>
    </row>
    <row r="2420" spans="1:14">
      <c r="A2420" t="s">
        <v>5268</v>
      </c>
      <c r="B2420" t="s">
        <v>2101</v>
      </c>
      <c r="C2420" t="s">
        <v>1206</v>
      </c>
      <c r="D2420" s="41">
        <v>11</v>
      </c>
      <c r="E2420" s="41">
        <v>2582</v>
      </c>
      <c r="F2420" s="41" t="s">
        <v>7308</v>
      </c>
      <c r="G2420" s="41" t="s">
        <v>9406</v>
      </c>
      <c r="H2420" s="2043">
        <v>2870323</v>
      </c>
      <c r="I2420" s="2043">
        <v>1847942</v>
      </c>
      <c r="J2420">
        <v>0.26186503352983698</v>
      </c>
      <c r="K2420" s="2043">
        <v>751637.22863646399</v>
      </c>
      <c r="L2420" s="2043">
        <v>751637.22863646399</v>
      </c>
      <c r="M2420">
        <v>599</v>
      </c>
      <c r="N2420">
        <v>1</v>
      </c>
    </row>
    <row r="2421" spans="1:14">
      <c r="A2421" t="s">
        <v>3219</v>
      </c>
      <c r="B2421" t="s">
        <v>1741</v>
      </c>
      <c r="C2421" t="s">
        <v>776</v>
      </c>
      <c r="D2421" s="41">
        <v>5</v>
      </c>
      <c r="E2421" s="41">
        <v>2084</v>
      </c>
      <c r="F2421" s="41" t="s">
        <v>4717</v>
      </c>
      <c r="G2421" s="41" t="s">
        <v>4717</v>
      </c>
      <c r="H2421" s="2043">
        <v>100000</v>
      </c>
      <c r="I2421" s="2043">
        <v>0</v>
      </c>
      <c r="J2421">
        <v>0</v>
      </c>
      <c r="K2421" s="2043">
        <v>0</v>
      </c>
      <c r="L2421" s="2043">
        <v>0</v>
      </c>
      <c r="M2421">
        <v>599</v>
      </c>
      <c r="N2421">
        <v>0</v>
      </c>
    </row>
    <row r="2422" spans="1:14">
      <c r="A2422" t="s">
        <v>3219</v>
      </c>
      <c r="B2422" t="s">
        <v>1741</v>
      </c>
      <c r="C2422" t="s">
        <v>776</v>
      </c>
      <c r="D2422" s="41">
        <v>5</v>
      </c>
      <c r="E2422" s="41">
        <v>2084</v>
      </c>
      <c r="F2422" s="41" t="s">
        <v>4717</v>
      </c>
      <c r="G2422" s="41" t="s">
        <v>4718</v>
      </c>
      <c r="H2422" s="2043">
        <v>100000</v>
      </c>
      <c r="I2422" s="2043">
        <v>86400</v>
      </c>
      <c r="J2422">
        <v>1</v>
      </c>
      <c r="K2422" s="2043">
        <v>100000</v>
      </c>
      <c r="L2422" s="2043">
        <v>86400</v>
      </c>
      <c r="M2422">
        <v>599</v>
      </c>
      <c r="N2422">
        <v>1</v>
      </c>
    </row>
    <row r="2423" spans="1:14">
      <c r="A2423" t="s">
        <v>3220</v>
      </c>
      <c r="B2423" t="s">
        <v>261</v>
      </c>
      <c r="C2423" t="s">
        <v>619</v>
      </c>
      <c r="D2423" s="41">
        <v>6</v>
      </c>
      <c r="E2423" s="41">
        <v>1680</v>
      </c>
      <c r="F2423" s="41" t="s">
        <v>4719</v>
      </c>
      <c r="G2423" s="41" t="s">
        <v>4719</v>
      </c>
      <c r="H2423" s="2043">
        <v>178703</v>
      </c>
      <c r="I2423" s="2043">
        <v>0</v>
      </c>
      <c r="J2423">
        <v>0</v>
      </c>
      <c r="K2423" s="2043">
        <v>0</v>
      </c>
      <c r="L2423" s="2043">
        <v>0</v>
      </c>
      <c r="M2423">
        <v>599</v>
      </c>
      <c r="N2423">
        <v>0</v>
      </c>
    </row>
    <row r="2424" spans="1:14">
      <c r="A2424" t="s">
        <v>3220</v>
      </c>
      <c r="B2424" t="s">
        <v>261</v>
      </c>
      <c r="C2424" t="s">
        <v>619</v>
      </c>
      <c r="D2424" s="41">
        <v>6</v>
      </c>
      <c r="E2424" s="41">
        <v>1680</v>
      </c>
      <c r="F2424" s="41" t="s">
        <v>4719</v>
      </c>
      <c r="G2424" s="41" t="s">
        <v>4720</v>
      </c>
      <c r="H2424" s="2043">
        <v>178703</v>
      </c>
      <c r="I2424" s="2043">
        <v>162935</v>
      </c>
      <c r="J2424">
        <v>1</v>
      </c>
      <c r="K2424" s="2043">
        <v>178703</v>
      </c>
      <c r="L2424" s="2043">
        <v>162935</v>
      </c>
      <c r="M2424">
        <v>599</v>
      </c>
      <c r="N2424">
        <v>1</v>
      </c>
    </row>
    <row r="2425" spans="1:14">
      <c r="A2425" t="s">
        <v>3220</v>
      </c>
      <c r="B2425" t="s">
        <v>261</v>
      </c>
      <c r="C2425" t="s">
        <v>619</v>
      </c>
      <c r="D2425" s="41">
        <v>8</v>
      </c>
      <c r="E2425" s="41">
        <v>1679</v>
      </c>
      <c r="F2425" s="41" t="s">
        <v>4721</v>
      </c>
      <c r="G2425" s="41" t="s">
        <v>4721</v>
      </c>
      <c r="H2425" s="2043">
        <v>163986</v>
      </c>
      <c r="I2425" s="2043">
        <v>0</v>
      </c>
      <c r="J2425">
        <v>0</v>
      </c>
      <c r="K2425" s="2043">
        <v>0</v>
      </c>
      <c r="L2425" s="2043">
        <v>0</v>
      </c>
      <c r="M2425">
        <v>599</v>
      </c>
      <c r="N2425">
        <v>1</v>
      </c>
    </row>
    <row r="2426" spans="1:14">
      <c r="A2426" t="s">
        <v>3220</v>
      </c>
      <c r="B2426" t="s">
        <v>261</v>
      </c>
      <c r="C2426" t="s">
        <v>619</v>
      </c>
      <c r="D2426" s="41">
        <v>8</v>
      </c>
      <c r="E2426" s="41">
        <v>1679</v>
      </c>
      <c r="F2426" s="41" t="s">
        <v>4721</v>
      </c>
      <c r="G2426" s="41" t="s">
        <v>5665</v>
      </c>
      <c r="H2426" s="2043">
        <v>163986</v>
      </c>
      <c r="I2426" s="2043">
        <v>126550</v>
      </c>
      <c r="J2426">
        <v>1</v>
      </c>
      <c r="K2426" s="2043">
        <v>163986</v>
      </c>
      <c r="L2426" s="2043">
        <v>126550</v>
      </c>
      <c r="M2426">
        <v>599</v>
      </c>
      <c r="N2426">
        <v>1</v>
      </c>
    </row>
    <row r="2427" spans="1:14">
      <c r="A2427" t="s">
        <v>3221</v>
      </c>
      <c r="B2427" t="s">
        <v>1237</v>
      </c>
      <c r="C2427" t="s">
        <v>1914</v>
      </c>
      <c r="D2427" s="41">
        <v>1</v>
      </c>
      <c r="E2427" s="41">
        <v>2278</v>
      </c>
      <c r="F2427" s="41" t="s">
        <v>4722</v>
      </c>
      <c r="G2427" s="41" t="s">
        <v>4722</v>
      </c>
      <c r="H2427" s="2043">
        <v>1247036</v>
      </c>
      <c r="I2427" s="2043">
        <v>0</v>
      </c>
      <c r="J2427">
        <v>0</v>
      </c>
      <c r="L2427" s="2043">
        <v>0</v>
      </c>
      <c r="M2427">
        <v>599</v>
      </c>
      <c r="N2427">
        <v>0</v>
      </c>
    </row>
    <row r="2428" spans="1:14">
      <c r="A2428" t="s">
        <v>3221</v>
      </c>
      <c r="B2428" t="s">
        <v>1237</v>
      </c>
      <c r="C2428" t="s">
        <v>1914</v>
      </c>
      <c r="D2428" s="41">
        <v>1</v>
      </c>
      <c r="E2428" s="41">
        <v>2277</v>
      </c>
      <c r="F2428" s="41" t="s">
        <v>4723</v>
      </c>
      <c r="G2428" s="41" t="s">
        <v>4723</v>
      </c>
      <c r="H2428" s="2043">
        <v>726000</v>
      </c>
      <c r="I2428" s="2043">
        <v>0</v>
      </c>
      <c r="J2428">
        <v>0</v>
      </c>
      <c r="K2428" s="2043">
        <v>0</v>
      </c>
      <c r="L2428" s="2043">
        <v>0</v>
      </c>
      <c r="M2428">
        <v>599</v>
      </c>
      <c r="N2428">
        <v>0</v>
      </c>
    </row>
    <row r="2429" spans="1:14">
      <c r="A2429" t="s">
        <v>3221</v>
      </c>
      <c r="B2429" t="s">
        <v>1237</v>
      </c>
      <c r="C2429" t="s">
        <v>1914</v>
      </c>
      <c r="D2429" s="41">
        <v>1</v>
      </c>
      <c r="E2429" s="41">
        <v>2277</v>
      </c>
      <c r="F2429" s="41" t="s">
        <v>4723</v>
      </c>
      <c r="G2429" s="41" t="s">
        <v>4724</v>
      </c>
      <c r="H2429" s="2043">
        <v>726000</v>
      </c>
      <c r="I2429" s="2043">
        <v>0</v>
      </c>
      <c r="J2429">
        <v>0</v>
      </c>
      <c r="K2429" s="2043">
        <v>0</v>
      </c>
      <c r="L2429" s="2043">
        <v>0</v>
      </c>
      <c r="M2429">
        <v>599</v>
      </c>
      <c r="N2429">
        <v>0</v>
      </c>
    </row>
    <row r="2430" spans="1:14">
      <c r="A2430" t="s">
        <v>3221</v>
      </c>
      <c r="B2430" t="s">
        <v>1237</v>
      </c>
      <c r="C2430" t="s">
        <v>1914</v>
      </c>
      <c r="D2430" s="41">
        <v>1</v>
      </c>
      <c r="E2430" s="41">
        <v>2277</v>
      </c>
      <c r="F2430" s="41" t="s">
        <v>4723</v>
      </c>
      <c r="G2430" s="41" t="s">
        <v>5485</v>
      </c>
      <c r="H2430" s="2043">
        <v>726000</v>
      </c>
      <c r="I2430" s="2043">
        <v>668100</v>
      </c>
      <c r="J2430">
        <v>1</v>
      </c>
      <c r="K2430" s="2043">
        <v>726000</v>
      </c>
      <c r="L2430" s="2043">
        <v>668100</v>
      </c>
      <c r="M2430">
        <v>599</v>
      </c>
      <c r="N2430">
        <v>1</v>
      </c>
    </row>
    <row r="2431" spans="1:14">
      <c r="A2431" t="s">
        <v>3221</v>
      </c>
      <c r="B2431" t="s">
        <v>1237</v>
      </c>
      <c r="C2431" t="s">
        <v>1914</v>
      </c>
      <c r="D2431" s="41">
        <v>10</v>
      </c>
      <c r="E2431" s="41">
        <v>2279</v>
      </c>
      <c r="F2431" s="41" t="s">
        <v>4725</v>
      </c>
      <c r="G2431" s="41" t="s">
        <v>4725</v>
      </c>
      <c r="H2431" s="2043">
        <v>3492500</v>
      </c>
      <c r="I2431" s="2043">
        <v>0</v>
      </c>
      <c r="J2431">
        <v>0</v>
      </c>
      <c r="K2431" s="2043">
        <v>0</v>
      </c>
      <c r="L2431" s="2043">
        <v>0</v>
      </c>
      <c r="M2431">
        <v>599</v>
      </c>
      <c r="N2431">
        <v>1</v>
      </c>
    </row>
    <row r="2432" spans="1:14">
      <c r="A2432" t="s">
        <v>3221</v>
      </c>
      <c r="B2432" t="s">
        <v>1237</v>
      </c>
      <c r="C2432" t="s">
        <v>1914</v>
      </c>
      <c r="D2432" s="41">
        <v>10</v>
      </c>
      <c r="E2432" s="41">
        <v>2279</v>
      </c>
      <c r="F2432" s="41" t="s">
        <v>4725</v>
      </c>
      <c r="G2432" s="41" t="s">
        <v>5486</v>
      </c>
      <c r="H2432" s="2043">
        <v>3492500</v>
      </c>
      <c r="I2432" s="2043">
        <v>8470725</v>
      </c>
      <c r="J2432">
        <v>0.73861507488104905</v>
      </c>
      <c r="K2432" s="2043">
        <v>2579613.14902206</v>
      </c>
      <c r="L2432" s="2043">
        <v>2579613.14902206</v>
      </c>
      <c r="M2432">
        <v>599</v>
      </c>
      <c r="N2432">
        <v>1</v>
      </c>
    </row>
    <row r="2433" spans="1:14">
      <c r="A2433" t="s">
        <v>3221</v>
      </c>
      <c r="B2433" t="s">
        <v>1237</v>
      </c>
      <c r="C2433" t="s">
        <v>1914</v>
      </c>
      <c r="D2433" s="41">
        <v>10</v>
      </c>
      <c r="E2433" s="41">
        <v>2279</v>
      </c>
      <c r="F2433" s="41" t="s">
        <v>4725</v>
      </c>
      <c r="G2433" s="41" t="s">
        <v>9407</v>
      </c>
      <c r="H2433" s="2043">
        <v>3492500</v>
      </c>
      <c r="I2433" s="2043">
        <v>2997664</v>
      </c>
      <c r="J2433">
        <v>0.26138492511895101</v>
      </c>
      <c r="K2433" s="2043">
        <v>912886.85097793594</v>
      </c>
      <c r="L2433" s="2043">
        <v>912886.85097793594</v>
      </c>
      <c r="M2433">
        <v>599</v>
      </c>
      <c r="N2433">
        <v>1</v>
      </c>
    </row>
    <row r="2434" spans="1:14">
      <c r="A2434" t="s">
        <v>3222</v>
      </c>
      <c r="B2434" t="s">
        <v>325</v>
      </c>
      <c r="C2434" t="s">
        <v>128</v>
      </c>
      <c r="D2434" s="41">
        <v>1</v>
      </c>
      <c r="E2434" s="41">
        <v>2432</v>
      </c>
      <c r="F2434" s="41" t="s">
        <v>4726</v>
      </c>
      <c r="G2434" s="41" t="s">
        <v>4726</v>
      </c>
      <c r="H2434" s="2043">
        <v>216359</v>
      </c>
      <c r="I2434" s="2043">
        <v>0</v>
      </c>
      <c r="J2434">
        <v>0</v>
      </c>
      <c r="K2434" s="2043">
        <v>0</v>
      </c>
      <c r="L2434" s="2043">
        <v>0</v>
      </c>
      <c r="M2434">
        <v>599</v>
      </c>
      <c r="N2434">
        <v>0</v>
      </c>
    </row>
    <row r="2435" spans="1:14">
      <c r="A2435" t="s">
        <v>3222</v>
      </c>
      <c r="B2435" t="s">
        <v>325</v>
      </c>
      <c r="C2435" t="s">
        <v>128</v>
      </c>
      <c r="D2435" s="41">
        <v>1</v>
      </c>
      <c r="E2435" s="41">
        <v>2432</v>
      </c>
      <c r="F2435" s="41" t="s">
        <v>4726</v>
      </c>
      <c r="G2435" s="41" t="s">
        <v>4727</v>
      </c>
      <c r="H2435" s="2043">
        <v>216359</v>
      </c>
      <c r="I2435" s="2043">
        <v>0</v>
      </c>
      <c r="J2435">
        <v>0</v>
      </c>
      <c r="K2435" s="2043">
        <v>0</v>
      </c>
      <c r="L2435" s="2043">
        <v>0</v>
      </c>
      <c r="M2435">
        <v>599</v>
      </c>
      <c r="N2435">
        <v>0</v>
      </c>
    </row>
    <row r="2436" spans="1:14">
      <c r="A2436" t="s">
        <v>3222</v>
      </c>
      <c r="B2436" t="s">
        <v>325</v>
      </c>
      <c r="C2436" t="s">
        <v>128</v>
      </c>
      <c r="D2436" s="41">
        <v>1</v>
      </c>
      <c r="E2436" s="41">
        <v>2432</v>
      </c>
      <c r="F2436" s="41" t="s">
        <v>4726</v>
      </c>
      <c r="G2436" s="41" t="s">
        <v>5487</v>
      </c>
      <c r="H2436" s="2043">
        <v>216359</v>
      </c>
      <c r="I2436" s="2043">
        <v>202563</v>
      </c>
      <c r="J2436">
        <v>1</v>
      </c>
      <c r="K2436" s="2043">
        <v>216359</v>
      </c>
      <c r="L2436" s="2043">
        <v>202563</v>
      </c>
      <c r="M2436">
        <v>599</v>
      </c>
      <c r="N2436">
        <v>0</v>
      </c>
    </row>
    <row r="2437" spans="1:14">
      <c r="A2437" t="s">
        <v>3223</v>
      </c>
      <c r="B2437" t="s">
        <v>1231</v>
      </c>
      <c r="C2437" t="s">
        <v>1635</v>
      </c>
      <c r="D2437" s="41">
        <v>4</v>
      </c>
      <c r="E2437" s="41">
        <v>1860</v>
      </c>
      <c r="F2437" s="41" t="s">
        <v>4728</v>
      </c>
      <c r="G2437" s="41" t="s">
        <v>4728</v>
      </c>
      <c r="H2437" s="2043">
        <v>498900</v>
      </c>
      <c r="I2437" s="2043">
        <v>0</v>
      </c>
      <c r="J2437">
        <v>0</v>
      </c>
      <c r="K2437" s="2043">
        <v>0</v>
      </c>
      <c r="L2437" s="2043">
        <v>0</v>
      </c>
      <c r="M2437">
        <v>599</v>
      </c>
      <c r="N2437">
        <v>0</v>
      </c>
    </row>
    <row r="2438" spans="1:14">
      <c r="A2438" t="s">
        <v>3223</v>
      </c>
      <c r="B2438" t="s">
        <v>1231</v>
      </c>
      <c r="C2438" t="s">
        <v>1635</v>
      </c>
      <c r="D2438" s="41">
        <v>4</v>
      </c>
      <c r="E2438" s="41">
        <v>1860</v>
      </c>
      <c r="F2438" s="41" t="s">
        <v>4728</v>
      </c>
      <c r="G2438" s="41" t="s">
        <v>4729</v>
      </c>
      <c r="H2438" s="2043">
        <v>498900</v>
      </c>
      <c r="I2438" s="2043">
        <v>652800</v>
      </c>
      <c r="J2438">
        <v>1</v>
      </c>
      <c r="K2438" s="2043">
        <v>498900</v>
      </c>
      <c r="L2438" s="2043">
        <v>498900</v>
      </c>
      <c r="M2438">
        <v>599</v>
      </c>
      <c r="N2438">
        <v>1</v>
      </c>
    </row>
    <row r="2439" spans="1:14">
      <c r="A2439" t="s">
        <v>3224</v>
      </c>
      <c r="B2439" t="s">
        <v>1179</v>
      </c>
      <c r="C2439" t="s">
        <v>2500</v>
      </c>
      <c r="D2439" s="41">
        <v>5</v>
      </c>
      <c r="E2439" s="41">
        <v>2425</v>
      </c>
      <c r="F2439" s="41" t="s">
        <v>4730</v>
      </c>
      <c r="G2439" s="41" t="s">
        <v>4730</v>
      </c>
      <c r="H2439" s="2043">
        <v>100000</v>
      </c>
      <c r="I2439" s="2043">
        <v>0</v>
      </c>
      <c r="J2439">
        <v>0</v>
      </c>
      <c r="K2439" s="2043">
        <v>0</v>
      </c>
      <c r="L2439" s="2043">
        <v>0</v>
      </c>
      <c r="M2439">
        <v>599</v>
      </c>
      <c r="N2439">
        <v>0</v>
      </c>
    </row>
    <row r="2440" spans="1:14">
      <c r="A2440" t="s">
        <v>3224</v>
      </c>
      <c r="B2440" t="s">
        <v>1179</v>
      </c>
      <c r="C2440" t="s">
        <v>2500</v>
      </c>
      <c r="D2440" s="41">
        <v>5</v>
      </c>
      <c r="E2440" s="41">
        <v>2425</v>
      </c>
      <c r="F2440" s="41" t="s">
        <v>4730</v>
      </c>
      <c r="G2440" s="41" t="s">
        <v>4731</v>
      </c>
      <c r="H2440" s="2043">
        <v>100000</v>
      </c>
      <c r="I2440" s="2043">
        <v>90176</v>
      </c>
      <c r="J2440">
        <v>1</v>
      </c>
      <c r="K2440" s="2043">
        <v>100000</v>
      </c>
      <c r="L2440" s="2043">
        <v>90176</v>
      </c>
      <c r="M2440">
        <v>599</v>
      </c>
      <c r="N2440">
        <v>1</v>
      </c>
    </row>
    <row r="2441" spans="1:14">
      <c r="A2441" t="s">
        <v>3225</v>
      </c>
      <c r="B2441" t="s">
        <v>196</v>
      </c>
      <c r="C2441" t="s">
        <v>944</v>
      </c>
      <c r="D2441" s="41">
        <v>1</v>
      </c>
      <c r="E2441" s="41">
        <v>2189</v>
      </c>
      <c r="F2441" s="41" t="s">
        <v>4732</v>
      </c>
      <c r="G2441" s="41" t="s">
        <v>4732</v>
      </c>
      <c r="H2441" s="2043">
        <v>906295</v>
      </c>
      <c r="I2441" s="2043">
        <v>0</v>
      </c>
      <c r="J2441">
        <v>0</v>
      </c>
      <c r="L2441" s="2043">
        <v>0</v>
      </c>
      <c r="M2441">
        <v>599</v>
      </c>
      <c r="N2441">
        <v>0</v>
      </c>
    </row>
    <row r="2442" spans="1:14">
      <c r="A2442" t="s">
        <v>3225</v>
      </c>
      <c r="B2442" t="s">
        <v>196</v>
      </c>
      <c r="C2442" t="s">
        <v>944</v>
      </c>
      <c r="D2442" s="41">
        <v>1</v>
      </c>
      <c r="E2442" s="41">
        <v>2188</v>
      </c>
      <c r="F2442" s="41" t="s">
        <v>4733</v>
      </c>
      <c r="G2442" s="41" t="s">
        <v>4733</v>
      </c>
      <c r="H2442" s="2043">
        <v>743639</v>
      </c>
      <c r="I2442" s="2043">
        <v>0</v>
      </c>
      <c r="J2442">
        <v>0</v>
      </c>
      <c r="L2442" s="2043">
        <v>0</v>
      </c>
      <c r="M2442">
        <v>599</v>
      </c>
      <c r="N2442">
        <v>0</v>
      </c>
    </row>
    <row r="2443" spans="1:14">
      <c r="A2443" t="s">
        <v>3225</v>
      </c>
      <c r="B2443" t="s">
        <v>196</v>
      </c>
      <c r="C2443" t="s">
        <v>944</v>
      </c>
      <c r="D2443" s="41">
        <v>9</v>
      </c>
      <c r="E2443" s="41">
        <v>2190</v>
      </c>
      <c r="F2443" s="41" t="s">
        <v>4734</v>
      </c>
      <c r="G2443" s="41" t="s">
        <v>4734</v>
      </c>
      <c r="H2443" s="2043">
        <v>5151250</v>
      </c>
      <c r="I2443" s="2043">
        <v>0</v>
      </c>
      <c r="J2443">
        <v>0</v>
      </c>
      <c r="K2443" s="2043">
        <v>0</v>
      </c>
      <c r="L2443" s="2043">
        <v>0</v>
      </c>
      <c r="M2443">
        <v>599</v>
      </c>
      <c r="N2443">
        <v>1</v>
      </c>
    </row>
    <row r="2444" spans="1:14">
      <c r="A2444" t="s">
        <v>3225</v>
      </c>
      <c r="B2444" t="s">
        <v>196</v>
      </c>
      <c r="C2444" t="s">
        <v>944</v>
      </c>
      <c r="D2444" s="41">
        <v>9</v>
      </c>
      <c r="E2444" s="41">
        <v>2190</v>
      </c>
      <c r="F2444" s="41" t="s">
        <v>4734</v>
      </c>
      <c r="G2444" s="41" t="s">
        <v>5488</v>
      </c>
      <c r="H2444" s="2043">
        <v>5151250</v>
      </c>
      <c r="I2444" s="2043">
        <v>5026093</v>
      </c>
      <c r="J2444">
        <v>0.82397452644473201</v>
      </c>
      <c r="K2444" s="2043">
        <v>4244498.7793484302</v>
      </c>
      <c r="L2444" s="2043">
        <v>4244498.7793484302</v>
      </c>
      <c r="M2444">
        <v>599</v>
      </c>
      <c r="N2444">
        <v>1</v>
      </c>
    </row>
    <row r="2445" spans="1:14">
      <c r="A2445" t="s">
        <v>3225</v>
      </c>
      <c r="B2445" t="s">
        <v>196</v>
      </c>
      <c r="C2445" t="s">
        <v>944</v>
      </c>
      <c r="D2445" s="41">
        <v>9</v>
      </c>
      <c r="E2445" s="41">
        <v>2190</v>
      </c>
      <c r="F2445" s="41" t="s">
        <v>4734</v>
      </c>
      <c r="G2445" s="41" t="s">
        <v>8654</v>
      </c>
      <c r="H2445" s="2043">
        <v>5151250</v>
      </c>
      <c r="I2445" s="2043">
        <v>260146</v>
      </c>
      <c r="J2445">
        <v>4.2648171682555698E-2</v>
      </c>
      <c r="K2445" s="2043">
        <v>219691.394379765</v>
      </c>
      <c r="L2445" s="2043">
        <v>219691.394379765</v>
      </c>
      <c r="M2445">
        <v>599</v>
      </c>
      <c r="N2445">
        <v>1</v>
      </c>
    </row>
    <row r="2446" spans="1:14">
      <c r="A2446" t="s">
        <v>3225</v>
      </c>
      <c r="B2446" t="s">
        <v>196</v>
      </c>
      <c r="C2446" t="s">
        <v>944</v>
      </c>
      <c r="D2446" s="41">
        <v>9</v>
      </c>
      <c r="E2446" s="41">
        <v>2190</v>
      </c>
      <c r="F2446" s="41" t="s">
        <v>4734</v>
      </c>
      <c r="G2446" s="41" t="s">
        <v>9408</v>
      </c>
      <c r="H2446" s="2043">
        <v>5151250</v>
      </c>
      <c r="I2446" s="2043">
        <v>813577</v>
      </c>
      <c r="J2446">
        <v>0.13337730187271199</v>
      </c>
      <c r="K2446" s="2043">
        <v>687059.82627180906</v>
      </c>
      <c r="L2446" s="2043">
        <v>687059.82627180906</v>
      </c>
      <c r="M2446">
        <v>599</v>
      </c>
      <c r="N2446">
        <v>1</v>
      </c>
    </row>
    <row r="2447" spans="1:14">
      <c r="A2447" t="s">
        <v>3226</v>
      </c>
      <c r="B2447" t="s">
        <v>1066</v>
      </c>
      <c r="C2447" t="s">
        <v>2520</v>
      </c>
      <c r="D2447" s="41">
        <v>1</v>
      </c>
      <c r="E2447" s="41">
        <v>1751</v>
      </c>
      <c r="F2447" s="41" t="s">
        <v>4735</v>
      </c>
      <c r="G2447" s="41" t="s">
        <v>4735</v>
      </c>
      <c r="H2447" s="2043">
        <v>1138000</v>
      </c>
      <c r="I2447" s="2043">
        <v>0</v>
      </c>
      <c r="J2447">
        <v>0</v>
      </c>
      <c r="L2447" s="2043">
        <v>0</v>
      </c>
      <c r="M2447">
        <v>599</v>
      </c>
      <c r="N2447">
        <v>0</v>
      </c>
    </row>
    <row r="2448" spans="1:14">
      <c r="A2448" t="s">
        <v>4736</v>
      </c>
      <c r="B2448" t="s">
        <v>1349</v>
      </c>
      <c r="C2448" t="s">
        <v>1457</v>
      </c>
      <c r="D2448" s="41">
        <v>5</v>
      </c>
      <c r="E2448" s="41">
        <v>1707</v>
      </c>
      <c r="F2448" s="41" t="s">
        <v>4737</v>
      </c>
      <c r="G2448" s="41" t="s">
        <v>4737</v>
      </c>
      <c r="H2448" s="2043">
        <v>158074</v>
      </c>
      <c r="I2448" s="2043">
        <v>0</v>
      </c>
      <c r="J2448">
        <v>0</v>
      </c>
      <c r="L2448" s="2043">
        <v>0</v>
      </c>
      <c r="M2448">
        <v>199</v>
      </c>
      <c r="N2448">
        <v>0</v>
      </c>
    </row>
    <row r="2449" spans="1:14">
      <c r="A2449" t="s">
        <v>3227</v>
      </c>
      <c r="B2449" t="s">
        <v>1708</v>
      </c>
      <c r="C2449" t="s">
        <v>1810</v>
      </c>
      <c r="D2449" s="41">
        <v>9</v>
      </c>
      <c r="E2449" s="41">
        <v>2436</v>
      </c>
      <c r="F2449" s="41" t="s">
        <v>4738</v>
      </c>
      <c r="G2449" s="41" t="s">
        <v>4738</v>
      </c>
      <c r="H2449" s="2043">
        <v>281704</v>
      </c>
      <c r="I2449" s="2043">
        <v>0</v>
      </c>
      <c r="J2449">
        <v>0</v>
      </c>
      <c r="K2449" s="2043">
        <v>0</v>
      </c>
      <c r="L2449" s="2043">
        <v>0</v>
      </c>
      <c r="M2449">
        <v>599</v>
      </c>
      <c r="N2449">
        <v>1</v>
      </c>
    </row>
    <row r="2450" spans="1:14">
      <c r="A2450" t="s">
        <v>3227</v>
      </c>
      <c r="B2450" t="s">
        <v>1708</v>
      </c>
      <c r="C2450" t="s">
        <v>1810</v>
      </c>
      <c r="D2450" s="41">
        <v>9</v>
      </c>
      <c r="E2450" s="41">
        <v>2436</v>
      </c>
      <c r="F2450" s="41" t="s">
        <v>4738</v>
      </c>
      <c r="G2450" s="41" t="s">
        <v>5911</v>
      </c>
      <c r="H2450" s="2043">
        <v>281704</v>
      </c>
      <c r="I2450" s="2043">
        <v>145775</v>
      </c>
      <c r="J2450">
        <v>0.50337018902064201</v>
      </c>
      <c r="K2450" s="2043">
        <v>141801.39572787099</v>
      </c>
      <c r="L2450" s="2043">
        <v>141801.39572787099</v>
      </c>
      <c r="M2450">
        <v>599</v>
      </c>
      <c r="N2450">
        <v>1</v>
      </c>
    </row>
    <row r="2451" spans="1:14">
      <c r="A2451" t="s">
        <v>3227</v>
      </c>
      <c r="B2451" t="s">
        <v>1708</v>
      </c>
      <c r="C2451" t="s">
        <v>1810</v>
      </c>
      <c r="D2451" s="41">
        <v>9</v>
      </c>
      <c r="E2451" s="41">
        <v>2436</v>
      </c>
      <c r="F2451" s="41" t="s">
        <v>4738</v>
      </c>
      <c r="G2451" s="41" t="s">
        <v>7341</v>
      </c>
      <c r="H2451" s="2043">
        <v>281704</v>
      </c>
      <c r="I2451" s="2043">
        <v>143823</v>
      </c>
      <c r="J2451">
        <v>0.49662981097935799</v>
      </c>
      <c r="K2451" s="2043">
        <v>139902.60427212901</v>
      </c>
      <c r="L2451" s="2043">
        <v>139902.60427212901</v>
      </c>
      <c r="M2451">
        <v>599</v>
      </c>
      <c r="N2451">
        <v>1</v>
      </c>
    </row>
    <row r="2452" spans="1:14">
      <c r="A2452" t="s">
        <v>3227</v>
      </c>
      <c r="B2452" t="s">
        <v>1708</v>
      </c>
      <c r="C2452" t="s">
        <v>1810</v>
      </c>
      <c r="D2452" s="41">
        <v>10</v>
      </c>
      <c r="E2452" s="41">
        <v>2437</v>
      </c>
      <c r="F2452" s="41" t="s">
        <v>4739</v>
      </c>
      <c r="G2452" s="41" t="s">
        <v>4739</v>
      </c>
      <c r="H2452" s="2043">
        <v>287703</v>
      </c>
      <c r="I2452" s="2043">
        <v>0</v>
      </c>
      <c r="J2452">
        <v>0</v>
      </c>
      <c r="K2452" s="2043">
        <v>0</v>
      </c>
      <c r="L2452" s="2043">
        <v>0</v>
      </c>
      <c r="M2452">
        <v>599</v>
      </c>
      <c r="N2452">
        <v>1</v>
      </c>
    </row>
    <row r="2453" spans="1:14">
      <c r="A2453" t="s">
        <v>3227</v>
      </c>
      <c r="B2453" t="s">
        <v>1708</v>
      </c>
      <c r="C2453" t="s">
        <v>1810</v>
      </c>
      <c r="D2453" s="41">
        <v>10</v>
      </c>
      <c r="E2453" s="41">
        <v>2437</v>
      </c>
      <c r="F2453" s="41" t="s">
        <v>4739</v>
      </c>
      <c r="G2453" s="41" t="s">
        <v>7341</v>
      </c>
      <c r="H2453" s="2043">
        <v>287703</v>
      </c>
      <c r="I2453" s="2043">
        <v>221487</v>
      </c>
      <c r="J2453">
        <v>1</v>
      </c>
      <c r="K2453" s="2043">
        <v>287703</v>
      </c>
      <c r="L2453" s="2043">
        <v>221487</v>
      </c>
      <c r="M2453">
        <v>599</v>
      </c>
      <c r="N2453">
        <v>1</v>
      </c>
    </row>
    <row r="2454" spans="1:14">
      <c r="A2454" t="s">
        <v>3228</v>
      </c>
      <c r="B2454" t="s">
        <v>1180</v>
      </c>
      <c r="C2454" t="s">
        <v>1831</v>
      </c>
      <c r="D2454" s="41">
        <v>5</v>
      </c>
      <c r="E2454" s="41">
        <v>2380</v>
      </c>
      <c r="F2454" s="41" t="s">
        <v>4740</v>
      </c>
      <c r="G2454" s="41" t="s">
        <v>4740</v>
      </c>
      <c r="H2454" s="2043">
        <v>103335</v>
      </c>
      <c r="I2454" s="2043">
        <v>0</v>
      </c>
      <c r="J2454">
        <v>0</v>
      </c>
      <c r="K2454" s="2043">
        <v>0</v>
      </c>
      <c r="L2454" s="2043">
        <v>0</v>
      </c>
      <c r="M2454">
        <v>599</v>
      </c>
      <c r="N2454">
        <v>0</v>
      </c>
    </row>
    <row r="2455" spans="1:14">
      <c r="A2455" t="s">
        <v>3228</v>
      </c>
      <c r="B2455" t="s">
        <v>1180</v>
      </c>
      <c r="C2455" t="s">
        <v>1831</v>
      </c>
      <c r="D2455" s="41">
        <v>5</v>
      </c>
      <c r="E2455" s="41">
        <v>2380</v>
      </c>
      <c r="F2455" s="41" t="s">
        <v>4740</v>
      </c>
      <c r="G2455" s="41" t="s">
        <v>4741</v>
      </c>
      <c r="H2455" s="2043">
        <v>103335</v>
      </c>
      <c r="I2455" s="2043">
        <v>0</v>
      </c>
      <c r="J2455">
        <v>0</v>
      </c>
      <c r="K2455" s="2043">
        <v>0</v>
      </c>
      <c r="L2455" s="2043">
        <v>0</v>
      </c>
      <c r="M2455">
        <v>599</v>
      </c>
      <c r="N2455">
        <v>1</v>
      </c>
    </row>
    <row r="2456" spans="1:14">
      <c r="A2456" t="s">
        <v>3228</v>
      </c>
      <c r="B2456" t="s">
        <v>1180</v>
      </c>
      <c r="C2456" t="s">
        <v>1831</v>
      </c>
      <c r="D2456" s="41">
        <v>5</v>
      </c>
      <c r="E2456" s="41">
        <v>2380</v>
      </c>
      <c r="F2456" s="41" t="s">
        <v>4740</v>
      </c>
      <c r="G2456" s="41" t="s">
        <v>9409</v>
      </c>
      <c r="H2456" s="2043">
        <v>103335</v>
      </c>
      <c r="I2456" s="2043">
        <v>172023</v>
      </c>
      <c r="J2456">
        <v>1</v>
      </c>
      <c r="K2456" s="2043">
        <v>103335</v>
      </c>
      <c r="L2456" s="2043">
        <v>103335</v>
      </c>
      <c r="M2456">
        <v>599</v>
      </c>
      <c r="N2456">
        <v>1</v>
      </c>
    </row>
    <row r="2457" spans="1:14">
      <c r="A2457" t="s">
        <v>3229</v>
      </c>
      <c r="B2457" t="s">
        <v>68</v>
      </c>
      <c r="C2457" t="s">
        <v>2061</v>
      </c>
      <c r="D2457" s="41">
        <v>2</v>
      </c>
      <c r="E2457" s="41">
        <v>1685</v>
      </c>
      <c r="F2457" s="41" t="s">
        <v>4742</v>
      </c>
      <c r="G2457" s="41" t="s">
        <v>4742</v>
      </c>
      <c r="H2457" s="2043">
        <v>71236</v>
      </c>
      <c r="I2457" s="2043">
        <v>0</v>
      </c>
      <c r="J2457">
        <v>0</v>
      </c>
      <c r="L2457" s="2043">
        <v>0</v>
      </c>
      <c r="M2457">
        <v>599</v>
      </c>
      <c r="N2457">
        <v>1</v>
      </c>
    </row>
    <row r="2458" spans="1:14">
      <c r="A2458" t="s">
        <v>3230</v>
      </c>
      <c r="B2458" t="s">
        <v>1329</v>
      </c>
      <c r="C2458" t="s">
        <v>962</v>
      </c>
      <c r="D2458" s="41">
        <v>2</v>
      </c>
      <c r="E2458" s="41">
        <v>2165</v>
      </c>
      <c r="F2458" s="41" t="s">
        <v>4743</v>
      </c>
      <c r="G2458" s="41" t="s">
        <v>4743</v>
      </c>
      <c r="H2458" s="2043">
        <v>184136</v>
      </c>
      <c r="I2458" s="2043">
        <v>0</v>
      </c>
      <c r="J2458">
        <v>0</v>
      </c>
      <c r="K2458" s="2043">
        <v>0</v>
      </c>
      <c r="L2458" s="2043">
        <v>0</v>
      </c>
      <c r="M2458">
        <v>599</v>
      </c>
      <c r="N2458">
        <v>0</v>
      </c>
    </row>
    <row r="2459" spans="1:14">
      <c r="A2459" t="s">
        <v>3230</v>
      </c>
      <c r="B2459" t="s">
        <v>1329</v>
      </c>
      <c r="C2459" t="s">
        <v>962</v>
      </c>
      <c r="D2459" s="41">
        <v>2</v>
      </c>
      <c r="E2459" s="41">
        <v>2165</v>
      </c>
      <c r="F2459" s="41" t="s">
        <v>4743</v>
      </c>
      <c r="G2459" s="41" t="s">
        <v>4744</v>
      </c>
      <c r="H2459" s="2043">
        <v>184136</v>
      </c>
      <c r="I2459" s="2043">
        <v>0</v>
      </c>
      <c r="J2459">
        <v>0</v>
      </c>
      <c r="K2459" s="2043">
        <v>0</v>
      </c>
      <c r="L2459" s="2043">
        <v>0</v>
      </c>
      <c r="M2459">
        <v>599</v>
      </c>
      <c r="N2459">
        <v>1</v>
      </c>
    </row>
    <row r="2460" spans="1:14">
      <c r="A2460" t="s">
        <v>3230</v>
      </c>
      <c r="B2460" t="s">
        <v>1329</v>
      </c>
      <c r="C2460" t="s">
        <v>962</v>
      </c>
      <c r="D2460" s="41">
        <v>2</v>
      </c>
      <c r="E2460" s="41">
        <v>2165</v>
      </c>
      <c r="F2460" s="41" t="s">
        <v>4743</v>
      </c>
      <c r="G2460" s="41" t="s">
        <v>5666</v>
      </c>
      <c r="H2460" s="2043">
        <v>184136</v>
      </c>
      <c r="I2460" s="2043">
        <v>163044</v>
      </c>
      <c r="J2460">
        <v>1</v>
      </c>
      <c r="K2460" s="2043">
        <v>184136</v>
      </c>
      <c r="L2460" s="2043">
        <v>163044</v>
      </c>
      <c r="M2460">
        <v>599</v>
      </c>
      <c r="N2460">
        <v>1</v>
      </c>
    </row>
    <row r="2461" spans="1:14">
      <c r="A2461" t="s">
        <v>3230</v>
      </c>
      <c r="B2461" t="s">
        <v>1329</v>
      </c>
      <c r="C2461" t="s">
        <v>962</v>
      </c>
      <c r="D2461" s="41">
        <v>9</v>
      </c>
      <c r="E2461" s="41">
        <v>2166</v>
      </c>
      <c r="F2461" s="41" t="s">
        <v>4745</v>
      </c>
      <c r="G2461" s="41" t="s">
        <v>4745</v>
      </c>
      <c r="H2461" s="2043">
        <v>202862</v>
      </c>
      <c r="I2461" s="2043">
        <v>0</v>
      </c>
      <c r="J2461">
        <v>0</v>
      </c>
      <c r="K2461" s="2043">
        <v>0</v>
      </c>
      <c r="L2461" s="2043">
        <v>0</v>
      </c>
      <c r="M2461">
        <v>599</v>
      </c>
      <c r="N2461">
        <v>1</v>
      </c>
    </row>
    <row r="2462" spans="1:14">
      <c r="A2462" t="s">
        <v>3230</v>
      </c>
      <c r="B2462" t="s">
        <v>1329</v>
      </c>
      <c r="C2462" t="s">
        <v>962</v>
      </c>
      <c r="D2462" s="41">
        <v>9</v>
      </c>
      <c r="E2462" s="41">
        <v>2166</v>
      </c>
      <c r="F2462" s="41" t="s">
        <v>4745</v>
      </c>
      <c r="G2462" s="41" t="s">
        <v>5666</v>
      </c>
      <c r="H2462" s="2043">
        <v>202862</v>
      </c>
      <c r="I2462" s="2043">
        <v>415500</v>
      </c>
      <c r="J2462">
        <v>1</v>
      </c>
      <c r="K2462" s="2043">
        <v>202862</v>
      </c>
      <c r="L2462" s="2043">
        <v>202862</v>
      </c>
      <c r="M2462">
        <v>599</v>
      </c>
      <c r="N2462">
        <v>1</v>
      </c>
    </row>
    <row r="2463" spans="1:14">
      <c r="A2463" t="s">
        <v>3231</v>
      </c>
      <c r="B2463" t="s">
        <v>1757</v>
      </c>
      <c r="C2463" t="s">
        <v>781</v>
      </c>
      <c r="D2463" s="41">
        <v>1</v>
      </c>
      <c r="E2463" s="41">
        <v>1874</v>
      </c>
      <c r="F2463" s="41" t="s">
        <v>4746</v>
      </c>
      <c r="G2463" s="41" t="s">
        <v>4746</v>
      </c>
      <c r="H2463" s="2043">
        <v>223024</v>
      </c>
      <c r="I2463" s="2043">
        <v>0</v>
      </c>
      <c r="J2463">
        <v>0</v>
      </c>
      <c r="K2463" s="2043">
        <v>0</v>
      </c>
      <c r="L2463" s="2043">
        <v>0</v>
      </c>
      <c r="M2463">
        <v>599</v>
      </c>
      <c r="N2463">
        <v>0</v>
      </c>
    </row>
    <row r="2464" spans="1:14">
      <c r="A2464" t="s">
        <v>3231</v>
      </c>
      <c r="B2464" t="s">
        <v>1757</v>
      </c>
      <c r="C2464" t="s">
        <v>781</v>
      </c>
      <c r="D2464" s="41">
        <v>1</v>
      </c>
      <c r="E2464" s="41">
        <v>1874</v>
      </c>
      <c r="F2464" s="41" t="s">
        <v>4746</v>
      </c>
      <c r="G2464" s="41" t="s">
        <v>4747</v>
      </c>
      <c r="H2464" s="2043">
        <v>223024</v>
      </c>
      <c r="I2464" s="2043">
        <v>206262</v>
      </c>
      <c r="J2464">
        <v>1</v>
      </c>
      <c r="K2464" s="2043">
        <v>223024</v>
      </c>
      <c r="L2464" s="2043">
        <v>206262</v>
      </c>
      <c r="M2464">
        <v>599</v>
      </c>
      <c r="N2464">
        <v>1</v>
      </c>
    </row>
    <row r="2465" spans="1:14">
      <c r="A2465" t="s">
        <v>3232</v>
      </c>
      <c r="B2465" t="s">
        <v>1022</v>
      </c>
      <c r="C2465" t="s">
        <v>1446</v>
      </c>
      <c r="D2465" s="41">
        <v>8</v>
      </c>
      <c r="E2465" s="41">
        <v>2142</v>
      </c>
      <c r="F2465" s="41" t="s">
        <v>4748</v>
      </c>
      <c r="G2465" s="41" t="s">
        <v>4748</v>
      </c>
      <c r="H2465" s="2043">
        <v>207500</v>
      </c>
      <c r="I2465" s="2043">
        <v>0</v>
      </c>
      <c r="J2465">
        <v>0</v>
      </c>
      <c r="K2465" s="2043">
        <v>0</v>
      </c>
      <c r="L2465" s="2043">
        <v>0</v>
      </c>
      <c r="M2465">
        <v>599</v>
      </c>
      <c r="N2465">
        <v>1</v>
      </c>
    </row>
    <row r="2466" spans="1:14">
      <c r="A2466" t="s">
        <v>3232</v>
      </c>
      <c r="B2466" t="s">
        <v>1022</v>
      </c>
      <c r="C2466" t="s">
        <v>1446</v>
      </c>
      <c r="D2466" s="41">
        <v>8</v>
      </c>
      <c r="E2466" s="41">
        <v>2142</v>
      </c>
      <c r="F2466" s="41" t="s">
        <v>4748</v>
      </c>
      <c r="G2466" s="41" t="s">
        <v>5667</v>
      </c>
      <c r="H2466" s="2043">
        <v>207500</v>
      </c>
      <c r="I2466" s="2043">
        <v>267906</v>
      </c>
      <c r="J2466">
        <v>1</v>
      </c>
      <c r="K2466" s="2043">
        <v>207500</v>
      </c>
      <c r="L2466" s="2043">
        <v>207500</v>
      </c>
      <c r="M2466">
        <v>599</v>
      </c>
      <c r="N2466">
        <v>1</v>
      </c>
    </row>
    <row r="2467" spans="1:14">
      <c r="A2467" t="s">
        <v>3233</v>
      </c>
      <c r="B2467" t="s">
        <v>54</v>
      </c>
      <c r="C2467" t="s">
        <v>2332</v>
      </c>
      <c r="D2467" s="41">
        <v>2</v>
      </c>
      <c r="E2467" s="41">
        <v>1970</v>
      </c>
      <c r="F2467" s="41" t="s">
        <v>4749</v>
      </c>
      <c r="G2467" s="41" t="s">
        <v>4749</v>
      </c>
      <c r="H2467" s="2043">
        <v>52660</v>
      </c>
      <c r="I2467" s="2043">
        <v>0</v>
      </c>
      <c r="J2467">
        <v>0</v>
      </c>
      <c r="L2467" s="2043">
        <v>0</v>
      </c>
      <c r="M2467">
        <v>599</v>
      </c>
      <c r="N2467">
        <v>0</v>
      </c>
    </row>
    <row r="2468" spans="1:14">
      <c r="A2468" t="s">
        <v>3233</v>
      </c>
      <c r="B2468" t="s">
        <v>54</v>
      </c>
      <c r="C2468" t="s">
        <v>2332</v>
      </c>
      <c r="D2468" s="41">
        <v>5</v>
      </c>
      <c r="E2468" s="41">
        <v>1969</v>
      </c>
      <c r="F2468" s="41" t="s">
        <v>4751</v>
      </c>
      <c r="G2468" s="41" t="s">
        <v>4751</v>
      </c>
      <c r="H2468" s="2043">
        <v>39885</v>
      </c>
      <c r="I2468" s="2043">
        <v>0</v>
      </c>
      <c r="J2468">
        <v>0</v>
      </c>
      <c r="K2468" s="2043">
        <v>0</v>
      </c>
      <c r="L2468" s="2043">
        <v>0</v>
      </c>
      <c r="M2468">
        <v>599</v>
      </c>
      <c r="N2468">
        <v>0</v>
      </c>
    </row>
    <row r="2469" spans="1:14">
      <c r="A2469" t="s">
        <v>3233</v>
      </c>
      <c r="B2469" t="s">
        <v>54</v>
      </c>
      <c r="C2469" t="s">
        <v>2332</v>
      </c>
      <c r="D2469" s="41">
        <v>5</v>
      </c>
      <c r="E2469" s="41">
        <v>1969</v>
      </c>
      <c r="F2469" s="41" t="s">
        <v>4751</v>
      </c>
      <c r="G2469" s="41" t="s">
        <v>4750</v>
      </c>
      <c r="H2469" s="2043">
        <v>39885</v>
      </c>
      <c r="I2469" s="2043">
        <v>15752</v>
      </c>
      <c r="J2469">
        <v>1</v>
      </c>
      <c r="K2469" s="2043">
        <v>39885</v>
      </c>
      <c r="L2469" s="2043">
        <v>15752</v>
      </c>
      <c r="M2469">
        <v>599</v>
      </c>
      <c r="N2469">
        <v>1</v>
      </c>
    </row>
    <row r="2470" spans="1:14">
      <c r="A2470" t="s">
        <v>3234</v>
      </c>
      <c r="B2470" t="s">
        <v>1454</v>
      </c>
      <c r="C2470" t="s">
        <v>578</v>
      </c>
      <c r="D2470" s="41">
        <v>5</v>
      </c>
      <c r="E2470" s="41">
        <v>2274</v>
      </c>
      <c r="F2470" s="41" t="s">
        <v>4752</v>
      </c>
      <c r="G2470" s="41" t="s">
        <v>4752</v>
      </c>
      <c r="H2470" s="2043">
        <v>124225</v>
      </c>
      <c r="I2470" s="2043">
        <v>0</v>
      </c>
      <c r="J2470">
        <v>0</v>
      </c>
      <c r="K2470" s="2043">
        <v>0</v>
      </c>
      <c r="L2470" s="2043">
        <v>0</v>
      </c>
      <c r="M2470">
        <v>599</v>
      </c>
      <c r="N2470">
        <v>0</v>
      </c>
    </row>
    <row r="2471" spans="1:14">
      <c r="A2471" t="s">
        <v>3234</v>
      </c>
      <c r="B2471" t="s">
        <v>1454</v>
      </c>
      <c r="C2471" t="s">
        <v>578</v>
      </c>
      <c r="D2471" s="41">
        <v>5</v>
      </c>
      <c r="E2471" s="41">
        <v>2274</v>
      </c>
      <c r="F2471" s="41" t="s">
        <v>4752</v>
      </c>
      <c r="G2471" s="41" t="s">
        <v>4753</v>
      </c>
      <c r="H2471" s="2043">
        <v>124225</v>
      </c>
      <c r="I2471" s="2043">
        <v>116872</v>
      </c>
      <c r="J2471">
        <v>1</v>
      </c>
      <c r="K2471" s="2043">
        <v>124225</v>
      </c>
      <c r="L2471" s="2043">
        <v>116872</v>
      </c>
      <c r="M2471">
        <v>599</v>
      </c>
      <c r="N2471">
        <v>1</v>
      </c>
    </row>
    <row r="2472" spans="1:14">
      <c r="A2472" t="s">
        <v>3235</v>
      </c>
      <c r="B2472" t="s">
        <v>1432</v>
      </c>
      <c r="C2472" t="s">
        <v>279</v>
      </c>
      <c r="D2472" s="41">
        <v>2</v>
      </c>
      <c r="E2472" s="41">
        <v>2409</v>
      </c>
      <c r="F2472" s="41" t="s">
        <v>4754</v>
      </c>
      <c r="G2472" s="41" t="s">
        <v>4754</v>
      </c>
      <c r="H2472" s="2043">
        <v>1300000</v>
      </c>
      <c r="I2472" s="2043">
        <v>0</v>
      </c>
      <c r="J2472">
        <v>0</v>
      </c>
      <c r="K2472" s="2043">
        <v>0</v>
      </c>
      <c r="L2472" s="2043">
        <v>0</v>
      </c>
      <c r="M2472">
        <v>599</v>
      </c>
      <c r="N2472">
        <v>0</v>
      </c>
    </row>
    <row r="2473" spans="1:14">
      <c r="A2473" t="s">
        <v>3235</v>
      </c>
      <c r="B2473" t="s">
        <v>1432</v>
      </c>
      <c r="C2473" t="s">
        <v>279</v>
      </c>
      <c r="D2473" s="41">
        <v>2</v>
      </c>
      <c r="E2473" s="41">
        <v>2409</v>
      </c>
      <c r="F2473" s="41" t="s">
        <v>4754</v>
      </c>
      <c r="G2473" s="41" t="s">
        <v>4755</v>
      </c>
      <c r="H2473" s="2043">
        <v>1300000</v>
      </c>
      <c r="I2473" s="2043">
        <v>0</v>
      </c>
      <c r="J2473">
        <v>0</v>
      </c>
      <c r="K2473" s="2043">
        <v>0</v>
      </c>
      <c r="L2473" s="2043">
        <v>0</v>
      </c>
      <c r="M2473">
        <v>599</v>
      </c>
      <c r="N2473">
        <v>0</v>
      </c>
    </row>
    <row r="2474" spans="1:14">
      <c r="A2474" t="s">
        <v>3235</v>
      </c>
      <c r="B2474" t="s">
        <v>1432</v>
      </c>
      <c r="C2474" t="s">
        <v>279</v>
      </c>
      <c r="D2474" s="41">
        <v>2</v>
      </c>
      <c r="E2474" s="41">
        <v>2409</v>
      </c>
      <c r="F2474" s="41" t="s">
        <v>4754</v>
      </c>
      <c r="G2474" s="41" t="s">
        <v>4756</v>
      </c>
      <c r="H2474" s="2043">
        <v>1300000</v>
      </c>
      <c r="I2474" s="2043">
        <v>1356807</v>
      </c>
      <c r="J2474">
        <v>0.60910884172948698</v>
      </c>
      <c r="K2474" s="2043">
        <v>791841.49424833304</v>
      </c>
      <c r="L2474" s="2043">
        <v>791841.49424833304</v>
      </c>
      <c r="M2474">
        <v>599</v>
      </c>
      <c r="N2474">
        <v>1</v>
      </c>
    </row>
    <row r="2475" spans="1:14">
      <c r="A2475" t="s">
        <v>3235</v>
      </c>
      <c r="B2475" t="s">
        <v>1432</v>
      </c>
      <c r="C2475" t="s">
        <v>279</v>
      </c>
      <c r="D2475" s="41">
        <v>2</v>
      </c>
      <c r="E2475" s="41">
        <v>2409</v>
      </c>
      <c r="F2475" s="41" t="s">
        <v>4754</v>
      </c>
      <c r="G2475" s="41" t="s">
        <v>4757</v>
      </c>
      <c r="H2475" s="2043">
        <v>1300000</v>
      </c>
      <c r="I2475" s="2043">
        <v>0</v>
      </c>
      <c r="J2475">
        <v>0</v>
      </c>
      <c r="K2475" s="2043">
        <v>0</v>
      </c>
      <c r="L2475" s="2043">
        <v>0</v>
      </c>
      <c r="M2475">
        <v>599</v>
      </c>
      <c r="N2475">
        <v>1</v>
      </c>
    </row>
    <row r="2476" spans="1:14">
      <c r="A2476" t="s">
        <v>3235</v>
      </c>
      <c r="B2476" t="s">
        <v>1432</v>
      </c>
      <c r="C2476" t="s">
        <v>279</v>
      </c>
      <c r="D2476" s="41">
        <v>2</v>
      </c>
      <c r="E2476" s="41">
        <v>2409</v>
      </c>
      <c r="F2476" s="41" t="s">
        <v>4754</v>
      </c>
      <c r="G2476" s="41" t="s">
        <v>9410</v>
      </c>
      <c r="H2476" s="2043">
        <v>1300000</v>
      </c>
      <c r="I2476" s="2043">
        <v>870721</v>
      </c>
      <c r="J2476">
        <v>0.39089115827051302</v>
      </c>
      <c r="K2476" s="2043">
        <v>508158.50575166702</v>
      </c>
      <c r="L2476" s="2043">
        <v>508158.50575166702</v>
      </c>
      <c r="M2476">
        <v>599</v>
      </c>
      <c r="N2476">
        <v>1</v>
      </c>
    </row>
    <row r="2477" spans="1:14">
      <c r="A2477" t="s">
        <v>3235</v>
      </c>
      <c r="B2477" t="s">
        <v>1432</v>
      </c>
      <c r="C2477" t="s">
        <v>279</v>
      </c>
      <c r="D2477" s="41">
        <v>4</v>
      </c>
      <c r="E2477" s="41">
        <v>2408</v>
      </c>
      <c r="F2477" s="41" t="s">
        <v>4758</v>
      </c>
      <c r="G2477" s="41" t="s">
        <v>4758</v>
      </c>
      <c r="H2477" s="2043">
        <v>1100156</v>
      </c>
      <c r="I2477" s="2043">
        <v>0</v>
      </c>
      <c r="J2477">
        <v>0</v>
      </c>
      <c r="K2477" s="2043">
        <v>0</v>
      </c>
      <c r="L2477" s="2043">
        <v>0</v>
      </c>
      <c r="M2477">
        <v>599</v>
      </c>
      <c r="N2477">
        <v>0</v>
      </c>
    </row>
    <row r="2478" spans="1:14">
      <c r="A2478" t="s">
        <v>3235</v>
      </c>
      <c r="B2478" t="s">
        <v>1432</v>
      </c>
      <c r="C2478" t="s">
        <v>279</v>
      </c>
      <c r="D2478" s="41">
        <v>4</v>
      </c>
      <c r="E2478" s="41">
        <v>2408</v>
      </c>
      <c r="F2478" s="41" t="s">
        <v>4758</v>
      </c>
      <c r="G2478" s="41" t="s">
        <v>4755</v>
      </c>
      <c r="H2478" s="2043">
        <v>1100156</v>
      </c>
      <c r="I2478" s="2043">
        <v>0</v>
      </c>
      <c r="J2478">
        <v>0</v>
      </c>
      <c r="K2478" s="2043">
        <v>0</v>
      </c>
      <c r="L2478" s="2043">
        <v>0</v>
      </c>
      <c r="M2478">
        <v>599</v>
      </c>
      <c r="N2478">
        <v>0</v>
      </c>
    </row>
    <row r="2479" spans="1:14">
      <c r="A2479" t="s">
        <v>3235</v>
      </c>
      <c r="B2479" t="s">
        <v>1432</v>
      </c>
      <c r="C2479" t="s">
        <v>279</v>
      </c>
      <c r="D2479" s="41">
        <v>4</v>
      </c>
      <c r="E2479" s="41">
        <v>2408</v>
      </c>
      <c r="F2479" s="41" t="s">
        <v>4758</v>
      </c>
      <c r="G2479" s="41" t="s">
        <v>4756</v>
      </c>
      <c r="H2479" s="2043">
        <v>1100156</v>
      </c>
      <c r="I2479" s="2043">
        <v>128550</v>
      </c>
      <c r="J2479">
        <v>8.0056447424305996E-2</v>
      </c>
      <c r="K2479" s="2043">
        <v>88074.580972534794</v>
      </c>
      <c r="L2479" s="2043">
        <v>88074.580972534794</v>
      </c>
      <c r="M2479">
        <v>599</v>
      </c>
      <c r="N2479">
        <v>1</v>
      </c>
    </row>
    <row r="2480" spans="1:14">
      <c r="A2480" t="s">
        <v>3235</v>
      </c>
      <c r="B2480" t="s">
        <v>1432</v>
      </c>
      <c r="C2480" t="s">
        <v>279</v>
      </c>
      <c r="D2480" s="41">
        <v>4</v>
      </c>
      <c r="E2480" s="41">
        <v>2408</v>
      </c>
      <c r="F2480" s="41" t="s">
        <v>4758</v>
      </c>
      <c r="G2480" s="41" t="s">
        <v>4757</v>
      </c>
      <c r="H2480" s="2043">
        <v>1100156</v>
      </c>
      <c r="I2480" s="2043">
        <v>741600</v>
      </c>
      <c r="J2480">
        <v>0.461842562503814</v>
      </c>
      <c r="K2480" s="2043">
        <v>508098.86619394697</v>
      </c>
      <c r="L2480" s="2043">
        <v>508098.86619394697</v>
      </c>
      <c r="M2480">
        <v>599</v>
      </c>
      <c r="N2480">
        <v>1</v>
      </c>
    </row>
    <row r="2481" spans="1:14">
      <c r="A2481" t="s">
        <v>3235</v>
      </c>
      <c r="B2481" t="s">
        <v>1432</v>
      </c>
      <c r="C2481" t="s">
        <v>279</v>
      </c>
      <c r="D2481" s="41">
        <v>4</v>
      </c>
      <c r="E2481" s="41">
        <v>2408</v>
      </c>
      <c r="F2481" s="41" t="s">
        <v>4758</v>
      </c>
      <c r="G2481" s="41" t="s">
        <v>9410</v>
      </c>
      <c r="H2481" s="2043">
        <v>1100156</v>
      </c>
      <c r="I2481" s="2043">
        <v>735592</v>
      </c>
      <c r="J2481">
        <v>0.45810099007187999</v>
      </c>
      <c r="K2481" s="2043">
        <v>503982.552833519</v>
      </c>
      <c r="L2481" s="2043">
        <v>503982.552833519</v>
      </c>
      <c r="M2481">
        <v>599</v>
      </c>
      <c r="N2481">
        <v>1</v>
      </c>
    </row>
    <row r="2482" spans="1:14">
      <c r="A2482" t="s">
        <v>3236</v>
      </c>
      <c r="B2482" t="s">
        <v>460</v>
      </c>
      <c r="C2482" t="s">
        <v>2027</v>
      </c>
      <c r="D2482" s="41">
        <v>4</v>
      </c>
      <c r="E2482" s="41">
        <v>2298</v>
      </c>
      <c r="F2482" s="41" t="s">
        <v>4759</v>
      </c>
      <c r="G2482" s="41" t="s">
        <v>4759</v>
      </c>
      <c r="H2482" s="2043">
        <v>2143670</v>
      </c>
      <c r="I2482" s="2043">
        <v>0</v>
      </c>
      <c r="J2482">
        <v>0</v>
      </c>
      <c r="K2482" s="2043">
        <v>0</v>
      </c>
      <c r="L2482" s="2043">
        <v>0</v>
      </c>
      <c r="M2482">
        <v>599</v>
      </c>
      <c r="N2482">
        <v>0</v>
      </c>
    </row>
    <row r="2483" spans="1:14">
      <c r="A2483" t="s">
        <v>3236</v>
      </c>
      <c r="B2483" t="s">
        <v>460</v>
      </c>
      <c r="C2483" t="s">
        <v>2027</v>
      </c>
      <c r="D2483" s="41">
        <v>4</v>
      </c>
      <c r="E2483" s="41">
        <v>2298</v>
      </c>
      <c r="F2483" s="41" t="s">
        <v>4759</v>
      </c>
      <c r="G2483" s="41" t="s">
        <v>4760</v>
      </c>
      <c r="H2483" s="2043">
        <v>2143670</v>
      </c>
      <c r="I2483" s="2043">
        <v>0</v>
      </c>
      <c r="J2483">
        <v>0</v>
      </c>
      <c r="K2483" s="2043">
        <v>0</v>
      </c>
      <c r="L2483" s="2043">
        <v>0</v>
      </c>
      <c r="M2483">
        <v>599</v>
      </c>
      <c r="N2483">
        <v>0</v>
      </c>
    </row>
    <row r="2484" spans="1:14">
      <c r="A2484" t="s">
        <v>3236</v>
      </c>
      <c r="B2484" t="s">
        <v>460</v>
      </c>
      <c r="C2484" t="s">
        <v>2027</v>
      </c>
      <c r="D2484" s="41">
        <v>4</v>
      </c>
      <c r="E2484" s="41">
        <v>2298</v>
      </c>
      <c r="F2484" s="41" t="s">
        <v>4759</v>
      </c>
      <c r="G2484" s="41" t="s">
        <v>4761</v>
      </c>
      <c r="H2484" s="2043">
        <v>2143670</v>
      </c>
      <c r="I2484" s="2043">
        <v>1950950</v>
      </c>
      <c r="J2484">
        <v>1</v>
      </c>
      <c r="K2484" s="2043">
        <v>2143670</v>
      </c>
      <c r="L2484" s="2043">
        <v>1950950</v>
      </c>
      <c r="M2484">
        <v>599</v>
      </c>
      <c r="N2484">
        <v>1</v>
      </c>
    </row>
    <row r="2485" spans="1:14">
      <c r="A2485" t="s">
        <v>3236</v>
      </c>
      <c r="B2485" t="s">
        <v>460</v>
      </c>
      <c r="C2485" t="s">
        <v>2027</v>
      </c>
      <c r="D2485" s="41">
        <v>8</v>
      </c>
      <c r="E2485" s="41">
        <v>2297</v>
      </c>
      <c r="F2485" s="41" t="s">
        <v>4762</v>
      </c>
      <c r="G2485" s="41" t="s">
        <v>4762</v>
      </c>
      <c r="H2485" s="2043">
        <v>1506687</v>
      </c>
      <c r="I2485" s="2043">
        <v>0</v>
      </c>
      <c r="J2485">
        <v>0</v>
      </c>
      <c r="K2485" s="2043">
        <v>0</v>
      </c>
      <c r="L2485" s="2043">
        <v>0</v>
      </c>
      <c r="M2485">
        <v>599</v>
      </c>
      <c r="N2485">
        <v>1</v>
      </c>
    </row>
    <row r="2486" spans="1:14">
      <c r="A2486" t="s">
        <v>3236</v>
      </c>
      <c r="B2486" t="s">
        <v>460</v>
      </c>
      <c r="C2486" t="s">
        <v>2027</v>
      </c>
      <c r="D2486" s="41">
        <v>8</v>
      </c>
      <c r="E2486" s="41">
        <v>2297</v>
      </c>
      <c r="F2486" s="41" t="s">
        <v>4762</v>
      </c>
      <c r="G2486" s="41" t="s">
        <v>4763</v>
      </c>
      <c r="H2486" s="2043">
        <v>1506687</v>
      </c>
      <c r="I2486" s="2043">
        <v>0</v>
      </c>
      <c r="J2486">
        <v>0</v>
      </c>
      <c r="K2486" s="2043">
        <v>0</v>
      </c>
      <c r="L2486" s="2043">
        <v>0</v>
      </c>
      <c r="M2486">
        <v>599</v>
      </c>
      <c r="N2486">
        <v>1</v>
      </c>
    </row>
    <row r="2487" spans="1:14">
      <c r="A2487" t="s">
        <v>3236</v>
      </c>
      <c r="B2487" t="s">
        <v>460</v>
      </c>
      <c r="C2487" t="s">
        <v>2027</v>
      </c>
      <c r="D2487" s="41">
        <v>8</v>
      </c>
      <c r="E2487" s="41">
        <v>2297</v>
      </c>
      <c r="F2487" s="41" t="s">
        <v>4762</v>
      </c>
      <c r="G2487" s="41" t="s">
        <v>5489</v>
      </c>
      <c r="H2487" s="2043">
        <v>1506687</v>
      </c>
      <c r="I2487" s="2043">
        <v>1070550</v>
      </c>
      <c r="J2487">
        <v>0.79906699011009497</v>
      </c>
      <c r="K2487" s="2043">
        <v>1203943.84612801</v>
      </c>
      <c r="L2487" s="2043">
        <v>1070550</v>
      </c>
      <c r="M2487">
        <v>599</v>
      </c>
      <c r="N2487">
        <v>1</v>
      </c>
    </row>
    <row r="2488" spans="1:14">
      <c r="A2488" t="s">
        <v>3236</v>
      </c>
      <c r="B2488" t="s">
        <v>460</v>
      </c>
      <c r="C2488" t="s">
        <v>2027</v>
      </c>
      <c r="D2488" s="41">
        <v>8</v>
      </c>
      <c r="E2488" s="41">
        <v>2297</v>
      </c>
      <c r="F2488" s="41" t="s">
        <v>4762</v>
      </c>
      <c r="G2488" s="41" t="s">
        <v>7309</v>
      </c>
      <c r="H2488" s="2043">
        <v>1506687</v>
      </c>
      <c r="I2488" s="2043">
        <v>269200</v>
      </c>
      <c r="J2488">
        <v>0.20093300988990501</v>
      </c>
      <c r="K2488" s="2043">
        <v>302743.15387199097</v>
      </c>
      <c r="L2488" s="2043">
        <v>269200</v>
      </c>
      <c r="M2488">
        <v>599</v>
      </c>
      <c r="N2488">
        <v>1</v>
      </c>
    </row>
    <row r="2489" spans="1:14">
      <c r="A2489" t="s">
        <v>3236</v>
      </c>
      <c r="B2489" t="s">
        <v>460</v>
      </c>
      <c r="C2489" t="s">
        <v>2027</v>
      </c>
      <c r="D2489" s="41">
        <v>9</v>
      </c>
      <c r="E2489" s="41">
        <v>2296</v>
      </c>
      <c r="F2489" s="41" t="s">
        <v>4764</v>
      </c>
      <c r="G2489" s="41" t="s">
        <v>4764</v>
      </c>
      <c r="H2489" s="2043">
        <v>866517</v>
      </c>
      <c r="I2489" s="2043">
        <v>0</v>
      </c>
      <c r="J2489">
        <v>0</v>
      </c>
      <c r="K2489" s="2043">
        <v>0</v>
      </c>
      <c r="L2489" s="2043">
        <v>0</v>
      </c>
      <c r="M2489">
        <v>599</v>
      </c>
      <c r="N2489">
        <v>1</v>
      </c>
    </row>
    <row r="2490" spans="1:14">
      <c r="A2490" t="s">
        <v>3236</v>
      </c>
      <c r="B2490" t="s">
        <v>460</v>
      </c>
      <c r="C2490" t="s">
        <v>2027</v>
      </c>
      <c r="D2490" s="41">
        <v>9</v>
      </c>
      <c r="E2490" s="41">
        <v>2296</v>
      </c>
      <c r="F2490" s="41" t="s">
        <v>4764</v>
      </c>
      <c r="G2490" s="41" t="s">
        <v>5668</v>
      </c>
      <c r="H2490" s="2043">
        <v>866517</v>
      </c>
      <c r="I2490" s="2043">
        <v>750200</v>
      </c>
      <c r="J2490">
        <v>1</v>
      </c>
      <c r="K2490" s="2043">
        <v>866517</v>
      </c>
      <c r="L2490" s="2043">
        <v>750200</v>
      </c>
      <c r="M2490">
        <v>599</v>
      </c>
      <c r="N2490">
        <v>1</v>
      </c>
    </row>
    <row r="2491" spans="1:14">
      <c r="A2491" t="s">
        <v>3237</v>
      </c>
      <c r="B2491" t="s">
        <v>787</v>
      </c>
      <c r="C2491" t="s">
        <v>1076</v>
      </c>
      <c r="D2491" s="41">
        <v>10</v>
      </c>
      <c r="E2491" s="41">
        <v>1661</v>
      </c>
      <c r="F2491" s="41" t="s">
        <v>4765</v>
      </c>
      <c r="G2491" s="41" t="s">
        <v>4765</v>
      </c>
      <c r="H2491" s="2043">
        <v>944380</v>
      </c>
      <c r="I2491" s="2043">
        <v>0</v>
      </c>
      <c r="J2491">
        <v>0</v>
      </c>
      <c r="K2491" s="2043">
        <v>0</v>
      </c>
      <c r="L2491" s="2043">
        <v>0</v>
      </c>
      <c r="M2491">
        <v>599</v>
      </c>
      <c r="N2491">
        <v>1</v>
      </c>
    </row>
    <row r="2492" spans="1:14">
      <c r="A2492" t="s">
        <v>3237</v>
      </c>
      <c r="B2492" t="s">
        <v>787</v>
      </c>
      <c r="C2492" t="s">
        <v>1076</v>
      </c>
      <c r="D2492" s="41">
        <v>10</v>
      </c>
      <c r="E2492" s="41">
        <v>1661</v>
      </c>
      <c r="F2492" s="41" t="s">
        <v>4765</v>
      </c>
      <c r="G2492" s="41" t="s">
        <v>5491</v>
      </c>
      <c r="H2492" s="2043">
        <v>944380</v>
      </c>
      <c r="I2492" s="2043">
        <v>759319</v>
      </c>
      <c r="J2492">
        <v>0.58145664530960095</v>
      </c>
      <c r="K2492" s="2043">
        <v>549116.02669748105</v>
      </c>
      <c r="L2492" s="2043">
        <v>549116.02669748105</v>
      </c>
      <c r="M2492">
        <v>599</v>
      </c>
      <c r="N2492">
        <v>1</v>
      </c>
    </row>
    <row r="2493" spans="1:14">
      <c r="A2493" t="s">
        <v>3237</v>
      </c>
      <c r="B2493" t="s">
        <v>787</v>
      </c>
      <c r="C2493" t="s">
        <v>1076</v>
      </c>
      <c r="D2493" s="41">
        <v>10</v>
      </c>
      <c r="E2493" s="41">
        <v>1661</v>
      </c>
      <c r="F2493" s="41" t="s">
        <v>4765</v>
      </c>
      <c r="G2493" s="41" t="s">
        <v>5490</v>
      </c>
      <c r="H2493" s="2043">
        <v>944380</v>
      </c>
      <c r="I2493" s="2043">
        <v>395171</v>
      </c>
      <c r="J2493">
        <v>0.302606419678212</v>
      </c>
      <c r="K2493" s="2043">
        <v>285775.45061571</v>
      </c>
      <c r="L2493" s="2043">
        <v>285775.45061571</v>
      </c>
      <c r="M2493">
        <v>599</v>
      </c>
      <c r="N2493">
        <v>1</v>
      </c>
    </row>
    <row r="2494" spans="1:14">
      <c r="A2494" t="s">
        <v>3237</v>
      </c>
      <c r="B2494" t="s">
        <v>787</v>
      </c>
      <c r="C2494" t="s">
        <v>1076</v>
      </c>
      <c r="D2494" s="41">
        <v>10</v>
      </c>
      <c r="E2494" s="41">
        <v>1661</v>
      </c>
      <c r="F2494" s="41" t="s">
        <v>4765</v>
      </c>
      <c r="G2494" s="41" t="s">
        <v>8582</v>
      </c>
      <c r="H2494" s="2043">
        <v>944380</v>
      </c>
      <c r="I2494" s="2043">
        <v>144392</v>
      </c>
      <c r="J2494">
        <v>0.110569718299613</v>
      </c>
      <c r="K2494" s="2043">
        <v>104419.830567789</v>
      </c>
      <c r="L2494" s="2043">
        <v>104419.830567789</v>
      </c>
      <c r="M2494">
        <v>599</v>
      </c>
      <c r="N2494">
        <v>1</v>
      </c>
    </row>
    <row r="2495" spans="1:14">
      <c r="A2495" t="s">
        <v>3237</v>
      </c>
      <c r="B2495" t="s">
        <v>787</v>
      </c>
      <c r="C2495" t="s">
        <v>1076</v>
      </c>
      <c r="D2495" s="41">
        <v>10</v>
      </c>
      <c r="E2495" s="41">
        <v>1661</v>
      </c>
      <c r="F2495" s="41" t="s">
        <v>4765</v>
      </c>
      <c r="G2495" s="41" t="s">
        <v>9411</v>
      </c>
      <c r="H2495" s="2043">
        <v>944380</v>
      </c>
      <c r="I2495" s="2043">
        <v>7009</v>
      </c>
      <c r="J2495">
        <v>5.3672167125740199E-3</v>
      </c>
      <c r="K2495" s="2043">
        <v>5068.6921190206504</v>
      </c>
      <c r="L2495" s="2043">
        <v>5068.6921190206504</v>
      </c>
      <c r="M2495">
        <v>599</v>
      </c>
      <c r="N2495">
        <v>1</v>
      </c>
    </row>
    <row r="2496" spans="1:14">
      <c r="A2496" t="s">
        <v>3238</v>
      </c>
      <c r="B2496" t="s">
        <v>1443</v>
      </c>
      <c r="C2496" t="s">
        <v>817</v>
      </c>
      <c r="D2496" s="41">
        <v>5</v>
      </c>
      <c r="E2496" s="41">
        <v>1857</v>
      </c>
      <c r="F2496" s="41" t="s">
        <v>4766</v>
      </c>
      <c r="G2496" s="41" t="s">
        <v>4766</v>
      </c>
      <c r="H2496" s="2043">
        <v>287500</v>
      </c>
      <c r="I2496" s="2043">
        <v>0</v>
      </c>
      <c r="J2496">
        <v>0</v>
      </c>
      <c r="K2496" s="2043">
        <v>0</v>
      </c>
      <c r="L2496" s="2043">
        <v>0</v>
      </c>
      <c r="M2496">
        <v>599</v>
      </c>
      <c r="N2496">
        <v>0</v>
      </c>
    </row>
    <row r="2497" spans="1:14">
      <c r="A2497" t="s">
        <v>3238</v>
      </c>
      <c r="B2497" t="s">
        <v>1443</v>
      </c>
      <c r="C2497" t="s">
        <v>817</v>
      </c>
      <c r="D2497" s="41">
        <v>5</v>
      </c>
      <c r="E2497" s="41">
        <v>1857</v>
      </c>
      <c r="F2497" s="41" t="s">
        <v>4766</v>
      </c>
      <c r="G2497" s="41" t="s">
        <v>4767</v>
      </c>
      <c r="H2497" s="2043">
        <v>287500</v>
      </c>
      <c r="I2497" s="2043">
        <v>558682</v>
      </c>
      <c r="J2497">
        <v>1</v>
      </c>
      <c r="K2497" s="2043">
        <v>287500</v>
      </c>
      <c r="L2497" s="2043">
        <v>287500</v>
      </c>
      <c r="M2497">
        <v>599</v>
      </c>
      <c r="N2497">
        <v>1</v>
      </c>
    </row>
    <row r="2498" spans="1:14">
      <c r="A2498" t="s">
        <v>3239</v>
      </c>
      <c r="B2498" t="s">
        <v>1732</v>
      </c>
      <c r="C2498" t="s">
        <v>1952</v>
      </c>
      <c r="D2498" s="41">
        <v>2</v>
      </c>
      <c r="E2498" s="41">
        <v>2070</v>
      </c>
      <c r="F2498" s="41" t="s">
        <v>4768</v>
      </c>
      <c r="G2498" s="41" t="s">
        <v>4768</v>
      </c>
      <c r="H2498" s="2043">
        <v>95558</v>
      </c>
      <c r="I2498" s="2043">
        <v>0</v>
      </c>
      <c r="J2498">
        <v>0</v>
      </c>
      <c r="K2498" s="2043">
        <v>0</v>
      </c>
      <c r="L2498" s="2043">
        <v>0</v>
      </c>
      <c r="M2498">
        <v>599</v>
      </c>
      <c r="N2498">
        <v>0</v>
      </c>
    </row>
    <row r="2499" spans="1:14">
      <c r="A2499" t="s">
        <v>3239</v>
      </c>
      <c r="B2499" t="s">
        <v>1732</v>
      </c>
      <c r="C2499" t="s">
        <v>1952</v>
      </c>
      <c r="D2499" s="41">
        <v>2</v>
      </c>
      <c r="E2499" s="41">
        <v>2070</v>
      </c>
      <c r="F2499" s="41" t="s">
        <v>4768</v>
      </c>
      <c r="G2499" s="41" t="s">
        <v>4769</v>
      </c>
      <c r="H2499" s="2043">
        <v>95558</v>
      </c>
      <c r="I2499" s="2043">
        <v>61982</v>
      </c>
      <c r="J2499">
        <v>1</v>
      </c>
      <c r="K2499" s="2043">
        <v>95558</v>
      </c>
      <c r="L2499" s="2043">
        <v>61982</v>
      </c>
      <c r="M2499">
        <v>599</v>
      </c>
      <c r="N2499">
        <v>1</v>
      </c>
    </row>
    <row r="2500" spans="1:14">
      <c r="A2500" t="s">
        <v>3239</v>
      </c>
      <c r="B2500" t="s">
        <v>1732</v>
      </c>
      <c r="C2500" t="s">
        <v>1952</v>
      </c>
      <c r="D2500" s="41">
        <v>10</v>
      </c>
      <c r="E2500" s="41">
        <v>2071</v>
      </c>
      <c r="F2500" s="41" t="s">
        <v>4770</v>
      </c>
      <c r="G2500" s="41" t="s">
        <v>4770</v>
      </c>
      <c r="H2500" s="2043">
        <v>121250</v>
      </c>
      <c r="I2500" s="2043">
        <v>0</v>
      </c>
      <c r="J2500">
        <v>0</v>
      </c>
      <c r="K2500" s="2043">
        <v>0</v>
      </c>
      <c r="L2500" s="2043">
        <v>0</v>
      </c>
      <c r="M2500">
        <v>599</v>
      </c>
      <c r="N2500">
        <v>1</v>
      </c>
    </row>
    <row r="2501" spans="1:14">
      <c r="A2501" t="s">
        <v>3239</v>
      </c>
      <c r="B2501" t="s">
        <v>1732</v>
      </c>
      <c r="C2501" t="s">
        <v>1952</v>
      </c>
      <c r="D2501" s="41">
        <v>10</v>
      </c>
      <c r="E2501" s="41">
        <v>2071</v>
      </c>
      <c r="F2501" s="41" t="s">
        <v>4770</v>
      </c>
      <c r="G2501" s="41" t="s">
        <v>7310</v>
      </c>
      <c r="H2501" s="2043">
        <v>121250</v>
      </c>
      <c r="I2501" s="2043">
        <v>133425</v>
      </c>
      <c r="J2501">
        <v>1</v>
      </c>
      <c r="K2501" s="2043">
        <v>121250</v>
      </c>
      <c r="L2501" s="2043">
        <v>121250</v>
      </c>
      <c r="M2501">
        <v>599</v>
      </c>
      <c r="N2501">
        <v>1</v>
      </c>
    </row>
    <row r="2502" spans="1:14">
      <c r="A2502" t="s">
        <v>3240</v>
      </c>
      <c r="B2502" t="s">
        <v>789</v>
      </c>
      <c r="C2502" t="s">
        <v>1077</v>
      </c>
      <c r="D2502" s="41">
        <v>9</v>
      </c>
      <c r="E2502" s="41">
        <v>2421</v>
      </c>
      <c r="F2502" s="41" t="s">
        <v>4771</v>
      </c>
      <c r="G2502" s="41" t="s">
        <v>4771</v>
      </c>
      <c r="H2502" s="2043">
        <v>518746</v>
      </c>
      <c r="I2502" s="2043">
        <v>0</v>
      </c>
      <c r="J2502">
        <v>0</v>
      </c>
      <c r="K2502" s="2043">
        <v>0</v>
      </c>
      <c r="L2502" s="2043">
        <v>0</v>
      </c>
      <c r="M2502">
        <v>599</v>
      </c>
      <c r="N2502">
        <v>1</v>
      </c>
    </row>
    <row r="2503" spans="1:14">
      <c r="A2503" t="s">
        <v>3240</v>
      </c>
      <c r="B2503" t="s">
        <v>789</v>
      </c>
      <c r="C2503" t="s">
        <v>1077</v>
      </c>
      <c r="D2503" s="41">
        <v>9</v>
      </c>
      <c r="E2503" s="41">
        <v>2421</v>
      </c>
      <c r="F2503" s="41" t="s">
        <v>4771</v>
      </c>
      <c r="G2503" s="41" t="s">
        <v>5493</v>
      </c>
      <c r="H2503" s="2043">
        <v>518746</v>
      </c>
      <c r="I2503" s="2043">
        <v>283670</v>
      </c>
      <c r="J2503">
        <v>0.379347004820904</v>
      </c>
      <c r="K2503" s="2043">
        <v>196784.74136282501</v>
      </c>
      <c r="L2503" s="2043">
        <v>196784.74136282501</v>
      </c>
      <c r="M2503">
        <v>599</v>
      </c>
      <c r="N2503">
        <v>1</v>
      </c>
    </row>
    <row r="2504" spans="1:14">
      <c r="A2504" t="s">
        <v>3240</v>
      </c>
      <c r="B2504" t="s">
        <v>789</v>
      </c>
      <c r="C2504" t="s">
        <v>1077</v>
      </c>
      <c r="D2504" s="41">
        <v>9</v>
      </c>
      <c r="E2504" s="41">
        <v>2421</v>
      </c>
      <c r="F2504" s="41" t="s">
        <v>4771</v>
      </c>
      <c r="G2504" s="41" t="s">
        <v>5492</v>
      </c>
      <c r="H2504" s="2043">
        <v>518746</v>
      </c>
      <c r="I2504" s="2043">
        <v>222614</v>
      </c>
      <c r="J2504">
        <v>0.29769786770261503</v>
      </c>
      <c r="K2504" s="2043">
        <v>154429.578079261</v>
      </c>
      <c r="L2504" s="2043">
        <v>154429.578079261</v>
      </c>
      <c r="M2504">
        <v>599</v>
      </c>
      <c r="N2504">
        <v>1</v>
      </c>
    </row>
    <row r="2505" spans="1:14">
      <c r="A2505" t="s">
        <v>3240</v>
      </c>
      <c r="B2505" t="s">
        <v>789</v>
      </c>
      <c r="C2505" t="s">
        <v>1077</v>
      </c>
      <c r="D2505" s="41">
        <v>9</v>
      </c>
      <c r="E2505" s="41">
        <v>2421</v>
      </c>
      <c r="F2505" s="41" t="s">
        <v>4771</v>
      </c>
      <c r="G2505" s="41" t="s">
        <v>5669</v>
      </c>
      <c r="H2505" s="2043">
        <v>518746</v>
      </c>
      <c r="I2505" s="2043">
        <v>241501</v>
      </c>
      <c r="J2505">
        <v>0.32295512747648097</v>
      </c>
      <c r="K2505" s="2043">
        <v>167531.68055791399</v>
      </c>
      <c r="L2505" s="2043">
        <v>167531.68055791399</v>
      </c>
      <c r="M2505">
        <v>599</v>
      </c>
      <c r="N2505">
        <v>1</v>
      </c>
    </row>
    <row r="2506" spans="1:14">
      <c r="A2506" t="s">
        <v>3241</v>
      </c>
      <c r="B2506" t="s">
        <v>1341</v>
      </c>
      <c r="C2506" t="s">
        <v>1390</v>
      </c>
      <c r="D2506" s="41">
        <v>6</v>
      </c>
      <c r="E2506" s="41">
        <v>1832</v>
      </c>
      <c r="F2506" s="41" t="s">
        <v>4772</v>
      </c>
      <c r="G2506" s="41" t="s">
        <v>4772</v>
      </c>
      <c r="H2506" s="2043">
        <v>95608</v>
      </c>
      <c r="I2506" s="2043">
        <v>0</v>
      </c>
      <c r="J2506">
        <v>0</v>
      </c>
      <c r="K2506" s="2043">
        <v>0</v>
      </c>
      <c r="L2506" s="2043">
        <v>0</v>
      </c>
      <c r="M2506">
        <v>599</v>
      </c>
      <c r="N2506">
        <v>0</v>
      </c>
    </row>
    <row r="2507" spans="1:14">
      <c r="A2507" t="s">
        <v>3241</v>
      </c>
      <c r="B2507" t="s">
        <v>1341</v>
      </c>
      <c r="C2507" t="s">
        <v>1390</v>
      </c>
      <c r="D2507" s="41">
        <v>6</v>
      </c>
      <c r="E2507" s="41">
        <v>1832</v>
      </c>
      <c r="F2507" s="41" t="s">
        <v>4772</v>
      </c>
      <c r="G2507" s="41" t="s">
        <v>4773</v>
      </c>
      <c r="H2507" s="2043">
        <v>95608</v>
      </c>
      <c r="I2507" s="2043">
        <v>87250</v>
      </c>
      <c r="J2507">
        <v>1</v>
      </c>
      <c r="K2507" s="2043">
        <v>95608</v>
      </c>
      <c r="L2507" s="2043">
        <v>87250</v>
      </c>
      <c r="M2507">
        <v>599</v>
      </c>
      <c r="N2507">
        <v>1</v>
      </c>
    </row>
    <row r="2508" spans="1:14">
      <c r="A2508" t="s">
        <v>3241</v>
      </c>
      <c r="B2508" t="s">
        <v>1341</v>
      </c>
      <c r="C2508" t="s">
        <v>1390</v>
      </c>
      <c r="D2508" s="41">
        <v>11</v>
      </c>
      <c r="E2508" s="41">
        <v>2594</v>
      </c>
      <c r="F2508" s="41" t="s">
        <v>7311</v>
      </c>
      <c r="G2508" s="41" t="s">
        <v>7311</v>
      </c>
      <c r="H2508" s="2043">
        <v>81458</v>
      </c>
      <c r="I2508" s="2043">
        <v>76125</v>
      </c>
      <c r="J2508">
        <v>1</v>
      </c>
      <c r="K2508" s="2043">
        <v>81458</v>
      </c>
      <c r="L2508" s="2043">
        <v>76125</v>
      </c>
      <c r="M2508">
        <v>599</v>
      </c>
      <c r="N2508">
        <v>0</v>
      </c>
    </row>
    <row r="2509" spans="1:14">
      <c r="A2509" t="s">
        <v>3242</v>
      </c>
      <c r="B2509" t="s">
        <v>830</v>
      </c>
      <c r="C2509" t="s">
        <v>1268</v>
      </c>
      <c r="D2509" s="41">
        <v>3</v>
      </c>
      <c r="E2509" s="41">
        <v>1620</v>
      </c>
      <c r="F2509" s="41" t="s">
        <v>4774</v>
      </c>
      <c r="G2509" s="41" t="s">
        <v>4774</v>
      </c>
      <c r="H2509" s="2043">
        <v>239379</v>
      </c>
      <c r="I2509" s="2043">
        <v>0</v>
      </c>
      <c r="J2509">
        <v>0</v>
      </c>
      <c r="L2509" s="2043">
        <v>0</v>
      </c>
      <c r="M2509">
        <v>599</v>
      </c>
      <c r="N2509">
        <v>0</v>
      </c>
    </row>
    <row r="2510" spans="1:14">
      <c r="A2510" t="s">
        <v>3242</v>
      </c>
      <c r="B2510" t="s">
        <v>830</v>
      </c>
      <c r="C2510" t="s">
        <v>1268</v>
      </c>
      <c r="D2510" s="41">
        <v>6</v>
      </c>
      <c r="E2510" s="41">
        <v>1619</v>
      </c>
      <c r="F2510" s="41" t="s">
        <v>4776</v>
      </c>
      <c r="G2510" s="41" t="s">
        <v>4776</v>
      </c>
      <c r="H2510" s="2043">
        <v>218942</v>
      </c>
      <c r="I2510" s="2043">
        <v>0</v>
      </c>
      <c r="J2510">
        <v>0</v>
      </c>
      <c r="K2510" s="2043">
        <v>0</v>
      </c>
      <c r="L2510" s="2043">
        <v>0</v>
      </c>
      <c r="M2510">
        <v>599</v>
      </c>
      <c r="N2510">
        <v>0</v>
      </c>
    </row>
    <row r="2511" spans="1:14">
      <c r="A2511" t="s">
        <v>3242</v>
      </c>
      <c r="B2511" t="s">
        <v>830</v>
      </c>
      <c r="C2511" t="s">
        <v>1268</v>
      </c>
      <c r="D2511" s="41">
        <v>6</v>
      </c>
      <c r="E2511" s="41">
        <v>1619</v>
      </c>
      <c r="F2511" s="41" t="s">
        <v>4776</v>
      </c>
      <c r="G2511" s="41" t="s">
        <v>4775</v>
      </c>
      <c r="H2511" s="2043">
        <v>218942</v>
      </c>
      <c r="I2511" s="2043">
        <v>0</v>
      </c>
      <c r="J2511">
        <v>0</v>
      </c>
      <c r="K2511" s="2043">
        <v>0</v>
      </c>
      <c r="L2511" s="2043">
        <v>0</v>
      </c>
      <c r="M2511">
        <v>599</v>
      </c>
      <c r="N2511">
        <v>1</v>
      </c>
    </row>
    <row r="2512" spans="1:14">
      <c r="A2512" t="s">
        <v>3242</v>
      </c>
      <c r="B2512" t="s">
        <v>830</v>
      </c>
      <c r="C2512" t="s">
        <v>1268</v>
      </c>
      <c r="D2512" s="41">
        <v>6</v>
      </c>
      <c r="E2512" s="41">
        <v>1619</v>
      </c>
      <c r="F2512" s="41" t="s">
        <v>4776</v>
      </c>
      <c r="G2512" s="41" t="s">
        <v>4777</v>
      </c>
      <c r="H2512" s="2043">
        <v>218942</v>
      </c>
      <c r="I2512" s="2043">
        <v>0</v>
      </c>
      <c r="J2512">
        <v>0</v>
      </c>
      <c r="K2512" s="2043">
        <v>0</v>
      </c>
      <c r="L2512" s="2043">
        <v>0</v>
      </c>
      <c r="M2512">
        <v>599</v>
      </c>
      <c r="N2512">
        <v>1</v>
      </c>
    </row>
    <row r="2513" spans="1:14">
      <c r="A2513" t="s">
        <v>3242</v>
      </c>
      <c r="B2513" t="s">
        <v>830</v>
      </c>
      <c r="C2513" t="s">
        <v>1268</v>
      </c>
      <c r="D2513" s="41">
        <v>6</v>
      </c>
      <c r="E2513" s="41">
        <v>1619</v>
      </c>
      <c r="F2513" s="41" t="s">
        <v>4776</v>
      </c>
      <c r="G2513" s="41" t="s">
        <v>5670</v>
      </c>
      <c r="H2513" s="2043">
        <v>218942</v>
      </c>
      <c r="I2513" s="2043">
        <v>200646</v>
      </c>
      <c r="J2513">
        <v>1</v>
      </c>
      <c r="K2513" s="2043">
        <v>218942</v>
      </c>
      <c r="L2513" s="2043">
        <v>200646</v>
      </c>
      <c r="M2513">
        <v>599</v>
      </c>
      <c r="N2513">
        <v>1</v>
      </c>
    </row>
    <row r="2514" spans="1:14">
      <c r="A2514" t="s">
        <v>3242</v>
      </c>
      <c r="B2514" t="s">
        <v>830</v>
      </c>
      <c r="C2514" t="s">
        <v>1268</v>
      </c>
      <c r="D2514" s="41">
        <v>10</v>
      </c>
      <c r="E2514" s="41">
        <v>1618</v>
      </c>
      <c r="F2514" s="41" t="s">
        <v>4778</v>
      </c>
      <c r="G2514" s="41" t="s">
        <v>4778</v>
      </c>
      <c r="H2514" s="2043">
        <v>191935</v>
      </c>
      <c r="I2514" s="2043">
        <v>84346</v>
      </c>
      <c r="J2514">
        <v>0.22762687392894301</v>
      </c>
      <c r="K2514" s="2043">
        <v>43689.564047551597</v>
      </c>
      <c r="L2514" s="2043">
        <v>43689.564047551597</v>
      </c>
      <c r="M2514">
        <v>599</v>
      </c>
      <c r="N2514">
        <v>1</v>
      </c>
    </row>
    <row r="2515" spans="1:14">
      <c r="A2515" t="s">
        <v>3242</v>
      </c>
      <c r="B2515" t="s">
        <v>830</v>
      </c>
      <c r="C2515" t="s">
        <v>1268</v>
      </c>
      <c r="D2515" s="41">
        <v>10</v>
      </c>
      <c r="E2515" s="41">
        <v>1618</v>
      </c>
      <c r="F2515" s="41" t="s">
        <v>4778</v>
      </c>
      <c r="G2515" s="41" t="s">
        <v>5670</v>
      </c>
      <c r="H2515" s="2043">
        <v>191935</v>
      </c>
      <c r="I2515" s="2043">
        <v>286199</v>
      </c>
      <c r="J2515">
        <v>0.77237312607105701</v>
      </c>
      <c r="K2515" s="2043">
        <v>148245.435952448</v>
      </c>
      <c r="L2515" s="2043">
        <v>148245.435952448</v>
      </c>
      <c r="M2515">
        <v>599</v>
      </c>
      <c r="N2515">
        <v>1</v>
      </c>
    </row>
    <row r="2516" spans="1:14">
      <c r="A2516" t="s">
        <v>3243</v>
      </c>
      <c r="B2516" t="s">
        <v>323</v>
      </c>
      <c r="C2516" t="s">
        <v>125</v>
      </c>
      <c r="D2516" s="41">
        <v>2</v>
      </c>
      <c r="E2516" s="41">
        <v>2426</v>
      </c>
      <c r="F2516" s="41" t="s">
        <v>4779</v>
      </c>
      <c r="G2516" s="41" t="s">
        <v>4779</v>
      </c>
      <c r="H2516" s="2043">
        <v>2126212</v>
      </c>
      <c r="I2516" s="2043">
        <v>0</v>
      </c>
      <c r="J2516">
        <v>0</v>
      </c>
      <c r="K2516" s="2043">
        <v>0</v>
      </c>
      <c r="L2516" s="2043">
        <v>0</v>
      </c>
      <c r="M2516">
        <v>599</v>
      </c>
      <c r="N2516">
        <v>0</v>
      </c>
    </row>
    <row r="2517" spans="1:14">
      <c r="A2517" t="s">
        <v>3243</v>
      </c>
      <c r="B2517" t="s">
        <v>323</v>
      </c>
      <c r="C2517" t="s">
        <v>125</v>
      </c>
      <c r="D2517" s="41">
        <v>2</v>
      </c>
      <c r="E2517" s="41">
        <v>2426</v>
      </c>
      <c r="F2517" s="41" t="s">
        <v>4779</v>
      </c>
      <c r="G2517" s="41" t="s">
        <v>4780</v>
      </c>
      <c r="H2517" s="2043">
        <v>2126212</v>
      </c>
      <c r="I2517" s="2043">
        <v>0</v>
      </c>
      <c r="J2517">
        <v>0</v>
      </c>
      <c r="K2517" s="2043">
        <v>0</v>
      </c>
      <c r="L2517" s="2043">
        <v>0</v>
      </c>
      <c r="M2517">
        <v>599</v>
      </c>
      <c r="N2517">
        <v>0</v>
      </c>
    </row>
    <row r="2518" spans="1:14">
      <c r="A2518" t="s">
        <v>3243</v>
      </c>
      <c r="B2518" t="s">
        <v>323</v>
      </c>
      <c r="C2518" t="s">
        <v>125</v>
      </c>
      <c r="D2518" s="41">
        <v>2</v>
      </c>
      <c r="E2518" s="41">
        <v>2426</v>
      </c>
      <c r="F2518" s="41" t="s">
        <v>4779</v>
      </c>
      <c r="G2518" s="41" t="s">
        <v>5494</v>
      </c>
      <c r="H2518" s="2043">
        <v>2126212</v>
      </c>
      <c r="I2518" s="2043">
        <v>1708217</v>
      </c>
      <c r="J2518">
        <v>1</v>
      </c>
      <c r="K2518" s="2043">
        <v>2126212</v>
      </c>
      <c r="L2518" s="2043">
        <v>1708217</v>
      </c>
      <c r="M2518">
        <v>599</v>
      </c>
      <c r="N2518">
        <v>1</v>
      </c>
    </row>
    <row r="2519" spans="1:14">
      <c r="A2519" t="s">
        <v>3243</v>
      </c>
      <c r="B2519" t="s">
        <v>323</v>
      </c>
      <c r="C2519" t="s">
        <v>125</v>
      </c>
      <c r="D2519" s="41">
        <v>9</v>
      </c>
      <c r="E2519" s="41">
        <v>2427</v>
      </c>
      <c r="F2519" s="41" t="s">
        <v>4781</v>
      </c>
      <c r="G2519" s="41" t="s">
        <v>4781</v>
      </c>
      <c r="H2519" s="2043">
        <v>3088095</v>
      </c>
      <c r="I2519" s="2043">
        <v>0</v>
      </c>
      <c r="J2519">
        <v>0</v>
      </c>
      <c r="K2519" s="2043">
        <v>0</v>
      </c>
      <c r="L2519" s="2043">
        <v>0</v>
      </c>
      <c r="M2519">
        <v>599</v>
      </c>
      <c r="N2519">
        <v>1</v>
      </c>
    </row>
    <row r="2520" spans="1:14">
      <c r="A2520" t="s">
        <v>3243</v>
      </c>
      <c r="B2520" t="s">
        <v>323</v>
      </c>
      <c r="C2520" t="s">
        <v>125</v>
      </c>
      <c r="D2520" s="41">
        <v>9</v>
      </c>
      <c r="E2520" s="41">
        <v>2427</v>
      </c>
      <c r="F2520" s="41" t="s">
        <v>4781</v>
      </c>
      <c r="G2520" s="41" t="s">
        <v>7312</v>
      </c>
      <c r="H2520" s="2043">
        <v>3088095</v>
      </c>
      <c r="I2520" s="2043">
        <v>4352110</v>
      </c>
      <c r="J2520">
        <v>1</v>
      </c>
      <c r="K2520" s="2043">
        <v>3088095</v>
      </c>
      <c r="L2520" s="2043">
        <v>3088095</v>
      </c>
      <c r="M2520">
        <v>599</v>
      </c>
      <c r="N2520">
        <v>1</v>
      </c>
    </row>
    <row r="2521" spans="1:14">
      <c r="A2521" t="s">
        <v>3244</v>
      </c>
      <c r="B2521" t="s">
        <v>966</v>
      </c>
      <c r="C2521" t="s">
        <v>1074</v>
      </c>
      <c r="D2521" s="41">
        <v>2</v>
      </c>
      <c r="E2521" s="41">
        <v>2145</v>
      </c>
      <c r="F2521" s="41" t="s">
        <v>4782</v>
      </c>
      <c r="G2521" s="41" t="s">
        <v>4782</v>
      </c>
      <c r="H2521" s="2043">
        <v>227546</v>
      </c>
      <c r="I2521" s="2043">
        <v>0</v>
      </c>
      <c r="J2521">
        <v>0</v>
      </c>
      <c r="L2521" s="2043">
        <v>0</v>
      </c>
      <c r="M2521">
        <v>599</v>
      </c>
      <c r="N2521">
        <v>0</v>
      </c>
    </row>
    <row r="2522" spans="1:14">
      <c r="A2522" t="s">
        <v>3244</v>
      </c>
      <c r="B2522" t="s">
        <v>966</v>
      </c>
      <c r="C2522" t="s">
        <v>1074</v>
      </c>
      <c r="D2522" s="41">
        <v>6</v>
      </c>
      <c r="E2522" s="41">
        <v>2144</v>
      </c>
      <c r="F2522" s="41" t="s">
        <v>4783</v>
      </c>
      <c r="G2522" s="41" t="s">
        <v>4783</v>
      </c>
      <c r="H2522" s="2043">
        <v>207728</v>
      </c>
      <c r="I2522" s="2043">
        <v>0</v>
      </c>
      <c r="J2522">
        <v>0</v>
      </c>
      <c r="K2522" s="2043">
        <v>0</v>
      </c>
      <c r="L2522" s="2043">
        <v>0</v>
      </c>
      <c r="M2522">
        <v>599</v>
      </c>
      <c r="N2522">
        <v>0</v>
      </c>
    </row>
    <row r="2523" spans="1:14">
      <c r="A2523" t="s">
        <v>3244</v>
      </c>
      <c r="B2523" t="s">
        <v>966</v>
      </c>
      <c r="C2523" t="s">
        <v>1074</v>
      </c>
      <c r="D2523" s="41">
        <v>6</v>
      </c>
      <c r="E2523" s="41">
        <v>2144</v>
      </c>
      <c r="F2523" s="41" t="s">
        <v>4783</v>
      </c>
      <c r="G2523" s="41" t="s">
        <v>4784</v>
      </c>
      <c r="H2523" s="2043">
        <v>207728</v>
      </c>
      <c r="I2523" s="2043">
        <v>291112</v>
      </c>
      <c r="J2523">
        <v>0.409126618836476</v>
      </c>
      <c r="K2523" s="2043">
        <v>84987.054277663396</v>
      </c>
      <c r="L2523" s="2043">
        <v>84987.054277663396</v>
      </c>
      <c r="M2523">
        <v>599</v>
      </c>
      <c r="N2523">
        <v>1</v>
      </c>
    </row>
    <row r="2524" spans="1:14">
      <c r="A2524" t="s">
        <v>3244</v>
      </c>
      <c r="B2524" t="s">
        <v>966</v>
      </c>
      <c r="C2524" t="s">
        <v>1074</v>
      </c>
      <c r="D2524" s="41">
        <v>6</v>
      </c>
      <c r="E2524" s="41">
        <v>2144</v>
      </c>
      <c r="F2524" s="41" t="s">
        <v>4783</v>
      </c>
      <c r="G2524" s="41" t="s">
        <v>9412</v>
      </c>
      <c r="H2524" s="2043">
        <v>207728</v>
      </c>
      <c r="I2524" s="2043">
        <v>420433</v>
      </c>
      <c r="J2524">
        <v>0.59087338116352395</v>
      </c>
      <c r="K2524" s="2043">
        <v>122740.945722337</v>
      </c>
      <c r="L2524" s="2043">
        <v>122740.945722337</v>
      </c>
      <c r="M2524">
        <v>599</v>
      </c>
      <c r="N2524">
        <v>1</v>
      </c>
    </row>
    <row r="2525" spans="1:14">
      <c r="A2525" t="s">
        <v>3245</v>
      </c>
      <c r="B2525" t="s">
        <v>1086</v>
      </c>
      <c r="C2525" t="s">
        <v>90</v>
      </c>
      <c r="D2525" s="41">
        <v>10</v>
      </c>
      <c r="E2525" s="41">
        <v>1919</v>
      </c>
      <c r="F2525" s="41" t="s">
        <v>4785</v>
      </c>
      <c r="G2525" s="41" t="s">
        <v>4785</v>
      </c>
      <c r="H2525" s="2043">
        <v>470421</v>
      </c>
      <c r="I2525" s="2043">
        <v>482146</v>
      </c>
      <c r="J2525">
        <v>1</v>
      </c>
      <c r="K2525" s="2043">
        <v>470421</v>
      </c>
      <c r="L2525" s="2043">
        <v>470421</v>
      </c>
      <c r="M2525">
        <v>199</v>
      </c>
      <c r="N2525">
        <v>1</v>
      </c>
    </row>
    <row r="2526" spans="1:14">
      <c r="A2526" t="s">
        <v>3246</v>
      </c>
      <c r="B2526" t="s">
        <v>262</v>
      </c>
      <c r="C2526" t="s">
        <v>2238</v>
      </c>
      <c r="D2526" s="41">
        <v>6</v>
      </c>
      <c r="E2526" s="41">
        <v>1882</v>
      </c>
      <c r="F2526" s="41" t="s">
        <v>4786</v>
      </c>
      <c r="G2526" s="41" t="s">
        <v>4786</v>
      </c>
      <c r="H2526" s="2043">
        <v>361936</v>
      </c>
      <c r="I2526" s="2043">
        <v>0</v>
      </c>
      <c r="J2526">
        <v>0</v>
      </c>
      <c r="K2526" s="2043">
        <v>0</v>
      </c>
      <c r="L2526" s="2043">
        <v>0</v>
      </c>
      <c r="M2526">
        <v>599</v>
      </c>
      <c r="N2526">
        <v>0</v>
      </c>
    </row>
    <row r="2527" spans="1:14">
      <c r="A2527" t="s">
        <v>3246</v>
      </c>
      <c r="B2527" t="s">
        <v>262</v>
      </c>
      <c r="C2527" t="s">
        <v>2238</v>
      </c>
      <c r="D2527" s="41">
        <v>6</v>
      </c>
      <c r="E2527" s="41">
        <v>1882</v>
      </c>
      <c r="F2527" s="41" t="s">
        <v>4786</v>
      </c>
      <c r="G2527" s="41" t="s">
        <v>4787</v>
      </c>
      <c r="H2527" s="2043">
        <v>361936</v>
      </c>
      <c r="I2527" s="2043">
        <v>0</v>
      </c>
      <c r="J2527">
        <v>0</v>
      </c>
      <c r="K2527" s="2043">
        <v>0</v>
      </c>
      <c r="L2527" s="2043">
        <v>0</v>
      </c>
      <c r="M2527">
        <v>599</v>
      </c>
      <c r="N2527">
        <v>0</v>
      </c>
    </row>
    <row r="2528" spans="1:14">
      <c r="A2528" t="s">
        <v>3246</v>
      </c>
      <c r="B2528" t="s">
        <v>262</v>
      </c>
      <c r="C2528" t="s">
        <v>2238</v>
      </c>
      <c r="D2528" s="41">
        <v>6</v>
      </c>
      <c r="E2528" s="41">
        <v>1882</v>
      </c>
      <c r="F2528" s="41" t="s">
        <v>4786</v>
      </c>
      <c r="G2528" s="41" t="s">
        <v>5495</v>
      </c>
      <c r="H2528" s="2043">
        <v>361936</v>
      </c>
      <c r="I2528" s="2043">
        <v>370806</v>
      </c>
      <c r="J2528">
        <v>1</v>
      </c>
      <c r="K2528" s="2043">
        <v>361936</v>
      </c>
      <c r="L2528" s="2043">
        <v>361936</v>
      </c>
      <c r="M2528">
        <v>599</v>
      </c>
      <c r="N2528">
        <v>1</v>
      </c>
    </row>
    <row r="2529" spans="1:14">
      <c r="A2529" t="s">
        <v>3246</v>
      </c>
      <c r="B2529" t="s">
        <v>262</v>
      </c>
      <c r="C2529" t="s">
        <v>2238</v>
      </c>
      <c r="D2529" s="41">
        <v>9</v>
      </c>
      <c r="E2529" s="41">
        <v>1881</v>
      </c>
      <c r="F2529" s="41" t="s">
        <v>4788</v>
      </c>
      <c r="G2529" s="41" t="s">
        <v>4788</v>
      </c>
      <c r="H2529" s="2043">
        <v>294703</v>
      </c>
      <c r="I2529" s="2043">
        <v>0</v>
      </c>
      <c r="J2529">
        <v>0</v>
      </c>
      <c r="K2529" s="2043">
        <v>0</v>
      </c>
      <c r="L2529" s="2043">
        <v>0</v>
      </c>
      <c r="M2529">
        <v>599</v>
      </c>
      <c r="N2529">
        <v>1</v>
      </c>
    </row>
    <row r="2530" spans="1:14">
      <c r="A2530" t="s">
        <v>3246</v>
      </c>
      <c r="B2530" t="s">
        <v>262</v>
      </c>
      <c r="C2530" t="s">
        <v>2238</v>
      </c>
      <c r="D2530" s="41">
        <v>9</v>
      </c>
      <c r="E2530" s="41">
        <v>1881</v>
      </c>
      <c r="F2530" s="41" t="s">
        <v>4788</v>
      </c>
      <c r="G2530" s="41" t="s">
        <v>5671</v>
      </c>
      <c r="H2530" s="2043">
        <v>294703</v>
      </c>
      <c r="I2530" s="2043">
        <v>482038</v>
      </c>
      <c r="J2530">
        <v>1</v>
      </c>
      <c r="K2530" s="2043">
        <v>294703</v>
      </c>
      <c r="L2530" s="2043">
        <v>294703</v>
      </c>
      <c r="M2530">
        <v>599</v>
      </c>
      <c r="N2530">
        <v>1</v>
      </c>
    </row>
    <row r="2531" spans="1:14">
      <c r="A2531" t="s">
        <v>3247</v>
      </c>
      <c r="B2531" t="s">
        <v>263</v>
      </c>
      <c r="C2531" t="s">
        <v>129</v>
      </c>
      <c r="D2531" s="41">
        <v>6</v>
      </c>
      <c r="E2531" s="41">
        <v>2433</v>
      </c>
      <c r="F2531" s="41" t="s">
        <v>4789</v>
      </c>
      <c r="G2531" s="41" t="s">
        <v>4789</v>
      </c>
      <c r="H2531" s="2043">
        <v>1125381</v>
      </c>
      <c r="I2531" s="2043">
        <v>0</v>
      </c>
      <c r="J2531">
        <v>0</v>
      </c>
      <c r="K2531" s="2043">
        <v>0</v>
      </c>
      <c r="L2531" s="2043">
        <v>0</v>
      </c>
      <c r="M2531">
        <v>599</v>
      </c>
      <c r="N2531">
        <v>0</v>
      </c>
    </row>
    <row r="2532" spans="1:14">
      <c r="A2532" t="s">
        <v>3247</v>
      </c>
      <c r="B2532" t="s">
        <v>263</v>
      </c>
      <c r="C2532" t="s">
        <v>129</v>
      </c>
      <c r="D2532" s="41">
        <v>6</v>
      </c>
      <c r="E2532" s="41">
        <v>2433</v>
      </c>
      <c r="F2532" s="41" t="s">
        <v>4789</v>
      </c>
      <c r="G2532" s="41" t="s">
        <v>4790</v>
      </c>
      <c r="H2532" s="2043">
        <v>1125381</v>
      </c>
      <c r="I2532" s="2043">
        <v>0</v>
      </c>
      <c r="J2532">
        <v>0</v>
      </c>
      <c r="K2532" s="2043">
        <v>0</v>
      </c>
      <c r="L2532" s="2043">
        <v>0</v>
      </c>
      <c r="M2532">
        <v>599</v>
      </c>
      <c r="N2532">
        <v>0</v>
      </c>
    </row>
    <row r="2533" spans="1:14">
      <c r="A2533" t="s">
        <v>3247</v>
      </c>
      <c r="B2533" t="s">
        <v>263</v>
      </c>
      <c r="C2533" t="s">
        <v>129</v>
      </c>
      <c r="D2533" s="41">
        <v>6</v>
      </c>
      <c r="E2533" s="41">
        <v>2433</v>
      </c>
      <c r="F2533" s="41" t="s">
        <v>4789</v>
      </c>
      <c r="G2533" s="41" t="s">
        <v>4791</v>
      </c>
      <c r="H2533" s="2043">
        <v>1125381</v>
      </c>
      <c r="I2533" s="2043">
        <v>780601</v>
      </c>
      <c r="J2533">
        <v>0.98497057457805104</v>
      </c>
      <c r="K2533" s="2043">
        <v>1108467.17018922</v>
      </c>
      <c r="L2533" s="2043">
        <v>780601</v>
      </c>
      <c r="M2533">
        <v>599</v>
      </c>
      <c r="N2533">
        <v>1</v>
      </c>
    </row>
    <row r="2534" spans="1:14">
      <c r="A2534" t="s">
        <v>3247</v>
      </c>
      <c r="B2534" t="s">
        <v>263</v>
      </c>
      <c r="C2534" t="s">
        <v>129</v>
      </c>
      <c r="D2534" s="41">
        <v>6</v>
      </c>
      <c r="E2534" s="41">
        <v>2433</v>
      </c>
      <c r="F2534" s="41" t="s">
        <v>4789</v>
      </c>
      <c r="G2534" s="41" t="s">
        <v>4792</v>
      </c>
      <c r="H2534" s="2043">
        <v>1125381</v>
      </c>
      <c r="I2534" s="2043">
        <v>0</v>
      </c>
      <c r="J2534">
        <v>0</v>
      </c>
      <c r="K2534" s="2043">
        <v>0</v>
      </c>
      <c r="L2534" s="2043">
        <v>0</v>
      </c>
      <c r="M2534">
        <v>599</v>
      </c>
      <c r="N2534">
        <v>1</v>
      </c>
    </row>
    <row r="2535" spans="1:14">
      <c r="A2535" t="s">
        <v>3247</v>
      </c>
      <c r="B2535" t="s">
        <v>263</v>
      </c>
      <c r="C2535" t="s">
        <v>129</v>
      </c>
      <c r="D2535" s="41">
        <v>6</v>
      </c>
      <c r="E2535" s="41">
        <v>2433</v>
      </c>
      <c r="F2535" s="41" t="s">
        <v>4789</v>
      </c>
      <c r="G2535" s="41" t="s">
        <v>4793</v>
      </c>
      <c r="H2535" s="2043">
        <v>1125381</v>
      </c>
      <c r="I2535" s="2043">
        <v>11911</v>
      </c>
      <c r="J2535">
        <v>1.50294254219494E-2</v>
      </c>
      <c r="K2535" s="2043">
        <v>16913.829810778901</v>
      </c>
      <c r="L2535" s="2043">
        <v>11911</v>
      </c>
      <c r="M2535">
        <v>599</v>
      </c>
      <c r="N2535">
        <v>1</v>
      </c>
    </row>
    <row r="2536" spans="1:14">
      <c r="A2536" t="s">
        <v>3247</v>
      </c>
      <c r="B2536" t="s">
        <v>263</v>
      </c>
      <c r="C2536" t="s">
        <v>129</v>
      </c>
      <c r="D2536" s="41">
        <v>9</v>
      </c>
      <c r="E2536" s="41">
        <v>2434</v>
      </c>
      <c r="F2536" s="41" t="s">
        <v>4794</v>
      </c>
      <c r="G2536" s="41" t="s">
        <v>4794</v>
      </c>
      <c r="H2536" s="2043">
        <v>1234114</v>
      </c>
      <c r="I2536" s="2043">
        <v>1040928</v>
      </c>
      <c r="J2536">
        <v>0.33963124784453003</v>
      </c>
      <c r="K2536" s="2043">
        <v>419143.67780240398</v>
      </c>
      <c r="L2536" s="2043">
        <v>419143.67780240398</v>
      </c>
      <c r="M2536">
        <v>599</v>
      </c>
      <c r="N2536">
        <v>1</v>
      </c>
    </row>
    <row r="2537" spans="1:14">
      <c r="A2537" t="s">
        <v>3247</v>
      </c>
      <c r="B2537" t="s">
        <v>263</v>
      </c>
      <c r="C2537" t="s">
        <v>129</v>
      </c>
      <c r="D2537" s="41">
        <v>9</v>
      </c>
      <c r="E2537" s="41">
        <v>2434</v>
      </c>
      <c r="F2537" s="41" t="s">
        <v>4794</v>
      </c>
      <c r="G2537" s="41" t="s">
        <v>5496</v>
      </c>
      <c r="H2537" s="2043">
        <v>1234114</v>
      </c>
      <c r="I2537" s="2043">
        <v>955011</v>
      </c>
      <c r="J2537">
        <v>0.31159847524060502</v>
      </c>
      <c r="K2537" s="2043">
        <v>384548.04067308397</v>
      </c>
      <c r="L2537" s="2043">
        <v>384548.04067308397</v>
      </c>
      <c r="M2537">
        <v>599</v>
      </c>
      <c r="N2537">
        <v>1</v>
      </c>
    </row>
    <row r="2538" spans="1:14">
      <c r="A2538" t="s">
        <v>3247</v>
      </c>
      <c r="B2538" t="s">
        <v>263</v>
      </c>
      <c r="C2538" t="s">
        <v>129</v>
      </c>
      <c r="D2538" s="41">
        <v>9</v>
      </c>
      <c r="E2538" s="41">
        <v>2434</v>
      </c>
      <c r="F2538" s="41" t="s">
        <v>4794</v>
      </c>
      <c r="G2538" s="41" t="s">
        <v>5673</v>
      </c>
      <c r="H2538" s="2043">
        <v>1234114</v>
      </c>
      <c r="I2538" s="2043">
        <v>170381</v>
      </c>
      <c r="J2538">
        <v>5.5591464192527099E-2</v>
      </c>
      <c r="K2538" s="2043">
        <v>68606.204240496401</v>
      </c>
      <c r="L2538" s="2043">
        <v>68606.204240496401</v>
      </c>
      <c r="M2538">
        <v>599</v>
      </c>
      <c r="N2538">
        <v>1</v>
      </c>
    </row>
    <row r="2539" spans="1:14">
      <c r="A2539" t="s">
        <v>3247</v>
      </c>
      <c r="B2539" t="s">
        <v>263</v>
      </c>
      <c r="C2539" t="s">
        <v>129</v>
      </c>
      <c r="D2539" s="41">
        <v>9</v>
      </c>
      <c r="E2539" s="41">
        <v>2434</v>
      </c>
      <c r="F2539" s="41" t="s">
        <v>4794</v>
      </c>
      <c r="G2539" s="41" t="s">
        <v>5672</v>
      </c>
      <c r="H2539" s="2043">
        <v>1234114</v>
      </c>
      <c r="I2539" s="2043">
        <v>898557</v>
      </c>
      <c r="J2539">
        <v>0.29317881272233798</v>
      </c>
      <c r="K2539" s="2043">
        <v>361816.07728401502</v>
      </c>
      <c r="L2539" s="2043">
        <v>361816.07728401502</v>
      </c>
      <c r="M2539">
        <v>599</v>
      </c>
      <c r="N2539">
        <v>1</v>
      </c>
    </row>
    <row r="2540" spans="1:14">
      <c r="A2540" t="s">
        <v>3248</v>
      </c>
      <c r="B2540" t="s">
        <v>587</v>
      </c>
      <c r="C2540" t="s">
        <v>91</v>
      </c>
      <c r="D2540" s="41">
        <v>9</v>
      </c>
      <c r="E2540" s="41">
        <v>2269</v>
      </c>
      <c r="F2540" s="41" t="s">
        <v>4795</v>
      </c>
      <c r="G2540" s="41" t="s">
        <v>4795</v>
      </c>
      <c r="H2540" s="2043">
        <v>402311</v>
      </c>
      <c r="I2540" s="2043">
        <v>0</v>
      </c>
      <c r="J2540">
        <v>0</v>
      </c>
      <c r="K2540" s="2043">
        <v>0</v>
      </c>
      <c r="L2540" s="2043">
        <v>0</v>
      </c>
      <c r="M2540">
        <v>599</v>
      </c>
      <c r="N2540">
        <v>0</v>
      </c>
    </row>
    <row r="2541" spans="1:14">
      <c r="A2541" t="s">
        <v>3248</v>
      </c>
      <c r="B2541" t="s">
        <v>587</v>
      </c>
      <c r="C2541" t="s">
        <v>91</v>
      </c>
      <c r="D2541" s="41">
        <v>9</v>
      </c>
      <c r="E2541" s="41">
        <v>2269</v>
      </c>
      <c r="F2541" s="41" t="s">
        <v>4795</v>
      </c>
      <c r="G2541" s="41" t="s">
        <v>4796</v>
      </c>
      <c r="H2541" s="2043">
        <v>402311</v>
      </c>
      <c r="I2541" s="2043">
        <v>251541</v>
      </c>
      <c r="J2541">
        <v>0.53955598455598497</v>
      </c>
      <c r="K2541" s="2043">
        <v>217069.30770270299</v>
      </c>
      <c r="L2541" s="2043">
        <v>217069.30770270299</v>
      </c>
      <c r="M2541">
        <v>599</v>
      </c>
      <c r="N2541">
        <v>1</v>
      </c>
    </row>
    <row r="2542" spans="1:14">
      <c r="A2542" t="s">
        <v>3248</v>
      </c>
      <c r="B2542" t="s">
        <v>587</v>
      </c>
      <c r="C2542" t="s">
        <v>91</v>
      </c>
      <c r="D2542" s="41">
        <v>9</v>
      </c>
      <c r="E2542" s="41">
        <v>2269</v>
      </c>
      <c r="F2542" s="41" t="s">
        <v>4795</v>
      </c>
      <c r="G2542" s="41" t="s">
        <v>5497</v>
      </c>
      <c r="H2542" s="2043">
        <v>402311</v>
      </c>
      <c r="I2542" s="2043">
        <v>214659</v>
      </c>
      <c r="J2542">
        <v>0.46044401544401498</v>
      </c>
      <c r="K2542" s="2043">
        <v>185241.69229729701</v>
      </c>
      <c r="L2542" s="2043">
        <v>185241.69229729701</v>
      </c>
      <c r="M2542">
        <v>599</v>
      </c>
      <c r="N2542">
        <v>1</v>
      </c>
    </row>
    <row r="2543" spans="1:14">
      <c r="A2543" t="s">
        <v>3248</v>
      </c>
      <c r="B2543" t="s">
        <v>587</v>
      </c>
      <c r="C2543" t="s">
        <v>91</v>
      </c>
      <c r="D2543" s="41">
        <v>9</v>
      </c>
      <c r="E2543" s="41">
        <v>2268</v>
      </c>
      <c r="F2543" s="41" t="s">
        <v>4797</v>
      </c>
      <c r="G2543" s="41" t="s">
        <v>4797</v>
      </c>
      <c r="H2543" s="2043">
        <v>70170</v>
      </c>
      <c r="I2543" s="2043">
        <v>0</v>
      </c>
      <c r="J2543">
        <v>0</v>
      </c>
      <c r="K2543" s="2043">
        <v>0</v>
      </c>
      <c r="L2543" s="2043">
        <v>0</v>
      </c>
      <c r="M2543">
        <v>599</v>
      </c>
      <c r="N2543">
        <v>1</v>
      </c>
    </row>
    <row r="2544" spans="1:14">
      <c r="A2544" t="s">
        <v>3248</v>
      </c>
      <c r="B2544" t="s">
        <v>587</v>
      </c>
      <c r="C2544" t="s">
        <v>91</v>
      </c>
      <c r="D2544" s="41">
        <v>9</v>
      </c>
      <c r="E2544" s="41">
        <v>2268</v>
      </c>
      <c r="F2544" s="41" t="s">
        <v>4797</v>
      </c>
      <c r="G2544" s="41" t="s">
        <v>5498</v>
      </c>
      <c r="H2544" s="2043">
        <v>70170</v>
      </c>
      <c r="I2544" s="2043">
        <v>44179</v>
      </c>
      <c r="J2544">
        <v>1.9584756525998701E-2</v>
      </c>
      <c r="K2544" s="2043">
        <v>1374.26236542933</v>
      </c>
      <c r="L2544" s="2043">
        <v>1374.26236542933</v>
      </c>
      <c r="M2544">
        <v>599</v>
      </c>
      <c r="N2544">
        <v>1</v>
      </c>
    </row>
    <row r="2545" spans="1:14">
      <c r="A2545" t="s">
        <v>3248</v>
      </c>
      <c r="B2545" t="s">
        <v>587</v>
      </c>
      <c r="C2545" t="s">
        <v>91</v>
      </c>
      <c r="D2545" s="41">
        <v>9</v>
      </c>
      <c r="E2545" s="41">
        <v>2268</v>
      </c>
      <c r="F2545" s="41" t="s">
        <v>4797</v>
      </c>
      <c r="G2545" s="41" t="s">
        <v>5674</v>
      </c>
      <c r="H2545" s="2043">
        <v>70170</v>
      </c>
      <c r="I2545" s="2043">
        <v>30687</v>
      </c>
      <c r="J2545">
        <v>1.36036900679808E-2</v>
      </c>
      <c r="K2545" s="2043">
        <v>954.57093207021103</v>
      </c>
      <c r="L2545" s="2043">
        <v>954.57093207021103</v>
      </c>
      <c r="M2545">
        <v>599</v>
      </c>
      <c r="N2545">
        <v>1</v>
      </c>
    </row>
    <row r="2546" spans="1:14">
      <c r="A2546" t="s">
        <v>3248</v>
      </c>
      <c r="B2546" t="s">
        <v>587</v>
      </c>
      <c r="C2546" t="s">
        <v>91</v>
      </c>
      <c r="D2546" s="41">
        <v>9</v>
      </c>
      <c r="E2546" s="41">
        <v>2268</v>
      </c>
      <c r="F2546" s="41" t="s">
        <v>4797</v>
      </c>
      <c r="G2546" s="41" t="s">
        <v>7313</v>
      </c>
      <c r="H2546" s="2043">
        <v>70170</v>
      </c>
      <c r="I2546" s="2043">
        <v>2180919</v>
      </c>
      <c r="J2546">
        <v>0.96681155340602098</v>
      </c>
      <c r="K2546" s="2043">
        <v>67841.166702500501</v>
      </c>
      <c r="L2546" s="2043">
        <v>67841.166702500501</v>
      </c>
      <c r="M2546">
        <v>599</v>
      </c>
      <c r="N2546">
        <v>1</v>
      </c>
    </row>
    <row r="2547" spans="1:14">
      <c r="A2547" t="s">
        <v>3249</v>
      </c>
      <c r="B2547" t="s">
        <v>1671</v>
      </c>
      <c r="C2547" t="s">
        <v>2219</v>
      </c>
      <c r="D2547" s="41">
        <v>3</v>
      </c>
      <c r="E2547" s="41">
        <v>2010</v>
      </c>
      <c r="F2547" s="41" t="s">
        <v>4798</v>
      </c>
      <c r="G2547" s="41" t="s">
        <v>4798</v>
      </c>
      <c r="H2547" s="2043">
        <v>5155243</v>
      </c>
      <c r="I2547" s="2043">
        <v>0</v>
      </c>
      <c r="J2547">
        <v>0</v>
      </c>
      <c r="K2547" s="2043">
        <v>0</v>
      </c>
      <c r="L2547" s="2043">
        <v>0</v>
      </c>
      <c r="M2547">
        <v>599</v>
      </c>
      <c r="N2547">
        <v>0</v>
      </c>
    </row>
    <row r="2548" spans="1:14">
      <c r="A2548" t="s">
        <v>3249</v>
      </c>
      <c r="B2548" t="s">
        <v>1671</v>
      </c>
      <c r="C2548" t="s">
        <v>2219</v>
      </c>
      <c r="D2548" s="41">
        <v>3</v>
      </c>
      <c r="E2548" s="41">
        <v>2010</v>
      </c>
      <c r="F2548" s="41" t="s">
        <v>4798</v>
      </c>
      <c r="G2548" s="41" t="s">
        <v>4799</v>
      </c>
      <c r="H2548" s="2043">
        <v>5155243</v>
      </c>
      <c r="I2548" s="2043">
        <v>0</v>
      </c>
      <c r="J2548">
        <v>0</v>
      </c>
      <c r="K2548" s="2043">
        <v>0</v>
      </c>
      <c r="L2548" s="2043">
        <v>0</v>
      </c>
      <c r="M2548">
        <v>599</v>
      </c>
      <c r="N2548">
        <v>1</v>
      </c>
    </row>
    <row r="2549" spans="1:14">
      <c r="A2549" t="s">
        <v>3249</v>
      </c>
      <c r="B2549" t="s">
        <v>1671</v>
      </c>
      <c r="C2549" t="s">
        <v>2219</v>
      </c>
      <c r="D2549" s="41">
        <v>3</v>
      </c>
      <c r="E2549" s="41">
        <v>2010</v>
      </c>
      <c r="F2549" s="41" t="s">
        <v>4798</v>
      </c>
      <c r="G2549" s="41" t="s">
        <v>4800</v>
      </c>
      <c r="H2549" s="2043">
        <v>5155243</v>
      </c>
      <c r="I2549" s="2043">
        <v>0</v>
      </c>
      <c r="J2549">
        <v>0</v>
      </c>
      <c r="K2549" s="2043">
        <v>0</v>
      </c>
      <c r="L2549" s="2043">
        <v>0</v>
      </c>
      <c r="M2549">
        <v>599</v>
      </c>
      <c r="N2549">
        <v>0</v>
      </c>
    </row>
    <row r="2550" spans="1:14">
      <c r="A2550" t="s">
        <v>3249</v>
      </c>
      <c r="B2550" t="s">
        <v>1671</v>
      </c>
      <c r="C2550" t="s">
        <v>2219</v>
      </c>
      <c r="D2550" s="41">
        <v>3</v>
      </c>
      <c r="E2550" s="41">
        <v>2010</v>
      </c>
      <c r="F2550" s="41" t="s">
        <v>4798</v>
      </c>
      <c r="G2550" s="41" t="s">
        <v>4801</v>
      </c>
      <c r="H2550" s="2043">
        <v>5155243</v>
      </c>
      <c r="I2550" s="2043">
        <v>0</v>
      </c>
      <c r="J2550">
        <v>0</v>
      </c>
      <c r="K2550" s="2043">
        <v>0</v>
      </c>
      <c r="L2550" s="2043">
        <v>0</v>
      </c>
      <c r="M2550">
        <v>599</v>
      </c>
      <c r="N2550">
        <v>1</v>
      </c>
    </row>
    <row r="2551" spans="1:14">
      <c r="A2551" t="s">
        <v>3249</v>
      </c>
      <c r="B2551" t="s">
        <v>1671</v>
      </c>
      <c r="C2551" t="s">
        <v>2219</v>
      </c>
      <c r="D2551" s="41">
        <v>3</v>
      </c>
      <c r="E2551" s="41">
        <v>2010</v>
      </c>
      <c r="F2551" s="41" t="s">
        <v>4798</v>
      </c>
      <c r="G2551" s="41" t="s">
        <v>4802</v>
      </c>
      <c r="H2551" s="2043">
        <v>5155243</v>
      </c>
      <c r="I2551" s="2043">
        <v>1229195</v>
      </c>
      <c r="J2551">
        <v>0.232230479675405</v>
      </c>
      <c r="K2551" s="2043">
        <v>1197204.5547332701</v>
      </c>
      <c r="L2551" s="2043">
        <v>1197204.5547332701</v>
      </c>
      <c r="M2551">
        <v>599</v>
      </c>
      <c r="N2551">
        <v>1</v>
      </c>
    </row>
    <row r="2552" spans="1:14">
      <c r="A2552" t="s">
        <v>3249</v>
      </c>
      <c r="B2552" t="s">
        <v>1671</v>
      </c>
      <c r="C2552" t="s">
        <v>2219</v>
      </c>
      <c r="D2552" s="41">
        <v>3</v>
      </c>
      <c r="E2552" s="41">
        <v>2010</v>
      </c>
      <c r="F2552" s="41" t="s">
        <v>4798</v>
      </c>
      <c r="G2552" s="41" t="s">
        <v>5499</v>
      </c>
      <c r="H2552" s="2043">
        <v>5155243</v>
      </c>
      <c r="I2552" s="2043">
        <v>3173859</v>
      </c>
      <c r="J2552">
        <v>0.599633742402224</v>
      </c>
      <c r="K2552" s="2043">
        <v>3091257.6530828699</v>
      </c>
      <c r="L2552" s="2043">
        <v>3091257.6530828699</v>
      </c>
      <c r="M2552">
        <v>599</v>
      </c>
      <c r="N2552">
        <v>1</v>
      </c>
    </row>
    <row r="2553" spans="1:14">
      <c r="A2553" t="s">
        <v>3249</v>
      </c>
      <c r="B2553" t="s">
        <v>1671</v>
      </c>
      <c r="C2553" t="s">
        <v>2219</v>
      </c>
      <c r="D2553" s="41">
        <v>3</v>
      </c>
      <c r="E2553" s="41">
        <v>2010</v>
      </c>
      <c r="F2553" s="41" t="s">
        <v>4798</v>
      </c>
      <c r="G2553" s="41" t="s">
        <v>9413</v>
      </c>
      <c r="H2553" s="2043">
        <v>5155243</v>
      </c>
      <c r="I2553" s="2043">
        <v>889942</v>
      </c>
      <c r="J2553">
        <v>0.168135777922371</v>
      </c>
      <c r="K2553" s="2043">
        <v>866780.79218385997</v>
      </c>
      <c r="L2553" s="2043">
        <v>866780.79218385997</v>
      </c>
      <c r="M2553">
        <v>599</v>
      </c>
      <c r="N2553">
        <v>1</v>
      </c>
    </row>
    <row r="2554" spans="1:14">
      <c r="A2554" t="s">
        <v>3249</v>
      </c>
      <c r="B2554" t="s">
        <v>1671</v>
      </c>
      <c r="C2554" t="s">
        <v>2219</v>
      </c>
      <c r="D2554" s="41">
        <v>5</v>
      </c>
      <c r="E2554" s="41">
        <v>2011</v>
      </c>
      <c r="F2554" s="41" t="s">
        <v>4799</v>
      </c>
      <c r="G2554" s="41" t="s">
        <v>4799</v>
      </c>
      <c r="H2554" s="2043">
        <v>5174604</v>
      </c>
      <c r="I2554" s="2043">
        <v>0</v>
      </c>
      <c r="J2554">
        <v>0</v>
      </c>
      <c r="K2554" s="2043">
        <v>0</v>
      </c>
      <c r="L2554" s="2043">
        <v>0</v>
      </c>
      <c r="M2554">
        <v>599</v>
      </c>
      <c r="N2554">
        <v>1</v>
      </c>
    </row>
    <row r="2555" spans="1:14">
      <c r="A2555" t="s">
        <v>3249</v>
      </c>
      <c r="B2555" t="s">
        <v>1671</v>
      </c>
      <c r="C2555" t="s">
        <v>2219</v>
      </c>
      <c r="D2555" s="41">
        <v>5</v>
      </c>
      <c r="E2555" s="41">
        <v>2011</v>
      </c>
      <c r="F2555" s="41" t="s">
        <v>4799</v>
      </c>
      <c r="G2555" s="41" t="s">
        <v>4800</v>
      </c>
      <c r="H2555" s="2043">
        <v>5174604</v>
      </c>
      <c r="I2555" s="2043">
        <v>0</v>
      </c>
      <c r="J2555">
        <v>0</v>
      </c>
      <c r="K2555" s="2043">
        <v>0</v>
      </c>
      <c r="L2555" s="2043">
        <v>0</v>
      </c>
      <c r="M2555">
        <v>599</v>
      </c>
      <c r="N2555">
        <v>0</v>
      </c>
    </row>
    <row r="2556" spans="1:14">
      <c r="A2556" t="s">
        <v>3249</v>
      </c>
      <c r="B2556" t="s">
        <v>1671</v>
      </c>
      <c r="C2556" t="s">
        <v>2219</v>
      </c>
      <c r="D2556" s="41">
        <v>5</v>
      </c>
      <c r="E2556" s="41">
        <v>2011</v>
      </c>
      <c r="F2556" s="41" t="s">
        <v>4799</v>
      </c>
      <c r="G2556" s="41" t="s">
        <v>4801</v>
      </c>
      <c r="H2556" s="2043">
        <v>5174604</v>
      </c>
      <c r="I2556" s="2043">
        <v>3531250</v>
      </c>
      <c r="J2556">
        <v>0.52121648125997</v>
      </c>
      <c r="K2556" s="2043">
        <v>2697088.8887937702</v>
      </c>
      <c r="L2556" s="2043">
        <v>2697088.8887937702</v>
      </c>
      <c r="M2556">
        <v>599</v>
      </c>
      <c r="N2556">
        <v>1</v>
      </c>
    </row>
    <row r="2557" spans="1:14">
      <c r="A2557" t="s">
        <v>3249</v>
      </c>
      <c r="B2557" t="s">
        <v>1671</v>
      </c>
      <c r="C2557" t="s">
        <v>2219</v>
      </c>
      <c r="D2557" s="41">
        <v>5</v>
      </c>
      <c r="E2557" s="41">
        <v>2011</v>
      </c>
      <c r="F2557" s="41" t="s">
        <v>4799</v>
      </c>
      <c r="G2557" s="41" t="s">
        <v>4802</v>
      </c>
      <c r="H2557" s="2043">
        <v>5174604</v>
      </c>
      <c r="I2557" s="2043">
        <v>50400</v>
      </c>
      <c r="J2557">
        <v>7.4390968227971699E-3</v>
      </c>
      <c r="K2557" s="2043">
        <v>38494.380175633501</v>
      </c>
      <c r="L2557" s="2043">
        <v>38494.380175633501</v>
      </c>
      <c r="M2557">
        <v>599</v>
      </c>
      <c r="N2557">
        <v>1</v>
      </c>
    </row>
    <row r="2558" spans="1:14">
      <c r="A2558" t="s">
        <v>3249</v>
      </c>
      <c r="B2558" t="s">
        <v>1671</v>
      </c>
      <c r="C2558" t="s">
        <v>2219</v>
      </c>
      <c r="D2558" s="41">
        <v>5</v>
      </c>
      <c r="E2558" s="41">
        <v>2011</v>
      </c>
      <c r="F2558" s="41" t="s">
        <v>4799</v>
      </c>
      <c r="G2558" s="41" t="s">
        <v>5499</v>
      </c>
      <c r="H2558" s="2043">
        <v>5174604</v>
      </c>
      <c r="I2558" s="2043">
        <v>1344500</v>
      </c>
      <c r="J2558">
        <v>0.198449715838309</v>
      </c>
      <c r="K2558" s="2043">
        <v>1026898.69337578</v>
      </c>
      <c r="L2558" s="2043">
        <v>1026898.69337578</v>
      </c>
      <c r="M2558">
        <v>599</v>
      </c>
      <c r="N2558">
        <v>1</v>
      </c>
    </row>
    <row r="2559" spans="1:14">
      <c r="A2559" t="s">
        <v>3249</v>
      </c>
      <c r="B2559" t="s">
        <v>1671</v>
      </c>
      <c r="C2559" t="s">
        <v>2219</v>
      </c>
      <c r="D2559" s="41">
        <v>5</v>
      </c>
      <c r="E2559" s="41">
        <v>2011</v>
      </c>
      <c r="F2559" s="41" t="s">
        <v>4799</v>
      </c>
      <c r="G2559" s="41" t="s">
        <v>9413</v>
      </c>
      <c r="H2559" s="2043">
        <v>5174604</v>
      </c>
      <c r="I2559" s="2043">
        <v>1848866</v>
      </c>
      <c r="J2559">
        <v>0.27289470607892302</v>
      </c>
      <c r="K2559" s="2043">
        <v>1412122.0376548199</v>
      </c>
      <c r="L2559" s="2043">
        <v>1412122.0376548199</v>
      </c>
      <c r="M2559">
        <v>599</v>
      </c>
      <c r="N2559">
        <v>1</v>
      </c>
    </row>
    <row r="2560" spans="1:14">
      <c r="A2560" t="s">
        <v>3249</v>
      </c>
      <c r="B2560" t="s">
        <v>1671</v>
      </c>
      <c r="C2560" t="s">
        <v>2219</v>
      </c>
      <c r="D2560" s="41">
        <v>7</v>
      </c>
      <c r="E2560" s="41">
        <v>2008</v>
      </c>
      <c r="F2560" s="41" t="s">
        <v>4803</v>
      </c>
      <c r="G2560" s="41" t="s">
        <v>4803</v>
      </c>
      <c r="H2560" s="2043">
        <v>2084063</v>
      </c>
      <c r="I2560" s="2043">
        <v>0</v>
      </c>
      <c r="J2560">
        <v>0</v>
      </c>
      <c r="K2560" s="2043">
        <v>0</v>
      </c>
      <c r="L2560" s="2043">
        <v>0</v>
      </c>
      <c r="M2560">
        <v>199</v>
      </c>
      <c r="N2560">
        <v>0</v>
      </c>
    </row>
    <row r="2561" spans="1:14">
      <c r="A2561" t="s">
        <v>3249</v>
      </c>
      <c r="B2561" t="s">
        <v>1671</v>
      </c>
      <c r="C2561" t="s">
        <v>2219</v>
      </c>
      <c r="D2561" s="41">
        <v>7</v>
      </c>
      <c r="E2561" s="41">
        <v>2008</v>
      </c>
      <c r="F2561" s="41" t="s">
        <v>4803</v>
      </c>
      <c r="G2561" s="41" t="s">
        <v>4804</v>
      </c>
      <c r="H2561" s="2043">
        <v>2084063</v>
      </c>
      <c r="I2561" s="2043">
        <v>1731099</v>
      </c>
      <c r="J2561">
        <v>1</v>
      </c>
      <c r="K2561" s="2043">
        <v>2084063</v>
      </c>
      <c r="L2561" s="2043">
        <v>1731099</v>
      </c>
      <c r="M2561">
        <v>599</v>
      </c>
      <c r="N2561">
        <v>1</v>
      </c>
    </row>
    <row r="2562" spans="1:14">
      <c r="A2562" t="s">
        <v>3249</v>
      </c>
      <c r="B2562" t="s">
        <v>1671</v>
      </c>
      <c r="C2562" t="s">
        <v>2219</v>
      </c>
      <c r="D2562" s="41">
        <v>7</v>
      </c>
      <c r="E2562" s="41">
        <v>2006</v>
      </c>
      <c r="F2562" s="41" t="s">
        <v>4805</v>
      </c>
      <c r="G2562" s="41" t="s">
        <v>4805</v>
      </c>
      <c r="H2562" s="2043">
        <v>434993</v>
      </c>
      <c r="I2562" s="2043">
        <v>0</v>
      </c>
      <c r="J2562">
        <v>0</v>
      </c>
      <c r="K2562" s="2043">
        <v>0</v>
      </c>
      <c r="L2562" s="2043">
        <v>0</v>
      </c>
      <c r="M2562">
        <v>199</v>
      </c>
      <c r="N2562">
        <v>0</v>
      </c>
    </row>
    <row r="2563" spans="1:14">
      <c r="A2563" t="s">
        <v>3249</v>
      </c>
      <c r="B2563" t="s">
        <v>1671</v>
      </c>
      <c r="C2563" t="s">
        <v>2219</v>
      </c>
      <c r="D2563" s="41">
        <v>7</v>
      </c>
      <c r="E2563" s="41">
        <v>2006</v>
      </c>
      <c r="F2563" s="41" t="s">
        <v>4805</v>
      </c>
      <c r="G2563" s="41" t="s">
        <v>4804</v>
      </c>
      <c r="H2563" s="2043">
        <v>434993</v>
      </c>
      <c r="I2563" s="2043">
        <v>360630</v>
      </c>
      <c r="J2563">
        <v>1</v>
      </c>
      <c r="K2563" s="2043">
        <v>434993</v>
      </c>
      <c r="L2563" s="2043">
        <v>360630</v>
      </c>
      <c r="M2563">
        <v>599</v>
      </c>
      <c r="N2563">
        <v>1</v>
      </c>
    </row>
    <row r="2564" spans="1:14">
      <c r="A2564" t="s">
        <v>3249</v>
      </c>
      <c r="B2564" t="s">
        <v>1671</v>
      </c>
      <c r="C2564" t="s">
        <v>2219</v>
      </c>
      <c r="D2564" s="41">
        <v>7</v>
      </c>
      <c r="E2564" s="41">
        <v>2007</v>
      </c>
      <c r="F2564" s="41" t="s">
        <v>4806</v>
      </c>
      <c r="G2564" s="41" t="s">
        <v>4806</v>
      </c>
      <c r="H2564" s="2043">
        <v>1646500</v>
      </c>
      <c r="I2564" s="2043">
        <v>0</v>
      </c>
      <c r="J2564">
        <v>0</v>
      </c>
      <c r="K2564" s="2043">
        <v>0</v>
      </c>
      <c r="L2564" s="2043">
        <v>0</v>
      </c>
      <c r="M2564">
        <v>199</v>
      </c>
      <c r="N2564">
        <v>0</v>
      </c>
    </row>
    <row r="2565" spans="1:14">
      <c r="A2565" t="s">
        <v>3249</v>
      </c>
      <c r="B2565" t="s">
        <v>1671</v>
      </c>
      <c r="C2565" t="s">
        <v>2219</v>
      </c>
      <c r="D2565" s="41">
        <v>7</v>
      </c>
      <c r="E2565" s="41">
        <v>2007</v>
      </c>
      <c r="F2565" s="41" t="s">
        <v>4806</v>
      </c>
      <c r="G2565" s="41" t="s">
        <v>4804</v>
      </c>
      <c r="H2565" s="2043">
        <v>1646500</v>
      </c>
      <c r="I2565" s="2043">
        <v>1368954</v>
      </c>
      <c r="J2565">
        <v>1</v>
      </c>
      <c r="K2565" s="2043">
        <v>1646500</v>
      </c>
      <c r="L2565" s="2043">
        <v>1368954</v>
      </c>
      <c r="M2565">
        <v>599</v>
      </c>
      <c r="N2565">
        <v>1</v>
      </c>
    </row>
    <row r="2566" spans="1:14">
      <c r="A2566" t="s">
        <v>3249</v>
      </c>
      <c r="B2566" t="s">
        <v>1671</v>
      </c>
      <c r="C2566" t="s">
        <v>2219</v>
      </c>
      <c r="D2566" s="41">
        <v>7</v>
      </c>
      <c r="E2566" s="41">
        <v>2004</v>
      </c>
      <c r="F2566" s="41" t="s">
        <v>4807</v>
      </c>
      <c r="G2566" s="41" t="s">
        <v>4807</v>
      </c>
      <c r="H2566" s="2043">
        <v>158336</v>
      </c>
      <c r="I2566" s="2043">
        <v>0</v>
      </c>
      <c r="J2566">
        <v>0</v>
      </c>
      <c r="K2566" s="2043">
        <v>0</v>
      </c>
      <c r="L2566" s="2043">
        <v>0</v>
      </c>
      <c r="M2566">
        <v>199</v>
      </c>
      <c r="N2566">
        <v>0</v>
      </c>
    </row>
    <row r="2567" spans="1:14">
      <c r="A2567" t="s">
        <v>3249</v>
      </c>
      <c r="B2567" t="s">
        <v>1671</v>
      </c>
      <c r="C2567" t="s">
        <v>2219</v>
      </c>
      <c r="D2567" s="41">
        <v>7</v>
      </c>
      <c r="E2567" s="41">
        <v>2004</v>
      </c>
      <c r="F2567" s="41" t="s">
        <v>4807</v>
      </c>
      <c r="G2567" s="41" t="s">
        <v>4804</v>
      </c>
      <c r="H2567" s="2043">
        <v>158336</v>
      </c>
      <c r="I2567" s="2043">
        <v>127403</v>
      </c>
      <c r="J2567">
        <v>1</v>
      </c>
      <c r="K2567" s="2043">
        <v>158336</v>
      </c>
      <c r="L2567" s="2043">
        <v>127403</v>
      </c>
      <c r="M2567">
        <v>599</v>
      </c>
      <c r="N2567">
        <v>1</v>
      </c>
    </row>
    <row r="2568" spans="1:14">
      <c r="A2568" t="s">
        <v>3249</v>
      </c>
      <c r="B2568" t="s">
        <v>1671</v>
      </c>
      <c r="C2568" t="s">
        <v>2219</v>
      </c>
      <c r="D2568" s="41">
        <v>7</v>
      </c>
      <c r="E2568" s="41">
        <v>2003</v>
      </c>
      <c r="F2568" s="41" t="s">
        <v>4808</v>
      </c>
      <c r="G2568" s="41" t="s">
        <v>4808</v>
      </c>
      <c r="H2568" s="2043">
        <v>87600</v>
      </c>
      <c r="I2568" s="2043">
        <v>0</v>
      </c>
      <c r="J2568">
        <v>0</v>
      </c>
      <c r="K2568" s="2043">
        <v>0</v>
      </c>
      <c r="L2568" s="2043">
        <v>0</v>
      </c>
      <c r="M2568">
        <v>199</v>
      </c>
      <c r="N2568">
        <v>0</v>
      </c>
    </row>
    <row r="2569" spans="1:14">
      <c r="A2569" t="s">
        <v>3249</v>
      </c>
      <c r="B2569" t="s">
        <v>1671</v>
      </c>
      <c r="C2569" t="s">
        <v>2219</v>
      </c>
      <c r="D2569" s="41">
        <v>7</v>
      </c>
      <c r="E2569" s="41">
        <v>2003</v>
      </c>
      <c r="F2569" s="41" t="s">
        <v>4808</v>
      </c>
      <c r="G2569" s="41" t="s">
        <v>4804</v>
      </c>
      <c r="H2569" s="2043">
        <v>87600</v>
      </c>
      <c r="I2569" s="2043">
        <v>70649</v>
      </c>
      <c r="J2569">
        <v>1</v>
      </c>
      <c r="K2569" s="2043">
        <v>87600</v>
      </c>
      <c r="L2569" s="2043">
        <v>70649</v>
      </c>
      <c r="M2569">
        <v>599</v>
      </c>
      <c r="N2569">
        <v>1</v>
      </c>
    </row>
    <row r="2570" spans="1:14">
      <c r="A2570" t="s">
        <v>3249</v>
      </c>
      <c r="B2570" t="s">
        <v>1671</v>
      </c>
      <c r="C2570" t="s">
        <v>2219</v>
      </c>
      <c r="D2570" s="41">
        <v>7</v>
      </c>
      <c r="E2570" s="41">
        <v>2005</v>
      </c>
      <c r="F2570" s="41" t="s">
        <v>4809</v>
      </c>
      <c r="G2570" s="41" t="s">
        <v>4809</v>
      </c>
      <c r="H2570" s="2043">
        <v>325863</v>
      </c>
      <c r="I2570" s="2043">
        <v>0</v>
      </c>
      <c r="J2570">
        <v>0</v>
      </c>
      <c r="K2570" s="2043">
        <v>0</v>
      </c>
      <c r="L2570" s="2043">
        <v>0</v>
      </c>
      <c r="M2570">
        <v>199</v>
      </c>
      <c r="N2570">
        <v>0</v>
      </c>
    </row>
    <row r="2571" spans="1:14">
      <c r="A2571" t="s">
        <v>3249</v>
      </c>
      <c r="B2571" t="s">
        <v>1671</v>
      </c>
      <c r="C2571" t="s">
        <v>2219</v>
      </c>
      <c r="D2571" s="41">
        <v>7</v>
      </c>
      <c r="E2571" s="41">
        <v>2005</v>
      </c>
      <c r="F2571" s="41" t="s">
        <v>4809</v>
      </c>
      <c r="G2571" s="41" t="s">
        <v>4804</v>
      </c>
      <c r="H2571" s="2043">
        <v>325863</v>
      </c>
      <c r="I2571" s="2043">
        <v>268648</v>
      </c>
      <c r="J2571">
        <v>1</v>
      </c>
      <c r="K2571" s="2043">
        <v>325863</v>
      </c>
      <c r="L2571" s="2043">
        <v>268648</v>
      </c>
      <c r="M2571">
        <v>599</v>
      </c>
      <c r="N2571">
        <v>1</v>
      </c>
    </row>
    <row r="2572" spans="1:14">
      <c r="A2572" t="s">
        <v>3249</v>
      </c>
      <c r="B2572" t="s">
        <v>1671</v>
      </c>
      <c r="C2572" t="s">
        <v>2219</v>
      </c>
      <c r="D2572" s="41">
        <v>8</v>
      </c>
      <c r="E2572" s="41">
        <v>2009</v>
      </c>
      <c r="F2572" s="41" t="s">
        <v>4810</v>
      </c>
      <c r="G2572" s="41" t="s">
        <v>4810</v>
      </c>
      <c r="H2572" s="2043">
        <v>4074803</v>
      </c>
      <c r="I2572" s="2043">
        <v>0</v>
      </c>
      <c r="J2572">
        <v>0</v>
      </c>
      <c r="K2572" s="2043">
        <v>0</v>
      </c>
      <c r="L2572" s="2043">
        <v>0</v>
      </c>
      <c r="M2572">
        <v>599</v>
      </c>
      <c r="N2572">
        <v>1</v>
      </c>
    </row>
    <row r="2573" spans="1:14">
      <c r="A2573" t="s">
        <v>3249</v>
      </c>
      <c r="B2573" t="s">
        <v>1671</v>
      </c>
      <c r="C2573" t="s">
        <v>2219</v>
      </c>
      <c r="D2573" s="41">
        <v>8</v>
      </c>
      <c r="E2573" s="41">
        <v>2009</v>
      </c>
      <c r="F2573" s="41" t="s">
        <v>4810</v>
      </c>
      <c r="G2573" s="41" t="s">
        <v>5499</v>
      </c>
      <c r="H2573" s="2043">
        <v>4074803</v>
      </c>
      <c r="I2573" s="2043">
        <v>3916250</v>
      </c>
      <c r="J2573">
        <v>1</v>
      </c>
      <c r="K2573" s="2043">
        <v>4074803</v>
      </c>
      <c r="L2573" s="2043">
        <v>3916250</v>
      </c>
      <c r="M2573">
        <v>599</v>
      </c>
      <c r="N2573">
        <v>1</v>
      </c>
    </row>
    <row r="2574" spans="1:14">
      <c r="A2574" t="s">
        <v>3250</v>
      </c>
      <c r="B2574" t="s">
        <v>1431</v>
      </c>
      <c r="C2574" t="s">
        <v>2229</v>
      </c>
      <c r="D2574" s="41">
        <v>3</v>
      </c>
      <c r="E2574" s="41">
        <v>2405</v>
      </c>
      <c r="F2574" s="41" t="s">
        <v>4811</v>
      </c>
      <c r="G2574" s="41" t="s">
        <v>4811</v>
      </c>
      <c r="H2574" s="2043">
        <v>986173</v>
      </c>
      <c r="I2574" s="2043">
        <v>2796180</v>
      </c>
      <c r="J2574">
        <v>0.88705665884144402</v>
      </c>
      <c r="K2574" s="2043">
        <v>874791.32641964301</v>
      </c>
      <c r="L2574" s="2043">
        <v>874791.32641964301</v>
      </c>
      <c r="M2574">
        <v>599</v>
      </c>
      <c r="N2574">
        <v>1</v>
      </c>
    </row>
    <row r="2575" spans="1:14">
      <c r="A2575" t="s">
        <v>3250</v>
      </c>
      <c r="B2575" t="s">
        <v>1431</v>
      </c>
      <c r="C2575" t="s">
        <v>2229</v>
      </c>
      <c r="D2575" s="41">
        <v>3</v>
      </c>
      <c r="E2575" s="41">
        <v>2405</v>
      </c>
      <c r="F2575" s="41" t="s">
        <v>4811</v>
      </c>
      <c r="G2575" s="41" t="s">
        <v>4812</v>
      </c>
      <c r="H2575" s="2043">
        <v>986173</v>
      </c>
      <c r="I2575" s="2043">
        <v>0</v>
      </c>
      <c r="J2575">
        <v>0</v>
      </c>
      <c r="K2575" s="2043">
        <v>0</v>
      </c>
      <c r="L2575" s="2043">
        <v>0</v>
      </c>
      <c r="M2575">
        <v>599</v>
      </c>
      <c r="N2575">
        <v>0</v>
      </c>
    </row>
    <row r="2576" spans="1:14">
      <c r="A2576" t="s">
        <v>3250</v>
      </c>
      <c r="B2576" t="s">
        <v>1431</v>
      </c>
      <c r="C2576" t="s">
        <v>2229</v>
      </c>
      <c r="D2576" s="41">
        <v>3</v>
      </c>
      <c r="E2576" s="41">
        <v>2405</v>
      </c>
      <c r="F2576" s="41" t="s">
        <v>4811</v>
      </c>
      <c r="G2576" s="41" t="s">
        <v>4813</v>
      </c>
      <c r="H2576" s="2043">
        <v>986173</v>
      </c>
      <c r="I2576" s="2043">
        <v>0</v>
      </c>
      <c r="J2576">
        <v>0</v>
      </c>
      <c r="K2576" s="2043">
        <v>0</v>
      </c>
      <c r="L2576" s="2043">
        <v>0</v>
      </c>
      <c r="M2576">
        <v>599</v>
      </c>
      <c r="N2576">
        <v>0</v>
      </c>
    </row>
    <row r="2577" spans="1:14">
      <c r="A2577" t="s">
        <v>3250</v>
      </c>
      <c r="B2577" t="s">
        <v>1431</v>
      </c>
      <c r="C2577" t="s">
        <v>2229</v>
      </c>
      <c r="D2577" s="41">
        <v>3</v>
      </c>
      <c r="E2577" s="41">
        <v>2405</v>
      </c>
      <c r="F2577" s="41" t="s">
        <v>4811</v>
      </c>
      <c r="G2577" s="41" t="s">
        <v>5500</v>
      </c>
      <c r="H2577" s="2043">
        <v>986173</v>
      </c>
      <c r="I2577" s="2043">
        <v>356020</v>
      </c>
      <c r="J2577">
        <v>0.112943341158556</v>
      </c>
      <c r="K2577" s="2043">
        <v>111381.673580357</v>
      </c>
      <c r="L2577" s="2043">
        <v>111381.673580357</v>
      </c>
      <c r="M2577">
        <v>599</v>
      </c>
      <c r="N2577">
        <v>1</v>
      </c>
    </row>
    <row r="2578" spans="1:14">
      <c r="A2578" t="s">
        <v>3250</v>
      </c>
      <c r="B2578" t="s">
        <v>1431</v>
      </c>
      <c r="C2578" t="s">
        <v>2229</v>
      </c>
      <c r="D2578" s="41">
        <v>3</v>
      </c>
      <c r="E2578" s="41">
        <v>2407</v>
      </c>
      <c r="F2578" s="41" t="s">
        <v>4814</v>
      </c>
      <c r="G2578" s="41" t="s">
        <v>4814</v>
      </c>
      <c r="H2578" s="2043">
        <v>1098957</v>
      </c>
      <c r="I2578" s="2043">
        <v>0</v>
      </c>
      <c r="J2578">
        <v>0</v>
      </c>
      <c r="K2578" s="2043">
        <v>0</v>
      </c>
      <c r="L2578" s="2043">
        <v>0</v>
      </c>
      <c r="M2578">
        <v>599</v>
      </c>
      <c r="N2578">
        <v>0</v>
      </c>
    </row>
    <row r="2579" spans="1:14">
      <c r="A2579" t="s">
        <v>3250</v>
      </c>
      <c r="B2579" t="s">
        <v>1431</v>
      </c>
      <c r="C2579" t="s">
        <v>2229</v>
      </c>
      <c r="D2579" s="41">
        <v>3</v>
      </c>
      <c r="E2579" s="41">
        <v>2407</v>
      </c>
      <c r="F2579" s="41" t="s">
        <v>4814</v>
      </c>
      <c r="G2579" s="41" t="s">
        <v>4812</v>
      </c>
      <c r="H2579" s="2043">
        <v>1098957</v>
      </c>
      <c r="I2579" s="2043">
        <v>0</v>
      </c>
      <c r="J2579">
        <v>0</v>
      </c>
      <c r="K2579" s="2043">
        <v>0</v>
      </c>
      <c r="L2579" s="2043">
        <v>0</v>
      </c>
      <c r="M2579">
        <v>599</v>
      </c>
      <c r="N2579">
        <v>0</v>
      </c>
    </row>
    <row r="2580" spans="1:14">
      <c r="A2580" t="s">
        <v>3250</v>
      </c>
      <c r="B2580" t="s">
        <v>1431</v>
      </c>
      <c r="C2580" t="s">
        <v>2229</v>
      </c>
      <c r="D2580" s="41">
        <v>3</v>
      </c>
      <c r="E2580" s="41">
        <v>2407</v>
      </c>
      <c r="F2580" s="41" t="s">
        <v>4814</v>
      </c>
      <c r="G2580" s="41" t="s">
        <v>5500</v>
      </c>
      <c r="H2580" s="2043">
        <v>1098957</v>
      </c>
      <c r="I2580" s="2043">
        <v>1854700</v>
      </c>
      <c r="J2580">
        <v>1</v>
      </c>
      <c r="K2580" s="2043">
        <v>1098957</v>
      </c>
      <c r="L2580" s="2043">
        <v>1098957</v>
      </c>
      <c r="M2580">
        <v>599</v>
      </c>
      <c r="N2580">
        <v>1</v>
      </c>
    </row>
    <row r="2581" spans="1:14">
      <c r="A2581" t="s">
        <v>3250</v>
      </c>
      <c r="B2581" t="s">
        <v>1431</v>
      </c>
      <c r="C2581" t="s">
        <v>2229</v>
      </c>
      <c r="D2581" s="41">
        <v>5</v>
      </c>
      <c r="E2581" s="41">
        <v>2404</v>
      </c>
      <c r="F2581" s="41" t="s">
        <v>4815</v>
      </c>
      <c r="G2581" s="41" t="s">
        <v>4815</v>
      </c>
      <c r="H2581" s="2043">
        <v>827517</v>
      </c>
      <c r="I2581" s="2043">
        <v>0</v>
      </c>
      <c r="J2581">
        <v>0</v>
      </c>
      <c r="K2581" s="2043">
        <v>0</v>
      </c>
      <c r="L2581" s="2043">
        <v>0</v>
      </c>
      <c r="M2581">
        <v>599</v>
      </c>
      <c r="N2581">
        <v>0</v>
      </c>
    </row>
    <row r="2582" spans="1:14">
      <c r="A2582" t="s">
        <v>3250</v>
      </c>
      <c r="B2582" t="s">
        <v>1431</v>
      </c>
      <c r="C2582" t="s">
        <v>2229</v>
      </c>
      <c r="D2582" s="41">
        <v>5</v>
      </c>
      <c r="E2582" s="41">
        <v>2404</v>
      </c>
      <c r="F2582" s="41" t="s">
        <v>4815</v>
      </c>
      <c r="G2582" s="41" t="s">
        <v>4812</v>
      </c>
      <c r="H2582" s="2043">
        <v>827517</v>
      </c>
      <c r="I2582" s="2043">
        <v>0</v>
      </c>
      <c r="J2582">
        <v>0</v>
      </c>
      <c r="K2582" s="2043">
        <v>0</v>
      </c>
      <c r="L2582" s="2043">
        <v>0</v>
      </c>
      <c r="M2582">
        <v>599</v>
      </c>
      <c r="N2582">
        <v>0</v>
      </c>
    </row>
    <row r="2583" spans="1:14">
      <c r="A2583" t="s">
        <v>3250</v>
      </c>
      <c r="B2583" t="s">
        <v>1431</v>
      </c>
      <c r="C2583" t="s">
        <v>2229</v>
      </c>
      <c r="D2583" s="41">
        <v>5</v>
      </c>
      <c r="E2583" s="41">
        <v>2404</v>
      </c>
      <c r="F2583" s="41" t="s">
        <v>4815</v>
      </c>
      <c r="G2583" s="41" t="s">
        <v>4816</v>
      </c>
      <c r="H2583" s="2043">
        <v>827517</v>
      </c>
      <c r="I2583" s="2043">
        <v>56977</v>
      </c>
      <c r="J2583">
        <v>4.95519392195811E-2</v>
      </c>
      <c r="K2583" s="2043">
        <v>41005.072087170098</v>
      </c>
      <c r="L2583" s="2043">
        <v>41005.072087170098</v>
      </c>
      <c r="M2583">
        <v>599</v>
      </c>
      <c r="N2583">
        <v>1</v>
      </c>
    </row>
    <row r="2584" spans="1:14">
      <c r="A2584" t="s">
        <v>3250</v>
      </c>
      <c r="B2584" t="s">
        <v>1431</v>
      </c>
      <c r="C2584" t="s">
        <v>2229</v>
      </c>
      <c r="D2584" s="41">
        <v>5</v>
      </c>
      <c r="E2584" s="41">
        <v>2404</v>
      </c>
      <c r="F2584" s="41" t="s">
        <v>4815</v>
      </c>
      <c r="G2584" s="41" t="s">
        <v>4817</v>
      </c>
      <c r="H2584" s="2043">
        <v>827517</v>
      </c>
      <c r="I2584" s="2043">
        <v>180804</v>
      </c>
      <c r="J2584">
        <v>0.15724219981145299</v>
      </c>
      <c r="K2584" s="2043">
        <v>130120.593461374</v>
      </c>
      <c r="L2584" s="2043">
        <v>130120.593461374</v>
      </c>
      <c r="M2584">
        <v>599</v>
      </c>
      <c r="N2584">
        <v>1</v>
      </c>
    </row>
    <row r="2585" spans="1:14">
      <c r="A2585" t="s">
        <v>3250</v>
      </c>
      <c r="B2585" t="s">
        <v>1431</v>
      </c>
      <c r="C2585" t="s">
        <v>2229</v>
      </c>
      <c r="D2585" s="41">
        <v>5</v>
      </c>
      <c r="E2585" s="41">
        <v>2404</v>
      </c>
      <c r="F2585" s="41" t="s">
        <v>4815</v>
      </c>
      <c r="G2585" s="41" t="s">
        <v>5500</v>
      </c>
      <c r="H2585" s="2043">
        <v>827517</v>
      </c>
      <c r="I2585" s="2043">
        <v>787995</v>
      </c>
      <c r="J2585">
        <v>0.68530600672786901</v>
      </c>
      <c r="K2585" s="2043">
        <v>567102.37076942599</v>
      </c>
      <c r="L2585" s="2043">
        <v>567102.37076942599</v>
      </c>
      <c r="M2585">
        <v>599</v>
      </c>
      <c r="N2585">
        <v>1</v>
      </c>
    </row>
    <row r="2586" spans="1:14">
      <c r="A2586" t="s">
        <v>3250</v>
      </c>
      <c r="B2586" t="s">
        <v>1431</v>
      </c>
      <c r="C2586" t="s">
        <v>2229</v>
      </c>
      <c r="D2586" s="41">
        <v>5</v>
      </c>
      <c r="E2586" s="41">
        <v>2404</v>
      </c>
      <c r="F2586" s="41" t="s">
        <v>4815</v>
      </c>
      <c r="G2586" s="41" t="s">
        <v>7314</v>
      </c>
      <c r="H2586" s="2043">
        <v>827517</v>
      </c>
      <c r="I2586" s="2043">
        <v>108322</v>
      </c>
      <c r="J2586">
        <v>9.4205822702905798E-2</v>
      </c>
      <c r="K2586" s="2043">
        <v>77956.919785640494</v>
      </c>
      <c r="L2586" s="2043">
        <v>77956.919785640494</v>
      </c>
      <c r="M2586">
        <v>599</v>
      </c>
      <c r="N2586">
        <v>1</v>
      </c>
    </row>
    <row r="2587" spans="1:14">
      <c r="A2587" t="s">
        <v>3250</v>
      </c>
      <c r="B2587" t="s">
        <v>1431</v>
      </c>
      <c r="C2587" t="s">
        <v>2229</v>
      </c>
      <c r="D2587" s="41">
        <v>5</v>
      </c>
      <c r="E2587" s="41">
        <v>2404</v>
      </c>
      <c r="F2587" s="41" t="s">
        <v>4815</v>
      </c>
      <c r="G2587" s="41" t="s">
        <v>9414</v>
      </c>
      <c r="H2587" s="2043">
        <v>827517</v>
      </c>
      <c r="I2587" s="2043">
        <v>9135</v>
      </c>
      <c r="J2587">
        <v>7.9445559571559299E-3</v>
      </c>
      <c r="K2587" s="2043">
        <v>6574.2551119977998</v>
      </c>
      <c r="L2587" s="2043">
        <v>6574.2551119977998</v>
      </c>
      <c r="M2587">
        <v>599</v>
      </c>
      <c r="N2587">
        <v>1</v>
      </c>
    </row>
    <row r="2588" spans="1:14">
      <c r="A2588" t="s">
        <v>3250</v>
      </c>
      <c r="B2588" t="s">
        <v>1431</v>
      </c>
      <c r="C2588" t="s">
        <v>2229</v>
      </c>
      <c r="D2588" s="41">
        <v>5</v>
      </c>
      <c r="E2588" s="41">
        <v>2404</v>
      </c>
      <c r="F2588" s="41" t="s">
        <v>4815</v>
      </c>
      <c r="G2588" s="41" t="s">
        <v>9415</v>
      </c>
      <c r="H2588" s="2043">
        <v>827517</v>
      </c>
      <c r="I2588" s="2043">
        <v>6611</v>
      </c>
      <c r="J2588">
        <v>5.7494755810353401E-3</v>
      </c>
      <c r="K2588" s="2043">
        <v>4757.7887843916196</v>
      </c>
      <c r="L2588" s="2043">
        <v>4757.7887843916196</v>
      </c>
      <c r="M2588">
        <v>599</v>
      </c>
      <c r="N2588">
        <v>1</v>
      </c>
    </row>
    <row r="2589" spans="1:14">
      <c r="A2589" t="s">
        <v>3250</v>
      </c>
      <c r="B2589" t="s">
        <v>1431</v>
      </c>
      <c r="C2589" t="s">
        <v>2229</v>
      </c>
      <c r="D2589" s="41">
        <v>5</v>
      </c>
      <c r="E2589" s="41">
        <v>2406</v>
      </c>
      <c r="F2589" s="41" t="s">
        <v>4818</v>
      </c>
      <c r="G2589" s="41" t="s">
        <v>4818</v>
      </c>
      <c r="H2589" s="2043">
        <v>1047970</v>
      </c>
      <c r="I2589" s="2043">
        <v>0</v>
      </c>
      <c r="J2589">
        <v>0</v>
      </c>
      <c r="K2589" s="2043">
        <v>0</v>
      </c>
      <c r="L2589" s="2043">
        <v>0</v>
      </c>
      <c r="M2589">
        <v>599</v>
      </c>
      <c r="N2589">
        <v>0</v>
      </c>
    </row>
    <row r="2590" spans="1:14">
      <c r="A2590" t="s">
        <v>3250</v>
      </c>
      <c r="B2590" t="s">
        <v>1431</v>
      </c>
      <c r="C2590" t="s">
        <v>2229</v>
      </c>
      <c r="D2590" s="41">
        <v>5</v>
      </c>
      <c r="E2590" s="41">
        <v>2406</v>
      </c>
      <c r="F2590" s="41" t="s">
        <v>4818</v>
      </c>
      <c r="G2590" s="41" t="s">
        <v>4817</v>
      </c>
      <c r="H2590" s="2043">
        <v>1047970</v>
      </c>
      <c r="I2590" s="2043">
        <v>1458231</v>
      </c>
      <c r="J2590">
        <v>0.92033775715515498</v>
      </c>
      <c r="K2590" s="2043">
        <v>964486.35936588806</v>
      </c>
      <c r="L2590" s="2043">
        <v>964486.35936588806</v>
      </c>
      <c r="M2590">
        <v>599</v>
      </c>
      <c r="N2590">
        <v>1</v>
      </c>
    </row>
    <row r="2591" spans="1:14">
      <c r="A2591" t="s">
        <v>3250</v>
      </c>
      <c r="B2591" t="s">
        <v>1431</v>
      </c>
      <c r="C2591" t="s">
        <v>2229</v>
      </c>
      <c r="D2591" s="41">
        <v>5</v>
      </c>
      <c r="E2591" s="41">
        <v>2406</v>
      </c>
      <c r="F2591" s="41" t="s">
        <v>4818</v>
      </c>
      <c r="G2591" s="41" t="s">
        <v>4819</v>
      </c>
      <c r="H2591" s="2043">
        <v>1047970</v>
      </c>
      <c r="I2591" s="2043">
        <v>0</v>
      </c>
      <c r="J2591">
        <v>0</v>
      </c>
      <c r="K2591" s="2043">
        <v>0</v>
      </c>
      <c r="L2591" s="2043">
        <v>0</v>
      </c>
      <c r="M2591">
        <v>599</v>
      </c>
      <c r="N2591">
        <v>1</v>
      </c>
    </row>
    <row r="2592" spans="1:14">
      <c r="A2592" t="s">
        <v>3250</v>
      </c>
      <c r="B2592" t="s">
        <v>1431</v>
      </c>
      <c r="C2592" t="s">
        <v>2229</v>
      </c>
      <c r="D2592" s="41">
        <v>5</v>
      </c>
      <c r="E2592" s="41">
        <v>2406</v>
      </c>
      <c r="F2592" s="41" t="s">
        <v>4818</v>
      </c>
      <c r="G2592" s="41" t="s">
        <v>9414</v>
      </c>
      <c r="H2592" s="2043">
        <v>1047970</v>
      </c>
      <c r="I2592" s="2043">
        <v>73226</v>
      </c>
      <c r="J2592">
        <v>4.6215347640698498E-2</v>
      </c>
      <c r="K2592" s="2043">
        <v>48432.297867022797</v>
      </c>
      <c r="L2592" s="2043">
        <v>48432.297867022797</v>
      </c>
      <c r="M2592">
        <v>599</v>
      </c>
      <c r="N2592">
        <v>1</v>
      </c>
    </row>
    <row r="2593" spans="1:14">
      <c r="A2593" t="s">
        <v>3250</v>
      </c>
      <c r="B2593" t="s">
        <v>1431</v>
      </c>
      <c r="C2593" t="s">
        <v>2229</v>
      </c>
      <c r="D2593" s="41">
        <v>5</v>
      </c>
      <c r="E2593" s="41">
        <v>2406</v>
      </c>
      <c r="F2593" s="41" t="s">
        <v>4818</v>
      </c>
      <c r="G2593" s="41" t="s">
        <v>9415</v>
      </c>
      <c r="H2593" s="2043">
        <v>1047970</v>
      </c>
      <c r="I2593" s="2043">
        <v>52995</v>
      </c>
      <c r="J2593">
        <v>3.3446895204146301E-2</v>
      </c>
      <c r="K2593" s="2043">
        <v>35051.342767089198</v>
      </c>
      <c r="L2593" s="2043">
        <v>35051.342767089198</v>
      </c>
      <c r="M2593">
        <v>599</v>
      </c>
      <c r="N2593">
        <v>1</v>
      </c>
    </row>
    <row r="2594" spans="1:14">
      <c r="A2594" t="s">
        <v>3251</v>
      </c>
      <c r="B2594" t="s">
        <v>837</v>
      </c>
      <c r="C2594" t="s">
        <v>1363</v>
      </c>
      <c r="D2594" s="41">
        <v>2</v>
      </c>
      <c r="E2594" s="41">
        <v>1652</v>
      </c>
      <c r="F2594" s="41" t="s">
        <v>4820</v>
      </c>
      <c r="G2594" s="41" t="s">
        <v>4820</v>
      </c>
      <c r="H2594" s="2043">
        <v>871498</v>
      </c>
      <c r="I2594" s="2043">
        <v>0</v>
      </c>
      <c r="J2594">
        <v>0</v>
      </c>
      <c r="L2594" s="2043">
        <v>0</v>
      </c>
      <c r="M2594">
        <v>599</v>
      </c>
      <c r="N2594">
        <v>1</v>
      </c>
    </row>
    <row r="2595" spans="1:14">
      <c r="A2595" t="s">
        <v>3251</v>
      </c>
      <c r="B2595" t="s">
        <v>837</v>
      </c>
      <c r="C2595" t="s">
        <v>1363</v>
      </c>
      <c r="D2595" s="41">
        <v>11</v>
      </c>
      <c r="E2595" s="41">
        <v>2517</v>
      </c>
      <c r="F2595" s="41" t="s">
        <v>7315</v>
      </c>
      <c r="G2595" s="41" t="s">
        <v>7315</v>
      </c>
      <c r="H2595" s="2043">
        <v>752432</v>
      </c>
      <c r="I2595" s="2043">
        <v>3020368</v>
      </c>
      <c r="J2595">
        <v>1</v>
      </c>
      <c r="K2595" s="2043">
        <v>752432</v>
      </c>
      <c r="L2595" s="2043">
        <v>752432</v>
      </c>
      <c r="M2595">
        <v>599</v>
      </c>
      <c r="N2595">
        <v>0</v>
      </c>
    </row>
    <row r="2596" spans="1:14">
      <c r="A2596" t="s">
        <v>5305</v>
      </c>
      <c r="B2596" t="s">
        <v>605</v>
      </c>
      <c r="C2596" t="s">
        <v>2213</v>
      </c>
      <c r="D2596" s="41">
        <v>11</v>
      </c>
      <c r="E2596" s="41">
        <v>2591</v>
      </c>
      <c r="F2596" s="41" t="s">
        <v>7316</v>
      </c>
      <c r="G2596" s="41" t="s">
        <v>7316</v>
      </c>
      <c r="H2596" s="2043">
        <v>204122</v>
      </c>
      <c r="I2596" s="2043">
        <v>119279</v>
      </c>
      <c r="J2596">
        <v>0.586157754812205</v>
      </c>
      <c r="K2596" s="2043">
        <v>119647.693227777</v>
      </c>
      <c r="L2596" s="2043">
        <v>119279</v>
      </c>
      <c r="M2596">
        <v>599</v>
      </c>
      <c r="N2596">
        <v>1</v>
      </c>
    </row>
    <row r="2597" spans="1:14">
      <c r="A2597" t="s">
        <v>5305</v>
      </c>
      <c r="B2597" t="s">
        <v>605</v>
      </c>
      <c r="C2597" t="s">
        <v>2213</v>
      </c>
      <c r="D2597" s="41">
        <v>11</v>
      </c>
      <c r="E2597" s="41">
        <v>2591</v>
      </c>
      <c r="F2597" s="41" t="s">
        <v>7316</v>
      </c>
      <c r="G2597" s="41" t="s">
        <v>9416</v>
      </c>
      <c r="H2597" s="2043">
        <v>204122</v>
      </c>
      <c r="I2597" s="2043">
        <v>84214</v>
      </c>
      <c r="J2597">
        <v>0.413842245187795</v>
      </c>
      <c r="K2597" s="2043">
        <v>84474.306772223106</v>
      </c>
      <c r="L2597" s="2043">
        <v>84214</v>
      </c>
      <c r="M2597">
        <v>599</v>
      </c>
      <c r="N2597">
        <v>1</v>
      </c>
    </row>
    <row r="2598" spans="1:14">
      <c r="A2598" t="s">
        <v>3252</v>
      </c>
      <c r="B2598" t="s">
        <v>1724</v>
      </c>
      <c r="C2598" t="s">
        <v>1517</v>
      </c>
      <c r="D2598" s="41">
        <v>9</v>
      </c>
      <c r="E2598" s="41">
        <v>2453</v>
      </c>
      <c r="F2598" s="41" t="s">
        <v>4821</v>
      </c>
      <c r="G2598" s="41" t="s">
        <v>4821</v>
      </c>
      <c r="H2598" s="2043">
        <v>3370543</v>
      </c>
      <c r="I2598" s="2043">
        <v>0</v>
      </c>
      <c r="J2598">
        <v>0</v>
      </c>
      <c r="K2598" s="2043">
        <v>0</v>
      </c>
      <c r="L2598" s="2043">
        <v>0</v>
      </c>
      <c r="M2598">
        <v>599</v>
      </c>
      <c r="N2598">
        <v>1</v>
      </c>
    </row>
    <row r="2599" spans="1:14">
      <c r="A2599" t="s">
        <v>3252</v>
      </c>
      <c r="B2599" t="s">
        <v>1724</v>
      </c>
      <c r="C2599" t="s">
        <v>1517</v>
      </c>
      <c r="D2599" s="41">
        <v>9</v>
      </c>
      <c r="E2599" s="41">
        <v>2453</v>
      </c>
      <c r="F2599" s="41" t="s">
        <v>4821</v>
      </c>
      <c r="G2599" s="41" t="s">
        <v>5501</v>
      </c>
      <c r="H2599" s="2043">
        <v>3370543</v>
      </c>
      <c r="I2599" s="2043">
        <v>4319725</v>
      </c>
      <c r="J2599">
        <v>1</v>
      </c>
      <c r="K2599" s="2043">
        <v>3370543</v>
      </c>
      <c r="L2599" s="2043">
        <v>3370543</v>
      </c>
      <c r="M2599">
        <v>599</v>
      </c>
      <c r="N2599">
        <v>1</v>
      </c>
    </row>
    <row r="2600" spans="1:14">
      <c r="A2600" t="s">
        <v>3253</v>
      </c>
      <c r="B2600" t="s">
        <v>538</v>
      </c>
      <c r="C2600" t="s">
        <v>1092</v>
      </c>
      <c r="D2600" s="41">
        <v>5</v>
      </c>
      <c r="E2600" s="41">
        <v>1693</v>
      </c>
      <c r="F2600" s="41" t="s">
        <v>4822</v>
      </c>
      <c r="G2600" s="41" t="s">
        <v>4822</v>
      </c>
      <c r="H2600" s="2043">
        <v>347638</v>
      </c>
      <c r="I2600" s="2043">
        <v>646697</v>
      </c>
      <c r="J2600">
        <v>1</v>
      </c>
      <c r="K2600" s="2043">
        <v>347638</v>
      </c>
      <c r="L2600" s="2043">
        <v>347638</v>
      </c>
      <c r="M2600">
        <v>599</v>
      </c>
      <c r="N2600">
        <v>1</v>
      </c>
    </row>
    <row r="2601" spans="1:14">
      <c r="A2601" t="s">
        <v>3254</v>
      </c>
      <c r="B2601" t="s">
        <v>10</v>
      </c>
      <c r="C2601" t="s">
        <v>2165</v>
      </c>
      <c r="D2601" s="41">
        <v>8</v>
      </c>
      <c r="E2601" s="41">
        <v>2151</v>
      </c>
      <c r="F2601" s="41" t="s">
        <v>4823</v>
      </c>
      <c r="G2601" s="41" t="s">
        <v>4823</v>
      </c>
      <c r="H2601" s="2043">
        <v>100000</v>
      </c>
      <c r="I2601" s="2043">
        <v>131626</v>
      </c>
      <c r="J2601">
        <v>1</v>
      </c>
      <c r="K2601" s="2043">
        <v>100000</v>
      </c>
      <c r="L2601" s="2043">
        <v>100000</v>
      </c>
      <c r="M2601">
        <v>599</v>
      </c>
      <c r="N2601">
        <v>1</v>
      </c>
    </row>
    <row r="2602" spans="1:14">
      <c r="A2602" t="s">
        <v>3255</v>
      </c>
      <c r="B2602" t="s">
        <v>1415</v>
      </c>
      <c r="C2602" t="s">
        <v>2220</v>
      </c>
      <c r="D2602" s="41">
        <v>4</v>
      </c>
      <c r="E2602" s="41">
        <v>2013</v>
      </c>
      <c r="F2602" s="41" t="s">
        <v>4824</v>
      </c>
      <c r="G2602" s="41" t="s">
        <v>4824</v>
      </c>
      <c r="H2602" s="2043">
        <v>98474</v>
      </c>
      <c r="I2602" s="2043">
        <v>0</v>
      </c>
      <c r="J2602">
        <v>0</v>
      </c>
      <c r="K2602" s="2043">
        <v>0</v>
      </c>
      <c r="L2602" s="2043">
        <v>0</v>
      </c>
      <c r="M2602">
        <v>599</v>
      </c>
      <c r="N2602">
        <v>0</v>
      </c>
    </row>
    <row r="2603" spans="1:14">
      <c r="A2603" t="s">
        <v>3255</v>
      </c>
      <c r="B2603" t="s">
        <v>1415</v>
      </c>
      <c r="C2603" t="s">
        <v>2220</v>
      </c>
      <c r="D2603" s="41">
        <v>4</v>
      </c>
      <c r="E2603" s="41">
        <v>2013</v>
      </c>
      <c r="F2603" s="41" t="s">
        <v>4824</v>
      </c>
      <c r="G2603" s="41" t="s">
        <v>4825</v>
      </c>
      <c r="H2603" s="2043">
        <v>98474</v>
      </c>
      <c r="I2603" s="2043">
        <v>56432</v>
      </c>
      <c r="J2603">
        <v>0.86062436137926801</v>
      </c>
      <c r="K2603" s="2043">
        <v>84749.123362462095</v>
      </c>
      <c r="L2603" s="2043">
        <v>56432</v>
      </c>
      <c r="M2603">
        <v>599</v>
      </c>
      <c r="N2603">
        <v>1</v>
      </c>
    </row>
    <row r="2604" spans="1:14">
      <c r="A2604" t="s">
        <v>3255</v>
      </c>
      <c r="B2604" t="s">
        <v>1415</v>
      </c>
      <c r="C2604" t="s">
        <v>2220</v>
      </c>
      <c r="D2604" s="41">
        <v>4</v>
      </c>
      <c r="E2604" s="41">
        <v>2013</v>
      </c>
      <c r="F2604" s="41" t="s">
        <v>4824</v>
      </c>
      <c r="G2604" s="41" t="s">
        <v>9417</v>
      </c>
      <c r="H2604" s="2043">
        <v>98474</v>
      </c>
      <c r="I2604" s="2043">
        <v>9139</v>
      </c>
      <c r="J2604">
        <v>0.13937563862073199</v>
      </c>
      <c r="K2604" s="2043">
        <v>13724.8766375379</v>
      </c>
      <c r="L2604" s="2043">
        <v>9139</v>
      </c>
      <c r="M2604">
        <v>599</v>
      </c>
      <c r="N2604">
        <v>1</v>
      </c>
    </row>
    <row r="2605" spans="1:14">
      <c r="A2605" t="s">
        <v>3255</v>
      </c>
      <c r="B2605" t="s">
        <v>1415</v>
      </c>
      <c r="C2605" t="s">
        <v>2220</v>
      </c>
      <c r="D2605" s="41">
        <v>5</v>
      </c>
      <c r="E2605" s="41">
        <v>2012</v>
      </c>
      <c r="F2605" s="41" t="s">
        <v>4826</v>
      </c>
      <c r="G2605" s="41" t="s">
        <v>4826</v>
      </c>
      <c r="H2605" s="2043">
        <v>92936</v>
      </c>
      <c r="I2605" s="2043">
        <v>0</v>
      </c>
      <c r="J2605">
        <v>0</v>
      </c>
      <c r="K2605" s="2043">
        <v>0</v>
      </c>
      <c r="L2605" s="2043">
        <v>0</v>
      </c>
      <c r="M2605">
        <v>599</v>
      </c>
      <c r="N2605">
        <v>0</v>
      </c>
    </row>
    <row r="2606" spans="1:14">
      <c r="A2606" t="s">
        <v>3255</v>
      </c>
      <c r="B2606" t="s">
        <v>1415</v>
      </c>
      <c r="C2606" t="s">
        <v>2220</v>
      </c>
      <c r="D2606" s="41">
        <v>5</v>
      </c>
      <c r="E2606" s="41">
        <v>2012</v>
      </c>
      <c r="F2606" s="41" t="s">
        <v>4826</v>
      </c>
      <c r="G2606" s="41" t="s">
        <v>4825</v>
      </c>
      <c r="H2606" s="2043">
        <v>92936</v>
      </c>
      <c r="I2606" s="2043">
        <v>60293</v>
      </c>
      <c r="J2606">
        <v>0.860627774526457</v>
      </c>
      <c r="K2606" s="2043">
        <v>79983.302853390793</v>
      </c>
      <c r="L2606" s="2043">
        <v>60293</v>
      </c>
      <c r="M2606">
        <v>599</v>
      </c>
      <c r="N2606">
        <v>1</v>
      </c>
    </row>
    <row r="2607" spans="1:14">
      <c r="A2607" t="s">
        <v>3255</v>
      </c>
      <c r="B2607" t="s">
        <v>1415</v>
      </c>
      <c r="C2607" t="s">
        <v>2220</v>
      </c>
      <c r="D2607" s="41">
        <v>5</v>
      </c>
      <c r="E2607" s="41">
        <v>2012</v>
      </c>
      <c r="F2607" s="41" t="s">
        <v>4826</v>
      </c>
      <c r="G2607" s="41" t="s">
        <v>9417</v>
      </c>
      <c r="H2607" s="2043">
        <v>92936</v>
      </c>
      <c r="I2607" s="2043">
        <v>9764</v>
      </c>
      <c r="J2607">
        <v>0.139372225473543</v>
      </c>
      <c r="K2607" s="2043">
        <v>12952.6971466092</v>
      </c>
      <c r="L2607" s="2043">
        <v>9764</v>
      </c>
      <c r="M2607">
        <v>599</v>
      </c>
      <c r="N2607">
        <v>1</v>
      </c>
    </row>
    <row r="2608" spans="1:14">
      <c r="A2608" t="s">
        <v>3255</v>
      </c>
      <c r="B2608" t="s">
        <v>1415</v>
      </c>
      <c r="C2608" t="s">
        <v>2220</v>
      </c>
      <c r="D2608" s="41">
        <v>8</v>
      </c>
      <c r="E2608" s="41">
        <v>2014</v>
      </c>
      <c r="F2608" s="41" t="s">
        <v>4827</v>
      </c>
      <c r="G2608" s="41" t="s">
        <v>4827</v>
      </c>
      <c r="H2608" s="2043">
        <v>98876</v>
      </c>
      <c r="I2608" s="2043">
        <v>0</v>
      </c>
      <c r="J2608">
        <v>0</v>
      </c>
      <c r="K2608" s="2043">
        <v>0</v>
      </c>
      <c r="L2608" s="2043">
        <v>0</v>
      </c>
      <c r="M2608">
        <v>599</v>
      </c>
      <c r="N2608">
        <v>1</v>
      </c>
    </row>
    <row r="2609" spans="1:14">
      <c r="A2609" t="s">
        <v>3255</v>
      </c>
      <c r="B2609" t="s">
        <v>1415</v>
      </c>
      <c r="C2609" t="s">
        <v>2220</v>
      </c>
      <c r="D2609" s="41">
        <v>8</v>
      </c>
      <c r="E2609" s="41">
        <v>2014</v>
      </c>
      <c r="F2609" s="41" t="s">
        <v>4827</v>
      </c>
      <c r="G2609" s="41" t="s">
        <v>5675</v>
      </c>
      <c r="H2609" s="2043">
        <v>98876</v>
      </c>
      <c r="I2609" s="2043">
        <v>81800</v>
      </c>
      <c r="J2609">
        <v>1</v>
      </c>
      <c r="K2609" s="2043">
        <v>98876</v>
      </c>
      <c r="L2609" s="2043">
        <v>81800</v>
      </c>
      <c r="M2609">
        <v>599</v>
      </c>
      <c r="N2609">
        <v>1</v>
      </c>
    </row>
    <row r="2610" spans="1:14">
      <c r="A2610" t="s">
        <v>3255</v>
      </c>
      <c r="B2610" t="s">
        <v>1415</v>
      </c>
      <c r="C2610" t="s">
        <v>2220</v>
      </c>
      <c r="D2610" s="41">
        <v>9</v>
      </c>
      <c r="E2610" s="41">
        <v>2015</v>
      </c>
      <c r="F2610" s="41" t="s">
        <v>4828</v>
      </c>
      <c r="G2610" s="41" t="s">
        <v>4828</v>
      </c>
      <c r="H2610" s="2043">
        <v>100000</v>
      </c>
      <c r="I2610" s="2043">
        <v>40000</v>
      </c>
      <c r="J2610">
        <v>0.399400898652022</v>
      </c>
      <c r="K2610" s="2043">
        <v>39940.089865202201</v>
      </c>
      <c r="L2610" s="2043">
        <v>39940.089865202201</v>
      </c>
      <c r="M2610">
        <v>599</v>
      </c>
      <c r="N2610">
        <v>1</v>
      </c>
    </row>
    <row r="2611" spans="1:14">
      <c r="A2611" t="s">
        <v>3255</v>
      </c>
      <c r="B2611" t="s">
        <v>1415</v>
      </c>
      <c r="C2611" t="s">
        <v>2220</v>
      </c>
      <c r="D2611" s="41">
        <v>9</v>
      </c>
      <c r="E2611" s="41">
        <v>2015</v>
      </c>
      <c r="F2611" s="41" t="s">
        <v>4828</v>
      </c>
      <c r="G2611" s="41" t="s">
        <v>5675</v>
      </c>
      <c r="H2611" s="2043">
        <v>100000</v>
      </c>
      <c r="I2611" s="2043">
        <v>60150</v>
      </c>
      <c r="J2611">
        <v>0.600599101347978</v>
      </c>
      <c r="K2611" s="2043">
        <v>60059.910134797799</v>
      </c>
      <c r="L2611" s="2043">
        <v>60059.910134797799</v>
      </c>
      <c r="M2611">
        <v>599</v>
      </c>
      <c r="N2611">
        <v>1</v>
      </c>
    </row>
    <row r="2612" spans="1:14">
      <c r="A2612" t="s">
        <v>3255</v>
      </c>
      <c r="B2612" t="s">
        <v>1415</v>
      </c>
      <c r="C2612" t="s">
        <v>2220</v>
      </c>
      <c r="D2612" s="41">
        <v>10</v>
      </c>
      <c r="E2612" s="41">
        <v>2016</v>
      </c>
      <c r="F2612" s="41" t="s">
        <v>4829</v>
      </c>
      <c r="G2612" s="41" t="s">
        <v>4829</v>
      </c>
      <c r="H2612" s="2043">
        <v>108827</v>
      </c>
      <c r="I2612" s="2043">
        <v>51000</v>
      </c>
      <c r="J2612">
        <v>0.65926395118861403</v>
      </c>
      <c r="K2612" s="2043">
        <v>71745.718016003302</v>
      </c>
      <c r="L2612" s="2043">
        <v>51000</v>
      </c>
      <c r="M2612">
        <v>599</v>
      </c>
      <c r="N2612">
        <v>1</v>
      </c>
    </row>
    <row r="2613" spans="1:14">
      <c r="A2613" t="s">
        <v>3255</v>
      </c>
      <c r="B2613" t="s">
        <v>1415</v>
      </c>
      <c r="C2613" t="s">
        <v>2220</v>
      </c>
      <c r="D2613" s="41">
        <v>10</v>
      </c>
      <c r="E2613" s="41">
        <v>2016</v>
      </c>
      <c r="F2613" s="41" t="s">
        <v>4829</v>
      </c>
      <c r="G2613" s="41" t="s">
        <v>9417</v>
      </c>
      <c r="H2613" s="2043">
        <v>108827</v>
      </c>
      <c r="I2613" s="2043">
        <v>26359</v>
      </c>
      <c r="J2613">
        <v>0.34073604881138603</v>
      </c>
      <c r="K2613" s="2043">
        <v>37081.281983996698</v>
      </c>
      <c r="L2613" s="2043">
        <v>26359</v>
      </c>
      <c r="M2613">
        <v>599</v>
      </c>
      <c r="N2613">
        <v>1</v>
      </c>
    </row>
    <row r="2614" spans="1:14">
      <c r="A2614" t="s">
        <v>3256</v>
      </c>
      <c r="B2614" t="s">
        <v>1975</v>
      </c>
      <c r="C2614" t="s">
        <v>794</v>
      </c>
      <c r="D2614" s="41">
        <v>1</v>
      </c>
      <c r="E2614" s="41">
        <v>2047</v>
      </c>
      <c r="F2614" s="41" t="s">
        <v>4830</v>
      </c>
      <c r="G2614" s="41" t="s">
        <v>4830</v>
      </c>
      <c r="H2614" s="2043">
        <v>412085</v>
      </c>
      <c r="I2614" s="2043">
        <v>0</v>
      </c>
      <c r="J2614">
        <v>0</v>
      </c>
      <c r="K2614" s="2043">
        <v>0</v>
      </c>
      <c r="L2614" s="2043">
        <v>0</v>
      </c>
      <c r="M2614">
        <v>199</v>
      </c>
      <c r="N2614">
        <v>0</v>
      </c>
    </row>
    <row r="2615" spans="1:14">
      <c r="A2615" t="s">
        <v>3256</v>
      </c>
      <c r="B2615" t="s">
        <v>1975</v>
      </c>
      <c r="C2615" t="s">
        <v>794</v>
      </c>
      <c r="D2615" s="41">
        <v>1</v>
      </c>
      <c r="E2615" s="41">
        <v>2047</v>
      </c>
      <c r="F2615" s="41" t="s">
        <v>4830</v>
      </c>
      <c r="G2615" s="41" t="s">
        <v>4831</v>
      </c>
      <c r="H2615" s="2043">
        <v>412085</v>
      </c>
      <c r="I2615" s="2043">
        <v>419241</v>
      </c>
      <c r="J2615">
        <v>1</v>
      </c>
      <c r="K2615" s="2043">
        <v>412085</v>
      </c>
      <c r="L2615" s="2043">
        <v>412085</v>
      </c>
      <c r="M2615">
        <v>599</v>
      </c>
      <c r="N2615">
        <v>1</v>
      </c>
    </row>
    <row r="2616" spans="1:14">
      <c r="A2616" t="s">
        <v>3256</v>
      </c>
      <c r="B2616" t="s">
        <v>1975</v>
      </c>
      <c r="C2616" t="s">
        <v>794</v>
      </c>
      <c r="D2616" s="41">
        <v>6</v>
      </c>
      <c r="E2616" s="41">
        <v>2046</v>
      </c>
      <c r="F2616" s="41" t="s">
        <v>4832</v>
      </c>
      <c r="G2616" s="41" t="s">
        <v>4832</v>
      </c>
      <c r="H2616" s="2043">
        <v>342241</v>
      </c>
      <c r="I2616" s="2043">
        <v>0</v>
      </c>
      <c r="J2616">
        <v>0</v>
      </c>
      <c r="K2616" s="2043">
        <v>0</v>
      </c>
      <c r="L2616" s="2043">
        <v>0</v>
      </c>
      <c r="M2616">
        <v>599</v>
      </c>
      <c r="N2616">
        <v>0</v>
      </c>
    </row>
    <row r="2617" spans="1:14">
      <c r="A2617" t="s">
        <v>3256</v>
      </c>
      <c r="B2617" t="s">
        <v>1975</v>
      </c>
      <c r="C2617" t="s">
        <v>794</v>
      </c>
      <c r="D2617" s="41">
        <v>6</v>
      </c>
      <c r="E2617" s="41">
        <v>2046</v>
      </c>
      <c r="F2617" s="41" t="s">
        <v>4832</v>
      </c>
      <c r="G2617" s="41" t="s">
        <v>4833</v>
      </c>
      <c r="H2617" s="2043">
        <v>342241</v>
      </c>
      <c r="I2617" s="2043">
        <v>0</v>
      </c>
      <c r="J2617">
        <v>0</v>
      </c>
      <c r="K2617" s="2043">
        <v>0</v>
      </c>
      <c r="L2617" s="2043">
        <v>0</v>
      </c>
      <c r="M2617">
        <v>599</v>
      </c>
      <c r="N2617">
        <v>1</v>
      </c>
    </row>
    <row r="2618" spans="1:14">
      <c r="A2618" t="s">
        <v>3256</v>
      </c>
      <c r="B2618" t="s">
        <v>1975</v>
      </c>
      <c r="C2618" t="s">
        <v>794</v>
      </c>
      <c r="D2618" s="41">
        <v>6</v>
      </c>
      <c r="E2618" s="41">
        <v>2046</v>
      </c>
      <c r="F2618" s="41" t="s">
        <v>4832</v>
      </c>
      <c r="G2618" s="41" t="s">
        <v>7317</v>
      </c>
      <c r="H2618" s="2043">
        <v>342241</v>
      </c>
      <c r="I2618" s="2043">
        <v>245100</v>
      </c>
      <c r="J2618">
        <v>1</v>
      </c>
      <c r="K2618" s="2043">
        <v>342241</v>
      </c>
      <c r="L2618" s="2043">
        <v>245100</v>
      </c>
      <c r="M2618">
        <v>599</v>
      </c>
      <c r="N2618">
        <v>1</v>
      </c>
    </row>
    <row r="2619" spans="1:14">
      <c r="A2619" t="s">
        <v>3257</v>
      </c>
      <c r="B2619" t="s">
        <v>403</v>
      </c>
      <c r="C2619" t="s">
        <v>76</v>
      </c>
      <c r="D2619" s="41">
        <v>2</v>
      </c>
      <c r="E2619" s="41">
        <v>2228</v>
      </c>
      <c r="F2619" s="41" t="s">
        <v>4834</v>
      </c>
      <c r="G2619" s="41" t="s">
        <v>4834</v>
      </c>
      <c r="H2619" s="2043">
        <v>679270</v>
      </c>
      <c r="I2619" s="2043">
        <v>0</v>
      </c>
      <c r="J2619">
        <v>0</v>
      </c>
      <c r="K2619" s="2043">
        <v>0</v>
      </c>
      <c r="L2619" s="2043">
        <v>0</v>
      </c>
      <c r="M2619">
        <v>599</v>
      </c>
      <c r="N2619">
        <v>0</v>
      </c>
    </row>
    <row r="2620" spans="1:14">
      <c r="A2620" t="s">
        <v>3257</v>
      </c>
      <c r="B2620" t="s">
        <v>403</v>
      </c>
      <c r="C2620" t="s">
        <v>76</v>
      </c>
      <c r="D2620" s="41">
        <v>2</v>
      </c>
      <c r="E2620" s="41">
        <v>2228</v>
      </c>
      <c r="F2620" s="41" t="s">
        <v>4834</v>
      </c>
      <c r="G2620" s="41" t="s">
        <v>4835</v>
      </c>
      <c r="H2620" s="2043">
        <v>679270</v>
      </c>
      <c r="I2620" s="2043">
        <v>0</v>
      </c>
      <c r="J2620">
        <v>0</v>
      </c>
      <c r="K2620" s="2043">
        <v>0</v>
      </c>
      <c r="L2620" s="2043">
        <v>0</v>
      </c>
      <c r="M2620">
        <v>599</v>
      </c>
      <c r="N2620">
        <v>0</v>
      </c>
    </row>
    <row r="2621" spans="1:14">
      <c r="A2621" t="s">
        <v>3257</v>
      </c>
      <c r="B2621" t="s">
        <v>403</v>
      </c>
      <c r="C2621" t="s">
        <v>76</v>
      </c>
      <c r="D2621" s="41">
        <v>2</v>
      </c>
      <c r="E2621" s="41">
        <v>2228</v>
      </c>
      <c r="F2621" s="41" t="s">
        <v>4834</v>
      </c>
      <c r="G2621" s="41" t="s">
        <v>4836</v>
      </c>
      <c r="H2621" s="2043">
        <v>679270</v>
      </c>
      <c r="I2621" s="2043">
        <v>653013</v>
      </c>
      <c r="J2621">
        <v>1</v>
      </c>
      <c r="K2621" s="2043">
        <v>679270</v>
      </c>
      <c r="L2621" s="2043">
        <v>653013</v>
      </c>
      <c r="M2621">
        <v>599</v>
      </c>
      <c r="N2621">
        <v>1</v>
      </c>
    </row>
    <row r="2622" spans="1:14">
      <c r="A2622" t="s">
        <v>3257</v>
      </c>
      <c r="B2622" t="s">
        <v>403</v>
      </c>
      <c r="C2622" t="s">
        <v>76</v>
      </c>
      <c r="D2622" s="41">
        <v>2</v>
      </c>
      <c r="E2622" s="41">
        <v>2228</v>
      </c>
      <c r="F2622" s="41" t="s">
        <v>4834</v>
      </c>
      <c r="G2622" s="41" t="s">
        <v>5502</v>
      </c>
      <c r="H2622" s="2043">
        <v>679270</v>
      </c>
      <c r="I2622" s="2043">
        <v>0</v>
      </c>
      <c r="J2622">
        <v>0</v>
      </c>
      <c r="K2622" s="2043">
        <v>0</v>
      </c>
      <c r="L2622" s="2043">
        <v>0</v>
      </c>
      <c r="M2622">
        <v>599</v>
      </c>
      <c r="N2622">
        <v>1</v>
      </c>
    </row>
    <row r="2623" spans="1:14">
      <c r="A2623" t="s">
        <v>3257</v>
      </c>
      <c r="B2623" t="s">
        <v>403</v>
      </c>
      <c r="C2623" t="s">
        <v>76</v>
      </c>
      <c r="D2623" s="41">
        <v>3</v>
      </c>
      <c r="E2623" s="41">
        <v>2226</v>
      </c>
      <c r="F2623" s="41" t="s">
        <v>4837</v>
      </c>
      <c r="G2623" s="41" t="s">
        <v>4837</v>
      </c>
      <c r="H2623" s="2043">
        <v>415048</v>
      </c>
      <c r="I2623" s="2043">
        <v>0</v>
      </c>
      <c r="J2623">
        <v>0</v>
      </c>
      <c r="K2623" s="2043">
        <v>0</v>
      </c>
      <c r="L2623" s="2043">
        <v>0</v>
      </c>
      <c r="M2623">
        <v>599</v>
      </c>
      <c r="N2623">
        <v>0</v>
      </c>
    </row>
    <row r="2624" spans="1:14">
      <c r="A2624" t="s">
        <v>3257</v>
      </c>
      <c r="B2624" t="s">
        <v>403</v>
      </c>
      <c r="C2624" t="s">
        <v>76</v>
      </c>
      <c r="D2624" s="41">
        <v>3</v>
      </c>
      <c r="E2624" s="41">
        <v>2226</v>
      </c>
      <c r="F2624" s="41" t="s">
        <v>4837</v>
      </c>
      <c r="G2624" s="41" t="s">
        <v>4835</v>
      </c>
      <c r="H2624" s="2043">
        <v>415048</v>
      </c>
      <c r="I2624" s="2043">
        <v>0</v>
      </c>
      <c r="J2624">
        <v>0</v>
      </c>
      <c r="K2624" s="2043">
        <v>0</v>
      </c>
      <c r="L2624" s="2043">
        <v>0</v>
      </c>
      <c r="M2624">
        <v>599</v>
      </c>
      <c r="N2624">
        <v>0</v>
      </c>
    </row>
    <row r="2625" spans="1:14">
      <c r="A2625" t="s">
        <v>3257</v>
      </c>
      <c r="B2625" t="s">
        <v>403</v>
      </c>
      <c r="C2625" t="s">
        <v>76</v>
      </c>
      <c r="D2625" s="41">
        <v>3</v>
      </c>
      <c r="E2625" s="41">
        <v>2226</v>
      </c>
      <c r="F2625" s="41" t="s">
        <v>4837</v>
      </c>
      <c r="G2625" s="41" t="s">
        <v>5502</v>
      </c>
      <c r="H2625" s="2043">
        <v>415048</v>
      </c>
      <c r="I2625" s="2043">
        <v>356788</v>
      </c>
      <c r="J2625">
        <v>1</v>
      </c>
      <c r="K2625" s="2043">
        <v>415048</v>
      </c>
      <c r="L2625" s="2043">
        <v>356788</v>
      </c>
      <c r="M2625">
        <v>599</v>
      </c>
      <c r="N2625">
        <v>1</v>
      </c>
    </row>
    <row r="2626" spans="1:14">
      <c r="A2626" t="s">
        <v>3257</v>
      </c>
      <c r="B2626" t="s">
        <v>403</v>
      </c>
      <c r="C2626" t="s">
        <v>76</v>
      </c>
      <c r="D2626" s="41">
        <v>5</v>
      </c>
      <c r="E2626" s="41">
        <v>2225</v>
      </c>
      <c r="F2626" s="41" t="s">
        <v>4838</v>
      </c>
      <c r="G2626" s="41" t="s">
        <v>4838</v>
      </c>
      <c r="H2626" s="2043">
        <v>198867</v>
      </c>
      <c r="I2626" s="2043">
        <v>0</v>
      </c>
      <c r="J2626">
        <v>0</v>
      </c>
      <c r="K2626" s="2043">
        <v>0</v>
      </c>
      <c r="L2626" s="2043">
        <v>0</v>
      </c>
      <c r="M2626">
        <v>599</v>
      </c>
      <c r="N2626">
        <v>0</v>
      </c>
    </row>
    <row r="2627" spans="1:14">
      <c r="A2627" t="s">
        <v>3257</v>
      </c>
      <c r="B2627" t="s">
        <v>403</v>
      </c>
      <c r="C2627" t="s">
        <v>76</v>
      </c>
      <c r="D2627" s="41">
        <v>5</v>
      </c>
      <c r="E2627" s="41">
        <v>2225</v>
      </c>
      <c r="F2627" s="41" t="s">
        <v>4838</v>
      </c>
      <c r="G2627" s="41" t="s">
        <v>4835</v>
      </c>
      <c r="H2627" s="2043">
        <v>198867</v>
      </c>
      <c r="I2627" s="2043">
        <v>0</v>
      </c>
      <c r="J2627">
        <v>0</v>
      </c>
      <c r="K2627" s="2043">
        <v>0</v>
      </c>
      <c r="L2627" s="2043">
        <v>0</v>
      </c>
      <c r="M2627">
        <v>599</v>
      </c>
      <c r="N2627">
        <v>0</v>
      </c>
    </row>
    <row r="2628" spans="1:14">
      <c r="A2628" t="s">
        <v>3257</v>
      </c>
      <c r="B2628" t="s">
        <v>403</v>
      </c>
      <c r="C2628" t="s">
        <v>76</v>
      </c>
      <c r="D2628" s="41">
        <v>5</v>
      </c>
      <c r="E2628" s="41">
        <v>2225</v>
      </c>
      <c r="F2628" s="41" t="s">
        <v>4838</v>
      </c>
      <c r="G2628" s="41" t="s">
        <v>4839</v>
      </c>
      <c r="H2628" s="2043">
        <v>198867</v>
      </c>
      <c r="I2628" s="2043">
        <v>46199</v>
      </c>
      <c r="J2628">
        <v>0.30595566858058698</v>
      </c>
      <c r="K2628" s="2043">
        <v>60844.485943615502</v>
      </c>
      <c r="L2628" s="2043">
        <v>46199</v>
      </c>
      <c r="M2628">
        <v>599</v>
      </c>
      <c r="N2628">
        <v>1</v>
      </c>
    </row>
    <row r="2629" spans="1:14">
      <c r="A2629" t="s">
        <v>3257</v>
      </c>
      <c r="B2629" t="s">
        <v>403</v>
      </c>
      <c r="C2629" t="s">
        <v>76</v>
      </c>
      <c r="D2629" s="41">
        <v>5</v>
      </c>
      <c r="E2629" s="41">
        <v>2225</v>
      </c>
      <c r="F2629" s="41" t="s">
        <v>4838</v>
      </c>
      <c r="G2629" s="41" t="s">
        <v>5502</v>
      </c>
      <c r="H2629" s="2043">
        <v>198867</v>
      </c>
      <c r="I2629" s="2043">
        <v>104800</v>
      </c>
      <c r="J2629">
        <v>0.69404433141941302</v>
      </c>
      <c r="K2629" s="2043">
        <v>138022.51405638401</v>
      </c>
      <c r="L2629" s="2043">
        <v>104800</v>
      </c>
      <c r="M2629">
        <v>599</v>
      </c>
      <c r="N2629">
        <v>1</v>
      </c>
    </row>
    <row r="2630" spans="1:14">
      <c r="A2630" t="s">
        <v>3257</v>
      </c>
      <c r="B2630" t="s">
        <v>403</v>
      </c>
      <c r="C2630" t="s">
        <v>76</v>
      </c>
      <c r="D2630" s="41">
        <v>9</v>
      </c>
      <c r="E2630" s="41">
        <v>2227</v>
      </c>
      <c r="F2630" s="41" t="s">
        <v>4840</v>
      </c>
      <c r="G2630" s="41" t="s">
        <v>4840</v>
      </c>
      <c r="H2630" s="2043">
        <v>540475</v>
      </c>
      <c r="I2630" s="2043">
        <v>0</v>
      </c>
      <c r="J2630">
        <v>0</v>
      </c>
      <c r="K2630" s="2043">
        <v>0</v>
      </c>
      <c r="L2630" s="2043">
        <v>0</v>
      </c>
      <c r="M2630">
        <v>599</v>
      </c>
      <c r="N2630">
        <v>1</v>
      </c>
    </row>
    <row r="2631" spans="1:14">
      <c r="A2631" t="s">
        <v>3257</v>
      </c>
      <c r="B2631" t="s">
        <v>403</v>
      </c>
      <c r="C2631" t="s">
        <v>76</v>
      </c>
      <c r="D2631" s="41">
        <v>9</v>
      </c>
      <c r="E2631" s="41">
        <v>2227</v>
      </c>
      <c r="F2631" s="41" t="s">
        <v>4840</v>
      </c>
      <c r="G2631" s="41" t="s">
        <v>5676</v>
      </c>
      <c r="H2631" s="2043">
        <v>540475</v>
      </c>
      <c r="I2631" s="2043">
        <v>546800</v>
      </c>
      <c r="J2631">
        <v>1</v>
      </c>
      <c r="K2631" s="2043">
        <v>540475</v>
      </c>
      <c r="L2631" s="2043">
        <v>540475</v>
      </c>
      <c r="M2631">
        <v>599</v>
      </c>
      <c r="N2631">
        <v>1</v>
      </c>
    </row>
    <row r="2632" spans="1:14">
      <c r="A2632" t="s">
        <v>3258</v>
      </c>
      <c r="B2632" t="s">
        <v>264</v>
      </c>
      <c r="C2632" t="s">
        <v>501</v>
      </c>
      <c r="D2632" s="41">
        <v>6</v>
      </c>
      <c r="E2632" s="41">
        <v>2300</v>
      </c>
      <c r="F2632" s="41" t="s">
        <v>4841</v>
      </c>
      <c r="G2632" s="41" t="s">
        <v>4841</v>
      </c>
      <c r="H2632" s="2043">
        <v>99319</v>
      </c>
      <c r="I2632" s="2043">
        <v>0</v>
      </c>
      <c r="J2632">
        <v>0</v>
      </c>
      <c r="K2632" s="2043">
        <v>0</v>
      </c>
      <c r="L2632" s="2043">
        <v>0</v>
      </c>
      <c r="M2632">
        <v>599</v>
      </c>
      <c r="N2632">
        <v>0</v>
      </c>
    </row>
    <row r="2633" spans="1:14">
      <c r="A2633" t="s">
        <v>3258</v>
      </c>
      <c r="B2633" t="s">
        <v>264</v>
      </c>
      <c r="C2633" t="s">
        <v>501</v>
      </c>
      <c r="D2633" s="41">
        <v>6</v>
      </c>
      <c r="E2633" s="41">
        <v>2300</v>
      </c>
      <c r="F2633" s="41" t="s">
        <v>4841</v>
      </c>
      <c r="G2633" s="41" t="s">
        <v>4842</v>
      </c>
      <c r="H2633" s="2043">
        <v>99319</v>
      </c>
      <c r="I2633" s="2043">
        <v>87250</v>
      </c>
      <c r="J2633">
        <v>1</v>
      </c>
      <c r="K2633" s="2043">
        <v>99319</v>
      </c>
      <c r="L2633" s="2043">
        <v>87250</v>
      </c>
      <c r="M2633">
        <v>599</v>
      </c>
      <c r="N2633">
        <v>1</v>
      </c>
    </row>
    <row r="2634" spans="1:14">
      <c r="A2634" t="s">
        <v>3258</v>
      </c>
      <c r="B2634" t="s">
        <v>264</v>
      </c>
      <c r="C2634" t="s">
        <v>501</v>
      </c>
      <c r="D2634" s="41">
        <v>9</v>
      </c>
      <c r="E2634" s="41">
        <v>2301</v>
      </c>
      <c r="F2634" s="41" t="s">
        <v>4843</v>
      </c>
      <c r="G2634" s="41" t="s">
        <v>4843</v>
      </c>
      <c r="H2634" s="2043">
        <v>100000</v>
      </c>
      <c r="I2634" s="2043">
        <v>0</v>
      </c>
      <c r="J2634">
        <v>0</v>
      </c>
      <c r="K2634" s="2043">
        <v>0</v>
      </c>
      <c r="L2634" s="2043">
        <v>0</v>
      </c>
      <c r="M2634">
        <v>599</v>
      </c>
      <c r="N2634">
        <v>1</v>
      </c>
    </row>
    <row r="2635" spans="1:14">
      <c r="A2635" t="s">
        <v>3258</v>
      </c>
      <c r="B2635" t="s">
        <v>264</v>
      </c>
      <c r="C2635" t="s">
        <v>501</v>
      </c>
      <c r="D2635" s="41">
        <v>9</v>
      </c>
      <c r="E2635" s="41">
        <v>2301</v>
      </c>
      <c r="F2635" s="41" t="s">
        <v>4843</v>
      </c>
      <c r="G2635" s="41" t="s">
        <v>5677</v>
      </c>
      <c r="H2635" s="2043">
        <v>100000</v>
      </c>
      <c r="I2635" s="2043">
        <v>145433</v>
      </c>
      <c r="J2635">
        <v>1</v>
      </c>
      <c r="K2635" s="2043">
        <v>100000</v>
      </c>
      <c r="L2635" s="2043">
        <v>100000</v>
      </c>
      <c r="M2635">
        <v>599</v>
      </c>
      <c r="N2635">
        <v>1</v>
      </c>
    </row>
    <row r="2636" spans="1:14">
      <c r="A2636" t="s">
        <v>3258</v>
      </c>
      <c r="B2636" t="s">
        <v>264</v>
      </c>
      <c r="C2636" t="s">
        <v>501</v>
      </c>
      <c r="D2636" s="41">
        <v>11</v>
      </c>
      <c r="E2636" s="41">
        <v>2502</v>
      </c>
      <c r="F2636" s="41" t="s">
        <v>7318</v>
      </c>
      <c r="G2636" s="41" t="s">
        <v>7318</v>
      </c>
      <c r="H2636" s="2043">
        <v>100000</v>
      </c>
      <c r="I2636" s="2043">
        <v>151825</v>
      </c>
      <c r="J2636">
        <v>1</v>
      </c>
      <c r="K2636" s="2043">
        <v>100000</v>
      </c>
      <c r="L2636" s="2043">
        <v>100000</v>
      </c>
      <c r="M2636">
        <v>599</v>
      </c>
      <c r="N2636">
        <v>0</v>
      </c>
    </row>
    <row r="2637" spans="1:14">
      <c r="A2637" t="s">
        <v>3259</v>
      </c>
      <c r="B2637" t="s">
        <v>1262</v>
      </c>
      <c r="C2637" t="s">
        <v>100</v>
      </c>
      <c r="D2637" s="41">
        <v>2</v>
      </c>
      <c r="E2637" s="41">
        <v>1813</v>
      </c>
      <c r="F2637" s="41" t="s">
        <v>4844</v>
      </c>
      <c r="G2637" s="41" t="s">
        <v>4844</v>
      </c>
      <c r="H2637" s="2043">
        <v>231000</v>
      </c>
      <c r="I2637" s="2043">
        <v>0</v>
      </c>
      <c r="J2637">
        <v>0</v>
      </c>
      <c r="K2637" s="2043">
        <v>0</v>
      </c>
      <c r="L2637" s="2043">
        <v>0</v>
      </c>
      <c r="M2637">
        <v>599</v>
      </c>
      <c r="N2637">
        <v>0</v>
      </c>
    </row>
    <row r="2638" spans="1:14">
      <c r="A2638" t="s">
        <v>3259</v>
      </c>
      <c r="B2638" t="s">
        <v>1262</v>
      </c>
      <c r="C2638" t="s">
        <v>100</v>
      </c>
      <c r="D2638" s="41">
        <v>2</v>
      </c>
      <c r="E2638" s="41">
        <v>1813</v>
      </c>
      <c r="F2638" s="41" t="s">
        <v>4844</v>
      </c>
      <c r="G2638" s="41" t="s">
        <v>4845</v>
      </c>
      <c r="H2638" s="2043">
        <v>231000</v>
      </c>
      <c r="I2638" s="2043">
        <v>476072</v>
      </c>
      <c r="J2638">
        <v>1</v>
      </c>
      <c r="K2638" s="2043">
        <v>231000</v>
      </c>
      <c r="L2638" s="2043">
        <v>231000</v>
      </c>
      <c r="M2638">
        <v>599</v>
      </c>
      <c r="N2638">
        <v>1</v>
      </c>
    </row>
    <row r="2639" spans="1:14">
      <c r="A2639" t="s">
        <v>3260</v>
      </c>
      <c r="B2639" t="s">
        <v>2437</v>
      </c>
      <c r="C2639" t="s">
        <v>2196</v>
      </c>
      <c r="D2639" s="41">
        <v>1</v>
      </c>
      <c r="E2639" s="41">
        <v>1846</v>
      </c>
      <c r="F2639" s="41" t="s">
        <v>8583</v>
      </c>
      <c r="G2639" s="41" t="s">
        <v>8583</v>
      </c>
      <c r="H2639" s="2043">
        <v>1703750</v>
      </c>
      <c r="I2639" s="2043">
        <v>0</v>
      </c>
      <c r="J2639">
        <v>0</v>
      </c>
      <c r="L2639" s="2043">
        <v>0</v>
      </c>
      <c r="M2639">
        <v>599</v>
      </c>
      <c r="N2639">
        <v>0</v>
      </c>
    </row>
    <row r="2640" spans="1:14">
      <c r="A2640" t="s">
        <v>3261</v>
      </c>
      <c r="B2640" t="s">
        <v>1701</v>
      </c>
      <c r="C2640" t="s">
        <v>963</v>
      </c>
      <c r="D2640" s="41">
        <v>2</v>
      </c>
      <c r="E2640" s="41">
        <v>1859</v>
      </c>
      <c r="F2640" s="41" t="s">
        <v>4846</v>
      </c>
      <c r="G2640" s="41" t="s">
        <v>4846</v>
      </c>
      <c r="H2640" s="2043">
        <v>99992</v>
      </c>
      <c r="I2640" s="2043">
        <v>0</v>
      </c>
      <c r="J2640">
        <v>0</v>
      </c>
      <c r="L2640" s="2043">
        <v>0</v>
      </c>
      <c r="M2640">
        <v>599</v>
      </c>
      <c r="N2640">
        <v>0</v>
      </c>
    </row>
    <row r="2641" spans="1:14">
      <c r="A2641" t="s">
        <v>3261</v>
      </c>
      <c r="B2641" t="s">
        <v>1701</v>
      </c>
      <c r="C2641" t="s">
        <v>963</v>
      </c>
      <c r="D2641" s="41">
        <v>2</v>
      </c>
      <c r="E2641" s="41">
        <v>1859</v>
      </c>
      <c r="F2641" s="41" t="s">
        <v>4846</v>
      </c>
      <c r="G2641" s="41" t="s">
        <v>4847</v>
      </c>
      <c r="H2641" s="2043">
        <v>99992</v>
      </c>
      <c r="I2641" s="2043">
        <v>0</v>
      </c>
      <c r="J2641">
        <v>0</v>
      </c>
      <c r="L2641" s="2043">
        <v>0</v>
      </c>
      <c r="M2641">
        <v>599</v>
      </c>
      <c r="N2641">
        <v>1</v>
      </c>
    </row>
    <row r="2642" spans="1:14">
      <c r="A2642" t="s">
        <v>3262</v>
      </c>
      <c r="B2642" t="s">
        <v>38</v>
      </c>
      <c r="C2642" t="s">
        <v>1194</v>
      </c>
      <c r="D2642" s="41">
        <v>3</v>
      </c>
      <c r="E2642" s="41">
        <v>1921</v>
      </c>
      <c r="F2642" s="41" t="s">
        <v>4848</v>
      </c>
      <c r="G2642" s="41" t="s">
        <v>4848</v>
      </c>
      <c r="H2642" s="2043">
        <v>502075</v>
      </c>
      <c r="I2642" s="2043">
        <v>975280</v>
      </c>
      <c r="J2642">
        <v>0.95064961902079004</v>
      </c>
      <c r="K2642" s="2043">
        <v>477297.40746986301</v>
      </c>
      <c r="L2642" s="2043">
        <v>477297.40746986301</v>
      </c>
      <c r="M2642">
        <v>599</v>
      </c>
      <c r="N2642">
        <v>1</v>
      </c>
    </row>
    <row r="2643" spans="1:14">
      <c r="A2643" t="s">
        <v>3262</v>
      </c>
      <c r="B2643" t="s">
        <v>38</v>
      </c>
      <c r="C2643" t="s">
        <v>1194</v>
      </c>
      <c r="D2643" s="41">
        <v>3</v>
      </c>
      <c r="E2643" s="41">
        <v>1921</v>
      </c>
      <c r="F2643" s="41" t="s">
        <v>4848</v>
      </c>
      <c r="G2643" s="41" t="s">
        <v>4849</v>
      </c>
      <c r="H2643" s="2043">
        <v>502075</v>
      </c>
      <c r="I2643" s="2043">
        <v>0</v>
      </c>
      <c r="J2643">
        <v>0</v>
      </c>
      <c r="K2643" s="2043">
        <v>0</v>
      </c>
      <c r="L2643" s="2043">
        <v>0</v>
      </c>
      <c r="M2643">
        <v>599</v>
      </c>
      <c r="N2643">
        <v>0</v>
      </c>
    </row>
    <row r="2644" spans="1:14">
      <c r="A2644" t="s">
        <v>3262</v>
      </c>
      <c r="B2644" t="s">
        <v>38</v>
      </c>
      <c r="C2644" t="s">
        <v>1194</v>
      </c>
      <c r="D2644" s="41">
        <v>3</v>
      </c>
      <c r="E2644" s="41">
        <v>1921</v>
      </c>
      <c r="F2644" s="41" t="s">
        <v>4848</v>
      </c>
      <c r="G2644" s="41" t="s">
        <v>4850</v>
      </c>
      <c r="H2644" s="2043">
        <v>502075</v>
      </c>
      <c r="I2644" s="2043">
        <v>50629</v>
      </c>
      <c r="J2644">
        <v>4.9350380979209699E-2</v>
      </c>
      <c r="K2644" s="2043">
        <v>24777.592530136699</v>
      </c>
      <c r="L2644" s="2043">
        <v>24777.592530136699</v>
      </c>
      <c r="M2644">
        <v>599</v>
      </c>
      <c r="N2644">
        <v>1</v>
      </c>
    </row>
    <row r="2645" spans="1:14">
      <c r="A2645" t="s">
        <v>3262</v>
      </c>
      <c r="B2645" t="s">
        <v>38</v>
      </c>
      <c r="C2645" t="s">
        <v>1194</v>
      </c>
      <c r="D2645" s="41">
        <v>9</v>
      </c>
      <c r="E2645" s="41">
        <v>1922</v>
      </c>
      <c r="F2645" s="41" t="s">
        <v>4851</v>
      </c>
      <c r="G2645" s="41" t="s">
        <v>4851</v>
      </c>
      <c r="H2645" s="2043">
        <v>1273250</v>
      </c>
      <c r="I2645" s="2043">
        <v>0</v>
      </c>
      <c r="J2645">
        <v>0</v>
      </c>
      <c r="K2645" s="2043">
        <v>0</v>
      </c>
      <c r="L2645" s="2043">
        <v>0</v>
      </c>
      <c r="M2645">
        <v>599</v>
      </c>
      <c r="N2645">
        <v>1</v>
      </c>
    </row>
    <row r="2646" spans="1:14">
      <c r="A2646" t="s">
        <v>3262</v>
      </c>
      <c r="B2646" t="s">
        <v>38</v>
      </c>
      <c r="C2646" t="s">
        <v>1194</v>
      </c>
      <c r="D2646" s="41">
        <v>9</v>
      </c>
      <c r="E2646" s="41">
        <v>1922</v>
      </c>
      <c r="F2646" s="41" t="s">
        <v>4851</v>
      </c>
      <c r="G2646" s="41" t="s">
        <v>4852</v>
      </c>
      <c r="H2646" s="2043">
        <v>1273250</v>
      </c>
      <c r="I2646" s="2043">
        <v>12668</v>
      </c>
      <c r="J2646">
        <v>9.4104852476455201E-3</v>
      </c>
      <c r="K2646" s="2043">
        <v>11981.9003415647</v>
      </c>
      <c r="L2646" s="2043">
        <v>11981.9003415647</v>
      </c>
      <c r="M2646">
        <v>599</v>
      </c>
      <c r="N2646">
        <v>1</v>
      </c>
    </row>
    <row r="2647" spans="1:14">
      <c r="A2647" t="s">
        <v>3262</v>
      </c>
      <c r="B2647" t="s">
        <v>38</v>
      </c>
      <c r="C2647" t="s">
        <v>1194</v>
      </c>
      <c r="D2647" s="41">
        <v>9</v>
      </c>
      <c r="E2647" s="41">
        <v>1922</v>
      </c>
      <c r="F2647" s="41" t="s">
        <v>4851</v>
      </c>
      <c r="G2647" s="41" t="s">
        <v>5503</v>
      </c>
      <c r="H2647" s="2043">
        <v>1273250</v>
      </c>
      <c r="I2647" s="2043">
        <v>1115152</v>
      </c>
      <c r="J2647">
        <v>0.82839607237783397</v>
      </c>
      <c r="K2647" s="2043">
        <v>1054755.29915508</v>
      </c>
      <c r="L2647" s="2043">
        <v>1054755.29915508</v>
      </c>
      <c r="M2647">
        <v>599</v>
      </c>
      <c r="N2647">
        <v>1</v>
      </c>
    </row>
    <row r="2648" spans="1:14">
      <c r="A2648" t="s">
        <v>3262</v>
      </c>
      <c r="B2648" t="s">
        <v>38</v>
      </c>
      <c r="C2648" t="s">
        <v>1194</v>
      </c>
      <c r="D2648" s="41">
        <v>9</v>
      </c>
      <c r="E2648" s="41">
        <v>1922</v>
      </c>
      <c r="F2648" s="41" t="s">
        <v>4851</v>
      </c>
      <c r="G2648" s="41" t="s">
        <v>5678</v>
      </c>
      <c r="H2648" s="2043">
        <v>1273250</v>
      </c>
      <c r="I2648" s="2043">
        <v>218338</v>
      </c>
      <c r="J2648">
        <v>0.16219344237452099</v>
      </c>
      <c r="K2648" s="2043">
        <v>206512.80050335801</v>
      </c>
      <c r="L2648" s="2043">
        <v>206512.80050335801</v>
      </c>
      <c r="M2648">
        <v>599</v>
      </c>
      <c r="N2648">
        <v>1</v>
      </c>
    </row>
    <row r="2649" spans="1:14">
      <c r="A2649" t="s">
        <v>3263</v>
      </c>
      <c r="B2649" t="s">
        <v>1674</v>
      </c>
      <c r="C2649" t="s">
        <v>2328</v>
      </c>
      <c r="D2649" s="41">
        <v>1</v>
      </c>
      <c r="E2649" s="41">
        <v>2020</v>
      </c>
      <c r="F2649" s="41" t="s">
        <v>4853</v>
      </c>
      <c r="G2649" s="41" t="s">
        <v>4853</v>
      </c>
      <c r="H2649" s="2043">
        <v>293067</v>
      </c>
      <c r="I2649" s="2043">
        <v>0</v>
      </c>
      <c r="J2649">
        <v>0</v>
      </c>
      <c r="K2649" s="2043">
        <v>0</v>
      </c>
      <c r="L2649" s="2043">
        <v>0</v>
      </c>
      <c r="M2649">
        <v>599</v>
      </c>
      <c r="N2649">
        <v>0</v>
      </c>
    </row>
    <row r="2650" spans="1:14">
      <c r="A2650" t="s">
        <v>3263</v>
      </c>
      <c r="B2650" t="s">
        <v>1674</v>
      </c>
      <c r="C2650" t="s">
        <v>2328</v>
      </c>
      <c r="D2650" s="41">
        <v>1</v>
      </c>
      <c r="E2650" s="41">
        <v>2020</v>
      </c>
      <c r="F2650" s="41" t="s">
        <v>4853</v>
      </c>
      <c r="G2650" s="41" t="s">
        <v>4854</v>
      </c>
      <c r="H2650" s="2043">
        <v>293067</v>
      </c>
      <c r="I2650" s="2043">
        <v>0</v>
      </c>
      <c r="J2650">
        <v>0</v>
      </c>
      <c r="K2650" s="2043">
        <v>0</v>
      </c>
      <c r="L2650" s="2043">
        <v>0</v>
      </c>
      <c r="M2650">
        <v>599</v>
      </c>
      <c r="N2650">
        <v>0</v>
      </c>
    </row>
    <row r="2651" spans="1:14">
      <c r="A2651" t="s">
        <v>3263</v>
      </c>
      <c r="B2651" t="s">
        <v>1674</v>
      </c>
      <c r="C2651" t="s">
        <v>2328</v>
      </c>
      <c r="D2651" s="41">
        <v>1</v>
      </c>
      <c r="E2651" s="41">
        <v>2020</v>
      </c>
      <c r="F2651" s="41" t="s">
        <v>4853</v>
      </c>
      <c r="G2651" s="41" t="s">
        <v>4855</v>
      </c>
      <c r="H2651" s="2043">
        <v>293067</v>
      </c>
      <c r="I2651" s="2043">
        <v>44512</v>
      </c>
      <c r="J2651">
        <v>4.7259928545264403E-2</v>
      </c>
      <c r="K2651" s="2043">
        <v>13850.325478975001</v>
      </c>
      <c r="L2651" s="2043">
        <v>13850.325478975001</v>
      </c>
      <c r="M2651">
        <v>599</v>
      </c>
      <c r="N2651">
        <v>1</v>
      </c>
    </row>
    <row r="2652" spans="1:14">
      <c r="A2652" t="s">
        <v>3263</v>
      </c>
      <c r="B2652" t="s">
        <v>1674</v>
      </c>
      <c r="C2652" t="s">
        <v>2328</v>
      </c>
      <c r="D2652" s="41">
        <v>1</v>
      </c>
      <c r="E2652" s="41">
        <v>2020</v>
      </c>
      <c r="F2652" s="41" t="s">
        <v>4853</v>
      </c>
      <c r="G2652" s="41" t="s">
        <v>4856</v>
      </c>
      <c r="H2652" s="2043">
        <v>293067</v>
      </c>
      <c r="I2652" s="2043">
        <v>778286</v>
      </c>
      <c r="J2652">
        <v>0.82633314045155604</v>
      </c>
      <c r="K2652" s="2043">
        <v>242170.97447271601</v>
      </c>
      <c r="L2652" s="2043">
        <v>242170.97447271601</v>
      </c>
      <c r="M2652">
        <v>599</v>
      </c>
      <c r="N2652">
        <v>1</v>
      </c>
    </row>
    <row r="2653" spans="1:14">
      <c r="A2653" t="s">
        <v>3263</v>
      </c>
      <c r="B2653" t="s">
        <v>1674</v>
      </c>
      <c r="C2653" t="s">
        <v>2328</v>
      </c>
      <c r="D2653" s="41">
        <v>1</v>
      </c>
      <c r="E2653" s="41">
        <v>2020</v>
      </c>
      <c r="F2653" s="41" t="s">
        <v>4853</v>
      </c>
      <c r="G2653" s="41" t="s">
        <v>5504</v>
      </c>
      <c r="H2653" s="2043">
        <v>293067</v>
      </c>
      <c r="I2653" s="2043">
        <v>499</v>
      </c>
      <c r="J2653">
        <v>5.29805543316116E-4</v>
      </c>
      <c r="K2653" s="2043">
        <v>155.26852116302399</v>
      </c>
      <c r="L2653" s="2043">
        <v>155.26852116302399</v>
      </c>
      <c r="M2653">
        <v>599</v>
      </c>
      <c r="N2653">
        <v>1</v>
      </c>
    </row>
    <row r="2654" spans="1:14">
      <c r="A2654" t="s">
        <v>3263</v>
      </c>
      <c r="B2654" t="s">
        <v>1674</v>
      </c>
      <c r="C2654" t="s">
        <v>2328</v>
      </c>
      <c r="D2654" s="41">
        <v>1</v>
      </c>
      <c r="E2654" s="41">
        <v>2020</v>
      </c>
      <c r="F2654" s="41" t="s">
        <v>4853</v>
      </c>
      <c r="G2654" s="41" t="s">
        <v>7342</v>
      </c>
      <c r="H2654" s="2043">
        <v>293067</v>
      </c>
      <c r="I2654" s="2043">
        <v>44852</v>
      </c>
      <c r="J2654">
        <v>4.7620918294217301E-2</v>
      </c>
      <c r="K2654" s="2043">
        <v>13956.1196617314</v>
      </c>
      <c r="L2654" s="2043">
        <v>13956.1196617314</v>
      </c>
      <c r="M2654">
        <v>599</v>
      </c>
      <c r="N2654">
        <v>1</v>
      </c>
    </row>
    <row r="2655" spans="1:14">
      <c r="A2655" t="s">
        <v>3263</v>
      </c>
      <c r="B2655" t="s">
        <v>1674</v>
      </c>
      <c r="C2655" t="s">
        <v>2328</v>
      </c>
      <c r="D2655" s="41">
        <v>1</v>
      </c>
      <c r="E2655" s="41">
        <v>2020</v>
      </c>
      <c r="F2655" s="41" t="s">
        <v>4853</v>
      </c>
      <c r="G2655" s="41" t="s">
        <v>8655</v>
      </c>
      <c r="H2655" s="2043">
        <v>293067</v>
      </c>
      <c r="I2655" s="2043">
        <v>73706</v>
      </c>
      <c r="J2655">
        <v>7.8256207165646505E-2</v>
      </c>
      <c r="K2655" s="2043">
        <v>22934.3118654145</v>
      </c>
      <c r="L2655" s="2043">
        <v>22934.3118654145</v>
      </c>
      <c r="M2655">
        <v>599</v>
      </c>
      <c r="N2655">
        <v>1</v>
      </c>
    </row>
    <row r="2656" spans="1:14">
      <c r="A2656" t="s">
        <v>4857</v>
      </c>
      <c r="B2656" t="s">
        <v>1234</v>
      </c>
      <c r="C2656" t="s">
        <v>574</v>
      </c>
      <c r="D2656" s="41">
        <v>2</v>
      </c>
      <c r="E2656" s="41">
        <v>2266</v>
      </c>
      <c r="F2656" s="41" t="s">
        <v>4858</v>
      </c>
      <c r="G2656" s="41" t="s">
        <v>4858</v>
      </c>
      <c r="H2656" s="2043">
        <v>4872062</v>
      </c>
      <c r="I2656" s="2043">
        <v>0</v>
      </c>
      <c r="J2656">
        <v>0</v>
      </c>
      <c r="L2656" s="2043">
        <v>0</v>
      </c>
      <c r="M2656">
        <v>599</v>
      </c>
      <c r="N2656">
        <v>0</v>
      </c>
    </row>
    <row r="2657" spans="1:14">
      <c r="A2657" t="s">
        <v>3264</v>
      </c>
      <c r="B2657" t="s">
        <v>1455</v>
      </c>
      <c r="C2657" t="s">
        <v>565</v>
      </c>
      <c r="D2657" s="41">
        <v>5</v>
      </c>
      <c r="E2657" s="41">
        <v>2390</v>
      </c>
      <c r="F2657" s="41" t="s">
        <v>4859</v>
      </c>
      <c r="G2657" s="41" t="s">
        <v>4859</v>
      </c>
      <c r="H2657" s="2043">
        <v>472480</v>
      </c>
      <c r="I2657" s="2043">
        <v>0</v>
      </c>
      <c r="J2657">
        <v>0</v>
      </c>
      <c r="K2657" s="2043">
        <v>0</v>
      </c>
      <c r="L2657" s="2043">
        <v>0</v>
      </c>
      <c r="M2657">
        <v>599</v>
      </c>
      <c r="N2657">
        <v>0</v>
      </c>
    </row>
    <row r="2658" spans="1:14">
      <c r="A2658" t="s">
        <v>3264</v>
      </c>
      <c r="B2658" t="s">
        <v>1455</v>
      </c>
      <c r="C2658" t="s">
        <v>565</v>
      </c>
      <c r="D2658" s="41">
        <v>5</v>
      </c>
      <c r="E2658" s="41">
        <v>2390</v>
      </c>
      <c r="F2658" s="41" t="s">
        <v>4859</v>
      </c>
      <c r="G2658" s="41" t="s">
        <v>4860</v>
      </c>
      <c r="H2658" s="2043">
        <v>472480</v>
      </c>
      <c r="I2658" s="2043">
        <v>0</v>
      </c>
      <c r="J2658">
        <v>0</v>
      </c>
      <c r="K2658" s="2043">
        <v>0</v>
      </c>
      <c r="L2658" s="2043">
        <v>0</v>
      </c>
      <c r="M2658">
        <v>599</v>
      </c>
      <c r="N2658">
        <v>0</v>
      </c>
    </row>
    <row r="2659" spans="1:14">
      <c r="A2659" t="s">
        <v>3264</v>
      </c>
      <c r="B2659" t="s">
        <v>1455</v>
      </c>
      <c r="C2659" t="s">
        <v>565</v>
      </c>
      <c r="D2659" s="41">
        <v>5</v>
      </c>
      <c r="E2659" s="41">
        <v>2390</v>
      </c>
      <c r="F2659" s="41" t="s">
        <v>4859</v>
      </c>
      <c r="G2659" s="41" t="s">
        <v>4861</v>
      </c>
      <c r="H2659" s="2043">
        <v>472480</v>
      </c>
      <c r="I2659" s="2043">
        <v>0</v>
      </c>
      <c r="J2659">
        <v>0</v>
      </c>
      <c r="K2659" s="2043">
        <v>0</v>
      </c>
      <c r="L2659" s="2043">
        <v>0</v>
      </c>
      <c r="M2659">
        <v>599</v>
      </c>
      <c r="N2659">
        <v>1</v>
      </c>
    </row>
    <row r="2660" spans="1:14">
      <c r="A2660" t="s">
        <v>3264</v>
      </c>
      <c r="B2660" t="s">
        <v>1455</v>
      </c>
      <c r="C2660" t="s">
        <v>565</v>
      </c>
      <c r="D2660" s="41">
        <v>5</v>
      </c>
      <c r="E2660" s="41">
        <v>2390</v>
      </c>
      <c r="F2660" s="41" t="s">
        <v>4859</v>
      </c>
      <c r="G2660" s="41" t="s">
        <v>4862</v>
      </c>
      <c r="H2660" s="2043">
        <v>472480</v>
      </c>
      <c r="I2660" s="2043">
        <v>510450</v>
      </c>
      <c r="J2660">
        <v>0.92465120660234801</v>
      </c>
      <c r="K2660" s="2043">
        <v>436879.20209547802</v>
      </c>
      <c r="L2660" s="2043">
        <v>436879.20209547802</v>
      </c>
      <c r="M2660">
        <v>599</v>
      </c>
      <c r="N2660">
        <v>1</v>
      </c>
    </row>
    <row r="2661" spans="1:14">
      <c r="A2661" t="s">
        <v>3264</v>
      </c>
      <c r="B2661" t="s">
        <v>1455</v>
      </c>
      <c r="C2661" t="s">
        <v>565</v>
      </c>
      <c r="D2661" s="41">
        <v>5</v>
      </c>
      <c r="E2661" s="41">
        <v>2390</v>
      </c>
      <c r="F2661" s="41" t="s">
        <v>4859</v>
      </c>
      <c r="G2661" s="41" t="s">
        <v>8656</v>
      </c>
      <c r="H2661" s="2043">
        <v>472480</v>
      </c>
      <c r="I2661" s="2043">
        <v>41596</v>
      </c>
      <c r="J2661">
        <v>7.5348793397651603E-2</v>
      </c>
      <c r="K2661" s="2043">
        <v>35600.797904522398</v>
      </c>
      <c r="L2661" s="2043">
        <v>35600.797904522398</v>
      </c>
      <c r="M2661">
        <v>599</v>
      </c>
      <c r="N2661">
        <v>1</v>
      </c>
    </row>
    <row r="2662" spans="1:14">
      <c r="A2662" t="s">
        <v>3265</v>
      </c>
      <c r="B2662" t="s">
        <v>1426</v>
      </c>
      <c r="C2662" t="s">
        <v>567</v>
      </c>
      <c r="D2662" s="41">
        <v>1</v>
      </c>
      <c r="E2662" s="41">
        <v>2393</v>
      </c>
      <c r="F2662" s="41" t="s">
        <v>4863</v>
      </c>
      <c r="G2662" s="41" t="s">
        <v>4863</v>
      </c>
      <c r="H2662" s="2043">
        <v>114342</v>
      </c>
      <c r="I2662" s="2043">
        <v>0</v>
      </c>
      <c r="J2662">
        <v>0</v>
      </c>
      <c r="L2662" s="2043">
        <v>0</v>
      </c>
      <c r="M2662">
        <v>599</v>
      </c>
      <c r="N2662">
        <v>0</v>
      </c>
    </row>
    <row r="2663" spans="1:14">
      <c r="A2663" t="s">
        <v>3265</v>
      </c>
      <c r="B2663" t="s">
        <v>1426</v>
      </c>
      <c r="C2663" t="s">
        <v>567</v>
      </c>
      <c r="D2663" s="41">
        <v>11</v>
      </c>
      <c r="E2663" s="41">
        <v>2589</v>
      </c>
      <c r="F2663" s="41" t="s">
        <v>7319</v>
      </c>
      <c r="G2663" s="41" t="s">
        <v>7319</v>
      </c>
      <c r="H2663" s="2043">
        <v>129006</v>
      </c>
      <c r="I2663" s="2043">
        <v>295624</v>
      </c>
      <c r="J2663">
        <v>1</v>
      </c>
      <c r="K2663" s="2043">
        <v>129006</v>
      </c>
      <c r="L2663" s="2043">
        <v>129006</v>
      </c>
      <c r="M2663">
        <v>599</v>
      </c>
      <c r="N2663">
        <v>0</v>
      </c>
    </row>
    <row r="2664" spans="1:14">
      <c r="A2664" t="s">
        <v>3266</v>
      </c>
      <c r="B2664" t="s">
        <v>1672</v>
      </c>
      <c r="C2664" t="s">
        <v>2326</v>
      </c>
      <c r="D2664" s="41">
        <v>1</v>
      </c>
      <c r="E2664" s="41">
        <v>2017</v>
      </c>
      <c r="F2664" s="41" t="s">
        <v>4864</v>
      </c>
      <c r="G2664" s="41" t="s">
        <v>4864</v>
      </c>
      <c r="H2664" s="2043">
        <v>379027</v>
      </c>
      <c r="I2664" s="2043">
        <v>0</v>
      </c>
      <c r="J2664">
        <v>0</v>
      </c>
      <c r="K2664" s="2043">
        <v>0</v>
      </c>
      <c r="L2664" s="2043">
        <v>0</v>
      </c>
      <c r="M2664">
        <v>599</v>
      </c>
      <c r="N2664">
        <v>0</v>
      </c>
    </row>
    <row r="2665" spans="1:14">
      <c r="A2665" t="s">
        <v>3266</v>
      </c>
      <c r="B2665" t="s">
        <v>1672</v>
      </c>
      <c r="C2665" t="s">
        <v>2326</v>
      </c>
      <c r="D2665" s="41">
        <v>1</v>
      </c>
      <c r="E2665" s="41">
        <v>2017</v>
      </c>
      <c r="F2665" s="41" t="s">
        <v>4864</v>
      </c>
      <c r="G2665" s="41" t="s">
        <v>4865</v>
      </c>
      <c r="H2665" s="2043">
        <v>379027</v>
      </c>
      <c r="I2665" s="2043">
        <v>0</v>
      </c>
      <c r="J2665">
        <v>0</v>
      </c>
      <c r="K2665" s="2043">
        <v>0</v>
      </c>
      <c r="L2665" s="2043">
        <v>0</v>
      </c>
      <c r="M2665">
        <v>599</v>
      </c>
      <c r="N2665">
        <v>1</v>
      </c>
    </row>
    <row r="2666" spans="1:14">
      <c r="A2666" t="s">
        <v>3266</v>
      </c>
      <c r="B2666" t="s">
        <v>1672</v>
      </c>
      <c r="C2666" t="s">
        <v>2326</v>
      </c>
      <c r="D2666" s="41">
        <v>1</v>
      </c>
      <c r="E2666" s="41">
        <v>2017</v>
      </c>
      <c r="F2666" s="41" t="s">
        <v>4864</v>
      </c>
      <c r="G2666" s="41" t="s">
        <v>4866</v>
      </c>
      <c r="H2666" s="2043">
        <v>379027</v>
      </c>
      <c r="I2666" s="2043">
        <v>0</v>
      </c>
      <c r="J2666">
        <v>0</v>
      </c>
      <c r="K2666" s="2043">
        <v>0</v>
      </c>
      <c r="L2666" s="2043">
        <v>0</v>
      </c>
      <c r="M2666">
        <v>599</v>
      </c>
      <c r="N2666">
        <v>1</v>
      </c>
    </row>
    <row r="2667" spans="1:14">
      <c r="A2667" t="s">
        <v>3266</v>
      </c>
      <c r="B2667" t="s">
        <v>1672</v>
      </c>
      <c r="C2667" t="s">
        <v>2326</v>
      </c>
      <c r="D2667" s="41">
        <v>1</v>
      </c>
      <c r="E2667" s="41">
        <v>2017</v>
      </c>
      <c r="F2667" s="41" t="s">
        <v>4864</v>
      </c>
      <c r="G2667" s="41" t="s">
        <v>5505</v>
      </c>
      <c r="H2667" s="2043">
        <v>379027</v>
      </c>
      <c r="I2667" s="2043">
        <v>176813</v>
      </c>
      <c r="J2667">
        <v>0.651676986584107</v>
      </c>
      <c r="K2667" s="2043">
        <v>247003.173194014</v>
      </c>
      <c r="L2667" s="2043">
        <v>176813</v>
      </c>
      <c r="M2667">
        <v>599</v>
      </c>
      <c r="N2667">
        <v>1</v>
      </c>
    </row>
    <row r="2668" spans="1:14">
      <c r="A2668" t="s">
        <v>3266</v>
      </c>
      <c r="B2668" t="s">
        <v>1672</v>
      </c>
      <c r="C2668" t="s">
        <v>2326</v>
      </c>
      <c r="D2668" s="41">
        <v>1</v>
      </c>
      <c r="E2668" s="41">
        <v>2017</v>
      </c>
      <c r="F2668" s="41" t="s">
        <v>4864</v>
      </c>
      <c r="G2668" s="41" t="s">
        <v>5506</v>
      </c>
      <c r="H2668" s="2043">
        <v>379027</v>
      </c>
      <c r="I2668" s="2043">
        <v>85187</v>
      </c>
      <c r="J2668">
        <v>0.31397243107769401</v>
      </c>
      <c r="K2668" s="2043">
        <v>119004.028634085</v>
      </c>
      <c r="L2668" s="2043">
        <v>85187</v>
      </c>
      <c r="M2668">
        <v>599</v>
      </c>
      <c r="N2668">
        <v>1</v>
      </c>
    </row>
    <row r="2669" spans="1:14">
      <c r="A2669" t="s">
        <v>3266</v>
      </c>
      <c r="B2669" t="s">
        <v>1672</v>
      </c>
      <c r="C2669" t="s">
        <v>2326</v>
      </c>
      <c r="D2669" s="41">
        <v>1</v>
      </c>
      <c r="E2669" s="41">
        <v>2017</v>
      </c>
      <c r="F2669" s="41" t="s">
        <v>4864</v>
      </c>
      <c r="G2669" s="41" t="s">
        <v>8584</v>
      </c>
      <c r="H2669" s="2043">
        <v>379027</v>
      </c>
      <c r="I2669" s="2043">
        <v>2769</v>
      </c>
      <c r="J2669">
        <v>1.0205661211853199E-2</v>
      </c>
      <c r="K2669" s="2043">
        <v>3868.2211521450699</v>
      </c>
      <c r="L2669" s="2043">
        <v>2769</v>
      </c>
      <c r="M2669">
        <v>599</v>
      </c>
      <c r="N2669">
        <v>1</v>
      </c>
    </row>
    <row r="2670" spans="1:14">
      <c r="A2670" t="s">
        <v>3266</v>
      </c>
      <c r="B2670" t="s">
        <v>1672</v>
      </c>
      <c r="C2670" t="s">
        <v>2326</v>
      </c>
      <c r="D2670" s="41">
        <v>1</v>
      </c>
      <c r="E2670" s="41">
        <v>2017</v>
      </c>
      <c r="F2670" s="41" t="s">
        <v>4864</v>
      </c>
      <c r="G2670" s="41" t="s">
        <v>8585</v>
      </c>
      <c r="H2670" s="2043">
        <v>379027</v>
      </c>
      <c r="I2670" s="2043">
        <v>3355</v>
      </c>
      <c r="J2670">
        <v>1.23654725047914E-2</v>
      </c>
      <c r="K2670" s="2043">
        <v>4686.8479470735701</v>
      </c>
      <c r="L2670" s="2043">
        <v>3355</v>
      </c>
      <c r="M2670">
        <v>599</v>
      </c>
      <c r="N2670">
        <v>1</v>
      </c>
    </row>
    <row r="2671" spans="1:14">
      <c r="A2671" t="s">
        <v>3266</v>
      </c>
      <c r="B2671" t="s">
        <v>1672</v>
      </c>
      <c r="C2671" t="s">
        <v>2326</v>
      </c>
      <c r="D2671" s="41">
        <v>1</v>
      </c>
      <c r="E2671" s="41">
        <v>2017</v>
      </c>
      <c r="F2671" s="41" t="s">
        <v>4864</v>
      </c>
      <c r="G2671" s="41" t="s">
        <v>8586</v>
      </c>
      <c r="H2671" s="2043">
        <v>379027</v>
      </c>
      <c r="I2671" s="2043">
        <v>2767</v>
      </c>
      <c r="J2671">
        <v>1.0198289842252699E-2</v>
      </c>
      <c r="K2671" s="2043">
        <v>3865.4272040395099</v>
      </c>
      <c r="L2671" s="2043">
        <v>2767</v>
      </c>
      <c r="M2671">
        <v>599</v>
      </c>
      <c r="N2671">
        <v>1</v>
      </c>
    </row>
    <row r="2672" spans="1:14">
      <c r="A2672" t="s">
        <v>3266</v>
      </c>
      <c r="B2672" t="s">
        <v>1672</v>
      </c>
      <c r="C2672" t="s">
        <v>2326</v>
      </c>
      <c r="D2672" s="41">
        <v>1</v>
      </c>
      <c r="E2672" s="41">
        <v>2017</v>
      </c>
      <c r="F2672" s="41" t="s">
        <v>4864</v>
      </c>
      <c r="G2672" s="41" t="s">
        <v>9418</v>
      </c>
      <c r="H2672" s="2043">
        <v>379027</v>
      </c>
      <c r="I2672" s="2043">
        <v>429</v>
      </c>
      <c r="J2672">
        <v>1.58115877930119E-3</v>
      </c>
      <c r="K2672" s="2043">
        <v>599.30186864219399</v>
      </c>
      <c r="L2672" s="2043">
        <v>429</v>
      </c>
      <c r="M2672">
        <v>599</v>
      </c>
      <c r="N2672">
        <v>1</v>
      </c>
    </row>
    <row r="2673" spans="1:14">
      <c r="A2673" t="s">
        <v>3266</v>
      </c>
      <c r="B2673" t="s">
        <v>1672</v>
      </c>
      <c r="C2673" t="s">
        <v>2326</v>
      </c>
      <c r="D2673" s="41">
        <v>1</v>
      </c>
      <c r="E2673" s="41">
        <v>2017</v>
      </c>
      <c r="F2673" s="41" t="s">
        <v>4864</v>
      </c>
      <c r="G2673" s="41" t="s">
        <v>9419</v>
      </c>
      <c r="H2673" s="2043">
        <v>379027</v>
      </c>
      <c r="I2673" s="2043">
        <v>0</v>
      </c>
      <c r="J2673">
        <v>0</v>
      </c>
      <c r="K2673" s="2043">
        <v>0</v>
      </c>
      <c r="L2673" s="2043">
        <v>0</v>
      </c>
      <c r="M2673">
        <v>599</v>
      </c>
      <c r="N2673">
        <v>1</v>
      </c>
    </row>
    <row r="2674" spans="1:14">
      <c r="A2674" t="s">
        <v>3267</v>
      </c>
      <c r="B2674" t="s">
        <v>2316</v>
      </c>
      <c r="C2674" t="s">
        <v>101</v>
      </c>
      <c r="D2674" s="41">
        <v>5</v>
      </c>
      <c r="E2674" s="41">
        <v>1815</v>
      </c>
      <c r="F2674" s="41" t="s">
        <v>4867</v>
      </c>
      <c r="G2674" s="41" t="s">
        <v>4867</v>
      </c>
      <c r="H2674" s="2043">
        <v>825000</v>
      </c>
      <c r="I2674" s="2043">
        <v>0</v>
      </c>
      <c r="J2674">
        <v>0</v>
      </c>
      <c r="K2674" s="2043">
        <v>0</v>
      </c>
      <c r="L2674" s="2043">
        <v>0</v>
      </c>
      <c r="M2674">
        <v>599</v>
      </c>
      <c r="N2674">
        <v>0</v>
      </c>
    </row>
    <row r="2675" spans="1:14">
      <c r="A2675" t="s">
        <v>3267</v>
      </c>
      <c r="B2675" t="s">
        <v>2316</v>
      </c>
      <c r="C2675" t="s">
        <v>101</v>
      </c>
      <c r="D2675" s="41">
        <v>5</v>
      </c>
      <c r="E2675" s="41">
        <v>1815</v>
      </c>
      <c r="F2675" s="41" t="s">
        <v>4867</v>
      </c>
      <c r="G2675" s="41" t="s">
        <v>4868</v>
      </c>
      <c r="H2675" s="2043">
        <v>825000</v>
      </c>
      <c r="I2675" s="2043">
        <v>0</v>
      </c>
      <c r="J2675">
        <v>0</v>
      </c>
      <c r="K2675" s="2043">
        <v>0</v>
      </c>
      <c r="L2675" s="2043">
        <v>0</v>
      </c>
      <c r="M2675">
        <v>599</v>
      </c>
      <c r="N2675">
        <v>1</v>
      </c>
    </row>
    <row r="2676" spans="1:14">
      <c r="A2676" t="s">
        <v>3267</v>
      </c>
      <c r="B2676" t="s">
        <v>2316</v>
      </c>
      <c r="C2676" t="s">
        <v>101</v>
      </c>
      <c r="D2676" s="41">
        <v>5</v>
      </c>
      <c r="E2676" s="41">
        <v>1815</v>
      </c>
      <c r="F2676" s="41" t="s">
        <v>4867</v>
      </c>
      <c r="G2676" s="41" t="s">
        <v>4869</v>
      </c>
      <c r="H2676" s="2043">
        <v>825000</v>
      </c>
      <c r="I2676" s="2043">
        <v>0</v>
      </c>
      <c r="J2676">
        <v>0</v>
      </c>
      <c r="K2676" s="2043">
        <v>0</v>
      </c>
      <c r="L2676" s="2043">
        <v>0</v>
      </c>
      <c r="M2676">
        <v>599</v>
      </c>
      <c r="N2676">
        <v>1</v>
      </c>
    </row>
    <row r="2677" spans="1:14">
      <c r="A2677" t="s">
        <v>3267</v>
      </c>
      <c r="B2677" t="s">
        <v>2316</v>
      </c>
      <c r="C2677" t="s">
        <v>101</v>
      </c>
      <c r="D2677" s="41">
        <v>5</v>
      </c>
      <c r="E2677" s="41">
        <v>1815</v>
      </c>
      <c r="F2677" s="41" t="s">
        <v>4867</v>
      </c>
      <c r="G2677" s="41" t="s">
        <v>5679</v>
      </c>
      <c r="H2677" s="2043">
        <v>825000</v>
      </c>
      <c r="I2677" s="2043">
        <v>309004</v>
      </c>
      <c r="J2677">
        <v>0.26386264291307399</v>
      </c>
      <c r="K2677" s="2043">
        <v>217686.68040328601</v>
      </c>
      <c r="L2677" s="2043">
        <v>217686.68040328601</v>
      </c>
      <c r="M2677">
        <v>599</v>
      </c>
      <c r="N2677">
        <v>1</v>
      </c>
    </row>
    <row r="2678" spans="1:14">
      <c r="A2678" t="s">
        <v>3267</v>
      </c>
      <c r="B2678" t="s">
        <v>2316</v>
      </c>
      <c r="C2678" t="s">
        <v>101</v>
      </c>
      <c r="D2678" s="41">
        <v>5</v>
      </c>
      <c r="E2678" s="41">
        <v>1815</v>
      </c>
      <c r="F2678" s="41" t="s">
        <v>4867</v>
      </c>
      <c r="G2678" s="41" t="s">
        <v>7343</v>
      </c>
      <c r="H2678" s="2043">
        <v>825000</v>
      </c>
      <c r="I2678" s="2043">
        <v>862075</v>
      </c>
      <c r="J2678">
        <v>0.73613735708692596</v>
      </c>
      <c r="K2678" s="2043">
        <v>607313.31959671399</v>
      </c>
      <c r="L2678" s="2043">
        <v>607313.31959671399</v>
      </c>
      <c r="M2678">
        <v>599</v>
      </c>
      <c r="N2678">
        <v>1</v>
      </c>
    </row>
    <row r="2679" spans="1:14">
      <c r="A2679" t="s">
        <v>3267</v>
      </c>
      <c r="B2679" t="s">
        <v>2316</v>
      </c>
      <c r="C2679" t="s">
        <v>101</v>
      </c>
      <c r="D2679" s="41">
        <v>9</v>
      </c>
      <c r="E2679" s="41">
        <v>1814</v>
      </c>
      <c r="F2679" s="41" t="s">
        <v>4870</v>
      </c>
      <c r="G2679" s="41" t="s">
        <v>4870</v>
      </c>
      <c r="H2679" s="2043">
        <v>812750</v>
      </c>
      <c r="I2679" s="2043">
        <v>0</v>
      </c>
      <c r="J2679">
        <v>0</v>
      </c>
      <c r="K2679" s="2043">
        <v>0</v>
      </c>
      <c r="L2679" s="2043">
        <v>0</v>
      </c>
      <c r="M2679">
        <v>599</v>
      </c>
      <c r="N2679">
        <v>1</v>
      </c>
    </row>
    <row r="2680" spans="1:14">
      <c r="A2680" t="s">
        <v>3267</v>
      </c>
      <c r="B2680" t="s">
        <v>2316</v>
      </c>
      <c r="C2680" t="s">
        <v>101</v>
      </c>
      <c r="D2680" s="41">
        <v>9</v>
      </c>
      <c r="E2680" s="41">
        <v>1814</v>
      </c>
      <c r="F2680" s="41" t="s">
        <v>4870</v>
      </c>
      <c r="G2680" s="41" t="s">
        <v>7320</v>
      </c>
      <c r="H2680" s="2043">
        <v>812750</v>
      </c>
      <c r="I2680" s="2043">
        <v>291025</v>
      </c>
      <c r="J2680">
        <v>0.41164821952685698</v>
      </c>
      <c r="K2680" s="2043">
        <v>334567.09042045299</v>
      </c>
      <c r="L2680" s="2043">
        <v>291025</v>
      </c>
      <c r="M2680">
        <v>599</v>
      </c>
      <c r="N2680">
        <v>1</v>
      </c>
    </row>
    <row r="2681" spans="1:14">
      <c r="A2681" t="s">
        <v>3267</v>
      </c>
      <c r="B2681" t="s">
        <v>2316</v>
      </c>
      <c r="C2681" t="s">
        <v>101</v>
      </c>
      <c r="D2681" s="41">
        <v>9</v>
      </c>
      <c r="E2681" s="41">
        <v>1814</v>
      </c>
      <c r="F2681" s="41" t="s">
        <v>4870</v>
      </c>
      <c r="G2681" s="41" t="s">
        <v>7343</v>
      </c>
      <c r="H2681" s="2043">
        <v>812750</v>
      </c>
      <c r="I2681" s="2043">
        <v>415950</v>
      </c>
      <c r="J2681">
        <v>0.58835178047314296</v>
      </c>
      <c r="K2681" s="2043">
        <v>478182.90957954701</v>
      </c>
      <c r="L2681" s="2043">
        <v>415950</v>
      </c>
      <c r="M2681">
        <v>599</v>
      </c>
      <c r="N2681">
        <v>1</v>
      </c>
    </row>
    <row r="2682" spans="1:14">
      <c r="A2682" t="s">
        <v>3268</v>
      </c>
      <c r="B2682" t="s">
        <v>57</v>
      </c>
      <c r="C2682" t="s">
        <v>1793</v>
      </c>
      <c r="D2682" s="41">
        <v>2</v>
      </c>
      <c r="E2682" s="41">
        <v>1991</v>
      </c>
      <c r="F2682" s="41" t="s">
        <v>4871</v>
      </c>
      <c r="G2682" s="41" t="s">
        <v>4871</v>
      </c>
      <c r="H2682" s="2043">
        <v>437879</v>
      </c>
      <c r="I2682" s="2043">
        <v>0</v>
      </c>
      <c r="J2682">
        <v>0</v>
      </c>
      <c r="K2682" s="2043">
        <v>0</v>
      </c>
      <c r="L2682" s="2043">
        <v>0</v>
      </c>
      <c r="M2682">
        <v>599</v>
      </c>
      <c r="N2682">
        <v>0</v>
      </c>
    </row>
    <row r="2683" spans="1:14">
      <c r="A2683" t="s">
        <v>3268</v>
      </c>
      <c r="B2683" t="s">
        <v>57</v>
      </c>
      <c r="C2683" t="s">
        <v>1793</v>
      </c>
      <c r="D2683" s="41">
        <v>2</v>
      </c>
      <c r="E2683" s="41">
        <v>1991</v>
      </c>
      <c r="F2683" s="41" t="s">
        <v>4871</v>
      </c>
      <c r="G2683" s="41" t="s">
        <v>4872</v>
      </c>
      <c r="H2683" s="2043">
        <v>437879</v>
      </c>
      <c r="I2683" s="2043">
        <v>0</v>
      </c>
      <c r="J2683">
        <v>0</v>
      </c>
      <c r="K2683" s="2043">
        <v>0</v>
      </c>
      <c r="L2683" s="2043">
        <v>0</v>
      </c>
      <c r="M2683">
        <v>599</v>
      </c>
      <c r="N2683">
        <v>1</v>
      </c>
    </row>
    <row r="2684" spans="1:14">
      <c r="A2684" t="s">
        <v>3268</v>
      </c>
      <c r="B2684" t="s">
        <v>57</v>
      </c>
      <c r="C2684" t="s">
        <v>1793</v>
      </c>
      <c r="D2684" s="41">
        <v>2</v>
      </c>
      <c r="E2684" s="41">
        <v>1991</v>
      </c>
      <c r="F2684" s="41" t="s">
        <v>4871</v>
      </c>
      <c r="G2684" s="41" t="s">
        <v>7321</v>
      </c>
      <c r="H2684" s="2043">
        <v>437879</v>
      </c>
      <c r="I2684" s="2043">
        <v>353747</v>
      </c>
      <c r="J2684">
        <v>1</v>
      </c>
      <c r="K2684" s="2043">
        <v>437879</v>
      </c>
      <c r="L2684" s="2043">
        <v>353747</v>
      </c>
      <c r="M2684">
        <v>599</v>
      </c>
      <c r="N2684">
        <v>1</v>
      </c>
    </row>
    <row r="2685" spans="1:14">
      <c r="A2685" t="s">
        <v>3268</v>
      </c>
      <c r="B2685" t="s">
        <v>57</v>
      </c>
      <c r="C2685" t="s">
        <v>1793</v>
      </c>
      <c r="D2685" s="41">
        <v>9</v>
      </c>
      <c r="E2685" s="41">
        <v>1992</v>
      </c>
      <c r="F2685" s="41" t="s">
        <v>4873</v>
      </c>
      <c r="G2685" s="41" t="s">
        <v>4873</v>
      </c>
      <c r="H2685" s="2043">
        <v>706725</v>
      </c>
      <c r="I2685" s="2043">
        <v>0</v>
      </c>
      <c r="J2685">
        <v>0</v>
      </c>
      <c r="K2685" s="2043">
        <v>0</v>
      </c>
      <c r="L2685" s="2043">
        <v>0</v>
      </c>
      <c r="M2685">
        <v>599</v>
      </c>
      <c r="N2685">
        <v>1</v>
      </c>
    </row>
    <row r="2686" spans="1:14">
      <c r="A2686" t="s">
        <v>3268</v>
      </c>
      <c r="B2686" t="s">
        <v>57</v>
      </c>
      <c r="C2686" t="s">
        <v>1793</v>
      </c>
      <c r="D2686" s="41">
        <v>9</v>
      </c>
      <c r="E2686" s="41">
        <v>1992</v>
      </c>
      <c r="F2686" s="41" t="s">
        <v>4873</v>
      </c>
      <c r="G2686" s="41" t="s">
        <v>4874</v>
      </c>
      <c r="H2686" s="2043">
        <v>706725</v>
      </c>
      <c r="I2686" s="2043">
        <v>1021600</v>
      </c>
      <c r="J2686">
        <v>0.64997614124383696</v>
      </c>
      <c r="K2686" s="2043">
        <v>459354.38842054998</v>
      </c>
      <c r="L2686" s="2043">
        <v>459354.38842054998</v>
      </c>
      <c r="M2686">
        <v>599</v>
      </c>
      <c r="N2686">
        <v>1</v>
      </c>
    </row>
    <row r="2687" spans="1:14">
      <c r="A2687" t="s">
        <v>3268</v>
      </c>
      <c r="B2687" t="s">
        <v>57</v>
      </c>
      <c r="C2687" t="s">
        <v>1793</v>
      </c>
      <c r="D2687" s="41">
        <v>9</v>
      </c>
      <c r="E2687" s="41">
        <v>1992</v>
      </c>
      <c r="F2687" s="41" t="s">
        <v>4873</v>
      </c>
      <c r="G2687" s="41" t="s">
        <v>5507</v>
      </c>
      <c r="H2687" s="2043">
        <v>706725</v>
      </c>
      <c r="I2687" s="2043">
        <v>550150</v>
      </c>
      <c r="J2687">
        <v>0.35002385875616299</v>
      </c>
      <c r="K2687" s="2043">
        <v>247370.61157944999</v>
      </c>
      <c r="L2687" s="2043">
        <v>247370.61157944999</v>
      </c>
      <c r="M2687">
        <v>599</v>
      </c>
      <c r="N2687">
        <v>1</v>
      </c>
    </row>
    <row r="2688" spans="1:14">
      <c r="A2688" t="s">
        <v>3268</v>
      </c>
      <c r="B2688" t="s">
        <v>57</v>
      </c>
      <c r="C2688" t="s">
        <v>1793</v>
      </c>
      <c r="D2688" s="41">
        <v>10</v>
      </c>
      <c r="E2688" s="41">
        <v>1990</v>
      </c>
      <c r="F2688" s="41" t="s">
        <v>4875</v>
      </c>
      <c r="G2688" s="41" t="s">
        <v>4875</v>
      </c>
      <c r="H2688" s="2043">
        <v>294937</v>
      </c>
      <c r="I2688" s="2043">
        <v>0</v>
      </c>
      <c r="J2688">
        <v>0</v>
      </c>
      <c r="K2688" s="2043">
        <v>0</v>
      </c>
      <c r="L2688" s="2043">
        <v>0</v>
      </c>
      <c r="M2688">
        <v>599</v>
      </c>
      <c r="N2688">
        <v>1</v>
      </c>
    </row>
    <row r="2689" spans="1:14">
      <c r="A2689" t="s">
        <v>3268</v>
      </c>
      <c r="B2689" t="s">
        <v>57</v>
      </c>
      <c r="C2689" t="s">
        <v>1793</v>
      </c>
      <c r="D2689" s="41">
        <v>10</v>
      </c>
      <c r="E2689" s="41">
        <v>1990</v>
      </c>
      <c r="F2689" s="41" t="s">
        <v>4875</v>
      </c>
      <c r="G2689" s="41" t="s">
        <v>5912</v>
      </c>
      <c r="H2689" s="2043">
        <v>294937</v>
      </c>
      <c r="I2689" s="2043">
        <v>289323</v>
      </c>
      <c r="J2689">
        <v>0.74467789385901895</v>
      </c>
      <c r="K2689" s="2043">
        <v>219633.06398109801</v>
      </c>
      <c r="L2689" s="2043">
        <v>219633.06398109801</v>
      </c>
      <c r="M2689">
        <v>599</v>
      </c>
      <c r="N2689">
        <v>1</v>
      </c>
    </row>
    <row r="2690" spans="1:14">
      <c r="A2690" t="s">
        <v>3268</v>
      </c>
      <c r="B2690" t="s">
        <v>57</v>
      </c>
      <c r="C2690" t="s">
        <v>1793</v>
      </c>
      <c r="D2690" s="41">
        <v>10</v>
      </c>
      <c r="E2690" s="41">
        <v>1990</v>
      </c>
      <c r="F2690" s="41" t="s">
        <v>4875</v>
      </c>
      <c r="G2690" s="41" t="s">
        <v>7321</v>
      </c>
      <c r="H2690" s="2043">
        <v>294937</v>
      </c>
      <c r="I2690" s="2043">
        <v>99198</v>
      </c>
      <c r="J2690">
        <v>0.255322106140981</v>
      </c>
      <c r="K2690" s="2043">
        <v>75303.936018902401</v>
      </c>
      <c r="L2690" s="2043">
        <v>75303.936018902401</v>
      </c>
      <c r="M2690">
        <v>599</v>
      </c>
      <c r="N2690">
        <v>1</v>
      </c>
    </row>
    <row r="2691" spans="1:14">
      <c r="A2691" t="s">
        <v>3269</v>
      </c>
      <c r="B2691" t="s">
        <v>2317</v>
      </c>
      <c r="C2691" t="s">
        <v>951</v>
      </c>
      <c r="D2691" s="41">
        <v>5</v>
      </c>
      <c r="E2691" s="41">
        <v>2206</v>
      </c>
      <c r="F2691" s="41" t="s">
        <v>4876</v>
      </c>
      <c r="G2691" s="41" t="s">
        <v>4876</v>
      </c>
      <c r="H2691" s="2043">
        <v>154875</v>
      </c>
      <c r="I2691" s="2043">
        <v>0</v>
      </c>
      <c r="J2691">
        <v>0</v>
      </c>
      <c r="K2691" s="2043">
        <v>0</v>
      </c>
      <c r="L2691" s="2043">
        <v>0</v>
      </c>
      <c r="M2691">
        <v>599</v>
      </c>
      <c r="N2691">
        <v>0</v>
      </c>
    </row>
    <row r="2692" spans="1:14">
      <c r="A2692" t="s">
        <v>3269</v>
      </c>
      <c r="B2692" t="s">
        <v>2317</v>
      </c>
      <c r="C2692" t="s">
        <v>951</v>
      </c>
      <c r="D2692" s="41">
        <v>5</v>
      </c>
      <c r="E2692" s="41">
        <v>2206</v>
      </c>
      <c r="F2692" s="41" t="s">
        <v>4876</v>
      </c>
      <c r="G2692" s="41" t="s">
        <v>4877</v>
      </c>
      <c r="H2692" s="2043">
        <v>154875</v>
      </c>
      <c r="I2692" s="2043">
        <v>132400</v>
      </c>
      <c r="J2692">
        <v>1</v>
      </c>
      <c r="K2692" s="2043">
        <v>154875</v>
      </c>
      <c r="L2692" s="2043">
        <v>132400</v>
      </c>
      <c r="M2692">
        <v>599</v>
      </c>
      <c r="N2692">
        <v>1</v>
      </c>
    </row>
    <row r="2693" spans="1:14">
      <c r="A2693" t="s">
        <v>3270</v>
      </c>
      <c r="B2693" t="s">
        <v>1423</v>
      </c>
      <c r="C2693" t="s">
        <v>1834</v>
      </c>
      <c r="D2693" s="41">
        <v>3</v>
      </c>
      <c r="E2693" s="41">
        <v>2385</v>
      </c>
      <c r="F2693" s="41" t="s">
        <v>4878</v>
      </c>
      <c r="G2693" s="41" t="s">
        <v>4878</v>
      </c>
      <c r="H2693" s="2043">
        <v>184365</v>
      </c>
      <c r="I2693" s="2043">
        <v>0</v>
      </c>
      <c r="J2693">
        <v>0</v>
      </c>
      <c r="K2693" s="2043">
        <v>0</v>
      </c>
      <c r="L2693" s="2043">
        <v>0</v>
      </c>
      <c r="M2693">
        <v>599</v>
      </c>
      <c r="N2693">
        <v>0</v>
      </c>
    </row>
    <row r="2694" spans="1:14">
      <c r="A2694" t="s">
        <v>3270</v>
      </c>
      <c r="B2694" t="s">
        <v>1423</v>
      </c>
      <c r="C2694" t="s">
        <v>1834</v>
      </c>
      <c r="D2694" s="41">
        <v>3</v>
      </c>
      <c r="E2694" s="41">
        <v>2385</v>
      </c>
      <c r="F2694" s="41" t="s">
        <v>4878</v>
      </c>
      <c r="G2694" s="41" t="s">
        <v>4879</v>
      </c>
      <c r="H2694" s="2043">
        <v>184365</v>
      </c>
      <c r="I2694" s="2043">
        <v>0</v>
      </c>
      <c r="J2694">
        <v>0</v>
      </c>
      <c r="K2694" s="2043">
        <v>0</v>
      </c>
      <c r="L2694" s="2043">
        <v>0</v>
      </c>
      <c r="M2694">
        <v>599</v>
      </c>
      <c r="N2694">
        <v>1</v>
      </c>
    </row>
    <row r="2695" spans="1:14">
      <c r="A2695" t="s">
        <v>3270</v>
      </c>
      <c r="B2695" t="s">
        <v>1423</v>
      </c>
      <c r="C2695" t="s">
        <v>1834</v>
      </c>
      <c r="D2695" s="41">
        <v>3</v>
      </c>
      <c r="E2695" s="41">
        <v>2385</v>
      </c>
      <c r="F2695" s="41" t="s">
        <v>4878</v>
      </c>
      <c r="G2695" s="41" t="s">
        <v>5680</v>
      </c>
      <c r="H2695" s="2043">
        <v>184365</v>
      </c>
      <c r="I2695" s="2043">
        <v>166950</v>
      </c>
      <c r="J2695">
        <v>1</v>
      </c>
      <c r="K2695" s="2043">
        <v>184365</v>
      </c>
      <c r="L2695" s="2043">
        <v>166950</v>
      </c>
      <c r="M2695">
        <v>599</v>
      </c>
      <c r="N2695">
        <v>1</v>
      </c>
    </row>
    <row r="2696" spans="1:14">
      <c r="A2696" t="s">
        <v>3270</v>
      </c>
      <c r="B2696" t="s">
        <v>1423</v>
      </c>
      <c r="C2696" t="s">
        <v>1834</v>
      </c>
      <c r="D2696" s="41">
        <v>9</v>
      </c>
      <c r="E2696" s="41">
        <v>2384</v>
      </c>
      <c r="F2696" s="41" t="s">
        <v>4880</v>
      </c>
      <c r="G2696" s="41" t="s">
        <v>4880</v>
      </c>
      <c r="H2696" s="2043">
        <v>179000</v>
      </c>
      <c r="I2696" s="2043">
        <v>0</v>
      </c>
      <c r="J2696">
        <v>0</v>
      </c>
      <c r="K2696" s="2043">
        <v>0</v>
      </c>
      <c r="L2696" s="2043">
        <v>0</v>
      </c>
      <c r="M2696">
        <v>599</v>
      </c>
      <c r="N2696">
        <v>1</v>
      </c>
    </row>
    <row r="2697" spans="1:14">
      <c r="A2697" t="s">
        <v>3270</v>
      </c>
      <c r="B2697" t="s">
        <v>1423</v>
      </c>
      <c r="C2697" t="s">
        <v>1834</v>
      </c>
      <c r="D2697" s="41">
        <v>9</v>
      </c>
      <c r="E2697" s="41">
        <v>2384</v>
      </c>
      <c r="F2697" s="41" t="s">
        <v>4880</v>
      </c>
      <c r="G2697" s="41" t="s">
        <v>5508</v>
      </c>
      <c r="H2697" s="2043">
        <v>179000</v>
      </c>
      <c r="I2697" s="2043">
        <v>354775</v>
      </c>
      <c r="J2697">
        <v>1</v>
      </c>
      <c r="K2697" s="2043">
        <v>179000</v>
      </c>
      <c r="L2697" s="2043">
        <v>179000</v>
      </c>
      <c r="M2697">
        <v>599</v>
      </c>
      <c r="N2697">
        <v>1</v>
      </c>
    </row>
    <row r="2698" spans="1:14">
      <c r="A2698" t="s">
        <v>3270</v>
      </c>
      <c r="B2698" t="s">
        <v>1423</v>
      </c>
      <c r="C2698" t="s">
        <v>1834</v>
      </c>
      <c r="D2698" s="41">
        <v>11</v>
      </c>
      <c r="E2698" s="41">
        <v>2584</v>
      </c>
      <c r="F2698" s="41" t="s">
        <v>7322</v>
      </c>
      <c r="G2698" s="41" t="s">
        <v>7322</v>
      </c>
      <c r="H2698" s="2043">
        <v>187054</v>
      </c>
      <c r="I2698" s="2043">
        <v>251506</v>
      </c>
      <c r="J2698">
        <v>1</v>
      </c>
      <c r="K2698" s="2043">
        <v>187054</v>
      </c>
      <c r="L2698" s="2043">
        <v>187054</v>
      </c>
      <c r="M2698">
        <v>599</v>
      </c>
      <c r="N2698">
        <v>1</v>
      </c>
    </row>
    <row r="2699" spans="1:14">
      <c r="A2699" t="s">
        <v>3271</v>
      </c>
      <c r="B2699" t="s">
        <v>182</v>
      </c>
      <c r="C2699" t="s">
        <v>997</v>
      </c>
      <c r="D2699" s="41">
        <v>5</v>
      </c>
      <c r="E2699" s="41">
        <v>1570</v>
      </c>
      <c r="F2699" s="41" t="s">
        <v>4881</v>
      </c>
      <c r="G2699" s="41" t="s">
        <v>4881</v>
      </c>
      <c r="H2699" s="2043">
        <v>283052</v>
      </c>
      <c r="I2699" s="2043">
        <v>0</v>
      </c>
      <c r="J2699">
        <v>0</v>
      </c>
      <c r="K2699" s="2043">
        <v>0</v>
      </c>
      <c r="L2699" s="2043">
        <v>0</v>
      </c>
      <c r="M2699">
        <v>599</v>
      </c>
      <c r="N2699">
        <v>0</v>
      </c>
    </row>
    <row r="2700" spans="1:14">
      <c r="A2700" t="s">
        <v>3271</v>
      </c>
      <c r="B2700" t="s">
        <v>182</v>
      </c>
      <c r="C2700" t="s">
        <v>997</v>
      </c>
      <c r="D2700" s="41">
        <v>5</v>
      </c>
      <c r="E2700" s="41">
        <v>1570</v>
      </c>
      <c r="F2700" s="41" t="s">
        <v>4881</v>
      </c>
      <c r="G2700" s="41" t="s">
        <v>4882</v>
      </c>
      <c r="H2700" s="2043">
        <v>283052</v>
      </c>
      <c r="I2700" s="2043">
        <v>0</v>
      </c>
      <c r="J2700">
        <v>0</v>
      </c>
      <c r="K2700" s="2043">
        <v>0</v>
      </c>
      <c r="L2700" s="2043">
        <v>0</v>
      </c>
      <c r="M2700">
        <v>599</v>
      </c>
      <c r="N2700">
        <v>0</v>
      </c>
    </row>
    <row r="2701" spans="1:14">
      <c r="A2701" t="s">
        <v>3271</v>
      </c>
      <c r="B2701" t="s">
        <v>182</v>
      </c>
      <c r="C2701" t="s">
        <v>997</v>
      </c>
      <c r="D2701" s="41">
        <v>5</v>
      </c>
      <c r="E2701" s="41">
        <v>1570</v>
      </c>
      <c r="F2701" s="41" t="s">
        <v>4881</v>
      </c>
      <c r="G2701" s="41" t="s">
        <v>5509</v>
      </c>
      <c r="H2701" s="2043">
        <v>283052</v>
      </c>
      <c r="I2701" s="2043">
        <v>352798</v>
      </c>
      <c r="J2701">
        <v>1</v>
      </c>
      <c r="K2701" s="2043">
        <v>283052</v>
      </c>
      <c r="L2701" s="2043">
        <v>283052</v>
      </c>
      <c r="M2701">
        <v>599</v>
      </c>
      <c r="N2701">
        <v>1</v>
      </c>
    </row>
    <row r="2702" spans="1:14">
      <c r="A2702" t="s">
        <v>3271</v>
      </c>
      <c r="B2702" t="s">
        <v>182</v>
      </c>
      <c r="C2702" t="s">
        <v>997</v>
      </c>
      <c r="D2702" s="41">
        <v>9</v>
      </c>
      <c r="E2702" s="41">
        <v>1569</v>
      </c>
      <c r="F2702" s="41" t="s">
        <v>4883</v>
      </c>
      <c r="G2702" s="41" t="s">
        <v>4883</v>
      </c>
      <c r="H2702" s="2043">
        <v>183118</v>
      </c>
      <c r="I2702" s="2043">
        <v>0</v>
      </c>
      <c r="J2702">
        <v>0</v>
      </c>
      <c r="K2702" s="2043">
        <v>0</v>
      </c>
      <c r="L2702" s="2043">
        <v>0</v>
      </c>
      <c r="M2702">
        <v>599</v>
      </c>
      <c r="N2702">
        <v>1</v>
      </c>
    </row>
    <row r="2703" spans="1:14">
      <c r="A2703" t="s">
        <v>3271</v>
      </c>
      <c r="B2703" t="s">
        <v>182</v>
      </c>
      <c r="C2703" t="s">
        <v>997</v>
      </c>
      <c r="D2703" s="41">
        <v>9</v>
      </c>
      <c r="E2703" s="41">
        <v>1569</v>
      </c>
      <c r="F2703" s="41" t="s">
        <v>4883</v>
      </c>
      <c r="G2703" s="41" t="s">
        <v>5509</v>
      </c>
      <c r="H2703" s="2043">
        <v>183118</v>
      </c>
      <c r="I2703" s="2043">
        <v>330454</v>
      </c>
      <c r="J2703">
        <v>1</v>
      </c>
      <c r="K2703" s="2043">
        <v>183118</v>
      </c>
      <c r="L2703" s="2043">
        <v>183118</v>
      </c>
      <c r="M2703">
        <v>599</v>
      </c>
      <c r="N2703">
        <v>1</v>
      </c>
    </row>
    <row r="2704" spans="1:14">
      <c r="A2704" t="s">
        <v>3272</v>
      </c>
      <c r="B2704" t="s">
        <v>1909</v>
      </c>
      <c r="C2704" t="s">
        <v>1289</v>
      </c>
      <c r="D2704" s="41">
        <v>2</v>
      </c>
      <c r="E2704" s="41">
        <v>2173</v>
      </c>
      <c r="F2704" s="41" t="s">
        <v>4884</v>
      </c>
      <c r="G2704" s="41" t="s">
        <v>4884</v>
      </c>
      <c r="H2704" s="2043">
        <v>191624</v>
      </c>
      <c r="I2704" s="2043">
        <v>0</v>
      </c>
      <c r="J2704">
        <v>0</v>
      </c>
      <c r="L2704" s="2043">
        <v>0</v>
      </c>
      <c r="M2704">
        <v>599</v>
      </c>
      <c r="N2704">
        <v>0</v>
      </c>
    </row>
    <row r="2705" spans="1:14">
      <c r="A2705" t="s">
        <v>3272</v>
      </c>
      <c r="B2705" t="s">
        <v>1909</v>
      </c>
      <c r="C2705" t="s">
        <v>1289</v>
      </c>
      <c r="D2705" s="41">
        <v>5</v>
      </c>
      <c r="E2705" s="41">
        <v>2174</v>
      </c>
      <c r="F2705" s="41" t="s">
        <v>4886</v>
      </c>
      <c r="G2705" s="41" t="s">
        <v>4886</v>
      </c>
      <c r="H2705" s="2043">
        <v>221531</v>
      </c>
      <c r="I2705" s="2043">
        <v>0</v>
      </c>
      <c r="J2705">
        <v>0</v>
      </c>
      <c r="K2705" s="2043">
        <v>0</v>
      </c>
      <c r="L2705" s="2043">
        <v>0</v>
      </c>
      <c r="M2705">
        <v>599</v>
      </c>
      <c r="N2705">
        <v>0</v>
      </c>
    </row>
    <row r="2706" spans="1:14">
      <c r="A2706" t="s">
        <v>3272</v>
      </c>
      <c r="B2706" t="s">
        <v>1909</v>
      </c>
      <c r="C2706" t="s">
        <v>1289</v>
      </c>
      <c r="D2706" s="41">
        <v>5</v>
      </c>
      <c r="E2706" s="41">
        <v>2174</v>
      </c>
      <c r="F2706" s="41" t="s">
        <v>4886</v>
      </c>
      <c r="G2706" s="41" t="s">
        <v>4885</v>
      </c>
      <c r="H2706" s="2043">
        <v>221531</v>
      </c>
      <c r="I2706" s="2043">
        <v>0</v>
      </c>
      <c r="J2706">
        <v>0</v>
      </c>
      <c r="K2706" s="2043">
        <v>0</v>
      </c>
      <c r="L2706" s="2043">
        <v>0</v>
      </c>
      <c r="M2706">
        <v>599</v>
      </c>
      <c r="N2706">
        <v>1</v>
      </c>
    </row>
    <row r="2707" spans="1:14">
      <c r="A2707" t="s">
        <v>3272</v>
      </c>
      <c r="B2707" t="s">
        <v>1909</v>
      </c>
      <c r="C2707" t="s">
        <v>1289</v>
      </c>
      <c r="D2707" s="41">
        <v>5</v>
      </c>
      <c r="E2707" s="41">
        <v>2174</v>
      </c>
      <c r="F2707" s="41" t="s">
        <v>4886</v>
      </c>
      <c r="G2707" s="41" t="s">
        <v>9420</v>
      </c>
      <c r="H2707" s="2043">
        <v>221531</v>
      </c>
      <c r="I2707" s="2043">
        <v>536527</v>
      </c>
      <c r="J2707">
        <v>1</v>
      </c>
      <c r="K2707" s="2043">
        <v>221531</v>
      </c>
      <c r="L2707" s="2043">
        <v>221531</v>
      </c>
      <c r="M2707">
        <v>599</v>
      </c>
      <c r="N2707">
        <v>1</v>
      </c>
    </row>
    <row r="2708" spans="1:14">
      <c r="A2708" t="s">
        <v>3273</v>
      </c>
      <c r="B2708" t="s">
        <v>1080</v>
      </c>
      <c r="C2708" t="s">
        <v>1820</v>
      </c>
      <c r="D2708" s="41">
        <v>1</v>
      </c>
      <c r="E2708" s="41">
        <v>2340</v>
      </c>
      <c r="F2708" s="41" t="s">
        <v>4887</v>
      </c>
      <c r="G2708" s="41" t="s">
        <v>4887</v>
      </c>
      <c r="H2708" s="2043">
        <v>100000</v>
      </c>
      <c r="I2708" s="2043">
        <v>0</v>
      </c>
      <c r="J2708">
        <v>0</v>
      </c>
      <c r="K2708" s="2043">
        <v>0</v>
      </c>
      <c r="L2708" s="2043">
        <v>0</v>
      </c>
      <c r="M2708">
        <v>599</v>
      </c>
      <c r="N2708">
        <v>0</v>
      </c>
    </row>
    <row r="2709" spans="1:14">
      <c r="A2709" t="s">
        <v>3273</v>
      </c>
      <c r="B2709" t="s">
        <v>1080</v>
      </c>
      <c r="C2709" t="s">
        <v>1820</v>
      </c>
      <c r="D2709" s="41">
        <v>1</v>
      </c>
      <c r="E2709" s="41">
        <v>2340</v>
      </c>
      <c r="F2709" s="41" t="s">
        <v>4887</v>
      </c>
      <c r="G2709" s="41" t="s">
        <v>4888</v>
      </c>
      <c r="H2709" s="2043">
        <v>100000</v>
      </c>
      <c r="I2709" s="2043">
        <v>75002</v>
      </c>
      <c r="J2709">
        <v>1</v>
      </c>
      <c r="K2709" s="2043">
        <v>100000</v>
      </c>
      <c r="L2709" s="2043">
        <v>75002</v>
      </c>
      <c r="M2709">
        <v>599</v>
      </c>
      <c r="N2709">
        <v>1</v>
      </c>
    </row>
    <row r="2710" spans="1:14">
      <c r="A2710" t="s">
        <v>3273</v>
      </c>
      <c r="B2710" t="s">
        <v>1080</v>
      </c>
      <c r="C2710" t="s">
        <v>1820</v>
      </c>
      <c r="D2710" s="41">
        <v>5</v>
      </c>
      <c r="E2710" s="41">
        <v>2341</v>
      </c>
      <c r="F2710" s="41" t="s">
        <v>4889</v>
      </c>
      <c r="G2710" s="41" t="s">
        <v>4889</v>
      </c>
      <c r="H2710" s="2043">
        <v>100000</v>
      </c>
      <c r="I2710" s="2043">
        <v>0</v>
      </c>
      <c r="J2710">
        <v>0</v>
      </c>
      <c r="K2710" s="2043">
        <v>0</v>
      </c>
      <c r="L2710" s="2043">
        <v>0</v>
      </c>
      <c r="M2710">
        <v>599</v>
      </c>
      <c r="N2710">
        <v>0</v>
      </c>
    </row>
    <row r="2711" spans="1:14">
      <c r="A2711" t="s">
        <v>3273</v>
      </c>
      <c r="B2711" t="s">
        <v>1080</v>
      </c>
      <c r="C2711" t="s">
        <v>1820</v>
      </c>
      <c r="D2711" s="41">
        <v>5</v>
      </c>
      <c r="E2711" s="41">
        <v>2341</v>
      </c>
      <c r="F2711" s="41" t="s">
        <v>4889</v>
      </c>
      <c r="G2711" s="41" t="s">
        <v>4888</v>
      </c>
      <c r="H2711" s="2043">
        <v>100000</v>
      </c>
      <c r="I2711" s="2043">
        <v>113868</v>
      </c>
      <c r="J2711">
        <v>1</v>
      </c>
      <c r="K2711" s="2043">
        <v>100000</v>
      </c>
      <c r="L2711" s="2043">
        <v>100000</v>
      </c>
      <c r="M2711">
        <v>599</v>
      </c>
      <c r="N2711">
        <v>1</v>
      </c>
    </row>
    <row r="2712" spans="1:14">
      <c r="A2712" t="s">
        <v>3274</v>
      </c>
      <c r="B2712" t="s">
        <v>860</v>
      </c>
      <c r="C2712" t="s">
        <v>815</v>
      </c>
      <c r="D2712" s="41">
        <v>2</v>
      </c>
      <c r="E2712" s="41">
        <v>1851</v>
      </c>
      <c r="F2712" s="41" t="s">
        <v>4890</v>
      </c>
      <c r="G2712" s="41" t="s">
        <v>4890</v>
      </c>
      <c r="H2712" s="2043">
        <v>126142</v>
      </c>
      <c r="I2712" s="2043">
        <v>0</v>
      </c>
      <c r="J2712">
        <v>0</v>
      </c>
      <c r="L2712" s="2043">
        <v>0</v>
      </c>
      <c r="M2712">
        <v>599</v>
      </c>
      <c r="N2712">
        <v>0</v>
      </c>
    </row>
    <row r="2713" spans="1:14">
      <c r="A2713" t="s">
        <v>3274</v>
      </c>
      <c r="B2713" t="s">
        <v>860</v>
      </c>
      <c r="C2713" t="s">
        <v>815</v>
      </c>
      <c r="D2713" s="41">
        <v>6</v>
      </c>
      <c r="E2713" s="41">
        <v>1852</v>
      </c>
      <c r="F2713" s="41" t="s">
        <v>4891</v>
      </c>
      <c r="G2713" s="41" t="s">
        <v>4891</v>
      </c>
      <c r="H2713" s="2043">
        <v>486964</v>
      </c>
      <c r="I2713" s="2043">
        <v>0</v>
      </c>
      <c r="J2713">
        <v>0</v>
      </c>
      <c r="K2713" s="2043">
        <v>0</v>
      </c>
      <c r="L2713" s="2043">
        <v>0</v>
      </c>
      <c r="M2713">
        <v>599</v>
      </c>
      <c r="N2713">
        <v>0</v>
      </c>
    </row>
    <row r="2714" spans="1:14">
      <c r="A2714" t="s">
        <v>3274</v>
      </c>
      <c r="B2714" t="s">
        <v>860</v>
      </c>
      <c r="C2714" t="s">
        <v>815</v>
      </c>
      <c r="D2714" s="41">
        <v>6</v>
      </c>
      <c r="E2714" s="41">
        <v>1852</v>
      </c>
      <c r="F2714" s="41" t="s">
        <v>4891</v>
      </c>
      <c r="G2714" s="41" t="s">
        <v>4892</v>
      </c>
      <c r="H2714" s="2043">
        <v>486964</v>
      </c>
      <c r="I2714" s="2043">
        <v>460328</v>
      </c>
      <c r="J2714">
        <v>1</v>
      </c>
      <c r="K2714" s="2043">
        <v>486964</v>
      </c>
      <c r="L2714" s="2043">
        <v>460328</v>
      </c>
      <c r="M2714">
        <v>599</v>
      </c>
      <c r="N2714">
        <v>1</v>
      </c>
    </row>
    <row r="2715" spans="1:14">
      <c r="A2715" t="s">
        <v>3274</v>
      </c>
      <c r="B2715" t="s">
        <v>860</v>
      </c>
      <c r="C2715" t="s">
        <v>815</v>
      </c>
      <c r="D2715" s="41">
        <v>9</v>
      </c>
      <c r="E2715" s="41">
        <v>1853</v>
      </c>
      <c r="F2715" s="41" t="s">
        <v>4893</v>
      </c>
      <c r="G2715" s="41" t="s">
        <v>4893</v>
      </c>
      <c r="H2715" s="2043">
        <v>557500</v>
      </c>
      <c r="I2715" s="2043">
        <v>0</v>
      </c>
      <c r="J2715">
        <v>0</v>
      </c>
      <c r="K2715" s="2043">
        <v>0</v>
      </c>
      <c r="L2715" s="2043">
        <v>0</v>
      </c>
      <c r="M2715">
        <v>599</v>
      </c>
      <c r="N2715">
        <v>0</v>
      </c>
    </row>
    <row r="2716" spans="1:14">
      <c r="A2716" t="s">
        <v>3274</v>
      </c>
      <c r="B2716" t="s">
        <v>860</v>
      </c>
      <c r="C2716" t="s">
        <v>815</v>
      </c>
      <c r="D2716" s="41">
        <v>9</v>
      </c>
      <c r="E2716" s="41">
        <v>1853</v>
      </c>
      <c r="F2716" s="41" t="s">
        <v>4893</v>
      </c>
      <c r="G2716" s="41" t="s">
        <v>4894</v>
      </c>
      <c r="H2716" s="2043">
        <v>557500</v>
      </c>
      <c r="I2716" s="2043">
        <v>1914903</v>
      </c>
      <c r="J2716">
        <v>1</v>
      </c>
      <c r="K2716" s="2043">
        <v>557500</v>
      </c>
      <c r="L2716" s="2043">
        <v>557500</v>
      </c>
      <c r="M2716">
        <v>599</v>
      </c>
      <c r="N2716">
        <v>1</v>
      </c>
    </row>
    <row r="2717" spans="1:14">
      <c r="A2717" t="s">
        <v>3275</v>
      </c>
      <c r="B2717" t="s">
        <v>1416</v>
      </c>
      <c r="C2717" t="s">
        <v>779</v>
      </c>
      <c r="D2717" s="41">
        <v>4</v>
      </c>
      <c r="E2717" s="41">
        <v>2160</v>
      </c>
      <c r="F2717" s="41" t="s">
        <v>4895</v>
      </c>
      <c r="G2717" s="41" t="s">
        <v>4895</v>
      </c>
      <c r="H2717" s="2043">
        <v>195206</v>
      </c>
      <c r="I2717" s="2043">
        <v>0</v>
      </c>
      <c r="J2717">
        <v>0</v>
      </c>
      <c r="L2717" s="2043">
        <v>0</v>
      </c>
      <c r="M2717">
        <v>599</v>
      </c>
      <c r="N2717">
        <v>0</v>
      </c>
    </row>
    <row r="2718" spans="1:14">
      <c r="A2718" t="s">
        <v>3275</v>
      </c>
      <c r="B2718" t="s">
        <v>1416</v>
      </c>
      <c r="C2718" t="s">
        <v>779</v>
      </c>
      <c r="D2718" s="41">
        <v>4</v>
      </c>
      <c r="E2718" s="41">
        <v>2160</v>
      </c>
      <c r="F2718" s="41" t="s">
        <v>4895</v>
      </c>
      <c r="G2718" s="41" t="s">
        <v>4896</v>
      </c>
      <c r="H2718" s="2043">
        <v>195206</v>
      </c>
      <c r="I2718" s="2043">
        <v>0</v>
      </c>
      <c r="J2718">
        <v>0</v>
      </c>
      <c r="L2718" s="2043">
        <v>0</v>
      </c>
      <c r="M2718">
        <v>599</v>
      </c>
      <c r="N2718">
        <v>1</v>
      </c>
    </row>
    <row r="2719" spans="1:14">
      <c r="A2719" t="s">
        <v>3275</v>
      </c>
      <c r="B2719" t="s">
        <v>1416</v>
      </c>
      <c r="C2719" t="s">
        <v>779</v>
      </c>
      <c r="D2719" s="41">
        <v>5</v>
      </c>
      <c r="E2719" s="41">
        <v>2159</v>
      </c>
      <c r="F2719" s="41" t="s">
        <v>4897</v>
      </c>
      <c r="G2719" s="41" t="s">
        <v>4897</v>
      </c>
      <c r="H2719" s="2043">
        <v>188253</v>
      </c>
      <c r="I2719" s="2043">
        <v>0</v>
      </c>
      <c r="J2719">
        <v>0</v>
      </c>
      <c r="K2719" s="2043">
        <v>0</v>
      </c>
      <c r="L2719" s="2043">
        <v>0</v>
      </c>
      <c r="M2719">
        <v>599</v>
      </c>
      <c r="N2719">
        <v>0</v>
      </c>
    </row>
    <row r="2720" spans="1:14">
      <c r="A2720" t="s">
        <v>3275</v>
      </c>
      <c r="B2720" t="s">
        <v>1416</v>
      </c>
      <c r="C2720" t="s">
        <v>779</v>
      </c>
      <c r="D2720" s="41">
        <v>5</v>
      </c>
      <c r="E2720" s="41">
        <v>2159</v>
      </c>
      <c r="F2720" s="41" t="s">
        <v>4897</v>
      </c>
      <c r="G2720" s="41" t="s">
        <v>4898</v>
      </c>
      <c r="H2720" s="2043">
        <v>188253</v>
      </c>
      <c r="I2720" s="2043">
        <v>189300</v>
      </c>
      <c r="J2720">
        <v>1</v>
      </c>
      <c r="K2720" s="2043">
        <v>188253</v>
      </c>
      <c r="L2720" s="2043">
        <v>188253</v>
      </c>
      <c r="M2720">
        <v>599</v>
      </c>
      <c r="N2720">
        <v>1</v>
      </c>
    </row>
    <row r="2721" spans="1:14">
      <c r="A2721" t="s">
        <v>3276</v>
      </c>
      <c r="B2721" t="s">
        <v>2268</v>
      </c>
      <c r="C2721" t="s">
        <v>398</v>
      </c>
      <c r="D2721" s="41">
        <v>2</v>
      </c>
      <c r="E2721" s="41">
        <v>1739</v>
      </c>
      <c r="F2721" s="41" t="s">
        <v>4899</v>
      </c>
      <c r="G2721" s="41" t="s">
        <v>4899</v>
      </c>
      <c r="H2721" s="2043">
        <v>396447</v>
      </c>
      <c r="I2721" s="2043">
        <v>0</v>
      </c>
      <c r="J2721">
        <v>0</v>
      </c>
      <c r="K2721" s="2043">
        <v>0</v>
      </c>
      <c r="L2721" s="2043">
        <v>0</v>
      </c>
      <c r="M2721">
        <v>599</v>
      </c>
      <c r="N2721">
        <v>0</v>
      </c>
    </row>
    <row r="2722" spans="1:14">
      <c r="A2722" t="s">
        <v>3276</v>
      </c>
      <c r="B2722" t="s">
        <v>2268</v>
      </c>
      <c r="C2722" t="s">
        <v>398</v>
      </c>
      <c r="D2722" s="41">
        <v>2</v>
      </c>
      <c r="E2722" s="41">
        <v>1739</v>
      </c>
      <c r="F2722" s="41" t="s">
        <v>4899</v>
      </c>
      <c r="G2722" s="41" t="s">
        <v>4900</v>
      </c>
      <c r="H2722" s="2043">
        <v>396447</v>
      </c>
      <c r="I2722" s="2043">
        <v>0</v>
      </c>
      <c r="J2722">
        <v>0</v>
      </c>
      <c r="K2722" s="2043">
        <v>0</v>
      </c>
      <c r="L2722" s="2043">
        <v>0</v>
      </c>
      <c r="M2722">
        <v>599</v>
      </c>
      <c r="N2722">
        <v>1</v>
      </c>
    </row>
    <row r="2723" spans="1:14">
      <c r="A2723" t="s">
        <v>3276</v>
      </c>
      <c r="B2723" t="s">
        <v>2268</v>
      </c>
      <c r="C2723" t="s">
        <v>398</v>
      </c>
      <c r="D2723" s="41">
        <v>2</v>
      </c>
      <c r="E2723" s="41">
        <v>1739</v>
      </c>
      <c r="F2723" s="41" t="s">
        <v>4899</v>
      </c>
      <c r="G2723" s="41" t="s">
        <v>4901</v>
      </c>
      <c r="H2723" s="2043">
        <v>396447</v>
      </c>
      <c r="I2723" s="2043">
        <v>0</v>
      </c>
      <c r="J2723">
        <v>0</v>
      </c>
      <c r="K2723" s="2043">
        <v>0</v>
      </c>
      <c r="L2723" s="2043">
        <v>0</v>
      </c>
      <c r="M2723">
        <v>599</v>
      </c>
      <c r="N2723">
        <v>1</v>
      </c>
    </row>
    <row r="2724" spans="1:14">
      <c r="A2724" t="s">
        <v>3276</v>
      </c>
      <c r="B2724" t="s">
        <v>2268</v>
      </c>
      <c r="C2724" t="s">
        <v>398</v>
      </c>
      <c r="D2724" s="41">
        <v>2</v>
      </c>
      <c r="E2724" s="41">
        <v>1739</v>
      </c>
      <c r="F2724" s="41" t="s">
        <v>4899</v>
      </c>
      <c r="G2724" s="41" t="s">
        <v>5510</v>
      </c>
      <c r="H2724" s="2043">
        <v>396447</v>
      </c>
      <c r="I2724" s="2043">
        <v>448800</v>
      </c>
      <c r="J2724">
        <v>1</v>
      </c>
      <c r="K2724" s="2043">
        <v>396447</v>
      </c>
      <c r="L2724" s="2043">
        <v>396447</v>
      </c>
      <c r="M2724">
        <v>599</v>
      </c>
      <c r="N2724">
        <v>1</v>
      </c>
    </row>
    <row r="2725" spans="1:14">
      <c r="A2725" t="s">
        <v>3276</v>
      </c>
      <c r="B2725" t="s">
        <v>2268</v>
      </c>
      <c r="C2725" t="s">
        <v>398</v>
      </c>
      <c r="D2725" s="41">
        <v>4</v>
      </c>
      <c r="E2725" s="41">
        <v>1736</v>
      </c>
      <c r="F2725" s="41" t="s">
        <v>4902</v>
      </c>
      <c r="G2725" s="41" t="s">
        <v>4902</v>
      </c>
      <c r="H2725" s="2043">
        <v>192712</v>
      </c>
      <c r="I2725" s="2043">
        <v>0</v>
      </c>
      <c r="J2725">
        <v>0</v>
      </c>
      <c r="K2725" s="2043">
        <v>0</v>
      </c>
      <c r="L2725" s="2043">
        <v>0</v>
      </c>
      <c r="M2725">
        <v>599</v>
      </c>
      <c r="N2725">
        <v>0</v>
      </c>
    </row>
    <row r="2726" spans="1:14">
      <c r="A2726" t="s">
        <v>3276</v>
      </c>
      <c r="B2726" t="s">
        <v>2268</v>
      </c>
      <c r="C2726" t="s">
        <v>398</v>
      </c>
      <c r="D2726" s="41">
        <v>4</v>
      </c>
      <c r="E2726" s="41">
        <v>1736</v>
      </c>
      <c r="F2726" s="41" t="s">
        <v>4902</v>
      </c>
      <c r="G2726" s="41" t="s">
        <v>4900</v>
      </c>
      <c r="H2726" s="2043">
        <v>192712</v>
      </c>
      <c r="I2726" s="2043">
        <v>0</v>
      </c>
      <c r="J2726">
        <v>0</v>
      </c>
      <c r="K2726" s="2043">
        <v>0</v>
      </c>
      <c r="L2726" s="2043">
        <v>0</v>
      </c>
      <c r="M2726">
        <v>599</v>
      </c>
      <c r="N2726">
        <v>1</v>
      </c>
    </row>
    <row r="2727" spans="1:14">
      <c r="A2727" t="s">
        <v>3276</v>
      </c>
      <c r="B2727" t="s">
        <v>2268</v>
      </c>
      <c r="C2727" t="s">
        <v>398</v>
      </c>
      <c r="D2727" s="41">
        <v>4</v>
      </c>
      <c r="E2727" s="41">
        <v>1736</v>
      </c>
      <c r="F2727" s="41" t="s">
        <v>4902</v>
      </c>
      <c r="G2727" s="41" t="s">
        <v>4901</v>
      </c>
      <c r="H2727" s="2043">
        <v>192712</v>
      </c>
      <c r="I2727" s="2043">
        <v>0</v>
      </c>
      <c r="J2727">
        <v>0</v>
      </c>
      <c r="K2727" s="2043">
        <v>0</v>
      </c>
      <c r="L2727" s="2043">
        <v>0</v>
      </c>
      <c r="M2727">
        <v>599</v>
      </c>
      <c r="N2727">
        <v>1</v>
      </c>
    </row>
    <row r="2728" spans="1:14">
      <c r="A2728" t="s">
        <v>3276</v>
      </c>
      <c r="B2728" t="s">
        <v>2268</v>
      </c>
      <c r="C2728" t="s">
        <v>398</v>
      </c>
      <c r="D2728" s="41">
        <v>4</v>
      </c>
      <c r="E2728" s="41">
        <v>1736</v>
      </c>
      <c r="F2728" s="41" t="s">
        <v>4902</v>
      </c>
      <c r="G2728" s="41" t="s">
        <v>5510</v>
      </c>
      <c r="H2728" s="2043">
        <v>192712</v>
      </c>
      <c r="I2728" s="2043">
        <v>160850</v>
      </c>
      <c r="J2728">
        <v>1</v>
      </c>
      <c r="K2728" s="2043">
        <v>192712</v>
      </c>
      <c r="L2728" s="2043">
        <v>160850</v>
      </c>
      <c r="M2728">
        <v>599</v>
      </c>
      <c r="N2728">
        <v>1</v>
      </c>
    </row>
    <row r="2729" spans="1:14">
      <c r="A2729" t="s">
        <v>3276</v>
      </c>
      <c r="B2729" t="s">
        <v>2268</v>
      </c>
      <c r="C2729" t="s">
        <v>398</v>
      </c>
      <c r="D2729" s="41">
        <v>5</v>
      </c>
      <c r="E2729" s="41">
        <v>1737</v>
      </c>
      <c r="F2729" s="41" t="s">
        <v>4903</v>
      </c>
      <c r="G2729" s="41" t="s">
        <v>4903</v>
      </c>
      <c r="H2729" s="2043">
        <v>197353</v>
      </c>
      <c r="I2729" s="2043">
        <v>0</v>
      </c>
      <c r="J2729">
        <v>0</v>
      </c>
      <c r="K2729" s="2043">
        <v>0</v>
      </c>
      <c r="L2729" s="2043">
        <v>0</v>
      </c>
      <c r="M2729">
        <v>599</v>
      </c>
      <c r="N2729">
        <v>0</v>
      </c>
    </row>
    <row r="2730" spans="1:14">
      <c r="A2730" t="s">
        <v>3276</v>
      </c>
      <c r="B2730" t="s">
        <v>2268</v>
      </c>
      <c r="C2730" t="s">
        <v>398</v>
      </c>
      <c r="D2730" s="41">
        <v>5</v>
      </c>
      <c r="E2730" s="41">
        <v>1737</v>
      </c>
      <c r="F2730" s="41" t="s">
        <v>4903</v>
      </c>
      <c r="G2730" s="41" t="s">
        <v>4900</v>
      </c>
      <c r="H2730" s="2043">
        <v>197353</v>
      </c>
      <c r="I2730" s="2043">
        <v>0</v>
      </c>
      <c r="J2730">
        <v>0</v>
      </c>
      <c r="K2730" s="2043">
        <v>0</v>
      </c>
      <c r="L2730" s="2043">
        <v>0</v>
      </c>
      <c r="M2730">
        <v>599</v>
      </c>
      <c r="N2730">
        <v>1</v>
      </c>
    </row>
    <row r="2731" spans="1:14">
      <c r="A2731" t="s">
        <v>3276</v>
      </c>
      <c r="B2731" t="s">
        <v>2268</v>
      </c>
      <c r="C2731" t="s">
        <v>398</v>
      </c>
      <c r="D2731" s="41">
        <v>5</v>
      </c>
      <c r="E2731" s="41">
        <v>1737</v>
      </c>
      <c r="F2731" s="41" t="s">
        <v>4903</v>
      </c>
      <c r="G2731" s="41" t="s">
        <v>4901</v>
      </c>
      <c r="H2731" s="2043">
        <v>197353</v>
      </c>
      <c r="I2731" s="2043">
        <v>0</v>
      </c>
      <c r="J2731">
        <v>0</v>
      </c>
      <c r="K2731" s="2043">
        <v>0</v>
      </c>
      <c r="L2731" s="2043">
        <v>0</v>
      </c>
      <c r="M2731">
        <v>599</v>
      </c>
      <c r="N2731">
        <v>1</v>
      </c>
    </row>
    <row r="2732" spans="1:14">
      <c r="A2732" t="s">
        <v>3276</v>
      </c>
      <c r="B2732" t="s">
        <v>2268</v>
      </c>
      <c r="C2732" t="s">
        <v>398</v>
      </c>
      <c r="D2732" s="41">
        <v>5</v>
      </c>
      <c r="E2732" s="41">
        <v>1737</v>
      </c>
      <c r="F2732" s="41" t="s">
        <v>4903</v>
      </c>
      <c r="G2732" s="41" t="s">
        <v>5510</v>
      </c>
      <c r="H2732" s="2043">
        <v>197353</v>
      </c>
      <c r="I2732" s="2043">
        <v>180450</v>
      </c>
      <c r="J2732">
        <v>1</v>
      </c>
      <c r="K2732" s="2043">
        <v>197353</v>
      </c>
      <c r="L2732" s="2043">
        <v>180450</v>
      </c>
      <c r="M2732">
        <v>599</v>
      </c>
      <c r="N2732">
        <v>1</v>
      </c>
    </row>
    <row r="2733" spans="1:14">
      <c r="A2733" t="s">
        <v>3276</v>
      </c>
      <c r="B2733" t="s">
        <v>2268</v>
      </c>
      <c r="C2733" t="s">
        <v>398</v>
      </c>
      <c r="D2733" s="41">
        <v>6</v>
      </c>
      <c r="E2733" s="41">
        <v>1738</v>
      </c>
      <c r="F2733" s="41" t="s">
        <v>4904</v>
      </c>
      <c r="G2733" s="41" t="s">
        <v>4904</v>
      </c>
      <c r="H2733" s="2043">
        <v>209248</v>
      </c>
      <c r="I2733" s="2043">
        <v>0</v>
      </c>
      <c r="J2733">
        <v>0</v>
      </c>
      <c r="K2733" s="2043">
        <v>0</v>
      </c>
      <c r="L2733" s="2043">
        <v>0</v>
      </c>
      <c r="M2733">
        <v>599</v>
      </c>
      <c r="N2733">
        <v>0</v>
      </c>
    </row>
    <row r="2734" spans="1:14">
      <c r="A2734" t="s">
        <v>3276</v>
      </c>
      <c r="B2734" t="s">
        <v>2268</v>
      </c>
      <c r="C2734" t="s">
        <v>398</v>
      </c>
      <c r="D2734" s="41">
        <v>6</v>
      </c>
      <c r="E2734" s="41">
        <v>1738</v>
      </c>
      <c r="F2734" s="41" t="s">
        <v>4904</v>
      </c>
      <c r="G2734" s="41" t="s">
        <v>4901</v>
      </c>
      <c r="H2734" s="2043">
        <v>209248</v>
      </c>
      <c r="I2734" s="2043">
        <v>107326</v>
      </c>
      <c r="J2734">
        <v>1</v>
      </c>
      <c r="K2734" s="2043">
        <v>209248</v>
      </c>
      <c r="L2734" s="2043">
        <v>107326</v>
      </c>
      <c r="M2734">
        <v>599</v>
      </c>
      <c r="N2734">
        <v>1</v>
      </c>
    </row>
    <row r="2735" spans="1:14">
      <c r="A2735" t="s">
        <v>3276</v>
      </c>
      <c r="B2735" t="s">
        <v>2268</v>
      </c>
      <c r="C2735" t="s">
        <v>398</v>
      </c>
      <c r="D2735" s="41">
        <v>8</v>
      </c>
      <c r="E2735" s="41">
        <v>1740</v>
      </c>
      <c r="F2735" s="41" t="s">
        <v>4905</v>
      </c>
      <c r="G2735" s="41" t="s">
        <v>4905</v>
      </c>
      <c r="H2735" s="2043">
        <v>464096</v>
      </c>
      <c r="I2735" s="2043">
        <v>0</v>
      </c>
      <c r="J2735">
        <v>0</v>
      </c>
      <c r="K2735" s="2043">
        <v>0</v>
      </c>
      <c r="L2735" s="2043">
        <v>0</v>
      </c>
      <c r="M2735">
        <v>599</v>
      </c>
      <c r="N2735">
        <v>1</v>
      </c>
    </row>
    <row r="2736" spans="1:14">
      <c r="A2736" t="s">
        <v>3276</v>
      </c>
      <c r="B2736" t="s">
        <v>2268</v>
      </c>
      <c r="C2736" t="s">
        <v>398</v>
      </c>
      <c r="D2736" s="41">
        <v>8</v>
      </c>
      <c r="E2736" s="41">
        <v>1740</v>
      </c>
      <c r="F2736" s="41" t="s">
        <v>4905</v>
      </c>
      <c r="G2736" s="41" t="s">
        <v>5511</v>
      </c>
      <c r="H2736" s="2043">
        <v>464096</v>
      </c>
      <c r="I2736" s="2043">
        <v>565244</v>
      </c>
      <c r="J2736">
        <v>1</v>
      </c>
      <c r="K2736" s="2043">
        <v>464096</v>
      </c>
      <c r="L2736" s="2043">
        <v>464096</v>
      </c>
      <c r="M2736">
        <v>599</v>
      </c>
      <c r="N2736">
        <v>1</v>
      </c>
    </row>
    <row r="2737" spans="1:14">
      <c r="A2737" t="s">
        <v>3277</v>
      </c>
      <c r="B2737" t="s">
        <v>1594</v>
      </c>
      <c r="C2737" t="s">
        <v>1791</v>
      </c>
      <c r="D2737" s="41">
        <v>4</v>
      </c>
      <c r="E2737" s="41">
        <v>1987</v>
      </c>
      <c r="F2737" s="41" t="s">
        <v>4906</v>
      </c>
      <c r="G2737" s="41" t="s">
        <v>4906</v>
      </c>
      <c r="H2737" s="2043">
        <v>100000</v>
      </c>
      <c r="I2737" s="2043">
        <v>0</v>
      </c>
      <c r="J2737">
        <v>0</v>
      </c>
      <c r="K2737" s="2043">
        <v>0</v>
      </c>
      <c r="L2737" s="2043">
        <v>0</v>
      </c>
      <c r="M2737">
        <v>599</v>
      </c>
      <c r="N2737">
        <v>0</v>
      </c>
    </row>
    <row r="2738" spans="1:14">
      <c r="A2738" t="s">
        <v>3277</v>
      </c>
      <c r="B2738" t="s">
        <v>1594</v>
      </c>
      <c r="C2738" t="s">
        <v>1791</v>
      </c>
      <c r="D2738" s="41">
        <v>4</v>
      </c>
      <c r="E2738" s="41">
        <v>1987</v>
      </c>
      <c r="F2738" s="41" t="s">
        <v>4906</v>
      </c>
      <c r="G2738" s="41" t="s">
        <v>4907</v>
      </c>
      <c r="H2738" s="2043">
        <v>100000</v>
      </c>
      <c r="I2738" s="2043">
        <v>0</v>
      </c>
      <c r="J2738">
        <v>0</v>
      </c>
      <c r="K2738" s="2043">
        <v>0</v>
      </c>
      <c r="L2738" s="2043">
        <v>0</v>
      </c>
      <c r="M2738">
        <v>599</v>
      </c>
      <c r="N2738">
        <v>1</v>
      </c>
    </row>
    <row r="2739" spans="1:14">
      <c r="A2739" t="s">
        <v>3277</v>
      </c>
      <c r="B2739" t="s">
        <v>1594</v>
      </c>
      <c r="C2739" t="s">
        <v>1791</v>
      </c>
      <c r="D2739" s="41">
        <v>4</v>
      </c>
      <c r="E2739" s="41">
        <v>1987</v>
      </c>
      <c r="F2739" s="41" t="s">
        <v>4906</v>
      </c>
      <c r="G2739" s="41" t="s">
        <v>5681</v>
      </c>
      <c r="H2739" s="2043">
        <v>100000</v>
      </c>
      <c r="I2739" s="2043">
        <v>85150</v>
      </c>
      <c r="J2739">
        <v>1</v>
      </c>
      <c r="K2739" s="2043">
        <v>100000</v>
      </c>
      <c r="L2739" s="2043">
        <v>85150</v>
      </c>
      <c r="M2739">
        <v>599</v>
      </c>
      <c r="N2739">
        <v>1</v>
      </c>
    </row>
    <row r="2740" spans="1:14">
      <c r="A2740" t="s">
        <v>3277</v>
      </c>
      <c r="B2740" t="s">
        <v>1594</v>
      </c>
      <c r="C2740" t="s">
        <v>1791</v>
      </c>
      <c r="D2740" s="41">
        <v>8</v>
      </c>
      <c r="E2740" s="41">
        <v>1986</v>
      </c>
      <c r="F2740" s="41" t="s">
        <v>4907</v>
      </c>
      <c r="G2740" s="41" t="s">
        <v>4907</v>
      </c>
      <c r="H2740" s="2043">
        <v>95242</v>
      </c>
      <c r="I2740" s="2043">
        <v>0</v>
      </c>
      <c r="J2740">
        <v>0</v>
      </c>
      <c r="K2740" s="2043">
        <v>0</v>
      </c>
      <c r="L2740" s="2043">
        <v>0</v>
      </c>
      <c r="M2740">
        <v>599</v>
      </c>
      <c r="N2740">
        <v>1</v>
      </c>
    </row>
    <row r="2741" spans="1:14">
      <c r="A2741" t="s">
        <v>3277</v>
      </c>
      <c r="B2741" t="s">
        <v>1594</v>
      </c>
      <c r="C2741" t="s">
        <v>1791</v>
      </c>
      <c r="D2741" s="41">
        <v>8</v>
      </c>
      <c r="E2741" s="41">
        <v>1986</v>
      </c>
      <c r="F2741" s="41" t="s">
        <v>4907</v>
      </c>
      <c r="G2741" s="41" t="s">
        <v>5681</v>
      </c>
      <c r="H2741" s="2043">
        <v>95242</v>
      </c>
      <c r="I2741" s="2043">
        <v>86800</v>
      </c>
      <c r="J2741">
        <v>1</v>
      </c>
      <c r="K2741" s="2043">
        <v>95242</v>
      </c>
      <c r="L2741" s="2043">
        <v>86800</v>
      </c>
      <c r="M2741">
        <v>599</v>
      </c>
      <c r="N2741">
        <v>1</v>
      </c>
    </row>
    <row r="2742" spans="1:14">
      <c r="L2742" s="2043">
        <v>778997287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O46"/>
  <sheetViews>
    <sheetView topLeftCell="A16" workbookViewId="0">
      <selection activeCell="D24" sqref="D24"/>
    </sheetView>
  </sheetViews>
  <sheetFormatPr defaultColWidth="8.7265625" defaultRowHeight="12.5"/>
  <cols>
    <col min="1" max="1" width="8.1796875" style="2042" customWidth="1"/>
    <col min="2" max="2" width="99" style="2042" customWidth="1"/>
    <col min="3" max="3" width="3.54296875" style="2042" customWidth="1"/>
    <col min="4" max="4" width="22.7265625" style="2042" customWidth="1"/>
    <col min="5" max="5" width="8.7265625" style="2042" hidden="1" customWidth="1"/>
    <col min="6" max="6" width="17" style="2042" hidden="1" customWidth="1"/>
    <col min="7" max="7" width="8.7265625" style="2042" hidden="1" customWidth="1"/>
    <col min="8" max="8" width="22" style="2042" hidden="1" customWidth="1"/>
    <col min="9" max="10" width="8.7265625" style="2042"/>
    <col min="11" max="11" width="24.1796875" style="2042" customWidth="1"/>
    <col min="12" max="12" width="8.7265625" style="2042"/>
    <col min="13" max="13" width="19.81640625" style="2042" customWidth="1"/>
    <col min="14" max="14" width="9.7265625" style="2042" bestFit="1" customWidth="1"/>
    <col min="15" max="16384" width="8.7265625" style="2042"/>
  </cols>
  <sheetData>
    <row r="1" spans="1:8" ht="13">
      <c r="A1" s="662" t="s">
        <v>2716</v>
      </c>
      <c r="D1" s="1894" t="str">
        <f>'FTG-Detail2122'!D1</f>
        <v>Release 2</v>
      </c>
    </row>
    <row r="2" spans="1:8" ht="13">
      <c r="A2" s="662" t="s">
        <v>2717</v>
      </c>
      <c r="D2" s="2058">
        <f>'FTG-Detail2122'!D2</f>
        <v>44930</v>
      </c>
    </row>
    <row r="4" spans="1:8" ht="15.5">
      <c r="A4" s="2039" t="s">
        <v>9272</v>
      </c>
    </row>
    <row r="5" spans="1:8" ht="15.5">
      <c r="A5" s="248"/>
    </row>
    <row r="6" spans="1:8" ht="15.5">
      <c r="A6" s="246">
        <f>'Report-SOF2223-SB1'!A6</f>
        <v>0</v>
      </c>
    </row>
    <row r="8" spans="1:8" ht="17.5">
      <c r="A8" s="2385"/>
      <c r="B8" s="2386"/>
      <c r="C8" s="2386"/>
      <c r="D8" s="2387" t="s">
        <v>2631</v>
      </c>
    </row>
    <row r="9" spans="1:8" ht="18">
      <c r="A9" s="2055"/>
      <c r="B9" s="2059" t="s">
        <v>8698</v>
      </c>
      <c r="C9" s="2059"/>
      <c r="D9" s="2388" t="s">
        <v>2628</v>
      </c>
    </row>
    <row r="10" spans="1:8" ht="20.149999999999999" customHeight="1">
      <c r="A10" s="2185" t="s">
        <v>2063</v>
      </c>
      <c r="B10" s="2186" t="s">
        <v>8910</v>
      </c>
      <c r="C10" s="2186"/>
      <c r="D10" s="3121">
        <f>IF(ISNA('DE1'!C163),0,'DE1'!C163)</f>
        <v>0</v>
      </c>
    </row>
    <row r="11" spans="1:8" ht="20.149999999999999" customHeight="1">
      <c r="A11" s="3189" t="s">
        <v>2064</v>
      </c>
      <c r="B11" s="3116" t="s">
        <v>11159</v>
      </c>
      <c r="C11" s="3116"/>
      <c r="D11" s="3122">
        <f>SUM(H11:H13)</f>
        <v>-1</v>
      </c>
      <c r="H11" s="105">
        <f>MIN(D10,'Data Entry - SOF'!E72)</f>
        <v>0</v>
      </c>
    </row>
    <row r="12" spans="1:8" ht="20.149999999999999" customHeight="1">
      <c r="B12" s="3114" t="s">
        <v>8912</v>
      </c>
      <c r="C12" s="3114"/>
      <c r="D12" s="3120"/>
      <c r="H12" s="105">
        <f>MIN(D10-1,0.08)</f>
        <v>-1</v>
      </c>
    </row>
    <row r="13" spans="1:8" ht="20.149999999999999" customHeight="1">
      <c r="B13" s="2126" t="s">
        <v>8913</v>
      </c>
      <c r="C13" s="2126"/>
      <c r="D13" s="3119"/>
      <c r="H13" s="2042">
        <f>MIN(0.0583,MAX(0,D10-1.08)*0.64834)</f>
        <v>0</v>
      </c>
    </row>
    <row r="14" spans="1:8" ht="20.149999999999999" customHeight="1">
      <c r="A14" s="3113" t="s">
        <v>2065</v>
      </c>
      <c r="B14" s="2186" t="s">
        <v>11165</v>
      </c>
      <c r="C14" s="2186"/>
      <c r="D14" s="3123">
        <f>'Data Entry - SOF'!E74</f>
        <v>0</v>
      </c>
    </row>
    <row r="15" spans="1:8" ht="20.149999999999999" customHeight="1">
      <c r="A15" s="3113" t="s">
        <v>862</v>
      </c>
      <c r="B15" s="3116" t="s">
        <v>8915</v>
      </c>
      <c r="C15" s="3116"/>
      <c r="D15" s="3122">
        <f>IF(D14&lt;D11,D14/D11,1)</f>
        <v>1</v>
      </c>
      <c r="G15" s="105">
        <v>5.8299999999999998E-2</v>
      </c>
    </row>
    <row r="16" spans="1:8" ht="20.149999999999999" customHeight="1">
      <c r="B16" s="2126" t="s">
        <v>11166</v>
      </c>
      <c r="C16" s="2126"/>
      <c r="D16" s="3124"/>
      <c r="E16" s="105">
        <v>0.93</v>
      </c>
      <c r="F16" s="105">
        <v>0.08</v>
      </c>
      <c r="G16" s="105">
        <f>MIN(0.0583,G15)</f>
        <v>5.8299999999999998E-2</v>
      </c>
    </row>
    <row r="17" spans="1:9" ht="20.149999999999999" customHeight="1">
      <c r="A17" s="2185" t="s">
        <v>863</v>
      </c>
      <c r="B17" s="2395" t="s">
        <v>12607</v>
      </c>
      <c r="C17" s="2186"/>
      <c r="D17" s="3125">
        <f>'Data Entry - SOF'!C145</f>
        <v>0</v>
      </c>
    </row>
    <row r="18" spans="1:9" ht="20.149999999999999" customHeight="1">
      <c r="A18" s="3113" t="s">
        <v>865</v>
      </c>
      <c r="B18" s="3115" t="s">
        <v>12607</v>
      </c>
      <c r="C18" s="3116"/>
      <c r="D18" s="3126">
        <f>D17*D15</f>
        <v>0</v>
      </c>
    </row>
    <row r="19" spans="1:9" ht="20.149999999999999" customHeight="1">
      <c r="A19" s="2784"/>
      <c r="B19" s="2126" t="s">
        <v>11160</v>
      </c>
      <c r="C19" s="2126"/>
      <c r="D19" s="3124"/>
    </row>
    <row r="20" spans="1:9" ht="20.149999999999999" customHeight="1">
      <c r="A20" s="2185" t="s">
        <v>866</v>
      </c>
      <c r="B20" s="2395" t="s">
        <v>12608</v>
      </c>
      <c r="C20" s="2186"/>
      <c r="D20" s="3123">
        <f>'Data Entry - SOF'!C146</f>
        <v>0</v>
      </c>
    </row>
    <row r="21" spans="1:9" ht="20.149999999999999" customHeight="1">
      <c r="A21" s="3113" t="s">
        <v>867</v>
      </c>
      <c r="B21" s="3115" t="s">
        <v>12609</v>
      </c>
      <c r="C21" s="3116"/>
      <c r="D21" s="3122">
        <f>D20*D15</f>
        <v>0</v>
      </c>
    </row>
    <row r="22" spans="1:9" ht="20.149999999999999" customHeight="1">
      <c r="B22" s="2126" t="s">
        <v>11160</v>
      </c>
      <c r="C22" s="2126"/>
      <c r="D22" s="3124"/>
    </row>
    <row r="23" spans="1:9" ht="20.149999999999999" customHeight="1">
      <c r="A23" s="2185" t="s">
        <v>109</v>
      </c>
      <c r="B23" s="2186" t="s">
        <v>9274</v>
      </c>
      <c r="C23" s="2186"/>
      <c r="D23" s="3123">
        <f>'Data Entry - SOF'!E19</f>
        <v>0</v>
      </c>
    </row>
    <row r="24" spans="1:9" ht="20.149999999999999" customHeight="1">
      <c r="A24" s="2185" t="s">
        <v>110</v>
      </c>
      <c r="B24" s="2429" t="s">
        <v>11161</v>
      </c>
      <c r="C24" s="2186"/>
      <c r="D24" s="3125">
        <f>MAX(D18,D21)*D23</f>
        <v>0</v>
      </c>
    </row>
    <row r="25" spans="1:9" ht="20.149999999999999" customHeight="1">
      <c r="A25" s="2185" t="s">
        <v>111</v>
      </c>
      <c r="B25" s="2186" t="s">
        <v>9275</v>
      </c>
      <c r="C25" s="2186"/>
      <c r="D25" s="3125" t="e">
        <f>'SOF2223-HB3'!I114+'SOF2223-HB3'!I118</f>
        <v>#DIV/0!</v>
      </c>
    </row>
    <row r="26" spans="1:9" ht="20.149999999999999" customHeight="1">
      <c r="A26" s="3113" t="s">
        <v>112</v>
      </c>
      <c r="B26" s="3116" t="s">
        <v>11162</v>
      </c>
      <c r="C26" s="3116"/>
      <c r="D26" s="3126" t="e">
        <f>IF(D25&lt;D24,D24-D25,0)</f>
        <v>#DIV/0!</v>
      </c>
    </row>
    <row r="27" spans="1:9" ht="20.149999999999999" customHeight="1">
      <c r="A27" s="3117"/>
      <c r="B27" s="2126" t="s">
        <v>11163</v>
      </c>
      <c r="C27" s="2126"/>
      <c r="D27" s="3124"/>
    </row>
    <row r="28" spans="1:9" ht="20.149999999999999" customHeight="1">
      <c r="A28" s="3118" t="s">
        <v>1424</v>
      </c>
      <c r="B28" s="2971" t="s">
        <v>11164</v>
      </c>
      <c r="C28" s="2971"/>
      <c r="D28" s="3127" t="e">
        <f>D26*0.94736133</f>
        <v>#DIV/0!</v>
      </c>
      <c r="H28" s="2038" t="s">
        <v>10785</v>
      </c>
      <c r="I28" s="2033" t="s">
        <v>12617</v>
      </c>
    </row>
    <row r="29" spans="1:9" ht="20.149999999999999" customHeight="1">
      <c r="A29" s="41"/>
      <c r="B29" s="719" t="s">
        <v>8703</v>
      </c>
      <c r="C29" s="719"/>
      <c r="D29" s="2569" t="s">
        <v>9276</v>
      </c>
    </row>
    <row r="30" spans="1:9" ht="20.149999999999999" customHeight="1">
      <c r="A30" s="41"/>
    </row>
    <row r="31" spans="1:9" ht="20.149999999999999" customHeight="1">
      <c r="A31" s="41"/>
      <c r="D31" s="326"/>
    </row>
    <row r="32" spans="1:9" ht="20.149999999999999" customHeight="1">
      <c r="A32" s="41"/>
    </row>
    <row r="33" spans="1:15" ht="20.149999999999999" customHeight="1">
      <c r="A33" s="41"/>
    </row>
    <row r="34" spans="1:15" ht="20.149999999999999" customHeight="1"/>
    <row r="35" spans="1:15" ht="20.149999999999999" customHeight="1"/>
    <row r="36" spans="1:15" ht="20.149999999999999" customHeight="1"/>
    <row r="37" spans="1:15" ht="20.149999999999999" customHeight="1"/>
    <row r="38" spans="1:15" ht="20.149999999999999" customHeight="1"/>
    <row r="39" spans="1:15" ht="20.149999999999999" customHeight="1"/>
    <row r="40" spans="1:15" ht="20.149999999999999" customHeight="1"/>
    <row r="41" spans="1:15" ht="20.149999999999999" customHeight="1">
      <c r="M41" s="2043"/>
      <c r="N41" s="2043"/>
      <c r="O41" s="2043"/>
    </row>
    <row r="42" spans="1:15" ht="20.149999999999999" customHeight="1">
      <c r="M42" s="2043"/>
      <c r="N42" s="2043"/>
      <c r="O42" s="2043"/>
    </row>
    <row r="43" spans="1:15" ht="20.149999999999999" customHeight="1">
      <c r="K43" s="2043"/>
      <c r="L43" s="2043"/>
      <c r="M43" s="2043"/>
      <c r="N43" s="2043"/>
      <c r="O43" s="2043"/>
    </row>
    <row r="44" spans="1:15" ht="20.149999999999999" customHeight="1">
      <c r="K44" s="2043"/>
      <c r="L44" s="2043"/>
      <c r="M44" s="2043"/>
      <c r="N44" s="2043"/>
      <c r="O44" s="2043"/>
    </row>
    <row r="45" spans="1:15">
      <c r="K45" s="2043"/>
      <c r="L45" s="2043"/>
      <c r="M45" s="2043"/>
      <c r="N45" s="2043"/>
      <c r="O45" s="2043"/>
    </row>
    <row r="46" spans="1:15">
      <c r="K46" s="2043"/>
      <c r="L46" s="2043"/>
      <c r="M46" s="2043"/>
      <c r="N46" s="2043"/>
      <c r="O46" s="2043"/>
    </row>
  </sheetData>
  <hyperlinks>
    <hyperlink ref="D29" location="'OtherDetail2223-HB3'!A1" display="'OtherDetail2223-HB3'!A1" xr:uid="{00000000-0004-0000-1D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O43"/>
  <sheetViews>
    <sheetView workbookViewId="0">
      <selection activeCell="D1" sqref="D1"/>
    </sheetView>
  </sheetViews>
  <sheetFormatPr defaultColWidth="8.7265625" defaultRowHeight="12.5"/>
  <cols>
    <col min="1" max="1" width="8.1796875" style="2042" customWidth="1"/>
    <col min="2" max="2" width="98.81640625" style="2042" customWidth="1"/>
    <col min="3" max="3" width="3.54296875" style="2042" customWidth="1"/>
    <col min="4" max="4" width="22.7265625" style="2042" customWidth="1"/>
    <col min="5" max="5" width="8.7265625" style="2042" hidden="1" customWidth="1"/>
    <col min="6" max="6" width="17" style="2042" hidden="1" customWidth="1"/>
    <col min="7" max="7" width="8.7265625" style="2042" hidden="1" customWidth="1"/>
    <col min="8" max="8" width="18.81640625" style="2042" hidden="1" customWidth="1"/>
    <col min="9" max="10" width="8.7265625" style="2042"/>
    <col min="11" max="11" width="24.1796875" style="2042" customWidth="1"/>
    <col min="12" max="12" width="8.7265625" style="2042"/>
    <col min="13" max="13" width="19.81640625" style="2042" customWidth="1"/>
    <col min="14" max="14" width="9.7265625" style="2042" bestFit="1" customWidth="1"/>
    <col min="15" max="16384" width="8.7265625" style="2042"/>
  </cols>
  <sheetData>
    <row r="1" spans="1:8" ht="13">
      <c r="A1" s="662" t="s">
        <v>2716</v>
      </c>
      <c r="D1" s="1894" t="str">
        <f>'FTG-Detail2223'!D1</f>
        <v>Release 2</v>
      </c>
    </row>
    <row r="2" spans="1:8" ht="13">
      <c r="A2" s="662" t="s">
        <v>2717</v>
      </c>
      <c r="D2" s="2058">
        <f>'FTG-Detail2223'!D2</f>
        <v>44930</v>
      </c>
    </row>
    <row r="4" spans="1:8" ht="15.5">
      <c r="A4" s="2039" t="s">
        <v>9278</v>
      </c>
    </row>
    <row r="5" spans="1:8" ht="15.5">
      <c r="A5" s="248"/>
    </row>
    <row r="6" spans="1:8" ht="15.5">
      <c r="A6" s="246">
        <f>'Report-SOF2324-SB1'!A6</f>
        <v>0</v>
      </c>
    </row>
    <row r="8" spans="1:8" ht="17.5">
      <c r="A8" s="2385"/>
      <c r="B8" s="2386"/>
      <c r="C8" s="2386"/>
      <c r="D8" s="2387" t="s">
        <v>2631</v>
      </c>
    </row>
    <row r="9" spans="1:8" ht="18">
      <c r="A9" s="2055"/>
      <c r="B9" s="2059" t="s">
        <v>8698</v>
      </c>
      <c r="C9" s="2059"/>
      <c r="D9" s="2388" t="s">
        <v>2628</v>
      </c>
    </row>
    <row r="10" spans="1:8" ht="20.149999999999999" customHeight="1">
      <c r="A10" s="2185" t="s">
        <v>2063</v>
      </c>
      <c r="B10" s="2186" t="s">
        <v>8910</v>
      </c>
      <c r="C10" s="2186"/>
      <c r="D10" s="3121">
        <f>IF(ISNA('DE1'!C163),0,'DE1'!C163)</f>
        <v>0</v>
      </c>
    </row>
    <row r="11" spans="1:8" ht="20.149999999999999" customHeight="1">
      <c r="A11" s="3189" t="s">
        <v>2064</v>
      </c>
      <c r="B11" s="3116" t="s">
        <v>12496</v>
      </c>
      <c r="C11" s="3116"/>
      <c r="D11" s="3122" t="e">
        <f>SUM(H11:H13)</f>
        <v>#DIV/0!</v>
      </c>
      <c r="H11" s="105" t="e">
        <f>MIN(D10,'Data Entry - SOF'!G72)</f>
        <v>#DIV/0!</v>
      </c>
    </row>
    <row r="12" spans="1:8" ht="20.149999999999999" customHeight="1">
      <c r="B12" s="3114" t="s">
        <v>8912</v>
      </c>
      <c r="C12" s="3114"/>
      <c r="D12" s="3120"/>
      <c r="H12" s="105">
        <f>MIN(D10-1,0.08)</f>
        <v>-1</v>
      </c>
    </row>
    <row r="13" spans="1:8" ht="20.149999999999999" customHeight="1">
      <c r="B13" s="2126" t="s">
        <v>8913</v>
      </c>
      <c r="C13" s="2126"/>
      <c r="D13" s="3119"/>
      <c r="H13" s="2042">
        <f>MIN(0.0583,MAX(0,D10-1.08)*0.64834)</f>
        <v>0</v>
      </c>
    </row>
    <row r="14" spans="1:8" ht="20.149999999999999" customHeight="1">
      <c r="A14" s="3113" t="s">
        <v>2065</v>
      </c>
      <c r="B14" s="2186" t="s">
        <v>12497</v>
      </c>
      <c r="C14" s="2186"/>
      <c r="D14" s="3123">
        <f>'Data Entry - SOF'!G74</f>
        <v>0</v>
      </c>
    </row>
    <row r="15" spans="1:8" ht="20.149999999999999" customHeight="1">
      <c r="A15" s="3113" t="s">
        <v>862</v>
      </c>
      <c r="B15" s="3116" t="s">
        <v>8915</v>
      </c>
      <c r="C15" s="3116"/>
      <c r="D15" s="3122" t="e">
        <f>IF(D14&lt;D11,D14/D11,1)</f>
        <v>#DIV/0!</v>
      </c>
    </row>
    <row r="16" spans="1:8" ht="20.149999999999999" customHeight="1">
      <c r="B16" s="2126" t="s">
        <v>11166</v>
      </c>
      <c r="C16" s="2126"/>
      <c r="D16" s="3124"/>
      <c r="G16" s="105">
        <v>5.8299999999999998E-2</v>
      </c>
    </row>
    <row r="17" spans="1:9" ht="20.149999999999999" customHeight="1">
      <c r="A17" s="2185" t="s">
        <v>863</v>
      </c>
      <c r="B17" s="2395" t="s">
        <v>11167</v>
      </c>
      <c r="C17" s="2186"/>
      <c r="D17" s="3125">
        <f>'Data Entry - SOF'!C145</f>
        <v>0</v>
      </c>
      <c r="E17" s="105">
        <v>0.93</v>
      </c>
      <c r="F17" s="105">
        <v>0.08</v>
      </c>
      <c r="G17" s="105">
        <f>MIN(0.0583,G16)</f>
        <v>5.8299999999999998E-2</v>
      </c>
    </row>
    <row r="18" spans="1:9" ht="20.149999999999999" customHeight="1">
      <c r="A18" s="3113" t="s">
        <v>865</v>
      </c>
      <c r="B18" s="3115" t="s">
        <v>11167</v>
      </c>
      <c r="C18" s="3116"/>
      <c r="D18" s="3126" t="e">
        <f>D17*D15</f>
        <v>#DIV/0!</v>
      </c>
    </row>
    <row r="19" spans="1:9" ht="20.149999999999999" customHeight="1">
      <c r="A19" s="2784"/>
      <c r="B19" s="2126" t="s">
        <v>11160</v>
      </c>
      <c r="C19" s="2126"/>
      <c r="D19" s="3124"/>
    </row>
    <row r="20" spans="1:9" ht="20.149999999999999" customHeight="1">
      <c r="A20" s="2185" t="s">
        <v>866</v>
      </c>
      <c r="B20" s="2186" t="s">
        <v>12604</v>
      </c>
      <c r="C20" s="2186"/>
      <c r="D20" s="3123">
        <f>'Data Entry - SOF'!G19</f>
        <v>0</v>
      </c>
    </row>
    <row r="21" spans="1:9" ht="20.149999999999999" customHeight="1">
      <c r="A21" s="2185" t="s">
        <v>867</v>
      </c>
      <c r="B21" s="2429" t="s">
        <v>12610</v>
      </c>
      <c r="C21" s="2186"/>
      <c r="D21" s="3125" t="e">
        <f>D18*D20</f>
        <v>#DIV/0!</v>
      </c>
    </row>
    <row r="22" spans="1:9" ht="20.149999999999999" customHeight="1">
      <c r="A22" s="2185" t="s">
        <v>109</v>
      </c>
      <c r="B22" s="2186" t="s">
        <v>12605</v>
      </c>
      <c r="C22" s="2186"/>
      <c r="D22" s="3125" t="e">
        <f>'SOF2324-HB3'!I114+'SOF2324-HB3'!I118</f>
        <v>#DIV/0!</v>
      </c>
    </row>
    <row r="23" spans="1:9" ht="20.149999999999999" customHeight="1">
      <c r="A23" s="3113" t="s">
        <v>110</v>
      </c>
      <c r="B23" s="3116" t="s">
        <v>12611</v>
      </c>
      <c r="C23" s="3116"/>
      <c r="D23" s="3126" t="e">
        <f>IF(D22&lt;D21,D21-D22,0)</f>
        <v>#DIV/0!</v>
      </c>
    </row>
    <row r="24" spans="1:9" ht="20.149999999999999" customHeight="1">
      <c r="A24" s="3117"/>
      <c r="B24" s="2126" t="s">
        <v>12612</v>
      </c>
      <c r="C24" s="2126"/>
      <c r="D24" s="3124"/>
    </row>
    <row r="25" spans="1:9" ht="20.149999999999999" customHeight="1">
      <c r="A25" s="3118" t="s">
        <v>111</v>
      </c>
      <c r="B25" s="2971" t="s">
        <v>12613</v>
      </c>
      <c r="C25" s="2971"/>
      <c r="D25" s="3127" t="e">
        <f>D23</f>
        <v>#DIV/0!</v>
      </c>
      <c r="I25" s="36" t="s">
        <v>12606</v>
      </c>
    </row>
    <row r="26" spans="1:9" ht="20.149999999999999" customHeight="1">
      <c r="A26" s="41"/>
      <c r="B26" s="719" t="s">
        <v>8703</v>
      </c>
      <c r="C26" s="719"/>
      <c r="D26" s="2031" t="s">
        <v>9279</v>
      </c>
    </row>
    <row r="27" spans="1:9" ht="20.149999999999999" customHeight="1">
      <c r="A27" s="41"/>
    </row>
    <row r="28" spans="1:9" ht="20.149999999999999" customHeight="1">
      <c r="A28" s="41"/>
      <c r="D28" s="326"/>
    </row>
    <row r="29" spans="1:9" ht="20.149999999999999" customHeight="1">
      <c r="A29" s="41"/>
    </row>
    <row r="30" spans="1:9" ht="20.149999999999999" customHeight="1">
      <c r="A30" s="41"/>
    </row>
    <row r="31" spans="1:9" ht="20.149999999999999" customHeight="1"/>
    <row r="32" spans="1:9" ht="20.149999999999999" customHeight="1"/>
    <row r="33" spans="11:15" ht="20.149999999999999" customHeight="1"/>
    <row r="34" spans="11:15" ht="20.149999999999999" customHeight="1"/>
    <row r="35" spans="11:15" ht="20.149999999999999" customHeight="1"/>
    <row r="36" spans="11:15" ht="20.149999999999999" customHeight="1"/>
    <row r="37" spans="11:15" ht="20.149999999999999" customHeight="1"/>
    <row r="38" spans="11:15" ht="20.149999999999999" customHeight="1">
      <c r="M38" s="2043"/>
      <c r="N38" s="2043"/>
      <c r="O38" s="2043"/>
    </row>
    <row r="39" spans="11:15" ht="20.149999999999999" customHeight="1">
      <c r="M39" s="2043"/>
      <c r="N39" s="2043"/>
      <c r="O39" s="2043"/>
    </row>
    <row r="40" spans="11:15" ht="20.149999999999999" customHeight="1">
      <c r="K40" s="2043"/>
      <c r="L40" s="2043"/>
      <c r="M40" s="2043"/>
      <c r="N40" s="2043"/>
      <c r="O40" s="2043"/>
    </row>
    <row r="41" spans="11:15" ht="20.149999999999999" customHeight="1">
      <c r="K41" s="2043"/>
      <c r="L41" s="2043"/>
      <c r="M41" s="2043"/>
      <c r="N41" s="2043"/>
      <c r="O41" s="2043"/>
    </row>
    <row r="42" spans="11:15">
      <c r="K42" s="2043"/>
      <c r="L42" s="2043"/>
      <c r="M42" s="2043"/>
      <c r="N42" s="2043"/>
      <c r="O42" s="2043"/>
    </row>
    <row r="43" spans="11:15">
      <c r="K43" s="2043"/>
      <c r="L43" s="2043"/>
      <c r="M43" s="2043"/>
      <c r="N43" s="2043"/>
      <c r="O43" s="2043"/>
    </row>
  </sheetData>
  <hyperlinks>
    <hyperlink ref="D26" location="'OtherDetail2324-HB3'!A1" display="'OtherDetail2324-HB3'!A1" xr:uid="{00000000-0004-0000-1E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66CCFF"/>
  </sheetPr>
  <dimension ref="A1:Q246"/>
  <sheetViews>
    <sheetView workbookViewId="0">
      <selection activeCell="B7" sqref="B7"/>
    </sheetView>
  </sheetViews>
  <sheetFormatPr defaultColWidth="8.7265625" defaultRowHeight="12.5"/>
  <cols>
    <col min="1" max="1" width="64.54296875" style="2042" customWidth="1"/>
    <col min="2" max="9" width="18.6328125" style="2042" customWidth="1"/>
    <col min="10" max="10" width="23.453125" style="2042" customWidth="1"/>
    <col min="11" max="13" width="15.54296875" style="2042" customWidth="1"/>
    <col min="14" max="17" width="15.6328125" style="2042" customWidth="1"/>
    <col min="18" max="16384" width="8.7265625" style="2042"/>
  </cols>
  <sheetData>
    <row r="1" spans="1:17" ht="15.5">
      <c r="A1" s="2040" t="s">
        <v>7390</v>
      </c>
    </row>
    <row r="2" spans="1:17" ht="15.5">
      <c r="A2" s="2040" t="s">
        <v>7666</v>
      </c>
    </row>
    <row r="3" spans="1:17" ht="15.5">
      <c r="A3" s="2040" t="s">
        <v>7388</v>
      </c>
    </row>
    <row r="4" spans="1:17" ht="15.5">
      <c r="A4" s="2040" t="s">
        <v>7389</v>
      </c>
    </row>
    <row r="5" spans="1:17" ht="15.5">
      <c r="A5" s="2040"/>
    </row>
    <row r="6" spans="1:17" ht="15.5">
      <c r="A6" s="2040" t="s">
        <v>10703</v>
      </c>
    </row>
    <row r="8" spans="1:17" ht="15.5">
      <c r="B8" s="990" t="s">
        <v>8984</v>
      </c>
      <c r="C8" s="982"/>
      <c r="D8" s="982"/>
      <c r="E8" s="983"/>
      <c r="F8" s="983"/>
      <c r="G8" s="983"/>
      <c r="H8" s="983"/>
      <c r="I8" s="983"/>
    </row>
    <row r="9" spans="1:17" ht="13">
      <c r="B9" s="960" t="s">
        <v>7362</v>
      </c>
      <c r="C9" s="960" t="s">
        <v>7362</v>
      </c>
      <c r="D9" s="960" t="s">
        <v>7362</v>
      </c>
      <c r="E9" s="961" t="s">
        <v>7362</v>
      </c>
      <c r="F9" s="961" t="s">
        <v>7362</v>
      </c>
      <c r="G9" s="961" t="s">
        <v>7362</v>
      </c>
      <c r="H9" s="961" t="s">
        <v>7362</v>
      </c>
      <c r="I9" s="961" t="s">
        <v>7362</v>
      </c>
    </row>
    <row r="10" spans="1:17" ht="13">
      <c r="B10" s="962" t="s">
        <v>7358</v>
      </c>
      <c r="C10" s="962" t="s">
        <v>7359</v>
      </c>
      <c r="D10" s="962" t="s">
        <v>7360</v>
      </c>
      <c r="E10" s="963" t="s">
        <v>7361</v>
      </c>
      <c r="F10" s="963" t="s">
        <v>10695</v>
      </c>
      <c r="G10" s="963" t="s">
        <v>10696</v>
      </c>
      <c r="H10" s="963" t="s">
        <v>10697</v>
      </c>
      <c r="I10" s="963" t="s">
        <v>10698</v>
      </c>
    </row>
    <row r="11" spans="1:17" ht="15.5">
      <c r="A11" s="2630" t="s">
        <v>470</v>
      </c>
      <c r="B11" s="959">
        <v>0</v>
      </c>
      <c r="C11" s="959">
        <v>0</v>
      </c>
      <c r="D11" s="959">
        <v>0</v>
      </c>
      <c r="E11" s="959">
        <v>0</v>
      </c>
      <c r="F11" s="959">
        <v>0</v>
      </c>
      <c r="G11" s="959">
        <v>0</v>
      </c>
      <c r="H11" s="959">
        <v>0</v>
      </c>
      <c r="I11" s="959">
        <v>0</v>
      </c>
      <c r="J11" s="2042" t="s">
        <v>7397</v>
      </c>
    </row>
    <row r="12" spans="1:17" ht="13">
      <c r="A12" s="639" t="s">
        <v>505</v>
      </c>
      <c r="B12" s="612"/>
      <c r="C12" s="612"/>
      <c r="D12" s="612"/>
      <c r="E12" s="612"/>
      <c r="F12" s="612"/>
      <c r="G12" s="612"/>
      <c r="H12" s="612"/>
      <c r="I12" s="612"/>
      <c r="J12" s="41" t="s">
        <v>7396</v>
      </c>
      <c r="K12" s="41" t="s">
        <v>7399</v>
      </c>
      <c r="L12" s="41" t="s">
        <v>7400</v>
      </c>
      <c r="M12" s="41" t="s">
        <v>7401</v>
      </c>
      <c r="N12" s="41" t="s">
        <v>10699</v>
      </c>
      <c r="O12" s="41" t="s">
        <v>10700</v>
      </c>
      <c r="P12" s="41" t="s">
        <v>10701</v>
      </c>
      <c r="Q12" s="41" t="s">
        <v>10702</v>
      </c>
    </row>
    <row r="13" spans="1:17" ht="15.5">
      <c r="A13" s="32" t="s">
        <v>471</v>
      </c>
      <c r="B13" s="959">
        <v>0</v>
      </c>
      <c r="C13" s="959">
        <v>0</v>
      </c>
      <c r="D13" s="959">
        <v>0</v>
      </c>
      <c r="E13" s="959">
        <v>0</v>
      </c>
      <c r="F13" s="959">
        <v>0</v>
      </c>
      <c r="G13" s="959">
        <v>0</v>
      </c>
      <c r="H13" s="959">
        <v>0</v>
      </c>
      <c r="I13" s="959">
        <v>0</v>
      </c>
      <c r="J13" s="76">
        <f>B13*Weights!$M$10</f>
        <v>0</v>
      </c>
      <c r="K13" s="76">
        <f>C13*Weights!$M$10</f>
        <v>0</v>
      </c>
      <c r="L13" s="76">
        <f>D13*Weights!$M$10</f>
        <v>0</v>
      </c>
      <c r="M13" s="76">
        <f>E13*Weights!$M$10</f>
        <v>0</v>
      </c>
      <c r="N13" s="76">
        <f>F13*Weights!$M$10</f>
        <v>0</v>
      </c>
      <c r="O13" s="76">
        <f>G13*Weights!$M$10</f>
        <v>0</v>
      </c>
      <c r="P13" s="76">
        <f>H13*Weights!$M$10</f>
        <v>0</v>
      </c>
      <c r="Q13" s="76">
        <f>I13*Weights!$M$10</f>
        <v>0</v>
      </c>
    </row>
    <row r="14" spans="1:17" ht="15.5">
      <c r="A14" s="958" t="s">
        <v>472</v>
      </c>
      <c r="B14" s="959">
        <v>0</v>
      </c>
      <c r="C14" s="959">
        <v>0</v>
      </c>
      <c r="D14" s="959">
        <v>0</v>
      </c>
      <c r="E14" s="959">
        <v>0</v>
      </c>
      <c r="F14" s="959">
        <v>0</v>
      </c>
      <c r="G14" s="959">
        <v>0</v>
      </c>
      <c r="H14" s="959">
        <v>0</v>
      </c>
      <c r="I14" s="959">
        <v>0</v>
      </c>
      <c r="J14" s="76">
        <f>B14*Weights!$M$11</f>
        <v>0</v>
      </c>
      <c r="K14" s="76">
        <f>C14*Weights!$M$11</f>
        <v>0</v>
      </c>
      <c r="L14" s="76">
        <f>D14*Weights!$M$11</f>
        <v>0</v>
      </c>
      <c r="M14" s="76">
        <f>E14*Weights!$M$11</f>
        <v>0</v>
      </c>
      <c r="N14" s="76">
        <f>F14*Weights!$M$11</f>
        <v>0</v>
      </c>
      <c r="O14" s="76">
        <f>G14*Weights!$M$11</f>
        <v>0</v>
      </c>
      <c r="P14" s="76">
        <f>H14*Weights!$M$11</f>
        <v>0</v>
      </c>
      <c r="Q14" s="76">
        <f>I14*Weights!$M$11</f>
        <v>0</v>
      </c>
    </row>
    <row r="15" spans="1:17" ht="15.5">
      <c r="A15" s="32" t="s">
        <v>1603</v>
      </c>
      <c r="B15" s="959">
        <v>0</v>
      </c>
      <c r="C15" s="959">
        <v>0</v>
      </c>
      <c r="D15" s="959">
        <v>0</v>
      </c>
      <c r="E15" s="959">
        <v>0</v>
      </c>
      <c r="F15" s="959">
        <v>0</v>
      </c>
      <c r="G15" s="959">
        <v>0</v>
      </c>
      <c r="H15" s="959">
        <v>0</v>
      </c>
      <c r="I15" s="959">
        <v>0</v>
      </c>
      <c r="J15" s="76">
        <f>B15*Weights!$M$12</f>
        <v>0</v>
      </c>
      <c r="K15" s="76">
        <f>C15*Weights!$M$12</f>
        <v>0</v>
      </c>
      <c r="L15" s="76">
        <f>D15*Weights!$M$12</f>
        <v>0</v>
      </c>
      <c r="M15" s="76">
        <f>E15*Weights!$M$12</f>
        <v>0</v>
      </c>
      <c r="N15" s="76">
        <f>F15*Weights!$M$12</f>
        <v>0</v>
      </c>
      <c r="O15" s="76">
        <f>G15*Weights!$M$12</f>
        <v>0</v>
      </c>
      <c r="P15" s="76">
        <f>H15*Weights!$M$12</f>
        <v>0</v>
      </c>
      <c r="Q15" s="76">
        <f>I15*Weights!$M$12</f>
        <v>0</v>
      </c>
    </row>
    <row r="16" spans="1:17" ht="15.5">
      <c r="A16" s="32" t="s">
        <v>1604</v>
      </c>
      <c r="B16" s="959">
        <v>0</v>
      </c>
      <c r="C16" s="959">
        <v>0</v>
      </c>
      <c r="D16" s="959">
        <v>0</v>
      </c>
      <c r="E16" s="959">
        <v>0</v>
      </c>
      <c r="F16" s="959">
        <v>0</v>
      </c>
      <c r="G16" s="959">
        <v>0</v>
      </c>
      <c r="H16" s="959">
        <v>0</v>
      </c>
      <c r="I16" s="959">
        <v>0</v>
      </c>
      <c r="J16" s="76">
        <f>B16*Weights!$M$13</f>
        <v>0</v>
      </c>
      <c r="K16" s="76">
        <f>C16*Weights!$M$13</f>
        <v>0</v>
      </c>
      <c r="L16" s="76">
        <f>D16*Weights!$M$13</f>
        <v>0</v>
      </c>
      <c r="M16" s="76">
        <f>E16*Weights!$M$13</f>
        <v>0</v>
      </c>
      <c r="N16" s="76">
        <f>F16*Weights!$M$13</f>
        <v>0</v>
      </c>
      <c r="O16" s="76">
        <f>G16*Weights!$M$13</f>
        <v>0</v>
      </c>
      <c r="P16" s="76">
        <f>H16*Weights!$M$13</f>
        <v>0</v>
      </c>
      <c r="Q16" s="76">
        <f>I16*Weights!$M$13</f>
        <v>0</v>
      </c>
    </row>
    <row r="17" spans="1:17" ht="15.5">
      <c r="A17" s="32" t="s">
        <v>546</v>
      </c>
      <c r="B17" s="959">
        <v>0</v>
      </c>
      <c r="C17" s="959">
        <v>0</v>
      </c>
      <c r="D17" s="959">
        <v>0</v>
      </c>
      <c r="E17" s="959">
        <v>0</v>
      </c>
      <c r="F17" s="959">
        <v>0</v>
      </c>
      <c r="G17" s="959">
        <v>0</v>
      </c>
      <c r="H17" s="959">
        <v>0</v>
      </c>
      <c r="I17" s="959">
        <v>0</v>
      </c>
      <c r="J17" s="76">
        <f>B17*Weights!$M$14</f>
        <v>0</v>
      </c>
      <c r="K17" s="76">
        <f>C17*Weights!$M$14</f>
        <v>0</v>
      </c>
      <c r="L17" s="76">
        <f>D17*Weights!$M$14</f>
        <v>0</v>
      </c>
      <c r="M17" s="76">
        <f>E17*Weights!$M$14</f>
        <v>0</v>
      </c>
      <c r="N17" s="76">
        <f>F17*Weights!$M$14</f>
        <v>0</v>
      </c>
      <c r="O17" s="76">
        <f>G17*Weights!$M$14</f>
        <v>0</v>
      </c>
      <c r="P17" s="76">
        <f>H17*Weights!$M$14</f>
        <v>0</v>
      </c>
      <c r="Q17" s="76">
        <f>I17*Weights!$M$14</f>
        <v>0</v>
      </c>
    </row>
    <row r="18" spans="1:17" ht="15.5">
      <c r="A18" s="32" t="s">
        <v>1901</v>
      </c>
      <c r="B18" s="959">
        <v>0</v>
      </c>
      <c r="C18" s="959">
        <v>0</v>
      </c>
      <c r="D18" s="959">
        <v>0</v>
      </c>
      <c r="E18" s="959">
        <v>0</v>
      </c>
      <c r="F18" s="959">
        <v>0</v>
      </c>
      <c r="G18" s="959">
        <v>0</v>
      </c>
      <c r="H18" s="959">
        <v>0</v>
      </c>
      <c r="I18" s="959">
        <v>0</v>
      </c>
      <c r="J18" s="76">
        <f>B18*Weights!$M$15</f>
        <v>0</v>
      </c>
      <c r="K18" s="76">
        <f>C18*Weights!$M$15</f>
        <v>0</v>
      </c>
      <c r="L18" s="76">
        <f>D18*Weights!$M$15</f>
        <v>0</v>
      </c>
      <c r="M18" s="76">
        <f>E18*Weights!$M$15</f>
        <v>0</v>
      </c>
      <c r="N18" s="76">
        <f>F18*Weights!$M$15</f>
        <v>0</v>
      </c>
      <c r="O18" s="76">
        <f>G18*Weights!$M$15</f>
        <v>0</v>
      </c>
      <c r="P18" s="76">
        <f>H18*Weights!$M$15</f>
        <v>0</v>
      </c>
      <c r="Q18" s="76">
        <f>I18*Weights!$M$15</f>
        <v>0</v>
      </c>
    </row>
    <row r="19" spans="1:17" ht="15.5">
      <c r="A19" s="32" t="s">
        <v>1902</v>
      </c>
      <c r="B19" s="959">
        <v>0</v>
      </c>
      <c r="C19" s="959">
        <v>0</v>
      </c>
      <c r="D19" s="959">
        <v>0</v>
      </c>
      <c r="E19" s="959">
        <v>0</v>
      </c>
      <c r="F19" s="959">
        <v>0</v>
      </c>
      <c r="G19" s="959">
        <v>0</v>
      </c>
      <c r="H19" s="959">
        <v>0</v>
      </c>
      <c r="I19" s="959">
        <v>0</v>
      </c>
      <c r="J19" s="76">
        <f>B19*Weights!$M$16</f>
        <v>0</v>
      </c>
      <c r="K19" s="76">
        <f>C19*Weights!$M$16</f>
        <v>0</v>
      </c>
      <c r="L19" s="76">
        <f>D19*Weights!$M$16</f>
        <v>0</v>
      </c>
      <c r="M19" s="76">
        <f>E19*Weights!$M$16</f>
        <v>0</v>
      </c>
      <c r="N19" s="76">
        <f>F19*Weights!$M$16</f>
        <v>0</v>
      </c>
      <c r="O19" s="76">
        <f>G19*Weights!$M$16</f>
        <v>0</v>
      </c>
      <c r="P19" s="76">
        <f>H19*Weights!$M$16</f>
        <v>0</v>
      </c>
      <c r="Q19" s="76">
        <f>I19*Weights!$M$16</f>
        <v>0</v>
      </c>
    </row>
    <row r="20" spans="1:17" ht="15.5">
      <c r="A20" s="32" t="s">
        <v>473</v>
      </c>
      <c r="B20" s="959">
        <v>0</v>
      </c>
      <c r="C20" s="959">
        <v>0</v>
      </c>
      <c r="D20" s="959">
        <v>0</v>
      </c>
      <c r="E20" s="959">
        <v>0</v>
      </c>
      <c r="F20" s="959">
        <v>0</v>
      </c>
      <c r="G20" s="959">
        <v>0</v>
      </c>
      <c r="H20" s="959">
        <v>0</v>
      </c>
      <c r="I20" s="959">
        <v>0</v>
      </c>
      <c r="J20" s="967">
        <f t="shared" ref="J20:Q20" si="0">SUM(J13:J19)</f>
        <v>0</v>
      </c>
      <c r="K20" s="967">
        <f t="shared" si="0"/>
        <v>0</v>
      </c>
      <c r="L20" s="967">
        <f t="shared" si="0"/>
        <v>0</v>
      </c>
      <c r="M20" s="967">
        <f t="shared" si="0"/>
        <v>0</v>
      </c>
      <c r="N20" s="967">
        <f t="shared" si="0"/>
        <v>0</v>
      </c>
      <c r="O20" s="967">
        <f t="shared" si="0"/>
        <v>0</v>
      </c>
      <c r="P20" s="967">
        <f t="shared" si="0"/>
        <v>0</v>
      </c>
      <c r="Q20" s="967">
        <f t="shared" si="0"/>
        <v>0</v>
      </c>
    </row>
    <row r="21" spans="1:17" ht="15.5">
      <c r="A21" s="32" t="s">
        <v>502</v>
      </c>
      <c r="B21" s="959">
        <v>0</v>
      </c>
      <c r="C21" s="959">
        <v>0</v>
      </c>
      <c r="D21" s="959">
        <v>0</v>
      </c>
      <c r="E21" s="959">
        <v>0</v>
      </c>
      <c r="F21" s="959">
        <v>0</v>
      </c>
      <c r="G21" s="959">
        <v>0</v>
      </c>
      <c r="H21" s="959">
        <v>0</v>
      </c>
      <c r="I21" s="959">
        <v>0</v>
      </c>
    </row>
    <row r="22" spans="1:17" ht="15.5">
      <c r="A22" s="32" t="s">
        <v>503</v>
      </c>
      <c r="B22" s="959">
        <v>0</v>
      </c>
      <c r="C22" s="959">
        <v>0</v>
      </c>
      <c r="D22" s="959">
        <v>0</v>
      </c>
      <c r="E22" s="959">
        <v>0</v>
      </c>
      <c r="F22" s="959">
        <v>0</v>
      </c>
      <c r="G22" s="959">
        <v>0</v>
      </c>
      <c r="H22" s="959">
        <v>0</v>
      </c>
      <c r="I22" s="959">
        <v>0</v>
      </c>
    </row>
    <row r="23" spans="1:17" ht="15.5">
      <c r="A23" s="32" t="s">
        <v>504</v>
      </c>
      <c r="B23" s="959">
        <v>0</v>
      </c>
      <c r="C23" s="959">
        <v>0</v>
      </c>
      <c r="D23" s="959">
        <v>0</v>
      </c>
      <c r="E23" s="959">
        <v>0</v>
      </c>
      <c r="F23" s="959">
        <v>0</v>
      </c>
      <c r="G23" s="959">
        <v>0</v>
      </c>
      <c r="H23" s="959">
        <v>0</v>
      </c>
      <c r="I23" s="959">
        <v>0</v>
      </c>
    </row>
    <row r="24" spans="1:17" ht="15.5">
      <c r="A24" s="1656" t="s">
        <v>7435</v>
      </c>
      <c r="B24" s="959">
        <v>0</v>
      </c>
      <c r="C24" s="959">
        <v>0</v>
      </c>
      <c r="D24" s="959">
        <v>0</v>
      </c>
      <c r="E24" s="959">
        <v>0</v>
      </c>
      <c r="F24" s="959">
        <v>0</v>
      </c>
      <c r="G24" s="959">
        <v>0</v>
      </c>
      <c r="H24" s="959">
        <v>0</v>
      </c>
      <c r="I24" s="959">
        <v>0</v>
      </c>
    </row>
    <row r="25" spans="1:17" ht="15.5">
      <c r="A25" s="32" t="s">
        <v>9096</v>
      </c>
      <c r="B25" s="959">
        <v>0</v>
      </c>
      <c r="C25" s="959">
        <v>0</v>
      </c>
      <c r="D25" s="959">
        <v>0</v>
      </c>
      <c r="E25" s="959">
        <v>0</v>
      </c>
      <c r="F25" s="959">
        <v>0</v>
      </c>
      <c r="G25" s="959">
        <v>0</v>
      </c>
      <c r="H25" s="959">
        <v>0</v>
      </c>
      <c r="I25" s="959">
        <v>0</v>
      </c>
    </row>
    <row r="26" spans="1:17" ht="15.5">
      <c r="A26" s="32" t="s">
        <v>9097</v>
      </c>
      <c r="B26" s="959">
        <v>0</v>
      </c>
      <c r="C26" s="959">
        <v>0</v>
      </c>
      <c r="D26" s="959">
        <v>0</v>
      </c>
      <c r="E26" s="959">
        <v>0</v>
      </c>
      <c r="F26" s="959">
        <v>0</v>
      </c>
      <c r="G26" s="959">
        <v>0</v>
      </c>
      <c r="H26" s="959">
        <v>0</v>
      </c>
      <c r="I26" s="959">
        <v>0</v>
      </c>
    </row>
    <row r="27" spans="1:17" ht="15.5">
      <c r="A27" s="32" t="s">
        <v>9098</v>
      </c>
      <c r="B27" s="959">
        <v>0</v>
      </c>
      <c r="C27" s="959">
        <v>0</v>
      </c>
      <c r="D27" s="959">
        <v>0</v>
      </c>
      <c r="E27" s="959">
        <v>0</v>
      </c>
      <c r="F27" s="959">
        <v>0</v>
      </c>
      <c r="G27" s="959">
        <v>0</v>
      </c>
      <c r="H27" s="959">
        <v>0</v>
      </c>
      <c r="I27" s="959">
        <v>0</v>
      </c>
    </row>
    <row r="28" spans="1:17" ht="15.5">
      <c r="A28" s="958" t="s">
        <v>7855</v>
      </c>
      <c r="B28" s="959">
        <v>0</v>
      </c>
      <c r="C28" s="959">
        <v>0</v>
      </c>
      <c r="D28" s="959">
        <v>0</v>
      </c>
      <c r="E28" s="959">
        <v>0</v>
      </c>
      <c r="F28" s="959">
        <v>0</v>
      </c>
      <c r="G28" s="959">
        <v>0</v>
      </c>
      <c r="H28" s="959">
        <v>0</v>
      </c>
      <c r="I28" s="959">
        <v>0</v>
      </c>
    </row>
    <row r="29" spans="1:17" ht="15.5">
      <c r="A29" s="958" t="s">
        <v>7856</v>
      </c>
      <c r="B29" s="959">
        <v>0</v>
      </c>
      <c r="C29" s="959">
        <v>0</v>
      </c>
      <c r="D29" s="959">
        <v>0</v>
      </c>
      <c r="E29" s="959">
        <v>0</v>
      </c>
      <c r="F29" s="959">
        <v>0</v>
      </c>
      <c r="G29" s="959">
        <v>0</v>
      </c>
      <c r="H29" s="959">
        <v>0</v>
      </c>
      <c r="I29" s="959">
        <v>0</v>
      </c>
    </row>
    <row r="30" spans="1:17" ht="15.5">
      <c r="A30" s="958" t="s">
        <v>7857</v>
      </c>
      <c r="B30" s="959">
        <v>0</v>
      </c>
      <c r="C30" s="959">
        <v>0</v>
      </c>
      <c r="D30" s="959">
        <v>0</v>
      </c>
      <c r="E30" s="959">
        <v>0</v>
      </c>
      <c r="F30" s="959">
        <v>0</v>
      </c>
      <c r="G30" s="959">
        <v>0</v>
      </c>
      <c r="H30" s="959">
        <v>0</v>
      </c>
      <c r="I30" s="959">
        <v>0</v>
      </c>
    </row>
    <row r="31" spans="1:17" ht="15.5">
      <c r="A31" s="958" t="s">
        <v>7858</v>
      </c>
      <c r="B31" s="959">
        <v>0</v>
      </c>
      <c r="C31" s="959">
        <v>0</v>
      </c>
      <c r="D31" s="959">
        <v>0</v>
      </c>
      <c r="E31" s="959">
        <v>0</v>
      </c>
      <c r="F31" s="959">
        <v>0</v>
      </c>
      <c r="G31" s="959">
        <v>0</v>
      </c>
      <c r="H31" s="959">
        <v>0</v>
      </c>
      <c r="I31" s="959">
        <v>0</v>
      </c>
    </row>
    <row r="32" spans="1:17" ht="15.5">
      <c r="A32" s="958" t="s">
        <v>7859</v>
      </c>
      <c r="B32" s="959">
        <v>0</v>
      </c>
      <c r="C32" s="959">
        <v>0</v>
      </c>
      <c r="D32" s="959">
        <v>0</v>
      </c>
      <c r="E32" s="959">
        <v>0</v>
      </c>
      <c r="F32" s="959">
        <v>0</v>
      </c>
      <c r="G32" s="959">
        <v>0</v>
      </c>
      <c r="H32" s="959">
        <v>0</v>
      </c>
      <c r="I32" s="959">
        <v>0</v>
      </c>
    </row>
    <row r="33" spans="1:9" ht="15.5">
      <c r="A33" s="32" t="s">
        <v>506</v>
      </c>
      <c r="B33" s="959">
        <v>0</v>
      </c>
      <c r="C33" s="959">
        <v>0</v>
      </c>
      <c r="D33" s="959">
        <v>0</v>
      </c>
      <c r="E33" s="959">
        <v>0</v>
      </c>
      <c r="F33" s="959">
        <v>0</v>
      </c>
      <c r="G33" s="959">
        <v>0</v>
      </c>
      <c r="H33" s="959">
        <v>0</v>
      </c>
      <c r="I33" s="959">
        <v>0</v>
      </c>
    </row>
    <row r="34" spans="1:9" ht="15.5">
      <c r="A34" s="1669" t="s">
        <v>9095</v>
      </c>
      <c r="B34" s="959">
        <v>0</v>
      </c>
      <c r="C34" s="959">
        <v>0</v>
      </c>
      <c r="D34" s="959">
        <v>0</v>
      </c>
      <c r="E34" s="959">
        <v>0</v>
      </c>
      <c r="F34" s="959">
        <v>0</v>
      </c>
      <c r="G34" s="959">
        <v>0</v>
      </c>
      <c r="H34" s="959">
        <v>0</v>
      </c>
      <c r="I34" s="959">
        <v>0</v>
      </c>
    </row>
    <row r="35" spans="1:9" ht="15.5">
      <c r="A35" s="958" t="s">
        <v>7860</v>
      </c>
      <c r="B35" s="959">
        <v>0</v>
      </c>
      <c r="C35" s="959">
        <v>0</v>
      </c>
      <c r="D35" s="959">
        <v>0</v>
      </c>
      <c r="E35" s="959">
        <v>0</v>
      </c>
      <c r="F35" s="959">
        <v>0</v>
      </c>
      <c r="G35" s="959">
        <v>0</v>
      </c>
      <c r="H35" s="959">
        <v>0</v>
      </c>
      <c r="I35" s="959">
        <v>0</v>
      </c>
    </row>
    <row r="36" spans="1:9" ht="15.5">
      <c r="A36" s="958" t="s">
        <v>7861</v>
      </c>
      <c r="B36" s="959">
        <v>0</v>
      </c>
      <c r="C36" s="959">
        <v>0</v>
      </c>
      <c r="D36" s="959">
        <v>0</v>
      </c>
      <c r="E36" s="959">
        <v>0</v>
      </c>
      <c r="F36" s="959">
        <v>0</v>
      </c>
      <c r="G36" s="959">
        <v>0</v>
      </c>
      <c r="H36" s="959">
        <v>0</v>
      </c>
      <c r="I36" s="959">
        <v>0</v>
      </c>
    </row>
    <row r="37" spans="1:9" ht="15.5">
      <c r="A37" s="958" t="s">
        <v>7862</v>
      </c>
      <c r="B37" s="959">
        <v>0</v>
      </c>
      <c r="C37" s="959">
        <v>0</v>
      </c>
      <c r="D37" s="959">
        <v>0</v>
      </c>
      <c r="E37" s="959">
        <v>0</v>
      </c>
      <c r="F37" s="959">
        <v>0</v>
      </c>
      <c r="G37" s="959">
        <v>0</v>
      </c>
      <c r="H37" s="959">
        <v>0</v>
      </c>
      <c r="I37" s="959">
        <v>0</v>
      </c>
    </row>
    <row r="38" spans="1:9" ht="15.5">
      <c r="A38" s="958" t="s">
        <v>7629</v>
      </c>
      <c r="B38" s="959">
        <v>0</v>
      </c>
      <c r="C38" s="959">
        <v>0</v>
      </c>
      <c r="D38" s="959">
        <v>0</v>
      </c>
      <c r="E38" s="959">
        <v>0</v>
      </c>
      <c r="F38" s="959">
        <v>0</v>
      </c>
      <c r="G38" s="959">
        <v>0</v>
      </c>
      <c r="H38" s="959">
        <v>0</v>
      </c>
      <c r="I38" s="959">
        <v>0</v>
      </c>
    </row>
    <row r="42" spans="1:9" ht="13">
      <c r="B42" s="1894" t="s">
        <v>7366</v>
      </c>
      <c r="C42" s="1894" t="s">
        <v>7366</v>
      </c>
      <c r="D42" s="1894" t="s">
        <v>7366</v>
      </c>
      <c r="E42" s="1894" t="s">
        <v>7366</v>
      </c>
      <c r="F42" s="1894" t="s">
        <v>7366</v>
      </c>
      <c r="G42" s="1894" t="s">
        <v>7366</v>
      </c>
      <c r="H42" s="1894" t="s">
        <v>7366</v>
      </c>
      <c r="I42" s="1894" t="s">
        <v>7366</v>
      </c>
    </row>
    <row r="43" spans="1:9" ht="15.5">
      <c r="A43" s="1657" t="s">
        <v>7377</v>
      </c>
      <c r="B43" s="965" t="s">
        <v>7358</v>
      </c>
      <c r="C43" s="965" t="s">
        <v>7359</v>
      </c>
      <c r="D43" s="965" t="s">
        <v>7360</v>
      </c>
      <c r="E43" s="966" t="s">
        <v>7361</v>
      </c>
      <c r="F43" s="966" t="s">
        <v>10695</v>
      </c>
      <c r="G43" s="966" t="s">
        <v>10696</v>
      </c>
      <c r="H43" s="966" t="s">
        <v>10697</v>
      </c>
      <c r="I43" s="966" t="s">
        <v>10698</v>
      </c>
    </row>
    <row r="44" spans="1:9" ht="15.5">
      <c r="A44" s="964" t="s">
        <v>2635</v>
      </c>
      <c r="B44" s="968">
        <f>B$71*Assumptions!$H$136</f>
        <v>0</v>
      </c>
      <c r="C44" s="968">
        <f>C$71*Assumptions!$H$136</f>
        <v>0</v>
      </c>
      <c r="D44" s="968">
        <f>D$71*Assumptions!$H$136</f>
        <v>0</v>
      </c>
      <c r="E44" s="968">
        <f>E$71*Assumptions!$H$136</f>
        <v>0</v>
      </c>
      <c r="F44" s="968">
        <f>F$71*Assumptions!$H$136</f>
        <v>0</v>
      </c>
      <c r="G44" s="968">
        <f>G$71*Assumptions!$H$136</f>
        <v>0</v>
      </c>
      <c r="H44" s="968">
        <f>H$71*Assumptions!$H$136</f>
        <v>0</v>
      </c>
      <c r="I44" s="968">
        <f>I$71*Assumptions!$H$136</f>
        <v>0</v>
      </c>
    </row>
    <row r="45" spans="1:9" ht="15.5">
      <c r="A45" s="964" t="s">
        <v>7854</v>
      </c>
      <c r="B45" s="1655" t="e">
        <f>'SOF2122-HB3'!$I$21*(B$71/'Calc Data'!$D$12)</f>
        <v>#DIV/0!</v>
      </c>
      <c r="C45" s="1655" t="e">
        <f>'SOF2122-HB3'!$I$21*(C$71/'Calc Data'!$D$12)</f>
        <v>#DIV/0!</v>
      </c>
      <c r="D45" s="1655" t="e">
        <f>'SOF2122-HB3'!$I$21*(D$71/'Calc Data'!$D$12)</f>
        <v>#DIV/0!</v>
      </c>
      <c r="E45" s="1655" t="e">
        <f>'SOF2122-HB3'!$I$21*(E$71/'Calc Data'!$D$12)</f>
        <v>#DIV/0!</v>
      </c>
      <c r="F45" s="1655" t="e">
        <f>'SOF2122-HB3'!$I$21*(F$71/'Calc Data'!$D$12)</f>
        <v>#DIV/0!</v>
      </c>
      <c r="G45" s="1655" t="e">
        <f>'SOF2122-HB3'!$I$21*(G$71/'Calc Data'!$D$12)</f>
        <v>#DIV/0!</v>
      </c>
      <c r="H45" s="1655" t="e">
        <f>'SOF2122-HB3'!$I$21*(H$71/'Calc Data'!$D$12)</f>
        <v>#DIV/0!</v>
      </c>
      <c r="I45" s="1655" t="e">
        <f>'SOF2122-HB3'!$I$21*(I$71/'Calc Data'!$D$12)</f>
        <v>#DIV/0!</v>
      </c>
    </row>
    <row r="46" spans="1:9" ht="15.5">
      <c r="A46" s="964" t="s">
        <v>2639</v>
      </c>
      <c r="B46" s="968">
        <f>(B$70*('Calc Data'!$D$96+Assumptions!$H$136))+(B$20*'Weights-HB3'!$I$14*('Calc Data'!$D$96+Assumptions!$H$136))+(B$21*'Weights-HB3'!$I$15*('Calc Data'!$D$96+Assumptions!$H$136))+(B$22*'Weights-HB3'!$I$16*('Calc Data'!$D$96+Assumptions!$H$136))+(B$23*'Weights-HB3'!$I$18*('Calc Data'!$D$96+Assumptions!$H$136))</f>
        <v>0</v>
      </c>
      <c r="C46" s="968">
        <f>(C$70*('Calc Data'!$D$96+Assumptions!$H$136))+(C$20*'Weights-HB3'!$I$14*('Calc Data'!$D$96+Assumptions!$H$136))+(C$21*'Weights-HB3'!$I$15*('Calc Data'!$D$96+Assumptions!$H$136))+(C$22*'Weights-HB3'!$I$16*('Calc Data'!$D$96+Assumptions!$H$136))+(C$23*'Weights-HB3'!$I$18*('Calc Data'!$D$96+Assumptions!$H$136))</f>
        <v>0</v>
      </c>
      <c r="D46" s="968">
        <f>(D$70*('Calc Data'!$D$96+Assumptions!$H$136))+(D$20*'Weights-HB3'!$I$14*('Calc Data'!$D$96+Assumptions!$H$136))+(D$21*'Weights-HB3'!$I$15*('Calc Data'!$D$96+Assumptions!$H$136))+(D$22*'Weights-HB3'!$I$16*('Calc Data'!$D$96+Assumptions!$H$136))+(D$23*'Weights-HB3'!$I$18*('Calc Data'!$D$96+Assumptions!$H$136))</f>
        <v>0</v>
      </c>
      <c r="E46" s="968">
        <f>(E$70*('Calc Data'!$D$96+Assumptions!$H$136))+(E$20*'Weights-HB3'!$I$14*('Calc Data'!$D$96+Assumptions!$H$136))+(E$21*'Weights-HB3'!$I$15*('Calc Data'!$D$96+Assumptions!$H$136))+(E$22*'Weights-HB3'!$I$16*('Calc Data'!$D$96+Assumptions!$H$136))+(E$23*'Weights-HB3'!$I$18*('Calc Data'!$D$96+Assumptions!$H$136))</f>
        <v>0</v>
      </c>
      <c r="F46" s="968">
        <f>(F$70*('Calc Data'!$D$96+Assumptions!$H$136))+(F$20*'Weights-HB3'!$I$14*('Calc Data'!$D$96+Assumptions!$H$136))+(F$21*'Weights-HB3'!$I$15*('Calc Data'!$D$96+Assumptions!$H$136))+(F$22*'Weights-HB3'!$I$16*('Calc Data'!$D$96+Assumptions!$H$136))+(F$23*'Weights-HB3'!$I$18*('Calc Data'!$D$96+Assumptions!$H$136))</f>
        <v>0</v>
      </c>
      <c r="G46" s="968">
        <f>(G$70*('Calc Data'!$D$96+Assumptions!$H$136))+(G$20*'Weights-HB3'!$I$14*('Calc Data'!$D$96+Assumptions!$H$136))+(G$21*'Weights-HB3'!$I$15*('Calc Data'!$D$96+Assumptions!$H$136))+(G$22*'Weights-HB3'!$I$16*('Calc Data'!$D$96+Assumptions!$H$136))+(G$23*'Weights-HB3'!$I$18*('Calc Data'!$D$96+Assumptions!$H$136))</f>
        <v>0</v>
      </c>
      <c r="H46" s="968">
        <f>(H$70*('Calc Data'!$D$96+Assumptions!$H$136))+(H$20*'Weights-HB3'!$I$14*('Calc Data'!$D$96+Assumptions!$H$136))+(H$21*'Weights-HB3'!$I$15*('Calc Data'!$D$96+Assumptions!$H$136))+(H$22*'Weights-HB3'!$I$16*('Calc Data'!$D$96+Assumptions!$H$136))+(H$23*'Weights-HB3'!$I$18*('Calc Data'!$D$96+Assumptions!$H$136))</f>
        <v>0</v>
      </c>
      <c r="I46" s="968">
        <f>(I$70*('Calc Data'!$D$96+Assumptions!$H$136))+(I$20*'Weights-HB3'!$I$14*('Calc Data'!$D$96+Assumptions!$H$136))+(I$21*'Weights-HB3'!$I$15*('Calc Data'!$D$96+Assumptions!$H$136))+(I$22*'Weights-HB3'!$I$16*('Calc Data'!$D$96+Assumptions!$H$136))+(I$23*'Weights-HB3'!$I$18*('Calc Data'!$D$96+Assumptions!$H$136))</f>
        <v>0</v>
      </c>
    </row>
    <row r="47" spans="1:9" ht="15.5">
      <c r="A47" s="964" t="s">
        <v>7436</v>
      </c>
      <c r="B47" s="1655">
        <f>B$24*'Weights-HB3'!$I$72*Assumptions!$H$136</f>
        <v>0</v>
      </c>
      <c r="C47" s="1655">
        <f>C$24*'Weights-HB3'!$I$72*Assumptions!$H$136</f>
        <v>0</v>
      </c>
      <c r="D47" s="1655">
        <f>D$24*'Weights-HB3'!$I$72*Assumptions!$H$136</f>
        <v>0</v>
      </c>
      <c r="E47" s="1655">
        <f>E$24*'Weights-HB3'!$I$72*Assumptions!$H$136</f>
        <v>0</v>
      </c>
      <c r="F47" s="1655">
        <f>F$24*'Weights-HB3'!$I$72*Assumptions!$H$136</f>
        <v>0</v>
      </c>
      <c r="G47" s="1655">
        <f>G$24*'Weights-HB3'!$I$72*Assumptions!$H$136</f>
        <v>0</v>
      </c>
      <c r="H47" s="1655">
        <f>H$24*'Weights-HB3'!$I$72*Assumptions!$H$136</f>
        <v>0</v>
      </c>
      <c r="I47" s="1655">
        <f>I$24*'Weights-HB3'!$I$72*Assumptions!$H$136</f>
        <v>0</v>
      </c>
    </row>
    <row r="48" spans="1:9" ht="15.5">
      <c r="A48" s="964" t="s">
        <v>7363</v>
      </c>
      <c r="B48" s="968">
        <f>(B$25*(Assumptions!$H$136+'Calc Data'!$D$96)*'Weights-HB3'!$I$21)+(B$26*(Assumptions!$H$136+'Calc Data'!$D$96)*'Weights-HB3'!$I$22)+(B$27*(Assumptions!$H$136+'Calc Data'!$D$96)*'Weights-HB3'!$I$23)</f>
        <v>0</v>
      </c>
      <c r="C48" s="968">
        <f>(C$25*(Assumptions!$H$136+'Calc Data'!$D$96)*'Weights-HB3'!$I$21)+(C$26*(Assumptions!$H$136+'Calc Data'!$D$96)*'Weights-HB3'!$I$22)+(C$27*(Assumptions!$H$136+'Calc Data'!$D$96)*'Weights-HB3'!$I$23)</f>
        <v>0</v>
      </c>
      <c r="D48" s="968">
        <f>(D$25*(Assumptions!$H$136+'Calc Data'!$D$96)*'Weights-HB3'!$I$21)+(D$26*(Assumptions!$H$136+'Calc Data'!$D$96)*'Weights-HB3'!$I$22)+(D$27*(Assumptions!$H$136+'Calc Data'!$D$96)*'Weights-HB3'!$I$23)</f>
        <v>0</v>
      </c>
      <c r="E48" s="968">
        <f>(E$25*(Assumptions!$H$136+'Calc Data'!$D$96)*'Weights-HB3'!$I$21)+(E$26*(Assumptions!$H$136+'Calc Data'!$D$96)*'Weights-HB3'!$I$22)+(E$27*(Assumptions!$H$136+'Calc Data'!$D$96)*'Weights-HB3'!$I$23)</f>
        <v>0</v>
      </c>
      <c r="F48" s="968">
        <f>(F$25*(Assumptions!$H$136+'Calc Data'!$D$96)*'Weights-HB3'!$I$21)+(F$26*(Assumptions!$H$136+'Calc Data'!$D$96)*'Weights-HB3'!$I$22)+(F$27*(Assumptions!$H$136+'Calc Data'!$D$96)*'Weights-HB3'!$I$23)</f>
        <v>0</v>
      </c>
      <c r="G48" s="968">
        <f>(G$25*(Assumptions!$H$136+'Calc Data'!$D$96)*'Weights-HB3'!$I$21)+(G$26*(Assumptions!$H$136+'Calc Data'!$D$96)*'Weights-HB3'!$I$22)+(G$27*(Assumptions!$H$136+'Calc Data'!$D$96)*'Weights-HB3'!$I$23)</f>
        <v>0</v>
      </c>
      <c r="H48" s="968">
        <f>(H$25*(Assumptions!$H$136+'Calc Data'!$D$96)*'Weights-HB3'!$I$21)+(H$26*(Assumptions!$H$136+'Calc Data'!$D$96)*'Weights-HB3'!$I$22)+(H$27*(Assumptions!$H$136+'Calc Data'!$D$96)*'Weights-HB3'!$I$23)</f>
        <v>0</v>
      </c>
      <c r="I48" s="968">
        <f>(I$25*(Assumptions!$H$136+'Calc Data'!$D$96)*'Weights-HB3'!$I$21)+(I$26*(Assumptions!$H$136+'Calc Data'!$D$96)*'Weights-HB3'!$I$22)+(I$27*(Assumptions!$H$136+'Calc Data'!$D$96)*'Weights-HB3'!$I$23)</f>
        <v>0</v>
      </c>
    </row>
    <row r="49" spans="1:10" ht="15.5">
      <c r="A49" s="964" t="s">
        <v>7364</v>
      </c>
      <c r="B49" s="968">
        <f>(B$28*Assumptions!$H$136*'Weights-HB3'!$I$36)+(B$29*Assumptions!$H$136*'Weights-HB3'!$I$37)+(B$30*Assumptions!$H$136*'Weights-HB3'!$I$38)+(B$31*Assumptions!$H$136*'Weights-HB3'!$I$39)+(B$32*Assumptions!$H$136*'Weights-HB3'!$I$40)+(B$33*Assumptions!$H$136*'Weights-HB3'!$I$43)</f>
        <v>0</v>
      </c>
      <c r="C49" s="968">
        <f>(C$28*Assumptions!$H$136*'Weights-HB3'!$I$36)+(C$29*Assumptions!$H$136*'Weights-HB3'!$I$37)+(C$30*Assumptions!$H$136*'Weights-HB3'!$I$38)+(C$31*Assumptions!$H$136*'Weights-HB3'!$I$39)+(C$32*Assumptions!$H$136*'Weights-HB3'!$I$40)+(C$33*Assumptions!$H$136*'Weights-HB3'!$I$43)</f>
        <v>0</v>
      </c>
      <c r="D49" s="968">
        <f>(D$28*Assumptions!$H$136*'Weights-HB3'!$I$36)+(D$29*Assumptions!$H$136*'Weights-HB3'!$I$37)+(D$30*Assumptions!$H$136*'Weights-HB3'!$I$38)+(D$31*Assumptions!$H$136*'Weights-HB3'!$I$39)+(D$32*Assumptions!$H$136*'Weights-HB3'!$I$40)+(D$33*Assumptions!$H$136*'Weights-HB3'!$I$43)</f>
        <v>0</v>
      </c>
      <c r="E49" s="968">
        <f>(E$28*Assumptions!$H$136*'Weights-HB3'!$I$36)+(E$29*Assumptions!$H$136*'Weights-HB3'!$I$37)+(E$30*Assumptions!$H$136*'Weights-HB3'!$I$38)+(E$31*Assumptions!$H$136*'Weights-HB3'!$I$39)+(E$32*Assumptions!$H$136*'Weights-HB3'!$I$40)+(E$33*Assumptions!$H$136*'Weights-HB3'!$I$43)</f>
        <v>0</v>
      </c>
      <c r="F49" s="968">
        <f>(F$28*Assumptions!$H$136*'Weights-HB3'!$I$36)+(F$29*Assumptions!$H$136*'Weights-HB3'!$I$37)+(F$30*Assumptions!$H$136*'Weights-HB3'!$I$38)+(F$31*Assumptions!$H$136*'Weights-HB3'!$I$39)+(F$32*Assumptions!$H$136*'Weights-HB3'!$I$40)+(F$33*Assumptions!$H$136*'Weights-HB3'!$I$43)</f>
        <v>0</v>
      </c>
      <c r="G49" s="968">
        <f>(G$28*Assumptions!$H$136*'Weights-HB3'!$I$36)+(G$29*Assumptions!$H$136*'Weights-HB3'!$I$37)+(G$30*Assumptions!$H$136*'Weights-HB3'!$I$38)+(G$31*Assumptions!$H$136*'Weights-HB3'!$I$39)+(G$32*Assumptions!$H$136*'Weights-HB3'!$I$40)+(G$33*Assumptions!$H$136*'Weights-HB3'!$I$43)</f>
        <v>0</v>
      </c>
      <c r="H49" s="968">
        <f>(H$28*Assumptions!$H$136*'Weights-HB3'!$I$36)+(H$29*Assumptions!$H$136*'Weights-HB3'!$I$37)+(H$30*Assumptions!$H$136*'Weights-HB3'!$I$38)+(H$31*Assumptions!$H$136*'Weights-HB3'!$I$39)+(H$32*Assumptions!$H$136*'Weights-HB3'!$I$40)+(H$33*Assumptions!$H$136*'Weights-HB3'!$I$43)</f>
        <v>0</v>
      </c>
      <c r="I49" s="968">
        <f>(I$28*Assumptions!$H$136*'Weights-HB3'!$I$36)+(I$29*Assumptions!$H$136*'Weights-HB3'!$I$37)+(I$30*Assumptions!$H$136*'Weights-HB3'!$I$38)+(I$31*Assumptions!$H$136*'Weights-HB3'!$I$39)+(I$32*Assumptions!$H$136*'Weights-HB3'!$I$40)+(I$33*Assumptions!$H$136*'Weights-HB3'!$I$43)</f>
        <v>0</v>
      </c>
    </row>
    <row r="50" spans="1:10" ht="15.5">
      <c r="A50" s="964" t="s">
        <v>2642</v>
      </c>
      <c r="B50" s="968">
        <f>B$34*Assumptions!$H$136*'Weights-HB3'!$I$31</f>
        <v>0</v>
      </c>
      <c r="C50" s="968">
        <f>C$34*Assumptions!$H$136*'Weights-HB3'!$I$31</f>
        <v>0</v>
      </c>
      <c r="D50" s="968">
        <f>D$34*Assumptions!$H$136*'Weights-HB3'!$I$31</f>
        <v>0</v>
      </c>
      <c r="E50" s="968">
        <f>E$34*Assumptions!$H$136*'Weights-HB3'!$I$31</f>
        <v>0</v>
      </c>
      <c r="F50" s="968">
        <f>F$34*Assumptions!$H$136*'Weights-HB3'!$I$31</f>
        <v>0</v>
      </c>
      <c r="G50" s="968">
        <f>G$34*Assumptions!$H$136*'Weights-HB3'!$I$31</f>
        <v>0</v>
      </c>
      <c r="H50" s="968">
        <f>H$34*Assumptions!$H$136*'Weights-HB3'!$I$31</f>
        <v>0</v>
      </c>
      <c r="I50" s="968">
        <f>I$34*Assumptions!$H$136*'Weights-HB3'!$I$31</f>
        <v>0</v>
      </c>
    </row>
    <row r="51" spans="1:10" ht="15.5">
      <c r="A51" s="964" t="s">
        <v>7365</v>
      </c>
      <c r="B51" s="968">
        <f>(B$35*Assumptions!$H$136*'Weights-HB3'!$I$26)+(B$36*Assumptions!$H$136*'Weights-HB3'!$I$27)+(B$37*Assumptions!$H$136*'Weights-HB3'!$I$28)</f>
        <v>0</v>
      </c>
      <c r="C51" s="968">
        <f>(C$35*Assumptions!$H$136*'Weights-HB3'!$I$26)+(C$36*Assumptions!$H$136*'Weights-HB3'!$I$27)+(C$37*Assumptions!$H$136*'Weights-HB3'!$I$28)</f>
        <v>0</v>
      </c>
      <c r="D51" s="968">
        <f>(D$35*Assumptions!$H$136*'Weights-HB3'!$I$26)+(D$36*Assumptions!$H$136*'Weights-HB3'!$I$27)+(D$37*Assumptions!$H$136*'Weights-HB3'!$I$28)</f>
        <v>0</v>
      </c>
      <c r="E51" s="968">
        <f>(E$35*Assumptions!$H$136*'Weights-HB3'!$I$26)+(E$36*Assumptions!$H$136*'Weights-HB3'!$I$27)+(E$37*Assumptions!$H$136*'Weights-HB3'!$I$28)</f>
        <v>0</v>
      </c>
      <c r="F51" s="968">
        <f>(F$35*Assumptions!$H$136*'Weights-HB3'!$I$26)+(F$36*Assumptions!$H$136*'Weights-HB3'!$I$27)+(F$37*Assumptions!$H$136*'Weights-HB3'!$I$28)</f>
        <v>0</v>
      </c>
      <c r="G51" s="968">
        <f>(G$35*Assumptions!$H$136*'Weights-HB3'!$I$26)+(G$36*Assumptions!$H$136*'Weights-HB3'!$I$27)+(G$37*Assumptions!$H$136*'Weights-HB3'!$I$28)</f>
        <v>0</v>
      </c>
      <c r="H51" s="968">
        <f>(H$35*Assumptions!$H$136*'Weights-HB3'!$I$26)+(H$36*Assumptions!$H$136*'Weights-HB3'!$I$27)+(H$37*Assumptions!$H$136*'Weights-HB3'!$I$28)</f>
        <v>0</v>
      </c>
      <c r="I51" s="968">
        <f>(I$35*Assumptions!$H$136*'Weights-HB3'!$I$26)+(I$36*Assumptions!$H$136*'Weights-HB3'!$I$27)+(I$37*Assumptions!$H$136*'Weights-HB3'!$I$28)</f>
        <v>0</v>
      </c>
    </row>
    <row r="52" spans="1:10" ht="15.5">
      <c r="A52" s="964" t="s">
        <v>7628</v>
      </c>
      <c r="B52" s="968">
        <f>B$38*Assumptions!$H$136*'Weights-HB3'!$I$74</f>
        <v>0</v>
      </c>
      <c r="C52" s="968">
        <f>C$38*Assumptions!$H$136*'Weights-HB3'!$I$74</f>
        <v>0</v>
      </c>
      <c r="D52" s="968">
        <f>D$38*Assumptions!$H$136*'Weights-HB3'!$I$74</f>
        <v>0</v>
      </c>
      <c r="E52" s="968">
        <f>E$38*Assumptions!$H$136*'Weights-HB3'!$I$74</f>
        <v>0</v>
      </c>
      <c r="F52" s="968">
        <f>F$38*Assumptions!$H$136*'Weights-HB3'!$I$74</f>
        <v>0</v>
      </c>
      <c r="G52" s="968">
        <f>G$38*Assumptions!$H$136*'Weights-HB3'!$I$74</f>
        <v>0</v>
      </c>
      <c r="H52" s="968">
        <f>H$38*Assumptions!$H$136*'Weights-HB3'!$I$74</f>
        <v>0</v>
      </c>
      <c r="I52" s="968">
        <f>I$38*Assumptions!$H$136*'Weights-HB3'!$I$74</f>
        <v>0</v>
      </c>
    </row>
    <row r="53" spans="1:10" ht="15.5">
      <c r="A53" s="964" t="s">
        <v>2312</v>
      </c>
      <c r="B53" s="968" t="e">
        <f t="shared" ref="B53:I53" si="1">SUM(B44:B52)</f>
        <v>#DIV/0!</v>
      </c>
      <c r="C53" s="968" t="e">
        <f t="shared" si="1"/>
        <v>#DIV/0!</v>
      </c>
      <c r="D53" s="968" t="e">
        <f t="shared" si="1"/>
        <v>#DIV/0!</v>
      </c>
      <c r="E53" s="968" t="e">
        <f t="shared" si="1"/>
        <v>#DIV/0!</v>
      </c>
      <c r="F53" s="968" t="e">
        <f t="shared" si="1"/>
        <v>#DIV/0!</v>
      </c>
      <c r="G53" s="968" t="e">
        <f t="shared" si="1"/>
        <v>#DIV/0!</v>
      </c>
      <c r="H53" s="968" t="e">
        <f t="shared" si="1"/>
        <v>#DIV/0!</v>
      </c>
      <c r="I53" s="968" t="e">
        <f t="shared" si="1"/>
        <v>#DIV/0!</v>
      </c>
    </row>
    <row r="55" spans="1:10" ht="15.5">
      <c r="B55" s="1894" t="s">
        <v>7367</v>
      </c>
      <c r="C55" s="1894" t="s">
        <v>7367</v>
      </c>
      <c r="D55" s="1894" t="s">
        <v>7367</v>
      </c>
      <c r="E55" s="1894" t="s">
        <v>7367</v>
      </c>
      <c r="F55" s="1894" t="s">
        <v>7367</v>
      </c>
      <c r="G55" s="1894" t="s">
        <v>7367</v>
      </c>
      <c r="H55" s="1894" t="s">
        <v>7367</v>
      </c>
      <c r="I55" s="1894" t="s">
        <v>7367</v>
      </c>
      <c r="J55" s="259" t="s">
        <v>7398</v>
      </c>
    </row>
    <row r="56" spans="1:10" ht="13">
      <c r="B56" s="965" t="s">
        <v>7358</v>
      </c>
      <c r="C56" s="965" t="s">
        <v>7359</v>
      </c>
      <c r="D56" s="965" t="s">
        <v>7360</v>
      </c>
      <c r="E56" s="966" t="s">
        <v>7361</v>
      </c>
      <c r="F56" s="966" t="s">
        <v>10695</v>
      </c>
      <c r="G56" s="966" t="s">
        <v>10696</v>
      </c>
      <c r="H56" s="966" t="s">
        <v>10697</v>
      </c>
      <c r="I56" s="966" t="s">
        <v>10698</v>
      </c>
      <c r="J56" s="986" t="s">
        <v>7853</v>
      </c>
    </row>
    <row r="57" spans="1:10" ht="15.5">
      <c r="A57" s="964" t="s">
        <v>2635</v>
      </c>
      <c r="B57" s="968">
        <f t="shared" ref="B57:I57" si="2">B$71*$J$57</f>
        <v>0</v>
      </c>
      <c r="C57" s="968">
        <f t="shared" si="2"/>
        <v>0</v>
      </c>
      <c r="D57" s="968">
        <f t="shared" si="2"/>
        <v>0</v>
      </c>
      <c r="E57" s="968">
        <f t="shared" si="2"/>
        <v>0</v>
      </c>
      <c r="F57" s="968">
        <f t="shared" si="2"/>
        <v>0</v>
      </c>
      <c r="G57" s="968">
        <f t="shared" si="2"/>
        <v>0</v>
      </c>
      <c r="H57" s="968">
        <f t="shared" si="2"/>
        <v>0</v>
      </c>
      <c r="I57" s="968">
        <f t="shared" si="2"/>
        <v>0</v>
      </c>
      <c r="J57" s="994">
        <v>6160</v>
      </c>
    </row>
    <row r="58" spans="1:10" ht="15.5">
      <c r="A58" s="964" t="s">
        <v>7854</v>
      </c>
      <c r="B58" s="1655">
        <f t="shared" ref="B58:I58" si="3">$J$59*B$71</f>
        <v>0</v>
      </c>
      <c r="C58" s="1655">
        <f t="shared" si="3"/>
        <v>0</v>
      </c>
      <c r="D58" s="1655">
        <f t="shared" si="3"/>
        <v>0</v>
      </c>
      <c r="E58" s="1655">
        <f t="shared" si="3"/>
        <v>0</v>
      </c>
      <c r="F58" s="1655">
        <f t="shared" si="3"/>
        <v>0</v>
      </c>
      <c r="G58" s="1655">
        <f t="shared" si="3"/>
        <v>0</v>
      </c>
      <c r="H58" s="1655">
        <f t="shared" si="3"/>
        <v>0</v>
      </c>
      <c r="I58" s="1655">
        <f t="shared" si="3"/>
        <v>0</v>
      </c>
      <c r="J58" s="986" t="s">
        <v>7863</v>
      </c>
    </row>
    <row r="59" spans="1:10" ht="15.5">
      <c r="A59" s="964" t="s">
        <v>2639</v>
      </c>
      <c r="B59" s="968">
        <f>(B$70*$J$57)+(B$20*'Weights-HB3'!$I$14*$J$57+(B$21*'Weights-HB3'!$I$15*$J$57)+(B$22*'Weights-HB3'!$I$16*$J$57)+(B$23*'Weights-HB3'!$I$18*$J$57))</f>
        <v>0</v>
      </c>
      <c r="C59" s="968">
        <f>(C$70*$J$57)+(C$20*'Weights-HB3'!$I$14*$J$57+(C$21*'Weights-HB3'!$I$15*$J$57)+(C$22*'Weights-HB3'!$I$16*$J$57)+(C$23*'Weights-HB3'!$I$18*$J$57))</f>
        <v>0</v>
      </c>
      <c r="D59" s="968">
        <f>(D$70*$J$57)+(D$20*'Weights-HB3'!$I$14*$J$57+(D$21*'Weights-HB3'!$I$15*$J$57)+(D$22*'Weights-HB3'!$I$16*$J$57)+(D$23*'Weights-HB3'!$I$18*$J$57))</f>
        <v>0</v>
      </c>
      <c r="E59" s="968">
        <f>(E$70*$J$57)+(E$20*'Weights-HB3'!$I$14*$J$57+(E$21*'Weights-HB3'!$I$15*$J$57)+(E$22*'Weights-HB3'!$I$16*$J$57)+(E$23*'Weights-HB3'!$I$18*$J$57))</f>
        <v>0</v>
      </c>
      <c r="F59" s="968">
        <f>(F$70*$J$57)+(F$20*'Weights-HB3'!$I$14*$J$57+(F$21*'Weights-HB3'!$I$15*$J$57)+(F$22*'Weights-HB3'!$I$16*$J$57)+(F$23*'Weights-HB3'!$I$18*$J$57))</f>
        <v>0</v>
      </c>
      <c r="G59" s="968">
        <f>(G$70*$J$57)+(G$20*'Weights-HB3'!$I$14*$J$57+(G$21*'Weights-HB3'!$I$15*$J$57)+(G$22*'Weights-HB3'!$I$16*$J$57)+(G$23*'Weights-HB3'!$I$18*$J$57))</f>
        <v>0</v>
      </c>
      <c r="H59" s="968">
        <f>(H$70*$J$57)+(H$20*'Weights-HB3'!$I$14*$J$57+(H$21*'Weights-HB3'!$I$15*$J$57)+(H$22*'Weights-HB3'!$I$16*$J$57)+(H$23*'Weights-HB3'!$I$18*$J$57))</f>
        <v>0</v>
      </c>
      <c r="I59" s="968">
        <f>(I$70*$J$57)+(I$20*'Weights-HB3'!$I$14*$J$57+(I$21*'Weights-HB3'!$I$15*$J$57)+(I$22*'Weights-HB3'!$I$16*$J$57)+(I$23*'Weights-HB3'!$I$18*$J$57))</f>
        <v>0</v>
      </c>
      <c r="J59" s="994">
        <v>1103</v>
      </c>
    </row>
    <row r="60" spans="1:10" ht="15.5">
      <c r="A60" s="964" t="s">
        <v>7436</v>
      </c>
      <c r="B60" s="1655">
        <f>B$24*'Weights-HB3'!$I$72*$J$57</f>
        <v>0</v>
      </c>
      <c r="C60" s="1655">
        <f>C$24*'Weights-HB3'!$I$72*$J$57</f>
        <v>0</v>
      </c>
      <c r="D60" s="1655">
        <f>D$24*'Weights-HB3'!$I$72*$J$57</f>
        <v>0</v>
      </c>
      <c r="E60" s="1655">
        <f>E$24*'Weights-HB3'!$I$72*$J$57</f>
        <v>0</v>
      </c>
      <c r="F60" s="1655">
        <f>F$24*'Weights-HB3'!$I$72*$J$57</f>
        <v>0</v>
      </c>
      <c r="G60" s="1655">
        <f>G$24*'Weights-HB3'!$I$72*$J$57</f>
        <v>0</v>
      </c>
      <c r="H60" s="1655">
        <f>H$24*'Weights-HB3'!$I$72*$J$57</f>
        <v>0</v>
      </c>
      <c r="I60" s="1655">
        <f>I$24*'Weights-HB3'!$I$72*$J$57</f>
        <v>0</v>
      </c>
      <c r="J60" s="2043">
        <f>J57+J59</f>
        <v>7263</v>
      </c>
    </row>
    <row r="61" spans="1:10" ht="15.5">
      <c r="A61" s="964" t="s">
        <v>7363</v>
      </c>
      <c r="B61" s="968">
        <f>(B$25*'Weights-HB3'!$I$21*$J$60)+(B$26*'Weights-HB3'!$I$22*$J$60)+(B$27*'Weights-HB3'!$I$23*$J$60)</f>
        <v>0</v>
      </c>
      <c r="C61" s="968">
        <f>(C$25*'Weights-HB3'!$I$21*$J$60)+(C$26*'Weights-HB3'!$I$22*$J$60)+(C$27*'Weights-HB3'!$I$23*$J$60)</f>
        <v>0</v>
      </c>
      <c r="D61" s="968">
        <f>(D$25*'Weights-HB3'!$I$21*$J$60)+(D$26*'Weights-HB3'!$I$22*$J$60)+(D$27*'Weights-HB3'!$I$23*$J$60)</f>
        <v>0</v>
      </c>
      <c r="E61" s="968">
        <f>(E$25*'Weights-HB3'!$I$21*$J$60)+(E$26*'Weights-HB3'!$I$22*$J$60)+(E$27*'Weights-HB3'!$I$23*$J$60)</f>
        <v>0</v>
      </c>
      <c r="F61" s="968">
        <f>(F$25*'Weights-HB3'!$I$21*$J$60)+(F$26*'Weights-HB3'!$I$22*$J$60)+(F$27*'Weights-HB3'!$I$23*$J$60)</f>
        <v>0</v>
      </c>
      <c r="G61" s="968">
        <f>(G$25*'Weights-HB3'!$I$21*$J$60)+(G$26*'Weights-HB3'!$I$22*$J$60)+(G$27*'Weights-HB3'!$I$23*$J$60)</f>
        <v>0</v>
      </c>
      <c r="H61" s="968">
        <f>(H$25*'Weights-HB3'!$I$21*$J$60)+(H$26*'Weights-HB3'!$I$22*$J$60)+(H$27*'Weights-HB3'!$I$23*$J$60)</f>
        <v>0</v>
      </c>
      <c r="I61" s="968">
        <f>(I$25*'Weights-HB3'!$I$21*$J$60)+(I$26*'Weights-HB3'!$I$22*$J$60)+(I$27*'Weights-HB3'!$I$23*$J$60)</f>
        <v>0</v>
      </c>
    </row>
    <row r="62" spans="1:10" ht="15.5">
      <c r="A62" s="964" t="s">
        <v>7364</v>
      </c>
      <c r="B62" s="968">
        <f>(B$28*$J$57*'Weights-HB3'!$I$36)+(B$29*$J$57*'Weights-HB3'!$I$37)+(B$30*$J$57*'Weights-HB3'!$I$38)+(B$31*$J$57*'Weights-HB3'!$I$39)+(B$32*$J$57*'Weights-HB3'!$I$40)+(B$33*$J$57*'Weights-HB3'!$I$43)</f>
        <v>0</v>
      </c>
      <c r="C62" s="968">
        <f>(C$28*$J$57*'Weights-HB3'!$I$36)+(C$29*$J$57*'Weights-HB3'!$I$37)+(C$30*$J$57*'Weights-HB3'!$I$38)+(C$31*$J$57*'Weights-HB3'!$I$39)+(C$32*$J$57*'Weights-HB3'!$I$40)+(C$33*$J$57*'Weights-HB3'!$I$43)</f>
        <v>0</v>
      </c>
      <c r="D62" s="968">
        <f>(D$28*$J$57*'Weights-HB3'!$I$36)+(D$29*$J$57*'Weights-HB3'!$I$37)+(D$30*$J$57*'Weights-HB3'!$I$38)+(D$31*$J$57*'Weights-HB3'!$I$39)+(D$32*$J$57*'Weights-HB3'!$I$40)+(D$33*$J$57*'Weights-HB3'!$I$43)</f>
        <v>0</v>
      </c>
      <c r="E62" s="968">
        <f>(E$28*$J$57*'Weights-HB3'!$I$36)+(E$29*$J$57*'Weights-HB3'!$I$37)+(E$30*$J$57*'Weights-HB3'!$I$38)+(E$31*$J$57*'Weights-HB3'!$I$39)+(E$32*$J$57*'Weights-HB3'!$I$40)+(E$33*$J$57*'Weights-HB3'!$I$43)</f>
        <v>0</v>
      </c>
      <c r="F62" s="968">
        <f>(F$28*$J$57*'Weights-HB3'!$I$36)+(F$29*$J$57*'Weights-HB3'!$I$37)+(F$30*$J$57*'Weights-HB3'!$I$38)+(F$31*$J$57*'Weights-HB3'!$I$39)+(F$32*$J$57*'Weights-HB3'!$I$40)+(F$33*$J$57*'Weights-HB3'!$I$43)</f>
        <v>0</v>
      </c>
      <c r="G62" s="968">
        <f>(G$28*$J$57*'Weights-HB3'!$I$36)+(G$29*$J$57*'Weights-HB3'!$I$37)+(G$30*$J$57*'Weights-HB3'!$I$38)+(G$31*$J$57*'Weights-HB3'!$I$39)+(G$32*$J$57*'Weights-HB3'!$I$40)+(G$33*$J$57*'Weights-HB3'!$I$43)</f>
        <v>0</v>
      </c>
      <c r="H62" s="968">
        <f>(H$28*$J$57*'Weights-HB3'!$I$36)+(H$29*$J$57*'Weights-HB3'!$I$37)+(H$30*$J$57*'Weights-HB3'!$I$38)+(H$31*$J$57*'Weights-HB3'!$I$39)+(H$32*$J$57*'Weights-HB3'!$I$40)+(H$33*$J$57*'Weights-HB3'!$I$43)</f>
        <v>0</v>
      </c>
      <c r="I62" s="968">
        <f>(I$28*$J$57*'Weights-HB3'!$I$36)+(I$29*$J$57*'Weights-HB3'!$I$37)+(I$30*$J$57*'Weights-HB3'!$I$38)+(I$31*$J$57*'Weights-HB3'!$I$39)+(I$32*$J$57*'Weights-HB3'!$I$40)+(I$33*$J$57*'Weights-HB3'!$I$43)</f>
        <v>0</v>
      </c>
    </row>
    <row r="63" spans="1:10" ht="15.5">
      <c r="A63" s="964" t="s">
        <v>2642</v>
      </c>
      <c r="B63" s="968">
        <f>B$34*$J$57*'Weights-HB3'!$I$31</f>
        <v>0</v>
      </c>
      <c r="C63" s="968">
        <f>C$34*$J$57*'Weights-HB3'!$I$31</f>
        <v>0</v>
      </c>
      <c r="D63" s="968">
        <f>D$34*$J$57*'Weights-HB3'!$I$31</f>
        <v>0</v>
      </c>
      <c r="E63" s="968">
        <f>E$34*$J$57*'Weights-HB3'!$I$31</f>
        <v>0</v>
      </c>
      <c r="F63" s="968">
        <f>F$34*$J$57*'Weights-HB3'!$I$31</f>
        <v>0</v>
      </c>
      <c r="G63" s="968">
        <f>G$34*$J$57*'Weights-HB3'!$I$31</f>
        <v>0</v>
      </c>
      <c r="H63" s="968">
        <f>H$34*$J$57*'Weights-HB3'!$I$31</f>
        <v>0</v>
      </c>
      <c r="I63" s="968">
        <f>I$34*$J$57*'Weights-HB3'!$I$31</f>
        <v>0</v>
      </c>
    </row>
    <row r="64" spans="1:10" ht="15.5">
      <c r="A64" s="964" t="s">
        <v>7365</v>
      </c>
      <c r="B64" s="968">
        <f>(B$35*$J$57*'Weights-HB3'!$I$26)+(B$36*$J$57*'Weights-HB3'!$I$27)+(B$37*$J$57*'Weights-HB3'!$I$28)</f>
        <v>0</v>
      </c>
      <c r="C64" s="968">
        <f>(C$35*$J$57*'Weights-HB3'!$I$26)+(C$36*$J$57*'Weights-HB3'!$I$27)+(C$37*$J$57*'Weights-HB3'!$I$28)</f>
        <v>0</v>
      </c>
      <c r="D64" s="968">
        <f>(D$35*$J$57*'Weights-HB3'!$I$26)+(D$36*$J$57*'Weights-HB3'!$I$27)+(D$37*$J$57*'Weights-HB3'!$I$28)</f>
        <v>0</v>
      </c>
      <c r="E64" s="968">
        <f>(E$35*$J$57*'Weights-HB3'!$I$26)+(E$36*$J$57*'Weights-HB3'!$I$27)+(E$37*$J$57*'Weights-HB3'!$I$28)</f>
        <v>0</v>
      </c>
      <c r="F64" s="968">
        <f>(F$35*$J$57*'Weights-HB3'!$I$26)+(F$36*$J$57*'Weights-HB3'!$I$27)+(F$37*$J$57*'Weights-HB3'!$I$28)</f>
        <v>0</v>
      </c>
      <c r="G64" s="968">
        <f>(G$35*$J$57*'Weights-HB3'!$I$26)+(G$36*$J$57*'Weights-HB3'!$I$27)+(G$37*$J$57*'Weights-HB3'!$I$28)</f>
        <v>0</v>
      </c>
      <c r="H64" s="968">
        <f>(H$35*$J$57*'Weights-HB3'!$I$26)+(H$36*$J$57*'Weights-HB3'!$I$27)+(H$37*$J$57*'Weights-HB3'!$I$28)</f>
        <v>0</v>
      </c>
      <c r="I64" s="968">
        <f>(I$35*$J$57*'Weights-HB3'!$I$26)+(I$36*$J$57*'Weights-HB3'!$I$27)+(I$37*$J$57*'Weights-HB3'!$I$28)</f>
        <v>0</v>
      </c>
    </row>
    <row r="65" spans="1:9" ht="15.5">
      <c r="A65" s="964" t="s">
        <v>7628</v>
      </c>
      <c r="B65" s="968">
        <f>B$38*$J$57*'Weights-HB3'!$I$74</f>
        <v>0</v>
      </c>
      <c r="C65" s="968">
        <f>C$38*$J$57*'Weights-HB3'!$I$74</f>
        <v>0</v>
      </c>
      <c r="D65" s="968">
        <f>D$38*$J$57*'Weights-HB3'!$I$74</f>
        <v>0</v>
      </c>
      <c r="E65" s="968">
        <f>E$38*$J$57*'Weights-HB3'!$I$74</f>
        <v>0</v>
      </c>
      <c r="F65" s="968">
        <f>F$38*$J$57*'Weights-HB3'!$I$74</f>
        <v>0</v>
      </c>
      <c r="G65" s="968">
        <f>G$38*$J$57*'Weights-HB3'!$I$74</f>
        <v>0</v>
      </c>
      <c r="H65" s="968">
        <f>H$38*$J$57*'Weights-HB3'!$I$74</f>
        <v>0</v>
      </c>
      <c r="I65" s="968">
        <f>I$38*$J$57*'Weights-HB3'!$I$74</f>
        <v>0</v>
      </c>
    </row>
    <row r="66" spans="1:9" ht="15.5">
      <c r="A66" s="964" t="s">
        <v>2312</v>
      </c>
      <c r="B66" s="968">
        <f t="shared" ref="B66:I66" si="4">SUM(B57:B65)</f>
        <v>0</v>
      </c>
      <c r="C66" s="968">
        <f t="shared" si="4"/>
        <v>0</v>
      </c>
      <c r="D66" s="968">
        <f t="shared" si="4"/>
        <v>0</v>
      </c>
      <c r="E66" s="968">
        <f t="shared" si="4"/>
        <v>0</v>
      </c>
      <c r="F66" s="968">
        <f t="shared" si="4"/>
        <v>0</v>
      </c>
      <c r="G66" s="968">
        <f t="shared" si="4"/>
        <v>0</v>
      </c>
      <c r="H66" s="968">
        <f t="shared" si="4"/>
        <v>0</v>
      </c>
      <c r="I66" s="968">
        <f t="shared" si="4"/>
        <v>0</v>
      </c>
    </row>
    <row r="69" spans="1:9">
      <c r="A69" s="2042" t="s">
        <v>7368</v>
      </c>
      <c r="B69" s="967">
        <f t="shared" ref="B69:I69" si="5">SUM(B13:B20)+B22</f>
        <v>0</v>
      </c>
      <c r="C69" s="967">
        <f t="shared" si="5"/>
        <v>0</v>
      </c>
      <c r="D69" s="967">
        <f t="shared" si="5"/>
        <v>0</v>
      </c>
      <c r="E69" s="967">
        <f t="shared" si="5"/>
        <v>0</v>
      </c>
      <c r="F69" s="967">
        <f t="shared" si="5"/>
        <v>0</v>
      </c>
      <c r="G69" s="967">
        <f t="shared" si="5"/>
        <v>0</v>
      </c>
      <c r="H69" s="967">
        <f t="shared" si="5"/>
        <v>0</v>
      </c>
      <c r="I69" s="967">
        <f t="shared" si="5"/>
        <v>0</v>
      </c>
    </row>
    <row r="70" spans="1:9">
      <c r="A70" s="2042" t="s">
        <v>7369</v>
      </c>
      <c r="B70" s="967">
        <f t="shared" ref="B70:I70" si="6">J20</f>
        <v>0</v>
      </c>
      <c r="C70" s="967">
        <f t="shared" si="6"/>
        <v>0</v>
      </c>
      <c r="D70" s="967">
        <f t="shared" si="6"/>
        <v>0</v>
      </c>
      <c r="E70" s="967">
        <f t="shared" si="6"/>
        <v>0</v>
      </c>
      <c r="F70" s="967">
        <f t="shared" si="6"/>
        <v>0</v>
      </c>
      <c r="G70" s="967">
        <f t="shared" si="6"/>
        <v>0</v>
      </c>
      <c r="H70" s="967">
        <f t="shared" si="6"/>
        <v>0</v>
      </c>
      <c r="I70" s="967">
        <f t="shared" si="6"/>
        <v>0</v>
      </c>
    </row>
    <row r="71" spans="1:9">
      <c r="A71" s="2042" t="s">
        <v>7370</v>
      </c>
      <c r="B71" s="967">
        <f t="shared" ref="B71:I71" si="7">B11-B69-B25-B26-B27</f>
        <v>0</v>
      </c>
      <c r="C71" s="967">
        <f t="shared" si="7"/>
        <v>0</v>
      </c>
      <c r="D71" s="967">
        <f t="shared" si="7"/>
        <v>0</v>
      </c>
      <c r="E71" s="967">
        <f t="shared" si="7"/>
        <v>0</v>
      </c>
      <c r="F71" s="967">
        <f t="shared" si="7"/>
        <v>0</v>
      </c>
      <c r="G71" s="967">
        <f t="shared" si="7"/>
        <v>0</v>
      </c>
      <c r="H71" s="967">
        <f t="shared" si="7"/>
        <v>0</v>
      </c>
      <c r="I71" s="967">
        <f t="shared" si="7"/>
        <v>0</v>
      </c>
    </row>
    <row r="74" spans="1:9" s="2040" customFormat="1" ht="15.5">
      <c r="A74" s="1657" t="s">
        <v>2768</v>
      </c>
    </row>
    <row r="75" spans="1:9" s="2040" customFormat="1" ht="15.5">
      <c r="B75" s="1894" t="s">
        <v>7366</v>
      </c>
      <c r="C75" s="1894" t="s">
        <v>7366</v>
      </c>
      <c r="D75" s="1894" t="s">
        <v>7366</v>
      </c>
      <c r="E75" s="1894" t="s">
        <v>7366</v>
      </c>
      <c r="F75" s="1894" t="s">
        <v>7366</v>
      </c>
      <c r="G75" s="1894" t="s">
        <v>7366</v>
      </c>
      <c r="H75" s="1894" t="s">
        <v>7366</v>
      </c>
      <c r="I75" s="1894" t="s">
        <v>7366</v>
      </c>
    </row>
    <row r="76" spans="1:9" s="2040" customFormat="1" ht="15.5">
      <c r="B76" s="965" t="s">
        <v>7358</v>
      </c>
      <c r="C76" s="965" t="s">
        <v>7359</v>
      </c>
      <c r="D76" s="965" t="s">
        <v>7360</v>
      </c>
      <c r="E76" s="966" t="s">
        <v>7361</v>
      </c>
      <c r="F76" s="966" t="s">
        <v>10695</v>
      </c>
      <c r="G76" s="966" t="s">
        <v>10696</v>
      </c>
      <c r="H76" s="966" t="s">
        <v>10697</v>
      </c>
      <c r="I76" s="966" t="s">
        <v>10698</v>
      </c>
    </row>
    <row r="77" spans="1:9" s="2040" customFormat="1" ht="15.5">
      <c r="A77" s="969" t="s">
        <v>7378</v>
      </c>
      <c r="B77" s="976" t="e">
        <f>Assumptions!$H$137*B$89*'Calc Data'!$D$105*100</f>
        <v>#DIV/0!</v>
      </c>
      <c r="C77" s="976" t="e">
        <f>Assumptions!$H$137*C$89*'Calc Data'!$D$105*100</f>
        <v>#DIV/0!</v>
      </c>
      <c r="D77" s="976" t="e">
        <f>Assumptions!$H$137*D$89*'Calc Data'!$D$105*100</f>
        <v>#DIV/0!</v>
      </c>
      <c r="E77" s="976" t="e">
        <f>Assumptions!$H$137*E$89*'Calc Data'!$D$105*100</f>
        <v>#DIV/0!</v>
      </c>
      <c r="F77" s="976" t="e">
        <f>Assumptions!$H$137*F$89*'Calc Data'!$D$105*100</f>
        <v>#DIV/0!</v>
      </c>
      <c r="G77" s="976" t="e">
        <f>Assumptions!$H$137*G$89*'Calc Data'!$D$105*100</f>
        <v>#DIV/0!</v>
      </c>
      <c r="H77" s="976" t="e">
        <f>Assumptions!$H$137*H$89*'Calc Data'!$D$105*100</f>
        <v>#DIV/0!</v>
      </c>
      <c r="I77" s="976" t="e">
        <f>Assumptions!$H$137*I$89*'Calc Data'!$D$105*100</f>
        <v>#DIV/0!</v>
      </c>
    </row>
    <row r="78" spans="1:9" s="2040" customFormat="1" ht="15.5">
      <c r="A78" s="969" t="s">
        <v>7379</v>
      </c>
      <c r="B78" s="976" t="e">
        <f>Assumptions!$H$138*B$89*'Calc Data'!$D$110*100</f>
        <v>#DIV/0!</v>
      </c>
      <c r="C78" s="976" t="e">
        <f>Assumptions!$H$138*C$89*'Calc Data'!$D$110*100</f>
        <v>#DIV/0!</v>
      </c>
      <c r="D78" s="976" t="e">
        <f>Assumptions!$H$138*D$89*'Calc Data'!$D$110*100</f>
        <v>#DIV/0!</v>
      </c>
      <c r="E78" s="976" t="e">
        <f>Assumptions!$H$138*E$89*'Calc Data'!$D$110*100</f>
        <v>#DIV/0!</v>
      </c>
      <c r="F78" s="976" t="e">
        <f>Assumptions!$H$138*F$89*'Calc Data'!$D$110*100</f>
        <v>#DIV/0!</v>
      </c>
      <c r="G78" s="976" t="e">
        <f>Assumptions!$H$138*G$89*'Calc Data'!$D$110*100</f>
        <v>#DIV/0!</v>
      </c>
      <c r="H78" s="976" t="e">
        <f>Assumptions!$H$138*H$89*'Calc Data'!$D$110*100</f>
        <v>#DIV/0!</v>
      </c>
      <c r="I78" s="976" t="e">
        <f>Assumptions!$H$138*I$89*'Calc Data'!$D$110*100</f>
        <v>#DIV/0!</v>
      </c>
    </row>
    <row r="79" spans="1:9" s="2040" customFormat="1" ht="15.5">
      <c r="A79" s="969" t="s">
        <v>2312</v>
      </c>
      <c r="B79" s="973" t="e">
        <f>B77+B78</f>
        <v>#DIV/0!</v>
      </c>
      <c r="C79" s="973" t="e">
        <f t="shared" ref="C79:E79" si="8">C77+C78</f>
        <v>#DIV/0!</v>
      </c>
      <c r="D79" s="973" t="e">
        <f t="shared" si="8"/>
        <v>#DIV/0!</v>
      </c>
      <c r="E79" s="973" t="e">
        <f t="shared" si="8"/>
        <v>#DIV/0!</v>
      </c>
      <c r="F79" s="973" t="e">
        <f t="shared" ref="F79:I79" si="9">F77+F78</f>
        <v>#DIV/0!</v>
      </c>
      <c r="G79" s="973" t="e">
        <f t="shared" si="9"/>
        <v>#DIV/0!</v>
      </c>
      <c r="H79" s="973" t="e">
        <f t="shared" si="9"/>
        <v>#DIV/0!</v>
      </c>
      <c r="I79" s="973" t="e">
        <f t="shared" si="9"/>
        <v>#DIV/0!</v>
      </c>
    </row>
    <row r="80" spans="1:9" s="2040" customFormat="1" ht="15.5">
      <c r="A80" s="969"/>
    </row>
    <row r="81" spans="1:10" s="2040" customFormat="1" ht="15.5">
      <c r="A81" s="969"/>
      <c r="B81" s="1894" t="s">
        <v>7367</v>
      </c>
      <c r="C81" s="1894" t="s">
        <v>7367</v>
      </c>
      <c r="D81" s="1894" t="s">
        <v>7367</v>
      </c>
      <c r="E81" s="1894" t="s">
        <v>7367</v>
      </c>
      <c r="F81" s="1894" t="s">
        <v>7367</v>
      </c>
      <c r="G81" s="1894" t="s">
        <v>7367</v>
      </c>
      <c r="H81" s="1894" t="s">
        <v>7367</v>
      </c>
      <c r="I81" s="1894" t="s">
        <v>7367</v>
      </c>
    </row>
    <row r="82" spans="1:10" s="2040" customFormat="1" ht="15.5">
      <c r="A82" s="969"/>
      <c r="B82" s="965" t="s">
        <v>7358</v>
      </c>
      <c r="C82" s="965" t="s">
        <v>7359</v>
      </c>
      <c r="D82" s="965" t="s">
        <v>7360</v>
      </c>
      <c r="E82" s="966" t="s">
        <v>7361</v>
      </c>
      <c r="F82" s="966" t="s">
        <v>10695</v>
      </c>
      <c r="G82" s="966" t="s">
        <v>10696</v>
      </c>
      <c r="H82" s="966" t="s">
        <v>10697</v>
      </c>
      <c r="I82" s="966" t="s">
        <v>10698</v>
      </c>
      <c r="J82" s="259" t="s">
        <v>7398</v>
      </c>
    </row>
    <row r="83" spans="1:10" s="2040" customFormat="1" ht="15.5">
      <c r="A83" s="969" t="s">
        <v>7378</v>
      </c>
      <c r="B83" s="976">
        <f>Assumptions!$H$137*B$93*$J$84*100</f>
        <v>0</v>
      </c>
      <c r="C83" s="976">
        <f>Assumptions!$H$137*C$93*$J$84*100</f>
        <v>0</v>
      </c>
      <c r="D83" s="976">
        <f>Assumptions!$H$137*D$93*$J$84*100</f>
        <v>0</v>
      </c>
      <c r="E83" s="976">
        <f>Assumptions!$H$137*E$93*$J$84*100</f>
        <v>0</v>
      </c>
      <c r="F83" s="976">
        <f>Assumptions!$H$137*F$93*$J$84*100</f>
        <v>0</v>
      </c>
      <c r="G83" s="976">
        <f>Assumptions!$H$137*G$93*$J$84*100</f>
        <v>0</v>
      </c>
      <c r="H83" s="976">
        <f>Assumptions!$H$137*H$93*$J$84*100</f>
        <v>0</v>
      </c>
      <c r="I83" s="976">
        <f>Assumptions!$H$137*I$93*$J$84*100</f>
        <v>0</v>
      </c>
      <c r="J83" s="1658" t="s">
        <v>7380</v>
      </c>
    </row>
    <row r="84" spans="1:10" s="2040" customFormat="1" ht="15.5">
      <c r="A84" s="969" t="s">
        <v>7379</v>
      </c>
      <c r="B84" s="976">
        <f>Assumptions!$H$138*B$93*$J$85*100</f>
        <v>0</v>
      </c>
      <c r="C84" s="976">
        <f>Assumptions!$H$138*C$93*$J$85*100</f>
        <v>0</v>
      </c>
      <c r="D84" s="976">
        <f>Assumptions!$H$138*D$93*$J$85*100</f>
        <v>0</v>
      </c>
      <c r="E84" s="976">
        <f>Assumptions!$H$138*E$93*$J$85*100</f>
        <v>0</v>
      </c>
      <c r="F84" s="976">
        <f>Assumptions!$H$138*F$93*$J$85*100</f>
        <v>0</v>
      </c>
      <c r="G84" s="976">
        <f>Assumptions!$H$138*G$93*$J$85*100</f>
        <v>0</v>
      </c>
      <c r="H84" s="976">
        <f>Assumptions!$H$138*H$93*$J$85*100</f>
        <v>0</v>
      </c>
      <c r="I84" s="976">
        <f>Assumptions!$H$138*I$93*$J$85*100</f>
        <v>0</v>
      </c>
      <c r="J84" s="974">
        <v>6.3600000000000004E-2</v>
      </c>
    </row>
    <row r="85" spans="1:10" s="2040" customFormat="1" ht="15.5">
      <c r="A85" s="969" t="s">
        <v>2312</v>
      </c>
      <c r="B85" s="976">
        <f>B83+B84</f>
        <v>0</v>
      </c>
      <c r="C85" s="976">
        <f t="shared" ref="C85:E85" si="10">C83+C84</f>
        <v>0</v>
      </c>
      <c r="D85" s="976">
        <f t="shared" si="10"/>
        <v>0</v>
      </c>
      <c r="E85" s="976">
        <f t="shared" si="10"/>
        <v>0</v>
      </c>
      <c r="F85" s="976">
        <f t="shared" ref="F85:I85" si="11">F83+F84</f>
        <v>0</v>
      </c>
      <c r="G85" s="976">
        <f t="shared" si="11"/>
        <v>0</v>
      </c>
      <c r="H85" s="976">
        <f t="shared" si="11"/>
        <v>0</v>
      </c>
      <c r="I85" s="976">
        <f t="shared" si="11"/>
        <v>0</v>
      </c>
      <c r="J85" s="975">
        <v>2.63E-2</v>
      </c>
    </row>
    <row r="86" spans="1:10" s="2040" customFormat="1" ht="15.5">
      <c r="A86" s="969"/>
    </row>
    <row r="87" spans="1:10" s="2040" customFormat="1" ht="15.5">
      <c r="A87" s="969"/>
      <c r="B87" s="1894" t="s">
        <v>7366</v>
      </c>
      <c r="C87" s="1894" t="s">
        <v>7366</v>
      </c>
      <c r="D87" s="1894" t="s">
        <v>7366</v>
      </c>
      <c r="E87" s="1894" t="s">
        <v>7366</v>
      </c>
      <c r="F87" s="1894" t="s">
        <v>7366</v>
      </c>
      <c r="G87" s="1894" t="s">
        <v>7366</v>
      </c>
      <c r="H87" s="1894" t="s">
        <v>7366</v>
      </c>
      <c r="I87" s="1894" t="s">
        <v>7366</v>
      </c>
    </row>
    <row r="88" spans="1:10" s="2040" customFormat="1" ht="15.5">
      <c r="A88" s="978" t="s">
        <v>7387</v>
      </c>
      <c r="B88" s="987">
        <f>Assumptions!H136</f>
        <v>6160</v>
      </c>
      <c r="C88" s="981">
        <f t="shared" ref="C88:E88" si="12">B88</f>
        <v>6160</v>
      </c>
      <c r="D88" s="981">
        <f t="shared" si="12"/>
        <v>6160</v>
      </c>
      <c r="E88" s="981">
        <f t="shared" si="12"/>
        <v>6160</v>
      </c>
      <c r="F88" s="981">
        <f t="shared" ref="F88" si="13">E88</f>
        <v>6160</v>
      </c>
      <c r="G88" s="981">
        <f t="shared" ref="G88" si="14">F88</f>
        <v>6160</v>
      </c>
      <c r="H88" s="981">
        <f t="shared" ref="H88" si="15">G88</f>
        <v>6160</v>
      </c>
      <c r="I88" s="981">
        <f t="shared" ref="I88" si="16">H88</f>
        <v>6160</v>
      </c>
    </row>
    <row r="89" spans="1:10" s="2040" customFormat="1" ht="15.5">
      <c r="A89" s="978" t="s">
        <v>2429</v>
      </c>
      <c r="B89" s="977" t="e">
        <f t="shared" ref="B89:I89" si="17">B53/B88</f>
        <v>#DIV/0!</v>
      </c>
      <c r="C89" s="977" t="e">
        <f t="shared" si="17"/>
        <v>#DIV/0!</v>
      </c>
      <c r="D89" s="977" t="e">
        <f t="shared" si="17"/>
        <v>#DIV/0!</v>
      </c>
      <c r="E89" s="977" t="e">
        <f t="shared" si="17"/>
        <v>#DIV/0!</v>
      </c>
      <c r="F89" s="977" t="e">
        <f t="shared" si="17"/>
        <v>#DIV/0!</v>
      </c>
      <c r="G89" s="977" t="e">
        <f t="shared" si="17"/>
        <v>#DIV/0!</v>
      </c>
      <c r="H89" s="977" t="e">
        <f t="shared" si="17"/>
        <v>#DIV/0!</v>
      </c>
      <c r="I89" s="977" t="e">
        <f t="shared" si="17"/>
        <v>#DIV/0!</v>
      </c>
    </row>
    <row r="90" spans="1:10" s="2040" customFormat="1" ht="15.5">
      <c r="A90" s="969"/>
    </row>
    <row r="91" spans="1:10" s="2040" customFormat="1" ht="15.5">
      <c r="A91" s="969"/>
      <c r="B91" s="1894" t="s">
        <v>7367</v>
      </c>
      <c r="C91" s="1894" t="s">
        <v>7367</v>
      </c>
      <c r="D91" s="1894" t="s">
        <v>7367</v>
      </c>
      <c r="E91" s="1894" t="s">
        <v>7367</v>
      </c>
      <c r="F91" s="1894" t="s">
        <v>7367</v>
      </c>
      <c r="G91" s="1894" t="s">
        <v>7367</v>
      </c>
      <c r="H91" s="1894" t="s">
        <v>7367</v>
      </c>
      <c r="I91" s="1894" t="s">
        <v>7367</v>
      </c>
    </row>
    <row r="92" spans="1:10" s="2040" customFormat="1" ht="15.5">
      <c r="A92" s="978" t="s">
        <v>7864</v>
      </c>
      <c r="B92" s="1660">
        <f>J57</f>
        <v>6160</v>
      </c>
      <c r="C92" s="976">
        <f t="shared" ref="C92:E92" si="18">B92</f>
        <v>6160</v>
      </c>
      <c r="D92" s="976">
        <f t="shared" si="18"/>
        <v>6160</v>
      </c>
      <c r="E92" s="976">
        <f t="shared" si="18"/>
        <v>6160</v>
      </c>
      <c r="F92" s="976">
        <f t="shared" ref="F92" si="19">E92</f>
        <v>6160</v>
      </c>
      <c r="G92" s="976">
        <f t="shared" ref="G92" si="20">F92</f>
        <v>6160</v>
      </c>
      <c r="H92" s="976">
        <f t="shared" ref="H92" si="21">G92</f>
        <v>6160</v>
      </c>
      <c r="I92" s="976">
        <f t="shared" ref="I92" si="22">H92</f>
        <v>6160</v>
      </c>
    </row>
    <row r="93" spans="1:10" s="2040" customFormat="1" ht="15.5">
      <c r="A93" s="978" t="s">
        <v>2429</v>
      </c>
      <c r="B93" s="977">
        <f>B66/B92</f>
        <v>0</v>
      </c>
      <c r="C93" s="977">
        <f t="shared" ref="C93:E93" si="23">C66/C92</f>
        <v>0</v>
      </c>
      <c r="D93" s="977">
        <f t="shared" si="23"/>
        <v>0</v>
      </c>
      <c r="E93" s="977">
        <f t="shared" si="23"/>
        <v>0</v>
      </c>
      <c r="F93" s="977">
        <f t="shared" ref="F93:I93" si="24">F66/F92</f>
        <v>0</v>
      </c>
      <c r="G93" s="977">
        <f t="shared" si="24"/>
        <v>0</v>
      </c>
      <c r="H93" s="977">
        <f t="shared" si="24"/>
        <v>0</v>
      </c>
      <c r="I93" s="977">
        <f t="shared" si="24"/>
        <v>0</v>
      </c>
    </row>
    <row r="94" spans="1:10" s="2040" customFormat="1" ht="15.5"/>
    <row r="95" spans="1:10" s="2040" customFormat="1" ht="15.5">
      <c r="A95" s="972" t="s">
        <v>2656</v>
      </c>
    </row>
    <row r="96" spans="1:10" s="2040" customFormat="1" ht="15.5">
      <c r="B96" s="1894" t="s">
        <v>7367</v>
      </c>
      <c r="C96" s="1894" t="s">
        <v>7367</v>
      </c>
      <c r="D96" s="1894" t="s">
        <v>7367</v>
      </c>
      <c r="E96" s="1894" t="s">
        <v>7367</v>
      </c>
      <c r="F96" s="1894" t="s">
        <v>7367</v>
      </c>
      <c r="G96" s="1894" t="s">
        <v>7367</v>
      </c>
      <c r="H96" s="1894" t="s">
        <v>7367</v>
      </c>
      <c r="I96" s="1894" t="s">
        <v>7367</v>
      </c>
      <c r="J96" s="259" t="s">
        <v>7398</v>
      </c>
    </row>
    <row r="97" spans="1:11" s="2040" customFormat="1" ht="15.5">
      <c r="B97" s="965" t="s">
        <v>7358</v>
      </c>
      <c r="C97" s="965" t="s">
        <v>7359</v>
      </c>
      <c r="D97" s="965" t="s">
        <v>7360</v>
      </c>
      <c r="E97" s="966" t="s">
        <v>7361</v>
      </c>
      <c r="F97" s="966" t="s">
        <v>10695</v>
      </c>
      <c r="G97" s="966" t="s">
        <v>10696</v>
      </c>
      <c r="H97" s="966" t="s">
        <v>10697</v>
      </c>
      <c r="I97" s="966" t="s">
        <v>10698</v>
      </c>
      <c r="J97" s="1659" t="s">
        <v>7865</v>
      </c>
    </row>
    <row r="98" spans="1:11" s="2040" customFormat="1" ht="15.5">
      <c r="A98" s="2040" t="s">
        <v>7381</v>
      </c>
      <c r="B98" s="976">
        <f>B11*$J$98*$J$99*100</f>
        <v>0</v>
      </c>
      <c r="C98" s="976">
        <f>C11*$J$98*$J$99*100</f>
        <v>0</v>
      </c>
      <c r="D98" s="976">
        <f>D11*$J$98*$J$99*100</f>
        <v>0</v>
      </c>
      <c r="E98" s="976">
        <f>E11*$J$98*$J$99*100</f>
        <v>0</v>
      </c>
      <c r="F98" s="976">
        <f t="shared" ref="F98:I98" si="25">F11*$J$98*$J$99*100</f>
        <v>0</v>
      </c>
      <c r="G98" s="976">
        <f t="shared" si="25"/>
        <v>0</v>
      </c>
      <c r="H98" s="976">
        <f t="shared" si="25"/>
        <v>0</v>
      </c>
      <c r="I98" s="976">
        <f t="shared" si="25"/>
        <v>0</v>
      </c>
      <c r="J98" s="979">
        <v>4.5999999999999999E-2</v>
      </c>
    </row>
    <row r="99" spans="1:11" s="2040" customFormat="1" ht="15.5">
      <c r="J99" s="1662">
        <v>39.4</v>
      </c>
      <c r="K99" s="1661" t="s">
        <v>7866</v>
      </c>
    </row>
    <row r="100" spans="1:11" s="2040" customFormat="1" ht="15.5"/>
    <row r="101" spans="1:11" s="2040" customFormat="1" ht="15.5"/>
    <row r="102" spans="1:11" s="2040" customFormat="1" ht="15.5"/>
    <row r="103" spans="1:11" s="2040" customFormat="1" ht="15.5"/>
    <row r="104" spans="1:11" s="2040" customFormat="1" ht="15.5"/>
    <row r="105" spans="1:11" s="2040" customFormat="1" ht="15.5"/>
    <row r="106" spans="1:11" s="2040" customFormat="1" ht="15.5"/>
    <row r="107" spans="1:11" s="2040" customFormat="1" ht="15.5"/>
    <row r="108" spans="1:11" s="2040" customFormat="1" ht="15.5"/>
    <row r="109" spans="1:11" s="2040" customFormat="1" ht="15.5"/>
    <row r="110" spans="1:11" s="2040" customFormat="1" ht="15.5"/>
    <row r="111" spans="1:11" s="2040" customFormat="1" ht="15.5"/>
    <row r="112" spans="1:11"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2040" customFormat="1" ht="15.5"/>
    <row r="130" s="2040" customFormat="1" ht="15.5"/>
    <row r="131" s="2040" customFormat="1" ht="15.5"/>
    <row r="132" s="2040" customFormat="1" ht="15.5"/>
    <row r="133" s="2040" customFormat="1" ht="15.5"/>
    <row r="134" s="2040" customFormat="1" ht="15.5"/>
    <row r="135" s="2040" customFormat="1" ht="15.5"/>
    <row r="136" s="2040" customFormat="1" ht="15.5"/>
    <row r="137" s="2040" customFormat="1" ht="15.5"/>
    <row r="138" s="2040" customFormat="1" ht="15.5"/>
    <row r="139" s="2040" customFormat="1" ht="15.5"/>
    <row r="140" s="2040" customFormat="1" ht="15.5"/>
    <row r="141" s="2040" customFormat="1" ht="15.5"/>
    <row r="142" s="2040" customFormat="1" ht="15.5"/>
    <row r="143" s="2040" customFormat="1" ht="15.5"/>
    <row r="144" s="2040" customFormat="1" ht="15.5"/>
    <row r="145" s="2040" customFormat="1" ht="15.5"/>
    <row r="146" s="2040" customFormat="1" ht="15.5"/>
    <row r="147" s="2040" customFormat="1" ht="15.5"/>
    <row r="148" s="2040" customFormat="1" ht="15.5"/>
    <row r="149" s="2040" customFormat="1" ht="15.5"/>
    <row r="150" s="2040" customFormat="1" ht="15.5"/>
    <row r="151" s="2040" customFormat="1" ht="15.5"/>
    <row r="152" s="2040" customFormat="1" ht="15.5"/>
    <row r="153" s="2040" customFormat="1" ht="15.5"/>
    <row r="154" s="2040" customFormat="1" ht="15.5"/>
    <row r="155" s="2040" customFormat="1" ht="15.5"/>
    <row r="156" s="2040" customFormat="1" ht="15.5"/>
    <row r="157" s="2040" customFormat="1" ht="15.5"/>
    <row r="158" s="2040" customFormat="1" ht="15.5"/>
    <row r="159" s="2040" customFormat="1" ht="15.5"/>
    <row r="160" s="2040" customFormat="1" ht="15.5"/>
    <row r="161" s="2040" customFormat="1" ht="15.5"/>
    <row r="162" s="2040" customFormat="1" ht="15.5"/>
    <row r="163" s="2040" customFormat="1" ht="15.5"/>
    <row r="164" s="2040" customFormat="1" ht="15.5"/>
    <row r="165" s="2040" customFormat="1" ht="15.5"/>
    <row r="166" s="2040" customFormat="1" ht="15.5"/>
    <row r="167" s="2040" customFormat="1" ht="15.5"/>
    <row r="168" s="2040" customFormat="1" ht="15.5"/>
    <row r="169" s="2040" customFormat="1" ht="15.5"/>
    <row r="170" s="2040" customFormat="1" ht="15.5"/>
    <row r="171" s="2040" customFormat="1" ht="15.5"/>
    <row r="172" s="2040" customFormat="1" ht="15.5"/>
    <row r="173" s="2040" customFormat="1" ht="15.5"/>
    <row r="174" s="2040" customFormat="1" ht="15.5"/>
    <row r="175" s="2040" customFormat="1" ht="15.5"/>
    <row r="176" s="2040" customFormat="1" ht="15.5"/>
    <row r="177" s="2040" customFormat="1" ht="15.5"/>
    <row r="178" s="2040" customFormat="1" ht="15.5"/>
    <row r="179" s="2040" customFormat="1" ht="15.5"/>
    <row r="180" s="2040" customFormat="1" ht="15.5"/>
    <row r="181" s="2040" customFormat="1" ht="15.5"/>
    <row r="182" s="2040" customFormat="1" ht="15.5"/>
    <row r="183" s="2040" customFormat="1" ht="15.5"/>
    <row r="184" s="2040" customFormat="1" ht="15.5"/>
    <row r="185" s="2040" customFormat="1" ht="15.5"/>
    <row r="186" s="2040" customFormat="1" ht="15.5"/>
    <row r="187" s="2040" customFormat="1" ht="15.5"/>
    <row r="188" s="2040" customFormat="1" ht="15.5"/>
    <row r="189" s="2040" customFormat="1" ht="15.5"/>
    <row r="190" s="2040" customFormat="1" ht="15.5"/>
    <row r="191" s="2040" customFormat="1" ht="15.5"/>
    <row r="192" s="2040" customFormat="1" ht="15.5"/>
    <row r="193" s="2040" customFormat="1" ht="15.5"/>
    <row r="194" s="2040" customFormat="1" ht="15.5"/>
    <row r="195" s="2040" customFormat="1" ht="15.5"/>
    <row r="196" s="2040" customFormat="1" ht="15.5"/>
    <row r="197" s="2040" customFormat="1" ht="15.5"/>
    <row r="198" s="2040" customFormat="1" ht="15.5"/>
    <row r="199" s="2040" customFormat="1" ht="15.5"/>
    <row r="200" s="2040" customFormat="1" ht="15.5"/>
    <row r="201" s="2040" customFormat="1" ht="15.5"/>
    <row r="202" s="2040" customFormat="1" ht="15.5"/>
    <row r="203" s="2040" customFormat="1" ht="15.5"/>
    <row r="204" s="2040" customFormat="1" ht="15.5"/>
    <row r="205" s="2040" customFormat="1" ht="15.5"/>
    <row r="206" s="2040" customFormat="1" ht="15.5"/>
    <row r="207" s="2040" customFormat="1" ht="15.5"/>
    <row r="208" s="2040" customFormat="1" ht="15.5"/>
    <row r="209" s="2040" customFormat="1" ht="15.5"/>
    <row r="210" s="2040" customFormat="1" ht="15.5"/>
    <row r="211" s="2040" customFormat="1" ht="15.5"/>
    <row r="212" s="2040" customFormat="1" ht="15.5"/>
    <row r="213" s="2040" customFormat="1" ht="15.5"/>
    <row r="214" s="2040" customFormat="1" ht="15.5"/>
    <row r="215" s="2040" customFormat="1" ht="15.5"/>
    <row r="216" s="2040" customFormat="1" ht="15.5"/>
    <row r="217" s="2040" customFormat="1" ht="15.5"/>
    <row r="218" s="2040" customFormat="1" ht="15.5"/>
    <row r="219" s="2040" customFormat="1" ht="15.5"/>
    <row r="220" s="2040" customFormat="1" ht="15.5"/>
    <row r="221" s="2040" customFormat="1" ht="15.5"/>
    <row r="222" s="2040" customFormat="1" ht="15.5"/>
    <row r="223" s="2040" customFormat="1" ht="15.5"/>
    <row r="224" s="2040" customFormat="1" ht="15.5"/>
    <row r="225" s="2040" customFormat="1" ht="15.5"/>
    <row r="226" s="2040" customFormat="1" ht="15.5"/>
    <row r="227" s="2040" customFormat="1" ht="15.5"/>
    <row r="228" s="2040" customFormat="1" ht="15.5"/>
    <row r="229" s="2040" customFormat="1" ht="15.5"/>
    <row r="230" s="2040" customFormat="1" ht="15.5"/>
    <row r="231" s="2040" customFormat="1" ht="15.5"/>
    <row r="232" s="2040" customFormat="1" ht="15.5"/>
    <row r="233" s="2040" customFormat="1" ht="15.5"/>
    <row r="234" s="2040" customFormat="1" ht="15.5"/>
    <row r="235" s="2040" customFormat="1" ht="15.5"/>
    <row r="236" s="2040" customFormat="1" ht="15.5"/>
    <row r="237" s="2040" customFormat="1" ht="15.5"/>
    <row r="238" s="2040" customFormat="1" ht="15.5"/>
    <row r="239" s="2040" customFormat="1" ht="15.5"/>
    <row r="240" s="2040" customFormat="1" ht="15.5"/>
    <row r="241" s="2040" customFormat="1" ht="15.5"/>
    <row r="242" s="2040" customFormat="1" ht="15.5"/>
    <row r="243" s="2040" customFormat="1" ht="15.5"/>
    <row r="244" s="2040" customFormat="1" ht="15.5"/>
    <row r="245" s="2040" customFormat="1" ht="15.5"/>
    <row r="246" s="2040" customFormat="1" ht="15.5"/>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66CCFF"/>
  </sheetPr>
  <dimension ref="A1:J57"/>
  <sheetViews>
    <sheetView workbookViewId="0">
      <selection activeCell="B5" sqref="B5"/>
    </sheetView>
  </sheetViews>
  <sheetFormatPr defaultColWidth="8.7265625" defaultRowHeight="12.5"/>
  <cols>
    <col min="1" max="1" width="34.54296875" style="2042" customWidth="1"/>
    <col min="2" max="9" width="23.7265625" style="2042" customWidth="1"/>
    <col min="10" max="10" width="19.90625" style="2042" customWidth="1"/>
    <col min="11" max="16384" width="8.7265625" style="2042"/>
  </cols>
  <sheetData>
    <row r="1" spans="1:9" s="2040" customFormat="1" ht="15.5">
      <c r="A1" s="2040" t="s">
        <v>7391</v>
      </c>
    </row>
    <row r="2" spans="1:9" s="2040" customFormat="1" ht="15.5">
      <c r="A2" s="2040" t="s">
        <v>10705</v>
      </c>
    </row>
    <row r="3" spans="1:9" s="2040" customFormat="1" ht="15.5"/>
    <row r="4" spans="1:9" s="2040" customFormat="1" ht="15.5"/>
    <row r="5" spans="1:9" s="2040" customFormat="1" ht="15.5"/>
    <row r="6" spans="1:9" ht="15.5">
      <c r="B6" s="1333" t="s">
        <v>8984</v>
      </c>
      <c r="C6" s="1334"/>
      <c r="D6" s="1334"/>
      <c r="E6" s="1335"/>
      <c r="F6" s="1335"/>
      <c r="G6" s="1335"/>
      <c r="H6" s="1335"/>
      <c r="I6" s="1335"/>
    </row>
    <row r="7" spans="1:9" ht="13">
      <c r="A7" s="1338" t="s">
        <v>7382</v>
      </c>
      <c r="B7" s="43" t="s">
        <v>7366</v>
      </c>
      <c r="C7" s="43" t="s">
        <v>7366</v>
      </c>
      <c r="D7" s="43" t="s">
        <v>7366</v>
      </c>
      <c r="E7" s="43" t="s">
        <v>7366</v>
      </c>
      <c r="F7" s="43" t="s">
        <v>7366</v>
      </c>
      <c r="G7" s="43" t="s">
        <v>7366</v>
      </c>
      <c r="H7" s="43" t="s">
        <v>7366</v>
      </c>
      <c r="I7" s="43" t="s">
        <v>7366</v>
      </c>
    </row>
    <row r="8" spans="1:9" ht="13">
      <c r="B8" s="1336" t="s">
        <v>7358</v>
      </c>
      <c r="C8" s="1336" t="s">
        <v>7359</v>
      </c>
      <c r="D8" s="1336" t="s">
        <v>7360</v>
      </c>
      <c r="E8" s="1337" t="s">
        <v>7361</v>
      </c>
      <c r="F8" s="1337" t="s">
        <v>10695</v>
      </c>
      <c r="G8" s="1337" t="s">
        <v>10696</v>
      </c>
      <c r="H8" s="1337" t="s">
        <v>10697</v>
      </c>
      <c r="I8" s="1337" t="s">
        <v>10698</v>
      </c>
    </row>
    <row r="9" spans="1:9" ht="15.5">
      <c r="A9" s="964" t="s">
        <v>2635</v>
      </c>
      <c r="B9" s="1339">
        <f>'DistCharter-Data2122'!B44</f>
        <v>0</v>
      </c>
      <c r="C9" s="1339">
        <f>'DistCharter-Data2122'!C44</f>
        <v>0</v>
      </c>
      <c r="D9" s="1339">
        <f>'DistCharter-Data2122'!D44</f>
        <v>0</v>
      </c>
      <c r="E9" s="1339">
        <f>'DistCharter-Data2122'!E44</f>
        <v>0</v>
      </c>
      <c r="F9" s="1339">
        <f>'DistCharter-Data2122'!F44</f>
        <v>0</v>
      </c>
      <c r="G9" s="1339">
        <f>'DistCharter-Data2122'!G44</f>
        <v>0</v>
      </c>
      <c r="H9" s="1339">
        <f>'DistCharter-Data2122'!H44</f>
        <v>0</v>
      </c>
      <c r="I9" s="1339">
        <f>'DistCharter-Data2122'!I44</f>
        <v>0</v>
      </c>
    </row>
    <row r="10" spans="1:9" ht="15.5">
      <c r="A10" s="964" t="s">
        <v>7854</v>
      </c>
      <c r="B10" s="1670" t="e">
        <f>'DistCharter-Data2122'!B45</f>
        <v>#DIV/0!</v>
      </c>
      <c r="C10" s="1670" t="e">
        <f>'DistCharter-Data2122'!C45</f>
        <v>#DIV/0!</v>
      </c>
      <c r="D10" s="1670" t="e">
        <f>'DistCharter-Data2122'!D45</f>
        <v>#DIV/0!</v>
      </c>
      <c r="E10" s="1670" t="e">
        <f>'DistCharter-Data2122'!E45</f>
        <v>#DIV/0!</v>
      </c>
      <c r="F10" s="1670" t="e">
        <f>'DistCharter-Data2122'!F45</f>
        <v>#DIV/0!</v>
      </c>
      <c r="G10" s="1670" t="e">
        <f>'DistCharter-Data2122'!G45</f>
        <v>#DIV/0!</v>
      </c>
      <c r="H10" s="1670" t="e">
        <f>'DistCharter-Data2122'!H45</f>
        <v>#DIV/0!</v>
      </c>
      <c r="I10" s="1670" t="e">
        <f>'DistCharter-Data2122'!I45</f>
        <v>#DIV/0!</v>
      </c>
    </row>
    <row r="11" spans="1:9" ht="15.5">
      <c r="A11" s="964" t="s">
        <v>2639</v>
      </c>
      <c r="B11" s="1339">
        <f>'DistCharter-Data2122'!B46</f>
        <v>0</v>
      </c>
      <c r="C11" s="1339">
        <f>'DistCharter-Data2122'!C46</f>
        <v>0</v>
      </c>
      <c r="D11" s="1339">
        <f>'DistCharter-Data2122'!D46</f>
        <v>0</v>
      </c>
      <c r="E11" s="1339">
        <f>'DistCharter-Data2122'!E46</f>
        <v>0</v>
      </c>
      <c r="F11" s="1339">
        <f>'DistCharter-Data2122'!F46</f>
        <v>0</v>
      </c>
      <c r="G11" s="1339">
        <f>'DistCharter-Data2122'!G46</f>
        <v>0</v>
      </c>
      <c r="H11" s="1339">
        <f>'DistCharter-Data2122'!H46</f>
        <v>0</v>
      </c>
      <c r="I11" s="1339">
        <f>'DistCharter-Data2122'!I46</f>
        <v>0</v>
      </c>
    </row>
    <row r="12" spans="1:9" ht="15.5">
      <c r="A12" s="964" t="s">
        <v>7436</v>
      </c>
      <c r="B12" s="1670">
        <f>'DistCharter-Data2122'!B47</f>
        <v>0</v>
      </c>
      <c r="C12" s="1670">
        <f>'DistCharter-Data2122'!C47</f>
        <v>0</v>
      </c>
      <c r="D12" s="1670">
        <f>'DistCharter-Data2122'!D47</f>
        <v>0</v>
      </c>
      <c r="E12" s="1670">
        <f>'DistCharter-Data2122'!E47</f>
        <v>0</v>
      </c>
      <c r="F12" s="1670">
        <f>'DistCharter-Data2122'!F47</f>
        <v>0</v>
      </c>
      <c r="G12" s="1670">
        <f>'DistCharter-Data2122'!G47</f>
        <v>0</v>
      </c>
      <c r="H12" s="1670">
        <f>'DistCharter-Data2122'!H47</f>
        <v>0</v>
      </c>
      <c r="I12" s="1670">
        <f>'DistCharter-Data2122'!I47</f>
        <v>0</v>
      </c>
    </row>
    <row r="13" spans="1:9" ht="15.5">
      <c r="A13" s="964" t="s">
        <v>7363</v>
      </c>
      <c r="B13" s="1339">
        <f>'DistCharter-Data2122'!B48</f>
        <v>0</v>
      </c>
      <c r="C13" s="1339">
        <f>'DistCharter-Data2122'!C48</f>
        <v>0</v>
      </c>
      <c r="D13" s="1339">
        <f>'DistCharter-Data2122'!D48</f>
        <v>0</v>
      </c>
      <c r="E13" s="1339">
        <f>'DistCharter-Data2122'!E48</f>
        <v>0</v>
      </c>
      <c r="F13" s="1339">
        <f>'DistCharter-Data2122'!F48</f>
        <v>0</v>
      </c>
      <c r="G13" s="1339">
        <f>'DistCharter-Data2122'!G48</f>
        <v>0</v>
      </c>
      <c r="H13" s="1339">
        <f>'DistCharter-Data2122'!H48</f>
        <v>0</v>
      </c>
      <c r="I13" s="1339">
        <f>'DistCharter-Data2122'!I48</f>
        <v>0</v>
      </c>
    </row>
    <row r="14" spans="1:9" ht="15.5">
      <c r="A14" s="964" t="s">
        <v>7364</v>
      </c>
      <c r="B14" s="1339">
        <f>'DistCharter-Data2122'!B49</f>
        <v>0</v>
      </c>
      <c r="C14" s="1339">
        <f>'DistCharter-Data2122'!C49</f>
        <v>0</v>
      </c>
      <c r="D14" s="1339">
        <f>'DistCharter-Data2122'!D49</f>
        <v>0</v>
      </c>
      <c r="E14" s="1339">
        <f>'DistCharter-Data2122'!E49</f>
        <v>0</v>
      </c>
      <c r="F14" s="1339">
        <f>'DistCharter-Data2122'!F49</f>
        <v>0</v>
      </c>
      <c r="G14" s="1339">
        <f>'DistCharter-Data2122'!G49</f>
        <v>0</v>
      </c>
      <c r="H14" s="1339">
        <f>'DistCharter-Data2122'!H49</f>
        <v>0</v>
      </c>
      <c r="I14" s="1339">
        <f>'DistCharter-Data2122'!I49</f>
        <v>0</v>
      </c>
    </row>
    <row r="15" spans="1:9" ht="15.5">
      <c r="A15" s="964" t="s">
        <v>2642</v>
      </c>
      <c r="B15" s="1339">
        <f>'DistCharter-Data2122'!B50</f>
        <v>0</v>
      </c>
      <c r="C15" s="1339">
        <f>'DistCharter-Data2122'!C50</f>
        <v>0</v>
      </c>
      <c r="D15" s="1339">
        <f>'DistCharter-Data2122'!D50</f>
        <v>0</v>
      </c>
      <c r="E15" s="1339">
        <f>'DistCharter-Data2122'!E50</f>
        <v>0</v>
      </c>
      <c r="F15" s="1339">
        <f>'DistCharter-Data2122'!F50</f>
        <v>0</v>
      </c>
      <c r="G15" s="1339">
        <f>'DistCharter-Data2122'!G50</f>
        <v>0</v>
      </c>
      <c r="H15" s="1339">
        <f>'DistCharter-Data2122'!H50</f>
        <v>0</v>
      </c>
      <c r="I15" s="1339">
        <f>'DistCharter-Data2122'!I50</f>
        <v>0</v>
      </c>
    </row>
    <row r="16" spans="1:9" ht="15.5">
      <c r="A16" s="964" t="s">
        <v>7365</v>
      </c>
      <c r="B16" s="1339">
        <f>'DistCharter-Data2122'!B51</f>
        <v>0</v>
      </c>
      <c r="C16" s="1339">
        <f>'DistCharter-Data2122'!C51</f>
        <v>0</v>
      </c>
      <c r="D16" s="1339">
        <f>'DistCharter-Data2122'!D51</f>
        <v>0</v>
      </c>
      <c r="E16" s="1339">
        <f>'DistCharter-Data2122'!E51</f>
        <v>0</v>
      </c>
      <c r="F16" s="1339">
        <f>'DistCharter-Data2122'!F51</f>
        <v>0</v>
      </c>
      <c r="G16" s="1339">
        <f>'DistCharter-Data2122'!G51</f>
        <v>0</v>
      </c>
      <c r="H16" s="1339">
        <f>'DistCharter-Data2122'!H51</f>
        <v>0</v>
      </c>
      <c r="I16" s="1339">
        <f>'DistCharter-Data2122'!I51</f>
        <v>0</v>
      </c>
    </row>
    <row r="17" spans="1:9" ht="15.5">
      <c r="A17" s="964" t="s">
        <v>7628</v>
      </c>
      <c r="B17" s="1670">
        <f>'DistCharter-Data2122'!B52</f>
        <v>0</v>
      </c>
      <c r="C17" s="1670">
        <f>'DistCharter-Data2122'!C52</f>
        <v>0</v>
      </c>
      <c r="D17" s="1670">
        <f>'DistCharter-Data2122'!D52</f>
        <v>0</v>
      </c>
      <c r="E17" s="1670">
        <f>'DistCharter-Data2122'!E52</f>
        <v>0</v>
      </c>
      <c r="F17" s="1670">
        <f>'DistCharter-Data2122'!F52</f>
        <v>0</v>
      </c>
      <c r="G17" s="1670">
        <f>'DistCharter-Data2122'!G52</f>
        <v>0</v>
      </c>
      <c r="H17" s="1670">
        <f>'DistCharter-Data2122'!H52</f>
        <v>0</v>
      </c>
      <c r="I17" s="1670">
        <f>'DistCharter-Data2122'!I52</f>
        <v>0</v>
      </c>
    </row>
    <row r="18" spans="1:9" ht="15.5">
      <c r="A18" s="970" t="s">
        <v>7371</v>
      </c>
      <c r="B18" s="1339" t="e">
        <f>'DistCharter-Data2122'!B53</f>
        <v>#DIV/0!</v>
      </c>
      <c r="C18" s="1339" t="e">
        <f>'DistCharter-Data2122'!C53</f>
        <v>#DIV/0!</v>
      </c>
      <c r="D18" s="1339" t="e">
        <f>'DistCharter-Data2122'!D53</f>
        <v>#DIV/0!</v>
      </c>
      <c r="E18" s="1339" t="e">
        <f>'DistCharter-Data2122'!E53</f>
        <v>#DIV/0!</v>
      </c>
      <c r="F18" s="1339" t="e">
        <f>'DistCharter-Data2122'!F53</f>
        <v>#DIV/0!</v>
      </c>
      <c r="G18" s="1339" t="e">
        <f>'DistCharter-Data2122'!G53</f>
        <v>#DIV/0!</v>
      </c>
      <c r="H18" s="1339" t="e">
        <f>'DistCharter-Data2122'!H53</f>
        <v>#DIV/0!</v>
      </c>
      <c r="I18" s="1339" t="e">
        <f>'DistCharter-Data2122'!I53</f>
        <v>#DIV/0!</v>
      </c>
    </row>
    <row r="19" spans="1:9">
      <c r="A19" s="1037"/>
    </row>
    <row r="20" spans="1:9" ht="13">
      <c r="A20" s="1338" t="s">
        <v>10704</v>
      </c>
      <c r="B20" s="43" t="s">
        <v>7366</v>
      </c>
      <c r="C20" s="43" t="s">
        <v>7366</v>
      </c>
      <c r="D20" s="43" t="s">
        <v>7366</v>
      </c>
      <c r="E20" s="43" t="s">
        <v>7366</v>
      </c>
      <c r="F20" s="43" t="s">
        <v>7366</v>
      </c>
      <c r="G20" s="43" t="s">
        <v>7366</v>
      </c>
      <c r="H20" s="43" t="s">
        <v>7366</v>
      </c>
      <c r="I20" s="43" t="s">
        <v>7366</v>
      </c>
    </row>
    <row r="21" spans="1:9" ht="13">
      <c r="B21" s="1336" t="s">
        <v>7358</v>
      </c>
      <c r="C21" s="1336" t="s">
        <v>7359</v>
      </c>
      <c r="D21" s="1336" t="s">
        <v>7360</v>
      </c>
      <c r="E21" s="1337" t="s">
        <v>7361</v>
      </c>
      <c r="F21" s="1337" t="s">
        <v>10695</v>
      </c>
      <c r="G21" s="1337" t="s">
        <v>10696</v>
      </c>
      <c r="H21" s="1337" t="s">
        <v>10697</v>
      </c>
      <c r="I21" s="1337" t="s">
        <v>10698</v>
      </c>
    </row>
    <row r="22" spans="1:9" ht="15.5">
      <c r="A22" s="969" t="s">
        <v>7393</v>
      </c>
      <c r="B22" s="1339" t="e">
        <f>'DistCharter-Data2122'!B77</f>
        <v>#DIV/0!</v>
      </c>
      <c r="C22" s="1339" t="e">
        <f>'DistCharter-Data2122'!C77</f>
        <v>#DIV/0!</v>
      </c>
      <c r="D22" s="1339" t="e">
        <f>'DistCharter-Data2122'!D77</f>
        <v>#DIV/0!</v>
      </c>
      <c r="E22" s="1339" t="e">
        <f>'DistCharter-Data2122'!E77</f>
        <v>#DIV/0!</v>
      </c>
      <c r="F22" s="1339" t="e">
        <f>'DistCharter-Data2122'!F77</f>
        <v>#DIV/0!</v>
      </c>
      <c r="G22" s="1339" t="e">
        <f>'DistCharter-Data2122'!G77</f>
        <v>#DIV/0!</v>
      </c>
      <c r="H22" s="1339" t="e">
        <f>'DistCharter-Data2122'!H77</f>
        <v>#DIV/0!</v>
      </c>
      <c r="I22" s="1339" t="e">
        <f>'DistCharter-Data2122'!I77</f>
        <v>#DIV/0!</v>
      </c>
    </row>
    <row r="23" spans="1:9" ht="15.5">
      <c r="A23" s="969" t="s">
        <v>7394</v>
      </c>
      <c r="B23" s="1339" t="e">
        <f>'DistCharter-Data2122'!B78</f>
        <v>#DIV/0!</v>
      </c>
      <c r="C23" s="1339" t="e">
        <f>'DistCharter-Data2122'!C78</f>
        <v>#DIV/0!</v>
      </c>
      <c r="D23" s="1339" t="e">
        <f>'DistCharter-Data2122'!D78</f>
        <v>#DIV/0!</v>
      </c>
      <c r="E23" s="1339" t="e">
        <f>'DistCharter-Data2122'!E78</f>
        <v>#DIV/0!</v>
      </c>
      <c r="F23" s="1339" t="e">
        <f>'DistCharter-Data2122'!F78</f>
        <v>#DIV/0!</v>
      </c>
      <c r="G23" s="1339" t="e">
        <f>'DistCharter-Data2122'!G78</f>
        <v>#DIV/0!</v>
      </c>
      <c r="H23" s="1339" t="e">
        <f>'DistCharter-Data2122'!H78</f>
        <v>#DIV/0!</v>
      </c>
      <c r="I23" s="1339" t="e">
        <f>'DistCharter-Data2122'!I78</f>
        <v>#DIV/0!</v>
      </c>
    </row>
    <row r="24" spans="1:9" ht="15.5">
      <c r="A24" s="970" t="s">
        <v>7372</v>
      </c>
      <c r="B24" s="1339" t="e">
        <f>'DistCharter-Data2122'!B79</f>
        <v>#DIV/0!</v>
      </c>
      <c r="C24" s="1339" t="e">
        <f>'DistCharter-Data2122'!C79</f>
        <v>#DIV/0!</v>
      </c>
      <c r="D24" s="1339" t="e">
        <f>'DistCharter-Data2122'!D79</f>
        <v>#DIV/0!</v>
      </c>
      <c r="E24" s="1339" t="e">
        <f>'DistCharter-Data2122'!E79</f>
        <v>#DIV/0!</v>
      </c>
      <c r="F24" s="1339" t="e">
        <f>'DistCharter-Data2122'!F79</f>
        <v>#DIV/0!</v>
      </c>
      <c r="G24" s="1339" t="e">
        <f>'DistCharter-Data2122'!G79</f>
        <v>#DIV/0!</v>
      </c>
      <c r="H24" s="1339" t="e">
        <f>'DistCharter-Data2122'!H79</f>
        <v>#DIV/0!</v>
      </c>
      <c r="I24" s="1339" t="e">
        <f>'DistCharter-Data2122'!I79</f>
        <v>#DIV/0!</v>
      </c>
    </row>
    <row r="26" spans="1:9" ht="15.5">
      <c r="A26" s="1340" t="s">
        <v>7374</v>
      </c>
      <c r="B26" s="1663" t="e">
        <f>B18+B24</f>
        <v>#DIV/0!</v>
      </c>
      <c r="C26" s="1663" t="e">
        <f t="shared" ref="C26:E26" si="0">C18+C24</f>
        <v>#DIV/0!</v>
      </c>
      <c r="D26" s="1663" t="e">
        <f t="shared" si="0"/>
        <v>#DIV/0!</v>
      </c>
      <c r="E26" s="1663" t="e">
        <f t="shared" si="0"/>
        <v>#DIV/0!</v>
      </c>
      <c r="F26" s="1663" t="e">
        <f t="shared" ref="F26:G26" si="1">F18+F24</f>
        <v>#DIV/0!</v>
      </c>
      <c r="G26" s="1663" t="e">
        <f t="shared" si="1"/>
        <v>#DIV/0!</v>
      </c>
      <c r="H26" s="1663" t="e">
        <f t="shared" ref="H26:I26" si="2">H18+H24</f>
        <v>#DIV/0!</v>
      </c>
      <c r="I26" s="1663" t="e">
        <f t="shared" si="2"/>
        <v>#DIV/0!</v>
      </c>
    </row>
    <row r="30" spans="1:9" ht="13">
      <c r="A30" s="1338" t="s">
        <v>7383</v>
      </c>
      <c r="B30" s="43" t="s">
        <v>7367</v>
      </c>
      <c r="C30" s="43" t="s">
        <v>7367</v>
      </c>
      <c r="D30" s="43" t="s">
        <v>7367</v>
      </c>
      <c r="E30" s="43" t="s">
        <v>7367</v>
      </c>
      <c r="F30" s="43" t="s">
        <v>7367</v>
      </c>
      <c r="G30" s="43" t="s">
        <v>7367</v>
      </c>
      <c r="H30" s="43" t="s">
        <v>7367</v>
      </c>
      <c r="I30" s="43" t="s">
        <v>7367</v>
      </c>
    </row>
    <row r="31" spans="1:9" ht="13">
      <c r="B31" s="1336" t="s">
        <v>7358</v>
      </c>
      <c r="C31" s="1336" t="s">
        <v>7359</v>
      </c>
      <c r="D31" s="1336" t="s">
        <v>7360</v>
      </c>
      <c r="E31" s="1337" t="s">
        <v>7361</v>
      </c>
      <c r="F31" s="1337" t="s">
        <v>10695</v>
      </c>
      <c r="G31" s="1337" t="s">
        <v>10696</v>
      </c>
      <c r="H31" s="1337" t="s">
        <v>10697</v>
      </c>
      <c r="I31" s="1337" t="s">
        <v>10698</v>
      </c>
    </row>
    <row r="32" spans="1:9" ht="15.5">
      <c r="A32" s="964" t="s">
        <v>2635</v>
      </c>
      <c r="B32" s="1339">
        <f>'DistCharter-Data2122'!B57</f>
        <v>0</v>
      </c>
      <c r="C32" s="1339">
        <f>'DistCharter-Data2122'!C57</f>
        <v>0</v>
      </c>
      <c r="D32" s="1339">
        <f>'DistCharter-Data2122'!D57</f>
        <v>0</v>
      </c>
      <c r="E32" s="1339">
        <f>'DistCharter-Data2122'!E57</f>
        <v>0</v>
      </c>
      <c r="F32" s="1339">
        <f>'DistCharter-Data2122'!F57</f>
        <v>0</v>
      </c>
      <c r="G32" s="1339">
        <f>'DistCharter-Data2122'!G57</f>
        <v>0</v>
      </c>
      <c r="H32" s="1339">
        <f>'DistCharter-Data2122'!H57</f>
        <v>0</v>
      </c>
      <c r="I32" s="1339">
        <f>'DistCharter-Data2122'!I57</f>
        <v>0</v>
      </c>
    </row>
    <row r="33" spans="1:9" ht="15.5">
      <c r="A33" s="964" t="s">
        <v>7854</v>
      </c>
      <c r="B33" s="1670">
        <f>'DistCharter-Data2122'!B58</f>
        <v>0</v>
      </c>
      <c r="C33" s="1670">
        <f>'DistCharter-Data2122'!C58</f>
        <v>0</v>
      </c>
      <c r="D33" s="1670">
        <f>'DistCharter-Data2122'!D58</f>
        <v>0</v>
      </c>
      <c r="E33" s="1670">
        <f>'DistCharter-Data2122'!E58</f>
        <v>0</v>
      </c>
      <c r="F33" s="1670">
        <f>'DistCharter-Data2122'!F58</f>
        <v>0</v>
      </c>
      <c r="G33" s="1670">
        <f>'DistCharter-Data2122'!G58</f>
        <v>0</v>
      </c>
      <c r="H33" s="1670">
        <f>'DistCharter-Data2122'!H58</f>
        <v>0</v>
      </c>
      <c r="I33" s="1670">
        <f>'DistCharter-Data2122'!I58</f>
        <v>0</v>
      </c>
    </row>
    <row r="34" spans="1:9" ht="15.5">
      <c r="A34" s="964" t="s">
        <v>2639</v>
      </c>
      <c r="B34" s="1339">
        <f>'DistCharter-Data2122'!B59</f>
        <v>0</v>
      </c>
      <c r="C34" s="1339">
        <f>'DistCharter-Data2122'!C59</f>
        <v>0</v>
      </c>
      <c r="D34" s="1339">
        <f>'DistCharter-Data2122'!D59</f>
        <v>0</v>
      </c>
      <c r="E34" s="1339">
        <f>'DistCharter-Data2122'!E59</f>
        <v>0</v>
      </c>
      <c r="F34" s="1339">
        <f>'DistCharter-Data2122'!F59</f>
        <v>0</v>
      </c>
      <c r="G34" s="1339">
        <f>'DistCharter-Data2122'!G59</f>
        <v>0</v>
      </c>
      <c r="H34" s="1339">
        <f>'DistCharter-Data2122'!H59</f>
        <v>0</v>
      </c>
      <c r="I34" s="1339">
        <f>'DistCharter-Data2122'!I59</f>
        <v>0</v>
      </c>
    </row>
    <row r="35" spans="1:9" ht="15.5">
      <c r="A35" s="964" t="s">
        <v>7436</v>
      </c>
      <c r="B35" s="1670">
        <f>'DistCharter-Data2122'!B60</f>
        <v>0</v>
      </c>
      <c r="C35" s="1670">
        <f>'DistCharter-Data2122'!C60</f>
        <v>0</v>
      </c>
      <c r="D35" s="1670">
        <f>'DistCharter-Data2122'!D60</f>
        <v>0</v>
      </c>
      <c r="E35" s="1670">
        <f>'DistCharter-Data2122'!E60</f>
        <v>0</v>
      </c>
      <c r="F35" s="1670">
        <f>'DistCharter-Data2122'!F60</f>
        <v>0</v>
      </c>
      <c r="G35" s="1670">
        <f>'DistCharter-Data2122'!G60</f>
        <v>0</v>
      </c>
      <c r="H35" s="1670">
        <f>'DistCharter-Data2122'!H60</f>
        <v>0</v>
      </c>
      <c r="I35" s="1670">
        <f>'DistCharter-Data2122'!I60</f>
        <v>0</v>
      </c>
    </row>
    <row r="36" spans="1:9" ht="15.5">
      <c r="A36" s="964" t="s">
        <v>7363</v>
      </c>
      <c r="B36" s="1339">
        <f>'DistCharter-Data2122'!B61</f>
        <v>0</v>
      </c>
      <c r="C36" s="1339">
        <f>'DistCharter-Data2122'!C61</f>
        <v>0</v>
      </c>
      <c r="D36" s="1339">
        <f>'DistCharter-Data2122'!D61</f>
        <v>0</v>
      </c>
      <c r="E36" s="1339">
        <f>'DistCharter-Data2122'!E61</f>
        <v>0</v>
      </c>
      <c r="F36" s="1339">
        <f>'DistCharter-Data2122'!F61</f>
        <v>0</v>
      </c>
      <c r="G36" s="1339">
        <f>'DistCharter-Data2122'!G61</f>
        <v>0</v>
      </c>
      <c r="H36" s="1339">
        <f>'DistCharter-Data2122'!H61</f>
        <v>0</v>
      </c>
      <c r="I36" s="1339">
        <f>'DistCharter-Data2122'!I61</f>
        <v>0</v>
      </c>
    </row>
    <row r="37" spans="1:9" ht="15.5">
      <c r="A37" s="964" t="s">
        <v>7364</v>
      </c>
      <c r="B37" s="1339">
        <f>'DistCharter-Data2122'!B62</f>
        <v>0</v>
      </c>
      <c r="C37" s="1339">
        <f>'DistCharter-Data2122'!C62</f>
        <v>0</v>
      </c>
      <c r="D37" s="1339">
        <f>'DistCharter-Data2122'!D62</f>
        <v>0</v>
      </c>
      <c r="E37" s="1339">
        <f>'DistCharter-Data2122'!E62</f>
        <v>0</v>
      </c>
      <c r="F37" s="1339">
        <f>'DistCharter-Data2122'!F62</f>
        <v>0</v>
      </c>
      <c r="G37" s="1339">
        <f>'DistCharter-Data2122'!G62</f>
        <v>0</v>
      </c>
      <c r="H37" s="1339">
        <f>'DistCharter-Data2122'!H62</f>
        <v>0</v>
      </c>
      <c r="I37" s="1339">
        <f>'DistCharter-Data2122'!I62</f>
        <v>0</v>
      </c>
    </row>
    <row r="38" spans="1:9" ht="15.5">
      <c r="A38" s="964" t="s">
        <v>2642</v>
      </c>
      <c r="B38" s="1339">
        <f>'DistCharter-Data2122'!B63</f>
        <v>0</v>
      </c>
      <c r="C38" s="1339">
        <f>'DistCharter-Data2122'!C63</f>
        <v>0</v>
      </c>
      <c r="D38" s="1339">
        <f>'DistCharter-Data2122'!D63</f>
        <v>0</v>
      </c>
      <c r="E38" s="1339">
        <f>'DistCharter-Data2122'!E63</f>
        <v>0</v>
      </c>
      <c r="F38" s="1339">
        <f>'DistCharter-Data2122'!F63</f>
        <v>0</v>
      </c>
      <c r="G38" s="1339">
        <f>'DistCharter-Data2122'!G63</f>
        <v>0</v>
      </c>
      <c r="H38" s="1339">
        <f>'DistCharter-Data2122'!H63</f>
        <v>0</v>
      </c>
      <c r="I38" s="1339">
        <f>'DistCharter-Data2122'!I63</f>
        <v>0</v>
      </c>
    </row>
    <row r="39" spans="1:9" ht="15.5">
      <c r="A39" s="964" t="s">
        <v>7365</v>
      </c>
      <c r="B39" s="1339">
        <f>'DistCharter-Data2122'!B64</f>
        <v>0</v>
      </c>
      <c r="C39" s="1339">
        <f>'DistCharter-Data2122'!C64</f>
        <v>0</v>
      </c>
      <c r="D39" s="1339">
        <f>'DistCharter-Data2122'!D64</f>
        <v>0</v>
      </c>
      <c r="E39" s="1339">
        <f>'DistCharter-Data2122'!E64</f>
        <v>0</v>
      </c>
      <c r="F39" s="1339">
        <f>'DistCharter-Data2122'!F64</f>
        <v>0</v>
      </c>
      <c r="G39" s="1339">
        <f>'DistCharter-Data2122'!G64</f>
        <v>0</v>
      </c>
      <c r="H39" s="1339">
        <f>'DistCharter-Data2122'!H64</f>
        <v>0</v>
      </c>
      <c r="I39" s="1339">
        <f>'DistCharter-Data2122'!I64</f>
        <v>0</v>
      </c>
    </row>
    <row r="40" spans="1:9" ht="15.5">
      <c r="A40" s="964" t="s">
        <v>7628</v>
      </c>
      <c r="B40" s="1670">
        <f>'DistCharter-Data2122'!B65</f>
        <v>0</v>
      </c>
      <c r="C40" s="1670">
        <f>'DistCharter-Data2122'!C65</f>
        <v>0</v>
      </c>
      <c r="D40" s="1670">
        <f>'DistCharter-Data2122'!D65</f>
        <v>0</v>
      </c>
      <c r="E40" s="1670">
        <f>'DistCharter-Data2122'!E65</f>
        <v>0</v>
      </c>
      <c r="F40" s="1670">
        <f>'DistCharter-Data2122'!F65</f>
        <v>0</v>
      </c>
      <c r="G40" s="1670">
        <f>'DistCharter-Data2122'!G65</f>
        <v>0</v>
      </c>
      <c r="H40" s="1670">
        <f>'DistCharter-Data2122'!H65</f>
        <v>0</v>
      </c>
      <c r="I40" s="1670">
        <f>'DistCharter-Data2122'!I65</f>
        <v>0</v>
      </c>
    </row>
    <row r="41" spans="1:9" ht="15.5">
      <c r="A41" s="970" t="s">
        <v>7371</v>
      </c>
      <c r="B41" s="1339">
        <f t="shared" ref="B41:I41" si="3">SUM(B32:B40)</f>
        <v>0</v>
      </c>
      <c r="C41" s="1339">
        <f t="shared" si="3"/>
        <v>0</v>
      </c>
      <c r="D41" s="1339">
        <f t="shared" si="3"/>
        <v>0</v>
      </c>
      <c r="E41" s="1339">
        <f t="shared" si="3"/>
        <v>0</v>
      </c>
      <c r="F41" s="1339">
        <f t="shared" si="3"/>
        <v>0</v>
      </c>
      <c r="G41" s="1339">
        <f t="shared" si="3"/>
        <v>0</v>
      </c>
      <c r="H41" s="1339">
        <f t="shared" si="3"/>
        <v>0</v>
      </c>
      <c r="I41" s="1339">
        <f t="shared" si="3"/>
        <v>0</v>
      </c>
    </row>
    <row r="43" spans="1:9" ht="13">
      <c r="A43" s="1338" t="s">
        <v>7384</v>
      </c>
      <c r="B43" s="43" t="s">
        <v>7367</v>
      </c>
      <c r="C43" s="43" t="s">
        <v>7367</v>
      </c>
      <c r="D43" s="43" t="s">
        <v>7367</v>
      </c>
      <c r="E43" s="43" t="s">
        <v>7367</v>
      </c>
      <c r="F43" s="43" t="s">
        <v>7367</v>
      </c>
      <c r="G43" s="43" t="s">
        <v>7367</v>
      </c>
      <c r="H43" s="43" t="s">
        <v>7367</v>
      </c>
      <c r="I43" s="43" t="s">
        <v>7367</v>
      </c>
    </row>
    <row r="44" spans="1:9" ht="13">
      <c r="B44" s="1336" t="s">
        <v>7358</v>
      </c>
      <c r="C44" s="1336" t="s">
        <v>7359</v>
      </c>
      <c r="D44" s="1336" t="s">
        <v>7360</v>
      </c>
      <c r="E44" s="1337" t="s">
        <v>7361</v>
      </c>
      <c r="F44" s="1337" t="s">
        <v>10695</v>
      </c>
      <c r="G44" s="1337" t="s">
        <v>10696</v>
      </c>
      <c r="H44" s="1337" t="s">
        <v>10697</v>
      </c>
      <c r="I44" s="1337" t="s">
        <v>10698</v>
      </c>
    </row>
    <row r="45" spans="1:9" ht="15.5">
      <c r="A45" s="969" t="s">
        <v>7393</v>
      </c>
      <c r="B45" s="1339">
        <f>'DistCharter-Data2122'!B83</f>
        <v>0</v>
      </c>
      <c r="C45" s="1339">
        <f>'DistCharter-Data2122'!C83</f>
        <v>0</v>
      </c>
      <c r="D45" s="1339">
        <f>'DistCharter-Data2122'!D83</f>
        <v>0</v>
      </c>
      <c r="E45" s="1339">
        <f>'DistCharter-Data2122'!E83</f>
        <v>0</v>
      </c>
      <c r="F45" s="1339">
        <f>'DistCharter-Data2122'!F83</f>
        <v>0</v>
      </c>
      <c r="G45" s="1339">
        <f>'DistCharter-Data2122'!G83</f>
        <v>0</v>
      </c>
      <c r="H45" s="1339">
        <f>'DistCharter-Data2122'!H83</f>
        <v>0</v>
      </c>
      <c r="I45" s="1339">
        <f>'DistCharter-Data2122'!I83</f>
        <v>0</v>
      </c>
    </row>
    <row r="46" spans="1:9" ht="15.5">
      <c r="A46" s="969" t="s">
        <v>7394</v>
      </c>
      <c r="B46" s="1339">
        <f>'DistCharter-Data2122'!B84</f>
        <v>0</v>
      </c>
      <c r="C46" s="1339">
        <f>'DistCharter-Data2122'!C84</f>
        <v>0</v>
      </c>
      <c r="D46" s="1339">
        <f>'DistCharter-Data2122'!D84</f>
        <v>0</v>
      </c>
      <c r="E46" s="1339">
        <f>'DistCharter-Data2122'!E84</f>
        <v>0</v>
      </c>
      <c r="F46" s="1339">
        <f>'DistCharter-Data2122'!F84</f>
        <v>0</v>
      </c>
      <c r="G46" s="1339">
        <f>'DistCharter-Data2122'!G84</f>
        <v>0</v>
      </c>
      <c r="H46" s="1339">
        <f>'DistCharter-Data2122'!H84</f>
        <v>0</v>
      </c>
      <c r="I46" s="1339">
        <f>'DistCharter-Data2122'!I84</f>
        <v>0</v>
      </c>
    </row>
    <row r="47" spans="1:9" ht="15.5">
      <c r="A47" s="970" t="s">
        <v>7372</v>
      </c>
      <c r="B47" s="1339">
        <f>SUM(B45:B46)</f>
        <v>0</v>
      </c>
      <c r="C47" s="1339">
        <f t="shared" ref="C47:E47" si="4">SUM(C45:C46)</f>
        <v>0</v>
      </c>
      <c r="D47" s="1339">
        <f t="shared" si="4"/>
        <v>0</v>
      </c>
      <c r="E47" s="1339">
        <f t="shared" si="4"/>
        <v>0</v>
      </c>
      <c r="F47" s="1339">
        <f t="shared" ref="F47:G47" si="5">SUM(F45:F46)</f>
        <v>0</v>
      </c>
      <c r="G47" s="1339">
        <f t="shared" si="5"/>
        <v>0</v>
      </c>
      <c r="H47" s="1339">
        <f t="shared" ref="H47:I47" si="6">SUM(H45:H46)</f>
        <v>0</v>
      </c>
      <c r="I47" s="1339">
        <f t="shared" si="6"/>
        <v>0</v>
      </c>
    </row>
    <row r="49" spans="1:10" ht="13">
      <c r="A49" s="1338" t="s">
        <v>7385</v>
      </c>
      <c r="B49" s="43" t="s">
        <v>7367</v>
      </c>
      <c r="C49" s="43" t="s">
        <v>7367</v>
      </c>
      <c r="D49" s="43" t="s">
        <v>7367</v>
      </c>
      <c r="E49" s="43" t="s">
        <v>7367</v>
      </c>
      <c r="F49" s="43" t="s">
        <v>7367</v>
      </c>
      <c r="G49" s="43" t="s">
        <v>7367</v>
      </c>
      <c r="H49" s="43" t="s">
        <v>7367</v>
      </c>
      <c r="I49" s="43" t="s">
        <v>7367</v>
      </c>
    </row>
    <row r="50" spans="1:10" ht="13">
      <c r="B50" s="1336" t="s">
        <v>7358</v>
      </c>
      <c r="C50" s="1336" t="s">
        <v>7359</v>
      </c>
      <c r="D50" s="1336" t="s">
        <v>7360</v>
      </c>
      <c r="E50" s="1337" t="s">
        <v>7361</v>
      </c>
      <c r="F50" s="1337" t="s">
        <v>10695</v>
      </c>
      <c r="G50" s="1337" t="s">
        <v>10696</v>
      </c>
      <c r="H50" s="1337" t="s">
        <v>10697</v>
      </c>
      <c r="I50" s="1337" t="s">
        <v>10698</v>
      </c>
    </row>
    <row r="51" spans="1:10" ht="15.5">
      <c r="A51" s="969" t="s">
        <v>7373</v>
      </c>
      <c r="B51" s="1339">
        <f>'DistCharter-Data2122'!B98</f>
        <v>0</v>
      </c>
      <c r="C51" s="1339">
        <f>'DistCharter-Data2122'!C98</f>
        <v>0</v>
      </c>
      <c r="D51" s="1339">
        <f>'DistCharter-Data2122'!D98</f>
        <v>0</v>
      </c>
      <c r="E51" s="1339">
        <f>'DistCharter-Data2122'!E98</f>
        <v>0</v>
      </c>
      <c r="F51" s="1339">
        <f>'DistCharter-Data2122'!F98</f>
        <v>0</v>
      </c>
      <c r="G51" s="1339">
        <f>'DistCharter-Data2122'!G98</f>
        <v>0</v>
      </c>
      <c r="H51" s="1339">
        <f>'DistCharter-Data2122'!H98</f>
        <v>0</v>
      </c>
      <c r="I51" s="1339">
        <f>'DistCharter-Data2122'!I98</f>
        <v>0</v>
      </c>
    </row>
    <row r="53" spans="1:10" ht="15.5">
      <c r="A53" s="1340" t="s">
        <v>7386</v>
      </c>
      <c r="B53" s="1663">
        <f>B41+B47+B51</f>
        <v>0</v>
      </c>
      <c r="C53" s="1663">
        <f t="shared" ref="C53:E53" si="7">C41+C47+C51</f>
        <v>0</v>
      </c>
      <c r="D53" s="1663">
        <f t="shared" si="7"/>
        <v>0</v>
      </c>
      <c r="E53" s="1663">
        <f t="shared" si="7"/>
        <v>0</v>
      </c>
      <c r="F53" s="1663">
        <f t="shared" ref="F53:G53" si="8">F41+F47+F51</f>
        <v>0</v>
      </c>
      <c r="G53" s="1663">
        <f t="shared" si="8"/>
        <v>0</v>
      </c>
      <c r="H53" s="1663">
        <f t="shared" ref="H53:I53" si="9">H41+H47+H51</f>
        <v>0</v>
      </c>
      <c r="I53" s="1663">
        <f t="shared" si="9"/>
        <v>0</v>
      </c>
    </row>
    <row r="54" spans="1:10" ht="15.5">
      <c r="J54" s="324" t="s">
        <v>5513</v>
      </c>
    </row>
    <row r="55" spans="1:10" ht="15">
      <c r="J55" s="971" t="s">
        <v>7376</v>
      </c>
    </row>
    <row r="56" spans="1:10" ht="15.5">
      <c r="A56" s="1341" t="s">
        <v>7375</v>
      </c>
      <c r="B56" s="1342"/>
      <c r="C56" s="1342"/>
      <c r="D56" s="1342"/>
      <c r="E56" s="980"/>
      <c r="F56" s="980"/>
      <c r="G56" s="980"/>
      <c r="H56" s="980"/>
      <c r="I56" s="980"/>
      <c r="J56" s="2626"/>
    </row>
    <row r="57" spans="1:10" ht="15.5">
      <c r="A57" s="1343" t="s">
        <v>12487</v>
      </c>
      <c r="B57" s="1664" t="e">
        <f t="shared" ref="B57:I57" si="10">IF(B26&gt;=B53,0,B53-B26)</f>
        <v>#DIV/0!</v>
      </c>
      <c r="C57" s="1664" t="e">
        <f t="shared" si="10"/>
        <v>#DIV/0!</v>
      </c>
      <c r="D57" s="1664" t="e">
        <f t="shared" si="10"/>
        <v>#DIV/0!</v>
      </c>
      <c r="E57" s="1664" t="e">
        <f t="shared" si="10"/>
        <v>#DIV/0!</v>
      </c>
      <c r="F57" s="1664" t="e">
        <f t="shared" si="10"/>
        <v>#DIV/0!</v>
      </c>
      <c r="G57" s="1664" t="e">
        <f t="shared" si="10"/>
        <v>#DIV/0!</v>
      </c>
      <c r="H57" s="1664" t="e">
        <f t="shared" si="10"/>
        <v>#DIV/0!</v>
      </c>
      <c r="I57" s="1664" t="e">
        <f t="shared" si="10"/>
        <v>#DIV/0!</v>
      </c>
      <c r="J57" s="2627" t="e">
        <f>SUM(B57:I57)</f>
        <v>#DIV/0!</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Q246"/>
  <sheetViews>
    <sheetView workbookViewId="0">
      <selection activeCell="B7" sqref="B7"/>
    </sheetView>
  </sheetViews>
  <sheetFormatPr defaultColWidth="8.7265625" defaultRowHeight="12.5"/>
  <cols>
    <col min="1" max="1" width="64.54296875" style="2042" customWidth="1"/>
    <col min="2" max="9" width="18.6328125" style="2042" customWidth="1"/>
    <col min="10" max="10" width="23.453125" style="2042" customWidth="1"/>
    <col min="11" max="13" width="15.54296875" style="2042" customWidth="1"/>
    <col min="14" max="17" width="15.6328125" style="2042" customWidth="1"/>
    <col min="18" max="16384" width="8.7265625" style="2042"/>
  </cols>
  <sheetData>
    <row r="1" spans="1:17" ht="15.5">
      <c r="A1" s="2040" t="s">
        <v>7390</v>
      </c>
    </row>
    <row r="2" spans="1:17" ht="15.5">
      <c r="A2" s="2040" t="s">
        <v>7666</v>
      </c>
    </row>
    <row r="3" spans="1:17" ht="15.5">
      <c r="A3" s="2040" t="s">
        <v>7388</v>
      </c>
    </row>
    <row r="4" spans="1:17" ht="15.5">
      <c r="A4" s="2040" t="s">
        <v>7389</v>
      </c>
    </row>
    <row r="5" spans="1:17" ht="15.5">
      <c r="A5" s="2040"/>
    </row>
    <row r="6" spans="1:17" ht="15.5">
      <c r="A6" s="2040" t="s">
        <v>10703</v>
      </c>
    </row>
    <row r="8" spans="1:17" ht="15.5">
      <c r="B8" s="990" t="s">
        <v>9429</v>
      </c>
      <c r="C8" s="982"/>
      <c r="D8" s="982"/>
      <c r="E8" s="983"/>
      <c r="F8" s="983"/>
      <c r="G8" s="983"/>
      <c r="H8" s="983"/>
      <c r="I8" s="983"/>
    </row>
    <row r="9" spans="1:17" ht="13">
      <c r="B9" s="960" t="s">
        <v>7362</v>
      </c>
      <c r="C9" s="960" t="s">
        <v>7362</v>
      </c>
      <c r="D9" s="960" t="s">
        <v>7362</v>
      </c>
      <c r="E9" s="961" t="s">
        <v>7362</v>
      </c>
      <c r="F9" s="961" t="s">
        <v>7362</v>
      </c>
      <c r="G9" s="961" t="s">
        <v>7362</v>
      </c>
      <c r="H9" s="961" t="s">
        <v>7362</v>
      </c>
      <c r="I9" s="961" t="s">
        <v>7362</v>
      </c>
    </row>
    <row r="10" spans="1:17" ht="13">
      <c r="B10" s="962" t="s">
        <v>7358</v>
      </c>
      <c r="C10" s="962" t="s">
        <v>7359</v>
      </c>
      <c r="D10" s="962" t="s">
        <v>7360</v>
      </c>
      <c r="E10" s="963" t="s">
        <v>7361</v>
      </c>
      <c r="F10" s="963" t="s">
        <v>10695</v>
      </c>
      <c r="G10" s="963" t="s">
        <v>10696</v>
      </c>
      <c r="H10" s="963" t="s">
        <v>10697</v>
      </c>
      <c r="I10" s="963" t="s">
        <v>10698</v>
      </c>
    </row>
    <row r="11" spans="1:17" ht="15.5">
      <c r="A11" s="32" t="s">
        <v>470</v>
      </c>
      <c r="B11" s="959">
        <v>0</v>
      </c>
      <c r="C11" s="959">
        <v>0</v>
      </c>
      <c r="D11" s="959">
        <v>0</v>
      </c>
      <c r="E11" s="959">
        <v>0</v>
      </c>
      <c r="F11" s="959">
        <v>0</v>
      </c>
      <c r="G11" s="959">
        <v>0</v>
      </c>
      <c r="H11" s="959">
        <v>0</v>
      </c>
      <c r="I11" s="959">
        <v>0</v>
      </c>
      <c r="J11" s="2042" t="s">
        <v>7397</v>
      </c>
    </row>
    <row r="12" spans="1:17" ht="13">
      <c r="A12" s="639" t="s">
        <v>505</v>
      </c>
      <c r="B12" s="612"/>
      <c r="C12" s="612"/>
      <c r="D12" s="612"/>
      <c r="E12" s="612"/>
      <c r="F12" s="612"/>
      <c r="G12" s="612"/>
      <c r="H12" s="612"/>
      <c r="I12" s="612"/>
      <c r="J12" s="41" t="s">
        <v>7396</v>
      </c>
      <c r="K12" s="41" t="s">
        <v>7399</v>
      </c>
      <c r="L12" s="41" t="s">
        <v>7400</v>
      </c>
      <c r="M12" s="41" t="s">
        <v>7401</v>
      </c>
      <c r="N12" s="41" t="s">
        <v>10699</v>
      </c>
      <c r="O12" s="41" t="s">
        <v>10700</v>
      </c>
      <c r="P12" s="41" t="s">
        <v>10701</v>
      </c>
      <c r="Q12" s="41" t="s">
        <v>10702</v>
      </c>
    </row>
    <row r="13" spans="1:17" ht="15.5">
      <c r="A13" s="32" t="s">
        <v>471</v>
      </c>
      <c r="B13" s="959">
        <v>0</v>
      </c>
      <c r="C13" s="959">
        <v>0</v>
      </c>
      <c r="D13" s="959">
        <v>0</v>
      </c>
      <c r="E13" s="959">
        <v>0</v>
      </c>
      <c r="F13" s="959">
        <v>0</v>
      </c>
      <c r="G13" s="959">
        <v>0</v>
      </c>
      <c r="H13" s="959">
        <v>0</v>
      </c>
      <c r="I13" s="959">
        <v>0</v>
      </c>
      <c r="J13" s="76">
        <f>B13*Weights!$N$10</f>
        <v>0</v>
      </c>
      <c r="K13" s="76">
        <f>C13*Weights!$N$10</f>
        <v>0</v>
      </c>
      <c r="L13" s="76">
        <f>D13*Weights!$N$10</f>
        <v>0</v>
      </c>
      <c r="M13" s="76">
        <f>E13*Weights!$N$10</f>
        <v>0</v>
      </c>
      <c r="N13" s="76">
        <f>F13*Weights!$N$10</f>
        <v>0</v>
      </c>
      <c r="O13" s="76">
        <f>G13*Weights!$N$10</f>
        <v>0</v>
      </c>
      <c r="P13" s="76">
        <f>H13*Weights!$N$10</f>
        <v>0</v>
      </c>
      <c r="Q13" s="76">
        <f>I13*Weights!$N$10</f>
        <v>0</v>
      </c>
    </row>
    <row r="14" spans="1:17" ht="15.5">
      <c r="A14" s="958" t="s">
        <v>472</v>
      </c>
      <c r="B14" s="959">
        <v>0</v>
      </c>
      <c r="C14" s="959">
        <v>0</v>
      </c>
      <c r="D14" s="959">
        <v>0</v>
      </c>
      <c r="E14" s="959">
        <v>0</v>
      </c>
      <c r="F14" s="959">
        <v>0</v>
      </c>
      <c r="G14" s="959">
        <v>0</v>
      </c>
      <c r="H14" s="959">
        <v>0</v>
      </c>
      <c r="I14" s="959">
        <v>0</v>
      </c>
      <c r="J14" s="76">
        <f>B14*Weights!$N$11</f>
        <v>0</v>
      </c>
      <c r="K14" s="76">
        <f>C14*Weights!$N$11</f>
        <v>0</v>
      </c>
      <c r="L14" s="76">
        <f>D14*Weights!$N$11</f>
        <v>0</v>
      </c>
      <c r="M14" s="76">
        <f>E14*Weights!$N$11</f>
        <v>0</v>
      </c>
      <c r="N14" s="76">
        <f>F14*Weights!$N$11</f>
        <v>0</v>
      </c>
      <c r="O14" s="76">
        <f>G14*Weights!$N$11</f>
        <v>0</v>
      </c>
      <c r="P14" s="76">
        <f>H14*Weights!$N$11</f>
        <v>0</v>
      </c>
      <c r="Q14" s="76">
        <f>I14*Weights!$N$11</f>
        <v>0</v>
      </c>
    </row>
    <row r="15" spans="1:17" ht="15.5">
      <c r="A15" s="32" t="s">
        <v>1603</v>
      </c>
      <c r="B15" s="959">
        <v>0</v>
      </c>
      <c r="C15" s="959">
        <v>0</v>
      </c>
      <c r="D15" s="959">
        <v>0</v>
      </c>
      <c r="E15" s="959">
        <v>0</v>
      </c>
      <c r="F15" s="959">
        <v>0</v>
      </c>
      <c r="G15" s="959">
        <v>0</v>
      </c>
      <c r="H15" s="959">
        <v>0</v>
      </c>
      <c r="I15" s="959">
        <v>0</v>
      </c>
      <c r="J15" s="76">
        <f>B15*Weights!$N$12</f>
        <v>0</v>
      </c>
      <c r="K15" s="76">
        <f>C15*Weights!$N$12</f>
        <v>0</v>
      </c>
      <c r="L15" s="76">
        <f>D15*Weights!$N$12</f>
        <v>0</v>
      </c>
      <c r="M15" s="76">
        <f>E15*Weights!$N$12</f>
        <v>0</v>
      </c>
      <c r="N15" s="76">
        <f>F15*Weights!$N$12</f>
        <v>0</v>
      </c>
      <c r="O15" s="76">
        <f>G15*Weights!$N$12</f>
        <v>0</v>
      </c>
      <c r="P15" s="76">
        <f>H15*Weights!$N$12</f>
        <v>0</v>
      </c>
      <c r="Q15" s="76">
        <f>I15*Weights!$N$12</f>
        <v>0</v>
      </c>
    </row>
    <row r="16" spans="1:17" ht="15.5">
      <c r="A16" s="32" t="s">
        <v>1604</v>
      </c>
      <c r="B16" s="959">
        <v>0</v>
      </c>
      <c r="C16" s="959">
        <v>0</v>
      </c>
      <c r="D16" s="959">
        <v>0</v>
      </c>
      <c r="E16" s="959">
        <v>0</v>
      </c>
      <c r="F16" s="959">
        <v>0</v>
      </c>
      <c r="G16" s="959">
        <v>0</v>
      </c>
      <c r="H16" s="959">
        <v>0</v>
      </c>
      <c r="I16" s="959">
        <v>0</v>
      </c>
      <c r="J16" s="76">
        <f>B16*Weights!$N$13</f>
        <v>0</v>
      </c>
      <c r="K16" s="76">
        <f>C16*Weights!$N$13</f>
        <v>0</v>
      </c>
      <c r="L16" s="76">
        <f>D16*Weights!$N$13</f>
        <v>0</v>
      </c>
      <c r="M16" s="76">
        <f>E16*Weights!$N$13</f>
        <v>0</v>
      </c>
      <c r="N16" s="76">
        <f>F16*Weights!$N$13</f>
        <v>0</v>
      </c>
      <c r="O16" s="76">
        <f>G16*Weights!$N$13</f>
        <v>0</v>
      </c>
      <c r="P16" s="76">
        <f>H16*Weights!$N$13</f>
        <v>0</v>
      </c>
      <c r="Q16" s="76">
        <f>I16*Weights!$N$13</f>
        <v>0</v>
      </c>
    </row>
    <row r="17" spans="1:17" ht="15.5">
      <c r="A17" s="32" t="s">
        <v>546</v>
      </c>
      <c r="B17" s="959">
        <v>0</v>
      </c>
      <c r="C17" s="959">
        <v>0</v>
      </c>
      <c r="D17" s="959">
        <v>0</v>
      </c>
      <c r="E17" s="959">
        <v>0</v>
      </c>
      <c r="F17" s="959">
        <v>0</v>
      </c>
      <c r="G17" s="959">
        <v>0</v>
      </c>
      <c r="H17" s="959">
        <v>0</v>
      </c>
      <c r="I17" s="959">
        <v>0</v>
      </c>
      <c r="J17" s="76">
        <f>B17*Weights!$N$14</f>
        <v>0</v>
      </c>
      <c r="K17" s="76">
        <f>C17*Weights!$N$14</f>
        <v>0</v>
      </c>
      <c r="L17" s="76">
        <f>D17*Weights!$N$14</f>
        <v>0</v>
      </c>
      <c r="M17" s="76">
        <f>E17*Weights!$N$14</f>
        <v>0</v>
      </c>
      <c r="N17" s="76">
        <f>F17*Weights!$N$14</f>
        <v>0</v>
      </c>
      <c r="O17" s="76">
        <f>G17*Weights!$N$14</f>
        <v>0</v>
      </c>
      <c r="P17" s="76">
        <f>H17*Weights!$N$14</f>
        <v>0</v>
      </c>
      <c r="Q17" s="76">
        <f>I17*Weights!$N$14</f>
        <v>0</v>
      </c>
    </row>
    <row r="18" spans="1:17" ht="15.5">
      <c r="A18" s="32" t="s">
        <v>1901</v>
      </c>
      <c r="B18" s="959">
        <v>0</v>
      </c>
      <c r="C18" s="959">
        <v>0</v>
      </c>
      <c r="D18" s="959">
        <v>0</v>
      </c>
      <c r="E18" s="959">
        <v>0</v>
      </c>
      <c r="F18" s="959">
        <v>0</v>
      </c>
      <c r="G18" s="959">
        <v>0</v>
      </c>
      <c r="H18" s="959">
        <v>0</v>
      </c>
      <c r="I18" s="959">
        <v>0</v>
      </c>
      <c r="J18" s="76">
        <f>B18*Weights!$N$15</f>
        <v>0</v>
      </c>
      <c r="K18" s="76">
        <f>C18*Weights!$N$15</f>
        <v>0</v>
      </c>
      <c r="L18" s="76">
        <f>D18*Weights!$N$15</f>
        <v>0</v>
      </c>
      <c r="M18" s="76">
        <f>E18*Weights!$N$15</f>
        <v>0</v>
      </c>
      <c r="N18" s="76">
        <f>F18*Weights!$N$15</f>
        <v>0</v>
      </c>
      <c r="O18" s="76">
        <f>G18*Weights!$N$15</f>
        <v>0</v>
      </c>
      <c r="P18" s="76">
        <f>H18*Weights!$N$15</f>
        <v>0</v>
      </c>
      <c r="Q18" s="76">
        <f>I18*Weights!$N$15</f>
        <v>0</v>
      </c>
    </row>
    <row r="19" spans="1:17" ht="15.5">
      <c r="A19" s="32" t="s">
        <v>1902</v>
      </c>
      <c r="B19" s="959">
        <v>0</v>
      </c>
      <c r="C19" s="959">
        <v>0</v>
      </c>
      <c r="D19" s="959">
        <v>0</v>
      </c>
      <c r="E19" s="959">
        <v>0</v>
      </c>
      <c r="F19" s="959">
        <v>0</v>
      </c>
      <c r="G19" s="959">
        <v>0</v>
      </c>
      <c r="H19" s="959">
        <v>0</v>
      </c>
      <c r="I19" s="959">
        <v>0</v>
      </c>
      <c r="J19" s="76">
        <f>B19*Weights!$N$16</f>
        <v>0</v>
      </c>
      <c r="K19" s="76">
        <f>C19*Weights!$N$16</f>
        <v>0</v>
      </c>
      <c r="L19" s="76">
        <f>D19*Weights!$N$16</f>
        <v>0</v>
      </c>
      <c r="M19" s="76">
        <f>E19*Weights!$N$16</f>
        <v>0</v>
      </c>
      <c r="N19" s="76">
        <f>F19*Weights!$N$16</f>
        <v>0</v>
      </c>
      <c r="O19" s="76">
        <f>G19*Weights!$N$16</f>
        <v>0</v>
      </c>
      <c r="P19" s="76">
        <f>H19*Weights!$N$16</f>
        <v>0</v>
      </c>
      <c r="Q19" s="76">
        <f>I19*Weights!$N$16</f>
        <v>0</v>
      </c>
    </row>
    <row r="20" spans="1:17" ht="15.5">
      <c r="A20" s="32" t="s">
        <v>473</v>
      </c>
      <c r="B20" s="959">
        <v>0</v>
      </c>
      <c r="C20" s="959">
        <v>0</v>
      </c>
      <c r="D20" s="959">
        <v>0</v>
      </c>
      <c r="E20" s="959">
        <v>0</v>
      </c>
      <c r="F20" s="959">
        <v>0</v>
      </c>
      <c r="G20" s="959">
        <v>0</v>
      </c>
      <c r="H20" s="959">
        <v>0</v>
      </c>
      <c r="I20" s="959">
        <v>0</v>
      </c>
      <c r="J20" s="967">
        <f t="shared" ref="J20:Q20" si="0">SUM(J13:J19)</f>
        <v>0</v>
      </c>
      <c r="K20" s="967">
        <f t="shared" si="0"/>
        <v>0</v>
      </c>
      <c r="L20" s="967">
        <f t="shared" si="0"/>
        <v>0</v>
      </c>
      <c r="M20" s="967">
        <f t="shared" si="0"/>
        <v>0</v>
      </c>
      <c r="N20" s="967">
        <f t="shared" si="0"/>
        <v>0</v>
      </c>
      <c r="O20" s="967">
        <f t="shared" si="0"/>
        <v>0</v>
      </c>
      <c r="P20" s="967">
        <f t="shared" si="0"/>
        <v>0</v>
      </c>
      <c r="Q20" s="967">
        <f t="shared" si="0"/>
        <v>0</v>
      </c>
    </row>
    <row r="21" spans="1:17" ht="15.5">
      <c r="A21" s="32" t="s">
        <v>502</v>
      </c>
      <c r="B21" s="959">
        <v>0</v>
      </c>
      <c r="C21" s="959">
        <v>0</v>
      </c>
      <c r="D21" s="959">
        <v>0</v>
      </c>
      <c r="E21" s="959">
        <v>0</v>
      </c>
      <c r="F21" s="959">
        <v>0</v>
      </c>
      <c r="G21" s="959">
        <v>0</v>
      </c>
      <c r="H21" s="959">
        <v>0</v>
      </c>
      <c r="I21" s="959">
        <v>0</v>
      </c>
    </row>
    <row r="22" spans="1:17" ht="15.5">
      <c r="A22" s="32" t="s">
        <v>503</v>
      </c>
      <c r="B22" s="959">
        <v>0</v>
      </c>
      <c r="C22" s="959">
        <v>0</v>
      </c>
      <c r="D22" s="959">
        <v>0</v>
      </c>
      <c r="E22" s="959">
        <v>0</v>
      </c>
      <c r="F22" s="959">
        <v>0</v>
      </c>
      <c r="G22" s="959">
        <v>0</v>
      </c>
      <c r="H22" s="959">
        <v>0</v>
      </c>
      <c r="I22" s="959">
        <v>0</v>
      </c>
    </row>
    <row r="23" spans="1:17" ht="15.5">
      <c r="A23" s="32" t="s">
        <v>504</v>
      </c>
      <c r="B23" s="959">
        <v>0</v>
      </c>
      <c r="C23" s="959">
        <v>0</v>
      </c>
      <c r="D23" s="959">
        <v>0</v>
      </c>
      <c r="E23" s="959">
        <v>0</v>
      </c>
      <c r="F23" s="959">
        <v>0</v>
      </c>
      <c r="G23" s="959">
        <v>0</v>
      </c>
      <c r="H23" s="959">
        <v>0</v>
      </c>
      <c r="I23" s="959">
        <v>0</v>
      </c>
    </row>
    <row r="24" spans="1:17" ht="15.5">
      <c r="A24" s="1656" t="s">
        <v>7435</v>
      </c>
      <c r="B24" s="959">
        <v>0</v>
      </c>
      <c r="C24" s="959">
        <v>0</v>
      </c>
      <c r="D24" s="959">
        <v>0</v>
      </c>
      <c r="E24" s="959">
        <v>0</v>
      </c>
      <c r="F24" s="959">
        <v>0</v>
      </c>
      <c r="G24" s="959">
        <v>0</v>
      </c>
      <c r="H24" s="959">
        <v>0</v>
      </c>
      <c r="I24" s="959">
        <v>0</v>
      </c>
    </row>
    <row r="25" spans="1:17" ht="15.5">
      <c r="A25" s="32" t="s">
        <v>9096</v>
      </c>
      <c r="B25" s="959">
        <v>0</v>
      </c>
      <c r="C25" s="959">
        <v>0</v>
      </c>
      <c r="D25" s="959">
        <v>0</v>
      </c>
      <c r="E25" s="959">
        <v>0</v>
      </c>
      <c r="F25" s="959">
        <v>0</v>
      </c>
      <c r="G25" s="959">
        <v>0</v>
      </c>
      <c r="H25" s="959">
        <v>0</v>
      </c>
      <c r="I25" s="959">
        <v>0</v>
      </c>
    </row>
    <row r="26" spans="1:17" ht="15.5">
      <c r="A26" s="32" t="s">
        <v>9097</v>
      </c>
      <c r="B26" s="959">
        <v>0</v>
      </c>
      <c r="C26" s="959">
        <v>0</v>
      </c>
      <c r="D26" s="959">
        <v>0</v>
      </c>
      <c r="E26" s="959">
        <v>0</v>
      </c>
      <c r="F26" s="959">
        <v>0</v>
      </c>
      <c r="G26" s="959">
        <v>0</v>
      </c>
      <c r="H26" s="959">
        <v>0</v>
      </c>
      <c r="I26" s="959">
        <v>0</v>
      </c>
    </row>
    <row r="27" spans="1:17" ht="15.5">
      <c r="A27" s="32" t="s">
        <v>9098</v>
      </c>
      <c r="B27" s="959">
        <v>0</v>
      </c>
      <c r="C27" s="959">
        <v>0</v>
      </c>
      <c r="D27" s="959">
        <v>0</v>
      </c>
      <c r="E27" s="959">
        <v>0</v>
      </c>
      <c r="F27" s="959">
        <v>0</v>
      </c>
      <c r="G27" s="959">
        <v>0</v>
      </c>
      <c r="H27" s="959">
        <v>0</v>
      </c>
      <c r="I27" s="959">
        <v>0</v>
      </c>
    </row>
    <row r="28" spans="1:17" ht="15.5">
      <c r="A28" s="958" t="s">
        <v>7855</v>
      </c>
      <c r="B28" s="959">
        <v>0</v>
      </c>
      <c r="C28" s="959">
        <v>0</v>
      </c>
      <c r="D28" s="959">
        <v>0</v>
      </c>
      <c r="E28" s="959">
        <v>0</v>
      </c>
      <c r="F28" s="959">
        <v>0</v>
      </c>
      <c r="G28" s="959">
        <v>0</v>
      </c>
      <c r="H28" s="959">
        <v>0</v>
      </c>
      <c r="I28" s="959">
        <v>0</v>
      </c>
    </row>
    <row r="29" spans="1:17" ht="15.5">
      <c r="A29" s="958" t="s">
        <v>7856</v>
      </c>
      <c r="B29" s="959">
        <v>0</v>
      </c>
      <c r="C29" s="959">
        <v>0</v>
      </c>
      <c r="D29" s="959">
        <v>0</v>
      </c>
      <c r="E29" s="959">
        <v>0</v>
      </c>
      <c r="F29" s="959">
        <v>0</v>
      </c>
      <c r="G29" s="959">
        <v>0</v>
      </c>
      <c r="H29" s="959">
        <v>0</v>
      </c>
      <c r="I29" s="959">
        <v>0</v>
      </c>
    </row>
    <row r="30" spans="1:17" ht="15.5">
      <c r="A30" s="958" t="s">
        <v>7857</v>
      </c>
      <c r="B30" s="959">
        <v>0</v>
      </c>
      <c r="C30" s="959">
        <v>0</v>
      </c>
      <c r="D30" s="959">
        <v>0</v>
      </c>
      <c r="E30" s="959">
        <v>0</v>
      </c>
      <c r="F30" s="959">
        <v>0</v>
      </c>
      <c r="G30" s="959">
        <v>0</v>
      </c>
      <c r="H30" s="959">
        <v>0</v>
      </c>
      <c r="I30" s="959">
        <v>0</v>
      </c>
    </row>
    <row r="31" spans="1:17" ht="15.5">
      <c r="A31" s="958" t="s">
        <v>7858</v>
      </c>
      <c r="B31" s="959">
        <v>0</v>
      </c>
      <c r="C31" s="959">
        <v>0</v>
      </c>
      <c r="D31" s="959">
        <v>0</v>
      </c>
      <c r="E31" s="959">
        <v>0</v>
      </c>
      <c r="F31" s="959">
        <v>0</v>
      </c>
      <c r="G31" s="959">
        <v>0</v>
      </c>
      <c r="H31" s="959">
        <v>0</v>
      </c>
      <c r="I31" s="959">
        <v>0</v>
      </c>
    </row>
    <row r="32" spans="1:17" ht="15.5">
      <c r="A32" s="958" t="s">
        <v>7859</v>
      </c>
      <c r="B32" s="959">
        <v>0</v>
      </c>
      <c r="C32" s="959">
        <v>0</v>
      </c>
      <c r="D32" s="959">
        <v>0</v>
      </c>
      <c r="E32" s="959">
        <v>0</v>
      </c>
      <c r="F32" s="959">
        <v>0</v>
      </c>
      <c r="G32" s="959">
        <v>0</v>
      </c>
      <c r="H32" s="959">
        <v>0</v>
      </c>
      <c r="I32" s="959">
        <v>0</v>
      </c>
    </row>
    <row r="33" spans="1:9" ht="15.5">
      <c r="A33" s="32" t="s">
        <v>506</v>
      </c>
      <c r="B33" s="959">
        <v>0</v>
      </c>
      <c r="C33" s="959">
        <v>0</v>
      </c>
      <c r="D33" s="959">
        <v>0</v>
      </c>
      <c r="E33" s="959">
        <v>0</v>
      </c>
      <c r="F33" s="959">
        <v>0</v>
      </c>
      <c r="G33" s="959">
        <v>0</v>
      </c>
      <c r="H33" s="959">
        <v>0</v>
      </c>
      <c r="I33" s="959">
        <v>0</v>
      </c>
    </row>
    <row r="34" spans="1:9" ht="15.5">
      <c r="A34" s="1669" t="s">
        <v>9095</v>
      </c>
      <c r="B34" s="959">
        <v>0</v>
      </c>
      <c r="C34" s="959">
        <v>0</v>
      </c>
      <c r="D34" s="959">
        <v>0</v>
      </c>
      <c r="E34" s="959">
        <v>0</v>
      </c>
      <c r="F34" s="959">
        <v>0</v>
      </c>
      <c r="G34" s="959">
        <v>0</v>
      </c>
      <c r="H34" s="959">
        <v>0</v>
      </c>
      <c r="I34" s="959">
        <v>0</v>
      </c>
    </row>
    <row r="35" spans="1:9" ht="15.5">
      <c r="A35" s="958" t="s">
        <v>7860</v>
      </c>
      <c r="B35" s="959">
        <v>0</v>
      </c>
      <c r="C35" s="959">
        <v>0</v>
      </c>
      <c r="D35" s="959">
        <v>0</v>
      </c>
      <c r="E35" s="959">
        <v>0</v>
      </c>
      <c r="F35" s="959">
        <v>0</v>
      </c>
      <c r="G35" s="959">
        <v>0</v>
      </c>
      <c r="H35" s="959">
        <v>0</v>
      </c>
      <c r="I35" s="959">
        <v>0</v>
      </c>
    </row>
    <row r="36" spans="1:9" ht="15.5">
      <c r="A36" s="958" t="s">
        <v>7861</v>
      </c>
      <c r="B36" s="959">
        <v>0</v>
      </c>
      <c r="C36" s="959">
        <v>0</v>
      </c>
      <c r="D36" s="959">
        <v>0</v>
      </c>
      <c r="E36" s="959">
        <v>0</v>
      </c>
      <c r="F36" s="959">
        <v>0</v>
      </c>
      <c r="G36" s="959">
        <v>0</v>
      </c>
      <c r="H36" s="959">
        <v>0</v>
      </c>
      <c r="I36" s="959">
        <v>0</v>
      </c>
    </row>
    <row r="37" spans="1:9" ht="15.5">
      <c r="A37" s="958" t="s">
        <v>7862</v>
      </c>
      <c r="B37" s="959">
        <v>0</v>
      </c>
      <c r="C37" s="959">
        <v>0</v>
      </c>
      <c r="D37" s="959">
        <v>0</v>
      </c>
      <c r="E37" s="959">
        <v>0</v>
      </c>
      <c r="F37" s="959">
        <v>0</v>
      </c>
      <c r="G37" s="959">
        <v>0</v>
      </c>
      <c r="H37" s="959">
        <v>0</v>
      </c>
      <c r="I37" s="959">
        <v>0</v>
      </c>
    </row>
    <row r="38" spans="1:9" ht="15.5">
      <c r="A38" s="958" t="s">
        <v>7629</v>
      </c>
      <c r="B38" s="959">
        <v>0</v>
      </c>
      <c r="C38" s="959">
        <f t="shared" ref="C38:I38" si="1">C11*0.05</f>
        <v>0</v>
      </c>
      <c r="D38" s="959">
        <f t="shared" si="1"/>
        <v>0</v>
      </c>
      <c r="E38" s="959">
        <f t="shared" si="1"/>
        <v>0</v>
      </c>
      <c r="F38" s="959">
        <f t="shared" si="1"/>
        <v>0</v>
      </c>
      <c r="G38" s="959">
        <f t="shared" si="1"/>
        <v>0</v>
      </c>
      <c r="H38" s="959">
        <f t="shared" si="1"/>
        <v>0</v>
      </c>
      <c r="I38" s="959">
        <f t="shared" si="1"/>
        <v>0</v>
      </c>
    </row>
    <row r="42" spans="1:9" ht="13">
      <c r="B42" s="1894" t="s">
        <v>7366</v>
      </c>
      <c r="C42" s="1894" t="s">
        <v>7366</v>
      </c>
      <c r="D42" s="1894" t="s">
        <v>7366</v>
      </c>
      <c r="E42" s="1894" t="s">
        <v>7366</v>
      </c>
      <c r="F42" s="1894" t="s">
        <v>7366</v>
      </c>
      <c r="G42" s="1894" t="s">
        <v>7366</v>
      </c>
      <c r="H42" s="1894" t="s">
        <v>7366</v>
      </c>
      <c r="I42" s="1894" t="s">
        <v>7366</v>
      </c>
    </row>
    <row r="43" spans="1:9" ht="15.5">
      <c r="A43" s="1657" t="s">
        <v>7377</v>
      </c>
      <c r="B43" s="965" t="s">
        <v>7358</v>
      </c>
      <c r="C43" s="965" t="s">
        <v>7359</v>
      </c>
      <c r="D43" s="965" t="s">
        <v>7360</v>
      </c>
      <c r="E43" s="966" t="s">
        <v>7361</v>
      </c>
      <c r="F43" s="966" t="s">
        <v>10695</v>
      </c>
      <c r="G43" s="966" t="s">
        <v>10696</v>
      </c>
      <c r="H43" s="966" t="s">
        <v>10697</v>
      </c>
      <c r="I43" s="966" t="s">
        <v>10698</v>
      </c>
    </row>
    <row r="44" spans="1:9" ht="15.5">
      <c r="A44" s="964" t="s">
        <v>2635</v>
      </c>
      <c r="B44" s="968">
        <f>B$71*Assumptions!$H$145</f>
        <v>0</v>
      </c>
      <c r="C44" s="968">
        <f>C$71*Assumptions!$H$145</f>
        <v>0</v>
      </c>
      <c r="D44" s="968">
        <f>D$71*Assumptions!$H$145</f>
        <v>0</v>
      </c>
      <c r="E44" s="968">
        <f>E$71*Assumptions!$H$145</f>
        <v>0</v>
      </c>
      <c r="F44" s="968">
        <f>F$71*Assumptions!$H$145</f>
        <v>0</v>
      </c>
      <c r="G44" s="968">
        <f>G$71*Assumptions!$H$145</f>
        <v>0</v>
      </c>
      <c r="H44" s="968">
        <f>H$71*Assumptions!$H$145</f>
        <v>0</v>
      </c>
      <c r="I44" s="968">
        <f>I$71*Assumptions!$H$145</f>
        <v>0</v>
      </c>
    </row>
    <row r="45" spans="1:9" ht="15.5">
      <c r="A45" s="964" t="s">
        <v>7854</v>
      </c>
      <c r="B45" s="1655" t="e">
        <f>'SOF2223-HB3'!$I$21*(B$71/'Calc Data'!$E$12)</f>
        <v>#DIV/0!</v>
      </c>
      <c r="C45" s="1655" t="e">
        <f>'SOF2223-HB3'!$I$21*(C$71/'Calc Data'!$E$12)</f>
        <v>#DIV/0!</v>
      </c>
      <c r="D45" s="1655" t="e">
        <f>'SOF2223-HB3'!$I$21*(D$71/'Calc Data'!$E$12)</f>
        <v>#DIV/0!</v>
      </c>
      <c r="E45" s="1655" t="e">
        <f>'SOF2223-HB3'!$I$21*(E$71/'Calc Data'!$E$12)</f>
        <v>#DIV/0!</v>
      </c>
      <c r="F45" s="1655" t="e">
        <f>'SOF2223-HB3'!$I$21*(F$71/'Calc Data'!$E$12)</f>
        <v>#DIV/0!</v>
      </c>
      <c r="G45" s="1655" t="e">
        <f>'SOF2223-HB3'!$I$21*(G$71/'Calc Data'!$E$12)</f>
        <v>#DIV/0!</v>
      </c>
      <c r="H45" s="1655" t="e">
        <f>'SOF2223-HB3'!$I$21*(H$71/'Calc Data'!$E$12)</f>
        <v>#DIV/0!</v>
      </c>
      <c r="I45" s="1655" t="e">
        <f>'SOF2223-HB3'!$I$21*(I$71/'Calc Data'!$E$12)</f>
        <v>#DIV/0!</v>
      </c>
    </row>
    <row r="46" spans="1:9" ht="15.5">
      <c r="A46" s="964" t="s">
        <v>2639</v>
      </c>
      <c r="B46" s="968">
        <f>(B$70*('Calc Data'!$E$96+Assumptions!$H$145))+(B$20*'Weights-HB3'!$J$14*('Calc Data'!$E$96+Assumptions!$H$145))+(B$21*'Weights-HB3'!$J$15*('Calc Data'!$E$96+Assumptions!$H$145))+(B$22*'Weights-HB3'!$J$16*('Calc Data'!$E$96+Assumptions!$H$145))+(B$23*'Weights-HB3'!$J$18*('Calc Data'!$E$96+Assumptions!$H$145))</f>
        <v>0</v>
      </c>
      <c r="C46" s="968">
        <f>(C$70*('Calc Data'!$E$96+Assumptions!$H$145))+(C$20*'Weights-HB3'!$J$14*('Calc Data'!$E$96+Assumptions!$H$145))+(C$21*'Weights-HB3'!$J$15*('Calc Data'!$E$96+Assumptions!$H$145))+(C$22*'Weights-HB3'!$J$16*('Calc Data'!$E$96+Assumptions!$H$145))+(C$23*'Weights-HB3'!$J$18*('Calc Data'!$E$96+Assumptions!$H$145))</f>
        <v>0</v>
      </c>
      <c r="D46" s="968">
        <f>(D$70*('Calc Data'!$E$96+Assumptions!$H$145))+(D$20*'Weights-HB3'!$J$14*('Calc Data'!$E$96+Assumptions!$H$145))+(D$21*'Weights-HB3'!$J$15*('Calc Data'!$E$96+Assumptions!$H$145))+(D$22*'Weights-HB3'!$J$16*('Calc Data'!$E$96+Assumptions!$H$145))+(D$23*'Weights-HB3'!$J$18*('Calc Data'!$E$96+Assumptions!$H$145))</f>
        <v>0</v>
      </c>
      <c r="E46" s="968">
        <f>(E$70*('Calc Data'!$E$96+Assumptions!$H$145))+(E$20*'Weights-HB3'!$J$14*('Calc Data'!$E$96+Assumptions!$H$145))+(E$21*'Weights-HB3'!$J$15*('Calc Data'!$E$96+Assumptions!$H$145))+(E$22*'Weights-HB3'!$J$16*('Calc Data'!$E$96+Assumptions!$H$145))+(E$23*'Weights-HB3'!$J$18*('Calc Data'!$E$96+Assumptions!$H$145))</f>
        <v>0</v>
      </c>
      <c r="F46" s="968">
        <f>(F$70*('Calc Data'!$E$96+Assumptions!$H$145))+(F$20*'Weights-HB3'!$J$14*('Calc Data'!$E$96+Assumptions!$H$145))+(F$21*'Weights-HB3'!$J$15*('Calc Data'!$E$96+Assumptions!$H$145))+(F$22*'Weights-HB3'!$J$16*('Calc Data'!$E$96+Assumptions!$H$145))+(F$23*'Weights-HB3'!$J$18*('Calc Data'!$E$96+Assumptions!$H$145))</f>
        <v>0</v>
      </c>
      <c r="G46" s="968">
        <f>(G$70*('Calc Data'!$E$96+Assumptions!$H$145))+(G$20*'Weights-HB3'!$J$14*('Calc Data'!$E$96+Assumptions!$H$145))+(G$21*'Weights-HB3'!$J$15*('Calc Data'!$E$96+Assumptions!$H$145))+(G$22*'Weights-HB3'!$J$16*('Calc Data'!$E$96+Assumptions!$H$145))+(G$23*'Weights-HB3'!$J$18*('Calc Data'!$E$96+Assumptions!$H$145))</f>
        <v>0</v>
      </c>
      <c r="H46" s="968">
        <f>(H$70*('Calc Data'!$E$96+Assumptions!$H$145))+(H$20*'Weights-HB3'!$J$14*('Calc Data'!$E$96+Assumptions!$H$145))+(H$21*'Weights-HB3'!$J$15*('Calc Data'!$E$96+Assumptions!$H$145))+(H$22*'Weights-HB3'!$J$16*('Calc Data'!$E$96+Assumptions!$H$145))+(H$23*'Weights-HB3'!$J$18*('Calc Data'!$E$96+Assumptions!$H$145))</f>
        <v>0</v>
      </c>
      <c r="I46" s="968">
        <f>(I$70*('Calc Data'!$E$96+Assumptions!$H$145))+(I$20*'Weights-HB3'!$J$14*('Calc Data'!$E$96+Assumptions!$H$145))+(I$21*'Weights-HB3'!$J$15*('Calc Data'!$E$96+Assumptions!$H$145))+(I$22*'Weights-HB3'!$J$16*('Calc Data'!$E$96+Assumptions!$H$145))+(I$23*'Weights-HB3'!$J$18*('Calc Data'!$E$96+Assumptions!$H$145))</f>
        <v>0</v>
      </c>
    </row>
    <row r="47" spans="1:9" ht="15.5">
      <c r="A47" s="964" t="s">
        <v>7436</v>
      </c>
      <c r="B47" s="1655">
        <f>B$24*'Weights-HB3'!$J$72*Assumptions!$H$145</f>
        <v>0</v>
      </c>
      <c r="C47" s="1655">
        <f>C$24*'Weights-HB3'!$J$72*Assumptions!$H$145</f>
        <v>0</v>
      </c>
      <c r="D47" s="1655">
        <f>D$24*'Weights-HB3'!$J$72*Assumptions!$H$145</f>
        <v>0</v>
      </c>
      <c r="E47" s="1655">
        <f>E$24*'Weights-HB3'!$J$72*Assumptions!$H$145</f>
        <v>0</v>
      </c>
      <c r="F47" s="1655">
        <f>F$24*'Weights-HB3'!$J$72*Assumptions!$H$145</f>
        <v>0</v>
      </c>
      <c r="G47" s="1655">
        <f>G$24*'Weights-HB3'!$J$72*Assumptions!$H$145</f>
        <v>0</v>
      </c>
      <c r="H47" s="1655">
        <f>H$24*'Weights-HB3'!$J$72*Assumptions!$H$145</f>
        <v>0</v>
      </c>
      <c r="I47" s="1655">
        <f>I$24*'Weights-HB3'!$J$72*Assumptions!$H$145</f>
        <v>0</v>
      </c>
    </row>
    <row r="48" spans="1:9" ht="15.5">
      <c r="A48" s="964" t="s">
        <v>7363</v>
      </c>
      <c r="B48" s="968">
        <f>(B$25*(Assumptions!$H$145+'Calc Data'!$E$96)*'Weights-HB3'!$J$21)+(B$26*(Assumptions!$H$145+'Calc Data'!$E$96)*'Weights-HB3'!$J$22)+(B$27*(Assumptions!$H$145+'Calc Data'!$E$96)*'Weights-HB3'!$J$23)</f>
        <v>0</v>
      </c>
      <c r="C48" s="968">
        <f>(C$25*(Assumptions!$H$145+'Calc Data'!$E$96)*'Weights-HB3'!$J$21)+(C$26*(Assumptions!$H$145+'Calc Data'!$E$96)*'Weights-HB3'!$J$22)+(C$27*(Assumptions!$H$145+'Calc Data'!$E$96)*'Weights-HB3'!$J$23)</f>
        <v>0</v>
      </c>
      <c r="D48" s="968">
        <f>(D$25*(Assumptions!$H$145+'Calc Data'!$E$96)*'Weights-HB3'!$J$21)+(D$26*(Assumptions!$H$145+'Calc Data'!$E$96)*'Weights-HB3'!$J$22)+(D$27*(Assumptions!$H$145+'Calc Data'!$E$96)*'Weights-HB3'!$J$23)</f>
        <v>0</v>
      </c>
      <c r="E48" s="968">
        <f>(E$25*(Assumptions!$H$145+'Calc Data'!$E$96)*'Weights-HB3'!$J$21)+(E$26*(Assumptions!$H$145+'Calc Data'!$E$96)*'Weights-HB3'!$J$22)+(E$27*(Assumptions!$H$145+'Calc Data'!$E$96)*'Weights-HB3'!$J$23)</f>
        <v>0</v>
      </c>
      <c r="F48" s="968">
        <f>(F$25*(Assumptions!$H$145+'Calc Data'!$E$96)*'Weights-HB3'!$J$21)+(F$26*(Assumptions!$H$145+'Calc Data'!$E$96)*'Weights-HB3'!$J$22)+(F$27*(Assumptions!$H$145+'Calc Data'!$E$96)*'Weights-HB3'!$J$23)</f>
        <v>0</v>
      </c>
      <c r="G48" s="968">
        <f>(G$25*(Assumptions!$H$145+'Calc Data'!$E$96)*'Weights-HB3'!$J$21)+(G$26*(Assumptions!$H$145+'Calc Data'!$E$96)*'Weights-HB3'!$J$22)+(G$27*(Assumptions!$H$145+'Calc Data'!$E$96)*'Weights-HB3'!$J$23)</f>
        <v>0</v>
      </c>
      <c r="H48" s="968">
        <f>(H$25*(Assumptions!$H$145+'Calc Data'!$E$96)*'Weights-HB3'!$J$21)+(H$26*(Assumptions!$H$145+'Calc Data'!$E$96)*'Weights-HB3'!$J$22)+(H$27*(Assumptions!$H$145+'Calc Data'!$E$96)*'Weights-HB3'!$J$23)</f>
        <v>0</v>
      </c>
      <c r="I48" s="968">
        <f>(I$25*(Assumptions!$H$145+'Calc Data'!$E$96)*'Weights-HB3'!$J$21)+(I$26*(Assumptions!$H$145+'Calc Data'!$E$96)*'Weights-HB3'!$J$22)+(I$27*(Assumptions!$H$145+'Calc Data'!$E$96)*'Weights-HB3'!$J$23)</f>
        <v>0</v>
      </c>
    </row>
    <row r="49" spans="1:10" ht="15.5">
      <c r="A49" s="964" t="s">
        <v>7364</v>
      </c>
      <c r="B49" s="968">
        <f>(B$28*Assumptions!$H$145*'Weights-HB3'!$J$36)+(B$29*Assumptions!$H$145*'Weights-HB3'!$J$37)+(B$30*Assumptions!$H$145*'Weights-HB3'!$J$38)+(B$31*Assumptions!$H$145*'Weights-HB3'!$J$39)+(B$32*Assumptions!$H$145*'Weights-HB3'!$J$40)+(B$33*Assumptions!$H$145*'Weights-HB3'!$J$43)</f>
        <v>0</v>
      </c>
      <c r="C49" s="968">
        <f>(C$28*Assumptions!$H$145*'Weights-HB3'!$J$36)+(C$29*Assumptions!$H$145*'Weights-HB3'!$J$37)+(C$30*Assumptions!$H$145*'Weights-HB3'!$J$38)+(C$31*Assumptions!$H$145*'Weights-HB3'!$J$39)+(C$32*Assumptions!$H$145*'Weights-HB3'!$J$40)+(C$33*Assumptions!$H$145*'Weights-HB3'!$J$43)</f>
        <v>0</v>
      </c>
      <c r="D49" s="968">
        <f>(D$28*Assumptions!$H$145*'Weights-HB3'!$J$36)+(D$29*Assumptions!$H$145*'Weights-HB3'!$J$37)+(D$30*Assumptions!$H$145*'Weights-HB3'!$J$38)+(D$31*Assumptions!$H$145*'Weights-HB3'!$J$39)+(D$32*Assumptions!$H$145*'Weights-HB3'!$J$40)+(D$33*Assumptions!$H$145*'Weights-HB3'!$J$43)</f>
        <v>0</v>
      </c>
      <c r="E49" s="968">
        <f>(E$28*Assumptions!$H$145*'Weights-HB3'!$J$36)+(E$29*Assumptions!$H$145*'Weights-HB3'!$J$37)+(E$30*Assumptions!$H$145*'Weights-HB3'!$J$38)+(E$31*Assumptions!$H$145*'Weights-HB3'!$J$39)+(E$32*Assumptions!$H$145*'Weights-HB3'!$J$40)+(E$33*Assumptions!$H$145*'Weights-HB3'!$J$43)</f>
        <v>0</v>
      </c>
      <c r="F49" s="968">
        <f>(F$28*Assumptions!$H$145*'Weights-HB3'!$J$36)+(F$29*Assumptions!$H$145*'Weights-HB3'!$J$37)+(F$30*Assumptions!$H$145*'Weights-HB3'!$J$38)+(F$31*Assumptions!$H$145*'Weights-HB3'!$J$39)+(F$32*Assumptions!$H$145*'Weights-HB3'!$J$40)+(F$33*Assumptions!$H$145*'Weights-HB3'!$J$43)</f>
        <v>0</v>
      </c>
      <c r="G49" s="968">
        <f>(G$28*Assumptions!$H$145*'Weights-HB3'!$J$36)+(G$29*Assumptions!$H$145*'Weights-HB3'!$J$37)+(G$30*Assumptions!$H$145*'Weights-HB3'!$J$38)+(G$31*Assumptions!$H$145*'Weights-HB3'!$J$39)+(G$32*Assumptions!$H$145*'Weights-HB3'!$J$40)+(G$33*Assumptions!$H$145*'Weights-HB3'!$J$43)</f>
        <v>0</v>
      </c>
      <c r="H49" s="968">
        <f>(H$28*Assumptions!$H$145*'Weights-HB3'!$J$36)+(H$29*Assumptions!$H$145*'Weights-HB3'!$J$37)+(H$30*Assumptions!$H$145*'Weights-HB3'!$J$38)+(H$31*Assumptions!$H$145*'Weights-HB3'!$J$39)+(H$32*Assumptions!$H$145*'Weights-HB3'!$J$40)+(H$33*Assumptions!$H$145*'Weights-HB3'!$J$43)</f>
        <v>0</v>
      </c>
      <c r="I49" s="968">
        <f>(I$28*Assumptions!$H$145*'Weights-HB3'!$J$36)+(I$29*Assumptions!$H$145*'Weights-HB3'!$J$37)+(I$30*Assumptions!$H$145*'Weights-HB3'!$J$38)+(I$31*Assumptions!$H$145*'Weights-HB3'!$J$39)+(I$32*Assumptions!$H$145*'Weights-HB3'!$J$40)+(I$33*Assumptions!$H$145*'Weights-HB3'!$J$43)</f>
        <v>0</v>
      </c>
    </row>
    <row r="50" spans="1:10" ht="15.5">
      <c r="A50" s="964" t="s">
        <v>2642</v>
      </c>
      <c r="B50" s="968">
        <f>B$34*Assumptions!$H$145*'Weights-HB3'!$J$31</f>
        <v>0</v>
      </c>
      <c r="C50" s="968">
        <f>C$34*Assumptions!$H$145*'Weights-HB3'!$J$31</f>
        <v>0</v>
      </c>
      <c r="D50" s="968">
        <f>D$34*Assumptions!$H$145*'Weights-HB3'!$J$31</f>
        <v>0</v>
      </c>
      <c r="E50" s="968">
        <f>E$34*Assumptions!$H$145*'Weights-HB3'!$J$31</f>
        <v>0</v>
      </c>
      <c r="F50" s="968">
        <f>F$34*Assumptions!$H$145*'Weights-HB3'!$J$31</f>
        <v>0</v>
      </c>
      <c r="G50" s="968">
        <f>G$34*Assumptions!$H$145*'Weights-HB3'!$J$31</f>
        <v>0</v>
      </c>
      <c r="H50" s="968">
        <f>H$34*Assumptions!$H$145*'Weights-HB3'!$J$31</f>
        <v>0</v>
      </c>
      <c r="I50" s="968">
        <f>I$34*Assumptions!$H$145*'Weights-HB3'!$J$31</f>
        <v>0</v>
      </c>
    </row>
    <row r="51" spans="1:10" ht="15.5">
      <c r="A51" s="964" t="s">
        <v>7365</v>
      </c>
      <c r="B51" s="968">
        <f>(B$35*Assumptions!$H$145*'Weights-HB3'!$J$26)+(B$36*Assumptions!$H$145*'Weights-HB3'!$J$27)+(B$37*Assumptions!$H$145*'Weights-HB3'!$J$28)</f>
        <v>0</v>
      </c>
      <c r="C51" s="968">
        <f>(C$35*Assumptions!$H$145*'Weights-HB3'!$J$26)+(C$36*Assumptions!$H$145*'Weights-HB3'!$J$27)+(C$37*Assumptions!$H$145*'Weights-HB3'!$J$28)</f>
        <v>0</v>
      </c>
      <c r="D51" s="968">
        <f>(D$35*Assumptions!$H$145*'Weights-HB3'!$J$26)+(D$36*Assumptions!$H$145*'Weights-HB3'!$J$27)+(D$37*Assumptions!$H$145*'Weights-HB3'!$J$28)</f>
        <v>0</v>
      </c>
      <c r="E51" s="968">
        <f>(E$35*Assumptions!$H$145*'Weights-HB3'!$J$26)+(E$36*Assumptions!$H$145*'Weights-HB3'!$J$27)+(E$37*Assumptions!$H$145*'Weights-HB3'!$J$28)</f>
        <v>0</v>
      </c>
      <c r="F51" s="968">
        <f>(F$35*Assumptions!$H$145*'Weights-HB3'!$J$26)+(F$36*Assumptions!$H$145*'Weights-HB3'!$J$27)+(F$37*Assumptions!$H$145*'Weights-HB3'!$J$28)</f>
        <v>0</v>
      </c>
      <c r="G51" s="968">
        <f>(G$35*Assumptions!$H$145*'Weights-HB3'!$J$26)+(G$36*Assumptions!$H$145*'Weights-HB3'!$J$27)+(G$37*Assumptions!$H$145*'Weights-HB3'!$J$28)</f>
        <v>0</v>
      </c>
      <c r="H51" s="968">
        <f>(H$35*Assumptions!$H$145*'Weights-HB3'!$J$26)+(H$36*Assumptions!$H$145*'Weights-HB3'!$J$27)+(H$37*Assumptions!$H$145*'Weights-HB3'!$J$28)</f>
        <v>0</v>
      </c>
      <c r="I51" s="968">
        <f>(I$35*Assumptions!$H$145*'Weights-HB3'!$J$26)+(I$36*Assumptions!$H$145*'Weights-HB3'!$J$27)+(I$37*Assumptions!$H$145*'Weights-HB3'!$J$28)</f>
        <v>0</v>
      </c>
    </row>
    <row r="52" spans="1:10" ht="15.5">
      <c r="A52" s="964" t="s">
        <v>7628</v>
      </c>
      <c r="B52" s="968">
        <f>B$38*Assumptions!$H$145*'Weights-HB3'!$J$74</f>
        <v>0</v>
      </c>
      <c r="C52" s="968">
        <f>C$38*Assumptions!$H$145*'Weights-HB3'!$J$74</f>
        <v>0</v>
      </c>
      <c r="D52" s="968">
        <f>D$38*Assumptions!$H$145*'Weights-HB3'!$J$74</f>
        <v>0</v>
      </c>
      <c r="E52" s="968">
        <f>E$38*Assumptions!$H$145*'Weights-HB3'!$J$74</f>
        <v>0</v>
      </c>
      <c r="F52" s="968">
        <f>F$38*Assumptions!$H$145*'Weights-HB3'!$J$74</f>
        <v>0</v>
      </c>
      <c r="G52" s="968">
        <f>G$38*Assumptions!$H$145*'Weights-HB3'!$J$74</f>
        <v>0</v>
      </c>
      <c r="H52" s="968">
        <f>H$38*Assumptions!$H$145*'Weights-HB3'!$J$74</f>
        <v>0</v>
      </c>
      <c r="I52" s="968">
        <f>I$38*Assumptions!$H$145*'Weights-HB3'!$J$74</f>
        <v>0</v>
      </c>
    </row>
    <row r="53" spans="1:10" ht="15.5">
      <c r="A53" s="964" t="s">
        <v>2312</v>
      </c>
      <c r="B53" s="968" t="e">
        <f t="shared" ref="B53:I53" si="2">SUM(B44:B52)</f>
        <v>#DIV/0!</v>
      </c>
      <c r="C53" s="968" t="e">
        <f t="shared" si="2"/>
        <v>#DIV/0!</v>
      </c>
      <c r="D53" s="968" t="e">
        <f t="shared" si="2"/>
        <v>#DIV/0!</v>
      </c>
      <c r="E53" s="968" t="e">
        <f t="shared" si="2"/>
        <v>#DIV/0!</v>
      </c>
      <c r="F53" s="968" t="e">
        <f t="shared" si="2"/>
        <v>#DIV/0!</v>
      </c>
      <c r="G53" s="968" t="e">
        <f t="shared" si="2"/>
        <v>#DIV/0!</v>
      </c>
      <c r="H53" s="968" t="e">
        <f t="shared" si="2"/>
        <v>#DIV/0!</v>
      </c>
      <c r="I53" s="968" t="e">
        <f t="shared" si="2"/>
        <v>#DIV/0!</v>
      </c>
    </row>
    <row r="55" spans="1:10" ht="15.5">
      <c r="B55" s="1894" t="s">
        <v>7367</v>
      </c>
      <c r="C55" s="1894" t="s">
        <v>7367</v>
      </c>
      <c r="D55" s="1894" t="s">
        <v>7367</v>
      </c>
      <c r="E55" s="1894" t="s">
        <v>7367</v>
      </c>
      <c r="F55" s="1894" t="s">
        <v>7367</v>
      </c>
      <c r="G55" s="1894" t="s">
        <v>7367</v>
      </c>
      <c r="H55" s="1894" t="s">
        <v>7367</v>
      </c>
      <c r="I55" s="1894" t="s">
        <v>7367</v>
      </c>
      <c r="J55" s="259" t="s">
        <v>7398</v>
      </c>
    </row>
    <row r="56" spans="1:10" ht="13">
      <c r="B56" s="965" t="s">
        <v>7358</v>
      </c>
      <c r="C56" s="965" t="s">
        <v>7359</v>
      </c>
      <c r="D56" s="965" t="s">
        <v>7360</v>
      </c>
      <c r="E56" s="966" t="s">
        <v>7361</v>
      </c>
      <c r="F56" s="966" t="s">
        <v>10695</v>
      </c>
      <c r="G56" s="966" t="s">
        <v>10696</v>
      </c>
      <c r="H56" s="966" t="s">
        <v>10697</v>
      </c>
      <c r="I56" s="966" t="s">
        <v>10698</v>
      </c>
      <c r="J56" s="986" t="s">
        <v>7853</v>
      </c>
    </row>
    <row r="57" spans="1:10" ht="15.5">
      <c r="A57" s="964" t="s">
        <v>2635</v>
      </c>
      <c r="B57" s="968">
        <f t="shared" ref="B57:I57" si="3">B$71*$J$57</f>
        <v>0</v>
      </c>
      <c r="C57" s="968">
        <f t="shared" si="3"/>
        <v>0</v>
      </c>
      <c r="D57" s="968">
        <f t="shared" si="3"/>
        <v>0</v>
      </c>
      <c r="E57" s="968">
        <f t="shared" si="3"/>
        <v>0</v>
      </c>
      <c r="F57" s="968">
        <f t="shared" si="3"/>
        <v>0</v>
      </c>
      <c r="G57" s="968">
        <f t="shared" si="3"/>
        <v>0</v>
      </c>
      <c r="H57" s="968">
        <f t="shared" si="3"/>
        <v>0</v>
      </c>
      <c r="I57" s="968">
        <f t="shared" si="3"/>
        <v>0</v>
      </c>
      <c r="J57" s="994">
        <f>'DistCharter-Data2122'!J57</f>
        <v>6160</v>
      </c>
    </row>
    <row r="58" spans="1:10" ht="15.5">
      <c r="A58" s="964" t="s">
        <v>7854</v>
      </c>
      <c r="B58" s="1655">
        <f t="shared" ref="B58:I58" si="4">$J$59*B$71</f>
        <v>0</v>
      </c>
      <c r="C58" s="1655">
        <f t="shared" si="4"/>
        <v>0</v>
      </c>
      <c r="D58" s="1655">
        <f t="shared" si="4"/>
        <v>0</v>
      </c>
      <c r="E58" s="1655">
        <f t="shared" si="4"/>
        <v>0</v>
      </c>
      <c r="F58" s="1655">
        <f t="shared" si="4"/>
        <v>0</v>
      </c>
      <c r="G58" s="1655">
        <f t="shared" si="4"/>
        <v>0</v>
      </c>
      <c r="H58" s="1655">
        <f t="shared" si="4"/>
        <v>0</v>
      </c>
      <c r="I58" s="1655">
        <f t="shared" si="4"/>
        <v>0</v>
      </c>
      <c r="J58" s="986" t="s">
        <v>7863</v>
      </c>
    </row>
    <row r="59" spans="1:10" ht="15.5">
      <c r="A59" s="964" t="s">
        <v>2639</v>
      </c>
      <c r="B59" s="968">
        <f>(B$70*$J$57)+(B$20*'Weights-HB3'!$J$14*$J$57+(B$21*'Weights-HB3'!$J$15*$J$57)+(B$22*'Weights-HB3'!$J$16*$J$57)+(B$23*'Weights-HB3'!$J$18*$J$57))</f>
        <v>0</v>
      </c>
      <c r="C59" s="968">
        <f>(C$70*$J$57)+(C$20*'Weights-HB3'!$J$14*$J$57+(C$21*'Weights-HB3'!$J$15*$J$57)+(C$22*'Weights-HB3'!$J$16*$J$57)+(C$23*'Weights-HB3'!$J$18*$J$57))</f>
        <v>0</v>
      </c>
      <c r="D59" s="968">
        <f>(D$70*$J$57)+(D$20*'Weights-HB3'!$J$14*$J$57+(D$21*'Weights-HB3'!$J$15*$J$57)+(D$22*'Weights-HB3'!$J$16*$J$57)+(D$23*'Weights-HB3'!$J$18*$J$57))</f>
        <v>0</v>
      </c>
      <c r="E59" s="968">
        <f>(E$70*$J$57)+(E$20*'Weights-HB3'!$J$14*$J$57+(E$21*'Weights-HB3'!$J$15*$J$57)+(E$22*'Weights-HB3'!$J$16*$J$57)+(E$23*'Weights-HB3'!$J$18*$J$57))</f>
        <v>0</v>
      </c>
      <c r="F59" s="968">
        <f>(F$70*$J$57)+(F$20*'Weights-HB3'!$J$14*$J$57+(F$21*'Weights-HB3'!$J$15*$J$57)+(F$22*'Weights-HB3'!$J$16*$J$57)+(F$23*'Weights-HB3'!$J$18*$J$57))</f>
        <v>0</v>
      </c>
      <c r="G59" s="968">
        <f>(G$70*$J$57)+(G$20*'Weights-HB3'!$J$14*$J$57+(G$21*'Weights-HB3'!$J$15*$J$57)+(G$22*'Weights-HB3'!$J$16*$J$57)+(G$23*'Weights-HB3'!$J$18*$J$57))</f>
        <v>0</v>
      </c>
      <c r="H59" s="968">
        <f>(H$70*$J$57)+(H$20*'Weights-HB3'!$J$14*$J$57+(H$21*'Weights-HB3'!$J$15*$J$57)+(H$22*'Weights-HB3'!$J$16*$J$57)+(H$23*'Weights-HB3'!$J$18*$J$57))</f>
        <v>0</v>
      </c>
      <c r="I59" s="968">
        <f>(I$70*$J$57)+(I$20*'Weights-HB3'!$J$14*$J$57+(I$21*'Weights-HB3'!$J$15*$J$57)+(I$22*'Weights-HB3'!$J$16*$J$57)+(I$23*'Weights-HB3'!$J$18*$J$57))</f>
        <v>0</v>
      </c>
      <c r="J59" s="994">
        <f>'DistCharter-Data2122'!J59</f>
        <v>1103</v>
      </c>
    </row>
    <row r="60" spans="1:10" ht="15.5">
      <c r="A60" s="964" t="s">
        <v>7436</v>
      </c>
      <c r="B60" s="1655">
        <f>B$24*'Weights-HB3'!$J$72*$J$57</f>
        <v>0</v>
      </c>
      <c r="C60" s="1655">
        <f>C$24*'Weights-HB3'!$J$72*$J$57</f>
        <v>0</v>
      </c>
      <c r="D60" s="1655">
        <f>D$24*'Weights-HB3'!$J$72*$J$57</f>
        <v>0</v>
      </c>
      <c r="E60" s="1655">
        <f>E$24*'Weights-HB3'!$J$72*$J$57</f>
        <v>0</v>
      </c>
      <c r="F60" s="1655">
        <f>F$24*'Weights-HB3'!$J$72*$J$57</f>
        <v>0</v>
      </c>
      <c r="G60" s="1655">
        <f>G$24*'Weights-HB3'!$J$72*$J$57</f>
        <v>0</v>
      </c>
      <c r="H60" s="1655">
        <f>H$24*'Weights-HB3'!$J$72*$J$57</f>
        <v>0</v>
      </c>
      <c r="I60" s="1655">
        <f>I$24*'Weights-HB3'!$J$72*$J$57</f>
        <v>0</v>
      </c>
      <c r="J60" s="2043">
        <f>J57+J59</f>
        <v>7263</v>
      </c>
    </row>
    <row r="61" spans="1:10" ht="15.5">
      <c r="A61" s="964" t="s">
        <v>7363</v>
      </c>
      <c r="B61" s="968">
        <f>(B$25*'Weights-HB3'!$J$21*$J$60)+(B$26*'Weights-HB3'!$J$22*$J$60)+(B$27*'Weights-HB3'!$J$23*$J$60)</f>
        <v>0</v>
      </c>
      <c r="C61" s="968">
        <f>(C$25*'Weights-HB3'!$J$21*$J$60)+(C$26*'Weights-HB3'!$J$22*$J$60)+(C$27*'Weights-HB3'!$J$23*$J$60)</f>
        <v>0</v>
      </c>
      <c r="D61" s="968">
        <f>(D$25*'Weights-HB3'!$J$21*$J$60)+(D$26*'Weights-HB3'!$J$22*$J$60)+(D$27*'Weights-HB3'!$J$23*$J$60)</f>
        <v>0</v>
      </c>
      <c r="E61" s="968">
        <f>(E$25*'Weights-HB3'!$J$21*$J$60)+(E$26*'Weights-HB3'!$J$22*$J$60)+(E$27*'Weights-HB3'!$J$23*$J$60)</f>
        <v>0</v>
      </c>
      <c r="F61" s="968">
        <f>(F$25*'Weights-HB3'!$J$21*$J$60)+(F$26*'Weights-HB3'!$J$22*$J$60)+(F$27*'Weights-HB3'!$J$23*$J$60)</f>
        <v>0</v>
      </c>
      <c r="G61" s="968">
        <f>(G$25*'Weights-HB3'!$J$21*$J$60)+(G$26*'Weights-HB3'!$J$22*$J$60)+(G$27*'Weights-HB3'!$J$23*$J$60)</f>
        <v>0</v>
      </c>
      <c r="H61" s="968">
        <f>(H$25*'Weights-HB3'!$J$21*$J$60)+(H$26*'Weights-HB3'!$J$22*$J$60)+(H$27*'Weights-HB3'!$J$23*$J$60)</f>
        <v>0</v>
      </c>
      <c r="I61" s="968">
        <f>(I$25*'Weights-HB3'!$J$21*$J$60)+(I$26*'Weights-HB3'!$J$22*$J$60)+(I$27*'Weights-HB3'!$J$23*$J$60)</f>
        <v>0</v>
      </c>
    </row>
    <row r="62" spans="1:10" ht="15.5">
      <c r="A62" s="964" t="s">
        <v>7364</v>
      </c>
      <c r="B62" s="968">
        <f>(B$28*$J$57*'Weights-HB3'!$J$36)+(B$29*$J$57*'Weights-HB3'!$J$37)+(B$30*$J$57*'Weights-HB3'!$J$38)+(B$31*$J$57*'Weights-HB3'!$J$39)+(B$32*$J$57*'Weights-HB3'!$J$40)+(B$33*$J$57*'Weights-HB3'!$J$43)</f>
        <v>0</v>
      </c>
      <c r="C62" s="968">
        <f>(C$28*$J$57*'Weights-HB3'!$J$36)+(C$29*$J$57*'Weights-HB3'!$J$37)+(C$30*$J$57*'Weights-HB3'!$J$38)+(C$31*$J$57*'Weights-HB3'!$J$39)+(C$32*$J$57*'Weights-HB3'!$J$40)+(C$33*$J$57*'Weights-HB3'!$J$43)</f>
        <v>0</v>
      </c>
      <c r="D62" s="968">
        <f>(D$28*$J$57*'Weights-HB3'!$J$36)+(D$29*$J$57*'Weights-HB3'!$J$37)+(D$30*$J$57*'Weights-HB3'!$J$38)+(D$31*$J$57*'Weights-HB3'!$J$39)+(D$32*$J$57*'Weights-HB3'!$J$40)+(D$33*$J$57*'Weights-HB3'!$J$43)</f>
        <v>0</v>
      </c>
      <c r="E62" s="968">
        <f>(E$28*$J$57*'Weights-HB3'!$J$36)+(E$29*$J$57*'Weights-HB3'!$J$37)+(E$30*$J$57*'Weights-HB3'!$J$38)+(E$31*$J$57*'Weights-HB3'!$J$39)+(E$32*$J$57*'Weights-HB3'!$J$40)+(E$33*$J$57*'Weights-HB3'!$J$43)</f>
        <v>0</v>
      </c>
      <c r="F62" s="968">
        <f>(F$28*$J$57*'Weights-HB3'!$J$36)+(F$29*$J$57*'Weights-HB3'!$J$37)+(F$30*$J$57*'Weights-HB3'!$J$38)+(F$31*$J$57*'Weights-HB3'!$J$39)+(F$32*$J$57*'Weights-HB3'!$J$40)+(F$33*$J$57*'Weights-HB3'!$J$43)</f>
        <v>0</v>
      </c>
      <c r="G62" s="968">
        <f>(G$28*$J$57*'Weights-HB3'!$J$36)+(G$29*$J$57*'Weights-HB3'!$J$37)+(G$30*$J$57*'Weights-HB3'!$J$38)+(G$31*$J$57*'Weights-HB3'!$J$39)+(G$32*$J$57*'Weights-HB3'!$J$40)+(G$33*$J$57*'Weights-HB3'!$J$43)</f>
        <v>0</v>
      </c>
      <c r="H62" s="968">
        <f>(H$28*$J$57*'Weights-HB3'!$J$36)+(H$29*$J$57*'Weights-HB3'!$J$37)+(H$30*$J$57*'Weights-HB3'!$J$38)+(H$31*$J$57*'Weights-HB3'!$J$39)+(H$32*$J$57*'Weights-HB3'!$J$40)+(H$33*$J$57*'Weights-HB3'!$J$43)</f>
        <v>0</v>
      </c>
      <c r="I62" s="968">
        <f>(I$28*$J$57*'Weights-HB3'!$J$36)+(I$29*$J$57*'Weights-HB3'!$J$37)+(I$30*$J$57*'Weights-HB3'!$J$38)+(I$31*$J$57*'Weights-HB3'!$J$39)+(I$32*$J$57*'Weights-HB3'!$J$40)+(I$33*$J$57*'Weights-HB3'!$J$43)</f>
        <v>0</v>
      </c>
    </row>
    <row r="63" spans="1:10" ht="15.5">
      <c r="A63" s="964" t="s">
        <v>2642</v>
      </c>
      <c r="B63" s="968">
        <f>B$34*$J$57*'Weights-HB3'!$J$31</f>
        <v>0</v>
      </c>
      <c r="C63" s="968">
        <f>C$34*$J$57*'Weights-HB3'!$J$31</f>
        <v>0</v>
      </c>
      <c r="D63" s="968">
        <f>D$34*$J$57*'Weights-HB3'!$J$31</f>
        <v>0</v>
      </c>
      <c r="E63" s="968">
        <f>E$34*$J$57*'Weights-HB3'!$J$31</f>
        <v>0</v>
      </c>
      <c r="F63" s="968">
        <f>F$34*$J$57*'Weights-HB3'!$J$31</f>
        <v>0</v>
      </c>
      <c r="G63" s="968">
        <f>G$34*$J$57*'Weights-HB3'!$J$31</f>
        <v>0</v>
      </c>
      <c r="H63" s="968">
        <f>H$34*$J$57*'Weights-HB3'!$J$31</f>
        <v>0</v>
      </c>
      <c r="I63" s="968">
        <f>I$34*$J$57*'Weights-HB3'!$J$31</f>
        <v>0</v>
      </c>
    </row>
    <row r="64" spans="1:10" ht="15.5">
      <c r="A64" s="964" t="s">
        <v>7365</v>
      </c>
      <c r="B64" s="968">
        <f>(B$35*$J$57*'Weights-HB3'!$J$26)+(B$36*$J$57*'Weights-HB3'!$J$27)+(B$37*$J$57*'Weights-HB3'!$J$28)</f>
        <v>0</v>
      </c>
      <c r="C64" s="968">
        <f>(C$35*$J$57*'Weights-HB3'!$J$26)+(C$36*$J$57*'Weights-HB3'!$J$27)+(C$37*$J$57*'Weights-HB3'!$J$28)</f>
        <v>0</v>
      </c>
      <c r="D64" s="968">
        <f>(D$35*$J$57*'Weights-HB3'!$J$26)+(D$36*$J$57*'Weights-HB3'!$J$27)+(D$37*$J$57*'Weights-HB3'!$J$28)</f>
        <v>0</v>
      </c>
      <c r="E64" s="968">
        <f>(E$35*$J$57*'Weights-HB3'!$J$26)+(E$36*$J$57*'Weights-HB3'!$J$27)+(E$37*$J$57*'Weights-HB3'!$J$28)</f>
        <v>0</v>
      </c>
      <c r="F64" s="968">
        <f>(F$35*$J$57*'Weights-HB3'!$J$26)+(F$36*$J$57*'Weights-HB3'!$J$27)+(F$37*$J$57*'Weights-HB3'!$J$28)</f>
        <v>0</v>
      </c>
      <c r="G64" s="968">
        <f>(G$35*$J$57*'Weights-HB3'!$J$26)+(G$36*$J$57*'Weights-HB3'!$J$27)+(G$37*$J$57*'Weights-HB3'!$J$28)</f>
        <v>0</v>
      </c>
      <c r="H64" s="968">
        <f>(H$35*$J$57*'Weights-HB3'!$J$26)+(H$36*$J$57*'Weights-HB3'!$J$27)+(H$37*$J$57*'Weights-HB3'!$J$28)</f>
        <v>0</v>
      </c>
      <c r="I64" s="968">
        <f>(I$35*$J$57*'Weights-HB3'!$J$26)+(I$36*$J$57*'Weights-HB3'!$J$27)+(I$37*$J$57*'Weights-HB3'!$J$28)</f>
        <v>0</v>
      </c>
    </row>
    <row r="65" spans="1:9" ht="15.5">
      <c r="A65" s="964" t="s">
        <v>7628</v>
      </c>
      <c r="B65" s="968">
        <f>B$38*$J$57*'Weights-HB3'!$J$74</f>
        <v>0</v>
      </c>
      <c r="C65" s="968">
        <f>C$38*$J$57*'Weights-HB3'!$J$74</f>
        <v>0</v>
      </c>
      <c r="D65" s="968">
        <f>D$38*$J$57*'Weights-HB3'!$J$74</f>
        <v>0</v>
      </c>
      <c r="E65" s="968">
        <f>E$38*$J$57*'Weights-HB3'!$J$74</f>
        <v>0</v>
      </c>
      <c r="F65" s="968">
        <f>F$38*$J$57*'Weights-HB3'!$J$74</f>
        <v>0</v>
      </c>
      <c r="G65" s="968">
        <f>G$38*$J$57*'Weights-HB3'!$J$74</f>
        <v>0</v>
      </c>
      <c r="H65" s="968">
        <f>H$38*$J$57*'Weights-HB3'!$J$74</f>
        <v>0</v>
      </c>
      <c r="I65" s="968">
        <f>I$38*$J$57*'Weights-HB3'!$J$74</f>
        <v>0</v>
      </c>
    </row>
    <row r="66" spans="1:9" ht="15.5">
      <c r="A66" s="964" t="s">
        <v>2312</v>
      </c>
      <c r="B66" s="968">
        <f t="shared" ref="B66:I66" si="5">SUM(B57:B65)</f>
        <v>0</v>
      </c>
      <c r="C66" s="968">
        <f t="shared" si="5"/>
        <v>0</v>
      </c>
      <c r="D66" s="968">
        <f t="shared" si="5"/>
        <v>0</v>
      </c>
      <c r="E66" s="968">
        <f t="shared" si="5"/>
        <v>0</v>
      </c>
      <c r="F66" s="968">
        <f t="shared" si="5"/>
        <v>0</v>
      </c>
      <c r="G66" s="968">
        <f t="shared" si="5"/>
        <v>0</v>
      </c>
      <c r="H66" s="968">
        <f t="shared" si="5"/>
        <v>0</v>
      </c>
      <c r="I66" s="968">
        <f t="shared" si="5"/>
        <v>0</v>
      </c>
    </row>
    <row r="69" spans="1:9">
      <c r="A69" s="2042" t="s">
        <v>7368</v>
      </c>
      <c r="B69" s="967">
        <f t="shared" ref="B69:I69" si="6">SUM(B13:B20)+B22</f>
        <v>0</v>
      </c>
      <c r="C69" s="967">
        <f t="shared" si="6"/>
        <v>0</v>
      </c>
      <c r="D69" s="967">
        <f t="shared" si="6"/>
        <v>0</v>
      </c>
      <c r="E69" s="967">
        <f t="shared" si="6"/>
        <v>0</v>
      </c>
      <c r="F69" s="967">
        <f t="shared" si="6"/>
        <v>0</v>
      </c>
      <c r="G69" s="967">
        <f t="shared" si="6"/>
        <v>0</v>
      </c>
      <c r="H69" s="967">
        <f t="shared" si="6"/>
        <v>0</v>
      </c>
      <c r="I69" s="967">
        <f t="shared" si="6"/>
        <v>0</v>
      </c>
    </row>
    <row r="70" spans="1:9">
      <c r="A70" s="2042" t="s">
        <v>7369</v>
      </c>
      <c r="B70" s="967">
        <f t="shared" ref="B70:I70" si="7">J20</f>
        <v>0</v>
      </c>
      <c r="C70" s="967">
        <f t="shared" si="7"/>
        <v>0</v>
      </c>
      <c r="D70" s="967">
        <f t="shared" si="7"/>
        <v>0</v>
      </c>
      <c r="E70" s="967">
        <f t="shared" si="7"/>
        <v>0</v>
      </c>
      <c r="F70" s="967">
        <f t="shared" si="7"/>
        <v>0</v>
      </c>
      <c r="G70" s="967">
        <f t="shared" si="7"/>
        <v>0</v>
      </c>
      <c r="H70" s="967">
        <f t="shared" si="7"/>
        <v>0</v>
      </c>
      <c r="I70" s="967">
        <f t="shared" si="7"/>
        <v>0</v>
      </c>
    </row>
    <row r="71" spans="1:9">
      <c r="A71" s="2042" t="s">
        <v>7370</v>
      </c>
      <c r="B71" s="967">
        <f t="shared" ref="B71:I71" si="8">B11-B69-B25-B26-B27</f>
        <v>0</v>
      </c>
      <c r="C71" s="967">
        <f t="shared" si="8"/>
        <v>0</v>
      </c>
      <c r="D71" s="967">
        <f t="shared" si="8"/>
        <v>0</v>
      </c>
      <c r="E71" s="967">
        <f t="shared" si="8"/>
        <v>0</v>
      </c>
      <c r="F71" s="967">
        <f t="shared" si="8"/>
        <v>0</v>
      </c>
      <c r="G71" s="967">
        <f t="shared" si="8"/>
        <v>0</v>
      </c>
      <c r="H71" s="967">
        <f t="shared" si="8"/>
        <v>0</v>
      </c>
      <c r="I71" s="967">
        <f t="shared" si="8"/>
        <v>0</v>
      </c>
    </row>
    <row r="74" spans="1:9" s="2040" customFormat="1" ht="15.5">
      <c r="A74" s="1657" t="s">
        <v>2768</v>
      </c>
    </row>
    <row r="75" spans="1:9" s="2040" customFormat="1" ht="15.5">
      <c r="B75" s="1894" t="s">
        <v>7366</v>
      </c>
      <c r="C75" s="1894" t="s">
        <v>7366</v>
      </c>
      <c r="D75" s="1894" t="s">
        <v>7366</v>
      </c>
      <c r="E75" s="1894" t="s">
        <v>7366</v>
      </c>
      <c r="F75" s="1894" t="s">
        <v>7366</v>
      </c>
      <c r="G75" s="1894" t="s">
        <v>7366</v>
      </c>
      <c r="H75" s="1894" t="s">
        <v>7366</v>
      </c>
      <c r="I75" s="1894" t="s">
        <v>7366</v>
      </c>
    </row>
    <row r="76" spans="1:9" s="2040" customFormat="1" ht="15.5">
      <c r="B76" s="965" t="s">
        <v>7358</v>
      </c>
      <c r="C76" s="965" t="s">
        <v>7359</v>
      </c>
      <c r="D76" s="965" t="s">
        <v>7360</v>
      </c>
      <c r="E76" s="966" t="s">
        <v>7361</v>
      </c>
      <c r="F76" s="966" t="s">
        <v>10695</v>
      </c>
      <c r="G76" s="966" t="s">
        <v>10696</v>
      </c>
      <c r="H76" s="966" t="s">
        <v>10697</v>
      </c>
      <c r="I76" s="966" t="s">
        <v>10698</v>
      </c>
    </row>
    <row r="77" spans="1:9" s="2040" customFormat="1" ht="15.5">
      <c r="A77" s="969" t="s">
        <v>7378</v>
      </c>
      <c r="B77" s="976" t="e">
        <f>Assumptions!$H$146*B$89*'Calc Data'!$E$105*100</f>
        <v>#DIV/0!</v>
      </c>
      <c r="C77" s="976" t="e">
        <f>Assumptions!$H$146*C$89*'Calc Data'!$E$105*100</f>
        <v>#DIV/0!</v>
      </c>
      <c r="D77" s="976" t="e">
        <f>Assumptions!$H$146*D$89*'Calc Data'!$E$105*100</f>
        <v>#DIV/0!</v>
      </c>
      <c r="E77" s="976" t="e">
        <f>Assumptions!$H$146*E$89*'Calc Data'!$E$105*100</f>
        <v>#DIV/0!</v>
      </c>
      <c r="F77" s="976" t="e">
        <f>Assumptions!$H$146*F$89*'Calc Data'!$E$105*100</f>
        <v>#DIV/0!</v>
      </c>
      <c r="G77" s="976" t="e">
        <f>Assumptions!$H$146*G$89*'Calc Data'!$E$105*100</f>
        <v>#DIV/0!</v>
      </c>
      <c r="H77" s="976" t="e">
        <f>Assumptions!$H$146*H$89*'Calc Data'!$E$105*100</f>
        <v>#DIV/0!</v>
      </c>
      <c r="I77" s="976" t="e">
        <f>Assumptions!$H$146*I$89*'Calc Data'!$E$105*100</f>
        <v>#DIV/0!</v>
      </c>
    </row>
    <row r="78" spans="1:9" s="2040" customFormat="1" ht="15.5">
      <c r="A78" s="969" t="s">
        <v>7379</v>
      </c>
      <c r="B78" s="976" t="e">
        <f>Assumptions!$H$147*B$89*'Calc Data'!$E$110*100</f>
        <v>#DIV/0!</v>
      </c>
      <c r="C78" s="976" t="e">
        <f>Assumptions!$H$147*C$89*'Calc Data'!$E$110*100</f>
        <v>#DIV/0!</v>
      </c>
      <c r="D78" s="976" t="e">
        <f>Assumptions!$H$147*D$89*'Calc Data'!$E$110*100</f>
        <v>#DIV/0!</v>
      </c>
      <c r="E78" s="976" t="e">
        <f>Assumptions!$H$147*E$89*'Calc Data'!$E$110*100</f>
        <v>#DIV/0!</v>
      </c>
      <c r="F78" s="976" t="e">
        <f>Assumptions!$H$147*F$89*'Calc Data'!$E$110*100</f>
        <v>#DIV/0!</v>
      </c>
      <c r="G78" s="976" t="e">
        <f>Assumptions!$H$147*G$89*'Calc Data'!$E$110*100</f>
        <v>#DIV/0!</v>
      </c>
      <c r="H78" s="976" t="e">
        <f>Assumptions!$H$147*H$89*'Calc Data'!$E$110*100</f>
        <v>#DIV/0!</v>
      </c>
      <c r="I78" s="976" t="e">
        <f>Assumptions!$H$147*I$89*'Calc Data'!$E$110*100</f>
        <v>#DIV/0!</v>
      </c>
    </row>
    <row r="79" spans="1:9" s="2040" customFormat="1" ht="15.5">
      <c r="A79" s="969" t="s">
        <v>2312</v>
      </c>
      <c r="B79" s="973" t="e">
        <f>B77+B78</f>
        <v>#DIV/0!</v>
      </c>
      <c r="C79" s="973" t="e">
        <f t="shared" ref="C79:E79" si="9">C77+C78</f>
        <v>#DIV/0!</v>
      </c>
      <c r="D79" s="973" t="e">
        <f t="shared" si="9"/>
        <v>#DIV/0!</v>
      </c>
      <c r="E79" s="973" t="e">
        <f t="shared" si="9"/>
        <v>#DIV/0!</v>
      </c>
      <c r="F79" s="973" t="e">
        <f t="shared" ref="F79:G79" si="10">F77+F78</f>
        <v>#DIV/0!</v>
      </c>
      <c r="G79" s="973" t="e">
        <f t="shared" si="10"/>
        <v>#DIV/0!</v>
      </c>
      <c r="H79" s="973" t="e">
        <f t="shared" ref="H79:I79" si="11">H77+H78</f>
        <v>#DIV/0!</v>
      </c>
      <c r="I79" s="973" t="e">
        <f t="shared" si="11"/>
        <v>#DIV/0!</v>
      </c>
    </row>
    <row r="80" spans="1:9" s="2040" customFormat="1" ht="15.5">
      <c r="A80" s="969"/>
    </row>
    <row r="81" spans="1:11" s="2040" customFormat="1" ht="15.5">
      <c r="A81" s="969"/>
      <c r="B81" s="1894" t="s">
        <v>7367</v>
      </c>
      <c r="C81" s="1894" t="s">
        <v>7367</v>
      </c>
      <c r="D81" s="1894" t="s">
        <v>7367</v>
      </c>
      <c r="E81" s="1894" t="s">
        <v>7367</v>
      </c>
      <c r="F81" s="1894" t="s">
        <v>7367</v>
      </c>
      <c r="G81" s="1894" t="s">
        <v>7367</v>
      </c>
      <c r="H81" s="1894" t="s">
        <v>7367</v>
      </c>
      <c r="I81" s="1894" t="s">
        <v>7367</v>
      </c>
    </row>
    <row r="82" spans="1:11" s="2040" customFormat="1" ht="15.5">
      <c r="A82" s="969"/>
      <c r="B82" s="965" t="s">
        <v>7358</v>
      </c>
      <c r="C82" s="965" t="s">
        <v>7359</v>
      </c>
      <c r="D82" s="965" t="s">
        <v>7360</v>
      </c>
      <c r="E82" s="966" t="s">
        <v>7361</v>
      </c>
      <c r="F82" s="966" t="s">
        <v>10695</v>
      </c>
      <c r="G82" s="966" t="s">
        <v>10696</v>
      </c>
      <c r="H82" s="966" t="s">
        <v>10697</v>
      </c>
      <c r="I82" s="966" t="s">
        <v>10698</v>
      </c>
      <c r="J82" s="259" t="s">
        <v>7398</v>
      </c>
    </row>
    <row r="83" spans="1:11" s="2040" customFormat="1" ht="15.5">
      <c r="A83" s="969" t="s">
        <v>7378</v>
      </c>
      <c r="B83" s="976">
        <f>Assumptions!$H$146*B$93*$J$84*100</f>
        <v>0</v>
      </c>
      <c r="C83" s="976">
        <f>Assumptions!$H$146*C$93*$J$84*100</f>
        <v>0</v>
      </c>
      <c r="D83" s="976">
        <f>Assumptions!$H$146*D$93*$J$84*100</f>
        <v>0</v>
      </c>
      <c r="E83" s="976">
        <f>Assumptions!$H$146*E$93*$J$84*100</f>
        <v>0</v>
      </c>
      <c r="F83" s="976">
        <f>Assumptions!$H$146*F$93*$J$84*100</f>
        <v>0</v>
      </c>
      <c r="G83" s="976">
        <f>Assumptions!$H$146*G$93*$J$84*100</f>
        <v>0</v>
      </c>
      <c r="H83" s="976">
        <f>Assumptions!$H$146*H$93*$J$84*100</f>
        <v>0</v>
      </c>
      <c r="I83" s="976">
        <f>Assumptions!$H$146*I$93*$J$84*100</f>
        <v>0</v>
      </c>
      <c r="J83" s="1658" t="s">
        <v>7380</v>
      </c>
    </row>
    <row r="84" spans="1:11" s="2040" customFormat="1" ht="15.5">
      <c r="A84" s="969" t="s">
        <v>7379</v>
      </c>
      <c r="B84" s="976">
        <f>Assumptions!$H$147*B$93*$J$85*100</f>
        <v>0</v>
      </c>
      <c r="C84" s="976">
        <f>Assumptions!$H$147*C$93*$J$85*100</f>
        <v>0</v>
      </c>
      <c r="D84" s="976">
        <f>Assumptions!$H$147*D$93*$J$85*100</f>
        <v>0</v>
      </c>
      <c r="E84" s="976">
        <f>Assumptions!$H$147*E$93*$J$85*100</f>
        <v>0</v>
      </c>
      <c r="F84" s="976">
        <f>Assumptions!$H$147*F$93*$J$85*100</f>
        <v>0</v>
      </c>
      <c r="G84" s="976">
        <f>Assumptions!$H$147*G$93*$J$85*100</f>
        <v>0</v>
      </c>
      <c r="H84" s="976">
        <f>Assumptions!$H$147*H$93*$J$85*100</f>
        <v>0</v>
      </c>
      <c r="I84" s="976">
        <f>Assumptions!$H$147*I$93*$J$85*100</f>
        <v>0</v>
      </c>
      <c r="J84" s="974">
        <f>'DistCharter-Data2122'!J84</f>
        <v>6.3600000000000004E-2</v>
      </c>
      <c r="K84" s="2042"/>
    </row>
    <row r="85" spans="1:11" s="2040" customFormat="1" ht="15.5">
      <c r="A85" s="969" t="s">
        <v>2312</v>
      </c>
      <c r="B85" s="976">
        <f>B83+B84</f>
        <v>0</v>
      </c>
      <c r="C85" s="976">
        <f t="shared" ref="C85:E85" si="12">C83+C84</f>
        <v>0</v>
      </c>
      <c r="D85" s="976">
        <f t="shared" si="12"/>
        <v>0</v>
      </c>
      <c r="E85" s="976">
        <f t="shared" si="12"/>
        <v>0</v>
      </c>
      <c r="F85" s="976">
        <f t="shared" ref="F85:G85" si="13">F83+F84</f>
        <v>0</v>
      </c>
      <c r="G85" s="976">
        <f t="shared" si="13"/>
        <v>0</v>
      </c>
      <c r="H85" s="976">
        <f t="shared" ref="H85:I85" si="14">H83+H84</f>
        <v>0</v>
      </c>
      <c r="I85" s="976">
        <f t="shared" si="14"/>
        <v>0</v>
      </c>
      <c r="J85" s="975">
        <f>'DistCharter-Data2122'!J85</f>
        <v>2.63E-2</v>
      </c>
      <c r="K85" s="2042"/>
    </row>
    <row r="86" spans="1:11" s="2040" customFormat="1" ht="15.5">
      <c r="A86" s="969"/>
    </row>
    <row r="87" spans="1:11" s="2040" customFormat="1" ht="15.5">
      <c r="A87" s="969"/>
      <c r="B87" s="1894" t="s">
        <v>7366</v>
      </c>
      <c r="C87" s="1894" t="s">
        <v>7366</v>
      </c>
      <c r="D87" s="1894" t="s">
        <v>7366</v>
      </c>
      <c r="E87" s="1894" t="s">
        <v>7366</v>
      </c>
      <c r="F87" s="1894" t="s">
        <v>7366</v>
      </c>
      <c r="G87" s="1894" t="s">
        <v>7366</v>
      </c>
      <c r="H87" s="1894" t="s">
        <v>7366</v>
      </c>
      <c r="I87" s="1894" t="s">
        <v>7366</v>
      </c>
    </row>
    <row r="88" spans="1:11" s="2040" customFormat="1" ht="15.5">
      <c r="A88" s="978" t="s">
        <v>7387</v>
      </c>
      <c r="B88" s="987">
        <f>Assumptions!H145</f>
        <v>6160</v>
      </c>
      <c r="C88" s="981">
        <f t="shared" ref="C88:I88" si="15">B88</f>
        <v>6160</v>
      </c>
      <c r="D88" s="981">
        <f t="shared" si="15"/>
        <v>6160</v>
      </c>
      <c r="E88" s="981">
        <f t="shared" si="15"/>
        <v>6160</v>
      </c>
      <c r="F88" s="981">
        <f t="shared" si="15"/>
        <v>6160</v>
      </c>
      <c r="G88" s="981">
        <f t="shared" si="15"/>
        <v>6160</v>
      </c>
      <c r="H88" s="981">
        <f t="shared" si="15"/>
        <v>6160</v>
      </c>
      <c r="I88" s="981">
        <f t="shared" si="15"/>
        <v>6160</v>
      </c>
    </row>
    <row r="89" spans="1:11" s="2040" customFormat="1" ht="15.5">
      <c r="A89" s="978" t="s">
        <v>2429</v>
      </c>
      <c r="B89" s="977" t="e">
        <f t="shared" ref="B89:I89" si="16">B53/B88</f>
        <v>#DIV/0!</v>
      </c>
      <c r="C89" s="977" t="e">
        <f t="shared" si="16"/>
        <v>#DIV/0!</v>
      </c>
      <c r="D89" s="977" t="e">
        <f t="shared" si="16"/>
        <v>#DIV/0!</v>
      </c>
      <c r="E89" s="977" t="e">
        <f t="shared" si="16"/>
        <v>#DIV/0!</v>
      </c>
      <c r="F89" s="977" t="e">
        <f t="shared" si="16"/>
        <v>#DIV/0!</v>
      </c>
      <c r="G89" s="977" t="e">
        <f t="shared" si="16"/>
        <v>#DIV/0!</v>
      </c>
      <c r="H89" s="977" t="e">
        <f t="shared" si="16"/>
        <v>#DIV/0!</v>
      </c>
      <c r="I89" s="977" t="e">
        <f t="shared" si="16"/>
        <v>#DIV/0!</v>
      </c>
    </row>
    <row r="90" spans="1:11" s="2040" customFormat="1" ht="15.5">
      <c r="A90" s="969"/>
    </row>
    <row r="91" spans="1:11" s="2040" customFormat="1" ht="15.5">
      <c r="A91" s="969"/>
      <c r="B91" s="1894" t="s">
        <v>7367</v>
      </c>
      <c r="C91" s="1894" t="s">
        <v>7367</v>
      </c>
      <c r="D91" s="1894" t="s">
        <v>7367</v>
      </c>
      <c r="E91" s="1894" t="s">
        <v>7367</v>
      </c>
      <c r="F91" s="1894" t="s">
        <v>7367</v>
      </c>
      <c r="G91" s="1894" t="s">
        <v>7367</v>
      </c>
      <c r="H91" s="1894" t="s">
        <v>7367</v>
      </c>
      <c r="I91" s="1894" t="s">
        <v>7367</v>
      </c>
    </row>
    <row r="92" spans="1:11" s="2040" customFormat="1" ht="15.5">
      <c r="A92" s="978" t="s">
        <v>7864</v>
      </c>
      <c r="B92" s="1660">
        <f>J57</f>
        <v>6160</v>
      </c>
      <c r="C92" s="976">
        <f t="shared" ref="C92:I92" si="17">B92</f>
        <v>6160</v>
      </c>
      <c r="D92" s="976">
        <f t="shared" si="17"/>
        <v>6160</v>
      </c>
      <c r="E92" s="976">
        <f t="shared" si="17"/>
        <v>6160</v>
      </c>
      <c r="F92" s="976">
        <f t="shared" si="17"/>
        <v>6160</v>
      </c>
      <c r="G92" s="976">
        <f t="shared" si="17"/>
        <v>6160</v>
      </c>
      <c r="H92" s="976">
        <f t="shared" si="17"/>
        <v>6160</v>
      </c>
      <c r="I92" s="976">
        <f t="shared" si="17"/>
        <v>6160</v>
      </c>
    </row>
    <row r="93" spans="1:11" s="2040" customFormat="1" ht="15.5">
      <c r="A93" s="978" t="s">
        <v>2429</v>
      </c>
      <c r="B93" s="977">
        <f>B66/B92</f>
        <v>0</v>
      </c>
      <c r="C93" s="977">
        <f t="shared" ref="C93:E93" si="18">C66/C92</f>
        <v>0</v>
      </c>
      <c r="D93" s="977">
        <f t="shared" si="18"/>
        <v>0</v>
      </c>
      <c r="E93" s="977">
        <f t="shared" si="18"/>
        <v>0</v>
      </c>
      <c r="F93" s="977">
        <f t="shared" ref="F93:G93" si="19">F66/F92</f>
        <v>0</v>
      </c>
      <c r="G93" s="977">
        <f t="shared" si="19"/>
        <v>0</v>
      </c>
      <c r="H93" s="977">
        <f t="shared" ref="H93:I93" si="20">H66/H92</f>
        <v>0</v>
      </c>
      <c r="I93" s="977">
        <f t="shared" si="20"/>
        <v>0</v>
      </c>
    </row>
    <row r="94" spans="1:11" s="2040" customFormat="1" ht="15.5"/>
    <row r="95" spans="1:11" s="2040" customFormat="1" ht="15.5">
      <c r="A95" s="972" t="s">
        <v>2656</v>
      </c>
    </row>
    <row r="96" spans="1:11" s="2040" customFormat="1" ht="15.5">
      <c r="B96" s="1894" t="s">
        <v>7367</v>
      </c>
      <c r="C96" s="1894" t="s">
        <v>7367</v>
      </c>
      <c r="D96" s="1894" t="s">
        <v>7367</v>
      </c>
      <c r="E96" s="1894" t="s">
        <v>7367</v>
      </c>
      <c r="F96" s="1894" t="s">
        <v>7367</v>
      </c>
      <c r="G96" s="1894" t="s">
        <v>7367</v>
      </c>
      <c r="H96" s="1894" t="s">
        <v>7367</v>
      </c>
      <c r="I96" s="1894" t="s">
        <v>7367</v>
      </c>
      <c r="J96" s="259" t="s">
        <v>7398</v>
      </c>
    </row>
    <row r="97" spans="1:12" s="2040" customFormat="1" ht="15.5">
      <c r="B97" s="965" t="s">
        <v>7358</v>
      </c>
      <c r="C97" s="965" t="s">
        <v>7359</v>
      </c>
      <c r="D97" s="965" t="s">
        <v>7360</v>
      </c>
      <c r="E97" s="966" t="s">
        <v>7361</v>
      </c>
      <c r="F97" s="966" t="s">
        <v>10695</v>
      </c>
      <c r="G97" s="966" t="s">
        <v>10696</v>
      </c>
      <c r="H97" s="966" t="s">
        <v>10697</v>
      </c>
      <c r="I97" s="966" t="s">
        <v>10698</v>
      </c>
      <c r="J97" s="1659" t="s">
        <v>7865</v>
      </c>
    </row>
    <row r="98" spans="1:12" s="2040" customFormat="1" ht="15.5">
      <c r="A98" s="2040" t="s">
        <v>7381</v>
      </c>
      <c r="B98" s="976">
        <f t="shared" ref="B98:I98" si="21">B11*$J$98*$J$99*100</f>
        <v>0</v>
      </c>
      <c r="C98" s="976">
        <f t="shared" si="21"/>
        <v>0</v>
      </c>
      <c r="D98" s="976">
        <f t="shared" si="21"/>
        <v>0</v>
      </c>
      <c r="E98" s="976">
        <f t="shared" si="21"/>
        <v>0</v>
      </c>
      <c r="F98" s="976">
        <f t="shared" si="21"/>
        <v>0</v>
      </c>
      <c r="G98" s="976">
        <f t="shared" si="21"/>
        <v>0</v>
      </c>
      <c r="H98" s="976">
        <f t="shared" si="21"/>
        <v>0</v>
      </c>
      <c r="I98" s="976">
        <f t="shared" si="21"/>
        <v>0</v>
      </c>
      <c r="J98" s="979">
        <v>4.5999999999999999E-2</v>
      </c>
      <c r="K98" s="2042"/>
    </row>
    <row r="99" spans="1:12" s="2040" customFormat="1" ht="15.5">
      <c r="J99" s="1662">
        <v>39.4</v>
      </c>
      <c r="K99" s="1661" t="s">
        <v>7866</v>
      </c>
      <c r="L99" s="2042"/>
    </row>
    <row r="100" spans="1:12" s="2040" customFormat="1" ht="15.5"/>
    <row r="101" spans="1:12" s="2040" customFormat="1" ht="15.5"/>
    <row r="102" spans="1:12" s="2040" customFormat="1" ht="15.5"/>
    <row r="103" spans="1:12" s="2040" customFormat="1" ht="15.5"/>
    <row r="104" spans="1:12" s="2040" customFormat="1" ht="15.5"/>
    <row r="105" spans="1:12" s="2040" customFormat="1" ht="15.5"/>
    <row r="106" spans="1:12" s="2040" customFormat="1" ht="15.5"/>
    <row r="107" spans="1:12" s="2040" customFormat="1" ht="15.5"/>
    <row r="108" spans="1:12" s="2040" customFormat="1" ht="15.5"/>
    <row r="109" spans="1:12" s="2040" customFormat="1" ht="15.5"/>
    <row r="110" spans="1:12" s="2040" customFormat="1" ht="15.5"/>
    <row r="111" spans="1:12" s="2040" customFormat="1" ht="15.5"/>
    <row r="112" spans="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2040" customFormat="1" ht="15.5"/>
    <row r="130" s="2040" customFormat="1" ht="15.5"/>
    <row r="131" s="2040" customFormat="1" ht="15.5"/>
    <row r="132" s="2040" customFormat="1" ht="15.5"/>
    <row r="133" s="2040" customFormat="1" ht="15.5"/>
    <row r="134" s="2040" customFormat="1" ht="15.5"/>
    <row r="135" s="2040" customFormat="1" ht="15.5"/>
    <row r="136" s="2040" customFormat="1" ht="15.5"/>
    <row r="137" s="2040" customFormat="1" ht="15.5"/>
    <row r="138" s="2040" customFormat="1" ht="15.5"/>
    <row r="139" s="2040" customFormat="1" ht="15.5"/>
    <row r="140" s="2040" customFormat="1" ht="15.5"/>
    <row r="141" s="2040" customFormat="1" ht="15.5"/>
    <row r="142" s="2040" customFormat="1" ht="15.5"/>
    <row r="143" s="2040" customFormat="1" ht="15.5"/>
    <row r="144" s="2040" customFormat="1" ht="15.5"/>
    <row r="145" s="2040" customFormat="1" ht="15.5"/>
    <row r="146" s="2040" customFormat="1" ht="15.5"/>
    <row r="147" s="2040" customFormat="1" ht="15.5"/>
    <row r="148" s="2040" customFormat="1" ht="15.5"/>
    <row r="149" s="2040" customFormat="1" ht="15.5"/>
    <row r="150" s="2040" customFormat="1" ht="15.5"/>
    <row r="151" s="2040" customFormat="1" ht="15.5"/>
    <row r="152" s="2040" customFormat="1" ht="15.5"/>
    <row r="153" s="2040" customFormat="1" ht="15.5"/>
    <row r="154" s="2040" customFormat="1" ht="15.5"/>
    <row r="155" s="2040" customFormat="1" ht="15.5"/>
    <row r="156" s="2040" customFormat="1" ht="15.5"/>
    <row r="157" s="2040" customFormat="1" ht="15.5"/>
    <row r="158" s="2040" customFormat="1" ht="15.5"/>
    <row r="159" s="2040" customFormat="1" ht="15.5"/>
    <row r="160" s="2040" customFormat="1" ht="15.5"/>
    <row r="161" s="2040" customFormat="1" ht="15.5"/>
    <row r="162" s="2040" customFormat="1" ht="15.5"/>
    <row r="163" s="2040" customFormat="1" ht="15.5"/>
    <row r="164" s="2040" customFormat="1" ht="15.5"/>
    <row r="165" s="2040" customFormat="1" ht="15.5"/>
    <row r="166" s="2040" customFormat="1" ht="15.5"/>
    <row r="167" s="2040" customFormat="1" ht="15.5"/>
    <row r="168" s="2040" customFormat="1" ht="15.5"/>
    <row r="169" s="2040" customFormat="1" ht="15.5"/>
    <row r="170" s="2040" customFormat="1" ht="15.5"/>
    <row r="171" s="2040" customFormat="1" ht="15.5"/>
    <row r="172" s="2040" customFormat="1" ht="15.5"/>
    <row r="173" s="2040" customFormat="1" ht="15.5"/>
    <row r="174" s="2040" customFormat="1" ht="15.5"/>
    <row r="175" s="2040" customFormat="1" ht="15.5"/>
    <row r="176" s="2040" customFormat="1" ht="15.5"/>
    <row r="177" s="2040" customFormat="1" ht="15.5"/>
    <row r="178" s="2040" customFormat="1" ht="15.5"/>
    <row r="179" s="2040" customFormat="1" ht="15.5"/>
    <row r="180" s="2040" customFormat="1" ht="15.5"/>
    <row r="181" s="2040" customFormat="1" ht="15.5"/>
    <row r="182" s="2040" customFormat="1" ht="15.5"/>
    <row r="183" s="2040" customFormat="1" ht="15.5"/>
    <row r="184" s="2040" customFormat="1" ht="15.5"/>
    <row r="185" s="2040" customFormat="1" ht="15.5"/>
    <row r="186" s="2040" customFormat="1" ht="15.5"/>
    <row r="187" s="2040" customFormat="1" ht="15.5"/>
    <row r="188" s="2040" customFormat="1" ht="15.5"/>
    <row r="189" s="2040" customFormat="1" ht="15.5"/>
    <row r="190" s="2040" customFormat="1" ht="15.5"/>
    <row r="191" s="2040" customFormat="1" ht="15.5"/>
    <row r="192" s="2040" customFormat="1" ht="15.5"/>
    <row r="193" s="2040" customFormat="1" ht="15.5"/>
    <row r="194" s="2040" customFormat="1" ht="15.5"/>
    <row r="195" s="2040" customFormat="1" ht="15.5"/>
    <row r="196" s="2040" customFormat="1" ht="15.5"/>
    <row r="197" s="2040" customFormat="1" ht="15.5"/>
    <row r="198" s="2040" customFormat="1" ht="15.5"/>
    <row r="199" s="2040" customFormat="1" ht="15.5"/>
    <row r="200" s="2040" customFormat="1" ht="15.5"/>
    <row r="201" s="2040" customFormat="1" ht="15.5"/>
    <row r="202" s="2040" customFormat="1" ht="15.5"/>
    <row r="203" s="2040" customFormat="1" ht="15.5"/>
    <row r="204" s="2040" customFormat="1" ht="15.5"/>
    <row r="205" s="2040" customFormat="1" ht="15.5"/>
    <row r="206" s="2040" customFormat="1" ht="15.5"/>
    <row r="207" s="2040" customFormat="1" ht="15.5"/>
    <row r="208" s="2040" customFormat="1" ht="15.5"/>
    <row r="209" s="2040" customFormat="1" ht="15.5"/>
    <row r="210" s="2040" customFormat="1" ht="15.5"/>
    <row r="211" s="2040" customFormat="1" ht="15.5"/>
    <row r="212" s="2040" customFormat="1" ht="15.5"/>
    <row r="213" s="2040" customFormat="1" ht="15.5"/>
    <row r="214" s="2040" customFormat="1" ht="15.5"/>
    <row r="215" s="2040" customFormat="1" ht="15.5"/>
    <row r="216" s="2040" customFormat="1" ht="15.5"/>
    <row r="217" s="2040" customFormat="1" ht="15.5"/>
    <row r="218" s="2040" customFormat="1" ht="15.5"/>
    <row r="219" s="2040" customFormat="1" ht="15.5"/>
    <row r="220" s="2040" customFormat="1" ht="15.5"/>
    <row r="221" s="2040" customFormat="1" ht="15.5"/>
    <row r="222" s="2040" customFormat="1" ht="15.5"/>
    <row r="223" s="2040" customFormat="1" ht="15.5"/>
    <row r="224" s="2040" customFormat="1" ht="15.5"/>
    <row r="225" s="2040" customFormat="1" ht="15.5"/>
    <row r="226" s="2040" customFormat="1" ht="15.5"/>
    <row r="227" s="2040" customFormat="1" ht="15.5"/>
    <row r="228" s="2040" customFormat="1" ht="15.5"/>
    <row r="229" s="2040" customFormat="1" ht="15.5"/>
    <row r="230" s="2040" customFormat="1" ht="15.5"/>
    <row r="231" s="2040" customFormat="1" ht="15.5"/>
    <row r="232" s="2040" customFormat="1" ht="15.5"/>
    <row r="233" s="2040" customFormat="1" ht="15.5"/>
    <row r="234" s="2040" customFormat="1" ht="15.5"/>
    <row r="235" s="2040" customFormat="1" ht="15.5"/>
    <row r="236" s="2040" customFormat="1" ht="15.5"/>
    <row r="237" s="2040" customFormat="1" ht="15.5"/>
    <row r="238" s="2040" customFormat="1" ht="15.5"/>
    <row r="239" s="2040" customFormat="1" ht="15.5"/>
    <row r="240" s="2040" customFormat="1" ht="15.5"/>
    <row r="241" s="2040" customFormat="1" ht="15.5"/>
    <row r="242" s="2040" customFormat="1" ht="15.5"/>
    <row r="243" s="2040" customFormat="1" ht="15.5"/>
    <row r="244" s="2040" customFormat="1" ht="15.5"/>
    <row r="245" s="2040" customFormat="1" ht="15.5"/>
    <row r="246" s="2040" customFormat="1" ht="15.5"/>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J57"/>
  <sheetViews>
    <sheetView topLeftCell="A49" workbookViewId="0">
      <selection activeCell="A57" sqref="A57"/>
    </sheetView>
  </sheetViews>
  <sheetFormatPr defaultColWidth="8.7265625" defaultRowHeight="12.5"/>
  <cols>
    <col min="1" max="1" width="34.54296875" style="2042" customWidth="1"/>
    <col min="2" max="12" width="23.7265625" style="2042" customWidth="1"/>
    <col min="13" max="16384" width="8.7265625" style="2042"/>
  </cols>
  <sheetData>
    <row r="1" spans="1:9" s="2040" customFormat="1" ht="15.5">
      <c r="A1" s="2040" t="s">
        <v>7391</v>
      </c>
    </row>
    <row r="2" spans="1:9" s="2040" customFormat="1" ht="15.5">
      <c r="A2" s="2040" t="s">
        <v>7392</v>
      </c>
    </row>
    <row r="3" spans="1:9" s="2040" customFormat="1" ht="15.5"/>
    <row r="4" spans="1:9" s="2040" customFormat="1" ht="15.5"/>
    <row r="5" spans="1:9" s="2040" customFormat="1" ht="15.5"/>
    <row r="6" spans="1:9" ht="15.5">
      <c r="B6" s="1333" t="s">
        <v>9429</v>
      </c>
      <c r="C6" s="1334"/>
      <c r="D6" s="1334"/>
      <c r="E6" s="1335"/>
      <c r="F6" s="1335"/>
      <c r="G6" s="1335"/>
      <c r="H6" s="1335"/>
      <c r="I6" s="1335"/>
    </row>
    <row r="7" spans="1:9" ht="13">
      <c r="A7" s="1338" t="s">
        <v>7382</v>
      </c>
      <c r="B7" s="43" t="s">
        <v>7366</v>
      </c>
      <c r="C7" s="43" t="s">
        <v>7366</v>
      </c>
      <c r="D7" s="43" t="s">
        <v>7366</v>
      </c>
      <c r="E7" s="43" t="s">
        <v>7366</v>
      </c>
      <c r="F7" s="43" t="s">
        <v>7366</v>
      </c>
      <c r="G7" s="43" t="s">
        <v>7366</v>
      </c>
      <c r="H7" s="43" t="s">
        <v>7366</v>
      </c>
      <c r="I7" s="43" t="s">
        <v>7366</v>
      </c>
    </row>
    <row r="8" spans="1:9" ht="13">
      <c r="B8" s="1336" t="s">
        <v>7358</v>
      </c>
      <c r="C8" s="1336" t="s">
        <v>7359</v>
      </c>
      <c r="D8" s="1336" t="s">
        <v>7360</v>
      </c>
      <c r="E8" s="1337" t="s">
        <v>7361</v>
      </c>
      <c r="F8" s="1337" t="s">
        <v>10695</v>
      </c>
      <c r="G8" s="1337" t="s">
        <v>10696</v>
      </c>
      <c r="H8" s="1337" t="s">
        <v>10697</v>
      </c>
      <c r="I8" s="1337" t="s">
        <v>10698</v>
      </c>
    </row>
    <row r="9" spans="1:9" ht="15.5">
      <c r="A9" s="964" t="s">
        <v>2635</v>
      </c>
      <c r="B9" s="1339">
        <f>'DistCharter-Data2223'!B44</f>
        <v>0</v>
      </c>
      <c r="C9" s="1339">
        <f>'DistCharter-Data2223'!C44</f>
        <v>0</v>
      </c>
      <c r="D9" s="1339">
        <f>'DistCharter-Data2223'!D44</f>
        <v>0</v>
      </c>
      <c r="E9" s="1339">
        <f>'DistCharter-Data2223'!E44</f>
        <v>0</v>
      </c>
      <c r="F9" s="1339">
        <f>'DistCharter-Data2223'!F44</f>
        <v>0</v>
      </c>
      <c r="G9" s="1339">
        <f>'DistCharter-Data2223'!G44</f>
        <v>0</v>
      </c>
      <c r="H9" s="1339">
        <f>'DistCharter-Data2223'!H44</f>
        <v>0</v>
      </c>
      <c r="I9" s="1339">
        <f>'DistCharter-Data2223'!I44</f>
        <v>0</v>
      </c>
    </row>
    <row r="10" spans="1:9" ht="15.5">
      <c r="A10" s="964" t="s">
        <v>7854</v>
      </c>
      <c r="B10" s="1670" t="e">
        <f>'DistCharter-Data2223'!B45</f>
        <v>#DIV/0!</v>
      </c>
      <c r="C10" s="1670" t="e">
        <f>'DistCharter-Data2223'!C45</f>
        <v>#DIV/0!</v>
      </c>
      <c r="D10" s="1670" t="e">
        <f>'DistCharter-Data2223'!D45</f>
        <v>#DIV/0!</v>
      </c>
      <c r="E10" s="1670" t="e">
        <f>'DistCharter-Data2223'!E45</f>
        <v>#DIV/0!</v>
      </c>
      <c r="F10" s="1670" t="e">
        <f>'DistCharter-Data2223'!F45</f>
        <v>#DIV/0!</v>
      </c>
      <c r="G10" s="1670" t="e">
        <f>'DistCharter-Data2223'!G45</f>
        <v>#DIV/0!</v>
      </c>
      <c r="H10" s="1670" t="e">
        <f>'DistCharter-Data2223'!H45</f>
        <v>#DIV/0!</v>
      </c>
      <c r="I10" s="1670" t="e">
        <f>'DistCharter-Data2223'!I45</f>
        <v>#DIV/0!</v>
      </c>
    </row>
    <row r="11" spans="1:9" ht="15.5">
      <c r="A11" s="964" t="s">
        <v>2639</v>
      </c>
      <c r="B11" s="1339">
        <f>'DistCharter-Data2223'!B46</f>
        <v>0</v>
      </c>
      <c r="C11" s="1339">
        <f>'DistCharter-Data2223'!C46</f>
        <v>0</v>
      </c>
      <c r="D11" s="1339">
        <f>'DistCharter-Data2223'!D46</f>
        <v>0</v>
      </c>
      <c r="E11" s="1339">
        <f>'DistCharter-Data2223'!E46</f>
        <v>0</v>
      </c>
      <c r="F11" s="1339">
        <f>'DistCharter-Data2223'!F46</f>
        <v>0</v>
      </c>
      <c r="G11" s="1339">
        <f>'DistCharter-Data2223'!G46</f>
        <v>0</v>
      </c>
      <c r="H11" s="1339">
        <f>'DistCharter-Data2223'!H46</f>
        <v>0</v>
      </c>
      <c r="I11" s="1339">
        <f>'DistCharter-Data2223'!I46</f>
        <v>0</v>
      </c>
    </row>
    <row r="12" spans="1:9" ht="15.5">
      <c r="A12" s="964" t="s">
        <v>7436</v>
      </c>
      <c r="B12" s="1670">
        <f>'DistCharter-Data2223'!B47</f>
        <v>0</v>
      </c>
      <c r="C12" s="1670">
        <f>'DistCharter-Data2223'!C47</f>
        <v>0</v>
      </c>
      <c r="D12" s="1670">
        <f>'DistCharter-Data2223'!D47</f>
        <v>0</v>
      </c>
      <c r="E12" s="1670">
        <f>'DistCharter-Data2223'!E47</f>
        <v>0</v>
      </c>
      <c r="F12" s="1670">
        <f>'DistCharter-Data2223'!F47</f>
        <v>0</v>
      </c>
      <c r="G12" s="1670">
        <f>'DistCharter-Data2223'!G47</f>
        <v>0</v>
      </c>
      <c r="H12" s="1670">
        <f>'DistCharter-Data2223'!H47</f>
        <v>0</v>
      </c>
      <c r="I12" s="1670">
        <f>'DistCharter-Data2223'!I47</f>
        <v>0</v>
      </c>
    </row>
    <row r="13" spans="1:9" ht="15.5">
      <c r="A13" s="964" t="s">
        <v>7363</v>
      </c>
      <c r="B13" s="1339">
        <f>'DistCharter-Data2223'!B48</f>
        <v>0</v>
      </c>
      <c r="C13" s="1339">
        <f>'DistCharter-Data2223'!C48</f>
        <v>0</v>
      </c>
      <c r="D13" s="1339">
        <f>'DistCharter-Data2223'!D48</f>
        <v>0</v>
      </c>
      <c r="E13" s="1339">
        <f>'DistCharter-Data2223'!E48</f>
        <v>0</v>
      </c>
      <c r="F13" s="1339">
        <f>'DistCharter-Data2223'!F48</f>
        <v>0</v>
      </c>
      <c r="G13" s="1339">
        <f>'DistCharter-Data2223'!G48</f>
        <v>0</v>
      </c>
      <c r="H13" s="1339">
        <f>'DistCharter-Data2223'!H48</f>
        <v>0</v>
      </c>
      <c r="I13" s="1339">
        <f>'DistCharter-Data2223'!I48</f>
        <v>0</v>
      </c>
    </row>
    <row r="14" spans="1:9" ht="15.5">
      <c r="A14" s="964" t="s">
        <v>7364</v>
      </c>
      <c r="B14" s="1339">
        <f>'DistCharter-Data2223'!B49</f>
        <v>0</v>
      </c>
      <c r="C14" s="1339">
        <f>'DistCharter-Data2223'!C49</f>
        <v>0</v>
      </c>
      <c r="D14" s="1339">
        <f>'DistCharter-Data2223'!D49</f>
        <v>0</v>
      </c>
      <c r="E14" s="1339">
        <f>'DistCharter-Data2223'!E49</f>
        <v>0</v>
      </c>
      <c r="F14" s="1339">
        <f>'DistCharter-Data2223'!F49</f>
        <v>0</v>
      </c>
      <c r="G14" s="1339">
        <f>'DistCharter-Data2223'!G49</f>
        <v>0</v>
      </c>
      <c r="H14" s="1339">
        <f>'DistCharter-Data2223'!H49</f>
        <v>0</v>
      </c>
      <c r="I14" s="1339">
        <f>'DistCharter-Data2223'!I49</f>
        <v>0</v>
      </c>
    </row>
    <row r="15" spans="1:9" ht="15.5">
      <c r="A15" s="964" t="s">
        <v>2642</v>
      </c>
      <c r="B15" s="1339">
        <f>'DistCharter-Data2223'!B50</f>
        <v>0</v>
      </c>
      <c r="C15" s="1339">
        <f>'DistCharter-Data2223'!C50</f>
        <v>0</v>
      </c>
      <c r="D15" s="1339">
        <f>'DistCharter-Data2223'!D50</f>
        <v>0</v>
      </c>
      <c r="E15" s="1339">
        <f>'DistCharter-Data2223'!E50</f>
        <v>0</v>
      </c>
      <c r="F15" s="1339">
        <f>'DistCharter-Data2223'!F50</f>
        <v>0</v>
      </c>
      <c r="G15" s="1339">
        <f>'DistCharter-Data2223'!G50</f>
        <v>0</v>
      </c>
      <c r="H15" s="1339">
        <f>'DistCharter-Data2223'!H50</f>
        <v>0</v>
      </c>
      <c r="I15" s="1339">
        <f>'DistCharter-Data2223'!I50</f>
        <v>0</v>
      </c>
    </row>
    <row r="16" spans="1:9" ht="15.5">
      <c r="A16" s="964" t="s">
        <v>7365</v>
      </c>
      <c r="B16" s="1339">
        <f>'DistCharter-Data2223'!B51</f>
        <v>0</v>
      </c>
      <c r="C16" s="1339">
        <f>'DistCharter-Data2223'!C51</f>
        <v>0</v>
      </c>
      <c r="D16" s="1339">
        <f>'DistCharter-Data2223'!D51</f>
        <v>0</v>
      </c>
      <c r="E16" s="1339">
        <f>'DistCharter-Data2223'!E51</f>
        <v>0</v>
      </c>
      <c r="F16" s="1339">
        <f>'DistCharter-Data2223'!F51</f>
        <v>0</v>
      </c>
      <c r="G16" s="1339">
        <f>'DistCharter-Data2223'!G51</f>
        <v>0</v>
      </c>
      <c r="H16" s="1339">
        <f>'DistCharter-Data2223'!H51</f>
        <v>0</v>
      </c>
      <c r="I16" s="1339">
        <f>'DistCharter-Data2223'!I51</f>
        <v>0</v>
      </c>
    </row>
    <row r="17" spans="1:9" ht="15.5">
      <c r="A17" s="964" t="s">
        <v>7628</v>
      </c>
      <c r="B17" s="1670">
        <f>'DistCharter-Data2223'!B52</f>
        <v>0</v>
      </c>
      <c r="C17" s="1670">
        <f>'DistCharter-Data2223'!C52</f>
        <v>0</v>
      </c>
      <c r="D17" s="1670">
        <f>'DistCharter-Data2223'!D52</f>
        <v>0</v>
      </c>
      <c r="E17" s="1670">
        <f>'DistCharter-Data2223'!E52</f>
        <v>0</v>
      </c>
      <c r="F17" s="1670">
        <f>'DistCharter-Data2223'!F52</f>
        <v>0</v>
      </c>
      <c r="G17" s="1670">
        <f>'DistCharter-Data2223'!G52</f>
        <v>0</v>
      </c>
      <c r="H17" s="1670">
        <f>'DistCharter-Data2223'!H52</f>
        <v>0</v>
      </c>
      <c r="I17" s="1670">
        <f>'DistCharter-Data2223'!I52</f>
        <v>0</v>
      </c>
    </row>
    <row r="18" spans="1:9" ht="15.5">
      <c r="A18" s="970" t="s">
        <v>7371</v>
      </c>
      <c r="B18" s="1339" t="e">
        <f>'DistCharter-Data2223'!B53</f>
        <v>#DIV/0!</v>
      </c>
      <c r="C18" s="1339" t="e">
        <f>'DistCharter-Data2223'!C53</f>
        <v>#DIV/0!</v>
      </c>
      <c r="D18" s="1339" t="e">
        <f>'DistCharter-Data2223'!D53</f>
        <v>#DIV/0!</v>
      </c>
      <c r="E18" s="1339" t="e">
        <f>'DistCharter-Data2223'!E53</f>
        <v>#DIV/0!</v>
      </c>
      <c r="F18" s="1339" t="e">
        <f>'DistCharter-Data2223'!F53</f>
        <v>#DIV/0!</v>
      </c>
      <c r="G18" s="1339" t="e">
        <f>'DistCharter-Data2223'!G53</f>
        <v>#DIV/0!</v>
      </c>
      <c r="H18" s="1339" t="e">
        <f>'DistCharter-Data2223'!H53</f>
        <v>#DIV/0!</v>
      </c>
      <c r="I18" s="1339" t="e">
        <f>'DistCharter-Data2223'!I53</f>
        <v>#DIV/0!</v>
      </c>
    </row>
    <row r="19" spans="1:9">
      <c r="A19" s="1037"/>
    </row>
    <row r="20" spans="1:9" ht="13">
      <c r="A20" s="1338" t="s">
        <v>10704</v>
      </c>
      <c r="B20" s="43" t="s">
        <v>7366</v>
      </c>
      <c r="C20" s="43" t="s">
        <v>7366</v>
      </c>
      <c r="D20" s="43" t="s">
        <v>7366</v>
      </c>
      <c r="E20" s="43" t="s">
        <v>7366</v>
      </c>
      <c r="F20" s="43" t="s">
        <v>7366</v>
      </c>
      <c r="G20" s="43" t="s">
        <v>7366</v>
      </c>
      <c r="H20" s="43" t="s">
        <v>7366</v>
      </c>
      <c r="I20" s="43" t="s">
        <v>7366</v>
      </c>
    </row>
    <row r="21" spans="1:9" ht="13">
      <c r="B21" s="1336" t="s">
        <v>7358</v>
      </c>
      <c r="C21" s="1336" t="s">
        <v>7359</v>
      </c>
      <c r="D21" s="1336" t="s">
        <v>7360</v>
      </c>
      <c r="E21" s="1337" t="s">
        <v>7361</v>
      </c>
      <c r="F21" s="1337" t="s">
        <v>10695</v>
      </c>
      <c r="G21" s="1337" t="s">
        <v>10696</v>
      </c>
      <c r="H21" s="1337" t="s">
        <v>10697</v>
      </c>
      <c r="I21" s="1337" t="s">
        <v>10698</v>
      </c>
    </row>
    <row r="22" spans="1:9" ht="15.5">
      <c r="A22" s="969" t="s">
        <v>7393</v>
      </c>
      <c r="B22" s="1339" t="e">
        <f>'DistCharter-Data2223'!B77</f>
        <v>#DIV/0!</v>
      </c>
      <c r="C22" s="1339" t="e">
        <f>'DistCharter-Data2223'!C77</f>
        <v>#DIV/0!</v>
      </c>
      <c r="D22" s="1339" t="e">
        <f>'DistCharter-Data2223'!D77</f>
        <v>#DIV/0!</v>
      </c>
      <c r="E22" s="1339" t="e">
        <f>'DistCharter-Data2223'!E77</f>
        <v>#DIV/0!</v>
      </c>
      <c r="F22" s="1339" t="e">
        <f>'DistCharter-Data2223'!F77</f>
        <v>#DIV/0!</v>
      </c>
      <c r="G22" s="1339" t="e">
        <f>'DistCharter-Data2223'!G77</f>
        <v>#DIV/0!</v>
      </c>
      <c r="H22" s="1339" t="e">
        <f>'DistCharter-Data2223'!H77</f>
        <v>#DIV/0!</v>
      </c>
      <c r="I22" s="1339" t="e">
        <f>'DistCharter-Data2223'!I77</f>
        <v>#DIV/0!</v>
      </c>
    </row>
    <row r="23" spans="1:9" ht="15.5">
      <c r="A23" s="969" t="s">
        <v>7394</v>
      </c>
      <c r="B23" s="1339" t="e">
        <f>'DistCharter-Data2223'!B78</f>
        <v>#DIV/0!</v>
      </c>
      <c r="C23" s="1339" t="e">
        <f>'DistCharter-Data2223'!C78</f>
        <v>#DIV/0!</v>
      </c>
      <c r="D23" s="1339" t="e">
        <f>'DistCharter-Data2223'!D78</f>
        <v>#DIV/0!</v>
      </c>
      <c r="E23" s="1339" t="e">
        <f>'DistCharter-Data2223'!E78</f>
        <v>#DIV/0!</v>
      </c>
      <c r="F23" s="1339" t="e">
        <f>'DistCharter-Data2223'!F78</f>
        <v>#DIV/0!</v>
      </c>
      <c r="G23" s="1339" t="e">
        <f>'DistCharter-Data2223'!G78</f>
        <v>#DIV/0!</v>
      </c>
      <c r="H23" s="1339" t="e">
        <f>'DistCharter-Data2223'!H78</f>
        <v>#DIV/0!</v>
      </c>
      <c r="I23" s="1339" t="e">
        <f>'DistCharter-Data2223'!I78</f>
        <v>#DIV/0!</v>
      </c>
    </row>
    <row r="24" spans="1:9" ht="15.5">
      <c r="A24" s="970" t="s">
        <v>7372</v>
      </c>
      <c r="B24" s="1339" t="e">
        <f>'DistCharter-Data2223'!B79</f>
        <v>#DIV/0!</v>
      </c>
      <c r="C24" s="1339" t="e">
        <f>'DistCharter-Data2223'!C79</f>
        <v>#DIV/0!</v>
      </c>
      <c r="D24" s="1339" t="e">
        <f>'DistCharter-Data2223'!D79</f>
        <v>#DIV/0!</v>
      </c>
      <c r="E24" s="1339" t="e">
        <f>'DistCharter-Data2223'!E79</f>
        <v>#DIV/0!</v>
      </c>
      <c r="F24" s="1339" t="e">
        <f>'DistCharter-Data2223'!F79</f>
        <v>#DIV/0!</v>
      </c>
      <c r="G24" s="1339" t="e">
        <f>'DistCharter-Data2223'!G79</f>
        <v>#DIV/0!</v>
      </c>
      <c r="H24" s="1339" t="e">
        <f>'DistCharter-Data2223'!H79</f>
        <v>#DIV/0!</v>
      </c>
      <c r="I24" s="1339" t="e">
        <f>'DistCharter-Data2223'!I79</f>
        <v>#DIV/0!</v>
      </c>
    </row>
    <row r="26" spans="1:9" ht="15.5">
      <c r="A26" s="1340" t="s">
        <v>7374</v>
      </c>
      <c r="B26" s="1663" t="e">
        <f>B18+B24</f>
        <v>#DIV/0!</v>
      </c>
      <c r="C26" s="1663" t="e">
        <f t="shared" ref="C26:E26" si="0">C18+C24</f>
        <v>#DIV/0!</v>
      </c>
      <c r="D26" s="1663" t="e">
        <f t="shared" si="0"/>
        <v>#DIV/0!</v>
      </c>
      <c r="E26" s="1663" t="e">
        <f t="shared" si="0"/>
        <v>#DIV/0!</v>
      </c>
      <c r="F26" s="1663" t="e">
        <f t="shared" ref="F26:G26" si="1">F18+F24</f>
        <v>#DIV/0!</v>
      </c>
      <c r="G26" s="1663" t="e">
        <f t="shared" si="1"/>
        <v>#DIV/0!</v>
      </c>
      <c r="H26" s="1663" t="e">
        <f t="shared" ref="H26:I26" si="2">H18+H24</f>
        <v>#DIV/0!</v>
      </c>
      <c r="I26" s="1663" t="e">
        <f t="shared" si="2"/>
        <v>#DIV/0!</v>
      </c>
    </row>
    <row r="30" spans="1:9" ht="13">
      <c r="A30" s="1338" t="s">
        <v>7383</v>
      </c>
      <c r="B30" s="43" t="s">
        <v>7367</v>
      </c>
      <c r="C30" s="43" t="s">
        <v>7367</v>
      </c>
      <c r="D30" s="43" t="s">
        <v>7367</v>
      </c>
      <c r="E30" s="43" t="s">
        <v>7367</v>
      </c>
      <c r="F30" s="43" t="s">
        <v>7367</v>
      </c>
      <c r="G30" s="43" t="s">
        <v>7367</v>
      </c>
      <c r="H30" s="43" t="s">
        <v>7367</v>
      </c>
      <c r="I30" s="43" t="s">
        <v>7367</v>
      </c>
    </row>
    <row r="31" spans="1:9" ht="13">
      <c r="B31" s="1336" t="s">
        <v>7358</v>
      </c>
      <c r="C31" s="1336" t="s">
        <v>7359</v>
      </c>
      <c r="D31" s="1336" t="s">
        <v>7360</v>
      </c>
      <c r="E31" s="1337" t="s">
        <v>7361</v>
      </c>
      <c r="F31" s="1337" t="s">
        <v>10695</v>
      </c>
      <c r="G31" s="1337" t="s">
        <v>10696</v>
      </c>
      <c r="H31" s="1337" t="s">
        <v>10697</v>
      </c>
      <c r="I31" s="1337" t="s">
        <v>10698</v>
      </c>
    </row>
    <row r="32" spans="1:9" ht="15.5">
      <c r="A32" s="964" t="s">
        <v>2635</v>
      </c>
      <c r="B32" s="1339">
        <f>'DistCharter-Data2223'!B57</f>
        <v>0</v>
      </c>
      <c r="C32" s="1339">
        <f>'DistCharter-Data2223'!C57</f>
        <v>0</v>
      </c>
      <c r="D32" s="1339">
        <f>'DistCharter-Data2223'!D57</f>
        <v>0</v>
      </c>
      <c r="E32" s="1339">
        <f>'DistCharter-Data2223'!E57</f>
        <v>0</v>
      </c>
      <c r="F32" s="1339">
        <f>'DistCharter-Data2223'!F57</f>
        <v>0</v>
      </c>
      <c r="G32" s="1339">
        <f>'DistCharter-Data2223'!G57</f>
        <v>0</v>
      </c>
      <c r="H32" s="1339">
        <f>'DistCharter-Data2223'!H57</f>
        <v>0</v>
      </c>
      <c r="I32" s="1339">
        <f>'DistCharter-Data2223'!I57</f>
        <v>0</v>
      </c>
    </row>
    <row r="33" spans="1:9" ht="15.5">
      <c r="A33" s="964" t="s">
        <v>7854</v>
      </c>
      <c r="B33" s="1670">
        <f>'DistCharter-Data2223'!B58</f>
        <v>0</v>
      </c>
      <c r="C33" s="1670">
        <f>'DistCharter-Data2223'!C58</f>
        <v>0</v>
      </c>
      <c r="D33" s="1670">
        <f>'DistCharter-Data2223'!D58</f>
        <v>0</v>
      </c>
      <c r="E33" s="1670">
        <f>'DistCharter-Data2223'!E58</f>
        <v>0</v>
      </c>
      <c r="F33" s="1670">
        <f>'DistCharter-Data2223'!F58</f>
        <v>0</v>
      </c>
      <c r="G33" s="1670">
        <f>'DistCharter-Data2223'!G58</f>
        <v>0</v>
      </c>
      <c r="H33" s="1670">
        <f>'DistCharter-Data2223'!H58</f>
        <v>0</v>
      </c>
      <c r="I33" s="1670">
        <f>'DistCharter-Data2223'!I58</f>
        <v>0</v>
      </c>
    </row>
    <row r="34" spans="1:9" ht="15.5">
      <c r="A34" s="964" t="s">
        <v>2639</v>
      </c>
      <c r="B34" s="1339">
        <f>'DistCharter-Data2223'!B59</f>
        <v>0</v>
      </c>
      <c r="C34" s="1339">
        <f>'DistCharter-Data2223'!C59</f>
        <v>0</v>
      </c>
      <c r="D34" s="1339">
        <f>'DistCharter-Data2223'!D59</f>
        <v>0</v>
      </c>
      <c r="E34" s="1339">
        <f>'DistCharter-Data2223'!E59</f>
        <v>0</v>
      </c>
      <c r="F34" s="1339">
        <f>'DistCharter-Data2223'!F59</f>
        <v>0</v>
      </c>
      <c r="G34" s="1339">
        <f>'DistCharter-Data2223'!G59</f>
        <v>0</v>
      </c>
      <c r="H34" s="1339">
        <f>'DistCharter-Data2223'!H59</f>
        <v>0</v>
      </c>
      <c r="I34" s="1339">
        <f>'DistCharter-Data2223'!I59</f>
        <v>0</v>
      </c>
    </row>
    <row r="35" spans="1:9" ht="15.5">
      <c r="A35" s="964" t="s">
        <v>7436</v>
      </c>
      <c r="B35" s="1670">
        <f>'DistCharter-Data2223'!B60</f>
        <v>0</v>
      </c>
      <c r="C35" s="1670">
        <f>'DistCharter-Data2223'!C60</f>
        <v>0</v>
      </c>
      <c r="D35" s="1670">
        <f>'DistCharter-Data2223'!D60</f>
        <v>0</v>
      </c>
      <c r="E35" s="1670">
        <f>'DistCharter-Data2223'!E60</f>
        <v>0</v>
      </c>
      <c r="F35" s="1670">
        <f>'DistCharter-Data2223'!F60</f>
        <v>0</v>
      </c>
      <c r="G35" s="1670">
        <f>'DistCharter-Data2223'!G60</f>
        <v>0</v>
      </c>
      <c r="H35" s="1670">
        <f>'DistCharter-Data2223'!H60</f>
        <v>0</v>
      </c>
      <c r="I35" s="1670">
        <f>'DistCharter-Data2223'!I60</f>
        <v>0</v>
      </c>
    </row>
    <row r="36" spans="1:9" ht="15.5">
      <c r="A36" s="964" t="s">
        <v>7363</v>
      </c>
      <c r="B36" s="1339">
        <f>'DistCharter-Data2223'!B61</f>
        <v>0</v>
      </c>
      <c r="C36" s="1339">
        <f>'DistCharter-Data2223'!C61</f>
        <v>0</v>
      </c>
      <c r="D36" s="1339">
        <f>'DistCharter-Data2223'!D61</f>
        <v>0</v>
      </c>
      <c r="E36" s="1339">
        <f>'DistCharter-Data2223'!E61</f>
        <v>0</v>
      </c>
      <c r="F36" s="1339">
        <f>'DistCharter-Data2223'!F61</f>
        <v>0</v>
      </c>
      <c r="G36" s="1339">
        <f>'DistCharter-Data2223'!G61</f>
        <v>0</v>
      </c>
      <c r="H36" s="1339">
        <f>'DistCharter-Data2223'!H61</f>
        <v>0</v>
      </c>
      <c r="I36" s="1339">
        <f>'DistCharter-Data2223'!I61</f>
        <v>0</v>
      </c>
    </row>
    <row r="37" spans="1:9" ht="15.5">
      <c r="A37" s="964" t="s">
        <v>7364</v>
      </c>
      <c r="B37" s="1339">
        <f>'DistCharter-Data2223'!B62</f>
        <v>0</v>
      </c>
      <c r="C37" s="1339">
        <f>'DistCharter-Data2223'!C62</f>
        <v>0</v>
      </c>
      <c r="D37" s="1339">
        <f>'DistCharter-Data2223'!D62</f>
        <v>0</v>
      </c>
      <c r="E37" s="1339">
        <f>'DistCharter-Data2223'!E62</f>
        <v>0</v>
      </c>
      <c r="F37" s="1339">
        <f>'DistCharter-Data2223'!F62</f>
        <v>0</v>
      </c>
      <c r="G37" s="1339">
        <f>'DistCharter-Data2223'!G62</f>
        <v>0</v>
      </c>
      <c r="H37" s="1339">
        <f>'DistCharter-Data2223'!H62</f>
        <v>0</v>
      </c>
      <c r="I37" s="1339">
        <f>'DistCharter-Data2223'!I62</f>
        <v>0</v>
      </c>
    </row>
    <row r="38" spans="1:9" ht="15.5">
      <c r="A38" s="964" t="s">
        <v>2642</v>
      </c>
      <c r="B38" s="1339">
        <f>'DistCharter-Data2223'!B63</f>
        <v>0</v>
      </c>
      <c r="C38" s="1339">
        <f>'DistCharter-Data2223'!C63</f>
        <v>0</v>
      </c>
      <c r="D38" s="1339">
        <f>'DistCharter-Data2223'!D63</f>
        <v>0</v>
      </c>
      <c r="E38" s="1339">
        <f>'DistCharter-Data2223'!E63</f>
        <v>0</v>
      </c>
      <c r="F38" s="1339">
        <f>'DistCharter-Data2223'!F63</f>
        <v>0</v>
      </c>
      <c r="G38" s="1339">
        <f>'DistCharter-Data2223'!G63</f>
        <v>0</v>
      </c>
      <c r="H38" s="1339">
        <f>'DistCharter-Data2223'!H63</f>
        <v>0</v>
      </c>
      <c r="I38" s="1339">
        <f>'DistCharter-Data2223'!I63</f>
        <v>0</v>
      </c>
    </row>
    <row r="39" spans="1:9" ht="15.5">
      <c r="A39" s="964" t="s">
        <v>7365</v>
      </c>
      <c r="B39" s="1339">
        <f>'DistCharter-Data2223'!B64</f>
        <v>0</v>
      </c>
      <c r="C39" s="1339">
        <f>'DistCharter-Data2223'!C64</f>
        <v>0</v>
      </c>
      <c r="D39" s="1339">
        <f>'DistCharter-Data2223'!D64</f>
        <v>0</v>
      </c>
      <c r="E39" s="1339">
        <f>'DistCharter-Data2223'!E64</f>
        <v>0</v>
      </c>
      <c r="F39" s="1339">
        <f>'DistCharter-Data2223'!F64</f>
        <v>0</v>
      </c>
      <c r="G39" s="1339">
        <f>'DistCharter-Data2223'!G64</f>
        <v>0</v>
      </c>
      <c r="H39" s="1339">
        <f>'DistCharter-Data2223'!H64</f>
        <v>0</v>
      </c>
      <c r="I39" s="1339">
        <f>'DistCharter-Data2223'!I64</f>
        <v>0</v>
      </c>
    </row>
    <row r="40" spans="1:9" ht="15.5">
      <c r="A40" s="964" t="s">
        <v>7628</v>
      </c>
      <c r="B40" s="1670">
        <f>'DistCharter-Data2223'!B65</f>
        <v>0</v>
      </c>
      <c r="C40" s="1670">
        <f>'DistCharter-Data2223'!C65</f>
        <v>0</v>
      </c>
      <c r="D40" s="1670">
        <f>'DistCharter-Data2223'!D65</f>
        <v>0</v>
      </c>
      <c r="E40" s="1670">
        <f>'DistCharter-Data2223'!E65</f>
        <v>0</v>
      </c>
      <c r="F40" s="1670">
        <f>'DistCharter-Data2223'!F65</f>
        <v>0</v>
      </c>
      <c r="G40" s="1670">
        <f>'DistCharter-Data2223'!G65</f>
        <v>0</v>
      </c>
      <c r="H40" s="1670">
        <f>'DistCharter-Data2223'!H65</f>
        <v>0</v>
      </c>
      <c r="I40" s="1670">
        <f>'DistCharter-Data2223'!I65</f>
        <v>0</v>
      </c>
    </row>
    <row r="41" spans="1:9" ht="15.5">
      <c r="A41" s="970" t="s">
        <v>7371</v>
      </c>
      <c r="B41" s="1339">
        <f t="shared" ref="B41:I41" si="3">SUM(B32:B40)</f>
        <v>0</v>
      </c>
      <c r="C41" s="1339">
        <f t="shared" si="3"/>
        <v>0</v>
      </c>
      <c r="D41" s="1339">
        <f t="shared" si="3"/>
        <v>0</v>
      </c>
      <c r="E41" s="1339">
        <f t="shared" si="3"/>
        <v>0</v>
      </c>
      <c r="F41" s="1339">
        <f t="shared" si="3"/>
        <v>0</v>
      </c>
      <c r="G41" s="1339">
        <f t="shared" si="3"/>
        <v>0</v>
      </c>
      <c r="H41" s="1339">
        <f t="shared" si="3"/>
        <v>0</v>
      </c>
      <c r="I41" s="1339">
        <f t="shared" si="3"/>
        <v>0</v>
      </c>
    </row>
    <row r="43" spans="1:9" ht="13">
      <c r="A43" s="1338" t="s">
        <v>7384</v>
      </c>
      <c r="B43" s="43" t="s">
        <v>7367</v>
      </c>
      <c r="C43" s="43" t="s">
        <v>7367</v>
      </c>
      <c r="D43" s="43" t="s">
        <v>7367</v>
      </c>
      <c r="E43" s="43" t="s">
        <v>7367</v>
      </c>
      <c r="F43" s="43" t="s">
        <v>7367</v>
      </c>
      <c r="G43" s="43" t="s">
        <v>7367</v>
      </c>
      <c r="H43" s="43" t="s">
        <v>7367</v>
      </c>
      <c r="I43" s="43" t="s">
        <v>7367</v>
      </c>
    </row>
    <row r="44" spans="1:9" ht="13">
      <c r="B44" s="1336" t="s">
        <v>7358</v>
      </c>
      <c r="C44" s="1336" t="s">
        <v>7359</v>
      </c>
      <c r="D44" s="1336" t="s">
        <v>7360</v>
      </c>
      <c r="E44" s="1337" t="s">
        <v>7361</v>
      </c>
      <c r="F44" s="1337" t="s">
        <v>10695</v>
      </c>
      <c r="G44" s="1337" t="s">
        <v>10696</v>
      </c>
      <c r="H44" s="1337" t="s">
        <v>10697</v>
      </c>
      <c r="I44" s="1337" t="s">
        <v>10698</v>
      </c>
    </row>
    <row r="45" spans="1:9" ht="15.5">
      <c r="A45" s="969" t="s">
        <v>7393</v>
      </c>
      <c r="B45" s="1339">
        <f>'DistCharter-Data2223'!B83</f>
        <v>0</v>
      </c>
      <c r="C45" s="1339">
        <f>'DistCharter-Data2223'!C83</f>
        <v>0</v>
      </c>
      <c r="D45" s="1339">
        <f>'DistCharter-Data2223'!D83</f>
        <v>0</v>
      </c>
      <c r="E45" s="1339">
        <f>'DistCharter-Data2223'!E83</f>
        <v>0</v>
      </c>
      <c r="F45" s="1339">
        <f>'DistCharter-Data2223'!F83</f>
        <v>0</v>
      </c>
      <c r="G45" s="1339">
        <f>'DistCharter-Data2223'!G83</f>
        <v>0</v>
      </c>
      <c r="H45" s="1339">
        <f>'DistCharter-Data2223'!H83</f>
        <v>0</v>
      </c>
      <c r="I45" s="1339">
        <f>'DistCharter-Data2223'!I83</f>
        <v>0</v>
      </c>
    </row>
    <row r="46" spans="1:9" ht="15.5">
      <c r="A46" s="969" t="s">
        <v>7394</v>
      </c>
      <c r="B46" s="1339">
        <f>'DistCharter-Data2223'!B84</f>
        <v>0</v>
      </c>
      <c r="C46" s="1339">
        <f>'DistCharter-Data2223'!C84</f>
        <v>0</v>
      </c>
      <c r="D46" s="1339">
        <f>'DistCharter-Data2223'!D84</f>
        <v>0</v>
      </c>
      <c r="E46" s="1339">
        <f>'DistCharter-Data2223'!E84</f>
        <v>0</v>
      </c>
      <c r="F46" s="1339">
        <f>'DistCharter-Data2223'!F84</f>
        <v>0</v>
      </c>
      <c r="G46" s="1339">
        <f>'DistCharter-Data2223'!G84</f>
        <v>0</v>
      </c>
      <c r="H46" s="1339">
        <f>'DistCharter-Data2223'!H84</f>
        <v>0</v>
      </c>
      <c r="I46" s="1339">
        <f>'DistCharter-Data2223'!I84</f>
        <v>0</v>
      </c>
    </row>
    <row r="47" spans="1:9" ht="15.5">
      <c r="A47" s="970" t="s">
        <v>7372</v>
      </c>
      <c r="B47" s="1339">
        <f>SUM(B45:B46)</f>
        <v>0</v>
      </c>
      <c r="C47" s="1339">
        <f t="shared" ref="C47:E47" si="4">SUM(C45:C46)</f>
        <v>0</v>
      </c>
      <c r="D47" s="1339">
        <f t="shared" si="4"/>
        <v>0</v>
      </c>
      <c r="E47" s="1339">
        <f t="shared" si="4"/>
        <v>0</v>
      </c>
      <c r="F47" s="1339">
        <f t="shared" ref="F47:G47" si="5">SUM(F45:F46)</f>
        <v>0</v>
      </c>
      <c r="G47" s="1339">
        <f t="shared" si="5"/>
        <v>0</v>
      </c>
      <c r="H47" s="1339">
        <f t="shared" ref="H47:I47" si="6">SUM(H45:H46)</f>
        <v>0</v>
      </c>
      <c r="I47" s="1339">
        <f t="shared" si="6"/>
        <v>0</v>
      </c>
    </row>
    <row r="49" spans="1:10" ht="13">
      <c r="A49" s="1338" t="s">
        <v>7385</v>
      </c>
      <c r="B49" s="43" t="s">
        <v>7367</v>
      </c>
      <c r="C49" s="43" t="s">
        <v>7367</v>
      </c>
      <c r="D49" s="43" t="s">
        <v>7367</v>
      </c>
      <c r="E49" s="43" t="s">
        <v>7367</v>
      </c>
      <c r="F49" s="43" t="s">
        <v>7367</v>
      </c>
      <c r="G49" s="43" t="s">
        <v>7367</v>
      </c>
      <c r="H49" s="43" t="s">
        <v>7367</v>
      </c>
      <c r="I49" s="43" t="s">
        <v>7367</v>
      </c>
    </row>
    <row r="50" spans="1:10" ht="13">
      <c r="B50" s="1336" t="s">
        <v>7358</v>
      </c>
      <c r="C50" s="1336" t="s">
        <v>7359</v>
      </c>
      <c r="D50" s="1336" t="s">
        <v>7360</v>
      </c>
      <c r="E50" s="1337" t="s">
        <v>7361</v>
      </c>
      <c r="F50" s="1337" t="s">
        <v>10695</v>
      </c>
      <c r="G50" s="1337" t="s">
        <v>10696</v>
      </c>
      <c r="H50" s="1337" t="s">
        <v>10697</v>
      </c>
      <c r="I50" s="1337" t="s">
        <v>10698</v>
      </c>
    </row>
    <row r="51" spans="1:10" ht="15.5">
      <c r="A51" s="969" t="s">
        <v>7373</v>
      </c>
      <c r="B51" s="1339">
        <f>'DistCharter-Data2223'!B98</f>
        <v>0</v>
      </c>
      <c r="C51" s="1339">
        <f>'DistCharter-Data2223'!C98</f>
        <v>0</v>
      </c>
      <c r="D51" s="1339">
        <f>'DistCharter-Data2223'!D98</f>
        <v>0</v>
      </c>
      <c r="E51" s="1339">
        <f>'DistCharter-Data2223'!E98</f>
        <v>0</v>
      </c>
      <c r="F51" s="1339">
        <f>'DistCharter-Data2223'!F98</f>
        <v>0</v>
      </c>
      <c r="G51" s="1339">
        <f>'DistCharter-Data2223'!G98</f>
        <v>0</v>
      </c>
      <c r="H51" s="1339">
        <f>'DistCharter-Data2223'!H98</f>
        <v>0</v>
      </c>
      <c r="I51" s="1339">
        <f>'DistCharter-Data2223'!I98</f>
        <v>0</v>
      </c>
    </row>
    <row r="53" spans="1:10" ht="15.5">
      <c r="A53" s="1340" t="s">
        <v>7386</v>
      </c>
      <c r="B53" s="1663">
        <f>B41+B47+B51</f>
        <v>0</v>
      </c>
      <c r="C53" s="1663">
        <f t="shared" ref="C53:E53" si="7">C41+C47+C51</f>
        <v>0</v>
      </c>
      <c r="D53" s="1663">
        <f t="shared" si="7"/>
        <v>0</v>
      </c>
      <c r="E53" s="1663">
        <f t="shared" si="7"/>
        <v>0</v>
      </c>
      <c r="F53" s="1663">
        <f t="shared" ref="F53:G53" si="8">F41+F47+F51</f>
        <v>0</v>
      </c>
      <c r="G53" s="1663">
        <f t="shared" si="8"/>
        <v>0</v>
      </c>
      <c r="H53" s="1663">
        <f t="shared" ref="H53:I53" si="9">H41+H47+H51</f>
        <v>0</v>
      </c>
      <c r="I53" s="1663">
        <f t="shared" si="9"/>
        <v>0</v>
      </c>
    </row>
    <row r="54" spans="1:10" ht="15.5">
      <c r="J54" s="324" t="s">
        <v>5951</v>
      </c>
    </row>
    <row r="55" spans="1:10" ht="15">
      <c r="J55" s="971" t="s">
        <v>7376</v>
      </c>
    </row>
    <row r="56" spans="1:10" ht="15.5">
      <c r="A56" s="1341" t="s">
        <v>7375</v>
      </c>
      <c r="B56" s="1342"/>
      <c r="C56" s="1342"/>
      <c r="D56" s="1342"/>
      <c r="E56" s="980"/>
      <c r="F56" s="980"/>
      <c r="G56" s="980"/>
      <c r="H56" s="980"/>
      <c r="I56" s="980"/>
      <c r="J56" s="1342"/>
    </row>
    <row r="57" spans="1:10" ht="15.5">
      <c r="A57" s="1343" t="s">
        <v>12487</v>
      </c>
      <c r="B57" s="1664" t="e">
        <f t="shared" ref="B57:I57" si="10">IF(B26&gt;=B53,0,B53-B26)</f>
        <v>#DIV/0!</v>
      </c>
      <c r="C57" s="1664" t="e">
        <f t="shared" si="10"/>
        <v>#DIV/0!</v>
      </c>
      <c r="D57" s="1664" t="e">
        <f t="shared" si="10"/>
        <v>#DIV/0!</v>
      </c>
      <c r="E57" s="1664" t="e">
        <f t="shared" si="10"/>
        <v>#DIV/0!</v>
      </c>
      <c r="F57" s="1664" t="e">
        <f t="shared" si="10"/>
        <v>#DIV/0!</v>
      </c>
      <c r="G57" s="1664" t="e">
        <f t="shared" si="10"/>
        <v>#DIV/0!</v>
      </c>
      <c r="H57" s="1664" t="e">
        <f t="shared" si="10"/>
        <v>#DIV/0!</v>
      </c>
      <c r="I57" s="1664" t="e">
        <f t="shared" si="10"/>
        <v>#DIV/0!</v>
      </c>
      <c r="J57" s="2629" t="e">
        <f>SUM(B57:I57)</f>
        <v>#DIV/0!</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39997558519241921"/>
  </sheetPr>
  <dimension ref="A1:Q246"/>
  <sheetViews>
    <sheetView workbookViewId="0">
      <selection activeCell="B7" sqref="B7"/>
    </sheetView>
  </sheetViews>
  <sheetFormatPr defaultColWidth="8.7265625" defaultRowHeight="12.5"/>
  <cols>
    <col min="1" max="1" width="64.54296875" style="2042" customWidth="1"/>
    <col min="2" max="9" width="18.6328125" style="2042" customWidth="1"/>
    <col min="10" max="10" width="23.453125" style="2042" customWidth="1"/>
    <col min="11" max="13" width="15.54296875" style="2042" customWidth="1"/>
    <col min="14" max="17" width="15.6328125" style="2042" customWidth="1"/>
    <col min="18" max="16384" width="8.7265625" style="2042"/>
  </cols>
  <sheetData>
    <row r="1" spans="1:17" ht="15.5">
      <c r="A1" s="2040" t="s">
        <v>7390</v>
      </c>
    </row>
    <row r="2" spans="1:17" ht="15.5">
      <c r="A2" s="2040" t="s">
        <v>7666</v>
      </c>
    </row>
    <row r="3" spans="1:17" ht="15.5">
      <c r="A3" s="2040" t="s">
        <v>7388</v>
      </c>
    </row>
    <row r="4" spans="1:17" ht="15.5">
      <c r="A4" s="2040" t="s">
        <v>7389</v>
      </c>
    </row>
    <row r="5" spans="1:17" ht="15.5">
      <c r="A5" s="2040"/>
    </row>
    <row r="6" spans="1:17" ht="15.5">
      <c r="A6" s="2040" t="s">
        <v>10703</v>
      </c>
    </row>
    <row r="8" spans="1:17" ht="15.5">
      <c r="B8" s="990" t="s">
        <v>9430</v>
      </c>
      <c r="C8" s="982"/>
      <c r="D8" s="982"/>
      <c r="E8" s="983"/>
      <c r="F8" s="983"/>
      <c r="G8" s="983"/>
      <c r="H8" s="983"/>
      <c r="I8" s="983"/>
    </row>
    <row r="9" spans="1:17" ht="13">
      <c r="B9" s="960" t="s">
        <v>7362</v>
      </c>
      <c r="C9" s="960" t="s">
        <v>7362</v>
      </c>
      <c r="D9" s="960" t="s">
        <v>7362</v>
      </c>
      <c r="E9" s="961" t="s">
        <v>7362</v>
      </c>
      <c r="F9" s="961" t="s">
        <v>7362</v>
      </c>
      <c r="G9" s="961" t="s">
        <v>7362</v>
      </c>
      <c r="H9" s="961" t="s">
        <v>7362</v>
      </c>
      <c r="I9" s="961" t="s">
        <v>7362</v>
      </c>
    </row>
    <row r="10" spans="1:17" ht="13">
      <c r="B10" s="962" t="s">
        <v>7358</v>
      </c>
      <c r="C10" s="962" t="s">
        <v>7359</v>
      </c>
      <c r="D10" s="962" t="s">
        <v>7360</v>
      </c>
      <c r="E10" s="963" t="s">
        <v>7361</v>
      </c>
      <c r="F10" s="963" t="s">
        <v>10695</v>
      </c>
      <c r="G10" s="963" t="s">
        <v>10696</v>
      </c>
      <c r="H10" s="963" t="s">
        <v>10697</v>
      </c>
      <c r="I10" s="963" t="s">
        <v>10698</v>
      </c>
    </row>
    <row r="11" spans="1:17" ht="15.5">
      <c r="A11" s="32" t="s">
        <v>470</v>
      </c>
      <c r="B11" s="959">
        <v>0</v>
      </c>
      <c r="C11" s="959">
        <v>0</v>
      </c>
      <c r="D11" s="959">
        <v>0</v>
      </c>
      <c r="E11" s="959">
        <v>0</v>
      </c>
      <c r="F11" s="959">
        <v>0</v>
      </c>
      <c r="G11" s="959">
        <v>0</v>
      </c>
      <c r="H11" s="959">
        <v>0</v>
      </c>
      <c r="I11" s="959">
        <v>0</v>
      </c>
      <c r="J11" s="2042" t="s">
        <v>7397</v>
      </c>
    </row>
    <row r="12" spans="1:17" ht="13">
      <c r="A12" s="639" t="s">
        <v>505</v>
      </c>
      <c r="B12" s="612"/>
      <c r="C12" s="612"/>
      <c r="D12" s="612"/>
      <c r="E12" s="612"/>
      <c r="F12" s="612"/>
      <c r="G12" s="612"/>
      <c r="H12" s="612"/>
      <c r="I12" s="612"/>
      <c r="J12" s="41" t="s">
        <v>7396</v>
      </c>
      <c r="K12" s="41" t="s">
        <v>7399</v>
      </c>
      <c r="L12" s="41" t="s">
        <v>7400</v>
      </c>
      <c r="M12" s="41" t="s">
        <v>7401</v>
      </c>
      <c r="N12" s="41" t="s">
        <v>10699</v>
      </c>
      <c r="O12" s="41" t="s">
        <v>10700</v>
      </c>
      <c r="P12" s="41" t="s">
        <v>10701</v>
      </c>
      <c r="Q12" s="41" t="s">
        <v>10702</v>
      </c>
    </row>
    <row r="13" spans="1:17" ht="15.5">
      <c r="A13" s="32" t="s">
        <v>471</v>
      </c>
      <c r="B13" s="959">
        <v>0</v>
      </c>
      <c r="C13" s="959">
        <v>0</v>
      </c>
      <c r="D13" s="959">
        <v>0</v>
      </c>
      <c r="E13" s="959">
        <v>0</v>
      </c>
      <c r="F13" s="959">
        <v>0</v>
      </c>
      <c r="G13" s="959">
        <v>0</v>
      </c>
      <c r="H13" s="959">
        <v>0</v>
      </c>
      <c r="I13" s="959">
        <v>0</v>
      </c>
      <c r="J13" s="76">
        <f>B13*Weights!$O$10</f>
        <v>0</v>
      </c>
      <c r="K13" s="76">
        <f>C13*Weights!$O$10</f>
        <v>0</v>
      </c>
      <c r="L13" s="76">
        <f>D13*Weights!$O$10</f>
        <v>0</v>
      </c>
      <c r="M13" s="76">
        <f>E13*Weights!$O$10</f>
        <v>0</v>
      </c>
      <c r="N13" s="76">
        <f>F13*Weights!$O$10</f>
        <v>0</v>
      </c>
      <c r="O13" s="76">
        <f>G13*Weights!$O$10</f>
        <v>0</v>
      </c>
      <c r="P13" s="76">
        <f>H13*Weights!$O$10</f>
        <v>0</v>
      </c>
      <c r="Q13" s="76">
        <f>I13*Weights!$O$10</f>
        <v>0</v>
      </c>
    </row>
    <row r="14" spans="1:17" ht="15.5">
      <c r="A14" s="958" t="s">
        <v>472</v>
      </c>
      <c r="B14" s="959">
        <v>0</v>
      </c>
      <c r="C14" s="959">
        <v>0</v>
      </c>
      <c r="D14" s="959">
        <v>0</v>
      </c>
      <c r="E14" s="959">
        <v>0</v>
      </c>
      <c r="F14" s="959">
        <v>0</v>
      </c>
      <c r="G14" s="959">
        <v>0</v>
      </c>
      <c r="H14" s="959">
        <v>0</v>
      </c>
      <c r="I14" s="959">
        <v>0</v>
      </c>
      <c r="J14" s="76">
        <f>B14*Weights!$O$11</f>
        <v>0</v>
      </c>
      <c r="K14" s="76">
        <f>C14*Weights!$O$11</f>
        <v>0</v>
      </c>
      <c r="L14" s="76">
        <f>D14*Weights!$O$11</f>
        <v>0</v>
      </c>
      <c r="M14" s="76">
        <f>E14*Weights!$O$11</f>
        <v>0</v>
      </c>
      <c r="N14" s="76">
        <f>F14*Weights!$O$11</f>
        <v>0</v>
      </c>
      <c r="O14" s="76">
        <f>G14*Weights!$O$11</f>
        <v>0</v>
      </c>
      <c r="P14" s="76">
        <f>H14*Weights!$O$11</f>
        <v>0</v>
      </c>
      <c r="Q14" s="76">
        <f>I14*Weights!$O$11</f>
        <v>0</v>
      </c>
    </row>
    <row r="15" spans="1:17" ht="15.5">
      <c r="A15" s="32" t="s">
        <v>1603</v>
      </c>
      <c r="B15" s="959">
        <v>0</v>
      </c>
      <c r="C15" s="959">
        <v>0</v>
      </c>
      <c r="D15" s="959">
        <v>0</v>
      </c>
      <c r="E15" s="959">
        <v>0</v>
      </c>
      <c r="F15" s="959">
        <v>0</v>
      </c>
      <c r="G15" s="959">
        <v>0</v>
      </c>
      <c r="H15" s="959">
        <v>0</v>
      </c>
      <c r="I15" s="959">
        <v>0</v>
      </c>
      <c r="J15" s="76">
        <f>B15*Weights!$O$12</f>
        <v>0</v>
      </c>
      <c r="K15" s="76">
        <f>C15*Weights!$O$12</f>
        <v>0</v>
      </c>
      <c r="L15" s="76">
        <f>D15*Weights!$O$12</f>
        <v>0</v>
      </c>
      <c r="M15" s="76">
        <f>E15*Weights!$O$12</f>
        <v>0</v>
      </c>
      <c r="N15" s="76">
        <f>F15*Weights!$O$12</f>
        <v>0</v>
      </c>
      <c r="O15" s="76">
        <f>G15*Weights!$O$12</f>
        <v>0</v>
      </c>
      <c r="P15" s="76">
        <f>H15*Weights!$O$12</f>
        <v>0</v>
      </c>
      <c r="Q15" s="76">
        <f>I15*Weights!$O$12</f>
        <v>0</v>
      </c>
    </row>
    <row r="16" spans="1:17" ht="15.5">
      <c r="A16" s="32" t="s">
        <v>1604</v>
      </c>
      <c r="B16" s="959">
        <v>0</v>
      </c>
      <c r="C16" s="959">
        <v>0</v>
      </c>
      <c r="D16" s="959">
        <v>0</v>
      </c>
      <c r="E16" s="959">
        <v>0</v>
      </c>
      <c r="F16" s="959">
        <v>0</v>
      </c>
      <c r="G16" s="959">
        <v>0</v>
      </c>
      <c r="H16" s="959">
        <v>0</v>
      </c>
      <c r="I16" s="959">
        <v>0</v>
      </c>
      <c r="J16" s="76">
        <f>B16*Weights!$O$13</f>
        <v>0</v>
      </c>
      <c r="K16" s="76">
        <f>C16*Weights!$O$13</f>
        <v>0</v>
      </c>
      <c r="L16" s="76">
        <f>D16*Weights!$O$13</f>
        <v>0</v>
      </c>
      <c r="M16" s="76">
        <f>E16*Weights!$O$13</f>
        <v>0</v>
      </c>
      <c r="N16" s="76">
        <f>F16*Weights!$O$13</f>
        <v>0</v>
      </c>
      <c r="O16" s="76">
        <f>G16*Weights!$O$13</f>
        <v>0</v>
      </c>
      <c r="P16" s="76">
        <f>H16*Weights!$O$13</f>
        <v>0</v>
      </c>
      <c r="Q16" s="76">
        <f>I16*Weights!$O$13</f>
        <v>0</v>
      </c>
    </row>
    <row r="17" spans="1:17" ht="15.5">
      <c r="A17" s="32" t="s">
        <v>546</v>
      </c>
      <c r="B17" s="959">
        <v>0</v>
      </c>
      <c r="C17" s="959">
        <v>0</v>
      </c>
      <c r="D17" s="959">
        <v>0</v>
      </c>
      <c r="E17" s="959">
        <v>0</v>
      </c>
      <c r="F17" s="959">
        <v>0</v>
      </c>
      <c r="G17" s="959">
        <v>0</v>
      </c>
      <c r="H17" s="959">
        <v>0</v>
      </c>
      <c r="I17" s="959">
        <v>0</v>
      </c>
      <c r="J17" s="76">
        <f>B17*Weights!$O$14</f>
        <v>0</v>
      </c>
      <c r="K17" s="76">
        <f>C17*Weights!$O$14</f>
        <v>0</v>
      </c>
      <c r="L17" s="76">
        <f>D17*Weights!$O$14</f>
        <v>0</v>
      </c>
      <c r="M17" s="76">
        <f>E17*Weights!$O$14</f>
        <v>0</v>
      </c>
      <c r="N17" s="76">
        <f>F17*Weights!$O$14</f>
        <v>0</v>
      </c>
      <c r="O17" s="76">
        <f>G17*Weights!$O$14</f>
        <v>0</v>
      </c>
      <c r="P17" s="76">
        <f>H17*Weights!$O$14</f>
        <v>0</v>
      </c>
      <c r="Q17" s="76">
        <f>I17*Weights!$O$14</f>
        <v>0</v>
      </c>
    </row>
    <row r="18" spans="1:17" ht="15.5">
      <c r="A18" s="32" t="s">
        <v>1901</v>
      </c>
      <c r="B18" s="959">
        <v>0</v>
      </c>
      <c r="C18" s="959">
        <v>0</v>
      </c>
      <c r="D18" s="959">
        <v>0</v>
      </c>
      <c r="E18" s="959">
        <v>0</v>
      </c>
      <c r="F18" s="959">
        <v>0</v>
      </c>
      <c r="G18" s="959">
        <v>0</v>
      </c>
      <c r="H18" s="959">
        <v>0</v>
      </c>
      <c r="I18" s="959">
        <v>0</v>
      </c>
      <c r="J18" s="76">
        <f>B18*Weights!$O$15</f>
        <v>0</v>
      </c>
      <c r="K18" s="76">
        <f>C18*Weights!$O$15</f>
        <v>0</v>
      </c>
      <c r="L18" s="76">
        <f>D18*Weights!$O$15</f>
        <v>0</v>
      </c>
      <c r="M18" s="76">
        <f>E18*Weights!$O$15</f>
        <v>0</v>
      </c>
      <c r="N18" s="76">
        <f>F18*Weights!$O$15</f>
        <v>0</v>
      </c>
      <c r="O18" s="76">
        <f>G18*Weights!$O$15</f>
        <v>0</v>
      </c>
      <c r="P18" s="76">
        <f>H18*Weights!$O$15</f>
        <v>0</v>
      </c>
      <c r="Q18" s="76">
        <f>I18*Weights!$O$15</f>
        <v>0</v>
      </c>
    </row>
    <row r="19" spans="1:17" ht="15.5">
      <c r="A19" s="32" t="s">
        <v>1902</v>
      </c>
      <c r="B19" s="959">
        <v>0</v>
      </c>
      <c r="C19" s="959">
        <v>0</v>
      </c>
      <c r="D19" s="959">
        <v>0</v>
      </c>
      <c r="E19" s="959">
        <v>0</v>
      </c>
      <c r="F19" s="959">
        <v>0</v>
      </c>
      <c r="G19" s="959">
        <v>0</v>
      </c>
      <c r="H19" s="959">
        <v>0</v>
      </c>
      <c r="I19" s="959">
        <v>0</v>
      </c>
      <c r="J19" s="76">
        <f>B19*Weights!$O$16</f>
        <v>0</v>
      </c>
      <c r="K19" s="76">
        <f>C19*Weights!$O$16</f>
        <v>0</v>
      </c>
      <c r="L19" s="76">
        <f>D19*Weights!$O$16</f>
        <v>0</v>
      </c>
      <c r="M19" s="76">
        <f>E19*Weights!$O$16</f>
        <v>0</v>
      </c>
      <c r="N19" s="76">
        <f>F19*Weights!$O$16</f>
        <v>0</v>
      </c>
      <c r="O19" s="76">
        <f>G19*Weights!$O$16</f>
        <v>0</v>
      </c>
      <c r="P19" s="76">
        <f>H19*Weights!$O$16</f>
        <v>0</v>
      </c>
      <c r="Q19" s="76">
        <f>I19*Weights!$O$16</f>
        <v>0</v>
      </c>
    </row>
    <row r="20" spans="1:17" ht="15.5">
      <c r="A20" s="32" t="s">
        <v>473</v>
      </c>
      <c r="B20" s="959">
        <v>0</v>
      </c>
      <c r="C20" s="959">
        <v>0</v>
      </c>
      <c r="D20" s="959">
        <v>0</v>
      </c>
      <c r="E20" s="959">
        <v>0</v>
      </c>
      <c r="F20" s="959">
        <v>0</v>
      </c>
      <c r="G20" s="959">
        <v>0</v>
      </c>
      <c r="H20" s="959">
        <v>0</v>
      </c>
      <c r="I20" s="959">
        <v>0</v>
      </c>
      <c r="J20" s="967">
        <f t="shared" ref="J20:Q20" si="0">SUM(J13:J19)</f>
        <v>0</v>
      </c>
      <c r="K20" s="967">
        <f t="shared" si="0"/>
        <v>0</v>
      </c>
      <c r="L20" s="967">
        <f t="shared" si="0"/>
        <v>0</v>
      </c>
      <c r="M20" s="967">
        <f t="shared" si="0"/>
        <v>0</v>
      </c>
      <c r="N20" s="967">
        <f t="shared" si="0"/>
        <v>0</v>
      </c>
      <c r="O20" s="967">
        <f t="shared" si="0"/>
        <v>0</v>
      </c>
      <c r="P20" s="967">
        <f t="shared" si="0"/>
        <v>0</v>
      </c>
      <c r="Q20" s="967">
        <f t="shared" si="0"/>
        <v>0</v>
      </c>
    </row>
    <row r="21" spans="1:17" ht="15.5">
      <c r="A21" s="32" t="s">
        <v>502</v>
      </c>
      <c r="B21" s="959">
        <v>0</v>
      </c>
      <c r="C21" s="959">
        <v>0</v>
      </c>
      <c r="D21" s="959">
        <v>0</v>
      </c>
      <c r="E21" s="959">
        <v>0</v>
      </c>
      <c r="F21" s="959">
        <v>0</v>
      </c>
      <c r="G21" s="959">
        <v>0</v>
      </c>
      <c r="H21" s="959">
        <v>0</v>
      </c>
      <c r="I21" s="959">
        <v>0</v>
      </c>
    </row>
    <row r="22" spans="1:17" ht="15.5">
      <c r="A22" s="32" t="s">
        <v>503</v>
      </c>
      <c r="B22" s="959">
        <v>0</v>
      </c>
      <c r="C22" s="959">
        <v>0</v>
      </c>
      <c r="D22" s="959">
        <v>0</v>
      </c>
      <c r="E22" s="959">
        <v>0</v>
      </c>
      <c r="F22" s="959">
        <v>0</v>
      </c>
      <c r="G22" s="959">
        <v>0</v>
      </c>
      <c r="H22" s="959">
        <v>0</v>
      </c>
      <c r="I22" s="959">
        <v>0</v>
      </c>
    </row>
    <row r="23" spans="1:17" ht="15.5">
      <c r="A23" s="32" t="s">
        <v>504</v>
      </c>
      <c r="B23" s="959">
        <v>0</v>
      </c>
      <c r="C23" s="959">
        <v>0</v>
      </c>
      <c r="D23" s="959">
        <v>0</v>
      </c>
      <c r="E23" s="959">
        <v>0</v>
      </c>
      <c r="F23" s="959">
        <v>0</v>
      </c>
      <c r="G23" s="959">
        <v>0</v>
      </c>
      <c r="H23" s="959">
        <v>0</v>
      </c>
      <c r="I23" s="959">
        <v>0</v>
      </c>
    </row>
    <row r="24" spans="1:17" ht="15.5">
      <c r="A24" s="1656" t="s">
        <v>7435</v>
      </c>
      <c r="B24" s="959">
        <v>0</v>
      </c>
      <c r="C24" s="959">
        <v>0</v>
      </c>
      <c r="D24" s="959">
        <v>0</v>
      </c>
      <c r="E24" s="959">
        <v>0</v>
      </c>
      <c r="F24" s="959">
        <v>0</v>
      </c>
      <c r="G24" s="959">
        <v>0</v>
      </c>
      <c r="H24" s="959">
        <v>0</v>
      </c>
      <c r="I24" s="959">
        <v>0</v>
      </c>
    </row>
    <row r="25" spans="1:17" ht="15.5">
      <c r="A25" s="32" t="s">
        <v>9096</v>
      </c>
      <c r="B25" s="959">
        <v>0</v>
      </c>
      <c r="C25" s="959">
        <v>0</v>
      </c>
      <c r="D25" s="959">
        <v>0</v>
      </c>
      <c r="E25" s="959">
        <v>0</v>
      </c>
      <c r="F25" s="959">
        <v>0</v>
      </c>
      <c r="G25" s="959">
        <v>0</v>
      </c>
      <c r="H25" s="959">
        <v>0</v>
      </c>
      <c r="I25" s="959">
        <v>0</v>
      </c>
    </row>
    <row r="26" spans="1:17" ht="15.5">
      <c r="A26" s="32" t="s">
        <v>9097</v>
      </c>
      <c r="B26" s="959">
        <v>0</v>
      </c>
      <c r="C26" s="959">
        <v>0</v>
      </c>
      <c r="D26" s="959">
        <v>0</v>
      </c>
      <c r="E26" s="959">
        <v>0</v>
      </c>
      <c r="F26" s="959">
        <v>0</v>
      </c>
      <c r="G26" s="959">
        <v>0</v>
      </c>
      <c r="H26" s="959">
        <v>0</v>
      </c>
      <c r="I26" s="959">
        <v>0</v>
      </c>
    </row>
    <row r="27" spans="1:17" ht="15.5">
      <c r="A27" s="32" t="s">
        <v>9098</v>
      </c>
      <c r="B27" s="959">
        <v>0</v>
      </c>
      <c r="C27" s="959">
        <v>0</v>
      </c>
      <c r="D27" s="959">
        <v>0</v>
      </c>
      <c r="E27" s="959">
        <v>0</v>
      </c>
      <c r="F27" s="959">
        <v>0</v>
      </c>
      <c r="G27" s="959">
        <v>0</v>
      </c>
      <c r="H27" s="959">
        <v>0</v>
      </c>
      <c r="I27" s="959">
        <v>0</v>
      </c>
    </row>
    <row r="28" spans="1:17" ht="15.5">
      <c r="A28" s="958" t="s">
        <v>7855</v>
      </c>
      <c r="B28" s="959">
        <v>0</v>
      </c>
      <c r="C28" s="959">
        <v>0</v>
      </c>
      <c r="D28" s="959">
        <v>0</v>
      </c>
      <c r="E28" s="959">
        <v>0</v>
      </c>
      <c r="F28" s="959">
        <v>0</v>
      </c>
      <c r="G28" s="959">
        <v>0</v>
      </c>
      <c r="H28" s="959">
        <v>0</v>
      </c>
      <c r="I28" s="959">
        <v>0</v>
      </c>
    </row>
    <row r="29" spans="1:17" ht="15.5">
      <c r="A29" s="958" t="s">
        <v>7856</v>
      </c>
      <c r="B29" s="959">
        <v>0</v>
      </c>
      <c r="C29" s="959">
        <v>0</v>
      </c>
      <c r="D29" s="959">
        <v>0</v>
      </c>
      <c r="E29" s="959">
        <v>0</v>
      </c>
      <c r="F29" s="959">
        <v>0</v>
      </c>
      <c r="G29" s="959">
        <v>0</v>
      </c>
      <c r="H29" s="959">
        <v>0</v>
      </c>
      <c r="I29" s="959">
        <v>0</v>
      </c>
    </row>
    <row r="30" spans="1:17" ht="15.5">
      <c r="A30" s="958" t="s">
        <v>7857</v>
      </c>
      <c r="B30" s="959">
        <v>0</v>
      </c>
      <c r="C30" s="959">
        <v>0</v>
      </c>
      <c r="D30" s="959">
        <v>0</v>
      </c>
      <c r="E30" s="959">
        <v>0</v>
      </c>
      <c r="F30" s="959">
        <v>0</v>
      </c>
      <c r="G30" s="959">
        <v>0</v>
      </c>
      <c r="H30" s="959">
        <v>0</v>
      </c>
      <c r="I30" s="959">
        <v>0</v>
      </c>
    </row>
    <row r="31" spans="1:17" ht="15.5">
      <c r="A31" s="958" t="s">
        <v>7858</v>
      </c>
      <c r="B31" s="959">
        <v>0</v>
      </c>
      <c r="C31" s="959">
        <v>0</v>
      </c>
      <c r="D31" s="959">
        <v>0</v>
      </c>
      <c r="E31" s="959">
        <v>0</v>
      </c>
      <c r="F31" s="959">
        <v>0</v>
      </c>
      <c r="G31" s="959">
        <v>0</v>
      </c>
      <c r="H31" s="959">
        <v>0</v>
      </c>
      <c r="I31" s="959">
        <v>0</v>
      </c>
    </row>
    <row r="32" spans="1:17" ht="15.5">
      <c r="A32" s="958" t="s">
        <v>7859</v>
      </c>
      <c r="B32" s="959">
        <v>0</v>
      </c>
      <c r="C32" s="959">
        <v>0</v>
      </c>
      <c r="D32" s="959">
        <v>0</v>
      </c>
      <c r="E32" s="959">
        <v>0</v>
      </c>
      <c r="F32" s="959">
        <v>0</v>
      </c>
      <c r="G32" s="959">
        <v>0</v>
      </c>
      <c r="H32" s="959">
        <v>0</v>
      </c>
      <c r="I32" s="959">
        <v>0</v>
      </c>
    </row>
    <row r="33" spans="1:9" ht="15.5">
      <c r="A33" s="32" t="s">
        <v>506</v>
      </c>
      <c r="B33" s="959">
        <v>0</v>
      </c>
      <c r="C33" s="959">
        <v>0</v>
      </c>
      <c r="D33" s="959">
        <v>0</v>
      </c>
      <c r="E33" s="959">
        <v>0</v>
      </c>
      <c r="F33" s="959">
        <v>0</v>
      </c>
      <c r="G33" s="959">
        <v>0</v>
      </c>
      <c r="H33" s="959">
        <v>0</v>
      </c>
      <c r="I33" s="959">
        <v>0</v>
      </c>
    </row>
    <row r="34" spans="1:9" ht="15.5">
      <c r="A34" s="1669" t="s">
        <v>9095</v>
      </c>
      <c r="B34" s="959">
        <v>0</v>
      </c>
      <c r="C34" s="959">
        <v>0</v>
      </c>
      <c r="D34" s="959">
        <v>0</v>
      </c>
      <c r="E34" s="959">
        <v>0</v>
      </c>
      <c r="F34" s="959">
        <v>0</v>
      </c>
      <c r="G34" s="959">
        <v>0</v>
      </c>
      <c r="H34" s="959">
        <v>0</v>
      </c>
      <c r="I34" s="959">
        <v>0</v>
      </c>
    </row>
    <row r="35" spans="1:9" ht="15.5">
      <c r="A35" s="958" t="s">
        <v>7860</v>
      </c>
      <c r="B35" s="959">
        <v>0</v>
      </c>
      <c r="C35" s="959">
        <v>0</v>
      </c>
      <c r="D35" s="959">
        <v>0</v>
      </c>
      <c r="E35" s="959">
        <v>0</v>
      </c>
      <c r="F35" s="959">
        <v>0</v>
      </c>
      <c r="G35" s="959">
        <v>0</v>
      </c>
      <c r="H35" s="959">
        <v>0</v>
      </c>
      <c r="I35" s="959">
        <v>0</v>
      </c>
    </row>
    <row r="36" spans="1:9" ht="15.5">
      <c r="A36" s="958" t="s">
        <v>7861</v>
      </c>
      <c r="B36" s="959">
        <v>0</v>
      </c>
      <c r="C36" s="959">
        <v>0</v>
      </c>
      <c r="D36" s="959">
        <v>0</v>
      </c>
      <c r="E36" s="959">
        <v>0</v>
      </c>
      <c r="F36" s="959">
        <v>0</v>
      </c>
      <c r="G36" s="959">
        <v>0</v>
      </c>
      <c r="H36" s="959">
        <v>0</v>
      </c>
      <c r="I36" s="959">
        <v>0</v>
      </c>
    </row>
    <row r="37" spans="1:9" ht="15.5">
      <c r="A37" s="958" t="s">
        <v>7862</v>
      </c>
      <c r="B37" s="959">
        <v>0</v>
      </c>
      <c r="C37" s="959">
        <v>0</v>
      </c>
      <c r="D37" s="959">
        <v>0</v>
      </c>
      <c r="E37" s="959">
        <v>0</v>
      </c>
      <c r="F37" s="959">
        <v>0</v>
      </c>
      <c r="G37" s="959">
        <v>0</v>
      </c>
      <c r="H37" s="959">
        <v>0</v>
      </c>
      <c r="I37" s="959">
        <v>0</v>
      </c>
    </row>
    <row r="38" spans="1:9" ht="15.5">
      <c r="A38" s="958" t="s">
        <v>7629</v>
      </c>
      <c r="B38" s="959">
        <v>0</v>
      </c>
      <c r="C38" s="959">
        <f t="shared" ref="C38:I38" si="1">C11*0.05</f>
        <v>0</v>
      </c>
      <c r="D38" s="959">
        <f t="shared" si="1"/>
        <v>0</v>
      </c>
      <c r="E38" s="959">
        <f t="shared" si="1"/>
        <v>0</v>
      </c>
      <c r="F38" s="959">
        <f t="shared" si="1"/>
        <v>0</v>
      </c>
      <c r="G38" s="959">
        <f t="shared" si="1"/>
        <v>0</v>
      </c>
      <c r="H38" s="959">
        <f t="shared" si="1"/>
        <v>0</v>
      </c>
      <c r="I38" s="959">
        <f t="shared" si="1"/>
        <v>0</v>
      </c>
    </row>
    <row r="42" spans="1:9" ht="13">
      <c r="B42" s="1894" t="s">
        <v>7366</v>
      </c>
      <c r="C42" s="1894" t="s">
        <v>7366</v>
      </c>
      <c r="D42" s="1894" t="s">
        <v>7366</v>
      </c>
      <c r="E42" s="1894" t="s">
        <v>7366</v>
      </c>
      <c r="F42" s="1894" t="s">
        <v>7366</v>
      </c>
      <c r="G42" s="1894" t="s">
        <v>7366</v>
      </c>
      <c r="H42" s="1894" t="s">
        <v>7366</v>
      </c>
      <c r="I42" s="1894" t="s">
        <v>7366</v>
      </c>
    </row>
    <row r="43" spans="1:9" ht="15.5">
      <c r="A43" s="1657" t="s">
        <v>7377</v>
      </c>
      <c r="B43" s="965" t="s">
        <v>7358</v>
      </c>
      <c r="C43" s="965" t="s">
        <v>7359</v>
      </c>
      <c r="D43" s="965" t="s">
        <v>7360</v>
      </c>
      <c r="E43" s="966" t="s">
        <v>7361</v>
      </c>
      <c r="F43" s="966" t="s">
        <v>10695</v>
      </c>
      <c r="G43" s="966" t="s">
        <v>10696</v>
      </c>
      <c r="H43" s="966" t="s">
        <v>10697</v>
      </c>
      <c r="I43" s="966" t="s">
        <v>10698</v>
      </c>
    </row>
    <row r="44" spans="1:9" ht="15.5">
      <c r="A44" s="964" t="s">
        <v>2635</v>
      </c>
      <c r="B44" s="968" t="e">
        <f>B$71*Assumptions!$H$154</f>
        <v>#DIV/0!</v>
      </c>
      <c r="C44" s="968" t="e">
        <f>C$71*Assumptions!$H$154</f>
        <v>#DIV/0!</v>
      </c>
      <c r="D44" s="968" t="e">
        <f>D$71*Assumptions!$H$154</f>
        <v>#DIV/0!</v>
      </c>
      <c r="E44" s="968" t="e">
        <f>E$71*Assumptions!$H$154</f>
        <v>#DIV/0!</v>
      </c>
      <c r="F44" s="968" t="e">
        <f>F$71*Assumptions!$H$154</f>
        <v>#DIV/0!</v>
      </c>
      <c r="G44" s="968" t="e">
        <f>G$71*Assumptions!$H$154</f>
        <v>#DIV/0!</v>
      </c>
      <c r="H44" s="968" t="e">
        <f>H$71*Assumptions!$H$154</f>
        <v>#DIV/0!</v>
      </c>
      <c r="I44" s="968" t="e">
        <f>I$71*Assumptions!$H$154</f>
        <v>#DIV/0!</v>
      </c>
    </row>
    <row r="45" spans="1:9" ht="15.5">
      <c r="A45" s="964" t="s">
        <v>7854</v>
      </c>
      <c r="B45" s="1655" t="e">
        <f>'SOF2324-HB3'!$I$21*(B$71/'Calc Data'!$F$12)</f>
        <v>#DIV/0!</v>
      </c>
      <c r="C45" s="1655" t="e">
        <f>'SOF2324-HB3'!$I$21*(C$71/'Calc Data'!$F$12)</f>
        <v>#DIV/0!</v>
      </c>
      <c r="D45" s="1655" t="e">
        <f>'SOF2324-HB3'!$I$21*(D$71/'Calc Data'!$F$12)</f>
        <v>#DIV/0!</v>
      </c>
      <c r="E45" s="1655" t="e">
        <f>'SOF2324-HB3'!$I$21*(E$71/'Calc Data'!$F$12)</f>
        <v>#DIV/0!</v>
      </c>
      <c r="F45" s="1655" t="e">
        <f>'SOF2324-HB3'!$I$21*(F$71/'Calc Data'!$F$12)</f>
        <v>#DIV/0!</v>
      </c>
      <c r="G45" s="1655" t="e">
        <f>'SOF2324-HB3'!$I$21*(G$71/'Calc Data'!$F$12)</f>
        <v>#DIV/0!</v>
      </c>
      <c r="H45" s="1655" t="e">
        <f>'SOF2324-HB3'!$I$21*(H$71/'Calc Data'!$F$12)</f>
        <v>#DIV/0!</v>
      </c>
      <c r="I45" s="1655" t="e">
        <f>'SOF2324-HB3'!$I$21*(I$71/'Calc Data'!$F$12)</f>
        <v>#DIV/0!</v>
      </c>
    </row>
    <row r="46" spans="1:9" ht="15.5">
      <c r="A46" s="964" t="s">
        <v>2639</v>
      </c>
      <c r="B46" s="968" t="e">
        <f>(B$70*('Calc Data'!$F$96+Assumptions!$H$154))+(B$20*'Weights-HB3'!$K$14*('Calc Data'!$F$96+Assumptions!$H$154))+(B$21*'Weights-HB3'!$K$15*('Calc Data'!$F$96+Assumptions!$H$154))+(B$22*'Weights-HB3'!$K$16*('Calc Data'!$F$96+Assumptions!$H$154))+(B$23*'Weights-HB3'!$K$18*('Calc Data'!$F$96+Assumptions!$H$154))</f>
        <v>#DIV/0!</v>
      </c>
      <c r="C46" s="968" t="e">
        <f>(C$70*('Calc Data'!$F$96+Assumptions!$H$154))+(C$20*'Weights-HB3'!$K$14*('Calc Data'!$F$96+Assumptions!$H$154))+(C$21*'Weights-HB3'!$K$15*('Calc Data'!$F$96+Assumptions!$H$154))+(C$22*'Weights-HB3'!$K$16*('Calc Data'!$F$96+Assumptions!$H$154))+(C$23*'Weights-HB3'!$K$18*('Calc Data'!$F$96+Assumptions!$H$154))</f>
        <v>#DIV/0!</v>
      </c>
      <c r="D46" s="968" t="e">
        <f>(D$70*('Calc Data'!$F$96+Assumptions!$H$154))+(D$20*'Weights-HB3'!$K$14*('Calc Data'!$F$96+Assumptions!$H$154))+(D$21*'Weights-HB3'!$K$15*('Calc Data'!$F$96+Assumptions!$H$154))+(D$22*'Weights-HB3'!$K$16*('Calc Data'!$F$96+Assumptions!$H$154))+(D$23*'Weights-HB3'!$K$18*('Calc Data'!$F$96+Assumptions!$H$154))</f>
        <v>#DIV/0!</v>
      </c>
      <c r="E46" s="968" t="e">
        <f>(E$70*('Calc Data'!$F$96+Assumptions!$H$154))+(E$20*'Weights-HB3'!$K$14*('Calc Data'!$F$96+Assumptions!$H$154))+(E$21*'Weights-HB3'!$K$15*('Calc Data'!$F$96+Assumptions!$H$154))+(E$22*'Weights-HB3'!$K$16*('Calc Data'!$F$96+Assumptions!$H$154))+(E$23*'Weights-HB3'!$K$18*('Calc Data'!$F$96+Assumptions!$H$154))</f>
        <v>#DIV/0!</v>
      </c>
      <c r="F46" s="968" t="e">
        <f>(F$70*('Calc Data'!$F$96+Assumptions!$H$154))+(F$20*'Weights-HB3'!$K$14*('Calc Data'!$F$96+Assumptions!$H$154))+(F$21*'Weights-HB3'!$K$15*('Calc Data'!$F$96+Assumptions!$H$154))+(F$22*'Weights-HB3'!$K$16*('Calc Data'!$F$96+Assumptions!$H$154))+(F$23*'Weights-HB3'!$K$18*('Calc Data'!$F$96+Assumptions!$H$154))</f>
        <v>#DIV/0!</v>
      </c>
      <c r="G46" s="968" t="e">
        <f>(G$70*('Calc Data'!$F$96+Assumptions!$H$154))+(G$20*'Weights-HB3'!$K$14*('Calc Data'!$F$96+Assumptions!$H$154))+(G$21*'Weights-HB3'!$K$15*('Calc Data'!$F$96+Assumptions!$H$154))+(G$22*'Weights-HB3'!$K$16*('Calc Data'!$F$96+Assumptions!$H$154))+(G$23*'Weights-HB3'!$K$18*('Calc Data'!$F$96+Assumptions!$H$154))</f>
        <v>#DIV/0!</v>
      </c>
      <c r="H46" s="968" t="e">
        <f>(H$70*('Calc Data'!$F$96+Assumptions!$H$154))+(H$20*'Weights-HB3'!$K$14*('Calc Data'!$F$96+Assumptions!$H$154))+(H$21*'Weights-HB3'!$K$15*('Calc Data'!$F$96+Assumptions!$H$154))+(H$22*'Weights-HB3'!$K$16*('Calc Data'!$F$96+Assumptions!$H$154))+(H$23*'Weights-HB3'!$K$18*('Calc Data'!$F$96+Assumptions!$H$154))</f>
        <v>#DIV/0!</v>
      </c>
      <c r="I46" s="968" t="e">
        <f>(I$70*('Calc Data'!$F$96+Assumptions!$H$154))+(I$20*'Weights-HB3'!$K$14*('Calc Data'!$F$96+Assumptions!$H$154))+(I$21*'Weights-HB3'!$K$15*('Calc Data'!$F$96+Assumptions!$H$154))+(I$22*'Weights-HB3'!$K$16*('Calc Data'!$F$96+Assumptions!$H$154))+(I$23*'Weights-HB3'!$K$18*('Calc Data'!$F$96+Assumptions!$H$154))</f>
        <v>#DIV/0!</v>
      </c>
    </row>
    <row r="47" spans="1:9" ht="15.5">
      <c r="A47" s="964" t="s">
        <v>7436</v>
      </c>
      <c r="B47" s="1655" t="e">
        <f>B$24*'Weights-HB3'!$K$72*Assumptions!$H$154</f>
        <v>#DIV/0!</v>
      </c>
      <c r="C47" s="1655" t="e">
        <f>C$24*'Weights-HB3'!$K$72*Assumptions!$H$154</f>
        <v>#DIV/0!</v>
      </c>
      <c r="D47" s="1655" t="e">
        <f>D$24*'Weights-HB3'!$K$72*Assumptions!$H$154</f>
        <v>#DIV/0!</v>
      </c>
      <c r="E47" s="1655" t="e">
        <f>E$24*'Weights-HB3'!$K$72*Assumptions!$H$154</f>
        <v>#DIV/0!</v>
      </c>
      <c r="F47" s="1655" t="e">
        <f>F$24*'Weights-HB3'!$K$72*Assumptions!$H$154</f>
        <v>#DIV/0!</v>
      </c>
      <c r="G47" s="1655" t="e">
        <f>G$24*'Weights-HB3'!$K$72*Assumptions!$H$154</f>
        <v>#DIV/0!</v>
      </c>
      <c r="H47" s="1655" t="e">
        <f>H$24*'Weights-HB3'!$K$72*Assumptions!$H$154</f>
        <v>#DIV/0!</v>
      </c>
      <c r="I47" s="1655" t="e">
        <f>I$24*'Weights-HB3'!$K$72*Assumptions!$H$154</f>
        <v>#DIV/0!</v>
      </c>
    </row>
    <row r="48" spans="1:9" ht="15.5">
      <c r="A48" s="964" t="s">
        <v>7363</v>
      </c>
      <c r="B48" s="968" t="e">
        <f>(B$25*(Assumptions!$H$154+'Calc Data'!$F$96)*'Weights-HB3'!$K$21)+(B$26*(Assumptions!$H$154+'Calc Data'!$F$96)*'Weights-HB3'!$K$22)+(B$27*(Assumptions!$H$154+'Calc Data'!$F$96)*'Weights-HB3'!$K$23)</f>
        <v>#DIV/0!</v>
      </c>
      <c r="C48" s="968" t="e">
        <f>(C$25*(Assumptions!$H$154+'Calc Data'!$F$96)*'Weights-HB3'!$K$21)+(C$26*(Assumptions!$H$154+'Calc Data'!$F$96)*'Weights-HB3'!$K$22)+(C$27*(Assumptions!$H$154+'Calc Data'!$F$96)*'Weights-HB3'!$K$23)</f>
        <v>#DIV/0!</v>
      </c>
      <c r="D48" s="968" t="e">
        <f>(D$25*(Assumptions!$H$154+'Calc Data'!$F$96)*'Weights-HB3'!$K$21)+(D$26*(Assumptions!$H$154+'Calc Data'!$F$96)*'Weights-HB3'!$K$22)+(D$27*(Assumptions!$H$154+'Calc Data'!$F$96)*'Weights-HB3'!$K$23)</f>
        <v>#DIV/0!</v>
      </c>
      <c r="E48" s="968" t="e">
        <f>(E$25*(Assumptions!$H$154+'Calc Data'!$F$96)*'Weights-HB3'!$K$21)+(E$26*(Assumptions!$H$154+'Calc Data'!$F$96)*'Weights-HB3'!$K$22)+(E$27*(Assumptions!$H$154+'Calc Data'!$F$96)*'Weights-HB3'!$K$23)</f>
        <v>#DIV/0!</v>
      </c>
      <c r="F48" s="968" t="e">
        <f>(F$25*(Assumptions!$H$154+'Calc Data'!$F$96)*'Weights-HB3'!$K$21)+(F$26*(Assumptions!$H$154+'Calc Data'!$F$96)*'Weights-HB3'!$K$22)+(F$27*(Assumptions!$H$154+'Calc Data'!$F$96)*'Weights-HB3'!$K$23)</f>
        <v>#DIV/0!</v>
      </c>
      <c r="G48" s="968" t="e">
        <f>(G$25*(Assumptions!$H$154+'Calc Data'!$F$96)*'Weights-HB3'!$K$21)+(G$26*(Assumptions!$H$154+'Calc Data'!$F$96)*'Weights-HB3'!$K$22)+(G$27*(Assumptions!$H$154+'Calc Data'!$F$96)*'Weights-HB3'!$K$23)</f>
        <v>#DIV/0!</v>
      </c>
      <c r="H48" s="968" t="e">
        <f>(H$25*(Assumptions!$H$154+'Calc Data'!$F$96)*'Weights-HB3'!$K$21)+(H$26*(Assumptions!$H$154+'Calc Data'!$F$96)*'Weights-HB3'!$K$22)+(H$27*(Assumptions!$H$154+'Calc Data'!$F$96)*'Weights-HB3'!$K$23)</f>
        <v>#DIV/0!</v>
      </c>
      <c r="I48" s="968" t="e">
        <f>(I$25*(Assumptions!$H$154+'Calc Data'!$F$96)*'Weights-HB3'!$K$21)+(I$26*(Assumptions!$H$154+'Calc Data'!$F$96)*'Weights-HB3'!$K$22)+(I$27*(Assumptions!$H$154+'Calc Data'!$F$96)*'Weights-HB3'!$K$23)</f>
        <v>#DIV/0!</v>
      </c>
    </row>
    <row r="49" spans="1:10" ht="15.5">
      <c r="A49" s="964" t="s">
        <v>7364</v>
      </c>
      <c r="B49" s="968" t="e">
        <f>(B$28*Assumptions!$H$154*'Weights-HB3'!$K$36)+(B$29*Assumptions!$H$154*'Weights-HB3'!$K$37)+(B$30*Assumptions!$H$154*'Weights-HB3'!$K$38)+(B$31*Assumptions!$H$154*'Weights-HB3'!$K$39)+(B$32*Assumptions!$H$154*'Weights-HB3'!$K$40)+(B$33*Assumptions!$H$154*'Weights-HB3'!$K$43)</f>
        <v>#DIV/0!</v>
      </c>
      <c r="C49" s="968" t="e">
        <f>(C$28*Assumptions!$H$154*'Weights-HB3'!$K$36)+(C$29*Assumptions!$H$154*'Weights-HB3'!$K$37)+(C$30*Assumptions!$H$154*'Weights-HB3'!$K$38)+(C$31*Assumptions!$H$154*'Weights-HB3'!$K$39)+(C$32*Assumptions!$H$154*'Weights-HB3'!$K$40)+(C$33*Assumptions!$H$154*'Weights-HB3'!$K$43)</f>
        <v>#DIV/0!</v>
      </c>
      <c r="D49" s="968" t="e">
        <f>(D$28*Assumptions!$H$154*'Weights-HB3'!$K$36)+(D$29*Assumptions!$H$154*'Weights-HB3'!$K$37)+(D$30*Assumptions!$H$154*'Weights-HB3'!$K$38)+(D$31*Assumptions!$H$154*'Weights-HB3'!$K$39)+(D$32*Assumptions!$H$154*'Weights-HB3'!$K$40)+(D$33*Assumptions!$H$154*'Weights-HB3'!$K$43)</f>
        <v>#DIV/0!</v>
      </c>
      <c r="E49" s="968" t="e">
        <f>(E$28*Assumptions!$H$154*'Weights-HB3'!$K$36)+(E$29*Assumptions!$H$154*'Weights-HB3'!$K$37)+(E$30*Assumptions!$H$154*'Weights-HB3'!$K$38)+(E$31*Assumptions!$H$154*'Weights-HB3'!$K$39)+(E$32*Assumptions!$H$154*'Weights-HB3'!$K$40)+(E$33*Assumptions!$H$154*'Weights-HB3'!$K$43)</f>
        <v>#DIV/0!</v>
      </c>
      <c r="F49" s="968" t="e">
        <f>(F$28*Assumptions!$H$154*'Weights-HB3'!$K$36)+(F$29*Assumptions!$H$154*'Weights-HB3'!$K$37)+(F$30*Assumptions!$H$154*'Weights-HB3'!$K$38)+(F$31*Assumptions!$H$154*'Weights-HB3'!$K$39)+(F$32*Assumptions!$H$154*'Weights-HB3'!$K$40)+(F$33*Assumptions!$H$154*'Weights-HB3'!$K$43)</f>
        <v>#DIV/0!</v>
      </c>
      <c r="G49" s="968" t="e">
        <f>(G$28*Assumptions!$H$154*'Weights-HB3'!$K$36)+(G$29*Assumptions!$H$154*'Weights-HB3'!$K$37)+(G$30*Assumptions!$H$154*'Weights-HB3'!$K$38)+(G$31*Assumptions!$H$154*'Weights-HB3'!$K$39)+(G$32*Assumptions!$H$154*'Weights-HB3'!$K$40)+(G$33*Assumptions!$H$154*'Weights-HB3'!$K$43)</f>
        <v>#DIV/0!</v>
      </c>
      <c r="H49" s="968" t="e">
        <f>(H$28*Assumptions!$H$154*'Weights-HB3'!$K$36)+(H$29*Assumptions!$H$154*'Weights-HB3'!$K$37)+(H$30*Assumptions!$H$154*'Weights-HB3'!$K$38)+(H$31*Assumptions!$H$154*'Weights-HB3'!$K$39)+(H$32*Assumptions!$H$154*'Weights-HB3'!$K$40)+(H$33*Assumptions!$H$154*'Weights-HB3'!$K$43)</f>
        <v>#DIV/0!</v>
      </c>
      <c r="I49" s="968" t="e">
        <f>(I$28*Assumptions!$H$154*'Weights-HB3'!$K$36)+(I$29*Assumptions!$H$154*'Weights-HB3'!$K$37)+(I$30*Assumptions!$H$154*'Weights-HB3'!$K$38)+(I$31*Assumptions!$H$154*'Weights-HB3'!$K$39)+(I$32*Assumptions!$H$154*'Weights-HB3'!$K$40)+(I$33*Assumptions!$H$154*'Weights-HB3'!$K$43)</f>
        <v>#DIV/0!</v>
      </c>
    </row>
    <row r="50" spans="1:10" ht="15.5">
      <c r="A50" s="964" t="s">
        <v>2642</v>
      </c>
      <c r="B50" s="968" t="e">
        <f>B$34*Assumptions!$H$154*'Weights-HB3'!$K$31</f>
        <v>#DIV/0!</v>
      </c>
      <c r="C50" s="968" t="e">
        <f>C$34*Assumptions!$H$154*'Weights-HB3'!$K$31</f>
        <v>#DIV/0!</v>
      </c>
      <c r="D50" s="968" t="e">
        <f>D$34*Assumptions!$H$154*'Weights-HB3'!$K$31</f>
        <v>#DIV/0!</v>
      </c>
      <c r="E50" s="968" t="e">
        <f>E$34*Assumptions!$H$154*'Weights-HB3'!$K$31</f>
        <v>#DIV/0!</v>
      </c>
      <c r="F50" s="968" t="e">
        <f>F$34*Assumptions!$H$154*'Weights-HB3'!$K$31</f>
        <v>#DIV/0!</v>
      </c>
      <c r="G50" s="968" t="e">
        <f>G$34*Assumptions!$H$154*'Weights-HB3'!$K$31</f>
        <v>#DIV/0!</v>
      </c>
      <c r="H50" s="968" t="e">
        <f>H$34*Assumptions!$H$154*'Weights-HB3'!$K$31</f>
        <v>#DIV/0!</v>
      </c>
      <c r="I50" s="968" t="e">
        <f>I$34*Assumptions!$H$154*'Weights-HB3'!$K$31</f>
        <v>#DIV/0!</v>
      </c>
    </row>
    <row r="51" spans="1:10" ht="15.5">
      <c r="A51" s="964" t="s">
        <v>7365</v>
      </c>
      <c r="B51" s="968" t="e">
        <f>(B$35*Assumptions!$H$154*'Weights-HB3'!$K$26)+(B$36*Assumptions!$H$154*'Weights-HB3'!$K$27)+(B$37*Assumptions!$H$154*'Weights-HB3'!$K$28)</f>
        <v>#DIV/0!</v>
      </c>
      <c r="C51" s="968" t="e">
        <f>(C$35*Assumptions!$H$154*'Weights-HB3'!$K$26)+(C$36*Assumptions!$H$154*'Weights-HB3'!$K$27)+(C$37*Assumptions!$H$154*'Weights-HB3'!$K$28)</f>
        <v>#DIV/0!</v>
      </c>
      <c r="D51" s="968" t="e">
        <f>(D$35*Assumptions!$H$154*'Weights-HB3'!$K$26)+(D$36*Assumptions!$H$154*'Weights-HB3'!$K$27)+(D$37*Assumptions!$H$154*'Weights-HB3'!$K$28)</f>
        <v>#DIV/0!</v>
      </c>
      <c r="E51" s="968" t="e">
        <f>(E$35*Assumptions!$H$154*'Weights-HB3'!$K$26)+(E$36*Assumptions!$H$154*'Weights-HB3'!$K$27)+(E$37*Assumptions!$H$154*'Weights-HB3'!$K$28)</f>
        <v>#DIV/0!</v>
      </c>
      <c r="F51" s="968" t="e">
        <f>(F$35*Assumptions!$H$154*'Weights-HB3'!$K$26)+(F$36*Assumptions!$H$154*'Weights-HB3'!$K$27)+(F$37*Assumptions!$H$154*'Weights-HB3'!$K$28)</f>
        <v>#DIV/0!</v>
      </c>
      <c r="G51" s="968" t="e">
        <f>(G$35*Assumptions!$H$154*'Weights-HB3'!$K$26)+(G$36*Assumptions!$H$154*'Weights-HB3'!$K$27)+(G$37*Assumptions!$H$154*'Weights-HB3'!$K$28)</f>
        <v>#DIV/0!</v>
      </c>
      <c r="H51" s="968" t="e">
        <f>(H$35*Assumptions!$H$154*'Weights-HB3'!$K$26)+(H$36*Assumptions!$H$154*'Weights-HB3'!$K$27)+(H$37*Assumptions!$H$154*'Weights-HB3'!$K$28)</f>
        <v>#DIV/0!</v>
      </c>
      <c r="I51" s="968" t="e">
        <f>(I$35*Assumptions!$H$154*'Weights-HB3'!$K$26)+(I$36*Assumptions!$H$154*'Weights-HB3'!$K$27)+(I$37*Assumptions!$H$154*'Weights-HB3'!$K$28)</f>
        <v>#DIV/0!</v>
      </c>
    </row>
    <row r="52" spans="1:10" ht="15.5">
      <c r="A52" s="964" t="s">
        <v>7628</v>
      </c>
      <c r="B52" s="968" t="e">
        <f>B$38*Assumptions!$H$154*'Weights-HB3'!$K$74</f>
        <v>#DIV/0!</v>
      </c>
      <c r="C52" s="968" t="e">
        <f>C$38*Assumptions!$H$154*'Weights-HB3'!$K$74</f>
        <v>#DIV/0!</v>
      </c>
      <c r="D52" s="968" t="e">
        <f>D$38*Assumptions!$H$154*'Weights-HB3'!$K$74</f>
        <v>#DIV/0!</v>
      </c>
      <c r="E52" s="968" t="e">
        <f>E$38*Assumptions!$H$154*'Weights-HB3'!$K$74</f>
        <v>#DIV/0!</v>
      </c>
      <c r="F52" s="968" t="e">
        <f>F$38*Assumptions!$H$154*'Weights-HB3'!$K$74</f>
        <v>#DIV/0!</v>
      </c>
      <c r="G52" s="968" t="e">
        <f>G$38*Assumptions!$H$154*'Weights-HB3'!$K$74</f>
        <v>#DIV/0!</v>
      </c>
      <c r="H52" s="968" t="e">
        <f>H$38*Assumptions!$H$154*'Weights-HB3'!$K$74</f>
        <v>#DIV/0!</v>
      </c>
      <c r="I52" s="968" t="e">
        <f>I$38*Assumptions!$H$154*'Weights-HB3'!$K$74</f>
        <v>#DIV/0!</v>
      </c>
    </row>
    <row r="53" spans="1:10" ht="15.5">
      <c r="A53" s="964" t="s">
        <v>2312</v>
      </c>
      <c r="B53" s="968" t="e">
        <f t="shared" ref="B53:I53" si="2">SUM(B44:B52)</f>
        <v>#DIV/0!</v>
      </c>
      <c r="C53" s="968" t="e">
        <f t="shared" si="2"/>
        <v>#DIV/0!</v>
      </c>
      <c r="D53" s="968" t="e">
        <f t="shared" si="2"/>
        <v>#DIV/0!</v>
      </c>
      <c r="E53" s="968" t="e">
        <f t="shared" si="2"/>
        <v>#DIV/0!</v>
      </c>
      <c r="F53" s="968" t="e">
        <f t="shared" si="2"/>
        <v>#DIV/0!</v>
      </c>
      <c r="G53" s="968" t="e">
        <f t="shared" si="2"/>
        <v>#DIV/0!</v>
      </c>
      <c r="H53" s="968" t="e">
        <f t="shared" si="2"/>
        <v>#DIV/0!</v>
      </c>
      <c r="I53" s="968" t="e">
        <f t="shared" si="2"/>
        <v>#DIV/0!</v>
      </c>
    </row>
    <row r="55" spans="1:10" ht="15.5">
      <c r="B55" s="1894" t="s">
        <v>7367</v>
      </c>
      <c r="C55" s="1894" t="s">
        <v>7367</v>
      </c>
      <c r="D55" s="1894" t="s">
        <v>7367</v>
      </c>
      <c r="E55" s="1894" t="s">
        <v>7367</v>
      </c>
      <c r="F55" s="1894" t="s">
        <v>7367</v>
      </c>
      <c r="G55" s="1894" t="s">
        <v>7367</v>
      </c>
      <c r="H55" s="1894" t="s">
        <v>7367</v>
      </c>
      <c r="I55" s="1894" t="s">
        <v>7367</v>
      </c>
      <c r="J55" s="259" t="s">
        <v>7398</v>
      </c>
    </row>
    <row r="56" spans="1:10" ht="13">
      <c r="B56" s="965" t="s">
        <v>7358</v>
      </c>
      <c r="C56" s="965" t="s">
        <v>7359</v>
      </c>
      <c r="D56" s="965" t="s">
        <v>7360</v>
      </c>
      <c r="E56" s="966" t="s">
        <v>7361</v>
      </c>
      <c r="F56" s="966" t="s">
        <v>10695</v>
      </c>
      <c r="G56" s="966" t="s">
        <v>10696</v>
      </c>
      <c r="H56" s="966" t="s">
        <v>10697</v>
      </c>
      <c r="I56" s="966" t="s">
        <v>10698</v>
      </c>
      <c r="J56" s="986" t="s">
        <v>7853</v>
      </c>
    </row>
    <row r="57" spans="1:10" ht="15.5">
      <c r="A57" s="964" t="s">
        <v>2635</v>
      </c>
      <c r="B57" s="968">
        <f t="shared" ref="B57:I57" si="3">B$71*$J$57</f>
        <v>0</v>
      </c>
      <c r="C57" s="968">
        <f t="shared" si="3"/>
        <v>0</v>
      </c>
      <c r="D57" s="968">
        <f t="shared" si="3"/>
        <v>0</v>
      </c>
      <c r="E57" s="968">
        <f t="shared" si="3"/>
        <v>0</v>
      </c>
      <c r="F57" s="968">
        <f t="shared" si="3"/>
        <v>0</v>
      </c>
      <c r="G57" s="968">
        <f t="shared" si="3"/>
        <v>0</v>
      </c>
      <c r="H57" s="968">
        <f t="shared" si="3"/>
        <v>0</v>
      </c>
      <c r="I57" s="968">
        <f t="shared" si="3"/>
        <v>0</v>
      </c>
      <c r="J57" s="994">
        <f>'DistCharter-Data2223'!J57</f>
        <v>6160</v>
      </c>
    </row>
    <row r="58" spans="1:10" ht="15.5">
      <c r="A58" s="964" t="s">
        <v>7854</v>
      </c>
      <c r="B58" s="1655">
        <f t="shared" ref="B58:I58" si="4">$J$59*B$71</f>
        <v>0</v>
      </c>
      <c r="C58" s="1655">
        <f t="shared" si="4"/>
        <v>0</v>
      </c>
      <c r="D58" s="1655">
        <f t="shared" si="4"/>
        <v>0</v>
      </c>
      <c r="E58" s="1655">
        <f t="shared" si="4"/>
        <v>0</v>
      </c>
      <c r="F58" s="1655">
        <f t="shared" si="4"/>
        <v>0</v>
      </c>
      <c r="G58" s="1655">
        <f t="shared" si="4"/>
        <v>0</v>
      </c>
      <c r="H58" s="1655">
        <f t="shared" si="4"/>
        <v>0</v>
      </c>
      <c r="I58" s="1655">
        <f t="shared" si="4"/>
        <v>0</v>
      </c>
      <c r="J58" s="986" t="s">
        <v>7863</v>
      </c>
    </row>
    <row r="59" spans="1:10" ht="15.5">
      <c r="A59" s="964" t="s">
        <v>2639</v>
      </c>
      <c r="B59" s="968">
        <f>(B$70*$J$57)+(B$20*'Weights-HB3'!$K$14*$J$57+(B$21*'Weights-HB3'!$K$15*$J$57)+(B$22*'Weights-HB3'!$K$16*$J$57)+(B$23*'Weights-HB3'!$K$18*$J$57))</f>
        <v>0</v>
      </c>
      <c r="C59" s="968">
        <f>(C$70*$J$57)+(C$20*'Weights-HB3'!$K$14*$J$57+(C$21*'Weights-HB3'!$K$15*$J$57)+(C$22*'Weights-HB3'!$K$16*$J$57)+(C$23*'Weights-HB3'!$K$18*$J$57))</f>
        <v>0</v>
      </c>
      <c r="D59" s="968">
        <f>(D$70*$J$57)+(D$20*'Weights-HB3'!$K$14*$J$57+(D$21*'Weights-HB3'!$K$15*$J$57)+(D$22*'Weights-HB3'!$K$16*$J$57)+(D$23*'Weights-HB3'!$K$18*$J$57))</f>
        <v>0</v>
      </c>
      <c r="E59" s="968">
        <f>(E$70*$J$57)+(E$20*'Weights-HB3'!$K$14*$J$57+(E$21*'Weights-HB3'!$K$15*$J$57)+(E$22*'Weights-HB3'!$K$16*$J$57)+(E$23*'Weights-HB3'!$K$18*$J$57))</f>
        <v>0</v>
      </c>
      <c r="F59" s="968">
        <f>(F$70*$J$57)+(F$20*'Weights-HB3'!$K$14*$J$57+(F$21*'Weights-HB3'!$K$15*$J$57)+(F$22*'Weights-HB3'!$K$16*$J$57)+(F$23*'Weights-HB3'!$K$18*$J$57))</f>
        <v>0</v>
      </c>
      <c r="G59" s="968">
        <f>(G$70*$J$57)+(G$20*'Weights-HB3'!$K$14*$J$57+(G$21*'Weights-HB3'!$K$15*$J$57)+(G$22*'Weights-HB3'!$K$16*$J$57)+(G$23*'Weights-HB3'!$K$18*$J$57))</f>
        <v>0</v>
      </c>
      <c r="H59" s="968">
        <f>(H$70*$J$57)+(H$20*'Weights-HB3'!$K$14*$J$57+(H$21*'Weights-HB3'!$K$15*$J$57)+(H$22*'Weights-HB3'!$K$16*$J$57)+(H$23*'Weights-HB3'!$K$18*$J$57))</f>
        <v>0</v>
      </c>
      <c r="I59" s="968">
        <f>(I$70*$J$57)+(I$20*'Weights-HB3'!$K$14*$J$57+(I$21*'Weights-HB3'!$K$15*$J$57)+(I$22*'Weights-HB3'!$K$16*$J$57)+(I$23*'Weights-HB3'!$K$18*$J$57))</f>
        <v>0</v>
      </c>
      <c r="J59" s="994">
        <f>'DistCharter-Data2223'!J59</f>
        <v>1103</v>
      </c>
    </row>
    <row r="60" spans="1:10" ht="15.5">
      <c r="A60" s="964" t="s">
        <v>7436</v>
      </c>
      <c r="B60" s="1655">
        <f>B$24*'Weights-HB3'!$K$72*$J$57</f>
        <v>0</v>
      </c>
      <c r="C60" s="1655">
        <f>C$24*'Weights-HB3'!$K$72*$J$57</f>
        <v>0</v>
      </c>
      <c r="D60" s="1655">
        <f>D$24*'Weights-HB3'!$K$72*$J$57</f>
        <v>0</v>
      </c>
      <c r="E60" s="1655">
        <f>E$24*'Weights-HB3'!$K$72*$J$57</f>
        <v>0</v>
      </c>
      <c r="F60" s="1655">
        <f>F$24*'Weights-HB3'!$K$72*$J$57</f>
        <v>0</v>
      </c>
      <c r="G60" s="1655">
        <f>G$24*'Weights-HB3'!$K$72*$J$57</f>
        <v>0</v>
      </c>
      <c r="H60" s="1655">
        <f>H$24*'Weights-HB3'!$K$72*$J$57</f>
        <v>0</v>
      </c>
      <c r="I60" s="1655">
        <f>I$24*'Weights-HB3'!$K$72*$J$57</f>
        <v>0</v>
      </c>
      <c r="J60" s="2043">
        <f>J57+J59</f>
        <v>7263</v>
      </c>
    </row>
    <row r="61" spans="1:10" ht="15.5">
      <c r="A61" s="964" t="s">
        <v>7363</v>
      </c>
      <c r="B61" s="968">
        <f>(B$25*'Weights-HB3'!$K$21*$J$60)+(B$26*'Weights-HB3'!$K$22*$J$60)+(B$27*'Weights-HB3'!$K$23*$J$60)</f>
        <v>0</v>
      </c>
      <c r="C61" s="968">
        <f>(C$25*'Weights-HB3'!$K$21*$J$60)+(C$26*'Weights-HB3'!$K$22*$J$60)+(C$27*'Weights-HB3'!$K$23*$J$60)</f>
        <v>0</v>
      </c>
      <c r="D61" s="968">
        <f>(D$25*'Weights-HB3'!$K$21*$J$60)+(D$26*'Weights-HB3'!$K$22*$J$60)+(D$27*'Weights-HB3'!$K$23*$J$60)</f>
        <v>0</v>
      </c>
      <c r="E61" s="968">
        <f>(E$25*'Weights-HB3'!$K$21*$J$60)+(E$26*'Weights-HB3'!$K$22*$J$60)+(E$27*'Weights-HB3'!$K$23*$J$60)</f>
        <v>0</v>
      </c>
      <c r="F61" s="968">
        <f>(F$25*'Weights-HB3'!$K$21*$J$60)+(F$26*'Weights-HB3'!$K$22*$J$60)+(F$27*'Weights-HB3'!$K$23*$J$60)</f>
        <v>0</v>
      </c>
      <c r="G61" s="968">
        <f>(G$25*'Weights-HB3'!$K$21*$J$60)+(G$26*'Weights-HB3'!$K$22*$J$60)+(G$27*'Weights-HB3'!$K$23*$J$60)</f>
        <v>0</v>
      </c>
      <c r="H61" s="968">
        <f>(H$25*'Weights-HB3'!$K$21*$J$60)+(H$26*'Weights-HB3'!$K$22*$J$60)+(H$27*'Weights-HB3'!$K$23*$J$60)</f>
        <v>0</v>
      </c>
      <c r="I61" s="968">
        <f>(I$25*'Weights-HB3'!$K$21*$J$60)+(I$26*'Weights-HB3'!$K$22*$J$60)+(I$27*'Weights-HB3'!$K$23*$J$60)</f>
        <v>0</v>
      </c>
    </row>
    <row r="62" spans="1:10" ht="15.5">
      <c r="A62" s="964" t="s">
        <v>7364</v>
      </c>
      <c r="B62" s="968">
        <f>(B$28*$J$57*'Weights-HB3'!$K$36)+(B$29*$J$57*'Weights-HB3'!$K$37)+(B$30*$J$57*'Weights-HB3'!$K$38)+(B$31*$J$57*'Weights-HB3'!$K$39)+(B$32*$J$57*'Weights-HB3'!$K$40)+(B$33*$J$57*'Weights-HB3'!$K$43)</f>
        <v>0</v>
      </c>
      <c r="C62" s="968">
        <f>(C$28*$J$57*'Weights-HB3'!$K$36)+(C$29*$J$57*'Weights-HB3'!$K$37)+(C$30*$J$57*'Weights-HB3'!$K$38)+(C$31*$J$57*'Weights-HB3'!$K$39)+(C$32*$J$57*'Weights-HB3'!$K$40)+(C$33*$J$57*'Weights-HB3'!$K$43)</f>
        <v>0</v>
      </c>
      <c r="D62" s="968">
        <f>(D$28*$J$57*'Weights-HB3'!$K$36)+(D$29*$J$57*'Weights-HB3'!$K$37)+(D$30*$J$57*'Weights-HB3'!$K$38)+(D$31*$J$57*'Weights-HB3'!$K$39)+(D$32*$J$57*'Weights-HB3'!$K$40)+(D$33*$J$57*'Weights-HB3'!$K$43)</f>
        <v>0</v>
      </c>
      <c r="E62" s="968">
        <f>(E$28*$J$57*'Weights-HB3'!$K$36)+(E$29*$J$57*'Weights-HB3'!$K$37)+(E$30*$J$57*'Weights-HB3'!$K$38)+(E$31*$J$57*'Weights-HB3'!$K$39)+(E$32*$J$57*'Weights-HB3'!$K$40)+(E$33*$J$57*'Weights-HB3'!$K$43)</f>
        <v>0</v>
      </c>
      <c r="F62" s="968">
        <f>(F$28*$J$57*'Weights-HB3'!$K$36)+(F$29*$J$57*'Weights-HB3'!$K$37)+(F$30*$J$57*'Weights-HB3'!$K$38)+(F$31*$J$57*'Weights-HB3'!$K$39)+(F$32*$J$57*'Weights-HB3'!$K$40)+(F$33*$J$57*'Weights-HB3'!$K$43)</f>
        <v>0</v>
      </c>
      <c r="G62" s="968">
        <f>(G$28*$J$57*'Weights-HB3'!$K$36)+(G$29*$J$57*'Weights-HB3'!$K$37)+(G$30*$J$57*'Weights-HB3'!$K$38)+(G$31*$J$57*'Weights-HB3'!$K$39)+(G$32*$J$57*'Weights-HB3'!$K$40)+(G$33*$J$57*'Weights-HB3'!$K$43)</f>
        <v>0</v>
      </c>
      <c r="H62" s="968">
        <f>(H$28*$J$57*'Weights-HB3'!$K$36)+(H$29*$J$57*'Weights-HB3'!$K$37)+(H$30*$J$57*'Weights-HB3'!$K$38)+(H$31*$J$57*'Weights-HB3'!$K$39)+(H$32*$J$57*'Weights-HB3'!$K$40)+(H$33*$J$57*'Weights-HB3'!$K$43)</f>
        <v>0</v>
      </c>
      <c r="I62" s="968">
        <f>(I$28*$J$57*'Weights-HB3'!$K$36)+(I$29*$J$57*'Weights-HB3'!$K$37)+(I$30*$J$57*'Weights-HB3'!$K$38)+(I$31*$J$57*'Weights-HB3'!$K$39)+(I$32*$J$57*'Weights-HB3'!$K$40)+(I$33*$J$57*'Weights-HB3'!$K$43)</f>
        <v>0</v>
      </c>
    </row>
    <row r="63" spans="1:10" ht="15.5">
      <c r="A63" s="964" t="s">
        <v>2642</v>
      </c>
      <c r="B63" s="968">
        <f>B$34*$J$57*'Weights-HB3'!$K$31</f>
        <v>0</v>
      </c>
      <c r="C63" s="968">
        <f>C$34*$J$57*'Weights-HB3'!$K$31</f>
        <v>0</v>
      </c>
      <c r="D63" s="968">
        <f>D$34*$J$57*'Weights-HB3'!$K$31</f>
        <v>0</v>
      </c>
      <c r="E63" s="968">
        <f>E$34*$J$57*'Weights-HB3'!$K$31</f>
        <v>0</v>
      </c>
      <c r="F63" s="968">
        <f>F$34*$J$57*'Weights-HB3'!$K$31</f>
        <v>0</v>
      </c>
      <c r="G63" s="968">
        <f>G$34*$J$57*'Weights-HB3'!$K$31</f>
        <v>0</v>
      </c>
      <c r="H63" s="968">
        <f>H$34*$J$57*'Weights-HB3'!$K$31</f>
        <v>0</v>
      </c>
      <c r="I63" s="968">
        <f>I$34*$J$57*'Weights-HB3'!$K$31</f>
        <v>0</v>
      </c>
    </row>
    <row r="64" spans="1:10" ht="15.5">
      <c r="A64" s="964" t="s">
        <v>7365</v>
      </c>
      <c r="B64" s="968">
        <f>(B$35*$J$57*'Weights-HB3'!$K$26)+(B$36*$J$57*'Weights-HB3'!$K$27)+(B$37*$J$57*'Weights-HB3'!$K$28)</f>
        <v>0</v>
      </c>
      <c r="C64" s="968">
        <f>(C$35*$J$57*'Weights-HB3'!$K$26)+(C$36*$J$57*'Weights-HB3'!$K$27)+(C$37*$J$57*'Weights-HB3'!$K$28)</f>
        <v>0</v>
      </c>
      <c r="D64" s="968">
        <f>(D$35*$J$57*'Weights-HB3'!$K$26)+(D$36*$J$57*'Weights-HB3'!$K$27)+(D$37*$J$57*'Weights-HB3'!$K$28)</f>
        <v>0</v>
      </c>
      <c r="E64" s="968">
        <f>(E$35*$J$57*'Weights-HB3'!$K$26)+(E$36*$J$57*'Weights-HB3'!$K$27)+(E$37*$J$57*'Weights-HB3'!$K$28)</f>
        <v>0</v>
      </c>
      <c r="F64" s="968">
        <f>(F$35*$J$57*'Weights-HB3'!$K$26)+(F$36*$J$57*'Weights-HB3'!$K$27)+(F$37*$J$57*'Weights-HB3'!$K$28)</f>
        <v>0</v>
      </c>
      <c r="G64" s="968">
        <f>(G$35*$J$57*'Weights-HB3'!$K$26)+(G$36*$J$57*'Weights-HB3'!$K$27)+(G$37*$J$57*'Weights-HB3'!$K$28)</f>
        <v>0</v>
      </c>
      <c r="H64" s="968">
        <f>(H$35*$J$57*'Weights-HB3'!$K$26)+(H$36*$J$57*'Weights-HB3'!$K$27)+(H$37*$J$57*'Weights-HB3'!$K$28)</f>
        <v>0</v>
      </c>
      <c r="I64" s="968">
        <f>(I$35*$J$57*'Weights-HB3'!$K$26)+(I$36*$J$57*'Weights-HB3'!$K$27)+(I$37*$J$57*'Weights-HB3'!$K$28)</f>
        <v>0</v>
      </c>
    </row>
    <row r="65" spans="1:9" ht="15.5">
      <c r="A65" s="964" t="s">
        <v>7628</v>
      </c>
      <c r="B65" s="968">
        <f>B$38*$J$57*'Weights-HB3'!$K$74</f>
        <v>0</v>
      </c>
      <c r="C65" s="968">
        <f>C$38*$J$57*'Weights-HB3'!$K$74</f>
        <v>0</v>
      </c>
      <c r="D65" s="968">
        <f>D$38*$J$57*'Weights-HB3'!$K$74</f>
        <v>0</v>
      </c>
      <c r="E65" s="968">
        <f>E$38*$J$57*'Weights-HB3'!$K$74</f>
        <v>0</v>
      </c>
      <c r="F65" s="968">
        <f>F$38*$J$57*'Weights-HB3'!$K$74</f>
        <v>0</v>
      </c>
      <c r="G65" s="968">
        <f>G$38*$J$57*'Weights-HB3'!$K$74</f>
        <v>0</v>
      </c>
      <c r="H65" s="968">
        <f>H$38*$J$57*'Weights-HB3'!$K$74</f>
        <v>0</v>
      </c>
      <c r="I65" s="968">
        <f>I$38*$J$57*'Weights-HB3'!$K$74</f>
        <v>0</v>
      </c>
    </row>
    <row r="66" spans="1:9" ht="15.5">
      <c r="A66" s="964" t="s">
        <v>2312</v>
      </c>
      <c r="B66" s="968">
        <f t="shared" ref="B66:I66" si="5">SUM(B57:B65)</f>
        <v>0</v>
      </c>
      <c r="C66" s="968">
        <f t="shared" si="5"/>
        <v>0</v>
      </c>
      <c r="D66" s="968">
        <f t="shared" si="5"/>
        <v>0</v>
      </c>
      <c r="E66" s="968">
        <f t="shared" si="5"/>
        <v>0</v>
      </c>
      <c r="F66" s="968">
        <f t="shared" si="5"/>
        <v>0</v>
      </c>
      <c r="G66" s="968">
        <f t="shared" si="5"/>
        <v>0</v>
      </c>
      <c r="H66" s="968">
        <f t="shared" si="5"/>
        <v>0</v>
      </c>
      <c r="I66" s="968">
        <f t="shared" si="5"/>
        <v>0</v>
      </c>
    </row>
    <row r="69" spans="1:9">
      <c r="A69" s="2042" t="s">
        <v>7368</v>
      </c>
      <c r="B69" s="967">
        <f t="shared" ref="B69:I69" si="6">SUM(B13:B20)+B22</f>
        <v>0</v>
      </c>
      <c r="C69" s="967">
        <f t="shared" si="6"/>
        <v>0</v>
      </c>
      <c r="D69" s="967">
        <f t="shared" si="6"/>
        <v>0</v>
      </c>
      <c r="E69" s="967">
        <f t="shared" si="6"/>
        <v>0</v>
      </c>
      <c r="F69" s="967">
        <f t="shared" si="6"/>
        <v>0</v>
      </c>
      <c r="G69" s="967">
        <f t="shared" si="6"/>
        <v>0</v>
      </c>
      <c r="H69" s="967">
        <f t="shared" si="6"/>
        <v>0</v>
      </c>
      <c r="I69" s="967">
        <f t="shared" si="6"/>
        <v>0</v>
      </c>
    </row>
    <row r="70" spans="1:9">
      <c r="A70" s="2042" t="s">
        <v>7369</v>
      </c>
      <c r="B70" s="967">
        <f t="shared" ref="B70:I70" si="7">J20</f>
        <v>0</v>
      </c>
      <c r="C70" s="967">
        <f t="shared" si="7"/>
        <v>0</v>
      </c>
      <c r="D70" s="967">
        <f t="shared" si="7"/>
        <v>0</v>
      </c>
      <c r="E70" s="967">
        <f t="shared" si="7"/>
        <v>0</v>
      </c>
      <c r="F70" s="967">
        <f t="shared" si="7"/>
        <v>0</v>
      </c>
      <c r="G70" s="967">
        <f t="shared" si="7"/>
        <v>0</v>
      </c>
      <c r="H70" s="967">
        <f t="shared" si="7"/>
        <v>0</v>
      </c>
      <c r="I70" s="967">
        <f t="shared" si="7"/>
        <v>0</v>
      </c>
    </row>
    <row r="71" spans="1:9">
      <c r="A71" s="2042" t="s">
        <v>7370</v>
      </c>
      <c r="B71" s="967">
        <f t="shared" ref="B71:I71" si="8">B11-B69-B25-B26-B27</f>
        <v>0</v>
      </c>
      <c r="C71" s="967">
        <f t="shared" si="8"/>
        <v>0</v>
      </c>
      <c r="D71" s="967">
        <f t="shared" si="8"/>
        <v>0</v>
      </c>
      <c r="E71" s="967">
        <f t="shared" si="8"/>
        <v>0</v>
      </c>
      <c r="F71" s="967">
        <f t="shared" si="8"/>
        <v>0</v>
      </c>
      <c r="G71" s="967">
        <f t="shared" si="8"/>
        <v>0</v>
      </c>
      <c r="H71" s="967">
        <f t="shared" si="8"/>
        <v>0</v>
      </c>
      <c r="I71" s="967">
        <f t="shared" si="8"/>
        <v>0</v>
      </c>
    </row>
    <row r="74" spans="1:9" s="2040" customFormat="1" ht="15.5">
      <c r="A74" s="1657" t="s">
        <v>2768</v>
      </c>
    </row>
    <row r="75" spans="1:9" s="2040" customFormat="1" ht="15.5">
      <c r="B75" s="1894" t="s">
        <v>7366</v>
      </c>
      <c r="C75" s="1894" t="s">
        <v>7366</v>
      </c>
      <c r="D75" s="1894" t="s">
        <v>7366</v>
      </c>
      <c r="E75" s="1894" t="s">
        <v>7366</v>
      </c>
      <c r="F75" s="1894" t="s">
        <v>7366</v>
      </c>
      <c r="G75" s="1894" t="s">
        <v>7366</v>
      </c>
      <c r="H75" s="1894" t="s">
        <v>7366</v>
      </c>
      <c r="I75" s="1894" t="s">
        <v>7366</v>
      </c>
    </row>
    <row r="76" spans="1:9" s="2040" customFormat="1" ht="15.5">
      <c r="B76" s="965" t="s">
        <v>7358</v>
      </c>
      <c r="C76" s="965" t="s">
        <v>7359</v>
      </c>
      <c r="D76" s="965" t="s">
        <v>7360</v>
      </c>
      <c r="E76" s="966" t="s">
        <v>7361</v>
      </c>
      <c r="F76" s="966" t="s">
        <v>10695</v>
      </c>
      <c r="G76" s="966" t="s">
        <v>10696</v>
      </c>
      <c r="H76" s="966" t="s">
        <v>10697</v>
      </c>
      <c r="I76" s="966" t="s">
        <v>10698</v>
      </c>
    </row>
    <row r="77" spans="1:9" s="2040" customFormat="1" ht="15.5">
      <c r="A77" s="969" t="s">
        <v>7378</v>
      </c>
      <c r="B77" s="976" t="e">
        <f>Assumptions!$H$155*B$89*'Calc Data'!$F$105*100</f>
        <v>#DIV/0!</v>
      </c>
      <c r="C77" s="976" t="e">
        <f>Assumptions!$H$155*C$89*'Calc Data'!$F$105*100</f>
        <v>#DIV/0!</v>
      </c>
      <c r="D77" s="976" t="e">
        <f>Assumptions!$H$155*D$89*'Calc Data'!$F$105*100</f>
        <v>#DIV/0!</v>
      </c>
      <c r="E77" s="976" t="e">
        <f>Assumptions!$H$155*E$89*'Calc Data'!$F$105*100</f>
        <v>#DIV/0!</v>
      </c>
      <c r="F77" s="976" t="e">
        <f>Assumptions!$H$155*F$89*'Calc Data'!$F$105*100</f>
        <v>#DIV/0!</v>
      </c>
      <c r="G77" s="976" t="e">
        <f>Assumptions!$H$155*G$89*'Calc Data'!$F$105*100</f>
        <v>#DIV/0!</v>
      </c>
      <c r="H77" s="976" t="e">
        <f>Assumptions!$H$155*H$89*'Calc Data'!$F$105*100</f>
        <v>#DIV/0!</v>
      </c>
      <c r="I77" s="976" t="e">
        <f>Assumptions!$H$155*I$89*'Calc Data'!$F$105*100</f>
        <v>#DIV/0!</v>
      </c>
    </row>
    <row r="78" spans="1:9" s="2040" customFormat="1" ht="15.5">
      <c r="A78" s="969" t="s">
        <v>7379</v>
      </c>
      <c r="B78" s="976" t="e">
        <f>Assumptions!$H$156*B$89*'Calc Data'!$F$110*100</f>
        <v>#DIV/0!</v>
      </c>
      <c r="C78" s="976" t="e">
        <f>Assumptions!$H$156*C$89*'Calc Data'!$F$110*100</f>
        <v>#DIV/0!</v>
      </c>
      <c r="D78" s="976" t="e">
        <f>Assumptions!$H$156*D$89*'Calc Data'!$F$110*100</f>
        <v>#DIV/0!</v>
      </c>
      <c r="E78" s="976" t="e">
        <f>Assumptions!$H$156*E$89*'Calc Data'!$F$110*100</f>
        <v>#DIV/0!</v>
      </c>
      <c r="F78" s="976" t="e">
        <f>Assumptions!$H$156*F$89*'Calc Data'!$F$110*100</f>
        <v>#DIV/0!</v>
      </c>
      <c r="G78" s="976" t="e">
        <f>Assumptions!$H$156*G$89*'Calc Data'!$F$110*100</f>
        <v>#DIV/0!</v>
      </c>
      <c r="H78" s="976" t="e">
        <f>Assumptions!$H$156*H$89*'Calc Data'!$F$110*100</f>
        <v>#DIV/0!</v>
      </c>
      <c r="I78" s="976" t="e">
        <f>Assumptions!$H$156*I$89*'Calc Data'!$F$110*100</f>
        <v>#DIV/0!</v>
      </c>
    </row>
    <row r="79" spans="1:9" s="2040" customFormat="1" ht="15.5">
      <c r="A79" s="969" t="s">
        <v>2312</v>
      </c>
      <c r="B79" s="973" t="e">
        <f>B77+B78</f>
        <v>#DIV/0!</v>
      </c>
      <c r="C79" s="973" t="e">
        <f t="shared" ref="C79:E79" si="9">C77+C78</f>
        <v>#DIV/0!</v>
      </c>
      <c r="D79" s="973" t="e">
        <f t="shared" si="9"/>
        <v>#DIV/0!</v>
      </c>
      <c r="E79" s="973" t="e">
        <f t="shared" si="9"/>
        <v>#DIV/0!</v>
      </c>
      <c r="F79" s="973" t="e">
        <f t="shared" ref="F79:G79" si="10">F77+F78</f>
        <v>#DIV/0!</v>
      </c>
      <c r="G79" s="973" t="e">
        <f t="shared" si="10"/>
        <v>#DIV/0!</v>
      </c>
      <c r="H79" s="973" t="e">
        <f t="shared" ref="H79:I79" si="11">H77+H78</f>
        <v>#DIV/0!</v>
      </c>
      <c r="I79" s="973" t="e">
        <f t="shared" si="11"/>
        <v>#DIV/0!</v>
      </c>
    </row>
    <row r="80" spans="1:9" s="2040" customFormat="1" ht="15.5">
      <c r="A80" s="969"/>
    </row>
    <row r="81" spans="1:11" s="2040" customFormat="1" ht="15.5">
      <c r="A81" s="969"/>
      <c r="B81" s="1894" t="s">
        <v>7367</v>
      </c>
      <c r="C81" s="1894" t="s">
        <v>7367</v>
      </c>
      <c r="D81" s="1894" t="s">
        <v>7367</v>
      </c>
      <c r="E81" s="1894" t="s">
        <v>7367</v>
      </c>
      <c r="F81" s="1894" t="s">
        <v>7367</v>
      </c>
      <c r="G81" s="1894" t="s">
        <v>7367</v>
      </c>
      <c r="H81" s="1894" t="s">
        <v>7367</v>
      </c>
      <c r="I81" s="1894" t="s">
        <v>7367</v>
      </c>
    </row>
    <row r="82" spans="1:11" s="2040" customFormat="1" ht="15.5">
      <c r="A82" s="969"/>
      <c r="B82" s="965" t="s">
        <v>7358</v>
      </c>
      <c r="C82" s="965" t="s">
        <v>7359</v>
      </c>
      <c r="D82" s="965" t="s">
        <v>7360</v>
      </c>
      <c r="E82" s="966" t="s">
        <v>7361</v>
      </c>
      <c r="F82" s="966" t="s">
        <v>10695</v>
      </c>
      <c r="G82" s="966" t="s">
        <v>10696</v>
      </c>
      <c r="H82" s="966" t="s">
        <v>10697</v>
      </c>
      <c r="I82" s="966" t="s">
        <v>10698</v>
      </c>
      <c r="J82" s="259" t="s">
        <v>7398</v>
      </c>
    </row>
    <row r="83" spans="1:11" s="2040" customFormat="1" ht="15.5">
      <c r="A83" s="969" t="s">
        <v>7378</v>
      </c>
      <c r="B83" s="976">
        <f>Assumptions!$H$155*B$93*$J$84*100</f>
        <v>0</v>
      </c>
      <c r="C83" s="976">
        <f>Assumptions!$H$155*C$93*$J$84*100</f>
        <v>0</v>
      </c>
      <c r="D83" s="976">
        <f>Assumptions!$H$155*D$93*$J$84*100</f>
        <v>0</v>
      </c>
      <c r="E83" s="976">
        <f>Assumptions!$H$155*E$93*$J$84*100</f>
        <v>0</v>
      </c>
      <c r="F83" s="976">
        <f>Assumptions!$H$155*F$93*$J$84*100</f>
        <v>0</v>
      </c>
      <c r="G83" s="976">
        <f>Assumptions!$H$155*G$93*$J$84*100</f>
        <v>0</v>
      </c>
      <c r="H83" s="976">
        <f>Assumptions!$H$155*H$93*$J$84*100</f>
        <v>0</v>
      </c>
      <c r="I83" s="976">
        <f>Assumptions!$H$155*I$93*$J$84*100</f>
        <v>0</v>
      </c>
      <c r="J83" s="1658" t="s">
        <v>7380</v>
      </c>
    </row>
    <row r="84" spans="1:11" s="2040" customFormat="1" ht="15.5">
      <c r="A84" s="969" t="s">
        <v>7379</v>
      </c>
      <c r="B84" s="976">
        <f>Assumptions!$H$156*B$93*$J$85*100</f>
        <v>0</v>
      </c>
      <c r="C84" s="976">
        <f>Assumptions!$H$156*C$93*$J$85*100</f>
        <v>0</v>
      </c>
      <c r="D84" s="976">
        <f>Assumptions!$H$156*D$93*$J$85*100</f>
        <v>0</v>
      </c>
      <c r="E84" s="976">
        <f>Assumptions!$H$156*E$93*$J$85*100</f>
        <v>0</v>
      </c>
      <c r="F84" s="976">
        <f>Assumptions!$H$156*F$93*$J$85*100</f>
        <v>0</v>
      </c>
      <c r="G84" s="976">
        <f>Assumptions!$H$156*G$93*$J$85*100</f>
        <v>0</v>
      </c>
      <c r="H84" s="976">
        <f>Assumptions!$H$156*H$93*$J$85*100</f>
        <v>0</v>
      </c>
      <c r="I84" s="976">
        <f>Assumptions!$H$156*I$93*$J$85*100</f>
        <v>0</v>
      </c>
      <c r="J84" s="974">
        <f>'DistCharter-Data2223'!J84</f>
        <v>6.3600000000000004E-2</v>
      </c>
      <c r="K84" s="2042"/>
    </row>
    <row r="85" spans="1:11" s="2040" customFormat="1" ht="15.5">
      <c r="A85" s="969" t="s">
        <v>2312</v>
      </c>
      <c r="B85" s="976">
        <f>B83+B84</f>
        <v>0</v>
      </c>
      <c r="C85" s="976">
        <f t="shared" ref="C85:E85" si="12">C83+C84</f>
        <v>0</v>
      </c>
      <c r="D85" s="976">
        <f t="shared" si="12"/>
        <v>0</v>
      </c>
      <c r="E85" s="976">
        <f t="shared" si="12"/>
        <v>0</v>
      </c>
      <c r="F85" s="976">
        <f t="shared" ref="F85:G85" si="13">F83+F84</f>
        <v>0</v>
      </c>
      <c r="G85" s="976">
        <f t="shared" si="13"/>
        <v>0</v>
      </c>
      <c r="H85" s="976">
        <f t="shared" ref="H85:I85" si="14">H83+H84</f>
        <v>0</v>
      </c>
      <c r="I85" s="976">
        <f t="shared" si="14"/>
        <v>0</v>
      </c>
      <c r="J85" s="975">
        <f>'DistCharter-Data2223'!J85</f>
        <v>2.63E-2</v>
      </c>
      <c r="K85" s="2042"/>
    </row>
    <row r="86" spans="1:11" s="2040" customFormat="1" ht="15.5">
      <c r="A86" s="969"/>
    </row>
    <row r="87" spans="1:11" s="2040" customFormat="1" ht="15.5">
      <c r="A87" s="969"/>
      <c r="B87" s="1894" t="s">
        <v>7366</v>
      </c>
      <c r="C87" s="1894" t="s">
        <v>7366</v>
      </c>
      <c r="D87" s="1894" t="s">
        <v>7366</v>
      </c>
      <c r="E87" s="1894" t="s">
        <v>7366</v>
      </c>
      <c r="F87" s="1894" t="s">
        <v>7366</v>
      </c>
      <c r="G87" s="1894" t="s">
        <v>7366</v>
      </c>
      <c r="H87" s="1894" t="s">
        <v>7366</v>
      </c>
      <c r="I87" s="1894" t="s">
        <v>7366</v>
      </c>
    </row>
    <row r="88" spans="1:11" s="2040" customFormat="1" ht="15.5">
      <c r="A88" s="978" t="s">
        <v>7387</v>
      </c>
      <c r="B88" s="987" t="e">
        <f>Assumptions!H154</f>
        <v>#DIV/0!</v>
      </c>
      <c r="C88" s="981" t="e">
        <f t="shared" ref="C88:I88" si="15">B88</f>
        <v>#DIV/0!</v>
      </c>
      <c r="D88" s="981" t="e">
        <f t="shared" si="15"/>
        <v>#DIV/0!</v>
      </c>
      <c r="E88" s="981" t="e">
        <f t="shared" si="15"/>
        <v>#DIV/0!</v>
      </c>
      <c r="F88" s="981" t="e">
        <f t="shared" si="15"/>
        <v>#DIV/0!</v>
      </c>
      <c r="G88" s="981" t="e">
        <f t="shared" si="15"/>
        <v>#DIV/0!</v>
      </c>
      <c r="H88" s="981" t="e">
        <f t="shared" si="15"/>
        <v>#DIV/0!</v>
      </c>
      <c r="I88" s="981" t="e">
        <f t="shared" si="15"/>
        <v>#DIV/0!</v>
      </c>
    </row>
    <row r="89" spans="1:11" s="2040" customFormat="1" ht="15.5">
      <c r="A89" s="978" t="s">
        <v>2429</v>
      </c>
      <c r="B89" s="977" t="e">
        <f t="shared" ref="B89:I89" si="16">B53/B88</f>
        <v>#DIV/0!</v>
      </c>
      <c r="C89" s="977" t="e">
        <f t="shared" si="16"/>
        <v>#DIV/0!</v>
      </c>
      <c r="D89" s="977" t="e">
        <f t="shared" si="16"/>
        <v>#DIV/0!</v>
      </c>
      <c r="E89" s="977" t="e">
        <f t="shared" si="16"/>
        <v>#DIV/0!</v>
      </c>
      <c r="F89" s="977" t="e">
        <f t="shared" si="16"/>
        <v>#DIV/0!</v>
      </c>
      <c r="G89" s="977" t="e">
        <f t="shared" si="16"/>
        <v>#DIV/0!</v>
      </c>
      <c r="H89" s="977" t="e">
        <f t="shared" si="16"/>
        <v>#DIV/0!</v>
      </c>
      <c r="I89" s="977" t="e">
        <f t="shared" si="16"/>
        <v>#DIV/0!</v>
      </c>
    </row>
    <row r="90" spans="1:11" s="2040" customFormat="1" ht="15.5">
      <c r="A90" s="969"/>
    </row>
    <row r="91" spans="1:11" s="2040" customFormat="1" ht="15.5">
      <c r="A91" s="969"/>
      <c r="B91" s="1894" t="s">
        <v>7367</v>
      </c>
      <c r="C91" s="1894" t="s">
        <v>7367</v>
      </c>
      <c r="D91" s="1894" t="s">
        <v>7367</v>
      </c>
      <c r="E91" s="1894" t="s">
        <v>7367</v>
      </c>
      <c r="F91" s="1894" t="s">
        <v>7367</v>
      </c>
      <c r="G91" s="1894" t="s">
        <v>7367</v>
      </c>
      <c r="H91" s="1894" t="s">
        <v>7367</v>
      </c>
      <c r="I91" s="1894" t="s">
        <v>7367</v>
      </c>
    </row>
    <row r="92" spans="1:11" s="2040" customFormat="1" ht="15.5">
      <c r="A92" s="978" t="s">
        <v>7864</v>
      </c>
      <c r="B92" s="1660">
        <f>J57</f>
        <v>6160</v>
      </c>
      <c r="C92" s="976">
        <f t="shared" ref="C92:I92" si="17">B92</f>
        <v>6160</v>
      </c>
      <c r="D92" s="976">
        <f t="shared" si="17"/>
        <v>6160</v>
      </c>
      <c r="E92" s="976">
        <f t="shared" si="17"/>
        <v>6160</v>
      </c>
      <c r="F92" s="976">
        <f t="shared" si="17"/>
        <v>6160</v>
      </c>
      <c r="G92" s="976">
        <f t="shared" si="17"/>
        <v>6160</v>
      </c>
      <c r="H92" s="976">
        <f t="shared" si="17"/>
        <v>6160</v>
      </c>
      <c r="I92" s="976">
        <f t="shared" si="17"/>
        <v>6160</v>
      </c>
    </row>
    <row r="93" spans="1:11" s="2040" customFormat="1" ht="15.5">
      <c r="A93" s="978" t="s">
        <v>2429</v>
      </c>
      <c r="B93" s="977">
        <f>B66/B92</f>
        <v>0</v>
      </c>
      <c r="C93" s="977">
        <f t="shared" ref="C93:E93" si="18">C66/C92</f>
        <v>0</v>
      </c>
      <c r="D93" s="977">
        <f t="shared" si="18"/>
        <v>0</v>
      </c>
      <c r="E93" s="977">
        <f t="shared" si="18"/>
        <v>0</v>
      </c>
      <c r="F93" s="977">
        <f t="shared" ref="F93:G93" si="19">F66/F92</f>
        <v>0</v>
      </c>
      <c r="G93" s="977">
        <f t="shared" si="19"/>
        <v>0</v>
      </c>
      <c r="H93" s="977">
        <f t="shared" ref="H93:I93" si="20">H66/H92</f>
        <v>0</v>
      </c>
      <c r="I93" s="977">
        <f t="shared" si="20"/>
        <v>0</v>
      </c>
    </row>
    <row r="94" spans="1:11" s="2040" customFormat="1" ht="15.5"/>
    <row r="95" spans="1:11" s="2040" customFormat="1" ht="15.5">
      <c r="A95" s="972" t="s">
        <v>2656</v>
      </c>
    </row>
    <row r="96" spans="1:11" s="2040" customFormat="1" ht="15.5">
      <c r="B96" s="1894" t="s">
        <v>7367</v>
      </c>
      <c r="C96" s="1894" t="s">
        <v>7367</v>
      </c>
      <c r="D96" s="1894" t="s">
        <v>7367</v>
      </c>
      <c r="E96" s="1894" t="s">
        <v>7367</v>
      </c>
      <c r="F96" s="1894" t="s">
        <v>7367</v>
      </c>
      <c r="G96" s="1894" t="s">
        <v>7367</v>
      </c>
      <c r="H96" s="1894" t="s">
        <v>7367</v>
      </c>
      <c r="I96" s="1894" t="s">
        <v>7367</v>
      </c>
      <c r="J96" s="259" t="s">
        <v>7398</v>
      </c>
    </row>
    <row r="97" spans="1:12" s="2040" customFormat="1" ht="15.5">
      <c r="B97" s="965" t="s">
        <v>7358</v>
      </c>
      <c r="C97" s="965" t="s">
        <v>7359</v>
      </c>
      <c r="D97" s="965" t="s">
        <v>7360</v>
      </c>
      <c r="E97" s="966" t="s">
        <v>7361</v>
      </c>
      <c r="F97" s="966" t="s">
        <v>10695</v>
      </c>
      <c r="G97" s="966" t="s">
        <v>10696</v>
      </c>
      <c r="H97" s="966" t="s">
        <v>10697</v>
      </c>
      <c r="I97" s="966" t="s">
        <v>10698</v>
      </c>
      <c r="J97" s="1659" t="s">
        <v>7865</v>
      </c>
    </row>
    <row r="98" spans="1:12" s="2040" customFormat="1" ht="15.5">
      <c r="A98" s="2040" t="s">
        <v>7381</v>
      </c>
      <c r="B98" s="976">
        <f t="shared" ref="B98:I98" si="21">B11*$J$98*$J$99*100</f>
        <v>0</v>
      </c>
      <c r="C98" s="976">
        <f t="shared" si="21"/>
        <v>0</v>
      </c>
      <c r="D98" s="976">
        <f t="shared" si="21"/>
        <v>0</v>
      </c>
      <c r="E98" s="976">
        <f t="shared" si="21"/>
        <v>0</v>
      </c>
      <c r="F98" s="976">
        <f t="shared" si="21"/>
        <v>0</v>
      </c>
      <c r="G98" s="976">
        <f t="shared" si="21"/>
        <v>0</v>
      </c>
      <c r="H98" s="976">
        <f t="shared" si="21"/>
        <v>0</v>
      </c>
      <c r="I98" s="976">
        <f t="shared" si="21"/>
        <v>0</v>
      </c>
      <c r="J98" s="979">
        <v>4.5999999999999999E-2</v>
      </c>
      <c r="K98" s="2042"/>
    </row>
    <row r="99" spans="1:12" s="2040" customFormat="1" ht="15.5">
      <c r="J99" s="1662">
        <v>39.4</v>
      </c>
      <c r="K99" s="1661" t="s">
        <v>7866</v>
      </c>
      <c r="L99" s="2042"/>
    </row>
    <row r="100" spans="1:12" s="2040" customFormat="1" ht="15.5"/>
    <row r="101" spans="1:12" s="2040" customFormat="1" ht="15.5"/>
    <row r="102" spans="1:12" s="2040" customFormat="1" ht="15.5"/>
    <row r="103" spans="1:12" s="2040" customFormat="1" ht="15.5"/>
    <row r="104" spans="1:12" s="2040" customFormat="1" ht="15.5"/>
    <row r="105" spans="1:12" s="2040" customFormat="1" ht="15.5"/>
    <row r="106" spans="1:12" s="2040" customFormat="1" ht="15.5"/>
    <row r="107" spans="1:12" s="2040" customFormat="1" ht="15.5"/>
    <row r="108" spans="1:12" s="2040" customFormat="1" ht="15.5"/>
    <row r="109" spans="1:12" s="2040" customFormat="1" ht="15.5"/>
    <row r="110" spans="1:12" s="2040" customFormat="1" ht="15.5"/>
    <row r="111" spans="1:12" s="2040" customFormat="1" ht="15.5"/>
    <row r="112" spans="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2040" customFormat="1" ht="15.5"/>
    <row r="130" s="2040" customFormat="1" ht="15.5"/>
    <row r="131" s="2040" customFormat="1" ht="15.5"/>
    <row r="132" s="2040" customFormat="1" ht="15.5"/>
    <row r="133" s="2040" customFormat="1" ht="15.5"/>
    <row r="134" s="2040" customFormat="1" ht="15.5"/>
    <row r="135" s="2040" customFormat="1" ht="15.5"/>
    <row r="136" s="2040" customFormat="1" ht="15.5"/>
    <row r="137" s="2040" customFormat="1" ht="15.5"/>
    <row r="138" s="2040" customFormat="1" ht="15.5"/>
    <row r="139" s="2040" customFormat="1" ht="15.5"/>
    <row r="140" s="2040" customFormat="1" ht="15.5"/>
    <row r="141" s="2040" customFormat="1" ht="15.5"/>
    <row r="142" s="2040" customFormat="1" ht="15.5"/>
    <row r="143" s="2040" customFormat="1" ht="15.5"/>
    <row r="144" s="2040" customFormat="1" ht="15.5"/>
    <row r="145" s="2040" customFormat="1" ht="15.5"/>
    <row r="146" s="2040" customFormat="1" ht="15.5"/>
    <row r="147" s="2040" customFormat="1" ht="15.5"/>
    <row r="148" s="2040" customFormat="1" ht="15.5"/>
    <row r="149" s="2040" customFormat="1" ht="15.5"/>
    <row r="150" s="2040" customFormat="1" ht="15.5"/>
    <row r="151" s="2040" customFormat="1" ht="15.5"/>
    <row r="152" s="2040" customFormat="1" ht="15.5"/>
    <row r="153" s="2040" customFormat="1" ht="15.5"/>
    <row r="154" s="2040" customFormat="1" ht="15.5"/>
    <row r="155" s="2040" customFormat="1" ht="15.5"/>
    <row r="156" s="2040" customFormat="1" ht="15.5"/>
    <row r="157" s="2040" customFormat="1" ht="15.5"/>
    <row r="158" s="2040" customFormat="1" ht="15.5"/>
    <row r="159" s="2040" customFormat="1" ht="15.5"/>
    <row r="160" s="2040" customFormat="1" ht="15.5"/>
    <row r="161" s="2040" customFormat="1" ht="15.5"/>
    <row r="162" s="2040" customFormat="1" ht="15.5"/>
    <row r="163" s="2040" customFormat="1" ht="15.5"/>
    <row r="164" s="2040" customFormat="1" ht="15.5"/>
    <row r="165" s="2040" customFormat="1" ht="15.5"/>
    <row r="166" s="2040" customFormat="1" ht="15.5"/>
    <row r="167" s="2040" customFormat="1" ht="15.5"/>
    <row r="168" s="2040" customFormat="1" ht="15.5"/>
    <row r="169" s="2040" customFormat="1" ht="15.5"/>
    <row r="170" s="2040" customFormat="1" ht="15.5"/>
    <row r="171" s="2040" customFormat="1" ht="15.5"/>
    <row r="172" s="2040" customFormat="1" ht="15.5"/>
    <row r="173" s="2040" customFormat="1" ht="15.5"/>
    <row r="174" s="2040" customFormat="1" ht="15.5"/>
    <row r="175" s="2040" customFormat="1" ht="15.5"/>
    <row r="176" s="2040" customFormat="1" ht="15.5"/>
    <row r="177" s="2040" customFormat="1" ht="15.5"/>
    <row r="178" s="2040" customFormat="1" ht="15.5"/>
    <row r="179" s="2040" customFormat="1" ht="15.5"/>
    <row r="180" s="2040" customFormat="1" ht="15.5"/>
    <row r="181" s="2040" customFormat="1" ht="15.5"/>
    <row r="182" s="2040" customFormat="1" ht="15.5"/>
    <row r="183" s="2040" customFormat="1" ht="15.5"/>
    <row r="184" s="2040" customFormat="1" ht="15.5"/>
    <row r="185" s="2040" customFormat="1" ht="15.5"/>
    <row r="186" s="2040" customFormat="1" ht="15.5"/>
    <row r="187" s="2040" customFormat="1" ht="15.5"/>
    <row r="188" s="2040" customFormat="1" ht="15.5"/>
    <row r="189" s="2040" customFormat="1" ht="15.5"/>
    <row r="190" s="2040" customFormat="1" ht="15.5"/>
    <row r="191" s="2040" customFormat="1" ht="15.5"/>
    <row r="192" s="2040" customFormat="1" ht="15.5"/>
    <row r="193" s="2040" customFormat="1" ht="15.5"/>
    <row r="194" s="2040" customFormat="1" ht="15.5"/>
    <row r="195" s="2040" customFormat="1" ht="15.5"/>
    <row r="196" s="2040" customFormat="1" ht="15.5"/>
    <row r="197" s="2040" customFormat="1" ht="15.5"/>
    <row r="198" s="2040" customFormat="1" ht="15.5"/>
    <row r="199" s="2040" customFormat="1" ht="15.5"/>
    <row r="200" s="2040" customFormat="1" ht="15.5"/>
    <row r="201" s="2040" customFormat="1" ht="15.5"/>
    <row r="202" s="2040" customFormat="1" ht="15.5"/>
    <row r="203" s="2040" customFormat="1" ht="15.5"/>
    <row r="204" s="2040" customFormat="1" ht="15.5"/>
    <row r="205" s="2040" customFormat="1" ht="15.5"/>
    <row r="206" s="2040" customFormat="1" ht="15.5"/>
    <row r="207" s="2040" customFormat="1" ht="15.5"/>
    <row r="208" s="2040" customFormat="1" ht="15.5"/>
    <row r="209" s="2040" customFormat="1" ht="15.5"/>
    <row r="210" s="2040" customFormat="1" ht="15.5"/>
    <row r="211" s="2040" customFormat="1" ht="15.5"/>
    <row r="212" s="2040" customFormat="1" ht="15.5"/>
    <row r="213" s="2040" customFormat="1" ht="15.5"/>
    <row r="214" s="2040" customFormat="1" ht="15.5"/>
    <row r="215" s="2040" customFormat="1" ht="15.5"/>
    <row r="216" s="2040" customFormat="1" ht="15.5"/>
    <row r="217" s="2040" customFormat="1" ht="15.5"/>
    <row r="218" s="2040" customFormat="1" ht="15.5"/>
    <row r="219" s="2040" customFormat="1" ht="15.5"/>
    <row r="220" s="2040" customFormat="1" ht="15.5"/>
    <row r="221" s="2040" customFormat="1" ht="15.5"/>
    <row r="222" s="2040" customFormat="1" ht="15.5"/>
    <row r="223" s="2040" customFormat="1" ht="15.5"/>
    <row r="224" s="2040" customFormat="1" ht="15.5"/>
    <row r="225" s="2040" customFormat="1" ht="15.5"/>
    <row r="226" s="2040" customFormat="1" ht="15.5"/>
    <row r="227" s="2040" customFormat="1" ht="15.5"/>
    <row r="228" s="2040" customFormat="1" ht="15.5"/>
    <row r="229" s="2040" customFormat="1" ht="15.5"/>
    <row r="230" s="2040" customFormat="1" ht="15.5"/>
    <row r="231" s="2040" customFormat="1" ht="15.5"/>
    <row r="232" s="2040" customFormat="1" ht="15.5"/>
    <row r="233" s="2040" customFormat="1" ht="15.5"/>
    <row r="234" s="2040" customFormat="1" ht="15.5"/>
    <row r="235" s="2040" customFormat="1" ht="15.5"/>
    <row r="236" s="2040" customFormat="1" ht="15.5"/>
    <row r="237" s="2040" customFormat="1" ht="15.5"/>
    <row r="238" s="2040" customFormat="1" ht="15.5"/>
    <row r="239" s="2040" customFormat="1" ht="15.5"/>
    <row r="240" s="2040" customFormat="1" ht="15.5"/>
    <row r="241" s="2040" customFormat="1" ht="15.5"/>
    <row r="242" s="2040" customFormat="1" ht="15.5"/>
    <row r="243" s="2040" customFormat="1" ht="15.5"/>
    <row r="244" s="2040" customFormat="1" ht="15.5"/>
    <row r="245" s="2040" customFormat="1" ht="15.5"/>
    <row r="246" s="2040" customFormat="1" ht="15.5"/>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39997558519241921"/>
  </sheetPr>
  <dimension ref="A1:J57"/>
  <sheetViews>
    <sheetView topLeftCell="A49" workbookViewId="0">
      <selection activeCell="A57" sqref="A57"/>
    </sheetView>
  </sheetViews>
  <sheetFormatPr defaultColWidth="8.7265625" defaultRowHeight="12.5"/>
  <cols>
    <col min="1" max="1" width="34.54296875" style="2042" customWidth="1"/>
    <col min="2" max="12" width="23.7265625" style="2042" customWidth="1"/>
    <col min="13" max="16384" width="8.7265625" style="2042"/>
  </cols>
  <sheetData>
    <row r="1" spans="1:9" s="2040" customFormat="1" ht="15.5">
      <c r="A1" s="2040" t="s">
        <v>7391</v>
      </c>
    </row>
    <row r="2" spans="1:9" s="2040" customFormat="1" ht="15.5">
      <c r="A2" s="2040" t="s">
        <v>7392</v>
      </c>
    </row>
    <row r="3" spans="1:9" s="2040" customFormat="1" ht="15.5"/>
    <row r="4" spans="1:9" s="2040" customFormat="1" ht="15.5"/>
    <row r="5" spans="1:9" s="2040" customFormat="1" ht="15.5"/>
    <row r="6" spans="1:9" ht="15.5">
      <c r="B6" s="1333" t="s">
        <v>9430</v>
      </c>
      <c r="C6" s="1334"/>
      <c r="D6" s="1334"/>
      <c r="E6" s="1335"/>
      <c r="F6" s="1335"/>
      <c r="G6" s="1335"/>
      <c r="H6" s="1335"/>
      <c r="I6" s="1335"/>
    </row>
    <row r="7" spans="1:9" ht="13">
      <c r="A7" s="1338" t="s">
        <v>7382</v>
      </c>
      <c r="B7" s="43" t="s">
        <v>7366</v>
      </c>
      <c r="C7" s="43" t="s">
        <v>7366</v>
      </c>
      <c r="D7" s="43" t="s">
        <v>7366</v>
      </c>
      <c r="E7" s="43" t="s">
        <v>7366</v>
      </c>
      <c r="F7" s="43" t="s">
        <v>7366</v>
      </c>
      <c r="G7" s="43" t="s">
        <v>7366</v>
      </c>
      <c r="H7" s="43" t="s">
        <v>7366</v>
      </c>
      <c r="I7" s="43" t="s">
        <v>7366</v>
      </c>
    </row>
    <row r="8" spans="1:9" ht="13">
      <c r="B8" s="1336" t="s">
        <v>7358</v>
      </c>
      <c r="C8" s="1336" t="s">
        <v>7359</v>
      </c>
      <c r="D8" s="1336" t="s">
        <v>7360</v>
      </c>
      <c r="E8" s="1337" t="s">
        <v>7361</v>
      </c>
      <c r="F8" s="1337" t="s">
        <v>10695</v>
      </c>
      <c r="G8" s="1337" t="s">
        <v>10696</v>
      </c>
      <c r="H8" s="1337" t="s">
        <v>10697</v>
      </c>
      <c r="I8" s="1337" t="s">
        <v>10698</v>
      </c>
    </row>
    <row r="9" spans="1:9" ht="15.5">
      <c r="A9" s="964" t="s">
        <v>2635</v>
      </c>
      <c r="B9" s="1339" t="e">
        <f>'DistCharter-Data2324'!B44</f>
        <v>#DIV/0!</v>
      </c>
      <c r="C9" s="1339" t="e">
        <f>'DistCharter-Data2324'!C44</f>
        <v>#DIV/0!</v>
      </c>
      <c r="D9" s="1339" t="e">
        <f>'DistCharter-Data2324'!D44</f>
        <v>#DIV/0!</v>
      </c>
      <c r="E9" s="1339" t="e">
        <f>'DistCharter-Data2324'!E44</f>
        <v>#DIV/0!</v>
      </c>
      <c r="F9" s="1339" t="e">
        <f>'DistCharter-Data2324'!F44</f>
        <v>#DIV/0!</v>
      </c>
      <c r="G9" s="1339" t="e">
        <f>'DistCharter-Data2324'!G44</f>
        <v>#DIV/0!</v>
      </c>
      <c r="H9" s="1339" t="e">
        <f>'DistCharter-Data2324'!H44</f>
        <v>#DIV/0!</v>
      </c>
      <c r="I9" s="1339" t="e">
        <f>'DistCharter-Data2324'!I44</f>
        <v>#DIV/0!</v>
      </c>
    </row>
    <row r="10" spans="1:9" ht="15.5">
      <c r="A10" s="964" t="s">
        <v>7854</v>
      </c>
      <c r="B10" s="1670" t="e">
        <f>'DistCharter-Data2324'!B45</f>
        <v>#DIV/0!</v>
      </c>
      <c r="C10" s="1670" t="e">
        <f>'DistCharter-Data2324'!C45</f>
        <v>#DIV/0!</v>
      </c>
      <c r="D10" s="1670" t="e">
        <f>'DistCharter-Data2324'!D45</f>
        <v>#DIV/0!</v>
      </c>
      <c r="E10" s="1670" t="e">
        <f>'DistCharter-Data2324'!E45</f>
        <v>#DIV/0!</v>
      </c>
      <c r="F10" s="1670" t="e">
        <f>'DistCharter-Data2324'!F45</f>
        <v>#DIV/0!</v>
      </c>
      <c r="G10" s="1670" t="e">
        <f>'DistCharter-Data2324'!G45</f>
        <v>#DIV/0!</v>
      </c>
      <c r="H10" s="1670" t="e">
        <f>'DistCharter-Data2324'!H45</f>
        <v>#DIV/0!</v>
      </c>
      <c r="I10" s="1670" t="e">
        <f>'DistCharter-Data2324'!I45</f>
        <v>#DIV/0!</v>
      </c>
    </row>
    <row r="11" spans="1:9" ht="15.5">
      <c r="A11" s="964" t="s">
        <v>2639</v>
      </c>
      <c r="B11" s="1339" t="e">
        <f>'DistCharter-Data2324'!B46</f>
        <v>#DIV/0!</v>
      </c>
      <c r="C11" s="1339" t="e">
        <f>'DistCharter-Data2324'!C46</f>
        <v>#DIV/0!</v>
      </c>
      <c r="D11" s="1339" t="e">
        <f>'DistCharter-Data2324'!D46</f>
        <v>#DIV/0!</v>
      </c>
      <c r="E11" s="1339" t="e">
        <f>'DistCharter-Data2324'!E46</f>
        <v>#DIV/0!</v>
      </c>
      <c r="F11" s="1339" t="e">
        <f>'DistCharter-Data2324'!F46</f>
        <v>#DIV/0!</v>
      </c>
      <c r="G11" s="1339" t="e">
        <f>'DistCharter-Data2324'!G46</f>
        <v>#DIV/0!</v>
      </c>
      <c r="H11" s="1339" t="e">
        <f>'DistCharter-Data2324'!H46</f>
        <v>#DIV/0!</v>
      </c>
      <c r="I11" s="1339" t="e">
        <f>'DistCharter-Data2324'!I46</f>
        <v>#DIV/0!</v>
      </c>
    </row>
    <row r="12" spans="1:9" ht="15.5">
      <c r="A12" s="964" t="s">
        <v>7436</v>
      </c>
      <c r="B12" s="1670" t="e">
        <f>'DistCharter-Data2324'!B47</f>
        <v>#DIV/0!</v>
      </c>
      <c r="C12" s="1670" t="e">
        <f>'DistCharter-Data2324'!C47</f>
        <v>#DIV/0!</v>
      </c>
      <c r="D12" s="1670" t="e">
        <f>'DistCharter-Data2324'!D47</f>
        <v>#DIV/0!</v>
      </c>
      <c r="E12" s="1670" t="e">
        <f>'DistCharter-Data2324'!E47</f>
        <v>#DIV/0!</v>
      </c>
      <c r="F12" s="1670" t="e">
        <f>'DistCharter-Data2324'!F47</f>
        <v>#DIV/0!</v>
      </c>
      <c r="G12" s="1670" t="e">
        <f>'DistCharter-Data2324'!G47</f>
        <v>#DIV/0!</v>
      </c>
      <c r="H12" s="1670" t="e">
        <f>'DistCharter-Data2324'!H47</f>
        <v>#DIV/0!</v>
      </c>
      <c r="I12" s="1670" t="e">
        <f>'DistCharter-Data2324'!I47</f>
        <v>#DIV/0!</v>
      </c>
    </row>
    <row r="13" spans="1:9" ht="15.5">
      <c r="A13" s="964" t="s">
        <v>7363</v>
      </c>
      <c r="B13" s="1339" t="e">
        <f>'DistCharter-Data2324'!B48</f>
        <v>#DIV/0!</v>
      </c>
      <c r="C13" s="1339" t="e">
        <f>'DistCharter-Data2324'!C48</f>
        <v>#DIV/0!</v>
      </c>
      <c r="D13" s="1339" t="e">
        <f>'DistCharter-Data2324'!D48</f>
        <v>#DIV/0!</v>
      </c>
      <c r="E13" s="1339" t="e">
        <f>'DistCharter-Data2324'!E48</f>
        <v>#DIV/0!</v>
      </c>
      <c r="F13" s="1339" t="e">
        <f>'DistCharter-Data2324'!F48</f>
        <v>#DIV/0!</v>
      </c>
      <c r="G13" s="1339" t="e">
        <f>'DistCharter-Data2324'!G48</f>
        <v>#DIV/0!</v>
      </c>
      <c r="H13" s="1339" t="e">
        <f>'DistCharter-Data2324'!H48</f>
        <v>#DIV/0!</v>
      </c>
      <c r="I13" s="1339" t="e">
        <f>'DistCharter-Data2324'!I48</f>
        <v>#DIV/0!</v>
      </c>
    </row>
    <row r="14" spans="1:9" ht="15.5">
      <c r="A14" s="964" t="s">
        <v>7364</v>
      </c>
      <c r="B14" s="1339" t="e">
        <f>'DistCharter-Data2324'!B49</f>
        <v>#DIV/0!</v>
      </c>
      <c r="C14" s="1339" t="e">
        <f>'DistCharter-Data2324'!C49</f>
        <v>#DIV/0!</v>
      </c>
      <c r="D14" s="1339" t="e">
        <f>'DistCharter-Data2324'!D49</f>
        <v>#DIV/0!</v>
      </c>
      <c r="E14" s="1339" t="e">
        <f>'DistCharter-Data2324'!E49</f>
        <v>#DIV/0!</v>
      </c>
      <c r="F14" s="1339" t="e">
        <f>'DistCharter-Data2324'!F49</f>
        <v>#DIV/0!</v>
      </c>
      <c r="G14" s="1339" t="e">
        <f>'DistCharter-Data2324'!G49</f>
        <v>#DIV/0!</v>
      </c>
      <c r="H14" s="1339" t="e">
        <f>'DistCharter-Data2324'!H49</f>
        <v>#DIV/0!</v>
      </c>
      <c r="I14" s="1339" t="e">
        <f>'DistCharter-Data2324'!I49</f>
        <v>#DIV/0!</v>
      </c>
    </row>
    <row r="15" spans="1:9" ht="15.5">
      <c r="A15" s="964" t="s">
        <v>2642</v>
      </c>
      <c r="B15" s="1339" t="e">
        <f>'DistCharter-Data2324'!B50</f>
        <v>#DIV/0!</v>
      </c>
      <c r="C15" s="1339" t="e">
        <f>'DistCharter-Data2324'!C50</f>
        <v>#DIV/0!</v>
      </c>
      <c r="D15" s="1339" t="e">
        <f>'DistCharter-Data2324'!D50</f>
        <v>#DIV/0!</v>
      </c>
      <c r="E15" s="1339" t="e">
        <f>'DistCharter-Data2324'!E50</f>
        <v>#DIV/0!</v>
      </c>
      <c r="F15" s="1339" t="e">
        <f>'DistCharter-Data2324'!F50</f>
        <v>#DIV/0!</v>
      </c>
      <c r="G15" s="1339" t="e">
        <f>'DistCharter-Data2324'!G50</f>
        <v>#DIV/0!</v>
      </c>
      <c r="H15" s="1339" t="e">
        <f>'DistCharter-Data2324'!H50</f>
        <v>#DIV/0!</v>
      </c>
      <c r="I15" s="1339" t="e">
        <f>'DistCharter-Data2324'!I50</f>
        <v>#DIV/0!</v>
      </c>
    </row>
    <row r="16" spans="1:9" ht="15.5">
      <c r="A16" s="964" t="s">
        <v>7365</v>
      </c>
      <c r="B16" s="1339" t="e">
        <f>'DistCharter-Data2324'!B51</f>
        <v>#DIV/0!</v>
      </c>
      <c r="C16" s="1339" t="e">
        <f>'DistCharter-Data2324'!C51</f>
        <v>#DIV/0!</v>
      </c>
      <c r="D16" s="1339" t="e">
        <f>'DistCharter-Data2324'!D51</f>
        <v>#DIV/0!</v>
      </c>
      <c r="E16" s="1339" t="e">
        <f>'DistCharter-Data2324'!E51</f>
        <v>#DIV/0!</v>
      </c>
      <c r="F16" s="1339" t="e">
        <f>'DistCharter-Data2324'!F51</f>
        <v>#DIV/0!</v>
      </c>
      <c r="G16" s="1339" t="e">
        <f>'DistCharter-Data2324'!G51</f>
        <v>#DIV/0!</v>
      </c>
      <c r="H16" s="1339" t="e">
        <f>'DistCharter-Data2324'!H51</f>
        <v>#DIV/0!</v>
      </c>
      <c r="I16" s="1339" t="e">
        <f>'DistCharter-Data2324'!I51</f>
        <v>#DIV/0!</v>
      </c>
    </row>
    <row r="17" spans="1:9" ht="15.5">
      <c r="A17" s="964" t="s">
        <v>7628</v>
      </c>
      <c r="B17" s="1670" t="e">
        <f>'DistCharter-Data2324'!B52</f>
        <v>#DIV/0!</v>
      </c>
      <c r="C17" s="1670" t="e">
        <f>'DistCharter-Data2324'!C52</f>
        <v>#DIV/0!</v>
      </c>
      <c r="D17" s="1670" t="e">
        <f>'DistCharter-Data2324'!D52</f>
        <v>#DIV/0!</v>
      </c>
      <c r="E17" s="1670" t="e">
        <f>'DistCharter-Data2324'!E52</f>
        <v>#DIV/0!</v>
      </c>
      <c r="F17" s="1670" t="e">
        <f>'DistCharter-Data2324'!F52</f>
        <v>#DIV/0!</v>
      </c>
      <c r="G17" s="1670" t="e">
        <f>'DistCharter-Data2324'!G52</f>
        <v>#DIV/0!</v>
      </c>
      <c r="H17" s="1670" t="e">
        <f>'DistCharter-Data2324'!H52</f>
        <v>#DIV/0!</v>
      </c>
      <c r="I17" s="1670" t="e">
        <f>'DistCharter-Data2324'!I52</f>
        <v>#DIV/0!</v>
      </c>
    </row>
    <row r="18" spans="1:9" ht="15.5">
      <c r="A18" s="970" t="s">
        <v>7371</v>
      </c>
      <c r="B18" s="1339" t="e">
        <f>'DistCharter-Data2324'!B53</f>
        <v>#DIV/0!</v>
      </c>
      <c r="C18" s="1339" t="e">
        <f>'DistCharter-Data2324'!C53</f>
        <v>#DIV/0!</v>
      </c>
      <c r="D18" s="1339" t="e">
        <f>'DistCharter-Data2324'!D53</f>
        <v>#DIV/0!</v>
      </c>
      <c r="E18" s="1339" t="e">
        <f>'DistCharter-Data2324'!E53</f>
        <v>#DIV/0!</v>
      </c>
      <c r="F18" s="1339" t="e">
        <f>'DistCharter-Data2324'!F53</f>
        <v>#DIV/0!</v>
      </c>
      <c r="G18" s="1339" t="e">
        <f>'DistCharter-Data2324'!G53</f>
        <v>#DIV/0!</v>
      </c>
      <c r="H18" s="1339" t="e">
        <f>'DistCharter-Data2324'!H53</f>
        <v>#DIV/0!</v>
      </c>
      <c r="I18" s="1339" t="e">
        <f>'DistCharter-Data2324'!I53</f>
        <v>#DIV/0!</v>
      </c>
    </row>
    <row r="19" spans="1:9">
      <c r="A19" s="1037"/>
    </row>
    <row r="20" spans="1:9" ht="13">
      <c r="A20" s="1338" t="s">
        <v>10704</v>
      </c>
      <c r="B20" s="43" t="s">
        <v>7366</v>
      </c>
      <c r="C20" s="43" t="s">
        <v>7366</v>
      </c>
      <c r="D20" s="43" t="s">
        <v>7366</v>
      </c>
      <c r="E20" s="43" t="s">
        <v>7366</v>
      </c>
      <c r="F20" s="43" t="s">
        <v>7366</v>
      </c>
      <c r="G20" s="43" t="s">
        <v>7366</v>
      </c>
      <c r="H20" s="43" t="s">
        <v>7366</v>
      </c>
      <c r="I20" s="43" t="s">
        <v>7366</v>
      </c>
    </row>
    <row r="21" spans="1:9" ht="13">
      <c r="B21" s="1336" t="s">
        <v>7358</v>
      </c>
      <c r="C21" s="1336" t="s">
        <v>7359</v>
      </c>
      <c r="D21" s="1336" t="s">
        <v>7360</v>
      </c>
      <c r="E21" s="1337" t="s">
        <v>7361</v>
      </c>
      <c r="F21" s="1337" t="s">
        <v>10695</v>
      </c>
      <c r="G21" s="1337" t="s">
        <v>10696</v>
      </c>
      <c r="H21" s="1337" t="s">
        <v>10697</v>
      </c>
      <c r="I21" s="1337" t="s">
        <v>10698</v>
      </c>
    </row>
    <row r="22" spans="1:9" ht="15.5">
      <c r="A22" s="969" t="s">
        <v>7393</v>
      </c>
      <c r="B22" s="1339" t="e">
        <f>'DistCharter-Data2324'!B77</f>
        <v>#DIV/0!</v>
      </c>
      <c r="C22" s="1339" t="e">
        <f>'DistCharter-Data2324'!C77</f>
        <v>#DIV/0!</v>
      </c>
      <c r="D22" s="1339" t="e">
        <f>'DistCharter-Data2324'!D77</f>
        <v>#DIV/0!</v>
      </c>
      <c r="E22" s="1339" t="e">
        <f>'DistCharter-Data2324'!E77</f>
        <v>#DIV/0!</v>
      </c>
      <c r="F22" s="1339" t="e">
        <f>'DistCharter-Data2324'!F77</f>
        <v>#DIV/0!</v>
      </c>
      <c r="G22" s="1339" t="e">
        <f>'DistCharter-Data2324'!G77</f>
        <v>#DIV/0!</v>
      </c>
      <c r="H22" s="1339" t="e">
        <f>'DistCharter-Data2324'!H77</f>
        <v>#DIV/0!</v>
      </c>
      <c r="I22" s="1339" t="e">
        <f>'DistCharter-Data2324'!I77</f>
        <v>#DIV/0!</v>
      </c>
    </row>
    <row r="23" spans="1:9" ht="15.5">
      <c r="A23" s="969" t="s">
        <v>7394</v>
      </c>
      <c r="B23" s="1339" t="e">
        <f>'DistCharter-Data2324'!B78</f>
        <v>#DIV/0!</v>
      </c>
      <c r="C23" s="1339" t="e">
        <f>'DistCharter-Data2324'!C78</f>
        <v>#DIV/0!</v>
      </c>
      <c r="D23" s="1339" t="e">
        <f>'DistCharter-Data2324'!D78</f>
        <v>#DIV/0!</v>
      </c>
      <c r="E23" s="1339" t="e">
        <f>'DistCharter-Data2324'!E78</f>
        <v>#DIV/0!</v>
      </c>
      <c r="F23" s="1339" t="e">
        <f>'DistCharter-Data2324'!F78</f>
        <v>#DIV/0!</v>
      </c>
      <c r="G23" s="1339" t="e">
        <f>'DistCharter-Data2324'!G78</f>
        <v>#DIV/0!</v>
      </c>
      <c r="H23" s="1339" t="e">
        <f>'DistCharter-Data2324'!H78</f>
        <v>#DIV/0!</v>
      </c>
      <c r="I23" s="1339" t="e">
        <f>'DistCharter-Data2324'!I78</f>
        <v>#DIV/0!</v>
      </c>
    </row>
    <row r="24" spans="1:9" ht="15.5">
      <c r="A24" s="970" t="s">
        <v>7372</v>
      </c>
      <c r="B24" s="1339" t="e">
        <f>'DistCharter-Data2324'!B79</f>
        <v>#DIV/0!</v>
      </c>
      <c r="C24" s="1339" t="e">
        <f>'DistCharter-Data2324'!C79</f>
        <v>#DIV/0!</v>
      </c>
      <c r="D24" s="1339" t="e">
        <f>'DistCharter-Data2324'!D79</f>
        <v>#DIV/0!</v>
      </c>
      <c r="E24" s="1339" t="e">
        <f>'DistCharter-Data2324'!E79</f>
        <v>#DIV/0!</v>
      </c>
      <c r="F24" s="1339" t="e">
        <f>'DistCharter-Data2324'!F79</f>
        <v>#DIV/0!</v>
      </c>
      <c r="G24" s="1339" t="e">
        <f>'DistCharter-Data2324'!G79</f>
        <v>#DIV/0!</v>
      </c>
      <c r="H24" s="1339" t="e">
        <f>'DistCharter-Data2324'!H79</f>
        <v>#DIV/0!</v>
      </c>
      <c r="I24" s="1339" t="e">
        <f>'DistCharter-Data2324'!I79</f>
        <v>#DIV/0!</v>
      </c>
    </row>
    <row r="26" spans="1:9" ht="15.5">
      <c r="A26" s="1340" t="s">
        <v>7374</v>
      </c>
      <c r="B26" s="1663" t="e">
        <f>B18+B24</f>
        <v>#DIV/0!</v>
      </c>
      <c r="C26" s="1663" t="e">
        <f t="shared" ref="C26:E26" si="0">C18+C24</f>
        <v>#DIV/0!</v>
      </c>
      <c r="D26" s="1663" t="e">
        <f t="shared" si="0"/>
        <v>#DIV/0!</v>
      </c>
      <c r="E26" s="1663" t="e">
        <f t="shared" si="0"/>
        <v>#DIV/0!</v>
      </c>
      <c r="F26" s="1663" t="e">
        <f t="shared" ref="F26:G26" si="1">F18+F24</f>
        <v>#DIV/0!</v>
      </c>
      <c r="G26" s="1663" t="e">
        <f t="shared" si="1"/>
        <v>#DIV/0!</v>
      </c>
      <c r="H26" s="1663" t="e">
        <f t="shared" ref="H26:I26" si="2">H18+H24</f>
        <v>#DIV/0!</v>
      </c>
      <c r="I26" s="1663" t="e">
        <f t="shared" si="2"/>
        <v>#DIV/0!</v>
      </c>
    </row>
    <row r="30" spans="1:9" ht="13">
      <c r="A30" s="1338" t="s">
        <v>7383</v>
      </c>
      <c r="B30" s="43" t="s">
        <v>7367</v>
      </c>
      <c r="C30" s="43" t="s">
        <v>7367</v>
      </c>
      <c r="D30" s="43" t="s">
        <v>7367</v>
      </c>
      <c r="E30" s="43" t="s">
        <v>7367</v>
      </c>
      <c r="F30" s="43" t="s">
        <v>7367</v>
      </c>
      <c r="G30" s="43" t="s">
        <v>7367</v>
      </c>
      <c r="H30" s="43" t="s">
        <v>7367</v>
      </c>
      <c r="I30" s="43" t="s">
        <v>7367</v>
      </c>
    </row>
    <row r="31" spans="1:9" ht="13">
      <c r="B31" s="1336" t="s">
        <v>7358</v>
      </c>
      <c r="C31" s="1336" t="s">
        <v>7359</v>
      </c>
      <c r="D31" s="1336" t="s">
        <v>7360</v>
      </c>
      <c r="E31" s="1337" t="s">
        <v>7361</v>
      </c>
      <c r="F31" s="1337" t="s">
        <v>10695</v>
      </c>
      <c r="G31" s="1337" t="s">
        <v>10696</v>
      </c>
      <c r="H31" s="1337" t="s">
        <v>10697</v>
      </c>
      <c r="I31" s="1337" t="s">
        <v>10698</v>
      </c>
    </row>
    <row r="32" spans="1:9" ht="15.5">
      <c r="A32" s="964" t="s">
        <v>2635</v>
      </c>
      <c r="B32" s="1339">
        <f>'DistCharter-Data2324'!B57</f>
        <v>0</v>
      </c>
      <c r="C32" s="1339">
        <f>'DistCharter-Data2324'!C57</f>
        <v>0</v>
      </c>
      <c r="D32" s="1339">
        <f>'DistCharter-Data2324'!D57</f>
        <v>0</v>
      </c>
      <c r="E32" s="1339">
        <f>'DistCharter-Data2324'!E57</f>
        <v>0</v>
      </c>
      <c r="F32" s="1339">
        <f>'DistCharter-Data2324'!F57</f>
        <v>0</v>
      </c>
      <c r="G32" s="1339">
        <f>'DistCharter-Data2324'!G57</f>
        <v>0</v>
      </c>
      <c r="H32" s="1339">
        <f>'DistCharter-Data2324'!H57</f>
        <v>0</v>
      </c>
      <c r="I32" s="1339">
        <f>'DistCharter-Data2324'!I57</f>
        <v>0</v>
      </c>
    </row>
    <row r="33" spans="1:9" ht="15.5">
      <c r="A33" s="964" t="s">
        <v>7854</v>
      </c>
      <c r="B33" s="1670">
        <f>'DistCharter-Data2324'!B58</f>
        <v>0</v>
      </c>
      <c r="C33" s="1670">
        <f>'DistCharter-Data2324'!C58</f>
        <v>0</v>
      </c>
      <c r="D33" s="1670">
        <f>'DistCharter-Data2324'!D58</f>
        <v>0</v>
      </c>
      <c r="E33" s="1670">
        <f>'DistCharter-Data2324'!E58</f>
        <v>0</v>
      </c>
      <c r="F33" s="1670">
        <f>'DistCharter-Data2324'!F58</f>
        <v>0</v>
      </c>
      <c r="G33" s="1670">
        <f>'DistCharter-Data2324'!G58</f>
        <v>0</v>
      </c>
      <c r="H33" s="1670">
        <f>'DistCharter-Data2324'!H58</f>
        <v>0</v>
      </c>
      <c r="I33" s="1670">
        <f>'DistCharter-Data2324'!I58</f>
        <v>0</v>
      </c>
    </row>
    <row r="34" spans="1:9" ht="15.5">
      <c r="A34" s="964" t="s">
        <v>2639</v>
      </c>
      <c r="B34" s="1339">
        <f>'DistCharter-Data2324'!B59</f>
        <v>0</v>
      </c>
      <c r="C34" s="1339">
        <f>'DistCharter-Data2324'!C59</f>
        <v>0</v>
      </c>
      <c r="D34" s="1339">
        <f>'DistCharter-Data2324'!D59</f>
        <v>0</v>
      </c>
      <c r="E34" s="1339">
        <f>'DistCharter-Data2324'!E59</f>
        <v>0</v>
      </c>
      <c r="F34" s="1339">
        <f>'DistCharter-Data2324'!F59</f>
        <v>0</v>
      </c>
      <c r="G34" s="1339">
        <f>'DistCharter-Data2324'!G59</f>
        <v>0</v>
      </c>
      <c r="H34" s="1339">
        <f>'DistCharter-Data2324'!H59</f>
        <v>0</v>
      </c>
      <c r="I34" s="1339">
        <f>'DistCharter-Data2324'!I59</f>
        <v>0</v>
      </c>
    </row>
    <row r="35" spans="1:9" ht="15.5">
      <c r="A35" s="964" t="s">
        <v>7436</v>
      </c>
      <c r="B35" s="1670">
        <f>'DistCharter-Data2324'!B60</f>
        <v>0</v>
      </c>
      <c r="C35" s="1670">
        <f>'DistCharter-Data2324'!C60</f>
        <v>0</v>
      </c>
      <c r="D35" s="1670">
        <f>'DistCharter-Data2324'!D60</f>
        <v>0</v>
      </c>
      <c r="E35" s="1670">
        <f>'DistCharter-Data2324'!E60</f>
        <v>0</v>
      </c>
      <c r="F35" s="1670">
        <f>'DistCharter-Data2324'!F60</f>
        <v>0</v>
      </c>
      <c r="G35" s="1670">
        <f>'DistCharter-Data2324'!G60</f>
        <v>0</v>
      </c>
      <c r="H35" s="1670">
        <f>'DistCharter-Data2324'!H60</f>
        <v>0</v>
      </c>
      <c r="I35" s="1670">
        <f>'DistCharter-Data2324'!I60</f>
        <v>0</v>
      </c>
    </row>
    <row r="36" spans="1:9" ht="15.5">
      <c r="A36" s="964" t="s">
        <v>7363</v>
      </c>
      <c r="B36" s="1339">
        <f>'DistCharter-Data2324'!B61</f>
        <v>0</v>
      </c>
      <c r="C36" s="1339">
        <f>'DistCharter-Data2324'!C61</f>
        <v>0</v>
      </c>
      <c r="D36" s="1339">
        <f>'DistCharter-Data2324'!D61</f>
        <v>0</v>
      </c>
      <c r="E36" s="1339">
        <f>'DistCharter-Data2324'!E61</f>
        <v>0</v>
      </c>
      <c r="F36" s="1339">
        <f>'DistCharter-Data2324'!F61</f>
        <v>0</v>
      </c>
      <c r="G36" s="1339">
        <f>'DistCharter-Data2324'!G61</f>
        <v>0</v>
      </c>
      <c r="H36" s="1339">
        <f>'DistCharter-Data2324'!H61</f>
        <v>0</v>
      </c>
      <c r="I36" s="1339">
        <f>'DistCharter-Data2324'!I61</f>
        <v>0</v>
      </c>
    </row>
    <row r="37" spans="1:9" ht="15.5">
      <c r="A37" s="964" t="s">
        <v>7364</v>
      </c>
      <c r="B37" s="1339">
        <f>'DistCharter-Data2324'!B62</f>
        <v>0</v>
      </c>
      <c r="C37" s="1339">
        <f>'DistCharter-Data2324'!C62</f>
        <v>0</v>
      </c>
      <c r="D37" s="1339">
        <f>'DistCharter-Data2324'!D62</f>
        <v>0</v>
      </c>
      <c r="E37" s="1339">
        <f>'DistCharter-Data2324'!E62</f>
        <v>0</v>
      </c>
      <c r="F37" s="1339">
        <f>'DistCharter-Data2324'!F62</f>
        <v>0</v>
      </c>
      <c r="G37" s="1339">
        <f>'DistCharter-Data2324'!G62</f>
        <v>0</v>
      </c>
      <c r="H37" s="1339">
        <f>'DistCharter-Data2324'!H62</f>
        <v>0</v>
      </c>
      <c r="I37" s="1339">
        <f>'DistCharter-Data2324'!I62</f>
        <v>0</v>
      </c>
    </row>
    <row r="38" spans="1:9" ht="15.5">
      <c r="A38" s="964" t="s">
        <v>2642</v>
      </c>
      <c r="B38" s="1339">
        <f>'DistCharter-Data2324'!B63</f>
        <v>0</v>
      </c>
      <c r="C38" s="1339">
        <f>'DistCharter-Data2324'!C63</f>
        <v>0</v>
      </c>
      <c r="D38" s="1339">
        <f>'DistCharter-Data2324'!D63</f>
        <v>0</v>
      </c>
      <c r="E38" s="1339">
        <f>'DistCharter-Data2324'!E63</f>
        <v>0</v>
      </c>
      <c r="F38" s="1339">
        <f>'DistCharter-Data2324'!F63</f>
        <v>0</v>
      </c>
      <c r="G38" s="1339">
        <f>'DistCharter-Data2324'!G63</f>
        <v>0</v>
      </c>
      <c r="H38" s="1339">
        <f>'DistCharter-Data2324'!H63</f>
        <v>0</v>
      </c>
      <c r="I38" s="1339">
        <f>'DistCharter-Data2324'!I63</f>
        <v>0</v>
      </c>
    </row>
    <row r="39" spans="1:9" ht="15.5">
      <c r="A39" s="964" t="s">
        <v>7365</v>
      </c>
      <c r="B39" s="1339">
        <f>'DistCharter-Data2324'!B64</f>
        <v>0</v>
      </c>
      <c r="C39" s="1339">
        <f>'DistCharter-Data2324'!C64</f>
        <v>0</v>
      </c>
      <c r="D39" s="1339">
        <f>'DistCharter-Data2324'!D64</f>
        <v>0</v>
      </c>
      <c r="E39" s="1339">
        <f>'DistCharter-Data2324'!E64</f>
        <v>0</v>
      </c>
      <c r="F39" s="1339">
        <f>'DistCharter-Data2324'!F64</f>
        <v>0</v>
      </c>
      <c r="G39" s="1339">
        <f>'DistCharter-Data2324'!G64</f>
        <v>0</v>
      </c>
      <c r="H39" s="1339">
        <f>'DistCharter-Data2324'!H64</f>
        <v>0</v>
      </c>
      <c r="I39" s="1339">
        <f>'DistCharter-Data2324'!I64</f>
        <v>0</v>
      </c>
    </row>
    <row r="40" spans="1:9" ht="15.5">
      <c r="A40" s="964" t="s">
        <v>7628</v>
      </c>
      <c r="B40" s="1670">
        <f>'DistCharter-Data2324'!B65</f>
        <v>0</v>
      </c>
      <c r="C40" s="1670">
        <f>'DistCharter-Data2324'!C65</f>
        <v>0</v>
      </c>
      <c r="D40" s="1670">
        <f>'DistCharter-Data2324'!D65</f>
        <v>0</v>
      </c>
      <c r="E40" s="1670">
        <f>'DistCharter-Data2324'!E65</f>
        <v>0</v>
      </c>
      <c r="F40" s="1670">
        <f>'DistCharter-Data2324'!F65</f>
        <v>0</v>
      </c>
      <c r="G40" s="1670">
        <f>'DistCharter-Data2324'!G65</f>
        <v>0</v>
      </c>
      <c r="H40" s="1670">
        <f>'DistCharter-Data2324'!H65</f>
        <v>0</v>
      </c>
      <c r="I40" s="1670">
        <f>'DistCharter-Data2324'!I65</f>
        <v>0</v>
      </c>
    </row>
    <row r="41" spans="1:9" ht="15.5">
      <c r="A41" s="970" t="s">
        <v>7371</v>
      </c>
      <c r="B41" s="1339">
        <f t="shared" ref="B41:I41" si="3">SUM(B32:B40)</f>
        <v>0</v>
      </c>
      <c r="C41" s="1339">
        <f t="shared" si="3"/>
        <v>0</v>
      </c>
      <c r="D41" s="1339">
        <f t="shared" si="3"/>
        <v>0</v>
      </c>
      <c r="E41" s="1339">
        <f t="shared" si="3"/>
        <v>0</v>
      </c>
      <c r="F41" s="1339">
        <f t="shared" si="3"/>
        <v>0</v>
      </c>
      <c r="G41" s="1339">
        <f t="shared" si="3"/>
        <v>0</v>
      </c>
      <c r="H41" s="1339">
        <f t="shared" si="3"/>
        <v>0</v>
      </c>
      <c r="I41" s="1339">
        <f t="shared" si="3"/>
        <v>0</v>
      </c>
    </row>
    <row r="43" spans="1:9" ht="13">
      <c r="A43" s="1338" t="s">
        <v>7384</v>
      </c>
      <c r="B43" s="43" t="s">
        <v>7367</v>
      </c>
      <c r="C43" s="43" t="s">
        <v>7367</v>
      </c>
      <c r="D43" s="43" t="s">
        <v>7367</v>
      </c>
      <c r="E43" s="43" t="s">
        <v>7367</v>
      </c>
      <c r="F43" s="43" t="s">
        <v>7367</v>
      </c>
      <c r="G43" s="43" t="s">
        <v>7367</v>
      </c>
      <c r="H43" s="43" t="s">
        <v>7367</v>
      </c>
      <c r="I43" s="43" t="s">
        <v>7367</v>
      </c>
    </row>
    <row r="44" spans="1:9" ht="13">
      <c r="B44" s="1336" t="s">
        <v>7358</v>
      </c>
      <c r="C44" s="1336" t="s">
        <v>7359</v>
      </c>
      <c r="D44" s="1336" t="s">
        <v>7360</v>
      </c>
      <c r="E44" s="1337" t="s">
        <v>7361</v>
      </c>
      <c r="F44" s="1337" t="s">
        <v>10695</v>
      </c>
      <c r="G44" s="1337" t="s">
        <v>10696</v>
      </c>
      <c r="H44" s="1337" t="s">
        <v>10697</v>
      </c>
      <c r="I44" s="1337" t="s">
        <v>10698</v>
      </c>
    </row>
    <row r="45" spans="1:9" ht="15.5">
      <c r="A45" s="969" t="s">
        <v>7393</v>
      </c>
      <c r="B45" s="1339">
        <f>'DistCharter-Data2324'!B83</f>
        <v>0</v>
      </c>
      <c r="C45" s="1339">
        <f>'DistCharter-Data2324'!C83</f>
        <v>0</v>
      </c>
      <c r="D45" s="1339">
        <f>'DistCharter-Data2324'!D83</f>
        <v>0</v>
      </c>
      <c r="E45" s="1339">
        <f>'DistCharter-Data2324'!E83</f>
        <v>0</v>
      </c>
      <c r="F45" s="1339">
        <f>'DistCharter-Data2324'!F83</f>
        <v>0</v>
      </c>
      <c r="G45" s="1339">
        <f>'DistCharter-Data2324'!G83</f>
        <v>0</v>
      </c>
      <c r="H45" s="1339">
        <f>'DistCharter-Data2324'!H83</f>
        <v>0</v>
      </c>
      <c r="I45" s="1339">
        <f>'DistCharter-Data2324'!I83</f>
        <v>0</v>
      </c>
    </row>
    <row r="46" spans="1:9" ht="15.5">
      <c r="A46" s="969" t="s">
        <v>7394</v>
      </c>
      <c r="B46" s="1339">
        <f>'DistCharter-Data2324'!B84</f>
        <v>0</v>
      </c>
      <c r="C46" s="1339">
        <f>'DistCharter-Data2324'!C84</f>
        <v>0</v>
      </c>
      <c r="D46" s="1339">
        <f>'DistCharter-Data2324'!D84</f>
        <v>0</v>
      </c>
      <c r="E46" s="1339">
        <f>'DistCharter-Data2324'!E84</f>
        <v>0</v>
      </c>
      <c r="F46" s="1339">
        <f>'DistCharter-Data2324'!F84</f>
        <v>0</v>
      </c>
      <c r="G46" s="1339">
        <f>'DistCharter-Data2324'!G84</f>
        <v>0</v>
      </c>
      <c r="H46" s="1339">
        <f>'DistCharter-Data2324'!H84</f>
        <v>0</v>
      </c>
      <c r="I46" s="1339">
        <f>'DistCharter-Data2324'!I84</f>
        <v>0</v>
      </c>
    </row>
    <row r="47" spans="1:9" ht="15.5">
      <c r="A47" s="970" t="s">
        <v>7372</v>
      </c>
      <c r="B47" s="1339">
        <f>SUM(B45:B46)</f>
        <v>0</v>
      </c>
      <c r="C47" s="1339">
        <f t="shared" ref="C47:E47" si="4">SUM(C45:C46)</f>
        <v>0</v>
      </c>
      <c r="D47" s="1339">
        <f t="shared" si="4"/>
        <v>0</v>
      </c>
      <c r="E47" s="1339">
        <f t="shared" si="4"/>
        <v>0</v>
      </c>
      <c r="F47" s="1339">
        <f t="shared" ref="F47:G47" si="5">SUM(F45:F46)</f>
        <v>0</v>
      </c>
      <c r="G47" s="1339">
        <f t="shared" si="5"/>
        <v>0</v>
      </c>
      <c r="H47" s="1339">
        <f t="shared" ref="H47:I47" si="6">SUM(H45:H46)</f>
        <v>0</v>
      </c>
      <c r="I47" s="1339">
        <f t="shared" si="6"/>
        <v>0</v>
      </c>
    </row>
    <row r="49" spans="1:10" ht="13">
      <c r="A49" s="1338" t="s">
        <v>7385</v>
      </c>
      <c r="B49" s="43" t="s">
        <v>7367</v>
      </c>
      <c r="C49" s="43" t="s">
        <v>7367</v>
      </c>
      <c r="D49" s="43" t="s">
        <v>7367</v>
      </c>
      <c r="E49" s="43" t="s">
        <v>7367</v>
      </c>
      <c r="F49" s="43" t="s">
        <v>7367</v>
      </c>
      <c r="G49" s="43" t="s">
        <v>7367</v>
      </c>
      <c r="H49" s="43" t="s">
        <v>7367</v>
      </c>
      <c r="I49" s="43" t="s">
        <v>7367</v>
      </c>
    </row>
    <row r="50" spans="1:10" ht="13">
      <c r="B50" s="1336" t="s">
        <v>7358</v>
      </c>
      <c r="C50" s="1336" t="s">
        <v>7359</v>
      </c>
      <c r="D50" s="1336" t="s">
        <v>7360</v>
      </c>
      <c r="E50" s="1337" t="s">
        <v>7361</v>
      </c>
      <c r="F50" s="1337" t="s">
        <v>10695</v>
      </c>
      <c r="G50" s="1337" t="s">
        <v>10696</v>
      </c>
      <c r="H50" s="1337" t="s">
        <v>10697</v>
      </c>
      <c r="I50" s="1337" t="s">
        <v>10698</v>
      </c>
    </row>
    <row r="51" spans="1:10" ht="15.5">
      <c r="A51" s="969" t="s">
        <v>7373</v>
      </c>
      <c r="B51" s="1339">
        <f>'DistCharter-Data2324'!B98</f>
        <v>0</v>
      </c>
      <c r="C51" s="1339">
        <f>'DistCharter-Data2324'!C98</f>
        <v>0</v>
      </c>
      <c r="D51" s="1339">
        <f>'DistCharter-Data2324'!D98</f>
        <v>0</v>
      </c>
      <c r="E51" s="1339">
        <f>'DistCharter-Data2324'!E98</f>
        <v>0</v>
      </c>
      <c r="F51" s="1339">
        <f>'DistCharter-Data2324'!F98</f>
        <v>0</v>
      </c>
      <c r="G51" s="1339">
        <f>'DistCharter-Data2324'!G98</f>
        <v>0</v>
      </c>
      <c r="H51" s="1339">
        <f>'DistCharter-Data2324'!H98</f>
        <v>0</v>
      </c>
      <c r="I51" s="1339">
        <f>'DistCharter-Data2324'!I98</f>
        <v>0</v>
      </c>
    </row>
    <row r="53" spans="1:10" ht="15.5">
      <c r="A53" s="1340" t="s">
        <v>7386</v>
      </c>
      <c r="B53" s="1663">
        <f>B41+B47+B51</f>
        <v>0</v>
      </c>
      <c r="C53" s="1663">
        <f t="shared" ref="C53:E53" si="7">C41+C47+C51</f>
        <v>0</v>
      </c>
      <c r="D53" s="1663">
        <f t="shared" si="7"/>
        <v>0</v>
      </c>
      <c r="E53" s="1663">
        <f t="shared" si="7"/>
        <v>0</v>
      </c>
      <c r="F53" s="1663">
        <f t="shared" ref="F53:G53" si="8">F41+F47+F51</f>
        <v>0</v>
      </c>
      <c r="G53" s="1663">
        <f t="shared" si="8"/>
        <v>0</v>
      </c>
      <c r="H53" s="1663">
        <f t="shared" ref="H53:I53" si="9">H41+H47+H51</f>
        <v>0</v>
      </c>
      <c r="I53" s="1663">
        <f t="shared" si="9"/>
        <v>0</v>
      </c>
    </row>
    <row r="54" spans="1:10" ht="15.5">
      <c r="J54" s="324" t="s">
        <v>7037</v>
      </c>
    </row>
    <row r="55" spans="1:10" ht="15">
      <c r="J55" s="971" t="s">
        <v>7376</v>
      </c>
    </row>
    <row r="56" spans="1:10" ht="15.5">
      <c r="A56" s="1341" t="s">
        <v>7375</v>
      </c>
      <c r="B56" s="1342"/>
      <c r="C56" s="1342"/>
      <c r="D56" s="1342"/>
      <c r="E56" s="980"/>
      <c r="F56" s="980"/>
      <c r="G56" s="980"/>
      <c r="H56" s="980"/>
      <c r="I56" s="980"/>
      <c r="J56" s="1342"/>
    </row>
    <row r="57" spans="1:10" ht="15.5">
      <c r="A57" s="1343" t="s">
        <v>12488</v>
      </c>
      <c r="B57" s="1664" t="e">
        <f t="shared" ref="B57:I57" si="10">IF(B26&gt;=B53,0,B53-B26)</f>
        <v>#DIV/0!</v>
      </c>
      <c r="C57" s="1664" t="e">
        <f t="shared" si="10"/>
        <v>#DIV/0!</v>
      </c>
      <c r="D57" s="1664" t="e">
        <f t="shared" si="10"/>
        <v>#DIV/0!</v>
      </c>
      <c r="E57" s="1664" t="e">
        <f t="shared" si="10"/>
        <v>#DIV/0!</v>
      </c>
      <c r="F57" s="1664" t="e">
        <f t="shared" si="10"/>
        <v>#DIV/0!</v>
      </c>
      <c r="G57" s="1664" t="e">
        <f t="shared" si="10"/>
        <v>#DIV/0!</v>
      </c>
      <c r="H57" s="1664" t="e">
        <f t="shared" si="10"/>
        <v>#DIV/0!</v>
      </c>
      <c r="I57" s="1664" t="e">
        <f t="shared" si="10"/>
        <v>#DIV/0!</v>
      </c>
      <c r="J57" s="2629" t="e">
        <f>SUM(B57:I57)</f>
        <v>#DIV/0!</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sheetPr>
  <dimension ref="A1:Q246"/>
  <sheetViews>
    <sheetView workbookViewId="0">
      <selection activeCell="B7" sqref="B7"/>
    </sheetView>
  </sheetViews>
  <sheetFormatPr defaultColWidth="8.7265625" defaultRowHeight="12.5"/>
  <cols>
    <col min="1" max="1" width="64.54296875" style="2042" customWidth="1"/>
    <col min="2" max="9" width="18.6328125" style="2042" customWidth="1"/>
    <col min="10" max="10" width="23.453125" style="2042" customWidth="1"/>
    <col min="11" max="13" width="15.54296875" style="2042" customWidth="1"/>
    <col min="14" max="17" width="15.6328125" style="2042" customWidth="1"/>
    <col min="18" max="16384" width="8.7265625" style="2042"/>
  </cols>
  <sheetData>
    <row r="1" spans="1:17" ht="15.5">
      <c r="A1" s="2040" t="s">
        <v>7390</v>
      </c>
    </row>
    <row r="2" spans="1:17" ht="15.5">
      <c r="A2" s="2040" t="s">
        <v>7666</v>
      </c>
    </row>
    <row r="3" spans="1:17" ht="15.5">
      <c r="A3" s="2040" t="s">
        <v>7388</v>
      </c>
    </row>
    <row r="4" spans="1:17" ht="15.5">
      <c r="A4" s="2040" t="s">
        <v>7389</v>
      </c>
    </row>
    <row r="5" spans="1:17" ht="15.5">
      <c r="A5" s="2040"/>
    </row>
    <row r="6" spans="1:17" ht="15.5">
      <c r="A6" s="2040" t="s">
        <v>10703</v>
      </c>
    </row>
    <row r="8" spans="1:17" ht="15.5">
      <c r="B8" s="990" t="s">
        <v>9431</v>
      </c>
      <c r="C8" s="982"/>
      <c r="D8" s="982"/>
      <c r="E8" s="983"/>
      <c r="F8" s="983"/>
      <c r="G8" s="983"/>
      <c r="H8" s="983"/>
      <c r="I8" s="983"/>
    </row>
    <row r="9" spans="1:17" ht="13">
      <c r="B9" s="960" t="s">
        <v>7362</v>
      </c>
      <c r="C9" s="960" t="s">
        <v>7362</v>
      </c>
      <c r="D9" s="960" t="s">
        <v>7362</v>
      </c>
      <c r="E9" s="961" t="s">
        <v>7362</v>
      </c>
      <c r="F9" s="961" t="s">
        <v>7362</v>
      </c>
      <c r="G9" s="961" t="s">
        <v>7362</v>
      </c>
      <c r="H9" s="961" t="s">
        <v>7362</v>
      </c>
      <c r="I9" s="961" t="s">
        <v>7362</v>
      </c>
    </row>
    <row r="10" spans="1:17" ht="13">
      <c r="B10" s="962" t="s">
        <v>7358</v>
      </c>
      <c r="C10" s="962" t="s">
        <v>7359</v>
      </c>
      <c r="D10" s="962" t="s">
        <v>7360</v>
      </c>
      <c r="E10" s="963" t="s">
        <v>7361</v>
      </c>
      <c r="F10" s="963" t="s">
        <v>10695</v>
      </c>
      <c r="G10" s="963" t="s">
        <v>10696</v>
      </c>
      <c r="H10" s="963" t="s">
        <v>10697</v>
      </c>
      <c r="I10" s="963" t="s">
        <v>10698</v>
      </c>
    </row>
    <row r="11" spans="1:17" ht="15.5">
      <c r="A11" s="32" t="s">
        <v>470</v>
      </c>
      <c r="B11" s="959">
        <v>0</v>
      </c>
      <c r="C11" s="959">
        <v>0</v>
      </c>
      <c r="D11" s="959">
        <v>0</v>
      </c>
      <c r="E11" s="959">
        <v>0</v>
      </c>
      <c r="F11" s="959">
        <v>0</v>
      </c>
      <c r="G11" s="959">
        <v>0</v>
      </c>
      <c r="H11" s="959">
        <v>0</v>
      </c>
      <c r="I11" s="959">
        <v>0</v>
      </c>
      <c r="J11" s="2042" t="s">
        <v>7397</v>
      </c>
    </row>
    <row r="12" spans="1:17" ht="13">
      <c r="A12" s="639" t="s">
        <v>505</v>
      </c>
      <c r="B12" s="612"/>
      <c r="C12" s="612"/>
      <c r="D12" s="612"/>
      <c r="E12" s="612"/>
      <c r="F12" s="612"/>
      <c r="G12" s="612"/>
      <c r="H12" s="612"/>
      <c r="I12" s="612"/>
      <c r="J12" s="41" t="s">
        <v>7396</v>
      </c>
      <c r="K12" s="41" t="s">
        <v>7399</v>
      </c>
      <c r="L12" s="41" t="s">
        <v>7400</v>
      </c>
      <c r="M12" s="41" t="s">
        <v>7401</v>
      </c>
      <c r="N12" s="41" t="s">
        <v>10699</v>
      </c>
      <c r="O12" s="41" t="s">
        <v>10700</v>
      </c>
      <c r="P12" s="41" t="s">
        <v>10701</v>
      </c>
      <c r="Q12" s="41" t="s">
        <v>10702</v>
      </c>
    </row>
    <row r="13" spans="1:17" ht="15.5">
      <c r="A13" s="32" t="s">
        <v>471</v>
      </c>
      <c r="B13" s="959">
        <v>0</v>
      </c>
      <c r="C13" s="959">
        <v>0</v>
      </c>
      <c r="D13" s="959">
        <v>0</v>
      </c>
      <c r="E13" s="959">
        <v>0</v>
      </c>
      <c r="F13" s="959">
        <v>0</v>
      </c>
      <c r="G13" s="959">
        <v>0</v>
      </c>
      <c r="H13" s="959">
        <v>0</v>
      </c>
      <c r="I13" s="959">
        <v>0</v>
      </c>
      <c r="J13" s="76">
        <f>B13*Weights!$P$10</f>
        <v>0</v>
      </c>
      <c r="K13" s="76">
        <f>C13*Weights!$P$10</f>
        <v>0</v>
      </c>
      <c r="L13" s="76">
        <f>D13*Weights!$P$10</f>
        <v>0</v>
      </c>
      <c r="M13" s="76">
        <f>E13*Weights!$P$10</f>
        <v>0</v>
      </c>
      <c r="N13" s="76">
        <f>F13*Weights!$P$10</f>
        <v>0</v>
      </c>
      <c r="O13" s="76">
        <f>G13*Weights!$P$10</f>
        <v>0</v>
      </c>
      <c r="P13" s="76">
        <f>H13*Weights!$P$10</f>
        <v>0</v>
      </c>
      <c r="Q13" s="76">
        <f>I13*Weights!$P$10</f>
        <v>0</v>
      </c>
    </row>
    <row r="14" spans="1:17" ht="15.5">
      <c r="A14" s="958" t="s">
        <v>472</v>
      </c>
      <c r="B14" s="959">
        <v>0</v>
      </c>
      <c r="C14" s="959">
        <v>0</v>
      </c>
      <c r="D14" s="959">
        <v>0</v>
      </c>
      <c r="E14" s="959">
        <v>0</v>
      </c>
      <c r="F14" s="959">
        <v>0</v>
      </c>
      <c r="G14" s="959">
        <v>0</v>
      </c>
      <c r="H14" s="959">
        <v>0</v>
      </c>
      <c r="I14" s="959">
        <v>0</v>
      </c>
      <c r="J14" s="76">
        <f>B14*Weights!$P$11</f>
        <v>0</v>
      </c>
      <c r="K14" s="76">
        <f>C14*Weights!$P$11</f>
        <v>0</v>
      </c>
      <c r="L14" s="76">
        <f>D14*Weights!$P$11</f>
        <v>0</v>
      </c>
      <c r="M14" s="76">
        <f>E14*Weights!$P$11</f>
        <v>0</v>
      </c>
      <c r="N14" s="76">
        <f>F14*Weights!$P$11</f>
        <v>0</v>
      </c>
      <c r="O14" s="76">
        <f>G14*Weights!$P$11</f>
        <v>0</v>
      </c>
      <c r="P14" s="76">
        <f>H14*Weights!$P$11</f>
        <v>0</v>
      </c>
      <c r="Q14" s="76">
        <f>I14*Weights!$P$11</f>
        <v>0</v>
      </c>
    </row>
    <row r="15" spans="1:17" ht="15.5">
      <c r="A15" s="32" t="s">
        <v>1603</v>
      </c>
      <c r="B15" s="959">
        <v>0</v>
      </c>
      <c r="C15" s="959">
        <v>0</v>
      </c>
      <c r="D15" s="959">
        <v>0</v>
      </c>
      <c r="E15" s="959">
        <v>0</v>
      </c>
      <c r="F15" s="959">
        <v>0</v>
      </c>
      <c r="G15" s="959">
        <v>0</v>
      </c>
      <c r="H15" s="959">
        <v>0</v>
      </c>
      <c r="I15" s="959">
        <v>0</v>
      </c>
      <c r="J15" s="76">
        <f>B15*Weights!$P$12</f>
        <v>0</v>
      </c>
      <c r="K15" s="76">
        <f>C15*Weights!$P$12</f>
        <v>0</v>
      </c>
      <c r="L15" s="76">
        <f>D15*Weights!$P$12</f>
        <v>0</v>
      </c>
      <c r="M15" s="76">
        <f>E15*Weights!$P$12</f>
        <v>0</v>
      </c>
      <c r="N15" s="76">
        <f>F15*Weights!$P$12</f>
        <v>0</v>
      </c>
      <c r="O15" s="76">
        <f>G15*Weights!$P$12</f>
        <v>0</v>
      </c>
      <c r="P15" s="76">
        <f>H15*Weights!$P$12</f>
        <v>0</v>
      </c>
      <c r="Q15" s="76">
        <f>I15*Weights!$P$12</f>
        <v>0</v>
      </c>
    </row>
    <row r="16" spans="1:17" ht="15.5">
      <c r="A16" s="32" t="s">
        <v>1604</v>
      </c>
      <c r="B16" s="959">
        <v>0</v>
      </c>
      <c r="C16" s="959">
        <v>0</v>
      </c>
      <c r="D16" s="959">
        <v>0</v>
      </c>
      <c r="E16" s="959">
        <v>0</v>
      </c>
      <c r="F16" s="959">
        <v>0</v>
      </c>
      <c r="G16" s="959">
        <v>0</v>
      </c>
      <c r="H16" s="959">
        <v>0</v>
      </c>
      <c r="I16" s="959">
        <v>0</v>
      </c>
      <c r="J16" s="76">
        <f>B16*Weights!$P$13</f>
        <v>0</v>
      </c>
      <c r="K16" s="76">
        <f>C16*Weights!$P$13</f>
        <v>0</v>
      </c>
      <c r="L16" s="76">
        <f>D16*Weights!$P$13</f>
        <v>0</v>
      </c>
      <c r="M16" s="76">
        <f>E16*Weights!$P$13</f>
        <v>0</v>
      </c>
      <c r="N16" s="76">
        <f>F16*Weights!$P$13</f>
        <v>0</v>
      </c>
      <c r="O16" s="76">
        <f>G16*Weights!$P$13</f>
        <v>0</v>
      </c>
      <c r="P16" s="76">
        <f>H16*Weights!$P$13</f>
        <v>0</v>
      </c>
      <c r="Q16" s="76">
        <f>I16*Weights!$P$13</f>
        <v>0</v>
      </c>
    </row>
    <row r="17" spans="1:17" ht="15.5">
      <c r="A17" s="32" t="s">
        <v>546</v>
      </c>
      <c r="B17" s="959">
        <v>0</v>
      </c>
      <c r="C17" s="959">
        <v>0</v>
      </c>
      <c r="D17" s="959">
        <v>0</v>
      </c>
      <c r="E17" s="959">
        <v>0</v>
      </c>
      <c r="F17" s="959">
        <v>0</v>
      </c>
      <c r="G17" s="959">
        <v>0</v>
      </c>
      <c r="H17" s="959">
        <v>0</v>
      </c>
      <c r="I17" s="959">
        <v>0</v>
      </c>
      <c r="J17" s="76">
        <f>B17*Weights!$P$14</f>
        <v>0</v>
      </c>
      <c r="K17" s="76">
        <f>C17*Weights!$P$14</f>
        <v>0</v>
      </c>
      <c r="L17" s="76">
        <f>D17*Weights!$P$14</f>
        <v>0</v>
      </c>
      <c r="M17" s="76">
        <f>E17*Weights!$P$14</f>
        <v>0</v>
      </c>
      <c r="N17" s="76">
        <f>F17*Weights!$P$14</f>
        <v>0</v>
      </c>
      <c r="O17" s="76">
        <f>G17*Weights!$P$14</f>
        <v>0</v>
      </c>
      <c r="P17" s="76">
        <f>H17*Weights!$P$14</f>
        <v>0</v>
      </c>
      <c r="Q17" s="76">
        <f>I17*Weights!$P$14</f>
        <v>0</v>
      </c>
    </row>
    <row r="18" spans="1:17" ht="15.5">
      <c r="A18" s="32" t="s">
        <v>1901</v>
      </c>
      <c r="B18" s="959">
        <v>0</v>
      </c>
      <c r="C18" s="959">
        <v>0</v>
      </c>
      <c r="D18" s="959">
        <v>0</v>
      </c>
      <c r="E18" s="959">
        <v>0</v>
      </c>
      <c r="F18" s="959">
        <v>0</v>
      </c>
      <c r="G18" s="959">
        <v>0</v>
      </c>
      <c r="H18" s="959">
        <v>0</v>
      </c>
      <c r="I18" s="959">
        <v>0</v>
      </c>
      <c r="J18" s="76">
        <f>B18*Weights!$P$15</f>
        <v>0</v>
      </c>
      <c r="K18" s="76">
        <f>C18*Weights!$P$15</f>
        <v>0</v>
      </c>
      <c r="L18" s="76">
        <f>D18*Weights!$P$15</f>
        <v>0</v>
      </c>
      <c r="M18" s="76">
        <f>E18*Weights!$P$15</f>
        <v>0</v>
      </c>
      <c r="N18" s="76">
        <f>F18*Weights!$P$15</f>
        <v>0</v>
      </c>
      <c r="O18" s="76">
        <f>G18*Weights!$P$15</f>
        <v>0</v>
      </c>
      <c r="P18" s="76">
        <f>H18*Weights!$P$15</f>
        <v>0</v>
      </c>
      <c r="Q18" s="76">
        <f>I18*Weights!$P$15</f>
        <v>0</v>
      </c>
    </row>
    <row r="19" spans="1:17" ht="15.5">
      <c r="A19" s="32" t="s">
        <v>1902</v>
      </c>
      <c r="B19" s="959">
        <v>0</v>
      </c>
      <c r="C19" s="959">
        <v>0</v>
      </c>
      <c r="D19" s="959">
        <v>0</v>
      </c>
      <c r="E19" s="959">
        <v>0</v>
      </c>
      <c r="F19" s="959">
        <v>0</v>
      </c>
      <c r="G19" s="959">
        <v>0</v>
      </c>
      <c r="H19" s="959">
        <v>0</v>
      </c>
      <c r="I19" s="959">
        <v>0</v>
      </c>
      <c r="J19" s="76">
        <f>B19*Weights!$P$16</f>
        <v>0</v>
      </c>
      <c r="K19" s="76">
        <f>C19*Weights!$P$16</f>
        <v>0</v>
      </c>
      <c r="L19" s="76">
        <f>D19*Weights!$P$16</f>
        <v>0</v>
      </c>
      <c r="M19" s="76">
        <f>E19*Weights!$P$16</f>
        <v>0</v>
      </c>
      <c r="N19" s="76">
        <f>F19*Weights!$P$16</f>
        <v>0</v>
      </c>
      <c r="O19" s="76">
        <f>G19*Weights!$P$16</f>
        <v>0</v>
      </c>
      <c r="P19" s="76">
        <f>H19*Weights!$P$16</f>
        <v>0</v>
      </c>
      <c r="Q19" s="76">
        <f>I19*Weights!$P$16</f>
        <v>0</v>
      </c>
    </row>
    <row r="20" spans="1:17" ht="15.5">
      <c r="A20" s="32" t="s">
        <v>473</v>
      </c>
      <c r="B20" s="959">
        <v>0</v>
      </c>
      <c r="C20" s="959">
        <v>0</v>
      </c>
      <c r="D20" s="959">
        <v>0</v>
      </c>
      <c r="E20" s="959">
        <v>0</v>
      </c>
      <c r="F20" s="959">
        <v>0</v>
      </c>
      <c r="G20" s="959">
        <v>0</v>
      </c>
      <c r="H20" s="959">
        <v>0</v>
      </c>
      <c r="I20" s="959">
        <v>0</v>
      </c>
      <c r="J20" s="967">
        <f t="shared" ref="J20:Q20" si="0">SUM(J13:J19)</f>
        <v>0</v>
      </c>
      <c r="K20" s="967">
        <f t="shared" si="0"/>
        <v>0</v>
      </c>
      <c r="L20" s="967">
        <f t="shared" si="0"/>
        <v>0</v>
      </c>
      <c r="M20" s="967">
        <f t="shared" si="0"/>
        <v>0</v>
      </c>
      <c r="N20" s="967">
        <f t="shared" si="0"/>
        <v>0</v>
      </c>
      <c r="O20" s="967">
        <f t="shared" si="0"/>
        <v>0</v>
      </c>
      <c r="P20" s="967">
        <f t="shared" si="0"/>
        <v>0</v>
      </c>
      <c r="Q20" s="967">
        <f t="shared" si="0"/>
        <v>0</v>
      </c>
    </row>
    <row r="21" spans="1:17" ht="15.5">
      <c r="A21" s="32" t="s">
        <v>502</v>
      </c>
      <c r="B21" s="959">
        <v>0</v>
      </c>
      <c r="C21" s="959">
        <v>0</v>
      </c>
      <c r="D21" s="959">
        <v>0</v>
      </c>
      <c r="E21" s="959">
        <v>0</v>
      </c>
      <c r="F21" s="959">
        <v>0</v>
      </c>
      <c r="G21" s="959">
        <v>0</v>
      </c>
      <c r="H21" s="959">
        <v>0</v>
      </c>
      <c r="I21" s="959">
        <v>0</v>
      </c>
    </row>
    <row r="22" spans="1:17" ht="15.5">
      <c r="A22" s="32" t="s">
        <v>503</v>
      </c>
      <c r="B22" s="959">
        <v>0</v>
      </c>
      <c r="C22" s="959">
        <v>0</v>
      </c>
      <c r="D22" s="959">
        <v>0</v>
      </c>
      <c r="E22" s="959">
        <v>0</v>
      </c>
      <c r="F22" s="959">
        <v>0</v>
      </c>
      <c r="G22" s="959">
        <v>0</v>
      </c>
      <c r="H22" s="959">
        <v>0</v>
      </c>
      <c r="I22" s="959">
        <v>0</v>
      </c>
    </row>
    <row r="23" spans="1:17" ht="15.5">
      <c r="A23" s="32" t="s">
        <v>504</v>
      </c>
      <c r="B23" s="959">
        <v>0</v>
      </c>
      <c r="C23" s="959">
        <v>0</v>
      </c>
      <c r="D23" s="959">
        <v>0</v>
      </c>
      <c r="E23" s="959">
        <v>0</v>
      </c>
      <c r="F23" s="959">
        <v>0</v>
      </c>
      <c r="G23" s="959">
        <v>0</v>
      </c>
      <c r="H23" s="959">
        <v>0</v>
      </c>
      <c r="I23" s="959">
        <v>0</v>
      </c>
    </row>
    <row r="24" spans="1:17" ht="15.5">
      <c r="A24" s="1656" t="s">
        <v>7435</v>
      </c>
      <c r="B24" s="959">
        <v>0</v>
      </c>
      <c r="C24" s="959">
        <v>0</v>
      </c>
      <c r="D24" s="959">
        <v>0</v>
      </c>
      <c r="E24" s="959">
        <v>0</v>
      </c>
      <c r="F24" s="959">
        <v>0</v>
      </c>
      <c r="G24" s="959">
        <v>0</v>
      </c>
      <c r="H24" s="959">
        <v>0</v>
      </c>
      <c r="I24" s="959">
        <v>0</v>
      </c>
    </row>
    <row r="25" spans="1:17" ht="15.5">
      <c r="A25" s="32" t="s">
        <v>9096</v>
      </c>
      <c r="B25" s="959">
        <v>0</v>
      </c>
      <c r="C25" s="959">
        <v>0</v>
      </c>
      <c r="D25" s="959">
        <v>0</v>
      </c>
      <c r="E25" s="959">
        <v>0</v>
      </c>
      <c r="F25" s="959">
        <v>0</v>
      </c>
      <c r="G25" s="959">
        <v>0</v>
      </c>
      <c r="H25" s="959">
        <v>0</v>
      </c>
      <c r="I25" s="959">
        <v>0</v>
      </c>
    </row>
    <row r="26" spans="1:17" ht="15.5">
      <c r="A26" s="32" t="s">
        <v>9097</v>
      </c>
      <c r="B26" s="959">
        <v>0</v>
      </c>
      <c r="C26" s="959">
        <v>0</v>
      </c>
      <c r="D26" s="959">
        <v>0</v>
      </c>
      <c r="E26" s="959">
        <v>0</v>
      </c>
      <c r="F26" s="959">
        <v>0</v>
      </c>
      <c r="G26" s="959">
        <v>0</v>
      </c>
      <c r="H26" s="959">
        <v>0</v>
      </c>
      <c r="I26" s="959">
        <v>0</v>
      </c>
    </row>
    <row r="27" spans="1:17" ht="15.5">
      <c r="A27" s="32" t="s">
        <v>9098</v>
      </c>
      <c r="B27" s="959">
        <v>0</v>
      </c>
      <c r="C27" s="959">
        <v>0</v>
      </c>
      <c r="D27" s="959">
        <v>0</v>
      </c>
      <c r="E27" s="959">
        <v>0</v>
      </c>
      <c r="F27" s="959">
        <v>0</v>
      </c>
      <c r="G27" s="959">
        <v>0</v>
      </c>
      <c r="H27" s="959">
        <v>0</v>
      </c>
      <c r="I27" s="959">
        <v>0</v>
      </c>
    </row>
    <row r="28" spans="1:17" ht="15.5">
      <c r="A28" s="958" t="s">
        <v>7855</v>
      </c>
      <c r="B28" s="959">
        <v>0</v>
      </c>
      <c r="C28" s="959">
        <v>0</v>
      </c>
      <c r="D28" s="959">
        <v>0</v>
      </c>
      <c r="E28" s="959">
        <v>0</v>
      </c>
      <c r="F28" s="959">
        <v>0</v>
      </c>
      <c r="G28" s="959">
        <v>0</v>
      </c>
      <c r="H28" s="959">
        <v>0</v>
      </c>
      <c r="I28" s="959">
        <v>0</v>
      </c>
    </row>
    <row r="29" spans="1:17" ht="15.5">
      <c r="A29" s="958" t="s">
        <v>7856</v>
      </c>
      <c r="B29" s="959">
        <v>0</v>
      </c>
      <c r="C29" s="959">
        <v>0</v>
      </c>
      <c r="D29" s="959">
        <v>0</v>
      </c>
      <c r="E29" s="959">
        <v>0</v>
      </c>
      <c r="F29" s="959">
        <v>0</v>
      </c>
      <c r="G29" s="959">
        <v>0</v>
      </c>
      <c r="H29" s="959">
        <v>0</v>
      </c>
      <c r="I29" s="959">
        <v>0</v>
      </c>
    </row>
    <row r="30" spans="1:17" ht="15.5">
      <c r="A30" s="958" t="s">
        <v>7857</v>
      </c>
      <c r="B30" s="959">
        <v>0</v>
      </c>
      <c r="C30" s="959">
        <v>0</v>
      </c>
      <c r="D30" s="959">
        <v>0</v>
      </c>
      <c r="E30" s="959">
        <v>0</v>
      </c>
      <c r="F30" s="959">
        <v>0</v>
      </c>
      <c r="G30" s="959">
        <v>0</v>
      </c>
      <c r="H30" s="959">
        <v>0</v>
      </c>
      <c r="I30" s="959">
        <v>0</v>
      </c>
    </row>
    <row r="31" spans="1:17" ht="15.5">
      <c r="A31" s="958" t="s">
        <v>7858</v>
      </c>
      <c r="B31" s="959">
        <v>0</v>
      </c>
      <c r="C31" s="959">
        <v>0</v>
      </c>
      <c r="D31" s="959">
        <v>0</v>
      </c>
      <c r="E31" s="959">
        <v>0</v>
      </c>
      <c r="F31" s="959">
        <v>0</v>
      </c>
      <c r="G31" s="959">
        <v>0</v>
      </c>
      <c r="H31" s="959">
        <v>0</v>
      </c>
      <c r="I31" s="959">
        <v>0</v>
      </c>
    </row>
    <row r="32" spans="1:17" ht="15.5">
      <c r="A32" s="958" t="s">
        <v>7859</v>
      </c>
      <c r="B32" s="959">
        <v>0</v>
      </c>
      <c r="C32" s="959">
        <v>0</v>
      </c>
      <c r="D32" s="959">
        <v>0</v>
      </c>
      <c r="E32" s="959">
        <v>0</v>
      </c>
      <c r="F32" s="959">
        <v>0</v>
      </c>
      <c r="G32" s="959">
        <v>0</v>
      </c>
      <c r="H32" s="959">
        <v>0</v>
      </c>
      <c r="I32" s="959">
        <v>0</v>
      </c>
    </row>
    <row r="33" spans="1:9" ht="15.5">
      <c r="A33" s="32" t="s">
        <v>506</v>
      </c>
      <c r="B33" s="959">
        <v>0</v>
      </c>
      <c r="C33" s="959">
        <v>0</v>
      </c>
      <c r="D33" s="959">
        <v>0</v>
      </c>
      <c r="E33" s="959">
        <v>0</v>
      </c>
      <c r="F33" s="959">
        <v>0</v>
      </c>
      <c r="G33" s="959">
        <v>0</v>
      </c>
      <c r="H33" s="959">
        <v>0</v>
      </c>
      <c r="I33" s="959">
        <v>0</v>
      </c>
    </row>
    <row r="34" spans="1:9" ht="15.5">
      <c r="A34" s="1669" t="s">
        <v>9095</v>
      </c>
      <c r="B34" s="959">
        <v>0</v>
      </c>
      <c r="C34" s="959">
        <v>0</v>
      </c>
      <c r="D34" s="959">
        <v>0</v>
      </c>
      <c r="E34" s="959">
        <v>0</v>
      </c>
      <c r="F34" s="959">
        <v>0</v>
      </c>
      <c r="G34" s="959">
        <v>0</v>
      </c>
      <c r="H34" s="959">
        <v>0</v>
      </c>
      <c r="I34" s="959">
        <v>0</v>
      </c>
    </row>
    <row r="35" spans="1:9" ht="15.5">
      <c r="A35" s="958" t="s">
        <v>7860</v>
      </c>
      <c r="B35" s="959">
        <v>0</v>
      </c>
      <c r="C35" s="959">
        <v>0</v>
      </c>
      <c r="D35" s="959">
        <v>0</v>
      </c>
      <c r="E35" s="959">
        <v>0</v>
      </c>
      <c r="F35" s="959">
        <v>0</v>
      </c>
      <c r="G35" s="959">
        <v>0</v>
      </c>
      <c r="H35" s="959">
        <v>0</v>
      </c>
      <c r="I35" s="959">
        <v>0</v>
      </c>
    </row>
    <row r="36" spans="1:9" ht="15.5">
      <c r="A36" s="958" t="s">
        <v>7861</v>
      </c>
      <c r="B36" s="959">
        <v>0</v>
      </c>
      <c r="C36" s="959">
        <v>0</v>
      </c>
      <c r="D36" s="959">
        <v>0</v>
      </c>
      <c r="E36" s="959">
        <v>0</v>
      </c>
      <c r="F36" s="959">
        <v>0</v>
      </c>
      <c r="G36" s="959">
        <v>0</v>
      </c>
      <c r="H36" s="959">
        <v>0</v>
      </c>
      <c r="I36" s="959">
        <v>0</v>
      </c>
    </row>
    <row r="37" spans="1:9" ht="15.5">
      <c r="A37" s="958" t="s">
        <v>7862</v>
      </c>
      <c r="B37" s="959">
        <v>0</v>
      </c>
      <c r="C37" s="959">
        <v>0</v>
      </c>
      <c r="D37" s="959">
        <v>0</v>
      </c>
      <c r="E37" s="959">
        <v>0</v>
      </c>
      <c r="F37" s="959">
        <v>0</v>
      </c>
      <c r="G37" s="959">
        <v>0</v>
      </c>
      <c r="H37" s="959">
        <v>0</v>
      </c>
      <c r="I37" s="959">
        <v>0</v>
      </c>
    </row>
    <row r="38" spans="1:9" ht="15.5">
      <c r="A38" s="958" t="s">
        <v>7629</v>
      </c>
      <c r="B38" s="959">
        <v>0</v>
      </c>
      <c r="C38" s="959">
        <f t="shared" ref="C38:I38" si="1">C11*0.05</f>
        <v>0</v>
      </c>
      <c r="D38" s="959">
        <f t="shared" si="1"/>
        <v>0</v>
      </c>
      <c r="E38" s="959">
        <f t="shared" si="1"/>
        <v>0</v>
      </c>
      <c r="F38" s="959">
        <f t="shared" si="1"/>
        <v>0</v>
      </c>
      <c r="G38" s="959">
        <f t="shared" si="1"/>
        <v>0</v>
      </c>
      <c r="H38" s="959">
        <f t="shared" si="1"/>
        <v>0</v>
      </c>
      <c r="I38" s="959">
        <f t="shared" si="1"/>
        <v>0</v>
      </c>
    </row>
    <row r="42" spans="1:9" ht="13">
      <c r="B42" s="1894" t="s">
        <v>7366</v>
      </c>
      <c r="C42" s="1894" t="s">
        <v>7366</v>
      </c>
      <c r="D42" s="1894" t="s">
        <v>7366</v>
      </c>
      <c r="E42" s="1894" t="s">
        <v>7366</v>
      </c>
      <c r="F42" s="1894" t="s">
        <v>7366</v>
      </c>
      <c r="G42" s="1894" t="s">
        <v>7366</v>
      </c>
      <c r="H42" s="1894" t="s">
        <v>7366</v>
      </c>
      <c r="I42" s="1894" t="s">
        <v>7366</v>
      </c>
    </row>
    <row r="43" spans="1:9" ht="15.5">
      <c r="A43" s="1657" t="s">
        <v>7377</v>
      </c>
      <c r="B43" s="965" t="s">
        <v>7358</v>
      </c>
      <c r="C43" s="965" t="s">
        <v>7359</v>
      </c>
      <c r="D43" s="965" t="s">
        <v>7360</v>
      </c>
      <c r="E43" s="966" t="s">
        <v>7361</v>
      </c>
      <c r="F43" s="966" t="s">
        <v>10695</v>
      </c>
      <c r="G43" s="966" t="s">
        <v>10696</v>
      </c>
      <c r="H43" s="966" t="s">
        <v>10697</v>
      </c>
      <c r="I43" s="966" t="s">
        <v>10698</v>
      </c>
    </row>
    <row r="44" spans="1:9" ht="15.5">
      <c r="A44" s="964" t="s">
        <v>2635</v>
      </c>
      <c r="B44" s="968" t="e">
        <f>B$71*Assumptions!$H$163</f>
        <v>#DIV/0!</v>
      </c>
      <c r="C44" s="968" t="e">
        <f>C$71*Assumptions!$H$163</f>
        <v>#DIV/0!</v>
      </c>
      <c r="D44" s="968" t="e">
        <f>D$71*Assumptions!$H$163</f>
        <v>#DIV/0!</v>
      </c>
      <c r="E44" s="968" t="e">
        <f>E$71*Assumptions!$H$163</f>
        <v>#DIV/0!</v>
      </c>
      <c r="F44" s="968" t="e">
        <f>F$71*Assumptions!$H$163</f>
        <v>#DIV/0!</v>
      </c>
      <c r="G44" s="968" t="e">
        <f>G$71*Assumptions!$H$163</f>
        <v>#DIV/0!</v>
      </c>
      <c r="H44" s="968" t="e">
        <f>H$71*Assumptions!$H$163</f>
        <v>#DIV/0!</v>
      </c>
      <c r="I44" s="968" t="e">
        <f>I$71*Assumptions!$H$163</f>
        <v>#DIV/0!</v>
      </c>
    </row>
    <row r="45" spans="1:9" ht="15.5">
      <c r="A45" s="964" t="s">
        <v>7854</v>
      </c>
      <c r="B45" s="1655" t="e">
        <f>'SOF2425-HB3'!$I$21*(B$71/'Calc Data'!$G$12)</f>
        <v>#DIV/0!</v>
      </c>
      <c r="C45" s="1655" t="e">
        <f>'SOF2324-HB3'!$I$21*(C$71/'Calc Data'!$G$12)</f>
        <v>#DIV/0!</v>
      </c>
      <c r="D45" s="1655" t="e">
        <f>'SOF2324-HB3'!$I$21*(D$71/'Calc Data'!$G$12)</f>
        <v>#DIV/0!</v>
      </c>
      <c r="E45" s="1655" t="e">
        <f>'SOF2324-HB3'!$I$21*(E$71/'Calc Data'!$G$12)</f>
        <v>#DIV/0!</v>
      </c>
      <c r="F45" s="1655" t="e">
        <f>'SOF2324-HB3'!$I$21*(F$71/'Calc Data'!$G$12)</f>
        <v>#DIV/0!</v>
      </c>
      <c r="G45" s="1655" t="e">
        <f>'SOF2324-HB3'!$I$21*(G$71/'Calc Data'!$G$12)</f>
        <v>#DIV/0!</v>
      </c>
      <c r="H45" s="1655" t="e">
        <f>'SOF2324-HB3'!$I$21*(H$71/'Calc Data'!$G$12)</f>
        <v>#DIV/0!</v>
      </c>
      <c r="I45" s="1655" t="e">
        <f>'SOF2324-HB3'!$I$21*(I$71/'Calc Data'!$G$12)</f>
        <v>#DIV/0!</v>
      </c>
    </row>
    <row r="46" spans="1:9" ht="15.5">
      <c r="A46" s="964" t="s">
        <v>2639</v>
      </c>
      <c r="B46" s="968" t="e">
        <f>(B$70*('Calc Data'!$G$96+Assumptions!$H$163))+(B$20*'Weights-HB3'!$L$14*('Calc Data'!$G$96+Assumptions!$H$163))+(B$21*'Weights-HB3'!$L$15*('Calc Data'!$G$96+Assumptions!$H$163))+(B$22*'Weights-HB3'!$L$16*('Calc Data'!$G$96+Assumptions!$H$163))+(B$23*'Weights-HB3'!$L$18*('Calc Data'!$G$96+Assumptions!$H$163))</f>
        <v>#DIV/0!</v>
      </c>
      <c r="C46" s="968" t="e">
        <f>(C$70*('Calc Data'!$G$96+Assumptions!$H$163))+(C$20*'Weights-HB3'!$L$14*('Calc Data'!$G$96+Assumptions!$H$163))+(C$21*'Weights-HB3'!$L$15*('Calc Data'!$G$96+Assumptions!$H$163))+(C$22*'Weights-HB3'!$L$16*('Calc Data'!$G$96+Assumptions!$H$163))+(C$23*'Weights-HB3'!$L$18*('Calc Data'!$G$96+Assumptions!$H$163))</f>
        <v>#DIV/0!</v>
      </c>
      <c r="D46" s="968" t="e">
        <f>(D$70*('Calc Data'!$G$96+Assumptions!$H$163))+(D$20*'Weights-HB3'!$L$14*('Calc Data'!$G$96+Assumptions!$H$163))+(D$21*'Weights-HB3'!$L$15*('Calc Data'!$G$96+Assumptions!$H$163))+(D$22*'Weights-HB3'!$L$16*('Calc Data'!$G$96+Assumptions!$H$163))+(D$23*'Weights-HB3'!$L$18*('Calc Data'!$G$96+Assumptions!$H$163))</f>
        <v>#DIV/0!</v>
      </c>
      <c r="E46" s="968" t="e">
        <f>(E$70*('Calc Data'!$G$96+Assumptions!$H$163))+(E$20*'Weights-HB3'!$L$14*('Calc Data'!$G$96+Assumptions!$H$163))+(E$21*'Weights-HB3'!$L$15*('Calc Data'!$G$96+Assumptions!$H$163))+(E$22*'Weights-HB3'!$L$16*('Calc Data'!$G$96+Assumptions!$H$163))+(E$23*'Weights-HB3'!$L$18*('Calc Data'!$G$96+Assumptions!$H$163))</f>
        <v>#DIV/0!</v>
      </c>
      <c r="F46" s="968" t="e">
        <f>(F$70*('Calc Data'!$G$96+Assumptions!$H$163))+(F$20*'Weights-HB3'!$L$14*('Calc Data'!$G$96+Assumptions!$H$163))+(F$21*'Weights-HB3'!$L$15*('Calc Data'!$G$96+Assumptions!$H$163))+(F$22*'Weights-HB3'!$L$16*('Calc Data'!$G$96+Assumptions!$H$163))+(F$23*'Weights-HB3'!$L$18*('Calc Data'!$G$96+Assumptions!$H$163))</f>
        <v>#DIV/0!</v>
      </c>
      <c r="G46" s="968" t="e">
        <f>(G$70*('Calc Data'!$G$96+Assumptions!$H$163))+(G$20*'Weights-HB3'!$L$14*('Calc Data'!$G$96+Assumptions!$H$163))+(G$21*'Weights-HB3'!$L$15*('Calc Data'!$G$96+Assumptions!$H$163))+(G$22*'Weights-HB3'!$L$16*('Calc Data'!$G$96+Assumptions!$H$163))+(G$23*'Weights-HB3'!$L$18*('Calc Data'!$G$96+Assumptions!$H$163))</f>
        <v>#DIV/0!</v>
      </c>
      <c r="H46" s="968" t="e">
        <f>(H$70*('Calc Data'!$G$96+Assumptions!$H$163))+(H$20*'Weights-HB3'!$L$14*('Calc Data'!$G$96+Assumptions!$H$163))+(H$21*'Weights-HB3'!$L$15*('Calc Data'!$G$96+Assumptions!$H$163))+(H$22*'Weights-HB3'!$L$16*('Calc Data'!$G$96+Assumptions!$H$163))+(H$23*'Weights-HB3'!$L$18*('Calc Data'!$G$96+Assumptions!$H$163))</f>
        <v>#DIV/0!</v>
      </c>
      <c r="I46" s="968" t="e">
        <f>(I$70*('Calc Data'!$G$96+Assumptions!$H$163))+(I$20*'Weights-HB3'!$L$14*('Calc Data'!$G$96+Assumptions!$H$163))+(I$21*'Weights-HB3'!$L$15*('Calc Data'!$G$96+Assumptions!$H$163))+(I$22*'Weights-HB3'!$L$16*('Calc Data'!$G$96+Assumptions!$H$163))+(I$23*'Weights-HB3'!$L$18*('Calc Data'!$G$96+Assumptions!$H$163))</f>
        <v>#DIV/0!</v>
      </c>
    </row>
    <row r="47" spans="1:9" ht="15.5">
      <c r="A47" s="964" t="s">
        <v>7436</v>
      </c>
      <c r="B47" s="1655" t="e">
        <f>B$24*'Weights-HB3'!$L$72*Assumptions!$H$163</f>
        <v>#DIV/0!</v>
      </c>
      <c r="C47" s="1655" t="e">
        <f>C$24*'Weights-HB3'!$L$72*Assumptions!$H$163</f>
        <v>#DIV/0!</v>
      </c>
      <c r="D47" s="1655" t="e">
        <f>D$24*'Weights-HB3'!$L$72*Assumptions!$H$163</f>
        <v>#DIV/0!</v>
      </c>
      <c r="E47" s="1655" t="e">
        <f>E$24*'Weights-HB3'!$L$72*Assumptions!$H$163</f>
        <v>#DIV/0!</v>
      </c>
      <c r="F47" s="1655" t="e">
        <f>F$24*'Weights-HB3'!$L$72*Assumptions!$H$163</f>
        <v>#DIV/0!</v>
      </c>
      <c r="G47" s="1655" t="e">
        <f>G$24*'Weights-HB3'!$L$72*Assumptions!$H$163</f>
        <v>#DIV/0!</v>
      </c>
      <c r="H47" s="1655" t="e">
        <f>H$24*'Weights-HB3'!$L$72*Assumptions!$H$163</f>
        <v>#DIV/0!</v>
      </c>
      <c r="I47" s="1655" t="e">
        <f>I$24*'Weights-HB3'!$L$72*Assumptions!$H$163</f>
        <v>#DIV/0!</v>
      </c>
    </row>
    <row r="48" spans="1:9" ht="15.5">
      <c r="A48" s="964" t="s">
        <v>7363</v>
      </c>
      <c r="B48" s="968" t="e">
        <f>(B$25*(Assumptions!$H$163+'Calc Data'!$G$96)*'Weights-HB3'!$L$21)+(B$26*(Assumptions!$H$163+'Calc Data'!$G$96)*'Weights-HB3'!$L$22)+(B$27*(Assumptions!$H$163+'Calc Data'!$G$96)*'Weights-HB3'!$L$23)</f>
        <v>#DIV/0!</v>
      </c>
      <c r="C48" s="968" t="e">
        <f>(C$25*(Assumptions!$H$163+'Calc Data'!$G$96)*'Weights-HB3'!$L$21)+(C$26*(Assumptions!$H$163+'Calc Data'!$G$96)*'Weights-HB3'!$L$22)+(C$27*(Assumptions!$H$163+'Calc Data'!$G$96)*'Weights-HB3'!$L$23)</f>
        <v>#DIV/0!</v>
      </c>
      <c r="D48" s="968" t="e">
        <f>(D$25*(Assumptions!$H$163+'Calc Data'!$G$96)*'Weights-HB3'!$L$21)+(D$26*(Assumptions!$H$163+'Calc Data'!$G$96)*'Weights-HB3'!$L$22)+(D$27*(Assumptions!$H$163+'Calc Data'!$G$96)*'Weights-HB3'!$L$23)</f>
        <v>#DIV/0!</v>
      </c>
      <c r="E48" s="968" t="e">
        <f>(E$25*(Assumptions!$H$163+'Calc Data'!$G$96)*'Weights-HB3'!$L$21)+(E$26*(Assumptions!$H$163+'Calc Data'!$G$96)*'Weights-HB3'!$L$22)+(E$27*(Assumptions!$H$163+'Calc Data'!$G$96)*'Weights-HB3'!$L$23)</f>
        <v>#DIV/0!</v>
      </c>
      <c r="F48" s="968" t="e">
        <f>(F$25*(Assumptions!$H$163+'Calc Data'!$G$96)*'Weights-HB3'!$L$21)+(F$26*(Assumptions!$H$163+'Calc Data'!$G$96)*'Weights-HB3'!$L$22)+(F$27*(Assumptions!$H$163+'Calc Data'!$G$96)*'Weights-HB3'!$L$23)</f>
        <v>#DIV/0!</v>
      </c>
      <c r="G48" s="968" t="e">
        <f>(G$25*(Assumptions!$H$163+'Calc Data'!$G$96)*'Weights-HB3'!$L$21)+(G$26*(Assumptions!$H$163+'Calc Data'!$G$96)*'Weights-HB3'!$L$22)+(G$27*(Assumptions!$H$163+'Calc Data'!$G$96)*'Weights-HB3'!$L$23)</f>
        <v>#DIV/0!</v>
      </c>
      <c r="H48" s="968" t="e">
        <f>(H$25*(Assumptions!$H$163+'Calc Data'!$G$96)*'Weights-HB3'!$L$21)+(H$26*(Assumptions!$H$163+'Calc Data'!$G$96)*'Weights-HB3'!$L$22)+(H$27*(Assumptions!$H$163+'Calc Data'!$G$96)*'Weights-HB3'!$L$23)</f>
        <v>#DIV/0!</v>
      </c>
      <c r="I48" s="968" t="e">
        <f>(I$25*(Assumptions!$H$163+'Calc Data'!$G$96)*'Weights-HB3'!$L$21)+(I$26*(Assumptions!$H$163+'Calc Data'!$G$96)*'Weights-HB3'!$L$22)+(I$27*(Assumptions!$H$163+'Calc Data'!$G$96)*'Weights-HB3'!$L$23)</f>
        <v>#DIV/0!</v>
      </c>
    </row>
    <row r="49" spans="1:10" ht="15.5">
      <c r="A49" s="964" t="s">
        <v>7364</v>
      </c>
      <c r="B49" s="968" t="e">
        <f>(B$28*Assumptions!$H$163*'Weights-HB3'!$L$36)+(B$29*Assumptions!$H$163*'Weights-HB3'!$L$37)+(B$30*Assumptions!$H$163*'Weights-HB3'!$L$38)+(B$31*Assumptions!$H$163*'Weights-HB3'!$L$39)+(B$32*Assumptions!$H$163*'Weights-HB3'!$L$40)+(B$33*Assumptions!$H$163*'Weights-HB3'!$L$43)</f>
        <v>#DIV/0!</v>
      </c>
      <c r="C49" s="968" t="e">
        <f>(C$28*Assumptions!$H$163*'Weights-HB3'!$L$36)+(C$29*Assumptions!$H$163*'Weights-HB3'!$L$37)+(C$30*Assumptions!$H$163*'Weights-HB3'!$L$38)+(C$31*Assumptions!$H$163*'Weights-HB3'!$L$39)+(C$32*Assumptions!$H$163*'Weights-HB3'!$L$40)+(C$33*Assumptions!$H$163*'Weights-HB3'!$L$43)</f>
        <v>#DIV/0!</v>
      </c>
      <c r="D49" s="968" t="e">
        <f>(D$28*Assumptions!$H$163*'Weights-HB3'!$L$36)+(D$29*Assumptions!$H$163*'Weights-HB3'!$L$37)+(D$30*Assumptions!$H$163*'Weights-HB3'!$L$38)+(D$31*Assumptions!$H$163*'Weights-HB3'!$L$39)+(D$32*Assumptions!$H$163*'Weights-HB3'!$L$40)+(D$33*Assumptions!$H$163*'Weights-HB3'!$L$43)</f>
        <v>#DIV/0!</v>
      </c>
      <c r="E49" s="968" t="e">
        <f>(E$28*Assumptions!$H$163*'Weights-HB3'!$L$36)+(E$29*Assumptions!$H$163*'Weights-HB3'!$L$37)+(E$30*Assumptions!$H$163*'Weights-HB3'!$L$38)+(E$31*Assumptions!$H$163*'Weights-HB3'!$L$39)+(E$32*Assumptions!$H$163*'Weights-HB3'!$L$40)+(E$33*Assumptions!$H$163*'Weights-HB3'!$L$43)</f>
        <v>#DIV/0!</v>
      </c>
      <c r="F49" s="968" t="e">
        <f>(F$28*Assumptions!$H$163*'Weights-HB3'!$L$36)+(F$29*Assumptions!$H$163*'Weights-HB3'!$L$37)+(F$30*Assumptions!$H$163*'Weights-HB3'!$L$38)+(F$31*Assumptions!$H$163*'Weights-HB3'!$L$39)+(F$32*Assumptions!$H$163*'Weights-HB3'!$L$40)+(F$33*Assumptions!$H$163*'Weights-HB3'!$L$43)</f>
        <v>#DIV/0!</v>
      </c>
      <c r="G49" s="968" t="e">
        <f>(G$28*Assumptions!$H$163*'Weights-HB3'!$L$36)+(G$29*Assumptions!$H$163*'Weights-HB3'!$L$37)+(G$30*Assumptions!$H$163*'Weights-HB3'!$L$38)+(G$31*Assumptions!$H$163*'Weights-HB3'!$L$39)+(G$32*Assumptions!$H$163*'Weights-HB3'!$L$40)+(G$33*Assumptions!$H$163*'Weights-HB3'!$L$43)</f>
        <v>#DIV/0!</v>
      </c>
      <c r="H49" s="968" t="e">
        <f>(H$28*Assumptions!$H$163*'Weights-HB3'!$L$36)+(H$29*Assumptions!$H$163*'Weights-HB3'!$L$37)+(H$30*Assumptions!$H$163*'Weights-HB3'!$L$38)+(H$31*Assumptions!$H$163*'Weights-HB3'!$L$39)+(H$32*Assumptions!$H$163*'Weights-HB3'!$L$40)+(H$33*Assumptions!$H$163*'Weights-HB3'!$L$43)</f>
        <v>#DIV/0!</v>
      </c>
      <c r="I49" s="968" t="e">
        <f>(I$28*Assumptions!$H$163*'Weights-HB3'!$L$36)+(I$29*Assumptions!$H$163*'Weights-HB3'!$L$37)+(I$30*Assumptions!$H$163*'Weights-HB3'!$L$38)+(I$31*Assumptions!$H$163*'Weights-HB3'!$L$39)+(I$32*Assumptions!$H$163*'Weights-HB3'!$L$40)+(I$33*Assumptions!$H$163*'Weights-HB3'!$L$43)</f>
        <v>#DIV/0!</v>
      </c>
    </row>
    <row r="50" spans="1:10" ht="15.5">
      <c r="A50" s="964" t="s">
        <v>2642</v>
      </c>
      <c r="B50" s="968" t="e">
        <f>B$34*Assumptions!$H$163*'Weights-HB3'!$L$31</f>
        <v>#DIV/0!</v>
      </c>
      <c r="C50" s="968" t="e">
        <f>C$34*Assumptions!$H$163*'Weights-HB3'!$L$31</f>
        <v>#DIV/0!</v>
      </c>
      <c r="D50" s="968" t="e">
        <f>D$34*Assumptions!$H$163*'Weights-HB3'!$L$31</f>
        <v>#DIV/0!</v>
      </c>
      <c r="E50" s="968" t="e">
        <f>E$34*Assumptions!$H$163*'Weights-HB3'!$L$31</f>
        <v>#DIV/0!</v>
      </c>
      <c r="F50" s="968" t="e">
        <f>F$34*Assumptions!$H$163*'Weights-HB3'!$L$31</f>
        <v>#DIV/0!</v>
      </c>
      <c r="G50" s="968" t="e">
        <f>G$34*Assumptions!$H$163*'Weights-HB3'!$L$31</f>
        <v>#DIV/0!</v>
      </c>
      <c r="H50" s="968" t="e">
        <f>H$34*Assumptions!$H$163*'Weights-HB3'!$L$31</f>
        <v>#DIV/0!</v>
      </c>
      <c r="I50" s="968" t="e">
        <f>I$34*Assumptions!$H$163*'Weights-HB3'!$L$31</f>
        <v>#DIV/0!</v>
      </c>
    </row>
    <row r="51" spans="1:10" ht="15.5">
      <c r="A51" s="964" t="s">
        <v>7365</v>
      </c>
      <c r="B51" s="968" t="e">
        <f>(B$35*Assumptions!$H$163*'Weights-HB3'!$L$26)+(B$36*Assumptions!$H$163*'Weights-HB3'!$L$27)+(B$37*Assumptions!$H$163*'Weights-HB3'!$L$28)</f>
        <v>#DIV/0!</v>
      </c>
      <c r="C51" s="968" t="e">
        <f>(C$35*Assumptions!$H$163*'Weights-HB3'!$L$26)+(C$36*Assumptions!$H$163*'Weights-HB3'!$L$27)+(C$37*Assumptions!$H$163*'Weights-HB3'!$L$28)</f>
        <v>#DIV/0!</v>
      </c>
      <c r="D51" s="968" t="e">
        <f>(D$35*Assumptions!$H$163*'Weights-HB3'!$L$26)+(D$36*Assumptions!$H$163*'Weights-HB3'!$L$27)+(D$37*Assumptions!$H$163*'Weights-HB3'!$L$28)</f>
        <v>#DIV/0!</v>
      </c>
      <c r="E51" s="968" t="e">
        <f>(E$35*Assumptions!$H$163*'Weights-HB3'!$L$26)+(E$36*Assumptions!$H$163*'Weights-HB3'!$L$27)+(E$37*Assumptions!$H$163*'Weights-HB3'!$L$28)</f>
        <v>#DIV/0!</v>
      </c>
      <c r="F51" s="968" t="e">
        <f>(F$35*Assumptions!$H$163*'Weights-HB3'!$L$26)+(F$36*Assumptions!$H$163*'Weights-HB3'!$L$27)+(F$37*Assumptions!$H$163*'Weights-HB3'!$L$28)</f>
        <v>#DIV/0!</v>
      </c>
      <c r="G51" s="968" t="e">
        <f>(G$35*Assumptions!$H$163*'Weights-HB3'!$L$26)+(G$36*Assumptions!$H$163*'Weights-HB3'!$L$27)+(G$37*Assumptions!$H$163*'Weights-HB3'!$L$28)</f>
        <v>#DIV/0!</v>
      </c>
      <c r="H51" s="968" t="e">
        <f>(H$35*Assumptions!$H$163*'Weights-HB3'!$L$26)+(H$36*Assumptions!$H$163*'Weights-HB3'!$L$27)+(H$37*Assumptions!$H$163*'Weights-HB3'!$L$28)</f>
        <v>#DIV/0!</v>
      </c>
      <c r="I51" s="968" t="e">
        <f>(I$35*Assumptions!$H$163*'Weights-HB3'!$L$26)+(I$36*Assumptions!$H$163*'Weights-HB3'!$L$27)+(I$37*Assumptions!$H$163*'Weights-HB3'!$L$28)</f>
        <v>#DIV/0!</v>
      </c>
    </row>
    <row r="52" spans="1:10" ht="15.5">
      <c r="A52" s="964" t="s">
        <v>7628</v>
      </c>
      <c r="B52" s="968" t="e">
        <f>B$38*Assumptions!$H$163*'Weights-HB3'!$L$74</f>
        <v>#DIV/0!</v>
      </c>
      <c r="C52" s="968" t="e">
        <f>C$38*Assumptions!$H$163*'Weights-HB3'!$L$74</f>
        <v>#DIV/0!</v>
      </c>
      <c r="D52" s="968" t="e">
        <f>D$38*Assumptions!$H$163*'Weights-HB3'!$L$74</f>
        <v>#DIV/0!</v>
      </c>
      <c r="E52" s="968" t="e">
        <f>E$38*Assumptions!$H$163*'Weights-HB3'!$L$74</f>
        <v>#DIV/0!</v>
      </c>
      <c r="F52" s="968" t="e">
        <f>F$38*Assumptions!$H$163*'Weights-HB3'!$L$74</f>
        <v>#DIV/0!</v>
      </c>
      <c r="G52" s="968" t="e">
        <f>G$38*Assumptions!$H$163*'Weights-HB3'!$L$74</f>
        <v>#DIV/0!</v>
      </c>
      <c r="H52" s="968" t="e">
        <f>H$38*Assumptions!$H$163*'Weights-HB3'!$L$74</f>
        <v>#DIV/0!</v>
      </c>
      <c r="I52" s="968" t="e">
        <f>I$38*Assumptions!$H$163*'Weights-HB3'!$L$74</f>
        <v>#DIV/0!</v>
      </c>
    </row>
    <row r="53" spans="1:10" ht="15.5">
      <c r="A53" s="964" t="s">
        <v>2312</v>
      </c>
      <c r="B53" s="968" t="e">
        <f t="shared" ref="B53:I53" si="2">SUM(B44:B52)</f>
        <v>#DIV/0!</v>
      </c>
      <c r="C53" s="968" t="e">
        <f t="shared" si="2"/>
        <v>#DIV/0!</v>
      </c>
      <c r="D53" s="968" t="e">
        <f t="shared" si="2"/>
        <v>#DIV/0!</v>
      </c>
      <c r="E53" s="968" t="e">
        <f t="shared" si="2"/>
        <v>#DIV/0!</v>
      </c>
      <c r="F53" s="968" t="e">
        <f t="shared" si="2"/>
        <v>#DIV/0!</v>
      </c>
      <c r="G53" s="968" t="e">
        <f t="shared" si="2"/>
        <v>#DIV/0!</v>
      </c>
      <c r="H53" s="968" t="e">
        <f t="shared" si="2"/>
        <v>#DIV/0!</v>
      </c>
      <c r="I53" s="968" t="e">
        <f t="shared" si="2"/>
        <v>#DIV/0!</v>
      </c>
    </row>
    <row r="55" spans="1:10" ht="15.5">
      <c r="B55" s="1894" t="s">
        <v>7367</v>
      </c>
      <c r="C55" s="1894" t="s">
        <v>7367</v>
      </c>
      <c r="D55" s="1894" t="s">
        <v>7367</v>
      </c>
      <c r="E55" s="1894" t="s">
        <v>7367</v>
      </c>
      <c r="F55" s="1894" t="s">
        <v>7367</v>
      </c>
      <c r="G55" s="1894" t="s">
        <v>7367</v>
      </c>
      <c r="H55" s="1894" t="s">
        <v>7367</v>
      </c>
      <c r="I55" s="1894" t="s">
        <v>7367</v>
      </c>
      <c r="J55" s="259" t="s">
        <v>7398</v>
      </c>
    </row>
    <row r="56" spans="1:10" ht="13">
      <c r="B56" s="965" t="s">
        <v>7358</v>
      </c>
      <c r="C56" s="965" t="s">
        <v>7359</v>
      </c>
      <c r="D56" s="965" t="s">
        <v>7360</v>
      </c>
      <c r="E56" s="966" t="s">
        <v>7361</v>
      </c>
      <c r="F56" s="966" t="s">
        <v>10695</v>
      </c>
      <c r="G56" s="966" t="s">
        <v>10696</v>
      </c>
      <c r="H56" s="966" t="s">
        <v>10697</v>
      </c>
      <c r="I56" s="966" t="s">
        <v>10698</v>
      </c>
      <c r="J56" s="986" t="s">
        <v>7853</v>
      </c>
    </row>
    <row r="57" spans="1:10" ht="15.5">
      <c r="A57" s="964" t="s">
        <v>2635</v>
      </c>
      <c r="B57" s="968">
        <f t="shared" ref="B57:I57" si="3">B$71*$J$57</f>
        <v>0</v>
      </c>
      <c r="C57" s="968">
        <f t="shared" si="3"/>
        <v>0</v>
      </c>
      <c r="D57" s="968">
        <f t="shared" si="3"/>
        <v>0</v>
      </c>
      <c r="E57" s="968">
        <f t="shared" si="3"/>
        <v>0</v>
      </c>
      <c r="F57" s="968">
        <f t="shared" si="3"/>
        <v>0</v>
      </c>
      <c r="G57" s="968">
        <f t="shared" si="3"/>
        <v>0</v>
      </c>
      <c r="H57" s="968">
        <f t="shared" si="3"/>
        <v>0</v>
      </c>
      <c r="I57" s="968">
        <f t="shared" si="3"/>
        <v>0</v>
      </c>
      <c r="J57" s="994">
        <f>'DistCharter-Data2324'!J57</f>
        <v>6160</v>
      </c>
    </row>
    <row r="58" spans="1:10" ht="15.5">
      <c r="A58" s="964" t="s">
        <v>7854</v>
      </c>
      <c r="B58" s="1655">
        <f t="shared" ref="B58:I58" si="4">$J$59*B$71</f>
        <v>0</v>
      </c>
      <c r="C58" s="1655">
        <f t="shared" si="4"/>
        <v>0</v>
      </c>
      <c r="D58" s="1655">
        <f t="shared" si="4"/>
        <v>0</v>
      </c>
      <c r="E58" s="1655">
        <f t="shared" si="4"/>
        <v>0</v>
      </c>
      <c r="F58" s="1655">
        <f t="shared" si="4"/>
        <v>0</v>
      </c>
      <c r="G58" s="1655">
        <f t="shared" si="4"/>
        <v>0</v>
      </c>
      <c r="H58" s="1655">
        <f t="shared" si="4"/>
        <v>0</v>
      </c>
      <c r="I58" s="1655">
        <f t="shared" si="4"/>
        <v>0</v>
      </c>
      <c r="J58" s="986" t="s">
        <v>7863</v>
      </c>
    </row>
    <row r="59" spans="1:10" ht="15.5">
      <c r="A59" s="964" t="s">
        <v>2639</v>
      </c>
      <c r="B59" s="968">
        <f>(B$70*$J$57)+(B$20*'Weights-HB3'!$L$14*$J$57+(B$21*'Weights-HB3'!$L$15*$J$57)+(B$22*'Weights-HB3'!$L$16*$J$57)+(B$23*'Weights-HB3'!$L$18*$J$57))</f>
        <v>0</v>
      </c>
      <c r="C59" s="968">
        <f>(C$70*$J$57)+(C$20*'Weights-HB3'!$L$14*$J$57+(C$21*'Weights-HB3'!$L$15*$J$57)+(C$22*'Weights-HB3'!$L$16*$J$57)+(C$23*'Weights-HB3'!$L$18*$J$57))</f>
        <v>0</v>
      </c>
      <c r="D59" s="968">
        <f>(D$70*$J$57)+(D$20*'Weights-HB3'!$L$14*$J$57+(D$21*'Weights-HB3'!$L$15*$J$57)+(D$22*'Weights-HB3'!$L$16*$J$57)+(D$23*'Weights-HB3'!$L$18*$J$57))</f>
        <v>0</v>
      </c>
      <c r="E59" s="968">
        <f>(E$70*$J$57)+(E$20*'Weights-HB3'!$L$14*$J$57+(E$21*'Weights-HB3'!$L$15*$J$57)+(E$22*'Weights-HB3'!$L$16*$J$57)+(E$23*'Weights-HB3'!$L$18*$J$57))</f>
        <v>0</v>
      </c>
      <c r="F59" s="968">
        <f>(F$70*$J$57)+(F$20*'Weights-HB3'!$L$14*$J$57+(F$21*'Weights-HB3'!$L$15*$J$57)+(F$22*'Weights-HB3'!$L$16*$J$57)+(F$23*'Weights-HB3'!$L$18*$J$57))</f>
        <v>0</v>
      </c>
      <c r="G59" s="968">
        <f>(G$70*$J$57)+(G$20*'Weights-HB3'!$L$14*$J$57+(G$21*'Weights-HB3'!$L$15*$J$57)+(G$22*'Weights-HB3'!$L$16*$J$57)+(G$23*'Weights-HB3'!$L$18*$J$57))</f>
        <v>0</v>
      </c>
      <c r="H59" s="968">
        <f>(H$70*$J$57)+(H$20*'Weights-HB3'!$L$14*$J$57+(H$21*'Weights-HB3'!$L$15*$J$57)+(H$22*'Weights-HB3'!$L$16*$J$57)+(H$23*'Weights-HB3'!$L$18*$J$57))</f>
        <v>0</v>
      </c>
      <c r="I59" s="968">
        <f>(I$70*$J$57)+(I$20*'Weights-HB3'!$L$14*$J$57+(I$21*'Weights-HB3'!$L$15*$J$57)+(I$22*'Weights-HB3'!$L$16*$J$57)+(I$23*'Weights-HB3'!$L$18*$J$57))</f>
        <v>0</v>
      </c>
      <c r="J59" s="994">
        <f>'DistCharter-Data2324'!J59</f>
        <v>1103</v>
      </c>
    </row>
    <row r="60" spans="1:10" ht="15.5">
      <c r="A60" s="964" t="s">
        <v>7436</v>
      </c>
      <c r="B60" s="1655">
        <f>B$24*'Weights-HB3'!$L$72*$J$57</f>
        <v>0</v>
      </c>
      <c r="C60" s="1655">
        <f>C$24*'Weights-HB3'!$L$72*$J$57</f>
        <v>0</v>
      </c>
      <c r="D60" s="1655">
        <f>D$24*'Weights-HB3'!$L$72*$J$57</f>
        <v>0</v>
      </c>
      <c r="E60" s="1655">
        <f>E$24*'Weights-HB3'!$L$72*$J$57</f>
        <v>0</v>
      </c>
      <c r="F60" s="1655">
        <f>F$24*'Weights-HB3'!$L$72*$J$57</f>
        <v>0</v>
      </c>
      <c r="G60" s="1655">
        <f>G$24*'Weights-HB3'!$L$72*$J$57</f>
        <v>0</v>
      </c>
      <c r="H60" s="1655">
        <f>H$24*'Weights-HB3'!$L$72*$J$57</f>
        <v>0</v>
      </c>
      <c r="I60" s="1655">
        <f>I$24*'Weights-HB3'!$L$72*$J$57</f>
        <v>0</v>
      </c>
      <c r="J60" s="2043">
        <f>J57+J59</f>
        <v>7263</v>
      </c>
    </row>
    <row r="61" spans="1:10" ht="15.5">
      <c r="A61" s="964" t="s">
        <v>7363</v>
      </c>
      <c r="B61" s="968">
        <f>(B$25*'Weights-HB3'!$L$21*$J$60)+(B$26*'Weights-HB3'!$L$22*$J$60)+(B$27*'Weights-HB3'!$L$23*$J$60)</f>
        <v>0</v>
      </c>
      <c r="C61" s="968">
        <f>(C$25*'Weights-HB3'!$L$21*$J$60)+(C$26*'Weights-HB3'!$L$22*$J$60)+(C$27*'Weights-HB3'!$L$23*$J$60)</f>
        <v>0</v>
      </c>
      <c r="D61" s="968">
        <f>(D$25*'Weights-HB3'!$L$21*$J$60)+(D$26*'Weights-HB3'!$L$22*$J$60)+(D$27*'Weights-HB3'!$L$23*$J$60)</f>
        <v>0</v>
      </c>
      <c r="E61" s="968">
        <f>(E$25*'Weights-HB3'!$L$21*$J$60)+(E$26*'Weights-HB3'!$L$22*$J$60)+(E$27*'Weights-HB3'!$L$23*$J$60)</f>
        <v>0</v>
      </c>
      <c r="F61" s="968">
        <f>(F$25*'Weights-HB3'!$L$21*$J$60)+(F$26*'Weights-HB3'!$L$22*$J$60)+(F$27*'Weights-HB3'!$L$23*$J$60)</f>
        <v>0</v>
      </c>
      <c r="G61" s="968">
        <f>(G$25*'Weights-HB3'!$L$21*$J$60)+(G$26*'Weights-HB3'!$L$22*$J$60)+(G$27*'Weights-HB3'!$L$23*$J$60)</f>
        <v>0</v>
      </c>
      <c r="H61" s="968">
        <f>(H$25*'Weights-HB3'!$L$21*$J$60)+(H$26*'Weights-HB3'!$L$22*$J$60)+(H$27*'Weights-HB3'!$L$23*$J$60)</f>
        <v>0</v>
      </c>
      <c r="I61" s="968">
        <f>(I$25*'Weights-HB3'!$L$21*$J$60)+(I$26*'Weights-HB3'!$L$22*$J$60)+(I$27*'Weights-HB3'!$L$23*$J$60)</f>
        <v>0</v>
      </c>
    </row>
    <row r="62" spans="1:10" ht="15.5">
      <c r="A62" s="964" t="s">
        <v>7364</v>
      </c>
      <c r="B62" s="968">
        <f>(B$28*$J$57*'Weights-HB3'!$L$36)+(B$29*$J$57*'Weights-HB3'!$L$37)+(B$30*$J$57*'Weights-HB3'!$L$38)+(B$31*$J$57*'Weights-HB3'!$L$39)+(B$32*$J$57*'Weights-HB3'!$L$40)+(B$33*$J$57*'Weights-HB3'!$L$43)</f>
        <v>0</v>
      </c>
      <c r="C62" s="968">
        <f>(C$28*$J$57*'Weights-HB3'!$L$36)+(C$29*$J$57*'Weights-HB3'!$L$37)+(C$30*$J$57*'Weights-HB3'!$L$38)+(C$31*$J$57*'Weights-HB3'!$L$39)+(C$32*$J$57*'Weights-HB3'!$L$40)+(C$33*$J$57*'Weights-HB3'!$L$43)</f>
        <v>0</v>
      </c>
      <c r="D62" s="968">
        <f>(D$28*$J$57*'Weights-HB3'!$L$36)+(D$29*$J$57*'Weights-HB3'!$L$37)+(D$30*$J$57*'Weights-HB3'!$L$38)+(D$31*$J$57*'Weights-HB3'!$L$39)+(D$32*$J$57*'Weights-HB3'!$L$40)+(D$33*$J$57*'Weights-HB3'!$L$43)</f>
        <v>0</v>
      </c>
      <c r="E62" s="968">
        <f>(E$28*$J$57*'Weights-HB3'!$L$36)+(E$29*$J$57*'Weights-HB3'!$L$37)+(E$30*$J$57*'Weights-HB3'!$L$38)+(E$31*$J$57*'Weights-HB3'!$L$39)+(E$32*$J$57*'Weights-HB3'!$L$40)+(E$33*$J$57*'Weights-HB3'!$L$43)</f>
        <v>0</v>
      </c>
      <c r="F62" s="968">
        <f>(F$28*$J$57*'Weights-HB3'!$L$36)+(F$29*$J$57*'Weights-HB3'!$L$37)+(F$30*$J$57*'Weights-HB3'!$L$38)+(F$31*$J$57*'Weights-HB3'!$L$39)+(F$32*$J$57*'Weights-HB3'!$L$40)+(F$33*$J$57*'Weights-HB3'!$L$43)</f>
        <v>0</v>
      </c>
      <c r="G62" s="968">
        <f>(G$28*$J$57*'Weights-HB3'!$L$36)+(G$29*$J$57*'Weights-HB3'!$L$37)+(G$30*$J$57*'Weights-HB3'!$L$38)+(G$31*$J$57*'Weights-HB3'!$L$39)+(G$32*$J$57*'Weights-HB3'!$L$40)+(G$33*$J$57*'Weights-HB3'!$L$43)</f>
        <v>0</v>
      </c>
      <c r="H62" s="968">
        <f>(H$28*$J$57*'Weights-HB3'!$L$36)+(H$29*$J$57*'Weights-HB3'!$L$37)+(H$30*$J$57*'Weights-HB3'!$L$38)+(H$31*$J$57*'Weights-HB3'!$L$39)+(H$32*$J$57*'Weights-HB3'!$L$40)+(H$33*$J$57*'Weights-HB3'!$L$43)</f>
        <v>0</v>
      </c>
      <c r="I62" s="968">
        <f>(I$28*$J$57*'Weights-HB3'!$L$36)+(I$29*$J$57*'Weights-HB3'!$L$37)+(I$30*$J$57*'Weights-HB3'!$L$38)+(I$31*$J$57*'Weights-HB3'!$L$39)+(I$32*$J$57*'Weights-HB3'!$L$40)+(I$33*$J$57*'Weights-HB3'!$L$43)</f>
        <v>0</v>
      </c>
    </row>
    <row r="63" spans="1:10" ht="15.5">
      <c r="A63" s="964" t="s">
        <v>2642</v>
      </c>
      <c r="B63" s="968">
        <f>B$34*$J$57*'Weights-HB3'!$L$31</f>
        <v>0</v>
      </c>
      <c r="C63" s="968">
        <f>C$34*$J$57*'Weights-HB3'!$L$31</f>
        <v>0</v>
      </c>
      <c r="D63" s="968">
        <f>D$34*$J$57*'Weights-HB3'!$L$31</f>
        <v>0</v>
      </c>
      <c r="E63" s="968">
        <f>E$34*$J$57*'Weights-HB3'!$L$31</f>
        <v>0</v>
      </c>
      <c r="F63" s="968">
        <f>F$34*$J$57*'Weights-HB3'!$L$31</f>
        <v>0</v>
      </c>
      <c r="G63" s="968">
        <f>G$34*$J$57*'Weights-HB3'!$L$31</f>
        <v>0</v>
      </c>
      <c r="H63" s="968">
        <f>H$34*$J$57*'Weights-HB3'!$L$31</f>
        <v>0</v>
      </c>
      <c r="I63" s="968">
        <f>I$34*$J$57*'Weights-HB3'!$L$31</f>
        <v>0</v>
      </c>
    </row>
    <row r="64" spans="1:10" ht="15.5">
      <c r="A64" s="964" t="s">
        <v>7365</v>
      </c>
      <c r="B64" s="968">
        <f>(B$35*$J$57*'Weights-HB3'!$L$26)+(B$36*$J$57*'Weights-HB3'!$L$27)+(B$37*$J$57*'Weights-HB3'!$L$28)</f>
        <v>0</v>
      </c>
      <c r="C64" s="968">
        <f>(C$35*$J$57*'Weights-HB3'!$L$26)+(C$36*$J$57*'Weights-HB3'!$L$27)+(C$37*$J$57*'Weights-HB3'!$L$28)</f>
        <v>0</v>
      </c>
      <c r="D64" s="968">
        <f>(D$35*$J$57*'Weights-HB3'!$L$26)+(D$36*$J$57*'Weights-HB3'!$L$27)+(D$37*$J$57*'Weights-HB3'!$L$28)</f>
        <v>0</v>
      </c>
      <c r="E64" s="968">
        <f>(E$35*$J$57*'Weights-HB3'!$L$26)+(E$36*$J$57*'Weights-HB3'!$L$27)+(E$37*$J$57*'Weights-HB3'!$L$28)</f>
        <v>0</v>
      </c>
      <c r="F64" s="968">
        <f>(F$35*$J$57*'Weights-HB3'!$L$26)+(F$36*$J$57*'Weights-HB3'!$L$27)+(F$37*$J$57*'Weights-HB3'!$L$28)</f>
        <v>0</v>
      </c>
      <c r="G64" s="968">
        <f>(G$35*$J$57*'Weights-HB3'!$L$26)+(G$36*$J$57*'Weights-HB3'!$L$27)+(G$37*$J$57*'Weights-HB3'!$L$28)</f>
        <v>0</v>
      </c>
      <c r="H64" s="968">
        <f>(H$35*$J$57*'Weights-HB3'!$L$26)+(H$36*$J$57*'Weights-HB3'!$L$27)+(H$37*$J$57*'Weights-HB3'!$L$28)</f>
        <v>0</v>
      </c>
      <c r="I64" s="968">
        <f>(I$35*$J$57*'Weights-HB3'!$L$26)+(I$36*$J$57*'Weights-HB3'!$L$27)+(I$37*$J$57*'Weights-HB3'!$L$28)</f>
        <v>0</v>
      </c>
    </row>
    <row r="65" spans="1:9" ht="15.5">
      <c r="A65" s="964" t="s">
        <v>7628</v>
      </c>
      <c r="B65" s="968">
        <f>B$38*$J$57*'Weights-HB3'!$L$74</f>
        <v>0</v>
      </c>
      <c r="C65" s="968">
        <f>C$38*$J$57*'Weights-HB3'!$L$74</f>
        <v>0</v>
      </c>
      <c r="D65" s="968">
        <f>D$38*$J$57*'Weights-HB3'!$L$74</f>
        <v>0</v>
      </c>
      <c r="E65" s="968">
        <f>E$38*$J$57*'Weights-HB3'!$L$74</f>
        <v>0</v>
      </c>
      <c r="F65" s="968">
        <f>F$38*$J$57*'Weights-HB3'!$L$74</f>
        <v>0</v>
      </c>
      <c r="G65" s="968">
        <f>G$38*$J$57*'Weights-HB3'!$L$74</f>
        <v>0</v>
      </c>
      <c r="H65" s="968">
        <f>H$38*$J$57*'Weights-HB3'!$L$74</f>
        <v>0</v>
      </c>
      <c r="I65" s="968">
        <f>I$38*$J$57*'Weights-HB3'!$L$74</f>
        <v>0</v>
      </c>
    </row>
    <row r="66" spans="1:9" ht="15.5">
      <c r="A66" s="964" t="s">
        <v>2312</v>
      </c>
      <c r="B66" s="968">
        <f t="shared" ref="B66:I66" si="5">SUM(B57:B65)</f>
        <v>0</v>
      </c>
      <c r="C66" s="968">
        <f t="shared" si="5"/>
        <v>0</v>
      </c>
      <c r="D66" s="968">
        <f t="shared" si="5"/>
        <v>0</v>
      </c>
      <c r="E66" s="968">
        <f t="shared" si="5"/>
        <v>0</v>
      </c>
      <c r="F66" s="968">
        <f t="shared" si="5"/>
        <v>0</v>
      </c>
      <c r="G66" s="968">
        <f t="shared" si="5"/>
        <v>0</v>
      </c>
      <c r="H66" s="968">
        <f t="shared" si="5"/>
        <v>0</v>
      </c>
      <c r="I66" s="968">
        <f t="shared" si="5"/>
        <v>0</v>
      </c>
    </row>
    <row r="69" spans="1:9">
      <c r="A69" s="2042" t="s">
        <v>7368</v>
      </c>
      <c r="B69" s="967">
        <f t="shared" ref="B69:I69" si="6">SUM(B13:B20)+B22</f>
        <v>0</v>
      </c>
      <c r="C69" s="967">
        <f t="shared" si="6"/>
        <v>0</v>
      </c>
      <c r="D69" s="967">
        <f t="shared" si="6"/>
        <v>0</v>
      </c>
      <c r="E69" s="967">
        <f t="shared" si="6"/>
        <v>0</v>
      </c>
      <c r="F69" s="967">
        <f t="shared" si="6"/>
        <v>0</v>
      </c>
      <c r="G69" s="967">
        <f t="shared" si="6"/>
        <v>0</v>
      </c>
      <c r="H69" s="967">
        <f t="shared" si="6"/>
        <v>0</v>
      </c>
      <c r="I69" s="967">
        <f t="shared" si="6"/>
        <v>0</v>
      </c>
    </row>
    <row r="70" spans="1:9">
      <c r="A70" s="2042" t="s">
        <v>7369</v>
      </c>
      <c r="B70" s="967">
        <f t="shared" ref="B70:I70" si="7">J20</f>
        <v>0</v>
      </c>
      <c r="C70" s="967">
        <f t="shared" si="7"/>
        <v>0</v>
      </c>
      <c r="D70" s="967">
        <f t="shared" si="7"/>
        <v>0</v>
      </c>
      <c r="E70" s="967">
        <f t="shared" si="7"/>
        <v>0</v>
      </c>
      <c r="F70" s="967">
        <f t="shared" si="7"/>
        <v>0</v>
      </c>
      <c r="G70" s="967">
        <f t="shared" si="7"/>
        <v>0</v>
      </c>
      <c r="H70" s="967">
        <f t="shared" si="7"/>
        <v>0</v>
      </c>
      <c r="I70" s="967">
        <f t="shared" si="7"/>
        <v>0</v>
      </c>
    </row>
    <row r="71" spans="1:9">
      <c r="A71" s="2042" t="s">
        <v>7370</v>
      </c>
      <c r="B71" s="967">
        <f t="shared" ref="B71:I71" si="8">B11-B69-B25-B26-B27</f>
        <v>0</v>
      </c>
      <c r="C71" s="967">
        <f t="shared" si="8"/>
        <v>0</v>
      </c>
      <c r="D71" s="967">
        <f t="shared" si="8"/>
        <v>0</v>
      </c>
      <c r="E71" s="967">
        <f t="shared" si="8"/>
        <v>0</v>
      </c>
      <c r="F71" s="967">
        <f t="shared" si="8"/>
        <v>0</v>
      </c>
      <c r="G71" s="967">
        <f t="shared" si="8"/>
        <v>0</v>
      </c>
      <c r="H71" s="967">
        <f t="shared" si="8"/>
        <v>0</v>
      </c>
      <c r="I71" s="967">
        <f t="shared" si="8"/>
        <v>0</v>
      </c>
    </row>
    <row r="74" spans="1:9" s="2040" customFormat="1" ht="15.5">
      <c r="A74" s="1657" t="s">
        <v>2768</v>
      </c>
    </row>
    <row r="75" spans="1:9" s="2040" customFormat="1" ht="15.5">
      <c r="B75" s="1894" t="s">
        <v>7366</v>
      </c>
      <c r="C75" s="1894" t="s">
        <v>7366</v>
      </c>
      <c r="D75" s="1894" t="s">
        <v>7366</v>
      </c>
      <c r="E75" s="1894" t="s">
        <v>7366</v>
      </c>
      <c r="F75" s="1894" t="s">
        <v>7366</v>
      </c>
      <c r="G75" s="1894" t="s">
        <v>7366</v>
      </c>
      <c r="H75" s="1894" t="s">
        <v>7366</v>
      </c>
      <c r="I75" s="1894" t="s">
        <v>7366</v>
      </c>
    </row>
    <row r="76" spans="1:9" s="2040" customFormat="1" ht="15.5">
      <c r="B76" s="965" t="s">
        <v>7358</v>
      </c>
      <c r="C76" s="965" t="s">
        <v>7359</v>
      </c>
      <c r="D76" s="965" t="s">
        <v>7360</v>
      </c>
      <c r="E76" s="966" t="s">
        <v>7361</v>
      </c>
      <c r="F76" s="966" t="s">
        <v>10695</v>
      </c>
      <c r="G76" s="966" t="s">
        <v>10696</v>
      </c>
      <c r="H76" s="966" t="s">
        <v>10697</v>
      </c>
      <c r="I76" s="966" t="s">
        <v>10698</v>
      </c>
    </row>
    <row r="77" spans="1:9" s="2040" customFormat="1" ht="15.5">
      <c r="A77" s="969" t="s">
        <v>7378</v>
      </c>
      <c r="B77" s="976" t="e">
        <f>Assumptions!$H$164*B$89*'Calc Data'!$G$105*100</f>
        <v>#DIV/0!</v>
      </c>
      <c r="C77" s="976" t="e">
        <f>Assumptions!$H$164*C$89*'Calc Data'!$G$105*100</f>
        <v>#DIV/0!</v>
      </c>
      <c r="D77" s="976" t="e">
        <f>Assumptions!$H$164*D$89*'Calc Data'!$G$105*100</f>
        <v>#DIV/0!</v>
      </c>
      <c r="E77" s="976" t="e">
        <f>Assumptions!$H$164*E$89*'Calc Data'!$G$105*100</f>
        <v>#DIV/0!</v>
      </c>
      <c r="F77" s="976" t="e">
        <f>Assumptions!$H$164*F$89*'Calc Data'!$G$105*100</f>
        <v>#DIV/0!</v>
      </c>
      <c r="G77" s="976" t="e">
        <f>Assumptions!$H$164*G$89*'Calc Data'!$G$105*100</f>
        <v>#DIV/0!</v>
      </c>
      <c r="H77" s="976" t="e">
        <f>Assumptions!$H$164*H$89*'Calc Data'!$G$105*100</f>
        <v>#DIV/0!</v>
      </c>
      <c r="I77" s="976" t="e">
        <f>Assumptions!$H$164*I$89*'Calc Data'!$G$105*100</f>
        <v>#DIV/0!</v>
      </c>
    </row>
    <row r="78" spans="1:9" s="2040" customFormat="1" ht="15.5">
      <c r="A78" s="969" t="s">
        <v>7379</v>
      </c>
      <c r="B78" s="976" t="e">
        <f>Assumptions!$H$165*B$89*'Calc Data'!$G$110*100</f>
        <v>#DIV/0!</v>
      </c>
      <c r="C78" s="976" t="e">
        <f>Assumptions!$H$165*C$89*'Calc Data'!$G$110*100</f>
        <v>#DIV/0!</v>
      </c>
      <c r="D78" s="976" t="e">
        <f>Assumptions!$H$165*D$89*'Calc Data'!$G$110*100</f>
        <v>#DIV/0!</v>
      </c>
      <c r="E78" s="976" t="e">
        <f>Assumptions!$H$165*E$89*'Calc Data'!$G$110*100</f>
        <v>#DIV/0!</v>
      </c>
      <c r="F78" s="976" t="e">
        <f>Assumptions!$H$165*F$89*'Calc Data'!$G$110*100</f>
        <v>#DIV/0!</v>
      </c>
      <c r="G78" s="976" t="e">
        <f>Assumptions!$H$165*G$89*'Calc Data'!$G$110*100</f>
        <v>#DIV/0!</v>
      </c>
      <c r="H78" s="976" t="e">
        <f>Assumptions!$H$165*H$89*'Calc Data'!$G$110*100</f>
        <v>#DIV/0!</v>
      </c>
      <c r="I78" s="976" t="e">
        <f>Assumptions!$H$165*I$89*'Calc Data'!$G$110*100</f>
        <v>#DIV/0!</v>
      </c>
    </row>
    <row r="79" spans="1:9" s="2040" customFormat="1" ht="15.5">
      <c r="A79" s="969" t="s">
        <v>2312</v>
      </c>
      <c r="B79" s="973" t="e">
        <f>B77+B78</f>
        <v>#DIV/0!</v>
      </c>
      <c r="C79" s="973" t="e">
        <f t="shared" ref="C79:E79" si="9">C77+C78</f>
        <v>#DIV/0!</v>
      </c>
      <c r="D79" s="973" t="e">
        <f t="shared" si="9"/>
        <v>#DIV/0!</v>
      </c>
      <c r="E79" s="973" t="e">
        <f t="shared" si="9"/>
        <v>#DIV/0!</v>
      </c>
      <c r="F79" s="973" t="e">
        <f t="shared" ref="F79:G79" si="10">F77+F78</f>
        <v>#DIV/0!</v>
      </c>
      <c r="G79" s="973" t="e">
        <f t="shared" si="10"/>
        <v>#DIV/0!</v>
      </c>
      <c r="H79" s="973" t="e">
        <f t="shared" ref="H79:I79" si="11">H77+H78</f>
        <v>#DIV/0!</v>
      </c>
      <c r="I79" s="973" t="e">
        <f t="shared" si="11"/>
        <v>#DIV/0!</v>
      </c>
    </row>
    <row r="80" spans="1:9" s="2040" customFormat="1" ht="15.5">
      <c r="A80" s="969"/>
    </row>
    <row r="81" spans="1:11" s="2040" customFormat="1" ht="15.5">
      <c r="A81" s="969"/>
      <c r="B81" s="1894" t="s">
        <v>7367</v>
      </c>
      <c r="C81" s="1894" t="s">
        <v>7367</v>
      </c>
      <c r="D81" s="1894" t="s">
        <v>7367</v>
      </c>
      <c r="E81" s="1894" t="s">
        <v>7367</v>
      </c>
      <c r="F81" s="1894" t="s">
        <v>7367</v>
      </c>
      <c r="G81" s="1894" t="s">
        <v>7367</v>
      </c>
      <c r="H81" s="1894" t="s">
        <v>7367</v>
      </c>
      <c r="I81" s="1894" t="s">
        <v>7367</v>
      </c>
    </row>
    <row r="82" spans="1:11" s="2040" customFormat="1" ht="15.5">
      <c r="A82" s="969"/>
      <c r="B82" s="965" t="s">
        <v>7358</v>
      </c>
      <c r="C82" s="965" t="s">
        <v>7359</v>
      </c>
      <c r="D82" s="965" t="s">
        <v>7360</v>
      </c>
      <c r="E82" s="966" t="s">
        <v>7361</v>
      </c>
      <c r="F82" s="966" t="s">
        <v>10695</v>
      </c>
      <c r="G82" s="966" t="s">
        <v>10696</v>
      </c>
      <c r="H82" s="966" t="s">
        <v>10697</v>
      </c>
      <c r="I82" s="966" t="s">
        <v>10698</v>
      </c>
      <c r="J82" s="259" t="s">
        <v>7398</v>
      </c>
    </row>
    <row r="83" spans="1:11" s="2040" customFormat="1" ht="15.5">
      <c r="A83" s="969" t="s">
        <v>7378</v>
      </c>
      <c r="B83" s="976">
        <f>Assumptions!$H$164*B$93*$J$84*100</f>
        <v>0</v>
      </c>
      <c r="C83" s="976">
        <f>Assumptions!$H$164*C$93*$J$84*100</f>
        <v>0</v>
      </c>
      <c r="D83" s="976">
        <f>Assumptions!$H$164*D$93*$J$84*100</f>
        <v>0</v>
      </c>
      <c r="E83" s="976">
        <f>Assumptions!$H$164*E$93*$J$84*100</f>
        <v>0</v>
      </c>
      <c r="F83" s="976">
        <f>Assumptions!$H$164*F$93*$J$84*100</f>
        <v>0</v>
      </c>
      <c r="G83" s="976">
        <f>Assumptions!$H$164*G$93*$J$84*100</f>
        <v>0</v>
      </c>
      <c r="H83" s="976">
        <f>Assumptions!$H$164*H$93*$J$84*100</f>
        <v>0</v>
      </c>
      <c r="I83" s="976">
        <f>Assumptions!$H$164*I$93*$J$84*100</f>
        <v>0</v>
      </c>
      <c r="J83" s="1658" t="s">
        <v>7380</v>
      </c>
    </row>
    <row r="84" spans="1:11" s="2040" customFormat="1" ht="15.5">
      <c r="A84" s="969" t="s">
        <v>7379</v>
      </c>
      <c r="B84" s="976">
        <f>Assumptions!$H$165*B$93*$J$85*100</f>
        <v>0</v>
      </c>
      <c r="C84" s="976">
        <f>Assumptions!$H$165*C$93*$J$85*100</f>
        <v>0</v>
      </c>
      <c r="D84" s="976">
        <f>Assumptions!$H$165*D$93*$J$85*100</f>
        <v>0</v>
      </c>
      <c r="E84" s="976">
        <f>Assumptions!$H$165*E$93*$J$85*100</f>
        <v>0</v>
      </c>
      <c r="F84" s="976">
        <f>Assumptions!$H$165*F$93*$J$85*100</f>
        <v>0</v>
      </c>
      <c r="G84" s="976">
        <f>Assumptions!$H$165*G$93*$J$85*100</f>
        <v>0</v>
      </c>
      <c r="H84" s="976">
        <f>Assumptions!$H$165*H$93*$J$85*100</f>
        <v>0</v>
      </c>
      <c r="I84" s="976">
        <f>Assumptions!$H$165*I$93*$J$85*100</f>
        <v>0</v>
      </c>
      <c r="J84" s="974">
        <f>'DistCharter-Data2324'!J84</f>
        <v>6.3600000000000004E-2</v>
      </c>
      <c r="K84" s="2042"/>
    </row>
    <row r="85" spans="1:11" s="2040" customFormat="1" ht="15.5">
      <c r="A85" s="969" t="s">
        <v>2312</v>
      </c>
      <c r="B85" s="976">
        <f>B83+B84</f>
        <v>0</v>
      </c>
      <c r="C85" s="976">
        <f t="shared" ref="C85:E85" si="12">C83+C84</f>
        <v>0</v>
      </c>
      <c r="D85" s="976">
        <f t="shared" si="12"/>
        <v>0</v>
      </c>
      <c r="E85" s="976">
        <f t="shared" si="12"/>
        <v>0</v>
      </c>
      <c r="F85" s="976">
        <f t="shared" ref="F85:G85" si="13">F83+F84</f>
        <v>0</v>
      </c>
      <c r="G85" s="976">
        <f t="shared" si="13"/>
        <v>0</v>
      </c>
      <c r="H85" s="976">
        <f t="shared" ref="H85:I85" si="14">H83+H84</f>
        <v>0</v>
      </c>
      <c r="I85" s="976">
        <f t="shared" si="14"/>
        <v>0</v>
      </c>
      <c r="J85" s="975">
        <f>'DistCharter-Data2324'!J85</f>
        <v>2.63E-2</v>
      </c>
      <c r="K85" s="2042"/>
    </row>
    <row r="86" spans="1:11" s="2040" customFormat="1" ht="15.5">
      <c r="A86" s="969"/>
    </row>
    <row r="87" spans="1:11" s="2040" customFormat="1" ht="15.5">
      <c r="A87" s="969"/>
      <c r="B87" s="1894" t="s">
        <v>7366</v>
      </c>
      <c r="C87" s="1894" t="s">
        <v>7366</v>
      </c>
      <c r="D87" s="1894" t="s">
        <v>7366</v>
      </c>
      <c r="E87" s="1894" t="s">
        <v>7366</v>
      </c>
      <c r="F87" s="1894" t="s">
        <v>7366</v>
      </c>
      <c r="G87" s="1894" t="s">
        <v>7366</v>
      </c>
      <c r="H87" s="1894" t="s">
        <v>7366</v>
      </c>
      <c r="I87" s="1894" t="s">
        <v>7366</v>
      </c>
    </row>
    <row r="88" spans="1:11" s="2040" customFormat="1" ht="15.5">
      <c r="A88" s="978" t="s">
        <v>7387</v>
      </c>
      <c r="B88" s="987" t="e">
        <f>Assumptions!H163</f>
        <v>#DIV/0!</v>
      </c>
      <c r="C88" s="981" t="e">
        <f t="shared" ref="C88:I88" si="15">B88</f>
        <v>#DIV/0!</v>
      </c>
      <c r="D88" s="981" t="e">
        <f t="shared" si="15"/>
        <v>#DIV/0!</v>
      </c>
      <c r="E88" s="981" t="e">
        <f t="shared" si="15"/>
        <v>#DIV/0!</v>
      </c>
      <c r="F88" s="981" t="e">
        <f t="shared" si="15"/>
        <v>#DIV/0!</v>
      </c>
      <c r="G88" s="981" t="e">
        <f t="shared" si="15"/>
        <v>#DIV/0!</v>
      </c>
      <c r="H88" s="981" t="e">
        <f t="shared" si="15"/>
        <v>#DIV/0!</v>
      </c>
      <c r="I88" s="981" t="e">
        <f t="shared" si="15"/>
        <v>#DIV/0!</v>
      </c>
    </row>
    <row r="89" spans="1:11" s="2040" customFormat="1" ht="15.5">
      <c r="A89" s="978" t="s">
        <v>2429</v>
      </c>
      <c r="B89" s="977" t="e">
        <f t="shared" ref="B89:I89" si="16">B53/B88</f>
        <v>#DIV/0!</v>
      </c>
      <c r="C89" s="977" t="e">
        <f t="shared" si="16"/>
        <v>#DIV/0!</v>
      </c>
      <c r="D89" s="977" t="e">
        <f t="shared" si="16"/>
        <v>#DIV/0!</v>
      </c>
      <c r="E89" s="977" t="e">
        <f t="shared" si="16"/>
        <v>#DIV/0!</v>
      </c>
      <c r="F89" s="977" t="e">
        <f t="shared" si="16"/>
        <v>#DIV/0!</v>
      </c>
      <c r="G89" s="977" t="e">
        <f t="shared" si="16"/>
        <v>#DIV/0!</v>
      </c>
      <c r="H89" s="977" t="e">
        <f t="shared" si="16"/>
        <v>#DIV/0!</v>
      </c>
      <c r="I89" s="977" t="e">
        <f t="shared" si="16"/>
        <v>#DIV/0!</v>
      </c>
    </row>
    <row r="90" spans="1:11" s="2040" customFormat="1" ht="15.5">
      <c r="A90" s="969"/>
    </row>
    <row r="91" spans="1:11" s="2040" customFormat="1" ht="15.5">
      <c r="A91" s="969"/>
      <c r="B91" s="1894" t="s">
        <v>7367</v>
      </c>
      <c r="C91" s="1894" t="s">
        <v>7367</v>
      </c>
      <c r="D91" s="1894" t="s">
        <v>7367</v>
      </c>
      <c r="E91" s="1894" t="s">
        <v>7367</v>
      </c>
      <c r="F91" s="1894" t="s">
        <v>7367</v>
      </c>
      <c r="G91" s="1894" t="s">
        <v>7367</v>
      </c>
      <c r="H91" s="1894" t="s">
        <v>7367</v>
      </c>
      <c r="I91" s="1894" t="s">
        <v>7367</v>
      </c>
    </row>
    <row r="92" spans="1:11" s="2040" customFormat="1" ht="15.5">
      <c r="A92" s="978" t="s">
        <v>7864</v>
      </c>
      <c r="B92" s="1660">
        <f>J57</f>
        <v>6160</v>
      </c>
      <c r="C92" s="976">
        <f t="shared" ref="C92:I92" si="17">B92</f>
        <v>6160</v>
      </c>
      <c r="D92" s="976">
        <f t="shared" si="17"/>
        <v>6160</v>
      </c>
      <c r="E92" s="976">
        <f t="shared" si="17"/>
        <v>6160</v>
      </c>
      <c r="F92" s="976">
        <f t="shared" si="17"/>
        <v>6160</v>
      </c>
      <c r="G92" s="976">
        <f t="shared" si="17"/>
        <v>6160</v>
      </c>
      <c r="H92" s="976">
        <f t="shared" si="17"/>
        <v>6160</v>
      </c>
      <c r="I92" s="976">
        <f t="shared" si="17"/>
        <v>6160</v>
      </c>
    </row>
    <row r="93" spans="1:11" s="2040" customFormat="1" ht="15.5">
      <c r="A93" s="978" t="s">
        <v>2429</v>
      </c>
      <c r="B93" s="977">
        <f>B66/B92</f>
        <v>0</v>
      </c>
      <c r="C93" s="977">
        <f t="shared" ref="C93:E93" si="18">C66/C92</f>
        <v>0</v>
      </c>
      <c r="D93" s="977">
        <f t="shared" si="18"/>
        <v>0</v>
      </c>
      <c r="E93" s="977">
        <f t="shared" si="18"/>
        <v>0</v>
      </c>
      <c r="F93" s="977">
        <f t="shared" ref="F93:G93" si="19">F66/F92</f>
        <v>0</v>
      </c>
      <c r="G93" s="977">
        <f t="shared" si="19"/>
        <v>0</v>
      </c>
      <c r="H93" s="977">
        <f t="shared" ref="H93:I93" si="20">H66/H92</f>
        <v>0</v>
      </c>
      <c r="I93" s="977">
        <f t="shared" si="20"/>
        <v>0</v>
      </c>
    </row>
    <row r="94" spans="1:11" s="2040" customFormat="1" ht="15.5"/>
    <row r="95" spans="1:11" s="2040" customFormat="1" ht="15.5">
      <c r="A95" s="972" t="s">
        <v>2656</v>
      </c>
    </row>
    <row r="96" spans="1:11" s="2040" customFormat="1" ht="15.5">
      <c r="B96" s="1894" t="s">
        <v>7367</v>
      </c>
      <c r="C96" s="1894" t="s">
        <v>7367</v>
      </c>
      <c r="D96" s="1894" t="s">
        <v>7367</v>
      </c>
      <c r="E96" s="1894" t="s">
        <v>7367</v>
      </c>
      <c r="F96" s="1894" t="s">
        <v>7367</v>
      </c>
      <c r="G96" s="1894" t="s">
        <v>7367</v>
      </c>
      <c r="H96" s="1894" t="s">
        <v>7367</v>
      </c>
      <c r="I96" s="1894" t="s">
        <v>7367</v>
      </c>
      <c r="J96" s="259" t="s">
        <v>7398</v>
      </c>
    </row>
    <row r="97" spans="1:12" s="2040" customFormat="1" ht="15.5">
      <c r="B97" s="965" t="s">
        <v>7358</v>
      </c>
      <c r="C97" s="965" t="s">
        <v>7359</v>
      </c>
      <c r="D97" s="965" t="s">
        <v>7360</v>
      </c>
      <c r="E97" s="966" t="s">
        <v>7361</v>
      </c>
      <c r="F97" s="966" t="s">
        <v>10695</v>
      </c>
      <c r="G97" s="966" t="s">
        <v>10696</v>
      </c>
      <c r="H97" s="966" t="s">
        <v>10697</v>
      </c>
      <c r="I97" s="966" t="s">
        <v>10698</v>
      </c>
      <c r="J97" s="1659" t="s">
        <v>7865</v>
      </c>
    </row>
    <row r="98" spans="1:12" s="2040" customFormat="1" ht="15.5">
      <c r="A98" s="2040" t="s">
        <v>7381</v>
      </c>
      <c r="B98" s="976">
        <f t="shared" ref="B98:I98" si="21">B11*$J$98*$J$99*100</f>
        <v>0</v>
      </c>
      <c r="C98" s="976">
        <f t="shared" si="21"/>
        <v>0</v>
      </c>
      <c r="D98" s="976">
        <f t="shared" si="21"/>
        <v>0</v>
      </c>
      <c r="E98" s="976">
        <f t="shared" si="21"/>
        <v>0</v>
      </c>
      <c r="F98" s="976">
        <f t="shared" si="21"/>
        <v>0</v>
      </c>
      <c r="G98" s="976">
        <f t="shared" si="21"/>
        <v>0</v>
      </c>
      <c r="H98" s="976">
        <f t="shared" si="21"/>
        <v>0</v>
      </c>
      <c r="I98" s="976">
        <f t="shared" si="21"/>
        <v>0</v>
      </c>
      <c r="J98" s="979">
        <v>4.5999999999999999E-2</v>
      </c>
      <c r="K98" s="2042"/>
    </row>
    <row r="99" spans="1:12" s="2040" customFormat="1" ht="15.5">
      <c r="J99" s="1662">
        <v>39.4</v>
      </c>
      <c r="K99" s="1661" t="s">
        <v>7866</v>
      </c>
      <c r="L99" s="2042"/>
    </row>
    <row r="100" spans="1:12" s="2040" customFormat="1" ht="15.5"/>
    <row r="101" spans="1:12" s="2040" customFormat="1" ht="15.5"/>
    <row r="102" spans="1:12" s="2040" customFormat="1" ht="15.5"/>
    <row r="103" spans="1:12" s="2040" customFormat="1" ht="15.5"/>
    <row r="104" spans="1:12" s="2040" customFormat="1" ht="15.5"/>
    <row r="105" spans="1:12" s="2040" customFormat="1" ht="15.5"/>
    <row r="106" spans="1:12" s="2040" customFormat="1" ht="15.5"/>
    <row r="107" spans="1:12" s="2040" customFormat="1" ht="15.5"/>
    <row r="108" spans="1:12" s="2040" customFormat="1" ht="15.5"/>
    <row r="109" spans="1:12" s="2040" customFormat="1" ht="15.5"/>
    <row r="110" spans="1:12" s="2040" customFormat="1" ht="15.5"/>
    <row r="111" spans="1:12" s="2040" customFormat="1" ht="15.5"/>
    <row r="112" spans="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2040" customFormat="1" ht="15.5"/>
    <row r="130" s="2040" customFormat="1" ht="15.5"/>
    <row r="131" s="2040" customFormat="1" ht="15.5"/>
    <row r="132" s="2040" customFormat="1" ht="15.5"/>
    <row r="133" s="2040" customFormat="1" ht="15.5"/>
    <row r="134" s="2040" customFormat="1" ht="15.5"/>
    <row r="135" s="2040" customFormat="1" ht="15.5"/>
    <row r="136" s="2040" customFormat="1" ht="15.5"/>
    <row r="137" s="2040" customFormat="1" ht="15.5"/>
    <row r="138" s="2040" customFormat="1" ht="15.5"/>
    <row r="139" s="2040" customFormat="1" ht="15.5"/>
    <row r="140" s="2040" customFormat="1" ht="15.5"/>
    <row r="141" s="2040" customFormat="1" ht="15.5"/>
    <row r="142" s="2040" customFormat="1" ht="15.5"/>
    <row r="143" s="2040" customFormat="1" ht="15.5"/>
    <row r="144" s="2040" customFormat="1" ht="15.5"/>
    <row r="145" s="2040" customFormat="1" ht="15.5"/>
    <row r="146" s="2040" customFormat="1" ht="15.5"/>
    <row r="147" s="2040" customFormat="1" ht="15.5"/>
    <row r="148" s="2040" customFormat="1" ht="15.5"/>
    <row r="149" s="2040" customFormat="1" ht="15.5"/>
    <row r="150" s="2040" customFormat="1" ht="15.5"/>
    <row r="151" s="2040" customFormat="1" ht="15.5"/>
    <row r="152" s="2040" customFormat="1" ht="15.5"/>
    <row r="153" s="2040" customFormat="1" ht="15.5"/>
    <row r="154" s="2040" customFormat="1" ht="15.5"/>
    <row r="155" s="2040" customFormat="1" ht="15.5"/>
    <row r="156" s="2040" customFormat="1" ht="15.5"/>
    <row r="157" s="2040" customFormat="1" ht="15.5"/>
    <row r="158" s="2040" customFormat="1" ht="15.5"/>
    <row r="159" s="2040" customFormat="1" ht="15.5"/>
    <row r="160" s="2040" customFormat="1" ht="15.5"/>
    <row r="161" s="2040" customFormat="1" ht="15.5"/>
    <row r="162" s="2040" customFormat="1" ht="15.5"/>
    <row r="163" s="2040" customFormat="1" ht="15.5"/>
    <row r="164" s="2040" customFormat="1" ht="15.5"/>
    <row r="165" s="2040" customFormat="1" ht="15.5"/>
    <row r="166" s="2040" customFormat="1" ht="15.5"/>
    <row r="167" s="2040" customFormat="1" ht="15.5"/>
    <row r="168" s="2040" customFormat="1" ht="15.5"/>
    <row r="169" s="2040" customFormat="1" ht="15.5"/>
    <row r="170" s="2040" customFormat="1" ht="15.5"/>
    <row r="171" s="2040" customFormat="1" ht="15.5"/>
    <row r="172" s="2040" customFormat="1" ht="15.5"/>
    <row r="173" s="2040" customFormat="1" ht="15.5"/>
    <row r="174" s="2040" customFormat="1" ht="15.5"/>
    <row r="175" s="2040" customFormat="1" ht="15.5"/>
    <row r="176" s="2040" customFormat="1" ht="15.5"/>
    <row r="177" s="2040" customFormat="1" ht="15.5"/>
    <row r="178" s="2040" customFormat="1" ht="15.5"/>
    <row r="179" s="2040" customFormat="1" ht="15.5"/>
    <row r="180" s="2040" customFormat="1" ht="15.5"/>
    <row r="181" s="2040" customFormat="1" ht="15.5"/>
    <row r="182" s="2040" customFormat="1" ht="15.5"/>
    <row r="183" s="2040" customFormat="1" ht="15.5"/>
    <row r="184" s="2040" customFormat="1" ht="15.5"/>
    <row r="185" s="2040" customFormat="1" ht="15.5"/>
    <row r="186" s="2040" customFormat="1" ht="15.5"/>
    <row r="187" s="2040" customFormat="1" ht="15.5"/>
    <row r="188" s="2040" customFormat="1" ht="15.5"/>
    <row r="189" s="2040" customFormat="1" ht="15.5"/>
    <row r="190" s="2040" customFormat="1" ht="15.5"/>
    <row r="191" s="2040" customFormat="1" ht="15.5"/>
    <row r="192" s="2040" customFormat="1" ht="15.5"/>
    <row r="193" s="2040" customFormat="1" ht="15.5"/>
    <row r="194" s="2040" customFormat="1" ht="15.5"/>
    <row r="195" s="2040" customFormat="1" ht="15.5"/>
    <row r="196" s="2040" customFormat="1" ht="15.5"/>
    <row r="197" s="2040" customFormat="1" ht="15.5"/>
    <row r="198" s="2040" customFormat="1" ht="15.5"/>
    <row r="199" s="2040" customFormat="1" ht="15.5"/>
    <row r="200" s="2040" customFormat="1" ht="15.5"/>
    <row r="201" s="2040" customFormat="1" ht="15.5"/>
    <row r="202" s="2040" customFormat="1" ht="15.5"/>
    <row r="203" s="2040" customFormat="1" ht="15.5"/>
    <row r="204" s="2040" customFormat="1" ht="15.5"/>
    <row r="205" s="2040" customFormat="1" ht="15.5"/>
    <row r="206" s="2040" customFormat="1" ht="15.5"/>
    <row r="207" s="2040" customFormat="1" ht="15.5"/>
    <row r="208" s="2040" customFormat="1" ht="15.5"/>
    <row r="209" s="2040" customFormat="1" ht="15.5"/>
    <row r="210" s="2040" customFormat="1" ht="15.5"/>
    <row r="211" s="2040" customFormat="1" ht="15.5"/>
    <row r="212" s="2040" customFormat="1" ht="15.5"/>
    <row r="213" s="2040" customFormat="1" ht="15.5"/>
    <row r="214" s="2040" customFormat="1" ht="15.5"/>
    <row r="215" s="2040" customFormat="1" ht="15.5"/>
    <row r="216" s="2040" customFormat="1" ht="15.5"/>
    <row r="217" s="2040" customFormat="1" ht="15.5"/>
    <row r="218" s="2040" customFormat="1" ht="15.5"/>
    <row r="219" s="2040" customFormat="1" ht="15.5"/>
    <row r="220" s="2040" customFormat="1" ht="15.5"/>
    <row r="221" s="2040" customFormat="1" ht="15.5"/>
    <row r="222" s="2040" customFormat="1" ht="15.5"/>
    <row r="223" s="2040" customFormat="1" ht="15.5"/>
    <row r="224" s="2040" customFormat="1" ht="15.5"/>
    <row r="225" s="2040" customFormat="1" ht="15.5"/>
    <row r="226" s="2040" customFormat="1" ht="15.5"/>
    <row r="227" s="2040" customFormat="1" ht="15.5"/>
    <row r="228" s="2040" customFormat="1" ht="15.5"/>
    <row r="229" s="2040" customFormat="1" ht="15.5"/>
    <row r="230" s="2040" customFormat="1" ht="15.5"/>
    <row r="231" s="2040" customFormat="1" ht="15.5"/>
    <row r="232" s="2040" customFormat="1" ht="15.5"/>
    <row r="233" s="2040" customFormat="1" ht="15.5"/>
    <row r="234" s="2040" customFormat="1" ht="15.5"/>
    <row r="235" s="2040" customFormat="1" ht="15.5"/>
    <row r="236" s="2040" customFormat="1" ht="15.5"/>
    <row r="237" s="2040" customFormat="1" ht="15.5"/>
    <row r="238" s="2040" customFormat="1" ht="15.5"/>
    <row r="239" s="2040" customFormat="1" ht="15.5"/>
    <row r="240" s="2040" customFormat="1" ht="15.5"/>
    <row r="241" s="2040" customFormat="1" ht="15.5"/>
    <row r="242" s="2040" customFormat="1" ht="15.5"/>
    <row r="243" s="2040" customFormat="1" ht="15.5"/>
    <row r="244" s="2040" customFormat="1" ht="15.5"/>
    <row r="245" s="2040" customFormat="1" ht="15.5"/>
    <row r="246" s="2040" customFormat="1" ht="15.5"/>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sheetPr>
  <dimension ref="A1:J57"/>
  <sheetViews>
    <sheetView topLeftCell="A52" workbookViewId="0">
      <selection activeCell="A58" sqref="A58"/>
    </sheetView>
  </sheetViews>
  <sheetFormatPr defaultColWidth="8.7265625" defaultRowHeight="12.5"/>
  <cols>
    <col min="1" max="1" width="34.54296875" style="2042" customWidth="1"/>
    <col min="2" max="12" width="23.7265625" style="2042" customWidth="1"/>
    <col min="13" max="16384" width="8.7265625" style="2042"/>
  </cols>
  <sheetData>
    <row r="1" spans="1:9" s="2040" customFormat="1" ht="15.5">
      <c r="A1" s="2040" t="s">
        <v>7391</v>
      </c>
    </row>
    <row r="2" spans="1:9" s="2040" customFormat="1" ht="15.5">
      <c r="A2" s="2040" t="s">
        <v>7392</v>
      </c>
    </row>
    <row r="3" spans="1:9" s="2040" customFormat="1" ht="15.5"/>
    <row r="4" spans="1:9" s="2040" customFormat="1" ht="15.5"/>
    <row r="5" spans="1:9" s="2040" customFormat="1" ht="15.5"/>
    <row r="6" spans="1:9" ht="15.5">
      <c r="B6" s="1333" t="s">
        <v>9431</v>
      </c>
      <c r="C6" s="1334"/>
      <c r="D6" s="1334"/>
      <c r="E6" s="1335"/>
      <c r="F6" s="1335"/>
      <c r="G6" s="1335"/>
      <c r="H6" s="1335"/>
      <c r="I6" s="1335"/>
    </row>
    <row r="7" spans="1:9" ht="13">
      <c r="A7" s="1338" t="s">
        <v>7382</v>
      </c>
      <c r="B7" s="43" t="s">
        <v>7366</v>
      </c>
      <c r="C7" s="43" t="s">
        <v>7366</v>
      </c>
      <c r="D7" s="43" t="s">
        <v>7366</v>
      </c>
      <c r="E7" s="43" t="s">
        <v>7366</v>
      </c>
      <c r="F7" s="43" t="s">
        <v>7366</v>
      </c>
      <c r="G7" s="43" t="s">
        <v>7366</v>
      </c>
      <c r="H7" s="43" t="s">
        <v>7366</v>
      </c>
      <c r="I7" s="43" t="s">
        <v>7366</v>
      </c>
    </row>
    <row r="8" spans="1:9" ht="13">
      <c r="B8" s="1336" t="s">
        <v>7358</v>
      </c>
      <c r="C8" s="1336" t="s">
        <v>7359</v>
      </c>
      <c r="D8" s="1336" t="s">
        <v>7360</v>
      </c>
      <c r="E8" s="1337" t="s">
        <v>7361</v>
      </c>
      <c r="F8" s="1337" t="s">
        <v>10695</v>
      </c>
      <c r="G8" s="1337" t="s">
        <v>10696</v>
      </c>
      <c r="H8" s="1337" t="s">
        <v>10697</v>
      </c>
      <c r="I8" s="1337" t="s">
        <v>10698</v>
      </c>
    </row>
    <row r="9" spans="1:9" ht="15.5">
      <c r="A9" s="964" t="s">
        <v>2635</v>
      </c>
      <c r="B9" s="1339" t="e">
        <f>'DistCharter-Data2425'!B44</f>
        <v>#DIV/0!</v>
      </c>
      <c r="C9" s="1339" t="e">
        <f>'DistCharter-Data2425'!C44</f>
        <v>#DIV/0!</v>
      </c>
      <c r="D9" s="1339" t="e">
        <f>'DistCharter-Data2425'!D44</f>
        <v>#DIV/0!</v>
      </c>
      <c r="E9" s="1339" t="e">
        <f>'DistCharter-Data2425'!E44</f>
        <v>#DIV/0!</v>
      </c>
      <c r="F9" s="1339" t="e">
        <f>'DistCharter-Data2425'!F44</f>
        <v>#DIV/0!</v>
      </c>
      <c r="G9" s="1339" t="e">
        <f>'DistCharter-Data2425'!G44</f>
        <v>#DIV/0!</v>
      </c>
      <c r="H9" s="1339" t="e">
        <f>'DistCharter-Data2425'!H44</f>
        <v>#DIV/0!</v>
      </c>
      <c r="I9" s="1339" t="e">
        <f>'DistCharter-Data2425'!I44</f>
        <v>#DIV/0!</v>
      </c>
    </row>
    <row r="10" spans="1:9" ht="15.5">
      <c r="A10" s="964" t="s">
        <v>7854</v>
      </c>
      <c r="B10" s="1670" t="e">
        <f>'DistCharter-Data2425'!B45</f>
        <v>#DIV/0!</v>
      </c>
      <c r="C10" s="1670" t="e">
        <f>'DistCharter-Data2425'!C45</f>
        <v>#DIV/0!</v>
      </c>
      <c r="D10" s="1670" t="e">
        <f>'DistCharter-Data2425'!D45</f>
        <v>#DIV/0!</v>
      </c>
      <c r="E10" s="1670" t="e">
        <f>'DistCharter-Data2425'!E45</f>
        <v>#DIV/0!</v>
      </c>
      <c r="F10" s="1670" t="e">
        <f>'DistCharter-Data2425'!F45</f>
        <v>#DIV/0!</v>
      </c>
      <c r="G10" s="1670" t="e">
        <f>'DistCharter-Data2425'!G45</f>
        <v>#DIV/0!</v>
      </c>
      <c r="H10" s="1670" t="e">
        <f>'DistCharter-Data2425'!H45</f>
        <v>#DIV/0!</v>
      </c>
      <c r="I10" s="1670" t="e">
        <f>'DistCharter-Data2425'!I45</f>
        <v>#DIV/0!</v>
      </c>
    </row>
    <row r="11" spans="1:9" ht="15.5">
      <c r="A11" s="964" t="s">
        <v>2639</v>
      </c>
      <c r="B11" s="1339" t="e">
        <f>'DistCharter-Data2425'!B46</f>
        <v>#DIV/0!</v>
      </c>
      <c r="C11" s="1339" t="e">
        <f>'DistCharter-Data2425'!C46</f>
        <v>#DIV/0!</v>
      </c>
      <c r="D11" s="1339" t="e">
        <f>'DistCharter-Data2425'!D46</f>
        <v>#DIV/0!</v>
      </c>
      <c r="E11" s="1339" t="e">
        <f>'DistCharter-Data2425'!E46</f>
        <v>#DIV/0!</v>
      </c>
      <c r="F11" s="1339" t="e">
        <f>'DistCharter-Data2425'!F46</f>
        <v>#DIV/0!</v>
      </c>
      <c r="G11" s="1339" t="e">
        <f>'DistCharter-Data2425'!G46</f>
        <v>#DIV/0!</v>
      </c>
      <c r="H11" s="1339" t="e">
        <f>'DistCharter-Data2425'!H46</f>
        <v>#DIV/0!</v>
      </c>
      <c r="I11" s="1339" t="e">
        <f>'DistCharter-Data2425'!I46</f>
        <v>#DIV/0!</v>
      </c>
    </row>
    <row r="12" spans="1:9" ht="15.5">
      <c r="A12" s="964" t="s">
        <v>7436</v>
      </c>
      <c r="B12" s="1670" t="e">
        <f>'DistCharter-Data2425'!B47</f>
        <v>#DIV/0!</v>
      </c>
      <c r="C12" s="1670" t="e">
        <f>'DistCharter-Data2425'!C47</f>
        <v>#DIV/0!</v>
      </c>
      <c r="D12" s="1670" t="e">
        <f>'DistCharter-Data2425'!D47</f>
        <v>#DIV/0!</v>
      </c>
      <c r="E12" s="1670" t="e">
        <f>'DistCharter-Data2425'!E47</f>
        <v>#DIV/0!</v>
      </c>
      <c r="F12" s="1670" t="e">
        <f>'DistCharter-Data2425'!F47</f>
        <v>#DIV/0!</v>
      </c>
      <c r="G12" s="1670" t="e">
        <f>'DistCharter-Data2425'!G47</f>
        <v>#DIV/0!</v>
      </c>
      <c r="H12" s="1670" t="e">
        <f>'DistCharter-Data2425'!H47</f>
        <v>#DIV/0!</v>
      </c>
      <c r="I12" s="1670" t="e">
        <f>'DistCharter-Data2425'!I47</f>
        <v>#DIV/0!</v>
      </c>
    </row>
    <row r="13" spans="1:9" ht="15.5">
      <c r="A13" s="964" t="s">
        <v>7363</v>
      </c>
      <c r="B13" s="1339" t="e">
        <f>'DistCharter-Data2425'!B48</f>
        <v>#DIV/0!</v>
      </c>
      <c r="C13" s="1339" t="e">
        <f>'DistCharter-Data2425'!C48</f>
        <v>#DIV/0!</v>
      </c>
      <c r="D13" s="1339" t="e">
        <f>'DistCharter-Data2425'!D48</f>
        <v>#DIV/0!</v>
      </c>
      <c r="E13" s="1339" t="e">
        <f>'DistCharter-Data2425'!E48</f>
        <v>#DIV/0!</v>
      </c>
      <c r="F13" s="1339" t="e">
        <f>'DistCharter-Data2425'!F48</f>
        <v>#DIV/0!</v>
      </c>
      <c r="G13" s="1339" t="e">
        <f>'DistCharter-Data2425'!G48</f>
        <v>#DIV/0!</v>
      </c>
      <c r="H13" s="1339" t="e">
        <f>'DistCharter-Data2425'!H48</f>
        <v>#DIV/0!</v>
      </c>
      <c r="I13" s="1339" t="e">
        <f>'DistCharter-Data2425'!I48</f>
        <v>#DIV/0!</v>
      </c>
    </row>
    <row r="14" spans="1:9" ht="15.5">
      <c r="A14" s="964" t="s">
        <v>7364</v>
      </c>
      <c r="B14" s="1339" t="e">
        <f>'DistCharter-Data2425'!B49</f>
        <v>#DIV/0!</v>
      </c>
      <c r="C14" s="1339" t="e">
        <f>'DistCharter-Data2425'!C49</f>
        <v>#DIV/0!</v>
      </c>
      <c r="D14" s="1339" t="e">
        <f>'DistCharter-Data2425'!D49</f>
        <v>#DIV/0!</v>
      </c>
      <c r="E14" s="1339" t="e">
        <f>'DistCharter-Data2425'!E49</f>
        <v>#DIV/0!</v>
      </c>
      <c r="F14" s="1339" t="e">
        <f>'DistCharter-Data2425'!F49</f>
        <v>#DIV/0!</v>
      </c>
      <c r="G14" s="1339" t="e">
        <f>'DistCharter-Data2425'!G49</f>
        <v>#DIV/0!</v>
      </c>
      <c r="H14" s="1339" t="e">
        <f>'DistCharter-Data2425'!H49</f>
        <v>#DIV/0!</v>
      </c>
      <c r="I14" s="1339" t="e">
        <f>'DistCharter-Data2425'!I49</f>
        <v>#DIV/0!</v>
      </c>
    </row>
    <row r="15" spans="1:9" ht="15.5">
      <c r="A15" s="964" t="s">
        <v>2642</v>
      </c>
      <c r="B15" s="1339" t="e">
        <f>'DistCharter-Data2425'!B50</f>
        <v>#DIV/0!</v>
      </c>
      <c r="C15" s="1339" t="e">
        <f>'DistCharter-Data2425'!C50</f>
        <v>#DIV/0!</v>
      </c>
      <c r="D15" s="1339" t="e">
        <f>'DistCharter-Data2425'!D50</f>
        <v>#DIV/0!</v>
      </c>
      <c r="E15" s="1339" t="e">
        <f>'DistCharter-Data2425'!E50</f>
        <v>#DIV/0!</v>
      </c>
      <c r="F15" s="1339" t="e">
        <f>'DistCharter-Data2425'!F50</f>
        <v>#DIV/0!</v>
      </c>
      <c r="G15" s="1339" t="e">
        <f>'DistCharter-Data2425'!G50</f>
        <v>#DIV/0!</v>
      </c>
      <c r="H15" s="1339" t="e">
        <f>'DistCharter-Data2425'!H50</f>
        <v>#DIV/0!</v>
      </c>
      <c r="I15" s="1339" t="e">
        <f>'DistCharter-Data2425'!I50</f>
        <v>#DIV/0!</v>
      </c>
    </row>
    <row r="16" spans="1:9" ht="15.5">
      <c r="A16" s="964" t="s">
        <v>7365</v>
      </c>
      <c r="B16" s="1339" t="e">
        <f>'DistCharter-Data2425'!B51</f>
        <v>#DIV/0!</v>
      </c>
      <c r="C16" s="1339" t="e">
        <f>'DistCharter-Data2425'!C51</f>
        <v>#DIV/0!</v>
      </c>
      <c r="D16" s="1339" t="e">
        <f>'DistCharter-Data2425'!D51</f>
        <v>#DIV/0!</v>
      </c>
      <c r="E16" s="1339" t="e">
        <f>'DistCharter-Data2425'!E51</f>
        <v>#DIV/0!</v>
      </c>
      <c r="F16" s="1339" t="e">
        <f>'DistCharter-Data2425'!F51</f>
        <v>#DIV/0!</v>
      </c>
      <c r="G16" s="1339" t="e">
        <f>'DistCharter-Data2425'!G51</f>
        <v>#DIV/0!</v>
      </c>
      <c r="H16" s="1339" t="e">
        <f>'DistCharter-Data2425'!H51</f>
        <v>#DIV/0!</v>
      </c>
      <c r="I16" s="1339" t="e">
        <f>'DistCharter-Data2425'!I51</f>
        <v>#DIV/0!</v>
      </c>
    </row>
    <row r="17" spans="1:9" ht="15.5">
      <c r="A17" s="964" t="s">
        <v>7628</v>
      </c>
      <c r="B17" s="1670" t="e">
        <f>'DistCharter-Data2425'!B52</f>
        <v>#DIV/0!</v>
      </c>
      <c r="C17" s="1670" t="e">
        <f>'DistCharter-Data2425'!C52</f>
        <v>#DIV/0!</v>
      </c>
      <c r="D17" s="1670" t="e">
        <f>'DistCharter-Data2425'!D52</f>
        <v>#DIV/0!</v>
      </c>
      <c r="E17" s="1670" t="e">
        <f>'DistCharter-Data2425'!E52</f>
        <v>#DIV/0!</v>
      </c>
      <c r="F17" s="1670" t="e">
        <f>'DistCharter-Data2425'!F52</f>
        <v>#DIV/0!</v>
      </c>
      <c r="G17" s="1670" t="e">
        <f>'DistCharter-Data2425'!G52</f>
        <v>#DIV/0!</v>
      </c>
      <c r="H17" s="1670" t="e">
        <f>'DistCharter-Data2425'!H52</f>
        <v>#DIV/0!</v>
      </c>
      <c r="I17" s="1670" t="e">
        <f>'DistCharter-Data2425'!I52</f>
        <v>#DIV/0!</v>
      </c>
    </row>
    <row r="18" spans="1:9" ht="15.5">
      <c r="A18" s="970" t="s">
        <v>7371</v>
      </c>
      <c r="B18" s="1339" t="e">
        <f>'DistCharter-Data2425'!B53</f>
        <v>#DIV/0!</v>
      </c>
      <c r="C18" s="1339" t="e">
        <f>'DistCharter-Data2425'!C53</f>
        <v>#DIV/0!</v>
      </c>
      <c r="D18" s="1339" t="e">
        <f>'DistCharter-Data2425'!D53</f>
        <v>#DIV/0!</v>
      </c>
      <c r="E18" s="1339" t="e">
        <f>'DistCharter-Data2425'!E53</f>
        <v>#DIV/0!</v>
      </c>
      <c r="F18" s="1339" t="e">
        <f>'DistCharter-Data2425'!F53</f>
        <v>#DIV/0!</v>
      </c>
      <c r="G18" s="1339" t="e">
        <f>'DistCharter-Data2425'!G53</f>
        <v>#DIV/0!</v>
      </c>
      <c r="H18" s="1339" t="e">
        <f>'DistCharter-Data2425'!H53</f>
        <v>#DIV/0!</v>
      </c>
      <c r="I18" s="1339" t="e">
        <f>'DistCharter-Data2425'!I53</f>
        <v>#DIV/0!</v>
      </c>
    </row>
    <row r="19" spans="1:9">
      <c r="A19" s="1037"/>
    </row>
    <row r="20" spans="1:9" ht="13">
      <c r="A20" s="1338" t="s">
        <v>10704</v>
      </c>
      <c r="B20" s="43" t="s">
        <v>7366</v>
      </c>
      <c r="C20" s="43" t="s">
        <v>7366</v>
      </c>
      <c r="D20" s="43" t="s">
        <v>7366</v>
      </c>
      <c r="E20" s="43" t="s">
        <v>7366</v>
      </c>
      <c r="F20" s="43" t="s">
        <v>7366</v>
      </c>
      <c r="G20" s="43" t="s">
        <v>7366</v>
      </c>
      <c r="H20" s="43" t="s">
        <v>7366</v>
      </c>
      <c r="I20" s="43" t="s">
        <v>7366</v>
      </c>
    </row>
    <row r="21" spans="1:9" ht="13">
      <c r="B21" s="1336" t="s">
        <v>7358</v>
      </c>
      <c r="C21" s="1336" t="s">
        <v>7359</v>
      </c>
      <c r="D21" s="1336" t="s">
        <v>7360</v>
      </c>
      <c r="E21" s="1337" t="s">
        <v>7361</v>
      </c>
      <c r="F21" s="1337" t="s">
        <v>10695</v>
      </c>
      <c r="G21" s="1337" t="s">
        <v>10696</v>
      </c>
      <c r="H21" s="1337" t="s">
        <v>10697</v>
      </c>
      <c r="I21" s="1337" t="s">
        <v>10698</v>
      </c>
    </row>
    <row r="22" spans="1:9" ht="15.5">
      <c r="A22" s="969" t="s">
        <v>7393</v>
      </c>
      <c r="B22" s="1339" t="e">
        <f>'DistCharter-Data2425'!B77</f>
        <v>#DIV/0!</v>
      </c>
      <c r="C22" s="1339" t="e">
        <f>'DistCharter-Data2425'!C77</f>
        <v>#DIV/0!</v>
      </c>
      <c r="D22" s="1339" t="e">
        <f>'DistCharter-Data2425'!D77</f>
        <v>#DIV/0!</v>
      </c>
      <c r="E22" s="1339" t="e">
        <f>'DistCharter-Data2425'!E77</f>
        <v>#DIV/0!</v>
      </c>
      <c r="F22" s="1339" t="e">
        <f>'DistCharter-Data2425'!F77</f>
        <v>#DIV/0!</v>
      </c>
      <c r="G22" s="1339" t="e">
        <f>'DistCharter-Data2425'!G77</f>
        <v>#DIV/0!</v>
      </c>
      <c r="H22" s="1339" t="e">
        <f>'DistCharter-Data2425'!H77</f>
        <v>#DIV/0!</v>
      </c>
      <c r="I22" s="1339" t="e">
        <f>'DistCharter-Data2425'!I77</f>
        <v>#DIV/0!</v>
      </c>
    </row>
    <row r="23" spans="1:9" ht="15.5">
      <c r="A23" s="969" t="s">
        <v>7394</v>
      </c>
      <c r="B23" s="1339" t="e">
        <f>'DistCharter-Data2425'!B78</f>
        <v>#DIV/0!</v>
      </c>
      <c r="C23" s="1339" t="e">
        <f>'DistCharter-Data2425'!C78</f>
        <v>#DIV/0!</v>
      </c>
      <c r="D23" s="1339" t="e">
        <f>'DistCharter-Data2425'!D78</f>
        <v>#DIV/0!</v>
      </c>
      <c r="E23" s="1339" t="e">
        <f>'DistCharter-Data2425'!E78</f>
        <v>#DIV/0!</v>
      </c>
      <c r="F23" s="1339" t="e">
        <f>'DistCharter-Data2425'!F78</f>
        <v>#DIV/0!</v>
      </c>
      <c r="G23" s="1339" t="e">
        <f>'DistCharter-Data2425'!G78</f>
        <v>#DIV/0!</v>
      </c>
      <c r="H23" s="1339" t="e">
        <f>'DistCharter-Data2425'!H78</f>
        <v>#DIV/0!</v>
      </c>
      <c r="I23" s="1339" t="e">
        <f>'DistCharter-Data2425'!I78</f>
        <v>#DIV/0!</v>
      </c>
    </row>
    <row r="24" spans="1:9" ht="15.5">
      <c r="A24" s="970" t="s">
        <v>7372</v>
      </c>
      <c r="B24" s="1339" t="e">
        <f>'DistCharter-Data2425'!B79</f>
        <v>#DIV/0!</v>
      </c>
      <c r="C24" s="1339" t="e">
        <f>'DistCharter-Data2425'!C79</f>
        <v>#DIV/0!</v>
      </c>
      <c r="D24" s="1339" t="e">
        <f>'DistCharter-Data2425'!D79</f>
        <v>#DIV/0!</v>
      </c>
      <c r="E24" s="1339" t="e">
        <f>'DistCharter-Data2425'!E79</f>
        <v>#DIV/0!</v>
      </c>
      <c r="F24" s="1339" t="e">
        <f>'DistCharter-Data2425'!F79</f>
        <v>#DIV/0!</v>
      </c>
      <c r="G24" s="1339" t="e">
        <f>'DistCharter-Data2425'!G79</f>
        <v>#DIV/0!</v>
      </c>
      <c r="H24" s="1339" t="e">
        <f>'DistCharter-Data2425'!H79</f>
        <v>#DIV/0!</v>
      </c>
      <c r="I24" s="1339" t="e">
        <f>'DistCharter-Data2425'!I79</f>
        <v>#DIV/0!</v>
      </c>
    </row>
    <row r="26" spans="1:9" ht="15.5">
      <c r="A26" s="1340" t="s">
        <v>7374</v>
      </c>
      <c r="B26" s="1663" t="e">
        <f>B18+B24</f>
        <v>#DIV/0!</v>
      </c>
      <c r="C26" s="1663" t="e">
        <f t="shared" ref="C26:E26" si="0">C18+C24</f>
        <v>#DIV/0!</v>
      </c>
      <c r="D26" s="1663" t="e">
        <f t="shared" si="0"/>
        <v>#DIV/0!</v>
      </c>
      <c r="E26" s="1663" t="e">
        <f t="shared" si="0"/>
        <v>#DIV/0!</v>
      </c>
      <c r="F26" s="1663" t="e">
        <f t="shared" ref="F26:G26" si="1">F18+F24</f>
        <v>#DIV/0!</v>
      </c>
      <c r="G26" s="1663" t="e">
        <f t="shared" si="1"/>
        <v>#DIV/0!</v>
      </c>
      <c r="H26" s="1663" t="e">
        <f t="shared" ref="H26:I26" si="2">H18+H24</f>
        <v>#DIV/0!</v>
      </c>
      <c r="I26" s="1663" t="e">
        <f t="shared" si="2"/>
        <v>#DIV/0!</v>
      </c>
    </row>
    <row r="30" spans="1:9" ht="13">
      <c r="A30" s="1338" t="s">
        <v>7383</v>
      </c>
      <c r="B30" s="43" t="s">
        <v>7367</v>
      </c>
      <c r="C30" s="43" t="s">
        <v>7367</v>
      </c>
      <c r="D30" s="43" t="s">
        <v>7367</v>
      </c>
      <c r="E30" s="43" t="s">
        <v>7367</v>
      </c>
      <c r="F30" s="43" t="s">
        <v>7367</v>
      </c>
      <c r="G30" s="43" t="s">
        <v>7367</v>
      </c>
      <c r="H30" s="43" t="s">
        <v>7367</v>
      </c>
      <c r="I30" s="43" t="s">
        <v>7367</v>
      </c>
    </row>
    <row r="31" spans="1:9" ht="13">
      <c r="B31" s="1336" t="s">
        <v>7358</v>
      </c>
      <c r="C31" s="1336" t="s">
        <v>7359</v>
      </c>
      <c r="D31" s="1336" t="s">
        <v>7360</v>
      </c>
      <c r="E31" s="1337" t="s">
        <v>7361</v>
      </c>
      <c r="F31" s="1337" t="s">
        <v>10695</v>
      </c>
      <c r="G31" s="1337" t="s">
        <v>10696</v>
      </c>
      <c r="H31" s="1337" t="s">
        <v>10697</v>
      </c>
      <c r="I31" s="1337" t="s">
        <v>10698</v>
      </c>
    </row>
    <row r="32" spans="1:9" ht="15.5">
      <c r="A32" s="964" t="s">
        <v>2635</v>
      </c>
      <c r="B32" s="1339">
        <f>'DistCharter-Data2425'!B57</f>
        <v>0</v>
      </c>
      <c r="C32" s="1339">
        <f>'DistCharter-Data2425'!C57</f>
        <v>0</v>
      </c>
      <c r="D32" s="1339">
        <f>'DistCharter-Data2425'!D57</f>
        <v>0</v>
      </c>
      <c r="E32" s="1339">
        <f>'DistCharter-Data2425'!E57</f>
        <v>0</v>
      </c>
      <c r="F32" s="1339">
        <f>'DistCharter-Data2425'!F57</f>
        <v>0</v>
      </c>
      <c r="G32" s="1339">
        <f>'DistCharter-Data2425'!G57</f>
        <v>0</v>
      </c>
      <c r="H32" s="1339">
        <f>'DistCharter-Data2425'!H57</f>
        <v>0</v>
      </c>
      <c r="I32" s="1339">
        <f>'DistCharter-Data2425'!I57</f>
        <v>0</v>
      </c>
    </row>
    <row r="33" spans="1:9" ht="15.5">
      <c r="A33" s="964" t="s">
        <v>7854</v>
      </c>
      <c r="B33" s="1670">
        <f>'DistCharter-Data2425'!B58</f>
        <v>0</v>
      </c>
      <c r="C33" s="1670">
        <f>'DistCharter-Data2425'!C58</f>
        <v>0</v>
      </c>
      <c r="D33" s="1670">
        <f>'DistCharter-Data2425'!D58</f>
        <v>0</v>
      </c>
      <c r="E33" s="1670">
        <f>'DistCharter-Data2425'!E58</f>
        <v>0</v>
      </c>
      <c r="F33" s="1670">
        <f>'DistCharter-Data2425'!F58</f>
        <v>0</v>
      </c>
      <c r="G33" s="1670">
        <f>'DistCharter-Data2425'!G58</f>
        <v>0</v>
      </c>
      <c r="H33" s="1670">
        <f>'DistCharter-Data2425'!H58</f>
        <v>0</v>
      </c>
      <c r="I33" s="1670">
        <f>'DistCharter-Data2425'!I58</f>
        <v>0</v>
      </c>
    </row>
    <row r="34" spans="1:9" ht="15.5">
      <c r="A34" s="964" t="s">
        <v>2639</v>
      </c>
      <c r="B34" s="1339">
        <f>'DistCharter-Data2425'!B59</f>
        <v>0</v>
      </c>
      <c r="C34" s="1339">
        <f>'DistCharter-Data2425'!C59</f>
        <v>0</v>
      </c>
      <c r="D34" s="1339">
        <f>'DistCharter-Data2425'!D59</f>
        <v>0</v>
      </c>
      <c r="E34" s="1339">
        <f>'DistCharter-Data2425'!E59</f>
        <v>0</v>
      </c>
      <c r="F34" s="1339">
        <f>'DistCharter-Data2425'!F59</f>
        <v>0</v>
      </c>
      <c r="G34" s="1339">
        <f>'DistCharter-Data2425'!G59</f>
        <v>0</v>
      </c>
      <c r="H34" s="1339">
        <f>'DistCharter-Data2425'!H59</f>
        <v>0</v>
      </c>
      <c r="I34" s="1339">
        <f>'DistCharter-Data2425'!I59</f>
        <v>0</v>
      </c>
    </row>
    <row r="35" spans="1:9" ht="15.5">
      <c r="A35" s="964" t="s">
        <v>7436</v>
      </c>
      <c r="B35" s="1670">
        <f>'DistCharter-Data2425'!B60</f>
        <v>0</v>
      </c>
      <c r="C35" s="1670">
        <f>'DistCharter-Data2425'!C60</f>
        <v>0</v>
      </c>
      <c r="D35" s="1670">
        <f>'DistCharter-Data2425'!D60</f>
        <v>0</v>
      </c>
      <c r="E35" s="1670">
        <f>'DistCharter-Data2425'!E60</f>
        <v>0</v>
      </c>
      <c r="F35" s="1670">
        <f>'DistCharter-Data2425'!F60</f>
        <v>0</v>
      </c>
      <c r="G35" s="1670">
        <f>'DistCharter-Data2425'!G60</f>
        <v>0</v>
      </c>
      <c r="H35" s="1670">
        <f>'DistCharter-Data2425'!H60</f>
        <v>0</v>
      </c>
      <c r="I35" s="1670">
        <f>'DistCharter-Data2425'!I60</f>
        <v>0</v>
      </c>
    </row>
    <row r="36" spans="1:9" ht="15.5">
      <c r="A36" s="964" t="s">
        <v>7363</v>
      </c>
      <c r="B36" s="1339">
        <f>'DistCharter-Data2425'!B61</f>
        <v>0</v>
      </c>
      <c r="C36" s="1339">
        <f>'DistCharter-Data2425'!C61</f>
        <v>0</v>
      </c>
      <c r="D36" s="1339">
        <f>'DistCharter-Data2425'!D61</f>
        <v>0</v>
      </c>
      <c r="E36" s="1339">
        <f>'DistCharter-Data2425'!E61</f>
        <v>0</v>
      </c>
      <c r="F36" s="1339">
        <f>'DistCharter-Data2425'!F61</f>
        <v>0</v>
      </c>
      <c r="G36" s="1339">
        <f>'DistCharter-Data2425'!G61</f>
        <v>0</v>
      </c>
      <c r="H36" s="1339">
        <f>'DistCharter-Data2425'!H61</f>
        <v>0</v>
      </c>
      <c r="I36" s="1339">
        <f>'DistCharter-Data2425'!I61</f>
        <v>0</v>
      </c>
    </row>
    <row r="37" spans="1:9" ht="15.5">
      <c r="A37" s="964" t="s">
        <v>7364</v>
      </c>
      <c r="B37" s="1339">
        <f>'DistCharter-Data2425'!B62</f>
        <v>0</v>
      </c>
      <c r="C37" s="1339">
        <f>'DistCharter-Data2425'!C62</f>
        <v>0</v>
      </c>
      <c r="D37" s="1339">
        <f>'DistCharter-Data2425'!D62</f>
        <v>0</v>
      </c>
      <c r="E37" s="1339">
        <f>'DistCharter-Data2425'!E62</f>
        <v>0</v>
      </c>
      <c r="F37" s="1339">
        <f>'DistCharter-Data2425'!F62</f>
        <v>0</v>
      </c>
      <c r="G37" s="1339">
        <f>'DistCharter-Data2425'!G62</f>
        <v>0</v>
      </c>
      <c r="H37" s="1339">
        <f>'DistCharter-Data2425'!H62</f>
        <v>0</v>
      </c>
      <c r="I37" s="1339">
        <f>'DistCharter-Data2425'!I62</f>
        <v>0</v>
      </c>
    </row>
    <row r="38" spans="1:9" ht="15.5">
      <c r="A38" s="964" t="s">
        <v>2642</v>
      </c>
      <c r="B38" s="1339">
        <f>'DistCharter-Data2425'!B63</f>
        <v>0</v>
      </c>
      <c r="C38" s="1339">
        <f>'DistCharter-Data2425'!C63</f>
        <v>0</v>
      </c>
      <c r="D38" s="1339">
        <f>'DistCharter-Data2425'!D63</f>
        <v>0</v>
      </c>
      <c r="E38" s="1339">
        <f>'DistCharter-Data2425'!E63</f>
        <v>0</v>
      </c>
      <c r="F38" s="1339">
        <f>'DistCharter-Data2425'!F63</f>
        <v>0</v>
      </c>
      <c r="G38" s="1339">
        <f>'DistCharter-Data2425'!G63</f>
        <v>0</v>
      </c>
      <c r="H38" s="1339">
        <f>'DistCharter-Data2425'!H63</f>
        <v>0</v>
      </c>
      <c r="I38" s="1339">
        <f>'DistCharter-Data2425'!I63</f>
        <v>0</v>
      </c>
    </row>
    <row r="39" spans="1:9" ht="15.5">
      <c r="A39" s="964" t="s">
        <v>7365</v>
      </c>
      <c r="B39" s="1339">
        <f>'DistCharter-Data2425'!B64</f>
        <v>0</v>
      </c>
      <c r="C39" s="1339">
        <f>'DistCharter-Data2425'!C64</f>
        <v>0</v>
      </c>
      <c r="D39" s="1339">
        <f>'DistCharter-Data2425'!D64</f>
        <v>0</v>
      </c>
      <c r="E39" s="1339">
        <f>'DistCharter-Data2425'!E64</f>
        <v>0</v>
      </c>
      <c r="F39" s="1339">
        <f>'DistCharter-Data2425'!F64</f>
        <v>0</v>
      </c>
      <c r="G39" s="1339">
        <f>'DistCharter-Data2425'!G64</f>
        <v>0</v>
      </c>
      <c r="H39" s="1339">
        <f>'DistCharter-Data2425'!H64</f>
        <v>0</v>
      </c>
      <c r="I39" s="1339">
        <f>'DistCharter-Data2425'!I64</f>
        <v>0</v>
      </c>
    </row>
    <row r="40" spans="1:9" ht="15.5">
      <c r="A40" s="964" t="s">
        <v>7628</v>
      </c>
      <c r="B40" s="1670">
        <f>'DistCharter-Data2425'!B65</f>
        <v>0</v>
      </c>
      <c r="C40" s="1670">
        <f>'DistCharter-Data2425'!C65</f>
        <v>0</v>
      </c>
      <c r="D40" s="1670">
        <f>'DistCharter-Data2425'!D65</f>
        <v>0</v>
      </c>
      <c r="E40" s="1670">
        <f>'DistCharter-Data2425'!E65</f>
        <v>0</v>
      </c>
      <c r="F40" s="1670">
        <f>'DistCharter-Data2425'!F65</f>
        <v>0</v>
      </c>
      <c r="G40" s="1670">
        <f>'DistCharter-Data2425'!G65</f>
        <v>0</v>
      </c>
      <c r="H40" s="1670">
        <f>'DistCharter-Data2425'!H65</f>
        <v>0</v>
      </c>
      <c r="I40" s="1670">
        <f>'DistCharter-Data2425'!I65</f>
        <v>0</v>
      </c>
    </row>
    <row r="41" spans="1:9" ht="15.5">
      <c r="A41" s="970" t="s">
        <v>7371</v>
      </c>
      <c r="B41" s="1339">
        <f t="shared" ref="B41:I41" si="3">SUM(B32:B40)</f>
        <v>0</v>
      </c>
      <c r="C41" s="1339">
        <f t="shared" si="3"/>
        <v>0</v>
      </c>
      <c r="D41" s="1339">
        <f t="shared" si="3"/>
        <v>0</v>
      </c>
      <c r="E41" s="1339">
        <f t="shared" si="3"/>
        <v>0</v>
      </c>
      <c r="F41" s="1339">
        <f t="shared" si="3"/>
        <v>0</v>
      </c>
      <c r="G41" s="1339">
        <f t="shared" si="3"/>
        <v>0</v>
      </c>
      <c r="H41" s="1339">
        <f t="shared" si="3"/>
        <v>0</v>
      </c>
      <c r="I41" s="1339">
        <f t="shared" si="3"/>
        <v>0</v>
      </c>
    </row>
    <row r="43" spans="1:9" ht="13">
      <c r="A43" s="1338" t="s">
        <v>7384</v>
      </c>
      <c r="B43" s="43" t="s">
        <v>7367</v>
      </c>
      <c r="C43" s="43" t="s">
        <v>7367</v>
      </c>
      <c r="D43" s="43" t="s">
        <v>7367</v>
      </c>
      <c r="E43" s="43" t="s">
        <v>7367</v>
      </c>
      <c r="F43" s="43" t="s">
        <v>7367</v>
      </c>
      <c r="G43" s="43" t="s">
        <v>7367</v>
      </c>
      <c r="H43" s="43" t="s">
        <v>7367</v>
      </c>
      <c r="I43" s="43" t="s">
        <v>7367</v>
      </c>
    </row>
    <row r="44" spans="1:9" ht="13">
      <c r="B44" s="1336" t="s">
        <v>7358</v>
      </c>
      <c r="C44" s="1336" t="s">
        <v>7359</v>
      </c>
      <c r="D44" s="1336" t="s">
        <v>7360</v>
      </c>
      <c r="E44" s="1337" t="s">
        <v>7361</v>
      </c>
      <c r="F44" s="1337" t="s">
        <v>10695</v>
      </c>
      <c r="G44" s="1337" t="s">
        <v>10696</v>
      </c>
      <c r="H44" s="1337" t="s">
        <v>10697</v>
      </c>
      <c r="I44" s="1337" t="s">
        <v>10698</v>
      </c>
    </row>
    <row r="45" spans="1:9" ht="15.5">
      <c r="A45" s="969" t="s">
        <v>7393</v>
      </c>
      <c r="B45" s="1339">
        <f>'DistCharter-Data2425'!B83</f>
        <v>0</v>
      </c>
      <c r="C45" s="1339">
        <f>'DistCharter-Data2425'!C83</f>
        <v>0</v>
      </c>
      <c r="D45" s="1339">
        <f>'DistCharter-Data2425'!D83</f>
        <v>0</v>
      </c>
      <c r="E45" s="1339">
        <f>'DistCharter-Data2425'!E83</f>
        <v>0</v>
      </c>
      <c r="F45" s="1339">
        <f>'DistCharter-Data2425'!F83</f>
        <v>0</v>
      </c>
      <c r="G45" s="1339">
        <f>'DistCharter-Data2425'!G83</f>
        <v>0</v>
      </c>
      <c r="H45" s="1339">
        <f>'DistCharter-Data2425'!H83</f>
        <v>0</v>
      </c>
      <c r="I45" s="1339">
        <f>'DistCharter-Data2425'!I83</f>
        <v>0</v>
      </c>
    </row>
    <row r="46" spans="1:9" ht="15.5">
      <c r="A46" s="969" t="s">
        <v>7394</v>
      </c>
      <c r="B46" s="1339">
        <f>'DistCharter-Data2425'!B84</f>
        <v>0</v>
      </c>
      <c r="C46" s="1339">
        <f>'DistCharter-Data2425'!C84</f>
        <v>0</v>
      </c>
      <c r="D46" s="1339">
        <f>'DistCharter-Data2425'!D84</f>
        <v>0</v>
      </c>
      <c r="E46" s="1339">
        <f>'DistCharter-Data2425'!E84</f>
        <v>0</v>
      </c>
      <c r="F46" s="1339">
        <f>'DistCharter-Data2425'!F84</f>
        <v>0</v>
      </c>
      <c r="G46" s="1339">
        <f>'DistCharter-Data2425'!G84</f>
        <v>0</v>
      </c>
      <c r="H46" s="1339">
        <f>'DistCharter-Data2425'!H84</f>
        <v>0</v>
      </c>
      <c r="I46" s="1339">
        <f>'DistCharter-Data2425'!I84</f>
        <v>0</v>
      </c>
    </row>
    <row r="47" spans="1:9" ht="15.5">
      <c r="A47" s="970" t="s">
        <v>7372</v>
      </c>
      <c r="B47" s="1339">
        <f>SUM(B45:B46)</f>
        <v>0</v>
      </c>
      <c r="C47" s="1339">
        <f t="shared" ref="C47:E47" si="4">SUM(C45:C46)</f>
        <v>0</v>
      </c>
      <c r="D47" s="1339">
        <f t="shared" si="4"/>
        <v>0</v>
      </c>
      <c r="E47" s="1339">
        <f t="shared" si="4"/>
        <v>0</v>
      </c>
      <c r="F47" s="1339">
        <f t="shared" ref="F47:G47" si="5">SUM(F45:F46)</f>
        <v>0</v>
      </c>
      <c r="G47" s="1339">
        <f t="shared" si="5"/>
        <v>0</v>
      </c>
      <c r="H47" s="1339">
        <f t="shared" ref="H47:I47" si="6">SUM(H45:H46)</f>
        <v>0</v>
      </c>
      <c r="I47" s="1339">
        <f t="shared" si="6"/>
        <v>0</v>
      </c>
    </row>
    <row r="49" spans="1:10" ht="13">
      <c r="A49" s="1338" t="s">
        <v>7385</v>
      </c>
      <c r="B49" s="43" t="s">
        <v>7367</v>
      </c>
      <c r="C49" s="43" t="s">
        <v>7367</v>
      </c>
      <c r="D49" s="43" t="s">
        <v>7367</v>
      </c>
      <c r="E49" s="43" t="s">
        <v>7367</v>
      </c>
      <c r="F49" s="43" t="s">
        <v>7367</v>
      </c>
      <c r="G49" s="43" t="s">
        <v>7367</v>
      </c>
      <c r="H49" s="43" t="s">
        <v>7367</v>
      </c>
      <c r="I49" s="43" t="s">
        <v>7367</v>
      </c>
    </row>
    <row r="50" spans="1:10" ht="13">
      <c r="B50" s="1336" t="s">
        <v>7358</v>
      </c>
      <c r="C50" s="1336" t="s">
        <v>7359</v>
      </c>
      <c r="D50" s="1336" t="s">
        <v>7360</v>
      </c>
      <c r="E50" s="1337" t="s">
        <v>7361</v>
      </c>
      <c r="F50" s="1337" t="s">
        <v>10695</v>
      </c>
      <c r="G50" s="1337" t="s">
        <v>10696</v>
      </c>
      <c r="H50" s="1337" t="s">
        <v>10697</v>
      </c>
      <c r="I50" s="1337" t="s">
        <v>10698</v>
      </c>
    </row>
    <row r="51" spans="1:10" ht="15.5">
      <c r="A51" s="969" t="s">
        <v>7373</v>
      </c>
      <c r="B51" s="1339">
        <f>'DistCharter-Data2425'!B98</f>
        <v>0</v>
      </c>
      <c r="C51" s="1339">
        <f>'DistCharter-Data2425'!C98</f>
        <v>0</v>
      </c>
      <c r="D51" s="1339">
        <f>'DistCharter-Data2425'!D98</f>
        <v>0</v>
      </c>
      <c r="E51" s="1339">
        <f>'DistCharter-Data2425'!E98</f>
        <v>0</v>
      </c>
      <c r="F51" s="1339">
        <f>'DistCharter-Data2425'!F98</f>
        <v>0</v>
      </c>
      <c r="G51" s="1339">
        <f>'DistCharter-Data2425'!G98</f>
        <v>0</v>
      </c>
      <c r="H51" s="1339">
        <f>'DistCharter-Data2425'!H98</f>
        <v>0</v>
      </c>
      <c r="I51" s="1339">
        <f>'DistCharter-Data2425'!I98</f>
        <v>0</v>
      </c>
    </row>
    <row r="53" spans="1:10" ht="15.5">
      <c r="A53" s="1340" t="s">
        <v>7386</v>
      </c>
      <c r="B53" s="1663">
        <f>B41+B47+B51</f>
        <v>0</v>
      </c>
      <c r="C53" s="1663">
        <f t="shared" ref="C53:E53" si="7">C41+C47+C51</f>
        <v>0</v>
      </c>
      <c r="D53" s="1663">
        <f t="shared" si="7"/>
        <v>0</v>
      </c>
      <c r="E53" s="1663">
        <f t="shared" si="7"/>
        <v>0</v>
      </c>
      <c r="F53" s="1663">
        <f t="shared" ref="F53:G53" si="8">F41+F47+F51</f>
        <v>0</v>
      </c>
      <c r="G53" s="1663">
        <f t="shared" si="8"/>
        <v>0</v>
      </c>
      <c r="H53" s="1663">
        <f t="shared" ref="H53:I53" si="9">H41+H47+H51</f>
        <v>0</v>
      </c>
      <c r="I53" s="1663">
        <f t="shared" si="9"/>
        <v>0</v>
      </c>
    </row>
    <row r="54" spans="1:10" ht="15.5">
      <c r="J54" s="324" t="s">
        <v>8487</v>
      </c>
    </row>
    <row r="55" spans="1:10" ht="15">
      <c r="J55" s="971" t="s">
        <v>7376</v>
      </c>
    </row>
    <row r="56" spans="1:10" ht="15.5">
      <c r="A56" s="1341" t="s">
        <v>7375</v>
      </c>
      <c r="B56" s="1342"/>
      <c r="C56" s="1342"/>
      <c r="D56" s="1342"/>
      <c r="E56" s="980"/>
      <c r="F56" s="980"/>
      <c r="G56" s="980"/>
      <c r="H56" s="980"/>
      <c r="I56" s="980"/>
      <c r="J56" s="1342"/>
    </row>
    <row r="57" spans="1:10" ht="15.5">
      <c r="A57" s="1343" t="s">
        <v>12487</v>
      </c>
      <c r="B57" s="1664" t="e">
        <f t="shared" ref="B57:I57" si="10">IF(B26&gt;=B53,0,B53-B26)</f>
        <v>#DIV/0!</v>
      </c>
      <c r="C57" s="1664" t="e">
        <f t="shared" si="10"/>
        <v>#DIV/0!</v>
      </c>
      <c r="D57" s="1664" t="e">
        <f t="shared" si="10"/>
        <v>#DIV/0!</v>
      </c>
      <c r="E57" s="1664" t="e">
        <f t="shared" si="10"/>
        <v>#DIV/0!</v>
      </c>
      <c r="F57" s="1664" t="e">
        <f t="shared" si="10"/>
        <v>#DIV/0!</v>
      </c>
      <c r="G57" s="1664" t="e">
        <f t="shared" si="10"/>
        <v>#DIV/0!</v>
      </c>
      <c r="H57" s="1664" t="e">
        <f t="shared" si="10"/>
        <v>#DIV/0!</v>
      </c>
      <c r="I57" s="1664" t="e">
        <f t="shared" si="10"/>
        <v>#DIV/0!</v>
      </c>
      <c r="J57" s="2629" t="e">
        <f>SUM(B57:I57)</f>
        <v>#DIV/0!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6"/>
  <sheetViews>
    <sheetView workbookViewId="0">
      <selection activeCell="G11" sqref="G11"/>
    </sheetView>
  </sheetViews>
  <sheetFormatPr defaultColWidth="8.7265625" defaultRowHeight="12.5"/>
  <cols>
    <col min="1" max="1" width="25.453125" style="2042" customWidth="1"/>
    <col min="2" max="2" width="19.54296875" style="2043" customWidth="1"/>
    <col min="3" max="3" width="6.453125" style="2042" customWidth="1"/>
    <col min="4" max="4" width="20.54296875" style="2042" hidden="1" customWidth="1"/>
    <col min="5" max="5" width="6.54296875" style="2042" hidden="1" customWidth="1"/>
    <col min="6" max="6" width="20.54296875" style="2042" customWidth="1"/>
    <col min="7" max="7" width="6.54296875" style="2042" customWidth="1"/>
    <col min="8" max="8" width="20.54296875" style="2042" hidden="1" customWidth="1"/>
    <col min="9" max="9" width="6.54296875" style="2042" hidden="1" customWidth="1"/>
    <col min="10" max="10" width="20.54296875" style="2042" hidden="1" customWidth="1"/>
    <col min="11" max="11" width="6.54296875" style="2042" hidden="1" customWidth="1"/>
    <col min="12" max="12" width="20.54296875" style="2042" hidden="1" customWidth="1"/>
    <col min="13" max="13" width="6.54296875" style="2042" hidden="1" customWidth="1"/>
    <col min="14" max="14" width="20.54296875" style="2042" hidden="1" customWidth="1"/>
    <col min="15" max="15" width="6.54296875" style="2042" hidden="1" customWidth="1"/>
    <col min="16" max="16" width="20.54296875" style="2042" hidden="1" customWidth="1"/>
    <col min="17" max="17" width="6.54296875" style="2042" hidden="1" customWidth="1"/>
    <col min="18" max="16384" width="8.7265625" style="2042"/>
  </cols>
  <sheetData>
    <row r="1" spans="1:17" ht="15.5">
      <c r="A1" s="25">
        <f>'Data Entry - SOF'!B2</f>
        <v>0</v>
      </c>
      <c r="D1" s="732" t="s">
        <v>4913</v>
      </c>
    </row>
    <row r="2" spans="1:17" ht="15.5">
      <c r="A2" s="471"/>
      <c r="D2" s="732"/>
    </row>
    <row r="3" spans="1:17" ht="15.5">
      <c r="A3" s="471"/>
      <c r="D3" s="732" t="s">
        <v>4914</v>
      </c>
    </row>
    <row r="4" spans="1:17" ht="15.5">
      <c r="A4" s="471"/>
      <c r="D4" s="732" t="s">
        <v>4915</v>
      </c>
    </row>
    <row r="5" spans="1:17" ht="15.5">
      <c r="A5" s="471"/>
      <c r="D5" s="732" t="s">
        <v>4916</v>
      </c>
    </row>
    <row r="6" spans="1:17" ht="15.5">
      <c r="A6" s="471"/>
      <c r="D6" s="732" t="s">
        <v>5326</v>
      </c>
    </row>
    <row r="7" spans="1:17" ht="13">
      <c r="A7" s="471"/>
    </row>
    <row r="8" spans="1:17" ht="13">
      <c r="B8" s="36" t="s">
        <v>4908</v>
      </c>
      <c r="C8" s="448">
        <f>COUNTIF(IFAData_TEA_2022!B2:M2741,A1)</f>
        <v>5034</v>
      </c>
    </row>
    <row r="9" spans="1:17" ht="13">
      <c r="B9" s="2042"/>
      <c r="C9" s="2043"/>
      <c r="D9" s="3143" t="s">
        <v>2819</v>
      </c>
      <c r="E9" s="3144"/>
      <c r="F9" s="3145" t="s">
        <v>5513</v>
      </c>
      <c r="G9" s="3146"/>
      <c r="H9" s="3147" t="s">
        <v>3325</v>
      </c>
      <c r="I9" s="3148"/>
      <c r="J9" s="3149" t="s">
        <v>3325</v>
      </c>
      <c r="K9" s="3150"/>
      <c r="L9" s="3151" t="s">
        <v>5513</v>
      </c>
      <c r="M9" s="3152"/>
      <c r="N9" s="3153" t="s">
        <v>5951</v>
      </c>
      <c r="O9" s="3154"/>
      <c r="P9" s="3155" t="s">
        <v>7037</v>
      </c>
      <c r="Q9" s="3156"/>
    </row>
    <row r="10" spans="1:17" ht="13">
      <c r="B10" s="43" t="s">
        <v>4909</v>
      </c>
      <c r="D10" s="3157" t="s">
        <v>2802</v>
      </c>
      <c r="E10" s="3158" t="s">
        <v>3353</v>
      </c>
      <c r="F10" s="3159" t="s">
        <v>2802</v>
      </c>
      <c r="G10" s="3160" t="s">
        <v>3353</v>
      </c>
      <c r="H10" s="3161" t="s">
        <v>2802</v>
      </c>
      <c r="I10" s="3162" t="s">
        <v>3353</v>
      </c>
      <c r="J10" s="3163" t="s">
        <v>2802</v>
      </c>
      <c r="K10" s="3164" t="s">
        <v>3353</v>
      </c>
      <c r="L10" s="3165" t="s">
        <v>2802</v>
      </c>
      <c r="M10" s="3166" t="s">
        <v>3353</v>
      </c>
      <c r="N10" s="3167" t="s">
        <v>2802</v>
      </c>
      <c r="O10" s="3168" t="s">
        <v>3353</v>
      </c>
      <c r="P10" s="3169" t="s">
        <v>2802</v>
      </c>
      <c r="Q10" s="3170" t="s">
        <v>3353</v>
      </c>
    </row>
    <row r="11" spans="1:17" ht="14.5">
      <c r="A11" s="58" t="s">
        <v>4910</v>
      </c>
      <c r="B11" s="470" t="e">
        <f>MATCH(A$1,IFAData_TEA_2022!B$2:B$2741,0)</f>
        <v>#N/A</v>
      </c>
      <c r="D11" s="3171" t="e">
        <f>IF(B11&lt;B$11+C$8,INDEX(#REF!,B11,11),0)</f>
        <v>#N/A</v>
      </c>
      <c r="E11" s="3172" t="e">
        <f>IF(B11&lt;B$11+C$8,INDEX(#REF!,B11,12),0)</f>
        <v>#N/A</v>
      </c>
      <c r="F11" s="3171" t="e">
        <f>IF(B11&lt;B$11+C$8,INDEX(IFAData_TEA_2022!B$2:M$2741,B11,11),0)</f>
        <v>#N/A</v>
      </c>
      <c r="G11" s="3172" t="e">
        <f>IF(B11&lt;B$11+C$8,INDEX(IFAData_TEA_2022!B$2:M$2741,B11,12),0)</f>
        <v>#N/A</v>
      </c>
      <c r="H11" s="3172" t="e">
        <f t="shared" ref="H11:Q26" si="0">F11</f>
        <v>#N/A</v>
      </c>
      <c r="I11" s="3172" t="e">
        <f t="shared" si="0"/>
        <v>#N/A</v>
      </c>
      <c r="J11" s="3172" t="e">
        <f t="shared" si="0"/>
        <v>#N/A</v>
      </c>
      <c r="K11" s="3172" t="e">
        <f t="shared" si="0"/>
        <v>#N/A</v>
      </c>
      <c r="L11" s="3172" t="e">
        <f t="shared" si="0"/>
        <v>#N/A</v>
      </c>
      <c r="M11" s="3172" t="e">
        <f t="shared" si="0"/>
        <v>#N/A</v>
      </c>
      <c r="N11" s="3172" t="e">
        <f t="shared" si="0"/>
        <v>#N/A</v>
      </c>
      <c r="O11" s="3172" t="e">
        <f t="shared" si="0"/>
        <v>#N/A</v>
      </c>
      <c r="P11" s="3172" t="e">
        <f t="shared" si="0"/>
        <v>#N/A</v>
      </c>
      <c r="Q11" s="3172" t="e">
        <f t="shared" si="0"/>
        <v>#N/A</v>
      </c>
    </row>
    <row r="12" spans="1:17" ht="14.5">
      <c r="A12" s="58" t="s">
        <v>4910</v>
      </c>
      <c r="B12" s="470" t="e">
        <f>B11+1</f>
        <v>#N/A</v>
      </c>
      <c r="D12" s="3171" t="e">
        <f>IF(B12&lt;B$11+C$8,INDEX(#REF!,B12,11),0)</f>
        <v>#N/A</v>
      </c>
      <c r="E12" s="3172" t="e">
        <f>IF(B12&lt;B$11+C$8,INDEX(#REF!,B12,12),0)</f>
        <v>#N/A</v>
      </c>
      <c r="F12" s="3171" t="e">
        <f>IF(B12&lt;B$11+C$8,INDEX(IFAData_TEA_2022!B$2:M$2741,B12,11),0)</f>
        <v>#N/A</v>
      </c>
      <c r="G12" s="3172" t="e">
        <f>IF(B12&lt;B$11+C$8,INDEX(IFAData_TEA_2022!B$2:M$2741,B12,12),0)</f>
        <v>#N/A</v>
      </c>
      <c r="H12" s="3172" t="e">
        <f t="shared" si="0"/>
        <v>#N/A</v>
      </c>
      <c r="I12" s="3172" t="e">
        <f t="shared" si="0"/>
        <v>#N/A</v>
      </c>
      <c r="J12" s="3172" t="e">
        <f t="shared" si="0"/>
        <v>#N/A</v>
      </c>
      <c r="K12" s="3172" t="e">
        <f t="shared" si="0"/>
        <v>#N/A</v>
      </c>
      <c r="L12" s="3172" t="e">
        <f t="shared" si="0"/>
        <v>#N/A</v>
      </c>
      <c r="M12" s="3172" t="e">
        <f t="shared" si="0"/>
        <v>#N/A</v>
      </c>
      <c r="N12" s="3172" t="e">
        <f t="shared" si="0"/>
        <v>#N/A</v>
      </c>
      <c r="O12" s="3172" t="e">
        <f t="shared" si="0"/>
        <v>#N/A</v>
      </c>
      <c r="P12" s="3172" t="e">
        <f t="shared" si="0"/>
        <v>#N/A</v>
      </c>
      <c r="Q12" s="3172" t="e">
        <f t="shared" si="0"/>
        <v>#N/A</v>
      </c>
    </row>
    <row r="13" spans="1:17" ht="14.5">
      <c r="A13" s="58" t="s">
        <v>4910</v>
      </c>
      <c r="B13" s="470" t="e">
        <f>B12+1</f>
        <v>#N/A</v>
      </c>
      <c r="D13" s="3171" t="e">
        <f>IF(B13&lt;B$11+C$8,INDEX(#REF!,B13,11),0)</f>
        <v>#N/A</v>
      </c>
      <c r="E13" s="3172" t="e">
        <f>IF(B13&lt;B$11+C$8,INDEX(#REF!,B13,12),0)</f>
        <v>#N/A</v>
      </c>
      <c r="F13" s="3171" t="e">
        <f>IF(B13&lt;B$11+C$8,INDEX(IFAData_TEA_2022!B$2:M$2741,B13,11),0)</f>
        <v>#N/A</v>
      </c>
      <c r="G13" s="3172" t="e">
        <f>IF(B13&lt;B$11+C$8,INDEX(IFAData_TEA_2022!B$2:M$2741,B13,12),0)</f>
        <v>#N/A</v>
      </c>
      <c r="H13" s="3172" t="e">
        <f t="shared" si="0"/>
        <v>#N/A</v>
      </c>
      <c r="I13" s="3172" t="e">
        <f t="shared" si="0"/>
        <v>#N/A</v>
      </c>
      <c r="J13" s="3172" t="e">
        <f t="shared" si="0"/>
        <v>#N/A</v>
      </c>
      <c r="K13" s="3172" t="e">
        <f t="shared" si="0"/>
        <v>#N/A</v>
      </c>
      <c r="L13" s="3172" t="e">
        <f t="shared" si="0"/>
        <v>#N/A</v>
      </c>
      <c r="M13" s="3172" t="e">
        <f t="shared" si="0"/>
        <v>#N/A</v>
      </c>
      <c r="N13" s="3172" t="e">
        <f t="shared" si="0"/>
        <v>#N/A</v>
      </c>
      <c r="O13" s="3172" t="e">
        <f t="shared" si="0"/>
        <v>#N/A</v>
      </c>
      <c r="P13" s="3172" t="e">
        <f t="shared" si="0"/>
        <v>#N/A</v>
      </c>
      <c r="Q13" s="3172" t="e">
        <f t="shared" si="0"/>
        <v>#N/A</v>
      </c>
    </row>
    <row r="14" spans="1:17" ht="14.5">
      <c r="A14" s="58" t="s">
        <v>4910</v>
      </c>
      <c r="B14" s="470" t="e">
        <f t="shared" ref="B14:B54" si="1">B13+1</f>
        <v>#N/A</v>
      </c>
      <c r="D14" s="3171" t="e">
        <f>IF(B14&lt;B$11+C$8,INDEX(#REF!,B14,11),0)</f>
        <v>#N/A</v>
      </c>
      <c r="E14" s="3172" t="e">
        <f>IF(B14&lt;B$11+C$8,INDEX(#REF!,B14,12),0)</f>
        <v>#N/A</v>
      </c>
      <c r="F14" s="3171" t="e">
        <f>IF(B14&lt;B$11+C$8,INDEX(IFAData_TEA_2022!B$2:M$2741,B14,11),0)</f>
        <v>#N/A</v>
      </c>
      <c r="G14" s="3172" t="e">
        <f>IF(B14&lt;B$11+C$8,INDEX(IFAData_TEA_2022!B$2:M$2741,B14,12),0)</f>
        <v>#N/A</v>
      </c>
      <c r="H14" s="3172" t="e">
        <f t="shared" si="0"/>
        <v>#N/A</v>
      </c>
      <c r="I14" s="3172" t="e">
        <f t="shared" si="0"/>
        <v>#N/A</v>
      </c>
      <c r="J14" s="3172" t="e">
        <f t="shared" si="0"/>
        <v>#N/A</v>
      </c>
      <c r="K14" s="3172" t="e">
        <f t="shared" si="0"/>
        <v>#N/A</v>
      </c>
      <c r="L14" s="3172" t="e">
        <f t="shared" si="0"/>
        <v>#N/A</v>
      </c>
      <c r="M14" s="3172" t="e">
        <f t="shared" si="0"/>
        <v>#N/A</v>
      </c>
      <c r="N14" s="3172" t="e">
        <f t="shared" si="0"/>
        <v>#N/A</v>
      </c>
      <c r="O14" s="3172" t="e">
        <f t="shared" si="0"/>
        <v>#N/A</v>
      </c>
      <c r="P14" s="3172" t="e">
        <f t="shared" si="0"/>
        <v>#N/A</v>
      </c>
      <c r="Q14" s="3172" t="e">
        <f t="shared" si="0"/>
        <v>#N/A</v>
      </c>
    </row>
    <row r="15" spans="1:17" ht="14.5">
      <c r="A15" s="58" t="s">
        <v>4910</v>
      </c>
      <c r="B15" s="470" t="e">
        <f t="shared" si="1"/>
        <v>#N/A</v>
      </c>
      <c r="D15" s="3171" t="e">
        <f>IF(B15&lt;B$11+C$8,INDEX(#REF!,B15,11),0)</f>
        <v>#N/A</v>
      </c>
      <c r="E15" s="3172" t="e">
        <f>IF(B15&lt;B$11+C$8,INDEX(#REF!,B15,12),0)</f>
        <v>#N/A</v>
      </c>
      <c r="F15" s="3171" t="e">
        <f>IF(B15&lt;B$11+C$8,INDEX(IFAData_TEA_2022!B$2:M$2741,B15,11),0)</f>
        <v>#N/A</v>
      </c>
      <c r="G15" s="3172" t="e">
        <f>IF(B15&lt;B$11+C$8,INDEX(IFAData_TEA_2022!B$2:M$2741,B15,12),0)</f>
        <v>#N/A</v>
      </c>
      <c r="H15" s="3172" t="e">
        <f t="shared" si="0"/>
        <v>#N/A</v>
      </c>
      <c r="I15" s="3172" t="e">
        <f t="shared" si="0"/>
        <v>#N/A</v>
      </c>
      <c r="J15" s="3172" t="e">
        <f t="shared" si="0"/>
        <v>#N/A</v>
      </c>
      <c r="K15" s="3172" t="e">
        <f t="shared" si="0"/>
        <v>#N/A</v>
      </c>
      <c r="L15" s="3172" t="e">
        <f t="shared" si="0"/>
        <v>#N/A</v>
      </c>
      <c r="M15" s="3172" t="e">
        <f t="shared" si="0"/>
        <v>#N/A</v>
      </c>
      <c r="N15" s="3172" t="e">
        <f t="shared" si="0"/>
        <v>#N/A</v>
      </c>
      <c r="O15" s="3172" t="e">
        <f t="shared" si="0"/>
        <v>#N/A</v>
      </c>
      <c r="P15" s="3172" t="e">
        <f t="shared" si="0"/>
        <v>#N/A</v>
      </c>
      <c r="Q15" s="3172" t="e">
        <f t="shared" si="0"/>
        <v>#N/A</v>
      </c>
    </row>
    <row r="16" spans="1:17" ht="14.5">
      <c r="A16" s="58" t="s">
        <v>4910</v>
      </c>
      <c r="B16" s="470" t="e">
        <f t="shared" si="1"/>
        <v>#N/A</v>
      </c>
      <c r="D16" s="3171" t="e">
        <f>IF(B16&lt;B$11+C$8,INDEX(#REF!,B16,11),0)</f>
        <v>#N/A</v>
      </c>
      <c r="E16" s="3172" t="e">
        <f>IF(B16&lt;B$11+C$8,INDEX(#REF!,B16,12),0)</f>
        <v>#N/A</v>
      </c>
      <c r="F16" s="3171" t="e">
        <f>IF(B16&lt;B$11+C$8,INDEX(IFAData_TEA_2022!B$2:M$2741,B16,11),0)</f>
        <v>#N/A</v>
      </c>
      <c r="G16" s="3172" t="e">
        <f>IF(B16&lt;B$11+C$8,INDEX(IFAData_TEA_2022!B$2:M$2741,B16,12),0)</f>
        <v>#N/A</v>
      </c>
      <c r="H16" s="3172" t="e">
        <f t="shared" si="0"/>
        <v>#N/A</v>
      </c>
      <c r="I16" s="3172" t="e">
        <f t="shared" si="0"/>
        <v>#N/A</v>
      </c>
      <c r="J16" s="3172" t="e">
        <f t="shared" si="0"/>
        <v>#N/A</v>
      </c>
      <c r="K16" s="3172" t="e">
        <f t="shared" si="0"/>
        <v>#N/A</v>
      </c>
      <c r="L16" s="3172" t="e">
        <f t="shared" si="0"/>
        <v>#N/A</v>
      </c>
      <c r="M16" s="3172" t="e">
        <f t="shared" si="0"/>
        <v>#N/A</v>
      </c>
      <c r="N16" s="3172" t="e">
        <f t="shared" si="0"/>
        <v>#N/A</v>
      </c>
      <c r="O16" s="3172" t="e">
        <f t="shared" si="0"/>
        <v>#N/A</v>
      </c>
      <c r="P16" s="3172" t="e">
        <f t="shared" si="0"/>
        <v>#N/A</v>
      </c>
      <c r="Q16" s="3172" t="e">
        <f t="shared" si="0"/>
        <v>#N/A</v>
      </c>
    </row>
    <row r="17" spans="1:17" ht="14.5">
      <c r="A17" s="58" t="s">
        <v>4910</v>
      </c>
      <c r="B17" s="470" t="e">
        <f t="shared" si="1"/>
        <v>#N/A</v>
      </c>
      <c r="D17" s="3171" t="e">
        <f>IF(B17&lt;B$11+C$8,INDEX(#REF!,B17,11),0)</f>
        <v>#N/A</v>
      </c>
      <c r="E17" s="3172" t="e">
        <f>IF(B17&lt;B$11+C$8,INDEX(#REF!,B17,12),0)</f>
        <v>#N/A</v>
      </c>
      <c r="F17" s="3171" t="e">
        <f>IF(B17&lt;B$11+C$8,INDEX(IFAData_TEA_2022!B$2:M$2741,B17,11),0)</f>
        <v>#N/A</v>
      </c>
      <c r="G17" s="3172" t="e">
        <f>IF(B17&lt;B$11+C$8,INDEX(IFAData_TEA_2022!B$2:M$2741,B17,12),0)</f>
        <v>#N/A</v>
      </c>
      <c r="H17" s="3172" t="e">
        <f t="shared" si="0"/>
        <v>#N/A</v>
      </c>
      <c r="I17" s="3172" t="e">
        <f t="shared" si="0"/>
        <v>#N/A</v>
      </c>
      <c r="J17" s="3172" t="e">
        <f t="shared" si="0"/>
        <v>#N/A</v>
      </c>
      <c r="K17" s="3172" t="e">
        <f t="shared" si="0"/>
        <v>#N/A</v>
      </c>
      <c r="L17" s="3172" t="e">
        <f t="shared" si="0"/>
        <v>#N/A</v>
      </c>
      <c r="M17" s="3172" t="e">
        <f t="shared" si="0"/>
        <v>#N/A</v>
      </c>
      <c r="N17" s="3172" t="e">
        <f t="shared" si="0"/>
        <v>#N/A</v>
      </c>
      <c r="O17" s="3172" t="e">
        <f t="shared" si="0"/>
        <v>#N/A</v>
      </c>
      <c r="P17" s="3172" t="e">
        <f t="shared" si="0"/>
        <v>#N/A</v>
      </c>
      <c r="Q17" s="3172" t="e">
        <f t="shared" si="0"/>
        <v>#N/A</v>
      </c>
    </row>
    <row r="18" spans="1:17" ht="14.5">
      <c r="A18" s="58" t="s">
        <v>4910</v>
      </c>
      <c r="B18" s="470" t="e">
        <f t="shared" si="1"/>
        <v>#N/A</v>
      </c>
      <c r="D18" s="3171" t="e">
        <f>IF(B18&lt;B$11+C$8,INDEX(#REF!,B18,11),0)</f>
        <v>#N/A</v>
      </c>
      <c r="E18" s="3172" t="e">
        <f>IF(B18&lt;B$11+C$8,INDEX(#REF!,B18,12),0)</f>
        <v>#N/A</v>
      </c>
      <c r="F18" s="3171" t="e">
        <f>IF(B18&lt;B$11+C$8,INDEX(IFAData_TEA_2022!B$2:M$2741,B18,11),0)</f>
        <v>#N/A</v>
      </c>
      <c r="G18" s="3172" t="e">
        <f>IF(B18&lt;B$11+C$8,INDEX(IFAData_TEA_2022!B$2:M$2741,B18,12),0)</f>
        <v>#N/A</v>
      </c>
      <c r="H18" s="3172" t="e">
        <f t="shared" si="0"/>
        <v>#N/A</v>
      </c>
      <c r="I18" s="3172" t="e">
        <f t="shared" si="0"/>
        <v>#N/A</v>
      </c>
      <c r="J18" s="3172" t="e">
        <f t="shared" si="0"/>
        <v>#N/A</v>
      </c>
      <c r="K18" s="3172" t="e">
        <f t="shared" si="0"/>
        <v>#N/A</v>
      </c>
      <c r="L18" s="3172" t="e">
        <f t="shared" si="0"/>
        <v>#N/A</v>
      </c>
      <c r="M18" s="3172" t="e">
        <f t="shared" si="0"/>
        <v>#N/A</v>
      </c>
      <c r="N18" s="3172" t="e">
        <f t="shared" si="0"/>
        <v>#N/A</v>
      </c>
      <c r="O18" s="3172" t="e">
        <f t="shared" si="0"/>
        <v>#N/A</v>
      </c>
      <c r="P18" s="3172" t="e">
        <f t="shared" si="0"/>
        <v>#N/A</v>
      </c>
      <c r="Q18" s="3172" t="e">
        <f t="shared" si="0"/>
        <v>#N/A</v>
      </c>
    </row>
    <row r="19" spans="1:17" ht="14.5">
      <c r="A19" s="58" t="s">
        <v>4910</v>
      </c>
      <c r="B19" s="470" t="e">
        <f t="shared" si="1"/>
        <v>#N/A</v>
      </c>
      <c r="D19" s="3171" t="e">
        <f>IF(B19&lt;B$11+C$8,INDEX(#REF!,B19,11),0)</f>
        <v>#N/A</v>
      </c>
      <c r="E19" s="3172" t="e">
        <f>IF(B19&lt;B$11+C$8,INDEX(#REF!,B19,12),0)</f>
        <v>#N/A</v>
      </c>
      <c r="F19" s="3171" t="e">
        <f>IF(B19&lt;B$11+C$8,INDEX(IFAData_TEA_2022!B$2:M$2741,B19,11),0)</f>
        <v>#N/A</v>
      </c>
      <c r="G19" s="3172" t="e">
        <f>IF(B19&lt;B$11+C$8,INDEX(IFAData_TEA_2022!B$2:M$2741,B19,12),0)</f>
        <v>#N/A</v>
      </c>
      <c r="H19" s="3172" t="e">
        <f t="shared" si="0"/>
        <v>#N/A</v>
      </c>
      <c r="I19" s="3172" t="e">
        <f t="shared" si="0"/>
        <v>#N/A</v>
      </c>
      <c r="J19" s="3172" t="e">
        <f t="shared" si="0"/>
        <v>#N/A</v>
      </c>
      <c r="K19" s="3172" t="e">
        <f t="shared" si="0"/>
        <v>#N/A</v>
      </c>
      <c r="L19" s="3172" t="e">
        <f t="shared" si="0"/>
        <v>#N/A</v>
      </c>
      <c r="M19" s="3172" t="e">
        <f t="shared" si="0"/>
        <v>#N/A</v>
      </c>
      <c r="N19" s="3172" t="e">
        <f t="shared" si="0"/>
        <v>#N/A</v>
      </c>
      <c r="O19" s="3172" t="e">
        <f t="shared" si="0"/>
        <v>#N/A</v>
      </c>
      <c r="P19" s="3172" t="e">
        <f t="shared" si="0"/>
        <v>#N/A</v>
      </c>
      <c r="Q19" s="3172" t="e">
        <f t="shared" si="0"/>
        <v>#N/A</v>
      </c>
    </row>
    <row r="20" spans="1:17" ht="14.5">
      <c r="A20" s="58" t="s">
        <v>4910</v>
      </c>
      <c r="B20" s="470" t="e">
        <f t="shared" si="1"/>
        <v>#N/A</v>
      </c>
      <c r="D20" s="3171" t="e">
        <f>IF(B20&lt;B$11+C$8,INDEX(#REF!,B20,11),0)</f>
        <v>#N/A</v>
      </c>
      <c r="E20" s="3172" t="e">
        <f>IF(B20&lt;B$11+C$8,INDEX(#REF!,B20,12),0)</f>
        <v>#N/A</v>
      </c>
      <c r="F20" s="3171" t="e">
        <f>IF(B20&lt;B$11+C$8,INDEX(IFAData_TEA_2022!B$2:M$2741,B20,11),0)</f>
        <v>#N/A</v>
      </c>
      <c r="G20" s="3172" t="e">
        <f>IF(B20&lt;B$11+C$8,INDEX(IFAData_TEA_2022!B$2:M$2741,B20,12),0)</f>
        <v>#N/A</v>
      </c>
      <c r="H20" s="3172" t="e">
        <f t="shared" si="0"/>
        <v>#N/A</v>
      </c>
      <c r="I20" s="3172" t="e">
        <f t="shared" si="0"/>
        <v>#N/A</v>
      </c>
      <c r="J20" s="3172" t="e">
        <f t="shared" si="0"/>
        <v>#N/A</v>
      </c>
      <c r="K20" s="3172" t="e">
        <f t="shared" si="0"/>
        <v>#N/A</v>
      </c>
      <c r="L20" s="3172" t="e">
        <f t="shared" si="0"/>
        <v>#N/A</v>
      </c>
      <c r="M20" s="3172" t="e">
        <f t="shared" si="0"/>
        <v>#N/A</v>
      </c>
      <c r="N20" s="3172" t="e">
        <f t="shared" si="0"/>
        <v>#N/A</v>
      </c>
      <c r="O20" s="3172" t="e">
        <f t="shared" si="0"/>
        <v>#N/A</v>
      </c>
      <c r="P20" s="3172" t="e">
        <f t="shared" si="0"/>
        <v>#N/A</v>
      </c>
      <c r="Q20" s="3172" t="e">
        <f t="shared" si="0"/>
        <v>#N/A</v>
      </c>
    </row>
    <row r="21" spans="1:17" ht="14.5">
      <c r="A21" s="58" t="s">
        <v>4910</v>
      </c>
      <c r="B21" s="470" t="e">
        <f t="shared" si="1"/>
        <v>#N/A</v>
      </c>
      <c r="D21" s="3171" t="e">
        <f>IF(B21&lt;B$11+C$8,INDEX(#REF!,B21,11),0)</f>
        <v>#N/A</v>
      </c>
      <c r="E21" s="3172" t="e">
        <f>IF(B21&lt;B$11+C$8,INDEX(#REF!,B21,12),0)</f>
        <v>#N/A</v>
      </c>
      <c r="F21" s="3171" t="e">
        <f>IF(B21&lt;B$11+C$8,INDEX(IFAData_TEA_2022!B$2:M$2741,B21,11),0)</f>
        <v>#N/A</v>
      </c>
      <c r="G21" s="3172" t="e">
        <f>IF(B21&lt;B$11+C$8,INDEX(IFAData_TEA_2022!B$2:M$2741,B21,12),0)</f>
        <v>#N/A</v>
      </c>
      <c r="H21" s="3172" t="e">
        <f t="shared" si="0"/>
        <v>#N/A</v>
      </c>
      <c r="I21" s="3172" t="e">
        <f t="shared" si="0"/>
        <v>#N/A</v>
      </c>
      <c r="J21" s="3172" t="e">
        <f t="shared" si="0"/>
        <v>#N/A</v>
      </c>
      <c r="K21" s="3172" t="e">
        <f t="shared" si="0"/>
        <v>#N/A</v>
      </c>
      <c r="L21" s="3172" t="e">
        <f t="shared" si="0"/>
        <v>#N/A</v>
      </c>
      <c r="M21" s="3172" t="e">
        <f t="shared" si="0"/>
        <v>#N/A</v>
      </c>
      <c r="N21" s="3172" t="e">
        <f t="shared" si="0"/>
        <v>#N/A</v>
      </c>
      <c r="O21" s="3172" t="e">
        <f t="shared" si="0"/>
        <v>#N/A</v>
      </c>
      <c r="P21" s="3172" t="e">
        <f t="shared" si="0"/>
        <v>#N/A</v>
      </c>
      <c r="Q21" s="3172" t="e">
        <f t="shared" si="0"/>
        <v>#N/A</v>
      </c>
    </row>
    <row r="22" spans="1:17" ht="14.5">
      <c r="A22" s="58" t="s">
        <v>4910</v>
      </c>
      <c r="B22" s="470" t="e">
        <f t="shared" si="1"/>
        <v>#N/A</v>
      </c>
      <c r="D22" s="3171" t="e">
        <f>IF(B22&lt;B$11+C$8,INDEX(#REF!,B22,11),0)</f>
        <v>#N/A</v>
      </c>
      <c r="E22" s="3172" t="e">
        <f>IF(B22&lt;B$11+C$8,INDEX(#REF!,B22,12),0)</f>
        <v>#N/A</v>
      </c>
      <c r="F22" s="3171" t="e">
        <f>IF(B22&lt;B$11+C$8,INDEX(IFAData_TEA_2022!B$2:M$2741,B22,11),0)</f>
        <v>#N/A</v>
      </c>
      <c r="G22" s="3172" t="e">
        <f>IF(B22&lt;B$11+C$8,INDEX(IFAData_TEA_2022!B$2:M$2741,B22,12),0)</f>
        <v>#N/A</v>
      </c>
      <c r="H22" s="3172" t="e">
        <f t="shared" si="0"/>
        <v>#N/A</v>
      </c>
      <c r="I22" s="3172" t="e">
        <f t="shared" si="0"/>
        <v>#N/A</v>
      </c>
      <c r="J22" s="3172" t="e">
        <f t="shared" si="0"/>
        <v>#N/A</v>
      </c>
      <c r="K22" s="3172" t="e">
        <f t="shared" si="0"/>
        <v>#N/A</v>
      </c>
      <c r="L22" s="3172" t="e">
        <f t="shared" si="0"/>
        <v>#N/A</v>
      </c>
      <c r="M22" s="3172" t="e">
        <f t="shared" si="0"/>
        <v>#N/A</v>
      </c>
      <c r="N22" s="3172" t="e">
        <f t="shared" si="0"/>
        <v>#N/A</v>
      </c>
      <c r="O22" s="3172" t="e">
        <f t="shared" si="0"/>
        <v>#N/A</v>
      </c>
      <c r="P22" s="3172" t="e">
        <f t="shared" si="0"/>
        <v>#N/A</v>
      </c>
      <c r="Q22" s="3172" t="e">
        <f t="shared" si="0"/>
        <v>#N/A</v>
      </c>
    </row>
    <row r="23" spans="1:17" ht="14.5">
      <c r="A23" s="58" t="s">
        <v>4910</v>
      </c>
      <c r="B23" s="470" t="e">
        <f t="shared" si="1"/>
        <v>#N/A</v>
      </c>
      <c r="D23" s="3171" t="e">
        <f>IF(B23&lt;B$11+C$8,INDEX(#REF!,B23,11),0)</f>
        <v>#N/A</v>
      </c>
      <c r="E23" s="3172" t="e">
        <f>IF(B23&lt;B$11+C$8,INDEX(#REF!,B23,12),0)</f>
        <v>#N/A</v>
      </c>
      <c r="F23" s="3171" t="e">
        <f>IF(B23&lt;B$11+C$8,INDEX(IFAData_TEA_2022!B$2:M$2741,B23,11),0)</f>
        <v>#N/A</v>
      </c>
      <c r="G23" s="3172" t="e">
        <f>IF(B23&lt;B$11+C$8,INDEX(IFAData_TEA_2022!B$2:M$2741,B23,12),0)</f>
        <v>#N/A</v>
      </c>
      <c r="H23" s="3172" t="e">
        <f t="shared" si="0"/>
        <v>#N/A</v>
      </c>
      <c r="I23" s="3172" t="e">
        <f t="shared" si="0"/>
        <v>#N/A</v>
      </c>
      <c r="J23" s="3172" t="e">
        <f t="shared" si="0"/>
        <v>#N/A</v>
      </c>
      <c r="K23" s="3172" t="e">
        <f t="shared" si="0"/>
        <v>#N/A</v>
      </c>
      <c r="L23" s="3172" t="e">
        <f t="shared" si="0"/>
        <v>#N/A</v>
      </c>
      <c r="M23" s="3172" t="e">
        <f t="shared" si="0"/>
        <v>#N/A</v>
      </c>
      <c r="N23" s="3172" t="e">
        <f t="shared" si="0"/>
        <v>#N/A</v>
      </c>
      <c r="O23" s="3172" t="e">
        <f t="shared" si="0"/>
        <v>#N/A</v>
      </c>
      <c r="P23" s="3172" t="e">
        <f t="shared" si="0"/>
        <v>#N/A</v>
      </c>
      <c r="Q23" s="3172" t="e">
        <f t="shared" si="0"/>
        <v>#N/A</v>
      </c>
    </row>
    <row r="24" spans="1:17" ht="14.5">
      <c r="A24" s="58" t="s">
        <v>4910</v>
      </c>
      <c r="B24" s="470" t="e">
        <f t="shared" si="1"/>
        <v>#N/A</v>
      </c>
      <c r="D24" s="3171" t="e">
        <f>IF(B24&lt;B$11+C$8,INDEX(#REF!,B24,11),0)</f>
        <v>#N/A</v>
      </c>
      <c r="E24" s="3172" t="e">
        <f>IF(B24&lt;B$11+C$8,INDEX(#REF!,B24,12),0)</f>
        <v>#N/A</v>
      </c>
      <c r="F24" s="3171" t="e">
        <f>IF(B24&lt;B$11+C$8,INDEX(IFAData_TEA_2022!B$2:M$2741,B24,11),0)</f>
        <v>#N/A</v>
      </c>
      <c r="G24" s="3172" t="e">
        <f>IF(B24&lt;B$11+C$8,INDEX(IFAData_TEA_2022!B$2:M$2741,B24,12),0)</f>
        <v>#N/A</v>
      </c>
      <c r="H24" s="3172" t="e">
        <f t="shared" si="0"/>
        <v>#N/A</v>
      </c>
      <c r="I24" s="3172" t="e">
        <f t="shared" si="0"/>
        <v>#N/A</v>
      </c>
      <c r="J24" s="3172" t="e">
        <f t="shared" si="0"/>
        <v>#N/A</v>
      </c>
      <c r="K24" s="3172" t="e">
        <f t="shared" si="0"/>
        <v>#N/A</v>
      </c>
      <c r="L24" s="3172" t="e">
        <f t="shared" si="0"/>
        <v>#N/A</v>
      </c>
      <c r="M24" s="3172" t="e">
        <f t="shared" si="0"/>
        <v>#N/A</v>
      </c>
      <c r="N24" s="3172" t="e">
        <f t="shared" si="0"/>
        <v>#N/A</v>
      </c>
      <c r="O24" s="3172" t="e">
        <f t="shared" si="0"/>
        <v>#N/A</v>
      </c>
      <c r="P24" s="3172" t="e">
        <f t="shared" si="0"/>
        <v>#N/A</v>
      </c>
      <c r="Q24" s="3172" t="e">
        <f t="shared" si="0"/>
        <v>#N/A</v>
      </c>
    </row>
    <row r="25" spans="1:17" ht="14.5">
      <c r="A25" s="58" t="s">
        <v>4910</v>
      </c>
      <c r="B25" s="470" t="e">
        <f t="shared" si="1"/>
        <v>#N/A</v>
      </c>
      <c r="D25" s="3171" t="e">
        <f>IF(B25&lt;B$11+C$8,INDEX(#REF!,B25,11),0)</f>
        <v>#N/A</v>
      </c>
      <c r="E25" s="3172" t="e">
        <f>IF(B25&lt;B$11+C$8,INDEX(#REF!,B25,12),0)</f>
        <v>#N/A</v>
      </c>
      <c r="F25" s="3171" t="e">
        <f>IF(B25&lt;B$11+C$8,INDEX(IFAData_TEA_2022!B$2:M$2741,B25,11),0)</f>
        <v>#N/A</v>
      </c>
      <c r="G25" s="3172" t="e">
        <f>IF(B25&lt;B$11+C$8,INDEX(IFAData_TEA_2022!B$2:M$2741,B25,12),0)</f>
        <v>#N/A</v>
      </c>
      <c r="H25" s="3172" t="e">
        <f t="shared" si="0"/>
        <v>#N/A</v>
      </c>
      <c r="I25" s="3172" t="e">
        <f t="shared" si="0"/>
        <v>#N/A</v>
      </c>
      <c r="J25" s="3172" t="e">
        <f t="shared" si="0"/>
        <v>#N/A</v>
      </c>
      <c r="K25" s="3172" t="e">
        <f t="shared" si="0"/>
        <v>#N/A</v>
      </c>
      <c r="L25" s="3172" t="e">
        <f t="shared" si="0"/>
        <v>#N/A</v>
      </c>
      <c r="M25" s="3172" t="e">
        <f t="shared" si="0"/>
        <v>#N/A</v>
      </c>
      <c r="N25" s="3172" t="e">
        <f t="shared" si="0"/>
        <v>#N/A</v>
      </c>
      <c r="O25" s="3172" t="e">
        <f t="shared" si="0"/>
        <v>#N/A</v>
      </c>
      <c r="P25" s="3172" t="e">
        <f t="shared" si="0"/>
        <v>#N/A</v>
      </c>
      <c r="Q25" s="3172" t="e">
        <f t="shared" si="0"/>
        <v>#N/A</v>
      </c>
    </row>
    <row r="26" spans="1:17" ht="14.5">
      <c r="A26" s="58" t="s">
        <v>4910</v>
      </c>
      <c r="B26" s="470" t="e">
        <f t="shared" si="1"/>
        <v>#N/A</v>
      </c>
      <c r="D26" s="3171" t="e">
        <f>IF(B26&lt;B$11+C$8,INDEX(#REF!,B26,11),0)</f>
        <v>#N/A</v>
      </c>
      <c r="E26" s="3172" t="e">
        <f>IF(B26&lt;B$11+C$8,INDEX(#REF!,B26,12),0)</f>
        <v>#N/A</v>
      </c>
      <c r="F26" s="3171" t="e">
        <f>IF(B26&lt;B$11+C$8,INDEX(IFAData_TEA_2022!B$2:M$2741,B26,11),0)</f>
        <v>#N/A</v>
      </c>
      <c r="G26" s="3172" t="e">
        <f>IF(B26&lt;B$11+C$8,INDEX(IFAData_TEA_2022!B$2:M$2741,B26,12),0)</f>
        <v>#N/A</v>
      </c>
      <c r="H26" s="3172" t="e">
        <f t="shared" si="0"/>
        <v>#N/A</v>
      </c>
      <c r="I26" s="3172" t="e">
        <f t="shared" si="0"/>
        <v>#N/A</v>
      </c>
      <c r="J26" s="3172" t="e">
        <f t="shared" si="0"/>
        <v>#N/A</v>
      </c>
      <c r="K26" s="3172" t="e">
        <f t="shared" si="0"/>
        <v>#N/A</v>
      </c>
      <c r="L26" s="3172" t="e">
        <f t="shared" si="0"/>
        <v>#N/A</v>
      </c>
      <c r="M26" s="3172" t="e">
        <f t="shared" si="0"/>
        <v>#N/A</v>
      </c>
      <c r="N26" s="3172" t="e">
        <f t="shared" si="0"/>
        <v>#N/A</v>
      </c>
      <c r="O26" s="3172" t="e">
        <f t="shared" si="0"/>
        <v>#N/A</v>
      </c>
      <c r="P26" s="3172" t="e">
        <f t="shared" si="0"/>
        <v>#N/A</v>
      </c>
      <c r="Q26" s="3172" t="e">
        <f t="shared" si="0"/>
        <v>#N/A</v>
      </c>
    </row>
    <row r="27" spans="1:17" ht="14.5">
      <c r="A27" s="58" t="s">
        <v>4910</v>
      </c>
      <c r="B27" s="470" t="e">
        <f t="shared" si="1"/>
        <v>#N/A</v>
      </c>
      <c r="D27" s="3171" t="e">
        <f>IF(B27&lt;B$11+C$8,INDEX(#REF!,B27,11),0)</f>
        <v>#N/A</v>
      </c>
      <c r="E27" s="3172" t="e">
        <f>IF(B27&lt;B$11+C$8,INDEX(#REF!,B27,12),0)</f>
        <v>#N/A</v>
      </c>
      <c r="F27" s="3171" t="e">
        <f>IF(B27&lt;B$11+C$8,INDEX(IFAData_TEA_2022!B$2:M$2741,B27,11),0)</f>
        <v>#N/A</v>
      </c>
      <c r="G27" s="3172" t="e">
        <f>IF(B27&lt;B$11+C$8,INDEX(IFAData_TEA_2022!B$2:M$2741,B27,12),0)</f>
        <v>#N/A</v>
      </c>
      <c r="H27" s="3172" t="e">
        <f t="shared" ref="H27:Q52" si="2">F27</f>
        <v>#N/A</v>
      </c>
      <c r="I27" s="3172" t="e">
        <f t="shared" si="2"/>
        <v>#N/A</v>
      </c>
      <c r="J27" s="3172" t="e">
        <f t="shared" si="2"/>
        <v>#N/A</v>
      </c>
      <c r="K27" s="3172" t="e">
        <f t="shared" si="2"/>
        <v>#N/A</v>
      </c>
      <c r="L27" s="3172" t="e">
        <f t="shared" si="2"/>
        <v>#N/A</v>
      </c>
      <c r="M27" s="3172" t="e">
        <f t="shared" si="2"/>
        <v>#N/A</v>
      </c>
      <c r="N27" s="3172" t="e">
        <f t="shared" si="2"/>
        <v>#N/A</v>
      </c>
      <c r="O27" s="3172" t="e">
        <f t="shared" si="2"/>
        <v>#N/A</v>
      </c>
      <c r="P27" s="3172" t="e">
        <f t="shared" si="2"/>
        <v>#N/A</v>
      </c>
      <c r="Q27" s="3172" t="e">
        <f t="shared" si="2"/>
        <v>#N/A</v>
      </c>
    </row>
    <row r="28" spans="1:17" ht="14.5">
      <c r="A28" s="58" t="s">
        <v>4910</v>
      </c>
      <c r="B28" s="470" t="e">
        <f t="shared" si="1"/>
        <v>#N/A</v>
      </c>
      <c r="D28" s="3171" t="e">
        <f>IF(B28&lt;B$11+C$8,INDEX(#REF!,B28,11),0)</f>
        <v>#N/A</v>
      </c>
      <c r="E28" s="3172" t="e">
        <f>IF(B28&lt;B$11+C$8,INDEX(#REF!,B28,12),0)</f>
        <v>#N/A</v>
      </c>
      <c r="F28" s="3171" t="e">
        <f>IF(B28&lt;B$11+C$8,INDEX(IFAData_TEA_2022!B$2:M$2741,B28,11),0)</f>
        <v>#N/A</v>
      </c>
      <c r="G28" s="3172" t="e">
        <f>IF(B28&lt;B$11+C$8,INDEX(IFAData_TEA_2022!B$2:M$2741,B28,12),0)</f>
        <v>#N/A</v>
      </c>
      <c r="H28" s="3172" t="e">
        <f t="shared" si="2"/>
        <v>#N/A</v>
      </c>
      <c r="I28" s="3172" t="e">
        <f t="shared" si="2"/>
        <v>#N/A</v>
      </c>
      <c r="J28" s="3172" t="e">
        <f t="shared" si="2"/>
        <v>#N/A</v>
      </c>
      <c r="K28" s="3172" t="e">
        <f t="shared" si="2"/>
        <v>#N/A</v>
      </c>
      <c r="L28" s="3172" t="e">
        <f t="shared" si="2"/>
        <v>#N/A</v>
      </c>
      <c r="M28" s="3172" t="e">
        <f t="shared" si="2"/>
        <v>#N/A</v>
      </c>
      <c r="N28" s="3172" t="e">
        <f t="shared" si="2"/>
        <v>#N/A</v>
      </c>
      <c r="O28" s="3172" t="e">
        <f t="shared" si="2"/>
        <v>#N/A</v>
      </c>
      <c r="P28" s="3172" t="e">
        <f t="shared" si="2"/>
        <v>#N/A</v>
      </c>
      <c r="Q28" s="3172" t="e">
        <f t="shared" si="2"/>
        <v>#N/A</v>
      </c>
    </row>
    <row r="29" spans="1:17" ht="14.5">
      <c r="A29" s="58" t="s">
        <v>4910</v>
      </c>
      <c r="B29" s="470" t="e">
        <f t="shared" si="1"/>
        <v>#N/A</v>
      </c>
      <c r="D29" s="3171" t="e">
        <f>IF(B29&lt;B$11+C$8,INDEX(#REF!,B29,11),0)</f>
        <v>#N/A</v>
      </c>
      <c r="E29" s="3172" t="e">
        <f>IF(B29&lt;B$11+C$8,INDEX(#REF!,B29,12),0)</f>
        <v>#N/A</v>
      </c>
      <c r="F29" s="3171" t="e">
        <f>IF(B29&lt;B$11+C$8,INDEX(IFAData_TEA_2022!B$2:M$2741,B29,11),0)</f>
        <v>#N/A</v>
      </c>
      <c r="G29" s="3172" t="e">
        <f>IF(B29&lt;B$11+C$8,INDEX(IFAData_TEA_2022!B$2:M$2741,B29,12),0)</f>
        <v>#N/A</v>
      </c>
      <c r="H29" s="3172" t="e">
        <f t="shared" si="2"/>
        <v>#N/A</v>
      </c>
      <c r="I29" s="3172" t="e">
        <f t="shared" si="2"/>
        <v>#N/A</v>
      </c>
      <c r="J29" s="3172" t="e">
        <f t="shared" si="2"/>
        <v>#N/A</v>
      </c>
      <c r="K29" s="3172" t="e">
        <f t="shared" si="2"/>
        <v>#N/A</v>
      </c>
      <c r="L29" s="3172" t="e">
        <f t="shared" si="2"/>
        <v>#N/A</v>
      </c>
      <c r="M29" s="3172" t="e">
        <f t="shared" si="2"/>
        <v>#N/A</v>
      </c>
      <c r="N29" s="3172" t="e">
        <f t="shared" si="2"/>
        <v>#N/A</v>
      </c>
      <c r="O29" s="3172" t="e">
        <f t="shared" si="2"/>
        <v>#N/A</v>
      </c>
      <c r="P29" s="3172" t="e">
        <f t="shared" si="2"/>
        <v>#N/A</v>
      </c>
      <c r="Q29" s="3172" t="e">
        <f t="shared" si="2"/>
        <v>#N/A</v>
      </c>
    </row>
    <row r="30" spans="1:17" ht="14.5">
      <c r="A30" s="58" t="s">
        <v>4910</v>
      </c>
      <c r="B30" s="470" t="e">
        <f t="shared" si="1"/>
        <v>#N/A</v>
      </c>
      <c r="D30" s="3171" t="e">
        <f>IF(B30&lt;B$11+C$8,INDEX(#REF!,B30,11),0)</f>
        <v>#N/A</v>
      </c>
      <c r="E30" s="3172" t="e">
        <f>IF(B30&lt;B$11+C$8,INDEX(#REF!,B30,12),0)</f>
        <v>#N/A</v>
      </c>
      <c r="F30" s="3171" t="e">
        <f>IF(B30&lt;B$11+C$8,INDEX(IFAData_TEA_2022!B$2:M$2741,B30,11),0)</f>
        <v>#N/A</v>
      </c>
      <c r="G30" s="3172" t="e">
        <f>IF(B30&lt;B$11+C$8,INDEX(IFAData_TEA_2022!B$2:M$2741,B30,12),0)</f>
        <v>#N/A</v>
      </c>
      <c r="H30" s="3172" t="e">
        <f t="shared" si="2"/>
        <v>#N/A</v>
      </c>
      <c r="I30" s="3172" t="e">
        <f t="shared" si="2"/>
        <v>#N/A</v>
      </c>
      <c r="J30" s="3172" t="e">
        <f t="shared" si="2"/>
        <v>#N/A</v>
      </c>
      <c r="K30" s="3172" t="e">
        <f t="shared" si="2"/>
        <v>#N/A</v>
      </c>
      <c r="L30" s="3172" t="e">
        <f t="shared" si="2"/>
        <v>#N/A</v>
      </c>
      <c r="M30" s="3172" t="e">
        <f t="shared" si="2"/>
        <v>#N/A</v>
      </c>
      <c r="N30" s="3172" t="e">
        <f t="shared" si="2"/>
        <v>#N/A</v>
      </c>
      <c r="O30" s="3172" t="e">
        <f t="shared" si="2"/>
        <v>#N/A</v>
      </c>
      <c r="P30" s="3172" t="e">
        <f t="shared" si="2"/>
        <v>#N/A</v>
      </c>
      <c r="Q30" s="3172" t="e">
        <f t="shared" si="2"/>
        <v>#N/A</v>
      </c>
    </row>
    <row r="31" spans="1:17" ht="14.5">
      <c r="A31" s="58" t="s">
        <v>4910</v>
      </c>
      <c r="B31" s="470" t="e">
        <f t="shared" si="1"/>
        <v>#N/A</v>
      </c>
      <c r="D31" s="3171" t="e">
        <f>IF(B31&lt;B$11+C$8,INDEX(#REF!,B31,11),0)</f>
        <v>#N/A</v>
      </c>
      <c r="E31" s="3172" t="e">
        <f>IF(B31&lt;B$11+C$8,INDEX(#REF!,B31,12),0)</f>
        <v>#N/A</v>
      </c>
      <c r="F31" s="3171" t="e">
        <f>IF(B31&lt;B$11+C$8,INDEX(IFAData_TEA_2022!B$2:M$2741,B31,11),0)</f>
        <v>#N/A</v>
      </c>
      <c r="G31" s="3172" t="e">
        <f>IF(B31&lt;B$11+C$8,INDEX(IFAData_TEA_2022!B$2:M$2741,B31,12),0)</f>
        <v>#N/A</v>
      </c>
      <c r="H31" s="3172" t="e">
        <f t="shared" si="2"/>
        <v>#N/A</v>
      </c>
      <c r="I31" s="3172" t="e">
        <f t="shared" si="2"/>
        <v>#N/A</v>
      </c>
      <c r="J31" s="3172" t="e">
        <f t="shared" si="2"/>
        <v>#N/A</v>
      </c>
      <c r="K31" s="3172" t="e">
        <f t="shared" si="2"/>
        <v>#N/A</v>
      </c>
      <c r="L31" s="3172" t="e">
        <f t="shared" si="2"/>
        <v>#N/A</v>
      </c>
      <c r="M31" s="3172" t="e">
        <f t="shared" si="2"/>
        <v>#N/A</v>
      </c>
      <c r="N31" s="3172" t="e">
        <f t="shared" si="2"/>
        <v>#N/A</v>
      </c>
      <c r="O31" s="3172" t="e">
        <f t="shared" si="2"/>
        <v>#N/A</v>
      </c>
      <c r="P31" s="3172" t="e">
        <f t="shared" si="2"/>
        <v>#N/A</v>
      </c>
      <c r="Q31" s="3172" t="e">
        <f t="shared" si="2"/>
        <v>#N/A</v>
      </c>
    </row>
    <row r="32" spans="1:17" ht="14.5">
      <c r="A32" s="58" t="s">
        <v>4910</v>
      </c>
      <c r="B32" s="470" t="e">
        <f t="shared" si="1"/>
        <v>#N/A</v>
      </c>
      <c r="D32" s="3171" t="e">
        <f>IF(B32&lt;B$11+C$8,INDEX(#REF!,B32,11),0)</f>
        <v>#N/A</v>
      </c>
      <c r="E32" s="3172" t="e">
        <f>IF(B32&lt;B$11+C$8,INDEX(#REF!,B32,12),0)</f>
        <v>#N/A</v>
      </c>
      <c r="F32" s="3171" t="e">
        <f>IF(B32&lt;B$11+C$8,INDEX(IFAData_TEA_2022!B$2:M$2741,B32,11),0)</f>
        <v>#N/A</v>
      </c>
      <c r="G32" s="3172" t="e">
        <f>IF(B32&lt;B$11+C$8,INDEX(IFAData_TEA_2022!B$2:M$2741,B32,12),0)</f>
        <v>#N/A</v>
      </c>
      <c r="H32" s="3172" t="e">
        <f t="shared" si="2"/>
        <v>#N/A</v>
      </c>
      <c r="I32" s="3172" t="e">
        <f t="shared" si="2"/>
        <v>#N/A</v>
      </c>
      <c r="J32" s="3172" t="e">
        <f t="shared" si="2"/>
        <v>#N/A</v>
      </c>
      <c r="K32" s="3172" t="e">
        <f t="shared" si="2"/>
        <v>#N/A</v>
      </c>
      <c r="L32" s="3172" t="e">
        <f t="shared" si="2"/>
        <v>#N/A</v>
      </c>
      <c r="M32" s="3172" t="e">
        <f t="shared" si="2"/>
        <v>#N/A</v>
      </c>
      <c r="N32" s="3172" t="e">
        <f t="shared" si="2"/>
        <v>#N/A</v>
      </c>
      <c r="O32" s="3172" t="e">
        <f t="shared" si="2"/>
        <v>#N/A</v>
      </c>
      <c r="P32" s="3172" t="e">
        <f t="shared" si="2"/>
        <v>#N/A</v>
      </c>
      <c r="Q32" s="3172" t="e">
        <f t="shared" si="2"/>
        <v>#N/A</v>
      </c>
    </row>
    <row r="33" spans="1:17" ht="14.5">
      <c r="A33" s="58" t="s">
        <v>4910</v>
      </c>
      <c r="B33" s="470" t="e">
        <f t="shared" si="1"/>
        <v>#N/A</v>
      </c>
      <c r="D33" s="3171" t="e">
        <f>IF(B33&lt;B$11+C$8,INDEX(#REF!,B33,11),0)</f>
        <v>#N/A</v>
      </c>
      <c r="E33" s="3172" t="e">
        <f>IF(B33&lt;B$11+C$8,INDEX(#REF!,B33,12),0)</f>
        <v>#N/A</v>
      </c>
      <c r="F33" s="3171" t="e">
        <f>IF(B33&lt;B$11+C$8,INDEX(IFAData_TEA_2022!B$2:M$2741,B33,11),0)</f>
        <v>#N/A</v>
      </c>
      <c r="G33" s="3172" t="e">
        <f>IF(B33&lt;B$11+C$8,INDEX(IFAData_TEA_2022!B$2:M$2741,B33,12),0)</f>
        <v>#N/A</v>
      </c>
      <c r="H33" s="3172" t="e">
        <f t="shared" si="2"/>
        <v>#N/A</v>
      </c>
      <c r="I33" s="3172" t="e">
        <f t="shared" si="2"/>
        <v>#N/A</v>
      </c>
      <c r="J33" s="3172" t="e">
        <f t="shared" si="2"/>
        <v>#N/A</v>
      </c>
      <c r="K33" s="3172" t="e">
        <f t="shared" si="2"/>
        <v>#N/A</v>
      </c>
      <c r="L33" s="3172" t="e">
        <f t="shared" si="2"/>
        <v>#N/A</v>
      </c>
      <c r="M33" s="3172" t="e">
        <f t="shared" si="2"/>
        <v>#N/A</v>
      </c>
      <c r="N33" s="3172" t="e">
        <f t="shared" si="2"/>
        <v>#N/A</v>
      </c>
      <c r="O33" s="3172" t="e">
        <f t="shared" si="2"/>
        <v>#N/A</v>
      </c>
      <c r="P33" s="3172" t="e">
        <f t="shared" si="2"/>
        <v>#N/A</v>
      </c>
      <c r="Q33" s="3172" t="e">
        <f t="shared" si="2"/>
        <v>#N/A</v>
      </c>
    </row>
    <row r="34" spans="1:17" ht="14.5">
      <c r="A34" s="58" t="s">
        <v>4910</v>
      </c>
      <c r="B34" s="470" t="e">
        <f t="shared" si="1"/>
        <v>#N/A</v>
      </c>
      <c r="D34" s="3171" t="e">
        <f>IF(B34&lt;B$11+C$8,INDEX(#REF!,B34,11),0)</f>
        <v>#N/A</v>
      </c>
      <c r="E34" s="3172" t="e">
        <f>IF(B34&lt;B$11+C$8,INDEX(#REF!,B34,12),0)</f>
        <v>#N/A</v>
      </c>
      <c r="F34" s="3171" t="e">
        <f>IF(B34&lt;B$11+C$8,INDEX(IFAData_TEA_2022!B$2:M$2741,B34,11),0)</f>
        <v>#N/A</v>
      </c>
      <c r="G34" s="3172" t="e">
        <f>IF(B34&lt;B$11+C$8,INDEX(IFAData_TEA_2022!B$2:M$2741,B34,12),0)</f>
        <v>#N/A</v>
      </c>
      <c r="H34" s="3172" t="e">
        <f t="shared" si="2"/>
        <v>#N/A</v>
      </c>
      <c r="I34" s="3172" t="e">
        <f t="shared" si="2"/>
        <v>#N/A</v>
      </c>
      <c r="J34" s="3172" t="e">
        <f t="shared" si="2"/>
        <v>#N/A</v>
      </c>
      <c r="K34" s="3172" t="e">
        <f t="shared" si="2"/>
        <v>#N/A</v>
      </c>
      <c r="L34" s="3172" t="e">
        <f t="shared" si="2"/>
        <v>#N/A</v>
      </c>
      <c r="M34" s="3172" t="e">
        <f t="shared" si="2"/>
        <v>#N/A</v>
      </c>
      <c r="N34" s="3172" t="e">
        <f t="shared" si="2"/>
        <v>#N/A</v>
      </c>
      <c r="O34" s="3172" t="e">
        <f t="shared" si="2"/>
        <v>#N/A</v>
      </c>
      <c r="P34" s="3172" t="e">
        <f t="shared" si="2"/>
        <v>#N/A</v>
      </c>
      <c r="Q34" s="3172" t="e">
        <f t="shared" si="2"/>
        <v>#N/A</v>
      </c>
    </row>
    <row r="35" spans="1:17" ht="14.5">
      <c r="A35" s="58" t="s">
        <v>4910</v>
      </c>
      <c r="B35" s="470" t="e">
        <f t="shared" si="1"/>
        <v>#N/A</v>
      </c>
      <c r="D35" s="3171" t="e">
        <f>IF(B35&lt;B$11+C$8,INDEX(#REF!,B35,11),0)</f>
        <v>#N/A</v>
      </c>
      <c r="E35" s="3172" t="e">
        <f>IF(B35&lt;B$11+C$8,INDEX(#REF!,B35,12),0)</f>
        <v>#N/A</v>
      </c>
      <c r="F35" s="3171" t="e">
        <f>IF(B35&lt;B$11+C$8,INDEX(IFAData_TEA_2022!B$2:M$2741,B35,11),0)</f>
        <v>#N/A</v>
      </c>
      <c r="G35" s="3172" t="e">
        <f>IF(B35&lt;B$11+C$8,INDEX(IFAData_TEA_2022!B$2:M$2741,B35,12),0)</f>
        <v>#N/A</v>
      </c>
      <c r="H35" s="3172" t="e">
        <f t="shared" si="2"/>
        <v>#N/A</v>
      </c>
      <c r="I35" s="3172" t="e">
        <f t="shared" si="2"/>
        <v>#N/A</v>
      </c>
      <c r="J35" s="3172" t="e">
        <f t="shared" si="2"/>
        <v>#N/A</v>
      </c>
      <c r="K35" s="3172" t="e">
        <f t="shared" si="2"/>
        <v>#N/A</v>
      </c>
      <c r="L35" s="3172" t="e">
        <f t="shared" si="2"/>
        <v>#N/A</v>
      </c>
      <c r="M35" s="3172" t="e">
        <f t="shared" si="2"/>
        <v>#N/A</v>
      </c>
      <c r="N35" s="3172" t="e">
        <f t="shared" si="2"/>
        <v>#N/A</v>
      </c>
      <c r="O35" s="3172" t="e">
        <f t="shared" si="2"/>
        <v>#N/A</v>
      </c>
      <c r="P35" s="3172" t="e">
        <f t="shared" si="2"/>
        <v>#N/A</v>
      </c>
      <c r="Q35" s="3172" t="e">
        <f t="shared" si="2"/>
        <v>#N/A</v>
      </c>
    </row>
    <row r="36" spans="1:17" ht="14.5">
      <c r="A36" s="58" t="s">
        <v>4910</v>
      </c>
      <c r="B36" s="470" t="e">
        <f t="shared" si="1"/>
        <v>#N/A</v>
      </c>
      <c r="D36" s="3171" t="e">
        <f>IF(B36&lt;B$11+C$8,INDEX(#REF!,B36,11),0)</f>
        <v>#N/A</v>
      </c>
      <c r="E36" s="3172" t="e">
        <f>IF(B36&lt;B$11+C$8,INDEX(#REF!,B36,12),0)</f>
        <v>#N/A</v>
      </c>
      <c r="F36" s="3171" t="e">
        <f>IF(B36&lt;B$11+C$8,INDEX(IFAData_TEA_2022!B$2:M$2741,B36,11),0)</f>
        <v>#N/A</v>
      </c>
      <c r="G36" s="3172" t="e">
        <f>IF(B36&lt;B$11+C$8,INDEX(IFAData_TEA_2022!B$2:M$2741,B36,12),0)</f>
        <v>#N/A</v>
      </c>
      <c r="H36" s="3172" t="e">
        <f t="shared" si="2"/>
        <v>#N/A</v>
      </c>
      <c r="I36" s="3172" t="e">
        <f t="shared" si="2"/>
        <v>#N/A</v>
      </c>
      <c r="J36" s="3172" t="e">
        <f t="shared" si="2"/>
        <v>#N/A</v>
      </c>
      <c r="K36" s="3172" t="e">
        <f t="shared" si="2"/>
        <v>#N/A</v>
      </c>
      <c r="L36" s="3172" t="e">
        <f t="shared" si="2"/>
        <v>#N/A</v>
      </c>
      <c r="M36" s="3172" t="e">
        <f t="shared" si="2"/>
        <v>#N/A</v>
      </c>
      <c r="N36" s="3172" t="e">
        <f t="shared" si="2"/>
        <v>#N/A</v>
      </c>
      <c r="O36" s="3172" t="e">
        <f t="shared" si="2"/>
        <v>#N/A</v>
      </c>
      <c r="P36" s="3172" t="e">
        <f t="shared" si="2"/>
        <v>#N/A</v>
      </c>
      <c r="Q36" s="3172" t="e">
        <f t="shared" si="2"/>
        <v>#N/A</v>
      </c>
    </row>
    <row r="37" spans="1:17" ht="14.5">
      <c r="A37" s="58" t="s">
        <v>4910</v>
      </c>
      <c r="B37" s="470" t="e">
        <f t="shared" si="1"/>
        <v>#N/A</v>
      </c>
      <c r="D37" s="3171" t="e">
        <f>IF(B37&lt;B$11+C$8,INDEX(#REF!,B37,11),0)</f>
        <v>#N/A</v>
      </c>
      <c r="E37" s="3172" t="e">
        <f>IF(B37&lt;B$11+C$8,INDEX(#REF!,B37,12),0)</f>
        <v>#N/A</v>
      </c>
      <c r="F37" s="3171" t="e">
        <f>IF(B37&lt;B$11+C$8,INDEX(IFAData_TEA_2022!B$2:M$2741,B37,11),0)</f>
        <v>#N/A</v>
      </c>
      <c r="G37" s="3172" t="e">
        <f>IF(B37&lt;B$11+C$8,INDEX(IFAData_TEA_2022!B$2:M$2741,B37,12),0)</f>
        <v>#N/A</v>
      </c>
      <c r="H37" s="3172" t="e">
        <f t="shared" si="2"/>
        <v>#N/A</v>
      </c>
      <c r="I37" s="3172" t="e">
        <f t="shared" si="2"/>
        <v>#N/A</v>
      </c>
      <c r="J37" s="3172" t="e">
        <f t="shared" si="2"/>
        <v>#N/A</v>
      </c>
      <c r="K37" s="3172" t="e">
        <f t="shared" si="2"/>
        <v>#N/A</v>
      </c>
      <c r="L37" s="3172" t="e">
        <f t="shared" si="2"/>
        <v>#N/A</v>
      </c>
      <c r="M37" s="3172" t="e">
        <f t="shared" si="2"/>
        <v>#N/A</v>
      </c>
      <c r="N37" s="3172" t="e">
        <f t="shared" si="2"/>
        <v>#N/A</v>
      </c>
      <c r="O37" s="3172" t="e">
        <f t="shared" si="2"/>
        <v>#N/A</v>
      </c>
      <c r="P37" s="3172" t="e">
        <f t="shared" si="2"/>
        <v>#N/A</v>
      </c>
      <c r="Q37" s="3172" t="e">
        <f t="shared" si="2"/>
        <v>#N/A</v>
      </c>
    </row>
    <row r="38" spans="1:17" ht="14.5">
      <c r="A38" s="58" t="s">
        <v>4910</v>
      </c>
      <c r="B38" s="470" t="e">
        <f t="shared" si="1"/>
        <v>#N/A</v>
      </c>
      <c r="D38" s="3171" t="e">
        <f>IF(B38&lt;B$11+C$8,INDEX(#REF!,B38,11),0)</f>
        <v>#N/A</v>
      </c>
      <c r="E38" s="3172" t="e">
        <f>IF(B38&lt;B$11+C$8,INDEX(#REF!,B38,12),0)</f>
        <v>#N/A</v>
      </c>
      <c r="F38" s="3171" t="e">
        <f>IF(B38&lt;B$11+C$8,INDEX(IFAData_TEA_2022!B$2:M$2741,B38,11),0)</f>
        <v>#N/A</v>
      </c>
      <c r="G38" s="3172" t="e">
        <f>IF(B38&lt;B$11+C$8,INDEX(IFAData_TEA_2022!B$2:M$2741,B38,12),0)</f>
        <v>#N/A</v>
      </c>
      <c r="H38" s="3172" t="e">
        <f t="shared" si="2"/>
        <v>#N/A</v>
      </c>
      <c r="I38" s="3172" t="e">
        <f t="shared" si="2"/>
        <v>#N/A</v>
      </c>
      <c r="J38" s="3172" t="e">
        <f t="shared" si="2"/>
        <v>#N/A</v>
      </c>
      <c r="K38" s="3172" t="e">
        <f t="shared" si="2"/>
        <v>#N/A</v>
      </c>
      <c r="L38" s="3172" t="e">
        <f t="shared" si="2"/>
        <v>#N/A</v>
      </c>
      <c r="M38" s="3172" t="e">
        <f t="shared" si="2"/>
        <v>#N/A</v>
      </c>
      <c r="N38" s="3172" t="e">
        <f t="shared" si="2"/>
        <v>#N/A</v>
      </c>
      <c r="O38" s="3172" t="e">
        <f t="shared" si="2"/>
        <v>#N/A</v>
      </c>
      <c r="P38" s="3172" t="e">
        <f t="shared" si="2"/>
        <v>#N/A</v>
      </c>
      <c r="Q38" s="3172" t="e">
        <f t="shared" si="2"/>
        <v>#N/A</v>
      </c>
    </row>
    <row r="39" spans="1:17" ht="14.5">
      <c r="A39" s="58" t="s">
        <v>4910</v>
      </c>
      <c r="B39" s="470" t="e">
        <f t="shared" si="1"/>
        <v>#N/A</v>
      </c>
      <c r="D39" s="3171" t="e">
        <f>IF(B39&lt;B$11+C$8,INDEX(#REF!,B39,11),0)</f>
        <v>#N/A</v>
      </c>
      <c r="E39" s="3172" t="e">
        <f>IF(B39&lt;B$11+C$8,INDEX(#REF!,B39,12),0)</f>
        <v>#N/A</v>
      </c>
      <c r="F39" s="3171" t="e">
        <f>IF(B39&lt;B$11+C$8,INDEX(IFAData_TEA_2022!B$2:M$2741,B39,11),0)</f>
        <v>#N/A</v>
      </c>
      <c r="G39" s="3172" t="e">
        <f>IF(B39&lt;B$11+C$8,INDEX(IFAData_TEA_2022!B$2:M$2741,B39,12),0)</f>
        <v>#N/A</v>
      </c>
      <c r="H39" s="3172" t="e">
        <f t="shared" si="2"/>
        <v>#N/A</v>
      </c>
      <c r="I39" s="3172" t="e">
        <f t="shared" si="2"/>
        <v>#N/A</v>
      </c>
      <c r="J39" s="3172" t="e">
        <f t="shared" si="2"/>
        <v>#N/A</v>
      </c>
      <c r="K39" s="3172" t="e">
        <f t="shared" si="2"/>
        <v>#N/A</v>
      </c>
      <c r="L39" s="3172" t="e">
        <f t="shared" si="2"/>
        <v>#N/A</v>
      </c>
      <c r="M39" s="3172" t="e">
        <f t="shared" si="2"/>
        <v>#N/A</v>
      </c>
      <c r="N39" s="3172" t="e">
        <f t="shared" si="2"/>
        <v>#N/A</v>
      </c>
      <c r="O39" s="3172" t="e">
        <f t="shared" si="2"/>
        <v>#N/A</v>
      </c>
      <c r="P39" s="3172" t="e">
        <f t="shared" si="2"/>
        <v>#N/A</v>
      </c>
      <c r="Q39" s="3172" t="e">
        <f t="shared" si="2"/>
        <v>#N/A</v>
      </c>
    </row>
    <row r="40" spans="1:17" ht="14.5">
      <c r="A40" s="58" t="s">
        <v>4910</v>
      </c>
      <c r="B40" s="470" t="e">
        <f t="shared" si="1"/>
        <v>#N/A</v>
      </c>
      <c r="D40" s="3171" t="e">
        <f>IF(B40&lt;B$11+C$8,INDEX(#REF!,B40,11),0)</f>
        <v>#N/A</v>
      </c>
      <c r="E40" s="3172" t="e">
        <f>IF(B40&lt;B$11+C$8,INDEX(#REF!,B40,12),0)</f>
        <v>#N/A</v>
      </c>
      <c r="F40" s="3171" t="e">
        <f>IF(B40&lt;B$11+C$8,INDEX(IFAData_TEA_2022!B$2:M$2741,B40,11),0)</f>
        <v>#N/A</v>
      </c>
      <c r="G40" s="3172" t="e">
        <f>IF(B40&lt;B$11+C$8,INDEX(IFAData_TEA_2022!B$2:M$2741,B40,12),0)</f>
        <v>#N/A</v>
      </c>
      <c r="H40" s="3172" t="e">
        <f t="shared" si="2"/>
        <v>#N/A</v>
      </c>
      <c r="I40" s="3172" t="e">
        <f t="shared" si="2"/>
        <v>#N/A</v>
      </c>
      <c r="J40" s="3172" t="e">
        <f t="shared" si="2"/>
        <v>#N/A</v>
      </c>
      <c r="K40" s="3172" t="e">
        <f t="shared" si="2"/>
        <v>#N/A</v>
      </c>
      <c r="L40" s="3172" t="e">
        <f t="shared" si="2"/>
        <v>#N/A</v>
      </c>
      <c r="M40" s="3172" t="e">
        <f t="shared" si="2"/>
        <v>#N/A</v>
      </c>
      <c r="N40" s="3172" t="e">
        <f t="shared" si="2"/>
        <v>#N/A</v>
      </c>
      <c r="O40" s="3172" t="e">
        <f t="shared" si="2"/>
        <v>#N/A</v>
      </c>
      <c r="P40" s="3172" t="e">
        <f t="shared" si="2"/>
        <v>#N/A</v>
      </c>
      <c r="Q40" s="3172" t="e">
        <f t="shared" si="2"/>
        <v>#N/A</v>
      </c>
    </row>
    <row r="41" spans="1:17" ht="14.5">
      <c r="A41" s="58" t="s">
        <v>4910</v>
      </c>
      <c r="B41" s="470" t="e">
        <f t="shared" si="1"/>
        <v>#N/A</v>
      </c>
      <c r="D41" s="3171" t="e">
        <f>IF(B41&lt;B$11+C$8,INDEX(#REF!,B41,11),0)</f>
        <v>#N/A</v>
      </c>
      <c r="E41" s="3172" t="e">
        <f>IF(B41&lt;B$11+C$8,INDEX(#REF!,B41,12),0)</f>
        <v>#N/A</v>
      </c>
      <c r="F41" s="3171" t="e">
        <f>IF(B41&lt;B$11+C$8,INDEX(IFAData_TEA_2022!B$2:M$2741,B41,11),0)</f>
        <v>#N/A</v>
      </c>
      <c r="G41" s="3172" t="e">
        <f>IF(B41&lt;B$11+C$8,INDEX(IFAData_TEA_2022!B$2:M$2741,B41,12),0)</f>
        <v>#N/A</v>
      </c>
      <c r="H41" s="3172" t="e">
        <f t="shared" si="2"/>
        <v>#N/A</v>
      </c>
      <c r="I41" s="3172" t="e">
        <f t="shared" si="2"/>
        <v>#N/A</v>
      </c>
      <c r="J41" s="3172" t="e">
        <f t="shared" si="2"/>
        <v>#N/A</v>
      </c>
      <c r="K41" s="3172" t="e">
        <f t="shared" si="2"/>
        <v>#N/A</v>
      </c>
      <c r="L41" s="3172" t="e">
        <f t="shared" si="2"/>
        <v>#N/A</v>
      </c>
      <c r="M41" s="3172" t="e">
        <f t="shared" si="2"/>
        <v>#N/A</v>
      </c>
      <c r="N41" s="3172" t="e">
        <f t="shared" si="2"/>
        <v>#N/A</v>
      </c>
      <c r="O41" s="3172" t="e">
        <f t="shared" si="2"/>
        <v>#N/A</v>
      </c>
      <c r="P41" s="3172" t="e">
        <f t="shared" si="2"/>
        <v>#N/A</v>
      </c>
      <c r="Q41" s="3172" t="e">
        <f t="shared" si="2"/>
        <v>#N/A</v>
      </c>
    </row>
    <row r="42" spans="1:17" ht="14.5">
      <c r="A42" s="58" t="s">
        <v>4910</v>
      </c>
      <c r="B42" s="470" t="e">
        <f t="shared" si="1"/>
        <v>#N/A</v>
      </c>
      <c r="D42" s="3171" t="e">
        <f>IF(B42&lt;B$11+C$8,INDEX(#REF!,B42,11),0)</f>
        <v>#N/A</v>
      </c>
      <c r="E42" s="3172" t="e">
        <f>IF(B42&lt;B$11+C$8,INDEX(#REF!,B42,12),0)</f>
        <v>#N/A</v>
      </c>
      <c r="F42" s="3171" t="e">
        <f>IF(B42&lt;B$11+C$8,INDEX(IFAData_TEA_2022!B$2:M$2741,B42,11),0)</f>
        <v>#N/A</v>
      </c>
      <c r="G42" s="3172" t="e">
        <f>IF(B42&lt;B$11+C$8,INDEX(IFAData_TEA_2022!B$2:M$2741,B42,12),0)</f>
        <v>#N/A</v>
      </c>
      <c r="H42" s="3172" t="e">
        <f t="shared" si="2"/>
        <v>#N/A</v>
      </c>
      <c r="I42" s="3172" t="e">
        <f t="shared" si="2"/>
        <v>#N/A</v>
      </c>
      <c r="J42" s="3172" t="e">
        <f t="shared" si="2"/>
        <v>#N/A</v>
      </c>
      <c r="K42" s="3172" t="e">
        <f t="shared" si="2"/>
        <v>#N/A</v>
      </c>
      <c r="L42" s="3172" t="e">
        <f t="shared" si="2"/>
        <v>#N/A</v>
      </c>
      <c r="M42" s="3172" t="e">
        <f t="shared" si="2"/>
        <v>#N/A</v>
      </c>
      <c r="N42" s="3172" t="e">
        <f t="shared" si="2"/>
        <v>#N/A</v>
      </c>
      <c r="O42" s="3172" t="e">
        <f t="shared" si="2"/>
        <v>#N/A</v>
      </c>
      <c r="P42" s="3172" t="e">
        <f t="shared" si="2"/>
        <v>#N/A</v>
      </c>
      <c r="Q42" s="3172" t="e">
        <f t="shared" si="2"/>
        <v>#N/A</v>
      </c>
    </row>
    <row r="43" spans="1:17" ht="14.5">
      <c r="A43" s="58" t="s">
        <v>4910</v>
      </c>
      <c r="B43" s="470" t="e">
        <f t="shared" si="1"/>
        <v>#N/A</v>
      </c>
      <c r="D43" s="3171" t="e">
        <f>IF(B43&lt;B$11+C$8,INDEX(#REF!,B43,11),0)</f>
        <v>#N/A</v>
      </c>
      <c r="E43" s="3172" t="e">
        <f>IF(B43&lt;B$11+C$8,INDEX(#REF!,B43,12),0)</f>
        <v>#N/A</v>
      </c>
      <c r="F43" s="3171" t="e">
        <f>IF(B43&lt;B$11+C$8,INDEX(IFAData_TEA_2022!B$2:M$2741,B43,11),0)</f>
        <v>#N/A</v>
      </c>
      <c r="G43" s="3172" t="e">
        <f>IF(B43&lt;B$11+C$8,INDEX(IFAData_TEA_2022!B$2:M$2741,B43,12),0)</f>
        <v>#N/A</v>
      </c>
      <c r="H43" s="3172" t="e">
        <f t="shared" si="2"/>
        <v>#N/A</v>
      </c>
      <c r="I43" s="3172" t="e">
        <f t="shared" si="2"/>
        <v>#N/A</v>
      </c>
      <c r="J43" s="3172" t="e">
        <f t="shared" si="2"/>
        <v>#N/A</v>
      </c>
      <c r="K43" s="3172" t="e">
        <f t="shared" si="2"/>
        <v>#N/A</v>
      </c>
      <c r="L43" s="3172" t="e">
        <f t="shared" si="2"/>
        <v>#N/A</v>
      </c>
      <c r="M43" s="3172" t="e">
        <f t="shared" si="2"/>
        <v>#N/A</v>
      </c>
      <c r="N43" s="3172" t="e">
        <f t="shared" si="2"/>
        <v>#N/A</v>
      </c>
      <c r="O43" s="3172" t="e">
        <f t="shared" si="2"/>
        <v>#N/A</v>
      </c>
      <c r="P43" s="3172" t="e">
        <f t="shared" si="2"/>
        <v>#N/A</v>
      </c>
      <c r="Q43" s="3172" t="e">
        <f t="shared" si="2"/>
        <v>#N/A</v>
      </c>
    </row>
    <row r="44" spans="1:17" ht="14.5">
      <c r="A44" s="58" t="s">
        <v>4910</v>
      </c>
      <c r="B44" s="470" t="e">
        <f t="shared" si="1"/>
        <v>#N/A</v>
      </c>
      <c r="D44" s="3171" t="e">
        <f>IF(B44&lt;B$11+C$8,INDEX(#REF!,B44,11),0)</f>
        <v>#N/A</v>
      </c>
      <c r="E44" s="3172" t="e">
        <f>IF(B44&lt;B$11+C$8,INDEX(#REF!,B44,12),0)</f>
        <v>#N/A</v>
      </c>
      <c r="F44" s="3171" t="e">
        <f>IF(B44&lt;B$11+C$8,INDEX(IFAData_TEA_2022!B$2:M$2741,B44,11),0)</f>
        <v>#N/A</v>
      </c>
      <c r="G44" s="3172" t="e">
        <f>IF(B44&lt;B$11+C$8,INDEX(IFAData_TEA_2022!B$2:M$2741,B44,12),0)</f>
        <v>#N/A</v>
      </c>
      <c r="H44" s="3172" t="e">
        <f t="shared" si="2"/>
        <v>#N/A</v>
      </c>
      <c r="I44" s="3172" t="e">
        <f t="shared" si="2"/>
        <v>#N/A</v>
      </c>
      <c r="J44" s="3172" t="e">
        <f t="shared" si="2"/>
        <v>#N/A</v>
      </c>
      <c r="K44" s="3172" t="e">
        <f t="shared" si="2"/>
        <v>#N/A</v>
      </c>
      <c r="L44" s="3172" t="e">
        <f t="shared" si="2"/>
        <v>#N/A</v>
      </c>
      <c r="M44" s="3172" t="e">
        <f t="shared" si="2"/>
        <v>#N/A</v>
      </c>
      <c r="N44" s="3172" t="e">
        <f t="shared" si="2"/>
        <v>#N/A</v>
      </c>
      <c r="O44" s="3172" t="e">
        <f t="shared" si="2"/>
        <v>#N/A</v>
      </c>
      <c r="P44" s="3172" t="e">
        <f t="shared" si="2"/>
        <v>#N/A</v>
      </c>
      <c r="Q44" s="3172" t="e">
        <f t="shared" si="2"/>
        <v>#N/A</v>
      </c>
    </row>
    <row r="45" spans="1:17" ht="14.5">
      <c r="A45" s="58" t="s">
        <v>4910</v>
      </c>
      <c r="B45" s="470" t="e">
        <f t="shared" si="1"/>
        <v>#N/A</v>
      </c>
      <c r="D45" s="3171" t="e">
        <f>IF(B45&lt;B$11+C$8,INDEX(#REF!,B45,11),0)</f>
        <v>#N/A</v>
      </c>
      <c r="E45" s="3172" t="e">
        <f>IF(B45&lt;B$11+C$8,INDEX(#REF!,B45,12),0)</f>
        <v>#N/A</v>
      </c>
      <c r="F45" s="3171" t="e">
        <f>IF(B45&lt;B$11+C$8,INDEX(IFAData_TEA_2022!B$2:M$2741,B45,11),0)</f>
        <v>#N/A</v>
      </c>
      <c r="G45" s="3172" t="e">
        <f>IF(B45&lt;B$11+C$8,INDEX(IFAData_TEA_2022!B$2:M$2741,B45,12),0)</f>
        <v>#N/A</v>
      </c>
      <c r="H45" s="3172" t="e">
        <f t="shared" si="2"/>
        <v>#N/A</v>
      </c>
      <c r="I45" s="3172" t="e">
        <f t="shared" si="2"/>
        <v>#N/A</v>
      </c>
      <c r="J45" s="3172" t="e">
        <f t="shared" si="2"/>
        <v>#N/A</v>
      </c>
      <c r="K45" s="3172" t="e">
        <f t="shared" si="2"/>
        <v>#N/A</v>
      </c>
      <c r="L45" s="3172" t="e">
        <f t="shared" si="2"/>
        <v>#N/A</v>
      </c>
      <c r="M45" s="3172" t="e">
        <f t="shared" si="2"/>
        <v>#N/A</v>
      </c>
      <c r="N45" s="3172" t="e">
        <f t="shared" si="2"/>
        <v>#N/A</v>
      </c>
      <c r="O45" s="3172" t="e">
        <f t="shared" si="2"/>
        <v>#N/A</v>
      </c>
      <c r="P45" s="3172" t="e">
        <f t="shared" si="2"/>
        <v>#N/A</v>
      </c>
      <c r="Q45" s="3172" t="e">
        <f t="shared" si="2"/>
        <v>#N/A</v>
      </c>
    </row>
    <row r="46" spans="1:17" ht="14.5">
      <c r="A46" s="58" t="s">
        <v>4910</v>
      </c>
      <c r="B46" s="470" t="e">
        <f t="shared" si="1"/>
        <v>#N/A</v>
      </c>
      <c r="D46" s="3171" t="e">
        <f>IF(B46&lt;B$11+C$8,INDEX(#REF!,B46,11),0)</f>
        <v>#N/A</v>
      </c>
      <c r="E46" s="3172" t="e">
        <f>IF(B46&lt;B$11+C$8,INDEX(#REF!,B46,12),0)</f>
        <v>#N/A</v>
      </c>
      <c r="F46" s="3171" t="e">
        <f>IF(B46&lt;B$11+C$8,INDEX(IFAData_TEA_2022!B$2:M$2741,B46,11),0)</f>
        <v>#N/A</v>
      </c>
      <c r="G46" s="3172" t="e">
        <f>IF(B46&lt;B$11+C$8,INDEX(IFAData_TEA_2022!B$2:M$2741,B46,12),0)</f>
        <v>#N/A</v>
      </c>
      <c r="H46" s="3172" t="e">
        <f t="shared" si="2"/>
        <v>#N/A</v>
      </c>
      <c r="I46" s="3172" t="e">
        <f t="shared" si="2"/>
        <v>#N/A</v>
      </c>
      <c r="J46" s="3172" t="e">
        <f t="shared" si="2"/>
        <v>#N/A</v>
      </c>
      <c r="K46" s="3172" t="e">
        <f t="shared" si="2"/>
        <v>#N/A</v>
      </c>
      <c r="L46" s="3172" t="e">
        <f t="shared" si="2"/>
        <v>#N/A</v>
      </c>
      <c r="M46" s="3172" t="e">
        <f t="shared" si="2"/>
        <v>#N/A</v>
      </c>
      <c r="N46" s="3172" t="e">
        <f t="shared" si="2"/>
        <v>#N/A</v>
      </c>
      <c r="O46" s="3172" t="e">
        <f t="shared" si="2"/>
        <v>#N/A</v>
      </c>
      <c r="P46" s="3172" t="e">
        <f t="shared" si="2"/>
        <v>#N/A</v>
      </c>
      <c r="Q46" s="3172" t="e">
        <f t="shared" si="2"/>
        <v>#N/A</v>
      </c>
    </row>
    <row r="47" spans="1:17" ht="14.5">
      <c r="A47" s="58" t="s">
        <v>4910</v>
      </c>
      <c r="B47" s="470" t="e">
        <f t="shared" si="1"/>
        <v>#N/A</v>
      </c>
      <c r="D47" s="3171" t="e">
        <f>IF(B47&lt;B$11+C$8,INDEX(#REF!,B47,11),0)</f>
        <v>#N/A</v>
      </c>
      <c r="E47" s="3172" t="e">
        <f>IF(B47&lt;B$11+C$8,INDEX(#REF!,B47,12),0)</f>
        <v>#N/A</v>
      </c>
      <c r="F47" s="3171" t="e">
        <f>IF(B47&lt;B$11+C$8,INDEX(IFAData_TEA_2022!B$2:M$2741,B47,11),0)</f>
        <v>#N/A</v>
      </c>
      <c r="G47" s="3172" t="e">
        <f>IF(B47&lt;B$11+C$8,INDEX(IFAData_TEA_2022!B$2:M$2741,B47,12),0)</f>
        <v>#N/A</v>
      </c>
      <c r="H47" s="3172" t="e">
        <f t="shared" si="2"/>
        <v>#N/A</v>
      </c>
      <c r="I47" s="3172" t="e">
        <f t="shared" si="2"/>
        <v>#N/A</v>
      </c>
      <c r="J47" s="3172" t="e">
        <f t="shared" si="2"/>
        <v>#N/A</v>
      </c>
      <c r="K47" s="3172" t="e">
        <f t="shared" si="2"/>
        <v>#N/A</v>
      </c>
      <c r="L47" s="3172" t="e">
        <f t="shared" si="2"/>
        <v>#N/A</v>
      </c>
      <c r="M47" s="3172" t="e">
        <f t="shared" si="2"/>
        <v>#N/A</v>
      </c>
      <c r="N47" s="3172" t="e">
        <f t="shared" si="2"/>
        <v>#N/A</v>
      </c>
      <c r="O47" s="3172" t="e">
        <f t="shared" si="2"/>
        <v>#N/A</v>
      </c>
      <c r="P47" s="3172" t="e">
        <f t="shared" si="2"/>
        <v>#N/A</v>
      </c>
      <c r="Q47" s="3172" t="e">
        <f t="shared" si="2"/>
        <v>#N/A</v>
      </c>
    </row>
    <row r="48" spans="1:17" ht="14.5">
      <c r="A48" s="58" t="s">
        <v>4910</v>
      </c>
      <c r="B48" s="470" t="e">
        <f t="shared" si="1"/>
        <v>#N/A</v>
      </c>
      <c r="D48" s="3171" t="e">
        <f>IF(B48&lt;B$11+C$8,INDEX(#REF!,B48,11),0)</f>
        <v>#N/A</v>
      </c>
      <c r="E48" s="3172" t="e">
        <f>IF(B48&lt;B$11+C$8,INDEX(#REF!,B48,12),0)</f>
        <v>#N/A</v>
      </c>
      <c r="F48" s="3171" t="e">
        <f>IF(B48&lt;B$11+C$8,INDEX(IFAData_TEA_2022!B$2:M$2741,B48,11),0)</f>
        <v>#N/A</v>
      </c>
      <c r="G48" s="3172" t="e">
        <f>IF(B48&lt;B$11+C$8,INDEX(IFAData_TEA_2022!B$2:M$2741,B48,12),0)</f>
        <v>#N/A</v>
      </c>
      <c r="H48" s="3172" t="e">
        <f t="shared" si="2"/>
        <v>#N/A</v>
      </c>
      <c r="I48" s="3172" t="e">
        <f t="shared" si="2"/>
        <v>#N/A</v>
      </c>
      <c r="J48" s="3172" t="e">
        <f t="shared" si="2"/>
        <v>#N/A</v>
      </c>
      <c r="K48" s="3172" t="e">
        <f t="shared" si="2"/>
        <v>#N/A</v>
      </c>
      <c r="L48" s="3172" t="e">
        <f t="shared" si="2"/>
        <v>#N/A</v>
      </c>
      <c r="M48" s="3172" t="e">
        <f t="shared" si="2"/>
        <v>#N/A</v>
      </c>
      <c r="N48" s="3172" t="e">
        <f t="shared" si="2"/>
        <v>#N/A</v>
      </c>
      <c r="O48" s="3172" t="e">
        <f t="shared" si="2"/>
        <v>#N/A</v>
      </c>
      <c r="P48" s="3172" t="e">
        <f t="shared" si="2"/>
        <v>#N/A</v>
      </c>
      <c r="Q48" s="3172" t="e">
        <f t="shared" si="2"/>
        <v>#N/A</v>
      </c>
    </row>
    <row r="49" spans="1:17" ht="14.5">
      <c r="A49" s="58" t="s">
        <v>4910</v>
      </c>
      <c r="B49" s="470" t="e">
        <f t="shared" si="1"/>
        <v>#N/A</v>
      </c>
      <c r="D49" s="3171" t="e">
        <f>IF(B49&lt;B$11+C$8,INDEX(#REF!,B49,11),0)</f>
        <v>#N/A</v>
      </c>
      <c r="E49" s="3172" t="e">
        <f>IF(B49&lt;B$11+C$8,INDEX(#REF!,B49,12),0)</f>
        <v>#N/A</v>
      </c>
      <c r="F49" s="3171" t="e">
        <f>IF(B49&lt;B$11+C$8,INDEX(IFAData_TEA_2022!B$2:M$2741,B49,11),0)</f>
        <v>#N/A</v>
      </c>
      <c r="G49" s="3172" t="e">
        <f>IF(B49&lt;B$11+C$8,INDEX(IFAData_TEA_2022!B$2:M$2741,B49,12),0)</f>
        <v>#N/A</v>
      </c>
      <c r="H49" s="3172" t="e">
        <f t="shared" si="2"/>
        <v>#N/A</v>
      </c>
      <c r="I49" s="3172" t="e">
        <f t="shared" si="2"/>
        <v>#N/A</v>
      </c>
      <c r="J49" s="3172" t="e">
        <f t="shared" si="2"/>
        <v>#N/A</v>
      </c>
      <c r="K49" s="3172" t="e">
        <f t="shared" si="2"/>
        <v>#N/A</v>
      </c>
      <c r="L49" s="3172" t="e">
        <f t="shared" si="2"/>
        <v>#N/A</v>
      </c>
      <c r="M49" s="3172" t="e">
        <f t="shared" si="2"/>
        <v>#N/A</v>
      </c>
      <c r="N49" s="3172" t="e">
        <f t="shared" si="2"/>
        <v>#N/A</v>
      </c>
      <c r="O49" s="3172" t="e">
        <f t="shared" si="2"/>
        <v>#N/A</v>
      </c>
      <c r="P49" s="3172" t="e">
        <f t="shared" si="2"/>
        <v>#N/A</v>
      </c>
      <c r="Q49" s="3172" t="e">
        <f t="shared" si="2"/>
        <v>#N/A</v>
      </c>
    </row>
    <row r="50" spans="1:17" ht="14.5">
      <c r="A50" s="58" t="s">
        <v>4910</v>
      </c>
      <c r="B50" s="470" t="e">
        <f t="shared" si="1"/>
        <v>#N/A</v>
      </c>
      <c r="D50" s="3171" t="e">
        <f>IF(B50&lt;B$11+C$8,INDEX(#REF!,B50,11),0)</f>
        <v>#N/A</v>
      </c>
      <c r="E50" s="3172" t="e">
        <f>IF(B50&lt;B$11+C$8,INDEX(#REF!,B50,12),0)</f>
        <v>#N/A</v>
      </c>
      <c r="F50" s="3171" t="e">
        <f>IF(B50&lt;B$11+C$8,INDEX(IFAData_TEA_2022!B$2:M$2741,B50,11),0)</f>
        <v>#N/A</v>
      </c>
      <c r="G50" s="3172" t="e">
        <f>IF(B50&lt;B$11+C$8,INDEX(IFAData_TEA_2022!B$2:M$2741,B50,12),0)</f>
        <v>#N/A</v>
      </c>
      <c r="H50" s="3172" t="e">
        <f t="shared" si="2"/>
        <v>#N/A</v>
      </c>
      <c r="I50" s="3172" t="e">
        <f t="shared" si="2"/>
        <v>#N/A</v>
      </c>
      <c r="J50" s="3172" t="e">
        <f t="shared" si="2"/>
        <v>#N/A</v>
      </c>
      <c r="K50" s="3172" t="e">
        <f t="shared" si="2"/>
        <v>#N/A</v>
      </c>
      <c r="L50" s="3172" t="e">
        <f t="shared" si="2"/>
        <v>#N/A</v>
      </c>
      <c r="M50" s="3172" t="e">
        <f t="shared" si="2"/>
        <v>#N/A</v>
      </c>
      <c r="N50" s="3172" t="e">
        <f t="shared" si="2"/>
        <v>#N/A</v>
      </c>
      <c r="O50" s="3172" t="e">
        <f t="shared" si="2"/>
        <v>#N/A</v>
      </c>
      <c r="P50" s="3172" t="e">
        <f t="shared" si="2"/>
        <v>#N/A</v>
      </c>
      <c r="Q50" s="3172" t="e">
        <f t="shared" si="2"/>
        <v>#N/A</v>
      </c>
    </row>
    <row r="51" spans="1:17" ht="14.5">
      <c r="A51" s="58" t="s">
        <v>4910</v>
      </c>
      <c r="B51" s="470" t="e">
        <f t="shared" si="1"/>
        <v>#N/A</v>
      </c>
      <c r="D51" s="3171" t="e">
        <f>IF(B51&lt;B$11+C$8,INDEX(#REF!,B51,11),0)</f>
        <v>#N/A</v>
      </c>
      <c r="E51" s="3172" t="e">
        <f>IF(B51&lt;B$11+C$8,INDEX(#REF!,B51,12),0)</f>
        <v>#N/A</v>
      </c>
      <c r="F51" s="3171" t="e">
        <f>IF(B51&lt;B$11+C$8,INDEX(IFAData_TEA_2022!B$2:M$2741,B51,11),0)</f>
        <v>#N/A</v>
      </c>
      <c r="G51" s="3172" t="e">
        <f>IF(B51&lt;B$11+C$8,INDEX(IFAData_TEA_2022!B$2:M$2741,B51,12),0)</f>
        <v>#N/A</v>
      </c>
      <c r="H51" s="3172" t="e">
        <f t="shared" si="2"/>
        <v>#N/A</v>
      </c>
      <c r="I51" s="3172" t="e">
        <f t="shared" si="2"/>
        <v>#N/A</v>
      </c>
      <c r="J51" s="3172" t="e">
        <f t="shared" si="2"/>
        <v>#N/A</v>
      </c>
      <c r="K51" s="3172" t="e">
        <f t="shared" si="2"/>
        <v>#N/A</v>
      </c>
      <c r="L51" s="3172" t="e">
        <f t="shared" si="2"/>
        <v>#N/A</v>
      </c>
      <c r="M51" s="3172" t="e">
        <f t="shared" si="2"/>
        <v>#N/A</v>
      </c>
      <c r="N51" s="3172" t="e">
        <f t="shared" si="2"/>
        <v>#N/A</v>
      </c>
      <c r="O51" s="3172" t="e">
        <f t="shared" si="2"/>
        <v>#N/A</v>
      </c>
      <c r="P51" s="3172" t="e">
        <f t="shared" si="2"/>
        <v>#N/A</v>
      </c>
      <c r="Q51" s="3172" t="e">
        <f t="shared" si="2"/>
        <v>#N/A</v>
      </c>
    </row>
    <row r="52" spans="1:17" ht="14.5">
      <c r="A52" s="58" t="s">
        <v>4910</v>
      </c>
      <c r="B52" s="470" t="e">
        <f t="shared" si="1"/>
        <v>#N/A</v>
      </c>
      <c r="D52" s="3171" t="e">
        <f>IF(B52&lt;B$11+C$8,INDEX(#REF!,B52,11),0)</f>
        <v>#N/A</v>
      </c>
      <c r="E52" s="3172" t="e">
        <f>IF(B52&lt;B$11+C$8,INDEX(#REF!,B52,12),0)</f>
        <v>#N/A</v>
      </c>
      <c r="F52" s="3171" t="e">
        <f>IF(B52&lt;B$11+C$8,INDEX(IFAData_TEA_2022!B$2:M$2741,B52,11),0)</f>
        <v>#N/A</v>
      </c>
      <c r="G52" s="3172" t="e">
        <f>IF(B52&lt;B$11+C$8,INDEX(IFAData_TEA_2022!B$2:M$2741,B52,12),0)</f>
        <v>#N/A</v>
      </c>
      <c r="H52" s="3172" t="e">
        <f t="shared" si="2"/>
        <v>#N/A</v>
      </c>
      <c r="I52" s="3172" t="e">
        <f t="shared" si="2"/>
        <v>#N/A</v>
      </c>
      <c r="J52" s="3172" t="e">
        <f t="shared" si="2"/>
        <v>#N/A</v>
      </c>
      <c r="K52" s="3172" t="e">
        <f t="shared" si="2"/>
        <v>#N/A</v>
      </c>
      <c r="L52" s="3172" t="e">
        <f t="shared" si="2"/>
        <v>#N/A</v>
      </c>
      <c r="M52" s="3172" t="e">
        <f t="shared" ref="M52:Q54" si="3">K52</f>
        <v>#N/A</v>
      </c>
      <c r="N52" s="3172" t="e">
        <f t="shared" si="3"/>
        <v>#N/A</v>
      </c>
      <c r="O52" s="3172" t="e">
        <f t="shared" si="3"/>
        <v>#N/A</v>
      </c>
      <c r="P52" s="3172" t="e">
        <f t="shared" si="3"/>
        <v>#N/A</v>
      </c>
      <c r="Q52" s="3172" t="e">
        <f t="shared" si="3"/>
        <v>#N/A</v>
      </c>
    </row>
    <row r="53" spans="1:17" ht="14.5">
      <c r="A53" s="58" t="s">
        <v>4910</v>
      </c>
      <c r="B53" s="470" t="e">
        <f t="shared" si="1"/>
        <v>#N/A</v>
      </c>
      <c r="D53" s="3171" t="e">
        <f>IF(B53&lt;B$11+C$8,INDEX(#REF!,B53,11),0)</f>
        <v>#N/A</v>
      </c>
      <c r="E53" s="3172" t="e">
        <f>IF(B53&lt;B$11+C$8,INDEX(#REF!,B53,12),0)</f>
        <v>#N/A</v>
      </c>
      <c r="F53" s="3171" t="e">
        <f>IF(B53&lt;B$11+C$8,INDEX(IFAData_TEA_2022!B$2:M$2741,B53,11),0)</f>
        <v>#N/A</v>
      </c>
      <c r="G53" s="3172" t="e">
        <f>IF(B53&lt;B$11+C$8,INDEX(IFAData_TEA_2022!B$2:M$2741,B53,12),0)</f>
        <v>#N/A</v>
      </c>
      <c r="H53" s="3172" t="e">
        <f t="shared" ref="H53:L54" si="4">F53</f>
        <v>#N/A</v>
      </c>
      <c r="I53" s="3172" t="e">
        <f t="shared" si="4"/>
        <v>#N/A</v>
      </c>
      <c r="J53" s="3172" t="e">
        <f t="shared" si="4"/>
        <v>#N/A</v>
      </c>
      <c r="K53" s="3172" t="e">
        <f t="shared" si="4"/>
        <v>#N/A</v>
      </c>
      <c r="L53" s="3172" t="e">
        <f t="shared" si="4"/>
        <v>#N/A</v>
      </c>
      <c r="M53" s="3172" t="e">
        <f t="shared" si="3"/>
        <v>#N/A</v>
      </c>
      <c r="N53" s="3172" t="e">
        <f t="shared" si="3"/>
        <v>#N/A</v>
      </c>
      <c r="O53" s="3172" t="e">
        <f t="shared" si="3"/>
        <v>#N/A</v>
      </c>
      <c r="P53" s="3172" t="e">
        <f t="shared" si="3"/>
        <v>#N/A</v>
      </c>
      <c r="Q53" s="3172" t="e">
        <f t="shared" si="3"/>
        <v>#N/A</v>
      </c>
    </row>
    <row r="54" spans="1:17" ht="14.5">
      <c r="A54" s="58" t="s">
        <v>4910</v>
      </c>
      <c r="B54" s="470" t="e">
        <f t="shared" si="1"/>
        <v>#N/A</v>
      </c>
      <c r="D54" s="3171" t="e">
        <f>IF(B54&lt;B$11+C$8,INDEX(#REF!,B54,11),0)</f>
        <v>#N/A</v>
      </c>
      <c r="E54" s="3172" t="e">
        <f>IF(B54&lt;B$11+C$8,INDEX(#REF!,B54,12),0)</f>
        <v>#N/A</v>
      </c>
      <c r="F54" s="3171" t="e">
        <f>IF(B54&lt;B$11+C$8,INDEX(IFAData_TEA_2022!B$2:M$2741,B54,11),0)</f>
        <v>#N/A</v>
      </c>
      <c r="G54" s="3172" t="e">
        <f>IF(B54&lt;B$11+C$8,INDEX(IFAData_TEA_2022!B$2:M$2741,B54,12),0)</f>
        <v>#N/A</v>
      </c>
      <c r="H54" s="3172" t="e">
        <f t="shared" si="4"/>
        <v>#N/A</v>
      </c>
      <c r="I54" s="3172" t="e">
        <f t="shared" si="4"/>
        <v>#N/A</v>
      </c>
      <c r="J54" s="3172" t="e">
        <f t="shared" si="4"/>
        <v>#N/A</v>
      </c>
      <c r="K54" s="3172" t="e">
        <f t="shared" si="4"/>
        <v>#N/A</v>
      </c>
      <c r="L54" s="3172" t="e">
        <f t="shared" si="4"/>
        <v>#N/A</v>
      </c>
      <c r="M54" s="3172" t="e">
        <f t="shared" si="3"/>
        <v>#N/A</v>
      </c>
      <c r="N54" s="3172" t="e">
        <f t="shared" si="3"/>
        <v>#N/A</v>
      </c>
      <c r="O54" s="3172" t="e">
        <f t="shared" si="3"/>
        <v>#N/A</v>
      </c>
      <c r="P54" s="3172" t="e">
        <f t="shared" si="3"/>
        <v>#N/A</v>
      </c>
      <c r="Q54" s="3172" t="e">
        <f t="shared" si="3"/>
        <v>#N/A</v>
      </c>
    </row>
    <row r="55" spans="1:17">
      <c r="A55" s="3173" t="s">
        <v>4912</v>
      </c>
      <c r="B55" s="3174"/>
      <c r="C55" s="3174"/>
      <c r="D55" s="3175">
        <f>SUMIF($E11:$E54,"599",D11:D54)</f>
        <v>0</v>
      </c>
      <c r="F55" s="3176">
        <f>SUMIF($G11:$G54,"599",F11:F54)</f>
        <v>0</v>
      </c>
      <c r="H55" s="3177">
        <f>SUMIF($I11:$I54,"599",H11:H54)</f>
        <v>0</v>
      </c>
      <c r="J55" s="3178">
        <f>SUMIF($K11:$K54,"599",J11:J54)</f>
        <v>0</v>
      </c>
      <c r="L55" s="3179">
        <f>SUMIF($M11:$M54,"599",L11:L54)</f>
        <v>0</v>
      </c>
      <c r="N55" s="3180">
        <f>SUMIF($O11:$O54,"599",N11:N54)</f>
        <v>0</v>
      </c>
      <c r="P55" s="3181">
        <f>SUMIF($Q11:$Q54,"599",P11:P54)</f>
        <v>0</v>
      </c>
    </row>
    <row r="56" spans="1:17">
      <c r="A56" s="3173" t="s">
        <v>4911</v>
      </c>
      <c r="D56" s="3182">
        <f>SUMIF($E11:$E54,"199",D11:D54)</f>
        <v>0</v>
      </c>
      <c r="F56" s="3183">
        <f>SUMIF($G11:$G54,"199",F11:F54)</f>
        <v>0</v>
      </c>
      <c r="H56" s="3184">
        <f>SUMIF($I11:$I54,"199",H11:H54)</f>
        <v>0</v>
      </c>
      <c r="J56" s="3185">
        <f>SUMIF($K11:$K54,"199",J11:J54)</f>
        <v>0</v>
      </c>
      <c r="L56" s="3186">
        <f>SUMIF($M11:$M54,"199",L11:L54)</f>
        <v>0</v>
      </c>
      <c r="N56" s="3187">
        <f>SUMIF($O11:$O54,"199",N11:N54)</f>
        <v>0</v>
      </c>
      <c r="P56" s="3188">
        <f>SUMIF($Q11:$Q54,"199",P11:P54)</f>
        <v>0</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Q246"/>
  <sheetViews>
    <sheetView zoomScale="107" workbookViewId="0">
      <selection activeCell="B7" sqref="B7"/>
    </sheetView>
  </sheetViews>
  <sheetFormatPr defaultColWidth="8.7265625" defaultRowHeight="12.5"/>
  <cols>
    <col min="1" max="1" width="64.54296875" style="2042" customWidth="1"/>
    <col min="2" max="9" width="18.6328125" style="2042" customWidth="1"/>
    <col min="10" max="10" width="23.453125" style="2042" customWidth="1"/>
    <col min="11" max="13" width="15.54296875" style="2042" customWidth="1"/>
    <col min="14" max="17" width="15.6328125" style="2042" customWidth="1"/>
    <col min="18" max="16384" width="8.7265625" style="2042"/>
  </cols>
  <sheetData>
    <row r="1" spans="1:17" ht="15.5">
      <c r="A1" s="2040" t="s">
        <v>7390</v>
      </c>
    </row>
    <row r="2" spans="1:17" ht="15.5">
      <c r="A2" s="2040" t="s">
        <v>7666</v>
      </c>
    </row>
    <row r="3" spans="1:17" ht="15.5">
      <c r="A3" s="2040" t="s">
        <v>7388</v>
      </c>
    </row>
    <row r="4" spans="1:17" ht="15.5">
      <c r="A4" s="2040" t="s">
        <v>7389</v>
      </c>
    </row>
    <row r="5" spans="1:17" ht="15.5">
      <c r="A5" s="2040"/>
    </row>
    <row r="6" spans="1:17" ht="15.5">
      <c r="A6" s="2040" t="s">
        <v>10703</v>
      </c>
    </row>
    <row r="8" spans="1:17" ht="15.5">
      <c r="B8" s="990" t="s">
        <v>9432</v>
      </c>
      <c r="C8" s="982"/>
      <c r="D8" s="982"/>
      <c r="E8" s="983"/>
      <c r="F8" s="983"/>
      <c r="G8" s="983"/>
      <c r="H8" s="983"/>
      <c r="I8" s="983"/>
    </row>
    <row r="9" spans="1:17" ht="13">
      <c r="B9" s="960" t="s">
        <v>7362</v>
      </c>
      <c r="C9" s="960" t="s">
        <v>7362</v>
      </c>
      <c r="D9" s="960" t="s">
        <v>7362</v>
      </c>
      <c r="E9" s="961" t="s">
        <v>7362</v>
      </c>
      <c r="F9" s="961" t="s">
        <v>7362</v>
      </c>
      <c r="G9" s="961" t="s">
        <v>7362</v>
      </c>
      <c r="H9" s="961" t="s">
        <v>7362</v>
      </c>
      <c r="I9" s="961" t="s">
        <v>7362</v>
      </c>
    </row>
    <row r="10" spans="1:17" ht="13">
      <c r="B10" s="962" t="s">
        <v>7358</v>
      </c>
      <c r="C10" s="962" t="s">
        <v>7359</v>
      </c>
      <c r="D10" s="962" t="s">
        <v>7360</v>
      </c>
      <c r="E10" s="963" t="s">
        <v>7361</v>
      </c>
      <c r="F10" s="963" t="s">
        <v>10695</v>
      </c>
      <c r="G10" s="963" t="s">
        <v>10696</v>
      </c>
      <c r="H10" s="963" t="s">
        <v>10697</v>
      </c>
      <c r="I10" s="963" t="s">
        <v>10698</v>
      </c>
    </row>
    <row r="11" spans="1:17" ht="15.5">
      <c r="A11" s="32" t="s">
        <v>470</v>
      </c>
      <c r="B11" s="959">
        <v>0</v>
      </c>
      <c r="C11" s="959">
        <v>0</v>
      </c>
      <c r="D11" s="959">
        <v>0</v>
      </c>
      <c r="E11" s="959">
        <v>0</v>
      </c>
      <c r="F11" s="959">
        <v>0</v>
      </c>
      <c r="G11" s="959">
        <v>0</v>
      </c>
      <c r="H11" s="959">
        <v>0</v>
      </c>
      <c r="I11" s="959">
        <v>0</v>
      </c>
      <c r="J11" s="2042" t="s">
        <v>7397</v>
      </c>
    </row>
    <row r="12" spans="1:17" ht="13">
      <c r="A12" s="639" t="s">
        <v>505</v>
      </c>
      <c r="B12" s="612"/>
      <c r="C12" s="612"/>
      <c r="D12" s="612"/>
      <c r="E12" s="612"/>
      <c r="F12" s="612"/>
      <c r="G12" s="612"/>
      <c r="H12" s="612"/>
      <c r="I12" s="612"/>
      <c r="J12" s="41" t="s">
        <v>7396</v>
      </c>
      <c r="K12" s="41" t="s">
        <v>7399</v>
      </c>
      <c r="L12" s="41" t="s">
        <v>7400</v>
      </c>
      <c r="M12" s="41" t="s">
        <v>7401</v>
      </c>
      <c r="N12" s="41" t="s">
        <v>10699</v>
      </c>
      <c r="O12" s="41" t="s">
        <v>10700</v>
      </c>
      <c r="P12" s="41" t="s">
        <v>10701</v>
      </c>
      <c r="Q12" s="41" t="s">
        <v>10702</v>
      </c>
    </row>
    <row r="13" spans="1:17" ht="15.5">
      <c r="A13" s="32" t="s">
        <v>471</v>
      </c>
      <c r="B13" s="959">
        <v>0</v>
      </c>
      <c r="C13" s="959">
        <v>0</v>
      </c>
      <c r="D13" s="959">
        <v>0</v>
      </c>
      <c r="E13" s="959">
        <v>0</v>
      </c>
      <c r="F13" s="959">
        <v>0</v>
      </c>
      <c r="G13" s="959">
        <v>0</v>
      </c>
      <c r="H13" s="959">
        <v>0</v>
      </c>
      <c r="I13" s="959">
        <v>0</v>
      </c>
      <c r="J13" s="76">
        <f>B13*Weights!$Q$10</f>
        <v>0</v>
      </c>
      <c r="K13" s="76">
        <f>C13*Weights!$Q$10</f>
        <v>0</v>
      </c>
      <c r="L13" s="76">
        <f>D13*Weights!$Q$10</f>
        <v>0</v>
      </c>
      <c r="M13" s="76">
        <f>E13*Weights!$Q$10</f>
        <v>0</v>
      </c>
      <c r="N13" s="76">
        <f>F13*Weights!$Q$10</f>
        <v>0</v>
      </c>
      <c r="O13" s="76">
        <f>G13*Weights!$Q$10</f>
        <v>0</v>
      </c>
      <c r="P13" s="76">
        <f>H13*Weights!$Q$10</f>
        <v>0</v>
      </c>
      <c r="Q13" s="76">
        <f>I13*Weights!$Q$10</f>
        <v>0</v>
      </c>
    </row>
    <row r="14" spans="1:17" ht="15.5">
      <c r="A14" s="958" t="s">
        <v>472</v>
      </c>
      <c r="B14" s="959">
        <v>0</v>
      </c>
      <c r="C14" s="959">
        <v>0</v>
      </c>
      <c r="D14" s="959">
        <v>0</v>
      </c>
      <c r="E14" s="959">
        <v>0</v>
      </c>
      <c r="F14" s="959">
        <v>0</v>
      </c>
      <c r="G14" s="959">
        <v>0</v>
      </c>
      <c r="H14" s="959">
        <v>0</v>
      </c>
      <c r="I14" s="959">
        <v>0</v>
      </c>
      <c r="J14" s="76">
        <f>B14*Weights!$Q$11</f>
        <v>0</v>
      </c>
      <c r="K14" s="76">
        <f>C14*Weights!$Q$11</f>
        <v>0</v>
      </c>
      <c r="L14" s="76">
        <f>D14*Weights!$Q$11</f>
        <v>0</v>
      </c>
      <c r="M14" s="76">
        <f>E14*Weights!$Q$11</f>
        <v>0</v>
      </c>
      <c r="N14" s="76">
        <f>F14*Weights!$Q$11</f>
        <v>0</v>
      </c>
      <c r="O14" s="76">
        <f>G14*Weights!$Q$11</f>
        <v>0</v>
      </c>
      <c r="P14" s="76">
        <f>H14*Weights!$Q$11</f>
        <v>0</v>
      </c>
      <c r="Q14" s="76">
        <f>I14*Weights!$Q$11</f>
        <v>0</v>
      </c>
    </row>
    <row r="15" spans="1:17" ht="15.5">
      <c r="A15" s="32" t="s">
        <v>1603</v>
      </c>
      <c r="B15" s="959">
        <v>0</v>
      </c>
      <c r="C15" s="959">
        <v>0</v>
      </c>
      <c r="D15" s="959">
        <v>0</v>
      </c>
      <c r="E15" s="959">
        <v>0</v>
      </c>
      <c r="F15" s="959">
        <v>0</v>
      </c>
      <c r="G15" s="959">
        <v>0</v>
      </c>
      <c r="H15" s="959">
        <v>0</v>
      </c>
      <c r="I15" s="959">
        <v>0</v>
      </c>
      <c r="J15" s="76">
        <f>B15*Weights!$Q$12</f>
        <v>0</v>
      </c>
      <c r="K15" s="76">
        <f>C15*Weights!$Q$12</f>
        <v>0</v>
      </c>
      <c r="L15" s="76">
        <f>D15*Weights!$Q$12</f>
        <v>0</v>
      </c>
      <c r="M15" s="76">
        <f>E15*Weights!$Q$12</f>
        <v>0</v>
      </c>
      <c r="N15" s="76">
        <f>F15*Weights!$Q$12</f>
        <v>0</v>
      </c>
      <c r="O15" s="76">
        <f>G15*Weights!$Q$12</f>
        <v>0</v>
      </c>
      <c r="P15" s="76">
        <f>H15*Weights!$Q$12</f>
        <v>0</v>
      </c>
      <c r="Q15" s="76">
        <f>I15*Weights!$Q$12</f>
        <v>0</v>
      </c>
    </row>
    <row r="16" spans="1:17" ht="15.5">
      <c r="A16" s="32" t="s">
        <v>1604</v>
      </c>
      <c r="B16" s="959">
        <v>0</v>
      </c>
      <c r="C16" s="959">
        <v>0</v>
      </c>
      <c r="D16" s="959">
        <v>0</v>
      </c>
      <c r="E16" s="959">
        <v>0</v>
      </c>
      <c r="F16" s="959">
        <v>0</v>
      </c>
      <c r="G16" s="959">
        <v>0</v>
      </c>
      <c r="H16" s="959">
        <v>0</v>
      </c>
      <c r="I16" s="959">
        <v>0</v>
      </c>
      <c r="J16" s="76">
        <f>B16*Weights!$Q$13</f>
        <v>0</v>
      </c>
      <c r="K16" s="76">
        <f>C16*Weights!$Q$13</f>
        <v>0</v>
      </c>
      <c r="L16" s="76">
        <f>D16*Weights!$Q$13</f>
        <v>0</v>
      </c>
      <c r="M16" s="76">
        <f>E16*Weights!$Q$13</f>
        <v>0</v>
      </c>
      <c r="N16" s="76">
        <f>F16*Weights!$Q$13</f>
        <v>0</v>
      </c>
      <c r="O16" s="76">
        <f>G16*Weights!$Q$13</f>
        <v>0</v>
      </c>
      <c r="P16" s="76">
        <f>H16*Weights!$Q$13</f>
        <v>0</v>
      </c>
      <c r="Q16" s="76">
        <f>I16*Weights!$Q$13</f>
        <v>0</v>
      </c>
    </row>
    <row r="17" spans="1:17" ht="15.5">
      <c r="A17" s="32" t="s">
        <v>546</v>
      </c>
      <c r="B17" s="959">
        <v>0</v>
      </c>
      <c r="C17" s="959">
        <v>0</v>
      </c>
      <c r="D17" s="959">
        <v>0</v>
      </c>
      <c r="E17" s="959">
        <v>0</v>
      </c>
      <c r="F17" s="959">
        <v>0</v>
      </c>
      <c r="G17" s="959">
        <v>0</v>
      </c>
      <c r="H17" s="959">
        <v>0</v>
      </c>
      <c r="I17" s="959">
        <v>0</v>
      </c>
      <c r="J17" s="76">
        <f>B17*Weights!$Q$14</f>
        <v>0</v>
      </c>
      <c r="K17" s="76">
        <f>C17*Weights!$Q$14</f>
        <v>0</v>
      </c>
      <c r="L17" s="76">
        <f>D17*Weights!$Q$14</f>
        <v>0</v>
      </c>
      <c r="M17" s="76">
        <f>E17*Weights!$Q$14</f>
        <v>0</v>
      </c>
      <c r="N17" s="76">
        <f>F17*Weights!$Q$14</f>
        <v>0</v>
      </c>
      <c r="O17" s="76">
        <f>G17*Weights!$Q$14</f>
        <v>0</v>
      </c>
      <c r="P17" s="76">
        <f>H17*Weights!$Q$14</f>
        <v>0</v>
      </c>
      <c r="Q17" s="76">
        <f>I17*Weights!$Q$14</f>
        <v>0</v>
      </c>
    </row>
    <row r="18" spans="1:17" ht="15.5">
      <c r="A18" s="32" t="s">
        <v>1901</v>
      </c>
      <c r="B18" s="959">
        <v>0</v>
      </c>
      <c r="C18" s="959">
        <v>0</v>
      </c>
      <c r="D18" s="959">
        <v>0</v>
      </c>
      <c r="E18" s="959">
        <v>0</v>
      </c>
      <c r="F18" s="959">
        <v>0</v>
      </c>
      <c r="G18" s="959">
        <v>0</v>
      </c>
      <c r="H18" s="959">
        <v>0</v>
      </c>
      <c r="I18" s="959">
        <v>0</v>
      </c>
      <c r="J18" s="76">
        <f>B18*Weights!$Q$15</f>
        <v>0</v>
      </c>
      <c r="K18" s="76">
        <f>C18*Weights!$Q$15</f>
        <v>0</v>
      </c>
      <c r="L18" s="76">
        <f>D18*Weights!$Q$15</f>
        <v>0</v>
      </c>
      <c r="M18" s="76">
        <f>E18*Weights!$Q$15</f>
        <v>0</v>
      </c>
      <c r="N18" s="76">
        <f>F18*Weights!$Q$15</f>
        <v>0</v>
      </c>
      <c r="O18" s="76">
        <f>G18*Weights!$Q$15</f>
        <v>0</v>
      </c>
      <c r="P18" s="76">
        <f>H18*Weights!$Q$15</f>
        <v>0</v>
      </c>
      <c r="Q18" s="76">
        <f>I18*Weights!$Q$15</f>
        <v>0</v>
      </c>
    </row>
    <row r="19" spans="1:17" ht="15.5">
      <c r="A19" s="32" t="s">
        <v>1902</v>
      </c>
      <c r="B19" s="959">
        <v>0</v>
      </c>
      <c r="C19" s="959">
        <v>0</v>
      </c>
      <c r="D19" s="959">
        <v>0</v>
      </c>
      <c r="E19" s="959">
        <v>0</v>
      </c>
      <c r="F19" s="959">
        <v>0</v>
      </c>
      <c r="G19" s="959">
        <v>0</v>
      </c>
      <c r="H19" s="959">
        <v>0</v>
      </c>
      <c r="I19" s="959">
        <v>0</v>
      </c>
      <c r="J19" s="76">
        <f>B19*Weights!$Q$16</f>
        <v>0</v>
      </c>
      <c r="K19" s="76">
        <f>C19*Weights!$Q$16</f>
        <v>0</v>
      </c>
      <c r="L19" s="76">
        <f>D19*Weights!$Q$16</f>
        <v>0</v>
      </c>
      <c r="M19" s="76">
        <f>E19*Weights!$Q$16</f>
        <v>0</v>
      </c>
      <c r="N19" s="76">
        <f>F19*Weights!$Q$16</f>
        <v>0</v>
      </c>
      <c r="O19" s="76">
        <f>G19*Weights!$Q$16</f>
        <v>0</v>
      </c>
      <c r="P19" s="76">
        <f>H19*Weights!$Q$16</f>
        <v>0</v>
      </c>
      <c r="Q19" s="76">
        <f>I19*Weights!$Q$16</f>
        <v>0</v>
      </c>
    </row>
    <row r="20" spans="1:17" ht="15.5">
      <c r="A20" s="32" t="s">
        <v>473</v>
      </c>
      <c r="B20" s="959">
        <v>0</v>
      </c>
      <c r="C20" s="959">
        <v>0</v>
      </c>
      <c r="D20" s="959">
        <v>0</v>
      </c>
      <c r="E20" s="959">
        <v>0</v>
      </c>
      <c r="F20" s="959">
        <v>0</v>
      </c>
      <c r="G20" s="959">
        <v>0</v>
      </c>
      <c r="H20" s="959">
        <v>0</v>
      </c>
      <c r="I20" s="959">
        <v>0</v>
      </c>
      <c r="J20" s="967">
        <f t="shared" ref="J20:Q20" si="0">SUM(J13:J19)</f>
        <v>0</v>
      </c>
      <c r="K20" s="967">
        <f t="shared" si="0"/>
        <v>0</v>
      </c>
      <c r="L20" s="967">
        <f t="shared" si="0"/>
        <v>0</v>
      </c>
      <c r="M20" s="967">
        <f t="shared" si="0"/>
        <v>0</v>
      </c>
      <c r="N20" s="967">
        <f t="shared" si="0"/>
        <v>0</v>
      </c>
      <c r="O20" s="967">
        <f t="shared" si="0"/>
        <v>0</v>
      </c>
      <c r="P20" s="967">
        <f t="shared" si="0"/>
        <v>0</v>
      </c>
      <c r="Q20" s="967">
        <f t="shared" si="0"/>
        <v>0</v>
      </c>
    </row>
    <row r="21" spans="1:17" ht="15.5">
      <c r="A21" s="32" t="s">
        <v>502</v>
      </c>
      <c r="B21" s="959">
        <v>0</v>
      </c>
      <c r="C21" s="959">
        <v>0</v>
      </c>
      <c r="D21" s="959">
        <v>0</v>
      </c>
      <c r="E21" s="959">
        <v>0</v>
      </c>
      <c r="F21" s="959">
        <v>0</v>
      </c>
      <c r="G21" s="959">
        <v>0</v>
      </c>
      <c r="H21" s="959">
        <v>0</v>
      </c>
      <c r="I21" s="959">
        <v>0</v>
      </c>
    </row>
    <row r="22" spans="1:17" ht="15.5">
      <c r="A22" s="32" t="s">
        <v>503</v>
      </c>
      <c r="B22" s="959">
        <v>0</v>
      </c>
      <c r="C22" s="959">
        <v>0</v>
      </c>
      <c r="D22" s="959">
        <v>0</v>
      </c>
      <c r="E22" s="959">
        <v>0</v>
      </c>
      <c r="F22" s="959">
        <v>0</v>
      </c>
      <c r="G22" s="959">
        <v>0</v>
      </c>
      <c r="H22" s="959">
        <v>0</v>
      </c>
      <c r="I22" s="959">
        <v>0</v>
      </c>
    </row>
    <row r="23" spans="1:17" ht="15.5">
      <c r="A23" s="32" t="s">
        <v>504</v>
      </c>
      <c r="B23" s="959">
        <v>0</v>
      </c>
      <c r="C23" s="959">
        <v>0</v>
      </c>
      <c r="D23" s="959">
        <v>0</v>
      </c>
      <c r="E23" s="959">
        <v>0</v>
      </c>
      <c r="F23" s="959">
        <v>0</v>
      </c>
      <c r="G23" s="959">
        <v>0</v>
      </c>
      <c r="H23" s="959">
        <v>0</v>
      </c>
      <c r="I23" s="959">
        <v>0</v>
      </c>
    </row>
    <row r="24" spans="1:17" ht="15.5">
      <c r="A24" s="1656" t="s">
        <v>7435</v>
      </c>
      <c r="B24" s="959">
        <v>0</v>
      </c>
      <c r="C24" s="959">
        <v>0</v>
      </c>
      <c r="D24" s="959">
        <v>0</v>
      </c>
      <c r="E24" s="959">
        <v>0</v>
      </c>
      <c r="F24" s="959">
        <v>0</v>
      </c>
      <c r="G24" s="959">
        <v>0</v>
      </c>
      <c r="H24" s="959">
        <v>0</v>
      </c>
      <c r="I24" s="959">
        <v>0</v>
      </c>
    </row>
    <row r="25" spans="1:17" ht="15.5">
      <c r="A25" s="32" t="s">
        <v>9096</v>
      </c>
      <c r="B25" s="959">
        <v>0</v>
      </c>
      <c r="C25" s="959">
        <v>0</v>
      </c>
      <c r="D25" s="959">
        <v>0</v>
      </c>
      <c r="E25" s="959">
        <v>0</v>
      </c>
      <c r="F25" s="959">
        <v>0</v>
      </c>
      <c r="G25" s="959">
        <v>0</v>
      </c>
      <c r="H25" s="959">
        <v>0</v>
      </c>
      <c r="I25" s="959">
        <v>0</v>
      </c>
    </row>
    <row r="26" spans="1:17" ht="15.5">
      <c r="A26" s="32" t="s">
        <v>9097</v>
      </c>
      <c r="B26" s="959">
        <v>0</v>
      </c>
      <c r="C26" s="959">
        <v>0</v>
      </c>
      <c r="D26" s="959">
        <v>0</v>
      </c>
      <c r="E26" s="959">
        <v>0</v>
      </c>
      <c r="F26" s="959">
        <v>0</v>
      </c>
      <c r="G26" s="959">
        <v>0</v>
      </c>
      <c r="H26" s="959">
        <v>0</v>
      </c>
      <c r="I26" s="959">
        <v>0</v>
      </c>
    </row>
    <row r="27" spans="1:17" ht="15.5">
      <c r="A27" s="32" t="s">
        <v>9098</v>
      </c>
      <c r="B27" s="959">
        <v>0</v>
      </c>
      <c r="C27" s="959">
        <v>0</v>
      </c>
      <c r="D27" s="959">
        <v>0</v>
      </c>
      <c r="E27" s="959">
        <v>0</v>
      </c>
      <c r="F27" s="959">
        <v>0</v>
      </c>
      <c r="G27" s="959">
        <v>0</v>
      </c>
      <c r="H27" s="959">
        <v>0</v>
      </c>
      <c r="I27" s="959">
        <v>0</v>
      </c>
    </row>
    <row r="28" spans="1:17" ht="15.5">
      <c r="A28" s="958" t="s">
        <v>7855</v>
      </c>
      <c r="B28" s="959">
        <v>0</v>
      </c>
      <c r="C28" s="959">
        <v>0</v>
      </c>
      <c r="D28" s="959">
        <v>0</v>
      </c>
      <c r="E28" s="959">
        <v>0</v>
      </c>
      <c r="F28" s="959">
        <v>0</v>
      </c>
      <c r="G28" s="959">
        <v>0</v>
      </c>
      <c r="H28" s="959">
        <v>0</v>
      </c>
      <c r="I28" s="959">
        <v>0</v>
      </c>
    </row>
    <row r="29" spans="1:17" ht="15.5">
      <c r="A29" s="958" t="s">
        <v>7856</v>
      </c>
      <c r="B29" s="959">
        <v>0</v>
      </c>
      <c r="C29" s="959">
        <v>0</v>
      </c>
      <c r="D29" s="959">
        <v>0</v>
      </c>
      <c r="E29" s="959">
        <v>0</v>
      </c>
      <c r="F29" s="959">
        <v>0</v>
      </c>
      <c r="G29" s="959">
        <v>0</v>
      </c>
      <c r="H29" s="959">
        <v>0</v>
      </c>
      <c r="I29" s="959">
        <v>0</v>
      </c>
    </row>
    <row r="30" spans="1:17" ht="15.5">
      <c r="A30" s="958" t="s">
        <v>7857</v>
      </c>
      <c r="B30" s="959">
        <v>0</v>
      </c>
      <c r="C30" s="959">
        <v>0</v>
      </c>
      <c r="D30" s="959">
        <v>0</v>
      </c>
      <c r="E30" s="959">
        <v>0</v>
      </c>
      <c r="F30" s="959">
        <v>0</v>
      </c>
      <c r="G30" s="959">
        <v>0</v>
      </c>
      <c r="H30" s="959">
        <v>0</v>
      </c>
      <c r="I30" s="959">
        <v>0</v>
      </c>
    </row>
    <row r="31" spans="1:17" ht="15.5">
      <c r="A31" s="958" t="s">
        <v>7858</v>
      </c>
      <c r="B31" s="959">
        <v>0</v>
      </c>
      <c r="C31" s="959">
        <v>0</v>
      </c>
      <c r="D31" s="959">
        <v>0</v>
      </c>
      <c r="E31" s="959">
        <v>0</v>
      </c>
      <c r="F31" s="959">
        <v>0</v>
      </c>
      <c r="G31" s="959">
        <v>0</v>
      </c>
      <c r="H31" s="959">
        <v>0</v>
      </c>
      <c r="I31" s="959">
        <v>0</v>
      </c>
    </row>
    <row r="32" spans="1:17" ht="15.5">
      <c r="A32" s="958" t="s">
        <v>7859</v>
      </c>
      <c r="B32" s="959">
        <v>0</v>
      </c>
      <c r="C32" s="959">
        <v>0</v>
      </c>
      <c r="D32" s="959">
        <v>0</v>
      </c>
      <c r="E32" s="959">
        <v>0</v>
      </c>
      <c r="F32" s="959">
        <v>0</v>
      </c>
      <c r="G32" s="959">
        <v>0</v>
      </c>
      <c r="H32" s="959">
        <v>0</v>
      </c>
      <c r="I32" s="959">
        <v>0</v>
      </c>
    </row>
    <row r="33" spans="1:9" ht="15.5">
      <c r="A33" s="32" t="s">
        <v>506</v>
      </c>
      <c r="B33" s="959">
        <v>0</v>
      </c>
      <c r="C33" s="959">
        <v>0</v>
      </c>
      <c r="D33" s="959">
        <v>0</v>
      </c>
      <c r="E33" s="959">
        <v>0</v>
      </c>
      <c r="F33" s="959">
        <v>0</v>
      </c>
      <c r="G33" s="959">
        <v>0</v>
      </c>
      <c r="H33" s="959">
        <v>0</v>
      </c>
      <c r="I33" s="959">
        <v>0</v>
      </c>
    </row>
    <row r="34" spans="1:9" ht="15.5">
      <c r="A34" s="1669" t="s">
        <v>9095</v>
      </c>
      <c r="B34" s="959">
        <v>0</v>
      </c>
      <c r="C34" s="959">
        <v>0</v>
      </c>
      <c r="D34" s="959">
        <v>0</v>
      </c>
      <c r="E34" s="959">
        <v>0</v>
      </c>
      <c r="F34" s="959">
        <v>0</v>
      </c>
      <c r="G34" s="959">
        <v>0</v>
      </c>
      <c r="H34" s="959">
        <v>0</v>
      </c>
      <c r="I34" s="959">
        <v>0</v>
      </c>
    </row>
    <row r="35" spans="1:9" ht="15.5">
      <c r="A35" s="958" t="s">
        <v>7860</v>
      </c>
      <c r="B35" s="959">
        <v>0</v>
      </c>
      <c r="C35" s="959">
        <v>0</v>
      </c>
      <c r="D35" s="959">
        <v>0</v>
      </c>
      <c r="E35" s="959">
        <v>0</v>
      </c>
      <c r="F35" s="959">
        <v>0</v>
      </c>
      <c r="G35" s="959">
        <v>0</v>
      </c>
      <c r="H35" s="959">
        <v>0</v>
      </c>
      <c r="I35" s="959">
        <v>0</v>
      </c>
    </row>
    <row r="36" spans="1:9" ht="15.5">
      <c r="A36" s="958" t="s">
        <v>7861</v>
      </c>
      <c r="B36" s="959">
        <v>0</v>
      </c>
      <c r="C36" s="959">
        <v>0</v>
      </c>
      <c r="D36" s="959">
        <v>0</v>
      </c>
      <c r="E36" s="959">
        <v>0</v>
      </c>
      <c r="F36" s="959">
        <v>0</v>
      </c>
      <c r="G36" s="959">
        <v>0</v>
      </c>
      <c r="H36" s="959">
        <v>0</v>
      </c>
      <c r="I36" s="959">
        <v>0</v>
      </c>
    </row>
    <row r="37" spans="1:9" ht="15.5">
      <c r="A37" s="958" t="s">
        <v>7862</v>
      </c>
      <c r="B37" s="959">
        <v>0</v>
      </c>
      <c r="C37" s="959">
        <v>0</v>
      </c>
      <c r="D37" s="959">
        <v>0</v>
      </c>
      <c r="E37" s="959">
        <v>0</v>
      </c>
      <c r="F37" s="959">
        <v>0</v>
      </c>
      <c r="G37" s="959">
        <v>0</v>
      </c>
      <c r="H37" s="959">
        <v>0</v>
      </c>
      <c r="I37" s="959">
        <v>0</v>
      </c>
    </row>
    <row r="38" spans="1:9" ht="15.5">
      <c r="A38" s="958" t="s">
        <v>7629</v>
      </c>
      <c r="B38" s="959">
        <v>0</v>
      </c>
      <c r="C38" s="959">
        <f t="shared" ref="C38:I38" si="1">C11*0.05</f>
        <v>0</v>
      </c>
      <c r="D38" s="959">
        <f t="shared" si="1"/>
        <v>0</v>
      </c>
      <c r="E38" s="959">
        <f t="shared" si="1"/>
        <v>0</v>
      </c>
      <c r="F38" s="959">
        <f t="shared" si="1"/>
        <v>0</v>
      </c>
      <c r="G38" s="959">
        <f t="shared" si="1"/>
        <v>0</v>
      </c>
      <c r="H38" s="959">
        <f t="shared" si="1"/>
        <v>0</v>
      </c>
      <c r="I38" s="959">
        <f t="shared" si="1"/>
        <v>0</v>
      </c>
    </row>
    <row r="42" spans="1:9" ht="13">
      <c r="B42" s="1894" t="s">
        <v>7366</v>
      </c>
      <c r="C42" s="1894" t="s">
        <v>7366</v>
      </c>
      <c r="D42" s="1894" t="s">
        <v>7366</v>
      </c>
      <c r="E42" s="1894" t="s">
        <v>7366</v>
      </c>
      <c r="F42" s="1894" t="s">
        <v>7366</v>
      </c>
      <c r="G42" s="1894" t="s">
        <v>7366</v>
      </c>
      <c r="H42" s="1894" t="s">
        <v>7366</v>
      </c>
      <c r="I42" s="1894" t="s">
        <v>7366</v>
      </c>
    </row>
    <row r="43" spans="1:9" ht="15.5">
      <c r="A43" s="1657" t="s">
        <v>7377</v>
      </c>
      <c r="B43" s="965" t="s">
        <v>7358</v>
      </c>
      <c r="C43" s="965" t="s">
        <v>7359</v>
      </c>
      <c r="D43" s="965" t="s">
        <v>7360</v>
      </c>
      <c r="E43" s="966" t="s">
        <v>7361</v>
      </c>
      <c r="F43" s="966" t="s">
        <v>10695</v>
      </c>
      <c r="G43" s="966" t="s">
        <v>10696</v>
      </c>
      <c r="H43" s="966" t="s">
        <v>10697</v>
      </c>
      <c r="I43" s="966" t="s">
        <v>10698</v>
      </c>
    </row>
    <row r="44" spans="1:9" ht="15.5">
      <c r="A44" s="964" t="s">
        <v>2635</v>
      </c>
      <c r="B44" s="968" t="e">
        <f>B$71*Assumptions!$H$172</f>
        <v>#DIV/0!</v>
      </c>
      <c r="C44" s="968" t="e">
        <f>C$71*Assumptions!$H$172</f>
        <v>#DIV/0!</v>
      </c>
      <c r="D44" s="968" t="e">
        <f>D$71*Assumptions!$H$172</f>
        <v>#DIV/0!</v>
      </c>
      <c r="E44" s="968" t="e">
        <f>E$71*Assumptions!$H$172</f>
        <v>#DIV/0!</v>
      </c>
      <c r="F44" s="968" t="e">
        <f>F$71*Assumptions!$H$172</f>
        <v>#DIV/0!</v>
      </c>
      <c r="G44" s="968" t="e">
        <f>G$71*Assumptions!$H$172</f>
        <v>#DIV/0!</v>
      </c>
      <c r="H44" s="968" t="e">
        <f>H$71*Assumptions!$H$172</f>
        <v>#DIV/0!</v>
      </c>
      <c r="I44" s="968" t="e">
        <f>I$71*Assumptions!$H$172</f>
        <v>#DIV/0!</v>
      </c>
    </row>
    <row r="45" spans="1:9" ht="15.5">
      <c r="A45" s="964" t="s">
        <v>7854</v>
      </c>
      <c r="B45" s="1655" t="e">
        <f>'SOF2526-HB3'!$I$21*(B$71/'Calc Data'!$H$12)</f>
        <v>#DIV/0!</v>
      </c>
      <c r="C45" s="1655" t="e">
        <f>'SOF2324-HB3'!$I$21*(C$71/'Calc Data'!$H$12)</f>
        <v>#DIV/0!</v>
      </c>
      <c r="D45" s="1655" t="e">
        <f>'SOF2324-HB3'!$I$21*(D$71/'Calc Data'!$H$12)</f>
        <v>#DIV/0!</v>
      </c>
      <c r="E45" s="1655" t="e">
        <f>'SOF2324-HB3'!$I$21*(E$71/'Calc Data'!$H$12)</f>
        <v>#DIV/0!</v>
      </c>
      <c r="F45" s="1655" t="e">
        <f>'SOF2324-HB3'!$I$21*(F$71/'Calc Data'!$H$12)</f>
        <v>#DIV/0!</v>
      </c>
      <c r="G45" s="1655" t="e">
        <f>'SOF2324-HB3'!$I$21*(G$71/'Calc Data'!$H$12)</f>
        <v>#DIV/0!</v>
      </c>
      <c r="H45" s="1655" t="e">
        <f>'SOF2324-HB3'!$I$21*(H$71/'Calc Data'!$H$12)</f>
        <v>#DIV/0!</v>
      </c>
      <c r="I45" s="1655" t="e">
        <f>'SOF2324-HB3'!$I$21*(I$71/'Calc Data'!$H$12)</f>
        <v>#DIV/0!</v>
      </c>
    </row>
    <row r="46" spans="1:9" ht="15.5">
      <c r="A46" s="964" t="s">
        <v>2639</v>
      </c>
      <c r="B46" s="968" t="e">
        <f>(B$70*('Calc Data'!$H$96+Assumptions!$H$172))+(B$20*'Weights-HB3'!$M$14*('Calc Data'!$H$96+Assumptions!$H$172))+(B$21*'Weights-HB3'!$M$15*('Calc Data'!$H$96+Assumptions!$H$172))+(B$22*'Weights-HB3'!$M$16*('Calc Data'!$H$96+Assumptions!$H$172))+(B$23*'Weights-HB3'!$M$18*('Calc Data'!$H$96+Assumptions!$H$172))</f>
        <v>#DIV/0!</v>
      </c>
      <c r="C46" s="968" t="e">
        <f>(C$70*('Calc Data'!$H$96+Assumptions!$H$172))+(C$20*'Weights-HB3'!$M$14*('Calc Data'!$H$96+Assumptions!$H$172))+(C$21*'Weights-HB3'!$M$15*('Calc Data'!$H$96+Assumptions!$H$172))+(C$22*'Weights-HB3'!$M$16*('Calc Data'!$H$96+Assumptions!$H$172))+(C$23*'Weights-HB3'!$M$18*('Calc Data'!$H$96+Assumptions!$H$172))</f>
        <v>#DIV/0!</v>
      </c>
      <c r="D46" s="968" t="e">
        <f>(D$70*('Calc Data'!$H$96+Assumptions!$H$172))+(D$20*'Weights-HB3'!$M$14*('Calc Data'!$H$96+Assumptions!$H$172))+(D$21*'Weights-HB3'!$M$15*('Calc Data'!$H$96+Assumptions!$H$172))+(D$22*'Weights-HB3'!$M$16*('Calc Data'!$H$96+Assumptions!$H$172))+(D$23*'Weights-HB3'!$M$18*('Calc Data'!$H$96+Assumptions!$H$172))</f>
        <v>#DIV/0!</v>
      </c>
      <c r="E46" s="968" t="e">
        <f>(E$70*('Calc Data'!$H$96+Assumptions!$H$172))+(E$20*'Weights-HB3'!$M$14*('Calc Data'!$H$96+Assumptions!$H$172))+(E$21*'Weights-HB3'!$M$15*('Calc Data'!$H$96+Assumptions!$H$172))+(E$22*'Weights-HB3'!$M$16*('Calc Data'!$H$96+Assumptions!$H$172))+(E$23*'Weights-HB3'!$M$18*('Calc Data'!$H$96+Assumptions!$H$172))</f>
        <v>#DIV/0!</v>
      </c>
      <c r="F46" s="968" t="e">
        <f>(F$70*('Calc Data'!$H$96+Assumptions!$H$172))+(F$20*'Weights-HB3'!$M$14*('Calc Data'!$H$96+Assumptions!$H$172))+(F$21*'Weights-HB3'!$M$15*('Calc Data'!$H$96+Assumptions!$H$172))+(F$22*'Weights-HB3'!$M$16*('Calc Data'!$H$96+Assumptions!$H$172))+(F$23*'Weights-HB3'!$M$18*('Calc Data'!$H$96+Assumptions!$H$172))</f>
        <v>#DIV/0!</v>
      </c>
      <c r="G46" s="968" t="e">
        <f>(G$70*('Calc Data'!$H$96+Assumptions!$H$172))+(G$20*'Weights-HB3'!$M$14*('Calc Data'!$H$96+Assumptions!$H$172))+(G$21*'Weights-HB3'!$M$15*('Calc Data'!$H$96+Assumptions!$H$172))+(G$22*'Weights-HB3'!$M$16*('Calc Data'!$H$96+Assumptions!$H$172))+(G$23*'Weights-HB3'!$M$18*('Calc Data'!$H$96+Assumptions!$H$172))</f>
        <v>#DIV/0!</v>
      </c>
      <c r="H46" s="968" t="e">
        <f>(H$70*('Calc Data'!$H$96+Assumptions!$H$172))+(H$20*'Weights-HB3'!$M$14*('Calc Data'!$H$96+Assumptions!$H$172))+(H$21*'Weights-HB3'!$M$15*('Calc Data'!$H$96+Assumptions!$H$172))+(H$22*'Weights-HB3'!$M$16*('Calc Data'!$H$96+Assumptions!$H$172))+(H$23*'Weights-HB3'!$M$18*('Calc Data'!$H$96+Assumptions!$H$172))</f>
        <v>#DIV/0!</v>
      </c>
      <c r="I46" s="968" t="e">
        <f>(I$70*('Calc Data'!$H$96+Assumptions!$H$172))+(I$20*'Weights-HB3'!$M$14*('Calc Data'!$H$96+Assumptions!$H$172))+(I$21*'Weights-HB3'!$M$15*('Calc Data'!$H$96+Assumptions!$H$172))+(I$22*'Weights-HB3'!$M$16*('Calc Data'!$H$96+Assumptions!$H$172))+(I$23*'Weights-HB3'!$M$18*('Calc Data'!$H$96+Assumptions!$H$172))</f>
        <v>#DIV/0!</v>
      </c>
    </row>
    <row r="47" spans="1:9" ht="15.5">
      <c r="A47" s="964" t="s">
        <v>7436</v>
      </c>
      <c r="B47" s="1655" t="e">
        <f>B$24*'Weights-HB3'!$M$72*Assumptions!$H$172</f>
        <v>#DIV/0!</v>
      </c>
      <c r="C47" s="1655" t="e">
        <f>C$24*'Weights-HB3'!$M$72*Assumptions!$H$172</f>
        <v>#DIV/0!</v>
      </c>
      <c r="D47" s="1655" t="e">
        <f>D$24*'Weights-HB3'!$M$72*Assumptions!$H$172</f>
        <v>#DIV/0!</v>
      </c>
      <c r="E47" s="1655" t="e">
        <f>E$24*'Weights-HB3'!$M$72*Assumptions!$H$172</f>
        <v>#DIV/0!</v>
      </c>
      <c r="F47" s="1655" t="e">
        <f>F$24*'Weights-HB3'!$M$72*Assumptions!$H$172</f>
        <v>#DIV/0!</v>
      </c>
      <c r="G47" s="1655" t="e">
        <f>G$24*'Weights-HB3'!$M$72*Assumptions!$H$172</f>
        <v>#DIV/0!</v>
      </c>
      <c r="H47" s="1655" t="e">
        <f>H$24*'Weights-HB3'!$M$72*Assumptions!$H$172</f>
        <v>#DIV/0!</v>
      </c>
      <c r="I47" s="1655" t="e">
        <f>I$24*'Weights-HB3'!$M$72*Assumptions!$H$172</f>
        <v>#DIV/0!</v>
      </c>
    </row>
    <row r="48" spans="1:9" ht="15.5">
      <c r="A48" s="964" t="s">
        <v>7363</v>
      </c>
      <c r="B48" s="968" t="e">
        <f>(B$25*(Assumptions!$H$172+'Calc Data'!$H$96)*'Weights-HB3'!$M$21)+(B$26*(Assumptions!$H$172+'Calc Data'!$H$96)*'Weights-HB3'!$M$22)+(B$27*(Assumptions!$H$172+'Calc Data'!$H$96)*'Weights-HB3'!$M$23)</f>
        <v>#DIV/0!</v>
      </c>
      <c r="C48" s="968" t="e">
        <f>(C$25*(Assumptions!$H$172+'Calc Data'!$H$96)*'Weights-HB3'!$M$21)+(C$26*(Assumptions!$H$172+'Calc Data'!$H$96)*'Weights-HB3'!$M$22)+(C$27*(Assumptions!$H$172+'Calc Data'!$H$96)*'Weights-HB3'!$M$23)</f>
        <v>#DIV/0!</v>
      </c>
      <c r="D48" s="968" t="e">
        <f>(D$25*(Assumptions!$H$172+'Calc Data'!$H$96)*'Weights-HB3'!$M$21)+(D$26*(Assumptions!$H$172+'Calc Data'!$H$96)*'Weights-HB3'!$M$22)+(D$27*(Assumptions!$H$172+'Calc Data'!$H$96)*'Weights-HB3'!$M$23)</f>
        <v>#DIV/0!</v>
      </c>
      <c r="E48" s="968" t="e">
        <f>(E$25*(Assumptions!$H$172+'Calc Data'!$H$96)*'Weights-HB3'!$M$21)+(E$26*(Assumptions!$H$172+'Calc Data'!$H$96)*'Weights-HB3'!$M$22)+(E$27*(Assumptions!$H$172+'Calc Data'!$H$96)*'Weights-HB3'!$M$23)</f>
        <v>#DIV/0!</v>
      </c>
      <c r="F48" s="968" t="e">
        <f>(F$25*(Assumptions!$H$172+'Calc Data'!$H$96)*'Weights-HB3'!$M$21)+(F$26*(Assumptions!$H$172+'Calc Data'!$H$96)*'Weights-HB3'!$M$22)+(F$27*(Assumptions!$H$172+'Calc Data'!$H$96)*'Weights-HB3'!$M$23)</f>
        <v>#DIV/0!</v>
      </c>
      <c r="G48" s="968" t="e">
        <f>(G$25*(Assumptions!$H$172+'Calc Data'!$H$96)*'Weights-HB3'!$M$21)+(G$26*(Assumptions!$H$172+'Calc Data'!$H$96)*'Weights-HB3'!$M$22)+(G$27*(Assumptions!$H$172+'Calc Data'!$H$96)*'Weights-HB3'!$M$23)</f>
        <v>#DIV/0!</v>
      </c>
      <c r="H48" s="968" t="e">
        <f>(H$25*(Assumptions!$H$172+'Calc Data'!$H$96)*'Weights-HB3'!$M$21)+(H$26*(Assumptions!$H$172+'Calc Data'!$H$96)*'Weights-HB3'!$M$22)+(H$27*(Assumptions!$H$172+'Calc Data'!$H$96)*'Weights-HB3'!$M$23)</f>
        <v>#DIV/0!</v>
      </c>
      <c r="I48" s="968" t="e">
        <f>(I$25*(Assumptions!$H$172+'Calc Data'!$H$96)*'Weights-HB3'!$M$21)+(I$26*(Assumptions!$H$172+'Calc Data'!$H$96)*'Weights-HB3'!$M$22)+(I$27*(Assumptions!$H$172+'Calc Data'!$H$96)*'Weights-HB3'!$M$23)</f>
        <v>#DIV/0!</v>
      </c>
    </row>
    <row r="49" spans="1:10" ht="15.5">
      <c r="A49" s="964" t="s">
        <v>7364</v>
      </c>
      <c r="B49" s="968" t="e">
        <f>(B$28*Assumptions!$H$172*'Weights-HB3'!$M$36)+(B$29*Assumptions!$H$172*'Weights-HB3'!$M$37)+(B$30*Assumptions!$H$172*'Weights-HB3'!$M$38)+(B$31*Assumptions!$H$172*'Weights-HB3'!$M$39)+(B$32*Assumptions!$H$172*'Weights-HB3'!$M$40)+(B$33*Assumptions!$H$172*'Weights-HB3'!$M$43)</f>
        <v>#DIV/0!</v>
      </c>
      <c r="C49" s="968" t="e">
        <f>(C$28*Assumptions!$H$172*'Weights-HB3'!$M$36)+(C$29*Assumptions!$H$172*'Weights-HB3'!$M$37)+(C$30*Assumptions!$H$172*'Weights-HB3'!$M$38)+(C$31*Assumptions!$H$172*'Weights-HB3'!$M$39)+(C$32*Assumptions!$H$172*'Weights-HB3'!$M$40)+(C$33*Assumptions!$H$172*'Weights-HB3'!$M$43)</f>
        <v>#DIV/0!</v>
      </c>
      <c r="D49" s="968" t="e">
        <f>(D$28*Assumptions!$H$172*'Weights-HB3'!$M$36)+(D$29*Assumptions!$H$172*'Weights-HB3'!$M$37)+(D$30*Assumptions!$H$172*'Weights-HB3'!$M$38)+(D$31*Assumptions!$H$172*'Weights-HB3'!$M$39)+(D$32*Assumptions!$H$172*'Weights-HB3'!$M$40)+(D$33*Assumptions!$H$172*'Weights-HB3'!$M$43)</f>
        <v>#DIV/0!</v>
      </c>
      <c r="E49" s="968" t="e">
        <f>(E$28*Assumptions!$H$172*'Weights-HB3'!$M$36)+(E$29*Assumptions!$H$172*'Weights-HB3'!$M$37)+(E$30*Assumptions!$H$172*'Weights-HB3'!$M$38)+(E$31*Assumptions!$H$172*'Weights-HB3'!$M$39)+(E$32*Assumptions!$H$172*'Weights-HB3'!$M$40)+(E$33*Assumptions!$H$172*'Weights-HB3'!$M$43)</f>
        <v>#DIV/0!</v>
      </c>
      <c r="F49" s="968" t="e">
        <f>(F$28*Assumptions!$H$172*'Weights-HB3'!$M$36)+(F$29*Assumptions!$H$172*'Weights-HB3'!$M$37)+(F$30*Assumptions!$H$172*'Weights-HB3'!$M$38)+(F$31*Assumptions!$H$172*'Weights-HB3'!$M$39)+(F$32*Assumptions!$H$172*'Weights-HB3'!$M$40)+(F$33*Assumptions!$H$172*'Weights-HB3'!$M$43)</f>
        <v>#DIV/0!</v>
      </c>
      <c r="G49" s="968" t="e">
        <f>(G$28*Assumptions!$H$172*'Weights-HB3'!$M$36)+(G$29*Assumptions!$H$172*'Weights-HB3'!$M$37)+(G$30*Assumptions!$H$172*'Weights-HB3'!$M$38)+(G$31*Assumptions!$H$172*'Weights-HB3'!$M$39)+(G$32*Assumptions!$H$172*'Weights-HB3'!$M$40)+(G$33*Assumptions!$H$172*'Weights-HB3'!$M$43)</f>
        <v>#DIV/0!</v>
      </c>
      <c r="H49" s="968" t="e">
        <f>(H$28*Assumptions!$H$172*'Weights-HB3'!$M$36)+(H$29*Assumptions!$H$172*'Weights-HB3'!$M$37)+(H$30*Assumptions!$H$172*'Weights-HB3'!$M$38)+(H$31*Assumptions!$H$172*'Weights-HB3'!$M$39)+(H$32*Assumptions!$H$172*'Weights-HB3'!$M$40)+(H$33*Assumptions!$H$172*'Weights-HB3'!$M$43)</f>
        <v>#DIV/0!</v>
      </c>
      <c r="I49" s="968" t="e">
        <f>(I$28*Assumptions!$H$172*'Weights-HB3'!$M$36)+(I$29*Assumptions!$H$172*'Weights-HB3'!$M$37)+(I$30*Assumptions!$H$172*'Weights-HB3'!$M$38)+(I$31*Assumptions!$H$172*'Weights-HB3'!$M$39)+(I$32*Assumptions!$H$172*'Weights-HB3'!$M$40)+(I$33*Assumptions!$H$172*'Weights-HB3'!$M$43)</f>
        <v>#DIV/0!</v>
      </c>
    </row>
    <row r="50" spans="1:10" ht="15.5">
      <c r="A50" s="964" t="s">
        <v>2642</v>
      </c>
      <c r="B50" s="968" t="e">
        <f>B$34*Assumptions!$H$172*'Weights-HB3'!$M$31</f>
        <v>#DIV/0!</v>
      </c>
      <c r="C50" s="968" t="e">
        <f>C$34*Assumptions!$H$172*'Weights-HB3'!$M$31</f>
        <v>#DIV/0!</v>
      </c>
      <c r="D50" s="968" t="e">
        <f>D$34*Assumptions!$H$172*'Weights-HB3'!$M$31</f>
        <v>#DIV/0!</v>
      </c>
      <c r="E50" s="968" t="e">
        <f>E$34*Assumptions!$H$172*'Weights-HB3'!$M$31</f>
        <v>#DIV/0!</v>
      </c>
      <c r="F50" s="968" t="e">
        <f>F$34*Assumptions!$H$172*'Weights-HB3'!$M$31</f>
        <v>#DIV/0!</v>
      </c>
      <c r="G50" s="968" t="e">
        <f>G$34*Assumptions!$H$172*'Weights-HB3'!$M$31</f>
        <v>#DIV/0!</v>
      </c>
      <c r="H50" s="968" t="e">
        <f>H$34*Assumptions!$H$172*'Weights-HB3'!$M$31</f>
        <v>#DIV/0!</v>
      </c>
      <c r="I50" s="968" t="e">
        <f>I$34*Assumptions!$H$172*'Weights-HB3'!$M$31</f>
        <v>#DIV/0!</v>
      </c>
    </row>
    <row r="51" spans="1:10" ht="15.5">
      <c r="A51" s="964" t="s">
        <v>7365</v>
      </c>
      <c r="B51" s="968" t="e">
        <f>(B$35*Assumptions!$H$172*'Weights-HB3'!$M$26)+(B$36*Assumptions!$H$172*'Weights-HB3'!$M$27)+(B$37*Assumptions!$H$172*'Weights-HB3'!$M$28)</f>
        <v>#DIV/0!</v>
      </c>
      <c r="C51" s="968" t="e">
        <f>(C$35*Assumptions!$H$172*'Weights-HB3'!$M$26)+(C$36*Assumptions!$H$172*'Weights-HB3'!$M$27)+(C$37*Assumptions!$H$172*'Weights-HB3'!$M$28)</f>
        <v>#DIV/0!</v>
      </c>
      <c r="D51" s="968" t="e">
        <f>(D$35*Assumptions!$H$172*'Weights-HB3'!$M$26)+(D$36*Assumptions!$H$172*'Weights-HB3'!$M$27)+(D$37*Assumptions!$H$172*'Weights-HB3'!$M$28)</f>
        <v>#DIV/0!</v>
      </c>
      <c r="E51" s="968" t="e">
        <f>(E$35*Assumptions!$H$172*'Weights-HB3'!$M$26)+(E$36*Assumptions!$H$172*'Weights-HB3'!$M$27)+(E$37*Assumptions!$H$172*'Weights-HB3'!$M$28)</f>
        <v>#DIV/0!</v>
      </c>
      <c r="F51" s="968" t="e">
        <f>(F$35*Assumptions!$H$172*'Weights-HB3'!$M$26)+(F$36*Assumptions!$H$172*'Weights-HB3'!$M$27)+(F$37*Assumptions!$H$172*'Weights-HB3'!$M$28)</f>
        <v>#DIV/0!</v>
      </c>
      <c r="G51" s="968" t="e">
        <f>(G$35*Assumptions!$H$172*'Weights-HB3'!$M$26)+(G$36*Assumptions!$H$172*'Weights-HB3'!$M$27)+(G$37*Assumptions!$H$172*'Weights-HB3'!$M$28)</f>
        <v>#DIV/0!</v>
      </c>
      <c r="H51" s="968" t="e">
        <f>(H$35*Assumptions!$H$172*'Weights-HB3'!$M$26)+(H$36*Assumptions!$H$172*'Weights-HB3'!$M$27)+(H$37*Assumptions!$H$172*'Weights-HB3'!$M$28)</f>
        <v>#DIV/0!</v>
      </c>
      <c r="I51" s="968" t="e">
        <f>(I$35*Assumptions!$H$172*'Weights-HB3'!$M$26)+(I$36*Assumptions!$H$172*'Weights-HB3'!$M$27)+(I$37*Assumptions!$H$172*'Weights-HB3'!$M$28)</f>
        <v>#DIV/0!</v>
      </c>
    </row>
    <row r="52" spans="1:10" ht="15.5">
      <c r="A52" s="964" t="s">
        <v>7628</v>
      </c>
      <c r="B52" s="968" t="e">
        <f>B$38*Assumptions!$H$172*'Weights-HB3'!$M$74</f>
        <v>#DIV/0!</v>
      </c>
      <c r="C52" s="968" t="e">
        <f>C$38*Assumptions!$H$172*'Weights-HB3'!$M$74</f>
        <v>#DIV/0!</v>
      </c>
      <c r="D52" s="968" t="e">
        <f>D$38*Assumptions!$H$172*'Weights-HB3'!$M$74</f>
        <v>#DIV/0!</v>
      </c>
      <c r="E52" s="968" t="e">
        <f>E$38*Assumptions!$H$172*'Weights-HB3'!$M$74</f>
        <v>#DIV/0!</v>
      </c>
      <c r="F52" s="968" t="e">
        <f>F$38*Assumptions!$H$172*'Weights-HB3'!$M$74</f>
        <v>#DIV/0!</v>
      </c>
      <c r="G52" s="968" t="e">
        <f>G$38*Assumptions!$H$172*'Weights-HB3'!$M$74</f>
        <v>#DIV/0!</v>
      </c>
      <c r="H52" s="968" t="e">
        <f>H$38*Assumptions!$H$172*'Weights-HB3'!$M$74</f>
        <v>#DIV/0!</v>
      </c>
      <c r="I52" s="968" t="e">
        <f>I$38*Assumptions!$H$172*'Weights-HB3'!$M$74</f>
        <v>#DIV/0!</v>
      </c>
    </row>
    <row r="53" spans="1:10" ht="15.5">
      <c r="A53" s="964" t="s">
        <v>2312</v>
      </c>
      <c r="B53" s="968" t="e">
        <f t="shared" ref="B53:I53" si="2">SUM(B44:B52)</f>
        <v>#DIV/0!</v>
      </c>
      <c r="C53" s="968" t="e">
        <f t="shared" si="2"/>
        <v>#DIV/0!</v>
      </c>
      <c r="D53" s="968" t="e">
        <f t="shared" si="2"/>
        <v>#DIV/0!</v>
      </c>
      <c r="E53" s="968" t="e">
        <f t="shared" si="2"/>
        <v>#DIV/0!</v>
      </c>
      <c r="F53" s="968" t="e">
        <f t="shared" si="2"/>
        <v>#DIV/0!</v>
      </c>
      <c r="G53" s="968" t="e">
        <f t="shared" si="2"/>
        <v>#DIV/0!</v>
      </c>
      <c r="H53" s="968" t="e">
        <f t="shared" si="2"/>
        <v>#DIV/0!</v>
      </c>
      <c r="I53" s="968" t="e">
        <f t="shared" si="2"/>
        <v>#DIV/0!</v>
      </c>
    </row>
    <row r="55" spans="1:10" ht="15.5">
      <c r="B55" s="1894" t="s">
        <v>7367</v>
      </c>
      <c r="C55" s="1894" t="s">
        <v>7367</v>
      </c>
      <c r="D55" s="1894" t="s">
        <v>7367</v>
      </c>
      <c r="E55" s="1894" t="s">
        <v>7367</v>
      </c>
      <c r="F55" s="1894" t="s">
        <v>7367</v>
      </c>
      <c r="G55" s="1894" t="s">
        <v>7367</v>
      </c>
      <c r="H55" s="1894" t="s">
        <v>7367</v>
      </c>
      <c r="I55" s="1894" t="s">
        <v>7367</v>
      </c>
      <c r="J55" s="259" t="s">
        <v>7398</v>
      </c>
    </row>
    <row r="56" spans="1:10" ht="13">
      <c r="B56" s="965" t="s">
        <v>7358</v>
      </c>
      <c r="C56" s="965" t="s">
        <v>7359</v>
      </c>
      <c r="D56" s="965" t="s">
        <v>7360</v>
      </c>
      <c r="E56" s="966" t="s">
        <v>7361</v>
      </c>
      <c r="F56" s="966" t="s">
        <v>10695</v>
      </c>
      <c r="G56" s="966" t="s">
        <v>10696</v>
      </c>
      <c r="H56" s="966" t="s">
        <v>10697</v>
      </c>
      <c r="I56" s="966" t="s">
        <v>10698</v>
      </c>
      <c r="J56" s="986" t="s">
        <v>7853</v>
      </c>
    </row>
    <row r="57" spans="1:10" ht="15.5">
      <c r="A57" s="964" t="s">
        <v>2635</v>
      </c>
      <c r="B57" s="968">
        <f t="shared" ref="B57:I57" si="3">B$71*$J$57</f>
        <v>0</v>
      </c>
      <c r="C57" s="968">
        <f t="shared" si="3"/>
        <v>0</v>
      </c>
      <c r="D57" s="968">
        <f t="shared" si="3"/>
        <v>0</v>
      </c>
      <c r="E57" s="968">
        <f t="shared" si="3"/>
        <v>0</v>
      </c>
      <c r="F57" s="968">
        <f t="shared" si="3"/>
        <v>0</v>
      </c>
      <c r="G57" s="968">
        <f t="shared" si="3"/>
        <v>0</v>
      </c>
      <c r="H57" s="968">
        <f t="shared" si="3"/>
        <v>0</v>
      </c>
      <c r="I57" s="968">
        <f t="shared" si="3"/>
        <v>0</v>
      </c>
      <c r="J57" s="994">
        <f>'DistCharter-Data2425'!J57</f>
        <v>6160</v>
      </c>
    </row>
    <row r="58" spans="1:10" ht="15.5">
      <c r="A58" s="964" t="s">
        <v>7854</v>
      </c>
      <c r="B58" s="1655">
        <f t="shared" ref="B58:I58" si="4">$J$59*B$71</f>
        <v>0</v>
      </c>
      <c r="C58" s="1655">
        <f t="shared" si="4"/>
        <v>0</v>
      </c>
      <c r="D58" s="1655">
        <f t="shared" si="4"/>
        <v>0</v>
      </c>
      <c r="E58" s="1655">
        <f t="shared" si="4"/>
        <v>0</v>
      </c>
      <c r="F58" s="1655">
        <f t="shared" si="4"/>
        <v>0</v>
      </c>
      <c r="G58" s="1655">
        <f t="shared" si="4"/>
        <v>0</v>
      </c>
      <c r="H58" s="1655">
        <f t="shared" si="4"/>
        <v>0</v>
      </c>
      <c r="I58" s="1655">
        <f t="shared" si="4"/>
        <v>0</v>
      </c>
      <c r="J58" s="986" t="s">
        <v>7863</v>
      </c>
    </row>
    <row r="59" spans="1:10" ht="15.5">
      <c r="A59" s="964" t="s">
        <v>2639</v>
      </c>
      <c r="B59" s="968">
        <f>(B$70*$J$57)+(B$20*'Weights-HB3'!$M$14*$J$57+(B$21*'Weights-HB3'!$M$15*$J$57)+(B$22*'Weights-HB3'!$M$16*$J$57)+(B$23*'Weights-HB3'!$M$18*$J$57))</f>
        <v>0</v>
      </c>
      <c r="C59" s="968">
        <f>(C$70*$J$57)+(C$20*'Weights-HB3'!$M$14*$J$57+(C$21*'Weights-HB3'!$M$15*$J$57)+(C$22*'Weights-HB3'!$M$16*$J$57)+(C$23*'Weights-HB3'!$M$18*$J$57))</f>
        <v>0</v>
      </c>
      <c r="D59" s="968">
        <f>(D$70*$J$57)+(D$20*'Weights-HB3'!$M$14*$J$57+(D$21*'Weights-HB3'!$M$15*$J$57)+(D$22*'Weights-HB3'!$M$16*$J$57)+(D$23*'Weights-HB3'!$M$18*$J$57))</f>
        <v>0</v>
      </c>
      <c r="E59" s="968">
        <f>(E$70*$J$57)+(E$20*'Weights-HB3'!$M$14*$J$57+(E$21*'Weights-HB3'!$M$15*$J$57)+(E$22*'Weights-HB3'!$M$16*$J$57)+(E$23*'Weights-HB3'!$M$18*$J$57))</f>
        <v>0</v>
      </c>
      <c r="F59" s="968">
        <f>(F$70*$J$57)+(F$20*'Weights-HB3'!$M$14*$J$57+(F$21*'Weights-HB3'!$M$15*$J$57)+(F$22*'Weights-HB3'!$M$16*$J$57)+(F$23*'Weights-HB3'!$M$18*$J$57))</f>
        <v>0</v>
      </c>
      <c r="G59" s="968">
        <f>(G$70*$J$57)+(G$20*'Weights-HB3'!$M$14*$J$57+(G$21*'Weights-HB3'!$M$15*$J$57)+(G$22*'Weights-HB3'!$M$16*$J$57)+(G$23*'Weights-HB3'!$M$18*$J$57))</f>
        <v>0</v>
      </c>
      <c r="H59" s="968">
        <f>(H$70*$J$57)+(H$20*'Weights-HB3'!$M$14*$J$57+(H$21*'Weights-HB3'!$M$15*$J$57)+(H$22*'Weights-HB3'!$M$16*$J$57)+(H$23*'Weights-HB3'!$M$18*$J$57))</f>
        <v>0</v>
      </c>
      <c r="I59" s="968">
        <f>(I$70*$J$57)+(I$20*'Weights-HB3'!$M$14*$J$57+(I$21*'Weights-HB3'!$M$15*$J$57)+(I$22*'Weights-HB3'!$M$16*$J$57)+(I$23*'Weights-HB3'!$M$18*$J$57))</f>
        <v>0</v>
      </c>
      <c r="J59" s="994">
        <f>'DistCharter-Data2425'!J59</f>
        <v>1103</v>
      </c>
    </row>
    <row r="60" spans="1:10" ht="15.5">
      <c r="A60" s="964" t="s">
        <v>7436</v>
      </c>
      <c r="B60" s="1655">
        <f>B$24*'Weights-HB3'!$M$72*$J$57</f>
        <v>0</v>
      </c>
      <c r="C60" s="1655">
        <f>C$24*'Weights-HB3'!$M$72*$J$57</f>
        <v>0</v>
      </c>
      <c r="D60" s="1655">
        <f>D$24*'Weights-HB3'!$M$72*$J$57</f>
        <v>0</v>
      </c>
      <c r="E60" s="1655">
        <f>E$24*'Weights-HB3'!$M$72*$J$57</f>
        <v>0</v>
      </c>
      <c r="F60" s="1655">
        <f>F$24*'Weights-HB3'!$M$72*$J$57</f>
        <v>0</v>
      </c>
      <c r="G60" s="1655">
        <f>G$24*'Weights-HB3'!$M$72*$J$57</f>
        <v>0</v>
      </c>
      <c r="H60" s="1655">
        <f>H$24*'Weights-HB3'!$M$72*$J$57</f>
        <v>0</v>
      </c>
      <c r="I60" s="1655">
        <f>I$24*'Weights-HB3'!$M$72*$J$57</f>
        <v>0</v>
      </c>
      <c r="J60" s="2043">
        <f>J57+J59</f>
        <v>7263</v>
      </c>
    </row>
    <row r="61" spans="1:10" ht="15.5">
      <c r="A61" s="964" t="s">
        <v>7363</v>
      </c>
      <c r="B61" s="968">
        <f>(B$25*'Weights-HB3'!$M$21*$J$60)+(B$26*'Weights-HB3'!$M$22*$J$60)+(B$27*'Weights-HB3'!$M$23*$J$60)</f>
        <v>0</v>
      </c>
      <c r="C61" s="968">
        <f>(C$25*'Weights-HB3'!$M$21*$J$60)+(C$26*'Weights-HB3'!$M$22*$J$60)+(C$27*'Weights-HB3'!$M$23*$J$60)</f>
        <v>0</v>
      </c>
      <c r="D61" s="968">
        <f>(D$25*'Weights-HB3'!$M$21*$J$60)+(D$26*'Weights-HB3'!$M$22*$J$60)+(D$27*'Weights-HB3'!$M$23*$J$60)</f>
        <v>0</v>
      </c>
      <c r="E61" s="968">
        <f>(E$25*'Weights-HB3'!$M$21*$J$60)+(E$26*'Weights-HB3'!$M$22*$J$60)+(E$27*'Weights-HB3'!$M$23*$J$60)</f>
        <v>0</v>
      </c>
      <c r="F61" s="968">
        <f>(F$25*'Weights-HB3'!$M$21*$J$60)+(F$26*'Weights-HB3'!$M$22*$J$60)+(F$27*'Weights-HB3'!$M$23*$J$60)</f>
        <v>0</v>
      </c>
      <c r="G61" s="968">
        <f>(G$25*'Weights-HB3'!$M$21*$J$60)+(G$26*'Weights-HB3'!$M$22*$J$60)+(G$27*'Weights-HB3'!$M$23*$J$60)</f>
        <v>0</v>
      </c>
      <c r="H61" s="968">
        <f>(H$25*'Weights-HB3'!$M$21*$J$60)+(H$26*'Weights-HB3'!$M$22*$J$60)+(H$27*'Weights-HB3'!$M$23*$J$60)</f>
        <v>0</v>
      </c>
      <c r="I61" s="968">
        <f>(I$25*'Weights-HB3'!$M$21*$J$60)+(I$26*'Weights-HB3'!$M$22*$J$60)+(I$27*'Weights-HB3'!$M$23*$J$60)</f>
        <v>0</v>
      </c>
    </row>
    <row r="62" spans="1:10" ht="15.5">
      <c r="A62" s="964" t="s">
        <v>7364</v>
      </c>
      <c r="B62" s="968">
        <f>(B$28*$J$57*'Weights-HB3'!$M$36)+(B$29*$J$57*'Weights-HB3'!$M$37)+(B$30*$J$57*'Weights-HB3'!$M$38)+(B$31*$J$57*'Weights-HB3'!$M$39)+(B$32*$J$57*'Weights-HB3'!$M$40)+(B$33*$J$57*'Weights-HB3'!$M$43)</f>
        <v>0</v>
      </c>
      <c r="C62" s="968">
        <f>(C$28*$J$57*'Weights-HB3'!$M$36)+(C$29*$J$57*'Weights-HB3'!$M$37)+(C$30*$J$57*'Weights-HB3'!$M$38)+(C$31*$J$57*'Weights-HB3'!$M$39)+(C$32*$J$57*'Weights-HB3'!$M$40)+(C$33*$J$57*'Weights-HB3'!$M$43)</f>
        <v>0</v>
      </c>
      <c r="D62" s="968">
        <f>(D$28*$J$57*'Weights-HB3'!$M$36)+(D$29*$J$57*'Weights-HB3'!$M$37)+(D$30*$J$57*'Weights-HB3'!$M$38)+(D$31*$J$57*'Weights-HB3'!$M$39)+(D$32*$J$57*'Weights-HB3'!$M$40)+(D$33*$J$57*'Weights-HB3'!$M$43)</f>
        <v>0</v>
      </c>
      <c r="E62" s="968">
        <f>(E$28*$J$57*'Weights-HB3'!$M$36)+(E$29*$J$57*'Weights-HB3'!$M$37)+(E$30*$J$57*'Weights-HB3'!$M$38)+(E$31*$J$57*'Weights-HB3'!$M$39)+(E$32*$J$57*'Weights-HB3'!$M$40)+(E$33*$J$57*'Weights-HB3'!$M$43)</f>
        <v>0</v>
      </c>
      <c r="F62" s="968">
        <f>(F$28*$J$57*'Weights-HB3'!$M$36)+(F$29*$J$57*'Weights-HB3'!$M$37)+(F$30*$J$57*'Weights-HB3'!$M$38)+(F$31*$J$57*'Weights-HB3'!$M$39)+(F$32*$J$57*'Weights-HB3'!$M$40)+(F$33*$J$57*'Weights-HB3'!$M$43)</f>
        <v>0</v>
      </c>
      <c r="G62" s="968">
        <f>(G$28*$J$57*'Weights-HB3'!$M$36)+(G$29*$J$57*'Weights-HB3'!$M$37)+(G$30*$J$57*'Weights-HB3'!$M$38)+(G$31*$J$57*'Weights-HB3'!$M$39)+(G$32*$J$57*'Weights-HB3'!$M$40)+(G$33*$J$57*'Weights-HB3'!$M$43)</f>
        <v>0</v>
      </c>
      <c r="H62" s="968">
        <f>(H$28*$J$57*'Weights-HB3'!$M$36)+(H$29*$J$57*'Weights-HB3'!$M$37)+(H$30*$J$57*'Weights-HB3'!$M$38)+(H$31*$J$57*'Weights-HB3'!$M$39)+(H$32*$J$57*'Weights-HB3'!$M$40)+(H$33*$J$57*'Weights-HB3'!$M$43)</f>
        <v>0</v>
      </c>
      <c r="I62" s="968">
        <f>(I$28*$J$57*'Weights-HB3'!$M$36)+(I$29*$J$57*'Weights-HB3'!$M$37)+(I$30*$J$57*'Weights-HB3'!$M$38)+(I$31*$J$57*'Weights-HB3'!$M$39)+(I$32*$J$57*'Weights-HB3'!$M$40)+(I$33*$J$57*'Weights-HB3'!$M$43)</f>
        <v>0</v>
      </c>
    </row>
    <row r="63" spans="1:10" ht="15.5">
      <c r="A63" s="964" t="s">
        <v>2642</v>
      </c>
      <c r="B63" s="968">
        <f>B$34*$J$57*'Weights-HB3'!$M$31</f>
        <v>0</v>
      </c>
      <c r="C63" s="968">
        <f>C$34*$J$57*'Weights-HB3'!$M$31</f>
        <v>0</v>
      </c>
      <c r="D63" s="968">
        <f>D$34*$J$57*'Weights-HB3'!$M$31</f>
        <v>0</v>
      </c>
      <c r="E63" s="968">
        <f>E$34*$J$57*'Weights-HB3'!$M$31</f>
        <v>0</v>
      </c>
      <c r="F63" s="968">
        <f>F$34*$J$57*'Weights-HB3'!$M$31</f>
        <v>0</v>
      </c>
      <c r="G63" s="968">
        <f>G$34*$J$57*'Weights-HB3'!$M$31</f>
        <v>0</v>
      </c>
      <c r="H63" s="968">
        <f>H$34*$J$57*'Weights-HB3'!$M$31</f>
        <v>0</v>
      </c>
      <c r="I63" s="968">
        <f>I$34*$J$57*'Weights-HB3'!$M$31</f>
        <v>0</v>
      </c>
    </row>
    <row r="64" spans="1:10" ht="15.5">
      <c r="A64" s="964" t="s">
        <v>7365</v>
      </c>
      <c r="B64" s="968">
        <f>(B$35*$J$57*'Weights-HB3'!$M$26)+(B$36*$J$57*'Weights-HB3'!$M$27)+(B$37*$J$57*'Weights-HB3'!$M$28)</f>
        <v>0</v>
      </c>
      <c r="C64" s="968">
        <f>(C$35*$J$57*'Weights-HB3'!$M$26)+(C$36*$J$57*'Weights-HB3'!$M$27)+(C$37*$J$57*'Weights-HB3'!$M$28)</f>
        <v>0</v>
      </c>
      <c r="D64" s="968">
        <f>(D$35*$J$57*'Weights-HB3'!$M$26)+(D$36*$J$57*'Weights-HB3'!$M$27)+(D$37*$J$57*'Weights-HB3'!$M$28)</f>
        <v>0</v>
      </c>
      <c r="E64" s="968">
        <f>(E$35*$J$57*'Weights-HB3'!$M$26)+(E$36*$J$57*'Weights-HB3'!$M$27)+(E$37*$J$57*'Weights-HB3'!$M$28)</f>
        <v>0</v>
      </c>
      <c r="F64" s="968">
        <f>(F$35*$J$57*'Weights-HB3'!$M$26)+(F$36*$J$57*'Weights-HB3'!$M$27)+(F$37*$J$57*'Weights-HB3'!$M$28)</f>
        <v>0</v>
      </c>
      <c r="G64" s="968">
        <f>(G$35*$J$57*'Weights-HB3'!$M$26)+(G$36*$J$57*'Weights-HB3'!$M$27)+(G$37*$J$57*'Weights-HB3'!$M$28)</f>
        <v>0</v>
      </c>
      <c r="H64" s="968">
        <f>(H$35*$J$57*'Weights-HB3'!$M$26)+(H$36*$J$57*'Weights-HB3'!$M$27)+(H$37*$J$57*'Weights-HB3'!$M$28)</f>
        <v>0</v>
      </c>
      <c r="I64" s="968">
        <f>(I$35*$J$57*'Weights-HB3'!$M$26)+(I$36*$J$57*'Weights-HB3'!$M$27)+(I$37*$J$57*'Weights-HB3'!$M$28)</f>
        <v>0</v>
      </c>
    </row>
    <row r="65" spans="1:9" ht="15.5">
      <c r="A65" s="964" t="s">
        <v>7628</v>
      </c>
      <c r="B65" s="968">
        <f>B$38*$J$57*'Weights-HB3'!$M$74</f>
        <v>0</v>
      </c>
      <c r="C65" s="968">
        <f>C$38*$J$57*'Weights-HB3'!$M$74</f>
        <v>0</v>
      </c>
      <c r="D65" s="968">
        <f>D$38*$J$57*'Weights-HB3'!$M$74</f>
        <v>0</v>
      </c>
      <c r="E65" s="968">
        <f>E$38*$J$57*'Weights-HB3'!$M$74</f>
        <v>0</v>
      </c>
      <c r="F65" s="968">
        <f>F$38*$J$57*'Weights-HB3'!$M$74</f>
        <v>0</v>
      </c>
      <c r="G65" s="968">
        <f>G$38*$J$57*'Weights-HB3'!$M$74</f>
        <v>0</v>
      </c>
      <c r="H65" s="968">
        <f>H$38*$J$57*'Weights-HB3'!$M$74</f>
        <v>0</v>
      </c>
      <c r="I65" s="968">
        <f>I$38*$J$57*'Weights-HB3'!$M$74</f>
        <v>0</v>
      </c>
    </row>
    <row r="66" spans="1:9" ht="15.5">
      <c r="A66" s="964" t="s">
        <v>2312</v>
      </c>
      <c r="B66" s="968">
        <f t="shared" ref="B66:I66" si="5">SUM(B57:B65)</f>
        <v>0</v>
      </c>
      <c r="C66" s="968">
        <f t="shared" si="5"/>
        <v>0</v>
      </c>
      <c r="D66" s="968">
        <f t="shared" si="5"/>
        <v>0</v>
      </c>
      <c r="E66" s="968">
        <f t="shared" si="5"/>
        <v>0</v>
      </c>
      <c r="F66" s="968">
        <f t="shared" si="5"/>
        <v>0</v>
      </c>
      <c r="G66" s="968">
        <f t="shared" si="5"/>
        <v>0</v>
      </c>
      <c r="H66" s="968">
        <f t="shared" si="5"/>
        <v>0</v>
      </c>
      <c r="I66" s="968">
        <f t="shared" si="5"/>
        <v>0</v>
      </c>
    </row>
    <row r="69" spans="1:9">
      <c r="A69" s="2042" t="s">
        <v>7368</v>
      </c>
      <c r="B69" s="967">
        <f t="shared" ref="B69:I69" si="6">SUM(B13:B20)+B22</f>
        <v>0</v>
      </c>
      <c r="C69" s="967">
        <f t="shared" si="6"/>
        <v>0</v>
      </c>
      <c r="D69" s="967">
        <f t="shared" si="6"/>
        <v>0</v>
      </c>
      <c r="E69" s="967">
        <f t="shared" si="6"/>
        <v>0</v>
      </c>
      <c r="F69" s="967">
        <f t="shared" si="6"/>
        <v>0</v>
      </c>
      <c r="G69" s="967">
        <f t="shared" si="6"/>
        <v>0</v>
      </c>
      <c r="H69" s="967">
        <f t="shared" si="6"/>
        <v>0</v>
      </c>
      <c r="I69" s="967">
        <f t="shared" si="6"/>
        <v>0</v>
      </c>
    </row>
    <row r="70" spans="1:9">
      <c r="A70" s="2042" t="s">
        <v>7369</v>
      </c>
      <c r="B70" s="967">
        <f t="shared" ref="B70:I70" si="7">J20</f>
        <v>0</v>
      </c>
      <c r="C70" s="967">
        <f t="shared" si="7"/>
        <v>0</v>
      </c>
      <c r="D70" s="967">
        <f t="shared" si="7"/>
        <v>0</v>
      </c>
      <c r="E70" s="967">
        <f t="shared" si="7"/>
        <v>0</v>
      </c>
      <c r="F70" s="967">
        <f t="shared" si="7"/>
        <v>0</v>
      </c>
      <c r="G70" s="967">
        <f t="shared" si="7"/>
        <v>0</v>
      </c>
      <c r="H70" s="967">
        <f t="shared" si="7"/>
        <v>0</v>
      </c>
      <c r="I70" s="967">
        <f t="shared" si="7"/>
        <v>0</v>
      </c>
    </row>
    <row r="71" spans="1:9">
      <c r="A71" s="2042" t="s">
        <v>7370</v>
      </c>
      <c r="B71" s="967">
        <f t="shared" ref="B71:I71" si="8">B11-B69-B25-B26-B27</f>
        <v>0</v>
      </c>
      <c r="C71" s="967">
        <f t="shared" si="8"/>
        <v>0</v>
      </c>
      <c r="D71" s="967">
        <f t="shared" si="8"/>
        <v>0</v>
      </c>
      <c r="E71" s="967">
        <f t="shared" si="8"/>
        <v>0</v>
      </c>
      <c r="F71" s="967">
        <f t="shared" si="8"/>
        <v>0</v>
      </c>
      <c r="G71" s="967">
        <f t="shared" si="8"/>
        <v>0</v>
      </c>
      <c r="H71" s="967">
        <f t="shared" si="8"/>
        <v>0</v>
      </c>
      <c r="I71" s="967">
        <f t="shared" si="8"/>
        <v>0</v>
      </c>
    </row>
    <row r="74" spans="1:9" s="2040" customFormat="1" ht="15.5">
      <c r="A74" s="1657" t="s">
        <v>2768</v>
      </c>
    </row>
    <row r="75" spans="1:9" s="2040" customFormat="1" ht="15.5">
      <c r="B75" s="1894" t="s">
        <v>7366</v>
      </c>
      <c r="C75" s="1894" t="s">
        <v>7366</v>
      </c>
      <c r="D75" s="1894" t="s">
        <v>7366</v>
      </c>
      <c r="E75" s="1894" t="s">
        <v>7366</v>
      </c>
      <c r="F75" s="1894" t="s">
        <v>7366</v>
      </c>
      <c r="G75" s="1894" t="s">
        <v>7366</v>
      </c>
      <c r="H75" s="1894" t="s">
        <v>7366</v>
      </c>
      <c r="I75" s="1894" t="s">
        <v>7366</v>
      </c>
    </row>
    <row r="76" spans="1:9" s="2040" customFormat="1" ht="15.5">
      <c r="B76" s="965" t="s">
        <v>7358</v>
      </c>
      <c r="C76" s="965" t="s">
        <v>7359</v>
      </c>
      <c r="D76" s="965" t="s">
        <v>7360</v>
      </c>
      <c r="E76" s="966" t="s">
        <v>7361</v>
      </c>
      <c r="F76" s="966" t="s">
        <v>10695</v>
      </c>
      <c r="G76" s="966" t="s">
        <v>10696</v>
      </c>
      <c r="H76" s="966" t="s">
        <v>10697</v>
      </c>
      <c r="I76" s="966" t="s">
        <v>10698</v>
      </c>
    </row>
    <row r="77" spans="1:9" s="2040" customFormat="1" ht="15.5">
      <c r="A77" s="969" t="s">
        <v>7378</v>
      </c>
      <c r="B77" s="976" t="e">
        <f>Assumptions!$H$173*B$89*'Calc Data'!$H$105*100</f>
        <v>#DIV/0!</v>
      </c>
      <c r="C77" s="976" t="e">
        <f>Assumptions!$H$173*C$89*'Calc Data'!$H$105*100</f>
        <v>#DIV/0!</v>
      </c>
      <c r="D77" s="976" t="e">
        <f>Assumptions!$H$173*D$89*'Calc Data'!$H$105*100</f>
        <v>#DIV/0!</v>
      </c>
      <c r="E77" s="976" t="e">
        <f>Assumptions!$H$173*E$89*'Calc Data'!$H$105*100</f>
        <v>#DIV/0!</v>
      </c>
      <c r="F77" s="976" t="e">
        <f>Assumptions!$H$173*F$89*'Calc Data'!$H$105*100</f>
        <v>#DIV/0!</v>
      </c>
      <c r="G77" s="976" t="e">
        <f>Assumptions!$H$173*G$89*'Calc Data'!$H$105*100</f>
        <v>#DIV/0!</v>
      </c>
      <c r="H77" s="976" t="e">
        <f>Assumptions!$H$173*H$89*'Calc Data'!$H$105*100</f>
        <v>#DIV/0!</v>
      </c>
      <c r="I77" s="976" t="e">
        <f>Assumptions!$H$173*I$89*'Calc Data'!$H$105*100</f>
        <v>#DIV/0!</v>
      </c>
    </row>
    <row r="78" spans="1:9" s="2040" customFormat="1" ht="15.5">
      <c r="A78" s="969" t="s">
        <v>7379</v>
      </c>
      <c r="B78" s="976" t="e">
        <f>Assumptions!$H$174*B$89*'Calc Data'!$H$110*100</f>
        <v>#DIV/0!</v>
      </c>
      <c r="C78" s="976" t="e">
        <f>Assumptions!$H$174*C$89*'Calc Data'!$H$110*100</f>
        <v>#DIV/0!</v>
      </c>
      <c r="D78" s="976" t="e">
        <f>Assumptions!$H$174*D$89*'Calc Data'!$H$110*100</f>
        <v>#DIV/0!</v>
      </c>
      <c r="E78" s="976" t="e">
        <f>Assumptions!$H$174*E$89*'Calc Data'!$H$110*100</f>
        <v>#DIV/0!</v>
      </c>
      <c r="F78" s="976" t="e">
        <f>Assumptions!$H$174*F$89*'Calc Data'!$H$110*100</f>
        <v>#DIV/0!</v>
      </c>
      <c r="G78" s="976" t="e">
        <f>Assumptions!$H$174*G$89*'Calc Data'!$H$110*100</f>
        <v>#DIV/0!</v>
      </c>
      <c r="H78" s="976" t="e">
        <f>Assumptions!$H$174*H$89*'Calc Data'!$H$110*100</f>
        <v>#DIV/0!</v>
      </c>
      <c r="I78" s="976" t="e">
        <f>Assumptions!$H$174*I$89*'Calc Data'!$H$110*100</f>
        <v>#DIV/0!</v>
      </c>
    </row>
    <row r="79" spans="1:9" s="2040" customFormat="1" ht="15.5">
      <c r="A79" s="969" t="s">
        <v>2312</v>
      </c>
      <c r="B79" s="973" t="e">
        <f>B77+B78</f>
        <v>#DIV/0!</v>
      </c>
      <c r="C79" s="973" t="e">
        <f t="shared" ref="C79:E79" si="9">C77+C78</f>
        <v>#DIV/0!</v>
      </c>
      <c r="D79" s="973" t="e">
        <f t="shared" si="9"/>
        <v>#DIV/0!</v>
      </c>
      <c r="E79" s="973" t="e">
        <f t="shared" si="9"/>
        <v>#DIV/0!</v>
      </c>
      <c r="F79" s="973" t="e">
        <f t="shared" ref="F79:G79" si="10">F77+F78</f>
        <v>#DIV/0!</v>
      </c>
      <c r="G79" s="973" t="e">
        <f t="shared" si="10"/>
        <v>#DIV/0!</v>
      </c>
      <c r="H79" s="973" t="e">
        <f t="shared" ref="H79:I79" si="11">H77+H78</f>
        <v>#DIV/0!</v>
      </c>
      <c r="I79" s="973" t="e">
        <f t="shared" si="11"/>
        <v>#DIV/0!</v>
      </c>
    </row>
    <row r="80" spans="1:9" s="2040" customFormat="1" ht="15.5">
      <c r="A80" s="969"/>
    </row>
    <row r="81" spans="1:11" s="2040" customFormat="1" ht="15.5">
      <c r="A81" s="969"/>
      <c r="B81" s="1894" t="s">
        <v>7367</v>
      </c>
      <c r="C81" s="1894" t="s">
        <v>7367</v>
      </c>
      <c r="D81" s="1894" t="s">
        <v>7367</v>
      </c>
      <c r="E81" s="1894" t="s">
        <v>7367</v>
      </c>
      <c r="F81" s="1894" t="s">
        <v>7367</v>
      </c>
      <c r="G81" s="1894" t="s">
        <v>7367</v>
      </c>
      <c r="H81" s="1894" t="s">
        <v>7367</v>
      </c>
      <c r="I81" s="1894" t="s">
        <v>7367</v>
      </c>
    </row>
    <row r="82" spans="1:11" s="2040" customFormat="1" ht="15.5">
      <c r="A82" s="969"/>
      <c r="B82" s="965" t="s">
        <v>7358</v>
      </c>
      <c r="C82" s="965" t="s">
        <v>7359</v>
      </c>
      <c r="D82" s="965" t="s">
        <v>7360</v>
      </c>
      <c r="E82" s="966" t="s">
        <v>7361</v>
      </c>
      <c r="F82" s="966" t="s">
        <v>10695</v>
      </c>
      <c r="G82" s="966" t="s">
        <v>10696</v>
      </c>
      <c r="H82" s="966" t="s">
        <v>10697</v>
      </c>
      <c r="I82" s="966" t="s">
        <v>10698</v>
      </c>
      <c r="J82" s="259" t="s">
        <v>7398</v>
      </c>
    </row>
    <row r="83" spans="1:11" s="2040" customFormat="1" ht="15.5">
      <c r="A83" s="969" t="s">
        <v>7378</v>
      </c>
      <c r="B83" s="976">
        <f>Assumptions!$H$173*B$93*$J$84*100</f>
        <v>0</v>
      </c>
      <c r="C83" s="976">
        <f>Assumptions!$H$173*C$93*$J$84*100</f>
        <v>0</v>
      </c>
      <c r="D83" s="976">
        <f>Assumptions!$H$173*D$93*$J$84*100</f>
        <v>0</v>
      </c>
      <c r="E83" s="976">
        <f>Assumptions!$H$173*E$93*$J$84*100</f>
        <v>0</v>
      </c>
      <c r="F83" s="976">
        <f>Assumptions!$H$173*F$93*$J$84*100</f>
        <v>0</v>
      </c>
      <c r="G83" s="976">
        <f>Assumptions!$H$173*G$93*$J$84*100</f>
        <v>0</v>
      </c>
      <c r="H83" s="976">
        <f>Assumptions!$H$173*H$93*$J$84*100</f>
        <v>0</v>
      </c>
      <c r="I83" s="976">
        <f>Assumptions!$H$173*I$93*$J$84*100</f>
        <v>0</v>
      </c>
      <c r="J83" s="1658" t="s">
        <v>7380</v>
      </c>
    </row>
    <row r="84" spans="1:11" s="2040" customFormat="1" ht="15.5">
      <c r="A84" s="969" t="s">
        <v>7379</v>
      </c>
      <c r="B84" s="976">
        <f>Assumptions!$H$174*B$93*$J$85*100</f>
        <v>0</v>
      </c>
      <c r="C84" s="976">
        <f>Assumptions!$H$174*C$93*$J$85*100</f>
        <v>0</v>
      </c>
      <c r="D84" s="976">
        <f>Assumptions!$H$174*D$93*$J$85*100</f>
        <v>0</v>
      </c>
      <c r="E84" s="976">
        <f>Assumptions!$H$174*E$93*$J$85*100</f>
        <v>0</v>
      </c>
      <c r="F84" s="976">
        <f>Assumptions!$H$174*F$93*$J$85*100</f>
        <v>0</v>
      </c>
      <c r="G84" s="976">
        <f>Assumptions!$H$174*G$93*$J$85*100</f>
        <v>0</v>
      </c>
      <c r="H84" s="976">
        <f>Assumptions!$H$174*H$93*$J$85*100</f>
        <v>0</v>
      </c>
      <c r="I84" s="976">
        <f>Assumptions!$H$174*I$93*$J$85*100</f>
        <v>0</v>
      </c>
      <c r="J84" s="974">
        <f>'DistCharter-Data2425'!J84</f>
        <v>6.3600000000000004E-2</v>
      </c>
      <c r="K84" s="2042"/>
    </row>
    <row r="85" spans="1:11" s="2040" customFormat="1" ht="15.5">
      <c r="A85" s="969" t="s">
        <v>2312</v>
      </c>
      <c r="B85" s="976">
        <f>B83+B84</f>
        <v>0</v>
      </c>
      <c r="C85" s="976">
        <f t="shared" ref="C85:E85" si="12">C83+C84</f>
        <v>0</v>
      </c>
      <c r="D85" s="976">
        <f t="shared" si="12"/>
        <v>0</v>
      </c>
      <c r="E85" s="976">
        <f t="shared" si="12"/>
        <v>0</v>
      </c>
      <c r="F85" s="976">
        <f t="shared" ref="F85:G85" si="13">F83+F84</f>
        <v>0</v>
      </c>
      <c r="G85" s="976">
        <f t="shared" si="13"/>
        <v>0</v>
      </c>
      <c r="H85" s="976">
        <f t="shared" ref="H85:I85" si="14">H83+H84</f>
        <v>0</v>
      </c>
      <c r="I85" s="976">
        <f t="shared" si="14"/>
        <v>0</v>
      </c>
      <c r="J85" s="975">
        <f>'DistCharter-Data2425'!J85</f>
        <v>2.63E-2</v>
      </c>
      <c r="K85" s="2042"/>
    </row>
    <row r="86" spans="1:11" s="2040" customFormat="1" ht="15.5">
      <c r="A86" s="969"/>
    </row>
    <row r="87" spans="1:11" s="2040" customFormat="1" ht="15.5">
      <c r="A87" s="969"/>
      <c r="B87" s="1894" t="s">
        <v>7366</v>
      </c>
      <c r="C87" s="1894" t="s">
        <v>7366</v>
      </c>
      <c r="D87" s="1894" t="s">
        <v>7366</v>
      </c>
      <c r="E87" s="1894" t="s">
        <v>7366</v>
      </c>
      <c r="F87" s="1894" t="s">
        <v>7366</v>
      </c>
      <c r="G87" s="1894" t="s">
        <v>7366</v>
      </c>
      <c r="H87" s="1894" t="s">
        <v>7366</v>
      </c>
      <c r="I87" s="1894" t="s">
        <v>7366</v>
      </c>
    </row>
    <row r="88" spans="1:11" s="2040" customFormat="1" ht="15.5">
      <c r="A88" s="978" t="s">
        <v>7387</v>
      </c>
      <c r="B88" s="987" t="e">
        <f>Assumptions!H172</f>
        <v>#DIV/0!</v>
      </c>
      <c r="C88" s="981" t="e">
        <f t="shared" ref="C88:I88" si="15">B88</f>
        <v>#DIV/0!</v>
      </c>
      <c r="D88" s="981" t="e">
        <f t="shared" si="15"/>
        <v>#DIV/0!</v>
      </c>
      <c r="E88" s="981" t="e">
        <f t="shared" si="15"/>
        <v>#DIV/0!</v>
      </c>
      <c r="F88" s="981" t="e">
        <f t="shared" si="15"/>
        <v>#DIV/0!</v>
      </c>
      <c r="G88" s="981" t="e">
        <f t="shared" si="15"/>
        <v>#DIV/0!</v>
      </c>
      <c r="H88" s="981" t="e">
        <f t="shared" si="15"/>
        <v>#DIV/0!</v>
      </c>
      <c r="I88" s="981" t="e">
        <f t="shared" si="15"/>
        <v>#DIV/0!</v>
      </c>
    </row>
    <row r="89" spans="1:11" s="2040" customFormat="1" ht="15.5">
      <c r="A89" s="978" t="s">
        <v>2429</v>
      </c>
      <c r="B89" s="977" t="e">
        <f t="shared" ref="B89:I89" si="16">B53/B88</f>
        <v>#DIV/0!</v>
      </c>
      <c r="C89" s="977" t="e">
        <f t="shared" si="16"/>
        <v>#DIV/0!</v>
      </c>
      <c r="D89" s="977" t="e">
        <f t="shared" si="16"/>
        <v>#DIV/0!</v>
      </c>
      <c r="E89" s="977" t="e">
        <f t="shared" si="16"/>
        <v>#DIV/0!</v>
      </c>
      <c r="F89" s="977" t="e">
        <f t="shared" si="16"/>
        <v>#DIV/0!</v>
      </c>
      <c r="G89" s="977" t="e">
        <f t="shared" si="16"/>
        <v>#DIV/0!</v>
      </c>
      <c r="H89" s="977" t="e">
        <f t="shared" si="16"/>
        <v>#DIV/0!</v>
      </c>
      <c r="I89" s="977" t="e">
        <f t="shared" si="16"/>
        <v>#DIV/0!</v>
      </c>
    </row>
    <row r="90" spans="1:11" s="2040" customFormat="1" ht="15.5">
      <c r="A90" s="969"/>
    </row>
    <row r="91" spans="1:11" s="2040" customFormat="1" ht="15.5">
      <c r="A91" s="969"/>
      <c r="B91" s="1894" t="s">
        <v>7367</v>
      </c>
      <c r="C91" s="1894" t="s">
        <v>7367</v>
      </c>
      <c r="D91" s="1894" t="s">
        <v>7367</v>
      </c>
      <c r="E91" s="1894" t="s">
        <v>7367</v>
      </c>
      <c r="F91" s="1894" t="s">
        <v>7367</v>
      </c>
      <c r="G91" s="1894" t="s">
        <v>7367</v>
      </c>
      <c r="H91" s="1894" t="s">
        <v>7367</v>
      </c>
      <c r="I91" s="1894" t="s">
        <v>7367</v>
      </c>
    </row>
    <row r="92" spans="1:11" s="2040" customFormat="1" ht="15.5">
      <c r="A92" s="978" t="s">
        <v>7864</v>
      </c>
      <c r="B92" s="1660">
        <f>J57</f>
        <v>6160</v>
      </c>
      <c r="C92" s="976">
        <f t="shared" ref="C92:I92" si="17">B92</f>
        <v>6160</v>
      </c>
      <c r="D92" s="976">
        <f t="shared" si="17"/>
        <v>6160</v>
      </c>
      <c r="E92" s="976">
        <f t="shared" si="17"/>
        <v>6160</v>
      </c>
      <c r="F92" s="976">
        <f t="shared" si="17"/>
        <v>6160</v>
      </c>
      <c r="G92" s="976">
        <f t="shared" si="17"/>
        <v>6160</v>
      </c>
      <c r="H92" s="976">
        <f t="shared" si="17"/>
        <v>6160</v>
      </c>
      <c r="I92" s="976">
        <f t="shared" si="17"/>
        <v>6160</v>
      </c>
    </row>
    <row r="93" spans="1:11" s="2040" customFormat="1" ht="15.5">
      <c r="A93" s="978" t="s">
        <v>2429</v>
      </c>
      <c r="B93" s="977">
        <f>B66/B92</f>
        <v>0</v>
      </c>
      <c r="C93" s="977">
        <f t="shared" ref="C93:E93" si="18">C66/C92</f>
        <v>0</v>
      </c>
      <c r="D93" s="977">
        <f t="shared" si="18"/>
        <v>0</v>
      </c>
      <c r="E93" s="977">
        <f t="shared" si="18"/>
        <v>0</v>
      </c>
      <c r="F93" s="977">
        <f t="shared" ref="F93:G93" si="19">F66/F92</f>
        <v>0</v>
      </c>
      <c r="G93" s="977">
        <f t="shared" si="19"/>
        <v>0</v>
      </c>
      <c r="H93" s="977">
        <f t="shared" ref="H93:I93" si="20">H66/H92</f>
        <v>0</v>
      </c>
      <c r="I93" s="977">
        <f t="shared" si="20"/>
        <v>0</v>
      </c>
    </row>
    <row r="94" spans="1:11" s="2040" customFormat="1" ht="15.5"/>
    <row r="95" spans="1:11" s="2040" customFormat="1" ht="15.5">
      <c r="A95" s="972" t="s">
        <v>2656</v>
      </c>
    </row>
    <row r="96" spans="1:11" s="2040" customFormat="1" ht="15.5">
      <c r="B96" s="1894" t="s">
        <v>7367</v>
      </c>
      <c r="C96" s="1894" t="s">
        <v>7367</v>
      </c>
      <c r="D96" s="1894" t="s">
        <v>7367</v>
      </c>
      <c r="E96" s="1894" t="s">
        <v>7367</v>
      </c>
      <c r="F96" s="1894" t="s">
        <v>7367</v>
      </c>
      <c r="G96" s="1894" t="s">
        <v>7367</v>
      </c>
      <c r="H96" s="1894" t="s">
        <v>7367</v>
      </c>
      <c r="I96" s="1894" t="s">
        <v>7367</v>
      </c>
      <c r="J96" s="259" t="s">
        <v>7398</v>
      </c>
    </row>
    <row r="97" spans="1:12" s="2040" customFormat="1" ht="15.5">
      <c r="B97" s="965" t="s">
        <v>7358</v>
      </c>
      <c r="C97" s="965" t="s">
        <v>7359</v>
      </c>
      <c r="D97" s="965" t="s">
        <v>7360</v>
      </c>
      <c r="E97" s="966" t="s">
        <v>7361</v>
      </c>
      <c r="F97" s="966" t="s">
        <v>10695</v>
      </c>
      <c r="G97" s="966" t="s">
        <v>10696</v>
      </c>
      <c r="H97" s="966" t="s">
        <v>10697</v>
      </c>
      <c r="I97" s="966" t="s">
        <v>10698</v>
      </c>
      <c r="J97" s="1659" t="s">
        <v>7865</v>
      </c>
    </row>
    <row r="98" spans="1:12" s="2040" customFormat="1" ht="15.5">
      <c r="A98" s="2040" t="s">
        <v>7381</v>
      </c>
      <c r="B98" s="976">
        <f t="shared" ref="B98:I98" si="21">B11*$J$98*$J$99*100</f>
        <v>0</v>
      </c>
      <c r="C98" s="976">
        <f t="shared" si="21"/>
        <v>0</v>
      </c>
      <c r="D98" s="976">
        <f t="shared" si="21"/>
        <v>0</v>
      </c>
      <c r="E98" s="976">
        <f t="shared" si="21"/>
        <v>0</v>
      </c>
      <c r="F98" s="976">
        <f t="shared" si="21"/>
        <v>0</v>
      </c>
      <c r="G98" s="976">
        <f t="shared" si="21"/>
        <v>0</v>
      </c>
      <c r="H98" s="976">
        <f t="shared" si="21"/>
        <v>0</v>
      </c>
      <c r="I98" s="976">
        <f t="shared" si="21"/>
        <v>0</v>
      </c>
      <c r="J98" s="979">
        <v>4.5999999999999999E-2</v>
      </c>
      <c r="K98" s="2042"/>
    </row>
    <row r="99" spans="1:12" s="2040" customFormat="1" ht="15.5">
      <c r="J99" s="1662">
        <v>39.4</v>
      </c>
      <c r="K99" s="1661" t="s">
        <v>7866</v>
      </c>
      <c r="L99" s="2042"/>
    </row>
    <row r="100" spans="1:12" s="2040" customFormat="1" ht="15.5"/>
    <row r="101" spans="1:12" s="2040" customFormat="1" ht="15.5"/>
    <row r="102" spans="1:12" s="2040" customFormat="1" ht="15.5"/>
    <row r="103" spans="1:12" s="2040" customFormat="1" ht="15.5"/>
    <row r="104" spans="1:12" s="2040" customFormat="1" ht="15.5"/>
    <row r="105" spans="1:12" s="2040" customFormat="1" ht="15.5"/>
    <row r="106" spans="1:12" s="2040" customFormat="1" ht="15.5"/>
    <row r="107" spans="1:12" s="2040" customFormat="1" ht="15.5"/>
    <row r="108" spans="1:12" s="2040" customFormat="1" ht="15.5"/>
    <row r="109" spans="1:12" s="2040" customFormat="1" ht="15.5"/>
    <row r="110" spans="1:12" s="2040" customFormat="1" ht="15.5"/>
    <row r="111" spans="1:12" s="2040" customFormat="1" ht="15.5"/>
    <row r="112" spans="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2040" customFormat="1" ht="15.5"/>
    <row r="130" s="2040" customFormat="1" ht="15.5"/>
    <row r="131" s="2040" customFormat="1" ht="15.5"/>
    <row r="132" s="2040" customFormat="1" ht="15.5"/>
    <row r="133" s="2040" customFormat="1" ht="15.5"/>
    <row r="134" s="2040" customFormat="1" ht="15.5"/>
    <row r="135" s="2040" customFormat="1" ht="15.5"/>
    <row r="136" s="2040" customFormat="1" ht="15.5"/>
    <row r="137" s="2040" customFormat="1" ht="15.5"/>
    <row r="138" s="2040" customFormat="1" ht="15.5"/>
    <row r="139" s="2040" customFormat="1" ht="15.5"/>
    <row r="140" s="2040" customFormat="1" ht="15.5"/>
    <row r="141" s="2040" customFormat="1" ht="15.5"/>
    <row r="142" s="2040" customFormat="1" ht="15.5"/>
    <row r="143" s="2040" customFormat="1" ht="15.5"/>
    <row r="144" s="2040" customFormat="1" ht="15.5"/>
    <row r="145" s="2040" customFormat="1" ht="15.5"/>
    <row r="146" s="2040" customFormat="1" ht="15.5"/>
    <row r="147" s="2040" customFormat="1" ht="15.5"/>
    <row r="148" s="2040" customFormat="1" ht="15.5"/>
    <row r="149" s="2040" customFormat="1" ht="15.5"/>
    <row r="150" s="2040" customFormat="1" ht="15.5"/>
    <row r="151" s="2040" customFormat="1" ht="15.5"/>
    <row r="152" s="2040" customFormat="1" ht="15.5"/>
    <row r="153" s="2040" customFormat="1" ht="15.5"/>
    <row r="154" s="2040" customFormat="1" ht="15.5"/>
    <row r="155" s="2040" customFormat="1" ht="15.5"/>
    <row r="156" s="2040" customFormat="1" ht="15.5"/>
    <row r="157" s="2040" customFormat="1" ht="15.5"/>
    <row r="158" s="2040" customFormat="1" ht="15.5"/>
    <row r="159" s="2040" customFormat="1" ht="15.5"/>
    <row r="160" s="2040" customFormat="1" ht="15.5"/>
    <row r="161" s="2040" customFormat="1" ht="15.5"/>
    <row r="162" s="2040" customFormat="1" ht="15.5"/>
    <row r="163" s="2040" customFormat="1" ht="15.5"/>
    <row r="164" s="2040" customFormat="1" ht="15.5"/>
    <row r="165" s="2040" customFormat="1" ht="15.5"/>
    <row r="166" s="2040" customFormat="1" ht="15.5"/>
    <row r="167" s="2040" customFormat="1" ht="15.5"/>
    <row r="168" s="2040" customFormat="1" ht="15.5"/>
    <row r="169" s="2040" customFormat="1" ht="15.5"/>
    <row r="170" s="2040" customFormat="1" ht="15.5"/>
    <row r="171" s="2040" customFormat="1" ht="15.5"/>
    <row r="172" s="2040" customFormat="1" ht="15.5"/>
    <row r="173" s="2040" customFormat="1" ht="15.5"/>
    <row r="174" s="2040" customFormat="1" ht="15.5"/>
    <row r="175" s="2040" customFormat="1" ht="15.5"/>
    <row r="176" s="2040" customFormat="1" ht="15.5"/>
    <row r="177" s="2040" customFormat="1" ht="15.5"/>
    <row r="178" s="2040" customFormat="1" ht="15.5"/>
    <row r="179" s="2040" customFormat="1" ht="15.5"/>
    <row r="180" s="2040" customFormat="1" ht="15.5"/>
    <row r="181" s="2040" customFormat="1" ht="15.5"/>
    <row r="182" s="2040" customFormat="1" ht="15.5"/>
    <row r="183" s="2040" customFormat="1" ht="15.5"/>
    <row r="184" s="2040" customFormat="1" ht="15.5"/>
    <row r="185" s="2040" customFormat="1" ht="15.5"/>
    <row r="186" s="2040" customFormat="1" ht="15.5"/>
    <row r="187" s="2040" customFormat="1" ht="15.5"/>
    <row r="188" s="2040" customFormat="1" ht="15.5"/>
    <row r="189" s="2040" customFormat="1" ht="15.5"/>
    <row r="190" s="2040" customFormat="1" ht="15.5"/>
    <row r="191" s="2040" customFormat="1" ht="15.5"/>
    <row r="192" s="2040" customFormat="1" ht="15.5"/>
    <row r="193" s="2040" customFormat="1" ht="15.5"/>
    <row r="194" s="2040" customFormat="1" ht="15.5"/>
    <row r="195" s="2040" customFormat="1" ht="15.5"/>
    <row r="196" s="2040" customFormat="1" ht="15.5"/>
    <row r="197" s="2040" customFormat="1" ht="15.5"/>
    <row r="198" s="2040" customFormat="1" ht="15.5"/>
    <row r="199" s="2040" customFormat="1" ht="15.5"/>
    <row r="200" s="2040" customFormat="1" ht="15.5"/>
    <row r="201" s="2040" customFormat="1" ht="15.5"/>
    <row r="202" s="2040" customFormat="1" ht="15.5"/>
    <row r="203" s="2040" customFormat="1" ht="15.5"/>
    <row r="204" s="2040" customFormat="1" ht="15.5"/>
    <row r="205" s="2040" customFormat="1" ht="15.5"/>
    <row r="206" s="2040" customFormat="1" ht="15.5"/>
    <row r="207" s="2040" customFormat="1" ht="15.5"/>
    <row r="208" s="2040" customFormat="1" ht="15.5"/>
    <row r="209" s="2040" customFormat="1" ht="15.5"/>
    <row r="210" s="2040" customFormat="1" ht="15.5"/>
    <row r="211" s="2040" customFormat="1" ht="15.5"/>
    <row r="212" s="2040" customFormat="1" ht="15.5"/>
    <row r="213" s="2040" customFormat="1" ht="15.5"/>
    <row r="214" s="2040" customFormat="1" ht="15.5"/>
    <row r="215" s="2040" customFormat="1" ht="15.5"/>
    <row r="216" s="2040" customFormat="1" ht="15.5"/>
    <row r="217" s="2040" customFormat="1" ht="15.5"/>
    <row r="218" s="2040" customFormat="1" ht="15.5"/>
    <row r="219" s="2040" customFormat="1" ht="15.5"/>
    <row r="220" s="2040" customFormat="1" ht="15.5"/>
    <row r="221" s="2040" customFormat="1" ht="15.5"/>
    <row r="222" s="2040" customFormat="1" ht="15.5"/>
    <row r="223" s="2040" customFormat="1" ht="15.5"/>
    <row r="224" s="2040" customFormat="1" ht="15.5"/>
    <row r="225" s="2040" customFormat="1" ht="15.5"/>
    <row r="226" s="2040" customFormat="1" ht="15.5"/>
    <row r="227" s="2040" customFormat="1" ht="15.5"/>
    <row r="228" s="2040" customFormat="1" ht="15.5"/>
    <row r="229" s="2040" customFormat="1" ht="15.5"/>
    <row r="230" s="2040" customFormat="1" ht="15.5"/>
    <row r="231" s="2040" customFormat="1" ht="15.5"/>
    <row r="232" s="2040" customFormat="1" ht="15.5"/>
    <row r="233" s="2040" customFormat="1" ht="15.5"/>
    <row r="234" s="2040" customFormat="1" ht="15.5"/>
    <row r="235" s="2040" customFormat="1" ht="15.5"/>
    <row r="236" s="2040" customFormat="1" ht="15.5"/>
    <row r="237" s="2040" customFormat="1" ht="15.5"/>
    <row r="238" s="2040" customFormat="1" ht="15.5"/>
    <row r="239" s="2040" customFormat="1" ht="15.5"/>
    <row r="240" s="2040" customFormat="1" ht="15.5"/>
    <row r="241" s="2040" customFormat="1" ht="15.5"/>
    <row r="242" s="2040" customFormat="1" ht="15.5"/>
    <row r="243" s="2040" customFormat="1" ht="15.5"/>
    <row r="244" s="2040" customFormat="1" ht="15.5"/>
    <row r="245" s="2040" customFormat="1" ht="15.5"/>
    <row r="246" s="2040" customFormat="1" ht="15.5"/>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J57"/>
  <sheetViews>
    <sheetView topLeftCell="A52" workbookViewId="0">
      <selection activeCell="A58" sqref="A58"/>
    </sheetView>
  </sheetViews>
  <sheetFormatPr defaultColWidth="8.7265625" defaultRowHeight="12.5"/>
  <cols>
    <col min="1" max="1" width="34.54296875" style="2042" customWidth="1"/>
    <col min="2" max="12" width="23.7265625" style="2042" customWidth="1"/>
    <col min="13" max="16384" width="8.7265625" style="2042"/>
  </cols>
  <sheetData>
    <row r="1" spans="1:9" s="2040" customFormat="1" ht="15.5">
      <c r="A1" s="2040" t="s">
        <v>7391</v>
      </c>
    </row>
    <row r="2" spans="1:9" s="2040" customFormat="1" ht="15.5">
      <c r="A2" s="2040" t="s">
        <v>7392</v>
      </c>
    </row>
    <row r="3" spans="1:9" s="2040" customFormat="1" ht="15.5"/>
    <row r="4" spans="1:9" s="2040" customFormat="1" ht="15.5"/>
    <row r="5" spans="1:9" s="2040" customFormat="1" ht="15.5"/>
    <row r="6" spans="1:9" ht="15.5">
      <c r="B6" s="1333" t="s">
        <v>9432</v>
      </c>
      <c r="C6" s="1334"/>
      <c r="D6" s="1334"/>
      <c r="E6" s="1335"/>
      <c r="F6" s="1335"/>
      <c r="G6" s="1335"/>
      <c r="H6" s="1335"/>
      <c r="I6" s="1335"/>
    </row>
    <row r="7" spans="1:9" ht="13">
      <c r="A7" s="1338" t="s">
        <v>7382</v>
      </c>
      <c r="B7" s="43" t="s">
        <v>7366</v>
      </c>
      <c r="C7" s="43" t="s">
        <v>7366</v>
      </c>
      <c r="D7" s="43" t="s">
        <v>7366</v>
      </c>
      <c r="E7" s="43" t="s">
        <v>7366</v>
      </c>
      <c r="F7" s="43" t="s">
        <v>7366</v>
      </c>
      <c r="G7" s="43" t="s">
        <v>7366</v>
      </c>
      <c r="H7" s="43" t="s">
        <v>7366</v>
      </c>
      <c r="I7" s="43" t="s">
        <v>7366</v>
      </c>
    </row>
    <row r="8" spans="1:9" ht="13">
      <c r="B8" s="1336" t="s">
        <v>7358</v>
      </c>
      <c r="C8" s="1336" t="s">
        <v>7359</v>
      </c>
      <c r="D8" s="1336" t="s">
        <v>7360</v>
      </c>
      <c r="E8" s="1337" t="s">
        <v>7361</v>
      </c>
      <c r="F8" s="1337" t="s">
        <v>10695</v>
      </c>
      <c r="G8" s="1337" t="s">
        <v>10696</v>
      </c>
      <c r="H8" s="1337" t="s">
        <v>10697</v>
      </c>
      <c r="I8" s="1337" t="s">
        <v>10698</v>
      </c>
    </row>
    <row r="9" spans="1:9" ht="15.5">
      <c r="A9" s="964" t="s">
        <v>2635</v>
      </c>
      <c r="B9" s="1339" t="e">
        <f>'DistCharter-Data2526'!B44</f>
        <v>#DIV/0!</v>
      </c>
      <c r="C9" s="1339" t="e">
        <f>'DistCharter-Data2526'!C44</f>
        <v>#DIV/0!</v>
      </c>
      <c r="D9" s="1339" t="e">
        <f>'DistCharter-Data2526'!D44</f>
        <v>#DIV/0!</v>
      </c>
      <c r="E9" s="1339" t="e">
        <f>'DistCharter-Data2526'!E44</f>
        <v>#DIV/0!</v>
      </c>
      <c r="F9" s="1339" t="e">
        <f>'DistCharter-Data2526'!F44</f>
        <v>#DIV/0!</v>
      </c>
      <c r="G9" s="1339" t="e">
        <f>'DistCharter-Data2526'!G44</f>
        <v>#DIV/0!</v>
      </c>
      <c r="H9" s="1339" t="e">
        <f>'DistCharter-Data2526'!H44</f>
        <v>#DIV/0!</v>
      </c>
      <c r="I9" s="1339" t="e">
        <f>'DistCharter-Data2526'!I44</f>
        <v>#DIV/0!</v>
      </c>
    </row>
    <row r="10" spans="1:9" ht="15.5">
      <c r="A10" s="964" t="s">
        <v>7854</v>
      </c>
      <c r="B10" s="1670" t="e">
        <f>'DistCharter-Data2526'!B45</f>
        <v>#DIV/0!</v>
      </c>
      <c r="C10" s="1670" t="e">
        <f>'DistCharter-Data2526'!C45</f>
        <v>#DIV/0!</v>
      </c>
      <c r="D10" s="1670" t="e">
        <f>'DistCharter-Data2526'!D45</f>
        <v>#DIV/0!</v>
      </c>
      <c r="E10" s="1670" t="e">
        <f>'DistCharter-Data2526'!E45</f>
        <v>#DIV/0!</v>
      </c>
      <c r="F10" s="1670" t="e">
        <f>'DistCharter-Data2526'!F45</f>
        <v>#DIV/0!</v>
      </c>
      <c r="G10" s="1670" t="e">
        <f>'DistCharter-Data2526'!G45</f>
        <v>#DIV/0!</v>
      </c>
      <c r="H10" s="1670" t="e">
        <f>'DistCharter-Data2526'!H45</f>
        <v>#DIV/0!</v>
      </c>
      <c r="I10" s="1670" t="e">
        <f>'DistCharter-Data2526'!I45</f>
        <v>#DIV/0!</v>
      </c>
    </row>
    <row r="11" spans="1:9" ht="15.5">
      <c r="A11" s="964" t="s">
        <v>2639</v>
      </c>
      <c r="B11" s="1339" t="e">
        <f>'DistCharter-Data2526'!B46</f>
        <v>#DIV/0!</v>
      </c>
      <c r="C11" s="1339" t="e">
        <f>'DistCharter-Data2526'!C46</f>
        <v>#DIV/0!</v>
      </c>
      <c r="D11" s="1339" t="e">
        <f>'DistCharter-Data2526'!D46</f>
        <v>#DIV/0!</v>
      </c>
      <c r="E11" s="1339" t="e">
        <f>'DistCharter-Data2526'!E46</f>
        <v>#DIV/0!</v>
      </c>
      <c r="F11" s="1339" t="e">
        <f>'DistCharter-Data2526'!F46</f>
        <v>#DIV/0!</v>
      </c>
      <c r="G11" s="1339" t="e">
        <f>'DistCharter-Data2526'!G46</f>
        <v>#DIV/0!</v>
      </c>
      <c r="H11" s="1339" t="e">
        <f>'DistCharter-Data2526'!H46</f>
        <v>#DIV/0!</v>
      </c>
      <c r="I11" s="1339" t="e">
        <f>'DistCharter-Data2526'!I46</f>
        <v>#DIV/0!</v>
      </c>
    </row>
    <row r="12" spans="1:9" ht="15.5">
      <c r="A12" s="964" t="s">
        <v>7436</v>
      </c>
      <c r="B12" s="1670" t="e">
        <f>'DistCharter-Data2526'!B47</f>
        <v>#DIV/0!</v>
      </c>
      <c r="C12" s="1670" t="e">
        <f>'DistCharter-Data2526'!C47</f>
        <v>#DIV/0!</v>
      </c>
      <c r="D12" s="1670" t="e">
        <f>'DistCharter-Data2526'!D47</f>
        <v>#DIV/0!</v>
      </c>
      <c r="E12" s="1670" t="e">
        <f>'DistCharter-Data2526'!E47</f>
        <v>#DIV/0!</v>
      </c>
      <c r="F12" s="1670" t="e">
        <f>'DistCharter-Data2526'!F47</f>
        <v>#DIV/0!</v>
      </c>
      <c r="G12" s="1670" t="e">
        <f>'DistCharter-Data2526'!G47</f>
        <v>#DIV/0!</v>
      </c>
      <c r="H12" s="1670" t="e">
        <f>'DistCharter-Data2526'!H47</f>
        <v>#DIV/0!</v>
      </c>
      <c r="I12" s="1670" t="e">
        <f>'DistCharter-Data2526'!I47</f>
        <v>#DIV/0!</v>
      </c>
    </row>
    <row r="13" spans="1:9" ht="15.5">
      <c r="A13" s="964" t="s">
        <v>7363</v>
      </c>
      <c r="B13" s="1339" t="e">
        <f>'DistCharter-Data2526'!B48</f>
        <v>#DIV/0!</v>
      </c>
      <c r="C13" s="1339" t="e">
        <f>'DistCharter-Data2526'!C48</f>
        <v>#DIV/0!</v>
      </c>
      <c r="D13" s="1339" t="e">
        <f>'DistCharter-Data2526'!D48</f>
        <v>#DIV/0!</v>
      </c>
      <c r="E13" s="1339" t="e">
        <f>'DistCharter-Data2526'!E48</f>
        <v>#DIV/0!</v>
      </c>
      <c r="F13" s="1339" t="e">
        <f>'DistCharter-Data2526'!F48</f>
        <v>#DIV/0!</v>
      </c>
      <c r="G13" s="1339" t="e">
        <f>'DistCharter-Data2526'!G48</f>
        <v>#DIV/0!</v>
      </c>
      <c r="H13" s="1339" t="e">
        <f>'DistCharter-Data2526'!H48</f>
        <v>#DIV/0!</v>
      </c>
      <c r="I13" s="1339" t="e">
        <f>'DistCharter-Data2526'!I48</f>
        <v>#DIV/0!</v>
      </c>
    </row>
    <row r="14" spans="1:9" ht="15.5">
      <c r="A14" s="964" t="s">
        <v>7364</v>
      </c>
      <c r="B14" s="1339" t="e">
        <f>'DistCharter-Data2526'!B49</f>
        <v>#DIV/0!</v>
      </c>
      <c r="C14" s="1339" t="e">
        <f>'DistCharter-Data2526'!C49</f>
        <v>#DIV/0!</v>
      </c>
      <c r="D14" s="1339" t="e">
        <f>'DistCharter-Data2526'!D49</f>
        <v>#DIV/0!</v>
      </c>
      <c r="E14" s="1339" t="e">
        <f>'DistCharter-Data2526'!E49</f>
        <v>#DIV/0!</v>
      </c>
      <c r="F14" s="1339" t="e">
        <f>'DistCharter-Data2526'!F49</f>
        <v>#DIV/0!</v>
      </c>
      <c r="G14" s="1339" t="e">
        <f>'DistCharter-Data2526'!G49</f>
        <v>#DIV/0!</v>
      </c>
      <c r="H14" s="1339" t="e">
        <f>'DistCharter-Data2526'!H49</f>
        <v>#DIV/0!</v>
      </c>
      <c r="I14" s="1339" t="e">
        <f>'DistCharter-Data2526'!I49</f>
        <v>#DIV/0!</v>
      </c>
    </row>
    <row r="15" spans="1:9" ht="15.5">
      <c r="A15" s="964" t="s">
        <v>2642</v>
      </c>
      <c r="B15" s="1339" t="e">
        <f>'DistCharter-Data2526'!B50</f>
        <v>#DIV/0!</v>
      </c>
      <c r="C15" s="1339" t="e">
        <f>'DistCharter-Data2526'!C50</f>
        <v>#DIV/0!</v>
      </c>
      <c r="D15" s="1339" t="e">
        <f>'DistCharter-Data2526'!D50</f>
        <v>#DIV/0!</v>
      </c>
      <c r="E15" s="1339" t="e">
        <f>'DistCharter-Data2526'!E50</f>
        <v>#DIV/0!</v>
      </c>
      <c r="F15" s="1339" t="e">
        <f>'DistCharter-Data2526'!F50</f>
        <v>#DIV/0!</v>
      </c>
      <c r="G15" s="1339" t="e">
        <f>'DistCharter-Data2526'!G50</f>
        <v>#DIV/0!</v>
      </c>
      <c r="H15" s="1339" t="e">
        <f>'DistCharter-Data2526'!H50</f>
        <v>#DIV/0!</v>
      </c>
      <c r="I15" s="1339" t="e">
        <f>'DistCharter-Data2526'!I50</f>
        <v>#DIV/0!</v>
      </c>
    </row>
    <row r="16" spans="1:9" ht="15.5">
      <c r="A16" s="964" t="s">
        <v>7365</v>
      </c>
      <c r="B16" s="1339" t="e">
        <f>'DistCharter-Data2526'!B51</f>
        <v>#DIV/0!</v>
      </c>
      <c r="C16" s="1339" t="e">
        <f>'DistCharter-Data2526'!C51</f>
        <v>#DIV/0!</v>
      </c>
      <c r="D16" s="1339" t="e">
        <f>'DistCharter-Data2526'!D51</f>
        <v>#DIV/0!</v>
      </c>
      <c r="E16" s="1339" t="e">
        <f>'DistCharter-Data2526'!E51</f>
        <v>#DIV/0!</v>
      </c>
      <c r="F16" s="1339" t="e">
        <f>'DistCharter-Data2526'!F51</f>
        <v>#DIV/0!</v>
      </c>
      <c r="G16" s="1339" t="e">
        <f>'DistCharter-Data2526'!G51</f>
        <v>#DIV/0!</v>
      </c>
      <c r="H16" s="1339" t="e">
        <f>'DistCharter-Data2526'!H51</f>
        <v>#DIV/0!</v>
      </c>
      <c r="I16" s="1339" t="e">
        <f>'DistCharter-Data2526'!I51</f>
        <v>#DIV/0!</v>
      </c>
    </row>
    <row r="17" spans="1:9" ht="15.5">
      <c r="A17" s="964" t="s">
        <v>7628</v>
      </c>
      <c r="B17" s="1670" t="e">
        <f>'DistCharter-Data2526'!B52</f>
        <v>#DIV/0!</v>
      </c>
      <c r="C17" s="1670" t="e">
        <f>'DistCharter-Data2526'!C52</f>
        <v>#DIV/0!</v>
      </c>
      <c r="D17" s="1670" t="e">
        <f>'DistCharter-Data2526'!D52</f>
        <v>#DIV/0!</v>
      </c>
      <c r="E17" s="1670" t="e">
        <f>'DistCharter-Data2526'!E52</f>
        <v>#DIV/0!</v>
      </c>
      <c r="F17" s="1670" t="e">
        <f>'DistCharter-Data2526'!F52</f>
        <v>#DIV/0!</v>
      </c>
      <c r="G17" s="1670" t="e">
        <f>'DistCharter-Data2526'!G52</f>
        <v>#DIV/0!</v>
      </c>
      <c r="H17" s="1670" t="e">
        <f>'DistCharter-Data2526'!H52</f>
        <v>#DIV/0!</v>
      </c>
      <c r="I17" s="1670" t="e">
        <f>'DistCharter-Data2526'!I52</f>
        <v>#DIV/0!</v>
      </c>
    </row>
    <row r="18" spans="1:9" ht="15.5">
      <c r="A18" s="970" t="s">
        <v>7371</v>
      </c>
      <c r="B18" s="1339" t="e">
        <f>'DistCharter-Data2526'!B53</f>
        <v>#DIV/0!</v>
      </c>
      <c r="C18" s="1339" t="e">
        <f>'DistCharter-Data2526'!C53</f>
        <v>#DIV/0!</v>
      </c>
      <c r="D18" s="1339" t="e">
        <f>'DistCharter-Data2526'!D53</f>
        <v>#DIV/0!</v>
      </c>
      <c r="E18" s="1339" t="e">
        <f>'DistCharter-Data2526'!E53</f>
        <v>#DIV/0!</v>
      </c>
      <c r="F18" s="1339" t="e">
        <f>'DistCharter-Data2526'!F53</f>
        <v>#DIV/0!</v>
      </c>
      <c r="G18" s="1339" t="e">
        <f>'DistCharter-Data2526'!G53</f>
        <v>#DIV/0!</v>
      </c>
      <c r="H18" s="1339" t="e">
        <f>'DistCharter-Data2526'!H53</f>
        <v>#DIV/0!</v>
      </c>
      <c r="I18" s="1339" t="e">
        <f>'DistCharter-Data2526'!I53</f>
        <v>#DIV/0!</v>
      </c>
    </row>
    <row r="19" spans="1:9">
      <c r="A19" s="1037"/>
    </row>
    <row r="20" spans="1:9" ht="13">
      <c r="A20" s="1338" t="s">
        <v>10704</v>
      </c>
      <c r="B20" s="43" t="s">
        <v>7366</v>
      </c>
      <c r="C20" s="43" t="s">
        <v>7366</v>
      </c>
      <c r="D20" s="43" t="s">
        <v>7366</v>
      </c>
      <c r="E20" s="43" t="s">
        <v>7366</v>
      </c>
      <c r="F20" s="43" t="s">
        <v>7366</v>
      </c>
      <c r="G20" s="43" t="s">
        <v>7366</v>
      </c>
      <c r="H20" s="43" t="s">
        <v>7366</v>
      </c>
      <c r="I20" s="43" t="s">
        <v>7366</v>
      </c>
    </row>
    <row r="21" spans="1:9" ht="13">
      <c r="B21" s="1336" t="s">
        <v>7358</v>
      </c>
      <c r="C21" s="1336" t="s">
        <v>7359</v>
      </c>
      <c r="D21" s="1336" t="s">
        <v>7360</v>
      </c>
      <c r="E21" s="1337" t="s">
        <v>7361</v>
      </c>
      <c r="F21" s="1337" t="s">
        <v>10695</v>
      </c>
      <c r="G21" s="1337" t="s">
        <v>10696</v>
      </c>
      <c r="H21" s="1337" t="s">
        <v>10697</v>
      </c>
      <c r="I21" s="1337" t="s">
        <v>10698</v>
      </c>
    </row>
    <row r="22" spans="1:9" ht="15.5">
      <c r="A22" s="969" t="s">
        <v>7393</v>
      </c>
      <c r="B22" s="1339" t="e">
        <f>'DistCharter-Data2526'!B77</f>
        <v>#DIV/0!</v>
      </c>
      <c r="C22" s="1339" t="e">
        <f>'DistCharter-Data2526'!C77</f>
        <v>#DIV/0!</v>
      </c>
      <c r="D22" s="1339" t="e">
        <f>'DistCharter-Data2526'!D77</f>
        <v>#DIV/0!</v>
      </c>
      <c r="E22" s="1339" t="e">
        <f>'DistCharter-Data2526'!E77</f>
        <v>#DIV/0!</v>
      </c>
      <c r="F22" s="1339" t="e">
        <f>'DistCharter-Data2526'!F77</f>
        <v>#DIV/0!</v>
      </c>
      <c r="G22" s="1339" t="e">
        <f>'DistCharter-Data2526'!G77</f>
        <v>#DIV/0!</v>
      </c>
      <c r="H22" s="1339" t="e">
        <f>'DistCharter-Data2526'!H77</f>
        <v>#DIV/0!</v>
      </c>
      <c r="I22" s="1339" t="e">
        <f>'DistCharter-Data2526'!I77</f>
        <v>#DIV/0!</v>
      </c>
    </row>
    <row r="23" spans="1:9" ht="15.5">
      <c r="A23" s="969" t="s">
        <v>7394</v>
      </c>
      <c r="B23" s="1339" t="e">
        <f>'DistCharter-Data2526'!B78</f>
        <v>#DIV/0!</v>
      </c>
      <c r="C23" s="1339" t="e">
        <f>'DistCharter-Data2526'!C78</f>
        <v>#DIV/0!</v>
      </c>
      <c r="D23" s="1339" t="e">
        <f>'DistCharter-Data2526'!D78</f>
        <v>#DIV/0!</v>
      </c>
      <c r="E23" s="1339" t="e">
        <f>'DistCharter-Data2526'!E78</f>
        <v>#DIV/0!</v>
      </c>
      <c r="F23" s="1339" t="e">
        <f>'DistCharter-Data2526'!F78</f>
        <v>#DIV/0!</v>
      </c>
      <c r="G23" s="1339" t="e">
        <f>'DistCharter-Data2526'!G78</f>
        <v>#DIV/0!</v>
      </c>
      <c r="H23" s="1339" t="e">
        <f>'DistCharter-Data2526'!H78</f>
        <v>#DIV/0!</v>
      </c>
      <c r="I23" s="1339" t="e">
        <f>'DistCharter-Data2526'!I78</f>
        <v>#DIV/0!</v>
      </c>
    </row>
    <row r="24" spans="1:9" ht="15.5">
      <c r="A24" s="970" t="s">
        <v>7372</v>
      </c>
      <c r="B24" s="1339" t="e">
        <f>'DistCharter-Data2526'!B79</f>
        <v>#DIV/0!</v>
      </c>
      <c r="C24" s="1339" t="e">
        <f>'DistCharter-Data2526'!C79</f>
        <v>#DIV/0!</v>
      </c>
      <c r="D24" s="1339" t="e">
        <f>'DistCharter-Data2526'!D79</f>
        <v>#DIV/0!</v>
      </c>
      <c r="E24" s="1339" t="e">
        <f>'DistCharter-Data2526'!E79</f>
        <v>#DIV/0!</v>
      </c>
      <c r="F24" s="1339" t="e">
        <f>'DistCharter-Data2526'!F79</f>
        <v>#DIV/0!</v>
      </c>
      <c r="G24" s="1339" t="e">
        <f>'DistCharter-Data2526'!G79</f>
        <v>#DIV/0!</v>
      </c>
      <c r="H24" s="1339" t="e">
        <f>'DistCharter-Data2526'!H79</f>
        <v>#DIV/0!</v>
      </c>
      <c r="I24" s="1339" t="e">
        <f>'DistCharter-Data2526'!I79</f>
        <v>#DIV/0!</v>
      </c>
    </row>
    <row r="26" spans="1:9" ht="15.5">
      <c r="A26" s="1340" t="s">
        <v>7374</v>
      </c>
      <c r="B26" s="1663" t="e">
        <f>B18+B24</f>
        <v>#DIV/0!</v>
      </c>
      <c r="C26" s="1663" t="e">
        <f t="shared" ref="C26:E26" si="0">C18+C24</f>
        <v>#DIV/0!</v>
      </c>
      <c r="D26" s="1663" t="e">
        <f t="shared" si="0"/>
        <v>#DIV/0!</v>
      </c>
      <c r="E26" s="1663" t="e">
        <f t="shared" si="0"/>
        <v>#DIV/0!</v>
      </c>
      <c r="F26" s="1663" t="e">
        <f t="shared" ref="F26:G26" si="1">F18+F24</f>
        <v>#DIV/0!</v>
      </c>
      <c r="G26" s="1663" t="e">
        <f t="shared" si="1"/>
        <v>#DIV/0!</v>
      </c>
      <c r="H26" s="1663" t="e">
        <f t="shared" ref="H26:I26" si="2">H18+H24</f>
        <v>#DIV/0!</v>
      </c>
      <c r="I26" s="1663" t="e">
        <f t="shared" si="2"/>
        <v>#DIV/0!</v>
      </c>
    </row>
    <row r="30" spans="1:9" ht="13">
      <c r="A30" s="1338" t="s">
        <v>7383</v>
      </c>
      <c r="B30" s="43" t="s">
        <v>7367</v>
      </c>
      <c r="C30" s="43" t="s">
        <v>7367</v>
      </c>
      <c r="D30" s="43" t="s">
        <v>7367</v>
      </c>
      <c r="E30" s="43" t="s">
        <v>7367</v>
      </c>
      <c r="F30" s="43" t="s">
        <v>7367</v>
      </c>
      <c r="G30" s="43" t="s">
        <v>7367</v>
      </c>
      <c r="H30" s="43" t="s">
        <v>7367</v>
      </c>
      <c r="I30" s="43" t="s">
        <v>7367</v>
      </c>
    </row>
    <row r="31" spans="1:9" ht="13">
      <c r="B31" s="1336" t="s">
        <v>7358</v>
      </c>
      <c r="C31" s="1336" t="s">
        <v>7359</v>
      </c>
      <c r="D31" s="1336" t="s">
        <v>7360</v>
      </c>
      <c r="E31" s="1337" t="s">
        <v>7361</v>
      </c>
      <c r="F31" s="1337" t="s">
        <v>10695</v>
      </c>
      <c r="G31" s="1337" t="s">
        <v>10696</v>
      </c>
      <c r="H31" s="1337" t="s">
        <v>10697</v>
      </c>
      <c r="I31" s="1337" t="s">
        <v>10698</v>
      </c>
    </row>
    <row r="32" spans="1:9" ht="15.5">
      <c r="A32" s="964" t="s">
        <v>2635</v>
      </c>
      <c r="B32" s="1339">
        <f>'DistCharter-Data2526'!B57</f>
        <v>0</v>
      </c>
      <c r="C32" s="1339">
        <f>'DistCharter-Data2526'!C57</f>
        <v>0</v>
      </c>
      <c r="D32" s="1339">
        <f>'DistCharter-Data2526'!D57</f>
        <v>0</v>
      </c>
      <c r="E32" s="1339">
        <f>'DistCharter-Data2526'!E57</f>
        <v>0</v>
      </c>
      <c r="F32" s="1339">
        <f>'DistCharter-Data2526'!F57</f>
        <v>0</v>
      </c>
      <c r="G32" s="1339">
        <f>'DistCharter-Data2526'!G57</f>
        <v>0</v>
      </c>
      <c r="H32" s="1339">
        <f>'DistCharter-Data2526'!H57</f>
        <v>0</v>
      </c>
      <c r="I32" s="1339">
        <f>'DistCharter-Data2526'!I57</f>
        <v>0</v>
      </c>
    </row>
    <row r="33" spans="1:9" ht="15.5">
      <c r="A33" s="964" t="s">
        <v>7854</v>
      </c>
      <c r="B33" s="1670">
        <f>'DistCharter-Data2526'!B58</f>
        <v>0</v>
      </c>
      <c r="C33" s="1670">
        <f>'DistCharter-Data2526'!C58</f>
        <v>0</v>
      </c>
      <c r="D33" s="1670">
        <f>'DistCharter-Data2526'!D58</f>
        <v>0</v>
      </c>
      <c r="E33" s="1670">
        <f>'DistCharter-Data2526'!E58</f>
        <v>0</v>
      </c>
      <c r="F33" s="1670">
        <f>'DistCharter-Data2526'!F58</f>
        <v>0</v>
      </c>
      <c r="G33" s="1670">
        <f>'DistCharter-Data2526'!G58</f>
        <v>0</v>
      </c>
      <c r="H33" s="1670">
        <f>'DistCharter-Data2526'!H58</f>
        <v>0</v>
      </c>
      <c r="I33" s="1670">
        <f>'DistCharter-Data2526'!I58</f>
        <v>0</v>
      </c>
    </row>
    <row r="34" spans="1:9" ht="15.5">
      <c r="A34" s="964" t="s">
        <v>2639</v>
      </c>
      <c r="B34" s="1339">
        <f>'DistCharter-Data2526'!B59</f>
        <v>0</v>
      </c>
      <c r="C34" s="1339">
        <f>'DistCharter-Data2526'!C59</f>
        <v>0</v>
      </c>
      <c r="D34" s="1339">
        <f>'DistCharter-Data2526'!D59</f>
        <v>0</v>
      </c>
      <c r="E34" s="1339">
        <f>'DistCharter-Data2526'!E59</f>
        <v>0</v>
      </c>
      <c r="F34" s="1339">
        <f>'DistCharter-Data2526'!F59</f>
        <v>0</v>
      </c>
      <c r="G34" s="1339">
        <f>'DistCharter-Data2526'!G59</f>
        <v>0</v>
      </c>
      <c r="H34" s="1339">
        <f>'DistCharter-Data2526'!H59</f>
        <v>0</v>
      </c>
      <c r="I34" s="1339">
        <f>'DistCharter-Data2526'!I59</f>
        <v>0</v>
      </c>
    </row>
    <row r="35" spans="1:9" ht="15.5">
      <c r="A35" s="964" t="s">
        <v>7436</v>
      </c>
      <c r="B35" s="1670">
        <f>'DistCharter-Data2526'!B60</f>
        <v>0</v>
      </c>
      <c r="C35" s="1670">
        <f>'DistCharter-Data2526'!C60</f>
        <v>0</v>
      </c>
      <c r="D35" s="1670">
        <f>'DistCharter-Data2526'!D60</f>
        <v>0</v>
      </c>
      <c r="E35" s="1670">
        <f>'DistCharter-Data2526'!E60</f>
        <v>0</v>
      </c>
      <c r="F35" s="1670">
        <f>'DistCharter-Data2526'!F60</f>
        <v>0</v>
      </c>
      <c r="G35" s="1670">
        <f>'DistCharter-Data2526'!G60</f>
        <v>0</v>
      </c>
      <c r="H35" s="1670">
        <f>'DistCharter-Data2526'!H60</f>
        <v>0</v>
      </c>
      <c r="I35" s="1670">
        <f>'DistCharter-Data2526'!I60</f>
        <v>0</v>
      </c>
    </row>
    <row r="36" spans="1:9" ht="15.5">
      <c r="A36" s="964" t="s">
        <v>7363</v>
      </c>
      <c r="B36" s="1339">
        <f>'DistCharter-Data2526'!B61</f>
        <v>0</v>
      </c>
      <c r="C36" s="1339">
        <f>'DistCharter-Data2526'!C61</f>
        <v>0</v>
      </c>
      <c r="D36" s="1339">
        <f>'DistCharter-Data2526'!D61</f>
        <v>0</v>
      </c>
      <c r="E36" s="1339">
        <f>'DistCharter-Data2526'!E61</f>
        <v>0</v>
      </c>
      <c r="F36" s="1339">
        <f>'DistCharter-Data2526'!F61</f>
        <v>0</v>
      </c>
      <c r="G36" s="1339">
        <f>'DistCharter-Data2526'!G61</f>
        <v>0</v>
      </c>
      <c r="H36" s="1339">
        <f>'DistCharter-Data2526'!H61</f>
        <v>0</v>
      </c>
      <c r="I36" s="1339">
        <f>'DistCharter-Data2526'!I61</f>
        <v>0</v>
      </c>
    </row>
    <row r="37" spans="1:9" ht="15.5">
      <c r="A37" s="964" t="s">
        <v>7364</v>
      </c>
      <c r="B37" s="1339">
        <f>'DistCharter-Data2526'!B62</f>
        <v>0</v>
      </c>
      <c r="C37" s="1339">
        <f>'DistCharter-Data2526'!C62</f>
        <v>0</v>
      </c>
      <c r="D37" s="1339">
        <f>'DistCharter-Data2526'!D62</f>
        <v>0</v>
      </c>
      <c r="E37" s="1339">
        <f>'DistCharter-Data2526'!E62</f>
        <v>0</v>
      </c>
      <c r="F37" s="1339">
        <f>'DistCharter-Data2526'!F62</f>
        <v>0</v>
      </c>
      <c r="G37" s="1339">
        <f>'DistCharter-Data2526'!G62</f>
        <v>0</v>
      </c>
      <c r="H37" s="1339">
        <f>'DistCharter-Data2526'!H62</f>
        <v>0</v>
      </c>
      <c r="I37" s="1339">
        <f>'DistCharter-Data2526'!I62</f>
        <v>0</v>
      </c>
    </row>
    <row r="38" spans="1:9" ht="15.5">
      <c r="A38" s="964" t="s">
        <v>2642</v>
      </c>
      <c r="B38" s="1339">
        <f>'DistCharter-Data2526'!B63</f>
        <v>0</v>
      </c>
      <c r="C38" s="1339">
        <f>'DistCharter-Data2526'!C63</f>
        <v>0</v>
      </c>
      <c r="D38" s="1339">
        <f>'DistCharter-Data2526'!D63</f>
        <v>0</v>
      </c>
      <c r="E38" s="1339">
        <f>'DistCharter-Data2526'!E63</f>
        <v>0</v>
      </c>
      <c r="F38" s="1339">
        <f>'DistCharter-Data2526'!F63</f>
        <v>0</v>
      </c>
      <c r="G38" s="1339">
        <f>'DistCharter-Data2526'!G63</f>
        <v>0</v>
      </c>
      <c r="H38" s="1339">
        <f>'DistCharter-Data2526'!H63</f>
        <v>0</v>
      </c>
      <c r="I38" s="1339">
        <f>'DistCharter-Data2526'!I63</f>
        <v>0</v>
      </c>
    </row>
    <row r="39" spans="1:9" ht="15.5">
      <c r="A39" s="964" t="s">
        <v>7365</v>
      </c>
      <c r="B39" s="1339">
        <f>'DistCharter-Data2526'!B64</f>
        <v>0</v>
      </c>
      <c r="C39" s="1339">
        <f>'DistCharter-Data2526'!C64</f>
        <v>0</v>
      </c>
      <c r="D39" s="1339">
        <f>'DistCharter-Data2526'!D64</f>
        <v>0</v>
      </c>
      <c r="E39" s="1339">
        <f>'DistCharter-Data2526'!E64</f>
        <v>0</v>
      </c>
      <c r="F39" s="1339">
        <f>'DistCharter-Data2526'!F64</f>
        <v>0</v>
      </c>
      <c r="G39" s="1339">
        <f>'DistCharter-Data2526'!G64</f>
        <v>0</v>
      </c>
      <c r="H39" s="1339">
        <f>'DistCharter-Data2526'!H64</f>
        <v>0</v>
      </c>
      <c r="I39" s="1339">
        <f>'DistCharter-Data2526'!I64</f>
        <v>0</v>
      </c>
    </row>
    <row r="40" spans="1:9" ht="15.5">
      <c r="A40" s="964" t="s">
        <v>7628</v>
      </c>
      <c r="B40" s="1670">
        <f>'DistCharter-Data2526'!B65</f>
        <v>0</v>
      </c>
      <c r="C40" s="1670">
        <f>'DistCharter-Data2526'!C65</f>
        <v>0</v>
      </c>
      <c r="D40" s="1670">
        <f>'DistCharter-Data2526'!D65</f>
        <v>0</v>
      </c>
      <c r="E40" s="1670">
        <f>'DistCharter-Data2526'!E65</f>
        <v>0</v>
      </c>
      <c r="F40" s="1670">
        <f>'DistCharter-Data2526'!F65</f>
        <v>0</v>
      </c>
      <c r="G40" s="1670">
        <f>'DistCharter-Data2526'!G65</f>
        <v>0</v>
      </c>
      <c r="H40" s="1670">
        <f>'DistCharter-Data2526'!H65</f>
        <v>0</v>
      </c>
      <c r="I40" s="1670">
        <f>'DistCharter-Data2526'!I65</f>
        <v>0</v>
      </c>
    </row>
    <row r="41" spans="1:9" ht="15.5">
      <c r="A41" s="970" t="s">
        <v>7371</v>
      </c>
      <c r="B41" s="1339">
        <f t="shared" ref="B41:I41" si="3">SUM(B32:B40)</f>
        <v>0</v>
      </c>
      <c r="C41" s="1339">
        <f t="shared" si="3"/>
        <v>0</v>
      </c>
      <c r="D41" s="1339">
        <f t="shared" si="3"/>
        <v>0</v>
      </c>
      <c r="E41" s="1339">
        <f t="shared" si="3"/>
        <v>0</v>
      </c>
      <c r="F41" s="1339">
        <f t="shared" si="3"/>
        <v>0</v>
      </c>
      <c r="G41" s="1339">
        <f t="shared" si="3"/>
        <v>0</v>
      </c>
      <c r="H41" s="1339">
        <f t="shared" si="3"/>
        <v>0</v>
      </c>
      <c r="I41" s="1339">
        <f t="shared" si="3"/>
        <v>0</v>
      </c>
    </row>
    <row r="43" spans="1:9" ht="13">
      <c r="A43" s="1338" t="s">
        <v>7384</v>
      </c>
      <c r="B43" s="43" t="s">
        <v>7367</v>
      </c>
      <c r="C43" s="43" t="s">
        <v>7367</v>
      </c>
      <c r="D43" s="43" t="s">
        <v>7367</v>
      </c>
      <c r="E43" s="43" t="s">
        <v>7367</v>
      </c>
      <c r="F43" s="43" t="s">
        <v>7367</v>
      </c>
      <c r="G43" s="43" t="s">
        <v>7367</v>
      </c>
      <c r="H43" s="43" t="s">
        <v>7367</v>
      </c>
      <c r="I43" s="43" t="s">
        <v>7367</v>
      </c>
    </row>
    <row r="44" spans="1:9" ht="13">
      <c r="B44" s="1336" t="s">
        <v>7358</v>
      </c>
      <c r="C44" s="1336" t="s">
        <v>7359</v>
      </c>
      <c r="D44" s="1336" t="s">
        <v>7360</v>
      </c>
      <c r="E44" s="1337" t="s">
        <v>7361</v>
      </c>
      <c r="F44" s="1337" t="s">
        <v>10695</v>
      </c>
      <c r="G44" s="1337" t="s">
        <v>10696</v>
      </c>
      <c r="H44" s="1337" t="s">
        <v>10697</v>
      </c>
      <c r="I44" s="1337" t="s">
        <v>10698</v>
      </c>
    </row>
    <row r="45" spans="1:9" ht="15.5">
      <c r="A45" s="969" t="s">
        <v>7393</v>
      </c>
      <c r="B45" s="1339">
        <f>'DistCharter-Data2526'!B83</f>
        <v>0</v>
      </c>
      <c r="C45" s="1339">
        <f>'DistCharter-Data2526'!C83</f>
        <v>0</v>
      </c>
      <c r="D45" s="1339">
        <f>'DistCharter-Data2526'!D83</f>
        <v>0</v>
      </c>
      <c r="E45" s="1339">
        <f>'DistCharter-Data2526'!E83</f>
        <v>0</v>
      </c>
      <c r="F45" s="1339">
        <f>'DistCharter-Data2526'!F83</f>
        <v>0</v>
      </c>
      <c r="G45" s="1339">
        <f>'DistCharter-Data2526'!G83</f>
        <v>0</v>
      </c>
      <c r="H45" s="1339">
        <f>'DistCharter-Data2526'!H83</f>
        <v>0</v>
      </c>
      <c r="I45" s="1339">
        <f>'DistCharter-Data2526'!I83</f>
        <v>0</v>
      </c>
    </row>
    <row r="46" spans="1:9" ht="15.5">
      <c r="A46" s="969" t="s">
        <v>7394</v>
      </c>
      <c r="B46" s="1339">
        <f>'DistCharter-Data2526'!B84</f>
        <v>0</v>
      </c>
      <c r="C46" s="1339">
        <f>'DistCharter-Data2526'!C84</f>
        <v>0</v>
      </c>
      <c r="D46" s="1339">
        <f>'DistCharter-Data2526'!D84</f>
        <v>0</v>
      </c>
      <c r="E46" s="1339">
        <f>'DistCharter-Data2526'!E84</f>
        <v>0</v>
      </c>
      <c r="F46" s="1339">
        <f>'DistCharter-Data2526'!F84</f>
        <v>0</v>
      </c>
      <c r="G46" s="1339">
        <f>'DistCharter-Data2526'!G84</f>
        <v>0</v>
      </c>
      <c r="H46" s="1339">
        <f>'DistCharter-Data2526'!H84</f>
        <v>0</v>
      </c>
      <c r="I46" s="1339">
        <f>'DistCharter-Data2526'!I84</f>
        <v>0</v>
      </c>
    </row>
    <row r="47" spans="1:9" ht="15.5">
      <c r="A47" s="970" t="s">
        <v>7372</v>
      </c>
      <c r="B47" s="1339">
        <f>SUM(B45:B46)</f>
        <v>0</v>
      </c>
      <c r="C47" s="1339">
        <f t="shared" ref="C47:E47" si="4">SUM(C45:C46)</f>
        <v>0</v>
      </c>
      <c r="D47" s="1339">
        <f t="shared" si="4"/>
        <v>0</v>
      </c>
      <c r="E47" s="1339">
        <f t="shared" si="4"/>
        <v>0</v>
      </c>
      <c r="F47" s="1339">
        <f t="shared" ref="F47:G47" si="5">SUM(F45:F46)</f>
        <v>0</v>
      </c>
      <c r="G47" s="1339">
        <f t="shared" si="5"/>
        <v>0</v>
      </c>
      <c r="H47" s="1339">
        <f t="shared" ref="H47:I47" si="6">SUM(H45:H46)</f>
        <v>0</v>
      </c>
      <c r="I47" s="1339">
        <f t="shared" si="6"/>
        <v>0</v>
      </c>
    </row>
    <row r="49" spans="1:10" ht="13">
      <c r="A49" s="1338" t="s">
        <v>7385</v>
      </c>
      <c r="B49" s="43" t="s">
        <v>7367</v>
      </c>
      <c r="C49" s="43" t="s">
        <v>7367</v>
      </c>
      <c r="D49" s="43" t="s">
        <v>7367</v>
      </c>
      <c r="E49" s="43" t="s">
        <v>7367</v>
      </c>
      <c r="F49" s="43" t="s">
        <v>7367</v>
      </c>
      <c r="G49" s="43" t="s">
        <v>7367</v>
      </c>
      <c r="H49" s="43" t="s">
        <v>7367</v>
      </c>
      <c r="I49" s="43" t="s">
        <v>7367</v>
      </c>
    </row>
    <row r="50" spans="1:10" ht="13">
      <c r="B50" s="1336" t="s">
        <v>7358</v>
      </c>
      <c r="C50" s="1336" t="s">
        <v>7359</v>
      </c>
      <c r="D50" s="1336" t="s">
        <v>7360</v>
      </c>
      <c r="E50" s="1337" t="s">
        <v>7361</v>
      </c>
      <c r="F50" s="1337" t="s">
        <v>10695</v>
      </c>
      <c r="G50" s="1337" t="s">
        <v>10696</v>
      </c>
      <c r="H50" s="1337" t="s">
        <v>10697</v>
      </c>
      <c r="I50" s="1337" t="s">
        <v>10698</v>
      </c>
    </row>
    <row r="51" spans="1:10" ht="15.5">
      <c r="A51" s="969" t="s">
        <v>7373</v>
      </c>
      <c r="B51" s="1339">
        <f>'DistCharter-Data2526'!B98</f>
        <v>0</v>
      </c>
      <c r="C51" s="1339">
        <f>'DistCharter-Data2526'!C98</f>
        <v>0</v>
      </c>
      <c r="D51" s="1339">
        <f>'DistCharter-Data2526'!D98</f>
        <v>0</v>
      </c>
      <c r="E51" s="1339">
        <f>'DistCharter-Data2526'!E98</f>
        <v>0</v>
      </c>
      <c r="F51" s="1339">
        <f>'DistCharter-Data2526'!F98</f>
        <v>0</v>
      </c>
      <c r="G51" s="1339">
        <f>'DistCharter-Data2526'!G98</f>
        <v>0</v>
      </c>
      <c r="H51" s="1339">
        <f>'DistCharter-Data2526'!H98</f>
        <v>0</v>
      </c>
      <c r="I51" s="1339">
        <f>'DistCharter-Data2526'!I98</f>
        <v>0</v>
      </c>
    </row>
    <row r="53" spans="1:10" ht="15.5">
      <c r="A53" s="1340" t="s">
        <v>7386</v>
      </c>
      <c r="B53" s="1663">
        <f>B41+B47+B51</f>
        <v>0</v>
      </c>
      <c r="C53" s="1663">
        <f t="shared" ref="C53:E53" si="7">C41+C47+C51</f>
        <v>0</v>
      </c>
      <c r="D53" s="1663">
        <f t="shared" si="7"/>
        <v>0</v>
      </c>
      <c r="E53" s="1663">
        <f t="shared" si="7"/>
        <v>0</v>
      </c>
      <c r="F53" s="1663">
        <f t="shared" ref="F53:G53" si="8">F41+F47+F51</f>
        <v>0</v>
      </c>
      <c r="G53" s="1663">
        <f t="shared" si="8"/>
        <v>0</v>
      </c>
      <c r="H53" s="1663">
        <f t="shared" ref="H53:I53" si="9">H41+H47+H51</f>
        <v>0</v>
      </c>
      <c r="I53" s="1663">
        <f t="shared" si="9"/>
        <v>0</v>
      </c>
    </row>
    <row r="54" spans="1:10" ht="15.5">
      <c r="J54" s="324" t="s">
        <v>9171</v>
      </c>
    </row>
    <row r="55" spans="1:10" ht="15">
      <c r="J55" s="971" t="s">
        <v>7376</v>
      </c>
    </row>
    <row r="56" spans="1:10" ht="15.5">
      <c r="A56" s="1341" t="s">
        <v>7375</v>
      </c>
      <c r="B56" s="1342"/>
      <c r="C56" s="1342"/>
      <c r="D56" s="1342"/>
      <c r="E56" s="980"/>
      <c r="F56" s="980"/>
      <c r="G56" s="980"/>
      <c r="H56" s="980"/>
      <c r="I56" s="980"/>
      <c r="J56" s="1342"/>
    </row>
    <row r="57" spans="1:10" ht="15.5">
      <c r="A57" s="1343" t="s">
        <v>12487</v>
      </c>
      <c r="B57" s="1664" t="e">
        <f t="shared" ref="B57:I57" si="10">IF(B26&gt;=B53,0,B53-B26)</f>
        <v>#DIV/0!</v>
      </c>
      <c r="C57" s="1664" t="e">
        <f t="shared" si="10"/>
        <v>#DIV/0!</v>
      </c>
      <c r="D57" s="1664" t="e">
        <f t="shared" si="10"/>
        <v>#DIV/0!</v>
      </c>
      <c r="E57" s="1664" t="e">
        <f t="shared" si="10"/>
        <v>#DIV/0!</v>
      </c>
      <c r="F57" s="1664" t="e">
        <f t="shared" si="10"/>
        <v>#DIV/0!</v>
      </c>
      <c r="G57" s="1664" t="e">
        <f t="shared" si="10"/>
        <v>#DIV/0!</v>
      </c>
      <c r="H57" s="1664" t="e">
        <f t="shared" si="10"/>
        <v>#DIV/0!</v>
      </c>
      <c r="I57" s="1664" t="e">
        <f t="shared" si="10"/>
        <v>#DIV/0!</v>
      </c>
      <c r="J57" s="2629" t="e">
        <f>SUM(B57:I57)</f>
        <v>#DIV/0!</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79998168889431442"/>
  </sheetPr>
  <dimension ref="A1:Q246"/>
  <sheetViews>
    <sheetView workbookViewId="0">
      <selection activeCell="B7" sqref="B7"/>
    </sheetView>
  </sheetViews>
  <sheetFormatPr defaultColWidth="8.7265625" defaultRowHeight="12.5"/>
  <cols>
    <col min="1" max="1" width="64.54296875" style="2042" customWidth="1"/>
    <col min="2" max="9" width="18.6328125" style="2042" customWidth="1"/>
    <col min="10" max="10" width="23.453125" style="2042" customWidth="1"/>
    <col min="11" max="13" width="15.54296875" style="2042" customWidth="1"/>
    <col min="14" max="17" width="15.6328125" style="2042" customWidth="1"/>
    <col min="18" max="16384" width="8.7265625" style="2042"/>
  </cols>
  <sheetData>
    <row r="1" spans="1:17" ht="15.5">
      <c r="A1" s="2040" t="s">
        <v>7390</v>
      </c>
    </row>
    <row r="2" spans="1:17" ht="15.5">
      <c r="A2" s="2040" t="s">
        <v>7666</v>
      </c>
    </row>
    <row r="3" spans="1:17" ht="15.5">
      <c r="A3" s="2040" t="s">
        <v>7388</v>
      </c>
    </row>
    <row r="4" spans="1:17" ht="15.5">
      <c r="A4" s="2040" t="s">
        <v>7389</v>
      </c>
    </row>
    <row r="5" spans="1:17" ht="15.5">
      <c r="A5" s="2040"/>
    </row>
    <row r="6" spans="1:17" ht="15.5">
      <c r="A6" s="2040" t="s">
        <v>10703</v>
      </c>
    </row>
    <row r="8" spans="1:17" ht="15.5">
      <c r="B8" s="990" t="s">
        <v>11084</v>
      </c>
      <c r="C8" s="982"/>
      <c r="D8" s="982"/>
      <c r="E8" s="983"/>
      <c r="F8" s="983"/>
      <c r="G8" s="983"/>
      <c r="H8" s="983"/>
      <c r="I8" s="983"/>
    </row>
    <row r="9" spans="1:17" ht="13">
      <c r="B9" s="960" t="s">
        <v>7362</v>
      </c>
      <c r="C9" s="960" t="s">
        <v>7362</v>
      </c>
      <c r="D9" s="960" t="s">
        <v>7362</v>
      </c>
      <c r="E9" s="961" t="s">
        <v>7362</v>
      </c>
      <c r="F9" s="961" t="s">
        <v>7362</v>
      </c>
      <c r="G9" s="961" t="s">
        <v>7362</v>
      </c>
      <c r="H9" s="961" t="s">
        <v>7362</v>
      </c>
      <c r="I9" s="961" t="s">
        <v>7362</v>
      </c>
    </row>
    <row r="10" spans="1:17" ht="13">
      <c r="B10" s="962" t="s">
        <v>7358</v>
      </c>
      <c r="C10" s="962" t="s">
        <v>7359</v>
      </c>
      <c r="D10" s="962" t="s">
        <v>7360</v>
      </c>
      <c r="E10" s="963" t="s">
        <v>7361</v>
      </c>
      <c r="F10" s="963" t="s">
        <v>10695</v>
      </c>
      <c r="G10" s="963" t="s">
        <v>10696</v>
      </c>
      <c r="H10" s="963" t="s">
        <v>10697</v>
      </c>
      <c r="I10" s="963" t="s">
        <v>10698</v>
      </c>
    </row>
    <row r="11" spans="1:17" ht="15.5">
      <c r="A11" s="32" t="s">
        <v>470</v>
      </c>
      <c r="B11" s="959">
        <v>0</v>
      </c>
      <c r="C11" s="959">
        <v>0</v>
      </c>
      <c r="D11" s="959">
        <v>0</v>
      </c>
      <c r="E11" s="959">
        <v>0</v>
      </c>
      <c r="F11" s="959">
        <v>0</v>
      </c>
      <c r="G11" s="959">
        <v>0</v>
      </c>
      <c r="H11" s="959">
        <v>0</v>
      </c>
      <c r="I11" s="959">
        <v>0</v>
      </c>
      <c r="J11" s="2042" t="s">
        <v>7397</v>
      </c>
    </row>
    <row r="12" spans="1:17" ht="13">
      <c r="A12" s="639" t="s">
        <v>505</v>
      </c>
      <c r="B12" s="612"/>
      <c r="C12" s="612"/>
      <c r="D12" s="612"/>
      <c r="E12" s="612"/>
      <c r="F12" s="612"/>
      <c r="G12" s="612"/>
      <c r="H12" s="612"/>
      <c r="I12" s="612"/>
      <c r="J12" s="41" t="s">
        <v>7396</v>
      </c>
      <c r="K12" s="41" t="s">
        <v>7399</v>
      </c>
      <c r="L12" s="41" t="s">
        <v>7400</v>
      </c>
      <c r="M12" s="41" t="s">
        <v>7401</v>
      </c>
      <c r="N12" s="41" t="s">
        <v>10699</v>
      </c>
      <c r="O12" s="41" t="s">
        <v>10700</v>
      </c>
      <c r="P12" s="41" t="s">
        <v>10701</v>
      </c>
      <c r="Q12" s="41" t="s">
        <v>10702</v>
      </c>
    </row>
    <row r="13" spans="1:17" ht="15.5">
      <c r="A13" s="32" t="s">
        <v>471</v>
      </c>
      <c r="B13" s="959">
        <v>0</v>
      </c>
      <c r="C13" s="959">
        <v>0</v>
      </c>
      <c r="D13" s="959">
        <v>0</v>
      </c>
      <c r="E13" s="959">
        <v>0</v>
      </c>
      <c r="F13" s="959">
        <v>0</v>
      </c>
      <c r="G13" s="959">
        <v>0</v>
      </c>
      <c r="H13" s="959">
        <v>0</v>
      </c>
      <c r="I13" s="959">
        <v>0</v>
      </c>
      <c r="J13" s="76">
        <f>B13*Weights!$R$10</f>
        <v>0</v>
      </c>
      <c r="K13" s="76">
        <f>C13*Weights!$R$10</f>
        <v>0</v>
      </c>
      <c r="L13" s="76">
        <f>D13*Weights!$R$10</f>
        <v>0</v>
      </c>
      <c r="M13" s="76">
        <f>E13*Weights!$R$10</f>
        <v>0</v>
      </c>
      <c r="N13" s="76">
        <f>F13*Weights!$R$10</f>
        <v>0</v>
      </c>
      <c r="O13" s="76">
        <f>G13*Weights!$R$10</f>
        <v>0</v>
      </c>
      <c r="P13" s="76">
        <f>H13*Weights!$R$10</f>
        <v>0</v>
      </c>
      <c r="Q13" s="76">
        <f>I13*Weights!$R$10</f>
        <v>0</v>
      </c>
    </row>
    <row r="14" spans="1:17" ht="15.5">
      <c r="A14" s="958" t="s">
        <v>472</v>
      </c>
      <c r="B14" s="959">
        <v>0</v>
      </c>
      <c r="C14" s="959">
        <v>0</v>
      </c>
      <c r="D14" s="959">
        <v>0</v>
      </c>
      <c r="E14" s="959">
        <v>0</v>
      </c>
      <c r="F14" s="959">
        <v>0</v>
      </c>
      <c r="G14" s="959">
        <v>0</v>
      </c>
      <c r="H14" s="959">
        <v>0</v>
      </c>
      <c r="I14" s="959">
        <v>0</v>
      </c>
      <c r="J14" s="76">
        <f>B14*Weights!$R$11</f>
        <v>0</v>
      </c>
      <c r="K14" s="76">
        <f>C14*Weights!$R$11</f>
        <v>0</v>
      </c>
      <c r="L14" s="76">
        <f>D14*Weights!$R$11</f>
        <v>0</v>
      </c>
      <c r="M14" s="76">
        <f>E14*Weights!$R$11</f>
        <v>0</v>
      </c>
      <c r="N14" s="76">
        <f>F14*Weights!$R$11</f>
        <v>0</v>
      </c>
      <c r="O14" s="76">
        <f>G14*Weights!$R$11</f>
        <v>0</v>
      </c>
      <c r="P14" s="76">
        <f>H14*Weights!$R$11</f>
        <v>0</v>
      </c>
      <c r="Q14" s="76">
        <f>I14*Weights!$R$11</f>
        <v>0</v>
      </c>
    </row>
    <row r="15" spans="1:17" ht="15.5">
      <c r="A15" s="32" t="s">
        <v>1603</v>
      </c>
      <c r="B15" s="959">
        <v>0</v>
      </c>
      <c r="C15" s="959">
        <v>0</v>
      </c>
      <c r="D15" s="959">
        <v>0</v>
      </c>
      <c r="E15" s="959">
        <v>0</v>
      </c>
      <c r="F15" s="959">
        <v>0</v>
      </c>
      <c r="G15" s="959">
        <v>0</v>
      </c>
      <c r="H15" s="959">
        <v>0</v>
      </c>
      <c r="I15" s="959">
        <v>0</v>
      </c>
      <c r="J15" s="76">
        <f>B15*Weights!$R$12</f>
        <v>0</v>
      </c>
      <c r="K15" s="76">
        <f>C15*Weights!$R$12</f>
        <v>0</v>
      </c>
      <c r="L15" s="76">
        <f>D15*Weights!$R$12</f>
        <v>0</v>
      </c>
      <c r="M15" s="76">
        <f>E15*Weights!$R$12</f>
        <v>0</v>
      </c>
      <c r="N15" s="76">
        <f>F15*Weights!$R$12</f>
        <v>0</v>
      </c>
      <c r="O15" s="76">
        <f>G15*Weights!$R$12</f>
        <v>0</v>
      </c>
      <c r="P15" s="76">
        <f>H15*Weights!$R$12</f>
        <v>0</v>
      </c>
      <c r="Q15" s="76">
        <f>I15*Weights!$R$12</f>
        <v>0</v>
      </c>
    </row>
    <row r="16" spans="1:17" ht="15.5">
      <c r="A16" s="32" t="s">
        <v>1604</v>
      </c>
      <c r="B16" s="959">
        <v>0</v>
      </c>
      <c r="C16" s="959">
        <v>0</v>
      </c>
      <c r="D16" s="959">
        <v>0</v>
      </c>
      <c r="E16" s="959">
        <v>0</v>
      </c>
      <c r="F16" s="959">
        <v>0</v>
      </c>
      <c r="G16" s="959">
        <v>0</v>
      </c>
      <c r="H16" s="959">
        <v>0</v>
      </c>
      <c r="I16" s="959">
        <v>0</v>
      </c>
      <c r="J16" s="76">
        <f>B16*Weights!$R$13</f>
        <v>0</v>
      </c>
      <c r="K16" s="76">
        <f>C16*Weights!$R$13</f>
        <v>0</v>
      </c>
      <c r="L16" s="76">
        <f>D16*Weights!$R$13</f>
        <v>0</v>
      </c>
      <c r="M16" s="76">
        <f>E16*Weights!$R$13</f>
        <v>0</v>
      </c>
      <c r="N16" s="76">
        <f>F16*Weights!$R$13</f>
        <v>0</v>
      </c>
      <c r="O16" s="76">
        <f>G16*Weights!$R$13</f>
        <v>0</v>
      </c>
      <c r="P16" s="76">
        <f>H16*Weights!$R$13</f>
        <v>0</v>
      </c>
      <c r="Q16" s="76">
        <f>I16*Weights!$R$13</f>
        <v>0</v>
      </c>
    </row>
    <row r="17" spans="1:17" ht="15.5">
      <c r="A17" s="32" t="s">
        <v>546</v>
      </c>
      <c r="B17" s="959">
        <v>0</v>
      </c>
      <c r="C17" s="959">
        <v>0</v>
      </c>
      <c r="D17" s="959">
        <v>0</v>
      </c>
      <c r="E17" s="959">
        <v>0</v>
      </c>
      <c r="F17" s="959">
        <v>0</v>
      </c>
      <c r="G17" s="959">
        <v>0</v>
      </c>
      <c r="H17" s="959">
        <v>0</v>
      </c>
      <c r="I17" s="959">
        <v>0</v>
      </c>
      <c r="J17" s="76">
        <f>B17*Weights!$R$14</f>
        <v>0</v>
      </c>
      <c r="K17" s="76">
        <f>C17*Weights!$R$14</f>
        <v>0</v>
      </c>
      <c r="L17" s="76">
        <f>D17*Weights!$R$14</f>
        <v>0</v>
      </c>
      <c r="M17" s="76">
        <f>E17*Weights!$R$14</f>
        <v>0</v>
      </c>
      <c r="N17" s="76">
        <f>F17*Weights!$R$14</f>
        <v>0</v>
      </c>
      <c r="O17" s="76">
        <f>G17*Weights!$R$14</f>
        <v>0</v>
      </c>
      <c r="P17" s="76">
        <f>H17*Weights!$R$14</f>
        <v>0</v>
      </c>
      <c r="Q17" s="76">
        <f>I17*Weights!$R$14</f>
        <v>0</v>
      </c>
    </row>
    <row r="18" spans="1:17" ht="15.5">
      <c r="A18" s="32" t="s">
        <v>1901</v>
      </c>
      <c r="B18" s="959">
        <v>0</v>
      </c>
      <c r="C18" s="959">
        <v>0</v>
      </c>
      <c r="D18" s="959">
        <v>0</v>
      </c>
      <c r="E18" s="959">
        <v>0</v>
      </c>
      <c r="F18" s="959">
        <v>0</v>
      </c>
      <c r="G18" s="959">
        <v>0</v>
      </c>
      <c r="H18" s="959">
        <v>0</v>
      </c>
      <c r="I18" s="959">
        <v>0</v>
      </c>
      <c r="J18" s="76">
        <f>B18*Weights!$R$15</f>
        <v>0</v>
      </c>
      <c r="K18" s="76">
        <f>C18*Weights!$R$15</f>
        <v>0</v>
      </c>
      <c r="L18" s="76">
        <f>D18*Weights!$R$15</f>
        <v>0</v>
      </c>
      <c r="M18" s="76">
        <f>E18*Weights!$R$15</f>
        <v>0</v>
      </c>
      <c r="N18" s="76">
        <f>F18*Weights!$R$15</f>
        <v>0</v>
      </c>
      <c r="O18" s="76">
        <f>G18*Weights!$R$15</f>
        <v>0</v>
      </c>
      <c r="P18" s="76">
        <f>H18*Weights!$R$15</f>
        <v>0</v>
      </c>
      <c r="Q18" s="76">
        <f>I18*Weights!$R$15</f>
        <v>0</v>
      </c>
    </row>
    <row r="19" spans="1:17" ht="15.5">
      <c r="A19" s="32" t="s">
        <v>1902</v>
      </c>
      <c r="B19" s="959">
        <v>0</v>
      </c>
      <c r="C19" s="959">
        <v>0</v>
      </c>
      <c r="D19" s="959">
        <v>0</v>
      </c>
      <c r="E19" s="959">
        <v>0</v>
      </c>
      <c r="F19" s="959">
        <v>0</v>
      </c>
      <c r="G19" s="959">
        <v>0</v>
      </c>
      <c r="H19" s="959">
        <v>0</v>
      </c>
      <c r="I19" s="959">
        <v>0</v>
      </c>
      <c r="J19" s="76">
        <f>B19*Weights!$R$16</f>
        <v>0</v>
      </c>
      <c r="K19" s="76">
        <f>C19*Weights!$R$16</f>
        <v>0</v>
      </c>
      <c r="L19" s="76">
        <f>D19*Weights!$R$16</f>
        <v>0</v>
      </c>
      <c r="M19" s="76">
        <f>E19*Weights!$R$16</f>
        <v>0</v>
      </c>
      <c r="N19" s="76">
        <f>F19*Weights!$R$16</f>
        <v>0</v>
      </c>
      <c r="O19" s="76">
        <f>G19*Weights!$R$16</f>
        <v>0</v>
      </c>
      <c r="P19" s="76">
        <f>H19*Weights!$R$16</f>
        <v>0</v>
      </c>
      <c r="Q19" s="76">
        <f>I19*Weights!$R$16</f>
        <v>0</v>
      </c>
    </row>
    <row r="20" spans="1:17" ht="15.5">
      <c r="A20" s="32" t="s">
        <v>473</v>
      </c>
      <c r="B20" s="959">
        <v>0</v>
      </c>
      <c r="C20" s="959">
        <v>0</v>
      </c>
      <c r="D20" s="959">
        <v>0</v>
      </c>
      <c r="E20" s="959">
        <v>0</v>
      </c>
      <c r="F20" s="959">
        <v>0</v>
      </c>
      <c r="G20" s="959">
        <v>0</v>
      </c>
      <c r="H20" s="959">
        <v>0</v>
      </c>
      <c r="I20" s="959">
        <v>0</v>
      </c>
      <c r="J20" s="967">
        <f t="shared" ref="J20:Q20" si="0">SUM(J13:J19)</f>
        <v>0</v>
      </c>
      <c r="K20" s="967">
        <f t="shared" si="0"/>
        <v>0</v>
      </c>
      <c r="L20" s="967">
        <f t="shared" si="0"/>
        <v>0</v>
      </c>
      <c r="M20" s="967">
        <f t="shared" si="0"/>
        <v>0</v>
      </c>
      <c r="N20" s="967">
        <f t="shared" si="0"/>
        <v>0</v>
      </c>
      <c r="O20" s="967">
        <f t="shared" si="0"/>
        <v>0</v>
      </c>
      <c r="P20" s="967">
        <f t="shared" si="0"/>
        <v>0</v>
      </c>
      <c r="Q20" s="967">
        <f t="shared" si="0"/>
        <v>0</v>
      </c>
    </row>
    <row r="21" spans="1:17" ht="15.5">
      <c r="A21" s="32" t="s">
        <v>502</v>
      </c>
      <c r="B21" s="959">
        <v>0</v>
      </c>
      <c r="C21" s="959">
        <v>0</v>
      </c>
      <c r="D21" s="959">
        <v>0</v>
      </c>
      <c r="E21" s="959">
        <v>0</v>
      </c>
      <c r="F21" s="959">
        <v>0</v>
      </c>
      <c r="G21" s="959">
        <v>0</v>
      </c>
      <c r="H21" s="959">
        <v>0</v>
      </c>
      <c r="I21" s="959">
        <v>0</v>
      </c>
    </row>
    <row r="22" spans="1:17" ht="15.5">
      <c r="A22" s="32" t="s">
        <v>503</v>
      </c>
      <c r="B22" s="959">
        <v>0</v>
      </c>
      <c r="C22" s="959">
        <v>0</v>
      </c>
      <c r="D22" s="959">
        <v>0</v>
      </c>
      <c r="E22" s="959">
        <v>0</v>
      </c>
      <c r="F22" s="959">
        <v>0</v>
      </c>
      <c r="G22" s="959">
        <v>0</v>
      </c>
      <c r="H22" s="959">
        <v>0</v>
      </c>
      <c r="I22" s="959">
        <v>0</v>
      </c>
    </row>
    <row r="23" spans="1:17" ht="15.5">
      <c r="A23" s="32" t="s">
        <v>504</v>
      </c>
      <c r="B23" s="959">
        <v>0</v>
      </c>
      <c r="C23" s="959">
        <v>0</v>
      </c>
      <c r="D23" s="959">
        <v>0</v>
      </c>
      <c r="E23" s="959">
        <v>0</v>
      </c>
      <c r="F23" s="959">
        <v>0</v>
      </c>
      <c r="G23" s="959">
        <v>0</v>
      </c>
      <c r="H23" s="959">
        <v>0</v>
      </c>
      <c r="I23" s="959">
        <v>0</v>
      </c>
    </row>
    <row r="24" spans="1:17" ht="15.5">
      <c r="A24" s="1656" t="s">
        <v>7435</v>
      </c>
      <c r="B24" s="959">
        <v>0</v>
      </c>
      <c r="C24" s="959">
        <v>0</v>
      </c>
      <c r="D24" s="959">
        <v>0</v>
      </c>
      <c r="E24" s="959">
        <v>0</v>
      </c>
      <c r="F24" s="959">
        <v>0</v>
      </c>
      <c r="G24" s="959">
        <v>0</v>
      </c>
      <c r="H24" s="959">
        <v>0</v>
      </c>
      <c r="I24" s="959">
        <v>0</v>
      </c>
    </row>
    <row r="25" spans="1:17" ht="15.5">
      <c r="A25" s="32" t="s">
        <v>9096</v>
      </c>
      <c r="B25" s="959">
        <v>0</v>
      </c>
      <c r="C25" s="959">
        <v>0</v>
      </c>
      <c r="D25" s="959">
        <v>0</v>
      </c>
      <c r="E25" s="959">
        <v>0</v>
      </c>
      <c r="F25" s="959">
        <v>0</v>
      </c>
      <c r="G25" s="959">
        <v>0</v>
      </c>
      <c r="H25" s="959">
        <v>0</v>
      </c>
      <c r="I25" s="959">
        <v>0</v>
      </c>
    </row>
    <row r="26" spans="1:17" ht="15.5">
      <c r="A26" s="32" t="s">
        <v>9097</v>
      </c>
      <c r="B26" s="959">
        <v>0</v>
      </c>
      <c r="C26" s="959">
        <v>0</v>
      </c>
      <c r="D26" s="959">
        <v>0</v>
      </c>
      <c r="E26" s="959">
        <v>0</v>
      </c>
      <c r="F26" s="959">
        <v>0</v>
      </c>
      <c r="G26" s="959">
        <v>0</v>
      </c>
      <c r="H26" s="959">
        <v>0</v>
      </c>
      <c r="I26" s="959">
        <v>0</v>
      </c>
    </row>
    <row r="27" spans="1:17" ht="15.5">
      <c r="A27" s="32" t="s">
        <v>9098</v>
      </c>
      <c r="B27" s="959">
        <v>0</v>
      </c>
      <c r="C27" s="959">
        <v>0</v>
      </c>
      <c r="D27" s="959">
        <v>0</v>
      </c>
      <c r="E27" s="959">
        <v>0</v>
      </c>
      <c r="F27" s="959">
        <v>0</v>
      </c>
      <c r="G27" s="959">
        <v>0</v>
      </c>
      <c r="H27" s="959">
        <v>0</v>
      </c>
      <c r="I27" s="959">
        <v>0</v>
      </c>
    </row>
    <row r="28" spans="1:17" ht="15.5">
      <c r="A28" s="958" t="s">
        <v>7855</v>
      </c>
      <c r="B28" s="959">
        <v>0</v>
      </c>
      <c r="C28" s="959">
        <v>0</v>
      </c>
      <c r="D28" s="959">
        <v>0</v>
      </c>
      <c r="E28" s="959">
        <v>0</v>
      </c>
      <c r="F28" s="959">
        <v>0</v>
      </c>
      <c r="G28" s="959">
        <v>0</v>
      </c>
      <c r="H28" s="959">
        <v>0</v>
      </c>
      <c r="I28" s="959">
        <v>0</v>
      </c>
    </row>
    <row r="29" spans="1:17" ht="15.5">
      <c r="A29" s="958" t="s">
        <v>7856</v>
      </c>
      <c r="B29" s="959">
        <v>0</v>
      </c>
      <c r="C29" s="959">
        <v>0</v>
      </c>
      <c r="D29" s="959">
        <v>0</v>
      </c>
      <c r="E29" s="959">
        <v>0</v>
      </c>
      <c r="F29" s="959">
        <v>0</v>
      </c>
      <c r="G29" s="959">
        <v>0</v>
      </c>
      <c r="H29" s="959">
        <v>0</v>
      </c>
      <c r="I29" s="959">
        <v>0</v>
      </c>
    </row>
    <row r="30" spans="1:17" ht="15.5">
      <c r="A30" s="958" t="s">
        <v>7857</v>
      </c>
      <c r="B30" s="959">
        <v>0</v>
      </c>
      <c r="C30" s="959">
        <v>0</v>
      </c>
      <c r="D30" s="959">
        <v>0</v>
      </c>
      <c r="E30" s="959">
        <v>0</v>
      </c>
      <c r="F30" s="959">
        <v>0</v>
      </c>
      <c r="G30" s="959">
        <v>0</v>
      </c>
      <c r="H30" s="959">
        <v>0</v>
      </c>
      <c r="I30" s="959">
        <v>0</v>
      </c>
    </row>
    <row r="31" spans="1:17" ht="15.5">
      <c r="A31" s="958" t="s">
        <v>7858</v>
      </c>
      <c r="B31" s="959">
        <v>0</v>
      </c>
      <c r="C31" s="959">
        <v>0</v>
      </c>
      <c r="D31" s="959">
        <v>0</v>
      </c>
      <c r="E31" s="959">
        <v>0</v>
      </c>
      <c r="F31" s="959">
        <v>0</v>
      </c>
      <c r="G31" s="959">
        <v>0</v>
      </c>
      <c r="H31" s="959">
        <v>0</v>
      </c>
      <c r="I31" s="959">
        <v>0</v>
      </c>
    </row>
    <row r="32" spans="1:17" ht="15.5">
      <c r="A32" s="958" t="s">
        <v>7859</v>
      </c>
      <c r="B32" s="959">
        <v>0</v>
      </c>
      <c r="C32" s="959">
        <v>0</v>
      </c>
      <c r="D32" s="959">
        <v>0</v>
      </c>
      <c r="E32" s="959">
        <v>0</v>
      </c>
      <c r="F32" s="959">
        <v>0</v>
      </c>
      <c r="G32" s="959">
        <v>0</v>
      </c>
      <c r="H32" s="959">
        <v>0</v>
      </c>
      <c r="I32" s="959">
        <v>0</v>
      </c>
    </row>
    <row r="33" spans="1:9" ht="15.5">
      <c r="A33" s="32" t="s">
        <v>506</v>
      </c>
      <c r="B33" s="959">
        <v>0</v>
      </c>
      <c r="C33" s="959">
        <v>0</v>
      </c>
      <c r="D33" s="959">
        <v>0</v>
      </c>
      <c r="E33" s="959">
        <v>0</v>
      </c>
      <c r="F33" s="959">
        <v>0</v>
      </c>
      <c r="G33" s="959">
        <v>0</v>
      </c>
      <c r="H33" s="959">
        <v>0</v>
      </c>
      <c r="I33" s="959">
        <v>0</v>
      </c>
    </row>
    <row r="34" spans="1:9" ht="15.5">
      <c r="A34" s="1669" t="s">
        <v>9095</v>
      </c>
      <c r="B34" s="959">
        <v>0</v>
      </c>
      <c r="C34" s="959">
        <v>0</v>
      </c>
      <c r="D34" s="959">
        <v>0</v>
      </c>
      <c r="E34" s="959">
        <v>0</v>
      </c>
      <c r="F34" s="959">
        <v>0</v>
      </c>
      <c r="G34" s="959">
        <v>0</v>
      </c>
      <c r="H34" s="959">
        <v>0</v>
      </c>
      <c r="I34" s="959">
        <v>0</v>
      </c>
    </row>
    <row r="35" spans="1:9" ht="15.5">
      <c r="A35" s="958" t="s">
        <v>7860</v>
      </c>
      <c r="B35" s="959">
        <v>0</v>
      </c>
      <c r="C35" s="959">
        <v>0</v>
      </c>
      <c r="D35" s="959">
        <v>0</v>
      </c>
      <c r="E35" s="959">
        <v>0</v>
      </c>
      <c r="F35" s="959">
        <v>0</v>
      </c>
      <c r="G35" s="959">
        <v>0</v>
      </c>
      <c r="H35" s="959">
        <v>0</v>
      </c>
      <c r="I35" s="959">
        <v>0</v>
      </c>
    </row>
    <row r="36" spans="1:9" ht="15.5">
      <c r="A36" s="958" t="s">
        <v>7861</v>
      </c>
      <c r="B36" s="959">
        <v>0</v>
      </c>
      <c r="C36" s="959">
        <v>0</v>
      </c>
      <c r="D36" s="959">
        <v>0</v>
      </c>
      <c r="E36" s="959">
        <v>0</v>
      </c>
      <c r="F36" s="959">
        <v>0</v>
      </c>
      <c r="G36" s="959">
        <v>0</v>
      </c>
      <c r="H36" s="959">
        <v>0</v>
      </c>
      <c r="I36" s="959">
        <v>0</v>
      </c>
    </row>
    <row r="37" spans="1:9" ht="15.5">
      <c r="A37" s="958" t="s">
        <v>7862</v>
      </c>
      <c r="B37" s="959">
        <v>0</v>
      </c>
      <c r="C37" s="959">
        <v>0</v>
      </c>
      <c r="D37" s="959">
        <v>0</v>
      </c>
      <c r="E37" s="959">
        <v>0</v>
      </c>
      <c r="F37" s="959">
        <v>0</v>
      </c>
      <c r="G37" s="959">
        <v>0</v>
      </c>
      <c r="H37" s="959">
        <v>0</v>
      </c>
      <c r="I37" s="959">
        <v>0</v>
      </c>
    </row>
    <row r="38" spans="1:9" ht="15.5">
      <c r="A38" s="958" t="s">
        <v>7629</v>
      </c>
      <c r="B38" s="959">
        <v>0</v>
      </c>
      <c r="C38" s="959">
        <f t="shared" ref="C38:I38" si="1">C11*0.05</f>
        <v>0</v>
      </c>
      <c r="D38" s="959">
        <f t="shared" si="1"/>
        <v>0</v>
      </c>
      <c r="E38" s="959">
        <f t="shared" si="1"/>
        <v>0</v>
      </c>
      <c r="F38" s="959">
        <f t="shared" si="1"/>
        <v>0</v>
      </c>
      <c r="G38" s="959">
        <f t="shared" si="1"/>
        <v>0</v>
      </c>
      <c r="H38" s="959">
        <f t="shared" si="1"/>
        <v>0</v>
      </c>
      <c r="I38" s="959">
        <f t="shared" si="1"/>
        <v>0</v>
      </c>
    </row>
    <row r="42" spans="1:9" ht="13">
      <c r="B42" s="1894" t="s">
        <v>7366</v>
      </c>
      <c r="C42" s="1894" t="s">
        <v>7366</v>
      </c>
      <c r="D42" s="1894" t="s">
        <v>7366</v>
      </c>
      <c r="E42" s="1894" t="s">
        <v>7366</v>
      </c>
      <c r="F42" s="1894" t="s">
        <v>7366</v>
      </c>
      <c r="G42" s="1894" t="s">
        <v>7366</v>
      </c>
      <c r="H42" s="1894" t="s">
        <v>7366</v>
      </c>
      <c r="I42" s="1894" t="s">
        <v>7366</v>
      </c>
    </row>
    <row r="43" spans="1:9" ht="15.5">
      <c r="A43" s="1657" t="s">
        <v>7377</v>
      </c>
      <c r="B43" s="965" t="s">
        <v>7358</v>
      </c>
      <c r="C43" s="965" t="s">
        <v>7359</v>
      </c>
      <c r="D43" s="965" t="s">
        <v>7360</v>
      </c>
      <c r="E43" s="966" t="s">
        <v>7361</v>
      </c>
      <c r="F43" s="966" t="s">
        <v>10695</v>
      </c>
      <c r="G43" s="966" t="s">
        <v>10696</v>
      </c>
      <c r="H43" s="966" t="s">
        <v>10697</v>
      </c>
      <c r="I43" s="966" t="s">
        <v>10698</v>
      </c>
    </row>
    <row r="44" spans="1:9" ht="15.5">
      <c r="A44" s="964" t="s">
        <v>2635</v>
      </c>
      <c r="B44" s="968">
        <f>B$71*Assumptions!$H$181</f>
        <v>0</v>
      </c>
      <c r="C44" s="968">
        <f>C$71*Assumptions!$H$181</f>
        <v>0</v>
      </c>
      <c r="D44" s="968">
        <f>D$71*Assumptions!$H$181</f>
        <v>0</v>
      </c>
      <c r="E44" s="968">
        <f>E$71*Assumptions!$H$181</f>
        <v>0</v>
      </c>
      <c r="F44" s="968">
        <f>F$71*Assumptions!$H$181</f>
        <v>0</v>
      </c>
      <c r="G44" s="968">
        <f>G$71*Assumptions!$H$181</f>
        <v>0</v>
      </c>
      <c r="H44" s="968">
        <f>H$71*Assumptions!$H$181</f>
        <v>0</v>
      </c>
      <c r="I44" s="968">
        <f>I$71*Assumptions!$H$181</f>
        <v>0</v>
      </c>
    </row>
    <row r="45" spans="1:9" ht="15.5">
      <c r="A45" s="964" t="s">
        <v>7854</v>
      </c>
      <c r="B45" s="1655" t="e">
        <f>'SOF2627-HB3'!$I$21*(B$71/'Calc Data'!$I$12)</f>
        <v>#DIV/0!</v>
      </c>
      <c r="C45" s="1655" t="e">
        <f>'SOF2324-HB3'!$I$21*(C$71/'Calc Data'!$I$12)</f>
        <v>#DIV/0!</v>
      </c>
      <c r="D45" s="1655" t="e">
        <f>'SOF2324-HB3'!$I$21*(D$71/'Calc Data'!$I$12)</f>
        <v>#DIV/0!</v>
      </c>
      <c r="E45" s="1655" t="e">
        <f>'SOF2324-HB3'!$I$21*(E$71/'Calc Data'!$I$12)</f>
        <v>#DIV/0!</v>
      </c>
      <c r="F45" s="1655" t="e">
        <f>'SOF2324-HB3'!$I$21*(F$71/'Calc Data'!$I$12)</f>
        <v>#DIV/0!</v>
      </c>
      <c r="G45" s="1655" t="e">
        <f>'SOF2324-HB3'!$I$21*(G$71/'Calc Data'!$I$12)</f>
        <v>#DIV/0!</v>
      </c>
      <c r="H45" s="1655" t="e">
        <f>'SOF2324-HB3'!$I$21*(H$71/'Calc Data'!$I$12)</f>
        <v>#DIV/0!</v>
      </c>
      <c r="I45" s="1655" t="e">
        <f>'SOF2324-HB3'!$I$21*(I$71/'Calc Data'!$I$12)</f>
        <v>#DIV/0!</v>
      </c>
    </row>
    <row r="46" spans="1:9" ht="15.5">
      <c r="A46" s="964" t="s">
        <v>2639</v>
      </c>
      <c r="B46" s="968">
        <f>(B$70*('Calc Data'!$I$96+Assumptions!$H$181))+(B$20*'Weights-HB3'!$N$14*('Calc Data'!$I$96+Assumptions!$H$181))+(B$21*'Weights-HB3'!$N$15*('Calc Data'!$I$96+Assumptions!$H$181))+(B$22*'Weights-HB3'!$N$16*('Calc Data'!$I$96+Assumptions!$H$181))+(B$23*'Weights-HB3'!$N$18*('Calc Data'!$I$96+Assumptions!$H$181))</f>
        <v>0</v>
      </c>
      <c r="C46" s="968">
        <f>(C$70*('Calc Data'!$I$96+Assumptions!$H$181))+(C$20*'Weights-HB3'!$N$14*('Calc Data'!$I$96+Assumptions!$H$181))+(C$21*'Weights-HB3'!$N$15*('Calc Data'!$I$96+Assumptions!$H$181))+(C$22*'Weights-HB3'!$N$16*('Calc Data'!$I$96+Assumptions!$H$181))+(C$23*'Weights-HB3'!$N$18*('Calc Data'!$I$96+Assumptions!$H$181))</f>
        <v>0</v>
      </c>
      <c r="D46" s="968">
        <f>(D$70*('Calc Data'!$I$96+Assumptions!$H$181))+(D$20*'Weights-HB3'!$N$14*('Calc Data'!$I$96+Assumptions!$H$181))+(D$21*'Weights-HB3'!$N$15*('Calc Data'!$I$96+Assumptions!$H$181))+(D$22*'Weights-HB3'!$N$16*('Calc Data'!$I$96+Assumptions!$H$181))+(D$23*'Weights-HB3'!$N$18*('Calc Data'!$I$96+Assumptions!$H$181))</f>
        <v>0</v>
      </c>
      <c r="E46" s="968">
        <f>(E$70*('Calc Data'!$I$96+Assumptions!$H$181))+(E$20*'Weights-HB3'!$N$14*('Calc Data'!$I$96+Assumptions!$H$181))+(E$21*'Weights-HB3'!$N$15*('Calc Data'!$I$96+Assumptions!$H$181))+(E$22*'Weights-HB3'!$N$16*('Calc Data'!$I$96+Assumptions!$H$181))+(E$23*'Weights-HB3'!$N$18*('Calc Data'!$I$96+Assumptions!$H$181))</f>
        <v>0</v>
      </c>
      <c r="F46" s="968">
        <f>(F$70*('Calc Data'!$I$96+Assumptions!$H$181))+(F$20*'Weights-HB3'!$N$14*('Calc Data'!$I$96+Assumptions!$H$181))+(F$21*'Weights-HB3'!$N$15*('Calc Data'!$I$96+Assumptions!$H$181))+(F$22*'Weights-HB3'!$N$16*('Calc Data'!$I$96+Assumptions!$H$181))+(F$23*'Weights-HB3'!$N$18*('Calc Data'!$I$96+Assumptions!$H$181))</f>
        <v>0</v>
      </c>
      <c r="G46" s="968">
        <f>(G$70*('Calc Data'!$I$96+Assumptions!$H$181))+(G$20*'Weights-HB3'!$N$14*('Calc Data'!$I$96+Assumptions!$H$181))+(G$21*'Weights-HB3'!$N$15*('Calc Data'!$I$96+Assumptions!$H$181))+(G$22*'Weights-HB3'!$N$16*('Calc Data'!$I$96+Assumptions!$H$181))+(G$23*'Weights-HB3'!$N$18*('Calc Data'!$I$96+Assumptions!$H$181))</f>
        <v>0</v>
      </c>
      <c r="H46" s="968">
        <f>(H$70*('Calc Data'!$I$96+Assumptions!$H$181))+(H$20*'Weights-HB3'!$N$14*('Calc Data'!$I$96+Assumptions!$H$181))+(H$21*'Weights-HB3'!$N$15*('Calc Data'!$I$96+Assumptions!$H$181))+(H$22*'Weights-HB3'!$N$16*('Calc Data'!$I$96+Assumptions!$H$181))+(H$23*'Weights-HB3'!$N$18*('Calc Data'!$I$96+Assumptions!$H$181))</f>
        <v>0</v>
      </c>
      <c r="I46" s="968">
        <f>(I$70*('Calc Data'!$I$96+Assumptions!$H$181))+(I$20*'Weights-HB3'!$N$14*('Calc Data'!$I$96+Assumptions!$H$181))+(I$21*'Weights-HB3'!$N$15*('Calc Data'!$I$96+Assumptions!$H$181))+(I$22*'Weights-HB3'!$N$16*('Calc Data'!$I$96+Assumptions!$H$181))+(I$23*'Weights-HB3'!$N$18*('Calc Data'!$I$96+Assumptions!$H$181))</f>
        <v>0</v>
      </c>
    </row>
    <row r="47" spans="1:9" ht="15.5">
      <c r="A47" s="964" t="s">
        <v>7436</v>
      </c>
      <c r="B47" s="1655">
        <f>B$24*'Weights-HB3'!$N$72*Assumptions!$H$181</f>
        <v>0</v>
      </c>
      <c r="C47" s="1655">
        <f>C$24*'Weights-HB3'!$N$72*Assumptions!$H$181</f>
        <v>0</v>
      </c>
      <c r="D47" s="1655">
        <f>D$24*'Weights-HB3'!$N$72*Assumptions!$H$181</f>
        <v>0</v>
      </c>
      <c r="E47" s="1655">
        <f>E$24*'Weights-HB3'!$N$72*Assumptions!$H$181</f>
        <v>0</v>
      </c>
      <c r="F47" s="1655">
        <f>F$24*'Weights-HB3'!$N$72*Assumptions!$H$181</f>
        <v>0</v>
      </c>
      <c r="G47" s="1655">
        <f>G$24*'Weights-HB3'!$N$72*Assumptions!$H$181</f>
        <v>0</v>
      </c>
      <c r="H47" s="1655">
        <f>H$24*'Weights-HB3'!$N$72*Assumptions!$H$181</f>
        <v>0</v>
      </c>
      <c r="I47" s="1655">
        <f>I$24*'Weights-HB3'!$N$72*Assumptions!$H$181</f>
        <v>0</v>
      </c>
    </row>
    <row r="48" spans="1:9" ht="15.5">
      <c r="A48" s="964" t="s">
        <v>7363</v>
      </c>
      <c r="B48" s="968">
        <f>(B$25*(Assumptions!$H$181+'Calc Data'!$I$96)*'Weights-HB3'!$N$21)+(B$26*(Assumptions!$H$181+'Calc Data'!$I$96)*'Weights-HB3'!$N$22)+(B$27*(Assumptions!$H$181+'Calc Data'!$I$96)*'Weights-HB3'!$N$23)</f>
        <v>0</v>
      </c>
      <c r="C48" s="968">
        <f>(C$25*(Assumptions!$H$181+'Calc Data'!$I$96)*'Weights-HB3'!$N$21)+(C$26*(Assumptions!$H$181+'Calc Data'!$I$96)*'Weights-HB3'!$N$22)+(C$27*(Assumptions!$H$181+'Calc Data'!$I$96)*'Weights-HB3'!$N$23)</f>
        <v>0</v>
      </c>
      <c r="D48" s="968">
        <f>(D$25*(Assumptions!$H$181+'Calc Data'!$I$96)*'Weights-HB3'!$N$21)+(D$26*(Assumptions!$H$181+'Calc Data'!$I$96)*'Weights-HB3'!$N$22)+(D$27*(Assumptions!$H$181+'Calc Data'!$I$96)*'Weights-HB3'!$N$23)</f>
        <v>0</v>
      </c>
      <c r="E48" s="968">
        <f>(E$25*(Assumptions!$H$181+'Calc Data'!$I$96)*'Weights-HB3'!$N$21)+(E$26*(Assumptions!$H$181+'Calc Data'!$I$96)*'Weights-HB3'!$N$22)+(E$27*(Assumptions!$H$181+'Calc Data'!$I$96)*'Weights-HB3'!$N$23)</f>
        <v>0</v>
      </c>
      <c r="F48" s="968">
        <f>(F$25*(Assumptions!$H$181+'Calc Data'!$I$96)*'Weights-HB3'!$N$21)+(F$26*(Assumptions!$H$181+'Calc Data'!$I$96)*'Weights-HB3'!$N$22)+(F$27*(Assumptions!$H$181+'Calc Data'!$I$96)*'Weights-HB3'!$N$23)</f>
        <v>0</v>
      </c>
      <c r="G48" s="968">
        <f>(G$25*(Assumptions!$H$181+'Calc Data'!$I$96)*'Weights-HB3'!$N$21)+(G$26*(Assumptions!$H$181+'Calc Data'!$I$96)*'Weights-HB3'!$N$22)+(G$27*(Assumptions!$H$181+'Calc Data'!$I$96)*'Weights-HB3'!$N$23)</f>
        <v>0</v>
      </c>
      <c r="H48" s="968">
        <f>(H$25*(Assumptions!$H$181+'Calc Data'!$I$96)*'Weights-HB3'!$N$21)+(H$26*(Assumptions!$H$181+'Calc Data'!$I$96)*'Weights-HB3'!$N$22)+(H$27*(Assumptions!$H$181+'Calc Data'!$I$96)*'Weights-HB3'!$N$23)</f>
        <v>0</v>
      </c>
      <c r="I48" s="968">
        <f>(I$25*(Assumptions!$H$181+'Calc Data'!$I$96)*'Weights-HB3'!$N$21)+(I$26*(Assumptions!$H$181+'Calc Data'!$I$96)*'Weights-HB3'!$N$22)+(I$27*(Assumptions!$H$181+'Calc Data'!$I$96)*'Weights-HB3'!$N$23)</f>
        <v>0</v>
      </c>
    </row>
    <row r="49" spans="1:10" ht="15.5">
      <c r="A49" s="964" t="s">
        <v>7364</v>
      </c>
      <c r="B49" s="968">
        <f>(B$28*Assumptions!$H$181*'Weights-HB3'!$N$36)+(B$29*Assumptions!$H$181*'Weights-HB3'!$N$37)+(B$30*Assumptions!$H$181*'Weights-HB3'!$N$38)+(B$31*Assumptions!$H$181*'Weights-HB3'!$N$39)+(B$32*Assumptions!$H$181*'Weights-HB3'!$N$40)+(B$33*Assumptions!$H$181*'Weights-HB3'!$N$43)</f>
        <v>0</v>
      </c>
      <c r="C49" s="968">
        <f>(C$28*Assumptions!$H$181*'Weights-HB3'!$N$36)+(C$29*Assumptions!$H$181*'Weights-HB3'!$N$37)+(C$30*Assumptions!$H$181*'Weights-HB3'!$N$38)+(C$31*Assumptions!$H$181*'Weights-HB3'!$N$39)+(C$32*Assumptions!$H$181*'Weights-HB3'!$N$40)+(C$33*Assumptions!$H$181*'Weights-HB3'!$N$43)</f>
        <v>0</v>
      </c>
      <c r="D49" s="968">
        <f>(D$28*Assumptions!$H$181*'Weights-HB3'!$N$36)+(D$29*Assumptions!$H$181*'Weights-HB3'!$N$37)+(D$30*Assumptions!$H$181*'Weights-HB3'!$N$38)+(D$31*Assumptions!$H$181*'Weights-HB3'!$N$39)+(D$32*Assumptions!$H$181*'Weights-HB3'!$N$40)+(D$33*Assumptions!$H$181*'Weights-HB3'!$N$43)</f>
        <v>0</v>
      </c>
      <c r="E49" s="968">
        <f>(E$28*Assumptions!$H$181*'Weights-HB3'!$N$36)+(E$29*Assumptions!$H$181*'Weights-HB3'!$N$37)+(E$30*Assumptions!$H$181*'Weights-HB3'!$N$38)+(E$31*Assumptions!$H$181*'Weights-HB3'!$N$39)+(E$32*Assumptions!$H$181*'Weights-HB3'!$N$40)+(E$33*Assumptions!$H$181*'Weights-HB3'!$N$43)</f>
        <v>0</v>
      </c>
      <c r="F49" s="968">
        <f>(F$28*Assumptions!$H$181*'Weights-HB3'!$N$36)+(F$29*Assumptions!$H$181*'Weights-HB3'!$N$37)+(F$30*Assumptions!$H$181*'Weights-HB3'!$N$38)+(F$31*Assumptions!$H$181*'Weights-HB3'!$N$39)+(F$32*Assumptions!$H$181*'Weights-HB3'!$N$40)+(F$33*Assumptions!$H$181*'Weights-HB3'!$N$43)</f>
        <v>0</v>
      </c>
      <c r="G49" s="968">
        <f>(G$28*Assumptions!$H$181*'Weights-HB3'!$N$36)+(G$29*Assumptions!$H$181*'Weights-HB3'!$N$37)+(G$30*Assumptions!$H$181*'Weights-HB3'!$N$38)+(G$31*Assumptions!$H$181*'Weights-HB3'!$N$39)+(G$32*Assumptions!$H$181*'Weights-HB3'!$N$40)+(G$33*Assumptions!$H$181*'Weights-HB3'!$N$43)</f>
        <v>0</v>
      </c>
      <c r="H49" s="968">
        <f>(H$28*Assumptions!$H$181*'Weights-HB3'!$N$36)+(H$29*Assumptions!$H$181*'Weights-HB3'!$N$37)+(H$30*Assumptions!$H$181*'Weights-HB3'!$N$38)+(H$31*Assumptions!$H$181*'Weights-HB3'!$N$39)+(H$32*Assumptions!$H$181*'Weights-HB3'!$N$40)+(H$33*Assumptions!$H$181*'Weights-HB3'!$N$43)</f>
        <v>0</v>
      </c>
      <c r="I49" s="968">
        <f>(I$28*Assumptions!$H$181*'Weights-HB3'!$N$36)+(I$29*Assumptions!$H$181*'Weights-HB3'!$N$37)+(I$30*Assumptions!$H$181*'Weights-HB3'!$N$38)+(I$31*Assumptions!$H$181*'Weights-HB3'!$N$39)+(I$32*Assumptions!$H$181*'Weights-HB3'!$N$40)+(I$33*Assumptions!$H$181*'Weights-HB3'!$N$43)</f>
        <v>0</v>
      </c>
    </row>
    <row r="50" spans="1:10" ht="15.5">
      <c r="A50" s="964" t="s">
        <v>2642</v>
      </c>
      <c r="B50" s="968">
        <f>B$34*Assumptions!$H$181*'Weights-HB3'!$N$31</f>
        <v>0</v>
      </c>
      <c r="C50" s="968">
        <f>C$34*Assumptions!$H$181*'Weights-HB3'!$N$31</f>
        <v>0</v>
      </c>
      <c r="D50" s="968">
        <f>D$34*Assumptions!$H$181*'Weights-HB3'!$N$31</f>
        <v>0</v>
      </c>
      <c r="E50" s="968">
        <f>E$34*Assumptions!$H$181*'Weights-HB3'!$N$31</f>
        <v>0</v>
      </c>
      <c r="F50" s="968">
        <f>F$34*Assumptions!$H$181*'Weights-HB3'!$N$31</f>
        <v>0</v>
      </c>
      <c r="G50" s="968">
        <f>G$34*Assumptions!$H$181*'Weights-HB3'!$N$31</f>
        <v>0</v>
      </c>
      <c r="H50" s="968">
        <f>H$34*Assumptions!$H$181*'Weights-HB3'!$N$31</f>
        <v>0</v>
      </c>
      <c r="I50" s="968">
        <f>I$34*Assumptions!$H$181*'Weights-HB3'!$N$31</f>
        <v>0</v>
      </c>
    </row>
    <row r="51" spans="1:10" ht="15.5">
      <c r="A51" s="964" t="s">
        <v>7365</v>
      </c>
      <c r="B51" s="968">
        <f>(B$35*Assumptions!$H$181*'Weights-HB3'!$N$26)+(B$36*Assumptions!$H$181*'Weights-HB3'!$N$27)+(B$37*Assumptions!$H$181*'Weights-HB3'!$N$28)</f>
        <v>0</v>
      </c>
      <c r="C51" s="968">
        <f>(C$35*Assumptions!$H$181*'Weights-HB3'!$N$26)+(C$36*Assumptions!$H$181*'Weights-HB3'!$N$27)+(C$37*Assumptions!$H$181*'Weights-HB3'!$N$28)</f>
        <v>0</v>
      </c>
      <c r="D51" s="968">
        <f>(D$35*Assumptions!$H$181*'Weights-HB3'!$N$26)+(D$36*Assumptions!$H$181*'Weights-HB3'!$N$27)+(D$37*Assumptions!$H$181*'Weights-HB3'!$N$28)</f>
        <v>0</v>
      </c>
      <c r="E51" s="968">
        <f>(E$35*Assumptions!$H$181*'Weights-HB3'!$N$26)+(E$36*Assumptions!$H$181*'Weights-HB3'!$N$27)+(E$37*Assumptions!$H$181*'Weights-HB3'!$N$28)</f>
        <v>0</v>
      </c>
      <c r="F51" s="968">
        <f>(F$35*Assumptions!$H$181*'Weights-HB3'!$N$26)+(F$36*Assumptions!$H$181*'Weights-HB3'!$N$27)+(F$37*Assumptions!$H$181*'Weights-HB3'!$N$28)</f>
        <v>0</v>
      </c>
      <c r="G51" s="968">
        <f>(G$35*Assumptions!$H$181*'Weights-HB3'!$N$26)+(G$36*Assumptions!$H$181*'Weights-HB3'!$N$27)+(G$37*Assumptions!$H$181*'Weights-HB3'!$N$28)</f>
        <v>0</v>
      </c>
      <c r="H51" s="968">
        <f>(H$35*Assumptions!$H$181*'Weights-HB3'!$N$26)+(H$36*Assumptions!$H$181*'Weights-HB3'!$N$27)+(H$37*Assumptions!$H$181*'Weights-HB3'!$N$28)</f>
        <v>0</v>
      </c>
      <c r="I51" s="968">
        <f>(I$35*Assumptions!$H$181*'Weights-HB3'!$N$26)+(I$36*Assumptions!$H$181*'Weights-HB3'!$N$27)+(I$37*Assumptions!$H$181*'Weights-HB3'!$N$28)</f>
        <v>0</v>
      </c>
    </row>
    <row r="52" spans="1:10" ht="15.5">
      <c r="A52" s="964" t="s">
        <v>7628</v>
      </c>
      <c r="B52" s="968">
        <f>B$38*Assumptions!$H$181*'Weights-HB3'!$N$74</f>
        <v>0</v>
      </c>
      <c r="C52" s="968">
        <f>C$38*Assumptions!$H$181*'Weights-HB3'!$N$74</f>
        <v>0</v>
      </c>
      <c r="D52" s="968">
        <f>D$38*Assumptions!$H$181*'Weights-HB3'!$N$74</f>
        <v>0</v>
      </c>
      <c r="E52" s="968">
        <f>E$38*Assumptions!$H$181*'Weights-HB3'!$N$74</f>
        <v>0</v>
      </c>
      <c r="F52" s="968">
        <f>F$38*Assumptions!$H$181*'Weights-HB3'!$N$74</f>
        <v>0</v>
      </c>
      <c r="G52" s="968">
        <f>G$38*Assumptions!$H$181*'Weights-HB3'!$N$74</f>
        <v>0</v>
      </c>
      <c r="H52" s="968">
        <f>H$38*Assumptions!$H$181*'Weights-HB3'!$N$74</f>
        <v>0</v>
      </c>
      <c r="I52" s="968">
        <f>I$38*Assumptions!$H$181*'Weights-HB3'!$N$74</f>
        <v>0</v>
      </c>
    </row>
    <row r="53" spans="1:10" ht="15.5">
      <c r="A53" s="964" t="s">
        <v>2312</v>
      </c>
      <c r="B53" s="968" t="e">
        <f t="shared" ref="B53:I53" si="2">SUM(B44:B52)</f>
        <v>#DIV/0!</v>
      </c>
      <c r="C53" s="968" t="e">
        <f t="shared" si="2"/>
        <v>#DIV/0!</v>
      </c>
      <c r="D53" s="968" t="e">
        <f t="shared" si="2"/>
        <v>#DIV/0!</v>
      </c>
      <c r="E53" s="968" t="e">
        <f t="shared" si="2"/>
        <v>#DIV/0!</v>
      </c>
      <c r="F53" s="968" t="e">
        <f t="shared" si="2"/>
        <v>#DIV/0!</v>
      </c>
      <c r="G53" s="968" t="e">
        <f t="shared" si="2"/>
        <v>#DIV/0!</v>
      </c>
      <c r="H53" s="968" t="e">
        <f t="shared" si="2"/>
        <v>#DIV/0!</v>
      </c>
      <c r="I53" s="968" t="e">
        <f t="shared" si="2"/>
        <v>#DIV/0!</v>
      </c>
    </row>
    <row r="55" spans="1:10" ht="15.5">
      <c r="B55" s="1894" t="s">
        <v>7367</v>
      </c>
      <c r="C55" s="1894" t="s">
        <v>7367</v>
      </c>
      <c r="D55" s="1894" t="s">
        <v>7367</v>
      </c>
      <c r="E55" s="1894" t="s">
        <v>7367</v>
      </c>
      <c r="F55" s="1894" t="s">
        <v>7367</v>
      </c>
      <c r="G55" s="1894" t="s">
        <v>7367</v>
      </c>
      <c r="H55" s="1894" t="s">
        <v>7367</v>
      </c>
      <c r="I55" s="1894" t="s">
        <v>7367</v>
      </c>
      <c r="J55" s="259" t="s">
        <v>7398</v>
      </c>
    </row>
    <row r="56" spans="1:10" ht="13">
      <c r="B56" s="965" t="s">
        <v>7358</v>
      </c>
      <c r="C56" s="965" t="s">
        <v>7359</v>
      </c>
      <c r="D56" s="965" t="s">
        <v>7360</v>
      </c>
      <c r="E56" s="966" t="s">
        <v>7361</v>
      </c>
      <c r="F56" s="966" t="s">
        <v>10695</v>
      </c>
      <c r="G56" s="966" t="s">
        <v>10696</v>
      </c>
      <c r="H56" s="966" t="s">
        <v>10697</v>
      </c>
      <c r="I56" s="966" t="s">
        <v>10698</v>
      </c>
      <c r="J56" s="986" t="s">
        <v>7853</v>
      </c>
    </row>
    <row r="57" spans="1:10" ht="15.5">
      <c r="A57" s="964" t="s">
        <v>2635</v>
      </c>
      <c r="B57" s="968">
        <f t="shared" ref="B57:I57" si="3">B$71*$J$57</f>
        <v>0</v>
      </c>
      <c r="C57" s="968">
        <f t="shared" si="3"/>
        <v>0</v>
      </c>
      <c r="D57" s="968">
        <f t="shared" si="3"/>
        <v>0</v>
      </c>
      <c r="E57" s="968">
        <f t="shared" si="3"/>
        <v>0</v>
      </c>
      <c r="F57" s="968">
        <f t="shared" si="3"/>
        <v>0</v>
      </c>
      <c r="G57" s="968">
        <f t="shared" si="3"/>
        <v>0</v>
      </c>
      <c r="H57" s="968">
        <f t="shared" si="3"/>
        <v>0</v>
      </c>
      <c r="I57" s="968">
        <f t="shared" si="3"/>
        <v>0</v>
      </c>
      <c r="J57" s="994">
        <f>'DistCharter-Data2425'!J57</f>
        <v>6160</v>
      </c>
    </row>
    <row r="58" spans="1:10" ht="15.5">
      <c r="A58" s="964" t="s">
        <v>7854</v>
      </c>
      <c r="B58" s="1655">
        <f t="shared" ref="B58:I58" si="4">$J$59*B$71</f>
        <v>0</v>
      </c>
      <c r="C58" s="1655">
        <f t="shared" si="4"/>
        <v>0</v>
      </c>
      <c r="D58" s="1655">
        <f t="shared" si="4"/>
        <v>0</v>
      </c>
      <c r="E58" s="1655">
        <f t="shared" si="4"/>
        <v>0</v>
      </c>
      <c r="F58" s="1655">
        <f t="shared" si="4"/>
        <v>0</v>
      </c>
      <c r="G58" s="1655">
        <f t="shared" si="4"/>
        <v>0</v>
      </c>
      <c r="H58" s="1655">
        <f t="shared" si="4"/>
        <v>0</v>
      </c>
      <c r="I58" s="1655">
        <f t="shared" si="4"/>
        <v>0</v>
      </c>
      <c r="J58" s="986" t="s">
        <v>7863</v>
      </c>
    </row>
    <row r="59" spans="1:10" ht="15.5">
      <c r="A59" s="964" t="s">
        <v>2639</v>
      </c>
      <c r="B59" s="968">
        <f>(B$70*$J$57)+(B$20*'Weights-HB3'!$N$14*$J$57+(B$21*'Weights-HB3'!$N$15*$J$57)+(B$22*'Weights-HB3'!$N$16*$J$57)+(B$23*'Weights-HB3'!$N$18*$J$57))</f>
        <v>0</v>
      </c>
      <c r="C59" s="968">
        <f>(C$70*$J$57)+(C$20*'Weights-HB3'!$N$14*$J$57+(C$21*'Weights-HB3'!$N$15*$J$57)+(C$22*'Weights-HB3'!$N$16*$J$57)+(C$23*'Weights-HB3'!$N$18*$J$57))</f>
        <v>0</v>
      </c>
      <c r="D59" s="968">
        <f>(D$70*$J$57)+(D$20*'Weights-HB3'!$N$14*$J$57+(D$21*'Weights-HB3'!$N$15*$J$57)+(D$22*'Weights-HB3'!$N$16*$J$57)+(D$23*'Weights-HB3'!$N$18*$J$57))</f>
        <v>0</v>
      </c>
      <c r="E59" s="968">
        <f>(E$70*$J$57)+(E$20*'Weights-HB3'!$N$14*$J$57+(E$21*'Weights-HB3'!$N$15*$J$57)+(E$22*'Weights-HB3'!$N$16*$J$57)+(E$23*'Weights-HB3'!$N$18*$J$57))</f>
        <v>0</v>
      </c>
      <c r="F59" s="968">
        <f>(F$70*$J$57)+(F$20*'Weights-HB3'!$N$14*$J$57+(F$21*'Weights-HB3'!$N$15*$J$57)+(F$22*'Weights-HB3'!$N$16*$J$57)+(F$23*'Weights-HB3'!$N$18*$J$57))</f>
        <v>0</v>
      </c>
      <c r="G59" s="968">
        <f>(G$70*$J$57)+(G$20*'Weights-HB3'!$N$14*$J$57+(G$21*'Weights-HB3'!$N$15*$J$57)+(G$22*'Weights-HB3'!$N$16*$J$57)+(G$23*'Weights-HB3'!$N$18*$J$57))</f>
        <v>0</v>
      </c>
      <c r="H59" s="968">
        <f>(H$70*$J$57)+(H$20*'Weights-HB3'!$N$14*$J$57+(H$21*'Weights-HB3'!$N$15*$J$57)+(H$22*'Weights-HB3'!$N$16*$J$57)+(H$23*'Weights-HB3'!$N$18*$J$57))</f>
        <v>0</v>
      </c>
      <c r="I59" s="968">
        <f>(I$70*$J$57)+(I$20*'Weights-HB3'!$N$14*$J$57+(I$21*'Weights-HB3'!$N$15*$J$57)+(I$22*'Weights-HB3'!$N$16*$J$57)+(I$23*'Weights-HB3'!$N$18*$J$57))</f>
        <v>0</v>
      </c>
      <c r="J59" s="994">
        <f>'DistCharter-Data2425'!J59</f>
        <v>1103</v>
      </c>
    </row>
    <row r="60" spans="1:10" ht="15.5">
      <c r="A60" s="964" t="s">
        <v>7436</v>
      </c>
      <c r="B60" s="1655">
        <f>B$24*'Weights-HB3'!$N$72*$J$57</f>
        <v>0</v>
      </c>
      <c r="C60" s="1655">
        <f>C$24*'Weights-HB3'!$N$72*$J$57</f>
        <v>0</v>
      </c>
      <c r="D60" s="1655">
        <f>D$24*'Weights-HB3'!$N$72*$J$57</f>
        <v>0</v>
      </c>
      <c r="E60" s="1655">
        <f>E$24*'Weights-HB3'!$N$72*$J$57</f>
        <v>0</v>
      </c>
      <c r="F60" s="1655">
        <f>F$24*'Weights-HB3'!$N$72*$J$57</f>
        <v>0</v>
      </c>
      <c r="G60" s="1655">
        <f>G$24*'Weights-HB3'!$N$72*$J$57</f>
        <v>0</v>
      </c>
      <c r="H60" s="1655">
        <f>H$24*'Weights-HB3'!$N$72*$J$57</f>
        <v>0</v>
      </c>
      <c r="I60" s="1655">
        <f>I$24*'Weights-HB3'!$N$72*$J$57</f>
        <v>0</v>
      </c>
      <c r="J60" s="2043">
        <f>J57+J59</f>
        <v>7263</v>
      </c>
    </row>
    <row r="61" spans="1:10" ht="15.5">
      <c r="A61" s="964" t="s">
        <v>7363</v>
      </c>
      <c r="B61" s="968">
        <f>(B$25*'Weights-HB3'!$N$21*$J$60)+(B$26*'Weights-HB3'!$N$22*$J$60)+(B$27*'Weights-HB3'!$N$23*$J$60)</f>
        <v>0</v>
      </c>
      <c r="C61" s="968">
        <f>(C$25*'Weights-HB3'!$N$21*$J$60)+(C$26*'Weights-HB3'!$N$22*$J$60)+(C$27*'Weights-HB3'!$N$23*$J$60)</f>
        <v>0</v>
      </c>
      <c r="D61" s="968">
        <f>(D$25*'Weights-HB3'!$N$21*$J$60)+(D$26*'Weights-HB3'!$N$22*$J$60)+(D$27*'Weights-HB3'!$N$23*$J$60)</f>
        <v>0</v>
      </c>
      <c r="E61" s="968">
        <f>(E$25*'Weights-HB3'!$N$21*$J$60)+(E$26*'Weights-HB3'!$N$22*$J$60)+(E$27*'Weights-HB3'!$N$23*$J$60)</f>
        <v>0</v>
      </c>
      <c r="F61" s="968">
        <f>(F$25*'Weights-HB3'!$N$21*$J$60)+(F$26*'Weights-HB3'!$N$22*$J$60)+(F$27*'Weights-HB3'!$N$23*$J$60)</f>
        <v>0</v>
      </c>
      <c r="G61" s="968">
        <f>(G$25*'Weights-HB3'!$N$21*$J$60)+(G$26*'Weights-HB3'!$N$22*$J$60)+(G$27*'Weights-HB3'!$N$23*$J$60)</f>
        <v>0</v>
      </c>
      <c r="H61" s="968">
        <f>(H$25*'Weights-HB3'!$N$21*$J$60)+(H$26*'Weights-HB3'!$N$22*$J$60)+(H$27*'Weights-HB3'!$N$23*$J$60)</f>
        <v>0</v>
      </c>
      <c r="I61" s="968">
        <f>(I$25*'Weights-HB3'!$N$21*$J$60)+(I$26*'Weights-HB3'!$N$22*$J$60)+(I$27*'Weights-HB3'!$N$23*$J$60)</f>
        <v>0</v>
      </c>
    </row>
    <row r="62" spans="1:10" ht="15.5">
      <c r="A62" s="964" t="s">
        <v>7364</v>
      </c>
      <c r="B62" s="968">
        <f>(B$28*$J$57*'Weights-HB3'!$N$36)+(B$29*$J$57*'Weights-HB3'!$N$37)+(B$30*$J$57*'Weights-HB3'!$N$38)+(B$31*$J$57*'Weights-HB3'!$N$39)+(B$32*$J$57*'Weights-HB3'!$N$40)+(B$33*$J$57*'Weights-HB3'!$N$43)</f>
        <v>0</v>
      </c>
      <c r="C62" s="968">
        <f>(C$28*$J$57*'Weights-HB3'!$N$36)+(C$29*$J$57*'Weights-HB3'!$N$37)+(C$30*$J$57*'Weights-HB3'!$N$38)+(C$31*$J$57*'Weights-HB3'!$N$39)+(C$32*$J$57*'Weights-HB3'!$N$40)+(C$33*$J$57*'Weights-HB3'!$N$43)</f>
        <v>0</v>
      </c>
      <c r="D62" s="968">
        <f>(D$28*$J$57*'Weights-HB3'!$N$36)+(D$29*$J$57*'Weights-HB3'!$N$37)+(D$30*$J$57*'Weights-HB3'!$N$38)+(D$31*$J$57*'Weights-HB3'!$N$39)+(D$32*$J$57*'Weights-HB3'!$N$40)+(D$33*$J$57*'Weights-HB3'!$N$43)</f>
        <v>0</v>
      </c>
      <c r="E62" s="968">
        <f>(E$28*$J$57*'Weights-HB3'!$N$36)+(E$29*$J$57*'Weights-HB3'!$N$37)+(E$30*$J$57*'Weights-HB3'!$N$38)+(E$31*$J$57*'Weights-HB3'!$N$39)+(E$32*$J$57*'Weights-HB3'!$N$40)+(E$33*$J$57*'Weights-HB3'!$N$43)</f>
        <v>0</v>
      </c>
      <c r="F62" s="968">
        <f>(F$28*$J$57*'Weights-HB3'!$N$36)+(F$29*$J$57*'Weights-HB3'!$N$37)+(F$30*$J$57*'Weights-HB3'!$N$38)+(F$31*$J$57*'Weights-HB3'!$N$39)+(F$32*$J$57*'Weights-HB3'!$N$40)+(F$33*$J$57*'Weights-HB3'!$N$43)</f>
        <v>0</v>
      </c>
      <c r="G62" s="968">
        <f>(G$28*$J$57*'Weights-HB3'!$N$36)+(G$29*$J$57*'Weights-HB3'!$N$37)+(G$30*$J$57*'Weights-HB3'!$N$38)+(G$31*$J$57*'Weights-HB3'!$N$39)+(G$32*$J$57*'Weights-HB3'!$N$40)+(G$33*$J$57*'Weights-HB3'!$N$43)</f>
        <v>0</v>
      </c>
      <c r="H62" s="968">
        <f>(H$28*$J$57*'Weights-HB3'!$N$36)+(H$29*$J$57*'Weights-HB3'!$N$37)+(H$30*$J$57*'Weights-HB3'!$N$38)+(H$31*$J$57*'Weights-HB3'!$N$39)+(H$32*$J$57*'Weights-HB3'!$N$40)+(H$33*$J$57*'Weights-HB3'!$N$43)</f>
        <v>0</v>
      </c>
      <c r="I62" s="968">
        <f>(I$28*$J$57*'Weights-HB3'!$N$36)+(I$29*$J$57*'Weights-HB3'!$N$37)+(I$30*$J$57*'Weights-HB3'!$N$38)+(I$31*$J$57*'Weights-HB3'!$N$39)+(I$32*$J$57*'Weights-HB3'!$N$40)+(I$33*$J$57*'Weights-HB3'!$N$43)</f>
        <v>0</v>
      </c>
    </row>
    <row r="63" spans="1:10" ht="15.5">
      <c r="A63" s="964" t="s">
        <v>2642</v>
      </c>
      <c r="B63" s="968">
        <f>B$34*$J$57*'Weights-HB3'!$N$31</f>
        <v>0</v>
      </c>
      <c r="C63" s="968">
        <f>C$34*$J$57*'Weights-HB3'!$N$31</f>
        <v>0</v>
      </c>
      <c r="D63" s="968">
        <f>D$34*$J$57*'Weights-HB3'!$N$31</f>
        <v>0</v>
      </c>
      <c r="E63" s="968">
        <f>E$34*$J$57*'Weights-HB3'!$N$31</f>
        <v>0</v>
      </c>
      <c r="F63" s="968">
        <f>F$34*$J$57*'Weights-HB3'!$N$31</f>
        <v>0</v>
      </c>
      <c r="G63" s="968">
        <f>G$34*$J$57*'Weights-HB3'!$N$31</f>
        <v>0</v>
      </c>
      <c r="H63" s="968">
        <f>H$34*$J$57*'Weights-HB3'!$N$31</f>
        <v>0</v>
      </c>
      <c r="I63" s="968">
        <f>I$34*$J$57*'Weights-HB3'!$N$31</f>
        <v>0</v>
      </c>
    </row>
    <row r="64" spans="1:10" ht="15.5">
      <c r="A64" s="964" t="s">
        <v>7365</v>
      </c>
      <c r="B64" s="968">
        <f>(B$35*$J$57*'Weights-HB3'!$N$26)+(B$36*$J$57*'Weights-HB3'!$N$27)+(B$37*$J$57*'Weights-HB3'!$N$28)</f>
        <v>0</v>
      </c>
      <c r="C64" s="968">
        <f>(C$35*$J$57*'Weights-HB3'!$N$26)+(C$36*$J$57*'Weights-HB3'!$N$27)+(C$37*$J$57*'Weights-HB3'!$N$28)</f>
        <v>0</v>
      </c>
      <c r="D64" s="968">
        <f>(D$35*$J$57*'Weights-HB3'!$N$26)+(D$36*$J$57*'Weights-HB3'!$N$27)+(D$37*$J$57*'Weights-HB3'!$N$28)</f>
        <v>0</v>
      </c>
      <c r="E64" s="968">
        <f>(E$35*$J$57*'Weights-HB3'!$N$26)+(E$36*$J$57*'Weights-HB3'!$N$27)+(E$37*$J$57*'Weights-HB3'!$N$28)</f>
        <v>0</v>
      </c>
      <c r="F64" s="968">
        <f>(F$35*$J$57*'Weights-HB3'!$N$26)+(F$36*$J$57*'Weights-HB3'!$N$27)+(F$37*$J$57*'Weights-HB3'!$N$28)</f>
        <v>0</v>
      </c>
      <c r="G64" s="968">
        <f>(G$35*$J$57*'Weights-HB3'!$N$26)+(G$36*$J$57*'Weights-HB3'!$N$27)+(G$37*$J$57*'Weights-HB3'!$N$28)</f>
        <v>0</v>
      </c>
      <c r="H64" s="968">
        <f>(H$35*$J$57*'Weights-HB3'!$N$26)+(H$36*$J$57*'Weights-HB3'!$N$27)+(H$37*$J$57*'Weights-HB3'!$N$28)</f>
        <v>0</v>
      </c>
      <c r="I64" s="968">
        <f>(I$35*$J$57*'Weights-HB3'!$N$26)+(I$36*$J$57*'Weights-HB3'!$N$27)+(I$37*$J$57*'Weights-HB3'!$N$28)</f>
        <v>0</v>
      </c>
    </row>
    <row r="65" spans="1:9" ht="15.5">
      <c r="A65" s="964" t="s">
        <v>7628</v>
      </c>
      <c r="B65" s="968">
        <f>B$38*$J$57*'Weights-HB3'!$N$74</f>
        <v>0</v>
      </c>
      <c r="C65" s="968">
        <f>C$38*$J$57*'Weights-HB3'!$N$74</f>
        <v>0</v>
      </c>
      <c r="D65" s="968">
        <f>D$38*$J$57*'Weights-HB3'!$N$74</f>
        <v>0</v>
      </c>
      <c r="E65" s="968">
        <f>E$38*$J$57*'Weights-HB3'!$N$74</f>
        <v>0</v>
      </c>
      <c r="F65" s="968">
        <f>F$38*$J$57*'Weights-HB3'!$N$74</f>
        <v>0</v>
      </c>
      <c r="G65" s="968">
        <f>G$38*$J$57*'Weights-HB3'!$N$74</f>
        <v>0</v>
      </c>
      <c r="H65" s="968">
        <f>H$38*$J$57*'Weights-HB3'!$N$74</f>
        <v>0</v>
      </c>
      <c r="I65" s="968">
        <f>I$38*$J$57*'Weights-HB3'!$N$74</f>
        <v>0</v>
      </c>
    </row>
    <row r="66" spans="1:9" ht="15.5">
      <c r="A66" s="964" t="s">
        <v>2312</v>
      </c>
      <c r="B66" s="968">
        <f t="shared" ref="B66:I66" si="5">SUM(B57:B65)</f>
        <v>0</v>
      </c>
      <c r="C66" s="968">
        <f t="shared" si="5"/>
        <v>0</v>
      </c>
      <c r="D66" s="968">
        <f t="shared" si="5"/>
        <v>0</v>
      </c>
      <c r="E66" s="968">
        <f t="shared" si="5"/>
        <v>0</v>
      </c>
      <c r="F66" s="968">
        <f t="shared" si="5"/>
        <v>0</v>
      </c>
      <c r="G66" s="968">
        <f t="shared" si="5"/>
        <v>0</v>
      </c>
      <c r="H66" s="968">
        <f t="shared" si="5"/>
        <v>0</v>
      </c>
      <c r="I66" s="968">
        <f t="shared" si="5"/>
        <v>0</v>
      </c>
    </row>
    <row r="69" spans="1:9">
      <c r="A69" s="2042" t="s">
        <v>7368</v>
      </c>
      <c r="B69" s="967">
        <f t="shared" ref="B69:I69" si="6">SUM(B13:B20)+B22</f>
        <v>0</v>
      </c>
      <c r="C69" s="967">
        <f t="shared" si="6"/>
        <v>0</v>
      </c>
      <c r="D69" s="967">
        <f t="shared" si="6"/>
        <v>0</v>
      </c>
      <c r="E69" s="967">
        <f t="shared" si="6"/>
        <v>0</v>
      </c>
      <c r="F69" s="967">
        <f t="shared" si="6"/>
        <v>0</v>
      </c>
      <c r="G69" s="967">
        <f t="shared" si="6"/>
        <v>0</v>
      </c>
      <c r="H69" s="967">
        <f t="shared" si="6"/>
        <v>0</v>
      </c>
      <c r="I69" s="967">
        <f t="shared" si="6"/>
        <v>0</v>
      </c>
    </row>
    <row r="70" spans="1:9">
      <c r="A70" s="2042" t="s">
        <v>7369</v>
      </c>
      <c r="B70" s="967">
        <f t="shared" ref="B70:I70" si="7">J20</f>
        <v>0</v>
      </c>
      <c r="C70" s="967">
        <f t="shared" si="7"/>
        <v>0</v>
      </c>
      <c r="D70" s="967">
        <f t="shared" si="7"/>
        <v>0</v>
      </c>
      <c r="E70" s="967">
        <f t="shared" si="7"/>
        <v>0</v>
      </c>
      <c r="F70" s="967">
        <f t="shared" si="7"/>
        <v>0</v>
      </c>
      <c r="G70" s="967">
        <f t="shared" si="7"/>
        <v>0</v>
      </c>
      <c r="H70" s="967">
        <f t="shared" si="7"/>
        <v>0</v>
      </c>
      <c r="I70" s="967">
        <f t="shared" si="7"/>
        <v>0</v>
      </c>
    </row>
    <row r="71" spans="1:9">
      <c r="A71" s="2042" t="s">
        <v>7370</v>
      </c>
      <c r="B71" s="967">
        <f t="shared" ref="B71:I71" si="8">B11-B69-B25-B26-B27</f>
        <v>0</v>
      </c>
      <c r="C71" s="967">
        <f t="shared" si="8"/>
        <v>0</v>
      </c>
      <c r="D71" s="967">
        <f t="shared" si="8"/>
        <v>0</v>
      </c>
      <c r="E71" s="967">
        <f t="shared" si="8"/>
        <v>0</v>
      </c>
      <c r="F71" s="967">
        <f t="shared" si="8"/>
        <v>0</v>
      </c>
      <c r="G71" s="967">
        <f t="shared" si="8"/>
        <v>0</v>
      </c>
      <c r="H71" s="967">
        <f t="shared" si="8"/>
        <v>0</v>
      </c>
      <c r="I71" s="967">
        <f t="shared" si="8"/>
        <v>0</v>
      </c>
    </row>
    <row r="74" spans="1:9" s="2040" customFormat="1" ht="15.5">
      <c r="A74" s="1657" t="s">
        <v>2768</v>
      </c>
    </row>
    <row r="75" spans="1:9" s="2040" customFormat="1" ht="15.5">
      <c r="B75" s="1894" t="s">
        <v>7366</v>
      </c>
      <c r="C75" s="1894" t="s">
        <v>7366</v>
      </c>
      <c r="D75" s="1894" t="s">
        <v>7366</v>
      </c>
      <c r="E75" s="1894" t="s">
        <v>7366</v>
      </c>
      <c r="F75" s="1894" t="s">
        <v>7366</v>
      </c>
      <c r="G75" s="1894" t="s">
        <v>7366</v>
      </c>
      <c r="H75" s="1894" t="s">
        <v>7366</v>
      </c>
      <c r="I75" s="1894" t="s">
        <v>7366</v>
      </c>
    </row>
    <row r="76" spans="1:9" s="2040" customFormat="1" ht="15.5">
      <c r="B76" s="965" t="s">
        <v>7358</v>
      </c>
      <c r="C76" s="965" t="s">
        <v>7359</v>
      </c>
      <c r="D76" s="965" t="s">
        <v>7360</v>
      </c>
      <c r="E76" s="966" t="s">
        <v>7361</v>
      </c>
      <c r="F76" s="966" t="s">
        <v>10695</v>
      </c>
      <c r="G76" s="966" t="s">
        <v>10696</v>
      </c>
      <c r="H76" s="966" t="s">
        <v>10697</v>
      </c>
      <c r="I76" s="966" t="s">
        <v>10698</v>
      </c>
    </row>
    <row r="77" spans="1:9" s="2040" customFormat="1" ht="15.5">
      <c r="A77" s="969" t="s">
        <v>7378</v>
      </c>
      <c r="B77" s="976" t="e">
        <f>Assumptions!$H$182*B$89*'Calc Data'!$I$105*100</f>
        <v>#DIV/0!</v>
      </c>
      <c r="C77" s="976" t="e">
        <f>Assumptions!$H$182*C$89*'Calc Data'!$I$105*100</f>
        <v>#DIV/0!</v>
      </c>
      <c r="D77" s="976" t="e">
        <f>Assumptions!$H$182*D$89*'Calc Data'!$I$105*100</f>
        <v>#DIV/0!</v>
      </c>
      <c r="E77" s="976" t="e">
        <f>Assumptions!$H$182*E$89*'Calc Data'!$I$105*100</f>
        <v>#DIV/0!</v>
      </c>
      <c r="F77" s="976" t="e">
        <f>Assumptions!$H$182*F$89*'Calc Data'!$I$105*100</f>
        <v>#DIV/0!</v>
      </c>
      <c r="G77" s="976" t="e">
        <f>Assumptions!$H$182*G$89*'Calc Data'!$I$105*100</f>
        <v>#DIV/0!</v>
      </c>
      <c r="H77" s="976" t="e">
        <f>Assumptions!$H$182*H$89*'Calc Data'!$I$105*100</f>
        <v>#DIV/0!</v>
      </c>
      <c r="I77" s="976" t="e">
        <f>Assumptions!$H$182*I$89*'Calc Data'!$I$105*100</f>
        <v>#DIV/0!</v>
      </c>
    </row>
    <row r="78" spans="1:9" s="2040" customFormat="1" ht="15.5">
      <c r="A78" s="969" t="s">
        <v>7379</v>
      </c>
      <c r="B78" s="976" t="e">
        <f>Assumptions!$H$183*B$89*'Calc Data'!$I$110*100</f>
        <v>#DIV/0!</v>
      </c>
      <c r="C78" s="976" t="e">
        <f>Assumptions!$H$183*C$89*'Calc Data'!$I$110*100</f>
        <v>#DIV/0!</v>
      </c>
      <c r="D78" s="976" t="e">
        <f>Assumptions!$H$183*D$89*'Calc Data'!$I$110*100</f>
        <v>#DIV/0!</v>
      </c>
      <c r="E78" s="976" t="e">
        <f>Assumptions!$H$183*E$89*'Calc Data'!$I$110*100</f>
        <v>#DIV/0!</v>
      </c>
      <c r="F78" s="976" t="e">
        <f>Assumptions!$H$183*F$89*'Calc Data'!$I$110*100</f>
        <v>#DIV/0!</v>
      </c>
      <c r="G78" s="976" t="e">
        <f>Assumptions!$H$183*G$89*'Calc Data'!$I$110*100</f>
        <v>#DIV/0!</v>
      </c>
      <c r="H78" s="976" t="e">
        <f>Assumptions!$H$183*H$89*'Calc Data'!$I$110*100</f>
        <v>#DIV/0!</v>
      </c>
      <c r="I78" s="976" t="e">
        <f>Assumptions!$H$183*I$89*'Calc Data'!$I$110*100</f>
        <v>#DIV/0!</v>
      </c>
    </row>
    <row r="79" spans="1:9" s="2040" customFormat="1" ht="15.5">
      <c r="A79" s="969" t="s">
        <v>2312</v>
      </c>
      <c r="B79" s="973" t="e">
        <f>B77+B78</f>
        <v>#DIV/0!</v>
      </c>
      <c r="C79" s="973" t="e">
        <f t="shared" ref="C79:I79" si="9">C77+C78</f>
        <v>#DIV/0!</v>
      </c>
      <c r="D79" s="973" t="e">
        <f t="shared" si="9"/>
        <v>#DIV/0!</v>
      </c>
      <c r="E79" s="973" t="e">
        <f t="shared" si="9"/>
        <v>#DIV/0!</v>
      </c>
      <c r="F79" s="973" t="e">
        <f t="shared" si="9"/>
        <v>#DIV/0!</v>
      </c>
      <c r="G79" s="973" t="e">
        <f t="shared" si="9"/>
        <v>#DIV/0!</v>
      </c>
      <c r="H79" s="973" t="e">
        <f t="shared" si="9"/>
        <v>#DIV/0!</v>
      </c>
      <c r="I79" s="973" t="e">
        <f t="shared" si="9"/>
        <v>#DIV/0!</v>
      </c>
    </row>
    <row r="80" spans="1:9" s="2040" customFormat="1" ht="15.5">
      <c r="A80" s="969"/>
    </row>
    <row r="81" spans="1:10" s="2040" customFormat="1" ht="15.5">
      <c r="A81" s="969"/>
      <c r="B81" s="1894" t="s">
        <v>7367</v>
      </c>
      <c r="C81" s="1894" t="s">
        <v>7367</v>
      </c>
      <c r="D81" s="1894" t="s">
        <v>7367</v>
      </c>
      <c r="E81" s="1894" t="s">
        <v>7367</v>
      </c>
      <c r="F81" s="1894" t="s">
        <v>7367</v>
      </c>
      <c r="G81" s="1894" t="s">
        <v>7367</v>
      </c>
      <c r="H81" s="1894" t="s">
        <v>7367</v>
      </c>
      <c r="I81" s="1894" t="s">
        <v>7367</v>
      </c>
    </row>
    <row r="82" spans="1:10" s="2040" customFormat="1" ht="15.5">
      <c r="A82" s="969"/>
      <c r="B82" s="965" t="s">
        <v>7358</v>
      </c>
      <c r="C82" s="965" t="s">
        <v>7359</v>
      </c>
      <c r="D82" s="965" t="s">
        <v>7360</v>
      </c>
      <c r="E82" s="966" t="s">
        <v>7361</v>
      </c>
      <c r="F82" s="966" t="s">
        <v>10695</v>
      </c>
      <c r="G82" s="966" t="s">
        <v>10696</v>
      </c>
      <c r="H82" s="966" t="s">
        <v>10697</v>
      </c>
      <c r="I82" s="966" t="s">
        <v>10698</v>
      </c>
      <c r="J82" s="259" t="s">
        <v>7398</v>
      </c>
    </row>
    <row r="83" spans="1:10" s="2040" customFormat="1" ht="15.5">
      <c r="A83" s="969" t="s">
        <v>7378</v>
      </c>
      <c r="B83" s="976">
        <f>Assumptions!$H$182*B$93*$J$84*100</f>
        <v>0</v>
      </c>
      <c r="C83" s="976">
        <f>Assumptions!$H$182*C$93*$J$84*100</f>
        <v>0</v>
      </c>
      <c r="D83" s="976">
        <f>Assumptions!$H$182*D$93*$J$84*100</f>
        <v>0</v>
      </c>
      <c r="E83" s="976">
        <f>Assumptions!$H$182*E$93*$J$84*100</f>
        <v>0</v>
      </c>
      <c r="F83" s="976">
        <f>Assumptions!$H$182*F$93*$J$84*100</f>
        <v>0</v>
      </c>
      <c r="G83" s="976">
        <f>Assumptions!$H$182*G$93*$J$84*100</f>
        <v>0</v>
      </c>
      <c r="H83" s="976">
        <f>Assumptions!$H$182*H$93*$J$84*100</f>
        <v>0</v>
      </c>
      <c r="I83" s="976">
        <f>Assumptions!$H$182*I$93*$J$84*100</f>
        <v>0</v>
      </c>
      <c r="J83" s="1658" t="s">
        <v>7380</v>
      </c>
    </row>
    <row r="84" spans="1:10" s="2040" customFormat="1" ht="15.5">
      <c r="A84" s="969" t="s">
        <v>7379</v>
      </c>
      <c r="B84" s="976">
        <f>Assumptions!$H$183*B$93*$J$85*100</f>
        <v>0</v>
      </c>
      <c r="C84" s="976">
        <f>Assumptions!$H$183*C$93*$J$85*100</f>
        <v>0</v>
      </c>
      <c r="D84" s="976">
        <f>Assumptions!$H$183*D$93*$J$85*100</f>
        <v>0</v>
      </c>
      <c r="E84" s="976">
        <f>Assumptions!$H$183*E$93*$J$85*100</f>
        <v>0</v>
      </c>
      <c r="F84" s="976">
        <f>Assumptions!$H$183*F$93*$J$85*100</f>
        <v>0</v>
      </c>
      <c r="G84" s="976">
        <f>Assumptions!$H$183*G$93*$J$85*100</f>
        <v>0</v>
      </c>
      <c r="H84" s="976">
        <f>Assumptions!$H$183*H$93*$J$85*100</f>
        <v>0</v>
      </c>
      <c r="I84" s="976">
        <f>Assumptions!$H$183*I$93*$J$85*100</f>
        <v>0</v>
      </c>
      <c r="J84" s="974">
        <f>'DistCharter-Data2425'!J84</f>
        <v>6.3600000000000004E-2</v>
      </c>
    </row>
    <row r="85" spans="1:10" s="2040" customFormat="1" ht="15.5">
      <c r="A85" s="969" t="s">
        <v>2312</v>
      </c>
      <c r="B85" s="976">
        <f>B83+B84</f>
        <v>0</v>
      </c>
      <c r="C85" s="976">
        <f t="shared" ref="C85:I85" si="10">C83+C84</f>
        <v>0</v>
      </c>
      <c r="D85" s="976">
        <f t="shared" si="10"/>
        <v>0</v>
      </c>
      <c r="E85" s="976">
        <f t="shared" si="10"/>
        <v>0</v>
      </c>
      <c r="F85" s="976">
        <f t="shared" si="10"/>
        <v>0</v>
      </c>
      <c r="G85" s="976">
        <f t="shared" si="10"/>
        <v>0</v>
      </c>
      <c r="H85" s="976">
        <f t="shared" si="10"/>
        <v>0</v>
      </c>
      <c r="I85" s="976">
        <f t="shared" si="10"/>
        <v>0</v>
      </c>
      <c r="J85" s="975">
        <f>'DistCharter-Data2425'!J85</f>
        <v>2.63E-2</v>
      </c>
    </row>
    <row r="86" spans="1:10" s="2040" customFormat="1" ht="15.5">
      <c r="A86" s="969"/>
    </row>
    <row r="87" spans="1:10" s="2040" customFormat="1" ht="15.5">
      <c r="A87" s="969"/>
      <c r="B87" s="1894" t="s">
        <v>7366</v>
      </c>
      <c r="C87" s="1894" t="s">
        <v>7366</v>
      </c>
      <c r="D87" s="1894" t="s">
        <v>7366</v>
      </c>
      <c r="E87" s="1894" t="s">
        <v>7366</v>
      </c>
      <c r="F87" s="1894" t="s">
        <v>7366</v>
      </c>
      <c r="G87" s="1894" t="s">
        <v>7366</v>
      </c>
      <c r="H87" s="1894" t="s">
        <v>7366</v>
      </c>
      <c r="I87" s="1894" t="s">
        <v>7366</v>
      </c>
    </row>
    <row r="88" spans="1:10" s="2040" customFormat="1" ht="15.5">
      <c r="A88" s="978" t="s">
        <v>7387</v>
      </c>
      <c r="B88" s="987">
        <f>Assumptions!H181</f>
        <v>6160</v>
      </c>
      <c r="C88" s="981">
        <f t="shared" ref="C88:I88" si="11">B88</f>
        <v>6160</v>
      </c>
      <c r="D88" s="981">
        <f t="shared" si="11"/>
        <v>6160</v>
      </c>
      <c r="E88" s="981">
        <f t="shared" si="11"/>
        <v>6160</v>
      </c>
      <c r="F88" s="981">
        <f t="shared" si="11"/>
        <v>6160</v>
      </c>
      <c r="G88" s="981">
        <f t="shared" si="11"/>
        <v>6160</v>
      </c>
      <c r="H88" s="981">
        <f t="shared" si="11"/>
        <v>6160</v>
      </c>
      <c r="I88" s="981">
        <f t="shared" si="11"/>
        <v>6160</v>
      </c>
    </row>
    <row r="89" spans="1:10" s="2040" customFormat="1" ht="15.5">
      <c r="A89" s="978" t="s">
        <v>2429</v>
      </c>
      <c r="B89" s="977" t="e">
        <f t="shared" ref="B89:I89" si="12">B53/B88</f>
        <v>#DIV/0!</v>
      </c>
      <c r="C89" s="977" t="e">
        <f t="shared" si="12"/>
        <v>#DIV/0!</v>
      </c>
      <c r="D89" s="977" t="e">
        <f t="shared" si="12"/>
        <v>#DIV/0!</v>
      </c>
      <c r="E89" s="977" t="e">
        <f t="shared" si="12"/>
        <v>#DIV/0!</v>
      </c>
      <c r="F89" s="977" t="e">
        <f t="shared" si="12"/>
        <v>#DIV/0!</v>
      </c>
      <c r="G89" s="977" t="e">
        <f t="shared" si="12"/>
        <v>#DIV/0!</v>
      </c>
      <c r="H89" s="977" t="e">
        <f t="shared" si="12"/>
        <v>#DIV/0!</v>
      </c>
      <c r="I89" s="977" t="e">
        <f t="shared" si="12"/>
        <v>#DIV/0!</v>
      </c>
    </row>
    <row r="90" spans="1:10" s="2040" customFormat="1" ht="15.5">
      <c r="A90" s="969"/>
    </row>
    <row r="91" spans="1:10" s="2040" customFormat="1" ht="15.5">
      <c r="A91" s="969"/>
      <c r="B91" s="1894" t="s">
        <v>7367</v>
      </c>
      <c r="C91" s="1894" t="s">
        <v>7367</v>
      </c>
      <c r="D91" s="1894" t="s">
        <v>7367</v>
      </c>
      <c r="E91" s="1894" t="s">
        <v>7367</v>
      </c>
      <c r="F91" s="1894" t="s">
        <v>7367</v>
      </c>
      <c r="G91" s="1894" t="s">
        <v>7367</v>
      </c>
      <c r="H91" s="1894" t="s">
        <v>7367</v>
      </c>
      <c r="I91" s="1894" t="s">
        <v>7367</v>
      </c>
    </row>
    <row r="92" spans="1:10" s="2040" customFormat="1" ht="15.5">
      <c r="A92" s="978" t="s">
        <v>7864</v>
      </c>
      <c r="B92" s="1660">
        <f>J57</f>
        <v>6160</v>
      </c>
      <c r="C92" s="976">
        <f t="shared" ref="C92:I92" si="13">B92</f>
        <v>6160</v>
      </c>
      <c r="D92" s="976">
        <f t="shared" si="13"/>
        <v>6160</v>
      </c>
      <c r="E92" s="976">
        <f t="shared" si="13"/>
        <v>6160</v>
      </c>
      <c r="F92" s="976">
        <f t="shared" si="13"/>
        <v>6160</v>
      </c>
      <c r="G92" s="976">
        <f t="shared" si="13"/>
        <v>6160</v>
      </c>
      <c r="H92" s="976">
        <f t="shared" si="13"/>
        <v>6160</v>
      </c>
      <c r="I92" s="976">
        <f t="shared" si="13"/>
        <v>6160</v>
      </c>
    </row>
    <row r="93" spans="1:10" s="2040" customFormat="1" ht="15.5">
      <c r="A93" s="978" t="s">
        <v>2429</v>
      </c>
      <c r="B93" s="977">
        <f>B66/B92</f>
        <v>0</v>
      </c>
      <c r="C93" s="977">
        <f t="shared" ref="C93:I93" si="14">C66/C92</f>
        <v>0</v>
      </c>
      <c r="D93" s="977">
        <f t="shared" si="14"/>
        <v>0</v>
      </c>
      <c r="E93" s="977">
        <f t="shared" si="14"/>
        <v>0</v>
      </c>
      <c r="F93" s="977">
        <f t="shared" si="14"/>
        <v>0</v>
      </c>
      <c r="G93" s="977">
        <f t="shared" si="14"/>
        <v>0</v>
      </c>
      <c r="H93" s="977">
        <f t="shared" si="14"/>
        <v>0</v>
      </c>
      <c r="I93" s="977">
        <f t="shared" si="14"/>
        <v>0</v>
      </c>
    </row>
    <row r="94" spans="1:10" s="2040" customFormat="1" ht="15.5"/>
    <row r="95" spans="1:10" s="2040" customFormat="1" ht="15.5">
      <c r="A95" s="972" t="s">
        <v>2656</v>
      </c>
    </row>
    <row r="96" spans="1:10" s="2040" customFormat="1" ht="15.5">
      <c r="B96" s="1894" t="s">
        <v>7367</v>
      </c>
      <c r="C96" s="1894" t="s">
        <v>7367</v>
      </c>
      <c r="D96" s="1894" t="s">
        <v>7367</v>
      </c>
      <c r="E96" s="1894" t="s">
        <v>7367</v>
      </c>
      <c r="F96" s="1894" t="s">
        <v>7367</v>
      </c>
      <c r="G96" s="1894" t="s">
        <v>7367</v>
      </c>
      <c r="H96" s="1894" t="s">
        <v>7367</v>
      </c>
      <c r="I96" s="1894" t="s">
        <v>7367</v>
      </c>
      <c r="J96" s="259" t="s">
        <v>7398</v>
      </c>
    </row>
    <row r="97" spans="1:11" s="2040" customFormat="1" ht="15.5">
      <c r="B97" s="965" t="s">
        <v>7358</v>
      </c>
      <c r="C97" s="965" t="s">
        <v>7359</v>
      </c>
      <c r="D97" s="965" t="s">
        <v>7360</v>
      </c>
      <c r="E97" s="966" t="s">
        <v>7361</v>
      </c>
      <c r="F97" s="966" t="s">
        <v>10695</v>
      </c>
      <c r="G97" s="966" t="s">
        <v>10696</v>
      </c>
      <c r="H97" s="966" t="s">
        <v>10697</v>
      </c>
      <c r="I97" s="966" t="s">
        <v>10698</v>
      </c>
      <c r="J97" s="1659" t="s">
        <v>7865</v>
      </c>
    </row>
    <row r="98" spans="1:11" s="2040" customFormat="1" ht="15.5">
      <c r="A98" s="2040" t="s">
        <v>7381</v>
      </c>
      <c r="B98" s="976">
        <f t="shared" ref="B98:I98" si="15">B11*$J$98*$J$99*100</f>
        <v>0</v>
      </c>
      <c r="C98" s="976">
        <f t="shared" si="15"/>
        <v>0</v>
      </c>
      <c r="D98" s="976">
        <f t="shared" si="15"/>
        <v>0</v>
      </c>
      <c r="E98" s="976">
        <f t="shared" si="15"/>
        <v>0</v>
      </c>
      <c r="F98" s="976">
        <f t="shared" si="15"/>
        <v>0</v>
      </c>
      <c r="G98" s="976">
        <f t="shared" si="15"/>
        <v>0</v>
      </c>
      <c r="H98" s="976">
        <f t="shared" si="15"/>
        <v>0</v>
      </c>
      <c r="I98" s="976">
        <f t="shared" si="15"/>
        <v>0</v>
      </c>
      <c r="J98" s="979">
        <v>4.5999999999999999E-2</v>
      </c>
    </row>
    <row r="99" spans="1:11" s="2040" customFormat="1" ht="15.5">
      <c r="J99" s="1662">
        <v>39.4</v>
      </c>
      <c r="K99" s="1661" t="s">
        <v>7866</v>
      </c>
    </row>
    <row r="100" spans="1:11" s="2040" customFormat="1" ht="15.5"/>
    <row r="101" spans="1:11" s="2040" customFormat="1" ht="15.5"/>
    <row r="102" spans="1:11" s="2040" customFormat="1" ht="15.5"/>
    <row r="103" spans="1:11" s="2040" customFormat="1" ht="15.5"/>
    <row r="104" spans="1:11" s="2040" customFormat="1" ht="15.5"/>
    <row r="105" spans="1:11" s="2040" customFormat="1" ht="15.5"/>
    <row r="106" spans="1:11" s="2040" customFormat="1" ht="15.5"/>
    <row r="107" spans="1:11" s="2040" customFormat="1" ht="15.5"/>
    <row r="108" spans="1:11" s="2040" customFormat="1" ht="15.5"/>
    <row r="109" spans="1:11" s="2040" customFormat="1" ht="15.5"/>
    <row r="110" spans="1:11" s="2040" customFormat="1" ht="15.5"/>
    <row r="111" spans="1:11" s="2040" customFormat="1" ht="15.5"/>
    <row r="112" spans="1:11"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2040" customFormat="1" ht="15.5"/>
    <row r="130" s="2040" customFormat="1" ht="15.5"/>
    <row r="131" s="2040" customFormat="1" ht="15.5"/>
    <row r="132" s="2040" customFormat="1" ht="15.5"/>
    <row r="133" s="2040" customFormat="1" ht="15.5"/>
    <row r="134" s="2040" customFormat="1" ht="15.5"/>
    <row r="135" s="2040" customFormat="1" ht="15.5"/>
    <row r="136" s="2040" customFormat="1" ht="15.5"/>
    <row r="137" s="2040" customFormat="1" ht="15.5"/>
    <row r="138" s="2040" customFormat="1" ht="15.5"/>
    <row r="139" s="2040" customFormat="1" ht="15.5"/>
    <row r="140" s="2040" customFormat="1" ht="15.5"/>
    <row r="141" s="2040" customFormat="1" ht="15.5"/>
    <row r="142" s="2040" customFormat="1" ht="15.5"/>
    <row r="143" s="2040" customFormat="1" ht="15.5"/>
    <row r="144" s="2040" customFormat="1" ht="15.5"/>
    <row r="145" s="2040" customFormat="1" ht="15.5"/>
    <row r="146" s="2040" customFormat="1" ht="15.5"/>
    <row r="147" s="2040" customFormat="1" ht="15.5"/>
    <row r="148" s="2040" customFormat="1" ht="15.5"/>
    <row r="149" s="2040" customFormat="1" ht="15.5"/>
    <row r="150" s="2040" customFormat="1" ht="15.5"/>
    <row r="151" s="2040" customFormat="1" ht="15.5"/>
    <row r="152" s="2040" customFormat="1" ht="15.5"/>
    <row r="153" s="2040" customFormat="1" ht="15.5"/>
    <row r="154" s="2040" customFormat="1" ht="15.5"/>
    <row r="155" s="2040" customFormat="1" ht="15.5"/>
    <row r="156" s="2040" customFormat="1" ht="15.5"/>
    <row r="157" s="2040" customFormat="1" ht="15.5"/>
    <row r="158" s="2040" customFormat="1" ht="15.5"/>
    <row r="159" s="2040" customFormat="1" ht="15.5"/>
    <row r="160" s="2040" customFormat="1" ht="15.5"/>
    <row r="161" s="2040" customFormat="1" ht="15.5"/>
    <row r="162" s="2040" customFormat="1" ht="15.5"/>
    <row r="163" s="2040" customFormat="1" ht="15.5"/>
    <row r="164" s="2040" customFormat="1" ht="15.5"/>
    <row r="165" s="2040" customFormat="1" ht="15.5"/>
    <row r="166" s="2040" customFormat="1" ht="15.5"/>
    <row r="167" s="2040" customFormat="1" ht="15.5"/>
    <row r="168" s="2040" customFormat="1" ht="15.5"/>
    <row r="169" s="2040" customFormat="1" ht="15.5"/>
    <row r="170" s="2040" customFormat="1" ht="15.5"/>
    <row r="171" s="2040" customFormat="1" ht="15.5"/>
    <row r="172" s="2040" customFormat="1" ht="15.5"/>
    <row r="173" s="2040" customFormat="1" ht="15.5"/>
    <row r="174" s="2040" customFormat="1" ht="15.5"/>
    <row r="175" s="2040" customFormat="1" ht="15.5"/>
    <row r="176" s="2040" customFormat="1" ht="15.5"/>
    <row r="177" s="2040" customFormat="1" ht="15.5"/>
    <row r="178" s="2040" customFormat="1" ht="15.5"/>
    <row r="179" s="2040" customFormat="1" ht="15.5"/>
    <row r="180" s="2040" customFormat="1" ht="15.5"/>
    <row r="181" s="2040" customFormat="1" ht="15.5"/>
    <row r="182" s="2040" customFormat="1" ht="15.5"/>
    <row r="183" s="2040" customFormat="1" ht="15.5"/>
    <row r="184" s="2040" customFormat="1" ht="15.5"/>
    <row r="185" s="2040" customFormat="1" ht="15.5"/>
    <row r="186" s="2040" customFormat="1" ht="15.5"/>
    <row r="187" s="2040" customFormat="1" ht="15.5"/>
    <row r="188" s="2040" customFormat="1" ht="15.5"/>
    <row r="189" s="2040" customFormat="1" ht="15.5"/>
    <row r="190" s="2040" customFormat="1" ht="15.5"/>
    <row r="191" s="2040" customFormat="1" ht="15.5"/>
    <row r="192" s="2040" customFormat="1" ht="15.5"/>
    <row r="193" s="2040" customFormat="1" ht="15.5"/>
    <row r="194" s="2040" customFormat="1" ht="15.5"/>
    <row r="195" s="2040" customFormat="1" ht="15.5"/>
    <row r="196" s="2040" customFormat="1" ht="15.5"/>
    <row r="197" s="2040" customFormat="1" ht="15.5"/>
    <row r="198" s="2040" customFormat="1" ht="15.5"/>
    <row r="199" s="2040" customFormat="1" ht="15.5"/>
    <row r="200" s="2040" customFormat="1" ht="15.5"/>
    <row r="201" s="2040" customFormat="1" ht="15.5"/>
    <row r="202" s="2040" customFormat="1" ht="15.5"/>
    <row r="203" s="2040" customFormat="1" ht="15.5"/>
    <row r="204" s="2040" customFormat="1" ht="15.5"/>
    <row r="205" s="2040" customFormat="1" ht="15.5"/>
    <row r="206" s="2040" customFormat="1" ht="15.5"/>
    <row r="207" s="2040" customFormat="1" ht="15.5"/>
    <row r="208" s="2040" customFormat="1" ht="15.5"/>
    <row r="209" s="2040" customFormat="1" ht="15.5"/>
    <row r="210" s="2040" customFormat="1" ht="15.5"/>
    <row r="211" s="2040" customFormat="1" ht="15.5"/>
    <row r="212" s="2040" customFormat="1" ht="15.5"/>
    <row r="213" s="2040" customFormat="1" ht="15.5"/>
    <row r="214" s="2040" customFormat="1" ht="15.5"/>
    <row r="215" s="2040" customFormat="1" ht="15.5"/>
    <row r="216" s="2040" customFormat="1" ht="15.5"/>
    <row r="217" s="2040" customFormat="1" ht="15.5"/>
    <row r="218" s="2040" customFormat="1" ht="15.5"/>
    <row r="219" s="2040" customFormat="1" ht="15.5"/>
    <row r="220" s="2040" customFormat="1" ht="15.5"/>
    <row r="221" s="2040" customFormat="1" ht="15.5"/>
    <row r="222" s="2040" customFormat="1" ht="15.5"/>
    <row r="223" s="2040" customFormat="1" ht="15.5"/>
    <row r="224" s="2040" customFormat="1" ht="15.5"/>
    <row r="225" s="2040" customFormat="1" ht="15.5"/>
    <row r="226" s="2040" customFormat="1" ht="15.5"/>
    <row r="227" s="2040" customFormat="1" ht="15.5"/>
    <row r="228" s="2040" customFormat="1" ht="15.5"/>
    <row r="229" s="2040" customFormat="1" ht="15.5"/>
    <row r="230" s="2040" customFormat="1" ht="15.5"/>
    <row r="231" s="2040" customFormat="1" ht="15.5"/>
    <row r="232" s="2040" customFormat="1" ht="15.5"/>
    <row r="233" s="2040" customFormat="1" ht="15.5"/>
    <row r="234" s="2040" customFormat="1" ht="15.5"/>
    <row r="235" s="2040" customFormat="1" ht="15.5"/>
    <row r="236" s="2040" customFormat="1" ht="15.5"/>
    <row r="237" s="2040" customFormat="1" ht="15.5"/>
    <row r="238" s="2040" customFormat="1" ht="15.5"/>
    <row r="239" s="2040" customFormat="1" ht="15.5"/>
    <row r="240" s="2040" customFormat="1" ht="15.5"/>
    <row r="241" s="2040" customFormat="1" ht="15.5"/>
    <row r="242" s="2040" customFormat="1" ht="15.5"/>
    <row r="243" s="2040" customFormat="1" ht="15.5"/>
    <row r="244" s="2040" customFormat="1" ht="15.5"/>
    <row r="245" s="2040" customFormat="1" ht="15.5"/>
    <row r="246" s="2040" customFormat="1" ht="15.5"/>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79998168889431442"/>
  </sheetPr>
  <dimension ref="A1:J57"/>
  <sheetViews>
    <sheetView topLeftCell="A46" workbookViewId="0">
      <selection activeCell="A58" sqref="A58"/>
    </sheetView>
  </sheetViews>
  <sheetFormatPr defaultColWidth="8.7265625" defaultRowHeight="12.5"/>
  <cols>
    <col min="1" max="1" width="34.54296875" style="2042" customWidth="1"/>
    <col min="2" max="12" width="23.7265625" style="2042" customWidth="1"/>
    <col min="13" max="16384" width="8.7265625" style="2042"/>
  </cols>
  <sheetData>
    <row r="1" spans="1:9" s="2040" customFormat="1" ht="15.5">
      <c r="A1" s="2040" t="s">
        <v>7391</v>
      </c>
    </row>
    <row r="2" spans="1:9" s="2040" customFormat="1" ht="15.5">
      <c r="A2" s="2040" t="s">
        <v>7392</v>
      </c>
    </row>
    <row r="3" spans="1:9" s="2040" customFormat="1" ht="15.5"/>
    <row r="4" spans="1:9" s="2040" customFormat="1" ht="15.5"/>
    <row r="5" spans="1:9" s="2040" customFormat="1" ht="15.5"/>
    <row r="6" spans="1:9" ht="15.5">
      <c r="B6" s="1333" t="s">
        <v>11084</v>
      </c>
      <c r="C6" s="1334"/>
      <c r="D6" s="1334"/>
      <c r="E6" s="1335"/>
      <c r="F6" s="1335"/>
      <c r="G6" s="1335"/>
      <c r="H6" s="1335"/>
      <c r="I6" s="1335"/>
    </row>
    <row r="7" spans="1:9" ht="13">
      <c r="A7" s="1338" t="s">
        <v>7382</v>
      </c>
      <c r="B7" s="43" t="s">
        <v>7366</v>
      </c>
      <c r="C7" s="43" t="s">
        <v>7366</v>
      </c>
      <c r="D7" s="43" t="s">
        <v>7366</v>
      </c>
      <c r="E7" s="43" t="s">
        <v>7366</v>
      </c>
      <c r="F7" s="43" t="s">
        <v>7366</v>
      </c>
      <c r="G7" s="43" t="s">
        <v>7366</v>
      </c>
      <c r="H7" s="43" t="s">
        <v>7366</v>
      </c>
      <c r="I7" s="43" t="s">
        <v>7366</v>
      </c>
    </row>
    <row r="8" spans="1:9" ht="13">
      <c r="B8" s="1336" t="s">
        <v>7358</v>
      </c>
      <c r="C8" s="1336" t="s">
        <v>7359</v>
      </c>
      <c r="D8" s="1336" t="s">
        <v>7360</v>
      </c>
      <c r="E8" s="1337" t="s">
        <v>7361</v>
      </c>
      <c r="F8" s="1337" t="s">
        <v>10695</v>
      </c>
      <c r="G8" s="1337" t="s">
        <v>10696</v>
      </c>
      <c r="H8" s="1337" t="s">
        <v>10697</v>
      </c>
      <c r="I8" s="1337" t="s">
        <v>10698</v>
      </c>
    </row>
    <row r="9" spans="1:9" ht="15.5">
      <c r="A9" s="964" t="s">
        <v>2635</v>
      </c>
      <c r="B9" s="1339">
        <f>'DistCharter-Data2627'!B44</f>
        <v>0</v>
      </c>
      <c r="C9" s="1339">
        <f>'DistCharter-Data2627'!C44</f>
        <v>0</v>
      </c>
      <c r="D9" s="1339">
        <f>'DistCharter-Data2627'!D44</f>
        <v>0</v>
      </c>
      <c r="E9" s="1339">
        <f>'DistCharter-Data2627'!E44</f>
        <v>0</v>
      </c>
      <c r="F9" s="1339">
        <f>'DistCharter-Data2627'!F44</f>
        <v>0</v>
      </c>
      <c r="G9" s="1339">
        <f>'DistCharter-Data2627'!G44</f>
        <v>0</v>
      </c>
      <c r="H9" s="1339">
        <f>'DistCharter-Data2627'!H44</f>
        <v>0</v>
      </c>
      <c r="I9" s="1339">
        <f>'DistCharter-Data2627'!I44</f>
        <v>0</v>
      </c>
    </row>
    <row r="10" spans="1:9" ht="15.5">
      <c r="A10" s="964" t="s">
        <v>7854</v>
      </c>
      <c r="B10" s="1670" t="e">
        <f>'DistCharter-Data2627'!B45</f>
        <v>#DIV/0!</v>
      </c>
      <c r="C10" s="1670" t="e">
        <f>'DistCharter-Data2627'!C45</f>
        <v>#DIV/0!</v>
      </c>
      <c r="D10" s="1670" t="e">
        <f>'DistCharter-Data2627'!D45</f>
        <v>#DIV/0!</v>
      </c>
      <c r="E10" s="1670" t="e">
        <f>'DistCharter-Data2627'!E45</f>
        <v>#DIV/0!</v>
      </c>
      <c r="F10" s="1670" t="e">
        <f>'DistCharter-Data2627'!F45</f>
        <v>#DIV/0!</v>
      </c>
      <c r="G10" s="1670" t="e">
        <f>'DistCharter-Data2627'!G45</f>
        <v>#DIV/0!</v>
      </c>
      <c r="H10" s="1670" t="e">
        <f>'DistCharter-Data2627'!H45</f>
        <v>#DIV/0!</v>
      </c>
      <c r="I10" s="1670" t="e">
        <f>'DistCharter-Data2627'!I45</f>
        <v>#DIV/0!</v>
      </c>
    </row>
    <row r="11" spans="1:9" ht="15.5">
      <c r="A11" s="964" t="s">
        <v>2639</v>
      </c>
      <c r="B11" s="1339">
        <f>'DistCharter-Data2627'!B46</f>
        <v>0</v>
      </c>
      <c r="C11" s="1339">
        <f>'DistCharter-Data2627'!C46</f>
        <v>0</v>
      </c>
      <c r="D11" s="1339">
        <f>'DistCharter-Data2627'!D46</f>
        <v>0</v>
      </c>
      <c r="E11" s="1339">
        <f>'DistCharter-Data2627'!E46</f>
        <v>0</v>
      </c>
      <c r="F11" s="1339">
        <f>'DistCharter-Data2627'!F46</f>
        <v>0</v>
      </c>
      <c r="G11" s="1339">
        <f>'DistCharter-Data2627'!G46</f>
        <v>0</v>
      </c>
      <c r="H11" s="1339">
        <f>'DistCharter-Data2627'!H46</f>
        <v>0</v>
      </c>
      <c r="I11" s="1339">
        <f>'DistCharter-Data2627'!I46</f>
        <v>0</v>
      </c>
    </row>
    <row r="12" spans="1:9" ht="15.5">
      <c r="A12" s="964" t="s">
        <v>7436</v>
      </c>
      <c r="B12" s="1670">
        <f>'DistCharter-Data2627'!B47</f>
        <v>0</v>
      </c>
      <c r="C12" s="1670">
        <f>'DistCharter-Data2627'!C47</f>
        <v>0</v>
      </c>
      <c r="D12" s="1670">
        <f>'DistCharter-Data2627'!D47</f>
        <v>0</v>
      </c>
      <c r="E12" s="1670">
        <f>'DistCharter-Data2627'!E47</f>
        <v>0</v>
      </c>
      <c r="F12" s="1670">
        <f>'DistCharter-Data2627'!F47</f>
        <v>0</v>
      </c>
      <c r="G12" s="1670">
        <f>'DistCharter-Data2627'!G47</f>
        <v>0</v>
      </c>
      <c r="H12" s="1670">
        <f>'DistCharter-Data2627'!H47</f>
        <v>0</v>
      </c>
      <c r="I12" s="1670">
        <f>'DistCharter-Data2627'!I47</f>
        <v>0</v>
      </c>
    </row>
    <row r="13" spans="1:9" ht="15.5">
      <c r="A13" s="964" t="s">
        <v>7363</v>
      </c>
      <c r="B13" s="1339">
        <f>'DistCharter-Data2627'!B48</f>
        <v>0</v>
      </c>
      <c r="C13" s="1339">
        <f>'DistCharter-Data2627'!C48</f>
        <v>0</v>
      </c>
      <c r="D13" s="1339">
        <f>'DistCharter-Data2627'!D48</f>
        <v>0</v>
      </c>
      <c r="E13" s="1339">
        <f>'DistCharter-Data2627'!E48</f>
        <v>0</v>
      </c>
      <c r="F13" s="1339">
        <f>'DistCharter-Data2627'!F48</f>
        <v>0</v>
      </c>
      <c r="G13" s="1339">
        <f>'DistCharter-Data2627'!G48</f>
        <v>0</v>
      </c>
      <c r="H13" s="1339">
        <f>'DistCharter-Data2627'!H48</f>
        <v>0</v>
      </c>
      <c r="I13" s="1339">
        <f>'DistCharter-Data2627'!I48</f>
        <v>0</v>
      </c>
    </row>
    <row r="14" spans="1:9" ht="15.5">
      <c r="A14" s="964" t="s">
        <v>7364</v>
      </c>
      <c r="B14" s="1339">
        <f>'DistCharter-Data2627'!B49</f>
        <v>0</v>
      </c>
      <c r="C14" s="1339">
        <f>'DistCharter-Data2627'!C49</f>
        <v>0</v>
      </c>
      <c r="D14" s="1339">
        <f>'DistCharter-Data2627'!D49</f>
        <v>0</v>
      </c>
      <c r="E14" s="1339">
        <f>'DistCharter-Data2627'!E49</f>
        <v>0</v>
      </c>
      <c r="F14" s="1339">
        <f>'DistCharter-Data2627'!F49</f>
        <v>0</v>
      </c>
      <c r="G14" s="1339">
        <f>'DistCharter-Data2627'!G49</f>
        <v>0</v>
      </c>
      <c r="H14" s="1339">
        <f>'DistCharter-Data2627'!H49</f>
        <v>0</v>
      </c>
      <c r="I14" s="1339">
        <f>'DistCharter-Data2627'!I49</f>
        <v>0</v>
      </c>
    </row>
    <row r="15" spans="1:9" ht="15.5">
      <c r="A15" s="964" t="s">
        <v>2642</v>
      </c>
      <c r="B15" s="1339">
        <f>'DistCharter-Data2627'!B50</f>
        <v>0</v>
      </c>
      <c r="C15" s="1339">
        <f>'DistCharter-Data2627'!C50</f>
        <v>0</v>
      </c>
      <c r="D15" s="1339">
        <f>'DistCharter-Data2627'!D50</f>
        <v>0</v>
      </c>
      <c r="E15" s="1339">
        <f>'DistCharter-Data2627'!E50</f>
        <v>0</v>
      </c>
      <c r="F15" s="1339">
        <f>'DistCharter-Data2627'!F50</f>
        <v>0</v>
      </c>
      <c r="G15" s="1339">
        <f>'DistCharter-Data2627'!G50</f>
        <v>0</v>
      </c>
      <c r="H15" s="1339">
        <f>'DistCharter-Data2627'!H50</f>
        <v>0</v>
      </c>
      <c r="I15" s="1339">
        <f>'DistCharter-Data2627'!I50</f>
        <v>0</v>
      </c>
    </row>
    <row r="16" spans="1:9" ht="15.5">
      <c r="A16" s="964" t="s">
        <v>7365</v>
      </c>
      <c r="B16" s="1339">
        <f>'DistCharter-Data2627'!B51</f>
        <v>0</v>
      </c>
      <c r="C16" s="1339">
        <f>'DistCharter-Data2627'!C51</f>
        <v>0</v>
      </c>
      <c r="D16" s="1339">
        <f>'DistCharter-Data2627'!D51</f>
        <v>0</v>
      </c>
      <c r="E16" s="1339">
        <f>'DistCharter-Data2627'!E51</f>
        <v>0</v>
      </c>
      <c r="F16" s="1339">
        <f>'DistCharter-Data2627'!F51</f>
        <v>0</v>
      </c>
      <c r="G16" s="1339">
        <f>'DistCharter-Data2627'!G51</f>
        <v>0</v>
      </c>
      <c r="H16" s="1339">
        <f>'DistCharter-Data2627'!H51</f>
        <v>0</v>
      </c>
      <c r="I16" s="1339">
        <f>'DistCharter-Data2627'!I51</f>
        <v>0</v>
      </c>
    </row>
    <row r="17" spans="1:9" ht="15.5">
      <c r="A17" s="964" t="s">
        <v>7628</v>
      </c>
      <c r="B17" s="1670">
        <f>'DistCharter-Data2627'!B52</f>
        <v>0</v>
      </c>
      <c r="C17" s="1670">
        <f>'DistCharter-Data2627'!C52</f>
        <v>0</v>
      </c>
      <c r="D17" s="1670">
        <f>'DistCharter-Data2627'!D52</f>
        <v>0</v>
      </c>
      <c r="E17" s="1670">
        <f>'DistCharter-Data2627'!E52</f>
        <v>0</v>
      </c>
      <c r="F17" s="1670">
        <f>'DistCharter-Data2627'!F52</f>
        <v>0</v>
      </c>
      <c r="G17" s="1670">
        <f>'DistCharter-Data2627'!G52</f>
        <v>0</v>
      </c>
      <c r="H17" s="1670">
        <f>'DistCharter-Data2627'!H52</f>
        <v>0</v>
      </c>
      <c r="I17" s="1670">
        <f>'DistCharter-Data2627'!I52</f>
        <v>0</v>
      </c>
    </row>
    <row r="18" spans="1:9" ht="15.5">
      <c r="A18" s="970" t="s">
        <v>7371</v>
      </c>
      <c r="B18" s="1339" t="e">
        <f>'DistCharter-Data2627'!B53</f>
        <v>#DIV/0!</v>
      </c>
      <c r="C18" s="1339" t="e">
        <f>'DistCharter-Data2627'!C53</f>
        <v>#DIV/0!</v>
      </c>
      <c r="D18" s="1339" t="e">
        <f>'DistCharter-Data2627'!D53</f>
        <v>#DIV/0!</v>
      </c>
      <c r="E18" s="1339" t="e">
        <f>'DistCharter-Data2627'!E53</f>
        <v>#DIV/0!</v>
      </c>
      <c r="F18" s="1339" t="e">
        <f>'DistCharter-Data2627'!F53</f>
        <v>#DIV/0!</v>
      </c>
      <c r="G18" s="1339" t="e">
        <f>'DistCharter-Data2627'!G53</f>
        <v>#DIV/0!</v>
      </c>
      <c r="H18" s="1339" t="e">
        <f>'DistCharter-Data2627'!H53</f>
        <v>#DIV/0!</v>
      </c>
      <c r="I18" s="1339" t="e">
        <f>'DistCharter-Data2627'!I53</f>
        <v>#DIV/0!</v>
      </c>
    </row>
    <row r="19" spans="1:9">
      <c r="A19" s="1037"/>
    </row>
    <row r="20" spans="1:9" ht="13">
      <c r="A20" s="1338" t="s">
        <v>10704</v>
      </c>
      <c r="B20" s="43" t="s">
        <v>7366</v>
      </c>
      <c r="C20" s="43" t="s">
        <v>7366</v>
      </c>
      <c r="D20" s="43" t="s">
        <v>7366</v>
      </c>
      <c r="E20" s="43" t="s">
        <v>7366</v>
      </c>
      <c r="F20" s="43" t="s">
        <v>7366</v>
      </c>
      <c r="G20" s="43" t="s">
        <v>7366</v>
      </c>
      <c r="H20" s="43" t="s">
        <v>7366</v>
      </c>
      <c r="I20" s="43" t="s">
        <v>7366</v>
      </c>
    </row>
    <row r="21" spans="1:9" ht="13">
      <c r="B21" s="1336" t="s">
        <v>7358</v>
      </c>
      <c r="C21" s="1336" t="s">
        <v>7359</v>
      </c>
      <c r="D21" s="1336" t="s">
        <v>7360</v>
      </c>
      <c r="E21" s="1337" t="s">
        <v>7361</v>
      </c>
      <c r="F21" s="1337" t="s">
        <v>10695</v>
      </c>
      <c r="G21" s="1337" t="s">
        <v>10696</v>
      </c>
      <c r="H21" s="1337" t="s">
        <v>10697</v>
      </c>
      <c r="I21" s="1337" t="s">
        <v>10698</v>
      </c>
    </row>
    <row r="22" spans="1:9" ht="15.5">
      <c r="A22" s="969" t="s">
        <v>7393</v>
      </c>
      <c r="B22" s="1339" t="e">
        <f>'DistCharter-Data2627'!B77</f>
        <v>#DIV/0!</v>
      </c>
      <c r="C22" s="1339" t="e">
        <f>'DistCharter-Data2627'!C77</f>
        <v>#DIV/0!</v>
      </c>
      <c r="D22" s="1339" t="e">
        <f>'DistCharter-Data2627'!D77</f>
        <v>#DIV/0!</v>
      </c>
      <c r="E22" s="1339" t="e">
        <f>'DistCharter-Data2627'!E77</f>
        <v>#DIV/0!</v>
      </c>
      <c r="F22" s="1339" t="e">
        <f>'DistCharter-Data2627'!F77</f>
        <v>#DIV/0!</v>
      </c>
      <c r="G22" s="1339" t="e">
        <f>'DistCharter-Data2627'!G77</f>
        <v>#DIV/0!</v>
      </c>
      <c r="H22" s="1339" t="e">
        <f>'DistCharter-Data2627'!H77</f>
        <v>#DIV/0!</v>
      </c>
      <c r="I22" s="1339" t="e">
        <f>'DistCharter-Data2627'!I77</f>
        <v>#DIV/0!</v>
      </c>
    </row>
    <row r="23" spans="1:9" ht="15.5">
      <c r="A23" s="969" t="s">
        <v>7394</v>
      </c>
      <c r="B23" s="1339" t="e">
        <f>'DistCharter-Data2627'!B78</f>
        <v>#DIV/0!</v>
      </c>
      <c r="C23" s="1339" t="e">
        <f>'DistCharter-Data2627'!C78</f>
        <v>#DIV/0!</v>
      </c>
      <c r="D23" s="1339" t="e">
        <f>'DistCharter-Data2627'!D78</f>
        <v>#DIV/0!</v>
      </c>
      <c r="E23" s="1339" t="e">
        <f>'DistCharter-Data2627'!E78</f>
        <v>#DIV/0!</v>
      </c>
      <c r="F23" s="1339" t="e">
        <f>'DistCharter-Data2627'!F78</f>
        <v>#DIV/0!</v>
      </c>
      <c r="G23" s="1339" t="e">
        <f>'DistCharter-Data2627'!G78</f>
        <v>#DIV/0!</v>
      </c>
      <c r="H23" s="1339" t="e">
        <f>'DistCharter-Data2627'!H78</f>
        <v>#DIV/0!</v>
      </c>
      <c r="I23" s="1339" t="e">
        <f>'DistCharter-Data2627'!I78</f>
        <v>#DIV/0!</v>
      </c>
    </row>
    <row r="24" spans="1:9" ht="15.5">
      <c r="A24" s="970" t="s">
        <v>7372</v>
      </c>
      <c r="B24" s="1339" t="e">
        <f>'DistCharter-Data2627'!B79</f>
        <v>#DIV/0!</v>
      </c>
      <c r="C24" s="1339" t="e">
        <f>'DistCharter-Data2627'!C79</f>
        <v>#DIV/0!</v>
      </c>
      <c r="D24" s="1339" t="e">
        <f>'DistCharter-Data2627'!D79</f>
        <v>#DIV/0!</v>
      </c>
      <c r="E24" s="1339" t="e">
        <f>'DistCharter-Data2627'!E79</f>
        <v>#DIV/0!</v>
      </c>
      <c r="F24" s="1339" t="e">
        <f>'DistCharter-Data2627'!F79</f>
        <v>#DIV/0!</v>
      </c>
      <c r="G24" s="1339" t="e">
        <f>'DistCharter-Data2627'!G79</f>
        <v>#DIV/0!</v>
      </c>
      <c r="H24" s="1339" t="e">
        <f>'DistCharter-Data2627'!H79</f>
        <v>#DIV/0!</v>
      </c>
      <c r="I24" s="1339" t="e">
        <f>'DistCharter-Data2627'!I79</f>
        <v>#DIV/0!</v>
      </c>
    </row>
    <row r="26" spans="1:9" ht="15.5">
      <c r="A26" s="1340" t="s">
        <v>7374</v>
      </c>
      <c r="B26" s="1663" t="e">
        <f>B18+B24</f>
        <v>#DIV/0!</v>
      </c>
      <c r="C26" s="1663" t="e">
        <f t="shared" ref="C26:I26" si="0">C18+C24</f>
        <v>#DIV/0!</v>
      </c>
      <c r="D26" s="1663" t="e">
        <f t="shared" si="0"/>
        <v>#DIV/0!</v>
      </c>
      <c r="E26" s="1663" t="e">
        <f t="shared" si="0"/>
        <v>#DIV/0!</v>
      </c>
      <c r="F26" s="1663" t="e">
        <f t="shared" si="0"/>
        <v>#DIV/0!</v>
      </c>
      <c r="G26" s="1663" t="e">
        <f t="shared" si="0"/>
        <v>#DIV/0!</v>
      </c>
      <c r="H26" s="1663" t="e">
        <f t="shared" si="0"/>
        <v>#DIV/0!</v>
      </c>
      <c r="I26" s="1663" t="e">
        <f t="shared" si="0"/>
        <v>#DIV/0!</v>
      </c>
    </row>
    <row r="30" spans="1:9" ht="13">
      <c r="A30" s="1338" t="s">
        <v>7383</v>
      </c>
      <c r="B30" s="43" t="s">
        <v>7367</v>
      </c>
      <c r="C30" s="43" t="s">
        <v>7367</v>
      </c>
      <c r="D30" s="43" t="s">
        <v>7367</v>
      </c>
      <c r="E30" s="43" t="s">
        <v>7367</v>
      </c>
      <c r="F30" s="43" t="s">
        <v>7367</v>
      </c>
      <c r="G30" s="43" t="s">
        <v>7367</v>
      </c>
      <c r="H30" s="43" t="s">
        <v>7367</v>
      </c>
      <c r="I30" s="43" t="s">
        <v>7367</v>
      </c>
    </row>
    <row r="31" spans="1:9" ht="13">
      <c r="B31" s="1336" t="s">
        <v>7358</v>
      </c>
      <c r="C31" s="1336" t="s">
        <v>7359</v>
      </c>
      <c r="D31" s="1336" t="s">
        <v>7360</v>
      </c>
      <c r="E31" s="1337" t="s">
        <v>7361</v>
      </c>
      <c r="F31" s="1337" t="s">
        <v>10695</v>
      </c>
      <c r="G31" s="1337" t="s">
        <v>10696</v>
      </c>
      <c r="H31" s="1337" t="s">
        <v>10697</v>
      </c>
      <c r="I31" s="1337" t="s">
        <v>10698</v>
      </c>
    </row>
    <row r="32" spans="1:9" ht="15.5">
      <c r="A32" s="964" t="s">
        <v>2635</v>
      </c>
      <c r="B32" s="1339">
        <f>'DistCharter-Data2627'!B57</f>
        <v>0</v>
      </c>
      <c r="C32" s="1339">
        <f>'DistCharter-Data2627'!C57</f>
        <v>0</v>
      </c>
      <c r="D32" s="1339">
        <f>'DistCharter-Data2627'!D57</f>
        <v>0</v>
      </c>
      <c r="E32" s="1339">
        <f>'DistCharter-Data2627'!E57</f>
        <v>0</v>
      </c>
      <c r="F32" s="1339">
        <f>'DistCharter-Data2627'!F57</f>
        <v>0</v>
      </c>
      <c r="G32" s="1339">
        <f>'DistCharter-Data2627'!G57</f>
        <v>0</v>
      </c>
      <c r="H32" s="1339">
        <f>'DistCharter-Data2627'!H57</f>
        <v>0</v>
      </c>
      <c r="I32" s="1339">
        <f>'DistCharter-Data2627'!I57</f>
        <v>0</v>
      </c>
    </row>
    <row r="33" spans="1:9" ht="15.5">
      <c r="A33" s="964" t="s">
        <v>7854</v>
      </c>
      <c r="B33" s="1670">
        <f>'DistCharter-Data2627'!B58</f>
        <v>0</v>
      </c>
      <c r="C33" s="1670">
        <f>'DistCharter-Data2627'!C58</f>
        <v>0</v>
      </c>
      <c r="D33" s="1670">
        <f>'DistCharter-Data2627'!D58</f>
        <v>0</v>
      </c>
      <c r="E33" s="1670">
        <f>'DistCharter-Data2627'!E58</f>
        <v>0</v>
      </c>
      <c r="F33" s="1670">
        <f>'DistCharter-Data2627'!F58</f>
        <v>0</v>
      </c>
      <c r="G33" s="1670">
        <f>'DistCharter-Data2627'!G58</f>
        <v>0</v>
      </c>
      <c r="H33" s="1670">
        <f>'DistCharter-Data2627'!H58</f>
        <v>0</v>
      </c>
      <c r="I33" s="1670">
        <f>'DistCharter-Data2627'!I58</f>
        <v>0</v>
      </c>
    </row>
    <row r="34" spans="1:9" ht="15.5">
      <c r="A34" s="964" t="s">
        <v>2639</v>
      </c>
      <c r="B34" s="1339">
        <f>'DistCharter-Data2627'!B59</f>
        <v>0</v>
      </c>
      <c r="C34" s="1339">
        <f>'DistCharter-Data2627'!C59</f>
        <v>0</v>
      </c>
      <c r="D34" s="1339">
        <f>'DistCharter-Data2627'!D59</f>
        <v>0</v>
      </c>
      <c r="E34" s="1339">
        <f>'DistCharter-Data2627'!E59</f>
        <v>0</v>
      </c>
      <c r="F34" s="1339">
        <f>'DistCharter-Data2627'!F59</f>
        <v>0</v>
      </c>
      <c r="G34" s="1339">
        <f>'DistCharter-Data2627'!G59</f>
        <v>0</v>
      </c>
      <c r="H34" s="1339">
        <f>'DistCharter-Data2627'!H59</f>
        <v>0</v>
      </c>
      <c r="I34" s="1339">
        <f>'DistCharter-Data2627'!I59</f>
        <v>0</v>
      </c>
    </row>
    <row r="35" spans="1:9" ht="15.5">
      <c r="A35" s="964" t="s">
        <v>7436</v>
      </c>
      <c r="B35" s="1670">
        <f>'DistCharter-Data2627'!B60</f>
        <v>0</v>
      </c>
      <c r="C35" s="1670">
        <f>'DistCharter-Data2627'!C60</f>
        <v>0</v>
      </c>
      <c r="D35" s="1670">
        <f>'DistCharter-Data2627'!D60</f>
        <v>0</v>
      </c>
      <c r="E35" s="1670">
        <f>'DistCharter-Data2627'!E60</f>
        <v>0</v>
      </c>
      <c r="F35" s="1670">
        <f>'DistCharter-Data2627'!F60</f>
        <v>0</v>
      </c>
      <c r="G35" s="1670">
        <f>'DistCharter-Data2627'!G60</f>
        <v>0</v>
      </c>
      <c r="H35" s="1670">
        <f>'DistCharter-Data2627'!H60</f>
        <v>0</v>
      </c>
      <c r="I35" s="1670">
        <f>'DistCharter-Data2627'!I60</f>
        <v>0</v>
      </c>
    </row>
    <row r="36" spans="1:9" ht="15.5">
      <c r="A36" s="964" t="s">
        <v>7363</v>
      </c>
      <c r="B36" s="1339">
        <f>'DistCharter-Data2627'!B61</f>
        <v>0</v>
      </c>
      <c r="C36" s="1339">
        <f>'DistCharter-Data2627'!C61</f>
        <v>0</v>
      </c>
      <c r="D36" s="1339">
        <f>'DistCharter-Data2627'!D61</f>
        <v>0</v>
      </c>
      <c r="E36" s="1339">
        <f>'DistCharter-Data2627'!E61</f>
        <v>0</v>
      </c>
      <c r="F36" s="1339">
        <f>'DistCharter-Data2627'!F61</f>
        <v>0</v>
      </c>
      <c r="G36" s="1339">
        <f>'DistCharter-Data2627'!G61</f>
        <v>0</v>
      </c>
      <c r="H36" s="1339">
        <f>'DistCharter-Data2627'!H61</f>
        <v>0</v>
      </c>
      <c r="I36" s="1339">
        <f>'DistCharter-Data2627'!I61</f>
        <v>0</v>
      </c>
    </row>
    <row r="37" spans="1:9" ht="15.5">
      <c r="A37" s="964" t="s">
        <v>7364</v>
      </c>
      <c r="B37" s="1339">
        <f>'DistCharter-Data2627'!B62</f>
        <v>0</v>
      </c>
      <c r="C37" s="1339">
        <f>'DistCharter-Data2627'!C62</f>
        <v>0</v>
      </c>
      <c r="D37" s="1339">
        <f>'DistCharter-Data2627'!D62</f>
        <v>0</v>
      </c>
      <c r="E37" s="1339">
        <f>'DistCharter-Data2627'!E62</f>
        <v>0</v>
      </c>
      <c r="F37" s="1339">
        <f>'DistCharter-Data2627'!F62</f>
        <v>0</v>
      </c>
      <c r="G37" s="1339">
        <f>'DistCharter-Data2627'!G62</f>
        <v>0</v>
      </c>
      <c r="H37" s="1339">
        <f>'DistCharter-Data2627'!H62</f>
        <v>0</v>
      </c>
      <c r="I37" s="1339">
        <f>'DistCharter-Data2627'!I62</f>
        <v>0</v>
      </c>
    </row>
    <row r="38" spans="1:9" ht="15.5">
      <c r="A38" s="964" t="s">
        <v>2642</v>
      </c>
      <c r="B38" s="1339">
        <f>'DistCharter-Data2627'!B63</f>
        <v>0</v>
      </c>
      <c r="C38" s="1339">
        <f>'DistCharter-Data2627'!C63</f>
        <v>0</v>
      </c>
      <c r="D38" s="1339">
        <f>'DistCharter-Data2627'!D63</f>
        <v>0</v>
      </c>
      <c r="E38" s="1339">
        <f>'DistCharter-Data2627'!E63</f>
        <v>0</v>
      </c>
      <c r="F38" s="1339">
        <f>'DistCharter-Data2627'!F63</f>
        <v>0</v>
      </c>
      <c r="G38" s="1339">
        <f>'DistCharter-Data2627'!G63</f>
        <v>0</v>
      </c>
      <c r="H38" s="1339">
        <f>'DistCharter-Data2627'!H63</f>
        <v>0</v>
      </c>
      <c r="I38" s="1339">
        <f>'DistCharter-Data2627'!I63</f>
        <v>0</v>
      </c>
    </row>
    <row r="39" spans="1:9" ht="15.5">
      <c r="A39" s="964" t="s">
        <v>7365</v>
      </c>
      <c r="B39" s="1339">
        <f>'DistCharter-Data2627'!B64</f>
        <v>0</v>
      </c>
      <c r="C39" s="1339">
        <f>'DistCharter-Data2627'!C64</f>
        <v>0</v>
      </c>
      <c r="D39" s="1339">
        <f>'DistCharter-Data2627'!D64</f>
        <v>0</v>
      </c>
      <c r="E39" s="1339">
        <f>'DistCharter-Data2627'!E64</f>
        <v>0</v>
      </c>
      <c r="F39" s="1339">
        <f>'DistCharter-Data2627'!F64</f>
        <v>0</v>
      </c>
      <c r="G39" s="1339">
        <f>'DistCharter-Data2627'!G64</f>
        <v>0</v>
      </c>
      <c r="H39" s="1339">
        <f>'DistCharter-Data2627'!H64</f>
        <v>0</v>
      </c>
      <c r="I39" s="1339">
        <f>'DistCharter-Data2627'!I64</f>
        <v>0</v>
      </c>
    </row>
    <row r="40" spans="1:9" ht="15.5">
      <c r="A40" s="964" t="s">
        <v>7628</v>
      </c>
      <c r="B40" s="1670">
        <f>'DistCharter-Data2627'!B65</f>
        <v>0</v>
      </c>
      <c r="C40" s="1670">
        <f>'DistCharter-Data2627'!C65</f>
        <v>0</v>
      </c>
      <c r="D40" s="1670">
        <f>'DistCharter-Data2627'!D65</f>
        <v>0</v>
      </c>
      <c r="E40" s="1670">
        <f>'DistCharter-Data2627'!E65</f>
        <v>0</v>
      </c>
      <c r="F40" s="1670">
        <f>'DistCharter-Data2627'!F65</f>
        <v>0</v>
      </c>
      <c r="G40" s="1670">
        <f>'DistCharter-Data2627'!G65</f>
        <v>0</v>
      </c>
      <c r="H40" s="1670">
        <f>'DistCharter-Data2627'!H65</f>
        <v>0</v>
      </c>
      <c r="I40" s="1670">
        <f>'DistCharter-Data2627'!I65</f>
        <v>0</v>
      </c>
    </row>
    <row r="41" spans="1:9" ht="15.5">
      <c r="A41" s="970" t="s">
        <v>7371</v>
      </c>
      <c r="B41" s="1339">
        <f t="shared" ref="B41:I41" si="1">SUM(B32:B40)</f>
        <v>0</v>
      </c>
      <c r="C41" s="1339">
        <f t="shared" si="1"/>
        <v>0</v>
      </c>
      <c r="D41" s="1339">
        <f t="shared" si="1"/>
        <v>0</v>
      </c>
      <c r="E41" s="1339">
        <f t="shared" si="1"/>
        <v>0</v>
      </c>
      <c r="F41" s="1339">
        <f t="shared" si="1"/>
        <v>0</v>
      </c>
      <c r="G41" s="1339">
        <f t="shared" si="1"/>
        <v>0</v>
      </c>
      <c r="H41" s="1339">
        <f t="shared" si="1"/>
        <v>0</v>
      </c>
      <c r="I41" s="1339">
        <f t="shared" si="1"/>
        <v>0</v>
      </c>
    </row>
    <row r="43" spans="1:9" ht="13">
      <c r="A43" s="1338" t="s">
        <v>7384</v>
      </c>
      <c r="B43" s="43" t="s">
        <v>7367</v>
      </c>
      <c r="C43" s="43" t="s">
        <v>7367</v>
      </c>
      <c r="D43" s="43" t="s">
        <v>7367</v>
      </c>
      <c r="E43" s="43" t="s">
        <v>7367</v>
      </c>
      <c r="F43" s="43" t="s">
        <v>7367</v>
      </c>
      <c r="G43" s="43" t="s">
        <v>7367</v>
      </c>
      <c r="H43" s="43" t="s">
        <v>7367</v>
      </c>
      <c r="I43" s="43" t="s">
        <v>7367</v>
      </c>
    </row>
    <row r="44" spans="1:9" ht="13">
      <c r="B44" s="1336" t="s">
        <v>7358</v>
      </c>
      <c r="C44" s="1336" t="s">
        <v>7359</v>
      </c>
      <c r="D44" s="1336" t="s">
        <v>7360</v>
      </c>
      <c r="E44" s="1337" t="s">
        <v>7361</v>
      </c>
      <c r="F44" s="1337" t="s">
        <v>10695</v>
      </c>
      <c r="G44" s="1337" t="s">
        <v>10696</v>
      </c>
      <c r="H44" s="1337" t="s">
        <v>10697</v>
      </c>
      <c r="I44" s="1337" t="s">
        <v>10698</v>
      </c>
    </row>
    <row r="45" spans="1:9" ht="15.5">
      <c r="A45" s="969" t="s">
        <v>7393</v>
      </c>
      <c r="B45" s="1339">
        <f>'DistCharter-Data2627'!B83</f>
        <v>0</v>
      </c>
      <c r="C45" s="1339">
        <f>'DistCharter-Data2627'!C83</f>
        <v>0</v>
      </c>
      <c r="D45" s="1339">
        <f>'DistCharter-Data2627'!D83</f>
        <v>0</v>
      </c>
      <c r="E45" s="1339">
        <f>'DistCharter-Data2627'!E83</f>
        <v>0</v>
      </c>
      <c r="F45" s="1339">
        <f>'DistCharter-Data2627'!F83</f>
        <v>0</v>
      </c>
      <c r="G45" s="1339">
        <f>'DistCharter-Data2627'!G83</f>
        <v>0</v>
      </c>
      <c r="H45" s="1339">
        <f>'DistCharter-Data2627'!H83</f>
        <v>0</v>
      </c>
      <c r="I45" s="1339">
        <f>'DistCharter-Data2627'!I83</f>
        <v>0</v>
      </c>
    </row>
    <row r="46" spans="1:9" ht="15.5">
      <c r="A46" s="969" t="s">
        <v>7394</v>
      </c>
      <c r="B46" s="1339">
        <f>'DistCharter-Data2627'!B84</f>
        <v>0</v>
      </c>
      <c r="C46" s="1339">
        <f>'DistCharter-Data2627'!C84</f>
        <v>0</v>
      </c>
      <c r="D46" s="1339">
        <f>'DistCharter-Data2627'!D84</f>
        <v>0</v>
      </c>
      <c r="E46" s="1339">
        <f>'DistCharter-Data2627'!E84</f>
        <v>0</v>
      </c>
      <c r="F46" s="1339">
        <f>'DistCharter-Data2627'!F84</f>
        <v>0</v>
      </c>
      <c r="G46" s="1339">
        <f>'DistCharter-Data2627'!G84</f>
        <v>0</v>
      </c>
      <c r="H46" s="1339">
        <f>'DistCharter-Data2627'!H84</f>
        <v>0</v>
      </c>
      <c r="I46" s="1339">
        <f>'DistCharter-Data2627'!I84</f>
        <v>0</v>
      </c>
    </row>
    <row r="47" spans="1:9" ht="15.5">
      <c r="A47" s="970" t="s">
        <v>7372</v>
      </c>
      <c r="B47" s="1339">
        <f>SUM(B45:B46)</f>
        <v>0</v>
      </c>
      <c r="C47" s="1339">
        <f t="shared" ref="C47:I47" si="2">SUM(C45:C46)</f>
        <v>0</v>
      </c>
      <c r="D47" s="1339">
        <f t="shared" si="2"/>
        <v>0</v>
      </c>
      <c r="E47" s="1339">
        <f t="shared" si="2"/>
        <v>0</v>
      </c>
      <c r="F47" s="1339">
        <f t="shared" si="2"/>
        <v>0</v>
      </c>
      <c r="G47" s="1339">
        <f t="shared" si="2"/>
        <v>0</v>
      </c>
      <c r="H47" s="1339">
        <f t="shared" si="2"/>
        <v>0</v>
      </c>
      <c r="I47" s="1339">
        <f t="shared" si="2"/>
        <v>0</v>
      </c>
    </row>
    <row r="49" spans="1:10" ht="13">
      <c r="A49" s="1338" t="s">
        <v>7385</v>
      </c>
      <c r="B49" s="43" t="s">
        <v>7367</v>
      </c>
      <c r="C49" s="43" t="s">
        <v>7367</v>
      </c>
      <c r="D49" s="43" t="s">
        <v>7367</v>
      </c>
      <c r="E49" s="43" t="s">
        <v>7367</v>
      </c>
      <c r="F49" s="43" t="s">
        <v>7367</v>
      </c>
      <c r="G49" s="43" t="s">
        <v>7367</v>
      </c>
      <c r="H49" s="43" t="s">
        <v>7367</v>
      </c>
      <c r="I49" s="43" t="s">
        <v>7367</v>
      </c>
    </row>
    <row r="50" spans="1:10" ht="13">
      <c r="B50" s="1336" t="s">
        <v>7358</v>
      </c>
      <c r="C50" s="1336" t="s">
        <v>7359</v>
      </c>
      <c r="D50" s="1336" t="s">
        <v>7360</v>
      </c>
      <c r="E50" s="1337" t="s">
        <v>7361</v>
      </c>
      <c r="F50" s="1337" t="s">
        <v>10695</v>
      </c>
      <c r="G50" s="1337" t="s">
        <v>10696</v>
      </c>
      <c r="H50" s="1337" t="s">
        <v>10697</v>
      </c>
      <c r="I50" s="1337" t="s">
        <v>10698</v>
      </c>
    </row>
    <row r="51" spans="1:10" ht="15.5">
      <c r="A51" s="969" t="s">
        <v>7373</v>
      </c>
      <c r="B51" s="1339">
        <f>'DistCharter-Data2627'!B98</f>
        <v>0</v>
      </c>
      <c r="C51" s="1339">
        <f>'DistCharter-Data2627'!C98</f>
        <v>0</v>
      </c>
      <c r="D51" s="1339">
        <f>'DistCharter-Data2627'!D98</f>
        <v>0</v>
      </c>
      <c r="E51" s="1339">
        <f>'DistCharter-Data2627'!E98</f>
        <v>0</v>
      </c>
      <c r="F51" s="1339">
        <f>'DistCharter-Data2627'!F98</f>
        <v>0</v>
      </c>
      <c r="G51" s="1339">
        <f>'DistCharter-Data2627'!G98</f>
        <v>0</v>
      </c>
      <c r="H51" s="1339">
        <f>'DistCharter-Data2627'!H98</f>
        <v>0</v>
      </c>
      <c r="I51" s="1339">
        <f>'DistCharter-Data2627'!I98</f>
        <v>0</v>
      </c>
    </row>
    <row r="53" spans="1:10" ht="15.5">
      <c r="A53" s="1340" t="s">
        <v>7386</v>
      </c>
      <c r="B53" s="1663">
        <f>B41+B47+B51</f>
        <v>0</v>
      </c>
      <c r="C53" s="1663">
        <f t="shared" ref="C53:I53" si="3">C41+C47+C51</f>
        <v>0</v>
      </c>
      <c r="D53" s="1663">
        <f t="shared" si="3"/>
        <v>0</v>
      </c>
      <c r="E53" s="1663">
        <f t="shared" si="3"/>
        <v>0</v>
      </c>
      <c r="F53" s="1663">
        <f t="shared" si="3"/>
        <v>0</v>
      </c>
      <c r="G53" s="1663">
        <f t="shared" si="3"/>
        <v>0</v>
      </c>
      <c r="H53" s="1663">
        <f t="shared" si="3"/>
        <v>0</v>
      </c>
      <c r="I53" s="1663">
        <f t="shared" si="3"/>
        <v>0</v>
      </c>
    </row>
    <row r="54" spans="1:10" ht="15.5">
      <c r="J54" s="324" t="s">
        <v>11049</v>
      </c>
    </row>
    <row r="55" spans="1:10" ht="15">
      <c r="J55" s="971" t="s">
        <v>7376</v>
      </c>
    </row>
    <row r="56" spans="1:10" ht="15.5">
      <c r="A56" s="1341" t="s">
        <v>7375</v>
      </c>
      <c r="B56" s="1342"/>
      <c r="C56" s="1342"/>
      <c r="D56" s="1342"/>
      <c r="E56" s="980"/>
      <c r="F56" s="980"/>
      <c r="G56" s="980"/>
      <c r="H56" s="980"/>
      <c r="I56" s="980"/>
      <c r="J56" s="1342"/>
    </row>
    <row r="57" spans="1:10" ht="15.5">
      <c r="A57" s="1343" t="s">
        <v>12487</v>
      </c>
      <c r="B57" s="1664" t="e">
        <f t="shared" ref="B57:I57" si="4">IF(B26&gt;=B53,0,B53-B26)</f>
        <v>#DIV/0!</v>
      </c>
      <c r="C57" s="1664" t="e">
        <f t="shared" si="4"/>
        <v>#DIV/0!</v>
      </c>
      <c r="D57" s="1664" t="e">
        <f t="shared" si="4"/>
        <v>#DIV/0!</v>
      </c>
      <c r="E57" s="1664" t="e">
        <f t="shared" si="4"/>
        <v>#DIV/0!</v>
      </c>
      <c r="F57" s="1664" t="e">
        <f t="shared" si="4"/>
        <v>#DIV/0!</v>
      </c>
      <c r="G57" s="1664" t="e">
        <f t="shared" si="4"/>
        <v>#DIV/0!</v>
      </c>
      <c r="H57" s="1664" t="e">
        <f t="shared" si="4"/>
        <v>#DIV/0!</v>
      </c>
      <c r="I57" s="1664" t="e">
        <f t="shared" si="4"/>
        <v>#DIV/0!</v>
      </c>
      <c r="J57" s="2629" t="e">
        <f>SUM(B57:I57)</f>
        <v>#DIV/0!</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3" tint="0.79998168889431442"/>
  </sheetPr>
  <dimension ref="A1:AL207"/>
  <sheetViews>
    <sheetView topLeftCell="A18" workbookViewId="0">
      <selection activeCell="I21" sqref="I21"/>
    </sheetView>
  </sheetViews>
  <sheetFormatPr defaultColWidth="8.7265625" defaultRowHeight="14"/>
  <cols>
    <col min="1" max="1" width="10.54296875" style="1373" bestFit="1" customWidth="1"/>
    <col min="2" max="2" width="8.7265625" style="1373"/>
    <col min="3" max="3" width="13.54296875" style="1373" customWidth="1"/>
    <col min="4" max="4" width="44.54296875" style="1373" customWidth="1"/>
    <col min="5" max="5" width="19.1796875" style="1373" customWidth="1"/>
    <col min="6" max="6" width="19.1796875" style="1373" hidden="1" customWidth="1"/>
    <col min="7" max="7" width="9" style="1373" customWidth="1"/>
    <col min="8" max="8" width="1.81640625" style="1373" customWidth="1"/>
    <col min="9" max="9" width="24.1796875" style="1373" customWidth="1"/>
    <col min="10" max="11" width="28.453125" style="1373" hidden="1" customWidth="1"/>
    <col min="12" max="12" width="15.54296875" style="1373" customWidth="1"/>
    <col min="13" max="13" width="15.54296875" style="1378" customWidth="1"/>
    <col min="14" max="14" width="23.81640625" style="1373" customWidth="1"/>
    <col min="15" max="15" width="15.54296875" style="1379" hidden="1" customWidth="1"/>
    <col min="16" max="16" width="13.54296875" style="1373" customWidth="1"/>
    <col min="17" max="37" width="8.7265625" style="1373"/>
    <col min="38" max="38" width="15.54296875" style="1373" customWidth="1"/>
    <col min="39" max="39" width="16" style="1373" customWidth="1"/>
    <col min="40" max="16384" width="8.7265625" style="1373"/>
  </cols>
  <sheetData>
    <row r="1" spans="1:11" hidden="1">
      <c r="A1" s="1372" t="s">
        <v>64</v>
      </c>
      <c r="C1" s="1374" t="str">
        <f>'Data Entry - SOF'!B1</f>
        <v xml:space="preserve"> </v>
      </c>
      <c r="E1" s="1375"/>
      <c r="F1" s="1376" t="e">
        <f>#REF!</f>
        <v>#REF!</v>
      </c>
      <c r="G1" s="1377"/>
      <c r="J1" s="1377"/>
      <c r="K1" s="1377"/>
    </row>
    <row r="2" spans="1:11" hidden="1">
      <c r="A2" s="1372" t="s">
        <v>65</v>
      </c>
      <c r="C2" s="1380">
        <f>'Data Entry - SOF'!B2</f>
        <v>0</v>
      </c>
      <c r="F2" s="1377" t="e">
        <f>#REF!</f>
        <v>#REF!</v>
      </c>
      <c r="G2" s="1377"/>
      <c r="J2" s="1377"/>
      <c r="K2" s="1377"/>
    </row>
    <row r="3" spans="1:11" hidden="1">
      <c r="A3" s="1372" t="s">
        <v>134</v>
      </c>
      <c r="C3" s="1381">
        <f ca="1">'Data Entry - SOF'!B3</f>
        <v>44931.882496064813</v>
      </c>
      <c r="F3" s="1382" t="e">
        <f>#REF!</f>
        <v>#REF!</v>
      </c>
    </row>
    <row r="4" spans="1:11" hidden="1">
      <c r="D4" s="1383" t="s">
        <v>2821</v>
      </c>
    </row>
    <row r="5" spans="1:11" hidden="1">
      <c r="D5" s="1384" t="s">
        <v>2840</v>
      </c>
    </row>
    <row r="6" spans="1:11" hidden="1"/>
    <row r="7" spans="1:11" hidden="1">
      <c r="D7" s="1372" t="s">
        <v>1308</v>
      </c>
    </row>
    <row r="8" spans="1:11" hidden="1">
      <c r="B8" s="1385"/>
      <c r="D8" s="1372" t="s">
        <v>786</v>
      </c>
      <c r="F8" s="1386">
        <f>'Calc Data'!D7</f>
        <v>0</v>
      </c>
      <c r="G8" s="1387"/>
      <c r="J8" s="1387"/>
      <c r="K8" s="1387"/>
    </row>
    <row r="9" spans="1:11" hidden="1">
      <c r="D9" s="1372" t="s">
        <v>1309</v>
      </c>
      <c r="F9" s="1386">
        <f>'Calc Data'!D8</f>
        <v>0</v>
      </c>
      <c r="G9" s="1387"/>
      <c r="J9" s="1387"/>
      <c r="K9" s="1387"/>
    </row>
    <row r="10" spans="1:11" hidden="1">
      <c r="D10" s="1372" t="s">
        <v>404</v>
      </c>
      <c r="F10" s="1386" t="e">
        <f>'Data Entry - SOF'!#REF!</f>
        <v>#REF!</v>
      </c>
      <c r="G10" s="1387"/>
      <c r="J10" s="1387"/>
      <c r="K10" s="1387"/>
    </row>
    <row r="11" spans="1:11" hidden="1">
      <c r="B11" s="1372"/>
      <c r="D11" s="1372" t="s">
        <v>405</v>
      </c>
      <c r="F11" s="1386" t="e">
        <f>'Calc Data'!D10</f>
        <v>#REF!</v>
      </c>
      <c r="G11" s="1387"/>
      <c r="J11" s="1387"/>
      <c r="K11" s="1387"/>
    </row>
    <row r="12" spans="1:11" hidden="1">
      <c r="D12" s="1372" t="s">
        <v>406</v>
      </c>
      <c r="F12" s="1388">
        <f>'Data Entry - SOF'!C63</f>
        <v>0</v>
      </c>
      <c r="G12" s="1388"/>
      <c r="J12" s="1388"/>
      <c r="K12" s="1388"/>
    </row>
    <row r="13" spans="1:11" hidden="1">
      <c r="D13" s="1372" t="s">
        <v>407</v>
      </c>
      <c r="F13" s="1388" t="e">
        <f>'Data Entry - SOF'!#REF!</f>
        <v>#REF!</v>
      </c>
      <c r="G13" s="1388"/>
      <c r="J13" s="1388"/>
      <c r="K13" s="1388"/>
    </row>
    <row r="14" spans="1:11" hidden="1">
      <c r="D14" s="1372" t="s">
        <v>1711</v>
      </c>
      <c r="F14" s="1386" t="e">
        <f>'Data Entry - SOF'!C128</f>
        <v>#REF!</v>
      </c>
      <c r="G14" s="1388"/>
      <c r="J14" s="1388"/>
      <c r="K14" s="1388"/>
    </row>
    <row r="15" spans="1:11" hidden="1">
      <c r="D15" s="1372" t="s">
        <v>1085</v>
      </c>
      <c r="F15" s="1386" t="e">
        <f>'Calc Data'!D59</f>
        <v>#REF!</v>
      </c>
      <c r="G15" s="1389"/>
      <c r="J15" s="1389"/>
      <c r="K15" s="1389"/>
    </row>
    <row r="16" spans="1:11" hidden="1">
      <c r="D16" s="1372" t="s">
        <v>1849</v>
      </c>
      <c r="F16" s="1388" t="e">
        <f>'Data Entry - SOF'!#REF!</f>
        <v>#REF!</v>
      </c>
      <c r="G16" s="1388"/>
      <c r="J16" s="1388"/>
      <c r="K16" s="1388"/>
    </row>
    <row r="17" spans="2:38" ht="14.5" hidden="1" thickBot="1">
      <c r="D17" s="1390"/>
      <c r="E17" s="1391"/>
      <c r="F17" s="1391"/>
      <c r="G17" s="1388"/>
      <c r="J17" s="1388"/>
      <c r="K17" s="1388"/>
    </row>
    <row r="18" spans="2:38">
      <c r="D18" s="1372"/>
      <c r="G18" s="1388"/>
      <c r="I18" s="1392" t="s">
        <v>5513</v>
      </c>
      <c r="J18" s="1393" t="s">
        <v>5955</v>
      </c>
      <c r="K18" s="1393" t="s">
        <v>5954</v>
      </c>
    </row>
    <row r="19" spans="2:38">
      <c r="B19" s="1394" t="s">
        <v>408</v>
      </c>
      <c r="D19" s="1372"/>
      <c r="F19" s="1395" t="s">
        <v>3315</v>
      </c>
      <c r="G19" s="1372"/>
      <c r="I19" s="1396" t="s">
        <v>7427</v>
      </c>
      <c r="J19" s="1397" t="s">
        <v>7346</v>
      </c>
      <c r="K19" s="1398" t="s">
        <v>7345</v>
      </c>
    </row>
    <row r="20" spans="2:38">
      <c r="B20" s="1394">
        <v>11</v>
      </c>
      <c r="C20" s="1379" t="s">
        <v>7438</v>
      </c>
      <c r="D20" s="1399" t="s">
        <v>2817</v>
      </c>
      <c r="F20" s="1400" t="e">
        <f>ROUND(ROUND('Calc Data'!D23,0)*IF('Calc Data'!D11&gt;'Calc Data'!D10,'Calc Data'!D11,'Calc Data'!D10),0)</f>
        <v>#REF!</v>
      </c>
      <c r="G20" s="1388"/>
      <c r="I20" s="1401">
        <f>ROUND(Assumptions!H136*IF('Calc Data'!D12&gt;'Calc Data'!D11,'Calc Data'!D12,'Calc Data'!D11),0)</f>
        <v>0</v>
      </c>
      <c r="J20" s="1402" t="e">
        <f>ROUND(ROUND('Calc Data'!AR78,0)*IF('Calc Data'!D11&gt;'Calc Data'!D10,'Calc Data'!D11,'Calc Data'!D10),0)</f>
        <v>#REF!</v>
      </c>
      <c r="K20" s="1403"/>
      <c r="AL20" s="1388" t="e">
        <f>ROUND(ROUND('Calc Data'!AA23,0)*IF('Calc Data'!#REF!&gt;'Calc Data'!#REF!,'Calc Data'!#REF!,'Calc Data'!#REF!),0)</f>
        <v>#REF!</v>
      </c>
    </row>
    <row r="21" spans="2:38">
      <c r="B21" s="1394"/>
      <c r="C21" s="1404" t="s">
        <v>7439</v>
      </c>
      <c r="D21" s="1405" t="s">
        <v>7431</v>
      </c>
      <c r="E21" s="1406"/>
      <c r="F21" s="1407"/>
      <c r="G21" s="1408"/>
      <c r="H21" s="1408"/>
      <c r="I21" s="1401">
        <f>MAX('Calc Data'!D97,'Calc Data'!D99)</f>
        <v>0</v>
      </c>
      <c r="J21" s="1409"/>
      <c r="K21" s="1410"/>
      <c r="AL21" s="1388"/>
    </row>
    <row r="22" spans="2:38">
      <c r="B22" s="1394">
        <v>23</v>
      </c>
      <c r="C22" s="1379" t="s">
        <v>7439</v>
      </c>
      <c r="D22" s="1372" t="s">
        <v>7455</v>
      </c>
      <c r="F22" s="1388" t="e">
        <f>ROUND('Calc Data'!D9*ROUND('Calc Data'!D23,0),0)</f>
        <v>#REF!</v>
      </c>
      <c r="G22" s="1388"/>
      <c r="I22" s="1412">
        <f>ROUND('Calc Data'!D9*(Assumptions!H136+'Calc Data'!D96),0)</f>
        <v>0</v>
      </c>
      <c r="J22" s="1413">
        <f>ROUND('Calc Data'!D9*ROUND('Calc Data'!AR78,0),0)</f>
        <v>0</v>
      </c>
      <c r="K22" s="1414"/>
      <c r="AL22" s="1388" t="e">
        <f>ROUND('Calc Data'!#REF!*ROUND('Calc Data'!AA23,0),0)</f>
        <v>#REF!</v>
      </c>
    </row>
    <row r="23" spans="2:38">
      <c r="B23" s="1394"/>
      <c r="C23" s="1379" t="s">
        <v>7439</v>
      </c>
      <c r="D23" s="1372" t="s">
        <v>87</v>
      </c>
      <c r="F23" s="1415"/>
      <c r="I23" s="1416"/>
      <c r="J23" s="1417"/>
      <c r="K23" s="1414"/>
    </row>
    <row r="24" spans="2:38">
      <c r="B24" s="1394">
        <v>23</v>
      </c>
      <c r="C24" s="1379" t="s">
        <v>7439</v>
      </c>
      <c r="D24" s="1372" t="s">
        <v>88</v>
      </c>
      <c r="F24" s="1418" t="e">
        <f>ROUND('Data Entry - SOF'!C32*Weights!M21*ROUND('Calc Data'!D23,0),0)</f>
        <v>#REF!</v>
      </c>
      <c r="G24" s="1418"/>
      <c r="I24" s="1419">
        <f>IF('Data Entry - SOF'!C32=0,0,ROUND('Data Entry - SOF'!C32*'Weights-HB3'!I18*(Assumptions!H136+'Calc Data'!D96),0))</f>
        <v>0</v>
      </c>
      <c r="J24" s="1420">
        <f>ROUND('Data Entry - SOF'!C32*Weights!M21*ROUND('Calc Data'!AR78,0),0)</f>
        <v>0</v>
      </c>
      <c r="K24" s="1414"/>
      <c r="AL24" s="1418" t="e">
        <f>ROUND('Data Entry - SOF'!#REF!*1.1*ROUND('Calc Data'!AA23,0),0)</f>
        <v>#REF!</v>
      </c>
    </row>
    <row r="25" spans="2:38">
      <c r="B25" s="1394">
        <v>23</v>
      </c>
      <c r="C25" s="1379" t="s">
        <v>7439</v>
      </c>
      <c r="D25" s="1372" t="s">
        <v>89</v>
      </c>
      <c r="F25" s="1388" t="e">
        <f>ROUND((+'Data Entry - SOF'!C31*Weights!M19)*ROUND('Calc Data'!D23,0),0)</f>
        <v>#REF!</v>
      </c>
      <c r="G25" s="1388"/>
      <c r="I25" s="1412">
        <f>IF('Data Entry - SOF'!C31=0,0,ROUND(('Data Entry - SOF'!C31*'Weights-HB3'!I16)*(Assumptions!H136+'Calc Data'!D96),0))</f>
        <v>0</v>
      </c>
      <c r="J25" s="1413">
        <f>ROUND((+'Data Entry - SOF'!C31*Weights!M19)*ROUND('Calc Data'!AR78,0),0)</f>
        <v>0</v>
      </c>
      <c r="K25" s="1414"/>
      <c r="AL25" s="1388" t="e">
        <f>ROUND((+'Data Entry - SOF'!#REF!*4)*ROUND('Calc Data'!AA23,0),0)</f>
        <v>#REF!</v>
      </c>
    </row>
    <row r="26" spans="2:38">
      <c r="B26" s="1394">
        <v>23</v>
      </c>
      <c r="C26" s="1379" t="s">
        <v>7439</v>
      </c>
      <c r="D26" s="1421" t="s">
        <v>766</v>
      </c>
      <c r="F26" s="1388" t="e">
        <f>ROUND((+'Data Entry - SOF'!C29*Weights!M17)*ROUND('Calc Data'!D23,0),0)</f>
        <v>#REF!</v>
      </c>
      <c r="G26" s="1388"/>
      <c r="I26" s="1412">
        <f>IF('Data Entry - SOF'!C29=0,0,ROUND((+'Data Entry - SOF'!C29*'Weights-HB3'!I14)*(Assumptions!H136+'Calc Data'!D96),0))</f>
        <v>0</v>
      </c>
      <c r="J26" s="1413">
        <f>ROUND((+'Data Entry - SOF'!C29*Weights!M17)*ROUND('Calc Data'!AR78,0),0)</f>
        <v>0</v>
      </c>
      <c r="K26" s="1414"/>
      <c r="AL26" s="1388" t="e">
        <f>ROUND((+'Data Entry - SOF'!#REF!*2.8)*ROUND('Calc Data'!AA23,0),0)</f>
        <v>#REF!</v>
      </c>
    </row>
    <row r="27" spans="2:38">
      <c r="B27" s="1394">
        <v>23</v>
      </c>
      <c r="C27" s="1379" t="s">
        <v>7439</v>
      </c>
      <c r="D27" s="1421" t="s">
        <v>767</v>
      </c>
      <c r="F27" s="1388" t="e">
        <f>ROUND(('Data Entry - SOF'!C30*Weights!M18)*ROUND('Calc Data'!D23,0),0)</f>
        <v>#REF!</v>
      </c>
      <c r="G27" s="1388"/>
      <c r="I27" s="1412">
        <f>IF('Data Entry - SOF'!C30=0,0,ROUND(('Data Entry - SOF'!C30*'Weights-HB3'!I15)*(Assumptions!H136+'Calc Data'!D96),0))</f>
        <v>0</v>
      </c>
      <c r="J27" s="1413">
        <f>ROUND(('Data Entry - SOF'!C30*Weights!M18)*ROUND('Calc Data'!AR78,0),0)</f>
        <v>0</v>
      </c>
      <c r="K27" s="1414"/>
      <c r="AL27" s="1388" t="e">
        <f>ROUND(('Data Entry - SOF'!#REF!*1.7)*ROUND('Calc Data'!AA23,0),0)</f>
        <v>#REF!</v>
      </c>
    </row>
    <row r="28" spans="2:38">
      <c r="B28" s="1394"/>
      <c r="C28" s="1379" t="s">
        <v>7439</v>
      </c>
      <c r="D28" s="1372" t="s">
        <v>1075</v>
      </c>
      <c r="F28" s="1388" t="e">
        <f>IF('Data Entry - SOF'!#REF!&lt;0,'Data Entry - SOF'!#REF!,'Data Entry - SOF'!#REF!*-1)</f>
        <v>#REF!</v>
      </c>
      <c r="G28" s="1388"/>
      <c r="I28" s="1412">
        <f>IF('Data Entry - SOF'!C96&lt;0,'Data Entry - SOF'!C96,'Data Entry - SOF'!C96*-1)</f>
        <v>0</v>
      </c>
      <c r="J28" s="1422">
        <f>H28</f>
        <v>0</v>
      </c>
      <c r="K28" s="1414"/>
      <c r="AL28" s="1388">
        <v>0</v>
      </c>
    </row>
    <row r="29" spans="2:38">
      <c r="B29" s="1394">
        <v>22</v>
      </c>
      <c r="C29" s="1379" t="s">
        <v>7439</v>
      </c>
      <c r="D29" s="2174" t="s">
        <v>10416</v>
      </c>
      <c r="E29" s="1417"/>
      <c r="F29" s="2172" t="e">
        <f>ROUND(ROUND('Calc Data'!D23,0)*'Data Entry - SOF'!#REF!*Weights!M23,0)</f>
        <v>#REF!</v>
      </c>
      <c r="G29" s="2172"/>
      <c r="H29" s="1417"/>
      <c r="I29" s="2175">
        <f>ROUND((Assumptions!H136+'Calc Data'!D96)*'Data Entry - SOF'!C36*'Weights-HB3'!I21,0)</f>
        <v>0</v>
      </c>
      <c r="J29" s="1413" t="e">
        <f>ROUND(ROUND('Calc Data'!AR78,0)*'Data Entry - SOF'!#REF!*Weights!M23,0)</f>
        <v>#REF!</v>
      </c>
      <c r="K29" s="1414"/>
      <c r="AL29" s="1388" t="e">
        <f>ROUND(ROUND('Calc Data'!AA23,0)*'Data Entry - SOF'!#REF!*1.35,0)</f>
        <v>#REF!</v>
      </c>
    </row>
    <row r="30" spans="2:38">
      <c r="B30" s="1394"/>
      <c r="C30" s="1379" t="s">
        <v>7439</v>
      </c>
      <c r="D30" s="2174" t="s">
        <v>9045</v>
      </c>
      <c r="E30" s="1417"/>
      <c r="F30" s="2172"/>
      <c r="G30" s="2172"/>
      <c r="H30" s="1417"/>
      <c r="I30" s="2175">
        <f>ROUND((Assumptions!H136+'Calc Data'!D96)*'Data Entry - SOF'!C37*'Weights-HB3'!I22,0)</f>
        <v>0</v>
      </c>
      <c r="J30" s="1413"/>
      <c r="K30" s="1410"/>
      <c r="AL30" s="1388"/>
    </row>
    <row r="31" spans="2:38">
      <c r="B31" s="1394"/>
      <c r="C31" s="1379" t="s">
        <v>7439</v>
      </c>
      <c r="D31" s="2174" t="s">
        <v>9044</v>
      </c>
      <c r="E31" s="1417"/>
      <c r="F31" s="2172"/>
      <c r="G31" s="2172"/>
      <c r="H31" s="1417"/>
      <c r="I31" s="2175">
        <f>ROUND((Assumptions!H136+'Calc Data'!D96)*'Data Entry - SOF'!C38*'Weights-HB3'!I23,0)</f>
        <v>0</v>
      </c>
      <c r="J31" s="1413"/>
      <c r="K31" s="1410"/>
      <c r="AL31" s="1388"/>
    </row>
    <row r="32" spans="2:38">
      <c r="B32" s="1394"/>
      <c r="C32" s="1379" t="s">
        <v>7439</v>
      </c>
      <c r="D32" s="2093" t="s">
        <v>9048</v>
      </c>
      <c r="E32" s="1417"/>
      <c r="F32" s="2172">
        <f>Weights!M24*'Data Entry - SOF'!C37</f>
        <v>0</v>
      </c>
      <c r="G32" s="2172"/>
      <c r="H32" s="1417"/>
      <c r="I32" s="2175">
        <f>ROUND('Weights-HB3'!I24*('Data Entry - SOF'!C39+'Data Entry - SOF'!C40),0)</f>
        <v>0</v>
      </c>
      <c r="J32" s="1422">
        <f>H32</f>
        <v>0</v>
      </c>
      <c r="K32" s="1414"/>
      <c r="AL32" s="1388"/>
    </row>
    <row r="33" spans="2:38">
      <c r="B33" s="1394">
        <v>21</v>
      </c>
      <c r="C33" s="1379" t="s">
        <v>7439</v>
      </c>
      <c r="D33" s="2174" t="s">
        <v>2642</v>
      </c>
      <c r="E33" s="1417"/>
      <c r="F33" s="2172" t="e">
        <f>ROUND(ROUND('Calc Data'!D23,0)*'Data Entry - SOF'!C189*Weights!M28,0)</f>
        <v>#REF!</v>
      </c>
      <c r="G33" s="2172"/>
      <c r="H33" s="1417"/>
      <c r="I33" s="2175">
        <f>ROUND(Assumptions!H136*'Data Entry - SOF'!C189*'Weights-HB3'!I31,0)*0.99449388</f>
        <v>0</v>
      </c>
      <c r="J33" s="1413">
        <f>ROUND(ROUND('Calc Data'!AR78,0)*'Data Entry - SOF'!C189*Weights!M28,0)</f>
        <v>0</v>
      </c>
      <c r="K33" s="1414"/>
      <c r="AL33" s="1388" t="e">
        <f>ROUND(ROUND('Calc Data'!AA23,0)*'Data Entry - SOF'!#REF!*0.12,0)</f>
        <v>#REF!</v>
      </c>
    </row>
    <row r="34" spans="2:38">
      <c r="B34" s="1394"/>
      <c r="C34" s="1379" t="s">
        <v>7439</v>
      </c>
      <c r="D34" s="1372" t="s">
        <v>376</v>
      </c>
      <c r="F34" s="1388" t="e">
        <f>IF('Data Entry - SOF'!#REF!&lt;0,'Data Entry - SOF'!#REF!,'Data Entry - SOF'!#REF!*-1)</f>
        <v>#REF!</v>
      </c>
      <c r="G34" s="1388"/>
      <c r="I34" s="1412">
        <f>IF('Data Entry - SOF'!C95&lt;0,'Data Entry - SOF'!C95,'Data Entry - SOF'!C95*-1)</f>
        <v>0</v>
      </c>
      <c r="J34" s="1422">
        <f>H34</f>
        <v>0</v>
      </c>
      <c r="K34" s="1414"/>
      <c r="AL34" s="1388">
        <v>0</v>
      </c>
    </row>
    <row r="35" spans="2:38">
      <c r="B35" s="1394" t="s">
        <v>2357</v>
      </c>
      <c r="C35" s="1404" t="s">
        <v>7439</v>
      </c>
      <c r="D35" s="1424" t="s">
        <v>2732</v>
      </c>
      <c r="E35" s="1406"/>
      <c r="F35" s="1408" t="e">
        <f>ROUND(ROUND('Calc Data'!D23,0)*'Data Entry - SOF'!#REF!*Weights!M30,0)</f>
        <v>#REF!</v>
      </c>
      <c r="G35" s="1408"/>
      <c r="H35" s="1408"/>
      <c r="I35" s="1423"/>
      <c r="J35" s="1413" t="e">
        <f>ROUND(ROUND('Calc Data'!AR78,0)*'Data Entry - SOF'!#REF!*Weights!M30,0)</f>
        <v>#REF!</v>
      </c>
      <c r="K35" s="1414"/>
      <c r="AL35" s="1388" t="e">
        <f>ROUND(ROUND('Calc Data'!AA23,0)*'Data Entry - SOF'!#REF!*0.2,0)</f>
        <v>#REF!</v>
      </c>
    </row>
    <row r="36" spans="2:38">
      <c r="B36" s="1394"/>
      <c r="C36" s="1404" t="s">
        <v>7439</v>
      </c>
      <c r="D36" s="1405" t="s">
        <v>7465</v>
      </c>
      <c r="E36" s="1406"/>
      <c r="F36" s="1408"/>
      <c r="G36" s="1408"/>
      <c r="H36" s="1408"/>
      <c r="I36" s="1423">
        <f>ROUND(Assumptions!H136*'Data Entry - SOF'!C49*'Weights-HB3'!I34,0)</f>
        <v>0</v>
      </c>
      <c r="J36" s="1413"/>
      <c r="K36" s="1410"/>
      <c r="AL36" s="1388"/>
    </row>
    <row r="37" spans="2:38">
      <c r="B37" s="1394"/>
      <c r="C37" s="1404" t="s">
        <v>7439</v>
      </c>
      <c r="D37" s="1405" t="s">
        <v>7484</v>
      </c>
      <c r="E37" s="1406"/>
      <c r="F37" s="1408"/>
      <c r="G37" s="1408"/>
      <c r="H37" s="1408"/>
      <c r="I37" s="1423">
        <f>ROUND(Assumptions!H136*'Data Entry - SOF'!C51*'Weights-HB3'!I36,0)</f>
        <v>0</v>
      </c>
      <c r="J37" s="1413"/>
      <c r="K37" s="1410"/>
      <c r="AL37" s="1388"/>
    </row>
    <row r="38" spans="2:38">
      <c r="B38" s="1394"/>
      <c r="C38" s="1404" t="s">
        <v>7439</v>
      </c>
      <c r="D38" s="1405" t="s">
        <v>7485</v>
      </c>
      <c r="E38" s="1406"/>
      <c r="F38" s="1408"/>
      <c r="G38" s="1408"/>
      <c r="H38" s="1408"/>
      <c r="I38" s="1423">
        <f>ROUND(Assumptions!H136*'Data Entry - SOF'!C52*'Weights-HB3'!I37,0)</f>
        <v>0</v>
      </c>
      <c r="J38" s="1413"/>
      <c r="K38" s="1410"/>
      <c r="AL38" s="1388"/>
    </row>
    <row r="39" spans="2:38">
      <c r="B39" s="1394"/>
      <c r="C39" s="1404" t="s">
        <v>7439</v>
      </c>
      <c r="D39" s="1405" t="s">
        <v>7486</v>
      </c>
      <c r="E39" s="1406"/>
      <c r="F39" s="1408"/>
      <c r="G39" s="1408"/>
      <c r="H39" s="1408"/>
      <c r="I39" s="1423">
        <f>ROUND(Assumptions!H136*'Data Entry - SOF'!C53*'Weights-HB3'!I38,0)</f>
        <v>0</v>
      </c>
      <c r="J39" s="1413"/>
      <c r="K39" s="1410"/>
      <c r="AL39" s="1388"/>
    </row>
    <row r="40" spans="2:38">
      <c r="B40" s="1394"/>
      <c r="C40" s="1404" t="s">
        <v>7439</v>
      </c>
      <c r="D40" s="1405" t="s">
        <v>7487</v>
      </c>
      <c r="E40" s="1406"/>
      <c r="F40" s="1408"/>
      <c r="G40" s="1408"/>
      <c r="H40" s="1408"/>
      <c r="I40" s="1423">
        <f>ROUND(Assumptions!H136*'Data Entry - SOF'!C54*'Weights-HB3'!I39,0)</f>
        <v>0</v>
      </c>
      <c r="J40" s="1413"/>
      <c r="K40" s="1410"/>
      <c r="AL40" s="1388"/>
    </row>
    <row r="41" spans="2:38">
      <c r="B41" s="1394"/>
      <c r="C41" s="1404" t="s">
        <v>7439</v>
      </c>
      <c r="D41" s="1405" t="s">
        <v>7488</v>
      </c>
      <c r="E41" s="1406"/>
      <c r="F41" s="1408"/>
      <c r="G41" s="1408"/>
      <c r="H41" s="1408"/>
      <c r="I41" s="1423">
        <f>ROUND(Assumptions!H136*'Data Entry - SOF'!C55*'Weights-HB3'!I40,0)</f>
        <v>0</v>
      </c>
      <c r="J41" s="1413"/>
      <c r="K41" s="1410"/>
      <c r="L41" s="1473">
        <f>SUM(I37:I41)</f>
        <v>0</v>
      </c>
      <c r="AL41" s="1388"/>
    </row>
    <row r="42" spans="2:38">
      <c r="B42" s="1394" t="s">
        <v>2357</v>
      </c>
      <c r="C42" s="1379" t="s">
        <v>7439</v>
      </c>
      <c r="D42" s="1372" t="s">
        <v>377</v>
      </c>
      <c r="F42" s="1388" t="e">
        <f>ROUND(ROUND('Calc Data'!D23,0)*'Data Entry - SOF'!C33*Weights!M31,0)</f>
        <v>#REF!</v>
      </c>
      <c r="G42" s="1388"/>
      <c r="I42" s="1412">
        <f>ROUND(Assumptions!H136*'Data Entry - SOF'!C33*'Weights-HB3'!I43,0)</f>
        <v>0</v>
      </c>
      <c r="J42" s="1413">
        <f>ROUND(ROUND('Calc Data'!AR78,0)*'Data Entry - SOF'!C33*Weights!M31,0)</f>
        <v>0</v>
      </c>
      <c r="K42" s="1414"/>
      <c r="L42" s="1473">
        <f>L41+I42</f>
        <v>0</v>
      </c>
      <c r="AL42" s="1388" t="e">
        <f>ROUND(ROUND('Calc Data'!AA23,0)*'Data Entry - SOF'!#REF!*2.41,0)</f>
        <v>#REF!</v>
      </c>
    </row>
    <row r="43" spans="2:38">
      <c r="B43" s="1394">
        <v>25</v>
      </c>
      <c r="C43" s="1379" t="s">
        <v>7439</v>
      </c>
      <c r="D43" s="1372" t="s">
        <v>7450</v>
      </c>
      <c r="F43" s="1388" t="e">
        <f>ROUND(ROUND('Calc Data'!D23,0)*('Data Entry - SOF'!#REF!*Weights!M26),0)</f>
        <v>#REF!</v>
      </c>
      <c r="G43" s="1388"/>
      <c r="I43" s="1412">
        <f>ROUND(Assumptions!H136*'Data Entry - SOF'!C41*'Weights-HB3'!I26,0)</f>
        <v>0</v>
      </c>
      <c r="J43" s="1413" t="e">
        <f>ROUND(ROUND('Calc Data'!AR78,0)*('Data Entry - SOF'!#REF!*Weights!M26),0)</f>
        <v>#REF!</v>
      </c>
      <c r="K43" s="1414"/>
      <c r="AL43" s="1388" t="e">
        <f>ROUND(ROUND('Calc Data'!AA23,0)*('Data Entry - SOF'!#REF!*0.1),0)</f>
        <v>#REF!</v>
      </c>
    </row>
    <row r="44" spans="2:38">
      <c r="B44" s="1394"/>
      <c r="C44" s="1404" t="s">
        <v>7439</v>
      </c>
      <c r="D44" s="1424" t="s">
        <v>7451</v>
      </c>
      <c r="E44" s="1406"/>
      <c r="F44" s="1408"/>
      <c r="G44" s="1408"/>
      <c r="H44" s="1408"/>
      <c r="I44" s="1412">
        <f>ROUND(Assumptions!H136*'Data Entry - SOF'!C42*'Weights-HB3'!I27,0)</f>
        <v>0</v>
      </c>
      <c r="J44" s="1413"/>
      <c r="K44" s="1410"/>
      <c r="AL44" s="1388"/>
    </row>
    <row r="45" spans="2:38">
      <c r="B45" s="1394"/>
      <c r="C45" s="1404" t="s">
        <v>7439</v>
      </c>
      <c r="D45" s="1424" t="s">
        <v>7452</v>
      </c>
      <c r="E45" s="1406"/>
      <c r="F45" s="1408"/>
      <c r="G45" s="1408"/>
      <c r="H45" s="1408"/>
      <c r="I45" s="1412">
        <f>ROUND(Assumptions!H136*'Data Entry - SOF'!C43*'Weights-HB3'!I28,0)</f>
        <v>0</v>
      </c>
      <c r="J45" s="1413"/>
      <c r="K45" s="1410"/>
      <c r="AL45" s="1388"/>
    </row>
    <row r="46" spans="2:38">
      <c r="B46" s="1394"/>
      <c r="C46" s="1404" t="s">
        <v>7439</v>
      </c>
      <c r="D46" s="1424" t="s">
        <v>7436</v>
      </c>
      <c r="E46" s="1406"/>
      <c r="F46" s="1408"/>
      <c r="G46" s="1408"/>
      <c r="H46" s="1408"/>
      <c r="I46" s="1412">
        <f>ROUND(Assumptions!H136*'Data Entry - SOF'!C60*'Weights-HB3'!I72,0)</f>
        <v>0</v>
      </c>
      <c r="J46" s="1413"/>
      <c r="K46" s="1410"/>
      <c r="AL46" s="1388"/>
    </row>
    <row r="47" spans="2:38">
      <c r="B47" s="1394"/>
      <c r="C47" s="1404" t="s">
        <v>7439</v>
      </c>
      <c r="D47" s="1424" t="s">
        <v>7628</v>
      </c>
      <c r="E47" s="1406"/>
      <c r="F47" s="1408"/>
      <c r="G47" s="1408"/>
      <c r="H47" s="1408"/>
      <c r="I47" s="1412">
        <f>Assumptions!H136*'Data Entry - SOF'!C45*'Weights-HB3'!I74</f>
        <v>0</v>
      </c>
      <c r="J47" s="1413"/>
      <c r="K47" s="1410"/>
      <c r="AL47" s="1388"/>
    </row>
    <row r="48" spans="2:38">
      <c r="B48" s="1394"/>
      <c r="C48" s="1404" t="s">
        <v>7439</v>
      </c>
      <c r="D48" s="1424" t="s">
        <v>7827</v>
      </c>
      <c r="E48" s="1406"/>
      <c r="F48" s="1408"/>
      <c r="G48" s="1408"/>
      <c r="H48" s="1408"/>
      <c r="I48" s="1412">
        <f>('Data Entry - SOF'!C57*'Weights-HB3'!I113)+('Data Entry - SOF'!C58*'Weights-HB3'!I114)+('Data Entry - SOF'!C59*'Weights-HB3'!I115)</f>
        <v>0</v>
      </c>
      <c r="J48" s="1413"/>
      <c r="K48" s="1410"/>
      <c r="AL48" s="1388"/>
    </row>
    <row r="49" spans="2:38">
      <c r="B49" s="1394">
        <v>31</v>
      </c>
      <c r="C49" s="1379" t="s">
        <v>7439</v>
      </c>
      <c r="D49" s="1415" t="s">
        <v>2296</v>
      </c>
      <c r="F49" s="1388" t="e">
        <f>Weights!M33*'Data Entry - SOF'!#REF!</f>
        <v>#REF!</v>
      </c>
      <c r="G49" s="1388"/>
      <c r="I49" s="1423"/>
      <c r="J49" s="1422">
        <f>H49</f>
        <v>0</v>
      </c>
      <c r="K49" s="1414"/>
      <c r="AL49" s="1388" t="e">
        <f>#REF!</f>
        <v>#REF!</v>
      </c>
    </row>
    <row r="50" spans="2:38">
      <c r="B50" s="1394"/>
      <c r="C50" s="1379" t="s">
        <v>7439</v>
      </c>
      <c r="D50" s="1372" t="s">
        <v>825</v>
      </c>
      <c r="F50" s="1388" t="e">
        <f>ROUND(ROUND('Calc Data'!D23,0)*'Data Entry - SOF'!C46*Weights!M37,0)</f>
        <v>#REF!</v>
      </c>
      <c r="G50" s="1388"/>
      <c r="I50" s="1426">
        <f>ROUND(Assumptions!H136*'Data Entry - SOF'!C46*'Weights-HB3'!I49,0)</f>
        <v>0</v>
      </c>
      <c r="J50" s="1413">
        <f>ROUND(ROUND('Calc Data'!AR78,0)*'Data Entry - SOF'!C46*Weights!M37,0)</f>
        <v>0</v>
      </c>
      <c r="K50" s="1414"/>
      <c r="AL50" s="1388" t="e">
        <f>ROUND(ROUND('Calc Data'!AA23,0)*'Data Entry - SOF'!#REF!*0.1,0)</f>
        <v>#REF!</v>
      </c>
    </row>
    <row r="51" spans="2:38">
      <c r="B51" s="1394"/>
      <c r="C51" s="1404" t="s">
        <v>7439</v>
      </c>
      <c r="D51" s="2174" t="s">
        <v>7538</v>
      </c>
      <c r="E51" s="1417"/>
      <c r="F51" s="2172"/>
      <c r="G51" s="2172"/>
      <c r="H51" s="2172"/>
      <c r="I51" s="2177" t="e">
        <f>FGA_Detail_2122!C19</f>
        <v>#N/A</v>
      </c>
      <c r="J51" s="1413"/>
      <c r="K51" s="1410"/>
      <c r="AL51" s="1388"/>
    </row>
    <row r="52" spans="2:38">
      <c r="B52" s="1394"/>
      <c r="C52" s="1404" t="s">
        <v>7439</v>
      </c>
      <c r="D52" s="2174" t="s">
        <v>9063</v>
      </c>
      <c r="E52" s="1417"/>
      <c r="F52" s="2172"/>
      <c r="G52" s="2172"/>
      <c r="H52" s="2172"/>
      <c r="I52" s="2177">
        <v>0</v>
      </c>
      <c r="J52" s="1413"/>
      <c r="K52" s="1410"/>
      <c r="AL52" s="1388"/>
    </row>
    <row r="53" spans="2:38">
      <c r="B53" s="1394"/>
      <c r="C53" s="1404" t="s">
        <v>7439</v>
      </c>
      <c r="D53" s="1424" t="s">
        <v>7617</v>
      </c>
      <c r="E53" s="1406"/>
      <c r="F53" s="1408"/>
      <c r="G53" s="1408"/>
      <c r="H53" s="1408"/>
      <c r="I53" s="1426">
        <f>'Data Entry - SOF'!C89</f>
        <v>0</v>
      </c>
      <c r="J53" s="1413"/>
      <c r="K53" s="1410"/>
      <c r="L53" s="1415" t="s">
        <v>7626</v>
      </c>
      <c r="AL53" s="1388"/>
    </row>
    <row r="54" spans="2:38">
      <c r="B54" s="1394"/>
      <c r="C54" s="1404" t="s">
        <v>7439</v>
      </c>
      <c r="D54" s="1424" t="s">
        <v>7618</v>
      </c>
      <c r="E54" s="1406"/>
      <c r="F54" s="1408"/>
      <c r="G54" s="1408"/>
      <c r="H54" s="1408"/>
      <c r="I54" s="1426">
        <f>'Data Entry - SOF'!C90</f>
        <v>0</v>
      </c>
      <c r="J54" s="1413"/>
      <c r="K54" s="1410"/>
      <c r="L54" s="1415" t="s">
        <v>7626</v>
      </c>
      <c r="AL54" s="1388"/>
    </row>
    <row r="55" spans="2:38">
      <c r="B55" s="1394"/>
      <c r="C55" s="1404" t="s">
        <v>7439</v>
      </c>
      <c r="D55" s="1424" t="s">
        <v>7669</v>
      </c>
      <c r="E55" s="1406"/>
      <c r="F55" s="1408"/>
      <c r="G55" s="1408"/>
      <c r="H55" s="1408"/>
      <c r="I55" s="1426">
        <f>'Data Entry - SOF'!C19*'Weights-HB3'!I68</f>
        <v>0</v>
      </c>
      <c r="J55" s="1413"/>
      <c r="K55" s="1410"/>
      <c r="L55" s="1415"/>
      <c r="AL55" s="1388"/>
    </row>
    <row r="56" spans="2:38">
      <c r="B56" s="1394"/>
      <c r="C56" s="1404" t="s">
        <v>7439</v>
      </c>
      <c r="D56" s="1424" t="s">
        <v>7828</v>
      </c>
      <c r="E56" s="1406"/>
      <c r="F56" s="1408"/>
      <c r="G56" s="1408"/>
      <c r="H56" s="1408"/>
      <c r="I56" s="1411">
        <f>'Data Entry - SOF'!C103</f>
        <v>0</v>
      </c>
      <c r="J56" s="1413"/>
      <c r="K56" s="1410"/>
      <c r="L56" s="1415"/>
      <c r="AL56" s="1388"/>
    </row>
    <row r="57" spans="2:38">
      <c r="B57" s="1394"/>
      <c r="C57" s="1379" t="s">
        <v>7440</v>
      </c>
      <c r="D57" s="1415" t="s">
        <v>3291</v>
      </c>
      <c r="F57" s="1427">
        <f>'Data Entry - SOF'!C47*Weights!M35</f>
        <v>0</v>
      </c>
      <c r="G57" s="1388"/>
      <c r="I57" s="1423">
        <f>'Data Entry - SOF'!C47*'Weights-HB3'!I47</f>
        <v>0</v>
      </c>
      <c r="J57" s="1422">
        <f>H57</f>
        <v>0</v>
      </c>
      <c r="K57" s="1414"/>
      <c r="AL57" s="1388" t="e">
        <f>'Data Entry - SOF'!#REF!*250</f>
        <v>#REF!</v>
      </c>
    </row>
    <row r="58" spans="2:38">
      <c r="B58" s="1394">
        <v>99</v>
      </c>
      <c r="C58" s="1379" t="s">
        <v>7440</v>
      </c>
      <c r="D58" s="1372" t="s">
        <v>7454</v>
      </c>
      <c r="F58" s="1429" t="e">
        <f>'Data Entry - SOF'!#REF!</f>
        <v>#REF!</v>
      </c>
      <c r="G58" s="1388"/>
      <c r="I58" s="1423">
        <f>('Data Entry - SOF'!C83*'Weights-HB3'!I70)+'Data Entry - SOF'!C84+'Data Entry - SOF'!C85+'Data Entry - SOF'!C86</f>
        <v>0</v>
      </c>
      <c r="J58" s="1430">
        <f>H58</f>
        <v>0</v>
      </c>
      <c r="K58" s="1431"/>
      <c r="AL58" s="1429" t="e">
        <f>'Data Entry - SOF'!#REF!</f>
        <v>#REF!</v>
      </c>
    </row>
    <row r="59" spans="2:38">
      <c r="B59" s="1394"/>
      <c r="C59" s="1404" t="s">
        <v>7440</v>
      </c>
      <c r="D59" s="1424" t="s">
        <v>7559</v>
      </c>
      <c r="E59" s="1406"/>
      <c r="F59" s="1408"/>
      <c r="G59" s="1408"/>
      <c r="H59" s="1408"/>
      <c r="I59" s="1423">
        <f>'Data Entry - SOF'!C48*'Weights-HB3'!I125</f>
        <v>0</v>
      </c>
      <c r="J59" s="1422"/>
      <c r="K59" s="1410"/>
      <c r="AL59" s="1388"/>
    </row>
    <row r="60" spans="2:38">
      <c r="B60" s="1394"/>
      <c r="C60" s="1404" t="s">
        <v>7440</v>
      </c>
      <c r="D60" s="1424" t="s">
        <v>7467</v>
      </c>
      <c r="E60" s="1406"/>
      <c r="F60" s="1408"/>
      <c r="G60" s="1408"/>
      <c r="H60" s="1408"/>
      <c r="I60" s="1423">
        <f>'Data Entry - SOF'!C87</f>
        <v>0</v>
      </c>
      <c r="J60" s="1422"/>
      <c r="K60" s="1410"/>
      <c r="AL60" s="1388"/>
    </row>
    <row r="61" spans="2:38">
      <c r="B61" s="1394"/>
      <c r="C61" s="1404" t="s">
        <v>7440</v>
      </c>
      <c r="D61" s="1424" t="s">
        <v>7625</v>
      </c>
      <c r="E61" s="1406"/>
      <c r="F61" s="1408"/>
      <c r="G61" s="1408"/>
      <c r="H61" s="1408"/>
      <c r="I61" s="1728">
        <f>'Data Entry - SOF'!C88</f>
        <v>0</v>
      </c>
      <c r="J61" s="1422"/>
      <c r="K61" s="1410"/>
      <c r="AL61" s="1388"/>
    </row>
    <row r="62" spans="2:38">
      <c r="D62" s="1372" t="s">
        <v>497</v>
      </c>
      <c r="F62" s="1388" t="e">
        <f>SUM(F20:F58)</f>
        <v>#REF!</v>
      </c>
      <c r="G62" s="1388"/>
      <c r="I62" s="1432" t="e">
        <f>SUM(I20:I61)</f>
        <v>#N/A</v>
      </c>
      <c r="J62" s="1433" t="e">
        <f>SUM(J20:J58)</f>
        <v>#REF!</v>
      </c>
      <c r="K62" s="1434" t="e">
        <f>J62</f>
        <v>#REF!</v>
      </c>
      <c r="L62" s="1435" t="e">
        <f>(I62-I56-I57-I58-I59-I60-I61-I28-I34)/Assumptions!H136</f>
        <v>#N/A</v>
      </c>
      <c r="M62" s="1436" t="s">
        <v>7443</v>
      </c>
      <c r="AL62" s="1388" t="e">
        <f>SUM(AL20:AL58)</f>
        <v>#REF!</v>
      </c>
    </row>
    <row r="63" spans="2:38">
      <c r="D63" s="1372" t="s">
        <v>741</v>
      </c>
      <c r="F63" s="1437">
        <f>IF('Data Entry - SOF'!C123&gt;1,1*('Data Entry - SOF'!C63/100),'Data Entry - SOF'!C123*('Data Entry - SOF'!C63/100))</f>
        <v>0</v>
      </c>
      <c r="G63" s="1438"/>
      <c r="I63" s="1439">
        <f>('Report-SOF2122-HB1525'!D20/100)*'Data Entry - SOF'!C63</f>
        <v>0</v>
      </c>
      <c r="J63" s="1440">
        <f>IF('Calc Data'!AR85&gt;1,1*('Data Entry - SOF'!C63/100),'Calc Data'!AR85*('Data Entry - SOF'!C63/100))</f>
        <v>0</v>
      </c>
      <c r="K63" s="1441" t="e">
        <f>IF(#REF!&gt;1,1*('Data Entry - SOF'!#REF!/100),#REF!*('Data Entry - SOF'!#REF!/100))</f>
        <v>#REF!</v>
      </c>
      <c r="AL63" s="1437" t="e">
        <f>#REF!</f>
        <v>#REF!</v>
      </c>
    </row>
    <row r="64" spans="2:38">
      <c r="D64" s="1372" t="s">
        <v>740</v>
      </c>
      <c r="F64" s="1438" t="e">
        <f>F62-F63</f>
        <v>#REF!</v>
      </c>
      <c r="G64" s="1438"/>
      <c r="I64" s="1432" t="e">
        <f>I62-I63</f>
        <v>#N/A</v>
      </c>
      <c r="J64" s="1442" t="e">
        <f>J62-J63</f>
        <v>#REF!</v>
      </c>
      <c r="K64" s="1434" t="e">
        <f>K62-K63</f>
        <v>#REF!</v>
      </c>
      <c r="AL64" s="1438" t="e">
        <f>AL62-AL63</f>
        <v>#REF!</v>
      </c>
    </row>
    <row r="65" spans="4:38">
      <c r="D65" s="1372"/>
      <c r="G65" s="1438"/>
      <c r="I65" s="1416"/>
      <c r="J65" s="1443"/>
      <c r="K65" s="1434"/>
      <c r="N65" s="1444"/>
      <c r="AL65" s="1438"/>
    </row>
    <row r="66" spans="4:38">
      <c r="D66" s="1445" t="s">
        <v>7458</v>
      </c>
      <c r="G66" s="1438"/>
      <c r="I66" s="1416"/>
      <c r="J66" s="1443"/>
      <c r="K66" s="1434"/>
      <c r="N66" s="1444"/>
      <c r="AL66" s="1438"/>
    </row>
    <row r="67" spans="4:38">
      <c r="D67" s="1372" t="s">
        <v>7616</v>
      </c>
      <c r="F67" s="1425" t="e">
        <f>IF(F64&lt;F106+F49+F57+#REF!+#REF!,F106+F49+F57+#REF!+#REF!,F64)</f>
        <v>#REF!</v>
      </c>
      <c r="G67" s="1438"/>
      <c r="I67" s="1423" t="e">
        <f>IF(I64&lt;I106,I106,I64)</f>
        <v>#N/A</v>
      </c>
      <c r="J67" s="1446" t="e">
        <f>IF(J64&lt;H106+J49+J57+#REF!+#REF!,H106+J49+J57+#REF!+#REF!,J64)</f>
        <v>#REF!</v>
      </c>
      <c r="K67" s="1434" t="e">
        <f>IF(K64&lt;H106+J49+J57+#REF!+#REF!,H106+J49+J57+#REF!+#REF!,K64)</f>
        <v>#REF!</v>
      </c>
    </row>
    <row r="68" spans="4:38" hidden="1">
      <c r="D68" s="1372" t="s">
        <v>2150</v>
      </c>
      <c r="G68" s="1438" t="e">
        <f>ROUND(IF((24.7*'Calc Data'!#REF!*IF('Calc Data'!#REF!&gt;=0.64,0.64,'Calc Data'!#REF!)*100)&lt;'Calc Data'!#REF!,0,(24.7*'Calc Data'!#REF!*IF('Calc Data'!#REF!&gt;=0.64,0.64,'Calc Data'!#REF!)*100)-'Calc Data'!#REF!),0)</f>
        <v>#REF!</v>
      </c>
      <c r="I68" s="1447"/>
      <c r="J68" s="1448"/>
      <c r="K68" s="1434"/>
    </row>
    <row r="69" spans="4:38">
      <c r="D69" s="1372"/>
      <c r="G69" s="1438"/>
      <c r="I69" s="1447"/>
      <c r="J69" s="1448"/>
      <c r="K69" s="1449"/>
    </row>
    <row r="70" spans="4:38">
      <c r="D70" s="2062" t="s">
        <v>8117</v>
      </c>
      <c r="E70" s="2063"/>
      <c r="F70" s="2063"/>
      <c r="G70" s="2064"/>
      <c r="H70" s="2065"/>
      <c r="I70" s="1727" t="s">
        <v>8149</v>
      </c>
      <c r="J70" s="1456"/>
      <c r="K70" s="1449"/>
    </row>
    <row r="71" spans="4:38">
      <c r="D71" s="1372" t="s">
        <v>7489</v>
      </c>
      <c r="G71" s="1438"/>
      <c r="I71" s="1423" t="e">
        <f>IF(I63&gt;I62-I106,I63-(I62-I106),0)</f>
        <v>#N/A</v>
      </c>
      <c r="J71" s="1448"/>
      <c r="K71" s="1449"/>
    </row>
    <row r="72" spans="4:38">
      <c r="D72" s="1372" t="s">
        <v>7695</v>
      </c>
      <c r="G72" s="1438"/>
      <c r="I72" s="1439" t="e">
        <f>IF(I71=0,0,IF('Calc Data'!D113-I71&lt;I62-I106,(I62-I106-('Calc Data'!D113-I71))*-1,0))</f>
        <v>#N/A</v>
      </c>
      <c r="J72" s="1448"/>
      <c r="K72" s="1450"/>
    </row>
    <row r="73" spans="4:38">
      <c r="D73" s="1451" t="s">
        <v>7490</v>
      </c>
      <c r="E73" s="1452"/>
      <c r="F73" s="1453"/>
      <c r="G73" s="1455"/>
      <c r="I73" s="1454" t="e">
        <f>IF(I71+I72&lt;=0,0,I71+I72)</f>
        <v>#N/A</v>
      </c>
      <c r="J73" s="1448"/>
      <c r="K73" s="1450"/>
    </row>
    <row r="74" spans="4:38">
      <c r="D74" s="1451" t="s">
        <v>7687</v>
      </c>
      <c r="E74" s="1452"/>
      <c r="F74" s="1452"/>
      <c r="G74" s="1455"/>
      <c r="I74" s="1423" t="e">
        <f>'Data Entry - SOF'!C111*(I73/'Data Entry - SOF'!C75)</f>
        <v>#N/A</v>
      </c>
      <c r="J74" s="1456"/>
      <c r="K74" s="1450"/>
    </row>
    <row r="75" spans="4:38">
      <c r="D75" s="2068" t="s">
        <v>7688</v>
      </c>
      <c r="E75" s="2063"/>
      <c r="F75" s="2063"/>
      <c r="G75" s="2064"/>
      <c r="H75" s="2065"/>
      <c r="I75" s="2066" t="e">
        <f>IF(I73-I74&lt;=0,0,I73-I74)</f>
        <v>#N/A</v>
      </c>
      <c r="J75" s="1456"/>
      <c r="K75" s="1450"/>
    </row>
    <row r="76" spans="4:38">
      <c r="D76" s="1372"/>
      <c r="G76" s="1438"/>
      <c r="I76" s="1416"/>
      <c r="J76" s="1443"/>
      <c r="K76" s="1450"/>
    </row>
    <row r="77" spans="4:38">
      <c r="D77" s="1372" t="s">
        <v>7403</v>
      </c>
      <c r="F77" s="1438" t="e">
        <f>ROUND(IF((Assumptions!G119*'Calc Data'!D25*'Calc Data'!D35*100)&lt;'Calc Data'!D42,0,(Assumptions!G119*'Calc Data'!D25*'Calc Data'!D35*100)-'Calc Data'!D42),0)</f>
        <v>#REF!</v>
      </c>
      <c r="G77" s="1438"/>
      <c r="I77" s="1461" t="e">
        <f>ROUND(IF((Assumptions!H137*L62*'Calc Data'!D105*100)&lt;'Calc Data'!D106,0,(Assumptions!H137*L62*'Calc Data'!D105*100)-'Calc Data'!D106),0)</f>
        <v>#N/A</v>
      </c>
      <c r="J77" s="1462" t="e">
        <f>ROUND(IF((Assumptions!G119*'Calc Data'!D25*'Calc Data'!D81*100)&lt;'Calc Data'!D88,0,(Assumptions!G119*'Calc Data'!D25*'Calc Data'!D81*100)-'Calc Data'!D88),0)</f>
        <v>#REF!</v>
      </c>
      <c r="K77" s="1463" t="e">
        <f>ROUND(IF((Assumptions!G79*#REF!*#REF!*100)&lt;#REF!,0,(Assumptions!G79*#REF!*#REF!*100)-#REF!),0)</f>
        <v>#REF!</v>
      </c>
    </row>
    <row r="78" spans="4:38">
      <c r="D78" s="1372" t="s">
        <v>7457</v>
      </c>
      <c r="F78" s="1464" t="e">
        <f>ROUND(IF((Assumptions!G120*'Calc Data'!D25*'Calc Data'!D38*100)&lt;'Calc Data'!D43,0,(Assumptions!G120*'Calc Data'!D25*'Calc Data'!D38*100)-'Calc Data'!D43),0)</f>
        <v>#REF!</v>
      </c>
      <c r="G78" s="1438"/>
      <c r="I78" s="1465" t="e">
        <f>ROUND(IF((Assumptions!H138*L62*'Calc Data'!D110*100)&lt;'Calc Data'!D111,0,(Assumptions!H138*L62*'Calc Data'!D110*100)-'Calc Data'!D111),0)</f>
        <v>#N/A</v>
      </c>
      <c r="J78" s="1466" t="e">
        <f>ROUND(IF((Assumptions!G120*'Calc Data'!D25*'Calc Data'!AR84*100)&lt;'Calc Data'!AR88,0,(Assumptions!G120*'Calc Data'!D25*'Calc Data'!AR84*100)-'Calc Data'!AR88),0)</f>
        <v>#REF!</v>
      </c>
      <c r="K78" s="1467" t="e">
        <f>ROUND(IF((Assumptions!G80*#REF!*#REF!*100)&lt;#REF!,0,(Assumptions!G80*#REF!*#REF!*100)-#REF!),0)</f>
        <v>#REF!</v>
      </c>
    </row>
    <row r="79" spans="4:38">
      <c r="D79" s="1468" t="s">
        <v>7459</v>
      </c>
      <c r="F79" s="1438" t="e">
        <f>SUM(F68:F78)</f>
        <v>#REF!</v>
      </c>
      <c r="G79" s="1438"/>
      <c r="I79" s="1432" t="e">
        <f>I77+I78</f>
        <v>#N/A</v>
      </c>
    </row>
    <row r="80" spans="4:38">
      <c r="D80" s="1372"/>
      <c r="F80" s="1438"/>
      <c r="G80" s="1438"/>
      <c r="I80" s="1432"/>
    </row>
    <row r="81" spans="3:15">
      <c r="D81" s="1451" t="s">
        <v>7491</v>
      </c>
      <c r="E81" s="1452"/>
      <c r="F81" s="1469"/>
      <c r="G81" s="1455"/>
      <c r="I81" s="1461" t="e">
        <f>ROUND(IF((Assumptions!H138*L62*'Calc Data'!D110*100)&lt;'Calc Data'!D111,'Calc Data'!D111-(Assumptions!H138*L62*'Calc Data'!D110*100)),0)</f>
        <v>#N/A</v>
      </c>
    </row>
    <row r="82" spans="3:15">
      <c r="D82" s="1451" t="s">
        <v>7687</v>
      </c>
      <c r="E82" s="1452"/>
      <c r="F82" s="1455"/>
      <c r="G82" s="1455"/>
      <c r="I82" s="1461" t="e">
        <f>'Data Entry - SOF'!C111*(I81/'Data Entry - SOF'!C75)</f>
        <v>#N/A</v>
      </c>
      <c r="O82" s="1373"/>
    </row>
    <row r="83" spans="3:15">
      <c r="D83" s="2068" t="s">
        <v>7689</v>
      </c>
      <c r="E83" s="2063"/>
      <c r="F83" s="2064"/>
      <c r="G83" s="2064"/>
      <c r="H83" s="2065"/>
      <c r="I83" s="2069" t="e">
        <f>I81-I82</f>
        <v>#N/A</v>
      </c>
      <c r="O83" s="1373"/>
    </row>
    <row r="84" spans="3:15">
      <c r="D84" s="1372"/>
      <c r="G84" s="1438"/>
      <c r="I84" s="1416"/>
      <c r="O84" s="1373"/>
    </row>
    <row r="85" spans="3:15">
      <c r="D85" s="1372" t="s">
        <v>691</v>
      </c>
      <c r="G85" s="1438"/>
      <c r="I85" s="1416"/>
      <c r="O85" s="1373"/>
    </row>
    <row r="86" spans="3:15" hidden="1">
      <c r="C86" s="1404" t="s">
        <v>7498</v>
      </c>
      <c r="D86" s="1424" t="s">
        <v>7461</v>
      </c>
      <c r="E86" s="1406"/>
      <c r="F86" s="1406"/>
      <c r="G86" s="1470"/>
      <c r="I86" s="1423">
        <v>0</v>
      </c>
      <c r="L86" s="1471"/>
      <c r="M86" s="1472"/>
      <c r="O86" s="1373"/>
    </row>
    <row r="87" spans="3:15" hidden="1">
      <c r="C87" s="1404" t="s">
        <v>7498</v>
      </c>
      <c r="D87" s="1424" t="s">
        <v>7462</v>
      </c>
      <c r="E87" s="1406"/>
      <c r="F87" s="1406"/>
      <c r="G87" s="1470"/>
      <c r="I87" s="1423" t="e">
        <f>#REF!</f>
        <v>#REF!</v>
      </c>
      <c r="L87" s="1471"/>
      <c r="M87" s="1472"/>
      <c r="O87" s="1373"/>
    </row>
    <row r="88" spans="3:15">
      <c r="D88" s="1372" t="s">
        <v>714</v>
      </c>
      <c r="F88" s="1438">
        <f>'Data Entry - SOF'!C101</f>
        <v>0</v>
      </c>
      <c r="G88" s="1438"/>
      <c r="I88" s="1432">
        <f>'Data Entry - SOF'!C101</f>
        <v>0</v>
      </c>
      <c r="L88" s="1473"/>
      <c r="M88" s="1472"/>
      <c r="O88" s="1373"/>
    </row>
    <row r="89" spans="3:15">
      <c r="D89" s="1372" t="s">
        <v>2737</v>
      </c>
      <c r="F89" s="1438">
        <f>'Data Entry - SOF'!C100</f>
        <v>0</v>
      </c>
      <c r="G89" s="1438"/>
      <c r="I89" s="1432">
        <f>'Data Entry - SOF'!C100</f>
        <v>0</v>
      </c>
      <c r="L89" s="1473"/>
      <c r="M89" s="1472"/>
      <c r="O89" s="1373"/>
    </row>
    <row r="90" spans="3:15">
      <c r="D90" s="1372" t="s">
        <v>7756</v>
      </c>
      <c r="F90" s="1438" t="e">
        <f>'Data Entry - SOF'!#REF!</f>
        <v>#REF!</v>
      </c>
      <c r="G90" s="1438"/>
      <c r="I90" s="1432"/>
      <c r="L90" s="1473"/>
      <c r="M90" s="1472"/>
      <c r="O90" s="1373"/>
    </row>
    <row r="91" spans="3:15">
      <c r="D91" s="1372" t="s">
        <v>2738</v>
      </c>
      <c r="F91" s="1438">
        <f>'Data Entry - SOF'!C102</f>
        <v>0</v>
      </c>
      <c r="G91" s="1438"/>
      <c r="I91" s="1432">
        <f>'Data Entry - SOF'!C102</f>
        <v>0</v>
      </c>
      <c r="L91" s="1473"/>
      <c r="M91" s="1472"/>
      <c r="O91" s="1373"/>
    </row>
    <row r="92" spans="3:15" hidden="1">
      <c r="D92" s="1372" t="s">
        <v>2739</v>
      </c>
      <c r="F92" s="1438" t="e">
        <f>'Data Entry - SOF'!#REF!</f>
        <v>#REF!</v>
      </c>
      <c r="G92" s="1438"/>
      <c r="I92" s="1432">
        <f t="shared" ref="I92:I94" si="0">H92</f>
        <v>0</v>
      </c>
      <c r="L92" s="1473"/>
      <c r="M92" s="1472"/>
      <c r="O92" s="1373"/>
    </row>
    <row r="93" spans="3:15" hidden="1">
      <c r="D93" s="1372" t="s">
        <v>2740</v>
      </c>
      <c r="F93" s="1438">
        <v>0</v>
      </c>
      <c r="G93" s="1438"/>
      <c r="I93" s="1432">
        <f t="shared" si="0"/>
        <v>0</v>
      </c>
      <c r="L93" s="1473"/>
      <c r="M93" s="1472"/>
      <c r="O93" s="1373"/>
    </row>
    <row r="94" spans="3:15" hidden="1">
      <c r="D94" s="1372" t="s">
        <v>2305</v>
      </c>
      <c r="F94" s="1438">
        <v>0</v>
      </c>
      <c r="G94" s="1438"/>
      <c r="I94" s="1432">
        <f t="shared" si="0"/>
        <v>0</v>
      </c>
      <c r="L94" s="1473"/>
      <c r="M94" s="1472"/>
      <c r="O94" s="1373"/>
    </row>
    <row r="95" spans="3:15" hidden="1">
      <c r="D95" s="1372" t="s">
        <v>2297</v>
      </c>
      <c r="F95" s="1438" t="e">
        <f>(500*'Data Entry - SOF'!#REF!)+(250*'Data Entry - SOF'!#REF!)</f>
        <v>#REF!</v>
      </c>
      <c r="G95" s="1438"/>
      <c r="I95" s="1432">
        <v>0</v>
      </c>
      <c r="L95" s="1473"/>
      <c r="M95" s="1472"/>
      <c r="O95" s="1373"/>
    </row>
    <row r="96" spans="3:15">
      <c r="D96" s="1372" t="s">
        <v>692</v>
      </c>
      <c r="F96" s="1474" t="e">
        <f>(('Data Entry - SOF'!#REF!/'Calc Data'!#REF!)*'Data Entry - SOF'!C93)*-1</f>
        <v>#REF!</v>
      </c>
      <c r="G96" s="1438"/>
      <c r="I96" s="1475">
        <f>IF('Data Entry - SOF'!C93&lt;0,'Data Entry - SOF'!C93, 'Data Entry - SOF'!C93*-1)</f>
        <v>0</v>
      </c>
      <c r="L96" s="1473"/>
      <c r="M96" s="1472"/>
      <c r="O96" s="1373"/>
    </row>
    <row r="97" spans="1:15">
      <c r="D97" s="1372" t="s">
        <v>693</v>
      </c>
      <c r="F97" s="1474" t="e">
        <f>(('Data Entry - SOF'!#REF!/'Calc Data'!#REF!)*'Data Entry - SOF'!C94)*-1</f>
        <v>#REF!</v>
      </c>
      <c r="G97" s="1438"/>
      <c r="I97" s="1475">
        <f>IF('Data Entry - SOF'!C94&lt;0,'Data Entry - SOF'!C94, 'Data Entry - SOF'!C94*-1)</f>
        <v>0</v>
      </c>
      <c r="L97" s="1473"/>
      <c r="M97" s="1472"/>
      <c r="O97" s="1373"/>
    </row>
    <row r="98" spans="1:15">
      <c r="D98" s="1372" t="s">
        <v>8147</v>
      </c>
      <c r="F98" s="1476" t="e">
        <f>'Data Entry - SOF'!#REF!</f>
        <v>#REF!</v>
      </c>
      <c r="G98" s="1438"/>
      <c r="I98" s="1728">
        <f>'Data Entry - SOF'!C116</f>
        <v>0</v>
      </c>
      <c r="L98" s="1473"/>
      <c r="M98" s="1472"/>
      <c r="O98" s="1373"/>
    </row>
    <row r="99" spans="1:15">
      <c r="D99" s="1477" t="s">
        <v>7460</v>
      </c>
      <c r="F99" s="1438" t="e">
        <f>SUM(F88:F98)</f>
        <v>#REF!</v>
      </c>
      <c r="G99" s="1438"/>
      <c r="I99" s="1432">
        <f>SUM(I88:I98)</f>
        <v>0</v>
      </c>
      <c r="L99" s="1473"/>
      <c r="M99" s="1472"/>
      <c r="O99" s="1373"/>
    </row>
    <row r="100" spans="1:15">
      <c r="D100" s="1478"/>
      <c r="F100" s="1415"/>
      <c r="G100" s="1438"/>
      <c r="I100" s="1416"/>
      <c r="L100" s="1473"/>
      <c r="M100" s="1472"/>
      <c r="O100" s="1373"/>
    </row>
    <row r="101" spans="1:15">
      <c r="D101" s="1372" t="s">
        <v>2258</v>
      </c>
      <c r="F101" s="1438" t="e">
        <f>F106*-1</f>
        <v>#REF!</v>
      </c>
      <c r="G101" s="1438"/>
      <c r="I101" s="1432">
        <f>I106*-1</f>
        <v>0</v>
      </c>
      <c r="L101" s="1473"/>
      <c r="M101" s="1472"/>
      <c r="O101" s="1373"/>
    </row>
    <row r="102" spans="1:15">
      <c r="D102" s="1372"/>
      <c r="G102" s="1479"/>
      <c r="H102" s="2070"/>
      <c r="I102" s="1447"/>
      <c r="L102" s="1473"/>
      <c r="M102" s="1472"/>
      <c r="O102" s="1373"/>
    </row>
    <row r="103" spans="1:15">
      <c r="A103" s="1480"/>
      <c r="B103" s="1481"/>
      <c r="C103" s="1481"/>
      <c r="D103" s="1482"/>
      <c r="E103" s="1481"/>
      <c r="F103" s="1483"/>
      <c r="G103" s="1484"/>
      <c r="I103" s="1485"/>
      <c r="L103" s="1473"/>
      <c r="M103" s="1472"/>
      <c r="O103" s="1373"/>
    </row>
    <row r="104" spans="1:15">
      <c r="A104" s="1486"/>
      <c r="B104" s="1487" t="s">
        <v>164</v>
      </c>
      <c r="C104" s="1488"/>
      <c r="D104" s="1489"/>
      <c r="E104" s="1488"/>
      <c r="F104" s="1490"/>
      <c r="G104" s="1479"/>
      <c r="I104" s="1447"/>
      <c r="L104" s="1473"/>
      <c r="M104" s="1472"/>
      <c r="O104" s="1373"/>
    </row>
    <row r="105" spans="1:15">
      <c r="A105" s="1486"/>
      <c r="B105" s="1487" t="s">
        <v>1403</v>
      </c>
      <c r="C105" s="1488"/>
      <c r="D105" s="1491" t="s">
        <v>694</v>
      </c>
      <c r="E105" s="1492"/>
      <c r="F105" s="1493" t="e">
        <f>F67+F79+F99+F101</f>
        <v>#REF!</v>
      </c>
      <c r="G105" s="1479"/>
      <c r="I105" s="1423" t="e">
        <f>I67+I79+I99+I101</f>
        <v>#N/A</v>
      </c>
      <c r="L105" s="1473"/>
      <c r="M105" s="1472"/>
      <c r="O105" s="1373"/>
    </row>
    <row r="106" spans="1:15">
      <c r="A106" s="1486"/>
      <c r="B106" s="1487" t="s">
        <v>1401</v>
      </c>
      <c r="C106" s="1488"/>
      <c r="D106" s="1491" t="s">
        <v>2465</v>
      </c>
      <c r="E106" s="1492"/>
      <c r="F106" s="1493" t="e">
        <f>'Calc Data'!#REF!*Assumptions!G123</f>
        <v>#REF!</v>
      </c>
      <c r="G106" s="1479"/>
      <c r="I106" s="1494">
        <f>'Data Entry - SOF'!C154*Assumptions!H141</f>
        <v>0</v>
      </c>
      <c r="L106" s="1473"/>
      <c r="M106" s="1472"/>
      <c r="O106" s="1373"/>
    </row>
    <row r="107" spans="1:15" hidden="1">
      <c r="A107" s="1486"/>
      <c r="B107" s="1487" t="s">
        <v>1402</v>
      </c>
      <c r="C107" s="1488"/>
      <c r="D107" s="1491" t="s">
        <v>713</v>
      </c>
      <c r="E107" s="1495"/>
      <c r="F107" s="1496">
        <v>0</v>
      </c>
      <c r="G107" s="1479"/>
      <c r="I107" s="1447"/>
      <c r="L107" s="1473"/>
      <c r="M107" s="1472"/>
      <c r="O107" s="1373"/>
    </row>
    <row r="108" spans="1:15">
      <c r="A108" s="1486"/>
      <c r="B108" s="1487" t="s">
        <v>697</v>
      </c>
      <c r="C108" s="1488"/>
      <c r="D108" s="1491" t="s">
        <v>695</v>
      </c>
      <c r="E108" s="1492"/>
      <c r="F108" s="1493" t="e">
        <f>#REF!</f>
        <v>#REF!</v>
      </c>
      <c r="G108" s="1479"/>
      <c r="I108" s="1432">
        <f>'Existing Debt-HB3'!I74</f>
        <v>0</v>
      </c>
      <c r="L108" s="1473"/>
      <c r="M108" s="1472"/>
      <c r="O108" s="1373"/>
    </row>
    <row r="109" spans="1:15" ht="14.5" thickBot="1">
      <c r="A109" s="1486"/>
      <c r="B109" s="1487" t="s">
        <v>1033</v>
      </c>
      <c r="C109" s="1488"/>
      <c r="D109" s="1491" t="s">
        <v>696</v>
      </c>
      <c r="E109" s="1492"/>
      <c r="F109" s="1497" t="e">
        <f>#REF!+#REF!</f>
        <v>#REF!</v>
      </c>
      <c r="G109" s="1479"/>
      <c r="I109" s="1498">
        <f>'IFA-HB3'!L86+'IFA-HB3'!N75</f>
        <v>0</v>
      </c>
      <c r="L109" s="1473"/>
      <c r="M109" s="1472"/>
      <c r="O109" s="1373"/>
    </row>
    <row r="110" spans="1:15">
      <c r="A110" s="1486"/>
      <c r="B110" s="1488"/>
      <c r="C110" s="1488"/>
      <c r="D110" s="1488"/>
      <c r="E110" s="1488"/>
      <c r="F110" s="1490"/>
      <c r="G110" s="1479"/>
      <c r="I110" s="1447"/>
      <c r="L110" s="1499"/>
      <c r="M110" s="1500"/>
      <c r="O110" s="1373"/>
    </row>
    <row r="111" spans="1:15" ht="12.75" customHeight="1" thickBot="1">
      <c r="A111" s="1486"/>
      <c r="B111" s="1488"/>
      <c r="C111" s="1488"/>
      <c r="D111" s="1491" t="s">
        <v>7651</v>
      </c>
      <c r="E111" s="1488"/>
      <c r="F111" s="1501" t="e">
        <f>SUM(F105:F109)</f>
        <v>#REF!</v>
      </c>
      <c r="G111" s="1479"/>
      <c r="I111" s="1502" t="e">
        <f>SUM(I105:I109)</f>
        <v>#N/A</v>
      </c>
      <c r="L111" s="1499"/>
      <c r="M111" s="1500"/>
      <c r="O111" s="1373"/>
    </row>
    <row r="112" spans="1:15" ht="14.5" hidden="1" thickTop="1">
      <c r="A112" s="1486"/>
      <c r="B112" s="1488"/>
      <c r="C112" s="1488"/>
      <c r="D112" s="1503" t="s">
        <v>445</v>
      </c>
      <c r="E112" s="1488"/>
      <c r="F112" s="1488"/>
      <c r="G112" s="1479"/>
      <c r="I112" s="1416"/>
      <c r="L112" s="1499"/>
      <c r="M112" s="1500"/>
      <c r="O112" s="1373"/>
    </row>
    <row r="113" spans="1:16" ht="14.5" thickTop="1">
      <c r="A113" s="1504"/>
      <c r="B113" s="1505"/>
      <c r="C113" s="1505"/>
      <c r="D113" s="1506"/>
      <c r="E113" s="1505"/>
      <c r="F113" s="1505"/>
      <c r="G113" s="2071"/>
      <c r="H113" s="2070"/>
      <c r="I113" s="1507"/>
      <c r="O113" s="1373"/>
    </row>
    <row r="114" spans="1:16">
      <c r="B114" s="1372"/>
      <c r="G114" s="1438"/>
      <c r="I114" s="1416"/>
      <c r="N114" s="1473"/>
      <c r="O114" s="1508"/>
      <c r="P114" s="1509"/>
    </row>
    <row r="115" spans="1:16" ht="14.5" thickBot="1">
      <c r="G115" s="1488"/>
      <c r="H115" s="1535"/>
      <c r="I115" s="1416"/>
    </row>
    <row r="116" spans="1:16" ht="14.5" thickTop="1">
      <c r="A116" s="1510" t="s">
        <v>2318</v>
      </c>
      <c r="B116" s="1511"/>
      <c r="C116" s="1511"/>
      <c r="D116" s="1511"/>
      <c r="E116" s="1512"/>
      <c r="F116" s="1513"/>
      <c r="G116" s="1512"/>
      <c r="I116" s="1514"/>
    </row>
    <row r="117" spans="1:16">
      <c r="A117" s="1515"/>
      <c r="B117" s="1488"/>
      <c r="C117" s="1488"/>
      <c r="D117" s="1488"/>
      <c r="E117" s="1488"/>
      <c r="F117" s="1516"/>
      <c r="G117" s="1488"/>
      <c r="I117" s="1517"/>
    </row>
    <row r="118" spans="1:16">
      <c r="A118" s="1518" t="s">
        <v>7444</v>
      </c>
      <c r="B118" s="1488"/>
      <c r="C118" s="1488"/>
      <c r="D118" s="1488"/>
      <c r="E118" s="1488"/>
      <c r="F118" s="1519" t="e">
        <f>IF(F105&lt;0,F106,F105+F106)</f>
        <v>#REF!</v>
      </c>
      <c r="G118" s="1488"/>
      <c r="I118" s="1520" t="e">
        <f>IF(I105&lt;0,I106,I105+I106)</f>
        <v>#N/A</v>
      </c>
    </row>
    <row r="119" spans="1:16">
      <c r="A119" s="1521" t="s">
        <v>7445</v>
      </c>
      <c r="B119" s="1488"/>
      <c r="C119" s="1488"/>
      <c r="D119" s="1488"/>
      <c r="E119" s="1488"/>
      <c r="F119" s="1522" t="e">
        <f>'Calc Data'!D30-#REF!</f>
        <v>#REF!</v>
      </c>
      <c r="G119" s="1488"/>
      <c r="I119" s="1523">
        <f>'Data Entry - SOF'!C75</f>
        <v>0</v>
      </c>
      <c r="N119" s="1473"/>
    </row>
    <row r="120" spans="1:16">
      <c r="A120" s="1521" t="s">
        <v>7446</v>
      </c>
      <c r="B120" s="1488"/>
      <c r="C120" s="1488"/>
      <c r="D120" s="1488"/>
      <c r="E120" s="1488"/>
      <c r="F120" s="1522" t="e">
        <f>'Calc Data'!D34</f>
        <v>#REF!</v>
      </c>
      <c r="G120" s="1488"/>
      <c r="I120" s="1523" t="e">
        <f>I75+I83</f>
        <v>#N/A</v>
      </c>
      <c r="N120" s="1473"/>
    </row>
    <row r="121" spans="1:16">
      <c r="A121" s="1521"/>
      <c r="B121" s="1488"/>
      <c r="C121" s="1488"/>
      <c r="D121" s="1488"/>
      <c r="E121" s="1488"/>
      <c r="F121" s="1524" t="e">
        <f>'Calc Data'!D37-IF(#REF!="N",MAX(#REF!,#REF!),MIN(#REF!,#REF!))</f>
        <v>#REF!</v>
      </c>
      <c r="G121" s="1488"/>
      <c r="I121" s="1523"/>
    </row>
    <row r="122" spans="1:16">
      <c r="A122" s="1521" t="s">
        <v>7660</v>
      </c>
      <c r="B122" s="1488"/>
      <c r="C122" s="1488"/>
      <c r="D122" s="1488"/>
      <c r="E122" s="1488"/>
      <c r="F122" s="1525" t="e">
        <f>SUM(F118:F121)</f>
        <v>#REF!</v>
      </c>
      <c r="G122" s="1488"/>
      <c r="I122" s="1526" t="e">
        <f>I118+I119-I120-'Data Entry - SOF'!C116</f>
        <v>#N/A</v>
      </c>
    </row>
    <row r="123" spans="1:16">
      <c r="A123" s="1521" t="s">
        <v>8696</v>
      </c>
      <c r="B123" s="1488"/>
      <c r="C123" s="1488"/>
      <c r="D123" s="1488"/>
      <c r="E123" s="1488"/>
      <c r="F123" s="1519"/>
      <c r="G123" s="1488"/>
      <c r="I123" s="2053" t="s">
        <v>1678</v>
      </c>
    </row>
    <row r="124" spans="1:16">
      <c r="A124" s="1521" t="s">
        <v>8697</v>
      </c>
      <c r="B124" s="1488"/>
      <c r="C124" s="1488"/>
      <c r="D124" s="1488"/>
      <c r="E124" s="1488"/>
      <c r="F124" s="1519"/>
      <c r="G124" s="1488"/>
      <c r="I124" s="2052" t="e">
        <f>I122</f>
        <v>#N/A</v>
      </c>
    </row>
    <row r="125" spans="1:16">
      <c r="A125" s="1527" t="s">
        <v>7461</v>
      </c>
      <c r="B125" s="1528"/>
      <c r="C125" s="1528"/>
      <c r="D125" s="1528"/>
      <c r="E125" s="1528"/>
      <c r="F125" s="1529" t="e">
        <f>IF(F105&gt;0,0,F105)</f>
        <v>#REF!</v>
      </c>
      <c r="G125" s="1528"/>
      <c r="H125" s="1408"/>
      <c r="I125" s="1523" t="e">
        <f>I187</f>
        <v>#N/A</v>
      </c>
    </row>
    <row r="126" spans="1:16">
      <c r="A126" s="1527" t="s">
        <v>7462</v>
      </c>
      <c r="B126" s="1528"/>
      <c r="C126" s="1528"/>
      <c r="D126" s="1528"/>
      <c r="E126" s="1528"/>
      <c r="F126" s="1530"/>
      <c r="G126" s="1528"/>
      <c r="H126" s="1408"/>
      <c r="I126" s="1523">
        <f>'Data Entry - SOF'!C136*0.6</f>
        <v>0</v>
      </c>
    </row>
    <row r="127" spans="1:16">
      <c r="A127" s="1531"/>
      <c r="B127" s="1452"/>
      <c r="C127" s="1452"/>
      <c r="D127" s="1452"/>
      <c r="E127" s="1452"/>
      <c r="F127" s="1532"/>
      <c r="G127" s="1452"/>
      <c r="I127" s="1523"/>
    </row>
    <row r="128" spans="1:16">
      <c r="A128" s="2078" t="s">
        <v>7659</v>
      </c>
      <c r="B128" s="2073"/>
      <c r="C128" s="2073"/>
      <c r="D128" s="2073"/>
      <c r="E128" s="2073"/>
      <c r="F128" s="2074" t="e">
        <f>F122+F125</f>
        <v>#REF!</v>
      </c>
      <c r="G128" s="2073"/>
      <c r="H128" s="2075"/>
      <c r="I128" s="2072" t="e">
        <f>I122+I125+I126</f>
        <v>#N/A</v>
      </c>
    </row>
    <row r="129" spans="1:15" ht="14.5" thickBot="1">
      <c r="A129" s="1533"/>
      <c r="B129" s="1534"/>
      <c r="C129" s="1534"/>
      <c r="D129" s="1534"/>
      <c r="E129" s="1534"/>
      <c r="F129" s="1534"/>
      <c r="G129" s="2076"/>
      <c r="H129" s="2077"/>
      <c r="I129" s="1536"/>
    </row>
    <row r="130" spans="1:15" ht="14.5" hidden="1" thickTop="1">
      <c r="D130" s="1415" t="s">
        <v>1159</v>
      </c>
      <c r="E130" s="1415"/>
      <c r="F130" s="1415"/>
      <c r="H130" s="1425">
        <f>H125+H128</f>
        <v>0</v>
      </c>
      <c r="I130" s="1416"/>
      <c r="J130" s="1537"/>
      <c r="K130" s="1537"/>
      <c r="M130" s="1373"/>
      <c r="O130" s="1373"/>
    </row>
    <row r="131" spans="1:15" ht="14.5" hidden="1" thickTop="1">
      <c r="D131" s="1415" t="s">
        <v>443</v>
      </c>
      <c r="E131" s="1415"/>
      <c r="F131" s="1415"/>
      <c r="I131" s="1416"/>
      <c r="J131" s="1538"/>
      <c r="K131" s="1538"/>
      <c r="M131" s="1373"/>
      <c r="O131" s="1373"/>
    </row>
    <row r="132" spans="1:15" ht="14.5" hidden="1" thickTop="1">
      <c r="D132" s="1415" t="s">
        <v>444</v>
      </c>
      <c r="I132" s="1416"/>
      <c r="M132" s="1373"/>
      <c r="O132" s="1373"/>
    </row>
    <row r="133" spans="1:15" ht="14.5" hidden="1" thickTop="1">
      <c r="D133" s="1415" t="s">
        <v>957</v>
      </c>
      <c r="I133" s="1416"/>
      <c r="M133" s="1373"/>
      <c r="O133" s="1373"/>
    </row>
    <row r="134" spans="1:15" ht="14.5" hidden="1" thickTop="1">
      <c r="D134" s="1415" t="s">
        <v>606</v>
      </c>
      <c r="I134" s="1416"/>
      <c r="M134" s="1373"/>
      <c r="O134" s="1373"/>
    </row>
    <row r="135" spans="1:15" ht="14.5" hidden="1" thickTop="1">
      <c r="D135" s="1415" t="s">
        <v>607</v>
      </c>
      <c r="I135" s="1416"/>
      <c r="M135" s="1373"/>
      <c r="O135" s="1373"/>
    </row>
    <row r="136" spans="1:15" ht="14.5" hidden="1" thickTop="1">
      <c r="D136" s="1415"/>
      <c r="I136" s="1416"/>
      <c r="M136" s="1373"/>
      <c r="O136" s="1373"/>
    </row>
    <row r="137" spans="1:15" ht="14.5" hidden="1" thickTop="1">
      <c r="I137" s="1416"/>
      <c r="M137" s="1373"/>
      <c r="O137" s="1373"/>
    </row>
    <row r="138" spans="1:15" ht="14.5" hidden="1" thickTop="1">
      <c r="I138" s="1416"/>
      <c r="M138" s="1373"/>
      <c r="O138" s="1373"/>
    </row>
    <row r="139" spans="1:15" ht="14.5" hidden="1" thickTop="1">
      <c r="I139" s="1416"/>
      <c r="M139" s="1373"/>
      <c r="O139" s="1373"/>
    </row>
    <row r="140" spans="1:15" ht="14.5" hidden="1" thickTop="1">
      <c r="A140" s="1372" t="s">
        <v>1573</v>
      </c>
      <c r="G140" s="1388"/>
      <c r="I140" s="1416"/>
      <c r="M140" s="1373"/>
      <c r="O140" s="1373"/>
    </row>
    <row r="141" spans="1:15" ht="14.5" hidden="1" thickTop="1">
      <c r="G141" s="1388"/>
      <c r="I141" s="1416"/>
      <c r="M141" s="1373"/>
      <c r="O141" s="1373"/>
    </row>
    <row r="142" spans="1:15" ht="14.5" hidden="1" thickTop="1">
      <c r="A142" s="1372" t="s">
        <v>1404</v>
      </c>
      <c r="G142" s="1388"/>
      <c r="H142" s="1388"/>
      <c r="I142" s="1416"/>
      <c r="J142" s="1388"/>
      <c r="K142" s="1388"/>
      <c r="M142" s="1373"/>
      <c r="O142" s="1373"/>
    </row>
    <row r="143" spans="1:15" ht="14.5" hidden="1" thickTop="1">
      <c r="A143" s="1372" t="s">
        <v>1405</v>
      </c>
      <c r="H143" s="1388"/>
      <c r="I143" s="1416"/>
      <c r="J143" s="1388"/>
      <c r="K143" s="1388"/>
      <c r="M143" s="1373"/>
      <c r="O143" s="1373"/>
    </row>
    <row r="144" spans="1:15" ht="14.5" hidden="1" thickTop="1">
      <c r="A144" s="1372" t="s">
        <v>486</v>
      </c>
      <c r="H144" s="1388"/>
      <c r="I144" s="1416"/>
      <c r="J144" s="1388"/>
      <c r="K144" s="1388"/>
      <c r="M144" s="1373"/>
      <c r="O144" s="1373"/>
    </row>
    <row r="145" spans="1:15" ht="14.5" hidden="1" thickTop="1">
      <c r="A145" s="1372" t="s">
        <v>487</v>
      </c>
      <c r="I145" s="1416"/>
      <c r="M145" s="1373"/>
      <c r="O145" s="1373"/>
    </row>
    <row r="146" spans="1:15" ht="14.5" hidden="1" thickTop="1">
      <c r="A146" s="1372" t="s">
        <v>955</v>
      </c>
      <c r="I146" s="1416"/>
      <c r="M146" s="1373"/>
      <c r="O146" s="1373"/>
    </row>
    <row r="147" spans="1:15" ht="14.5" hidden="1" thickTop="1">
      <c r="A147" s="1372" t="s">
        <v>956</v>
      </c>
      <c r="I147" s="1416"/>
      <c r="M147" s="1373"/>
      <c r="O147" s="1373"/>
    </row>
    <row r="148" spans="1:15" ht="14.5" hidden="1" thickTop="1">
      <c r="A148" s="1399" t="s">
        <v>1692</v>
      </c>
      <c r="I148" s="1416"/>
      <c r="M148" s="1373"/>
      <c r="O148" s="1373"/>
    </row>
    <row r="149" spans="1:15" ht="14.5" hidden="1" thickTop="1">
      <c r="I149" s="1416"/>
      <c r="M149" s="1373"/>
      <c r="O149" s="1373"/>
    </row>
    <row r="150" spans="1:15" ht="14.5" hidden="1" thickTop="1">
      <c r="A150" s="1372" t="s">
        <v>60</v>
      </c>
      <c r="I150" s="1416"/>
      <c r="M150" s="1373"/>
      <c r="O150" s="1373"/>
    </row>
    <row r="151" spans="1:15" ht="14.5" hidden="1" thickTop="1">
      <c r="A151" s="1372" t="s">
        <v>1599</v>
      </c>
      <c r="I151" s="1416"/>
      <c r="M151" s="1373"/>
      <c r="O151" s="1373"/>
    </row>
    <row r="152" spans="1:15" ht="14.5" hidden="1" thickTop="1">
      <c r="A152" s="1372" t="s">
        <v>1600</v>
      </c>
      <c r="I152" s="1416"/>
      <c r="M152" s="1373"/>
      <c r="O152" s="1373"/>
    </row>
    <row r="153" spans="1:15" ht="14.5" hidden="1" thickTop="1">
      <c r="A153" s="1372" t="s">
        <v>1717</v>
      </c>
      <c r="I153" s="1416"/>
      <c r="M153" s="1373"/>
      <c r="O153" s="1373"/>
    </row>
    <row r="154" spans="1:15" ht="14.5" hidden="1" thickTop="1">
      <c r="I154" s="1416"/>
      <c r="M154" s="1373"/>
      <c r="O154" s="1373"/>
    </row>
    <row r="155" spans="1:15" ht="14.5" hidden="1" thickTop="1">
      <c r="A155" s="1372" t="s">
        <v>1718</v>
      </c>
      <c r="I155" s="1416"/>
      <c r="M155" s="1373"/>
      <c r="O155" s="1373"/>
    </row>
    <row r="156" spans="1:15" ht="14.5" hidden="1" thickTop="1">
      <c r="A156" s="1372" t="s">
        <v>1719</v>
      </c>
      <c r="I156" s="1416"/>
      <c r="M156" s="1373"/>
      <c r="O156" s="1373"/>
    </row>
    <row r="157" spans="1:15" ht="14.5" hidden="1" thickTop="1">
      <c r="A157" s="1372" t="s">
        <v>319</v>
      </c>
      <c r="I157" s="1416"/>
      <c r="M157" s="1373"/>
      <c r="O157" s="1373"/>
    </row>
    <row r="158" spans="1:15" ht="14.5" hidden="1" thickTop="1">
      <c r="A158" s="1372" t="s">
        <v>1720</v>
      </c>
      <c r="I158" s="1416"/>
      <c r="M158" s="1373"/>
      <c r="O158" s="1373"/>
    </row>
    <row r="159" spans="1:15" ht="14.5" hidden="1" thickTop="1">
      <c r="A159" s="1372" t="s">
        <v>317</v>
      </c>
      <c r="I159" s="1416"/>
      <c r="M159" s="1373"/>
      <c r="O159" s="1373"/>
    </row>
    <row r="160" spans="1:15" ht="14.5" hidden="1" thickTop="1">
      <c r="I160" s="1416"/>
      <c r="M160" s="1373"/>
      <c r="O160" s="1373"/>
    </row>
    <row r="161" spans="1:15" ht="14.5" hidden="1" thickTop="1">
      <c r="A161" s="1399" t="s">
        <v>318</v>
      </c>
      <c r="I161" s="1416"/>
      <c r="M161" s="1373"/>
      <c r="O161" s="1373"/>
    </row>
    <row r="162" spans="1:15" ht="14.5" hidden="1" thickTop="1">
      <c r="I162" s="1416"/>
      <c r="M162" s="1373"/>
      <c r="O162" s="1373"/>
    </row>
    <row r="163" spans="1:15" ht="14.5" hidden="1" thickTop="1">
      <c r="I163" s="1416"/>
      <c r="M163" s="1373"/>
      <c r="O163" s="1373"/>
    </row>
    <row r="164" spans="1:15" ht="14.5" hidden="1" thickTop="1">
      <c r="I164" s="1416"/>
      <c r="M164" s="1373"/>
      <c r="O164" s="1373"/>
    </row>
    <row r="165" spans="1:15" ht="14.5" hidden="1" thickTop="1">
      <c r="E165" s="1373" t="s">
        <v>2598</v>
      </c>
      <c r="F165" s="1509" t="e">
        <f>SUM(F22:F28)</f>
        <v>#REF!</v>
      </c>
      <c r="H165" s="1509">
        <f>SUM(H22:H28)</f>
        <v>0</v>
      </c>
      <c r="I165" s="1539">
        <f>SUM(I22:I28)</f>
        <v>0</v>
      </c>
      <c r="M165" s="1373"/>
      <c r="O165" s="1373"/>
    </row>
    <row r="166" spans="1:15" ht="14.5" hidden="1" thickTop="1">
      <c r="E166" s="1373" t="s">
        <v>2599</v>
      </c>
      <c r="F166" s="1509" t="e">
        <f>F29+F32</f>
        <v>#REF!</v>
      </c>
      <c r="H166" s="1509">
        <f>H29+H32</f>
        <v>0</v>
      </c>
      <c r="I166" s="1540">
        <f>I29+I32</f>
        <v>0</v>
      </c>
      <c r="M166" s="1373"/>
      <c r="O166" s="1373"/>
    </row>
    <row r="167" spans="1:15" ht="14.5" hidden="1" thickTop="1">
      <c r="E167" s="1373" t="s">
        <v>2600</v>
      </c>
      <c r="F167" s="1509" t="e">
        <f>F33+F34</f>
        <v>#REF!</v>
      </c>
      <c r="H167" s="1509">
        <f>H33+H34</f>
        <v>0</v>
      </c>
      <c r="I167" s="1540">
        <f>I33+I34</f>
        <v>0</v>
      </c>
      <c r="J167" s="1509"/>
      <c r="K167" s="1509"/>
      <c r="M167" s="1373"/>
      <c r="O167" s="1373"/>
    </row>
    <row r="168" spans="1:15" ht="14.5" hidden="1" thickTop="1">
      <c r="E168" s="1373" t="s">
        <v>2601</v>
      </c>
      <c r="F168" s="1509" t="e">
        <f>F35+F42</f>
        <v>#REF!</v>
      </c>
      <c r="H168" s="1509">
        <f>H35+H42</f>
        <v>0</v>
      </c>
      <c r="I168" s="1540" t="e">
        <f>SUM(#REF!)</f>
        <v>#REF!</v>
      </c>
      <c r="J168" s="1509"/>
      <c r="K168" s="1509"/>
      <c r="M168" s="1373"/>
      <c r="O168" s="1373"/>
    </row>
    <row r="169" spans="1:15" ht="14.5" hidden="1" thickTop="1">
      <c r="E169" s="1373" t="s">
        <v>2648</v>
      </c>
      <c r="F169" s="1473" t="e">
        <f>Assumptions!G119*'Calc Data'!D25*'Calc Data'!D35*100</f>
        <v>#REF!</v>
      </c>
      <c r="H169" s="1473" t="e">
        <f>Assumptions!G119*'Calc Data'!D25*'Calc Data'!D35*100</f>
        <v>#REF!</v>
      </c>
      <c r="I169" s="1541" t="e">
        <f>Assumptions!H119*L62*'Calc Data'!D105*100</f>
        <v>#N/A</v>
      </c>
      <c r="J169" s="1509"/>
      <c r="K169" s="1509"/>
      <c r="M169" s="1373"/>
      <c r="O169" s="1373"/>
    </row>
    <row r="170" spans="1:15" ht="14.5" hidden="1" thickTop="1">
      <c r="E170" s="1373" t="s">
        <v>2650</v>
      </c>
      <c r="F170" s="1473" t="e">
        <f>Assumptions!G120*'Calc Data'!D25*'Calc Data'!D38*100</f>
        <v>#REF!</v>
      </c>
      <c r="H170" s="1473" t="e">
        <f>Assumptions!G120*'Calc Data'!D25*'Calc Data'!AR29*100</f>
        <v>#REF!</v>
      </c>
      <c r="I170" s="1541" t="e">
        <f>Assumptions!H120*L62*'Calc Data'!D110*100</f>
        <v>#N/A</v>
      </c>
      <c r="J170" s="1509"/>
      <c r="K170" s="1509"/>
      <c r="M170" s="1373"/>
      <c r="O170" s="1373"/>
    </row>
    <row r="171" spans="1:15" ht="14.5" hidden="1" thickTop="1">
      <c r="E171" s="1373" t="s">
        <v>7437</v>
      </c>
      <c r="I171" s="1542">
        <f>I43+I44+I45</f>
        <v>0</v>
      </c>
      <c r="J171" s="1473"/>
      <c r="K171" s="1473"/>
      <c r="M171" s="1373"/>
      <c r="O171" s="1373"/>
    </row>
    <row r="172" spans="1:15" ht="14.5" hidden="1" thickTop="1">
      <c r="I172" s="1509"/>
      <c r="J172" s="1473"/>
      <c r="K172" s="1473"/>
      <c r="M172" s="1373"/>
      <c r="O172" s="1373"/>
    </row>
    <row r="173" spans="1:15" ht="14.5" thickTop="1">
      <c r="M173" s="1373"/>
      <c r="O173" s="1373"/>
    </row>
    <row r="174" spans="1:15">
      <c r="D174" s="2087"/>
      <c r="E174" s="2088"/>
      <c r="F174" s="2088"/>
      <c r="G174" s="2089" t="s">
        <v>8704</v>
      </c>
      <c r="H174" s="2090"/>
      <c r="M174" s="1373"/>
      <c r="O174" s="1373"/>
    </row>
    <row r="175" spans="1:15">
      <c r="H175" s="1543" t="s">
        <v>7650</v>
      </c>
      <c r="M175" s="1373"/>
      <c r="O175" s="1373"/>
    </row>
    <row r="176" spans="1:15" hidden="1">
      <c r="E176" s="1415"/>
      <c r="F176" s="1415"/>
      <c r="H176" s="1544" t="s">
        <v>7814</v>
      </c>
      <c r="I176" s="1545" t="e">
        <f>#REF!</f>
        <v>#REF!</v>
      </c>
      <c r="M176" s="1373"/>
      <c r="O176" s="1373"/>
    </row>
    <row r="177" spans="4:15" hidden="1">
      <c r="E177" s="1415"/>
      <c r="F177" s="1415"/>
      <c r="H177" s="1544" t="s">
        <v>7815</v>
      </c>
      <c r="I177" s="1546" t="e">
        <f>#REF!</f>
        <v>#REF!</v>
      </c>
      <c r="M177" s="1373"/>
      <c r="O177" s="1373"/>
    </row>
    <row r="178" spans="4:15" hidden="1">
      <c r="E178" s="1415"/>
      <c r="F178" s="1415"/>
      <c r="H178" s="1415"/>
      <c r="I178" s="1547"/>
      <c r="O178" s="1373"/>
    </row>
    <row r="179" spans="4:15" hidden="1">
      <c r="E179" s="1415"/>
      <c r="F179" s="1415"/>
      <c r="H179" s="1415"/>
      <c r="I179" s="1547"/>
      <c r="O179" s="1373"/>
    </row>
    <row r="180" spans="4:15" hidden="1">
      <c r="E180" s="1415"/>
      <c r="F180" s="1415"/>
      <c r="H180" s="1544" t="s">
        <v>7816</v>
      </c>
      <c r="I180" s="1546" t="e">
        <f>#REF!</f>
        <v>#REF!</v>
      </c>
      <c r="O180" s="1373"/>
    </row>
    <row r="181" spans="4:15" hidden="1">
      <c r="E181" s="1415"/>
      <c r="F181" s="1415"/>
      <c r="H181" s="1544" t="s">
        <v>7817</v>
      </c>
      <c r="I181" s="1546" t="e">
        <f>#REF!</f>
        <v>#REF!</v>
      </c>
      <c r="O181" s="1373"/>
    </row>
    <row r="182" spans="4:15" hidden="1">
      <c r="E182" s="1415"/>
      <c r="F182" s="1415"/>
      <c r="H182" s="1415"/>
      <c r="I182" s="1547"/>
      <c r="O182" s="1373"/>
    </row>
    <row r="183" spans="4:15">
      <c r="D183" s="2096"/>
      <c r="E183" s="2097"/>
      <c r="F183" s="2097"/>
      <c r="G183" s="2096"/>
      <c r="H183" s="2094" t="s">
        <v>8725</v>
      </c>
      <c r="I183" s="1549">
        <f>MAX('Data Entry - SOF'!C145,'Data Entry - SOF'!C146)</f>
        <v>0</v>
      </c>
      <c r="O183" s="1373"/>
    </row>
    <row r="184" spans="4:15">
      <c r="E184" s="1415"/>
      <c r="F184" s="1415"/>
      <c r="H184" s="1544" t="s">
        <v>7751</v>
      </c>
      <c r="I184" s="1550" t="e">
        <f>(I122+I126)/'Data Entry - SOF'!C19</f>
        <v>#N/A</v>
      </c>
      <c r="O184" s="1373"/>
    </row>
    <row r="185" spans="4:15">
      <c r="E185" s="1415"/>
      <c r="F185" s="1415"/>
      <c r="H185" s="1551" t="s">
        <v>7631</v>
      </c>
      <c r="I185" s="1546" t="e">
        <f>IF(I183-I184&lt;=0,0,I183-I184)</f>
        <v>#N/A</v>
      </c>
      <c r="O185" s="1373"/>
    </row>
    <row r="186" spans="4:15">
      <c r="E186" s="1415"/>
      <c r="F186" s="1415"/>
      <c r="H186" s="1551" t="s">
        <v>7750</v>
      </c>
      <c r="I186" s="1552">
        <f>'Data Entry - SOF'!C19</f>
        <v>0</v>
      </c>
      <c r="O186" s="1373"/>
    </row>
    <row r="187" spans="4:15">
      <c r="H187" s="1551" t="s">
        <v>7746</v>
      </c>
      <c r="I187" s="1553" t="e">
        <f>I185*I186</f>
        <v>#N/A</v>
      </c>
      <c r="O187" s="1373"/>
    </row>
    <row r="191" spans="4:15">
      <c r="H191" s="1551" t="s">
        <v>7752</v>
      </c>
      <c r="O191" s="1373"/>
    </row>
    <row r="193" spans="8:15">
      <c r="J193" s="1554"/>
      <c r="K193" s="1554"/>
      <c r="M193" s="1555"/>
      <c r="O193" s="1373"/>
    </row>
    <row r="203" spans="8:15">
      <c r="H203" s="1379" t="s">
        <v>8283</v>
      </c>
      <c r="I203" s="1769" t="e">
        <f>Assumptions!H137*L62*'Calc Data'!D105*100</f>
        <v>#N/A</v>
      </c>
      <c r="M203" s="1373"/>
      <c r="O203" s="1373"/>
    </row>
    <row r="204" spans="8:15">
      <c r="H204" s="1379" t="s">
        <v>8284</v>
      </c>
      <c r="I204" s="1769" t="e">
        <f>'Calc Data'!D106</f>
        <v>#DIV/0!</v>
      </c>
      <c r="M204" s="1373"/>
      <c r="O204" s="1373"/>
    </row>
    <row r="206" spans="8:15">
      <c r="H206" s="1379" t="s">
        <v>8288</v>
      </c>
      <c r="I206" s="1769" t="e">
        <f>Assumptions!H138*L62*'Calc Data'!D110*100</f>
        <v>#N/A</v>
      </c>
      <c r="M206" s="1373"/>
      <c r="O206" s="1373"/>
    </row>
    <row r="207" spans="8:15">
      <c r="H207" s="1379" t="s">
        <v>8289</v>
      </c>
      <c r="I207" s="1769" t="e">
        <f>'Calc Data'!D111</f>
        <v>#DIV/0!</v>
      </c>
      <c r="M207" s="1373"/>
      <c r="O207" s="1373"/>
    </row>
  </sheetData>
  <pageMargins left="0.7" right="0.7" top="0.75" bottom="0.75" header="0.3" footer="0.3"/>
  <pageSetup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3" tint="0.79998168889431442"/>
  </sheetPr>
  <dimension ref="A1:AK192"/>
  <sheetViews>
    <sheetView topLeftCell="E51" workbookViewId="0">
      <selection activeCell="L62" sqref="L62"/>
    </sheetView>
  </sheetViews>
  <sheetFormatPr defaultColWidth="8.7265625" defaultRowHeight="14"/>
  <cols>
    <col min="1" max="1" width="10.54296875" style="1373" bestFit="1" customWidth="1"/>
    <col min="2" max="2" width="8.7265625" style="1373"/>
    <col min="3" max="3" width="13.54296875" style="1373" customWidth="1"/>
    <col min="4" max="4" width="44.54296875" style="1373" customWidth="1"/>
    <col min="5" max="5" width="19.1796875" style="1373" customWidth="1"/>
    <col min="6" max="6" width="19.1796875" style="1373" hidden="1" customWidth="1"/>
    <col min="7" max="7" width="6.453125" style="1373" customWidth="1"/>
    <col min="8" max="8" width="2.81640625" style="1373" customWidth="1"/>
    <col min="9" max="9" width="24.1796875" style="1373" customWidth="1"/>
    <col min="10" max="10" width="30.26953125" style="1373" customWidth="1"/>
    <col min="11" max="11" width="30.1796875" customWidth="1"/>
    <col min="12" max="12" width="20.1796875" style="1373" customWidth="1"/>
    <col min="13" max="13" width="15.54296875" style="1378" customWidth="1"/>
    <col min="14" max="14" width="15.54296875" style="1379" customWidth="1"/>
    <col min="15" max="15" width="13.54296875" style="1373" customWidth="1"/>
    <col min="16" max="36" width="8.7265625" style="1373"/>
    <col min="37" max="37" width="15.54296875" style="1373" customWidth="1"/>
    <col min="38" max="38" width="16" style="1373" customWidth="1"/>
    <col min="39" max="16384" width="8.7265625" style="1373"/>
  </cols>
  <sheetData>
    <row r="1" spans="1:10" hidden="1">
      <c r="A1" s="1372" t="s">
        <v>64</v>
      </c>
      <c r="C1" s="1374" t="str">
        <f>'Data Entry - SOF'!B1</f>
        <v xml:space="preserve"> </v>
      </c>
      <c r="E1" s="1375"/>
      <c r="F1" s="1376" t="e">
        <f>#REF!</f>
        <v>#REF!</v>
      </c>
      <c r="G1" s="1377"/>
      <c r="J1" s="1377"/>
    </row>
    <row r="2" spans="1:10" hidden="1">
      <c r="A2" s="1372" t="s">
        <v>65</v>
      </c>
      <c r="C2" s="1380">
        <f>'Data Entry - SOF'!B2</f>
        <v>0</v>
      </c>
      <c r="F2" s="1377" t="e">
        <f>#REF!</f>
        <v>#REF!</v>
      </c>
      <c r="G2" s="1377"/>
      <c r="J2" s="1377"/>
    </row>
    <row r="3" spans="1:10" hidden="1">
      <c r="A3" s="1372" t="s">
        <v>134</v>
      </c>
      <c r="C3" s="1381">
        <f ca="1">'Data Entry - SOF'!B3</f>
        <v>44931.882496064813</v>
      </c>
      <c r="F3" s="1382" t="e">
        <f>#REF!</f>
        <v>#REF!</v>
      </c>
    </row>
    <row r="4" spans="1:10" hidden="1">
      <c r="D4" s="1383" t="s">
        <v>2821</v>
      </c>
    </row>
    <row r="5" spans="1:10" hidden="1">
      <c r="D5" s="1384" t="s">
        <v>2840</v>
      </c>
    </row>
    <row r="6" spans="1:10" hidden="1"/>
    <row r="7" spans="1:10" hidden="1">
      <c r="D7" s="1372" t="s">
        <v>1308</v>
      </c>
    </row>
    <row r="8" spans="1:10" hidden="1">
      <c r="B8" s="1385"/>
      <c r="D8" s="1372" t="s">
        <v>786</v>
      </c>
      <c r="F8" s="1386">
        <f>'Calc Data'!E7</f>
        <v>0</v>
      </c>
      <c r="G8" s="1387"/>
      <c r="J8" s="1387"/>
    </row>
    <row r="9" spans="1:10" hidden="1">
      <c r="D9" s="1372" t="s">
        <v>1309</v>
      </c>
      <c r="F9" s="1386">
        <f>'Calc Data'!E8</f>
        <v>0</v>
      </c>
      <c r="G9" s="1387"/>
      <c r="J9" s="1387"/>
    </row>
    <row r="10" spans="1:10" hidden="1">
      <c r="D10" s="1372" t="s">
        <v>404</v>
      </c>
      <c r="F10" s="1386" t="e">
        <f>'Data Entry - SOF'!#REF!</f>
        <v>#REF!</v>
      </c>
      <c r="G10" s="1387"/>
      <c r="J10" s="1387"/>
    </row>
    <row r="11" spans="1:10" hidden="1">
      <c r="B11" s="1372"/>
      <c r="D11" s="1372" t="s">
        <v>405</v>
      </c>
      <c r="F11" s="1386" t="e">
        <f>'Calc Data'!E10</f>
        <v>#REF!</v>
      </c>
      <c r="G11" s="1387"/>
      <c r="J11" s="1387"/>
    </row>
    <row r="12" spans="1:10" hidden="1">
      <c r="D12" s="1372" t="s">
        <v>406</v>
      </c>
      <c r="F12" s="1388">
        <f>'Data Entry - SOF'!E63</f>
        <v>0</v>
      </c>
      <c r="G12" s="1388"/>
      <c r="J12" s="1388"/>
    </row>
    <row r="13" spans="1:10" hidden="1">
      <c r="D13" s="1372" t="s">
        <v>407</v>
      </c>
      <c r="F13" s="1388" t="e">
        <f>'Data Entry - SOF'!#REF!</f>
        <v>#REF!</v>
      </c>
      <c r="G13" s="1388"/>
      <c r="J13" s="1388"/>
    </row>
    <row r="14" spans="1:10" hidden="1">
      <c r="D14" s="1372" t="s">
        <v>1711</v>
      </c>
      <c r="F14" s="1386" t="e">
        <f>'Data Entry - SOF'!E128</f>
        <v>#REF!</v>
      </c>
      <c r="G14" s="1388"/>
      <c r="J14" s="1388"/>
    </row>
    <row r="15" spans="1:10" hidden="1">
      <c r="D15" s="1372" t="s">
        <v>1085</v>
      </c>
      <c r="F15" s="1386" t="e">
        <f>'Calc Data'!E59</f>
        <v>#REF!</v>
      </c>
      <c r="G15" s="1389"/>
      <c r="J15" s="1389"/>
    </row>
    <row r="16" spans="1:10" hidden="1">
      <c r="D16" s="1372" t="s">
        <v>1849</v>
      </c>
      <c r="F16" s="1388" t="e">
        <f>'Data Entry - SOF'!#REF!</f>
        <v>#REF!</v>
      </c>
      <c r="G16" s="1388"/>
      <c r="J16" s="1388"/>
    </row>
    <row r="17" spans="2:37" ht="14.5" hidden="1" thickBot="1">
      <c r="D17" s="1390"/>
      <c r="E17" s="1391"/>
      <c r="F17" s="1391"/>
      <c r="G17" s="1388"/>
      <c r="J17" s="1388"/>
    </row>
    <row r="18" spans="2:37">
      <c r="D18" s="1372"/>
      <c r="G18" s="1388"/>
      <c r="I18" s="1392" t="s">
        <v>5951</v>
      </c>
      <c r="J18" s="2466" t="s">
        <v>10725</v>
      </c>
      <c r="K18" s="2675" t="s">
        <v>10726</v>
      </c>
    </row>
    <row r="19" spans="2:37">
      <c r="B19" s="1394" t="s">
        <v>408</v>
      </c>
      <c r="D19" s="1372"/>
      <c r="F19" s="1395" t="s">
        <v>3315</v>
      </c>
      <c r="G19" s="1372"/>
      <c r="I19" s="1396" t="s">
        <v>10420</v>
      </c>
      <c r="J19" s="1687" t="s">
        <v>10727</v>
      </c>
      <c r="K19" s="2676" t="s">
        <v>10728</v>
      </c>
    </row>
    <row r="20" spans="2:37">
      <c r="B20" s="1394">
        <v>11</v>
      </c>
      <c r="C20" s="1379" t="s">
        <v>7438</v>
      </c>
      <c r="D20" s="1399" t="s">
        <v>2817</v>
      </c>
      <c r="F20" s="1400" t="e">
        <f>ROUND(ROUND('Calc Data'!E23,0)*IF('Calc Data'!E11&gt;'Calc Data'!E10,'Calc Data'!E11,'Calc Data'!E10),0)</f>
        <v>#REF!</v>
      </c>
      <c r="G20" s="1388"/>
      <c r="I20" s="2476">
        <f>ROUND(Assumptions!H145*IF('Calc Data'!E12&gt;'Calc Data'!E11,'Calc Data'!E12,'Calc Data'!E11),0)</f>
        <v>0</v>
      </c>
      <c r="J20" s="2485">
        <f>I20</f>
        <v>0</v>
      </c>
      <c r="K20" s="2769">
        <f>I20</f>
        <v>0</v>
      </c>
      <c r="AK20" s="1388" t="e">
        <f>ROUND(ROUND('Calc Data'!AA23,0)*IF('Calc Data'!#REF!&gt;'Calc Data'!#REF!,'Calc Data'!#REF!,'Calc Data'!#REF!),0)</f>
        <v>#REF!</v>
      </c>
    </row>
    <row r="21" spans="2:37">
      <c r="B21" s="1394"/>
      <c r="C21" s="1404" t="s">
        <v>7439</v>
      </c>
      <c r="D21" s="1405" t="s">
        <v>7431</v>
      </c>
      <c r="E21" s="1406"/>
      <c r="F21" s="1407"/>
      <c r="G21" s="1408"/>
      <c r="H21" s="1408"/>
      <c r="I21" s="2476">
        <f>MAX('Calc Data'!E97,'Calc Data'!E99)</f>
        <v>0</v>
      </c>
      <c r="J21" s="2486">
        <f t="shared" ref="J21:J61" si="0">I21</f>
        <v>0</v>
      </c>
      <c r="K21" s="2769">
        <f t="shared" ref="K21:K60" si="1">I21</f>
        <v>0</v>
      </c>
      <c r="AK21" s="1388"/>
    </row>
    <row r="22" spans="2:37">
      <c r="B22" s="1394">
        <v>23</v>
      </c>
      <c r="C22" s="1379" t="s">
        <v>7439</v>
      </c>
      <c r="D22" s="1372" t="s">
        <v>7455</v>
      </c>
      <c r="F22" s="1388" t="e">
        <f>ROUND('Calc Data'!E9*ROUND('Calc Data'!E23,0),0)</f>
        <v>#REF!</v>
      </c>
      <c r="G22" s="1388"/>
      <c r="I22" s="2477">
        <f>ROUND('Calc Data'!E9*(Assumptions!H145+'Calc Data'!E96),0)</f>
        <v>0</v>
      </c>
      <c r="J22" s="2486">
        <f t="shared" si="0"/>
        <v>0</v>
      </c>
      <c r="K22" s="2769">
        <f t="shared" si="1"/>
        <v>0</v>
      </c>
      <c r="AK22" s="1388" t="e">
        <f>ROUND('Calc Data'!#REF!*ROUND('Calc Data'!AA23,0),0)</f>
        <v>#REF!</v>
      </c>
    </row>
    <row r="23" spans="2:37">
      <c r="B23" s="1394"/>
      <c r="C23" s="1379" t="s">
        <v>7439</v>
      </c>
      <c r="D23" s="1372" t="s">
        <v>87</v>
      </c>
      <c r="F23" s="1415"/>
      <c r="I23" s="2478"/>
      <c r="J23" s="2486">
        <f t="shared" si="0"/>
        <v>0</v>
      </c>
      <c r="K23" s="2769">
        <f t="shared" si="1"/>
        <v>0</v>
      </c>
    </row>
    <row r="24" spans="2:37">
      <c r="B24" s="1394">
        <v>23</v>
      </c>
      <c r="C24" s="1379" t="s">
        <v>7439</v>
      </c>
      <c r="D24" s="1372" t="s">
        <v>88</v>
      </c>
      <c r="F24" s="1418" t="e">
        <f>ROUND('Data Entry - SOF'!E32*Weights!N21*ROUND('Calc Data'!E23,0),0)</f>
        <v>#REF!</v>
      </c>
      <c r="G24" s="1418"/>
      <c r="I24" s="2479">
        <f>IF('Data Entry - SOF'!E32=0,0,ROUND('Data Entry - SOF'!E32*'Weights-HB3'!J18*(Assumptions!H145+'Calc Data'!E96),0))</f>
        <v>0</v>
      </c>
      <c r="J24" s="2486">
        <f t="shared" si="0"/>
        <v>0</v>
      </c>
      <c r="K24" s="2769">
        <f t="shared" si="1"/>
        <v>0</v>
      </c>
      <c r="AK24" s="1418" t="e">
        <f>ROUND('Data Entry - SOF'!#REF!*1.1*ROUND('Calc Data'!AA23,0),0)</f>
        <v>#REF!</v>
      </c>
    </row>
    <row r="25" spans="2:37">
      <c r="B25" s="1394">
        <v>23</v>
      </c>
      <c r="C25" s="1379" t="s">
        <v>7439</v>
      </c>
      <c r="D25" s="1372" t="s">
        <v>89</v>
      </c>
      <c r="F25" s="1388" t="e">
        <f>ROUND((+'Data Entry - SOF'!E31*Weights!N19)*ROUND('Calc Data'!E23,0),0)</f>
        <v>#REF!</v>
      </c>
      <c r="G25" s="1388"/>
      <c r="I25" s="2477">
        <f>IF('Data Entry - SOF'!E31=0,0,ROUND(('Data Entry - SOF'!E31*'Weights-HB3'!J16)*(Assumptions!H145+'Calc Data'!E96),0))</f>
        <v>0</v>
      </c>
      <c r="J25" s="2486">
        <f t="shared" si="0"/>
        <v>0</v>
      </c>
      <c r="K25" s="2769">
        <f t="shared" si="1"/>
        <v>0</v>
      </c>
      <c r="AK25" s="1388" t="e">
        <f>ROUND((+'Data Entry - SOF'!#REF!*4)*ROUND('Calc Data'!AA23,0),0)</f>
        <v>#REF!</v>
      </c>
    </row>
    <row r="26" spans="2:37">
      <c r="B26" s="1394">
        <v>23</v>
      </c>
      <c r="C26" s="1379" t="s">
        <v>7439</v>
      </c>
      <c r="D26" s="1421" t="s">
        <v>766</v>
      </c>
      <c r="F26" s="1388" t="e">
        <f>ROUND((+'Data Entry - SOF'!E29*Weights!N17)*ROUND('Calc Data'!E23,0),0)</f>
        <v>#REF!</v>
      </c>
      <c r="G26" s="1388"/>
      <c r="I26" s="2477">
        <f>IF('Data Entry - SOF'!E29=0,0,ROUND((+'Data Entry - SOF'!E29*'Weights-HB3'!J14)*(Assumptions!H145+'Calc Data'!E96),0))</f>
        <v>0</v>
      </c>
      <c r="J26" s="2486">
        <f t="shared" si="0"/>
        <v>0</v>
      </c>
      <c r="K26" s="2769">
        <f t="shared" si="1"/>
        <v>0</v>
      </c>
      <c r="AK26" s="1388" t="e">
        <f>ROUND((+'Data Entry - SOF'!#REF!*2.8)*ROUND('Calc Data'!AA23,0),0)</f>
        <v>#REF!</v>
      </c>
    </row>
    <row r="27" spans="2:37">
      <c r="B27" s="1394">
        <v>23</v>
      </c>
      <c r="C27" s="1379" t="s">
        <v>7439</v>
      </c>
      <c r="D27" s="1421" t="s">
        <v>767</v>
      </c>
      <c r="F27" s="1388" t="e">
        <f>ROUND(('Data Entry - SOF'!E30*Weights!N18)*ROUND('Calc Data'!E23,0),0)</f>
        <v>#REF!</v>
      </c>
      <c r="G27" s="1388"/>
      <c r="I27" s="2477">
        <f>IF('Data Entry - SOF'!E30=0,0,ROUND(('Data Entry - SOF'!E30*'Weights-HB3'!J15)*(Assumptions!H145+'Calc Data'!E96),0))</f>
        <v>0</v>
      </c>
      <c r="J27" s="2486">
        <f t="shared" si="0"/>
        <v>0</v>
      </c>
      <c r="K27" s="2769">
        <f t="shared" si="1"/>
        <v>0</v>
      </c>
      <c r="AK27" s="1388" t="e">
        <f>ROUND(('Data Entry - SOF'!#REF!*1.7)*ROUND('Calc Data'!AA23,0),0)</f>
        <v>#REF!</v>
      </c>
    </row>
    <row r="28" spans="2:37">
      <c r="B28" s="1394"/>
      <c r="C28" s="1379" t="s">
        <v>7439</v>
      </c>
      <c r="D28" s="1372" t="s">
        <v>1075</v>
      </c>
      <c r="F28" s="1388" t="e">
        <f>IF('Data Entry - SOF'!#REF!&lt;0,'Data Entry - SOF'!#REF!,'Data Entry - SOF'!#REF!*-1)</f>
        <v>#REF!</v>
      </c>
      <c r="G28" s="1388"/>
      <c r="I28" s="2477">
        <f>IF('Data Entry - SOF'!E96&lt;0,'Data Entry - SOF'!E96,'Data Entry - SOF'!E96*-1)</f>
        <v>0</v>
      </c>
      <c r="J28" s="2486">
        <f t="shared" si="0"/>
        <v>0</v>
      </c>
      <c r="K28" s="2769">
        <f t="shared" si="1"/>
        <v>0</v>
      </c>
      <c r="AK28" s="1388">
        <v>0</v>
      </c>
    </row>
    <row r="29" spans="2:37">
      <c r="B29" s="1394">
        <v>22</v>
      </c>
      <c r="C29" s="1379" t="s">
        <v>7439</v>
      </c>
      <c r="D29" s="2174" t="s">
        <v>9043</v>
      </c>
      <c r="E29" s="1417"/>
      <c r="F29" s="2172" t="e">
        <f>ROUND(ROUND('Calc Data'!D23,0)*'Data Entry - SOF'!#REF!*Weights!M23,0)</f>
        <v>#REF!</v>
      </c>
      <c r="G29" s="2172"/>
      <c r="H29" s="1417"/>
      <c r="I29" s="2480">
        <f>ROUND((Assumptions!H145+'Calc Data'!E96)*'Data Entry - SOF'!E36*'Weights-HB3'!J21,0)</f>
        <v>0</v>
      </c>
      <c r="J29" s="2486">
        <f t="shared" si="0"/>
        <v>0</v>
      </c>
      <c r="K29" s="2769">
        <f t="shared" si="1"/>
        <v>0</v>
      </c>
      <c r="AK29" s="1388" t="e">
        <f>ROUND(ROUND('Calc Data'!AA23,0)*'Data Entry - SOF'!#REF!*1.35,0)</f>
        <v>#REF!</v>
      </c>
    </row>
    <row r="30" spans="2:37">
      <c r="B30" s="1394"/>
      <c r="C30" s="1379" t="s">
        <v>7439</v>
      </c>
      <c r="D30" s="2174" t="s">
        <v>9045</v>
      </c>
      <c r="E30" s="1417"/>
      <c r="F30" s="2172"/>
      <c r="G30" s="2172"/>
      <c r="H30" s="1417"/>
      <c r="I30" s="2480">
        <f>ROUND((Assumptions!H145+'Calc Data'!E96)*'Data Entry - SOF'!E37*'Weights-HB3'!J22,0)</f>
        <v>0</v>
      </c>
      <c r="J30" s="2486">
        <f t="shared" si="0"/>
        <v>0</v>
      </c>
      <c r="K30" s="2769">
        <f t="shared" si="1"/>
        <v>0</v>
      </c>
      <c r="AK30" s="1388"/>
    </row>
    <row r="31" spans="2:37">
      <c r="B31" s="1394"/>
      <c r="C31" s="1379" t="s">
        <v>7439</v>
      </c>
      <c r="D31" s="2174" t="s">
        <v>9044</v>
      </c>
      <c r="E31" s="1417"/>
      <c r="F31" s="2172"/>
      <c r="G31" s="2172"/>
      <c r="H31" s="1417"/>
      <c r="I31" s="2480">
        <f>ROUND((Assumptions!H145+'Calc Data'!E96)*'Data Entry - SOF'!E38*'Weights-HB3'!J23,0)</f>
        <v>0</v>
      </c>
      <c r="J31" s="2486">
        <f t="shared" si="0"/>
        <v>0</v>
      </c>
      <c r="K31" s="2769">
        <f t="shared" si="1"/>
        <v>0</v>
      </c>
      <c r="AK31" s="1388"/>
    </row>
    <row r="32" spans="2:37">
      <c r="B32" s="1394"/>
      <c r="C32" s="1379" t="s">
        <v>7439</v>
      </c>
      <c r="D32" s="2093" t="s">
        <v>9048</v>
      </c>
      <c r="E32" s="1417"/>
      <c r="F32" s="2172">
        <f>Weights!M24*'Data Entry - SOF'!C37</f>
        <v>0</v>
      </c>
      <c r="G32" s="2172"/>
      <c r="H32" s="1417"/>
      <c r="I32" s="2480">
        <f>ROUND('Weights-HB3'!J24*('Data Entry - SOF'!E39+'Data Entry - SOF'!E40),0)</f>
        <v>0</v>
      </c>
      <c r="J32" s="2486">
        <f t="shared" si="0"/>
        <v>0</v>
      </c>
      <c r="K32" s="2769">
        <f t="shared" si="1"/>
        <v>0</v>
      </c>
      <c r="AK32" s="1388"/>
    </row>
    <row r="33" spans="2:37">
      <c r="B33" s="1394">
        <v>21</v>
      </c>
      <c r="C33" s="1379" t="s">
        <v>7439</v>
      </c>
      <c r="D33" s="2174" t="s">
        <v>2642</v>
      </c>
      <c r="E33" s="1417"/>
      <c r="F33" s="2172" t="e">
        <f>ROUND(ROUND('Calc Data'!E23,0)*'Data Entry - SOF'!E189*Weights!N28,0)</f>
        <v>#REF!</v>
      </c>
      <c r="G33" s="2172"/>
      <c r="H33" s="1417"/>
      <c r="I33" s="2480">
        <f>ROUND(Assumptions!H145*'Data Entry - SOF'!E189*'Weights-HB3'!J31,0)</f>
        <v>0</v>
      </c>
      <c r="J33" s="2486">
        <f t="shared" si="0"/>
        <v>0</v>
      </c>
      <c r="K33" s="2769">
        <f t="shared" si="1"/>
        <v>0</v>
      </c>
      <c r="AK33" s="1388" t="e">
        <f>ROUND(ROUND('Calc Data'!AA23,0)*'Data Entry - SOF'!#REF!*0.12,0)</f>
        <v>#REF!</v>
      </c>
    </row>
    <row r="34" spans="2:37">
      <c r="B34" s="1394"/>
      <c r="C34" s="1379" t="s">
        <v>7439</v>
      </c>
      <c r="D34" s="1372" t="s">
        <v>376</v>
      </c>
      <c r="F34" s="1388" t="e">
        <f>IF('Data Entry - SOF'!#REF!&lt;0,'Data Entry - SOF'!#REF!,'Data Entry - SOF'!#REF!*-1)</f>
        <v>#REF!</v>
      </c>
      <c r="G34" s="1388"/>
      <c r="I34" s="2477">
        <f>IF('Data Entry - SOF'!E95&lt;0,'Data Entry - SOF'!E95,'Data Entry - SOF'!E95*-1)</f>
        <v>0</v>
      </c>
      <c r="J34" s="2486">
        <f t="shared" si="0"/>
        <v>0</v>
      </c>
      <c r="K34" s="2769">
        <f t="shared" si="1"/>
        <v>0</v>
      </c>
      <c r="AK34" s="1388">
        <v>0</v>
      </c>
    </row>
    <row r="35" spans="2:37">
      <c r="B35" s="1394" t="s">
        <v>2357</v>
      </c>
      <c r="C35" s="1404" t="s">
        <v>7439</v>
      </c>
      <c r="D35" s="1424" t="s">
        <v>2732</v>
      </c>
      <c r="E35" s="1406"/>
      <c r="F35" s="1408" t="e">
        <f>ROUND(ROUND('Calc Data'!E23,0)*'Data Entry - SOF'!#REF!*Weights!N30,0)</f>
        <v>#REF!</v>
      </c>
      <c r="G35" s="1408"/>
      <c r="H35" s="1408"/>
      <c r="I35" s="2481"/>
      <c r="J35" s="2486">
        <f t="shared" si="0"/>
        <v>0</v>
      </c>
      <c r="K35" s="2769">
        <f t="shared" si="1"/>
        <v>0</v>
      </c>
      <c r="AK35" s="1388" t="e">
        <f>ROUND(ROUND('Calc Data'!AA23,0)*'Data Entry - SOF'!#REF!*0.2,0)</f>
        <v>#REF!</v>
      </c>
    </row>
    <row r="36" spans="2:37">
      <c r="B36" s="1394"/>
      <c r="C36" s="1404" t="s">
        <v>7439</v>
      </c>
      <c r="D36" s="1405" t="s">
        <v>7465</v>
      </c>
      <c r="E36" s="1406"/>
      <c r="F36" s="1408"/>
      <c r="G36" s="1408"/>
      <c r="H36" s="1408"/>
      <c r="I36" s="2481">
        <f>ROUND(Assumptions!H145*'Data Entry - SOF'!E49*'Weights-HB3'!J34,0)</f>
        <v>0</v>
      </c>
      <c r="J36" s="2486">
        <f t="shared" si="0"/>
        <v>0</v>
      </c>
      <c r="K36" s="2769">
        <f t="shared" si="1"/>
        <v>0</v>
      </c>
      <c r="AK36" s="1388"/>
    </row>
    <row r="37" spans="2:37">
      <c r="B37" s="1394"/>
      <c r="C37" s="1404" t="s">
        <v>7439</v>
      </c>
      <c r="D37" s="1405" t="s">
        <v>7484</v>
      </c>
      <c r="E37" s="1406"/>
      <c r="F37" s="1408"/>
      <c r="G37" s="1408"/>
      <c r="H37" s="1408"/>
      <c r="I37" s="2481">
        <f>ROUND(Assumptions!H145*'Data Entry - SOF'!E51*'Weights-HB3'!J36,0)</f>
        <v>0</v>
      </c>
      <c r="J37" s="2486">
        <f t="shared" si="0"/>
        <v>0</v>
      </c>
      <c r="K37" s="2769">
        <f t="shared" si="1"/>
        <v>0</v>
      </c>
      <c r="AK37" s="1388"/>
    </row>
    <row r="38" spans="2:37">
      <c r="B38" s="1394"/>
      <c r="C38" s="1404" t="s">
        <v>7439</v>
      </c>
      <c r="D38" s="1405" t="s">
        <v>7485</v>
      </c>
      <c r="E38" s="1406"/>
      <c r="F38" s="1408"/>
      <c r="G38" s="1408"/>
      <c r="H38" s="1408"/>
      <c r="I38" s="2481">
        <f>ROUND(Assumptions!H145*'Data Entry - SOF'!E52*'Weights-HB3'!J37,0)</f>
        <v>0</v>
      </c>
      <c r="J38" s="2486">
        <f t="shared" si="0"/>
        <v>0</v>
      </c>
      <c r="K38" s="2769">
        <f t="shared" si="1"/>
        <v>0</v>
      </c>
      <c r="AK38" s="1388"/>
    </row>
    <row r="39" spans="2:37">
      <c r="B39" s="1394"/>
      <c r="C39" s="1404" t="s">
        <v>7439</v>
      </c>
      <c r="D39" s="1405" t="s">
        <v>7486</v>
      </c>
      <c r="E39" s="1406"/>
      <c r="F39" s="1408"/>
      <c r="G39" s="1408"/>
      <c r="H39" s="1408"/>
      <c r="I39" s="2481">
        <f>ROUND(Assumptions!H145*'Data Entry - SOF'!E53*'Weights-HB3'!J38,0)</f>
        <v>0</v>
      </c>
      <c r="J39" s="2486">
        <f t="shared" si="0"/>
        <v>0</v>
      </c>
      <c r="K39" s="2769">
        <f t="shared" si="1"/>
        <v>0</v>
      </c>
      <c r="AK39" s="1388"/>
    </row>
    <row r="40" spans="2:37">
      <c r="B40" s="1394"/>
      <c r="C40" s="1404" t="s">
        <v>7439</v>
      </c>
      <c r="D40" s="1405" t="s">
        <v>7487</v>
      </c>
      <c r="E40" s="1406"/>
      <c r="F40" s="1408"/>
      <c r="G40" s="1408"/>
      <c r="H40" s="1408"/>
      <c r="I40" s="2481">
        <f>ROUND(Assumptions!H145*'Data Entry - SOF'!E54*'Weights-HB3'!J39,0)</f>
        <v>0</v>
      </c>
      <c r="J40" s="2486">
        <f t="shared" si="0"/>
        <v>0</v>
      </c>
      <c r="K40" s="2769">
        <f t="shared" si="1"/>
        <v>0</v>
      </c>
      <c r="AK40" s="1388"/>
    </row>
    <row r="41" spans="2:37">
      <c r="B41" s="1394"/>
      <c r="C41" s="1404" t="s">
        <v>7439</v>
      </c>
      <c r="D41" s="1405" t="s">
        <v>7488</v>
      </c>
      <c r="E41" s="1406"/>
      <c r="F41" s="1408"/>
      <c r="G41" s="1408"/>
      <c r="H41" s="1408"/>
      <c r="I41" s="2481">
        <f>ROUND(Assumptions!H145*'Data Entry - SOF'!E55*'Weights-HB3'!J40,0)</f>
        <v>0</v>
      </c>
      <c r="J41" s="2486">
        <f t="shared" si="0"/>
        <v>0</v>
      </c>
      <c r="K41" s="2769">
        <f t="shared" si="1"/>
        <v>0</v>
      </c>
      <c r="L41" s="1473">
        <f>SUM(I37:I41)</f>
        <v>0</v>
      </c>
      <c r="AK41" s="1388"/>
    </row>
    <row r="42" spans="2:37">
      <c r="B42" s="1394" t="s">
        <v>2357</v>
      </c>
      <c r="C42" s="1379" t="s">
        <v>7439</v>
      </c>
      <c r="D42" s="1372" t="s">
        <v>377</v>
      </c>
      <c r="F42" s="1388" t="e">
        <f>ROUND(ROUND('Calc Data'!E23,0)*'Data Entry - SOF'!E33*Weights!N31,0)</f>
        <v>#REF!</v>
      </c>
      <c r="G42" s="1388"/>
      <c r="I42" s="2477">
        <f>ROUND(Assumptions!H145*'Data Entry - SOF'!E33*'Weights-HB3'!J43,0)</f>
        <v>0</v>
      </c>
      <c r="J42" s="2486">
        <f t="shared" si="0"/>
        <v>0</v>
      </c>
      <c r="K42" s="2769">
        <f t="shared" si="1"/>
        <v>0</v>
      </c>
      <c r="AK42" s="1388" t="e">
        <f>ROUND(ROUND('Calc Data'!AA23,0)*'Data Entry - SOF'!#REF!*2.41,0)</f>
        <v>#REF!</v>
      </c>
    </row>
    <row r="43" spans="2:37">
      <c r="B43" s="1394">
        <v>25</v>
      </c>
      <c r="C43" s="1379" t="s">
        <v>7439</v>
      </c>
      <c r="D43" s="1372" t="s">
        <v>7450</v>
      </c>
      <c r="F43" s="1388" t="e">
        <f>ROUND(ROUND('Calc Data'!E23,0)*('Data Entry - SOF'!#REF!*Weights!N26),0)</f>
        <v>#REF!</v>
      </c>
      <c r="G43" s="1388"/>
      <c r="I43" s="2477">
        <f>ROUND(Assumptions!H145*'Data Entry - SOF'!E41*'Weights-HB3'!J26,0)</f>
        <v>0</v>
      </c>
      <c r="J43" s="2486">
        <f t="shared" si="0"/>
        <v>0</v>
      </c>
      <c r="K43" s="2769">
        <f t="shared" si="1"/>
        <v>0</v>
      </c>
      <c r="AK43" s="1388" t="e">
        <f>ROUND(ROUND('Calc Data'!AA23,0)*('Data Entry - SOF'!#REF!*0.1),0)</f>
        <v>#REF!</v>
      </c>
    </row>
    <row r="44" spans="2:37">
      <c r="B44" s="1394"/>
      <c r="C44" s="1404" t="s">
        <v>7439</v>
      </c>
      <c r="D44" s="1424" t="s">
        <v>7451</v>
      </c>
      <c r="E44" s="1406"/>
      <c r="F44" s="1408"/>
      <c r="G44" s="1408"/>
      <c r="H44" s="1408"/>
      <c r="I44" s="2477">
        <f>ROUND(Assumptions!H145*'Data Entry - SOF'!E42*'Weights-HB3'!J27,0)</f>
        <v>0</v>
      </c>
      <c r="J44" s="2486">
        <f t="shared" si="0"/>
        <v>0</v>
      </c>
      <c r="K44" s="2769">
        <f t="shared" si="1"/>
        <v>0</v>
      </c>
      <c r="AK44" s="1388"/>
    </row>
    <row r="45" spans="2:37">
      <c r="B45" s="1394"/>
      <c r="C45" s="1404" t="s">
        <v>7439</v>
      </c>
      <c r="D45" s="1424" t="s">
        <v>7452</v>
      </c>
      <c r="E45" s="1406"/>
      <c r="F45" s="1408"/>
      <c r="G45" s="1408"/>
      <c r="H45" s="1408"/>
      <c r="I45" s="2477">
        <f>ROUND(Assumptions!H145*'Data Entry - SOF'!E43*'Weights-HB3'!J28,0)</f>
        <v>0</v>
      </c>
      <c r="J45" s="2486">
        <f t="shared" si="0"/>
        <v>0</v>
      </c>
      <c r="K45" s="2769">
        <f t="shared" si="1"/>
        <v>0</v>
      </c>
      <c r="AK45" s="1388"/>
    </row>
    <row r="46" spans="2:37">
      <c r="B46" s="1394"/>
      <c r="C46" s="1404" t="s">
        <v>7439</v>
      </c>
      <c r="D46" s="1424" t="s">
        <v>7436</v>
      </c>
      <c r="E46" s="1406"/>
      <c r="F46" s="1408"/>
      <c r="G46" s="1408"/>
      <c r="H46" s="1408"/>
      <c r="I46" s="2477">
        <f>ROUND(Assumptions!H145*'Data Entry - SOF'!E60*'Weights-HB3'!J72,0)</f>
        <v>0</v>
      </c>
      <c r="J46" s="2486">
        <f t="shared" si="0"/>
        <v>0</v>
      </c>
      <c r="K46" s="2769">
        <f t="shared" si="1"/>
        <v>0</v>
      </c>
      <c r="AK46" s="1388"/>
    </row>
    <row r="47" spans="2:37">
      <c r="B47" s="1394"/>
      <c r="C47" s="1404" t="s">
        <v>7439</v>
      </c>
      <c r="D47" s="1424" t="s">
        <v>7628</v>
      </c>
      <c r="E47" s="1406"/>
      <c r="F47" s="1408"/>
      <c r="G47" s="1408"/>
      <c r="H47" s="1408"/>
      <c r="I47" s="2477">
        <f>Assumptions!H145*'Data Entry - SOF'!E45*'Weights-HB3'!J74</f>
        <v>0</v>
      </c>
      <c r="J47" s="2486">
        <f t="shared" si="0"/>
        <v>0</v>
      </c>
      <c r="K47" s="2769">
        <f t="shared" si="1"/>
        <v>0</v>
      </c>
      <c r="AK47" s="1388"/>
    </row>
    <row r="48" spans="2:37">
      <c r="B48" s="1394"/>
      <c r="C48" s="1404" t="s">
        <v>7439</v>
      </c>
      <c r="D48" s="1424" t="s">
        <v>7827</v>
      </c>
      <c r="E48" s="1406"/>
      <c r="F48" s="1408"/>
      <c r="G48" s="1408"/>
      <c r="H48" s="1408"/>
      <c r="I48" s="2477">
        <f>('Data Entry - SOF'!E57*'Weights-HB3'!J113)+('Data Entry - SOF'!E58*'Weights-HB3'!J114)+('Data Entry - SOF'!E59*'Weights-HB3'!J115)</f>
        <v>0</v>
      </c>
      <c r="J48" s="2486">
        <f t="shared" si="0"/>
        <v>0</v>
      </c>
      <c r="K48" s="2769">
        <f t="shared" si="1"/>
        <v>0</v>
      </c>
      <c r="AK48" s="1388"/>
    </row>
    <row r="49" spans="2:37">
      <c r="B49" s="1394">
        <v>31</v>
      </c>
      <c r="C49" s="1379" t="s">
        <v>7439</v>
      </c>
      <c r="D49" s="1415" t="s">
        <v>2296</v>
      </c>
      <c r="F49" s="1388" t="e">
        <f>Weights!N33*'Data Entry - SOF'!#REF!</f>
        <v>#REF!</v>
      </c>
      <c r="G49" s="1388"/>
      <c r="I49" s="2481"/>
      <c r="J49" s="2486">
        <f t="shared" si="0"/>
        <v>0</v>
      </c>
      <c r="K49" s="2769">
        <f t="shared" si="1"/>
        <v>0</v>
      </c>
      <c r="AK49" s="1388" t="e">
        <f>#REF!</f>
        <v>#REF!</v>
      </c>
    </row>
    <row r="50" spans="2:37">
      <c r="B50" s="1394"/>
      <c r="C50" s="1379" t="s">
        <v>7439</v>
      </c>
      <c r="D50" s="1372" t="s">
        <v>825</v>
      </c>
      <c r="F50" s="1388" t="e">
        <f>ROUND(ROUND('Calc Data'!E23,0)*'Data Entry - SOF'!E46*Weights!N37,0)</f>
        <v>#REF!</v>
      </c>
      <c r="G50" s="1388"/>
      <c r="I50" s="2482">
        <f>ROUND(Assumptions!H145*'Data Entry - SOF'!E46*'Weights-HB3'!J49,0)</f>
        <v>0</v>
      </c>
      <c r="J50" s="2486">
        <f t="shared" si="0"/>
        <v>0</v>
      </c>
      <c r="K50" s="2769">
        <f t="shared" si="1"/>
        <v>0</v>
      </c>
      <c r="AK50" s="1388" t="e">
        <f>ROUND(ROUND('Calc Data'!AA23,0)*'Data Entry - SOF'!#REF!*0.1,0)</f>
        <v>#REF!</v>
      </c>
    </row>
    <row r="51" spans="2:37">
      <c r="B51" s="1394"/>
      <c r="C51" s="2191" t="s">
        <v>7439</v>
      </c>
      <c r="D51" s="2174" t="s">
        <v>7538</v>
      </c>
      <c r="E51" s="1417"/>
      <c r="F51" s="2172"/>
      <c r="G51" s="2172"/>
      <c r="H51" s="2172"/>
      <c r="I51" s="2483">
        <f>'Report-SOF2223-SB1'!J44</f>
        <v>0</v>
      </c>
      <c r="J51" s="2486">
        <f t="shared" si="0"/>
        <v>0</v>
      </c>
      <c r="K51" s="2769">
        <f t="shared" si="1"/>
        <v>0</v>
      </c>
      <c r="AK51" s="1388"/>
    </row>
    <row r="52" spans="2:37">
      <c r="B52" s="1394"/>
      <c r="C52" s="1404" t="s">
        <v>7439</v>
      </c>
      <c r="D52" s="1424" t="s">
        <v>7617</v>
      </c>
      <c r="E52" s="1406"/>
      <c r="F52" s="1408"/>
      <c r="G52" s="1408"/>
      <c r="H52" s="1408"/>
      <c r="I52" s="2482">
        <f>'Data Entry - SOF'!E89</f>
        <v>0</v>
      </c>
      <c r="J52" s="2486">
        <f t="shared" si="0"/>
        <v>0</v>
      </c>
      <c r="K52" s="2769">
        <f t="shared" si="1"/>
        <v>0</v>
      </c>
      <c r="AK52" s="1388"/>
    </row>
    <row r="53" spans="2:37">
      <c r="B53" s="1394"/>
      <c r="C53" s="1404" t="s">
        <v>7439</v>
      </c>
      <c r="D53" s="1424" t="s">
        <v>7618</v>
      </c>
      <c r="E53" s="1406"/>
      <c r="F53" s="1408"/>
      <c r="G53" s="1408"/>
      <c r="H53" s="1408"/>
      <c r="I53" s="2482">
        <f>'Data Entry - SOF'!E90</f>
        <v>0</v>
      </c>
      <c r="J53" s="2486">
        <f t="shared" si="0"/>
        <v>0</v>
      </c>
      <c r="K53" s="2769">
        <f t="shared" si="1"/>
        <v>0</v>
      </c>
      <c r="AK53" s="1388"/>
    </row>
    <row r="54" spans="2:37">
      <c r="B54" s="1394"/>
      <c r="C54" s="1404" t="s">
        <v>7439</v>
      </c>
      <c r="D54" s="1424" t="s">
        <v>7669</v>
      </c>
      <c r="E54" s="1406"/>
      <c r="F54" s="1408"/>
      <c r="G54" s="1408"/>
      <c r="H54" s="1408"/>
      <c r="I54" s="2482">
        <f>'Data Entry - SOF'!E19*'Weights-HB3'!J68</f>
        <v>0</v>
      </c>
      <c r="J54" s="2486">
        <f t="shared" si="0"/>
        <v>0</v>
      </c>
      <c r="K54" s="2769">
        <f t="shared" si="1"/>
        <v>0</v>
      </c>
      <c r="L54" s="1415"/>
      <c r="AK54" s="1388"/>
    </row>
    <row r="55" spans="2:37">
      <c r="B55" s="1394"/>
      <c r="C55" s="1404" t="s">
        <v>7439</v>
      </c>
      <c r="D55" s="1424" t="s">
        <v>7828</v>
      </c>
      <c r="E55" s="1406"/>
      <c r="F55" s="1408"/>
      <c r="G55" s="1408"/>
      <c r="H55" s="1408"/>
      <c r="I55" s="1411">
        <f>'Data Entry - SOF'!E103</f>
        <v>0</v>
      </c>
      <c r="J55" s="2486">
        <f t="shared" si="0"/>
        <v>0</v>
      </c>
      <c r="K55" s="2769">
        <f t="shared" si="1"/>
        <v>0</v>
      </c>
      <c r="L55" s="1415"/>
      <c r="AK55" s="1388"/>
    </row>
    <row r="56" spans="2:37">
      <c r="B56" s="1394"/>
      <c r="C56" s="1379" t="s">
        <v>7440</v>
      </c>
      <c r="D56" s="1415" t="s">
        <v>3291</v>
      </c>
      <c r="F56" s="1427">
        <f>'Data Entry - SOF'!E47*Weights!N35</f>
        <v>0</v>
      </c>
      <c r="G56" s="1388"/>
      <c r="I56" s="2481">
        <f>'Data Entry - SOF'!E47*'Weights-HB3'!J47</f>
        <v>0</v>
      </c>
      <c r="J56" s="2486">
        <f t="shared" si="0"/>
        <v>0</v>
      </c>
      <c r="K56" s="2769">
        <f t="shared" si="1"/>
        <v>0</v>
      </c>
      <c r="AK56" s="1388" t="e">
        <f>'Data Entry - SOF'!#REF!*250</f>
        <v>#REF!</v>
      </c>
    </row>
    <row r="57" spans="2:37">
      <c r="B57" s="1394">
        <v>99</v>
      </c>
      <c r="C57" s="1379" t="s">
        <v>7440</v>
      </c>
      <c r="D57" s="1372" t="s">
        <v>7454</v>
      </c>
      <c r="F57" s="1429" t="e">
        <f>'Data Entry - SOF'!#REF!</f>
        <v>#REF!</v>
      </c>
      <c r="G57" s="1388"/>
      <c r="I57" s="2481">
        <f>('Data Entry - SOF'!E83*'Weights-HB3'!J70)+'Data Entry - SOF'!E84+'Data Entry - SOF'!E85+'Data Entry - SOF'!E86</f>
        <v>0</v>
      </c>
      <c r="J57" s="2486">
        <f t="shared" si="0"/>
        <v>0</v>
      </c>
      <c r="K57" s="2769">
        <f t="shared" si="1"/>
        <v>0</v>
      </c>
      <c r="AK57" s="1429" t="e">
        <f>'Data Entry - SOF'!#REF!</f>
        <v>#REF!</v>
      </c>
    </row>
    <row r="58" spans="2:37">
      <c r="B58" s="1394"/>
      <c r="C58" s="1404" t="s">
        <v>7440</v>
      </c>
      <c r="D58" s="1424" t="s">
        <v>7559</v>
      </c>
      <c r="E58" s="1406"/>
      <c r="F58" s="1408"/>
      <c r="G58" s="1408"/>
      <c r="H58" s="1408"/>
      <c r="I58" s="2481">
        <f>'Data Entry - SOF'!E48*'Weights-HB3'!G125</f>
        <v>0</v>
      </c>
      <c r="J58" s="2486">
        <f t="shared" si="0"/>
        <v>0</v>
      </c>
      <c r="K58" s="2769">
        <f t="shared" si="1"/>
        <v>0</v>
      </c>
      <c r="AK58" s="1388"/>
    </row>
    <row r="59" spans="2:37">
      <c r="B59" s="1394"/>
      <c r="C59" s="1404" t="s">
        <v>7440</v>
      </c>
      <c r="D59" s="1424" t="s">
        <v>7467</v>
      </c>
      <c r="E59" s="1406"/>
      <c r="F59" s="1408"/>
      <c r="G59" s="1408"/>
      <c r="H59" s="1408"/>
      <c r="I59" s="2481">
        <f>'Data Entry - SOF'!E87</f>
        <v>0</v>
      </c>
      <c r="J59" s="2486">
        <f t="shared" si="0"/>
        <v>0</v>
      </c>
      <c r="K59" s="2769">
        <f t="shared" si="1"/>
        <v>0</v>
      </c>
      <c r="AK59" s="1388"/>
    </row>
    <row r="60" spans="2:37">
      <c r="B60" s="1394"/>
      <c r="C60" s="1404" t="s">
        <v>7440</v>
      </c>
      <c r="D60" s="1424" t="s">
        <v>7625</v>
      </c>
      <c r="E60" s="1406"/>
      <c r="F60" s="1408"/>
      <c r="G60" s="1408"/>
      <c r="H60" s="1408"/>
      <c r="I60" s="2484">
        <f>'Data Entry - SOF'!E88</f>
        <v>0</v>
      </c>
      <c r="J60" s="2487">
        <f t="shared" si="0"/>
        <v>0</v>
      </c>
      <c r="K60" s="2772">
        <f t="shared" si="1"/>
        <v>0</v>
      </c>
      <c r="AK60" s="1388"/>
    </row>
    <row r="61" spans="2:37">
      <c r="D61" s="1372" t="s">
        <v>497</v>
      </c>
      <c r="F61" s="1388" t="e">
        <f>SUM(F20:F57)</f>
        <v>#REF!</v>
      </c>
      <c r="G61" s="1388"/>
      <c r="I61" s="1432">
        <f>SUM(I20:I60)</f>
        <v>0</v>
      </c>
      <c r="J61" s="1402">
        <f t="shared" si="0"/>
        <v>0</v>
      </c>
      <c r="K61" s="1432">
        <f>SUM(K20:K60)</f>
        <v>0</v>
      </c>
      <c r="L61" s="2665">
        <f>(I61-I55-I56-I57-I58-I59-I60-I28-I34)/Assumptions!H145</f>
        <v>0</v>
      </c>
      <c r="M61" s="1436" t="s">
        <v>7443</v>
      </c>
      <c r="AK61" s="1388" t="e">
        <f>SUM(AK20:AK57)</f>
        <v>#REF!</v>
      </c>
    </row>
    <row r="62" spans="2:37">
      <c r="D62" s="1372" t="s">
        <v>741</v>
      </c>
      <c r="F62" s="1437">
        <f>IF('Data Entry - SOF'!E123&gt;1,1*('Data Entry - SOF'!E63/100),'Data Entry - SOF'!E123*('Data Entry - SOF'!E63/100))</f>
        <v>0</v>
      </c>
      <c r="G62" s="1438"/>
      <c r="I62" s="1439">
        <f>('Data Entry - SOF'!E72/100)*'Data Entry - SOF'!E66</f>
        <v>0</v>
      </c>
      <c r="J62" s="2664">
        <f>('HH2223-40KCalcs'!H12/100)*'Data Entry - SOF'!E63</f>
        <v>0</v>
      </c>
      <c r="K62" s="2664">
        <f>('HH2223-40KCalcs'!G12/100)*'Data Entry - SOF'!E66</f>
        <v>0</v>
      </c>
      <c r="AK62" s="1437" t="e">
        <f>#REF!</f>
        <v>#REF!</v>
      </c>
    </row>
    <row r="63" spans="2:37">
      <c r="D63" s="1372" t="s">
        <v>740</v>
      </c>
      <c r="F63" s="1438" t="e">
        <f>F61-F62</f>
        <v>#REF!</v>
      </c>
      <c r="G63" s="1438"/>
      <c r="I63" s="1432">
        <f>I61-I62</f>
        <v>0</v>
      </c>
      <c r="J63" s="1442">
        <f>J61-J62</f>
        <v>0</v>
      </c>
      <c r="K63" s="2672">
        <f>K61-K62</f>
        <v>0</v>
      </c>
      <c r="AK63" s="1438" t="e">
        <f>AK61-AK62</f>
        <v>#REF!</v>
      </c>
    </row>
    <row r="64" spans="2:37">
      <c r="D64" s="1372"/>
      <c r="G64" s="1438"/>
      <c r="I64" s="1416"/>
      <c r="J64" s="1443"/>
      <c r="K64" s="2678"/>
      <c r="AK64" s="1438"/>
    </row>
    <row r="65" spans="4:37">
      <c r="D65" s="1445" t="s">
        <v>7458</v>
      </c>
      <c r="G65" s="1438"/>
      <c r="I65" s="1416"/>
      <c r="J65" s="1443"/>
      <c r="K65" s="2678"/>
      <c r="AK65" s="1438"/>
    </row>
    <row r="66" spans="4:37">
      <c r="D66" s="1372" t="s">
        <v>7616</v>
      </c>
      <c r="F66" s="1425" t="e">
        <f>IF(F63&lt;F99+F49+F56+#REF!+#REF!,F99+F49+F56+#REF!+#REF!,F63)</f>
        <v>#REF!</v>
      </c>
      <c r="G66" s="1438"/>
      <c r="I66" s="1423">
        <f>IF(I63&lt;I99,I99,I63)</f>
        <v>0</v>
      </c>
      <c r="J66" s="1428">
        <f>IF(J63&lt;J99,J99,J63)</f>
        <v>0</v>
      </c>
      <c r="K66" s="1423">
        <f>IF(K63&lt;J99,J99,K63)</f>
        <v>0</v>
      </c>
    </row>
    <row r="67" spans="4:37" hidden="1">
      <c r="D67" s="1372" t="s">
        <v>2150</v>
      </c>
      <c r="G67" s="1438" t="e">
        <f>ROUND(IF((24.7*'Calc Data'!#REF!*IF('Calc Data'!#REF!&gt;=0.64,0.64,'Calc Data'!#REF!)*100)&lt;'Calc Data'!#REF!,0,(24.7*'Calc Data'!#REF!*IF('Calc Data'!#REF!&gt;=0.64,0.64,'Calc Data'!#REF!)*100)-'Calc Data'!#REF!),0)</f>
        <v>#REF!</v>
      </c>
      <c r="I67" s="1447"/>
      <c r="J67" s="1448"/>
      <c r="K67" s="2678"/>
    </row>
    <row r="68" spans="4:37">
      <c r="D68" s="1372"/>
      <c r="G68" s="1438"/>
      <c r="I68" s="1447"/>
      <c r="J68" s="2468"/>
      <c r="K68" s="2678"/>
    </row>
    <row r="69" spans="4:37">
      <c r="D69" s="2062" t="s">
        <v>8117</v>
      </c>
      <c r="E69" s="2063"/>
      <c r="F69" s="2063"/>
      <c r="G69" s="2064"/>
      <c r="H69" s="2065"/>
      <c r="I69" s="2079" t="s">
        <v>8149</v>
      </c>
      <c r="J69" s="1443"/>
      <c r="K69" s="2678"/>
    </row>
    <row r="70" spans="4:37">
      <c r="D70" s="1372" t="s">
        <v>7489</v>
      </c>
      <c r="G70" s="1438"/>
      <c r="I70" s="1423">
        <f>IF(I62&gt;I61-I99,I62-(I61-I99),0)</f>
        <v>0</v>
      </c>
      <c r="J70" s="1428">
        <f>IF(J62&gt;J61-J99,J62-(J61-J99),0)</f>
        <v>0</v>
      </c>
      <c r="K70" s="1423">
        <f>IF(K62&gt;K61-J99,K62-(K61-J99),0)</f>
        <v>0</v>
      </c>
    </row>
    <row r="71" spans="4:37">
      <c r="D71" s="1372" t="s">
        <v>7695</v>
      </c>
      <c r="G71" s="1438"/>
      <c r="I71" s="1439">
        <f>IF(I70=0,0,IF('Calc Data'!E113-I70&lt;I61-I99,(I61-I99-('Calc Data'!E113-I70))*-1,0))</f>
        <v>0</v>
      </c>
      <c r="J71" s="2467">
        <f>IF(J70=0,0,IF('Calc Data'!O113-J70&lt;J61-J99,(J61-J99-('Calc Data'!O113-J70))*-1,0))</f>
        <v>0</v>
      </c>
      <c r="K71" s="2679">
        <f>IF(K70=0,0,IF('Calc Data'!J113-K70&lt;K61-I99,(K61-I99-('Calc Data'!J113-K70))*-1,0))</f>
        <v>0</v>
      </c>
    </row>
    <row r="72" spans="4:37">
      <c r="D72" s="1451" t="s">
        <v>7490</v>
      </c>
      <c r="E72" s="1452"/>
      <c r="F72" s="1453"/>
      <c r="G72" s="1455"/>
      <c r="I72" s="1454">
        <f>IF(I70+I71&lt;=0,0,I70+I71)</f>
        <v>0</v>
      </c>
      <c r="J72" s="2490">
        <f>IF(J70+J71&lt;=0,0,J70+J71)</f>
        <v>0</v>
      </c>
      <c r="K72" s="2680">
        <f>IF(K70+K71&lt;=0,0,K70+K71)</f>
        <v>0</v>
      </c>
    </row>
    <row r="73" spans="4:37">
      <c r="D73" s="1451" t="s">
        <v>7687</v>
      </c>
      <c r="E73" s="1452"/>
      <c r="F73" s="1452"/>
      <c r="G73" s="1455"/>
      <c r="I73" s="1423" t="e">
        <f>'Data Entry - SOF'!E111*(I72/'Data Entry - SOF'!E75)</f>
        <v>#DIV/0!</v>
      </c>
      <c r="J73" s="2666" t="e">
        <f>'Data Entry - SOF'!E111*(J72/'HH2223-40KCalcs'!D12)</f>
        <v>#DIV/0!</v>
      </c>
      <c r="K73" s="2671" t="e">
        <f>'Data Entry - SOF'!E111*(K72/'HH2223-40KCalcs'!C12)</f>
        <v>#DIV/0!</v>
      </c>
    </row>
    <row r="74" spans="4:37">
      <c r="D74" s="2068" t="s">
        <v>7688</v>
      </c>
      <c r="E74" s="2063"/>
      <c r="F74" s="2063"/>
      <c r="G74" s="2064"/>
      <c r="H74" s="2065"/>
      <c r="I74" s="2066" t="e">
        <f>IF(I72-I73&lt;=0,0,I72-I73)</f>
        <v>#DIV/0!</v>
      </c>
      <c r="J74" s="2491" t="e">
        <f>IF(J72-J73&lt;=0,0,J72-J73)</f>
        <v>#DIV/0!</v>
      </c>
      <c r="K74" s="2681" t="e">
        <f>IF(K72-K73&lt;=0,0,K72-K73)</f>
        <v>#DIV/0!</v>
      </c>
    </row>
    <row r="75" spans="4:37">
      <c r="D75" s="1372"/>
      <c r="G75" s="1438"/>
      <c r="I75" s="1416"/>
      <c r="J75" s="2492"/>
      <c r="K75" s="2677"/>
    </row>
    <row r="76" spans="4:37">
      <c r="D76" s="1372" t="s">
        <v>7403</v>
      </c>
      <c r="F76" s="1438" t="e">
        <f>ROUND(IF((Assumptions!G119*'Calc Data'!E25*'Calc Data'!E35*100)&lt;'Calc Data'!E42,0,(Assumptions!G119*'Calc Data'!E25*'Calc Data'!E35*100)-'Calc Data'!E42),0)</f>
        <v>#REF!</v>
      </c>
      <c r="G76" s="1438"/>
      <c r="I76" s="1461" t="e">
        <f>ROUND(IF((Assumptions!H146*L61*'Calc Data'!E105*100)&lt;'Calc Data'!E106,0,(Assumptions!H146*L61*'Calc Data'!E105*100)-'Calc Data'!E106),0)</f>
        <v>#DIV/0!</v>
      </c>
      <c r="J76" s="2493" t="e">
        <f>ROUND(IF((Assumptions!H146*L61*'Calc Data'!O105*100)&lt;'Calc Data'!O106,0,(Assumptions!H146*L61*'Calc Data'!O105*100)-'Calc Data'!O106),0)</f>
        <v>#DIV/0!</v>
      </c>
      <c r="K76" s="2672" t="e">
        <f>ROUND(IF((Assumptions!H146*L61*'Calc Data'!J105*100)&lt;'Calc Data'!J106,0,(Assumptions!H146*L61*'Calc Data'!J105*100)-'Calc Data'!J106),0)</f>
        <v>#DIV/0!</v>
      </c>
    </row>
    <row r="77" spans="4:37">
      <c r="D77" s="1372" t="s">
        <v>7457</v>
      </c>
      <c r="F77" s="1464" t="e">
        <f>ROUND(IF((Assumptions!G120*'Calc Data'!E25*'Calc Data'!E38*100)&lt;'Calc Data'!E43,0,(Assumptions!G120*'Calc Data'!E25*'Calc Data'!E38*100)-'Calc Data'!E43),0)</f>
        <v>#REF!</v>
      </c>
      <c r="G77" s="1438"/>
      <c r="I77" s="1465" t="e">
        <f>ROUND(IF((Assumptions!H147*L61*'Calc Data'!E110*100)&lt;'Calc Data'!E111,0,(Assumptions!H147*L61*'Calc Data'!E110*100)-'Calc Data'!E111),0)</f>
        <v>#DIV/0!</v>
      </c>
      <c r="J77" s="2494" t="e">
        <f>ROUND(IF((Assumptions!H147*L61*'Calc Data'!O110*100)&lt;'Calc Data'!O111,0,(Assumptions!H147*L61*'Calc Data'!O110*100)-'Calc Data'!O111),0)</f>
        <v>#DIV/0!</v>
      </c>
      <c r="K77" s="2682" t="e">
        <f>ROUND(IF((Assumptions!H147*L61*'Calc Data'!J110*100)&lt;'Calc Data'!J111,0,(Assumptions!H147*L61*'Calc Data'!J110*100)-'Calc Data'!J111),0)</f>
        <v>#DIV/0!</v>
      </c>
    </row>
    <row r="78" spans="4:37">
      <c r="D78" s="1468" t="s">
        <v>7459</v>
      </c>
      <c r="F78" s="1438" t="e">
        <f>SUM(F67:F77)</f>
        <v>#REF!</v>
      </c>
      <c r="G78" s="1438"/>
      <c r="I78" s="1432" t="e">
        <f>I76+I77</f>
        <v>#DIV/0!</v>
      </c>
      <c r="J78" s="2495" t="e">
        <f>J76+J77</f>
        <v>#DIV/0!</v>
      </c>
      <c r="K78" s="2673" t="e">
        <f>K76+K77</f>
        <v>#DIV/0!</v>
      </c>
    </row>
    <row r="79" spans="4:37">
      <c r="D79" s="1372"/>
      <c r="F79" s="1438"/>
      <c r="G79" s="1438"/>
      <c r="I79" s="1432"/>
      <c r="J79" s="2495"/>
      <c r="K79" s="2677"/>
    </row>
    <row r="80" spans="4:37">
      <c r="D80" s="1451" t="s">
        <v>7491</v>
      </c>
      <c r="E80" s="1452"/>
      <c r="F80" s="1469"/>
      <c r="G80" s="1455"/>
      <c r="I80" s="1461" t="e">
        <f>ROUND(IF((Assumptions!H147*L61*'Calc Data'!E110*100)&lt;'Calc Data'!E111,'Calc Data'!E111-(Assumptions!H147*L61*'Calc Data'!E110*100)),0)</f>
        <v>#DIV/0!</v>
      </c>
      <c r="J80" s="2493" t="e">
        <f>ROUND(IF((Assumptions!H147*L61*'Calc Data'!O110*100)&lt;'Calc Data'!O111,'Calc Data'!O111-(Assumptions!H147*L61*'Calc Data'!O110*100)),0)</f>
        <v>#DIV/0!</v>
      </c>
      <c r="K80" s="2672" t="e">
        <f>ROUND(IF((Assumptions!H147*L61*'Calc Data'!J110*100)&lt;'Calc Data'!J111,'Calc Data'!J111-(Assumptions!H147*L61*'Calc Data'!J110*100)),0)</f>
        <v>#DIV/0!</v>
      </c>
    </row>
    <row r="81" spans="1:13">
      <c r="D81" s="1451" t="s">
        <v>7687</v>
      </c>
      <c r="E81" s="1452"/>
      <c r="F81" s="1455"/>
      <c r="G81" s="1455"/>
      <c r="I81" s="1461" t="e">
        <f>'Data Entry - SOF'!E111*(I80/'Data Entry - SOF'!E75)</f>
        <v>#DIV/0!</v>
      </c>
      <c r="J81" s="2667" t="e">
        <f>'Data Entry - SOF'!E111*(J80/'HH2223-40KCalcs'!D12)</f>
        <v>#DIV/0!</v>
      </c>
      <c r="K81" s="2674" t="e">
        <f>'Data Entry - SOF'!E111*(K80/'HH2223-40KCalcs'!C12)</f>
        <v>#DIV/0!</v>
      </c>
    </row>
    <row r="82" spans="1:13">
      <c r="D82" s="2068" t="s">
        <v>7689</v>
      </c>
      <c r="E82" s="2063"/>
      <c r="F82" s="2064"/>
      <c r="G82" s="2064"/>
      <c r="H82" s="2065"/>
      <c r="I82" s="2069" t="e">
        <f>I80-I81</f>
        <v>#DIV/0!</v>
      </c>
      <c r="J82" s="2496" t="e">
        <f>J80-J81</f>
        <v>#DIV/0!</v>
      </c>
      <c r="K82" s="2683" t="e">
        <f>K80-K81</f>
        <v>#DIV/0!</v>
      </c>
    </row>
    <row r="83" spans="1:13">
      <c r="D83" s="1372"/>
      <c r="G83" s="1438"/>
      <c r="I83" s="1416"/>
      <c r="J83" s="2492"/>
    </row>
    <row r="84" spans="1:13">
      <c r="D84" s="1372" t="s">
        <v>691</v>
      </c>
      <c r="G84" s="1438"/>
      <c r="I84" s="1416"/>
      <c r="J84" s="2492"/>
    </row>
    <row r="85" spans="1:13">
      <c r="D85" s="1372" t="s">
        <v>714</v>
      </c>
      <c r="F85" s="1438">
        <f>'Data Entry - SOF'!E101</f>
        <v>0</v>
      </c>
      <c r="G85" s="1438"/>
      <c r="I85" s="1432">
        <f>'Data Entry - SOF'!E101</f>
        <v>0</v>
      </c>
      <c r="J85" s="2495">
        <f>I85</f>
        <v>0</v>
      </c>
      <c r="L85" s="1473"/>
      <c r="M85" s="1472"/>
    </row>
    <row r="86" spans="1:13">
      <c r="D86" s="1372" t="s">
        <v>2737</v>
      </c>
      <c r="F86" s="1438">
        <f>'Data Entry - SOF'!E100</f>
        <v>0</v>
      </c>
      <c r="G86" s="1438"/>
      <c r="I86" s="1432">
        <f>'Data Entry - SOF'!E100</f>
        <v>0</v>
      </c>
      <c r="J86" s="2495">
        <f>I86</f>
        <v>0</v>
      </c>
      <c r="L86" s="1473"/>
      <c r="M86" s="1472"/>
    </row>
    <row r="87" spans="1:13">
      <c r="D87" s="1372" t="s">
        <v>7756</v>
      </c>
      <c r="F87" s="1438" t="e">
        <f>'Data Entry - SOF'!#REF!</f>
        <v>#REF!</v>
      </c>
      <c r="G87" s="1438"/>
      <c r="I87" s="1432" t="e">
        <f>'HH2223-40KCalcs'!D26</f>
        <v>#DIV/0!</v>
      </c>
      <c r="J87" s="2495"/>
      <c r="L87" s="1473"/>
      <c r="M87" s="1472"/>
    </row>
    <row r="88" spans="1:13">
      <c r="D88" s="1372" t="s">
        <v>2738</v>
      </c>
      <c r="F88" s="1438">
        <f>'Data Entry - SOF'!E102</f>
        <v>0</v>
      </c>
      <c r="G88" s="1438"/>
      <c r="I88" s="1432">
        <f>'Data Entry - SOF'!E102</f>
        <v>0</v>
      </c>
      <c r="J88" s="2495">
        <f>I88</f>
        <v>0</v>
      </c>
      <c r="L88" s="1473"/>
      <c r="M88" s="1472"/>
    </row>
    <row r="89" spans="1:13">
      <c r="D89" s="1372" t="s">
        <v>692</v>
      </c>
      <c r="F89" s="1474" t="e">
        <f>(('Data Entry - SOF'!#REF!/'Calc Data'!#REF!)*'Data Entry - SOF'!E93)*-1</f>
        <v>#REF!</v>
      </c>
      <c r="G89" s="1438"/>
      <c r="I89" s="1475">
        <f>IF('Data Entry - SOF'!E93&lt;0,'Data Entry - SOF'!E93, 'Data Entry - SOF'!E93*-1)</f>
        <v>0</v>
      </c>
      <c r="J89" s="1475">
        <f>I89</f>
        <v>0</v>
      </c>
      <c r="L89" s="1473"/>
      <c r="M89" s="1472"/>
    </row>
    <row r="90" spans="1:13">
      <c r="D90" s="1372" t="s">
        <v>693</v>
      </c>
      <c r="F90" s="1474" t="e">
        <f>(('Data Entry - SOF'!#REF!/'Calc Data'!#REF!)*'Data Entry - SOF'!E94)*-1</f>
        <v>#REF!</v>
      </c>
      <c r="G90" s="1438"/>
      <c r="I90" s="1475">
        <f>IF('Data Entry - SOF'!E94&lt;0,'Data Entry - SOF'!E94, 'Data Entry - SOF'!E94*-1)</f>
        <v>0</v>
      </c>
      <c r="J90" s="1475">
        <f>I90</f>
        <v>0</v>
      </c>
      <c r="L90" s="1473"/>
      <c r="M90" s="1472"/>
    </row>
    <row r="91" spans="1:13">
      <c r="D91" s="1372" t="s">
        <v>8147</v>
      </c>
      <c r="F91" s="1476" t="e">
        <f>'Data Entry - SOF'!#REF!</f>
        <v>#REF!</v>
      </c>
      <c r="G91" s="1438"/>
      <c r="I91" s="1721">
        <f>'Data Entry - SOF'!E116</f>
        <v>0</v>
      </c>
      <c r="J91" s="2497">
        <f>I91</f>
        <v>0</v>
      </c>
      <c r="L91" s="1473"/>
      <c r="M91" s="1472"/>
    </row>
    <row r="92" spans="1:13">
      <c r="D92" s="1477" t="s">
        <v>7460</v>
      </c>
      <c r="F92" s="1438" t="e">
        <f>SUM(F85:F91)</f>
        <v>#REF!</v>
      </c>
      <c r="G92" s="1438"/>
      <c r="I92" s="1432" t="e">
        <f>SUM(I85:I91)</f>
        <v>#DIV/0!</v>
      </c>
      <c r="J92" s="2495">
        <f>SUM(J85:J91)</f>
        <v>0</v>
      </c>
      <c r="L92" s="1473"/>
      <c r="M92" s="1472"/>
    </row>
    <row r="93" spans="1:13">
      <c r="D93" s="1478"/>
      <c r="F93" s="1415"/>
      <c r="G93" s="1438"/>
      <c r="I93" s="1416"/>
      <c r="J93" s="2492"/>
      <c r="L93" s="1473"/>
      <c r="M93" s="1472"/>
    </row>
    <row r="94" spans="1:13">
      <c r="D94" s="1372" t="s">
        <v>2258</v>
      </c>
      <c r="F94" s="1438" t="e">
        <f>F99*-1</f>
        <v>#REF!</v>
      </c>
      <c r="G94" s="1438"/>
      <c r="I94" s="1432">
        <f>I99*-1</f>
        <v>0</v>
      </c>
      <c r="J94" s="2495">
        <f>J99*-1</f>
        <v>0</v>
      </c>
      <c r="L94" s="1473"/>
      <c r="M94" s="1472"/>
    </row>
    <row r="95" spans="1:13">
      <c r="D95" s="1372"/>
      <c r="G95" s="1479"/>
      <c r="H95" s="2070"/>
      <c r="I95" s="1447"/>
      <c r="J95" s="2498"/>
      <c r="L95" s="1473"/>
      <c r="M95" s="1472"/>
    </row>
    <row r="96" spans="1:13">
      <c r="A96" s="1480"/>
      <c r="B96" s="1481"/>
      <c r="C96" s="1481"/>
      <c r="D96" s="1482"/>
      <c r="E96" s="1481"/>
      <c r="F96" s="1483"/>
      <c r="G96" s="1484"/>
      <c r="I96" s="1485"/>
      <c r="J96" s="2499"/>
      <c r="L96" s="1473"/>
      <c r="M96" s="1472"/>
    </row>
    <row r="97" spans="1:15">
      <c r="A97" s="1486"/>
      <c r="B97" s="1487" t="s">
        <v>164</v>
      </c>
      <c r="C97" s="1488"/>
      <c r="D97" s="1489"/>
      <c r="E97" s="1488"/>
      <c r="F97" s="1490"/>
      <c r="G97" s="1479"/>
      <c r="I97" s="1447"/>
      <c r="J97" s="2498"/>
      <c r="L97" s="1473"/>
      <c r="M97" s="1472"/>
    </row>
    <row r="98" spans="1:15">
      <c r="A98" s="1486"/>
      <c r="B98" s="1487" t="s">
        <v>1403</v>
      </c>
      <c r="C98" s="1488"/>
      <c r="D98" s="1491" t="s">
        <v>694</v>
      </c>
      <c r="E98" s="1492"/>
      <c r="F98" s="1493" t="e">
        <f>F66+F78+F92+F94</f>
        <v>#REF!</v>
      </c>
      <c r="G98" s="1479"/>
      <c r="I98" s="1423" t="e">
        <f>I66+I78+I92+I94</f>
        <v>#DIV/0!</v>
      </c>
      <c r="J98" s="1428" t="e">
        <f>J66+J78+J92+J94</f>
        <v>#DIV/0!</v>
      </c>
      <c r="L98" s="1473"/>
      <c r="M98" s="1472"/>
    </row>
    <row r="99" spans="1:15">
      <c r="A99" s="1486"/>
      <c r="B99" s="1487" t="s">
        <v>1401</v>
      </c>
      <c r="C99" s="1488"/>
      <c r="D99" s="1491" t="s">
        <v>2465</v>
      </c>
      <c r="E99" s="1492"/>
      <c r="F99" s="1493" t="e">
        <f>'Calc Data'!#REF!*Assumptions!G123</f>
        <v>#REF!</v>
      </c>
      <c r="G99" s="1479"/>
      <c r="I99" s="1494">
        <f>'Data Entry - SOF'!C19*Assumptions!H150</f>
        <v>0</v>
      </c>
      <c r="J99" s="2500">
        <f>I99</f>
        <v>0</v>
      </c>
      <c r="L99" s="1473"/>
      <c r="M99" s="1472"/>
    </row>
    <row r="100" spans="1:15">
      <c r="A100" s="1486"/>
      <c r="B100" s="1487" t="s">
        <v>697</v>
      </c>
      <c r="C100" s="1488"/>
      <c r="D100" s="1491" t="s">
        <v>695</v>
      </c>
      <c r="E100" s="1492"/>
      <c r="F100" s="1493" t="e">
        <f>#REF!</f>
        <v>#REF!</v>
      </c>
      <c r="G100" s="1479"/>
      <c r="I100" s="1432">
        <f>'Existing Debt-HB3'!K74</f>
        <v>0</v>
      </c>
      <c r="J100" s="2495">
        <f>'Existing Debt-HB3'!L74</f>
        <v>0</v>
      </c>
      <c r="L100" s="1473"/>
      <c r="M100" s="1472"/>
    </row>
    <row r="101" spans="1:15" ht="14.5" thickBot="1">
      <c r="A101" s="1486"/>
      <c r="B101" s="1487" t="s">
        <v>1033</v>
      </c>
      <c r="C101" s="1488"/>
      <c r="D101" s="1491" t="s">
        <v>696</v>
      </c>
      <c r="E101" s="1492"/>
      <c r="F101" s="1497" t="e">
        <f>#REF!+#REF!</f>
        <v>#REF!</v>
      </c>
      <c r="G101" s="1479"/>
      <c r="I101" s="1498">
        <f>'IFA-HB3'!O86+'IFA-HB3'!R75</f>
        <v>0</v>
      </c>
      <c r="J101" s="2501">
        <f>'IFA-HB3'!P86+'IFA-HB3'!T75</f>
        <v>0</v>
      </c>
      <c r="L101" s="1473"/>
      <c r="M101" s="1472"/>
    </row>
    <row r="102" spans="1:15">
      <c r="A102" s="1486"/>
      <c r="B102" s="1488"/>
      <c r="C102" s="1488"/>
      <c r="D102" s="1488"/>
      <c r="E102" s="1488"/>
      <c r="F102" s="1490"/>
      <c r="G102" s="1479"/>
      <c r="I102" s="1447"/>
      <c r="J102" s="2498"/>
      <c r="L102" s="1499"/>
      <c r="M102" s="1500"/>
    </row>
    <row r="103" spans="1:15" ht="12.75" customHeight="1" thickBot="1">
      <c r="A103" s="1486"/>
      <c r="B103" s="1488"/>
      <c r="C103" s="1488"/>
      <c r="D103" s="1491" t="s">
        <v>7651</v>
      </c>
      <c r="E103" s="1488"/>
      <c r="F103" s="1501" t="e">
        <f>SUM(F98:F101)</f>
        <v>#REF!</v>
      </c>
      <c r="G103" s="1479"/>
      <c r="I103" s="1502" t="e">
        <f>SUM(I98:I101)</f>
        <v>#DIV/0!</v>
      </c>
      <c r="J103" s="2502" t="e">
        <f>SUM(J98:J101)</f>
        <v>#DIV/0!</v>
      </c>
      <c r="L103" s="1499"/>
      <c r="M103" s="1500"/>
    </row>
    <row r="104" spans="1:15" ht="14.5" thickTop="1">
      <c r="A104" s="1486"/>
      <c r="B104" s="1488"/>
      <c r="C104" s="1488"/>
      <c r="D104" s="1503" t="s">
        <v>445</v>
      </c>
      <c r="E104" s="1488"/>
      <c r="F104" s="1488"/>
      <c r="G104" s="1479"/>
      <c r="I104" s="1416"/>
      <c r="J104" s="2492"/>
      <c r="L104" s="1499"/>
      <c r="M104" s="1500"/>
    </row>
    <row r="105" spans="1:15">
      <c r="A105" s="1504"/>
      <c r="B105" s="1505"/>
      <c r="C105" s="1505"/>
      <c r="D105" s="1506"/>
      <c r="E105" s="1505"/>
      <c r="F105" s="1505"/>
      <c r="G105" s="2071"/>
      <c r="H105" s="2070"/>
      <c r="I105" s="1507"/>
      <c r="J105" s="2503"/>
    </row>
    <row r="106" spans="1:15">
      <c r="B106" s="1372"/>
      <c r="G106" s="1438"/>
      <c r="I106" s="1416"/>
      <c r="J106" s="2492"/>
      <c r="N106" s="1508"/>
      <c r="O106" s="1509"/>
    </row>
    <row r="107" spans="1:15" ht="14.5" thickBot="1">
      <c r="G107" s="1488"/>
      <c r="I107" s="1416"/>
      <c r="J107" s="2492"/>
    </row>
    <row r="108" spans="1:15" ht="14.5" thickTop="1">
      <c r="A108" s="1510" t="s">
        <v>2318</v>
      </c>
      <c r="B108" s="1511"/>
      <c r="C108" s="1511"/>
      <c r="D108" s="1511"/>
      <c r="E108" s="1512"/>
      <c r="F108" s="1513"/>
      <c r="G108" s="1512"/>
      <c r="H108" s="1512"/>
      <c r="I108" s="1514"/>
      <c r="J108" s="2504"/>
    </row>
    <row r="109" spans="1:15">
      <c r="A109" s="1515"/>
      <c r="B109" s="1488"/>
      <c r="C109" s="1488"/>
      <c r="D109" s="1488"/>
      <c r="E109" s="1488"/>
      <c r="F109" s="1516"/>
      <c r="G109" s="1488"/>
      <c r="H109" s="1488"/>
      <c r="I109" s="2080"/>
      <c r="J109" s="2505"/>
    </row>
    <row r="110" spans="1:15">
      <c r="A110" s="1518" t="s">
        <v>7444</v>
      </c>
      <c r="B110" s="1488"/>
      <c r="C110" s="1488"/>
      <c r="D110" s="1488"/>
      <c r="E110" s="1488"/>
      <c r="F110" s="1519" t="e">
        <f>IF(F98&lt;0,F99,F98+F99)</f>
        <v>#REF!</v>
      </c>
      <c r="G110" s="1488"/>
      <c r="H110" s="1488"/>
      <c r="I110" s="2052" t="e">
        <f>IF(I98&lt;0,I99,I98+I99)</f>
        <v>#DIV/0!</v>
      </c>
      <c r="J110" s="2506" t="e">
        <f>IF(J98&lt;0,J99,J98+J99)</f>
        <v>#DIV/0!</v>
      </c>
    </row>
    <row r="111" spans="1:15">
      <c r="A111" s="1521" t="s">
        <v>7445</v>
      </c>
      <c r="B111" s="1488"/>
      <c r="C111" s="1488"/>
      <c r="D111" s="1488"/>
      <c r="E111" s="1488"/>
      <c r="F111" s="1522" t="e">
        <f>'Calc Data'!E30-#REF!</f>
        <v>#REF!</v>
      </c>
      <c r="G111" s="1488"/>
      <c r="H111" s="1488"/>
      <c r="I111" s="2081">
        <f>'Data Entry - SOF'!E75</f>
        <v>0</v>
      </c>
      <c r="J111" s="2507" t="e">
        <f>'Data Entry - SOF'!E78</f>
        <v>#DIV/0!</v>
      </c>
    </row>
    <row r="112" spans="1:15">
      <c r="A112" s="1521" t="s">
        <v>7446</v>
      </c>
      <c r="B112" s="1488"/>
      <c r="C112" s="1488"/>
      <c r="D112" s="1488"/>
      <c r="E112" s="1488"/>
      <c r="F112" s="1522" t="e">
        <f>'Calc Data'!E34</f>
        <v>#REF!</v>
      </c>
      <c r="G112" s="1488"/>
      <c r="H112" s="1488"/>
      <c r="I112" s="2081" t="e">
        <f>I74+I82</f>
        <v>#DIV/0!</v>
      </c>
      <c r="J112" s="2507" t="e">
        <f>J74+J82</f>
        <v>#DIV/0!</v>
      </c>
    </row>
    <row r="113" spans="1:10">
      <c r="A113" s="1521"/>
      <c r="B113" s="1488"/>
      <c r="C113" s="1488"/>
      <c r="D113" s="1488"/>
      <c r="E113" s="1488"/>
      <c r="F113" s="2082" t="e">
        <f>'Calc Data'!E37-IF(#REF!="N",MAX(#REF!,#REF!),MIN(#REF!,#REF!))</f>
        <v>#REF!</v>
      </c>
      <c r="G113" s="1488"/>
      <c r="H113" s="1488"/>
      <c r="I113" s="2081"/>
      <c r="J113" s="2507"/>
    </row>
    <row r="114" spans="1:10">
      <c r="A114" s="1521" t="s">
        <v>7660</v>
      </c>
      <c r="B114" s="1488"/>
      <c r="C114" s="1488"/>
      <c r="D114" s="1488"/>
      <c r="E114" s="1488"/>
      <c r="F114" s="2083" t="e">
        <f>SUM(F110:F113)</f>
        <v>#REF!</v>
      </c>
      <c r="G114" s="1488"/>
      <c r="H114" s="1488"/>
      <c r="I114" s="2084" t="e">
        <f>I110+I111-I112-'Data Entry - SOF'!E116</f>
        <v>#DIV/0!</v>
      </c>
      <c r="J114" s="2508" t="e">
        <f>J110+J111-J112-'Data Entry - SOF'!E116</f>
        <v>#DIV/0!</v>
      </c>
    </row>
    <row r="115" spans="1:10">
      <c r="A115" s="1521" t="s">
        <v>8696</v>
      </c>
      <c r="B115" s="1488"/>
      <c r="C115" s="1488"/>
      <c r="D115" s="1488"/>
      <c r="E115" s="1488"/>
      <c r="F115" s="1519"/>
      <c r="G115" s="1488"/>
      <c r="H115" s="1488"/>
      <c r="I115" s="2053" t="s">
        <v>1678</v>
      </c>
      <c r="J115" s="2509" t="s">
        <v>1678</v>
      </c>
    </row>
    <row r="116" spans="1:10">
      <c r="A116" s="1521" t="s">
        <v>8697</v>
      </c>
      <c r="B116" s="1488"/>
      <c r="C116" s="1488"/>
      <c r="D116" s="1488"/>
      <c r="E116" s="1488"/>
      <c r="F116" s="1519"/>
      <c r="G116" s="1488"/>
      <c r="H116" s="1488"/>
      <c r="I116" s="2052" t="e">
        <f>I114</f>
        <v>#DIV/0!</v>
      </c>
      <c r="J116" s="2506" t="e">
        <f>J114</f>
        <v>#DIV/0!</v>
      </c>
    </row>
    <row r="117" spans="1:10">
      <c r="A117" s="1527" t="s">
        <v>7461</v>
      </c>
      <c r="B117" s="1528"/>
      <c r="C117" s="1528"/>
      <c r="D117" s="1528"/>
      <c r="E117" s="1528"/>
      <c r="F117" s="2085" t="e">
        <f>IF(F98&gt;0,0,F98)</f>
        <v>#REF!</v>
      </c>
      <c r="G117" s="1528"/>
      <c r="H117" s="2067"/>
      <c r="I117" s="2081" t="e">
        <f>I174</f>
        <v>#DIV/0!</v>
      </c>
      <c r="J117" s="2507">
        <f>J174</f>
        <v>0</v>
      </c>
    </row>
    <row r="118" spans="1:10">
      <c r="A118" s="1527" t="s">
        <v>7462</v>
      </c>
      <c r="B118" s="1528"/>
      <c r="C118" s="1528"/>
      <c r="D118" s="1528"/>
      <c r="E118" s="1528"/>
      <c r="F118" s="1530"/>
      <c r="G118" s="1528"/>
      <c r="H118" s="2067"/>
      <c r="I118" s="2081">
        <f>'Data Entry - SOF'!C136*0.4</f>
        <v>0</v>
      </c>
      <c r="J118" s="2507">
        <f>'Data Entry - SOF'!C136*0.4</f>
        <v>0</v>
      </c>
    </row>
    <row r="119" spans="1:10">
      <c r="A119" s="1531"/>
      <c r="B119" s="1452"/>
      <c r="C119" s="1452"/>
      <c r="D119" s="1452"/>
      <c r="E119" s="1452"/>
      <c r="F119" s="1532"/>
      <c r="G119" s="1452"/>
      <c r="H119" s="1488"/>
      <c r="I119" s="2081"/>
      <c r="J119" s="2507"/>
    </row>
    <row r="120" spans="1:10">
      <c r="A120" s="2078" t="s">
        <v>7659</v>
      </c>
      <c r="B120" s="2073"/>
      <c r="C120" s="2073"/>
      <c r="D120" s="2073"/>
      <c r="E120" s="2073"/>
      <c r="F120" s="2074" t="e">
        <f>F114+F117</f>
        <v>#REF!</v>
      </c>
      <c r="G120" s="2073"/>
      <c r="H120" s="2075"/>
      <c r="I120" s="2072" t="e">
        <f>I114+I117+I118</f>
        <v>#DIV/0!</v>
      </c>
      <c r="J120" s="2510" t="e">
        <f>J114+J117+J118</f>
        <v>#DIV/0!</v>
      </c>
    </row>
    <row r="121" spans="1:10" ht="14.5" thickBot="1">
      <c r="A121" s="1533"/>
      <c r="B121" s="1534"/>
      <c r="C121" s="1534"/>
      <c r="D121" s="1534"/>
      <c r="E121" s="1534"/>
      <c r="F121" s="1534"/>
      <c r="G121" s="2086"/>
      <c r="H121" s="1534"/>
      <c r="I121" s="1536"/>
      <c r="J121" s="2511"/>
    </row>
    <row r="122" spans="1:10" ht="14.5" thickTop="1">
      <c r="D122" s="1415" t="s">
        <v>1159</v>
      </c>
      <c r="E122" s="1415"/>
      <c r="F122" s="1415"/>
      <c r="H122" s="1425">
        <f>H117+H120</f>
        <v>0</v>
      </c>
      <c r="I122" s="1416"/>
      <c r="J122" s="1537"/>
    </row>
    <row r="123" spans="1:10">
      <c r="D123" s="1415" t="s">
        <v>443</v>
      </c>
      <c r="E123" s="1415"/>
      <c r="F123" s="1415"/>
      <c r="I123" s="1416"/>
      <c r="J123" s="1538"/>
    </row>
    <row r="124" spans="1:10">
      <c r="D124" s="1415" t="s">
        <v>444</v>
      </c>
      <c r="I124" s="1416"/>
    </row>
    <row r="125" spans="1:10">
      <c r="D125" s="1415" t="s">
        <v>957</v>
      </c>
      <c r="I125" s="1416"/>
    </row>
    <row r="126" spans="1:10">
      <c r="D126" s="1415" t="s">
        <v>606</v>
      </c>
      <c r="I126" s="1416"/>
    </row>
    <row r="127" spans="1:10">
      <c r="D127" s="1415" t="s">
        <v>607</v>
      </c>
      <c r="I127" s="1416"/>
    </row>
    <row r="128" spans="1:10">
      <c r="D128" s="1415"/>
      <c r="I128" s="1416"/>
    </row>
    <row r="129" spans="1:10">
      <c r="I129" s="1416"/>
    </row>
    <row r="130" spans="1:10">
      <c r="I130" s="1416"/>
    </row>
    <row r="131" spans="1:10">
      <c r="I131" s="1416"/>
    </row>
    <row r="132" spans="1:10">
      <c r="A132" s="1372" t="s">
        <v>1573</v>
      </c>
      <c r="G132" s="1388"/>
      <c r="I132" s="1416"/>
    </row>
    <row r="133" spans="1:10">
      <c r="G133" s="1388"/>
      <c r="I133" s="1416"/>
    </row>
    <row r="134" spans="1:10">
      <c r="A134" s="1372" t="s">
        <v>1404</v>
      </c>
      <c r="G134" s="1388"/>
      <c r="H134" s="1388"/>
      <c r="I134" s="1416"/>
      <c r="J134" s="1388"/>
    </row>
    <row r="135" spans="1:10">
      <c r="A135" s="1372" t="s">
        <v>1405</v>
      </c>
      <c r="H135" s="1388"/>
      <c r="I135" s="1416"/>
      <c r="J135" s="1388"/>
    </row>
    <row r="136" spans="1:10">
      <c r="A136" s="1372" t="s">
        <v>486</v>
      </c>
      <c r="H136" s="1388"/>
      <c r="I136" s="1416"/>
      <c r="J136" s="1388"/>
    </row>
    <row r="137" spans="1:10">
      <c r="A137" s="1372" t="s">
        <v>487</v>
      </c>
      <c r="I137" s="1416"/>
    </row>
    <row r="138" spans="1:10">
      <c r="A138" s="1372" t="s">
        <v>955</v>
      </c>
      <c r="I138" s="1416"/>
    </row>
    <row r="139" spans="1:10">
      <c r="A139" s="1372" t="s">
        <v>956</v>
      </c>
      <c r="I139" s="1416"/>
    </row>
    <row r="140" spans="1:10">
      <c r="A140" s="1399" t="s">
        <v>1692</v>
      </c>
      <c r="I140" s="1416"/>
    </row>
    <row r="141" spans="1:10">
      <c r="I141" s="1416"/>
    </row>
    <row r="142" spans="1:10">
      <c r="A142" s="1372" t="s">
        <v>60</v>
      </c>
      <c r="I142" s="1416"/>
    </row>
    <row r="143" spans="1:10">
      <c r="A143" s="1372" t="s">
        <v>1599</v>
      </c>
      <c r="I143" s="1416"/>
    </row>
    <row r="144" spans="1:10">
      <c r="A144" s="1372" t="s">
        <v>1600</v>
      </c>
      <c r="I144" s="1416"/>
    </row>
    <row r="145" spans="1:10">
      <c r="A145" s="1372" t="s">
        <v>1717</v>
      </c>
      <c r="I145" s="1416"/>
    </row>
    <row r="146" spans="1:10">
      <c r="I146" s="1416"/>
    </row>
    <row r="147" spans="1:10">
      <c r="A147" s="1372" t="s">
        <v>1718</v>
      </c>
      <c r="I147" s="1416"/>
    </row>
    <row r="148" spans="1:10">
      <c r="A148" s="1372" t="s">
        <v>1719</v>
      </c>
      <c r="I148" s="1416"/>
    </row>
    <row r="149" spans="1:10">
      <c r="A149" s="1372" t="s">
        <v>319</v>
      </c>
      <c r="I149" s="1416"/>
    </row>
    <row r="150" spans="1:10">
      <c r="A150" s="1372" t="s">
        <v>1720</v>
      </c>
      <c r="I150" s="1416"/>
    </row>
    <row r="151" spans="1:10">
      <c r="A151" s="1372" t="s">
        <v>317</v>
      </c>
      <c r="I151" s="1416"/>
    </row>
    <row r="152" spans="1:10">
      <c r="I152" s="1416"/>
    </row>
    <row r="153" spans="1:10">
      <c r="A153" s="1399" t="s">
        <v>318</v>
      </c>
      <c r="I153" s="1416"/>
    </row>
    <row r="154" spans="1:10">
      <c r="I154" s="1416"/>
    </row>
    <row r="155" spans="1:10">
      <c r="I155" s="1416"/>
    </row>
    <row r="156" spans="1:10">
      <c r="I156" s="1416"/>
    </row>
    <row r="157" spans="1:10">
      <c r="E157" s="1373" t="s">
        <v>2598</v>
      </c>
      <c r="F157" s="1509" t="e">
        <f>SUM(F22:F28)</f>
        <v>#REF!</v>
      </c>
      <c r="H157" s="1509">
        <f>SUM(H22:H28)</f>
        <v>0</v>
      </c>
      <c r="I157" s="1539">
        <f>SUM(I22:I28)</f>
        <v>0</v>
      </c>
    </row>
    <row r="158" spans="1:10">
      <c r="E158" s="1373" t="s">
        <v>2599</v>
      </c>
      <c r="F158" s="1509" t="e">
        <f>F29+F32</f>
        <v>#REF!</v>
      </c>
      <c r="H158" s="1509">
        <f>H29+H32</f>
        <v>0</v>
      </c>
      <c r="I158" s="1540">
        <f>I29+I32</f>
        <v>0</v>
      </c>
    </row>
    <row r="159" spans="1:10">
      <c r="E159" s="1373" t="s">
        <v>2600</v>
      </c>
      <c r="F159" s="1509" t="e">
        <f>F33+F34</f>
        <v>#REF!</v>
      </c>
      <c r="H159" s="1509">
        <f>H33+H34</f>
        <v>0</v>
      </c>
      <c r="I159" s="1540">
        <f>I33+I34</f>
        <v>0</v>
      </c>
      <c r="J159" s="1509"/>
    </row>
    <row r="160" spans="1:10">
      <c r="E160" s="1373" t="s">
        <v>2601</v>
      </c>
      <c r="F160" s="1509" t="e">
        <f>F35+F42</f>
        <v>#REF!</v>
      </c>
      <c r="H160" s="1509">
        <f>H35+H42</f>
        <v>0</v>
      </c>
      <c r="I160" s="1540" t="e">
        <f>SUM(#REF!)</f>
        <v>#REF!</v>
      </c>
      <c r="J160" s="1509"/>
    </row>
    <row r="161" spans="4:10">
      <c r="E161" s="1373" t="s">
        <v>2648</v>
      </c>
      <c r="F161" s="1473" t="e">
        <f>Assumptions!G119*'Calc Data'!E25*'Calc Data'!E35*100</f>
        <v>#REF!</v>
      </c>
      <c r="H161" s="1473" t="e">
        <f>Assumptions!G119*'Calc Data'!E25*'Calc Data'!E35*100</f>
        <v>#REF!</v>
      </c>
      <c r="I161" s="1541" t="e">
        <f>Assumptions!H119*L61*'Calc Data'!D105*100</f>
        <v>#DIV/0!</v>
      </c>
      <c r="J161" s="1509"/>
    </row>
    <row r="162" spans="4:10">
      <c r="E162" s="1373" t="s">
        <v>2650</v>
      </c>
      <c r="F162" s="1473" t="e">
        <f>Assumptions!G120*'Calc Data'!E25*'Calc Data'!E38*100</f>
        <v>#REF!</v>
      </c>
      <c r="H162" s="1473" t="e">
        <f>Assumptions!G120*'Calc Data'!E25*'Calc Data'!AW29*100</f>
        <v>#REF!</v>
      </c>
      <c r="I162" s="1541" t="e">
        <f>Assumptions!H120*L61*'Calc Data'!D110*100</f>
        <v>#DIV/0!</v>
      </c>
      <c r="J162" s="1509"/>
    </row>
    <row r="163" spans="4:10">
      <c r="E163" s="1373" t="s">
        <v>7437</v>
      </c>
      <c r="I163" s="1542">
        <f>I43+I44+I45</f>
        <v>0</v>
      </c>
      <c r="J163" s="1473"/>
    </row>
    <row r="164" spans="4:10">
      <c r="I164" s="1509"/>
      <c r="J164" s="1473"/>
    </row>
    <row r="166" spans="4:10">
      <c r="D166" s="2087"/>
      <c r="E166" s="2088"/>
      <c r="F166" s="2088"/>
      <c r="G166" s="2092"/>
      <c r="H166" s="2091" t="s">
        <v>8706</v>
      </c>
    </row>
    <row r="167" spans="4:10">
      <c r="H167" s="1543" t="s">
        <v>7650</v>
      </c>
    </row>
    <row r="168" spans="4:10">
      <c r="E168" s="1415"/>
      <c r="F168" s="1415"/>
      <c r="H168" s="1544" t="s">
        <v>9189</v>
      </c>
      <c r="I168" s="1548">
        <f>MAX('Data Entry - SOF'!C145,'Data Entry - SOF'!C146)</f>
        <v>0</v>
      </c>
    </row>
    <row r="169" spans="4:10">
      <c r="E169" s="1415"/>
      <c r="F169" s="1415"/>
      <c r="H169" s="1544" t="s">
        <v>9190</v>
      </c>
      <c r="I169" s="1549">
        <f>'Data Entry - SOF'!C146</f>
        <v>0</v>
      </c>
    </row>
    <row r="170" spans="4:10">
      <c r="E170" s="1415"/>
      <c r="F170" s="1415"/>
      <c r="H170" s="1544" t="s">
        <v>9188</v>
      </c>
      <c r="I170" s="1549">
        <f>MAX(I168,I169)</f>
        <v>0</v>
      </c>
    </row>
    <row r="171" spans="4:10">
      <c r="E171" s="1415"/>
      <c r="F171" s="1415"/>
      <c r="H171" s="1544" t="s">
        <v>7753</v>
      </c>
      <c r="I171" s="1550" t="e">
        <f>(I114+I118)/'Data Entry - SOF'!E19</f>
        <v>#DIV/0!</v>
      </c>
    </row>
    <row r="172" spans="4:10">
      <c r="H172" s="2095" t="s">
        <v>7631</v>
      </c>
      <c r="I172" s="1546" t="e">
        <f>IF(I170-I171&lt;=0,0,I170-I171)</f>
        <v>#DIV/0!</v>
      </c>
    </row>
    <row r="173" spans="4:10">
      <c r="H173" s="1551" t="s">
        <v>7754</v>
      </c>
      <c r="I173" s="1552">
        <f>'Data Entry - SOF'!E19</f>
        <v>0</v>
      </c>
    </row>
    <row r="174" spans="4:10">
      <c r="H174" s="1551" t="s">
        <v>7461</v>
      </c>
      <c r="I174" s="1553" t="e">
        <f>I172*I173</f>
        <v>#DIV/0!</v>
      </c>
    </row>
    <row r="177" spans="8:13">
      <c r="H177" s="1551" t="s">
        <v>7752</v>
      </c>
    </row>
    <row r="178" spans="8:13">
      <c r="J178" s="1554"/>
      <c r="M178" s="1555"/>
    </row>
    <row r="188" spans="8:13">
      <c r="H188" s="1379" t="s">
        <v>8283</v>
      </c>
      <c r="I188" s="1769" t="e">
        <f>Assumptions!H146*L61*'Calc Data'!E105*100</f>
        <v>#DIV/0!</v>
      </c>
      <c r="J188" s="1771" t="e">
        <f>Assumptions!H146*L61*'Calc Data'!O105*100</f>
        <v>#DIV/0!</v>
      </c>
    </row>
    <row r="189" spans="8:13">
      <c r="H189" s="1379" t="s">
        <v>8284</v>
      </c>
      <c r="I189" s="1769" t="e">
        <f>'Calc Data'!E106</f>
        <v>#DIV/0!</v>
      </c>
      <c r="J189" s="1771" t="e">
        <f>'Calc Data'!O106</f>
        <v>#DIV/0!</v>
      </c>
    </row>
    <row r="191" spans="8:13">
      <c r="H191" s="1379" t="s">
        <v>8288</v>
      </c>
      <c r="I191" s="1769" t="e">
        <f>Assumptions!H147*L61*'Calc Data'!E110*100</f>
        <v>#DIV/0!</v>
      </c>
      <c r="J191" s="1771" t="e">
        <f>Assumptions!H147*L61*'Calc Data'!O110*100</f>
        <v>#DIV/0!</v>
      </c>
    </row>
    <row r="192" spans="8:13">
      <c r="H192" s="1379" t="s">
        <v>8289</v>
      </c>
      <c r="I192" s="1769" t="e">
        <f>'Calc Data'!E111</f>
        <v>#DIV/0!</v>
      </c>
      <c r="J192" s="1771" t="e">
        <f>'Calc Data'!O111</f>
        <v>#DIV/0!</v>
      </c>
    </row>
  </sheetData>
  <pageMargins left="0.7" right="0.7" top="0.75" bottom="0.75" header="0.3" footer="0.3"/>
  <pageSetup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3" tint="0.79998168889431442"/>
  </sheetPr>
  <dimension ref="A1:AL199"/>
  <sheetViews>
    <sheetView topLeftCell="A102" workbookViewId="0">
      <selection activeCell="I118" sqref="I118"/>
    </sheetView>
  </sheetViews>
  <sheetFormatPr defaultColWidth="8.7265625" defaultRowHeight="14"/>
  <cols>
    <col min="1" max="1" width="10.54296875" style="1373" bestFit="1" customWidth="1"/>
    <col min="2" max="2" width="8.7265625" style="1373"/>
    <col min="3" max="3" width="13.54296875" style="1373" customWidth="1"/>
    <col min="4" max="4" width="44.54296875" style="1373" customWidth="1"/>
    <col min="5" max="5" width="19.1796875" style="1373" customWidth="1"/>
    <col min="6" max="6" width="19.1796875" style="1373" hidden="1" customWidth="1"/>
    <col min="7" max="7" width="6.453125" style="1373" customWidth="1"/>
    <col min="8" max="8" width="3" style="1373" customWidth="1"/>
    <col min="9" max="9" width="24.1796875" style="1373" customWidth="1"/>
    <col min="10" max="10" width="31.08984375" style="1373" customWidth="1"/>
    <col min="11" max="11" width="31.453125" style="1373" customWidth="1"/>
    <col min="12" max="12" width="15.54296875" style="1373" customWidth="1"/>
    <col min="13" max="13" width="15.54296875" style="1378" customWidth="1"/>
    <col min="14" max="14" width="23.81640625" style="1373" customWidth="1"/>
    <col min="15" max="15" width="15.54296875" style="1379" hidden="1" customWidth="1"/>
    <col min="16" max="16" width="13.54296875" style="1373" customWidth="1"/>
    <col min="17" max="37" width="8.7265625" style="1373"/>
    <col min="38" max="38" width="15.54296875" style="1373" customWidth="1"/>
    <col min="39" max="39" width="16" style="1373" customWidth="1"/>
    <col min="40" max="16384" width="8.7265625" style="1373"/>
  </cols>
  <sheetData>
    <row r="1" spans="1:11" hidden="1">
      <c r="A1" s="1372" t="s">
        <v>64</v>
      </c>
      <c r="C1" s="1374" t="str">
        <f>'Data Entry - SOF'!B1</f>
        <v xml:space="preserve"> </v>
      </c>
      <c r="E1" s="1375"/>
      <c r="F1" s="1376" t="e">
        <f>#REF!</f>
        <v>#REF!</v>
      </c>
      <c r="G1" s="1377"/>
      <c r="J1" s="1377"/>
      <c r="K1" s="1377"/>
    </row>
    <row r="2" spans="1:11" hidden="1">
      <c r="A2" s="1372" t="s">
        <v>65</v>
      </c>
      <c r="C2" s="1380">
        <f>'Data Entry - SOF'!B2</f>
        <v>0</v>
      </c>
      <c r="F2" s="1377" t="e">
        <f>#REF!</f>
        <v>#REF!</v>
      </c>
      <c r="G2" s="1377"/>
      <c r="J2" s="1377"/>
      <c r="K2" s="1377"/>
    </row>
    <row r="3" spans="1:11" hidden="1">
      <c r="A3" s="1372" t="s">
        <v>134</v>
      </c>
      <c r="C3" s="1381">
        <f ca="1">'Data Entry - SOF'!B3</f>
        <v>44931.882496064813</v>
      </c>
      <c r="F3" s="1382" t="e">
        <f>#REF!</f>
        <v>#REF!</v>
      </c>
    </row>
    <row r="4" spans="1:11" hidden="1">
      <c r="D4" s="1383" t="s">
        <v>2821</v>
      </c>
    </row>
    <row r="5" spans="1:11" hidden="1">
      <c r="D5" s="1384" t="s">
        <v>2840</v>
      </c>
    </row>
    <row r="6" spans="1:11" hidden="1"/>
    <row r="7" spans="1:11" hidden="1">
      <c r="D7" s="1372" t="s">
        <v>1308</v>
      </c>
    </row>
    <row r="8" spans="1:11" hidden="1">
      <c r="B8" s="1385"/>
      <c r="D8" s="1372" t="s">
        <v>786</v>
      </c>
      <c r="F8" s="1386">
        <f>'Calc Data'!F7</f>
        <v>0</v>
      </c>
      <c r="G8" s="1387"/>
      <c r="J8" s="1387"/>
      <c r="K8" s="1387"/>
    </row>
    <row r="9" spans="1:11" hidden="1">
      <c r="D9" s="1372" t="s">
        <v>1309</v>
      </c>
      <c r="F9" s="1386">
        <f>'Calc Data'!F8</f>
        <v>0</v>
      </c>
      <c r="G9" s="1387"/>
      <c r="J9" s="1387"/>
      <c r="K9" s="1387"/>
    </row>
    <row r="10" spans="1:11" hidden="1">
      <c r="D10" s="1372" t="s">
        <v>404</v>
      </c>
      <c r="F10" s="1386" t="e">
        <f>'Data Entry - SOF'!#REF!</f>
        <v>#REF!</v>
      </c>
      <c r="G10" s="1387"/>
      <c r="J10" s="1387"/>
      <c r="K10" s="1387"/>
    </row>
    <row r="11" spans="1:11" hidden="1">
      <c r="B11" s="1372"/>
      <c r="D11" s="1372" t="s">
        <v>405</v>
      </c>
      <c r="F11" s="1386" t="e">
        <f>'Calc Data'!F10</f>
        <v>#REF!</v>
      </c>
      <c r="G11" s="1387"/>
      <c r="J11" s="1387"/>
      <c r="K11" s="1387"/>
    </row>
    <row r="12" spans="1:11" hidden="1">
      <c r="D12" s="1372" t="s">
        <v>406</v>
      </c>
      <c r="F12" s="1388">
        <f>'Data Entry - SOF'!G63</f>
        <v>0</v>
      </c>
      <c r="G12" s="1388"/>
      <c r="J12" s="1388"/>
      <c r="K12" s="1388"/>
    </row>
    <row r="13" spans="1:11" hidden="1">
      <c r="D13" s="1372" t="s">
        <v>407</v>
      </c>
      <c r="F13" s="1388" t="e">
        <f>'Data Entry - SOF'!#REF!</f>
        <v>#REF!</v>
      </c>
      <c r="G13" s="1388"/>
      <c r="J13" s="1388"/>
      <c r="K13" s="1388"/>
    </row>
    <row r="14" spans="1:11" hidden="1">
      <c r="D14" s="1372" t="s">
        <v>1711</v>
      </c>
      <c r="F14" s="1386" t="e">
        <f>'Data Entry - SOF'!G128</f>
        <v>#REF!</v>
      </c>
      <c r="G14" s="1388"/>
      <c r="J14" s="1388"/>
      <c r="K14" s="1388"/>
    </row>
    <row r="15" spans="1:11" hidden="1">
      <c r="D15" s="1372" t="s">
        <v>1085</v>
      </c>
      <c r="F15" s="1386" t="e">
        <f>'Calc Data'!F59</f>
        <v>#REF!</v>
      </c>
      <c r="G15" s="1389"/>
      <c r="J15" s="1389"/>
      <c r="K15" s="1389"/>
    </row>
    <row r="16" spans="1:11" hidden="1">
      <c r="D16" s="1372" t="s">
        <v>1849</v>
      </c>
      <c r="F16" s="1388" t="e">
        <f>'Data Entry - SOF'!#REF!</f>
        <v>#REF!</v>
      </c>
      <c r="G16" s="1388"/>
      <c r="J16" s="1388"/>
      <c r="K16" s="1388"/>
    </row>
    <row r="17" spans="2:38" ht="14.5" hidden="1" thickBot="1">
      <c r="D17" s="1390"/>
      <c r="E17" s="1391"/>
      <c r="F17" s="1391"/>
      <c r="G17" s="1388"/>
      <c r="J17" s="1388"/>
      <c r="K17" s="1388"/>
    </row>
    <row r="18" spans="2:38">
      <c r="D18" s="1372"/>
      <c r="G18" s="1388"/>
      <c r="I18" s="1392" t="s">
        <v>7037</v>
      </c>
      <c r="J18" s="2466" t="s">
        <v>10725</v>
      </c>
      <c r="K18" s="2668" t="s">
        <v>10726</v>
      </c>
    </row>
    <row r="19" spans="2:38">
      <c r="B19" s="1394" t="s">
        <v>408</v>
      </c>
      <c r="D19" s="1372"/>
      <c r="F19" s="1395" t="s">
        <v>3315</v>
      </c>
      <c r="G19" s="1372"/>
      <c r="I19" s="1396" t="s">
        <v>7427</v>
      </c>
      <c r="J19" s="1687" t="s">
        <v>10727</v>
      </c>
      <c r="K19" s="2669" t="s">
        <v>10728</v>
      </c>
    </row>
    <row r="20" spans="2:38">
      <c r="B20" s="1394">
        <v>11</v>
      </c>
      <c r="C20" s="1379" t="s">
        <v>7438</v>
      </c>
      <c r="D20" s="1399" t="s">
        <v>2817</v>
      </c>
      <c r="F20" s="1400" t="e">
        <f>ROUND(ROUND('Calc Data'!F23,0)*IF('Calc Data'!F11&gt;'Calc Data'!F10,'Calc Data'!F11,'Calc Data'!F10),0)</f>
        <v>#REF!</v>
      </c>
      <c r="G20" s="1388"/>
      <c r="I20" s="2476" t="e">
        <f>ROUND(Assumptions!H154*IF('Calc Data'!F12&gt;'Calc Data'!F11,'Calc Data'!F12,'Calc Data'!F11),0)</f>
        <v>#DIV/0!</v>
      </c>
      <c r="J20" s="2485" t="e">
        <f>I20</f>
        <v>#DIV/0!</v>
      </c>
      <c r="K20" s="2773" t="e">
        <f>I20</f>
        <v>#DIV/0!</v>
      </c>
      <c r="AL20" s="1388" t="e">
        <f>ROUND(ROUND('Calc Data'!AA23,0)*IF('Calc Data'!#REF!&gt;'Calc Data'!#REF!,'Calc Data'!#REF!,'Calc Data'!#REF!),0)</f>
        <v>#REF!</v>
      </c>
    </row>
    <row r="21" spans="2:38">
      <c r="B21" s="1394"/>
      <c r="C21" s="1404" t="s">
        <v>7439</v>
      </c>
      <c r="D21" s="1405" t="s">
        <v>7431</v>
      </c>
      <c r="E21" s="1406"/>
      <c r="F21" s="1407"/>
      <c r="G21" s="1408"/>
      <c r="H21" s="1408"/>
      <c r="I21" s="2476">
        <f>MAX('Calc Data'!F97,'Calc Data'!F99)</f>
        <v>0</v>
      </c>
      <c r="J21" s="2486">
        <f t="shared" ref="J21:J61" si="0">I21</f>
        <v>0</v>
      </c>
      <c r="K21" s="2773">
        <f t="shared" ref="K21:K60" si="1">I21</f>
        <v>0</v>
      </c>
      <c r="AL21" s="1388"/>
    </row>
    <row r="22" spans="2:38">
      <c r="B22" s="1394">
        <v>23</v>
      </c>
      <c r="C22" s="1379" t="s">
        <v>7439</v>
      </c>
      <c r="D22" s="1372" t="s">
        <v>7455</v>
      </c>
      <c r="F22" s="1388" t="e">
        <f>ROUND('Calc Data'!F9*ROUND('Calc Data'!F23,0),0)</f>
        <v>#REF!</v>
      </c>
      <c r="G22" s="1388"/>
      <c r="I22" s="2477" t="e">
        <f>ROUND('Calc Data'!F9*(Assumptions!H154+'Calc Data'!F96),0)</f>
        <v>#DIV/0!</v>
      </c>
      <c r="J22" s="2486" t="e">
        <f t="shared" si="0"/>
        <v>#DIV/0!</v>
      </c>
      <c r="K22" s="2773" t="e">
        <f t="shared" si="1"/>
        <v>#DIV/0!</v>
      </c>
      <c r="AL22" s="1388" t="e">
        <f>ROUND('Calc Data'!#REF!*ROUND('Calc Data'!AA23,0),0)</f>
        <v>#REF!</v>
      </c>
    </row>
    <row r="23" spans="2:38">
      <c r="B23" s="1394"/>
      <c r="C23" s="1379" t="s">
        <v>7439</v>
      </c>
      <c r="D23" s="1372" t="s">
        <v>87</v>
      </c>
      <c r="F23" s="1415"/>
      <c r="I23" s="2478"/>
      <c r="J23" s="2486">
        <f t="shared" si="0"/>
        <v>0</v>
      </c>
      <c r="K23" s="2773">
        <f t="shared" si="1"/>
        <v>0</v>
      </c>
    </row>
    <row r="24" spans="2:38">
      <c r="B24" s="1394">
        <v>23</v>
      </c>
      <c r="C24" s="1379" t="s">
        <v>7439</v>
      </c>
      <c r="D24" s="1372" t="s">
        <v>88</v>
      </c>
      <c r="F24" s="1418" t="e">
        <f>ROUND('Data Entry - SOF'!G32*Weights!O21*ROUND('Calc Data'!F23,0),0)</f>
        <v>#REF!</v>
      </c>
      <c r="G24" s="1418"/>
      <c r="I24" s="2479">
        <f>IF('Data Entry - SOF'!G32=0,0,ROUND('Data Entry - SOF'!G32*'Weights-HB3'!K18*(Assumptions!H154+'Calc Data'!F96),0))</f>
        <v>0</v>
      </c>
      <c r="J24" s="2486">
        <f t="shared" si="0"/>
        <v>0</v>
      </c>
      <c r="K24" s="2773">
        <f t="shared" si="1"/>
        <v>0</v>
      </c>
      <c r="AL24" s="1418" t="e">
        <f>ROUND('Data Entry - SOF'!#REF!*1.1*ROUND('Calc Data'!AA23,0),0)</f>
        <v>#REF!</v>
      </c>
    </row>
    <row r="25" spans="2:38">
      <c r="B25" s="1394">
        <v>23</v>
      </c>
      <c r="C25" s="1379" t="s">
        <v>7439</v>
      </c>
      <c r="D25" s="1372" t="s">
        <v>89</v>
      </c>
      <c r="F25" s="1388" t="e">
        <f>ROUND((+'Data Entry - SOF'!G31*Weights!O19)*ROUND('Calc Data'!F23,0),0)</f>
        <v>#REF!</v>
      </c>
      <c r="G25" s="1388"/>
      <c r="I25" s="2477">
        <f>IF('Data Entry - SOF'!G31=0,0,ROUND(('Data Entry - SOF'!G31*'Weights-HB3'!K16)*(Assumptions!H154+'Calc Data'!D96),0))</f>
        <v>0</v>
      </c>
      <c r="J25" s="2486">
        <f t="shared" si="0"/>
        <v>0</v>
      </c>
      <c r="K25" s="2773">
        <f t="shared" si="1"/>
        <v>0</v>
      </c>
      <c r="AL25" s="1388" t="e">
        <f>ROUND((+'Data Entry - SOF'!#REF!*4)*ROUND('Calc Data'!AA23,0),0)</f>
        <v>#REF!</v>
      </c>
    </row>
    <row r="26" spans="2:38">
      <c r="B26" s="1394">
        <v>23</v>
      </c>
      <c r="C26" s="1379" t="s">
        <v>7439</v>
      </c>
      <c r="D26" s="1421" t="s">
        <v>766</v>
      </c>
      <c r="F26" s="1388" t="e">
        <f>ROUND((+'Data Entry - SOF'!G29*Weights!O17)*ROUND('Calc Data'!F23,0),0)</f>
        <v>#REF!</v>
      </c>
      <c r="G26" s="1388"/>
      <c r="I26" s="2477">
        <f>IF('Data Entry - SOF'!G29=0,0,ROUND(('Data Entry - SOF'!G29*'Weights-HB3'!K14)*(Assumptions!H154+'Calc Data'!D96),0))</f>
        <v>0</v>
      </c>
      <c r="J26" s="2486">
        <f t="shared" si="0"/>
        <v>0</v>
      </c>
      <c r="K26" s="2773">
        <f t="shared" si="1"/>
        <v>0</v>
      </c>
      <c r="AL26" s="1388" t="e">
        <f>ROUND((+'Data Entry - SOF'!#REF!*2.8)*ROUND('Calc Data'!AA23,0),0)</f>
        <v>#REF!</v>
      </c>
    </row>
    <row r="27" spans="2:38">
      <c r="B27" s="1394">
        <v>23</v>
      </c>
      <c r="C27" s="1379" t="s">
        <v>7439</v>
      </c>
      <c r="D27" s="1421" t="s">
        <v>767</v>
      </c>
      <c r="F27" s="1388" t="e">
        <f>ROUND(('Data Entry - SOF'!G30*Weights!O18)*ROUND('Calc Data'!F23,0),0)</f>
        <v>#REF!</v>
      </c>
      <c r="G27" s="1388"/>
      <c r="I27" s="2477">
        <f>IF('Data Entry - SOF'!G30=0,0,ROUND(('Data Entry - SOF'!G30*'Weights-HB3'!K15)*(Assumptions!H154+'Calc Data'!D96),0))</f>
        <v>0</v>
      </c>
      <c r="J27" s="2486">
        <f t="shared" si="0"/>
        <v>0</v>
      </c>
      <c r="K27" s="2773">
        <f t="shared" si="1"/>
        <v>0</v>
      </c>
      <c r="AL27" s="1388" t="e">
        <f>ROUND(('Data Entry - SOF'!#REF!*1.7)*ROUND('Calc Data'!AA23,0),0)</f>
        <v>#REF!</v>
      </c>
    </row>
    <row r="28" spans="2:38">
      <c r="B28" s="1394"/>
      <c r="C28" s="1379" t="s">
        <v>7439</v>
      </c>
      <c r="D28" s="1372" t="s">
        <v>1075</v>
      </c>
      <c r="F28" s="1388" t="e">
        <f>IF('Data Entry - SOF'!#REF!&lt;0,'Data Entry - SOF'!#REF!,'Data Entry - SOF'!#REF!*-1)</f>
        <v>#REF!</v>
      </c>
      <c r="G28" s="1388"/>
      <c r="I28" s="2477">
        <f>IF('Data Entry - SOF'!G96&lt;0,'Data Entry - SOF'!G96,'Data Entry - SOF'!G96*-1)</f>
        <v>0</v>
      </c>
      <c r="J28" s="2486">
        <f t="shared" si="0"/>
        <v>0</v>
      </c>
      <c r="K28" s="2773">
        <f t="shared" si="1"/>
        <v>0</v>
      </c>
      <c r="AL28" s="1388">
        <v>0</v>
      </c>
    </row>
    <row r="29" spans="2:38">
      <c r="B29" s="1394">
        <v>22</v>
      </c>
      <c r="C29" s="1379" t="s">
        <v>7439</v>
      </c>
      <c r="D29" s="2174" t="s">
        <v>9043</v>
      </c>
      <c r="E29" s="1417"/>
      <c r="F29" s="2172" t="e">
        <f>ROUND(ROUND('Calc Data'!D23,0)*'Data Entry - SOF'!#REF!*Weights!M23,0)</f>
        <v>#REF!</v>
      </c>
      <c r="G29" s="2172"/>
      <c r="H29" s="1417"/>
      <c r="I29" s="2480" t="e">
        <f>ROUND((Assumptions!H154+'Calc Data'!F96)*'Data Entry - SOF'!G36*'Weights-HB3'!K21,0)</f>
        <v>#DIV/0!</v>
      </c>
      <c r="J29" s="2486" t="e">
        <f t="shared" si="0"/>
        <v>#DIV/0!</v>
      </c>
      <c r="K29" s="2773" t="e">
        <f t="shared" si="1"/>
        <v>#DIV/0!</v>
      </c>
      <c r="AL29" s="1388" t="e">
        <f>ROUND(ROUND('Calc Data'!AA23,0)*'Data Entry - SOF'!#REF!*1.35,0)</f>
        <v>#REF!</v>
      </c>
    </row>
    <row r="30" spans="2:38">
      <c r="B30" s="1394"/>
      <c r="C30" s="1379" t="s">
        <v>7439</v>
      </c>
      <c r="D30" s="2174" t="s">
        <v>9045</v>
      </c>
      <c r="E30" s="1417"/>
      <c r="F30" s="2172"/>
      <c r="G30" s="2172"/>
      <c r="H30" s="1417"/>
      <c r="I30" s="2480" t="e">
        <f>ROUND((Assumptions!H154+'Calc Data'!F96)*'Data Entry - SOF'!G37*'Weights-HB3'!K22,0)</f>
        <v>#DIV/0!</v>
      </c>
      <c r="J30" s="2486" t="e">
        <f t="shared" si="0"/>
        <v>#DIV/0!</v>
      </c>
      <c r="K30" s="2773" t="e">
        <f t="shared" si="1"/>
        <v>#DIV/0!</v>
      </c>
      <c r="AL30" s="1388"/>
    </row>
    <row r="31" spans="2:38">
      <c r="B31" s="1394"/>
      <c r="C31" s="1379" t="s">
        <v>7439</v>
      </c>
      <c r="D31" s="2174" t="s">
        <v>9044</v>
      </c>
      <c r="E31" s="1417"/>
      <c r="F31" s="2172"/>
      <c r="G31" s="2172"/>
      <c r="H31" s="1417"/>
      <c r="I31" s="2480" t="e">
        <f>ROUND((Assumptions!H154+'Calc Data'!F96)*'Data Entry - SOF'!G38*'Weights-HB3'!K23,0)</f>
        <v>#DIV/0!</v>
      </c>
      <c r="J31" s="2486" t="e">
        <f t="shared" si="0"/>
        <v>#DIV/0!</v>
      </c>
      <c r="K31" s="2773" t="e">
        <f t="shared" si="1"/>
        <v>#DIV/0!</v>
      </c>
      <c r="AL31" s="1388"/>
    </row>
    <row r="32" spans="2:38">
      <c r="B32" s="1394"/>
      <c r="C32" s="1379" t="s">
        <v>7439</v>
      </c>
      <c r="D32" s="2093" t="s">
        <v>9048</v>
      </c>
      <c r="E32" s="1417"/>
      <c r="F32" s="2172">
        <f>Weights!M24*'Data Entry - SOF'!C37</f>
        <v>0</v>
      </c>
      <c r="G32" s="2172"/>
      <c r="H32" s="1417"/>
      <c r="I32" s="2480">
        <f>ROUND('Weights-HB3'!K24*('Data Entry - SOF'!G39+'Data Entry - SOF'!G40),0)</f>
        <v>0</v>
      </c>
      <c r="J32" s="2486">
        <f t="shared" si="0"/>
        <v>0</v>
      </c>
      <c r="K32" s="2773">
        <f t="shared" si="1"/>
        <v>0</v>
      </c>
      <c r="AL32" s="1388"/>
    </row>
    <row r="33" spans="2:38">
      <c r="B33" s="1394">
        <v>21</v>
      </c>
      <c r="C33" s="1379" t="s">
        <v>7439</v>
      </c>
      <c r="D33" s="2174" t="s">
        <v>2642</v>
      </c>
      <c r="E33" s="1417"/>
      <c r="F33" s="2172" t="e">
        <f>ROUND(ROUND('Calc Data'!F23,0)*'Data Entry - SOF'!G189*Weights!O28,0)</f>
        <v>#REF!</v>
      </c>
      <c r="G33" s="2172"/>
      <c r="H33" s="1417"/>
      <c r="I33" s="2480" t="e">
        <f>ROUND(Assumptions!H154*'Data Entry - SOF'!G189*'Weights-HB3'!K31,0)</f>
        <v>#DIV/0!</v>
      </c>
      <c r="J33" s="2486" t="e">
        <f t="shared" si="0"/>
        <v>#DIV/0!</v>
      </c>
      <c r="K33" s="2773" t="e">
        <f t="shared" si="1"/>
        <v>#DIV/0!</v>
      </c>
      <c r="AL33" s="1388" t="e">
        <f>ROUND(ROUND('Calc Data'!AA23,0)*'Data Entry - SOF'!#REF!*0.12,0)</f>
        <v>#REF!</v>
      </c>
    </row>
    <row r="34" spans="2:38">
      <c r="B34" s="1394"/>
      <c r="C34" s="1379" t="s">
        <v>7439</v>
      </c>
      <c r="D34" s="1372" t="s">
        <v>376</v>
      </c>
      <c r="F34" s="1388" t="e">
        <f>IF('Data Entry - SOF'!#REF!&lt;0,'Data Entry - SOF'!#REF!,'Data Entry - SOF'!#REF!*-1)</f>
        <v>#REF!</v>
      </c>
      <c r="G34" s="1388"/>
      <c r="I34" s="2477">
        <f>IF('Data Entry - SOF'!G95&lt;0,'Data Entry - SOF'!G95,'Data Entry - SOF'!G95*-1)</f>
        <v>0</v>
      </c>
      <c r="J34" s="2486">
        <f t="shared" si="0"/>
        <v>0</v>
      </c>
      <c r="K34" s="2773">
        <f t="shared" si="1"/>
        <v>0</v>
      </c>
      <c r="AL34" s="1388">
        <v>0</v>
      </c>
    </row>
    <row r="35" spans="2:38">
      <c r="B35" s="1394" t="s">
        <v>2357</v>
      </c>
      <c r="C35" s="1404" t="s">
        <v>7439</v>
      </c>
      <c r="D35" s="1424" t="s">
        <v>2732</v>
      </c>
      <c r="E35" s="1406"/>
      <c r="F35" s="1408" t="e">
        <f>ROUND(ROUND('Calc Data'!F23,0)*'Data Entry - SOF'!#REF!*Weights!O30,0)</f>
        <v>#REF!</v>
      </c>
      <c r="G35" s="1408"/>
      <c r="H35" s="1408"/>
      <c r="I35" s="2481"/>
      <c r="J35" s="2486">
        <f t="shared" si="0"/>
        <v>0</v>
      </c>
      <c r="K35" s="2773">
        <f t="shared" si="1"/>
        <v>0</v>
      </c>
      <c r="AL35" s="1388" t="e">
        <f>ROUND(ROUND('Calc Data'!AA23,0)*'Data Entry - SOF'!#REF!*0.2,0)</f>
        <v>#REF!</v>
      </c>
    </row>
    <row r="36" spans="2:38">
      <c r="B36" s="1394"/>
      <c r="C36" s="1404" t="s">
        <v>7439</v>
      </c>
      <c r="D36" s="1405" t="s">
        <v>7465</v>
      </c>
      <c r="E36" s="1406"/>
      <c r="F36" s="1408"/>
      <c r="G36" s="1408"/>
      <c r="H36" s="1408"/>
      <c r="I36" s="2481" t="e">
        <f>ROUND(Assumptions!H154*'Data Entry - SOF'!G49*'Weights-HB3'!K34,0)</f>
        <v>#DIV/0!</v>
      </c>
      <c r="J36" s="2486" t="e">
        <f t="shared" si="0"/>
        <v>#DIV/0!</v>
      </c>
      <c r="K36" s="2773" t="e">
        <f t="shared" si="1"/>
        <v>#DIV/0!</v>
      </c>
      <c r="AL36" s="1388"/>
    </row>
    <row r="37" spans="2:38">
      <c r="B37" s="1394"/>
      <c r="C37" s="1404" t="s">
        <v>7439</v>
      </c>
      <c r="D37" s="1405" t="s">
        <v>7484</v>
      </c>
      <c r="E37" s="1406"/>
      <c r="F37" s="1408"/>
      <c r="G37" s="1408"/>
      <c r="H37" s="1408"/>
      <c r="I37" s="2481" t="e">
        <f>ROUND(Assumptions!H154*'Data Entry - SOF'!G51*'Weights-HB3'!K36,0)</f>
        <v>#DIV/0!</v>
      </c>
      <c r="J37" s="2486" t="e">
        <f t="shared" si="0"/>
        <v>#DIV/0!</v>
      </c>
      <c r="K37" s="2773" t="e">
        <f t="shared" si="1"/>
        <v>#DIV/0!</v>
      </c>
      <c r="AL37" s="1388"/>
    </row>
    <row r="38" spans="2:38">
      <c r="B38" s="1394"/>
      <c r="C38" s="1404" t="s">
        <v>7439</v>
      </c>
      <c r="D38" s="1405" t="s">
        <v>7485</v>
      </c>
      <c r="E38" s="1406"/>
      <c r="F38" s="1408"/>
      <c r="G38" s="1408"/>
      <c r="H38" s="1408"/>
      <c r="I38" s="2481" t="e">
        <f>ROUND(Assumptions!H154*'Data Entry - SOF'!G52*'Weights-HB3'!K37,0)</f>
        <v>#DIV/0!</v>
      </c>
      <c r="J38" s="2486" t="e">
        <f t="shared" si="0"/>
        <v>#DIV/0!</v>
      </c>
      <c r="K38" s="2773" t="e">
        <f t="shared" si="1"/>
        <v>#DIV/0!</v>
      </c>
      <c r="AL38" s="1388"/>
    </row>
    <row r="39" spans="2:38">
      <c r="B39" s="1394"/>
      <c r="C39" s="1404" t="s">
        <v>7439</v>
      </c>
      <c r="D39" s="1405" t="s">
        <v>7486</v>
      </c>
      <c r="E39" s="1406"/>
      <c r="F39" s="1408"/>
      <c r="G39" s="1408"/>
      <c r="H39" s="1408"/>
      <c r="I39" s="2481" t="e">
        <f>ROUND(Assumptions!H154*'Data Entry - SOF'!G53*'Weights-HB3'!K38,0)</f>
        <v>#DIV/0!</v>
      </c>
      <c r="J39" s="2486" t="e">
        <f t="shared" si="0"/>
        <v>#DIV/0!</v>
      </c>
      <c r="K39" s="2773" t="e">
        <f t="shared" si="1"/>
        <v>#DIV/0!</v>
      </c>
      <c r="AL39" s="1388"/>
    </row>
    <row r="40" spans="2:38">
      <c r="B40" s="1394"/>
      <c r="C40" s="1404" t="s">
        <v>7439</v>
      </c>
      <c r="D40" s="1405" t="s">
        <v>7487</v>
      </c>
      <c r="E40" s="1406"/>
      <c r="F40" s="1408"/>
      <c r="G40" s="1408"/>
      <c r="H40" s="1408"/>
      <c r="I40" s="2481" t="e">
        <f>ROUND(Assumptions!H154*'Data Entry - SOF'!G54*'Weights-HB3'!K39,0)</f>
        <v>#DIV/0!</v>
      </c>
      <c r="J40" s="2486" t="e">
        <f t="shared" si="0"/>
        <v>#DIV/0!</v>
      </c>
      <c r="K40" s="2773" t="e">
        <f t="shared" si="1"/>
        <v>#DIV/0!</v>
      </c>
      <c r="AL40" s="1388"/>
    </row>
    <row r="41" spans="2:38">
      <c r="B41" s="1394"/>
      <c r="C41" s="1404" t="s">
        <v>7439</v>
      </c>
      <c r="D41" s="1405" t="s">
        <v>7488</v>
      </c>
      <c r="E41" s="1406"/>
      <c r="F41" s="1408"/>
      <c r="G41" s="1408"/>
      <c r="H41" s="1408"/>
      <c r="I41" s="2481" t="e">
        <f>ROUND(Assumptions!H154*'Data Entry - SOF'!G55*'Weights-HB3'!K40,0)</f>
        <v>#DIV/0!</v>
      </c>
      <c r="J41" s="2486" t="e">
        <f t="shared" si="0"/>
        <v>#DIV/0!</v>
      </c>
      <c r="K41" s="2773" t="e">
        <f t="shared" si="1"/>
        <v>#DIV/0!</v>
      </c>
      <c r="L41" s="1473" t="e">
        <f>SUM(I37:I41)</f>
        <v>#DIV/0!</v>
      </c>
      <c r="AL41" s="1388"/>
    </row>
    <row r="42" spans="2:38">
      <c r="B42" s="1394" t="s">
        <v>2357</v>
      </c>
      <c r="C42" s="1379" t="s">
        <v>7439</v>
      </c>
      <c r="D42" s="1372" t="s">
        <v>377</v>
      </c>
      <c r="F42" s="1388" t="e">
        <f>ROUND(ROUND('Calc Data'!F23,0)*'Data Entry - SOF'!G33*Weights!O31,0)</f>
        <v>#REF!</v>
      </c>
      <c r="G42" s="1388"/>
      <c r="I42" s="2477" t="e">
        <f>ROUND(Assumptions!H154*'Data Entry - SOF'!G33*'Weights-HB3'!K43,0)</f>
        <v>#DIV/0!</v>
      </c>
      <c r="J42" s="2486" t="e">
        <f t="shared" si="0"/>
        <v>#DIV/0!</v>
      </c>
      <c r="K42" s="2773" t="e">
        <f t="shared" si="1"/>
        <v>#DIV/0!</v>
      </c>
      <c r="AL42" s="1388" t="e">
        <f>ROUND(ROUND('Calc Data'!AA23,0)*'Data Entry - SOF'!#REF!*2.41,0)</f>
        <v>#REF!</v>
      </c>
    </row>
    <row r="43" spans="2:38">
      <c r="B43" s="1394">
        <v>25</v>
      </c>
      <c r="C43" s="1379" t="s">
        <v>7439</v>
      </c>
      <c r="D43" s="1372" t="s">
        <v>7450</v>
      </c>
      <c r="F43" s="1388" t="e">
        <f>ROUND(ROUND('Calc Data'!F23,0)*('Data Entry - SOF'!#REF!*Weights!O26),0)</f>
        <v>#REF!</v>
      </c>
      <c r="G43" s="1388"/>
      <c r="I43" s="2477" t="e">
        <f>ROUND(Assumptions!H154*'Data Entry - SOF'!G41*'Weights-HB3'!K26,0)</f>
        <v>#DIV/0!</v>
      </c>
      <c r="J43" s="2486" t="e">
        <f t="shared" si="0"/>
        <v>#DIV/0!</v>
      </c>
      <c r="K43" s="2773" t="e">
        <f t="shared" si="1"/>
        <v>#DIV/0!</v>
      </c>
      <c r="AL43" s="1388" t="e">
        <f>ROUND(ROUND('Calc Data'!AA23,0)*('Data Entry - SOF'!#REF!*0.1),0)</f>
        <v>#REF!</v>
      </c>
    </row>
    <row r="44" spans="2:38">
      <c r="B44" s="1394"/>
      <c r="C44" s="1404" t="s">
        <v>7439</v>
      </c>
      <c r="D44" s="1424" t="s">
        <v>7451</v>
      </c>
      <c r="E44" s="1406"/>
      <c r="F44" s="1408"/>
      <c r="G44" s="1408"/>
      <c r="H44" s="1408"/>
      <c r="I44" s="2477" t="e">
        <f>ROUND(Assumptions!H154*'Data Entry - SOF'!G42*'Weights-HB3'!K27,0)</f>
        <v>#DIV/0!</v>
      </c>
      <c r="J44" s="2486" t="e">
        <f t="shared" si="0"/>
        <v>#DIV/0!</v>
      </c>
      <c r="K44" s="2773" t="e">
        <f t="shared" si="1"/>
        <v>#DIV/0!</v>
      </c>
      <c r="AL44" s="1388"/>
    </row>
    <row r="45" spans="2:38">
      <c r="B45" s="1394"/>
      <c r="C45" s="1404" t="s">
        <v>7439</v>
      </c>
      <c r="D45" s="1424" t="s">
        <v>7452</v>
      </c>
      <c r="E45" s="1406"/>
      <c r="F45" s="1408"/>
      <c r="G45" s="1408"/>
      <c r="H45" s="1408"/>
      <c r="I45" s="2477" t="e">
        <f>ROUND(Assumptions!H154*'Data Entry - SOF'!G43*'Weights-HB3'!K28,0)</f>
        <v>#DIV/0!</v>
      </c>
      <c r="J45" s="2486" t="e">
        <f t="shared" si="0"/>
        <v>#DIV/0!</v>
      </c>
      <c r="K45" s="2773" t="e">
        <f t="shared" si="1"/>
        <v>#DIV/0!</v>
      </c>
      <c r="AL45" s="1388"/>
    </row>
    <row r="46" spans="2:38">
      <c r="B46" s="1394"/>
      <c r="C46" s="1404" t="s">
        <v>7439</v>
      </c>
      <c r="D46" s="1424" t="s">
        <v>7436</v>
      </c>
      <c r="E46" s="1406"/>
      <c r="F46" s="1408"/>
      <c r="G46" s="1408"/>
      <c r="H46" s="1408"/>
      <c r="I46" s="2477" t="e">
        <f>ROUND(Assumptions!H154*'Data Entry - SOF'!G60*'Weights-HB3'!K72,0)</f>
        <v>#DIV/0!</v>
      </c>
      <c r="J46" s="2486" t="e">
        <f t="shared" si="0"/>
        <v>#DIV/0!</v>
      </c>
      <c r="K46" s="2773" t="e">
        <f t="shared" si="1"/>
        <v>#DIV/0!</v>
      </c>
      <c r="AL46" s="1388"/>
    </row>
    <row r="47" spans="2:38">
      <c r="B47" s="1394"/>
      <c r="C47" s="1404" t="s">
        <v>7439</v>
      </c>
      <c r="D47" s="1424" t="s">
        <v>7628</v>
      </c>
      <c r="E47" s="1406"/>
      <c r="F47" s="1408"/>
      <c r="G47" s="1408"/>
      <c r="H47" s="1408"/>
      <c r="I47" s="2477" t="e">
        <f>Assumptions!H154*'Data Entry - SOF'!G45*'Weights-HB3'!K74</f>
        <v>#DIV/0!</v>
      </c>
      <c r="J47" s="2486" t="e">
        <f t="shared" si="0"/>
        <v>#DIV/0!</v>
      </c>
      <c r="K47" s="2773" t="e">
        <f t="shared" si="1"/>
        <v>#DIV/0!</v>
      </c>
      <c r="AL47" s="1388"/>
    </row>
    <row r="48" spans="2:38">
      <c r="B48" s="1394"/>
      <c r="C48" s="1404" t="s">
        <v>7439</v>
      </c>
      <c r="D48" s="1424" t="s">
        <v>7827</v>
      </c>
      <c r="E48" s="1406"/>
      <c r="F48" s="1408"/>
      <c r="G48" s="1408"/>
      <c r="H48" s="1408"/>
      <c r="I48" s="2477">
        <f>('Data Entry - SOF'!G57*'Weights-HB3'!K113)+('Data Entry - SOF'!G58*'Weights-HB3'!K114)+('Data Entry - SOF'!G59*'Weights-HB3'!K115)</f>
        <v>0</v>
      </c>
      <c r="J48" s="2486">
        <f t="shared" si="0"/>
        <v>0</v>
      </c>
      <c r="K48" s="2773">
        <f t="shared" si="1"/>
        <v>0</v>
      </c>
      <c r="AL48" s="1388"/>
    </row>
    <row r="49" spans="2:38">
      <c r="B49" s="1394">
        <v>31</v>
      </c>
      <c r="C49" s="1379" t="s">
        <v>7439</v>
      </c>
      <c r="D49" s="1415" t="s">
        <v>2296</v>
      </c>
      <c r="F49" s="1388" t="e">
        <f>Weights!O33*'Data Entry - SOF'!#REF!</f>
        <v>#REF!</v>
      </c>
      <c r="G49" s="1388"/>
      <c r="I49" s="2481"/>
      <c r="J49" s="2486">
        <f t="shared" si="0"/>
        <v>0</v>
      </c>
      <c r="K49" s="2773">
        <f t="shared" si="1"/>
        <v>0</v>
      </c>
      <c r="AL49" s="1388" t="e">
        <f>#REF!</f>
        <v>#REF!</v>
      </c>
    </row>
    <row r="50" spans="2:38">
      <c r="B50" s="1394"/>
      <c r="C50" s="1379" t="s">
        <v>7439</v>
      </c>
      <c r="D50" s="1372" t="s">
        <v>825</v>
      </c>
      <c r="F50" s="1388" t="e">
        <f>ROUND(ROUND('Calc Data'!F23,0)*'Data Entry - SOF'!G46*Weights!O37,0)</f>
        <v>#REF!</v>
      </c>
      <c r="G50" s="1388"/>
      <c r="I50" s="2482" t="e">
        <f>ROUND(Assumptions!H154*'Data Entry - SOF'!G46*'Weights-HB3'!K49,0)</f>
        <v>#DIV/0!</v>
      </c>
      <c r="J50" s="2486" t="e">
        <f t="shared" si="0"/>
        <v>#DIV/0!</v>
      </c>
      <c r="K50" s="2773" t="e">
        <f t="shared" si="1"/>
        <v>#DIV/0!</v>
      </c>
      <c r="AL50" s="1388" t="e">
        <f>ROUND(ROUND('Calc Data'!AA23,0)*'Data Entry - SOF'!#REF!*0.1,0)</f>
        <v>#REF!</v>
      </c>
    </row>
    <row r="51" spans="2:38">
      <c r="B51" s="1394"/>
      <c r="C51" s="2191" t="s">
        <v>7439</v>
      </c>
      <c r="D51" s="2174" t="s">
        <v>7538</v>
      </c>
      <c r="E51" s="1417"/>
      <c r="F51" s="2172"/>
      <c r="G51" s="2172"/>
      <c r="H51" s="2172"/>
      <c r="I51" s="2483" t="e">
        <f>'Data Entry - SOF'!G130*IF('Data Entry - SOF'!G131=1,'Weights-HB3'!K119,IF('Data Entry - SOF'!G132=2,'Weights-HB3'!K120,IF('Data Entry - SOF'!G133=3,'Weights-HB3'!K121)))*Assumptions!H154</f>
        <v>#DIV/0!</v>
      </c>
      <c r="J51" s="2486" t="e">
        <f t="shared" si="0"/>
        <v>#DIV/0!</v>
      </c>
      <c r="K51" s="2773" t="e">
        <f t="shared" si="1"/>
        <v>#DIV/0!</v>
      </c>
      <c r="AL51" s="1388"/>
    </row>
    <row r="52" spans="2:38">
      <c r="B52" s="1394"/>
      <c r="C52" s="1404" t="s">
        <v>7439</v>
      </c>
      <c r="D52" s="1424" t="s">
        <v>7617</v>
      </c>
      <c r="E52" s="1406"/>
      <c r="F52" s="1408"/>
      <c r="G52" s="1408"/>
      <c r="H52" s="1408"/>
      <c r="I52" s="2482">
        <f>'Data Entry - SOF'!G89</f>
        <v>0</v>
      </c>
      <c r="J52" s="2486">
        <f t="shared" si="0"/>
        <v>0</v>
      </c>
      <c r="K52" s="2773">
        <f t="shared" si="1"/>
        <v>0</v>
      </c>
      <c r="AL52" s="1388"/>
    </row>
    <row r="53" spans="2:38">
      <c r="B53" s="1394"/>
      <c r="C53" s="1404" t="s">
        <v>7439</v>
      </c>
      <c r="D53" s="1424" t="s">
        <v>7618</v>
      </c>
      <c r="E53" s="1406"/>
      <c r="F53" s="1408"/>
      <c r="G53" s="1408"/>
      <c r="H53" s="1408"/>
      <c r="I53" s="2482">
        <f>'Data Entry - SOF'!G90</f>
        <v>0</v>
      </c>
      <c r="J53" s="2486">
        <f t="shared" si="0"/>
        <v>0</v>
      </c>
      <c r="K53" s="2773">
        <f t="shared" si="1"/>
        <v>0</v>
      </c>
      <c r="AL53" s="1388"/>
    </row>
    <row r="54" spans="2:38">
      <c r="B54" s="1394"/>
      <c r="C54" s="1404" t="s">
        <v>7439</v>
      </c>
      <c r="D54" s="1424" t="s">
        <v>7669</v>
      </c>
      <c r="E54" s="1406"/>
      <c r="F54" s="1408"/>
      <c r="G54" s="1408"/>
      <c r="H54" s="1408"/>
      <c r="I54" s="2482">
        <f>'Data Entry - SOF'!G19*'Weights-HB3'!K68</f>
        <v>0</v>
      </c>
      <c r="J54" s="2486">
        <f t="shared" si="0"/>
        <v>0</v>
      </c>
      <c r="K54" s="2773">
        <f t="shared" si="1"/>
        <v>0</v>
      </c>
      <c r="L54" s="1415"/>
      <c r="AL54" s="1388"/>
    </row>
    <row r="55" spans="2:38">
      <c r="B55" s="1394"/>
      <c r="C55" s="1404" t="s">
        <v>7439</v>
      </c>
      <c r="D55" s="1424" t="s">
        <v>7828</v>
      </c>
      <c r="E55" s="1406"/>
      <c r="F55" s="1408"/>
      <c r="G55" s="1408"/>
      <c r="H55" s="1408"/>
      <c r="I55" s="1411">
        <f>'Data Entry - SOF'!G103</f>
        <v>0</v>
      </c>
      <c r="J55" s="2486">
        <f t="shared" si="0"/>
        <v>0</v>
      </c>
      <c r="K55" s="2773">
        <f t="shared" si="1"/>
        <v>0</v>
      </c>
      <c r="L55" s="1415"/>
      <c r="AL55" s="1388"/>
    </row>
    <row r="56" spans="2:38">
      <c r="B56" s="1394"/>
      <c r="C56" s="1379" t="s">
        <v>7440</v>
      </c>
      <c r="D56" s="1415" t="s">
        <v>3291</v>
      </c>
      <c r="F56" s="1427">
        <f>'Data Entry - SOF'!G47*Weights!O35</f>
        <v>0</v>
      </c>
      <c r="G56" s="1388"/>
      <c r="I56" s="2481">
        <f>'Data Entry - SOF'!G47*'Weights-HB3'!K47</f>
        <v>0</v>
      </c>
      <c r="J56" s="2486">
        <f t="shared" si="0"/>
        <v>0</v>
      </c>
      <c r="K56" s="2773">
        <f t="shared" si="1"/>
        <v>0</v>
      </c>
      <c r="AL56" s="1388" t="e">
        <f>'Data Entry - SOF'!#REF!*250</f>
        <v>#REF!</v>
      </c>
    </row>
    <row r="57" spans="2:38">
      <c r="B57" s="1394">
        <v>99</v>
      </c>
      <c r="C57" s="1379" t="s">
        <v>7440</v>
      </c>
      <c r="D57" s="1372" t="s">
        <v>7454</v>
      </c>
      <c r="F57" s="1429" t="e">
        <f>'Data Entry - SOF'!#REF!</f>
        <v>#REF!</v>
      </c>
      <c r="G57" s="1388"/>
      <c r="I57" s="2481">
        <f>('Data Entry - SOF'!G83*'Weights-HB3'!K70)+'Data Entry - SOF'!G84+'Data Entry - SOF'!G85+'Data Entry - SOF'!G86</f>
        <v>0</v>
      </c>
      <c r="J57" s="2486">
        <f t="shared" si="0"/>
        <v>0</v>
      </c>
      <c r="K57" s="2773">
        <f t="shared" si="1"/>
        <v>0</v>
      </c>
      <c r="AL57" s="1429" t="e">
        <f>'Data Entry - SOF'!#REF!</f>
        <v>#REF!</v>
      </c>
    </row>
    <row r="58" spans="2:38">
      <c r="B58" s="1394"/>
      <c r="C58" s="1404" t="s">
        <v>7440</v>
      </c>
      <c r="D58" s="1424" t="s">
        <v>7559</v>
      </c>
      <c r="E58" s="1406"/>
      <c r="F58" s="1408"/>
      <c r="G58" s="1408"/>
      <c r="H58" s="1408"/>
      <c r="I58" s="2481">
        <f>'Data Entry - SOF'!G48*'Weights-HB3'!G125</f>
        <v>0</v>
      </c>
      <c r="J58" s="2486">
        <f t="shared" si="0"/>
        <v>0</v>
      </c>
      <c r="K58" s="2773">
        <f t="shared" si="1"/>
        <v>0</v>
      </c>
      <c r="AL58" s="1388"/>
    </row>
    <row r="59" spans="2:38">
      <c r="B59" s="1394"/>
      <c r="C59" s="1404" t="s">
        <v>7440</v>
      </c>
      <c r="D59" s="1424" t="s">
        <v>7467</v>
      </c>
      <c r="E59" s="1406"/>
      <c r="F59" s="1408"/>
      <c r="G59" s="1408"/>
      <c r="H59" s="1408"/>
      <c r="I59" s="2481">
        <f>'Data Entry - SOF'!G87</f>
        <v>0</v>
      </c>
      <c r="J59" s="2486">
        <f t="shared" si="0"/>
        <v>0</v>
      </c>
      <c r="K59" s="2773">
        <f t="shared" si="1"/>
        <v>0</v>
      </c>
      <c r="AL59" s="1388"/>
    </row>
    <row r="60" spans="2:38">
      <c r="B60" s="1394"/>
      <c r="C60" s="1404" t="s">
        <v>7440</v>
      </c>
      <c r="D60" s="1424" t="s">
        <v>7625</v>
      </c>
      <c r="E60" s="1406"/>
      <c r="F60" s="1408"/>
      <c r="G60" s="1408"/>
      <c r="H60" s="1408"/>
      <c r="I60" s="2484">
        <f>'Data Entry - SOF'!G88</f>
        <v>0</v>
      </c>
      <c r="J60" s="2487">
        <f t="shared" si="0"/>
        <v>0</v>
      </c>
      <c r="K60" s="2774">
        <f t="shared" si="1"/>
        <v>0</v>
      </c>
      <c r="AL60" s="1388"/>
    </row>
    <row r="61" spans="2:38">
      <c r="D61" s="1372" t="s">
        <v>497</v>
      </c>
      <c r="F61" s="1388" t="e">
        <f>SUM(F20:F57)</f>
        <v>#REF!</v>
      </c>
      <c r="G61" s="1388"/>
      <c r="I61" s="2488" t="e">
        <f>SUM(I20:I60)</f>
        <v>#DIV/0!</v>
      </c>
      <c r="J61" s="2486" t="e">
        <f t="shared" si="0"/>
        <v>#DIV/0!</v>
      </c>
      <c r="K61" s="2488" t="e">
        <f>SUM(K20:K60)</f>
        <v>#DIV/0!</v>
      </c>
      <c r="L61" s="2665" t="e">
        <f>(I61-I55-I56-I57-I58-I59-I60-I28-I34)/Assumptions!H154</f>
        <v>#DIV/0!</v>
      </c>
      <c r="M61" s="1436" t="s">
        <v>7443</v>
      </c>
      <c r="AL61" s="1388" t="e">
        <f>SUM(AL20:AL57)</f>
        <v>#REF!</v>
      </c>
    </row>
    <row r="62" spans="2:38">
      <c r="D62" s="1372" t="s">
        <v>741</v>
      </c>
      <c r="F62" s="1437">
        <f>IF('Data Entry - SOF'!G123&gt;1,1*('Data Entry - SOF'!G63/100),'Data Entry - SOF'!G123*('Data Entry - SOF'!G63/100))</f>
        <v>0</v>
      </c>
      <c r="G62" s="1438"/>
      <c r="I62" s="2484" t="e">
        <f>('Data Entry - SOF'!G72/100)*'Data Entry - SOF'!G66</f>
        <v>#DIV/0!</v>
      </c>
      <c r="J62" s="2489" t="e">
        <f>('HH2324-40KCalcs'!H12/100)*'Data Entry - SOF'!G63</f>
        <v>#DIV/0!</v>
      </c>
      <c r="K62" s="2489" t="e">
        <f>('HH2324-40KCalcs'!G12/100)*'Data Entry - SOF'!G66</f>
        <v>#DIV/0!</v>
      </c>
      <c r="AL62" s="1437" t="e">
        <f>#REF!</f>
        <v>#REF!</v>
      </c>
    </row>
    <row r="63" spans="2:38">
      <c r="D63" s="1372" t="s">
        <v>740</v>
      </c>
      <c r="F63" s="1438" t="e">
        <f>F61-F62</f>
        <v>#REF!</v>
      </c>
      <c r="G63" s="1438"/>
      <c r="I63" s="1432" t="e">
        <f>I61-I62</f>
        <v>#DIV/0!</v>
      </c>
      <c r="J63" s="1442" t="e">
        <f>J61-J62</f>
        <v>#DIV/0!</v>
      </c>
      <c r="K63" s="2672" t="e">
        <f>K61-K62</f>
        <v>#DIV/0!</v>
      </c>
      <c r="AL63" s="1438" t="e">
        <f>AL61-AL62</f>
        <v>#REF!</v>
      </c>
    </row>
    <row r="64" spans="2:38">
      <c r="D64" s="1372"/>
      <c r="G64" s="1438"/>
      <c r="I64" s="1416"/>
      <c r="J64" s="1443"/>
      <c r="K64" s="2678"/>
      <c r="N64" s="1444"/>
      <c r="AL64" s="1438"/>
    </row>
    <row r="65" spans="4:38">
      <c r="D65" s="1445" t="s">
        <v>7458</v>
      </c>
      <c r="G65" s="1438"/>
      <c r="I65" s="1416"/>
      <c r="J65" s="1443"/>
      <c r="K65" s="2678"/>
      <c r="N65" s="1444"/>
      <c r="AL65" s="1438"/>
    </row>
    <row r="66" spans="4:38">
      <c r="D66" s="1372" t="s">
        <v>7616</v>
      </c>
      <c r="F66" s="1425" t="e">
        <f>IF(F63&lt;F99+F49+F56+#REF!+#REF!,F99+F49+F56+#REF!+#REF!,F63)</f>
        <v>#REF!</v>
      </c>
      <c r="G66" s="1438"/>
      <c r="I66" s="1423" t="e">
        <f>IF(I63&lt;I99,I99,I63)</f>
        <v>#DIV/0!</v>
      </c>
      <c r="J66" s="1428" t="e">
        <f>IF(J63&lt;I99,I99,J63)</f>
        <v>#DIV/0!</v>
      </c>
      <c r="K66" s="1423" t="e">
        <f>IF(K63&lt;J99,J99,K63)</f>
        <v>#DIV/0!</v>
      </c>
    </row>
    <row r="67" spans="4:38" hidden="1">
      <c r="D67" s="1372" t="s">
        <v>2150</v>
      </c>
      <c r="G67" s="1438" t="e">
        <f>ROUND(IF((24.7*'Calc Data'!#REF!*IF('Calc Data'!#REF!&gt;=0.64,0.64,'Calc Data'!#REF!)*100)&lt;'Calc Data'!#REF!,0,(24.7*'Calc Data'!#REF!*IF('Calc Data'!#REF!&gt;=0.64,0.64,'Calc Data'!#REF!)*100)-'Calc Data'!#REF!),0)</f>
        <v>#REF!</v>
      </c>
      <c r="I67" s="1447"/>
      <c r="J67" s="1448"/>
      <c r="K67" s="2678"/>
    </row>
    <row r="68" spans="4:38">
      <c r="D68" s="1372"/>
      <c r="G68" s="1438"/>
      <c r="I68" s="1447"/>
      <c r="J68" s="2468"/>
      <c r="K68" s="2678"/>
    </row>
    <row r="69" spans="4:38">
      <c r="D69" s="2062" t="s">
        <v>8117</v>
      </c>
      <c r="E69" s="2063"/>
      <c r="F69" s="2063"/>
      <c r="G69" s="2064"/>
      <c r="H69" s="2065"/>
      <c r="I69" s="2079" t="s">
        <v>8149</v>
      </c>
      <c r="J69" s="1443"/>
      <c r="K69" s="2678"/>
    </row>
    <row r="70" spans="4:38">
      <c r="D70" s="1372" t="s">
        <v>7489</v>
      </c>
      <c r="G70" s="1438"/>
      <c r="I70" s="1423" t="e">
        <f>IF(I62&gt;I61-I99,I62-(I61-I99),0)</f>
        <v>#DIV/0!</v>
      </c>
      <c r="J70" s="1428" t="e">
        <f>IF(J62&gt;J61-I99,J62-(J61-I99),0)</f>
        <v>#DIV/0!</v>
      </c>
      <c r="K70" s="1423" t="e">
        <f>IF(K62&gt;K61-J99,K62-(K61-J99),0)</f>
        <v>#DIV/0!</v>
      </c>
    </row>
    <row r="71" spans="4:38">
      <c r="D71" s="1372" t="s">
        <v>7695</v>
      </c>
      <c r="G71" s="1438"/>
      <c r="I71" s="1439" t="e">
        <f>IF(I70=0,0,IF('Calc Data'!F113-I70&lt;I61-I99,(I61-I99-('Calc Data'!F113-I70))*-1,0))</f>
        <v>#DIV/0!</v>
      </c>
      <c r="J71" s="2467" t="e">
        <f>IF(J70=0,0,IF('Calc Data'!P113-J70&lt;J61-I99,(J61-I99-('Calc Data'!P113-J70))*-1,0))</f>
        <v>#DIV/0!</v>
      </c>
      <c r="K71" s="2679" t="e">
        <f>IF(K70=0,0,IF('Calc Data'!K113-K70&lt;K61-I99,(K61-I99-('Calc Data'!K113-K70))*-1,0))</f>
        <v>#DIV/0!</v>
      </c>
    </row>
    <row r="72" spans="4:38">
      <c r="D72" s="1451" t="s">
        <v>7490</v>
      </c>
      <c r="E72" s="1452"/>
      <c r="F72" s="1453"/>
      <c r="G72" s="1455"/>
      <c r="I72" s="1454" t="e">
        <f>IF(I70+I71&lt;=0,0,I70+I71)</f>
        <v>#DIV/0!</v>
      </c>
      <c r="J72" s="2490" t="e">
        <f>IF(J70+J71&lt;=0,0,J70+J71)</f>
        <v>#DIV/0!</v>
      </c>
      <c r="K72" s="2680" t="e">
        <f>IF(K70+K71&lt;=0,0,K70+K71)</f>
        <v>#DIV/0!</v>
      </c>
    </row>
    <row r="73" spans="4:38">
      <c r="D73" s="1451" t="s">
        <v>7687</v>
      </c>
      <c r="E73" s="1452"/>
      <c r="F73" s="1452"/>
      <c r="G73" s="1455"/>
      <c r="I73" s="1423" t="e">
        <f>'Data Entry - SOF'!G111*(I72/'Data Entry - SOF'!G75)</f>
        <v>#DIV/0!</v>
      </c>
      <c r="J73" s="1428" t="e">
        <f>'Data Entry - SOF'!G111*(J72/'HH2324-40KCalcs'!D12)</f>
        <v>#DIV/0!</v>
      </c>
      <c r="K73" s="2671" t="e">
        <f>'Data Entry - SOF'!G111*(K72/'HH2324-40KCalcs'!C12)</f>
        <v>#DIV/0!</v>
      </c>
    </row>
    <row r="74" spans="4:38">
      <c r="D74" s="1457" t="s">
        <v>7688</v>
      </c>
      <c r="E74" s="1458"/>
      <c r="F74" s="1458"/>
      <c r="G74" s="1459"/>
      <c r="H74" s="2521"/>
      <c r="I74" s="1460" t="e">
        <f>IF(I72-I73&lt;=0,0,I72-I73)</f>
        <v>#DIV/0!</v>
      </c>
      <c r="J74" s="2491" t="e">
        <f>IF(J72-J73&lt;=0,0,J72-J73)</f>
        <v>#DIV/0!</v>
      </c>
      <c r="K74" s="2681" t="e">
        <f>IF(K72-K73&lt;=0,0,K72-K73)</f>
        <v>#DIV/0!</v>
      </c>
    </row>
    <row r="75" spans="4:38">
      <c r="D75" s="1372"/>
      <c r="G75" s="1438"/>
      <c r="I75" s="1416"/>
      <c r="J75" s="2492"/>
      <c r="K75" s="2677"/>
    </row>
    <row r="76" spans="4:38">
      <c r="D76" s="1372" t="s">
        <v>7403</v>
      </c>
      <c r="F76" s="1438" t="e">
        <f>ROUND(IF((Assumptions!G119*'Calc Data'!F25*'Calc Data'!F35*100)&lt;'Calc Data'!F42,0,(Assumptions!G119*'Calc Data'!F25*'Calc Data'!F35*100)-'Calc Data'!F42),0)</f>
        <v>#REF!</v>
      </c>
      <c r="G76" s="1438"/>
      <c r="I76" s="1461" t="e">
        <f>ROUND(IF((Assumptions!H155*L61*'Calc Data'!F105*100)&lt;'Calc Data'!F106,0,(Assumptions!H155*L61*'Calc Data'!F105*100)-'Calc Data'!F106),0)</f>
        <v>#DIV/0!</v>
      </c>
      <c r="J76" s="2493" t="e">
        <f>ROUND(IF((Assumptions!H155*L61*'Calc Data'!P105*100)&lt;'Calc Data'!P106,0,(Assumptions!H155*L61*'Calc Data'!P105*100)-'Calc Data'!P106),0)</f>
        <v>#DIV/0!</v>
      </c>
      <c r="K76" s="2672" t="e">
        <f>ROUND(IF((Assumptions!H155*L61*'Calc Data'!K105*100)&lt;'Calc Data'!K106,0,(Assumptions!H155*L61*'Calc Data'!K105*100)-'Calc Data'!K106),0)</f>
        <v>#DIV/0!</v>
      </c>
    </row>
    <row r="77" spans="4:38">
      <c r="D77" s="1372" t="s">
        <v>7457</v>
      </c>
      <c r="F77" s="1464" t="e">
        <f>ROUND(IF((Assumptions!G120*'Calc Data'!F25*'Calc Data'!F38*100)&lt;'Calc Data'!F43,0,(Assumptions!G120*'Calc Data'!F25*'Calc Data'!F38*100)-'Calc Data'!F43),0)</f>
        <v>#REF!</v>
      </c>
      <c r="G77" s="1438"/>
      <c r="I77" s="1465" t="e">
        <f>ROUND(IF((Assumptions!H156*L61*'Calc Data'!F110*100)&lt;'Calc Data'!F111,0,(Assumptions!H156*L61*'Calc Data'!F110*100)-'Calc Data'!F111),0)</f>
        <v>#DIV/0!</v>
      </c>
      <c r="J77" s="2494" t="e">
        <f>ROUND(IF((Assumptions!H156*L61*'Calc Data'!P110*100)&lt;'Calc Data'!P111,0,(Assumptions!H156*L61*'Calc Data'!P110*100)-'Calc Data'!P111),0)</f>
        <v>#DIV/0!</v>
      </c>
      <c r="K77" s="2682" t="e">
        <f>ROUND(IF((Assumptions!H156*L61*'Calc Data'!K110*100)&lt;'Calc Data'!K111,0,(Assumptions!H156*L61*'Calc Data'!K110*100)-'Calc Data'!K111),0)</f>
        <v>#DIV/0!</v>
      </c>
    </row>
    <row r="78" spans="4:38">
      <c r="D78" s="1468" t="s">
        <v>7459</v>
      </c>
      <c r="F78" s="1438" t="e">
        <f>SUM(F67:F77)</f>
        <v>#REF!</v>
      </c>
      <c r="G78" s="1438"/>
      <c r="I78" s="1432" t="e">
        <f>I76+I77</f>
        <v>#DIV/0!</v>
      </c>
      <c r="J78" s="2495" t="e">
        <f>J76+J77</f>
        <v>#DIV/0!</v>
      </c>
      <c r="K78" s="2673" t="e">
        <f>K76+K77</f>
        <v>#DIV/0!</v>
      </c>
    </row>
    <row r="79" spans="4:38">
      <c r="D79" s="1372"/>
      <c r="F79" s="1438"/>
      <c r="G79" s="1438"/>
      <c r="I79" s="1432"/>
      <c r="J79" s="2495"/>
      <c r="K79" s="2677"/>
    </row>
    <row r="80" spans="4:38">
      <c r="D80" s="1451" t="s">
        <v>7491</v>
      </c>
      <c r="E80" s="1452"/>
      <c r="F80" s="1469"/>
      <c r="G80" s="1455"/>
      <c r="I80" s="1461" t="e">
        <f>ROUND(IF((Assumptions!H156*L61*'Calc Data'!F110*100)&lt;'Calc Data'!F111,'Calc Data'!F111-(Assumptions!H156*L61*'Calc Data'!F110*100)),0)</f>
        <v>#DIV/0!</v>
      </c>
      <c r="J80" s="2493" t="e">
        <f>ROUND(IF((Assumptions!H156*L61*'Calc Data'!P110*100)&lt;'Calc Data'!P111,'Calc Data'!P111-(Assumptions!H156*L61*'Calc Data'!P110*100)),0)</f>
        <v>#DIV/0!</v>
      </c>
      <c r="K80" s="2672" t="e">
        <f>ROUND(IF((Assumptions!H156*L61*'Calc Data'!K110*100)&lt;'Calc Data'!K111,'Calc Data'!K111-(Assumptions!H156*L61*'Calc Data'!K110*100)),0)</f>
        <v>#DIV/0!</v>
      </c>
    </row>
    <row r="81" spans="1:13">
      <c r="D81" s="1451" t="s">
        <v>7687</v>
      </c>
      <c r="E81" s="1452"/>
      <c r="F81" s="1455"/>
      <c r="G81" s="1455"/>
      <c r="I81" s="1461" t="e">
        <f>'Data Entry - SOF'!G111*(I80/'Data Entry - SOF'!G75)</f>
        <v>#DIV/0!</v>
      </c>
      <c r="J81" s="2667" t="e">
        <f>'Data Entry - SOF'!G111*(J80/'HH2324-40KCalcs'!D12)</f>
        <v>#DIV/0!</v>
      </c>
      <c r="K81" s="2674" t="e">
        <f>'Data Entry - SOF'!G111*(K80/'HH2324-40KCalcs'!C12)</f>
        <v>#DIV/0!</v>
      </c>
    </row>
    <row r="82" spans="1:13">
      <c r="D82" s="2068" t="s">
        <v>7689</v>
      </c>
      <c r="E82" s="2063"/>
      <c r="F82" s="2064"/>
      <c r="G82" s="2064"/>
      <c r="H82" s="2065"/>
      <c r="I82" s="2069" t="e">
        <f>I80-I81</f>
        <v>#DIV/0!</v>
      </c>
      <c r="J82" s="2496" t="e">
        <f>J80-J81</f>
        <v>#DIV/0!</v>
      </c>
      <c r="K82" s="2683" t="e">
        <f>K80-K81</f>
        <v>#DIV/0!</v>
      </c>
    </row>
    <row r="83" spans="1:13">
      <c r="D83" s="1372"/>
      <c r="G83" s="1438"/>
      <c r="I83" s="1416"/>
      <c r="J83" s="2492"/>
    </row>
    <row r="84" spans="1:13">
      <c r="D84" s="1372" t="s">
        <v>691</v>
      </c>
      <c r="G84" s="1438"/>
      <c r="I84" s="1416"/>
      <c r="J84" s="2492"/>
    </row>
    <row r="85" spans="1:13">
      <c r="D85" s="1372" t="s">
        <v>714</v>
      </c>
      <c r="F85" s="1438">
        <f>'Data Entry - SOF'!G101</f>
        <v>0</v>
      </c>
      <c r="G85" s="1438"/>
      <c r="I85" s="1432">
        <f>'Data Entry - SOF'!G101</f>
        <v>0</v>
      </c>
      <c r="J85" s="2495">
        <f t="shared" ref="J85:J91" si="2">I85</f>
        <v>0</v>
      </c>
      <c r="L85" s="1473"/>
      <c r="M85" s="1472"/>
    </row>
    <row r="86" spans="1:13">
      <c r="D86" s="1372" t="s">
        <v>2737</v>
      </c>
      <c r="F86" s="1438">
        <f>'Data Entry - SOF'!G100</f>
        <v>0</v>
      </c>
      <c r="G86" s="1438"/>
      <c r="I86" s="1432">
        <f>'Data Entry - SOF'!G100</f>
        <v>0</v>
      </c>
      <c r="J86" s="2495">
        <f t="shared" si="2"/>
        <v>0</v>
      </c>
      <c r="L86" s="1473"/>
      <c r="M86" s="1472"/>
    </row>
    <row r="87" spans="1:13">
      <c r="D87" s="1372" t="s">
        <v>7756</v>
      </c>
      <c r="F87" s="1438" t="e">
        <f>'Data Entry - SOF'!#REF!</f>
        <v>#REF!</v>
      </c>
      <c r="G87" s="1438"/>
      <c r="I87" s="1432" t="e">
        <f>'HH2324-40KCalcs'!D26</f>
        <v>#DIV/0!</v>
      </c>
      <c r="J87" s="2495"/>
      <c r="L87" s="1473"/>
      <c r="M87" s="1472"/>
    </row>
    <row r="88" spans="1:13">
      <c r="D88" s="1372" t="s">
        <v>2738</v>
      </c>
      <c r="F88" s="1438">
        <f>'Data Entry - SOF'!G102</f>
        <v>0</v>
      </c>
      <c r="G88" s="1438"/>
      <c r="I88" s="1432">
        <f>'Data Entry - SOF'!G102</f>
        <v>0</v>
      </c>
      <c r="J88" s="2495">
        <f t="shared" si="2"/>
        <v>0</v>
      </c>
      <c r="L88" s="1473"/>
      <c r="M88" s="1472"/>
    </row>
    <row r="89" spans="1:13">
      <c r="D89" s="1372" t="s">
        <v>692</v>
      </c>
      <c r="F89" s="1474" t="e">
        <f>(('Data Entry - SOF'!#REF!/'Calc Data'!#REF!)*'Data Entry - SOF'!G93)*-1</f>
        <v>#REF!</v>
      </c>
      <c r="G89" s="1438"/>
      <c r="I89" s="1475">
        <f>IF('Data Entry - SOF'!G93&lt;0,'Data Entry - SOF'!G93, 'Data Entry - SOF'!G93*-1)</f>
        <v>0</v>
      </c>
      <c r="J89" s="1475">
        <f t="shared" si="2"/>
        <v>0</v>
      </c>
      <c r="L89" s="1473"/>
      <c r="M89" s="1472"/>
    </row>
    <row r="90" spans="1:13">
      <c r="D90" s="1372" t="s">
        <v>693</v>
      </c>
      <c r="F90" s="1474" t="e">
        <f>(('Data Entry - SOF'!#REF!/'Calc Data'!#REF!)*'Data Entry - SOF'!G94)*-1</f>
        <v>#REF!</v>
      </c>
      <c r="G90" s="1438"/>
      <c r="I90" s="1475">
        <f>IF('Data Entry - SOF'!G94&lt;0,'Data Entry - SOF'!G94, 'Data Entry - SOF'!G94*-1)</f>
        <v>0</v>
      </c>
      <c r="J90" s="1475">
        <f t="shared" si="2"/>
        <v>0</v>
      </c>
      <c r="L90" s="1473"/>
      <c r="M90" s="1472"/>
    </row>
    <row r="91" spans="1:13">
      <c r="D91" s="1372" t="s">
        <v>8147</v>
      </c>
      <c r="F91" s="1476" t="e">
        <f>'Data Entry - SOF'!#REF!</f>
        <v>#REF!</v>
      </c>
      <c r="G91" s="1438"/>
      <c r="I91" s="1728">
        <f>'Data Entry - SOF'!G116</f>
        <v>0</v>
      </c>
      <c r="J91" s="2497">
        <f t="shared" si="2"/>
        <v>0</v>
      </c>
      <c r="L91" s="1473"/>
      <c r="M91" s="1472"/>
    </row>
    <row r="92" spans="1:13">
      <c r="D92" s="1477" t="s">
        <v>7460</v>
      </c>
      <c r="F92" s="1438" t="e">
        <f>SUM(F85:F91)</f>
        <v>#REF!</v>
      </c>
      <c r="G92" s="1438"/>
      <c r="I92" s="1432" t="e">
        <f>SUM(I85:I91)</f>
        <v>#DIV/0!</v>
      </c>
      <c r="J92" s="2495">
        <f>SUM(J85:J91)</f>
        <v>0</v>
      </c>
      <c r="L92" s="1473"/>
      <c r="M92" s="1472"/>
    </row>
    <row r="93" spans="1:13">
      <c r="D93" s="1478"/>
      <c r="F93" s="1415"/>
      <c r="G93" s="1438"/>
      <c r="I93" s="1416"/>
      <c r="J93" s="2492"/>
      <c r="L93" s="1473"/>
      <c r="M93" s="1472"/>
    </row>
    <row r="94" spans="1:13">
      <c r="D94" s="1372" t="s">
        <v>2258</v>
      </c>
      <c r="F94" s="1438" t="e">
        <f>F99*-1</f>
        <v>#REF!</v>
      </c>
      <c r="G94" s="1438"/>
      <c r="I94" s="1432">
        <f>I99*-1</f>
        <v>0</v>
      </c>
      <c r="J94" s="2495">
        <f>J99*-1</f>
        <v>0</v>
      </c>
      <c r="L94" s="1473"/>
      <c r="M94" s="1472"/>
    </row>
    <row r="95" spans="1:13">
      <c r="D95" s="1372"/>
      <c r="G95" s="1479"/>
      <c r="H95" s="2070"/>
      <c r="I95" s="1447"/>
      <c r="J95" s="2498"/>
      <c r="L95" s="1473"/>
      <c r="M95" s="1472"/>
    </row>
    <row r="96" spans="1:13">
      <c r="A96" s="1480"/>
      <c r="B96" s="1481"/>
      <c r="C96" s="1481"/>
      <c r="D96" s="1482"/>
      <c r="E96" s="1481"/>
      <c r="F96" s="1483"/>
      <c r="G96" s="1484"/>
      <c r="I96" s="1485"/>
      <c r="J96" s="2499"/>
      <c r="L96" s="1473"/>
      <c r="M96" s="1472"/>
    </row>
    <row r="97" spans="1:16">
      <c r="A97" s="1486"/>
      <c r="B97" s="1487" t="s">
        <v>164</v>
      </c>
      <c r="C97" s="1488"/>
      <c r="D97" s="1489"/>
      <c r="E97" s="1488"/>
      <c r="F97" s="1490"/>
      <c r="G97" s="1479"/>
      <c r="I97" s="1447"/>
      <c r="J97" s="2498"/>
      <c r="L97" s="1473"/>
      <c r="M97" s="1472"/>
    </row>
    <row r="98" spans="1:16">
      <c r="A98" s="1486"/>
      <c r="B98" s="1487" t="s">
        <v>1403</v>
      </c>
      <c r="C98" s="1488"/>
      <c r="D98" s="1491" t="s">
        <v>694</v>
      </c>
      <c r="E98" s="1492"/>
      <c r="F98" s="1493" t="e">
        <f>F66+F78+F92+F94</f>
        <v>#REF!</v>
      </c>
      <c r="G98" s="1479"/>
      <c r="I98" s="1423" t="e">
        <f>I66+I78+I92+I94</f>
        <v>#DIV/0!</v>
      </c>
      <c r="J98" s="1428" t="e">
        <f>J66+J78+J92+J94</f>
        <v>#DIV/0!</v>
      </c>
      <c r="L98" s="1473"/>
      <c r="M98" s="1472"/>
    </row>
    <row r="99" spans="1:16">
      <c r="A99" s="1486"/>
      <c r="B99" s="1487" t="s">
        <v>1401</v>
      </c>
      <c r="C99" s="1488"/>
      <c r="D99" s="1491" t="s">
        <v>2465</v>
      </c>
      <c r="E99" s="1492"/>
      <c r="F99" s="1493" t="e">
        <f>'Calc Data'!#REF!*Assumptions!G123</f>
        <v>#REF!</v>
      </c>
      <c r="G99" s="1479"/>
      <c r="I99" s="1494">
        <f>'Data Entry - SOF'!E19*Assumptions!H159</f>
        <v>0</v>
      </c>
      <c r="J99" s="2500">
        <f>I99</f>
        <v>0</v>
      </c>
      <c r="L99" s="1473"/>
      <c r="M99" s="1472"/>
    </row>
    <row r="100" spans="1:16">
      <c r="A100" s="1486"/>
      <c r="B100" s="1487" t="s">
        <v>697</v>
      </c>
      <c r="C100" s="1488"/>
      <c r="D100" s="1491" t="s">
        <v>695</v>
      </c>
      <c r="E100" s="1492"/>
      <c r="F100" s="1493" t="e">
        <f>#REF!</f>
        <v>#REF!</v>
      </c>
      <c r="G100" s="1479"/>
      <c r="I100" s="1432">
        <f>'Existing Debt-HB3'!N74</f>
        <v>0</v>
      </c>
      <c r="J100" s="2495">
        <f>'Existing Debt-HB3'!O74</f>
        <v>0</v>
      </c>
      <c r="L100" s="1473"/>
      <c r="M100" s="1472"/>
    </row>
    <row r="101" spans="1:16" ht="14.5" thickBot="1">
      <c r="A101" s="1486"/>
      <c r="B101" s="1487" t="s">
        <v>1033</v>
      </c>
      <c r="C101" s="1488"/>
      <c r="D101" s="1491" t="s">
        <v>696</v>
      </c>
      <c r="E101" s="1492"/>
      <c r="F101" s="1497" t="e">
        <f>#REF!+#REF!</f>
        <v>#REF!</v>
      </c>
      <c r="G101" s="1479"/>
      <c r="I101" s="1498">
        <f>'IFA-HB3'!T86+'IFA-HB3'!W75</f>
        <v>0</v>
      </c>
      <c r="J101" s="2501">
        <f>'IFA-HB3'!P86+'IFA-HB3'!T75</f>
        <v>0</v>
      </c>
      <c r="L101" s="1473"/>
      <c r="M101" s="1472"/>
    </row>
    <row r="102" spans="1:16">
      <c r="A102" s="1486"/>
      <c r="B102" s="1488"/>
      <c r="C102" s="1488"/>
      <c r="D102" s="1488"/>
      <c r="E102" s="1488"/>
      <c r="F102" s="1490"/>
      <c r="G102" s="1479"/>
      <c r="I102" s="1447"/>
      <c r="J102" s="2498"/>
      <c r="L102" s="1499"/>
      <c r="M102" s="1500"/>
    </row>
    <row r="103" spans="1:16" ht="12.75" customHeight="1" thickBot="1">
      <c r="A103" s="1486"/>
      <c r="B103" s="1488"/>
      <c r="C103" s="1488"/>
      <c r="D103" s="1491" t="s">
        <v>7651</v>
      </c>
      <c r="E103" s="1488"/>
      <c r="F103" s="1501" t="e">
        <f>SUM(F98:F101)</f>
        <v>#REF!</v>
      </c>
      <c r="G103" s="1479"/>
      <c r="I103" s="1502" t="e">
        <f>SUM(I98:I101)</f>
        <v>#DIV/0!</v>
      </c>
      <c r="J103" s="2502" t="e">
        <f>SUM(J98:J101)</f>
        <v>#DIV/0!</v>
      </c>
      <c r="L103" s="1499"/>
      <c r="M103" s="1500"/>
    </row>
    <row r="104" spans="1:16" ht="14.5" thickTop="1">
      <c r="A104" s="1486"/>
      <c r="B104" s="1488"/>
      <c r="C104" s="1488"/>
      <c r="D104" s="1503" t="s">
        <v>445</v>
      </c>
      <c r="E104" s="1488"/>
      <c r="F104" s="1488"/>
      <c r="G104" s="1479"/>
      <c r="I104" s="1416"/>
      <c r="J104" s="2492"/>
      <c r="L104" s="1499"/>
      <c r="M104" s="1500"/>
    </row>
    <row r="105" spans="1:16">
      <c r="A105" s="1504"/>
      <c r="B105" s="1505"/>
      <c r="C105" s="1505"/>
      <c r="D105" s="1506"/>
      <c r="E105" s="1505"/>
      <c r="F105" s="1505"/>
      <c r="G105" s="2071"/>
      <c r="H105" s="2070"/>
      <c r="I105" s="1507"/>
      <c r="J105" s="2503"/>
    </row>
    <row r="106" spans="1:16">
      <c r="B106" s="1372"/>
      <c r="G106" s="1438"/>
      <c r="I106" s="1416"/>
      <c r="J106" s="2492"/>
      <c r="N106" s="1473"/>
      <c r="O106" s="1508"/>
      <c r="P106" s="1509"/>
    </row>
    <row r="107" spans="1:16" ht="14.5" thickBot="1">
      <c r="G107" s="1488"/>
      <c r="H107" s="1535"/>
      <c r="I107" s="1416"/>
      <c r="J107" s="2492"/>
    </row>
    <row r="108" spans="1:16" ht="14.5" thickTop="1">
      <c r="A108" s="1510" t="s">
        <v>2318</v>
      </c>
      <c r="B108" s="1511"/>
      <c r="C108" s="1511"/>
      <c r="D108" s="1511"/>
      <c r="E108" s="1512"/>
      <c r="F108" s="1513"/>
      <c r="G108" s="1512"/>
      <c r="H108" s="1512"/>
      <c r="I108" s="1514"/>
      <c r="J108" s="2504"/>
    </row>
    <row r="109" spans="1:16">
      <c r="A109" s="1515"/>
      <c r="B109" s="1488"/>
      <c r="C109" s="1488"/>
      <c r="D109" s="1488"/>
      <c r="E109" s="1488"/>
      <c r="F109" s="1516"/>
      <c r="G109" s="1488"/>
      <c r="H109" s="1488"/>
      <c r="I109" s="2080"/>
      <c r="J109" s="2505"/>
    </row>
    <row r="110" spans="1:16">
      <c r="A110" s="1518" t="s">
        <v>7444</v>
      </c>
      <c r="B110" s="1488"/>
      <c r="C110" s="1488"/>
      <c r="D110" s="1488"/>
      <c r="E110" s="1488"/>
      <c r="F110" s="1519" t="e">
        <f>IF(F98&lt;0,F99,F98+F99)</f>
        <v>#REF!</v>
      </c>
      <c r="G110" s="1488"/>
      <c r="H110" s="1488"/>
      <c r="I110" s="2052" t="e">
        <f>IF(I98&lt;0,I99,I98+I99)</f>
        <v>#DIV/0!</v>
      </c>
      <c r="J110" s="2506" t="e">
        <f>IF(J98&lt;0,J99,J98+J99)</f>
        <v>#DIV/0!</v>
      </c>
    </row>
    <row r="111" spans="1:16">
      <c r="A111" s="1521" t="s">
        <v>7445</v>
      </c>
      <c r="B111" s="1488"/>
      <c r="C111" s="1488"/>
      <c r="D111" s="1488"/>
      <c r="E111" s="1488"/>
      <c r="F111" s="1522" t="e">
        <f>'Calc Data'!F30-#REF!</f>
        <v>#REF!</v>
      </c>
      <c r="G111" s="1488"/>
      <c r="H111" s="1488"/>
      <c r="I111" s="2081">
        <f>'Data Entry - SOF'!G75</f>
        <v>0</v>
      </c>
      <c r="J111" s="2507" t="e">
        <f>'Data Entry - SOF'!E78</f>
        <v>#DIV/0!</v>
      </c>
      <c r="N111" s="1473"/>
    </row>
    <row r="112" spans="1:16">
      <c r="A112" s="1521" t="s">
        <v>7446</v>
      </c>
      <c r="B112" s="1488"/>
      <c r="C112" s="1488"/>
      <c r="D112" s="1488"/>
      <c r="E112" s="1488"/>
      <c r="F112" s="1522" t="e">
        <f>'Calc Data'!F34</f>
        <v>#REF!</v>
      </c>
      <c r="G112" s="1488"/>
      <c r="H112" s="1488"/>
      <c r="I112" s="2081" t="e">
        <f>I74+I82</f>
        <v>#DIV/0!</v>
      </c>
      <c r="J112" s="2507" t="e">
        <f>J74+J82</f>
        <v>#DIV/0!</v>
      </c>
      <c r="N112" s="1473"/>
    </row>
    <row r="113" spans="1:11">
      <c r="A113" s="1521"/>
      <c r="B113" s="1488"/>
      <c r="C113" s="1488"/>
      <c r="D113" s="1488"/>
      <c r="E113" s="1488"/>
      <c r="F113" s="2082" t="e">
        <f>'Calc Data'!F37-IF(#REF!="N",MAX(#REF!,#REF!),MIN(#REF!,#REF!))</f>
        <v>#REF!</v>
      </c>
      <c r="G113" s="1488"/>
      <c r="H113" s="1488"/>
      <c r="I113" s="2081"/>
      <c r="J113" s="2507"/>
    </row>
    <row r="114" spans="1:11">
      <c r="A114" s="1521" t="s">
        <v>7660</v>
      </c>
      <c r="B114" s="1488"/>
      <c r="C114" s="1488"/>
      <c r="D114" s="1488"/>
      <c r="E114" s="1488"/>
      <c r="F114" s="2083" t="e">
        <f>SUM(F110:F113)</f>
        <v>#REF!</v>
      </c>
      <c r="G114" s="1488"/>
      <c r="H114" s="1488"/>
      <c r="I114" s="2084" t="e">
        <f>I110+I111-I112-'Data Entry - SOF'!G116</f>
        <v>#DIV/0!</v>
      </c>
      <c r="J114" s="2508" t="e">
        <f>J110+J111-J112-'Data Entry - SOF'!G116</f>
        <v>#DIV/0!</v>
      </c>
    </row>
    <row r="115" spans="1:11">
      <c r="A115" s="1521" t="s">
        <v>8696</v>
      </c>
      <c r="B115" s="1488"/>
      <c r="C115" s="1488"/>
      <c r="D115" s="1488"/>
      <c r="E115" s="1488"/>
      <c r="F115" s="1519"/>
      <c r="G115" s="1488"/>
      <c r="H115" s="1488"/>
      <c r="I115" s="2053" t="s">
        <v>1678</v>
      </c>
      <c r="J115" s="2509" t="s">
        <v>1678</v>
      </c>
    </row>
    <row r="116" spans="1:11">
      <c r="A116" s="1521" t="s">
        <v>8697</v>
      </c>
      <c r="B116" s="1488"/>
      <c r="C116" s="1488"/>
      <c r="D116" s="1488"/>
      <c r="E116" s="1488"/>
      <c r="F116" s="1519"/>
      <c r="G116" s="1488"/>
      <c r="H116" s="1488"/>
      <c r="I116" s="2052" t="e">
        <f>I114</f>
        <v>#DIV/0!</v>
      </c>
      <c r="J116" s="2506" t="e">
        <f>J114</f>
        <v>#DIV/0!</v>
      </c>
    </row>
    <row r="117" spans="1:11">
      <c r="A117" s="1527" t="s">
        <v>7461</v>
      </c>
      <c r="B117" s="1528"/>
      <c r="C117" s="1528"/>
      <c r="D117" s="1528"/>
      <c r="E117" s="1528"/>
      <c r="F117" s="2085" t="e">
        <f>IF(F98&gt;0,0,F98)</f>
        <v>#REF!</v>
      </c>
      <c r="G117" s="1528"/>
      <c r="H117" s="2067"/>
      <c r="I117" s="2081" t="e">
        <f>I180</f>
        <v>#DIV/0!</v>
      </c>
      <c r="J117" s="2507">
        <f>J174</f>
        <v>0</v>
      </c>
    </row>
    <row r="118" spans="1:11">
      <c r="A118" s="1527" t="s">
        <v>7462</v>
      </c>
      <c r="B118" s="1528"/>
      <c r="C118" s="1528"/>
      <c r="D118" s="1528"/>
      <c r="E118" s="1528"/>
      <c r="F118" s="1530"/>
      <c r="G118" s="1528"/>
      <c r="H118" s="2067"/>
      <c r="I118" s="2081">
        <f>'Data Entry - SOF'!C136*0.2</f>
        <v>0</v>
      </c>
      <c r="J118" s="2507">
        <f>'Data Entry - SOF'!C136*0.2</f>
        <v>0</v>
      </c>
    </row>
    <row r="119" spans="1:11" hidden="1">
      <c r="A119" s="1531"/>
      <c r="B119" s="1452"/>
      <c r="C119" s="1452"/>
      <c r="D119" s="1452"/>
      <c r="E119" s="1452"/>
      <c r="F119" s="1532"/>
      <c r="G119" s="1452"/>
      <c r="H119" s="1488"/>
      <c r="I119" s="2081"/>
      <c r="J119" s="2507"/>
    </row>
    <row r="120" spans="1:11" hidden="1">
      <c r="A120" s="2078" t="s">
        <v>7659</v>
      </c>
      <c r="B120" s="2073"/>
      <c r="C120" s="2073"/>
      <c r="D120" s="2073"/>
      <c r="E120" s="2073"/>
      <c r="F120" s="2074" t="e">
        <f>F114+F117</f>
        <v>#REF!</v>
      </c>
      <c r="G120" s="2073"/>
      <c r="H120" s="2075"/>
      <c r="I120" s="2072" t="e">
        <f>I114+I117+I118</f>
        <v>#DIV/0!</v>
      </c>
      <c r="J120" s="2510" t="e">
        <f>J114+J117+J118</f>
        <v>#DIV/0!</v>
      </c>
    </row>
    <row r="121" spans="1:11" ht="14.5" hidden="1" thickBot="1">
      <c r="A121" s="1533"/>
      <c r="B121" s="1534"/>
      <c r="C121" s="1534"/>
      <c r="D121" s="1534"/>
      <c r="E121" s="1534"/>
      <c r="F121" s="1534"/>
      <c r="G121" s="2076"/>
      <c r="H121" s="1534"/>
      <c r="I121" s="1536"/>
      <c r="J121" s="2511"/>
    </row>
    <row r="122" spans="1:11" ht="14.5" hidden="1" thickTop="1">
      <c r="D122" s="1415" t="s">
        <v>1159</v>
      </c>
      <c r="E122" s="1415"/>
      <c r="F122" s="1415"/>
      <c r="H122" s="1425">
        <f>H117+H120</f>
        <v>0</v>
      </c>
      <c r="I122" s="1416"/>
      <c r="J122" s="1537"/>
      <c r="K122" s="1537"/>
    </row>
    <row r="123" spans="1:11" ht="14.5" hidden="1" thickTop="1">
      <c r="D123" s="1415" t="s">
        <v>443</v>
      </c>
      <c r="E123" s="1415"/>
      <c r="F123" s="1415"/>
      <c r="I123" s="1416"/>
      <c r="J123" s="1538"/>
      <c r="K123" s="1538"/>
    </row>
    <row r="124" spans="1:11" ht="14.5" hidden="1" thickTop="1">
      <c r="D124" s="1415" t="s">
        <v>444</v>
      </c>
      <c r="I124" s="1416"/>
    </row>
    <row r="125" spans="1:11" ht="14.5" hidden="1" thickTop="1">
      <c r="D125" s="1415" t="s">
        <v>957</v>
      </c>
      <c r="I125" s="1416"/>
    </row>
    <row r="126" spans="1:11" ht="14.5" hidden="1" thickTop="1">
      <c r="D126" s="1415" t="s">
        <v>606</v>
      </c>
      <c r="I126" s="1416"/>
    </row>
    <row r="127" spans="1:11" ht="14.5" hidden="1" thickTop="1">
      <c r="D127" s="1415" t="s">
        <v>607</v>
      </c>
      <c r="I127" s="1416"/>
    </row>
    <row r="128" spans="1:11" ht="14.5" hidden="1" thickTop="1">
      <c r="D128" s="1415"/>
      <c r="I128" s="1416"/>
    </row>
    <row r="129" spans="1:11" ht="14.5" hidden="1" thickTop="1">
      <c r="I129" s="1416"/>
    </row>
    <row r="130" spans="1:11" ht="14.5" hidden="1" thickTop="1">
      <c r="I130" s="1416"/>
    </row>
    <row r="131" spans="1:11" ht="14.5" hidden="1" thickTop="1">
      <c r="I131" s="1416"/>
    </row>
    <row r="132" spans="1:11" ht="14.5" hidden="1" thickTop="1">
      <c r="A132" s="1372" t="s">
        <v>1573</v>
      </c>
      <c r="G132" s="1388"/>
      <c r="I132" s="1416"/>
    </row>
    <row r="133" spans="1:11" ht="14.5" hidden="1" thickTop="1">
      <c r="G133" s="1388"/>
      <c r="I133" s="1416"/>
    </row>
    <row r="134" spans="1:11" ht="14.5" hidden="1" thickTop="1">
      <c r="A134" s="1372" t="s">
        <v>1404</v>
      </c>
      <c r="G134" s="1388"/>
      <c r="H134" s="1388"/>
      <c r="I134" s="1416"/>
      <c r="J134" s="1388"/>
      <c r="K134" s="1388"/>
    </row>
    <row r="135" spans="1:11" ht="14.5" hidden="1" thickTop="1">
      <c r="A135" s="1372" t="s">
        <v>1405</v>
      </c>
      <c r="H135" s="1388"/>
      <c r="I135" s="1416"/>
      <c r="J135" s="1388"/>
      <c r="K135" s="1388"/>
    </row>
    <row r="136" spans="1:11" ht="14.5" hidden="1" thickTop="1">
      <c r="A136" s="1372" t="s">
        <v>486</v>
      </c>
      <c r="H136" s="1388"/>
      <c r="I136" s="1416"/>
      <c r="J136" s="1388"/>
      <c r="K136" s="1388"/>
    </row>
    <row r="137" spans="1:11" ht="14.5" hidden="1" thickTop="1">
      <c r="A137" s="1372" t="s">
        <v>487</v>
      </c>
      <c r="I137" s="1416"/>
    </row>
    <row r="138" spans="1:11" ht="14.5" hidden="1" thickTop="1">
      <c r="A138" s="1372" t="s">
        <v>955</v>
      </c>
      <c r="I138" s="1416"/>
    </row>
    <row r="139" spans="1:11" ht="14.5" hidden="1" thickTop="1">
      <c r="A139" s="1372" t="s">
        <v>956</v>
      </c>
      <c r="I139" s="1416"/>
    </row>
    <row r="140" spans="1:11" ht="14.5" hidden="1" thickTop="1">
      <c r="A140" s="1399" t="s">
        <v>1692</v>
      </c>
      <c r="I140" s="1416"/>
    </row>
    <row r="141" spans="1:11" ht="14.5" hidden="1" thickTop="1">
      <c r="I141" s="1416"/>
    </row>
    <row r="142" spans="1:11" ht="14.5" hidden="1" thickTop="1">
      <c r="A142" s="1372" t="s">
        <v>60</v>
      </c>
      <c r="I142" s="1416"/>
    </row>
    <row r="143" spans="1:11" ht="14.5" hidden="1" thickTop="1">
      <c r="A143" s="1372" t="s">
        <v>1599</v>
      </c>
      <c r="I143" s="1416"/>
    </row>
    <row r="144" spans="1:11" ht="14.5" hidden="1" thickTop="1">
      <c r="A144" s="1372" t="s">
        <v>1600</v>
      </c>
      <c r="I144" s="1416"/>
    </row>
    <row r="145" spans="1:11" ht="14.5" hidden="1" thickTop="1">
      <c r="A145" s="1372" t="s">
        <v>1717</v>
      </c>
      <c r="I145" s="1416"/>
    </row>
    <row r="146" spans="1:11" ht="14.5" hidden="1" thickTop="1">
      <c r="I146" s="1416"/>
    </row>
    <row r="147" spans="1:11" ht="14.5" hidden="1" thickTop="1">
      <c r="A147" s="1372" t="s">
        <v>1718</v>
      </c>
      <c r="I147" s="1416"/>
    </row>
    <row r="148" spans="1:11" ht="14.5" hidden="1" thickTop="1">
      <c r="A148" s="1372" t="s">
        <v>1719</v>
      </c>
      <c r="I148" s="1416"/>
    </row>
    <row r="149" spans="1:11" ht="14.5" hidden="1" thickTop="1">
      <c r="A149" s="1372" t="s">
        <v>319</v>
      </c>
      <c r="I149" s="1416"/>
    </row>
    <row r="150" spans="1:11" ht="14.5" hidden="1" thickTop="1">
      <c r="A150" s="1372" t="s">
        <v>1720</v>
      </c>
      <c r="I150" s="1416"/>
    </row>
    <row r="151" spans="1:11" ht="14.5" hidden="1" thickTop="1">
      <c r="A151" s="1372" t="s">
        <v>317</v>
      </c>
      <c r="I151" s="1416"/>
    </row>
    <row r="152" spans="1:11" ht="14.5" hidden="1" thickTop="1">
      <c r="I152" s="1416"/>
    </row>
    <row r="153" spans="1:11" ht="14.5" hidden="1" thickTop="1">
      <c r="A153" s="1399" t="s">
        <v>318</v>
      </c>
      <c r="I153" s="1416"/>
    </row>
    <row r="154" spans="1:11" ht="14.5" hidden="1" thickTop="1">
      <c r="I154" s="1416"/>
    </row>
    <row r="155" spans="1:11" ht="14.5" hidden="1" thickTop="1">
      <c r="I155" s="1416"/>
    </row>
    <row r="156" spans="1:11" ht="14.5" hidden="1" thickTop="1">
      <c r="I156" s="1416"/>
    </row>
    <row r="157" spans="1:11" ht="14.5" hidden="1" thickTop="1">
      <c r="E157" s="1373" t="s">
        <v>2598</v>
      </c>
      <c r="F157" s="1509" t="e">
        <f>SUM(F22:F28)</f>
        <v>#REF!</v>
      </c>
      <c r="H157" s="1509">
        <f>SUM(H22:H28)</f>
        <v>0</v>
      </c>
      <c r="I157" s="1539" t="e">
        <f>SUM(I22:I28)</f>
        <v>#DIV/0!</v>
      </c>
    </row>
    <row r="158" spans="1:11" ht="14.5" hidden="1" thickTop="1">
      <c r="E158" s="1373" t="s">
        <v>2599</v>
      </c>
      <c r="F158" s="1509" t="e">
        <f>F29+F31</f>
        <v>#REF!</v>
      </c>
      <c r="H158" s="1509">
        <f>H29+H31</f>
        <v>0</v>
      </c>
      <c r="I158" s="1540" t="e">
        <f>I29+I31</f>
        <v>#DIV/0!</v>
      </c>
    </row>
    <row r="159" spans="1:11" ht="14.5" hidden="1" thickTop="1">
      <c r="E159" s="1373" t="s">
        <v>2600</v>
      </c>
      <c r="F159" s="1509" t="e">
        <f>F33+F34</f>
        <v>#REF!</v>
      </c>
      <c r="H159" s="1509">
        <f>H33+H34</f>
        <v>0</v>
      </c>
      <c r="I159" s="1540" t="e">
        <f>I33+I34</f>
        <v>#DIV/0!</v>
      </c>
      <c r="J159" s="1509"/>
      <c r="K159" s="1509"/>
    </row>
    <row r="160" spans="1:11" ht="14.5" hidden="1" thickTop="1">
      <c r="E160" s="1373" t="s">
        <v>2601</v>
      </c>
      <c r="F160" s="1509" t="e">
        <f>F35+F42</f>
        <v>#REF!</v>
      </c>
      <c r="H160" s="1509">
        <f>H35+H42</f>
        <v>0</v>
      </c>
      <c r="I160" s="1540" t="e">
        <f>SUM(#REF!)</f>
        <v>#REF!</v>
      </c>
      <c r="J160" s="1509"/>
      <c r="K160" s="1509"/>
    </row>
    <row r="161" spans="4:11" ht="14.5" hidden="1" thickTop="1">
      <c r="E161" s="1373" t="s">
        <v>2648</v>
      </c>
      <c r="F161" s="1473" t="e">
        <f>Assumptions!G119*'Calc Data'!F25*'Calc Data'!F35*100</f>
        <v>#REF!</v>
      </c>
      <c r="H161" s="1473" t="e">
        <f>Assumptions!G119*'Calc Data'!F25*'Calc Data'!F35*100</f>
        <v>#REF!</v>
      </c>
      <c r="I161" s="1541" t="e">
        <f>Assumptions!H119*L61*'Calc Data'!D105*100</f>
        <v>#DIV/0!</v>
      </c>
      <c r="J161" s="1509"/>
      <c r="K161" s="1509"/>
    </row>
    <row r="162" spans="4:11" ht="14.5" hidden="1" thickTop="1">
      <c r="E162" s="1373" t="s">
        <v>2650</v>
      </c>
      <c r="F162" s="1473" t="e">
        <f>Assumptions!G120*'Calc Data'!F25*'Calc Data'!F38*100</f>
        <v>#REF!</v>
      </c>
      <c r="H162" s="1473" t="e">
        <f>Assumptions!G120*'Calc Data'!F25*'Calc Data'!BB29*100</f>
        <v>#REF!</v>
      </c>
      <c r="I162" s="1541" t="e">
        <f>Assumptions!H120*L61*'Calc Data'!D110*100</f>
        <v>#DIV/0!</v>
      </c>
      <c r="J162" s="1509"/>
      <c r="K162" s="1509"/>
    </row>
    <row r="163" spans="4:11" ht="14.5" hidden="1" thickTop="1">
      <c r="E163" s="1373" t="s">
        <v>7437</v>
      </c>
      <c r="I163" s="1542" t="e">
        <f>I43+I44+I45</f>
        <v>#DIV/0!</v>
      </c>
      <c r="J163" s="1473"/>
      <c r="K163" s="1473"/>
    </row>
    <row r="164" spans="4:11" ht="14.5" hidden="1" thickTop="1">
      <c r="I164" s="1509"/>
      <c r="J164" s="1473"/>
      <c r="K164" s="1473"/>
    </row>
    <row r="165" spans="4:11" ht="14.5" hidden="1" thickTop="1"/>
    <row r="166" spans="4:11" hidden="1">
      <c r="D166" s="2087"/>
      <c r="E166" s="2088"/>
      <c r="F166" s="2088"/>
      <c r="G166" s="2088"/>
      <c r="H166" s="2091" t="s">
        <v>8705</v>
      </c>
    </row>
    <row r="167" spans="4:11" hidden="1">
      <c r="H167" s="1543" t="s">
        <v>7650</v>
      </c>
    </row>
    <row r="168" spans="4:11" hidden="1">
      <c r="E168" s="1415"/>
      <c r="F168" s="1415"/>
      <c r="H168" s="1544" t="s">
        <v>7818</v>
      </c>
      <c r="I168" s="1545" t="e">
        <f>'SOF2122-HB3'!I176</f>
        <v>#REF!</v>
      </c>
    </row>
    <row r="169" spans="4:11" hidden="1">
      <c r="E169" s="1415"/>
      <c r="F169" s="1415"/>
      <c r="H169" s="1544" t="s">
        <v>7819</v>
      </c>
      <c r="I169" s="1546" t="e">
        <f>'SOF2122-HB3'!I177</f>
        <v>#REF!</v>
      </c>
    </row>
    <row r="170" spans="4:11" hidden="1">
      <c r="E170" s="1415"/>
      <c r="F170" s="1415"/>
      <c r="H170" s="1415"/>
      <c r="I170" s="1547"/>
    </row>
    <row r="171" spans="4:11" hidden="1">
      <c r="E171" s="1415"/>
      <c r="F171" s="1415"/>
      <c r="H171" s="1415"/>
      <c r="I171" s="1547"/>
    </row>
    <row r="172" spans="4:11" hidden="1">
      <c r="E172" s="1415"/>
      <c r="F172" s="1415"/>
      <c r="H172" s="1544" t="s">
        <v>7816</v>
      </c>
      <c r="I172" s="1546" t="e">
        <f>'SOF2122-HB3'!I180</f>
        <v>#REF!</v>
      </c>
    </row>
    <row r="173" spans="4:11" hidden="1">
      <c r="E173" s="1415"/>
      <c r="F173" s="1415"/>
      <c r="H173" s="1544" t="s">
        <v>7817</v>
      </c>
      <c r="I173" s="1546" t="e">
        <f>'SOF2122-HB3'!I181</f>
        <v>#REF!</v>
      </c>
    </row>
    <row r="174" spans="4:11" hidden="1">
      <c r="E174" s="1415"/>
      <c r="F174" s="1415"/>
      <c r="H174" s="1415"/>
      <c r="I174" s="1547"/>
    </row>
    <row r="175" spans="4:11" hidden="1">
      <c r="E175" s="1415"/>
      <c r="F175" s="1415"/>
      <c r="H175" s="1544" t="s">
        <v>7633</v>
      </c>
      <c r="I175" s="1548" t="e">
        <f>MIN(I169,I173)</f>
        <v>#REF!</v>
      </c>
    </row>
    <row r="176" spans="4:11" hidden="1">
      <c r="E176" s="1415"/>
      <c r="F176" s="1415"/>
      <c r="H176" s="2094" t="s">
        <v>8923</v>
      </c>
      <c r="I176" s="1549">
        <f>MAX('Data Entry - SOF'!C145,'Data Entry - SOF'!C146)</f>
        <v>0</v>
      </c>
    </row>
    <row r="177" spans="5:13" hidden="1">
      <c r="E177" s="1415"/>
      <c r="F177" s="1415"/>
      <c r="H177" s="1544" t="s">
        <v>7797</v>
      </c>
      <c r="I177" s="1550" t="e">
        <f>(I114+I118)/'Data Entry - SOF'!G19</f>
        <v>#DIV/0!</v>
      </c>
    </row>
    <row r="178" spans="5:13" hidden="1">
      <c r="H178" s="1551" t="s">
        <v>7631</v>
      </c>
      <c r="I178" s="1556" t="e">
        <f>IF(I177&gt;=I176,0,I176-I177)</f>
        <v>#DIV/0!</v>
      </c>
    </row>
    <row r="179" spans="5:13" hidden="1">
      <c r="H179" s="1551" t="s">
        <v>7798</v>
      </c>
      <c r="I179" s="1552">
        <f>'Data Entry - SOF'!G19</f>
        <v>0</v>
      </c>
    </row>
    <row r="180" spans="5:13" hidden="1">
      <c r="H180" s="1551" t="s">
        <v>7461</v>
      </c>
      <c r="I180" s="1553" t="e">
        <f>I178*I179</f>
        <v>#DIV/0!</v>
      </c>
    </row>
    <row r="181" spans="5:13" hidden="1"/>
    <row r="182" spans="5:13" hidden="1"/>
    <row r="183" spans="5:13" hidden="1">
      <c r="H183" s="1551" t="s">
        <v>7752</v>
      </c>
    </row>
    <row r="184" spans="5:13" hidden="1">
      <c r="J184" s="1554"/>
      <c r="K184" s="1554"/>
      <c r="M184" s="1555"/>
    </row>
    <row r="185" spans="5:13" hidden="1"/>
    <row r="195" spans="8:10">
      <c r="H195" s="1379" t="s">
        <v>8283</v>
      </c>
      <c r="I195" s="1769" t="e">
        <f>Assumptions!H155*L61*'Calc Data'!F105*100</f>
        <v>#DIV/0!</v>
      </c>
      <c r="J195" s="1771" t="e">
        <f>Assumptions!H155*L61*'Calc Data'!P105*100</f>
        <v>#DIV/0!</v>
      </c>
    </row>
    <row r="196" spans="8:10">
      <c r="H196" s="1379" t="s">
        <v>8284</v>
      </c>
      <c r="I196" s="1769" t="e">
        <f>'Calc Data'!F106</f>
        <v>#DIV/0!</v>
      </c>
      <c r="J196" s="1771" t="e">
        <f>'Calc Data'!P106</f>
        <v>#DIV/0!</v>
      </c>
    </row>
    <row r="198" spans="8:10">
      <c r="H198" s="1379" t="s">
        <v>8288</v>
      </c>
      <c r="I198" s="1769" t="e">
        <f>Assumptions!H156*L61*'Calc Data'!F110*100</f>
        <v>#DIV/0!</v>
      </c>
      <c r="J198" s="1771" t="e">
        <f>Assumptions!H156*L61*'Calc Data'!P110*100</f>
        <v>#DIV/0!</v>
      </c>
    </row>
    <row r="199" spans="8:10">
      <c r="H199" s="1379" t="s">
        <v>8289</v>
      </c>
      <c r="I199" s="1769" t="e">
        <f>'Calc Data'!F111</f>
        <v>#DIV/0!</v>
      </c>
      <c r="J199" s="1771" t="e">
        <f>'Calc Data'!P111</f>
        <v>#DIV/0!</v>
      </c>
    </row>
  </sheetData>
  <pageMargins left="0.7" right="0.7" top="0.75" bottom="0.75" header="0.3" footer="0.3"/>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3" tint="0.79998168889431442"/>
  </sheetPr>
  <dimension ref="A1:AL200"/>
  <sheetViews>
    <sheetView topLeftCell="E51" workbookViewId="0">
      <selection activeCell="L62" sqref="L62"/>
    </sheetView>
  </sheetViews>
  <sheetFormatPr defaultColWidth="8.7265625" defaultRowHeight="14"/>
  <cols>
    <col min="1" max="1" width="10.54296875" style="1373" bestFit="1" customWidth="1"/>
    <col min="2" max="2" width="8.7265625" style="1373"/>
    <col min="3" max="3" width="13.54296875" style="1373" customWidth="1"/>
    <col min="4" max="4" width="44.54296875" style="1373" customWidth="1"/>
    <col min="5" max="5" width="19.1796875" style="1373" customWidth="1"/>
    <col min="6" max="6" width="19.1796875" style="1373" hidden="1" customWidth="1"/>
    <col min="7" max="7" width="6.453125" style="1373" customWidth="1"/>
    <col min="8" max="8" width="3" style="1373" customWidth="1"/>
    <col min="9" max="9" width="24.1796875" style="1373" customWidth="1"/>
    <col min="10" max="11" width="32.54296875" style="1373" customWidth="1"/>
    <col min="12" max="12" width="15.54296875" style="1373" customWidth="1"/>
    <col min="13" max="13" width="15.54296875" style="1378" customWidth="1"/>
    <col min="14" max="14" width="23.81640625" style="1373" customWidth="1"/>
    <col min="15" max="15" width="15.54296875" style="1379" hidden="1" customWidth="1"/>
    <col min="16" max="16" width="13.54296875" style="1373" customWidth="1"/>
    <col min="17" max="37" width="8.7265625" style="1373"/>
    <col min="38" max="38" width="15.54296875" style="1373" customWidth="1"/>
    <col min="39" max="39" width="16" style="1373" customWidth="1"/>
    <col min="40" max="16384" width="8.7265625" style="1373"/>
  </cols>
  <sheetData>
    <row r="1" spans="1:11" hidden="1">
      <c r="A1" s="1372" t="s">
        <v>64</v>
      </c>
      <c r="C1" s="1374" t="str">
        <f>'Data Entry - SOF'!B1</f>
        <v xml:space="preserve"> </v>
      </c>
      <c r="E1" s="1375"/>
      <c r="F1" s="1376" t="e">
        <f>#REF!</f>
        <v>#REF!</v>
      </c>
      <c r="G1" s="1377"/>
      <c r="J1" s="1377"/>
      <c r="K1" s="1377"/>
    </row>
    <row r="2" spans="1:11" hidden="1">
      <c r="A2" s="1372" t="s">
        <v>65</v>
      </c>
      <c r="C2" s="1380">
        <f>'Data Entry - SOF'!B2</f>
        <v>0</v>
      </c>
      <c r="F2" s="1377" t="e">
        <f>#REF!</f>
        <v>#REF!</v>
      </c>
      <c r="G2" s="1377"/>
      <c r="J2" s="1377"/>
      <c r="K2" s="1377"/>
    </row>
    <row r="3" spans="1:11" hidden="1">
      <c r="A3" s="1372" t="s">
        <v>134</v>
      </c>
      <c r="C3" s="1381">
        <f ca="1">'Data Entry - SOF'!B3</f>
        <v>44931.882496064813</v>
      </c>
      <c r="F3" s="1382" t="e">
        <f>#REF!</f>
        <v>#REF!</v>
      </c>
    </row>
    <row r="4" spans="1:11" hidden="1">
      <c r="D4" s="1383" t="s">
        <v>2821</v>
      </c>
    </row>
    <row r="5" spans="1:11" hidden="1">
      <c r="D5" s="1384" t="s">
        <v>2840</v>
      </c>
    </row>
    <row r="6" spans="1:11" hidden="1"/>
    <row r="7" spans="1:11" hidden="1">
      <c r="D7" s="1372" t="s">
        <v>1308</v>
      </c>
    </row>
    <row r="8" spans="1:11" hidden="1">
      <c r="B8" s="1385"/>
      <c r="D8" s="1372" t="s">
        <v>786</v>
      </c>
      <c r="F8" s="1386">
        <f>'Calc Data'!G7</f>
        <v>0</v>
      </c>
      <c r="G8" s="1387"/>
      <c r="J8" s="1387"/>
      <c r="K8" s="1387"/>
    </row>
    <row r="9" spans="1:11" hidden="1">
      <c r="D9" s="1372" t="s">
        <v>1309</v>
      </c>
      <c r="F9" s="1386">
        <f>'Calc Data'!G8</f>
        <v>0</v>
      </c>
      <c r="G9" s="1387"/>
      <c r="J9" s="1387"/>
      <c r="K9" s="1387"/>
    </row>
    <row r="10" spans="1:11" hidden="1">
      <c r="D10" s="1372" t="s">
        <v>404</v>
      </c>
      <c r="F10" s="1386" t="e">
        <f>'Data Entry - SOF'!#REF!</f>
        <v>#REF!</v>
      </c>
      <c r="G10" s="1387"/>
      <c r="J10" s="1387"/>
      <c r="K10" s="1387"/>
    </row>
    <row r="11" spans="1:11" hidden="1">
      <c r="B11" s="1372"/>
      <c r="D11" s="1372" t="s">
        <v>405</v>
      </c>
      <c r="F11" s="1386" t="e">
        <f>'Calc Data'!G10</f>
        <v>#REF!</v>
      </c>
      <c r="G11" s="1387"/>
      <c r="J11" s="1387"/>
      <c r="K11" s="1387"/>
    </row>
    <row r="12" spans="1:11" hidden="1">
      <c r="D12" s="1372" t="s">
        <v>406</v>
      </c>
      <c r="F12" s="1388">
        <f>'Data Entry - SOF'!I63</f>
        <v>0</v>
      </c>
      <c r="G12" s="1388"/>
      <c r="J12" s="1388"/>
      <c r="K12" s="1388"/>
    </row>
    <row r="13" spans="1:11" hidden="1">
      <c r="D13" s="1372" t="s">
        <v>407</v>
      </c>
      <c r="F13" s="1388" t="e">
        <f>'Data Entry - SOF'!#REF!</f>
        <v>#REF!</v>
      </c>
      <c r="G13" s="1388"/>
      <c r="J13" s="1388"/>
      <c r="K13" s="1388"/>
    </row>
    <row r="14" spans="1:11" hidden="1">
      <c r="D14" s="1372" t="s">
        <v>1711</v>
      </c>
      <c r="F14" s="1386" t="e">
        <f>'Data Entry - SOF'!I128</f>
        <v>#REF!</v>
      </c>
      <c r="G14" s="1388"/>
      <c r="J14" s="1388"/>
      <c r="K14" s="1388"/>
    </row>
    <row r="15" spans="1:11" hidden="1">
      <c r="D15" s="1372" t="s">
        <v>1085</v>
      </c>
      <c r="F15" s="1386">
        <f>'Calc Data'!G59</f>
        <v>0</v>
      </c>
      <c r="G15" s="1389"/>
      <c r="J15" s="1389"/>
      <c r="K15" s="1389"/>
    </row>
    <row r="16" spans="1:11" hidden="1">
      <c r="D16" s="1372" t="s">
        <v>1849</v>
      </c>
      <c r="F16" s="1388" t="e">
        <f>'Data Entry - SOF'!#REF!</f>
        <v>#REF!</v>
      </c>
      <c r="G16" s="1388"/>
      <c r="J16" s="1388"/>
      <c r="K16" s="1388"/>
    </row>
    <row r="17" spans="2:38" ht="14.5" hidden="1" thickBot="1">
      <c r="D17" s="1390"/>
      <c r="E17" s="1391"/>
      <c r="F17" s="1391"/>
      <c r="G17" s="1388"/>
      <c r="J17" s="1388"/>
      <c r="K17" s="1388"/>
    </row>
    <row r="18" spans="2:38">
      <c r="D18" s="1372"/>
      <c r="G18" s="1388"/>
      <c r="I18" s="1392" t="s">
        <v>8487</v>
      </c>
      <c r="J18" s="2466" t="s">
        <v>10725</v>
      </c>
      <c r="K18" s="2668" t="s">
        <v>10726</v>
      </c>
    </row>
    <row r="19" spans="2:38">
      <c r="B19" s="1394" t="s">
        <v>408</v>
      </c>
      <c r="D19" s="1372"/>
      <c r="F19" s="1395" t="s">
        <v>3315</v>
      </c>
      <c r="G19" s="1372"/>
      <c r="I19" s="1396" t="s">
        <v>7427</v>
      </c>
      <c r="J19" s="1687" t="s">
        <v>10727</v>
      </c>
      <c r="K19" s="2669" t="s">
        <v>10728</v>
      </c>
    </row>
    <row r="20" spans="2:38">
      <c r="B20" s="1394">
        <v>11</v>
      </c>
      <c r="C20" s="1379" t="s">
        <v>7438</v>
      </c>
      <c r="D20" s="1399" t="s">
        <v>2817</v>
      </c>
      <c r="F20" s="1400" t="e">
        <f>ROUND(ROUND('Calc Data'!G23,0)*IF('Calc Data'!G11&gt;'Calc Data'!G10,'Calc Data'!G11,'Calc Data'!G10),0)</f>
        <v>#REF!</v>
      </c>
      <c r="G20" s="1388"/>
      <c r="I20" s="2476" t="e">
        <f>ROUND(Assumptions!H163*IF('Calc Data'!G12&gt;'Calc Data'!G11,'Calc Data'!G12,'Calc Data'!G11),0)</f>
        <v>#DIV/0!</v>
      </c>
      <c r="J20" s="2485" t="e">
        <f>I20</f>
        <v>#DIV/0!</v>
      </c>
      <c r="K20" s="2773" t="e">
        <f>I20</f>
        <v>#DIV/0!</v>
      </c>
      <c r="AL20" s="1388" t="e">
        <f>ROUND(ROUND('Calc Data'!AA23,0)*IF('Calc Data'!#REF!&gt;'Calc Data'!#REF!,'Calc Data'!#REF!,'Calc Data'!#REF!),0)</f>
        <v>#REF!</v>
      </c>
    </row>
    <row r="21" spans="2:38">
      <c r="B21" s="1394"/>
      <c r="C21" s="1404" t="s">
        <v>7439</v>
      </c>
      <c r="D21" s="1405" t="s">
        <v>7431</v>
      </c>
      <c r="E21" s="1406"/>
      <c r="F21" s="1407"/>
      <c r="G21" s="1408"/>
      <c r="H21" s="1408"/>
      <c r="I21" s="2476">
        <f>MAX('Calc Data'!G97,'Calc Data'!G99)</f>
        <v>0</v>
      </c>
      <c r="J21" s="2486">
        <f t="shared" ref="J21:J61" si="0">I21</f>
        <v>0</v>
      </c>
      <c r="K21" s="2773">
        <f t="shared" ref="K21:K60" si="1">I21</f>
        <v>0</v>
      </c>
      <c r="AL21" s="1388"/>
    </row>
    <row r="22" spans="2:38">
      <c r="B22" s="1394">
        <v>23</v>
      </c>
      <c r="C22" s="1379" t="s">
        <v>7439</v>
      </c>
      <c r="D22" s="1372" t="s">
        <v>7455</v>
      </c>
      <c r="F22" s="1388" t="e">
        <f>ROUND('Calc Data'!G9*ROUND('Calc Data'!G23,0),0)</f>
        <v>#REF!</v>
      </c>
      <c r="G22" s="1388"/>
      <c r="I22" s="2477" t="e">
        <f>ROUND('Calc Data'!G9*(Assumptions!H163+'Calc Data'!G96),0)</f>
        <v>#DIV/0!</v>
      </c>
      <c r="J22" s="2486" t="e">
        <f t="shared" si="0"/>
        <v>#DIV/0!</v>
      </c>
      <c r="K22" s="2773" t="e">
        <f t="shared" si="1"/>
        <v>#DIV/0!</v>
      </c>
      <c r="AL22" s="1388" t="e">
        <f>ROUND('Calc Data'!#REF!*ROUND('Calc Data'!AA23,0),0)</f>
        <v>#REF!</v>
      </c>
    </row>
    <row r="23" spans="2:38">
      <c r="B23" s="1394"/>
      <c r="C23" s="1379" t="s">
        <v>7439</v>
      </c>
      <c r="D23" s="1372" t="s">
        <v>87</v>
      </c>
      <c r="F23" s="1415"/>
      <c r="I23" s="2478"/>
      <c r="J23" s="2486">
        <f t="shared" si="0"/>
        <v>0</v>
      </c>
      <c r="K23" s="2773">
        <f t="shared" si="1"/>
        <v>0</v>
      </c>
    </row>
    <row r="24" spans="2:38">
      <c r="B24" s="1394">
        <v>23</v>
      </c>
      <c r="C24" s="1379" t="s">
        <v>7439</v>
      </c>
      <c r="D24" s="1372" t="s">
        <v>88</v>
      </c>
      <c r="F24" s="1418" t="e">
        <f>ROUND('Data Entry - SOF'!I32*Weights!O21*ROUND('Calc Data'!G23,0),0)</f>
        <v>#REF!</v>
      </c>
      <c r="G24" s="1418"/>
      <c r="I24" s="2479">
        <f>IF('Data Entry - SOF'!I32=0,0,ROUND('Data Entry - SOF'!I32*'Weights-HB3'!L18*(Assumptions!H163+'Calc Data'!G96),0))</f>
        <v>0</v>
      </c>
      <c r="J24" s="2486">
        <f t="shared" si="0"/>
        <v>0</v>
      </c>
      <c r="K24" s="2773">
        <f t="shared" si="1"/>
        <v>0</v>
      </c>
      <c r="AL24" s="1418" t="e">
        <f>ROUND('Data Entry - SOF'!#REF!*1.1*ROUND('Calc Data'!AA23,0),0)</f>
        <v>#REF!</v>
      </c>
    </row>
    <row r="25" spans="2:38">
      <c r="B25" s="1394">
        <v>23</v>
      </c>
      <c r="C25" s="1379" t="s">
        <v>7439</v>
      </c>
      <c r="D25" s="1372" t="s">
        <v>89</v>
      </c>
      <c r="F25" s="1388" t="e">
        <f>ROUND((+'Data Entry - SOF'!I31*Weights!O19)*ROUND('Calc Data'!G23,0),0)</f>
        <v>#REF!</v>
      </c>
      <c r="G25" s="1388"/>
      <c r="I25" s="2477">
        <f>IF('Data Entry - SOF'!I31=0,0,ROUND(('Data Entry - SOF'!I31*'Weights-HB3'!L16)*(Assumptions!H163+'Calc Data'!G96),0))</f>
        <v>0</v>
      </c>
      <c r="J25" s="2486">
        <f t="shared" si="0"/>
        <v>0</v>
      </c>
      <c r="K25" s="2773">
        <f t="shared" si="1"/>
        <v>0</v>
      </c>
      <c r="AL25" s="1388" t="e">
        <f>ROUND((+'Data Entry - SOF'!#REF!*4)*ROUND('Calc Data'!AA23,0),0)</f>
        <v>#REF!</v>
      </c>
    </row>
    <row r="26" spans="2:38">
      <c r="B26" s="1394">
        <v>23</v>
      </c>
      <c r="C26" s="1379" t="s">
        <v>7439</v>
      </c>
      <c r="D26" s="1421" t="s">
        <v>766</v>
      </c>
      <c r="F26" s="1388" t="e">
        <f>ROUND((+'Data Entry - SOF'!I29*Weights!O17)*ROUND('Calc Data'!G23,0),0)</f>
        <v>#REF!</v>
      </c>
      <c r="G26" s="1388"/>
      <c r="I26" s="2477">
        <f>IF('Data Entry - SOF'!I29=0,0,ROUND(('Data Entry - SOF'!I29*'Weights-HB3'!L14)*(Assumptions!H163+'Calc Data'!G96),0))</f>
        <v>0</v>
      </c>
      <c r="J26" s="2486">
        <f t="shared" si="0"/>
        <v>0</v>
      </c>
      <c r="K26" s="2773">
        <f t="shared" si="1"/>
        <v>0</v>
      </c>
      <c r="AL26" s="1388" t="e">
        <f>ROUND((+'Data Entry - SOF'!#REF!*2.8)*ROUND('Calc Data'!AA23,0),0)</f>
        <v>#REF!</v>
      </c>
    </row>
    <row r="27" spans="2:38">
      <c r="B27" s="1394">
        <v>23</v>
      </c>
      <c r="C27" s="1379" t="s">
        <v>7439</v>
      </c>
      <c r="D27" s="1421" t="s">
        <v>767</v>
      </c>
      <c r="F27" s="1388" t="e">
        <f>ROUND(('Data Entry - SOF'!I30*Weights!O18)*ROUND('Calc Data'!G23,0),0)</f>
        <v>#REF!</v>
      </c>
      <c r="G27" s="1388"/>
      <c r="I27" s="2477">
        <f>IF('Data Entry - SOF'!I30=0,0,ROUND(('Data Entry - SOF'!I30*'Weights-HB3'!L15)*(Assumptions!H163+'Calc Data'!G96),0))</f>
        <v>0</v>
      </c>
      <c r="J27" s="2486">
        <f t="shared" si="0"/>
        <v>0</v>
      </c>
      <c r="K27" s="2773">
        <f t="shared" si="1"/>
        <v>0</v>
      </c>
      <c r="AL27" s="1388" t="e">
        <f>ROUND(('Data Entry - SOF'!#REF!*1.7)*ROUND('Calc Data'!AA23,0),0)</f>
        <v>#REF!</v>
      </c>
    </row>
    <row r="28" spans="2:38">
      <c r="B28" s="1394"/>
      <c r="C28" s="1379" t="s">
        <v>7439</v>
      </c>
      <c r="D28" s="1372" t="s">
        <v>1075</v>
      </c>
      <c r="F28" s="1388" t="e">
        <f>IF('Data Entry - SOF'!#REF!&lt;0,'Data Entry - SOF'!#REF!,'Data Entry - SOF'!#REF!*-1)</f>
        <v>#REF!</v>
      </c>
      <c r="G28" s="1388"/>
      <c r="I28" s="2477">
        <f>IF('Data Entry - SOF'!I96&lt;0,'Data Entry - SOF'!I96,'Data Entry - SOF'!I96*-1)</f>
        <v>0</v>
      </c>
      <c r="J28" s="2486">
        <f t="shared" si="0"/>
        <v>0</v>
      </c>
      <c r="K28" s="2773">
        <f t="shared" si="1"/>
        <v>0</v>
      </c>
      <c r="AL28" s="1388">
        <v>0</v>
      </c>
    </row>
    <row r="29" spans="2:38">
      <c r="B29" s="1394">
        <v>22</v>
      </c>
      <c r="C29" s="1379" t="s">
        <v>7439</v>
      </c>
      <c r="D29" s="2174" t="s">
        <v>9043</v>
      </c>
      <c r="E29" s="1417"/>
      <c r="F29" s="2172" t="e">
        <f>ROUND(ROUND('Calc Data'!D23,0)*'Data Entry - SOF'!#REF!*Weights!M23,0)</f>
        <v>#REF!</v>
      </c>
      <c r="G29" s="2172"/>
      <c r="H29" s="1417"/>
      <c r="I29" s="2480" t="e">
        <f>ROUND((Assumptions!H163+'Calc Data'!G96)*'Data Entry - SOF'!I36*'Weights-HB3'!L21,0)</f>
        <v>#DIV/0!</v>
      </c>
      <c r="J29" s="2486" t="e">
        <f t="shared" si="0"/>
        <v>#DIV/0!</v>
      </c>
      <c r="K29" s="2773" t="e">
        <f t="shared" si="1"/>
        <v>#DIV/0!</v>
      </c>
      <c r="AL29" s="1388" t="e">
        <f>ROUND(ROUND('Calc Data'!AA23,0)*'Data Entry - SOF'!#REF!*1.35,0)</f>
        <v>#REF!</v>
      </c>
    </row>
    <row r="30" spans="2:38">
      <c r="B30" s="1394"/>
      <c r="C30" s="1379" t="s">
        <v>7439</v>
      </c>
      <c r="D30" s="2174" t="s">
        <v>9045</v>
      </c>
      <c r="E30" s="1417"/>
      <c r="F30" s="2172"/>
      <c r="G30" s="2172"/>
      <c r="H30" s="1417"/>
      <c r="I30" s="2480" t="e">
        <f>ROUND((Assumptions!H163+'Calc Data'!G96)*'Data Entry - SOF'!I37*'Weights-HB3'!L22,0)</f>
        <v>#DIV/0!</v>
      </c>
      <c r="J30" s="2486" t="e">
        <f t="shared" si="0"/>
        <v>#DIV/0!</v>
      </c>
      <c r="K30" s="2773" t="e">
        <f t="shared" si="1"/>
        <v>#DIV/0!</v>
      </c>
      <c r="AL30" s="1388"/>
    </row>
    <row r="31" spans="2:38">
      <c r="B31" s="1394"/>
      <c r="C31" s="1379" t="s">
        <v>7439</v>
      </c>
      <c r="D31" s="2174" t="s">
        <v>9044</v>
      </c>
      <c r="E31" s="1417"/>
      <c r="F31" s="2172"/>
      <c r="G31" s="2172"/>
      <c r="H31" s="1417"/>
      <c r="I31" s="2480" t="e">
        <f>ROUND((Assumptions!H163+'Calc Data'!G96)*'Data Entry - SOF'!I38*'Weights-HB3'!L23,0)</f>
        <v>#DIV/0!</v>
      </c>
      <c r="J31" s="2486" t="e">
        <f t="shared" si="0"/>
        <v>#DIV/0!</v>
      </c>
      <c r="K31" s="2773" t="e">
        <f t="shared" si="1"/>
        <v>#DIV/0!</v>
      </c>
      <c r="AL31" s="1388"/>
    </row>
    <row r="32" spans="2:38">
      <c r="B32" s="1394"/>
      <c r="C32" s="1379" t="s">
        <v>7439</v>
      </c>
      <c r="D32" s="2093" t="s">
        <v>9048</v>
      </c>
      <c r="E32" s="1417"/>
      <c r="F32" s="2172">
        <f>Weights!M24*'Data Entry - SOF'!C37</f>
        <v>0</v>
      </c>
      <c r="G32" s="2172"/>
      <c r="H32" s="1417"/>
      <c r="I32" s="2480">
        <f>ROUND('Weights-HB3'!L24*('Data Entry - SOF'!I39+'Data Entry - SOF'!I40),0)</f>
        <v>0</v>
      </c>
      <c r="J32" s="2486">
        <f t="shared" si="0"/>
        <v>0</v>
      </c>
      <c r="K32" s="2773">
        <f t="shared" si="1"/>
        <v>0</v>
      </c>
      <c r="AL32" s="1388"/>
    </row>
    <row r="33" spans="2:38">
      <c r="B33" s="1394">
        <v>21</v>
      </c>
      <c r="C33" s="1379" t="s">
        <v>7439</v>
      </c>
      <c r="D33" s="2174" t="s">
        <v>2642</v>
      </c>
      <c r="E33" s="1417"/>
      <c r="F33" s="2172" t="e">
        <f>ROUND(ROUND('Calc Data'!G23,0)*'Data Entry - SOF'!I189*Weights!O28,0)</f>
        <v>#REF!</v>
      </c>
      <c r="G33" s="2172"/>
      <c r="H33" s="1417"/>
      <c r="I33" s="2480" t="e">
        <f>ROUND(Assumptions!H163*'Data Entry - SOF'!I189*'Weights-HB3'!L31,0)</f>
        <v>#DIV/0!</v>
      </c>
      <c r="J33" s="2486" t="e">
        <f t="shared" si="0"/>
        <v>#DIV/0!</v>
      </c>
      <c r="K33" s="2773" t="e">
        <f t="shared" si="1"/>
        <v>#DIV/0!</v>
      </c>
      <c r="AL33" s="1388" t="e">
        <f>ROUND(ROUND('Calc Data'!AA23,0)*'Data Entry - SOF'!#REF!*0.12,0)</f>
        <v>#REF!</v>
      </c>
    </row>
    <row r="34" spans="2:38">
      <c r="B34" s="1394"/>
      <c r="C34" s="1379" t="s">
        <v>7439</v>
      </c>
      <c r="D34" s="1372" t="s">
        <v>376</v>
      </c>
      <c r="F34" s="1388" t="e">
        <f>IF('Data Entry - SOF'!#REF!&lt;0,'Data Entry - SOF'!#REF!,'Data Entry - SOF'!#REF!*-1)</f>
        <v>#REF!</v>
      </c>
      <c r="G34" s="1388"/>
      <c r="I34" s="2477">
        <f>IF('Data Entry - SOF'!I95&lt;0,'Data Entry - SOF'!I95,'Data Entry - SOF'!I95*-1)</f>
        <v>0</v>
      </c>
      <c r="J34" s="2486">
        <f t="shared" si="0"/>
        <v>0</v>
      </c>
      <c r="K34" s="2773">
        <f t="shared" si="1"/>
        <v>0</v>
      </c>
      <c r="AL34" s="1388">
        <v>0</v>
      </c>
    </row>
    <row r="35" spans="2:38">
      <c r="B35" s="1394" t="s">
        <v>2357</v>
      </c>
      <c r="C35" s="1404" t="s">
        <v>7439</v>
      </c>
      <c r="D35" s="1424" t="s">
        <v>2732</v>
      </c>
      <c r="E35" s="1406"/>
      <c r="F35" s="1408" t="e">
        <f>ROUND(ROUND('Calc Data'!G23,0)*'Data Entry - SOF'!#REF!*Weights!O30,0)</f>
        <v>#REF!</v>
      </c>
      <c r="G35" s="1408"/>
      <c r="H35" s="1408"/>
      <c r="I35" s="2481"/>
      <c r="J35" s="2486">
        <f t="shared" si="0"/>
        <v>0</v>
      </c>
      <c r="K35" s="2773">
        <f t="shared" si="1"/>
        <v>0</v>
      </c>
      <c r="AL35" s="1388" t="e">
        <f>ROUND(ROUND('Calc Data'!AA23,0)*'Data Entry - SOF'!#REF!*0.2,0)</f>
        <v>#REF!</v>
      </c>
    </row>
    <row r="36" spans="2:38">
      <c r="B36" s="1394"/>
      <c r="C36" s="1404" t="s">
        <v>7439</v>
      </c>
      <c r="D36" s="1405" t="s">
        <v>7465</v>
      </c>
      <c r="E36" s="1406"/>
      <c r="F36" s="1408"/>
      <c r="G36" s="1408"/>
      <c r="H36" s="1408"/>
      <c r="I36" s="2481" t="e">
        <f>ROUND(Assumptions!H163*'Data Entry - SOF'!I49*'Weights-HB3'!L34,0)</f>
        <v>#DIV/0!</v>
      </c>
      <c r="J36" s="2486" t="e">
        <f t="shared" si="0"/>
        <v>#DIV/0!</v>
      </c>
      <c r="K36" s="2773" t="e">
        <f t="shared" si="1"/>
        <v>#DIV/0!</v>
      </c>
      <c r="AL36" s="1388"/>
    </row>
    <row r="37" spans="2:38">
      <c r="B37" s="1394"/>
      <c r="C37" s="1404" t="s">
        <v>7439</v>
      </c>
      <c r="D37" s="1405" t="s">
        <v>7484</v>
      </c>
      <c r="E37" s="1406"/>
      <c r="F37" s="1408"/>
      <c r="G37" s="1408"/>
      <c r="H37" s="1408"/>
      <c r="I37" s="2481" t="e">
        <f>ROUND(Assumptions!H163*'Data Entry - SOF'!I51*'Weights-HB3'!L36,0)</f>
        <v>#DIV/0!</v>
      </c>
      <c r="J37" s="2486" t="e">
        <f t="shared" si="0"/>
        <v>#DIV/0!</v>
      </c>
      <c r="K37" s="2773" t="e">
        <f t="shared" si="1"/>
        <v>#DIV/0!</v>
      </c>
      <c r="AL37" s="1388"/>
    </row>
    <row r="38" spans="2:38">
      <c r="B38" s="1394"/>
      <c r="C38" s="1404" t="s">
        <v>7439</v>
      </c>
      <c r="D38" s="1405" t="s">
        <v>7485</v>
      </c>
      <c r="E38" s="1406"/>
      <c r="F38" s="1408"/>
      <c r="G38" s="1408"/>
      <c r="H38" s="1408"/>
      <c r="I38" s="2481" t="e">
        <f>ROUND(Assumptions!H163*'Data Entry - SOF'!I52*'Weights-HB3'!L37,0)</f>
        <v>#DIV/0!</v>
      </c>
      <c r="J38" s="2486" t="e">
        <f t="shared" si="0"/>
        <v>#DIV/0!</v>
      </c>
      <c r="K38" s="2773" t="e">
        <f t="shared" si="1"/>
        <v>#DIV/0!</v>
      </c>
      <c r="AL38" s="1388"/>
    </row>
    <row r="39" spans="2:38">
      <c r="B39" s="1394"/>
      <c r="C39" s="1404" t="s">
        <v>7439</v>
      </c>
      <c r="D39" s="1405" t="s">
        <v>7486</v>
      </c>
      <c r="E39" s="1406"/>
      <c r="F39" s="1408"/>
      <c r="G39" s="1408"/>
      <c r="H39" s="1408"/>
      <c r="I39" s="2481" t="e">
        <f>ROUND(Assumptions!H163*'Data Entry - SOF'!I53*'Weights-HB3'!L38,0)</f>
        <v>#DIV/0!</v>
      </c>
      <c r="J39" s="2486" t="e">
        <f t="shared" si="0"/>
        <v>#DIV/0!</v>
      </c>
      <c r="K39" s="2773" t="e">
        <f t="shared" si="1"/>
        <v>#DIV/0!</v>
      </c>
      <c r="AL39" s="1388"/>
    </row>
    <row r="40" spans="2:38">
      <c r="B40" s="1394"/>
      <c r="C40" s="1404" t="s">
        <v>7439</v>
      </c>
      <c r="D40" s="1405" t="s">
        <v>7487</v>
      </c>
      <c r="E40" s="1406"/>
      <c r="F40" s="1408"/>
      <c r="G40" s="1408"/>
      <c r="H40" s="1408"/>
      <c r="I40" s="2481" t="e">
        <f>ROUND(Assumptions!H163*'Data Entry - SOF'!I54*'Weights-HB3'!L39,0)</f>
        <v>#DIV/0!</v>
      </c>
      <c r="J40" s="2486" t="e">
        <f t="shared" si="0"/>
        <v>#DIV/0!</v>
      </c>
      <c r="K40" s="2773" t="e">
        <f t="shared" si="1"/>
        <v>#DIV/0!</v>
      </c>
      <c r="AL40" s="1388"/>
    </row>
    <row r="41" spans="2:38">
      <c r="B41" s="1394"/>
      <c r="C41" s="1404" t="s">
        <v>7439</v>
      </c>
      <c r="D41" s="1405" t="s">
        <v>7488</v>
      </c>
      <c r="E41" s="1406"/>
      <c r="F41" s="1408"/>
      <c r="G41" s="1408"/>
      <c r="H41" s="1408"/>
      <c r="I41" s="2481" t="e">
        <f>ROUND(Assumptions!H163*'Data Entry - SOF'!I55*'Weights-HB3'!L40,0)</f>
        <v>#DIV/0!</v>
      </c>
      <c r="J41" s="2486" t="e">
        <f t="shared" si="0"/>
        <v>#DIV/0!</v>
      </c>
      <c r="K41" s="2773" t="e">
        <f t="shared" si="1"/>
        <v>#DIV/0!</v>
      </c>
      <c r="L41" s="1473" t="e">
        <f>SUM(I37:I41)</f>
        <v>#DIV/0!</v>
      </c>
      <c r="AL41" s="1388"/>
    </row>
    <row r="42" spans="2:38">
      <c r="B42" s="1394" t="s">
        <v>2357</v>
      </c>
      <c r="C42" s="1379" t="s">
        <v>7439</v>
      </c>
      <c r="D42" s="1372" t="s">
        <v>377</v>
      </c>
      <c r="F42" s="1388" t="e">
        <f>ROUND(ROUND('Calc Data'!G23,0)*'Data Entry - SOF'!I33*Weights!O31,0)</f>
        <v>#REF!</v>
      </c>
      <c r="G42" s="1388"/>
      <c r="I42" s="2477" t="e">
        <f>ROUND(Assumptions!H163*'Data Entry - SOF'!I33*'Weights-HB3'!L43,0)</f>
        <v>#DIV/0!</v>
      </c>
      <c r="J42" s="2486" t="e">
        <f t="shared" si="0"/>
        <v>#DIV/0!</v>
      </c>
      <c r="K42" s="2773" t="e">
        <f t="shared" si="1"/>
        <v>#DIV/0!</v>
      </c>
      <c r="AL42" s="1388" t="e">
        <f>ROUND(ROUND('Calc Data'!AA23,0)*'Data Entry - SOF'!#REF!*2.41,0)</f>
        <v>#REF!</v>
      </c>
    </row>
    <row r="43" spans="2:38">
      <c r="B43" s="1394">
        <v>25</v>
      </c>
      <c r="C43" s="1379" t="s">
        <v>7439</v>
      </c>
      <c r="D43" s="1372" t="s">
        <v>7450</v>
      </c>
      <c r="F43" s="1388" t="e">
        <f>ROUND(ROUND('Calc Data'!G23,0)*('Data Entry - SOF'!#REF!*Weights!O26),0)</f>
        <v>#REF!</v>
      </c>
      <c r="G43" s="1388"/>
      <c r="I43" s="2477" t="e">
        <f>ROUND(Assumptions!H163*'Data Entry - SOF'!I41*'Weights-HB3'!L26,0)</f>
        <v>#DIV/0!</v>
      </c>
      <c r="J43" s="2486" t="e">
        <f t="shared" si="0"/>
        <v>#DIV/0!</v>
      </c>
      <c r="K43" s="2773" t="e">
        <f t="shared" si="1"/>
        <v>#DIV/0!</v>
      </c>
      <c r="AL43" s="1388" t="e">
        <f>ROUND(ROUND('Calc Data'!AA23,0)*('Data Entry - SOF'!#REF!*0.1),0)</f>
        <v>#REF!</v>
      </c>
    </row>
    <row r="44" spans="2:38">
      <c r="B44" s="1394"/>
      <c r="C44" s="1404" t="s">
        <v>7439</v>
      </c>
      <c r="D44" s="1424" t="s">
        <v>7451</v>
      </c>
      <c r="E44" s="1406"/>
      <c r="F44" s="1408"/>
      <c r="G44" s="1408"/>
      <c r="H44" s="1408"/>
      <c r="I44" s="2477" t="e">
        <f>ROUND(Assumptions!H163*'Data Entry - SOF'!I42*'Weights-HB3'!L27,0)</f>
        <v>#DIV/0!</v>
      </c>
      <c r="J44" s="2486" t="e">
        <f t="shared" si="0"/>
        <v>#DIV/0!</v>
      </c>
      <c r="K44" s="2773" t="e">
        <f t="shared" si="1"/>
        <v>#DIV/0!</v>
      </c>
      <c r="AL44" s="1388"/>
    </row>
    <row r="45" spans="2:38">
      <c r="B45" s="1394"/>
      <c r="C45" s="1404" t="s">
        <v>7439</v>
      </c>
      <c r="D45" s="1424" t="s">
        <v>7452</v>
      </c>
      <c r="E45" s="1406"/>
      <c r="F45" s="1408"/>
      <c r="G45" s="1408"/>
      <c r="H45" s="1408"/>
      <c r="I45" s="2477" t="e">
        <f>ROUND(Assumptions!H163*'Data Entry - SOF'!I43*'Weights-HB3'!L28,0)</f>
        <v>#DIV/0!</v>
      </c>
      <c r="J45" s="2486" t="e">
        <f t="shared" si="0"/>
        <v>#DIV/0!</v>
      </c>
      <c r="K45" s="2773" t="e">
        <f t="shared" si="1"/>
        <v>#DIV/0!</v>
      </c>
      <c r="AL45" s="1388"/>
    </row>
    <row r="46" spans="2:38">
      <c r="B46" s="1394"/>
      <c r="C46" s="1404" t="s">
        <v>7439</v>
      </c>
      <c r="D46" s="1424" t="s">
        <v>7436</v>
      </c>
      <c r="E46" s="1406"/>
      <c r="F46" s="1408"/>
      <c r="G46" s="1408"/>
      <c r="H46" s="1408"/>
      <c r="I46" s="2477" t="e">
        <f>ROUND(Assumptions!H163*'Data Entry - SOF'!I60*'Weights-HB3'!L72,0)</f>
        <v>#DIV/0!</v>
      </c>
      <c r="J46" s="2486" t="e">
        <f t="shared" si="0"/>
        <v>#DIV/0!</v>
      </c>
      <c r="K46" s="2773" t="e">
        <f t="shared" si="1"/>
        <v>#DIV/0!</v>
      </c>
      <c r="AL46" s="1388"/>
    </row>
    <row r="47" spans="2:38">
      <c r="B47" s="1394"/>
      <c r="C47" s="1404" t="s">
        <v>7439</v>
      </c>
      <c r="D47" s="1424" t="s">
        <v>7628</v>
      </c>
      <c r="E47" s="1406"/>
      <c r="F47" s="1408"/>
      <c r="G47" s="1408"/>
      <c r="H47" s="1408"/>
      <c r="I47" s="2477" t="e">
        <f>Assumptions!H163*'Data Entry - SOF'!I45*'Weights-HB3'!L74</f>
        <v>#DIV/0!</v>
      </c>
      <c r="J47" s="2486" t="e">
        <f t="shared" si="0"/>
        <v>#DIV/0!</v>
      </c>
      <c r="K47" s="2773" t="e">
        <f t="shared" si="1"/>
        <v>#DIV/0!</v>
      </c>
      <c r="AL47" s="1388"/>
    </row>
    <row r="48" spans="2:38">
      <c r="B48" s="1394"/>
      <c r="C48" s="1404" t="s">
        <v>7439</v>
      </c>
      <c r="D48" s="1424" t="s">
        <v>7827</v>
      </c>
      <c r="E48" s="1406"/>
      <c r="F48" s="1408"/>
      <c r="G48" s="1408"/>
      <c r="H48" s="1408"/>
      <c r="I48" s="2477">
        <f>('Data Entry - SOF'!I57*'Weights-HB3'!L113)+('Data Entry - SOF'!I58*'Weights-HB3'!L114)+('Data Entry - SOF'!I59*'Weights-HB3'!L115)</f>
        <v>0</v>
      </c>
      <c r="J48" s="2486">
        <f t="shared" si="0"/>
        <v>0</v>
      </c>
      <c r="K48" s="2773">
        <f t="shared" si="1"/>
        <v>0</v>
      </c>
      <c r="AL48" s="1388"/>
    </row>
    <row r="49" spans="2:38">
      <c r="B49" s="1394">
        <v>31</v>
      </c>
      <c r="C49" s="1379" t="s">
        <v>7439</v>
      </c>
      <c r="D49" s="1415" t="s">
        <v>2296</v>
      </c>
      <c r="F49" s="1388" t="e">
        <f>Weights!O33*'Data Entry - SOF'!#REF!</f>
        <v>#REF!</v>
      </c>
      <c r="G49" s="1388"/>
      <c r="I49" s="2481"/>
      <c r="J49" s="2486">
        <f t="shared" si="0"/>
        <v>0</v>
      </c>
      <c r="K49" s="2773">
        <f t="shared" si="1"/>
        <v>0</v>
      </c>
      <c r="AL49" s="1388" t="e">
        <f>#REF!</f>
        <v>#REF!</v>
      </c>
    </row>
    <row r="50" spans="2:38">
      <c r="B50" s="1394"/>
      <c r="C50" s="1379" t="s">
        <v>7439</v>
      </c>
      <c r="D50" s="1372" t="s">
        <v>825</v>
      </c>
      <c r="F50" s="1388" t="e">
        <f>ROUND(ROUND('Calc Data'!G23,0)*'Data Entry - SOF'!I46*Weights!O37,0)</f>
        <v>#REF!</v>
      </c>
      <c r="G50" s="1388"/>
      <c r="I50" s="2482" t="e">
        <f>ROUND(Assumptions!H163*'Data Entry - SOF'!I46*'Weights-HB3'!L49,0)</f>
        <v>#DIV/0!</v>
      </c>
      <c r="J50" s="2486" t="e">
        <f t="shared" si="0"/>
        <v>#DIV/0!</v>
      </c>
      <c r="K50" s="2773" t="e">
        <f t="shared" si="1"/>
        <v>#DIV/0!</v>
      </c>
      <c r="AL50" s="1388" t="e">
        <f>ROUND(ROUND('Calc Data'!AA23,0)*'Data Entry - SOF'!#REF!*0.1,0)</f>
        <v>#REF!</v>
      </c>
    </row>
    <row r="51" spans="2:38">
      <c r="B51" s="1394"/>
      <c r="C51" s="2191" t="s">
        <v>7439</v>
      </c>
      <c r="D51" s="2174" t="s">
        <v>7538</v>
      </c>
      <c r="E51" s="1417"/>
      <c r="F51" s="2172"/>
      <c r="G51" s="2172"/>
      <c r="H51" s="2172"/>
      <c r="I51" s="2483" t="e">
        <f>'Data Entry - SOF'!I130*IF('Data Entry - SOF'!I131=1,'Weights-HB3'!L119,IF('Data Entry - SOF'!I132=2,'Weights-HB3'!L120,IF('Data Entry - SOF'!I133=3,'Weights-HB3'!L121)))*Assumptions!H154</f>
        <v>#DIV/0!</v>
      </c>
      <c r="J51" s="2486" t="e">
        <f t="shared" si="0"/>
        <v>#DIV/0!</v>
      </c>
      <c r="K51" s="2773" t="e">
        <f t="shared" si="1"/>
        <v>#DIV/0!</v>
      </c>
      <c r="AL51" s="1388"/>
    </row>
    <row r="52" spans="2:38">
      <c r="B52" s="1394"/>
      <c r="C52" s="1404" t="s">
        <v>7439</v>
      </c>
      <c r="D52" s="1424" t="s">
        <v>7617</v>
      </c>
      <c r="E52" s="1406"/>
      <c r="F52" s="1408"/>
      <c r="G52" s="1408"/>
      <c r="H52" s="1408"/>
      <c r="I52" s="2482">
        <f>'Data Entry - SOF'!I89</f>
        <v>0</v>
      </c>
      <c r="J52" s="2486">
        <f t="shared" si="0"/>
        <v>0</v>
      </c>
      <c r="K52" s="2773">
        <f t="shared" si="1"/>
        <v>0</v>
      </c>
      <c r="AL52" s="1388"/>
    </row>
    <row r="53" spans="2:38">
      <c r="B53" s="1394"/>
      <c r="C53" s="1404" t="s">
        <v>7439</v>
      </c>
      <c r="D53" s="1424" t="s">
        <v>7618</v>
      </c>
      <c r="E53" s="1406"/>
      <c r="F53" s="1408"/>
      <c r="G53" s="1408"/>
      <c r="H53" s="1408"/>
      <c r="I53" s="2482">
        <f>'Data Entry - SOF'!I90</f>
        <v>0</v>
      </c>
      <c r="J53" s="2486">
        <f t="shared" si="0"/>
        <v>0</v>
      </c>
      <c r="K53" s="2773">
        <f t="shared" si="1"/>
        <v>0</v>
      </c>
      <c r="AL53" s="1388"/>
    </row>
    <row r="54" spans="2:38">
      <c r="B54" s="1394"/>
      <c r="C54" s="1404" t="s">
        <v>7439</v>
      </c>
      <c r="D54" s="1424" t="s">
        <v>7669</v>
      </c>
      <c r="E54" s="1406"/>
      <c r="F54" s="1408"/>
      <c r="G54" s="1408"/>
      <c r="H54" s="1408"/>
      <c r="I54" s="2482">
        <f>'Data Entry - SOF'!I19*'Weights-HB3'!L68</f>
        <v>0</v>
      </c>
      <c r="J54" s="2486">
        <f t="shared" si="0"/>
        <v>0</v>
      </c>
      <c r="K54" s="2773">
        <f t="shared" si="1"/>
        <v>0</v>
      </c>
      <c r="L54" s="1415"/>
      <c r="AL54" s="1388"/>
    </row>
    <row r="55" spans="2:38">
      <c r="B55" s="1394"/>
      <c r="C55" s="1404" t="s">
        <v>7439</v>
      </c>
      <c r="D55" s="1424" t="s">
        <v>7828</v>
      </c>
      <c r="E55" s="1406"/>
      <c r="F55" s="1408"/>
      <c r="G55" s="1408"/>
      <c r="H55" s="1408"/>
      <c r="I55" s="1411">
        <f>'Data Entry - SOF'!I103</f>
        <v>0</v>
      </c>
      <c r="J55" s="2486">
        <f t="shared" si="0"/>
        <v>0</v>
      </c>
      <c r="K55" s="2773">
        <f t="shared" si="1"/>
        <v>0</v>
      </c>
      <c r="L55" s="1415"/>
      <c r="AL55" s="1388"/>
    </row>
    <row r="56" spans="2:38">
      <c r="B56" s="1394"/>
      <c r="C56" s="1379" t="s">
        <v>7440</v>
      </c>
      <c r="D56" s="1415" t="s">
        <v>3291</v>
      </c>
      <c r="F56" s="1427">
        <f>'Data Entry - SOF'!I47*Weights!O35</f>
        <v>0</v>
      </c>
      <c r="G56" s="1388"/>
      <c r="I56" s="2481">
        <f>'Data Entry - SOF'!I47*'Weights-HB3'!L47</f>
        <v>0</v>
      </c>
      <c r="J56" s="2486">
        <f t="shared" si="0"/>
        <v>0</v>
      </c>
      <c r="K56" s="2773">
        <f t="shared" si="1"/>
        <v>0</v>
      </c>
      <c r="AL56" s="1388" t="e">
        <f>'Data Entry - SOF'!#REF!*250</f>
        <v>#REF!</v>
      </c>
    </row>
    <row r="57" spans="2:38">
      <c r="B57" s="1394">
        <v>99</v>
      </c>
      <c r="C57" s="1379" t="s">
        <v>7440</v>
      </c>
      <c r="D57" s="1372" t="s">
        <v>7454</v>
      </c>
      <c r="F57" s="1429" t="e">
        <f>'Data Entry - SOF'!#REF!</f>
        <v>#REF!</v>
      </c>
      <c r="G57" s="1388"/>
      <c r="I57" s="2481">
        <f>('Data Entry - SOF'!I83*'Weights-HB3'!L70)+'Data Entry - SOF'!I84+'Data Entry - SOF'!I85+'Data Entry - SOF'!I86</f>
        <v>0</v>
      </c>
      <c r="J57" s="2486">
        <f t="shared" si="0"/>
        <v>0</v>
      </c>
      <c r="K57" s="2773">
        <f t="shared" si="1"/>
        <v>0</v>
      </c>
      <c r="AL57" s="1429" t="e">
        <f>'Data Entry - SOF'!#REF!</f>
        <v>#REF!</v>
      </c>
    </row>
    <row r="58" spans="2:38">
      <c r="B58" s="1394"/>
      <c r="C58" s="1404" t="s">
        <v>7440</v>
      </c>
      <c r="D58" s="1424" t="s">
        <v>7559</v>
      </c>
      <c r="E58" s="1406"/>
      <c r="F58" s="1408"/>
      <c r="G58" s="1408"/>
      <c r="H58" s="1408"/>
      <c r="I58" s="2481">
        <f>'Data Entry - SOF'!I48*'Weights-HB3'!G125</f>
        <v>0</v>
      </c>
      <c r="J58" s="2486">
        <f t="shared" si="0"/>
        <v>0</v>
      </c>
      <c r="K58" s="2773">
        <f t="shared" si="1"/>
        <v>0</v>
      </c>
      <c r="AL58" s="1388"/>
    </row>
    <row r="59" spans="2:38">
      <c r="B59" s="1394"/>
      <c r="C59" s="1404" t="s">
        <v>7440</v>
      </c>
      <c r="D59" s="1424" t="s">
        <v>7467</v>
      </c>
      <c r="E59" s="1406"/>
      <c r="F59" s="1408"/>
      <c r="G59" s="1408"/>
      <c r="H59" s="1408"/>
      <c r="I59" s="2481">
        <f>'Data Entry - SOF'!I87</f>
        <v>0</v>
      </c>
      <c r="J59" s="2486">
        <f t="shared" si="0"/>
        <v>0</v>
      </c>
      <c r="K59" s="2773">
        <f t="shared" si="1"/>
        <v>0</v>
      </c>
      <c r="AL59" s="1388"/>
    </row>
    <row r="60" spans="2:38">
      <c r="B60" s="1394"/>
      <c r="C60" s="1404" t="s">
        <v>7440</v>
      </c>
      <c r="D60" s="1424" t="s">
        <v>7625</v>
      </c>
      <c r="E60" s="1406"/>
      <c r="F60" s="1408"/>
      <c r="G60" s="1408"/>
      <c r="H60" s="1408"/>
      <c r="I60" s="2484">
        <f>'Data Entry - SOF'!I88</f>
        <v>0</v>
      </c>
      <c r="J60" s="2487">
        <f t="shared" si="0"/>
        <v>0</v>
      </c>
      <c r="K60" s="2773">
        <f t="shared" si="1"/>
        <v>0</v>
      </c>
      <c r="AL60" s="1388"/>
    </row>
    <row r="61" spans="2:38">
      <c r="D61" s="1372" t="s">
        <v>497</v>
      </c>
      <c r="F61" s="1388" t="e">
        <f>SUM(F20:F57)</f>
        <v>#REF!</v>
      </c>
      <c r="G61" s="1388"/>
      <c r="I61" s="2488" t="e">
        <f>SUM(I20:I60)</f>
        <v>#DIV/0!</v>
      </c>
      <c r="J61" s="2486" t="e">
        <f t="shared" si="0"/>
        <v>#DIV/0!</v>
      </c>
      <c r="K61" s="2775" t="e">
        <f>SUM(K20:K60)</f>
        <v>#DIV/0!</v>
      </c>
      <c r="L61" s="1435" t="e">
        <f>(I61-I55-I56-I57-I58-I59-I60-I28-I34)/Assumptions!H163</f>
        <v>#DIV/0!</v>
      </c>
      <c r="M61" s="1436" t="s">
        <v>7443</v>
      </c>
      <c r="AL61" s="1388" t="e">
        <f>SUM(AL20:AL57)</f>
        <v>#REF!</v>
      </c>
    </row>
    <row r="62" spans="2:38">
      <c r="D62" s="1372" t="s">
        <v>741</v>
      </c>
      <c r="F62" s="1437">
        <f>IF('Data Entry - SOF'!I123&gt;1,1*('Data Entry - SOF'!I63/100),'Data Entry - SOF'!I123*('Data Entry - SOF'!I63/100))</f>
        <v>0</v>
      </c>
      <c r="G62" s="1438"/>
      <c r="I62" s="2484" t="e">
        <f>('Data Entry - SOF'!I72/100)*'Data Entry - SOF'!I66</f>
        <v>#DIV/0!</v>
      </c>
      <c r="J62" s="2489" t="e">
        <f>('HH2425-40KCalcs'!H12/100)*'Data Entry - SOF'!I63</f>
        <v>#DIV/0!</v>
      </c>
      <c r="K62" s="2489" t="e">
        <f>('HH2425-40KCalcs'!G12/100)*'Data Entry - SOF'!I66</f>
        <v>#DIV/0!</v>
      </c>
      <c r="AL62" s="1437" t="e">
        <f>#REF!</f>
        <v>#REF!</v>
      </c>
    </row>
    <row r="63" spans="2:38">
      <c r="D63" s="1372" t="s">
        <v>740</v>
      </c>
      <c r="F63" s="1438" t="e">
        <f>F61-F62</f>
        <v>#REF!</v>
      </c>
      <c r="G63" s="1438"/>
      <c r="I63" s="1432" t="e">
        <f>I61-I62</f>
        <v>#DIV/0!</v>
      </c>
      <c r="J63" s="1442" t="e">
        <f>J61-J62</f>
        <v>#DIV/0!</v>
      </c>
      <c r="K63" s="2672" t="e">
        <f>K61-K62</f>
        <v>#DIV/0!</v>
      </c>
      <c r="AL63" s="1438" t="e">
        <f>AL61-AL62</f>
        <v>#REF!</v>
      </c>
    </row>
    <row r="64" spans="2:38">
      <c r="D64" s="1372"/>
      <c r="G64" s="1438"/>
      <c r="I64" s="1416"/>
      <c r="J64" s="1443"/>
      <c r="K64" s="2678"/>
      <c r="N64" s="1444"/>
      <c r="AL64" s="1438"/>
    </row>
    <row r="65" spans="4:38">
      <c r="D65" s="1445" t="s">
        <v>7458</v>
      </c>
      <c r="G65" s="1438"/>
      <c r="I65" s="1416"/>
      <c r="J65" s="1443"/>
      <c r="K65" s="2678"/>
      <c r="N65" s="1444"/>
      <c r="AL65" s="1438"/>
    </row>
    <row r="66" spans="4:38">
      <c r="D66" s="1372" t="s">
        <v>7616</v>
      </c>
      <c r="F66" s="1425" t="e">
        <f>IF(F63&lt;F99+F49+F56+#REF!+#REF!,F99+F49+F56+#REF!+#REF!,F63)</f>
        <v>#REF!</v>
      </c>
      <c r="G66" s="1438"/>
      <c r="I66" s="1423" t="e">
        <f>IF(I63&lt;I99,I99,I63)</f>
        <v>#DIV/0!</v>
      </c>
      <c r="J66" s="1428" t="e">
        <f>IF(J63&lt;J99,J99,J63)</f>
        <v>#DIV/0!</v>
      </c>
      <c r="K66" s="1423" t="e">
        <f>IF(K63&lt;J99,J99,K63)</f>
        <v>#DIV/0!</v>
      </c>
    </row>
    <row r="67" spans="4:38" hidden="1">
      <c r="D67" s="1372" t="s">
        <v>2150</v>
      </c>
      <c r="G67" s="1438" t="e">
        <f>ROUND(IF((24.7*'Calc Data'!#REF!*IF('Calc Data'!#REF!&gt;=0.64,0.64,'Calc Data'!#REF!)*100)&lt;'Calc Data'!#REF!,0,(24.7*'Calc Data'!#REF!*IF('Calc Data'!#REF!&gt;=0.64,0.64,'Calc Data'!#REF!)*100)-'Calc Data'!#REF!),0)</f>
        <v>#REF!</v>
      </c>
      <c r="I67" s="1447"/>
      <c r="J67" s="1448"/>
      <c r="K67" s="2678"/>
    </row>
    <row r="68" spans="4:38">
      <c r="D68" s="1372"/>
      <c r="G68" s="1438"/>
      <c r="I68" s="1447"/>
      <c r="J68" s="2468"/>
      <c r="K68" s="2678"/>
    </row>
    <row r="69" spans="4:38">
      <c r="D69" s="2062" t="s">
        <v>8117</v>
      </c>
      <c r="E69" s="2063"/>
      <c r="F69" s="2063"/>
      <c r="G69" s="2064"/>
      <c r="H69" s="2065"/>
      <c r="I69" s="2079" t="s">
        <v>8149</v>
      </c>
      <c r="J69" s="1443"/>
      <c r="K69" s="2678"/>
    </row>
    <row r="70" spans="4:38">
      <c r="D70" s="1372" t="s">
        <v>7489</v>
      </c>
      <c r="G70" s="1438"/>
      <c r="I70" s="1423" t="e">
        <f>IF(I62&gt;I61-I99,I62-(I61-I99),0)</f>
        <v>#DIV/0!</v>
      </c>
      <c r="J70" s="1428" t="e">
        <f>IF(J62&gt;J61-J99,J62-(J61-J99),0)</f>
        <v>#DIV/0!</v>
      </c>
      <c r="K70" s="1423" t="e">
        <f>IF(K62&gt;K61-J99,K62-(K61-J99),0)</f>
        <v>#DIV/0!</v>
      </c>
    </row>
    <row r="71" spans="4:38">
      <c r="D71" s="1372" t="s">
        <v>7695</v>
      </c>
      <c r="G71" s="1438"/>
      <c r="I71" s="1439" t="e">
        <f>IF(I70=0,0,IF('Calc Data'!G113-I70&lt;I61-I99,(I61-I99-('Calc Data'!G113-I70))*-1,0))</f>
        <v>#DIV/0!</v>
      </c>
      <c r="J71" s="2467" t="e">
        <f>IF(J70=0,0,IF('Calc Data'!Q113-J70&lt;J61-J99,(J61-J99-('Calc Data'!Q113-J70))*-1,0))</f>
        <v>#DIV/0!</v>
      </c>
      <c r="K71" s="2679" t="e">
        <f>IF(K70=0,0,IF('Calc Data'!L113-K70&lt;K61-I99,(K61-I99-('Calc Data'!L113-K70))*-1,0))</f>
        <v>#DIV/0!</v>
      </c>
    </row>
    <row r="72" spans="4:38">
      <c r="D72" s="1451" t="s">
        <v>7490</v>
      </c>
      <c r="E72" s="1452"/>
      <c r="F72" s="1453"/>
      <c r="G72" s="1455"/>
      <c r="I72" s="1454" t="e">
        <f>IF(I70+I71&lt;=0,0,I70+I71)</f>
        <v>#DIV/0!</v>
      </c>
      <c r="J72" s="2490" t="e">
        <f>IF(J70+J71&lt;=0,0,J70+J71)</f>
        <v>#DIV/0!</v>
      </c>
      <c r="K72" s="2680" t="e">
        <f>IF(K70+K71&lt;=0,0,K70+K71)</f>
        <v>#DIV/0!</v>
      </c>
    </row>
    <row r="73" spans="4:38">
      <c r="D73" s="1451" t="s">
        <v>7687</v>
      </c>
      <c r="E73" s="1452"/>
      <c r="F73" s="1452"/>
      <c r="G73" s="1455"/>
      <c r="I73" s="1423" t="e">
        <f>'Data Entry - SOF'!I111*(I72/'Data Entry - SOF'!I75)</f>
        <v>#DIV/0!</v>
      </c>
      <c r="J73" s="1428" t="e">
        <f>'Data Entry - SOF'!I111*(J72/'HH2425-40KCalcs'!D12)</f>
        <v>#DIV/0!</v>
      </c>
      <c r="K73" s="2776" t="e">
        <f>'Data Entry - SOF'!I111*(K72/'HH2425-40KCalcs'!C12)</f>
        <v>#DIV/0!</v>
      </c>
    </row>
    <row r="74" spans="4:38">
      <c r="D74" s="1457" t="s">
        <v>7688</v>
      </c>
      <c r="E74" s="1458"/>
      <c r="F74" s="1458"/>
      <c r="G74" s="1459"/>
      <c r="H74" s="2521"/>
      <c r="I74" s="1460" t="e">
        <f>IF(I72-I73&lt;=0,0,I72-I73)</f>
        <v>#DIV/0!</v>
      </c>
      <c r="J74" s="2491" t="e">
        <f>IF(J72-J73&lt;=0,0,J72-J73)</f>
        <v>#DIV/0!</v>
      </c>
      <c r="K74" s="2681" t="e">
        <f>IF(K72-K73&lt;=0,0,K72-K73)</f>
        <v>#DIV/0!</v>
      </c>
    </row>
    <row r="75" spans="4:38">
      <c r="D75" s="1372"/>
      <c r="G75" s="1438"/>
      <c r="I75" s="1416"/>
      <c r="J75" s="2492"/>
      <c r="K75" s="2677"/>
    </row>
    <row r="76" spans="4:38">
      <c r="D76" s="1372" t="s">
        <v>7403</v>
      </c>
      <c r="F76" s="1438">
        <f>ROUND(IF((Assumptions!G119*'Calc Data'!G25*'Calc Data'!G35*100)&lt;'Calc Data'!G42,0,(Assumptions!G119*'Calc Data'!G25*'Calc Data'!G35*100)-'Calc Data'!G42),0)</f>
        <v>0</v>
      </c>
      <c r="G76" s="1438"/>
      <c r="I76" s="1461" t="e">
        <f>ROUND(IF((Assumptions!H164*L61*'Calc Data'!G105*100)&lt;'Calc Data'!G106,0,(Assumptions!H164*L61*'Calc Data'!G105*100)-'Calc Data'!G106),0)</f>
        <v>#DIV/0!</v>
      </c>
      <c r="J76" s="2493" t="e">
        <f>ROUND(IF((Assumptions!H164*L61*'Calc Data'!Q105*100)&lt;'Calc Data'!Q106,0,(Assumptions!H164*L61*'Calc Data'!Q105*100)-'Calc Data'!Q106),0)</f>
        <v>#DIV/0!</v>
      </c>
      <c r="K76" s="2672" t="e">
        <f>ROUND(IF((Assumptions!H164*L61*'Calc Data'!L105*100)&lt;'Calc Data'!L106,0,(Assumptions!H164*L61*'Calc Data'!L105*100)-'Calc Data'!L106),0)</f>
        <v>#DIV/0!</v>
      </c>
    </row>
    <row r="77" spans="4:38">
      <c r="D77" s="1372" t="s">
        <v>7457</v>
      </c>
      <c r="F77" s="1464">
        <f>ROUND(IF((Assumptions!G120*'Calc Data'!G25*'Calc Data'!G38*100)&lt;'Calc Data'!G43,0,(Assumptions!G120*'Calc Data'!G25*'Calc Data'!G38*100)-'Calc Data'!G43),0)</f>
        <v>0</v>
      </c>
      <c r="G77" s="1438"/>
      <c r="I77" s="1465" t="e">
        <f>ROUND(IF((Assumptions!H165*L61*'Calc Data'!G110*100)&lt;'Calc Data'!G111,0,(Assumptions!H165*L61*'Calc Data'!G110*100)-'Calc Data'!G111),0)</f>
        <v>#DIV/0!</v>
      </c>
      <c r="J77" s="2494" t="e">
        <f>ROUND(IF((Assumptions!H165*L61*'Calc Data'!Q110*100)&lt;'Calc Data'!Q111,0,(Assumptions!H165*L61*'Calc Data'!Q110*100)-'Calc Data'!Q111),0)</f>
        <v>#DIV/0!</v>
      </c>
      <c r="K77" s="2682" t="e">
        <f>ROUND(IF((Assumptions!H165*L61*'Calc Data'!L110*100)&lt;'Calc Data'!L111,0,(Assumptions!H165*L61*'Calc Data'!L110*100)-'Calc Data'!L111),0)</f>
        <v>#DIV/0!</v>
      </c>
    </row>
    <row r="78" spans="4:38">
      <c r="D78" s="1468" t="s">
        <v>7459</v>
      </c>
      <c r="F78" s="1438">
        <f>SUM(F67:F77)</f>
        <v>0</v>
      </c>
      <c r="G78" s="1438"/>
      <c r="I78" s="1432" t="e">
        <f>I76+I77</f>
        <v>#DIV/0!</v>
      </c>
      <c r="J78" s="2495" t="e">
        <f>J76+J77</f>
        <v>#DIV/0!</v>
      </c>
      <c r="K78" s="2673" t="e">
        <f>K76+K77</f>
        <v>#DIV/0!</v>
      </c>
    </row>
    <row r="79" spans="4:38">
      <c r="D79" s="1372"/>
      <c r="F79" s="1438"/>
      <c r="G79" s="1438"/>
      <c r="I79" s="1432"/>
      <c r="J79" s="2495"/>
      <c r="K79" s="2677"/>
    </row>
    <row r="80" spans="4:38">
      <c r="D80" s="1451" t="s">
        <v>7491</v>
      </c>
      <c r="E80" s="1452"/>
      <c r="F80" s="1469"/>
      <c r="G80" s="1455"/>
      <c r="I80" s="1461" t="e">
        <f>ROUND(IF((Assumptions!H165*L61*'Calc Data'!G110*100)&lt;'Calc Data'!G111,'Calc Data'!G111-(Assumptions!H165*L61*'Calc Data'!G110*100)),0)</f>
        <v>#DIV/0!</v>
      </c>
      <c r="J80" s="2493" t="e">
        <f>ROUND(IF((Assumptions!H165*L61*'Calc Data'!Q110*100)&lt;'Calc Data'!Q111,'Calc Data'!Q111-(Assumptions!H165*L61*'Calc Data'!Q110*100)),0)</f>
        <v>#DIV/0!</v>
      </c>
      <c r="K80" s="2672" t="e">
        <f>ROUND(IF((Assumptions!H165*L61*'Calc Data'!L110*100)&lt;'Calc Data'!L111,'Calc Data'!L111-(Assumptions!H165*L61*'Calc Data'!L110*100)),0)</f>
        <v>#DIV/0!</v>
      </c>
    </row>
    <row r="81" spans="1:13">
      <c r="D81" s="1451" t="s">
        <v>7687</v>
      </c>
      <c r="E81" s="1452"/>
      <c r="F81" s="1455"/>
      <c r="G81" s="1455"/>
      <c r="I81" s="1461" t="e">
        <f>'Data Entry - SOF'!I111*(I80/'Data Entry - SOF'!I75)</f>
        <v>#DIV/0!</v>
      </c>
      <c r="J81" s="2667" t="e">
        <f>'Data Entry - SOF'!I111*(J80/'HH2425-40KCalcs'!D12)</f>
        <v>#DIV/0!</v>
      </c>
      <c r="K81" s="2674" t="e">
        <f>'Data Entry - SOF'!I111*(K80/'HH2425-40KCalcs'!C12)</f>
        <v>#DIV/0!</v>
      </c>
    </row>
    <row r="82" spans="1:13">
      <c r="D82" s="2068" t="s">
        <v>7689</v>
      </c>
      <c r="E82" s="2063"/>
      <c r="F82" s="2064"/>
      <c r="G82" s="2064"/>
      <c r="H82" s="2065"/>
      <c r="I82" s="2069" t="e">
        <f>I80-I81</f>
        <v>#DIV/0!</v>
      </c>
      <c r="J82" s="2496" t="e">
        <f>J80-J81</f>
        <v>#DIV/0!</v>
      </c>
      <c r="K82" s="2683" t="e">
        <f>K80-K81</f>
        <v>#DIV/0!</v>
      </c>
    </row>
    <row r="83" spans="1:13">
      <c r="D83" s="1372"/>
      <c r="G83" s="1438"/>
      <c r="I83" s="1416"/>
      <c r="J83" s="2492"/>
    </row>
    <row r="84" spans="1:13">
      <c r="D84" s="1372" t="s">
        <v>691</v>
      </c>
      <c r="G84" s="1438"/>
      <c r="I84" s="1416"/>
      <c r="J84" s="2492"/>
    </row>
    <row r="85" spans="1:13">
      <c r="D85" s="1372" t="s">
        <v>714</v>
      </c>
      <c r="F85" s="1438">
        <f>'Data Entry - SOF'!I101</f>
        <v>0</v>
      </c>
      <c r="G85" s="1438"/>
      <c r="I85" s="1432">
        <f>'Data Entry - SOF'!I101</f>
        <v>0</v>
      </c>
      <c r="J85" s="2495">
        <f t="shared" ref="J85:J91" si="2">I85</f>
        <v>0</v>
      </c>
      <c r="L85" s="1473"/>
      <c r="M85" s="1472"/>
    </row>
    <row r="86" spans="1:13">
      <c r="D86" s="1372" t="s">
        <v>2737</v>
      </c>
      <c r="F86" s="1438">
        <f>'Data Entry - SOF'!I100</f>
        <v>0</v>
      </c>
      <c r="G86" s="1438"/>
      <c r="I86" s="1432">
        <f>'Data Entry - SOF'!I100</f>
        <v>0</v>
      </c>
      <c r="J86" s="2495">
        <f t="shared" si="2"/>
        <v>0</v>
      </c>
      <c r="L86" s="1473"/>
      <c r="M86" s="1472"/>
    </row>
    <row r="87" spans="1:13">
      <c r="D87" s="1372" t="s">
        <v>7756</v>
      </c>
      <c r="F87" s="1438" t="e">
        <f>'Data Entry - SOF'!#REF!</f>
        <v>#REF!</v>
      </c>
      <c r="G87" s="1438"/>
      <c r="I87" s="1432" t="e">
        <f>'HH2425-40KCalcs'!D26</f>
        <v>#DIV/0!</v>
      </c>
      <c r="J87" s="2495"/>
      <c r="L87" s="1473"/>
      <c r="M87" s="1472"/>
    </row>
    <row r="88" spans="1:13">
      <c r="D88" s="1372" t="s">
        <v>2738</v>
      </c>
      <c r="F88" s="1438">
        <f>'Data Entry - SOF'!I102</f>
        <v>0</v>
      </c>
      <c r="G88" s="1438"/>
      <c r="I88" s="1432">
        <f>'Data Entry - SOF'!I102</f>
        <v>0</v>
      </c>
      <c r="J88" s="2495">
        <f t="shared" si="2"/>
        <v>0</v>
      </c>
      <c r="L88" s="1473"/>
      <c r="M88" s="1472"/>
    </row>
    <row r="89" spans="1:13">
      <c r="D89" s="1372" t="s">
        <v>692</v>
      </c>
      <c r="F89" s="1474" t="e">
        <f>(('Data Entry - SOF'!#REF!/'Calc Data'!#REF!)*'Data Entry - SOF'!I93)*-1</f>
        <v>#REF!</v>
      </c>
      <c r="G89" s="1438"/>
      <c r="I89" s="1475">
        <f>IF('Data Entry - SOF'!I93&lt;0,'Data Entry - SOF'!I93, 'Data Entry - SOF'!I93*-1)</f>
        <v>0</v>
      </c>
      <c r="J89" s="1475">
        <f t="shared" si="2"/>
        <v>0</v>
      </c>
      <c r="L89" s="1473"/>
      <c r="M89" s="1472"/>
    </row>
    <row r="90" spans="1:13">
      <c r="D90" s="1372" t="s">
        <v>693</v>
      </c>
      <c r="F90" s="1474" t="e">
        <f>(('Data Entry - SOF'!#REF!/'Calc Data'!#REF!)*'Data Entry - SOF'!I94)*-1</f>
        <v>#REF!</v>
      </c>
      <c r="G90" s="1438"/>
      <c r="I90" s="1475">
        <f>IF('Data Entry - SOF'!I94&lt;0,'Data Entry - SOF'!I94, 'Data Entry - SOF'!I94*-1)</f>
        <v>0</v>
      </c>
      <c r="J90" s="1475">
        <f t="shared" si="2"/>
        <v>0</v>
      </c>
      <c r="L90" s="1473"/>
      <c r="M90" s="1472"/>
    </row>
    <row r="91" spans="1:13">
      <c r="D91" s="1372" t="s">
        <v>8147</v>
      </c>
      <c r="F91" s="1476" t="e">
        <f>'Data Entry - SOF'!#REF!</f>
        <v>#REF!</v>
      </c>
      <c r="G91" s="1438"/>
      <c r="I91" s="1728">
        <f>'Data Entry - SOF'!I116</f>
        <v>0</v>
      </c>
      <c r="J91" s="2497">
        <f t="shared" si="2"/>
        <v>0</v>
      </c>
      <c r="L91" s="1473"/>
      <c r="M91" s="1472"/>
    </row>
    <row r="92" spans="1:13">
      <c r="D92" s="1477" t="s">
        <v>7460</v>
      </c>
      <c r="F92" s="1438" t="e">
        <f>SUM(F85:F91)</f>
        <v>#REF!</v>
      </c>
      <c r="G92" s="1438"/>
      <c r="I92" s="1432" t="e">
        <f>SUM(I85:I91)</f>
        <v>#DIV/0!</v>
      </c>
      <c r="J92" s="2495">
        <f>SUM(J85:J91)</f>
        <v>0</v>
      </c>
      <c r="L92" s="1473"/>
      <c r="M92" s="1472"/>
    </row>
    <row r="93" spans="1:13">
      <c r="D93" s="1478"/>
      <c r="F93" s="1415"/>
      <c r="G93" s="1438"/>
      <c r="I93" s="1416"/>
      <c r="J93" s="2492"/>
      <c r="L93" s="1473"/>
      <c r="M93" s="1472"/>
    </row>
    <row r="94" spans="1:13">
      <c r="D94" s="1372" t="s">
        <v>2258</v>
      </c>
      <c r="F94" s="1438" t="e">
        <f>F99*-1</f>
        <v>#REF!</v>
      </c>
      <c r="G94" s="1438"/>
      <c r="I94" s="1432">
        <f>I99*-1</f>
        <v>0</v>
      </c>
      <c r="J94" s="2495">
        <f>J99*-1</f>
        <v>0</v>
      </c>
      <c r="L94" s="1473"/>
      <c r="M94" s="1472"/>
    </row>
    <row r="95" spans="1:13">
      <c r="D95" s="1372"/>
      <c r="G95" s="1479"/>
      <c r="H95" s="2070"/>
      <c r="I95" s="1447"/>
      <c r="J95" s="2498"/>
      <c r="L95" s="1473"/>
      <c r="M95" s="1472"/>
    </row>
    <row r="96" spans="1:13">
      <c r="A96" s="1480"/>
      <c r="B96" s="1481"/>
      <c r="C96" s="1481"/>
      <c r="D96" s="1482"/>
      <c r="E96" s="1481"/>
      <c r="F96" s="1483"/>
      <c r="G96" s="1484"/>
      <c r="I96" s="1485"/>
      <c r="J96" s="2499"/>
      <c r="L96" s="1473"/>
      <c r="M96" s="1472"/>
    </row>
    <row r="97" spans="1:16">
      <c r="A97" s="1486"/>
      <c r="B97" s="1487" t="s">
        <v>164</v>
      </c>
      <c r="C97" s="1488"/>
      <c r="D97" s="1489"/>
      <c r="E97" s="1488"/>
      <c r="F97" s="1490"/>
      <c r="G97" s="1479"/>
      <c r="I97" s="1447"/>
      <c r="J97" s="2498"/>
      <c r="L97" s="1473"/>
      <c r="M97" s="1472"/>
    </row>
    <row r="98" spans="1:16">
      <c r="A98" s="1486"/>
      <c r="B98" s="1487" t="s">
        <v>1403</v>
      </c>
      <c r="C98" s="1488"/>
      <c r="D98" s="1491" t="s">
        <v>694</v>
      </c>
      <c r="E98" s="1492"/>
      <c r="F98" s="1493" t="e">
        <f>F66+F78+F92+F94</f>
        <v>#REF!</v>
      </c>
      <c r="G98" s="1479"/>
      <c r="I98" s="1423" t="e">
        <f>I66+I78+I92+I94</f>
        <v>#DIV/0!</v>
      </c>
      <c r="J98" s="1428" t="e">
        <f>J66+J78+J92+J94</f>
        <v>#DIV/0!</v>
      </c>
      <c r="L98" s="1473"/>
      <c r="M98" s="1472"/>
    </row>
    <row r="99" spans="1:16">
      <c r="A99" s="1486"/>
      <c r="B99" s="1487" t="s">
        <v>1401</v>
      </c>
      <c r="C99" s="1488"/>
      <c r="D99" s="1491" t="s">
        <v>2465</v>
      </c>
      <c r="E99" s="1492"/>
      <c r="F99" s="1493" t="e">
        <f>'Calc Data'!#REF!*Assumptions!G123</f>
        <v>#REF!</v>
      </c>
      <c r="G99" s="1479"/>
      <c r="I99" s="1494">
        <f>'Data Entry - SOF'!G19*Assumptions!H168</f>
        <v>0</v>
      </c>
      <c r="J99" s="2500">
        <f>I99</f>
        <v>0</v>
      </c>
      <c r="L99" s="1473"/>
      <c r="M99" s="1472"/>
    </row>
    <row r="100" spans="1:16" hidden="1">
      <c r="A100" s="1486"/>
      <c r="B100" s="1487" t="s">
        <v>1402</v>
      </c>
      <c r="C100" s="1488"/>
      <c r="D100" s="1491" t="s">
        <v>713</v>
      </c>
      <c r="E100" s="1495"/>
      <c r="F100" s="1496">
        <v>0</v>
      </c>
      <c r="G100" s="1479"/>
      <c r="I100" s="1447"/>
      <c r="J100" s="2498"/>
      <c r="L100" s="1473"/>
      <c r="M100" s="1472"/>
    </row>
    <row r="101" spans="1:16" hidden="1">
      <c r="A101" s="1486"/>
      <c r="B101" s="1487" t="s">
        <v>697</v>
      </c>
      <c r="C101" s="1488"/>
      <c r="D101" s="1491" t="s">
        <v>695</v>
      </c>
      <c r="E101" s="1492"/>
      <c r="F101" s="1493" t="e">
        <f>#REF!</f>
        <v>#REF!</v>
      </c>
      <c r="G101" s="1479"/>
      <c r="I101" s="1432">
        <f>'Existing Debt-HB3'!N74</f>
        <v>0</v>
      </c>
      <c r="J101" s="2495">
        <f>'Existing Debt-HB3'!O74</f>
        <v>0</v>
      </c>
      <c r="L101" s="1473"/>
      <c r="M101" s="1472"/>
    </row>
    <row r="102" spans="1:16" ht="14.5" hidden="1" thickBot="1">
      <c r="A102" s="1486"/>
      <c r="B102" s="1487" t="s">
        <v>1033</v>
      </c>
      <c r="C102" s="1488"/>
      <c r="D102" s="1491" t="s">
        <v>696</v>
      </c>
      <c r="E102" s="1492"/>
      <c r="F102" s="1497" t="e">
        <f>#REF!+#REF!</f>
        <v>#REF!</v>
      </c>
      <c r="G102" s="1479"/>
      <c r="I102" s="1498">
        <f>'IFA-HB3'!T86+'IFA-HB3'!W75</f>
        <v>0</v>
      </c>
      <c r="J102" s="2501">
        <f>'IFA-HB3'!P86+'IFA-HB3'!T75</f>
        <v>0</v>
      </c>
      <c r="L102" s="1473"/>
      <c r="M102" s="1472"/>
    </row>
    <row r="103" spans="1:16" hidden="1">
      <c r="A103" s="1486"/>
      <c r="B103" s="1488"/>
      <c r="C103" s="1488"/>
      <c r="D103" s="1488"/>
      <c r="E103" s="1488"/>
      <c r="F103" s="1490"/>
      <c r="G103" s="1479"/>
      <c r="I103" s="1447"/>
      <c r="J103" s="2498"/>
      <c r="L103" s="1499"/>
      <c r="M103" s="1500"/>
    </row>
    <row r="104" spans="1:16" ht="12.75" hidden="1" customHeight="1" thickBot="1">
      <c r="A104" s="1486"/>
      <c r="B104" s="1488"/>
      <c r="C104" s="1488"/>
      <c r="D104" s="1491" t="s">
        <v>7651</v>
      </c>
      <c r="E104" s="1488"/>
      <c r="F104" s="1501" t="e">
        <f>SUM(F98:F102)</f>
        <v>#REF!</v>
      </c>
      <c r="G104" s="1479"/>
      <c r="I104" s="1502" t="e">
        <f>SUM(I98:I102)</f>
        <v>#DIV/0!</v>
      </c>
      <c r="J104" s="2502" t="e">
        <f>SUM(J98:J102)</f>
        <v>#DIV/0!</v>
      </c>
      <c r="L104" s="1499"/>
      <c r="M104" s="1500"/>
    </row>
    <row r="105" spans="1:16" ht="14.5" hidden="1" thickTop="1">
      <c r="A105" s="1486"/>
      <c r="B105" s="1488"/>
      <c r="C105" s="1488"/>
      <c r="D105" s="1503" t="s">
        <v>445</v>
      </c>
      <c r="E105" s="1488"/>
      <c r="F105" s="1488"/>
      <c r="G105" s="1479"/>
      <c r="I105" s="1416"/>
      <c r="J105" s="2492"/>
      <c r="L105" s="1499"/>
      <c r="M105" s="1500"/>
    </row>
    <row r="106" spans="1:16" hidden="1">
      <c r="A106" s="1504"/>
      <c r="B106" s="1505"/>
      <c r="C106" s="1505"/>
      <c r="D106" s="1506"/>
      <c r="E106" s="1505"/>
      <c r="F106" s="1505"/>
      <c r="G106" s="2071"/>
      <c r="H106" s="2070"/>
      <c r="I106" s="1507"/>
      <c r="J106" s="2503"/>
    </row>
    <row r="107" spans="1:16" hidden="1">
      <c r="B107" s="1372"/>
      <c r="G107" s="1438"/>
      <c r="I107" s="1416"/>
      <c r="J107" s="2492"/>
      <c r="N107" s="1473"/>
      <c r="O107" s="1508"/>
      <c r="P107" s="1509"/>
    </row>
    <row r="108" spans="1:16" ht="14.5" hidden="1" thickBot="1">
      <c r="G108" s="1488"/>
      <c r="H108" s="1535"/>
      <c r="I108" s="1416"/>
      <c r="J108" s="2492"/>
    </row>
    <row r="109" spans="1:16" ht="14.5" hidden="1" thickTop="1">
      <c r="A109" s="1510" t="s">
        <v>2318</v>
      </c>
      <c r="B109" s="1511"/>
      <c r="C109" s="1511"/>
      <c r="D109" s="1511"/>
      <c r="E109" s="1512"/>
      <c r="F109" s="1513"/>
      <c r="G109" s="1512"/>
      <c r="H109" s="1512"/>
      <c r="I109" s="1514"/>
      <c r="J109" s="2504"/>
    </row>
    <row r="110" spans="1:16" hidden="1">
      <c r="A110" s="1515"/>
      <c r="B110" s="1488"/>
      <c r="C110" s="1488"/>
      <c r="D110" s="1488"/>
      <c r="E110" s="1488"/>
      <c r="F110" s="1516"/>
      <c r="G110" s="1488"/>
      <c r="H110" s="1488"/>
      <c r="I110" s="2080"/>
      <c r="J110" s="2505"/>
    </row>
    <row r="111" spans="1:16" hidden="1">
      <c r="A111" s="1518" t="s">
        <v>7444</v>
      </c>
      <c r="B111" s="1488"/>
      <c r="C111" s="1488"/>
      <c r="D111" s="1488"/>
      <c r="E111" s="1488"/>
      <c r="F111" s="1519" t="e">
        <f>IF(F98&lt;0,F99,F98+F99)</f>
        <v>#REF!</v>
      </c>
      <c r="G111" s="1488"/>
      <c r="H111" s="1488"/>
      <c r="I111" s="2052" t="e">
        <f>IF(I98&lt;0,I99,I98+I99)</f>
        <v>#DIV/0!</v>
      </c>
      <c r="J111" s="2506" t="e">
        <f>IF(J98&lt;0,J99,J98+J99)</f>
        <v>#DIV/0!</v>
      </c>
    </row>
    <row r="112" spans="1:16" hidden="1">
      <c r="A112" s="1521" t="s">
        <v>7445</v>
      </c>
      <c r="B112" s="1488"/>
      <c r="C112" s="1488"/>
      <c r="D112" s="1488"/>
      <c r="E112" s="1488"/>
      <c r="F112" s="1522" t="e">
        <f>'Calc Data'!G30-#REF!</f>
        <v>#REF!</v>
      </c>
      <c r="G112" s="1488"/>
      <c r="H112" s="1488"/>
      <c r="I112" s="2081">
        <f>'Data Entry - SOF'!I75</f>
        <v>0</v>
      </c>
      <c r="J112" s="2507" t="e">
        <f>'Data Entry - SOF'!E78</f>
        <v>#DIV/0!</v>
      </c>
      <c r="N112" s="1473"/>
    </row>
    <row r="113" spans="1:14" hidden="1">
      <c r="A113" s="1521" t="s">
        <v>7446</v>
      </c>
      <c r="B113" s="1488"/>
      <c r="C113" s="1488"/>
      <c r="D113" s="1488"/>
      <c r="E113" s="1488"/>
      <c r="F113" s="1522">
        <f>'Calc Data'!G34</f>
        <v>0</v>
      </c>
      <c r="G113" s="1488"/>
      <c r="H113" s="1488"/>
      <c r="I113" s="2081" t="e">
        <f>I74+I82</f>
        <v>#DIV/0!</v>
      </c>
      <c r="J113" s="2507" t="e">
        <f>J74+J82</f>
        <v>#DIV/0!</v>
      </c>
      <c r="N113" s="1473"/>
    </row>
    <row r="114" spans="1:14" hidden="1">
      <c r="A114" s="1521"/>
      <c r="B114" s="1488"/>
      <c r="C114" s="1488"/>
      <c r="D114" s="1488"/>
      <c r="E114" s="1488"/>
      <c r="F114" s="2082" t="e">
        <f>'Calc Data'!G37-IF(#REF!="N",MAX(#REF!,#REF!),MIN(#REF!,#REF!))</f>
        <v>#REF!</v>
      </c>
      <c r="G114" s="1488"/>
      <c r="H114" s="1488"/>
      <c r="I114" s="2081"/>
      <c r="J114" s="2507"/>
    </row>
    <row r="115" spans="1:14" hidden="1">
      <c r="A115" s="1521" t="s">
        <v>7660</v>
      </c>
      <c r="B115" s="1488"/>
      <c r="C115" s="1488"/>
      <c r="D115" s="1488"/>
      <c r="E115" s="1488"/>
      <c r="F115" s="2083" t="e">
        <f>SUM(F111:F114)</f>
        <v>#REF!</v>
      </c>
      <c r="G115" s="1488"/>
      <c r="H115" s="1488"/>
      <c r="I115" s="2084" t="e">
        <f>I111+I112-I113</f>
        <v>#DIV/0!</v>
      </c>
      <c r="J115" s="2508" t="e">
        <f>J111+J112-J113</f>
        <v>#DIV/0!</v>
      </c>
    </row>
    <row r="116" spans="1:14" hidden="1">
      <c r="A116" s="1521" t="s">
        <v>8696</v>
      </c>
      <c r="B116" s="1488"/>
      <c r="C116" s="1488"/>
      <c r="D116" s="1488"/>
      <c r="E116" s="1488"/>
      <c r="F116" s="1519"/>
      <c r="G116" s="1488"/>
      <c r="H116" s="1488"/>
      <c r="I116" s="2053" t="s">
        <v>1678</v>
      </c>
      <c r="J116" s="2509" t="s">
        <v>1678</v>
      </c>
    </row>
    <row r="117" spans="1:14" hidden="1">
      <c r="A117" s="1521" t="s">
        <v>8697</v>
      </c>
      <c r="B117" s="1488"/>
      <c r="C117" s="1488"/>
      <c r="D117" s="1488"/>
      <c r="E117" s="1488"/>
      <c r="F117" s="1519"/>
      <c r="G117" s="1488"/>
      <c r="H117" s="1488"/>
      <c r="I117" s="2052" t="e">
        <f>I115</f>
        <v>#DIV/0!</v>
      </c>
      <c r="J117" s="2506" t="e">
        <f>J115</f>
        <v>#DIV/0!</v>
      </c>
    </row>
    <row r="118" spans="1:14" hidden="1">
      <c r="A118" s="1527" t="s">
        <v>7461</v>
      </c>
      <c r="B118" s="1528"/>
      <c r="C118" s="1528"/>
      <c r="D118" s="1528"/>
      <c r="E118" s="1528"/>
      <c r="F118" s="2085" t="e">
        <f>IF(F98&gt;0,0,F98)</f>
        <v>#REF!</v>
      </c>
      <c r="G118" s="1528"/>
      <c r="H118" s="2067"/>
      <c r="I118" s="2081" t="e">
        <f>I181</f>
        <v>#DIV/0!</v>
      </c>
      <c r="J118" s="2507">
        <f>J175</f>
        <v>0</v>
      </c>
    </row>
    <row r="119" spans="1:14" hidden="1">
      <c r="A119" s="1527" t="s">
        <v>7462</v>
      </c>
      <c r="B119" s="1528"/>
      <c r="C119" s="1528"/>
      <c r="D119" s="1528"/>
      <c r="E119" s="1528"/>
      <c r="F119" s="1530"/>
      <c r="G119" s="1528"/>
      <c r="H119" s="2067"/>
      <c r="I119" s="2081">
        <v>0</v>
      </c>
      <c r="J119" s="2507">
        <v>0</v>
      </c>
    </row>
    <row r="120" spans="1:14" hidden="1">
      <c r="A120" s="1531"/>
      <c r="B120" s="1452"/>
      <c r="C120" s="1452"/>
      <c r="D120" s="1452"/>
      <c r="E120" s="1452"/>
      <c r="F120" s="1532"/>
      <c r="G120" s="1452"/>
      <c r="H120" s="1488"/>
      <c r="I120" s="2081"/>
      <c r="J120" s="2507"/>
    </row>
    <row r="121" spans="1:14" hidden="1">
      <c r="A121" s="2078" t="s">
        <v>7659</v>
      </c>
      <c r="B121" s="2073"/>
      <c r="C121" s="2073"/>
      <c r="D121" s="2073"/>
      <c r="E121" s="2073"/>
      <c r="F121" s="2074" t="e">
        <f>F115+F118</f>
        <v>#REF!</v>
      </c>
      <c r="G121" s="2073"/>
      <c r="H121" s="2075"/>
      <c r="I121" s="2072" t="e">
        <f>I115+I118+I119</f>
        <v>#DIV/0!</v>
      </c>
      <c r="J121" s="2510" t="e">
        <f>J115+J118+J119</f>
        <v>#DIV/0!</v>
      </c>
    </row>
    <row r="122" spans="1:14" ht="14.5" hidden="1" thickBot="1">
      <c r="A122" s="1533"/>
      <c r="B122" s="1534"/>
      <c r="C122" s="1534"/>
      <c r="D122" s="1534"/>
      <c r="E122" s="1534"/>
      <c r="F122" s="1534"/>
      <c r="G122" s="2076"/>
      <c r="H122" s="1534"/>
      <c r="I122" s="1536"/>
      <c r="J122" s="2511"/>
    </row>
    <row r="123" spans="1:14" ht="14.5" hidden="1" thickTop="1">
      <c r="D123" s="1415" t="s">
        <v>1159</v>
      </c>
      <c r="E123" s="1415"/>
      <c r="F123" s="1415"/>
      <c r="H123" s="1425">
        <f>H118+H121</f>
        <v>0</v>
      </c>
      <c r="I123" s="1416"/>
      <c r="J123" s="1537"/>
      <c r="K123" s="1537"/>
    </row>
    <row r="124" spans="1:14" hidden="1">
      <c r="D124" s="1415" t="s">
        <v>443</v>
      </c>
      <c r="E124" s="1415"/>
      <c r="F124" s="1415"/>
      <c r="I124" s="1416"/>
      <c r="J124" s="1538"/>
      <c r="K124" s="1538"/>
    </row>
    <row r="125" spans="1:14" hidden="1">
      <c r="D125" s="1415" t="s">
        <v>444</v>
      </c>
      <c r="I125" s="1416"/>
    </row>
    <row r="126" spans="1:14" hidden="1">
      <c r="D126" s="1415" t="s">
        <v>957</v>
      </c>
      <c r="I126" s="1416"/>
    </row>
    <row r="127" spans="1:14" hidden="1">
      <c r="D127" s="1415" t="s">
        <v>606</v>
      </c>
      <c r="I127" s="1416"/>
    </row>
    <row r="128" spans="1:14" hidden="1">
      <c r="D128" s="1415" t="s">
        <v>607</v>
      </c>
      <c r="I128" s="1416"/>
    </row>
    <row r="129" spans="1:11" hidden="1">
      <c r="D129" s="1415"/>
      <c r="I129" s="1416"/>
    </row>
    <row r="130" spans="1:11" hidden="1">
      <c r="I130" s="1416"/>
    </row>
    <row r="131" spans="1:11" hidden="1">
      <c r="I131" s="1416"/>
    </row>
    <row r="132" spans="1:11" hidden="1">
      <c r="I132" s="1416"/>
    </row>
    <row r="133" spans="1:11" hidden="1">
      <c r="A133" s="1372" t="s">
        <v>1573</v>
      </c>
      <c r="G133" s="1388"/>
      <c r="I133" s="1416"/>
    </row>
    <row r="134" spans="1:11" hidden="1">
      <c r="G134" s="1388"/>
      <c r="I134" s="1416"/>
    </row>
    <row r="135" spans="1:11" hidden="1">
      <c r="A135" s="1372" t="s">
        <v>1404</v>
      </c>
      <c r="G135" s="1388"/>
      <c r="H135" s="1388"/>
      <c r="I135" s="1416"/>
      <c r="J135" s="1388"/>
      <c r="K135" s="1388"/>
    </row>
    <row r="136" spans="1:11" hidden="1">
      <c r="A136" s="1372" t="s">
        <v>1405</v>
      </c>
      <c r="H136" s="1388"/>
      <c r="I136" s="1416"/>
      <c r="J136" s="1388"/>
      <c r="K136" s="1388"/>
    </row>
    <row r="137" spans="1:11" hidden="1">
      <c r="A137" s="1372" t="s">
        <v>486</v>
      </c>
      <c r="H137" s="1388"/>
      <c r="I137" s="1416"/>
      <c r="J137" s="1388"/>
      <c r="K137" s="1388"/>
    </row>
    <row r="138" spans="1:11" hidden="1">
      <c r="A138" s="1372" t="s">
        <v>487</v>
      </c>
      <c r="I138" s="1416"/>
    </row>
    <row r="139" spans="1:11" hidden="1">
      <c r="A139" s="1372" t="s">
        <v>955</v>
      </c>
      <c r="I139" s="1416"/>
    </row>
    <row r="140" spans="1:11" hidden="1">
      <c r="A140" s="1372" t="s">
        <v>956</v>
      </c>
      <c r="I140" s="1416"/>
    </row>
    <row r="141" spans="1:11" hidden="1">
      <c r="A141" s="1399" t="s">
        <v>1692</v>
      </c>
      <c r="I141" s="1416"/>
    </row>
    <row r="142" spans="1:11" hidden="1">
      <c r="I142" s="1416"/>
    </row>
    <row r="143" spans="1:11" hidden="1">
      <c r="A143" s="1372" t="s">
        <v>60</v>
      </c>
      <c r="I143" s="1416"/>
    </row>
    <row r="144" spans="1:11" hidden="1">
      <c r="A144" s="1372" t="s">
        <v>1599</v>
      </c>
      <c r="I144" s="1416"/>
    </row>
    <row r="145" spans="1:11" hidden="1">
      <c r="A145" s="1372" t="s">
        <v>1600</v>
      </c>
      <c r="I145" s="1416"/>
    </row>
    <row r="146" spans="1:11" hidden="1">
      <c r="A146" s="1372" t="s">
        <v>1717</v>
      </c>
      <c r="I146" s="1416"/>
    </row>
    <row r="147" spans="1:11" hidden="1">
      <c r="I147" s="1416"/>
    </row>
    <row r="148" spans="1:11" hidden="1">
      <c r="A148" s="1372" t="s">
        <v>1718</v>
      </c>
      <c r="I148" s="1416"/>
    </row>
    <row r="149" spans="1:11" hidden="1">
      <c r="A149" s="1372" t="s">
        <v>1719</v>
      </c>
      <c r="I149" s="1416"/>
    </row>
    <row r="150" spans="1:11" hidden="1">
      <c r="A150" s="1372" t="s">
        <v>319</v>
      </c>
      <c r="I150" s="1416"/>
    </row>
    <row r="151" spans="1:11" hidden="1">
      <c r="A151" s="1372" t="s">
        <v>1720</v>
      </c>
      <c r="I151" s="1416"/>
    </row>
    <row r="152" spans="1:11" hidden="1">
      <c r="A152" s="1372" t="s">
        <v>317</v>
      </c>
      <c r="I152" s="1416"/>
    </row>
    <row r="153" spans="1:11" hidden="1">
      <c r="I153" s="1416"/>
    </row>
    <row r="154" spans="1:11" hidden="1">
      <c r="A154" s="1399" t="s">
        <v>318</v>
      </c>
      <c r="I154" s="1416"/>
    </row>
    <row r="155" spans="1:11" hidden="1">
      <c r="I155" s="1416"/>
    </row>
    <row r="156" spans="1:11" hidden="1">
      <c r="I156" s="1416"/>
    </row>
    <row r="157" spans="1:11" hidden="1">
      <c r="I157" s="1416"/>
    </row>
    <row r="158" spans="1:11" hidden="1">
      <c r="E158" s="1373" t="s">
        <v>2598</v>
      </c>
      <c r="F158" s="1509" t="e">
        <f>SUM(F22:F28)</f>
        <v>#REF!</v>
      </c>
      <c r="H158" s="1509">
        <f>SUM(H22:H28)</f>
        <v>0</v>
      </c>
      <c r="I158" s="1539" t="e">
        <f>SUM(I22:I28)</f>
        <v>#DIV/0!</v>
      </c>
    </row>
    <row r="159" spans="1:11" hidden="1">
      <c r="E159" s="1373" t="s">
        <v>2599</v>
      </c>
      <c r="F159" s="1509" t="e">
        <f>F29+F31</f>
        <v>#REF!</v>
      </c>
      <c r="H159" s="1509">
        <f>H29+H31</f>
        <v>0</v>
      </c>
      <c r="I159" s="1540" t="e">
        <f>I29+I31</f>
        <v>#DIV/0!</v>
      </c>
    </row>
    <row r="160" spans="1:11" hidden="1">
      <c r="E160" s="1373" t="s">
        <v>2600</v>
      </c>
      <c r="F160" s="1509" t="e">
        <f>F33+F34</f>
        <v>#REF!</v>
      </c>
      <c r="H160" s="1509">
        <f>H33+H34</f>
        <v>0</v>
      </c>
      <c r="I160" s="1540" t="e">
        <f>I33+I34</f>
        <v>#DIV/0!</v>
      </c>
      <c r="J160" s="1509"/>
      <c r="K160" s="1509"/>
    </row>
    <row r="161" spans="4:11" hidden="1">
      <c r="E161" s="1373" t="s">
        <v>2601</v>
      </c>
      <c r="F161" s="1509" t="e">
        <f>F35+F42</f>
        <v>#REF!</v>
      </c>
      <c r="H161" s="1509">
        <f>H35+H42</f>
        <v>0</v>
      </c>
      <c r="I161" s="1540" t="e">
        <f>SUM(#REF!)</f>
        <v>#REF!</v>
      </c>
      <c r="J161" s="1509"/>
      <c r="K161" s="1509"/>
    </row>
    <row r="162" spans="4:11" hidden="1">
      <c r="E162" s="1373" t="s">
        <v>2648</v>
      </c>
      <c r="F162" s="1473">
        <f>Assumptions!G119*'Calc Data'!G25*'Calc Data'!G35*100</f>
        <v>0</v>
      </c>
      <c r="H162" s="1473">
        <f>Assumptions!G119*'Calc Data'!G25*'Calc Data'!G35*100</f>
        <v>0</v>
      </c>
      <c r="I162" s="1541" t="e">
        <f>Assumptions!H119*L61*'Calc Data'!D105*100</f>
        <v>#DIV/0!</v>
      </c>
      <c r="J162" s="1509"/>
      <c r="K162" s="1509"/>
    </row>
    <row r="163" spans="4:11" hidden="1">
      <c r="E163" s="1373" t="s">
        <v>2650</v>
      </c>
      <c r="F163" s="1473">
        <f>Assumptions!G120*'Calc Data'!G25*'Calc Data'!G38*100</f>
        <v>0</v>
      </c>
      <c r="H163" s="1473" t="e">
        <f>Assumptions!G120*'Calc Data'!G25*'Calc Data'!BB29*100</f>
        <v>#REF!</v>
      </c>
      <c r="I163" s="1541" t="e">
        <f>Assumptions!H120*L61*'Calc Data'!D110*100</f>
        <v>#DIV/0!</v>
      </c>
      <c r="J163" s="1509"/>
      <c r="K163" s="1509"/>
    </row>
    <row r="164" spans="4:11" hidden="1">
      <c r="E164" s="1373" t="s">
        <v>7437</v>
      </c>
      <c r="I164" s="1542" t="e">
        <f>I43+I44+I45</f>
        <v>#DIV/0!</v>
      </c>
      <c r="J164" s="1473"/>
      <c r="K164" s="1473"/>
    </row>
    <row r="165" spans="4:11" hidden="1">
      <c r="I165" s="1509"/>
      <c r="J165" s="1473"/>
      <c r="K165" s="1473"/>
    </row>
    <row r="166" spans="4:11" hidden="1"/>
    <row r="167" spans="4:11" hidden="1">
      <c r="D167" s="2087"/>
      <c r="E167" s="2088"/>
      <c r="F167" s="2088"/>
      <c r="G167" s="2088"/>
      <c r="H167" s="2091" t="s">
        <v>8705</v>
      </c>
    </row>
    <row r="168" spans="4:11" hidden="1">
      <c r="H168" s="1543" t="s">
        <v>7650</v>
      </c>
    </row>
    <row r="169" spans="4:11" hidden="1">
      <c r="E169" s="1415"/>
      <c r="F169" s="1415"/>
      <c r="H169" s="1544" t="s">
        <v>7818</v>
      </c>
      <c r="I169" s="1545" t="e">
        <f>'SOF2122-HB3'!I176</f>
        <v>#REF!</v>
      </c>
    </row>
    <row r="170" spans="4:11" hidden="1">
      <c r="E170" s="1415"/>
      <c r="F170" s="1415"/>
      <c r="H170" s="1544" t="s">
        <v>7819</v>
      </c>
      <c r="I170" s="1546" t="e">
        <f>'SOF2122-HB3'!I177</f>
        <v>#REF!</v>
      </c>
    </row>
    <row r="171" spans="4:11" hidden="1">
      <c r="E171" s="1415"/>
      <c r="F171" s="1415"/>
      <c r="H171" s="1415"/>
      <c r="I171" s="1547"/>
    </row>
    <row r="172" spans="4:11" hidden="1">
      <c r="E172" s="1415"/>
      <c r="F172" s="1415"/>
      <c r="H172" s="1415"/>
      <c r="I172" s="1547"/>
    </row>
    <row r="173" spans="4:11" hidden="1">
      <c r="E173" s="1415"/>
      <c r="F173" s="1415"/>
      <c r="H173" s="1544" t="s">
        <v>7816</v>
      </c>
      <c r="I173" s="1546" t="e">
        <f>'SOF2122-HB3'!I180</f>
        <v>#REF!</v>
      </c>
    </row>
    <row r="174" spans="4:11" hidden="1">
      <c r="E174" s="1415"/>
      <c r="F174" s="1415"/>
      <c r="H174" s="1544" t="s">
        <v>7817</v>
      </c>
      <c r="I174" s="1546" t="e">
        <f>'SOF2122-HB3'!I181</f>
        <v>#REF!</v>
      </c>
    </row>
    <row r="175" spans="4:11" hidden="1">
      <c r="E175" s="1415"/>
      <c r="F175" s="1415"/>
      <c r="H175" s="1415"/>
      <c r="I175" s="1547"/>
    </row>
    <row r="176" spans="4:11" hidden="1">
      <c r="E176" s="1415"/>
      <c r="F176" s="1415"/>
      <c r="H176" s="1544" t="s">
        <v>7633</v>
      </c>
      <c r="I176" s="1548" t="e">
        <f>MIN(I170,I174)</f>
        <v>#REF!</v>
      </c>
    </row>
    <row r="177" spans="5:13" hidden="1">
      <c r="E177" s="1415"/>
      <c r="F177" s="1415"/>
      <c r="H177" s="2094" t="s">
        <v>8923</v>
      </c>
      <c r="I177" s="1549">
        <f>MAX('Data Entry - SOF'!C145,'Data Entry - SOF'!C146)</f>
        <v>0</v>
      </c>
    </row>
    <row r="178" spans="5:13" hidden="1">
      <c r="E178" s="1415"/>
      <c r="F178" s="1415"/>
      <c r="H178" s="1544" t="s">
        <v>7797</v>
      </c>
      <c r="I178" s="1550" t="e">
        <f>(I115+I119)/'Data Entry - SOF'!I19</f>
        <v>#DIV/0!</v>
      </c>
    </row>
    <row r="179" spans="5:13" hidden="1">
      <c r="H179" s="2095" t="s">
        <v>7631</v>
      </c>
      <c r="I179" s="1556" t="e">
        <f>IF(I178&gt;=I177,0,I177-I178)</f>
        <v>#DIV/0!</v>
      </c>
    </row>
    <row r="180" spans="5:13" hidden="1">
      <c r="H180" s="2095" t="s">
        <v>7798</v>
      </c>
      <c r="I180" s="1552">
        <f>'Data Entry - SOF'!I19</f>
        <v>0</v>
      </c>
    </row>
    <row r="181" spans="5:13" hidden="1">
      <c r="H181" s="2095" t="s">
        <v>7461</v>
      </c>
      <c r="I181" s="1553" t="e">
        <f>I179*I180</f>
        <v>#DIV/0!</v>
      </c>
    </row>
    <row r="182" spans="5:13" hidden="1"/>
    <row r="183" spans="5:13" hidden="1"/>
    <row r="184" spans="5:13" hidden="1">
      <c r="H184" s="2095" t="s">
        <v>7752</v>
      </c>
    </row>
    <row r="185" spans="5:13" hidden="1">
      <c r="J185" s="1554"/>
      <c r="K185" s="1554"/>
      <c r="M185" s="1555"/>
    </row>
    <row r="186" spans="5:13" hidden="1"/>
    <row r="196" spans="8:10">
      <c r="H196" s="1379" t="s">
        <v>8283</v>
      </c>
      <c r="I196" s="1769" t="e">
        <f>Assumptions!H164*L61*'Calc Data'!G105*100</f>
        <v>#DIV/0!</v>
      </c>
      <c r="J196" s="1771" t="e">
        <f>Assumptions!H164*L61*'Calc Data'!Q105*100</f>
        <v>#DIV/0!</v>
      </c>
    </row>
    <row r="197" spans="8:10">
      <c r="H197" s="1379" t="s">
        <v>8284</v>
      </c>
      <c r="I197" s="1769" t="e">
        <f>'Calc Data'!G106</f>
        <v>#DIV/0!</v>
      </c>
      <c r="J197" s="1771" t="e">
        <f>'Calc Data'!Q106</f>
        <v>#DIV/0!</v>
      </c>
    </row>
    <row r="199" spans="8:10">
      <c r="H199" s="1379" t="s">
        <v>8288</v>
      </c>
      <c r="I199" s="1769" t="e">
        <f>Assumptions!H165*L61*'Calc Data'!G110*100</f>
        <v>#DIV/0!</v>
      </c>
      <c r="J199" s="1771" t="e">
        <f>Assumptions!H165*L61*'Calc Data'!Q110*100</f>
        <v>#DIV/0!</v>
      </c>
    </row>
    <row r="200" spans="8:10">
      <c r="H200" s="1379" t="s">
        <v>8289</v>
      </c>
      <c r="I200" s="1769" t="e">
        <f>'Calc Data'!G111</f>
        <v>#DIV/0!</v>
      </c>
      <c r="J200" s="1771" t="e">
        <f>'Calc Data'!Q111</f>
        <v>#DIV/0!</v>
      </c>
    </row>
  </sheetData>
  <pageMargins left="0.7" right="0.7" top="0.75" bottom="0.75" header="0.3" footer="0.3"/>
  <pageSetup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3" tint="0.79998168889431442"/>
  </sheetPr>
  <dimension ref="A1:AL200"/>
  <sheetViews>
    <sheetView topLeftCell="E51" workbookViewId="0">
      <selection activeCell="L62" sqref="L62"/>
    </sheetView>
  </sheetViews>
  <sheetFormatPr defaultColWidth="8.7265625" defaultRowHeight="14"/>
  <cols>
    <col min="1" max="1" width="10.54296875" style="1373" bestFit="1" customWidth="1"/>
    <col min="2" max="2" width="8.7265625" style="1373"/>
    <col min="3" max="3" width="13.54296875" style="1373" customWidth="1"/>
    <col min="4" max="4" width="44.54296875" style="1373" customWidth="1"/>
    <col min="5" max="5" width="19.1796875" style="1373" customWidth="1"/>
    <col min="6" max="6" width="19.1796875" style="1373" hidden="1" customWidth="1"/>
    <col min="7" max="7" width="6.453125" style="1373" customWidth="1"/>
    <col min="8" max="8" width="3" style="1373" customWidth="1"/>
    <col min="9" max="9" width="24.1796875" style="1373" customWidth="1"/>
    <col min="10" max="10" width="31.54296875" style="1373" customWidth="1"/>
    <col min="11" max="11" width="31.26953125" style="1373" customWidth="1"/>
    <col min="12" max="12" width="15.54296875" style="1373" customWidth="1"/>
    <col min="13" max="13" width="15.54296875" style="1378" customWidth="1"/>
    <col min="14" max="14" width="23.81640625" style="1373" customWidth="1"/>
    <col min="15" max="15" width="15.54296875" style="1379" hidden="1" customWidth="1"/>
    <col min="16" max="16" width="13.54296875" style="1373" customWidth="1"/>
    <col min="17" max="37" width="8.7265625" style="1373"/>
    <col min="38" max="38" width="15.54296875" style="1373" customWidth="1"/>
    <col min="39" max="39" width="16" style="1373" customWidth="1"/>
    <col min="40" max="16384" width="8.7265625" style="1373"/>
  </cols>
  <sheetData>
    <row r="1" spans="1:11" hidden="1">
      <c r="A1" s="1372" t="s">
        <v>64</v>
      </c>
      <c r="C1" s="1374" t="str">
        <f>'Data Entry - SOF'!B1</f>
        <v xml:space="preserve"> </v>
      </c>
      <c r="E1" s="1375"/>
      <c r="F1" s="1376" t="e">
        <f>#REF!</f>
        <v>#REF!</v>
      </c>
      <c r="G1" s="1377"/>
      <c r="J1" s="1377"/>
      <c r="K1" s="1377"/>
    </row>
    <row r="2" spans="1:11" hidden="1">
      <c r="A2" s="1372" t="s">
        <v>65</v>
      </c>
      <c r="C2" s="1380">
        <f>'Data Entry - SOF'!B2</f>
        <v>0</v>
      </c>
      <c r="F2" s="1377" t="e">
        <f>#REF!</f>
        <v>#REF!</v>
      </c>
      <c r="G2" s="1377"/>
      <c r="J2" s="1377"/>
      <c r="K2" s="1377"/>
    </row>
    <row r="3" spans="1:11" hidden="1">
      <c r="A3" s="1372" t="s">
        <v>134</v>
      </c>
      <c r="C3" s="1381">
        <f ca="1">'Data Entry - SOF'!B3</f>
        <v>44931.882496064813</v>
      </c>
      <c r="F3" s="1382" t="e">
        <f>#REF!</f>
        <v>#REF!</v>
      </c>
    </row>
    <row r="4" spans="1:11" hidden="1">
      <c r="D4" s="1383" t="s">
        <v>2821</v>
      </c>
    </row>
    <row r="5" spans="1:11" hidden="1">
      <c r="D5" s="1384" t="s">
        <v>2840</v>
      </c>
    </row>
    <row r="6" spans="1:11" hidden="1"/>
    <row r="7" spans="1:11" hidden="1">
      <c r="D7" s="1372" t="s">
        <v>1308</v>
      </c>
    </row>
    <row r="8" spans="1:11" hidden="1">
      <c r="B8" s="1385"/>
      <c r="D8" s="1372" t="s">
        <v>786</v>
      </c>
      <c r="F8" s="1386">
        <f>'Calc Data'!H7</f>
        <v>0</v>
      </c>
      <c r="G8" s="1387"/>
      <c r="J8" s="1387"/>
      <c r="K8" s="1387"/>
    </row>
    <row r="9" spans="1:11" hidden="1">
      <c r="D9" s="1372" t="s">
        <v>1309</v>
      </c>
      <c r="F9" s="1386">
        <f>'Calc Data'!H8</f>
        <v>0</v>
      </c>
      <c r="G9" s="1387"/>
      <c r="J9" s="1387"/>
      <c r="K9" s="1387"/>
    </row>
    <row r="10" spans="1:11" hidden="1">
      <c r="D10" s="1372" t="s">
        <v>404</v>
      </c>
      <c r="F10" s="1386" t="e">
        <f>'Data Entry - SOF'!#REF!</f>
        <v>#REF!</v>
      </c>
      <c r="G10" s="1387"/>
      <c r="J10" s="1387"/>
      <c r="K10" s="1387"/>
    </row>
    <row r="11" spans="1:11" hidden="1">
      <c r="B11" s="1372"/>
      <c r="D11" s="1372" t="s">
        <v>405</v>
      </c>
      <c r="F11" s="1386" t="e">
        <f>'Calc Data'!H10</f>
        <v>#REF!</v>
      </c>
      <c r="G11" s="1387"/>
      <c r="J11" s="1387"/>
      <c r="K11" s="1387"/>
    </row>
    <row r="12" spans="1:11" hidden="1">
      <c r="D12" s="1372" t="s">
        <v>406</v>
      </c>
      <c r="F12" s="1388">
        <f>'Data Entry - SOF'!K63</f>
        <v>0</v>
      </c>
      <c r="G12" s="1388"/>
      <c r="J12" s="1388"/>
      <c r="K12" s="1388"/>
    </row>
    <row r="13" spans="1:11" hidden="1">
      <c r="D13" s="1372" t="s">
        <v>407</v>
      </c>
      <c r="F13" s="1388" t="e">
        <f>'Data Entry - SOF'!#REF!</f>
        <v>#REF!</v>
      </c>
      <c r="G13" s="1388"/>
      <c r="J13" s="1388"/>
      <c r="K13" s="1388"/>
    </row>
    <row r="14" spans="1:11" hidden="1">
      <c r="D14" s="1372" t="s">
        <v>1711</v>
      </c>
      <c r="F14" s="1386" t="e">
        <f>'Data Entry - SOF'!K128</f>
        <v>#REF!</v>
      </c>
      <c r="G14" s="1388"/>
      <c r="J14" s="1388"/>
      <c r="K14" s="1388"/>
    </row>
    <row r="15" spans="1:11" hidden="1">
      <c r="D15" s="1372" t="s">
        <v>1085</v>
      </c>
      <c r="F15" s="1386">
        <f>'Calc Data'!H59</f>
        <v>0</v>
      </c>
      <c r="G15" s="1389"/>
      <c r="J15" s="1389"/>
      <c r="K15" s="1389"/>
    </row>
    <row r="16" spans="1:11" hidden="1">
      <c r="D16" s="1372" t="s">
        <v>1849</v>
      </c>
      <c r="F16" s="1388" t="e">
        <f>'Data Entry - SOF'!#REF!</f>
        <v>#REF!</v>
      </c>
      <c r="G16" s="1388"/>
      <c r="J16" s="1388"/>
      <c r="K16" s="1388"/>
    </row>
    <row r="17" spans="2:38" ht="14.5" hidden="1" thickBot="1">
      <c r="D17" s="1390"/>
      <c r="E17" s="1391"/>
      <c r="F17" s="1391"/>
      <c r="G17" s="1388"/>
      <c r="J17" s="1388"/>
      <c r="K17" s="1388"/>
    </row>
    <row r="18" spans="2:38">
      <c r="D18" s="1372"/>
      <c r="G18" s="1388"/>
      <c r="I18" s="1392" t="s">
        <v>9171</v>
      </c>
      <c r="J18" s="2466" t="s">
        <v>10725</v>
      </c>
      <c r="K18" s="2668" t="s">
        <v>10726</v>
      </c>
    </row>
    <row r="19" spans="2:38">
      <c r="B19" s="1394" t="s">
        <v>408</v>
      </c>
      <c r="D19" s="1372"/>
      <c r="F19" s="1395" t="s">
        <v>3315</v>
      </c>
      <c r="G19" s="1372"/>
      <c r="I19" s="1396" t="s">
        <v>7427</v>
      </c>
      <c r="J19" s="1687" t="s">
        <v>10727</v>
      </c>
      <c r="K19" s="2669" t="s">
        <v>10728</v>
      </c>
    </row>
    <row r="20" spans="2:38">
      <c r="B20" s="1394">
        <v>11</v>
      </c>
      <c r="C20" s="1379" t="s">
        <v>7438</v>
      </c>
      <c r="D20" s="1399" t="s">
        <v>2817</v>
      </c>
      <c r="F20" s="1400" t="e">
        <f>ROUND(ROUND('Calc Data'!H23,0)*IF('Calc Data'!H11&gt;'Calc Data'!H10,'Calc Data'!H11,'Calc Data'!H10),0)</f>
        <v>#REF!</v>
      </c>
      <c r="G20" s="1388"/>
      <c r="I20" s="2476" t="e">
        <f>ROUND(Assumptions!H172*IF('Calc Data'!H12&gt;'Calc Data'!H11,'Calc Data'!H12,'Calc Data'!H11),0)</f>
        <v>#DIV/0!</v>
      </c>
      <c r="J20" s="2485" t="e">
        <f>I20</f>
        <v>#DIV/0!</v>
      </c>
      <c r="K20" s="2684"/>
      <c r="AL20" s="1388" t="e">
        <f>ROUND(ROUND('Calc Data'!AA23,0)*IF('Calc Data'!#REF!&gt;'Calc Data'!#REF!,'Calc Data'!#REF!,'Calc Data'!#REF!),0)</f>
        <v>#REF!</v>
      </c>
    </row>
    <row r="21" spans="2:38">
      <c r="B21" s="1394"/>
      <c r="C21" s="1404" t="s">
        <v>7439</v>
      </c>
      <c r="D21" s="1405" t="s">
        <v>7431</v>
      </c>
      <c r="E21" s="1406"/>
      <c r="F21" s="1407"/>
      <c r="G21" s="1408"/>
      <c r="H21" s="1408"/>
      <c r="I21" s="2476">
        <f>MAX('Calc Data'!H97,'Calc Data'!H99)</f>
        <v>0</v>
      </c>
      <c r="J21" s="2486">
        <f t="shared" ref="J21:J61" si="0">I21</f>
        <v>0</v>
      </c>
      <c r="K21" s="2677"/>
      <c r="AL21" s="1388"/>
    </row>
    <row r="22" spans="2:38">
      <c r="B22" s="1394">
        <v>23</v>
      </c>
      <c r="C22" s="1379" t="s">
        <v>7439</v>
      </c>
      <c r="D22" s="1372" t="s">
        <v>7455</v>
      </c>
      <c r="F22" s="1388" t="e">
        <f>ROUND('Calc Data'!H9*ROUND('Calc Data'!H23,0),0)</f>
        <v>#REF!</v>
      </c>
      <c r="G22" s="1388"/>
      <c r="I22" s="2477" t="e">
        <f>ROUND('Calc Data'!H9*(Assumptions!H172+'Calc Data'!H96),0)</f>
        <v>#DIV/0!</v>
      </c>
      <c r="J22" s="2486" t="e">
        <f t="shared" si="0"/>
        <v>#DIV/0!</v>
      </c>
      <c r="K22" s="2677"/>
      <c r="AL22" s="1388" t="e">
        <f>ROUND('Calc Data'!#REF!*ROUND('Calc Data'!AA23,0),0)</f>
        <v>#REF!</v>
      </c>
    </row>
    <row r="23" spans="2:38">
      <c r="B23" s="1394"/>
      <c r="C23" s="1379" t="s">
        <v>7439</v>
      </c>
      <c r="D23" s="1372" t="s">
        <v>87</v>
      </c>
      <c r="F23" s="1415"/>
      <c r="I23" s="2478"/>
      <c r="J23" s="2486">
        <f t="shared" si="0"/>
        <v>0</v>
      </c>
      <c r="K23" s="2677"/>
    </row>
    <row r="24" spans="2:38">
      <c r="B24" s="1394">
        <v>23</v>
      </c>
      <c r="C24" s="1379" t="s">
        <v>7439</v>
      </c>
      <c r="D24" s="1372" t="s">
        <v>88</v>
      </c>
      <c r="F24" s="1418" t="e">
        <f>ROUND('Data Entry - SOF'!K32*Weights!O21*ROUND('Calc Data'!H23,0),0)</f>
        <v>#REF!</v>
      </c>
      <c r="G24" s="1418"/>
      <c r="I24" s="2479">
        <f>IF('Data Entry - SOF'!K32=0,0,ROUND('Data Entry - SOF'!K32*'Weights-HB3'!M18*(Assumptions!H172+'Calc Data'!H96),0))</f>
        <v>0</v>
      </c>
      <c r="J24" s="2486">
        <f t="shared" si="0"/>
        <v>0</v>
      </c>
      <c r="K24" s="2677"/>
      <c r="AL24" s="1418" t="e">
        <f>ROUND('Data Entry - SOF'!#REF!*1.1*ROUND('Calc Data'!AA23,0),0)</f>
        <v>#REF!</v>
      </c>
    </row>
    <row r="25" spans="2:38">
      <c r="B25" s="1394">
        <v>23</v>
      </c>
      <c r="C25" s="1379" t="s">
        <v>7439</v>
      </c>
      <c r="D25" s="1372" t="s">
        <v>89</v>
      </c>
      <c r="F25" s="1388" t="e">
        <f>ROUND((+'Data Entry - SOF'!K31*Weights!O19)*ROUND('Calc Data'!H23,0),0)</f>
        <v>#REF!</v>
      </c>
      <c r="G25" s="1388"/>
      <c r="I25" s="2477">
        <f>IF('Data Entry - SOF'!K31=0,0,ROUND(('Data Entry - SOF'!K31*'Weights-HB3'!M16)*(Assumptions!H172+'Calc Data'!H96),0))</f>
        <v>0</v>
      </c>
      <c r="J25" s="2486">
        <f t="shared" si="0"/>
        <v>0</v>
      </c>
      <c r="K25" s="2677"/>
      <c r="AL25" s="1388" t="e">
        <f>ROUND((+'Data Entry - SOF'!#REF!*4)*ROUND('Calc Data'!AA23,0),0)</f>
        <v>#REF!</v>
      </c>
    </row>
    <row r="26" spans="2:38">
      <c r="B26" s="1394">
        <v>23</v>
      </c>
      <c r="C26" s="1379" t="s">
        <v>7439</v>
      </c>
      <c r="D26" s="1421" t="s">
        <v>766</v>
      </c>
      <c r="F26" s="1388" t="e">
        <f>ROUND((+'Data Entry - SOF'!K29*Weights!O17)*ROUND('Calc Data'!H23,0),0)</f>
        <v>#REF!</v>
      </c>
      <c r="G26" s="1388"/>
      <c r="I26" s="2477">
        <f>IF('Data Entry - SOF'!K29=0,0,ROUND(('Data Entry - SOF'!K29*'Weights-HB3'!M14)*(Assumptions!H172+'Calc Data'!H96),0))</f>
        <v>0</v>
      </c>
      <c r="J26" s="2486">
        <f t="shared" si="0"/>
        <v>0</v>
      </c>
      <c r="K26" s="2677"/>
      <c r="AL26" s="1388" t="e">
        <f>ROUND((+'Data Entry - SOF'!#REF!*2.8)*ROUND('Calc Data'!AA23,0),0)</f>
        <v>#REF!</v>
      </c>
    </row>
    <row r="27" spans="2:38">
      <c r="B27" s="1394">
        <v>23</v>
      </c>
      <c r="C27" s="1379" t="s">
        <v>7439</v>
      </c>
      <c r="D27" s="1421" t="s">
        <v>767</v>
      </c>
      <c r="F27" s="1388" t="e">
        <f>ROUND(('Data Entry - SOF'!K30*Weights!O18)*ROUND('Calc Data'!H23,0),0)</f>
        <v>#REF!</v>
      </c>
      <c r="G27" s="1388"/>
      <c r="I27" s="2477">
        <f>IF('Data Entry - SOF'!K30=0,0,ROUND(('Data Entry - SOF'!K30*'Weights-HB3'!M15)*(Assumptions!H172+'Calc Data'!H96),0))</f>
        <v>0</v>
      </c>
      <c r="J27" s="2486">
        <f t="shared" si="0"/>
        <v>0</v>
      </c>
      <c r="K27" s="2677"/>
      <c r="AL27" s="1388" t="e">
        <f>ROUND(('Data Entry - SOF'!#REF!*1.7)*ROUND('Calc Data'!AA23,0),0)</f>
        <v>#REF!</v>
      </c>
    </row>
    <row r="28" spans="2:38">
      <c r="B28" s="1394"/>
      <c r="C28" s="1379" t="s">
        <v>7439</v>
      </c>
      <c r="D28" s="1372" t="s">
        <v>1075</v>
      </c>
      <c r="F28" s="1388" t="e">
        <f>IF('Data Entry - SOF'!#REF!&lt;0,'Data Entry - SOF'!#REF!,'Data Entry - SOF'!#REF!*-1)</f>
        <v>#REF!</v>
      </c>
      <c r="G28" s="1388"/>
      <c r="I28" s="2477">
        <f>IF('Data Entry - SOF'!K96&lt;0,'Data Entry - SOF'!K96,'Data Entry - SOF'!K96*-1)</f>
        <v>0</v>
      </c>
      <c r="J28" s="2486">
        <f t="shared" si="0"/>
        <v>0</v>
      </c>
      <c r="K28" s="2677"/>
      <c r="AL28" s="1388">
        <v>0</v>
      </c>
    </row>
    <row r="29" spans="2:38">
      <c r="B29" s="1394">
        <v>22</v>
      </c>
      <c r="C29" s="1379" t="s">
        <v>7439</v>
      </c>
      <c r="D29" s="2174" t="s">
        <v>9043</v>
      </c>
      <c r="E29" s="1417"/>
      <c r="F29" s="2172" t="e">
        <f>ROUND(ROUND('Calc Data'!D23,0)*'Data Entry - SOF'!#REF!*Weights!M23,0)</f>
        <v>#REF!</v>
      </c>
      <c r="G29" s="2172"/>
      <c r="H29" s="1417"/>
      <c r="I29" s="2480" t="e">
        <f>ROUND((Assumptions!H172+'Calc Data'!H96)*'Data Entry - SOF'!K36*'Weights-HB3'!M21,0)</f>
        <v>#DIV/0!</v>
      </c>
      <c r="J29" s="2486" t="e">
        <f t="shared" si="0"/>
        <v>#DIV/0!</v>
      </c>
      <c r="K29" s="2677"/>
      <c r="AL29" s="1388" t="e">
        <f>ROUND(ROUND('Calc Data'!AA23,0)*'Data Entry - SOF'!#REF!*1.35,0)</f>
        <v>#REF!</v>
      </c>
    </row>
    <row r="30" spans="2:38">
      <c r="B30" s="1394"/>
      <c r="C30" s="1379" t="s">
        <v>7439</v>
      </c>
      <c r="D30" s="2174" t="s">
        <v>9045</v>
      </c>
      <c r="E30" s="1417"/>
      <c r="F30" s="2172"/>
      <c r="G30" s="2172"/>
      <c r="H30" s="1417"/>
      <c r="I30" s="2480" t="e">
        <f>ROUND((Assumptions!H172+'Calc Data'!H96)*'Data Entry - SOF'!K37*'Weights-HB3'!M22,0)</f>
        <v>#DIV/0!</v>
      </c>
      <c r="J30" s="2486" t="e">
        <f t="shared" si="0"/>
        <v>#DIV/0!</v>
      </c>
      <c r="K30" s="2677"/>
      <c r="AL30" s="1388"/>
    </row>
    <row r="31" spans="2:38">
      <c r="B31" s="1394"/>
      <c r="C31" s="1379" t="s">
        <v>7439</v>
      </c>
      <c r="D31" s="2174" t="s">
        <v>9044</v>
      </c>
      <c r="E31" s="1417"/>
      <c r="F31" s="2172"/>
      <c r="G31" s="2172"/>
      <c r="H31" s="1417"/>
      <c r="I31" s="2480" t="e">
        <f>ROUND((Assumptions!H172+'Calc Data'!H96)*'Data Entry - SOF'!K38*'Weights-HB3'!M23,0)</f>
        <v>#DIV/0!</v>
      </c>
      <c r="J31" s="2486" t="e">
        <f t="shared" si="0"/>
        <v>#DIV/0!</v>
      </c>
      <c r="K31" s="2677"/>
      <c r="AL31" s="1388"/>
    </row>
    <row r="32" spans="2:38">
      <c r="B32" s="1394"/>
      <c r="C32" s="1379" t="s">
        <v>7439</v>
      </c>
      <c r="D32" s="2093" t="s">
        <v>9048</v>
      </c>
      <c r="E32" s="1417"/>
      <c r="F32" s="2172">
        <f>Weights!M24*'Data Entry - SOF'!C37</f>
        <v>0</v>
      </c>
      <c r="G32" s="2172"/>
      <c r="H32" s="1417"/>
      <c r="I32" s="2480">
        <f>ROUND('Weights-HB3'!M24*('Data Entry - SOF'!K39+'Data Entry - SOF'!K40),0)</f>
        <v>0</v>
      </c>
      <c r="J32" s="2486">
        <f t="shared" si="0"/>
        <v>0</v>
      </c>
      <c r="K32" s="2677"/>
      <c r="AL32" s="1388"/>
    </row>
    <row r="33" spans="2:38">
      <c r="B33" s="1394">
        <v>21</v>
      </c>
      <c r="C33" s="1379" t="s">
        <v>7439</v>
      </c>
      <c r="D33" s="2174" t="s">
        <v>2642</v>
      </c>
      <c r="E33" s="1417"/>
      <c r="F33" s="2172" t="e">
        <f>ROUND(ROUND('Calc Data'!H23,0)*'Data Entry - SOF'!K189*Weights!O28,0)</f>
        <v>#REF!</v>
      </c>
      <c r="G33" s="2172"/>
      <c r="H33" s="1417"/>
      <c r="I33" s="2480" t="e">
        <f>ROUND(Assumptions!H172*'Data Entry - SOF'!K189*'Weights-HB3'!M31,0)</f>
        <v>#DIV/0!</v>
      </c>
      <c r="J33" s="2486" t="e">
        <f t="shared" si="0"/>
        <v>#DIV/0!</v>
      </c>
      <c r="K33" s="2677"/>
      <c r="AL33" s="1388" t="e">
        <f>ROUND(ROUND('Calc Data'!AA23,0)*'Data Entry - SOF'!#REF!*0.12,0)</f>
        <v>#REF!</v>
      </c>
    </row>
    <row r="34" spans="2:38">
      <c r="B34" s="1394"/>
      <c r="C34" s="1379" t="s">
        <v>7439</v>
      </c>
      <c r="D34" s="1372" t="s">
        <v>376</v>
      </c>
      <c r="F34" s="1388" t="e">
        <f>IF('Data Entry - SOF'!#REF!&lt;0,'Data Entry - SOF'!#REF!,'Data Entry - SOF'!#REF!*-1)</f>
        <v>#REF!</v>
      </c>
      <c r="G34" s="1388"/>
      <c r="I34" s="2477">
        <f>IF('Data Entry - SOF'!K95&lt;0,'Data Entry - SOF'!K95,'Data Entry - SOF'!K95*-1)</f>
        <v>0</v>
      </c>
      <c r="J34" s="2486">
        <f t="shared" si="0"/>
        <v>0</v>
      </c>
      <c r="K34" s="2677"/>
      <c r="AL34" s="1388">
        <v>0</v>
      </c>
    </row>
    <row r="35" spans="2:38">
      <c r="B35" s="1394" t="s">
        <v>2357</v>
      </c>
      <c r="C35" s="1404" t="s">
        <v>7439</v>
      </c>
      <c r="D35" s="1424" t="s">
        <v>2732</v>
      </c>
      <c r="E35" s="1406"/>
      <c r="F35" s="1408" t="e">
        <f>ROUND(ROUND('Calc Data'!H23,0)*'Data Entry - SOF'!#REF!*Weights!O30,0)</f>
        <v>#REF!</v>
      </c>
      <c r="G35" s="1408"/>
      <c r="H35" s="1408"/>
      <c r="I35" s="2481"/>
      <c r="J35" s="2486">
        <f t="shared" si="0"/>
        <v>0</v>
      </c>
      <c r="K35" s="2677"/>
      <c r="AL35" s="1388" t="e">
        <f>ROUND(ROUND('Calc Data'!AA23,0)*'Data Entry - SOF'!#REF!*0.2,0)</f>
        <v>#REF!</v>
      </c>
    </row>
    <row r="36" spans="2:38">
      <c r="B36" s="1394"/>
      <c r="C36" s="1404" t="s">
        <v>7439</v>
      </c>
      <c r="D36" s="1405" t="s">
        <v>7465</v>
      </c>
      <c r="E36" s="1406"/>
      <c r="F36" s="1408"/>
      <c r="G36" s="1408"/>
      <c r="H36" s="1408"/>
      <c r="I36" s="2481" t="e">
        <f>ROUND(Assumptions!H172*'Data Entry - SOF'!K49*'Weights-HB3'!M34,0)</f>
        <v>#DIV/0!</v>
      </c>
      <c r="J36" s="2486" t="e">
        <f t="shared" si="0"/>
        <v>#DIV/0!</v>
      </c>
      <c r="K36" s="2677"/>
      <c r="AL36" s="1388"/>
    </row>
    <row r="37" spans="2:38">
      <c r="B37" s="1394"/>
      <c r="C37" s="1404" t="s">
        <v>7439</v>
      </c>
      <c r="D37" s="1405" t="s">
        <v>7484</v>
      </c>
      <c r="E37" s="1406"/>
      <c r="F37" s="1408"/>
      <c r="G37" s="1408"/>
      <c r="H37" s="1408"/>
      <c r="I37" s="2481" t="e">
        <f>ROUND(Assumptions!H172*'Data Entry - SOF'!K51*'Weights-HB3'!M36,0)</f>
        <v>#DIV/0!</v>
      </c>
      <c r="J37" s="2486" t="e">
        <f t="shared" si="0"/>
        <v>#DIV/0!</v>
      </c>
      <c r="K37" s="2677"/>
      <c r="AL37" s="1388"/>
    </row>
    <row r="38" spans="2:38">
      <c r="B38" s="1394"/>
      <c r="C38" s="1404" t="s">
        <v>7439</v>
      </c>
      <c r="D38" s="1405" t="s">
        <v>7485</v>
      </c>
      <c r="E38" s="1406"/>
      <c r="F38" s="1408"/>
      <c r="G38" s="1408"/>
      <c r="H38" s="1408"/>
      <c r="I38" s="2481" t="e">
        <f>ROUND(Assumptions!H172*'Data Entry - SOF'!K52*'Weights-HB3'!M37,0)</f>
        <v>#DIV/0!</v>
      </c>
      <c r="J38" s="2486" t="e">
        <f t="shared" si="0"/>
        <v>#DIV/0!</v>
      </c>
      <c r="K38" s="2677"/>
      <c r="AL38" s="1388"/>
    </row>
    <row r="39" spans="2:38">
      <c r="B39" s="1394"/>
      <c r="C39" s="1404" t="s">
        <v>7439</v>
      </c>
      <c r="D39" s="1405" t="s">
        <v>7486</v>
      </c>
      <c r="E39" s="1406"/>
      <c r="F39" s="1408"/>
      <c r="G39" s="1408"/>
      <c r="H39" s="1408"/>
      <c r="I39" s="2481" t="e">
        <f>ROUND(Assumptions!H172*'Data Entry - SOF'!K53*'Weights-HB3'!M38,0)</f>
        <v>#DIV/0!</v>
      </c>
      <c r="J39" s="2486" t="e">
        <f t="shared" si="0"/>
        <v>#DIV/0!</v>
      </c>
      <c r="K39" s="2677"/>
      <c r="AL39" s="1388"/>
    </row>
    <row r="40" spans="2:38">
      <c r="B40" s="1394"/>
      <c r="C40" s="1404" t="s">
        <v>7439</v>
      </c>
      <c r="D40" s="1405" t="s">
        <v>7487</v>
      </c>
      <c r="E40" s="1406"/>
      <c r="F40" s="1408"/>
      <c r="G40" s="1408"/>
      <c r="H40" s="1408"/>
      <c r="I40" s="2481" t="e">
        <f>ROUND(Assumptions!H172*'Data Entry - SOF'!K54*'Weights-HB3'!M39,0)</f>
        <v>#DIV/0!</v>
      </c>
      <c r="J40" s="2486" t="e">
        <f t="shared" si="0"/>
        <v>#DIV/0!</v>
      </c>
      <c r="K40" s="2677"/>
      <c r="AL40" s="1388"/>
    </row>
    <row r="41" spans="2:38">
      <c r="B41" s="1394"/>
      <c r="C41" s="1404" t="s">
        <v>7439</v>
      </c>
      <c r="D41" s="1405" t="s">
        <v>7488</v>
      </c>
      <c r="E41" s="1406"/>
      <c r="F41" s="1408"/>
      <c r="G41" s="1408"/>
      <c r="H41" s="1408"/>
      <c r="I41" s="2481" t="e">
        <f>ROUND(Assumptions!H172*'Data Entry - SOF'!K55*'Weights-HB3'!M40,0)</f>
        <v>#DIV/0!</v>
      </c>
      <c r="J41" s="2486" t="e">
        <f t="shared" si="0"/>
        <v>#DIV/0!</v>
      </c>
      <c r="K41" s="2677"/>
      <c r="L41" s="1473" t="e">
        <f>SUM(I37:I41)</f>
        <v>#DIV/0!</v>
      </c>
      <c r="AL41" s="1388"/>
    </row>
    <row r="42" spans="2:38">
      <c r="B42" s="1394" t="s">
        <v>2357</v>
      </c>
      <c r="C42" s="1379" t="s">
        <v>7439</v>
      </c>
      <c r="D42" s="1372" t="s">
        <v>377</v>
      </c>
      <c r="F42" s="1388" t="e">
        <f>ROUND(ROUND('Calc Data'!H23,0)*'Data Entry - SOF'!K33*Weights!O31,0)</f>
        <v>#REF!</v>
      </c>
      <c r="G42" s="1388"/>
      <c r="I42" s="2477" t="e">
        <f>ROUND(Assumptions!H172*'Data Entry - SOF'!K33*'Weights-HB3'!M43,0)</f>
        <v>#DIV/0!</v>
      </c>
      <c r="J42" s="2486" t="e">
        <f t="shared" si="0"/>
        <v>#DIV/0!</v>
      </c>
      <c r="K42" s="2677"/>
      <c r="AL42" s="1388" t="e">
        <f>ROUND(ROUND('Calc Data'!AA23,0)*'Data Entry - SOF'!#REF!*2.41,0)</f>
        <v>#REF!</v>
      </c>
    </row>
    <row r="43" spans="2:38">
      <c r="B43" s="1394">
        <v>25</v>
      </c>
      <c r="C43" s="1379" t="s">
        <v>7439</v>
      </c>
      <c r="D43" s="1372" t="s">
        <v>7450</v>
      </c>
      <c r="F43" s="1388" t="e">
        <f>ROUND(ROUND('Calc Data'!H23,0)*('Data Entry - SOF'!#REF!*Weights!O26),0)</f>
        <v>#REF!</v>
      </c>
      <c r="G43" s="1388"/>
      <c r="I43" s="2477" t="e">
        <f>ROUND(Assumptions!H172*'Data Entry - SOF'!K41*'Weights-HB3'!M26,0)</f>
        <v>#DIV/0!</v>
      </c>
      <c r="J43" s="2486" t="e">
        <f t="shared" si="0"/>
        <v>#DIV/0!</v>
      </c>
      <c r="K43" s="2677"/>
      <c r="AL43" s="1388" t="e">
        <f>ROUND(ROUND('Calc Data'!AA23,0)*('Data Entry - SOF'!#REF!*0.1),0)</f>
        <v>#REF!</v>
      </c>
    </row>
    <row r="44" spans="2:38">
      <c r="B44" s="1394"/>
      <c r="C44" s="1404" t="s">
        <v>7439</v>
      </c>
      <c r="D44" s="1424" t="s">
        <v>7451</v>
      </c>
      <c r="E44" s="1406"/>
      <c r="F44" s="1408"/>
      <c r="G44" s="1408"/>
      <c r="H44" s="1408"/>
      <c r="I44" s="2477" t="e">
        <f>ROUND(Assumptions!H172*'Data Entry - SOF'!K42*'Weights-HB3'!M27,0)</f>
        <v>#DIV/0!</v>
      </c>
      <c r="J44" s="2486" t="e">
        <f t="shared" si="0"/>
        <v>#DIV/0!</v>
      </c>
      <c r="K44" s="2677"/>
      <c r="AL44" s="1388"/>
    </row>
    <row r="45" spans="2:38">
      <c r="B45" s="1394"/>
      <c r="C45" s="1404" t="s">
        <v>7439</v>
      </c>
      <c r="D45" s="1424" t="s">
        <v>7452</v>
      </c>
      <c r="E45" s="1406"/>
      <c r="F45" s="1408"/>
      <c r="G45" s="1408"/>
      <c r="H45" s="1408"/>
      <c r="I45" s="2477" t="e">
        <f>ROUND(Assumptions!H172*'Data Entry - SOF'!K43*'Weights-HB3'!M28,0)</f>
        <v>#DIV/0!</v>
      </c>
      <c r="J45" s="2486" t="e">
        <f t="shared" si="0"/>
        <v>#DIV/0!</v>
      </c>
      <c r="K45" s="2677"/>
      <c r="AL45" s="1388"/>
    </row>
    <row r="46" spans="2:38">
      <c r="B46" s="1394"/>
      <c r="C46" s="1404" t="s">
        <v>7439</v>
      </c>
      <c r="D46" s="1424" t="s">
        <v>7436</v>
      </c>
      <c r="E46" s="1406"/>
      <c r="F46" s="1408"/>
      <c r="G46" s="1408"/>
      <c r="H46" s="1408"/>
      <c r="I46" s="2477" t="e">
        <f>ROUND(Assumptions!H172*'Data Entry - SOF'!K60*'Weights-HB3'!M72,0)</f>
        <v>#DIV/0!</v>
      </c>
      <c r="J46" s="2486" t="e">
        <f t="shared" si="0"/>
        <v>#DIV/0!</v>
      </c>
      <c r="K46" s="2677"/>
      <c r="AL46" s="1388"/>
    </row>
    <row r="47" spans="2:38">
      <c r="B47" s="1394"/>
      <c r="C47" s="1404" t="s">
        <v>7439</v>
      </c>
      <c r="D47" s="1424" t="s">
        <v>7628</v>
      </c>
      <c r="E47" s="1406"/>
      <c r="F47" s="1408"/>
      <c r="G47" s="1408"/>
      <c r="H47" s="1408"/>
      <c r="I47" s="2477" t="e">
        <f>Assumptions!H172*'Data Entry - SOF'!K45*'Weights-HB3'!M74</f>
        <v>#DIV/0!</v>
      </c>
      <c r="J47" s="2486" t="e">
        <f t="shared" si="0"/>
        <v>#DIV/0!</v>
      </c>
      <c r="K47" s="2677"/>
      <c r="AL47" s="1388"/>
    </row>
    <row r="48" spans="2:38">
      <c r="B48" s="1394"/>
      <c r="C48" s="1404" t="s">
        <v>7439</v>
      </c>
      <c r="D48" s="1424" t="s">
        <v>7827</v>
      </c>
      <c r="E48" s="1406"/>
      <c r="F48" s="1408"/>
      <c r="G48" s="1408"/>
      <c r="H48" s="1408"/>
      <c r="I48" s="2477">
        <f>('Data Entry - SOF'!K57*'Weights-HB3'!M113)+('Data Entry - SOF'!K58*'Weights-HB3'!M114)+('Data Entry - SOF'!K59*'Weights-HB3'!M115)</f>
        <v>0</v>
      </c>
      <c r="J48" s="2486">
        <f t="shared" si="0"/>
        <v>0</v>
      </c>
      <c r="K48" s="2677"/>
      <c r="AL48" s="1388"/>
    </row>
    <row r="49" spans="2:38">
      <c r="B49" s="1394">
        <v>31</v>
      </c>
      <c r="C49" s="1379" t="s">
        <v>7439</v>
      </c>
      <c r="D49" s="1415" t="s">
        <v>2296</v>
      </c>
      <c r="F49" s="1388" t="e">
        <f>Weights!O33*'Data Entry - SOF'!#REF!</f>
        <v>#REF!</v>
      </c>
      <c r="G49" s="1388"/>
      <c r="I49" s="2481"/>
      <c r="J49" s="2486">
        <f t="shared" si="0"/>
        <v>0</v>
      </c>
      <c r="K49" s="2677"/>
      <c r="AL49" s="1388" t="e">
        <f>#REF!</f>
        <v>#REF!</v>
      </c>
    </row>
    <row r="50" spans="2:38">
      <c r="B50" s="1394"/>
      <c r="C50" s="1379" t="s">
        <v>7439</v>
      </c>
      <c r="D50" s="1372" t="s">
        <v>825</v>
      </c>
      <c r="F50" s="1388" t="e">
        <f>ROUND(ROUND('Calc Data'!H23,0)*'Data Entry - SOF'!K46*Weights!O37,0)</f>
        <v>#REF!</v>
      </c>
      <c r="G50" s="1388"/>
      <c r="I50" s="2482" t="e">
        <f>ROUND(Assumptions!H172*'Data Entry - SOF'!K46*'Weights-HB3'!M49,0)</f>
        <v>#DIV/0!</v>
      </c>
      <c r="J50" s="2486" t="e">
        <f t="shared" si="0"/>
        <v>#DIV/0!</v>
      </c>
      <c r="K50" s="2677"/>
      <c r="AL50" s="1388" t="e">
        <f>ROUND(ROUND('Calc Data'!AA23,0)*'Data Entry - SOF'!#REF!*0.1,0)</f>
        <v>#REF!</v>
      </c>
    </row>
    <row r="51" spans="2:38">
      <c r="B51" s="1394"/>
      <c r="C51" s="2191" t="s">
        <v>7439</v>
      </c>
      <c r="D51" s="2174" t="s">
        <v>7538</v>
      </c>
      <c r="E51" s="1417"/>
      <c r="F51" s="2172"/>
      <c r="G51" s="2172"/>
      <c r="H51" s="2172"/>
      <c r="I51" s="2483" t="e">
        <f>'Data Entry - SOF'!K130*IF('Data Entry - SOF'!K131=1,'Weights-HB3'!M119,IF('Data Entry - SOF'!K132=2,'Weights-HB3'!M120,IF('Data Entry - SOF'!K133=3,'Weights-HB3'!M121)))*Assumptions!H154</f>
        <v>#DIV/0!</v>
      </c>
      <c r="J51" s="2486" t="e">
        <f t="shared" si="0"/>
        <v>#DIV/0!</v>
      </c>
      <c r="K51" s="2677"/>
      <c r="AL51" s="1388"/>
    </row>
    <row r="52" spans="2:38">
      <c r="B52" s="1394"/>
      <c r="C52" s="1404" t="s">
        <v>7439</v>
      </c>
      <c r="D52" s="1424" t="s">
        <v>7617</v>
      </c>
      <c r="E52" s="1406"/>
      <c r="F52" s="1408"/>
      <c r="G52" s="1408"/>
      <c r="H52" s="1408"/>
      <c r="I52" s="2482">
        <f>'Data Entry - SOF'!K89</f>
        <v>0</v>
      </c>
      <c r="J52" s="2486">
        <f t="shared" si="0"/>
        <v>0</v>
      </c>
      <c r="K52" s="2677"/>
      <c r="AL52" s="1388"/>
    </row>
    <row r="53" spans="2:38">
      <c r="B53" s="1394"/>
      <c r="C53" s="1404" t="s">
        <v>7439</v>
      </c>
      <c r="D53" s="1424" t="s">
        <v>7618</v>
      </c>
      <c r="E53" s="1406"/>
      <c r="F53" s="1408"/>
      <c r="G53" s="1408"/>
      <c r="H53" s="1408"/>
      <c r="I53" s="2482">
        <f>'Data Entry - SOF'!K90</f>
        <v>0</v>
      </c>
      <c r="J53" s="2486">
        <f t="shared" si="0"/>
        <v>0</v>
      </c>
      <c r="K53" s="2677"/>
      <c r="AL53" s="1388"/>
    </row>
    <row r="54" spans="2:38">
      <c r="B54" s="1394"/>
      <c r="C54" s="1404" t="s">
        <v>7439</v>
      </c>
      <c r="D54" s="1424" t="s">
        <v>7669</v>
      </c>
      <c r="E54" s="1406"/>
      <c r="F54" s="1408"/>
      <c r="G54" s="1408"/>
      <c r="H54" s="1408"/>
      <c r="I54" s="2482">
        <f>'Data Entry - SOF'!K19*'Weights-HB3'!M68</f>
        <v>0</v>
      </c>
      <c r="J54" s="2486">
        <f t="shared" si="0"/>
        <v>0</v>
      </c>
      <c r="K54" s="2677"/>
      <c r="L54" s="1415"/>
      <c r="AL54" s="1388"/>
    </row>
    <row r="55" spans="2:38">
      <c r="B55" s="1394"/>
      <c r="C55" s="1404" t="s">
        <v>7439</v>
      </c>
      <c r="D55" s="1424" t="s">
        <v>7828</v>
      </c>
      <c r="E55" s="1406"/>
      <c r="F55" s="1408"/>
      <c r="G55" s="1408"/>
      <c r="H55" s="1408"/>
      <c r="I55" s="1411">
        <f>'Data Entry - SOF'!K103</f>
        <v>0</v>
      </c>
      <c r="J55" s="2486">
        <f t="shared" si="0"/>
        <v>0</v>
      </c>
      <c r="K55" s="2677"/>
      <c r="L55" s="1415"/>
      <c r="AL55" s="1388"/>
    </row>
    <row r="56" spans="2:38">
      <c r="B56" s="1394"/>
      <c r="C56" s="1379" t="s">
        <v>7440</v>
      </c>
      <c r="D56" s="1415" t="s">
        <v>3291</v>
      </c>
      <c r="F56" s="1427">
        <f>'Data Entry - SOF'!K47*Weights!O35</f>
        <v>0</v>
      </c>
      <c r="G56" s="1388"/>
      <c r="I56" s="2481">
        <f>'Data Entry - SOF'!K47*'Weights-HB3'!M47</f>
        <v>0</v>
      </c>
      <c r="J56" s="2486">
        <f t="shared" si="0"/>
        <v>0</v>
      </c>
      <c r="K56" s="2677"/>
      <c r="AL56" s="1388" t="e">
        <f>'Data Entry - SOF'!#REF!*250</f>
        <v>#REF!</v>
      </c>
    </row>
    <row r="57" spans="2:38">
      <c r="B57" s="1394">
        <v>99</v>
      </c>
      <c r="C57" s="1379" t="s">
        <v>7440</v>
      </c>
      <c r="D57" s="1372" t="s">
        <v>7454</v>
      </c>
      <c r="F57" s="1429" t="e">
        <f>'Data Entry - SOF'!#REF!</f>
        <v>#REF!</v>
      </c>
      <c r="G57" s="1388"/>
      <c r="I57" s="2481">
        <f>('Data Entry - SOF'!K83*'Weights-HB3'!M70)+'Data Entry - SOF'!K84+'Data Entry - SOF'!K85+'Data Entry - SOF'!K86</f>
        <v>0</v>
      </c>
      <c r="J57" s="2486">
        <f t="shared" si="0"/>
        <v>0</v>
      </c>
      <c r="K57" s="2677"/>
      <c r="AL57" s="1429" t="e">
        <f>'Data Entry - SOF'!#REF!</f>
        <v>#REF!</v>
      </c>
    </row>
    <row r="58" spans="2:38">
      <c r="B58" s="1394"/>
      <c r="C58" s="1404" t="s">
        <v>7440</v>
      </c>
      <c r="D58" s="1424" t="s">
        <v>7559</v>
      </c>
      <c r="E58" s="1406"/>
      <c r="F58" s="1408"/>
      <c r="G58" s="1408"/>
      <c r="H58" s="1408"/>
      <c r="I58" s="2481">
        <f>'Data Entry - SOF'!K48*'Weights-HB3'!G125</f>
        <v>0</v>
      </c>
      <c r="J58" s="2486">
        <f t="shared" si="0"/>
        <v>0</v>
      </c>
      <c r="K58" s="2677"/>
      <c r="AL58" s="1388"/>
    </row>
    <row r="59" spans="2:38">
      <c r="B59" s="1394"/>
      <c r="C59" s="1404" t="s">
        <v>7440</v>
      </c>
      <c r="D59" s="1424" t="s">
        <v>7467</v>
      </c>
      <c r="E59" s="1406"/>
      <c r="F59" s="1408"/>
      <c r="G59" s="1408"/>
      <c r="H59" s="1408"/>
      <c r="I59" s="2481">
        <f>'Data Entry - SOF'!K87</f>
        <v>0</v>
      </c>
      <c r="J59" s="2486">
        <f t="shared" si="0"/>
        <v>0</v>
      </c>
      <c r="K59" s="2677"/>
      <c r="AL59" s="1388"/>
    </row>
    <row r="60" spans="2:38">
      <c r="B60" s="1394"/>
      <c r="C60" s="1404" t="s">
        <v>7440</v>
      </c>
      <c r="D60" s="1424" t="s">
        <v>7625</v>
      </c>
      <c r="E60" s="1406"/>
      <c r="F60" s="1408"/>
      <c r="G60" s="1408"/>
      <c r="H60" s="1408"/>
      <c r="I60" s="2484">
        <f>'Data Entry - SOF'!K88</f>
        <v>0</v>
      </c>
      <c r="J60" s="2487">
        <f t="shared" si="0"/>
        <v>0</v>
      </c>
      <c r="K60" s="2677"/>
      <c r="AL60" s="1388"/>
    </row>
    <row r="61" spans="2:38">
      <c r="D61" s="1372" t="s">
        <v>497</v>
      </c>
      <c r="F61" s="1388" t="e">
        <f>SUM(F20:F57)</f>
        <v>#REF!</v>
      </c>
      <c r="G61" s="1388"/>
      <c r="I61" s="2488" t="e">
        <f>SUM(I20:I60)</f>
        <v>#DIV/0!</v>
      </c>
      <c r="J61" s="2486" t="e">
        <f t="shared" si="0"/>
        <v>#DIV/0!</v>
      </c>
      <c r="K61" s="2670" t="e">
        <f>I61</f>
        <v>#DIV/0!</v>
      </c>
      <c r="L61" s="1435" t="e">
        <f>(I61-I55-I56-I57-I58-I59-I60-I28-I34)/Assumptions!H172</f>
        <v>#DIV/0!</v>
      </c>
      <c r="M61" s="1436" t="s">
        <v>7443</v>
      </c>
      <c r="AL61" s="1388" t="e">
        <f>SUM(AL20:AL57)</f>
        <v>#REF!</v>
      </c>
    </row>
    <row r="62" spans="2:38">
      <c r="D62" s="1372" t="s">
        <v>741</v>
      </c>
      <c r="F62" s="1437">
        <f>IF('Data Entry - SOF'!K123&gt;1,1*('Data Entry - SOF'!K63/100),'Data Entry - SOF'!K123*('Data Entry - SOF'!K63/100))</f>
        <v>0</v>
      </c>
      <c r="G62" s="1438"/>
      <c r="I62" s="2484" t="e">
        <f>('Data Entry - SOF'!K72/100)*'Data Entry - SOF'!K66</f>
        <v>#DIV/0!</v>
      </c>
      <c r="J62" s="2489" t="e">
        <f>('HH2526-40KCalcs'!H12/100)*'Data Entry - SOF'!K63</f>
        <v>#DIV/0!</v>
      </c>
      <c r="K62" s="2489" t="e">
        <f>('HH2526-40KCalcs'!G12/100)*'Data Entry - SOF'!K66</f>
        <v>#DIV/0!</v>
      </c>
      <c r="AL62" s="1437" t="e">
        <f>#REF!</f>
        <v>#REF!</v>
      </c>
    </row>
    <row r="63" spans="2:38">
      <c r="D63" s="1372" t="s">
        <v>740</v>
      </c>
      <c r="F63" s="1438" t="e">
        <f>F61-F62</f>
        <v>#REF!</v>
      </c>
      <c r="G63" s="1438"/>
      <c r="I63" s="1432" t="e">
        <f>I61-I62</f>
        <v>#DIV/0!</v>
      </c>
      <c r="J63" s="1442" t="e">
        <f>J61-J62</f>
        <v>#DIV/0!</v>
      </c>
      <c r="K63" s="2672" t="e">
        <f>K61-K62</f>
        <v>#DIV/0!</v>
      </c>
      <c r="AL63" s="1438" t="e">
        <f>AL61-AL62</f>
        <v>#REF!</v>
      </c>
    </row>
    <row r="64" spans="2:38">
      <c r="D64" s="1372"/>
      <c r="G64" s="1438"/>
      <c r="I64" s="1416"/>
      <c r="J64" s="1443"/>
      <c r="K64" s="2678"/>
      <c r="N64" s="1444"/>
      <c r="AL64" s="1438"/>
    </row>
    <row r="65" spans="4:38">
      <c r="D65" s="1445" t="s">
        <v>7458</v>
      </c>
      <c r="G65" s="1438"/>
      <c r="I65" s="1416"/>
      <c r="J65" s="1443"/>
      <c r="K65" s="2678"/>
      <c r="N65" s="1444"/>
      <c r="AL65" s="1438"/>
    </row>
    <row r="66" spans="4:38">
      <c r="D66" s="1372" t="s">
        <v>7616</v>
      </c>
      <c r="F66" s="1425" t="e">
        <f>IF(F63&lt;F99+F49+F56+#REF!+#REF!,F99+F49+F56+#REF!+#REF!,F63)</f>
        <v>#REF!</v>
      </c>
      <c r="G66" s="1438"/>
      <c r="I66" s="1423" t="e">
        <f>IF(I63&lt;I99,I99,I63)</f>
        <v>#DIV/0!</v>
      </c>
      <c r="J66" s="1428" t="e">
        <f>IF(J63&lt;J99,J99,J63)</f>
        <v>#DIV/0!</v>
      </c>
      <c r="K66" s="1423" t="e">
        <f>IF(K63&lt;J99,J99,K63)</f>
        <v>#DIV/0!</v>
      </c>
    </row>
    <row r="67" spans="4:38" hidden="1">
      <c r="D67" s="1372" t="s">
        <v>2150</v>
      </c>
      <c r="G67" s="1438" t="e">
        <f>ROUND(IF((24.7*'Calc Data'!#REF!*IF('Calc Data'!#REF!&gt;=0.64,0.64,'Calc Data'!#REF!)*100)&lt;'Calc Data'!#REF!,0,(24.7*'Calc Data'!#REF!*IF('Calc Data'!#REF!&gt;=0.64,0.64,'Calc Data'!#REF!)*100)-'Calc Data'!#REF!),0)</f>
        <v>#REF!</v>
      </c>
      <c r="I67" s="1447"/>
      <c r="J67" s="1448"/>
      <c r="K67" s="2678"/>
    </row>
    <row r="68" spans="4:38">
      <c r="D68" s="1372"/>
      <c r="G68" s="1438"/>
      <c r="I68" s="1447"/>
      <c r="J68" s="2468"/>
      <c r="K68" s="2678"/>
    </row>
    <row r="69" spans="4:38">
      <c r="D69" s="2062" t="s">
        <v>8117</v>
      </c>
      <c r="E69" s="2063"/>
      <c r="F69" s="2063"/>
      <c r="G69" s="2064"/>
      <c r="H69" s="2065"/>
      <c r="I69" s="2079" t="s">
        <v>8149</v>
      </c>
      <c r="J69" s="1443"/>
      <c r="K69" s="2678"/>
    </row>
    <row r="70" spans="4:38">
      <c r="D70" s="1372" t="s">
        <v>7489</v>
      </c>
      <c r="G70" s="1438"/>
      <c r="I70" s="1423" t="e">
        <f>IF(I62&gt;I61-I99,I62-(I61-I99),0)</f>
        <v>#DIV/0!</v>
      </c>
      <c r="J70" s="1428" t="e">
        <f>IF(J62&gt;J61-J99,J62-(J61-J99),0)</f>
        <v>#DIV/0!</v>
      </c>
      <c r="K70" s="1423" t="e">
        <f>IF(K62&gt;K61-J99,K62-(K61-J99),0)</f>
        <v>#DIV/0!</v>
      </c>
    </row>
    <row r="71" spans="4:38">
      <c r="D71" s="1372" t="s">
        <v>7695</v>
      </c>
      <c r="G71" s="1438"/>
      <c r="I71" s="1439" t="e">
        <f>IF(I70=0,0,IF('Calc Data'!H113-I70&lt;I61-I99,(I61-I99-('Calc Data'!H113-I70))*-1,0))</f>
        <v>#DIV/0!</v>
      </c>
      <c r="J71" s="2467" t="e">
        <f>IF(J70=0,0,IF('Calc Data'!R113-J70&lt;J61-J99,(J61-J99-('Calc Data'!R113-J70))*-1,0))</f>
        <v>#DIV/0!</v>
      </c>
      <c r="K71" s="2679" t="e">
        <f>IF(K70=0,0,IF('Calc Data'!M113-K70&lt;K61-I99,(K61-I99-('Calc Data'!M113-K70))*-1,0))</f>
        <v>#DIV/0!</v>
      </c>
    </row>
    <row r="72" spans="4:38">
      <c r="D72" s="1451" t="s">
        <v>7490</v>
      </c>
      <c r="E72" s="1452"/>
      <c r="F72" s="1453"/>
      <c r="G72" s="1455"/>
      <c r="I72" s="1454" t="e">
        <f>IF(I70+I71&lt;=0,0,I70+I71)</f>
        <v>#DIV/0!</v>
      </c>
      <c r="J72" s="2490" t="e">
        <f>IF(J70+J71&lt;=0,0,J70+J71)</f>
        <v>#DIV/0!</v>
      </c>
      <c r="K72" s="2680" t="e">
        <f>IF(K70+K71&lt;=0,0,K70+K71)</f>
        <v>#DIV/0!</v>
      </c>
    </row>
    <row r="73" spans="4:38">
      <c r="D73" s="1451" t="s">
        <v>7687</v>
      </c>
      <c r="E73" s="1452"/>
      <c r="F73" s="1452"/>
      <c r="G73" s="1455"/>
      <c r="I73" s="1423" t="e">
        <f>'Data Entry - SOF'!K111*(I72/'Data Entry - SOF'!K75)</f>
        <v>#DIV/0!</v>
      </c>
      <c r="J73" s="1428" t="e">
        <f>'Data Entry - SOF'!K111*(J72/'Data Entry - SOF'!K78)</f>
        <v>#DIV/0!</v>
      </c>
      <c r="K73" s="2671" t="e">
        <f>'Data Entry - SOF'!K111*(K72/'HH2526-40KCalcs'!C12)</f>
        <v>#DIV/0!</v>
      </c>
    </row>
    <row r="74" spans="4:38">
      <c r="D74" s="1457" t="s">
        <v>7688</v>
      </c>
      <c r="E74" s="1458"/>
      <c r="F74" s="1458"/>
      <c r="G74" s="1459"/>
      <c r="H74" s="2521"/>
      <c r="I74" s="1460" t="e">
        <f>IF(I72-I73&lt;=0,0,I72-I73)</f>
        <v>#DIV/0!</v>
      </c>
      <c r="J74" s="2491" t="e">
        <f>IF(J72-J73&lt;=0,0,J72-J73)</f>
        <v>#DIV/0!</v>
      </c>
      <c r="K74" s="2681" t="e">
        <f>IF(K72-K73&lt;=0,0,K72-K73)</f>
        <v>#DIV/0!</v>
      </c>
    </row>
    <row r="75" spans="4:38">
      <c r="D75" s="1372"/>
      <c r="G75" s="1438"/>
      <c r="I75" s="1416"/>
      <c r="J75" s="2492"/>
      <c r="K75" s="2677"/>
    </row>
    <row r="76" spans="4:38">
      <c r="D76" s="1372" t="s">
        <v>7403</v>
      </c>
      <c r="F76" s="1438">
        <f>ROUND(IF((Assumptions!G119*'Calc Data'!H25*'Calc Data'!H35*100)&lt;'Calc Data'!H42,0,(Assumptions!G119*'Calc Data'!H25*'Calc Data'!H35*100)-'Calc Data'!H42),0)</f>
        <v>0</v>
      </c>
      <c r="G76" s="1438"/>
      <c r="I76" s="1461" t="e">
        <f>ROUND(IF((Assumptions!H173*L61*'Calc Data'!H105*100)&lt;'Calc Data'!H106,0,(Assumptions!H173*L61*'Calc Data'!H105*100)-'Calc Data'!H106),0)</f>
        <v>#DIV/0!</v>
      </c>
      <c r="J76" s="2493" t="e">
        <f>ROUND(IF((Assumptions!H173*L61*'Calc Data'!R105*100)&lt;'Calc Data'!R106,0,(Assumptions!H173*L61*'Calc Data'!R105*100)-'Calc Data'!R106),0)</f>
        <v>#DIV/0!</v>
      </c>
      <c r="K76" s="2672" t="e">
        <f>ROUND(IF((Assumptions!H173*L61*'Calc Data'!M105*100)&lt;'Calc Data'!M106,0,(Assumptions!H173*L61*'Calc Data'!M105*100)-'Calc Data'!M106),0)</f>
        <v>#DIV/0!</v>
      </c>
    </row>
    <row r="77" spans="4:38">
      <c r="D77" s="1372" t="s">
        <v>7457</v>
      </c>
      <c r="F77" s="1464">
        <f>ROUND(IF((Assumptions!G120*'Calc Data'!H25*'Calc Data'!H38*100)&lt;'Calc Data'!H43,0,(Assumptions!G120*'Calc Data'!H25*'Calc Data'!H38*100)-'Calc Data'!H43),0)</f>
        <v>0</v>
      </c>
      <c r="G77" s="1438"/>
      <c r="I77" s="1465" t="e">
        <f>ROUND(IF((Assumptions!H174*L61*'Calc Data'!H110*100)&lt;'Calc Data'!H111,0,(Assumptions!H174*L61*'Calc Data'!H110*100)-'Calc Data'!H111),0)</f>
        <v>#DIV/0!</v>
      </c>
      <c r="J77" s="2494" t="e">
        <f>ROUND(IF((Assumptions!H174*L61*'Calc Data'!R110*100)&lt;'Calc Data'!R111,0,(Assumptions!H174*L61*'Calc Data'!R110*100)-'Calc Data'!R111),0)</f>
        <v>#DIV/0!</v>
      </c>
      <c r="K77" s="2682" t="e">
        <f>ROUND(IF((Assumptions!H174*L61*'Calc Data'!M110*100)&lt;'Calc Data'!M111,0,(Assumptions!H174*L61*'Calc Data'!M110*100)-'Calc Data'!M111),0)</f>
        <v>#DIV/0!</v>
      </c>
    </row>
    <row r="78" spans="4:38">
      <c r="D78" s="1468" t="s">
        <v>7459</v>
      </c>
      <c r="F78" s="1438">
        <f>SUM(F67:F77)</f>
        <v>0</v>
      </c>
      <c r="G78" s="1438"/>
      <c r="I78" s="1432" t="e">
        <f>I76+I77</f>
        <v>#DIV/0!</v>
      </c>
      <c r="J78" s="2495" t="e">
        <f>J76+J77</f>
        <v>#DIV/0!</v>
      </c>
      <c r="K78" s="2673" t="e">
        <f>K76+K77</f>
        <v>#DIV/0!</v>
      </c>
    </row>
    <row r="79" spans="4:38">
      <c r="D79" s="1372"/>
      <c r="F79" s="1438"/>
      <c r="G79" s="1438"/>
      <c r="I79" s="1432"/>
      <c r="J79" s="2495"/>
      <c r="K79" s="2677"/>
    </row>
    <row r="80" spans="4:38">
      <c r="D80" s="1451" t="s">
        <v>7491</v>
      </c>
      <c r="E80" s="1452"/>
      <c r="F80" s="1469"/>
      <c r="G80" s="1455"/>
      <c r="I80" s="1461" t="e">
        <f>ROUND(IF((Assumptions!H174*L61*'Calc Data'!H110*100)&lt;'Calc Data'!H111,'Calc Data'!H111-(Assumptions!H174*L61*'Calc Data'!H110*100)),0)</f>
        <v>#DIV/0!</v>
      </c>
      <c r="J80" s="2493" t="e">
        <f>ROUND(IF((Assumptions!H174*L61*'Calc Data'!R110*100)&lt;'Calc Data'!R111,'Calc Data'!R111-(Assumptions!H174*L61*'Calc Data'!R110*100)),0)</f>
        <v>#DIV/0!</v>
      </c>
      <c r="K80" s="2672" t="e">
        <f>ROUND(IF((Assumptions!H174*L61*'Calc Data'!M110*100)&lt;'Calc Data'!M111,'Calc Data'!M111-(Assumptions!H174*L61*'Calc Data'!M110*100)),0)</f>
        <v>#DIV/0!</v>
      </c>
    </row>
    <row r="81" spans="1:13">
      <c r="D81" s="1451" t="s">
        <v>7687</v>
      </c>
      <c r="E81" s="1452"/>
      <c r="F81" s="1455"/>
      <c r="G81" s="1455"/>
      <c r="I81" s="1461" t="e">
        <f>'Data Entry - SOF'!K111*(I80/'Data Entry - SOF'!K75)</f>
        <v>#DIV/0!</v>
      </c>
      <c r="J81" s="2667" t="e">
        <f>'Data Entry - SOF'!K111*(J80/'HH2526-40KCalcs'!D12)</f>
        <v>#DIV/0!</v>
      </c>
      <c r="K81" s="2674" t="e">
        <f>'Data Entry - SOF'!K111*(K80/'HH2526-40KCalcs'!C12)</f>
        <v>#DIV/0!</v>
      </c>
    </row>
    <row r="82" spans="1:13">
      <c r="D82" s="2068" t="s">
        <v>7689</v>
      </c>
      <c r="E82" s="2063"/>
      <c r="F82" s="2064"/>
      <c r="G82" s="2064"/>
      <c r="H82" s="2065"/>
      <c r="I82" s="2069" t="e">
        <f>I80-I81</f>
        <v>#DIV/0!</v>
      </c>
      <c r="J82" s="2496" t="e">
        <f>J80-J81</f>
        <v>#DIV/0!</v>
      </c>
      <c r="K82" s="2683" t="e">
        <f>K80-K81</f>
        <v>#DIV/0!</v>
      </c>
    </row>
    <row r="83" spans="1:13">
      <c r="D83" s="1372"/>
      <c r="G83" s="1438"/>
      <c r="I83" s="1416"/>
      <c r="J83" s="2492"/>
    </row>
    <row r="84" spans="1:13">
      <c r="D84" s="1372" t="s">
        <v>691</v>
      </c>
      <c r="G84" s="1438"/>
      <c r="I84" s="1416"/>
      <c r="J84" s="2492"/>
    </row>
    <row r="85" spans="1:13">
      <c r="D85" s="1372" t="s">
        <v>714</v>
      </c>
      <c r="F85" s="1438">
        <f>'Data Entry - SOF'!K101</f>
        <v>0</v>
      </c>
      <c r="G85" s="1438"/>
      <c r="I85" s="1432">
        <f>'Data Entry - SOF'!K101</f>
        <v>0</v>
      </c>
      <c r="J85" s="2495">
        <f t="shared" ref="J85:J91" si="1">I85</f>
        <v>0</v>
      </c>
      <c r="L85" s="1473"/>
      <c r="M85" s="1472"/>
    </row>
    <row r="86" spans="1:13">
      <c r="D86" s="1372" t="s">
        <v>2737</v>
      </c>
      <c r="F86" s="1438">
        <f>'Data Entry - SOF'!K100</f>
        <v>0</v>
      </c>
      <c r="G86" s="1438"/>
      <c r="I86" s="1432">
        <f>'Data Entry - SOF'!K100</f>
        <v>0</v>
      </c>
      <c r="J86" s="2495">
        <f t="shared" si="1"/>
        <v>0</v>
      </c>
      <c r="L86" s="1473"/>
      <c r="M86" s="1472"/>
    </row>
    <row r="87" spans="1:13">
      <c r="D87" s="1372" t="s">
        <v>7756</v>
      </c>
      <c r="F87" s="1438" t="e">
        <f>'Data Entry - SOF'!#REF!</f>
        <v>#REF!</v>
      </c>
      <c r="G87" s="1438"/>
      <c r="I87" s="1432" t="e">
        <f>'HH2526-40KCalcs'!D26</f>
        <v>#DIV/0!</v>
      </c>
      <c r="J87" s="2495"/>
      <c r="L87" s="1473"/>
      <c r="M87" s="1472"/>
    </row>
    <row r="88" spans="1:13">
      <c r="D88" s="1372" t="s">
        <v>2738</v>
      </c>
      <c r="F88" s="1438">
        <f>'Data Entry - SOF'!K102</f>
        <v>0</v>
      </c>
      <c r="G88" s="1438"/>
      <c r="I88" s="1432">
        <f>'Data Entry - SOF'!K102</f>
        <v>0</v>
      </c>
      <c r="J88" s="2495">
        <f t="shared" si="1"/>
        <v>0</v>
      </c>
      <c r="L88" s="1473"/>
      <c r="M88" s="1472"/>
    </row>
    <row r="89" spans="1:13">
      <c r="D89" s="1372" t="s">
        <v>692</v>
      </c>
      <c r="F89" s="1474" t="e">
        <f>(('Data Entry - SOF'!#REF!/'Calc Data'!#REF!)*'Data Entry - SOF'!K93)*-1</f>
        <v>#REF!</v>
      </c>
      <c r="G89" s="1438"/>
      <c r="I89" s="1475">
        <f>IF('Data Entry - SOF'!K93&lt;0,'Data Entry - SOF'!K93, 'Data Entry - SOF'!K93*-1)</f>
        <v>0</v>
      </c>
      <c r="J89" s="1475">
        <f t="shared" si="1"/>
        <v>0</v>
      </c>
      <c r="L89" s="1473"/>
      <c r="M89" s="1472"/>
    </row>
    <row r="90" spans="1:13">
      <c r="D90" s="1372" t="s">
        <v>693</v>
      </c>
      <c r="F90" s="1474" t="e">
        <f>(('Data Entry - SOF'!#REF!/'Calc Data'!#REF!)*'Data Entry - SOF'!K94)*-1</f>
        <v>#REF!</v>
      </c>
      <c r="G90" s="1438"/>
      <c r="I90" s="1475">
        <f>IF('Data Entry - SOF'!K94&lt;0,'Data Entry - SOF'!K94, 'Data Entry - SOF'!K94*-1)</f>
        <v>0</v>
      </c>
      <c r="J90" s="1475">
        <f t="shared" si="1"/>
        <v>0</v>
      </c>
      <c r="L90" s="1473"/>
      <c r="M90" s="1472"/>
    </row>
    <row r="91" spans="1:13">
      <c r="D91" s="1372" t="s">
        <v>8147</v>
      </c>
      <c r="F91" s="1476" t="e">
        <f>'Data Entry - SOF'!#REF!</f>
        <v>#REF!</v>
      </c>
      <c r="G91" s="1438"/>
      <c r="I91" s="1728">
        <f>'Data Entry - SOF'!K116</f>
        <v>0</v>
      </c>
      <c r="J91" s="2497">
        <f t="shared" si="1"/>
        <v>0</v>
      </c>
      <c r="L91" s="1473"/>
      <c r="M91" s="1472"/>
    </row>
    <row r="92" spans="1:13">
      <c r="D92" s="1477" t="s">
        <v>7460</v>
      </c>
      <c r="F92" s="1438" t="e">
        <f>SUM(F85:F91)</f>
        <v>#REF!</v>
      </c>
      <c r="G92" s="1438"/>
      <c r="I92" s="1432" t="e">
        <f>SUM(I85:I91)</f>
        <v>#DIV/0!</v>
      </c>
      <c r="J92" s="2495">
        <f>SUM(J85:J91)</f>
        <v>0</v>
      </c>
      <c r="L92" s="1473"/>
      <c r="M92" s="1472"/>
    </row>
    <row r="93" spans="1:13">
      <c r="D93" s="1478"/>
      <c r="F93" s="1415"/>
      <c r="G93" s="1438"/>
      <c r="I93" s="1416"/>
      <c r="J93" s="2492"/>
      <c r="L93" s="1473"/>
      <c r="M93" s="1472"/>
    </row>
    <row r="94" spans="1:13">
      <c r="D94" s="1372" t="s">
        <v>2258</v>
      </c>
      <c r="F94" s="1438" t="e">
        <f>F99*-1</f>
        <v>#REF!</v>
      </c>
      <c r="G94" s="1438"/>
      <c r="I94" s="1432">
        <f>I99*-1</f>
        <v>0</v>
      </c>
      <c r="J94" s="2495">
        <f>J99*-1</f>
        <v>0</v>
      </c>
      <c r="L94" s="1473"/>
      <c r="M94" s="1472"/>
    </row>
    <row r="95" spans="1:13">
      <c r="D95" s="1372"/>
      <c r="G95" s="1479"/>
      <c r="H95" s="2070"/>
      <c r="I95" s="1447"/>
      <c r="J95" s="2498"/>
      <c r="L95" s="1473"/>
      <c r="M95" s="1472"/>
    </row>
    <row r="96" spans="1:13">
      <c r="A96" s="1480"/>
      <c r="B96" s="1481"/>
      <c r="C96" s="1481"/>
      <c r="D96" s="1482"/>
      <c r="E96" s="1481"/>
      <c r="F96" s="1483"/>
      <c r="G96" s="1484"/>
      <c r="I96" s="1485"/>
      <c r="J96" s="2499"/>
      <c r="L96" s="1473"/>
      <c r="M96" s="1472"/>
    </row>
    <row r="97" spans="1:16">
      <c r="A97" s="1486"/>
      <c r="B97" s="1487" t="s">
        <v>164</v>
      </c>
      <c r="C97" s="1488"/>
      <c r="D97" s="1489"/>
      <c r="E97" s="1488"/>
      <c r="F97" s="1490"/>
      <c r="G97" s="1479"/>
      <c r="I97" s="1447"/>
      <c r="J97" s="2498"/>
      <c r="L97" s="1473"/>
      <c r="M97" s="1472"/>
    </row>
    <row r="98" spans="1:16">
      <c r="A98" s="1486"/>
      <c r="B98" s="1487" t="s">
        <v>1403</v>
      </c>
      <c r="C98" s="1488"/>
      <c r="D98" s="1491" t="s">
        <v>694</v>
      </c>
      <c r="E98" s="1492"/>
      <c r="F98" s="1493" t="e">
        <f>F66+F78+F92+F94</f>
        <v>#REF!</v>
      </c>
      <c r="G98" s="1479"/>
      <c r="I98" s="1423" t="e">
        <f>I66+I78+I92+I94</f>
        <v>#DIV/0!</v>
      </c>
      <c r="J98" s="1428" t="e">
        <f>J66+J78+J92+J94</f>
        <v>#DIV/0!</v>
      </c>
      <c r="L98" s="1473"/>
      <c r="M98" s="1472"/>
    </row>
    <row r="99" spans="1:16">
      <c r="A99" s="1486"/>
      <c r="B99" s="1487" t="s">
        <v>1401</v>
      </c>
      <c r="C99" s="1488"/>
      <c r="D99" s="1491" t="s">
        <v>2465</v>
      </c>
      <c r="E99" s="1492"/>
      <c r="F99" s="1493" t="e">
        <f>'Calc Data'!#REF!*Assumptions!G123</f>
        <v>#REF!</v>
      </c>
      <c r="G99" s="1479"/>
      <c r="I99" s="1494">
        <f>'Data Entry - SOF'!I19*Assumptions!H177</f>
        <v>0</v>
      </c>
      <c r="J99" s="2500">
        <f>I99</f>
        <v>0</v>
      </c>
      <c r="L99" s="1473"/>
      <c r="M99" s="1472"/>
    </row>
    <row r="100" spans="1:16" hidden="1">
      <c r="A100" s="1486"/>
      <c r="B100" s="1487" t="s">
        <v>1402</v>
      </c>
      <c r="C100" s="1488"/>
      <c r="D100" s="1491" t="s">
        <v>713</v>
      </c>
      <c r="E100" s="1495"/>
      <c r="F100" s="1496">
        <v>0</v>
      </c>
      <c r="G100" s="1479"/>
      <c r="I100" s="1447"/>
      <c r="J100" s="2498"/>
      <c r="L100" s="1473"/>
      <c r="M100" s="1472"/>
    </row>
    <row r="101" spans="1:16" hidden="1">
      <c r="A101" s="1486"/>
      <c r="B101" s="1487" t="s">
        <v>697</v>
      </c>
      <c r="C101" s="1488"/>
      <c r="D101" s="1491" t="s">
        <v>695</v>
      </c>
      <c r="E101" s="1492"/>
      <c r="F101" s="1493" t="e">
        <f>#REF!</f>
        <v>#REF!</v>
      </c>
      <c r="G101" s="1479"/>
      <c r="I101" s="1432">
        <f>'Existing Debt-HB3'!N74</f>
        <v>0</v>
      </c>
      <c r="J101" s="2495">
        <f>'Existing Debt-HB3'!O74</f>
        <v>0</v>
      </c>
      <c r="L101" s="1473"/>
      <c r="M101" s="1472"/>
    </row>
    <row r="102" spans="1:16" ht="14.5" hidden="1" thickBot="1">
      <c r="A102" s="1486"/>
      <c r="B102" s="1487" t="s">
        <v>1033</v>
      </c>
      <c r="C102" s="1488"/>
      <c r="D102" s="1491" t="s">
        <v>696</v>
      </c>
      <c r="E102" s="1492"/>
      <c r="F102" s="1497" t="e">
        <f>#REF!+#REF!</f>
        <v>#REF!</v>
      </c>
      <c r="G102" s="1479"/>
      <c r="I102" s="1498">
        <f>'IFA-HB3'!T86+'IFA-HB3'!W75</f>
        <v>0</v>
      </c>
      <c r="J102" s="2501">
        <f>'IFA-HB3'!P86+'IFA-HB3'!T75</f>
        <v>0</v>
      </c>
      <c r="L102" s="1473"/>
      <c r="M102" s="1472"/>
    </row>
    <row r="103" spans="1:16" hidden="1">
      <c r="A103" s="1486"/>
      <c r="B103" s="1488"/>
      <c r="C103" s="1488"/>
      <c r="D103" s="1488"/>
      <c r="E103" s="1488"/>
      <c r="F103" s="1490"/>
      <c r="G103" s="1479"/>
      <c r="I103" s="1447"/>
      <c r="J103" s="2498"/>
      <c r="L103" s="1499"/>
      <c r="M103" s="1500"/>
    </row>
    <row r="104" spans="1:16" ht="12.75" hidden="1" customHeight="1" thickBot="1">
      <c r="A104" s="1486"/>
      <c r="B104" s="1488"/>
      <c r="C104" s="1488"/>
      <c r="D104" s="1491" t="s">
        <v>7651</v>
      </c>
      <c r="E104" s="1488"/>
      <c r="F104" s="1501" t="e">
        <f>SUM(F98:F102)</f>
        <v>#REF!</v>
      </c>
      <c r="G104" s="1479"/>
      <c r="I104" s="1502" t="e">
        <f>SUM(I98:I102)</f>
        <v>#DIV/0!</v>
      </c>
      <c r="J104" s="2502" t="e">
        <f>SUM(J98:J102)</f>
        <v>#DIV/0!</v>
      </c>
      <c r="L104" s="1499"/>
      <c r="M104" s="1500"/>
    </row>
    <row r="105" spans="1:16" hidden="1">
      <c r="A105" s="1486"/>
      <c r="B105" s="1488"/>
      <c r="C105" s="1488"/>
      <c r="D105" s="1503" t="s">
        <v>445</v>
      </c>
      <c r="E105" s="1488"/>
      <c r="F105" s="1488"/>
      <c r="G105" s="1479"/>
      <c r="I105" s="1416"/>
      <c r="J105" s="2492"/>
      <c r="L105" s="1499"/>
      <c r="M105" s="1500"/>
    </row>
    <row r="106" spans="1:16" hidden="1">
      <c r="A106" s="1504"/>
      <c r="B106" s="1505"/>
      <c r="C106" s="1505"/>
      <c r="D106" s="1506"/>
      <c r="E106" s="1505"/>
      <c r="F106" s="1505"/>
      <c r="G106" s="2071"/>
      <c r="H106" s="2070"/>
      <c r="I106" s="1507"/>
      <c r="J106" s="2503"/>
    </row>
    <row r="107" spans="1:16" hidden="1">
      <c r="B107" s="1372"/>
      <c r="G107" s="1438"/>
      <c r="I107" s="1416"/>
      <c r="J107" s="2492"/>
      <c r="N107" s="1473"/>
      <c r="O107" s="1508"/>
      <c r="P107" s="1509"/>
    </row>
    <row r="108" spans="1:16" ht="14.5" hidden="1" thickBot="1">
      <c r="G108" s="1488"/>
      <c r="H108" s="1535"/>
      <c r="I108" s="1416"/>
      <c r="J108" s="2492"/>
    </row>
    <row r="109" spans="1:16" ht="14.5" hidden="1" thickTop="1">
      <c r="A109" s="1510" t="s">
        <v>2318</v>
      </c>
      <c r="B109" s="1511"/>
      <c r="C109" s="1511"/>
      <c r="D109" s="1511"/>
      <c r="E109" s="1512"/>
      <c r="F109" s="1513"/>
      <c r="G109" s="1512"/>
      <c r="H109" s="1512"/>
      <c r="I109" s="1514"/>
      <c r="J109" s="2504"/>
    </row>
    <row r="110" spans="1:16" hidden="1">
      <c r="A110" s="1515"/>
      <c r="B110" s="1488"/>
      <c r="C110" s="1488"/>
      <c r="D110" s="1488"/>
      <c r="E110" s="1488"/>
      <c r="F110" s="1516"/>
      <c r="G110" s="1488"/>
      <c r="H110" s="1488"/>
      <c r="I110" s="2080"/>
      <c r="J110" s="2505"/>
    </row>
    <row r="111" spans="1:16" hidden="1">
      <c r="A111" s="1518" t="s">
        <v>7444</v>
      </c>
      <c r="B111" s="1488"/>
      <c r="C111" s="1488"/>
      <c r="D111" s="1488"/>
      <c r="E111" s="1488"/>
      <c r="F111" s="1519" t="e">
        <f>IF(F98&lt;0,F99,F98+F99)</f>
        <v>#REF!</v>
      </c>
      <c r="G111" s="1488"/>
      <c r="H111" s="1488"/>
      <c r="I111" s="2052" t="e">
        <f>IF(I98&lt;0,I99,I98+I99)</f>
        <v>#DIV/0!</v>
      </c>
      <c r="J111" s="2506" t="e">
        <f>IF(J98&lt;0,J99,J98+J99)</f>
        <v>#DIV/0!</v>
      </c>
    </row>
    <row r="112" spans="1:16" hidden="1">
      <c r="A112" s="1521" t="s">
        <v>7445</v>
      </c>
      <c r="B112" s="1488"/>
      <c r="C112" s="1488"/>
      <c r="D112" s="1488"/>
      <c r="E112" s="1488"/>
      <c r="F112" s="1522" t="e">
        <f>'Calc Data'!H30-#REF!</f>
        <v>#REF!</v>
      </c>
      <c r="G112" s="1488"/>
      <c r="H112" s="1488"/>
      <c r="I112" s="2081">
        <f>'Data Entry - SOF'!K75</f>
        <v>0</v>
      </c>
      <c r="J112" s="2507" t="e">
        <f>'Data Entry - SOF'!E78</f>
        <v>#DIV/0!</v>
      </c>
      <c r="N112" s="1473"/>
    </row>
    <row r="113" spans="1:14" hidden="1">
      <c r="A113" s="1521" t="s">
        <v>7446</v>
      </c>
      <c r="B113" s="1488"/>
      <c r="C113" s="1488"/>
      <c r="D113" s="1488"/>
      <c r="E113" s="1488"/>
      <c r="F113" s="1522">
        <f>'Calc Data'!H34</f>
        <v>0</v>
      </c>
      <c r="G113" s="1488"/>
      <c r="H113" s="1488"/>
      <c r="I113" s="2081" t="e">
        <f>I74+I82</f>
        <v>#DIV/0!</v>
      </c>
      <c r="J113" s="2507" t="e">
        <f>J74+J82</f>
        <v>#DIV/0!</v>
      </c>
      <c r="N113" s="1473"/>
    </row>
    <row r="114" spans="1:14" hidden="1">
      <c r="A114" s="1521"/>
      <c r="B114" s="1488"/>
      <c r="C114" s="1488"/>
      <c r="D114" s="1488"/>
      <c r="E114" s="1488"/>
      <c r="F114" s="2082" t="e">
        <f>'Calc Data'!H37-IF(#REF!="N",MAX(#REF!,#REF!),MIN(#REF!,#REF!))</f>
        <v>#REF!</v>
      </c>
      <c r="G114" s="1488"/>
      <c r="H114" s="1488"/>
      <c r="I114" s="2081"/>
      <c r="J114" s="2507"/>
    </row>
    <row r="115" spans="1:14" hidden="1">
      <c r="A115" s="1521" t="s">
        <v>7660</v>
      </c>
      <c r="B115" s="1488"/>
      <c r="C115" s="1488"/>
      <c r="D115" s="1488"/>
      <c r="E115" s="1488"/>
      <c r="F115" s="2083" t="e">
        <f>SUM(F111:F114)</f>
        <v>#REF!</v>
      </c>
      <c r="G115" s="1488"/>
      <c r="H115" s="1488"/>
      <c r="I115" s="2084" t="e">
        <f>I111+I112-I113</f>
        <v>#DIV/0!</v>
      </c>
      <c r="J115" s="2508" t="e">
        <f>J111+J112-J113</f>
        <v>#DIV/0!</v>
      </c>
    </row>
    <row r="116" spans="1:14" hidden="1">
      <c r="A116" s="1521" t="s">
        <v>8696</v>
      </c>
      <c r="B116" s="1488"/>
      <c r="C116" s="1488"/>
      <c r="D116" s="1488"/>
      <c r="E116" s="1488"/>
      <c r="F116" s="1519"/>
      <c r="G116" s="1488"/>
      <c r="H116" s="1488"/>
      <c r="I116" s="2053" t="s">
        <v>1678</v>
      </c>
      <c r="J116" s="2509" t="s">
        <v>1678</v>
      </c>
    </row>
    <row r="117" spans="1:14" hidden="1">
      <c r="A117" s="1521" t="s">
        <v>8697</v>
      </c>
      <c r="B117" s="1488"/>
      <c r="C117" s="1488"/>
      <c r="D117" s="1488"/>
      <c r="E117" s="1488"/>
      <c r="F117" s="1519"/>
      <c r="G117" s="1488"/>
      <c r="H117" s="1488"/>
      <c r="I117" s="2052" t="e">
        <f>I115</f>
        <v>#DIV/0!</v>
      </c>
      <c r="J117" s="2506" t="e">
        <f>J115</f>
        <v>#DIV/0!</v>
      </c>
    </row>
    <row r="118" spans="1:14" hidden="1">
      <c r="A118" s="1527" t="s">
        <v>7461</v>
      </c>
      <c r="B118" s="1528"/>
      <c r="C118" s="1528"/>
      <c r="D118" s="1528"/>
      <c r="E118" s="1528"/>
      <c r="F118" s="2085" t="e">
        <f>IF(F98&gt;0,0,F98)</f>
        <v>#REF!</v>
      </c>
      <c r="G118" s="1528"/>
      <c r="H118" s="2067"/>
      <c r="I118" s="2081" t="e">
        <f>I181</f>
        <v>#DIV/0!</v>
      </c>
      <c r="J118" s="2507">
        <f>J175</f>
        <v>0</v>
      </c>
    </row>
    <row r="119" spans="1:14">
      <c r="A119" s="1527" t="s">
        <v>7462</v>
      </c>
      <c r="B119" s="1528"/>
      <c r="C119" s="1528"/>
      <c r="D119" s="1528"/>
      <c r="E119" s="1528"/>
      <c r="F119" s="1530"/>
      <c r="G119" s="1528"/>
      <c r="H119" s="2067"/>
      <c r="I119" s="2081">
        <v>0</v>
      </c>
      <c r="J119" s="2507">
        <v>0</v>
      </c>
    </row>
    <row r="120" spans="1:14" hidden="1">
      <c r="A120" s="1531"/>
      <c r="B120" s="1452"/>
      <c r="C120" s="1452"/>
      <c r="D120" s="1452"/>
      <c r="E120" s="1452"/>
      <c r="F120" s="1532"/>
      <c r="G120" s="1452"/>
      <c r="H120" s="1488"/>
      <c r="I120" s="2081"/>
      <c r="J120" s="2507"/>
    </row>
    <row r="121" spans="1:14" hidden="1">
      <c r="A121" s="2078" t="s">
        <v>7659</v>
      </c>
      <c r="B121" s="2073"/>
      <c r="C121" s="2073"/>
      <c r="D121" s="2073"/>
      <c r="E121" s="2073"/>
      <c r="F121" s="2074" t="e">
        <f>F115+F118</f>
        <v>#REF!</v>
      </c>
      <c r="G121" s="2073"/>
      <c r="H121" s="2075"/>
      <c r="I121" s="2072" t="e">
        <f>I115+I118+I119</f>
        <v>#DIV/0!</v>
      </c>
      <c r="J121" s="2510" t="e">
        <f>J115+J118+J119</f>
        <v>#DIV/0!</v>
      </c>
    </row>
    <row r="122" spans="1:14" ht="14.5" hidden="1" thickBot="1">
      <c r="A122" s="1533"/>
      <c r="B122" s="1534"/>
      <c r="C122" s="1534"/>
      <c r="D122" s="1534"/>
      <c r="E122" s="1534"/>
      <c r="F122" s="1534"/>
      <c r="G122" s="2076"/>
      <c r="H122" s="1534"/>
      <c r="I122" s="1536"/>
      <c r="J122" s="2511"/>
    </row>
    <row r="123" spans="1:14" hidden="1">
      <c r="D123" s="1415" t="s">
        <v>1159</v>
      </c>
      <c r="E123" s="1415"/>
      <c r="F123" s="1415"/>
      <c r="H123" s="1425">
        <f>H118+H121</f>
        <v>0</v>
      </c>
      <c r="I123" s="1416"/>
      <c r="J123" s="1537"/>
      <c r="K123" s="1537"/>
    </row>
    <row r="124" spans="1:14" hidden="1">
      <c r="D124" s="1415" t="s">
        <v>443</v>
      </c>
      <c r="E124" s="1415"/>
      <c r="F124" s="1415"/>
      <c r="I124" s="1416"/>
      <c r="J124" s="1538"/>
      <c r="K124" s="1538"/>
    </row>
    <row r="125" spans="1:14" hidden="1">
      <c r="D125" s="1415" t="s">
        <v>444</v>
      </c>
      <c r="I125" s="1416"/>
    </row>
    <row r="126" spans="1:14" hidden="1">
      <c r="D126" s="1415" t="s">
        <v>957</v>
      </c>
      <c r="I126" s="1416"/>
    </row>
    <row r="127" spans="1:14" hidden="1">
      <c r="D127" s="1415" t="s">
        <v>606</v>
      </c>
      <c r="I127" s="1416"/>
    </row>
    <row r="128" spans="1:14" hidden="1">
      <c r="D128" s="1415" t="s">
        <v>607</v>
      </c>
      <c r="I128" s="1416"/>
    </row>
    <row r="129" spans="1:11" hidden="1">
      <c r="D129" s="1415"/>
      <c r="I129" s="1416"/>
    </row>
    <row r="130" spans="1:11" hidden="1">
      <c r="I130" s="1416"/>
    </row>
    <row r="131" spans="1:11" hidden="1">
      <c r="I131" s="1416"/>
    </row>
    <row r="132" spans="1:11" hidden="1">
      <c r="I132" s="1416"/>
    </row>
    <row r="133" spans="1:11" hidden="1">
      <c r="A133" s="1372" t="s">
        <v>1573</v>
      </c>
      <c r="G133" s="1388"/>
      <c r="I133" s="1416"/>
    </row>
    <row r="134" spans="1:11" hidden="1">
      <c r="G134" s="1388"/>
      <c r="I134" s="1416"/>
    </row>
    <row r="135" spans="1:11" hidden="1">
      <c r="A135" s="1372" t="s">
        <v>1404</v>
      </c>
      <c r="G135" s="1388"/>
      <c r="H135" s="1388"/>
      <c r="I135" s="1416"/>
      <c r="J135" s="1388"/>
      <c r="K135" s="1388"/>
    </row>
    <row r="136" spans="1:11" hidden="1">
      <c r="A136" s="1372" t="s">
        <v>1405</v>
      </c>
      <c r="H136" s="1388"/>
      <c r="I136" s="1416"/>
      <c r="J136" s="1388"/>
      <c r="K136" s="1388"/>
    </row>
    <row r="137" spans="1:11" hidden="1">
      <c r="A137" s="1372" t="s">
        <v>486</v>
      </c>
      <c r="H137" s="1388"/>
      <c r="I137" s="1416"/>
      <c r="J137" s="1388"/>
      <c r="K137" s="1388"/>
    </row>
    <row r="138" spans="1:11" hidden="1">
      <c r="A138" s="1372" t="s">
        <v>487</v>
      </c>
      <c r="I138" s="1416"/>
    </row>
    <row r="139" spans="1:11" hidden="1">
      <c r="A139" s="1372" t="s">
        <v>955</v>
      </c>
      <c r="I139" s="1416"/>
    </row>
    <row r="140" spans="1:11" hidden="1">
      <c r="A140" s="1372" t="s">
        <v>956</v>
      </c>
      <c r="I140" s="1416"/>
    </row>
    <row r="141" spans="1:11" hidden="1">
      <c r="A141" s="1399" t="s">
        <v>1692</v>
      </c>
      <c r="I141" s="1416"/>
    </row>
    <row r="142" spans="1:11" hidden="1">
      <c r="I142" s="1416"/>
    </row>
    <row r="143" spans="1:11" hidden="1">
      <c r="A143" s="1372" t="s">
        <v>60</v>
      </c>
      <c r="I143" s="1416"/>
    </row>
    <row r="144" spans="1:11" hidden="1">
      <c r="A144" s="1372" t="s">
        <v>1599</v>
      </c>
      <c r="I144" s="1416"/>
    </row>
    <row r="145" spans="1:11" hidden="1">
      <c r="A145" s="1372" t="s">
        <v>1600</v>
      </c>
      <c r="I145" s="1416"/>
    </row>
    <row r="146" spans="1:11" hidden="1">
      <c r="A146" s="1372" t="s">
        <v>1717</v>
      </c>
      <c r="I146" s="1416"/>
    </row>
    <row r="147" spans="1:11" hidden="1">
      <c r="I147" s="1416"/>
    </row>
    <row r="148" spans="1:11" hidden="1">
      <c r="A148" s="1372" t="s">
        <v>1718</v>
      </c>
      <c r="I148" s="1416"/>
    </row>
    <row r="149" spans="1:11" hidden="1">
      <c r="A149" s="1372" t="s">
        <v>1719</v>
      </c>
      <c r="I149" s="1416"/>
    </row>
    <row r="150" spans="1:11" hidden="1">
      <c r="A150" s="1372" t="s">
        <v>319</v>
      </c>
      <c r="I150" s="1416"/>
    </row>
    <row r="151" spans="1:11" hidden="1">
      <c r="A151" s="1372" t="s">
        <v>1720</v>
      </c>
      <c r="I151" s="1416"/>
    </row>
    <row r="152" spans="1:11" hidden="1">
      <c r="A152" s="1372" t="s">
        <v>317</v>
      </c>
      <c r="I152" s="1416"/>
    </row>
    <row r="153" spans="1:11" hidden="1">
      <c r="I153" s="1416"/>
    </row>
    <row r="154" spans="1:11" hidden="1">
      <c r="A154" s="1399" t="s">
        <v>318</v>
      </c>
      <c r="I154" s="1416"/>
    </row>
    <row r="155" spans="1:11" hidden="1">
      <c r="I155" s="1416"/>
    </row>
    <row r="156" spans="1:11" hidden="1">
      <c r="I156" s="1416"/>
    </row>
    <row r="157" spans="1:11" hidden="1">
      <c r="I157" s="1416"/>
    </row>
    <row r="158" spans="1:11" hidden="1">
      <c r="E158" s="1373" t="s">
        <v>2598</v>
      </c>
      <c r="F158" s="1509" t="e">
        <f>SUM(F22:F28)</f>
        <v>#REF!</v>
      </c>
      <c r="H158" s="1509">
        <f>SUM(H22:H28)</f>
        <v>0</v>
      </c>
      <c r="I158" s="1539" t="e">
        <f>SUM(I22:I28)</f>
        <v>#DIV/0!</v>
      </c>
    </row>
    <row r="159" spans="1:11" hidden="1">
      <c r="E159" s="1373" t="s">
        <v>2599</v>
      </c>
      <c r="F159" s="1509" t="e">
        <f>F29+F31</f>
        <v>#REF!</v>
      </c>
      <c r="H159" s="1509">
        <f>H29+H31</f>
        <v>0</v>
      </c>
      <c r="I159" s="1540" t="e">
        <f>I29+I31</f>
        <v>#DIV/0!</v>
      </c>
    </row>
    <row r="160" spans="1:11" hidden="1">
      <c r="E160" s="1373" t="s">
        <v>2600</v>
      </c>
      <c r="F160" s="1509" t="e">
        <f>F33+F34</f>
        <v>#REF!</v>
      </c>
      <c r="H160" s="1509">
        <f>H33+H34</f>
        <v>0</v>
      </c>
      <c r="I160" s="1540" t="e">
        <f>I33+I34</f>
        <v>#DIV/0!</v>
      </c>
      <c r="J160" s="1509"/>
      <c r="K160" s="1509"/>
    </row>
    <row r="161" spans="4:11" hidden="1">
      <c r="E161" s="1373" t="s">
        <v>2601</v>
      </c>
      <c r="F161" s="1509" t="e">
        <f>F35+F42</f>
        <v>#REF!</v>
      </c>
      <c r="H161" s="1509">
        <f>H35+H42</f>
        <v>0</v>
      </c>
      <c r="I161" s="1540" t="e">
        <f>SUM(#REF!)</f>
        <v>#REF!</v>
      </c>
      <c r="J161" s="1509"/>
      <c r="K161" s="1509"/>
    </row>
    <row r="162" spans="4:11" hidden="1">
      <c r="E162" s="1373" t="s">
        <v>2648</v>
      </c>
      <c r="F162" s="1473">
        <f>Assumptions!G119*'Calc Data'!H25*'Calc Data'!H35*100</f>
        <v>0</v>
      </c>
      <c r="H162" s="1473">
        <f>Assumptions!G119*'Calc Data'!H25*'Calc Data'!H35*100</f>
        <v>0</v>
      </c>
      <c r="I162" s="1541" t="e">
        <f>Assumptions!H119*L61*'Calc Data'!D105*100</f>
        <v>#DIV/0!</v>
      </c>
      <c r="J162" s="1509"/>
      <c r="K162" s="1509"/>
    </row>
    <row r="163" spans="4:11" hidden="1">
      <c r="E163" s="1373" t="s">
        <v>2650</v>
      </c>
      <c r="F163" s="1473">
        <f>Assumptions!G120*'Calc Data'!H25*'Calc Data'!H38*100</f>
        <v>0</v>
      </c>
      <c r="H163" s="1473" t="e">
        <f>Assumptions!G120*'Calc Data'!H25*'Calc Data'!BB29*100</f>
        <v>#REF!</v>
      </c>
      <c r="I163" s="1541" t="e">
        <f>Assumptions!H120*L61*'Calc Data'!D110*100</f>
        <v>#DIV/0!</v>
      </c>
      <c r="J163" s="1509"/>
      <c r="K163" s="1509"/>
    </row>
    <row r="164" spans="4:11" hidden="1">
      <c r="E164" s="1373" t="s">
        <v>7437</v>
      </c>
      <c r="I164" s="1542" t="e">
        <f>I43+I44+I45</f>
        <v>#DIV/0!</v>
      </c>
      <c r="J164" s="1473"/>
      <c r="K164" s="1473"/>
    </row>
    <row r="165" spans="4:11" hidden="1">
      <c r="I165" s="1509"/>
      <c r="J165" s="1473"/>
      <c r="K165" s="1473"/>
    </row>
    <row r="166" spans="4:11" hidden="1"/>
    <row r="167" spans="4:11" hidden="1">
      <c r="D167" s="2087"/>
      <c r="E167" s="2088"/>
      <c r="F167" s="2088"/>
      <c r="G167" s="2088"/>
      <c r="H167" s="2091" t="s">
        <v>8705</v>
      </c>
    </row>
    <row r="168" spans="4:11" hidden="1">
      <c r="H168" s="1543" t="s">
        <v>7650</v>
      </c>
    </row>
    <row r="169" spans="4:11" hidden="1">
      <c r="E169" s="1415"/>
      <c r="F169" s="1415"/>
      <c r="H169" s="1544" t="s">
        <v>7818</v>
      </c>
      <c r="I169" s="1545" t="e">
        <f>'SOF2122-HB3'!I176</f>
        <v>#REF!</v>
      </c>
    </row>
    <row r="170" spans="4:11" hidden="1">
      <c r="E170" s="1415"/>
      <c r="F170" s="1415"/>
      <c r="H170" s="1544" t="s">
        <v>7819</v>
      </c>
      <c r="I170" s="1546" t="e">
        <f>'SOF2122-HB3'!I177</f>
        <v>#REF!</v>
      </c>
    </row>
    <row r="171" spans="4:11" hidden="1">
      <c r="E171" s="1415"/>
      <c r="F171" s="1415"/>
      <c r="H171" s="1415"/>
      <c r="I171" s="1547"/>
    </row>
    <row r="172" spans="4:11" hidden="1">
      <c r="E172" s="1415"/>
      <c r="F172" s="1415"/>
      <c r="H172" s="1415"/>
      <c r="I172" s="1547"/>
    </row>
    <row r="173" spans="4:11" hidden="1">
      <c r="E173" s="1415"/>
      <c r="F173" s="1415"/>
      <c r="H173" s="1544" t="s">
        <v>7816</v>
      </c>
      <c r="I173" s="1546" t="e">
        <f>'SOF2122-HB3'!I180</f>
        <v>#REF!</v>
      </c>
    </row>
    <row r="174" spans="4:11" hidden="1">
      <c r="E174" s="1415"/>
      <c r="F174" s="1415"/>
      <c r="H174" s="1544" t="s">
        <v>7817</v>
      </c>
      <c r="I174" s="1546" t="e">
        <f>'SOF2122-HB3'!I181</f>
        <v>#REF!</v>
      </c>
    </row>
    <row r="175" spans="4:11" hidden="1">
      <c r="E175" s="1415"/>
      <c r="F175" s="1415"/>
      <c r="H175" s="1415"/>
      <c r="I175" s="1547"/>
    </row>
    <row r="176" spans="4:11" hidden="1">
      <c r="E176" s="1415"/>
      <c r="F176" s="1415"/>
      <c r="H176" s="1544" t="s">
        <v>7633</v>
      </c>
      <c r="I176" s="1548" t="e">
        <f>MIN(I170,I174)</f>
        <v>#REF!</v>
      </c>
    </row>
    <row r="177" spans="5:13" hidden="1">
      <c r="E177" s="1415"/>
      <c r="F177" s="1415"/>
      <c r="H177" s="2094" t="s">
        <v>8923</v>
      </c>
      <c r="I177" s="1549">
        <f>MAX('Data Entry - SOF'!C145,'Data Entry - SOF'!C146)</f>
        <v>0</v>
      </c>
    </row>
    <row r="178" spans="5:13" hidden="1">
      <c r="E178" s="1415"/>
      <c r="F178" s="1415"/>
      <c r="H178" s="1544" t="s">
        <v>7797</v>
      </c>
      <c r="I178" s="1550" t="e">
        <f>(I115+I119)/'Data Entry - SOF'!K19</f>
        <v>#DIV/0!</v>
      </c>
    </row>
    <row r="179" spans="5:13" hidden="1">
      <c r="H179" s="2095" t="s">
        <v>7631</v>
      </c>
      <c r="I179" s="1556" t="e">
        <f>IF(I178&gt;=I177,0,I177-I178)</f>
        <v>#DIV/0!</v>
      </c>
    </row>
    <row r="180" spans="5:13" hidden="1">
      <c r="H180" s="2095" t="s">
        <v>7798</v>
      </c>
      <c r="I180" s="1552">
        <f>'Data Entry - SOF'!K19</f>
        <v>0</v>
      </c>
    </row>
    <row r="181" spans="5:13" hidden="1">
      <c r="H181" s="2095" t="s">
        <v>7461</v>
      </c>
      <c r="I181" s="1553" t="e">
        <f>I179*I180</f>
        <v>#DIV/0!</v>
      </c>
    </row>
    <row r="182" spans="5:13" hidden="1"/>
    <row r="183" spans="5:13" hidden="1"/>
    <row r="184" spans="5:13" hidden="1">
      <c r="H184" s="2095" t="s">
        <v>7752</v>
      </c>
    </row>
    <row r="185" spans="5:13" hidden="1">
      <c r="J185" s="1554"/>
      <c r="K185" s="1554"/>
      <c r="M185" s="1555"/>
    </row>
    <row r="186" spans="5:13" hidden="1"/>
    <row r="196" spans="8:10">
      <c r="H196" s="1379" t="s">
        <v>8283</v>
      </c>
      <c r="I196" s="1769" t="e">
        <f>Assumptions!H173*L61*'Calc Data'!H105*100</f>
        <v>#DIV/0!</v>
      </c>
      <c r="J196" s="1771" t="e">
        <f>Assumptions!H173*L61*'Calc Data'!R105*100</f>
        <v>#DIV/0!</v>
      </c>
    </row>
    <row r="197" spans="8:10">
      <c r="H197" s="1379" t="s">
        <v>8284</v>
      </c>
      <c r="I197" s="1769" t="e">
        <f>'Calc Data'!H106</f>
        <v>#DIV/0!</v>
      </c>
      <c r="J197" s="1771" t="e">
        <f>'Calc Data'!R106</f>
        <v>#DIV/0!</v>
      </c>
    </row>
    <row r="199" spans="8:10">
      <c r="H199" s="1379" t="s">
        <v>8288</v>
      </c>
      <c r="I199" s="1769" t="e">
        <f>Assumptions!H174*L61*'Calc Data'!H110*100</f>
        <v>#DIV/0!</v>
      </c>
      <c r="J199" s="1771" t="e">
        <f>Assumptions!H165*L61*'Calc Data'!R110*100</f>
        <v>#DIV/0!</v>
      </c>
    </row>
    <row r="200" spans="8:10">
      <c r="H200" s="1379" t="s">
        <v>8289</v>
      </c>
      <c r="I200" s="1769" t="e">
        <f>'Calc Data'!H111</f>
        <v>#DIV/0!</v>
      </c>
      <c r="J200" s="1771" t="e">
        <f>'Calc Data'!R111</f>
        <v>#DIV/0!</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3" tint="0.79998168889431442"/>
  </sheetPr>
  <dimension ref="A1:AL200"/>
  <sheetViews>
    <sheetView topLeftCell="E48" workbookViewId="0">
      <selection activeCell="L61" sqref="L61"/>
    </sheetView>
  </sheetViews>
  <sheetFormatPr defaultColWidth="8.7265625" defaultRowHeight="14"/>
  <cols>
    <col min="1" max="1" width="10.54296875" style="1373" bestFit="1" customWidth="1"/>
    <col min="2" max="2" width="8.7265625" style="1373"/>
    <col min="3" max="3" width="13.54296875" style="1373" customWidth="1"/>
    <col min="4" max="4" width="44.54296875" style="1373" customWidth="1"/>
    <col min="5" max="5" width="19.1796875" style="1373" customWidth="1"/>
    <col min="6" max="6" width="19.1796875" style="1373" hidden="1" customWidth="1"/>
    <col min="7" max="7" width="6.453125" style="1373" customWidth="1"/>
    <col min="8" max="8" width="3" style="1373" customWidth="1"/>
    <col min="9" max="9" width="24.1796875" style="1373" customWidth="1"/>
    <col min="10" max="10" width="31.54296875" style="1373" customWidth="1"/>
    <col min="11" max="11" width="31.26953125" style="1373" customWidth="1"/>
    <col min="12" max="12" width="15.54296875" style="1373" customWidth="1"/>
    <col min="13" max="13" width="15.54296875" style="1378" customWidth="1"/>
    <col min="14" max="14" width="23.81640625" style="1373" customWidth="1"/>
    <col min="15" max="15" width="15.54296875" style="1379" hidden="1" customWidth="1"/>
    <col min="16" max="16" width="13.54296875" style="1373" customWidth="1"/>
    <col min="17" max="37" width="8.7265625" style="1373"/>
    <col min="38" max="38" width="15.54296875" style="1373" customWidth="1"/>
    <col min="39" max="39" width="16" style="1373" customWidth="1"/>
    <col min="40" max="16384" width="8.7265625" style="1373"/>
  </cols>
  <sheetData>
    <row r="1" spans="1:11" hidden="1">
      <c r="A1" s="1372" t="s">
        <v>64</v>
      </c>
      <c r="C1" s="1374" t="str">
        <f>'Data Entry - SOF'!B1</f>
        <v xml:space="preserve"> </v>
      </c>
      <c r="E1" s="1375"/>
      <c r="F1" s="1376" t="e">
        <f>#REF!</f>
        <v>#REF!</v>
      </c>
      <c r="G1" s="1377"/>
      <c r="J1" s="1377"/>
      <c r="K1" s="1377"/>
    </row>
    <row r="2" spans="1:11" hidden="1">
      <c r="A2" s="1372" t="s">
        <v>65</v>
      </c>
      <c r="C2" s="1380">
        <f>'Data Entry - SOF'!B2</f>
        <v>0</v>
      </c>
      <c r="F2" s="1377" t="e">
        <f>#REF!</f>
        <v>#REF!</v>
      </c>
      <c r="G2" s="1377"/>
      <c r="J2" s="1377"/>
      <c r="K2" s="1377"/>
    </row>
    <row r="3" spans="1:11" hidden="1">
      <c r="A3" s="1372" t="s">
        <v>134</v>
      </c>
      <c r="C3" s="1381">
        <f ca="1">'Data Entry - SOF'!B3</f>
        <v>44931.882496064813</v>
      </c>
      <c r="F3" s="1382" t="e">
        <f>#REF!</f>
        <v>#REF!</v>
      </c>
    </row>
    <row r="4" spans="1:11" hidden="1">
      <c r="D4" s="1383" t="s">
        <v>2821</v>
      </c>
    </row>
    <row r="5" spans="1:11" hidden="1">
      <c r="D5" s="1384" t="s">
        <v>2840</v>
      </c>
    </row>
    <row r="6" spans="1:11" hidden="1"/>
    <row r="7" spans="1:11" hidden="1">
      <c r="D7" s="1372" t="s">
        <v>1308</v>
      </c>
    </row>
    <row r="8" spans="1:11" hidden="1">
      <c r="B8" s="1385"/>
      <c r="D8" s="1372" t="s">
        <v>786</v>
      </c>
      <c r="F8" s="1386">
        <f>'Calc Data'!I7</f>
        <v>0</v>
      </c>
      <c r="G8" s="1387"/>
      <c r="J8" s="1387"/>
      <c r="K8" s="1387"/>
    </row>
    <row r="9" spans="1:11" hidden="1">
      <c r="D9" s="1372" t="s">
        <v>1309</v>
      </c>
      <c r="F9" s="1386">
        <f>'Calc Data'!I8</f>
        <v>0</v>
      </c>
      <c r="G9" s="1387"/>
      <c r="J9" s="1387"/>
      <c r="K9" s="1387"/>
    </row>
    <row r="10" spans="1:11" hidden="1">
      <c r="D10" s="1372" t="s">
        <v>404</v>
      </c>
      <c r="F10" s="1386" t="e">
        <f>'Data Entry - SOF'!#REF!</f>
        <v>#REF!</v>
      </c>
      <c r="G10" s="1387"/>
      <c r="J10" s="1387"/>
      <c r="K10" s="1387"/>
    </row>
    <row r="11" spans="1:11" hidden="1">
      <c r="B11" s="1372"/>
      <c r="D11" s="1372" t="s">
        <v>405</v>
      </c>
      <c r="F11" s="1386" t="e">
        <f>'Calc Data'!I10</f>
        <v>#REF!</v>
      </c>
      <c r="G11" s="1387"/>
      <c r="J11" s="1387"/>
      <c r="K11" s="1387"/>
    </row>
    <row r="12" spans="1:11" hidden="1">
      <c r="D12" s="1372" t="s">
        <v>406</v>
      </c>
      <c r="F12" s="1388">
        <f>'Data Entry - SOF'!M63</f>
        <v>0</v>
      </c>
      <c r="G12" s="1388"/>
      <c r="J12" s="1388"/>
      <c r="K12" s="1388"/>
    </row>
    <row r="13" spans="1:11" hidden="1">
      <c r="D13" s="1372" t="s">
        <v>407</v>
      </c>
      <c r="F13" s="1388" t="e">
        <f>'Data Entry - SOF'!#REF!</f>
        <v>#REF!</v>
      </c>
      <c r="G13" s="1388"/>
      <c r="J13" s="1388"/>
      <c r="K13" s="1388"/>
    </row>
    <row r="14" spans="1:11" hidden="1">
      <c r="D14" s="1372" t="s">
        <v>1711</v>
      </c>
      <c r="F14" s="1386" t="e">
        <f>'Data Entry - SOF'!M128</f>
        <v>#REF!</v>
      </c>
      <c r="G14" s="1388"/>
      <c r="J14" s="1388"/>
      <c r="K14" s="1388"/>
    </row>
    <row r="15" spans="1:11" hidden="1">
      <c r="D15" s="1372" t="s">
        <v>1085</v>
      </c>
      <c r="F15" s="1386">
        <f>'Calc Data'!I59</f>
        <v>0</v>
      </c>
      <c r="G15" s="1389"/>
      <c r="J15" s="1389"/>
      <c r="K15" s="1389"/>
    </row>
    <row r="16" spans="1:11" hidden="1">
      <c r="D16" s="1372" t="s">
        <v>1849</v>
      </c>
      <c r="F16" s="1388" t="e">
        <f>'Data Entry - SOF'!#REF!</f>
        <v>#REF!</v>
      </c>
      <c r="G16" s="1388"/>
      <c r="J16" s="1388"/>
      <c r="K16" s="1388"/>
    </row>
    <row r="17" spans="2:38" ht="14.5" hidden="1" thickBot="1">
      <c r="D17" s="1390"/>
      <c r="E17" s="1391"/>
      <c r="F17" s="1391"/>
      <c r="G17" s="1388"/>
      <c r="J17" s="1388"/>
      <c r="K17" s="1388"/>
    </row>
    <row r="18" spans="2:38">
      <c r="D18" s="1372"/>
      <c r="G18" s="1388"/>
      <c r="I18" s="1392" t="s">
        <v>11049</v>
      </c>
      <c r="J18" s="2466" t="s">
        <v>10725</v>
      </c>
      <c r="K18" s="2668" t="s">
        <v>10726</v>
      </c>
    </row>
    <row r="19" spans="2:38">
      <c r="B19" s="1394" t="s">
        <v>408</v>
      </c>
      <c r="D19" s="1372"/>
      <c r="F19" s="1395" t="s">
        <v>3315</v>
      </c>
      <c r="G19" s="1372"/>
      <c r="I19" s="1396" t="s">
        <v>7427</v>
      </c>
      <c r="J19" s="1687" t="s">
        <v>10727</v>
      </c>
      <c r="K19" s="2669" t="s">
        <v>10728</v>
      </c>
    </row>
    <row r="20" spans="2:38">
      <c r="B20" s="1394">
        <v>11</v>
      </c>
      <c r="C20" s="1379" t="s">
        <v>7438</v>
      </c>
      <c r="D20" s="1399" t="s">
        <v>2817</v>
      </c>
      <c r="F20" s="1400" t="e">
        <f>ROUND(ROUND('Calc Data'!I23,0)*IF('Calc Data'!I11&gt;'Calc Data'!I10,'Calc Data'!I11,'Calc Data'!I10),0)</f>
        <v>#REF!</v>
      </c>
      <c r="G20" s="1388"/>
      <c r="I20" s="2476">
        <f>ROUND(Assumptions!H181*IF('Calc Data'!I12&gt;'Calc Data'!I11,'Calc Data'!I12,'Calc Data'!I11),0)</f>
        <v>0</v>
      </c>
      <c r="J20" s="2485">
        <f>I20</f>
        <v>0</v>
      </c>
      <c r="K20" s="2684"/>
      <c r="AL20" s="1388" t="e">
        <f>ROUND(ROUND('Calc Data'!AA23,0)*IF('Calc Data'!#REF!&gt;'Calc Data'!#REF!,'Calc Data'!#REF!,'Calc Data'!#REF!),0)</f>
        <v>#REF!</v>
      </c>
    </row>
    <row r="21" spans="2:38">
      <c r="B21" s="1394"/>
      <c r="C21" s="1404" t="s">
        <v>7439</v>
      </c>
      <c r="D21" s="1405" t="s">
        <v>7431</v>
      </c>
      <c r="E21" s="1406"/>
      <c r="F21" s="1407"/>
      <c r="G21" s="1408"/>
      <c r="H21" s="1408"/>
      <c r="I21" s="2476">
        <f>MAX('Calc Data'!I97,'Calc Data'!I99)</f>
        <v>0</v>
      </c>
      <c r="J21" s="2486">
        <f t="shared" ref="J21:J61" si="0">I21</f>
        <v>0</v>
      </c>
      <c r="K21" s="2677"/>
      <c r="AL21" s="1388"/>
    </row>
    <row r="22" spans="2:38">
      <c r="B22" s="1394">
        <v>23</v>
      </c>
      <c r="C22" s="1379" t="s">
        <v>7439</v>
      </c>
      <c r="D22" s="1372" t="s">
        <v>7455</v>
      </c>
      <c r="F22" s="1388" t="e">
        <f>ROUND('Calc Data'!I9*ROUND('Calc Data'!I23,0),0)</f>
        <v>#REF!</v>
      </c>
      <c r="G22" s="1388"/>
      <c r="I22" s="2477">
        <f>ROUND('Calc Data'!I9*(Assumptions!H181+'Calc Data'!I96),0)</f>
        <v>0</v>
      </c>
      <c r="J22" s="2486">
        <f t="shared" si="0"/>
        <v>0</v>
      </c>
      <c r="K22" s="2677"/>
      <c r="AL22" s="1388" t="e">
        <f>ROUND('Calc Data'!#REF!*ROUND('Calc Data'!AA23,0),0)</f>
        <v>#REF!</v>
      </c>
    </row>
    <row r="23" spans="2:38">
      <c r="B23" s="1394"/>
      <c r="C23" s="1379" t="s">
        <v>7439</v>
      </c>
      <c r="D23" s="1372" t="s">
        <v>87</v>
      </c>
      <c r="F23" s="1415"/>
      <c r="I23" s="2478"/>
      <c r="J23" s="2486">
        <f t="shared" si="0"/>
        <v>0</v>
      </c>
      <c r="K23" s="2677"/>
    </row>
    <row r="24" spans="2:38">
      <c r="B24" s="1394">
        <v>23</v>
      </c>
      <c r="C24" s="1379" t="s">
        <v>7439</v>
      </c>
      <c r="D24" s="1372" t="s">
        <v>88</v>
      </c>
      <c r="F24" s="1418" t="e">
        <f>ROUND('Data Entry - SOF'!M32*Weights!O21*ROUND('Calc Data'!I23,0),0)</f>
        <v>#REF!</v>
      </c>
      <c r="G24" s="1418"/>
      <c r="I24" s="2479">
        <f>IF('Data Entry - SOF'!M32=0,0,ROUND('Data Entry - SOF'!M32*'Weights-HB3'!N18*(Assumptions!H181+'Calc Data'!I96),0))</f>
        <v>0</v>
      </c>
      <c r="J24" s="2486">
        <f t="shared" si="0"/>
        <v>0</v>
      </c>
      <c r="K24" s="2677"/>
      <c r="AL24" s="1418" t="e">
        <f>ROUND('Data Entry - SOF'!#REF!*1.1*ROUND('Calc Data'!AA23,0),0)</f>
        <v>#REF!</v>
      </c>
    </row>
    <row r="25" spans="2:38">
      <c r="B25" s="1394">
        <v>23</v>
      </c>
      <c r="C25" s="1379" t="s">
        <v>7439</v>
      </c>
      <c r="D25" s="1372" t="s">
        <v>89</v>
      </c>
      <c r="F25" s="1388" t="e">
        <f>ROUND((+'Data Entry - SOF'!M31*Weights!O19)*ROUND('Calc Data'!I23,0),0)</f>
        <v>#REF!</v>
      </c>
      <c r="G25" s="1388"/>
      <c r="I25" s="2477">
        <f>IF('Data Entry - SOF'!M31=0,0,ROUND(('Data Entry - SOF'!M31*'Weights-HB3'!N16)*(Assumptions!H181+'Calc Data'!I96),0))</f>
        <v>0</v>
      </c>
      <c r="J25" s="2486">
        <f t="shared" si="0"/>
        <v>0</v>
      </c>
      <c r="K25" s="2677"/>
      <c r="AL25" s="1388" t="e">
        <f>ROUND((+'Data Entry - SOF'!#REF!*4)*ROUND('Calc Data'!AA23,0),0)</f>
        <v>#REF!</v>
      </c>
    </row>
    <row r="26" spans="2:38">
      <c r="B26" s="1394">
        <v>23</v>
      </c>
      <c r="C26" s="1379" t="s">
        <v>7439</v>
      </c>
      <c r="D26" s="1421" t="s">
        <v>766</v>
      </c>
      <c r="F26" s="1388" t="e">
        <f>ROUND((+'Data Entry - SOF'!M29*Weights!O17)*ROUND('Calc Data'!I23,0),0)</f>
        <v>#REF!</v>
      </c>
      <c r="G26" s="1388"/>
      <c r="I26" s="2477">
        <f>IF('Data Entry - SOF'!M29=0,0,ROUND(('Data Entry - SOF'!M29*'Weights-HB3'!N14)*(Assumptions!H181+'Calc Data'!I96),0))</f>
        <v>0</v>
      </c>
      <c r="J26" s="2486">
        <f t="shared" si="0"/>
        <v>0</v>
      </c>
      <c r="K26" s="2677"/>
      <c r="AL26" s="1388" t="e">
        <f>ROUND((+'Data Entry - SOF'!#REF!*2.8)*ROUND('Calc Data'!AA23,0),0)</f>
        <v>#REF!</v>
      </c>
    </row>
    <row r="27" spans="2:38">
      <c r="B27" s="1394">
        <v>23</v>
      </c>
      <c r="C27" s="1379" t="s">
        <v>7439</v>
      </c>
      <c r="D27" s="1421" t="s">
        <v>767</v>
      </c>
      <c r="F27" s="1388" t="e">
        <f>ROUND(('Data Entry - SOF'!M30*Weights!O18)*ROUND('Calc Data'!I23,0),0)</f>
        <v>#REF!</v>
      </c>
      <c r="G27" s="1388"/>
      <c r="I27" s="2477">
        <f>IF('Data Entry - SOF'!M30=0,0,ROUND(('Data Entry - SOF'!M30*'Weights-HB3'!N15)*(Assumptions!H181+'Calc Data'!I96),0))</f>
        <v>0</v>
      </c>
      <c r="J27" s="2486">
        <f t="shared" si="0"/>
        <v>0</v>
      </c>
      <c r="K27" s="2677"/>
      <c r="AL27" s="1388" t="e">
        <f>ROUND(('Data Entry - SOF'!#REF!*1.7)*ROUND('Calc Data'!AA23,0),0)</f>
        <v>#REF!</v>
      </c>
    </row>
    <row r="28" spans="2:38">
      <c r="B28" s="1394"/>
      <c r="C28" s="1379" t="s">
        <v>7439</v>
      </c>
      <c r="D28" s="1372" t="s">
        <v>1075</v>
      </c>
      <c r="F28" s="1388" t="e">
        <f>IF('Data Entry - SOF'!#REF!&lt;0,'Data Entry - SOF'!#REF!,'Data Entry - SOF'!#REF!*-1)</f>
        <v>#REF!</v>
      </c>
      <c r="G28" s="1388"/>
      <c r="I28" s="2477">
        <f>IF('Data Entry - SOF'!M96&lt;0,'Data Entry - SOF'!M96,'Data Entry - SOF'!M96*-1)</f>
        <v>0</v>
      </c>
      <c r="J28" s="2486">
        <f t="shared" si="0"/>
        <v>0</v>
      </c>
      <c r="K28" s="2677"/>
      <c r="AL28" s="1388">
        <v>0</v>
      </c>
    </row>
    <row r="29" spans="2:38">
      <c r="B29" s="1394">
        <v>22</v>
      </c>
      <c r="C29" s="1379" t="s">
        <v>7439</v>
      </c>
      <c r="D29" s="2174" t="s">
        <v>9043</v>
      </c>
      <c r="E29" s="1417"/>
      <c r="F29" s="2172" t="e">
        <f>ROUND(ROUND('Calc Data'!D23,0)*'Data Entry - SOF'!#REF!*Weights!M23,0)</f>
        <v>#REF!</v>
      </c>
      <c r="G29" s="2172"/>
      <c r="H29" s="1417"/>
      <c r="I29" s="2480">
        <f>ROUND((Assumptions!H181+'Calc Data'!I96)*'Data Entry - SOF'!M36*'Weights-HB3'!N21,0)</f>
        <v>0</v>
      </c>
      <c r="J29" s="2486">
        <f t="shared" si="0"/>
        <v>0</v>
      </c>
      <c r="K29" s="2677"/>
      <c r="AL29" s="1388" t="e">
        <f>ROUND(ROUND('Calc Data'!AA23,0)*'Data Entry - SOF'!#REF!*1.35,0)</f>
        <v>#REF!</v>
      </c>
    </row>
    <row r="30" spans="2:38">
      <c r="B30" s="1394"/>
      <c r="C30" s="1379" t="s">
        <v>7439</v>
      </c>
      <c r="D30" s="2174" t="s">
        <v>9045</v>
      </c>
      <c r="E30" s="1417"/>
      <c r="F30" s="2172"/>
      <c r="G30" s="2172"/>
      <c r="H30" s="1417"/>
      <c r="I30" s="2480">
        <f>ROUND((Assumptions!H181+'Calc Data'!I96)*'Data Entry - SOF'!M37*'Weights-HB3'!N22,0)</f>
        <v>0</v>
      </c>
      <c r="J30" s="2486">
        <f t="shared" si="0"/>
        <v>0</v>
      </c>
      <c r="K30" s="2677"/>
      <c r="AL30" s="1388"/>
    </row>
    <row r="31" spans="2:38">
      <c r="B31" s="1394"/>
      <c r="C31" s="1379" t="s">
        <v>7439</v>
      </c>
      <c r="D31" s="2174" t="s">
        <v>9044</v>
      </c>
      <c r="E31" s="1417"/>
      <c r="F31" s="2172"/>
      <c r="G31" s="2172"/>
      <c r="H31" s="1417"/>
      <c r="I31" s="2480">
        <f>ROUND((Assumptions!H181+'Calc Data'!I96)*'Data Entry - SOF'!M38*'Weights-HB3'!N23,0)</f>
        <v>0</v>
      </c>
      <c r="J31" s="2486">
        <f t="shared" si="0"/>
        <v>0</v>
      </c>
      <c r="K31" s="2677"/>
      <c r="AL31" s="1388"/>
    </row>
    <row r="32" spans="2:38">
      <c r="B32" s="1394"/>
      <c r="C32" s="1379" t="s">
        <v>7439</v>
      </c>
      <c r="D32" s="2093" t="s">
        <v>9048</v>
      </c>
      <c r="E32" s="1417"/>
      <c r="F32" s="2172">
        <f>Weights!M24*'Data Entry - SOF'!C37</f>
        <v>0</v>
      </c>
      <c r="G32" s="2172"/>
      <c r="H32" s="1417"/>
      <c r="I32" s="2480">
        <f>ROUND('Weights-HB3'!N24*('Data Entry - SOF'!M39+'Data Entry - SOF'!M40),0)</f>
        <v>0</v>
      </c>
      <c r="J32" s="2486">
        <f t="shared" si="0"/>
        <v>0</v>
      </c>
      <c r="K32" s="2677"/>
      <c r="AL32" s="1388"/>
    </row>
    <row r="33" spans="2:38">
      <c r="B33" s="1394">
        <v>21</v>
      </c>
      <c r="C33" s="1379" t="s">
        <v>7439</v>
      </c>
      <c r="D33" s="2174" t="s">
        <v>2642</v>
      </c>
      <c r="E33" s="1417"/>
      <c r="F33" s="2172" t="e">
        <f>ROUND(ROUND('Calc Data'!I23,0)*'Data Entry - SOF'!M189*Weights!O28,0)</f>
        <v>#REF!</v>
      </c>
      <c r="G33" s="2172"/>
      <c r="H33" s="1417"/>
      <c r="I33" s="2480">
        <f>ROUND(Assumptions!H181*'Data Entry - SOF'!M189*'Weights-HB3'!N31,0)</f>
        <v>0</v>
      </c>
      <c r="J33" s="2486">
        <f t="shared" si="0"/>
        <v>0</v>
      </c>
      <c r="K33" s="2677"/>
      <c r="AL33" s="1388" t="e">
        <f>ROUND(ROUND('Calc Data'!AA23,0)*'Data Entry - SOF'!#REF!*0.12,0)</f>
        <v>#REF!</v>
      </c>
    </row>
    <row r="34" spans="2:38">
      <c r="B34" s="1394"/>
      <c r="C34" s="1379" t="s">
        <v>7439</v>
      </c>
      <c r="D34" s="1372" t="s">
        <v>376</v>
      </c>
      <c r="F34" s="1388" t="e">
        <f>IF('Data Entry - SOF'!#REF!&lt;0,'Data Entry - SOF'!#REF!,'Data Entry - SOF'!#REF!*-1)</f>
        <v>#REF!</v>
      </c>
      <c r="G34" s="1388"/>
      <c r="I34" s="2477">
        <f>IF('Data Entry - SOF'!M95&lt;0,'Data Entry - SOF'!M95,'Data Entry - SOF'!M95*-1)</f>
        <v>0</v>
      </c>
      <c r="J34" s="2486">
        <f t="shared" si="0"/>
        <v>0</v>
      </c>
      <c r="K34" s="2677"/>
      <c r="AL34" s="1388">
        <v>0</v>
      </c>
    </row>
    <row r="35" spans="2:38">
      <c r="B35" s="1394" t="s">
        <v>2357</v>
      </c>
      <c r="C35" s="1404" t="s">
        <v>7439</v>
      </c>
      <c r="D35" s="1424" t="s">
        <v>2732</v>
      </c>
      <c r="E35" s="1406"/>
      <c r="F35" s="1408" t="e">
        <f>ROUND(ROUND('Calc Data'!I23,0)*'Data Entry - SOF'!#REF!*Weights!O30,0)</f>
        <v>#REF!</v>
      </c>
      <c r="G35" s="1408"/>
      <c r="H35" s="1408"/>
      <c r="I35" s="2481"/>
      <c r="J35" s="2486">
        <f t="shared" si="0"/>
        <v>0</v>
      </c>
      <c r="K35" s="2677"/>
      <c r="AL35" s="1388" t="e">
        <f>ROUND(ROUND('Calc Data'!AA23,0)*'Data Entry - SOF'!#REF!*0.2,0)</f>
        <v>#REF!</v>
      </c>
    </row>
    <row r="36" spans="2:38">
      <c r="B36" s="1394"/>
      <c r="C36" s="1404" t="s">
        <v>7439</v>
      </c>
      <c r="D36" s="1405" t="s">
        <v>7465</v>
      </c>
      <c r="E36" s="1406"/>
      <c r="F36" s="1408"/>
      <c r="G36" s="1408"/>
      <c r="H36" s="1408"/>
      <c r="I36" s="2481">
        <f>ROUND(Assumptions!H181*'Data Entry - SOF'!M49*'Weights-HB3'!N34,0)</f>
        <v>0</v>
      </c>
      <c r="J36" s="2486">
        <f t="shared" si="0"/>
        <v>0</v>
      </c>
      <c r="K36" s="2677"/>
      <c r="AL36" s="1388"/>
    </row>
    <row r="37" spans="2:38">
      <c r="B37" s="1394"/>
      <c r="C37" s="1404" t="s">
        <v>7439</v>
      </c>
      <c r="D37" s="1405" t="s">
        <v>7484</v>
      </c>
      <c r="E37" s="1406"/>
      <c r="F37" s="1408"/>
      <c r="G37" s="1408"/>
      <c r="H37" s="1408"/>
      <c r="I37" s="2481">
        <f>ROUND(Assumptions!H181*'Data Entry - SOF'!M51*'Weights-HB3'!N36,0)</f>
        <v>0</v>
      </c>
      <c r="J37" s="2486">
        <f t="shared" si="0"/>
        <v>0</v>
      </c>
      <c r="K37" s="2677"/>
      <c r="AL37" s="1388"/>
    </row>
    <row r="38" spans="2:38">
      <c r="B38" s="1394"/>
      <c r="C38" s="1404" t="s">
        <v>7439</v>
      </c>
      <c r="D38" s="1405" t="s">
        <v>7485</v>
      </c>
      <c r="E38" s="1406"/>
      <c r="F38" s="1408"/>
      <c r="G38" s="1408"/>
      <c r="H38" s="1408"/>
      <c r="I38" s="2481">
        <f>ROUND(Assumptions!H181*'Data Entry - SOF'!M52*'Weights-HB3'!N37,0)</f>
        <v>0</v>
      </c>
      <c r="J38" s="2486">
        <f t="shared" si="0"/>
        <v>0</v>
      </c>
      <c r="K38" s="2677"/>
      <c r="AL38" s="1388"/>
    </row>
    <row r="39" spans="2:38">
      <c r="B39" s="1394"/>
      <c r="C39" s="1404" t="s">
        <v>7439</v>
      </c>
      <c r="D39" s="1405" t="s">
        <v>7486</v>
      </c>
      <c r="E39" s="1406"/>
      <c r="F39" s="1408"/>
      <c r="G39" s="1408"/>
      <c r="H39" s="1408"/>
      <c r="I39" s="2481">
        <f>ROUND(Assumptions!H181*'Data Entry - SOF'!M53*'Weights-HB3'!N38,0)</f>
        <v>0</v>
      </c>
      <c r="J39" s="2486">
        <f t="shared" si="0"/>
        <v>0</v>
      </c>
      <c r="K39" s="2677"/>
      <c r="AL39" s="1388"/>
    </row>
    <row r="40" spans="2:38">
      <c r="B40" s="1394"/>
      <c r="C40" s="1404" t="s">
        <v>7439</v>
      </c>
      <c r="D40" s="1405" t="s">
        <v>7487</v>
      </c>
      <c r="E40" s="1406"/>
      <c r="F40" s="1408"/>
      <c r="G40" s="1408"/>
      <c r="H40" s="1408"/>
      <c r="I40" s="2481">
        <f>ROUND(Assumptions!H181*'Data Entry - SOF'!M54*'Weights-HB3'!N39,0)</f>
        <v>0</v>
      </c>
      <c r="J40" s="2486">
        <f t="shared" si="0"/>
        <v>0</v>
      </c>
      <c r="K40" s="2677"/>
      <c r="AL40" s="1388"/>
    </row>
    <row r="41" spans="2:38">
      <c r="B41" s="1394"/>
      <c r="C41" s="1404" t="s">
        <v>7439</v>
      </c>
      <c r="D41" s="1405" t="s">
        <v>7488</v>
      </c>
      <c r="E41" s="1406"/>
      <c r="F41" s="1408"/>
      <c r="G41" s="1408"/>
      <c r="H41" s="1408"/>
      <c r="I41" s="2481">
        <f>ROUND(Assumptions!H181*'Data Entry - SOF'!M55*'Weights-HB3'!N40,0)</f>
        <v>0</v>
      </c>
      <c r="J41" s="2486">
        <f t="shared" si="0"/>
        <v>0</v>
      </c>
      <c r="K41" s="2677"/>
      <c r="L41" s="1473">
        <f>SUM(I37:I41)</f>
        <v>0</v>
      </c>
      <c r="AL41" s="1388"/>
    </row>
    <row r="42" spans="2:38">
      <c r="B42" s="1394" t="s">
        <v>2357</v>
      </c>
      <c r="C42" s="1379" t="s">
        <v>7439</v>
      </c>
      <c r="D42" s="1372" t="s">
        <v>377</v>
      </c>
      <c r="F42" s="1388" t="e">
        <f>ROUND(ROUND('Calc Data'!I23,0)*'Data Entry - SOF'!M33*Weights!O31,0)</f>
        <v>#REF!</v>
      </c>
      <c r="G42" s="1388"/>
      <c r="I42" s="2477">
        <f>ROUND(Assumptions!H181*'Data Entry - SOF'!M33*'Weights-HB3'!N43,0)</f>
        <v>0</v>
      </c>
      <c r="J42" s="2486">
        <f t="shared" si="0"/>
        <v>0</v>
      </c>
      <c r="K42" s="2677"/>
      <c r="AL42" s="1388" t="e">
        <f>ROUND(ROUND('Calc Data'!AA23,0)*'Data Entry - SOF'!#REF!*2.41,0)</f>
        <v>#REF!</v>
      </c>
    </row>
    <row r="43" spans="2:38">
      <c r="B43" s="1394">
        <v>25</v>
      </c>
      <c r="C43" s="1379" t="s">
        <v>7439</v>
      </c>
      <c r="D43" s="1372" t="s">
        <v>7450</v>
      </c>
      <c r="F43" s="1388" t="e">
        <f>ROUND(ROUND('Calc Data'!I23,0)*('Data Entry - SOF'!#REF!*Weights!O26),0)</f>
        <v>#REF!</v>
      </c>
      <c r="G43" s="1388"/>
      <c r="I43" s="2477">
        <f>ROUND(Assumptions!H181*'Data Entry - SOF'!M41*'Weights-HB3'!N26,0)</f>
        <v>0</v>
      </c>
      <c r="J43" s="2486">
        <f t="shared" si="0"/>
        <v>0</v>
      </c>
      <c r="K43" s="2677"/>
      <c r="AL43" s="1388" t="e">
        <f>ROUND(ROUND('Calc Data'!AA23,0)*('Data Entry - SOF'!#REF!*0.1),0)</f>
        <v>#REF!</v>
      </c>
    </row>
    <row r="44" spans="2:38">
      <c r="B44" s="1394"/>
      <c r="C44" s="1404" t="s">
        <v>7439</v>
      </c>
      <c r="D44" s="1424" t="s">
        <v>7451</v>
      </c>
      <c r="E44" s="1406"/>
      <c r="F44" s="1408"/>
      <c r="G44" s="1408"/>
      <c r="H44" s="1408"/>
      <c r="I44" s="2477">
        <f>ROUND(Assumptions!H181*'Data Entry - SOF'!M42*'Weights-HB3'!N27,0)</f>
        <v>0</v>
      </c>
      <c r="J44" s="2486">
        <f t="shared" si="0"/>
        <v>0</v>
      </c>
      <c r="K44" s="2677"/>
      <c r="AL44" s="1388"/>
    </row>
    <row r="45" spans="2:38">
      <c r="B45" s="1394"/>
      <c r="C45" s="1404" t="s">
        <v>7439</v>
      </c>
      <c r="D45" s="1424" t="s">
        <v>7452</v>
      </c>
      <c r="E45" s="1406"/>
      <c r="F45" s="1408"/>
      <c r="G45" s="1408"/>
      <c r="H45" s="1408"/>
      <c r="I45" s="2477">
        <f>ROUND(Assumptions!H181*'Data Entry - SOF'!M43*'Weights-HB3'!N28,0)</f>
        <v>0</v>
      </c>
      <c r="J45" s="2486">
        <f t="shared" si="0"/>
        <v>0</v>
      </c>
      <c r="K45" s="2677"/>
      <c r="AL45" s="1388"/>
    </row>
    <row r="46" spans="2:38">
      <c r="B46" s="1394"/>
      <c r="C46" s="1404" t="s">
        <v>7439</v>
      </c>
      <c r="D46" s="1424" t="s">
        <v>7436</v>
      </c>
      <c r="E46" s="1406"/>
      <c r="F46" s="1408"/>
      <c r="G46" s="1408"/>
      <c r="H46" s="1408"/>
      <c r="I46" s="2477">
        <f>ROUND(Assumptions!H181*'Data Entry - SOF'!M60*'Weights-HB3'!N72,0)</f>
        <v>0</v>
      </c>
      <c r="J46" s="2486">
        <f t="shared" si="0"/>
        <v>0</v>
      </c>
      <c r="K46" s="2677"/>
      <c r="AL46" s="1388"/>
    </row>
    <row r="47" spans="2:38">
      <c r="B47" s="1394"/>
      <c r="C47" s="1404" t="s">
        <v>7439</v>
      </c>
      <c r="D47" s="1424" t="s">
        <v>7628</v>
      </c>
      <c r="E47" s="1406"/>
      <c r="F47" s="1408"/>
      <c r="G47" s="1408"/>
      <c r="H47" s="1408"/>
      <c r="I47" s="2477">
        <f>Assumptions!H181*'Data Entry - SOF'!M45*'Weights-HB3'!N74</f>
        <v>0</v>
      </c>
      <c r="J47" s="2486">
        <f t="shared" si="0"/>
        <v>0</v>
      </c>
      <c r="K47" s="2677"/>
      <c r="AL47" s="1388"/>
    </row>
    <row r="48" spans="2:38">
      <c r="B48" s="1394"/>
      <c r="C48" s="1404" t="s">
        <v>7439</v>
      </c>
      <c r="D48" s="1424" t="s">
        <v>7827</v>
      </c>
      <c r="E48" s="1406"/>
      <c r="F48" s="1408"/>
      <c r="G48" s="1408"/>
      <c r="H48" s="1408"/>
      <c r="I48" s="2477">
        <f>('Data Entry - SOF'!M57*'Weights-HB3'!N113)+('Data Entry - SOF'!M58*'Weights-HB3'!N114)+('Data Entry - SOF'!M59*'Weights-HB3'!N115)</f>
        <v>0</v>
      </c>
      <c r="J48" s="2486">
        <f t="shared" si="0"/>
        <v>0</v>
      </c>
      <c r="K48" s="2677"/>
      <c r="AL48" s="1388"/>
    </row>
    <row r="49" spans="2:38">
      <c r="B49" s="1394">
        <v>31</v>
      </c>
      <c r="C49" s="1379" t="s">
        <v>7439</v>
      </c>
      <c r="D49" s="1415" t="s">
        <v>2296</v>
      </c>
      <c r="F49" s="1388" t="e">
        <f>Weights!O33*'Data Entry - SOF'!#REF!</f>
        <v>#REF!</v>
      </c>
      <c r="G49" s="1388"/>
      <c r="I49" s="2481"/>
      <c r="J49" s="2486">
        <f t="shared" si="0"/>
        <v>0</v>
      </c>
      <c r="K49" s="2677"/>
      <c r="AL49" s="1388" t="e">
        <f>#REF!</f>
        <v>#REF!</v>
      </c>
    </row>
    <row r="50" spans="2:38">
      <c r="B50" s="1394"/>
      <c r="C50" s="1379" t="s">
        <v>7439</v>
      </c>
      <c r="D50" s="1372" t="s">
        <v>825</v>
      </c>
      <c r="F50" s="1388" t="e">
        <f>ROUND(ROUND('Calc Data'!I23,0)*'Data Entry - SOF'!M46*Weights!O37,0)</f>
        <v>#REF!</v>
      </c>
      <c r="G50" s="1388"/>
      <c r="I50" s="2482">
        <f>ROUND(Assumptions!H181*'Data Entry - SOF'!M46*'Weights-HB3'!N49,0)</f>
        <v>0</v>
      </c>
      <c r="J50" s="2486">
        <f t="shared" si="0"/>
        <v>0</v>
      </c>
      <c r="K50" s="2677"/>
      <c r="AL50" s="1388" t="e">
        <f>ROUND(ROUND('Calc Data'!AA23,0)*'Data Entry - SOF'!#REF!*0.1,0)</f>
        <v>#REF!</v>
      </c>
    </row>
    <row r="51" spans="2:38">
      <c r="B51" s="1394"/>
      <c r="C51" s="2191" t="s">
        <v>7439</v>
      </c>
      <c r="D51" s="2174" t="s">
        <v>7538</v>
      </c>
      <c r="E51" s="1417"/>
      <c r="F51" s="2172"/>
      <c r="G51" s="2172"/>
      <c r="H51" s="2172"/>
      <c r="I51" s="2483" t="e">
        <f>'Data Entry - SOF'!M130*IF('Data Entry - SOF'!M131=1,'Weights-HB3'!N119,IF('Data Entry - SOF'!M132=2,'Weights-HB3'!N120,IF('Data Entry - SOF'!M133=3,'Weights-HB3'!N121)))*Assumptions!H154</f>
        <v>#DIV/0!</v>
      </c>
      <c r="J51" s="2486" t="e">
        <f t="shared" si="0"/>
        <v>#DIV/0!</v>
      </c>
      <c r="K51" s="2677"/>
      <c r="AL51" s="1388"/>
    </row>
    <row r="52" spans="2:38">
      <c r="B52" s="1394"/>
      <c r="C52" s="1404" t="s">
        <v>7439</v>
      </c>
      <c r="D52" s="1424" t="s">
        <v>7617</v>
      </c>
      <c r="E52" s="1406"/>
      <c r="F52" s="1408"/>
      <c r="G52" s="1408"/>
      <c r="H52" s="1408"/>
      <c r="I52" s="2482">
        <f>'Data Entry - SOF'!M89</f>
        <v>0</v>
      </c>
      <c r="J52" s="2486">
        <f t="shared" si="0"/>
        <v>0</v>
      </c>
      <c r="K52" s="2677"/>
      <c r="AL52" s="1388"/>
    </row>
    <row r="53" spans="2:38">
      <c r="B53" s="1394"/>
      <c r="C53" s="1404" t="s">
        <v>7439</v>
      </c>
      <c r="D53" s="1424" t="s">
        <v>7618</v>
      </c>
      <c r="E53" s="1406"/>
      <c r="F53" s="1408"/>
      <c r="G53" s="1408"/>
      <c r="H53" s="1408"/>
      <c r="I53" s="2482">
        <f>'Data Entry - SOF'!M90</f>
        <v>0</v>
      </c>
      <c r="J53" s="2486">
        <f t="shared" si="0"/>
        <v>0</v>
      </c>
      <c r="K53" s="2677"/>
      <c r="AL53" s="1388"/>
    </row>
    <row r="54" spans="2:38">
      <c r="B54" s="1394"/>
      <c r="C54" s="1404" t="s">
        <v>7439</v>
      </c>
      <c r="D54" s="1424" t="s">
        <v>7669</v>
      </c>
      <c r="E54" s="1406"/>
      <c r="F54" s="1408"/>
      <c r="G54" s="1408"/>
      <c r="H54" s="1408"/>
      <c r="I54" s="2482">
        <f>'Data Entry - SOF'!M19*'Weights-HB3'!N68</f>
        <v>0</v>
      </c>
      <c r="J54" s="2486">
        <f t="shared" si="0"/>
        <v>0</v>
      </c>
      <c r="K54" s="2677"/>
      <c r="L54" s="1415"/>
      <c r="AL54" s="1388"/>
    </row>
    <row r="55" spans="2:38">
      <c r="B55" s="1394"/>
      <c r="C55" s="1404" t="s">
        <v>7439</v>
      </c>
      <c r="D55" s="1424" t="s">
        <v>7828</v>
      </c>
      <c r="E55" s="1406"/>
      <c r="F55" s="1408"/>
      <c r="G55" s="1408"/>
      <c r="H55" s="1408"/>
      <c r="I55" s="1411">
        <f>'Data Entry - SOF'!M103</f>
        <v>0</v>
      </c>
      <c r="J55" s="2486">
        <f t="shared" si="0"/>
        <v>0</v>
      </c>
      <c r="K55" s="2677"/>
      <c r="L55" s="1415"/>
      <c r="AL55" s="1388"/>
    </row>
    <row r="56" spans="2:38">
      <c r="B56" s="1394"/>
      <c r="C56" s="1379" t="s">
        <v>7440</v>
      </c>
      <c r="D56" s="1415" t="s">
        <v>3291</v>
      </c>
      <c r="F56" s="1427">
        <f>'Data Entry - SOF'!M47*Weights!O35</f>
        <v>0</v>
      </c>
      <c r="G56" s="1388"/>
      <c r="I56" s="2481">
        <f>'Data Entry - SOF'!M47*'Weights-HB3'!N47</f>
        <v>0</v>
      </c>
      <c r="J56" s="2486">
        <f t="shared" si="0"/>
        <v>0</v>
      </c>
      <c r="K56" s="2677"/>
      <c r="AL56" s="1388" t="e">
        <f>'Data Entry - SOF'!#REF!*250</f>
        <v>#REF!</v>
      </c>
    </row>
    <row r="57" spans="2:38">
      <c r="B57" s="1394">
        <v>99</v>
      </c>
      <c r="C57" s="1379" t="s">
        <v>7440</v>
      </c>
      <c r="D57" s="1372" t="s">
        <v>7454</v>
      </c>
      <c r="F57" s="1429" t="e">
        <f>'Data Entry - SOF'!#REF!</f>
        <v>#REF!</v>
      </c>
      <c r="G57" s="1388"/>
      <c r="I57" s="2481">
        <f>('Data Entry - SOF'!M83*'Weights-HB3'!N70)+'Data Entry - SOF'!M84+'Data Entry - SOF'!M85+'Data Entry - SOF'!M86</f>
        <v>0</v>
      </c>
      <c r="J57" s="2486">
        <f t="shared" si="0"/>
        <v>0</v>
      </c>
      <c r="K57" s="2677"/>
      <c r="AL57" s="1429" t="e">
        <f>'Data Entry - SOF'!#REF!</f>
        <v>#REF!</v>
      </c>
    </row>
    <row r="58" spans="2:38">
      <c r="B58" s="1394"/>
      <c r="C58" s="1404" t="s">
        <v>7440</v>
      </c>
      <c r="D58" s="1424" t="s">
        <v>7559</v>
      </c>
      <c r="E58" s="1406"/>
      <c r="F58" s="1408"/>
      <c r="G58" s="1408"/>
      <c r="H58" s="1408"/>
      <c r="I58" s="2481">
        <f>'Data Entry - SOF'!M48*'Weights-HB3'!G125</f>
        <v>0</v>
      </c>
      <c r="J58" s="2486">
        <f t="shared" si="0"/>
        <v>0</v>
      </c>
      <c r="K58" s="2677"/>
      <c r="AL58" s="1388"/>
    </row>
    <row r="59" spans="2:38">
      <c r="B59" s="1394"/>
      <c r="C59" s="1404" t="s">
        <v>7440</v>
      </c>
      <c r="D59" s="1424" t="s">
        <v>7467</v>
      </c>
      <c r="E59" s="1406"/>
      <c r="F59" s="1408"/>
      <c r="G59" s="1408"/>
      <c r="H59" s="1408"/>
      <c r="I59" s="2481">
        <f>'Data Entry - SOF'!M87</f>
        <v>0</v>
      </c>
      <c r="J59" s="2486">
        <f t="shared" si="0"/>
        <v>0</v>
      </c>
      <c r="K59" s="2677"/>
      <c r="AL59" s="1388"/>
    </row>
    <row r="60" spans="2:38">
      <c r="B60" s="1394"/>
      <c r="C60" s="1404" t="s">
        <v>7440</v>
      </c>
      <c r="D60" s="1424" t="s">
        <v>7625</v>
      </c>
      <c r="E60" s="1406"/>
      <c r="F60" s="1408"/>
      <c r="G60" s="1408"/>
      <c r="H60" s="1408"/>
      <c r="I60" s="2484">
        <f>'Data Entry - SOF'!M88</f>
        <v>0</v>
      </c>
      <c r="J60" s="2487">
        <f t="shared" si="0"/>
        <v>0</v>
      </c>
      <c r="K60" s="2677"/>
      <c r="AL60" s="1388"/>
    </row>
    <row r="61" spans="2:38">
      <c r="D61" s="1372" t="s">
        <v>497</v>
      </c>
      <c r="F61" s="1388" t="e">
        <f>SUM(F20:F57)</f>
        <v>#REF!</v>
      </c>
      <c r="G61" s="1388"/>
      <c r="I61" s="2488" t="e">
        <f>SUM(I20:I60)</f>
        <v>#DIV/0!</v>
      </c>
      <c r="J61" s="2486" t="e">
        <f t="shared" si="0"/>
        <v>#DIV/0!</v>
      </c>
      <c r="K61" s="2670" t="e">
        <f>I61</f>
        <v>#DIV/0!</v>
      </c>
      <c r="L61" s="1435" t="e">
        <f>(I61-I55-I56-I57-I58-I59-I60-I28-I34)/Assumptions!H181</f>
        <v>#DIV/0!</v>
      </c>
      <c r="M61" s="1436" t="s">
        <v>7443</v>
      </c>
      <c r="AL61" s="1388" t="e">
        <f>SUM(AL20:AL57)</f>
        <v>#REF!</v>
      </c>
    </row>
    <row r="62" spans="2:38">
      <c r="D62" s="1372" t="s">
        <v>741</v>
      </c>
      <c r="F62" s="1437">
        <f>IF('Data Entry - SOF'!M123&gt;1,1*('Data Entry - SOF'!M63/100),'Data Entry - SOF'!M123*('Data Entry - SOF'!M63/100))</f>
        <v>0</v>
      </c>
      <c r="G62" s="1438"/>
      <c r="I62" s="2484" t="e">
        <f>('Data Entry - SOF'!M72/100)*'Data Entry - SOF'!M66</f>
        <v>#DIV/0!</v>
      </c>
      <c r="J62" s="2489" t="e">
        <f>('HH2627-40KCalcs'!H12/100)*'Data Entry - SOF'!M63</f>
        <v>#DIV/0!</v>
      </c>
      <c r="K62" s="2489" t="e">
        <f>('HH2627-40KCalcs'!G12/100)*'Data Entry - SOF'!M66</f>
        <v>#DIV/0!</v>
      </c>
      <c r="AL62" s="1437" t="e">
        <f>#REF!</f>
        <v>#REF!</v>
      </c>
    </row>
    <row r="63" spans="2:38">
      <c r="D63" s="1372" t="s">
        <v>740</v>
      </c>
      <c r="F63" s="1438" t="e">
        <f>F61-F62</f>
        <v>#REF!</v>
      </c>
      <c r="G63" s="1438"/>
      <c r="I63" s="1432" t="e">
        <f>I61-I62</f>
        <v>#DIV/0!</v>
      </c>
      <c r="J63" s="1442" t="e">
        <f>J61-J62</f>
        <v>#DIV/0!</v>
      </c>
      <c r="K63" s="2672" t="e">
        <f>K61-K62</f>
        <v>#DIV/0!</v>
      </c>
      <c r="AL63" s="1438" t="e">
        <f>AL61-AL62</f>
        <v>#REF!</v>
      </c>
    </row>
    <row r="64" spans="2:38">
      <c r="D64" s="1372"/>
      <c r="G64" s="1438"/>
      <c r="I64" s="1416"/>
      <c r="J64" s="1443"/>
      <c r="K64" s="2678"/>
      <c r="N64" s="1444"/>
      <c r="AL64" s="1438"/>
    </row>
    <row r="65" spans="4:38">
      <c r="D65" s="1445" t="s">
        <v>7458</v>
      </c>
      <c r="G65" s="1438"/>
      <c r="I65" s="1416"/>
      <c r="J65" s="1443"/>
      <c r="K65" s="2678"/>
      <c r="N65" s="1444"/>
      <c r="AL65" s="1438"/>
    </row>
    <row r="66" spans="4:38">
      <c r="D66" s="1372" t="s">
        <v>7616</v>
      </c>
      <c r="F66" s="1425" t="e">
        <f>IF(F63&lt;F99+F49+F56+#REF!+#REF!,F99+F49+F56+#REF!+#REF!,F63)</f>
        <v>#REF!</v>
      </c>
      <c r="G66" s="1438"/>
      <c r="I66" s="1423" t="e">
        <f>IF(I63&lt;I99,I99,I63)</f>
        <v>#DIV/0!</v>
      </c>
      <c r="J66" s="1428" t="e">
        <f>IF(J63&lt;J99,J99,J63)</f>
        <v>#DIV/0!</v>
      </c>
      <c r="K66" s="1423" t="e">
        <f>IF(K63&lt;J99,J99,K63)</f>
        <v>#DIV/0!</v>
      </c>
    </row>
    <row r="67" spans="4:38" hidden="1">
      <c r="D67" s="1372" t="s">
        <v>2150</v>
      </c>
      <c r="G67" s="1438" t="e">
        <f>ROUND(IF((24.7*'Calc Data'!#REF!*IF('Calc Data'!#REF!&gt;=0.64,0.64,'Calc Data'!#REF!)*100)&lt;'Calc Data'!#REF!,0,(24.7*'Calc Data'!#REF!*IF('Calc Data'!#REF!&gt;=0.64,0.64,'Calc Data'!#REF!)*100)-'Calc Data'!#REF!),0)</f>
        <v>#REF!</v>
      </c>
      <c r="I67" s="1447"/>
      <c r="J67" s="1448"/>
      <c r="K67" s="2678"/>
    </row>
    <row r="68" spans="4:38">
      <c r="D68" s="1372"/>
      <c r="G68" s="1438"/>
      <c r="I68" s="1447"/>
      <c r="J68" s="2468"/>
      <c r="K68" s="2678"/>
    </row>
    <row r="69" spans="4:38">
      <c r="D69" s="2062" t="s">
        <v>8117</v>
      </c>
      <c r="E69" s="2063"/>
      <c r="F69" s="2063"/>
      <c r="G69" s="2064"/>
      <c r="H69" s="2065"/>
      <c r="I69" s="2079" t="s">
        <v>8149</v>
      </c>
      <c r="J69" s="1443"/>
      <c r="K69" s="2678"/>
    </row>
    <row r="70" spans="4:38">
      <c r="D70" s="1372" t="s">
        <v>7489</v>
      </c>
      <c r="G70" s="1438"/>
      <c r="I70" s="1423" t="e">
        <f>IF(I62&gt;I61-I99,I62-(I61-I99),0)</f>
        <v>#DIV/0!</v>
      </c>
      <c r="J70" s="1428" t="e">
        <f>IF(J62&gt;J61-J99,J62-(J61-J99),0)</f>
        <v>#DIV/0!</v>
      </c>
      <c r="K70" s="1423" t="e">
        <f>IF(K62&gt;K61-J99,K62-(K61-J99),0)</f>
        <v>#DIV/0!</v>
      </c>
    </row>
    <row r="71" spans="4:38">
      <c r="D71" s="1372" t="s">
        <v>7695</v>
      </c>
      <c r="G71" s="1438"/>
      <c r="I71" s="1439" t="e">
        <f>IF(I70=0,0,IF('Calc Data'!I113-I70&lt;I61-I99,(I61-I99-('Calc Data'!I113-I70))*-1,0))</f>
        <v>#DIV/0!</v>
      </c>
      <c r="J71" s="2467" t="e">
        <f>IF(J70=0,0,IF('Calc Data'!S113-J70&lt;J61-J99,(J61-J99-('Calc Data'!S113-J70))*-1,0))</f>
        <v>#DIV/0!</v>
      </c>
      <c r="K71" s="2679" t="e">
        <f>IF(K70=0,0,IF('Calc Data'!N113-K70&lt;K61-I99,(K61-I99-('Calc Data'!N113-K70))*-1,0))</f>
        <v>#DIV/0!</v>
      </c>
    </row>
    <row r="72" spans="4:38">
      <c r="D72" s="1451" t="s">
        <v>7490</v>
      </c>
      <c r="E72" s="1452"/>
      <c r="F72" s="1453"/>
      <c r="G72" s="1455"/>
      <c r="I72" s="1454" t="e">
        <f>IF(I70+I71&lt;=0,0,I70+I71)</f>
        <v>#DIV/0!</v>
      </c>
      <c r="J72" s="2490" t="e">
        <f>IF(J70+J71&lt;=0,0,J70+J71)</f>
        <v>#DIV/0!</v>
      </c>
      <c r="K72" s="2680" t="e">
        <f>IF(K70+K71&lt;=0,0,K70+K71)</f>
        <v>#DIV/0!</v>
      </c>
    </row>
    <row r="73" spans="4:38">
      <c r="D73" s="1451" t="s">
        <v>7687</v>
      </c>
      <c r="E73" s="1452"/>
      <c r="F73" s="1452"/>
      <c r="G73" s="1455"/>
      <c r="I73" s="1423" t="e">
        <f>'Data Entry - SOF'!M111*(I72/'Data Entry - SOF'!M75)</f>
        <v>#DIV/0!</v>
      </c>
      <c r="J73" s="1428" t="e">
        <f>'Data Entry - SOF'!M111*(J72/'Data Entry - SOF'!M78)</f>
        <v>#DIV/0!</v>
      </c>
      <c r="K73" s="2671" t="e">
        <f>'Data Entry - SOF'!M111*(K72/'HH2627-40KCalcs'!C12)</f>
        <v>#DIV/0!</v>
      </c>
    </row>
    <row r="74" spans="4:38">
      <c r="D74" s="1457" t="s">
        <v>7688</v>
      </c>
      <c r="E74" s="1458"/>
      <c r="F74" s="1458"/>
      <c r="G74" s="1459"/>
      <c r="H74" s="2521"/>
      <c r="I74" s="1460" t="e">
        <f>IF(I72-I73&lt;=0,0,I72-I73)</f>
        <v>#DIV/0!</v>
      </c>
      <c r="J74" s="2491" t="e">
        <f>IF(J72-J73&lt;=0,0,J72-J73)</f>
        <v>#DIV/0!</v>
      </c>
      <c r="K74" s="2681" t="e">
        <f>IF(K72-K73&lt;=0,0,K72-K73)</f>
        <v>#DIV/0!</v>
      </c>
    </row>
    <row r="75" spans="4:38">
      <c r="D75" s="1372"/>
      <c r="G75" s="1438"/>
      <c r="I75" s="1416"/>
      <c r="J75" s="2492"/>
      <c r="K75" s="2677"/>
    </row>
    <row r="76" spans="4:38">
      <c r="D76" s="1372" t="s">
        <v>7403</v>
      </c>
      <c r="F76" s="1438">
        <f>ROUND(IF((Assumptions!G119*'Calc Data'!I25*'Calc Data'!I35*100)&lt;'Calc Data'!I42,0,(Assumptions!G119*'Calc Data'!I25*'Calc Data'!I35*100)-'Calc Data'!I42),0)</f>
        <v>0</v>
      </c>
      <c r="G76" s="1438"/>
      <c r="I76" s="1461" t="e">
        <f>ROUND(IF((Assumptions!H182*L61*'Calc Data'!I105*100)&lt;'Calc Data'!I106,0,(Assumptions!H182*L61*'Calc Data'!I105*100)-'Calc Data'!I106),0)</f>
        <v>#DIV/0!</v>
      </c>
      <c r="J76" s="2493" t="e">
        <f>ROUND(IF((Assumptions!H182*L61*'Calc Data'!S105*100)&lt;'Calc Data'!S106,0,(Assumptions!H182*L61*'Calc Data'!S105*100)-'Calc Data'!S106),0)</f>
        <v>#DIV/0!</v>
      </c>
      <c r="K76" s="2672" t="e">
        <f>ROUND(IF((Assumptions!H182*L61*'Calc Data'!N105*100)&lt;'Calc Data'!N106,0,(Assumptions!H182*L61*'Calc Data'!N105*100)-'Calc Data'!N106),0)</f>
        <v>#DIV/0!</v>
      </c>
    </row>
    <row r="77" spans="4:38">
      <c r="D77" s="1372" t="s">
        <v>7457</v>
      </c>
      <c r="F77" s="1464">
        <f>ROUND(IF((Assumptions!G120*'Calc Data'!I25*'Calc Data'!I38*100)&lt;'Calc Data'!I43,0,(Assumptions!G120*'Calc Data'!I25*'Calc Data'!I38*100)-'Calc Data'!I43),0)</f>
        <v>0</v>
      </c>
      <c r="G77" s="1438"/>
      <c r="I77" s="1465" t="e">
        <f>ROUND(IF((Assumptions!H183*L61*'Calc Data'!I110*100)&lt;'Calc Data'!I111,0,(Assumptions!H183*L61*'Calc Data'!I110*100)-'Calc Data'!I111),0)</f>
        <v>#DIV/0!</v>
      </c>
      <c r="J77" s="2494" t="e">
        <f>ROUND(IF((Assumptions!H183*L61*'Calc Data'!S110*100)&lt;'Calc Data'!S111,0,(Assumptions!H183*L61*'Calc Data'!S110*100)-'Calc Data'!S111),0)</f>
        <v>#DIV/0!</v>
      </c>
      <c r="K77" s="2682" t="e">
        <f>ROUND(IF((Assumptions!H183*L61*'Calc Data'!N110*100)&lt;'Calc Data'!N111,0,(Assumptions!H183*L61*'Calc Data'!N110*100)-'Calc Data'!N111),0)</f>
        <v>#DIV/0!</v>
      </c>
    </row>
    <row r="78" spans="4:38">
      <c r="D78" s="1468" t="s">
        <v>7459</v>
      </c>
      <c r="F78" s="1438">
        <f>SUM(F67:F77)</f>
        <v>0</v>
      </c>
      <c r="G78" s="1438"/>
      <c r="I78" s="1432" t="e">
        <f>I76+I77</f>
        <v>#DIV/0!</v>
      </c>
      <c r="J78" s="2495" t="e">
        <f>J76+J77</f>
        <v>#DIV/0!</v>
      </c>
      <c r="K78" s="2673" t="e">
        <f>K76+K77</f>
        <v>#DIV/0!</v>
      </c>
    </row>
    <row r="79" spans="4:38">
      <c r="D79" s="1372"/>
      <c r="F79" s="1438"/>
      <c r="G79" s="1438"/>
      <c r="I79" s="1432"/>
      <c r="J79" s="2495"/>
      <c r="K79" s="2677"/>
    </row>
    <row r="80" spans="4:38">
      <c r="D80" s="1451" t="s">
        <v>7491</v>
      </c>
      <c r="E80" s="1452"/>
      <c r="F80" s="1469"/>
      <c r="G80" s="1455"/>
      <c r="I80" s="1461" t="e">
        <f>ROUND(IF((Assumptions!H183*L61*'Calc Data'!I110*100)&lt;'Calc Data'!I111,'Calc Data'!I111-(Assumptions!H183*L61*'Calc Data'!I110*100)),0)</f>
        <v>#DIV/0!</v>
      </c>
      <c r="J80" s="2493" t="e">
        <f>ROUND(IF((Assumptions!H183*L61*'Calc Data'!S110*100)&lt;'Calc Data'!S111,'Calc Data'!S111-(Assumptions!H183*L61*'Calc Data'!S110*100)),0)</f>
        <v>#DIV/0!</v>
      </c>
      <c r="K80" s="2672" t="e">
        <f>ROUND(IF((Assumptions!H183*L61*'Calc Data'!N110*100)&lt;'Calc Data'!N111,'Calc Data'!N111-(Assumptions!H183*L61*'Calc Data'!N110*100)),0)</f>
        <v>#DIV/0!</v>
      </c>
    </row>
    <row r="81" spans="1:13">
      <c r="D81" s="1451" t="s">
        <v>7687</v>
      </c>
      <c r="E81" s="1452"/>
      <c r="F81" s="1455"/>
      <c r="G81" s="1455"/>
      <c r="I81" s="1461" t="e">
        <f>'Data Entry - SOF'!M111*(I80/'Data Entry - SOF'!M75)</f>
        <v>#DIV/0!</v>
      </c>
      <c r="J81" s="2667" t="e">
        <f>'Data Entry - SOF'!M111*(J80/'HH2627-40KCalcs'!D12)</f>
        <v>#DIV/0!</v>
      </c>
      <c r="K81" s="2674" t="e">
        <f>'Data Entry - SOF'!M111*(K80/'HH2627-40KCalcs'!C12)</f>
        <v>#DIV/0!</v>
      </c>
    </row>
    <row r="82" spans="1:13">
      <c r="D82" s="2068" t="s">
        <v>7689</v>
      </c>
      <c r="E82" s="2063"/>
      <c r="F82" s="2064"/>
      <c r="G82" s="2064"/>
      <c r="H82" s="2065"/>
      <c r="I82" s="2069" t="e">
        <f>I80-I81</f>
        <v>#DIV/0!</v>
      </c>
      <c r="J82" s="2496" t="e">
        <f>J80-J81</f>
        <v>#DIV/0!</v>
      </c>
      <c r="K82" s="2683" t="e">
        <f>K80-K81</f>
        <v>#DIV/0!</v>
      </c>
    </row>
    <row r="83" spans="1:13">
      <c r="D83" s="1372"/>
      <c r="G83" s="1438"/>
      <c r="I83" s="1416"/>
      <c r="J83" s="2492"/>
    </row>
    <row r="84" spans="1:13">
      <c r="D84" s="1372" t="s">
        <v>691</v>
      </c>
      <c r="G84" s="1438"/>
      <c r="I84" s="1416"/>
      <c r="J84" s="2492"/>
    </row>
    <row r="85" spans="1:13">
      <c r="D85" s="1372" t="s">
        <v>714</v>
      </c>
      <c r="F85" s="1438">
        <f>'Data Entry - SOF'!M101</f>
        <v>0</v>
      </c>
      <c r="G85" s="1438"/>
      <c r="I85" s="1432">
        <f>'Data Entry - SOF'!M101</f>
        <v>0</v>
      </c>
      <c r="J85" s="2495">
        <f t="shared" ref="J85:J91" si="1">I85</f>
        <v>0</v>
      </c>
      <c r="L85" s="1473"/>
      <c r="M85" s="1472"/>
    </row>
    <row r="86" spans="1:13">
      <c r="D86" s="1372" t="s">
        <v>2737</v>
      </c>
      <c r="F86" s="1438">
        <f>'Data Entry - SOF'!M100</f>
        <v>0</v>
      </c>
      <c r="G86" s="1438"/>
      <c r="I86" s="1432">
        <f>'Data Entry - SOF'!M100</f>
        <v>0</v>
      </c>
      <c r="J86" s="2495">
        <f t="shared" si="1"/>
        <v>0</v>
      </c>
      <c r="L86" s="1473"/>
      <c r="M86" s="1472"/>
    </row>
    <row r="87" spans="1:13">
      <c r="D87" s="1372" t="s">
        <v>7756</v>
      </c>
      <c r="F87" s="1438" t="e">
        <f>'Data Entry - SOF'!#REF!</f>
        <v>#REF!</v>
      </c>
      <c r="G87" s="1438"/>
      <c r="I87" s="1432" t="e">
        <f>'HH2627-40KCalcs'!D26</f>
        <v>#DIV/0!</v>
      </c>
      <c r="J87" s="2495"/>
      <c r="L87" s="1473"/>
      <c r="M87" s="1472"/>
    </row>
    <row r="88" spans="1:13">
      <c r="D88" s="1372" t="s">
        <v>2738</v>
      </c>
      <c r="F88" s="1438">
        <f>'Data Entry - SOF'!M102</f>
        <v>0</v>
      </c>
      <c r="G88" s="1438"/>
      <c r="I88" s="1432">
        <f>'Data Entry - SOF'!M102</f>
        <v>0</v>
      </c>
      <c r="J88" s="2495">
        <f t="shared" si="1"/>
        <v>0</v>
      </c>
      <c r="L88" s="1473"/>
      <c r="M88" s="1472"/>
    </row>
    <row r="89" spans="1:13">
      <c r="D89" s="1372" t="s">
        <v>692</v>
      </c>
      <c r="F89" s="1474" t="e">
        <f>(('Data Entry - SOF'!#REF!/'Calc Data'!#REF!)*'Data Entry - SOF'!M93)*-1</f>
        <v>#REF!</v>
      </c>
      <c r="G89" s="1438"/>
      <c r="I89" s="1475">
        <f>IF('Data Entry - SOF'!M93&lt;0,'Data Entry - SOF'!M93, 'Data Entry - SOF'!M93*-1)</f>
        <v>0</v>
      </c>
      <c r="J89" s="1475">
        <f t="shared" si="1"/>
        <v>0</v>
      </c>
      <c r="L89" s="1473"/>
      <c r="M89" s="1472"/>
    </row>
    <row r="90" spans="1:13">
      <c r="D90" s="1372" t="s">
        <v>693</v>
      </c>
      <c r="F90" s="1474" t="e">
        <f>(('Data Entry - SOF'!#REF!/'Calc Data'!#REF!)*'Data Entry - SOF'!M94)*-1</f>
        <v>#REF!</v>
      </c>
      <c r="G90" s="1438"/>
      <c r="I90" s="1475">
        <f>IF('Data Entry - SOF'!M94&lt;0,'Data Entry - SOF'!M94, 'Data Entry - SOF'!M94*-1)</f>
        <v>0</v>
      </c>
      <c r="J90" s="1475">
        <f t="shared" si="1"/>
        <v>0</v>
      </c>
      <c r="L90" s="1473"/>
      <c r="M90" s="1472"/>
    </row>
    <row r="91" spans="1:13">
      <c r="D91" s="1372" t="s">
        <v>8147</v>
      </c>
      <c r="F91" s="1476" t="e">
        <f>'Data Entry - SOF'!#REF!</f>
        <v>#REF!</v>
      </c>
      <c r="G91" s="1438"/>
      <c r="I91" s="1728">
        <f>'Data Entry - SOF'!M116</f>
        <v>0</v>
      </c>
      <c r="J91" s="2497">
        <f t="shared" si="1"/>
        <v>0</v>
      </c>
      <c r="L91" s="1473"/>
      <c r="M91" s="1472"/>
    </row>
    <row r="92" spans="1:13">
      <c r="D92" s="1477" t="s">
        <v>7460</v>
      </c>
      <c r="F92" s="1438" t="e">
        <f>SUM(F85:F91)</f>
        <v>#REF!</v>
      </c>
      <c r="G92" s="1438"/>
      <c r="I92" s="1432" t="e">
        <f>SUM(I85:I91)</f>
        <v>#DIV/0!</v>
      </c>
      <c r="J92" s="2495">
        <f>SUM(J85:J91)</f>
        <v>0</v>
      </c>
      <c r="L92" s="1473"/>
      <c r="M92" s="1472"/>
    </row>
    <row r="93" spans="1:13">
      <c r="D93" s="1478"/>
      <c r="F93" s="1415"/>
      <c r="G93" s="1438"/>
      <c r="I93" s="1416"/>
      <c r="J93" s="2492"/>
      <c r="L93" s="1473"/>
      <c r="M93" s="1472"/>
    </row>
    <row r="94" spans="1:13">
      <c r="D94" s="1372" t="s">
        <v>2258</v>
      </c>
      <c r="F94" s="1438" t="e">
        <f>F99*-1</f>
        <v>#REF!</v>
      </c>
      <c r="G94" s="1438"/>
      <c r="I94" s="1432">
        <f>I99*-1</f>
        <v>0</v>
      </c>
      <c r="J94" s="2495">
        <f>J99*-1</f>
        <v>0</v>
      </c>
      <c r="L94" s="1473"/>
      <c r="M94" s="1472"/>
    </row>
    <row r="95" spans="1:13">
      <c r="D95" s="1372"/>
      <c r="G95" s="1479"/>
      <c r="H95" s="2070"/>
      <c r="I95" s="1447"/>
      <c r="J95" s="2498"/>
      <c r="L95" s="1473"/>
      <c r="M95" s="1472"/>
    </row>
    <row r="96" spans="1:13">
      <c r="A96" s="1480"/>
      <c r="B96" s="1481"/>
      <c r="C96" s="1481"/>
      <c r="D96" s="1482"/>
      <c r="E96" s="1481"/>
      <c r="F96" s="1483"/>
      <c r="G96" s="1484"/>
      <c r="I96" s="1485"/>
      <c r="J96" s="2499"/>
      <c r="L96" s="1473"/>
      <c r="M96" s="1472"/>
    </row>
    <row r="97" spans="1:16">
      <c r="A97" s="1486"/>
      <c r="B97" s="1487" t="s">
        <v>164</v>
      </c>
      <c r="C97" s="1488"/>
      <c r="D97" s="1489"/>
      <c r="E97" s="1488"/>
      <c r="F97" s="1490"/>
      <c r="G97" s="1479"/>
      <c r="I97" s="1447"/>
      <c r="J97" s="2498"/>
      <c r="L97" s="1473"/>
      <c r="M97" s="1472"/>
    </row>
    <row r="98" spans="1:16">
      <c r="A98" s="1486"/>
      <c r="B98" s="1487" t="s">
        <v>1403</v>
      </c>
      <c r="C98" s="1488"/>
      <c r="D98" s="1491" t="s">
        <v>694</v>
      </c>
      <c r="E98" s="1492"/>
      <c r="F98" s="1493" t="e">
        <f>F66+F78+F92+F94</f>
        <v>#REF!</v>
      </c>
      <c r="G98" s="1479"/>
      <c r="I98" s="1423" t="e">
        <f>I66+I78+I92+I94</f>
        <v>#DIV/0!</v>
      </c>
      <c r="J98" s="1428" t="e">
        <f>J66+J78+J92+J94</f>
        <v>#DIV/0!</v>
      </c>
      <c r="L98" s="1473"/>
      <c r="M98" s="1472"/>
    </row>
    <row r="99" spans="1:16">
      <c r="A99" s="1486"/>
      <c r="B99" s="1487" t="s">
        <v>1401</v>
      </c>
      <c r="C99" s="1488"/>
      <c r="D99" s="1491" t="s">
        <v>2465</v>
      </c>
      <c r="E99" s="1492"/>
      <c r="F99" s="1493" t="e">
        <f>'Calc Data'!#REF!*Assumptions!G123</f>
        <v>#REF!</v>
      </c>
      <c r="G99" s="1479"/>
      <c r="I99" s="1494">
        <f>'Data Entry - SOF'!K19*Assumptions!H186</f>
        <v>0</v>
      </c>
      <c r="J99" s="2500">
        <f>I99</f>
        <v>0</v>
      </c>
      <c r="L99" s="1473"/>
      <c r="M99" s="1472"/>
    </row>
    <row r="100" spans="1:16" hidden="1">
      <c r="A100" s="1486"/>
      <c r="B100" s="1487" t="s">
        <v>1402</v>
      </c>
      <c r="C100" s="1488"/>
      <c r="D100" s="1491" t="s">
        <v>713</v>
      </c>
      <c r="E100" s="1495"/>
      <c r="F100" s="1496">
        <v>0</v>
      </c>
      <c r="G100" s="1479"/>
      <c r="I100" s="1447"/>
      <c r="J100" s="2498"/>
      <c r="L100" s="1473"/>
      <c r="M100" s="1472"/>
    </row>
    <row r="101" spans="1:16" hidden="1">
      <c r="A101" s="1486"/>
      <c r="B101" s="1487" t="s">
        <v>697</v>
      </c>
      <c r="C101" s="1488"/>
      <c r="D101" s="1491" t="s">
        <v>695</v>
      </c>
      <c r="E101" s="1492"/>
      <c r="F101" s="1493" t="e">
        <f>#REF!</f>
        <v>#REF!</v>
      </c>
      <c r="G101" s="1479"/>
      <c r="I101" s="1432">
        <f>'Existing Debt-HB3'!N74</f>
        <v>0</v>
      </c>
      <c r="J101" s="2495">
        <f>'Existing Debt-HB3'!O74</f>
        <v>0</v>
      </c>
      <c r="L101" s="1473"/>
      <c r="M101" s="1472"/>
    </row>
    <row r="102" spans="1:16" ht="14.5" hidden="1" thickBot="1">
      <c r="A102" s="1486"/>
      <c r="B102" s="1487" t="s">
        <v>1033</v>
      </c>
      <c r="C102" s="1488"/>
      <c r="D102" s="1491" t="s">
        <v>696</v>
      </c>
      <c r="E102" s="1492"/>
      <c r="F102" s="1497" t="e">
        <f>#REF!+#REF!</f>
        <v>#REF!</v>
      </c>
      <c r="G102" s="1479"/>
      <c r="I102" s="1498">
        <f>'IFA-HB3'!T86+'IFA-HB3'!W75</f>
        <v>0</v>
      </c>
      <c r="J102" s="2501">
        <f>'IFA-HB3'!P86+'IFA-HB3'!T75</f>
        <v>0</v>
      </c>
      <c r="L102" s="1473"/>
      <c r="M102" s="1472"/>
    </row>
    <row r="103" spans="1:16" hidden="1">
      <c r="A103" s="1486"/>
      <c r="B103" s="1488"/>
      <c r="C103" s="1488"/>
      <c r="D103" s="1488"/>
      <c r="E103" s="1488"/>
      <c r="F103" s="1490"/>
      <c r="G103" s="1479"/>
      <c r="I103" s="1447"/>
      <c r="J103" s="2498"/>
      <c r="L103" s="1499"/>
      <c r="M103" s="1500"/>
    </row>
    <row r="104" spans="1:16" ht="12.75" hidden="1" customHeight="1">
      <c r="A104" s="1486"/>
      <c r="B104" s="1488"/>
      <c r="C104" s="1488"/>
      <c r="D104" s="1491" t="s">
        <v>7651</v>
      </c>
      <c r="E104" s="1488"/>
      <c r="F104" s="1501" t="e">
        <f>SUM(F98:F102)</f>
        <v>#REF!</v>
      </c>
      <c r="G104" s="1479"/>
      <c r="I104" s="1502" t="e">
        <f>SUM(I98:I102)</f>
        <v>#DIV/0!</v>
      </c>
      <c r="J104" s="2502" t="e">
        <f>SUM(J98:J102)</f>
        <v>#DIV/0!</v>
      </c>
      <c r="L104" s="1499"/>
      <c r="M104" s="1500"/>
    </row>
    <row r="105" spans="1:16" hidden="1">
      <c r="A105" s="1486"/>
      <c r="B105" s="1488"/>
      <c r="C105" s="1488"/>
      <c r="D105" s="1503" t="s">
        <v>445</v>
      </c>
      <c r="E105" s="1488"/>
      <c r="F105" s="1488"/>
      <c r="G105" s="1479"/>
      <c r="I105" s="1416"/>
      <c r="J105" s="2492"/>
      <c r="L105" s="1499"/>
      <c r="M105" s="1500"/>
    </row>
    <row r="106" spans="1:16" hidden="1">
      <c r="A106" s="1504"/>
      <c r="B106" s="1505"/>
      <c r="C106" s="1505"/>
      <c r="D106" s="1506"/>
      <c r="E106" s="1505"/>
      <c r="F106" s="1505"/>
      <c r="G106" s="2071"/>
      <c r="H106" s="2070"/>
      <c r="I106" s="1507"/>
      <c r="J106" s="2503"/>
    </row>
    <row r="107" spans="1:16" hidden="1">
      <c r="B107" s="1372"/>
      <c r="G107" s="1438"/>
      <c r="I107" s="1416"/>
      <c r="J107" s="2492"/>
      <c r="N107" s="1473"/>
      <c r="O107" s="1508"/>
      <c r="P107" s="1509"/>
    </row>
    <row r="108" spans="1:16" ht="14.5" hidden="1" thickBot="1">
      <c r="G108" s="1488"/>
      <c r="H108" s="1535"/>
      <c r="I108" s="1416"/>
      <c r="J108" s="2492"/>
    </row>
    <row r="109" spans="1:16" ht="14.5" hidden="1" thickTop="1">
      <c r="A109" s="1510" t="s">
        <v>2318</v>
      </c>
      <c r="B109" s="1511"/>
      <c r="C109" s="1511"/>
      <c r="D109" s="1511"/>
      <c r="E109" s="1512"/>
      <c r="F109" s="1513"/>
      <c r="G109" s="1512"/>
      <c r="H109" s="1512"/>
      <c r="I109" s="1514"/>
      <c r="J109" s="2504"/>
    </row>
    <row r="110" spans="1:16" hidden="1">
      <c r="A110" s="1515"/>
      <c r="B110" s="1488"/>
      <c r="C110" s="1488"/>
      <c r="D110" s="1488"/>
      <c r="E110" s="1488"/>
      <c r="F110" s="1516"/>
      <c r="G110" s="1488"/>
      <c r="H110" s="1488"/>
      <c r="I110" s="2080"/>
      <c r="J110" s="2505"/>
    </row>
    <row r="111" spans="1:16" hidden="1">
      <c r="A111" s="1518" t="s">
        <v>7444</v>
      </c>
      <c r="B111" s="1488"/>
      <c r="C111" s="1488"/>
      <c r="D111" s="1488"/>
      <c r="E111" s="1488"/>
      <c r="F111" s="1519" t="e">
        <f>IF(F98&lt;0,F99,F98+F99)</f>
        <v>#REF!</v>
      </c>
      <c r="G111" s="1488"/>
      <c r="H111" s="1488"/>
      <c r="I111" s="2052" t="e">
        <f>IF(I98&lt;0,I99,I98+I99)</f>
        <v>#DIV/0!</v>
      </c>
      <c r="J111" s="2506" t="e">
        <f>IF(J98&lt;0,J99,J98+J99)</f>
        <v>#DIV/0!</v>
      </c>
    </row>
    <row r="112" spans="1:16" hidden="1">
      <c r="A112" s="1521" t="s">
        <v>7445</v>
      </c>
      <c r="B112" s="1488"/>
      <c r="C112" s="1488"/>
      <c r="D112" s="1488"/>
      <c r="E112" s="1488"/>
      <c r="F112" s="1522" t="e">
        <f>'Calc Data'!I30-#REF!</f>
        <v>#REF!</v>
      </c>
      <c r="G112" s="1488"/>
      <c r="H112" s="1488"/>
      <c r="I112" s="2081">
        <f>'Data Entry - SOF'!M75</f>
        <v>0</v>
      </c>
      <c r="J112" s="2507" t="e">
        <f>'Data Entry - SOF'!E78</f>
        <v>#DIV/0!</v>
      </c>
      <c r="N112" s="1473"/>
    </row>
    <row r="113" spans="1:14" hidden="1">
      <c r="A113" s="1521" t="s">
        <v>7446</v>
      </c>
      <c r="B113" s="1488"/>
      <c r="C113" s="1488"/>
      <c r="D113" s="1488"/>
      <c r="E113" s="1488"/>
      <c r="F113" s="1522">
        <f>'Calc Data'!I34</f>
        <v>0</v>
      </c>
      <c r="G113" s="1488"/>
      <c r="H113" s="1488"/>
      <c r="I113" s="2081" t="e">
        <f>I74+I82</f>
        <v>#DIV/0!</v>
      </c>
      <c r="J113" s="2507" t="e">
        <f>J74+J82</f>
        <v>#DIV/0!</v>
      </c>
      <c r="N113" s="1473"/>
    </row>
    <row r="114" spans="1:14" hidden="1">
      <c r="A114" s="1521"/>
      <c r="B114" s="1488"/>
      <c r="C114" s="1488"/>
      <c r="D114" s="1488"/>
      <c r="E114" s="1488"/>
      <c r="F114" s="2082" t="e">
        <f>'Calc Data'!I37-IF(#REF!="N",MAX(#REF!,#REF!),MIN(#REF!,#REF!))</f>
        <v>#REF!</v>
      </c>
      <c r="G114" s="1488"/>
      <c r="H114" s="1488"/>
      <c r="I114" s="2081"/>
      <c r="J114" s="2507"/>
    </row>
    <row r="115" spans="1:14" hidden="1">
      <c r="A115" s="1521" t="s">
        <v>7660</v>
      </c>
      <c r="B115" s="1488"/>
      <c r="C115" s="1488"/>
      <c r="D115" s="1488"/>
      <c r="E115" s="1488"/>
      <c r="F115" s="2083" t="e">
        <f>SUM(F111:F114)</f>
        <v>#REF!</v>
      </c>
      <c r="G115" s="1488"/>
      <c r="H115" s="1488"/>
      <c r="I115" s="2084" t="e">
        <f>I111+I112-I113</f>
        <v>#DIV/0!</v>
      </c>
      <c r="J115" s="2508" t="e">
        <f>J111+J112-J113</f>
        <v>#DIV/0!</v>
      </c>
    </row>
    <row r="116" spans="1:14" hidden="1">
      <c r="A116" s="1521" t="s">
        <v>8696</v>
      </c>
      <c r="B116" s="1488"/>
      <c r="C116" s="1488"/>
      <c r="D116" s="1488"/>
      <c r="E116" s="1488"/>
      <c r="F116" s="1519"/>
      <c r="G116" s="1488"/>
      <c r="H116" s="1488"/>
      <c r="I116" s="2053" t="s">
        <v>1678</v>
      </c>
      <c r="J116" s="2509" t="s">
        <v>1678</v>
      </c>
    </row>
    <row r="117" spans="1:14" hidden="1">
      <c r="A117" s="1521" t="s">
        <v>8697</v>
      </c>
      <c r="B117" s="1488"/>
      <c r="C117" s="1488"/>
      <c r="D117" s="1488"/>
      <c r="E117" s="1488"/>
      <c r="F117" s="1519"/>
      <c r="G117" s="1488"/>
      <c r="H117" s="1488"/>
      <c r="I117" s="2052" t="e">
        <f>I115</f>
        <v>#DIV/0!</v>
      </c>
      <c r="J117" s="2506" t="e">
        <f>J115</f>
        <v>#DIV/0!</v>
      </c>
    </row>
    <row r="118" spans="1:14" hidden="1">
      <c r="A118" s="1527" t="s">
        <v>7461</v>
      </c>
      <c r="B118" s="1528"/>
      <c r="C118" s="1528"/>
      <c r="D118" s="1528"/>
      <c r="E118" s="1528"/>
      <c r="F118" s="2085" t="e">
        <f>IF(F98&gt;0,0,F98)</f>
        <v>#REF!</v>
      </c>
      <c r="G118" s="1528"/>
      <c r="H118" s="2067"/>
      <c r="I118" s="2081" t="e">
        <f>I181</f>
        <v>#DIV/0!</v>
      </c>
      <c r="J118" s="2507">
        <f>J175</f>
        <v>0</v>
      </c>
    </row>
    <row r="119" spans="1:14">
      <c r="A119" s="1527" t="s">
        <v>7462</v>
      </c>
      <c r="B119" s="1528"/>
      <c r="C119" s="1528"/>
      <c r="D119" s="1528"/>
      <c r="E119" s="1528"/>
      <c r="F119" s="1530"/>
      <c r="G119" s="1528"/>
      <c r="H119" s="2067"/>
      <c r="I119" s="2081">
        <v>0</v>
      </c>
      <c r="J119" s="2507">
        <v>0</v>
      </c>
    </row>
    <row r="120" spans="1:14" hidden="1">
      <c r="A120" s="1531"/>
      <c r="B120" s="1452"/>
      <c r="C120" s="1452"/>
      <c r="D120" s="1452"/>
      <c r="E120" s="1452"/>
      <c r="F120" s="1532"/>
      <c r="G120" s="1452"/>
      <c r="H120" s="1488"/>
      <c r="I120" s="2081"/>
      <c r="J120" s="2507"/>
    </row>
    <row r="121" spans="1:14" hidden="1">
      <c r="A121" s="2078" t="s">
        <v>7659</v>
      </c>
      <c r="B121" s="2073"/>
      <c r="C121" s="2073"/>
      <c r="D121" s="2073"/>
      <c r="E121" s="2073"/>
      <c r="F121" s="2074" t="e">
        <f>F115+F118</f>
        <v>#REF!</v>
      </c>
      <c r="G121" s="2073"/>
      <c r="H121" s="2075"/>
      <c r="I121" s="2072" t="e">
        <f>I115+I118+I119</f>
        <v>#DIV/0!</v>
      </c>
      <c r="J121" s="2510" t="e">
        <f>J115+J118+J119</f>
        <v>#DIV/0!</v>
      </c>
    </row>
    <row r="122" spans="1:14" ht="14.5" hidden="1" thickBot="1">
      <c r="A122" s="1533"/>
      <c r="B122" s="1534"/>
      <c r="C122" s="1534"/>
      <c r="D122" s="1534"/>
      <c r="E122" s="1534"/>
      <c r="F122" s="1534"/>
      <c r="G122" s="2076"/>
      <c r="H122" s="1534"/>
      <c r="I122" s="1536"/>
      <c r="J122" s="2511"/>
    </row>
    <row r="123" spans="1:14" hidden="1">
      <c r="D123" s="1415" t="s">
        <v>1159</v>
      </c>
      <c r="E123" s="1415"/>
      <c r="F123" s="1415"/>
      <c r="H123" s="1425">
        <f>H118+H121</f>
        <v>0</v>
      </c>
      <c r="I123" s="1416"/>
      <c r="J123" s="1537"/>
      <c r="K123" s="1537"/>
    </row>
    <row r="124" spans="1:14" hidden="1">
      <c r="D124" s="1415" t="s">
        <v>443</v>
      </c>
      <c r="E124" s="1415"/>
      <c r="F124" s="1415"/>
      <c r="I124" s="1416"/>
      <c r="J124" s="1538"/>
      <c r="K124" s="1538"/>
    </row>
    <row r="125" spans="1:14" hidden="1">
      <c r="D125" s="1415" t="s">
        <v>444</v>
      </c>
      <c r="I125" s="1416"/>
    </row>
    <row r="126" spans="1:14" hidden="1">
      <c r="D126" s="1415" t="s">
        <v>957</v>
      </c>
      <c r="I126" s="1416"/>
    </row>
    <row r="127" spans="1:14" hidden="1">
      <c r="D127" s="1415" t="s">
        <v>606</v>
      </c>
      <c r="I127" s="1416"/>
    </row>
    <row r="128" spans="1:14" hidden="1">
      <c r="D128" s="1415" t="s">
        <v>607</v>
      </c>
      <c r="I128" s="1416"/>
    </row>
    <row r="129" spans="1:11" hidden="1">
      <c r="D129" s="1415"/>
      <c r="I129" s="1416"/>
    </row>
    <row r="130" spans="1:11" hidden="1">
      <c r="I130" s="1416"/>
    </row>
    <row r="131" spans="1:11" hidden="1">
      <c r="I131" s="1416"/>
    </row>
    <row r="132" spans="1:11" hidden="1">
      <c r="I132" s="1416"/>
    </row>
    <row r="133" spans="1:11" hidden="1">
      <c r="A133" s="1372" t="s">
        <v>1573</v>
      </c>
      <c r="G133" s="1388"/>
      <c r="I133" s="1416"/>
    </row>
    <row r="134" spans="1:11" hidden="1">
      <c r="G134" s="1388"/>
      <c r="I134" s="1416"/>
    </row>
    <row r="135" spans="1:11" hidden="1">
      <c r="A135" s="1372" t="s">
        <v>1404</v>
      </c>
      <c r="G135" s="1388"/>
      <c r="H135" s="1388"/>
      <c r="I135" s="1416"/>
      <c r="J135" s="1388"/>
      <c r="K135" s="1388"/>
    </row>
    <row r="136" spans="1:11" hidden="1">
      <c r="A136" s="1372" t="s">
        <v>1405</v>
      </c>
      <c r="H136" s="1388"/>
      <c r="I136" s="1416"/>
      <c r="J136" s="1388"/>
      <c r="K136" s="1388"/>
    </row>
    <row r="137" spans="1:11" hidden="1">
      <c r="A137" s="1372" t="s">
        <v>486</v>
      </c>
      <c r="H137" s="1388"/>
      <c r="I137" s="1416"/>
      <c r="J137" s="1388"/>
      <c r="K137" s="1388"/>
    </row>
    <row r="138" spans="1:11" hidden="1">
      <c r="A138" s="1372" t="s">
        <v>487</v>
      </c>
      <c r="I138" s="1416"/>
    </row>
    <row r="139" spans="1:11" hidden="1">
      <c r="A139" s="1372" t="s">
        <v>955</v>
      </c>
      <c r="I139" s="1416"/>
    </row>
    <row r="140" spans="1:11" hidden="1">
      <c r="A140" s="1372" t="s">
        <v>956</v>
      </c>
      <c r="I140" s="1416"/>
    </row>
    <row r="141" spans="1:11" hidden="1">
      <c r="A141" s="1399" t="s">
        <v>1692</v>
      </c>
      <c r="I141" s="1416"/>
    </row>
    <row r="142" spans="1:11" hidden="1">
      <c r="I142" s="1416"/>
    </row>
    <row r="143" spans="1:11" hidden="1">
      <c r="A143" s="1372" t="s">
        <v>60</v>
      </c>
      <c r="I143" s="1416"/>
    </row>
    <row r="144" spans="1:11" hidden="1">
      <c r="A144" s="1372" t="s">
        <v>1599</v>
      </c>
      <c r="I144" s="1416"/>
    </row>
    <row r="145" spans="1:11" hidden="1">
      <c r="A145" s="1372" t="s">
        <v>1600</v>
      </c>
      <c r="I145" s="1416"/>
    </row>
    <row r="146" spans="1:11" hidden="1">
      <c r="A146" s="1372" t="s">
        <v>1717</v>
      </c>
      <c r="I146" s="1416"/>
    </row>
    <row r="147" spans="1:11" hidden="1">
      <c r="I147" s="1416"/>
    </row>
    <row r="148" spans="1:11" hidden="1">
      <c r="A148" s="1372" t="s">
        <v>1718</v>
      </c>
      <c r="I148" s="1416"/>
    </row>
    <row r="149" spans="1:11" hidden="1">
      <c r="A149" s="1372" t="s">
        <v>1719</v>
      </c>
      <c r="I149" s="1416"/>
    </row>
    <row r="150" spans="1:11" hidden="1">
      <c r="A150" s="1372" t="s">
        <v>319</v>
      </c>
      <c r="I150" s="1416"/>
    </row>
    <row r="151" spans="1:11" hidden="1">
      <c r="A151" s="1372" t="s">
        <v>1720</v>
      </c>
      <c r="I151" s="1416"/>
    </row>
    <row r="152" spans="1:11" hidden="1">
      <c r="A152" s="1372" t="s">
        <v>317</v>
      </c>
      <c r="I152" s="1416"/>
    </row>
    <row r="153" spans="1:11" hidden="1">
      <c r="I153" s="1416"/>
    </row>
    <row r="154" spans="1:11" hidden="1">
      <c r="A154" s="1399" t="s">
        <v>318</v>
      </c>
      <c r="I154" s="1416"/>
    </row>
    <row r="155" spans="1:11" hidden="1">
      <c r="I155" s="1416"/>
    </row>
    <row r="156" spans="1:11" hidden="1">
      <c r="I156" s="1416"/>
    </row>
    <row r="157" spans="1:11" hidden="1">
      <c r="I157" s="1416"/>
    </row>
    <row r="158" spans="1:11" hidden="1">
      <c r="E158" s="1373" t="s">
        <v>2598</v>
      </c>
      <c r="F158" s="1509" t="e">
        <f>SUM(F22:F28)</f>
        <v>#REF!</v>
      </c>
      <c r="H158" s="1509">
        <f>SUM(H22:H28)</f>
        <v>0</v>
      </c>
      <c r="I158" s="1539">
        <f>SUM(I22:I28)</f>
        <v>0</v>
      </c>
    </row>
    <row r="159" spans="1:11" hidden="1">
      <c r="E159" s="1373" t="s">
        <v>2599</v>
      </c>
      <c r="F159" s="1509" t="e">
        <f>F29+F31</f>
        <v>#REF!</v>
      </c>
      <c r="H159" s="1509">
        <f>H29+H31</f>
        <v>0</v>
      </c>
      <c r="I159" s="1540">
        <f>I29+I31</f>
        <v>0</v>
      </c>
    </row>
    <row r="160" spans="1:11" hidden="1">
      <c r="E160" s="1373" t="s">
        <v>2600</v>
      </c>
      <c r="F160" s="1509" t="e">
        <f>F33+F34</f>
        <v>#REF!</v>
      </c>
      <c r="H160" s="1509">
        <f>H33+H34</f>
        <v>0</v>
      </c>
      <c r="I160" s="1540">
        <f>I33+I34</f>
        <v>0</v>
      </c>
      <c r="J160" s="1509"/>
      <c r="K160" s="1509"/>
    </row>
    <row r="161" spans="4:11" hidden="1">
      <c r="E161" s="1373" t="s">
        <v>2601</v>
      </c>
      <c r="F161" s="1509" t="e">
        <f>F35+F42</f>
        <v>#REF!</v>
      </c>
      <c r="H161" s="1509">
        <f>H35+H42</f>
        <v>0</v>
      </c>
      <c r="I161" s="1540" t="e">
        <f>SUM(#REF!)</f>
        <v>#REF!</v>
      </c>
      <c r="J161" s="1509"/>
      <c r="K161" s="1509"/>
    </row>
    <row r="162" spans="4:11" hidden="1">
      <c r="E162" s="1373" t="s">
        <v>2648</v>
      </c>
      <c r="F162" s="1473">
        <f>Assumptions!G119*'Calc Data'!I25*'Calc Data'!I35*100</f>
        <v>0</v>
      </c>
      <c r="H162" s="1473">
        <f>Assumptions!G119*'Calc Data'!I25*'Calc Data'!I35*100</f>
        <v>0</v>
      </c>
      <c r="I162" s="1541" t="e">
        <f>Assumptions!H119*L61*'Calc Data'!D105*100</f>
        <v>#DIV/0!</v>
      </c>
      <c r="J162" s="1509"/>
      <c r="K162" s="1509"/>
    </row>
    <row r="163" spans="4:11" hidden="1">
      <c r="E163" s="1373" t="s">
        <v>2650</v>
      </c>
      <c r="F163" s="1473">
        <f>Assumptions!G120*'Calc Data'!I25*'Calc Data'!I38*100</f>
        <v>0</v>
      </c>
      <c r="H163" s="1473" t="e">
        <f>Assumptions!G120*'Calc Data'!I25*'Calc Data'!BB29*100</f>
        <v>#REF!</v>
      </c>
      <c r="I163" s="1541" t="e">
        <f>Assumptions!H120*L61*'Calc Data'!D110*100</f>
        <v>#DIV/0!</v>
      </c>
      <c r="J163" s="1509"/>
      <c r="K163" s="1509"/>
    </row>
    <row r="164" spans="4:11" hidden="1">
      <c r="E164" s="1373" t="s">
        <v>7437</v>
      </c>
      <c r="I164" s="1542">
        <f>I43+I44+I45</f>
        <v>0</v>
      </c>
      <c r="J164" s="1473"/>
      <c r="K164" s="1473"/>
    </row>
    <row r="165" spans="4:11" hidden="1">
      <c r="I165" s="1509"/>
      <c r="J165" s="1473"/>
      <c r="K165" s="1473"/>
    </row>
    <row r="166" spans="4:11" hidden="1"/>
    <row r="167" spans="4:11" hidden="1">
      <c r="D167" s="2087"/>
      <c r="E167" s="2088"/>
      <c r="F167" s="2088"/>
      <c r="G167" s="2088"/>
      <c r="H167" s="2091" t="s">
        <v>8705</v>
      </c>
    </row>
    <row r="168" spans="4:11" hidden="1">
      <c r="H168" s="1543" t="s">
        <v>7650</v>
      </c>
    </row>
    <row r="169" spans="4:11" hidden="1">
      <c r="E169" s="1415"/>
      <c r="F169" s="1415"/>
      <c r="H169" s="1544" t="s">
        <v>7818</v>
      </c>
      <c r="I169" s="1545" t="e">
        <f>'SOF2122-HB3'!I176</f>
        <v>#REF!</v>
      </c>
    </row>
    <row r="170" spans="4:11" hidden="1">
      <c r="E170" s="1415"/>
      <c r="F170" s="1415"/>
      <c r="H170" s="1544" t="s">
        <v>7819</v>
      </c>
      <c r="I170" s="1546" t="e">
        <f>'SOF2122-HB3'!I177</f>
        <v>#REF!</v>
      </c>
    </row>
    <row r="171" spans="4:11" hidden="1">
      <c r="E171" s="1415"/>
      <c r="F171" s="1415"/>
      <c r="H171" s="1415"/>
      <c r="I171" s="1547"/>
    </row>
    <row r="172" spans="4:11" hidden="1">
      <c r="E172" s="1415"/>
      <c r="F172" s="1415"/>
      <c r="H172" s="1415"/>
      <c r="I172" s="1547"/>
    </row>
    <row r="173" spans="4:11" hidden="1">
      <c r="E173" s="1415"/>
      <c r="F173" s="1415"/>
      <c r="H173" s="1544" t="s">
        <v>7816</v>
      </c>
      <c r="I173" s="1546" t="e">
        <f>'SOF2122-HB3'!I180</f>
        <v>#REF!</v>
      </c>
    </row>
    <row r="174" spans="4:11" hidden="1">
      <c r="E174" s="1415"/>
      <c r="F174" s="1415"/>
      <c r="H174" s="1544" t="s">
        <v>7817</v>
      </c>
      <c r="I174" s="1546" t="e">
        <f>'SOF2122-HB3'!I181</f>
        <v>#REF!</v>
      </c>
    </row>
    <row r="175" spans="4:11" hidden="1">
      <c r="E175" s="1415"/>
      <c r="F175" s="1415"/>
      <c r="H175" s="1415"/>
      <c r="I175" s="1547"/>
    </row>
    <row r="176" spans="4:11" hidden="1">
      <c r="E176" s="1415"/>
      <c r="F176" s="1415"/>
      <c r="H176" s="1544" t="s">
        <v>7633</v>
      </c>
      <c r="I176" s="1548" t="e">
        <f>MIN(I170,I174)</f>
        <v>#REF!</v>
      </c>
    </row>
    <row r="177" spans="5:13" hidden="1">
      <c r="E177" s="1415"/>
      <c r="F177" s="1415"/>
      <c r="H177" s="2094" t="s">
        <v>8923</v>
      </c>
      <c r="I177" s="1549">
        <f>MAX('Data Entry - SOF'!C145,'Data Entry - SOF'!C146)</f>
        <v>0</v>
      </c>
    </row>
    <row r="178" spans="5:13" hidden="1">
      <c r="E178" s="1415"/>
      <c r="F178" s="1415"/>
      <c r="H178" s="1544" t="s">
        <v>7797</v>
      </c>
      <c r="I178" s="1550" t="e">
        <f>(I115+I119)/'Data Entry - SOF'!M19</f>
        <v>#DIV/0!</v>
      </c>
    </row>
    <row r="179" spans="5:13" hidden="1">
      <c r="H179" s="2095" t="s">
        <v>7631</v>
      </c>
      <c r="I179" s="1556" t="e">
        <f>IF(I178&gt;=I177,0,I177-I178)</f>
        <v>#DIV/0!</v>
      </c>
    </row>
    <row r="180" spans="5:13" hidden="1">
      <c r="H180" s="2095" t="s">
        <v>7798</v>
      </c>
      <c r="I180" s="1552">
        <f>'Data Entry - SOF'!M19</f>
        <v>0</v>
      </c>
    </row>
    <row r="181" spans="5:13" hidden="1">
      <c r="H181" s="2095" t="s">
        <v>7461</v>
      </c>
      <c r="I181" s="1553" t="e">
        <f>I179*I180</f>
        <v>#DIV/0!</v>
      </c>
    </row>
    <row r="182" spans="5:13" hidden="1"/>
    <row r="183" spans="5:13" hidden="1"/>
    <row r="184" spans="5:13" hidden="1">
      <c r="H184" s="2095" t="s">
        <v>7752</v>
      </c>
    </row>
    <row r="185" spans="5:13" hidden="1">
      <c r="J185" s="1554"/>
      <c r="K185" s="1554"/>
      <c r="M185" s="1555"/>
    </row>
    <row r="186" spans="5:13" hidden="1"/>
    <row r="196" spans="8:10">
      <c r="H196" s="1379" t="s">
        <v>8283</v>
      </c>
      <c r="I196" s="1769" t="e">
        <f>Assumptions!H182*L61*'Calc Data'!I105*100</f>
        <v>#DIV/0!</v>
      </c>
      <c r="J196" s="1771" t="e">
        <f>Assumptions!H173*L61*'Calc Data'!R105*100</f>
        <v>#DIV/0!</v>
      </c>
    </row>
    <row r="197" spans="8:10">
      <c r="H197" s="1379" t="s">
        <v>8284</v>
      </c>
      <c r="I197" s="1769" t="e">
        <f>'Calc Data'!I106</f>
        <v>#DIV/0!</v>
      </c>
      <c r="J197" s="1771" t="e">
        <f>'Calc Data'!R106</f>
        <v>#DIV/0!</v>
      </c>
    </row>
    <row r="199" spans="8:10">
      <c r="H199" s="1379" t="s">
        <v>8288</v>
      </c>
      <c r="I199" s="1769" t="e">
        <f>Assumptions!H183*L61*'Calc Data'!I110*100</f>
        <v>#DIV/0!</v>
      </c>
      <c r="J199" s="1771" t="e">
        <f>Assumptions!H165*L61*'Calc Data'!R110*100</f>
        <v>#DIV/0!</v>
      </c>
    </row>
    <row r="200" spans="8:10">
      <c r="H200" s="1379" t="s">
        <v>8289</v>
      </c>
      <c r="I200" s="1769" t="e">
        <f>'Calc Data'!I111</f>
        <v>#DIV/0!</v>
      </c>
      <c r="J200" s="1771" t="e">
        <f>'Calc Data'!R111</f>
        <v>#DIV/0!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89"/>
  <sheetViews>
    <sheetView topLeftCell="R1" workbookViewId="0">
      <selection activeCell="W1" sqref="W1:W1048576"/>
    </sheetView>
  </sheetViews>
  <sheetFormatPr defaultRowHeight="13"/>
  <cols>
    <col min="1" max="1" width="4.453125" customWidth="1"/>
    <col min="2" max="2" width="9.453125" customWidth="1"/>
    <col min="3" max="3" width="1.54296875" customWidth="1"/>
    <col min="4" max="4" width="12.54296875" customWidth="1"/>
    <col min="5" max="5" width="28.453125" customWidth="1"/>
    <col min="6" max="6" width="4.54296875" customWidth="1"/>
    <col min="7" max="7" width="2.54296875" customWidth="1"/>
    <col min="8" max="9" width="20.54296875" style="734" hidden="1" customWidth="1"/>
    <col min="10" max="10" width="19.1796875" style="734" hidden="1" customWidth="1"/>
    <col min="11" max="11" width="20.54296875" style="734" hidden="1" customWidth="1"/>
    <col min="12" max="13" width="18.54296875" style="519" customWidth="1"/>
    <col min="14" max="14" width="19.1796875" style="519" customWidth="1"/>
    <col min="15" max="17" width="18.54296875" style="647" customWidth="1"/>
    <col min="18" max="19" width="19.1796875" style="647" customWidth="1"/>
    <col min="20" max="22" width="18.54296875" style="712" customWidth="1"/>
    <col min="23" max="24" width="19.1796875" style="712" customWidth="1"/>
    <col min="25" max="27" width="18.54296875" style="1993" customWidth="1"/>
    <col min="28" max="29" width="19.1796875" style="1993" customWidth="1"/>
    <col min="30" max="32" width="18.54296875" style="2307" customWidth="1"/>
    <col min="33" max="34" width="19.1796875" style="2307" customWidth="1"/>
    <col min="35" max="37" width="18.54296875" style="3031" customWidth="1"/>
    <col min="38" max="39" width="19.1796875" style="3031" customWidth="1"/>
  </cols>
  <sheetData>
    <row r="1" spans="1:39" ht="13.5" thickTop="1">
      <c r="A1" s="16" t="s">
        <v>64</v>
      </c>
      <c r="D1" s="49" t="str">
        <f>'Data Entry - SOF'!B1</f>
        <v xml:space="preserve"> </v>
      </c>
      <c r="F1" s="100"/>
      <c r="K1" s="1196"/>
      <c r="L1" s="1566"/>
      <c r="M1" s="1573"/>
      <c r="N1" s="1205"/>
      <c r="O1" s="1591"/>
      <c r="P1" s="1261"/>
      <c r="Q1" s="1261"/>
      <c r="R1" s="1209"/>
      <c r="S1" s="1209"/>
      <c r="T1" s="1645"/>
      <c r="U1" s="1653"/>
      <c r="V1" s="1653"/>
      <c r="W1" s="1213"/>
      <c r="X1" s="2522"/>
      <c r="Y1" s="1954"/>
      <c r="Z1" s="1955"/>
      <c r="AA1" s="1955"/>
      <c r="AB1" s="1956"/>
      <c r="AC1" s="2524"/>
      <c r="AD1" s="2268"/>
      <c r="AE1" s="2269"/>
      <c r="AF1" s="2269"/>
      <c r="AG1" s="2270"/>
      <c r="AH1" s="2270"/>
      <c r="AI1" s="2989"/>
      <c r="AJ1" s="2990"/>
      <c r="AK1" s="2990"/>
      <c r="AL1" s="2991"/>
      <c r="AM1" s="2991"/>
    </row>
    <row r="2" spans="1:39">
      <c r="A2" s="16" t="s">
        <v>1354</v>
      </c>
      <c r="D2" s="50">
        <f>'Data Entry - SOF'!B2</f>
        <v>0</v>
      </c>
      <c r="K2" s="1196"/>
      <c r="L2" s="1567"/>
      <c r="M2" s="1574"/>
      <c r="N2" s="1206"/>
      <c r="O2" s="1592"/>
      <c r="P2" s="1262"/>
      <c r="Q2" s="1262"/>
      <c r="R2" s="1210"/>
      <c r="S2" s="1210"/>
      <c r="T2" s="1626"/>
      <c r="U2" s="1646"/>
      <c r="V2" s="1646"/>
      <c r="W2" s="1214"/>
      <c r="X2" s="2523"/>
      <c r="Y2" s="1957"/>
      <c r="Z2" s="1958"/>
      <c r="AA2" s="1958"/>
      <c r="AB2" s="1959"/>
      <c r="AC2" s="2525"/>
      <c r="AD2" s="2271"/>
      <c r="AE2" s="2272"/>
      <c r="AF2" s="2272"/>
      <c r="AG2" s="2273"/>
      <c r="AH2" s="2273"/>
      <c r="AI2" s="2992"/>
      <c r="AJ2" s="2993"/>
      <c r="AK2" s="2993"/>
      <c r="AL2" s="2994"/>
      <c r="AM2" s="2994"/>
    </row>
    <row r="3" spans="1:39">
      <c r="A3" s="16" t="s">
        <v>134</v>
      </c>
      <c r="D3" s="51">
        <f ca="1">'Data Entry - SOF'!B3</f>
        <v>44931.882496064813</v>
      </c>
      <c r="K3" s="1196"/>
      <c r="L3" s="1567"/>
      <c r="M3" s="1574"/>
      <c r="N3" s="1206"/>
      <c r="O3" s="1592"/>
      <c r="P3" s="1262"/>
      <c r="Q3" s="1262"/>
      <c r="R3" s="1210"/>
      <c r="S3" s="1210"/>
      <c r="T3" s="1626"/>
      <c r="U3" s="1646"/>
      <c r="V3" s="1646"/>
      <c r="W3" s="1214"/>
      <c r="X3" s="2523"/>
      <c r="Y3" s="1957"/>
      <c r="Z3" s="1958"/>
      <c r="AA3" s="1958"/>
      <c r="AB3" s="1959"/>
      <c r="AC3" s="2525"/>
      <c r="AD3" s="2271"/>
      <c r="AE3" s="2272"/>
      <c r="AF3" s="2272"/>
      <c r="AG3" s="2273"/>
      <c r="AH3" s="2273"/>
      <c r="AI3" s="2992"/>
      <c r="AJ3" s="2993"/>
      <c r="AK3" s="2993"/>
      <c r="AL3" s="2994"/>
      <c r="AM3" s="2994"/>
    </row>
    <row r="4" spans="1:39">
      <c r="K4" s="1196"/>
      <c r="L4" s="1567"/>
      <c r="M4" s="1574"/>
      <c r="N4" s="1206"/>
      <c r="O4" s="1592"/>
      <c r="P4" s="1262"/>
      <c r="Q4" s="1262"/>
      <c r="R4" s="1210"/>
      <c r="S4" s="1210"/>
      <c r="T4" s="1626"/>
      <c r="U4" s="1646"/>
      <c r="V4" s="1646"/>
      <c r="W4" s="1214"/>
      <c r="X4" s="2523"/>
      <c r="Y4" s="1957"/>
      <c r="Z4" s="1958"/>
      <c r="AA4" s="1958"/>
      <c r="AB4" s="1959"/>
      <c r="AC4" s="2525"/>
      <c r="AD4" s="2271"/>
      <c r="AE4" s="2272"/>
      <c r="AF4" s="2272"/>
      <c r="AG4" s="2273"/>
      <c r="AH4" s="2273"/>
      <c r="AI4" s="2992"/>
      <c r="AJ4" s="2993"/>
      <c r="AK4" s="2993"/>
      <c r="AL4" s="2994"/>
      <c r="AM4" s="2994"/>
    </row>
    <row r="5" spans="1:39" ht="12.75" customHeight="1">
      <c r="A5" s="22" t="s">
        <v>5944</v>
      </c>
      <c r="K5" s="1196"/>
      <c r="L5" s="1567"/>
      <c r="M5" s="1574"/>
      <c r="N5" s="1206"/>
      <c r="O5" s="1592"/>
      <c r="P5" s="1262"/>
      <c r="Q5" s="1262"/>
      <c r="R5" s="1210"/>
      <c r="S5" s="1210"/>
      <c r="T5" s="1626"/>
      <c r="U5" s="1646"/>
      <c r="V5" s="1646"/>
      <c r="W5" s="1214"/>
      <c r="X5" s="2523"/>
      <c r="Y5" s="1957"/>
      <c r="Z5" s="1958"/>
      <c r="AA5" s="1958"/>
      <c r="AB5" s="1959"/>
      <c r="AC5" s="2525"/>
      <c r="AD5" s="2271"/>
      <c r="AE5" s="2272"/>
      <c r="AF5" s="2272"/>
      <c r="AG5" s="2273"/>
      <c r="AH5" s="2273"/>
      <c r="AI5" s="2992"/>
      <c r="AJ5" s="2993"/>
      <c r="AK5" s="2993"/>
      <c r="AL5" s="2994"/>
      <c r="AM5" s="2994"/>
    </row>
    <row r="6" spans="1:39" ht="12.75" hidden="1" customHeight="1">
      <c r="A6" s="22"/>
      <c r="C6" s="20" t="s">
        <v>1216</v>
      </c>
      <c r="K6" s="1196"/>
      <c r="L6" s="1567"/>
      <c r="M6" s="1574"/>
      <c r="N6" s="1206"/>
      <c r="O6" s="1592"/>
      <c r="P6" s="1262"/>
      <c r="Q6" s="1262"/>
      <c r="R6" s="1210"/>
      <c r="S6" s="1210"/>
      <c r="T6" s="1626"/>
      <c r="U6" s="1646"/>
      <c r="V6" s="1646"/>
      <c r="W6" s="1214"/>
      <c r="X6" s="2523"/>
      <c r="Y6" s="1957"/>
      <c r="Z6" s="1958"/>
      <c r="AA6" s="1958"/>
      <c r="AB6" s="1959"/>
      <c r="AC6" s="2525"/>
      <c r="AD6" s="2271"/>
      <c r="AE6" s="2272"/>
      <c r="AF6" s="2272"/>
      <c r="AG6" s="2273"/>
      <c r="AH6" s="2273"/>
      <c r="AI6" s="2992"/>
      <c r="AJ6" s="2993"/>
      <c r="AK6" s="2993"/>
      <c r="AL6" s="2994"/>
      <c r="AM6" s="2994"/>
    </row>
    <row r="7" spans="1:39" ht="12.75" hidden="1" customHeight="1">
      <c r="C7" s="20"/>
      <c r="K7" s="1196"/>
      <c r="L7" s="1567"/>
      <c r="M7" s="1574"/>
      <c r="N7" s="1206"/>
      <c r="O7" s="1592"/>
      <c r="P7" s="1262"/>
      <c r="Q7" s="1262"/>
      <c r="R7" s="1210"/>
      <c r="S7" s="1210"/>
      <c r="T7" s="1626"/>
      <c r="U7" s="1646"/>
      <c r="V7" s="1646"/>
      <c r="W7" s="1214"/>
      <c r="X7" s="2523"/>
      <c r="Y7" s="1957"/>
      <c r="Z7" s="1958"/>
      <c r="AA7" s="1958"/>
      <c r="AB7" s="1959"/>
      <c r="AC7" s="2525"/>
      <c r="AD7" s="2271"/>
      <c r="AE7" s="2272"/>
      <c r="AF7" s="2272"/>
      <c r="AG7" s="2273"/>
      <c r="AH7" s="2273"/>
      <c r="AI7" s="2992"/>
      <c r="AJ7" s="2993"/>
      <c r="AK7" s="2993"/>
      <c r="AL7" s="2994"/>
      <c r="AM7" s="2994"/>
    </row>
    <row r="8" spans="1:39" ht="12.75" hidden="1" customHeight="1">
      <c r="C8" s="20"/>
      <c r="K8" s="1196"/>
      <c r="L8" s="1567"/>
      <c r="M8" s="1574"/>
      <c r="N8" s="1206"/>
      <c r="O8" s="1592"/>
      <c r="P8" s="1262"/>
      <c r="Q8" s="1262"/>
      <c r="R8" s="1210"/>
      <c r="S8" s="1210"/>
      <c r="T8" s="1626"/>
      <c r="U8" s="1646"/>
      <c r="V8" s="1646"/>
      <c r="W8" s="1214"/>
      <c r="X8" s="2523"/>
      <c r="Y8" s="1957"/>
      <c r="Z8" s="1958"/>
      <c r="AA8" s="1958"/>
      <c r="AB8" s="1959"/>
      <c r="AC8" s="2525"/>
      <c r="AD8" s="2271"/>
      <c r="AE8" s="2272"/>
      <c r="AF8" s="2272"/>
      <c r="AG8" s="2273"/>
      <c r="AH8" s="2273"/>
      <c r="AI8" s="2992"/>
      <c r="AJ8" s="2993"/>
      <c r="AK8" s="2993"/>
      <c r="AL8" s="2994"/>
      <c r="AM8" s="2994"/>
    </row>
    <row r="9" spans="1:39" ht="12.75" hidden="1" customHeight="1">
      <c r="C9" s="20"/>
      <c r="K9" s="1196"/>
      <c r="L9" s="1567"/>
      <c r="M9" s="1574"/>
      <c r="N9" s="1206"/>
      <c r="O9" s="1592"/>
      <c r="P9" s="1262"/>
      <c r="Q9" s="1262"/>
      <c r="R9" s="1210"/>
      <c r="S9" s="1210"/>
      <c r="T9" s="1626"/>
      <c r="U9" s="1646"/>
      <c r="V9" s="1646"/>
      <c r="W9" s="1214"/>
      <c r="X9" s="2523"/>
      <c r="Y9" s="1957"/>
      <c r="Z9" s="1958"/>
      <c r="AA9" s="1958"/>
      <c r="AB9" s="1959"/>
      <c r="AC9" s="2525"/>
      <c r="AD9" s="2271"/>
      <c r="AE9" s="2272"/>
      <c r="AF9" s="2272"/>
      <c r="AG9" s="2273"/>
      <c r="AH9" s="2273"/>
      <c r="AI9" s="2992"/>
      <c r="AJ9" s="2993"/>
      <c r="AK9" s="2993"/>
      <c r="AL9" s="2994"/>
      <c r="AM9" s="2994"/>
    </row>
    <row r="10" spans="1:39" ht="12.75" hidden="1" customHeight="1">
      <c r="C10" s="20"/>
      <c r="K10" s="1196"/>
      <c r="L10" s="1567"/>
      <c r="M10" s="1574"/>
      <c r="N10" s="1206"/>
      <c r="O10" s="1592"/>
      <c r="P10" s="1262"/>
      <c r="Q10" s="1262"/>
      <c r="R10" s="1210"/>
      <c r="S10" s="1210"/>
      <c r="T10" s="1626"/>
      <c r="U10" s="1646"/>
      <c r="V10" s="1646"/>
      <c r="W10" s="1214"/>
      <c r="X10" s="2523"/>
      <c r="Y10" s="1957"/>
      <c r="Z10" s="1958"/>
      <c r="AA10" s="1958"/>
      <c r="AB10" s="1959"/>
      <c r="AC10" s="2525"/>
      <c r="AD10" s="2271"/>
      <c r="AE10" s="2272"/>
      <c r="AF10" s="2272"/>
      <c r="AG10" s="2273"/>
      <c r="AH10" s="2273"/>
      <c r="AI10" s="2992"/>
      <c r="AJ10" s="2993"/>
      <c r="AK10" s="2993"/>
      <c r="AL10" s="2994"/>
      <c r="AM10" s="2994"/>
    </row>
    <row r="11" spans="1:39" ht="12.75" hidden="1" customHeight="1">
      <c r="A11" s="231"/>
      <c r="C11" s="20"/>
      <c r="K11" s="1196"/>
      <c r="L11" s="1567"/>
      <c r="M11" s="1574"/>
      <c r="N11" s="1206"/>
      <c r="O11" s="1592"/>
      <c r="P11" s="1262"/>
      <c r="Q11" s="1262"/>
      <c r="R11" s="1210"/>
      <c r="S11" s="1210"/>
      <c r="T11" s="1626"/>
      <c r="U11" s="1646"/>
      <c r="V11" s="1646"/>
      <c r="W11" s="1214"/>
      <c r="X11" s="2523"/>
      <c r="Y11" s="1957"/>
      <c r="Z11" s="1958"/>
      <c r="AA11" s="1958"/>
      <c r="AB11" s="1959"/>
      <c r="AC11" s="2525"/>
      <c r="AD11" s="2271"/>
      <c r="AE11" s="2272"/>
      <c r="AF11" s="2272"/>
      <c r="AG11" s="2273"/>
      <c r="AH11" s="2273"/>
      <c r="AI11" s="2992"/>
      <c r="AJ11" s="2993"/>
      <c r="AK11" s="2993"/>
      <c r="AL11" s="2994"/>
      <c r="AM11" s="2994"/>
    </row>
    <row r="12" spans="1:39" ht="12.75" hidden="1" customHeight="1">
      <c r="C12" s="20"/>
      <c r="K12" s="1196"/>
      <c r="L12" s="1567"/>
      <c r="M12" s="1574"/>
      <c r="N12" s="1206"/>
      <c r="O12" s="1592"/>
      <c r="P12" s="1262"/>
      <c r="Q12" s="1262"/>
      <c r="R12" s="1210"/>
      <c r="S12" s="1210"/>
      <c r="T12" s="1626"/>
      <c r="U12" s="1646"/>
      <c r="V12" s="1646"/>
      <c r="W12" s="1214"/>
      <c r="X12" s="2523"/>
      <c r="Y12" s="1957"/>
      <c r="Z12" s="1958"/>
      <c r="AA12" s="1958"/>
      <c r="AB12" s="1959"/>
      <c r="AC12" s="2525"/>
      <c r="AD12" s="2271"/>
      <c r="AE12" s="2272"/>
      <c r="AF12" s="2272"/>
      <c r="AG12" s="2273"/>
      <c r="AH12" s="2273"/>
      <c r="AI12" s="2992"/>
      <c r="AJ12" s="2993"/>
      <c r="AK12" s="2993"/>
      <c r="AL12" s="2994"/>
      <c r="AM12" s="2994"/>
    </row>
    <row r="13" spans="1:39" ht="12.75" hidden="1" customHeight="1">
      <c r="C13" s="20"/>
      <c r="D13" s="41" t="s">
        <v>2837</v>
      </c>
      <c r="K13" s="1196"/>
      <c r="L13" s="1567"/>
      <c r="M13" s="1574"/>
      <c r="N13" s="1206"/>
      <c r="O13" s="1592"/>
      <c r="P13" s="1262"/>
      <c r="Q13" s="1262"/>
      <c r="R13" s="1210"/>
      <c r="S13" s="1210"/>
      <c r="T13" s="1626"/>
      <c r="U13" s="1646"/>
      <c r="V13" s="1646"/>
      <c r="W13" s="1214"/>
      <c r="X13" s="2523"/>
      <c r="Y13" s="1957"/>
      <c r="Z13" s="1958"/>
      <c r="AA13" s="1958"/>
      <c r="AB13" s="1959"/>
      <c r="AC13" s="2525"/>
      <c r="AD13" s="2271"/>
      <c r="AE13" s="2272"/>
      <c r="AF13" s="2272"/>
      <c r="AG13" s="2273"/>
      <c r="AH13" s="2273"/>
      <c r="AI13" s="2992"/>
      <c r="AJ13" s="2993"/>
      <c r="AK13" s="2993"/>
      <c r="AL13" s="2994"/>
      <c r="AM13" s="2994"/>
    </row>
    <row r="14" spans="1:39" ht="12.75" hidden="1" customHeight="1">
      <c r="A14" s="20"/>
      <c r="K14" s="1196"/>
      <c r="L14" s="1567"/>
      <c r="M14" s="1574"/>
      <c r="N14" s="1206"/>
      <c r="O14" s="1592"/>
      <c r="P14" s="1262"/>
      <c r="Q14" s="1262"/>
      <c r="R14" s="1210"/>
      <c r="S14" s="1210"/>
      <c r="T14" s="1626"/>
      <c r="U14" s="1646"/>
      <c r="V14" s="1646"/>
      <c r="W14" s="1214"/>
      <c r="X14" s="2523"/>
      <c r="Y14" s="1957"/>
      <c r="Z14" s="1958"/>
      <c r="AA14" s="1958"/>
      <c r="AB14" s="1959"/>
      <c r="AC14" s="2525"/>
      <c r="AD14" s="2271"/>
      <c r="AE14" s="2272"/>
      <c r="AF14" s="2272"/>
      <c r="AG14" s="2273"/>
      <c r="AH14" s="2273"/>
      <c r="AI14" s="2992"/>
      <c r="AJ14" s="2993"/>
      <c r="AK14" s="2993"/>
      <c r="AL14" s="2994"/>
      <c r="AM14" s="2994"/>
    </row>
    <row r="15" spans="1:39" ht="12.75" hidden="1" customHeight="1">
      <c r="A15" s="20"/>
      <c r="K15" s="1196"/>
      <c r="L15" s="1567"/>
      <c r="M15" s="1574"/>
      <c r="N15" s="1206"/>
      <c r="O15" s="1592"/>
      <c r="P15" s="1262"/>
      <c r="Q15" s="1262"/>
      <c r="R15" s="1210"/>
      <c r="S15" s="1210"/>
      <c r="T15" s="1626"/>
      <c r="U15" s="1646"/>
      <c r="V15" s="1646"/>
      <c r="W15" s="1214"/>
      <c r="X15" s="2523"/>
      <c r="Y15" s="1957"/>
      <c r="Z15" s="1958"/>
      <c r="AA15" s="1958"/>
      <c r="AB15" s="1959"/>
      <c r="AC15" s="2525"/>
      <c r="AD15" s="2271"/>
      <c r="AE15" s="2272"/>
      <c r="AF15" s="2272"/>
      <c r="AG15" s="2273"/>
      <c r="AH15" s="2273"/>
      <c r="AI15" s="2992"/>
      <c r="AJ15" s="2993"/>
      <c r="AK15" s="2993"/>
      <c r="AL15" s="2994"/>
      <c r="AM15" s="2994"/>
    </row>
    <row r="16" spans="1:39" ht="12.75" hidden="1" customHeight="1">
      <c r="A16" s="45" t="s">
        <v>1624</v>
      </c>
      <c r="B16" t="s">
        <v>1618</v>
      </c>
      <c r="D16" s="103" t="s">
        <v>1448</v>
      </c>
      <c r="K16" s="1196"/>
      <c r="L16" s="1567"/>
      <c r="M16" s="1574"/>
      <c r="N16" s="1206"/>
      <c r="O16" s="1592"/>
      <c r="P16" s="1262"/>
      <c r="Q16" s="1262"/>
      <c r="R16" s="1210"/>
      <c r="S16" s="1210"/>
      <c r="T16" s="1626"/>
      <c r="U16" s="1646"/>
      <c r="V16" s="1646"/>
      <c r="W16" s="1214"/>
      <c r="X16" s="2523"/>
      <c r="Y16" s="1957"/>
      <c r="Z16" s="1958"/>
      <c r="AA16" s="1958"/>
      <c r="AB16" s="1959"/>
      <c r="AC16" s="2525"/>
      <c r="AD16" s="2271"/>
      <c r="AE16" s="2272"/>
      <c r="AF16" s="2272"/>
      <c r="AG16" s="2273"/>
      <c r="AH16" s="2273"/>
      <c r="AI16" s="2992"/>
      <c r="AJ16" s="2993"/>
      <c r="AK16" s="2993"/>
      <c r="AL16" s="2994"/>
      <c r="AM16" s="2994"/>
    </row>
    <row r="17" spans="1:39" ht="12.75" hidden="1" customHeight="1">
      <c r="A17" s="20"/>
      <c r="B17" s="35"/>
      <c r="E17" t="s">
        <v>1563</v>
      </c>
      <c r="K17" s="1196"/>
      <c r="L17" s="1567"/>
      <c r="M17" s="1574"/>
      <c r="N17" s="1206"/>
      <c r="O17" s="1592"/>
      <c r="P17" s="1262"/>
      <c r="Q17" s="1262"/>
      <c r="R17" s="1210"/>
      <c r="S17" s="1210"/>
      <c r="T17" s="1626"/>
      <c r="U17" s="1646"/>
      <c r="V17" s="1646"/>
      <c r="W17" s="1214"/>
      <c r="X17" s="2523"/>
      <c r="Y17" s="1957"/>
      <c r="Z17" s="1958"/>
      <c r="AA17" s="1958"/>
      <c r="AB17" s="1959"/>
      <c r="AC17" s="2525"/>
      <c r="AD17" s="2271"/>
      <c r="AE17" s="2272"/>
      <c r="AF17" s="2272"/>
      <c r="AG17" s="2273"/>
      <c r="AH17" s="2273"/>
      <c r="AI17" s="2992"/>
      <c r="AJ17" s="2993"/>
      <c r="AK17" s="2993"/>
      <c r="AL17" s="2994"/>
      <c r="AM17" s="2994"/>
    </row>
    <row r="18" spans="1:39" ht="12.75" hidden="1" customHeight="1">
      <c r="A18" s="20"/>
      <c r="E18" s="35" t="s">
        <v>760</v>
      </c>
      <c r="K18" s="1196"/>
      <c r="L18" s="1567"/>
      <c r="M18" s="1574"/>
      <c r="N18" s="1206"/>
      <c r="O18" s="1592"/>
      <c r="P18" s="1262"/>
      <c r="Q18" s="1262"/>
      <c r="R18" s="1210"/>
      <c r="S18" s="1210"/>
      <c r="T18" s="1626"/>
      <c r="U18" s="1646"/>
      <c r="V18" s="1646"/>
      <c r="W18" s="1214"/>
      <c r="X18" s="2523"/>
      <c r="Y18" s="1957"/>
      <c r="Z18" s="1958"/>
      <c r="AA18" s="1958"/>
      <c r="AB18" s="1959"/>
      <c r="AC18" s="2525"/>
      <c r="AD18" s="2271"/>
      <c r="AE18" s="2272"/>
      <c r="AF18" s="2272"/>
      <c r="AG18" s="2273"/>
      <c r="AH18" s="2273"/>
      <c r="AI18" s="2992"/>
      <c r="AJ18" s="2993"/>
      <c r="AK18" s="2993"/>
      <c r="AL18" s="2994"/>
      <c r="AM18" s="2994"/>
    </row>
    <row r="19" spans="1:39" ht="12.75" hidden="1" customHeight="1">
      <c r="A19" s="20"/>
      <c r="E19" t="s">
        <v>186</v>
      </c>
      <c r="K19" s="1196"/>
      <c r="L19" s="1567"/>
      <c r="M19" s="1574"/>
      <c r="N19" s="1206"/>
      <c r="O19" s="1592"/>
      <c r="P19" s="1262"/>
      <c r="Q19" s="1262"/>
      <c r="R19" s="1210"/>
      <c r="S19" s="1210"/>
      <c r="T19" s="1626"/>
      <c r="U19" s="1646"/>
      <c r="V19" s="1646"/>
      <c r="W19" s="1214"/>
      <c r="X19" s="2523"/>
      <c r="Y19" s="1957"/>
      <c r="Z19" s="1958"/>
      <c r="AA19" s="1958"/>
      <c r="AB19" s="1959"/>
      <c r="AC19" s="2525"/>
      <c r="AD19" s="2271"/>
      <c r="AE19" s="2272"/>
      <c r="AF19" s="2272"/>
      <c r="AG19" s="2273"/>
      <c r="AH19" s="2273"/>
      <c r="AI19" s="2992"/>
      <c r="AJ19" s="2993"/>
      <c r="AK19" s="2993"/>
      <c r="AL19" s="2994"/>
      <c r="AM19" s="2994"/>
    </row>
    <row r="20" spans="1:39" ht="12.75" hidden="1" customHeight="1">
      <c r="A20" s="45" t="s">
        <v>1625</v>
      </c>
      <c r="B20" t="s">
        <v>1619</v>
      </c>
      <c r="D20" s="103" t="s">
        <v>1448</v>
      </c>
      <c r="K20" s="1196"/>
      <c r="L20" s="1567"/>
      <c r="M20" s="1574"/>
      <c r="N20" s="1206"/>
      <c r="O20" s="1592"/>
      <c r="P20" s="1262"/>
      <c r="Q20" s="1262"/>
      <c r="R20" s="1210"/>
      <c r="S20" s="1210"/>
      <c r="T20" s="1626"/>
      <c r="U20" s="1646"/>
      <c r="V20" s="1646"/>
      <c r="W20" s="1214"/>
      <c r="X20" s="2523"/>
      <c r="Y20" s="1957"/>
      <c r="Z20" s="1958"/>
      <c r="AA20" s="1958"/>
      <c r="AB20" s="1959"/>
      <c r="AC20" s="2525"/>
      <c r="AD20" s="2271"/>
      <c r="AE20" s="2272"/>
      <c r="AF20" s="2272"/>
      <c r="AG20" s="2273"/>
      <c r="AH20" s="2273"/>
      <c r="AI20" s="2992"/>
      <c r="AJ20" s="2993"/>
      <c r="AK20" s="2993"/>
      <c r="AL20" s="2994"/>
      <c r="AM20" s="2994"/>
    </row>
    <row r="21" spans="1:39" ht="12.75" hidden="1" customHeight="1">
      <c r="A21" s="20"/>
      <c r="B21" s="35"/>
      <c r="E21" t="s">
        <v>1563</v>
      </c>
      <c r="K21" s="1196"/>
      <c r="L21" s="1567"/>
      <c r="M21" s="1574"/>
      <c r="N21" s="1206"/>
      <c r="O21" s="1592"/>
      <c r="P21" s="1262"/>
      <c r="Q21" s="1262"/>
      <c r="R21" s="1210"/>
      <c r="S21" s="1210"/>
      <c r="T21" s="1626"/>
      <c r="U21" s="1646"/>
      <c r="V21" s="1646"/>
      <c r="W21" s="1214"/>
      <c r="X21" s="2523"/>
      <c r="Y21" s="1957"/>
      <c r="Z21" s="1958"/>
      <c r="AA21" s="1958"/>
      <c r="AB21" s="1959"/>
      <c r="AC21" s="2525"/>
      <c r="AD21" s="2271"/>
      <c r="AE21" s="2272"/>
      <c r="AF21" s="2272"/>
      <c r="AG21" s="2273"/>
      <c r="AH21" s="2273"/>
      <c r="AI21" s="2992"/>
      <c r="AJ21" s="2993"/>
      <c r="AK21" s="2993"/>
      <c r="AL21" s="2994"/>
      <c r="AM21" s="2994"/>
    </row>
    <row r="22" spans="1:39" ht="12.75" hidden="1" customHeight="1">
      <c r="A22" s="20"/>
      <c r="E22" s="35" t="s">
        <v>760</v>
      </c>
      <c r="K22" s="1196"/>
      <c r="L22" s="1567"/>
      <c r="M22" s="1574"/>
      <c r="N22" s="1206"/>
      <c r="O22" s="1592"/>
      <c r="P22" s="1262"/>
      <c r="Q22" s="1262"/>
      <c r="R22" s="1210"/>
      <c r="S22" s="1210"/>
      <c r="T22" s="1626"/>
      <c r="U22" s="1646"/>
      <c r="V22" s="1646"/>
      <c r="W22" s="1214"/>
      <c r="X22" s="2523"/>
      <c r="Y22" s="1957"/>
      <c r="Z22" s="1958"/>
      <c r="AA22" s="1958"/>
      <c r="AB22" s="1959"/>
      <c r="AC22" s="2525"/>
      <c r="AD22" s="2271"/>
      <c r="AE22" s="2272"/>
      <c r="AF22" s="2272"/>
      <c r="AG22" s="2273"/>
      <c r="AH22" s="2273"/>
      <c r="AI22" s="2992"/>
      <c r="AJ22" s="2993"/>
      <c r="AK22" s="2993"/>
      <c r="AL22" s="2994"/>
      <c r="AM22" s="2994"/>
    </row>
    <row r="23" spans="1:39" ht="12.75" hidden="1" customHeight="1">
      <c r="A23" s="20"/>
      <c r="E23" t="s">
        <v>186</v>
      </c>
      <c r="K23" s="1196"/>
      <c r="L23" s="1567"/>
      <c r="M23" s="1574"/>
      <c r="N23" s="1206"/>
      <c r="O23" s="1592"/>
      <c r="P23" s="1262"/>
      <c r="Q23" s="1262"/>
      <c r="R23" s="1210"/>
      <c r="S23" s="1210"/>
      <c r="T23" s="1626"/>
      <c r="U23" s="1646"/>
      <c r="V23" s="1646"/>
      <c r="W23" s="1214"/>
      <c r="X23" s="2523"/>
      <c r="Y23" s="1957"/>
      <c r="Z23" s="1958"/>
      <c r="AA23" s="1958"/>
      <c r="AB23" s="1959"/>
      <c r="AC23" s="2525"/>
      <c r="AD23" s="2271"/>
      <c r="AE23" s="2272"/>
      <c r="AF23" s="2272"/>
      <c r="AG23" s="2273"/>
      <c r="AH23" s="2273"/>
      <c r="AI23" s="2992"/>
      <c r="AJ23" s="2993"/>
      <c r="AK23" s="2993"/>
      <c r="AL23" s="2994"/>
      <c r="AM23" s="2994"/>
    </row>
    <row r="24" spans="1:39" ht="12.75" hidden="1" customHeight="1">
      <c r="A24" s="45" t="s">
        <v>1626</v>
      </c>
      <c r="B24" t="s">
        <v>2153</v>
      </c>
      <c r="D24" s="103" t="s">
        <v>1448</v>
      </c>
      <c r="K24" s="1196"/>
      <c r="L24" s="1567"/>
      <c r="M24" s="1574"/>
      <c r="N24" s="1206"/>
      <c r="O24" s="1592"/>
      <c r="P24" s="1262"/>
      <c r="Q24" s="1262"/>
      <c r="R24" s="1210"/>
      <c r="S24" s="1210"/>
      <c r="T24" s="1626"/>
      <c r="U24" s="1646"/>
      <c r="V24" s="1646"/>
      <c r="W24" s="1214"/>
      <c r="X24" s="2523"/>
      <c r="Y24" s="1957"/>
      <c r="Z24" s="1958"/>
      <c r="AA24" s="1958"/>
      <c r="AB24" s="1959"/>
      <c r="AC24" s="2525"/>
      <c r="AD24" s="2271"/>
      <c r="AE24" s="2272"/>
      <c r="AF24" s="2272"/>
      <c r="AG24" s="2273"/>
      <c r="AH24" s="2273"/>
      <c r="AI24" s="2992"/>
      <c r="AJ24" s="2993"/>
      <c r="AK24" s="2993"/>
      <c r="AL24" s="2994"/>
      <c r="AM24" s="2994"/>
    </row>
    <row r="25" spans="1:39" ht="12.75" hidden="1" customHeight="1">
      <c r="A25" s="20"/>
      <c r="B25" s="35"/>
      <c r="E25" t="s">
        <v>1563</v>
      </c>
      <c r="K25" s="1196"/>
      <c r="L25" s="1567"/>
      <c r="M25" s="1574"/>
      <c r="N25" s="1206"/>
      <c r="O25" s="1592"/>
      <c r="P25" s="1262"/>
      <c r="Q25" s="1262"/>
      <c r="R25" s="1210"/>
      <c r="S25" s="1210"/>
      <c r="T25" s="1626"/>
      <c r="U25" s="1646"/>
      <c r="V25" s="1646"/>
      <c r="W25" s="1214"/>
      <c r="X25" s="2523"/>
      <c r="Y25" s="1957"/>
      <c r="Z25" s="1958"/>
      <c r="AA25" s="1958"/>
      <c r="AB25" s="1959"/>
      <c r="AC25" s="2525"/>
      <c r="AD25" s="2271"/>
      <c r="AE25" s="2272"/>
      <c r="AF25" s="2272"/>
      <c r="AG25" s="2273"/>
      <c r="AH25" s="2273"/>
      <c r="AI25" s="2992"/>
      <c r="AJ25" s="2993"/>
      <c r="AK25" s="2993"/>
      <c r="AL25" s="2994"/>
      <c r="AM25" s="2994"/>
    </row>
    <row r="26" spans="1:39" ht="12.75" hidden="1" customHeight="1">
      <c r="A26" s="20"/>
      <c r="E26" s="35" t="s">
        <v>760</v>
      </c>
      <c r="K26" s="1196"/>
      <c r="L26" s="1567"/>
      <c r="M26" s="1574"/>
      <c r="N26" s="1206"/>
      <c r="O26" s="1592"/>
      <c r="P26" s="1262"/>
      <c r="Q26" s="1262"/>
      <c r="R26" s="1210"/>
      <c r="S26" s="1210"/>
      <c r="T26" s="1626"/>
      <c r="U26" s="1646"/>
      <c r="V26" s="1646"/>
      <c r="W26" s="1214"/>
      <c r="X26" s="2523"/>
      <c r="Y26" s="1957"/>
      <c r="Z26" s="1958"/>
      <c r="AA26" s="1958"/>
      <c r="AB26" s="1959"/>
      <c r="AC26" s="2525"/>
      <c r="AD26" s="2271"/>
      <c r="AE26" s="2272"/>
      <c r="AF26" s="2272"/>
      <c r="AG26" s="2273"/>
      <c r="AH26" s="2273"/>
      <c r="AI26" s="2992"/>
      <c r="AJ26" s="2993"/>
      <c r="AK26" s="2993"/>
      <c r="AL26" s="2994"/>
      <c r="AM26" s="2994"/>
    </row>
    <row r="27" spans="1:39" ht="12.75" hidden="1" customHeight="1">
      <c r="A27" s="20"/>
      <c r="E27" t="s">
        <v>186</v>
      </c>
      <c r="K27" s="1196"/>
      <c r="L27" s="1567"/>
      <c r="M27" s="1574"/>
      <c r="N27" s="1206"/>
      <c r="O27" s="1592"/>
      <c r="P27" s="1262"/>
      <c r="Q27" s="1262"/>
      <c r="R27" s="1210"/>
      <c r="S27" s="1210"/>
      <c r="T27" s="1626"/>
      <c r="U27" s="1646"/>
      <c r="V27" s="1646"/>
      <c r="W27" s="1214"/>
      <c r="X27" s="2523"/>
      <c r="Y27" s="1957"/>
      <c r="Z27" s="1958"/>
      <c r="AA27" s="1958"/>
      <c r="AB27" s="1959"/>
      <c r="AC27" s="2525"/>
      <c r="AD27" s="2271"/>
      <c r="AE27" s="2272"/>
      <c r="AF27" s="2272"/>
      <c r="AG27" s="2273"/>
      <c r="AH27" s="2273"/>
      <c r="AI27" s="2992"/>
      <c r="AJ27" s="2993"/>
      <c r="AK27" s="2993"/>
      <c r="AL27" s="2994"/>
      <c r="AM27" s="2994"/>
    </row>
    <row r="28" spans="1:39" ht="12.75" hidden="1" customHeight="1">
      <c r="A28" s="45" t="s">
        <v>1627</v>
      </c>
      <c r="B28" t="s">
        <v>708</v>
      </c>
      <c r="D28" s="103" t="s">
        <v>1448</v>
      </c>
      <c r="K28" s="1196"/>
      <c r="L28" s="1567"/>
      <c r="M28" s="1574"/>
      <c r="N28" s="1206"/>
      <c r="O28" s="1592"/>
      <c r="P28" s="1262"/>
      <c r="Q28" s="1262"/>
      <c r="R28" s="1210"/>
      <c r="S28" s="1210"/>
      <c r="T28" s="1626"/>
      <c r="U28" s="1646"/>
      <c r="V28" s="1646"/>
      <c r="W28" s="1214"/>
      <c r="X28" s="2523"/>
      <c r="Y28" s="1957"/>
      <c r="Z28" s="1958"/>
      <c r="AA28" s="1958"/>
      <c r="AB28" s="1959"/>
      <c r="AC28" s="2525"/>
      <c r="AD28" s="2271"/>
      <c r="AE28" s="2272"/>
      <c r="AF28" s="2272"/>
      <c r="AG28" s="2273"/>
      <c r="AH28" s="2273"/>
      <c r="AI28" s="2992"/>
      <c r="AJ28" s="2993"/>
      <c r="AK28" s="2993"/>
      <c r="AL28" s="2994"/>
      <c r="AM28" s="2994"/>
    </row>
    <row r="29" spans="1:39" ht="12.75" hidden="1" customHeight="1">
      <c r="A29" s="20"/>
      <c r="B29" s="35"/>
      <c r="E29" t="s">
        <v>1563</v>
      </c>
      <c r="K29" s="1196"/>
      <c r="L29" s="1567"/>
      <c r="M29" s="1574"/>
      <c r="N29" s="1206"/>
      <c r="O29" s="1592"/>
      <c r="P29" s="1262"/>
      <c r="Q29" s="1262"/>
      <c r="R29" s="1210"/>
      <c r="S29" s="1210"/>
      <c r="T29" s="1626"/>
      <c r="U29" s="1646"/>
      <c r="V29" s="1646"/>
      <c r="W29" s="1214"/>
      <c r="X29" s="2523"/>
      <c r="Y29" s="1957"/>
      <c r="Z29" s="1958"/>
      <c r="AA29" s="1958"/>
      <c r="AB29" s="1959"/>
      <c r="AC29" s="2525"/>
      <c r="AD29" s="2271"/>
      <c r="AE29" s="2272"/>
      <c r="AF29" s="2272"/>
      <c r="AG29" s="2273"/>
      <c r="AH29" s="2273"/>
      <c r="AI29" s="2992"/>
      <c r="AJ29" s="2993"/>
      <c r="AK29" s="2993"/>
      <c r="AL29" s="2994"/>
      <c r="AM29" s="2994"/>
    </row>
    <row r="30" spans="1:39" ht="12.75" hidden="1" customHeight="1">
      <c r="A30" s="20"/>
      <c r="E30" s="35" t="s">
        <v>760</v>
      </c>
      <c r="K30" s="1196"/>
      <c r="L30" s="1567"/>
      <c r="M30" s="1574"/>
      <c r="N30" s="1206"/>
      <c r="O30" s="1592"/>
      <c r="P30" s="1262"/>
      <c r="Q30" s="1262"/>
      <c r="R30" s="1210"/>
      <c r="S30" s="1210"/>
      <c r="T30" s="1626"/>
      <c r="U30" s="1646"/>
      <c r="V30" s="1646"/>
      <c r="W30" s="1214"/>
      <c r="X30" s="2523"/>
      <c r="Y30" s="1957"/>
      <c r="Z30" s="1958"/>
      <c r="AA30" s="1958"/>
      <c r="AB30" s="1959"/>
      <c r="AC30" s="2525"/>
      <c r="AD30" s="2271"/>
      <c r="AE30" s="2272"/>
      <c r="AF30" s="2272"/>
      <c r="AG30" s="2273"/>
      <c r="AH30" s="2273"/>
      <c r="AI30" s="2992"/>
      <c r="AJ30" s="2993"/>
      <c r="AK30" s="2993"/>
      <c r="AL30" s="2994"/>
      <c r="AM30" s="2994"/>
    </row>
    <row r="31" spans="1:39" ht="12.75" hidden="1" customHeight="1">
      <c r="A31" s="20"/>
      <c r="E31" t="s">
        <v>186</v>
      </c>
      <c r="K31" s="1196"/>
      <c r="L31" s="1567"/>
      <c r="M31" s="1574"/>
      <c r="N31" s="1206"/>
      <c r="O31" s="1592"/>
      <c r="P31" s="1262"/>
      <c r="Q31" s="1262"/>
      <c r="R31" s="1210"/>
      <c r="S31" s="1210"/>
      <c r="T31" s="1626"/>
      <c r="U31" s="1646"/>
      <c r="V31" s="1646"/>
      <c r="W31" s="1214"/>
      <c r="X31" s="2523"/>
      <c r="Y31" s="1957"/>
      <c r="Z31" s="1958"/>
      <c r="AA31" s="1958"/>
      <c r="AB31" s="1959"/>
      <c r="AC31" s="2525"/>
      <c r="AD31" s="2271"/>
      <c r="AE31" s="2272"/>
      <c r="AF31" s="2272"/>
      <c r="AG31" s="2273"/>
      <c r="AH31" s="2273"/>
      <c r="AI31" s="2992"/>
      <c r="AJ31" s="2993"/>
      <c r="AK31" s="2993"/>
      <c r="AL31" s="2994"/>
      <c r="AM31" s="2994"/>
    </row>
    <row r="32" spans="1:39" ht="12.75" hidden="1" customHeight="1">
      <c r="A32" s="45" t="s">
        <v>2409</v>
      </c>
      <c r="B32" t="s">
        <v>2410</v>
      </c>
      <c r="D32" s="103" t="s">
        <v>1448</v>
      </c>
      <c r="K32" s="1196"/>
      <c r="L32" s="1567"/>
      <c r="M32" s="1574"/>
      <c r="N32" s="1206"/>
      <c r="O32" s="1592"/>
      <c r="P32" s="1262"/>
      <c r="Q32" s="1262"/>
      <c r="R32" s="1210"/>
      <c r="S32" s="1210"/>
      <c r="T32" s="1626"/>
      <c r="U32" s="1646"/>
      <c r="V32" s="1646"/>
      <c r="W32" s="1214"/>
      <c r="X32" s="2523"/>
      <c r="Y32" s="1957"/>
      <c r="Z32" s="1958"/>
      <c r="AA32" s="1958"/>
      <c r="AB32" s="1959"/>
      <c r="AC32" s="2525"/>
      <c r="AD32" s="2271"/>
      <c r="AE32" s="2272"/>
      <c r="AF32" s="2272"/>
      <c r="AG32" s="2273"/>
      <c r="AH32" s="2273"/>
      <c r="AI32" s="2992"/>
      <c r="AJ32" s="2993"/>
      <c r="AK32" s="2993"/>
      <c r="AL32" s="2994"/>
      <c r="AM32" s="2994"/>
    </row>
    <row r="33" spans="1:39" ht="12.75" hidden="1" customHeight="1">
      <c r="A33" s="20"/>
      <c r="B33" s="35"/>
      <c r="E33" t="s">
        <v>1563</v>
      </c>
      <c r="K33" s="1196"/>
      <c r="L33" s="1567"/>
      <c r="M33" s="1574"/>
      <c r="N33" s="1206"/>
      <c r="O33" s="1592"/>
      <c r="P33" s="1262"/>
      <c r="Q33" s="1262"/>
      <c r="R33" s="1210"/>
      <c r="S33" s="1210"/>
      <c r="T33" s="1626"/>
      <c r="U33" s="1646"/>
      <c r="V33" s="1646"/>
      <c r="W33" s="1214"/>
      <c r="X33" s="2523"/>
      <c r="Y33" s="1957"/>
      <c r="Z33" s="1958"/>
      <c r="AA33" s="1958"/>
      <c r="AB33" s="1959"/>
      <c r="AC33" s="2525"/>
      <c r="AD33" s="2271"/>
      <c r="AE33" s="2272"/>
      <c r="AF33" s="2272"/>
      <c r="AG33" s="2273"/>
      <c r="AH33" s="2273"/>
      <c r="AI33" s="2992"/>
      <c r="AJ33" s="2993"/>
      <c r="AK33" s="2993"/>
      <c r="AL33" s="2994"/>
      <c r="AM33" s="2994"/>
    </row>
    <row r="34" spans="1:39" ht="12.75" hidden="1" customHeight="1">
      <c r="A34" s="20"/>
      <c r="E34" s="35" t="s">
        <v>760</v>
      </c>
      <c r="K34" s="1196"/>
      <c r="L34" s="1567"/>
      <c r="M34" s="1574"/>
      <c r="N34" s="1206"/>
      <c r="O34" s="1592"/>
      <c r="P34" s="1262"/>
      <c r="Q34" s="1262"/>
      <c r="R34" s="1210"/>
      <c r="S34" s="1210"/>
      <c r="T34" s="1626"/>
      <c r="U34" s="1646"/>
      <c r="V34" s="1646"/>
      <c r="W34" s="1214"/>
      <c r="X34" s="2523"/>
      <c r="Y34" s="1957"/>
      <c r="Z34" s="1958"/>
      <c r="AA34" s="1958"/>
      <c r="AB34" s="1959"/>
      <c r="AC34" s="2525"/>
      <c r="AD34" s="2271"/>
      <c r="AE34" s="2272"/>
      <c r="AF34" s="2272"/>
      <c r="AG34" s="2273"/>
      <c r="AH34" s="2273"/>
      <c r="AI34" s="2992"/>
      <c r="AJ34" s="2993"/>
      <c r="AK34" s="2993"/>
      <c r="AL34" s="2994"/>
      <c r="AM34" s="2994"/>
    </row>
    <row r="35" spans="1:39" ht="12.75" hidden="1" customHeight="1">
      <c r="A35" s="20"/>
      <c r="E35" t="s">
        <v>186</v>
      </c>
      <c r="K35" s="1196"/>
      <c r="L35" s="1567"/>
      <c r="M35" s="1574"/>
      <c r="N35" s="1206"/>
      <c r="O35" s="1592"/>
      <c r="P35" s="1262"/>
      <c r="Q35" s="1262"/>
      <c r="R35" s="1210"/>
      <c r="S35" s="1210"/>
      <c r="T35" s="1626"/>
      <c r="U35" s="1646"/>
      <c r="V35" s="1646"/>
      <c r="W35" s="1214"/>
      <c r="X35" s="2523"/>
      <c r="Y35" s="1957"/>
      <c r="Z35" s="1958"/>
      <c r="AA35" s="1958"/>
      <c r="AB35" s="1959"/>
      <c r="AC35" s="2525"/>
      <c r="AD35" s="2271"/>
      <c r="AE35" s="2272"/>
      <c r="AF35" s="2272"/>
      <c r="AG35" s="2273"/>
      <c r="AH35" s="2273"/>
      <c r="AI35" s="2992"/>
      <c r="AJ35" s="2993"/>
      <c r="AK35" s="2993"/>
      <c r="AL35" s="2994"/>
      <c r="AM35" s="2994"/>
    </row>
    <row r="36" spans="1:39" ht="12.75" hidden="1" customHeight="1">
      <c r="A36" s="45" t="s">
        <v>1551</v>
      </c>
      <c r="B36" t="s">
        <v>255</v>
      </c>
      <c r="D36" s="103" t="s">
        <v>1448</v>
      </c>
      <c r="K36" s="1196"/>
      <c r="L36" s="1567"/>
      <c r="M36" s="1574"/>
      <c r="N36" s="1206"/>
      <c r="O36" s="1592"/>
      <c r="P36" s="1262"/>
      <c r="Q36" s="1262"/>
      <c r="R36" s="1210"/>
      <c r="S36" s="1210"/>
      <c r="T36" s="1626"/>
      <c r="U36" s="1646"/>
      <c r="V36" s="1646"/>
      <c r="W36" s="1214"/>
      <c r="X36" s="2523"/>
      <c r="Y36" s="1957"/>
      <c r="Z36" s="1958"/>
      <c r="AA36" s="1958"/>
      <c r="AB36" s="1959"/>
      <c r="AC36" s="2525"/>
      <c r="AD36" s="2271"/>
      <c r="AE36" s="2272"/>
      <c r="AF36" s="2272"/>
      <c r="AG36" s="2273"/>
      <c r="AH36" s="2273"/>
      <c r="AI36" s="2992"/>
      <c r="AJ36" s="2993"/>
      <c r="AK36" s="2993"/>
      <c r="AL36" s="2994"/>
      <c r="AM36" s="2994"/>
    </row>
    <row r="37" spans="1:39" ht="12.75" hidden="1" customHeight="1">
      <c r="A37" s="20"/>
      <c r="B37" s="35"/>
      <c r="E37" t="s">
        <v>1563</v>
      </c>
      <c r="K37" s="1196"/>
      <c r="L37" s="1567"/>
      <c r="M37" s="1574"/>
      <c r="N37" s="1206"/>
      <c r="O37" s="1592"/>
      <c r="P37" s="1262"/>
      <c r="Q37" s="1262"/>
      <c r="R37" s="1210"/>
      <c r="S37" s="1210"/>
      <c r="T37" s="1626"/>
      <c r="U37" s="1646"/>
      <c r="V37" s="1646"/>
      <c r="W37" s="1214"/>
      <c r="X37" s="2523"/>
      <c r="Y37" s="1957"/>
      <c r="Z37" s="1958"/>
      <c r="AA37" s="1958"/>
      <c r="AB37" s="1959"/>
      <c r="AC37" s="2525"/>
      <c r="AD37" s="2271"/>
      <c r="AE37" s="2272"/>
      <c r="AF37" s="2272"/>
      <c r="AG37" s="2273"/>
      <c r="AH37" s="2273"/>
      <c r="AI37" s="2992"/>
      <c r="AJ37" s="2993"/>
      <c r="AK37" s="2993"/>
      <c r="AL37" s="2994"/>
      <c r="AM37" s="2994"/>
    </row>
    <row r="38" spans="1:39" ht="12.75" hidden="1" customHeight="1">
      <c r="A38" s="20"/>
      <c r="E38" s="35" t="s">
        <v>760</v>
      </c>
      <c r="K38" s="1196"/>
      <c r="L38" s="1567"/>
      <c r="M38" s="1574"/>
      <c r="N38" s="1206"/>
      <c r="O38" s="1592"/>
      <c r="P38" s="1262"/>
      <c r="Q38" s="1262"/>
      <c r="R38" s="1210"/>
      <c r="S38" s="1210"/>
      <c r="T38" s="1626"/>
      <c r="U38" s="1646"/>
      <c r="V38" s="1646"/>
      <c r="W38" s="1214"/>
      <c r="X38" s="2523"/>
      <c r="Y38" s="1957"/>
      <c r="Z38" s="1958"/>
      <c r="AA38" s="1958"/>
      <c r="AB38" s="1959"/>
      <c r="AC38" s="2525"/>
      <c r="AD38" s="2271"/>
      <c r="AE38" s="2272"/>
      <c r="AF38" s="2272"/>
      <c r="AG38" s="2273"/>
      <c r="AH38" s="2273"/>
      <c r="AI38" s="2992"/>
      <c r="AJ38" s="2993"/>
      <c r="AK38" s="2993"/>
      <c r="AL38" s="2994"/>
      <c r="AM38" s="2994"/>
    </row>
    <row r="39" spans="1:39" ht="12.75" hidden="1" customHeight="1">
      <c r="A39" s="20"/>
      <c r="E39" t="s">
        <v>186</v>
      </c>
      <c r="K39" s="1196"/>
      <c r="L39" s="1567"/>
      <c r="M39" s="1574"/>
      <c r="N39" s="1206"/>
      <c r="O39" s="1592"/>
      <c r="P39" s="1262"/>
      <c r="Q39" s="1262"/>
      <c r="R39" s="1210"/>
      <c r="S39" s="1210"/>
      <c r="T39" s="1626"/>
      <c r="U39" s="1646"/>
      <c r="V39" s="1646"/>
      <c r="W39" s="1214"/>
      <c r="X39" s="2523"/>
      <c r="Y39" s="1957"/>
      <c r="Z39" s="1958"/>
      <c r="AA39" s="1958"/>
      <c r="AB39" s="1959"/>
      <c r="AC39" s="2525"/>
      <c r="AD39" s="2271"/>
      <c r="AE39" s="2272"/>
      <c r="AF39" s="2272"/>
      <c r="AG39" s="2273"/>
      <c r="AH39" s="2273"/>
      <c r="AI39" s="2992"/>
      <c r="AJ39" s="2993"/>
      <c r="AK39" s="2993"/>
      <c r="AL39" s="2994"/>
      <c r="AM39" s="2994"/>
    </row>
    <row r="40" spans="1:39" ht="12.75" hidden="1" customHeight="1">
      <c r="A40" s="45" t="s">
        <v>1552</v>
      </c>
      <c r="B40" t="s">
        <v>256</v>
      </c>
      <c r="D40" s="103" t="s">
        <v>1448</v>
      </c>
      <c r="K40" s="1196"/>
      <c r="L40" s="1567"/>
      <c r="M40" s="1574"/>
      <c r="N40" s="1206"/>
      <c r="O40" s="1592"/>
      <c r="P40" s="1262"/>
      <c r="Q40" s="1262"/>
      <c r="R40" s="1210"/>
      <c r="S40" s="1210"/>
      <c r="T40" s="1626"/>
      <c r="U40" s="1646"/>
      <c r="V40" s="1646"/>
      <c r="W40" s="1214"/>
      <c r="X40" s="2523"/>
      <c r="Y40" s="1957"/>
      <c r="Z40" s="1958"/>
      <c r="AA40" s="1958"/>
      <c r="AB40" s="1959"/>
      <c r="AC40" s="2525"/>
      <c r="AD40" s="2271"/>
      <c r="AE40" s="2272"/>
      <c r="AF40" s="2272"/>
      <c r="AG40" s="2273"/>
      <c r="AH40" s="2273"/>
      <c r="AI40" s="2992"/>
      <c r="AJ40" s="2993"/>
      <c r="AK40" s="2993"/>
      <c r="AL40" s="2994"/>
      <c r="AM40" s="2994"/>
    </row>
    <row r="41" spans="1:39" ht="12.75" hidden="1" customHeight="1">
      <c r="A41" s="20"/>
      <c r="B41" s="35"/>
      <c r="E41" t="s">
        <v>1563</v>
      </c>
      <c r="K41" s="1196"/>
      <c r="L41" s="1567"/>
      <c r="M41" s="1574"/>
      <c r="N41" s="1206"/>
      <c r="O41" s="1592"/>
      <c r="P41" s="1262"/>
      <c r="Q41" s="1262"/>
      <c r="R41" s="1210"/>
      <c r="S41" s="1210"/>
      <c r="T41" s="1626"/>
      <c r="U41" s="1646"/>
      <c r="V41" s="1646"/>
      <c r="W41" s="1214"/>
      <c r="X41" s="2523"/>
      <c r="Y41" s="1957"/>
      <c r="Z41" s="1958"/>
      <c r="AA41" s="1958"/>
      <c r="AB41" s="1959"/>
      <c r="AC41" s="2525"/>
      <c r="AD41" s="2271"/>
      <c r="AE41" s="2272"/>
      <c r="AF41" s="2272"/>
      <c r="AG41" s="2273"/>
      <c r="AH41" s="2273"/>
      <c r="AI41" s="2992"/>
      <c r="AJ41" s="2993"/>
      <c r="AK41" s="2993"/>
      <c r="AL41" s="2994"/>
      <c r="AM41" s="2994"/>
    </row>
    <row r="42" spans="1:39" ht="12.75" hidden="1" customHeight="1">
      <c r="A42" s="20"/>
      <c r="E42" s="35" t="s">
        <v>760</v>
      </c>
      <c r="K42" s="1196"/>
      <c r="L42" s="1567"/>
      <c r="M42" s="1574"/>
      <c r="N42" s="1206"/>
      <c r="O42" s="1592"/>
      <c r="P42" s="1262"/>
      <c r="Q42" s="1262"/>
      <c r="R42" s="1210"/>
      <c r="S42" s="1210"/>
      <c r="T42" s="1626"/>
      <c r="U42" s="1646"/>
      <c r="V42" s="1646"/>
      <c r="W42" s="1214"/>
      <c r="X42" s="2523"/>
      <c r="Y42" s="1957"/>
      <c r="Z42" s="1958"/>
      <c r="AA42" s="1958"/>
      <c r="AB42" s="1959"/>
      <c r="AC42" s="2525"/>
      <c r="AD42" s="2271"/>
      <c r="AE42" s="2272"/>
      <c r="AF42" s="2272"/>
      <c r="AG42" s="2273"/>
      <c r="AH42" s="2273"/>
      <c r="AI42" s="2992"/>
      <c r="AJ42" s="2993"/>
      <c r="AK42" s="2993"/>
      <c r="AL42" s="2994"/>
      <c r="AM42" s="2994"/>
    </row>
    <row r="43" spans="1:39" ht="12.75" hidden="1" customHeight="1">
      <c r="A43" s="20"/>
      <c r="E43" t="s">
        <v>186</v>
      </c>
      <c r="K43" s="1196"/>
      <c r="L43" s="1567"/>
      <c r="M43" s="1574"/>
      <c r="N43" s="1206"/>
      <c r="O43" s="1592"/>
      <c r="P43" s="1262"/>
      <c r="Q43" s="1262"/>
      <c r="R43" s="1210"/>
      <c r="S43" s="1210"/>
      <c r="T43" s="1626"/>
      <c r="U43" s="1646"/>
      <c r="V43" s="1646"/>
      <c r="W43" s="1214"/>
      <c r="X43" s="2523"/>
      <c r="Y43" s="1957"/>
      <c r="Z43" s="1958"/>
      <c r="AA43" s="1958"/>
      <c r="AB43" s="1959"/>
      <c r="AC43" s="2525"/>
      <c r="AD43" s="2271"/>
      <c r="AE43" s="2272"/>
      <c r="AF43" s="2272"/>
      <c r="AG43" s="2273"/>
      <c r="AH43" s="2273"/>
      <c r="AI43" s="2992"/>
      <c r="AJ43" s="2993"/>
      <c r="AK43" s="2993"/>
      <c r="AL43" s="2994"/>
      <c r="AM43" s="2994"/>
    </row>
    <row r="44" spans="1:39" ht="12.75" hidden="1" customHeight="1">
      <c r="A44" s="45" t="s">
        <v>2182</v>
      </c>
      <c r="B44" t="s">
        <v>1260</v>
      </c>
      <c r="D44" s="103" t="s">
        <v>1448</v>
      </c>
      <c r="K44" s="1196"/>
      <c r="L44" s="1567"/>
      <c r="M44" s="1574"/>
      <c r="N44" s="1206"/>
      <c r="O44" s="1592"/>
      <c r="P44" s="1262"/>
      <c r="Q44" s="1262"/>
      <c r="R44" s="1210"/>
      <c r="S44" s="1210"/>
      <c r="T44" s="1626"/>
      <c r="U44" s="1646"/>
      <c r="V44" s="1646"/>
      <c r="W44" s="1214"/>
      <c r="X44" s="2523"/>
      <c r="Y44" s="1957"/>
      <c r="Z44" s="1958"/>
      <c r="AA44" s="1958"/>
      <c r="AB44" s="1959"/>
      <c r="AC44" s="2525"/>
      <c r="AD44" s="2271"/>
      <c r="AE44" s="2272"/>
      <c r="AF44" s="2272"/>
      <c r="AG44" s="2273"/>
      <c r="AH44" s="2273"/>
      <c r="AI44" s="2992"/>
      <c r="AJ44" s="2993"/>
      <c r="AK44" s="2993"/>
      <c r="AL44" s="2994"/>
      <c r="AM44" s="2994"/>
    </row>
    <row r="45" spans="1:39" ht="12.75" hidden="1" customHeight="1">
      <c r="A45" s="20"/>
      <c r="B45" s="35"/>
      <c r="E45" t="s">
        <v>1563</v>
      </c>
      <c r="K45" s="1196"/>
      <c r="L45" s="1567"/>
      <c r="M45" s="1574"/>
      <c r="N45" s="1206"/>
      <c r="O45" s="1592"/>
      <c r="P45" s="1262"/>
      <c r="Q45" s="1262"/>
      <c r="R45" s="1210"/>
      <c r="S45" s="1210"/>
      <c r="T45" s="1626"/>
      <c r="U45" s="1646"/>
      <c r="V45" s="1646"/>
      <c r="W45" s="1214"/>
      <c r="X45" s="2523"/>
      <c r="Y45" s="1957"/>
      <c r="Z45" s="1958"/>
      <c r="AA45" s="1958"/>
      <c r="AB45" s="1959"/>
      <c r="AC45" s="2525"/>
      <c r="AD45" s="2271"/>
      <c r="AE45" s="2272"/>
      <c r="AF45" s="2272"/>
      <c r="AG45" s="2273"/>
      <c r="AH45" s="2273"/>
      <c r="AI45" s="2992"/>
      <c r="AJ45" s="2993"/>
      <c r="AK45" s="2993"/>
      <c r="AL45" s="2994"/>
      <c r="AM45" s="2994"/>
    </row>
    <row r="46" spans="1:39" ht="12.75" hidden="1" customHeight="1">
      <c r="A46" s="20"/>
      <c r="E46" s="35" t="s">
        <v>760</v>
      </c>
      <c r="K46" s="1196"/>
      <c r="L46" s="1567"/>
      <c r="M46" s="1574"/>
      <c r="N46" s="1206"/>
      <c r="O46" s="1592"/>
      <c r="P46" s="1262"/>
      <c r="Q46" s="1262"/>
      <c r="R46" s="1210"/>
      <c r="S46" s="1210"/>
      <c r="T46" s="1626"/>
      <c r="U46" s="1646"/>
      <c r="V46" s="1646"/>
      <c r="W46" s="1214"/>
      <c r="X46" s="2523"/>
      <c r="Y46" s="1957"/>
      <c r="Z46" s="1958"/>
      <c r="AA46" s="1958"/>
      <c r="AB46" s="1959"/>
      <c r="AC46" s="2525"/>
      <c r="AD46" s="2271"/>
      <c r="AE46" s="2272"/>
      <c r="AF46" s="2272"/>
      <c r="AG46" s="2273"/>
      <c r="AH46" s="2273"/>
      <c r="AI46" s="2992"/>
      <c r="AJ46" s="2993"/>
      <c r="AK46" s="2993"/>
      <c r="AL46" s="2994"/>
      <c r="AM46" s="2994"/>
    </row>
    <row r="47" spans="1:39" ht="12.75" hidden="1" customHeight="1">
      <c r="A47" s="20"/>
      <c r="E47" t="s">
        <v>186</v>
      </c>
      <c r="K47" s="1196"/>
      <c r="L47" s="1567"/>
      <c r="M47" s="1574"/>
      <c r="N47" s="1206"/>
      <c r="O47" s="1592"/>
      <c r="P47" s="1262"/>
      <c r="Q47" s="1262"/>
      <c r="R47" s="1210"/>
      <c r="S47" s="1210"/>
      <c r="T47" s="1626"/>
      <c r="U47" s="1646"/>
      <c r="V47" s="1646"/>
      <c r="W47" s="1214"/>
      <c r="X47" s="2523"/>
      <c r="Y47" s="1957"/>
      <c r="Z47" s="1958"/>
      <c r="AA47" s="1958"/>
      <c r="AB47" s="1959"/>
      <c r="AC47" s="2525"/>
      <c r="AD47" s="2271"/>
      <c r="AE47" s="2272"/>
      <c r="AF47" s="2272"/>
      <c r="AG47" s="2273"/>
      <c r="AH47" s="2273"/>
      <c r="AI47" s="2992"/>
      <c r="AJ47" s="2993"/>
      <c r="AK47" s="2993"/>
      <c r="AL47" s="2994"/>
      <c r="AM47" s="2994"/>
    </row>
    <row r="48" spans="1:39" ht="12.75" hidden="1" customHeight="1">
      <c r="A48" s="45" t="s">
        <v>2303</v>
      </c>
      <c r="B48" t="s">
        <v>759</v>
      </c>
      <c r="D48" s="103" t="s">
        <v>1448</v>
      </c>
      <c r="K48" s="1196"/>
      <c r="L48" s="1567"/>
      <c r="M48" s="1574"/>
      <c r="N48" s="1206"/>
      <c r="O48" s="1592"/>
      <c r="P48" s="1262"/>
      <c r="Q48" s="1262"/>
      <c r="R48" s="1210"/>
      <c r="S48" s="1210"/>
      <c r="T48" s="1626"/>
      <c r="U48" s="1646"/>
      <c r="V48" s="1646"/>
      <c r="W48" s="1214"/>
      <c r="X48" s="2523"/>
      <c r="Y48" s="1957"/>
      <c r="Z48" s="1958"/>
      <c r="AA48" s="1958"/>
      <c r="AB48" s="1959"/>
      <c r="AC48" s="2525"/>
      <c r="AD48" s="2271"/>
      <c r="AE48" s="2272"/>
      <c r="AF48" s="2272"/>
      <c r="AG48" s="2273"/>
      <c r="AH48" s="2273"/>
      <c r="AI48" s="2992"/>
      <c r="AJ48" s="2993"/>
      <c r="AK48" s="2993"/>
      <c r="AL48" s="2994"/>
      <c r="AM48" s="2994"/>
    </row>
    <row r="49" spans="1:39" ht="12.75" hidden="1" customHeight="1">
      <c r="A49" s="20"/>
      <c r="B49" s="35"/>
      <c r="E49" t="s">
        <v>1563</v>
      </c>
      <c r="K49" s="1196"/>
      <c r="L49" s="1567"/>
      <c r="M49" s="1574"/>
      <c r="N49" s="1206"/>
      <c r="O49" s="1592"/>
      <c r="P49" s="1262"/>
      <c r="Q49" s="1262"/>
      <c r="R49" s="1210"/>
      <c r="S49" s="1210"/>
      <c r="T49" s="1626"/>
      <c r="U49" s="1646"/>
      <c r="V49" s="1646"/>
      <c r="W49" s="1214"/>
      <c r="X49" s="2523"/>
      <c r="Y49" s="1957"/>
      <c r="Z49" s="1958"/>
      <c r="AA49" s="1958"/>
      <c r="AB49" s="1959"/>
      <c r="AC49" s="2525"/>
      <c r="AD49" s="2271"/>
      <c r="AE49" s="2272"/>
      <c r="AF49" s="2272"/>
      <c r="AG49" s="2273"/>
      <c r="AH49" s="2273"/>
      <c r="AI49" s="2992"/>
      <c r="AJ49" s="2993"/>
      <c r="AK49" s="2993"/>
      <c r="AL49" s="2994"/>
      <c r="AM49" s="2994"/>
    </row>
    <row r="50" spans="1:39" ht="12.75" hidden="1" customHeight="1">
      <c r="A50" s="20"/>
      <c r="E50" s="35" t="s">
        <v>760</v>
      </c>
      <c r="K50" s="1196"/>
      <c r="L50" s="1567"/>
      <c r="M50" s="1574"/>
      <c r="N50" s="1206"/>
      <c r="O50" s="1592"/>
      <c r="P50" s="1262"/>
      <c r="Q50" s="1262"/>
      <c r="R50" s="1210"/>
      <c r="S50" s="1210"/>
      <c r="T50" s="1626"/>
      <c r="U50" s="1646"/>
      <c r="V50" s="1646"/>
      <c r="W50" s="1214"/>
      <c r="X50" s="2523"/>
      <c r="Y50" s="1957"/>
      <c r="Z50" s="1958"/>
      <c r="AA50" s="1958"/>
      <c r="AB50" s="1959"/>
      <c r="AC50" s="2525"/>
      <c r="AD50" s="2271"/>
      <c r="AE50" s="2272"/>
      <c r="AF50" s="2272"/>
      <c r="AG50" s="2273"/>
      <c r="AH50" s="2273"/>
      <c r="AI50" s="2992"/>
      <c r="AJ50" s="2993"/>
      <c r="AK50" s="2993"/>
      <c r="AL50" s="2994"/>
      <c r="AM50" s="2994"/>
    </row>
    <row r="51" spans="1:39" ht="12.75" hidden="1" customHeight="1">
      <c r="A51" s="20"/>
      <c r="E51" t="s">
        <v>186</v>
      </c>
      <c r="K51" s="1196"/>
      <c r="L51" s="1567"/>
      <c r="M51" s="1574"/>
      <c r="N51" s="1206"/>
      <c r="O51" s="1592"/>
      <c r="P51" s="1262"/>
      <c r="Q51" s="1262"/>
      <c r="R51" s="1210"/>
      <c r="S51" s="1210"/>
      <c r="T51" s="1626"/>
      <c r="U51" s="1646"/>
      <c r="V51" s="1646"/>
      <c r="W51" s="1214"/>
      <c r="X51" s="2523"/>
      <c r="Y51" s="1957"/>
      <c r="Z51" s="1958"/>
      <c r="AA51" s="1958"/>
      <c r="AB51" s="1959"/>
      <c r="AC51" s="2525"/>
      <c r="AD51" s="2271"/>
      <c r="AE51" s="2272"/>
      <c r="AF51" s="2272"/>
      <c r="AG51" s="2273"/>
      <c r="AH51" s="2273"/>
      <c r="AI51" s="2992"/>
      <c r="AJ51" s="2993"/>
      <c r="AK51" s="2993"/>
      <c r="AL51" s="2994"/>
      <c r="AM51" s="2994"/>
    </row>
    <row r="52" spans="1:39" ht="12.75" hidden="1" customHeight="1">
      <c r="A52" s="20"/>
      <c r="K52" s="1196"/>
      <c r="L52" s="1567"/>
      <c r="M52" s="1574"/>
      <c r="N52" s="1206"/>
      <c r="O52" s="1592"/>
      <c r="P52" s="1262"/>
      <c r="Q52" s="1262"/>
      <c r="R52" s="1210"/>
      <c r="S52" s="1210"/>
      <c r="T52" s="1626"/>
      <c r="U52" s="1646"/>
      <c r="V52" s="1646"/>
      <c r="W52" s="1214"/>
      <c r="X52" s="2523"/>
      <c r="Y52" s="1957"/>
      <c r="Z52" s="1958"/>
      <c r="AA52" s="1958"/>
      <c r="AB52" s="1959"/>
      <c r="AC52" s="2525"/>
      <c r="AD52" s="2271"/>
      <c r="AE52" s="2272"/>
      <c r="AF52" s="2272"/>
      <c r="AG52" s="2273"/>
      <c r="AH52" s="2273"/>
      <c r="AI52" s="2992"/>
      <c r="AJ52" s="2993"/>
      <c r="AK52" s="2993"/>
      <c r="AL52" s="2994"/>
      <c r="AM52" s="2994"/>
    </row>
    <row r="53" spans="1:39" ht="12.75" hidden="1" customHeight="1">
      <c r="A53" s="20"/>
      <c r="E53" t="s">
        <v>2704</v>
      </c>
      <c r="K53" s="1196"/>
      <c r="L53" s="1567"/>
      <c r="M53" s="1574"/>
      <c r="N53" s="1206"/>
      <c r="O53" s="1592"/>
      <c r="P53" s="1262"/>
      <c r="Q53" s="1262"/>
      <c r="R53" s="1210"/>
      <c r="S53" s="1210"/>
      <c r="T53" s="1626"/>
      <c r="U53" s="1646"/>
      <c r="V53" s="1646"/>
      <c r="W53" s="1214"/>
      <c r="X53" s="2523"/>
      <c r="Y53" s="1957"/>
      <c r="Z53" s="1958"/>
      <c r="AA53" s="1958"/>
      <c r="AB53" s="1959"/>
      <c r="AC53" s="2525"/>
      <c r="AD53" s="2271"/>
      <c r="AE53" s="2272"/>
      <c r="AF53" s="2272"/>
      <c r="AG53" s="2273"/>
      <c r="AH53" s="2273"/>
      <c r="AI53" s="2992"/>
      <c r="AJ53" s="2993"/>
      <c r="AK53" s="2993"/>
      <c r="AL53" s="2994"/>
      <c r="AM53" s="2994"/>
    </row>
    <row r="54" spans="1:39" ht="12.75" customHeight="1">
      <c r="A54" s="20"/>
      <c r="H54" s="735" t="s">
        <v>3296</v>
      </c>
      <c r="I54" s="735" t="s">
        <v>3297</v>
      </c>
      <c r="J54" s="735" t="s">
        <v>3307</v>
      </c>
      <c r="K54" s="1197" t="s">
        <v>3297</v>
      </c>
      <c r="L54" s="1585" t="s">
        <v>3296</v>
      </c>
      <c r="M54" s="1575" t="s">
        <v>3297</v>
      </c>
      <c r="N54" s="1557" t="s">
        <v>3296</v>
      </c>
      <c r="O54" s="2475" t="s">
        <v>10438</v>
      </c>
      <c r="P54" s="1611" t="s">
        <v>3296</v>
      </c>
      <c r="Q54" s="2961" t="s">
        <v>3297</v>
      </c>
      <c r="R54" s="2520" t="s">
        <v>10438</v>
      </c>
      <c r="S54" s="2520" t="s">
        <v>3296</v>
      </c>
      <c r="T54" s="2512" t="s">
        <v>10438</v>
      </c>
      <c r="U54" s="1620" t="s">
        <v>3296</v>
      </c>
      <c r="V54" s="2962" t="s">
        <v>3297</v>
      </c>
      <c r="W54" s="2515" t="s">
        <v>10438</v>
      </c>
      <c r="X54" s="2515" t="s">
        <v>3296</v>
      </c>
      <c r="Y54" s="2513" t="s">
        <v>10438</v>
      </c>
      <c r="Z54" s="1960" t="s">
        <v>3296</v>
      </c>
      <c r="AA54" s="2962" t="s">
        <v>3297</v>
      </c>
      <c r="AB54" s="2514" t="s">
        <v>10438</v>
      </c>
      <c r="AC54" s="2514" t="s">
        <v>3296</v>
      </c>
      <c r="AD54" s="2516" t="s">
        <v>10438</v>
      </c>
      <c r="AE54" s="2274" t="s">
        <v>3296</v>
      </c>
      <c r="AF54" s="2962" t="s">
        <v>3297</v>
      </c>
      <c r="AG54" s="2517" t="s">
        <v>10438</v>
      </c>
      <c r="AH54" s="2517" t="s">
        <v>3296</v>
      </c>
      <c r="AI54" s="2995" t="s">
        <v>10438</v>
      </c>
      <c r="AJ54" s="2996" t="s">
        <v>3296</v>
      </c>
      <c r="AK54" s="2996" t="s">
        <v>3297</v>
      </c>
      <c r="AL54" s="2997" t="s">
        <v>10438</v>
      </c>
      <c r="AM54" s="2997" t="s">
        <v>3296</v>
      </c>
    </row>
    <row r="55" spans="1:39" ht="12.75" customHeight="1">
      <c r="A55" s="20"/>
      <c r="H55" s="736" t="s">
        <v>2816</v>
      </c>
      <c r="I55" s="737" t="s">
        <v>2816</v>
      </c>
      <c r="J55" s="736" t="s">
        <v>2816</v>
      </c>
      <c r="K55" s="875" t="s">
        <v>2816</v>
      </c>
      <c r="L55" s="1568" t="s">
        <v>5513</v>
      </c>
      <c r="M55" s="1259" t="s">
        <v>5513</v>
      </c>
      <c r="N55" s="1558" t="s">
        <v>5513</v>
      </c>
      <c r="O55" s="1593" t="s">
        <v>5951</v>
      </c>
      <c r="P55" s="1612" t="s">
        <v>5951</v>
      </c>
      <c r="Q55" s="1612" t="s">
        <v>5951</v>
      </c>
      <c r="R55" s="1603" t="str">
        <f>O55</f>
        <v>2022-23</v>
      </c>
      <c r="S55" s="1603" t="str">
        <f>P55</f>
        <v>2022-23</v>
      </c>
      <c r="T55" s="1627" t="s">
        <v>7037</v>
      </c>
      <c r="U55" s="1621" t="s">
        <v>7037</v>
      </c>
      <c r="V55" s="1621" t="s">
        <v>7037</v>
      </c>
      <c r="W55" s="1637" t="s">
        <v>7037</v>
      </c>
      <c r="X55" s="1637" t="s">
        <v>7037</v>
      </c>
      <c r="Y55" s="1961" t="s">
        <v>8487</v>
      </c>
      <c r="Z55" s="1962" t="str">
        <f>Y55</f>
        <v>2024-25</v>
      </c>
      <c r="AA55" s="1962" t="str">
        <f>Z55</f>
        <v>2024-25</v>
      </c>
      <c r="AB55" s="1963" t="str">
        <f>Z55</f>
        <v>2024-25</v>
      </c>
      <c r="AC55" s="1963" t="str">
        <f>AB55</f>
        <v>2024-25</v>
      </c>
      <c r="AD55" s="2275" t="s">
        <v>9171</v>
      </c>
      <c r="AE55" s="2276" t="str">
        <f>AD55</f>
        <v>2025-26</v>
      </c>
      <c r="AF55" s="2276" t="str">
        <f>AE55</f>
        <v>2025-26</v>
      </c>
      <c r="AG55" s="2277" t="str">
        <f>AE55</f>
        <v>2025-26</v>
      </c>
      <c r="AH55" s="2277" t="str">
        <f>AG55</f>
        <v>2025-26</v>
      </c>
      <c r="AI55" s="2998" t="s">
        <v>11049</v>
      </c>
      <c r="AJ55" s="2999" t="str">
        <f>AI55</f>
        <v>2026-27</v>
      </c>
      <c r="AK55" s="2999" t="str">
        <f>AJ55</f>
        <v>2026-27</v>
      </c>
      <c r="AL55" s="3000" t="str">
        <f>AJ55</f>
        <v>2026-27</v>
      </c>
      <c r="AM55" s="3000" t="str">
        <f>AL55</f>
        <v>2026-27</v>
      </c>
    </row>
    <row r="56" spans="1:39" ht="12.75" customHeight="1">
      <c r="A56" s="20"/>
      <c r="H56" s="738" t="s">
        <v>1965</v>
      </c>
      <c r="I56" s="739" t="s">
        <v>1965</v>
      </c>
      <c r="J56" s="738" t="s">
        <v>1966</v>
      </c>
      <c r="K56" s="875" t="s">
        <v>3313</v>
      </c>
      <c r="L56" s="714" t="s">
        <v>1965</v>
      </c>
      <c r="M56" s="1260" t="s">
        <v>1965</v>
      </c>
      <c r="N56" s="1559" t="s">
        <v>1966</v>
      </c>
      <c r="O56" s="715" t="s">
        <v>1965</v>
      </c>
      <c r="P56" s="1258" t="s">
        <v>1965</v>
      </c>
      <c r="Q56" s="1258" t="s">
        <v>1965</v>
      </c>
      <c r="R56" s="1604" t="s">
        <v>1966</v>
      </c>
      <c r="S56" s="1604" t="s">
        <v>1966</v>
      </c>
      <c r="T56" s="716" t="s">
        <v>1965</v>
      </c>
      <c r="U56" s="1622" t="s">
        <v>1965</v>
      </c>
      <c r="V56" s="1622" t="s">
        <v>1965</v>
      </c>
      <c r="W56" s="1638" t="s">
        <v>1966</v>
      </c>
      <c r="X56" s="1638" t="s">
        <v>1966</v>
      </c>
      <c r="Y56" s="1964" t="s">
        <v>1965</v>
      </c>
      <c r="Z56" s="1965" t="s">
        <v>1965</v>
      </c>
      <c r="AA56" s="1965" t="s">
        <v>1965</v>
      </c>
      <c r="AB56" s="1966" t="s">
        <v>1966</v>
      </c>
      <c r="AC56" s="1966" t="s">
        <v>1966</v>
      </c>
      <c r="AD56" s="2278" t="s">
        <v>1965</v>
      </c>
      <c r="AE56" s="2279" t="s">
        <v>1965</v>
      </c>
      <c r="AF56" s="2279" t="s">
        <v>1965</v>
      </c>
      <c r="AG56" s="2280" t="s">
        <v>1966</v>
      </c>
      <c r="AH56" s="2280" t="s">
        <v>1966</v>
      </c>
      <c r="AI56" s="3001" t="s">
        <v>1965</v>
      </c>
      <c r="AJ56" s="3002" t="s">
        <v>1965</v>
      </c>
      <c r="AK56" s="3002" t="s">
        <v>1965</v>
      </c>
      <c r="AL56" s="3003" t="s">
        <v>1966</v>
      </c>
      <c r="AM56" s="3003" t="s">
        <v>1966</v>
      </c>
    </row>
    <row r="57" spans="1:39" ht="12.75" customHeight="1">
      <c r="A57" s="20"/>
      <c r="H57" s="740" t="s">
        <v>1964</v>
      </c>
      <c r="I57" s="741" t="s">
        <v>1964</v>
      </c>
      <c r="J57" s="740" t="s">
        <v>1964</v>
      </c>
      <c r="K57" s="875" t="s">
        <v>1964</v>
      </c>
      <c r="L57" s="1569" t="s">
        <v>1964</v>
      </c>
      <c r="M57" s="1576" t="s">
        <v>1964</v>
      </c>
      <c r="N57" s="1560" t="s">
        <v>1964</v>
      </c>
      <c r="O57" s="1594" t="s">
        <v>1964</v>
      </c>
      <c r="P57" s="1613" t="s">
        <v>1964</v>
      </c>
      <c r="Q57" s="1613" t="s">
        <v>1964</v>
      </c>
      <c r="R57" s="1605" t="s">
        <v>1964</v>
      </c>
      <c r="S57" s="1605" t="s">
        <v>1964</v>
      </c>
      <c r="T57" s="1628" t="s">
        <v>1964</v>
      </c>
      <c r="U57" s="1623" t="s">
        <v>1964</v>
      </c>
      <c r="V57" s="1623" t="s">
        <v>1964</v>
      </c>
      <c r="W57" s="1639" t="s">
        <v>1964</v>
      </c>
      <c r="X57" s="1639" t="s">
        <v>1964</v>
      </c>
      <c r="Y57" s="1967" t="s">
        <v>1964</v>
      </c>
      <c r="Z57" s="1968" t="s">
        <v>1964</v>
      </c>
      <c r="AA57" s="1968" t="s">
        <v>1964</v>
      </c>
      <c r="AB57" s="1969" t="s">
        <v>1964</v>
      </c>
      <c r="AC57" s="1969" t="s">
        <v>1964</v>
      </c>
      <c r="AD57" s="2281" t="s">
        <v>1964</v>
      </c>
      <c r="AE57" s="2282" t="s">
        <v>1964</v>
      </c>
      <c r="AF57" s="2282" t="s">
        <v>1964</v>
      </c>
      <c r="AG57" s="2283" t="s">
        <v>1964</v>
      </c>
      <c r="AH57" s="2283" t="s">
        <v>1964</v>
      </c>
      <c r="AI57" s="3004" t="s">
        <v>1964</v>
      </c>
      <c r="AJ57" s="3005" t="s">
        <v>1964</v>
      </c>
      <c r="AK57" s="3005" t="s">
        <v>1964</v>
      </c>
      <c r="AL57" s="3006" t="s">
        <v>1964</v>
      </c>
      <c r="AM57" s="3006" t="s">
        <v>1964</v>
      </c>
    </row>
    <row r="58" spans="1:39" ht="12.75" customHeight="1">
      <c r="A58" s="21" t="s">
        <v>2064</v>
      </c>
      <c r="B58" t="s">
        <v>95</v>
      </c>
      <c r="H58" s="742" t="e">
        <f>IF('Data Entry - SOF'!#REF!&lt;400,400,'Data Entry - SOF'!#REF!)</f>
        <v>#REF!</v>
      </c>
      <c r="I58" s="742" t="e">
        <f>H58</f>
        <v>#REF!</v>
      </c>
      <c r="J58" s="742" t="e">
        <f>H58</f>
        <v>#REF!</v>
      </c>
      <c r="K58" s="1198" t="e">
        <f>J58</f>
        <v>#REF!</v>
      </c>
      <c r="L58" s="1586">
        <f>IF('Data Entry - SOF'!C19&lt;400,400,'Data Entry - SOF'!C19)</f>
        <v>400</v>
      </c>
      <c r="M58" s="1577">
        <f>L58</f>
        <v>400</v>
      </c>
      <c r="N58" s="1561">
        <f>L58</f>
        <v>400</v>
      </c>
      <c r="O58" s="1595">
        <f>IF('Data Entry - SOF'!E19&lt;400,400,'Data Entry - SOF'!E19)</f>
        <v>400</v>
      </c>
      <c r="P58" s="1614">
        <f>O58</f>
        <v>400</v>
      </c>
      <c r="Q58" s="1614">
        <f>P58</f>
        <v>400</v>
      </c>
      <c r="R58" s="1606">
        <f>O58</f>
        <v>400</v>
      </c>
      <c r="S58" s="1606">
        <f>R58</f>
        <v>400</v>
      </c>
      <c r="T58" s="1629">
        <f>IF('Data Entry - SOF'!G19&lt;400,400,'Data Entry - SOF'!G19)</f>
        <v>400</v>
      </c>
      <c r="U58" s="1647">
        <f>T58</f>
        <v>400</v>
      </c>
      <c r="V58" s="1647">
        <f>U58</f>
        <v>400</v>
      </c>
      <c r="W58" s="1640">
        <f>T58</f>
        <v>400</v>
      </c>
      <c r="X58" s="1640">
        <f>W58</f>
        <v>400</v>
      </c>
      <c r="Y58" s="1970">
        <f>IF('Data Entry - SOF'!I19&lt;400,400,'Data Entry - SOF'!I19)</f>
        <v>400</v>
      </c>
      <c r="Z58" s="1971">
        <f>Y58</f>
        <v>400</v>
      </c>
      <c r="AA58" s="1971">
        <f>Z58</f>
        <v>400</v>
      </c>
      <c r="AB58" s="1972">
        <f>Y58</f>
        <v>400</v>
      </c>
      <c r="AC58" s="1972">
        <f>AB58</f>
        <v>400</v>
      </c>
      <c r="AD58" s="2284">
        <f>IF('Data Entry - SOF'!K19&lt;400,400,'Data Entry - SOF'!K19)</f>
        <v>400</v>
      </c>
      <c r="AE58" s="2285">
        <f>AD58</f>
        <v>400</v>
      </c>
      <c r="AF58" s="2285">
        <f>AE58</f>
        <v>400</v>
      </c>
      <c r="AG58" s="2286">
        <f>AD58</f>
        <v>400</v>
      </c>
      <c r="AH58" s="2286">
        <f>AG58</f>
        <v>400</v>
      </c>
      <c r="AI58" s="3007">
        <f>IF('Data Entry - SOF'!M19&lt;400,400,'Data Entry - SOF'!M19)</f>
        <v>400</v>
      </c>
      <c r="AJ58" s="3008">
        <f>AI58</f>
        <v>400</v>
      </c>
      <c r="AK58" s="3008">
        <f>AJ58</f>
        <v>400</v>
      </c>
      <c r="AL58" s="3009">
        <f>AI58</f>
        <v>400</v>
      </c>
      <c r="AM58" s="3009">
        <f>AL58</f>
        <v>400</v>
      </c>
    </row>
    <row r="59" spans="1:39" ht="12.75" customHeight="1">
      <c r="A59" s="21"/>
      <c r="K59" s="1196"/>
      <c r="L59" s="1567"/>
      <c r="M59" s="1574"/>
      <c r="N59" s="1206"/>
      <c r="O59" s="1592"/>
      <c r="P59" s="1262"/>
      <c r="Q59" s="1262"/>
      <c r="R59" s="1210"/>
      <c r="S59" s="1210"/>
      <c r="T59" s="1626"/>
      <c r="U59" s="1646"/>
      <c r="V59" s="1646"/>
      <c r="W59" s="1214"/>
      <c r="X59" s="1214"/>
      <c r="Y59" s="1957"/>
      <c r="Z59" s="1958"/>
      <c r="AA59" s="1958"/>
      <c r="AB59" s="1959"/>
      <c r="AC59" s="1959"/>
      <c r="AD59" s="2271"/>
      <c r="AE59" s="2272"/>
      <c r="AF59" s="2272"/>
      <c r="AG59" s="2273"/>
      <c r="AH59" s="2273"/>
      <c r="AI59" s="2992"/>
      <c r="AJ59" s="2993"/>
      <c r="AK59" s="2993"/>
      <c r="AL59" s="2994"/>
      <c r="AM59" s="2994"/>
    </row>
    <row r="60" spans="1:39" ht="12.75" customHeight="1">
      <c r="A60" s="21" t="s">
        <v>2065</v>
      </c>
      <c r="B60" t="s">
        <v>7885</v>
      </c>
      <c r="H60" s="743" t="e">
        <f>'Data Entry - SOF'!#REF!</f>
        <v>#REF!</v>
      </c>
      <c r="I60" s="743" t="e">
        <f>'Data Entry - SOF'!#REF!</f>
        <v>#REF!</v>
      </c>
      <c r="J60" s="743" t="e">
        <f>H60</f>
        <v>#REF!</v>
      </c>
      <c r="K60" s="1199" t="e">
        <f>I60</f>
        <v>#REF!</v>
      </c>
      <c r="L60" s="1587">
        <f>'Data Entry - SOF'!C64</f>
        <v>0</v>
      </c>
      <c r="M60" s="1578">
        <f>'Data Entry - SOF'!C65</f>
        <v>0</v>
      </c>
      <c r="N60" s="1562">
        <f>L60</f>
        <v>0</v>
      </c>
      <c r="O60" s="1596">
        <f>'Data Entry - SOF'!E67</f>
        <v>0</v>
      </c>
      <c r="P60" s="1615">
        <f>'Data Entry - SOF'!E69</f>
        <v>0</v>
      </c>
      <c r="Q60" s="1615">
        <f>'Data Entry - SOF'!E65</f>
        <v>0</v>
      </c>
      <c r="R60" s="1607">
        <f>O60</f>
        <v>0</v>
      </c>
      <c r="S60" s="1607">
        <f>P60</f>
        <v>0</v>
      </c>
      <c r="T60" s="1630">
        <f>'Data Entry - SOF'!G67</f>
        <v>0</v>
      </c>
      <c r="U60" s="1648">
        <f>'Data Entry - SOF'!G69</f>
        <v>0</v>
      </c>
      <c r="V60" s="1648">
        <f>'Data Entry - SOF'!G65</f>
        <v>0</v>
      </c>
      <c r="W60" s="1641">
        <f>T60</f>
        <v>0</v>
      </c>
      <c r="X60" s="1641">
        <f>U60</f>
        <v>0</v>
      </c>
      <c r="Y60" s="1973">
        <f>'Data Entry - SOF'!I67</f>
        <v>0</v>
      </c>
      <c r="Z60" s="1974">
        <f>'Data Entry - SOF'!I69</f>
        <v>0</v>
      </c>
      <c r="AA60" s="1974">
        <f>'Data Entry - SOF'!I65</f>
        <v>0</v>
      </c>
      <c r="AB60" s="1975">
        <f>Y60</f>
        <v>0</v>
      </c>
      <c r="AC60" s="1975">
        <f>Z60</f>
        <v>0</v>
      </c>
      <c r="AD60" s="2287">
        <f>'Data Entry - SOF'!K67</f>
        <v>0</v>
      </c>
      <c r="AE60" s="2288">
        <f>'Data Entry - SOF'!K69</f>
        <v>0</v>
      </c>
      <c r="AF60" s="2288">
        <f>'Data Entry - SOF'!K65</f>
        <v>0</v>
      </c>
      <c r="AG60" s="2289">
        <f>AD60</f>
        <v>0</v>
      </c>
      <c r="AH60" s="2289">
        <f>AE60</f>
        <v>0</v>
      </c>
      <c r="AI60" s="3010">
        <f>'Data Entry - SOF'!M67</f>
        <v>0</v>
      </c>
      <c r="AJ60" s="3011">
        <f>'Data Entry - SOF'!M69</f>
        <v>0</v>
      </c>
      <c r="AK60" s="3011">
        <f>'Data Entry - SOF'!M65</f>
        <v>0</v>
      </c>
      <c r="AL60" s="3012">
        <f>AI60</f>
        <v>0</v>
      </c>
      <c r="AM60" s="3012">
        <f>AJ60</f>
        <v>0</v>
      </c>
    </row>
    <row r="61" spans="1:39" ht="12.75" customHeight="1">
      <c r="A61" s="21"/>
      <c r="K61" s="1196"/>
      <c r="L61" s="1567"/>
      <c r="M61" s="1574"/>
      <c r="N61" s="1206"/>
      <c r="O61" s="1592"/>
      <c r="P61" s="1262"/>
      <c r="Q61" s="2960" t="s">
        <v>10980</v>
      </c>
      <c r="R61" s="1210"/>
      <c r="S61" s="1210"/>
      <c r="T61" s="1626"/>
      <c r="U61" s="1646"/>
      <c r="V61" s="2963" t="s">
        <v>10980</v>
      </c>
      <c r="W61" s="1214"/>
      <c r="X61" s="1214"/>
      <c r="Y61" s="1957"/>
      <c r="Z61" s="1958"/>
      <c r="AA61" s="2964" t="s">
        <v>10980</v>
      </c>
      <c r="AB61" s="1959"/>
      <c r="AC61" s="1959"/>
      <c r="AD61" s="2271"/>
      <c r="AE61" s="2272"/>
      <c r="AF61" s="2965" t="s">
        <v>10980</v>
      </c>
      <c r="AG61" s="2273"/>
      <c r="AH61" s="2273"/>
      <c r="AI61" s="2992"/>
      <c r="AJ61" s="2993"/>
      <c r="AK61" s="3013" t="s">
        <v>10980</v>
      </c>
      <c r="AL61" s="2994"/>
      <c r="AM61" s="2994"/>
    </row>
    <row r="62" spans="1:39" ht="12.75" customHeight="1">
      <c r="A62" s="20"/>
      <c r="K62" s="1196"/>
      <c r="L62" s="1567"/>
      <c r="M62" s="1574"/>
      <c r="N62" s="1206"/>
      <c r="O62" s="1592"/>
      <c r="P62" s="1262"/>
      <c r="Q62" s="1262"/>
      <c r="R62" s="1210"/>
      <c r="S62" s="1210"/>
      <c r="T62" s="1626"/>
      <c r="U62" s="1646"/>
      <c r="V62" s="1646"/>
      <c r="W62" s="1214"/>
      <c r="X62" s="1214"/>
      <c r="Y62" s="1957"/>
      <c r="Z62" s="1958"/>
      <c r="AA62" s="1958"/>
      <c r="AB62" s="1959"/>
      <c r="AC62" s="1959"/>
      <c r="AD62" s="2271"/>
      <c r="AE62" s="2272"/>
      <c r="AF62" s="2272"/>
      <c r="AG62" s="2273"/>
      <c r="AH62" s="2273"/>
      <c r="AI62" s="2992"/>
      <c r="AJ62" s="2993"/>
      <c r="AK62" s="2993"/>
      <c r="AL62" s="2994"/>
      <c r="AM62" s="2994"/>
    </row>
    <row r="63" spans="1:39" ht="12.75" customHeight="1">
      <c r="A63" s="46" t="s">
        <v>864</v>
      </c>
      <c r="B63" s="33"/>
      <c r="C63" s="33"/>
      <c r="D63" s="34"/>
      <c r="K63" s="1196"/>
      <c r="L63" s="1567"/>
      <c r="M63" s="1574"/>
      <c r="N63" s="1206"/>
      <c r="O63" s="1592"/>
      <c r="P63" s="1262"/>
      <c r="Q63" s="1262"/>
      <c r="R63" s="1210"/>
      <c r="S63" s="1210"/>
      <c r="T63" s="1626"/>
      <c r="U63" s="1646"/>
      <c r="V63" s="1646"/>
      <c r="W63" s="1214"/>
      <c r="X63" s="1214"/>
      <c r="Y63" s="1957"/>
      <c r="Z63" s="1958"/>
      <c r="AA63" s="1958"/>
      <c r="AB63" s="1959"/>
      <c r="AC63" s="1959"/>
      <c r="AD63" s="2271"/>
      <c r="AE63" s="2272"/>
      <c r="AF63" s="2272"/>
      <c r="AG63" s="2273"/>
      <c r="AH63" s="2273"/>
      <c r="AI63" s="2992"/>
      <c r="AJ63" s="2993"/>
      <c r="AK63" s="2993"/>
      <c r="AL63" s="2994"/>
      <c r="AM63" s="2994"/>
    </row>
    <row r="64" spans="1:39" ht="12.75" customHeight="1">
      <c r="A64" s="22"/>
      <c r="K64" s="1196"/>
      <c r="L64" s="1567"/>
      <c r="M64" s="1574"/>
      <c r="N64" s="1206"/>
      <c r="O64" s="1592"/>
      <c r="P64" s="1262"/>
      <c r="Q64" s="1262"/>
      <c r="R64" s="1210"/>
      <c r="S64" s="1210"/>
      <c r="T64" s="1626"/>
      <c r="U64" s="1646"/>
      <c r="V64" s="1646"/>
      <c r="W64" s="1214"/>
      <c r="X64" s="1214"/>
      <c r="Y64" s="1957"/>
      <c r="Z64" s="1958"/>
      <c r="AA64" s="1958"/>
      <c r="AB64" s="1959"/>
      <c r="AC64" s="1959"/>
      <c r="AD64" s="2271"/>
      <c r="AE64" s="2272"/>
      <c r="AF64" s="2272"/>
      <c r="AG64" s="2273"/>
      <c r="AH64" s="2273"/>
      <c r="AI64" s="2992"/>
      <c r="AJ64" s="2993"/>
      <c r="AK64" s="2993"/>
      <c r="AL64" s="2994"/>
      <c r="AM64" s="2994"/>
    </row>
    <row r="65" spans="1:39" ht="12.75" customHeight="1">
      <c r="A65" s="31" t="s">
        <v>862</v>
      </c>
      <c r="B65" t="s">
        <v>7402</v>
      </c>
      <c r="H65" s="743" t="e">
        <f>IFA_Limits!#REF!</f>
        <v>#REF!</v>
      </c>
      <c r="I65" s="744" t="e">
        <f>H65</f>
        <v>#REF!</v>
      </c>
      <c r="J65" s="743" t="e">
        <f>IFA_Limits!#REF!</f>
        <v>#REF!</v>
      </c>
      <c r="K65" s="1200" t="e">
        <f>J65</f>
        <v>#REF!</v>
      </c>
      <c r="L65" s="1587">
        <f>IFA_Limits!F55</f>
        <v>0</v>
      </c>
      <c r="M65" s="1578">
        <f>L65</f>
        <v>0</v>
      </c>
      <c r="N65" s="1562">
        <f>IFA_Limits!F56</f>
        <v>0</v>
      </c>
      <c r="O65" s="1596">
        <f>IFA_Limits!H55</f>
        <v>0</v>
      </c>
      <c r="P65" s="1615">
        <f>O65</f>
        <v>0</v>
      </c>
      <c r="Q65" s="1615">
        <f>P65</f>
        <v>0</v>
      </c>
      <c r="R65" s="1607">
        <f>IFA_Limits!H56</f>
        <v>0</v>
      </c>
      <c r="S65" s="1607">
        <f>R65</f>
        <v>0</v>
      </c>
      <c r="T65" s="1630">
        <f>IFA_Limits!J55</f>
        <v>0</v>
      </c>
      <c r="U65" s="1648">
        <f>T65</f>
        <v>0</v>
      </c>
      <c r="V65" s="1648">
        <f>U65</f>
        <v>0</v>
      </c>
      <c r="W65" s="1641">
        <f>IFA_Limits!J56</f>
        <v>0</v>
      </c>
      <c r="X65" s="1641">
        <f>W65</f>
        <v>0</v>
      </c>
      <c r="Y65" s="1973">
        <f>IFA_Limits!L55</f>
        <v>0</v>
      </c>
      <c r="Z65" s="1974">
        <f>Y65</f>
        <v>0</v>
      </c>
      <c r="AA65" s="1974">
        <f>Z65</f>
        <v>0</v>
      </c>
      <c r="AB65" s="1975">
        <f>IFA_Limits!L56</f>
        <v>0</v>
      </c>
      <c r="AC65" s="1975">
        <f>AB65</f>
        <v>0</v>
      </c>
      <c r="AD65" s="2287">
        <f>IFA_Limits!N55</f>
        <v>0</v>
      </c>
      <c r="AE65" s="2288">
        <f>AD65</f>
        <v>0</v>
      </c>
      <c r="AF65" s="2288">
        <f>AE65</f>
        <v>0</v>
      </c>
      <c r="AG65" s="2289">
        <f>IFA_Limits!N56</f>
        <v>0</v>
      </c>
      <c r="AH65" s="2289">
        <f>AG65</f>
        <v>0</v>
      </c>
      <c r="AI65" s="3010">
        <f>IFA_Limits!P55</f>
        <v>0</v>
      </c>
      <c r="AJ65" s="3011">
        <f>AI65</f>
        <v>0</v>
      </c>
      <c r="AK65" s="3011">
        <f>AJ65</f>
        <v>0</v>
      </c>
      <c r="AL65" s="3012">
        <f>IFA_Limits!P56</f>
        <v>0</v>
      </c>
      <c r="AM65" s="3012">
        <f>AL65</f>
        <v>0</v>
      </c>
    </row>
    <row r="66" spans="1:39" ht="12.75" customHeight="1">
      <c r="A66" s="21"/>
      <c r="H66" s="745"/>
      <c r="K66" s="1196"/>
      <c r="L66" s="1570"/>
      <c r="M66" s="1579"/>
      <c r="N66" s="1206"/>
      <c r="O66" s="1597"/>
      <c r="P66" s="1264"/>
      <c r="Q66" s="1264"/>
      <c r="R66" s="1210"/>
      <c r="S66" s="1210"/>
      <c r="T66" s="1631"/>
      <c r="U66" s="1649"/>
      <c r="V66" s="1649"/>
      <c r="W66" s="1214"/>
      <c r="X66" s="1214"/>
      <c r="Y66" s="1976"/>
      <c r="Z66" s="1977"/>
      <c r="AA66" s="1977"/>
      <c r="AB66" s="1959"/>
      <c r="AC66" s="1959"/>
      <c r="AD66" s="2290"/>
      <c r="AE66" s="2291"/>
      <c r="AF66" s="2291"/>
      <c r="AG66" s="2273"/>
      <c r="AH66" s="2273"/>
      <c r="AI66" s="3014"/>
      <c r="AJ66" s="3015"/>
      <c r="AK66" s="3015"/>
      <c r="AL66" s="2994"/>
      <c r="AM66" s="2994"/>
    </row>
    <row r="67" spans="1:39" ht="12.75" customHeight="1">
      <c r="A67" s="31" t="s">
        <v>863</v>
      </c>
      <c r="B67" t="s">
        <v>1070</v>
      </c>
      <c r="H67" s="743" t="e">
        <f>H60/10000</f>
        <v>#REF!</v>
      </c>
      <c r="I67" s="743" t="e">
        <f>I60/10000</f>
        <v>#REF!</v>
      </c>
      <c r="J67" s="743" t="e">
        <f>J60/10000</f>
        <v>#REF!</v>
      </c>
      <c r="K67" s="1199" t="e">
        <f t="shared" ref="K67" si="0">K60/10000</f>
        <v>#REF!</v>
      </c>
      <c r="L67" s="1587">
        <f t="shared" ref="L67:R67" si="1">L60/10000</f>
        <v>0</v>
      </c>
      <c r="M67" s="1578">
        <f t="shared" ref="M67" si="2">M60/10000</f>
        <v>0</v>
      </c>
      <c r="N67" s="1562">
        <f t="shared" si="1"/>
        <v>0</v>
      </c>
      <c r="O67" s="1596">
        <f t="shared" si="1"/>
        <v>0</v>
      </c>
      <c r="P67" s="1615">
        <f t="shared" ref="P67:Q67" si="3">P60/10000</f>
        <v>0</v>
      </c>
      <c r="Q67" s="1615">
        <f t="shared" si="3"/>
        <v>0</v>
      </c>
      <c r="R67" s="1607">
        <f t="shared" si="1"/>
        <v>0</v>
      </c>
      <c r="S67" s="1607">
        <f t="shared" ref="S67" si="4">S60/10000</f>
        <v>0</v>
      </c>
      <c r="T67" s="1630">
        <f>T60/10000</f>
        <v>0</v>
      </c>
      <c r="U67" s="1648">
        <f t="shared" ref="U67:V67" si="5">U60/10000</f>
        <v>0</v>
      </c>
      <c r="V67" s="1648">
        <f t="shared" si="5"/>
        <v>0</v>
      </c>
      <c r="W67" s="1641">
        <f>W60/10000</f>
        <v>0</v>
      </c>
      <c r="X67" s="1641">
        <f>X60/10000</f>
        <v>0</v>
      </c>
      <c r="Y67" s="1973">
        <f>Y60/10000</f>
        <v>0</v>
      </c>
      <c r="Z67" s="1974">
        <f t="shared" ref="Z67:AA67" si="6">Z60/10000</f>
        <v>0</v>
      </c>
      <c r="AA67" s="1974">
        <f t="shared" si="6"/>
        <v>0</v>
      </c>
      <c r="AB67" s="1975">
        <f>AB60/10000</f>
        <v>0</v>
      </c>
      <c r="AC67" s="1975">
        <f>AC60/10000</f>
        <v>0</v>
      </c>
      <c r="AD67" s="2287">
        <f>AD60/10000</f>
        <v>0</v>
      </c>
      <c r="AE67" s="2288">
        <f t="shared" ref="AE67:AF67" si="7">AE60/10000</f>
        <v>0</v>
      </c>
      <c r="AF67" s="2288">
        <f t="shared" si="7"/>
        <v>0</v>
      </c>
      <c r="AG67" s="2289">
        <f>AG60/10000</f>
        <v>0</v>
      </c>
      <c r="AH67" s="2289">
        <f>AH60/10000</f>
        <v>0</v>
      </c>
      <c r="AI67" s="3010">
        <f>AI60/10000</f>
        <v>0</v>
      </c>
      <c r="AJ67" s="3011">
        <f t="shared" ref="AJ67:AK67" si="8">AJ60/10000</f>
        <v>0</v>
      </c>
      <c r="AK67" s="3011">
        <f t="shared" si="8"/>
        <v>0</v>
      </c>
      <c r="AL67" s="3012">
        <f>AL60/10000</f>
        <v>0</v>
      </c>
      <c r="AM67" s="3012">
        <f>AM60/10000</f>
        <v>0</v>
      </c>
    </row>
    <row r="68" spans="1:39" ht="12.75" customHeight="1">
      <c r="A68" s="21"/>
      <c r="H68" s="745"/>
      <c r="K68" s="1196"/>
      <c r="L68" s="1570"/>
      <c r="M68" s="1579"/>
      <c r="N68" s="1206"/>
      <c r="O68" s="1597"/>
      <c r="P68" s="1264"/>
      <c r="Q68" s="1264"/>
      <c r="R68" s="1210"/>
      <c r="S68" s="1210"/>
      <c r="T68" s="1631"/>
      <c r="U68" s="1649"/>
      <c r="V68" s="1649"/>
      <c r="W68" s="1214"/>
      <c r="X68" s="1214"/>
      <c r="Y68" s="1976"/>
      <c r="Z68" s="1977"/>
      <c r="AA68" s="1977"/>
      <c r="AB68" s="1959"/>
      <c r="AC68" s="1959"/>
      <c r="AD68" s="2290"/>
      <c r="AE68" s="2291"/>
      <c r="AF68" s="2291"/>
      <c r="AG68" s="2273"/>
      <c r="AH68" s="2273"/>
      <c r="AI68" s="3014"/>
      <c r="AJ68" s="3015"/>
      <c r="AK68" s="3015"/>
      <c r="AL68" s="2994"/>
      <c r="AM68" s="2994"/>
    </row>
    <row r="69" spans="1:39" ht="12.75" customHeight="1">
      <c r="A69" s="31" t="s">
        <v>865</v>
      </c>
      <c r="B69" t="s">
        <v>848</v>
      </c>
      <c r="H69" s="746" t="e">
        <f>H67/H58</f>
        <v>#REF!</v>
      </c>
      <c r="I69" s="746" t="e">
        <f>I67/I58</f>
        <v>#REF!</v>
      </c>
      <c r="J69" s="746" t="e">
        <f>J67/J58</f>
        <v>#REF!</v>
      </c>
      <c r="K69" s="1201" t="e">
        <f t="shared" ref="K69" si="9">K67/K58</f>
        <v>#REF!</v>
      </c>
      <c r="L69" s="1588">
        <f t="shared" ref="L69:R69" si="10">L67/L58</f>
        <v>0</v>
      </c>
      <c r="M69" s="1580">
        <f t="shared" ref="M69" si="11">M67/M58</f>
        <v>0</v>
      </c>
      <c r="N69" s="1563">
        <f t="shared" si="10"/>
        <v>0</v>
      </c>
      <c r="O69" s="1598">
        <f t="shared" si="10"/>
        <v>0</v>
      </c>
      <c r="P69" s="1616">
        <f t="shared" ref="P69:Q69" si="12">P67/P58</f>
        <v>0</v>
      </c>
      <c r="Q69" s="1616">
        <f t="shared" si="12"/>
        <v>0</v>
      </c>
      <c r="R69" s="1608">
        <f t="shared" si="10"/>
        <v>0</v>
      </c>
      <c r="S69" s="1608">
        <f t="shared" ref="S69" si="13">S67/S58</f>
        <v>0</v>
      </c>
      <c r="T69" s="1632">
        <f>T67/T58</f>
        <v>0</v>
      </c>
      <c r="U69" s="1650">
        <f t="shared" ref="U69:V69" si="14">U67/U58</f>
        <v>0</v>
      </c>
      <c r="V69" s="1650">
        <f t="shared" si="14"/>
        <v>0</v>
      </c>
      <c r="W69" s="1642">
        <f>W67/W58</f>
        <v>0</v>
      </c>
      <c r="X69" s="1642">
        <f>X67/X58</f>
        <v>0</v>
      </c>
      <c r="Y69" s="1978">
        <f>Y67/Y58</f>
        <v>0</v>
      </c>
      <c r="Z69" s="1979">
        <f t="shared" ref="Z69:AA69" si="15">Z67/Z58</f>
        <v>0</v>
      </c>
      <c r="AA69" s="1979">
        <f t="shared" si="15"/>
        <v>0</v>
      </c>
      <c r="AB69" s="1980">
        <f>AB67/AB58</f>
        <v>0</v>
      </c>
      <c r="AC69" s="1980">
        <f>AC67/AC58</f>
        <v>0</v>
      </c>
      <c r="AD69" s="2292">
        <f>AD67/AD58</f>
        <v>0</v>
      </c>
      <c r="AE69" s="2293">
        <f t="shared" ref="AE69:AF69" si="16">AE67/AE58</f>
        <v>0</v>
      </c>
      <c r="AF69" s="2293">
        <f t="shared" si="16"/>
        <v>0</v>
      </c>
      <c r="AG69" s="2294">
        <f>AG67/AG58</f>
        <v>0</v>
      </c>
      <c r="AH69" s="2294">
        <f>AH67/AH58</f>
        <v>0</v>
      </c>
      <c r="AI69" s="3016">
        <f>AI67/AI58</f>
        <v>0</v>
      </c>
      <c r="AJ69" s="3017">
        <f t="shared" ref="AJ69:AK69" si="17">AJ67/AJ58</f>
        <v>0</v>
      </c>
      <c r="AK69" s="3017">
        <f t="shared" si="17"/>
        <v>0</v>
      </c>
      <c r="AL69" s="3018">
        <f>AL67/AL58</f>
        <v>0</v>
      </c>
      <c r="AM69" s="3018">
        <f>AM67/AM58</f>
        <v>0</v>
      </c>
    </row>
    <row r="70" spans="1:39" ht="12.75" customHeight="1">
      <c r="A70" s="21"/>
      <c r="H70" s="747"/>
      <c r="I70" s="747"/>
      <c r="J70" s="747"/>
      <c r="K70" s="1202"/>
      <c r="L70" s="1571"/>
      <c r="M70" s="1581"/>
      <c r="N70" s="1207"/>
      <c r="O70" s="1599"/>
      <c r="P70" s="1263"/>
      <c r="Q70" s="1263"/>
      <c r="R70" s="1211"/>
      <c r="S70" s="1211"/>
      <c r="T70" s="1633"/>
      <c r="U70" s="1651"/>
      <c r="V70" s="1651"/>
      <c r="W70" s="1215"/>
      <c r="X70" s="1215"/>
      <c r="Y70" s="1981"/>
      <c r="Z70" s="1982"/>
      <c r="AA70" s="1982"/>
      <c r="AB70" s="1983"/>
      <c r="AC70" s="1983"/>
      <c r="AD70" s="2295"/>
      <c r="AE70" s="2296"/>
      <c r="AF70" s="2296"/>
      <c r="AG70" s="2297"/>
      <c r="AH70" s="2297"/>
      <c r="AI70" s="3019"/>
      <c r="AJ70" s="3020"/>
      <c r="AK70" s="3020"/>
      <c r="AL70" s="3021"/>
      <c r="AM70" s="3021"/>
    </row>
    <row r="71" spans="1:39" ht="12.75" customHeight="1">
      <c r="A71" s="31" t="s">
        <v>866</v>
      </c>
      <c r="B71" t="s">
        <v>849</v>
      </c>
      <c r="H71" s="746" t="e">
        <f>IF(H69&gt;Weights!H49,0,Weights!H49-H69)</f>
        <v>#REF!</v>
      </c>
      <c r="I71" s="746" t="e">
        <f>IF(I69&gt;Weights!H49,0,Weights!H49-I69)</f>
        <v>#REF!</v>
      </c>
      <c r="J71" s="746" t="e">
        <f>IF(J69&gt;Weights!H49,0,Weights!H49-J69)</f>
        <v>#REF!</v>
      </c>
      <c r="K71" s="1201" t="e">
        <f>IF(K69&gt;Weights!H49,0,Weights!H49-K69)</f>
        <v>#REF!</v>
      </c>
      <c r="L71" s="1588">
        <f>IF(L69&gt;Weights!M49,0,Weights!M49-L69)</f>
        <v>35</v>
      </c>
      <c r="M71" s="1580">
        <f>IF(M69&gt;Weights!M49,0,Weights!M49-M69)</f>
        <v>35</v>
      </c>
      <c r="N71" s="1563">
        <f>IF(N69&gt;Weights!M49,0,Weights!M49-N69)</f>
        <v>35</v>
      </c>
      <c r="O71" s="1598">
        <f>IF(O69&gt;Weights!N49,0,Weights!N49-O69)</f>
        <v>35</v>
      </c>
      <c r="P71" s="1616">
        <f>IF(P69&gt;Weights!N49,0,Weights!N49-P69)</f>
        <v>35</v>
      </c>
      <c r="Q71" s="1616">
        <f>IF(Q69&gt;Weights!N49,0,Weights!N49-Q69)</f>
        <v>35</v>
      </c>
      <c r="R71" s="1608">
        <f>IF(R69&gt;Weights!N49,0,Weights!N49-R69)</f>
        <v>35</v>
      </c>
      <c r="S71" s="1608">
        <f>IF(S69&gt;Weights!N49,0,Weights!N49-S69)</f>
        <v>35</v>
      </c>
      <c r="T71" s="1632">
        <f>IF(T69&gt;Weights!O49,0,Weights!O49-T69)</f>
        <v>35</v>
      </c>
      <c r="U71" s="1650">
        <f>IF(U69&gt;Weights!O49,0,Weights!O49-U69)</f>
        <v>35</v>
      </c>
      <c r="V71" s="1650">
        <f>IF(V69&gt;Weights!O49,0,Weights!O49-V69)</f>
        <v>35</v>
      </c>
      <c r="W71" s="1642">
        <f>IF(W69&gt;Weights!O49,0,Weights!O49-W69)</f>
        <v>35</v>
      </c>
      <c r="X71" s="1642">
        <f>IF(X69&gt;Weights!O49,0,Weights!O49-X69)</f>
        <v>35</v>
      </c>
      <c r="Y71" s="1978">
        <f>IF(Y69&gt;Weights!P49,0,Weights!P49-Y69)</f>
        <v>35</v>
      </c>
      <c r="Z71" s="1979">
        <f>IF(Z69&gt;Weights!P49,0,Weights!P49-Z69)</f>
        <v>35</v>
      </c>
      <c r="AA71" s="1979">
        <f>IF(AA69&gt;Weights!P49,0,Weights!P49-AA69)</f>
        <v>35</v>
      </c>
      <c r="AB71" s="1980">
        <f>IF(AB69&gt;Weights!P49,0,Weights!P49-AB69)</f>
        <v>35</v>
      </c>
      <c r="AC71" s="1980">
        <f>IF(AC69&gt;Weights!P49,0,Weights!P49-AC69)</f>
        <v>35</v>
      </c>
      <c r="AD71" s="2292">
        <f>IF(AD69&gt;Weights!Q49,0,Weights!Q49-AD69)</f>
        <v>35</v>
      </c>
      <c r="AE71" s="2293">
        <f>IF(AE69&gt;Weights!Q49,0,Weights!Q49-AE69)</f>
        <v>35</v>
      </c>
      <c r="AF71" s="2293">
        <f>IF(AF69&gt;Weights!Q49,0,Weights!Q49-AF69)</f>
        <v>35</v>
      </c>
      <c r="AG71" s="2294">
        <f>IF(AG69&gt;Weights!Q49,0,Weights!Q49-AG69)</f>
        <v>35</v>
      </c>
      <c r="AH71" s="2294">
        <f>IF(AH69&gt;Weights!Q49,0,Weights!Q49-AH69)</f>
        <v>35</v>
      </c>
      <c r="AI71" s="3016">
        <f>IF(AI69&gt;Weights!R49,0,Weights!R49-AI69)</f>
        <v>35</v>
      </c>
      <c r="AJ71" s="3017">
        <f>IF(AJ69&gt;Weights!R49,0,Weights!R49-AJ69)</f>
        <v>35</v>
      </c>
      <c r="AK71" s="3017">
        <f>IF(AK69&gt;Weights!R49,0,Weights!R49-AK69)</f>
        <v>35</v>
      </c>
      <c r="AL71" s="3018">
        <f>IF(AL69&gt;Weights!R49,0,Weights!R49-AL69)</f>
        <v>35</v>
      </c>
      <c r="AM71" s="3018">
        <f>IF(AM69&gt;Weights!R49,0,Weights!R49-AM69)</f>
        <v>35</v>
      </c>
    </row>
    <row r="72" spans="1:39" ht="12.75" customHeight="1">
      <c r="A72" s="21"/>
      <c r="H72" s="747"/>
      <c r="I72" s="747"/>
      <c r="J72" s="747"/>
      <c r="K72" s="1202"/>
      <c r="L72" s="1571"/>
      <c r="M72" s="1581"/>
      <c r="N72" s="1207"/>
      <c r="O72" s="1599"/>
      <c r="P72" s="1263"/>
      <c r="Q72" s="1263"/>
      <c r="R72" s="1211"/>
      <c r="S72" s="1211"/>
      <c r="T72" s="1633"/>
      <c r="U72" s="1651"/>
      <c r="V72" s="1651"/>
      <c r="W72" s="1215"/>
      <c r="X72" s="1215"/>
      <c r="Y72" s="1981"/>
      <c r="Z72" s="1982"/>
      <c r="AA72" s="1982"/>
      <c r="AB72" s="1983"/>
      <c r="AC72" s="1983"/>
      <c r="AD72" s="2295"/>
      <c r="AE72" s="2296"/>
      <c r="AF72" s="2296"/>
      <c r="AG72" s="2297"/>
      <c r="AH72" s="2297"/>
      <c r="AI72" s="3019"/>
      <c r="AJ72" s="3020"/>
      <c r="AK72" s="3020"/>
      <c r="AL72" s="3021"/>
      <c r="AM72" s="3021"/>
    </row>
    <row r="73" spans="1:39">
      <c r="A73" s="31" t="s">
        <v>867</v>
      </c>
      <c r="B73" t="s">
        <v>2529</v>
      </c>
      <c r="H73" s="746" t="e">
        <f>ROUND(IF(H71=0,0,H71/Weights!H49),5)</f>
        <v>#REF!</v>
      </c>
      <c r="I73" s="746" t="e">
        <f>ROUND(IF(I71=0,0,I71/Weights!H49),5)</f>
        <v>#REF!</v>
      </c>
      <c r="J73" s="746" t="e">
        <f>ROUND(IF(J71=0,0,J71/Weights!H49),5)</f>
        <v>#REF!</v>
      </c>
      <c r="K73" s="1201" t="e">
        <f>ROUND(IF(K71=0,0,K71/Weights!H49),5)</f>
        <v>#REF!</v>
      </c>
      <c r="L73" s="1588">
        <f>ROUND(IF(L71=0,0,L71/Weights!M49),5)</f>
        <v>1</v>
      </c>
      <c r="M73" s="1580">
        <f>ROUND(IF(M71=0,0,M71/Weights!M49),5)</f>
        <v>1</v>
      </c>
      <c r="N73" s="1563">
        <f>ROUND(IF(N71=0,0,N71/Weights!M49),5)</f>
        <v>1</v>
      </c>
      <c r="O73" s="1598">
        <f>ROUND(IF(O71=0,0,O71/Weights!N49),5)</f>
        <v>1</v>
      </c>
      <c r="P73" s="1616">
        <f>ROUND(IF(P71=0,0,P71/Weights!N49),5)</f>
        <v>1</v>
      </c>
      <c r="Q73" s="1616">
        <f>ROUND(IF(Q71=0,0,Q71/Weights!N49),5)</f>
        <v>1</v>
      </c>
      <c r="R73" s="1608">
        <f>ROUND(IF(R71=0,0,R71/Weights!N49),5)</f>
        <v>1</v>
      </c>
      <c r="S73" s="1608">
        <f>ROUND(IF(S71=0,0,S71/Weights!N49),5)</f>
        <v>1</v>
      </c>
      <c r="T73" s="1632">
        <f>ROUND(IF(T71=0,0,T71/Weights!O49),5)</f>
        <v>1</v>
      </c>
      <c r="U73" s="1650">
        <f>ROUND(IF(U71=0,0,U71/Weights!O49),5)</f>
        <v>1</v>
      </c>
      <c r="V73" s="1650">
        <f>ROUND(IF(V71=0,0,V71/Weights!O49),5)</f>
        <v>1</v>
      </c>
      <c r="W73" s="1642">
        <f>ROUND(IF(W71=0,0,W71/Weights!O49),5)</f>
        <v>1</v>
      </c>
      <c r="X73" s="1642">
        <f>ROUND(IF(X71=0,0,X71/Weights!O49),5)</f>
        <v>1</v>
      </c>
      <c r="Y73" s="1978">
        <f>ROUND(IF(Y71=0,0,Y71/Weights!P49),5)</f>
        <v>1</v>
      </c>
      <c r="Z73" s="1979">
        <f>ROUND(IF(Z71=0,0,Z71/Weights!P49),5)</f>
        <v>1</v>
      </c>
      <c r="AA73" s="1979">
        <f>ROUND(IF(AA71=0,0,AA71/Weights!P49),5)</f>
        <v>1</v>
      </c>
      <c r="AB73" s="1980">
        <f>ROUND(IF(AB71=0,0,AB71/Weights!P49),5)</f>
        <v>1</v>
      </c>
      <c r="AC73" s="1980">
        <f>ROUND(IF(AC71=0,0,AC71/Weights!P49),5)</f>
        <v>1</v>
      </c>
      <c r="AD73" s="2292">
        <f>ROUND(IF(AD71=0,0,AD71/Weights!Q49),5)</f>
        <v>1</v>
      </c>
      <c r="AE73" s="2293">
        <f>ROUND(IF(AE71=0,0,AE71/Weights!Q49),5)</f>
        <v>1</v>
      </c>
      <c r="AF73" s="2293">
        <f>ROUND(IF(AF71=0,0,AF71/Weights!Q49),5)</f>
        <v>1</v>
      </c>
      <c r="AG73" s="2294">
        <f>ROUND(IF(AG71=0,0,AG71/Weights!Q49),5)</f>
        <v>1</v>
      </c>
      <c r="AH73" s="2294">
        <f>ROUND(IF(AH71=0,0,AH71/Weights!Q49),5)</f>
        <v>1</v>
      </c>
      <c r="AI73" s="3016">
        <f>ROUND(IF(AI71=0,0,AI71/Weights!R49),5)</f>
        <v>1</v>
      </c>
      <c r="AJ73" s="3017">
        <f>ROUND(IF(AJ71=0,0,AJ71/Weights!R49),5)</f>
        <v>1</v>
      </c>
      <c r="AK73" s="3017">
        <f>ROUND(IF(AK71=0,0,AK71/Weights!R49),5)</f>
        <v>1</v>
      </c>
      <c r="AL73" s="3018">
        <f>ROUND(IF(AL71=0,0,AL71/Weights!R49),5)</f>
        <v>1</v>
      </c>
      <c r="AM73" s="3018">
        <f>ROUND(IF(AM71=0,0,AM71/Weights!R49),5)</f>
        <v>1</v>
      </c>
    </row>
    <row r="74" spans="1:39">
      <c r="A74" s="21"/>
      <c r="K74" s="1196"/>
      <c r="L74" s="1567"/>
      <c r="M74" s="1574"/>
      <c r="N74" s="1206"/>
      <c r="O74" s="1592"/>
      <c r="P74" s="1262"/>
      <c r="Q74" s="1262"/>
      <c r="R74" s="1210"/>
      <c r="S74" s="1210"/>
      <c r="T74" s="1626"/>
      <c r="U74" s="1646"/>
      <c r="V74" s="1646"/>
      <c r="W74" s="1214"/>
      <c r="X74" s="1214"/>
      <c r="Y74" s="1957"/>
      <c r="Z74" s="1958"/>
      <c r="AA74" s="1958"/>
      <c r="AB74" s="1959"/>
      <c r="AC74" s="1959"/>
      <c r="AD74" s="2271"/>
      <c r="AE74" s="2272"/>
      <c r="AF74" s="2272"/>
      <c r="AG74" s="2273"/>
      <c r="AH74" s="2273"/>
      <c r="AI74" s="2992"/>
      <c r="AJ74" s="2993"/>
      <c r="AK74" s="2993"/>
      <c r="AL74" s="2994"/>
      <c r="AM74" s="2994"/>
    </row>
    <row r="75" spans="1:39">
      <c r="A75" s="31" t="s">
        <v>109</v>
      </c>
      <c r="B75" t="s">
        <v>2137</v>
      </c>
      <c r="H75" s="743" t="e">
        <f>H73*H65</f>
        <v>#REF!</v>
      </c>
      <c r="I75" s="743" t="e">
        <f>I73*I65</f>
        <v>#REF!</v>
      </c>
      <c r="J75" s="743" t="e">
        <f>J73*J65</f>
        <v>#REF!</v>
      </c>
      <c r="K75" s="1199" t="e">
        <f t="shared" ref="K75" si="18">K73*K65</f>
        <v>#REF!</v>
      </c>
      <c r="L75" s="1587">
        <f t="shared" ref="L75:R75" si="19">L73*L65</f>
        <v>0</v>
      </c>
      <c r="M75" s="1578">
        <f t="shared" ref="M75" si="20">M73*M65</f>
        <v>0</v>
      </c>
      <c r="N75" s="1562">
        <f t="shared" si="19"/>
        <v>0</v>
      </c>
      <c r="O75" s="1596">
        <f t="shared" si="19"/>
        <v>0</v>
      </c>
      <c r="P75" s="1615">
        <f t="shared" ref="P75:Q75" si="21">P73*P65</f>
        <v>0</v>
      </c>
      <c r="Q75" s="1615">
        <f t="shared" si="21"/>
        <v>0</v>
      </c>
      <c r="R75" s="1607">
        <f t="shared" si="19"/>
        <v>0</v>
      </c>
      <c r="S75" s="1607">
        <f t="shared" ref="S75" si="22">S73*S65</f>
        <v>0</v>
      </c>
      <c r="T75" s="1630">
        <f>T73*T65</f>
        <v>0</v>
      </c>
      <c r="U75" s="1648">
        <f t="shared" ref="U75:V75" si="23">U73*U65</f>
        <v>0</v>
      </c>
      <c r="V75" s="1648">
        <f t="shared" si="23"/>
        <v>0</v>
      </c>
      <c r="W75" s="1641">
        <f>W73*W65</f>
        <v>0</v>
      </c>
      <c r="X75" s="1641">
        <f>X73*X65</f>
        <v>0</v>
      </c>
      <c r="Y75" s="1973">
        <f>Y73*Y65</f>
        <v>0</v>
      </c>
      <c r="Z75" s="1974">
        <f t="shared" ref="Z75:AA75" si="24">Z73*Z65</f>
        <v>0</v>
      </c>
      <c r="AA75" s="1974">
        <f t="shared" si="24"/>
        <v>0</v>
      </c>
      <c r="AB75" s="1975">
        <f>AB73*AB65</f>
        <v>0</v>
      </c>
      <c r="AC75" s="1975">
        <f>AC73*AC65</f>
        <v>0</v>
      </c>
      <c r="AD75" s="2287">
        <f>AD73*AD65</f>
        <v>0</v>
      </c>
      <c r="AE75" s="2288">
        <f t="shared" ref="AE75:AF75" si="25">AE73*AE65</f>
        <v>0</v>
      </c>
      <c r="AF75" s="2288">
        <f t="shared" si="25"/>
        <v>0</v>
      </c>
      <c r="AG75" s="2289">
        <f>AG73*AG65</f>
        <v>0</v>
      </c>
      <c r="AH75" s="2289">
        <f>AH73*AH65</f>
        <v>0</v>
      </c>
      <c r="AI75" s="3010">
        <f>AI73*AI65</f>
        <v>0</v>
      </c>
      <c r="AJ75" s="3011">
        <f t="shared" ref="AJ75:AK75" si="26">AJ73*AJ65</f>
        <v>0</v>
      </c>
      <c r="AK75" s="3011">
        <f t="shared" si="26"/>
        <v>0</v>
      </c>
      <c r="AL75" s="3012">
        <f>AL73*AL65</f>
        <v>0</v>
      </c>
      <c r="AM75" s="3012">
        <f>AM73*AM65</f>
        <v>0</v>
      </c>
    </row>
    <row r="76" spans="1:39">
      <c r="A76" s="31"/>
      <c r="B76" s="25" t="s">
        <v>1686</v>
      </c>
      <c r="H76" s="745"/>
      <c r="J76" s="745"/>
      <c r="K76" s="1196"/>
      <c r="L76" s="1570"/>
      <c r="M76" s="1579"/>
      <c r="N76" s="1208"/>
      <c r="O76" s="1597"/>
      <c r="P76" s="1264"/>
      <c r="Q76" s="1264"/>
      <c r="R76" s="1212"/>
      <c r="S76" s="1212"/>
      <c r="T76" s="1631"/>
      <c r="U76" s="1649"/>
      <c r="V76" s="1649"/>
      <c r="W76" s="1216"/>
      <c r="X76" s="1216"/>
      <c r="Y76" s="1976"/>
      <c r="Z76" s="1977"/>
      <c r="AA76" s="1977"/>
      <c r="AB76" s="1984"/>
      <c r="AC76" s="1984"/>
      <c r="AD76" s="2290"/>
      <c r="AE76" s="2291"/>
      <c r="AF76" s="2291"/>
      <c r="AG76" s="2298"/>
      <c r="AH76" s="2298"/>
      <c r="AI76" s="3014"/>
      <c r="AJ76" s="3015"/>
      <c r="AK76" s="3015"/>
      <c r="AL76" s="3022"/>
      <c r="AM76" s="3022"/>
    </row>
    <row r="77" spans="1:39">
      <c r="A77" s="31"/>
      <c r="B77" s="25" t="s">
        <v>1687</v>
      </c>
      <c r="H77" s="745"/>
      <c r="J77" s="745"/>
      <c r="K77" s="1196"/>
      <c r="L77" s="1570"/>
      <c r="M77" s="1579"/>
      <c r="N77" s="1208"/>
      <c r="O77" s="1597"/>
      <c r="P77" s="1264"/>
      <c r="Q77" s="1264"/>
      <c r="R77" s="1212"/>
      <c r="S77" s="1212"/>
      <c r="T77" s="1631"/>
      <c r="U77" s="1649"/>
      <c r="V77" s="1649"/>
      <c r="W77" s="1216"/>
      <c r="X77" s="1216"/>
      <c r="Y77" s="1976"/>
      <c r="Z77" s="1977"/>
      <c r="AA77" s="1977"/>
      <c r="AB77" s="1984"/>
      <c r="AC77" s="1984"/>
      <c r="AD77" s="2290"/>
      <c r="AE77" s="2291"/>
      <c r="AF77" s="2291"/>
      <c r="AG77" s="2298"/>
      <c r="AH77" s="2298"/>
      <c r="AI77" s="3014"/>
      <c r="AJ77" s="3015"/>
      <c r="AK77" s="3015"/>
      <c r="AL77" s="3022"/>
      <c r="AM77" s="3022"/>
    </row>
    <row r="78" spans="1:39">
      <c r="A78" s="21"/>
      <c r="H78" s="745"/>
      <c r="J78" s="745"/>
      <c r="K78" s="1196"/>
      <c r="L78" s="1570"/>
      <c r="M78" s="1579"/>
      <c r="N78" s="1208"/>
      <c r="O78" s="1597"/>
      <c r="P78" s="1264"/>
      <c r="Q78" s="1264"/>
      <c r="R78" s="1212"/>
      <c r="S78" s="1212"/>
      <c r="T78" s="1631"/>
      <c r="U78" s="1649"/>
      <c r="V78" s="1649"/>
      <c r="W78" s="1216"/>
      <c r="X78" s="1216"/>
      <c r="Y78" s="1976"/>
      <c r="Z78" s="1977"/>
      <c r="AA78" s="1977"/>
      <c r="AB78" s="1984"/>
      <c r="AC78" s="1984"/>
      <c r="AD78" s="2290"/>
      <c r="AE78" s="2291"/>
      <c r="AF78" s="2291"/>
      <c r="AG78" s="2298"/>
      <c r="AH78" s="2298"/>
      <c r="AI78" s="3014"/>
      <c r="AJ78" s="3015"/>
      <c r="AK78" s="3015"/>
      <c r="AL78" s="3022"/>
      <c r="AM78" s="3022"/>
    </row>
    <row r="79" spans="1:39">
      <c r="A79" s="31" t="s">
        <v>110</v>
      </c>
      <c r="B79" s="21" t="s">
        <v>1816</v>
      </c>
      <c r="C79" s="21"/>
      <c r="D79" s="21"/>
      <c r="E79" s="21"/>
      <c r="H79" s="748" t="e">
        <f>H65-H75</f>
        <v>#REF!</v>
      </c>
      <c r="I79" s="748" t="e">
        <f>I65-I75</f>
        <v>#REF!</v>
      </c>
      <c r="J79" s="748" t="e">
        <f>J65-J75</f>
        <v>#REF!</v>
      </c>
      <c r="K79" s="1203" t="e">
        <f t="shared" ref="K79" si="27">K65-K75</f>
        <v>#REF!</v>
      </c>
      <c r="L79" s="1589">
        <f t="shared" ref="L79:R79" si="28">L65-L75</f>
        <v>0</v>
      </c>
      <c r="M79" s="1582">
        <f t="shared" ref="M79" si="29">M65-M75</f>
        <v>0</v>
      </c>
      <c r="N79" s="1564">
        <f t="shared" si="28"/>
        <v>0</v>
      </c>
      <c r="O79" s="1600">
        <f t="shared" si="28"/>
        <v>0</v>
      </c>
      <c r="P79" s="1617">
        <f t="shared" ref="P79:Q79" si="30">P65-P75</f>
        <v>0</v>
      </c>
      <c r="Q79" s="1617">
        <f t="shared" si="30"/>
        <v>0</v>
      </c>
      <c r="R79" s="1609">
        <f t="shared" si="28"/>
        <v>0</v>
      </c>
      <c r="S79" s="1609">
        <f t="shared" ref="S79" si="31">S65-S75</f>
        <v>0</v>
      </c>
      <c r="T79" s="1634">
        <f>T65-T75</f>
        <v>0</v>
      </c>
      <c r="U79" s="1624">
        <f t="shared" ref="U79:V79" si="32">U65-U75</f>
        <v>0</v>
      </c>
      <c r="V79" s="1624">
        <f t="shared" si="32"/>
        <v>0</v>
      </c>
      <c r="W79" s="1643">
        <f>W65-W75</f>
        <v>0</v>
      </c>
      <c r="X79" s="1643">
        <f>X65-X75</f>
        <v>0</v>
      </c>
      <c r="Y79" s="1985">
        <f>Y65-Y75</f>
        <v>0</v>
      </c>
      <c r="Z79" s="1986">
        <f t="shared" ref="Z79:AA79" si="33">Z65-Z75</f>
        <v>0</v>
      </c>
      <c r="AA79" s="1986">
        <f t="shared" si="33"/>
        <v>0</v>
      </c>
      <c r="AB79" s="1987">
        <f>AB65-AB75</f>
        <v>0</v>
      </c>
      <c r="AC79" s="1987">
        <f>AC65-AC75</f>
        <v>0</v>
      </c>
      <c r="AD79" s="2299">
        <f>AD65-AD75</f>
        <v>0</v>
      </c>
      <c r="AE79" s="2300">
        <f t="shared" ref="AE79:AF79" si="34">AE65-AE75</f>
        <v>0</v>
      </c>
      <c r="AF79" s="2300">
        <f t="shared" si="34"/>
        <v>0</v>
      </c>
      <c r="AG79" s="2301">
        <f>AG65-AG75</f>
        <v>0</v>
      </c>
      <c r="AH79" s="2301">
        <f>AH65-AH75</f>
        <v>0</v>
      </c>
      <c r="AI79" s="3023">
        <f>AI65-AI75</f>
        <v>0</v>
      </c>
      <c r="AJ79" s="3024">
        <f t="shared" ref="AJ79:AK79" si="35">AJ65-AJ75</f>
        <v>0</v>
      </c>
      <c r="AK79" s="3024">
        <f t="shared" si="35"/>
        <v>0</v>
      </c>
      <c r="AL79" s="3025">
        <f>AL65-AL75</f>
        <v>0</v>
      </c>
      <c r="AM79" s="3025">
        <f>AM65-AM75</f>
        <v>0</v>
      </c>
    </row>
    <row r="80" spans="1:39">
      <c r="A80" s="31"/>
      <c r="B80" s="230" t="s">
        <v>554</v>
      </c>
      <c r="C80" s="21"/>
      <c r="D80" s="21"/>
      <c r="E80" s="21"/>
      <c r="H80" s="745"/>
      <c r="I80" s="749"/>
      <c r="J80" s="745"/>
      <c r="K80" s="1204"/>
      <c r="L80" s="1570"/>
      <c r="M80" s="1579"/>
      <c r="N80" s="1208"/>
      <c r="O80" s="1597"/>
      <c r="P80" s="1264"/>
      <c r="Q80" s="1264"/>
      <c r="R80" s="1212"/>
      <c r="S80" s="1212"/>
      <c r="T80" s="1631"/>
      <c r="U80" s="1649"/>
      <c r="V80" s="1649"/>
      <c r="W80" s="1216"/>
      <c r="X80" s="1216"/>
      <c r="Y80" s="1976"/>
      <c r="Z80" s="1977"/>
      <c r="AA80" s="1977"/>
      <c r="AB80" s="1984"/>
      <c r="AC80" s="1984"/>
      <c r="AD80" s="2290"/>
      <c r="AE80" s="2291"/>
      <c r="AF80" s="2291"/>
      <c r="AG80" s="2298"/>
      <c r="AH80" s="2298"/>
      <c r="AI80" s="3014"/>
      <c r="AJ80" s="3015"/>
      <c r="AK80" s="3015"/>
      <c r="AL80" s="3022"/>
      <c r="AM80" s="3022"/>
    </row>
    <row r="81" spans="1:39">
      <c r="A81" s="31"/>
      <c r="B81" s="230" t="s">
        <v>1468</v>
      </c>
      <c r="C81" s="21"/>
      <c r="D81" s="21"/>
      <c r="E81" s="21"/>
      <c r="H81" s="745"/>
      <c r="I81" s="749"/>
      <c r="J81" s="745"/>
      <c r="K81" s="1204"/>
      <c r="L81" s="1570"/>
      <c r="M81" s="1579"/>
      <c r="N81" s="1208"/>
      <c r="O81" s="1597"/>
      <c r="P81" s="1264"/>
      <c r="Q81" s="1264"/>
      <c r="R81" s="1212"/>
      <c r="S81" s="1212"/>
      <c r="T81" s="1631"/>
      <c r="U81" s="1649"/>
      <c r="V81" s="1649"/>
      <c r="W81" s="1216"/>
      <c r="X81" s="1216"/>
      <c r="Y81" s="1976"/>
      <c r="Z81" s="1977"/>
      <c r="AA81" s="1977"/>
      <c r="AB81" s="1984"/>
      <c r="AC81" s="1984"/>
      <c r="AD81" s="2290"/>
      <c r="AE81" s="2291"/>
      <c r="AF81" s="2291"/>
      <c r="AG81" s="2298"/>
      <c r="AH81" s="2298"/>
      <c r="AI81" s="3014"/>
      <c r="AJ81" s="3015"/>
      <c r="AK81" s="3015"/>
      <c r="AL81" s="3022"/>
      <c r="AM81" s="3022"/>
    </row>
    <row r="82" spans="1:39">
      <c r="A82" s="31"/>
      <c r="B82" s="52"/>
      <c r="C82" s="21"/>
      <c r="D82" s="21"/>
      <c r="E82" s="21"/>
      <c r="H82" s="745"/>
      <c r="I82" s="749"/>
      <c r="J82" s="745"/>
      <c r="K82" s="1204"/>
      <c r="L82" s="1570"/>
      <c r="M82" s="1579"/>
      <c r="N82" s="1208"/>
      <c r="O82" s="1597"/>
      <c r="P82" s="1264"/>
      <c r="Q82" s="1264"/>
      <c r="R82" s="1212"/>
      <c r="S82" s="1212"/>
      <c r="T82" s="1631"/>
      <c r="U82" s="1649"/>
      <c r="V82" s="1649"/>
      <c r="W82" s="1216"/>
      <c r="X82" s="1216"/>
      <c r="Y82" s="1976"/>
      <c r="Z82" s="1977"/>
      <c r="AA82" s="1977"/>
      <c r="AB82" s="1984"/>
      <c r="AC82" s="1984"/>
      <c r="AD82" s="2290"/>
      <c r="AE82" s="2291"/>
      <c r="AF82" s="2291"/>
      <c r="AG82" s="2298"/>
      <c r="AH82" s="2298"/>
      <c r="AI82" s="3014"/>
      <c r="AJ82" s="3015"/>
      <c r="AK82" s="3015"/>
      <c r="AL82" s="3022"/>
      <c r="AM82" s="3022"/>
    </row>
    <row r="83" spans="1:39">
      <c r="A83" s="31"/>
      <c r="B83" s="55"/>
      <c r="C83" s="21"/>
      <c r="D83" s="21"/>
      <c r="E83" s="21"/>
      <c r="H83" s="745"/>
      <c r="I83" s="749"/>
      <c r="J83" s="745"/>
      <c r="K83" s="1204"/>
      <c r="L83" s="1570"/>
      <c r="M83" s="1579"/>
      <c r="N83" s="1208"/>
      <c r="O83" s="1597"/>
      <c r="P83" s="1264"/>
      <c r="Q83" s="1264"/>
      <c r="R83" s="1212"/>
      <c r="S83" s="1212"/>
      <c r="T83" s="1631"/>
      <c r="U83" s="1649"/>
      <c r="V83" s="1649"/>
      <c r="W83" s="1216"/>
      <c r="X83" s="1216"/>
      <c r="Y83" s="1976"/>
      <c r="Z83" s="1977"/>
      <c r="AA83" s="1977"/>
      <c r="AB83" s="1984"/>
      <c r="AC83" s="1984"/>
      <c r="AD83" s="2290"/>
      <c r="AE83" s="2291"/>
      <c r="AF83" s="2291"/>
      <c r="AG83" s="2298"/>
      <c r="AH83" s="2298"/>
      <c r="AI83" s="3014"/>
      <c r="AJ83" s="3015"/>
      <c r="AK83" s="3015"/>
      <c r="AL83" s="3022"/>
      <c r="AM83" s="3022"/>
    </row>
    <row r="84" spans="1:39">
      <c r="A84" s="31"/>
      <c r="B84" s="55"/>
      <c r="C84" s="21"/>
      <c r="D84" s="21"/>
      <c r="E84" s="21"/>
      <c r="H84" s="745"/>
      <c r="I84" s="749"/>
      <c r="J84" s="745"/>
      <c r="K84" s="1204"/>
      <c r="L84" s="1570"/>
      <c r="M84" s="1579"/>
      <c r="N84" s="1208"/>
      <c r="O84" s="1597"/>
      <c r="P84" s="1264"/>
      <c r="Q84" s="1264"/>
      <c r="R84" s="1212"/>
      <c r="S84" s="1212"/>
      <c r="T84" s="1631"/>
      <c r="U84" s="1649"/>
      <c r="V84" s="1649"/>
      <c r="W84" s="1216"/>
      <c r="X84" s="1216"/>
      <c r="Y84" s="1976"/>
      <c r="Z84" s="1977"/>
      <c r="AA84" s="1977"/>
      <c r="AB84" s="1984"/>
      <c r="AC84" s="1984"/>
      <c r="AD84" s="2290"/>
      <c r="AE84" s="2291"/>
      <c r="AF84" s="2291"/>
      <c r="AG84" s="2298"/>
      <c r="AH84" s="2298"/>
      <c r="AI84" s="3014"/>
      <c r="AJ84" s="3015"/>
      <c r="AK84" s="3015"/>
      <c r="AL84" s="3022"/>
      <c r="AM84" s="3022"/>
    </row>
    <row r="85" spans="1:39">
      <c r="A85" s="31"/>
      <c r="B85" s="55"/>
      <c r="C85" s="21"/>
      <c r="D85" s="21"/>
      <c r="E85" s="21"/>
      <c r="H85" s="750" t="e">
        <f>IF(H86&lt;H75,"See Line 11 Note "," ")</f>
        <v>#REF!</v>
      </c>
      <c r="I85" s="749"/>
      <c r="J85" s="745"/>
      <c r="K85" s="1204"/>
      <c r="L85" s="1572" t="str">
        <f>IF(L86&lt;L75,"See Line 11 Note "," ")</f>
        <v xml:space="preserve"> </v>
      </c>
      <c r="M85" s="1583" t="str">
        <f>IF(M86&lt;M75,"See Line 11 Note "," ")</f>
        <v xml:space="preserve"> </v>
      </c>
      <c r="N85" s="1208"/>
      <c r="O85" s="1601" t="str">
        <f>IF(O86&lt;O75,"See Line 11 Note "," ")</f>
        <v xml:space="preserve"> </v>
      </c>
      <c r="P85" s="1618" t="str">
        <f>IF(P86&lt;P75,"See Line 11 Note "," ")</f>
        <v xml:space="preserve"> </v>
      </c>
      <c r="Q85" s="1618" t="str">
        <f>IF(Q86&lt;Q75,"See Line 11 Note "," ")</f>
        <v xml:space="preserve"> </v>
      </c>
      <c r="R85" s="1212"/>
      <c r="S85" s="1212"/>
      <c r="T85" s="1635" t="str">
        <f>IF(T86&lt;T75,"See Line 11 Note "," ")</f>
        <v xml:space="preserve"> </v>
      </c>
      <c r="U85" s="1652" t="str">
        <f>IF(U86&lt;U75,"See Line 11 Note "," ")</f>
        <v xml:space="preserve"> </v>
      </c>
      <c r="V85" s="1652" t="str">
        <f>IF(V86&lt;V75,"See Line 11 Note "," ")</f>
        <v xml:space="preserve"> </v>
      </c>
      <c r="W85" s="1216"/>
      <c r="X85" s="1216"/>
      <c r="Y85" s="1988" t="str">
        <f>IF(Y86&lt;Y75,"See Line 11 Note "," ")</f>
        <v xml:space="preserve"> </v>
      </c>
      <c r="Z85" s="1989" t="str">
        <f>IF(Z86&lt;Z75,"See Line 11 Note "," ")</f>
        <v xml:space="preserve"> </v>
      </c>
      <c r="AA85" s="1989" t="str">
        <f>IF(AA86&lt;AA75,"See Line 11 Note "," ")</f>
        <v xml:space="preserve"> </v>
      </c>
      <c r="AB85" s="1984"/>
      <c r="AC85" s="1984"/>
      <c r="AD85" s="2302" t="str">
        <f>IF(AD86&lt;AD75,"See Line 11 Note "," ")</f>
        <v xml:space="preserve"> </v>
      </c>
      <c r="AE85" s="2303" t="str">
        <f>IF(AE86&lt;AE75,"See Line 11 Note "," ")</f>
        <v xml:space="preserve"> </v>
      </c>
      <c r="AF85" s="2303" t="str">
        <f>IF(AF86&lt;AF75,"See Line 11 Note "," ")</f>
        <v xml:space="preserve"> </v>
      </c>
      <c r="AG85" s="2298"/>
      <c r="AH85" s="2298"/>
      <c r="AI85" s="3026" t="str">
        <f>IF(AI86&lt;AI75,"See Line 11 Note "," ")</f>
        <v xml:space="preserve"> </v>
      </c>
      <c r="AJ85" s="3027" t="str">
        <f>IF(AJ86&lt;AJ75,"See Line 11 Note "," ")</f>
        <v xml:space="preserve"> </v>
      </c>
      <c r="AK85" s="3027" t="str">
        <f>IF(AK86&lt;AK75,"See Line 11 Note "," ")</f>
        <v xml:space="preserve"> </v>
      </c>
      <c r="AL85" s="3022"/>
      <c r="AM85" s="3022"/>
    </row>
    <row r="86" spans="1:39" ht="13.5" thickBot="1">
      <c r="A86" s="63" t="s">
        <v>111</v>
      </c>
      <c r="B86" s="64" t="s">
        <v>2201</v>
      </c>
      <c r="C86" s="21"/>
      <c r="D86" s="21"/>
      <c r="E86" s="21"/>
      <c r="H86" s="748" t="e">
        <f>IF(H75=0,0,IF('Data Entry - SOF'!#REF!+'Data Entry - SOF'!#REF!-#REF!&lt;0,0,IF('Data Entry - SOF'!#REF!+'Data Entry - SOF'!#REF!-#REF!&gt;H79,H75,(('Data Entry - SOF'!#REF!+'Data Entry - SOF'!#REF!-#REF!)/H79)*H75)))</f>
        <v>#REF!</v>
      </c>
      <c r="I86" s="748" t="e">
        <f>IF(I75=0,0,IF('Data Entry - SOF'!#REF!+'Data Entry - SOF'!#REF!-#REF!&lt;0,0,IF('Data Entry - SOF'!#REF!+'Data Entry - SOF'!#REF!-#REF!&gt;I79,I75,(('Data Entry - SOF'!#REF!+'Data Entry - SOF'!#REF!-#REF!)/I79)*I75)))</f>
        <v>#REF!</v>
      </c>
      <c r="J86" s="748" t="e">
        <f>J75</f>
        <v>#REF!</v>
      </c>
      <c r="K86" s="1203" t="e">
        <f>K75</f>
        <v>#REF!</v>
      </c>
      <c r="L86" s="1590">
        <f>IF(L75=0,0,IF('Data Entry - SOF'!C80+'Data Entry - SOF'!C81-'Existing Debt-HB3'!I61&lt;0,0,IF('Data Entry - SOF'!C80+'Data Entry - SOF'!C81-'Existing Debt-HB3'!I61&gt;L79,L75,(('Data Entry - SOF'!C80+'Data Entry - SOF'!C81-'Existing Debt-HB3'!I61)/L79)*L75)))</f>
        <v>0</v>
      </c>
      <c r="M86" s="1584">
        <f>IF(M75=0,0,IF('Data Entry - SOF'!C80+'Data Entry - SOF'!C81-'Existing Debt-HB3'!J61&lt;0,0,IF('Data Entry - SOF'!C80+'Data Entry - SOF'!C81-'Existing Debt-HB3'!J61&gt;M79,M75,(('Data Entry - SOF'!C80+'Data Entry - SOF'!C81-'Existing Debt-HB3'!J61)/M79)*M75)))</f>
        <v>0</v>
      </c>
      <c r="N86" s="1565">
        <f>N75</f>
        <v>0</v>
      </c>
      <c r="O86" s="1602">
        <f>IF(O75=0,0,IF('Data Entry - SOF'!E80+'Data Entry - SOF'!E81-'Existing Debt-HB3'!K61&lt;0,0,IF('Data Entry - SOF'!E80+'Data Entry - SOF'!E81-'Existing Debt-HB3'!K61&gt;O79,O75,(('Data Entry - SOF'!E80+'Data Entry - SOF'!E81-'Existing Debt-HB3'!K61)/O79)*O75)))</f>
        <v>0</v>
      </c>
      <c r="P86" s="1619">
        <f>IF(P75=0,0,IF('Data Entry - SOF'!E80+'Data Entry - SOF'!E81-'Existing Debt-HB3'!L61&lt;0,0,IF('Data Entry - SOF'!E80+'Data Entry - SOF'!E81-'Existing Debt-HB3'!L61&gt;P79,P75,(('Data Entry - SOF'!E80+'Data Entry - SOF'!E81-'Existing Debt-HB3'!L61)/P79)*P75)))</f>
        <v>0</v>
      </c>
      <c r="Q86" s="1619">
        <f>IF(Q75=0,0,IF('Data Entry - SOF'!E80+'Data Entry - SOF'!E81-'Existing Debt-HB3'!M61&lt;0,0,IF('Data Entry - SOF'!E80+'Data Entry - SOF'!E81-'Existing Debt-HB3'!M61&gt;Q79,Q75,(('Data Entry - SOF'!E80+'Data Entry - SOF'!E81-'Existing Debt-HB3'!M61)/Q79)*Q75)))</f>
        <v>0</v>
      </c>
      <c r="R86" s="1610">
        <f>R75</f>
        <v>0</v>
      </c>
      <c r="S86" s="1610">
        <f>S75</f>
        <v>0</v>
      </c>
      <c r="T86" s="1636">
        <f>IF(T75=0,0,IF('Data Entry - SOF'!G80+'Data Entry - SOF'!G81-'Existing Debt-HB3'!N61&lt;0,0,IF('Data Entry - SOF'!G80+'Data Entry - SOF'!G81-'Existing Debt-HB3'!N61&gt;T79,T75,(('Data Entry - SOF'!G80+'Data Entry - SOF'!G81-'Existing Debt-HB3'!N61)/T79)*T75)))</f>
        <v>0</v>
      </c>
      <c r="U86" s="1625">
        <f>IF(U75=0,0,IF('Data Entry - SOF'!G80+'Data Entry - SOF'!G81-'Existing Debt-HB3'!O61&lt;0,0,IF('Data Entry - SOF'!G80+'Data Entry - SOF'!G81-'Existing Debt-HB3'!O61&gt;U79,U75,(('Data Entry - SOF'!G80+'Data Entry - SOF'!G81-'Existing Debt-HB3'!O61)/U79)*U75)))</f>
        <v>0</v>
      </c>
      <c r="V86" s="1625">
        <f>IF(V75=0,0,IF('Data Entry - SOF'!G80+'Data Entry - SOF'!G81-'Existing Debt-HB3'!P61&lt;0,0,IF('Data Entry - SOF'!G80+'Data Entry - SOF'!G81-'Existing Debt-HB3'!P61&gt;V79,V75,(('Data Entry - SOF'!G80+'Data Entry - SOF'!G81-'Existing Debt-HB3'!P61)/V79)*V75)))</f>
        <v>0</v>
      </c>
      <c r="W86" s="1644">
        <f>W75</f>
        <v>0</v>
      </c>
      <c r="X86" s="1644">
        <f>X75</f>
        <v>0</v>
      </c>
      <c r="Y86" s="1990">
        <f>IF(Y75=0,0,IF('Data Entry - SOF'!I80+'Data Entry - SOF'!I81-'Existing Debt-HB3'!Q61&lt;0,0,IF('Data Entry - SOF'!I80+'Data Entry - SOF'!I81-'Existing Debt-HB3'!Q61&gt;Y79,Y75,(('Data Entry - SOF'!I80+'Data Entry - SOF'!I81-'Existing Debt-HB3'!Q61)/Y79)*Y75)))</f>
        <v>0</v>
      </c>
      <c r="Z86" s="1991">
        <f>IF(Z75=0,0,IF('Data Entry - SOF'!I80+'Data Entry - SOF'!I81-'Existing Debt-HB3'!R61&lt;0,0,IF('Data Entry - SOF'!I80+'Data Entry - SOF'!I81-'Existing Debt-HB3'!R61&gt;Z79,Z75,(('Data Entry - SOF'!I80+'Data Entry - SOF'!I81-'Existing Debt-HB3'!R61)/Z79)*Z75)))</f>
        <v>0</v>
      </c>
      <c r="AA86" s="1991">
        <f>IF(AA75=0,0,IF('Data Entry - SOF'!I80+'Data Entry - SOF'!I81-'Existing Debt-HB3'!S61&lt;0,0,IF('Data Entry - SOF'!I80+'Data Entry - SOF'!I81-'Existing Debt-HB3'!S61&gt;AA79,AA75,(('Data Entry - SOF'!I80+'Data Entry - SOF'!I81-'Existing Debt-HB3'!S61)/AA79)*AA75)))</f>
        <v>0</v>
      </c>
      <c r="AB86" s="1992">
        <f>AB75</f>
        <v>0</v>
      </c>
      <c r="AC86" s="1992">
        <f>AC75</f>
        <v>0</v>
      </c>
      <c r="AD86" s="2304">
        <f>IF(AD75=0,0,IF('Data Entry - SOF'!K80+'Data Entry - SOF'!K81-'Existing Debt-HB3'!T61&lt;0,0,IF('Data Entry - SOF'!K80+'Data Entry - SOF'!K81-'Existing Debt-HB3'!T61&gt;AD79,AD75,(('Data Entry - SOF'!K80+'Data Entry - SOF'!K81-'Existing Debt-HB3'!T61)/AD79)*AD75)))</f>
        <v>0</v>
      </c>
      <c r="AE86" s="2305">
        <f>IF(AE75=0,0,IF('Data Entry - SOF'!K80+'Data Entry - SOF'!K81-'Existing Debt-HB3'!U61&lt;0,0,IF('Data Entry - SOF'!K80+'Data Entry - SOF'!K81-'Existing Debt-HB3'!U61&gt;AE79,AE75,(('Data Entry - SOF'!K80+'Data Entry - SOF'!K81-'Existing Debt-HB3'!U61)/AE79)*AE75)))</f>
        <v>0</v>
      </c>
      <c r="AF86" s="2305">
        <f>IF(AF75=0,0,IF('Data Entry - SOF'!K80+'Data Entry - SOF'!K81-'Existing Debt-HB3'!V61&lt;0,0,IF('Data Entry - SOF'!K80+'Data Entry - SOF'!K81-'Existing Debt-HB3'!V61&gt;AF79,AF75,(('Data Entry - SOF'!K80+'Data Entry - SOF'!K81-'Existing Debt-HB3'!V61)/AF79)*AF75)))</f>
        <v>0</v>
      </c>
      <c r="AG86" s="2306">
        <f>AG75</f>
        <v>0</v>
      </c>
      <c r="AH86" s="2306">
        <f>AH75</f>
        <v>0</v>
      </c>
      <c r="AI86" s="3028">
        <f>IF(AI75=0,0,IF('Data Entry - SOF'!M80+'Data Entry - SOF'!M81-'Existing Debt-HB3'!W61&lt;0,0,IF('Data Entry - SOF'!M80+'Data Entry - SOF'!M81-'Existing Debt-HB3'!W61&gt;AI79,AI75,(('Data Entry - SOF'!M80+'Data Entry - SOF'!M81-'Existing Debt-HB3'!W61)/AI79)*AI75)))</f>
        <v>0</v>
      </c>
      <c r="AJ86" s="3029">
        <f>IF(AJ75=0,0,IF('Data Entry - SOF'!M80+'Data Entry - SOF'!M81-'Existing Debt-HB3'!X61&lt;0,0,IF('Data Entry - SOF'!M80+'Data Entry - SOF'!M81-'Existing Debt-HB3'!X61&gt;AJ79,AJ75,(('Data Entry - SOF'!M80+'Data Entry - SOF'!M81-'Existing Debt-HB3'!X61)/AJ79)*AJ75)))</f>
        <v>0</v>
      </c>
      <c r="AK86" s="3029">
        <f>IF(AK75=0,0,IF('Data Entry - SOF'!M80+'Data Entry - SOF'!M81-'Existing Debt-HB3'!Y61&lt;0,0,IF('Data Entry - SOF'!M80+'Data Entry - SOF'!M81-'Existing Debt-HB3'!Y61&gt;AK79,AK75,(('Data Entry - SOF'!M80+'Data Entry - SOF'!M81-'Existing Debt-HB3'!Y61)/AK79)*AK75)))</f>
        <v>0</v>
      </c>
      <c r="AL86" s="3030">
        <f>AL75</f>
        <v>0</v>
      </c>
      <c r="AM86" s="3030">
        <f>AM75</f>
        <v>0</v>
      </c>
    </row>
    <row r="87" spans="1:39" ht="13.5" thickTop="1">
      <c r="A87" s="63"/>
      <c r="B87" s="229" t="s">
        <v>2202</v>
      </c>
      <c r="C87" s="21"/>
      <c r="D87" s="21"/>
      <c r="E87" s="21"/>
    </row>
    <row r="88" spans="1:39">
      <c r="A88" s="63"/>
      <c r="B88" s="55" t="s">
        <v>3326</v>
      </c>
      <c r="C88" s="21"/>
      <c r="D88" s="21"/>
      <c r="E88" s="21"/>
    </row>
    <row r="89" spans="1:39">
      <c r="A89" s="31"/>
      <c r="B89" s="229" t="s">
        <v>553</v>
      </c>
      <c r="C89" s="21"/>
      <c r="D89" s="21"/>
      <c r="E89" s="21"/>
    </row>
  </sheetData>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66FF33"/>
  </sheetPr>
  <dimension ref="A1:C130"/>
  <sheetViews>
    <sheetView workbookViewId="0">
      <selection activeCell="C3" sqref="C3"/>
    </sheetView>
  </sheetViews>
  <sheetFormatPr defaultColWidth="8.7265625" defaultRowHeight="12.5"/>
  <cols>
    <col min="1" max="1" width="5.7265625" style="2042" customWidth="1"/>
    <col min="2" max="2" width="92.26953125" style="2042" customWidth="1"/>
    <col min="3" max="3" width="26.453125" style="2042" customWidth="1"/>
    <col min="4" max="16384" width="8.7265625" style="2042"/>
  </cols>
  <sheetData>
    <row r="1" spans="1:3" ht="13">
      <c r="A1" s="245" t="s">
        <v>2716</v>
      </c>
      <c r="C1" s="1784" t="str">
        <f>'Data Entry - SOF'!M1</f>
        <v>Release 2</v>
      </c>
    </row>
    <row r="2" spans="1:3" ht="13">
      <c r="A2" s="245" t="s">
        <v>2717</v>
      </c>
      <c r="C2" s="2034">
        <f>'Data Entry - SOF'!M2</f>
        <v>44930</v>
      </c>
    </row>
    <row r="3" spans="1:3" ht="13">
      <c r="A3" s="52"/>
      <c r="C3" s="47"/>
    </row>
    <row r="4" spans="1:3" ht="15.5">
      <c r="A4" s="246" t="s">
        <v>8829</v>
      </c>
    </row>
    <row r="5" spans="1:3" ht="15.5">
      <c r="A5" s="248" t="str">
        <f>'Data Entry - SOF'!B1</f>
        <v xml:space="preserve"> </v>
      </c>
    </row>
    <row r="6" spans="1:3" ht="15.5">
      <c r="A6" s="246">
        <f>'Data Entry - SOF'!B2</f>
        <v>0</v>
      </c>
    </row>
    <row r="8" spans="1:3" ht="18">
      <c r="A8" s="2117"/>
      <c r="B8" s="2056"/>
      <c r="C8" s="1768" t="s">
        <v>2558</v>
      </c>
    </row>
    <row r="9" spans="1:3" ht="18">
      <c r="A9" s="2118" t="s">
        <v>2655</v>
      </c>
      <c r="B9" s="2119"/>
      <c r="C9" s="2120" t="s">
        <v>2628</v>
      </c>
    </row>
    <row r="10" spans="1:3" s="2040" customFormat="1" ht="15.5">
      <c r="A10" s="2127" t="s">
        <v>2063</v>
      </c>
      <c r="B10" s="2121" t="s">
        <v>8272</v>
      </c>
      <c r="C10" s="2129" t="e">
        <f>'Calc Data'!D113</f>
        <v>#DIV/0!</v>
      </c>
    </row>
    <row r="11" spans="1:3" s="2040" customFormat="1" ht="15.5">
      <c r="A11" s="2127" t="s">
        <v>2064</v>
      </c>
      <c r="B11" s="2121" t="s">
        <v>8286</v>
      </c>
      <c r="C11" s="2129" t="e">
        <f>'Calc Data'!D104</f>
        <v>#DIV/0!</v>
      </c>
    </row>
    <row r="12" spans="1:3" s="2040" customFormat="1" ht="15.5">
      <c r="A12" s="2127" t="s">
        <v>2065</v>
      </c>
      <c r="B12" s="2121" t="s">
        <v>8287</v>
      </c>
      <c r="C12" s="2129" t="e">
        <f>'Calc Data'!D109</f>
        <v>#DIV/0!</v>
      </c>
    </row>
    <row r="13" spans="1:3" s="2040" customFormat="1" ht="15.5">
      <c r="A13" s="2127" t="s">
        <v>862</v>
      </c>
      <c r="B13" s="2121" t="s">
        <v>8273</v>
      </c>
      <c r="C13" s="2129" t="e">
        <f>C10+C11+C12</f>
        <v>#DIV/0!</v>
      </c>
    </row>
    <row r="14" spans="1:3" s="2040" customFormat="1" ht="18" customHeight="1">
      <c r="A14" s="2123" t="s">
        <v>8274</v>
      </c>
      <c r="B14" s="2122"/>
      <c r="C14" s="2131"/>
    </row>
    <row r="15" spans="1:3" s="2040" customFormat="1" ht="15.5">
      <c r="A15" s="2127" t="s">
        <v>863</v>
      </c>
      <c r="B15" s="2121" t="s">
        <v>8275</v>
      </c>
      <c r="C15" s="2129" t="e">
        <f>'Report-SOF2122-HB1525'!D55</f>
        <v>#N/A</v>
      </c>
    </row>
    <row r="16" spans="1:3" s="2040" customFormat="1" ht="15.5">
      <c r="A16" s="2127" t="s">
        <v>865</v>
      </c>
      <c r="B16" s="2121" t="s">
        <v>8276</v>
      </c>
      <c r="C16" s="2129">
        <f>'Report-SOF2122-HB1525'!D57</f>
        <v>0</v>
      </c>
    </row>
    <row r="17" spans="1:3" s="2040" customFormat="1" ht="15.5">
      <c r="A17" s="2127" t="s">
        <v>866</v>
      </c>
      <c r="B17" s="2121" t="s">
        <v>8819</v>
      </c>
      <c r="C17" s="2129" t="e">
        <f>C15-C16</f>
        <v>#N/A</v>
      </c>
    </row>
    <row r="18" spans="1:3" s="2040" customFormat="1" ht="15.5">
      <c r="A18" s="2127" t="s">
        <v>867</v>
      </c>
      <c r="B18" s="2121" t="s">
        <v>8277</v>
      </c>
      <c r="C18" s="2129">
        <f>'Report-SOF2122-HB1525'!D56</f>
        <v>0</v>
      </c>
    </row>
    <row r="19" spans="1:3" s="2040" customFormat="1" ht="15.5">
      <c r="A19" s="2127" t="s">
        <v>109</v>
      </c>
      <c r="B19" s="2121" t="s">
        <v>8820</v>
      </c>
      <c r="C19" s="2129" t="e">
        <f>IF(C18-(C15-C16)&lt;0,0,C18-(C15-C16))</f>
        <v>#N/A</v>
      </c>
    </row>
    <row r="20" spans="1:3" s="2040" customFormat="1" ht="18" customHeight="1">
      <c r="A20" s="2123" t="s">
        <v>8821</v>
      </c>
      <c r="B20" s="2122"/>
      <c r="C20" s="2131"/>
    </row>
    <row r="21" spans="1:3" s="2040" customFormat="1" ht="15.5">
      <c r="A21" s="2128" t="s">
        <v>110</v>
      </c>
      <c r="B21" s="2124" t="s">
        <v>8822</v>
      </c>
      <c r="C21" s="2130" t="e">
        <f>'SOF2122-HB3'!I72</f>
        <v>#N/A</v>
      </c>
    </row>
    <row r="22" spans="1:3" s="2040" customFormat="1" ht="15.5">
      <c r="A22" s="2126"/>
      <c r="B22" s="2125" t="s">
        <v>8823</v>
      </c>
      <c r="C22" s="2132"/>
    </row>
    <row r="23" spans="1:3" s="2040" customFormat="1" ht="15.5">
      <c r="A23" s="2127" t="s">
        <v>111</v>
      </c>
      <c r="B23" s="2121" t="s">
        <v>8824</v>
      </c>
      <c r="C23" s="2129" t="e">
        <f>MAX((C19+C21),0)</f>
        <v>#N/A</v>
      </c>
    </row>
    <row r="24" spans="1:3" s="2040" customFormat="1" ht="18" customHeight="1">
      <c r="A24" s="2123" t="s">
        <v>8278</v>
      </c>
      <c r="B24" s="2122"/>
      <c r="C24" s="2131"/>
    </row>
    <row r="25" spans="1:3" s="2040" customFormat="1" ht="15.5">
      <c r="A25" s="2127" t="s">
        <v>112</v>
      </c>
      <c r="B25" s="2121" t="s">
        <v>8825</v>
      </c>
      <c r="C25" s="2129" t="e">
        <f>'SOF2122-HB3'!I206</f>
        <v>#N/A</v>
      </c>
    </row>
    <row r="26" spans="1:3" s="2040" customFormat="1" ht="15.5">
      <c r="A26" s="2127" t="s">
        <v>1424</v>
      </c>
      <c r="B26" s="2121" t="s">
        <v>8826</v>
      </c>
      <c r="C26" s="2129" t="e">
        <f>'SOF2122-HB3'!I207</f>
        <v>#DIV/0!</v>
      </c>
    </row>
    <row r="27" spans="1:3" s="2040" customFormat="1" ht="15.5">
      <c r="A27" s="2127" t="s">
        <v>6</v>
      </c>
      <c r="B27" s="2121" t="s">
        <v>8279</v>
      </c>
      <c r="C27" s="2129" t="e">
        <f>IF(C26-C25&lt;0,0,C26-C25)</f>
        <v>#DIV/0!</v>
      </c>
    </row>
    <row r="28" spans="1:3" s="2040" customFormat="1" ht="18" customHeight="1">
      <c r="A28" s="2123" t="s">
        <v>8280</v>
      </c>
      <c r="B28" s="2122"/>
      <c r="C28" s="2131"/>
    </row>
    <row r="29" spans="1:3" s="2040" customFormat="1" ht="15.5">
      <c r="A29" s="2127" t="s">
        <v>2109</v>
      </c>
      <c r="B29" s="2121" t="s">
        <v>8281</v>
      </c>
      <c r="C29" s="2129" t="e">
        <f>C23+C27</f>
        <v>#N/A</v>
      </c>
    </row>
    <row r="30" spans="1:3" s="2040" customFormat="1" ht="15.5">
      <c r="A30" s="2127" t="s">
        <v>2110</v>
      </c>
      <c r="B30" s="2121" t="s">
        <v>8827</v>
      </c>
      <c r="C30" s="2129">
        <f>'Data Entry - SOF'!C111</f>
        <v>0</v>
      </c>
    </row>
    <row r="31" spans="1:3" s="2040" customFormat="1" ht="15.5">
      <c r="A31" s="2127" t="s">
        <v>2562</v>
      </c>
      <c r="B31" s="2121" t="s">
        <v>8285</v>
      </c>
      <c r="C31" s="2567" t="e">
        <f>C29/'Data Entry - SOF'!C75</f>
        <v>#N/A</v>
      </c>
    </row>
    <row r="32" spans="1:3" s="2040" customFormat="1" ht="15.5">
      <c r="A32" s="2127" t="s">
        <v>2563</v>
      </c>
      <c r="B32" s="2121" t="s">
        <v>8828</v>
      </c>
      <c r="C32" s="2129" t="e">
        <f>C31*C30</f>
        <v>#N/A</v>
      </c>
    </row>
    <row r="33" spans="1:3" s="2040" customFormat="1" ht="15.5">
      <c r="A33" s="2127" t="s">
        <v>2564</v>
      </c>
      <c r="B33" s="2121" t="s">
        <v>8282</v>
      </c>
      <c r="C33" s="2129" t="e">
        <f>C29-C32</f>
        <v>#N/A</v>
      </c>
    </row>
    <row r="34" spans="1:3" s="2040" customFormat="1" ht="15.5">
      <c r="B34" s="320" t="s">
        <v>2708</v>
      </c>
      <c r="C34" s="635" t="s">
        <v>9067</v>
      </c>
    </row>
    <row r="35" spans="1:3" s="2040" customFormat="1" ht="15.5"/>
    <row r="36" spans="1:3" s="2040" customFormat="1" ht="15.5"/>
    <row r="37" spans="1:3" s="2040" customFormat="1" ht="15.5"/>
    <row r="38" spans="1:3" s="2040" customFormat="1" ht="15.5"/>
    <row r="39" spans="1:3" s="2040" customFormat="1" ht="15.5"/>
    <row r="40" spans="1:3" s="2040" customFormat="1" ht="15.5"/>
    <row r="41" spans="1:3" s="2040" customFormat="1" ht="15.5"/>
    <row r="42" spans="1:3" s="2040" customFormat="1" ht="15.5"/>
    <row r="43" spans="1:3" s="2040" customFormat="1" ht="15.5"/>
    <row r="44" spans="1:3" s="2040" customFormat="1" ht="15.5"/>
    <row r="45" spans="1:3" s="2040" customFormat="1" ht="15.5"/>
    <row r="46" spans="1:3" s="2040" customFormat="1" ht="15.5"/>
    <row r="47" spans="1:3" s="2040" customFormat="1" ht="15.5"/>
    <row r="48" spans="1:3" s="2040" customFormat="1" ht="15.5"/>
    <row r="49" s="2040" customFormat="1" ht="15.5"/>
    <row r="50" s="2040" customFormat="1" ht="15.5"/>
    <row r="51" s="2040" customFormat="1" ht="15.5"/>
    <row r="52" s="2040" customFormat="1" ht="15.5"/>
    <row r="53" s="2040" customFormat="1" ht="15.5"/>
    <row r="54" s="2040" customFormat="1" ht="15.5"/>
    <row r="55" s="2040" customFormat="1" ht="15.5"/>
    <row r="56" s="2040" customFormat="1" ht="15.5"/>
    <row r="57" s="2040" customFormat="1" ht="15.5"/>
    <row r="58" s="2040" customFormat="1" ht="15.5"/>
    <row r="59" s="2040" customFormat="1" ht="15.5"/>
    <row r="60" s="2040" customFormat="1" ht="15.5"/>
    <row r="61" s="2040" customFormat="1" ht="15.5"/>
    <row r="62" s="2040" customFormat="1" ht="15.5"/>
    <row r="63" s="2040" customFormat="1" ht="15.5"/>
    <row r="64" s="2040" customFormat="1" ht="15.5"/>
    <row r="65" s="2040" customFormat="1" ht="15.5"/>
    <row r="66" s="2040" customFormat="1" ht="15.5"/>
    <row r="67" s="2040" customFormat="1" ht="15.5"/>
    <row r="68" s="2040" customFormat="1" ht="15.5"/>
    <row r="69" s="2040" customFormat="1" ht="15.5"/>
    <row r="70" s="2040" customFormat="1" ht="15.5"/>
    <row r="71" s="2040" customFormat="1" ht="15.5"/>
    <row r="72" s="2040" customFormat="1" ht="15.5"/>
    <row r="73" s="2040" customFormat="1" ht="15.5"/>
    <row r="74" s="2040" customFormat="1" ht="15.5"/>
    <row r="75" s="2040" customFormat="1" ht="15.5"/>
    <row r="76" s="2040" customFormat="1" ht="15.5"/>
    <row r="77" s="2040" customFormat="1" ht="15.5"/>
    <row r="78" s="2040" customFormat="1" ht="15.5"/>
    <row r="79" s="2040" customFormat="1" ht="15.5"/>
    <row r="80" s="2040" customFormat="1" ht="15.5"/>
    <row r="81" s="2040" customFormat="1" ht="15.5"/>
    <row r="82" s="2040" customFormat="1" ht="15.5"/>
    <row r="83" s="2040" customFormat="1" ht="15.5"/>
    <row r="84" s="2040" customFormat="1" ht="15.5"/>
    <row r="85" s="2040" customFormat="1" ht="15.5"/>
    <row r="86" s="2040" customFormat="1" ht="15.5"/>
    <row r="87" s="2040" customFormat="1" ht="15.5"/>
    <row r="88" s="2040" customFormat="1" ht="15.5"/>
    <row r="89" s="2040" customFormat="1" ht="15.5"/>
    <row r="90" s="2040" customFormat="1" ht="15.5"/>
    <row r="91" s="2040" customFormat="1" ht="15.5"/>
    <row r="92" s="2040" customFormat="1" ht="15.5"/>
    <row r="93" s="2040" customFormat="1" ht="15.5"/>
    <row r="94" s="2040" customFormat="1" ht="15.5"/>
    <row r="95" s="2040" customFormat="1" ht="15.5"/>
    <row r="96" s="2040" customFormat="1" ht="15.5"/>
    <row r="97" s="2040" customFormat="1" ht="15.5"/>
    <row r="98" s="2040" customFormat="1" ht="15.5"/>
    <row r="99" s="2040" customFormat="1" ht="15.5"/>
    <row r="100" s="2040" customFormat="1" ht="15.5"/>
    <row r="101" s="2040" customFormat="1" ht="15.5"/>
    <row r="102" s="2040" customFormat="1" ht="15.5"/>
    <row r="103" s="2040" customFormat="1" ht="15.5"/>
    <row r="104" s="2040" customFormat="1" ht="15.5"/>
    <row r="105" s="2040" customFormat="1" ht="15.5"/>
    <row r="106" s="2040" customFormat="1" ht="15.5"/>
    <row r="107" s="2040" customFormat="1" ht="15.5"/>
    <row r="108" s="2040" customFormat="1" ht="15.5"/>
    <row r="109" s="2040" customFormat="1" ht="15.5"/>
    <row r="110" s="2040" customFormat="1" ht="15.5"/>
    <row r="111" s="2040" customFormat="1" ht="15.5"/>
    <row r="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pans="3:3" s="2040" customFormat="1" ht="15.5"/>
    <row r="130" spans="3:3" s="2040" customFormat="1" ht="15.5">
      <c r="C130" s="2042"/>
    </row>
  </sheetData>
  <hyperlinks>
    <hyperlink ref="C34" location="'Report-SOF2122-HB1525'!A1" display="'Report-SOF2122-HB1525'!A1" xr:uid="{00000000-0004-0000-3100-000000000000}"/>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66FF33"/>
  </sheetPr>
  <dimension ref="A1:C130"/>
  <sheetViews>
    <sheetView topLeftCell="A19" workbookViewId="0">
      <selection activeCell="C34" sqref="C34"/>
    </sheetView>
  </sheetViews>
  <sheetFormatPr defaultColWidth="8.7265625" defaultRowHeight="12.5"/>
  <cols>
    <col min="1" max="1" width="5.7265625" style="2042" customWidth="1"/>
    <col min="2" max="2" width="92.26953125" style="2042" customWidth="1"/>
    <col min="3" max="3" width="25.81640625" style="2042" customWidth="1"/>
    <col min="4" max="16384" width="8.7265625" style="2042"/>
  </cols>
  <sheetData>
    <row r="1" spans="1:3" ht="13">
      <c r="A1" s="245" t="s">
        <v>2716</v>
      </c>
      <c r="C1" s="1784" t="str">
        <f>Recap_Detail2122!C1</f>
        <v>Release 2</v>
      </c>
    </row>
    <row r="2" spans="1:3" ht="13">
      <c r="A2" s="245" t="s">
        <v>2717</v>
      </c>
      <c r="C2" s="2034">
        <f>Recap_Detail2122!C2</f>
        <v>44930</v>
      </c>
    </row>
    <row r="3" spans="1:3" ht="13">
      <c r="A3" s="52"/>
      <c r="C3" s="47"/>
    </row>
    <row r="4" spans="1:3" ht="15.5">
      <c r="A4" s="246" t="s">
        <v>8830</v>
      </c>
    </row>
    <row r="5" spans="1:3" ht="15.5">
      <c r="A5" s="248" t="str">
        <f>'Data Entry - SOF'!B1</f>
        <v xml:space="preserve"> </v>
      </c>
    </row>
    <row r="6" spans="1:3" ht="15.5">
      <c r="A6" s="246">
        <f>'Data Entry - SOF'!B2</f>
        <v>0</v>
      </c>
    </row>
    <row r="8" spans="1:3" ht="18">
      <c r="A8" s="2117"/>
      <c r="B8" s="2056"/>
      <c r="C8" s="1768" t="s">
        <v>2558</v>
      </c>
    </row>
    <row r="9" spans="1:3" ht="18">
      <c r="A9" s="2118" t="s">
        <v>2655</v>
      </c>
      <c r="B9" s="2119"/>
      <c r="C9" s="2120" t="s">
        <v>2628</v>
      </c>
    </row>
    <row r="10" spans="1:3" s="2040" customFormat="1" ht="15.5">
      <c r="A10" s="2127" t="s">
        <v>2063</v>
      </c>
      <c r="B10" s="2121" t="s">
        <v>8272</v>
      </c>
      <c r="C10" s="2129" t="e">
        <f>'Calc Data'!E113</f>
        <v>#DIV/0!</v>
      </c>
    </row>
    <row r="11" spans="1:3" s="2040" customFormat="1" ht="15.5">
      <c r="A11" s="2127" t="s">
        <v>2064</v>
      </c>
      <c r="B11" s="2121" t="s">
        <v>8286</v>
      </c>
      <c r="C11" s="2129" t="e">
        <f>'Calc Data'!E104</f>
        <v>#DIV/0!</v>
      </c>
    </row>
    <row r="12" spans="1:3" s="2040" customFormat="1" ht="15.5">
      <c r="A12" s="2127" t="s">
        <v>2065</v>
      </c>
      <c r="B12" s="2121" t="s">
        <v>8287</v>
      </c>
      <c r="C12" s="2129" t="e">
        <f>'Calc Data'!E109</f>
        <v>#DIV/0!</v>
      </c>
    </row>
    <row r="13" spans="1:3" s="2040" customFormat="1" ht="15.5">
      <c r="A13" s="2127" t="s">
        <v>862</v>
      </c>
      <c r="B13" s="2121" t="s">
        <v>8273</v>
      </c>
      <c r="C13" s="2129" t="e">
        <f>C10+C11+C12</f>
        <v>#DIV/0!</v>
      </c>
    </row>
    <row r="14" spans="1:3" s="2040" customFormat="1" ht="18" customHeight="1">
      <c r="A14" s="2123" t="s">
        <v>8274</v>
      </c>
      <c r="B14" s="2122"/>
      <c r="C14" s="2131"/>
    </row>
    <row r="15" spans="1:3" s="2040" customFormat="1" ht="15.5">
      <c r="A15" s="2127" t="s">
        <v>863</v>
      </c>
      <c r="B15" s="2121" t="s">
        <v>8275</v>
      </c>
      <c r="C15" s="2129">
        <f>'Report-SOF2223-SB1'!D55</f>
        <v>0</v>
      </c>
    </row>
    <row r="16" spans="1:3" s="2040" customFormat="1" ht="15.5">
      <c r="A16" s="2127" t="s">
        <v>865</v>
      </c>
      <c r="B16" s="2121" t="s">
        <v>8276</v>
      </c>
      <c r="C16" s="2129">
        <f>'Report-SOF2223-SB1'!D57</f>
        <v>0</v>
      </c>
    </row>
    <row r="17" spans="1:3" s="2040" customFormat="1" ht="15.5">
      <c r="A17" s="2127" t="s">
        <v>866</v>
      </c>
      <c r="B17" s="2121" t="s">
        <v>8819</v>
      </c>
      <c r="C17" s="2129">
        <f>C15-C16</f>
        <v>0</v>
      </c>
    </row>
    <row r="18" spans="1:3" s="2040" customFormat="1" ht="15.5">
      <c r="A18" s="2127" t="s">
        <v>867</v>
      </c>
      <c r="B18" s="2121" t="s">
        <v>8277</v>
      </c>
      <c r="C18" s="2129">
        <f>'Report-SOF2223-SB1'!D56</f>
        <v>0</v>
      </c>
    </row>
    <row r="19" spans="1:3" s="2040" customFormat="1" ht="15.5">
      <c r="A19" s="2127" t="s">
        <v>109</v>
      </c>
      <c r="B19" s="2121" t="s">
        <v>8820</v>
      </c>
      <c r="C19" s="2129">
        <f>IF(C18-(C15-C16)&lt;=0,0,C18-(C15-C16))</f>
        <v>0</v>
      </c>
    </row>
    <row r="20" spans="1:3" s="2040" customFormat="1" ht="18" customHeight="1">
      <c r="A20" s="2123" t="s">
        <v>8821</v>
      </c>
      <c r="B20" s="2122"/>
      <c r="C20" s="2131"/>
    </row>
    <row r="21" spans="1:3" s="2040" customFormat="1" ht="15.5">
      <c r="A21" s="2128" t="s">
        <v>110</v>
      </c>
      <c r="B21" s="2124" t="s">
        <v>8822</v>
      </c>
      <c r="C21" s="2130">
        <f>'SOF2223-HB3'!I71</f>
        <v>0</v>
      </c>
    </row>
    <row r="22" spans="1:3" s="2040" customFormat="1" ht="15.5">
      <c r="A22" s="2126"/>
      <c r="B22" s="2125" t="s">
        <v>8823</v>
      </c>
      <c r="C22" s="2132"/>
    </row>
    <row r="23" spans="1:3" s="2040" customFormat="1" ht="15.5">
      <c r="A23" s="2127" t="s">
        <v>111</v>
      </c>
      <c r="B23" s="2121" t="s">
        <v>8824</v>
      </c>
      <c r="C23" s="2129">
        <f>MAX((C19+C21),0)</f>
        <v>0</v>
      </c>
    </row>
    <row r="24" spans="1:3" s="2040" customFormat="1" ht="18" customHeight="1">
      <c r="A24" s="2123" t="s">
        <v>8278</v>
      </c>
      <c r="B24" s="2122"/>
      <c r="C24" s="2131"/>
    </row>
    <row r="25" spans="1:3" s="2040" customFormat="1" ht="15.5">
      <c r="A25" s="2127" t="s">
        <v>112</v>
      </c>
      <c r="B25" s="2121" t="s">
        <v>8825</v>
      </c>
      <c r="C25" s="2129" t="e">
        <f>'SOF2223-HB3'!I191</f>
        <v>#DIV/0!</v>
      </c>
    </row>
    <row r="26" spans="1:3" s="2040" customFormat="1" ht="15.5">
      <c r="A26" s="2127" t="s">
        <v>1424</v>
      </c>
      <c r="B26" s="2121" t="s">
        <v>8826</v>
      </c>
      <c r="C26" s="2129" t="e">
        <f>'SOF2223-HB3'!I192</f>
        <v>#DIV/0!</v>
      </c>
    </row>
    <row r="27" spans="1:3" s="2040" customFormat="1" ht="15.5">
      <c r="A27" s="2127" t="s">
        <v>6</v>
      </c>
      <c r="B27" s="2121" t="s">
        <v>8279</v>
      </c>
      <c r="C27" s="2129" t="e">
        <f>IF(C26-C25&lt;0,0,C26-C25)</f>
        <v>#DIV/0!</v>
      </c>
    </row>
    <row r="28" spans="1:3" s="2040" customFormat="1" ht="18" customHeight="1">
      <c r="A28" s="2123" t="s">
        <v>8280</v>
      </c>
      <c r="B28" s="2122"/>
      <c r="C28" s="2131"/>
    </row>
    <row r="29" spans="1:3" s="2040" customFormat="1" ht="15.5">
      <c r="A29" s="2127" t="s">
        <v>2109</v>
      </c>
      <c r="B29" s="2121" t="s">
        <v>8281</v>
      </c>
      <c r="C29" s="2129" t="e">
        <f>C23+C27</f>
        <v>#DIV/0!</v>
      </c>
    </row>
    <row r="30" spans="1:3" s="2040" customFormat="1" ht="15.5">
      <c r="A30" s="2127" t="s">
        <v>2110</v>
      </c>
      <c r="B30" s="2121" t="s">
        <v>8827</v>
      </c>
      <c r="C30" s="2129">
        <f>'Data Entry - SOF'!E111</f>
        <v>0</v>
      </c>
    </row>
    <row r="31" spans="1:3" s="2040" customFormat="1" ht="15.5">
      <c r="A31" s="2127" t="s">
        <v>2562</v>
      </c>
      <c r="B31" s="2121" t="s">
        <v>8285</v>
      </c>
      <c r="C31" s="2567" t="e">
        <f>C29/'Data Entry - SOF'!E75</f>
        <v>#DIV/0!</v>
      </c>
    </row>
    <row r="32" spans="1:3" s="2040" customFormat="1" ht="15.5">
      <c r="A32" s="2127" t="s">
        <v>2563</v>
      </c>
      <c r="B32" s="2121" t="s">
        <v>8828</v>
      </c>
      <c r="C32" s="2129" t="e">
        <f>C31*C30</f>
        <v>#DIV/0!</v>
      </c>
    </row>
    <row r="33" spans="1:3" s="2040" customFormat="1" ht="15.5">
      <c r="A33" s="2127" t="s">
        <v>2564</v>
      </c>
      <c r="B33" s="2121" t="s">
        <v>8282</v>
      </c>
      <c r="C33" s="2129" t="e">
        <f>C29-C32</f>
        <v>#DIV/0!</v>
      </c>
    </row>
    <row r="34" spans="1:3" s="2040" customFormat="1" ht="15.5">
      <c r="B34" s="719" t="s">
        <v>2708</v>
      </c>
      <c r="C34" s="635" t="s">
        <v>10471</v>
      </c>
    </row>
    <row r="35" spans="1:3" s="2040" customFormat="1" ht="15.5"/>
    <row r="36" spans="1:3" s="2040" customFormat="1" ht="15.5"/>
    <row r="37" spans="1:3" s="2040" customFormat="1" ht="15.5"/>
    <row r="38" spans="1:3" s="2040" customFormat="1" ht="15.5"/>
    <row r="39" spans="1:3" s="2040" customFormat="1" ht="15.5"/>
    <row r="40" spans="1:3" s="2040" customFormat="1" ht="15.5"/>
    <row r="41" spans="1:3" s="2040" customFormat="1" ht="15.5"/>
    <row r="42" spans="1:3" s="2040" customFormat="1" ht="15.5"/>
    <row r="43" spans="1:3" s="2040" customFormat="1" ht="15.5"/>
    <row r="44" spans="1:3" s="2040" customFormat="1" ht="15.5"/>
    <row r="45" spans="1:3" s="2040" customFormat="1" ht="15.5"/>
    <row r="46" spans="1:3" s="2040" customFormat="1" ht="15.5"/>
    <row r="47" spans="1:3" s="2040" customFormat="1" ht="15.5"/>
    <row r="48" spans="1:3" s="2040" customFormat="1" ht="15.5"/>
    <row r="49" s="2040" customFormat="1" ht="15.5"/>
    <row r="50" s="2040" customFormat="1" ht="15.5"/>
    <row r="51" s="2040" customFormat="1" ht="15.5"/>
    <row r="52" s="2040" customFormat="1" ht="15.5"/>
    <row r="53" s="2040" customFormat="1" ht="15.5"/>
    <row r="54" s="2040" customFormat="1" ht="15.5"/>
    <row r="55" s="2040" customFormat="1" ht="15.5"/>
    <row r="56" s="2040" customFormat="1" ht="15.5"/>
    <row r="57" s="2040" customFormat="1" ht="15.5"/>
    <row r="58" s="2040" customFormat="1" ht="15.5"/>
    <row r="59" s="2040" customFormat="1" ht="15.5"/>
    <row r="60" s="2040" customFormat="1" ht="15.5"/>
    <row r="61" s="2040" customFormat="1" ht="15.5"/>
    <row r="62" s="2040" customFormat="1" ht="15.5"/>
    <row r="63" s="2040" customFormat="1" ht="15.5"/>
    <row r="64" s="2040" customFormat="1" ht="15.5"/>
    <row r="65" s="2040" customFormat="1" ht="15.5"/>
    <row r="66" s="2040" customFormat="1" ht="15.5"/>
    <row r="67" s="2040" customFormat="1" ht="15.5"/>
    <row r="68" s="2040" customFormat="1" ht="15.5"/>
    <row r="69" s="2040" customFormat="1" ht="15.5"/>
    <row r="70" s="2040" customFormat="1" ht="15.5"/>
    <row r="71" s="2040" customFormat="1" ht="15.5"/>
    <row r="72" s="2040" customFormat="1" ht="15.5"/>
    <row r="73" s="2040" customFormat="1" ht="15.5"/>
    <row r="74" s="2040" customFormat="1" ht="15.5"/>
    <row r="75" s="2040" customFormat="1" ht="15.5"/>
    <row r="76" s="2040" customFormat="1" ht="15.5"/>
    <row r="77" s="2040" customFormat="1" ht="15.5"/>
    <row r="78" s="2040" customFormat="1" ht="15.5"/>
    <row r="79" s="2040" customFormat="1" ht="15.5"/>
    <row r="80" s="2040" customFormat="1" ht="15.5"/>
    <row r="81" s="2040" customFormat="1" ht="15.5"/>
    <row r="82" s="2040" customFormat="1" ht="15.5"/>
    <row r="83" s="2040" customFormat="1" ht="15.5"/>
    <row r="84" s="2040" customFormat="1" ht="15.5"/>
    <row r="85" s="2040" customFormat="1" ht="15.5"/>
    <row r="86" s="2040" customFormat="1" ht="15.5"/>
    <row r="87" s="2040" customFormat="1" ht="15.5"/>
    <row r="88" s="2040" customFormat="1" ht="15.5"/>
    <row r="89" s="2040" customFormat="1" ht="15.5"/>
    <row r="90" s="2040" customFormat="1" ht="15.5"/>
    <row r="91" s="2040" customFormat="1" ht="15.5"/>
    <row r="92" s="2040" customFormat="1" ht="15.5"/>
    <row r="93" s="2040" customFormat="1" ht="15.5"/>
    <row r="94" s="2040" customFormat="1" ht="15.5"/>
    <row r="95" s="2040" customFormat="1" ht="15.5"/>
    <row r="96" s="2040" customFormat="1" ht="15.5"/>
    <row r="97" s="2040" customFormat="1" ht="15.5"/>
    <row r="98" s="2040" customFormat="1" ht="15.5"/>
    <row r="99" s="2040" customFormat="1" ht="15.5"/>
    <row r="100" s="2040" customFormat="1" ht="15.5"/>
    <row r="101" s="2040" customFormat="1" ht="15.5"/>
    <row r="102" s="2040" customFormat="1" ht="15.5"/>
    <row r="103" s="2040" customFormat="1" ht="15.5"/>
    <row r="104" s="2040" customFormat="1" ht="15.5"/>
    <row r="105" s="2040" customFormat="1" ht="15.5"/>
    <row r="106" s="2040" customFormat="1" ht="15.5"/>
    <row r="107" s="2040" customFormat="1" ht="15.5"/>
    <row r="108" s="2040" customFormat="1" ht="15.5"/>
    <row r="109" s="2040" customFormat="1" ht="15.5"/>
    <row r="110" s="2040" customFormat="1" ht="15.5"/>
    <row r="111" s="2040" customFormat="1" ht="15.5"/>
    <row r="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pans="3:3" s="2040" customFormat="1" ht="15.5"/>
    <row r="130" spans="3:3" s="2040" customFormat="1" ht="15.5">
      <c r="C130" s="2042"/>
    </row>
  </sheetData>
  <hyperlinks>
    <hyperlink ref="C34" location="'Report-SOF2223-SB1'!A1" display="'Report-SOF2223-SB1'!A1" xr:uid="{00000000-0004-0000-3200-000000000000}"/>
  </hyperlinks>
  <pageMargins left="0.7" right="0.7" top="0.75" bottom="0.75" header="0.3" footer="0.3"/>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66FF33"/>
  </sheetPr>
  <dimension ref="A1:C130"/>
  <sheetViews>
    <sheetView zoomScaleNormal="100" workbookViewId="0">
      <selection activeCell="C1" sqref="C1"/>
    </sheetView>
  </sheetViews>
  <sheetFormatPr defaultColWidth="8.7265625" defaultRowHeight="12.5"/>
  <cols>
    <col min="1" max="1" width="5.90625" style="2042" customWidth="1"/>
    <col min="2" max="2" width="92.26953125" style="2042" customWidth="1"/>
    <col min="3" max="3" width="25.81640625" style="2042" customWidth="1"/>
    <col min="4" max="16384" width="8.7265625" style="2042"/>
  </cols>
  <sheetData>
    <row r="1" spans="1:3" ht="13">
      <c r="A1" s="245" t="s">
        <v>2716</v>
      </c>
      <c r="C1" s="1784" t="str">
        <f>Recap40K_Detail2223!C1</f>
        <v>Release 2</v>
      </c>
    </row>
    <row r="2" spans="1:3" ht="13">
      <c r="A2" s="245" t="s">
        <v>2717</v>
      </c>
      <c r="C2" s="2034">
        <f>Recap40K_Detail2223!C2</f>
        <v>44930</v>
      </c>
    </row>
    <row r="3" spans="1:3" ht="13">
      <c r="A3" s="52"/>
      <c r="C3" s="47"/>
    </row>
    <row r="4" spans="1:3" ht="15.5">
      <c r="A4" s="246" t="s">
        <v>8831</v>
      </c>
    </row>
    <row r="5" spans="1:3" ht="15.5">
      <c r="A5" s="248" t="str">
        <f>'Data Entry - SOF'!B1</f>
        <v xml:space="preserve"> </v>
      </c>
    </row>
    <row r="6" spans="1:3" ht="15.5">
      <c r="A6" s="246">
        <f>'Data Entry - SOF'!B2</f>
        <v>0</v>
      </c>
    </row>
    <row r="8" spans="1:3" ht="18">
      <c r="A8" s="2117"/>
      <c r="B8" s="2056"/>
      <c r="C8" s="1768" t="s">
        <v>2558</v>
      </c>
    </row>
    <row r="9" spans="1:3" ht="18">
      <c r="A9" s="2118" t="s">
        <v>2655</v>
      </c>
      <c r="B9" s="2119"/>
      <c r="C9" s="2120" t="s">
        <v>2628</v>
      </c>
    </row>
    <row r="10" spans="1:3" s="2040" customFormat="1" ht="15.5">
      <c r="A10" s="2127" t="s">
        <v>2063</v>
      </c>
      <c r="B10" s="2121" t="s">
        <v>8272</v>
      </c>
      <c r="C10" s="2129" t="e">
        <f>'Calc Data'!F113</f>
        <v>#DIV/0!</v>
      </c>
    </row>
    <row r="11" spans="1:3" s="2040" customFormat="1" ht="15.5">
      <c r="A11" s="2127" t="s">
        <v>2064</v>
      </c>
      <c r="B11" s="2121" t="s">
        <v>8286</v>
      </c>
      <c r="C11" s="2129" t="e">
        <f>'Calc Data'!F104</f>
        <v>#DIV/0!</v>
      </c>
    </row>
    <row r="12" spans="1:3" s="2040" customFormat="1" ht="15.5">
      <c r="A12" s="2127" t="s">
        <v>2065</v>
      </c>
      <c r="B12" s="2121" t="s">
        <v>8287</v>
      </c>
      <c r="C12" s="2129" t="e">
        <f>'Calc Data'!F109</f>
        <v>#DIV/0!</v>
      </c>
    </row>
    <row r="13" spans="1:3" s="2040" customFormat="1" ht="15.5">
      <c r="A13" s="2127" t="s">
        <v>862</v>
      </c>
      <c r="B13" s="2121" t="s">
        <v>8273</v>
      </c>
      <c r="C13" s="2129" t="e">
        <f>C10+C11+C12</f>
        <v>#DIV/0!</v>
      </c>
    </row>
    <row r="14" spans="1:3" s="2040" customFormat="1" ht="18" customHeight="1">
      <c r="A14" s="2123" t="s">
        <v>8274</v>
      </c>
      <c r="B14" s="2122"/>
      <c r="C14" s="2131"/>
    </row>
    <row r="15" spans="1:3" s="2040" customFormat="1" ht="15.5">
      <c r="A15" s="2127" t="s">
        <v>863</v>
      </c>
      <c r="B15" s="2121" t="s">
        <v>8275</v>
      </c>
      <c r="C15" s="2129" t="e">
        <f>'Report-SOF2324-SB1'!D55</f>
        <v>#DIV/0!</v>
      </c>
    </row>
    <row r="16" spans="1:3" s="2040" customFormat="1" ht="15.5">
      <c r="A16" s="2127" t="s">
        <v>865</v>
      </c>
      <c r="B16" s="2121" t="s">
        <v>8276</v>
      </c>
      <c r="C16" s="2129">
        <f>'Report-SOF2324-SB1'!D57</f>
        <v>0</v>
      </c>
    </row>
    <row r="17" spans="1:3" s="2040" customFormat="1" ht="15.5">
      <c r="A17" s="2127" t="s">
        <v>866</v>
      </c>
      <c r="B17" s="2121" t="s">
        <v>8819</v>
      </c>
      <c r="C17" s="2129" t="e">
        <f>C15-C16</f>
        <v>#DIV/0!</v>
      </c>
    </row>
    <row r="18" spans="1:3" s="2040" customFormat="1" ht="15.5">
      <c r="A18" s="2127" t="s">
        <v>867</v>
      </c>
      <c r="B18" s="2121" t="s">
        <v>8277</v>
      </c>
      <c r="C18" s="2129" t="e">
        <f>'Report-SOF2324-SB1'!D56</f>
        <v>#DIV/0!</v>
      </c>
    </row>
    <row r="19" spans="1:3" s="2040" customFormat="1" ht="15.5">
      <c r="A19" s="2127" t="s">
        <v>109</v>
      </c>
      <c r="B19" s="2121" t="s">
        <v>8820</v>
      </c>
      <c r="C19" s="2129" t="e">
        <f>IF(C18-(C15-C16)&lt;0,0,C18-(C15-C16))</f>
        <v>#DIV/0!</v>
      </c>
    </row>
    <row r="20" spans="1:3" s="2040" customFormat="1" ht="18" customHeight="1">
      <c r="A20" s="2123" t="s">
        <v>8821</v>
      </c>
      <c r="B20" s="2122"/>
      <c r="C20" s="2131"/>
    </row>
    <row r="21" spans="1:3" s="2040" customFormat="1" ht="15.5">
      <c r="A21" s="2128" t="s">
        <v>110</v>
      </c>
      <c r="B21" s="2124" t="s">
        <v>8822</v>
      </c>
      <c r="C21" s="2130" t="e">
        <f>'SOF2324-HB3'!I71</f>
        <v>#DIV/0!</v>
      </c>
    </row>
    <row r="22" spans="1:3" s="2040" customFormat="1" ht="15.5">
      <c r="A22" s="2126"/>
      <c r="B22" s="2125" t="s">
        <v>8823</v>
      </c>
      <c r="C22" s="2132"/>
    </row>
    <row r="23" spans="1:3" s="2040" customFormat="1" ht="15.5">
      <c r="A23" s="2127" t="s">
        <v>111</v>
      </c>
      <c r="B23" s="2121" t="s">
        <v>8824</v>
      </c>
      <c r="C23" s="2129" t="e">
        <f>MAX((C19+C21),0)</f>
        <v>#DIV/0!</v>
      </c>
    </row>
    <row r="24" spans="1:3" s="2040" customFormat="1" ht="18" customHeight="1">
      <c r="A24" s="2123" t="s">
        <v>8278</v>
      </c>
      <c r="B24" s="2122"/>
      <c r="C24" s="2131"/>
    </row>
    <row r="25" spans="1:3" s="2040" customFormat="1" ht="15.5">
      <c r="A25" s="2127" t="s">
        <v>112</v>
      </c>
      <c r="B25" s="2121" t="s">
        <v>8825</v>
      </c>
      <c r="C25" s="2129" t="e">
        <f>'SOF2324-HB3'!I198</f>
        <v>#DIV/0!</v>
      </c>
    </row>
    <row r="26" spans="1:3" s="2040" customFormat="1" ht="15.5">
      <c r="A26" s="2127" t="s">
        <v>1424</v>
      </c>
      <c r="B26" s="2121" t="s">
        <v>8826</v>
      </c>
      <c r="C26" s="2129" t="e">
        <f>'SOF2324-HB3'!I199</f>
        <v>#DIV/0!</v>
      </c>
    </row>
    <row r="27" spans="1:3" s="2040" customFormat="1" ht="15.5">
      <c r="A27" s="2127" t="s">
        <v>6</v>
      </c>
      <c r="B27" s="2121" t="s">
        <v>8279</v>
      </c>
      <c r="C27" s="2129" t="e">
        <f>IF(C26-C25&lt;0,0,C26-C25)</f>
        <v>#DIV/0!</v>
      </c>
    </row>
    <row r="28" spans="1:3" s="2040" customFormat="1" ht="18" customHeight="1">
      <c r="A28" s="2123" t="s">
        <v>8280</v>
      </c>
      <c r="B28" s="2122"/>
      <c r="C28" s="2131"/>
    </row>
    <row r="29" spans="1:3" s="2040" customFormat="1" ht="15.5">
      <c r="A29" s="2127" t="s">
        <v>2109</v>
      </c>
      <c r="B29" s="2121" t="s">
        <v>8281</v>
      </c>
      <c r="C29" s="2129" t="e">
        <f>C23+C27</f>
        <v>#DIV/0!</v>
      </c>
    </row>
    <row r="30" spans="1:3" s="2040" customFormat="1" ht="15.5">
      <c r="A30" s="2127" t="s">
        <v>2110</v>
      </c>
      <c r="B30" s="2121" t="s">
        <v>8827</v>
      </c>
      <c r="C30" s="2129">
        <f>'Data Entry - SOF'!G111</f>
        <v>0</v>
      </c>
    </row>
    <row r="31" spans="1:3" s="2040" customFormat="1" ht="15.5">
      <c r="A31" s="2127" t="s">
        <v>2562</v>
      </c>
      <c r="B31" s="2121" t="s">
        <v>8285</v>
      </c>
      <c r="C31" s="2567" t="e">
        <f>C29/'Data Entry - SOF'!G75</f>
        <v>#DIV/0!</v>
      </c>
    </row>
    <row r="32" spans="1:3" s="2040" customFormat="1" ht="15.5">
      <c r="A32" s="2127" t="s">
        <v>2563</v>
      </c>
      <c r="B32" s="2121" t="s">
        <v>8828</v>
      </c>
      <c r="C32" s="2129" t="e">
        <f>C31*C30</f>
        <v>#DIV/0!</v>
      </c>
    </row>
    <row r="33" spans="1:3" s="2040" customFormat="1" ht="15.5">
      <c r="A33" s="2127" t="s">
        <v>2564</v>
      </c>
      <c r="B33" s="2121" t="s">
        <v>8282</v>
      </c>
      <c r="C33" s="2129" t="e">
        <f>C29-C32</f>
        <v>#DIV/0!</v>
      </c>
    </row>
    <row r="34" spans="1:3" s="2040" customFormat="1" ht="15.5">
      <c r="B34" s="719" t="s">
        <v>2708</v>
      </c>
      <c r="C34" s="635" t="s">
        <v>10472</v>
      </c>
    </row>
    <row r="35" spans="1:3" s="2040" customFormat="1" ht="15.5"/>
    <row r="36" spans="1:3" s="2040" customFormat="1" ht="15.5"/>
    <row r="37" spans="1:3" s="2040" customFormat="1" ht="15.5"/>
    <row r="38" spans="1:3" s="2040" customFormat="1" ht="15.5"/>
    <row r="39" spans="1:3" s="2040" customFormat="1" ht="15.5"/>
    <row r="40" spans="1:3" s="2040" customFormat="1" ht="15.5"/>
    <row r="41" spans="1:3" s="2040" customFormat="1" ht="15.5"/>
    <row r="42" spans="1:3" s="2040" customFormat="1" ht="15.5"/>
    <row r="43" spans="1:3" s="2040" customFormat="1" ht="15.5"/>
    <row r="44" spans="1:3" s="2040" customFormat="1" ht="15.5"/>
    <row r="45" spans="1:3" s="2040" customFormat="1" ht="15.5"/>
    <row r="46" spans="1:3" s="2040" customFormat="1" ht="15.5"/>
    <row r="47" spans="1:3" s="2040" customFormat="1" ht="15.5"/>
    <row r="48" spans="1:3" s="2040" customFormat="1" ht="15.5"/>
    <row r="49" s="2040" customFormat="1" ht="15.5"/>
    <row r="50" s="2040" customFormat="1" ht="15.5"/>
    <row r="51" s="2040" customFormat="1" ht="15.5"/>
    <row r="52" s="2040" customFormat="1" ht="15.5"/>
    <row r="53" s="2040" customFormat="1" ht="15.5"/>
    <row r="54" s="2040" customFormat="1" ht="15.5"/>
    <row r="55" s="2040" customFormat="1" ht="15.5"/>
    <row r="56" s="2040" customFormat="1" ht="15.5"/>
    <row r="57" s="2040" customFormat="1" ht="15.5"/>
    <row r="58" s="2040" customFormat="1" ht="15.5"/>
    <row r="59" s="2040" customFormat="1" ht="15.5"/>
    <row r="60" s="2040" customFormat="1" ht="15.5"/>
    <row r="61" s="2040" customFormat="1" ht="15.5"/>
    <row r="62" s="2040" customFormat="1" ht="15.5"/>
    <row r="63" s="2040" customFormat="1" ht="15.5"/>
    <row r="64" s="2040" customFormat="1" ht="15.5"/>
    <row r="65" s="2040" customFormat="1" ht="15.5"/>
    <row r="66" s="2040" customFormat="1" ht="15.5"/>
    <row r="67" s="2040" customFormat="1" ht="15.5"/>
    <row r="68" s="2040" customFormat="1" ht="15.5"/>
    <row r="69" s="2040" customFormat="1" ht="15.5"/>
    <row r="70" s="2040" customFormat="1" ht="15.5"/>
    <row r="71" s="2040" customFormat="1" ht="15.5"/>
    <row r="72" s="2040" customFormat="1" ht="15.5"/>
    <row r="73" s="2040" customFormat="1" ht="15.5"/>
    <row r="74" s="2040" customFormat="1" ht="15.5"/>
    <row r="75" s="2040" customFormat="1" ht="15.5"/>
    <row r="76" s="2040" customFormat="1" ht="15.5"/>
    <row r="77" s="2040" customFormat="1" ht="15.5"/>
    <row r="78" s="2040" customFormat="1" ht="15.5"/>
    <row r="79" s="2040" customFormat="1" ht="15.5"/>
    <row r="80" s="2040" customFormat="1" ht="15.5"/>
    <row r="81" s="2040" customFormat="1" ht="15.5"/>
    <row r="82" s="2040" customFormat="1" ht="15.5"/>
    <row r="83" s="2040" customFormat="1" ht="15.5"/>
    <row r="84" s="2040" customFormat="1" ht="15.5"/>
    <row r="85" s="2040" customFormat="1" ht="15.5"/>
    <row r="86" s="2040" customFormat="1" ht="15.5"/>
    <row r="87" s="2040" customFormat="1" ht="15.5"/>
    <row r="88" s="2040" customFormat="1" ht="15.5"/>
    <row r="89" s="2040" customFormat="1" ht="15.5"/>
    <row r="90" s="2040" customFormat="1" ht="15.5"/>
    <row r="91" s="2040" customFormat="1" ht="15.5"/>
    <row r="92" s="2040" customFormat="1" ht="15.5"/>
    <row r="93" s="2040" customFormat="1" ht="15.5"/>
    <row r="94" s="2040" customFormat="1" ht="15.5"/>
    <row r="95" s="2040" customFormat="1" ht="15.5"/>
    <row r="96" s="2040" customFormat="1" ht="15.5"/>
    <row r="97" s="2040" customFormat="1" ht="15.5"/>
    <row r="98" s="2040" customFormat="1" ht="15.5"/>
    <row r="99" s="2040" customFormat="1" ht="15.5"/>
    <row r="100" s="2040" customFormat="1" ht="15.5"/>
    <row r="101" s="2040" customFormat="1" ht="15.5"/>
    <row r="102" s="2040" customFormat="1" ht="15.5"/>
    <row r="103" s="2040" customFormat="1" ht="15.5"/>
    <row r="104" s="2040" customFormat="1" ht="15.5"/>
    <row r="105" s="2040" customFormat="1" ht="15.5"/>
    <row r="106" s="2040" customFormat="1" ht="15.5"/>
    <row r="107" s="2040" customFormat="1" ht="15.5"/>
    <row r="108" s="2040" customFormat="1" ht="15.5"/>
    <row r="109" s="2040" customFormat="1" ht="15.5"/>
    <row r="110" s="2040" customFormat="1" ht="15.5"/>
    <row r="111" s="2040" customFormat="1" ht="15.5"/>
    <row r="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pans="3:3" s="2040" customFormat="1" ht="15.5"/>
    <row r="130" spans="3:3" s="2040" customFormat="1" ht="15.5">
      <c r="C130" s="2042"/>
    </row>
  </sheetData>
  <hyperlinks>
    <hyperlink ref="C34" location="'Report-SOF2324-SB1'!A1" display="'Report-SOF2324-SB1'!A1" xr:uid="{00000000-0004-0000-3300-000000000000}"/>
  </hyperlinks>
  <pageMargins left="0.2" right="0.2" top="0.75" bottom="0.75" header="0.3" footer="0.3"/>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66FF33"/>
  </sheetPr>
  <dimension ref="A1:C130"/>
  <sheetViews>
    <sheetView workbookViewId="0">
      <selection activeCell="C1" sqref="C1"/>
    </sheetView>
  </sheetViews>
  <sheetFormatPr defaultColWidth="8.7265625" defaultRowHeight="12.5"/>
  <cols>
    <col min="1" max="1" width="5.90625" style="2042" customWidth="1"/>
    <col min="2" max="2" width="92.26953125" style="2042" customWidth="1"/>
    <col min="3" max="3" width="25.81640625" style="2042" customWidth="1"/>
    <col min="4" max="16384" width="8.7265625" style="2042"/>
  </cols>
  <sheetData>
    <row r="1" spans="1:3" ht="13">
      <c r="A1" s="245" t="s">
        <v>2716</v>
      </c>
      <c r="C1" s="1784" t="str">
        <f>Recap40K_Detail2223!C1</f>
        <v>Release 2</v>
      </c>
    </row>
    <row r="2" spans="1:3" ht="13">
      <c r="A2" s="245" t="s">
        <v>2717</v>
      </c>
      <c r="C2" s="2034">
        <f>Recap40K_Detail2223!C2</f>
        <v>44930</v>
      </c>
    </row>
    <row r="3" spans="1:3" ht="13">
      <c r="A3" s="52"/>
      <c r="C3" s="47"/>
    </row>
    <row r="4" spans="1:3" ht="15.5">
      <c r="A4" s="246" t="s">
        <v>8832</v>
      </c>
    </row>
    <row r="5" spans="1:3" ht="15.5">
      <c r="A5" s="248" t="str">
        <f>'Data Entry - SOF'!B1</f>
        <v xml:space="preserve"> </v>
      </c>
    </row>
    <row r="6" spans="1:3" ht="15.5">
      <c r="A6" s="246">
        <f>'Data Entry - SOF'!B2</f>
        <v>0</v>
      </c>
    </row>
    <row r="8" spans="1:3" ht="18">
      <c r="A8" s="2117"/>
      <c r="B8" s="2056"/>
      <c r="C8" s="1768" t="s">
        <v>2558</v>
      </c>
    </row>
    <row r="9" spans="1:3" ht="18">
      <c r="A9" s="2118" t="s">
        <v>2655</v>
      </c>
      <c r="B9" s="2119"/>
      <c r="C9" s="2120" t="s">
        <v>2628</v>
      </c>
    </row>
    <row r="10" spans="1:3" s="2040" customFormat="1" ht="15.5">
      <c r="A10" s="2127" t="s">
        <v>2063</v>
      </c>
      <c r="B10" s="2121" t="s">
        <v>8272</v>
      </c>
      <c r="C10" s="2129" t="e">
        <f>'Calc Data'!G113</f>
        <v>#DIV/0!</v>
      </c>
    </row>
    <row r="11" spans="1:3" s="2040" customFormat="1" ht="15.5">
      <c r="A11" s="2127" t="s">
        <v>2064</v>
      </c>
      <c r="B11" s="2121" t="s">
        <v>8286</v>
      </c>
      <c r="C11" s="2129" t="e">
        <f>'Calc Data'!G104</f>
        <v>#DIV/0!</v>
      </c>
    </row>
    <row r="12" spans="1:3" s="2040" customFormat="1" ht="15.5">
      <c r="A12" s="2127" t="s">
        <v>2065</v>
      </c>
      <c r="B12" s="2121" t="s">
        <v>8287</v>
      </c>
      <c r="C12" s="2129" t="e">
        <f>'Calc Data'!G109</f>
        <v>#DIV/0!</v>
      </c>
    </row>
    <row r="13" spans="1:3" s="2040" customFormat="1" ht="15.5">
      <c r="A13" s="2127" t="s">
        <v>862</v>
      </c>
      <c r="B13" s="2121" t="s">
        <v>8273</v>
      </c>
      <c r="C13" s="2129" t="e">
        <f>C10+C11+C12</f>
        <v>#DIV/0!</v>
      </c>
    </row>
    <row r="14" spans="1:3" s="2040" customFormat="1" ht="18" customHeight="1">
      <c r="A14" s="2123" t="s">
        <v>8274</v>
      </c>
      <c r="B14" s="2122"/>
      <c r="C14" s="2131"/>
    </row>
    <row r="15" spans="1:3" s="2040" customFormat="1" ht="15.5">
      <c r="A15" s="2127" t="s">
        <v>863</v>
      </c>
      <c r="B15" s="2121" t="s">
        <v>8275</v>
      </c>
      <c r="C15" s="2129" t="e">
        <f>'Report-SOF2425-SB1'!D55</f>
        <v>#DIV/0!</v>
      </c>
    </row>
    <row r="16" spans="1:3" s="2040" customFormat="1" ht="15.5">
      <c r="A16" s="2127" t="s">
        <v>865</v>
      </c>
      <c r="B16" s="2121" t="s">
        <v>8276</v>
      </c>
      <c r="C16" s="2129">
        <f>'Report-SOF2425-SB1'!D57</f>
        <v>0</v>
      </c>
    </row>
    <row r="17" spans="1:3" s="2040" customFormat="1" ht="15.5">
      <c r="A17" s="2127" t="s">
        <v>866</v>
      </c>
      <c r="B17" s="2121" t="s">
        <v>8819</v>
      </c>
      <c r="C17" s="2129" t="e">
        <f>C15-C16</f>
        <v>#DIV/0!</v>
      </c>
    </row>
    <row r="18" spans="1:3" s="2040" customFormat="1" ht="15.5">
      <c r="A18" s="2127" t="s">
        <v>867</v>
      </c>
      <c r="B18" s="2121" t="s">
        <v>8277</v>
      </c>
      <c r="C18" s="2129" t="e">
        <f>'Report-SOF2425-SB1'!D56</f>
        <v>#DIV/0!</v>
      </c>
    </row>
    <row r="19" spans="1:3" s="2040" customFormat="1" ht="15.5">
      <c r="A19" s="2127" t="s">
        <v>109</v>
      </c>
      <c r="B19" s="2121" t="s">
        <v>8820</v>
      </c>
      <c r="C19" s="2129" t="e">
        <f>IF(C18-(C15-C16)&lt;=0,0,C18-(C15-C16))</f>
        <v>#DIV/0!</v>
      </c>
    </row>
    <row r="20" spans="1:3" s="2040" customFormat="1" ht="18" customHeight="1">
      <c r="A20" s="2123" t="s">
        <v>8821</v>
      </c>
      <c r="B20" s="2122"/>
      <c r="C20" s="2131"/>
    </row>
    <row r="21" spans="1:3" s="2040" customFormat="1" ht="15.5">
      <c r="A21" s="2128" t="s">
        <v>110</v>
      </c>
      <c r="B21" s="2124" t="s">
        <v>8822</v>
      </c>
      <c r="C21" s="2130" t="e">
        <f>'SOF2425-HB3'!I71</f>
        <v>#DIV/0!</v>
      </c>
    </row>
    <row r="22" spans="1:3" s="2040" customFormat="1" ht="15.5">
      <c r="A22" s="2126"/>
      <c r="B22" s="2125" t="s">
        <v>8823</v>
      </c>
      <c r="C22" s="2132"/>
    </row>
    <row r="23" spans="1:3" s="2040" customFormat="1" ht="15.5">
      <c r="A23" s="2127" t="s">
        <v>111</v>
      </c>
      <c r="B23" s="2121" t="s">
        <v>8824</v>
      </c>
      <c r="C23" s="2129" t="e">
        <f>MAX((C19+C21),0)</f>
        <v>#DIV/0!</v>
      </c>
    </row>
    <row r="24" spans="1:3" s="2040" customFormat="1" ht="18" customHeight="1">
      <c r="A24" s="2123" t="s">
        <v>8278</v>
      </c>
      <c r="B24" s="2122"/>
      <c r="C24" s="2131"/>
    </row>
    <row r="25" spans="1:3" s="2040" customFormat="1" ht="15.5">
      <c r="A25" s="2127" t="s">
        <v>112</v>
      </c>
      <c r="B25" s="2121" t="s">
        <v>8825</v>
      </c>
      <c r="C25" s="2129" t="e">
        <f>'SOF2425-HB3'!I199</f>
        <v>#DIV/0!</v>
      </c>
    </row>
    <row r="26" spans="1:3" s="2040" customFormat="1" ht="15.5">
      <c r="A26" s="2127" t="s">
        <v>1424</v>
      </c>
      <c r="B26" s="2121" t="s">
        <v>8826</v>
      </c>
      <c r="C26" s="2129" t="e">
        <f>'SOF2425-HB3'!I200</f>
        <v>#DIV/0!</v>
      </c>
    </row>
    <row r="27" spans="1:3" s="2040" customFormat="1" ht="15.5">
      <c r="A27" s="2127" t="s">
        <v>6</v>
      </c>
      <c r="B27" s="2121" t="s">
        <v>8279</v>
      </c>
      <c r="C27" s="2129" t="e">
        <f>IF(C26-C25&lt;0,0,C26-C25)</f>
        <v>#DIV/0!</v>
      </c>
    </row>
    <row r="28" spans="1:3" s="2040" customFormat="1" ht="18" customHeight="1">
      <c r="A28" s="2123" t="s">
        <v>8280</v>
      </c>
      <c r="B28" s="2122"/>
      <c r="C28" s="2131"/>
    </row>
    <row r="29" spans="1:3" s="2040" customFormat="1" ht="15.5">
      <c r="A29" s="2127" t="s">
        <v>2109</v>
      </c>
      <c r="B29" s="2121" t="s">
        <v>8281</v>
      </c>
      <c r="C29" s="2129" t="e">
        <f>C23+C27</f>
        <v>#DIV/0!</v>
      </c>
    </row>
    <row r="30" spans="1:3" s="2040" customFormat="1" ht="15.5">
      <c r="A30" s="2127" t="s">
        <v>2110</v>
      </c>
      <c r="B30" s="2121" t="s">
        <v>8827</v>
      </c>
      <c r="C30" s="2129">
        <f>'Data Entry - SOF'!I111</f>
        <v>0</v>
      </c>
    </row>
    <row r="31" spans="1:3" s="2040" customFormat="1" ht="15.5">
      <c r="A31" s="2127" t="s">
        <v>2562</v>
      </c>
      <c r="B31" s="2121" t="s">
        <v>8285</v>
      </c>
      <c r="C31" s="2567" t="e">
        <f>C29/'Data Entry - SOF'!I75</f>
        <v>#DIV/0!</v>
      </c>
    </row>
    <row r="32" spans="1:3" s="2040" customFormat="1" ht="15.5">
      <c r="A32" s="2127" t="s">
        <v>2563</v>
      </c>
      <c r="B32" s="2121" t="s">
        <v>8828</v>
      </c>
      <c r="C32" s="2129" t="e">
        <f>C31*C30</f>
        <v>#DIV/0!</v>
      </c>
    </row>
    <row r="33" spans="1:3" s="2040" customFormat="1" ht="15.5">
      <c r="A33" s="2127" t="s">
        <v>2564</v>
      </c>
      <c r="B33" s="2121" t="s">
        <v>8282</v>
      </c>
      <c r="C33" s="2129" t="e">
        <f>C29-C32</f>
        <v>#DIV/0!</v>
      </c>
    </row>
    <row r="34" spans="1:3" s="2040" customFormat="1" ht="15.5">
      <c r="B34" s="719" t="s">
        <v>2708</v>
      </c>
      <c r="C34" s="635" t="s">
        <v>10473</v>
      </c>
    </row>
    <row r="35" spans="1:3" s="2040" customFormat="1" ht="15.5"/>
    <row r="36" spans="1:3" s="2040" customFormat="1" ht="15.5"/>
    <row r="37" spans="1:3" s="2040" customFormat="1" ht="15.5"/>
    <row r="38" spans="1:3" s="2040" customFormat="1" ht="15.5"/>
    <row r="39" spans="1:3" s="2040" customFormat="1" ht="15.5"/>
    <row r="40" spans="1:3" s="2040" customFormat="1" ht="15.5"/>
    <row r="41" spans="1:3" s="2040" customFormat="1" ht="15.5"/>
    <row r="42" spans="1:3" s="2040" customFormat="1" ht="15.5"/>
    <row r="43" spans="1:3" s="2040" customFormat="1" ht="15.5"/>
    <row r="44" spans="1:3" s="2040" customFormat="1" ht="15.5"/>
    <row r="45" spans="1:3" s="2040" customFormat="1" ht="15.5"/>
    <row r="46" spans="1:3" s="2040" customFormat="1" ht="15.5"/>
    <row r="47" spans="1:3" s="2040" customFormat="1" ht="15.5"/>
    <row r="48" spans="1:3" s="2040" customFormat="1" ht="15.5"/>
    <row r="49" s="2040" customFormat="1" ht="15.5"/>
    <row r="50" s="2040" customFormat="1" ht="15.5"/>
    <row r="51" s="2040" customFormat="1" ht="15.5"/>
    <row r="52" s="2040" customFormat="1" ht="15.5"/>
    <row r="53" s="2040" customFormat="1" ht="15.5"/>
    <row r="54" s="2040" customFormat="1" ht="15.5"/>
    <row r="55" s="2040" customFormat="1" ht="15.5"/>
    <row r="56" s="2040" customFormat="1" ht="15.5"/>
    <row r="57" s="2040" customFormat="1" ht="15.5"/>
    <row r="58" s="2040" customFormat="1" ht="15.5"/>
    <row r="59" s="2040" customFormat="1" ht="15.5"/>
    <row r="60" s="2040" customFormat="1" ht="15.5"/>
    <row r="61" s="2040" customFormat="1" ht="15.5"/>
    <row r="62" s="2040" customFormat="1" ht="15.5"/>
    <row r="63" s="2040" customFormat="1" ht="15.5"/>
    <row r="64" s="2040" customFormat="1" ht="15.5"/>
    <row r="65" s="2040" customFormat="1" ht="15.5"/>
    <row r="66" s="2040" customFormat="1" ht="15.5"/>
    <row r="67" s="2040" customFormat="1" ht="15.5"/>
    <row r="68" s="2040" customFormat="1" ht="15.5"/>
    <row r="69" s="2040" customFormat="1" ht="15.5"/>
    <row r="70" s="2040" customFormat="1" ht="15.5"/>
    <row r="71" s="2040" customFormat="1" ht="15.5"/>
    <row r="72" s="2040" customFormat="1" ht="15.5"/>
    <row r="73" s="2040" customFormat="1" ht="15.5"/>
    <row r="74" s="2040" customFormat="1" ht="15.5"/>
    <row r="75" s="2040" customFormat="1" ht="15.5"/>
    <row r="76" s="2040" customFormat="1" ht="15.5"/>
    <row r="77" s="2040" customFormat="1" ht="15.5"/>
    <row r="78" s="2040" customFormat="1" ht="15.5"/>
    <row r="79" s="2040" customFormat="1" ht="15.5"/>
    <row r="80" s="2040" customFormat="1" ht="15.5"/>
    <row r="81" s="2040" customFormat="1" ht="15.5"/>
    <row r="82" s="2040" customFormat="1" ht="15.5"/>
    <row r="83" s="2040" customFormat="1" ht="15.5"/>
    <row r="84" s="2040" customFormat="1" ht="15.5"/>
    <row r="85" s="2040" customFormat="1" ht="15.5"/>
    <row r="86" s="2040" customFormat="1" ht="15.5"/>
    <row r="87" s="2040" customFormat="1" ht="15.5"/>
    <row r="88" s="2040" customFormat="1" ht="15.5"/>
    <row r="89" s="2040" customFormat="1" ht="15.5"/>
    <row r="90" s="2040" customFormat="1" ht="15.5"/>
    <row r="91" s="2040" customFormat="1" ht="15.5"/>
    <row r="92" s="2040" customFormat="1" ht="15.5"/>
    <row r="93" s="2040" customFormat="1" ht="15.5"/>
    <row r="94" s="2040" customFormat="1" ht="15.5"/>
    <row r="95" s="2040" customFormat="1" ht="15.5"/>
    <row r="96" s="2040" customFormat="1" ht="15.5"/>
    <row r="97" s="2040" customFormat="1" ht="15.5"/>
    <row r="98" s="2040" customFormat="1" ht="15.5"/>
    <row r="99" s="2040" customFormat="1" ht="15.5"/>
    <row r="100" s="2040" customFormat="1" ht="15.5"/>
    <row r="101" s="2040" customFormat="1" ht="15.5"/>
    <row r="102" s="2040" customFormat="1" ht="15.5"/>
    <row r="103" s="2040" customFormat="1" ht="15.5"/>
    <row r="104" s="2040" customFormat="1" ht="15.5"/>
    <row r="105" s="2040" customFormat="1" ht="15.5"/>
    <row r="106" s="2040" customFormat="1" ht="15.5"/>
    <row r="107" s="2040" customFormat="1" ht="15.5"/>
    <row r="108" s="2040" customFormat="1" ht="15.5"/>
    <row r="109" s="2040" customFormat="1" ht="15.5"/>
    <row r="110" s="2040" customFormat="1" ht="15.5"/>
    <row r="111" s="2040" customFormat="1" ht="15.5"/>
    <row r="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pans="3:3" s="2040" customFormat="1" ht="15.5"/>
    <row r="130" spans="3:3" s="2040" customFormat="1" ht="15.5">
      <c r="C130" s="2042"/>
    </row>
  </sheetData>
  <hyperlinks>
    <hyperlink ref="C34" location="'Report-SOF2425-SB1'!A1" display="'Report-SOF2425-SB1'!A1" xr:uid="{00000000-0004-0000-3400-000000000000}"/>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66FF33"/>
  </sheetPr>
  <dimension ref="A1:C130"/>
  <sheetViews>
    <sheetView workbookViewId="0">
      <selection activeCell="C34" sqref="C34"/>
    </sheetView>
  </sheetViews>
  <sheetFormatPr defaultColWidth="8.7265625" defaultRowHeight="12.5"/>
  <cols>
    <col min="1" max="1" width="5.90625" style="2042" customWidth="1"/>
    <col min="2" max="2" width="92.26953125" style="2042" customWidth="1"/>
    <col min="3" max="3" width="25.81640625" style="2042" customWidth="1"/>
    <col min="4" max="16384" width="8.7265625" style="2042"/>
  </cols>
  <sheetData>
    <row r="1" spans="1:3" ht="13">
      <c r="A1" s="245" t="s">
        <v>2716</v>
      </c>
      <c r="C1" s="1784" t="str">
        <f>Recap40K_Detail2223!C1</f>
        <v>Release 2</v>
      </c>
    </row>
    <row r="2" spans="1:3" ht="13">
      <c r="A2" s="245" t="s">
        <v>2717</v>
      </c>
      <c r="C2" s="2034">
        <f>Recap40K_Detail2223!C2</f>
        <v>44930</v>
      </c>
    </row>
    <row r="3" spans="1:3" ht="13">
      <c r="A3" s="52"/>
      <c r="C3" s="47"/>
    </row>
    <row r="4" spans="1:3" ht="15.5">
      <c r="A4" s="246" t="s">
        <v>9191</v>
      </c>
    </row>
    <row r="5" spans="1:3" ht="15.5">
      <c r="A5" s="248" t="str">
        <f>'Data Entry - SOF'!B1</f>
        <v xml:space="preserve"> </v>
      </c>
    </row>
    <row r="6" spans="1:3" ht="15.5">
      <c r="A6" s="246">
        <f>'Data Entry - SOF'!B2</f>
        <v>0</v>
      </c>
    </row>
    <row r="8" spans="1:3" ht="18">
      <c r="A8" s="2117"/>
      <c r="B8" s="2056"/>
      <c r="C8" s="1768" t="s">
        <v>2558</v>
      </c>
    </row>
    <row r="9" spans="1:3" ht="18">
      <c r="A9" s="2118" t="s">
        <v>2655</v>
      </c>
      <c r="B9" s="2119"/>
      <c r="C9" s="2120" t="s">
        <v>2628</v>
      </c>
    </row>
    <row r="10" spans="1:3" s="2040" customFormat="1" ht="15.5">
      <c r="A10" s="2127" t="s">
        <v>2063</v>
      </c>
      <c r="B10" s="2121" t="s">
        <v>8272</v>
      </c>
      <c r="C10" s="2129" t="e">
        <f>'Calc Data'!H113</f>
        <v>#DIV/0!</v>
      </c>
    </row>
    <row r="11" spans="1:3" s="2040" customFormat="1" ht="15.5">
      <c r="A11" s="2127" t="s">
        <v>2064</v>
      </c>
      <c r="B11" s="2121" t="s">
        <v>8286</v>
      </c>
      <c r="C11" s="2129" t="e">
        <f>'Calc Data'!H104</f>
        <v>#DIV/0!</v>
      </c>
    </row>
    <row r="12" spans="1:3" s="2040" customFormat="1" ht="15.5">
      <c r="A12" s="2127" t="s">
        <v>2065</v>
      </c>
      <c r="B12" s="2121" t="s">
        <v>8287</v>
      </c>
      <c r="C12" s="2129" t="e">
        <f>'Calc Data'!H109</f>
        <v>#DIV/0!</v>
      </c>
    </row>
    <row r="13" spans="1:3" s="2040" customFormat="1" ht="15.5">
      <c r="A13" s="2127" t="s">
        <v>862</v>
      </c>
      <c r="B13" s="2121" t="s">
        <v>8273</v>
      </c>
      <c r="C13" s="2129" t="e">
        <f>C10+C11+C12</f>
        <v>#DIV/0!</v>
      </c>
    </row>
    <row r="14" spans="1:3" s="2040" customFormat="1" ht="18" customHeight="1">
      <c r="A14" s="2123" t="s">
        <v>8274</v>
      </c>
      <c r="B14" s="2122"/>
      <c r="C14" s="2131"/>
    </row>
    <row r="15" spans="1:3" s="2040" customFormat="1" ht="15.5">
      <c r="A15" s="2127" t="s">
        <v>863</v>
      </c>
      <c r="B15" s="2121" t="s">
        <v>8275</v>
      </c>
      <c r="C15" s="2129" t="e">
        <f>'Report-SOF2526-SB1'!D55</f>
        <v>#DIV/0!</v>
      </c>
    </row>
    <row r="16" spans="1:3" s="2040" customFormat="1" ht="15.5">
      <c r="A16" s="2127" t="s">
        <v>865</v>
      </c>
      <c r="B16" s="2121" t="s">
        <v>8276</v>
      </c>
      <c r="C16" s="2129">
        <f>'Report-SOF2526-SB1'!D57</f>
        <v>0</v>
      </c>
    </row>
    <row r="17" spans="1:3" s="2040" customFormat="1" ht="15.5">
      <c r="A17" s="2127" t="s">
        <v>866</v>
      </c>
      <c r="B17" s="2121" t="s">
        <v>8819</v>
      </c>
      <c r="C17" s="2129" t="e">
        <f>C15-C16</f>
        <v>#DIV/0!</v>
      </c>
    </row>
    <row r="18" spans="1:3" s="2040" customFormat="1" ht="15.5">
      <c r="A18" s="2127" t="s">
        <v>867</v>
      </c>
      <c r="B18" s="2121" t="s">
        <v>8277</v>
      </c>
      <c r="C18" s="2129" t="e">
        <f>'Report-SOF2526-SB1'!D56</f>
        <v>#DIV/0!</v>
      </c>
    </row>
    <row r="19" spans="1:3" s="2040" customFormat="1" ht="15.5">
      <c r="A19" s="2127" t="s">
        <v>109</v>
      </c>
      <c r="B19" s="2121" t="s">
        <v>8820</v>
      </c>
      <c r="C19" s="2129" t="e">
        <f>IF(C18-(C15-C16)&lt;=0,0,C18-(C15-C16))</f>
        <v>#DIV/0!</v>
      </c>
    </row>
    <row r="20" spans="1:3" s="2040" customFormat="1" ht="18" customHeight="1">
      <c r="A20" s="2123" t="s">
        <v>8821</v>
      </c>
      <c r="B20" s="2122"/>
      <c r="C20" s="2131"/>
    </row>
    <row r="21" spans="1:3" s="2040" customFormat="1" ht="15.5">
      <c r="A21" s="2128" t="s">
        <v>110</v>
      </c>
      <c r="B21" s="2124" t="s">
        <v>8822</v>
      </c>
      <c r="C21" s="2130" t="e">
        <f>'SOF2526-HB3'!I71</f>
        <v>#DIV/0!</v>
      </c>
    </row>
    <row r="22" spans="1:3" s="2040" customFormat="1" ht="15.5">
      <c r="A22" s="2126"/>
      <c r="B22" s="2125" t="s">
        <v>8823</v>
      </c>
      <c r="C22" s="2132"/>
    </row>
    <row r="23" spans="1:3" s="2040" customFormat="1" ht="15.5">
      <c r="A23" s="2127" t="s">
        <v>111</v>
      </c>
      <c r="B23" s="2121" t="s">
        <v>8824</v>
      </c>
      <c r="C23" s="2129" t="e">
        <f>MAX((C19+C21),0)</f>
        <v>#DIV/0!</v>
      </c>
    </row>
    <row r="24" spans="1:3" s="2040" customFormat="1" ht="18" customHeight="1">
      <c r="A24" s="2123" t="s">
        <v>8278</v>
      </c>
      <c r="B24" s="2122"/>
      <c r="C24" s="2131"/>
    </row>
    <row r="25" spans="1:3" s="2040" customFormat="1" ht="15.5">
      <c r="A25" s="2127" t="s">
        <v>112</v>
      </c>
      <c r="B25" s="2121" t="s">
        <v>8825</v>
      </c>
      <c r="C25" s="2129" t="e">
        <f>'SOF2526-HB3'!I199</f>
        <v>#DIV/0!</v>
      </c>
    </row>
    <row r="26" spans="1:3" s="2040" customFormat="1" ht="15.5">
      <c r="A26" s="2127" t="s">
        <v>1424</v>
      </c>
      <c r="B26" s="2121" t="s">
        <v>8826</v>
      </c>
      <c r="C26" s="2129" t="e">
        <f>'SOF2526-HB3'!I200</f>
        <v>#DIV/0!</v>
      </c>
    </row>
    <row r="27" spans="1:3" s="2040" customFormat="1" ht="15.5">
      <c r="A27" s="2127" t="s">
        <v>6</v>
      </c>
      <c r="B27" s="2121" t="s">
        <v>8279</v>
      </c>
      <c r="C27" s="2129" t="e">
        <f>IF(C26-C25&lt;0,0,C26-C25)</f>
        <v>#DIV/0!</v>
      </c>
    </row>
    <row r="28" spans="1:3" s="2040" customFormat="1" ht="18" customHeight="1">
      <c r="A28" s="2123" t="s">
        <v>8280</v>
      </c>
      <c r="B28" s="2122"/>
      <c r="C28" s="2131"/>
    </row>
    <row r="29" spans="1:3" s="2040" customFormat="1" ht="15.5">
      <c r="A29" s="2127" t="s">
        <v>2109</v>
      </c>
      <c r="B29" s="2121" t="s">
        <v>8281</v>
      </c>
      <c r="C29" s="2129" t="e">
        <f>C23+C27</f>
        <v>#DIV/0!</v>
      </c>
    </row>
    <row r="30" spans="1:3" s="2040" customFormat="1" ht="15.5">
      <c r="A30" s="2127" t="s">
        <v>2110</v>
      </c>
      <c r="B30" s="2121" t="s">
        <v>8827</v>
      </c>
      <c r="C30" s="2129">
        <f>'Data Entry - SOF'!K111</f>
        <v>0</v>
      </c>
    </row>
    <row r="31" spans="1:3" s="2040" customFormat="1" ht="15.5">
      <c r="A31" s="2127" t="s">
        <v>2562</v>
      </c>
      <c r="B31" s="2121" t="s">
        <v>8285</v>
      </c>
      <c r="C31" s="2567" t="e">
        <f>C29/'Data Entry - SOF'!K75</f>
        <v>#DIV/0!</v>
      </c>
    </row>
    <row r="32" spans="1:3" s="2040" customFormat="1" ht="15.5">
      <c r="A32" s="2127" t="s">
        <v>2563</v>
      </c>
      <c r="B32" s="2121" t="s">
        <v>8828</v>
      </c>
      <c r="C32" s="2129" t="e">
        <f>C31*C30</f>
        <v>#DIV/0!</v>
      </c>
    </row>
    <row r="33" spans="1:3" s="2040" customFormat="1" ht="15.5">
      <c r="A33" s="2127" t="s">
        <v>2564</v>
      </c>
      <c r="B33" s="2121" t="s">
        <v>8282</v>
      </c>
      <c r="C33" s="2129" t="e">
        <f>C29-C32</f>
        <v>#DIV/0!</v>
      </c>
    </row>
    <row r="34" spans="1:3" s="2040" customFormat="1" ht="15.5">
      <c r="B34" s="719" t="s">
        <v>2708</v>
      </c>
      <c r="C34" s="635" t="s">
        <v>10474</v>
      </c>
    </row>
    <row r="35" spans="1:3" s="2040" customFormat="1" ht="15.5"/>
    <row r="36" spans="1:3" s="2040" customFormat="1" ht="15.5"/>
    <row r="37" spans="1:3" s="2040" customFormat="1" ht="15.5"/>
    <row r="38" spans="1:3" s="2040" customFormat="1" ht="15.5"/>
    <row r="39" spans="1:3" s="2040" customFormat="1" ht="15.5"/>
    <row r="40" spans="1:3" s="2040" customFormat="1" ht="15.5"/>
    <row r="41" spans="1:3" s="2040" customFormat="1" ht="15.5"/>
    <row r="42" spans="1:3" s="2040" customFormat="1" ht="15.5"/>
    <row r="43" spans="1:3" s="2040" customFormat="1" ht="15.5"/>
    <row r="44" spans="1:3" s="2040" customFormat="1" ht="15.5"/>
    <row r="45" spans="1:3" s="2040" customFormat="1" ht="15.5"/>
    <row r="46" spans="1:3" s="2040" customFormat="1" ht="15.5"/>
    <row r="47" spans="1:3" s="2040" customFormat="1" ht="15.5"/>
    <row r="48" spans="1:3" s="2040" customFormat="1" ht="15.5"/>
    <row r="49" s="2040" customFormat="1" ht="15.5"/>
    <row r="50" s="2040" customFormat="1" ht="15.5"/>
    <row r="51" s="2040" customFormat="1" ht="15.5"/>
    <row r="52" s="2040" customFormat="1" ht="15.5"/>
    <row r="53" s="2040" customFormat="1" ht="15.5"/>
    <row r="54" s="2040" customFormat="1" ht="15.5"/>
    <row r="55" s="2040" customFormat="1" ht="15.5"/>
    <row r="56" s="2040" customFormat="1" ht="15.5"/>
    <row r="57" s="2040" customFormat="1" ht="15.5"/>
    <row r="58" s="2040" customFormat="1" ht="15.5"/>
    <row r="59" s="2040" customFormat="1" ht="15.5"/>
    <row r="60" s="2040" customFormat="1" ht="15.5"/>
    <row r="61" s="2040" customFormat="1" ht="15.5"/>
    <row r="62" s="2040" customFormat="1" ht="15.5"/>
    <row r="63" s="2040" customFormat="1" ht="15.5"/>
    <row r="64" s="2040" customFormat="1" ht="15.5"/>
    <row r="65" s="2040" customFormat="1" ht="15.5"/>
    <row r="66" s="2040" customFormat="1" ht="15.5"/>
    <row r="67" s="2040" customFormat="1" ht="15.5"/>
    <row r="68" s="2040" customFormat="1" ht="15.5"/>
    <row r="69" s="2040" customFormat="1" ht="15.5"/>
    <row r="70" s="2040" customFormat="1" ht="15.5"/>
    <row r="71" s="2040" customFormat="1" ht="15.5"/>
    <row r="72" s="2040" customFormat="1" ht="15.5"/>
    <row r="73" s="2040" customFormat="1" ht="15.5"/>
    <row r="74" s="2040" customFormat="1" ht="15.5"/>
    <row r="75" s="2040" customFormat="1" ht="15.5"/>
    <row r="76" s="2040" customFormat="1" ht="15.5"/>
    <row r="77" s="2040" customFormat="1" ht="15.5"/>
    <row r="78" s="2040" customFormat="1" ht="15.5"/>
    <row r="79" s="2040" customFormat="1" ht="15.5"/>
    <row r="80" s="2040" customFormat="1" ht="15.5"/>
    <row r="81" s="2040" customFormat="1" ht="15.5"/>
    <row r="82" s="2040" customFormat="1" ht="15.5"/>
    <row r="83" s="2040" customFormat="1" ht="15.5"/>
    <row r="84" s="2040" customFormat="1" ht="15.5"/>
    <row r="85" s="2040" customFormat="1" ht="15.5"/>
    <row r="86" s="2040" customFormat="1" ht="15.5"/>
    <row r="87" s="2040" customFormat="1" ht="15.5"/>
    <row r="88" s="2040" customFormat="1" ht="15.5"/>
    <row r="89" s="2040" customFormat="1" ht="15.5"/>
    <row r="90" s="2040" customFormat="1" ht="15.5"/>
    <row r="91" s="2040" customFormat="1" ht="15.5"/>
    <row r="92" s="2040" customFormat="1" ht="15.5"/>
    <row r="93" s="2040" customFormat="1" ht="15.5"/>
    <row r="94" s="2040" customFormat="1" ht="15.5"/>
    <row r="95" s="2040" customFormat="1" ht="15.5"/>
    <row r="96" s="2040" customFormat="1" ht="15.5"/>
    <row r="97" s="2040" customFormat="1" ht="15.5"/>
    <row r="98" s="2040" customFormat="1" ht="15.5"/>
    <row r="99" s="2040" customFormat="1" ht="15.5"/>
    <row r="100" s="2040" customFormat="1" ht="15.5"/>
    <row r="101" s="2040" customFormat="1" ht="15.5"/>
    <row r="102" s="2040" customFormat="1" ht="15.5"/>
    <row r="103" s="2040" customFormat="1" ht="15.5"/>
    <row r="104" s="2040" customFormat="1" ht="15.5"/>
    <row r="105" s="2040" customFormat="1" ht="15.5"/>
    <row r="106" s="2040" customFormat="1" ht="15.5"/>
    <row r="107" s="2040" customFormat="1" ht="15.5"/>
    <row r="108" s="2040" customFormat="1" ht="15.5"/>
    <row r="109" s="2040" customFormat="1" ht="15.5"/>
    <row r="110" s="2040" customFormat="1" ht="15.5"/>
    <row r="111" s="2040" customFormat="1" ht="15.5"/>
    <row r="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pans="3:3" s="2040" customFormat="1" ht="15.5"/>
    <row r="130" spans="3:3" s="2040" customFormat="1" ht="15.5">
      <c r="C130" s="2042"/>
    </row>
  </sheetData>
  <hyperlinks>
    <hyperlink ref="C34" location="'Report-SOF2526-SB1'!A1" display="'Report-SOF2526-SB1'!A1" xr:uid="{00000000-0004-0000-3500-000000000000}"/>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66FF33"/>
  </sheetPr>
  <dimension ref="A1:C130"/>
  <sheetViews>
    <sheetView workbookViewId="0">
      <selection activeCell="C1" sqref="C1"/>
    </sheetView>
  </sheetViews>
  <sheetFormatPr defaultColWidth="8.7265625" defaultRowHeight="12.5"/>
  <cols>
    <col min="1" max="1" width="5.90625" style="2042" customWidth="1"/>
    <col min="2" max="2" width="92.26953125" style="2042" customWidth="1"/>
    <col min="3" max="3" width="25.81640625" style="2042" customWidth="1"/>
    <col min="4" max="16384" width="8.7265625" style="2042"/>
  </cols>
  <sheetData>
    <row r="1" spans="1:3" ht="13">
      <c r="A1" s="245" t="s">
        <v>2716</v>
      </c>
      <c r="C1" s="1784" t="str">
        <f>Recap40K_Detail2223!C1</f>
        <v>Release 2</v>
      </c>
    </row>
    <row r="2" spans="1:3" ht="13">
      <c r="A2" s="245" t="s">
        <v>2717</v>
      </c>
      <c r="C2" s="2034">
        <f>Recap40K_Detail2223!C2</f>
        <v>44930</v>
      </c>
    </row>
    <row r="3" spans="1:3" ht="13">
      <c r="A3" s="52"/>
      <c r="C3" s="47"/>
    </row>
    <row r="4" spans="1:3" ht="15.5">
      <c r="A4" s="246" t="s">
        <v>11086</v>
      </c>
    </row>
    <row r="5" spans="1:3" ht="15.5">
      <c r="A5" s="248" t="str">
        <f>'Data Entry - SOF'!B1</f>
        <v xml:space="preserve"> </v>
      </c>
    </row>
    <row r="6" spans="1:3" ht="15.5">
      <c r="A6" s="246">
        <f>'Data Entry - SOF'!B2</f>
        <v>0</v>
      </c>
    </row>
    <row r="8" spans="1:3" ht="18">
      <c r="A8" s="2117"/>
      <c r="B8" s="2056"/>
      <c r="C8" s="1768" t="s">
        <v>2558</v>
      </c>
    </row>
    <row r="9" spans="1:3" ht="18">
      <c r="A9" s="2118" t="s">
        <v>2655</v>
      </c>
      <c r="B9" s="2119"/>
      <c r="C9" s="2120" t="s">
        <v>2628</v>
      </c>
    </row>
    <row r="10" spans="1:3" s="2040" customFormat="1" ht="15.5">
      <c r="A10" s="2127" t="s">
        <v>2063</v>
      </c>
      <c r="B10" s="2121" t="s">
        <v>8272</v>
      </c>
      <c r="C10" s="2129" t="e">
        <f>'Calc Data'!I113</f>
        <v>#DIV/0!</v>
      </c>
    </row>
    <row r="11" spans="1:3" s="2040" customFormat="1" ht="15.5">
      <c r="A11" s="2127" t="s">
        <v>2064</v>
      </c>
      <c r="B11" s="2121" t="s">
        <v>8286</v>
      </c>
      <c r="C11" s="2129" t="e">
        <f>'Calc Data'!I104</f>
        <v>#DIV/0!</v>
      </c>
    </row>
    <row r="12" spans="1:3" s="2040" customFormat="1" ht="15.5">
      <c r="A12" s="2127" t="s">
        <v>2065</v>
      </c>
      <c r="B12" s="2121" t="s">
        <v>8287</v>
      </c>
      <c r="C12" s="2129" t="e">
        <f>'Calc Data'!I109</f>
        <v>#DIV/0!</v>
      </c>
    </row>
    <row r="13" spans="1:3" s="2040" customFormat="1" ht="15.5">
      <c r="A13" s="2127" t="s">
        <v>862</v>
      </c>
      <c r="B13" s="2121" t="s">
        <v>8273</v>
      </c>
      <c r="C13" s="2129" t="e">
        <f>C10+C11+C12</f>
        <v>#DIV/0!</v>
      </c>
    </row>
    <row r="14" spans="1:3" s="2040" customFormat="1" ht="18" customHeight="1">
      <c r="A14" s="2123" t="s">
        <v>8274</v>
      </c>
      <c r="B14" s="2122"/>
      <c r="C14" s="2131"/>
    </row>
    <row r="15" spans="1:3" s="2040" customFormat="1" ht="15.5">
      <c r="A15" s="2127" t="s">
        <v>863</v>
      </c>
      <c r="B15" s="2121" t="s">
        <v>8275</v>
      </c>
      <c r="C15" s="2129" t="e">
        <f>'Report-SOF2627-SB1'!D55</f>
        <v>#DIV/0!</v>
      </c>
    </row>
    <row r="16" spans="1:3" s="2040" customFormat="1" ht="15.5">
      <c r="A16" s="2127" t="s">
        <v>865</v>
      </c>
      <c r="B16" s="2121" t="s">
        <v>8276</v>
      </c>
      <c r="C16" s="2129">
        <f>'Report-SOF2627-SB1'!D57</f>
        <v>0</v>
      </c>
    </row>
    <row r="17" spans="1:3" s="2040" customFormat="1" ht="15.5">
      <c r="A17" s="2127" t="s">
        <v>866</v>
      </c>
      <c r="B17" s="2121" t="s">
        <v>8819</v>
      </c>
      <c r="C17" s="2129" t="e">
        <f>C15-C16</f>
        <v>#DIV/0!</v>
      </c>
    </row>
    <row r="18" spans="1:3" s="2040" customFormat="1" ht="15.5">
      <c r="A18" s="2127" t="s">
        <v>867</v>
      </c>
      <c r="B18" s="2121" t="s">
        <v>8277</v>
      </c>
      <c r="C18" s="2129" t="e">
        <f>'Report-SOF2627-SB1'!D56</f>
        <v>#DIV/0!</v>
      </c>
    </row>
    <row r="19" spans="1:3" s="2040" customFormat="1" ht="15.5">
      <c r="A19" s="2127" t="s">
        <v>109</v>
      </c>
      <c r="B19" s="2121" t="s">
        <v>8820</v>
      </c>
      <c r="C19" s="2129" t="e">
        <f>IF(C18-(C15-C16)&lt;=0,0,C18-(C15-C16))</f>
        <v>#DIV/0!</v>
      </c>
    </row>
    <row r="20" spans="1:3" s="2040" customFormat="1" ht="18" customHeight="1">
      <c r="A20" s="2123" t="s">
        <v>8821</v>
      </c>
      <c r="B20" s="2122"/>
      <c r="C20" s="2131"/>
    </row>
    <row r="21" spans="1:3" s="2040" customFormat="1" ht="15.5">
      <c r="A21" s="2128" t="s">
        <v>110</v>
      </c>
      <c r="B21" s="2124" t="s">
        <v>8822</v>
      </c>
      <c r="C21" s="2130" t="e">
        <f>'SOF2627-HB3'!I71</f>
        <v>#DIV/0!</v>
      </c>
    </row>
    <row r="22" spans="1:3" s="2040" customFormat="1" ht="15.5">
      <c r="A22" s="2126"/>
      <c r="B22" s="2125" t="s">
        <v>8823</v>
      </c>
      <c r="C22" s="2132"/>
    </row>
    <row r="23" spans="1:3" s="2040" customFormat="1" ht="15.5">
      <c r="A23" s="2127" t="s">
        <v>111</v>
      </c>
      <c r="B23" s="2121" t="s">
        <v>8824</v>
      </c>
      <c r="C23" s="2129" t="e">
        <f>MAX((C19+C21),0)</f>
        <v>#DIV/0!</v>
      </c>
    </row>
    <row r="24" spans="1:3" s="2040" customFormat="1" ht="18" customHeight="1">
      <c r="A24" s="2123" t="s">
        <v>8278</v>
      </c>
      <c r="B24" s="2122"/>
      <c r="C24" s="2131"/>
    </row>
    <row r="25" spans="1:3" s="2040" customFormat="1" ht="15.5">
      <c r="A25" s="2127" t="s">
        <v>112</v>
      </c>
      <c r="B25" s="2121" t="s">
        <v>8825</v>
      </c>
      <c r="C25" s="2129" t="e">
        <f>'SOF2627-HB3'!I199</f>
        <v>#DIV/0!</v>
      </c>
    </row>
    <row r="26" spans="1:3" s="2040" customFormat="1" ht="15.5">
      <c r="A26" s="2127" t="s">
        <v>1424</v>
      </c>
      <c r="B26" s="2121" t="s">
        <v>8826</v>
      </c>
      <c r="C26" s="2129" t="e">
        <f>'SOF2627-HB3'!I200</f>
        <v>#DIV/0!</v>
      </c>
    </row>
    <row r="27" spans="1:3" s="2040" customFormat="1" ht="15.5">
      <c r="A27" s="2127" t="s">
        <v>6</v>
      </c>
      <c r="B27" s="2121" t="s">
        <v>8279</v>
      </c>
      <c r="C27" s="2129" t="e">
        <f>IF(C26-C25&lt;0,0,C26-C25)</f>
        <v>#DIV/0!</v>
      </c>
    </row>
    <row r="28" spans="1:3" s="2040" customFormat="1" ht="18" customHeight="1">
      <c r="A28" s="2123" t="s">
        <v>8280</v>
      </c>
      <c r="B28" s="2122"/>
      <c r="C28" s="2131"/>
    </row>
    <row r="29" spans="1:3" s="2040" customFormat="1" ht="15.5">
      <c r="A29" s="2127" t="s">
        <v>2109</v>
      </c>
      <c r="B29" s="2121" t="s">
        <v>8281</v>
      </c>
      <c r="C29" s="2129" t="e">
        <f>C23+C27</f>
        <v>#DIV/0!</v>
      </c>
    </row>
    <row r="30" spans="1:3" s="2040" customFormat="1" ht="15.5">
      <c r="A30" s="2127" t="s">
        <v>2110</v>
      </c>
      <c r="B30" s="2121" t="s">
        <v>8827</v>
      </c>
      <c r="C30" s="2129">
        <f>'Data Entry - SOF'!M111</f>
        <v>0</v>
      </c>
    </row>
    <row r="31" spans="1:3" s="2040" customFormat="1" ht="15.5">
      <c r="A31" s="2127" t="s">
        <v>2562</v>
      </c>
      <c r="B31" s="2121" t="s">
        <v>8285</v>
      </c>
      <c r="C31" s="2567" t="e">
        <f>C29/'Data Entry - SOF'!M75</f>
        <v>#DIV/0!</v>
      </c>
    </row>
    <row r="32" spans="1:3" s="2040" customFormat="1" ht="15.5">
      <c r="A32" s="2127" t="s">
        <v>2563</v>
      </c>
      <c r="B32" s="2121" t="s">
        <v>8828</v>
      </c>
      <c r="C32" s="2129" t="e">
        <f>C31*C30</f>
        <v>#DIV/0!</v>
      </c>
    </row>
    <row r="33" spans="1:3" s="2040" customFormat="1" ht="15.5">
      <c r="A33" s="2127" t="s">
        <v>2564</v>
      </c>
      <c r="B33" s="2121" t="s">
        <v>8282</v>
      </c>
      <c r="C33" s="2129" t="e">
        <f>C29-C32</f>
        <v>#DIV/0!</v>
      </c>
    </row>
    <row r="34" spans="1:3" s="2040" customFormat="1" ht="15.5">
      <c r="B34" s="719" t="s">
        <v>2708</v>
      </c>
      <c r="C34" s="635" t="s">
        <v>11087</v>
      </c>
    </row>
    <row r="35" spans="1:3" s="2040" customFormat="1" ht="15.5"/>
    <row r="36" spans="1:3" s="2040" customFormat="1" ht="15.5"/>
    <row r="37" spans="1:3" s="2040" customFormat="1" ht="15.5"/>
    <row r="38" spans="1:3" s="2040" customFormat="1" ht="15.5"/>
    <row r="39" spans="1:3" s="2040" customFormat="1" ht="15.5"/>
    <row r="40" spans="1:3" s="2040" customFormat="1" ht="15.5"/>
    <row r="41" spans="1:3" s="2040" customFormat="1" ht="15.5"/>
    <row r="42" spans="1:3" s="2040" customFormat="1" ht="15.5"/>
    <row r="43" spans="1:3" s="2040" customFormat="1" ht="15.5"/>
    <row r="44" spans="1:3" s="2040" customFormat="1" ht="15.5"/>
    <row r="45" spans="1:3" s="2040" customFormat="1" ht="15.5"/>
    <row r="46" spans="1:3" s="2040" customFormat="1" ht="15.5"/>
    <row r="47" spans="1:3" s="2040" customFormat="1" ht="15.5"/>
    <row r="48" spans="1:3" s="2040" customFormat="1" ht="15.5"/>
    <row r="49" s="2040" customFormat="1" ht="15.5"/>
    <row r="50" s="2040" customFormat="1" ht="15.5"/>
    <row r="51" s="2040" customFormat="1" ht="15.5"/>
    <row r="52" s="2040" customFormat="1" ht="15.5"/>
    <row r="53" s="2040" customFormat="1" ht="15.5"/>
    <row r="54" s="2040" customFormat="1" ht="15.5"/>
    <row r="55" s="2040" customFormat="1" ht="15.5"/>
    <row r="56" s="2040" customFormat="1" ht="15.5"/>
    <row r="57" s="2040" customFormat="1" ht="15.5"/>
    <row r="58" s="2040" customFormat="1" ht="15.5"/>
    <row r="59" s="2040" customFormat="1" ht="15.5"/>
    <row r="60" s="2040" customFormat="1" ht="15.5"/>
    <row r="61" s="2040" customFormat="1" ht="15.5"/>
    <row r="62" s="2040" customFormat="1" ht="15.5"/>
    <row r="63" s="2040" customFormat="1" ht="15.5"/>
    <row r="64" s="2040" customFormat="1" ht="15.5"/>
    <row r="65" s="2040" customFormat="1" ht="15.5"/>
    <row r="66" s="2040" customFormat="1" ht="15.5"/>
    <row r="67" s="2040" customFormat="1" ht="15.5"/>
    <row r="68" s="2040" customFormat="1" ht="15.5"/>
    <row r="69" s="2040" customFormat="1" ht="15.5"/>
    <row r="70" s="2040" customFormat="1" ht="15.5"/>
    <row r="71" s="2040" customFormat="1" ht="15.5"/>
    <row r="72" s="2040" customFormat="1" ht="15.5"/>
    <row r="73" s="2040" customFormat="1" ht="15.5"/>
    <row r="74" s="2040" customFormat="1" ht="15.5"/>
    <row r="75" s="2040" customFormat="1" ht="15.5"/>
    <row r="76" s="2040" customFormat="1" ht="15.5"/>
    <row r="77" s="2040" customFormat="1" ht="15.5"/>
    <row r="78" s="2040" customFormat="1" ht="15.5"/>
    <row r="79" s="2040" customFormat="1" ht="15.5"/>
    <row r="80" s="2040" customFormat="1" ht="15.5"/>
    <row r="81" s="2040" customFormat="1" ht="15.5"/>
    <row r="82" s="2040" customFormat="1" ht="15.5"/>
    <row r="83" s="2040" customFormat="1" ht="15.5"/>
    <row r="84" s="2040" customFormat="1" ht="15.5"/>
    <row r="85" s="2040" customFormat="1" ht="15.5"/>
    <row r="86" s="2040" customFormat="1" ht="15.5"/>
    <row r="87" s="2040" customFormat="1" ht="15.5"/>
    <row r="88" s="2040" customFormat="1" ht="15.5"/>
    <row r="89" s="2040" customFormat="1" ht="15.5"/>
    <row r="90" s="2040" customFormat="1" ht="15.5"/>
    <row r="91" s="2040" customFormat="1" ht="15.5"/>
    <row r="92" s="2040" customFormat="1" ht="15.5"/>
    <row r="93" s="2040" customFormat="1" ht="15.5"/>
    <row r="94" s="2040" customFormat="1" ht="15.5"/>
    <row r="95" s="2040" customFormat="1" ht="15.5"/>
    <row r="96" s="2040" customFormat="1" ht="15.5"/>
    <row r="97" s="2040" customFormat="1" ht="15.5"/>
    <row r="98" s="2040" customFormat="1" ht="15.5"/>
    <row r="99" s="2040" customFormat="1" ht="15.5"/>
    <row r="100" s="2040" customFormat="1" ht="15.5"/>
    <row r="101" s="2040" customFormat="1" ht="15.5"/>
    <row r="102" s="2040" customFormat="1" ht="15.5"/>
    <row r="103" s="2040" customFormat="1" ht="15.5"/>
    <row r="104" s="2040" customFormat="1" ht="15.5"/>
    <row r="105" s="2040" customFormat="1" ht="15.5"/>
    <row r="106" s="2040" customFormat="1" ht="15.5"/>
    <row r="107" s="2040" customFormat="1" ht="15.5"/>
    <row r="108" s="2040" customFormat="1" ht="15.5"/>
    <row r="109" s="2040" customFormat="1" ht="15.5"/>
    <row r="110" s="2040" customFormat="1" ht="15.5"/>
    <row r="111" s="2040" customFormat="1" ht="15.5"/>
    <row r="112" s="2040" customFormat="1" ht="15.5"/>
    <row r="113" s="2040" customFormat="1" ht="15.5"/>
    <row r="114" s="2040" customFormat="1" ht="15.5"/>
    <row r="115" s="2040" customFormat="1" ht="15.5"/>
    <row r="116" s="2040" customFormat="1" ht="15.5"/>
    <row r="117" s="2040" customFormat="1" ht="15.5"/>
    <row r="118" s="2040" customFormat="1" ht="15.5"/>
    <row r="119" s="2040" customFormat="1" ht="15.5"/>
    <row r="120" s="2040" customFormat="1" ht="15.5"/>
    <row r="121" s="2040" customFormat="1" ht="15.5"/>
    <row r="122" s="2040" customFormat="1" ht="15.5"/>
    <row r="123" s="2040" customFormat="1" ht="15.5"/>
    <row r="124" s="2040" customFormat="1" ht="15.5"/>
    <row r="125" s="2040" customFormat="1" ht="15.5"/>
    <row r="126" s="2040" customFormat="1" ht="15.5"/>
    <row r="127" s="2040" customFormat="1" ht="15.5"/>
    <row r="128" s="2040" customFormat="1" ht="15.5"/>
    <row r="129" spans="3:3" s="2040" customFormat="1" ht="15.5"/>
    <row r="130" spans="3:3" s="2040" customFormat="1" ht="15.5">
      <c r="C130" s="2042"/>
    </row>
  </sheetData>
  <hyperlinks>
    <hyperlink ref="C34" location="'Report-SOF2627-SB1'!A1" display="'Report-SOF2627-SB1'!A1" xr:uid="{00000000-0004-0000-3600-00000000000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C28"/>
  <sheetViews>
    <sheetView workbookViewId="0">
      <selection activeCell="C5" sqref="C5"/>
    </sheetView>
  </sheetViews>
  <sheetFormatPr defaultRowHeight="12.5"/>
  <cols>
    <col min="1" max="1" width="4.81640625" style="41" customWidth="1"/>
    <col min="2" max="2" width="114.1796875" customWidth="1"/>
    <col min="3" max="3" width="27" customWidth="1"/>
    <col min="4" max="5" width="20.54296875" customWidth="1"/>
  </cols>
  <sheetData>
    <row r="1" spans="1:3" ht="15.5">
      <c r="B1" s="81" t="s">
        <v>8550</v>
      </c>
    </row>
    <row r="2" spans="1:3" ht="15.5">
      <c r="B2" s="2033" t="s">
        <v>8551</v>
      </c>
    </row>
    <row r="4" spans="1:3">
      <c r="C4" s="74"/>
    </row>
    <row r="5" spans="1:3" ht="15.5">
      <c r="B5" s="625" t="s">
        <v>5943</v>
      </c>
    </row>
    <row r="7" spans="1:3" ht="15.5">
      <c r="A7" s="441"/>
      <c r="B7" s="438" t="s">
        <v>2655</v>
      </c>
      <c r="C7" s="442"/>
    </row>
    <row r="8" spans="1:3" ht="15.5">
      <c r="A8" s="342">
        <v>1</v>
      </c>
      <c r="B8" s="388" t="s">
        <v>7900</v>
      </c>
      <c r="C8" s="255">
        <f>'Data Entry - SOF'!C64</f>
        <v>0</v>
      </c>
    </row>
    <row r="9" spans="1:3" ht="15.5">
      <c r="A9" s="342">
        <v>2</v>
      </c>
      <c r="B9" s="388" t="s">
        <v>7901</v>
      </c>
      <c r="C9" s="255">
        <f>'Data Entry - SOF'!C65</f>
        <v>0</v>
      </c>
    </row>
    <row r="10" spans="1:3" ht="15.5">
      <c r="A10" s="342">
        <v>3</v>
      </c>
      <c r="B10" s="388" t="s">
        <v>3317</v>
      </c>
      <c r="C10" s="255">
        <f>'Data Entry - SOF'!C98</f>
        <v>0</v>
      </c>
    </row>
    <row r="11" spans="1:3" ht="15.5">
      <c r="A11" s="441"/>
      <c r="B11" s="440" t="s">
        <v>3340</v>
      </c>
      <c r="C11" s="442"/>
    </row>
    <row r="12" spans="1:3" ht="15.5">
      <c r="A12" s="342">
        <v>4</v>
      </c>
      <c r="B12" s="466" t="s">
        <v>3302</v>
      </c>
      <c r="C12" s="255">
        <f>'IFA-HB3'!L86</f>
        <v>0</v>
      </c>
    </row>
    <row r="13" spans="1:3" ht="15.5">
      <c r="A13" s="342">
        <v>5</v>
      </c>
      <c r="B13" s="466" t="s">
        <v>3303</v>
      </c>
      <c r="C13" s="255">
        <f>'Existing Debt-HB3'!I74</f>
        <v>0</v>
      </c>
    </row>
    <row r="14" spans="1:3" ht="15.5">
      <c r="A14" s="342">
        <v>6</v>
      </c>
      <c r="B14" s="466" t="s">
        <v>3341</v>
      </c>
      <c r="C14" s="255">
        <f>C10-C12-C13</f>
        <v>0</v>
      </c>
    </row>
    <row r="15" spans="1:3" ht="15.5">
      <c r="A15" s="342">
        <v>7</v>
      </c>
      <c r="B15" s="289" t="s">
        <v>3342</v>
      </c>
      <c r="C15" s="469" t="e">
        <f>1-(C8/C9)</f>
        <v>#DIV/0!</v>
      </c>
    </row>
    <row r="16" spans="1:3" ht="15.5">
      <c r="A16" s="342">
        <v>8</v>
      </c>
      <c r="B16" s="304" t="s">
        <v>3343</v>
      </c>
      <c r="C16" s="255" t="e">
        <f>C14*C15</f>
        <v>#DIV/0!</v>
      </c>
    </row>
    <row r="17" spans="1:3" ht="15.5">
      <c r="A17" s="441"/>
      <c r="B17" s="440" t="s">
        <v>3306</v>
      </c>
      <c r="C17" s="442"/>
    </row>
    <row r="18" spans="1:3" ht="15.5">
      <c r="A18" s="342">
        <v>9</v>
      </c>
      <c r="B18" s="466" t="s">
        <v>3304</v>
      </c>
      <c r="C18" s="255">
        <f>'IFA-HB3'!M86</f>
        <v>0</v>
      </c>
    </row>
    <row r="19" spans="1:3" ht="15.5">
      <c r="A19" s="342">
        <v>10</v>
      </c>
      <c r="B19" s="466" t="s">
        <v>3305</v>
      </c>
      <c r="C19" s="255">
        <f>'Existing Debt-HB3'!J74</f>
        <v>0</v>
      </c>
    </row>
    <row r="20" spans="1:3" ht="15.5">
      <c r="A20" s="342">
        <v>11</v>
      </c>
      <c r="B20" s="466" t="s">
        <v>3344</v>
      </c>
      <c r="C20" s="255">
        <f>(C12+C13)-(C18+C19)</f>
        <v>0</v>
      </c>
    </row>
    <row r="21" spans="1:3" ht="15.5">
      <c r="A21" s="441"/>
      <c r="B21" s="439" t="s">
        <v>3316</v>
      </c>
      <c r="C21" s="442"/>
    </row>
    <row r="22" spans="1:3" ht="15.5">
      <c r="A22" s="342">
        <v>12</v>
      </c>
      <c r="B22" s="466" t="s">
        <v>3345</v>
      </c>
      <c r="C22" s="255" t="e">
        <f>IF(C16-C20&lt;0,0,C16-C20)</f>
        <v>#DIV/0!</v>
      </c>
    </row>
    <row r="23" spans="1:3" ht="15.5">
      <c r="A23" s="342">
        <v>13</v>
      </c>
      <c r="B23" s="466" t="s">
        <v>2767</v>
      </c>
      <c r="C23" s="255">
        <f>'Data Entry - SOF'!C80</f>
        <v>0</v>
      </c>
    </row>
    <row r="24" spans="1:3" ht="15.5">
      <c r="A24" s="342">
        <v>14</v>
      </c>
      <c r="B24" s="467" t="s">
        <v>3346</v>
      </c>
      <c r="C24" s="255" t="e">
        <f>C14-C22</f>
        <v>#DIV/0!</v>
      </c>
    </row>
    <row r="25" spans="1:3" ht="15.5">
      <c r="A25" s="447">
        <v>15</v>
      </c>
      <c r="B25" s="468" t="s">
        <v>3347</v>
      </c>
      <c r="C25" s="443" t="e">
        <f>IF(C23&gt;=C24,C22,C22*(C23/C24))</f>
        <v>#DIV/0!</v>
      </c>
    </row>
    <row r="26" spans="1:3" ht="15.5">
      <c r="B26" s="719" t="s">
        <v>2708</v>
      </c>
      <c r="C26" s="635" t="s">
        <v>9067</v>
      </c>
    </row>
    <row r="28" spans="1:3" hidden="1">
      <c r="B28" s="27" t="s">
        <v>3324</v>
      </c>
      <c r="C28" s="74">
        <f>IF(C23=0,0,C23*(C9/C8))</f>
        <v>0</v>
      </c>
    </row>
  </sheetData>
  <hyperlinks>
    <hyperlink ref="C26" location="'Report-SOF2122-HB1525'!A1" display="'Report-SOF2122-HB1525'!A1" xr:uid="{00000000-0004-0000-3700-000000000000}"/>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H75"/>
  <sheetViews>
    <sheetView workbookViewId="0">
      <selection activeCell="C5" sqref="C5"/>
    </sheetView>
  </sheetViews>
  <sheetFormatPr defaultRowHeight="12.5"/>
  <cols>
    <col min="1" max="1" width="4.81640625" style="41" customWidth="1"/>
    <col min="2" max="2" width="116.81640625" customWidth="1"/>
    <col min="3" max="3" width="25.81640625" customWidth="1"/>
    <col min="4" max="4" width="22" customWidth="1"/>
    <col min="5" max="5" width="20.54296875" customWidth="1"/>
    <col min="9" max="10" width="12.6328125" customWidth="1"/>
  </cols>
  <sheetData>
    <row r="1" spans="1:8" s="2432" customFormat="1" ht="15.5">
      <c r="A1" s="2431" t="s">
        <v>10432</v>
      </c>
    </row>
    <row r="2" spans="1:8" s="2432" customFormat="1" ht="15.5">
      <c r="A2" s="2469" t="s">
        <v>10465</v>
      </c>
      <c r="B2" s="2431"/>
    </row>
    <row r="3" spans="1:8" s="2432" customFormat="1" ht="15.5">
      <c r="A3" s="2469" t="s">
        <v>10466</v>
      </c>
      <c r="B3" s="2433"/>
    </row>
    <row r="4" spans="1:8" s="2432" customFormat="1" ht="15.5">
      <c r="A4" s="2434"/>
    </row>
    <row r="5" spans="1:8" s="2432" customFormat="1" ht="15.5">
      <c r="A5" s="2430"/>
      <c r="B5" s="2435" t="s">
        <v>10467</v>
      </c>
    </row>
    <row r="6" spans="1:8" s="2432" customFormat="1">
      <c r="A6" s="2430"/>
    </row>
    <row r="7" spans="1:8" s="2432" customFormat="1" ht="15.5">
      <c r="A7" s="2436"/>
      <c r="B7" s="2437" t="s">
        <v>2655</v>
      </c>
      <c r="C7" s="2438" t="s">
        <v>10420</v>
      </c>
      <c r="D7" s="2438" t="s">
        <v>3307</v>
      </c>
      <c r="E7" s="2438" t="s">
        <v>10404</v>
      </c>
    </row>
    <row r="8" spans="1:8" s="2432" customFormat="1" ht="15.5">
      <c r="A8" s="2439">
        <v>1</v>
      </c>
      <c r="B8" s="2429" t="s">
        <v>10410</v>
      </c>
      <c r="C8" s="2440">
        <f>'Data Entry - SOF'!E66</f>
        <v>0</v>
      </c>
      <c r="D8" s="2440">
        <f>'Data Entry - SOF'!E63</f>
        <v>0</v>
      </c>
      <c r="E8" s="2440">
        <f t="shared" ref="E8:E15" si="0">C8-D8</f>
        <v>0</v>
      </c>
    </row>
    <row r="9" spans="1:8" s="2432" customFormat="1" ht="15.5">
      <c r="A9" s="2439">
        <v>2</v>
      </c>
      <c r="B9" s="2429" t="s">
        <v>10411</v>
      </c>
      <c r="C9" s="2441">
        <f>'Data Entry - SOF'!E74</f>
        <v>0</v>
      </c>
      <c r="D9" s="2441">
        <f>C9</f>
        <v>0</v>
      </c>
      <c r="E9" s="2441">
        <f t="shared" si="0"/>
        <v>0</v>
      </c>
    </row>
    <row r="10" spans="1:8" s="2432" customFormat="1" ht="15.5">
      <c r="A10" s="2439">
        <v>3</v>
      </c>
      <c r="B10" s="2429" t="s">
        <v>10412</v>
      </c>
      <c r="C10" s="2441">
        <f>'Data Entry - SOF'!C74</f>
        <v>0</v>
      </c>
      <c r="D10" s="2441">
        <f>C10</f>
        <v>0</v>
      </c>
      <c r="E10" s="2441">
        <f t="shared" si="0"/>
        <v>0</v>
      </c>
      <c r="G10" s="2432" t="s">
        <v>10806</v>
      </c>
      <c r="H10" s="2432" t="s">
        <v>10807</v>
      </c>
    </row>
    <row r="11" spans="1:8" s="2443" customFormat="1" ht="15.5">
      <c r="A11" s="2439">
        <v>4</v>
      </c>
      <c r="B11" s="2728" t="s">
        <v>10729</v>
      </c>
      <c r="C11" s="2442">
        <f>'Data Entry - SOF'!E75</f>
        <v>0</v>
      </c>
      <c r="D11" s="2641" t="e">
        <f>(('Data Entry - SOF'!E75-'IFA-HB3'!S79)*(D8/C8))+'IFA-HB3'!S79</f>
        <v>#DIV/0!</v>
      </c>
      <c r="E11" s="2440" t="e">
        <f t="shared" si="0"/>
        <v>#DIV/0!</v>
      </c>
      <c r="G11" s="2783">
        <f>MIN(C9,C10)</f>
        <v>0</v>
      </c>
      <c r="H11" s="2783">
        <f>MIN(D9,D10)</f>
        <v>0</v>
      </c>
    </row>
    <row r="12" spans="1:8" s="2443" customFormat="1" ht="15.5">
      <c r="A12" s="2439">
        <v>5</v>
      </c>
      <c r="B12" s="2728" t="s">
        <v>10730</v>
      </c>
      <c r="C12" s="2442" t="e">
        <f>C11*IF(C9&lt;C10,1,C10/C9)</f>
        <v>#DIV/0!</v>
      </c>
      <c r="D12" s="2442" t="e">
        <f>D11*IF(D9&lt;D10,1,D10/D9)</f>
        <v>#DIV/0!</v>
      </c>
      <c r="E12" s="2440" t="e">
        <f t="shared" si="0"/>
        <v>#DIV/0!</v>
      </c>
      <c r="G12" s="2432">
        <f>IF(G11=C9,'Data Entry - SOF'!E124,'Data Entry - SOF'!C72)</f>
        <v>0</v>
      </c>
      <c r="H12" s="2432">
        <f>IF(H11=D9,'Data Entry - SOF'!E124,'Data Entry - SOF'!C72)</f>
        <v>0</v>
      </c>
    </row>
    <row r="13" spans="1:8" s="2443" customFormat="1" ht="15.5">
      <c r="A13" s="2439">
        <v>6</v>
      </c>
      <c r="B13" s="2429" t="s">
        <v>497</v>
      </c>
      <c r="C13" s="2440">
        <f>'SOF2223-HB3'!K61</f>
        <v>0</v>
      </c>
      <c r="D13" s="2440">
        <f>'SOF2223-HB3'!J61</f>
        <v>0</v>
      </c>
      <c r="E13" s="2440">
        <f t="shared" si="0"/>
        <v>0</v>
      </c>
    </row>
    <row r="14" spans="1:8" s="2443" customFormat="1" ht="15.5">
      <c r="A14" s="2439">
        <v>7</v>
      </c>
      <c r="B14" s="2429" t="s">
        <v>10405</v>
      </c>
      <c r="C14" s="2440">
        <f>'SOF2223-HB3'!K62</f>
        <v>0</v>
      </c>
      <c r="D14" s="2440">
        <f>'SOF2223-HB3'!J62</f>
        <v>0</v>
      </c>
      <c r="E14" s="2440">
        <f t="shared" si="0"/>
        <v>0</v>
      </c>
    </row>
    <row r="15" spans="1:8" s="2443" customFormat="1" ht="15.5">
      <c r="A15" s="2439">
        <v>8</v>
      </c>
      <c r="B15" s="2429" t="s">
        <v>10422</v>
      </c>
      <c r="C15" s="2440">
        <f>'SOF2223-HB3'!J99</f>
        <v>0</v>
      </c>
      <c r="D15" s="2440">
        <f>'SOF2223-HB3'!J99</f>
        <v>0</v>
      </c>
      <c r="E15" s="2440">
        <f t="shared" si="0"/>
        <v>0</v>
      </c>
    </row>
    <row r="16" spans="1:8" s="2443" customFormat="1" ht="15.5">
      <c r="A16" s="2444"/>
      <c r="B16" s="2445" t="s">
        <v>10406</v>
      </c>
      <c r="C16" s="2446"/>
      <c r="D16" s="2446"/>
      <c r="E16" s="2447"/>
    </row>
    <row r="17" spans="1:5" s="2443" customFormat="1" ht="15.5">
      <c r="A17" s="2439">
        <v>9</v>
      </c>
      <c r="B17" s="2448" t="s">
        <v>10724</v>
      </c>
      <c r="C17" s="2440">
        <f>IF(C13-C14-C15&lt;=0,0,C13-C14-C15)</f>
        <v>0</v>
      </c>
      <c r="D17" s="2440">
        <f>IF(D13-D14-D15&lt;=0,0,D13-D14-D15)</f>
        <v>0</v>
      </c>
      <c r="E17" s="2440">
        <f>C17-D17</f>
        <v>0</v>
      </c>
    </row>
    <row r="18" spans="1:5" s="2443" customFormat="1" ht="15.5">
      <c r="A18" s="2439">
        <v>10</v>
      </c>
      <c r="B18" s="2429" t="s">
        <v>10407</v>
      </c>
      <c r="C18" s="2440" t="e">
        <f>'SOF2223-HB3'!K76</f>
        <v>#DIV/0!</v>
      </c>
      <c r="D18" s="2440" t="e">
        <f>'SOF2223-HB3'!J76</f>
        <v>#DIV/0!</v>
      </c>
      <c r="E18" s="2440" t="e">
        <f>C18-D18</f>
        <v>#DIV/0!</v>
      </c>
    </row>
    <row r="19" spans="1:5" s="2443" customFormat="1" ht="15.5">
      <c r="A19" s="2439">
        <v>11</v>
      </c>
      <c r="B19" s="2429" t="s">
        <v>10408</v>
      </c>
      <c r="C19" s="2440" t="e">
        <f>'SOF2223-HB3'!K77</f>
        <v>#DIV/0!</v>
      </c>
      <c r="D19" s="2440" t="e">
        <f>'SOF2223-HB3'!J77</f>
        <v>#DIV/0!</v>
      </c>
      <c r="E19" s="2440" t="e">
        <f>C19-D19</f>
        <v>#DIV/0!</v>
      </c>
    </row>
    <row r="20" spans="1:5" s="2443" customFormat="1" ht="15.5">
      <c r="A20" s="2439">
        <v>12</v>
      </c>
      <c r="B20" s="2429" t="s">
        <v>10439</v>
      </c>
      <c r="C20" s="2440">
        <f>'IFA-HB3'!R75</f>
        <v>0</v>
      </c>
      <c r="D20" s="2440">
        <f>'IFA-HB3'!S75</f>
        <v>0</v>
      </c>
      <c r="E20" s="2440">
        <f>C20-D20</f>
        <v>0</v>
      </c>
    </row>
    <row r="21" spans="1:5" s="2443" customFormat="1" ht="15.5">
      <c r="A21" s="2439">
        <v>13</v>
      </c>
      <c r="B21" s="2429" t="s">
        <v>10424</v>
      </c>
      <c r="C21" s="2440" t="e">
        <f>'SOF2223-HB3'!K74+'SOF2223-HB3'!K82</f>
        <v>#DIV/0!</v>
      </c>
      <c r="D21" s="2440" t="e">
        <f>'SOF2223-HB3'!J74+'SOF2223-HB3'!J82</f>
        <v>#DIV/0!</v>
      </c>
      <c r="E21" s="2440" t="e">
        <f>D21-C21</f>
        <v>#DIV/0!</v>
      </c>
    </row>
    <row r="22" spans="1:5" s="2443" customFormat="1" ht="15.5">
      <c r="A22" s="2444"/>
      <c r="B22" s="2445" t="s">
        <v>10409</v>
      </c>
      <c r="C22" s="2446"/>
      <c r="D22" s="2446"/>
      <c r="E22" s="2447"/>
    </row>
    <row r="23" spans="1:5" s="2443" customFormat="1" ht="15.5">
      <c r="A23" s="2439">
        <v>14</v>
      </c>
      <c r="B23" s="2429" t="s">
        <v>10413</v>
      </c>
      <c r="C23" s="2440" t="e">
        <f>C12-C21</f>
        <v>#DIV/0!</v>
      </c>
      <c r="D23" s="2440" t="e">
        <f>D12-D21</f>
        <v>#DIV/0!</v>
      </c>
      <c r="E23" s="2440" t="e">
        <f>C23-D23</f>
        <v>#DIV/0!</v>
      </c>
    </row>
    <row r="24" spans="1:5" s="2443" customFormat="1" ht="15.5">
      <c r="A24" s="2439">
        <v>15</v>
      </c>
      <c r="B24" s="2429" t="s">
        <v>10414</v>
      </c>
      <c r="C24" s="2440" t="e">
        <f>C17+C18+C19+C20</f>
        <v>#DIV/0!</v>
      </c>
      <c r="D24" s="2440" t="e">
        <f>D17+D18+D19+D20</f>
        <v>#DIV/0!</v>
      </c>
      <c r="E24" s="2440" t="e">
        <f>C24-D24</f>
        <v>#DIV/0!</v>
      </c>
    </row>
    <row r="25" spans="1:5" s="2443" customFormat="1" ht="15.5">
      <c r="A25" s="2439">
        <f>A24+1</f>
        <v>16</v>
      </c>
      <c r="B25" s="2449" t="s">
        <v>10415</v>
      </c>
      <c r="C25" s="2440" t="e">
        <f>C23+C24</f>
        <v>#DIV/0!</v>
      </c>
      <c r="D25" s="2440" t="e">
        <f>D23+D24</f>
        <v>#DIV/0!</v>
      </c>
      <c r="E25" s="2440" t="e">
        <f>C25-D25</f>
        <v>#DIV/0!</v>
      </c>
    </row>
    <row r="26" spans="1:5" s="2432" customFormat="1" ht="15.5">
      <c r="A26" s="2450">
        <f>A25+1</f>
        <v>17</v>
      </c>
      <c r="B26" s="2451" t="s">
        <v>10421</v>
      </c>
      <c r="C26" s="2452"/>
      <c r="D26" s="2453" t="e">
        <f>IF(D25-C25&lt;=0,0,D25-C25)</f>
        <v>#DIV/0!</v>
      </c>
    </row>
    <row r="27" spans="1:5" s="2432" customFormat="1" ht="15.5">
      <c r="A27" s="2430"/>
      <c r="C27" s="719" t="s">
        <v>2708</v>
      </c>
      <c r="D27" s="635" t="s">
        <v>10993</v>
      </c>
    </row>
    <row r="28" spans="1:5" s="2432" customFormat="1">
      <c r="A28" s="2430"/>
      <c r="D28" s="444"/>
    </row>
    <row r="29" spans="1:5" s="2432" customFormat="1">
      <c r="A29" s="2430"/>
      <c r="D29" s="2966"/>
    </row>
    <row r="30" spans="1:5" ht="15.5">
      <c r="B30" s="454" t="s">
        <v>10914</v>
      </c>
    </row>
    <row r="32" spans="1:5" ht="15.5">
      <c r="A32" s="441"/>
      <c r="B32" s="438" t="s">
        <v>2655</v>
      </c>
      <c r="C32" s="442"/>
    </row>
    <row r="33" spans="1:3" ht="15.5">
      <c r="A33" s="342">
        <v>1</v>
      </c>
      <c r="B33" s="388" t="s">
        <v>10433</v>
      </c>
      <c r="C33" s="255">
        <f>'Data Entry - SOF'!E67</f>
        <v>0</v>
      </c>
    </row>
    <row r="34" spans="1:3" ht="15.5">
      <c r="A34" s="342">
        <v>2</v>
      </c>
      <c r="B34" s="388" t="s">
        <v>10517</v>
      </c>
      <c r="C34" s="255">
        <f>'Data Entry - SOF'!E69</f>
        <v>0</v>
      </c>
    </row>
    <row r="35" spans="1:3" ht="15.5">
      <c r="A35" s="342">
        <v>3</v>
      </c>
      <c r="B35" s="388" t="s">
        <v>10417</v>
      </c>
      <c r="C35" s="255">
        <f>'Data Entry - SOF'!E99</f>
        <v>0</v>
      </c>
    </row>
    <row r="36" spans="1:3" ht="15.5">
      <c r="A36" s="441"/>
      <c r="B36" s="440" t="s">
        <v>3340</v>
      </c>
      <c r="C36" s="442"/>
    </row>
    <row r="37" spans="1:3" ht="15.5">
      <c r="A37" s="342">
        <v>4</v>
      </c>
      <c r="B37" s="466" t="s">
        <v>10434</v>
      </c>
      <c r="C37" s="255">
        <f>'IFA-HB3'!O86</f>
        <v>0</v>
      </c>
    </row>
    <row r="38" spans="1:3" ht="15.5">
      <c r="A38" s="342">
        <v>5</v>
      </c>
      <c r="B38" s="466" t="s">
        <v>10435</v>
      </c>
      <c r="C38" s="255">
        <f>'Existing Debt-HB3'!K74</f>
        <v>0</v>
      </c>
    </row>
    <row r="39" spans="1:3" ht="15.5">
      <c r="A39" s="342">
        <v>6</v>
      </c>
      <c r="B39" s="466" t="s">
        <v>3341</v>
      </c>
      <c r="C39" s="255">
        <f>C35-C37-C38</f>
        <v>0</v>
      </c>
    </row>
    <row r="40" spans="1:3" ht="15.5">
      <c r="A40" s="342">
        <v>7</v>
      </c>
      <c r="B40" s="289" t="s">
        <v>10418</v>
      </c>
      <c r="C40" s="469" t="e">
        <f>1-(C33/C34)</f>
        <v>#DIV/0!</v>
      </c>
    </row>
    <row r="41" spans="1:3" ht="15.5">
      <c r="A41" s="342">
        <v>8</v>
      </c>
      <c r="B41" s="304" t="s">
        <v>10419</v>
      </c>
      <c r="C41" s="255" t="e">
        <f>C39*C40</f>
        <v>#DIV/0!</v>
      </c>
    </row>
    <row r="42" spans="1:3" ht="15.5">
      <c r="A42" s="441"/>
      <c r="B42" s="440" t="s">
        <v>3306</v>
      </c>
      <c r="C42" s="442"/>
    </row>
    <row r="43" spans="1:3" ht="15.5">
      <c r="A43" s="342">
        <v>9</v>
      </c>
      <c r="B43" s="466" t="s">
        <v>10437</v>
      </c>
      <c r="C43" s="255">
        <f>'IFA-HB3'!P86</f>
        <v>0</v>
      </c>
    </row>
    <row r="44" spans="1:3" ht="15.5">
      <c r="A44" s="342">
        <v>10</v>
      </c>
      <c r="B44" s="466" t="s">
        <v>10436</v>
      </c>
      <c r="C44" s="255">
        <f>'Existing Debt-HB3'!L74</f>
        <v>0</v>
      </c>
    </row>
    <row r="45" spans="1:3" ht="15.5">
      <c r="A45" s="342">
        <v>11</v>
      </c>
      <c r="B45" s="466" t="s">
        <v>3344</v>
      </c>
      <c r="C45" s="255">
        <f>(C37+C38)-(C43+C44)</f>
        <v>0</v>
      </c>
    </row>
    <row r="46" spans="1:3" ht="15.5">
      <c r="A46" s="441"/>
      <c r="B46" s="439" t="s">
        <v>3316</v>
      </c>
      <c r="C46" s="442"/>
    </row>
    <row r="47" spans="1:3" ht="15.5">
      <c r="A47" s="342">
        <v>12</v>
      </c>
      <c r="B47" s="466" t="s">
        <v>3345</v>
      </c>
      <c r="C47" s="255" t="e">
        <f>IF(C41-C45&lt;0,0,C41-C45)</f>
        <v>#DIV/0!</v>
      </c>
    </row>
    <row r="48" spans="1:3" ht="15.5">
      <c r="A48" s="342">
        <v>13</v>
      </c>
      <c r="B48" s="466" t="s">
        <v>2767</v>
      </c>
      <c r="C48" s="255">
        <f>'Data Entry - SOF'!E80</f>
        <v>0</v>
      </c>
    </row>
    <row r="49" spans="1:4" ht="15.5">
      <c r="A49" s="342">
        <v>14</v>
      </c>
      <c r="B49" s="467" t="s">
        <v>3346</v>
      </c>
      <c r="C49" s="255" t="e">
        <f>C39-C47</f>
        <v>#DIV/0!</v>
      </c>
    </row>
    <row r="50" spans="1:4" ht="15.5">
      <c r="A50" s="447">
        <v>15</v>
      </c>
      <c r="B50" s="468" t="s">
        <v>3347</v>
      </c>
      <c r="C50" s="443" t="e">
        <f>IF(C48&gt;=C49,C47,C47*(C48/C49))</f>
        <v>#DIV/0!</v>
      </c>
      <c r="D50" s="662" t="s">
        <v>10998</v>
      </c>
    </row>
    <row r="51" spans="1:4" ht="15.5">
      <c r="B51" s="719" t="s">
        <v>2708</v>
      </c>
      <c r="C51" s="635" t="s">
        <v>10471</v>
      </c>
    </row>
    <row r="54" spans="1:4" s="2042" customFormat="1" ht="15.5">
      <c r="A54" s="41"/>
      <c r="B54" s="625" t="s">
        <v>10913</v>
      </c>
    </row>
    <row r="55" spans="1:4" s="2042" customFormat="1">
      <c r="A55" s="41"/>
    </row>
    <row r="56" spans="1:4" s="2042" customFormat="1" ht="15.5">
      <c r="A56" s="441"/>
      <c r="B56" s="438" t="s">
        <v>2655</v>
      </c>
      <c r="C56" s="442"/>
    </row>
    <row r="57" spans="1:4" s="2042" customFormat="1" ht="15.5">
      <c r="A57" s="342">
        <v>1</v>
      </c>
      <c r="B57" s="388" t="s">
        <v>10912</v>
      </c>
      <c r="C57" s="255">
        <f>'Data Entry - SOF'!E64</f>
        <v>0</v>
      </c>
    </row>
    <row r="58" spans="1:4" s="2042" customFormat="1" ht="15.5">
      <c r="A58" s="342">
        <v>2</v>
      </c>
      <c r="B58" s="388" t="s">
        <v>10911</v>
      </c>
      <c r="C58" s="255">
        <f>'Data Entry - SOF'!E65</f>
        <v>0</v>
      </c>
    </row>
    <row r="59" spans="1:4" s="2042" customFormat="1" ht="15.5">
      <c r="A59" s="342">
        <v>3</v>
      </c>
      <c r="B59" s="388" t="s">
        <v>3317</v>
      </c>
      <c r="C59" s="255">
        <f>'Data Entry - SOF'!C98</f>
        <v>0</v>
      </c>
    </row>
    <row r="60" spans="1:4" s="2042" customFormat="1" ht="15.5">
      <c r="A60" s="441"/>
      <c r="B60" s="440" t="s">
        <v>3340</v>
      </c>
      <c r="C60" s="442"/>
    </row>
    <row r="61" spans="1:4" s="2042" customFormat="1" ht="15.5">
      <c r="A61" s="342">
        <v>4</v>
      </c>
      <c r="B61" s="466" t="s">
        <v>3302</v>
      </c>
      <c r="C61" s="255">
        <f>'IFA-HB3'!P86</f>
        <v>0</v>
      </c>
    </row>
    <row r="62" spans="1:4" s="2042" customFormat="1" ht="15.5">
      <c r="A62" s="342">
        <v>5</v>
      </c>
      <c r="B62" s="466" t="s">
        <v>3303</v>
      </c>
      <c r="C62" s="255">
        <f>'Existing Debt-HB3'!L74</f>
        <v>0</v>
      </c>
    </row>
    <row r="63" spans="1:4" s="2042" customFormat="1" ht="15.5">
      <c r="A63" s="342">
        <v>6</v>
      </c>
      <c r="B63" s="466" t="s">
        <v>3341</v>
      </c>
      <c r="C63" s="255">
        <f>C59-C61-C62</f>
        <v>0</v>
      </c>
    </row>
    <row r="64" spans="1:4" s="2042" customFormat="1" ht="15.5">
      <c r="A64" s="342">
        <v>7</v>
      </c>
      <c r="B64" s="289" t="s">
        <v>3342</v>
      </c>
      <c r="C64" s="469" t="e">
        <f>1-(C57/C58)</f>
        <v>#DIV/0!</v>
      </c>
    </row>
    <row r="65" spans="1:4" s="2042" customFormat="1" ht="15.5">
      <c r="A65" s="342">
        <v>8</v>
      </c>
      <c r="B65" s="304" t="s">
        <v>3343</v>
      </c>
      <c r="C65" s="255" t="e">
        <f>C63*C64</f>
        <v>#DIV/0!</v>
      </c>
    </row>
    <row r="66" spans="1:4" s="2042" customFormat="1" ht="15.5">
      <c r="A66" s="441"/>
      <c r="B66" s="440" t="s">
        <v>3306</v>
      </c>
      <c r="C66" s="442"/>
    </row>
    <row r="67" spans="1:4" s="2042" customFormat="1" ht="15.5">
      <c r="A67" s="342">
        <v>9</v>
      </c>
      <c r="B67" s="466" t="s">
        <v>3304</v>
      </c>
      <c r="C67" s="255">
        <f>'IFA-HB3'!Q86</f>
        <v>0</v>
      </c>
    </row>
    <row r="68" spans="1:4" s="2042" customFormat="1" ht="15.5">
      <c r="A68" s="342">
        <v>10</v>
      </c>
      <c r="B68" s="466" t="s">
        <v>3305</v>
      </c>
      <c r="C68" s="255">
        <f>'Existing Debt-HB3'!M74</f>
        <v>0</v>
      </c>
    </row>
    <row r="69" spans="1:4" s="2042" customFormat="1" ht="15.5">
      <c r="A69" s="342">
        <v>11</v>
      </c>
      <c r="B69" s="466" t="s">
        <v>3344</v>
      </c>
      <c r="C69" s="255">
        <f>(C61+C62)-(C67+C68)</f>
        <v>0</v>
      </c>
    </row>
    <row r="70" spans="1:4" s="2042" customFormat="1" ht="15.5">
      <c r="A70" s="441"/>
      <c r="B70" s="439" t="s">
        <v>3316</v>
      </c>
      <c r="C70" s="442"/>
    </row>
    <row r="71" spans="1:4" s="2042" customFormat="1" ht="15.5">
      <c r="A71" s="342">
        <v>12</v>
      </c>
      <c r="B71" s="466" t="s">
        <v>3345</v>
      </c>
      <c r="C71" s="255" t="e">
        <f>IF(C65-C69&lt;0,0,C65-C69)</f>
        <v>#DIV/0!</v>
      </c>
    </row>
    <row r="72" spans="1:4" s="2042" customFormat="1" ht="15.5">
      <c r="A72" s="342">
        <v>13</v>
      </c>
      <c r="B72" s="466" t="s">
        <v>2767</v>
      </c>
      <c r="C72" s="255">
        <f>'Data Entry - SOF'!E80</f>
        <v>0</v>
      </c>
    </row>
    <row r="73" spans="1:4" s="2042" customFormat="1" ht="15.5">
      <c r="A73" s="342">
        <v>14</v>
      </c>
      <c r="B73" s="467" t="s">
        <v>3346</v>
      </c>
      <c r="C73" s="255" t="e">
        <f>C63-C71</f>
        <v>#DIV/0!</v>
      </c>
    </row>
    <row r="74" spans="1:4" s="2042" customFormat="1" ht="15.5">
      <c r="A74" s="447">
        <v>15</v>
      </c>
      <c r="B74" s="468" t="s">
        <v>3347</v>
      </c>
      <c r="C74" s="443" t="e">
        <f>IF(C72&gt;=C73,C71,C71*(C72/C73))</f>
        <v>#DIV/0!</v>
      </c>
      <c r="D74" s="662" t="s">
        <v>10999</v>
      </c>
    </row>
    <row r="75" spans="1:4" ht="15.5">
      <c r="B75" s="719" t="s">
        <v>2708</v>
      </c>
      <c r="C75" s="635" t="s">
        <v>10471</v>
      </c>
    </row>
  </sheetData>
  <hyperlinks>
    <hyperlink ref="D27" location="'OtherDetail2223-HB3'!A1" display="'OtherDetail2223-HB3'!A1" xr:uid="{00000000-0004-0000-3800-000000000000}"/>
    <hyperlink ref="C51" location="'Report-SOF2223-SB1'!D71" display="'Report-SOF2223-SB1'!D71" xr:uid="{00000000-0004-0000-3800-000001000000}"/>
    <hyperlink ref="C75" location="'Report-SOF2223-SB1'!D71" display="'Report-SOF2223-SB1'!D71" xr:uid="{00000000-0004-0000-3800-000002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H75"/>
  <sheetViews>
    <sheetView workbookViewId="0">
      <selection activeCell="C5" sqref="C5"/>
    </sheetView>
  </sheetViews>
  <sheetFormatPr defaultRowHeight="12.5"/>
  <cols>
    <col min="1" max="1" width="4.81640625" style="41" customWidth="1"/>
    <col min="2" max="2" width="114.1796875" style="2042" customWidth="1"/>
    <col min="3" max="3" width="25.81640625" style="2042" customWidth="1"/>
    <col min="4" max="4" width="22.90625" style="2042" customWidth="1"/>
    <col min="5" max="5" width="20.54296875" style="2042" customWidth="1"/>
    <col min="6" max="6" width="8.90625" style="2042" customWidth="1"/>
    <col min="7" max="8" width="8.7265625" style="2042" customWidth="1"/>
    <col min="9" max="16384" width="8.7265625" style="2042"/>
  </cols>
  <sheetData>
    <row r="1" spans="1:8" s="2432" customFormat="1" ht="15.5">
      <c r="A1" s="2431" t="s">
        <v>10432</v>
      </c>
    </row>
    <row r="2" spans="1:8" s="2432" customFormat="1" ht="15.5">
      <c r="A2" s="2469" t="s">
        <v>10465</v>
      </c>
      <c r="B2" s="2431"/>
    </row>
    <row r="3" spans="1:8" s="2432" customFormat="1" ht="15.5">
      <c r="A3" s="2469" t="s">
        <v>10466</v>
      </c>
      <c r="B3" s="2433"/>
    </row>
    <row r="4" spans="1:8" s="2432" customFormat="1" ht="15.5">
      <c r="A4" s="2434"/>
    </row>
    <row r="5" spans="1:8" s="2432" customFormat="1" ht="15.5">
      <c r="A5" s="2430"/>
      <c r="B5" s="2568" t="s">
        <v>10468</v>
      </c>
    </row>
    <row r="6" spans="1:8" s="2432" customFormat="1">
      <c r="A6" s="2430"/>
    </row>
    <row r="7" spans="1:8" s="2432" customFormat="1" ht="15.5">
      <c r="A7" s="2436"/>
      <c r="B7" s="2437" t="s">
        <v>2655</v>
      </c>
      <c r="C7" s="2438" t="s">
        <v>10420</v>
      </c>
      <c r="D7" s="2438" t="s">
        <v>3307</v>
      </c>
      <c r="E7" s="2438" t="s">
        <v>10404</v>
      </c>
    </row>
    <row r="8" spans="1:8" s="2432" customFormat="1" ht="15.5">
      <c r="A8" s="2439">
        <v>1</v>
      </c>
      <c r="B8" s="2429" t="s">
        <v>10441</v>
      </c>
      <c r="C8" s="2440">
        <f>'Data Entry - SOF'!G66</f>
        <v>0</v>
      </c>
      <c r="D8" s="2440">
        <f>'Data Entry - SOF'!G63</f>
        <v>0</v>
      </c>
      <c r="E8" s="2440">
        <f t="shared" ref="E8:E15" si="0">C8-D8</f>
        <v>0</v>
      </c>
    </row>
    <row r="9" spans="1:8" s="2432" customFormat="1" ht="15.5">
      <c r="A9" s="2439">
        <v>2</v>
      </c>
      <c r="B9" s="2429" t="s">
        <v>10442</v>
      </c>
      <c r="C9" s="2441">
        <f>'Data Entry - SOF'!G74</f>
        <v>0</v>
      </c>
      <c r="D9" s="2441">
        <f>C9</f>
        <v>0</v>
      </c>
      <c r="E9" s="2441">
        <f t="shared" si="0"/>
        <v>0</v>
      </c>
    </row>
    <row r="10" spans="1:8" s="2432" customFormat="1" ht="15.5">
      <c r="A10" s="2439">
        <v>3</v>
      </c>
      <c r="B10" s="2429" t="s">
        <v>10412</v>
      </c>
      <c r="C10" s="2441">
        <f>'Data Entry - SOF'!C74</f>
        <v>0</v>
      </c>
      <c r="D10" s="2441">
        <f>C10</f>
        <v>0</v>
      </c>
      <c r="E10" s="2441">
        <f t="shared" si="0"/>
        <v>0</v>
      </c>
      <c r="G10" s="2432" t="s">
        <v>10806</v>
      </c>
      <c r="H10" s="2432" t="s">
        <v>10807</v>
      </c>
    </row>
    <row r="11" spans="1:8" s="2443" customFormat="1" ht="15.5">
      <c r="A11" s="2439">
        <v>4</v>
      </c>
      <c r="B11" s="2429" t="s">
        <v>10731</v>
      </c>
      <c r="C11" s="2442">
        <f>'Data Entry - SOF'!G75</f>
        <v>0</v>
      </c>
      <c r="D11" s="2641" t="e">
        <f>(('Data Entry - SOF'!G75-'IFA-HB3'!X79)*(D8/C8))+'IFA-HB3'!X79</f>
        <v>#DIV/0!</v>
      </c>
      <c r="E11" s="2440" t="e">
        <f t="shared" si="0"/>
        <v>#DIV/0!</v>
      </c>
      <c r="G11" s="2783">
        <f>MIN(C9,C10)</f>
        <v>0</v>
      </c>
      <c r="H11" s="2783">
        <f>MIN(D9,D10)</f>
        <v>0</v>
      </c>
    </row>
    <row r="12" spans="1:8" s="2443" customFormat="1" ht="15.5">
      <c r="A12" s="2439">
        <v>5</v>
      </c>
      <c r="B12" s="2429" t="s">
        <v>10732</v>
      </c>
      <c r="C12" s="2442" t="e">
        <f>C11*IF(C9&lt;C10,1,C10/C9)</f>
        <v>#DIV/0!</v>
      </c>
      <c r="D12" s="2442" t="e">
        <f>D11*IF(D9&lt;D10,1,D10/D9)</f>
        <v>#DIV/0!</v>
      </c>
      <c r="E12" s="2440" t="e">
        <f t="shared" si="0"/>
        <v>#DIV/0!</v>
      </c>
      <c r="G12" s="2432" t="e">
        <f>IF(G11=C9,'Data Entry - SOF'!G124,'Data Entry - SOF'!C72)</f>
        <v>#DIV/0!</v>
      </c>
      <c r="H12" s="2432" t="e">
        <f>IF(H11=D9,'Data Entry - SOF'!G124,'Data Entry - SOF'!C72)</f>
        <v>#DIV/0!</v>
      </c>
    </row>
    <row r="13" spans="1:8" s="2443" customFormat="1" ht="15.5">
      <c r="A13" s="2439">
        <v>6</v>
      </c>
      <c r="B13" s="2429" t="s">
        <v>497</v>
      </c>
      <c r="C13" s="2440" t="e">
        <f>'SOF2324-HB3'!K61</f>
        <v>#DIV/0!</v>
      </c>
      <c r="D13" s="2440" t="e">
        <f>'SOF2324-HB3'!J61</f>
        <v>#DIV/0!</v>
      </c>
      <c r="E13" s="2440" t="e">
        <f t="shared" si="0"/>
        <v>#DIV/0!</v>
      </c>
    </row>
    <row r="14" spans="1:8" s="2443" customFormat="1" ht="15.5">
      <c r="A14" s="2439">
        <v>7</v>
      </c>
      <c r="B14" s="2429" t="s">
        <v>10405</v>
      </c>
      <c r="C14" s="2440" t="e">
        <f>'SOF2324-HB3'!K62</f>
        <v>#DIV/0!</v>
      </c>
      <c r="D14" s="2440" t="e">
        <f>'SOF2324-HB3'!J62</f>
        <v>#DIV/0!</v>
      </c>
      <c r="E14" s="2440" t="e">
        <f t="shared" si="0"/>
        <v>#DIV/0!</v>
      </c>
    </row>
    <row r="15" spans="1:8" s="2443" customFormat="1" ht="15.5">
      <c r="A15" s="2439">
        <v>8</v>
      </c>
      <c r="B15" s="2429" t="s">
        <v>10422</v>
      </c>
      <c r="C15" s="2440">
        <f>'SOF2324-HB3'!J99</f>
        <v>0</v>
      </c>
      <c r="D15" s="2440">
        <f>'SOF2324-HB3'!J99</f>
        <v>0</v>
      </c>
      <c r="E15" s="2440">
        <f t="shared" si="0"/>
        <v>0</v>
      </c>
    </row>
    <row r="16" spans="1:8" s="2443" customFormat="1" ht="15.5">
      <c r="A16" s="2444"/>
      <c r="B16" s="2445" t="s">
        <v>10406</v>
      </c>
      <c r="C16" s="2446"/>
      <c r="D16" s="2446"/>
      <c r="E16" s="2447"/>
    </row>
    <row r="17" spans="1:5" s="2443" customFormat="1" ht="15.5">
      <c r="A17" s="2439">
        <v>9</v>
      </c>
      <c r="B17" s="2448" t="s">
        <v>10423</v>
      </c>
      <c r="C17" s="2440" t="e">
        <f>IF(C13-C14-C15&lt;=0,0,C13-C14-C15)</f>
        <v>#DIV/0!</v>
      </c>
      <c r="D17" s="2440" t="e">
        <f>IF(D13-D14-D15&lt;=0,0,D13-D14-D15)</f>
        <v>#DIV/0!</v>
      </c>
      <c r="E17" s="2440" t="e">
        <f>C17-D17</f>
        <v>#DIV/0!</v>
      </c>
    </row>
    <row r="18" spans="1:5" s="2443" customFormat="1" ht="15.5">
      <c r="A18" s="2439">
        <v>10</v>
      </c>
      <c r="B18" s="2429" t="s">
        <v>10407</v>
      </c>
      <c r="C18" s="2440" t="e">
        <f>'SOF2324-HB3'!K76</f>
        <v>#DIV/0!</v>
      </c>
      <c r="D18" s="2440" t="e">
        <f>'SOF2324-HB3'!J76</f>
        <v>#DIV/0!</v>
      </c>
      <c r="E18" s="2440" t="e">
        <f>C18-D18</f>
        <v>#DIV/0!</v>
      </c>
    </row>
    <row r="19" spans="1:5" s="2443" customFormat="1" ht="15.5">
      <c r="A19" s="2439">
        <v>11</v>
      </c>
      <c r="B19" s="2429" t="s">
        <v>10408</v>
      </c>
      <c r="C19" s="2440" t="e">
        <f>'SOF2324-HB3'!K77</f>
        <v>#DIV/0!</v>
      </c>
      <c r="D19" s="2440" t="e">
        <f>'SOF2324-HB3'!J77</f>
        <v>#DIV/0!</v>
      </c>
      <c r="E19" s="2440" t="e">
        <f>C19-D19</f>
        <v>#DIV/0!</v>
      </c>
    </row>
    <row r="20" spans="1:5" s="2443" customFormat="1" ht="15.5">
      <c r="A20" s="2439">
        <v>12</v>
      </c>
      <c r="B20" s="2429" t="s">
        <v>10439</v>
      </c>
      <c r="C20" s="2440">
        <f>'IFA-HB3'!W75</f>
        <v>0</v>
      </c>
      <c r="D20" s="2440">
        <f>'IFA-HB3'!X75</f>
        <v>0</v>
      </c>
      <c r="E20" s="2440">
        <f>C20-D20</f>
        <v>0</v>
      </c>
    </row>
    <row r="21" spans="1:5" s="2443" customFormat="1" ht="15.5">
      <c r="A21" s="2439">
        <v>13</v>
      </c>
      <c r="B21" s="2429" t="s">
        <v>10424</v>
      </c>
      <c r="C21" s="2440" t="e">
        <f>'SOF2324-HB3'!K74+'SOF2324-HB3'!K82</f>
        <v>#DIV/0!</v>
      </c>
      <c r="D21" s="2440" t="e">
        <f>'SOF2324-HB3'!J74+'SOF2324-HB3'!J82</f>
        <v>#DIV/0!</v>
      </c>
      <c r="E21" s="2440" t="e">
        <f>D21-C21</f>
        <v>#DIV/0!</v>
      </c>
    </row>
    <row r="22" spans="1:5" s="2443" customFormat="1" ht="15.5">
      <c r="A22" s="2444"/>
      <c r="B22" s="2445" t="s">
        <v>10409</v>
      </c>
      <c r="C22" s="2446"/>
      <c r="D22" s="2446"/>
      <c r="E22" s="2447"/>
    </row>
    <row r="23" spans="1:5" s="2443" customFormat="1" ht="15.5">
      <c r="A23" s="2439">
        <v>14</v>
      </c>
      <c r="B23" s="2429" t="s">
        <v>10413</v>
      </c>
      <c r="C23" s="2440" t="e">
        <f>C12-C21</f>
        <v>#DIV/0!</v>
      </c>
      <c r="D23" s="2440" t="e">
        <f>D12-D21</f>
        <v>#DIV/0!</v>
      </c>
      <c r="E23" s="2440" t="e">
        <f>C23-D23</f>
        <v>#DIV/0!</v>
      </c>
    </row>
    <row r="24" spans="1:5" s="2443" customFormat="1" ht="15.5">
      <c r="A24" s="2439">
        <v>15</v>
      </c>
      <c r="B24" s="2429" t="s">
        <v>10414</v>
      </c>
      <c r="C24" s="2440" t="e">
        <f>C17+C18+C19+C20</f>
        <v>#DIV/0!</v>
      </c>
      <c r="D24" s="2440" t="e">
        <f>D17+D18+D19+D20</f>
        <v>#DIV/0!</v>
      </c>
      <c r="E24" s="2440" t="e">
        <f>C24-D24</f>
        <v>#DIV/0!</v>
      </c>
    </row>
    <row r="25" spans="1:5" s="2443" customFormat="1" ht="15.5">
      <c r="A25" s="2439">
        <f>A24+1</f>
        <v>16</v>
      </c>
      <c r="B25" s="2449" t="s">
        <v>10415</v>
      </c>
      <c r="C25" s="2440" t="e">
        <f>C23+C24</f>
        <v>#DIV/0!</v>
      </c>
      <c r="D25" s="2440" t="e">
        <f>D23+D24</f>
        <v>#DIV/0!</v>
      </c>
      <c r="E25" s="2440" t="e">
        <f>C25-D25</f>
        <v>#DIV/0!</v>
      </c>
    </row>
    <row r="26" spans="1:5" s="2432" customFormat="1" ht="15.5">
      <c r="A26" s="2450">
        <f>A25+1</f>
        <v>17</v>
      </c>
      <c r="B26" s="2451" t="s">
        <v>10421</v>
      </c>
      <c r="C26" s="2452"/>
      <c r="D26" s="2453" t="e">
        <f>IF(D25-C25&lt;=0,0,D25-C25)</f>
        <v>#DIV/0!</v>
      </c>
    </row>
    <row r="27" spans="1:5" s="2432" customFormat="1" ht="15.5">
      <c r="A27" s="2430"/>
      <c r="C27" s="719" t="s">
        <v>2708</v>
      </c>
      <c r="D27" s="635" t="s">
        <v>9279</v>
      </c>
    </row>
    <row r="28" spans="1:5" s="2432" customFormat="1">
      <c r="A28" s="2430"/>
      <c r="D28" s="444"/>
    </row>
    <row r="29" spans="1:5" s="2432" customFormat="1">
      <c r="A29" s="2430"/>
    </row>
    <row r="30" spans="1:5" ht="15.5">
      <c r="B30" s="454" t="s">
        <v>10981</v>
      </c>
    </row>
    <row r="32" spans="1:5" ht="15.5">
      <c r="A32" s="441"/>
      <c r="B32" s="438" t="s">
        <v>2655</v>
      </c>
      <c r="C32" s="442"/>
    </row>
    <row r="33" spans="1:3" ht="15.5">
      <c r="A33" s="342">
        <v>1</v>
      </c>
      <c r="B33" s="388" t="s">
        <v>10449</v>
      </c>
      <c r="C33" s="255">
        <f>'Data Entry - SOF'!G67</f>
        <v>0</v>
      </c>
    </row>
    <row r="34" spans="1:3" ht="15.5">
      <c r="A34" s="342">
        <v>2</v>
      </c>
      <c r="B34" s="388" t="s">
        <v>10518</v>
      </c>
      <c r="C34" s="255">
        <f>'Data Entry - SOF'!G69</f>
        <v>0</v>
      </c>
    </row>
    <row r="35" spans="1:3" ht="15.5">
      <c r="A35" s="342">
        <v>3</v>
      </c>
      <c r="B35" s="388" t="s">
        <v>10417</v>
      </c>
      <c r="C35" s="255">
        <f>'Data Entry - SOF'!G99</f>
        <v>0</v>
      </c>
    </row>
    <row r="36" spans="1:3" ht="15.5">
      <c r="A36" s="441"/>
      <c r="B36" s="440" t="s">
        <v>3340</v>
      </c>
      <c r="C36" s="442"/>
    </row>
    <row r="37" spans="1:3" ht="15.5">
      <c r="A37" s="342">
        <v>4</v>
      </c>
      <c r="B37" s="466" t="s">
        <v>10434</v>
      </c>
      <c r="C37" s="255">
        <f>'IFA-HB3'!T86</f>
        <v>0</v>
      </c>
    </row>
    <row r="38" spans="1:3" ht="15.5">
      <c r="A38" s="342">
        <v>5</v>
      </c>
      <c r="B38" s="466" t="s">
        <v>10435</v>
      </c>
      <c r="C38" s="255">
        <f>'Existing Debt-HB3'!N74</f>
        <v>0</v>
      </c>
    </row>
    <row r="39" spans="1:3" ht="15.5">
      <c r="A39" s="342">
        <v>6</v>
      </c>
      <c r="B39" s="466" t="s">
        <v>3341</v>
      </c>
      <c r="C39" s="255">
        <f>C35-C37-C38</f>
        <v>0</v>
      </c>
    </row>
    <row r="40" spans="1:3" ht="15.5">
      <c r="A40" s="342">
        <v>7</v>
      </c>
      <c r="B40" s="289" t="s">
        <v>10418</v>
      </c>
      <c r="C40" s="469" t="e">
        <f>1-(C33/C34)</f>
        <v>#DIV/0!</v>
      </c>
    </row>
    <row r="41" spans="1:3" ht="15.5">
      <c r="A41" s="342">
        <v>8</v>
      </c>
      <c r="B41" s="304" t="s">
        <v>10419</v>
      </c>
      <c r="C41" s="255" t="e">
        <f>C39*C40</f>
        <v>#DIV/0!</v>
      </c>
    </row>
    <row r="42" spans="1:3" ht="15.5">
      <c r="A42" s="441"/>
      <c r="B42" s="440" t="s">
        <v>3306</v>
      </c>
      <c r="C42" s="442"/>
    </row>
    <row r="43" spans="1:3" ht="15.5">
      <c r="A43" s="342">
        <v>9</v>
      </c>
      <c r="B43" s="466" t="s">
        <v>10437</v>
      </c>
      <c r="C43" s="255">
        <f>'IFA-HB3'!U86</f>
        <v>0</v>
      </c>
    </row>
    <row r="44" spans="1:3" ht="15.5">
      <c r="A44" s="342">
        <v>10</v>
      </c>
      <c r="B44" s="466" t="s">
        <v>10436</v>
      </c>
      <c r="C44" s="255">
        <f>'Existing Debt-HB3'!O74</f>
        <v>0</v>
      </c>
    </row>
    <row r="45" spans="1:3" ht="15.5">
      <c r="A45" s="342">
        <v>11</v>
      </c>
      <c r="B45" s="466" t="s">
        <v>3344</v>
      </c>
      <c r="C45" s="255">
        <f>(C37+C38)-(C43+C44)</f>
        <v>0</v>
      </c>
    </row>
    <row r="46" spans="1:3" ht="15.5">
      <c r="A46" s="441"/>
      <c r="B46" s="439" t="s">
        <v>3316</v>
      </c>
      <c r="C46" s="442"/>
    </row>
    <row r="47" spans="1:3" ht="15.5">
      <c r="A47" s="342">
        <v>12</v>
      </c>
      <c r="B47" s="466" t="s">
        <v>3345</v>
      </c>
      <c r="C47" s="255" t="e">
        <f>IF(C41-C45&lt;0,0,C41-C45)</f>
        <v>#DIV/0!</v>
      </c>
    </row>
    <row r="48" spans="1:3" ht="15.5">
      <c r="A48" s="342">
        <v>13</v>
      </c>
      <c r="B48" s="466" t="s">
        <v>2767</v>
      </c>
      <c r="C48" s="255">
        <f>'Data Entry - SOF'!G80</f>
        <v>0</v>
      </c>
    </row>
    <row r="49" spans="1:4" ht="15.5">
      <c r="A49" s="342">
        <v>14</v>
      </c>
      <c r="B49" s="467" t="s">
        <v>3346</v>
      </c>
      <c r="C49" s="255" t="e">
        <f>C39-C47</f>
        <v>#DIV/0!</v>
      </c>
    </row>
    <row r="50" spans="1:4" ht="15.5">
      <c r="A50" s="447">
        <v>15</v>
      </c>
      <c r="B50" s="468" t="s">
        <v>3347</v>
      </c>
      <c r="C50" s="443" t="e">
        <f>IF(C48&gt;=C49,C47,C47*(C48/C49))</f>
        <v>#DIV/0!</v>
      </c>
      <c r="D50" s="662" t="s">
        <v>10998</v>
      </c>
    </row>
    <row r="51" spans="1:4" ht="15.5">
      <c r="B51" s="719" t="s">
        <v>2708</v>
      </c>
      <c r="C51" s="635" t="s">
        <v>10472</v>
      </c>
    </row>
    <row r="54" spans="1:4" ht="15.5">
      <c r="B54" s="625" t="s">
        <v>10982</v>
      </c>
    </row>
    <row r="56" spans="1:4" ht="15.5">
      <c r="A56" s="441"/>
      <c r="B56" s="438" t="s">
        <v>2655</v>
      </c>
      <c r="C56" s="442"/>
    </row>
    <row r="57" spans="1:4" ht="15.5">
      <c r="A57" s="342">
        <v>1</v>
      </c>
      <c r="B57" s="388" t="s">
        <v>10983</v>
      </c>
      <c r="C57" s="255">
        <f>'Data Entry - SOF'!G69</f>
        <v>0</v>
      </c>
    </row>
    <row r="58" spans="1:4" ht="15.5">
      <c r="A58" s="342">
        <v>2</v>
      </c>
      <c r="B58" s="388" t="s">
        <v>10984</v>
      </c>
      <c r="C58" s="255">
        <f>'Data Entry - SOF'!G65</f>
        <v>0</v>
      </c>
    </row>
    <row r="59" spans="1:4" ht="15.5">
      <c r="A59" s="342">
        <v>3</v>
      </c>
      <c r="B59" s="388" t="s">
        <v>3317</v>
      </c>
      <c r="C59" s="255">
        <f>'Data Entry - SOF'!C98</f>
        <v>0</v>
      </c>
    </row>
    <row r="60" spans="1:4" ht="15.5">
      <c r="A60" s="441"/>
      <c r="B60" s="440" t="s">
        <v>3340</v>
      </c>
      <c r="C60" s="442"/>
    </row>
    <row r="61" spans="1:4" ht="15.5">
      <c r="A61" s="342">
        <v>4</v>
      </c>
      <c r="B61" s="466" t="s">
        <v>3302</v>
      </c>
      <c r="C61" s="255">
        <f>'IFA-HB3'!U86</f>
        <v>0</v>
      </c>
    </row>
    <row r="62" spans="1:4" ht="15.5">
      <c r="A62" s="342">
        <v>5</v>
      </c>
      <c r="B62" s="466" t="s">
        <v>3303</v>
      </c>
      <c r="C62" s="255">
        <f>'Existing Debt-HB3'!O74</f>
        <v>0</v>
      </c>
    </row>
    <row r="63" spans="1:4" ht="15.5">
      <c r="A63" s="342">
        <v>6</v>
      </c>
      <c r="B63" s="466" t="s">
        <v>3341</v>
      </c>
      <c r="C63" s="255">
        <f>C59-C61-C62</f>
        <v>0</v>
      </c>
    </row>
    <row r="64" spans="1:4" ht="15.5">
      <c r="A64" s="342">
        <v>7</v>
      </c>
      <c r="B64" s="289" t="s">
        <v>3342</v>
      </c>
      <c r="C64" s="469" t="e">
        <f>1-(C57/C58)</f>
        <v>#DIV/0!</v>
      </c>
    </row>
    <row r="65" spans="1:4" ht="15.5">
      <c r="A65" s="342">
        <v>8</v>
      </c>
      <c r="B65" s="304" t="s">
        <v>3343</v>
      </c>
      <c r="C65" s="255" t="e">
        <f>C63*C64</f>
        <v>#DIV/0!</v>
      </c>
    </row>
    <row r="66" spans="1:4" ht="15.5">
      <c r="A66" s="441"/>
      <c r="B66" s="440" t="s">
        <v>3306</v>
      </c>
      <c r="C66" s="442"/>
    </row>
    <row r="67" spans="1:4" ht="15.5">
      <c r="A67" s="342">
        <v>9</v>
      </c>
      <c r="B67" s="466" t="s">
        <v>3304</v>
      </c>
      <c r="C67" s="255">
        <f>'IFA-HB3'!V86</f>
        <v>0</v>
      </c>
    </row>
    <row r="68" spans="1:4" ht="15.5">
      <c r="A68" s="342">
        <v>10</v>
      </c>
      <c r="B68" s="466" t="s">
        <v>3305</v>
      </c>
      <c r="C68" s="255">
        <f>'Existing Debt-HB3'!P74</f>
        <v>0</v>
      </c>
    </row>
    <row r="69" spans="1:4" ht="15.5">
      <c r="A69" s="342">
        <v>11</v>
      </c>
      <c r="B69" s="466" t="s">
        <v>3344</v>
      </c>
      <c r="C69" s="255">
        <f>(C61+C62)-(C67+C68)</f>
        <v>0</v>
      </c>
    </row>
    <row r="70" spans="1:4" ht="15.5">
      <c r="A70" s="441"/>
      <c r="B70" s="439" t="s">
        <v>3316</v>
      </c>
      <c r="C70" s="442"/>
    </row>
    <row r="71" spans="1:4" ht="15.5">
      <c r="A71" s="342">
        <v>12</v>
      </c>
      <c r="B71" s="466" t="s">
        <v>3345</v>
      </c>
      <c r="C71" s="255" t="e">
        <f>IF(C65-C69&lt;0,0,C65-C69)</f>
        <v>#DIV/0!</v>
      </c>
    </row>
    <row r="72" spans="1:4" ht="15.5">
      <c r="A72" s="342">
        <v>13</v>
      </c>
      <c r="B72" s="466" t="s">
        <v>2767</v>
      </c>
      <c r="C72" s="255">
        <f>'Data Entry - SOF'!G80</f>
        <v>0</v>
      </c>
    </row>
    <row r="73" spans="1:4" ht="15.5">
      <c r="A73" s="342">
        <v>14</v>
      </c>
      <c r="B73" s="467" t="s">
        <v>3346</v>
      </c>
      <c r="C73" s="255" t="e">
        <f>C63-C71</f>
        <v>#DIV/0!</v>
      </c>
    </row>
    <row r="74" spans="1:4" ht="15.5">
      <c r="A74" s="447">
        <v>15</v>
      </c>
      <c r="B74" s="468" t="s">
        <v>3347</v>
      </c>
      <c r="C74" s="443" t="e">
        <f>IF(C72&gt;=C73,C71,C71*(C72/C73))</f>
        <v>#DIV/0!</v>
      </c>
      <c r="D74" s="662" t="s">
        <v>10999</v>
      </c>
    </row>
    <row r="75" spans="1:4" ht="15.5">
      <c r="B75" s="719" t="s">
        <v>2708</v>
      </c>
      <c r="C75" s="635" t="s">
        <v>10472</v>
      </c>
    </row>
  </sheetData>
  <hyperlinks>
    <hyperlink ref="D27" location="'OtherDetail2324-HB3'!A1" display="'OtherDetail2324-HB3'!A1" xr:uid="{00000000-0004-0000-3900-000000000000}"/>
    <hyperlink ref="C51" location="'Report-SOF2324-SB1'!D71" display="'Report-SOF2324-SB1'!D71" xr:uid="{00000000-0004-0000-3900-000001000000}"/>
    <hyperlink ref="C75" location="'Report-SOF2324-SB1'!D71" display="'Report-SOF2324-SB1'!D71" xr:uid="{00000000-0004-0000-3900-000002000000}"/>
  </hyperlinks>
  <pageMargins left="0.25" right="0.25" top="0.75" bottom="0.75" header="0.3" footer="0.3"/>
  <pageSetup scale="5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H75"/>
  <sheetViews>
    <sheetView workbookViewId="0">
      <selection activeCell="C5" sqref="C5"/>
    </sheetView>
  </sheetViews>
  <sheetFormatPr defaultRowHeight="12.5"/>
  <cols>
    <col min="1" max="1" width="4.81640625" style="41" customWidth="1"/>
    <col min="2" max="2" width="114.1796875" style="2042" customWidth="1"/>
    <col min="3" max="3" width="25.81640625" style="2042" customWidth="1"/>
    <col min="4" max="4" width="22.81640625" style="2042" customWidth="1"/>
    <col min="5" max="5" width="20.54296875" style="2042" customWidth="1"/>
    <col min="6" max="6" width="8.7265625" style="2042"/>
    <col min="7" max="8" width="8.7265625" style="2042" customWidth="1"/>
    <col min="9" max="16384" width="8.7265625" style="2042"/>
  </cols>
  <sheetData>
    <row r="1" spans="1:8" s="2432" customFormat="1" ht="15.5">
      <c r="A1" s="2431" t="s">
        <v>10432</v>
      </c>
    </row>
    <row r="2" spans="1:8" s="2432" customFormat="1" ht="15.5">
      <c r="A2" s="2469" t="s">
        <v>10465</v>
      </c>
      <c r="B2" s="2431"/>
    </row>
    <row r="3" spans="1:8" s="2432" customFormat="1" ht="15.5">
      <c r="A3" s="2469" t="s">
        <v>10466</v>
      </c>
      <c r="B3" s="2433"/>
    </row>
    <row r="4" spans="1:8" s="2432" customFormat="1" ht="15.5">
      <c r="A4" s="2434"/>
    </row>
    <row r="5" spans="1:8" s="2432" customFormat="1" ht="15.5">
      <c r="A5" s="2430"/>
      <c r="B5" s="2435" t="s">
        <v>10469</v>
      </c>
    </row>
    <row r="6" spans="1:8" s="2432" customFormat="1">
      <c r="A6" s="2430"/>
    </row>
    <row r="7" spans="1:8" s="2432" customFormat="1" ht="15.5">
      <c r="A7" s="2436"/>
      <c r="B7" s="2437" t="s">
        <v>2655</v>
      </c>
      <c r="C7" s="2438" t="s">
        <v>10420</v>
      </c>
      <c r="D7" s="2438" t="s">
        <v>3307</v>
      </c>
      <c r="E7" s="2438" t="s">
        <v>10404</v>
      </c>
    </row>
    <row r="8" spans="1:8" s="2432" customFormat="1" ht="15.5">
      <c r="A8" s="2439">
        <v>1</v>
      </c>
      <c r="B8" s="2429" t="s">
        <v>10447</v>
      </c>
      <c r="C8" s="2440">
        <f>'Data Entry - SOF'!I66</f>
        <v>0</v>
      </c>
      <c r="D8" s="2440">
        <f>'Data Entry - SOF'!I63</f>
        <v>0</v>
      </c>
      <c r="E8" s="2440">
        <f t="shared" ref="E8:E15" si="0">C8-D8</f>
        <v>0</v>
      </c>
    </row>
    <row r="9" spans="1:8" s="2432" customFormat="1" ht="15.5">
      <c r="A9" s="2439">
        <v>2</v>
      </c>
      <c r="B9" s="2429" t="s">
        <v>10448</v>
      </c>
      <c r="C9" s="2441">
        <f>'Data Entry - SOF'!I74</f>
        <v>0</v>
      </c>
      <c r="D9" s="2441">
        <f>C9</f>
        <v>0</v>
      </c>
      <c r="E9" s="2441">
        <f t="shared" si="0"/>
        <v>0</v>
      </c>
    </row>
    <row r="10" spans="1:8" s="2432" customFormat="1" ht="15.5">
      <c r="A10" s="2439">
        <v>3</v>
      </c>
      <c r="B10" s="2429" t="s">
        <v>10412</v>
      </c>
      <c r="C10" s="2441">
        <f>'Data Entry - SOF'!C74</f>
        <v>0</v>
      </c>
      <c r="D10" s="2441">
        <f>C10</f>
        <v>0</v>
      </c>
      <c r="E10" s="2441">
        <f t="shared" si="0"/>
        <v>0</v>
      </c>
      <c r="G10" s="2432" t="s">
        <v>10806</v>
      </c>
      <c r="H10" s="2432" t="s">
        <v>10807</v>
      </c>
    </row>
    <row r="11" spans="1:8" s="2443" customFormat="1" ht="15.5">
      <c r="A11" s="2439">
        <v>4</v>
      </c>
      <c r="B11" s="2429" t="s">
        <v>10733</v>
      </c>
      <c r="C11" s="2442">
        <f>'Data Entry - SOF'!I75</f>
        <v>0</v>
      </c>
      <c r="D11" s="2641" t="e">
        <f>(('Data Entry - SOF'!I75-'IFA-HB3'!AC79)*(D8/C8))+'IFA-HB3'!AC79</f>
        <v>#DIV/0!</v>
      </c>
      <c r="E11" s="2440" t="e">
        <f t="shared" si="0"/>
        <v>#DIV/0!</v>
      </c>
      <c r="G11" s="2783">
        <f>MIN(C9,C10)</f>
        <v>0</v>
      </c>
      <c r="H11" s="2783">
        <f>MIN(D9,D10)</f>
        <v>0</v>
      </c>
    </row>
    <row r="12" spans="1:8" s="2443" customFormat="1" ht="15.5">
      <c r="A12" s="2439">
        <v>5</v>
      </c>
      <c r="B12" s="2429" t="s">
        <v>10734</v>
      </c>
      <c r="C12" s="2442" t="e">
        <f>C11*IF(C9&lt;C10,1,C10/C9)</f>
        <v>#DIV/0!</v>
      </c>
      <c r="D12" s="2442" t="e">
        <f>D11*IF(D9&lt;D10,1,D10/D9)</f>
        <v>#DIV/0!</v>
      </c>
      <c r="E12" s="2440" t="e">
        <f t="shared" si="0"/>
        <v>#DIV/0!</v>
      </c>
      <c r="G12" s="2432" t="e">
        <f>IF(G11=C9,'Data Entry - SOF'!I124,'Data Entry - SOF'!C72)</f>
        <v>#DIV/0!</v>
      </c>
      <c r="H12" s="2432" t="e">
        <f>IF(H11=D9,'Data Entry - SOF'!I124,'Data Entry - SOF'!C72)</f>
        <v>#DIV/0!</v>
      </c>
    </row>
    <row r="13" spans="1:8" s="2443" customFormat="1" ht="15.5">
      <c r="A13" s="2439">
        <v>6</v>
      </c>
      <c r="B13" s="2429" t="s">
        <v>497</v>
      </c>
      <c r="C13" s="2440" t="e">
        <f>'SOF2425-HB3'!K61</f>
        <v>#DIV/0!</v>
      </c>
      <c r="D13" s="2440" t="e">
        <f>'SOF2425-HB3'!J61</f>
        <v>#DIV/0!</v>
      </c>
      <c r="E13" s="2440" t="e">
        <f t="shared" si="0"/>
        <v>#DIV/0!</v>
      </c>
    </row>
    <row r="14" spans="1:8" s="2443" customFormat="1" ht="15.5">
      <c r="A14" s="2439">
        <v>7</v>
      </c>
      <c r="B14" s="2429" t="s">
        <v>10405</v>
      </c>
      <c r="C14" s="2440" t="e">
        <f>'SOF2425-HB3'!K62</f>
        <v>#DIV/0!</v>
      </c>
      <c r="D14" s="2440" t="e">
        <f>'SOF2425-HB3'!J62</f>
        <v>#DIV/0!</v>
      </c>
      <c r="E14" s="2440" t="e">
        <f t="shared" si="0"/>
        <v>#DIV/0!</v>
      </c>
    </row>
    <row r="15" spans="1:8" s="2443" customFormat="1" ht="15.5">
      <c r="A15" s="2439">
        <v>8</v>
      </c>
      <c r="B15" s="2429" t="s">
        <v>10422</v>
      </c>
      <c r="C15" s="2440">
        <f>'SOF2425-HB3'!J99</f>
        <v>0</v>
      </c>
      <c r="D15" s="2440">
        <f>'SOF2425-HB3'!J99</f>
        <v>0</v>
      </c>
      <c r="E15" s="2440">
        <f t="shared" si="0"/>
        <v>0</v>
      </c>
    </row>
    <row r="16" spans="1:8" s="2443" customFormat="1" ht="15.5">
      <c r="A16" s="2444"/>
      <c r="B16" s="2445" t="s">
        <v>10406</v>
      </c>
      <c r="C16" s="2446"/>
      <c r="D16" s="2446"/>
      <c r="E16" s="2447"/>
    </row>
    <row r="17" spans="1:5" s="2443" customFormat="1" ht="15.5">
      <c r="A17" s="2439">
        <v>9</v>
      </c>
      <c r="B17" s="2448" t="s">
        <v>10423</v>
      </c>
      <c r="C17" s="2440" t="e">
        <f>IF(C13-C14-C15&lt;=0,0,C13-C14-C15)</f>
        <v>#DIV/0!</v>
      </c>
      <c r="D17" s="2440" t="e">
        <f>IF(D13-D14-D15&lt;=0,0,D13-D14-D15)</f>
        <v>#DIV/0!</v>
      </c>
      <c r="E17" s="2440" t="e">
        <f>C17-D17</f>
        <v>#DIV/0!</v>
      </c>
    </row>
    <row r="18" spans="1:5" s="2443" customFormat="1" ht="15.5">
      <c r="A18" s="2439">
        <v>10</v>
      </c>
      <c r="B18" s="2429" t="s">
        <v>10407</v>
      </c>
      <c r="C18" s="2440" t="e">
        <f>'SOF2425-HB3'!K76</f>
        <v>#DIV/0!</v>
      </c>
      <c r="D18" s="2440" t="e">
        <f>'SOF2425-HB3'!J76</f>
        <v>#DIV/0!</v>
      </c>
      <c r="E18" s="2440" t="e">
        <f>C18-D18</f>
        <v>#DIV/0!</v>
      </c>
    </row>
    <row r="19" spans="1:5" s="2443" customFormat="1" ht="15.5">
      <c r="A19" s="2439">
        <v>11</v>
      </c>
      <c r="B19" s="2429" t="s">
        <v>10408</v>
      </c>
      <c r="C19" s="2440" t="e">
        <f>'SOF2425-HB3'!K77</f>
        <v>#DIV/0!</v>
      </c>
      <c r="D19" s="2440" t="e">
        <f>'SOF2425-HB3'!J77</f>
        <v>#DIV/0!</v>
      </c>
      <c r="E19" s="2440" t="e">
        <f>C19-D19</f>
        <v>#DIV/0!</v>
      </c>
    </row>
    <row r="20" spans="1:5" s="2443" customFormat="1" ht="15.5">
      <c r="A20" s="2439">
        <v>12</v>
      </c>
      <c r="B20" s="2429" t="s">
        <v>10439</v>
      </c>
      <c r="C20" s="2440">
        <f>'IFA-HB3'!AB75</f>
        <v>0</v>
      </c>
      <c r="D20" s="2440">
        <f>'IFA-HB3'!AC75</f>
        <v>0</v>
      </c>
      <c r="E20" s="2440">
        <f>C20-D20</f>
        <v>0</v>
      </c>
    </row>
    <row r="21" spans="1:5" s="2443" customFormat="1" ht="15.5">
      <c r="A21" s="2439">
        <v>13</v>
      </c>
      <c r="B21" s="2429" t="s">
        <v>10424</v>
      </c>
      <c r="C21" s="2440" t="e">
        <f>'SOF2425-HB3'!K74+'SOF2425-HB3'!K82</f>
        <v>#DIV/0!</v>
      </c>
      <c r="D21" s="2440" t="e">
        <f>'SOF2425-HB3'!J74+'SOF2425-HB3'!J82</f>
        <v>#DIV/0!</v>
      </c>
      <c r="E21" s="2440" t="e">
        <f>D21-C21</f>
        <v>#DIV/0!</v>
      </c>
    </row>
    <row r="22" spans="1:5" s="2443" customFormat="1" ht="15.5">
      <c r="A22" s="2444"/>
      <c r="B22" s="2445" t="s">
        <v>10409</v>
      </c>
      <c r="C22" s="2446"/>
      <c r="D22" s="2446"/>
      <c r="E22" s="2447"/>
    </row>
    <row r="23" spans="1:5" s="2443" customFormat="1" ht="15.5">
      <c r="A23" s="2439">
        <v>14</v>
      </c>
      <c r="B23" s="2429" t="s">
        <v>10413</v>
      </c>
      <c r="C23" s="2440" t="e">
        <f>C12-C21</f>
        <v>#DIV/0!</v>
      </c>
      <c r="D23" s="2440" t="e">
        <f>D12-D21</f>
        <v>#DIV/0!</v>
      </c>
      <c r="E23" s="2440" t="e">
        <f>C23-D23</f>
        <v>#DIV/0!</v>
      </c>
    </row>
    <row r="24" spans="1:5" s="2443" customFormat="1" ht="15.5">
      <c r="A24" s="2439">
        <v>15</v>
      </c>
      <c r="B24" s="2429" t="s">
        <v>10414</v>
      </c>
      <c r="C24" s="2440" t="e">
        <f>C17+C18+C19+C20</f>
        <v>#DIV/0!</v>
      </c>
      <c r="D24" s="2440" t="e">
        <f>D17+D18+D19+D20</f>
        <v>#DIV/0!</v>
      </c>
      <c r="E24" s="2440" t="e">
        <f>C24-D24</f>
        <v>#DIV/0!</v>
      </c>
    </row>
    <row r="25" spans="1:5" s="2443" customFormat="1" ht="15.5">
      <c r="A25" s="2439">
        <f>A24+1</f>
        <v>16</v>
      </c>
      <c r="B25" s="2449" t="s">
        <v>10415</v>
      </c>
      <c r="C25" s="2440" t="e">
        <f>C23+C24</f>
        <v>#DIV/0!</v>
      </c>
      <c r="D25" s="2440" t="e">
        <f>D23+D24</f>
        <v>#DIV/0!</v>
      </c>
      <c r="E25" s="2440" t="e">
        <f>C25-D25</f>
        <v>#DIV/0!</v>
      </c>
    </row>
    <row r="26" spans="1:5" s="2432" customFormat="1" ht="15.5">
      <c r="A26" s="2450">
        <f>A25+1</f>
        <v>17</v>
      </c>
      <c r="B26" s="2451" t="s">
        <v>10421</v>
      </c>
      <c r="C26" s="2452"/>
      <c r="D26" s="2453" t="e">
        <f>IF(D25-C25&lt;=0,0,D25-C25)</f>
        <v>#DIV/0!</v>
      </c>
    </row>
    <row r="27" spans="1:5" s="2432" customFormat="1" ht="15.5">
      <c r="A27" s="2430"/>
      <c r="C27" s="719" t="s">
        <v>2708</v>
      </c>
      <c r="D27" s="635" t="s">
        <v>10995</v>
      </c>
    </row>
    <row r="28" spans="1:5" s="2432" customFormat="1">
      <c r="A28" s="2430"/>
      <c r="D28" s="444"/>
    </row>
    <row r="29" spans="1:5" s="2432" customFormat="1">
      <c r="A29" s="2430"/>
    </row>
    <row r="30" spans="1:5" ht="15.5">
      <c r="B30" s="454" t="s">
        <v>10986</v>
      </c>
    </row>
    <row r="32" spans="1:5" ht="15.5">
      <c r="A32" s="441"/>
      <c r="B32" s="438" t="s">
        <v>2655</v>
      </c>
      <c r="C32" s="442"/>
    </row>
    <row r="33" spans="1:3" ht="15.5">
      <c r="A33" s="342">
        <v>1</v>
      </c>
      <c r="B33" s="388" t="s">
        <v>10450</v>
      </c>
      <c r="C33" s="255">
        <f>'Data Entry - SOF'!I67</f>
        <v>0</v>
      </c>
    </row>
    <row r="34" spans="1:3" ht="15.5">
      <c r="A34" s="342">
        <v>2</v>
      </c>
      <c r="B34" s="388" t="s">
        <v>10451</v>
      </c>
      <c r="C34" s="255">
        <f>'Data Entry - SOF'!I69</f>
        <v>0</v>
      </c>
    </row>
    <row r="35" spans="1:3" ht="15.5">
      <c r="A35" s="342">
        <v>3</v>
      </c>
      <c r="B35" s="388" t="s">
        <v>10417</v>
      </c>
      <c r="C35" s="255">
        <f>'Data Entry - SOF'!I99</f>
        <v>0</v>
      </c>
    </row>
    <row r="36" spans="1:3" ht="15.5">
      <c r="A36" s="441"/>
      <c r="B36" s="440" t="s">
        <v>3340</v>
      </c>
      <c r="C36" s="442"/>
    </row>
    <row r="37" spans="1:3" ht="15.5">
      <c r="A37" s="342">
        <v>4</v>
      </c>
      <c r="B37" s="466" t="s">
        <v>10434</v>
      </c>
      <c r="C37" s="255">
        <f>'IFA-HB3'!Y86</f>
        <v>0</v>
      </c>
    </row>
    <row r="38" spans="1:3" ht="15.5">
      <c r="A38" s="342">
        <v>5</v>
      </c>
      <c r="B38" s="466" t="s">
        <v>10435</v>
      </c>
      <c r="C38" s="255">
        <f>'Existing Debt-HB3'!Q74</f>
        <v>0</v>
      </c>
    </row>
    <row r="39" spans="1:3" ht="15.5">
      <c r="A39" s="342">
        <v>6</v>
      </c>
      <c r="B39" s="466" t="s">
        <v>3341</v>
      </c>
      <c r="C39" s="255">
        <f>C35-C37-C38</f>
        <v>0</v>
      </c>
    </row>
    <row r="40" spans="1:3" ht="15.5">
      <c r="A40" s="342">
        <v>7</v>
      </c>
      <c r="B40" s="289" t="s">
        <v>10418</v>
      </c>
      <c r="C40" s="469" t="e">
        <f>1-(C33/C34)</f>
        <v>#DIV/0!</v>
      </c>
    </row>
    <row r="41" spans="1:3" ht="15.5">
      <c r="A41" s="342">
        <v>8</v>
      </c>
      <c r="B41" s="304" t="s">
        <v>10419</v>
      </c>
      <c r="C41" s="255" t="e">
        <f>C39*C40</f>
        <v>#DIV/0!</v>
      </c>
    </row>
    <row r="42" spans="1:3" ht="15.5">
      <c r="A42" s="441"/>
      <c r="B42" s="440" t="s">
        <v>3306</v>
      </c>
      <c r="C42" s="442"/>
    </row>
    <row r="43" spans="1:3" ht="15.5">
      <c r="A43" s="342">
        <v>9</v>
      </c>
      <c r="B43" s="466" t="s">
        <v>10437</v>
      </c>
      <c r="C43" s="255">
        <f>'IFA-HB3'!Z86</f>
        <v>0</v>
      </c>
    </row>
    <row r="44" spans="1:3" ht="15.5">
      <c r="A44" s="342">
        <v>10</v>
      </c>
      <c r="B44" s="466" t="s">
        <v>10436</v>
      </c>
      <c r="C44" s="255">
        <f>'Existing Debt-HB3'!R74</f>
        <v>0</v>
      </c>
    </row>
    <row r="45" spans="1:3" ht="15.5">
      <c r="A45" s="342">
        <v>11</v>
      </c>
      <c r="B45" s="466" t="s">
        <v>3344</v>
      </c>
      <c r="C45" s="255">
        <f>(C37+C38)-(C43+C44)</f>
        <v>0</v>
      </c>
    </row>
    <row r="46" spans="1:3" ht="15.5">
      <c r="A46" s="441"/>
      <c r="B46" s="439" t="s">
        <v>3316</v>
      </c>
      <c r="C46" s="442"/>
    </row>
    <row r="47" spans="1:3" ht="15.5">
      <c r="A47" s="342">
        <v>12</v>
      </c>
      <c r="B47" s="466" t="s">
        <v>3345</v>
      </c>
      <c r="C47" s="255" t="e">
        <f>IF(C41-C45&lt;0,0,C41-C45)</f>
        <v>#DIV/0!</v>
      </c>
    </row>
    <row r="48" spans="1:3" ht="15.5">
      <c r="A48" s="342">
        <v>13</v>
      </c>
      <c r="B48" s="466" t="s">
        <v>2767</v>
      </c>
      <c r="C48" s="255">
        <f>'Data Entry - SOF'!I80</f>
        <v>0</v>
      </c>
    </row>
    <row r="49" spans="1:4" ht="15.5">
      <c r="A49" s="342">
        <v>14</v>
      </c>
      <c r="B49" s="467" t="s">
        <v>3346</v>
      </c>
      <c r="C49" s="255" t="e">
        <f>C39-C47</f>
        <v>#DIV/0!</v>
      </c>
    </row>
    <row r="50" spans="1:4" ht="15.5">
      <c r="A50" s="447">
        <v>15</v>
      </c>
      <c r="B50" s="468" t="s">
        <v>3347</v>
      </c>
      <c r="C50" s="443" t="e">
        <f>IF(C48&gt;=C49,C47,C47*(C48/C49))</f>
        <v>#DIV/0!</v>
      </c>
      <c r="D50" s="662" t="s">
        <v>10998</v>
      </c>
    </row>
    <row r="51" spans="1:4" ht="15.5">
      <c r="B51" s="719" t="s">
        <v>2708</v>
      </c>
      <c r="C51" s="635" t="s">
        <v>10473</v>
      </c>
    </row>
    <row r="54" spans="1:4" ht="15.5">
      <c r="B54" s="625" t="s">
        <v>10985</v>
      </c>
    </row>
    <row r="56" spans="1:4" ht="15.5">
      <c r="A56" s="441"/>
      <c r="B56" s="438" t="s">
        <v>2655</v>
      </c>
      <c r="C56" s="442"/>
    </row>
    <row r="57" spans="1:4" ht="15.5">
      <c r="A57" s="342">
        <v>1</v>
      </c>
      <c r="B57" s="388" t="s">
        <v>10987</v>
      </c>
      <c r="C57" s="255">
        <f>'Data Entry - SOF'!I69</f>
        <v>0</v>
      </c>
    </row>
    <row r="58" spans="1:4" ht="15.5">
      <c r="A58" s="342">
        <v>2</v>
      </c>
      <c r="B58" s="388" t="s">
        <v>10988</v>
      </c>
      <c r="C58" s="255">
        <f>'Data Entry - SOF'!I65</f>
        <v>0</v>
      </c>
    </row>
    <row r="59" spans="1:4" ht="15.5">
      <c r="A59" s="342">
        <v>3</v>
      </c>
      <c r="B59" s="388" t="s">
        <v>3317</v>
      </c>
      <c r="C59" s="255">
        <f>'Data Entry - SOF'!C98</f>
        <v>0</v>
      </c>
    </row>
    <row r="60" spans="1:4" ht="15.5">
      <c r="A60" s="441"/>
      <c r="B60" s="440" t="s">
        <v>3340</v>
      </c>
      <c r="C60" s="442"/>
    </row>
    <row r="61" spans="1:4" ht="15.5">
      <c r="A61" s="342">
        <v>4</v>
      </c>
      <c r="B61" s="466" t="s">
        <v>3302</v>
      </c>
      <c r="C61" s="255">
        <f>'IFA-HB3'!Z86</f>
        <v>0</v>
      </c>
    </row>
    <row r="62" spans="1:4" ht="15.5">
      <c r="A62" s="342">
        <v>5</v>
      </c>
      <c r="B62" s="466" t="s">
        <v>3303</v>
      </c>
      <c r="C62" s="255">
        <f>'Existing Debt-HB3'!R74</f>
        <v>0</v>
      </c>
    </row>
    <row r="63" spans="1:4" ht="15.5">
      <c r="A63" s="342">
        <v>6</v>
      </c>
      <c r="B63" s="466" t="s">
        <v>3341</v>
      </c>
      <c r="C63" s="255">
        <f>C59-C61-C62</f>
        <v>0</v>
      </c>
    </row>
    <row r="64" spans="1:4" ht="15.5">
      <c r="A64" s="342">
        <v>7</v>
      </c>
      <c r="B64" s="289" t="s">
        <v>3342</v>
      </c>
      <c r="C64" s="469" t="e">
        <f>1-(C57/C58)</f>
        <v>#DIV/0!</v>
      </c>
    </row>
    <row r="65" spans="1:4" ht="15.5">
      <c r="A65" s="342">
        <v>8</v>
      </c>
      <c r="B65" s="304" t="s">
        <v>3343</v>
      </c>
      <c r="C65" s="255" t="e">
        <f>C63*C64</f>
        <v>#DIV/0!</v>
      </c>
    </row>
    <row r="66" spans="1:4" ht="15.5">
      <c r="A66" s="441"/>
      <c r="B66" s="440" t="s">
        <v>3306</v>
      </c>
      <c r="C66" s="442"/>
    </row>
    <row r="67" spans="1:4" ht="15.5">
      <c r="A67" s="342">
        <v>9</v>
      </c>
      <c r="B67" s="466" t="s">
        <v>3304</v>
      </c>
      <c r="C67" s="255">
        <f>'IFA-HB3'!AA86</f>
        <v>0</v>
      </c>
    </row>
    <row r="68" spans="1:4" ht="15.5">
      <c r="A68" s="342">
        <v>10</v>
      </c>
      <c r="B68" s="466" t="s">
        <v>3305</v>
      </c>
      <c r="C68" s="255">
        <f>'Existing Debt-HB3'!S74</f>
        <v>0</v>
      </c>
    </row>
    <row r="69" spans="1:4" ht="15.5">
      <c r="A69" s="342">
        <v>11</v>
      </c>
      <c r="B69" s="466" t="s">
        <v>3344</v>
      </c>
      <c r="C69" s="255">
        <f>(C61+C62)-(C67+C68)</f>
        <v>0</v>
      </c>
    </row>
    <row r="70" spans="1:4" ht="15.5">
      <c r="A70" s="441"/>
      <c r="B70" s="439" t="s">
        <v>3316</v>
      </c>
      <c r="C70" s="442"/>
    </row>
    <row r="71" spans="1:4" ht="15.5">
      <c r="A71" s="342">
        <v>12</v>
      </c>
      <c r="B71" s="466" t="s">
        <v>3345</v>
      </c>
      <c r="C71" s="255" t="e">
        <f>IF(C65-C69&lt;0,0,C65-C69)</f>
        <v>#DIV/0!</v>
      </c>
    </row>
    <row r="72" spans="1:4" ht="15.5">
      <c r="A72" s="342">
        <v>13</v>
      </c>
      <c r="B72" s="466" t="s">
        <v>2767</v>
      </c>
      <c r="C72" s="255">
        <f>'Data Entry - SOF'!I80</f>
        <v>0</v>
      </c>
    </row>
    <row r="73" spans="1:4" ht="15.5">
      <c r="A73" s="342">
        <v>14</v>
      </c>
      <c r="B73" s="467" t="s">
        <v>3346</v>
      </c>
      <c r="C73" s="255" t="e">
        <f>C63-C71</f>
        <v>#DIV/0!</v>
      </c>
    </row>
    <row r="74" spans="1:4" ht="15.5">
      <c r="A74" s="447">
        <v>15</v>
      </c>
      <c r="B74" s="468" t="s">
        <v>3347</v>
      </c>
      <c r="C74" s="443" t="e">
        <f>IF(C72&gt;=C73,C71,C71*(C72/C73))</f>
        <v>#DIV/0!</v>
      </c>
      <c r="D74" s="662" t="s">
        <v>10999</v>
      </c>
    </row>
    <row r="75" spans="1:4" ht="15.5">
      <c r="B75" s="719" t="s">
        <v>2708</v>
      </c>
      <c r="C75" s="635" t="s">
        <v>10473</v>
      </c>
    </row>
  </sheetData>
  <hyperlinks>
    <hyperlink ref="D27" location="'OtherDetail2425-HB3'!A1" display="'OtherDetail2425-HB3'!A1" xr:uid="{00000000-0004-0000-3A00-000000000000}"/>
    <hyperlink ref="C51" location="'Report-SOF2425-SB1'!D71" display="'Report-SOF2425-SB1'!D71" xr:uid="{00000000-0004-0000-3A00-000001000000}"/>
    <hyperlink ref="C75" location="'Report-SOF2425-SB1'!D71" display="'Report-SOF2425-SB1'!D71" xr:uid="{00000000-0004-0000-3A00-000002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66FF33"/>
    <pageSetUpPr fitToPage="1"/>
  </sheetPr>
  <dimension ref="A2:A1455"/>
  <sheetViews>
    <sheetView tabSelected="1" workbookViewId="0">
      <pane ySplit="9" topLeftCell="A1431" activePane="bottomLeft" state="frozen"/>
      <selection pane="bottomLeft" activeCell="A1432" sqref="A1432"/>
    </sheetView>
  </sheetViews>
  <sheetFormatPr defaultRowHeight="12.5"/>
  <cols>
    <col min="1" max="1" width="136.54296875" customWidth="1"/>
  </cols>
  <sheetData>
    <row r="2" spans="1:1" ht="13">
      <c r="A2" s="25" t="s">
        <v>7086</v>
      </c>
    </row>
    <row r="3" spans="1:1" ht="13">
      <c r="A3" s="25" t="s">
        <v>7509</v>
      </c>
    </row>
    <row r="4" spans="1:1" ht="13">
      <c r="A4" s="25" t="s">
        <v>5516</v>
      </c>
    </row>
    <row r="5" spans="1:1" ht="13">
      <c r="A5" s="25"/>
    </row>
    <row r="6" spans="1:1" ht="13">
      <c r="A6" s="25" t="s">
        <v>5515</v>
      </c>
    </row>
    <row r="7" spans="1:1" ht="13">
      <c r="A7" s="25" t="s">
        <v>7087</v>
      </c>
    </row>
    <row r="8" spans="1:1" ht="13">
      <c r="A8" s="25" t="s">
        <v>2734</v>
      </c>
    </row>
    <row r="9" spans="1:1" ht="13">
      <c r="A9" s="57"/>
    </row>
    <row r="10" spans="1:1" ht="13">
      <c r="A10" s="104"/>
    </row>
    <row r="11" spans="1:1" ht="13">
      <c r="A11" s="436" t="s">
        <v>5683</v>
      </c>
    </row>
    <row r="12" spans="1:1" ht="13">
      <c r="A12" s="25" t="s">
        <v>5688</v>
      </c>
    </row>
    <row r="13" spans="1:1" s="25" customFormat="1" ht="13">
      <c r="A13" s="25" t="s">
        <v>5684</v>
      </c>
    </row>
    <row r="14" spans="1:1" s="25" customFormat="1" ht="13"/>
    <row r="15" spans="1:1" s="25" customFormat="1" ht="13">
      <c r="A15" s="25" t="s">
        <v>5687</v>
      </c>
    </row>
    <row r="16" spans="1:1" s="25" customFormat="1" ht="13">
      <c r="A16" s="25" t="s">
        <v>5689</v>
      </c>
    </row>
    <row r="17" spans="1:1" s="25" customFormat="1" ht="13"/>
    <row r="18" spans="1:1" s="25" customFormat="1" ht="13">
      <c r="A18" s="494" t="s">
        <v>5685</v>
      </c>
    </row>
    <row r="19" spans="1:1" s="25" customFormat="1" ht="13">
      <c r="A19" s="322"/>
    </row>
    <row r="20" spans="1:1" s="25" customFormat="1" ht="13">
      <c r="A20" s="495" t="s">
        <v>5686</v>
      </c>
    </row>
    <row r="21" spans="1:1" s="25" customFormat="1" ht="13"/>
    <row r="22" spans="1:1" s="25" customFormat="1" ht="13">
      <c r="A22" s="25" t="s">
        <v>5690</v>
      </c>
    </row>
    <row r="23" spans="1:1" s="25" customFormat="1" ht="13">
      <c r="A23" s="25" t="s">
        <v>5692</v>
      </c>
    </row>
    <row r="24" spans="1:1" s="25" customFormat="1" ht="13">
      <c r="A24" s="25" t="s">
        <v>5691</v>
      </c>
    </row>
    <row r="25" spans="1:1" s="25" customFormat="1" ht="13"/>
    <row r="26" spans="1:1" s="25" customFormat="1" ht="13">
      <c r="A26" s="25" t="s">
        <v>5698</v>
      </c>
    </row>
    <row r="27" spans="1:1" s="25" customFormat="1" ht="13">
      <c r="A27" s="496" t="s">
        <v>5697</v>
      </c>
    </row>
    <row r="28" spans="1:1" s="52" customFormat="1" ht="13"/>
    <row r="29" spans="1:1" s="52" customFormat="1" ht="13"/>
    <row r="30" spans="1:1" s="52" customFormat="1" ht="13">
      <c r="A30" s="52" t="s">
        <v>5693</v>
      </c>
    </row>
    <row r="31" spans="1:1" s="52" customFormat="1" ht="13">
      <c r="A31" s="52" t="s">
        <v>5694</v>
      </c>
    </row>
    <row r="32" spans="1:1" s="21" customFormat="1"/>
    <row r="33" spans="1:1" s="21" customFormat="1" ht="13">
      <c r="A33" s="245" t="s">
        <v>5695</v>
      </c>
    </row>
    <row r="34" spans="1:1" s="21" customFormat="1" ht="13">
      <c r="A34" s="245" t="s">
        <v>5696</v>
      </c>
    </row>
    <row r="35" spans="1:1" s="21" customFormat="1"/>
    <row r="36" spans="1:1" s="21" customFormat="1" ht="13">
      <c r="A36" s="436" t="s">
        <v>5707</v>
      </c>
    </row>
    <row r="37" spans="1:1" s="52" customFormat="1" ht="13">
      <c r="A37" s="52" t="s">
        <v>5711</v>
      </c>
    </row>
    <row r="38" spans="1:1" s="52" customFormat="1" ht="13">
      <c r="A38" s="52" t="s">
        <v>5715</v>
      </c>
    </row>
    <row r="39" spans="1:1" s="52" customFormat="1" ht="13">
      <c r="A39" s="245" t="s">
        <v>5717</v>
      </c>
    </row>
    <row r="40" spans="1:1" s="52" customFormat="1" ht="13">
      <c r="A40" s="245" t="s">
        <v>5716</v>
      </c>
    </row>
    <row r="41" spans="1:1" s="52" customFormat="1" ht="13">
      <c r="A41" s="245"/>
    </row>
    <row r="42" spans="1:1" s="25" customFormat="1" ht="13">
      <c r="A42" s="25" t="s">
        <v>5712</v>
      </c>
    </row>
    <row r="43" spans="1:1" s="25" customFormat="1" ht="13">
      <c r="A43" s="25" t="s">
        <v>5713</v>
      </c>
    </row>
    <row r="44" spans="1:1" s="25" customFormat="1" ht="13">
      <c r="A44" s="25" t="s">
        <v>5714</v>
      </c>
    </row>
    <row r="45" spans="1:1" s="25" customFormat="1" ht="13"/>
    <row r="46" spans="1:1" s="25" customFormat="1" ht="13">
      <c r="A46" s="25" t="s">
        <v>5710</v>
      </c>
    </row>
    <row r="47" spans="1:1" s="25" customFormat="1" ht="13"/>
    <row r="48" spans="1:1" s="25" customFormat="1" ht="13">
      <c r="A48" s="25" t="s">
        <v>5709</v>
      </c>
    </row>
    <row r="49" spans="1:1" s="25" customFormat="1" ht="13">
      <c r="A49" s="25" t="s">
        <v>5708</v>
      </c>
    </row>
    <row r="50" spans="1:1" s="25" customFormat="1" ht="13"/>
    <row r="51" spans="1:1" s="25" customFormat="1" ht="13"/>
    <row r="52" spans="1:1" s="25" customFormat="1" ht="13">
      <c r="A52" s="436" t="s">
        <v>5735</v>
      </c>
    </row>
    <row r="53" spans="1:1" s="25" customFormat="1" ht="13">
      <c r="A53" s="25" t="s">
        <v>5719</v>
      </c>
    </row>
    <row r="54" spans="1:1" s="25" customFormat="1" ht="13">
      <c r="A54" s="25" t="s">
        <v>5723</v>
      </c>
    </row>
    <row r="55" spans="1:1" s="25" customFormat="1" ht="13">
      <c r="A55" s="25" t="s">
        <v>5722</v>
      </c>
    </row>
    <row r="56" spans="1:1" s="25" customFormat="1" ht="13">
      <c r="A56" s="25" t="s">
        <v>5720</v>
      </c>
    </row>
    <row r="57" spans="1:1" ht="13">
      <c r="A57" s="36" t="s">
        <v>5726</v>
      </c>
    </row>
    <row r="58" spans="1:1" ht="13">
      <c r="A58" s="36" t="s">
        <v>5725</v>
      </c>
    </row>
    <row r="59" spans="1:1" ht="13">
      <c r="A59" s="36" t="s">
        <v>5724</v>
      </c>
    </row>
    <row r="60" spans="1:1" s="25" customFormat="1" ht="13">
      <c r="A60" s="36"/>
    </row>
    <row r="61" spans="1:1" s="25" customFormat="1" ht="13">
      <c r="A61" s="25" t="s">
        <v>5734</v>
      </c>
    </row>
    <row r="62" spans="1:1" s="25" customFormat="1" ht="13">
      <c r="A62" s="36" t="s">
        <v>5721</v>
      </c>
    </row>
    <row r="63" spans="1:1" s="25" customFormat="1" ht="13">
      <c r="A63" s="36" t="s">
        <v>5731</v>
      </c>
    </row>
    <row r="64" spans="1:1" s="25" customFormat="1" ht="13">
      <c r="A64" s="36" t="s">
        <v>5733</v>
      </c>
    </row>
    <row r="65" spans="1:1" s="25" customFormat="1" ht="13">
      <c r="A65" s="495" t="s">
        <v>5732</v>
      </c>
    </row>
    <row r="66" spans="1:1" s="25" customFormat="1" ht="13"/>
    <row r="67" spans="1:1" s="25" customFormat="1" ht="13">
      <c r="A67" s="25" t="s">
        <v>5729</v>
      </c>
    </row>
    <row r="68" spans="1:1" s="25" customFormat="1" ht="13">
      <c r="A68" s="25" t="s">
        <v>5728</v>
      </c>
    </row>
    <row r="69" spans="1:1" s="25" customFormat="1" ht="13">
      <c r="A69" s="25" t="s">
        <v>5727</v>
      </c>
    </row>
    <row r="70" spans="1:1" s="25" customFormat="1" ht="13"/>
    <row r="71" spans="1:1" ht="13">
      <c r="A71" s="25" t="s">
        <v>5730</v>
      </c>
    </row>
    <row r="74" spans="1:1" ht="13">
      <c r="A74" s="436" t="s">
        <v>5743</v>
      </c>
    </row>
    <row r="75" spans="1:1" s="25" customFormat="1" ht="13">
      <c r="A75" s="25" t="s">
        <v>5736</v>
      </c>
    </row>
    <row r="76" spans="1:1" s="25" customFormat="1" ht="13"/>
    <row r="77" spans="1:1" s="25" customFormat="1" ht="13">
      <c r="A77" s="25" t="s">
        <v>5737</v>
      </c>
    </row>
    <row r="78" spans="1:1" s="25" customFormat="1" ht="13">
      <c r="A78" s="25" t="s">
        <v>5738</v>
      </c>
    </row>
    <row r="79" spans="1:1" s="25" customFormat="1" ht="13">
      <c r="A79" s="25" t="s">
        <v>5739</v>
      </c>
    </row>
    <row r="80" spans="1:1" s="25" customFormat="1" ht="13">
      <c r="A80" s="25" t="s">
        <v>5740</v>
      </c>
    </row>
    <row r="81" spans="1:1" s="25" customFormat="1" ht="13">
      <c r="A81" s="25" t="s">
        <v>5741</v>
      </c>
    </row>
    <row r="82" spans="1:1" s="25" customFormat="1" ht="13">
      <c r="A82" s="25" t="s">
        <v>5742</v>
      </c>
    </row>
    <row r="83" spans="1:1" s="25" customFormat="1" ht="13"/>
    <row r="84" spans="1:1" s="25" customFormat="1" ht="13"/>
    <row r="85" spans="1:1" ht="13">
      <c r="A85" s="436" t="s">
        <v>5913</v>
      </c>
    </row>
    <row r="86" spans="1:1" ht="13">
      <c r="A86" s="25" t="s">
        <v>5914</v>
      </c>
    </row>
    <row r="87" spans="1:1" ht="13">
      <c r="A87" s="25"/>
    </row>
    <row r="88" spans="1:1" ht="13">
      <c r="A88" s="25" t="s">
        <v>5915</v>
      </c>
    </row>
    <row r="89" spans="1:1" ht="13">
      <c r="A89" s="25"/>
    </row>
    <row r="90" spans="1:1" ht="13">
      <c r="A90" s="25" t="s">
        <v>5916</v>
      </c>
    </row>
    <row r="91" spans="1:1" ht="13">
      <c r="A91" s="25" t="s">
        <v>5917</v>
      </c>
    </row>
    <row r="92" spans="1:1" ht="13">
      <c r="A92" s="25" t="s">
        <v>5918</v>
      </c>
    </row>
    <row r="93" spans="1:1" ht="13">
      <c r="A93" s="25" t="s">
        <v>5921</v>
      </c>
    </row>
    <row r="95" spans="1:1" ht="13">
      <c r="A95" s="25" t="s">
        <v>5925</v>
      </c>
    </row>
    <row r="96" spans="1:1" ht="13">
      <c r="A96" s="25" t="s">
        <v>5926</v>
      </c>
    </row>
    <row r="97" spans="1:1" ht="13">
      <c r="A97" s="25" t="s">
        <v>5922</v>
      </c>
    </row>
    <row r="98" spans="1:1" ht="13">
      <c r="A98" s="25" t="s">
        <v>5919</v>
      </c>
    </row>
    <row r="100" spans="1:1" ht="13">
      <c r="A100" s="25" t="s">
        <v>5923</v>
      </c>
    </row>
    <row r="101" spans="1:1" ht="13">
      <c r="A101" s="25" t="s">
        <v>5920</v>
      </c>
    </row>
    <row r="103" spans="1:1" ht="13">
      <c r="A103" s="25" t="s">
        <v>5924</v>
      </c>
    </row>
    <row r="104" spans="1:1" ht="13">
      <c r="A104" s="25" t="s">
        <v>5927</v>
      </c>
    </row>
    <row r="107" spans="1:1" ht="13">
      <c r="A107" s="436" t="s">
        <v>5986</v>
      </c>
    </row>
    <row r="108" spans="1:1" s="25" customFormat="1" ht="13">
      <c r="A108" s="25" t="s">
        <v>5987</v>
      </c>
    </row>
    <row r="109" spans="1:1" s="25" customFormat="1" ht="13"/>
    <row r="110" spans="1:1" s="25" customFormat="1" ht="13">
      <c r="A110" s="25" t="s">
        <v>5988</v>
      </c>
    </row>
    <row r="111" spans="1:1" s="25" customFormat="1" ht="13">
      <c r="A111" s="25" t="s">
        <v>5989</v>
      </c>
    </row>
    <row r="112" spans="1:1" s="25" customFormat="1" ht="13"/>
    <row r="113" spans="1:1" s="25" customFormat="1" ht="13">
      <c r="A113" s="25" t="s">
        <v>5990</v>
      </c>
    </row>
    <row r="114" spans="1:1" s="25" customFormat="1" ht="13"/>
    <row r="115" spans="1:1" s="25" customFormat="1" ht="13"/>
    <row r="116" spans="1:1" s="25" customFormat="1" ht="13">
      <c r="A116" s="436" t="s">
        <v>6992</v>
      </c>
    </row>
    <row r="117" spans="1:1" s="25" customFormat="1" ht="13">
      <c r="A117" s="25" t="s">
        <v>6993</v>
      </c>
    </row>
    <row r="118" spans="1:1" s="25" customFormat="1" ht="13"/>
    <row r="119" spans="1:1" s="25" customFormat="1" ht="13">
      <c r="A119" s="25" t="s">
        <v>6994</v>
      </c>
    </row>
    <row r="120" spans="1:1" s="25" customFormat="1" ht="13">
      <c r="A120" s="25" t="s">
        <v>6995</v>
      </c>
    </row>
    <row r="121" spans="1:1" s="25" customFormat="1" ht="13">
      <c r="A121" s="25" t="s">
        <v>6996</v>
      </c>
    </row>
    <row r="122" spans="1:1" s="25" customFormat="1" ht="13"/>
    <row r="123" spans="1:1" s="25" customFormat="1" ht="13">
      <c r="A123" s="25" t="s">
        <v>6997</v>
      </c>
    </row>
    <row r="124" spans="1:1" s="25" customFormat="1" ht="13">
      <c r="A124" s="25" t="s">
        <v>6999</v>
      </c>
    </row>
    <row r="125" spans="1:1" s="25" customFormat="1" ht="13">
      <c r="A125" s="25" t="s">
        <v>6998</v>
      </c>
    </row>
    <row r="126" spans="1:1" s="25" customFormat="1" ht="13"/>
    <row r="127" spans="1:1" s="25" customFormat="1" ht="13">
      <c r="A127" s="25" t="s">
        <v>7003</v>
      </c>
    </row>
    <row r="128" spans="1:1" ht="13">
      <c r="A128" s="25" t="s">
        <v>7000</v>
      </c>
    </row>
    <row r="130" spans="1:1" ht="13">
      <c r="A130" s="436" t="s">
        <v>7001</v>
      </c>
    </row>
    <row r="131" spans="1:1" ht="13">
      <c r="A131" s="25" t="s">
        <v>7004</v>
      </c>
    </row>
    <row r="132" spans="1:1" ht="13">
      <c r="A132" s="25" t="s">
        <v>7007</v>
      </c>
    </row>
    <row r="133" spans="1:1" ht="13">
      <c r="A133" s="25"/>
    </row>
    <row r="134" spans="1:1" ht="13">
      <c r="A134" s="25" t="s">
        <v>7005</v>
      </c>
    </row>
    <row r="135" spans="1:1" ht="13">
      <c r="A135" s="25" t="s">
        <v>7012</v>
      </c>
    </row>
    <row r="136" spans="1:1" ht="13">
      <c r="A136" s="25"/>
    </row>
    <row r="137" spans="1:1" s="25" customFormat="1" ht="13">
      <c r="A137" s="25" t="s">
        <v>7008</v>
      </c>
    </row>
    <row r="138" spans="1:1" s="25" customFormat="1" ht="13">
      <c r="A138" s="25" t="s">
        <v>7009</v>
      </c>
    </row>
    <row r="139" spans="1:1" s="25" customFormat="1" ht="13">
      <c r="A139" s="25" t="s">
        <v>7010</v>
      </c>
    </row>
    <row r="140" spans="1:1" s="25" customFormat="1" ht="13">
      <c r="A140" s="25" t="s">
        <v>7013</v>
      </c>
    </row>
    <row r="141" spans="1:1" s="25" customFormat="1" ht="13"/>
    <row r="142" spans="1:1" ht="13">
      <c r="A142" s="25" t="s">
        <v>7011</v>
      </c>
    </row>
    <row r="143" spans="1:1" ht="13">
      <c r="A143" s="25" t="s">
        <v>7002</v>
      </c>
    </row>
    <row r="146" spans="1:1" ht="13">
      <c r="A146" s="436" t="s">
        <v>7014</v>
      </c>
    </row>
    <row r="147" spans="1:1" s="25" customFormat="1" ht="13">
      <c r="A147" s="25" t="s">
        <v>7015</v>
      </c>
    </row>
    <row r="148" spans="1:1" s="25" customFormat="1" ht="13">
      <c r="A148" s="25" t="s">
        <v>7019</v>
      </c>
    </row>
    <row r="149" spans="1:1" s="25" customFormat="1" ht="13">
      <c r="A149" s="25" t="s">
        <v>7023</v>
      </c>
    </row>
    <row r="150" spans="1:1" s="25" customFormat="1" ht="13">
      <c r="A150" s="25" t="s">
        <v>7020</v>
      </c>
    </row>
    <row r="151" spans="1:1" s="25" customFormat="1" ht="13"/>
    <row r="152" spans="1:1" s="25" customFormat="1" ht="13">
      <c r="A152" s="25" t="s">
        <v>7016</v>
      </c>
    </row>
    <row r="153" spans="1:1" s="25" customFormat="1" ht="13">
      <c r="A153" s="25" t="s">
        <v>7018</v>
      </c>
    </row>
    <row r="154" spans="1:1" s="25" customFormat="1" ht="13">
      <c r="A154" s="25" t="s">
        <v>7017</v>
      </c>
    </row>
    <row r="155" spans="1:1" s="25" customFormat="1" ht="13"/>
    <row r="156" spans="1:1" ht="13">
      <c r="A156" s="25" t="s">
        <v>7025</v>
      </c>
    </row>
    <row r="157" spans="1:1" ht="13">
      <c r="A157" s="25" t="s">
        <v>7021</v>
      </c>
    </row>
    <row r="158" spans="1:1" ht="13">
      <c r="A158" s="25" t="s">
        <v>7022</v>
      </c>
    </row>
    <row r="160" spans="1:1" ht="13">
      <c r="A160" s="25" t="s">
        <v>7024</v>
      </c>
    </row>
    <row r="162" spans="1:1" ht="13">
      <c r="A162" s="436" t="s">
        <v>7029</v>
      </c>
    </row>
    <row r="163" spans="1:1" s="25" customFormat="1" ht="13">
      <c r="A163" s="25" t="s">
        <v>7032</v>
      </c>
    </row>
    <row r="164" spans="1:1" s="25" customFormat="1" ht="13">
      <c r="A164" s="25" t="s">
        <v>7030</v>
      </c>
    </row>
    <row r="165" spans="1:1" s="25" customFormat="1" ht="13"/>
    <row r="166" spans="1:1" s="25" customFormat="1" ht="13">
      <c r="A166" s="25" t="s">
        <v>7033</v>
      </c>
    </row>
    <row r="167" spans="1:1" s="25" customFormat="1" ht="13">
      <c r="A167" s="25" t="s">
        <v>7036</v>
      </c>
    </row>
    <row r="168" spans="1:1" s="25" customFormat="1" ht="13"/>
    <row r="169" spans="1:1" s="25" customFormat="1" ht="13">
      <c r="A169" s="25" t="s">
        <v>7031</v>
      </c>
    </row>
    <row r="170" spans="1:1" s="25" customFormat="1" ht="13">
      <c r="A170" s="25" t="s">
        <v>7034</v>
      </c>
    </row>
    <row r="172" spans="1:1" hidden="1">
      <c r="A172" t="s">
        <v>7026</v>
      </c>
    </row>
    <row r="173" spans="1:1" ht="13" hidden="1">
      <c r="A173" s="25" t="s">
        <v>7027</v>
      </c>
    </row>
    <row r="174" spans="1:1" hidden="1">
      <c r="A174" t="s">
        <v>7035</v>
      </c>
    </row>
    <row r="175" spans="1:1" ht="13" hidden="1">
      <c r="A175" s="25" t="s">
        <v>7028</v>
      </c>
    </row>
    <row r="176" spans="1:1" hidden="1"/>
    <row r="177" spans="1:1" ht="13">
      <c r="A177" s="25" t="s">
        <v>7024</v>
      </c>
    </row>
    <row r="184" spans="1:1" ht="13">
      <c r="A184" s="436" t="s">
        <v>7405</v>
      </c>
    </row>
    <row r="185" spans="1:1" s="25" customFormat="1" ht="13">
      <c r="A185" s="25" t="s">
        <v>7408</v>
      </c>
    </row>
    <row r="186" spans="1:1" s="25" customFormat="1" ht="13"/>
    <row r="187" spans="1:1" s="25" customFormat="1" ht="13">
      <c r="A187" s="25" t="s">
        <v>7406</v>
      </c>
    </row>
    <row r="188" spans="1:1" s="25" customFormat="1" ht="13">
      <c r="A188" s="25" t="s">
        <v>7413</v>
      </c>
    </row>
    <row r="189" spans="1:1" s="25" customFormat="1" ht="13">
      <c r="A189" s="25" t="s">
        <v>7412</v>
      </c>
    </row>
    <row r="190" spans="1:1" s="25" customFormat="1" ht="13"/>
    <row r="191" spans="1:1" s="25" customFormat="1" ht="13">
      <c r="A191" s="25" t="s">
        <v>7407</v>
      </c>
    </row>
    <row r="192" spans="1:1" s="25" customFormat="1" ht="13">
      <c r="A192" s="25" t="s">
        <v>7414</v>
      </c>
    </row>
    <row r="193" spans="1:1" s="25" customFormat="1" ht="13">
      <c r="A193" s="25" t="s">
        <v>7409</v>
      </c>
    </row>
    <row r="194" spans="1:1" s="25" customFormat="1" ht="13"/>
    <row r="195" spans="1:1" s="25" customFormat="1" ht="13">
      <c r="A195" s="25" t="s">
        <v>7410</v>
      </c>
    </row>
    <row r="196" spans="1:1" s="25" customFormat="1" ht="13">
      <c r="A196" s="25" t="s">
        <v>7411</v>
      </c>
    </row>
    <row r="198" spans="1:1" ht="13">
      <c r="A198" s="25" t="s">
        <v>7415</v>
      </c>
    </row>
    <row r="199" spans="1:1" ht="13">
      <c r="A199" s="25" t="s">
        <v>7416</v>
      </c>
    </row>
    <row r="201" spans="1:1" ht="13">
      <c r="A201" s="25" t="s">
        <v>7417</v>
      </c>
    </row>
    <row r="204" spans="1:1" hidden="1">
      <c r="A204" t="s">
        <v>7418</v>
      </c>
    </row>
    <row r="205" spans="1:1" hidden="1">
      <c r="A205" t="s">
        <v>7419</v>
      </c>
    </row>
    <row r="206" spans="1:1" hidden="1">
      <c r="A206" t="s">
        <v>7420</v>
      </c>
    </row>
    <row r="207" spans="1:1" hidden="1">
      <c r="A207" t="s">
        <v>7421</v>
      </c>
    </row>
    <row r="208" spans="1:1" hidden="1">
      <c r="A208" t="s">
        <v>7422</v>
      </c>
    </row>
    <row r="209" spans="1:1" hidden="1">
      <c r="A209" t="s">
        <v>7423</v>
      </c>
    </row>
    <row r="210" spans="1:1" hidden="1">
      <c r="A210" t="s">
        <v>7424</v>
      </c>
    </row>
    <row r="211" spans="1:1" hidden="1">
      <c r="A211" t="s">
        <v>7425</v>
      </c>
    </row>
    <row r="212" spans="1:1" ht="13">
      <c r="A212" s="1040" t="s">
        <v>7658</v>
      </c>
    </row>
    <row r="213" spans="1:1" ht="13">
      <c r="A213" s="662"/>
    </row>
    <row r="214" spans="1:1" ht="13">
      <c r="A214" s="662" t="s">
        <v>7662</v>
      </c>
    </row>
    <row r="215" spans="1:1" ht="13">
      <c r="A215" s="662" t="s">
        <v>7665</v>
      </c>
    </row>
    <row r="216" spans="1:1" ht="13">
      <c r="A216" s="662" t="s">
        <v>7664</v>
      </c>
    </row>
    <row r="217" spans="1:1" ht="13">
      <c r="A217" s="662"/>
    </row>
    <row r="218" spans="1:1" ht="13">
      <c r="A218" s="25" t="s">
        <v>7661</v>
      </c>
    </row>
    <row r="219" spans="1:1" ht="13">
      <c r="A219" s="25" t="s">
        <v>7663</v>
      </c>
    </row>
    <row r="220" spans="1:1" ht="13">
      <c r="A220" s="25"/>
    </row>
    <row r="221" spans="1:1" ht="13">
      <c r="A221" s="25" t="s">
        <v>7511</v>
      </c>
    </row>
    <row r="222" spans="1:1" ht="13">
      <c r="A222" s="25" t="s">
        <v>7623</v>
      </c>
    </row>
    <row r="223" spans="1:1" ht="13">
      <c r="A223" s="25" t="s">
        <v>7624</v>
      </c>
    </row>
    <row r="224" spans="1:1" ht="13">
      <c r="A224" s="25" t="s">
        <v>7512</v>
      </c>
    </row>
    <row r="225" spans="1:1" ht="13">
      <c r="A225" s="25" t="s">
        <v>7513</v>
      </c>
    </row>
    <row r="226" spans="1:1" ht="13">
      <c r="A226" s="25"/>
    </row>
    <row r="227" spans="1:1" ht="13">
      <c r="A227" s="25" t="s">
        <v>7620</v>
      </c>
    </row>
    <row r="228" spans="1:1" ht="13">
      <c r="A228" s="25" t="s">
        <v>7621</v>
      </c>
    </row>
    <row r="229" spans="1:1" ht="13">
      <c r="A229" s="25" t="s">
        <v>7622</v>
      </c>
    </row>
    <row r="230" spans="1:1" ht="13">
      <c r="A230" s="25"/>
    </row>
    <row r="231" spans="1:1" ht="13">
      <c r="A231" s="662" t="s">
        <v>7654</v>
      </c>
    </row>
    <row r="232" spans="1:1" ht="13">
      <c r="A232" s="25"/>
    </row>
    <row r="233" spans="1:1" ht="13">
      <c r="A233" s="25" t="s">
        <v>7655</v>
      </c>
    </row>
    <row r="235" spans="1:1" ht="13">
      <c r="A235" s="25" t="s">
        <v>7627</v>
      </c>
    </row>
    <row r="236" spans="1:1" ht="13">
      <c r="A236" s="25" t="s">
        <v>7657</v>
      </c>
    </row>
    <row r="237" spans="1:1" ht="13">
      <c r="A237" s="25" t="s">
        <v>7656</v>
      </c>
    </row>
    <row r="238" spans="1:1" ht="13">
      <c r="A238" s="25"/>
    </row>
    <row r="239" spans="1:1" ht="13">
      <c r="A239" s="1052" t="s">
        <v>7527</v>
      </c>
    </row>
    <row r="240" spans="1:1" ht="26">
      <c r="A240" s="1052" t="s">
        <v>7528</v>
      </c>
    </row>
    <row r="242" spans="1:1" ht="13">
      <c r="A242" s="25" t="s">
        <v>7536</v>
      </c>
    </row>
    <row r="243" spans="1:1" ht="13">
      <c r="A243" s="25" t="s">
        <v>7529</v>
      </c>
    </row>
    <row r="244" spans="1:1" ht="13">
      <c r="A244" s="25"/>
    </row>
    <row r="245" spans="1:1" ht="26">
      <c r="A245" s="1052" t="s">
        <v>7530</v>
      </c>
    </row>
    <row r="246" spans="1:1" ht="13">
      <c r="A246" s="25"/>
    </row>
    <row r="247" spans="1:1" ht="13" hidden="1">
      <c r="A247" s="25" t="s">
        <v>7531</v>
      </c>
    </row>
    <row r="248" spans="1:1" ht="13" hidden="1">
      <c r="A248" s="25" t="s">
        <v>7532</v>
      </c>
    </row>
    <row r="249" spans="1:1" hidden="1"/>
    <row r="250" spans="1:1" ht="13" hidden="1">
      <c r="A250" s="25" t="s">
        <v>7533</v>
      </c>
    </row>
    <row r="251" spans="1:1" ht="13" hidden="1">
      <c r="A251" s="25" t="s">
        <v>7537</v>
      </c>
    </row>
    <row r="252" spans="1:1" ht="13" hidden="1">
      <c r="A252" s="25" t="s">
        <v>7534</v>
      </c>
    </row>
    <row r="253" spans="1:1" ht="13" hidden="1">
      <c r="A253" s="25" t="s">
        <v>7535</v>
      </c>
    </row>
    <row r="254" spans="1:1" ht="13">
      <c r="A254" s="25" t="s">
        <v>7652</v>
      </c>
    </row>
    <row r="255" spans="1:1" ht="13">
      <c r="A255" s="25" t="s">
        <v>7653</v>
      </c>
    </row>
    <row r="258" spans="1:1" ht="13">
      <c r="A258" s="1040" t="s">
        <v>7697</v>
      </c>
    </row>
    <row r="259" spans="1:1" ht="13">
      <c r="A259" s="662" t="s">
        <v>7676</v>
      </c>
    </row>
    <row r="260" spans="1:1" s="25" customFormat="1" ht="13">
      <c r="A260" s="25" t="s">
        <v>7681</v>
      </c>
    </row>
    <row r="261" spans="1:1" s="25" customFormat="1" ht="13">
      <c r="A261" s="25" t="s">
        <v>7680</v>
      </c>
    </row>
    <row r="262" spans="1:1" s="25" customFormat="1" ht="13">
      <c r="A262" s="25" t="s">
        <v>7674</v>
      </c>
    </row>
    <row r="263" spans="1:1" s="25" customFormat="1" ht="13"/>
    <row r="264" spans="1:1" s="25" customFormat="1" ht="13">
      <c r="A264" s="25" t="s">
        <v>7675</v>
      </c>
    </row>
    <row r="265" spans="1:1" s="25" customFormat="1" ht="13"/>
    <row r="266" spans="1:1" s="25" customFormat="1" ht="13">
      <c r="A266" s="25" t="s">
        <v>7682</v>
      </c>
    </row>
    <row r="267" spans="1:1" s="25" customFormat="1" ht="13">
      <c r="A267" s="25" t="s">
        <v>7684</v>
      </c>
    </row>
    <row r="268" spans="1:1" s="25" customFormat="1" ht="13"/>
    <row r="269" spans="1:1" s="25" customFormat="1" ht="13">
      <c r="A269" s="25" t="s">
        <v>7683</v>
      </c>
    </row>
    <row r="270" spans="1:1" s="25" customFormat="1" ht="13">
      <c r="A270" s="25" t="s">
        <v>7705</v>
      </c>
    </row>
    <row r="271" spans="1:1" s="25" customFormat="1" ht="13"/>
    <row r="272" spans="1:1" s="25" customFormat="1" ht="13">
      <c r="A272" s="25" t="s">
        <v>7690</v>
      </c>
    </row>
    <row r="273" spans="1:1" s="25" customFormat="1" ht="13"/>
    <row r="274" spans="1:1" s="25" customFormat="1" ht="13">
      <c r="A274" s="662" t="s">
        <v>7677</v>
      </c>
    </row>
    <row r="275" spans="1:1" s="25" customFormat="1" ht="13">
      <c r="A275" s="25" t="s">
        <v>7691</v>
      </c>
    </row>
    <row r="276" spans="1:1" s="25" customFormat="1" ht="13"/>
    <row r="277" spans="1:1" ht="13">
      <c r="A277" s="25" t="s">
        <v>7692</v>
      </c>
    </row>
    <row r="279" spans="1:1" ht="13">
      <c r="A279" s="25" t="s">
        <v>7693</v>
      </c>
    </row>
    <row r="280" spans="1:1" ht="13">
      <c r="A280" s="25" t="s">
        <v>7686</v>
      </c>
    </row>
    <row r="282" spans="1:1" ht="13">
      <c r="A282" s="25" t="s">
        <v>7694</v>
      </c>
    </row>
    <row r="283" spans="1:1" ht="13">
      <c r="A283" s="25" t="s">
        <v>7685</v>
      </c>
    </row>
    <row r="284" spans="1:1" ht="13">
      <c r="A284" s="25"/>
    </row>
    <row r="285" spans="1:1" ht="13">
      <c r="A285" s="25"/>
    </row>
    <row r="286" spans="1:1" ht="13">
      <c r="A286" s="25" t="s">
        <v>7679</v>
      </c>
    </row>
    <row r="287" spans="1:1" ht="13" hidden="1">
      <c r="A287" s="25" t="s">
        <v>7668</v>
      </c>
    </row>
    <row r="288" spans="1:1" ht="13" hidden="1">
      <c r="A288" s="25" t="s">
        <v>7670</v>
      </c>
    </row>
    <row r="289" spans="1:1" ht="13" hidden="1">
      <c r="A289" s="25" t="s">
        <v>7671</v>
      </c>
    </row>
    <row r="290" spans="1:1" ht="13" hidden="1">
      <c r="A290" s="25" t="s">
        <v>7672</v>
      </c>
    </row>
    <row r="291" spans="1:1" ht="13" hidden="1">
      <c r="A291" s="25" t="s">
        <v>7673</v>
      </c>
    </row>
    <row r="292" spans="1:1" ht="13">
      <c r="A292" s="25" t="s">
        <v>7678</v>
      </c>
    </row>
    <row r="295" spans="1:1" ht="13">
      <c r="A295" s="1366" t="s">
        <v>7762</v>
      </c>
    </row>
    <row r="296" spans="1:1" ht="13">
      <c r="A296" s="662" t="s">
        <v>7763</v>
      </c>
    </row>
    <row r="297" spans="1:1" ht="13">
      <c r="A297" s="25" t="s">
        <v>7764</v>
      </c>
    </row>
    <row r="298" spans="1:1" ht="13">
      <c r="A298" s="25" t="s">
        <v>7765</v>
      </c>
    </row>
    <row r="299" spans="1:1" ht="13">
      <c r="A299" s="25" t="s">
        <v>7766</v>
      </c>
    </row>
    <row r="300" spans="1:1" ht="13">
      <c r="A300" s="25" t="s">
        <v>7767</v>
      </c>
    </row>
    <row r="301" spans="1:1" ht="13">
      <c r="A301" s="25" t="s">
        <v>7768</v>
      </c>
    </row>
    <row r="302" spans="1:1" ht="13">
      <c r="A302" s="25"/>
    </row>
    <row r="303" spans="1:1" ht="13">
      <c r="A303" s="25" t="s">
        <v>7769</v>
      </c>
    </row>
    <row r="304" spans="1:1" ht="13">
      <c r="A304" s="25" t="s">
        <v>7770</v>
      </c>
    </row>
    <row r="305" spans="1:1" ht="13">
      <c r="A305" s="25" t="s">
        <v>7771</v>
      </c>
    </row>
    <row r="306" spans="1:1" ht="13">
      <c r="A306" s="25"/>
    </row>
    <row r="307" spans="1:1" ht="13">
      <c r="A307" s="25" t="s">
        <v>7772</v>
      </c>
    </row>
    <row r="308" spans="1:1" ht="13">
      <c r="A308" s="25" t="s">
        <v>7773</v>
      </c>
    </row>
    <row r="309" spans="1:1" ht="13">
      <c r="A309" s="25" t="s">
        <v>7774</v>
      </c>
    </row>
    <row r="310" spans="1:1" ht="13">
      <c r="A310" s="25" t="s">
        <v>7775</v>
      </c>
    </row>
    <row r="311" spans="1:1" ht="13">
      <c r="A311" s="25"/>
    </row>
    <row r="312" spans="1:1" ht="13">
      <c r="A312" s="662" t="s">
        <v>7776</v>
      </c>
    </row>
    <row r="313" spans="1:1" ht="13">
      <c r="A313" s="25" t="s">
        <v>7777</v>
      </c>
    </row>
    <row r="314" spans="1:1" ht="13">
      <c r="A314" s="25" t="s">
        <v>7778</v>
      </c>
    </row>
    <row r="316" spans="1:1" ht="13">
      <c r="A316" s="25" t="s">
        <v>7779</v>
      </c>
    </row>
    <row r="318" spans="1:1" ht="13">
      <c r="A318" s="25" t="s">
        <v>7780</v>
      </c>
    </row>
    <row r="319" spans="1:1" ht="13">
      <c r="A319" s="25"/>
    </row>
    <row r="320" spans="1:1" ht="13">
      <c r="A320" s="25" t="s">
        <v>7781</v>
      </c>
    </row>
    <row r="321" spans="1:1" ht="13">
      <c r="A321" s="25" t="s">
        <v>7782</v>
      </c>
    </row>
    <row r="322" spans="1:1" ht="13">
      <c r="A322" s="25" t="s">
        <v>7783</v>
      </c>
    </row>
    <row r="323" spans="1:1" ht="13">
      <c r="A323" s="25"/>
    </row>
    <row r="324" spans="1:1" ht="15.5">
      <c r="A324" s="1367" t="s">
        <v>7784</v>
      </c>
    </row>
    <row r="325" spans="1:1" ht="15.5">
      <c r="A325" s="1368" t="s">
        <v>7785</v>
      </c>
    </row>
    <row r="326" spans="1:1" ht="15.5">
      <c r="A326" s="1368" t="s">
        <v>7786</v>
      </c>
    </row>
    <row r="328" spans="1:1" ht="13">
      <c r="A328" s="25" t="s">
        <v>7787</v>
      </c>
    </row>
    <row r="330" spans="1:1" ht="13">
      <c r="A330" s="25" t="s">
        <v>7788</v>
      </c>
    </row>
    <row r="331" spans="1:1" ht="13">
      <c r="A331" s="25" t="s">
        <v>7789</v>
      </c>
    </row>
    <row r="334" spans="1:1" ht="13">
      <c r="A334" s="1366" t="s">
        <v>7813</v>
      </c>
    </row>
    <row r="335" spans="1:1" ht="13">
      <c r="A335" s="662" t="s">
        <v>7808</v>
      </c>
    </row>
    <row r="336" spans="1:1" s="25" customFormat="1" ht="13">
      <c r="A336" s="25" t="s">
        <v>7799</v>
      </c>
    </row>
    <row r="337" spans="1:1" s="25" customFormat="1" ht="13">
      <c r="A337" s="25" t="s">
        <v>7801</v>
      </c>
    </row>
    <row r="338" spans="1:1" s="25" customFormat="1" ht="13">
      <c r="A338" s="25" t="s">
        <v>7800</v>
      </c>
    </row>
    <row r="339" spans="1:1" s="25" customFormat="1" ht="13"/>
    <row r="340" spans="1:1" s="25" customFormat="1" ht="13">
      <c r="A340" s="25" t="s">
        <v>7802</v>
      </c>
    </row>
    <row r="341" spans="1:1" s="25" customFormat="1" ht="13">
      <c r="A341" s="25" t="s">
        <v>7803</v>
      </c>
    </row>
    <row r="342" spans="1:1" ht="13">
      <c r="A342" s="25" t="s">
        <v>7804</v>
      </c>
    </row>
    <row r="343" spans="1:1" ht="13">
      <c r="A343" s="25"/>
    </row>
    <row r="344" spans="1:1" ht="13">
      <c r="A344" s="25" t="s">
        <v>7810</v>
      </c>
    </row>
    <row r="345" spans="1:1" ht="13">
      <c r="A345" s="25"/>
    </row>
    <row r="347" spans="1:1" ht="13">
      <c r="A347" s="25" t="s">
        <v>7805</v>
      </c>
    </row>
    <row r="348" spans="1:1" ht="13">
      <c r="A348" s="25" t="s">
        <v>7806</v>
      </c>
    </row>
    <row r="350" spans="1:1" ht="13">
      <c r="A350" s="662" t="s">
        <v>7807</v>
      </c>
    </row>
    <row r="351" spans="1:1" s="25" customFormat="1" ht="13">
      <c r="A351" s="25" t="s">
        <v>7809</v>
      </c>
    </row>
    <row r="352" spans="1:1" s="25" customFormat="1" ht="13">
      <c r="A352" s="36" t="s">
        <v>7811</v>
      </c>
    </row>
    <row r="353" spans="1:1" s="25" customFormat="1" ht="13"/>
    <row r="354" spans="1:1" s="25" customFormat="1" ht="13">
      <c r="A354" s="25" t="s">
        <v>7812</v>
      </c>
    </row>
    <row r="355" spans="1:1" s="25" customFormat="1" ht="13"/>
    <row r="356" spans="1:1" s="25" customFormat="1" ht="13">
      <c r="A356" s="1366" t="s">
        <v>7821</v>
      </c>
    </row>
    <row r="357" spans="1:1" s="25" customFormat="1" ht="13">
      <c r="A357" s="662" t="s">
        <v>7824</v>
      </c>
    </row>
    <row r="358" spans="1:1" s="25" customFormat="1" ht="13">
      <c r="A358" s="25" t="s">
        <v>7820</v>
      </c>
    </row>
    <row r="359" spans="1:1" s="25" customFormat="1" ht="13"/>
    <row r="360" spans="1:1" s="25" customFormat="1" ht="13">
      <c r="A360" s="25" t="s">
        <v>7825</v>
      </c>
    </row>
    <row r="361" spans="1:1" s="25" customFormat="1" ht="13"/>
    <row r="362" spans="1:1" s="25" customFormat="1" ht="13">
      <c r="A362" s="25" t="s">
        <v>7823</v>
      </c>
    </row>
    <row r="363" spans="1:1" s="25" customFormat="1" ht="13">
      <c r="A363" s="25" t="s">
        <v>7826</v>
      </c>
    </row>
    <row r="364" spans="1:1" s="25" customFormat="1" ht="13"/>
    <row r="365" spans="1:1" s="25" customFormat="1" ht="13">
      <c r="A365" s="25" t="s">
        <v>7822</v>
      </c>
    </row>
    <row r="366" spans="1:1" s="25" customFormat="1" ht="13"/>
    <row r="368" spans="1:1" ht="13">
      <c r="A368" s="1366" t="s">
        <v>7843</v>
      </c>
    </row>
    <row r="369" spans="1:1" ht="13">
      <c r="A369" s="662" t="s">
        <v>7833</v>
      </c>
    </row>
    <row r="370" spans="1:1" ht="13">
      <c r="A370" s="25" t="s">
        <v>7835</v>
      </c>
    </row>
    <row r="371" spans="1:1" ht="13">
      <c r="A371" s="25" t="s">
        <v>7842</v>
      </c>
    </row>
    <row r="372" spans="1:1" ht="13">
      <c r="A372" s="25" t="s">
        <v>7834</v>
      </c>
    </row>
    <row r="373" spans="1:1" ht="13">
      <c r="A373" s="25"/>
    </row>
    <row r="374" spans="1:1" ht="13">
      <c r="A374" s="25" t="s">
        <v>7836</v>
      </c>
    </row>
    <row r="375" spans="1:1" ht="13">
      <c r="A375" s="25" t="s">
        <v>7837</v>
      </c>
    </row>
    <row r="376" spans="1:1" ht="13">
      <c r="A376" s="25"/>
    </row>
    <row r="377" spans="1:1" ht="13">
      <c r="A377" s="25" t="s">
        <v>7845</v>
      </c>
    </row>
    <row r="378" spans="1:1" ht="13">
      <c r="A378" s="25" t="s">
        <v>7846</v>
      </c>
    </row>
    <row r="379" spans="1:1" ht="13">
      <c r="A379" s="25"/>
    </row>
    <row r="380" spans="1:1" ht="13">
      <c r="A380" s="25" t="s">
        <v>7839</v>
      </c>
    </row>
    <row r="381" spans="1:1" ht="13">
      <c r="A381" s="25"/>
    </row>
    <row r="382" spans="1:1" ht="13">
      <c r="A382" s="662" t="s">
        <v>7838</v>
      </c>
    </row>
    <row r="383" spans="1:1" ht="13">
      <c r="A383" s="662"/>
    </row>
    <row r="384" spans="1:1" ht="13">
      <c r="A384" s="25" t="s">
        <v>7841</v>
      </c>
    </row>
    <row r="386" spans="1:1" ht="13">
      <c r="A386" s="25" t="s">
        <v>7840</v>
      </c>
    </row>
    <row r="387" spans="1:1" ht="13">
      <c r="A387" s="25" t="s">
        <v>7844</v>
      </c>
    </row>
    <row r="388" spans="1:1" ht="13">
      <c r="A388" s="25"/>
    </row>
    <row r="389" spans="1:1" ht="13">
      <c r="A389" s="25"/>
    </row>
    <row r="390" spans="1:1" ht="13">
      <c r="A390" s="1366" t="s">
        <v>7847</v>
      </c>
    </row>
    <row r="391" spans="1:1" ht="13">
      <c r="A391" s="662" t="s">
        <v>7852</v>
      </c>
    </row>
    <row r="392" spans="1:1" ht="13">
      <c r="A392" s="1098" t="s">
        <v>7851</v>
      </c>
    </row>
    <row r="394" spans="1:1" s="25" customFormat="1" ht="13">
      <c r="A394" s="25" t="s">
        <v>7848</v>
      </c>
    </row>
    <row r="395" spans="1:1" s="25" customFormat="1" ht="13"/>
    <row r="396" spans="1:1" s="25" customFormat="1" ht="13">
      <c r="A396" s="25" t="s">
        <v>7849</v>
      </c>
    </row>
    <row r="397" spans="1:1" s="25" customFormat="1" ht="13">
      <c r="A397" s="25" t="s">
        <v>7850</v>
      </c>
    </row>
    <row r="398" spans="1:1" s="25" customFormat="1" ht="13"/>
    <row r="399" spans="1:1" s="25" customFormat="1" ht="13">
      <c r="A399" s="25" t="s">
        <v>7867</v>
      </c>
    </row>
    <row r="400" spans="1:1" s="25" customFormat="1" ht="13">
      <c r="A400" s="25" t="s">
        <v>7868</v>
      </c>
    </row>
    <row r="401" spans="1:1" s="25" customFormat="1" ht="13"/>
    <row r="402" spans="1:1" s="25" customFormat="1" ht="13">
      <c r="A402" s="25" t="s">
        <v>7869</v>
      </c>
    </row>
    <row r="403" spans="1:1" s="25" customFormat="1" ht="13">
      <c r="A403" s="25" t="s">
        <v>7870</v>
      </c>
    </row>
    <row r="404" spans="1:1" s="25" customFormat="1" ht="13">
      <c r="A404" s="25" t="s">
        <v>7871</v>
      </c>
    </row>
    <row r="405" spans="1:1" s="25" customFormat="1" ht="13">
      <c r="A405" s="25" t="s">
        <v>7872</v>
      </c>
    </row>
    <row r="406" spans="1:1" s="25" customFormat="1" ht="13">
      <c r="A406" s="25" t="s">
        <v>7873</v>
      </c>
    </row>
    <row r="407" spans="1:1" s="25" customFormat="1" ht="13">
      <c r="A407" s="25" t="s">
        <v>7874</v>
      </c>
    </row>
    <row r="408" spans="1:1" s="25" customFormat="1" ht="13">
      <c r="A408" s="25" t="s">
        <v>7875</v>
      </c>
    </row>
    <row r="409" spans="1:1" s="25" customFormat="1" ht="13"/>
    <row r="410" spans="1:1" ht="13">
      <c r="A410" s="662" t="s">
        <v>8203</v>
      </c>
    </row>
    <row r="412" spans="1:1" ht="13">
      <c r="A412" s="662" t="s">
        <v>7876</v>
      </c>
    </row>
    <row r="413" spans="1:1" ht="13">
      <c r="A413" s="662" t="s">
        <v>7878</v>
      </c>
    </row>
    <row r="414" spans="1:1" ht="13">
      <c r="A414" s="662" t="s">
        <v>7877</v>
      </c>
    </row>
    <row r="417" spans="1:1" ht="13">
      <c r="A417" s="1366" t="s">
        <v>7895</v>
      </c>
    </row>
    <row r="418" spans="1:1" ht="13">
      <c r="A418" s="662" t="s">
        <v>7891</v>
      </c>
    </row>
    <row r="419" spans="1:1" s="25" customFormat="1" ht="13">
      <c r="A419" s="25" t="s">
        <v>7892</v>
      </c>
    </row>
    <row r="420" spans="1:1" s="25" customFormat="1" ht="13">
      <c r="A420" s="25" t="s">
        <v>7894</v>
      </c>
    </row>
    <row r="421" spans="1:1" s="25" customFormat="1" ht="13">
      <c r="A421" s="25" t="s">
        <v>7899</v>
      </c>
    </row>
    <row r="422" spans="1:1" s="25" customFormat="1" ht="13"/>
    <row r="423" spans="1:1" ht="13">
      <c r="A423" s="662" t="s">
        <v>7880</v>
      </c>
    </row>
    <row r="424" spans="1:1" ht="13">
      <c r="A424" s="25" t="s">
        <v>7893</v>
      </c>
    </row>
    <row r="425" spans="1:1" ht="13">
      <c r="A425" s="25" t="s">
        <v>7881</v>
      </c>
    </row>
    <row r="426" spans="1:1" ht="13">
      <c r="A426" s="25" t="s">
        <v>7882</v>
      </c>
    </row>
    <row r="427" spans="1:1" ht="13">
      <c r="A427" s="25" t="s">
        <v>7883</v>
      </c>
    </row>
    <row r="428" spans="1:1" ht="13">
      <c r="A428" s="25" t="s">
        <v>7884</v>
      </c>
    </row>
    <row r="429" spans="1:1" ht="13">
      <c r="A429" s="25"/>
    </row>
    <row r="430" spans="1:1" ht="13">
      <c r="A430" s="25" t="s">
        <v>7896</v>
      </c>
    </row>
    <row r="431" spans="1:1" ht="13">
      <c r="A431" s="25" t="s">
        <v>7897</v>
      </c>
    </row>
    <row r="432" spans="1:1" ht="13">
      <c r="A432" s="25" t="s">
        <v>7898</v>
      </c>
    </row>
    <row r="435" spans="1:1" ht="13">
      <c r="A435" s="1366" t="s">
        <v>8229</v>
      </c>
    </row>
    <row r="436" spans="1:1" ht="13">
      <c r="A436" s="662" t="s">
        <v>8176</v>
      </c>
    </row>
    <row r="437" spans="1:1" s="25" customFormat="1" ht="13">
      <c r="A437" s="25" t="s">
        <v>8177</v>
      </c>
    </row>
    <row r="438" spans="1:1" s="25" customFormat="1" ht="13">
      <c r="A438" s="25" t="s">
        <v>8178</v>
      </c>
    </row>
    <row r="439" spans="1:1" s="25" customFormat="1" ht="13"/>
    <row r="440" spans="1:1" s="25" customFormat="1" ht="13">
      <c r="A440" s="25" t="s">
        <v>8179</v>
      </c>
    </row>
    <row r="441" spans="1:1" s="25" customFormat="1" ht="13">
      <c r="A441" s="25" t="s">
        <v>8180</v>
      </c>
    </row>
    <row r="442" spans="1:1" s="25" customFormat="1" ht="13">
      <c r="A442" s="25" t="s">
        <v>8181</v>
      </c>
    </row>
    <row r="443" spans="1:1" s="25" customFormat="1" ht="13">
      <c r="A443" s="25" t="s">
        <v>8182</v>
      </c>
    </row>
    <row r="444" spans="1:1" s="25" customFormat="1" ht="13">
      <c r="A444" s="25" t="s">
        <v>8204</v>
      </c>
    </row>
    <row r="445" spans="1:1" s="25" customFormat="1" ht="13">
      <c r="A445" s="25" t="s">
        <v>8230</v>
      </c>
    </row>
    <row r="446" spans="1:1" s="25" customFormat="1" ht="13"/>
    <row r="447" spans="1:1" s="25" customFormat="1" ht="13">
      <c r="A447" s="25" t="s">
        <v>8183</v>
      </c>
    </row>
    <row r="448" spans="1:1" s="25" customFormat="1" ht="13">
      <c r="A448" s="25" t="s">
        <v>8184</v>
      </c>
    </row>
    <row r="449" spans="1:1" s="25" customFormat="1" ht="13">
      <c r="A449" s="25" t="s">
        <v>8185</v>
      </c>
    </row>
    <row r="450" spans="1:1" s="25" customFormat="1" ht="13">
      <c r="A450" s="25" t="s">
        <v>8231</v>
      </c>
    </row>
    <row r="451" spans="1:1" s="25" customFormat="1" ht="13"/>
    <row r="452" spans="1:1" s="25" customFormat="1" ht="13">
      <c r="A452" s="25" t="s">
        <v>8226</v>
      </c>
    </row>
    <row r="453" spans="1:1" s="25" customFormat="1" ht="13"/>
    <row r="454" spans="1:1" s="25" customFormat="1" ht="13">
      <c r="A454" s="662" t="s">
        <v>8186</v>
      </c>
    </row>
    <row r="455" spans="1:1" s="25" customFormat="1" ht="13">
      <c r="A455" s="25" t="s">
        <v>8227</v>
      </c>
    </row>
    <row r="456" spans="1:1" s="25" customFormat="1" ht="13">
      <c r="A456" s="25" t="s">
        <v>8187</v>
      </c>
    </row>
    <row r="457" spans="1:1" s="25" customFormat="1" ht="13">
      <c r="A457" s="25" t="s">
        <v>8188</v>
      </c>
    </row>
    <row r="458" spans="1:1" s="25" customFormat="1" ht="13">
      <c r="A458" s="25" t="s">
        <v>8189</v>
      </c>
    </row>
    <row r="459" spans="1:1" s="1680" customFormat="1"/>
    <row r="460" spans="1:1" s="25" customFormat="1" ht="13">
      <c r="A460" s="1742" t="s">
        <v>8190</v>
      </c>
    </row>
    <row r="461" spans="1:1" s="25" customFormat="1" ht="13">
      <c r="A461" s="1743" t="s">
        <v>8191</v>
      </c>
    </row>
    <row r="462" spans="1:1" s="25" customFormat="1" ht="13">
      <c r="A462" s="1743" t="s">
        <v>8192</v>
      </c>
    </row>
    <row r="463" spans="1:1" s="25" customFormat="1" ht="13">
      <c r="A463" s="1743" t="s">
        <v>8193</v>
      </c>
    </row>
    <row r="464" spans="1:1" s="25" customFormat="1" ht="13">
      <c r="A464" s="1743" t="s">
        <v>8194</v>
      </c>
    </row>
    <row r="465" spans="1:1" s="25" customFormat="1" ht="13">
      <c r="A465" s="1743" t="s">
        <v>8201</v>
      </c>
    </row>
    <row r="466" spans="1:1" s="25" customFormat="1" ht="13">
      <c r="A466" s="1743"/>
    </row>
    <row r="467" spans="1:1" ht="13">
      <c r="A467" s="1743" t="s">
        <v>8195</v>
      </c>
    </row>
    <row r="468" spans="1:1" ht="13">
      <c r="A468" s="1743" t="s">
        <v>8196</v>
      </c>
    </row>
    <row r="469" spans="1:1" ht="13">
      <c r="A469" s="1743" t="s">
        <v>8197</v>
      </c>
    </row>
    <row r="470" spans="1:1" ht="13">
      <c r="A470" s="1744" t="s">
        <v>8198</v>
      </c>
    </row>
    <row r="472" spans="1:1" ht="13">
      <c r="A472" s="1098" t="s">
        <v>8228</v>
      </c>
    </row>
    <row r="473" spans="1:1" ht="13">
      <c r="A473" s="1098" t="s">
        <v>8199</v>
      </c>
    </row>
    <row r="474" spans="1:1" ht="13">
      <c r="A474" s="25" t="s">
        <v>8200</v>
      </c>
    </row>
    <row r="475" spans="1:1">
      <c r="A475" s="1680"/>
    </row>
    <row r="476" spans="1:1" ht="13">
      <c r="A476" s="25" t="s">
        <v>8232</v>
      </c>
    </row>
    <row r="477" spans="1:1" ht="13">
      <c r="A477" s="25" t="s">
        <v>8202</v>
      </c>
    </row>
    <row r="478" spans="1:1">
      <c r="A478" s="1680"/>
    </row>
    <row r="479" spans="1:1">
      <c r="A479" s="1680"/>
    </row>
    <row r="480" spans="1:1" ht="13">
      <c r="A480" s="1366" t="s">
        <v>8240</v>
      </c>
    </row>
    <row r="481" spans="1:1" ht="13">
      <c r="A481" s="662" t="s">
        <v>8242</v>
      </c>
    </row>
    <row r="482" spans="1:1" s="25" customFormat="1" ht="13">
      <c r="A482" s="25" t="s">
        <v>8244</v>
      </c>
    </row>
    <row r="483" spans="1:1" s="25" customFormat="1" ht="13"/>
    <row r="484" spans="1:1" s="25" customFormat="1" ht="13">
      <c r="A484" s="662" t="s">
        <v>8243</v>
      </c>
    </row>
    <row r="485" spans="1:1" s="25" customFormat="1" ht="13">
      <c r="A485" s="25" t="s">
        <v>8237</v>
      </c>
    </row>
    <row r="486" spans="1:1" s="25" customFormat="1" ht="13">
      <c r="A486" s="25" t="s">
        <v>8246</v>
      </c>
    </row>
    <row r="487" spans="1:1" s="25" customFormat="1" ht="13"/>
    <row r="488" spans="1:1" s="25" customFormat="1" ht="13">
      <c r="A488" s="25" t="s">
        <v>8238</v>
      </c>
    </row>
    <row r="489" spans="1:1" s="25" customFormat="1" ht="13">
      <c r="A489" s="25" t="s">
        <v>8239</v>
      </c>
    </row>
    <row r="490" spans="1:1" s="25" customFormat="1" ht="13">
      <c r="A490" s="25" t="s">
        <v>8249</v>
      </c>
    </row>
    <row r="491" spans="1:1" s="25" customFormat="1" ht="13">
      <c r="A491" s="25" t="s">
        <v>8247</v>
      </c>
    </row>
    <row r="493" spans="1:1" ht="13">
      <c r="A493" s="25" t="s">
        <v>8245</v>
      </c>
    </row>
    <row r="494" spans="1:1" ht="13">
      <c r="A494" s="25" t="s">
        <v>8241</v>
      </c>
    </row>
    <row r="495" spans="1:1" ht="13">
      <c r="A495" s="25" t="s">
        <v>8248</v>
      </c>
    </row>
    <row r="496" spans="1:1" ht="13">
      <c r="A496" s="25" t="s">
        <v>8251</v>
      </c>
    </row>
    <row r="497" spans="1:1" ht="13">
      <c r="A497" s="25" t="s">
        <v>8250</v>
      </c>
    </row>
    <row r="500" spans="1:1" ht="13">
      <c r="A500" s="1366" t="s">
        <v>8256</v>
      </c>
    </row>
    <row r="501" spans="1:1" ht="13">
      <c r="A501" s="662" t="s">
        <v>8257</v>
      </c>
    </row>
    <row r="502" spans="1:1" ht="13">
      <c r="A502" s="25" t="s">
        <v>8260</v>
      </c>
    </row>
    <row r="503" spans="1:1" ht="13">
      <c r="A503" s="25" t="s">
        <v>8261</v>
      </c>
    </row>
    <row r="504" spans="1:1" ht="13">
      <c r="A504" s="25"/>
    </row>
    <row r="505" spans="1:1" ht="13">
      <c r="A505" s="25" t="s">
        <v>8262</v>
      </c>
    </row>
    <row r="506" spans="1:1" ht="13">
      <c r="A506" s="25" t="s">
        <v>8263</v>
      </c>
    </row>
    <row r="507" spans="1:1" ht="13">
      <c r="A507" s="25" t="s">
        <v>8265</v>
      </c>
    </row>
    <row r="508" spans="1:1" ht="13">
      <c r="A508" s="25" t="s">
        <v>8266</v>
      </c>
    </row>
    <row r="510" spans="1:1" ht="13">
      <c r="A510" s="662" t="s">
        <v>8258</v>
      </c>
    </row>
    <row r="511" spans="1:1" s="25" customFormat="1" ht="13">
      <c r="A511" s="25" t="s">
        <v>8264</v>
      </c>
    </row>
    <row r="512" spans="1:1" s="25" customFormat="1" ht="13">
      <c r="A512" s="25" t="s">
        <v>8259</v>
      </c>
    </row>
    <row r="515" spans="1:1" ht="13">
      <c r="A515" s="1366" t="s">
        <v>8347</v>
      </c>
    </row>
    <row r="516" spans="1:1" ht="13">
      <c r="A516" s="25" t="s">
        <v>8350</v>
      </c>
    </row>
    <row r="517" spans="1:1" s="25" customFormat="1" ht="13">
      <c r="A517" s="25" t="s">
        <v>8354</v>
      </c>
    </row>
    <row r="518" spans="1:1" s="25" customFormat="1" ht="13">
      <c r="A518" s="25" t="s">
        <v>8355</v>
      </c>
    </row>
    <row r="519" spans="1:1" s="25" customFormat="1" ht="13"/>
    <row r="520" spans="1:1" s="25" customFormat="1" ht="13">
      <c r="A520" s="662" t="s">
        <v>8348</v>
      </c>
    </row>
    <row r="521" spans="1:1" s="25" customFormat="1" ht="13">
      <c r="A521" s="25" t="s">
        <v>8375</v>
      </c>
    </row>
    <row r="522" spans="1:1" s="25" customFormat="1" ht="13">
      <c r="A522" s="25" t="s">
        <v>8374</v>
      </c>
    </row>
    <row r="523" spans="1:1" s="25" customFormat="1" ht="13"/>
    <row r="524" spans="1:1" s="25" customFormat="1" ht="13">
      <c r="A524" s="662" t="s">
        <v>8349</v>
      </c>
    </row>
    <row r="525" spans="1:1" s="25" customFormat="1" ht="13">
      <c r="A525" s="1830" t="s">
        <v>8363</v>
      </c>
    </row>
    <row r="526" spans="1:1" s="25" customFormat="1" ht="13">
      <c r="A526" s="25" t="s">
        <v>8367</v>
      </c>
    </row>
    <row r="527" spans="1:1" s="25" customFormat="1" ht="13">
      <c r="A527" s="25" t="s">
        <v>8351</v>
      </c>
    </row>
    <row r="528" spans="1:1" s="25" customFormat="1" ht="13"/>
    <row r="529" spans="1:1" s="25" customFormat="1" ht="13">
      <c r="A529" s="25" t="s">
        <v>8368</v>
      </c>
    </row>
    <row r="530" spans="1:1" s="25" customFormat="1" ht="13"/>
    <row r="531" spans="1:1" s="25" customFormat="1" ht="13">
      <c r="A531" s="25" t="s">
        <v>8369</v>
      </c>
    </row>
    <row r="532" spans="1:1" s="25" customFormat="1" ht="13">
      <c r="A532" s="25" t="s">
        <v>8362</v>
      </c>
    </row>
    <row r="533" spans="1:1" s="25" customFormat="1" ht="13"/>
    <row r="534" spans="1:1" s="25" customFormat="1" ht="13">
      <c r="A534" s="1830" t="s">
        <v>8353</v>
      </c>
    </row>
    <row r="535" spans="1:1" s="25" customFormat="1" ht="13">
      <c r="A535" s="25" t="s">
        <v>8370</v>
      </c>
    </row>
    <row r="536" spans="1:1" s="25" customFormat="1" ht="13">
      <c r="A536" s="25" t="s">
        <v>8365</v>
      </c>
    </row>
    <row r="537" spans="1:1" s="25" customFormat="1" ht="13"/>
    <row r="538" spans="1:1" s="25" customFormat="1" ht="13">
      <c r="A538" s="25" t="s">
        <v>8371</v>
      </c>
    </row>
    <row r="539" spans="1:1" s="25" customFormat="1" ht="13"/>
    <row r="540" spans="1:1" s="25" customFormat="1" ht="13">
      <c r="A540" s="25" t="s">
        <v>8372</v>
      </c>
    </row>
    <row r="541" spans="1:1" s="25" customFormat="1" ht="13">
      <c r="A541" s="25" t="s">
        <v>8366</v>
      </c>
    </row>
    <row r="542" spans="1:1" s="25" customFormat="1" ht="13"/>
    <row r="543" spans="1:1" s="25" customFormat="1" ht="13">
      <c r="A543" s="25" t="s">
        <v>8360</v>
      </c>
    </row>
    <row r="544" spans="1:1" ht="13">
      <c r="A544" s="25" t="s">
        <v>8352</v>
      </c>
    </row>
    <row r="545" spans="1:1" s="25" customFormat="1" ht="13">
      <c r="A545" s="25" t="s">
        <v>8356</v>
      </c>
    </row>
    <row r="546" spans="1:1" s="25" customFormat="1" ht="13">
      <c r="A546" s="25" t="s">
        <v>8357</v>
      </c>
    </row>
    <row r="547" spans="1:1" s="25" customFormat="1" ht="13">
      <c r="A547" s="25" t="s">
        <v>8364</v>
      </c>
    </row>
    <row r="548" spans="1:1" s="25" customFormat="1" ht="13"/>
    <row r="549" spans="1:1" s="25" customFormat="1" ht="13">
      <c r="A549" s="25" t="s">
        <v>8361</v>
      </c>
    </row>
    <row r="550" spans="1:1" s="25" customFormat="1" ht="13">
      <c r="A550" s="25" t="s">
        <v>8359</v>
      </c>
    </row>
    <row r="551" spans="1:1" s="25" customFormat="1" ht="13">
      <c r="A551" s="25" t="s">
        <v>8358</v>
      </c>
    </row>
    <row r="552" spans="1:1" s="25" customFormat="1" ht="13"/>
    <row r="553" spans="1:1" ht="13">
      <c r="A553" s="1366" t="s">
        <v>8437</v>
      </c>
    </row>
    <row r="554" spans="1:1" ht="13">
      <c r="A554" s="662" t="s">
        <v>8392</v>
      </c>
    </row>
    <row r="555" spans="1:1" s="25" customFormat="1" ht="13">
      <c r="A555" s="25" t="s">
        <v>8439</v>
      </c>
    </row>
    <row r="556" spans="1:1" s="25" customFormat="1" ht="13">
      <c r="A556" s="25" t="s">
        <v>8440</v>
      </c>
    </row>
    <row r="557" spans="1:1" s="25" customFormat="1" ht="13">
      <c r="A557" s="25" t="s">
        <v>8442</v>
      </c>
    </row>
    <row r="558" spans="1:1" s="25" customFormat="1" ht="13">
      <c r="A558" s="25" t="s">
        <v>8441</v>
      </c>
    </row>
    <row r="559" spans="1:1" s="25" customFormat="1" ht="13">
      <c r="A559" s="25" t="s">
        <v>8438</v>
      </c>
    </row>
    <row r="560" spans="1:1" s="25" customFormat="1" ht="13"/>
    <row r="561" spans="1:1" s="25" customFormat="1" ht="13">
      <c r="A561" s="662" t="s">
        <v>8393</v>
      </c>
    </row>
    <row r="562" spans="1:1" s="25" customFormat="1" ht="13">
      <c r="A562" s="25" t="s">
        <v>8408</v>
      </c>
    </row>
    <row r="563" spans="1:1" s="25" customFormat="1" ht="13">
      <c r="A563" s="25" t="s">
        <v>8407</v>
      </c>
    </row>
    <row r="564" spans="1:1" s="25" customFormat="1" ht="13"/>
    <row r="565" spans="1:1" s="25" customFormat="1" ht="13">
      <c r="A565" s="25" t="s">
        <v>8419</v>
      </c>
    </row>
    <row r="566" spans="1:1" s="25" customFormat="1" ht="13"/>
    <row r="567" spans="1:1" s="25" customFormat="1" ht="13">
      <c r="A567" s="25" t="s">
        <v>8416</v>
      </c>
    </row>
    <row r="568" spans="1:1" s="25" customFormat="1" ht="13">
      <c r="A568" s="25" t="s">
        <v>8394</v>
      </c>
    </row>
    <row r="569" spans="1:1" s="25" customFormat="1" ht="13"/>
    <row r="570" spans="1:1" s="25" customFormat="1" ht="13">
      <c r="A570" s="25" t="s">
        <v>8417</v>
      </c>
    </row>
    <row r="571" spans="1:1" s="25" customFormat="1" ht="13">
      <c r="A571" s="25" t="s">
        <v>8409</v>
      </c>
    </row>
    <row r="572" spans="1:1" s="25" customFormat="1" ht="13">
      <c r="A572" s="25" t="s">
        <v>8423</v>
      </c>
    </row>
    <row r="573" spans="1:1" s="25" customFormat="1" ht="13">
      <c r="A573" s="25" t="s">
        <v>8425</v>
      </c>
    </row>
    <row r="574" spans="1:1" s="25" customFormat="1" ht="13">
      <c r="A574" s="25" t="s">
        <v>8424</v>
      </c>
    </row>
    <row r="575" spans="1:1" s="25" customFormat="1" ht="13"/>
    <row r="576" spans="1:1" s="25" customFormat="1" ht="13">
      <c r="A576" s="36" t="s">
        <v>8406</v>
      </c>
    </row>
    <row r="577" spans="1:1" s="25" customFormat="1" ht="13">
      <c r="A577" s="36" t="s">
        <v>8396</v>
      </c>
    </row>
    <row r="578" spans="1:1" s="25" customFormat="1" ht="13">
      <c r="A578" s="36" t="s">
        <v>8410</v>
      </c>
    </row>
    <row r="579" spans="1:1" s="25" customFormat="1" ht="13">
      <c r="A579" s="36" t="s">
        <v>8411</v>
      </c>
    </row>
    <row r="580" spans="1:1" s="25" customFormat="1" ht="13">
      <c r="A580" s="36" t="s">
        <v>8405</v>
      </c>
    </row>
    <row r="581" spans="1:1" s="25" customFormat="1" ht="13">
      <c r="A581" s="36" t="s">
        <v>8399</v>
      </c>
    </row>
    <row r="582" spans="1:1" s="25" customFormat="1" ht="13">
      <c r="A582" s="36" t="s">
        <v>8421</v>
      </c>
    </row>
    <row r="583" spans="1:1" s="25" customFormat="1" ht="13">
      <c r="A583" s="1905" t="s">
        <v>8401</v>
      </c>
    </row>
    <row r="584" spans="1:1" s="25" customFormat="1" ht="13">
      <c r="A584" s="36" t="s">
        <v>8400</v>
      </c>
    </row>
    <row r="585" spans="1:1" s="25" customFormat="1" ht="13">
      <c r="A585" s="36" t="s">
        <v>8418</v>
      </c>
    </row>
    <row r="586" spans="1:1" ht="13">
      <c r="A586" s="36" t="s">
        <v>8402</v>
      </c>
    </row>
    <row r="587" spans="1:1" ht="13">
      <c r="A587" s="25"/>
    </row>
    <row r="593" spans="1:1" s="25" customFormat="1" ht="13">
      <c r="A593" s="25" t="s">
        <v>8395</v>
      </c>
    </row>
    <row r="594" spans="1:1" s="25" customFormat="1" ht="13">
      <c r="A594" s="25" t="s">
        <v>8398</v>
      </c>
    </row>
    <row r="595" spans="1:1" s="25" customFormat="1" ht="13"/>
    <row r="596" spans="1:1" s="25" customFormat="1" ht="13">
      <c r="A596" s="25" t="s">
        <v>8397</v>
      </c>
    </row>
    <row r="597" spans="1:1" s="25" customFormat="1" ht="13">
      <c r="A597" s="36" t="s">
        <v>8412</v>
      </c>
    </row>
    <row r="598" spans="1:1" s="25" customFormat="1" ht="13">
      <c r="A598" s="36" t="s">
        <v>8413</v>
      </c>
    </row>
    <row r="599" spans="1:1" s="25" customFormat="1" ht="13">
      <c r="A599" s="36" t="s">
        <v>8414</v>
      </c>
    </row>
    <row r="600" spans="1:1" s="25" customFormat="1" ht="13">
      <c r="A600" s="36" t="s">
        <v>8415</v>
      </c>
    </row>
    <row r="601" spans="1:1" s="25" customFormat="1" ht="13">
      <c r="A601" s="36" t="s">
        <v>8403</v>
      </c>
    </row>
    <row r="602" spans="1:1" s="25" customFormat="1" ht="13">
      <c r="A602" s="1905" t="s">
        <v>8404</v>
      </c>
    </row>
    <row r="603" spans="1:1" s="25" customFormat="1" ht="13">
      <c r="A603" s="36" t="s">
        <v>8427</v>
      </c>
    </row>
    <row r="604" spans="1:1" ht="13">
      <c r="A604" s="36" t="s">
        <v>8426</v>
      </c>
    </row>
    <row r="605" spans="1:1" ht="13">
      <c r="A605" s="36" t="s">
        <v>8422</v>
      </c>
    </row>
    <row r="607" spans="1:1" ht="13">
      <c r="A607" s="1366" t="s">
        <v>8443</v>
      </c>
    </row>
    <row r="608" spans="1:1" ht="13">
      <c r="A608" s="662" t="s">
        <v>8444</v>
      </c>
    </row>
    <row r="609" spans="1:1" s="25" customFormat="1" ht="13" customHeight="1">
      <c r="A609" s="25" t="s">
        <v>8446</v>
      </c>
    </row>
    <row r="610" spans="1:1" s="25" customFormat="1" ht="13"/>
    <row r="611" spans="1:1" s="25" customFormat="1" ht="13">
      <c r="A611" s="662" t="s">
        <v>8445</v>
      </c>
    </row>
    <row r="612" spans="1:1" s="25" customFormat="1" ht="13">
      <c r="A612" s="25" t="s">
        <v>8448</v>
      </c>
    </row>
    <row r="613" spans="1:1" s="25" customFormat="1" ht="13">
      <c r="A613" s="25" t="s">
        <v>8449</v>
      </c>
    </row>
    <row r="614" spans="1:1" s="25" customFormat="1" ht="13">
      <c r="A614" s="25" t="s">
        <v>8450</v>
      </c>
    </row>
    <row r="615" spans="1:1" s="25" customFormat="1" ht="13">
      <c r="A615" s="25" t="s">
        <v>8451</v>
      </c>
    </row>
    <row r="616" spans="1:1" s="25" customFormat="1" ht="13"/>
    <row r="617" spans="1:1" s="25" customFormat="1" ht="13"/>
    <row r="618" spans="1:1" s="25" customFormat="1" ht="13"/>
    <row r="619" spans="1:1" s="25" customFormat="1" ht="13"/>
    <row r="620" spans="1:1" s="25" customFormat="1" ht="13"/>
    <row r="622" spans="1:1" s="25" customFormat="1" ht="13"/>
    <row r="623" spans="1:1" s="25" customFormat="1" ht="13"/>
    <row r="624" spans="1:1" s="25" customFormat="1" ht="13"/>
    <row r="625" spans="1:1" s="25" customFormat="1" ht="8.5" customHeight="1"/>
    <row r="627" spans="1:1" ht="13">
      <c r="A627" s="25" t="s">
        <v>8447</v>
      </c>
    </row>
    <row r="629" spans="1:1" ht="13">
      <c r="A629" s="1366" t="s">
        <v>8453</v>
      </c>
    </row>
    <row r="630" spans="1:1" s="25" customFormat="1" ht="13">
      <c r="A630" s="25" t="s">
        <v>8463</v>
      </c>
    </row>
    <row r="631" spans="1:1" s="25" customFormat="1" ht="13">
      <c r="A631" s="25" t="s">
        <v>8472</v>
      </c>
    </row>
    <row r="632" spans="1:1" s="25" customFormat="1" ht="13">
      <c r="A632" s="25" t="s">
        <v>8473</v>
      </c>
    </row>
    <row r="633" spans="1:1" s="25" customFormat="1" ht="13">
      <c r="A633" s="36" t="s">
        <v>8474</v>
      </c>
    </row>
    <row r="634" spans="1:1" s="25" customFormat="1" ht="13"/>
    <row r="635" spans="1:1" s="25" customFormat="1" ht="13">
      <c r="A635" s="662" t="s">
        <v>8454</v>
      </c>
    </row>
    <row r="636" spans="1:1" s="25" customFormat="1" ht="13">
      <c r="A636" s="25" t="s">
        <v>8455</v>
      </c>
    </row>
    <row r="637" spans="1:1" s="25" customFormat="1" ht="13">
      <c r="A637" s="25" t="s">
        <v>8467</v>
      </c>
    </row>
    <row r="638" spans="1:1" s="25" customFormat="1" ht="13">
      <c r="A638" s="25" t="s">
        <v>8468</v>
      </c>
    </row>
    <row r="639" spans="1:1" s="25" customFormat="1" ht="13"/>
    <row r="640" spans="1:1" s="25" customFormat="1" ht="13">
      <c r="A640" s="25" t="s">
        <v>8457</v>
      </c>
    </row>
    <row r="641" spans="1:1" s="25" customFormat="1" ht="13">
      <c r="A641" s="25" t="s">
        <v>8456</v>
      </c>
    </row>
    <row r="642" spans="1:1" s="25" customFormat="1" ht="13"/>
    <row r="643" spans="1:1" s="25" customFormat="1" ht="13">
      <c r="A643" s="662" t="s">
        <v>8445</v>
      </c>
    </row>
    <row r="644" spans="1:1" s="25" customFormat="1" ht="13">
      <c r="A644" s="25" t="s">
        <v>8458</v>
      </c>
    </row>
    <row r="645" spans="1:1" s="25" customFormat="1" ht="13"/>
    <row r="646" spans="1:1" ht="13">
      <c r="A646" s="25" t="s">
        <v>8459</v>
      </c>
    </row>
    <row r="648" spans="1:1" ht="13">
      <c r="A648" s="25" t="s">
        <v>8460</v>
      </c>
    </row>
    <row r="649" spans="1:1" s="25" customFormat="1" ht="13">
      <c r="A649" s="25" t="s">
        <v>8475</v>
      </c>
    </row>
    <row r="650" spans="1:1" ht="13">
      <c r="A650" s="25" t="s">
        <v>8476</v>
      </c>
    </row>
    <row r="651" spans="1:1" s="25" customFormat="1" ht="13">
      <c r="A651" s="25" t="s">
        <v>8469</v>
      </c>
    </row>
    <row r="652" spans="1:1" s="25" customFormat="1" ht="13">
      <c r="A652" s="36" t="s">
        <v>8471</v>
      </c>
    </row>
    <row r="653" spans="1:1" s="25" customFormat="1" ht="13">
      <c r="A653" s="25" t="s">
        <v>8470</v>
      </c>
    </row>
    <row r="654" spans="1:1" s="25" customFormat="1" ht="13">
      <c r="A654" s="25" t="s">
        <v>8461</v>
      </c>
    </row>
    <row r="655" spans="1:1" ht="13">
      <c r="A655" s="25" t="s">
        <v>8462</v>
      </c>
    </row>
    <row r="656" spans="1:1" ht="13">
      <c r="A656" s="25" t="s">
        <v>8464</v>
      </c>
    </row>
    <row r="657" spans="1:1" ht="13">
      <c r="A657" s="25" t="s">
        <v>8465</v>
      </c>
    </row>
    <row r="658" spans="1:1" ht="13">
      <c r="A658" s="25" t="s">
        <v>8466</v>
      </c>
    </row>
    <row r="660" spans="1:1" ht="13">
      <c r="A660" s="1366" t="s">
        <v>8477</v>
      </c>
    </row>
    <row r="661" spans="1:1" ht="13">
      <c r="A661" s="662" t="s">
        <v>8478</v>
      </c>
    </row>
    <row r="662" spans="1:1" s="25" customFormat="1" ht="13">
      <c r="A662" s="25" t="s">
        <v>8479</v>
      </c>
    </row>
    <row r="663" spans="1:1" s="25" customFormat="1" ht="13">
      <c r="A663" s="25" t="s">
        <v>8480</v>
      </c>
    </row>
    <row r="664" spans="1:1" s="25" customFormat="1" ht="13">
      <c r="A664" s="25" t="s">
        <v>8481</v>
      </c>
    </row>
    <row r="665" spans="1:1" s="25" customFormat="1" ht="13"/>
    <row r="666" spans="1:1" ht="13">
      <c r="A666" s="1366" t="s">
        <v>8603</v>
      </c>
    </row>
    <row r="667" spans="1:1" ht="13">
      <c r="A667" s="1098" t="s">
        <v>8599</v>
      </c>
    </row>
    <row r="668" spans="1:1" ht="13">
      <c r="A668" s="1098" t="s">
        <v>8589</v>
      </c>
    </row>
    <row r="669" spans="1:1" ht="13">
      <c r="A669" s="1098" t="s">
        <v>8593</v>
      </c>
    </row>
    <row r="671" spans="1:1" ht="13">
      <c r="A671" s="662" t="s">
        <v>8595</v>
      </c>
    </row>
    <row r="672" spans="1:1" ht="13">
      <c r="A672" s="1098" t="s">
        <v>8590</v>
      </c>
    </row>
    <row r="673" spans="1:1" ht="13">
      <c r="A673" s="2046" t="s">
        <v>8609</v>
      </c>
    </row>
    <row r="674" spans="1:1" s="25" customFormat="1" ht="13">
      <c r="A674" s="25" t="s">
        <v>8610</v>
      </c>
    </row>
    <row r="675" spans="1:1" s="25" customFormat="1" ht="13">
      <c r="A675" s="25" t="s">
        <v>8592</v>
      </c>
    </row>
    <row r="676" spans="1:1" s="25" customFormat="1" ht="13">
      <c r="A676" s="25" t="s">
        <v>8591</v>
      </c>
    </row>
    <row r="677" spans="1:1" s="25" customFormat="1" ht="13">
      <c r="A677" s="25" t="s">
        <v>8600</v>
      </c>
    </row>
    <row r="678" spans="1:1" s="25" customFormat="1" ht="13">
      <c r="A678" s="25" t="s">
        <v>8594</v>
      </c>
    </row>
    <row r="679" spans="1:1" s="25" customFormat="1" ht="13">
      <c r="A679" s="25" t="s">
        <v>8601</v>
      </c>
    </row>
    <row r="680" spans="1:1" s="25" customFormat="1" ht="13.5" thickBot="1"/>
    <row r="681" spans="1:1" s="25" customFormat="1" ht="13">
      <c r="A681" s="2048" t="s">
        <v>8605</v>
      </c>
    </row>
    <row r="682" spans="1:1" s="25" customFormat="1" ht="13">
      <c r="A682" s="2049" t="s">
        <v>8611</v>
      </c>
    </row>
    <row r="683" spans="1:1" s="25" customFormat="1" ht="13">
      <c r="A683" s="2049" t="s">
        <v>8612</v>
      </c>
    </row>
    <row r="684" spans="1:1" s="25" customFormat="1" ht="13.5" thickBot="1">
      <c r="A684" s="2050" t="s">
        <v>8604</v>
      </c>
    </row>
    <row r="685" spans="1:1" s="25" customFormat="1" ht="13"/>
    <row r="686" spans="1:1" s="25" customFormat="1" ht="13">
      <c r="A686" s="662" t="s">
        <v>8596</v>
      </c>
    </row>
    <row r="687" spans="1:1" s="25" customFormat="1" ht="13">
      <c r="A687" s="25" t="s">
        <v>8597</v>
      </c>
    </row>
    <row r="688" spans="1:1" s="25" customFormat="1" ht="13">
      <c r="A688" s="25" t="s">
        <v>8598</v>
      </c>
    </row>
    <row r="690" spans="1:1" ht="13">
      <c r="A690" s="25" t="s">
        <v>8607</v>
      </c>
    </row>
    <row r="692" spans="1:1" ht="13">
      <c r="A692" s="662" t="s">
        <v>8602</v>
      </c>
    </row>
    <row r="693" spans="1:1" s="25" customFormat="1" ht="13">
      <c r="A693" s="662" t="s">
        <v>8606</v>
      </c>
    </row>
    <row r="694" spans="1:1" s="25" customFormat="1" ht="13">
      <c r="A694" s="662" t="s">
        <v>8608</v>
      </c>
    </row>
    <row r="695" spans="1:1" s="25" customFormat="1" ht="13"/>
    <row r="696" spans="1:1" ht="13">
      <c r="A696" s="1366" t="s">
        <v>8686</v>
      </c>
    </row>
    <row r="697" spans="1:1" ht="13">
      <c r="A697" s="662" t="s">
        <v>8681</v>
      </c>
    </row>
    <row r="698" spans="1:1" s="2042" customFormat="1"/>
    <row r="699" spans="1:1" ht="13">
      <c r="A699" s="662" t="s">
        <v>8689</v>
      </c>
    </row>
    <row r="700" spans="1:1" s="25" customFormat="1" ht="13">
      <c r="A700" s="25" t="s">
        <v>8694</v>
      </c>
    </row>
    <row r="701" spans="1:1" s="25" customFormat="1" ht="13"/>
    <row r="702" spans="1:1" s="25" customFormat="1" ht="13">
      <c r="A702" s="25" t="s">
        <v>8690</v>
      </c>
    </row>
    <row r="703" spans="1:1" s="25" customFormat="1" ht="13"/>
    <row r="704" spans="1:1" s="25" customFormat="1" ht="13">
      <c r="A704" s="25" t="s">
        <v>8682</v>
      </c>
    </row>
    <row r="705" spans="1:1" s="25" customFormat="1" ht="13">
      <c r="A705" s="36" t="s">
        <v>8687</v>
      </c>
    </row>
    <row r="706" spans="1:1" s="25" customFormat="1" ht="13">
      <c r="A706" s="36" t="s">
        <v>8685</v>
      </c>
    </row>
    <row r="707" spans="1:1" s="25" customFormat="1" ht="13">
      <c r="A707" s="36" t="s">
        <v>8683</v>
      </c>
    </row>
    <row r="708" spans="1:1" s="25" customFormat="1" ht="13">
      <c r="A708" s="36" t="s">
        <v>8684</v>
      </c>
    </row>
    <row r="709" spans="1:1" s="25" customFormat="1" ht="13">
      <c r="A709" s="36" t="s">
        <v>8692</v>
      </c>
    </row>
    <row r="710" spans="1:1" s="25" customFormat="1" ht="13">
      <c r="A710" s="36" t="s">
        <v>8691</v>
      </c>
    </row>
    <row r="711" spans="1:1" s="25" customFormat="1" ht="13">
      <c r="A711" s="36" t="s">
        <v>8693</v>
      </c>
    </row>
    <row r="712" spans="1:1" s="25" customFormat="1" ht="13"/>
    <row r="713" spans="1:1" s="25" customFormat="1" ht="13">
      <c r="A713" s="25" t="s">
        <v>8688</v>
      </c>
    </row>
    <row r="716" spans="1:1" ht="13">
      <c r="A716" s="1366" t="s">
        <v>8707</v>
      </c>
    </row>
    <row r="717" spans="1:1" ht="13">
      <c r="A717" s="662" t="s">
        <v>7763</v>
      </c>
    </row>
    <row r="718" spans="1:1" s="25" customFormat="1" ht="13">
      <c r="A718" s="25" t="s">
        <v>8708</v>
      </c>
    </row>
    <row r="719" spans="1:1" s="25" customFormat="1" ht="13">
      <c r="A719" s="25" t="s">
        <v>8709</v>
      </c>
    </row>
    <row r="720" spans="1:1" s="25" customFormat="1" ht="13">
      <c r="A720" s="25" t="s">
        <v>8717</v>
      </c>
    </row>
    <row r="721" spans="1:1" s="25" customFormat="1" ht="13"/>
    <row r="722" spans="1:1" s="25" customFormat="1" ht="13">
      <c r="A722" s="25" t="s">
        <v>8718</v>
      </c>
    </row>
    <row r="723" spans="1:1" s="25" customFormat="1" ht="13"/>
    <row r="724" spans="1:1" s="25" customFormat="1" ht="13">
      <c r="A724" s="662" t="s">
        <v>8726</v>
      </c>
    </row>
    <row r="725" spans="1:1" s="25" customFormat="1" ht="13">
      <c r="A725" s="25" t="s">
        <v>8710</v>
      </c>
    </row>
    <row r="726" spans="1:1" s="25" customFormat="1" ht="13">
      <c r="A726" s="25" t="s">
        <v>8723</v>
      </c>
    </row>
    <row r="727" spans="1:1" s="25" customFormat="1" ht="13">
      <c r="A727" s="25" t="s">
        <v>8724</v>
      </c>
    </row>
    <row r="728" spans="1:1" s="25" customFormat="1" ht="13"/>
    <row r="729" spans="1:1" ht="13">
      <c r="A729" s="25" t="s">
        <v>8716</v>
      </c>
    </row>
    <row r="730" spans="1:1" s="2042" customFormat="1" ht="13">
      <c r="A730" s="25"/>
    </row>
    <row r="731" spans="1:1" s="2042" customFormat="1" ht="13">
      <c r="A731" s="25" t="s">
        <v>8720</v>
      </c>
    </row>
    <row r="732" spans="1:1" s="2042" customFormat="1" ht="13">
      <c r="A732" s="25" t="s">
        <v>8722</v>
      </c>
    </row>
    <row r="734" spans="1:1" ht="13">
      <c r="A734" s="25" t="s">
        <v>8721</v>
      </c>
    </row>
    <row r="735" spans="1:1" s="25" customFormat="1" ht="13">
      <c r="A735" s="25" t="s">
        <v>8719</v>
      </c>
    </row>
    <row r="736" spans="1:1" s="25" customFormat="1" ht="13">
      <c r="A736" s="36" t="s">
        <v>8711</v>
      </c>
    </row>
    <row r="737" spans="1:1" s="25" customFormat="1" ht="13">
      <c r="A737" s="36" t="s">
        <v>8713</v>
      </c>
    </row>
    <row r="738" spans="1:1" s="25" customFormat="1" ht="13">
      <c r="A738" s="36" t="s">
        <v>8712</v>
      </c>
    </row>
    <row r="739" spans="1:1" s="25" customFormat="1" ht="13"/>
    <row r="740" spans="1:1" s="25" customFormat="1" ht="13">
      <c r="A740" s="662" t="s">
        <v>8714</v>
      </c>
    </row>
    <row r="741" spans="1:1" s="25" customFormat="1" ht="13">
      <c r="A741" s="662" t="s">
        <v>8715</v>
      </c>
    </row>
    <row r="744" spans="1:1" ht="13">
      <c r="A744" s="1366" t="s">
        <v>8734</v>
      </c>
    </row>
    <row r="745" spans="1:1" s="25" customFormat="1" ht="13">
      <c r="A745" s="25" t="s">
        <v>8733</v>
      </c>
    </row>
    <row r="746" spans="1:1" s="25" customFormat="1" ht="13">
      <c r="A746" s="25" t="s">
        <v>8741</v>
      </c>
    </row>
    <row r="747" spans="1:1" s="25" customFormat="1" ht="13">
      <c r="A747" s="25" t="s">
        <v>8740</v>
      </c>
    </row>
    <row r="749" spans="1:1" ht="13">
      <c r="A749" s="662" t="s">
        <v>8735</v>
      </c>
    </row>
    <row r="750" spans="1:1" s="2042" customFormat="1" ht="13">
      <c r="A750" s="25" t="s">
        <v>8739</v>
      </c>
    </row>
    <row r="752" spans="1:1" ht="13">
      <c r="A752" s="662" t="s">
        <v>8727</v>
      </c>
    </row>
    <row r="753" spans="1:1" s="25" customFormat="1" ht="13">
      <c r="A753" s="25" t="s">
        <v>8736</v>
      </c>
    </row>
    <row r="754" spans="1:1" s="25" customFormat="1" ht="13">
      <c r="A754" s="25" t="s">
        <v>8728</v>
      </c>
    </row>
    <row r="755" spans="1:1" s="25" customFormat="1" ht="13">
      <c r="A755" s="25" t="s">
        <v>8729</v>
      </c>
    </row>
    <row r="756" spans="1:1" ht="13">
      <c r="A756" s="25" t="s">
        <v>8731</v>
      </c>
    </row>
    <row r="757" spans="1:1" s="2042" customFormat="1" ht="13">
      <c r="A757" s="25" t="s">
        <v>8732</v>
      </c>
    </row>
    <row r="758" spans="1:1" s="2042" customFormat="1" ht="13">
      <c r="A758" s="25"/>
    </row>
    <row r="759" spans="1:1" ht="13">
      <c r="A759" s="25" t="s">
        <v>8730</v>
      </c>
    </row>
    <row r="760" spans="1:1" ht="13">
      <c r="A760" s="25" t="s">
        <v>8737</v>
      </c>
    </row>
    <row r="762" spans="1:1" ht="13">
      <c r="A762" s="25" t="s">
        <v>8738</v>
      </c>
    </row>
    <row r="765" spans="1:1" ht="13">
      <c r="A765" s="1366" t="s">
        <v>8754</v>
      </c>
    </row>
    <row r="766" spans="1:1" s="25" customFormat="1" ht="13">
      <c r="A766" s="25" t="s">
        <v>8746</v>
      </c>
    </row>
    <row r="767" spans="1:1" s="25" customFormat="1" ht="13">
      <c r="A767" s="25" t="s">
        <v>8742</v>
      </c>
    </row>
    <row r="768" spans="1:1" s="25" customFormat="1" ht="13"/>
    <row r="769" spans="1:1" s="25" customFormat="1" ht="13">
      <c r="A769" s="662" t="s">
        <v>8744</v>
      </c>
    </row>
    <row r="770" spans="1:1" s="25" customFormat="1" ht="13">
      <c r="A770" s="25" t="s">
        <v>8743</v>
      </c>
    </row>
    <row r="771" spans="1:1" s="25" customFormat="1" ht="13"/>
    <row r="772" spans="1:1" s="25" customFormat="1" ht="13">
      <c r="A772" s="662" t="s">
        <v>8745</v>
      </c>
    </row>
    <row r="773" spans="1:1" ht="13">
      <c r="A773" s="25" t="s">
        <v>8747</v>
      </c>
    </row>
    <row r="774" spans="1:1" ht="13">
      <c r="A774" s="25" t="s">
        <v>8748</v>
      </c>
    </row>
    <row r="775" spans="1:1" s="2042" customFormat="1" ht="13">
      <c r="A775" s="25"/>
    </row>
    <row r="776" spans="1:1" ht="13">
      <c r="A776" s="25" t="s">
        <v>8749</v>
      </c>
    </row>
    <row r="777" spans="1:1" ht="13">
      <c r="A777" s="25" t="s">
        <v>8750</v>
      </c>
    </row>
    <row r="778" spans="1:1" ht="13">
      <c r="A778" s="25" t="s">
        <v>8751</v>
      </c>
    </row>
    <row r="779" spans="1:1" ht="13">
      <c r="A779" s="25" t="s">
        <v>8755</v>
      </c>
    </row>
    <row r="780" spans="1:1" ht="13">
      <c r="A780" s="25" t="s">
        <v>8756</v>
      </c>
    </row>
    <row r="781" spans="1:1" s="2042" customFormat="1" ht="13">
      <c r="A781" s="25"/>
    </row>
    <row r="782" spans="1:1" ht="13">
      <c r="A782" s="25" t="s">
        <v>8752</v>
      </c>
    </row>
    <row r="783" spans="1:1" ht="13">
      <c r="A783" s="25" t="s">
        <v>8753</v>
      </c>
    </row>
    <row r="786" spans="1:1" ht="13">
      <c r="A786" s="1366" t="s">
        <v>8842</v>
      </c>
    </row>
    <row r="787" spans="1:1" ht="13">
      <c r="A787" s="662" t="s">
        <v>8780</v>
      </c>
    </row>
    <row r="788" spans="1:1" s="25" customFormat="1" ht="13">
      <c r="A788" s="25" t="s">
        <v>8781</v>
      </c>
    </row>
    <row r="789" spans="1:1" s="25" customFormat="1" ht="13">
      <c r="A789" s="25" t="s">
        <v>8786</v>
      </c>
    </row>
    <row r="790" spans="1:1" s="25" customFormat="1" ht="13">
      <c r="A790" s="25" t="s">
        <v>8787</v>
      </c>
    </row>
    <row r="791" spans="1:1" s="25" customFormat="1" ht="13">
      <c r="A791" s="25" t="s">
        <v>8853</v>
      </c>
    </row>
    <row r="792" spans="1:1" s="25" customFormat="1" ht="13"/>
    <row r="793" spans="1:1" s="25" customFormat="1" ht="13">
      <c r="A793" s="25" t="s">
        <v>8836</v>
      </c>
    </row>
    <row r="794" spans="1:1" s="25" customFormat="1" ht="13">
      <c r="A794" s="25" t="s">
        <v>8844</v>
      </c>
    </row>
    <row r="795" spans="1:1" s="25" customFormat="1" ht="13">
      <c r="A795" s="25" t="s">
        <v>8843</v>
      </c>
    </row>
    <row r="796" spans="1:1" s="662" customFormat="1" ht="13">
      <c r="A796" s="662" t="s">
        <v>8865</v>
      </c>
    </row>
    <row r="797" spans="1:1" s="662" customFormat="1" ht="13">
      <c r="A797" s="662" t="s">
        <v>8845</v>
      </c>
    </row>
    <row r="798" spans="1:1" s="25" customFormat="1" ht="13"/>
    <row r="799" spans="1:1" s="25" customFormat="1" ht="13">
      <c r="A799" s="25" t="s">
        <v>8848</v>
      </c>
    </row>
    <row r="800" spans="1:1" s="25" customFormat="1" ht="13">
      <c r="A800" s="25" t="s">
        <v>8849</v>
      </c>
    </row>
    <row r="801" spans="1:1" s="25" customFormat="1" ht="13">
      <c r="A801" s="25" t="s">
        <v>8854</v>
      </c>
    </row>
    <row r="802" spans="1:1" s="25" customFormat="1" ht="13"/>
    <row r="803" spans="1:1" s="25" customFormat="1" ht="13">
      <c r="A803" s="662" t="s">
        <v>8782</v>
      </c>
    </row>
    <row r="804" spans="1:1" s="25" customFormat="1" ht="13">
      <c r="A804" s="25" t="s">
        <v>8837</v>
      </c>
    </row>
    <row r="805" spans="1:1" s="25" customFormat="1" ht="13"/>
    <row r="806" spans="1:1" s="25" customFormat="1" ht="13">
      <c r="A806" s="25" t="s">
        <v>8838</v>
      </c>
    </row>
    <row r="807" spans="1:1" s="25" customFormat="1" ht="13">
      <c r="A807" s="25" t="s">
        <v>8783</v>
      </c>
    </row>
    <row r="808" spans="1:1" s="25" customFormat="1" ht="13">
      <c r="A808" s="25" t="s">
        <v>8784</v>
      </c>
    </row>
    <row r="809" spans="1:1" s="25" customFormat="1" ht="13"/>
    <row r="810" spans="1:1" ht="13">
      <c r="A810" s="25" t="s">
        <v>8839</v>
      </c>
    </row>
    <row r="811" spans="1:1" ht="13">
      <c r="A811" s="25" t="s">
        <v>8785</v>
      </c>
    </row>
    <row r="812" spans="1:1" ht="13">
      <c r="A812" s="25" t="s">
        <v>8788</v>
      </c>
    </row>
    <row r="814" spans="1:1" s="25" customFormat="1" ht="13">
      <c r="A814" s="25" t="s">
        <v>8855</v>
      </c>
    </row>
    <row r="815" spans="1:1" s="25" customFormat="1" ht="13"/>
    <row r="816" spans="1:1" s="25" customFormat="1" ht="13">
      <c r="A816" s="25" t="s">
        <v>8850</v>
      </c>
    </row>
    <row r="817" spans="1:1" s="25" customFormat="1" ht="13">
      <c r="A817" s="25" t="s">
        <v>8851</v>
      </c>
    </row>
    <row r="818" spans="1:1" s="25" customFormat="1" ht="13">
      <c r="A818" s="25" t="s">
        <v>8852</v>
      </c>
    </row>
    <row r="819" spans="1:1" s="2042" customFormat="1" ht="13">
      <c r="A819" s="25" t="s">
        <v>8859</v>
      </c>
    </row>
    <row r="820" spans="1:1" s="25" customFormat="1" ht="13">
      <c r="A820" s="25" t="s">
        <v>8857</v>
      </c>
    </row>
    <row r="821" spans="1:1" s="25" customFormat="1" ht="13">
      <c r="A821" s="25" t="s">
        <v>8858</v>
      </c>
    </row>
    <row r="822" spans="1:1" s="25" customFormat="1" ht="13"/>
    <row r="823" spans="1:1" s="25" customFormat="1" ht="13">
      <c r="A823" s="25" t="s">
        <v>8866</v>
      </c>
    </row>
    <row r="824" spans="1:1" s="25" customFormat="1" ht="13">
      <c r="A824" s="25" t="s">
        <v>8860</v>
      </c>
    </row>
    <row r="826" spans="1:1" s="25" customFormat="1" ht="13">
      <c r="A826" s="25" t="s">
        <v>8856</v>
      </c>
    </row>
    <row r="828" spans="1:1" ht="13">
      <c r="A828" s="1366" t="s">
        <v>8867</v>
      </c>
    </row>
    <row r="829" spans="1:1" s="25" customFormat="1" ht="13">
      <c r="A829" s="25" t="s">
        <v>8868</v>
      </c>
    </row>
    <row r="830" spans="1:1" s="25" customFormat="1" ht="13">
      <c r="A830" s="25" t="s">
        <v>8879</v>
      </c>
    </row>
    <row r="831" spans="1:1" s="25" customFormat="1" ht="13">
      <c r="A831" s="25" t="s">
        <v>8885</v>
      </c>
    </row>
    <row r="832" spans="1:1" s="25" customFormat="1" ht="13">
      <c r="A832" s="25" t="s">
        <v>8884</v>
      </c>
    </row>
    <row r="833" spans="1:1" s="25" customFormat="1" ht="13"/>
    <row r="834" spans="1:1" s="25" customFormat="1" ht="13">
      <c r="A834" s="662" t="s">
        <v>8869</v>
      </c>
    </row>
    <row r="835" spans="1:1" s="25" customFormat="1" ht="13">
      <c r="A835" s="25" t="s">
        <v>8743</v>
      </c>
    </row>
    <row r="837" spans="1:1" s="25" customFormat="1" ht="13">
      <c r="A837" s="662" t="s">
        <v>7852</v>
      </c>
    </row>
    <row r="838" spans="1:1" s="25" customFormat="1" ht="13">
      <c r="A838" s="25" t="s">
        <v>8874</v>
      </c>
    </row>
    <row r="839" spans="1:1" s="25" customFormat="1" ht="13">
      <c r="A839" s="25" t="s">
        <v>8875</v>
      </c>
    </row>
    <row r="840" spans="1:1" s="25" customFormat="1" ht="13"/>
    <row r="841" spans="1:1" ht="13">
      <c r="A841" s="25" t="s">
        <v>8876</v>
      </c>
    </row>
    <row r="843" spans="1:1" s="25" customFormat="1" ht="13">
      <c r="A843" s="25" t="s">
        <v>8877</v>
      </c>
    </row>
    <row r="844" spans="1:1" s="25" customFormat="1" ht="13">
      <c r="A844" s="25" t="s">
        <v>8870</v>
      </c>
    </row>
    <row r="845" spans="1:1" s="25" customFormat="1" ht="13">
      <c r="A845" s="25" t="s">
        <v>8871</v>
      </c>
    </row>
    <row r="846" spans="1:1" s="25" customFormat="1" ht="13">
      <c r="A846" s="25" t="s">
        <v>8872</v>
      </c>
    </row>
    <row r="847" spans="1:1" s="25" customFormat="1" ht="13"/>
    <row r="848" spans="1:1" s="25" customFormat="1" ht="13">
      <c r="A848" s="25" t="s">
        <v>8878</v>
      </c>
    </row>
    <row r="849" spans="1:1" s="25" customFormat="1" ht="13">
      <c r="A849" s="25" t="s">
        <v>8873</v>
      </c>
    </row>
    <row r="850" spans="1:1" s="25" customFormat="1" ht="13"/>
    <row r="851" spans="1:1" s="25" customFormat="1" ht="13">
      <c r="A851" s="25" t="s">
        <v>8880</v>
      </c>
    </row>
    <row r="852" spans="1:1" s="25" customFormat="1" ht="13">
      <c r="A852" s="25" t="s">
        <v>8881</v>
      </c>
    </row>
    <row r="853" spans="1:1" ht="13">
      <c r="A853" s="25" t="s">
        <v>8883</v>
      </c>
    </row>
    <row r="854" spans="1:1" ht="13">
      <c r="A854" s="25" t="s">
        <v>8882</v>
      </c>
    </row>
    <row r="856" spans="1:1">
      <c r="A856" s="2042"/>
    </row>
    <row r="857" spans="1:1" ht="13">
      <c r="A857" s="1366" t="s">
        <v>8929</v>
      </c>
    </row>
    <row r="858" spans="1:1" s="25" customFormat="1" ht="13">
      <c r="A858" s="25" t="s">
        <v>8946</v>
      </c>
    </row>
    <row r="859" spans="1:1" s="25" customFormat="1" ht="13"/>
    <row r="860" spans="1:1" s="25" customFormat="1" ht="13">
      <c r="A860" s="662" t="s">
        <v>8932</v>
      </c>
    </row>
    <row r="861" spans="1:1" s="25" customFormat="1" ht="13">
      <c r="A861" s="25" t="s">
        <v>8947</v>
      </c>
    </row>
    <row r="862" spans="1:1" s="25" customFormat="1" ht="13">
      <c r="A862" s="25" t="s">
        <v>8949</v>
      </c>
    </row>
    <row r="863" spans="1:1" s="25" customFormat="1" ht="13">
      <c r="A863" s="25" t="s">
        <v>8948</v>
      </c>
    </row>
    <row r="864" spans="1:1" s="25" customFormat="1" ht="13">
      <c r="A864" s="25" t="s">
        <v>8933</v>
      </c>
    </row>
    <row r="865" spans="1:1" s="25" customFormat="1" ht="13"/>
    <row r="866" spans="1:1" s="25" customFormat="1" ht="13">
      <c r="A866" s="1905" t="s">
        <v>8930</v>
      </c>
    </row>
    <row r="867" spans="1:1" s="25" customFormat="1" ht="13">
      <c r="A867" s="662"/>
    </row>
    <row r="868" spans="1:1" s="25" customFormat="1" ht="13">
      <c r="A868" s="1905" t="s">
        <v>8931</v>
      </c>
    </row>
    <row r="869" spans="1:1" s="25" customFormat="1" ht="13"/>
    <row r="870" spans="1:1" s="25" customFormat="1" ht="13">
      <c r="A870" s="25" t="s">
        <v>8934</v>
      </c>
    </row>
    <row r="871" spans="1:1" s="25" customFormat="1" ht="13">
      <c r="A871" s="25" t="s">
        <v>8935</v>
      </c>
    </row>
    <row r="872" spans="1:1" s="25" customFormat="1" ht="13">
      <c r="A872" s="25" t="s">
        <v>8936</v>
      </c>
    </row>
    <row r="873" spans="1:1" s="25" customFormat="1" ht="13">
      <c r="A873" s="25" t="s">
        <v>8937</v>
      </c>
    </row>
    <row r="874" spans="1:1" s="25" customFormat="1" ht="13">
      <c r="A874" s="25" t="s">
        <v>8939</v>
      </c>
    </row>
    <row r="875" spans="1:1" s="25" customFormat="1" ht="13">
      <c r="A875" s="25" t="s">
        <v>8942</v>
      </c>
    </row>
    <row r="876" spans="1:1" s="25" customFormat="1" ht="13"/>
    <row r="877" spans="1:1" s="25" customFormat="1" ht="13">
      <c r="A877" s="662" t="s">
        <v>7880</v>
      </c>
    </row>
    <row r="878" spans="1:1" ht="13">
      <c r="A878" s="25" t="s">
        <v>8938</v>
      </c>
    </row>
    <row r="879" spans="1:1" ht="13">
      <c r="A879" s="25" t="s">
        <v>8954</v>
      </c>
    </row>
    <row r="880" spans="1:1" ht="13">
      <c r="A880" s="25" t="s">
        <v>8955</v>
      </c>
    </row>
    <row r="881" spans="1:1" ht="13">
      <c r="A881" s="25" t="s">
        <v>8956</v>
      </c>
    </row>
    <row r="882" spans="1:1" ht="13">
      <c r="A882" s="25" t="s">
        <v>8957</v>
      </c>
    </row>
    <row r="883" spans="1:1" ht="13">
      <c r="A883" s="25" t="s">
        <v>8958</v>
      </c>
    </row>
    <row r="884" spans="1:1" ht="13">
      <c r="A884" s="25" t="s">
        <v>8959</v>
      </c>
    </row>
    <row r="886" spans="1:1" ht="13">
      <c r="A886" s="25" t="s">
        <v>8951</v>
      </c>
    </row>
    <row r="887" spans="1:1" ht="13">
      <c r="A887" s="25" t="s">
        <v>8953</v>
      </c>
    </row>
    <row r="888" spans="1:1" s="2042" customFormat="1" ht="13">
      <c r="A888" s="25" t="s">
        <v>8952</v>
      </c>
    </row>
    <row r="890" spans="1:1" ht="13">
      <c r="A890" s="25" t="s">
        <v>8950</v>
      </c>
    </row>
    <row r="891" spans="1:1" ht="13">
      <c r="A891" s="25" t="s">
        <v>8945</v>
      </c>
    </row>
    <row r="893" spans="1:1" ht="13">
      <c r="A893" s="2166" t="s">
        <v>8943</v>
      </c>
    </row>
    <row r="894" spans="1:1" ht="13">
      <c r="A894" s="2167" t="s">
        <v>8940</v>
      </c>
    </row>
    <row r="895" spans="1:1" ht="13">
      <c r="A895" s="2167" t="s">
        <v>8941</v>
      </c>
    </row>
    <row r="897" spans="1:1" s="25" customFormat="1" ht="13">
      <c r="A897" s="25" t="s">
        <v>8944</v>
      </c>
    </row>
    <row r="900" spans="1:1" ht="13">
      <c r="A900" s="662" t="s">
        <v>8960</v>
      </c>
    </row>
    <row r="901" spans="1:1" ht="13">
      <c r="A901" s="25" t="s">
        <v>8973</v>
      </c>
    </row>
    <row r="902" spans="1:1" s="2042" customFormat="1" ht="13">
      <c r="A902" s="25" t="s">
        <v>8961</v>
      </c>
    </row>
    <row r="903" spans="1:1" s="2042" customFormat="1" ht="13">
      <c r="A903" s="25"/>
    </row>
    <row r="904" spans="1:1" ht="13">
      <c r="A904" s="662" t="s">
        <v>8186</v>
      </c>
    </row>
    <row r="905" spans="1:1" s="25" customFormat="1" ht="13">
      <c r="A905" s="25" t="s">
        <v>8968</v>
      </c>
    </row>
    <row r="906" spans="1:1" s="25" customFormat="1" ht="13">
      <c r="A906" s="25" t="s">
        <v>8964</v>
      </c>
    </row>
    <row r="907" spans="1:1" s="25" customFormat="1" ht="13">
      <c r="A907" s="25" t="s">
        <v>8969</v>
      </c>
    </row>
    <row r="908" spans="1:1" s="25" customFormat="1" ht="13">
      <c r="A908" s="25" t="s">
        <v>8965</v>
      </c>
    </row>
    <row r="909" spans="1:1" s="25" customFormat="1" ht="13"/>
    <row r="910" spans="1:1" s="25" customFormat="1" ht="13">
      <c r="A910" s="25" t="s">
        <v>8966</v>
      </c>
    </row>
    <row r="911" spans="1:1" s="25" customFormat="1" ht="13">
      <c r="A911" s="25" t="s">
        <v>8970</v>
      </c>
    </row>
    <row r="912" spans="1:1" s="25" customFormat="1" ht="13">
      <c r="A912" s="25" t="s">
        <v>8967</v>
      </c>
    </row>
    <row r="913" spans="1:1" s="25" customFormat="1" ht="13">
      <c r="A913" s="25" t="s">
        <v>8971</v>
      </c>
    </row>
    <row r="914" spans="1:1" s="25" customFormat="1" ht="13"/>
    <row r="915" spans="1:1" s="25" customFormat="1" ht="13">
      <c r="A915" s="25" t="s">
        <v>8963</v>
      </c>
    </row>
    <row r="916" spans="1:1" s="25" customFormat="1" ht="13">
      <c r="A916" s="25" t="s">
        <v>8972</v>
      </c>
    </row>
    <row r="917" spans="1:1" s="25" customFormat="1" ht="13">
      <c r="A917" s="25" t="s">
        <v>8962</v>
      </c>
    </row>
    <row r="918" spans="1:1" s="25" customFormat="1" ht="13"/>
    <row r="919" spans="1:1" s="25" customFormat="1" ht="13">
      <c r="A919" s="25" t="s">
        <v>8974</v>
      </c>
    </row>
    <row r="920" spans="1:1" s="25" customFormat="1" ht="13">
      <c r="A920" s="25" t="s">
        <v>8975</v>
      </c>
    </row>
    <row r="921" spans="1:1" s="25" customFormat="1" ht="13"/>
    <row r="922" spans="1:1" s="25" customFormat="1" ht="13">
      <c r="A922" s="1366" t="s">
        <v>8976</v>
      </c>
    </row>
    <row r="923" spans="1:1" s="628" customFormat="1" ht="13">
      <c r="A923" s="1896" t="s">
        <v>8999</v>
      </c>
    </row>
    <row r="924" spans="1:1" s="628" customFormat="1" ht="13">
      <c r="A924" s="1896" t="s">
        <v>9002</v>
      </c>
    </row>
    <row r="925" spans="1:1" s="628" customFormat="1" ht="13">
      <c r="A925" s="1144"/>
    </row>
    <row r="926" spans="1:1" s="25" customFormat="1" ht="13">
      <c r="A926" s="662" t="s">
        <v>8977</v>
      </c>
    </row>
    <row r="927" spans="1:1" s="25" customFormat="1" ht="13">
      <c r="A927" s="25" t="s">
        <v>8990</v>
      </c>
    </row>
    <row r="928" spans="1:1" s="25" customFormat="1" ht="13">
      <c r="A928" s="2170" t="s">
        <v>8989</v>
      </c>
    </row>
    <row r="929" spans="1:1" s="25" customFormat="1" ht="13"/>
    <row r="930" spans="1:1" s="25" customFormat="1" ht="13">
      <c r="A930" s="662" t="s">
        <v>8243</v>
      </c>
    </row>
    <row r="931" spans="1:1" s="25" customFormat="1" ht="13">
      <c r="A931" s="25" t="s">
        <v>8991</v>
      </c>
    </row>
    <row r="932" spans="1:1" s="25" customFormat="1" ht="13">
      <c r="A932" s="36" t="s">
        <v>8978</v>
      </c>
    </row>
    <row r="933" spans="1:1" s="25" customFormat="1" ht="13">
      <c r="A933" s="36"/>
    </row>
    <row r="934" spans="1:1" s="25" customFormat="1" ht="13">
      <c r="A934" s="36" t="s">
        <v>8979</v>
      </c>
    </row>
    <row r="935" spans="1:1" s="25" customFormat="1" ht="13">
      <c r="A935" s="36" t="s">
        <v>9003</v>
      </c>
    </row>
    <row r="936" spans="1:1" s="25" customFormat="1" ht="13">
      <c r="A936" s="36" t="s">
        <v>9004</v>
      </c>
    </row>
    <row r="937" spans="1:1" s="25" customFormat="1" ht="13"/>
    <row r="938" spans="1:1" s="25" customFormat="1" ht="13">
      <c r="A938" s="36" t="s">
        <v>8985</v>
      </c>
    </row>
    <row r="939" spans="1:1" ht="13">
      <c r="A939" s="36" t="s">
        <v>8980</v>
      </c>
    </row>
    <row r="940" spans="1:1" ht="13">
      <c r="A940" s="36" t="s">
        <v>8986</v>
      </c>
    </row>
    <row r="941" spans="1:1" ht="13">
      <c r="A941" s="36" t="s">
        <v>8994</v>
      </c>
    </row>
    <row r="942" spans="1:1" ht="13">
      <c r="A942" s="36" t="s">
        <v>8995</v>
      </c>
    </row>
    <row r="944" spans="1:1" ht="13">
      <c r="A944" s="25" t="s">
        <v>8981</v>
      </c>
    </row>
    <row r="945" spans="1:1" ht="13">
      <c r="A945" s="25" t="s">
        <v>8982</v>
      </c>
    </row>
    <row r="946" spans="1:1" s="25" customFormat="1" ht="13">
      <c r="A946" s="25" t="s">
        <v>8983</v>
      </c>
    </row>
    <row r="947" spans="1:1" s="25" customFormat="1" ht="13">
      <c r="A947" s="25" t="s">
        <v>8992</v>
      </c>
    </row>
    <row r="948" spans="1:1" s="25" customFormat="1" ht="13"/>
    <row r="949" spans="1:1" s="25" customFormat="1" ht="13">
      <c r="A949" s="25" t="s">
        <v>8993</v>
      </c>
    </row>
    <row r="950" spans="1:1" s="25" customFormat="1" ht="13"/>
    <row r="951" spans="1:1" s="25" customFormat="1" ht="13">
      <c r="A951" s="25" t="s">
        <v>9005</v>
      </c>
    </row>
    <row r="952" spans="1:1" s="25" customFormat="1" ht="13">
      <c r="A952" s="25" t="s">
        <v>9000</v>
      </c>
    </row>
    <row r="953" spans="1:1" s="25" customFormat="1" ht="13">
      <c r="A953" s="25" t="s">
        <v>9001</v>
      </c>
    </row>
    <row r="954" spans="1:1" s="25" customFormat="1" ht="13"/>
    <row r="955" spans="1:1" ht="13">
      <c r="A955" s="25" t="s">
        <v>8996</v>
      </c>
    </row>
    <row r="956" spans="1:1" s="2042" customFormat="1" ht="13">
      <c r="A956" s="25" t="s">
        <v>8988</v>
      </c>
    </row>
    <row r="958" spans="1:1" ht="13">
      <c r="A958" s="25" t="s">
        <v>8997</v>
      </c>
    </row>
    <row r="959" spans="1:1" ht="13">
      <c r="A959" s="25" t="s">
        <v>8987</v>
      </c>
    </row>
    <row r="961" spans="1:1" s="25" customFormat="1" ht="13">
      <c r="A961" s="25" t="s">
        <v>8998</v>
      </c>
    </row>
    <row r="964" spans="1:1" ht="13">
      <c r="A964" s="1366" t="s">
        <v>9020</v>
      </c>
    </row>
    <row r="965" spans="1:1" s="25" customFormat="1" ht="13">
      <c r="A965" s="25" t="s">
        <v>9006</v>
      </c>
    </row>
    <row r="966" spans="1:1" s="25" customFormat="1" ht="13">
      <c r="A966" s="25" t="s">
        <v>9007</v>
      </c>
    </row>
    <row r="967" spans="1:1" s="25" customFormat="1" ht="13"/>
    <row r="968" spans="1:1" s="25" customFormat="1" ht="13">
      <c r="A968" s="662" t="s">
        <v>9008</v>
      </c>
    </row>
    <row r="969" spans="1:1" s="25" customFormat="1" ht="13">
      <c r="A969" s="25" t="s">
        <v>8743</v>
      </c>
    </row>
    <row r="970" spans="1:1" s="25" customFormat="1" ht="13"/>
    <row r="971" spans="1:1" s="25" customFormat="1" ht="13">
      <c r="A971" s="662" t="s">
        <v>8258</v>
      </c>
    </row>
    <row r="972" spans="1:1" s="25" customFormat="1" ht="13">
      <c r="A972" s="25" t="s">
        <v>9009</v>
      </c>
    </row>
    <row r="973" spans="1:1" s="25" customFormat="1" ht="13">
      <c r="A973" s="25" t="s">
        <v>9023</v>
      </c>
    </row>
    <row r="974" spans="1:1" s="25" customFormat="1" ht="13">
      <c r="A974" s="25" t="s">
        <v>9016</v>
      </c>
    </row>
    <row r="976" spans="1:1" s="25" customFormat="1" ht="13">
      <c r="A976" s="25" t="s">
        <v>9022</v>
      </c>
    </row>
    <row r="977" spans="1:1" s="25" customFormat="1" ht="13">
      <c r="A977" s="36" t="s">
        <v>9010</v>
      </c>
    </row>
    <row r="978" spans="1:1" s="25" customFormat="1" ht="13">
      <c r="A978" s="36" t="s">
        <v>9011</v>
      </c>
    </row>
    <row r="979" spans="1:1" s="25" customFormat="1" ht="13">
      <c r="A979" s="36" t="s">
        <v>9032</v>
      </c>
    </row>
    <row r="980" spans="1:1" s="25" customFormat="1" ht="13"/>
    <row r="981" spans="1:1" s="25" customFormat="1" ht="13">
      <c r="A981" s="25" t="s">
        <v>9021</v>
      </c>
    </row>
    <row r="982" spans="1:1" s="25" customFormat="1" ht="13">
      <c r="A982" s="36" t="s">
        <v>9012</v>
      </c>
    </row>
    <row r="983" spans="1:1" ht="13">
      <c r="A983" s="36" t="s">
        <v>9013</v>
      </c>
    </row>
    <row r="984" spans="1:1" ht="13">
      <c r="A984" s="36" t="s">
        <v>9014</v>
      </c>
    </row>
    <row r="986" spans="1:1" ht="13">
      <c r="A986" s="36" t="s">
        <v>9012</v>
      </c>
    </row>
    <row r="987" spans="1:1" ht="13">
      <c r="A987" s="36" t="s">
        <v>9013</v>
      </c>
    </row>
    <row r="988" spans="1:1" ht="13">
      <c r="A988" s="36" t="s">
        <v>9015</v>
      </c>
    </row>
    <row r="989" spans="1:1" s="2042" customFormat="1" ht="13">
      <c r="A989" s="36"/>
    </row>
    <row r="990" spans="1:1" s="2042" customFormat="1" ht="13">
      <c r="A990" s="36" t="s">
        <v>9012</v>
      </c>
    </row>
    <row r="991" spans="1:1" s="2042" customFormat="1" ht="13">
      <c r="A991" s="36" t="s">
        <v>9017</v>
      </c>
    </row>
    <row r="992" spans="1:1" s="2042" customFormat="1" ht="13">
      <c r="A992" s="36" t="s">
        <v>9015</v>
      </c>
    </row>
    <row r="994" spans="1:1" ht="13">
      <c r="A994" s="25" t="s">
        <v>9028</v>
      </c>
    </row>
    <row r="995" spans="1:1" ht="13">
      <c r="A995" s="25" t="s">
        <v>9029</v>
      </c>
    </row>
    <row r="996" spans="1:1" s="25" customFormat="1" ht="13">
      <c r="A996" s="25" t="s">
        <v>9030</v>
      </c>
    </row>
    <row r="997" spans="1:1" s="25" customFormat="1" ht="13">
      <c r="A997" s="25" t="s">
        <v>9033</v>
      </c>
    </row>
    <row r="998" spans="1:1" s="25" customFormat="1" ht="13">
      <c r="A998" s="25" t="s">
        <v>9035</v>
      </c>
    </row>
    <row r="999" spans="1:1" s="25" customFormat="1" ht="13">
      <c r="A999" s="25" t="s">
        <v>9034</v>
      </c>
    </row>
    <row r="1000" spans="1:1" s="25" customFormat="1" ht="13"/>
    <row r="1001" spans="1:1" ht="13">
      <c r="A1001" s="25" t="s">
        <v>9031</v>
      </c>
    </row>
    <row r="1002" spans="1:1" ht="13">
      <c r="A1002" s="25" t="s">
        <v>9018</v>
      </c>
    </row>
    <row r="1004" spans="1:1" ht="13">
      <c r="A1004" s="25" t="s">
        <v>9025</v>
      </c>
    </row>
    <row r="1005" spans="1:1" ht="13">
      <c r="A1005" s="25" t="s">
        <v>9024</v>
      </c>
    </row>
    <row r="1006" spans="1:1" s="2042" customFormat="1" ht="13">
      <c r="A1006" s="25"/>
    </row>
    <row r="1007" spans="1:1" ht="13">
      <c r="A1007" s="25" t="s">
        <v>9027</v>
      </c>
    </row>
    <row r="1008" spans="1:1" s="25" customFormat="1" ht="13">
      <c r="A1008" s="25" t="s">
        <v>9026</v>
      </c>
    </row>
    <row r="1009" spans="1:1" s="25" customFormat="1" ht="13"/>
    <row r="1010" spans="1:1" s="25" customFormat="1" ht="13">
      <c r="A1010" s="25" t="s">
        <v>9019</v>
      </c>
    </row>
    <row r="1011" spans="1:1" s="25" customFormat="1" ht="13"/>
    <row r="1012" spans="1:1" s="25" customFormat="1" ht="13">
      <c r="A1012" s="25" t="s">
        <v>9038</v>
      </c>
    </row>
    <row r="1014" spans="1:1" ht="13">
      <c r="A1014" s="2171" t="s">
        <v>9036</v>
      </c>
    </row>
    <row r="1015" spans="1:1" ht="13">
      <c r="A1015" s="2171" t="s">
        <v>9037</v>
      </c>
    </row>
    <row r="1018" spans="1:1" ht="13">
      <c r="A1018" s="1366" t="s">
        <v>9065</v>
      </c>
    </row>
    <row r="1019" spans="1:1" s="25" customFormat="1" ht="13">
      <c r="A1019" s="25" t="s">
        <v>9090</v>
      </c>
    </row>
    <row r="1020" spans="1:1" s="25" customFormat="1" ht="13">
      <c r="A1020" s="25" t="s">
        <v>9070</v>
      </c>
    </row>
    <row r="1021" spans="1:1" s="25" customFormat="1" ht="13">
      <c r="A1021" s="25" t="s">
        <v>9083</v>
      </c>
    </row>
    <row r="1022" spans="1:1" s="25" customFormat="1" ht="13"/>
    <row r="1023" spans="1:1" s="25" customFormat="1" ht="13">
      <c r="A1023" s="662" t="s">
        <v>9068</v>
      </c>
    </row>
    <row r="1024" spans="1:1" s="25" customFormat="1" ht="13">
      <c r="A1024" s="25" t="s">
        <v>9069</v>
      </c>
    </row>
    <row r="1025" spans="1:1" s="25" customFormat="1" ht="13"/>
    <row r="1026" spans="1:1" s="25" customFormat="1" ht="13">
      <c r="A1026" s="662" t="s">
        <v>8258</v>
      </c>
    </row>
    <row r="1027" spans="1:1" s="25" customFormat="1" ht="13">
      <c r="A1027" s="25" t="s">
        <v>9071</v>
      </c>
    </row>
    <row r="1028" spans="1:1" s="25" customFormat="1" ht="13">
      <c r="A1028" s="25" t="s">
        <v>9092</v>
      </c>
    </row>
    <row r="1029" spans="1:1" s="25" customFormat="1" ht="13">
      <c r="A1029" s="25" t="s">
        <v>9072</v>
      </c>
    </row>
    <row r="1030" spans="1:1" s="25" customFormat="1" ht="13">
      <c r="A1030" s="25" t="s">
        <v>9086</v>
      </c>
    </row>
    <row r="1031" spans="1:1" ht="13">
      <c r="A1031" s="25" t="s">
        <v>9085</v>
      </c>
    </row>
    <row r="1033" spans="1:1" ht="13">
      <c r="A1033" s="25" t="s">
        <v>9073</v>
      </c>
    </row>
    <row r="1034" spans="1:1" ht="13">
      <c r="A1034" s="25" t="s">
        <v>9074</v>
      </c>
    </row>
    <row r="1035" spans="1:1" ht="13">
      <c r="A1035" s="25" t="s">
        <v>9080</v>
      </c>
    </row>
    <row r="1036" spans="1:1" ht="13">
      <c r="A1036" s="25" t="s">
        <v>9079</v>
      </c>
    </row>
    <row r="1037" spans="1:1" s="2042" customFormat="1" ht="13">
      <c r="A1037" s="2196" t="s">
        <v>9088</v>
      </c>
    </row>
    <row r="1038" spans="1:1" s="2042" customFormat="1" ht="13">
      <c r="A1038" s="2196" t="s">
        <v>9087</v>
      </c>
    </row>
    <row r="1040" spans="1:1" ht="13">
      <c r="A1040" s="25" t="s">
        <v>9081</v>
      </c>
    </row>
    <row r="1042" spans="1:1" ht="13">
      <c r="A1042" s="25" t="s">
        <v>9075</v>
      </c>
    </row>
    <row r="1043" spans="1:1" s="25" customFormat="1" ht="13">
      <c r="A1043" s="25" t="s">
        <v>9076</v>
      </c>
    </row>
    <row r="1044" spans="1:1" s="25" customFormat="1" ht="13">
      <c r="A1044" s="25" t="s">
        <v>9077</v>
      </c>
    </row>
    <row r="1045" spans="1:1" s="25" customFormat="1" ht="13"/>
    <row r="1046" spans="1:1" s="25" customFormat="1" ht="13">
      <c r="A1046" s="25" t="s">
        <v>9078</v>
      </c>
    </row>
    <row r="1047" spans="1:1" s="25" customFormat="1" ht="13">
      <c r="A1047" s="25" t="s">
        <v>9101</v>
      </c>
    </row>
    <row r="1048" spans="1:1" s="25" customFormat="1" ht="13">
      <c r="A1048" s="25" t="s">
        <v>9100</v>
      </c>
    </row>
    <row r="1049" spans="1:1" s="25" customFormat="1" ht="13"/>
    <row r="1050" spans="1:1" s="25" customFormat="1" ht="13">
      <c r="A1050" s="25" t="s">
        <v>9091</v>
      </c>
    </row>
    <row r="1051" spans="1:1" s="25" customFormat="1" ht="13"/>
    <row r="1052" spans="1:1" s="25" customFormat="1" ht="13">
      <c r="A1052" s="25" t="s">
        <v>9089</v>
      </c>
    </row>
    <row r="1053" spans="1:1" s="25" customFormat="1" ht="13"/>
    <row r="1054" spans="1:1" s="25" customFormat="1" ht="13"/>
    <row r="1055" spans="1:1" s="25" customFormat="1" ht="13">
      <c r="A1055" s="25" t="s">
        <v>9084</v>
      </c>
    </row>
    <row r="1056" spans="1:1" s="25" customFormat="1" ht="13">
      <c r="A1056" s="36" t="s">
        <v>9099</v>
      </c>
    </row>
    <row r="1057" spans="1:1" s="25" customFormat="1" ht="13"/>
    <row r="1058" spans="1:1" s="25" customFormat="1" ht="13"/>
    <row r="1059" spans="1:1" s="25" customFormat="1" ht="13">
      <c r="A1059" s="1366" t="s">
        <v>9102</v>
      </c>
    </row>
    <row r="1060" spans="1:1" ht="13">
      <c r="A1060" s="1098" t="s">
        <v>9124</v>
      </c>
    </row>
    <row r="1062" spans="1:1" ht="13">
      <c r="A1062" s="662" t="s">
        <v>9116</v>
      </c>
    </row>
    <row r="1063" spans="1:1" ht="13">
      <c r="A1063" s="25" t="s">
        <v>9069</v>
      </c>
    </row>
    <row r="1064" spans="1:1" ht="13">
      <c r="A1064" s="25"/>
    </row>
    <row r="1065" spans="1:1" ht="13">
      <c r="A1065" s="662" t="s">
        <v>9117</v>
      </c>
    </row>
    <row r="1066" spans="1:1" s="25" customFormat="1" ht="13">
      <c r="A1066" s="25" t="s">
        <v>9120</v>
      </c>
    </row>
    <row r="1067" spans="1:1" s="25" customFormat="1" ht="13">
      <c r="A1067" s="25" t="s">
        <v>9121</v>
      </c>
    </row>
    <row r="1068" spans="1:1" s="25" customFormat="1" ht="13">
      <c r="A1068" s="25" t="s">
        <v>9125</v>
      </c>
    </row>
    <row r="1069" spans="1:1" s="25" customFormat="1" ht="13">
      <c r="A1069" s="25" t="s">
        <v>9122</v>
      </c>
    </row>
    <row r="1070" spans="1:1" s="25" customFormat="1" ht="13"/>
    <row r="1071" spans="1:1" s="25" customFormat="1" ht="13">
      <c r="A1071" s="25" t="s">
        <v>9118</v>
      </c>
    </row>
    <row r="1072" spans="1:1" s="25" customFormat="1" ht="13">
      <c r="A1072" s="25" t="s">
        <v>9119</v>
      </c>
    </row>
    <row r="1073" spans="1:1" s="25" customFormat="1" ht="13"/>
    <row r="1074" spans="1:1" s="25" customFormat="1" ht="13">
      <c r="A1074" s="25" t="s">
        <v>9123</v>
      </c>
    </row>
    <row r="1075" spans="1:1" s="25" customFormat="1" ht="13"/>
    <row r="1077" spans="1:1" ht="13">
      <c r="A1077" s="1366" t="s">
        <v>9127</v>
      </c>
    </row>
    <row r="1078" spans="1:1" s="25" customFormat="1" ht="13">
      <c r="A1078" s="25" t="s">
        <v>9128</v>
      </c>
    </row>
    <row r="1079" spans="1:1" s="25" customFormat="1" ht="13"/>
    <row r="1080" spans="1:1" s="25" customFormat="1" ht="13">
      <c r="A1080" s="662" t="s">
        <v>9129</v>
      </c>
    </row>
    <row r="1081" spans="1:1" s="25" customFormat="1" ht="13">
      <c r="A1081" s="25" t="s">
        <v>9133</v>
      </c>
    </row>
    <row r="1082" spans="1:1" s="25" customFormat="1" ht="13">
      <c r="A1082" s="25" t="s">
        <v>9130</v>
      </c>
    </row>
    <row r="1083" spans="1:1" s="25" customFormat="1" ht="13">
      <c r="A1083" s="25" t="s">
        <v>9138</v>
      </c>
    </row>
    <row r="1084" spans="1:1" s="25" customFormat="1" ht="13">
      <c r="A1084" s="25" t="s">
        <v>9131</v>
      </c>
    </row>
    <row r="1085" spans="1:1" s="25" customFormat="1" ht="13">
      <c r="A1085" s="25" t="s">
        <v>9132</v>
      </c>
    </row>
    <row r="1086" spans="1:1" s="25" customFormat="1" ht="13"/>
    <row r="1087" spans="1:1" s="25" customFormat="1" ht="13">
      <c r="A1087" s="662" t="s">
        <v>9117</v>
      </c>
    </row>
    <row r="1088" spans="1:1" ht="13">
      <c r="A1088" s="25" t="s">
        <v>9134</v>
      </c>
    </row>
    <row r="1089" spans="1:1" s="25" customFormat="1" ht="13">
      <c r="A1089" s="25" t="s">
        <v>9141</v>
      </c>
    </row>
    <row r="1090" spans="1:1" s="25" customFormat="1" ht="13">
      <c r="A1090" s="25" t="s">
        <v>9136</v>
      </c>
    </row>
    <row r="1091" spans="1:1" s="25" customFormat="1" ht="13">
      <c r="A1091" s="25" t="s">
        <v>9135</v>
      </c>
    </row>
    <row r="1092" spans="1:1" s="25" customFormat="1" ht="13">
      <c r="A1092" s="25" t="s">
        <v>9137</v>
      </c>
    </row>
    <row r="1093" spans="1:1" s="25" customFormat="1" ht="13"/>
    <row r="1094" spans="1:1" s="25" customFormat="1" ht="13"/>
    <row r="1095" spans="1:1" s="25" customFormat="1" ht="13">
      <c r="A1095" s="1366" t="s">
        <v>9145</v>
      </c>
    </row>
    <row r="1096" spans="1:1" s="25" customFormat="1" ht="13">
      <c r="A1096" s="25" t="s">
        <v>9146</v>
      </c>
    </row>
    <row r="1097" spans="1:1" s="25" customFormat="1" ht="13"/>
    <row r="1098" spans="1:1" ht="13">
      <c r="A1098" s="662" t="s">
        <v>9147</v>
      </c>
    </row>
    <row r="1099" spans="1:1" ht="13">
      <c r="A1099" s="1098" t="s">
        <v>8743</v>
      </c>
    </row>
    <row r="1101" spans="1:1" ht="13">
      <c r="A1101" s="662" t="s">
        <v>8727</v>
      </c>
    </row>
    <row r="1102" spans="1:1" s="25" customFormat="1" ht="13">
      <c r="A1102" s="25" t="s">
        <v>9162</v>
      </c>
    </row>
    <row r="1103" spans="1:1" s="25" customFormat="1" ht="13">
      <c r="A1103" s="25" t="s">
        <v>9148</v>
      </c>
    </row>
    <row r="1104" spans="1:1" s="25" customFormat="1" ht="13">
      <c r="A1104" s="25" t="s">
        <v>9149</v>
      </c>
    </row>
    <row r="1105" spans="1:1" s="25" customFormat="1" ht="13"/>
    <row r="1106" spans="1:1" ht="13">
      <c r="A1106" s="25" t="s">
        <v>9150</v>
      </c>
    </row>
    <row r="1107" spans="1:1" ht="13">
      <c r="A1107" s="25" t="s">
        <v>9151</v>
      </c>
    </row>
    <row r="1108" spans="1:1" ht="13">
      <c r="A1108" s="25" t="s">
        <v>9152</v>
      </c>
    </row>
    <row r="1109" spans="1:1" ht="13">
      <c r="A1109" s="25" t="s">
        <v>9164</v>
      </c>
    </row>
    <row r="1110" spans="1:1" ht="13">
      <c r="A1110" s="25" t="s">
        <v>9163</v>
      </c>
    </row>
    <row r="1112" spans="1:1" ht="13">
      <c r="A1112" s="25" t="s">
        <v>9170</v>
      </c>
    </row>
    <row r="1113" spans="1:1" ht="13">
      <c r="A1113" s="25" t="s">
        <v>9153</v>
      </c>
    </row>
    <row r="1114" spans="1:1" ht="13">
      <c r="A1114" s="25" t="s">
        <v>9161</v>
      </c>
    </row>
    <row r="1115" spans="1:1" ht="13">
      <c r="A1115" s="25" t="s">
        <v>9154</v>
      </c>
    </row>
    <row r="1116" spans="1:1" ht="13">
      <c r="A1116" s="25" t="s">
        <v>9165</v>
      </c>
    </row>
    <row r="1117" spans="1:1" ht="13">
      <c r="A1117" s="25" t="s">
        <v>9166</v>
      </c>
    </row>
    <row r="1118" spans="1:1" ht="13">
      <c r="A1118" s="2196" t="s">
        <v>9155</v>
      </c>
    </row>
    <row r="1120" spans="1:1" ht="13">
      <c r="A1120" s="25" t="s">
        <v>9156</v>
      </c>
    </row>
    <row r="1122" spans="1:1" s="25" customFormat="1" ht="13">
      <c r="A1122" s="25" t="s">
        <v>9169</v>
      </c>
    </row>
    <row r="1123" spans="1:1" s="25" customFormat="1" ht="13">
      <c r="A1123" s="25" t="s">
        <v>9157</v>
      </c>
    </row>
    <row r="1124" spans="1:1" s="25" customFormat="1" ht="13">
      <c r="A1124" s="25" t="s">
        <v>9167</v>
      </c>
    </row>
    <row r="1125" spans="1:1" s="25" customFormat="1" ht="13"/>
    <row r="1126" spans="1:1" ht="13">
      <c r="A1126" s="25" t="s">
        <v>9159</v>
      </c>
    </row>
    <row r="1127" spans="1:1" ht="13">
      <c r="A1127" s="25" t="s">
        <v>9158</v>
      </c>
    </row>
    <row r="1129" spans="1:1" ht="13">
      <c r="A1129" s="25" t="s">
        <v>9160</v>
      </c>
    </row>
    <row r="1130" spans="1:1" ht="13">
      <c r="A1130" s="25" t="s">
        <v>9168</v>
      </c>
    </row>
    <row r="1133" spans="1:1" ht="13">
      <c r="A1133" s="1366" t="s">
        <v>10367</v>
      </c>
    </row>
    <row r="1134" spans="1:1" s="25" customFormat="1" ht="13">
      <c r="A1134" s="25" t="s">
        <v>10368</v>
      </c>
    </row>
    <row r="1135" spans="1:1" s="25" customFormat="1" ht="13">
      <c r="A1135" s="25" t="s">
        <v>10369</v>
      </c>
    </row>
    <row r="1136" spans="1:1" s="25" customFormat="1" ht="13">
      <c r="A1136" s="25" t="s">
        <v>10370</v>
      </c>
    </row>
    <row r="1137" spans="1:1" s="25" customFormat="1" ht="13"/>
    <row r="1138" spans="1:1" s="25" customFormat="1" ht="13">
      <c r="A1138" s="662" t="s">
        <v>9068</v>
      </c>
    </row>
    <row r="1139" spans="1:1" s="25" customFormat="1" ht="13">
      <c r="A1139" s="25" t="s">
        <v>10374</v>
      </c>
    </row>
    <row r="1140" spans="1:1" s="25" customFormat="1" ht="13"/>
    <row r="1141" spans="1:1" s="25" customFormat="1" ht="13">
      <c r="A1141" s="25" t="s">
        <v>10375</v>
      </c>
    </row>
    <row r="1142" spans="1:1" s="25" customFormat="1" ht="13">
      <c r="A1142" s="25" t="s">
        <v>10372</v>
      </c>
    </row>
    <row r="1143" spans="1:1" s="25" customFormat="1" ht="13">
      <c r="A1143" s="25" t="s">
        <v>10371</v>
      </c>
    </row>
    <row r="1144" spans="1:1" s="25" customFormat="1" ht="13">
      <c r="A1144" s="25" t="s">
        <v>10373</v>
      </c>
    </row>
    <row r="1145" spans="1:1" s="25" customFormat="1" ht="13"/>
    <row r="1146" spans="1:1" s="25" customFormat="1" ht="13">
      <c r="A1146" s="25" t="s">
        <v>10377</v>
      </c>
    </row>
    <row r="1147" spans="1:1" s="25" customFormat="1" ht="13">
      <c r="A1147" s="25" t="s">
        <v>10379</v>
      </c>
    </row>
    <row r="1148" spans="1:1" s="25" customFormat="1" ht="13">
      <c r="A1148" s="25" t="s">
        <v>10378</v>
      </c>
    </row>
    <row r="1149" spans="1:1" s="25" customFormat="1" ht="13"/>
    <row r="1150" spans="1:1" ht="13">
      <c r="A1150" s="662" t="s">
        <v>8596</v>
      </c>
    </row>
    <row r="1151" spans="1:1" s="25" customFormat="1" ht="13">
      <c r="A1151" s="25" t="s">
        <v>10376</v>
      </c>
    </row>
    <row r="1152" spans="1:1" s="25" customFormat="1" ht="13"/>
    <row r="1153" spans="1:1" s="25" customFormat="1" ht="13">
      <c r="A1153" s="25" t="s">
        <v>10380</v>
      </c>
    </row>
    <row r="1154" spans="1:1" s="25" customFormat="1" ht="13">
      <c r="A1154" s="25" t="s">
        <v>10381</v>
      </c>
    </row>
    <row r="1155" spans="1:1" s="25" customFormat="1" ht="13"/>
    <row r="1156" spans="1:1" s="25" customFormat="1" ht="13"/>
    <row r="1157" spans="1:1" s="25" customFormat="1" ht="13">
      <c r="A1157" s="1366" t="s">
        <v>10396</v>
      </c>
    </row>
    <row r="1158" spans="1:1" s="25" customFormat="1" ht="13">
      <c r="A1158" s="25" t="s">
        <v>10388</v>
      </c>
    </row>
    <row r="1159" spans="1:1" s="25" customFormat="1" ht="13">
      <c r="A1159" s="25" t="s">
        <v>10387</v>
      </c>
    </row>
    <row r="1160" spans="1:1" s="25" customFormat="1" ht="13"/>
    <row r="1161" spans="1:1" ht="13">
      <c r="A1161" s="662" t="s">
        <v>10386</v>
      </c>
    </row>
    <row r="1162" spans="1:1" ht="13">
      <c r="A1162" s="1098" t="s">
        <v>8743</v>
      </c>
    </row>
    <row r="1164" spans="1:1" ht="13">
      <c r="A1164" s="662" t="s">
        <v>9117</v>
      </c>
    </row>
    <row r="1165" spans="1:1" s="25" customFormat="1" ht="13">
      <c r="A1165" s="25" t="s">
        <v>10402</v>
      </c>
    </row>
    <row r="1166" spans="1:1" s="25" customFormat="1" ht="13">
      <c r="A1166" s="36" t="s">
        <v>10403</v>
      </c>
    </row>
    <row r="1167" spans="1:1" s="25" customFormat="1" ht="13">
      <c r="A1167" s="25" t="s">
        <v>10395</v>
      </c>
    </row>
    <row r="1168" spans="1:1" s="25" customFormat="1" ht="13">
      <c r="A1168" s="25" t="s">
        <v>10397</v>
      </c>
    </row>
    <row r="1169" spans="1:1" s="25" customFormat="1" ht="13">
      <c r="A1169" s="25" t="s">
        <v>10398</v>
      </c>
    </row>
    <row r="1170" spans="1:1" s="25" customFormat="1" ht="13">
      <c r="A1170" s="25" t="s">
        <v>10401</v>
      </c>
    </row>
    <row r="1171" spans="1:1" s="25" customFormat="1" ht="13"/>
    <row r="1172" spans="1:1" s="25" customFormat="1" ht="13">
      <c r="A1172" s="25" t="s">
        <v>10399</v>
      </c>
    </row>
    <row r="1173" spans="1:1" s="25" customFormat="1" ht="13"/>
    <row r="1174" spans="1:1" s="25" customFormat="1" ht="13">
      <c r="A1174" s="25" t="s">
        <v>10389</v>
      </c>
    </row>
    <row r="1175" spans="1:1" ht="13">
      <c r="A1175" s="25" t="s">
        <v>10391</v>
      </c>
    </row>
    <row r="1176" spans="1:1" ht="13">
      <c r="A1176" s="25" t="s">
        <v>10392</v>
      </c>
    </row>
    <row r="1177" spans="1:1" s="25" customFormat="1" ht="13">
      <c r="A1177" s="36" t="s">
        <v>10400</v>
      </c>
    </row>
    <row r="1178" spans="1:1" s="25" customFormat="1" ht="13">
      <c r="A1178" s="25" t="s">
        <v>10393</v>
      </c>
    </row>
    <row r="1179" spans="1:1" s="25" customFormat="1" ht="16" customHeight="1"/>
    <row r="1180" spans="1:1" s="25" customFormat="1" ht="13">
      <c r="A1180" s="25" t="s">
        <v>10390</v>
      </c>
    </row>
    <row r="1181" spans="1:1" s="25" customFormat="1" ht="13">
      <c r="A1181" s="25" t="s">
        <v>10394</v>
      </c>
    </row>
    <row r="1182" spans="1:1" s="25" customFormat="1" ht="13"/>
    <row r="1183" spans="1:1" s="25" customFormat="1" ht="13"/>
    <row r="1184" spans="1:1" ht="13">
      <c r="A1184" s="1366" t="s">
        <v>10558</v>
      </c>
    </row>
    <row r="1185" spans="1:1" s="2042" customFormat="1" ht="13">
      <c r="A1185" s="1896" t="s">
        <v>10522</v>
      </c>
    </row>
    <row r="1186" spans="1:1" s="2042" customFormat="1" ht="13">
      <c r="A1186" s="1896" t="s">
        <v>10512</v>
      </c>
    </row>
    <row r="1187" spans="1:1" s="2042" customFormat="1" ht="13">
      <c r="A1187" s="1896"/>
    </row>
    <row r="1188" spans="1:1" s="2042" customFormat="1" ht="13">
      <c r="A1188" s="662" t="s">
        <v>9068</v>
      </c>
    </row>
    <row r="1189" spans="1:1" s="25" customFormat="1" ht="13">
      <c r="A1189" s="1098"/>
    </row>
    <row r="1190" spans="1:1" s="25" customFormat="1" ht="13">
      <c r="A1190" s="25" t="s">
        <v>10501</v>
      </c>
    </row>
    <row r="1191" spans="1:1" s="25" customFormat="1" ht="13">
      <c r="A1191" s="25" t="s">
        <v>10502</v>
      </c>
    </row>
    <row r="1192" spans="1:1" s="25" customFormat="1" ht="13">
      <c r="A1192" s="25" t="s">
        <v>10523</v>
      </c>
    </row>
    <row r="1193" spans="1:1" s="25" customFormat="1" ht="13">
      <c r="A1193" s="25" t="s">
        <v>10524</v>
      </c>
    </row>
    <row r="1194" spans="1:1" ht="13">
      <c r="A1194" s="25" t="s">
        <v>10513</v>
      </c>
    </row>
    <row r="1195" spans="1:1" ht="13">
      <c r="A1195" s="25" t="s">
        <v>10505</v>
      </c>
    </row>
    <row r="1196" spans="1:1" s="25" customFormat="1" ht="13">
      <c r="A1196" s="25" t="s">
        <v>10525</v>
      </c>
    </row>
    <row r="1197" spans="1:1" s="25" customFormat="1" ht="13">
      <c r="A1197" s="25" t="s">
        <v>10526</v>
      </c>
    </row>
    <row r="1198" spans="1:1" s="25" customFormat="1" ht="13"/>
    <row r="1199" spans="1:1" s="25" customFormat="1" ht="13">
      <c r="A1199" s="25" t="s">
        <v>10519</v>
      </c>
    </row>
    <row r="1200" spans="1:1" s="25" customFormat="1" ht="13">
      <c r="A1200" s="25" t="s">
        <v>10520</v>
      </c>
    </row>
    <row r="1201" spans="1:1" s="25" customFormat="1" ht="13">
      <c r="A1201" s="25" t="s">
        <v>10521</v>
      </c>
    </row>
    <row r="1202" spans="1:1" s="25" customFormat="1" ht="13"/>
    <row r="1203" spans="1:1" s="25" customFormat="1" ht="13">
      <c r="A1203" s="662" t="s">
        <v>10551</v>
      </c>
    </row>
    <row r="1204" spans="1:1" s="25" customFormat="1" ht="13">
      <c r="A1204" s="662" t="s">
        <v>10549</v>
      </c>
    </row>
    <row r="1205" spans="1:1" s="25" customFormat="1" ht="13">
      <c r="A1205" s="662" t="s">
        <v>10550</v>
      </c>
    </row>
    <row r="1206" spans="1:1" s="25" customFormat="1" ht="13"/>
    <row r="1207" spans="1:1" s="25" customFormat="1" ht="13">
      <c r="A1207" s="25" t="s">
        <v>10507</v>
      </c>
    </row>
    <row r="1208" spans="1:1" s="25" customFormat="1" ht="13">
      <c r="A1208" s="25" t="s">
        <v>10506</v>
      </c>
    </row>
    <row r="1209" spans="1:1" s="25" customFormat="1" ht="13">
      <c r="A1209" s="25" t="s">
        <v>10508</v>
      </c>
    </row>
    <row r="1210" spans="1:1" s="25" customFormat="1" ht="13">
      <c r="A1210" s="25" t="s">
        <v>10503</v>
      </c>
    </row>
    <row r="1211" spans="1:1" s="25" customFormat="1" ht="13">
      <c r="A1211" s="25" t="s">
        <v>10504</v>
      </c>
    </row>
    <row r="1212" spans="1:1" s="25" customFormat="1" ht="13"/>
    <row r="1213" spans="1:1" s="25" customFormat="1" ht="13">
      <c r="A1213" s="662" t="s">
        <v>8596</v>
      </c>
    </row>
    <row r="1214" spans="1:1" s="25" customFormat="1" ht="13"/>
    <row r="1215" spans="1:1" s="25" customFormat="1" ht="13">
      <c r="A1215" s="25" t="s">
        <v>10514</v>
      </c>
    </row>
    <row r="1216" spans="1:1" s="25" customFormat="1" ht="13">
      <c r="A1216" s="25" t="s">
        <v>10515</v>
      </c>
    </row>
    <row r="1217" spans="1:1" s="25" customFormat="1" ht="13">
      <c r="A1217" s="25" t="s">
        <v>10516</v>
      </c>
    </row>
    <row r="1218" spans="1:1" s="25" customFormat="1" ht="13">
      <c r="A1218" s="25" t="s">
        <v>10565</v>
      </c>
    </row>
    <row r="1219" spans="1:1" s="25" customFormat="1" ht="13">
      <c r="A1219" s="25" t="s">
        <v>10566</v>
      </c>
    </row>
    <row r="1220" spans="1:1" s="25" customFormat="1" ht="13">
      <c r="A1220" s="25" t="s">
        <v>10567</v>
      </c>
    </row>
    <row r="1221" spans="1:1" s="25" customFormat="1" ht="13">
      <c r="A1221" s="25" t="s">
        <v>10568</v>
      </c>
    </row>
    <row r="1222" spans="1:1" s="25" customFormat="1" ht="13">
      <c r="A1222" s="25" t="s">
        <v>10569</v>
      </c>
    </row>
    <row r="1224" spans="1:1" ht="13">
      <c r="A1224" s="25" t="s">
        <v>10510</v>
      </c>
    </row>
    <row r="1227" spans="1:1" ht="13">
      <c r="A1227" s="1366" t="s">
        <v>10694</v>
      </c>
    </row>
    <row r="1229" spans="1:1" ht="13">
      <c r="A1229" s="662" t="s">
        <v>10386</v>
      </c>
    </row>
    <row r="1230" spans="1:1" ht="13">
      <c r="A1230" s="25" t="s">
        <v>8743</v>
      </c>
    </row>
    <row r="1232" spans="1:1" ht="13">
      <c r="A1232" s="662" t="s">
        <v>9117</v>
      </c>
    </row>
    <row r="1233" spans="1:1" ht="13">
      <c r="A1233" s="25" t="s">
        <v>10680</v>
      </c>
    </row>
    <row r="1234" spans="1:1" s="25" customFormat="1" ht="13">
      <c r="A1234" s="25" t="s">
        <v>10681</v>
      </c>
    </row>
    <row r="1235" spans="1:1" s="25" customFormat="1" ht="13">
      <c r="A1235" s="25" t="s">
        <v>10689</v>
      </c>
    </row>
    <row r="1236" spans="1:1" s="25" customFormat="1" ht="13">
      <c r="A1236" s="25" t="s">
        <v>10687</v>
      </c>
    </row>
    <row r="1237" spans="1:1" s="25" customFormat="1" ht="13">
      <c r="A1237" s="25" t="s">
        <v>10682</v>
      </c>
    </row>
    <row r="1238" spans="1:1" s="25" customFormat="1" ht="13"/>
    <row r="1239" spans="1:1" ht="13">
      <c r="A1239" s="25" t="s">
        <v>10688</v>
      </c>
    </row>
    <row r="1240" spans="1:1" ht="13">
      <c r="A1240" s="25" t="s">
        <v>10683</v>
      </c>
    </row>
    <row r="1241" spans="1:1" ht="13">
      <c r="A1241" s="25" t="s">
        <v>10684</v>
      </c>
    </row>
    <row r="1242" spans="1:1" ht="13">
      <c r="A1242" s="25" t="s">
        <v>10685</v>
      </c>
    </row>
    <row r="1243" spans="1:1" ht="13">
      <c r="A1243" s="25" t="s">
        <v>10690</v>
      </c>
    </row>
    <row r="1244" spans="1:1" ht="13">
      <c r="A1244" s="25" t="s">
        <v>10692</v>
      </c>
    </row>
    <row r="1245" spans="1:1" ht="13">
      <c r="A1245" s="36" t="s">
        <v>10691</v>
      </c>
    </row>
    <row r="1248" spans="1:1" ht="13">
      <c r="A1248" s="25" t="s">
        <v>10686</v>
      </c>
    </row>
    <row r="1249" spans="1:1" ht="13">
      <c r="A1249" s="25" t="s">
        <v>10693</v>
      </c>
    </row>
    <row r="1252" spans="1:1" ht="13">
      <c r="A1252" s="1366" t="s">
        <v>10714</v>
      </c>
    </row>
    <row r="1254" spans="1:1" ht="13">
      <c r="A1254" s="662" t="s">
        <v>10715</v>
      </c>
    </row>
    <row r="1255" spans="1:1" ht="13">
      <c r="A1255" s="25" t="s">
        <v>8743</v>
      </c>
    </row>
    <row r="1256" spans="1:1">
      <c r="A1256" s="2042"/>
    </row>
    <row r="1257" spans="1:1" ht="13">
      <c r="A1257" s="662" t="s">
        <v>10716</v>
      </c>
    </row>
    <row r="1258" spans="1:1" s="25" customFormat="1" ht="13">
      <c r="A1258" s="25" t="s">
        <v>10717</v>
      </c>
    </row>
    <row r="1259" spans="1:1" s="25" customFormat="1" ht="13">
      <c r="A1259" s="36" t="s">
        <v>10718</v>
      </c>
    </row>
    <row r="1260" spans="1:1" s="25" customFormat="1" ht="13"/>
    <row r="1261" spans="1:1" s="25" customFormat="1" ht="13">
      <c r="A1261" s="25" t="s">
        <v>10719</v>
      </c>
    </row>
    <row r="1262" spans="1:1" s="25" customFormat="1" ht="13">
      <c r="A1262" s="25" t="s">
        <v>10722</v>
      </c>
    </row>
    <row r="1263" spans="1:1" s="25" customFormat="1" ht="13"/>
    <row r="1264" spans="1:1" ht="13">
      <c r="A1264" s="25" t="s">
        <v>10720</v>
      </c>
    </row>
    <row r="1265" spans="1:1" ht="13">
      <c r="A1265" s="25" t="s">
        <v>10721</v>
      </c>
    </row>
    <row r="1268" spans="1:1" ht="13">
      <c r="A1268" s="1366" t="s">
        <v>10849</v>
      </c>
    </row>
    <row r="1270" spans="1:1" ht="13">
      <c r="A1270" s="662" t="s">
        <v>10802</v>
      </c>
    </row>
    <row r="1271" spans="1:1" s="25" customFormat="1" ht="13">
      <c r="A1271" s="25" t="s">
        <v>8743</v>
      </c>
    </row>
    <row r="1272" spans="1:1" s="25" customFormat="1" ht="13"/>
    <row r="1273" spans="1:1" s="25" customFormat="1" ht="13">
      <c r="A1273" s="662" t="s">
        <v>8727</v>
      </c>
    </row>
    <row r="1274" spans="1:1" s="25" customFormat="1" ht="13">
      <c r="A1274" s="25" t="s">
        <v>10842</v>
      </c>
    </row>
    <row r="1275" spans="1:1" ht="13">
      <c r="A1275" s="25" t="s">
        <v>10851</v>
      </c>
    </row>
    <row r="1276" spans="1:1" s="25" customFormat="1" ht="13">
      <c r="A1276" s="25" t="s">
        <v>10852</v>
      </c>
    </row>
    <row r="1277" spans="1:1" s="25" customFormat="1" ht="13">
      <c r="A1277" s="25" t="s">
        <v>10850</v>
      </c>
    </row>
    <row r="1278" spans="1:1" s="25" customFormat="1" ht="13"/>
    <row r="1279" spans="1:1" s="25" customFormat="1" ht="13">
      <c r="A1279" s="25" t="s">
        <v>10853</v>
      </c>
    </row>
    <row r="1280" spans="1:1" s="25" customFormat="1" ht="13">
      <c r="A1280" s="25" t="s">
        <v>10855</v>
      </c>
    </row>
    <row r="1281" spans="1:1" s="25" customFormat="1" ht="13">
      <c r="A1281" s="25" t="s">
        <v>10854</v>
      </c>
    </row>
    <row r="1282" spans="1:1" s="25" customFormat="1" ht="13"/>
    <row r="1283" spans="1:1" ht="13">
      <c r="A1283" s="25" t="s">
        <v>10803</v>
      </c>
    </row>
    <row r="1284" spans="1:1" ht="13">
      <c r="A1284" s="36" t="s">
        <v>10858</v>
      </c>
    </row>
    <row r="1285" spans="1:1" s="2042" customFormat="1" ht="13">
      <c r="A1285" s="36" t="s">
        <v>10859</v>
      </c>
    </row>
    <row r="1286" spans="1:1" s="2042" customFormat="1" ht="13">
      <c r="A1286" s="36" t="s">
        <v>10862</v>
      </c>
    </row>
    <row r="1287" spans="1:1" s="2042" customFormat="1" ht="13">
      <c r="A1287" s="36" t="s">
        <v>10863</v>
      </c>
    </row>
    <row r="1288" spans="1:1" ht="13">
      <c r="A1288" s="25"/>
    </row>
    <row r="1289" spans="1:1" ht="13">
      <c r="A1289" s="25" t="s">
        <v>10804</v>
      </c>
    </row>
    <row r="1290" spans="1:1" ht="13">
      <c r="A1290" s="25" t="s">
        <v>10805</v>
      </c>
    </row>
    <row r="1291" spans="1:1" s="2042" customFormat="1" ht="13">
      <c r="A1291" s="25"/>
    </row>
    <row r="1292" spans="1:1" ht="13">
      <c r="A1292" s="25" t="s">
        <v>10843</v>
      </c>
    </row>
    <row r="1293" spans="1:1" ht="13">
      <c r="A1293" s="25" t="s">
        <v>10844</v>
      </c>
    </row>
    <row r="1294" spans="1:1" ht="13">
      <c r="A1294" s="25" t="s">
        <v>10857</v>
      </c>
    </row>
    <row r="1295" spans="1:1" s="2042" customFormat="1" ht="13">
      <c r="A1295" s="25" t="s">
        <v>10856</v>
      </c>
    </row>
    <row r="1296" spans="1:1" s="2042" customFormat="1" ht="13">
      <c r="A1296" s="25"/>
    </row>
    <row r="1297" spans="1:1" ht="13">
      <c r="A1297" s="25" t="s">
        <v>10845</v>
      </c>
    </row>
    <row r="1298" spans="1:1" ht="13">
      <c r="A1298" s="25" t="s">
        <v>10848</v>
      </c>
    </row>
    <row r="1299" spans="1:1" ht="15.5">
      <c r="A1299" s="2039" t="s">
        <v>10860</v>
      </c>
    </row>
    <row r="1300" spans="1:1" ht="14">
      <c r="A1300" s="1415" t="s">
        <v>10861</v>
      </c>
    </row>
    <row r="1301" spans="1:1" ht="13">
      <c r="A1301" s="25" t="s">
        <v>10861</v>
      </c>
    </row>
    <row r="1302" spans="1:1">
      <c r="A1302" s="2789" t="s">
        <v>10861</v>
      </c>
    </row>
    <row r="1303" spans="1:1">
      <c r="A1303" s="2790" t="s">
        <v>10847</v>
      </c>
    </row>
    <row r="1304" spans="1:1" s="25" customFormat="1" ht="13">
      <c r="A1304" s="25" t="s">
        <v>10846</v>
      </c>
    </row>
    <row r="1307" spans="1:1" ht="13">
      <c r="A1307" s="1366" t="s">
        <v>10883</v>
      </c>
    </row>
    <row r="1309" spans="1:1" ht="13">
      <c r="A1309" s="662" t="s">
        <v>10870</v>
      </c>
    </row>
    <row r="1310" spans="1:1" ht="13">
      <c r="A1310" s="25" t="s">
        <v>8743</v>
      </c>
    </row>
    <row r="1311" spans="1:1" ht="13">
      <c r="A1311" s="25"/>
    </row>
    <row r="1312" spans="1:1" ht="13">
      <c r="A1312" s="662" t="s">
        <v>8745</v>
      </c>
    </row>
    <row r="1313" spans="1:1" s="25" customFormat="1" ht="13">
      <c r="A1313" s="2196" t="s">
        <v>10871</v>
      </c>
    </row>
    <row r="1314" spans="1:1" s="25" customFormat="1" ht="13">
      <c r="A1314" s="25" t="s">
        <v>10872</v>
      </c>
    </row>
    <row r="1315" spans="1:1" s="25" customFormat="1" ht="13">
      <c r="A1315" s="25" t="s">
        <v>10873</v>
      </c>
    </row>
    <row r="1316" spans="1:1" s="25" customFormat="1" ht="13">
      <c r="A1316" s="25" t="s">
        <v>10874</v>
      </c>
    </row>
    <row r="1317" spans="1:1" s="25" customFormat="1" ht="13">
      <c r="A1317" s="36" t="s">
        <v>10890</v>
      </c>
    </row>
    <row r="1318" spans="1:1" s="25" customFormat="1" ht="13">
      <c r="A1318" s="36" t="s">
        <v>10884</v>
      </c>
    </row>
    <row r="1319" spans="1:1" s="25" customFormat="1" ht="13">
      <c r="A1319" s="36"/>
    </row>
    <row r="1320" spans="1:1" s="25" customFormat="1" ht="13">
      <c r="A1320" s="25" t="s">
        <v>10875</v>
      </c>
    </row>
    <row r="1321" spans="1:1" s="25" customFormat="1" ht="13">
      <c r="A1321" s="25" t="s">
        <v>10876</v>
      </c>
    </row>
    <row r="1322" spans="1:1" s="2044" customFormat="1"/>
    <row r="1323" spans="1:1" s="2044" customFormat="1" ht="13">
      <c r="A1323" s="2196" t="s">
        <v>10877</v>
      </c>
    </row>
    <row r="1324" spans="1:1" s="2044" customFormat="1" ht="13">
      <c r="A1324" s="25" t="s">
        <v>10878</v>
      </c>
    </row>
    <row r="1325" spans="1:1" s="2044" customFormat="1" ht="13">
      <c r="A1325" s="25" t="s">
        <v>10879</v>
      </c>
    </row>
    <row r="1326" spans="1:1" s="2044" customFormat="1" ht="13">
      <c r="A1326" s="25" t="s">
        <v>10880</v>
      </c>
    </row>
    <row r="1327" spans="1:1" s="2044" customFormat="1" ht="13">
      <c r="A1327" s="25" t="s">
        <v>10891</v>
      </c>
    </row>
    <row r="1328" spans="1:1" s="2044" customFormat="1" ht="13">
      <c r="A1328" s="25" t="s">
        <v>10892</v>
      </c>
    </row>
    <row r="1329" spans="1:1" s="2044" customFormat="1" ht="13">
      <c r="A1329" s="36" t="s">
        <v>10886</v>
      </c>
    </row>
    <row r="1330" spans="1:1" s="2044" customFormat="1" ht="13">
      <c r="A1330" s="36" t="s">
        <v>10885</v>
      </c>
    </row>
    <row r="1331" spans="1:1" s="2044" customFormat="1" ht="13">
      <c r="A1331" s="36" t="s">
        <v>10887</v>
      </c>
    </row>
    <row r="1332" spans="1:1" s="2044" customFormat="1" ht="13">
      <c r="A1332" s="36" t="s">
        <v>10888</v>
      </c>
    </row>
    <row r="1333" spans="1:1" s="2044" customFormat="1" ht="13">
      <c r="A1333" s="662" t="s">
        <v>10889</v>
      </c>
    </row>
    <row r="1334" spans="1:1" s="2044" customFormat="1" ht="13">
      <c r="A1334" s="25"/>
    </row>
    <row r="1335" spans="1:1" s="2044" customFormat="1" ht="13">
      <c r="A1335" s="25" t="s">
        <v>10893</v>
      </c>
    </row>
    <row r="1336" spans="1:1" s="2044" customFormat="1"/>
    <row r="1337" spans="1:1" s="2044" customFormat="1" ht="13">
      <c r="A1337" s="25" t="s">
        <v>10881</v>
      </c>
    </row>
    <row r="1338" spans="1:1" s="25" customFormat="1" ht="13"/>
    <row r="1339" spans="1:1" s="25" customFormat="1" ht="13">
      <c r="A1339" s="25" t="s">
        <v>10894</v>
      </c>
    </row>
    <row r="1340" spans="1:1" s="25" customFormat="1" ht="13">
      <c r="A1340" s="25" t="s">
        <v>10895</v>
      </c>
    </row>
    <row r="1341" spans="1:1" s="25" customFormat="1" ht="13"/>
    <row r="1342" spans="1:1" s="25" customFormat="1" ht="13">
      <c r="A1342" s="25" t="s">
        <v>10896</v>
      </c>
    </row>
    <row r="1343" spans="1:1" s="25" customFormat="1" ht="13">
      <c r="A1343" s="25" t="s">
        <v>10882</v>
      </c>
    </row>
    <row r="1344" spans="1:1" s="25" customFormat="1" ht="13"/>
    <row r="1345" spans="1:1" ht="13">
      <c r="A1345" s="25" t="s">
        <v>10897</v>
      </c>
    </row>
    <row r="1346" spans="1:1" ht="13">
      <c r="A1346" s="25" t="s">
        <v>10898</v>
      </c>
    </row>
    <row r="1349" spans="1:1" ht="13">
      <c r="A1349" s="1366" t="s">
        <v>10906</v>
      </c>
    </row>
    <row r="1351" spans="1:1" ht="13">
      <c r="A1351" s="662" t="s">
        <v>10901</v>
      </c>
    </row>
    <row r="1352" spans="1:1" ht="13">
      <c r="A1352" s="25" t="s">
        <v>8743</v>
      </c>
    </row>
    <row r="1354" spans="1:1" ht="13">
      <c r="A1354" s="662" t="s">
        <v>8782</v>
      </c>
    </row>
    <row r="1355" spans="1:1" s="25" customFormat="1" ht="13">
      <c r="A1355" s="25" t="s">
        <v>10907</v>
      </c>
    </row>
    <row r="1356" spans="1:1" s="25" customFormat="1" ht="13">
      <c r="A1356" s="25" t="s">
        <v>10902</v>
      </c>
    </row>
    <row r="1357" spans="1:1" s="25" customFormat="1" ht="13">
      <c r="A1357" s="25" t="s">
        <v>10908</v>
      </c>
    </row>
    <row r="1358" spans="1:1" s="25" customFormat="1" ht="13">
      <c r="A1358" s="25" t="s">
        <v>10909</v>
      </c>
    </row>
    <row r="1359" spans="1:1" s="25" customFormat="1" ht="13">
      <c r="A1359" s="25" t="s">
        <v>10910</v>
      </c>
    </row>
    <row r="1360" spans="1:1" s="25" customFormat="1" ht="13"/>
    <row r="1361" spans="1:1" s="25" customFormat="1" ht="13">
      <c r="A1361" s="25" t="s">
        <v>10903</v>
      </c>
    </row>
    <row r="1362" spans="1:1" s="25" customFormat="1" ht="13">
      <c r="A1362" s="25" t="s">
        <v>10904</v>
      </c>
    </row>
    <row r="1363" spans="1:1" s="25" customFormat="1" ht="13">
      <c r="A1363" s="25" t="s">
        <v>10905</v>
      </c>
    </row>
    <row r="1364" spans="1:1" s="25" customFormat="1" ht="13"/>
    <row r="1366" spans="1:1" ht="13">
      <c r="A1366" s="1366" t="s">
        <v>11012</v>
      </c>
    </row>
    <row r="1368" spans="1:1" ht="13">
      <c r="A1368" s="662" t="s">
        <v>11014</v>
      </c>
    </row>
    <row r="1369" spans="1:1" ht="13">
      <c r="A1369" s="25" t="s">
        <v>11015</v>
      </c>
    </row>
    <row r="1370" spans="1:1" s="25" customFormat="1" ht="13">
      <c r="A1370" s="25" t="s">
        <v>11017</v>
      </c>
    </row>
    <row r="1371" spans="1:1" s="25" customFormat="1" ht="13">
      <c r="A1371" s="25" t="s">
        <v>11016</v>
      </c>
    </row>
    <row r="1372" spans="1:1" s="2042" customFormat="1"/>
    <row r="1373" spans="1:1" s="2042" customFormat="1" ht="13">
      <c r="A1373" s="662" t="s">
        <v>7852</v>
      </c>
    </row>
    <row r="1374" spans="1:1" ht="13">
      <c r="A1374" s="25" t="s">
        <v>11018</v>
      </c>
    </row>
    <row r="1375" spans="1:1" s="25" customFormat="1" ht="13">
      <c r="A1375" s="25" t="s">
        <v>11019</v>
      </c>
    </row>
    <row r="1376" spans="1:1" s="25" customFormat="1" ht="13">
      <c r="A1376" s="25" t="s">
        <v>11020</v>
      </c>
    </row>
    <row r="1377" spans="1:1" s="25" customFormat="1" ht="13"/>
    <row r="1378" spans="1:1" s="25" customFormat="1" ht="13">
      <c r="A1378" s="25" t="s">
        <v>11021</v>
      </c>
    </row>
    <row r="1379" spans="1:1" s="25" customFormat="1" ht="13">
      <c r="A1379" s="2970" t="s">
        <v>11025</v>
      </c>
    </row>
    <row r="1380" spans="1:1" s="25" customFormat="1" ht="13">
      <c r="A1380" s="25" t="s">
        <v>11023</v>
      </c>
    </row>
    <row r="1381" spans="1:1" s="25" customFormat="1" ht="13"/>
    <row r="1382" spans="1:1" s="25" customFormat="1" ht="13">
      <c r="A1382" s="25" t="s">
        <v>11022</v>
      </c>
    </row>
    <row r="1383" spans="1:1" ht="13">
      <c r="A1383" s="25" t="s">
        <v>11024</v>
      </c>
    </row>
    <row r="1386" spans="1:1" ht="13">
      <c r="A1386" s="1366" t="s">
        <v>11034</v>
      </c>
    </row>
    <row r="1388" spans="1:1" ht="13">
      <c r="A1388" s="662" t="s">
        <v>11035</v>
      </c>
    </row>
    <row r="1389" spans="1:1" ht="13">
      <c r="A1389" s="25" t="s">
        <v>8743</v>
      </c>
    </row>
    <row r="1390" spans="1:1">
      <c r="A1390" s="2042"/>
    </row>
    <row r="1391" spans="1:1" ht="13">
      <c r="A1391" s="662" t="s">
        <v>7880</v>
      </c>
    </row>
    <row r="1392" spans="1:1" s="2042" customFormat="1" ht="13">
      <c r="A1392" s="25" t="s">
        <v>11045</v>
      </c>
    </row>
    <row r="1393" spans="1:1" s="2042" customFormat="1" ht="13">
      <c r="A1393" s="25" t="s">
        <v>11042</v>
      </c>
    </row>
    <row r="1394" spans="1:1" s="2042" customFormat="1" ht="13">
      <c r="A1394" s="662"/>
    </row>
    <row r="1395" spans="1:1" s="25" customFormat="1" ht="13">
      <c r="A1395" s="25" t="s">
        <v>11043</v>
      </c>
    </row>
    <row r="1396" spans="1:1" s="25" customFormat="1" ht="13">
      <c r="A1396" s="25" t="s">
        <v>11038</v>
      </c>
    </row>
    <row r="1397" spans="1:1" s="25" customFormat="1" ht="13">
      <c r="A1397" s="25" t="s">
        <v>11036</v>
      </c>
    </row>
    <row r="1398" spans="1:1" s="25" customFormat="1" ht="13">
      <c r="A1398" s="25" t="s">
        <v>11037</v>
      </c>
    </row>
    <row r="1399" spans="1:1" s="25" customFormat="1" ht="13">
      <c r="A1399" s="662" t="s">
        <v>11047</v>
      </c>
    </row>
    <row r="1400" spans="1:1" s="25" customFormat="1" ht="13"/>
    <row r="1401" spans="1:1" s="25" customFormat="1" ht="13">
      <c r="A1401" s="25" t="s">
        <v>11044</v>
      </c>
    </row>
    <row r="1402" spans="1:1" s="25" customFormat="1" ht="13">
      <c r="A1402" s="25" t="s">
        <v>11039</v>
      </c>
    </row>
    <row r="1403" spans="1:1" ht="13">
      <c r="A1403" s="25" t="s">
        <v>11046</v>
      </c>
    </row>
    <row r="1404" spans="1:1" s="2042" customFormat="1" ht="13">
      <c r="A1404" s="25" t="s">
        <v>11048</v>
      </c>
    </row>
    <row r="1407" spans="1:1" ht="13">
      <c r="A1407" s="1366" t="s">
        <v>12498</v>
      </c>
    </row>
    <row r="1408" spans="1:1" s="25" customFormat="1" ht="13"/>
    <row r="1409" spans="1:1" s="25" customFormat="1" ht="13">
      <c r="A1409" s="25" t="s">
        <v>12509</v>
      </c>
    </row>
    <row r="1410" spans="1:1" s="25" customFormat="1" ht="13">
      <c r="A1410" s="25" t="s">
        <v>12500</v>
      </c>
    </row>
    <row r="1411" spans="1:1" s="25" customFormat="1" ht="13"/>
    <row r="1412" spans="1:1" s="25" customFormat="1" ht="13">
      <c r="A1412" s="662" t="s">
        <v>12499</v>
      </c>
    </row>
    <row r="1413" spans="1:1" s="25" customFormat="1" ht="13">
      <c r="A1413" s="25" t="s">
        <v>12501</v>
      </c>
    </row>
    <row r="1414" spans="1:1" s="25" customFormat="1" ht="13">
      <c r="A1414" s="25" t="s">
        <v>12503</v>
      </c>
    </row>
    <row r="1415" spans="1:1" s="25" customFormat="1" ht="13">
      <c r="A1415" s="25" t="s">
        <v>12502</v>
      </c>
    </row>
    <row r="1416" spans="1:1" s="25" customFormat="1" ht="13"/>
    <row r="1417" spans="1:1" s="25" customFormat="1" ht="13">
      <c r="A1417" s="662" t="s">
        <v>8596</v>
      </c>
    </row>
    <row r="1418" spans="1:1" s="25" customFormat="1" ht="13">
      <c r="A1418" s="25" t="s">
        <v>12588</v>
      </c>
    </row>
    <row r="1419" spans="1:1" s="25" customFormat="1" ht="13">
      <c r="A1419" s="25" t="s">
        <v>12589</v>
      </c>
    </row>
    <row r="1420" spans="1:1" s="25" customFormat="1" ht="13"/>
    <row r="1421" spans="1:1" s="25" customFormat="1" ht="13">
      <c r="A1421" s="25" t="s">
        <v>12587</v>
      </c>
    </row>
    <row r="1422" spans="1:1" s="25" customFormat="1" ht="13"/>
    <row r="1423" spans="1:1" s="25" customFormat="1" ht="13">
      <c r="A1423" s="25" t="s">
        <v>12580</v>
      </c>
    </row>
    <row r="1424" spans="1:1" s="25" customFormat="1" ht="13">
      <c r="A1424" s="25" t="s">
        <v>12583</v>
      </c>
    </row>
    <row r="1425" spans="1:1" s="25" customFormat="1" ht="13">
      <c r="A1425" s="25" t="s">
        <v>12581</v>
      </c>
    </row>
    <row r="1426" spans="1:1" s="25" customFormat="1" ht="13"/>
    <row r="1427" spans="1:1" s="25" customFormat="1" ht="13">
      <c r="A1427" s="25" t="s">
        <v>12586</v>
      </c>
    </row>
    <row r="1428" spans="1:1" s="25" customFormat="1" ht="13">
      <c r="A1428" s="25" t="s">
        <v>12584</v>
      </c>
    </row>
    <row r="1429" spans="1:1" s="25" customFormat="1" ht="13">
      <c r="A1429" s="25" t="s">
        <v>12585</v>
      </c>
    </row>
    <row r="1432" spans="1:1" ht="13">
      <c r="A1432" s="1366" t="s">
        <v>12601</v>
      </c>
    </row>
    <row r="1433" spans="1:1" s="25" customFormat="1" ht="13">
      <c r="A1433" s="25" t="s">
        <v>12603</v>
      </c>
    </row>
    <row r="1434" spans="1:1" s="25" customFormat="1" ht="13"/>
    <row r="1435" spans="1:1" s="25" customFormat="1" ht="13">
      <c r="A1435" s="662" t="s">
        <v>12597</v>
      </c>
    </row>
    <row r="1436" spans="1:1" s="25" customFormat="1" ht="13">
      <c r="A1436" s="25" t="s">
        <v>8743</v>
      </c>
    </row>
    <row r="1437" spans="1:1" s="25" customFormat="1" ht="13"/>
    <row r="1438" spans="1:1" s="25" customFormat="1" ht="13">
      <c r="A1438" s="662" t="s">
        <v>9117</v>
      </c>
    </row>
    <row r="1439" spans="1:1" s="25" customFormat="1" ht="13">
      <c r="A1439" s="25" t="s">
        <v>12598</v>
      </c>
    </row>
    <row r="1440" spans="1:1" s="25" customFormat="1" ht="13">
      <c r="A1440" s="25" t="s">
        <v>12599</v>
      </c>
    </row>
    <row r="1441" spans="1:1" s="25" customFormat="1" ht="13">
      <c r="A1441" s="25" t="s">
        <v>12600</v>
      </c>
    </row>
    <row r="1442" spans="1:1" s="25" customFormat="1" ht="13">
      <c r="A1442" s="25" t="s">
        <v>12614</v>
      </c>
    </row>
    <row r="1443" spans="1:1" s="25" customFormat="1" ht="13"/>
    <row r="1444" spans="1:1" s="25" customFormat="1" ht="13">
      <c r="A1444" s="25" t="s">
        <v>12615</v>
      </c>
    </row>
    <row r="1445" spans="1:1" ht="13">
      <c r="A1445" s="25" t="s">
        <v>12616</v>
      </c>
    </row>
    <row r="1446" spans="1:1" s="2042" customFormat="1" ht="13">
      <c r="A1446" s="25" t="s">
        <v>12623</v>
      </c>
    </row>
    <row r="1447" spans="1:1" s="2042" customFormat="1" ht="13">
      <c r="A1447" s="25" t="s">
        <v>12624</v>
      </c>
    </row>
    <row r="1448" spans="1:1" s="2042" customFormat="1" ht="13">
      <c r="A1448" s="25"/>
    </row>
    <row r="1449" spans="1:1" s="2042" customFormat="1" ht="13">
      <c r="A1449" s="25" t="s">
        <v>12626</v>
      </c>
    </row>
    <row r="1450" spans="1:1" s="2042" customFormat="1" ht="13">
      <c r="A1450" s="25"/>
    </row>
    <row r="1451" spans="1:1" s="2042" customFormat="1" ht="13">
      <c r="A1451" s="25" t="s">
        <v>12620</v>
      </c>
    </row>
    <row r="1452" spans="1:1" s="2042" customFormat="1" ht="13">
      <c r="A1452" s="25" t="s">
        <v>12619</v>
      </c>
    </row>
    <row r="1454" spans="1:1" ht="13">
      <c r="A1454" s="25" t="s">
        <v>12621</v>
      </c>
    </row>
    <row r="1455" spans="1:1" ht="13">
      <c r="A1455" s="25" t="s">
        <v>12622</v>
      </c>
    </row>
  </sheetData>
  <phoneticPr fontId="0" type="noConversion"/>
  <pageMargins left="0.25" right="0.25" top="0.5" bottom="0.5" header="0.5" footer="0.5"/>
  <pageSetup scale="91" fitToHeight="0" orientation="portrait" horizontalDpi="4294967293"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H75"/>
  <sheetViews>
    <sheetView workbookViewId="0">
      <selection activeCell="C5" sqref="C5"/>
    </sheetView>
  </sheetViews>
  <sheetFormatPr defaultRowHeight="12.5"/>
  <cols>
    <col min="1" max="1" width="4.81640625" style="41" customWidth="1"/>
    <col min="2" max="2" width="114.1796875" style="2042" customWidth="1"/>
    <col min="3" max="3" width="25.81640625" style="2042" customWidth="1"/>
    <col min="4" max="4" width="22.1796875" style="2042" customWidth="1"/>
    <col min="5" max="5" width="20.54296875" style="2042" customWidth="1"/>
    <col min="6" max="6" width="8.7265625" style="2042"/>
    <col min="7" max="8" width="8.7265625" style="2042" customWidth="1"/>
    <col min="9" max="16384" width="8.7265625" style="2042"/>
  </cols>
  <sheetData>
    <row r="1" spans="1:8" s="2432" customFormat="1" ht="15.5">
      <c r="A1" s="2431" t="s">
        <v>10432</v>
      </c>
    </row>
    <row r="2" spans="1:8" s="2432" customFormat="1" ht="15.5">
      <c r="A2" s="2469" t="s">
        <v>10465</v>
      </c>
      <c r="B2" s="2431"/>
    </row>
    <row r="3" spans="1:8" s="2432" customFormat="1" ht="15.5">
      <c r="A3" s="2469" t="s">
        <v>10466</v>
      </c>
      <c r="B3" s="2433"/>
    </row>
    <row r="4" spans="1:8" s="2432" customFormat="1" ht="15.5">
      <c r="A4" s="2434"/>
    </row>
    <row r="5" spans="1:8" s="2432" customFormat="1" ht="15.5">
      <c r="A5" s="2430"/>
      <c r="B5" s="2435" t="s">
        <v>10470</v>
      </c>
    </row>
    <row r="6" spans="1:8" s="2432" customFormat="1">
      <c r="A6" s="2430"/>
    </row>
    <row r="7" spans="1:8" s="2432" customFormat="1" ht="15.5">
      <c r="A7" s="2436"/>
      <c r="B7" s="2437" t="s">
        <v>2655</v>
      </c>
      <c r="C7" s="2438" t="s">
        <v>10420</v>
      </c>
      <c r="D7" s="2438" t="s">
        <v>3307</v>
      </c>
      <c r="E7" s="2438" t="s">
        <v>10404</v>
      </c>
    </row>
    <row r="8" spans="1:8" s="2432" customFormat="1" ht="15.5">
      <c r="A8" s="2439">
        <v>1</v>
      </c>
      <c r="B8" s="2429" t="s">
        <v>10452</v>
      </c>
      <c r="C8" s="2440">
        <f>'Data Entry - SOF'!K66</f>
        <v>0</v>
      </c>
      <c r="D8" s="2440">
        <f>'Data Entry - SOF'!K63</f>
        <v>0</v>
      </c>
      <c r="E8" s="2440">
        <f t="shared" ref="E8:E15" si="0">C8-D8</f>
        <v>0</v>
      </c>
    </row>
    <row r="9" spans="1:8" s="2432" customFormat="1" ht="15.5">
      <c r="A9" s="2439">
        <v>2</v>
      </c>
      <c r="B9" s="2429" t="s">
        <v>10453</v>
      </c>
      <c r="C9" s="2441">
        <f>'Data Entry - SOF'!K74</f>
        <v>0</v>
      </c>
      <c r="D9" s="2441">
        <f>C9</f>
        <v>0</v>
      </c>
      <c r="E9" s="2441">
        <f t="shared" si="0"/>
        <v>0</v>
      </c>
    </row>
    <row r="10" spans="1:8" s="2432" customFormat="1" ht="15.5">
      <c r="A10" s="2439">
        <v>3</v>
      </c>
      <c r="B10" s="2429" t="s">
        <v>10412</v>
      </c>
      <c r="C10" s="2441">
        <f>'Data Entry - SOF'!C74</f>
        <v>0</v>
      </c>
      <c r="D10" s="2441">
        <f>C10</f>
        <v>0</v>
      </c>
      <c r="E10" s="2441">
        <f t="shared" si="0"/>
        <v>0</v>
      </c>
      <c r="G10" s="2432" t="s">
        <v>10806</v>
      </c>
      <c r="H10" s="2432" t="s">
        <v>10807</v>
      </c>
    </row>
    <row r="11" spans="1:8" s="2443" customFormat="1" ht="15.5">
      <c r="A11" s="2439">
        <v>4</v>
      </c>
      <c r="B11" s="2429" t="s">
        <v>10735</v>
      </c>
      <c r="C11" s="2442">
        <f>'Data Entry - SOF'!K75</f>
        <v>0</v>
      </c>
      <c r="D11" s="2641" t="e">
        <f>(('Data Entry - SOF'!K75-'IFA-HB3'!AH79)*(D8/C8))+'IFA-HB3'!AH79</f>
        <v>#DIV/0!</v>
      </c>
      <c r="E11" s="2440" t="e">
        <f t="shared" si="0"/>
        <v>#DIV/0!</v>
      </c>
      <c r="G11" s="2783">
        <f>MIN(C9,C10)</f>
        <v>0</v>
      </c>
      <c r="H11" s="2783">
        <f>MIN(D9,D10)</f>
        <v>0</v>
      </c>
    </row>
    <row r="12" spans="1:8" s="2443" customFormat="1" ht="15.5">
      <c r="A12" s="2439">
        <v>5</v>
      </c>
      <c r="B12" s="2429" t="s">
        <v>10736</v>
      </c>
      <c r="C12" s="2442" t="e">
        <f>C11*IF(C9&lt;C10,1,C10/C9)</f>
        <v>#DIV/0!</v>
      </c>
      <c r="D12" s="2442" t="e">
        <f>D11*IF(D9&lt;D10,1,D10/D9)</f>
        <v>#DIV/0!</v>
      </c>
      <c r="E12" s="2440" t="e">
        <f t="shared" si="0"/>
        <v>#DIV/0!</v>
      </c>
      <c r="G12" s="2432" t="e">
        <f>IF(G11=C9,'Data Entry - SOF'!K124,'Data Entry - SOF'!C72)</f>
        <v>#DIV/0!</v>
      </c>
      <c r="H12" s="2432" t="e">
        <f>IF(H11=D9,'Data Entry - SOF'!K124,'Data Entry - SOF'!C72)</f>
        <v>#DIV/0!</v>
      </c>
    </row>
    <row r="13" spans="1:8" s="2443" customFormat="1" ht="15.5">
      <c r="A13" s="2439">
        <v>6</v>
      </c>
      <c r="B13" s="2429" t="s">
        <v>497</v>
      </c>
      <c r="C13" s="2440" t="e">
        <f>'SOF2526-HB3'!K61</f>
        <v>#DIV/0!</v>
      </c>
      <c r="D13" s="2440" t="e">
        <f>'SOF2526-HB3'!J61</f>
        <v>#DIV/0!</v>
      </c>
      <c r="E13" s="2440" t="e">
        <f t="shared" si="0"/>
        <v>#DIV/0!</v>
      </c>
    </row>
    <row r="14" spans="1:8" s="2443" customFormat="1" ht="15.5">
      <c r="A14" s="2439">
        <v>7</v>
      </c>
      <c r="B14" s="2429" t="s">
        <v>10405</v>
      </c>
      <c r="C14" s="2440" t="e">
        <f>'SOF2526-HB3'!K62</f>
        <v>#DIV/0!</v>
      </c>
      <c r="D14" s="2440" t="e">
        <f>'SOF2526-HB3'!J62</f>
        <v>#DIV/0!</v>
      </c>
      <c r="E14" s="2440" t="e">
        <f t="shared" si="0"/>
        <v>#DIV/0!</v>
      </c>
    </row>
    <row r="15" spans="1:8" s="2443" customFormat="1" ht="15.5">
      <c r="A15" s="2439">
        <v>8</v>
      </c>
      <c r="B15" s="2429" t="s">
        <v>10422</v>
      </c>
      <c r="C15" s="2440">
        <f>'SOF2526-HB3'!J99</f>
        <v>0</v>
      </c>
      <c r="D15" s="2440">
        <f>'SOF2526-HB3'!J99</f>
        <v>0</v>
      </c>
      <c r="E15" s="2440">
        <f t="shared" si="0"/>
        <v>0</v>
      </c>
    </row>
    <row r="16" spans="1:8" s="2443" customFormat="1" ht="15.5">
      <c r="A16" s="2444"/>
      <c r="B16" s="2445" t="s">
        <v>10406</v>
      </c>
      <c r="C16" s="2446"/>
      <c r="D16" s="2446"/>
      <c r="E16" s="2447"/>
    </row>
    <row r="17" spans="1:5" s="2443" customFormat="1" ht="15.5">
      <c r="A17" s="2439">
        <v>9</v>
      </c>
      <c r="B17" s="2448" t="s">
        <v>10423</v>
      </c>
      <c r="C17" s="2440" t="e">
        <f>IF(C13-C14-C15&lt;=0,0,C13-C14-C15)</f>
        <v>#DIV/0!</v>
      </c>
      <c r="D17" s="2440" t="e">
        <f>IF(D13-D14-D15&lt;=0,0,D13-D14-D15)</f>
        <v>#DIV/0!</v>
      </c>
      <c r="E17" s="2440" t="e">
        <f>C17-D17</f>
        <v>#DIV/0!</v>
      </c>
    </row>
    <row r="18" spans="1:5" s="2443" customFormat="1" ht="15.5">
      <c r="A18" s="2439">
        <v>10</v>
      </c>
      <c r="B18" s="2429" t="s">
        <v>10407</v>
      </c>
      <c r="C18" s="2440" t="e">
        <f>'SOF2526-HB3'!K76</f>
        <v>#DIV/0!</v>
      </c>
      <c r="D18" s="2440" t="e">
        <f>'SOF2526-HB3'!J76</f>
        <v>#DIV/0!</v>
      </c>
      <c r="E18" s="2440" t="e">
        <f>C18-D18</f>
        <v>#DIV/0!</v>
      </c>
    </row>
    <row r="19" spans="1:5" s="2443" customFormat="1" ht="15.5">
      <c r="A19" s="2439">
        <v>11</v>
      </c>
      <c r="B19" s="2429" t="s">
        <v>10408</v>
      </c>
      <c r="C19" s="2440" t="e">
        <f>'SOF2526-HB3'!K77</f>
        <v>#DIV/0!</v>
      </c>
      <c r="D19" s="2440" t="e">
        <f>'SOF2526-HB3'!J77</f>
        <v>#DIV/0!</v>
      </c>
      <c r="E19" s="2440" t="e">
        <f>C19-D19</f>
        <v>#DIV/0!</v>
      </c>
    </row>
    <row r="20" spans="1:5" s="2443" customFormat="1" ht="15.5">
      <c r="A20" s="2439">
        <v>12</v>
      </c>
      <c r="B20" s="2429" t="s">
        <v>10439</v>
      </c>
      <c r="C20" s="2440">
        <f>'IFA-HB3'!AG75</f>
        <v>0</v>
      </c>
      <c r="D20" s="2440">
        <f>'IFA-HB3'!AH75</f>
        <v>0</v>
      </c>
      <c r="E20" s="2440">
        <f>C20-D20</f>
        <v>0</v>
      </c>
    </row>
    <row r="21" spans="1:5" s="2443" customFormat="1" ht="15.5">
      <c r="A21" s="2439">
        <v>13</v>
      </c>
      <c r="B21" s="2429" t="s">
        <v>10424</v>
      </c>
      <c r="C21" s="2440" t="e">
        <f>'SOF2526-HB3'!K74+'SOF2526-HB3'!K82</f>
        <v>#DIV/0!</v>
      </c>
      <c r="D21" s="2440" t="e">
        <f>'SOF2526-HB3'!J74+'SOF2526-HB3'!J82</f>
        <v>#DIV/0!</v>
      </c>
      <c r="E21" s="2440" t="e">
        <f>D21-C21</f>
        <v>#DIV/0!</v>
      </c>
    </row>
    <row r="22" spans="1:5" s="2443" customFormat="1" ht="15.5">
      <c r="A22" s="2444"/>
      <c r="B22" s="2445" t="s">
        <v>10409</v>
      </c>
      <c r="C22" s="2446"/>
      <c r="D22" s="2446"/>
      <c r="E22" s="2447"/>
    </row>
    <row r="23" spans="1:5" s="2443" customFormat="1" ht="15.5">
      <c r="A23" s="2439">
        <v>14</v>
      </c>
      <c r="B23" s="2429" t="s">
        <v>10413</v>
      </c>
      <c r="C23" s="2440" t="e">
        <f>C12-C21</f>
        <v>#DIV/0!</v>
      </c>
      <c r="D23" s="2440" t="e">
        <f>D12-D21</f>
        <v>#DIV/0!</v>
      </c>
      <c r="E23" s="2440" t="e">
        <f>C23-D23</f>
        <v>#DIV/0!</v>
      </c>
    </row>
    <row r="24" spans="1:5" s="2443" customFormat="1" ht="15.5">
      <c r="A24" s="2439">
        <v>15</v>
      </c>
      <c r="B24" s="2429" t="s">
        <v>10414</v>
      </c>
      <c r="C24" s="2440" t="e">
        <f>C17+C18+C19+C20</f>
        <v>#DIV/0!</v>
      </c>
      <c r="D24" s="2440" t="e">
        <f>D17+D18+D19+D20</f>
        <v>#DIV/0!</v>
      </c>
      <c r="E24" s="2440" t="e">
        <f>C24-D24</f>
        <v>#DIV/0!</v>
      </c>
    </row>
    <row r="25" spans="1:5" s="2443" customFormat="1" ht="15.5">
      <c r="A25" s="2439">
        <f>A24+1</f>
        <v>16</v>
      </c>
      <c r="B25" s="2449" t="s">
        <v>10415</v>
      </c>
      <c r="C25" s="2440" t="e">
        <f>C23+C24</f>
        <v>#DIV/0!</v>
      </c>
      <c r="D25" s="2440" t="e">
        <f>D23+D24</f>
        <v>#DIV/0!</v>
      </c>
      <c r="E25" s="2440" t="e">
        <f>C25-D25</f>
        <v>#DIV/0!</v>
      </c>
    </row>
    <row r="26" spans="1:5" s="2432" customFormat="1" ht="15.5">
      <c r="A26" s="2450">
        <f>A25+1</f>
        <v>17</v>
      </c>
      <c r="B26" s="2451" t="s">
        <v>10421</v>
      </c>
      <c r="C26" s="2452"/>
      <c r="D26" s="2453" t="e">
        <f>IF(D25-C25&lt;=0,0,D25-C25)</f>
        <v>#DIV/0!</v>
      </c>
    </row>
    <row r="27" spans="1:5" s="2432" customFormat="1" ht="15.5">
      <c r="A27" s="2430"/>
      <c r="C27" s="719" t="s">
        <v>2708</v>
      </c>
      <c r="D27" s="635" t="s">
        <v>10997</v>
      </c>
    </row>
    <row r="28" spans="1:5" s="2432" customFormat="1">
      <c r="A28" s="2430"/>
      <c r="D28" s="444"/>
    </row>
    <row r="29" spans="1:5" s="2432" customFormat="1">
      <c r="A29" s="2430"/>
    </row>
    <row r="30" spans="1:5" ht="15.5">
      <c r="B30" s="454" t="s">
        <v>10989</v>
      </c>
    </row>
    <row r="32" spans="1:5" ht="15.5">
      <c r="A32" s="441"/>
      <c r="B32" s="438" t="s">
        <v>2655</v>
      </c>
      <c r="C32" s="442"/>
    </row>
    <row r="33" spans="1:3" ht="15.5">
      <c r="A33" s="342">
        <v>1</v>
      </c>
      <c r="B33" s="388" t="s">
        <v>10454</v>
      </c>
      <c r="C33" s="255">
        <f>'Data Entry - SOF'!K67</f>
        <v>0</v>
      </c>
    </row>
    <row r="34" spans="1:3" ht="15.5">
      <c r="A34" s="342">
        <v>2</v>
      </c>
      <c r="B34" s="388" t="s">
        <v>10455</v>
      </c>
      <c r="C34" s="255">
        <f>'Data Entry - SOF'!K69</f>
        <v>0</v>
      </c>
    </row>
    <row r="35" spans="1:3" ht="15.5">
      <c r="A35" s="342">
        <v>3</v>
      </c>
      <c r="B35" s="388" t="s">
        <v>10417</v>
      </c>
      <c r="C35" s="255">
        <f>'Data Entry - SOF'!K99</f>
        <v>0</v>
      </c>
    </row>
    <row r="36" spans="1:3" ht="15.5">
      <c r="A36" s="441"/>
      <c r="B36" s="440" t="s">
        <v>3340</v>
      </c>
      <c r="C36" s="442"/>
    </row>
    <row r="37" spans="1:3" ht="15.5">
      <c r="A37" s="342">
        <v>4</v>
      </c>
      <c r="B37" s="466" t="s">
        <v>10434</v>
      </c>
      <c r="C37" s="255">
        <f>'IFA-HB3'!AD86</f>
        <v>0</v>
      </c>
    </row>
    <row r="38" spans="1:3" ht="15.5">
      <c r="A38" s="342">
        <v>5</v>
      </c>
      <c r="B38" s="466" t="s">
        <v>10435</v>
      </c>
      <c r="C38" s="255">
        <f>'Existing Debt-HB3'!T74</f>
        <v>0</v>
      </c>
    </row>
    <row r="39" spans="1:3" ht="15.5">
      <c r="A39" s="342">
        <v>6</v>
      </c>
      <c r="B39" s="466" t="s">
        <v>3341</v>
      </c>
      <c r="C39" s="255">
        <f>C35-C37-C38</f>
        <v>0</v>
      </c>
    </row>
    <row r="40" spans="1:3" ht="15.5">
      <c r="A40" s="342">
        <v>7</v>
      </c>
      <c r="B40" s="289" t="s">
        <v>10418</v>
      </c>
      <c r="C40" s="469" t="e">
        <f>1-(C33/C34)</f>
        <v>#DIV/0!</v>
      </c>
    </row>
    <row r="41" spans="1:3" ht="15.5">
      <c r="A41" s="342">
        <v>8</v>
      </c>
      <c r="B41" s="304" t="s">
        <v>10419</v>
      </c>
      <c r="C41" s="255" t="e">
        <f>C39*C40</f>
        <v>#DIV/0!</v>
      </c>
    </row>
    <row r="42" spans="1:3" ht="15.5">
      <c r="A42" s="441"/>
      <c r="B42" s="440" t="s">
        <v>3306</v>
      </c>
      <c r="C42" s="442"/>
    </row>
    <row r="43" spans="1:3" ht="15.5">
      <c r="A43" s="342">
        <v>9</v>
      </c>
      <c r="B43" s="466" t="s">
        <v>10437</v>
      </c>
      <c r="C43" s="255">
        <f>'IFA-HB3'!AE86</f>
        <v>0</v>
      </c>
    </row>
    <row r="44" spans="1:3" ht="15.5">
      <c r="A44" s="342">
        <v>10</v>
      </c>
      <c r="B44" s="466" t="s">
        <v>10436</v>
      </c>
      <c r="C44" s="255">
        <f>'Existing Debt-HB3'!U74</f>
        <v>0</v>
      </c>
    </row>
    <row r="45" spans="1:3" ht="15.5">
      <c r="A45" s="342">
        <v>11</v>
      </c>
      <c r="B45" s="466" t="s">
        <v>3344</v>
      </c>
      <c r="C45" s="255">
        <f>(C37+C38)-(C43+C44)</f>
        <v>0</v>
      </c>
    </row>
    <row r="46" spans="1:3" ht="15.5">
      <c r="A46" s="441"/>
      <c r="B46" s="439" t="s">
        <v>3316</v>
      </c>
      <c r="C46" s="442"/>
    </row>
    <row r="47" spans="1:3" ht="15.5">
      <c r="A47" s="342">
        <v>12</v>
      </c>
      <c r="B47" s="466" t="s">
        <v>3345</v>
      </c>
      <c r="C47" s="255" t="e">
        <f>IF(C41-C45&lt;0,0,C41-C45)</f>
        <v>#DIV/0!</v>
      </c>
    </row>
    <row r="48" spans="1:3" ht="15.5">
      <c r="A48" s="342">
        <v>13</v>
      </c>
      <c r="B48" s="466" t="s">
        <v>2767</v>
      </c>
      <c r="C48" s="255">
        <f>'Data Entry - SOF'!K80</f>
        <v>0</v>
      </c>
    </row>
    <row r="49" spans="1:4" ht="15.5">
      <c r="A49" s="342">
        <v>14</v>
      </c>
      <c r="B49" s="467" t="s">
        <v>3346</v>
      </c>
      <c r="C49" s="255" t="e">
        <f>C39-C47</f>
        <v>#DIV/0!</v>
      </c>
    </row>
    <row r="50" spans="1:4" ht="15.5">
      <c r="A50" s="447">
        <v>15</v>
      </c>
      <c r="B50" s="468" t="s">
        <v>3347</v>
      </c>
      <c r="C50" s="443" t="e">
        <f>IF(C48&gt;=C49,C47,C47*(C48/C49))</f>
        <v>#DIV/0!</v>
      </c>
      <c r="D50" s="662" t="s">
        <v>10998</v>
      </c>
    </row>
    <row r="51" spans="1:4" ht="15.5">
      <c r="B51" s="719" t="s">
        <v>2708</v>
      </c>
      <c r="C51" s="635" t="s">
        <v>10474</v>
      </c>
    </row>
    <row r="53" spans="1:4" ht="15.5">
      <c r="B53" s="2033"/>
    </row>
    <row r="54" spans="1:4" ht="15.5">
      <c r="B54" s="625" t="s">
        <v>10990</v>
      </c>
    </row>
    <row r="56" spans="1:4" ht="15.5">
      <c r="A56" s="441"/>
      <c r="B56" s="438" t="s">
        <v>2655</v>
      </c>
      <c r="C56" s="442"/>
    </row>
    <row r="57" spans="1:4" ht="15.5">
      <c r="A57" s="342">
        <v>1</v>
      </c>
      <c r="B57" s="388" t="s">
        <v>10991</v>
      </c>
      <c r="C57" s="255">
        <f>'Data Entry - SOF'!K69</f>
        <v>0</v>
      </c>
    </row>
    <row r="58" spans="1:4" ht="15.5">
      <c r="A58" s="342">
        <v>2</v>
      </c>
      <c r="B58" s="388" t="s">
        <v>10992</v>
      </c>
      <c r="C58" s="255">
        <f>'Data Entry - SOF'!K65</f>
        <v>0</v>
      </c>
    </row>
    <row r="59" spans="1:4" ht="15.5">
      <c r="A59" s="342">
        <v>3</v>
      </c>
      <c r="B59" s="388" t="s">
        <v>3317</v>
      </c>
      <c r="C59" s="255">
        <f>'Data Entry - SOF'!C98</f>
        <v>0</v>
      </c>
    </row>
    <row r="60" spans="1:4" ht="15.5">
      <c r="A60" s="441"/>
      <c r="B60" s="440" t="s">
        <v>3340</v>
      </c>
      <c r="C60" s="442"/>
    </row>
    <row r="61" spans="1:4" ht="15.5">
      <c r="A61" s="342">
        <v>4</v>
      </c>
      <c r="B61" s="466" t="s">
        <v>3302</v>
      </c>
      <c r="C61" s="255">
        <f>'IFA-HB3'!AE86</f>
        <v>0</v>
      </c>
    </row>
    <row r="62" spans="1:4" ht="15.5">
      <c r="A62" s="342">
        <v>5</v>
      </c>
      <c r="B62" s="466" t="s">
        <v>3303</v>
      </c>
      <c r="C62" s="255">
        <f>'Existing Debt-HB3'!U74</f>
        <v>0</v>
      </c>
    </row>
    <row r="63" spans="1:4" ht="15.5">
      <c r="A63" s="342">
        <v>6</v>
      </c>
      <c r="B63" s="466" t="s">
        <v>3341</v>
      </c>
      <c r="C63" s="255">
        <f>C59-C61-C62</f>
        <v>0</v>
      </c>
    </row>
    <row r="64" spans="1:4" ht="15.5">
      <c r="A64" s="342">
        <v>7</v>
      </c>
      <c r="B64" s="289" t="s">
        <v>3342</v>
      </c>
      <c r="C64" s="469" t="e">
        <f>1-(C57/C58)</f>
        <v>#DIV/0!</v>
      </c>
    </row>
    <row r="65" spans="1:4" ht="15.5">
      <c r="A65" s="342">
        <v>8</v>
      </c>
      <c r="B65" s="304" t="s">
        <v>3343</v>
      </c>
      <c r="C65" s="255" t="e">
        <f>C63*C64</f>
        <v>#DIV/0!</v>
      </c>
    </row>
    <row r="66" spans="1:4" ht="15.5">
      <c r="A66" s="441"/>
      <c r="B66" s="440" t="s">
        <v>3306</v>
      </c>
      <c r="C66" s="442"/>
    </row>
    <row r="67" spans="1:4" ht="15.5">
      <c r="A67" s="342">
        <v>9</v>
      </c>
      <c r="B67" s="466" t="s">
        <v>3304</v>
      </c>
      <c r="C67" s="255">
        <f>'IFA-HB3'!AF86</f>
        <v>0</v>
      </c>
    </row>
    <row r="68" spans="1:4" ht="15.5">
      <c r="A68" s="342">
        <v>10</v>
      </c>
      <c r="B68" s="466" t="s">
        <v>3305</v>
      </c>
      <c r="C68" s="255">
        <f>'Existing Debt-HB3'!V74</f>
        <v>0</v>
      </c>
    </row>
    <row r="69" spans="1:4" ht="15.5">
      <c r="A69" s="342">
        <v>11</v>
      </c>
      <c r="B69" s="466" t="s">
        <v>3344</v>
      </c>
      <c r="C69" s="255">
        <f>(C61+C62)-(C67+C68)</f>
        <v>0</v>
      </c>
    </row>
    <row r="70" spans="1:4" ht="15.5">
      <c r="A70" s="441"/>
      <c r="B70" s="439" t="s">
        <v>3316</v>
      </c>
      <c r="C70" s="442"/>
    </row>
    <row r="71" spans="1:4" ht="15.5">
      <c r="A71" s="342">
        <v>12</v>
      </c>
      <c r="B71" s="466" t="s">
        <v>3345</v>
      </c>
      <c r="C71" s="255" t="e">
        <f>IF(C65-C69&lt;0,0,C65-C69)</f>
        <v>#DIV/0!</v>
      </c>
    </row>
    <row r="72" spans="1:4" ht="15.5">
      <c r="A72" s="342">
        <v>13</v>
      </c>
      <c r="B72" s="466" t="s">
        <v>2767</v>
      </c>
      <c r="C72" s="255">
        <f>'Data Entry - SOF'!K80</f>
        <v>0</v>
      </c>
    </row>
    <row r="73" spans="1:4" ht="15.5">
      <c r="A73" s="342">
        <v>14</v>
      </c>
      <c r="B73" s="467" t="s">
        <v>3346</v>
      </c>
      <c r="C73" s="255" t="e">
        <f>C63-C71</f>
        <v>#DIV/0!</v>
      </c>
    </row>
    <row r="74" spans="1:4" ht="15.5">
      <c r="A74" s="447">
        <v>15</v>
      </c>
      <c r="B74" s="468" t="s">
        <v>3347</v>
      </c>
      <c r="C74" s="443" t="e">
        <f>IF(C72&gt;=C73,C71,C71*(C72/C73))</f>
        <v>#DIV/0!</v>
      </c>
      <c r="D74" s="662" t="s">
        <v>10999</v>
      </c>
    </row>
    <row r="75" spans="1:4" ht="15.5">
      <c r="B75" s="719" t="s">
        <v>2708</v>
      </c>
      <c r="C75" s="635" t="s">
        <v>10474</v>
      </c>
    </row>
  </sheetData>
  <hyperlinks>
    <hyperlink ref="D27" location="'OtherDetail2526-HB3'!A1" display="'OtherDetail2526-HB3'!A1" xr:uid="{00000000-0004-0000-3B00-000000000000}"/>
    <hyperlink ref="C51" location="'Report-SOF2526-SB1'!D71" display="'Report-SOF2526-SB1'!D71" xr:uid="{00000000-0004-0000-3B00-000001000000}"/>
    <hyperlink ref="C75" location="'Report-SOF2526-SB1'!D71" display="'Report-SOF2526-SB1'!D71" xr:uid="{00000000-0004-0000-3B00-000002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H75"/>
  <sheetViews>
    <sheetView workbookViewId="0">
      <selection activeCell="C5" sqref="C5"/>
    </sheetView>
  </sheetViews>
  <sheetFormatPr defaultRowHeight="12.5"/>
  <cols>
    <col min="1" max="1" width="4.81640625" style="41" customWidth="1"/>
    <col min="2" max="2" width="114.1796875" style="2042" customWidth="1"/>
    <col min="3" max="3" width="25.81640625" style="2042" customWidth="1"/>
    <col min="4" max="4" width="22.1796875" style="2042" customWidth="1"/>
    <col min="5" max="5" width="20.54296875" style="2042" customWidth="1"/>
    <col min="6" max="6" width="8.7265625" style="2042"/>
    <col min="7" max="8" width="8.7265625" style="2042" customWidth="1"/>
    <col min="9" max="16384" width="8.7265625" style="2042"/>
  </cols>
  <sheetData>
    <row r="1" spans="1:8" s="2432" customFormat="1" ht="15.5">
      <c r="A1" s="2431" t="s">
        <v>10432</v>
      </c>
    </row>
    <row r="2" spans="1:8" s="2432" customFormat="1" ht="15.5">
      <c r="A2" s="2469" t="s">
        <v>10465</v>
      </c>
      <c r="B2" s="2431"/>
    </row>
    <row r="3" spans="1:8" s="2432" customFormat="1" ht="15.5">
      <c r="A3" s="2469" t="s">
        <v>10466</v>
      </c>
      <c r="B3" s="2433"/>
    </row>
    <row r="4" spans="1:8" s="2432" customFormat="1" ht="15.5">
      <c r="A4" s="2434"/>
    </row>
    <row r="5" spans="1:8" s="2432" customFormat="1" ht="15.5">
      <c r="A5" s="2430"/>
      <c r="B5" s="2435" t="s">
        <v>11059</v>
      </c>
    </row>
    <row r="6" spans="1:8" s="2432" customFormat="1">
      <c r="A6" s="2430"/>
    </row>
    <row r="7" spans="1:8" s="2432" customFormat="1" ht="15.5">
      <c r="A7" s="2436"/>
      <c r="B7" s="2437" t="s">
        <v>2655</v>
      </c>
      <c r="C7" s="2438" t="s">
        <v>10420</v>
      </c>
      <c r="D7" s="2438" t="s">
        <v>3307</v>
      </c>
      <c r="E7" s="2438" t="s">
        <v>10404</v>
      </c>
    </row>
    <row r="8" spans="1:8" s="2432" customFormat="1" ht="15.5">
      <c r="A8" s="2439">
        <v>1</v>
      </c>
      <c r="B8" s="2429" t="s">
        <v>11064</v>
      </c>
      <c r="C8" s="2440">
        <f>'Data Entry - SOF'!M66</f>
        <v>0</v>
      </c>
      <c r="D8" s="2440">
        <f>'Data Entry - SOF'!M63</f>
        <v>0</v>
      </c>
      <c r="E8" s="2440">
        <f t="shared" ref="E8:E15" si="0">C8-D8</f>
        <v>0</v>
      </c>
    </row>
    <row r="9" spans="1:8" s="2432" customFormat="1" ht="15.5">
      <c r="A9" s="2439">
        <v>2</v>
      </c>
      <c r="B9" s="2429" t="s">
        <v>11060</v>
      </c>
      <c r="C9" s="2441">
        <f>'Data Entry - SOF'!M74</f>
        <v>0</v>
      </c>
      <c r="D9" s="2441">
        <f>C9</f>
        <v>0</v>
      </c>
      <c r="E9" s="2441">
        <f t="shared" si="0"/>
        <v>0</v>
      </c>
    </row>
    <row r="10" spans="1:8" s="2432" customFormat="1" ht="15.5">
      <c r="A10" s="2439">
        <v>3</v>
      </c>
      <c r="B10" s="2429" t="s">
        <v>10412</v>
      </c>
      <c r="C10" s="2441">
        <f>'Data Entry - SOF'!C74</f>
        <v>0</v>
      </c>
      <c r="D10" s="2441">
        <f>C10</f>
        <v>0</v>
      </c>
      <c r="E10" s="2441">
        <f t="shared" si="0"/>
        <v>0</v>
      </c>
      <c r="G10" s="2432" t="s">
        <v>10806</v>
      </c>
      <c r="H10" s="2432" t="s">
        <v>10807</v>
      </c>
    </row>
    <row r="11" spans="1:8" s="2443" customFormat="1" ht="15.5">
      <c r="A11" s="2439">
        <v>4</v>
      </c>
      <c r="B11" s="2429" t="s">
        <v>11061</v>
      </c>
      <c r="C11" s="2442">
        <f>'Data Entry - SOF'!M75</f>
        <v>0</v>
      </c>
      <c r="D11" s="2641" t="e">
        <f>(('Data Entry - SOF'!M75-'IFA-HB3'!AM79)*(D8/C8))+'IFA-HB3'!AM79</f>
        <v>#DIV/0!</v>
      </c>
      <c r="E11" s="2440" t="e">
        <f t="shared" si="0"/>
        <v>#DIV/0!</v>
      </c>
      <c r="G11" s="2783">
        <f>MIN(C9,C10)</f>
        <v>0</v>
      </c>
      <c r="H11" s="2783">
        <f>MIN(D9,D10)</f>
        <v>0</v>
      </c>
    </row>
    <row r="12" spans="1:8" s="2443" customFormat="1" ht="15.5">
      <c r="A12" s="2439">
        <v>5</v>
      </c>
      <c r="B12" s="2429" t="s">
        <v>11062</v>
      </c>
      <c r="C12" s="2442" t="e">
        <f>C11*IF(C9&lt;C10,1,C10/C9)</f>
        <v>#DIV/0!</v>
      </c>
      <c r="D12" s="2442" t="e">
        <f>D11*IF(D9&lt;D10,1,D10/D9)</f>
        <v>#DIV/0!</v>
      </c>
      <c r="E12" s="2440" t="e">
        <f t="shared" si="0"/>
        <v>#DIV/0!</v>
      </c>
      <c r="G12" s="2432" t="e">
        <f>IF(G11=C9,'Data Entry - SOF'!M124,'Data Entry - SOF'!C72)</f>
        <v>#DIV/0!</v>
      </c>
      <c r="H12" s="2432" t="e">
        <f>IF(H11=D9,'Data Entry - SOF'!M124,'Data Entry - SOF'!C72)</f>
        <v>#DIV/0!</v>
      </c>
    </row>
    <row r="13" spans="1:8" s="2443" customFormat="1" ht="15.5">
      <c r="A13" s="2439">
        <v>6</v>
      </c>
      <c r="B13" s="2429" t="s">
        <v>497</v>
      </c>
      <c r="C13" s="2440" t="e">
        <f>'SOF2627-HB3'!K61</f>
        <v>#DIV/0!</v>
      </c>
      <c r="D13" s="2440" t="e">
        <f>'SOF2627-HB3'!J61</f>
        <v>#DIV/0!</v>
      </c>
      <c r="E13" s="2440" t="e">
        <f t="shared" si="0"/>
        <v>#DIV/0!</v>
      </c>
    </row>
    <row r="14" spans="1:8" s="2443" customFormat="1" ht="15.5">
      <c r="A14" s="2439">
        <v>7</v>
      </c>
      <c r="B14" s="2429" t="s">
        <v>10405</v>
      </c>
      <c r="C14" s="2440" t="e">
        <f>'SOF2627-HB3'!K62</f>
        <v>#DIV/0!</v>
      </c>
      <c r="D14" s="2440" t="e">
        <f>'SOF2627-HB3'!J62</f>
        <v>#DIV/0!</v>
      </c>
      <c r="E14" s="2440" t="e">
        <f t="shared" si="0"/>
        <v>#DIV/0!</v>
      </c>
    </row>
    <row r="15" spans="1:8" s="2443" customFormat="1" ht="15.5">
      <c r="A15" s="2439">
        <v>8</v>
      </c>
      <c r="B15" s="2429" t="s">
        <v>10422</v>
      </c>
      <c r="C15" s="2440">
        <f>'SOF2627-HB3'!J99</f>
        <v>0</v>
      </c>
      <c r="D15" s="2440">
        <f>'SOF2627-HB3'!J99</f>
        <v>0</v>
      </c>
      <c r="E15" s="2440">
        <f t="shared" si="0"/>
        <v>0</v>
      </c>
    </row>
    <row r="16" spans="1:8" s="2443" customFormat="1" ht="15.5">
      <c r="A16" s="2444"/>
      <c r="B16" s="2445" t="s">
        <v>10406</v>
      </c>
      <c r="C16" s="2446"/>
      <c r="D16" s="2446"/>
      <c r="E16" s="2447"/>
    </row>
    <row r="17" spans="1:5" s="2443" customFormat="1" ht="15.5">
      <c r="A17" s="2439">
        <v>9</v>
      </c>
      <c r="B17" s="2448" t="s">
        <v>10423</v>
      </c>
      <c r="C17" s="2440" t="e">
        <f>IF(C13-C14-C15&lt;=0,0,C13-C14-C15)</f>
        <v>#DIV/0!</v>
      </c>
      <c r="D17" s="2440" t="e">
        <f>IF(D13-D14-D15&lt;=0,0,D13-D14-D15)</f>
        <v>#DIV/0!</v>
      </c>
      <c r="E17" s="2440" t="e">
        <f>C17-D17</f>
        <v>#DIV/0!</v>
      </c>
    </row>
    <row r="18" spans="1:5" s="2443" customFormat="1" ht="15.5">
      <c r="A18" s="2439">
        <v>10</v>
      </c>
      <c r="B18" s="2429" t="s">
        <v>10407</v>
      </c>
      <c r="C18" s="2440" t="e">
        <f>'SOF2627-HB3'!K76</f>
        <v>#DIV/0!</v>
      </c>
      <c r="D18" s="2440" t="e">
        <f>'SOF2627-HB3'!J76</f>
        <v>#DIV/0!</v>
      </c>
      <c r="E18" s="2440" t="e">
        <f>C18-D18</f>
        <v>#DIV/0!</v>
      </c>
    </row>
    <row r="19" spans="1:5" s="2443" customFormat="1" ht="15.5">
      <c r="A19" s="2439">
        <v>11</v>
      </c>
      <c r="B19" s="2429" t="s">
        <v>10408</v>
      </c>
      <c r="C19" s="2440" t="e">
        <f>'SOF2627-HB3'!K77</f>
        <v>#DIV/0!</v>
      </c>
      <c r="D19" s="2440" t="e">
        <f>'SOF2627-HB3'!J77</f>
        <v>#DIV/0!</v>
      </c>
      <c r="E19" s="2440" t="e">
        <f>C19-D19</f>
        <v>#DIV/0!</v>
      </c>
    </row>
    <row r="20" spans="1:5" s="2443" customFormat="1" ht="15.5">
      <c r="A20" s="2439">
        <v>12</v>
      </c>
      <c r="B20" s="2429" t="s">
        <v>10439</v>
      </c>
      <c r="C20" s="2440">
        <f>'IFA-HB3'!AL75</f>
        <v>0</v>
      </c>
      <c r="D20" s="2440">
        <f>'IFA-HB3'!AM75</f>
        <v>0</v>
      </c>
      <c r="E20" s="2440">
        <f>C20-D20</f>
        <v>0</v>
      </c>
    </row>
    <row r="21" spans="1:5" s="2443" customFormat="1" ht="15.5">
      <c r="A21" s="2439">
        <v>13</v>
      </c>
      <c r="B21" s="2429" t="s">
        <v>10424</v>
      </c>
      <c r="C21" s="2440" t="e">
        <f>'SOF2627-HB3'!K74+'SOF2627-HB3'!K82</f>
        <v>#DIV/0!</v>
      </c>
      <c r="D21" s="2440" t="e">
        <f>'SOF2627-HB3'!J74+'SOF2627-HB3'!J82</f>
        <v>#DIV/0!</v>
      </c>
      <c r="E21" s="2440" t="e">
        <f>D21-C21</f>
        <v>#DIV/0!</v>
      </c>
    </row>
    <row r="22" spans="1:5" s="2443" customFormat="1" ht="15.5">
      <c r="A22" s="2444"/>
      <c r="B22" s="2445" t="s">
        <v>10409</v>
      </c>
      <c r="C22" s="2446"/>
      <c r="D22" s="2446"/>
      <c r="E22" s="2447"/>
    </row>
    <row r="23" spans="1:5" s="2443" customFormat="1" ht="15.5">
      <c r="A23" s="2439">
        <v>14</v>
      </c>
      <c r="B23" s="2429" t="s">
        <v>10413</v>
      </c>
      <c r="C23" s="2440" t="e">
        <f>C12-C21</f>
        <v>#DIV/0!</v>
      </c>
      <c r="D23" s="2440" t="e">
        <f>D12-D21</f>
        <v>#DIV/0!</v>
      </c>
      <c r="E23" s="2440" t="e">
        <f>C23-D23</f>
        <v>#DIV/0!</v>
      </c>
    </row>
    <row r="24" spans="1:5" s="2443" customFormat="1" ht="15.5">
      <c r="A24" s="2439">
        <v>15</v>
      </c>
      <c r="B24" s="2429" t="s">
        <v>10414</v>
      </c>
      <c r="C24" s="2440" t="e">
        <f>C17+C18+C19+C20</f>
        <v>#DIV/0!</v>
      </c>
      <c r="D24" s="2440" t="e">
        <f>D17+D18+D19+D20</f>
        <v>#DIV/0!</v>
      </c>
      <c r="E24" s="2440" t="e">
        <f>C24-D24</f>
        <v>#DIV/0!</v>
      </c>
    </row>
    <row r="25" spans="1:5" s="2443" customFormat="1" ht="15.5">
      <c r="A25" s="2439">
        <f>A24+1</f>
        <v>16</v>
      </c>
      <c r="B25" s="2449" t="s">
        <v>10415</v>
      </c>
      <c r="C25" s="2440" t="e">
        <f>C23+C24</f>
        <v>#DIV/0!</v>
      </c>
      <c r="D25" s="2440" t="e">
        <f>D23+D24</f>
        <v>#DIV/0!</v>
      </c>
      <c r="E25" s="2440" t="e">
        <f>C25-D25</f>
        <v>#DIV/0!</v>
      </c>
    </row>
    <row r="26" spans="1:5" s="2432" customFormat="1" ht="15.5">
      <c r="A26" s="2450">
        <f>A25+1</f>
        <v>17</v>
      </c>
      <c r="B26" s="2451" t="s">
        <v>10421</v>
      </c>
      <c r="C26" s="2452"/>
      <c r="D26" s="2453" t="e">
        <f>IF(D25-C25&lt;=0,0,D25-C25)</f>
        <v>#DIV/0!</v>
      </c>
    </row>
    <row r="27" spans="1:5" s="2432" customFormat="1" ht="15.5">
      <c r="A27" s="2430"/>
      <c r="C27" s="719" t="s">
        <v>2708</v>
      </c>
      <c r="D27" s="3082" t="s">
        <v>11115</v>
      </c>
    </row>
    <row r="28" spans="1:5" s="2432" customFormat="1">
      <c r="A28" s="2430"/>
      <c r="D28" s="444"/>
    </row>
    <row r="29" spans="1:5" s="2432" customFormat="1">
      <c r="A29" s="2430"/>
    </row>
    <row r="30" spans="1:5" ht="15.5">
      <c r="B30" s="454" t="s">
        <v>11065</v>
      </c>
    </row>
    <row r="32" spans="1:5" ht="15.5">
      <c r="A32" s="441"/>
      <c r="B32" s="438" t="s">
        <v>2655</v>
      </c>
      <c r="C32" s="442"/>
    </row>
    <row r="33" spans="1:3" ht="15.5">
      <c r="A33" s="342">
        <v>1</v>
      </c>
      <c r="B33" s="388" t="s">
        <v>11066</v>
      </c>
      <c r="C33" s="255">
        <f>'Data Entry - SOF'!M67</f>
        <v>0</v>
      </c>
    </row>
    <row r="34" spans="1:3" ht="15.5">
      <c r="A34" s="342">
        <v>2</v>
      </c>
      <c r="B34" s="388" t="s">
        <v>11067</v>
      </c>
      <c r="C34" s="255">
        <f>'Data Entry - SOF'!M69</f>
        <v>0</v>
      </c>
    </row>
    <row r="35" spans="1:3" ht="15.5">
      <c r="A35" s="342">
        <v>3</v>
      </c>
      <c r="B35" s="388" t="s">
        <v>10417</v>
      </c>
      <c r="C35" s="255">
        <f>'Data Entry - SOF'!M99</f>
        <v>0</v>
      </c>
    </row>
    <row r="36" spans="1:3" ht="15.5">
      <c r="A36" s="441"/>
      <c r="B36" s="440" t="s">
        <v>3340</v>
      </c>
      <c r="C36" s="442"/>
    </row>
    <row r="37" spans="1:3" ht="15.5">
      <c r="A37" s="342">
        <v>4</v>
      </c>
      <c r="B37" s="466" t="s">
        <v>10434</v>
      </c>
      <c r="C37" s="255">
        <f>'IFA-HB3'!AI86</f>
        <v>0</v>
      </c>
    </row>
    <row r="38" spans="1:3" ht="15.5">
      <c r="A38" s="342">
        <v>5</v>
      </c>
      <c r="B38" s="466" t="s">
        <v>10435</v>
      </c>
      <c r="C38" s="255">
        <f>'Existing Debt-HB3'!W74</f>
        <v>0</v>
      </c>
    </row>
    <row r="39" spans="1:3" ht="15.5">
      <c r="A39" s="342">
        <v>6</v>
      </c>
      <c r="B39" s="466" t="s">
        <v>3341</v>
      </c>
      <c r="C39" s="255">
        <f>C35-C37-C38</f>
        <v>0</v>
      </c>
    </row>
    <row r="40" spans="1:3" ht="15.5">
      <c r="A40" s="342">
        <v>7</v>
      </c>
      <c r="B40" s="289" t="s">
        <v>10418</v>
      </c>
      <c r="C40" s="469" t="e">
        <f>1-(C33/C34)</f>
        <v>#DIV/0!</v>
      </c>
    </row>
    <row r="41" spans="1:3" ht="15.5">
      <c r="A41" s="342">
        <v>8</v>
      </c>
      <c r="B41" s="304" t="s">
        <v>10419</v>
      </c>
      <c r="C41" s="255" t="e">
        <f>C39*C40</f>
        <v>#DIV/0!</v>
      </c>
    </row>
    <row r="42" spans="1:3" ht="15.5">
      <c r="A42" s="441"/>
      <c r="B42" s="440" t="s">
        <v>3306</v>
      </c>
      <c r="C42" s="442"/>
    </row>
    <row r="43" spans="1:3" ht="15.5">
      <c r="A43" s="342">
        <v>9</v>
      </c>
      <c r="B43" s="466" t="s">
        <v>10437</v>
      </c>
      <c r="C43" s="255">
        <f>'IFA-HB3'!AJ86</f>
        <v>0</v>
      </c>
    </row>
    <row r="44" spans="1:3" ht="15.5">
      <c r="A44" s="342">
        <v>10</v>
      </c>
      <c r="B44" s="466" t="s">
        <v>10436</v>
      </c>
      <c r="C44" s="255">
        <f>'Existing Debt-HB3'!X74</f>
        <v>0</v>
      </c>
    </row>
    <row r="45" spans="1:3" ht="15.5">
      <c r="A45" s="342">
        <v>11</v>
      </c>
      <c r="B45" s="466" t="s">
        <v>3344</v>
      </c>
      <c r="C45" s="255">
        <f>(C37+C38)-(C43+C44)</f>
        <v>0</v>
      </c>
    </row>
    <row r="46" spans="1:3" ht="15.5">
      <c r="A46" s="441"/>
      <c r="B46" s="439" t="s">
        <v>3316</v>
      </c>
      <c r="C46" s="442"/>
    </row>
    <row r="47" spans="1:3" ht="15.5">
      <c r="A47" s="342">
        <v>12</v>
      </c>
      <c r="B47" s="466" t="s">
        <v>3345</v>
      </c>
      <c r="C47" s="255" t="e">
        <f>IF(C41-C45&lt;0,0,C41-C45)</f>
        <v>#DIV/0!</v>
      </c>
    </row>
    <row r="48" spans="1:3" ht="15.5">
      <c r="A48" s="342">
        <v>13</v>
      </c>
      <c r="B48" s="466" t="s">
        <v>2767</v>
      </c>
      <c r="C48" s="255">
        <f>'Data Entry - SOF'!M80</f>
        <v>0</v>
      </c>
    </row>
    <row r="49" spans="1:4" ht="15.5">
      <c r="A49" s="342">
        <v>14</v>
      </c>
      <c r="B49" s="467" t="s">
        <v>3346</v>
      </c>
      <c r="C49" s="255" t="e">
        <f>C39-C47</f>
        <v>#DIV/0!</v>
      </c>
    </row>
    <row r="50" spans="1:4" ht="15.5">
      <c r="A50" s="447">
        <v>15</v>
      </c>
      <c r="B50" s="468" t="s">
        <v>3347</v>
      </c>
      <c r="C50" s="443" t="e">
        <f>IF(C48&gt;=C49,C47,C47*(C48/C49))</f>
        <v>#DIV/0!</v>
      </c>
      <c r="D50" s="662" t="s">
        <v>10998</v>
      </c>
    </row>
    <row r="51" spans="1:4" ht="15.5">
      <c r="B51" s="719" t="s">
        <v>2708</v>
      </c>
      <c r="C51" s="635" t="s">
        <v>11085</v>
      </c>
    </row>
    <row r="53" spans="1:4" ht="15.5">
      <c r="B53" s="2033"/>
    </row>
    <row r="54" spans="1:4" ht="15.5">
      <c r="B54" s="625" t="s">
        <v>10990</v>
      </c>
    </row>
    <row r="56" spans="1:4" ht="15.5">
      <c r="A56" s="441"/>
      <c r="B56" s="438" t="s">
        <v>2655</v>
      </c>
      <c r="C56" s="442"/>
    </row>
    <row r="57" spans="1:4" ht="15.5">
      <c r="A57" s="342">
        <v>1</v>
      </c>
      <c r="B57" s="388" t="s">
        <v>11068</v>
      </c>
      <c r="C57" s="255">
        <f>'Data Entry - SOF'!M69</f>
        <v>0</v>
      </c>
    </row>
    <row r="58" spans="1:4" ht="15.5">
      <c r="A58" s="342">
        <v>2</v>
      </c>
      <c r="B58" s="388" t="s">
        <v>11069</v>
      </c>
      <c r="C58" s="255">
        <f>'Data Entry - SOF'!M65</f>
        <v>0</v>
      </c>
    </row>
    <row r="59" spans="1:4" ht="15.5">
      <c r="A59" s="342">
        <v>3</v>
      </c>
      <c r="B59" s="388" t="s">
        <v>3317</v>
      </c>
      <c r="C59" s="255">
        <f>'Data Entry - SOF'!C98</f>
        <v>0</v>
      </c>
    </row>
    <row r="60" spans="1:4" ht="15.5">
      <c r="A60" s="441"/>
      <c r="B60" s="440" t="s">
        <v>3340</v>
      </c>
      <c r="C60" s="442"/>
    </row>
    <row r="61" spans="1:4" ht="15.5">
      <c r="A61" s="342">
        <v>4</v>
      </c>
      <c r="B61" s="466" t="s">
        <v>3302</v>
      </c>
      <c r="C61" s="255">
        <f>'IFA-HB3'!AJ86</f>
        <v>0</v>
      </c>
    </row>
    <row r="62" spans="1:4" ht="15.5">
      <c r="A62" s="342">
        <v>5</v>
      </c>
      <c r="B62" s="466" t="s">
        <v>3303</v>
      </c>
      <c r="C62" s="255">
        <f>'Existing Debt-HB3'!X74</f>
        <v>0</v>
      </c>
    </row>
    <row r="63" spans="1:4" ht="15.5">
      <c r="A63" s="342">
        <v>6</v>
      </c>
      <c r="B63" s="466" t="s">
        <v>3341</v>
      </c>
      <c r="C63" s="255">
        <f>C59-C61-C62</f>
        <v>0</v>
      </c>
    </row>
    <row r="64" spans="1:4" ht="15.5">
      <c r="A64" s="342">
        <v>7</v>
      </c>
      <c r="B64" s="289" t="s">
        <v>3342</v>
      </c>
      <c r="C64" s="469" t="e">
        <f>1-(C57/C58)</f>
        <v>#DIV/0!</v>
      </c>
    </row>
    <row r="65" spans="1:4" ht="15.5">
      <c r="A65" s="342">
        <v>8</v>
      </c>
      <c r="B65" s="304" t="s">
        <v>3343</v>
      </c>
      <c r="C65" s="255" t="e">
        <f>C63*C64</f>
        <v>#DIV/0!</v>
      </c>
    </row>
    <row r="66" spans="1:4" ht="15.5">
      <c r="A66" s="441"/>
      <c r="B66" s="440" t="s">
        <v>3306</v>
      </c>
      <c r="C66" s="442"/>
    </row>
    <row r="67" spans="1:4" ht="15.5">
      <c r="A67" s="342">
        <v>9</v>
      </c>
      <c r="B67" s="466" t="s">
        <v>3304</v>
      </c>
      <c r="C67" s="255">
        <f>'IFA-HB3'!AK86</f>
        <v>0</v>
      </c>
    </row>
    <row r="68" spans="1:4" ht="15.5">
      <c r="A68" s="342">
        <v>10</v>
      </c>
      <c r="B68" s="466" t="s">
        <v>3305</v>
      </c>
      <c r="C68" s="255">
        <f>'Existing Debt-HB3'!Y74</f>
        <v>0</v>
      </c>
    </row>
    <row r="69" spans="1:4" ht="15.5">
      <c r="A69" s="342">
        <v>11</v>
      </c>
      <c r="B69" s="466" t="s">
        <v>3344</v>
      </c>
      <c r="C69" s="255">
        <f>(C61+C62)-(C67+C68)</f>
        <v>0</v>
      </c>
    </row>
    <row r="70" spans="1:4" ht="15.5">
      <c r="A70" s="441"/>
      <c r="B70" s="439" t="s">
        <v>3316</v>
      </c>
      <c r="C70" s="442"/>
    </row>
    <row r="71" spans="1:4" ht="15.5">
      <c r="A71" s="342">
        <v>12</v>
      </c>
      <c r="B71" s="466" t="s">
        <v>3345</v>
      </c>
      <c r="C71" s="255" t="e">
        <f>IF(C65-C69&lt;0,0,C65-C69)</f>
        <v>#DIV/0!</v>
      </c>
    </row>
    <row r="72" spans="1:4" ht="15.5">
      <c r="A72" s="342">
        <v>13</v>
      </c>
      <c r="B72" s="466" t="s">
        <v>2767</v>
      </c>
      <c r="C72" s="255">
        <f>'Data Entry - SOF'!M80</f>
        <v>0</v>
      </c>
    </row>
    <row r="73" spans="1:4" ht="15.5">
      <c r="A73" s="342">
        <v>14</v>
      </c>
      <c r="B73" s="467" t="s">
        <v>3346</v>
      </c>
      <c r="C73" s="255" t="e">
        <f>C63-C71</f>
        <v>#DIV/0!</v>
      </c>
    </row>
    <row r="74" spans="1:4" ht="15.5">
      <c r="A74" s="447">
        <v>15</v>
      </c>
      <c r="B74" s="468" t="s">
        <v>3347</v>
      </c>
      <c r="C74" s="443" t="e">
        <f>IF(C72&gt;=C73,C71,C71*(C72/C73))</f>
        <v>#DIV/0!</v>
      </c>
      <c r="D74" s="662" t="s">
        <v>10999</v>
      </c>
    </row>
    <row r="75" spans="1:4" ht="15.5">
      <c r="B75" s="719" t="s">
        <v>2708</v>
      </c>
      <c r="C75" s="635" t="s">
        <v>11085</v>
      </c>
    </row>
  </sheetData>
  <hyperlinks>
    <hyperlink ref="D27" location="'OtherDetail2627-HB3'!A1" display="'OtherDetail2627-HB3'!A1" xr:uid="{00000000-0004-0000-3C00-000000000000}"/>
    <hyperlink ref="C51" location="'Report-SOF2627-SB1'!A1" display="'Report-SOF2627-SB1'!A1" xr:uid="{00000000-0004-0000-3C00-000001000000}"/>
    <hyperlink ref="C75" location="'Report-SOF2627-SB1'!A1" display="'Report-SOF2627-SB1'!A1" xr:uid="{00000000-0004-0000-3C00-000002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1:D48"/>
  <sheetViews>
    <sheetView workbookViewId="0">
      <selection activeCell="C20" sqref="C20"/>
    </sheetView>
  </sheetViews>
  <sheetFormatPr defaultRowHeight="12.5"/>
  <cols>
    <col min="1" max="1" width="4.54296875" style="2042" customWidth="1"/>
    <col min="2" max="2" width="91.81640625" style="2042" customWidth="1"/>
    <col min="3" max="3" width="26.81640625" style="2042" customWidth="1"/>
    <col min="4" max="16384" width="8.7265625" style="2042"/>
  </cols>
  <sheetData>
    <row r="1" spans="1:4" ht="13">
      <c r="A1" s="325" t="s">
        <v>2716</v>
      </c>
      <c r="C1" s="2729" t="str">
        <f>'Data Entry - SOF'!M1</f>
        <v>Release 2</v>
      </c>
    </row>
    <row r="2" spans="1:4" ht="13">
      <c r="A2" s="325" t="s">
        <v>2717</v>
      </c>
      <c r="C2" s="2730">
        <f>'Data Entry - SOF'!M2</f>
        <v>44930</v>
      </c>
    </row>
    <row r="3" spans="1:4" ht="13">
      <c r="A3" s="52"/>
      <c r="C3" s="47"/>
    </row>
    <row r="4" spans="1:4" ht="15.5">
      <c r="A4" s="246" t="s">
        <v>10751</v>
      </c>
    </row>
    <row r="5" spans="1:4" ht="15.5">
      <c r="A5" s="2039" t="str">
        <f>'Data Entry - SOF'!B1</f>
        <v xml:space="preserve"> </v>
      </c>
    </row>
    <row r="6" spans="1:4" ht="15.5">
      <c r="A6" s="246">
        <f>'Data Entry - SOF'!B2</f>
        <v>0</v>
      </c>
    </row>
    <row r="8" spans="1:4" s="2039" customFormat="1" ht="20" customHeight="1">
      <c r="A8" s="2731" t="s">
        <v>10738</v>
      </c>
      <c r="B8" s="2732"/>
      <c r="C8" s="2733" t="s">
        <v>2633</v>
      </c>
    </row>
    <row r="9" spans="1:4" s="2039" customFormat="1" ht="15.5">
      <c r="A9" s="2734" t="s">
        <v>2063</v>
      </c>
      <c r="B9" s="2429" t="s">
        <v>10739</v>
      </c>
      <c r="C9" s="2440">
        <f>Assumptions!H136</f>
        <v>6160</v>
      </c>
    </row>
    <row r="10" spans="1:4" s="2039" customFormat="1" ht="15.5">
      <c r="A10" s="2734" t="s">
        <v>2064</v>
      </c>
      <c r="B10" s="2429" t="s">
        <v>10740</v>
      </c>
      <c r="C10" s="2735" t="e">
        <f>'DE1'!G156</f>
        <v>#N/A</v>
      </c>
    </row>
    <row r="11" spans="1:4" s="2039" customFormat="1" ht="15.5">
      <c r="A11" s="2734" t="s">
        <v>2065</v>
      </c>
      <c r="B11" s="2429" t="s">
        <v>10741</v>
      </c>
      <c r="C11" s="2429" t="e">
        <f>IF(C10=1,0.15,IF(C10=2,0.3,IF(C10=3,0.45,0)))</f>
        <v>#N/A</v>
      </c>
    </row>
    <row r="12" spans="1:4" s="2039" customFormat="1" ht="15.5">
      <c r="A12" s="2734" t="s">
        <v>862</v>
      </c>
      <c r="B12" s="2429" t="s">
        <v>10742</v>
      </c>
      <c r="C12" s="2735">
        <f>'Data Entry - SOF'!C130</f>
        <v>0</v>
      </c>
    </row>
    <row r="13" spans="1:4" s="2039" customFormat="1" ht="15.5">
      <c r="A13" s="2734" t="s">
        <v>863</v>
      </c>
      <c r="B13" s="2429" t="s">
        <v>10743</v>
      </c>
      <c r="C13" s="2440" t="e">
        <f>C9*C11*C12</f>
        <v>#N/A</v>
      </c>
    </row>
    <row r="14" spans="1:4" s="2039" customFormat="1" ht="15.5">
      <c r="A14" s="2734" t="s">
        <v>865</v>
      </c>
      <c r="B14" s="2429" t="s">
        <v>10744</v>
      </c>
      <c r="C14" s="2440">
        <v>270000000</v>
      </c>
    </row>
    <row r="15" spans="1:4" s="2039" customFormat="1" ht="15.5">
      <c r="A15" s="2734" t="s">
        <v>866</v>
      </c>
      <c r="B15" s="2429" t="s">
        <v>10745</v>
      </c>
      <c r="C15" s="2735" t="e">
        <f>C13*0.9593763</f>
        <v>#N/A</v>
      </c>
      <c r="D15" s="3109" t="s">
        <v>10746</v>
      </c>
    </row>
    <row r="16" spans="1:4" s="2039" customFormat="1" ht="15.5">
      <c r="A16" s="2734" t="s">
        <v>867</v>
      </c>
      <c r="B16" s="2429" t="s">
        <v>10747</v>
      </c>
      <c r="C16" s="2737">
        <f>IF(ISNA('DE1'!C16),0,'DE1'!C16)</f>
        <v>0</v>
      </c>
    </row>
    <row r="17" spans="1:4" s="2039" customFormat="1" ht="15.5">
      <c r="A17" s="2734" t="s">
        <v>109</v>
      </c>
      <c r="B17" s="2429" t="s">
        <v>10748</v>
      </c>
      <c r="C17" s="2735" t="e">
        <f>IF(C16&gt;C15,C16-C15,0)</f>
        <v>#N/A</v>
      </c>
    </row>
    <row r="18" spans="1:4" s="2039" customFormat="1" ht="15.5">
      <c r="A18" s="2734" t="s">
        <v>110</v>
      </c>
      <c r="B18" s="2429" t="s">
        <v>10749</v>
      </c>
      <c r="C18" s="2735" t="e">
        <f>C17*0.27497697</f>
        <v>#N/A</v>
      </c>
      <c r="D18" s="358" t="s">
        <v>10754</v>
      </c>
    </row>
    <row r="19" spans="1:4" s="2039" customFormat="1" ht="15.5">
      <c r="A19" s="2734" t="s">
        <v>111</v>
      </c>
      <c r="B19" s="2429" t="s">
        <v>10750</v>
      </c>
      <c r="C19" s="2735" t="e">
        <f>C15+C18</f>
        <v>#N/A</v>
      </c>
    </row>
    <row r="20" spans="1:4" s="2039" customFormat="1" ht="15.5">
      <c r="B20" s="2739" t="s">
        <v>2708</v>
      </c>
      <c r="C20" s="635" t="s">
        <v>9067</v>
      </c>
    </row>
    <row r="21" spans="1:4" s="2039" customFormat="1" ht="15.5">
      <c r="B21" s="2040"/>
    </row>
    <row r="22" spans="1:4" s="2039" customFormat="1" ht="15.5">
      <c r="B22" s="2040"/>
    </row>
    <row r="23" spans="1:4" s="2039" customFormat="1" ht="15.5">
      <c r="B23" s="2040"/>
    </row>
    <row r="24" spans="1:4" s="2039" customFormat="1" ht="15.5">
      <c r="B24" s="2040"/>
    </row>
    <row r="25" spans="1:4" s="2039" customFormat="1" ht="15.5">
      <c r="B25" s="2040"/>
    </row>
    <row r="26" spans="1:4" s="2039" customFormat="1" ht="15.5">
      <c r="B26" s="2040"/>
    </row>
    <row r="27" spans="1:4" s="2039" customFormat="1" ht="15.5">
      <c r="B27" s="2040"/>
    </row>
    <row r="28" spans="1:4" s="2039" customFormat="1" ht="15.5">
      <c r="B28" s="2040"/>
    </row>
    <row r="29" spans="1:4" s="2039" customFormat="1" ht="15.5">
      <c r="B29" s="2040"/>
    </row>
    <row r="30" spans="1:4" s="2039" customFormat="1" ht="15.5">
      <c r="B30" s="2040"/>
    </row>
    <row r="31" spans="1:4" s="2039" customFormat="1" ht="15.5">
      <c r="B31" s="2040"/>
    </row>
    <row r="32" spans="1:4" s="2039" customFormat="1" ht="15.5">
      <c r="B32" s="2040"/>
    </row>
    <row r="33" spans="2:2" s="2039" customFormat="1" ht="15.5">
      <c r="B33" s="2040"/>
    </row>
    <row r="34" spans="2:2" s="2039" customFormat="1" ht="15.5">
      <c r="B34" s="2040"/>
    </row>
    <row r="35" spans="2:2" s="2039" customFormat="1" ht="15.5">
      <c r="B35" s="2040"/>
    </row>
    <row r="36" spans="2:2" s="2039" customFormat="1" ht="15.5"/>
    <row r="37" spans="2:2" s="2039" customFormat="1" ht="15.5"/>
    <row r="38" spans="2:2" s="2039" customFormat="1" ht="15.5"/>
    <row r="39" spans="2:2" s="2039" customFormat="1" ht="15.5"/>
    <row r="40" spans="2:2" s="2039" customFormat="1" ht="15.5"/>
    <row r="41" spans="2:2" s="2039" customFormat="1" ht="15.5"/>
    <row r="42" spans="2:2" s="2039" customFormat="1" ht="15.5"/>
    <row r="43" spans="2:2" s="2039" customFormat="1" ht="15.5"/>
    <row r="44" spans="2:2" s="2039" customFormat="1" ht="15.5"/>
    <row r="45" spans="2:2" s="2039" customFormat="1" ht="15.5"/>
    <row r="46" spans="2:2" s="2039" customFormat="1" ht="15.5"/>
    <row r="47" spans="2:2" s="2039" customFormat="1" ht="15.5"/>
    <row r="48" spans="2:2" s="2039" customFormat="1" ht="15.5"/>
  </sheetData>
  <hyperlinks>
    <hyperlink ref="C20" location="'Report-SOF2122-HB1525'!A1" display="'Report-SOF2122-HB1525'!A1" xr:uid="{00000000-0004-0000-3D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79998168889431442"/>
  </sheetPr>
  <dimension ref="A1:K69"/>
  <sheetViews>
    <sheetView workbookViewId="0">
      <selection activeCell="F11" sqref="F11"/>
    </sheetView>
  </sheetViews>
  <sheetFormatPr defaultRowHeight="12.5"/>
  <cols>
    <col min="1" max="1" width="6.81640625" customWidth="1"/>
    <col min="2" max="2" width="39.1796875" customWidth="1"/>
    <col min="3" max="5" width="21.54296875" hidden="1" customWidth="1"/>
    <col min="6" max="9" width="26.54296875" customWidth="1"/>
    <col min="10" max="11" width="26.54296875" style="2042" customWidth="1"/>
  </cols>
  <sheetData>
    <row r="1" spans="1:11" ht="13">
      <c r="A1" s="57" t="s">
        <v>2683</v>
      </c>
      <c r="C1" s="58"/>
      <c r="F1" s="637"/>
      <c r="G1" s="637"/>
      <c r="H1" s="637"/>
      <c r="I1" s="637"/>
      <c r="J1" s="637"/>
      <c r="K1" s="637" t="str">
        <f>'Data Entry - SOF'!M1</f>
        <v>Release 2</v>
      </c>
    </row>
    <row r="2" spans="1:11" ht="13">
      <c r="A2" s="322" t="s">
        <v>2693</v>
      </c>
      <c r="C2" s="58"/>
      <c r="F2" s="58"/>
      <c r="G2" s="638"/>
      <c r="H2" s="637"/>
      <c r="I2" s="2032"/>
      <c r="J2" s="2032"/>
      <c r="K2" s="2032">
        <f>'Data Entry - SOF'!M2</f>
        <v>44930</v>
      </c>
    </row>
    <row r="3" spans="1:11" ht="13">
      <c r="C3" s="47"/>
      <c r="F3" s="47"/>
      <c r="G3" s="661"/>
      <c r="H3" s="637"/>
      <c r="I3" s="661"/>
      <c r="J3" s="661"/>
      <c r="K3" s="661"/>
    </row>
    <row r="5" spans="1:11" ht="15.5">
      <c r="A5" s="362" t="s">
        <v>2669</v>
      </c>
      <c r="B5" s="361"/>
      <c r="C5" s="363" t="s">
        <v>158</v>
      </c>
      <c r="D5" s="364" t="s">
        <v>2816</v>
      </c>
      <c r="E5" s="364" t="s">
        <v>2819</v>
      </c>
      <c r="F5" s="364" t="s">
        <v>5513</v>
      </c>
      <c r="G5" s="364" t="s">
        <v>5951</v>
      </c>
      <c r="H5" s="364" t="s">
        <v>7037</v>
      </c>
      <c r="I5" s="364" t="s">
        <v>8487</v>
      </c>
      <c r="J5" s="364" t="s">
        <v>9171</v>
      </c>
      <c r="K5" s="364" t="s">
        <v>11049</v>
      </c>
    </row>
    <row r="6" spans="1:11" ht="15.5">
      <c r="A6" s="250" t="s">
        <v>2063</v>
      </c>
      <c r="B6" s="268" t="s">
        <v>2672</v>
      </c>
      <c r="C6" s="308" t="e">
        <f>'Data Entry - SOF'!#REF!</f>
        <v>#REF!</v>
      </c>
      <c r="D6" s="256" t="e">
        <f>'Data Entry - SOF'!#REF!</f>
        <v>#REF!</v>
      </c>
      <c r="E6" s="256" t="e">
        <f>'Data Entry - SOF'!#REF!</f>
        <v>#REF!</v>
      </c>
      <c r="F6" s="256">
        <f>'Data Entry - SOF'!C19</f>
        <v>0</v>
      </c>
      <c r="G6" s="256">
        <f>'Data Entry - SOF'!E19</f>
        <v>0</v>
      </c>
      <c r="H6" s="256">
        <f>'Data Entry - SOF'!G19</f>
        <v>0</v>
      </c>
      <c r="I6" s="256">
        <f>'Data Entry - SOF'!I19</f>
        <v>0</v>
      </c>
      <c r="J6" s="256">
        <f>'Data Entry - SOF'!K19</f>
        <v>0</v>
      </c>
      <c r="K6" s="256">
        <f>'Data Entry - SOF'!M19</f>
        <v>0</v>
      </c>
    </row>
    <row r="7" spans="1:11" ht="15.5">
      <c r="A7" s="250" t="s">
        <v>2064</v>
      </c>
      <c r="B7" s="251" t="s">
        <v>2670</v>
      </c>
      <c r="C7" s="309" t="e">
        <f>#REF!</f>
        <v>#REF!</v>
      </c>
      <c r="D7" s="256" t="e">
        <f>'Calc Data'!#REF!</f>
        <v>#REF!</v>
      </c>
      <c r="E7" s="256" t="e">
        <f>'Calc Data'!#REF!</f>
        <v>#REF!</v>
      </c>
      <c r="F7" s="256">
        <f>'Calc Data'!D8</f>
        <v>0</v>
      </c>
      <c r="G7" s="256">
        <f>'Calc Data'!E8</f>
        <v>0</v>
      </c>
      <c r="H7" s="256">
        <f>'Calc Data'!F8</f>
        <v>0</v>
      </c>
      <c r="I7" s="256">
        <f>'Calc Data'!G8</f>
        <v>0</v>
      </c>
      <c r="J7" s="256">
        <f>'Calc Data'!H8</f>
        <v>0</v>
      </c>
      <c r="K7" s="256">
        <f>'Calc Data'!I8</f>
        <v>0</v>
      </c>
    </row>
    <row r="8" spans="1:11" ht="15.5">
      <c r="A8" s="250" t="s">
        <v>2065</v>
      </c>
      <c r="B8" s="251" t="s">
        <v>2671</v>
      </c>
      <c r="C8" s="310" t="e">
        <f>'Data Entry - SOF'!#REF!</f>
        <v>#REF!</v>
      </c>
      <c r="D8" s="256" t="e">
        <f>'Data Entry - SOF'!#REF!</f>
        <v>#REF!</v>
      </c>
      <c r="E8" s="256" t="e">
        <f>'Data Entry - SOF'!#REF!</f>
        <v>#REF!</v>
      </c>
      <c r="F8" s="256">
        <f>'Data Entry - SOF'!C36+'Data Entry - SOF'!C37+'Data Entry - SOF'!C38</f>
        <v>0</v>
      </c>
      <c r="G8" s="256">
        <f>'Data Entry - SOF'!E36+'Data Entry - SOF'!E37+'Data Entry - SOF'!E38</f>
        <v>0</v>
      </c>
      <c r="H8" s="256">
        <f>'Data Entry - SOF'!G36+'Data Entry - SOF'!G37+'Data Entry - SOF'!G38</f>
        <v>0</v>
      </c>
      <c r="I8" s="256">
        <f>'Data Entry - SOF'!I36+'Data Entry - SOF'!I37+'Data Entry - SOF'!I38</f>
        <v>0</v>
      </c>
      <c r="J8" s="256">
        <f>'Data Entry - SOF'!K36+'Data Entry - SOF'!K37+'Data Entry - SOF'!K38</f>
        <v>0</v>
      </c>
      <c r="K8" s="256">
        <f>'Data Entry - SOF'!M36+'Data Entry - SOF'!M37+'Data Entry - SOF'!M38</f>
        <v>0</v>
      </c>
    </row>
    <row r="9" spans="1:11" ht="15.5">
      <c r="A9" s="250" t="s">
        <v>862</v>
      </c>
      <c r="B9" s="249" t="s">
        <v>5953</v>
      </c>
      <c r="C9" s="310" t="e">
        <f t="shared" ref="C9:E9" si="0">C6-C7-C8</f>
        <v>#REF!</v>
      </c>
      <c r="D9" s="311" t="e">
        <f t="shared" si="0"/>
        <v>#REF!</v>
      </c>
      <c r="E9" s="311" t="e">
        <f t="shared" si="0"/>
        <v>#REF!</v>
      </c>
      <c r="F9" s="311">
        <f t="shared" ref="F9:K9" si="1">F6-F7-F8</f>
        <v>0</v>
      </c>
      <c r="G9" s="311">
        <f t="shared" si="1"/>
        <v>0</v>
      </c>
      <c r="H9" s="311">
        <f t="shared" si="1"/>
        <v>0</v>
      </c>
      <c r="I9" s="311">
        <f t="shared" si="1"/>
        <v>0</v>
      </c>
      <c r="J9" s="311">
        <f t="shared" si="1"/>
        <v>0</v>
      </c>
      <c r="K9" s="311">
        <f t="shared" si="1"/>
        <v>0</v>
      </c>
    </row>
    <row r="10" spans="1:11" s="247" customFormat="1" ht="15.5">
      <c r="A10" s="250" t="s">
        <v>863</v>
      </c>
      <c r="B10" s="251" t="s">
        <v>1899</v>
      </c>
      <c r="C10" s="256" t="e">
        <f>'Calc Data'!#REF!</f>
        <v>#REF!</v>
      </c>
      <c r="D10" s="256" t="e">
        <f>'Calc Data'!#REF!</f>
        <v>#REF!</v>
      </c>
      <c r="E10" s="256" t="e">
        <f>'Calc Data'!#REF!</f>
        <v>#REF!</v>
      </c>
      <c r="F10" s="256">
        <f>'Calc Data'!D11</f>
        <v>0</v>
      </c>
      <c r="G10" s="256">
        <f>'Calc Data'!E11</f>
        <v>0</v>
      </c>
      <c r="H10" s="256">
        <f>'Calc Data'!F11</f>
        <v>0</v>
      </c>
      <c r="I10" s="256">
        <f>'Calc Data'!G11</f>
        <v>0</v>
      </c>
      <c r="J10" s="256">
        <f>'Calc Data'!H11</f>
        <v>0</v>
      </c>
      <c r="K10" s="256">
        <f>'Calc Data'!I11</f>
        <v>0</v>
      </c>
    </row>
    <row r="11" spans="1:11" s="247" customFormat="1" ht="15.5">
      <c r="A11" s="282"/>
      <c r="B11" s="317" t="s">
        <v>2706</v>
      </c>
      <c r="C11" s="318" t="s">
        <v>2707</v>
      </c>
      <c r="D11" s="373" t="s">
        <v>2818</v>
      </c>
      <c r="E11" s="373" t="s">
        <v>2820</v>
      </c>
      <c r="F11" s="2031" t="s">
        <v>9067</v>
      </c>
      <c r="G11" s="635" t="s">
        <v>10471</v>
      </c>
      <c r="H11" s="2031" t="s">
        <v>10472</v>
      </c>
      <c r="I11" s="2031" t="s">
        <v>10473</v>
      </c>
      <c r="J11" s="2031" t="s">
        <v>10474</v>
      </c>
      <c r="K11" s="635" t="s">
        <v>11085</v>
      </c>
    </row>
    <row r="12" spans="1:11" s="247" customFormat="1" ht="15.5">
      <c r="A12" s="282"/>
      <c r="B12" s="317"/>
      <c r="C12" s="318"/>
      <c r="F12"/>
      <c r="G12"/>
      <c r="H12"/>
      <c r="I12"/>
      <c r="J12" s="2042"/>
      <c r="K12" s="2042"/>
    </row>
    <row r="13" spans="1:11" ht="15.5">
      <c r="A13" s="282"/>
      <c r="B13" s="247" t="s">
        <v>2673</v>
      </c>
      <c r="C13" s="247"/>
    </row>
    <row r="14" spans="1:11" ht="15.5">
      <c r="A14" s="282"/>
      <c r="B14" s="247" t="s">
        <v>3336</v>
      </c>
      <c r="C14" s="247"/>
      <c r="G14" s="247"/>
      <c r="H14" s="247"/>
      <c r="I14" s="247"/>
      <c r="J14" s="2040"/>
      <c r="K14" s="2040"/>
    </row>
    <row r="15" spans="1:11" ht="15.5">
      <c r="A15" s="282"/>
      <c r="B15" s="247" t="s">
        <v>3337</v>
      </c>
      <c r="C15" s="247"/>
      <c r="F15" s="247"/>
    </row>
    <row r="16" spans="1:11" ht="15.5">
      <c r="A16" s="282"/>
      <c r="B16" s="247" t="s">
        <v>3338</v>
      </c>
      <c r="C16" s="247"/>
    </row>
    <row r="17" spans="1:11" ht="15.5">
      <c r="A17" s="282"/>
      <c r="B17" s="247" t="s">
        <v>2675</v>
      </c>
      <c r="C17" s="247"/>
      <c r="G17" s="247"/>
    </row>
    <row r="18" spans="1:11" s="247" customFormat="1" ht="15.5">
      <c r="F18"/>
      <c r="G18"/>
      <c r="H18"/>
      <c r="I18"/>
      <c r="J18" s="2042"/>
      <c r="K18" s="2042"/>
    </row>
    <row r="20" spans="1:11" s="247" customFormat="1" ht="15.5">
      <c r="A20" s="362" t="s">
        <v>2684</v>
      </c>
      <c r="B20" s="365"/>
      <c r="C20" s="363" t="s">
        <v>158</v>
      </c>
      <c r="D20" s="364" t="s">
        <v>2816</v>
      </c>
      <c r="E20" s="364" t="s">
        <v>2819</v>
      </c>
      <c r="F20" s="364" t="str">
        <f t="shared" ref="F20:K20" si="2">F5</f>
        <v>2021-22</v>
      </c>
      <c r="G20" s="364" t="str">
        <f t="shared" si="2"/>
        <v>2022-23</v>
      </c>
      <c r="H20" s="364" t="str">
        <f t="shared" si="2"/>
        <v>2023-24</v>
      </c>
      <c r="I20" s="364" t="str">
        <f t="shared" si="2"/>
        <v>2024-25</v>
      </c>
      <c r="J20" s="364" t="str">
        <f t="shared" si="2"/>
        <v>2025-26</v>
      </c>
      <c r="K20" s="364" t="str">
        <f t="shared" si="2"/>
        <v>2026-27</v>
      </c>
    </row>
    <row r="21" spans="1:11" s="247" customFormat="1" ht="15.5">
      <c r="A21" s="250" t="s">
        <v>2063</v>
      </c>
      <c r="B21" s="251" t="s">
        <v>497</v>
      </c>
      <c r="C21" s="255" t="e">
        <f>#REF!</f>
        <v>#REF!</v>
      </c>
      <c r="D21" s="255" t="e">
        <f>#REF!</f>
        <v>#REF!</v>
      </c>
      <c r="E21" s="255" t="e">
        <f>#REF!</f>
        <v>#REF!</v>
      </c>
      <c r="F21" s="255" t="e">
        <f>'Report-SOF2122-HB1525'!D55</f>
        <v>#N/A</v>
      </c>
      <c r="G21" s="255">
        <f>'Report-SOF2223-SB1'!D55</f>
        <v>0</v>
      </c>
      <c r="H21" s="255" t="e">
        <f>'Report-SOF2324-SB1'!D55</f>
        <v>#DIV/0!</v>
      </c>
      <c r="I21" s="255" t="e">
        <f>'Report-SOF2425-SB1'!D55</f>
        <v>#DIV/0!</v>
      </c>
      <c r="J21" s="255" t="e">
        <f>'Report-SOF2526-SB1'!D55</f>
        <v>#DIV/0!</v>
      </c>
      <c r="K21" s="255" t="e">
        <f>'Report-SOF2627-SB1'!D55</f>
        <v>#DIV/0!</v>
      </c>
    </row>
    <row r="22" spans="1:11" s="247" customFormat="1" ht="15.5">
      <c r="A22" s="250" t="s">
        <v>2064</v>
      </c>
      <c r="B22" s="251" t="s">
        <v>2686</v>
      </c>
      <c r="C22" s="255" t="e">
        <f>#REF!*-1</f>
        <v>#REF!</v>
      </c>
      <c r="D22" s="255" t="e">
        <f>#REF!*-1</f>
        <v>#REF!</v>
      </c>
      <c r="E22" s="255" t="e">
        <f>#REF!*-1</f>
        <v>#REF!</v>
      </c>
      <c r="F22" s="255">
        <f>'Report-SOF2122-HB1525'!D49</f>
        <v>0</v>
      </c>
      <c r="G22" s="255">
        <f>'Report-SOF2223-SB1'!D49</f>
        <v>0</v>
      </c>
      <c r="H22" s="255">
        <f>'Report-SOF2324-SB1'!D49</f>
        <v>0</v>
      </c>
      <c r="I22" s="255">
        <f>'Report-SOF2425-SB1'!D49</f>
        <v>0</v>
      </c>
      <c r="J22" s="255">
        <f>'Report-SOF2526-SB1'!D49</f>
        <v>0</v>
      </c>
      <c r="K22" s="255">
        <f>'Report-SOF2627-SB1'!D49</f>
        <v>0</v>
      </c>
    </row>
    <row r="23" spans="1:11" s="247" customFormat="1" ht="15.5">
      <c r="A23" s="250" t="s">
        <v>2065</v>
      </c>
      <c r="B23" s="251" t="s">
        <v>2691</v>
      </c>
      <c r="C23" s="255" t="e">
        <f>#REF!*-1</f>
        <v>#REF!</v>
      </c>
      <c r="D23" s="255" t="e">
        <f>#REF!*-1</f>
        <v>#REF!</v>
      </c>
      <c r="E23" s="255" t="e">
        <f>#REF!*-1</f>
        <v>#REF!</v>
      </c>
      <c r="F23" s="287" t="s">
        <v>1678</v>
      </c>
      <c r="G23" s="287" t="s">
        <v>1678</v>
      </c>
      <c r="H23" s="287" t="s">
        <v>1678</v>
      </c>
      <c r="I23" s="287" t="s">
        <v>1678</v>
      </c>
      <c r="J23" s="287" t="s">
        <v>1678</v>
      </c>
      <c r="K23" s="287" t="s">
        <v>1678</v>
      </c>
    </row>
    <row r="24" spans="1:11" s="247" customFormat="1" ht="15.5">
      <c r="A24" s="250" t="s">
        <v>862</v>
      </c>
      <c r="B24" s="251" t="s">
        <v>3333</v>
      </c>
      <c r="C24" s="255"/>
      <c r="D24" s="255" t="e">
        <f>#REF!*-1</f>
        <v>#REF!</v>
      </c>
      <c r="E24" s="255" t="e">
        <f>#REF!*-1</f>
        <v>#REF!</v>
      </c>
      <c r="F24" s="255">
        <f>'Report-SOF2122-HB1525'!D50</f>
        <v>0</v>
      </c>
      <c r="G24" s="255">
        <f>'Report-SOF2223-SB1'!D50</f>
        <v>0</v>
      </c>
      <c r="H24" s="255">
        <f>'Report-SOF2324-SB1'!D50</f>
        <v>0</v>
      </c>
      <c r="I24" s="255">
        <f>'Report-SOF2425-SB1'!D50</f>
        <v>0</v>
      </c>
      <c r="J24" s="255">
        <f>'Report-SOF2526-SB1'!D50</f>
        <v>0</v>
      </c>
      <c r="K24" s="255">
        <f>'Report-SOF2627-SB1'!D50</f>
        <v>0</v>
      </c>
    </row>
    <row r="25" spans="1:11" s="247" customFormat="1" ht="15.5">
      <c r="A25" s="250" t="s">
        <v>863</v>
      </c>
      <c r="B25" s="1671" t="s">
        <v>7902</v>
      </c>
      <c r="C25" s="1672"/>
      <c r="D25" s="1672"/>
      <c r="E25" s="1672"/>
      <c r="F25" s="1672">
        <f>'Report-SOF2122-HB1525'!D51</f>
        <v>0</v>
      </c>
      <c r="G25" s="1672">
        <f>'Report-SOF2223-SB1'!D51</f>
        <v>0</v>
      </c>
      <c r="H25" s="1672">
        <f>'Report-SOF2324-SB1'!D51</f>
        <v>0</v>
      </c>
      <c r="I25" s="1672">
        <f>'Report-SOF2425-SB1'!D51</f>
        <v>0</v>
      </c>
      <c r="J25" s="1672">
        <f>'Report-SOF2526-SB1'!D51</f>
        <v>0</v>
      </c>
      <c r="K25" s="1672">
        <f>'Report-SOF2627-SB1'!D51</f>
        <v>0</v>
      </c>
    </row>
    <row r="26" spans="1:11" s="247" customFormat="1" ht="15.5">
      <c r="A26" s="250" t="s">
        <v>865</v>
      </c>
      <c r="B26" s="1671" t="s">
        <v>7903</v>
      </c>
      <c r="C26" s="1672"/>
      <c r="D26" s="1672"/>
      <c r="E26" s="1672"/>
      <c r="F26" s="1672">
        <f>'Report-SOF2122-HB1525'!D53</f>
        <v>0</v>
      </c>
      <c r="G26" s="1672">
        <f>'Report-SOF2223-SB1'!D53</f>
        <v>0</v>
      </c>
      <c r="H26" s="1672">
        <f>'Report-SOF2324-SB1'!D53</f>
        <v>0</v>
      </c>
      <c r="I26" s="1672">
        <f>'Report-SOF2425-SB1'!D53</f>
        <v>0</v>
      </c>
      <c r="J26" s="1672">
        <f>'Report-SOF2526-SB1'!D53</f>
        <v>0</v>
      </c>
      <c r="K26" s="1672">
        <f>'Report-SOF2627-SB1'!D53</f>
        <v>0</v>
      </c>
    </row>
    <row r="27" spans="1:11" s="247" customFormat="1" ht="15.5">
      <c r="A27" s="250" t="s">
        <v>866</v>
      </c>
      <c r="B27" s="1671" t="s">
        <v>7904</v>
      </c>
      <c r="C27" s="1672"/>
      <c r="D27" s="1672"/>
      <c r="E27" s="1672"/>
      <c r="F27" s="1672">
        <f>'Report-SOF2122-HB1525'!D54</f>
        <v>0</v>
      </c>
      <c r="G27" s="1672">
        <f>'Report-SOF2223-SB1'!D54</f>
        <v>0</v>
      </c>
      <c r="H27" s="1672">
        <f>'Report-SOF2324-SB1'!D54</f>
        <v>0</v>
      </c>
      <c r="I27" s="1672">
        <f>'Report-SOF2425-SB1'!D54</f>
        <v>0</v>
      </c>
      <c r="J27" s="1672">
        <f>'Report-SOF2526-SB1'!D54</f>
        <v>0</v>
      </c>
      <c r="K27" s="1672">
        <f>'Report-SOF2627-SB1'!D54</f>
        <v>0</v>
      </c>
    </row>
    <row r="28" spans="1:11" s="247" customFormat="1" ht="15.5">
      <c r="A28" s="250" t="s">
        <v>867</v>
      </c>
      <c r="B28" s="1671" t="s">
        <v>8205</v>
      </c>
      <c r="C28" s="1735"/>
      <c r="D28" s="1735"/>
      <c r="E28" s="1735"/>
      <c r="F28" s="1735">
        <f>'Report-SOF2122-HB1525'!D52</f>
        <v>0</v>
      </c>
      <c r="G28" s="1735">
        <f>'Report-SOF2223-SB1'!D52</f>
        <v>0</v>
      </c>
      <c r="H28" s="1735">
        <f>'Report-SOF2324-SB1'!D52</f>
        <v>0</v>
      </c>
      <c r="I28" s="1735">
        <f>'Report-SOF2425-SB1'!D52</f>
        <v>0</v>
      </c>
      <c r="J28" s="1735">
        <f>'Report-SOF2526-SB1'!D52</f>
        <v>0</v>
      </c>
      <c r="K28" s="1735">
        <f>'Report-SOF2627-SB1'!D52</f>
        <v>0</v>
      </c>
    </row>
    <row r="29" spans="1:11" s="247" customFormat="1" ht="15.5">
      <c r="A29" s="250" t="s">
        <v>109</v>
      </c>
      <c r="B29" s="251" t="s">
        <v>2685</v>
      </c>
      <c r="C29" s="255" t="e">
        <f>#REF!*-1</f>
        <v>#REF!</v>
      </c>
      <c r="D29" s="255" t="e">
        <f>#REF!*-1</f>
        <v>#REF!</v>
      </c>
      <c r="E29" s="255" t="e">
        <f>#REF!*-1</f>
        <v>#REF!</v>
      </c>
      <c r="F29" s="255">
        <f>'SOF2122-HB3'!I28*-1</f>
        <v>0</v>
      </c>
      <c r="G29" s="255">
        <f>'SOF2223-HB3'!I28*-1</f>
        <v>0</v>
      </c>
      <c r="H29" s="255">
        <f>'SOF2324-HB3'!I28*-1</f>
        <v>0</v>
      </c>
      <c r="I29" s="255">
        <f>'SOF2425-HB3'!I28*-1</f>
        <v>0</v>
      </c>
      <c r="J29" s="255">
        <f>'SOF2526-HB3'!I28*-1</f>
        <v>0</v>
      </c>
      <c r="K29" s="255">
        <f>'SOF2627-HB3'!I28*-1</f>
        <v>0</v>
      </c>
    </row>
    <row r="30" spans="1:11" s="2040" customFormat="1" ht="15.5">
      <c r="A30" s="250" t="s">
        <v>110</v>
      </c>
      <c r="B30" s="2186" t="s">
        <v>10676</v>
      </c>
      <c r="C30" s="2187"/>
      <c r="D30" s="2187"/>
      <c r="E30" s="2187"/>
      <c r="F30" s="255">
        <f>'SOF2122-HB3'!I32*-1</f>
        <v>0</v>
      </c>
      <c r="G30" s="255">
        <f>'SOF2223-HB3'!I34*-1</f>
        <v>0</v>
      </c>
      <c r="H30" s="255">
        <f>'SOF2324-HB3'!I34*-1</f>
        <v>0</v>
      </c>
      <c r="I30" s="255">
        <f>'SOF2425-HB3'!I34*-1</f>
        <v>0</v>
      </c>
      <c r="J30" s="255">
        <f>'SOF2526-HB3'!I34*-1</f>
        <v>0</v>
      </c>
      <c r="K30" s="255">
        <f>'SOF2627-HB3'!I34*-1</f>
        <v>0</v>
      </c>
    </row>
    <row r="31" spans="1:11" s="247" customFormat="1" ht="15.5">
      <c r="A31" s="250" t="s">
        <v>111</v>
      </c>
      <c r="B31" s="251" t="s">
        <v>2687</v>
      </c>
      <c r="C31" s="255" t="e">
        <f t="shared" ref="C31:E31" si="3">SUM(C21:C29)</f>
        <v>#REF!</v>
      </c>
      <c r="D31" s="255" t="e">
        <f t="shared" si="3"/>
        <v>#REF!</v>
      </c>
      <c r="E31" s="255" t="e">
        <f t="shared" si="3"/>
        <v>#REF!</v>
      </c>
      <c r="F31" s="255" t="e">
        <f t="shared" ref="F31:J31" si="4">F21-(SUM(F22:F28))+F29+F30</f>
        <v>#N/A</v>
      </c>
      <c r="G31" s="255">
        <f t="shared" si="4"/>
        <v>0</v>
      </c>
      <c r="H31" s="255" t="e">
        <f t="shared" si="4"/>
        <v>#DIV/0!</v>
      </c>
      <c r="I31" s="255" t="e">
        <f t="shared" si="4"/>
        <v>#DIV/0!</v>
      </c>
      <c r="J31" s="255" t="e">
        <f t="shared" si="4"/>
        <v>#DIV/0!</v>
      </c>
      <c r="K31" s="255" t="e">
        <f t="shared" ref="K31" si="5">K21-(SUM(K22:K28))+K29+K30</f>
        <v>#DIV/0!</v>
      </c>
    </row>
    <row r="32" spans="1:11" s="247" customFormat="1" ht="15.5" hidden="1">
      <c r="A32" s="250" t="s">
        <v>112</v>
      </c>
      <c r="B32" s="251" t="s">
        <v>2688</v>
      </c>
      <c r="C32" s="312" t="e">
        <f>C53-C52</f>
        <v>#REF!</v>
      </c>
      <c r="D32" s="312" t="e">
        <f>D53-D52</f>
        <v>#REF!</v>
      </c>
      <c r="E32" s="312" t="e">
        <f>E53-E52</f>
        <v>#REF!</v>
      </c>
      <c r="F32" s="287" t="s">
        <v>1678</v>
      </c>
      <c r="G32" s="287" t="s">
        <v>1678</v>
      </c>
      <c r="H32" s="287" t="s">
        <v>1678</v>
      </c>
      <c r="I32" s="287" t="s">
        <v>1678</v>
      </c>
      <c r="J32" s="287" t="s">
        <v>1678</v>
      </c>
      <c r="K32" s="287" t="s">
        <v>1678</v>
      </c>
    </row>
    <row r="33" spans="1:11" s="247" customFormat="1" ht="15.5" hidden="1">
      <c r="A33" s="250" t="s">
        <v>1424</v>
      </c>
      <c r="B33" s="251" t="s">
        <v>2689</v>
      </c>
      <c r="C33" s="312" t="e">
        <f>C53*2</f>
        <v>#REF!</v>
      </c>
      <c r="D33" s="312" t="e">
        <f>D53*2</f>
        <v>#REF!</v>
      </c>
      <c r="E33" s="312" t="e">
        <f>E53*2</f>
        <v>#REF!</v>
      </c>
      <c r="F33" s="287" t="s">
        <v>1678</v>
      </c>
      <c r="G33" s="287" t="s">
        <v>1678</v>
      </c>
      <c r="H33" s="287" t="s">
        <v>1678</v>
      </c>
      <c r="I33" s="287" t="s">
        <v>1678</v>
      </c>
      <c r="J33" s="287" t="s">
        <v>1678</v>
      </c>
      <c r="K33" s="287" t="s">
        <v>1678</v>
      </c>
    </row>
    <row r="34" spans="1:11" s="247" customFormat="1" ht="15.5" hidden="1">
      <c r="A34" s="250" t="s">
        <v>6</v>
      </c>
      <c r="B34" s="251" t="s">
        <v>7911</v>
      </c>
      <c r="C34" s="254" t="e">
        <f t="shared" ref="C34:E34" si="6">C32/C33</f>
        <v>#REF!</v>
      </c>
      <c r="D34" s="254" t="e">
        <f t="shared" si="6"/>
        <v>#REF!</v>
      </c>
      <c r="E34" s="254" t="e">
        <f t="shared" si="6"/>
        <v>#REF!</v>
      </c>
      <c r="F34" s="287" t="s">
        <v>1678</v>
      </c>
      <c r="G34" s="287" t="s">
        <v>1678</v>
      </c>
      <c r="H34" s="287" t="s">
        <v>1678</v>
      </c>
      <c r="I34" s="287" t="s">
        <v>1678</v>
      </c>
      <c r="J34" s="287" t="s">
        <v>1678</v>
      </c>
      <c r="K34" s="287" t="s">
        <v>1678</v>
      </c>
    </row>
    <row r="35" spans="1:11" s="247" customFormat="1" ht="15.5" hidden="1">
      <c r="A35" s="250" t="s">
        <v>2109</v>
      </c>
      <c r="B35" s="251" t="s">
        <v>7912</v>
      </c>
      <c r="C35" s="254" t="e">
        <f>1 - C34</f>
        <v>#REF!</v>
      </c>
      <c r="D35" s="254" t="e">
        <f t="shared" ref="D35:E35" si="7">1-D34</f>
        <v>#REF!</v>
      </c>
      <c r="E35" s="254" t="e">
        <f t="shared" si="7"/>
        <v>#REF!</v>
      </c>
      <c r="F35" s="287" t="s">
        <v>1678</v>
      </c>
      <c r="G35" s="287" t="s">
        <v>1678</v>
      </c>
      <c r="H35" s="287" t="s">
        <v>1678</v>
      </c>
      <c r="I35" s="287" t="s">
        <v>1678</v>
      </c>
      <c r="J35" s="287" t="s">
        <v>1678</v>
      </c>
      <c r="K35" s="287" t="s">
        <v>1678</v>
      </c>
    </row>
    <row r="36" spans="1:11" s="247" customFormat="1" ht="15.5" hidden="1">
      <c r="A36" s="250" t="s">
        <v>111</v>
      </c>
      <c r="B36" s="251" t="s">
        <v>7913</v>
      </c>
      <c r="C36" s="255" t="e">
        <f t="shared" ref="C36:E36" si="8">C31*C35</f>
        <v>#REF!</v>
      </c>
      <c r="D36" s="255" t="e">
        <f t="shared" si="8"/>
        <v>#REF!</v>
      </c>
      <c r="E36" s="255" t="e">
        <f t="shared" si="8"/>
        <v>#REF!</v>
      </c>
      <c r="F36" s="287" t="s">
        <v>1678</v>
      </c>
      <c r="G36" s="287" t="s">
        <v>1678</v>
      </c>
      <c r="H36" s="287" t="s">
        <v>1678</v>
      </c>
      <c r="I36" s="287" t="s">
        <v>1678</v>
      </c>
      <c r="J36" s="287" t="s">
        <v>1678</v>
      </c>
      <c r="K36" s="287" t="s">
        <v>1678</v>
      </c>
    </row>
    <row r="37" spans="1:11" s="247" customFormat="1" ht="15.5">
      <c r="A37" s="250" t="s">
        <v>112</v>
      </c>
      <c r="B37" s="251" t="s">
        <v>2690</v>
      </c>
      <c r="C37" s="255" t="e">
        <f>C52</f>
        <v>#REF!</v>
      </c>
      <c r="D37" s="255" t="e">
        <f>D52</f>
        <v>#REF!</v>
      </c>
      <c r="E37" s="255" t="e">
        <f>E52</f>
        <v>#REF!</v>
      </c>
      <c r="F37" s="287">
        <f>Assumptions!H135</f>
        <v>6160</v>
      </c>
      <c r="G37" s="287">
        <f>Assumptions!H144</f>
        <v>6160</v>
      </c>
      <c r="H37" s="287">
        <f>Assumptions!H153</f>
        <v>6160</v>
      </c>
      <c r="I37" s="287">
        <f>Assumptions!H162</f>
        <v>6160</v>
      </c>
      <c r="J37" s="287">
        <f>Assumptions!H171</f>
        <v>6160</v>
      </c>
      <c r="K37" s="287">
        <f>Assumptions!H180</f>
        <v>6160</v>
      </c>
    </row>
    <row r="38" spans="1:11" s="247" customFormat="1" ht="15.5">
      <c r="A38" s="250" t="s">
        <v>1424</v>
      </c>
      <c r="B38" s="249" t="s">
        <v>2429</v>
      </c>
      <c r="C38" s="254" t="e">
        <f t="shared" ref="C38:E38" si="9">C36/C37</f>
        <v>#REF!</v>
      </c>
      <c r="D38" s="254" t="e">
        <f t="shared" si="9"/>
        <v>#REF!</v>
      </c>
      <c r="E38" s="254" t="e">
        <f t="shared" si="9"/>
        <v>#REF!</v>
      </c>
      <c r="F38" s="254" t="e">
        <f>F31/Assumptions!H136</f>
        <v>#N/A</v>
      </c>
      <c r="G38" s="254">
        <f>G31/Assumptions!H145</f>
        <v>0</v>
      </c>
      <c r="H38" s="254" t="e">
        <f>H31/Assumptions!H154</f>
        <v>#DIV/0!</v>
      </c>
      <c r="I38" s="254" t="e">
        <f>I31/Assumptions!H163</f>
        <v>#DIV/0!</v>
      </c>
      <c r="J38" s="254" t="e">
        <f>J31/Assumptions!H172</f>
        <v>#DIV/0!</v>
      </c>
      <c r="K38" s="3081" t="e">
        <f>K31/Assumptions!H181</f>
        <v>#DIV/0!</v>
      </c>
    </row>
    <row r="39" spans="1:11" s="247" customFormat="1" ht="15.5">
      <c r="B39" s="317" t="s">
        <v>2706</v>
      </c>
      <c r="C39" s="318" t="s">
        <v>2707</v>
      </c>
      <c r="D39" s="373" t="s">
        <v>2818</v>
      </c>
      <c r="E39" s="373" t="s">
        <v>2820</v>
      </c>
      <c r="F39" s="2031" t="s">
        <v>9067</v>
      </c>
      <c r="G39" s="635" t="s">
        <v>10471</v>
      </c>
      <c r="H39" s="635" t="s">
        <v>10472</v>
      </c>
      <c r="I39" s="635" t="s">
        <v>10473</v>
      </c>
      <c r="J39" s="635" t="s">
        <v>10474</v>
      </c>
      <c r="K39" s="635" t="s">
        <v>11085</v>
      </c>
    </row>
    <row r="40" spans="1:11" s="247" customFormat="1" ht="15.5">
      <c r="J40" s="2040"/>
      <c r="K40" s="2040"/>
    </row>
    <row r="41" spans="1:11" s="247" customFormat="1" ht="15.5">
      <c r="B41" s="247" t="s">
        <v>2673</v>
      </c>
      <c r="J41" s="2040"/>
      <c r="K41" s="2040"/>
    </row>
    <row r="42" spans="1:11" s="247" customFormat="1" ht="15.5">
      <c r="B42" s="247" t="s">
        <v>8206</v>
      </c>
      <c r="J42" s="2040"/>
      <c r="K42" s="2040"/>
    </row>
    <row r="43" spans="1:11" s="247" customFormat="1" ht="15.5">
      <c r="B43" s="247" t="s">
        <v>2705</v>
      </c>
      <c r="J43" s="2040"/>
      <c r="K43" s="2040"/>
    </row>
    <row r="44" spans="1:11" s="247" customFormat="1" ht="15.5">
      <c r="B44" s="247" t="s">
        <v>9223</v>
      </c>
      <c r="J44" s="2040"/>
      <c r="K44" s="2040"/>
    </row>
    <row r="45" spans="1:11" s="247" customFormat="1" ht="15.5" hidden="1">
      <c r="B45" s="247" t="s">
        <v>8207</v>
      </c>
      <c r="J45" s="2040"/>
      <c r="K45" s="2040"/>
    </row>
    <row r="46" spans="1:11" s="247" customFormat="1" ht="15.5">
      <c r="J46" s="2040"/>
      <c r="K46" s="2040"/>
    </row>
    <row r="47" spans="1:11" s="247" customFormat="1" ht="15.5">
      <c r="J47" s="2040"/>
      <c r="K47" s="2040"/>
    </row>
    <row r="48" spans="1:11" s="247" customFormat="1" ht="15.5" hidden="1">
      <c r="B48" s="247" t="s">
        <v>2692</v>
      </c>
      <c r="F48" s="364" t="str">
        <f>F20</f>
        <v>2021-22</v>
      </c>
      <c r="J48" s="2040"/>
      <c r="K48" s="2040"/>
    </row>
    <row r="49" spans="1:11" s="247" customFormat="1" ht="15.5" hidden="1">
      <c r="F49" s="1681" t="s">
        <v>1678</v>
      </c>
      <c r="G49" s="364" t="str">
        <f>G20</f>
        <v>2022-23</v>
      </c>
      <c r="H49" s="364" t="str">
        <f>H20</f>
        <v>2023-24</v>
      </c>
      <c r="I49" s="364" t="str">
        <f>I20</f>
        <v>2024-25</v>
      </c>
      <c r="J49" s="364" t="str">
        <f>J20</f>
        <v>2025-26</v>
      </c>
      <c r="K49" s="364" t="str">
        <f>K20</f>
        <v>2026-27</v>
      </c>
    </row>
    <row r="50" spans="1:11" s="247" customFormat="1" ht="15.5" hidden="1">
      <c r="F50" s="1681" t="s">
        <v>1678</v>
      </c>
      <c r="G50" s="1681" t="s">
        <v>1678</v>
      </c>
      <c r="H50" s="1681" t="s">
        <v>1678</v>
      </c>
      <c r="I50" s="1681" t="s">
        <v>1678</v>
      </c>
      <c r="J50" s="1681" t="s">
        <v>1678</v>
      </c>
      <c r="K50" s="1681" t="s">
        <v>1678</v>
      </c>
    </row>
    <row r="51" spans="1:11" s="247" customFormat="1" ht="15.5" hidden="1">
      <c r="A51" s="362" t="s">
        <v>2674</v>
      </c>
      <c r="B51" s="365"/>
      <c r="C51" s="363" t="s">
        <v>158</v>
      </c>
      <c r="D51" s="364" t="s">
        <v>2816</v>
      </c>
      <c r="E51" s="364" t="s">
        <v>2819</v>
      </c>
      <c r="F51" s="1681" t="s">
        <v>1678</v>
      </c>
      <c r="G51" s="1681" t="s">
        <v>1678</v>
      </c>
      <c r="H51" s="1681" t="s">
        <v>1678</v>
      </c>
      <c r="I51" s="1681" t="s">
        <v>1678</v>
      </c>
      <c r="J51" s="1681" t="s">
        <v>1678</v>
      </c>
      <c r="K51" s="1681" t="s">
        <v>1678</v>
      </c>
    </row>
    <row r="52" spans="1:11" s="247" customFormat="1" ht="15.5" hidden="1">
      <c r="A52" s="250" t="s">
        <v>865</v>
      </c>
      <c r="B52" s="251" t="s">
        <v>2284</v>
      </c>
      <c r="C52" s="255" t="e">
        <f>'Calc Data'!#REF!</f>
        <v>#REF!</v>
      </c>
      <c r="D52" s="255" t="e">
        <f>IF(#REF!&lt;=0,'Calc Data'!#REF!,#REF!)</f>
        <v>#REF!</v>
      </c>
      <c r="E52" s="255" t="e">
        <f>#REF!</f>
        <v>#REF!</v>
      </c>
      <c r="F52" s="1681" t="s">
        <v>1678</v>
      </c>
      <c r="G52" s="1681" t="s">
        <v>1678</v>
      </c>
      <c r="H52" s="1681" t="s">
        <v>1678</v>
      </c>
      <c r="I52" s="1681" t="s">
        <v>1678</v>
      </c>
      <c r="J52" s="1681" t="s">
        <v>1678</v>
      </c>
      <c r="K52" s="1681" t="s">
        <v>1678</v>
      </c>
    </row>
    <row r="53" spans="1:11" s="247" customFormat="1" ht="15.5" hidden="1">
      <c r="A53" s="250" t="s">
        <v>866</v>
      </c>
      <c r="B53" s="251" t="s">
        <v>1605</v>
      </c>
      <c r="C53" s="312" t="e">
        <f>'Calc Data'!#REF!</f>
        <v>#REF!</v>
      </c>
      <c r="D53" s="312" t="e">
        <f>IF(#REF!&lt;=0,'Calc Data'!#REF!,'Calc Data'!AA20)</f>
        <v>#REF!</v>
      </c>
      <c r="E53" s="312" t="e">
        <f>'Calc Data'!#REF!</f>
        <v>#REF!</v>
      </c>
      <c r="F53" s="1681" t="s">
        <v>1678</v>
      </c>
      <c r="G53" s="1681" t="s">
        <v>1678</v>
      </c>
      <c r="H53" s="1681" t="s">
        <v>1678</v>
      </c>
      <c r="I53" s="1681" t="s">
        <v>1678</v>
      </c>
      <c r="J53" s="1681" t="s">
        <v>1678</v>
      </c>
      <c r="K53" s="1681" t="s">
        <v>1678</v>
      </c>
    </row>
    <row r="54" spans="1:11" s="247" customFormat="1" ht="15.5" hidden="1">
      <c r="A54" s="250" t="s">
        <v>867</v>
      </c>
      <c r="B54" s="251" t="s">
        <v>2676</v>
      </c>
      <c r="C54" s="251" t="e">
        <f>'Calc Data'!#REF!</f>
        <v>#REF!</v>
      </c>
      <c r="D54" s="251" t="e">
        <f>'Calc Data'!#REF!</f>
        <v>#REF!</v>
      </c>
      <c r="E54" s="251" t="e">
        <f>'Calc Data'!#REF!</f>
        <v>#REF!</v>
      </c>
      <c r="F54" s="1681" t="s">
        <v>1678</v>
      </c>
      <c r="G54" s="1681" t="s">
        <v>1678</v>
      </c>
      <c r="H54" s="1681" t="s">
        <v>1678</v>
      </c>
      <c r="I54" s="1681" t="s">
        <v>1678</v>
      </c>
      <c r="J54" s="1681" t="s">
        <v>1678</v>
      </c>
      <c r="K54" s="1681" t="s">
        <v>1678</v>
      </c>
    </row>
    <row r="55" spans="1:11" s="247" customFormat="1" ht="15.5" hidden="1">
      <c r="A55" s="250" t="s">
        <v>109</v>
      </c>
      <c r="B55" s="251" t="s">
        <v>2677</v>
      </c>
      <c r="C55" s="312" t="e">
        <f>'Calc Data'!#REF!</f>
        <v>#REF!</v>
      </c>
      <c r="D55" s="312" t="e">
        <f>IF(#REF!&lt;=0,'Calc Data'!#REF!,'Calc Data'!AA21)</f>
        <v>#REF!</v>
      </c>
      <c r="E55" s="312" t="e">
        <f>'Calc Data'!#REF!</f>
        <v>#REF!</v>
      </c>
      <c r="G55" s="1681" t="s">
        <v>1678</v>
      </c>
      <c r="H55" s="1681" t="s">
        <v>1678</v>
      </c>
      <c r="I55" s="1681" t="s">
        <v>1678</v>
      </c>
      <c r="J55" s="1681" t="s">
        <v>1678</v>
      </c>
      <c r="K55" s="1681" t="s">
        <v>1678</v>
      </c>
    </row>
    <row r="56" spans="1:11" s="247" customFormat="1" ht="15.5" hidden="1">
      <c r="A56" s="250" t="s">
        <v>110</v>
      </c>
      <c r="B56" s="251" t="s">
        <v>2678</v>
      </c>
      <c r="C56" s="312" t="e">
        <f>'Calc Data'!#REF!</f>
        <v>#REF!</v>
      </c>
      <c r="D56" s="312" t="e">
        <f>IF(#REF!&lt;=0,'Calc Data'!#REF!,'Calc Data'!AA22)</f>
        <v>#REF!</v>
      </c>
      <c r="E56" s="312" t="e">
        <f>'Calc Data'!#REF!</f>
        <v>#REF!</v>
      </c>
      <c r="J56" s="2040"/>
      <c r="K56" s="2040"/>
    </row>
    <row r="57" spans="1:11" s="247" customFormat="1" ht="15.5" hidden="1">
      <c r="A57" s="250" t="s">
        <v>111</v>
      </c>
      <c r="B57" s="249" t="s">
        <v>1606</v>
      </c>
      <c r="C57" s="312" t="e">
        <f>'Calc Data'!#REF!</f>
        <v>#REF!</v>
      </c>
      <c r="D57" s="312" t="e">
        <f>IF(#REF!&lt;=0,'Calc Data'!#REF!,'Calc Data'!AA23)</f>
        <v>#REF!</v>
      </c>
      <c r="E57" s="312" t="e">
        <f>'Calc Data'!#REF!</f>
        <v>#REF!</v>
      </c>
      <c r="J57" s="2040"/>
      <c r="K57" s="2040"/>
    </row>
    <row r="58" spans="1:11" s="247" customFormat="1" ht="15.5" hidden="1">
      <c r="A58" s="259"/>
      <c r="B58" s="317" t="s">
        <v>2706</v>
      </c>
      <c r="C58" s="318" t="s">
        <v>2707</v>
      </c>
      <c r="D58" s="373" t="s">
        <v>2818</v>
      </c>
      <c r="E58" s="373" t="s">
        <v>2820</v>
      </c>
      <c r="J58" s="2040"/>
      <c r="K58" s="2040"/>
    </row>
    <row r="59" spans="1:11" s="247" customFormat="1" ht="15.5" hidden="1">
      <c r="A59" s="259"/>
      <c r="J59" s="2040"/>
      <c r="K59" s="2040"/>
    </row>
    <row r="60" spans="1:11" s="247" customFormat="1" ht="15.5" hidden="1">
      <c r="A60" s="259"/>
      <c r="B60" s="247" t="s">
        <v>8208</v>
      </c>
      <c r="J60" s="2040"/>
      <c r="K60" s="2040"/>
    </row>
    <row r="61" spans="1:11" s="247" customFormat="1" ht="15.5" hidden="1">
      <c r="A61" s="259"/>
      <c r="B61" s="247" t="s">
        <v>7064</v>
      </c>
      <c r="H61"/>
      <c r="I61"/>
      <c r="J61" s="2042"/>
      <c r="K61" s="2042"/>
    </row>
    <row r="62" spans="1:11" s="247" customFormat="1" ht="15.5" hidden="1">
      <c r="B62" s="247" t="s">
        <v>3334</v>
      </c>
      <c r="F62"/>
      <c r="G62"/>
      <c r="H62"/>
      <c r="I62"/>
      <c r="J62" s="2042"/>
      <c r="K62" s="2042"/>
    </row>
    <row r="63" spans="1:11" s="247" customFormat="1" ht="15.5" hidden="1">
      <c r="B63" s="247" t="s">
        <v>7066</v>
      </c>
      <c r="F63"/>
      <c r="G63"/>
      <c r="H63"/>
      <c r="I63"/>
      <c r="J63" s="2042"/>
      <c r="K63" s="2042"/>
    </row>
    <row r="64" spans="1:11" s="247" customFormat="1" ht="15.5" hidden="1">
      <c r="B64" s="247" t="s">
        <v>7065</v>
      </c>
      <c r="F64"/>
      <c r="G64"/>
      <c r="H64"/>
      <c r="I64"/>
      <c r="J64" s="2042"/>
      <c r="K64" s="2042"/>
    </row>
    <row r="65" spans="1:11" s="247" customFormat="1" ht="15.5" hidden="1">
      <c r="B65" s="247" t="s">
        <v>3335</v>
      </c>
      <c r="F65"/>
      <c r="G65"/>
      <c r="H65"/>
      <c r="I65"/>
      <c r="J65" s="2042"/>
      <c r="K65" s="2042"/>
    </row>
    <row r="66" spans="1:11" s="247" customFormat="1" ht="15.5" hidden="1">
      <c r="B66" s="247" t="s">
        <v>2682</v>
      </c>
      <c r="F66"/>
      <c r="G66"/>
      <c r="H66"/>
      <c r="I66"/>
      <c r="J66" s="2042"/>
      <c r="K66" s="2042"/>
    </row>
    <row r="67" spans="1:11" ht="15.5" hidden="1">
      <c r="A67" s="247"/>
      <c r="B67" s="247" t="s">
        <v>2680</v>
      </c>
      <c r="C67" s="247"/>
      <c r="D67" s="247"/>
      <c r="E67" s="247"/>
    </row>
    <row r="68" spans="1:11" ht="15.5" hidden="1">
      <c r="A68" s="247"/>
      <c r="B68" s="247" t="s">
        <v>2681</v>
      </c>
      <c r="C68" s="247"/>
      <c r="D68" s="247"/>
      <c r="E68" s="247"/>
    </row>
    <row r="69" spans="1:11" hidden="1"/>
  </sheetData>
  <hyperlinks>
    <hyperlink ref="C11" location="'Report-SOF1112'!A1" display="Report-SOF1112" xr:uid="{00000000-0004-0000-3E00-000000000000}"/>
    <hyperlink ref="C39" location="'Report-SOF1112'!A1" display="Report-SOF1112" xr:uid="{00000000-0004-0000-3E00-000001000000}"/>
    <hyperlink ref="C58" location="'Report-SOF1112'!A1" display="Report-SOF1112" xr:uid="{00000000-0004-0000-3E00-000002000000}"/>
    <hyperlink ref="D11" location="'Report-SOF1617'!A1" display="'Report-SOF1617'!A1" xr:uid="{00000000-0004-0000-3E00-000003000000}"/>
    <hyperlink ref="D39" location="'Report-SOF1617'!A1" display="'Report-SOF1617'!A1" xr:uid="{00000000-0004-0000-3E00-000004000000}"/>
    <hyperlink ref="D58" location="'Report-SOF1617'!A1" display="'Report-SOF1617'!A1" xr:uid="{00000000-0004-0000-3E00-000005000000}"/>
    <hyperlink ref="E11" location="'Report-SOF1718'!A1" display="'Report-SOF1718'!A1" xr:uid="{00000000-0004-0000-3E00-000006000000}"/>
    <hyperlink ref="E39" location="'Report-SOF1718'!A1" display="'Report-SOF1718'!A1" xr:uid="{00000000-0004-0000-3E00-000007000000}"/>
    <hyperlink ref="E58" location="'Report-SOF1718'!A1" display="'Report-SOF1718'!A1" xr:uid="{00000000-0004-0000-3E00-000008000000}"/>
    <hyperlink ref="F11" location="'Report-SOF2122-HB1525'!A1" display="'Report-SOF2122-HB1525'!A1" xr:uid="{00000000-0004-0000-3E00-000009000000}"/>
    <hyperlink ref="F39" location="'Report-SOF2122-HB1525'!A1" display="'Report-SOF2122-HB1525'!A1" xr:uid="{00000000-0004-0000-3E00-00000A000000}"/>
    <hyperlink ref="G11:J11" location="'Report-SOF2223-SB1'!A1" display="'Report-SOF2223-SB1'!A1" xr:uid="{00000000-0004-0000-3E00-00000B000000}"/>
    <hyperlink ref="H11" location="'Report-SOF2324-SB1'!A1" display="'Report-SOF2324-SB1'!A1" xr:uid="{00000000-0004-0000-3E00-00000C000000}"/>
    <hyperlink ref="I11" location="'Report-SOF2425-SB1'!A1" display="'Report-SOF2425-SB1'!A1" xr:uid="{00000000-0004-0000-3E00-00000D000000}"/>
    <hyperlink ref="J11" location="'Report-SOF2526-SB1'!A1" display="'Report-SOF2526-SB1'!A1" xr:uid="{00000000-0004-0000-3E00-00000E000000}"/>
    <hyperlink ref="G39" location="'Report-SOF2223-SB1'!A1" display="'Report-SOF2223-SB1'!A1" xr:uid="{00000000-0004-0000-3E00-00000F000000}"/>
    <hyperlink ref="H39" location="'Report-SOF2324-SB1'!A1" display="'Report-SOF2324-SB1'!A1" xr:uid="{00000000-0004-0000-3E00-000010000000}"/>
    <hyperlink ref="I39" location="'Report-SOF2425-SB1'!A1" display="'Report-SOF2425-SB1'!A1" xr:uid="{00000000-0004-0000-3E00-000011000000}"/>
    <hyperlink ref="J39" location="'Report-SOF2526-SB1'!A1" display="'Report-SOF2526-SB1'!A1" xr:uid="{00000000-0004-0000-3E00-000012000000}"/>
    <hyperlink ref="K11" location="'Report-SOF2627-SB1'!A1" display="'Report-SOF2627-SB1'!A1" xr:uid="{00000000-0004-0000-3E00-000013000000}"/>
    <hyperlink ref="K39" location="'Report-SOF2627-SB1'!A1" display="'Report-SOF2627-SB1'!A1" xr:uid="{00000000-0004-0000-3E00-000014000000}"/>
  </hyperlinks>
  <pageMargins left="0.45" right="0.45" top="0.5" bottom="0.5" header="0.3" footer="0.3"/>
  <pageSetup scale="7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66FF33"/>
  </sheetPr>
  <dimension ref="A1:E27"/>
  <sheetViews>
    <sheetView workbookViewId="0">
      <selection activeCell="E1" sqref="E1"/>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784" t="str">
        <f>'Data Entry - SOF'!M1</f>
        <v>Release 2</v>
      </c>
    </row>
    <row r="2" spans="1:5" ht="13">
      <c r="A2" s="245" t="s">
        <v>2717</v>
      </c>
      <c r="B2" s="245"/>
      <c r="E2" s="1785">
        <f>'Data Entry - SOF'!M2</f>
        <v>44930</v>
      </c>
    </row>
    <row r="3" spans="1:5" ht="13">
      <c r="A3" s="52"/>
      <c r="B3" s="52"/>
      <c r="E3" s="47"/>
    </row>
    <row r="4" spans="1:5" ht="15.5">
      <c r="A4" s="246" t="s">
        <v>8293</v>
      </c>
      <c r="B4" s="246"/>
    </row>
    <row r="5" spans="1:5" ht="15.5">
      <c r="A5" s="248" t="str">
        <f>'Data Entry - SOF'!B1</f>
        <v xml:space="preserve"> </v>
      </c>
      <c r="B5" s="248"/>
    </row>
    <row r="6" spans="1:5" ht="15.5">
      <c r="A6" s="246">
        <f>'Data Entry - SOF'!B2</f>
        <v>0</v>
      </c>
      <c r="B6" s="246"/>
    </row>
    <row r="8" spans="1:5" ht="18">
      <c r="A8" s="1798"/>
      <c r="B8" s="1799"/>
      <c r="C8" s="1800"/>
      <c r="D8" s="1794" t="s">
        <v>2624</v>
      </c>
      <c r="E8" s="1794" t="s">
        <v>2625</v>
      </c>
    </row>
    <row r="9" spans="1:5" ht="18">
      <c r="A9" s="1801"/>
      <c r="B9" s="1776" t="s">
        <v>2623</v>
      </c>
      <c r="C9" s="1802" t="s">
        <v>2609</v>
      </c>
      <c r="D9" s="1796" t="s">
        <v>2610</v>
      </c>
      <c r="E9" s="1796" t="s">
        <v>2624</v>
      </c>
    </row>
    <row r="10" spans="1:5" ht="15.5">
      <c r="A10" s="250" t="s">
        <v>2063</v>
      </c>
      <c r="B10" s="251" t="s">
        <v>2611</v>
      </c>
      <c r="C10" s="265">
        <f>'Weights-HB3'!I7</f>
        <v>5</v>
      </c>
      <c r="D10" s="252">
        <f>'Data Entry - SOF'!C22</f>
        <v>0</v>
      </c>
      <c r="E10" s="256">
        <f>D10*C10</f>
        <v>0</v>
      </c>
    </row>
    <row r="11" spans="1:5" ht="15.5">
      <c r="A11" s="250" t="s">
        <v>2064</v>
      </c>
      <c r="B11" s="251" t="s">
        <v>2612</v>
      </c>
      <c r="C11" s="265">
        <f>'Weights-HB3'!I8</f>
        <v>3</v>
      </c>
      <c r="D11" s="252">
        <f>'Data Entry - SOF'!C23</f>
        <v>0</v>
      </c>
      <c r="E11" s="256">
        <f t="shared" ref="E11:E19" si="0">D11*C11</f>
        <v>0</v>
      </c>
    </row>
    <row r="12" spans="1:5" ht="15.5">
      <c r="A12" s="250" t="s">
        <v>2065</v>
      </c>
      <c r="B12" s="251" t="s">
        <v>2613</v>
      </c>
      <c r="C12" s="265">
        <f>'Weights-HB3'!I9</f>
        <v>5</v>
      </c>
      <c r="D12" s="252">
        <f>'Data Entry - SOF'!C24</f>
        <v>0</v>
      </c>
      <c r="E12" s="256">
        <f t="shared" si="0"/>
        <v>0</v>
      </c>
    </row>
    <row r="13" spans="1:5" ht="15.5">
      <c r="A13" s="250" t="s">
        <v>862</v>
      </c>
      <c r="B13" s="251" t="s">
        <v>2614</v>
      </c>
      <c r="C13" s="265">
        <f>'Weights-HB3'!I10</f>
        <v>3</v>
      </c>
      <c r="D13" s="252">
        <f>'Data Entry - SOF'!C25</f>
        <v>0</v>
      </c>
      <c r="E13" s="256">
        <f t="shared" si="0"/>
        <v>0</v>
      </c>
    </row>
    <row r="14" spans="1:5" ht="15.5">
      <c r="A14" s="280"/>
      <c r="B14" s="266" t="s">
        <v>2615</v>
      </c>
      <c r="C14" s="262"/>
      <c r="D14" s="267"/>
      <c r="E14" s="270"/>
    </row>
    <row r="15" spans="1:5" ht="15.5">
      <c r="A15" s="355" t="s">
        <v>863</v>
      </c>
      <c r="B15" s="268" t="s">
        <v>2616</v>
      </c>
      <c r="C15" s="263">
        <f>'Weights-HB3'!I11</f>
        <v>3</v>
      </c>
      <c r="D15" s="269">
        <f>'Data Entry - SOF'!C26</f>
        <v>0</v>
      </c>
      <c r="E15" s="269">
        <f t="shared" si="0"/>
        <v>0</v>
      </c>
    </row>
    <row r="16" spans="1:5" ht="15.5">
      <c r="A16" s="250" t="s">
        <v>865</v>
      </c>
      <c r="B16" s="251" t="s">
        <v>2617</v>
      </c>
      <c r="C16" s="265">
        <f>'Weights-HB3'!I12</f>
        <v>2.7</v>
      </c>
      <c r="D16" s="256">
        <f>'Data Entry - SOF'!C27</f>
        <v>0</v>
      </c>
      <c r="E16" s="256">
        <f t="shared" si="0"/>
        <v>0</v>
      </c>
    </row>
    <row r="17" spans="1:5" ht="15.5">
      <c r="A17" s="250" t="s">
        <v>866</v>
      </c>
      <c r="B17" s="251" t="s">
        <v>2618</v>
      </c>
      <c r="C17" s="265">
        <f>'Weights-HB3'!I13</f>
        <v>2.2999999999999998</v>
      </c>
      <c r="D17" s="256">
        <f>'Data Entry - SOF'!C28</f>
        <v>0</v>
      </c>
      <c r="E17" s="256">
        <f t="shared" si="0"/>
        <v>0</v>
      </c>
    </row>
    <row r="18" spans="1:5" ht="15.5">
      <c r="A18" s="250" t="s">
        <v>867</v>
      </c>
      <c r="B18" s="251" t="s">
        <v>2619</v>
      </c>
      <c r="C18" s="265">
        <f>'Weights-HB3'!I14</f>
        <v>2.8</v>
      </c>
      <c r="D18" s="256">
        <f>'Data Entry - SOF'!C29</f>
        <v>0</v>
      </c>
      <c r="E18" s="256">
        <f t="shared" si="0"/>
        <v>0</v>
      </c>
    </row>
    <row r="19" spans="1:5" ht="15.5">
      <c r="A19" s="250" t="s">
        <v>109</v>
      </c>
      <c r="B19" s="251" t="s">
        <v>2620</v>
      </c>
      <c r="C19" s="265">
        <f>'Weights-HB3'!I16</f>
        <v>4</v>
      </c>
      <c r="D19" s="256">
        <f>'Data Entry - SOF'!C31</f>
        <v>0</v>
      </c>
      <c r="E19" s="256">
        <f t="shared" si="0"/>
        <v>0</v>
      </c>
    </row>
    <row r="20" spans="1:5" ht="15.5">
      <c r="A20" s="250" t="s">
        <v>110</v>
      </c>
      <c r="B20" s="251" t="s">
        <v>2626</v>
      </c>
      <c r="C20" s="265" t="s">
        <v>1678</v>
      </c>
      <c r="D20" s="256">
        <f>'Calc Data'!D8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'Weights-HB3'!I15</f>
        <v>1.7</v>
      </c>
      <c r="D22" s="256">
        <f>'Data Entry - SOF'!C30</f>
        <v>0</v>
      </c>
      <c r="E22" s="265" t="s">
        <v>1678</v>
      </c>
    </row>
    <row r="23" spans="1:5" ht="15.5">
      <c r="A23" s="250" t="s">
        <v>1424</v>
      </c>
      <c r="B23" s="251" t="s">
        <v>504</v>
      </c>
      <c r="C23" s="1674">
        <f>'Weights-HB3'!I18</f>
        <v>1.1499999999999999</v>
      </c>
      <c r="D23" s="256">
        <f>'Data Entry - SOF'!C32</f>
        <v>0</v>
      </c>
      <c r="E23" s="265" t="s">
        <v>1678</v>
      </c>
    </row>
    <row r="24" spans="1:5" s="247" customFormat="1" ht="15.5">
      <c r="C24" s="320" t="s">
        <v>2708</v>
      </c>
      <c r="D24" s="635" t="s">
        <v>9067</v>
      </c>
    </row>
    <row r="25" spans="1:5" s="247" customFormat="1" ht="15.5">
      <c r="C25" s="319"/>
      <c r="D25"/>
    </row>
    <row r="27" spans="1:5" ht="15.5">
      <c r="A27" s="271" t="s">
        <v>2791</v>
      </c>
    </row>
  </sheetData>
  <hyperlinks>
    <hyperlink ref="D24" location="'Report-SOF2122-HB1525'!A1" display="'Report-SOF2122-HB1525'!A1" xr:uid="{00000000-0004-0000-3F00-000000000000}"/>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66FF66"/>
  </sheetPr>
  <dimension ref="A1:E27"/>
  <sheetViews>
    <sheetView workbookViewId="0">
      <selection activeCell="E1" sqref="E1"/>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784" t="str">
        <f>'SpEdDetail2122-HB3'!E1</f>
        <v>Release 2</v>
      </c>
    </row>
    <row r="2" spans="1:5" ht="13">
      <c r="A2" s="245" t="s">
        <v>2717</v>
      </c>
      <c r="B2" s="245"/>
      <c r="E2" s="1785">
        <f>'SpEdDetail2122-HB3'!E2</f>
        <v>44930</v>
      </c>
    </row>
    <row r="3" spans="1:5" ht="13">
      <c r="A3" s="52"/>
      <c r="B3" s="52"/>
      <c r="E3" s="47"/>
    </row>
    <row r="4" spans="1:5" ht="15.5">
      <c r="A4" s="246" t="s">
        <v>8299</v>
      </c>
      <c r="B4" s="246"/>
    </row>
    <row r="5" spans="1:5" ht="15.5">
      <c r="A5" s="248" t="str">
        <f>'Data Entry - SOF'!B1</f>
        <v xml:space="preserve"> </v>
      </c>
      <c r="B5" s="248"/>
    </row>
    <row r="6" spans="1:5" ht="15.5">
      <c r="A6" s="246">
        <f>'Data Entry - SOF'!B2</f>
        <v>0</v>
      </c>
      <c r="B6" s="246"/>
    </row>
    <row r="8" spans="1:5" ht="18">
      <c r="A8" s="1798"/>
      <c r="B8" s="1799"/>
      <c r="C8" s="1800"/>
      <c r="D8" s="1794" t="s">
        <v>2624</v>
      </c>
      <c r="E8" s="1794" t="s">
        <v>2625</v>
      </c>
    </row>
    <row r="9" spans="1:5" ht="18">
      <c r="A9" s="1801"/>
      <c r="B9" s="1776" t="s">
        <v>2623</v>
      </c>
      <c r="C9" s="1802" t="s">
        <v>2609</v>
      </c>
      <c r="D9" s="1796" t="s">
        <v>2610</v>
      </c>
      <c r="E9" s="1796" t="s">
        <v>2624</v>
      </c>
    </row>
    <row r="10" spans="1:5" ht="15.5">
      <c r="A10" s="250" t="s">
        <v>2063</v>
      </c>
      <c r="B10" s="251" t="s">
        <v>2611</v>
      </c>
      <c r="C10" s="265">
        <f>'Weights-HB3'!J7</f>
        <v>5</v>
      </c>
      <c r="D10" s="252">
        <f>'Data Entry - SOF'!E22</f>
        <v>0</v>
      </c>
      <c r="E10" s="256">
        <f>D10*C10</f>
        <v>0</v>
      </c>
    </row>
    <row r="11" spans="1:5" ht="15.5">
      <c r="A11" s="250" t="s">
        <v>2064</v>
      </c>
      <c r="B11" s="251" t="s">
        <v>2612</v>
      </c>
      <c r="C11" s="265">
        <f>'Weights-HB3'!J8</f>
        <v>3</v>
      </c>
      <c r="D11" s="252">
        <f>'Data Entry - SOF'!E23</f>
        <v>0</v>
      </c>
      <c r="E11" s="256">
        <f t="shared" ref="E11:E19" si="0">D11*C11</f>
        <v>0</v>
      </c>
    </row>
    <row r="12" spans="1:5" ht="15.5">
      <c r="A12" s="250" t="s">
        <v>2065</v>
      </c>
      <c r="B12" s="251" t="s">
        <v>2613</v>
      </c>
      <c r="C12" s="265">
        <f>'Weights-HB3'!J9</f>
        <v>5</v>
      </c>
      <c r="D12" s="252">
        <f>'Data Entry - SOF'!E24</f>
        <v>0</v>
      </c>
      <c r="E12" s="256">
        <f t="shared" si="0"/>
        <v>0</v>
      </c>
    </row>
    <row r="13" spans="1:5" ht="15.5">
      <c r="A13" s="250" t="s">
        <v>862</v>
      </c>
      <c r="B13" s="251" t="s">
        <v>2614</v>
      </c>
      <c r="C13" s="265">
        <f>'Weights-HB3'!J10</f>
        <v>3</v>
      </c>
      <c r="D13" s="252">
        <f>'Data Entry - SOF'!E25</f>
        <v>0</v>
      </c>
      <c r="E13" s="256">
        <f t="shared" si="0"/>
        <v>0</v>
      </c>
    </row>
    <row r="14" spans="1:5" ht="15.5">
      <c r="A14" s="280"/>
      <c r="B14" s="266" t="s">
        <v>2615</v>
      </c>
      <c r="C14" s="262"/>
      <c r="D14" s="267"/>
      <c r="E14" s="270"/>
    </row>
    <row r="15" spans="1:5" ht="15.5">
      <c r="A15" s="355" t="s">
        <v>863</v>
      </c>
      <c r="B15" s="268" t="s">
        <v>2616</v>
      </c>
      <c r="C15" s="263">
        <f>'Weights-HB3'!J11</f>
        <v>3</v>
      </c>
      <c r="D15" s="269">
        <f>'Data Entry - SOF'!E26</f>
        <v>0</v>
      </c>
      <c r="E15" s="269">
        <f t="shared" si="0"/>
        <v>0</v>
      </c>
    </row>
    <row r="16" spans="1:5" ht="15.5">
      <c r="A16" s="250" t="s">
        <v>865</v>
      </c>
      <c r="B16" s="251" t="s">
        <v>2617</v>
      </c>
      <c r="C16" s="265">
        <f>'Weights-HB3'!J12</f>
        <v>2.7</v>
      </c>
      <c r="D16" s="256">
        <f>'Data Entry - SOF'!E27</f>
        <v>0</v>
      </c>
      <c r="E16" s="256">
        <f t="shared" si="0"/>
        <v>0</v>
      </c>
    </row>
    <row r="17" spans="1:5" ht="15.5">
      <c r="A17" s="250" t="s">
        <v>866</v>
      </c>
      <c r="B17" s="251" t="s">
        <v>2618</v>
      </c>
      <c r="C17" s="265">
        <f>'Weights-HB3'!J13</f>
        <v>2.2999999999999998</v>
      </c>
      <c r="D17" s="256">
        <f>'Data Entry - SOF'!E28</f>
        <v>0</v>
      </c>
      <c r="E17" s="256">
        <f t="shared" si="0"/>
        <v>0</v>
      </c>
    </row>
    <row r="18" spans="1:5" ht="15.5">
      <c r="A18" s="250" t="s">
        <v>867</v>
      </c>
      <c r="B18" s="251" t="s">
        <v>2619</v>
      </c>
      <c r="C18" s="265">
        <f>'Weights-HB3'!J14</f>
        <v>2.8</v>
      </c>
      <c r="D18" s="256">
        <f>'Data Entry - SOF'!E29</f>
        <v>0</v>
      </c>
      <c r="E18" s="256">
        <f t="shared" si="0"/>
        <v>0</v>
      </c>
    </row>
    <row r="19" spans="1:5" ht="15.5">
      <c r="A19" s="250" t="s">
        <v>109</v>
      </c>
      <c r="B19" s="251" t="s">
        <v>2620</v>
      </c>
      <c r="C19" s="265">
        <f>'Weights-HB3'!J16</f>
        <v>4</v>
      </c>
      <c r="D19" s="256">
        <f>'Data Entry - SOF'!E31</f>
        <v>0</v>
      </c>
      <c r="E19" s="256">
        <f t="shared" si="0"/>
        <v>0</v>
      </c>
    </row>
    <row r="20" spans="1:5" ht="15.5">
      <c r="A20" s="250" t="s">
        <v>110</v>
      </c>
      <c r="B20" s="251" t="s">
        <v>2626</v>
      </c>
      <c r="C20" s="265" t="s">
        <v>1678</v>
      </c>
      <c r="D20" s="256">
        <f>'Calc Data'!E8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'Weights-HB3'!J15</f>
        <v>1.7</v>
      </c>
      <c r="D22" s="256">
        <f>'Data Entry - SOF'!E30</f>
        <v>0</v>
      </c>
      <c r="E22" s="265" t="s">
        <v>1678</v>
      </c>
    </row>
    <row r="23" spans="1:5" ht="15.5">
      <c r="A23" s="250" t="s">
        <v>1424</v>
      </c>
      <c r="B23" s="251" t="s">
        <v>504</v>
      </c>
      <c r="C23" s="1674">
        <f>'Weights-HB3'!J18</f>
        <v>1.1499999999999999</v>
      </c>
      <c r="D23" s="256">
        <f>'Data Entry - SOF'!E32</f>
        <v>0</v>
      </c>
      <c r="E23" s="265" t="s">
        <v>1678</v>
      </c>
    </row>
    <row r="24" spans="1:5" s="247" customFormat="1" ht="15.5">
      <c r="C24" s="320" t="s">
        <v>2708</v>
      </c>
      <c r="D24" s="635" t="s">
        <v>10471</v>
      </c>
    </row>
    <row r="25" spans="1:5" s="247" customFormat="1" ht="15.5">
      <c r="C25" s="319"/>
      <c r="D25"/>
    </row>
    <row r="27" spans="1:5" ht="15.5">
      <c r="A27" s="271" t="s">
        <v>2791</v>
      </c>
    </row>
  </sheetData>
  <hyperlinks>
    <hyperlink ref="D24" location="'Report-SOF2223-SB1'!A1" display="'Report-SOF2223-SB1'!A1" xr:uid="{00000000-0004-0000-40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66FF33"/>
  </sheetPr>
  <dimension ref="A1:E27"/>
  <sheetViews>
    <sheetView workbookViewId="0">
      <selection activeCell="D24" sqref="D24"/>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784" t="str">
        <f>'SpEdDetail2223-HB3'!E1</f>
        <v>Release 2</v>
      </c>
    </row>
    <row r="2" spans="1:5" ht="13">
      <c r="A2" s="245" t="s">
        <v>2717</v>
      </c>
      <c r="B2" s="245"/>
      <c r="E2" s="1785">
        <f>'SpEdDetail2223-HB3'!E2</f>
        <v>44930</v>
      </c>
    </row>
    <row r="3" spans="1:5" ht="13">
      <c r="A3" s="52"/>
      <c r="B3" s="52"/>
      <c r="E3" s="47"/>
    </row>
    <row r="4" spans="1:5" ht="15.5">
      <c r="A4" s="246" t="s">
        <v>8304</v>
      </c>
      <c r="B4" s="246"/>
    </row>
    <row r="5" spans="1:5" ht="15.5">
      <c r="A5" s="248" t="str">
        <f>'Data Entry - SOF'!B1</f>
        <v xml:space="preserve"> </v>
      </c>
      <c r="B5" s="248"/>
    </row>
    <row r="6" spans="1:5" ht="15.5">
      <c r="A6" s="246">
        <f>'Data Entry - SOF'!B2</f>
        <v>0</v>
      </c>
      <c r="B6" s="246"/>
    </row>
    <row r="8" spans="1:5" ht="18">
      <c r="A8" s="1798"/>
      <c r="B8" s="1799"/>
      <c r="C8" s="1800"/>
      <c r="D8" s="1794" t="s">
        <v>2624</v>
      </c>
      <c r="E8" s="1794" t="s">
        <v>2625</v>
      </c>
    </row>
    <row r="9" spans="1:5" ht="18">
      <c r="A9" s="1801"/>
      <c r="B9" s="1776" t="s">
        <v>2623</v>
      </c>
      <c r="C9" s="1802" t="s">
        <v>2609</v>
      </c>
      <c r="D9" s="1796" t="s">
        <v>2610</v>
      </c>
      <c r="E9" s="1796" t="s">
        <v>2624</v>
      </c>
    </row>
    <row r="10" spans="1:5" ht="15.5">
      <c r="A10" s="250" t="s">
        <v>2063</v>
      </c>
      <c r="B10" s="251" t="s">
        <v>2611</v>
      </c>
      <c r="C10" s="265">
        <f>'Weights-HB3'!K7</f>
        <v>5</v>
      </c>
      <c r="D10" s="252">
        <f>'Data Entry - SOF'!G22</f>
        <v>0</v>
      </c>
      <c r="E10" s="256">
        <f>D10*C10</f>
        <v>0</v>
      </c>
    </row>
    <row r="11" spans="1:5" ht="15.5">
      <c r="A11" s="250" t="s">
        <v>2064</v>
      </c>
      <c r="B11" s="251" t="s">
        <v>2612</v>
      </c>
      <c r="C11" s="265">
        <f>'Weights-HB3'!K8</f>
        <v>3</v>
      </c>
      <c r="D11" s="252">
        <f>'Data Entry - SOF'!G23</f>
        <v>0</v>
      </c>
      <c r="E11" s="256">
        <f t="shared" ref="E11:E19" si="0">D11*C11</f>
        <v>0</v>
      </c>
    </row>
    <row r="12" spans="1:5" ht="15.5">
      <c r="A12" s="250" t="s">
        <v>2065</v>
      </c>
      <c r="B12" s="251" t="s">
        <v>2613</v>
      </c>
      <c r="C12" s="265">
        <f>'Weights-HB3'!K9</f>
        <v>5</v>
      </c>
      <c r="D12" s="252">
        <f>'Data Entry - SOF'!G24</f>
        <v>0</v>
      </c>
      <c r="E12" s="256">
        <f t="shared" si="0"/>
        <v>0</v>
      </c>
    </row>
    <row r="13" spans="1:5" ht="15.5">
      <c r="A13" s="250" t="s">
        <v>862</v>
      </c>
      <c r="B13" s="251" t="s">
        <v>2614</v>
      </c>
      <c r="C13" s="265">
        <f>'Weights-HB3'!K10</f>
        <v>3</v>
      </c>
      <c r="D13" s="252">
        <f>'Data Entry - SOF'!G25</f>
        <v>0</v>
      </c>
      <c r="E13" s="256">
        <f t="shared" si="0"/>
        <v>0</v>
      </c>
    </row>
    <row r="14" spans="1:5" ht="15.5">
      <c r="A14" s="280"/>
      <c r="B14" s="266" t="s">
        <v>2615</v>
      </c>
      <c r="C14" s="262"/>
      <c r="D14" s="267"/>
      <c r="E14" s="270"/>
    </row>
    <row r="15" spans="1:5" ht="15.5">
      <c r="A15" s="355" t="s">
        <v>863</v>
      </c>
      <c r="B15" s="268" t="s">
        <v>2616</v>
      </c>
      <c r="C15" s="263">
        <f>'Weights-HB3'!K11</f>
        <v>3</v>
      </c>
      <c r="D15" s="269">
        <f>'Data Entry - SOF'!G26</f>
        <v>0</v>
      </c>
      <c r="E15" s="269">
        <f t="shared" si="0"/>
        <v>0</v>
      </c>
    </row>
    <row r="16" spans="1:5" ht="15.5">
      <c r="A16" s="250" t="s">
        <v>865</v>
      </c>
      <c r="B16" s="251" t="s">
        <v>2617</v>
      </c>
      <c r="C16" s="265">
        <f>'Weights-HB3'!K12</f>
        <v>2.7</v>
      </c>
      <c r="D16" s="256">
        <f>'Data Entry - SOF'!G27</f>
        <v>0</v>
      </c>
      <c r="E16" s="256">
        <f t="shared" si="0"/>
        <v>0</v>
      </c>
    </row>
    <row r="17" spans="1:5" ht="15.5">
      <c r="A17" s="250" t="s">
        <v>866</v>
      </c>
      <c r="B17" s="251" t="s">
        <v>2618</v>
      </c>
      <c r="C17" s="265">
        <f>'Weights-HB3'!K13</f>
        <v>2.2999999999999998</v>
      </c>
      <c r="D17" s="256">
        <f>'Data Entry - SOF'!G28</f>
        <v>0</v>
      </c>
      <c r="E17" s="256">
        <f t="shared" si="0"/>
        <v>0</v>
      </c>
    </row>
    <row r="18" spans="1:5" ht="15.5">
      <c r="A18" s="250" t="s">
        <v>867</v>
      </c>
      <c r="B18" s="251" t="s">
        <v>2619</v>
      </c>
      <c r="C18" s="265">
        <f>'Weights-HB3'!K14</f>
        <v>2.8</v>
      </c>
      <c r="D18" s="256">
        <f>'Data Entry - SOF'!G29</f>
        <v>0</v>
      </c>
      <c r="E18" s="256">
        <f t="shared" si="0"/>
        <v>0</v>
      </c>
    </row>
    <row r="19" spans="1:5" ht="15.5">
      <c r="A19" s="250" t="s">
        <v>109</v>
      </c>
      <c r="B19" s="251" t="s">
        <v>2620</v>
      </c>
      <c r="C19" s="265">
        <f>'Weights-HB3'!K16</f>
        <v>4</v>
      </c>
      <c r="D19" s="256">
        <f>'Data Entry - SOF'!G31</f>
        <v>0</v>
      </c>
      <c r="E19" s="256">
        <f t="shared" si="0"/>
        <v>0</v>
      </c>
    </row>
    <row r="20" spans="1:5" ht="15.5">
      <c r="A20" s="250" t="s">
        <v>110</v>
      </c>
      <c r="B20" s="251" t="s">
        <v>2626</v>
      </c>
      <c r="C20" s="265" t="s">
        <v>1678</v>
      </c>
      <c r="D20" s="256">
        <f>'Calc Data'!F8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'Weights-HB3'!K15</f>
        <v>1.7</v>
      </c>
      <c r="D22" s="256">
        <f>'Data Entry - SOF'!G30</f>
        <v>0</v>
      </c>
      <c r="E22" s="265" t="s">
        <v>1678</v>
      </c>
    </row>
    <row r="23" spans="1:5" ht="15.5">
      <c r="A23" s="250" t="s">
        <v>1424</v>
      </c>
      <c r="B23" s="251" t="s">
        <v>504</v>
      </c>
      <c r="C23" s="1674">
        <f>'Weights-HB3'!K18</f>
        <v>1.1499999999999999</v>
      </c>
      <c r="D23" s="256">
        <f>'Data Entry - SOF'!G32</f>
        <v>0</v>
      </c>
      <c r="E23" s="265" t="s">
        <v>1678</v>
      </c>
    </row>
    <row r="24" spans="1:5" s="247" customFormat="1" ht="15.5">
      <c r="C24" s="320" t="s">
        <v>2708</v>
      </c>
      <c r="D24" s="635" t="s">
        <v>10472</v>
      </c>
    </row>
    <row r="25" spans="1:5" s="247" customFormat="1" ht="15.5">
      <c r="C25" s="319"/>
      <c r="D25"/>
    </row>
    <row r="27" spans="1:5" ht="15.5">
      <c r="A27" s="271" t="s">
        <v>2791</v>
      </c>
    </row>
  </sheetData>
  <hyperlinks>
    <hyperlink ref="D24" location="'Report-SOF2324-SB1'!A1" display="'Report-SOF2324-SB1'!A1"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66FF33"/>
  </sheetPr>
  <dimension ref="A1:E27"/>
  <sheetViews>
    <sheetView workbookViewId="0">
      <selection activeCell="E1" sqref="E1"/>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784" t="str">
        <f>'SpEdDetail2324-HB3'!E1</f>
        <v>Release 2</v>
      </c>
    </row>
    <row r="2" spans="1:5" ht="13">
      <c r="A2" s="245" t="s">
        <v>2717</v>
      </c>
      <c r="B2" s="245"/>
      <c r="E2" s="1785">
        <f>'SpEdDetail2324-HB3'!E2</f>
        <v>44930</v>
      </c>
    </row>
    <row r="3" spans="1:5" ht="13">
      <c r="A3" s="52"/>
      <c r="B3" s="52"/>
      <c r="E3" s="47"/>
    </row>
    <row r="4" spans="1:5" ht="15.5">
      <c r="A4" s="246" t="s">
        <v>8526</v>
      </c>
      <c r="B4" s="246"/>
    </row>
    <row r="5" spans="1:5" ht="15.5">
      <c r="A5" s="248" t="str">
        <f>'Data Entry - SOF'!B1</f>
        <v xml:space="preserve"> </v>
      </c>
      <c r="B5" s="248"/>
    </row>
    <row r="6" spans="1:5" ht="15.5">
      <c r="A6" s="246">
        <f>'Data Entry - SOF'!B2</f>
        <v>0</v>
      </c>
      <c r="B6" s="246"/>
    </row>
    <row r="8" spans="1:5" ht="18">
      <c r="A8" s="1798"/>
      <c r="B8" s="1799"/>
      <c r="C8" s="1800"/>
      <c r="D8" s="1794" t="s">
        <v>2624</v>
      </c>
      <c r="E8" s="1794" t="s">
        <v>2625</v>
      </c>
    </row>
    <row r="9" spans="1:5" ht="18">
      <c r="A9" s="1801"/>
      <c r="B9" s="1776" t="s">
        <v>2623</v>
      </c>
      <c r="C9" s="1802" t="s">
        <v>2609</v>
      </c>
      <c r="D9" s="1796" t="s">
        <v>2610</v>
      </c>
      <c r="E9" s="1796" t="s">
        <v>2624</v>
      </c>
    </row>
    <row r="10" spans="1:5" ht="15.5">
      <c r="A10" s="250" t="s">
        <v>2063</v>
      </c>
      <c r="B10" s="251" t="s">
        <v>2611</v>
      </c>
      <c r="C10" s="265">
        <f>'Weights-HB3'!L7</f>
        <v>5</v>
      </c>
      <c r="D10" s="252">
        <f>'Data Entry - SOF'!I22</f>
        <v>0</v>
      </c>
      <c r="E10" s="256">
        <f>D10*C10</f>
        <v>0</v>
      </c>
    </row>
    <row r="11" spans="1:5" ht="15.5">
      <c r="A11" s="250" t="s">
        <v>2064</v>
      </c>
      <c r="B11" s="251" t="s">
        <v>2612</v>
      </c>
      <c r="C11" s="265">
        <f>'Weights-HB3'!L8</f>
        <v>3</v>
      </c>
      <c r="D11" s="252">
        <f>'Data Entry - SOF'!I23</f>
        <v>0</v>
      </c>
      <c r="E11" s="256">
        <f t="shared" ref="E11:E19" si="0">D11*C11</f>
        <v>0</v>
      </c>
    </row>
    <row r="12" spans="1:5" ht="15.5">
      <c r="A12" s="250" t="s">
        <v>2065</v>
      </c>
      <c r="B12" s="251" t="s">
        <v>2613</v>
      </c>
      <c r="C12" s="265">
        <f>'Weights-HB3'!L9</f>
        <v>5</v>
      </c>
      <c r="D12" s="252">
        <f>'Data Entry - SOF'!I24</f>
        <v>0</v>
      </c>
      <c r="E12" s="256">
        <f t="shared" si="0"/>
        <v>0</v>
      </c>
    </row>
    <row r="13" spans="1:5" ht="15.5">
      <c r="A13" s="250" t="s">
        <v>862</v>
      </c>
      <c r="B13" s="251" t="s">
        <v>2614</v>
      </c>
      <c r="C13" s="265">
        <f>'Weights-HB3'!L10</f>
        <v>3</v>
      </c>
      <c r="D13" s="252">
        <f>'Data Entry - SOF'!I25</f>
        <v>0</v>
      </c>
      <c r="E13" s="256">
        <f t="shared" si="0"/>
        <v>0</v>
      </c>
    </row>
    <row r="14" spans="1:5" ht="15.5">
      <c r="A14" s="280"/>
      <c r="B14" s="266" t="s">
        <v>2615</v>
      </c>
      <c r="C14" s="262"/>
      <c r="D14" s="267"/>
      <c r="E14" s="270"/>
    </row>
    <row r="15" spans="1:5" ht="15.5">
      <c r="A15" s="355" t="s">
        <v>863</v>
      </c>
      <c r="B15" s="268" t="s">
        <v>2616</v>
      </c>
      <c r="C15" s="263">
        <f>'Weights-HB3'!L11</f>
        <v>3</v>
      </c>
      <c r="D15" s="269">
        <f>'Data Entry - SOF'!I26</f>
        <v>0</v>
      </c>
      <c r="E15" s="269">
        <f t="shared" si="0"/>
        <v>0</v>
      </c>
    </row>
    <row r="16" spans="1:5" ht="15.5">
      <c r="A16" s="250" t="s">
        <v>865</v>
      </c>
      <c r="B16" s="251" t="s">
        <v>2617</v>
      </c>
      <c r="C16" s="265">
        <f>'Weights-HB3'!L12</f>
        <v>2.7</v>
      </c>
      <c r="D16" s="256">
        <f>'Data Entry - SOF'!I27</f>
        <v>0</v>
      </c>
      <c r="E16" s="256">
        <f t="shared" si="0"/>
        <v>0</v>
      </c>
    </row>
    <row r="17" spans="1:5" ht="15.5">
      <c r="A17" s="250" t="s">
        <v>866</v>
      </c>
      <c r="B17" s="251" t="s">
        <v>2618</v>
      </c>
      <c r="C17" s="265">
        <f>'Weights-HB3'!L13</f>
        <v>2.2999999999999998</v>
      </c>
      <c r="D17" s="256">
        <f>'Data Entry - SOF'!I28</f>
        <v>0</v>
      </c>
      <c r="E17" s="256">
        <f t="shared" si="0"/>
        <v>0</v>
      </c>
    </row>
    <row r="18" spans="1:5" ht="15.5">
      <c r="A18" s="250" t="s">
        <v>867</v>
      </c>
      <c r="B18" s="251" t="s">
        <v>2619</v>
      </c>
      <c r="C18" s="265">
        <f>'Weights-HB3'!L14</f>
        <v>2.8</v>
      </c>
      <c r="D18" s="256">
        <f>'Data Entry - SOF'!I29</f>
        <v>0</v>
      </c>
      <c r="E18" s="256">
        <f t="shared" si="0"/>
        <v>0</v>
      </c>
    </row>
    <row r="19" spans="1:5" ht="15.5">
      <c r="A19" s="250" t="s">
        <v>109</v>
      </c>
      <c r="B19" s="251" t="s">
        <v>2620</v>
      </c>
      <c r="C19" s="265">
        <f>'Weights-HB3'!L16</f>
        <v>4</v>
      </c>
      <c r="D19" s="256">
        <f>'Data Entry - SOF'!I31</f>
        <v>0</v>
      </c>
      <c r="E19" s="256">
        <f t="shared" si="0"/>
        <v>0</v>
      </c>
    </row>
    <row r="20" spans="1:5" ht="15.5">
      <c r="A20" s="250" t="s">
        <v>110</v>
      </c>
      <c r="B20" s="251" t="s">
        <v>2626</v>
      </c>
      <c r="C20" s="265" t="s">
        <v>1678</v>
      </c>
      <c r="D20" s="256">
        <f>'Calc Data'!G8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'Weights-HB3'!L15</f>
        <v>1.7</v>
      </c>
      <c r="D22" s="256">
        <f>'Data Entry - SOF'!I30</f>
        <v>0</v>
      </c>
      <c r="E22" s="265" t="s">
        <v>1678</v>
      </c>
    </row>
    <row r="23" spans="1:5" ht="15.5">
      <c r="A23" s="250" t="s">
        <v>1424</v>
      </c>
      <c r="B23" s="251" t="s">
        <v>504</v>
      </c>
      <c r="C23" s="1674">
        <f>'Weights-HB3'!K18</f>
        <v>1.1499999999999999</v>
      </c>
      <c r="D23" s="256">
        <f>'Data Entry - SOF'!I32</f>
        <v>0</v>
      </c>
      <c r="E23" s="265" t="s">
        <v>1678</v>
      </c>
    </row>
    <row r="24" spans="1:5" s="247" customFormat="1" ht="15.5">
      <c r="C24" s="320" t="s">
        <v>2708</v>
      </c>
      <c r="D24" s="635" t="s">
        <v>10473</v>
      </c>
    </row>
    <row r="25" spans="1:5" s="247" customFormat="1" ht="15.5">
      <c r="C25" s="319"/>
      <c r="D25"/>
    </row>
    <row r="27" spans="1:5" ht="15.5">
      <c r="A27" s="271" t="s">
        <v>2791</v>
      </c>
    </row>
  </sheetData>
  <hyperlinks>
    <hyperlink ref="D24" location="'Report-SOF2425-SB1'!A1" display="'Report-SOF2425-SB1'!A1" xr:uid="{00000000-0004-0000-42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66FF33"/>
  </sheetPr>
  <dimension ref="A1:E27"/>
  <sheetViews>
    <sheetView workbookViewId="0">
      <selection activeCell="E1" sqref="E1"/>
    </sheetView>
  </sheetViews>
  <sheetFormatPr defaultColWidth="8.7265625" defaultRowHeight="12.5"/>
  <cols>
    <col min="1" max="1" width="4.54296875" style="2042" customWidth="1"/>
    <col min="2" max="2" width="36.453125" style="2042" customWidth="1"/>
    <col min="3" max="3" width="12.81640625" style="264" customWidth="1"/>
    <col min="4" max="4" width="29.54296875" style="2042" customWidth="1"/>
    <col min="5" max="5" width="23.453125" style="2042" customWidth="1"/>
    <col min="6" max="16384" width="8.7265625" style="2042"/>
  </cols>
  <sheetData>
    <row r="1" spans="1:5" ht="13">
      <c r="A1" s="245" t="s">
        <v>2716</v>
      </c>
      <c r="B1" s="245"/>
      <c r="E1" s="1784" t="str">
        <f>'SpEdDetail2324-HB3'!E1</f>
        <v>Release 2</v>
      </c>
    </row>
    <row r="2" spans="1:5" ht="13">
      <c r="A2" s="245" t="s">
        <v>2717</v>
      </c>
      <c r="B2" s="245"/>
      <c r="E2" s="1785">
        <f>'SpEdDetail2324-HB3'!E2</f>
        <v>44930</v>
      </c>
    </row>
    <row r="3" spans="1:5" ht="13">
      <c r="A3" s="52"/>
      <c r="B3" s="52"/>
      <c r="E3" s="47"/>
    </row>
    <row r="4" spans="1:5" ht="15.5">
      <c r="A4" s="246" t="s">
        <v>9220</v>
      </c>
      <c r="B4" s="246"/>
    </row>
    <row r="5" spans="1:5" ht="15.5">
      <c r="A5" s="248" t="str">
        <f>'Data Entry - SOF'!B1</f>
        <v xml:space="preserve"> </v>
      </c>
      <c r="B5" s="248"/>
    </row>
    <row r="6" spans="1:5" ht="15.5">
      <c r="A6" s="246">
        <f>'Data Entry - SOF'!B2</f>
        <v>0</v>
      </c>
      <c r="B6" s="246"/>
    </row>
    <row r="8" spans="1:5" ht="18">
      <c r="A8" s="1798"/>
      <c r="B8" s="1799"/>
      <c r="C8" s="1800"/>
      <c r="D8" s="1794" t="s">
        <v>2624</v>
      </c>
      <c r="E8" s="1794" t="s">
        <v>2625</v>
      </c>
    </row>
    <row r="9" spans="1:5" ht="18">
      <c r="A9" s="1801"/>
      <c r="B9" s="1776" t="s">
        <v>2623</v>
      </c>
      <c r="C9" s="1802" t="s">
        <v>2609</v>
      </c>
      <c r="D9" s="1796" t="s">
        <v>2610</v>
      </c>
      <c r="E9" s="1796" t="s">
        <v>2624</v>
      </c>
    </row>
    <row r="10" spans="1:5" ht="15.5">
      <c r="A10" s="250" t="s">
        <v>2063</v>
      </c>
      <c r="B10" s="251" t="s">
        <v>2611</v>
      </c>
      <c r="C10" s="265">
        <f>'Weights-HB3'!M7</f>
        <v>5</v>
      </c>
      <c r="D10" s="252">
        <f>'Data Entry - SOF'!K22</f>
        <v>0</v>
      </c>
      <c r="E10" s="256">
        <f>D10*C10</f>
        <v>0</v>
      </c>
    </row>
    <row r="11" spans="1:5" ht="15.5">
      <c r="A11" s="250" t="s">
        <v>2064</v>
      </c>
      <c r="B11" s="251" t="s">
        <v>2612</v>
      </c>
      <c r="C11" s="265">
        <f>'Weights-HB3'!M8</f>
        <v>3</v>
      </c>
      <c r="D11" s="252">
        <f>'Data Entry - SOF'!K23</f>
        <v>0</v>
      </c>
      <c r="E11" s="256">
        <f t="shared" ref="E11:E19" si="0">D11*C11</f>
        <v>0</v>
      </c>
    </row>
    <row r="12" spans="1:5" ht="15.5">
      <c r="A12" s="250" t="s">
        <v>2065</v>
      </c>
      <c r="B12" s="251" t="s">
        <v>2613</v>
      </c>
      <c r="C12" s="265">
        <f>'Weights-HB3'!M9</f>
        <v>5</v>
      </c>
      <c r="D12" s="252">
        <f>'Data Entry - SOF'!K24</f>
        <v>0</v>
      </c>
      <c r="E12" s="256">
        <f t="shared" si="0"/>
        <v>0</v>
      </c>
    </row>
    <row r="13" spans="1:5" ht="15.5">
      <c r="A13" s="250" t="s">
        <v>862</v>
      </c>
      <c r="B13" s="251" t="s">
        <v>2614</v>
      </c>
      <c r="C13" s="265">
        <f>'Weights-HB3'!M10</f>
        <v>3</v>
      </c>
      <c r="D13" s="252">
        <f>'Data Entry - SOF'!K25</f>
        <v>0</v>
      </c>
      <c r="E13" s="256">
        <f t="shared" si="0"/>
        <v>0</v>
      </c>
    </row>
    <row r="14" spans="1:5" ht="15.5">
      <c r="A14" s="280"/>
      <c r="B14" s="266" t="s">
        <v>2615</v>
      </c>
      <c r="C14" s="262"/>
      <c r="D14" s="267"/>
      <c r="E14" s="270"/>
    </row>
    <row r="15" spans="1:5" ht="15.5">
      <c r="A15" s="355" t="s">
        <v>863</v>
      </c>
      <c r="B15" s="268" t="s">
        <v>2616</v>
      </c>
      <c r="C15" s="263">
        <f>'Weights-HB3'!M11</f>
        <v>3</v>
      </c>
      <c r="D15" s="269">
        <f>'Data Entry - SOF'!K26</f>
        <v>0</v>
      </c>
      <c r="E15" s="269">
        <f t="shared" si="0"/>
        <v>0</v>
      </c>
    </row>
    <row r="16" spans="1:5" ht="15.5">
      <c r="A16" s="250" t="s">
        <v>865</v>
      </c>
      <c r="B16" s="251" t="s">
        <v>2617</v>
      </c>
      <c r="C16" s="265">
        <f>'Weights-HB3'!M12</f>
        <v>2.7</v>
      </c>
      <c r="D16" s="256">
        <f>'Data Entry - SOF'!K27</f>
        <v>0</v>
      </c>
      <c r="E16" s="256">
        <f t="shared" si="0"/>
        <v>0</v>
      </c>
    </row>
    <row r="17" spans="1:5" ht="15.5">
      <c r="A17" s="250" t="s">
        <v>866</v>
      </c>
      <c r="B17" s="251" t="s">
        <v>2618</v>
      </c>
      <c r="C17" s="265">
        <f>'Weights-HB3'!M13</f>
        <v>2.2999999999999998</v>
      </c>
      <c r="D17" s="256">
        <f>'Data Entry - SOF'!K28</f>
        <v>0</v>
      </c>
      <c r="E17" s="256">
        <f t="shared" si="0"/>
        <v>0</v>
      </c>
    </row>
    <row r="18" spans="1:5" ht="15.5">
      <c r="A18" s="250" t="s">
        <v>867</v>
      </c>
      <c r="B18" s="251" t="s">
        <v>2619</v>
      </c>
      <c r="C18" s="265">
        <f>'Weights-HB3'!M14</f>
        <v>2.8</v>
      </c>
      <c r="D18" s="256">
        <f>'Data Entry - SOF'!K29</f>
        <v>0</v>
      </c>
      <c r="E18" s="256">
        <f t="shared" si="0"/>
        <v>0</v>
      </c>
    </row>
    <row r="19" spans="1:5" ht="15.5">
      <c r="A19" s="250" t="s">
        <v>109</v>
      </c>
      <c r="B19" s="251" t="s">
        <v>2620</v>
      </c>
      <c r="C19" s="265">
        <f>'Weights-HB3'!M16</f>
        <v>4</v>
      </c>
      <c r="D19" s="256">
        <f>'Data Entry - SOF'!K31</f>
        <v>0</v>
      </c>
      <c r="E19" s="256">
        <f t="shared" si="0"/>
        <v>0</v>
      </c>
    </row>
    <row r="20" spans="1:5" ht="15.5">
      <c r="A20" s="250" t="s">
        <v>110</v>
      </c>
      <c r="B20" s="251" t="s">
        <v>2626</v>
      </c>
      <c r="C20" s="265" t="s">
        <v>1678</v>
      </c>
      <c r="D20" s="256">
        <f>'Calc Data'!H8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'Weights-HB3'!M15</f>
        <v>1.7</v>
      </c>
      <c r="D22" s="256">
        <f>'Data Entry - SOF'!K30</f>
        <v>0</v>
      </c>
      <c r="E22" s="265" t="s">
        <v>1678</v>
      </c>
    </row>
    <row r="23" spans="1:5" ht="15.5">
      <c r="A23" s="250" t="s">
        <v>1424</v>
      </c>
      <c r="B23" s="251" t="s">
        <v>504</v>
      </c>
      <c r="C23" s="1674">
        <f>'Weights-HB3'!K18</f>
        <v>1.1499999999999999</v>
      </c>
      <c r="D23" s="256">
        <f>'Data Entry - SOF'!K32</f>
        <v>0</v>
      </c>
      <c r="E23" s="265" t="s">
        <v>1678</v>
      </c>
    </row>
    <row r="24" spans="1:5" s="2040" customFormat="1" ht="15.5">
      <c r="C24" s="320" t="s">
        <v>2708</v>
      </c>
      <c r="D24" s="635" t="s">
        <v>10474</v>
      </c>
    </row>
    <row r="25" spans="1:5" s="2040" customFormat="1" ht="15.5">
      <c r="C25" s="319"/>
      <c r="D25" s="2042"/>
    </row>
    <row r="27" spans="1:5" ht="15.5">
      <c r="A27" s="271" t="s">
        <v>2791</v>
      </c>
    </row>
  </sheetData>
  <hyperlinks>
    <hyperlink ref="D24" location="'Report-SOF2526-SB1'!A1" display="'Report-SOF2526-SB1'!A1" xr:uid="{00000000-0004-0000-43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66FF33"/>
  </sheetPr>
  <dimension ref="A1:E27"/>
  <sheetViews>
    <sheetView workbookViewId="0">
      <selection activeCell="D24" sqref="D24"/>
    </sheetView>
  </sheetViews>
  <sheetFormatPr defaultColWidth="8.7265625" defaultRowHeight="12.5"/>
  <cols>
    <col min="1" max="1" width="4.54296875" style="2042" customWidth="1"/>
    <col min="2" max="2" width="36.453125" style="2042" customWidth="1"/>
    <col min="3" max="3" width="12.81640625" style="264" customWidth="1"/>
    <col min="4" max="4" width="29.54296875" style="2042" customWidth="1"/>
    <col min="5" max="5" width="23.453125" style="2042" customWidth="1"/>
    <col min="6" max="16384" width="8.7265625" style="2042"/>
  </cols>
  <sheetData>
    <row r="1" spans="1:5" ht="13">
      <c r="A1" s="245" t="s">
        <v>2716</v>
      </c>
      <c r="B1" s="245"/>
      <c r="E1" s="1784" t="str">
        <f>'SpEdDetail2324-HB3'!E1</f>
        <v>Release 2</v>
      </c>
    </row>
    <row r="2" spans="1:5" ht="13">
      <c r="A2" s="245" t="s">
        <v>2717</v>
      </c>
      <c r="B2" s="245"/>
      <c r="E2" s="1785">
        <f>'SpEdDetail2324-HB3'!E2</f>
        <v>44930</v>
      </c>
    </row>
    <row r="3" spans="1:5" ht="13">
      <c r="A3" s="52"/>
      <c r="B3" s="52"/>
      <c r="E3" s="47"/>
    </row>
    <row r="4" spans="1:5" ht="15.5">
      <c r="A4" s="246" t="s">
        <v>11095</v>
      </c>
      <c r="B4" s="246"/>
    </row>
    <row r="5" spans="1:5" ht="15.5">
      <c r="A5" s="248" t="str">
        <f>'Data Entry - SOF'!B1</f>
        <v xml:space="preserve"> </v>
      </c>
      <c r="B5" s="248"/>
    </row>
    <row r="6" spans="1:5" ht="15.5">
      <c r="A6" s="246">
        <f>'Data Entry - SOF'!B2</f>
        <v>0</v>
      </c>
      <c r="B6" s="246"/>
    </row>
    <row r="8" spans="1:5" ht="18">
      <c r="A8" s="1798"/>
      <c r="B8" s="1799"/>
      <c r="C8" s="1800"/>
      <c r="D8" s="1794" t="s">
        <v>2624</v>
      </c>
      <c r="E8" s="1794" t="s">
        <v>2625</v>
      </c>
    </row>
    <row r="9" spans="1:5" ht="18">
      <c r="A9" s="1801"/>
      <c r="B9" s="1776" t="s">
        <v>2623</v>
      </c>
      <c r="C9" s="1802" t="s">
        <v>2609</v>
      </c>
      <c r="D9" s="1796" t="s">
        <v>2610</v>
      </c>
      <c r="E9" s="1796" t="s">
        <v>2624</v>
      </c>
    </row>
    <row r="10" spans="1:5" ht="15.5">
      <c r="A10" s="250" t="s">
        <v>2063</v>
      </c>
      <c r="B10" s="251" t="s">
        <v>2611</v>
      </c>
      <c r="C10" s="265">
        <f>'Weights-HB3'!M7</f>
        <v>5</v>
      </c>
      <c r="D10" s="252">
        <f>'Data Entry - SOF'!M22</f>
        <v>0</v>
      </c>
      <c r="E10" s="256">
        <f>D10*C10</f>
        <v>0</v>
      </c>
    </row>
    <row r="11" spans="1:5" ht="15.5">
      <c r="A11" s="250" t="s">
        <v>2064</v>
      </c>
      <c r="B11" s="251" t="s">
        <v>2612</v>
      </c>
      <c r="C11" s="265">
        <f>'Weights-HB3'!M8</f>
        <v>3</v>
      </c>
      <c r="D11" s="252">
        <f>'Data Entry - SOF'!M23</f>
        <v>0</v>
      </c>
      <c r="E11" s="256">
        <f t="shared" ref="E11:E19" si="0">D11*C11</f>
        <v>0</v>
      </c>
    </row>
    <row r="12" spans="1:5" ht="15.5">
      <c r="A12" s="250" t="s">
        <v>2065</v>
      </c>
      <c r="B12" s="251" t="s">
        <v>2613</v>
      </c>
      <c r="C12" s="265">
        <f>'Weights-HB3'!M9</f>
        <v>5</v>
      </c>
      <c r="D12" s="252">
        <f>'Data Entry - SOF'!M24</f>
        <v>0</v>
      </c>
      <c r="E12" s="256">
        <f t="shared" si="0"/>
        <v>0</v>
      </c>
    </row>
    <row r="13" spans="1:5" ht="15.5">
      <c r="A13" s="250" t="s">
        <v>862</v>
      </c>
      <c r="B13" s="251" t="s">
        <v>2614</v>
      </c>
      <c r="C13" s="265">
        <f>'Weights-HB3'!M10</f>
        <v>3</v>
      </c>
      <c r="D13" s="252">
        <f>'Data Entry - SOF'!M25</f>
        <v>0</v>
      </c>
      <c r="E13" s="256">
        <f t="shared" si="0"/>
        <v>0</v>
      </c>
    </row>
    <row r="14" spans="1:5" ht="15.5">
      <c r="A14" s="280"/>
      <c r="B14" s="266" t="s">
        <v>2615</v>
      </c>
      <c r="C14" s="262"/>
      <c r="D14" s="267"/>
      <c r="E14" s="270"/>
    </row>
    <row r="15" spans="1:5" ht="15.5">
      <c r="A15" s="355" t="s">
        <v>863</v>
      </c>
      <c r="B15" s="268" t="s">
        <v>2616</v>
      </c>
      <c r="C15" s="263">
        <f>'Weights-HB3'!M11</f>
        <v>3</v>
      </c>
      <c r="D15" s="269">
        <f>'Data Entry - SOF'!M26</f>
        <v>0</v>
      </c>
      <c r="E15" s="269">
        <f t="shared" si="0"/>
        <v>0</v>
      </c>
    </row>
    <row r="16" spans="1:5" ht="15.5">
      <c r="A16" s="250" t="s">
        <v>865</v>
      </c>
      <c r="B16" s="251" t="s">
        <v>2617</v>
      </c>
      <c r="C16" s="265">
        <f>'Weights-HB3'!M12</f>
        <v>2.7</v>
      </c>
      <c r="D16" s="256">
        <f>'Data Entry - SOF'!M27</f>
        <v>0</v>
      </c>
      <c r="E16" s="256">
        <f t="shared" si="0"/>
        <v>0</v>
      </c>
    </row>
    <row r="17" spans="1:5" ht="15.5">
      <c r="A17" s="250" t="s">
        <v>866</v>
      </c>
      <c r="B17" s="251" t="s">
        <v>2618</v>
      </c>
      <c r="C17" s="265">
        <f>'Weights-HB3'!M13</f>
        <v>2.2999999999999998</v>
      </c>
      <c r="D17" s="256">
        <f>'Data Entry - SOF'!M28</f>
        <v>0</v>
      </c>
      <c r="E17" s="256">
        <f t="shared" si="0"/>
        <v>0</v>
      </c>
    </row>
    <row r="18" spans="1:5" ht="15.5">
      <c r="A18" s="250" t="s">
        <v>867</v>
      </c>
      <c r="B18" s="251" t="s">
        <v>2619</v>
      </c>
      <c r="C18" s="265">
        <f>'Weights-HB3'!M14</f>
        <v>2.8</v>
      </c>
      <c r="D18" s="256">
        <f>'Data Entry - SOF'!M29</f>
        <v>0</v>
      </c>
      <c r="E18" s="256">
        <f t="shared" si="0"/>
        <v>0</v>
      </c>
    </row>
    <row r="19" spans="1:5" ht="15.5">
      <c r="A19" s="250" t="s">
        <v>109</v>
      </c>
      <c r="B19" s="251" t="s">
        <v>2620</v>
      </c>
      <c r="C19" s="265">
        <f>'Weights-HB3'!M16</f>
        <v>4</v>
      </c>
      <c r="D19" s="256">
        <f>'Data Entry - SOF'!M31</f>
        <v>0</v>
      </c>
      <c r="E19" s="256">
        <f t="shared" si="0"/>
        <v>0</v>
      </c>
    </row>
    <row r="20" spans="1:5" ht="15.5">
      <c r="A20" s="250" t="s">
        <v>110</v>
      </c>
      <c r="B20" s="251" t="s">
        <v>2626</v>
      </c>
      <c r="C20" s="265" t="s">
        <v>1678</v>
      </c>
      <c r="D20" s="256">
        <f>'Calc Data'!I8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'Weights-HB3'!M15</f>
        <v>1.7</v>
      </c>
      <c r="D22" s="256">
        <f>'Data Entry - SOF'!M30</f>
        <v>0</v>
      </c>
      <c r="E22" s="265" t="s">
        <v>1678</v>
      </c>
    </row>
    <row r="23" spans="1:5" ht="15.5">
      <c r="A23" s="250" t="s">
        <v>1424</v>
      </c>
      <c r="B23" s="251" t="s">
        <v>504</v>
      </c>
      <c r="C23" s="1674">
        <f>'Weights-HB3'!K18</f>
        <v>1.1499999999999999</v>
      </c>
      <c r="D23" s="256">
        <f>'Data Entry - SOF'!M32</f>
        <v>0</v>
      </c>
      <c r="E23" s="265" t="s">
        <v>1678</v>
      </c>
    </row>
    <row r="24" spans="1:5" s="2040" customFormat="1" ht="15.5">
      <c r="C24" s="320" t="s">
        <v>2708</v>
      </c>
      <c r="D24" s="635" t="s">
        <v>11085</v>
      </c>
    </row>
    <row r="25" spans="1:5" s="2040" customFormat="1" ht="15.5">
      <c r="C25" s="319"/>
      <c r="D25" s="2042"/>
    </row>
    <row r="27" spans="1:5" ht="15.5">
      <c r="A27" s="271" t="s">
        <v>2791</v>
      </c>
    </row>
  </sheetData>
  <hyperlinks>
    <hyperlink ref="D24" location="'Report-SOF2627-SB1'!A1" display="'Report-SOF2627-SB1'!A1" xr:uid="{00000000-0004-0000-4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031"/>
  <sheetViews>
    <sheetView topLeftCell="A642" workbookViewId="0">
      <selection activeCell="B652" sqref="B652"/>
    </sheetView>
  </sheetViews>
  <sheetFormatPr defaultRowHeight="12.5"/>
  <cols>
    <col min="2" max="2" width="15.1796875" customWidth="1"/>
  </cols>
  <sheetData>
    <row r="1" spans="1:2">
      <c r="A1" s="75" t="s">
        <v>183</v>
      </c>
      <c r="B1">
        <v>230</v>
      </c>
    </row>
    <row r="2" spans="1:2">
      <c r="A2" s="75" t="s">
        <v>1847</v>
      </c>
      <c r="B2">
        <v>158</v>
      </c>
    </row>
    <row r="3" spans="1:2">
      <c r="A3" s="75" t="s">
        <v>14</v>
      </c>
      <c r="B3">
        <v>93</v>
      </c>
    </row>
    <row r="4" spans="1:2">
      <c r="A4" s="75" t="s">
        <v>15</v>
      </c>
      <c r="B4">
        <v>84</v>
      </c>
    </row>
    <row r="5" spans="1:2">
      <c r="A5" s="75" t="s">
        <v>16</v>
      </c>
      <c r="B5">
        <v>226</v>
      </c>
    </row>
    <row r="6" spans="1:2">
      <c r="A6" s="75" t="s">
        <v>1036</v>
      </c>
      <c r="B6">
        <v>96</v>
      </c>
    </row>
    <row r="7" spans="1:2">
      <c r="A7" s="75" t="s">
        <v>1037</v>
      </c>
      <c r="B7">
        <v>145</v>
      </c>
    </row>
    <row r="8" spans="1:2">
      <c r="A8" s="75" t="s">
        <v>1737</v>
      </c>
      <c r="B8" s="82">
        <v>1503</v>
      </c>
    </row>
    <row r="9" spans="1:2">
      <c r="A9" s="75" t="s">
        <v>635</v>
      </c>
      <c r="B9">
        <v>76</v>
      </c>
    </row>
    <row r="10" spans="1:2">
      <c r="A10" s="75" t="s">
        <v>1367</v>
      </c>
      <c r="B10">
        <v>160</v>
      </c>
    </row>
    <row r="11" spans="1:2">
      <c r="A11" s="75" t="s">
        <v>1053</v>
      </c>
      <c r="B11">
        <v>197</v>
      </c>
    </row>
    <row r="12" spans="1:2">
      <c r="A12" s="75" t="s">
        <v>320</v>
      </c>
      <c r="B12">
        <v>116</v>
      </c>
    </row>
    <row r="13" spans="1:2">
      <c r="A13" s="75" t="s">
        <v>321</v>
      </c>
      <c r="B13">
        <v>210</v>
      </c>
    </row>
    <row r="14" spans="1:2">
      <c r="A14" s="75" t="s">
        <v>322</v>
      </c>
      <c r="B14">
        <v>94</v>
      </c>
    </row>
    <row r="15" spans="1:2">
      <c r="A15" s="75" t="s">
        <v>2339</v>
      </c>
      <c r="B15">
        <v>443</v>
      </c>
    </row>
    <row r="16" spans="1:2">
      <c r="A16" s="75" t="s">
        <v>2340</v>
      </c>
      <c r="B16">
        <v>447</v>
      </c>
    </row>
    <row r="17" spans="1:2">
      <c r="A17" s="75" t="s">
        <v>2341</v>
      </c>
      <c r="B17">
        <v>245</v>
      </c>
    </row>
    <row r="18" spans="1:2">
      <c r="A18" s="75" t="s">
        <v>2342</v>
      </c>
      <c r="B18">
        <v>170</v>
      </c>
    </row>
    <row r="19" spans="1:2">
      <c r="A19" s="75" t="s">
        <v>1838</v>
      </c>
      <c r="B19">
        <v>59</v>
      </c>
    </row>
    <row r="20" spans="1:2">
      <c r="A20" s="75" t="s">
        <v>2343</v>
      </c>
      <c r="B20">
        <v>824</v>
      </c>
    </row>
    <row r="21" spans="1:2">
      <c r="A21" s="75" t="s">
        <v>667</v>
      </c>
      <c r="B21">
        <v>249</v>
      </c>
    </row>
    <row r="22" spans="1:2">
      <c r="A22" s="75" t="s">
        <v>2344</v>
      </c>
      <c r="B22">
        <v>272</v>
      </c>
    </row>
    <row r="23" spans="1:2">
      <c r="A23" s="75" t="s">
        <v>1976</v>
      </c>
      <c r="B23">
        <v>48</v>
      </c>
    </row>
    <row r="24" spans="1:2">
      <c r="A24" s="75" t="s">
        <v>199</v>
      </c>
      <c r="B24">
        <v>444</v>
      </c>
    </row>
    <row r="25" spans="1:2">
      <c r="A25" s="75" t="s">
        <v>2014</v>
      </c>
      <c r="B25">
        <v>175</v>
      </c>
    </row>
    <row r="26" spans="1:2">
      <c r="A26" s="75" t="s">
        <v>2345</v>
      </c>
      <c r="B26">
        <v>387</v>
      </c>
    </row>
    <row r="27" spans="1:2">
      <c r="A27" s="75" t="s">
        <v>644</v>
      </c>
      <c r="B27">
        <v>207</v>
      </c>
    </row>
    <row r="28" spans="1:2">
      <c r="A28" s="75" t="s">
        <v>645</v>
      </c>
      <c r="B28">
        <v>127</v>
      </c>
    </row>
    <row r="29" spans="1:2">
      <c r="A29" s="75" t="s">
        <v>646</v>
      </c>
      <c r="B29">
        <v>474</v>
      </c>
    </row>
    <row r="30" spans="1:2">
      <c r="A30" s="75" t="s">
        <v>174</v>
      </c>
      <c r="B30">
        <v>306</v>
      </c>
    </row>
    <row r="31" spans="1:2">
      <c r="A31" s="75" t="s">
        <v>1839</v>
      </c>
      <c r="B31">
        <v>322</v>
      </c>
    </row>
    <row r="32" spans="1:2">
      <c r="A32" s="75" t="s">
        <v>1589</v>
      </c>
      <c r="B32">
        <v>434</v>
      </c>
    </row>
    <row r="33" spans="1:2">
      <c r="A33" s="75" t="s">
        <v>728</v>
      </c>
      <c r="B33">
        <v>157</v>
      </c>
    </row>
    <row r="34" spans="1:2">
      <c r="A34" s="75" t="s">
        <v>2233</v>
      </c>
      <c r="B34">
        <v>292</v>
      </c>
    </row>
    <row r="35" spans="1:2">
      <c r="A35" s="75" t="s">
        <v>2015</v>
      </c>
      <c r="B35">
        <v>64</v>
      </c>
    </row>
    <row r="36" spans="1:2">
      <c r="A36" s="75" t="s">
        <v>428</v>
      </c>
      <c r="B36">
        <v>906</v>
      </c>
    </row>
    <row r="37" spans="1:2">
      <c r="A37" s="75" t="s">
        <v>2234</v>
      </c>
      <c r="B37">
        <v>357</v>
      </c>
    </row>
    <row r="38" spans="1:2">
      <c r="A38" s="75" t="s">
        <v>2505</v>
      </c>
      <c r="B38">
        <v>151</v>
      </c>
    </row>
    <row r="39" spans="1:2">
      <c r="A39" s="75" t="s">
        <v>2506</v>
      </c>
      <c r="B39">
        <v>179</v>
      </c>
    </row>
    <row r="40" spans="1:2">
      <c r="A40" s="75" t="s">
        <v>1079</v>
      </c>
      <c r="B40">
        <v>256</v>
      </c>
    </row>
    <row r="41" spans="1:2">
      <c r="A41" s="75" t="s">
        <v>2016</v>
      </c>
      <c r="B41">
        <v>52</v>
      </c>
    </row>
    <row r="42" spans="1:2">
      <c r="A42" s="75" t="s">
        <v>1588</v>
      </c>
      <c r="B42">
        <v>102</v>
      </c>
    </row>
    <row r="43" spans="1:2">
      <c r="A43" s="75" t="s">
        <v>1591</v>
      </c>
      <c r="B43">
        <v>196</v>
      </c>
    </row>
    <row r="44" spans="1:2">
      <c r="A44" s="75" t="s">
        <v>161</v>
      </c>
      <c r="B44">
        <v>83</v>
      </c>
    </row>
    <row r="45" spans="1:2">
      <c r="A45" s="75" t="s">
        <v>51</v>
      </c>
      <c r="B45">
        <v>201</v>
      </c>
    </row>
    <row r="46" spans="1:2">
      <c r="A46" s="75" t="s">
        <v>157</v>
      </c>
      <c r="B46">
        <v>156</v>
      </c>
    </row>
    <row r="47" spans="1:2">
      <c r="A47" s="75" t="s">
        <v>1236</v>
      </c>
      <c r="B47">
        <v>130</v>
      </c>
    </row>
    <row r="48" spans="1:2">
      <c r="A48" s="75" t="s">
        <v>1425</v>
      </c>
      <c r="B48">
        <v>59</v>
      </c>
    </row>
    <row r="49" spans="1:2">
      <c r="A49" s="75" t="s">
        <v>1430</v>
      </c>
      <c r="B49">
        <v>105</v>
      </c>
    </row>
    <row r="50" spans="1:2">
      <c r="A50" s="75" t="s">
        <v>401</v>
      </c>
      <c r="B50">
        <v>12</v>
      </c>
    </row>
    <row r="51" spans="1:2">
      <c r="A51" s="75" t="s">
        <v>1755</v>
      </c>
      <c r="B51">
        <v>22</v>
      </c>
    </row>
    <row r="52" spans="1:2">
      <c r="A52" s="75" t="s">
        <v>726</v>
      </c>
      <c r="B52">
        <v>19</v>
      </c>
    </row>
    <row r="53" spans="1:2">
      <c r="A53" s="75" t="s">
        <v>1238</v>
      </c>
      <c r="B53">
        <v>79</v>
      </c>
    </row>
    <row r="54" spans="1:2">
      <c r="A54" s="75" t="s">
        <v>1417</v>
      </c>
      <c r="B54">
        <v>21</v>
      </c>
    </row>
    <row r="55" spans="1:2">
      <c r="A55" s="75" t="s">
        <v>1082</v>
      </c>
      <c r="B55">
        <v>78</v>
      </c>
    </row>
    <row r="56" spans="1:2">
      <c r="A56" s="75" t="s">
        <v>1322</v>
      </c>
      <c r="B56">
        <v>103</v>
      </c>
    </row>
    <row r="57" spans="1:2">
      <c r="A57" s="75" t="s">
        <v>723</v>
      </c>
      <c r="B57">
        <v>196</v>
      </c>
    </row>
    <row r="58" spans="1:2">
      <c r="A58" s="75" t="s">
        <v>668</v>
      </c>
      <c r="B58">
        <v>107</v>
      </c>
    </row>
    <row r="59" spans="1:2">
      <c r="A59" s="75" t="s">
        <v>1324</v>
      </c>
      <c r="B59">
        <v>341</v>
      </c>
    </row>
    <row r="60" spans="1:2">
      <c r="A60" s="75" t="s">
        <v>44</v>
      </c>
      <c r="B60">
        <v>75</v>
      </c>
    </row>
    <row r="61" spans="1:2">
      <c r="A61" s="75" t="s">
        <v>1418</v>
      </c>
      <c r="B61">
        <v>101</v>
      </c>
    </row>
    <row r="62" spans="1:2">
      <c r="A62" s="75" t="s">
        <v>1139</v>
      </c>
      <c r="B62">
        <v>532</v>
      </c>
    </row>
    <row r="63" spans="1:2">
      <c r="A63" s="75" t="s">
        <v>827</v>
      </c>
      <c r="B63">
        <v>350</v>
      </c>
    </row>
    <row r="64" spans="1:2">
      <c r="A64" s="75" t="s">
        <v>1140</v>
      </c>
      <c r="B64">
        <v>908</v>
      </c>
    </row>
    <row r="65" spans="1:2">
      <c r="A65" s="75" t="s">
        <v>540</v>
      </c>
      <c r="B65">
        <v>218</v>
      </c>
    </row>
    <row r="66" spans="1:2">
      <c r="A66" s="75" t="s">
        <v>1141</v>
      </c>
      <c r="B66">
        <v>150</v>
      </c>
    </row>
    <row r="67" spans="1:2">
      <c r="A67" s="75" t="s">
        <v>1048</v>
      </c>
      <c r="B67">
        <v>61</v>
      </c>
    </row>
    <row r="68" spans="1:2">
      <c r="A68" s="75" t="s">
        <v>1049</v>
      </c>
      <c r="B68">
        <v>174</v>
      </c>
    </row>
    <row r="69" spans="1:2">
      <c r="A69" s="75" t="s">
        <v>1794</v>
      </c>
      <c r="B69">
        <v>102</v>
      </c>
    </row>
    <row r="70" spans="1:2">
      <c r="A70" s="75" t="s">
        <v>1553</v>
      </c>
      <c r="B70">
        <v>144</v>
      </c>
    </row>
    <row r="71" spans="1:2">
      <c r="A71" s="75" t="s">
        <v>1554</v>
      </c>
      <c r="B71">
        <v>108</v>
      </c>
    </row>
    <row r="72" spans="1:2">
      <c r="A72" s="75" t="s">
        <v>1555</v>
      </c>
      <c r="B72">
        <v>147</v>
      </c>
    </row>
    <row r="73" spans="1:2">
      <c r="A73" s="75" t="s">
        <v>838</v>
      </c>
      <c r="B73">
        <v>279</v>
      </c>
    </row>
    <row r="74" spans="1:2">
      <c r="A74" s="75" t="s">
        <v>669</v>
      </c>
      <c r="B74">
        <v>69</v>
      </c>
    </row>
    <row r="75" spans="1:2">
      <c r="A75" s="75" t="s">
        <v>2017</v>
      </c>
      <c r="B75">
        <v>38</v>
      </c>
    </row>
    <row r="76" spans="1:2">
      <c r="A76" s="75" t="s">
        <v>2493</v>
      </c>
      <c r="B76">
        <v>112</v>
      </c>
    </row>
    <row r="77" spans="1:2">
      <c r="A77" s="75" t="s">
        <v>1034</v>
      </c>
      <c r="B77">
        <v>80</v>
      </c>
    </row>
    <row r="78" spans="1:2">
      <c r="A78" s="75" t="s">
        <v>1035</v>
      </c>
      <c r="B78">
        <v>22</v>
      </c>
    </row>
    <row r="79" spans="1:2">
      <c r="A79" s="75" t="s">
        <v>1057</v>
      </c>
      <c r="B79">
        <v>60</v>
      </c>
    </row>
    <row r="80" spans="1:2">
      <c r="A80" s="75" t="s">
        <v>2018</v>
      </c>
      <c r="B80">
        <v>145</v>
      </c>
    </row>
    <row r="81" spans="1:2">
      <c r="A81" s="75" t="s">
        <v>931</v>
      </c>
      <c r="B81">
        <v>17</v>
      </c>
    </row>
    <row r="82" spans="1:2">
      <c r="A82" s="75" t="s">
        <v>796</v>
      </c>
      <c r="B82">
        <v>9</v>
      </c>
    </row>
    <row r="83" spans="1:2">
      <c r="A83" s="75" t="s">
        <v>1058</v>
      </c>
      <c r="B83">
        <v>64</v>
      </c>
    </row>
    <row r="84" spans="1:2">
      <c r="A84" s="75" t="s">
        <v>1059</v>
      </c>
      <c r="B84">
        <v>19</v>
      </c>
    </row>
    <row r="85" spans="1:2">
      <c r="A85" s="75" t="s">
        <v>797</v>
      </c>
      <c r="B85">
        <v>9</v>
      </c>
    </row>
    <row r="86" spans="1:2">
      <c r="A86" s="75" t="s">
        <v>168</v>
      </c>
      <c r="B86">
        <v>254</v>
      </c>
    </row>
    <row r="87" spans="1:2">
      <c r="A87" s="75" t="s">
        <v>871</v>
      </c>
      <c r="B87">
        <v>437</v>
      </c>
    </row>
    <row r="88" spans="1:2">
      <c r="A88" s="75" t="s">
        <v>670</v>
      </c>
      <c r="B88">
        <v>64</v>
      </c>
    </row>
    <row r="89" spans="1:2">
      <c r="A89" s="75" t="s">
        <v>1087</v>
      </c>
      <c r="B89">
        <v>457</v>
      </c>
    </row>
    <row r="90" spans="1:2">
      <c r="A90" s="75" t="s">
        <v>1088</v>
      </c>
      <c r="B90">
        <v>213</v>
      </c>
    </row>
    <row r="91" spans="1:2">
      <c r="A91" s="75" t="s">
        <v>1350</v>
      </c>
      <c r="B91">
        <v>244</v>
      </c>
    </row>
    <row r="92" spans="1:2">
      <c r="A92" s="75" t="s">
        <v>193</v>
      </c>
      <c r="B92">
        <v>45</v>
      </c>
    </row>
    <row r="93" spans="1:2">
      <c r="A93" s="75" t="s">
        <v>1089</v>
      </c>
      <c r="B93">
        <v>61</v>
      </c>
    </row>
    <row r="94" spans="1:2">
      <c r="A94" s="75" t="s">
        <v>543</v>
      </c>
      <c r="B94">
        <v>102</v>
      </c>
    </row>
    <row r="95" spans="1:2">
      <c r="A95" s="75" t="s">
        <v>835</v>
      </c>
      <c r="B95">
        <v>409</v>
      </c>
    </row>
    <row r="96" spans="1:2">
      <c r="A96" s="75" t="s">
        <v>2408</v>
      </c>
      <c r="B96">
        <v>701</v>
      </c>
    </row>
    <row r="97" spans="1:2">
      <c r="A97" s="75" t="s">
        <v>378</v>
      </c>
      <c r="B97" s="82">
        <v>1925</v>
      </c>
    </row>
    <row r="98" spans="1:2">
      <c r="A98" s="75" t="s">
        <v>379</v>
      </c>
      <c r="B98" s="82">
        <v>1988</v>
      </c>
    </row>
    <row r="99" spans="1:2">
      <c r="A99" s="75" t="s">
        <v>380</v>
      </c>
      <c r="B99" s="82">
        <v>1579</v>
      </c>
    </row>
    <row r="100" spans="1:2">
      <c r="A100" s="75" t="s">
        <v>381</v>
      </c>
      <c r="B100">
        <v>553</v>
      </c>
    </row>
    <row r="101" spans="1:2">
      <c r="A101" s="75" t="s">
        <v>628</v>
      </c>
      <c r="B101">
        <v>945</v>
      </c>
    </row>
    <row r="102" spans="1:2">
      <c r="A102" s="75" t="s">
        <v>629</v>
      </c>
      <c r="B102">
        <v>199</v>
      </c>
    </row>
    <row r="103" spans="1:2">
      <c r="A103" s="75" t="s">
        <v>630</v>
      </c>
      <c r="B103">
        <v>141</v>
      </c>
    </row>
    <row r="104" spans="1:2">
      <c r="A104" s="75" t="s">
        <v>829</v>
      </c>
      <c r="B104">
        <v>93</v>
      </c>
    </row>
    <row r="105" spans="1:2">
      <c r="A105" s="75" t="s">
        <v>2387</v>
      </c>
      <c r="B105">
        <v>209</v>
      </c>
    </row>
    <row r="106" spans="1:2">
      <c r="A106" s="75" t="s">
        <v>1116</v>
      </c>
      <c r="B106">
        <v>77</v>
      </c>
    </row>
    <row r="107" spans="1:2">
      <c r="A107" s="75" t="s">
        <v>671</v>
      </c>
      <c r="B107">
        <v>160</v>
      </c>
    </row>
    <row r="108" spans="1:2">
      <c r="A108" s="75" t="s">
        <v>724</v>
      </c>
      <c r="B108">
        <v>79</v>
      </c>
    </row>
    <row r="109" spans="1:2">
      <c r="A109" s="75" t="s">
        <v>631</v>
      </c>
      <c r="B109">
        <v>377</v>
      </c>
    </row>
    <row r="110" spans="1:2">
      <c r="A110" s="75" t="s">
        <v>632</v>
      </c>
      <c r="B110">
        <v>113</v>
      </c>
    </row>
    <row r="111" spans="1:2">
      <c r="A111" s="75" t="s">
        <v>633</v>
      </c>
      <c r="B111">
        <v>189</v>
      </c>
    </row>
    <row r="112" spans="1:2">
      <c r="A112" s="75" t="s">
        <v>1778</v>
      </c>
      <c r="B112">
        <v>703</v>
      </c>
    </row>
    <row r="113" spans="1:2">
      <c r="A113" s="75" t="s">
        <v>331</v>
      </c>
      <c r="B113">
        <v>296</v>
      </c>
    </row>
    <row r="114" spans="1:2">
      <c r="A114" s="75" t="s">
        <v>431</v>
      </c>
      <c r="B114">
        <v>325</v>
      </c>
    </row>
    <row r="115" spans="1:2">
      <c r="A115" s="75" t="s">
        <v>1084</v>
      </c>
      <c r="B115">
        <v>118</v>
      </c>
    </row>
    <row r="116" spans="1:2">
      <c r="A116" s="75" t="s">
        <v>2181</v>
      </c>
      <c r="B116">
        <v>40</v>
      </c>
    </row>
    <row r="117" spans="1:2">
      <c r="A117" s="75" t="s">
        <v>1283</v>
      </c>
      <c r="B117" s="82">
        <v>1286</v>
      </c>
    </row>
    <row r="118" spans="1:2">
      <c r="A118" s="75" t="s">
        <v>2216</v>
      </c>
      <c r="B118">
        <v>347</v>
      </c>
    </row>
    <row r="119" spans="1:2">
      <c r="A119" s="75" t="s">
        <v>672</v>
      </c>
      <c r="B119">
        <v>335</v>
      </c>
    </row>
    <row r="120" spans="1:2">
      <c r="A120" s="75" t="s">
        <v>139</v>
      </c>
      <c r="B120">
        <v>377</v>
      </c>
    </row>
    <row r="121" spans="1:2">
      <c r="A121" s="75" t="s">
        <v>1726</v>
      </c>
      <c r="B121">
        <v>113</v>
      </c>
    </row>
    <row r="122" spans="1:2">
      <c r="A122" s="75" t="s">
        <v>834</v>
      </c>
      <c r="B122">
        <v>109</v>
      </c>
    </row>
    <row r="123" spans="1:2">
      <c r="A123" s="75" t="s">
        <v>1756</v>
      </c>
      <c r="B123">
        <v>82</v>
      </c>
    </row>
    <row r="124" spans="1:2">
      <c r="A124" s="75" t="s">
        <v>55</v>
      </c>
      <c r="B124">
        <v>34</v>
      </c>
    </row>
    <row r="125" spans="1:2">
      <c r="A125" s="75" t="s">
        <v>2159</v>
      </c>
      <c r="B125">
        <v>523</v>
      </c>
    </row>
    <row r="126" spans="1:2">
      <c r="A126" s="75" t="s">
        <v>1585</v>
      </c>
      <c r="B126">
        <v>463</v>
      </c>
    </row>
    <row r="127" spans="1:2">
      <c r="A127" s="75" t="s">
        <v>673</v>
      </c>
      <c r="B127">
        <v>89</v>
      </c>
    </row>
    <row r="128" spans="1:2">
      <c r="A128" s="75" t="s">
        <v>1239</v>
      </c>
      <c r="B128">
        <v>107</v>
      </c>
    </row>
    <row r="129" spans="1:2">
      <c r="A129" s="75" t="s">
        <v>674</v>
      </c>
      <c r="B129">
        <v>29</v>
      </c>
    </row>
    <row r="130" spans="1:2">
      <c r="A130" s="75" t="s">
        <v>464</v>
      </c>
      <c r="B130">
        <v>26</v>
      </c>
    </row>
    <row r="131" spans="1:2">
      <c r="A131" s="75" t="s">
        <v>884</v>
      </c>
      <c r="B131">
        <v>225</v>
      </c>
    </row>
    <row r="132" spans="1:2">
      <c r="A132" s="75" t="s">
        <v>885</v>
      </c>
      <c r="B132">
        <v>242</v>
      </c>
    </row>
    <row r="133" spans="1:2">
      <c r="A133" s="75" t="s">
        <v>731</v>
      </c>
      <c r="B133">
        <v>557</v>
      </c>
    </row>
    <row r="134" spans="1:2">
      <c r="A134" s="75" t="s">
        <v>1706</v>
      </c>
      <c r="B134">
        <v>264</v>
      </c>
    </row>
    <row r="135" spans="1:2">
      <c r="A135" s="75" t="s">
        <v>1629</v>
      </c>
      <c r="B135">
        <v>246</v>
      </c>
    </row>
    <row r="136" spans="1:2">
      <c r="A136" s="75" t="s">
        <v>1630</v>
      </c>
      <c r="B136">
        <v>66</v>
      </c>
    </row>
    <row r="137" spans="1:2">
      <c r="A137" s="75" t="s">
        <v>700</v>
      </c>
      <c r="B137">
        <v>124</v>
      </c>
    </row>
    <row r="138" spans="1:2">
      <c r="A138" s="75" t="s">
        <v>701</v>
      </c>
      <c r="B138">
        <v>278</v>
      </c>
    </row>
    <row r="139" spans="1:2">
      <c r="A139" s="75" t="s">
        <v>1771</v>
      </c>
      <c r="B139">
        <v>37</v>
      </c>
    </row>
    <row r="140" spans="1:2">
      <c r="A140" s="75" t="s">
        <v>702</v>
      </c>
      <c r="B140">
        <v>112</v>
      </c>
    </row>
    <row r="141" spans="1:2">
      <c r="A141" s="75" t="s">
        <v>703</v>
      </c>
      <c r="B141">
        <v>23</v>
      </c>
    </row>
    <row r="142" spans="1:2">
      <c r="A142" s="75" t="s">
        <v>1845</v>
      </c>
      <c r="B142">
        <v>36</v>
      </c>
    </row>
    <row r="143" spans="1:2">
      <c r="A143" s="75" t="s">
        <v>1846</v>
      </c>
      <c r="B143">
        <v>446</v>
      </c>
    </row>
    <row r="144" spans="1:2">
      <c r="A144" s="75" t="s">
        <v>2292</v>
      </c>
      <c r="B144">
        <v>156</v>
      </c>
    </row>
    <row r="145" spans="1:2">
      <c r="A145" s="75" t="s">
        <v>2398</v>
      </c>
      <c r="B145">
        <v>107</v>
      </c>
    </row>
    <row r="146" spans="1:2">
      <c r="A146" s="75" t="s">
        <v>1548</v>
      </c>
      <c r="B146">
        <v>444</v>
      </c>
    </row>
    <row r="147" spans="1:2">
      <c r="A147" s="75" t="s">
        <v>2293</v>
      </c>
      <c r="B147">
        <v>211</v>
      </c>
    </row>
    <row r="148" spans="1:2">
      <c r="A148" s="75" t="s">
        <v>270</v>
      </c>
      <c r="B148">
        <v>159</v>
      </c>
    </row>
    <row r="149" spans="1:2">
      <c r="A149" s="75" t="s">
        <v>1383</v>
      </c>
      <c r="B149">
        <v>198</v>
      </c>
    </row>
    <row r="150" spans="1:2">
      <c r="A150" s="75" t="s">
        <v>41</v>
      </c>
      <c r="B150">
        <v>265</v>
      </c>
    </row>
    <row r="151" spans="1:2">
      <c r="A151" s="75" t="s">
        <v>1235</v>
      </c>
      <c r="B151">
        <v>352</v>
      </c>
    </row>
    <row r="152" spans="1:2">
      <c r="A152" s="75" t="s">
        <v>2401</v>
      </c>
      <c r="B152">
        <v>60</v>
      </c>
    </row>
    <row r="153" spans="1:2">
      <c r="A153" s="75" t="s">
        <v>1384</v>
      </c>
      <c r="B153">
        <v>106</v>
      </c>
    </row>
    <row r="154" spans="1:2">
      <c r="A154" s="75" t="s">
        <v>69</v>
      </c>
      <c r="B154">
        <v>603</v>
      </c>
    </row>
    <row r="155" spans="1:2">
      <c r="A155" s="75" t="s">
        <v>1045</v>
      </c>
      <c r="B155">
        <v>66</v>
      </c>
    </row>
    <row r="156" spans="1:2">
      <c r="A156" s="75" t="s">
        <v>2045</v>
      </c>
      <c r="B156">
        <v>431</v>
      </c>
    </row>
    <row r="157" spans="1:2">
      <c r="A157" s="75" t="s">
        <v>675</v>
      </c>
      <c r="B157">
        <v>143</v>
      </c>
    </row>
    <row r="158" spans="1:2">
      <c r="A158" s="75" t="s">
        <v>2046</v>
      </c>
      <c r="B158">
        <v>154</v>
      </c>
    </row>
    <row r="159" spans="1:2">
      <c r="A159" s="75" t="s">
        <v>1576</v>
      </c>
      <c r="B159">
        <v>271</v>
      </c>
    </row>
    <row r="160" spans="1:2">
      <c r="A160" s="75" t="s">
        <v>1577</v>
      </c>
      <c r="B160">
        <v>229</v>
      </c>
    </row>
    <row r="161" spans="1:2">
      <c r="A161" s="75" t="s">
        <v>750</v>
      </c>
      <c r="B161">
        <v>610</v>
      </c>
    </row>
    <row r="162" spans="1:2">
      <c r="A162" s="75" t="s">
        <v>751</v>
      </c>
      <c r="B162">
        <v>337</v>
      </c>
    </row>
    <row r="163" spans="1:2">
      <c r="A163" s="75" t="s">
        <v>769</v>
      </c>
      <c r="B163">
        <v>470</v>
      </c>
    </row>
    <row r="164" spans="1:2">
      <c r="A164" s="75" t="s">
        <v>542</v>
      </c>
      <c r="B164">
        <v>455</v>
      </c>
    </row>
    <row r="165" spans="1:2">
      <c r="A165" s="75" t="s">
        <v>2235</v>
      </c>
      <c r="B165">
        <v>308</v>
      </c>
    </row>
    <row r="166" spans="1:2">
      <c r="A166" s="75" t="s">
        <v>770</v>
      </c>
      <c r="B166">
        <v>544</v>
      </c>
    </row>
    <row r="167" spans="1:2">
      <c r="A167" s="75" t="s">
        <v>1640</v>
      </c>
      <c r="B167">
        <v>199</v>
      </c>
    </row>
    <row r="168" spans="1:2">
      <c r="A168" s="75" t="s">
        <v>547</v>
      </c>
      <c r="B168">
        <v>23</v>
      </c>
    </row>
    <row r="169" spans="1:2">
      <c r="A169" s="75" t="s">
        <v>1549</v>
      </c>
      <c r="B169">
        <v>64</v>
      </c>
    </row>
    <row r="170" spans="1:2">
      <c r="A170" s="75" t="s">
        <v>2362</v>
      </c>
      <c r="B170">
        <v>93</v>
      </c>
    </row>
    <row r="171" spans="1:2">
      <c r="A171" s="75" t="s">
        <v>1593</v>
      </c>
      <c r="B171">
        <v>89</v>
      </c>
    </row>
    <row r="172" spans="1:2">
      <c r="A172" s="75" t="s">
        <v>1340</v>
      </c>
      <c r="B172">
        <v>73</v>
      </c>
    </row>
    <row r="173" spans="1:2">
      <c r="A173" s="75" t="s">
        <v>2389</v>
      </c>
      <c r="B173">
        <v>115</v>
      </c>
    </row>
    <row r="174" spans="1:2">
      <c r="A174" s="75" t="s">
        <v>608</v>
      </c>
      <c r="B174">
        <v>67</v>
      </c>
    </row>
    <row r="175" spans="1:2">
      <c r="A175" s="75" t="s">
        <v>609</v>
      </c>
      <c r="B175">
        <v>100</v>
      </c>
    </row>
    <row r="176" spans="1:2">
      <c r="A176" s="75" t="s">
        <v>204</v>
      </c>
      <c r="B176">
        <v>62</v>
      </c>
    </row>
    <row r="177" spans="1:2">
      <c r="A177" s="75" t="s">
        <v>1492</v>
      </c>
      <c r="B177">
        <v>52</v>
      </c>
    </row>
    <row r="178" spans="1:2">
      <c r="A178" s="75" t="s">
        <v>1113</v>
      </c>
      <c r="B178">
        <v>42</v>
      </c>
    </row>
    <row r="179" spans="1:2">
      <c r="A179" s="75" t="s">
        <v>831</v>
      </c>
      <c r="B179">
        <v>61</v>
      </c>
    </row>
    <row r="180" spans="1:2">
      <c r="A180" s="75" t="s">
        <v>1353</v>
      </c>
      <c r="B180">
        <v>32</v>
      </c>
    </row>
    <row r="181" spans="1:2">
      <c r="A181" s="75" t="s">
        <v>239</v>
      </c>
      <c r="B181">
        <v>18</v>
      </c>
    </row>
    <row r="182" spans="1:2">
      <c r="A182" s="75" t="s">
        <v>240</v>
      </c>
      <c r="B182">
        <v>525</v>
      </c>
    </row>
    <row r="183" spans="1:2">
      <c r="A183" s="75" t="s">
        <v>551</v>
      </c>
      <c r="B183">
        <v>369</v>
      </c>
    </row>
    <row r="184" spans="1:2">
      <c r="A184" s="75" t="s">
        <v>1351</v>
      </c>
      <c r="B184">
        <v>407</v>
      </c>
    </row>
    <row r="185" spans="1:2">
      <c r="A185" s="75" t="s">
        <v>552</v>
      </c>
      <c r="B185">
        <v>417</v>
      </c>
    </row>
    <row r="186" spans="1:2">
      <c r="A186" s="75" t="s">
        <v>25</v>
      </c>
      <c r="B186">
        <v>172</v>
      </c>
    </row>
    <row r="187" spans="1:2">
      <c r="A187" s="75" t="s">
        <v>26</v>
      </c>
      <c r="B187">
        <v>77</v>
      </c>
    </row>
    <row r="188" spans="1:2">
      <c r="A188" s="75" t="s">
        <v>1191</v>
      </c>
      <c r="B188">
        <v>588</v>
      </c>
    </row>
    <row r="189" spans="1:2">
      <c r="A189" s="75" t="s">
        <v>2190</v>
      </c>
      <c r="B189">
        <v>336</v>
      </c>
    </row>
    <row r="190" spans="1:2">
      <c r="A190" s="75" t="s">
        <v>2271</v>
      </c>
      <c r="B190">
        <v>250</v>
      </c>
    </row>
    <row r="191" spans="1:2">
      <c r="A191" s="75" t="s">
        <v>2217</v>
      </c>
      <c r="B191">
        <v>114</v>
      </c>
    </row>
    <row r="192" spans="1:2">
      <c r="A192" s="75" t="s">
        <v>2191</v>
      </c>
      <c r="B192">
        <v>92</v>
      </c>
    </row>
    <row r="193" spans="1:2">
      <c r="A193" s="75" t="s">
        <v>2192</v>
      </c>
      <c r="B193">
        <v>559</v>
      </c>
    </row>
    <row r="194" spans="1:2">
      <c r="A194" s="75" t="s">
        <v>283</v>
      </c>
      <c r="B194">
        <v>315</v>
      </c>
    </row>
    <row r="195" spans="1:2">
      <c r="A195" s="75" t="s">
        <v>1342</v>
      </c>
      <c r="B195">
        <v>78</v>
      </c>
    </row>
    <row r="196" spans="1:2">
      <c r="A196" s="75" t="s">
        <v>284</v>
      </c>
      <c r="B196">
        <v>189</v>
      </c>
    </row>
    <row r="197" spans="1:2">
      <c r="A197" s="75" t="s">
        <v>2363</v>
      </c>
      <c r="B197">
        <v>84</v>
      </c>
    </row>
    <row r="198" spans="1:2">
      <c r="A198" s="75" t="s">
        <v>285</v>
      </c>
      <c r="B198">
        <v>139</v>
      </c>
    </row>
    <row r="199" spans="1:2">
      <c r="A199" s="75" t="s">
        <v>286</v>
      </c>
      <c r="B199">
        <v>154</v>
      </c>
    </row>
    <row r="200" spans="1:2">
      <c r="A200" s="75" t="s">
        <v>287</v>
      </c>
      <c r="B200">
        <v>40</v>
      </c>
    </row>
    <row r="201" spans="1:2">
      <c r="A201" s="75" t="s">
        <v>1646</v>
      </c>
      <c r="B201">
        <v>20</v>
      </c>
    </row>
    <row r="202" spans="1:2">
      <c r="A202" s="75" t="s">
        <v>1647</v>
      </c>
      <c r="B202">
        <v>74</v>
      </c>
    </row>
    <row r="203" spans="1:2">
      <c r="A203" s="75" t="s">
        <v>1240</v>
      </c>
      <c r="B203">
        <v>262</v>
      </c>
    </row>
    <row r="204" spans="1:2">
      <c r="A204" s="75" t="s">
        <v>1042</v>
      </c>
      <c r="B204">
        <v>475</v>
      </c>
    </row>
    <row r="205" spans="1:2">
      <c r="A205" s="75" t="s">
        <v>2029</v>
      </c>
      <c r="B205">
        <v>76</v>
      </c>
    </row>
    <row r="206" spans="1:2">
      <c r="A206" s="75" t="s">
        <v>1043</v>
      </c>
      <c r="B206">
        <v>181</v>
      </c>
    </row>
    <row r="207" spans="1:2">
      <c r="A207" s="75" t="s">
        <v>2260</v>
      </c>
      <c r="B207">
        <v>57</v>
      </c>
    </row>
    <row r="208" spans="1:2">
      <c r="A208" s="75" t="s">
        <v>1044</v>
      </c>
      <c r="B208">
        <v>798</v>
      </c>
    </row>
    <row r="209" spans="1:2">
      <c r="A209" s="75" t="s">
        <v>640</v>
      </c>
      <c r="B209">
        <v>789</v>
      </c>
    </row>
    <row r="210" spans="1:2">
      <c r="A210" s="75" t="s">
        <v>641</v>
      </c>
      <c r="B210" s="82">
        <v>2804</v>
      </c>
    </row>
    <row r="211" spans="1:2">
      <c r="A211" s="75" t="s">
        <v>642</v>
      </c>
      <c r="B211">
        <v>471</v>
      </c>
    </row>
    <row r="212" spans="1:2">
      <c r="A212" s="75" t="s">
        <v>643</v>
      </c>
      <c r="B212">
        <v>223</v>
      </c>
    </row>
    <row r="213" spans="1:2">
      <c r="A213" s="75" t="s">
        <v>372</v>
      </c>
      <c r="B213">
        <v>303</v>
      </c>
    </row>
    <row r="214" spans="1:2">
      <c r="A214" s="75" t="s">
        <v>2418</v>
      </c>
      <c r="B214" s="82">
        <v>4866</v>
      </c>
    </row>
    <row r="215" spans="1:2">
      <c r="A215" s="75" t="s">
        <v>2419</v>
      </c>
      <c r="B215">
        <v>852</v>
      </c>
    </row>
    <row r="216" spans="1:2">
      <c r="A216" s="75" t="s">
        <v>2420</v>
      </c>
      <c r="B216">
        <v>599</v>
      </c>
    </row>
    <row r="217" spans="1:2">
      <c r="A217" s="75" t="s">
        <v>1550</v>
      </c>
      <c r="B217">
        <v>49</v>
      </c>
    </row>
    <row r="218" spans="1:2">
      <c r="A218" s="75" t="s">
        <v>366</v>
      </c>
      <c r="B218">
        <v>42</v>
      </c>
    </row>
    <row r="219" spans="1:2">
      <c r="A219" s="75" t="s">
        <v>367</v>
      </c>
      <c r="B219">
        <v>319</v>
      </c>
    </row>
    <row r="220" spans="1:2">
      <c r="A220" s="75" t="s">
        <v>368</v>
      </c>
      <c r="B220">
        <v>22</v>
      </c>
    </row>
    <row r="221" spans="1:2">
      <c r="A221" s="75" t="s">
        <v>369</v>
      </c>
      <c r="B221">
        <v>29</v>
      </c>
    </row>
    <row r="222" spans="1:2">
      <c r="A222" s="75" t="s">
        <v>2435</v>
      </c>
      <c r="B222">
        <v>96</v>
      </c>
    </row>
    <row r="223" spans="1:2">
      <c r="A223" s="75" t="s">
        <v>625</v>
      </c>
      <c r="B223">
        <v>53</v>
      </c>
    </row>
    <row r="224" spans="1:2">
      <c r="A224" s="75" t="s">
        <v>500</v>
      </c>
      <c r="B224">
        <v>7</v>
      </c>
    </row>
    <row r="225" spans="1:2">
      <c r="A225" s="75" t="s">
        <v>39</v>
      </c>
      <c r="B225">
        <v>51</v>
      </c>
    </row>
    <row r="226" spans="1:2">
      <c r="A226" s="75" t="s">
        <v>1693</v>
      </c>
      <c r="B226">
        <v>38</v>
      </c>
    </row>
    <row r="227" spans="1:2">
      <c r="A227" s="75" t="s">
        <v>2392</v>
      </c>
      <c r="B227">
        <v>55</v>
      </c>
    </row>
    <row r="228" spans="1:2">
      <c r="A228" s="75" t="s">
        <v>1694</v>
      </c>
      <c r="B228">
        <v>44</v>
      </c>
    </row>
    <row r="229" spans="1:2">
      <c r="A229" s="75" t="s">
        <v>2541</v>
      </c>
      <c r="B229">
        <v>20</v>
      </c>
    </row>
    <row r="230" spans="1:2">
      <c r="A230" s="75" t="s">
        <v>234</v>
      </c>
      <c r="B230">
        <v>70</v>
      </c>
    </row>
    <row r="231" spans="1:2">
      <c r="A231" s="75" t="s">
        <v>235</v>
      </c>
      <c r="B231">
        <v>24</v>
      </c>
    </row>
    <row r="232" spans="1:2">
      <c r="A232" s="75" t="s">
        <v>236</v>
      </c>
      <c r="B232">
        <v>138</v>
      </c>
    </row>
    <row r="233" spans="1:2">
      <c r="A233" s="75" t="s">
        <v>237</v>
      </c>
      <c r="B233">
        <v>571</v>
      </c>
    </row>
    <row r="234" spans="1:2">
      <c r="A234" s="75" t="s">
        <v>238</v>
      </c>
      <c r="B234">
        <v>343</v>
      </c>
    </row>
    <row r="235" spans="1:2">
      <c r="A235" s="75" t="s">
        <v>355</v>
      </c>
      <c r="B235">
        <v>218</v>
      </c>
    </row>
    <row r="236" spans="1:2">
      <c r="A236" s="75" t="s">
        <v>1760</v>
      </c>
      <c r="B236">
        <v>702</v>
      </c>
    </row>
    <row r="237" spans="1:2">
      <c r="A237" s="75" t="s">
        <v>1012</v>
      </c>
      <c r="B237">
        <v>471</v>
      </c>
    </row>
    <row r="238" spans="1:2">
      <c r="A238" s="75" t="s">
        <v>1013</v>
      </c>
      <c r="B238">
        <v>234</v>
      </c>
    </row>
    <row r="239" spans="1:2">
      <c r="A239" s="75" t="s">
        <v>603</v>
      </c>
      <c r="B239">
        <v>99</v>
      </c>
    </row>
    <row r="240" spans="1:2">
      <c r="A240" s="75" t="s">
        <v>1014</v>
      </c>
      <c r="B240">
        <v>162</v>
      </c>
    </row>
    <row r="241" spans="1:2">
      <c r="A241" s="75" t="s">
        <v>1673</v>
      </c>
      <c r="B241">
        <v>130</v>
      </c>
    </row>
    <row r="242" spans="1:2">
      <c r="A242" s="75" t="s">
        <v>198</v>
      </c>
      <c r="B242">
        <v>125</v>
      </c>
    </row>
    <row r="243" spans="1:2">
      <c r="A243" s="75" t="s">
        <v>676</v>
      </c>
      <c r="B243">
        <v>73</v>
      </c>
    </row>
    <row r="244" spans="1:2">
      <c r="A244" s="75" t="s">
        <v>200</v>
      </c>
      <c r="B244">
        <v>57</v>
      </c>
    </row>
    <row r="245" spans="1:2">
      <c r="A245" s="75" t="s">
        <v>1586</v>
      </c>
      <c r="B245">
        <v>47</v>
      </c>
    </row>
    <row r="246" spans="1:2">
      <c r="A246" s="75" t="s">
        <v>462</v>
      </c>
      <c r="B246">
        <v>97</v>
      </c>
    </row>
    <row r="247" spans="1:2">
      <c r="A247" s="75" t="s">
        <v>1734</v>
      </c>
      <c r="B247">
        <v>48</v>
      </c>
    </row>
    <row r="248" spans="1:2">
      <c r="A248" s="75" t="s">
        <v>1325</v>
      </c>
      <c r="B248">
        <v>236</v>
      </c>
    </row>
    <row r="249" spans="1:2">
      <c r="A249" s="75" t="s">
        <v>59</v>
      </c>
      <c r="B249">
        <v>18</v>
      </c>
    </row>
    <row r="250" spans="1:2">
      <c r="A250" s="75" t="s">
        <v>604</v>
      </c>
      <c r="B250">
        <v>39</v>
      </c>
    </row>
    <row r="251" spans="1:2">
      <c r="A251" s="75" t="s">
        <v>2364</v>
      </c>
      <c r="B251">
        <v>269</v>
      </c>
    </row>
    <row r="252" spans="1:2">
      <c r="A252" s="75" t="s">
        <v>1735</v>
      </c>
      <c r="B252">
        <v>109</v>
      </c>
    </row>
    <row r="253" spans="1:2">
      <c r="A253" s="75" t="s">
        <v>1114</v>
      </c>
      <c r="B253">
        <v>261</v>
      </c>
    </row>
    <row r="254" spans="1:2">
      <c r="A254" s="75" t="s">
        <v>1736</v>
      </c>
      <c r="B254">
        <v>208</v>
      </c>
    </row>
    <row r="255" spans="1:2">
      <c r="A255" s="75" t="s">
        <v>657</v>
      </c>
      <c r="B255">
        <v>74</v>
      </c>
    </row>
    <row r="256" spans="1:2">
      <c r="A256" s="75" t="s">
        <v>282</v>
      </c>
      <c r="B256">
        <v>98</v>
      </c>
    </row>
    <row r="257" spans="1:2">
      <c r="A257" s="75" t="s">
        <v>165</v>
      </c>
      <c r="B257">
        <v>533</v>
      </c>
    </row>
    <row r="258" spans="1:2">
      <c r="A258" s="75" t="s">
        <v>166</v>
      </c>
      <c r="B258">
        <v>390</v>
      </c>
    </row>
    <row r="259" spans="1:2">
      <c r="A259" s="75" t="s">
        <v>677</v>
      </c>
      <c r="B259" s="82">
        <v>1310</v>
      </c>
    </row>
    <row r="260" spans="1:2">
      <c r="A260" s="75" t="s">
        <v>2485</v>
      </c>
      <c r="B260">
        <v>879</v>
      </c>
    </row>
    <row r="261" spans="1:2">
      <c r="A261" s="75" t="s">
        <v>1465</v>
      </c>
      <c r="B261">
        <v>304</v>
      </c>
    </row>
    <row r="262" spans="1:2">
      <c r="A262" s="75" t="s">
        <v>2486</v>
      </c>
      <c r="B262">
        <v>130</v>
      </c>
    </row>
    <row r="263" spans="1:2">
      <c r="A263" s="75" t="s">
        <v>2487</v>
      </c>
      <c r="B263">
        <v>753</v>
      </c>
    </row>
    <row r="264" spans="1:2">
      <c r="A264" s="75" t="s">
        <v>678</v>
      </c>
      <c r="B264">
        <v>550</v>
      </c>
    </row>
    <row r="265" spans="1:2">
      <c r="A265" s="75" t="s">
        <v>637</v>
      </c>
      <c r="B265">
        <v>374</v>
      </c>
    </row>
    <row r="266" spans="1:2">
      <c r="A266" s="75" t="s">
        <v>2030</v>
      </c>
      <c r="B266">
        <v>215</v>
      </c>
    </row>
    <row r="267" spans="1:2">
      <c r="A267" s="75" t="s">
        <v>2173</v>
      </c>
      <c r="B267">
        <v>259</v>
      </c>
    </row>
    <row r="268" spans="1:2">
      <c r="A268" s="75" t="s">
        <v>1691</v>
      </c>
      <c r="B268">
        <v>117</v>
      </c>
    </row>
    <row r="269" spans="1:2">
      <c r="A269" s="75" t="s">
        <v>579</v>
      </c>
      <c r="B269">
        <v>187</v>
      </c>
    </row>
    <row r="270" spans="1:2">
      <c r="A270" s="75" t="s">
        <v>870</v>
      </c>
      <c r="B270">
        <v>132</v>
      </c>
    </row>
    <row r="271" spans="1:2">
      <c r="A271" s="75" t="s">
        <v>2013</v>
      </c>
      <c r="B271">
        <v>904</v>
      </c>
    </row>
    <row r="272" spans="1:2">
      <c r="A272" s="75" t="s">
        <v>2438</v>
      </c>
      <c r="B272" s="82">
        <v>1628</v>
      </c>
    </row>
    <row r="273" spans="1:2">
      <c r="A273" s="75" t="s">
        <v>2257</v>
      </c>
      <c r="B273">
        <v>898</v>
      </c>
    </row>
    <row r="274" spans="1:2">
      <c r="A274" s="75" t="s">
        <v>232</v>
      </c>
      <c r="B274">
        <v>46</v>
      </c>
    </row>
    <row r="275" spans="1:2">
      <c r="A275" s="75" t="s">
        <v>1320</v>
      </c>
      <c r="B275">
        <v>266</v>
      </c>
    </row>
    <row r="276" spans="1:2">
      <c r="A276" s="75" t="s">
        <v>1321</v>
      </c>
      <c r="B276">
        <v>79</v>
      </c>
    </row>
    <row r="277" spans="1:2">
      <c r="A277" s="75" t="s">
        <v>679</v>
      </c>
      <c r="B277">
        <v>65</v>
      </c>
    </row>
    <row r="278" spans="1:2">
      <c r="A278" s="75" t="s">
        <v>1316</v>
      </c>
      <c r="B278">
        <v>110</v>
      </c>
    </row>
    <row r="279" spans="1:2">
      <c r="A279" s="75" t="s">
        <v>883</v>
      </c>
      <c r="B279">
        <v>61</v>
      </c>
    </row>
    <row r="280" spans="1:2">
      <c r="A280" s="75" t="s">
        <v>233</v>
      </c>
      <c r="B280">
        <v>55</v>
      </c>
    </row>
    <row r="281" spans="1:2">
      <c r="A281" s="75" t="s">
        <v>1971</v>
      </c>
      <c r="B281">
        <v>35</v>
      </c>
    </row>
    <row r="282" spans="1:2">
      <c r="A282" s="75" t="s">
        <v>326</v>
      </c>
      <c r="B282">
        <v>193</v>
      </c>
    </row>
    <row r="283" spans="1:2">
      <c r="A283" s="75" t="s">
        <v>680</v>
      </c>
      <c r="B283">
        <v>74</v>
      </c>
    </row>
    <row r="284" spans="1:2">
      <c r="A284" s="75" t="s">
        <v>541</v>
      </c>
      <c r="B284">
        <v>384</v>
      </c>
    </row>
    <row r="285" spans="1:2">
      <c r="A285" s="75" t="s">
        <v>2275</v>
      </c>
      <c r="B285">
        <v>207</v>
      </c>
    </row>
    <row r="286" spans="1:2">
      <c r="A286" s="75" t="s">
        <v>730</v>
      </c>
      <c r="B286">
        <v>61</v>
      </c>
    </row>
    <row r="287" spans="1:2">
      <c r="A287" s="75" t="s">
        <v>173</v>
      </c>
      <c r="B287">
        <v>13</v>
      </c>
    </row>
    <row r="288" spans="1:2">
      <c r="A288" s="75" t="s">
        <v>1115</v>
      </c>
      <c r="B288">
        <v>66</v>
      </c>
    </row>
    <row r="289" spans="1:2">
      <c r="A289" s="75" t="s">
        <v>1979</v>
      </c>
      <c r="B289">
        <v>7</v>
      </c>
    </row>
    <row r="290" spans="1:2">
      <c r="A290" s="75" t="s">
        <v>1781</v>
      </c>
      <c r="B290">
        <v>71</v>
      </c>
    </row>
    <row r="291" spans="1:2">
      <c r="A291" s="75" t="s">
        <v>1428</v>
      </c>
      <c r="B291">
        <v>74</v>
      </c>
    </row>
    <row r="292" spans="1:2">
      <c r="A292" s="75" t="s">
        <v>1081</v>
      </c>
      <c r="B292">
        <v>133</v>
      </c>
    </row>
    <row r="293" spans="1:2">
      <c r="A293" s="75" t="s">
        <v>2276</v>
      </c>
      <c r="B293">
        <v>78</v>
      </c>
    </row>
    <row r="294" spans="1:2">
      <c r="A294" s="75" t="s">
        <v>2277</v>
      </c>
      <c r="B294">
        <v>257</v>
      </c>
    </row>
    <row r="295" spans="1:2">
      <c r="A295" s="75" t="s">
        <v>1422</v>
      </c>
      <c r="B295">
        <v>239</v>
      </c>
    </row>
    <row r="296" spans="1:2">
      <c r="A296" s="75" t="s">
        <v>1727</v>
      </c>
      <c r="B296">
        <v>64</v>
      </c>
    </row>
    <row r="297" spans="1:2">
      <c r="A297" s="75" t="s">
        <v>1728</v>
      </c>
      <c r="B297">
        <v>158</v>
      </c>
    </row>
    <row r="298" spans="1:2">
      <c r="A298" s="75" t="s">
        <v>1160</v>
      </c>
      <c r="B298">
        <v>138</v>
      </c>
    </row>
    <row r="299" spans="1:2">
      <c r="A299" s="75" t="s">
        <v>1729</v>
      </c>
      <c r="B299">
        <v>76</v>
      </c>
    </row>
    <row r="300" spans="1:2">
      <c r="A300" s="75" t="s">
        <v>187</v>
      </c>
      <c r="B300">
        <v>87</v>
      </c>
    </row>
    <row r="301" spans="1:2">
      <c r="A301" s="75" t="s">
        <v>1730</v>
      </c>
      <c r="B301">
        <v>319</v>
      </c>
    </row>
    <row r="302" spans="1:2">
      <c r="A302" s="75" t="s">
        <v>1738</v>
      </c>
      <c r="B302">
        <v>20</v>
      </c>
    </row>
    <row r="303" spans="1:2">
      <c r="A303" s="75" t="s">
        <v>188</v>
      </c>
      <c r="B303">
        <v>302</v>
      </c>
    </row>
    <row r="304" spans="1:2">
      <c r="A304" s="75" t="s">
        <v>189</v>
      </c>
      <c r="B304">
        <v>231</v>
      </c>
    </row>
    <row r="305" spans="1:2">
      <c r="A305" s="75" t="s">
        <v>1161</v>
      </c>
      <c r="B305">
        <v>47</v>
      </c>
    </row>
    <row r="306" spans="1:2">
      <c r="A306" s="75" t="s">
        <v>681</v>
      </c>
      <c r="B306">
        <v>29</v>
      </c>
    </row>
    <row r="307" spans="1:2">
      <c r="A307" s="75" t="s">
        <v>190</v>
      </c>
      <c r="B307">
        <v>219</v>
      </c>
    </row>
    <row r="308" spans="1:2">
      <c r="A308" s="75" t="s">
        <v>191</v>
      </c>
      <c r="B308">
        <v>68</v>
      </c>
    </row>
    <row r="309" spans="1:2">
      <c r="A309" s="75" t="s">
        <v>1644</v>
      </c>
      <c r="B309">
        <v>47</v>
      </c>
    </row>
    <row r="310" spans="1:2">
      <c r="A310" s="75" t="s">
        <v>1645</v>
      </c>
      <c r="B310">
        <v>49</v>
      </c>
    </row>
    <row r="311" spans="1:2">
      <c r="A311" s="75" t="s">
        <v>1162</v>
      </c>
      <c r="B311">
        <v>136</v>
      </c>
    </row>
    <row r="312" spans="1:2">
      <c r="A312" s="75" t="s">
        <v>2428</v>
      </c>
      <c r="B312">
        <v>247</v>
      </c>
    </row>
    <row r="313" spans="1:2">
      <c r="A313" s="75" t="s">
        <v>1601</v>
      </c>
      <c r="B313">
        <v>316</v>
      </c>
    </row>
    <row r="314" spans="1:2">
      <c r="A314" s="75" t="s">
        <v>1602</v>
      </c>
      <c r="B314">
        <v>145</v>
      </c>
    </row>
    <row r="315" spans="1:2">
      <c r="A315" s="75" t="s">
        <v>873</v>
      </c>
      <c r="B315">
        <v>89</v>
      </c>
    </row>
    <row r="316" spans="1:2">
      <c r="A316" s="75" t="s">
        <v>63</v>
      </c>
      <c r="B316">
        <v>133</v>
      </c>
    </row>
    <row r="317" spans="1:2">
      <c r="A317" s="75" t="s">
        <v>710</v>
      </c>
      <c r="B317">
        <v>340</v>
      </c>
    </row>
    <row r="318" spans="1:2">
      <c r="A318" s="75" t="s">
        <v>2365</v>
      </c>
      <c r="B318">
        <v>352</v>
      </c>
    </row>
    <row r="319" spans="1:2">
      <c r="A319" s="75" t="s">
        <v>590</v>
      </c>
      <c r="B319">
        <v>648</v>
      </c>
    </row>
    <row r="320" spans="1:2">
      <c r="A320" s="75" t="s">
        <v>591</v>
      </c>
      <c r="B320">
        <v>239</v>
      </c>
    </row>
    <row r="321" spans="1:2">
      <c r="A321" s="75" t="s">
        <v>592</v>
      </c>
      <c r="B321">
        <v>889</v>
      </c>
    </row>
    <row r="322" spans="1:2">
      <c r="A322" s="75" t="s">
        <v>593</v>
      </c>
      <c r="B322">
        <v>348</v>
      </c>
    </row>
    <row r="323" spans="1:2">
      <c r="A323" s="75" t="s">
        <v>2400</v>
      </c>
      <c r="B323">
        <v>203</v>
      </c>
    </row>
    <row r="324" spans="1:2">
      <c r="A324" s="75" t="s">
        <v>1337</v>
      </c>
      <c r="B324">
        <v>171</v>
      </c>
    </row>
    <row r="325" spans="1:2">
      <c r="A325" s="75" t="s">
        <v>594</v>
      </c>
      <c r="B325">
        <v>41</v>
      </c>
    </row>
    <row r="326" spans="1:2">
      <c r="A326" s="75" t="s">
        <v>2193</v>
      </c>
      <c r="B326">
        <v>6</v>
      </c>
    </row>
    <row r="327" spans="1:2">
      <c r="A327" s="75" t="s">
        <v>1900</v>
      </c>
      <c r="B327">
        <v>254</v>
      </c>
    </row>
    <row r="328" spans="1:2">
      <c r="A328" s="75" t="s">
        <v>1227</v>
      </c>
      <c r="B328">
        <v>470</v>
      </c>
    </row>
    <row r="329" spans="1:2">
      <c r="A329" s="75" t="s">
        <v>1812</v>
      </c>
      <c r="B329">
        <v>216</v>
      </c>
    </row>
    <row r="330" spans="1:2">
      <c r="A330" s="75" t="s">
        <v>1817</v>
      </c>
      <c r="B330">
        <v>109</v>
      </c>
    </row>
    <row r="331" spans="1:2">
      <c r="A331" s="75" t="s">
        <v>1818</v>
      </c>
      <c r="B331">
        <v>63</v>
      </c>
    </row>
    <row r="332" spans="1:2">
      <c r="A332" s="75" t="s">
        <v>1163</v>
      </c>
      <c r="B332">
        <v>358</v>
      </c>
    </row>
    <row r="333" spans="1:2">
      <c r="A333" s="75" t="s">
        <v>2366</v>
      </c>
      <c r="B333">
        <v>741</v>
      </c>
    </row>
    <row r="334" spans="1:2">
      <c r="A334" s="75" t="s">
        <v>1819</v>
      </c>
      <c r="B334">
        <v>194</v>
      </c>
    </row>
    <row r="335" spans="1:2">
      <c r="A335" s="75" t="s">
        <v>1991</v>
      </c>
      <c r="B335">
        <v>216</v>
      </c>
    </row>
    <row r="336" spans="1:2">
      <c r="A336" s="75" t="s">
        <v>2053</v>
      </c>
      <c r="B336" s="82">
        <v>1163</v>
      </c>
    </row>
    <row r="337" spans="1:2">
      <c r="A337" s="75" t="s">
        <v>1880</v>
      </c>
      <c r="B337">
        <v>88</v>
      </c>
    </row>
    <row r="338" spans="1:2">
      <c r="A338" s="75" t="s">
        <v>2108</v>
      </c>
      <c r="B338">
        <v>706</v>
      </c>
    </row>
    <row r="339" spans="1:2">
      <c r="A339" s="75" t="s">
        <v>1762</v>
      </c>
      <c r="B339">
        <v>157</v>
      </c>
    </row>
    <row r="340" spans="1:2">
      <c r="A340" s="75" t="s">
        <v>717</v>
      </c>
      <c r="B340">
        <v>34</v>
      </c>
    </row>
    <row r="341" spans="1:2">
      <c r="A341" s="75" t="s">
        <v>718</v>
      </c>
      <c r="B341">
        <v>45</v>
      </c>
    </row>
    <row r="342" spans="1:2">
      <c r="A342" s="75" t="s">
        <v>2319</v>
      </c>
      <c r="B342">
        <v>86</v>
      </c>
    </row>
    <row r="343" spans="1:2">
      <c r="A343" s="75" t="s">
        <v>463</v>
      </c>
      <c r="B343">
        <v>75</v>
      </c>
    </row>
    <row r="344" spans="1:2">
      <c r="A344" s="75" t="s">
        <v>2320</v>
      </c>
      <c r="B344">
        <v>109</v>
      </c>
    </row>
    <row r="345" spans="1:2">
      <c r="A345" s="75" t="s">
        <v>1339</v>
      </c>
      <c r="B345">
        <v>14</v>
      </c>
    </row>
    <row r="346" spans="1:2">
      <c r="A346" s="75" t="s">
        <v>1574</v>
      </c>
      <c r="B346">
        <v>788</v>
      </c>
    </row>
    <row r="347" spans="1:2">
      <c r="A347" s="75" t="s">
        <v>1575</v>
      </c>
      <c r="B347">
        <v>118</v>
      </c>
    </row>
    <row r="348" spans="1:2">
      <c r="A348" s="75" t="s">
        <v>1769</v>
      </c>
      <c r="B348">
        <v>130</v>
      </c>
    </row>
    <row r="349" spans="1:2">
      <c r="A349" s="75" t="s">
        <v>1366</v>
      </c>
      <c r="B349">
        <v>759</v>
      </c>
    </row>
    <row r="350" spans="1:2">
      <c r="A350" s="75" t="s">
        <v>2041</v>
      </c>
      <c r="B350">
        <v>383</v>
      </c>
    </row>
    <row r="351" spans="1:2">
      <c r="A351" s="75" t="s">
        <v>2042</v>
      </c>
      <c r="B351">
        <v>902</v>
      </c>
    </row>
    <row r="352" spans="1:2">
      <c r="A352" s="75" t="s">
        <v>2298</v>
      </c>
      <c r="B352">
        <v>861</v>
      </c>
    </row>
    <row r="353" spans="1:2">
      <c r="A353" s="75" t="s">
        <v>859</v>
      </c>
      <c r="B353">
        <v>528</v>
      </c>
    </row>
    <row r="354" spans="1:2">
      <c r="A354" s="75" t="s">
        <v>2299</v>
      </c>
      <c r="B354">
        <v>373</v>
      </c>
    </row>
    <row r="355" spans="1:2">
      <c r="A355" s="75" t="s">
        <v>2300</v>
      </c>
      <c r="B355">
        <v>175</v>
      </c>
    </row>
    <row r="356" spans="1:2">
      <c r="A356" s="75" t="s">
        <v>1748</v>
      </c>
      <c r="B356">
        <v>146</v>
      </c>
    </row>
    <row r="357" spans="1:2">
      <c r="A357" s="75" t="s">
        <v>1749</v>
      </c>
      <c r="B357">
        <v>360</v>
      </c>
    </row>
    <row r="358" spans="1:2">
      <c r="A358" s="75" t="s">
        <v>1908</v>
      </c>
      <c r="B358">
        <v>449</v>
      </c>
    </row>
    <row r="359" spans="1:2">
      <c r="A359" s="75" t="s">
        <v>1920</v>
      </c>
      <c r="B359">
        <v>129</v>
      </c>
    </row>
    <row r="360" spans="1:2">
      <c r="A360" s="75" t="s">
        <v>1590</v>
      </c>
      <c r="B360">
        <v>55</v>
      </c>
    </row>
    <row r="361" spans="1:2">
      <c r="A361" s="75" t="s">
        <v>928</v>
      </c>
      <c r="B361">
        <v>52</v>
      </c>
    </row>
    <row r="362" spans="1:2">
      <c r="A362" s="75" t="s">
        <v>929</v>
      </c>
      <c r="B362">
        <v>99</v>
      </c>
    </row>
    <row r="363" spans="1:2">
      <c r="A363" s="75" t="s">
        <v>1050</v>
      </c>
      <c r="B363">
        <v>76</v>
      </c>
    </row>
    <row r="364" spans="1:2">
      <c r="A364" s="75" t="s">
        <v>748</v>
      </c>
      <c r="B364">
        <v>77</v>
      </c>
    </row>
    <row r="365" spans="1:2">
      <c r="A365" s="75" t="s">
        <v>749</v>
      </c>
      <c r="B365">
        <v>35</v>
      </c>
    </row>
    <row r="366" spans="1:2">
      <c r="A366" s="75" t="s">
        <v>1164</v>
      </c>
      <c r="B366">
        <v>69</v>
      </c>
    </row>
    <row r="367" spans="1:2">
      <c r="A367" s="75" t="s">
        <v>1165</v>
      </c>
      <c r="B367">
        <v>156</v>
      </c>
    </row>
    <row r="368" spans="1:2">
      <c r="A368" s="75" t="s">
        <v>1377</v>
      </c>
      <c r="B368">
        <v>77</v>
      </c>
    </row>
    <row r="369" spans="1:2">
      <c r="A369" s="75" t="s">
        <v>201</v>
      </c>
      <c r="B369">
        <v>92</v>
      </c>
    </row>
    <row r="370" spans="1:2">
      <c r="A370" s="75" t="s">
        <v>2439</v>
      </c>
      <c r="B370">
        <v>122</v>
      </c>
    </row>
    <row r="371" spans="1:2">
      <c r="A371" s="75" t="s">
        <v>1232</v>
      </c>
      <c r="B371">
        <v>66</v>
      </c>
    </row>
    <row r="372" spans="1:2">
      <c r="A372" s="75" t="s">
        <v>1211</v>
      </c>
      <c r="B372">
        <v>53</v>
      </c>
    </row>
    <row r="373" spans="1:2">
      <c r="A373" s="75" t="s">
        <v>1212</v>
      </c>
      <c r="B373">
        <v>108</v>
      </c>
    </row>
    <row r="374" spans="1:2">
      <c r="A374" s="75" t="s">
        <v>1213</v>
      </c>
      <c r="B374">
        <v>101</v>
      </c>
    </row>
    <row r="375" spans="1:2">
      <c r="A375" s="75" t="s">
        <v>432</v>
      </c>
      <c r="B375">
        <v>106</v>
      </c>
    </row>
    <row r="376" spans="1:2">
      <c r="A376" s="75" t="s">
        <v>2066</v>
      </c>
      <c r="B376">
        <v>29</v>
      </c>
    </row>
    <row r="377" spans="1:2">
      <c r="A377" s="75" t="s">
        <v>2494</v>
      </c>
      <c r="B377">
        <v>42</v>
      </c>
    </row>
    <row r="378" spans="1:2">
      <c r="A378" s="75" t="s">
        <v>1420</v>
      </c>
      <c r="B378">
        <v>9</v>
      </c>
    </row>
    <row r="379" spans="1:2">
      <c r="A379" s="75" t="s">
        <v>2495</v>
      </c>
      <c r="B379">
        <v>16</v>
      </c>
    </row>
    <row r="380" spans="1:2">
      <c r="A380" s="75" t="s">
        <v>2496</v>
      </c>
      <c r="B380">
        <v>265</v>
      </c>
    </row>
    <row r="381" spans="1:2">
      <c r="A381" s="75" t="s">
        <v>2497</v>
      </c>
      <c r="B381">
        <v>135</v>
      </c>
    </row>
    <row r="382" spans="1:2">
      <c r="A382" s="75" t="s">
        <v>2498</v>
      </c>
      <c r="B382">
        <v>362</v>
      </c>
    </row>
    <row r="383" spans="1:2">
      <c r="A383" s="75" t="s">
        <v>2023</v>
      </c>
      <c r="B383">
        <v>126</v>
      </c>
    </row>
    <row r="384" spans="1:2">
      <c r="A384" s="75" t="s">
        <v>467</v>
      </c>
      <c r="B384">
        <v>376</v>
      </c>
    </row>
    <row r="385" spans="1:2">
      <c r="A385" s="75" t="s">
        <v>465</v>
      </c>
      <c r="B385">
        <v>65</v>
      </c>
    </row>
    <row r="386" spans="1:2">
      <c r="A386" s="75" t="s">
        <v>2024</v>
      </c>
      <c r="B386">
        <v>86</v>
      </c>
    </row>
    <row r="387" spans="1:2">
      <c r="A387" s="75" t="s">
        <v>332</v>
      </c>
      <c r="B387">
        <v>84</v>
      </c>
    </row>
    <row r="388" spans="1:2">
      <c r="A388" s="75" t="s">
        <v>2025</v>
      </c>
      <c r="B388">
        <v>183</v>
      </c>
    </row>
    <row r="389" spans="1:2">
      <c r="A389" s="75" t="s">
        <v>2026</v>
      </c>
      <c r="B389">
        <v>132</v>
      </c>
    </row>
    <row r="390" spans="1:2">
      <c r="A390" s="75" t="s">
        <v>476</v>
      </c>
      <c r="B390">
        <v>159</v>
      </c>
    </row>
    <row r="391" spans="1:2">
      <c r="A391" s="75" t="s">
        <v>1848</v>
      </c>
      <c r="B391">
        <v>151</v>
      </c>
    </row>
    <row r="392" spans="1:2">
      <c r="A392" s="75" t="s">
        <v>1959</v>
      </c>
      <c r="B392">
        <v>395</v>
      </c>
    </row>
    <row r="393" spans="1:2">
      <c r="A393" s="75" t="s">
        <v>1960</v>
      </c>
      <c r="B393">
        <v>704</v>
      </c>
    </row>
    <row r="394" spans="1:2">
      <c r="A394" s="75" t="s">
        <v>137</v>
      </c>
      <c r="B394">
        <v>466</v>
      </c>
    </row>
    <row r="395" spans="1:2">
      <c r="A395" s="75" t="s">
        <v>138</v>
      </c>
      <c r="B395">
        <v>513</v>
      </c>
    </row>
    <row r="396" spans="1:2">
      <c r="A396" s="75" t="s">
        <v>2367</v>
      </c>
      <c r="B396">
        <v>199</v>
      </c>
    </row>
    <row r="397" spans="1:2">
      <c r="A397" s="75" t="s">
        <v>2218</v>
      </c>
      <c r="B397">
        <v>522</v>
      </c>
    </row>
    <row r="398" spans="1:2">
      <c r="A398" s="75" t="s">
        <v>1055</v>
      </c>
      <c r="B398">
        <v>367</v>
      </c>
    </row>
    <row r="399" spans="1:2">
      <c r="A399" s="75" t="s">
        <v>1056</v>
      </c>
      <c r="B399">
        <v>479</v>
      </c>
    </row>
    <row r="400" spans="1:2">
      <c r="A400" s="75" t="s">
        <v>1987</v>
      </c>
      <c r="B400">
        <v>261</v>
      </c>
    </row>
    <row r="401" spans="1:2">
      <c r="A401" s="75" t="s">
        <v>1988</v>
      </c>
      <c r="B401">
        <v>557</v>
      </c>
    </row>
    <row r="402" spans="1:2">
      <c r="A402" s="75" t="s">
        <v>964</v>
      </c>
      <c r="B402">
        <v>254</v>
      </c>
    </row>
    <row r="403" spans="1:2">
      <c r="A403" s="75" t="s">
        <v>1078</v>
      </c>
      <c r="B403">
        <v>169</v>
      </c>
    </row>
    <row r="404" spans="1:2">
      <c r="A404" s="75" t="s">
        <v>362</v>
      </c>
      <c r="B404">
        <v>304</v>
      </c>
    </row>
    <row r="405" spans="1:2">
      <c r="A405" s="75" t="s">
        <v>2161</v>
      </c>
      <c r="B405">
        <v>59</v>
      </c>
    </row>
    <row r="406" spans="1:2">
      <c r="A406" s="75" t="s">
        <v>1108</v>
      </c>
      <c r="B406">
        <v>249</v>
      </c>
    </row>
    <row r="407" spans="1:2">
      <c r="A407" s="75" t="s">
        <v>548</v>
      </c>
      <c r="B407">
        <v>110</v>
      </c>
    </row>
    <row r="408" spans="1:2">
      <c r="A408" s="75" t="s">
        <v>180</v>
      </c>
      <c r="B408">
        <v>39</v>
      </c>
    </row>
    <row r="409" spans="1:2">
      <c r="A409" s="75" t="s">
        <v>2188</v>
      </c>
      <c r="B409">
        <v>19</v>
      </c>
    </row>
    <row r="410" spans="1:2">
      <c r="A410" s="75" t="s">
        <v>2266</v>
      </c>
      <c r="B410">
        <v>82</v>
      </c>
    </row>
    <row r="411" spans="1:2">
      <c r="A411" s="75" t="s">
        <v>2189</v>
      </c>
      <c r="B411">
        <v>193</v>
      </c>
    </row>
    <row r="412" spans="1:2">
      <c r="A412" s="75" t="s">
        <v>2044</v>
      </c>
      <c r="B412">
        <v>41</v>
      </c>
    </row>
    <row r="413" spans="1:2">
      <c r="A413" s="75" t="s">
        <v>1323</v>
      </c>
      <c r="B413">
        <v>32</v>
      </c>
    </row>
    <row r="414" spans="1:2">
      <c r="A414" s="75" t="s">
        <v>1343</v>
      </c>
      <c r="B414">
        <v>33</v>
      </c>
    </row>
    <row r="415" spans="1:2">
      <c r="A415" s="75" t="s">
        <v>1907</v>
      </c>
      <c r="B415">
        <v>138</v>
      </c>
    </row>
    <row r="416" spans="1:2">
      <c r="A416" s="75" t="s">
        <v>2411</v>
      </c>
      <c r="B416">
        <v>298</v>
      </c>
    </row>
    <row r="417" spans="1:2">
      <c r="A417" s="75" t="s">
        <v>1052</v>
      </c>
      <c r="B417">
        <v>94</v>
      </c>
    </row>
    <row r="418" spans="1:2">
      <c r="A418" s="75" t="s">
        <v>46</v>
      </c>
      <c r="B418">
        <v>169</v>
      </c>
    </row>
    <row r="419" spans="1:2">
      <c r="A419" s="75" t="s">
        <v>53</v>
      </c>
      <c r="B419">
        <v>80</v>
      </c>
    </row>
    <row r="420" spans="1:2">
      <c r="A420" s="75" t="s">
        <v>2412</v>
      </c>
      <c r="B420">
        <v>56</v>
      </c>
    </row>
    <row r="421" spans="1:2">
      <c r="A421" s="75" t="s">
        <v>192</v>
      </c>
      <c r="B421">
        <v>60</v>
      </c>
    </row>
    <row r="422" spans="1:2">
      <c r="A422" s="75" t="s">
        <v>627</v>
      </c>
      <c r="B422">
        <v>58</v>
      </c>
    </row>
    <row r="423" spans="1:2">
      <c r="A423" s="75" t="s">
        <v>765</v>
      </c>
      <c r="B423">
        <v>40</v>
      </c>
    </row>
    <row r="424" spans="1:2">
      <c r="A424" s="75" t="s">
        <v>1840</v>
      </c>
      <c r="B424">
        <v>86</v>
      </c>
    </row>
    <row r="425" spans="1:2">
      <c r="A425" s="75" t="s">
        <v>1841</v>
      </c>
      <c r="B425">
        <v>55</v>
      </c>
    </row>
    <row r="426" spans="1:2">
      <c r="A426" s="75" t="s">
        <v>820</v>
      </c>
      <c r="B426">
        <v>52</v>
      </c>
    </row>
    <row r="427" spans="1:2">
      <c r="A427" s="75" t="s">
        <v>1842</v>
      </c>
      <c r="B427">
        <v>137</v>
      </c>
    </row>
    <row r="428" spans="1:2">
      <c r="A428" s="75" t="s">
        <v>1412</v>
      </c>
      <c r="B428">
        <v>349</v>
      </c>
    </row>
    <row r="429" spans="1:2">
      <c r="A429" s="75" t="s">
        <v>1413</v>
      </c>
      <c r="B429">
        <v>62</v>
      </c>
    </row>
    <row r="430" spans="1:2">
      <c r="A430" s="75" t="s">
        <v>1414</v>
      </c>
      <c r="B430">
        <v>181</v>
      </c>
    </row>
    <row r="431" spans="1:2">
      <c r="A431" s="75" t="s">
        <v>1477</v>
      </c>
      <c r="B431">
        <v>102</v>
      </c>
    </row>
    <row r="432" spans="1:2">
      <c r="A432" s="75" t="s">
        <v>1478</v>
      </c>
      <c r="B432">
        <v>142</v>
      </c>
    </row>
    <row r="433" spans="1:2">
      <c r="A433" s="75" t="s">
        <v>469</v>
      </c>
      <c r="B433" s="82">
        <v>1348</v>
      </c>
    </row>
    <row r="434" spans="1:2">
      <c r="A434" s="75" t="s">
        <v>438</v>
      </c>
      <c r="B434">
        <v>374</v>
      </c>
    </row>
    <row r="435" spans="1:2">
      <c r="A435" s="75" t="s">
        <v>439</v>
      </c>
      <c r="B435">
        <v>360</v>
      </c>
    </row>
    <row r="436" spans="1:2">
      <c r="A436" s="75" t="s">
        <v>2368</v>
      </c>
      <c r="B436">
        <v>85</v>
      </c>
    </row>
    <row r="437" spans="1:2">
      <c r="A437" s="75" t="s">
        <v>440</v>
      </c>
      <c r="B437">
        <v>134</v>
      </c>
    </row>
    <row r="438" spans="1:2">
      <c r="A438" s="75" t="s">
        <v>441</v>
      </c>
      <c r="B438">
        <v>235</v>
      </c>
    </row>
    <row r="439" spans="1:2">
      <c r="A439" s="75" t="s">
        <v>1071</v>
      </c>
      <c r="B439">
        <v>190</v>
      </c>
    </row>
    <row r="440" spans="1:2">
      <c r="A440" s="75" t="s">
        <v>1400</v>
      </c>
      <c r="B440">
        <v>194</v>
      </c>
    </row>
    <row r="441" spans="1:2">
      <c r="A441" s="75" t="s">
        <v>1217</v>
      </c>
      <c r="B441">
        <v>141</v>
      </c>
    </row>
    <row r="442" spans="1:2">
      <c r="A442" s="75" t="s">
        <v>1759</v>
      </c>
      <c r="B442">
        <v>212</v>
      </c>
    </row>
    <row r="443" spans="1:2">
      <c r="A443" s="75" t="s">
        <v>1607</v>
      </c>
      <c r="B443">
        <v>731</v>
      </c>
    </row>
    <row r="444" spans="1:2">
      <c r="A444" s="75" t="s">
        <v>1608</v>
      </c>
      <c r="B444">
        <v>236</v>
      </c>
    </row>
    <row r="445" spans="1:2">
      <c r="A445" s="75" t="s">
        <v>2403</v>
      </c>
      <c r="B445">
        <v>199</v>
      </c>
    </row>
    <row r="446" spans="1:2">
      <c r="A446" s="75" t="s">
        <v>2379</v>
      </c>
      <c r="B446">
        <v>109</v>
      </c>
    </row>
    <row r="447" spans="1:2">
      <c r="A447" s="75" t="s">
        <v>1894</v>
      </c>
      <c r="B447">
        <v>81</v>
      </c>
    </row>
    <row r="448" spans="1:2">
      <c r="A448" s="75" t="s">
        <v>61</v>
      </c>
      <c r="B448">
        <v>118</v>
      </c>
    </row>
    <row r="449" spans="1:2">
      <c r="A449" s="75" t="s">
        <v>1429</v>
      </c>
      <c r="B449">
        <v>15</v>
      </c>
    </row>
    <row r="450" spans="1:2">
      <c r="A450" s="75" t="s">
        <v>821</v>
      </c>
      <c r="B450">
        <v>13</v>
      </c>
    </row>
    <row r="451" spans="1:2">
      <c r="A451" s="75" t="s">
        <v>62</v>
      </c>
      <c r="B451">
        <v>146</v>
      </c>
    </row>
    <row r="452" spans="1:2">
      <c r="A452" s="75" t="s">
        <v>2008</v>
      </c>
      <c r="B452">
        <v>91</v>
      </c>
    </row>
    <row r="453" spans="1:2">
      <c r="A453" s="75" t="s">
        <v>725</v>
      </c>
      <c r="B453">
        <v>28</v>
      </c>
    </row>
    <row r="454" spans="1:2">
      <c r="A454" s="75" t="s">
        <v>727</v>
      </c>
      <c r="B454">
        <v>848</v>
      </c>
    </row>
    <row r="455" spans="1:2">
      <c r="A455" s="75" t="s">
        <v>1761</v>
      </c>
      <c r="B455">
        <v>36</v>
      </c>
    </row>
    <row r="456" spans="1:2">
      <c r="A456" s="75" t="s">
        <v>2388</v>
      </c>
      <c r="B456">
        <v>34</v>
      </c>
    </row>
    <row r="457" spans="1:2">
      <c r="A457" s="75" t="s">
        <v>2391</v>
      </c>
      <c r="B457">
        <v>38</v>
      </c>
    </row>
    <row r="458" spans="1:2">
      <c r="A458" s="75" t="s">
        <v>2397</v>
      </c>
      <c r="B458">
        <v>43</v>
      </c>
    </row>
    <row r="459" spans="1:2">
      <c r="A459" s="75" t="s">
        <v>197</v>
      </c>
      <c r="B459">
        <v>57</v>
      </c>
    </row>
    <row r="460" spans="1:2">
      <c r="A460" s="75" t="s">
        <v>1011</v>
      </c>
      <c r="B460">
        <v>24</v>
      </c>
    </row>
    <row r="461" spans="1:2">
      <c r="A461" s="75" t="s">
        <v>1471</v>
      </c>
      <c r="B461">
        <v>27</v>
      </c>
    </row>
    <row r="462" spans="1:2">
      <c r="A462" s="75" t="s">
        <v>56</v>
      </c>
      <c r="B462">
        <v>209</v>
      </c>
    </row>
    <row r="463" spans="1:2">
      <c r="A463" s="75" t="s">
        <v>682</v>
      </c>
      <c r="B463">
        <v>55</v>
      </c>
    </row>
    <row r="464" spans="1:2">
      <c r="A464" s="75" t="s">
        <v>58</v>
      </c>
      <c r="B464">
        <v>29</v>
      </c>
    </row>
    <row r="465" spans="1:2">
      <c r="A465" s="75" t="s">
        <v>483</v>
      </c>
      <c r="B465">
        <v>47</v>
      </c>
    </row>
    <row r="466" spans="1:2">
      <c r="A466" s="75" t="s">
        <v>1433</v>
      </c>
      <c r="B466">
        <v>10</v>
      </c>
    </row>
    <row r="467" spans="1:2">
      <c r="A467" s="75" t="s">
        <v>140</v>
      </c>
      <c r="B467">
        <v>75</v>
      </c>
    </row>
    <row r="468" spans="1:2">
      <c r="A468" s="75" t="s">
        <v>2369</v>
      </c>
      <c r="B468">
        <v>81</v>
      </c>
    </row>
    <row r="469" spans="1:2">
      <c r="A469" s="75" t="s">
        <v>2264</v>
      </c>
      <c r="B469">
        <v>43</v>
      </c>
    </row>
    <row r="470" spans="1:2">
      <c r="A470" s="75" t="s">
        <v>1763</v>
      </c>
      <c r="B470">
        <v>128</v>
      </c>
    </row>
    <row r="471" spans="1:2">
      <c r="A471" s="75" t="s">
        <v>484</v>
      </c>
      <c r="B471">
        <v>64</v>
      </c>
    </row>
    <row r="472" spans="1:2">
      <c r="A472" s="75" t="s">
        <v>40</v>
      </c>
      <c r="B472">
        <v>137</v>
      </c>
    </row>
    <row r="473" spans="1:2">
      <c r="A473" s="75" t="s">
        <v>141</v>
      </c>
      <c r="B473">
        <v>46</v>
      </c>
    </row>
    <row r="474" spans="1:2">
      <c r="A474" s="75" t="s">
        <v>488</v>
      </c>
      <c r="B474">
        <v>48</v>
      </c>
    </row>
    <row r="475" spans="1:2">
      <c r="A475" s="75" t="s">
        <v>1472</v>
      </c>
      <c r="B475">
        <v>118</v>
      </c>
    </row>
    <row r="476" spans="1:2">
      <c r="A476" s="75" t="s">
        <v>489</v>
      </c>
      <c r="B476">
        <v>73</v>
      </c>
    </row>
    <row r="477" spans="1:2">
      <c r="A477" s="75" t="s">
        <v>1450</v>
      </c>
      <c r="B477">
        <v>106</v>
      </c>
    </row>
    <row r="478" spans="1:2">
      <c r="A478" s="75" t="s">
        <v>490</v>
      </c>
      <c r="B478">
        <v>50</v>
      </c>
    </row>
    <row r="479" spans="1:2">
      <c r="A479" s="75" t="s">
        <v>1473</v>
      </c>
      <c r="B479">
        <v>82</v>
      </c>
    </row>
    <row r="480" spans="1:2">
      <c r="A480" s="75" t="s">
        <v>1474</v>
      </c>
      <c r="B480">
        <v>315</v>
      </c>
    </row>
    <row r="481" spans="1:2">
      <c r="A481" s="75" t="s">
        <v>1169</v>
      </c>
      <c r="B481">
        <v>162</v>
      </c>
    </row>
    <row r="482" spans="1:2">
      <c r="A482" s="75" t="s">
        <v>1739</v>
      </c>
      <c r="B482">
        <v>106</v>
      </c>
    </row>
    <row r="483" spans="1:2">
      <c r="A483" s="75" t="s">
        <v>1170</v>
      </c>
      <c r="B483">
        <v>89</v>
      </c>
    </row>
    <row r="484" spans="1:2">
      <c r="A484" s="75" t="s">
        <v>1171</v>
      </c>
      <c r="B484">
        <v>118</v>
      </c>
    </row>
    <row r="485" spans="1:2">
      <c r="A485" s="75" t="s">
        <v>1172</v>
      </c>
      <c r="B485">
        <v>259</v>
      </c>
    </row>
    <row r="486" spans="1:2">
      <c r="A486" s="75" t="s">
        <v>1675</v>
      </c>
      <c r="B486">
        <v>115</v>
      </c>
    </row>
    <row r="487" spans="1:2">
      <c r="A487" s="75" t="s">
        <v>1427</v>
      </c>
      <c r="B487">
        <v>111</v>
      </c>
    </row>
    <row r="488" spans="1:2">
      <c r="A488" s="75" t="s">
        <v>169</v>
      </c>
      <c r="B488">
        <v>255</v>
      </c>
    </row>
    <row r="489" spans="1:2">
      <c r="A489" s="75" t="s">
        <v>1409</v>
      </c>
      <c r="B489">
        <v>70</v>
      </c>
    </row>
    <row r="490" spans="1:2">
      <c r="A490" s="75" t="s">
        <v>170</v>
      </c>
      <c r="B490">
        <v>103</v>
      </c>
    </row>
    <row r="491" spans="1:2">
      <c r="A491" s="75" t="s">
        <v>1836</v>
      </c>
      <c r="B491">
        <v>68</v>
      </c>
    </row>
    <row r="492" spans="1:2">
      <c r="A492" s="75" t="s">
        <v>171</v>
      </c>
      <c r="B492">
        <v>123</v>
      </c>
    </row>
    <row r="493" spans="1:2">
      <c r="A493" s="75" t="s">
        <v>172</v>
      </c>
      <c r="B493">
        <v>61</v>
      </c>
    </row>
    <row r="494" spans="1:2">
      <c r="A494" s="75" t="s">
        <v>1410</v>
      </c>
      <c r="B494">
        <v>120</v>
      </c>
    </row>
    <row r="495" spans="1:2">
      <c r="A495" s="75" t="s">
        <v>1336</v>
      </c>
      <c r="B495">
        <v>200</v>
      </c>
    </row>
    <row r="496" spans="1:2">
      <c r="A496" s="75" t="s">
        <v>1187</v>
      </c>
      <c r="B496">
        <v>222</v>
      </c>
    </row>
    <row r="497" spans="1:2">
      <c r="A497" s="75" t="s">
        <v>925</v>
      </c>
      <c r="B497">
        <v>333</v>
      </c>
    </row>
    <row r="498" spans="1:2">
      <c r="A498" s="75" t="s">
        <v>926</v>
      </c>
      <c r="B498">
        <v>103</v>
      </c>
    </row>
    <row r="499" spans="1:2">
      <c r="A499" s="75" t="s">
        <v>852</v>
      </c>
      <c r="B499">
        <v>354</v>
      </c>
    </row>
    <row r="500" spans="1:2">
      <c r="A500" s="75" t="s">
        <v>1699</v>
      </c>
      <c r="B500">
        <v>244</v>
      </c>
    </row>
    <row r="501" spans="1:2">
      <c r="A501" s="75" t="s">
        <v>2530</v>
      </c>
      <c r="B501">
        <v>304</v>
      </c>
    </row>
    <row r="502" spans="1:2">
      <c r="A502" s="75" t="s">
        <v>2531</v>
      </c>
      <c r="B502">
        <v>211</v>
      </c>
    </row>
    <row r="503" spans="1:2">
      <c r="A503" s="75" t="s">
        <v>1255</v>
      </c>
      <c r="B503" s="82">
        <v>1733</v>
      </c>
    </row>
    <row r="504" spans="1:2">
      <c r="A504" s="75" t="s">
        <v>2055</v>
      </c>
      <c r="B504" s="82">
        <v>1179</v>
      </c>
    </row>
    <row r="505" spans="1:2">
      <c r="A505" s="75" t="s">
        <v>1046</v>
      </c>
      <c r="B505">
        <v>621</v>
      </c>
    </row>
    <row r="506" spans="1:2">
      <c r="A506" s="75" t="s">
        <v>1779</v>
      </c>
      <c r="B506">
        <v>71</v>
      </c>
    </row>
    <row r="507" spans="1:2">
      <c r="A507" s="75" t="s">
        <v>1047</v>
      </c>
      <c r="B507">
        <v>70</v>
      </c>
    </row>
    <row r="508" spans="1:2">
      <c r="A508" s="75" t="s">
        <v>1352</v>
      </c>
      <c r="B508">
        <v>116</v>
      </c>
    </row>
    <row r="509" spans="1:2">
      <c r="A509" s="75" t="s">
        <v>1002</v>
      </c>
      <c r="B509">
        <v>139</v>
      </c>
    </row>
    <row r="510" spans="1:2">
      <c r="A510" s="75" t="s">
        <v>1837</v>
      </c>
      <c r="B510">
        <v>97</v>
      </c>
    </row>
    <row r="511" spans="1:2">
      <c r="A511" s="75" t="s">
        <v>1493</v>
      </c>
      <c r="B511">
        <v>152</v>
      </c>
    </row>
    <row r="512" spans="1:2">
      <c r="A512" s="75" t="s">
        <v>231</v>
      </c>
      <c r="B512">
        <v>86</v>
      </c>
    </row>
    <row r="513" spans="1:2">
      <c r="A513" s="75" t="s">
        <v>1003</v>
      </c>
      <c r="B513">
        <v>46</v>
      </c>
    </row>
    <row r="514" spans="1:2">
      <c r="A514" s="75" t="s">
        <v>828</v>
      </c>
      <c r="B514">
        <v>61</v>
      </c>
    </row>
    <row r="515" spans="1:2">
      <c r="A515" s="75" t="s">
        <v>1740</v>
      </c>
      <c r="B515">
        <v>8</v>
      </c>
    </row>
    <row r="516" spans="1:2">
      <c r="A516" s="75" t="s">
        <v>1004</v>
      </c>
      <c r="B516">
        <v>52</v>
      </c>
    </row>
    <row r="517" spans="1:2">
      <c r="A517" s="75" t="s">
        <v>2021</v>
      </c>
      <c r="B517">
        <v>33</v>
      </c>
    </row>
    <row r="518" spans="1:2">
      <c r="A518" s="75" t="s">
        <v>2022</v>
      </c>
      <c r="B518">
        <v>346</v>
      </c>
    </row>
    <row r="519" spans="1:2">
      <c r="A519" s="75" t="s">
        <v>1185</v>
      </c>
      <c r="B519">
        <v>166</v>
      </c>
    </row>
    <row r="520" spans="1:2">
      <c r="A520" s="75" t="s">
        <v>1186</v>
      </c>
      <c r="B520" s="82">
        <v>1052</v>
      </c>
    </row>
    <row r="521" spans="1:2">
      <c r="A521" s="75" t="s">
        <v>875</v>
      </c>
      <c r="B521">
        <v>185</v>
      </c>
    </row>
    <row r="522" spans="1:2">
      <c r="A522" s="75" t="s">
        <v>876</v>
      </c>
      <c r="B522">
        <v>588</v>
      </c>
    </row>
    <row r="523" spans="1:2">
      <c r="A523" s="75" t="s">
        <v>877</v>
      </c>
      <c r="B523">
        <v>170</v>
      </c>
    </row>
    <row r="524" spans="1:2">
      <c r="A524" s="75" t="s">
        <v>878</v>
      </c>
      <c r="B524">
        <v>381</v>
      </c>
    </row>
    <row r="525" spans="1:2">
      <c r="A525" s="75" t="s">
        <v>2434</v>
      </c>
      <c r="B525">
        <v>154</v>
      </c>
    </row>
    <row r="526" spans="1:2">
      <c r="A526" s="75" t="s">
        <v>474</v>
      </c>
      <c r="B526">
        <v>300</v>
      </c>
    </row>
    <row r="527" spans="1:2">
      <c r="A527" s="75" t="s">
        <v>2501</v>
      </c>
      <c r="B527">
        <v>156</v>
      </c>
    </row>
    <row r="528" spans="1:2">
      <c r="A528" s="75" t="s">
        <v>836</v>
      </c>
      <c r="B528">
        <v>251</v>
      </c>
    </row>
    <row r="529" spans="1:2">
      <c r="A529" s="75" t="s">
        <v>42</v>
      </c>
      <c r="B529">
        <v>400</v>
      </c>
    </row>
    <row r="530" spans="1:2">
      <c r="A530" s="75" t="s">
        <v>52</v>
      </c>
      <c r="B530">
        <v>239</v>
      </c>
    </row>
    <row r="531" spans="1:2">
      <c r="A531" s="75" t="s">
        <v>2502</v>
      </c>
      <c r="B531">
        <v>26</v>
      </c>
    </row>
    <row r="532" spans="1:2">
      <c r="A532" s="75" t="s">
        <v>2503</v>
      </c>
      <c r="B532" s="82">
        <v>1439</v>
      </c>
    </row>
    <row r="533" spans="1:2">
      <c r="A533" s="75" t="s">
        <v>2504</v>
      </c>
      <c r="B533">
        <v>819</v>
      </c>
    </row>
    <row r="534" spans="1:2">
      <c r="A534" s="75" t="s">
        <v>2399</v>
      </c>
      <c r="B534">
        <v>18</v>
      </c>
    </row>
    <row r="535" spans="1:2">
      <c r="A535" s="75" t="s">
        <v>2168</v>
      </c>
      <c r="B535">
        <v>71</v>
      </c>
    </row>
    <row r="536" spans="1:2">
      <c r="A536" s="75" t="s">
        <v>2169</v>
      </c>
      <c r="B536">
        <v>21</v>
      </c>
    </row>
    <row r="537" spans="1:2">
      <c r="A537" s="75" t="s">
        <v>1249</v>
      </c>
      <c r="B537">
        <v>183</v>
      </c>
    </row>
    <row r="538" spans="1:2">
      <c r="A538" s="75" t="s">
        <v>1250</v>
      </c>
      <c r="B538">
        <v>611</v>
      </c>
    </row>
    <row r="539" spans="1:2">
      <c r="A539" s="75" t="s">
        <v>1233</v>
      </c>
      <c r="B539">
        <v>273</v>
      </c>
    </row>
    <row r="540" spans="1:2">
      <c r="A540" s="75" t="s">
        <v>1251</v>
      </c>
      <c r="B540" s="82">
        <v>1137</v>
      </c>
    </row>
    <row r="541" spans="1:2">
      <c r="A541" s="75" t="s">
        <v>1906</v>
      </c>
      <c r="B541">
        <v>306</v>
      </c>
    </row>
    <row r="542" spans="1:2">
      <c r="A542" s="75" t="s">
        <v>2198</v>
      </c>
      <c r="B542">
        <v>139</v>
      </c>
    </row>
    <row r="543" spans="1:2">
      <c r="A543" s="75" t="s">
        <v>1328</v>
      </c>
      <c r="B543">
        <v>180</v>
      </c>
    </row>
    <row r="544" spans="1:2">
      <c r="A544" s="75" t="s">
        <v>202</v>
      </c>
      <c r="B544">
        <v>157</v>
      </c>
    </row>
    <row r="545" spans="1:2">
      <c r="A545" s="75" t="s">
        <v>1252</v>
      </c>
      <c r="B545">
        <v>47</v>
      </c>
    </row>
    <row r="546" spans="1:2">
      <c r="A546" s="75" t="s">
        <v>181</v>
      </c>
      <c r="B546">
        <v>98</v>
      </c>
    </row>
    <row r="547" spans="1:2">
      <c r="A547" s="75" t="s">
        <v>1777</v>
      </c>
      <c r="B547">
        <v>50</v>
      </c>
    </row>
    <row r="548" spans="1:2">
      <c r="A548" s="75" t="s">
        <v>539</v>
      </c>
      <c r="B548">
        <v>195</v>
      </c>
    </row>
    <row r="549" spans="1:2">
      <c r="A549" s="75" t="s">
        <v>1700</v>
      </c>
      <c r="B549">
        <v>79</v>
      </c>
    </row>
    <row r="550" spans="1:2">
      <c r="A550" s="75" t="s">
        <v>43</v>
      </c>
      <c r="B550">
        <v>77</v>
      </c>
    </row>
    <row r="551" spans="1:2">
      <c r="A551" s="75" t="s">
        <v>1253</v>
      </c>
      <c r="B551">
        <v>5</v>
      </c>
    </row>
    <row r="552" spans="1:2">
      <c r="A552" s="75" t="s">
        <v>2199</v>
      </c>
      <c r="B552">
        <v>76</v>
      </c>
    </row>
    <row r="553" spans="1:2">
      <c r="A553" s="75" t="s">
        <v>241</v>
      </c>
      <c r="B553">
        <v>34</v>
      </c>
    </row>
    <row r="554" spans="1:2">
      <c r="A554" s="75" t="s">
        <v>1189</v>
      </c>
      <c r="B554">
        <v>126</v>
      </c>
    </row>
    <row r="555" spans="1:2">
      <c r="A555" s="75" t="s">
        <v>1978</v>
      </c>
      <c r="B555">
        <v>260</v>
      </c>
    </row>
    <row r="556" spans="1:2">
      <c r="A556" s="75" t="s">
        <v>1254</v>
      </c>
      <c r="B556">
        <v>259</v>
      </c>
    </row>
    <row r="557" spans="1:2">
      <c r="A557" s="75" t="s">
        <v>1758</v>
      </c>
      <c r="B557">
        <v>121</v>
      </c>
    </row>
    <row r="558" spans="1:2">
      <c r="A558" s="75" t="s">
        <v>2370</v>
      </c>
      <c r="B558">
        <v>236</v>
      </c>
    </row>
    <row r="559" spans="1:2">
      <c r="A559" s="75" t="s">
        <v>245</v>
      </c>
      <c r="B559">
        <v>144</v>
      </c>
    </row>
    <row r="560" spans="1:2">
      <c r="A560" s="75" t="s">
        <v>45</v>
      </c>
      <c r="B560">
        <v>362</v>
      </c>
    </row>
    <row r="561" spans="1:2">
      <c r="A561" s="75" t="s">
        <v>2371</v>
      </c>
      <c r="B561">
        <v>139</v>
      </c>
    </row>
    <row r="562" spans="1:2">
      <c r="A562" s="75" t="s">
        <v>1083</v>
      </c>
      <c r="B562">
        <v>91</v>
      </c>
    </row>
    <row r="563" spans="1:2">
      <c r="A563" s="75" t="s">
        <v>1592</v>
      </c>
      <c r="B563">
        <v>132</v>
      </c>
    </row>
    <row r="564" spans="1:2">
      <c r="A564" s="75" t="s">
        <v>2265</v>
      </c>
      <c r="B564">
        <v>84</v>
      </c>
    </row>
    <row r="565" spans="1:2">
      <c r="A565" s="75" t="s">
        <v>1263</v>
      </c>
      <c r="B565">
        <v>80</v>
      </c>
    </row>
    <row r="566" spans="1:2">
      <c r="A566" s="75" t="s">
        <v>47</v>
      </c>
      <c r="B566">
        <v>167</v>
      </c>
    </row>
    <row r="567" spans="1:2">
      <c r="A567" s="75" t="s">
        <v>49</v>
      </c>
      <c r="B567">
        <v>171</v>
      </c>
    </row>
    <row r="568" spans="1:2">
      <c r="A568" s="75" t="s">
        <v>2413</v>
      </c>
      <c r="B568">
        <v>87</v>
      </c>
    </row>
    <row r="569" spans="1:2">
      <c r="A569" s="75" t="s">
        <v>2414</v>
      </c>
      <c r="B569">
        <v>175</v>
      </c>
    </row>
    <row r="570" spans="1:2">
      <c r="A570" s="75" t="s">
        <v>466</v>
      </c>
      <c r="B570">
        <v>86</v>
      </c>
    </row>
    <row r="571" spans="1:2">
      <c r="A571" s="75" t="s">
        <v>2415</v>
      </c>
      <c r="B571">
        <v>308</v>
      </c>
    </row>
    <row r="572" spans="1:2">
      <c r="A572" s="75" t="s">
        <v>1449</v>
      </c>
      <c r="B572">
        <v>349</v>
      </c>
    </row>
    <row r="573" spans="1:2">
      <c r="A573" s="75" t="s">
        <v>2542</v>
      </c>
      <c r="B573" s="82">
        <v>2267</v>
      </c>
    </row>
    <row r="574" spans="1:2">
      <c r="A574" s="75" t="s">
        <v>2195</v>
      </c>
      <c r="B574">
        <v>784</v>
      </c>
    </row>
    <row r="575" spans="1:2">
      <c r="A575" s="75" t="s">
        <v>1451</v>
      </c>
      <c r="B575">
        <v>85</v>
      </c>
    </row>
    <row r="576" spans="1:2">
      <c r="A576" s="75" t="s">
        <v>2404</v>
      </c>
      <c r="B576">
        <v>201</v>
      </c>
    </row>
    <row r="577" spans="1:2">
      <c r="A577" s="75" t="s">
        <v>2405</v>
      </c>
      <c r="B577">
        <v>162</v>
      </c>
    </row>
    <row r="578" spans="1:2">
      <c r="A578" s="75" t="s">
        <v>459</v>
      </c>
      <c r="B578">
        <v>228</v>
      </c>
    </row>
    <row r="579" spans="1:2">
      <c r="A579" s="75" t="s">
        <v>2154</v>
      </c>
      <c r="B579">
        <v>300</v>
      </c>
    </row>
    <row r="580" spans="1:2">
      <c r="A580" s="75" t="s">
        <v>2155</v>
      </c>
      <c r="B580" s="82">
        <v>1105</v>
      </c>
    </row>
    <row r="581" spans="1:2">
      <c r="A581" s="75" t="s">
        <v>1444</v>
      </c>
      <c r="B581">
        <v>871</v>
      </c>
    </row>
    <row r="582" spans="1:2">
      <c r="A582" s="75" t="s">
        <v>1445</v>
      </c>
      <c r="B582" s="82">
        <v>1363</v>
      </c>
    </row>
    <row r="583" spans="1:2">
      <c r="A583" s="75" t="s">
        <v>2372</v>
      </c>
      <c r="B583">
        <v>105</v>
      </c>
    </row>
    <row r="584" spans="1:2">
      <c r="A584" s="75" t="s">
        <v>373</v>
      </c>
      <c r="B584">
        <v>83</v>
      </c>
    </row>
    <row r="585" spans="1:2">
      <c r="A585" s="75" t="s">
        <v>374</v>
      </c>
      <c r="B585">
        <v>856</v>
      </c>
    </row>
    <row r="586" spans="1:2">
      <c r="A586" s="75" t="s">
        <v>375</v>
      </c>
      <c r="B586">
        <v>197</v>
      </c>
    </row>
    <row r="587" spans="1:2">
      <c r="A587" s="75" t="s">
        <v>2373</v>
      </c>
      <c r="B587">
        <v>144</v>
      </c>
    </row>
    <row r="588" spans="1:2">
      <c r="A588" s="75" t="s">
        <v>228</v>
      </c>
      <c r="B588">
        <v>195</v>
      </c>
    </row>
    <row r="589" spans="1:2">
      <c r="A589" s="75" t="s">
        <v>229</v>
      </c>
      <c r="B589">
        <v>407</v>
      </c>
    </row>
    <row r="590" spans="1:2">
      <c r="A590" s="75" t="s">
        <v>230</v>
      </c>
      <c r="B590">
        <v>211</v>
      </c>
    </row>
    <row r="591" spans="1:2">
      <c r="A591" s="75" t="s">
        <v>2200</v>
      </c>
      <c r="B591">
        <v>94</v>
      </c>
    </row>
    <row r="592" spans="1:2">
      <c r="A592" s="75" t="s">
        <v>1910</v>
      </c>
      <c r="B592">
        <v>22</v>
      </c>
    </row>
    <row r="593" spans="1:2">
      <c r="A593" s="75" t="s">
        <v>1963</v>
      </c>
      <c r="B593">
        <v>405</v>
      </c>
    </row>
    <row r="594" spans="1:2">
      <c r="A594" s="75" t="s">
        <v>2374</v>
      </c>
      <c r="B594">
        <v>236</v>
      </c>
    </row>
    <row r="595" spans="1:2">
      <c r="A595" s="75" t="s">
        <v>1466</v>
      </c>
      <c r="B595">
        <v>109</v>
      </c>
    </row>
    <row r="596" spans="1:2">
      <c r="A596" s="75" t="s">
        <v>1467</v>
      </c>
      <c r="B596">
        <v>216</v>
      </c>
    </row>
    <row r="597" spans="1:2">
      <c r="A597" s="75" t="s">
        <v>1327</v>
      </c>
      <c r="B597">
        <v>301</v>
      </c>
    </row>
    <row r="598" spans="1:2">
      <c r="A598" s="75" t="s">
        <v>2028</v>
      </c>
      <c r="B598">
        <v>79</v>
      </c>
    </row>
    <row r="599" spans="1:2">
      <c r="A599" s="75" t="s">
        <v>2138</v>
      </c>
      <c r="B599">
        <v>197</v>
      </c>
    </row>
    <row r="600" spans="1:2">
      <c r="A600" s="75" t="s">
        <v>2139</v>
      </c>
      <c r="B600">
        <v>580</v>
      </c>
    </row>
    <row r="601" spans="1:2">
      <c r="A601" s="75" t="s">
        <v>2140</v>
      </c>
      <c r="B601">
        <v>597</v>
      </c>
    </row>
    <row r="602" spans="1:2">
      <c r="A602" s="75" t="s">
        <v>2141</v>
      </c>
      <c r="B602">
        <v>242</v>
      </c>
    </row>
    <row r="603" spans="1:2">
      <c r="A603" s="75" t="s">
        <v>2263</v>
      </c>
      <c r="B603" s="82">
        <v>1404</v>
      </c>
    </row>
    <row r="604" spans="1:2">
      <c r="A604" s="75" t="s">
        <v>2142</v>
      </c>
      <c r="B604">
        <v>502</v>
      </c>
    </row>
    <row r="605" spans="1:2">
      <c r="A605" s="75" t="s">
        <v>2143</v>
      </c>
      <c r="B605">
        <v>113</v>
      </c>
    </row>
    <row r="606" spans="1:2">
      <c r="A606" s="75" t="s">
        <v>2144</v>
      </c>
      <c r="B606">
        <v>112</v>
      </c>
    </row>
    <row r="607" spans="1:2">
      <c r="A607" s="75" t="s">
        <v>2145</v>
      </c>
      <c r="B607">
        <v>32</v>
      </c>
    </row>
    <row r="608" spans="1:2">
      <c r="A608" s="75" t="s">
        <v>2146</v>
      </c>
      <c r="B608">
        <v>62</v>
      </c>
    </row>
    <row r="609" spans="1:2">
      <c r="A609" s="75" t="s">
        <v>2443</v>
      </c>
      <c r="B609">
        <v>168</v>
      </c>
    </row>
    <row r="610" spans="1:2">
      <c r="A610" s="75" t="s">
        <v>2444</v>
      </c>
      <c r="B610">
        <v>255</v>
      </c>
    </row>
    <row r="611" spans="1:2">
      <c r="A611" s="75" t="s">
        <v>2445</v>
      </c>
      <c r="B611">
        <v>291</v>
      </c>
    </row>
    <row r="612" spans="1:2">
      <c r="A612" s="75" t="s">
        <v>2446</v>
      </c>
      <c r="B612">
        <v>98</v>
      </c>
    </row>
    <row r="613" spans="1:2">
      <c r="A613" s="75" t="s">
        <v>2447</v>
      </c>
      <c r="B613">
        <v>164</v>
      </c>
    </row>
    <row r="614" spans="1:2">
      <c r="A614" s="75" t="s">
        <v>1305</v>
      </c>
      <c r="B614">
        <v>360</v>
      </c>
    </row>
    <row r="615" spans="1:2">
      <c r="A615" s="75" t="s">
        <v>1306</v>
      </c>
      <c r="B615">
        <v>177</v>
      </c>
    </row>
    <row r="616" spans="1:2">
      <c r="A616" s="75" t="s">
        <v>2288</v>
      </c>
      <c r="B616">
        <v>257</v>
      </c>
    </row>
    <row r="617" spans="1:2">
      <c r="A617" s="75" t="s">
        <v>1992</v>
      </c>
      <c r="B617">
        <v>308</v>
      </c>
    </row>
    <row r="618" spans="1:2">
      <c r="A618" s="75" t="s">
        <v>2489</v>
      </c>
      <c r="B618">
        <v>147</v>
      </c>
    </row>
    <row r="619" spans="1:2">
      <c r="A619" s="75" t="s">
        <v>2270</v>
      </c>
      <c r="B619">
        <v>266</v>
      </c>
    </row>
    <row r="620" spans="1:2">
      <c r="A620" s="75" t="s">
        <v>1993</v>
      </c>
      <c r="B620">
        <v>158</v>
      </c>
    </row>
    <row r="621" spans="1:2">
      <c r="A621" s="75" t="s">
        <v>2375</v>
      </c>
      <c r="B621">
        <v>209</v>
      </c>
    </row>
    <row r="622" spans="1:2">
      <c r="A622" s="75" t="s">
        <v>1051</v>
      </c>
      <c r="B622">
        <v>90</v>
      </c>
    </row>
    <row r="623" spans="1:2">
      <c r="A623" s="75" t="s">
        <v>1994</v>
      </c>
      <c r="B623">
        <v>129</v>
      </c>
    </row>
    <row r="624" spans="1:2">
      <c r="A624" s="75" t="s">
        <v>1995</v>
      </c>
      <c r="B624">
        <v>224</v>
      </c>
    </row>
    <row r="625" spans="1:2">
      <c r="A625" s="75" t="s">
        <v>914</v>
      </c>
      <c r="B625">
        <v>146</v>
      </c>
    </row>
    <row r="626" spans="1:2">
      <c r="A626" s="75" t="s">
        <v>1261</v>
      </c>
      <c r="B626">
        <v>497</v>
      </c>
    </row>
    <row r="627" spans="1:2">
      <c r="A627" s="75" t="s">
        <v>1595</v>
      </c>
      <c r="B627">
        <v>182</v>
      </c>
    </row>
    <row r="628" spans="1:2">
      <c r="A628" s="75" t="s">
        <v>1596</v>
      </c>
      <c r="B628">
        <v>302</v>
      </c>
    </row>
    <row r="629" spans="1:2">
      <c r="A629" s="75" t="s">
        <v>2416</v>
      </c>
      <c r="B629">
        <v>258</v>
      </c>
    </row>
    <row r="630" spans="1:2">
      <c r="A630" s="75" t="s">
        <v>2417</v>
      </c>
      <c r="B630">
        <v>233</v>
      </c>
    </row>
    <row r="631" spans="1:2">
      <c r="A631" s="75" t="s">
        <v>2513</v>
      </c>
      <c r="B631">
        <v>189</v>
      </c>
    </row>
    <row r="632" spans="1:2">
      <c r="A632" s="75" t="s">
        <v>791</v>
      </c>
      <c r="B632">
        <v>611</v>
      </c>
    </row>
    <row r="633" spans="1:2">
      <c r="A633" s="75" t="s">
        <v>80</v>
      </c>
      <c r="B633">
        <v>405</v>
      </c>
    </row>
    <row r="634" spans="1:2">
      <c r="A634" s="75" t="s">
        <v>81</v>
      </c>
      <c r="B634">
        <v>908</v>
      </c>
    </row>
    <row r="635" spans="1:2">
      <c r="A635" s="75" t="s">
        <v>2160</v>
      </c>
      <c r="B635">
        <v>87</v>
      </c>
    </row>
    <row r="636" spans="1:2">
      <c r="A636" s="75" t="s">
        <v>2272</v>
      </c>
      <c r="B636">
        <v>120</v>
      </c>
    </row>
    <row r="637" spans="1:2">
      <c r="A637" s="75" t="s">
        <v>2273</v>
      </c>
      <c r="B637">
        <v>89</v>
      </c>
    </row>
    <row r="638" spans="1:2">
      <c r="A638" s="75" t="s">
        <v>1985</v>
      </c>
      <c r="B638">
        <v>118</v>
      </c>
    </row>
    <row r="639" spans="1:2">
      <c r="A639" s="75" t="s">
        <v>1338</v>
      </c>
      <c r="B639">
        <v>122</v>
      </c>
    </row>
    <row r="640" spans="1:2">
      <c r="A640" s="75" t="s">
        <v>2274</v>
      </c>
      <c r="B640">
        <v>108</v>
      </c>
    </row>
    <row r="641" spans="1:2">
      <c r="A641" s="75" t="s">
        <v>468</v>
      </c>
      <c r="B641">
        <v>75</v>
      </c>
    </row>
    <row r="642" spans="1:2">
      <c r="A642" s="75" t="s">
        <v>636</v>
      </c>
      <c r="B642">
        <v>122</v>
      </c>
    </row>
    <row r="643" spans="1:2">
      <c r="A643" s="75" t="s">
        <v>2221</v>
      </c>
      <c r="B643">
        <v>325</v>
      </c>
    </row>
    <row r="644" spans="1:2">
      <c r="A644" s="75" t="s">
        <v>2222</v>
      </c>
      <c r="B644">
        <v>365</v>
      </c>
    </row>
    <row r="645" spans="1:2">
      <c r="A645" s="75" t="s">
        <v>2223</v>
      </c>
      <c r="B645">
        <v>134</v>
      </c>
    </row>
    <row r="646" spans="1:2">
      <c r="A646" s="75" t="s">
        <v>1378</v>
      </c>
      <c r="B646">
        <v>138</v>
      </c>
    </row>
    <row r="647" spans="1:2">
      <c r="A647" s="75" t="s">
        <v>1977</v>
      </c>
      <c r="B647">
        <v>417</v>
      </c>
    </row>
    <row r="648" spans="1:2">
      <c r="A648" s="75" t="s">
        <v>1379</v>
      </c>
      <c r="B648">
        <v>88</v>
      </c>
    </row>
    <row r="649" spans="1:2">
      <c r="A649" s="75" t="s">
        <v>363</v>
      </c>
      <c r="B649">
        <v>405</v>
      </c>
    </row>
    <row r="650" spans="1:2">
      <c r="A650" s="75" t="s">
        <v>364</v>
      </c>
      <c r="B650">
        <v>350</v>
      </c>
    </row>
    <row r="651" spans="1:2">
      <c r="A651" s="75" t="s">
        <v>365</v>
      </c>
      <c r="B651">
        <v>306</v>
      </c>
    </row>
    <row r="652" spans="1:2">
      <c r="A652" s="75" t="s">
        <v>1561</v>
      </c>
      <c r="B652" s="82">
        <v>1003</v>
      </c>
    </row>
    <row r="653" spans="1:2">
      <c r="A653" s="75" t="s">
        <v>1562</v>
      </c>
      <c r="B653">
        <v>154</v>
      </c>
    </row>
    <row r="654" spans="1:2">
      <c r="A654" s="75" t="s">
        <v>163</v>
      </c>
      <c r="B654">
        <v>302</v>
      </c>
    </row>
    <row r="655" spans="1:2">
      <c r="A655" s="75" t="s">
        <v>2009</v>
      </c>
      <c r="B655">
        <v>198</v>
      </c>
    </row>
    <row r="656" spans="1:2">
      <c r="A656" s="75" t="s">
        <v>2010</v>
      </c>
      <c r="B656">
        <v>762</v>
      </c>
    </row>
    <row r="657" spans="1:2">
      <c r="A657" s="75" t="s">
        <v>2011</v>
      </c>
      <c r="B657">
        <v>657</v>
      </c>
    </row>
    <row r="658" spans="1:2">
      <c r="A658" s="75" t="s">
        <v>1713</v>
      </c>
      <c r="B658" s="82">
        <v>1297</v>
      </c>
    </row>
    <row r="659" spans="1:2">
      <c r="A659" s="75" t="s">
        <v>833</v>
      </c>
      <c r="B659">
        <v>691</v>
      </c>
    </row>
    <row r="660" spans="1:2">
      <c r="A660" s="75" t="s">
        <v>1318</v>
      </c>
      <c r="B660">
        <v>326</v>
      </c>
    </row>
    <row r="661" spans="1:2">
      <c r="A661" s="75" t="s">
        <v>1875</v>
      </c>
      <c r="B661">
        <v>172</v>
      </c>
    </row>
    <row r="662" spans="1:2">
      <c r="A662" s="75" t="s">
        <v>915</v>
      </c>
      <c r="B662">
        <v>115</v>
      </c>
    </row>
    <row r="663" spans="1:2">
      <c r="A663" s="75" t="s">
        <v>853</v>
      </c>
      <c r="B663">
        <v>90</v>
      </c>
    </row>
    <row r="664" spans="1:2">
      <c r="A664" s="75" t="s">
        <v>661</v>
      </c>
      <c r="B664">
        <v>31</v>
      </c>
    </row>
    <row r="665" spans="1:2">
      <c r="A665" s="75" t="s">
        <v>916</v>
      </c>
      <c r="B665">
        <v>60</v>
      </c>
    </row>
    <row r="666" spans="1:2">
      <c r="A666" s="75" t="s">
        <v>1731</v>
      </c>
      <c r="B666">
        <v>148</v>
      </c>
    </row>
    <row r="667" spans="1:2">
      <c r="A667" s="75" t="s">
        <v>1452</v>
      </c>
      <c r="B667">
        <v>81</v>
      </c>
    </row>
    <row r="668" spans="1:2">
      <c r="A668" s="75" t="s">
        <v>104</v>
      </c>
      <c r="B668">
        <v>98</v>
      </c>
    </row>
    <row r="669" spans="1:2">
      <c r="A669" s="75" t="s">
        <v>1973</v>
      </c>
      <c r="B669">
        <v>54</v>
      </c>
    </row>
    <row r="670" spans="1:2">
      <c r="A670" s="75" t="s">
        <v>324</v>
      </c>
      <c r="B670">
        <v>60</v>
      </c>
    </row>
    <row r="671" spans="1:2">
      <c r="A671" s="75" t="s">
        <v>327</v>
      </c>
      <c r="B671">
        <v>130</v>
      </c>
    </row>
    <row r="672" spans="1:2">
      <c r="A672" s="75" t="s">
        <v>2321</v>
      </c>
      <c r="B672">
        <v>83</v>
      </c>
    </row>
    <row r="673" spans="1:2">
      <c r="A673" s="75" t="s">
        <v>2322</v>
      </c>
      <c r="B673">
        <v>69</v>
      </c>
    </row>
    <row r="674" spans="1:2">
      <c r="A674" s="75" t="s">
        <v>70</v>
      </c>
      <c r="B674">
        <v>76</v>
      </c>
    </row>
    <row r="675" spans="1:2">
      <c r="A675" s="75" t="s">
        <v>2185</v>
      </c>
      <c r="B675">
        <v>33</v>
      </c>
    </row>
    <row r="676" spans="1:2">
      <c r="A676" s="75" t="s">
        <v>155</v>
      </c>
      <c r="B676">
        <v>71</v>
      </c>
    </row>
    <row r="677" spans="1:2">
      <c r="A677" s="75" t="s">
        <v>832</v>
      </c>
      <c r="B677">
        <v>22</v>
      </c>
    </row>
    <row r="678" spans="1:2">
      <c r="A678" s="75" t="s">
        <v>1733</v>
      </c>
      <c r="B678">
        <v>33</v>
      </c>
    </row>
    <row r="679" spans="1:2">
      <c r="A679" s="75" t="s">
        <v>244</v>
      </c>
      <c r="B679">
        <v>20</v>
      </c>
    </row>
    <row r="680" spans="1:2">
      <c r="A680" s="75" t="s">
        <v>1494</v>
      </c>
      <c r="B680" s="82">
        <v>1205</v>
      </c>
    </row>
    <row r="681" spans="1:2">
      <c r="A681" s="75" t="s">
        <v>1067</v>
      </c>
      <c r="B681">
        <v>198</v>
      </c>
    </row>
    <row r="682" spans="1:2">
      <c r="A682" s="75" t="s">
        <v>1876</v>
      </c>
      <c r="B682">
        <v>390</v>
      </c>
    </row>
    <row r="683" spans="1:2">
      <c r="A683" s="75" t="s">
        <v>872</v>
      </c>
      <c r="B683">
        <v>43</v>
      </c>
    </row>
    <row r="684" spans="1:2">
      <c r="A684" s="75" t="s">
        <v>162</v>
      </c>
      <c r="B684">
        <v>529</v>
      </c>
    </row>
    <row r="685" spans="1:2">
      <c r="A685" s="75" t="s">
        <v>2390</v>
      </c>
      <c r="B685">
        <v>294</v>
      </c>
    </row>
    <row r="686" spans="1:2">
      <c r="A686" s="75" t="s">
        <v>2440</v>
      </c>
      <c r="B686">
        <v>870</v>
      </c>
    </row>
    <row r="687" spans="1:2">
      <c r="A687" s="75" t="s">
        <v>2393</v>
      </c>
      <c r="B687">
        <v>751</v>
      </c>
    </row>
    <row r="688" spans="1:2">
      <c r="A688" s="75" t="s">
        <v>1225</v>
      </c>
      <c r="B688">
        <v>151</v>
      </c>
    </row>
    <row r="689" spans="1:2">
      <c r="A689" s="75" t="s">
        <v>1780</v>
      </c>
      <c r="B689">
        <v>320</v>
      </c>
    </row>
    <row r="690" spans="1:2">
      <c r="A690" s="75" t="s">
        <v>1284</v>
      </c>
      <c r="B690">
        <v>76</v>
      </c>
    </row>
    <row r="691" spans="1:2">
      <c r="A691" s="75" t="s">
        <v>2394</v>
      </c>
      <c r="B691">
        <v>139</v>
      </c>
    </row>
    <row r="692" spans="1:2">
      <c r="A692" s="75" t="s">
        <v>2074</v>
      </c>
      <c r="B692">
        <v>215</v>
      </c>
    </row>
    <row r="693" spans="1:2">
      <c r="A693" s="75" t="s">
        <v>882</v>
      </c>
      <c r="B693">
        <v>130</v>
      </c>
    </row>
    <row r="694" spans="1:2">
      <c r="A694" s="75" t="s">
        <v>356</v>
      </c>
      <c r="B694">
        <v>50</v>
      </c>
    </row>
    <row r="695" spans="1:2">
      <c r="A695" s="75" t="s">
        <v>1190</v>
      </c>
      <c r="B695">
        <v>282</v>
      </c>
    </row>
    <row r="696" spans="1:2">
      <c r="A696" s="75" t="s">
        <v>2524</v>
      </c>
      <c r="B696">
        <v>257</v>
      </c>
    </row>
    <row r="697" spans="1:2">
      <c r="A697" s="75" t="s">
        <v>2525</v>
      </c>
      <c r="B697">
        <v>144</v>
      </c>
    </row>
    <row r="698" spans="1:2">
      <c r="A698" s="75" t="s">
        <v>1877</v>
      </c>
      <c r="B698">
        <v>97</v>
      </c>
    </row>
    <row r="699" spans="1:2">
      <c r="A699" s="75" t="s">
        <v>2526</v>
      </c>
      <c r="B699">
        <v>435</v>
      </c>
    </row>
    <row r="700" spans="1:2">
      <c r="A700" s="75" t="s">
        <v>2527</v>
      </c>
      <c r="B700">
        <v>165</v>
      </c>
    </row>
    <row r="701" spans="1:2">
      <c r="A701" s="75" t="s">
        <v>1398</v>
      </c>
      <c r="B701">
        <v>281</v>
      </c>
    </row>
    <row r="702" spans="1:2">
      <c r="A702" s="75" t="s">
        <v>1242</v>
      </c>
      <c r="B702">
        <v>285</v>
      </c>
    </row>
    <row r="703" spans="1:2">
      <c r="A703" s="75" t="s">
        <v>1347</v>
      </c>
      <c r="B703">
        <v>160</v>
      </c>
    </row>
    <row r="704" spans="1:2">
      <c r="A704" s="75" t="s">
        <v>758</v>
      </c>
      <c r="B704">
        <v>158</v>
      </c>
    </row>
    <row r="705" spans="1:2">
      <c r="A705" s="75" t="s">
        <v>1407</v>
      </c>
      <c r="B705">
        <v>25</v>
      </c>
    </row>
    <row r="706" spans="1:2">
      <c r="A706" s="75" t="s">
        <v>1408</v>
      </c>
      <c r="B706">
        <v>107</v>
      </c>
    </row>
    <row r="707" spans="1:2">
      <c r="A707" s="75" t="s">
        <v>1198</v>
      </c>
      <c r="B707">
        <v>125</v>
      </c>
    </row>
    <row r="708" spans="1:2">
      <c r="A708" s="75" t="s">
        <v>1441</v>
      </c>
      <c r="B708">
        <v>158</v>
      </c>
    </row>
    <row r="709" spans="1:2">
      <c r="A709" s="75" t="s">
        <v>2186</v>
      </c>
      <c r="B709">
        <v>333</v>
      </c>
    </row>
    <row r="710" spans="1:2">
      <c r="A710" s="75" t="s">
        <v>1442</v>
      </c>
      <c r="B710">
        <v>234</v>
      </c>
    </row>
    <row r="711" spans="1:2">
      <c r="A711" s="75" t="s">
        <v>1111</v>
      </c>
      <c r="B711">
        <v>158</v>
      </c>
    </row>
    <row r="712" spans="1:2">
      <c r="A712" s="75" t="s">
        <v>329</v>
      </c>
      <c r="B712">
        <v>160</v>
      </c>
    </row>
    <row r="713" spans="1:2">
      <c r="A713" s="75" t="s">
        <v>1419</v>
      </c>
      <c r="B713">
        <v>79</v>
      </c>
    </row>
    <row r="714" spans="1:2">
      <c r="A714" s="75" t="s">
        <v>662</v>
      </c>
      <c r="B714">
        <v>91</v>
      </c>
    </row>
    <row r="715" spans="1:2">
      <c r="A715" s="75" t="s">
        <v>1764</v>
      </c>
      <c r="B715">
        <v>761</v>
      </c>
    </row>
    <row r="716" spans="1:2">
      <c r="A716" s="75" t="s">
        <v>1765</v>
      </c>
      <c r="B716">
        <v>233</v>
      </c>
    </row>
    <row r="717" spans="1:2">
      <c r="A717" s="75" t="s">
        <v>1766</v>
      </c>
      <c r="B717">
        <v>134</v>
      </c>
    </row>
    <row r="718" spans="1:2">
      <c r="A718" s="75" t="s">
        <v>1767</v>
      </c>
      <c r="B718">
        <v>194</v>
      </c>
    </row>
    <row r="719" spans="1:2">
      <c r="A719" s="75" t="s">
        <v>2227</v>
      </c>
      <c r="B719" s="82">
        <v>1024</v>
      </c>
    </row>
    <row r="720" spans="1:2">
      <c r="A720" s="75" t="s">
        <v>663</v>
      </c>
      <c r="B720">
        <v>77</v>
      </c>
    </row>
    <row r="721" spans="1:2">
      <c r="A721" s="75" t="s">
        <v>491</v>
      </c>
      <c r="B721">
        <v>175</v>
      </c>
    </row>
    <row r="722" spans="1:2">
      <c r="A722" s="75" t="s">
        <v>664</v>
      </c>
      <c r="B722">
        <v>117</v>
      </c>
    </row>
    <row r="723" spans="1:2">
      <c r="A723" s="75" t="s">
        <v>492</v>
      </c>
      <c r="B723">
        <v>218</v>
      </c>
    </row>
    <row r="724" spans="1:2">
      <c r="A724" s="75" t="s">
        <v>357</v>
      </c>
      <c r="B724">
        <v>138</v>
      </c>
    </row>
    <row r="725" spans="1:2">
      <c r="A725" s="75" t="s">
        <v>493</v>
      </c>
      <c r="B725">
        <v>73</v>
      </c>
    </row>
    <row r="726" spans="1:2">
      <c r="A726" s="75" t="s">
        <v>494</v>
      </c>
      <c r="B726">
        <v>62</v>
      </c>
    </row>
    <row r="727" spans="1:2">
      <c r="A727" s="75" t="s">
        <v>729</v>
      </c>
      <c r="B727">
        <v>76</v>
      </c>
    </row>
    <row r="728" spans="1:2">
      <c r="A728" s="75" t="s">
        <v>495</v>
      </c>
      <c r="B728">
        <v>87</v>
      </c>
    </row>
    <row r="729" spans="1:2">
      <c r="A729" s="75" t="s">
        <v>496</v>
      </c>
      <c r="B729">
        <v>167</v>
      </c>
    </row>
    <row r="730" spans="1:2">
      <c r="A730" s="75" t="s">
        <v>2262</v>
      </c>
      <c r="B730">
        <v>226</v>
      </c>
    </row>
    <row r="731" spans="1:2">
      <c r="A731" s="75" t="s">
        <v>2269</v>
      </c>
      <c r="B731">
        <v>171</v>
      </c>
    </row>
    <row r="732" spans="1:2">
      <c r="A732" s="75" t="s">
        <v>19</v>
      </c>
      <c r="B732">
        <v>90</v>
      </c>
    </row>
    <row r="733" spans="1:2">
      <c r="A733" s="75" t="s">
        <v>665</v>
      </c>
      <c r="B733">
        <v>213</v>
      </c>
    </row>
    <row r="734" spans="1:2">
      <c r="A734" s="75" t="s">
        <v>20</v>
      </c>
      <c r="B734">
        <v>89</v>
      </c>
    </row>
    <row r="735" spans="1:2">
      <c r="A735" s="75" t="s">
        <v>1972</v>
      </c>
      <c r="B735">
        <v>63</v>
      </c>
    </row>
    <row r="736" spans="1:2">
      <c r="A736" s="75" t="s">
        <v>21</v>
      </c>
      <c r="B736">
        <v>330</v>
      </c>
    </row>
    <row r="737" spans="1:2">
      <c r="A737" s="75" t="s">
        <v>965</v>
      </c>
      <c r="B737">
        <v>390</v>
      </c>
    </row>
    <row r="738" spans="1:2">
      <c r="A738" s="75" t="s">
        <v>1878</v>
      </c>
      <c r="B738">
        <v>172</v>
      </c>
    </row>
    <row r="739" spans="1:2">
      <c r="A739" s="75" t="s">
        <v>1453</v>
      </c>
      <c r="B739">
        <v>142</v>
      </c>
    </row>
    <row r="740" spans="1:2">
      <c r="A740" s="75" t="s">
        <v>1774</v>
      </c>
      <c r="B740">
        <v>289</v>
      </c>
    </row>
    <row r="741" spans="1:2">
      <c r="A741" s="75" t="s">
        <v>2184</v>
      </c>
      <c r="B741">
        <v>467</v>
      </c>
    </row>
    <row r="742" spans="1:2">
      <c r="A742" s="75" t="s">
        <v>402</v>
      </c>
      <c r="B742">
        <v>257</v>
      </c>
    </row>
    <row r="743" spans="1:2">
      <c r="A743" s="75" t="s">
        <v>2358</v>
      </c>
      <c r="B743">
        <v>92</v>
      </c>
    </row>
    <row r="744" spans="1:2">
      <c r="A744" s="75" t="s">
        <v>1102</v>
      </c>
      <c r="B744">
        <v>176</v>
      </c>
    </row>
    <row r="745" spans="1:2">
      <c r="A745" s="75" t="s">
        <v>1103</v>
      </c>
      <c r="B745">
        <v>31</v>
      </c>
    </row>
    <row r="746" spans="1:2">
      <c r="A746" s="75" t="s">
        <v>2261</v>
      </c>
      <c r="B746">
        <v>192</v>
      </c>
    </row>
    <row r="747" spans="1:2">
      <c r="A747" s="75" t="s">
        <v>535</v>
      </c>
      <c r="B747">
        <v>46</v>
      </c>
    </row>
    <row r="748" spans="1:2">
      <c r="A748" s="75" t="s">
        <v>544</v>
      </c>
      <c r="B748">
        <v>83</v>
      </c>
    </row>
    <row r="749" spans="1:2">
      <c r="A749" s="75" t="s">
        <v>545</v>
      </c>
      <c r="B749">
        <v>205</v>
      </c>
    </row>
    <row r="750" spans="1:2">
      <c r="A750" s="75" t="s">
        <v>156</v>
      </c>
      <c r="B750">
        <v>82</v>
      </c>
    </row>
    <row r="751" spans="1:2">
      <c r="A751" s="75" t="s">
        <v>722</v>
      </c>
      <c r="B751">
        <v>50</v>
      </c>
    </row>
    <row r="752" spans="1:2">
      <c r="A752" s="75" t="s">
        <v>911</v>
      </c>
      <c r="B752">
        <v>124</v>
      </c>
    </row>
    <row r="753" spans="1:2">
      <c r="A753" s="75" t="s">
        <v>2019</v>
      </c>
      <c r="B753">
        <v>216</v>
      </c>
    </row>
    <row r="754" spans="1:2">
      <c r="A754" s="75" t="s">
        <v>2020</v>
      </c>
      <c r="B754">
        <v>45</v>
      </c>
    </row>
    <row r="755" spans="1:2">
      <c r="A755" s="75" t="s">
        <v>195</v>
      </c>
      <c r="B755">
        <v>792</v>
      </c>
    </row>
    <row r="756" spans="1:2">
      <c r="A756" s="75" t="s">
        <v>918</v>
      </c>
      <c r="B756">
        <v>546</v>
      </c>
    </row>
    <row r="757" spans="1:2">
      <c r="A757" s="75" t="s">
        <v>919</v>
      </c>
      <c r="B757">
        <v>661</v>
      </c>
    </row>
    <row r="758" spans="1:2">
      <c r="A758" s="75" t="s">
        <v>920</v>
      </c>
      <c r="B758">
        <v>179</v>
      </c>
    </row>
    <row r="759" spans="1:2">
      <c r="A759" s="75" t="s">
        <v>1844</v>
      </c>
      <c r="B759">
        <v>68</v>
      </c>
    </row>
    <row r="760" spans="1:2">
      <c r="A760" s="75" t="s">
        <v>921</v>
      </c>
      <c r="B760">
        <v>70</v>
      </c>
    </row>
    <row r="761" spans="1:2">
      <c r="A761" s="75" t="s">
        <v>922</v>
      </c>
      <c r="B761">
        <v>35</v>
      </c>
    </row>
    <row r="762" spans="1:2">
      <c r="A762" s="75" t="s">
        <v>1380</v>
      </c>
      <c r="B762">
        <v>120</v>
      </c>
    </row>
    <row r="763" spans="1:2">
      <c r="A763" s="75" t="s">
        <v>1030</v>
      </c>
      <c r="B763">
        <v>102</v>
      </c>
    </row>
    <row r="764" spans="1:2">
      <c r="A764" s="75" t="s">
        <v>1031</v>
      </c>
      <c r="B764">
        <v>153</v>
      </c>
    </row>
    <row r="765" spans="1:2">
      <c r="A765" s="75" t="s">
        <v>1032</v>
      </c>
      <c r="B765">
        <v>238</v>
      </c>
    </row>
    <row r="766" spans="1:2">
      <c r="A766" s="75" t="s">
        <v>2396</v>
      </c>
      <c r="B766">
        <v>125</v>
      </c>
    </row>
    <row r="767" spans="1:2">
      <c r="A767" s="75" t="s">
        <v>1277</v>
      </c>
      <c r="B767">
        <v>212</v>
      </c>
    </row>
    <row r="768" spans="1:2">
      <c r="A768" s="75" t="s">
        <v>1278</v>
      </c>
      <c r="B768">
        <v>116</v>
      </c>
    </row>
    <row r="769" spans="1:2">
      <c r="A769" s="75" t="s">
        <v>1279</v>
      </c>
      <c r="B769">
        <v>177</v>
      </c>
    </row>
    <row r="770" spans="1:2">
      <c r="A770" s="75" t="s">
        <v>1280</v>
      </c>
      <c r="B770">
        <v>118</v>
      </c>
    </row>
    <row r="771" spans="1:2">
      <c r="A771" s="75" t="s">
        <v>1281</v>
      </c>
      <c r="B771">
        <v>544</v>
      </c>
    </row>
    <row r="772" spans="1:2">
      <c r="A772" s="75" t="s">
        <v>2436</v>
      </c>
      <c r="B772">
        <v>66</v>
      </c>
    </row>
    <row r="773" spans="1:2">
      <c r="A773" s="75" t="s">
        <v>666</v>
      </c>
      <c r="B773">
        <v>74</v>
      </c>
    </row>
    <row r="774" spans="1:2">
      <c r="A774" s="75" t="s">
        <v>1421</v>
      </c>
      <c r="B774">
        <v>103</v>
      </c>
    </row>
    <row r="775" spans="1:2">
      <c r="A775" s="75" t="s">
        <v>1381</v>
      </c>
      <c r="B775">
        <v>254</v>
      </c>
    </row>
    <row r="776" spans="1:2">
      <c r="A776" s="75" t="s">
        <v>2395</v>
      </c>
      <c r="B776">
        <v>99</v>
      </c>
    </row>
    <row r="777" spans="1:2">
      <c r="A777" s="75" t="s">
        <v>1307</v>
      </c>
      <c r="B777">
        <v>129</v>
      </c>
    </row>
    <row r="778" spans="1:2">
      <c r="A778" s="75" t="s">
        <v>194</v>
      </c>
      <c r="B778">
        <v>53</v>
      </c>
    </row>
    <row r="779" spans="1:2">
      <c r="A779" s="75" t="s">
        <v>1773</v>
      </c>
      <c r="B779">
        <v>88</v>
      </c>
    </row>
    <row r="780" spans="1:2">
      <c r="A780" s="75" t="s">
        <v>1542</v>
      </c>
      <c r="B780">
        <v>51</v>
      </c>
    </row>
    <row r="781" spans="1:2">
      <c r="A781" s="75" t="s">
        <v>1543</v>
      </c>
      <c r="B781">
        <v>217</v>
      </c>
    </row>
    <row r="782" spans="1:2">
      <c r="A782" s="75" t="s">
        <v>1544</v>
      </c>
      <c r="B782">
        <v>169</v>
      </c>
    </row>
    <row r="783" spans="1:2">
      <c r="A783" s="75" t="s">
        <v>1545</v>
      </c>
      <c r="B783">
        <v>339</v>
      </c>
    </row>
    <row r="784" spans="1:2">
      <c r="A784" s="75" t="s">
        <v>1546</v>
      </c>
      <c r="B784">
        <v>200</v>
      </c>
    </row>
    <row r="785" spans="1:2">
      <c r="A785" s="75" t="s">
        <v>1770</v>
      </c>
      <c r="B785">
        <v>913</v>
      </c>
    </row>
    <row r="786" spans="1:2">
      <c r="A786" s="75" t="s">
        <v>2178</v>
      </c>
      <c r="B786" s="82">
        <v>2995</v>
      </c>
    </row>
    <row r="787" spans="1:2">
      <c r="A787" s="75" t="s">
        <v>2167</v>
      </c>
      <c r="B787">
        <v>871</v>
      </c>
    </row>
    <row r="788" spans="1:2">
      <c r="A788" s="75" t="s">
        <v>1226</v>
      </c>
      <c r="B788">
        <v>205</v>
      </c>
    </row>
    <row r="789" spans="1:2">
      <c r="A789" s="75" t="s">
        <v>651</v>
      </c>
      <c r="B789">
        <v>38</v>
      </c>
    </row>
    <row r="790" spans="1:2">
      <c r="A790" s="75" t="s">
        <v>2407</v>
      </c>
      <c r="B790">
        <v>291</v>
      </c>
    </row>
    <row r="791" spans="1:2">
      <c r="A791" s="75" t="s">
        <v>652</v>
      </c>
      <c r="B791">
        <v>91</v>
      </c>
    </row>
    <row r="792" spans="1:2">
      <c r="A792" s="75" t="s">
        <v>1676</v>
      </c>
      <c r="B792">
        <v>328</v>
      </c>
    </row>
    <row r="793" spans="1:2">
      <c r="A793" s="75" t="s">
        <v>1142</v>
      </c>
      <c r="B793">
        <v>64</v>
      </c>
    </row>
    <row r="794" spans="1:2">
      <c r="A794" s="75" t="s">
        <v>1547</v>
      </c>
      <c r="B794">
        <v>74</v>
      </c>
    </row>
    <row r="795" spans="1:2">
      <c r="A795" s="75" t="s">
        <v>185</v>
      </c>
      <c r="B795">
        <v>157</v>
      </c>
    </row>
    <row r="796" spans="1:2">
      <c r="A796" s="75" t="s">
        <v>537</v>
      </c>
      <c r="B796">
        <v>189</v>
      </c>
    </row>
    <row r="797" spans="1:2">
      <c r="A797" s="75" t="s">
        <v>2059</v>
      </c>
      <c r="B797">
        <v>558</v>
      </c>
    </row>
    <row r="798" spans="1:2">
      <c r="A798" s="75" t="s">
        <v>1382</v>
      </c>
      <c r="B798" s="82">
        <v>2962</v>
      </c>
    </row>
    <row r="799" spans="1:2">
      <c r="A799" s="75" t="s">
        <v>203</v>
      </c>
      <c r="B799">
        <v>899</v>
      </c>
    </row>
    <row r="800" spans="1:2">
      <c r="A800" s="75" t="s">
        <v>1214</v>
      </c>
      <c r="B800">
        <v>235</v>
      </c>
    </row>
    <row r="801" spans="1:2">
      <c r="A801" s="75" t="s">
        <v>1215</v>
      </c>
      <c r="B801">
        <v>732</v>
      </c>
    </row>
    <row r="802" spans="1:2">
      <c r="A802" s="75" t="s">
        <v>2381</v>
      </c>
      <c r="B802" s="82">
        <v>1177</v>
      </c>
    </row>
    <row r="803" spans="1:2">
      <c r="A803" s="75" t="s">
        <v>747</v>
      </c>
      <c r="B803">
        <v>430</v>
      </c>
    </row>
    <row r="804" spans="1:2">
      <c r="A804" s="75" t="s">
        <v>105</v>
      </c>
      <c r="B804">
        <v>175</v>
      </c>
    </row>
    <row r="805" spans="1:2">
      <c r="A805" s="75" t="s">
        <v>2508</v>
      </c>
      <c r="B805">
        <v>260</v>
      </c>
    </row>
    <row r="806" spans="1:2">
      <c r="A806" s="75" t="s">
        <v>2151</v>
      </c>
      <c r="B806">
        <v>473</v>
      </c>
    </row>
    <row r="807" spans="1:2">
      <c r="A807" s="75" t="s">
        <v>358</v>
      </c>
      <c r="B807">
        <v>201</v>
      </c>
    </row>
    <row r="808" spans="1:2">
      <c r="A808" s="75" t="s">
        <v>932</v>
      </c>
      <c r="B808" s="82">
        <v>2269</v>
      </c>
    </row>
    <row r="809" spans="1:2">
      <c r="A809" s="75" t="s">
        <v>1620</v>
      </c>
      <c r="B809">
        <v>529</v>
      </c>
    </row>
    <row r="810" spans="1:2">
      <c r="A810" s="75" t="s">
        <v>654</v>
      </c>
      <c r="B810">
        <v>253</v>
      </c>
    </row>
    <row r="811" spans="1:2">
      <c r="A811" s="75" t="s">
        <v>655</v>
      </c>
      <c r="B811">
        <v>217</v>
      </c>
    </row>
    <row r="812" spans="1:2">
      <c r="A812" s="75" t="s">
        <v>656</v>
      </c>
      <c r="B812">
        <v>394</v>
      </c>
    </row>
    <row r="813" spans="1:2">
      <c r="A813" s="75" t="s">
        <v>1371</v>
      </c>
      <c r="B813">
        <v>782</v>
      </c>
    </row>
    <row r="814" spans="1:2">
      <c r="A814" s="75" t="s">
        <v>1372</v>
      </c>
      <c r="B814">
        <v>181</v>
      </c>
    </row>
    <row r="815" spans="1:2">
      <c r="A815" s="75" t="s">
        <v>1373</v>
      </c>
      <c r="B815">
        <v>117</v>
      </c>
    </row>
    <row r="816" spans="1:2">
      <c r="A816" s="75" t="s">
        <v>1374</v>
      </c>
      <c r="B816">
        <v>401</v>
      </c>
    </row>
    <row r="817" spans="1:2">
      <c r="A817" s="75" t="s">
        <v>1375</v>
      </c>
      <c r="B817">
        <v>106</v>
      </c>
    </row>
    <row r="818" spans="1:2">
      <c r="A818" s="75" t="s">
        <v>1376</v>
      </c>
      <c r="B818">
        <v>44</v>
      </c>
    </row>
    <row r="819" spans="1:2">
      <c r="A819" s="75" t="s">
        <v>1578</v>
      </c>
      <c r="B819">
        <v>108</v>
      </c>
    </row>
    <row r="820" spans="1:2">
      <c r="A820" s="75" t="s">
        <v>1712</v>
      </c>
      <c r="B820">
        <v>77</v>
      </c>
    </row>
    <row r="821" spans="1:2">
      <c r="A821" s="75" t="s">
        <v>1579</v>
      </c>
      <c r="B821">
        <v>428</v>
      </c>
    </row>
    <row r="822" spans="1:2">
      <c r="A822" s="75" t="s">
        <v>359</v>
      </c>
      <c r="B822">
        <v>141</v>
      </c>
    </row>
    <row r="823" spans="1:2">
      <c r="A823" s="75" t="s">
        <v>1112</v>
      </c>
      <c r="B823">
        <v>351</v>
      </c>
    </row>
    <row r="824" spans="1:2">
      <c r="A824" s="75" t="s">
        <v>360</v>
      </c>
      <c r="B824">
        <v>21</v>
      </c>
    </row>
    <row r="825" spans="1:2">
      <c r="A825" s="75" t="s">
        <v>1580</v>
      </c>
      <c r="B825">
        <v>365</v>
      </c>
    </row>
    <row r="826" spans="1:2">
      <c r="A826" s="75" t="s">
        <v>1581</v>
      </c>
      <c r="B826">
        <v>117</v>
      </c>
    </row>
    <row r="827" spans="1:2">
      <c r="A827" s="75" t="s">
        <v>1582</v>
      </c>
      <c r="B827">
        <v>12</v>
      </c>
    </row>
    <row r="828" spans="1:2">
      <c r="A828" s="75" t="s">
        <v>2330</v>
      </c>
      <c r="B828">
        <v>78</v>
      </c>
    </row>
    <row r="829" spans="1:2">
      <c r="A829" s="75" t="s">
        <v>2331</v>
      </c>
      <c r="B829">
        <v>22</v>
      </c>
    </row>
    <row r="830" spans="1:2">
      <c r="A830" s="75" t="s">
        <v>1583</v>
      </c>
      <c r="B830">
        <v>105</v>
      </c>
    </row>
    <row r="831" spans="1:2">
      <c r="A831" s="75" t="s">
        <v>176</v>
      </c>
      <c r="B831">
        <v>78</v>
      </c>
    </row>
    <row r="832" spans="1:2">
      <c r="A832" s="75" t="s">
        <v>1584</v>
      </c>
      <c r="B832">
        <v>101</v>
      </c>
    </row>
    <row r="833" spans="1:2">
      <c r="A833" s="75" t="s">
        <v>1310</v>
      </c>
      <c r="B833">
        <v>404</v>
      </c>
    </row>
    <row r="834" spans="1:2">
      <c r="A834" s="75" t="s">
        <v>1311</v>
      </c>
      <c r="B834">
        <v>111</v>
      </c>
    </row>
    <row r="835" spans="1:2">
      <c r="A835" s="75" t="s">
        <v>1312</v>
      </c>
      <c r="B835">
        <v>285</v>
      </c>
    </row>
    <row r="836" spans="1:2">
      <c r="A836" s="75" t="s">
        <v>1540</v>
      </c>
      <c r="B836">
        <v>272</v>
      </c>
    </row>
    <row r="837" spans="1:2">
      <c r="A837" s="75" t="s">
        <v>1541</v>
      </c>
      <c r="B837">
        <v>416</v>
      </c>
    </row>
    <row r="838" spans="1:2">
      <c r="A838" s="75" t="s">
        <v>2294</v>
      </c>
      <c r="B838">
        <v>143</v>
      </c>
    </row>
    <row r="839" spans="1:2">
      <c r="A839" s="75" t="s">
        <v>1144</v>
      </c>
      <c r="B839">
        <v>29</v>
      </c>
    </row>
    <row r="840" spans="1:2">
      <c r="A840" s="75" t="s">
        <v>2295</v>
      </c>
      <c r="B840">
        <v>99</v>
      </c>
    </row>
    <row r="841" spans="1:2">
      <c r="A841" s="75" t="s">
        <v>1368</v>
      </c>
      <c r="B841">
        <v>27</v>
      </c>
    </row>
    <row r="842" spans="1:2">
      <c r="A842" s="75" t="s">
        <v>2386</v>
      </c>
      <c r="B842">
        <v>172</v>
      </c>
    </row>
    <row r="843" spans="1:2">
      <c r="A843" s="75" t="s">
        <v>1326</v>
      </c>
      <c r="B843">
        <v>122</v>
      </c>
    </row>
    <row r="844" spans="1:2">
      <c r="A844" s="75" t="s">
        <v>1241</v>
      </c>
      <c r="B844">
        <v>217</v>
      </c>
    </row>
    <row r="845" spans="1:2">
      <c r="A845" s="75" t="s">
        <v>177</v>
      </c>
      <c r="B845">
        <v>97</v>
      </c>
    </row>
    <row r="846" spans="1:2">
      <c r="A846" s="75" t="s">
        <v>461</v>
      </c>
      <c r="B846">
        <v>516</v>
      </c>
    </row>
    <row r="847" spans="1:2">
      <c r="A847" s="75" t="s">
        <v>1369</v>
      </c>
      <c r="B847">
        <v>348</v>
      </c>
    </row>
    <row r="848" spans="1:2">
      <c r="A848" s="75" t="s">
        <v>1370</v>
      </c>
      <c r="B848">
        <v>243</v>
      </c>
    </row>
    <row r="849" spans="1:2">
      <c r="A849" s="75" t="s">
        <v>1301</v>
      </c>
      <c r="B849" s="82">
        <v>1309</v>
      </c>
    </row>
    <row r="850" spans="1:2">
      <c r="A850" s="75" t="s">
        <v>1302</v>
      </c>
      <c r="B850">
        <v>155</v>
      </c>
    </row>
    <row r="851" spans="1:2">
      <c r="A851" s="75" t="s">
        <v>1303</v>
      </c>
      <c r="B851">
        <v>711</v>
      </c>
    </row>
    <row r="852" spans="1:2">
      <c r="A852" s="75" t="s">
        <v>1387</v>
      </c>
      <c r="B852">
        <v>121</v>
      </c>
    </row>
    <row r="853" spans="1:2">
      <c r="A853" s="75" t="s">
        <v>908</v>
      </c>
      <c r="B853">
        <v>595</v>
      </c>
    </row>
    <row r="854" spans="1:2">
      <c r="A854" s="75" t="s">
        <v>909</v>
      </c>
      <c r="B854">
        <v>210</v>
      </c>
    </row>
    <row r="855" spans="1:2">
      <c r="A855" s="75" t="s">
        <v>910</v>
      </c>
      <c r="B855">
        <v>207</v>
      </c>
    </row>
    <row r="856" spans="1:2">
      <c r="A856" s="75" t="s">
        <v>1027</v>
      </c>
      <c r="B856">
        <v>136</v>
      </c>
    </row>
    <row r="857" spans="1:2">
      <c r="A857" s="75" t="s">
        <v>178</v>
      </c>
      <c r="B857">
        <v>266</v>
      </c>
    </row>
    <row r="858" spans="1:2">
      <c r="A858" s="75" t="s">
        <v>1028</v>
      </c>
      <c r="B858">
        <v>62</v>
      </c>
    </row>
    <row r="859" spans="1:2">
      <c r="A859" s="75" t="s">
        <v>1029</v>
      </c>
      <c r="B859">
        <v>157</v>
      </c>
    </row>
    <row r="860" spans="1:2">
      <c r="A860" s="75" t="s">
        <v>1166</v>
      </c>
      <c r="B860">
        <v>28</v>
      </c>
    </row>
    <row r="861" spans="1:2">
      <c r="A861" s="75" t="s">
        <v>1167</v>
      </c>
      <c r="B861">
        <v>237</v>
      </c>
    </row>
    <row r="862" spans="1:2">
      <c r="A862" s="75" t="s">
        <v>1702</v>
      </c>
      <c r="B862">
        <v>856</v>
      </c>
    </row>
    <row r="863" spans="1:2">
      <c r="A863" s="75" t="s">
        <v>260</v>
      </c>
      <c r="B863">
        <v>85</v>
      </c>
    </row>
    <row r="864" spans="1:2">
      <c r="A864" s="75" t="s">
        <v>1631</v>
      </c>
      <c r="B864">
        <v>82</v>
      </c>
    </row>
    <row r="865" spans="1:2">
      <c r="A865" s="75" t="s">
        <v>1632</v>
      </c>
      <c r="B865">
        <v>201</v>
      </c>
    </row>
    <row r="866" spans="1:2">
      <c r="A866" s="75" t="s">
        <v>952</v>
      </c>
      <c r="B866">
        <v>107</v>
      </c>
    </row>
    <row r="867" spans="1:2">
      <c r="A867" s="75" t="s">
        <v>175</v>
      </c>
      <c r="B867">
        <v>207</v>
      </c>
    </row>
    <row r="868" spans="1:2">
      <c r="A868" s="75" t="s">
        <v>1110</v>
      </c>
      <c r="B868">
        <v>79</v>
      </c>
    </row>
    <row r="869" spans="1:2">
      <c r="A869" s="75" t="s">
        <v>1264</v>
      </c>
      <c r="B869">
        <v>132</v>
      </c>
    </row>
    <row r="870" spans="1:2">
      <c r="A870" s="75" t="s">
        <v>1265</v>
      </c>
      <c r="B870">
        <v>116</v>
      </c>
    </row>
    <row r="871" spans="1:2">
      <c r="A871" s="75" t="s">
        <v>1266</v>
      </c>
      <c r="B871">
        <v>208</v>
      </c>
    </row>
    <row r="872" spans="1:2">
      <c r="A872" s="75" t="s">
        <v>2507</v>
      </c>
      <c r="B872">
        <v>470</v>
      </c>
    </row>
    <row r="873" spans="1:2">
      <c r="A873" s="75" t="s">
        <v>1633</v>
      </c>
      <c r="B873">
        <v>270</v>
      </c>
    </row>
    <row r="874" spans="1:2">
      <c r="A874" s="75" t="s">
        <v>179</v>
      </c>
      <c r="B874">
        <v>490</v>
      </c>
    </row>
    <row r="875" spans="1:2">
      <c r="A875" s="75" t="s">
        <v>1634</v>
      </c>
      <c r="B875">
        <v>807</v>
      </c>
    </row>
    <row r="876" spans="1:2">
      <c r="A876" s="75" t="s">
        <v>2441</v>
      </c>
      <c r="B876">
        <v>923</v>
      </c>
    </row>
    <row r="877" spans="1:2">
      <c r="A877" s="75" t="s">
        <v>706</v>
      </c>
      <c r="B877">
        <v>833</v>
      </c>
    </row>
    <row r="878" spans="1:2">
      <c r="A878" s="75" t="s">
        <v>707</v>
      </c>
      <c r="B878" s="82">
        <v>1458</v>
      </c>
    </row>
    <row r="879" spans="1:2">
      <c r="A879" s="75" t="s">
        <v>756</v>
      </c>
      <c r="B879">
        <v>385</v>
      </c>
    </row>
    <row r="880" spans="1:2">
      <c r="A880" s="75" t="s">
        <v>533</v>
      </c>
      <c r="B880">
        <v>431</v>
      </c>
    </row>
    <row r="881" spans="1:2">
      <c r="A881" s="75" t="s">
        <v>534</v>
      </c>
      <c r="B881">
        <v>264</v>
      </c>
    </row>
    <row r="882" spans="1:2">
      <c r="A882" s="75" t="s">
        <v>2174</v>
      </c>
      <c r="B882">
        <v>88</v>
      </c>
    </row>
    <row r="883" spans="1:2">
      <c r="A883" s="75" t="s">
        <v>826</v>
      </c>
      <c r="B883">
        <v>41</v>
      </c>
    </row>
    <row r="884" spans="1:2">
      <c r="A884" s="75" t="s">
        <v>1745</v>
      </c>
      <c r="B884">
        <v>18</v>
      </c>
    </row>
    <row r="885" spans="1:2">
      <c r="A885" s="75" t="s">
        <v>1905</v>
      </c>
      <c r="B885">
        <v>209</v>
      </c>
    </row>
    <row r="886" spans="1:2">
      <c r="A886" s="75" t="s">
        <v>2060</v>
      </c>
      <c r="B886">
        <v>53</v>
      </c>
    </row>
    <row r="887" spans="1:2">
      <c r="A887" s="75" t="s">
        <v>48</v>
      </c>
      <c r="B887">
        <v>49</v>
      </c>
    </row>
    <row r="888" spans="1:2">
      <c r="A888" s="75" t="s">
        <v>330</v>
      </c>
      <c r="B888">
        <v>95</v>
      </c>
    </row>
    <row r="889" spans="1:2">
      <c r="A889" s="75" t="s">
        <v>1670</v>
      </c>
      <c r="B889">
        <v>8</v>
      </c>
    </row>
    <row r="890" spans="1:2">
      <c r="A890" s="75" t="s">
        <v>2267</v>
      </c>
      <c r="B890">
        <v>58</v>
      </c>
    </row>
    <row r="891" spans="1:2">
      <c r="A891" s="75" t="s">
        <v>50</v>
      </c>
      <c r="B891">
        <v>10</v>
      </c>
    </row>
    <row r="892" spans="1:2">
      <c r="A892" s="75" t="s">
        <v>1587</v>
      </c>
      <c r="B892">
        <v>93</v>
      </c>
    </row>
    <row r="893" spans="1:2">
      <c r="A893" s="75" t="s">
        <v>1054</v>
      </c>
      <c r="B893">
        <v>46</v>
      </c>
    </row>
    <row r="894" spans="1:2">
      <c r="A894" s="75" t="s">
        <v>1743</v>
      </c>
      <c r="B894">
        <v>6</v>
      </c>
    </row>
    <row r="895" spans="1:2">
      <c r="A895" s="75" t="s">
        <v>2100</v>
      </c>
      <c r="B895">
        <v>72</v>
      </c>
    </row>
    <row r="896" spans="1:2">
      <c r="A896" s="75" t="s">
        <v>1742</v>
      </c>
      <c r="B896">
        <v>21</v>
      </c>
    </row>
    <row r="897" spans="1:2">
      <c r="A897" s="75" t="s">
        <v>1109</v>
      </c>
      <c r="B897">
        <v>24</v>
      </c>
    </row>
    <row r="898" spans="1:2">
      <c r="A898" s="75" t="s">
        <v>2101</v>
      </c>
      <c r="B898">
        <v>108</v>
      </c>
    </row>
    <row r="899" spans="1:2">
      <c r="A899" s="75" t="s">
        <v>2102</v>
      </c>
      <c r="B899">
        <v>300</v>
      </c>
    </row>
    <row r="900" spans="1:2">
      <c r="A900" s="75" t="s">
        <v>2509</v>
      </c>
      <c r="B900">
        <v>144</v>
      </c>
    </row>
    <row r="901" spans="1:2">
      <c r="A901" s="75" t="s">
        <v>2510</v>
      </c>
      <c r="B901">
        <v>366</v>
      </c>
    </row>
    <row r="902" spans="1:2">
      <c r="A902" s="75" t="s">
        <v>2511</v>
      </c>
      <c r="B902">
        <v>137</v>
      </c>
    </row>
    <row r="903" spans="1:2">
      <c r="A903" s="75" t="s">
        <v>2512</v>
      </c>
      <c r="B903" s="82">
        <v>2362</v>
      </c>
    </row>
    <row r="904" spans="1:2">
      <c r="A904" s="75" t="s">
        <v>1100</v>
      </c>
      <c r="B904">
        <v>383</v>
      </c>
    </row>
    <row r="905" spans="1:2">
      <c r="A905" s="75" t="s">
        <v>1741</v>
      </c>
      <c r="B905">
        <v>157</v>
      </c>
    </row>
    <row r="906" spans="1:2">
      <c r="A906" s="75" t="s">
        <v>1101</v>
      </c>
      <c r="B906">
        <v>265</v>
      </c>
    </row>
    <row r="907" spans="1:2">
      <c r="A907" s="75" t="s">
        <v>1495</v>
      </c>
      <c r="B907">
        <v>769</v>
      </c>
    </row>
    <row r="908" spans="1:2">
      <c r="A908" s="75" t="s">
        <v>1496</v>
      </c>
      <c r="B908">
        <v>174</v>
      </c>
    </row>
    <row r="909" spans="1:2">
      <c r="A909" s="75" t="s">
        <v>1497</v>
      </c>
      <c r="B909">
        <v>232</v>
      </c>
    </row>
    <row r="910" spans="1:2">
      <c r="A910" s="75" t="s">
        <v>1715</v>
      </c>
      <c r="B910">
        <v>37</v>
      </c>
    </row>
    <row r="911" spans="1:2">
      <c r="A911" s="75" t="s">
        <v>261</v>
      </c>
      <c r="B911">
        <v>48</v>
      </c>
    </row>
    <row r="912" spans="1:2">
      <c r="A912" s="75" t="s">
        <v>1716</v>
      </c>
      <c r="B912">
        <v>32</v>
      </c>
    </row>
    <row r="913" spans="1:2">
      <c r="A913" s="75" t="s">
        <v>2301</v>
      </c>
      <c r="B913">
        <v>312</v>
      </c>
    </row>
    <row r="914" spans="1:2">
      <c r="A914" s="75" t="s">
        <v>1237</v>
      </c>
      <c r="B914">
        <v>207</v>
      </c>
    </row>
    <row r="915" spans="1:2">
      <c r="A915" s="75" t="s">
        <v>2289</v>
      </c>
      <c r="B915">
        <v>439</v>
      </c>
    </row>
    <row r="916" spans="1:2">
      <c r="A916" s="75" t="s">
        <v>325</v>
      </c>
      <c r="B916">
        <v>405</v>
      </c>
    </row>
    <row r="917" spans="1:2">
      <c r="A917" s="75" t="s">
        <v>1231</v>
      </c>
      <c r="B917">
        <v>168</v>
      </c>
    </row>
    <row r="918" spans="1:2">
      <c r="A918" s="75" t="s">
        <v>1179</v>
      </c>
      <c r="B918">
        <v>122</v>
      </c>
    </row>
    <row r="919" spans="1:2">
      <c r="A919" s="75" t="s">
        <v>249</v>
      </c>
      <c r="B919">
        <v>223</v>
      </c>
    </row>
    <row r="920" spans="1:2">
      <c r="A920" s="75" t="s">
        <v>196</v>
      </c>
      <c r="B920">
        <v>90</v>
      </c>
    </row>
    <row r="921" spans="1:2">
      <c r="A921" s="75" t="s">
        <v>250</v>
      </c>
      <c r="B921">
        <v>99</v>
      </c>
    </row>
    <row r="922" spans="1:2">
      <c r="A922" s="75" t="s">
        <v>251</v>
      </c>
      <c r="B922">
        <v>28</v>
      </c>
    </row>
    <row r="923" spans="1:2">
      <c r="A923" s="75" t="s">
        <v>1066</v>
      </c>
      <c r="B923">
        <v>162</v>
      </c>
    </row>
    <row r="924" spans="1:2">
      <c r="A924" s="75" t="s">
        <v>2307</v>
      </c>
      <c r="B924">
        <v>33</v>
      </c>
    </row>
    <row r="925" spans="1:2">
      <c r="A925" s="75" t="s">
        <v>1244</v>
      </c>
      <c r="B925">
        <v>110</v>
      </c>
    </row>
    <row r="926" spans="1:2">
      <c r="A926" s="75" t="s">
        <v>1245</v>
      </c>
      <c r="B926">
        <v>386</v>
      </c>
    </row>
    <row r="927" spans="1:2">
      <c r="A927" s="75" t="s">
        <v>1246</v>
      </c>
      <c r="B927">
        <v>155</v>
      </c>
    </row>
    <row r="928" spans="1:2">
      <c r="A928" s="75" t="s">
        <v>1247</v>
      </c>
      <c r="B928">
        <v>124</v>
      </c>
    </row>
    <row r="929" spans="1:2">
      <c r="A929" s="75" t="s">
        <v>1248</v>
      </c>
      <c r="B929">
        <v>116</v>
      </c>
    </row>
    <row r="930" spans="1:2">
      <c r="A930" s="75" t="s">
        <v>1349</v>
      </c>
      <c r="B930">
        <v>200</v>
      </c>
    </row>
    <row r="931" spans="1:2">
      <c r="A931" s="75" t="s">
        <v>1707</v>
      </c>
      <c r="B931">
        <v>344</v>
      </c>
    </row>
    <row r="932" spans="1:2">
      <c r="A932" s="75" t="s">
        <v>1708</v>
      </c>
      <c r="B932">
        <v>260</v>
      </c>
    </row>
    <row r="933" spans="1:2">
      <c r="A933" s="75" t="s">
        <v>1180</v>
      </c>
      <c r="B933">
        <v>110</v>
      </c>
    </row>
    <row r="934" spans="1:2">
      <c r="A934" s="75" t="s">
        <v>68</v>
      </c>
      <c r="B934">
        <v>166</v>
      </c>
    </row>
    <row r="935" spans="1:2">
      <c r="A935" s="75" t="s">
        <v>1709</v>
      </c>
      <c r="B935">
        <v>87</v>
      </c>
    </row>
    <row r="936" spans="1:2">
      <c r="A936" s="75" t="s">
        <v>1710</v>
      </c>
      <c r="B936">
        <v>190</v>
      </c>
    </row>
    <row r="937" spans="1:2">
      <c r="A937" s="75" t="s">
        <v>1329</v>
      </c>
      <c r="B937">
        <v>78</v>
      </c>
    </row>
    <row r="938" spans="1:2">
      <c r="A938" s="75" t="s">
        <v>1021</v>
      </c>
      <c r="B938">
        <v>65</v>
      </c>
    </row>
    <row r="939" spans="1:2">
      <c r="A939" s="75" t="s">
        <v>1757</v>
      </c>
      <c r="B939">
        <v>116</v>
      </c>
    </row>
    <row r="940" spans="1:2">
      <c r="A940" s="75" t="s">
        <v>1022</v>
      </c>
      <c r="B940">
        <v>55</v>
      </c>
    </row>
    <row r="941" spans="1:2">
      <c r="A941" s="75" t="s">
        <v>1023</v>
      </c>
      <c r="B941">
        <v>40</v>
      </c>
    </row>
    <row r="942" spans="1:2">
      <c r="A942" s="75" t="s">
        <v>1024</v>
      </c>
      <c r="B942">
        <v>401</v>
      </c>
    </row>
    <row r="943" spans="1:2">
      <c r="A943" s="75" t="s">
        <v>1025</v>
      </c>
      <c r="B943">
        <v>838</v>
      </c>
    </row>
    <row r="944" spans="1:2">
      <c r="A944" s="75" t="s">
        <v>54</v>
      </c>
      <c r="B944">
        <v>108</v>
      </c>
    </row>
    <row r="945" spans="1:2">
      <c r="A945" s="75" t="s">
        <v>1454</v>
      </c>
      <c r="B945">
        <v>366</v>
      </c>
    </row>
    <row r="946" spans="1:2">
      <c r="A946" s="75" t="s">
        <v>1432</v>
      </c>
      <c r="B946" s="82">
        <v>1146</v>
      </c>
    </row>
    <row r="947" spans="1:2">
      <c r="A947" s="75" t="s">
        <v>1243</v>
      </c>
      <c r="B947">
        <v>362</v>
      </c>
    </row>
    <row r="948" spans="1:2">
      <c r="A948" s="75" t="s">
        <v>460</v>
      </c>
      <c r="B948">
        <v>926</v>
      </c>
    </row>
    <row r="949" spans="1:2">
      <c r="A949" s="75" t="s">
        <v>785</v>
      </c>
      <c r="B949" s="82">
        <v>2306</v>
      </c>
    </row>
    <row r="950" spans="1:2">
      <c r="A950" s="75" t="s">
        <v>787</v>
      </c>
      <c r="B950">
        <v>161</v>
      </c>
    </row>
    <row r="951" spans="1:2">
      <c r="A951" s="75" t="s">
        <v>788</v>
      </c>
      <c r="B951">
        <v>74</v>
      </c>
    </row>
    <row r="952" spans="1:2">
      <c r="A952" s="75" t="s">
        <v>1443</v>
      </c>
      <c r="B952">
        <v>104</v>
      </c>
    </row>
    <row r="953" spans="1:2">
      <c r="A953" s="75" t="s">
        <v>1732</v>
      </c>
      <c r="B953">
        <v>69</v>
      </c>
    </row>
    <row r="954" spans="1:2">
      <c r="A954" s="75" t="s">
        <v>789</v>
      </c>
      <c r="B954">
        <v>225</v>
      </c>
    </row>
    <row r="955" spans="1:2">
      <c r="A955" s="75" t="s">
        <v>790</v>
      </c>
      <c r="B955">
        <v>225</v>
      </c>
    </row>
    <row r="956" spans="1:2">
      <c r="A956" s="75" t="s">
        <v>1341</v>
      </c>
      <c r="B956">
        <v>29</v>
      </c>
    </row>
    <row r="957" spans="1:2">
      <c r="A957" s="75" t="s">
        <v>830</v>
      </c>
      <c r="B957">
        <v>107</v>
      </c>
    </row>
    <row r="958" spans="1:2">
      <c r="A958" s="75" t="s">
        <v>323</v>
      </c>
      <c r="B958">
        <v>607</v>
      </c>
    </row>
    <row r="959" spans="1:2">
      <c r="A959" s="75" t="s">
        <v>2453</v>
      </c>
      <c r="B959">
        <v>51</v>
      </c>
    </row>
    <row r="960" spans="1:2">
      <c r="A960" s="75" t="s">
        <v>966</v>
      </c>
      <c r="B960">
        <v>102</v>
      </c>
    </row>
    <row r="961" spans="1:2">
      <c r="A961" s="75" t="s">
        <v>1086</v>
      </c>
      <c r="B961">
        <v>598</v>
      </c>
    </row>
    <row r="962" spans="1:2">
      <c r="A962" s="75" t="s">
        <v>262</v>
      </c>
      <c r="B962">
        <v>139</v>
      </c>
    </row>
    <row r="963" spans="1:2">
      <c r="A963" s="75" t="s">
        <v>263</v>
      </c>
      <c r="B963">
        <v>321</v>
      </c>
    </row>
    <row r="964" spans="1:2">
      <c r="A964" s="75" t="s">
        <v>587</v>
      </c>
      <c r="B964">
        <v>157</v>
      </c>
    </row>
    <row r="965" spans="1:2">
      <c r="A965" s="75" t="s">
        <v>588</v>
      </c>
      <c r="B965">
        <v>502</v>
      </c>
    </row>
    <row r="966" spans="1:2">
      <c r="A966" s="75" t="s">
        <v>589</v>
      </c>
      <c r="B966">
        <v>186</v>
      </c>
    </row>
    <row r="967" spans="1:2">
      <c r="A967" s="75" t="s">
        <v>2214</v>
      </c>
      <c r="B967">
        <v>462</v>
      </c>
    </row>
    <row r="968" spans="1:2">
      <c r="A968" s="75" t="s">
        <v>2215</v>
      </c>
      <c r="B968">
        <v>162</v>
      </c>
    </row>
    <row r="969" spans="1:2">
      <c r="A969" s="75" t="s">
        <v>1671</v>
      </c>
      <c r="B969">
        <v>17</v>
      </c>
    </row>
    <row r="970" spans="1:2">
      <c r="A970" s="75" t="s">
        <v>1015</v>
      </c>
      <c r="B970">
        <v>106</v>
      </c>
    </row>
    <row r="971" spans="1:2">
      <c r="A971" s="75" t="s">
        <v>1431</v>
      </c>
      <c r="B971" s="82">
        <v>2455</v>
      </c>
    </row>
    <row r="972" spans="1:2">
      <c r="A972" s="75" t="s">
        <v>879</v>
      </c>
      <c r="B972">
        <v>797</v>
      </c>
    </row>
    <row r="973" spans="1:2">
      <c r="A973" s="75" t="s">
        <v>880</v>
      </c>
      <c r="B973">
        <v>147</v>
      </c>
    </row>
    <row r="974" spans="1:2">
      <c r="A974" s="75" t="s">
        <v>881</v>
      </c>
      <c r="B974">
        <v>178</v>
      </c>
    </row>
    <row r="975" spans="1:2">
      <c r="A975" s="75" t="s">
        <v>536</v>
      </c>
      <c r="B975">
        <v>442</v>
      </c>
    </row>
    <row r="976" spans="1:2">
      <c r="A976" s="75" t="s">
        <v>855</v>
      </c>
      <c r="B976">
        <v>186</v>
      </c>
    </row>
    <row r="977" spans="1:2">
      <c r="A977" s="75" t="s">
        <v>856</v>
      </c>
      <c r="B977">
        <v>173</v>
      </c>
    </row>
    <row r="978" spans="1:2">
      <c r="A978" s="75" t="s">
        <v>857</v>
      </c>
      <c r="B978">
        <v>313</v>
      </c>
    </row>
    <row r="979" spans="1:2">
      <c r="A979" s="75" t="s">
        <v>858</v>
      </c>
      <c r="B979">
        <v>182</v>
      </c>
    </row>
    <row r="980" spans="1:2">
      <c r="A980" s="75" t="s">
        <v>1628</v>
      </c>
      <c r="B980">
        <v>134</v>
      </c>
    </row>
    <row r="981" spans="1:2">
      <c r="A981" s="75" t="s">
        <v>2194</v>
      </c>
      <c r="B981">
        <v>503</v>
      </c>
    </row>
    <row r="982" spans="1:2">
      <c r="A982" s="75" t="s">
        <v>837</v>
      </c>
      <c r="B982">
        <v>167</v>
      </c>
    </row>
    <row r="983" spans="1:2">
      <c r="A983" s="75" t="s">
        <v>1181</v>
      </c>
      <c r="B983">
        <v>201</v>
      </c>
    </row>
    <row r="984" spans="1:2">
      <c r="A984" s="75" t="s">
        <v>605</v>
      </c>
      <c r="B984">
        <v>172</v>
      </c>
    </row>
    <row r="985" spans="1:2">
      <c r="A985" s="75" t="s">
        <v>1724</v>
      </c>
      <c r="B985">
        <v>83</v>
      </c>
    </row>
    <row r="986" spans="1:2">
      <c r="A986" s="75" t="s">
        <v>538</v>
      </c>
      <c r="B986">
        <v>15</v>
      </c>
    </row>
    <row r="987" spans="1:2">
      <c r="A987" s="75" t="s">
        <v>1282</v>
      </c>
      <c r="B987">
        <v>202</v>
      </c>
    </row>
    <row r="988" spans="1:2">
      <c r="A988" s="75" t="s">
        <v>9</v>
      </c>
      <c r="B988">
        <v>555</v>
      </c>
    </row>
    <row r="989" spans="1:2">
      <c r="A989" s="75" t="s">
        <v>10</v>
      </c>
      <c r="B989">
        <v>87</v>
      </c>
    </row>
    <row r="990" spans="1:2">
      <c r="A990" s="75" t="s">
        <v>1415</v>
      </c>
      <c r="B990">
        <v>66</v>
      </c>
    </row>
    <row r="991" spans="1:2">
      <c r="A991" s="75" t="s">
        <v>1975</v>
      </c>
      <c r="B991">
        <v>391</v>
      </c>
    </row>
    <row r="992" spans="1:2">
      <c r="A992" s="75" t="s">
        <v>403</v>
      </c>
      <c r="B992">
        <v>127</v>
      </c>
    </row>
    <row r="993" spans="1:2">
      <c r="A993" s="75" t="s">
        <v>264</v>
      </c>
      <c r="B993">
        <v>329</v>
      </c>
    </row>
    <row r="994" spans="1:2">
      <c r="A994" s="75" t="s">
        <v>1262</v>
      </c>
      <c r="B994">
        <v>141</v>
      </c>
    </row>
    <row r="995" spans="1:2">
      <c r="A995" s="75" t="s">
        <v>2437</v>
      </c>
      <c r="B995">
        <v>184</v>
      </c>
    </row>
    <row r="996" spans="1:2">
      <c r="A996" s="75" t="s">
        <v>1701</v>
      </c>
      <c r="B996">
        <v>104</v>
      </c>
    </row>
    <row r="997" spans="1:2">
      <c r="A997" s="75" t="s">
        <v>38</v>
      </c>
      <c r="B997">
        <v>70</v>
      </c>
    </row>
    <row r="998" spans="1:2">
      <c r="A998" s="75" t="s">
        <v>11</v>
      </c>
      <c r="B998">
        <v>85</v>
      </c>
    </row>
    <row r="999" spans="1:2">
      <c r="A999" s="75" t="s">
        <v>1674</v>
      </c>
      <c r="B999">
        <v>110</v>
      </c>
    </row>
    <row r="1000" spans="1:2">
      <c r="A1000" s="75" t="s">
        <v>1234</v>
      </c>
      <c r="B1000">
        <v>110</v>
      </c>
    </row>
    <row r="1001" spans="1:2">
      <c r="A1001" s="75" t="s">
        <v>1455</v>
      </c>
      <c r="B1001">
        <v>77</v>
      </c>
    </row>
    <row r="1002" spans="1:2">
      <c r="A1002" s="75" t="s">
        <v>1426</v>
      </c>
      <c r="B1002">
        <v>149</v>
      </c>
    </row>
    <row r="1003" spans="1:2">
      <c r="A1003" s="75" t="s">
        <v>1672</v>
      </c>
      <c r="B1003">
        <v>198</v>
      </c>
    </row>
    <row r="1004" spans="1:2">
      <c r="A1004" s="75" t="s">
        <v>12</v>
      </c>
      <c r="B1004">
        <v>50</v>
      </c>
    </row>
    <row r="1005" spans="1:2">
      <c r="A1005" s="75" t="s">
        <v>2316</v>
      </c>
      <c r="B1005">
        <v>289</v>
      </c>
    </row>
    <row r="1006" spans="1:2">
      <c r="A1006" s="75" t="s">
        <v>57</v>
      </c>
      <c r="B1006">
        <v>99</v>
      </c>
    </row>
    <row r="1007" spans="1:2">
      <c r="A1007" s="75" t="s">
        <v>2317</v>
      </c>
      <c r="B1007">
        <v>215</v>
      </c>
    </row>
    <row r="1008" spans="1:2">
      <c r="A1008" s="75" t="s">
        <v>1423</v>
      </c>
      <c r="B1008">
        <v>184</v>
      </c>
    </row>
    <row r="1009" spans="1:2">
      <c r="A1009" s="75" t="s">
        <v>1104</v>
      </c>
      <c r="B1009">
        <v>400</v>
      </c>
    </row>
    <row r="1010" spans="1:2">
      <c r="A1010" s="75" t="s">
        <v>1105</v>
      </c>
      <c r="B1010" s="82">
        <v>1118</v>
      </c>
    </row>
    <row r="1011" spans="1:2">
      <c r="A1011" s="75" t="s">
        <v>182</v>
      </c>
      <c r="B1011">
        <v>111</v>
      </c>
    </row>
    <row r="1012" spans="1:2">
      <c r="A1012" s="75" t="s">
        <v>755</v>
      </c>
      <c r="B1012">
        <v>65</v>
      </c>
    </row>
    <row r="1013" spans="1:2">
      <c r="A1013" s="75" t="s">
        <v>2054</v>
      </c>
      <c r="B1013">
        <v>141</v>
      </c>
    </row>
    <row r="1014" spans="1:2">
      <c r="A1014" s="75" t="s">
        <v>2286</v>
      </c>
      <c r="B1014">
        <v>115</v>
      </c>
    </row>
    <row r="1015" spans="1:2">
      <c r="A1015" s="75" t="s">
        <v>2287</v>
      </c>
      <c r="B1015">
        <v>218</v>
      </c>
    </row>
    <row r="1016" spans="1:2">
      <c r="A1016" s="75" t="s">
        <v>1909</v>
      </c>
      <c r="B1016">
        <v>72</v>
      </c>
    </row>
    <row r="1017" spans="1:2">
      <c r="A1017" s="75" t="s">
        <v>1080</v>
      </c>
      <c r="B1017">
        <v>122</v>
      </c>
    </row>
    <row r="1018" spans="1:2">
      <c r="A1018" s="75" t="s">
        <v>2106</v>
      </c>
      <c r="B1018">
        <v>98</v>
      </c>
    </row>
    <row r="1019" spans="1:2">
      <c r="A1019" s="75" t="s">
        <v>2107</v>
      </c>
      <c r="B1019">
        <v>90</v>
      </c>
    </row>
    <row r="1020" spans="1:2">
      <c r="A1020" s="75" t="s">
        <v>2432</v>
      </c>
      <c r="B1020">
        <v>149</v>
      </c>
    </row>
    <row r="1021" spans="1:2">
      <c r="A1021" s="75" t="s">
        <v>2433</v>
      </c>
      <c r="B1021">
        <v>74</v>
      </c>
    </row>
    <row r="1022" spans="1:2">
      <c r="A1022" s="75" t="s">
        <v>598</v>
      </c>
      <c r="B1022">
        <v>93</v>
      </c>
    </row>
    <row r="1023" spans="1:2">
      <c r="A1023" s="75" t="s">
        <v>638</v>
      </c>
      <c r="B1023">
        <v>173</v>
      </c>
    </row>
    <row r="1024" spans="1:2">
      <c r="A1024" s="75" t="s">
        <v>639</v>
      </c>
      <c r="B1024">
        <v>157</v>
      </c>
    </row>
    <row r="1025" spans="1:2">
      <c r="A1025" s="75" t="s">
        <v>1385</v>
      </c>
      <c r="B1025">
        <v>598</v>
      </c>
    </row>
    <row r="1026" spans="1:2">
      <c r="A1026" s="75" t="s">
        <v>860</v>
      </c>
      <c r="B1026">
        <v>544</v>
      </c>
    </row>
    <row r="1027" spans="1:2">
      <c r="A1027" s="75" t="s">
        <v>1386</v>
      </c>
      <c r="B1027">
        <v>219</v>
      </c>
    </row>
    <row r="1028" spans="1:2">
      <c r="A1028" s="75" t="s">
        <v>1416</v>
      </c>
      <c r="B1028">
        <v>201</v>
      </c>
    </row>
    <row r="1029" spans="1:2">
      <c r="A1029" s="75" t="s">
        <v>485</v>
      </c>
      <c r="B1029" s="82">
        <v>1061</v>
      </c>
    </row>
    <row r="1030" spans="1:2">
      <c r="A1030" s="75" t="s">
        <v>2268</v>
      </c>
      <c r="B1030">
        <v>656</v>
      </c>
    </row>
    <row r="1031" spans="1:2">
      <c r="A1031" s="75" t="s">
        <v>1594</v>
      </c>
      <c r="B1031">
        <v>307</v>
      </c>
    </row>
  </sheetData>
  <phoneticPr fontId="24" type="noConversion"/>
  <pageMargins left="0.75" right="0.75" top="1" bottom="1"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6.7265625" customWidth="1"/>
  </cols>
  <sheetData>
    <row r="1" spans="1:3" ht="13">
      <c r="A1" s="245" t="s">
        <v>2716</v>
      </c>
      <c r="C1" s="1784" t="str">
        <f>'Data Entry - SOF'!M1</f>
        <v>Release 2</v>
      </c>
    </row>
    <row r="2" spans="1:3" ht="13">
      <c r="A2" s="245" t="s">
        <v>2717</v>
      </c>
      <c r="C2" s="1815">
        <f>'Data Entry - SOF'!M2</f>
        <v>44930</v>
      </c>
    </row>
    <row r="3" spans="1:3" ht="13">
      <c r="A3" s="52"/>
      <c r="C3" s="47"/>
    </row>
    <row r="4" spans="1:3" ht="15.5">
      <c r="A4" s="246" t="s">
        <v>8319</v>
      </c>
    </row>
    <row r="5" spans="1:3" ht="15.5">
      <c r="A5" s="248" t="str">
        <f>'Data Entry - SOF'!B1</f>
        <v xml:space="preserve"> </v>
      </c>
    </row>
    <row r="6" spans="1:3" ht="15.5">
      <c r="A6" s="246">
        <f>'Data Entry - SOF'!B2</f>
        <v>0</v>
      </c>
    </row>
    <row r="7" spans="1:3" ht="15.5">
      <c r="A7" s="246"/>
    </row>
    <row r="9" spans="1:3" ht="18">
      <c r="A9" s="1818"/>
      <c r="B9" s="1807"/>
      <c r="C9" s="1794" t="s">
        <v>2558</v>
      </c>
    </row>
    <row r="10" spans="1:3" ht="18">
      <c r="A10" s="1819" t="s">
        <v>2627</v>
      </c>
      <c r="B10" s="1776"/>
      <c r="C10" s="1796" t="s">
        <v>2628</v>
      </c>
    </row>
    <row r="11" spans="1:3" ht="15.5">
      <c r="A11" s="250" t="s">
        <v>2063</v>
      </c>
      <c r="B11" s="251" t="s">
        <v>5934</v>
      </c>
      <c r="C11" s="255">
        <f>'Data Entry - SOF'!C75</f>
        <v>0</v>
      </c>
    </row>
    <row r="12" spans="1:3" ht="15.5">
      <c r="A12" s="250" t="s">
        <v>2064</v>
      </c>
      <c r="B12" s="251" t="s">
        <v>5935</v>
      </c>
      <c r="C12" s="255">
        <f>'IFA-HB3'!N79</f>
        <v>0</v>
      </c>
    </row>
    <row r="13" spans="1:3" ht="15.5">
      <c r="A13" s="250" t="s">
        <v>2065</v>
      </c>
      <c r="B13" s="1767" t="s">
        <v>8320</v>
      </c>
      <c r="C13" s="1820" t="s">
        <v>8317</v>
      </c>
    </row>
    <row r="14" spans="1:3" ht="15.5">
      <c r="A14" s="250" t="s">
        <v>862</v>
      </c>
      <c r="B14" s="251" t="s">
        <v>8321</v>
      </c>
      <c r="C14" s="255">
        <f>C11-C12</f>
        <v>0</v>
      </c>
    </row>
    <row r="15" spans="1:3" ht="15.5">
      <c r="A15" s="250" t="s">
        <v>863</v>
      </c>
      <c r="B15" s="251" t="s">
        <v>5929</v>
      </c>
      <c r="C15" s="272">
        <f>'Data Entry - SOF'!C74</f>
        <v>0</v>
      </c>
    </row>
    <row r="16" spans="1:3" ht="15.5">
      <c r="A16" s="250" t="s">
        <v>865</v>
      </c>
      <c r="B16" s="251" t="s">
        <v>8318</v>
      </c>
      <c r="C16" s="255" t="e">
        <f>C14/C15/100</f>
        <v>#DIV/0!</v>
      </c>
    </row>
    <row r="17" spans="1:3" ht="15.5">
      <c r="A17" s="250" t="s">
        <v>866</v>
      </c>
      <c r="B17" s="251" t="s">
        <v>8322</v>
      </c>
      <c r="C17" s="272">
        <f>'Data Entry - SOF'!C124</f>
        <v>0</v>
      </c>
    </row>
    <row r="18" spans="1:3" ht="15.5">
      <c r="A18" s="250" t="s">
        <v>867</v>
      </c>
      <c r="B18" s="251" t="s">
        <v>8313</v>
      </c>
      <c r="C18" s="255" t="e">
        <f>C16*C17*100</f>
        <v>#DIV/0!</v>
      </c>
    </row>
    <row r="19" spans="1:3" ht="15.5">
      <c r="A19" s="250" t="s">
        <v>109</v>
      </c>
      <c r="B19" s="251" t="s">
        <v>8314</v>
      </c>
      <c r="C19" s="272">
        <f>IF(C15-C17&gt;=0.08,0.08,C15-C17)</f>
        <v>0</v>
      </c>
    </row>
    <row r="20" spans="1:3" ht="15.5">
      <c r="A20" s="250" t="s">
        <v>110</v>
      </c>
      <c r="B20" s="251" t="s">
        <v>8315</v>
      </c>
      <c r="C20" s="255" t="e">
        <f>C16*C19*100</f>
        <v>#DIV/0!</v>
      </c>
    </row>
    <row r="21" spans="1:3" ht="15.5">
      <c r="A21" s="250" t="s">
        <v>111</v>
      </c>
      <c r="B21" s="251" t="s">
        <v>8316</v>
      </c>
      <c r="C21" s="255" t="e">
        <f>C14-C18-C20</f>
        <v>#DIV/0!</v>
      </c>
    </row>
    <row r="22" spans="1:3" s="247" customFormat="1" ht="15.5">
      <c r="B22" s="320" t="s">
        <v>2708</v>
      </c>
      <c r="C22" s="635" t="s">
        <v>9067</v>
      </c>
    </row>
    <row r="25" spans="1:3" ht="15.5" hidden="1">
      <c r="B25" s="232" t="s">
        <v>2728</v>
      </c>
    </row>
    <row r="26" spans="1:3" ht="15.5" hidden="1">
      <c r="B26" s="232" t="s">
        <v>9219</v>
      </c>
    </row>
  </sheetData>
  <hyperlinks>
    <hyperlink ref="C22" location="'Report-SOF2122-HB1525'!A1" display="'Report-SOF2122-HB1525'!A1"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7.1796875" customWidth="1"/>
  </cols>
  <sheetData>
    <row r="1" spans="1:3" ht="13">
      <c r="A1" s="245" t="s">
        <v>2716</v>
      </c>
      <c r="C1" s="1784" t="str">
        <f>'M&amp;ODetail2122-HB3'!C1</f>
        <v>Release 2</v>
      </c>
    </row>
    <row r="2" spans="1:3" ht="13">
      <c r="A2" s="245" t="s">
        <v>2717</v>
      </c>
      <c r="C2" s="1815">
        <f>'M&amp;ODetail2122-HB3'!C2</f>
        <v>44930</v>
      </c>
    </row>
    <row r="3" spans="1:3" ht="13">
      <c r="A3" s="52"/>
      <c r="C3" s="47"/>
    </row>
    <row r="4" spans="1:3" ht="15.5">
      <c r="A4" s="246" t="s">
        <v>8323</v>
      </c>
    </row>
    <row r="5" spans="1:3" ht="15.5">
      <c r="A5" s="248" t="str">
        <f>'Data Entry - SOF'!B1</f>
        <v xml:space="preserve"> </v>
      </c>
    </row>
    <row r="6" spans="1:3" ht="15.5">
      <c r="A6" s="246">
        <f>'Data Entry - SOF'!B2</f>
        <v>0</v>
      </c>
    </row>
    <row r="7" spans="1:3" ht="15.5">
      <c r="A7" s="246"/>
    </row>
    <row r="9" spans="1:3" ht="18">
      <c r="A9" s="1818"/>
      <c r="B9" s="1807"/>
      <c r="C9" s="1794" t="s">
        <v>2558</v>
      </c>
    </row>
    <row r="10" spans="1:3" ht="18">
      <c r="A10" s="1819" t="s">
        <v>2627</v>
      </c>
      <c r="B10" s="1776"/>
      <c r="C10" s="1796" t="s">
        <v>2628</v>
      </c>
    </row>
    <row r="11" spans="1:3" ht="15.5">
      <c r="A11" s="250" t="s">
        <v>2063</v>
      </c>
      <c r="B11" s="251" t="s">
        <v>5964</v>
      </c>
      <c r="C11" s="255">
        <f>'Data Entry - SOF'!E75</f>
        <v>0</v>
      </c>
    </row>
    <row r="12" spans="1:3" ht="15.5">
      <c r="A12" s="250" t="s">
        <v>2064</v>
      </c>
      <c r="B12" s="251" t="s">
        <v>5965</v>
      </c>
      <c r="C12" s="255">
        <f>'IFA-HB3'!R79</f>
        <v>0</v>
      </c>
    </row>
    <row r="13" spans="1:3" ht="15.5">
      <c r="A13" s="250" t="s">
        <v>2065</v>
      </c>
      <c r="B13" s="1767" t="s">
        <v>8324</v>
      </c>
      <c r="C13" s="1820" t="s">
        <v>8317</v>
      </c>
    </row>
    <row r="14" spans="1:3" ht="15.5">
      <c r="A14" s="250" t="s">
        <v>862</v>
      </c>
      <c r="B14" s="251" t="s">
        <v>8325</v>
      </c>
      <c r="C14" s="255">
        <f>C11-C12</f>
        <v>0</v>
      </c>
    </row>
    <row r="15" spans="1:3" ht="15.5">
      <c r="A15" s="250" t="s">
        <v>863</v>
      </c>
      <c r="B15" s="251" t="s">
        <v>5959</v>
      </c>
      <c r="C15" s="272">
        <f>'Data Entry - SOF'!E74</f>
        <v>0</v>
      </c>
    </row>
    <row r="16" spans="1:3" ht="15.5">
      <c r="A16" s="250" t="s">
        <v>865</v>
      </c>
      <c r="B16" s="251" t="s">
        <v>8318</v>
      </c>
      <c r="C16" s="255" t="e">
        <f>C14/C15/100</f>
        <v>#DIV/0!</v>
      </c>
    </row>
    <row r="17" spans="1:3" ht="15.5">
      <c r="A17" s="250" t="s">
        <v>866</v>
      </c>
      <c r="B17" s="251" t="s">
        <v>8326</v>
      </c>
      <c r="C17" s="272">
        <f>'Data Entry - SOF'!E124</f>
        <v>0</v>
      </c>
    </row>
    <row r="18" spans="1:3" ht="15.5">
      <c r="A18" s="250" t="s">
        <v>867</v>
      </c>
      <c r="B18" s="251" t="s">
        <v>8313</v>
      </c>
      <c r="C18" s="255" t="e">
        <f>C16*C17*100</f>
        <v>#DIV/0!</v>
      </c>
    </row>
    <row r="19" spans="1:3" ht="15.5">
      <c r="A19" s="250" t="s">
        <v>109</v>
      </c>
      <c r="B19" s="251" t="s">
        <v>8314</v>
      </c>
      <c r="C19" s="272">
        <f>IF(C15-C17&gt;=0.08,0.08,C15-C17)</f>
        <v>0</v>
      </c>
    </row>
    <row r="20" spans="1:3" ht="15.5">
      <c r="A20" s="250" t="s">
        <v>110</v>
      </c>
      <c r="B20" s="251" t="s">
        <v>8315</v>
      </c>
      <c r="C20" s="255" t="e">
        <f>C16*C19*100</f>
        <v>#DIV/0!</v>
      </c>
    </row>
    <row r="21" spans="1:3" ht="15.5">
      <c r="A21" s="250" t="s">
        <v>111</v>
      </c>
      <c r="B21" s="251" t="s">
        <v>8316</v>
      </c>
      <c r="C21" s="255" t="e">
        <f>C14-C18-C20</f>
        <v>#DIV/0!</v>
      </c>
    </row>
    <row r="22" spans="1:3" s="247" customFormat="1" ht="15.5">
      <c r="B22" s="320" t="s">
        <v>2708</v>
      </c>
      <c r="C22" s="635" t="s">
        <v>10471</v>
      </c>
    </row>
    <row r="25" spans="1:3" ht="15.5" hidden="1">
      <c r="B25" s="232" t="s">
        <v>2728</v>
      </c>
    </row>
    <row r="26" spans="1:3" ht="15.5" hidden="1">
      <c r="B26" s="232" t="s">
        <v>9218</v>
      </c>
    </row>
  </sheetData>
  <hyperlinks>
    <hyperlink ref="C22" location="'Report-SOF2223-SB1'!A1" display="'Report-SOF2223-SB1'!A1"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6.81640625" customWidth="1"/>
  </cols>
  <sheetData>
    <row r="1" spans="1:3" ht="13">
      <c r="A1" s="245" t="s">
        <v>2716</v>
      </c>
      <c r="C1" s="1784" t="str">
        <f>'M&amp;ODetail2223-HB3'!C1</f>
        <v>Release 2</v>
      </c>
    </row>
    <row r="2" spans="1:3" ht="13">
      <c r="A2" s="245" t="s">
        <v>2717</v>
      </c>
      <c r="C2" s="1815">
        <f>'M&amp;ODetail2223-HB3'!C2</f>
        <v>44930</v>
      </c>
    </row>
    <row r="3" spans="1:3" ht="13">
      <c r="A3" s="52"/>
      <c r="C3" s="47"/>
    </row>
    <row r="4" spans="1:3" ht="15.5">
      <c r="A4" s="246" t="s">
        <v>8327</v>
      </c>
    </row>
    <row r="5" spans="1:3" ht="15.5">
      <c r="A5" s="248" t="str">
        <f>'Data Entry - SOF'!B1</f>
        <v xml:space="preserve"> </v>
      </c>
    </row>
    <row r="6" spans="1:3" ht="15.5">
      <c r="A6" s="246">
        <f>'Data Entry - SOF'!B2</f>
        <v>0</v>
      </c>
    </row>
    <row r="7" spans="1:3" ht="15.5">
      <c r="A7" s="246"/>
    </row>
    <row r="9" spans="1:3" ht="18">
      <c r="A9" s="1818"/>
      <c r="B9" s="1807"/>
      <c r="C9" s="1794" t="s">
        <v>2558</v>
      </c>
    </row>
    <row r="10" spans="1:3" ht="18">
      <c r="A10" s="1819" t="s">
        <v>2627</v>
      </c>
      <c r="B10" s="1776"/>
      <c r="C10" s="1796" t="s">
        <v>2628</v>
      </c>
    </row>
    <row r="11" spans="1:3" ht="15.5">
      <c r="A11" s="250" t="s">
        <v>2063</v>
      </c>
      <c r="B11" s="251" t="s">
        <v>7060</v>
      </c>
      <c r="C11" s="255">
        <f>'Data Entry - SOF'!G75</f>
        <v>0</v>
      </c>
    </row>
    <row r="12" spans="1:3" ht="15.5">
      <c r="A12" s="250" t="s">
        <v>2064</v>
      </c>
      <c r="B12" s="251" t="s">
        <v>7061</v>
      </c>
      <c r="C12" s="255">
        <f>'IFA-HB3'!W79</f>
        <v>0</v>
      </c>
    </row>
    <row r="13" spans="1:3" ht="15.5">
      <c r="A13" s="250" t="s">
        <v>2065</v>
      </c>
      <c r="B13" s="1767" t="s">
        <v>8328</v>
      </c>
      <c r="C13" s="1820" t="s">
        <v>8317</v>
      </c>
    </row>
    <row r="14" spans="1:3" ht="15.5">
      <c r="A14" s="250" t="s">
        <v>862</v>
      </c>
      <c r="B14" s="251" t="s">
        <v>8329</v>
      </c>
      <c r="C14" s="255">
        <f>C11-C12</f>
        <v>0</v>
      </c>
    </row>
    <row r="15" spans="1:3" ht="15.5">
      <c r="A15" s="250" t="s">
        <v>863</v>
      </c>
      <c r="B15" s="251" t="s">
        <v>7049</v>
      </c>
      <c r="C15" s="272">
        <f>'Data Entry - SOF'!G74</f>
        <v>0</v>
      </c>
    </row>
    <row r="16" spans="1:3" ht="15.5">
      <c r="A16" s="250" t="s">
        <v>865</v>
      </c>
      <c r="B16" s="251" t="s">
        <v>8318</v>
      </c>
      <c r="C16" s="255" t="e">
        <f>C14/C15/100</f>
        <v>#DIV/0!</v>
      </c>
    </row>
    <row r="17" spans="1:3" ht="15.5">
      <c r="A17" s="250" t="s">
        <v>866</v>
      </c>
      <c r="B17" s="251" t="s">
        <v>8330</v>
      </c>
      <c r="C17" s="272" t="e">
        <f>'Data Entry - SOF'!G124</f>
        <v>#DIV/0!</v>
      </c>
    </row>
    <row r="18" spans="1:3" ht="15.5">
      <c r="A18" s="250" t="s">
        <v>867</v>
      </c>
      <c r="B18" s="251" t="s">
        <v>8313</v>
      </c>
      <c r="C18" s="255" t="e">
        <f>C16*C17*100</f>
        <v>#DIV/0!</v>
      </c>
    </row>
    <row r="19" spans="1:3" ht="15.5">
      <c r="A19" s="250" t="s">
        <v>109</v>
      </c>
      <c r="B19" s="251" t="s">
        <v>8314</v>
      </c>
      <c r="C19" s="272" t="e">
        <f>IF(C15-C17&gt;=0.08,0.08,C15-C17)</f>
        <v>#DIV/0!</v>
      </c>
    </row>
    <row r="20" spans="1:3" ht="15.5">
      <c r="A20" s="250" t="s">
        <v>110</v>
      </c>
      <c r="B20" s="251" t="s">
        <v>8315</v>
      </c>
      <c r="C20" s="255" t="e">
        <f>C16*C19*100</f>
        <v>#DIV/0!</v>
      </c>
    </row>
    <row r="21" spans="1:3" ht="15.5">
      <c r="A21" s="250" t="s">
        <v>111</v>
      </c>
      <c r="B21" s="251" t="s">
        <v>8316</v>
      </c>
      <c r="C21" s="255" t="e">
        <f>C14-C18-C20</f>
        <v>#DIV/0!</v>
      </c>
    </row>
    <row r="22" spans="1:3" s="247" customFormat="1" ht="15.5">
      <c r="B22" s="320" t="s">
        <v>2708</v>
      </c>
      <c r="C22" s="635" t="s">
        <v>10472</v>
      </c>
    </row>
    <row r="25" spans="1:3" ht="15.5" hidden="1">
      <c r="B25" s="232" t="s">
        <v>2728</v>
      </c>
    </row>
    <row r="26" spans="1:3" ht="15.5" hidden="1">
      <c r="B26" s="232" t="s">
        <v>9217</v>
      </c>
    </row>
  </sheetData>
  <hyperlinks>
    <hyperlink ref="C22" location="'Report-SOF2324-SB1'!A1" display="'Report-SOF2324-SB1'!A1" xr:uid="{00000000-0004-0000-47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7.1796875" customWidth="1"/>
  </cols>
  <sheetData>
    <row r="1" spans="1:3" ht="13">
      <c r="A1" s="245" t="s">
        <v>2716</v>
      </c>
      <c r="C1" s="1784" t="str">
        <f>'M&amp;ODetail2223-HB3'!C1</f>
        <v>Release 2</v>
      </c>
    </row>
    <row r="2" spans="1:3" ht="13">
      <c r="A2" s="245" t="s">
        <v>2717</v>
      </c>
      <c r="C2" s="1815">
        <f>'M&amp;ODetail2324-HB3'!C2</f>
        <v>44930</v>
      </c>
    </row>
    <row r="3" spans="1:3" ht="13">
      <c r="A3" s="52"/>
      <c r="C3" s="47"/>
    </row>
    <row r="4" spans="1:3" ht="15.5">
      <c r="A4" s="246" t="s">
        <v>8527</v>
      </c>
    </row>
    <row r="5" spans="1:3" ht="15.5">
      <c r="A5" s="248" t="str">
        <f>'Data Entry - SOF'!B1</f>
        <v xml:space="preserve"> </v>
      </c>
    </row>
    <row r="6" spans="1:3" ht="15.5">
      <c r="A6" s="246">
        <f>'Data Entry - SOF'!B2</f>
        <v>0</v>
      </c>
    </row>
    <row r="7" spans="1:3" ht="15.5">
      <c r="A7" s="246"/>
    </row>
    <row r="9" spans="1:3" ht="18">
      <c r="A9" s="1818"/>
      <c r="B9" s="1807"/>
      <c r="C9" s="1794" t="s">
        <v>2558</v>
      </c>
    </row>
    <row r="10" spans="1:3" ht="18">
      <c r="A10" s="1819" t="s">
        <v>2627</v>
      </c>
      <c r="B10" s="1776"/>
      <c r="C10" s="1796" t="s">
        <v>2628</v>
      </c>
    </row>
    <row r="11" spans="1:3" ht="15.5">
      <c r="A11" s="250" t="s">
        <v>2063</v>
      </c>
      <c r="B11" s="251" t="s">
        <v>8528</v>
      </c>
      <c r="C11" s="255">
        <f>'Data Entry - SOF'!I75</f>
        <v>0</v>
      </c>
    </row>
    <row r="12" spans="1:3" ht="15.5">
      <c r="A12" s="250" t="s">
        <v>2064</v>
      </c>
      <c r="B12" s="251" t="s">
        <v>8529</v>
      </c>
      <c r="C12" s="255">
        <f>'IFA-HB3'!AB79</f>
        <v>0</v>
      </c>
    </row>
    <row r="13" spans="1:3" ht="15.5">
      <c r="A13" s="250" t="s">
        <v>2065</v>
      </c>
      <c r="B13" s="1767" t="s">
        <v>8530</v>
      </c>
      <c r="C13" s="1820" t="s">
        <v>8317</v>
      </c>
    </row>
    <row r="14" spans="1:3" ht="15.5">
      <c r="A14" s="250" t="s">
        <v>862</v>
      </c>
      <c r="B14" s="251" t="s">
        <v>8531</v>
      </c>
      <c r="C14" s="255">
        <f>C11-C12</f>
        <v>0</v>
      </c>
    </row>
    <row r="15" spans="1:3" ht="15.5">
      <c r="A15" s="250" t="s">
        <v>863</v>
      </c>
      <c r="B15" s="251" t="s">
        <v>8491</v>
      </c>
      <c r="C15" s="272">
        <f>'Data Entry - SOF'!I74</f>
        <v>0</v>
      </c>
    </row>
    <row r="16" spans="1:3" ht="15.5">
      <c r="A16" s="250" t="s">
        <v>865</v>
      </c>
      <c r="B16" s="251" t="s">
        <v>8318</v>
      </c>
      <c r="C16" s="255" t="e">
        <f>C14/C15/100</f>
        <v>#DIV/0!</v>
      </c>
    </row>
    <row r="17" spans="1:3" ht="15.5">
      <c r="A17" s="250" t="s">
        <v>866</v>
      </c>
      <c r="B17" s="251" t="s">
        <v>8532</v>
      </c>
      <c r="C17" s="272" t="e">
        <f>'Data Entry - SOF'!I124</f>
        <v>#DIV/0!</v>
      </c>
    </row>
    <row r="18" spans="1:3" ht="15.5">
      <c r="A18" s="250" t="s">
        <v>867</v>
      </c>
      <c r="B18" s="251" t="s">
        <v>8313</v>
      </c>
      <c r="C18" s="255" t="e">
        <f>C16*C17*100</f>
        <v>#DIV/0!</v>
      </c>
    </row>
    <row r="19" spans="1:3" ht="15.5">
      <c r="A19" s="250" t="s">
        <v>109</v>
      </c>
      <c r="B19" s="251" t="s">
        <v>8314</v>
      </c>
      <c r="C19" s="272" t="e">
        <f>IF(C15-C17&gt;=0.08,0.08,C15-C17)</f>
        <v>#DIV/0!</v>
      </c>
    </row>
    <row r="20" spans="1:3" ht="15.5">
      <c r="A20" s="250" t="s">
        <v>110</v>
      </c>
      <c r="B20" s="251" t="s">
        <v>8315</v>
      </c>
      <c r="C20" s="255" t="e">
        <f>C16*C19*100</f>
        <v>#DIV/0!</v>
      </c>
    </row>
    <row r="21" spans="1:3" ht="15.5">
      <c r="A21" s="250" t="s">
        <v>111</v>
      </c>
      <c r="B21" s="251" t="s">
        <v>8316</v>
      </c>
      <c r="C21" s="255" t="e">
        <f>C14-C18-C20</f>
        <v>#DIV/0!</v>
      </c>
    </row>
    <row r="22" spans="1:3" s="247" customFormat="1" ht="15.5">
      <c r="B22" s="320" t="s">
        <v>2708</v>
      </c>
      <c r="C22" s="635" t="s">
        <v>10473</v>
      </c>
    </row>
    <row r="25" spans="1:3" ht="15.5" hidden="1">
      <c r="B25" s="232" t="s">
        <v>2728</v>
      </c>
    </row>
    <row r="26" spans="1:3" ht="15.5" hidden="1">
      <c r="B26" s="232" t="s">
        <v>9216</v>
      </c>
    </row>
  </sheetData>
  <hyperlinks>
    <hyperlink ref="C22" location="'Report-SOF2425-SB1'!A1" display="'Report-SOF2425-SB1'!A1" xr:uid="{00000000-0004-0000-48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FF00"/>
  </sheetPr>
  <dimension ref="A1:C26"/>
  <sheetViews>
    <sheetView workbookViewId="0">
      <selection activeCell="C1" sqref="C1"/>
    </sheetView>
  </sheetViews>
  <sheetFormatPr defaultColWidth="8.7265625" defaultRowHeight="12.5"/>
  <cols>
    <col min="1" max="1" width="6.453125" style="2042" customWidth="1"/>
    <col min="2" max="2" width="83.1796875" style="2042" customWidth="1"/>
    <col min="3" max="3" width="27.1796875" style="2042" customWidth="1"/>
    <col min="4" max="16384" width="8.7265625" style="2042"/>
  </cols>
  <sheetData>
    <row r="1" spans="1:3" ht="13">
      <c r="A1" s="245" t="s">
        <v>2716</v>
      </c>
      <c r="C1" s="1784" t="str">
        <f>'M&amp;ODetail2223-HB3'!C1</f>
        <v>Release 2</v>
      </c>
    </row>
    <row r="2" spans="1:3" ht="13">
      <c r="A2" s="245" t="s">
        <v>2717</v>
      </c>
      <c r="C2" s="1815">
        <f>'M&amp;ODetail2324-HB3'!C2</f>
        <v>44930</v>
      </c>
    </row>
    <row r="3" spans="1:3" ht="13">
      <c r="A3" s="52"/>
      <c r="C3" s="47"/>
    </row>
    <row r="4" spans="1:3" ht="15.5">
      <c r="A4" s="246" t="s">
        <v>9209</v>
      </c>
    </row>
    <row r="5" spans="1:3" ht="15.5">
      <c r="A5" s="248" t="str">
        <f>'Data Entry - SOF'!B1</f>
        <v xml:space="preserve"> </v>
      </c>
    </row>
    <row r="6" spans="1:3" ht="15.5">
      <c r="A6" s="246">
        <f>'Data Entry - SOF'!B2</f>
        <v>0</v>
      </c>
    </row>
    <row r="7" spans="1:3" ht="15.5">
      <c r="A7" s="246"/>
    </row>
    <row r="9" spans="1:3" ht="18">
      <c r="A9" s="1818"/>
      <c r="B9" s="1807"/>
      <c r="C9" s="1794" t="s">
        <v>2558</v>
      </c>
    </row>
    <row r="10" spans="1:3" ht="18">
      <c r="A10" s="1819" t="s">
        <v>2627</v>
      </c>
      <c r="B10" s="1776"/>
      <c r="C10" s="1796" t="s">
        <v>2628</v>
      </c>
    </row>
    <row r="11" spans="1:3" ht="15.5">
      <c r="A11" s="250" t="s">
        <v>2063</v>
      </c>
      <c r="B11" s="251" t="s">
        <v>9210</v>
      </c>
      <c r="C11" s="255">
        <f>'Data Entry - SOF'!K75</f>
        <v>0</v>
      </c>
    </row>
    <row r="12" spans="1:3" ht="15.5">
      <c r="A12" s="250" t="s">
        <v>2064</v>
      </c>
      <c r="B12" s="251" t="s">
        <v>9211</v>
      </c>
      <c r="C12" s="255">
        <f>'IFA-HB3'!AG79</f>
        <v>0</v>
      </c>
    </row>
    <row r="13" spans="1:3" ht="15.5">
      <c r="A13" s="250" t="s">
        <v>2065</v>
      </c>
      <c r="B13" s="1767" t="s">
        <v>9212</v>
      </c>
      <c r="C13" s="1820" t="s">
        <v>8317</v>
      </c>
    </row>
    <row r="14" spans="1:3" ht="15.5">
      <c r="A14" s="250" t="s">
        <v>862</v>
      </c>
      <c r="B14" s="251" t="s">
        <v>9213</v>
      </c>
      <c r="C14" s="255">
        <f>C11-C12</f>
        <v>0</v>
      </c>
    </row>
    <row r="15" spans="1:3" ht="15.5">
      <c r="A15" s="250" t="s">
        <v>863</v>
      </c>
      <c r="B15" s="251" t="s">
        <v>9177</v>
      </c>
      <c r="C15" s="272">
        <f>'Data Entry - SOF'!K74</f>
        <v>0</v>
      </c>
    </row>
    <row r="16" spans="1:3" ht="15.5">
      <c r="A16" s="250" t="s">
        <v>865</v>
      </c>
      <c r="B16" s="251" t="s">
        <v>8318</v>
      </c>
      <c r="C16" s="255" t="e">
        <f>C14/C15/100</f>
        <v>#DIV/0!</v>
      </c>
    </row>
    <row r="17" spans="1:3" ht="15.5">
      <c r="A17" s="250" t="s">
        <v>866</v>
      </c>
      <c r="B17" s="251" t="s">
        <v>9214</v>
      </c>
      <c r="C17" s="272" t="e">
        <f>'Data Entry - SOF'!K124</f>
        <v>#DIV/0!</v>
      </c>
    </row>
    <row r="18" spans="1:3" ht="15.5">
      <c r="A18" s="250" t="s">
        <v>867</v>
      </c>
      <c r="B18" s="251" t="s">
        <v>8313</v>
      </c>
      <c r="C18" s="255" t="e">
        <f>C16*C17*100</f>
        <v>#DIV/0!</v>
      </c>
    </row>
    <row r="19" spans="1:3" ht="15.5">
      <c r="A19" s="250" t="s">
        <v>109</v>
      </c>
      <c r="B19" s="251" t="s">
        <v>8314</v>
      </c>
      <c r="C19" s="272" t="e">
        <f>IF(C15-C17&gt;=0.08,0.08,C15-C17)</f>
        <v>#DIV/0!</v>
      </c>
    </row>
    <row r="20" spans="1:3" ht="15.5">
      <c r="A20" s="250" t="s">
        <v>110</v>
      </c>
      <c r="B20" s="251" t="s">
        <v>8315</v>
      </c>
      <c r="C20" s="255" t="e">
        <f>C16*C19*100</f>
        <v>#DIV/0!</v>
      </c>
    </row>
    <row r="21" spans="1:3" ht="15.5">
      <c r="A21" s="250" t="s">
        <v>111</v>
      </c>
      <c r="B21" s="251" t="s">
        <v>8316</v>
      </c>
      <c r="C21" s="255" t="e">
        <f>C14-C18-C20</f>
        <v>#DIV/0!</v>
      </c>
    </row>
    <row r="22" spans="1:3" s="2040" customFormat="1" ht="15.5">
      <c r="B22" s="320" t="s">
        <v>2708</v>
      </c>
      <c r="C22" s="635" t="s">
        <v>10474</v>
      </c>
    </row>
    <row r="25" spans="1:3" ht="15.5" hidden="1">
      <c r="B25" s="2039" t="s">
        <v>2728</v>
      </c>
    </row>
    <row r="26" spans="1:3" ht="15.5" hidden="1">
      <c r="B26" s="2039" t="s">
        <v>9215</v>
      </c>
    </row>
  </sheetData>
  <hyperlinks>
    <hyperlink ref="C22" location="'Report-SOF2526-SB1'!A1" display="'Report-SOF2526-SB1'!A1"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FF00"/>
  </sheetPr>
  <dimension ref="A1:C26"/>
  <sheetViews>
    <sheetView workbookViewId="0">
      <selection activeCell="C22" sqref="C22"/>
    </sheetView>
  </sheetViews>
  <sheetFormatPr defaultColWidth="8.7265625" defaultRowHeight="12.5"/>
  <cols>
    <col min="1" max="1" width="6.453125" style="2042" customWidth="1"/>
    <col min="2" max="2" width="83.1796875" style="2042" customWidth="1"/>
    <col min="3" max="3" width="27.1796875" style="2042" customWidth="1"/>
    <col min="4" max="16384" width="8.7265625" style="2042"/>
  </cols>
  <sheetData>
    <row r="1" spans="1:3" ht="13">
      <c r="A1" s="245" t="s">
        <v>2716</v>
      </c>
      <c r="C1" s="1784" t="str">
        <f>'M&amp;ODetail2223-HB3'!C1</f>
        <v>Release 2</v>
      </c>
    </row>
    <row r="2" spans="1:3" ht="13">
      <c r="A2" s="245" t="s">
        <v>2717</v>
      </c>
      <c r="C2" s="1815">
        <f>'M&amp;ODetail2324-HB3'!C2</f>
        <v>44930</v>
      </c>
    </row>
    <row r="3" spans="1:3" ht="13">
      <c r="A3" s="52"/>
      <c r="C3" s="47"/>
    </row>
    <row r="4" spans="1:3" ht="15.5">
      <c r="A4" s="246" t="s">
        <v>11088</v>
      </c>
    </row>
    <row r="5" spans="1:3" ht="15.5">
      <c r="A5" s="248" t="str">
        <f>'Data Entry - SOF'!B1</f>
        <v xml:space="preserve"> </v>
      </c>
    </row>
    <row r="6" spans="1:3" ht="15.5">
      <c r="A6" s="246">
        <f>'Data Entry - SOF'!B2</f>
        <v>0</v>
      </c>
    </row>
    <row r="7" spans="1:3" ht="15.5">
      <c r="A7" s="246"/>
    </row>
    <row r="9" spans="1:3" ht="18">
      <c r="A9" s="1818"/>
      <c r="B9" s="1807"/>
      <c r="C9" s="1794" t="s">
        <v>2558</v>
      </c>
    </row>
    <row r="10" spans="1:3" ht="18">
      <c r="A10" s="1819" t="s">
        <v>2627</v>
      </c>
      <c r="B10" s="1776"/>
      <c r="C10" s="1796" t="s">
        <v>2628</v>
      </c>
    </row>
    <row r="11" spans="1:3" ht="15.5">
      <c r="A11" s="250" t="s">
        <v>2063</v>
      </c>
      <c r="B11" s="251" t="s">
        <v>11089</v>
      </c>
      <c r="C11" s="255">
        <f>'Data Entry - SOF'!M75</f>
        <v>0</v>
      </c>
    </row>
    <row r="12" spans="1:3" ht="15.5">
      <c r="A12" s="250" t="s">
        <v>2064</v>
      </c>
      <c r="B12" s="251" t="s">
        <v>11090</v>
      </c>
      <c r="C12" s="255">
        <f>'IFA-HB3'!AL79</f>
        <v>0</v>
      </c>
    </row>
    <row r="13" spans="1:3" ht="15.5">
      <c r="A13" s="250" t="s">
        <v>2065</v>
      </c>
      <c r="B13" s="1767" t="s">
        <v>11091</v>
      </c>
      <c r="C13" s="1820" t="s">
        <v>8317</v>
      </c>
    </row>
    <row r="14" spans="1:3" ht="15.5">
      <c r="A14" s="250" t="s">
        <v>862</v>
      </c>
      <c r="B14" s="251" t="s">
        <v>11092</v>
      </c>
      <c r="C14" s="255">
        <f>C11-C12</f>
        <v>0</v>
      </c>
    </row>
    <row r="15" spans="1:3" ht="15.5">
      <c r="A15" s="250" t="s">
        <v>863</v>
      </c>
      <c r="B15" s="251" t="s">
        <v>11072</v>
      </c>
      <c r="C15" s="272">
        <f>'Data Entry - SOF'!M74</f>
        <v>0</v>
      </c>
    </row>
    <row r="16" spans="1:3" ht="15.5">
      <c r="A16" s="250" t="s">
        <v>865</v>
      </c>
      <c r="B16" s="251" t="s">
        <v>8318</v>
      </c>
      <c r="C16" s="255" t="e">
        <f>C14/C15/100</f>
        <v>#DIV/0!</v>
      </c>
    </row>
    <row r="17" spans="1:3" ht="15.5">
      <c r="A17" s="250" t="s">
        <v>866</v>
      </c>
      <c r="B17" s="251" t="s">
        <v>11093</v>
      </c>
      <c r="C17" s="272" t="e">
        <f>'Data Entry - SOF'!M124</f>
        <v>#DIV/0!</v>
      </c>
    </row>
    <row r="18" spans="1:3" ht="15.5">
      <c r="A18" s="250" t="s">
        <v>867</v>
      </c>
      <c r="B18" s="251" t="s">
        <v>8313</v>
      </c>
      <c r="C18" s="255" t="e">
        <f>C16*C17*100</f>
        <v>#DIV/0!</v>
      </c>
    </row>
    <row r="19" spans="1:3" ht="15.5">
      <c r="A19" s="250" t="s">
        <v>109</v>
      </c>
      <c r="B19" s="251" t="s">
        <v>8314</v>
      </c>
      <c r="C19" s="272" t="e">
        <f>IF(C15-C17&gt;=0.08,0.08,C15-C17)</f>
        <v>#DIV/0!</v>
      </c>
    </row>
    <row r="20" spans="1:3" ht="15.5">
      <c r="A20" s="250" t="s">
        <v>110</v>
      </c>
      <c r="B20" s="251" t="s">
        <v>8315</v>
      </c>
      <c r="C20" s="255" t="e">
        <f>C16*C19*100</f>
        <v>#DIV/0!</v>
      </c>
    </row>
    <row r="21" spans="1:3" ht="15.5">
      <c r="A21" s="250" t="s">
        <v>111</v>
      </c>
      <c r="B21" s="251" t="s">
        <v>8316</v>
      </c>
      <c r="C21" s="255" t="e">
        <f>C14-C18-C20</f>
        <v>#DIV/0!</v>
      </c>
    </row>
    <row r="22" spans="1:3" s="2040" customFormat="1" ht="15.5">
      <c r="B22" s="320" t="s">
        <v>2708</v>
      </c>
      <c r="C22" s="635" t="s">
        <v>11085</v>
      </c>
    </row>
    <row r="25" spans="1:3" ht="15.5" hidden="1">
      <c r="B25" s="2039" t="s">
        <v>2728</v>
      </c>
    </row>
    <row r="26" spans="1:3" ht="15.5" hidden="1">
      <c r="B26" s="2039" t="s">
        <v>9215</v>
      </c>
    </row>
  </sheetData>
  <hyperlinks>
    <hyperlink ref="C22" location="'Report-SOF2627-SB1'!A1" display="'Report-SOF2627-SB1'!A1" xr:uid="{00000000-0004-0000-4A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66FF33"/>
  </sheetPr>
  <dimension ref="A1:E79"/>
  <sheetViews>
    <sheetView workbookViewId="0">
      <selection activeCell="D1" sqref="D1"/>
    </sheetView>
  </sheetViews>
  <sheetFormatPr defaultRowHeight="12.5"/>
  <cols>
    <col min="1" max="1" width="68.453125" customWidth="1"/>
    <col min="2" max="2" width="19.81640625" customWidth="1"/>
    <col min="3" max="3" width="24.453125" customWidth="1"/>
    <col min="4" max="4" width="26.54296875" customWidth="1"/>
  </cols>
  <sheetData>
    <row r="1" spans="1:4" ht="13">
      <c r="A1" s="245" t="s">
        <v>2716</v>
      </c>
      <c r="D1" s="1791" t="str">
        <f>'Data Entry - SOF'!M1</f>
        <v>Release 2</v>
      </c>
    </row>
    <row r="2" spans="1:4" ht="13">
      <c r="A2" s="245" t="s">
        <v>2717</v>
      </c>
      <c r="D2" s="1803">
        <f>'Data Entry - SOF'!M2</f>
        <v>44930</v>
      </c>
    </row>
    <row r="3" spans="1:4" ht="13">
      <c r="A3" s="52"/>
      <c r="D3" s="47"/>
    </row>
    <row r="4" spans="1:4" ht="15.5">
      <c r="A4" s="246" t="s">
        <v>8294</v>
      </c>
    </row>
    <row r="5" spans="1:4" ht="15.5">
      <c r="A5" s="248" t="str">
        <f>'Data Entry - SOF'!B1</f>
        <v xml:space="preserve"> </v>
      </c>
    </row>
    <row r="6" spans="1:4" ht="15.5">
      <c r="A6" s="246">
        <f>'Data Entry - SOF'!B2</f>
        <v>0</v>
      </c>
    </row>
    <row r="8" spans="1:4" ht="18">
      <c r="A8" s="1792"/>
      <c r="B8" s="1793"/>
      <c r="C8" s="1794" t="s">
        <v>2640</v>
      </c>
      <c r="D8" s="1795"/>
    </row>
    <row r="9" spans="1:4" ht="18">
      <c r="A9" s="1796" t="s">
        <v>2632</v>
      </c>
      <c r="B9" s="1797" t="s">
        <v>2609</v>
      </c>
      <c r="C9" s="1796" t="s">
        <v>2641</v>
      </c>
      <c r="D9" s="1776" t="s">
        <v>2633</v>
      </c>
    </row>
    <row r="10" spans="1:4" s="247" customFormat="1" ht="15.5">
      <c r="A10" s="1780" t="s">
        <v>2634</v>
      </c>
      <c r="B10" s="1781"/>
      <c r="C10" s="1781"/>
      <c r="D10" s="1782"/>
    </row>
    <row r="11" spans="1:4" s="247" customFormat="1" ht="15.5">
      <c r="A11" s="251" t="s">
        <v>8217</v>
      </c>
      <c r="B11" s="254">
        <f>Weights!K4</f>
        <v>1</v>
      </c>
      <c r="C11" s="256">
        <f>'Report-SOF2122-HB1525'!D11</f>
        <v>0</v>
      </c>
      <c r="D11" s="255">
        <f>'Report-SOF2122-HB1525'!D33</f>
        <v>0</v>
      </c>
    </row>
    <row r="12" spans="1:4" s="2040" customFormat="1" ht="15.5">
      <c r="A12" s="1780" t="s">
        <v>10756</v>
      </c>
      <c r="B12" s="1781"/>
      <c r="C12" s="1781"/>
      <c r="D12" s="1782"/>
    </row>
    <row r="13" spans="1:4" s="2040" customFormat="1" ht="15.5">
      <c r="A13" s="2740" t="s">
        <v>2633</v>
      </c>
      <c r="B13" s="2741"/>
      <c r="C13" s="2742"/>
      <c r="D13" s="2743"/>
    </row>
    <row r="14" spans="1:4" s="247" customFormat="1" ht="15.5">
      <c r="A14" s="1780" t="s">
        <v>10757</v>
      </c>
      <c r="B14" s="1781"/>
      <c r="C14" s="1781"/>
      <c r="D14" s="1782"/>
    </row>
    <row r="15" spans="1:4" s="247" customFormat="1" ht="15.5">
      <c r="A15" s="251" t="s">
        <v>8216</v>
      </c>
      <c r="B15" s="273" t="s">
        <v>1678</v>
      </c>
      <c r="C15" s="256">
        <f>'Calc Data'!D8</f>
        <v>0</v>
      </c>
      <c r="D15" s="255">
        <f>'SOF2122-HB3'!I22</f>
        <v>0</v>
      </c>
    </row>
    <row r="16" spans="1:4" s="247" customFormat="1" ht="15.5">
      <c r="A16" s="251" t="s">
        <v>2636</v>
      </c>
      <c r="B16" s="276">
        <f>'Weights-HB3'!I18</f>
        <v>1.1499999999999999</v>
      </c>
      <c r="C16" s="256">
        <f>'Data Entry - SOF'!C32</f>
        <v>0</v>
      </c>
      <c r="D16" s="255">
        <f>'SOF2122-HB3'!I24</f>
        <v>0</v>
      </c>
    </row>
    <row r="17" spans="1:4" s="247" customFormat="1" ht="15.5">
      <c r="A17" s="251" t="s">
        <v>2637</v>
      </c>
      <c r="B17" s="276">
        <f>'Weights-HB3'!I16</f>
        <v>4</v>
      </c>
      <c r="C17" s="256">
        <f>'Data Entry - SOF'!C31</f>
        <v>0</v>
      </c>
      <c r="D17" s="255">
        <f>'SOF2122-HB3'!I25</f>
        <v>0</v>
      </c>
    </row>
    <row r="18" spans="1:4" s="247" customFormat="1" ht="15.5">
      <c r="A18" s="251" t="s">
        <v>2619</v>
      </c>
      <c r="B18" s="276">
        <f>'Weights-HB3'!I14</f>
        <v>2.8</v>
      </c>
      <c r="C18" s="256">
        <f>'Data Entry - SOF'!C29</f>
        <v>0</v>
      </c>
      <c r="D18" s="255">
        <f>'SOF2122-HB3'!I26</f>
        <v>0</v>
      </c>
    </row>
    <row r="19" spans="1:4" s="247" customFormat="1" ht="15.5">
      <c r="A19" s="251" t="s">
        <v>2622</v>
      </c>
      <c r="B19" s="276">
        <f>'Weights-HB3'!I15</f>
        <v>1.7</v>
      </c>
      <c r="C19" s="256">
        <f>'Data Entry - SOF'!C30</f>
        <v>0</v>
      </c>
      <c r="D19" s="255">
        <f>'SOF2122-HB3'!I27</f>
        <v>0</v>
      </c>
    </row>
    <row r="20" spans="1:4" s="247" customFormat="1" ht="15.5">
      <c r="A20" s="266" t="s">
        <v>10776</v>
      </c>
      <c r="B20" s="278" t="s">
        <v>1678</v>
      </c>
      <c r="C20" s="273" t="s">
        <v>1678</v>
      </c>
      <c r="D20" s="277">
        <f>'SOF2122-HB3'!I28</f>
        <v>0</v>
      </c>
    </row>
    <row r="21" spans="1:4" s="247" customFormat="1" ht="15.5">
      <c r="A21" s="251" t="s">
        <v>2639</v>
      </c>
      <c r="B21" s="273" t="s">
        <v>1678</v>
      </c>
      <c r="C21" s="273" t="s">
        <v>1678</v>
      </c>
      <c r="D21" s="255">
        <f>'Report-SOF2122-HB1525'!D35</f>
        <v>0</v>
      </c>
    </row>
    <row r="22" spans="1:4" s="247" customFormat="1" ht="15.5">
      <c r="A22" s="1780" t="s">
        <v>10758</v>
      </c>
      <c r="B22" s="1781"/>
      <c r="C22" s="1781"/>
      <c r="D22" s="1782"/>
    </row>
    <row r="23" spans="1:4" s="247" customFormat="1" ht="15.5">
      <c r="A23" s="1731" t="s">
        <v>7436</v>
      </c>
      <c r="B23" s="1747">
        <f>'Weights-HB3'!I72</f>
        <v>0.1</v>
      </c>
      <c r="C23" s="1748">
        <f>'Data Entry - SOF'!C60</f>
        <v>0</v>
      </c>
      <c r="D23" s="1735">
        <f>'Report-SOF2122-HB1525'!D36</f>
        <v>0</v>
      </c>
    </row>
    <row r="24" spans="1:4" s="247" customFormat="1" ht="15.5">
      <c r="A24" s="1780" t="s">
        <v>10759</v>
      </c>
      <c r="B24" s="1781"/>
      <c r="C24" s="1781"/>
      <c r="D24" s="1782"/>
    </row>
    <row r="25" spans="1:4" ht="15.5">
      <c r="A25" s="251" t="s">
        <v>8209</v>
      </c>
      <c r="B25" s="279"/>
      <c r="C25" s="256"/>
      <c r="D25" s="255"/>
    </row>
    <row r="26" spans="1:4" ht="15.5">
      <c r="A26" s="1731" t="s">
        <v>8210</v>
      </c>
      <c r="B26" s="1746">
        <f>'Weights-HB3'!I34</f>
        <v>0.2</v>
      </c>
      <c r="C26" s="1732">
        <f>'Data Entry - SOF'!C49</f>
        <v>0</v>
      </c>
      <c r="D26" s="1735">
        <f>'SOF2122-HB3'!I36</f>
        <v>0</v>
      </c>
    </row>
    <row r="27" spans="1:4" ht="15.5">
      <c r="A27" s="1731" t="s">
        <v>8211</v>
      </c>
      <c r="B27" s="1746">
        <f>'Weights-HB3'!I36</f>
        <v>0.22500000000000001</v>
      </c>
      <c r="C27" s="1732">
        <f>'Data Entry - SOF'!C51</f>
        <v>0</v>
      </c>
      <c r="D27" s="1735">
        <f>'SOF2122-HB3'!I37</f>
        <v>0</v>
      </c>
    </row>
    <row r="28" spans="1:4" ht="15.5">
      <c r="A28" s="1731" t="s">
        <v>8212</v>
      </c>
      <c r="B28" s="1746">
        <f>'Weights-HB3'!I37</f>
        <v>0.23749999999999999</v>
      </c>
      <c r="C28" s="1732">
        <f>'Data Entry - SOF'!C52</f>
        <v>0</v>
      </c>
      <c r="D28" s="1735">
        <f>'SOF2122-HB3'!I38</f>
        <v>0</v>
      </c>
    </row>
    <row r="29" spans="1:4" ht="15.5">
      <c r="A29" s="1731" t="s">
        <v>8213</v>
      </c>
      <c r="B29" s="1746">
        <f>'Weights-HB3'!I38</f>
        <v>0.25</v>
      </c>
      <c r="C29" s="1732">
        <f>'Data Entry - SOF'!C53</f>
        <v>0</v>
      </c>
      <c r="D29" s="1735">
        <f>'SOF2122-HB3'!I39</f>
        <v>0</v>
      </c>
    </row>
    <row r="30" spans="1:4" ht="15.5">
      <c r="A30" s="1731" t="s">
        <v>8214</v>
      </c>
      <c r="B30" s="1746">
        <f>'Weights-HB3'!I39</f>
        <v>0.26250000000000001</v>
      </c>
      <c r="C30" s="1732">
        <f>'Data Entry - SOF'!C54</f>
        <v>0</v>
      </c>
      <c r="D30" s="1735">
        <f>'SOF2122-HB3'!I40</f>
        <v>0</v>
      </c>
    </row>
    <row r="31" spans="1:4" ht="15.5">
      <c r="A31" s="1731" t="s">
        <v>8215</v>
      </c>
      <c r="B31" s="1746">
        <f>'Weights-HB3'!I40</f>
        <v>0.27500000000000002</v>
      </c>
      <c r="C31" s="1732">
        <f>'Data Entry - SOF'!C55</f>
        <v>0</v>
      </c>
      <c r="D31" s="1735">
        <f>'SOF2122-HB3'!I41</f>
        <v>0</v>
      </c>
    </row>
    <row r="32" spans="1:4" ht="15.5">
      <c r="A32" s="251" t="s">
        <v>2731</v>
      </c>
      <c r="B32" s="1746">
        <f>'Weights-HB3'!I43</f>
        <v>2.41</v>
      </c>
      <c r="C32" s="1732">
        <f>'Data Entry - SOF'!C33</f>
        <v>0</v>
      </c>
      <c r="D32" s="1735">
        <f>'SOF2122-HB3'!I42</f>
        <v>0</v>
      </c>
    </row>
    <row r="33" spans="1:4" ht="15.5">
      <c r="A33" s="251" t="s">
        <v>2732</v>
      </c>
      <c r="B33" s="273" t="s">
        <v>1678</v>
      </c>
      <c r="C33" s="273" t="s">
        <v>1678</v>
      </c>
      <c r="D33" s="255">
        <f>'Report-SOF2122-HB1525'!D37</f>
        <v>0</v>
      </c>
    </row>
    <row r="34" spans="1:4" s="2042" customFormat="1" ht="15.5">
      <c r="A34" s="1780" t="s">
        <v>10760</v>
      </c>
      <c r="B34" s="1781"/>
      <c r="C34" s="1781"/>
      <c r="D34" s="1782"/>
    </row>
    <row r="35" spans="1:4" s="2042" customFormat="1" ht="15.5">
      <c r="A35" s="251" t="s">
        <v>8218</v>
      </c>
      <c r="B35" s="1745">
        <f>'Weights-HB3'!I26</f>
        <v>0.1</v>
      </c>
      <c r="C35" s="256">
        <f>'Data Entry - SOF'!C41</f>
        <v>0</v>
      </c>
      <c r="D35" s="255">
        <f>'SOF2122-HB3'!I43</f>
        <v>0</v>
      </c>
    </row>
    <row r="36" spans="1:4" s="2042" customFormat="1" ht="15.5">
      <c r="A36" s="1731" t="s">
        <v>8219</v>
      </c>
      <c r="B36" s="1745">
        <f>'Weights-HB3'!I27</f>
        <v>0.15</v>
      </c>
      <c r="C36" s="256">
        <f>'Data Entry - SOF'!C42</f>
        <v>0</v>
      </c>
      <c r="D36" s="255">
        <f>'SOF2122-HB3'!I44</f>
        <v>0</v>
      </c>
    </row>
    <row r="37" spans="1:4" s="2042" customFormat="1" ht="15.5">
      <c r="A37" s="1731" t="s">
        <v>8220</v>
      </c>
      <c r="B37" s="1745">
        <f>'Weights-HB3'!I28</f>
        <v>0.05</v>
      </c>
      <c r="C37" s="256">
        <f>'Data Entry - SOF'!C43</f>
        <v>0</v>
      </c>
      <c r="D37" s="255">
        <f>'SOF2122-HB3'!I45</f>
        <v>0</v>
      </c>
    </row>
    <row r="38" spans="1:4" s="2042" customFormat="1" ht="15.5">
      <c r="A38" s="1731" t="s">
        <v>2643</v>
      </c>
      <c r="B38" s="273" t="s">
        <v>1678</v>
      </c>
      <c r="C38" s="273" t="s">
        <v>1678</v>
      </c>
      <c r="D38" s="1735">
        <f>'Report-SOF2122-HB1525'!D38</f>
        <v>0</v>
      </c>
    </row>
    <row r="39" spans="1:4" s="247" customFormat="1" ht="15.5">
      <c r="A39" s="1780" t="s">
        <v>10761</v>
      </c>
      <c r="B39" s="1781"/>
      <c r="C39" s="1781"/>
      <c r="D39" s="1782"/>
    </row>
    <row r="40" spans="1:4" ht="15.5">
      <c r="A40" s="251" t="s">
        <v>10762</v>
      </c>
      <c r="B40" s="1745">
        <f>'Weights-HB3'!I21</f>
        <v>1.1000000000000001</v>
      </c>
      <c r="C40" s="256">
        <f>'Data Entry - SOF'!C36</f>
        <v>0</v>
      </c>
      <c r="D40" s="255">
        <f>'SOF2122-HB3'!I29</f>
        <v>0</v>
      </c>
    </row>
    <row r="41" spans="1:4" ht="15.5">
      <c r="A41" s="2747" t="s">
        <v>10763</v>
      </c>
      <c r="B41" s="1745">
        <f>'Weights-HB3'!I22</f>
        <v>1.28</v>
      </c>
      <c r="C41" s="2750">
        <f>'Data Entry - SOF'!C37</f>
        <v>0</v>
      </c>
      <c r="D41" s="2751">
        <f>'SOF2122-HB3'!I30</f>
        <v>0</v>
      </c>
    </row>
    <row r="42" spans="1:4" s="2042" customFormat="1" ht="15.5">
      <c r="A42" s="2746" t="s">
        <v>10764</v>
      </c>
      <c r="B42" s="2132"/>
      <c r="C42" s="2748"/>
      <c r="D42" s="2132"/>
    </row>
    <row r="43" spans="1:4" s="2042" customFormat="1" ht="15.5">
      <c r="A43" s="2747" t="s">
        <v>10763</v>
      </c>
      <c r="B43" s="1745">
        <f>'Weights-HB3'!I23</f>
        <v>1.47</v>
      </c>
      <c r="C43" s="2750">
        <f>'Data Entry - SOF'!C38</f>
        <v>0</v>
      </c>
      <c r="D43" s="2751">
        <f>'SOF2122-HB3'!I31</f>
        <v>0</v>
      </c>
    </row>
    <row r="44" spans="1:4" s="2042" customFormat="1" ht="15.5">
      <c r="A44" s="2746" t="s">
        <v>10765</v>
      </c>
      <c r="B44" s="2132"/>
      <c r="C44" s="2748"/>
      <c r="D44" s="2132"/>
    </row>
    <row r="45" spans="1:4" s="2042" customFormat="1" ht="15.5">
      <c r="A45" s="2745" t="s">
        <v>10766</v>
      </c>
      <c r="B45" s="1735">
        <f>'Weights-HB3'!I24</f>
        <v>50</v>
      </c>
      <c r="C45" s="2744">
        <f>'Data Entry - SOF'!C39</f>
        <v>0</v>
      </c>
      <c r="D45" s="2754">
        <f>ROUND('Weights-HB3'!I24*C45,0)</f>
        <v>0</v>
      </c>
    </row>
    <row r="46" spans="1:4" s="2042" customFormat="1" ht="15.5">
      <c r="A46" s="2745" t="s">
        <v>10767</v>
      </c>
      <c r="B46" s="1735">
        <f>B45</f>
        <v>50</v>
      </c>
      <c r="C46" s="2744">
        <f>'Data Entry - SOF'!C40</f>
        <v>0</v>
      </c>
      <c r="D46" s="2754">
        <f>ROUND('Weights-HB3'!I24*C46,0)</f>
        <v>0</v>
      </c>
    </row>
    <row r="47" spans="1:4" ht="15.5">
      <c r="A47" s="251" t="s">
        <v>10768</v>
      </c>
      <c r="B47" s="273" t="s">
        <v>1678</v>
      </c>
      <c r="C47" s="273" t="s">
        <v>1678</v>
      </c>
      <c r="D47" s="255">
        <f>'Report-SOF2122-HB1525'!D39</f>
        <v>0</v>
      </c>
    </row>
    <row r="48" spans="1:4" ht="15.5">
      <c r="A48" s="1780" t="s">
        <v>10769</v>
      </c>
      <c r="B48" s="1781"/>
      <c r="C48" s="1781"/>
      <c r="D48" s="1782"/>
    </row>
    <row r="49" spans="1:5" ht="15.5">
      <c r="A49" s="251" t="s">
        <v>2644</v>
      </c>
      <c r="B49" s="279">
        <f>'Weights-HB3'!I49</f>
        <v>0.1</v>
      </c>
      <c r="C49" s="256">
        <f>'Data Entry - SOF'!C46</f>
        <v>0</v>
      </c>
      <c r="D49" s="255">
        <f>'Report-SOF2122-HB1525'!D40</f>
        <v>0</v>
      </c>
    </row>
    <row r="50" spans="1:5" ht="15.5">
      <c r="A50" s="1780" t="s">
        <v>10770</v>
      </c>
      <c r="B50" s="1781"/>
      <c r="C50" s="1781"/>
      <c r="D50" s="1782"/>
    </row>
    <row r="51" spans="1:5" ht="15.5">
      <c r="A51" s="1731" t="s">
        <v>7628</v>
      </c>
      <c r="B51" s="1747">
        <f>'Weights-HB3'!I74</f>
        <v>0.1</v>
      </c>
      <c r="C51" s="1748">
        <f>'Data Entry - SOF'!C45</f>
        <v>0</v>
      </c>
      <c r="D51" s="1735">
        <f>'Report-SOF2122-HB1525'!D41</f>
        <v>0</v>
      </c>
    </row>
    <row r="52" spans="1:5" ht="15.5">
      <c r="A52" s="1780" t="s">
        <v>10771</v>
      </c>
      <c r="B52" s="1781"/>
      <c r="C52" s="1781"/>
      <c r="D52" s="1782"/>
    </row>
    <row r="53" spans="1:5" ht="15.5">
      <c r="A53" s="251" t="s">
        <v>10772</v>
      </c>
      <c r="B53" s="279">
        <v>7.0000000000000007E-2</v>
      </c>
      <c r="C53" s="256">
        <f>'Data Entry - SOF'!C44</f>
        <v>0</v>
      </c>
      <c r="D53" s="255">
        <f>B53*C53*Assumptions!H136</f>
        <v>0</v>
      </c>
    </row>
    <row r="54" spans="1:5" ht="15.5">
      <c r="A54" s="251" t="s">
        <v>10773</v>
      </c>
      <c r="B54" s="279">
        <v>7.0000000000000007E-2</v>
      </c>
      <c r="C54" s="256">
        <f>'Data Entry - SOF'!C189</f>
        <v>0</v>
      </c>
      <c r="D54" s="255">
        <f>'SOF2122-HB3'!I33</f>
        <v>0</v>
      </c>
    </row>
    <row r="55" spans="1:5" ht="15.5">
      <c r="A55" s="2745" t="s">
        <v>10774</v>
      </c>
      <c r="B55" s="273" t="s">
        <v>1678</v>
      </c>
      <c r="C55" s="273" t="s">
        <v>1678</v>
      </c>
      <c r="D55" s="2440">
        <f>D54</f>
        <v>0</v>
      </c>
      <c r="E55" s="2038" t="s">
        <v>10785</v>
      </c>
    </row>
    <row r="56" spans="1:5" ht="15.5">
      <c r="A56" s="2747" t="s">
        <v>10775</v>
      </c>
      <c r="B56" s="2755" t="s">
        <v>1678</v>
      </c>
      <c r="C56" s="2755" t="s">
        <v>1678</v>
      </c>
      <c r="D56" s="2751">
        <f>'SOF2122-HB3'!I34</f>
        <v>0</v>
      </c>
    </row>
    <row r="57" spans="1:5" ht="15.5">
      <c r="A57" s="2126" t="s">
        <v>2638</v>
      </c>
      <c r="B57" s="2752"/>
      <c r="C57" s="2752"/>
      <c r="D57" s="2753"/>
    </row>
    <row r="58" spans="1:5" ht="15.5">
      <c r="A58" s="2429" t="s">
        <v>10777</v>
      </c>
      <c r="B58" s="273" t="s">
        <v>1678</v>
      </c>
      <c r="C58" s="273" t="s">
        <v>1678</v>
      </c>
      <c r="D58" s="2440">
        <f>'Report-SOF2122-HB1525'!D42</f>
        <v>0</v>
      </c>
    </row>
    <row r="59" spans="1:5" s="247" customFormat="1" ht="15.5">
      <c r="A59" s="1780" t="s">
        <v>10778</v>
      </c>
      <c r="B59" s="1781"/>
      <c r="C59" s="1781"/>
      <c r="D59" s="1782"/>
    </row>
    <row r="60" spans="1:5" s="247" customFormat="1" ht="15.5">
      <c r="A60" s="1731" t="s">
        <v>8221</v>
      </c>
      <c r="B60" s="2756">
        <f>'Weights-HB3'!I113</f>
        <v>5000</v>
      </c>
      <c r="C60" s="1748">
        <f>'Data Entry - SOF'!C57</f>
        <v>0</v>
      </c>
      <c r="D60" s="1735">
        <f>B60*C60</f>
        <v>0</v>
      </c>
    </row>
    <row r="61" spans="1:5" s="247" customFormat="1" ht="15.5">
      <c r="A61" s="1731" t="s">
        <v>8222</v>
      </c>
      <c r="B61" s="2756">
        <f>'Weights-HB3'!I114</f>
        <v>3000</v>
      </c>
      <c r="C61" s="1748">
        <f>'Data Entry - SOF'!C58</f>
        <v>0</v>
      </c>
      <c r="D61" s="1735">
        <f t="shared" ref="D61:D62" si="0">B61*C61</f>
        <v>0</v>
      </c>
    </row>
    <row r="62" spans="1:5" s="247" customFormat="1" ht="15.5">
      <c r="A62" s="1731" t="s">
        <v>8224</v>
      </c>
      <c r="B62" s="2756">
        <f>'Weights-HB3'!I115</f>
        <v>2000</v>
      </c>
      <c r="C62" s="1748">
        <f>'Data Entry - SOF'!C59</f>
        <v>0</v>
      </c>
      <c r="D62" s="1735">
        <f t="shared" si="0"/>
        <v>0</v>
      </c>
    </row>
    <row r="63" spans="1:5" s="247" customFormat="1" ht="15.5">
      <c r="A63" s="1731" t="s">
        <v>8223</v>
      </c>
      <c r="B63" s="273" t="s">
        <v>1678</v>
      </c>
      <c r="C63" s="273" t="s">
        <v>1678</v>
      </c>
      <c r="D63" s="1735">
        <f>'Report-SOF2122-HB1525'!D43</f>
        <v>0</v>
      </c>
    </row>
    <row r="64" spans="1:5" s="247" customFormat="1" ht="15.5">
      <c r="A64" s="1780" t="s">
        <v>10779</v>
      </c>
      <c r="B64" s="1781"/>
      <c r="C64" s="1781"/>
      <c r="D64" s="1782"/>
    </row>
    <row r="65" spans="1:4" s="2040" customFormat="1" ht="15.5">
      <c r="A65" s="251" t="s">
        <v>2633</v>
      </c>
      <c r="B65" s="313">
        <f>'Weights-HB3'!I68</f>
        <v>9.7200000000000006</v>
      </c>
      <c r="C65" s="256">
        <f>'Report-SOF2122-HB1525'!D10</f>
        <v>0</v>
      </c>
      <c r="D65" s="255">
        <f>'Report-SOF2122-HB1525'!D47</f>
        <v>0</v>
      </c>
    </row>
    <row r="66" spans="1:4" s="2040" customFormat="1" ht="15.5">
      <c r="A66" s="1780" t="s">
        <v>10780</v>
      </c>
      <c r="B66" s="1781"/>
      <c r="C66" s="1781"/>
      <c r="D66" s="1782"/>
    </row>
    <row r="67" spans="1:4" s="2040" customFormat="1" ht="15.5">
      <c r="A67" s="251" t="s">
        <v>2633</v>
      </c>
      <c r="B67" s="313">
        <f>'Weights-HB3'!I47</f>
        <v>852.77</v>
      </c>
      <c r="C67" s="256">
        <f>'Data Entry - SOF'!C47</f>
        <v>0</v>
      </c>
      <c r="D67" s="255">
        <f>'Report-SOF2122-HB1525'!D50</f>
        <v>0</v>
      </c>
    </row>
    <row r="68" spans="1:4" s="2040" customFormat="1" ht="15.5">
      <c r="A68" s="1780" t="s">
        <v>10781</v>
      </c>
      <c r="B68" s="1781"/>
      <c r="C68" s="1781"/>
      <c r="D68" s="1782"/>
    </row>
    <row r="69" spans="1:4" s="2040" customFormat="1" ht="15.5">
      <c r="A69" s="1731" t="s">
        <v>10782</v>
      </c>
      <c r="B69" s="2756">
        <f>'Weights-HB3'!I125</f>
        <v>275</v>
      </c>
      <c r="C69" s="1748">
        <f>'Data Entry - SOF'!C48</f>
        <v>0</v>
      </c>
      <c r="D69" s="1735">
        <f>B69*C69</f>
        <v>0</v>
      </c>
    </row>
    <row r="70" spans="1:4" s="2040" customFormat="1" ht="15.5">
      <c r="A70" s="1731" t="s">
        <v>10783</v>
      </c>
      <c r="B70" s="2756">
        <f>B69</f>
        <v>275</v>
      </c>
      <c r="C70" s="1748" t="s">
        <v>10786</v>
      </c>
      <c r="D70" s="1748" t="s">
        <v>10786</v>
      </c>
    </row>
    <row r="71" spans="1:4" s="2040" customFormat="1" ht="15.5">
      <c r="A71" s="1731" t="s">
        <v>10784</v>
      </c>
      <c r="B71" s="273" t="s">
        <v>1678</v>
      </c>
      <c r="C71" s="273" t="s">
        <v>1678</v>
      </c>
      <c r="D71" s="1735">
        <f>'Report-SOF2122-HB1525'!D51</f>
        <v>0</v>
      </c>
    </row>
    <row r="72" spans="1:4" s="247" customFormat="1" ht="15.5">
      <c r="C72" s="320" t="s">
        <v>2709</v>
      </c>
      <c r="D72" s="635" t="s">
        <v>9067</v>
      </c>
    </row>
    <row r="73" spans="1:4" ht="15.5">
      <c r="D73" s="247"/>
    </row>
    <row r="74" spans="1:4" ht="15.5">
      <c r="D74" s="247"/>
    </row>
    <row r="75" spans="1:4" s="247" customFormat="1" ht="15.5" hidden="1">
      <c r="A75" s="232" t="s">
        <v>2794</v>
      </c>
    </row>
    <row r="76" spans="1:4" s="247" customFormat="1" ht="15.5" hidden="1">
      <c r="A76" s="232" t="s">
        <v>3348</v>
      </c>
    </row>
    <row r="77" spans="1:4" s="247" customFormat="1" ht="15.5">
      <c r="A77" s="232"/>
      <c r="D77"/>
    </row>
    <row r="78" spans="1:4" s="247" customFormat="1" ht="15.5">
      <c r="D78"/>
    </row>
    <row r="79" spans="1:4" s="247" customFormat="1" ht="15.5">
      <c r="D79"/>
    </row>
  </sheetData>
  <hyperlinks>
    <hyperlink ref="D72" location="'Report-SOF2122-HB1525'!A1" display="'Report-SOF2122-HB1525'!A1" xr:uid="{00000000-0004-0000-4B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66FF66"/>
  </sheetPr>
  <dimension ref="A1:D72"/>
  <sheetViews>
    <sheetView workbookViewId="0">
      <selection activeCell="D1" sqref="D1"/>
    </sheetView>
  </sheetViews>
  <sheetFormatPr defaultRowHeight="12.5"/>
  <cols>
    <col min="1" max="1" width="68.7265625" customWidth="1"/>
    <col min="2" max="2" width="19.81640625" customWidth="1"/>
    <col min="3" max="3" width="24.453125" customWidth="1"/>
    <col min="4" max="4" width="26.54296875" customWidth="1"/>
  </cols>
  <sheetData>
    <row r="1" spans="1:4" ht="13">
      <c r="A1" s="245" t="s">
        <v>2716</v>
      </c>
      <c r="D1" s="1791" t="str">
        <f>'T1Detail2122-HB3'!D1</f>
        <v>Release 2</v>
      </c>
    </row>
    <row r="2" spans="1:4" ht="13">
      <c r="A2" s="245" t="s">
        <v>2717</v>
      </c>
      <c r="D2" s="1803">
        <f>'T1Detail2122-HB3'!D2</f>
        <v>44930</v>
      </c>
    </row>
    <row r="3" spans="1:4" ht="13">
      <c r="A3" s="52"/>
      <c r="D3" s="47"/>
    </row>
    <row r="4" spans="1:4" ht="15.5">
      <c r="A4" s="246" t="s">
        <v>10787</v>
      </c>
    </row>
    <row r="5" spans="1:4" ht="15.5">
      <c r="A5" s="248" t="str">
        <f>'Data Entry - SOF'!B1</f>
        <v xml:space="preserve"> </v>
      </c>
    </row>
    <row r="6" spans="1:4" ht="15.5">
      <c r="A6" s="246">
        <f>'Data Entry - SOF'!B2</f>
        <v>0</v>
      </c>
    </row>
    <row r="8" spans="1:4" ht="18">
      <c r="A8" s="1792"/>
      <c r="B8" s="1793"/>
      <c r="C8" s="1794" t="s">
        <v>2640</v>
      </c>
      <c r="D8" s="1795"/>
    </row>
    <row r="9" spans="1:4" ht="18">
      <c r="A9" s="1796" t="s">
        <v>2632</v>
      </c>
      <c r="B9" s="1797" t="s">
        <v>2609</v>
      </c>
      <c r="C9" s="1796" t="s">
        <v>2641</v>
      </c>
      <c r="D9" s="1776" t="s">
        <v>2633</v>
      </c>
    </row>
    <row r="10" spans="1:4" s="247" customFormat="1" ht="15.5">
      <c r="A10" s="1780" t="s">
        <v>2634</v>
      </c>
      <c r="B10" s="1781"/>
      <c r="C10" s="1781"/>
      <c r="D10" s="1782"/>
    </row>
    <row r="11" spans="1:4" s="247" customFormat="1" ht="15.5">
      <c r="A11" s="251" t="s">
        <v>8217</v>
      </c>
      <c r="B11" s="254">
        <f>Weights!K4</f>
        <v>1</v>
      </c>
      <c r="C11" s="256">
        <f>'Report-SOF2223-SB1'!D11</f>
        <v>0</v>
      </c>
      <c r="D11" s="255">
        <f>'Report-SOF2223-SB1'!D33</f>
        <v>0</v>
      </c>
    </row>
    <row r="12" spans="1:4" s="247" customFormat="1" ht="15.5">
      <c r="A12" s="1780" t="s">
        <v>10756</v>
      </c>
      <c r="B12" s="1781"/>
      <c r="C12" s="1781"/>
      <c r="D12" s="1782"/>
    </row>
    <row r="13" spans="1:4" s="247" customFormat="1" ht="15.5">
      <c r="A13" s="2740" t="s">
        <v>2633</v>
      </c>
      <c r="B13" s="2741"/>
      <c r="C13" s="2742"/>
      <c r="D13" s="2743"/>
    </row>
    <row r="14" spans="1:4" s="247" customFormat="1" ht="15.5">
      <c r="A14" s="1780" t="s">
        <v>10757</v>
      </c>
      <c r="B14" s="1781"/>
      <c r="C14" s="1781"/>
      <c r="D14" s="1782"/>
    </row>
    <row r="15" spans="1:4" s="247" customFormat="1" ht="15.5">
      <c r="A15" s="251" t="s">
        <v>8216</v>
      </c>
      <c r="B15" s="273" t="s">
        <v>1678</v>
      </c>
      <c r="C15" s="256">
        <f>'Calc Data'!E8</f>
        <v>0</v>
      </c>
      <c r="D15" s="255">
        <f>'SOF2223-HB3'!I22</f>
        <v>0</v>
      </c>
    </row>
    <row r="16" spans="1:4" s="247" customFormat="1" ht="15.5">
      <c r="A16" s="251" t="s">
        <v>2636</v>
      </c>
      <c r="B16" s="276">
        <f>'Weights-HB3'!J18</f>
        <v>1.1499999999999999</v>
      </c>
      <c r="C16" s="256">
        <f>'Data Entry - SOF'!E32</f>
        <v>0</v>
      </c>
      <c r="D16" s="255">
        <f>'SOF2223-HB3'!I24</f>
        <v>0</v>
      </c>
    </row>
    <row r="17" spans="1:4" s="247" customFormat="1" ht="15.5">
      <c r="A17" s="251" t="s">
        <v>2637</v>
      </c>
      <c r="B17" s="276">
        <f>'Weights-HB3'!J16</f>
        <v>4</v>
      </c>
      <c r="C17" s="256">
        <f>'Data Entry - SOF'!E31</f>
        <v>0</v>
      </c>
      <c r="D17" s="255">
        <f>'SOF2223-HB3'!I25</f>
        <v>0</v>
      </c>
    </row>
    <row r="18" spans="1:4" s="247" customFormat="1" ht="15.5">
      <c r="A18" s="251" t="s">
        <v>2619</v>
      </c>
      <c r="B18" s="276">
        <f>'Weights-HB3'!J14</f>
        <v>2.8</v>
      </c>
      <c r="C18" s="256">
        <f>'Data Entry - SOF'!E29</f>
        <v>0</v>
      </c>
      <c r="D18" s="255">
        <f>'SOF2223-HB3'!I26</f>
        <v>0</v>
      </c>
    </row>
    <row r="19" spans="1:4" s="247" customFormat="1" ht="15.5">
      <c r="A19" s="251" t="s">
        <v>2622</v>
      </c>
      <c r="B19" s="276">
        <f>'Weights-HB3'!J15</f>
        <v>1.7</v>
      </c>
      <c r="C19" s="256">
        <f>'Data Entry - SOF'!E30</f>
        <v>0</v>
      </c>
      <c r="D19" s="255">
        <f>'SOF2223-HB3'!I27</f>
        <v>0</v>
      </c>
    </row>
    <row r="20" spans="1:4" s="247" customFormat="1" ht="15.5">
      <c r="A20" s="266" t="s">
        <v>10776</v>
      </c>
      <c r="B20" s="278" t="s">
        <v>1678</v>
      </c>
      <c r="C20" s="273" t="s">
        <v>1678</v>
      </c>
      <c r="D20" s="277">
        <f>'SOF2223-HB3'!I28</f>
        <v>0</v>
      </c>
    </row>
    <row r="21" spans="1:4" s="247" customFormat="1" ht="15.5">
      <c r="A21" s="251" t="s">
        <v>2639</v>
      </c>
      <c r="B21" s="273" t="s">
        <v>1678</v>
      </c>
      <c r="C21" s="273" t="s">
        <v>1678</v>
      </c>
      <c r="D21" s="255">
        <f>'Report-SOF2223-SB1'!D35</f>
        <v>0</v>
      </c>
    </row>
    <row r="22" spans="1:4" ht="15.5">
      <c r="A22" s="1780" t="s">
        <v>10758</v>
      </c>
      <c r="B22" s="1781"/>
      <c r="C22" s="1781"/>
      <c r="D22" s="1782"/>
    </row>
    <row r="23" spans="1:4" ht="15.5">
      <c r="A23" s="1731" t="s">
        <v>7436</v>
      </c>
      <c r="B23" s="1747">
        <f>'Weights-HB3'!J72</f>
        <v>0.1</v>
      </c>
      <c r="C23" s="1748">
        <f>'Data Entry - SOF'!E60</f>
        <v>0</v>
      </c>
      <c r="D23" s="1735">
        <f>'Report-SOF2223-SB1'!D36</f>
        <v>0</v>
      </c>
    </row>
    <row r="24" spans="1:4" ht="15.5">
      <c r="A24" s="1780" t="s">
        <v>10759</v>
      </c>
      <c r="B24" s="1781"/>
      <c r="C24" s="1781"/>
      <c r="D24" s="1782"/>
    </row>
    <row r="25" spans="1:4" s="247" customFormat="1" ht="14" customHeight="1">
      <c r="A25" s="251" t="s">
        <v>8209</v>
      </c>
      <c r="B25" s="279"/>
      <c r="C25" s="256"/>
      <c r="D25" s="255"/>
    </row>
    <row r="26" spans="1:4" ht="14" customHeight="1">
      <c r="A26" s="1731" t="s">
        <v>8210</v>
      </c>
      <c r="B26" s="1746">
        <f>'Weights-HB3'!J34</f>
        <v>0.2</v>
      </c>
      <c r="C26" s="1732">
        <f>'Data Entry - SOF'!E49</f>
        <v>0</v>
      </c>
      <c r="D26" s="1735">
        <f>'SOF2223-HB3'!I36</f>
        <v>0</v>
      </c>
    </row>
    <row r="27" spans="1:4" ht="15.5">
      <c r="A27" s="1731" t="s">
        <v>8211</v>
      </c>
      <c r="B27" s="1746">
        <f>'Weights-HB3'!J36</f>
        <v>0.22500000000000001</v>
      </c>
      <c r="C27" s="1732">
        <f>'Data Entry - SOF'!E51</f>
        <v>0</v>
      </c>
      <c r="D27" s="1735">
        <f>'SOF2223-HB3'!I37</f>
        <v>0</v>
      </c>
    </row>
    <row r="28" spans="1:4" s="247" customFormat="1" ht="15.5">
      <c r="A28" s="1731" t="s">
        <v>8212</v>
      </c>
      <c r="B28" s="1746">
        <f>'Weights-HB3'!J37</f>
        <v>0.23749999999999999</v>
      </c>
      <c r="C28" s="1732">
        <f>'Data Entry - SOF'!E52</f>
        <v>0</v>
      </c>
      <c r="D28" s="1735">
        <f>'SOF2223-HB3'!I38</f>
        <v>0</v>
      </c>
    </row>
    <row r="29" spans="1:4" ht="15.5">
      <c r="A29" s="1731" t="s">
        <v>8213</v>
      </c>
      <c r="B29" s="1746">
        <f>'Weights-HB3'!J38</f>
        <v>0.25</v>
      </c>
      <c r="C29" s="1732">
        <f>'Data Entry - SOF'!E53</f>
        <v>0</v>
      </c>
      <c r="D29" s="1735">
        <f>'SOF2223-HB3'!I39</f>
        <v>0</v>
      </c>
    </row>
    <row r="30" spans="1:4" ht="15.5">
      <c r="A30" s="1731" t="s">
        <v>8214</v>
      </c>
      <c r="B30" s="1746">
        <f>'Weights-HB3'!J39</f>
        <v>0.26250000000000001</v>
      </c>
      <c r="C30" s="1732">
        <f>'Data Entry - SOF'!E54</f>
        <v>0</v>
      </c>
      <c r="D30" s="1735">
        <f>'SOF2223-HB3'!I40</f>
        <v>0</v>
      </c>
    </row>
    <row r="31" spans="1:4" ht="15.5">
      <c r="A31" s="1731" t="s">
        <v>8215</v>
      </c>
      <c r="B31" s="1746">
        <f>'Weights-HB3'!J40</f>
        <v>0.27500000000000002</v>
      </c>
      <c r="C31" s="1732">
        <f>'Data Entry - SOF'!E55</f>
        <v>0</v>
      </c>
      <c r="D31" s="1735">
        <f>'SOF2223-HB3'!I41</f>
        <v>0</v>
      </c>
    </row>
    <row r="32" spans="1:4" ht="15.5">
      <c r="A32" s="251" t="s">
        <v>2731</v>
      </c>
      <c r="B32" s="1746">
        <f>'Weights-HB3'!J43</f>
        <v>2.41</v>
      </c>
      <c r="C32" s="1732">
        <f>'Data Entry - SOF'!E33</f>
        <v>0</v>
      </c>
      <c r="D32" s="1735">
        <f>'SOF2223-HB3'!I42</f>
        <v>0</v>
      </c>
    </row>
    <row r="33" spans="1:4" ht="15.5">
      <c r="A33" s="251" t="s">
        <v>2732</v>
      </c>
      <c r="B33" s="273" t="s">
        <v>1678</v>
      </c>
      <c r="C33" s="273" t="s">
        <v>1678</v>
      </c>
      <c r="D33" s="255">
        <f>'Report-SOF2223-SB1'!D37</f>
        <v>0</v>
      </c>
    </row>
    <row r="34" spans="1:4" ht="15.5">
      <c r="A34" s="1780" t="s">
        <v>10760</v>
      </c>
      <c r="B34" s="1781"/>
      <c r="C34" s="1781"/>
      <c r="D34" s="1782"/>
    </row>
    <row r="35" spans="1:4" ht="15.5">
      <c r="A35" s="251" t="s">
        <v>8218</v>
      </c>
      <c r="B35" s="1745">
        <f>'Weights-HB3'!J26</f>
        <v>0.1</v>
      </c>
      <c r="C35" s="256">
        <f>'Data Entry - SOF'!E41</f>
        <v>0</v>
      </c>
      <c r="D35" s="255">
        <f>'SOF2223-HB3'!I43</f>
        <v>0</v>
      </c>
    </row>
    <row r="36" spans="1:4" ht="15.5">
      <c r="A36" s="1731" t="s">
        <v>8219</v>
      </c>
      <c r="B36" s="1745">
        <f>'Weights-HB3'!J27</f>
        <v>0.15</v>
      </c>
      <c r="C36" s="256">
        <f>'Data Entry - SOF'!E42</f>
        <v>0</v>
      </c>
      <c r="D36" s="255">
        <f>'SOF2223-HB3'!I44</f>
        <v>0</v>
      </c>
    </row>
    <row r="37" spans="1:4" ht="15.5">
      <c r="A37" s="1731" t="s">
        <v>8220</v>
      </c>
      <c r="B37" s="1745">
        <f>'Weights-HB3'!J28</f>
        <v>0.05</v>
      </c>
      <c r="C37" s="256">
        <f>'Data Entry - SOF'!E43</f>
        <v>0</v>
      </c>
      <c r="D37" s="255">
        <f>'SOF2223-HB3'!I45</f>
        <v>0</v>
      </c>
    </row>
    <row r="38" spans="1:4" ht="15.5">
      <c r="A38" s="1731" t="s">
        <v>2643</v>
      </c>
      <c r="B38" s="273" t="s">
        <v>1678</v>
      </c>
      <c r="C38" s="273" t="s">
        <v>1678</v>
      </c>
      <c r="D38" s="1735">
        <f>'Report-SOF2223-SB1'!D38</f>
        <v>0</v>
      </c>
    </row>
    <row r="39" spans="1:4" s="247" customFormat="1" ht="15.5">
      <c r="A39" s="1780" t="s">
        <v>10761</v>
      </c>
      <c r="B39" s="1781"/>
      <c r="C39" s="1781"/>
      <c r="D39" s="1782"/>
    </row>
    <row r="40" spans="1:4" s="247" customFormat="1" ht="15.5">
      <c r="A40" s="251" t="s">
        <v>10762</v>
      </c>
      <c r="B40" s="1745">
        <f>'Weights-HB3'!J21</f>
        <v>1.1000000000000001</v>
      </c>
      <c r="C40" s="256">
        <f>'Data Entry - SOF'!E36</f>
        <v>0</v>
      </c>
      <c r="D40" s="255">
        <f>'SOF2223-HB3'!I29</f>
        <v>0</v>
      </c>
    </row>
    <row r="41" spans="1:4" s="247" customFormat="1" ht="15.5">
      <c r="A41" s="2747" t="s">
        <v>10763</v>
      </c>
      <c r="B41" s="1745">
        <f>'Weights-HB3'!J22</f>
        <v>1.28</v>
      </c>
      <c r="C41" s="2750">
        <f>'Data Entry - SOF'!E37</f>
        <v>0</v>
      </c>
      <c r="D41" s="2751">
        <f>'SOF2223-HB3'!I30</f>
        <v>0</v>
      </c>
    </row>
    <row r="42" spans="1:4" s="247" customFormat="1" ht="15.5">
      <c r="A42" s="2746" t="s">
        <v>10764</v>
      </c>
      <c r="B42" s="2132"/>
      <c r="C42" s="2748"/>
      <c r="D42" s="2132"/>
    </row>
    <row r="43" spans="1:4" s="247" customFormat="1" ht="15.5">
      <c r="A43" s="2747" t="s">
        <v>10763</v>
      </c>
      <c r="B43" s="1745">
        <f>'Weights-HB3'!J23</f>
        <v>1.47</v>
      </c>
      <c r="C43" s="2750">
        <f>'Data Entry - SOF'!E38</f>
        <v>0</v>
      </c>
      <c r="D43" s="2751">
        <f>'SOF2223-HB3'!I31</f>
        <v>0</v>
      </c>
    </row>
    <row r="44" spans="1:4" s="247" customFormat="1" ht="15.5">
      <c r="A44" s="2746" t="s">
        <v>10765</v>
      </c>
      <c r="B44" s="2132"/>
      <c r="C44" s="2748"/>
      <c r="D44" s="2132"/>
    </row>
    <row r="45" spans="1:4" s="247" customFormat="1" ht="15.5">
      <c r="A45" s="2745" t="s">
        <v>10766</v>
      </c>
      <c r="B45" s="1735">
        <f>'Weights-HB3'!J24</f>
        <v>50</v>
      </c>
      <c r="C45" s="2744">
        <f>'Data Entry - SOF'!E39</f>
        <v>0</v>
      </c>
      <c r="D45" s="2754">
        <f>ROUND('Weights-HB3'!J24*C45,0)</f>
        <v>0</v>
      </c>
    </row>
    <row r="46" spans="1:4" s="247" customFormat="1" ht="15.5">
      <c r="A46" s="2745" t="s">
        <v>10767</v>
      </c>
      <c r="B46" s="2440">
        <f>B45</f>
        <v>50</v>
      </c>
      <c r="C46" s="2744">
        <f>'Data Entry - SOF'!E40</f>
        <v>0</v>
      </c>
      <c r="D46" s="2754">
        <f>ROUND('Weights-HB3'!J24*C46,0)</f>
        <v>0</v>
      </c>
    </row>
    <row r="47" spans="1:4" s="247" customFormat="1" ht="15.5">
      <c r="A47" s="251" t="s">
        <v>10768</v>
      </c>
      <c r="B47" s="273" t="s">
        <v>1678</v>
      </c>
      <c r="C47" s="273" t="s">
        <v>1678</v>
      </c>
      <c r="D47" s="255">
        <f>'Report-SOF2223-SB1'!D39</f>
        <v>0</v>
      </c>
    </row>
    <row r="48" spans="1:4" s="247" customFormat="1" ht="15.5">
      <c r="A48" s="1780" t="s">
        <v>10769</v>
      </c>
      <c r="B48" s="1781"/>
      <c r="C48" s="1781"/>
      <c r="D48" s="1782"/>
    </row>
    <row r="49" spans="1:4" s="247" customFormat="1" ht="15.5">
      <c r="A49" s="251" t="s">
        <v>2644</v>
      </c>
      <c r="B49" s="279">
        <f>'Weights-HB3'!J49</f>
        <v>0.1</v>
      </c>
      <c r="C49" s="256">
        <f>'Data Entry - SOF'!E46</f>
        <v>0</v>
      </c>
      <c r="D49" s="255">
        <f>'Report-SOF2223-SB1'!D40</f>
        <v>0</v>
      </c>
    </row>
    <row r="50" spans="1:4" s="247" customFormat="1" ht="15.5">
      <c r="A50" s="1780" t="s">
        <v>10770</v>
      </c>
      <c r="B50" s="1781"/>
      <c r="C50" s="1781"/>
      <c r="D50" s="1782"/>
    </row>
    <row r="51" spans="1:4" s="247" customFormat="1" ht="15.5">
      <c r="A51" s="1731" t="s">
        <v>7628</v>
      </c>
      <c r="B51" s="1747">
        <f>'Weights-HB3'!J74</f>
        <v>0.1</v>
      </c>
      <c r="C51" s="1748">
        <f>'Data Entry - SOF'!E45</f>
        <v>0</v>
      </c>
      <c r="D51" s="1735">
        <f>'Report-SOF2223-SB1'!D41</f>
        <v>0</v>
      </c>
    </row>
    <row r="52" spans="1:4" s="247" customFormat="1" ht="15.5">
      <c r="A52" s="1780" t="s">
        <v>10771</v>
      </c>
      <c r="B52" s="1781"/>
      <c r="C52" s="1781"/>
      <c r="D52" s="1782"/>
    </row>
    <row r="53" spans="1:4" s="247" customFormat="1" ht="15.5">
      <c r="A53" s="251" t="s">
        <v>10772</v>
      </c>
      <c r="B53" s="279">
        <v>7.0000000000000007E-2</v>
      </c>
      <c r="C53" s="256">
        <f>'Data Entry - SOF'!E44</f>
        <v>0</v>
      </c>
      <c r="D53" s="255">
        <f>B53*C53*Assumptions!H145</f>
        <v>0</v>
      </c>
    </row>
    <row r="54" spans="1:4" s="247" customFormat="1" ht="15.5">
      <c r="A54" s="251" t="s">
        <v>10773</v>
      </c>
      <c r="B54" s="279">
        <v>7.0000000000000007E-2</v>
      </c>
      <c r="C54" s="256">
        <f>'Data Entry - SOF'!E189</f>
        <v>0</v>
      </c>
      <c r="D54" s="255">
        <f>'SOF2223-HB3'!I33</f>
        <v>0</v>
      </c>
    </row>
    <row r="55" spans="1:4" s="247" customFormat="1" ht="15.5">
      <c r="A55" s="2745" t="s">
        <v>10774</v>
      </c>
      <c r="B55" s="273" t="s">
        <v>1678</v>
      </c>
      <c r="C55" s="273" t="s">
        <v>1678</v>
      </c>
      <c r="D55" s="2440">
        <f>D54</f>
        <v>0</v>
      </c>
    </row>
    <row r="56" spans="1:4" s="247" customFormat="1" ht="15.5">
      <c r="A56" s="2747" t="s">
        <v>10775</v>
      </c>
      <c r="B56" s="2755" t="s">
        <v>1678</v>
      </c>
      <c r="C56" s="2755" t="s">
        <v>1678</v>
      </c>
      <c r="D56" s="2751">
        <f>'SOF2223-HB3'!I34</f>
        <v>0</v>
      </c>
    </row>
    <row r="57" spans="1:4" s="247" customFormat="1" ht="15.5">
      <c r="A57" s="2126" t="s">
        <v>2638</v>
      </c>
      <c r="B57" s="2752"/>
      <c r="C57" s="2752"/>
      <c r="D57" s="2753"/>
    </row>
    <row r="58" spans="1:4" ht="15.5">
      <c r="A58" s="2429" t="s">
        <v>10777</v>
      </c>
      <c r="B58" s="273" t="s">
        <v>1678</v>
      </c>
      <c r="C58" s="273" t="s">
        <v>1678</v>
      </c>
      <c r="D58" s="2440">
        <f>'Report-SOF2223-SB1'!D42</f>
        <v>0</v>
      </c>
    </row>
    <row r="59" spans="1:4" ht="15.5">
      <c r="A59" s="1780" t="s">
        <v>10778</v>
      </c>
      <c r="B59" s="1781"/>
      <c r="C59" s="1781"/>
      <c r="D59" s="1782"/>
    </row>
    <row r="60" spans="1:4" s="247" customFormat="1" ht="15.5">
      <c r="A60" s="1731" t="s">
        <v>8221</v>
      </c>
      <c r="B60" s="2756">
        <f>'Weights-HB3'!J113</f>
        <v>5000</v>
      </c>
      <c r="C60" s="1748">
        <f>'Data Entry - SOF'!E57</f>
        <v>0</v>
      </c>
      <c r="D60" s="1735">
        <f>B60*C60</f>
        <v>0</v>
      </c>
    </row>
    <row r="61" spans="1:4" s="247" customFormat="1" ht="15.5">
      <c r="A61" s="1731" t="s">
        <v>8222</v>
      </c>
      <c r="B61" s="2756">
        <f>'Weights-HB3'!J114</f>
        <v>3000</v>
      </c>
      <c r="C61" s="1748">
        <f>'Data Entry - SOF'!E58</f>
        <v>0</v>
      </c>
      <c r="D61" s="1735">
        <f t="shared" ref="D61:D62" si="0">B61*C61</f>
        <v>0</v>
      </c>
    </row>
    <row r="62" spans="1:4" s="247" customFormat="1" ht="15.5">
      <c r="A62" s="1731" t="s">
        <v>8224</v>
      </c>
      <c r="B62" s="2756">
        <f>'Weights-HB3'!J115</f>
        <v>2000</v>
      </c>
      <c r="C62" s="1748">
        <f>'Data Entry - SOF'!E59</f>
        <v>0</v>
      </c>
      <c r="D62" s="1735">
        <f t="shared" si="0"/>
        <v>0</v>
      </c>
    </row>
    <row r="63" spans="1:4" s="247" customFormat="1" ht="15.5">
      <c r="A63" s="1731" t="s">
        <v>8223</v>
      </c>
      <c r="B63" s="273" t="s">
        <v>1678</v>
      </c>
      <c r="C63" s="273" t="s">
        <v>1678</v>
      </c>
      <c r="D63" s="1735">
        <f>'Report-SOF2223-SB1'!D43</f>
        <v>0</v>
      </c>
    </row>
    <row r="64" spans="1:4" s="247" customFormat="1" ht="15.5">
      <c r="A64" s="1780" t="s">
        <v>10779</v>
      </c>
      <c r="B64" s="1781"/>
      <c r="C64" s="1781"/>
      <c r="D64" s="1782"/>
    </row>
    <row r="65" spans="1:4" ht="15.5">
      <c r="A65" s="251" t="s">
        <v>2633</v>
      </c>
      <c r="B65" s="313">
        <f>'Weights-HB3'!J68</f>
        <v>9.7200000000000006</v>
      </c>
      <c r="C65" s="256">
        <f>'Report-SOF2223-SB1'!D10</f>
        <v>0</v>
      </c>
      <c r="D65" s="255">
        <f>'Report-SOF2223-SB1'!D47</f>
        <v>0</v>
      </c>
    </row>
    <row r="66" spans="1:4" ht="15.5">
      <c r="A66" s="1780" t="s">
        <v>10780</v>
      </c>
      <c r="B66" s="1781"/>
      <c r="C66" s="1781"/>
      <c r="D66" s="1782"/>
    </row>
    <row r="67" spans="1:4" ht="15.5">
      <c r="A67" s="251" t="s">
        <v>2633</v>
      </c>
      <c r="B67" s="313">
        <f>'Weights-HB3'!J47</f>
        <v>946.9</v>
      </c>
      <c r="C67" s="256">
        <f>'Data Entry - SOF'!E47</f>
        <v>0</v>
      </c>
      <c r="D67" s="255">
        <f>'Report-SOF2223-SB1'!D50</f>
        <v>0</v>
      </c>
    </row>
    <row r="68" spans="1:4" ht="15.5">
      <c r="A68" s="1780" t="s">
        <v>10781</v>
      </c>
      <c r="B68" s="1781"/>
      <c r="C68" s="1781"/>
      <c r="D68" s="1782"/>
    </row>
    <row r="69" spans="1:4" ht="15.5">
      <c r="A69" s="1731" t="s">
        <v>10782</v>
      </c>
      <c r="B69" s="2756">
        <f>'Weights-HB3'!J125</f>
        <v>275</v>
      </c>
      <c r="C69" s="1748">
        <f>'Data Entry - SOF'!E48</f>
        <v>0</v>
      </c>
      <c r="D69" s="1735">
        <f>B69*C69</f>
        <v>0</v>
      </c>
    </row>
    <row r="70" spans="1:4" ht="15.5">
      <c r="A70" s="1731" t="s">
        <v>10783</v>
      </c>
      <c r="B70" s="2756">
        <f>B69</f>
        <v>275</v>
      </c>
      <c r="C70" s="1748" t="s">
        <v>10786</v>
      </c>
      <c r="D70" s="1748" t="s">
        <v>10786</v>
      </c>
    </row>
    <row r="71" spans="1:4" ht="15.5">
      <c r="A71" s="1731" t="s">
        <v>10784</v>
      </c>
      <c r="B71" s="273" t="s">
        <v>1678</v>
      </c>
      <c r="C71" s="273" t="s">
        <v>1678</v>
      </c>
      <c r="D71" s="1735">
        <f>'Report-SOF2223-SB1'!D51</f>
        <v>0</v>
      </c>
    </row>
    <row r="72" spans="1:4" ht="15.5">
      <c r="C72" s="320" t="s">
        <v>2709</v>
      </c>
      <c r="D72" s="635" t="s">
        <v>10471</v>
      </c>
    </row>
  </sheetData>
  <hyperlinks>
    <hyperlink ref="D72" location="'Report-SOF2223-SB1'!A1" display="'Report-SOF2223-SB1'!A1"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66FF33"/>
  </sheetPr>
  <dimension ref="A1:D72"/>
  <sheetViews>
    <sheetView workbookViewId="0">
      <selection activeCell="D1" sqref="D1"/>
    </sheetView>
  </sheetViews>
  <sheetFormatPr defaultRowHeight="12.5"/>
  <cols>
    <col min="1" max="1" width="69.453125" customWidth="1"/>
    <col min="2" max="2" width="19.81640625" customWidth="1"/>
    <col min="3" max="3" width="24.453125" customWidth="1"/>
    <col min="4" max="4" width="26.54296875" customWidth="1"/>
  </cols>
  <sheetData>
    <row r="1" spans="1:4" ht="13">
      <c r="A1" s="245" t="s">
        <v>2716</v>
      </c>
      <c r="D1" s="1791" t="str">
        <f>'T1Detail2223-HB3'!D1</f>
        <v>Release 2</v>
      </c>
    </row>
    <row r="2" spans="1:4" ht="13">
      <c r="A2" s="245" t="s">
        <v>2717</v>
      </c>
      <c r="D2" s="1803">
        <f>'T1Detail2223-HB3'!D2</f>
        <v>44930</v>
      </c>
    </row>
    <row r="3" spans="1:4" ht="13">
      <c r="A3" s="52"/>
      <c r="D3" s="47"/>
    </row>
    <row r="4" spans="1:4" ht="15.5">
      <c r="A4" s="246" t="s">
        <v>8305</v>
      </c>
    </row>
    <row r="5" spans="1:4" ht="15.5">
      <c r="A5" s="248" t="str">
        <f>'Data Entry - SOF'!B1</f>
        <v xml:space="preserve"> </v>
      </c>
    </row>
    <row r="6" spans="1:4" ht="15.5">
      <c r="A6" s="246">
        <f>'Data Entry - SOF'!B2</f>
        <v>0</v>
      </c>
    </row>
    <row r="8" spans="1:4" ht="18">
      <c r="A8" s="1792"/>
      <c r="B8" s="1793"/>
      <c r="C8" s="1794" t="s">
        <v>2640</v>
      </c>
      <c r="D8" s="1795"/>
    </row>
    <row r="9" spans="1:4" ht="18">
      <c r="A9" s="1796" t="s">
        <v>2632</v>
      </c>
      <c r="B9" s="1797" t="s">
        <v>2609</v>
      </c>
      <c r="C9" s="1796" t="s">
        <v>2641</v>
      </c>
      <c r="D9" s="1776" t="s">
        <v>2633</v>
      </c>
    </row>
    <row r="10" spans="1:4" s="247" customFormat="1" ht="15.5">
      <c r="A10" s="1780" t="s">
        <v>2634</v>
      </c>
      <c r="B10" s="1781"/>
      <c r="C10" s="1781"/>
      <c r="D10" s="1782"/>
    </row>
    <row r="11" spans="1:4" s="247" customFormat="1" ht="15.5">
      <c r="A11" s="251" t="s">
        <v>8217</v>
      </c>
      <c r="B11" s="254">
        <f>Weights!K4</f>
        <v>1</v>
      </c>
      <c r="C11" s="256">
        <f>'Report-SOF2324-SB1'!D11</f>
        <v>0</v>
      </c>
      <c r="D11" s="255" t="e">
        <f>'Report-SOF2324-SB1'!D33</f>
        <v>#DIV/0!</v>
      </c>
    </row>
    <row r="12" spans="1:4" s="247" customFormat="1" ht="15.5">
      <c r="A12" s="1780" t="s">
        <v>10756</v>
      </c>
      <c r="B12" s="1781"/>
      <c r="C12" s="1781"/>
      <c r="D12" s="1782"/>
    </row>
    <row r="13" spans="1:4" s="247" customFormat="1" ht="15.5">
      <c r="A13" s="2740" t="s">
        <v>2633</v>
      </c>
      <c r="B13" s="2741"/>
      <c r="C13" s="2742"/>
      <c r="D13" s="2743"/>
    </row>
    <row r="14" spans="1:4" s="247" customFormat="1" ht="15.5">
      <c r="A14" s="1780" t="s">
        <v>10757</v>
      </c>
      <c r="B14" s="1781"/>
      <c r="C14" s="1781"/>
      <c r="D14" s="1782"/>
    </row>
    <row r="15" spans="1:4" s="247" customFormat="1" ht="15.5">
      <c r="A15" s="251" t="s">
        <v>8216</v>
      </c>
      <c r="B15" s="273" t="s">
        <v>1678</v>
      </c>
      <c r="C15" s="256">
        <f>'Calc Data'!F8</f>
        <v>0</v>
      </c>
      <c r="D15" s="255" t="e">
        <f>'SOF2324-HB3'!I22</f>
        <v>#DIV/0!</v>
      </c>
    </row>
    <row r="16" spans="1:4" s="247" customFormat="1" ht="15.5">
      <c r="A16" s="251" t="s">
        <v>2636</v>
      </c>
      <c r="B16" s="276">
        <f>'Weights-HB3'!K18</f>
        <v>1.1499999999999999</v>
      </c>
      <c r="C16" s="256">
        <f>'Data Entry - SOF'!G32</f>
        <v>0</v>
      </c>
      <c r="D16" s="255">
        <f>'SOF2324-HB3'!I24</f>
        <v>0</v>
      </c>
    </row>
    <row r="17" spans="1:4" s="247" customFormat="1" ht="15.5">
      <c r="A17" s="251" t="s">
        <v>2637</v>
      </c>
      <c r="B17" s="276">
        <f>'Weights-HB3'!K16</f>
        <v>4</v>
      </c>
      <c r="C17" s="256">
        <f>'Data Entry - SOF'!G31</f>
        <v>0</v>
      </c>
      <c r="D17" s="255">
        <f>'SOF2324-HB3'!I25</f>
        <v>0</v>
      </c>
    </row>
    <row r="18" spans="1:4" s="247" customFormat="1" ht="15.5">
      <c r="A18" s="251" t="s">
        <v>2619</v>
      </c>
      <c r="B18" s="276">
        <f>'Weights-HB3'!K14</f>
        <v>2.8</v>
      </c>
      <c r="C18" s="256">
        <f>'Data Entry - SOF'!G29</f>
        <v>0</v>
      </c>
      <c r="D18" s="255">
        <f>'SOF2324-HB3'!I26</f>
        <v>0</v>
      </c>
    </row>
    <row r="19" spans="1:4" s="247" customFormat="1" ht="15.5">
      <c r="A19" s="251" t="s">
        <v>2622</v>
      </c>
      <c r="B19" s="276">
        <f>'Weights-HB3'!K15</f>
        <v>1.7</v>
      </c>
      <c r="C19" s="256">
        <f>'Data Entry - SOF'!G30</f>
        <v>0</v>
      </c>
      <c r="D19" s="255">
        <f>'SOF2324-HB3'!I27</f>
        <v>0</v>
      </c>
    </row>
    <row r="20" spans="1:4" s="247" customFormat="1" ht="15.5">
      <c r="A20" s="266" t="s">
        <v>10776</v>
      </c>
      <c r="B20" s="278" t="s">
        <v>1678</v>
      </c>
      <c r="C20" s="273" t="s">
        <v>1678</v>
      </c>
      <c r="D20" s="277">
        <f>'SOF2324-HB3'!I28</f>
        <v>0</v>
      </c>
    </row>
    <row r="21" spans="1:4" s="247" customFormat="1" ht="15.5">
      <c r="A21" s="251" t="s">
        <v>2639</v>
      </c>
      <c r="B21" s="273" t="s">
        <v>1678</v>
      </c>
      <c r="C21" s="273" t="s">
        <v>1678</v>
      </c>
      <c r="D21" s="255" t="e">
        <f>'Report-SOF2324-SB1'!D35</f>
        <v>#DIV/0!</v>
      </c>
    </row>
    <row r="22" spans="1:4" ht="15.5">
      <c r="A22" s="1780" t="s">
        <v>10758</v>
      </c>
      <c r="B22" s="1781"/>
      <c r="C22" s="1781"/>
      <c r="D22" s="1782"/>
    </row>
    <row r="23" spans="1:4" ht="15.5">
      <c r="A23" s="1731" t="s">
        <v>7436</v>
      </c>
      <c r="B23" s="1747">
        <f>'Weights-HB3'!K72</f>
        <v>0.1</v>
      </c>
      <c r="C23" s="1748">
        <f>'Data Entry - SOF'!G60</f>
        <v>0</v>
      </c>
      <c r="D23" s="1735" t="e">
        <f>'Report-SOF2324-SB1'!D36</f>
        <v>#DIV/0!</v>
      </c>
    </row>
    <row r="24" spans="1:4" ht="15.5">
      <c r="A24" s="1780" t="s">
        <v>10759</v>
      </c>
      <c r="B24" s="1781"/>
      <c r="C24" s="1781"/>
      <c r="D24" s="1782"/>
    </row>
    <row r="25" spans="1:4" s="247" customFormat="1" ht="15.5">
      <c r="A25" s="251" t="s">
        <v>8209</v>
      </c>
      <c r="B25" s="279"/>
      <c r="C25" s="256"/>
      <c r="D25" s="255"/>
    </row>
    <row r="26" spans="1:4" ht="15.5">
      <c r="A26" s="1731" t="s">
        <v>8210</v>
      </c>
      <c r="B26" s="1746">
        <f>'Weights-HB3'!K34</f>
        <v>0.2</v>
      </c>
      <c r="C26" s="1732">
        <f>'Data Entry - SOF'!G49</f>
        <v>0</v>
      </c>
      <c r="D26" s="1735" t="e">
        <f>'SOF2324-HB3'!I36</f>
        <v>#DIV/0!</v>
      </c>
    </row>
    <row r="27" spans="1:4" ht="15.5">
      <c r="A27" s="1731" t="s">
        <v>8211</v>
      </c>
      <c r="B27" s="1746">
        <f>'Weights-HB3'!K36</f>
        <v>0.22500000000000001</v>
      </c>
      <c r="C27" s="1732">
        <f>'Data Entry - SOF'!G51</f>
        <v>0</v>
      </c>
      <c r="D27" s="1735" t="e">
        <f>'SOF2324-HB3'!I37</f>
        <v>#DIV/0!</v>
      </c>
    </row>
    <row r="28" spans="1:4" s="247" customFormat="1" ht="15.5">
      <c r="A28" s="1731" t="s">
        <v>8212</v>
      </c>
      <c r="B28" s="1746">
        <f>'Weights-HB3'!K37</f>
        <v>0.23749999999999999</v>
      </c>
      <c r="C28" s="1732">
        <f>'Data Entry - SOF'!G52</f>
        <v>0</v>
      </c>
      <c r="D28" s="1735" t="e">
        <f>'SOF2324-HB3'!I38</f>
        <v>#DIV/0!</v>
      </c>
    </row>
    <row r="29" spans="1:4" ht="15.5">
      <c r="A29" s="1731" t="s">
        <v>8213</v>
      </c>
      <c r="B29" s="1746">
        <f>'Weights-HB3'!K38</f>
        <v>0.25</v>
      </c>
      <c r="C29" s="1732">
        <f>'Data Entry - SOF'!G53</f>
        <v>0</v>
      </c>
      <c r="D29" s="1735" t="e">
        <f>'SOF2324-HB3'!I39</f>
        <v>#DIV/0!</v>
      </c>
    </row>
    <row r="30" spans="1:4" ht="15.5">
      <c r="A30" s="1731" t="s">
        <v>8214</v>
      </c>
      <c r="B30" s="1746">
        <f>'Weights-HB3'!K39</f>
        <v>0.26250000000000001</v>
      </c>
      <c r="C30" s="1732">
        <f>'Data Entry - SOF'!G54</f>
        <v>0</v>
      </c>
      <c r="D30" s="1735" t="e">
        <f>'SOF2324-HB3'!I40</f>
        <v>#DIV/0!</v>
      </c>
    </row>
    <row r="31" spans="1:4" ht="15.5">
      <c r="A31" s="1731" t="s">
        <v>8215</v>
      </c>
      <c r="B31" s="1746">
        <f>'Weights-HB3'!K40</f>
        <v>0.27500000000000002</v>
      </c>
      <c r="C31" s="1732">
        <f>'Data Entry - SOF'!G55</f>
        <v>0</v>
      </c>
      <c r="D31" s="1735" t="e">
        <f>'SOF2324-HB3'!I41</f>
        <v>#DIV/0!</v>
      </c>
    </row>
    <row r="32" spans="1:4" ht="15.5">
      <c r="A32" s="251" t="s">
        <v>2731</v>
      </c>
      <c r="B32" s="1746">
        <f>'Weights-HB3'!K43</f>
        <v>2.41</v>
      </c>
      <c r="C32" s="1732">
        <f>'Data Entry - SOF'!G33</f>
        <v>0</v>
      </c>
      <c r="D32" s="1735" t="e">
        <f>'SOF2324-HB3'!I42</f>
        <v>#DIV/0!</v>
      </c>
    </row>
    <row r="33" spans="1:4" ht="15.5">
      <c r="A33" s="251" t="s">
        <v>2732</v>
      </c>
      <c r="B33" s="273" t="s">
        <v>1678</v>
      </c>
      <c r="C33" s="273" t="s">
        <v>1678</v>
      </c>
      <c r="D33" s="255" t="e">
        <f>'Report-SOF2324-SB1'!D37</f>
        <v>#DIV/0!</v>
      </c>
    </row>
    <row r="34" spans="1:4" ht="15.5">
      <c r="A34" s="1780" t="s">
        <v>10760</v>
      </c>
      <c r="B34" s="1781"/>
      <c r="C34" s="1781"/>
      <c r="D34" s="1782"/>
    </row>
    <row r="35" spans="1:4" ht="15.5">
      <c r="A35" s="251" t="s">
        <v>8218</v>
      </c>
      <c r="B35" s="1745">
        <f>'Weights-HB3'!K26</f>
        <v>0.1</v>
      </c>
      <c r="C35" s="256">
        <f>'Data Entry - SOF'!G41</f>
        <v>0</v>
      </c>
      <c r="D35" s="255" t="e">
        <f>'SOF2324-HB3'!I43</f>
        <v>#DIV/0!</v>
      </c>
    </row>
    <row r="36" spans="1:4" ht="15.5">
      <c r="A36" s="1731" t="s">
        <v>8219</v>
      </c>
      <c r="B36" s="1745">
        <f>'Weights-HB3'!K27</f>
        <v>0.15</v>
      </c>
      <c r="C36" s="256">
        <f>'Data Entry - SOF'!G42</f>
        <v>0</v>
      </c>
      <c r="D36" s="255" t="e">
        <f>'SOF2324-HB3'!I44</f>
        <v>#DIV/0!</v>
      </c>
    </row>
    <row r="37" spans="1:4" ht="15.5">
      <c r="A37" s="1731" t="s">
        <v>8220</v>
      </c>
      <c r="B37" s="1745">
        <f>'Weights-HB3'!K28</f>
        <v>0.05</v>
      </c>
      <c r="C37" s="256">
        <f>'Data Entry - SOF'!G43</f>
        <v>0</v>
      </c>
      <c r="D37" s="255" t="e">
        <f>'SOF2324-HB3'!I45</f>
        <v>#DIV/0!</v>
      </c>
    </row>
    <row r="38" spans="1:4" ht="15.5">
      <c r="A38" s="1731" t="s">
        <v>2643</v>
      </c>
      <c r="B38" s="273" t="s">
        <v>1678</v>
      </c>
      <c r="C38" s="273" t="s">
        <v>1678</v>
      </c>
      <c r="D38" s="1735" t="e">
        <f>'Report-SOF2324-SB1'!D38</f>
        <v>#DIV/0!</v>
      </c>
    </row>
    <row r="39" spans="1:4" s="247" customFormat="1" ht="15.5">
      <c r="A39" s="1780" t="s">
        <v>10761</v>
      </c>
      <c r="B39" s="1781"/>
      <c r="C39" s="1781"/>
      <c r="D39" s="1782"/>
    </row>
    <row r="40" spans="1:4" s="247" customFormat="1" ht="15.5">
      <c r="A40" s="251" t="s">
        <v>10762</v>
      </c>
      <c r="B40" s="1745">
        <f>'Weights-HB3'!K21</f>
        <v>1.1000000000000001</v>
      </c>
      <c r="C40" s="256">
        <f>'Data Entry - SOF'!G36</f>
        <v>0</v>
      </c>
      <c r="D40" s="255" t="e">
        <f>'SOF2324-HB3'!I29</f>
        <v>#DIV/0!</v>
      </c>
    </row>
    <row r="41" spans="1:4" s="247" customFormat="1" ht="15.5">
      <c r="A41" s="2747" t="s">
        <v>10763</v>
      </c>
      <c r="B41" s="1745">
        <f>'Weights-HB3'!K22</f>
        <v>1.28</v>
      </c>
      <c r="C41" s="2750">
        <f>'Data Entry - SOF'!G37</f>
        <v>0</v>
      </c>
      <c r="D41" s="2751" t="e">
        <f>'SOF2324-HB3'!I30</f>
        <v>#DIV/0!</v>
      </c>
    </row>
    <row r="42" spans="1:4" s="247" customFormat="1" ht="15.5">
      <c r="A42" s="2746" t="s">
        <v>10764</v>
      </c>
      <c r="B42" s="2132"/>
      <c r="C42" s="2748"/>
      <c r="D42" s="2132"/>
    </row>
    <row r="43" spans="1:4" s="247" customFormat="1" ht="15.5">
      <c r="A43" s="2747" t="s">
        <v>10763</v>
      </c>
      <c r="B43" s="1745">
        <f>'Weights-HB3'!K23</f>
        <v>1.47</v>
      </c>
      <c r="C43" s="2750">
        <f>'Data Entry - SOF'!G38</f>
        <v>0</v>
      </c>
      <c r="D43" s="2751" t="e">
        <f>'SOF2324-HB3'!I31</f>
        <v>#DIV/0!</v>
      </c>
    </row>
    <row r="44" spans="1:4" s="247" customFormat="1" ht="15.5">
      <c r="A44" s="2746" t="s">
        <v>10765</v>
      </c>
      <c r="B44" s="2132"/>
      <c r="C44" s="2748"/>
      <c r="D44" s="2132"/>
    </row>
    <row r="45" spans="1:4" s="247" customFormat="1" ht="15.5">
      <c r="A45" s="2745" t="s">
        <v>10766</v>
      </c>
      <c r="B45" s="1735">
        <f>'Weights-HB3'!K24</f>
        <v>50</v>
      </c>
      <c r="C45" s="2744">
        <f>'Data Entry - SOF'!G39</f>
        <v>0</v>
      </c>
      <c r="D45" s="2754">
        <f>ROUND('Weights-HB3'!K24*C45,0)</f>
        <v>0</v>
      </c>
    </row>
    <row r="46" spans="1:4" s="247" customFormat="1" ht="15.5">
      <c r="A46" s="2745" t="s">
        <v>10767</v>
      </c>
      <c r="B46" s="2440">
        <f>B45</f>
        <v>50</v>
      </c>
      <c r="C46" s="2744">
        <f>'Data Entry - SOF'!G40</f>
        <v>0</v>
      </c>
      <c r="D46" s="2754">
        <f>ROUND('Weights-HB3'!K24*C46,0)</f>
        <v>0</v>
      </c>
    </row>
    <row r="47" spans="1:4" s="247" customFormat="1" ht="15.5">
      <c r="A47" s="251" t="s">
        <v>10768</v>
      </c>
      <c r="B47" s="273" t="s">
        <v>1678</v>
      </c>
      <c r="C47" s="273" t="s">
        <v>1678</v>
      </c>
      <c r="D47" s="255" t="e">
        <f>'Report-SOF2324-SB1'!D39</f>
        <v>#DIV/0!</v>
      </c>
    </row>
    <row r="48" spans="1:4" s="247" customFormat="1" ht="15.5">
      <c r="A48" s="1780" t="s">
        <v>10769</v>
      </c>
      <c r="B48" s="1781"/>
      <c r="C48" s="1781"/>
      <c r="D48" s="1782"/>
    </row>
    <row r="49" spans="1:4" s="247" customFormat="1" ht="15.5">
      <c r="A49" s="251" t="s">
        <v>2644</v>
      </c>
      <c r="B49" s="279">
        <f>'Weights-HB3'!K49</f>
        <v>0.1</v>
      </c>
      <c r="C49" s="256">
        <f>'Data Entry - SOF'!G46</f>
        <v>0</v>
      </c>
      <c r="D49" s="255" t="e">
        <f>'Report-SOF2324-SB1'!D40</f>
        <v>#DIV/0!</v>
      </c>
    </row>
    <row r="50" spans="1:4" s="247" customFormat="1" ht="15.5">
      <c r="A50" s="1780" t="s">
        <v>10770</v>
      </c>
      <c r="B50" s="1781"/>
      <c r="C50" s="1781"/>
      <c r="D50" s="1782"/>
    </row>
    <row r="51" spans="1:4" s="247" customFormat="1" ht="15.5">
      <c r="A51" s="1731" t="s">
        <v>7628</v>
      </c>
      <c r="B51" s="1747">
        <f>'Weights-HB3'!K74</f>
        <v>0.1</v>
      </c>
      <c r="C51" s="1748">
        <f>'Data Entry - SOF'!G45</f>
        <v>0</v>
      </c>
      <c r="D51" s="1735" t="e">
        <f>'Report-SOF2324-SB1'!D41</f>
        <v>#DIV/0!</v>
      </c>
    </row>
    <row r="52" spans="1:4" s="247" customFormat="1" ht="15.5">
      <c r="A52" s="1780" t="s">
        <v>10771</v>
      </c>
      <c r="B52" s="1781"/>
      <c r="C52" s="1781"/>
      <c r="D52" s="1782"/>
    </row>
    <row r="53" spans="1:4" s="247" customFormat="1" ht="15.5">
      <c r="A53" s="251" t="s">
        <v>10772</v>
      </c>
      <c r="B53" s="279">
        <v>7.0000000000000007E-2</v>
      </c>
      <c r="C53" s="256">
        <f>'Data Entry - SOF'!G44</f>
        <v>0</v>
      </c>
      <c r="D53" s="255" t="e">
        <f>B53*C53*Assumptions!H154</f>
        <v>#DIV/0!</v>
      </c>
    </row>
    <row r="54" spans="1:4" s="247" customFormat="1" ht="15.5">
      <c r="A54" s="251" t="s">
        <v>10773</v>
      </c>
      <c r="B54" s="279">
        <v>7.0000000000000007E-2</v>
      </c>
      <c r="C54" s="256">
        <f>'Data Entry - SOF'!G189</f>
        <v>0</v>
      </c>
      <c r="D54" s="255" t="e">
        <f>'SOF2324-HB3'!I33</f>
        <v>#DIV/0!</v>
      </c>
    </row>
    <row r="55" spans="1:4" s="247" customFormat="1" ht="15.5">
      <c r="A55" s="2745" t="s">
        <v>10774</v>
      </c>
      <c r="B55" s="273" t="s">
        <v>1678</v>
      </c>
      <c r="C55" s="273" t="s">
        <v>1678</v>
      </c>
      <c r="D55" s="2440" t="e">
        <f>D54</f>
        <v>#DIV/0!</v>
      </c>
    </row>
    <row r="56" spans="1:4" s="247" customFormat="1" ht="15.5">
      <c r="A56" s="2747" t="s">
        <v>10775</v>
      </c>
      <c r="B56" s="2755" t="s">
        <v>1678</v>
      </c>
      <c r="C56" s="2755" t="s">
        <v>1678</v>
      </c>
      <c r="D56" s="2751">
        <f>'SOF2324-HB3'!I34</f>
        <v>0</v>
      </c>
    </row>
    <row r="57" spans="1:4" s="247" customFormat="1" ht="15.5">
      <c r="A57" s="2126" t="s">
        <v>2638</v>
      </c>
      <c r="B57" s="2752"/>
      <c r="C57" s="2752"/>
      <c r="D57" s="2753"/>
    </row>
    <row r="58" spans="1:4" ht="15.5">
      <c r="A58" s="2429" t="s">
        <v>10777</v>
      </c>
      <c r="B58" s="273" t="s">
        <v>1678</v>
      </c>
      <c r="C58" s="273" t="s">
        <v>1678</v>
      </c>
      <c r="D58" s="2440" t="e">
        <f>'Report-SOF2324-SB1'!D42</f>
        <v>#DIV/0!</v>
      </c>
    </row>
    <row r="59" spans="1:4" ht="15.5">
      <c r="A59" s="1780" t="s">
        <v>10778</v>
      </c>
      <c r="B59" s="1781"/>
      <c r="C59" s="1781"/>
      <c r="D59" s="1782"/>
    </row>
    <row r="60" spans="1:4" s="247" customFormat="1" ht="15.5">
      <c r="A60" s="1731" t="s">
        <v>8221</v>
      </c>
      <c r="B60" s="2756">
        <f>'Weights-HB3'!K113</f>
        <v>5000</v>
      </c>
      <c r="C60" s="1748">
        <f>'Data Entry - SOF'!G57</f>
        <v>0</v>
      </c>
      <c r="D60" s="1735">
        <f>B60*C60</f>
        <v>0</v>
      </c>
    </row>
    <row r="61" spans="1:4" s="247" customFormat="1" ht="15.5">
      <c r="A61" s="1731" t="s">
        <v>8222</v>
      </c>
      <c r="B61" s="2756">
        <f>'Weights-HB3'!K114</f>
        <v>3000</v>
      </c>
      <c r="C61" s="1748">
        <f>'Data Entry - SOF'!G58</f>
        <v>0</v>
      </c>
      <c r="D61" s="1735">
        <f t="shared" ref="D61:D62" si="0">B61*C61</f>
        <v>0</v>
      </c>
    </row>
    <row r="62" spans="1:4" s="247" customFormat="1" ht="15.5">
      <c r="A62" s="1731" t="s">
        <v>8224</v>
      </c>
      <c r="B62" s="2756">
        <f>'Weights-HB3'!K115</f>
        <v>2000</v>
      </c>
      <c r="C62" s="1748">
        <f>'Data Entry - SOF'!G59</f>
        <v>0</v>
      </c>
      <c r="D62" s="1735">
        <f t="shared" si="0"/>
        <v>0</v>
      </c>
    </row>
    <row r="63" spans="1:4" s="247" customFormat="1" ht="15.5">
      <c r="A63" s="1731" t="s">
        <v>8223</v>
      </c>
      <c r="B63" s="273" t="s">
        <v>1678</v>
      </c>
      <c r="C63" s="273" t="s">
        <v>1678</v>
      </c>
      <c r="D63" s="1735">
        <f>'Report-SOF2324-SB1'!D43</f>
        <v>0</v>
      </c>
    </row>
    <row r="64" spans="1:4" s="247" customFormat="1" ht="15.5">
      <c r="A64" s="1780" t="s">
        <v>10779</v>
      </c>
      <c r="B64" s="1781"/>
      <c r="C64" s="1781"/>
      <c r="D64" s="1782"/>
    </row>
    <row r="65" spans="1:4" ht="15.5">
      <c r="A65" s="251" t="s">
        <v>2633</v>
      </c>
      <c r="B65" s="313">
        <f>'Weights-HB3'!K68</f>
        <v>9.7200000000000006</v>
      </c>
      <c r="C65" s="256">
        <f>'Report-SOF2324-SB1'!D10</f>
        <v>0</v>
      </c>
      <c r="D65" s="255">
        <f>'Report-SOF2324-SB1'!D47</f>
        <v>0</v>
      </c>
    </row>
    <row r="66" spans="1:4" ht="15.5">
      <c r="A66" s="1780" t="s">
        <v>10780</v>
      </c>
      <c r="B66" s="1781"/>
      <c r="C66" s="1781"/>
      <c r="D66" s="1782"/>
    </row>
    <row r="67" spans="1:4" ht="15.5">
      <c r="A67" s="251" t="s">
        <v>2633</v>
      </c>
      <c r="B67" s="313">
        <f>'Weights-HB3'!K47</f>
        <v>946.9</v>
      </c>
      <c r="C67" s="256">
        <f>'Data Entry - SOF'!G47</f>
        <v>0</v>
      </c>
      <c r="D67" s="255">
        <f>'Report-SOF2324-SB1'!D50</f>
        <v>0</v>
      </c>
    </row>
    <row r="68" spans="1:4" ht="15.5">
      <c r="A68" s="1780" t="s">
        <v>10781</v>
      </c>
      <c r="B68" s="1781"/>
      <c r="C68" s="1781"/>
      <c r="D68" s="1782"/>
    </row>
    <row r="69" spans="1:4" ht="15.5">
      <c r="A69" s="1731" t="s">
        <v>10782</v>
      </c>
      <c r="B69" s="2756">
        <f>'Weights-HB3'!K125</f>
        <v>275</v>
      </c>
      <c r="C69" s="1748">
        <f>'Data Entry - SOF'!G48</f>
        <v>0</v>
      </c>
      <c r="D69" s="1735">
        <f>B69*C69</f>
        <v>0</v>
      </c>
    </row>
    <row r="70" spans="1:4" ht="15.5">
      <c r="A70" s="1731" t="s">
        <v>10783</v>
      </c>
      <c r="B70" s="2756">
        <f>B69</f>
        <v>275</v>
      </c>
      <c r="C70" s="1748" t="s">
        <v>10786</v>
      </c>
      <c r="D70" s="1748" t="s">
        <v>10786</v>
      </c>
    </row>
    <row r="71" spans="1:4" ht="15.5">
      <c r="A71" s="1731" t="s">
        <v>10784</v>
      </c>
      <c r="B71" s="273" t="s">
        <v>1678</v>
      </c>
      <c r="C71" s="273" t="s">
        <v>1678</v>
      </c>
      <c r="D71" s="1735">
        <f>'Report-SOF2324-SB1'!D51</f>
        <v>0</v>
      </c>
    </row>
    <row r="72" spans="1:4" ht="15.5">
      <c r="C72" s="320" t="s">
        <v>2709</v>
      </c>
      <c r="D72" s="635" t="s">
        <v>10472</v>
      </c>
    </row>
  </sheetData>
  <hyperlinks>
    <hyperlink ref="D72" location="'Report-SOF2324-SB1'!A1" display="'Report-SOF2324-SB1'!A1"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66FF33"/>
  </sheetPr>
  <dimension ref="A1:D72"/>
  <sheetViews>
    <sheetView workbookViewId="0">
      <selection activeCell="D1" sqref="D1"/>
    </sheetView>
  </sheetViews>
  <sheetFormatPr defaultRowHeight="12.5"/>
  <cols>
    <col min="1" max="1" width="69.90625" customWidth="1"/>
    <col min="2" max="2" width="19.81640625" customWidth="1"/>
    <col min="3" max="3" width="24.453125" customWidth="1"/>
    <col min="4" max="4" width="26.54296875" customWidth="1"/>
  </cols>
  <sheetData>
    <row r="1" spans="1:4" ht="13">
      <c r="A1" s="245" t="s">
        <v>2716</v>
      </c>
      <c r="D1" s="1791" t="str">
        <f>'T1Detail2324-HB3'!D1</f>
        <v>Release 2</v>
      </c>
    </row>
    <row r="2" spans="1:4" ht="13">
      <c r="A2" s="245" t="s">
        <v>2717</v>
      </c>
      <c r="D2" s="1803">
        <f>'T1Detail2324-HB3'!D2</f>
        <v>44930</v>
      </c>
    </row>
    <row r="3" spans="1:4" ht="13">
      <c r="A3" s="52"/>
      <c r="D3" s="47"/>
    </row>
    <row r="4" spans="1:4" ht="15.5">
      <c r="A4" s="246" t="s">
        <v>8533</v>
      </c>
    </row>
    <row r="5" spans="1:4" ht="15.5">
      <c r="A5" s="248" t="str">
        <f>'Data Entry - SOF'!B1</f>
        <v xml:space="preserve"> </v>
      </c>
    </row>
    <row r="6" spans="1:4" ht="15.5">
      <c r="A6" s="246">
        <f>'Data Entry - SOF'!B2</f>
        <v>0</v>
      </c>
    </row>
    <row r="8" spans="1:4" ht="18">
      <c r="A8" s="1792"/>
      <c r="B8" s="1793"/>
      <c r="C8" s="1794" t="s">
        <v>2640</v>
      </c>
      <c r="D8" s="1795"/>
    </row>
    <row r="9" spans="1:4" ht="18">
      <c r="A9" s="1796" t="s">
        <v>2632</v>
      </c>
      <c r="B9" s="1797" t="s">
        <v>2609</v>
      </c>
      <c r="C9" s="1796" t="s">
        <v>2641</v>
      </c>
      <c r="D9" s="1776" t="s">
        <v>2633</v>
      </c>
    </row>
    <row r="10" spans="1:4" s="247" customFormat="1" ht="15.5">
      <c r="A10" s="1780" t="s">
        <v>2634</v>
      </c>
      <c r="B10" s="1781"/>
      <c r="C10" s="1781"/>
      <c r="D10" s="1782"/>
    </row>
    <row r="11" spans="1:4" s="247" customFormat="1" ht="15.5">
      <c r="A11" s="251" t="s">
        <v>8217</v>
      </c>
      <c r="B11" s="254">
        <f>Weights!K4</f>
        <v>1</v>
      </c>
      <c r="C11" s="256">
        <f>'Report-SOF2425-SB1'!D11</f>
        <v>0</v>
      </c>
      <c r="D11" s="255" t="e">
        <f>'Report-SOF2425-SB1'!D33</f>
        <v>#DIV/0!</v>
      </c>
    </row>
    <row r="12" spans="1:4" s="247" customFormat="1" ht="15.5">
      <c r="A12" s="1780" t="s">
        <v>10756</v>
      </c>
      <c r="B12" s="1781"/>
      <c r="C12" s="1781"/>
      <c r="D12" s="1782"/>
    </row>
    <row r="13" spans="1:4" s="247" customFormat="1" ht="15.5">
      <c r="A13" s="2740" t="s">
        <v>2633</v>
      </c>
      <c r="B13" s="2741"/>
      <c r="C13" s="2742"/>
      <c r="D13" s="2743"/>
    </row>
    <row r="14" spans="1:4" s="247" customFormat="1" ht="15.5">
      <c r="A14" s="1780" t="s">
        <v>10757</v>
      </c>
      <c r="B14" s="1781"/>
      <c r="C14" s="1781"/>
      <c r="D14" s="1782"/>
    </row>
    <row r="15" spans="1:4" s="247" customFormat="1" ht="15.5">
      <c r="A15" s="251" t="s">
        <v>8216</v>
      </c>
      <c r="B15" s="273" t="s">
        <v>1678</v>
      </c>
      <c r="C15" s="256">
        <f>'Calc Data'!G8</f>
        <v>0</v>
      </c>
      <c r="D15" s="255" t="e">
        <f>'SOF2425-HB3'!I22</f>
        <v>#DIV/0!</v>
      </c>
    </row>
    <row r="16" spans="1:4" s="247" customFormat="1" ht="15.5">
      <c r="A16" s="251" t="s">
        <v>2636</v>
      </c>
      <c r="B16" s="276">
        <f>'Weights-HB3'!L18</f>
        <v>1.1499999999999999</v>
      </c>
      <c r="C16" s="256">
        <f>'Data Entry - SOF'!I32</f>
        <v>0</v>
      </c>
      <c r="D16" s="255">
        <f>'SOF2425-HB3'!I24</f>
        <v>0</v>
      </c>
    </row>
    <row r="17" spans="1:4" s="247" customFormat="1" ht="15.5">
      <c r="A17" s="251" t="s">
        <v>2637</v>
      </c>
      <c r="B17" s="276">
        <f>'Weights-HB3'!L16</f>
        <v>4</v>
      </c>
      <c r="C17" s="256">
        <f>'Data Entry - SOF'!I31</f>
        <v>0</v>
      </c>
      <c r="D17" s="255">
        <f>'SOF2425-HB3'!I25</f>
        <v>0</v>
      </c>
    </row>
    <row r="18" spans="1:4" s="247" customFormat="1" ht="15.5">
      <c r="A18" s="251" t="s">
        <v>2619</v>
      </c>
      <c r="B18" s="276">
        <f>'Weights-HB3'!L14</f>
        <v>2.8</v>
      </c>
      <c r="C18" s="256">
        <f>'Data Entry - SOF'!I29</f>
        <v>0</v>
      </c>
      <c r="D18" s="255">
        <f>'SOF2425-HB3'!I26</f>
        <v>0</v>
      </c>
    </row>
    <row r="19" spans="1:4" s="247" customFormat="1" ht="15.5">
      <c r="A19" s="251" t="s">
        <v>2622</v>
      </c>
      <c r="B19" s="276">
        <f>'Weights-HB3'!L15</f>
        <v>1.7</v>
      </c>
      <c r="C19" s="256">
        <f>'Data Entry - SOF'!I30</f>
        <v>0</v>
      </c>
      <c r="D19" s="255">
        <f>'SOF2425-HB3'!I27</f>
        <v>0</v>
      </c>
    </row>
    <row r="20" spans="1:4" s="247" customFormat="1" ht="15.5">
      <c r="A20" s="266" t="s">
        <v>10776</v>
      </c>
      <c r="B20" s="278" t="s">
        <v>1678</v>
      </c>
      <c r="C20" s="273" t="s">
        <v>1678</v>
      </c>
      <c r="D20" s="277">
        <f>'SOF2425-HB3'!I28</f>
        <v>0</v>
      </c>
    </row>
    <row r="21" spans="1:4" s="247" customFormat="1" ht="15.5">
      <c r="A21" s="251" t="s">
        <v>2639</v>
      </c>
      <c r="B21" s="273" t="s">
        <v>1678</v>
      </c>
      <c r="C21" s="273" t="s">
        <v>1678</v>
      </c>
      <c r="D21" s="255" t="e">
        <f>'Report-SOF2425-SB1'!D35</f>
        <v>#DIV/0!</v>
      </c>
    </row>
    <row r="22" spans="1:4" ht="15.5">
      <c r="A22" s="1780" t="s">
        <v>10758</v>
      </c>
      <c r="B22" s="1781"/>
      <c r="C22" s="1781"/>
      <c r="D22" s="1782"/>
    </row>
    <row r="23" spans="1:4" ht="15.5">
      <c r="A23" s="1731" t="s">
        <v>7436</v>
      </c>
      <c r="B23" s="1747">
        <f>'Weights-HB3'!L72</f>
        <v>0.1</v>
      </c>
      <c r="C23" s="1748">
        <f>'Data Entry - SOF'!I60</f>
        <v>0</v>
      </c>
      <c r="D23" s="1735" t="e">
        <f>'Report-SOF2425-SB1'!D36</f>
        <v>#DIV/0!</v>
      </c>
    </row>
    <row r="24" spans="1:4" ht="15.5">
      <c r="A24" s="1780" t="s">
        <v>10759</v>
      </c>
      <c r="B24" s="1781"/>
      <c r="C24" s="1781"/>
      <c r="D24" s="1782"/>
    </row>
    <row r="25" spans="1:4" s="247" customFormat="1" ht="15.5">
      <c r="A25" s="251" t="s">
        <v>8209</v>
      </c>
      <c r="B25" s="279"/>
      <c r="C25" s="256"/>
      <c r="D25" s="255"/>
    </row>
    <row r="26" spans="1:4" ht="15.5">
      <c r="A26" s="1731" t="s">
        <v>8210</v>
      </c>
      <c r="B26" s="1746">
        <f>'Weights-HB3'!L34</f>
        <v>0.2</v>
      </c>
      <c r="C26" s="1732">
        <f>'Data Entry - SOF'!I49</f>
        <v>0</v>
      </c>
      <c r="D26" s="1735" t="e">
        <f>'SOF2425-HB3'!I36</f>
        <v>#DIV/0!</v>
      </c>
    </row>
    <row r="27" spans="1:4" ht="15.5">
      <c r="A27" s="1731" t="s">
        <v>8211</v>
      </c>
      <c r="B27" s="1746">
        <f>'Weights-HB3'!L36</f>
        <v>0.22500000000000001</v>
      </c>
      <c r="C27" s="1732">
        <f>'Data Entry - SOF'!I51</f>
        <v>0</v>
      </c>
      <c r="D27" s="1735" t="e">
        <f>'SOF2425-HB3'!I37</f>
        <v>#DIV/0!</v>
      </c>
    </row>
    <row r="28" spans="1:4" s="247" customFormat="1" ht="15.5">
      <c r="A28" s="1731" t="s">
        <v>8212</v>
      </c>
      <c r="B28" s="1746">
        <f>'Weights-HB3'!L37</f>
        <v>0.23749999999999999</v>
      </c>
      <c r="C28" s="1732">
        <f>'Data Entry - SOF'!I52</f>
        <v>0</v>
      </c>
      <c r="D28" s="1735" t="e">
        <f>'SOF2425-HB3'!I38</f>
        <v>#DIV/0!</v>
      </c>
    </row>
    <row r="29" spans="1:4" ht="15.5">
      <c r="A29" s="1731" t="s">
        <v>8213</v>
      </c>
      <c r="B29" s="1746">
        <f>'Weights-HB3'!L38</f>
        <v>0.25</v>
      </c>
      <c r="C29" s="1732">
        <f>'Data Entry - SOF'!I53</f>
        <v>0</v>
      </c>
      <c r="D29" s="1735" t="e">
        <f>'SOF2425-HB3'!I39</f>
        <v>#DIV/0!</v>
      </c>
    </row>
    <row r="30" spans="1:4" ht="15.5">
      <c r="A30" s="1731" t="s">
        <v>8214</v>
      </c>
      <c r="B30" s="1746">
        <f>'Weights-HB3'!L39</f>
        <v>0.26250000000000001</v>
      </c>
      <c r="C30" s="1732">
        <f>'Data Entry - SOF'!I54</f>
        <v>0</v>
      </c>
      <c r="D30" s="1735" t="e">
        <f>'SOF2425-HB3'!I40</f>
        <v>#DIV/0!</v>
      </c>
    </row>
    <row r="31" spans="1:4" ht="15.5">
      <c r="A31" s="1731" t="s">
        <v>8215</v>
      </c>
      <c r="B31" s="1746">
        <f>'Weights-HB3'!L40</f>
        <v>0.27500000000000002</v>
      </c>
      <c r="C31" s="1732">
        <f>'Data Entry - SOF'!I55</f>
        <v>0</v>
      </c>
      <c r="D31" s="1735" t="e">
        <f>'SOF2425-HB3'!I41</f>
        <v>#DIV/0!</v>
      </c>
    </row>
    <row r="32" spans="1:4" ht="15.5">
      <c r="A32" s="251" t="s">
        <v>2731</v>
      </c>
      <c r="B32" s="1746">
        <f>'Weights-HB3'!L43</f>
        <v>2.41</v>
      </c>
      <c r="C32" s="1732">
        <f>'Data Entry - SOF'!I33</f>
        <v>0</v>
      </c>
      <c r="D32" s="1735" t="e">
        <f>'SOF2425-HB3'!I42</f>
        <v>#DIV/0!</v>
      </c>
    </row>
    <row r="33" spans="1:4" ht="15.5">
      <c r="A33" s="251" t="s">
        <v>2732</v>
      </c>
      <c r="B33" s="273" t="s">
        <v>1678</v>
      </c>
      <c r="C33" s="273" t="s">
        <v>1678</v>
      </c>
      <c r="D33" s="255" t="e">
        <f>'Report-SOF2425-SB1'!D37</f>
        <v>#DIV/0!</v>
      </c>
    </row>
    <row r="34" spans="1:4" ht="15.5">
      <c r="A34" s="1780" t="s">
        <v>10760</v>
      </c>
      <c r="B34" s="1781"/>
      <c r="C34" s="1781"/>
      <c r="D34" s="1782"/>
    </row>
    <row r="35" spans="1:4" ht="15.5">
      <c r="A35" s="251" t="s">
        <v>8218</v>
      </c>
      <c r="B35" s="1745">
        <f>'Weights-HB3'!L26</f>
        <v>0.1</v>
      </c>
      <c r="C35" s="256">
        <f>'Data Entry - SOF'!I41</f>
        <v>0</v>
      </c>
      <c r="D35" s="255" t="e">
        <f>'SOF2425-HB3'!I43</f>
        <v>#DIV/0!</v>
      </c>
    </row>
    <row r="36" spans="1:4" ht="15.5">
      <c r="A36" s="1731" t="s">
        <v>8219</v>
      </c>
      <c r="B36" s="1745">
        <f>'Weights-HB3'!L27</f>
        <v>0.15</v>
      </c>
      <c r="C36" s="256">
        <f>'Data Entry - SOF'!I42</f>
        <v>0</v>
      </c>
      <c r="D36" s="255" t="e">
        <f>'SOF2425-HB3'!I44</f>
        <v>#DIV/0!</v>
      </c>
    </row>
    <row r="37" spans="1:4" ht="15.5">
      <c r="A37" s="1731" t="s">
        <v>8220</v>
      </c>
      <c r="B37" s="1745">
        <f>'Weights-HB3'!L28</f>
        <v>0.05</v>
      </c>
      <c r="C37" s="256">
        <f>'Data Entry - SOF'!I43</f>
        <v>0</v>
      </c>
      <c r="D37" s="255" t="e">
        <f>'SOF2425-HB3'!I45</f>
        <v>#DIV/0!</v>
      </c>
    </row>
    <row r="38" spans="1:4" ht="15.5">
      <c r="A38" s="1731" t="s">
        <v>2643</v>
      </c>
      <c r="B38" s="273" t="s">
        <v>1678</v>
      </c>
      <c r="C38" s="273" t="s">
        <v>1678</v>
      </c>
      <c r="D38" s="1735" t="e">
        <f>'Report-SOF2425-SB1'!D38</f>
        <v>#DIV/0!</v>
      </c>
    </row>
    <row r="39" spans="1:4" s="247" customFormat="1" ht="15.5">
      <c r="A39" s="1780" t="s">
        <v>10761</v>
      </c>
      <c r="B39" s="1781"/>
      <c r="C39" s="1781"/>
      <c r="D39" s="1782"/>
    </row>
    <row r="40" spans="1:4" s="247" customFormat="1" ht="15.5">
      <c r="A40" s="251" t="s">
        <v>10762</v>
      </c>
      <c r="B40" s="1745">
        <f>'Weights-HB3'!L21</f>
        <v>1.1000000000000001</v>
      </c>
      <c r="C40" s="256">
        <f>'Data Entry - SOF'!I36</f>
        <v>0</v>
      </c>
      <c r="D40" s="255" t="e">
        <f>'SOF2425-HB3'!I29</f>
        <v>#DIV/0!</v>
      </c>
    </row>
    <row r="41" spans="1:4" s="247" customFormat="1" ht="15.5">
      <c r="A41" s="2747" t="s">
        <v>10763</v>
      </c>
      <c r="B41" s="2749">
        <f>'Weights-HB3'!L22</f>
        <v>1.28</v>
      </c>
      <c r="C41" s="2750">
        <f>'Data Entry - SOF'!I37</f>
        <v>0</v>
      </c>
      <c r="D41" s="2751" t="e">
        <f>'SOF2425-HB3'!I30</f>
        <v>#DIV/0!</v>
      </c>
    </row>
    <row r="42" spans="1:4" s="247" customFormat="1" ht="15.5">
      <c r="A42" s="2746" t="s">
        <v>10764</v>
      </c>
      <c r="B42" s="2132"/>
      <c r="C42" s="2748"/>
      <c r="D42" s="2132"/>
    </row>
    <row r="43" spans="1:4" s="247" customFormat="1" ht="15.5">
      <c r="A43" s="2747" t="s">
        <v>10763</v>
      </c>
      <c r="B43" s="2749">
        <f>'Weights-HB3'!L23</f>
        <v>1.47</v>
      </c>
      <c r="C43" s="2750">
        <f>'Data Entry - SOF'!I38</f>
        <v>0</v>
      </c>
      <c r="D43" s="2751" t="e">
        <f>'SOF2425-HB3'!I31</f>
        <v>#DIV/0!</v>
      </c>
    </row>
    <row r="44" spans="1:4" s="247" customFormat="1" ht="15.5">
      <c r="A44" s="2746" t="s">
        <v>10765</v>
      </c>
      <c r="B44" s="2132"/>
      <c r="C44" s="2748"/>
      <c r="D44" s="2132"/>
    </row>
    <row r="45" spans="1:4" s="247" customFormat="1" ht="15.5">
      <c r="A45" s="2745" t="s">
        <v>10766</v>
      </c>
      <c r="B45" s="1735">
        <f>'Weights-HB3'!L24</f>
        <v>50</v>
      </c>
      <c r="C45" s="2744">
        <f>'Data Entry - SOF'!I39</f>
        <v>0</v>
      </c>
      <c r="D45" s="2754">
        <f>ROUND('Weights-HB3'!L24*C45,0)</f>
        <v>0</v>
      </c>
    </row>
    <row r="46" spans="1:4" s="247" customFormat="1" ht="15.5">
      <c r="A46" s="2745" t="s">
        <v>10767</v>
      </c>
      <c r="B46" s="2440">
        <f>B45</f>
        <v>50</v>
      </c>
      <c r="C46" s="2744">
        <f>'Data Entry - SOF'!I40</f>
        <v>0</v>
      </c>
      <c r="D46" s="2754">
        <f>ROUND('Weights-HB3'!L24*C46,0)</f>
        <v>0</v>
      </c>
    </row>
    <row r="47" spans="1:4" s="247" customFormat="1" ht="15.5">
      <c r="A47" s="251" t="s">
        <v>10768</v>
      </c>
      <c r="B47" s="273" t="s">
        <v>1678</v>
      </c>
      <c r="C47" s="273" t="s">
        <v>1678</v>
      </c>
      <c r="D47" s="255" t="e">
        <f>'Report-SOF2425-SB1'!D39</f>
        <v>#DIV/0!</v>
      </c>
    </row>
    <row r="48" spans="1:4" s="247" customFormat="1" ht="15.5">
      <c r="A48" s="1780" t="s">
        <v>10769</v>
      </c>
      <c r="B48" s="1781"/>
      <c r="C48" s="1781"/>
      <c r="D48" s="1782"/>
    </row>
    <row r="49" spans="1:4" s="247" customFormat="1" ht="15.5">
      <c r="A49" s="251" t="s">
        <v>2644</v>
      </c>
      <c r="B49" s="279">
        <f>'Weights-HB3'!L49</f>
        <v>0.1</v>
      </c>
      <c r="C49" s="256">
        <f>'Data Entry - SOF'!I46</f>
        <v>0</v>
      </c>
      <c r="D49" s="255" t="e">
        <f>'Report-SOF2425-SB1'!D40</f>
        <v>#DIV/0!</v>
      </c>
    </row>
    <row r="50" spans="1:4" s="247" customFormat="1" ht="15.5">
      <c r="A50" s="1780" t="s">
        <v>10770</v>
      </c>
      <c r="B50" s="1781"/>
      <c r="C50" s="1781"/>
      <c r="D50" s="1782"/>
    </row>
    <row r="51" spans="1:4" s="247" customFormat="1" ht="15.5">
      <c r="A51" s="1731" t="s">
        <v>7628</v>
      </c>
      <c r="B51" s="1747">
        <f>'Weights-HB3'!L74</f>
        <v>0.1</v>
      </c>
      <c r="C51" s="1748">
        <f>'Data Entry - SOF'!I45</f>
        <v>0</v>
      </c>
      <c r="D51" s="1735" t="e">
        <f>'Report-SOF2425-SB1'!D41</f>
        <v>#DIV/0!</v>
      </c>
    </row>
    <row r="52" spans="1:4" s="247" customFormat="1" ht="15.5">
      <c r="A52" s="1780" t="s">
        <v>10771</v>
      </c>
      <c r="B52" s="1781"/>
      <c r="C52" s="1781"/>
      <c r="D52" s="1782"/>
    </row>
    <row r="53" spans="1:4" s="247" customFormat="1" ht="15.5">
      <c r="A53" s="251" t="s">
        <v>10772</v>
      </c>
      <c r="B53" s="279">
        <v>7.0000000000000007E-2</v>
      </c>
      <c r="C53" s="256">
        <f>'Data Entry - SOF'!I44</f>
        <v>0</v>
      </c>
      <c r="D53" s="255" t="e">
        <f>B53*C53*Assumptions!H163</f>
        <v>#DIV/0!</v>
      </c>
    </row>
    <row r="54" spans="1:4" s="247" customFormat="1" ht="15.5">
      <c r="A54" s="251" t="s">
        <v>10773</v>
      </c>
      <c r="B54" s="279">
        <v>7.0000000000000007E-2</v>
      </c>
      <c r="C54" s="256">
        <f>'Data Entry - SOF'!I189</f>
        <v>0</v>
      </c>
      <c r="D54" s="255" t="e">
        <f>'SOF2425-HB3'!I33</f>
        <v>#DIV/0!</v>
      </c>
    </row>
    <row r="55" spans="1:4" s="247" customFormat="1" ht="15.5">
      <c r="A55" s="2745" t="s">
        <v>10774</v>
      </c>
      <c r="B55" s="273" t="s">
        <v>1678</v>
      </c>
      <c r="C55" s="273" t="s">
        <v>1678</v>
      </c>
      <c r="D55" s="2440" t="e">
        <f>D54</f>
        <v>#DIV/0!</v>
      </c>
    </row>
    <row r="56" spans="1:4" s="247" customFormat="1" ht="15.5">
      <c r="A56" s="2747" t="s">
        <v>10775</v>
      </c>
      <c r="B56" s="2755" t="s">
        <v>1678</v>
      </c>
      <c r="C56" s="2755" t="s">
        <v>1678</v>
      </c>
      <c r="D56" s="2751">
        <f>'SOF2425-HB3'!I34</f>
        <v>0</v>
      </c>
    </row>
    <row r="57" spans="1:4" s="247" customFormat="1" ht="15.5">
      <c r="A57" s="2126" t="s">
        <v>2638</v>
      </c>
      <c r="B57" s="2752"/>
      <c r="C57" s="2752"/>
      <c r="D57" s="2753"/>
    </row>
    <row r="58" spans="1:4" ht="15.5">
      <c r="A58" s="2429" t="s">
        <v>10777</v>
      </c>
      <c r="B58" s="273" t="s">
        <v>1678</v>
      </c>
      <c r="C58" s="273" t="s">
        <v>1678</v>
      </c>
      <c r="D58" s="2440" t="e">
        <f>'Report-SOF2425-SB1'!D42</f>
        <v>#DIV/0!</v>
      </c>
    </row>
    <row r="59" spans="1:4" ht="15.5">
      <c r="A59" s="1780" t="s">
        <v>10778</v>
      </c>
      <c r="B59" s="1781"/>
      <c r="C59" s="1781"/>
      <c r="D59" s="1782"/>
    </row>
    <row r="60" spans="1:4" s="247" customFormat="1" ht="15.5">
      <c r="A60" s="1731" t="s">
        <v>8221</v>
      </c>
      <c r="B60" s="2756">
        <f>'Weights-HB3'!L113</f>
        <v>5000</v>
      </c>
      <c r="C60" s="1748">
        <f>'Data Entry - SOF'!I57</f>
        <v>0</v>
      </c>
      <c r="D60" s="1735">
        <f>B60*C60</f>
        <v>0</v>
      </c>
    </row>
    <row r="61" spans="1:4" s="247" customFormat="1" ht="15.5">
      <c r="A61" s="1731" t="s">
        <v>8222</v>
      </c>
      <c r="B61" s="2756">
        <f>'Weights-HB3'!L114</f>
        <v>3000</v>
      </c>
      <c r="C61" s="1748">
        <f>'Data Entry - SOF'!I58</f>
        <v>0</v>
      </c>
      <c r="D61" s="1735">
        <f t="shared" ref="D61:D62" si="0">B61*C61</f>
        <v>0</v>
      </c>
    </row>
    <row r="62" spans="1:4" s="247" customFormat="1" ht="15.5">
      <c r="A62" s="1731" t="s">
        <v>8224</v>
      </c>
      <c r="B62" s="2756">
        <f>'Weights-HB3'!L115</f>
        <v>2000</v>
      </c>
      <c r="C62" s="1748">
        <f>'Data Entry - SOF'!I59</f>
        <v>0</v>
      </c>
      <c r="D62" s="1735">
        <f t="shared" si="0"/>
        <v>0</v>
      </c>
    </row>
    <row r="63" spans="1:4" s="247" customFormat="1" ht="15.5">
      <c r="A63" s="1731" t="s">
        <v>8223</v>
      </c>
      <c r="B63" s="273" t="s">
        <v>1678</v>
      </c>
      <c r="C63" s="273" t="s">
        <v>1678</v>
      </c>
      <c r="D63" s="1735">
        <f>'Report-SOF2425-SB1'!D43</f>
        <v>0</v>
      </c>
    </row>
    <row r="64" spans="1:4" s="247" customFormat="1" ht="15.5">
      <c r="A64" s="1780" t="s">
        <v>10779</v>
      </c>
      <c r="B64" s="1781"/>
      <c r="C64" s="1781"/>
      <c r="D64" s="1782"/>
    </row>
    <row r="65" spans="1:4" ht="15.5">
      <c r="A65" s="251" t="s">
        <v>2633</v>
      </c>
      <c r="B65" s="313">
        <f>'Weights-HB3'!L68</f>
        <v>9.7200000000000006</v>
      </c>
      <c r="C65" s="256">
        <f>'Report-SOF2425-SB1'!D10</f>
        <v>0</v>
      </c>
      <c r="D65" s="255">
        <f>'Report-SOF2425-SB1'!D47</f>
        <v>0</v>
      </c>
    </row>
    <row r="66" spans="1:4" ht="15.5">
      <c r="A66" s="1780" t="s">
        <v>10780</v>
      </c>
      <c r="B66" s="1781"/>
      <c r="C66" s="1781"/>
      <c r="D66" s="1782"/>
    </row>
    <row r="67" spans="1:4" ht="15.5">
      <c r="A67" s="251" t="s">
        <v>2633</v>
      </c>
      <c r="B67" s="313">
        <f>'Weights-HB3'!L47</f>
        <v>946.9</v>
      </c>
      <c r="C67" s="256">
        <f>'Data Entry - SOF'!I47</f>
        <v>0</v>
      </c>
      <c r="D67" s="255">
        <f>'Report-SOF2425-SB1'!D50</f>
        <v>0</v>
      </c>
    </row>
    <row r="68" spans="1:4" ht="15.5">
      <c r="A68" s="1780" t="s">
        <v>10781</v>
      </c>
      <c r="B68" s="1781"/>
      <c r="C68" s="1781"/>
      <c r="D68" s="1782"/>
    </row>
    <row r="69" spans="1:4" ht="15.5">
      <c r="A69" s="1731" t="s">
        <v>10782</v>
      </c>
      <c r="B69" s="2756">
        <f>'Weights-HB3'!L125</f>
        <v>275</v>
      </c>
      <c r="C69" s="1748">
        <f>'Data Entry - SOF'!I48</f>
        <v>0</v>
      </c>
      <c r="D69" s="1735">
        <f>B69*C69</f>
        <v>0</v>
      </c>
    </row>
    <row r="70" spans="1:4" ht="15.5">
      <c r="A70" s="1731" t="s">
        <v>10783</v>
      </c>
      <c r="B70" s="2756">
        <f>B69</f>
        <v>275</v>
      </c>
      <c r="C70" s="1748" t="s">
        <v>10786</v>
      </c>
      <c r="D70" s="1748" t="s">
        <v>10786</v>
      </c>
    </row>
    <row r="71" spans="1:4" ht="15.5">
      <c r="A71" s="1731" t="s">
        <v>10784</v>
      </c>
      <c r="B71" s="273" t="s">
        <v>1678</v>
      </c>
      <c r="C71" s="273" t="s">
        <v>1678</v>
      </c>
      <c r="D71" s="1735">
        <f>'Report-SOF2425-SB1'!D51</f>
        <v>0</v>
      </c>
    </row>
    <row r="72" spans="1:4" ht="15.5">
      <c r="C72" s="320" t="s">
        <v>2709</v>
      </c>
      <c r="D72" s="635" t="s">
        <v>10473</v>
      </c>
    </row>
  </sheetData>
  <hyperlinks>
    <hyperlink ref="D72" location="'Report-SOF2425-SB1'!A1" display="'Report-SOF2425-SB1'!A1" xr:uid="{00000000-0004-0000-4E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N186"/>
  <sheetViews>
    <sheetView topLeftCell="A2" workbookViewId="0">
      <selection activeCell="H150" sqref="H150"/>
    </sheetView>
  </sheetViews>
  <sheetFormatPr defaultRowHeight="13"/>
  <cols>
    <col min="1" max="1" width="32" style="52" customWidth="1"/>
    <col min="2" max="2" width="13" style="52" customWidth="1"/>
    <col min="3" max="3" width="15.54296875" style="52" hidden="1" customWidth="1"/>
    <col min="4" max="4" width="3.1796875" style="52" hidden="1" customWidth="1"/>
    <col min="5" max="5" width="15.54296875" style="52" hidden="1" customWidth="1"/>
    <col min="6" max="6" width="3.1796875" style="52" customWidth="1"/>
    <col min="7" max="7" width="18.54296875" style="52" hidden="1" customWidth="1"/>
    <col min="8" max="8" width="22" customWidth="1"/>
    <col min="9" max="9" width="21.453125" customWidth="1"/>
    <col min="10" max="10" width="0" hidden="1" customWidth="1"/>
    <col min="12" max="12" width="12.54296875" customWidth="1"/>
    <col min="13" max="13" width="29.81640625" customWidth="1"/>
    <col min="14" max="14" width="16.1796875" customWidth="1"/>
  </cols>
  <sheetData>
    <row r="1" spans="1:13">
      <c r="A1" s="52" t="s">
        <v>447</v>
      </c>
    </row>
    <row r="2" spans="1:13">
      <c r="G2" s="2397"/>
    </row>
    <row r="3" spans="1:13" hidden="1">
      <c r="A3" s="52" t="s">
        <v>839</v>
      </c>
      <c r="M3" s="372"/>
    </row>
    <row r="4" spans="1:13" hidden="1">
      <c r="A4" s="52" t="s">
        <v>1890</v>
      </c>
      <c r="M4" s="372"/>
    </row>
    <row r="5" spans="1:13" hidden="1">
      <c r="A5" s="52" t="s">
        <v>1891</v>
      </c>
      <c r="M5" s="372"/>
    </row>
    <row r="6" spans="1:13" hidden="1">
      <c r="A6" s="52" t="s">
        <v>653</v>
      </c>
      <c r="M6" s="372"/>
    </row>
    <row r="7" spans="1:13" hidden="1">
      <c r="A7" s="52" t="s">
        <v>142</v>
      </c>
      <c r="M7" s="372"/>
    </row>
    <row r="8" spans="1:13" hidden="1">
      <c r="A8" s="52" t="s">
        <v>143</v>
      </c>
      <c r="M8" s="372"/>
    </row>
    <row r="9" spans="1:13" hidden="1">
      <c r="M9" s="372"/>
    </row>
    <row r="10" spans="1:13" hidden="1">
      <c r="A10" s="52" t="s">
        <v>2148</v>
      </c>
      <c r="M10" s="372"/>
    </row>
    <row r="11" spans="1:13" hidden="1">
      <c r="M11" s="372"/>
    </row>
    <row r="12" spans="1:13" hidden="1">
      <c r="M12" s="372"/>
    </row>
    <row r="13" spans="1:13" hidden="1">
      <c r="A13" s="52" t="s">
        <v>106</v>
      </c>
      <c r="M13" s="372"/>
    </row>
    <row r="14" spans="1:13" hidden="1">
      <c r="A14" s="52" t="s">
        <v>107</v>
      </c>
      <c r="M14" s="372"/>
    </row>
    <row r="15" spans="1:13" hidden="1">
      <c r="M15" s="372"/>
    </row>
    <row r="16" spans="1:13" hidden="1">
      <c r="A16" s="44" t="s">
        <v>889</v>
      </c>
      <c r="C16" s="44" t="s">
        <v>850</v>
      </c>
      <c r="D16" s="43"/>
      <c r="E16" s="44" t="s">
        <v>2149</v>
      </c>
      <c r="F16" s="43"/>
      <c r="G16" s="44" t="s">
        <v>442</v>
      </c>
      <c r="M16" s="372"/>
    </row>
    <row r="17" spans="1:13" hidden="1">
      <c r="A17" s="52" t="s">
        <v>958</v>
      </c>
      <c r="C17" s="163">
        <v>3737</v>
      </c>
      <c r="D17" s="163"/>
      <c r="E17" s="163">
        <v>4800</v>
      </c>
      <c r="F17" s="163"/>
      <c r="G17" s="221">
        <v>4765</v>
      </c>
      <c r="M17" s="372"/>
    </row>
    <row r="18" spans="1:13" hidden="1">
      <c r="A18" s="52" t="s">
        <v>959</v>
      </c>
      <c r="C18" s="206">
        <v>43.46</v>
      </c>
      <c r="D18" s="206"/>
      <c r="E18" s="206">
        <v>59.02</v>
      </c>
      <c r="F18" s="206"/>
      <c r="G18" s="206"/>
      <c r="M18" s="372"/>
    </row>
    <row r="19" spans="1:13" hidden="1">
      <c r="A19" s="52" t="s">
        <v>960</v>
      </c>
      <c r="C19" s="206">
        <v>59.02</v>
      </c>
      <c r="D19" s="206"/>
      <c r="E19" s="206">
        <v>59.02</v>
      </c>
      <c r="F19" s="206"/>
      <c r="G19" s="206">
        <v>59.02</v>
      </c>
      <c r="M19" s="372"/>
    </row>
    <row r="20" spans="1:13" hidden="1">
      <c r="A20" s="52" t="s">
        <v>1797</v>
      </c>
      <c r="C20" s="206">
        <v>31.95</v>
      </c>
      <c r="D20" s="206"/>
      <c r="E20" s="206">
        <v>31.95</v>
      </c>
      <c r="F20" s="206"/>
      <c r="G20" s="206">
        <v>31.95</v>
      </c>
      <c r="M20" s="372"/>
    </row>
    <row r="21" spans="1:13" hidden="1">
      <c r="A21" s="52" t="s">
        <v>1795</v>
      </c>
      <c r="C21" s="163">
        <v>434600</v>
      </c>
      <c r="D21" s="163"/>
      <c r="E21" s="163">
        <v>480000</v>
      </c>
      <c r="F21" s="163"/>
      <c r="G21" s="163">
        <v>476500</v>
      </c>
      <c r="M21" s="372"/>
    </row>
    <row r="22" spans="1:13" hidden="1">
      <c r="A22" s="52" t="s">
        <v>1796</v>
      </c>
      <c r="C22" s="163">
        <v>319500</v>
      </c>
      <c r="D22" s="163"/>
      <c r="E22" s="163">
        <v>319500</v>
      </c>
      <c r="F22" s="163"/>
      <c r="G22" s="163">
        <v>319500</v>
      </c>
      <c r="M22" s="372"/>
    </row>
    <row r="23" spans="1:13" hidden="1">
      <c r="M23" s="372"/>
    </row>
    <row r="24" spans="1:13" hidden="1">
      <c r="M24" s="372"/>
    </row>
    <row r="25" spans="1:13" hidden="1">
      <c r="A25" s="44" t="s">
        <v>2075</v>
      </c>
      <c r="C25" s="44" t="s">
        <v>850</v>
      </c>
      <c r="D25" s="43"/>
      <c r="E25" s="44" t="s">
        <v>2149</v>
      </c>
      <c r="F25" s="43"/>
      <c r="G25" s="44" t="s">
        <v>442</v>
      </c>
      <c r="M25" s="372"/>
    </row>
    <row r="26" spans="1:13" hidden="1">
      <c r="A26" s="52" t="s">
        <v>958</v>
      </c>
      <c r="C26" s="163">
        <v>3874</v>
      </c>
      <c r="D26" s="163"/>
      <c r="E26" s="163">
        <v>4800</v>
      </c>
      <c r="F26" s="163"/>
      <c r="G26" s="163">
        <v>4765</v>
      </c>
      <c r="M26" s="372"/>
    </row>
    <row r="27" spans="1:13" hidden="1">
      <c r="A27" s="52" t="s">
        <v>959</v>
      </c>
      <c r="C27" s="206">
        <v>45.04</v>
      </c>
      <c r="D27" s="206"/>
      <c r="E27" s="206">
        <v>59.97</v>
      </c>
      <c r="F27" s="206"/>
      <c r="G27" s="206"/>
      <c r="M27" s="372"/>
    </row>
    <row r="28" spans="1:13" hidden="1">
      <c r="A28" s="52" t="s">
        <v>960</v>
      </c>
      <c r="C28" s="206">
        <v>59.97</v>
      </c>
      <c r="D28" s="206"/>
      <c r="E28" s="206">
        <v>59.97</v>
      </c>
      <c r="F28" s="206"/>
      <c r="G28" s="206">
        <v>59.97</v>
      </c>
      <c r="M28" s="372"/>
    </row>
    <row r="29" spans="1:13" hidden="1">
      <c r="A29" s="52" t="s">
        <v>1797</v>
      </c>
      <c r="C29" s="206">
        <v>31.95</v>
      </c>
      <c r="D29" s="206"/>
      <c r="E29" s="206">
        <v>31.95</v>
      </c>
      <c r="F29" s="206"/>
      <c r="G29" s="206">
        <v>31.95</v>
      </c>
      <c r="M29" s="372"/>
    </row>
    <row r="30" spans="1:13" hidden="1">
      <c r="A30" s="52" t="s">
        <v>1795</v>
      </c>
      <c r="C30" s="163">
        <v>450400</v>
      </c>
      <c r="D30" s="163"/>
      <c r="E30" s="163">
        <v>480000</v>
      </c>
      <c r="F30" s="163"/>
      <c r="G30" s="163">
        <v>476500</v>
      </c>
      <c r="M30" s="372"/>
    </row>
    <row r="31" spans="1:13" hidden="1">
      <c r="A31" s="52" t="s">
        <v>1796</v>
      </c>
      <c r="C31" s="163">
        <v>319500</v>
      </c>
      <c r="D31" s="163"/>
      <c r="E31" s="163">
        <v>319500</v>
      </c>
      <c r="F31" s="163"/>
      <c r="G31" s="163">
        <v>319500</v>
      </c>
      <c r="M31" s="372"/>
    </row>
    <row r="32" spans="1:13" hidden="1">
      <c r="M32" s="372"/>
    </row>
    <row r="33" spans="1:13" hidden="1"/>
    <row r="34" spans="1:13" hidden="1">
      <c r="A34" s="44" t="s">
        <v>158</v>
      </c>
      <c r="C34" s="44" t="s">
        <v>850</v>
      </c>
      <c r="D34" s="43"/>
      <c r="E34" s="44" t="s">
        <v>2149</v>
      </c>
      <c r="F34" s="43"/>
      <c r="G34" s="44" t="s">
        <v>1202</v>
      </c>
    </row>
    <row r="35" spans="1:13" hidden="1">
      <c r="A35" s="52" t="s">
        <v>958</v>
      </c>
      <c r="C35" s="163">
        <v>4193</v>
      </c>
      <c r="D35" s="163"/>
      <c r="E35" s="163">
        <v>4800</v>
      </c>
      <c r="F35" s="163"/>
      <c r="G35" s="163">
        <v>4765</v>
      </c>
    </row>
    <row r="36" spans="1:13" hidden="1">
      <c r="A36" s="52" t="s">
        <v>959</v>
      </c>
      <c r="C36" s="206">
        <v>48.76</v>
      </c>
      <c r="D36" s="206"/>
      <c r="E36" s="206">
        <v>61.14</v>
      </c>
      <c r="F36" s="206"/>
      <c r="G36" s="206"/>
    </row>
    <row r="37" spans="1:13" hidden="1">
      <c r="A37" s="52" t="s">
        <v>960</v>
      </c>
      <c r="C37" s="206">
        <v>61.14</v>
      </c>
      <c r="D37" s="206"/>
      <c r="E37" s="206">
        <v>61.14</v>
      </c>
      <c r="F37" s="206"/>
      <c r="G37" s="239">
        <v>59.97</v>
      </c>
    </row>
    <row r="38" spans="1:13" hidden="1">
      <c r="A38" s="52" t="s">
        <v>1797</v>
      </c>
      <c r="C38" s="206">
        <v>31.95</v>
      </c>
      <c r="D38" s="206"/>
      <c r="E38" s="206">
        <v>31.95</v>
      </c>
      <c r="F38" s="206"/>
      <c r="G38" s="206">
        <v>31.95</v>
      </c>
      <c r="M38" s="52"/>
    </row>
    <row r="39" spans="1:13" hidden="1">
      <c r="A39" s="52" t="s">
        <v>92</v>
      </c>
      <c r="C39" s="206"/>
      <c r="D39" s="206"/>
      <c r="E39" s="206"/>
      <c r="F39" s="206"/>
      <c r="G39" s="206">
        <v>33.950000000000003</v>
      </c>
      <c r="M39" s="52"/>
    </row>
    <row r="40" spans="1:13" hidden="1">
      <c r="A40" s="52" t="s">
        <v>1795</v>
      </c>
      <c r="C40" s="163">
        <v>487600</v>
      </c>
      <c r="D40" s="163"/>
      <c r="E40" s="163">
        <v>480000</v>
      </c>
      <c r="F40" s="163"/>
      <c r="G40" s="163">
        <v>476500</v>
      </c>
      <c r="M40" s="21"/>
    </row>
    <row r="41" spans="1:13" hidden="1">
      <c r="A41" s="52" t="s">
        <v>1796</v>
      </c>
      <c r="C41" s="163">
        <v>319500</v>
      </c>
      <c r="D41" s="163"/>
      <c r="E41" s="163">
        <v>319500</v>
      </c>
      <c r="F41" s="163"/>
      <c r="G41" s="163">
        <v>319500</v>
      </c>
      <c r="M41" s="21"/>
    </row>
    <row r="42" spans="1:13" hidden="1">
      <c r="A42" s="52" t="s">
        <v>93</v>
      </c>
      <c r="G42" s="163">
        <v>339500</v>
      </c>
    </row>
    <row r="43" spans="1:13" hidden="1">
      <c r="A43" s="52" t="s">
        <v>2574</v>
      </c>
      <c r="G43" s="379">
        <v>251.774</v>
      </c>
    </row>
    <row r="44" spans="1:13" hidden="1"/>
    <row r="45" spans="1:13" hidden="1">
      <c r="A45" s="44" t="s">
        <v>159</v>
      </c>
      <c r="C45" s="44" t="s">
        <v>850</v>
      </c>
      <c r="D45" s="43"/>
      <c r="E45" s="44" t="s">
        <v>2149</v>
      </c>
      <c r="F45" s="43"/>
      <c r="G45" s="44" t="s">
        <v>1202</v>
      </c>
    </row>
    <row r="46" spans="1:13" hidden="1">
      <c r="A46" s="52" t="s">
        <v>958</v>
      </c>
      <c r="C46" s="163">
        <v>4427</v>
      </c>
      <c r="D46" s="163"/>
      <c r="E46" s="163">
        <v>4800</v>
      </c>
      <c r="F46" s="163"/>
      <c r="G46" s="163">
        <v>4765</v>
      </c>
    </row>
    <row r="47" spans="1:13" hidden="1">
      <c r="A47" s="52" t="s">
        <v>959</v>
      </c>
      <c r="C47" s="206">
        <v>51.47</v>
      </c>
      <c r="D47" s="206"/>
      <c r="E47" s="206">
        <v>62.72</v>
      </c>
      <c r="F47" s="206"/>
      <c r="G47" s="206"/>
    </row>
    <row r="48" spans="1:13" hidden="1">
      <c r="A48" s="52" t="s">
        <v>960</v>
      </c>
      <c r="C48" s="206">
        <v>62.72</v>
      </c>
      <c r="D48" s="206"/>
      <c r="E48" s="206">
        <v>62.72</v>
      </c>
      <c r="F48" s="206"/>
      <c r="G48" s="239">
        <v>59.97</v>
      </c>
    </row>
    <row r="49" spans="1:13" hidden="1">
      <c r="A49" s="52" t="s">
        <v>1797</v>
      </c>
      <c r="C49" s="206">
        <v>31.95</v>
      </c>
      <c r="D49" s="206"/>
      <c r="E49" s="206">
        <v>31.95</v>
      </c>
      <c r="F49" s="206"/>
      <c r="G49" s="206">
        <v>31.95</v>
      </c>
    </row>
    <row r="50" spans="1:13" hidden="1">
      <c r="A50" s="52" t="s">
        <v>1795</v>
      </c>
      <c r="C50" s="163">
        <v>514700</v>
      </c>
      <c r="D50" s="163"/>
      <c r="E50" s="163">
        <v>480000</v>
      </c>
      <c r="F50" s="163"/>
      <c r="G50" s="163">
        <v>476500</v>
      </c>
    </row>
    <row r="51" spans="1:13" hidden="1">
      <c r="A51" s="52" t="s">
        <v>1796</v>
      </c>
      <c r="C51" s="163">
        <v>319500</v>
      </c>
      <c r="D51" s="163"/>
      <c r="E51" s="163">
        <v>319500</v>
      </c>
      <c r="F51" s="163"/>
      <c r="G51" s="163">
        <v>319500</v>
      </c>
    </row>
    <row r="52" spans="1:13" hidden="1">
      <c r="A52" s="52" t="s">
        <v>2574</v>
      </c>
      <c r="G52" s="379">
        <v>469.21499999999997</v>
      </c>
    </row>
    <row r="53" spans="1:13" hidden="1"/>
    <row r="54" spans="1:13" hidden="1">
      <c r="A54" s="430" t="s">
        <v>160</v>
      </c>
      <c r="B54" s="372"/>
      <c r="C54" s="430" t="s">
        <v>850</v>
      </c>
      <c r="D54" s="129"/>
      <c r="E54" s="430" t="s">
        <v>2149</v>
      </c>
      <c r="F54" s="129"/>
      <c r="G54" s="430" t="str">
        <f>G45</f>
        <v>SB 1</v>
      </c>
    </row>
    <row r="55" spans="1:13" hidden="1">
      <c r="A55" s="372" t="s">
        <v>958</v>
      </c>
      <c r="B55" s="372"/>
      <c r="C55" s="431">
        <v>4535</v>
      </c>
      <c r="D55" s="431"/>
      <c r="E55" s="431">
        <v>4800</v>
      </c>
      <c r="F55" s="431"/>
      <c r="G55" s="431">
        <v>4950</v>
      </c>
    </row>
    <row r="56" spans="1:13" hidden="1">
      <c r="A56" s="372" t="s">
        <v>959</v>
      </c>
      <c r="B56" s="372"/>
      <c r="C56" s="239">
        <v>52.74</v>
      </c>
      <c r="D56" s="239"/>
      <c r="E56" s="239">
        <v>64.33</v>
      </c>
      <c r="F56" s="239"/>
      <c r="G56" s="239"/>
    </row>
    <row r="57" spans="1:13" hidden="1">
      <c r="A57" s="372" t="s">
        <v>960</v>
      </c>
      <c r="B57" s="372"/>
      <c r="C57" s="239">
        <v>64.33</v>
      </c>
      <c r="D57" s="239"/>
      <c r="E57" s="239">
        <v>64.33</v>
      </c>
      <c r="F57" s="239"/>
      <c r="G57" s="239">
        <v>59.97</v>
      </c>
    </row>
    <row r="58" spans="1:13" hidden="1">
      <c r="A58" s="372" t="s">
        <v>1797</v>
      </c>
      <c r="B58" s="372"/>
      <c r="C58" s="239">
        <v>31.95</v>
      </c>
      <c r="D58" s="239"/>
      <c r="E58" s="239">
        <v>31.95</v>
      </c>
      <c r="F58" s="239"/>
      <c r="G58" s="239">
        <v>31.95</v>
      </c>
    </row>
    <row r="59" spans="1:13" hidden="1">
      <c r="A59" s="372" t="s">
        <v>1795</v>
      </c>
      <c r="B59" s="372"/>
      <c r="C59" s="431">
        <v>527400</v>
      </c>
      <c r="D59" s="431"/>
      <c r="E59" s="431">
        <v>480000</v>
      </c>
      <c r="F59" s="431"/>
      <c r="G59" s="431">
        <v>495000</v>
      </c>
    </row>
    <row r="60" spans="1:13" hidden="1">
      <c r="A60" s="372" t="s">
        <v>1796</v>
      </c>
      <c r="B60" s="372"/>
      <c r="C60" s="431">
        <v>319500</v>
      </c>
      <c r="D60" s="431"/>
      <c r="E60" s="431">
        <v>319500</v>
      </c>
      <c r="F60" s="431"/>
      <c r="G60" s="431">
        <v>319500</v>
      </c>
    </row>
    <row r="61" spans="1:13" hidden="1">
      <c r="A61" s="372" t="s">
        <v>1346</v>
      </c>
      <c r="B61" s="372"/>
      <c r="C61" s="431"/>
      <c r="D61" s="431"/>
      <c r="E61" s="431"/>
      <c r="F61" s="431"/>
      <c r="G61" s="239">
        <v>0.98</v>
      </c>
      <c r="H61" s="36" t="s">
        <v>2255</v>
      </c>
      <c r="I61" s="36"/>
      <c r="M61" s="25" t="s">
        <v>2254</v>
      </c>
    </row>
    <row r="62" spans="1:13" hidden="1">
      <c r="A62" s="372" t="s">
        <v>2253</v>
      </c>
      <c r="B62" s="372"/>
      <c r="C62" s="431"/>
      <c r="D62" s="431"/>
      <c r="E62" s="431"/>
      <c r="F62" s="431"/>
      <c r="G62" s="432">
        <v>0.92349999999999999</v>
      </c>
      <c r="H62" s="36" t="s">
        <v>2255</v>
      </c>
      <c r="I62" s="36"/>
      <c r="M62" s="25" t="s">
        <v>2256</v>
      </c>
    </row>
    <row r="63" spans="1:13" hidden="1">
      <c r="A63" s="372" t="s">
        <v>2574</v>
      </c>
      <c r="B63" s="372"/>
      <c r="C63" s="372"/>
      <c r="D63" s="372"/>
      <c r="E63" s="372"/>
      <c r="F63" s="372"/>
      <c r="G63" s="379">
        <v>261.37200000000001</v>
      </c>
      <c r="H63" s="36"/>
      <c r="I63" s="36"/>
      <c r="M63" s="25"/>
    </row>
    <row r="64" spans="1:13" hidden="1">
      <c r="A64" s="372"/>
      <c r="B64" s="372"/>
      <c r="C64" s="431"/>
      <c r="D64" s="431"/>
      <c r="E64" s="431"/>
      <c r="F64" s="431"/>
      <c r="G64" s="431"/>
    </row>
    <row r="65" spans="1:13" hidden="1">
      <c r="A65" s="430" t="s">
        <v>736</v>
      </c>
      <c r="B65" s="372"/>
      <c r="C65" s="430" t="s">
        <v>850</v>
      </c>
      <c r="D65" s="129"/>
      <c r="E65" s="430" t="s">
        <v>2149</v>
      </c>
      <c r="F65" s="129"/>
      <c r="G65" s="430" t="s">
        <v>1202</v>
      </c>
    </row>
    <row r="66" spans="1:13" hidden="1">
      <c r="A66" s="372" t="s">
        <v>958</v>
      </c>
      <c r="B66" s="372"/>
      <c r="C66" s="431">
        <v>4535</v>
      </c>
      <c r="D66" s="431"/>
      <c r="E66" s="431">
        <v>4800</v>
      </c>
      <c r="F66" s="431"/>
      <c r="G66" s="431">
        <v>5040</v>
      </c>
    </row>
    <row r="67" spans="1:13" hidden="1">
      <c r="A67" s="372" t="s">
        <v>959</v>
      </c>
      <c r="B67" s="372"/>
      <c r="C67" s="239">
        <v>52.74</v>
      </c>
      <c r="D67" s="239"/>
      <c r="E67" s="239">
        <v>64.33</v>
      </c>
      <c r="F67" s="239"/>
      <c r="G67" s="239"/>
    </row>
    <row r="68" spans="1:13" hidden="1">
      <c r="A68" s="372" t="s">
        <v>960</v>
      </c>
      <c r="B68" s="372"/>
      <c r="C68" s="239">
        <v>64.33</v>
      </c>
      <c r="D68" s="239"/>
      <c r="E68" s="239">
        <v>64.33</v>
      </c>
      <c r="F68" s="239"/>
      <c r="G68" s="239">
        <v>61.86</v>
      </c>
    </row>
    <row r="69" spans="1:13" hidden="1">
      <c r="A69" s="372" t="s">
        <v>1797</v>
      </c>
      <c r="B69" s="372"/>
      <c r="C69" s="239">
        <v>31.95</v>
      </c>
      <c r="D69" s="239"/>
      <c r="E69" s="239">
        <v>31.95</v>
      </c>
      <c r="F69" s="239"/>
      <c r="G69" s="239">
        <v>31.95</v>
      </c>
    </row>
    <row r="70" spans="1:13" hidden="1">
      <c r="A70" s="372" t="s">
        <v>1795</v>
      </c>
      <c r="B70" s="372"/>
      <c r="C70" s="431">
        <v>527400</v>
      </c>
      <c r="D70" s="431"/>
      <c r="E70" s="431">
        <v>480000</v>
      </c>
      <c r="F70" s="431"/>
      <c r="G70" s="431">
        <v>504000</v>
      </c>
    </row>
    <row r="71" spans="1:13" hidden="1">
      <c r="A71" s="372" t="s">
        <v>1796</v>
      </c>
      <c r="B71" s="372"/>
      <c r="C71" s="431">
        <v>319500</v>
      </c>
      <c r="D71" s="431"/>
      <c r="E71" s="431">
        <v>319500</v>
      </c>
      <c r="F71" s="431"/>
      <c r="G71" s="431">
        <v>319500</v>
      </c>
    </row>
    <row r="72" spans="1:13" hidden="1">
      <c r="A72" s="372" t="s">
        <v>1346</v>
      </c>
      <c r="B72" s="372"/>
      <c r="C72" s="431"/>
      <c r="D72" s="431"/>
      <c r="E72" s="431"/>
      <c r="F72" s="431"/>
      <c r="G72" s="239">
        <v>0.98</v>
      </c>
      <c r="H72" s="36" t="s">
        <v>2255</v>
      </c>
      <c r="I72" s="36"/>
      <c r="M72" s="25" t="s">
        <v>2254</v>
      </c>
    </row>
    <row r="73" spans="1:13" hidden="1">
      <c r="A73" s="372" t="s">
        <v>2253</v>
      </c>
      <c r="B73" s="372"/>
      <c r="C73" s="431"/>
      <c r="D73" s="431"/>
      <c r="E73" s="431"/>
      <c r="F73" s="431"/>
      <c r="G73" s="432">
        <v>0.92349999999999999</v>
      </c>
      <c r="H73" s="36" t="s">
        <v>2255</v>
      </c>
      <c r="I73" s="36"/>
      <c r="M73" s="25" t="s">
        <v>2256</v>
      </c>
    </row>
    <row r="74" spans="1:13" hidden="1">
      <c r="A74" s="372" t="s">
        <v>2574</v>
      </c>
      <c r="B74" s="372"/>
      <c r="C74" s="372"/>
      <c r="D74" s="372"/>
      <c r="E74" s="372"/>
      <c r="F74" s="372"/>
      <c r="G74" s="726">
        <v>263.596</v>
      </c>
    </row>
    <row r="75" spans="1:13" hidden="1">
      <c r="G75" s="258"/>
    </row>
    <row r="76" spans="1:13" hidden="1">
      <c r="A76" s="430" t="s">
        <v>2781</v>
      </c>
      <c r="B76" s="372"/>
      <c r="C76" s="430" t="s">
        <v>850</v>
      </c>
      <c r="D76" s="129"/>
      <c r="E76" s="430" t="s">
        <v>2149</v>
      </c>
      <c r="F76" s="129"/>
      <c r="G76" s="430" t="s">
        <v>3289</v>
      </c>
    </row>
    <row r="77" spans="1:13" hidden="1">
      <c r="A77" s="372" t="s">
        <v>958</v>
      </c>
      <c r="B77" s="372"/>
      <c r="C77" s="431">
        <v>4535</v>
      </c>
      <c r="D77" s="431"/>
      <c r="E77" s="431">
        <v>4800</v>
      </c>
      <c r="F77" s="431"/>
      <c r="G77" s="431">
        <v>5140</v>
      </c>
    </row>
    <row r="78" spans="1:13" hidden="1">
      <c r="A78" s="372" t="s">
        <v>959</v>
      </c>
      <c r="B78" s="372"/>
      <c r="C78" s="239">
        <v>52.74</v>
      </c>
      <c r="D78" s="239"/>
      <c r="E78" s="239">
        <v>64.33</v>
      </c>
      <c r="F78" s="239"/>
      <c r="G78" s="239"/>
    </row>
    <row r="79" spans="1:13" hidden="1">
      <c r="A79" s="372" t="s">
        <v>960</v>
      </c>
      <c r="B79" s="372"/>
      <c r="C79" s="239">
        <v>64.33</v>
      </c>
      <c r="D79" s="239"/>
      <c r="E79" s="239">
        <v>64.33</v>
      </c>
      <c r="F79" s="239"/>
      <c r="G79" s="239">
        <v>74.28</v>
      </c>
    </row>
    <row r="80" spans="1:13" hidden="1">
      <c r="A80" s="372" t="s">
        <v>1797</v>
      </c>
      <c r="B80" s="372"/>
      <c r="C80" s="239">
        <v>31.95</v>
      </c>
      <c r="D80" s="239"/>
      <c r="E80" s="239">
        <v>31.95</v>
      </c>
      <c r="F80" s="239"/>
      <c r="G80" s="239">
        <v>31.95</v>
      </c>
    </row>
    <row r="81" spans="1:12" hidden="1">
      <c r="A81" s="372" t="s">
        <v>1795</v>
      </c>
      <c r="B81" s="372"/>
      <c r="C81" s="431">
        <v>527400</v>
      </c>
      <c r="D81" s="431"/>
      <c r="E81" s="431">
        <v>480000</v>
      </c>
      <c r="F81" s="431"/>
      <c r="G81" s="431">
        <v>514000</v>
      </c>
    </row>
    <row r="82" spans="1:12" hidden="1">
      <c r="A82" s="372" t="s">
        <v>1796</v>
      </c>
      <c r="B82" s="372"/>
      <c r="C82" s="431">
        <v>319500</v>
      </c>
      <c r="D82" s="431"/>
      <c r="E82" s="431">
        <v>319500</v>
      </c>
      <c r="F82" s="431"/>
      <c r="G82" s="431">
        <v>319500</v>
      </c>
    </row>
    <row r="83" spans="1:12" hidden="1">
      <c r="A83" s="372" t="s">
        <v>1346</v>
      </c>
      <c r="B83" s="372"/>
      <c r="C83" s="431"/>
      <c r="D83" s="431"/>
      <c r="E83" s="431"/>
      <c r="F83" s="431"/>
      <c r="G83" s="239">
        <v>0.98</v>
      </c>
    </row>
    <row r="84" spans="1:12" hidden="1">
      <c r="A84" s="372" t="s">
        <v>2253</v>
      </c>
      <c r="B84" s="372"/>
      <c r="C84" s="431"/>
      <c r="D84" s="431"/>
      <c r="E84" s="431"/>
      <c r="F84" s="431"/>
      <c r="G84" s="432">
        <v>0.92349999999999999</v>
      </c>
    </row>
    <row r="85" spans="1:12" hidden="1">
      <c r="A85" s="372" t="s">
        <v>2574</v>
      </c>
      <c r="B85" s="372"/>
      <c r="C85" s="372"/>
      <c r="D85" s="372"/>
      <c r="E85" s="372"/>
      <c r="F85" s="372"/>
      <c r="G85" s="379">
        <v>180.32</v>
      </c>
    </row>
    <row r="86" spans="1:12" hidden="1">
      <c r="A86" s="372"/>
      <c r="B86" s="372"/>
      <c r="C86" s="372"/>
      <c r="D86" s="372"/>
      <c r="E86" s="372"/>
      <c r="F86" s="372"/>
      <c r="G86" s="379"/>
    </row>
    <row r="87" spans="1:12" hidden="1">
      <c r="A87" s="430" t="s">
        <v>2816</v>
      </c>
      <c r="B87" s="372"/>
      <c r="C87" s="430" t="s">
        <v>850</v>
      </c>
      <c r="D87" s="129"/>
      <c r="E87" s="430" t="s">
        <v>2149</v>
      </c>
      <c r="F87" s="129"/>
      <c r="G87" s="430" t="s">
        <v>3289</v>
      </c>
      <c r="J87" s="491" t="s">
        <v>2773</v>
      </c>
      <c r="K87" s="78"/>
      <c r="L87" s="79"/>
    </row>
    <row r="88" spans="1:12" hidden="1">
      <c r="A88" s="372" t="s">
        <v>958</v>
      </c>
      <c r="B88" s="372"/>
      <c r="C88" s="431">
        <v>4535</v>
      </c>
      <c r="D88" s="431"/>
      <c r="E88" s="431">
        <v>4800</v>
      </c>
      <c r="F88" s="431"/>
      <c r="G88" s="431">
        <v>5140</v>
      </c>
      <c r="J88" s="488" t="s">
        <v>2779</v>
      </c>
      <c r="L88" s="72"/>
    </row>
    <row r="89" spans="1:12" hidden="1">
      <c r="A89" s="372" t="s">
        <v>959</v>
      </c>
      <c r="B89" s="372"/>
      <c r="C89" s="239">
        <v>52.74</v>
      </c>
      <c r="D89" s="239"/>
      <c r="E89" s="239">
        <v>64.33</v>
      </c>
      <c r="F89" s="239"/>
      <c r="G89" s="239"/>
      <c r="J89" s="489" t="s">
        <v>2780</v>
      </c>
      <c r="L89" s="72"/>
    </row>
    <row r="90" spans="1:12" hidden="1">
      <c r="A90" s="372" t="s">
        <v>960</v>
      </c>
      <c r="B90" s="372"/>
      <c r="C90" s="239">
        <v>64.33</v>
      </c>
      <c r="D90" s="239"/>
      <c r="E90" s="239">
        <v>64.33</v>
      </c>
      <c r="F90" s="239"/>
      <c r="G90" s="239">
        <v>77.53</v>
      </c>
      <c r="J90" s="488" t="s">
        <v>2776</v>
      </c>
      <c r="L90" s="72"/>
    </row>
    <row r="91" spans="1:12" hidden="1">
      <c r="A91" s="372" t="s">
        <v>1797</v>
      </c>
      <c r="B91" s="372"/>
      <c r="C91" s="239">
        <v>31.95</v>
      </c>
      <c r="D91" s="239"/>
      <c r="E91" s="239">
        <v>31.95</v>
      </c>
      <c r="F91" s="239"/>
      <c r="G91" s="239">
        <v>31.95</v>
      </c>
      <c r="J91" s="490" t="s">
        <v>2774</v>
      </c>
      <c r="K91" s="73"/>
      <c r="L91" s="80"/>
    </row>
    <row r="92" spans="1:12" hidden="1">
      <c r="A92" s="372" t="s">
        <v>1795</v>
      </c>
      <c r="B92" s="372"/>
      <c r="C92" s="431">
        <v>527400</v>
      </c>
      <c r="D92" s="431"/>
      <c r="E92" s="431">
        <v>480000</v>
      </c>
      <c r="F92" s="431"/>
      <c r="G92" s="431">
        <v>514000</v>
      </c>
    </row>
    <row r="93" spans="1:12" hidden="1">
      <c r="A93" s="372" t="s">
        <v>1796</v>
      </c>
      <c r="B93" s="372"/>
      <c r="C93" s="431">
        <v>319500</v>
      </c>
      <c r="D93" s="431"/>
      <c r="E93" s="431">
        <v>319500</v>
      </c>
      <c r="F93" s="431"/>
      <c r="G93" s="431">
        <v>319500</v>
      </c>
    </row>
    <row r="94" spans="1:12" hidden="1">
      <c r="A94" s="372" t="s">
        <v>1346</v>
      </c>
      <c r="B94" s="372"/>
      <c r="C94" s="431"/>
      <c r="D94" s="431"/>
      <c r="E94" s="431"/>
      <c r="F94" s="431"/>
      <c r="G94" s="239">
        <v>0.98</v>
      </c>
    </row>
    <row r="95" spans="1:12" hidden="1">
      <c r="A95" s="372" t="s">
        <v>2253</v>
      </c>
      <c r="B95" s="372"/>
      <c r="C95" s="431"/>
      <c r="D95" s="431"/>
      <c r="E95" s="431"/>
      <c r="F95" s="431"/>
      <c r="G95" s="432">
        <v>0.92349999999999999</v>
      </c>
    </row>
    <row r="96" spans="1:12" hidden="1">
      <c r="A96" s="372" t="s">
        <v>2574</v>
      </c>
      <c r="B96" s="372"/>
      <c r="C96" s="372"/>
      <c r="D96" s="372"/>
      <c r="E96" s="372"/>
      <c r="F96" s="372"/>
      <c r="G96" s="379">
        <v>390.3</v>
      </c>
    </row>
    <row r="97" spans="1:7" hidden="1">
      <c r="G97" s="258"/>
    </row>
    <row r="98" spans="1:7" hidden="1">
      <c r="A98" s="374" t="s">
        <v>2819</v>
      </c>
      <c r="B98" s="375"/>
      <c r="C98" s="374" t="s">
        <v>850</v>
      </c>
      <c r="D98" s="521"/>
      <c r="E98" s="374" t="s">
        <v>2149</v>
      </c>
      <c r="F98" s="521"/>
      <c r="G98" s="374" t="s">
        <v>5682</v>
      </c>
    </row>
    <row r="99" spans="1:7" hidden="1">
      <c r="A99" s="375" t="s">
        <v>958</v>
      </c>
      <c r="B99" s="375"/>
      <c r="C99" s="376">
        <v>4535</v>
      </c>
      <c r="D99" s="376"/>
      <c r="E99" s="376">
        <v>4800</v>
      </c>
      <c r="F99" s="376"/>
      <c r="G99" s="376">
        <f>G88</f>
        <v>5140</v>
      </c>
    </row>
    <row r="100" spans="1:7" hidden="1">
      <c r="A100" s="375" t="s">
        <v>959</v>
      </c>
      <c r="B100" s="375"/>
      <c r="C100" s="522">
        <v>52.74</v>
      </c>
      <c r="D100" s="522"/>
      <c r="E100" s="522">
        <v>64.33</v>
      </c>
      <c r="F100" s="522"/>
      <c r="G100" s="522"/>
    </row>
    <row r="101" spans="1:7" hidden="1">
      <c r="A101" s="375" t="s">
        <v>960</v>
      </c>
      <c r="B101" s="375"/>
      <c r="C101" s="522">
        <v>64.33</v>
      </c>
      <c r="D101" s="522"/>
      <c r="E101" s="522">
        <v>64.33</v>
      </c>
      <c r="F101" s="522"/>
      <c r="G101" s="522">
        <v>99.41</v>
      </c>
    </row>
    <row r="102" spans="1:7" hidden="1">
      <c r="A102" s="375" t="s">
        <v>1797</v>
      </c>
      <c r="B102" s="375"/>
      <c r="C102" s="522">
        <v>31.95</v>
      </c>
      <c r="D102" s="522"/>
      <c r="E102" s="522">
        <v>31.95</v>
      </c>
      <c r="F102" s="522"/>
      <c r="G102" s="522">
        <v>31.95</v>
      </c>
    </row>
    <row r="103" spans="1:7" hidden="1">
      <c r="A103" s="375" t="s">
        <v>1795</v>
      </c>
      <c r="B103" s="375"/>
      <c r="C103" s="376">
        <v>527400</v>
      </c>
      <c r="D103" s="376"/>
      <c r="E103" s="376">
        <v>480000</v>
      </c>
      <c r="F103" s="376"/>
      <c r="G103" s="376">
        <f>G92</f>
        <v>514000</v>
      </c>
    </row>
    <row r="104" spans="1:7" hidden="1">
      <c r="A104" s="375" t="s">
        <v>1796</v>
      </c>
      <c r="B104" s="375"/>
      <c r="C104" s="376">
        <v>319500</v>
      </c>
      <c r="D104" s="376"/>
      <c r="E104" s="376">
        <v>319500</v>
      </c>
      <c r="F104" s="376"/>
      <c r="G104" s="376">
        <v>319500</v>
      </c>
    </row>
    <row r="105" spans="1:7" hidden="1">
      <c r="A105" s="375" t="s">
        <v>2574</v>
      </c>
      <c r="B105" s="375"/>
      <c r="C105" s="375"/>
      <c r="D105" s="375"/>
      <c r="E105" s="375"/>
      <c r="F105" s="375"/>
      <c r="G105" s="523">
        <v>206.566</v>
      </c>
    </row>
    <row r="106" spans="1:7" hidden="1">
      <c r="A106" s="375"/>
      <c r="B106" s="375"/>
      <c r="C106" s="375"/>
      <c r="D106" s="375"/>
      <c r="E106" s="375"/>
      <c r="F106" s="375"/>
      <c r="G106" s="375"/>
    </row>
    <row r="107" spans="1:7" hidden="1">
      <c r="A107" s="374" t="s">
        <v>2838</v>
      </c>
      <c r="B107" s="375"/>
      <c r="C107" s="374" t="s">
        <v>850</v>
      </c>
      <c r="D107" s="521"/>
      <c r="E107" s="374" t="s">
        <v>2149</v>
      </c>
      <c r="F107" s="521"/>
      <c r="G107" s="374" t="str">
        <f>G98</f>
        <v>85th Leg</v>
      </c>
    </row>
    <row r="108" spans="1:7" hidden="1">
      <c r="A108" s="375" t="s">
        <v>958</v>
      </c>
      <c r="B108" s="375"/>
      <c r="C108" s="376">
        <v>4535</v>
      </c>
      <c r="D108" s="376"/>
      <c r="E108" s="376">
        <v>4800</v>
      </c>
      <c r="F108" s="376"/>
      <c r="G108" s="376">
        <f>G99</f>
        <v>5140</v>
      </c>
    </row>
    <row r="109" spans="1:7" hidden="1">
      <c r="A109" s="375" t="s">
        <v>959</v>
      </c>
      <c r="B109" s="375"/>
      <c r="C109" s="522">
        <v>52.74</v>
      </c>
      <c r="D109" s="522"/>
      <c r="E109" s="522">
        <v>64.33</v>
      </c>
      <c r="F109" s="522"/>
      <c r="G109" s="522"/>
    </row>
    <row r="110" spans="1:7" hidden="1">
      <c r="A110" s="375" t="s">
        <v>960</v>
      </c>
      <c r="B110" s="375"/>
      <c r="C110" s="522">
        <v>64.33</v>
      </c>
      <c r="D110" s="522"/>
      <c r="E110" s="522">
        <v>64.33</v>
      </c>
      <c r="F110" s="522"/>
      <c r="G110" s="522">
        <v>106.28</v>
      </c>
    </row>
    <row r="111" spans="1:7" hidden="1">
      <c r="A111" s="375" t="s">
        <v>1797</v>
      </c>
      <c r="B111" s="375"/>
      <c r="C111" s="522">
        <v>31.95</v>
      </c>
      <c r="D111" s="522"/>
      <c r="E111" s="522">
        <v>31.95</v>
      </c>
      <c r="F111" s="522"/>
      <c r="G111" s="522">
        <v>31.95</v>
      </c>
    </row>
    <row r="112" spans="1:7" hidden="1">
      <c r="A112" s="375" t="s">
        <v>1795</v>
      </c>
      <c r="B112" s="375"/>
      <c r="C112" s="376">
        <v>527400</v>
      </c>
      <c r="D112" s="376"/>
      <c r="E112" s="376">
        <v>480000</v>
      </c>
      <c r="F112" s="376"/>
      <c r="G112" s="376">
        <f>G103</f>
        <v>514000</v>
      </c>
    </row>
    <row r="113" spans="1:14" hidden="1">
      <c r="A113" s="375" t="s">
        <v>1796</v>
      </c>
      <c r="B113" s="375"/>
      <c r="C113" s="376">
        <v>319500</v>
      </c>
      <c r="D113" s="376"/>
      <c r="E113" s="376">
        <v>319500</v>
      </c>
      <c r="F113" s="376"/>
      <c r="G113" s="376">
        <v>319500</v>
      </c>
    </row>
    <row r="114" spans="1:14" hidden="1">
      <c r="A114" s="375" t="s">
        <v>2574</v>
      </c>
      <c r="B114" s="375"/>
      <c r="C114" s="375"/>
      <c r="D114" s="375"/>
      <c r="E114" s="375"/>
      <c r="F114" s="375"/>
      <c r="G114" s="523">
        <v>486.23099999999999</v>
      </c>
      <c r="J114" s="25"/>
    </row>
    <row r="115" spans="1:14" hidden="1"/>
    <row r="116" spans="1:14" hidden="1">
      <c r="A116" s="1070" t="s">
        <v>2839</v>
      </c>
      <c r="C116" s="44" t="s">
        <v>850</v>
      </c>
      <c r="D116" s="43"/>
      <c r="E116" s="44" t="s">
        <v>2149</v>
      </c>
      <c r="F116" s="43"/>
      <c r="G116" s="1249" t="s">
        <v>7428</v>
      </c>
      <c r="H116" s="997" t="s">
        <v>7427</v>
      </c>
    </row>
    <row r="117" spans="1:14" hidden="1">
      <c r="A117" s="52" t="s">
        <v>958</v>
      </c>
      <c r="C117" s="163">
        <v>4535</v>
      </c>
      <c r="D117" s="163"/>
      <c r="E117" s="163">
        <v>4800</v>
      </c>
      <c r="F117" s="163"/>
      <c r="G117" s="1128">
        <f>G108</f>
        <v>5140</v>
      </c>
      <c r="H117" s="1058">
        <v>6160</v>
      </c>
      <c r="N117" s="1037"/>
    </row>
    <row r="118" spans="1:14" hidden="1">
      <c r="C118" s="206">
        <v>52.74</v>
      </c>
      <c r="D118" s="206"/>
      <c r="E118" s="206">
        <v>64.33</v>
      </c>
      <c r="F118" s="206"/>
      <c r="G118" s="1127"/>
      <c r="H118" s="1059" t="e">
        <f>IF('Data Entry - SOF'!#REF!&lt;'Data Entry - SOF'!#REF!,H117*('Data Entry - SOF'!#REF!/'Data Entry - SOF'!#REF!),H117)</f>
        <v>#REF!</v>
      </c>
      <c r="I118" s="996" t="s">
        <v>8236</v>
      </c>
      <c r="J118" s="995"/>
      <c r="K118" s="995"/>
      <c r="L118" s="995"/>
      <c r="N118" s="1037"/>
    </row>
    <row r="119" spans="1:14" hidden="1">
      <c r="A119" s="52" t="s">
        <v>959</v>
      </c>
      <c r="C119" s="206">
        <v>64.33</v>
      </c>
      <c r="D119" s="206"/>
      <c r="E119" s="206">
        <v>64.33</v>
      </c>
      <c r="F119" s="206"/>
      <c r="G119" s="1250">
        <v>126.88</v>
      </c>
      <c r="H119" s="1067">
        <f>(H117*1.6)/100</f>
        <v>98.56</v>
      </c>
      <c r="I119" s="996" t="s">
        <v>7608</v>
      </c>
      <c r="J119" s="995"/>
      <c r="K119" s="995"/>
      <c r="L119" s="995"/>
      <c r="M119" s="995"/>
      <c r="N119" s="1037"/>
    </row>
    <row r="120" spans="1:14" hidden="1">
      <c r="A120" s="52" t="s">
        <v>960</v>
      </c>
      <c r="C120" s="206">
        <v>31.95</v>
      </c>
      <c r="D120" s="206"/>
      <c r="E120" s="206">
        <v>31.95</v>
      </c>
      <c r="F120" s="206"/>
      <c r="G120" s="1127">
        <v>31.95</v>
      </c>
      <c r="H120" s="1060">
        <f>(H117*0.8)/100</f>
        <v>49.28</v>
      </c>
      <c r="N120" s="1037"/>
    </row>
    <row r="121" spans="1:14" hidden="1">
      <c r="A121" s="52" t="s">
        <v>1795</v>
      </c>
      <c r="C121" s="163">
        <v>527400</v>
      </c>
      <c r="D121" s="163"/>
      <c r="E121" s="163">
        <v>480000</v>
      </c>
      <c r="F121" s="163"/>
      <c r="G121" s="1128">
        <f>G112</f>
        <v>514000</v>
      </c>
      <c r="H121" s="1059" t="s">
        <v>1678</v>
      </c>
      <c r="N121" s="1037"/>
    </row>
    <row r="122" spans="1:14" hidden="1">
      <c r="A122" s="52" t="s">
        <v>1796</v>
      </c>
      <c r="C122" s="163">
        <v>319500</v>
      </c>
      <c r="D122" s="163"/>
      <c r="E122" s="163">
        <v>319500</v>
      </c>
      <c r="F122" s="163"/>
      <c r="G122" s="1128">
        <v>319500</v>
      </c>
      <c r="H122" s="1126" t="s">
        <v>1678</v>
      </c>
      <c r="N122" s="1037"/>
    </row>
    <row r="123" spans="1:14" hidden="1">
      <c r="A123" s="52" t="s">
        <v>2574</v>
      </c>
      <c r="G123" s="2398">
        <v>319.71300000000002</v>
      </c>
      <c r="H123" s="1142">
        <f>G123</f>
        <v>319.71300000000002</v>
      </c>
      <c r="I123" s="1065" t="s">
        <v>8235</v>
      </c>
      <c r="J123" s="25"/>
    </row>
    <row r="124" spans="1:14" hidden="1">
      <c r="G124" s="2399"/>
    </row>
    <row r="125" spans="1:14" hidden="1">
      <c r="A125" s="1070" t="s">
        <v>3325</v>
      </c>
      <c r="C125" s="44" t="s">
        <v>850</v>
      </c>
      <c r="D125" s="43"/>
      <c r="E125" s="44" t="s">
        <v>2149</v>
      </c>
      <c r="F125" s="43"/>
      <c r="G125" s="1064" t="str">
        <f>G116</f>
        <v>Current Law</v>
      </c>
      <c r="H125" s="1057" t="s">
        <v>7427</v>
      </c>
    </row>
    <row r="126" spans="1:14" hidden="1">
      <c r="A126" s="52" t="s">
        <v>958</v>
      </c>
      <c r="C126" s="163">
        <v>4535</v>
      </c>
      <c r="D126" s="163"/>
      <c r="E126" s="163">
        <v>4800</v>
      </c>
      <c r="F126" s="163"/>
      <c r="G126" s="1188">
        <f>G117</f>
        <v>5140</v>
      </c>
      <c r="H126" s="1058">
        <v>6160</v>
      </c>
    </row>
    <row r="127" spans="1:14" hidden="1">
      <c r="C127" s="206">
        <v>52.74</v>
      </c>
      <c r="D127" s="206"/>
      <c r="E127" s="206">
        <v>64.33</v>
      </c>
      <c r="F127" s="206"/>
      <c r="G127" s="1127"/>
      <c r="H127" s="1059" t="e">
        <f>IF('Data Entry - SOF'!#REF!&lt;'Data Entry - SOF'!#REF!,H126*('Data Entry - SOF'!#REF!/'Data Entry - SOF'!#REF!),H126)</f>
        <v>#REF!</v>
      </c>
    </row>
    <row r="128" spans="1:14" hidden="1">
      <c r="A128" s="52" t="s">
        <v>960</v>
      </c>
      <c r="C128" s="206">
        <v>64.33</v>
      </c>
      <c r="D128" s="206"/>
      <c r="E128" s="206">
        <v>64.33</v>
      </c>
      <c r="F128" s="206"/>
      <c r="G128" s="1127">
        <v>135.91999999999999</v>
      </c>
      <c r="H128" s="1134">
        <f>(H126*1.6)/100</f>
        <v>98.56</v>
      </c>
    </row>
    <row r="129" spans="1:11" hidden="1">
      <c r="A129" s="52" t="s">
        <v>1797</v>
      </c>
      <c r="C129" s="206">
        <v>31.95</v>
      </c>
      <c r="D129" s="206"/>
      <c r="E129" s="206">
        <v>31.95</v>
      </c>
      <c r="F129" s="206"/>
      <c r="G129" s="1127">
        <v>31.95</v>
      </c>
      <c r="H129" s="1134">
        <f>(H126*0.8)/100</f>
        <v>49.28</v>
      </c>
    </row>
    <row r="130" spans="1:11" hidden="1">
      <c r="A130" s="52" t="s">
        <v>1795</v>
      </c>
      <c r="C130" s="163">
        <v>527400</v>
      </c>
      <c r="D130" s="163"/>
      <c r="E130" s="163">
        <v>480000</v>
      </c>
      <c r="F130" s="163"/>
      <c r="G130" s="1128">
        <f>G121</f>
        <v>514000</v>
      </c>
      <c r="H130" s="1126" t="s">
        <v>1678</v>
      </c>
    </row>
    <row r="131" spans="1:11" hidden="1">
      <c r="A131" s="52" t="s">
        <v>1796</v>
      </c>
      <c r="C131" s="163">
        <v>319500</v>
      </c>
      <c r="D131" s="163"/>
      <c r="E131" s="163">
        <v>319500</v>
      </c>
      <c r="F131" s="163"/>
      <c r="G131" s="1128">
        <v>319500</v>
      </c>
      <c r="H131" s="1126" t="s">
        <v>1678</v>
      </c>
    </row>
    <row r="132" spans="1:11" hidden="1">
      <c r="A132" s="52" t="s">
        <v>2574</v>
      </c>
      <c r="G132" s="1189">
        <f>H132</f>
        <v>486.92200000000003</v>
      </c>
      <c r="H132" s="1135">
        <v>486.92200000000003</v>
      </c>
      <c r="I132" s="2042"/>
      <c r="J132" s="25" t="s">
        <v>5952</v>
      </c>
    </row>
    <row r="133" spans="1:11" hidden="1">
      <c r="H133" s="1066"/>
    </row>
    <row r="134" spans="1:11">
      <c r="A134" s="1070" t="s">
        <v>5513</v>
      </c>
      <c r="C134" s="44" t="s">
        <v>850</v>
      </c>
      <c r="D134" s="43"/>
      <c r="E134" s="44" t="s">
        <v>2149</v>
      </c>
      <c r="F134" s="43"/>
      <c r="G134" s="1249" t="str">
        <f>G125</f>
        <v>Current Law</v>
      </c>
      <c r="H134" s="1057" t="s">
        <v>9066</v>
      </c>
    </row>
    <row r="135" spans="1:11">
      <c r="A135" s="52" t="s">
        <v>958</v>
      </c>
      <c r="C135" s="163">
        <v>4535</v>
      </c>
      <c r="D135" s="163"/>
      <c r="E135" s="163">
        <v>4800</v>
      </c>
      <c r="F135" s="163"/>
      <c r="G135" s="1128">
        <v>5140</v>
      </c>
      <c r="H135" s="1058">
        <v>6160</v>
      </c>
    </row>
    <row r="136" spans="1:11">
      <c r="C136" s="206">
        <v>52.74</v>
      </c>
      <c r="D136" s="206"/>
      <c r="E136" s="206">
        <v>64.33</v>
      </c>
      <c r="F136" s="206"/>
      <c r="G136" s="1127"/>
      <c r="H136" s="1059">
        <f>IF('Data Entry - SOF'!C74&lt;'Data Entry - SOF'!C124,H135*('Data Entry - SOF'!C74/'Data Entry - SOF'!C124),H135)</f>
        <v>6160</v>
      </c>
    </row>
    <row r="137" spans="1:11">
      <c r="A137" s="52" t="s">
        <v>960</v>
      </c>
      <c r="C137" s="206">
        <v>64.33</v>
      </c>
      <c r="D137" s="206"/>
      <c r="E137" s="206">
        <v>64.33</v>
      </c>
      <c r="F137" s="206"/>
      <c r="G137" s="1127">
        <f>G128</f>
        <v>135.91999999999999</v>
      </c>
      <c r="H137" s="1134">
        <f>(H135*1.6)/100</f>
        <v>98.56</v>
      </c>
    </row>
    <row r="138" spans="1:11">
      <c r="A138" s="52" t="s">
        <v>1797</v>
      </c>
      <c r="C138" s="206">
        <v>31.95</v>
      </c>
      <c r="D138" s="206"/>
      <c r="E138" s="206">
        <v>31.95</v>
      </c>
      <c r="F138" s="206"/>
      <c r="G138" s="1127">
        <v>31.95</v>
      </c>
      <c r="H138" s="1134">
        <f>(H135*0.8)/100</f>
        <v>49.28</v>
      </c>
    </row>
    <row r="139" spans="1:11">
      <c r="A139" s="52" t="s">
        <v>1795</v>
      </c>
      <c r="C139" s="163">
        <v>527400</v>
      </c>
      <c r="D139" s="163"/>
      <c r="E139" s="163">
        <v>480000</v>
      </c>
      <c r="F139" s="163"/>
      <c r="G139" s="1128">
        <f>G135*100</f>
        <v>514000</v>
      </c>
      <c r="H139" s="1126" t="s">
        <v>1678</v>
      </c>
    </row>
    <row r="140" spans="1:11">
      <c r="A140" s="52" t="s">
        <v>1796</v>
      </c>
      <c r="C140" s="163">
        <v>319500</v>
      </c>
      <c r="D140" s="163"/>
      <c r="E140" s="163">
        <v>319500</v>
      </c>
      <c r="F140" s="163"/>
      <c r="G140" s="1128">
        <v>319500</v>
      </c>
      <c r="H140" s="1126" t="s">
        <v>1678</v>
      </c>
    </row>
    <row r="141" spans="1:11">
      <c r="A141" s="52" t="s">
        <v>2574</v>
      </c>
      <c r="G141" s="1189">
        <f>H141</f>
        <v>510.89</v>
      </c>
      <c r="H141" s="1135">
        <v>510.89</v>
      </c>
      <c r="I141" s="1098" t="s">
        <v>8920</v>
      </c>
      <c r="J141" s="25" t="s">
        <v>5952</v>
      </c>
      <c r="K141">
        <v>402.68200000000002</v>
      </c>
    </row>
    <row r="142" spans="1:11">
      <c r="H142" s="1066"/>
    </row>
    <row r="143" spans="1:11">
      <c r="A143" s="1070" t="s">
        <v>5951</v>
      </c>
      <c r="C143" s="44" t="s">
        <v>850</v>
      </c>
      <c r="D143" s="43"/>
      <c r="E143" s="44" t="s">
        <v>2149</v>
      </c>
      <c r="F143" s="43"/>
      <c r="G143" s="1249" t="str">
        <f>G134</f>
        <v>Current Law</v>
      </c>
      <c r="H143" s="1057" t="s">
        <v>1202</v>
      </c>
    </row>
    <row r="144" spans="1:11">
      <c r="A144" s="52" t="s">
        <v>958</v>
      </c>
      <c r="C144" s="163">
        <v>4535</v>
      </c>
      <c r="D144" s="163"/>
      <c r="E144" s="163">
        <v>4800</v>
      </c>
      <c r="F144" s="163"/>
      <c r="G144" s="1128">
        <v>5140</v>
      </c>
      <c r="H144" s="1058">
        <v>6160</v>
      </c>
    </row>
    <row r="145" spans="1:10">
      <c r="C145" s="206">
        <v>52.74</v>
      </c>
      <c r="D145" s="206"/>
      <c r="E145" s="206">
        <v>64.33</v>
      </c>
      <c r="F145" s="206"/>
      <c r="G145" s="1127"/>
      <c r="H145" s="1059">
        <f>IF('Data Entry - SOF'!E74&lt;'Data Entry - SOF'!E124,H144*('Data Entry - SOF'!E74/'Data Entry - SOF'!E124),H144)</f>
        <v>6160</v>
      </c>
    </row>
    <row r="146" spans="1:10">
      <c r="A146" s="52" t="s">
        <v>960</v>
      </c>
      <c r="C146" s="206">
        <v>64.33</v>
      </c>
      <c r="D146" s="206"/>
      <c r="E146" s="206">
        <v>64.33</v>
      </c>
      <c r="F146" s="206"/>
      <c r="G146" s="1127">
        <f>G137</f>
        <v>135.91999999999999</v>
      </c>
      <c r="H146" s="1134">
        <f>(H144*1.6)/100</f>
        <v>98.56</v>
      </c>
    </row>
    <row r="147" spans="1:10">
      <c r="A147" s="52" t="s">
        <v>1797</v>
      </c>
      <c r="C147" s="206">
        <v>31.95</v>
      </c>
      <c r="D147" s="206"/>
      <c r="E147" s="206">
        <v>31.95</v>
      </c>
      <c r="F147" s="206"/>
      <c r="G147" s="1127">
        <v>31.95</v>
      </c>
      <c r="H147" s="1134">
        <f>(H144*0.8)/100</f>
        <v>49.28</v>
      </c>
    </row>
    <row r="148" spans="1:10">
      <c r="A148" s="52" t="s">
        <v>1795</v>
      </c>
      <c r="C148" s="163">
        <v>527400</v>
      </c>
      <c r="D148" s="163"/>
      <c r="E148" s="163">
        <v>480000</v>
      </c>
      <c r="F148" s="163"/>
      <c r="G148" s="1128">
        <f>G144*100</f>
        <v>514000</v>
      </c>
      <c r="H148" s="1126" t="s">
        <v>1678</v>
      </c>
    </row>
    <row r="149" spans="1:10">
      <c r="A149" s="52" t="s">
        <v>1796</v>
      </c>
      <c r="C149" s="163">
        <v>319500</v>
      </c>
      <c r="D149" s="163"/>
      <c r="E149" s="163">
        <v>319500</v>
      </c>
      <c r="F149" s="163"/>
      <c r="G149" s="1128">
        <v>319500</v>
      </c>
      <c r="H149" s="1126" t="s">
        <v>1678</v>
      </c>
    </row>
    <row r="150" spans="1:10">
      <c r="A150" s="52" t="s">
        <v>2574</v>
      </c>
      <c r="G150" s="1189">
        <v>400</v>
      </c>
      <c r="H150" s="1135">
        <v>629.51800000000003</v>
      </c>
      <c r="I150" s="1098" t="s">
        <v>11013</v>
      </c>
      <c r="J150" s="25" t="s">
        <v>5952</v>
      </c>
    </row>
    <row r="151" spans="1:10">
      <c r="H151" s="1066"/>
    </row>
    <row r="152" spans="1:10">
      <c r="A152" s="1070" t="s">
        <v>7037</v>
      </c>
      <c r="C152" s="44" t="s">
        <v>850</v>
      </c>
      <c r="D152" s="43"/>
      <c r="E152" s="44" t="s">
        <v>2149</v>
      </c>
      <c r="F152" s="43"/>
      <c r="G152" s="1249" t="str">
        <f>G143</f>
        <v>Current Law</v>
      </c>
      <c r="H152" s="1057" t="s">
        <v>1202</v>
      </c>
    </row>
    <row r="153" spans="1:10">
      <c r="A153" s="52" t="s">
        <v>958</v>
      </c>
      <c r="C153" s="163">
        <v>4535</v>
      </c>
      <c r="D153" s="163"/>
      <c r="E153" s="163">
        <v>4800</v>
      </c>
      <c r="F153" s="163"/>
      <c r="G153" s="1128">
        <v>5140</v>
      </c>
      <c r="H153" s="1058">
        <v>6160</v>
      </c>
    </row>
    <row r="154" spans="1:10">
      <c r="C154" s="206">
        <v>52.74</v>
      </c>
      <c r="D154" s="206"/>
      <c r="E154" s="206">
        <v>64.33</v>
      </c>
      <c r="F154" s="206"/>
      <c r="G154" s="1127"/>
      <c r="H154" s="1059" t="e">
        <f>IF('Data Entry - SOF'!G74&lt;'Data Entry - SOF'!G124,H153*('Data Entry - SOF'!G74/'Data Entry - SOF'!G124),H153)</f>
        <v>#DIV/0!</v>
      </c>
    </row>
    <row r="155" spans="1:10">
      <c r="A155" s="52" t="s">
        <v>960</v>
      </c>
      <c r="C155" s="206">
        <v>64.33</v>
      </c>
      <c r="D155" s="206"/>
      <c r="E155" s="206">
        <v>64.33</v>
      </c>
      <c r="F155" s="206"/>
      <c r="G155" s="1127">
        <f>G146</f>
        <v>135.91999999999999</v>
      </c>
      <c r="H155" s="1134">
        <f>(H153*1.6)/100</f>
        <v>98.56</v>
      </c>
    </row>
    <row r="156" spans="1:10">
      <c r="A156" s="52" t="s">
        <v>1797</v>
      </c>
      <c r="C156" s="206">
        <v>31.95</v>
      </c>
      <c r="D156" s="206"/>
      <c r="E156" s="206">
        <v>31.95</v>
      </c>
      <c r="F156" s="206"/>
      <c r="G156" s="1127">
        <v>31.95</v>
      </c>
      <c r="H156" s="1134">
        <f>(H153*0.8)/100</f>
        <v>49.28</v>
      </c>
    </row>
    <row r="157" spans="1:10">
      <c r="A157" s="52" t="s">
        <v>1795</v>
      </c>
      <c r="C157" s="163">
        <v>527400</v>
      </c>
      <c r="D157" s="163"/>
      <c r="E157" s="163">
        <v>480000</v>
      </c>
      <c r="F157" s="163"/>
      <c r="G157" s="1128">
        <f>G153*100</f>
        <v>514000</v>
      </c>
      <c r="H157" s="1126" t="s">
        <v>1678</v>
      </c>
    </row>
    <row r="158" spans="1:10">
      <c r="A158" s="52" t="s">
        <v>1796</v>
      </c>
      <c r="C158" s="163">
        <v>319500</v>
      </c>
      <c r="D158" s="163"/>
      <c r="E158" s="163">
        <v>319500</v>
      </c>
      <c r="F158" s="163"/>
      <c r="G158" s="1128">
        <v>319500</v>
      </c>
      <c r="H158" s="1126" t="s">
        <v>1678</v>
      </c>
    </row>
    <row r="159" spans="1:10">
      <c r="A159" s="52" t="s">
        <v>2574</v>
      </c>
      <c r="G159" s="1189">
        <v>200</v>
      </c>
      <c r="H159" s="1135">
        <v>400</v>
      </c>
      <c r="I159" s="1098" t="s">
        <v>7426</v>
      </c>
      <c r="J159" s="25" t="s">
        <v>5952</v>
      </c>
    </row>
    <row r="160" spans="1:10">
      <c r="H160" s="1099"/>
    </row>
    <row r="161" spans="1:13">
      <c r="A161" s="1070" t="s">
        <v>8487</v>
      </c>
      <c r="C161" s="44" t="s">
        <v>850</v>
      </c>
      <c r="D161" s="43"/>
      <c r="E161" s="44" t="s">
        <v>2149</v>
      </c>
      <c r="F161" s="43"/>
      <c r="H161" s="1057" t="s">
        <v>1202</v>
      </c>
      <c r="J161" s="52"/>
      <c r="K161" s="52"/>
      <c r="L161" s="52"/>
      <c r="M161" s="52"/>
    </row>
    <row r="162" spans="1:13">
      <c r="A162" s="52" t="s">
        <v>958</v>
      </c>
      <c r="C162" s="163">
        <v>4535</v>
      </c>
      <c r="D162" s="163"/>
      <c r="E162" s="163">
        <v>4800</v>
      </c>
      <c r="F162" s="163"/>
      <c r="H162" s="1058">
        <v>6160</v>
      </c>
      <c r="J162" s="52"/>
      <c r="K162" s="52"/>
      <c r="L162" s="52"/>
      <c r="M162" s="52"/>
    </row>
    <row r="163" spans="1:13">
      <c r="C163" s="206">
        <v>52.74</v>
      </c>
      <c r="D163" s="206"/>
      <c r="E163" s="206">
        <v>64.33</v>
      </c>
      <c r="F163" s="206"/>
      <c r="H163" s="1059" t="e">
        <f>IF('Data Entry - SOF'!I74&lt;'Data Entry - SOF'!I124,H162*('Data Entry - SOF'!I74/'Data Entry - SOF'!I124),H162)</f>
        <v>#DIV/0!</v>
      </c>
      <c r="J163" s="52"/>
      <c r="K163" s="52"/>
      <c r="L163" s="52"/>
      <c r="M163" s="52"/>
    </row>
    <row r="164" spans="1:13">
      <c r="A164" s="52" t="s">
        <v>960</v>
      </c>
      <c r="C164" s="206">
        <v>64.33</v>
      </c>
      <c r="D164" s="206"/>
      <c r="E164" s="206">
        <v>64.33</v>
      </c>
      <c r="F164" s="206"/>
      <c r="H164" s="1134">
        <f>(H162*1.6)/100</f>
        <v>98.56</v>
      </c>
      <c r="J164" s="52"/>
      <c r="K164" s="52"/>
      <c r="L164" s="52"/>
      <c r="M164" s="52"/>
    </row>
    <row r="165" spans="1:13">
      <c r="A165" s="52" t="s">
        <v>1797</v>
      </c>
      <c r="C165" s="206">
        <v>31.95</v>
      </c>
      <c r="D165" s="206"/>
      <c r="E165" s="206">
        <v>31.95</v>
      </c>
      <c r="F165" s="206"/>
      <c r="H165" s="1134">
        <f>(H162*0.8)/100</f>
        <v>49.28</v>
      </c>
      <c r="J165" s="52"/>
      <c r="K165" s="52"/>
      <c r="L165" s="52"/>
      <c r="M165" s="52"/>
    </row>
    <row r="166" spans="1:13">
      <c r="A166" s="52" t="s">
        <v>1795</v>
      </c>
      <c r="C166" s="163">
        <v>527400</v>
      </c>
      <c r="D166" s="163"/>
      <c r="E166" s="163">
        <v>480000</v>
      </c>
      <c r="F166" s="163"/>
      <c r="H166" s="1126" t="s">
        <v>1678</v>
      </c>
      <c r="J166" s="52"/>
      <c r="K166" s="52"/>
      <c r="L166" s="52"/>
      <c r="M166" s="52"/>
    </row>
    <row r="167" spans="1:13">
      <c r="A167" s="52" t="s">
        <v>1796</v>
      </c>
      <c r="C167" s="163">
        <v>319500</v>
      </c>
      <c r="D167" s="163"/>
      <c r="E167" s="163">
        <v>319500</v>
      </c>
      <c r="F167" s="163"/>
      <c r="H167" s="1126" t="s">
        <v>1678</v>
      </c>
    </row>
    <row r="168" spans="1:13">
      <c r="A168" s="52" t="s">
        <v>2574</v>
      </c>
      <c r="H168" s="1135">
        <v>450</v>
      </c>
      <c r="I168" s="1098" t="s">
        <v>7426</v>
      </c>
    </row>
    <row r="169" spans="1:13" ht="11.5" customHeight="1"/>
    <row r="170" spans="1:13">
      <c r="A170" s="1070" t="s">
        <v>9171</v>
      </c>
      <c r="C170" s="44" t="s">
        <v>850</v>
      </c>
      <c r="D170" s="43"/>
      <c r="E170" s="44" t="s">
        <v>2149</v>
      </c>
      <c r="F170" s="43"/>
      <c r="H170" s="1057" t="s">
        <v>1202</v>
      </c>
    </row>
    <row r="171" spans="1:13">
      <c r="A171" s="52" t="s">
        <v>958</v>
      </c>
      <c r="C171" s="163">
        <v>4535</v>
      </c>
      <c r="D171" s="163"/>
      <c r="E171" s="163">
        <v>4800</v>
      </c>
      <c r="F171" s="163"/>
      <c r="H171" s="1058">
        <v>6160</v>
      </c>
    </row>
    <row r="172" spans="1:13">
      <c r="C172" s="206">
        <v>52.74</v>
      </c>
      <c r="D172" s="206"/>
      <c r="E172" s="206">
        <v>64.33</v>
      </c>
      <c r="F172" s="206"/>
      <c r="H172" s="1059" t="e">
        <f>IF('Data Entry - SOF'!K74&lt;'Data Entry - SOF'!K124,H171*('Data Entry - SOF'!K74/'Data Entry - SOF'!K124),H171)</f>
        <v>#DIV/0!</v>
      </c>
    </row>
    <row r="173" spans="1:13">
      <c r="A173" s="52" t="s">
        <v>960</v>
      </c>
      <c r="C173" s="206">
        <v>64.33</v>
      </c>
      <c r="D173" s="206"/>
      <c r="E173" s="206">
        <v>64.33</v>
      </c>
      <c r="F173" s="206"/>
      <c r="H173" s="1134">
        <f>(H171*1.6)/100</f>
        <v>98.56</v>
      </c>
    </row>
    <row r="174" spans="1:13">
      <c r="A174" s="52" t="s">
        <v>1797</v>
      </c>
      <c r="C174" s="206">
        <v>31.95</v>
      </c>
      <c r="D174" s="206"/>
      <c r="E174" s="206">
        <v>31.95</v>
      </c>
      <c r="F174" s="206"/>
      <c r="H174" s="1134">
        <f>(H171*0.8)/100</f>
        <v>49.28</v>
      </c>
    </row>
    <row r="175" spans="1:13">
      <c r="A175" s="52" t="s">
        <v>1795</v>
      </c>
      <c r="C175" s="163">
        <v>527400</v>
      </c>
      <c r="D175" s="163"/>
      <c r="E175" s="163">
        <v>480000</v>
      </c>
      <c r="F175" s="163"/>
      <c r="H175" s="1126" t="s">
        <v>1678</v>
      </c>
    </row>
    <row r="176" spans="1:13">
      <c r="A176" s="52" t="s">
        <v>1796</v>
      </c>
      <c r="C176" s="163">
        <v>319500</v>
      </c>
      <c r="D176" s="163"/>
      <c r="E176" s="163">
        <v>319500</v>
      </c>
      <c r="F176" s="163"/>
      <c r="H176" s="1126" t="s">
        <v>1678</v>
      </c>
    </row>
    <row r="177" spans="1:9">
      <c r="A177" s="52" t="s">
        <v>2574</v>
      </c>
      <c r="H177" s="1135">
        <v>400</v>
      </c>
      <c r="I177" s="1098" t="s">
        <v>7426</v>
      </c>
    </row>
    <row r="179" spans="1:9">
      <c r="A179" s="1070" t="s">
        <v>11049</v>
      </c>
      <c r="C179" s="44" t="s">
        <v>850</v>
      </c>
      <c r="D179" s="43"/>
      <c r="E179" s="44" t="s">
        <v>2149</v>
      </c>
      <c r="F179" s="43"/>
      <c r="H179" s="1057" t="s">
        <v>1202</v>
      </c>
      <c r="I179" s="2042"/>
    </row>
    <row r="180" spans="1:9">
      <c r="A180" s="52" t="s">
        <v>958</v>
      </c>
      <c r="C180" s="163">
        <v>4535</v>
      </c>
      <c r="D180" s="163"/>
      <c r="E180" s="163">
        <v>4800</v>
      </c>
      <c r="F180" s="163"/>
      <c r="H180" s="1058">
        <v>6160</v>
      </c>
      <c r="I180" s="2042"/>
    </row>
    <row r="181" spans="1:9">
      <c r="C181" s="206">
        <v>52.74</v>
      </c>
      <c r="D181" s="206"/>
      <c r="E181" s="206">
        <v>64.33</v>
      </c>
      <c r="F181" s="206"/>
      <c r="H181" s="1059">
        <f>IF('Data Entry - SOF'!M83&lt;'Data Entry - SOF'!M133,H180*('Data Entry - SOF'!M83/'Data Entry - SOF'!M133),H180)</f>
        <v>6160</v>
      </c>
      <c r="I181" s="2042"/>
    </row>
    <row r="182" spans="1:9">
      <c r="A182" s="52" t="s">
        <v>960</v>
      </c>
      <c r="C182" s="206">
        <v>64.33</v>
      </c>
      <c r="D182" s="206"/>
      <c r="E182" s="206">
        <v>64.33</v>
      </c>
      <c r="F182" s="206"/>
      <c r="H182" s="1134">
        <f>(H180*1.6)/100</f>
        <v>98.56</v>
      </c>
      <c r="I182" s="2042"/>
    </row>
    <row r="183" spans="1:9">
      <c r="A183" s="52" t="s">
        <v>1797</v>
      </c>
      <c r="C183" s="206">
        <v>31.95</v>
      </c>
      <c r="D183" s="206"/>
      <c r="E183" s="206">
        <v>31.95</v>
      </c>
      <c r="F183" s="206"/>
      <c r="H183" s="1134">
        <f>(H180*0.8)/100</f>
        <v>49.28</v>
      </c>
      <c r="I183" s="2042"/>
    </row>
    <row r="184" spans="1:9">
      <c r="A184" s="52" t="s">
        <v>1795</v>
      </c>
      <c r="C184" s="163">
        <v>527400</v>
      </c>
      <c r="D184" s="163"/>
      <c r="E184" s="163">
        <v>480000</v>
      </c>
      <c r="F184" s="163"/>
      <c r="H184" s="1126" t="s">
        <v>1678</v>
      </c>
      <c r="I184" s="2042"/>
    </row>
    <row r="185" spans="1:9">
      <c r="A185" s="52" t="s">
        <v>1796</v>
      </c>
      <c r="C185" s="163">
        <v>319500</v>
      </c>
      <c r="D185" s="163"/>
      <c r="E185" s="163">
        <v>319500</v>
      </c>
      <c r="F185" s="163"/>
      <c r="H185" s="1126" t="s">
        <v>1678</v>
      </c>
      <c r="I185" s="2042"/>
    </row>
    <row r="186" spans="1:9">
      <c r="A186" s="52" t="s">
        <v>2574</v>
      </c>
      <c r="H186" s="1135">
        <v>400</v>
      </c>
      <c r="I186" s="1098" t="s">
        <v>7426</v>
      </c>
    </row>
  </sheetData>
  <phoneticPr fontId="24" type="noConversion"/>
  <pageMargins left="0.45" right="0.45" top="0.5" bottom="0.5" header="0.3" footer="0.3"/>
  <pageSetup scale="78" orientation="landscape"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66FF33"/>
  </sheetPr>
  <dimension ref="A1:D72"/>
  <sheetViews>
    <sheetView workbookViewId="0">
      <selection activeCell="D1" sqref="D1"/>
    </sheetView>
  </sheetViews>
  <sheetFormatPr defaultColWidth="8.7265625" defaultRowHeight="12.5"/>
  <cols>
    <col min="1" max="1" width="69.36328125" style="2042" customWidth="1"/>
    <col min="2" max="2" width="19.81640625" style="2042" customWidth="1"/>
    <col min="3" max="3" width="24.453125" style="2042" customWidth="1"/>
    <col min="4" max="4" width="26.54296875" style="2042" customWidth="1"/>
    <col min="5" max="16384" width="8.7265625" style="2042"/>
  </cols>
  <sheetData>
    <row r="1" spans="1:4" ht="13">
      <c r="A1" s="245" t="s">
        <v>2716</v>
      </c>
      <c r="D1" s="1791" t="str">
        <f>'T1Detail2324-HB3'!D1</f>
        <v>Release 2</v>
      </c>
    </row>
    <row r="2" spans="1:4" ht="13">
      <c r="A2" s="245" t="s">
        <v>2717</v>
      </c>
      <c r="D2" s="1803">
        <f>'T1Detail2324-HB3'!D2</f>
        <v>44930</v>
      </c>
    </row>
    <row r="3" spans="1:4" ht="13">
      <c r="A3" s="52"/>
      <c r="D3" s="47"/>
    </row>
    <row r="4" spans="1:4" ht="15.5">
      <c r="A4" s="246" t="s">
        <v>9208</v>
      </c>
    </row>
    <row r="5" spans="1:4" ht="15.5">
      <c r="A5" s="248" t="str">
        <f>'Data Entry - SOF'!B1</f>
        <v xml:space="preserve"> </v>
      </c>
    </row>
    <row r="6" spans="1:4" ht="15.5">
      <c r="A6" s="246">
        <f>'Data Entry - SOF'!B2</f>
        <v>0</v>
      </c>
    </row>
    <row r="8" spans="1:4" ht="18">
      <c r="A8" s="1792"/>
      <c r="B8" s="1793"/>
      <c r="C8" s="1794" t="s">
        <v>2640</v>
      </c>
      <c r="D8" s="1795"/>
    </row>
    <row r="9" spans="1:4" ht="18">
      <c r="A9" s="1796" t="s">
        <v>2632</v>
      </c>
      <c r="B9" s="1797" t="s">
        <v>2609</v>
      </c>
      <c r="C9" s="1796" t="s">
        <v>2641</v>
      </c>
      <c r="D9" s="1776" t="s">
        <v>2633</v>
      </c>
    </row>
    <row r="10" spans="1:4" s="2040" customFormat="1" ht="15.5">
      <c r="A10" s="1780" t="s">
        <v>2634</v>
      </c>
      <c r="B10" s="1781"/>
      <c r="C10" s="1781"/>
      <c r="D10" s="1782"/>
    </row>
    <row r="11" spans="1:4" s="2040" customFormat="1" ht="15.5">
      <c r="A11" s="251" t="s">
        <v>8217</v>
      </c>
      <c r="B11" s="254">
        <f>Weights!K4</f>
        <v>1</v>
      </c>
      <c r="C11" s="256">
        <f>'Report-SOF2526-SB1'!D11</f>
        <v>0</v>
      </c>
      <c r="D11" s="255" t="e">
        <f>'Report-SOF2526-SB1'!D33</f>
        <v>#DIV/0!</v>
      </c>
    </row>
    <row r="12" spans="1:4" s="2040" customFormat="1" ht="15.5">
      <c r="A12" s="1780" t="s">
        <v>10756</v>
      </c>
      <c r="B12" s="1781"/>
      <c r="C12" s="1781"/>
      <c r="D12" s="1782"/>
    </row>
    <row r="13" spans="1:4" s="2040" customFormat="1" ht="15.5">
      <c r="A13" s="2740" t="s">
        <v>2633</v>
      </c>
      <c r="B13" s="2741"/>
      <c r="C13" s="2742"/>
      <c r="D13" s="2743"/>
    </row>
    <row r="14" spans="1:4" s="2040" customFormat="1" ht="15.5">
      <c r="A14" s="1780" t="s">
        <v>10757</v>
      </c>
      <c r="B14" s="1781"/>
      <c r="C14" s="1781"/>
      <c r="D14" s="1782"/>
    </row>
    <row r="15" spans="1:4" s="2040" customFormat="1" ht="15.5">
      <c r="A15" s="251" t="s">
        <v>8216</v>
      </c>
      <c r="B15" s="273" t="s">
        <v>1678</v>
      </c>
      <c r="C15" s="256">
        <f>'Calc Data'!H8</f>
        <v>0</v>
      </c>
      <c r="D15" s="255" t="e">
        <f>'SOF2526-HB3'!I22</f>
        <v>#DIV/0!</v>
      </c>
    </row>
    <row r="16" spans="1:4" s="2040" customFormat="1" ht="15.5">
      <c r="A16" s="251" t="s">
        <v>2636</v>
      </c>
      <c r="B16" s="276">
        <f>'Weights-HB3'!M18</f>
        <v>1.1499999999999999</v>
      </c>
      <c r="C16" s="256">
        <f>'Data Entry - SOF'!K32</f>
        <v>0</v>
      </c>
      <c r="D16" s="255">
        <f>'SOF2526-HB3'!I24</f>
        <v>0</v>
      </c>
    </row>
    <row r="17" spans="1:4" s="2040" customFormat="1" ht="15.5">
      <c r="A17" s="251" t="s">
        <v>2637</v>
      </c>
      <c r="B17" s="276">
        <f>'Weights-HB3'!M16</f>
        <v>4</v>
      </c>
      <c r="C17" s="256">
        <f>'Data Entry - SOF'!K31</f>
        <v>0</v>
      </c>
      <c r="D17" s="255">
        <f>'SOF2526-HB3'!I25</f>
        <v>0</v>
      </c>
    </row>
    <row r="18" spans="1:4" s="2040" customFormat="1" ht="15.5">
      <c r="A18" s="251" t="s">
        <v>2619</v>
      </c>
      <c r="B18" s="276">
        <f>'Weights-HB3'!M14</f>
        <v>2.8</v>
      </c>
      <c r="C18" s="256">
        <f>'Data Entry - SOF'!K29</f>
        <v>0</v>
      </c>
      <c r="D18" s="255">
        <f>'SOF2526-HB3'!I26</f>
        <v>0</v>
      </c>
    </row>
    <row r="19" spans="1:4" s="2040" customFormat="1" ht="15.5">
      <c r="A19" s="251" t="s">
        <v>2622</v>
      </c>
      <c r="B19" s="276">
        <f>'Weights-HB3'!M15</f>
        <v>1.7</v>
      </c>
      <c r="C19" s="256">
        <f>'Data Entry - SOF'!K30</f>
        <v>0</v>
      </c>
      <c r="D19" s="255">
        <f>'SOF2526-HB3'!I27</f>
        <v>0</v>
      </c>
    </row>
    <row r="20" spans="1:4" s="2040" customFormat="1" ht="15.5">
      <c r="A20" s="266" t="s">
        <v>10776</v>
      </c>
      <c r="B20" s="278" t="s">
        <v>1678</v>
      </c>
      <c r="C20" s="273" t="s">
        <v>1678</v>
      </c>
      <c r="D20" s="277">
        <f>'SOF2526-HB3'!I28</f>
        <v>0</v>
      </c>
    </row>
    <row r="21" spans="1:4" s="2040" customFormat="1" ht="15.5">
      <c r="A21" s="251" t="s">
        <v>2639</v>
      </c>
      <c r="B21" s="273" t="s">
        <v>1678</v>
      </c>
      <c r="C21" s="273" t="s">
        <v>1678</v>
      </c>
      <c r="D21" s="255" t="e">
        <f>'Report-SOF2526-SB1'!D35</f>
        <v>#DIV/0!</v>
      </c>
    </row>
    <row r="22" spans="1:4" ht="15.5">
      <c r="A22" s="1780" t="s">
        <v>10758</v>
      </c>
      <c r="B22" s="1781"/>
      <c r="C22" s="1781"/>
      <c r="D22" s="1782"/>
    </row>
    <row r="23" spans="1:4" ht="15.5">
      <c r="A23" s="1731" t="s">
        <v>7436</v>
      </c>
      <c r="B23" s="1747">
        <f>'Weights-HB3'!M72</f>
        <v>0.1</v>
      </c>
      <c r="C23" s="1748">
        <f>'Data Entry - SOF'!K60</f>
        <v>0</v>
      </c>
      <c r="D23" s="1735" t="e">
        <f>'Report-SOF2526-SB1'!D36</f>
        <v>#DIV/0!</v>
      </c>
    </row>
    <row r="24" spans="1:4" ht="15.5">
      <c r="A24" s="1780" t="s">
        <v>10759</v>
      </c>
      <c r="B24" s="1781"/>
      <c r="C24" s="1781"/>
      <c r="D24" s="1782"/>
    </row>
    <row r="25" spans="1:4" s="2040" customFormat="1" ht="15.5">
      <c r="A25" s="251" t="s">
        <v>8209</v>
      </c>
      <c r="B25" s="279"/>
      <c r="C25" s="256"/>
      <c r="D25" s="255"/>
    </row>
    <row r="26" spans="1:4" ht="15.5">
      <c r="A26" s="1731" t="s">
        <v>8210</v>
      </c>
      <c r="B26" s="1746">
        <f>'Weights-HB3'!M34</f>
        <v>0.2</v>
      </c>
      <c r="C26" s="1732">
        <f>'Data Entry - SOF'!K49</f>
        <v>0</v>
      </c>
      <c r="D26" s="1735" t="e">
        <f>'SOF2526-HB3'!I36</f>
        <v>#DIV/0!</v>
      </c>
    </row>
    <row r="27" spans="1:4" ht="15.5">
      <c r="A27" s="1731" t="s">
        <v>8211</v>
      </c>
      <c r="B27" s="1746">
        <f>'Weights-HB3'!M36</f>
        <v>0.22500000000000001</v>
      </c>
      <c r="C27" s="1732">
        <f>'Data Entry - SOF'!K51</f>
        <v>0</v>
      </c>
      <c r="D27" s="1735" t="e">
        <f>'SOF2526-HB3'!I37</f>
        <v>#DIV/0!</v>
      </c>
    </row>
    <row r="28" spans="1:4" s="2040" customFormat="1" ht="15.5">
      <c r="A28" s="1731" t="s">
        <v>8212</v>
      </c>
      <c r="B28" s="1746">
        <f>'Weights-HB3'!M37</f>
        <v>0.23749999999999999</v>
      </c>
      <c r="C28" s="1732">
        <f>'Data Entry - SOF'!K52</f>
        <v>0</v>
      </c>
      <c r="D28" s="1735" t="e">
        <f>'SOF2526-HB3'!I38</f>
        <v>#DIV/0!</v>
      </c>
    </row>
    <row r="29" spans="1:4" ht="15.5">
      <c r="A29" s="1731" t="s">
        <v>8213</v>
      </c>
      <c r="B29" s="1746">
        <f>'Weights-HB3'!M38</f>
        <v>0.25</v>
      </c>
      <c r="C29" s="1732">
        <f>'Data Entry - SOF'!K53</f>
        <v>0</v>
      </c>
      <c r="D29" s="1735" t="e">
        <f>'SOF2526-HB3'!I39</f>
        <v>#DIV/0!</v>
      </c>
    </row>
    <row r="30" spans="1:4" ht="15.5">
      <c r="A30" s="1731" t="s">
        <v>8214</v>
      </c>
      <c r="B30" s="1746">
        <f>'Weights-HB3'!M39</f>
        <v>0.26250000000000001</v>
      </c>
      <c r="C30" s="1732">
        <f>'Data Entry - SOF'!K54</f>
        <v>0</v>
      </c>
      <c r="D30" s="1735" t="e">
        <f>'SOF2526-HB3'!I40</f>
        <v>#DIV/0!</v>
      </c>
    </row>
    <row r="31" spans="1:4" ht="15.5">
      <c r="A31" s="1731" t="s">
        <v>8215</v>
      </c>
      <c r="B31" s="1746">
        <f>'Weights-HB3'!M40</f>
        <v>0.27500000000000002</v>
      </c>
      <c r="C31" s="1732">
        <f>'Data Entry - SOF'!K55</f>
        <v>0</v>
      </c>
      <c r="D31" s="1735" t="e">
        <f>'SOF2526-HB3'!I41</f>
        <v>#DIV/0!</v>
      </c>
    </row>
    <row r="32" spans="1:4" ht="15.5">
      <c r="A32" s="251" t="s">
        <v>2731</v>
      </c>
      <c r="B32" s="1746">
        <f>'Weights-HB3'!M43</f>
        <v>2.41</v>
      </c>
      <c r="C32" s="1732">
        <f>'Data Entry - SOF'!K33</f>
        <v>0</v>
      </c>
      <c r="D32" s="1735" t="e">
        <f>'SOF2526-HB3'!I42</f>
        <v>#DIV/0!</v>
      </c>
    </row>
    <row r="33" spans="1:4" ht="15.5">
      <c r="A33" s="251" t="s">
        <v>2732</v>
      </c>
      <c r="B33" s="273" t="s">
        <v>1678</v>
      </c>
      <c r="C33" s="273" t="s">
        <v>1678</v>
      </c>
      <c r="D33" s="255" t="e">
        <f>'Report-SOF2526-SB1'!D37</f>
        <v>#DIV/0!</v>
      </c>
    </row>
    <row r="34" spans="1:4" ht="15.5">
      <c r="A34" s="1780" t="s">
        <v>10760</v>
      </c>
      <c r="B34" s="1781"/>
      <c r="C34" s="1781"/>
      <c r="D34" s="1782"/>
    </row>
    <row r="35" spans="1:4" ht="15.5">
      <c r="A35" s="251" t="s">
        <v>8218</v>
      </c>
      <c r="B35" s="1745">
        <f>'Weights-HB3'!M26</f>
        <v>0.1</v>
      </c>
      <c r="C35" s="256">
        <f>'Data Entry - SOF'!K41</f>
        <v>0</v>
      </c>
      <c r="D35" s="255" t="e">
        <f>'SOF2526-HB3'!I43</f>
        <v>#DIV/0!</v>
      </c>
    </row>
    <row r="36" spans="1:4" ht="15.5">
      <c r="A36" s="1731" t="s">
        <v>8219</v>
      </c>
      <c r="B36" s="1745">
        <f>'Weights-HB3'!M27</f>
        <v>0.15</v>
      </c>
      <c r="C36" s="256">
        <f>'Data Entry - SOF'!K42</f>
        <v>0</v>
      </c>
      <c r="D36" s="255" t="e">
        <f>'SOF2526-HB3'!I44</f>
        <v>#DIV/0!</v>
      </c>
    </row>
    <row r="37" spans="1:4" ht="15.5">
      <c r="A37" s="1731" t="s">
        <v>8220</v>
      </c>
      <c r="B37" s="1745">
        <f>'Weights-HB3'!M28</f>
        <v>0.05</v>
      </c>
      <c r="C37" s="256">
        <f>'Data Entry - SOF'!K43</f>
        <v>0</v>
      </c>
      <c r="D37" s="255" t="e">
        <f>'SOF2526-HB3'!I45</f>
        <v>#DIV/0!</v>
      </c>
    </row>
    <row r="38" spans="1:4" ht="15.5">
      <c r="A38" s="1731" t="s">
        <v>2643</v>
      </c>
      <c r="B38" s="273" t="s">
        <v>1678</v>
      </c>
      <c r="C38" s="273" t="s">
        <v>1678</v>
      </c>
      <c r="D38" s="1735" t="e">
        <f>'Report-SOF2526-SB1'!D38</f>
        <v>#DIV/0!</v>
      </c>
    </row>
    <row r="39" spans="1:4" s="2040" customFormat="1" ht="15.5">
      <c r="A39" s="1780" t="s">
        <v>10761</v>
      </c>
      <c r="B39" s="1781"/>
      <c r="C39" s="1781"/>
      <c r="D39" s="1782"/>
    </row>
    <row r="40" spans="1:4" s="2040" customFormat="1" ht="15.5">
      <c r="A40" s="251" t="s">
        <v>10762</v>
      </c>
      <c r="B40" s="1745">
        <f>'Weights-HB3'!M21</f>
        <v>1.1000000000000001</v>
      </c>
      <c r="C40" s="256">
        <f>'Data Entry - SOF'!K36</f>
        <v>0</v>
      </c>
      <c r="D40" s="255" t="e">
        <f>'SOF2526-HB3'!I29</f>
        <v>#DIV/0!</v>
      </c>
    </row>
    <row r="41" spans="1:4" s="2040" customFormat="1" ht="15.5">
      <c r="A41" s="2747" t="s">
        <v>10763</v>
      </c>
      <c r="B41" s="2749">
        <f>'Weights-HB3'!M22</f>
        <v>1.28</v>
      </c>
      <c r="C41" s="2750">
        <f>'Data Entry - SOF'!K37</f>
        <v>0</v>
      </c>
      <c r="D41" s="2751" t="e">
        <f>'SOF2526-HB3'!I30</f>
        <v>#DIV/0!</v>
      </c>
    </row>
    <row r="42" spans="1:4" s="2040" customFormat="1" ht="15.5">
      <c r="A42" s="2746" t="s">
        <v>10764</v>
      </c>
      <c r="B42" s="2132"/>
      <c r="C42" s="2748"/>
      <c r="D42" s="2132"/>
    </row>
    <row r="43" spans="1:4" s="2040" customFormat="1" ht="15.5">
      <c r="A43" s="2747" t="s">
        <v>10763</v>
      </c>
      <c r="B43" s="2749">
        <f>'Weights-HB3'!M23</f>
        <v>1.47</v>
      </c>
      <c r="C43" s="2750">
        <f>'Data Entry - SOF'!K38</f>
        <v>0</v>
      </c>
      <c r="D43" s="2751" t="e">
        <f>'SOF2526-HB3'!I31</f>
        <v>#DIV/0!</v>
      </c>
    </row>
    <row r="44" spans="1:4" s="2040" customFormat="1" ht="15.5">
      <c r="A44" s="2746" t="s">
        <v>10765</v>
      </c>
      <c r="B44" s="2132"/>
      <c r="C44" s="2748"/>
      <c r="D44" s="2132"/>
    </row>
    <row r="45" spans="1:4" s="2040" customFormat="1" ht="15.5">
      <c r="A45" s="2745" t="s">
        <v>10766</v>
      </c>
      <c r="B45" s="1735">
        <f>'Weights-HB3'!M24</f>
        <v>50</v>
      </c>
      <c r="C45" s="2744">
        <f>'Data Entry - SOF'!K39</f>
        <v>0</v>
      </c>
      <c r="D45" s="2754">
        <f>ROUND('Weights-HB3'!M24*C45,0)</f>
        <v>0</v>
      </c>
    </row>
    <row r="46" spans="1:4" s="2040" customFormat="1" ht="15.5">
      <c r="A46" s="2745" t="s">
        <v>10767</v>
      </c>
      <c r="B46" s="2440">
        <f>B45</f>
        <v>50</v>
      </c>
      <c r="C46" s="2744">
        <f>'Data Entry - SOF'!K40</f>
        <v>0</v>
      </c>
      <c r="D46" s="2754">
        <f>ROUND('Weights-HB3'!M24*C46,0)</f>
        <v>0</v>
      </c>
    </row>
    <row r="47" spans="1:4" s="2040" customFormat="1" ht="15.5">
      <c r="A47" s="251" t="s">
        <v>10768</v>
      </c>
      <c r="B47" s="273" t="s">
        <v>1678</v>
      </c>
      <c r="C47" s="273" t="s">
        <v>1678</v>
      </c>
      <c r="D47" s="255" t="e">
        <f>'Report-SOF2526-SB1'!D39</f>
        <v>#DIV/0!</v>
      </c>
    </row>
    <row r="48" spans="1:4" s="2040" customFormat="1" ht="15.5">
      <c r="A48" s="1780" t="s">
        <v>10769</v>
      </c>
      <c r="B48" s="1781"/>
      <c r="C48" s="1781"/>
      <c r="D48" s="1782"/>
    </row>
    <row r="49" spans="1:4" s="2040" customFormat="1" ht="15.5">
      <c r="A49" s="251" t="s">
        <v>2644</v>
      </c>
      <c r="B49" s="279">
        <f>'Weights-HB3'!M49</f>
        <v>0.1</v>
      </c>
      <c r="C49" s="256">
        <f>'Data Entry - SOF'!K46</f>
        <v>0</v>
      </c>
      <c r="D49" s="255" t="e">
        <f>'Report-SOF2526-SB1'!D40</f>
        <v>#DIV/0!</v>
      </c>
    </row>
    <row r="50" spans="1:4" s="2040" customFormat="1" ht="15.5">
      <c r="A50" s="1780" t="s">
        <v>10770</v>
      </c>
      <c r="B50" s="1781"/>
      <c r="C50" s="1781"/>
      <c r="D50" s="1782"/>
    </row>
    <row r="51" spans="1:4" s="2040" customFormat="1" ht="15.5">
      <c r="A51" s="1731" t="s">
        <v>7628</v>
      </c>
      <c r="B51" s="1747">
        <f>'Weights-HB3'!M74</f>
        <v>0.1</v>
      </c>
      <c r="C51" s="1748">
        <f>'Data Entry - SOF'!K45</f>
        <v>0</v>
      </c>
      <c r="D51" s="1735" t="e">
        <f>'Report-SOF2526-SB1'!D41</f>
        <v>#DIV/0!</v>
      </c>
    </row>
    <row r="52" spans="1:4" s="2040" customFormat="1" ht="15.5">
      <c r="A52" s="1780" t="s">
        <v>10771</v>
      </c>
      <c r="B52" s="1781"/>
      <c r="C52" s="1781"/>
      <c r="D52" s="1782"/>
    </row>
    <row r="53" spans="1:4" s="2040" customFormat="1" ht="15.5">
      <c r="A53" s="251" t="s">
        <v>10772</v>
      </c>
      <c r="B53" s="279">
        <v>7.0000000000000007E-2</v>
      </c>
      <c r="C53" s="256">
        <f>'Data Entry - SOF'!K44</f>
        <v>0</v>
      </c>
      <c r="D53" s="255" t="e">
        <f>B53*C53*Assumptions!H172</f>
        <v>#DIV/0!</v>
      </c>
    </row>
    <row r="54" spans="1:4" s="2040" customFormat="1" ht="15.5">
      <c r="A54" s="251" t="s">
        <v>10773</v>
      </c>
      <c r="B54" s="279">
        <v>7.0000000000000007E-2</v>
      </c>
      <c r="C54" s="256">
        <f>'Data Entry - SOF'!K189</f>
        <v>0</v>
      </c>
      <c r="D54" s="255" t="e">
        <f>'SOF2526-HB3'!I33</f>
        <v>#DIV/0!</v>
      </c>
    </row>
    <row r="55" spans="1:4" s="2040" customFormat="1" ht="15.5">
      <c r="A55" s="2745" t="s">
        <v>10774</v>
      </c>
      <c r="B55" s="273" t="s">
        <v>1678</v>
      </c>
      <c r="C55" s="273" t="s">
        <v>1678</v>
      </c>
      <c r="D55" s="2440" t="e">
        <f>D54</f>
        <v>#DIV/0!</v>
      </c>
    </row>
    <row r="56" spans="1:4" s="2040" customFormat="1" ht="15.5">
      <c r="A56" s="2747" t="s">
        <v>10775</v>
      </c>
      <c r="B56" s="2755" t="s">
        <v>1678</v>
      </c>
      <c r="C56" s="2755" t="s">
        <v>1678</v>
      </c>
      <c r="D56" s="2751">
        <f>'SOF2526-HB3'!I34</f>
        <v>0</v>
      </c>
    </row>
    <row r="57" spans="1:4" s="2040" customFormat="1" ht="15.5">
      <c r="A57" s="2126" t="s">
        <v>2638</v>
      </c>
      <c r="B57" s="2752"/>
      <c r="C57" s="2752"/>
      <c r="D57" s="2753"/>
    </row>
    <row r="58" spans="1:4" ht="15.5">
      <c r="A58" s="2429" t="s">
        <v>10777</v>
      </c>
      <c r="B58" s="273" t="s">
        <v>1678</v>
      </c>
      <c r="C58" s="273" t="s">
        <v>1678</v>
      </c>
      <c r="D58" s="2440" t="e">
        <f>'Report-SOF2526-SB1'!D42</f>
        <v>#DIV/0!</v>
      </c>
    </row>
    <row r="59" spans="1:4" ht="15.5">
      <c r="A59" s="1780" t="s">
        <v>10778</v>
      </c>
      <c r="B59" s="1781"/>
      <c r="C59" s="1781"/>
      <c r="D59" s="1782"/>
    </row>
    <row r="60" spans="1:4" s="2040" customFormat="1" ht="15.5">
      <c r="A60" s="1731" t="s">
        <v>8221</v>
      </c>
      <c r="B60" s="2756">
        <f>'Weights-HB3'!M113</f>
        <v>5000</v>
      </c>
      <c r="C60" s="1748">
        <f>'Data Entry - SOF'!K57</f>
        <v>0</v>
      </c>
      <c r="D60" s="1735">
        <f>B60*C60</f>
        <v>0</v>
      </c>
    </row>
    <row r="61" spans="1:4" s="2040" customFormat="1" ht="15.5">
      <c r="A61" s="1731" t="s">
        <v>8222</v>
      </c>
      <c r="B61" s="2756">
        <f>'Weights-HB3'!M114</f>
        <v>3000</v>
      </c>
      <c r="C61" s="1748">
        <f>'Data Entry - SOF'!K58</f>
        <v>0</v>
      </c>
      <c r="D61" s="1735">
        <f t="shared" ref="D61:D62" si="0">B61*C61</f>
        <v>0</v>
      </c>
    </row>
    <row r="62" spans="1:4" s="2040" customFormat="1" ht="15.5">
      <c r="A62" s="1731" t="s">
        <v>8224</v>
      </c>
      <c r="B62" s="2756">
        <f>'Weights-HB3'!M115</f>
        <v>2000</v>
      </c>
      <c r="C62" s="1748">
        <f>'Data Entry - SOF'!K59</f>
        <v>0</v>
      </c>
      <c r="D62" s="1735">
        <f t="shared" si="0"/>
        <v>0</v>
      </c>
    </row>
    <row r="63" spans="1:4" s="2040" customFormat="1" ht="15.5">
      <c r="A63" s="1731" t="s">
        <v>8223</v>
      </c>
      <c r="B63" s="273" t="s">
        <v>1678</v>
      </c>
      <c r="C63" s="273" t="s">
        <v>1678</v>
      </c>
      <c r="D63" s="1735">
        <f>'Report-SOF2526-SB1'!D43</f>
        <v>0</v>
      </c>
    </row>
    <row r="64" spans="1:4" s="2040" customFormat="1" ht="15.5">
      <c r="A64" s="1780" t="s">
        <v>10779</v>
      </c>
      <c r="B64" s="1781"/>
      <c r="C64" s="1781"/>
      <c r="D64" s="1782"/>
    </row>
    <row r="65" spans="1:4" ht="15.5">
      <c r="A65" s="251" t="s">
        <v>2633</v>
      </c>
      <c r="B65" s="313">
        <f>'Weights-HB3'!M68</f>
        <v>9.7200000000000006</v>
      </c>
      <c r="C65" s="256">
        <f>'Report-SOF2526-SB1'!D10</f>
        <v>0</v>
      </c>
      <c r="D65" s="255">
        <f>'Report-SOF2526-SB1'!D47</f>
        <v>0</v>
      </c>
    </row>
    <row r="66" spans="1:4" ht="15.5">
      <c r="A66" s="1780" t="s">
        <v>10780</v>
      </c>
      <c r="B66" s="1781"/>
      <c r="C66" s="1781"/>
      <c r="D66" s="1782"/>
    </row>
    <row r="67" spans="1:4" ht="15.5">
      <c r="A67" s="251" t="s">
        <v>2633</v>
      </c>
      <c r="B67" s="313">
        <f>'Weights-HB3'!M47</f>
        <v>946.9</v>
      </c>
      <c r="C67" s="256">
        <f>'Data Entry - SOF'!K47</f>
        <v>0</v>
      </c>
      <c r="D67" s="255">
        <f>'Report-SOF2526-SB1'!D50</f>
        <v>0</v>
      </c>
    </row>
    <row r="68" spans="1:4" ht="15.5">
      <c r="A68" s="1780" t="s">
        <v>10781</v>
      </c>
      <c r="B68" s="1781"/>
      <c r="C68" s="1781"/>
      <c r="D68" s="1782"/>
    </row>
    <row r="69" spans="1:4" ht="15.5">
      <c r="A69" s="1731" t="s">
        <v>10782</v>
      </c>
      <c r="B69" s="2756">
        <f>'Weights-HB3'!M125</f>
        <v>275</v>
      </c>
      <c r="C69" s="1748">
        <f>'Data Entry - SOF'!K48</f>
        <v>0</v>
      </c>
      <c r="D69" s="1735">
        <f>B69*C69</f>
        <v>0</v>
      </c>
    </row>
    <row r="70" spans="1:4" ht="15.5">
      <c r="A70" s="1731" t="s">
        <v>10783</v>
      </c>
      <c r="B70" s="2756">
        <f>B69</f>
        <v>275</v>
      </c>
      <c r="C70" s="1748" t="s">
        <v>10786</v>
      </c>
      <c r="D70" s="1748" t="s">
        <v>10786</v>
      </c>
    </row>
    <row r="71" spans="1:4" ht="15.5">
      <c r="A71" s="1731" t="s">
        <v>10784</v>
      </c>
      <c r="B71" s="273" t="s">
        <v>1678</v>
      </c>
      <c r="C71" s="273" t="s">
        <v>1678</v>
      </c>
      <c r="D71" s="1735">
        <f>'Report-SOF2526-SB1'!D51</f>
        <v>0</v>
      </c>
    </row>
    <row r="72" spans="1:4" ht="15.5">
      <c r="C72" s="320" t="s">
        <v>2709</v>
      </c>
      <c r="D72" s="635" t="s">
        <v>10474</v>
      </c>
    </row>
  </sheetData>
  <hyperlinks>
    <hyperlink ref="D72" location="'Report-SOF2526-SB1'!A1" display="'Report-SOF2526-SB1'!A1"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66FF33"/>
  </sheetPr>
  <dimension ref="A1:D72"/>
  <sheetViews>
    <sheetView workbookViewId="0">
      <selection activeCell="D1" sqref="D1"/>
    </sheetView>
  </sheetViews>
  <sheetFormatPr defaultColWidth="8.7265625" defaultRowHeight="12.5"/>
  <cols>
    <col min="1" max="1" width="69.36328125" style="2042" customWidth="1"/>
    <col min="2" max="2" width="19.81640625" style="2042" customWidth="1"/>
    <col min="3" max="3" width="24.453125" style="2042" customWidth="1"/>
    <col min="4" max="4" width="26.54296875" style="2042" customWidth="1"/>
    <col min="5" max="16384" width="8.7265625" style="2042"/>
  </cols>
  <sheetData>
    <row r="1" spans="1:4" ht="13">
      <c r="A1" s="245" t="s">
        <v>2716</v>
      </c>
      <c r="D1" s="1791" t="str">
        <f>'T1Detail2324-HB3'!D1</f>
        <v>Release 2</v>
      </c>
    </row>
    <row r="2" spans="1:4" ht="13">
      <c r="A2" s="245" t="s">
        <v>2717</v>
      </c>
      <c r="D2" s="1803">
        <f>'T1Detail2324-HB3'!D2</f>
        <v>44930</v>
      </c>
    </row>
    <row r="3" spans="1:4" ht="13">
      <c r="A3" s="52"/>
      <c r="D3" s="47"/>
    </row>
    <row r="4" spans="1:4" ht="15.5">
      <c r="A4" s="246" t="s">
        <v>11096</v>
      </c>
    </row>
    <row r="5" spans="1:4" ht="15.5">
      <c r="A5" s="248" t="str">
        <f>'Data Entry - SOF'!B1</f>
        <v xml:space="preserve"> </v>
      </c>
    </row>
    <row r="6" spans="1:4" ht="15.5">
      <c r="A6" s="246">
        <f>'Data Entry - SOF'!B2</f>
        <v>0</v>
      </c>
    </row>
    <row r="8" spans="1:4" ht="18">
      <c r="A8" s="1792"/>
      <c r="B8" s="1793"/>
      <c r="C8" s="1794" t="s">
        <v>2640</v>
      </c>
      <c r="D8" s="1795"/>
    </row>
    <row r="9" spans="1:4" ht="18">
      <c r="A9" s="1796" t="s">
        <v>2632</v>
      </c>
      <c r="B9" s="1797" t="s">
        <v>2609</v>
      </c>
      <c r="C9" s="1796" t="s">
        <v>2641</v>
      </c>
      <c r="D9" s="1776" t="s">
        <v>2633</v>
      </c>
    </row>
    <row r="10" spans="1:4" s="2040" customFormat="1" ht="15.5">
      <c r="A10" s="1780" t="s">
        <v>2634</v>
      </c>
      <c r="B10" s="1781"/>
      <c r="C10" s="1781"/>
      <c r="D10" s="1782"/>
    </row>
    <row r="11" spans="1:4" s="2040" customFormat="1" ht="15.5">
      <c r="A11" s="251" t="s">
        <v>8217</v>
      </c>
      <c r="B11" s="254">
        <f>Weights!K4</f>
        <v>1</v>
      </c>
      <c r="C11" s="256">
        <f>'Report-SOF2627-SB1'!D11</f>
        <v>0</v>
      </c>
      <c r="D11" s="255">
        <f>'Report-SOF2627-SB1'!D33</f>
        <v>0</v>
      </c>
    </row>
    <row r="12" spans="1:4" s="2040" customFormat="1" ht="15.5">
      <c r="A12" s="1780" t="s">
        <v>10756</v>
      </c>
      <c r="B12" s="1781"/>
      <c r="C12" s="1781"/>
      <c r="D12" s="1782"/>
    </row>
    <row r="13" spans="1:4" s="2040" customFormat="1" ht="15.5">
      <c r="A13" s="2740" t="s">
        <v>2633</v>
      </c>
      <c r="B13" s="2741"/>
      <c r="C13" s="2742"/>
      <c r="D13" s="2743"/>
    </row>
    <row r="14" spans="1:4" s="2040" customFormat="1" ht="15.5">
      <c r="A14" s="1780" t="s">
        <v>10757</v>
      </c>
      <c r="B14" s="1781"/>
      <c r="C14" s="1781"/>
      <c r="D14" s="1782"/>
    </row>
    <row r="15" spans="1:4" s="2040" customFormat="1" ht="15.5">
      <c r="A15" s="251" t="s">
        <v>8216</v>
      </c>
      <c r="B15" s="273" t="s">
        <v>1678</v>
      </c>
      <c r="C15" s="256">
        <f>'Calc Data'!I8</f>
        <v>0</v>
      </c>
      <c r="D15" s="255">
        <f>'SOF2627-HB3'!I22</f>
        <v>0</v>
      </c>
    </row>
    <row r="16" spans="1:4" s="2040" customFormat="1" ht="15.5">
      <c r="A16" s="251" t="s">
        <v>2636</v>
      </c>
      <c r="B16" s="276">
        <f>'Weights-HB3'!M18</f>
        <v>1.1499999999999999</v>
      </c>
      <c r="C16" s="256">
        <f>'Data Entry - SOF'!M32</f>
        <v>0</v>
      </c>
      <c r="D16" s="255">
        <f>'SOF2627-HB3'!I24</f>
        <v>0</v>
      </c>
    </row>
    <row r="17" spans="1:4" s="2040" customFormat="1" ht="15.5">
      <c r="A17" s="251" t="s">
        <v>2637</v>
      </c>
      <c r="B17" s="276">
        <f>'Weights-HB3'!M16</f>
        <v>4</v>
      </c>
      <c r="C17" s="256">
        <f>'Data Entry - SOF'!M31</f>
        <v>0</v>
      </c>
      <c r="D17" s="255">
        <f>'SOF2627-HB3'!I25</f>
        <v>0</v>
      </c>
    </row>
    <row r="18" spans="1:4" s="2040" customFormat="1" ht="15.5">
      <c r="A18" s="251" t="s">
        <v>2619</v>
      </c>
      <c r="B18" s="276">
        <f>'Weights-HB3'!M14</f>
        <v>2.8</v>
      </c>
      <c r="C18" s="256">
        <f>'Data Entry - SOF'!M29</f>
        <v>0</v>
      </c>
      <c r="D18" s="255">
        <f>'SOF2627-HB3'!I26</f>
        <v>0</v>
      </c>
    </row>
    <row r="19" spans="1:4" s="2040" customFormat="1" ht="15.5">
      <c r="A19" s="251" t="s">
        <v>2622</v>
      </c>
      <c r="B19" s="276">
        <f>'Weights-HB3'!M15</f>
        <v>1.7</v>
      </c>
      <c r="C19" s="256">
        <f>'Data Entry - SOF'!M30</f>
        <v>0</v>
      </c>
      <c r="D19" s="255">
        <f>'SOF2627-HB3'!I27</f>
        <v>0</v>
      </c>
    </row>
    <row r="20" spans="1:4" s="2040" customFormat="1" ht="15.5">
      <c r="A20" s="266" t="s">
        <v>10776</v>
      </c>
      <c r="B20" s="278" t="s">
        <v>1678</v>
      </c>
      <c r="C20" s="273" t="s">
        <v>1678</v>
      </c>
      <c r="D20" s="277">
        <f>'SOF2627-HB3'!I28</f>
        <v>0</v>
      </c>
    </row>
    <row r="21" spans="1:4" s="2040" customFormat="1" ht="15.5">
      <c r="A21" s="251" t="s">
        <v>2639</v>
      </c>
      <c r="B21" s="273" t="s">
        <v>1678</v>
      </c>
      <c r="C21" s="273" t="s">
        <v>1678</v>
      </c>
      <c r="D21" s="255">
        <f>'Report-SOF2627-SB1'!D35</f>
        <v>0</v>
      </c>
    </row>
    <row r="22" spans="1:4" ht="15.5">
      <c r="A22" s="1780" t="s">
        <v>10758</v>
      </c>
      <c r="B22" s="1781"/>
      <c r="C22" s="1781"/>
      <c r="D22" s="1782"/>
    </row>
    <row r="23" spans="1:4" ht="15.5">
      <c r="A23" s="1731" t="s">
        <v>7436</v>
      </c>
      <c r="B23" s="1747">
        <f>'Weights-HB3'!M72</f>
        <v>0.1</v>
      </c>
      <c r="C23" s="1748">
        <f>'Data Entry - SOF'!M60</f>
        <v>0</v>
      </c>
      <c r="D23" s="1735">
        <f>'Report-SOF2627-SB1'!D36</f>
        <v>0</v>
      </c>
    </row>
    <row r="24" spans="1:4" ht="15.5">
      <c r="A24" s="1780" t="s">
        <v>10759</v>
      </c>
      <c r="B24" s="1781"/>
      <c r="C24" s="1781"/>
      <c r="D24" s="1782"/>
    </row>
    <row r="25" spans="1:4" s="2040" customFormat="1" ht="15.5">
      <c r="A25" s="251" t="s">
        <v>8209</v>
      </c>
      <c r="B25" s="279"/>
      <c r="C25" s="256"/>
      <c r="D25" s="255"/>
    </row>
    <row r="26" spans="1:4" ht="15.5">
      <c r="A26" s="1731" t="s">
        <v>8210</v>
      </c>
      <c r="B26" s="1746">
        <f>'Weights-HB3'!M34</f>
        <v>0.2</v>
      </c>
      <c r="C26" s="1732">
        <f>'Data Entry - SOF'!M49</f>
        <v>0</v>
      </c>
      <c r="D26" s="1735">
        <f>'SOF2627-HB3'!I36</f>
        <v>0</v>
      </c>
    </row>
    <row r="27" spans="1:4" ht="15.5">
      <c r="A27" s="1731" t="s">
        <v>8211</v>
      </c>
      <c r="B27" s="1746">
        <f>'Weights-HB3'!M36</f>
        <v>0.22500000000000001</v>
      </c>
      <c r="C27" s="1732">
        <f>'Data Entry - SOF'!M51</f>
        <v>0</v>
      </c>
      <c r="D27" s="1735">
        <f>'SOF2627-HB3'!I37</f>
        <v>0</v>
      </c>
    </row>
    <row r="28" spans="1:4" s="2040" customFormat="1" ht="15.5">
      <c r="A28" s="1731" t="s">
        <v>8212</v>
      </c>
      <c r="B28" s="1746">
        <f>'Weights-HB3'!M37</f>
        <v>0.23749999999999999</v>
      </c>
      <c r="C28" s="1732">
        <f>'Data Entry - SOF'!M52</f>
        <v>0</v>
      </c>
      <c r="D28" s="1735">
        <f>'SOF2627-HB3'!I38</f>
        <v>0</v>
      </c>
    </row>
    <row r="29" spans="1:4" ht="15.5">
      <c r="A29" s="1731" t="s">
        <v>8213</v>
      </c>
      <c r="B29" s="1746">
        <f>'Weights-HB3'!M38</f>
        <v>0.25</v>
      </c>
      <c r="C29" s="1732">
        <f>'Data Entry - SOF'!M53</f>
        <v>0</v>
      </c>
      <c r="D29" s="1735">
        <f>'SOF2627-HB3'!I39</f>
        <v>0</v>
      </c>
    </row>
    <row r="30" spans="1:4" ht="15.5">
      <c r="A30" s="1731" t="s">
        <v>8214</v>
      </c>
      <c r="B30" s="1746">
        <f>'Weights-HB3'!M39</f>
        <v>0.26250000000000001</v>
      </c>
      <c r="C30" s="1732">
        <f>'Data Entry - SOF'!M54</f>
        <v>0</v>
      </c>
      <c r="D30" s="1735">
        <f>'SOF2627-HB3'!I40</f>
        <v>0</v>
      </c>
    </row>
    <row r="31" spans="1:4" ht="15.5">
      <c r="A31" s="1731" t="s">
        <v>8215</v>
      </c>
      <c r="B31" s="1746">
        <f>'Weights-HB3'!M40</f>
        <v>0.27500000000000002</v>
      </c>
      <c r="C31" s="1732">
        <f>'Data Entry - SOF'!M55</f>
        <v>0</v>
      </c>
      <c r="D31" s="1735">
        <f>'SOF2627-HB3'!I41</f>
        <v>0</v>
      </c>
    </row>
    <row r="32" spans="1:4" ht="15.5">
      <c r="A32" s="251" t="s">
        <v>2731</v>
      </c>
      <c r="B32" s="1746">
        <f>'Weights-HB3'!M43</f>
        <v>2.41</v>
      </c>
      <c r="C32" s="1732">
        <f>'Data Entry - SOF'!M33</f>
        <v>0</v>
      </c>
      <c r="D32" s="1735">
        <f>'SOF2627-HB3'!I42</f>
        <v>0</v>
      </c>
    </row>
    <row r="33" spans="1:4" ht="15.5">
      <c r="A33" s="251" t="s">
        <v>2732</v>
      </c>
      <c r="B33" s="273" t="s">
        <v>1678</v>
      </c>
      <c r="C33" s="273" t="s">
        <v>1678</v>
      </c>
      <c r="D33" s="255">
        <f>'Report-SOF2627-SB1'!D37</f>
        <v>0</v>
      </c>
    </row>
    <row r="34" spans="1:4" ht="15.5">
      <c r="A34" s="1780" t="s">
        <v>10760</v>
      </c>
      <c r="B34" s="1781"/>
      <c r="C34" s="1781"/>
      <c r="D34" s="1782"/>
    </row>
    <row r="35" spans="1:4" ht="15.5">
      <c r="A35" s="251" t="s">
        <v>8218</v>
      </c>
      <c r="B35" s="1745">
        <f>'Weights-HB3'!M26</f>
        <v>0.1</v>
      </c>
      <c r="C35" s="256">
        <f>'Data Entry - SOF'!M41</f>
        <v>0</v>
      </c>
      <c r="D35" s="255">
        <f>'SOF2627-HB3'!I43</f>
        <v>0</v>
      </c>
    </row>
    <row r="36" spans="1:4" ht="15.5">
      <c r="A36" s="1731" t="s">
        <v>8219</v>
      </c>
      <c r="B36" s="1745">
        <f>'Weights-HB3'!M27</f>
        <v>0.15</v>
      </c>
      <c r="C36" s="256">
        <f>'Data Entry - SOF'!M42</f>
        <v>0</v>
      </c>
      <c r="D36" s="255">
        <f>'SOF2627-HB3'!I44</f>
        <v>0</v>
      </c>
    </row>
    <row r="37" spans="1:4" ht="15.5">
      <c r="A37" s="1731" t="s">
        <v>8220</v>
      </c>
      <c r="B37" s="1745">
        <f>'Weights-HB3'!M28</f>
        <v>0.05</v>
      </c>
      <c r="C37" s="256">
        <f>'Data Entry - SOF'!M43</f>
        <v>0</v>
      </c>
      <c r="D37" s="255">
        <f>'SOF2627-HB3'!I45</f>
        <v>0</v>
      </c>
    </row>
    <row r="38" spans="1:4" ht="15.5">
      <c r="A38" s="1731" t="s">
        <v>2643</v>
      </c>
      <c r="B38" s="273" t="s">
        <v>1678</v>
      </c>
      <c r="C38" s="273" t="s">
        <v>1678</v>
      </c>
      <c r="D38" s="1735">
        <f>'Report-SOF2627-SB1'!D38</f>
        <v>0</v>
      </c>
    </row>
    <row r="39" spans="1:4" s="2040" customFormat="1" ht="15.5">
      <c r="A39" s="1780" t="s">
        <v>10761</v>
      </c>
      <c r="B39" s="1781"/>
      <c r="C39" s="1781"/>
      <c r="D39" s="1782"/>
    </row>
    <row r="40" spans="1:4" s="2040" customFormat="1" ht="15.5">
      <c r="A40" s="251" t="s">
        <v>10762</v>
      </c>
      <c r="B40" s="1745">
        <f>'Weights-HB3'!M21</f>
        <v>1.1000000000000001</v>
      </c>
      <c r="C40" s="256">
        <f>'Data Entry - SOF'!M36</f>
        <v>0</v>
      </c>
      <c r="D40" s="255">
        <f>'SOF2627-HB3'!I29</f>
        <v>0</v>
      </c>
    </row>
    <row r="41" spans="1:4" s="2040" customFormat="1" ht="15.5">
      <c r="A41" s="2747" t="s">
        <v>10763</v>
      </c>
      <c r="B41" s="2749">
        <f>'Weights-HB3'!M22</f>
        <v>1.28</v>
      </c>
      <c r="C41" s="2750">
        <f>'Data Entry - SOF'!M37</f>
        <v>0</v>
      </c>
      <c r="D41" s="2751">
        <f>'SOF2627-HB3'!I30</f>
        <v>0</v>
      </c>
    </row>
    <row r="42" spans="1:4" s="2040" customFormat="1" ht="15.5">
      <c r="A42" s="2746" t="s">
        <v>10764</v>
      </c>
      <c r="B42" s="2132"/>
      <c r="C42" s="2748"/>
      <c r="D42" s="2132"/>
    </row>
    <row r="43" spans="1:4" s="2040" customFormat="1" ht="15.5">
      <c r="A43" s="2747" t="s">
        <v>10763</v>
      </c>
      <c r="B43" s="2749">
        <f>'Weights-HB3'!M23</f>
        <v>1.47</v>
      </c>
      <c r="C43" s="2750">
        <f>'Data Entry - SOF'!M38</f>
        <v>0</v>
      </c>
      <c r="D43" s="2751">
        <f>'SOF2627-HB3'!I31</f>
        <v>0</v>
      </c>
    </row>
    <row r="44" spans="1:4" s="2040" customFormat="1" ht="15.5">
      <c r="A44" s="2746" t="s">
        <v>10765</v>
      </c>
      <c r="B44" s="2132"/>
      <c r="C44" s="2748"/>
      <c r="D44" s="2132"/>
    </row>
    <row r="45" spans="1:4" s="2040" customFormat="1" ht="15.5">
      <c r="A45" s="2745" t="s">
        <v>10766</v>
      </c>
      <c r="B45" s="1735">
        <f>'Weights-HB3'!M24</f>
        <v>50</v>
      </c>
      <c r="C45" s="2744">
        <f>'Data Entry - SOF'!M39</f>
        <v>0</v>
      </c>
      <c r="D45" s="2754">
        <f>ROUND('Weights-HB3'!N24*C45,0)</f>
        <v>0</v>
      </c>
    </row>
    <row r="46" spans="1:4" s="2040" customFormat="1" ht="15.5">
      <c r="A46" s="2745" t="s">
        <v>10767</v>
      </c>
      <c r="B46" s="2440">
        <f>B45</f>
        <v>50</v>
      </c>
      <c r="C46" s="2744">
        <f>'Data Entry - SOF'!M40</f>
        <v>0</v>
      </c>
      <c r="D46" s="2754">
        <f>ROUND('Weights-HB3'!N24*C46,0)</f>
        <v>0</v>
      </c>
    </row>
    <row r="47" spans="1:4" s="2040" customFormat="1" ht="15.5">
      <c r="A47" s="251" t="s">
        <v>10768</v>
      </c>
      <c r="B47" s="273" t="s">
        <v>1678</v>
      </c>
      <c r="C47" s="273" t="s">
        <v>1678</v>
      </c>
      <c r="D47" s="255">
        <f>'Report-SOF2627-SB1'!D39</f>
        <v>0</v>
      </c>
    </row>
    <row r="48" spans="1:4" s="2040" customFormat="1" ht="15.5">
      <c r="A48" s="1780" t="s">
        <v>10769</v>
      </c>
      <c r="B48" s="1781"/>
      <c r="C48" s="1781"/>
      <c r="D48" s="1782"/>
    </row>
    <row r="49" spans="1:4" s="2040" customFormat="1" ht="15.5">
      <c r="A49" s="251" t="s">
        <v>2644</v>
      </c>
      <c r="B49" s="279">
        <f>'Weights-HB3'!M49</f>
        <v>0.1</v>
      </c>
      <c r="C49" s="256">
        <f>'Data Entry - SOF'!M46</f>
        <v>0</v>
      </c>
      <c r="D49" s="255">
        <f>'Report-SOF2627-SB1'!D40</f>
        <v>0</v>
      </c>
    </row>
    <row r="50" spans="1:4" s="2040" customFormat="1" ht="15.5">
      <c r="A50" s="1780" t="s">
        <v>10770</v>
      </c>
      <c r="B50" s="1781"/>
      <c r="C50" s="1781"/>
      <c r="D50" s="1782"/>
    </row>
    <row r="51" spans="1:4" s="2040" customFormat="1" ht="15.5">
      <c r="A51" s="1731" t="s">
        <v>7628</v>
      </c>
      <c r="B51" s="1747">
        <f>'Weights-HB3'!M74</f>
        <v>0.1</v>
      </c>
      <c r="C51" s="1748">
        <f>'Data Entry - SOF'!M45</f>
        <v>0</v>
      </c>
      <c r="D51" s="1735">
        <f>'Report-SOF2627-SB1'!D41</f>
        <v>0</v>
      </c>
    </row>
    <row r="52" spans="1:4" s="2040" customFormat="1" ht="15.5">
      <c r="A52" s="1780" t="s">
        <v>10771</v>
      </c>
      <c r="B52" s="1781"/>
      <c r="C52" s="1781"/>
      <c r="D52" s="1782"/>
    </row>
    <row r="53" spans="1:4" s="2040" customFormat="1" ht="15.5">
      <c r="A53" s="251" t="s">
        <v>10772</v>
      </c>
      <c r="B53" s="279">
        <v>7.0000000000000007E-2</v>
      </c>
      <c r="C53" s="256">
        <f>'Data Entry - SOF'!M44</f>
        <v>0</v>
      </c>
      <c r="D53" s="255">
        <f>B53*C53*Assumptions!H181</f>
        <v>0</v>
      </c>
    </row>
    <row r="54" spans="1:4" s="2040" customFormat="1" ht="15.5">
      <c r="A54" s="251" t="s">
        <v>10773</v>
      </c>
      <c r="B54" s="279">
        <v>7.0000000000000007E-2</v>
      </c>
      <c r="C54" s="256">
        <f>'Data Entry - SOF'!M189</f>
        <v>0</v>
      </c>
      <c r="D54" s="255">
        <f>'SOF2627-HB3'!I33</f>
        <v>0</v>
      </c>
    </row>
    <row r="55" spans="1:4" s="2040" customFormat="1" ht="15.5">
      <c r="A55" s="2745" t="s">
        <v>10774</v>
      </c>
      <c r="B55" s="273" t="s">
        <v>1678</v>
      </c>
      <c r="C55" s="273" t="s">
        <v>1678</v>
      </c>
      <c r="D55" s="2440">
        <f>D54</f>
        <v>0</v>
      </c>
    </row>
    <row r="56" spans="1:4" s="2040" customFormat="1" ht="15.5">
      <c r="A56" s="2747" t="s">
        <v>10775</v>
      </c>
      <c r="B56" s="2755" t="s">
        <v>1678</v>
      </c>
      <c r="C56" s="2755" t="s">
        <v>1678</v>
      </c>
      <c r="D56" s="2751">
        <f>'SOF2627-HB3'!I34</f>
        <v>0</v>
      </c>
    </row>
    <row r="57" spans="1:4" s="2040" customFormat="1" ht="15.5">
      <c r="A57" s="2126" t="s">
        <v>2638</v>
      </c>
      <c r="B57" s="2752"/>
      <c r="C57" s="2752"/>
      <c r="D57" s="2753"/>
    </row>
    <row r="58" spans="1:4" ht="15.5">
      <c r="A58" s="2429" t="s">
        <v>10777</v>
      </c>
      <c r="B58" s="273" t="s">
        <v>1678</v>
      </c>
      <c r="C58" s="273" t="s">
        <v>1678</v>
      </c>
      <c r="D58" s="2440">
        <f>'Report-SOF2627-SB1'!D42</f>
        <v>0</v>
      </c>
    </row>
    <row r="59" spans="1:4" ht="15.5">
      <c r="A59" s="1780" t="s">
        <v>10778</v>
      </c>
      <c r="B59" s="1781"/>
      <c r="C59" s="1781"/>
      <c r="D59" s="1782"/>
    </row>
    <row r="60" spans="1:4" s="2040" customFormat="1" ht="15.5">
      <c r="A60" s="1731" t="s">
        <v>8221</v>
      </c>
      <c r="B60" s="2756">
        <f>'Weights-HB3'!M113</f>
        <v>5000</v>
      </c>
      <c r="C60" s="1748">
        <f>'Data Entry - SOF'!M57</f>
        <v>0</v>
      </c>
      <c r="D60" s="1735">
        <f>B60*C60</f>
        <v>0</v>
      </c>
    </row>
    <row r="61" spans="1:4" s="2040" customFormat="1" ht="15.5">
      <c r="A61" s="1731" t="s">
        <v>8222</v>
      </c>
      <c r="B61" s="2756">
        <f>'Weights-HB3'!M114</f>
        <v>3000</v>
      </c>
      <c r="C61" s="1748">
        <f>'Data Entry - SOF'!M58</f>
        <v>0</v>
      </c>
      <c r="D61" s="1735">
        <f t="shared" ref="D61:D62" si="0">B61*C61</f>
        <v>0</v>
      </c>
    </row>
    <row r="62" spans="1:4" s="2040" customFormat="1" ht="15.5">
      <c r="A62" s="1731" t="s">
        <v>8224</v>
      </c>
      <c r="B62" s="2756">
        <f>'Weights-HB3'!M115</f>
        <v>2000</v>
      </c>
      <c r="C62" s="1748">
        <f>'Data Entry - SOF'!M59</f>
        <v>0</v>
      </c>
      <c r="D62" s="1735">
        <f t="shared" si="0"/>
        <v>0</v>
      </c>
    </row>
    <row r="63" spans="1:4" s="2040" customFormat="1" ht="15.5">
      <c r="A63" s="1731" t="s">
        <v>8223</v>
      </c>
      <c r="B63" s="273" t="s">
        <v>1678</v>
      </c>
      <c r="C63" s="273" t="s">
        <v>1678</v>
      </c>
      <c r="D63" s="1735">
        <f>'Report-SOF2627-SB1'!D43</f>
        <v>0</v>
      </c>
    </row>
    <row r="64" spans="1:4" s="2040" customFormat="1" ht="15.5">
      <c r="A64" s="1780" t="s">
        <v>10779</v>
      </c>
      <c r="B64" s="1781"/>
      <c r="C64" s="1781"/>
      <c r="D64" s="1782"/>
    </row>
    <row r="65" spans="1:4" ht="15.5">
      <c r="A65" s="251" t="s">
        <v>2633</v>
      </c>
      <c r="B65" s="313">
        <f>'Weights-HB3'!M68</f>
        <v>9.7200000000000006</v>
      </c>
      <c r="C65" s="256">
        <f>'Report-SOF2627-SB1'!D10</f>
        <v>0</v>
      </c>
      <c r="D65" s="255">
        <f>'Report-SOF2627-SB1'!D47</f>
        <v>0</v>
      </c>
    </row>
    <row r="66" spans="1:4" ht="15.5">
      <c r="A66" s="1780" t="s">
        <v>10780</v>
      </c>
      <c r="B66" s="1781"/>
      <c r="C66" s="1781"/>
      <c r="D66" s="1782"/>
    </row>
    <row r="67" spans="1:4" ht="15.5">
      <c r="A67" s="251" t="s">
        <v>2633</v>
      </c>
      <c r="B67" s="313">
        <f>'Weights-HB3'!M47</f>
        <v>946.9</v>
      </c>
      <c r="C67" s="256">
        <f>'Data Entry - SOF'!M47</f>
        <v>0</v>
      </c>
      <c r="D67" s="255">
        <f>'Report-SOF2627-SB1'!D50</f>
        <v>0</v>
      </c>
    </row>
    <row r="68" spans="1:4" ht="15.5">
      <c r="A68" s="1780" t="s">
        <v>10781</v>
      </c>
      <c r="B68" s="1781"/>
      <c r="C68" s="1781"/>
      <c r="D68" s="1782"/>
    </row>
    <row r="69" spans="1:4" ht="15.5">
      <c r="A69" s="1731" t="s">
        <v>10782</v>
      </c>
      <c r="B69" s="2756">
        <f>'Weights-HB3'!M125</f>
        <v>275</v>
      </c>
      <c r="C69" s="1748">
        <f>'Data Entry - SOF'!M48</f>
        <v>0</v>
      </c>
      <c r="D69" s="1735">
        <f>B69*C69</f>
        <v>0</v>
      </c>
    </row>
    <row r="70" spans="1:4" ht="15.5">
      <c r="A70" s="1731" t="s">
        <v>10783</v>
      </c>
      <c r="B70" s="2756">
        <f>B69</f>
        <v>275</v>
      </c>
      <c r="C70" s="1748" t="s">
        <v>10786</v>
      </c>
      <c r="D70" s="1748" t="s">
        <v>10786</v>
      </c>
    </row>
    <row r="71" spans="1:4" ht="15.5">
      <c r="A71" s="1731" t="s">
        <v>10784</v>
      </c>
      <c r="B71" s="273" t="s">
        <v>1678</v>
      </c>
      <c r="C71" s="273" t="s">
        <v>1678</v>
      </c>
      <c r="D71" s="1735">
        <f>'Report-SOF2627-SB1'!D51</f>
        <v>0</v>
      </c>
    </row>
    <row r="72" spans="1:4" ht="15.5">
      <c r="C72" s="320" t="s">
        <v>2709</v>
      </c>
      <c r="D72" s="635" t="s">
        <v>11085</v>
      </c>
    </row>
  </sheetData>
  <hyperlinks>
    <hyperlink ref="D72" location="'Report-SOF2627-SB1'!A1" display="'Report-SOF2627-SB1'!A1" xr:uid="{00000000-0004-0000-50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FF00"/>
  </sheetPr>
  <dimension ref="A1:E31"/>
  <sheetViews>
    <sheetView workbookViewId="0">
      <selection activeCell="D3" sqref="D3"/>
    </sheetView>
  </sheetViews>
  <sheetFormatPr defaultRowHeight="12.5"/>
  <cols>
    <col min="1" max="1" width="5.81640625" customWidth="1"/>
    <col min="2" max="2" width="62.54296875" customWidth="1"/>
    <col min="3" max="3" width="5.1796875" customWidth="1"/>
    <col min="4" max="4" width="25.54296875" customWidth="1"/>
    <col min="5" max="5" width="15.1796875" customWidth="1"/>
    <col min="6" max="6" width="15.54296875" bestFit="1" customWidth="1"/>
  </cols>
  <sheetData>
    <row r="1" spans="1:5" ht="13">
      <c r="A1" s="245" t="s">
        <v>2716</v>
      </c>
      <c r="C1" s="245"/>
      <c r="D1" s="1784" t="str">
        <f>'Data Entry - SOF'!M1</f>
        <v>Release 2</v>
      </c>
    </row>
    <row r="2" spans="1:5" ht="13">
      <c r="A2" s="245" t="s">
        <v>2717</v>
      </c>
      <c r="C2" s="245"/>
      <c r="D2" s="1785">
        <f>'Data Entry - SOF'!M2</f>
        <v>44930</v>
      </c>
    </row>
    <row r="3" spans="1:5" ht="13">
      <c r="A3" s="52"/>
      <c r="C3" s="52"/>
      <c r="D3" s="47"/>
    </row>
    <row r="4" spans="1:5" ht="15.5">
      <c r="A4" s="246" t="s">
        <v>8295</v>
      </c>
      <c r="C4" s="246"/>
    </row>
    <row r="5" spans="1:5" ht="15.5">
      <c r="A5" s="248" t="str">
        <f>'Data Entry - SOF'!B1</f>
        <v xml:space="preserve"> </v>
      </c>
      <c r="C5" s="248"/>
    </row>
    <row r="6" spans="1:5" ht="15.5">
      <c r="A6" s="246">
        <f>'Data Entry - SOF'!B2</f>
        <v>0</v>
      </c>
      <c r="C6" s="246"/>
    </row>
    <row r="9" spans="1:5" ht="18">
      <c r="A9" s="1786" t="s">
        <v>2645</v>
      </c>
      <c r="B9" s="1787"/>
      <c r="C9" s="1786"/>
      <c r="D9" s="1788" t="s">
        <v>2646</v>
      </c>
    </row>
    <row r="10" spans="1:5" s="247" customFormat="1" ht="15.5">
      <c r="A10" s="250" t="s">
        <v>2063</v>
      </c>
      <c r="B10" s="251" t="s">
        <v>2792</v>
      </c>
      <c r="C10" s="251"/>
      <c r="D10" s="256" t="e">
        <f>'Report-SOF2122-HB1525'!D14</f>
        <v>#N/A</v>
      </c>
    </row>
    <row r="11" spans="1:5" s="247" customFormat="1" ht="17.5">
      <c r="A11" s="1780" t="s">
        <v>8290</v>
      </c>
      <c r="B11" s="1789"/>
      <c r="C11" s="1790"/>
      <c r="D11" s="1782"/>
    </row>
    <row r="12" spans="1:5" s="247" customFormat="1" ht="15.5">
      <c r="A12" s="250" t="s">
        <v>2064</v>
      </c>
      <c r="B12" s="251" t="s">
        <v>2785</v>
      </c>
      <c r="C12" s="251"/>
      <c r="D12" s="255" t="e">
        <f>'Calc Data'!D113</f>
        <v>#DIV/0!</v>
      </c>
    </row>
    <row r="13" spans="1:5" s="247" customFormat="1" ht="15.5">
      <c r="A13" s="250" t="s">
        <v>2065</v>
      </c>
      <c r="B13" s="251" t="s">
        <v>5967</v>
      </c>
      <c r="C13" s="251"/>
      <c r="D13" s="993" t="e">
        <f>'Calc Data'!D105</f>
        <v>#DIV/0!</v>
      </c>
    </row>
    <row r="14" spans="1:5" s="247" customFormat="1" ht="15.5">
      <c r="A14" s="250" t="s">
        <v>2795</v>
      </c>
      <c r="B14" s="251" t="str">
        <f>CONCATENATE("Level 1 Entitlement @ $",Assumptions!H137,"")</f>
        <v>Level 1 Entitlement @ $98.56</v>
      </c>
      <c r="C14" s="251"/>
      <c r="D14" s="255" t="e">
        <f>'SOF2122-HB3'!I203</f>
        <v>#N/A</v>
      </c>
    </row>
    <row r="15" spans="1:5" s="247" customFormat="1" ht="15.5">
      <c r="A15" s="250" t="s">
        <v>863</v>
      </c>
      <c r="B15" s="251" t="s">
        <v>5968</v>
      </c>
      <c r="C15" s="251"/>
      <c r="D15" s="255" t="e">
        <f>'SOF2122-HB3'!I204</f>
        <v>#DIV/0!</v>
      </c>
    </row>
    <row r="16" spans="1:5" s="247" customFormat="1" ht="15.5">
      <c r="A16" s="250" t="s">
        <v>865</v>
      </c>
      <c r="B16" s="251" t="str">
        <f>CONCATENATE("GYA ($",Assumptions!H137," * WADA * DTR_1 * 100) - LR")</f>
        <v>GYA ($98.56 * WADA * DTR_1 * 100) - LR</v>
      </c>
      <c r="C16" s="251"/>
      <c r="D16" s="255" t="e">
        <f>'SOF2122-HB3'!I77</f>
        <v>#N/A</v>
      </c>
      <c r="E16" s="369"/>
    </row>
    <row r="17" spans="1:4" s="247" customFormat="1" ht="17.5">
      <c r="A17" s="1780" t="s">
        <v>8291</v>
      </c>
      <c r="B17" s="1789"/>
      <c r="C17" s="1790"/>
      <c r="D17" s="1782"/>
    </row>
    <row r="18" spans="1:4" s="247" customFormat="1" ht="15.5">
      <c r="A18" s="250" t="s">
        <v>866</v>
      </c>
      <c r="B18" s="251" t="s">
        <v>2786</v>
      </c>
      <c r="C18" s="251"/>
      <c r="D18" s="255" t="e">
        <f>'Calc Data'!D109</f>
        <v>#DIV/0!</v>
      </c>
    </row>
    <row r="19" spans="1:4" s="247" customFormat="1" ht="15.5">
      <c r="A19" s="250" t="s">
        <v>867</v>
      </c>
      <c r="B19" s="251" t="s">
        <v>5969</v>
      </c>
      <c r="C19" s="251"/>
      <c r="D19" s="254" t="e">
        <f>'Calc Data'!D110</f>
        <v>#DIV/0!</v>
      </c>
    </row>
    <row r="20" spans="1:4" s="247" customFormat="1" ht="15.5">
      <c r="A20" s="250" t="s">
        <v>109</v>
      </c>
      <c r="B20" s="251" t="str">
        <f>CONCATENATE("Level 2 Entitlement @ $",Assumptions!H138,"")</f>
        <v>Level 2 Entitlement @ $49.28</v>
      </c>
      <c r="C20" s="251"/>
      <c r="D20" s="255" t="e">
        <f>'SOF2122-HB3'!I206</f>
        <v>#N/A</v>
      </c>
    </row>
    <row r="21" spans="1:4" s="247" customFormat="1" ht="15.5">
      <c r="A21" s="250" t="s">
        <v>110</v>
      </c>
      <c r="B21" s="251" t="s">
        <v>5970</v>
      </c>
      <c r="C21" s="251"/>
      <c r="D21" s="255" t="e">
        <f>'SOF2122-HB3'!I207</f>
        <v>#DIV/0!</v>
      </c>
    </row>
    <row r="22" spans="1:4" s="247" customFormat="1" ht="15.5">
      <c r="A22" s="250" t="s">
        <v>111</v>
      </c>
      <c r="B22" s="251" t="str">
        <f>CONCATENATE("GYA ($",Assumptions!H138," * WADA * DTR_1 * 100) - LR")</f>
        <v>GYA ($49.28 * WADA * DTR_1 * 100) - LR</v>
      </c>
      <c r="C22" s="251"/>
      <c r="D22" s="255" t="e">
        <f>'SOF2122-HB3'!I78</f>
        <v>#N/A</v>
      </c>
    </row>
    <row r="23" spans="1:4" s="247" customFormat="1" ht="15.5">
      <c r="A23" s="250" t="s">
        <v>112</v>
      </c>
      <c r="B23" s="249" t="s">
        <v>2787</v>
      </c>
      <c r="C23" s="249"/>
      <c r="D23" s="260" t="e">
        <f>D16+D22</f>
        <v>#N/A</v>
      </c>
    </row>
    <row r="24" spans="1:4" s="247" customFormat="1" ht="15.5">
      <c r="B24" s="320" t="s">
        <v>2708</v>
      </c>
      <c r="D24" s="2031" t="s">
        <v>9067</v>
      </c>
    </row>
    <row r="25" spans="1:4" s="247" customFormat="1" ht="15.5">
      <c r="D25" s="409"/>
    </row>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122-HB1525'!A1" display="'Report-SOF2122-HB1525'!A1" xr:uid="{00000000-0004-0000-51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FF00"/>
  </sheetPr>
  <dimension ref="A1:D31"/>
  <sheetViews>
    <sheetView topLeftCell="A10" workbookViewId="0">
      <selection activeCell="D24" sqref="D24"/>
    </sheetView>
  </sheetViews>
  <sheetFormatPr defaultRowHeight="12.5"/>
  <cols>
    <col min="1" max="1" width="5.81640625" customWidth="1"/>
    <col min="2" max="2" width="62.54296875" customWidth="1"/>
    <col min="3" max="3" width="5.1796875" customWidth="1"/>
    <col min="4" max="4" width="25.54296875" customWidth="1"/>
  </cols>
  <sheetData>
    <row r="1" spans="1:4" ht="13">
      <c r="A1" s="245" t="s">
        <v>2716</v>
      </c>
      <c r="C1" s="245"/>
      <c r="D1" s="1784" t="str">
        <f>'T2Detail2122-HB3'!D1</f>
        <v>Release 2</v>
      </c>
    </row>
    <row r="2" spans="1:4" ht="13">
      <c r="A2" s="245" t="s">
        <v>2717</v>
      </c>
      <c r="C2" s="245"/>
      <c r="D2" s="1815">
        <f>'T2Detail2122-HB3'!D2</f>
        <v>44930</v>
      </c>
    </row>
    <row r="3" spans="1:4" ht="13">
      <c r="A3" s="52"/>
      <c r="C3" s="52"/>
      <c r="D3" s="47"/>
    </row>
    <row r="4" spans="1:4" ht="15.5">
      <c r="A4" s="246" t="s">
        <v>5966</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f>'Report-SOF2223-SB1'!D14</f>
        <v>0</v>
      </c>
    </row>
    <row r="11" spans="1:4" s="247" customFormat="1" ht="17.5">
      <c r="A11" s="367" t="s">
        <v>2647</v>
      </c>
      <c r="B11" s="360"/>
      <c r="C11" s="353"/>
      <c r="D11" s="350"/>
    </row>
    <row r="12" spans="1:4" s="247" customFormat="1" ht="15.5">
      <c r="A12" s="250" t="s">
        <v>2064</v>
      </c>
      <c r="B12" s="251" t="s">
        <v>2785</v>
      </c>
      <c r="C12" s="251"/>
      <c r="D12" s="255" t="e">
        <f>'Calc Data'!E113</f>
        <v>#DIV/0!</v>
      </c>
    </row>
    <row r="13" spans="1:4" s="247" customFormat="1" ht="15.5">
      <c r="A13" s="250" t="s">
        <v>2065</v>
      </c>
      <c r="B13" s="251" t="s">
        <v>7056</v>
      </c>
      <c r="C13" s="251"/>
      <c r="D13" s="254" t="e">
        <f>'Calc Data'!E105</f>
        <v>#DIV/0!</v>
      </c>
    </row>
    <row r="14" spans="1:4" s="247" customFormat="1" ht="15.5">
      <c r="A14" s="250" t="s">
        <v>2795</v>
      </c>
      <c r="B14" s="251" t="str">
        <f>CONCATENATE("Level 1 Entitlement @ $",Assumptions!H146,"")</f>
        <v>Level 1 Entitlement @ $98.56</v>
      </c>
      <c r="C14" s="251"/>
      <c r="D14" s="255" t="e">
        <f>'SOF2223-HB3'!I188</f>
        <v>#DIV/0!</v>
      </c>
    </row>
    <row r="15" spans="1:4" s="247" customFormat="1" ht="15.5">
      <c r="A15" s="250" t="s">
        <v>863</v>
      </c>
      <c r="B15" s="251" t="s">
        <v>7057</v>
      </c>
      <c r="C15" s="251"/>
      <c r="D15" s="255" t="e">
        <f>'SOF2223-HB3'!I189</f>
        <v>#DIV/0!</v>
      </c>
    </row>
    <row r="16" spans="1:4" s="247" customFormat="1" ht="15.5">
      <c r="A16" s="250" t="s">
        <v>865</v>
      </c>
      <c r="B16" s="251" t="str">
        <f>CONCATENATE("GYA ($",Assumptions!H146," * WADA * DTR_1 * 100) - LR")</f>
        <v>GYA ($98.56 * WADA * DTR_1 * 100) - LR</v>
      </c>
      <c r="C16" s="251"/>
      <c r="D16" s="255" t="e">
        <f>'SOF2223-HB3'!I76</f>
        <v>#DIV/0!</v>
      </c>
    </row>
    <row r="17" spans="1:4" s="247" customFormat="1" ht="17.5">
      <c r="A17" s="367" t="s">
        <v>2649</v>
      </c>
      <c r="B17" s="360"/>
      <c r="C17" s="353"/>
      <c r="D17" s="350"/>
    </row>
    <row r="18" spans="1:4" s="247" customFormat="1" ht="15.5">
      <c r="A18" s="250" t="s">
        <v>866</v>
      </c>
      <c r="B18" s="251" t="s">
        <v>2786</v>
      </c>
      <c r="C18" s="251"/>
      <c r="D18" s="255" t="e">
        <f>'Calc Data'!E109</f>
        <v>#DIV/0!</v>
      </c>
    </row>
    <row r="19" spans="1:4" s="247" customFormat="1" ht="15.5">
      <c r="A19" s="250" t="s">
        <v>867</v>
      </c>
      <c r="B19" s="251" t="s">
        <v>7058</v>
      </c>
      <c r="C19" s="251"/>
      <c r="D19" s="254" t="e">
        <f>'Calc Data'!E110</f>
        <v>#DIV/0!</v>
      </c>
    </row>
    <row r="20" spans="1:4" s="247" customFormat="1" ht="15.5">
      <c r="A20" s="250" t="s">
        <v>109</v>
      </c>
      <c r="B20" s="251" t="str">
        <f>CONCATENATE("Level 2 Entitlement @ $",Assumptions!H147,"")</f>
        <v>Level 2 Entitlement @ $49.28</v>
      </c>
      <c r="C20" s="251"/>
      <c r="D20" s="255" t="e">
        <f>'SOF2223-HB3'!I191</f>
        <v>#DIV/0!</v>
      </c>
    </row>
    <row r="21" spans="1:4" s="247" customFormat="1" ht="15.5">
      <c r="A21" s="250" t="s">
        <v>110</v>
      </c>
      <c r="B21" s="251" t="s">
        <v>7059</v>
      </c>
      <c r="C21" s="251"/>
      <c r="D21" s="255" t="e">
        <f>'SOF2223-HB3'!I192</f>
        <v>#DIV/0!</v>
      </c>
    </row>
    <row r="22" spans="1:4" s="247" customFormat="1" ht="15.5">
      <c r="A22" s="250" t="s">
        <v>111</v>
      </c>
      <c r="B22" s="251" t="str">
        <f>CONCATENATE("GYA ($",Assumptions!H147," * WADA * DTR_1 * 100) - LR")</f>
        <v>GYA ($49.28 * WADA * DTR_1 * 100) - LR</v>
      </c>
      <c r="C22" s="251"/>
      <c r="D22" s="255" t="e">
        <f>'SOF2223-HB3'!I77</f>
        <v>#DIV/0!</v>
      </c>
    </row>
    <row r="23" spans="1:4" s="247" customFormat="1" ht="15.5">
      <c r="A23" s="250" t="s">
        <v>112</v>
      </c>
      <c r="B23" s="249" t="s">
        <v>2787</v>
      </c>
      <c r="C23" s="249"/>
      <c r="D23" s="260" t="e">
        <f>D16+D22</f>
        <v>#DIV/0!</v>
      </c>
    </row>
    <row r="24" spans="1:4" s="247" customFormat="1" ht="15.5">
      <c r="B24" s="320" t="s">
        <v>2708</v>
      </c>
      <c r="D24" s="635" t="s">
        <v>10471</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223-SB1'!A1" display="'Report-SOF2223-SB1'!A1"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FF00"/>
  </sheetPr>
  <dimension ref="A1:D31"/>
  <sheetViews>
    <sheetView workbookViewId="0">
      <selection activeCell="D1" sqref="D1"/>
    </sheetView>
  </sheetViews>
  <sheetFormatPr defaultRowHeight="12.5"/>
  <cols>
    <col min="1" max="1" width="5.81640625" customWidth="1"/>
    <col min="2" max="2" width="62.54296875" customWidth="1"/>
    <col min="3" max="3" width="5.1796875" customWidth="1"/>
    <col min="4" max="4" width="27.1796875" customWidth="1"/>
  </cols>
  <sheetData>
    <row r="1" spans="1:4" ht="13">
      <c r="A1" s="245" t="s">
        <v>2716</v>
      </c>
      <c r="C1" s="245"/>
      <c r="D1" s="1784" t="str">
        <f>'T2Detail2223-HB3'!D1</f>
        <v>Release 2</v>
      </c>
    </row>
    <row r="2" spans="1:4" ht="13">
      <c r="A2" s="245" t="s">
        <v>2717</v>
      </c>
      <c r="C2" s="245"/>
      <c r="D2" s="1815">
        <f>'T2Detail2223-HB3'!D2</f>
        <v>44930</v>
      </c>
    </row>
    <row r="3" spans="1:4" ht="13">
      <c r="A3" s="52"/>
      <c r="C3" s="52"/>
      <c r="D3" s="47"/>
    </row>
    <row r="4" spans="1:4" ht="15.5">
      <c r="A4" s="246" t="s">
        <v>7055</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'Report-SOF2324-SB1'!D14</f>
        <v>#DIV/0!</v>
      </c>
    </row>
    <row r="11" spans="1:4" s="247" customFormat="1" ht="17.5">
      <c r="A11" s="367" t="s">
        <v>2647</v>
      </c>
      <c r="B11" s="360"/>
      <c r="C11" s="353"/>
      <c r="D11" s="350"/>
    </row>
    <row r="12" spans="1:4" s="247" customFormat="1" ht="15.5">
      <c r="A12" s="250" t="s">
        <v>2064</v>
      </c>
      <c r="B12" s="251" t="s">
        <v>2785</v>
      </c>
      <c r="C12" s="251"/>
      <c r="D12" s="255" t="e">
        <f>'Calc Data'!F113</f>
        <v>#DIV/0!</v>
      </c>
    </row>
    <row r="13" spans="1:4" s="247" customFormat="1" ht="15.5">
      <c r="A13" s="250" t="s">
        <v>2065</v>
      </c>
      <c r="B13" s="251" t="s">
        <v>8306</v>
      </c>
      <c r="C13" s="251"/>
      <c r="D13" s="254" t="e">
        <f>'Calc Data'!F105</f>
        <v>#DIV/0!</v>
      </c>
    </row>
    <row r="14" spans="1:4" s="247" customFormat="1" ht="15.5">
      <c r="A14" s="250" t="s">
        <v>2795</v>
      </c>
      <c r="B14" s="251" t="str">
        <f>CONCATENATE("Level 1 Entitlement @ $",Assumptions!H155,"")</f>
        <v>Level 1 Entitlement @ $98.56</v>
      </c>
      <c r="C14" s="251"/>
      <c r="D14" s="255" t="e">
        <f>'SOF2324-HB3'!I195</f>
        <v>#DIV/0!</v>
      </c>
    </row>
    <row r="15" spans="1:4" s="247" customFormat="1" ht="15.5">
      <c r="A15" s="250" t="s">
        <v>863</v>
      </c>
      <c r="B15" s="251" t="s">
        <v>8307</v>
      </c>
      <c r="C15" s="251"/>
      <c r="D15" s="255" t="e">
        <f>'SOF2324-HB3'!I196</f>
        <v>#DIV/0!</v>
      </c>
    </row>
    <row r="16" spans="1:4" s="247" customFormat="1" ht="15.5">
      <c r="A16" s="250" t="s">
        <v>865</v>
      </c>
      <c r="B16" s="251" t="str">
        <f>CONCATENATE("GYA ($",Assumptions!H155," * WADA * DTR_1 * 100) - LR")</f>
        <v>GYA ($98.56 * WADA * DTR_1 * 100) - LR</v>
      </c>
      <c r="C16" s="251"/>
      <c r="D16" s="255" t="e">
        <f>'SOF2324-HB3'!I76</f>
        <v>#DIV/0!</v>
      </c>
    </row>
    <row r="17" spans="1:4" s="247" customFormat="1" ht="17.5">
      <c r="A17" s="367" t="s">
        <v>2649</v>
      </c>
      <c r="B17" s="360"/>
      <c r="C17" s="353"/>
      <c r="D17" s="350"/>
    </row>
    <row r="18" spans="1:4" s="247" customFormat="1" ht="15.5">
      <c r="A18" s="250" t="s">
        <v>866</v>
      </c>
      <c r="B18" s="251" t="s">
        <v>2786</v>
      </c>
      <c r="C18" s="251"/>
      <c r="D18" s="255" t="e">
        <f>'Calc Data'!F109</f>
        <v>#DIV/0!</v>
      </c>
    </row>
    <row r="19" spans="1:4" s="247" customFormat="1" ht="15.5">
      <c r="A19" s="250" t="s">
        <v>867</v>
      </c>
      <c r="B19" s="251" t="s">
        <v>8308</v>
      </c>
      <c r="C19" s="251"/>
      <c r="D19" s="254" t="e">
        <f>'Calc Data'!F110</f>
        <v>#DIV/0!</v>
      </c>
    </row>
    <row r="20" spans="1:4" s="247" customFormat="1" ht="15.5">
      <c r="A20" s="250" t="s">
        <v>109</v>
      </c>
      <c r="B20" s="251" t="str">
        <f>CONCATENATE("Level 2 Entitlement @ $",Assumptions!H156,"")</f>
        <v>Level 2 Entitlement @ $49.28</v>
      </c>
      <c r="C20" s="251"/>
      <c r="D20" s="255" t="e">
        <f>'SOF2324-HB3'!I198</f>
        <v>#DIV/0!</v>
      </c>
    </row>
    <row r="21" spans="1:4" s="247" customFormat="1" ht="15.5">
      <c r="A21" s="250" t="s">
        <v>110</v>
      </c>
      <c r="B21" s="251" t="s">
        <v>8309</v>
      </c>
      <c r="C21" s="251"/>
      <c r="D21" s="255" t="e">
        <f>'SOF2324-HB3'!I199</f>
        <v>#DIV/0!</v>
      </c>
    </row>
    <row r="22" spans="1:4" s="247" customFormat="1" ht="15.5">
      <c r="A22" s="250" t="s">
        <v>111</v>
      </c>
      <c r="B22" s="251" t="str">
        <f>CONCATENATE("GYA ($",Assumptions!H156," * WADA * DTR_1 * 100) - LR")</f>
        <v>GYA ($49.28 * WADA * DTR_1 * 100) - LR</v>
      </c>
      <c r="C22" s="251"/>
      <c r="D22" s="255" t="e">
        <f>'SOF2324-HB3'!I77</f>
        <v>#DIV/0!</v>
      </c>
    </row>
    <row r="23" spans="1:4" s="247" customFormat="1" ht="15.5">
      <c r="A23" s="250" t="s">
        <v>112</v>
      </c>
      <c r="B23" s="249" t="s">
        <v>2787</v>
      </c>
      <c r="C23" s="249"/>
      <c r="D23" s="260" t="e">
        <f>D16+D22</f>
        <v>#DIV/0!</v>
      </c>
    </row>
    <row r="24" spans="1:4" s="247" customFormat="1" ht="15.5">
      <c r="B24" s="320" t="s">
        <v>2708</v>
      </c>
      <c r="D24" s="635" t="s">
        <v>10472</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324-SB1'!A1" display="'Report-SOF2324-SB1'!A1" xr:uid="{00000000-0004-0000-53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FF00"/>
  </sheetPr>
  <dimension ref="A1:D31"/>
  <sheetViews>
    <sheetView topLeftCell="A4" workbookViewId="0">
      <selection activeCell="D24" sqref="D24"/>
    </sheetView>
  </sheetViews>
  <sheetFormatPr defaultRowHeight="12.5"/>
  <cols>
    <col min="1" max="1" width="5.81640625" customWidth="1"/>
    <col min="2" max="2" width="62.54296875" customWidth="1"/>
    <col min="3" max="3" width="5.1796875" customWidth="1"/>
    <col min="4" max="4" width="25.54296875" customWidth="1"/>
  </cols>
  <sheetData>
    <row r="1" spans="1:4" ht="13">
      <c r="A1" s="245" t="s">
        <v>2716</v>
      </c>
      <c r="C1" s="245"/>
      <c r="D1" s="1784" t="str">
        <f>'T2Detail2324-HB3'!D1</f>
        <v>Release 2</v>
      </c>
    </row>
    <row r="2" spans="1:4" ht="13">
      <c r="A2" s="245" t="s">
        <v>2717</v>
      </c>
      <c r="C2" s="245"/>
      <c r="D2" s="1815">
        <f>'T2Detail2324-HB3'!D2</f>
        <v>44930</v>
      </c>
    </row>
    <row r="3" spans="1:4" ht="13">
      <c r="A3" s="52"/>
      <c r="C3" s="52"/>
      <c r="D3" s="47"/>
    </row>
    <row r="4" spans="1:4" ht="15.5">
      <c r="A4" s="246" t="s">
        <v>8534</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'Report-SOF2425-SB1'!D14</f>
        <v>#DIV/0!</v>
      </c>
    </row>
    <row r="11" spans="1:4" s="247" customFormat="1" ht="17.5">
      <c r="A11" s="367" t="s">
        <v>2647</v>
      </c>
      <c r="B11" s="360"/>
      <c r="C11" s="353"/>
      <c r="D11" s="350"/>
    </row>
    <row r="12" spans="1:4" s="247" customFormat="1" ht="15.5">
      <c r="A12" s="250" t="s">
        <v>2064</v>
      </c>
      <c r="B12" s="251" t="s">
        <v>2785</v>
      </c>
      <c r="C12" s="251"/>
      <c r="D12" s="255" t="e">
        <f>'Calc Data'!G113</f>
        <v>#DIV/0!</v>
      </c>
    </row>
    <row r="13" spans="1:4" s="247" customFormat="1" ht="15.5">
      <c r="A13" s="250" t="s">
        <v>2065</v>
      </c>
      <c r="B13" s="251" t="s">
        <v>8535</v>
      </c>
      <c r="C13" s="251"/>
      <c r="D13" s="254" t="e">
        <f>'Calc Data'!G105</f>
        <v>#DIV/0!</v>
      </c>
    </row>
    <row r="14" spans="1:4" s="247" customFormat="1" ht="15.5">
      <c r="A14" s="250" t="s">
        <v>2795</v>
      </c>
      <c r="B14" s="251" t="str">
        <f>CONCATENATE("Level 1 Entitlement @ $",Assumptions!H164,"")</f>
        <v>Level 1 Entitlement @ $98.56</v>
      </c>
      <c r="C14" s="251"/>
      <c r="D14" s="255" t="e">
        <f>'SOF2425-HB3'!I196</f>
        <v>#DIV/0!</v>
      </c>
    </row>
    <row r="15" spans="1:4" s="247" customFormat="1" ht="15.5">
      <c r="A15" s="250" t="s">
        <v>863</v>
      </c>
      <c r="B15" s="251" t="s">
        <v>8536</v>
      </c>
      <c r="C15" s="251"/>
      <c r="D15" s="255" t="e">
        <f>'SOF2425-HB3'!I197</f>
        <v>#DIV/0!</v>
      </c>
    </row>
    <row r="16" spans="1:4" s="247" customFormat="1" ht="15.5">
      <c r="A16" s="250" t="s">
        <v>865</v>
      </c>
      <c r="B16" s="251" t="str">
        <f>CONCATENATE("GYA ($",Assumptions!H164," * WADA * DTR_1 * 100) - LR")</f>
        <v>GYA ($98.56 * WADA * DTR_1 * 100) - LR</v>
      </c>
      <c r="C16" s="251"/>
      <c r="D16" s="255" t="e">
        <f>D14-D15</f>
        <v>#DIV/0!</v>
      </c>
    </row>
    <row r="17" spans="1:4" s="247" customFormat="1" ht="17.5">
      <c r="A17" s="367" t="s">
        <v>2649</v>
      </c>
      <c r="B17" s="360"/>
      <c r="C17" s="353"/>
      <c r="D17" s="350"/>
    </row>
    <row r="18" spans="1:4" s="247" customFormat="1" ht="15.5">
      <c r="A18" s="250" t="s">
        <v>866</v>
      </c>
      <c r="B18" s="251" t="s">
        <v>2786</v>
      </c>
      <c r="C18" s="251"/>
      <c r="D18" s="255" t="e">
        <f>'Calc Data'!G109</f>
        <v>#DIV/0!</v>
      </c>
    </row>
    <row r="19" spans="1:4" s="247" customFormat="1" ht="15.5">
      <c r="A19" s="250" t="s">
        <v>867</v>
      </c>
      <c r="B19" s="251" t="s">
        <v>8537</v>
      </c>
      <c r="C19" s="251"/>
      <c r="D19" s="254" t="e">
        <f>'Calc Data'!G110</f>
        <v>#DIV/0!</v>
      </c>
    </row>
    <row r="20" spans="1:4" s="247" customFormat="1" ht="15.5">
      <c r="A20" s="250" t="s">
        <v>109</v>
      </c>
      <c r="B20" s="251" t="str">
        <f>CONCATENATE("Level 2 Entitlement @ $",Assumptions!H165,"")</f>
        <v>Level 2 Entitlement @ $49.28</v>
      </c>
      <c r="C20" s="251"/>
      <c r="D20" s="255" t="e">
        <f>'SOF2425-HB3'!I199</f>
        <v>#DIV/0!</v>
      </c>
    </row>
    <row r="21" spans="1:4" s="247" customFormat="1" ht="15.5">
      <c r="A21" s="250" t="s">
        <v>110</v>
      </c>
      <c r="B21" s="251" t="s">
        <v>8538</v>
      </c>
      <c r="C21" s="251"/>
      <c r="D21" s="255" t="e">
        <f>'SOF2425-HB3'!I200</f>
        <v>#DIV/0!</v>
      </c>
    </row>
    <row r="22" spans="1:4" s="247" customFormat="1" ht="15.5">
      <c r="A22" s="250" t="s">
        <v>111</v>
      </c>
      <c r="B22" s="251" t="str">
        <f>CONCATENATE("GYA ($",Assumptions!H165," * WADA * DTR_1 * 100) - LR")</f>
        <v>GYA ($49.28 * WADA * DTR_1 * 100) - LR</v>
      </c>
      <c r="C22" s="251"/>
      <c r="D22" s="255" t="e">
        <f>'SOF2425-HB3'!I77</f>
        <v>#DIV/0!</v>
      </c>
    </row>
    <row r="23" spans="1:4" s="247" customFormat="1" ht="15.5">
      <c r="A23" s="250" t="s">
        <v>112</v>
      </c>
      <c r="B23" s="249" t="s">
        <v>2787</v>
      </c>
      <c r="C23" s="249"/>
      <c r="D23" s="260" t="e">
        <f>D16+D22</f>
        <v>#DIV/0!</v>
      </c>
    </row>
    <row r="24" spans="1:4" s="247" customFormat="1" ht="15.5">
      <c r="B24" s="320" t="s">
        <v>2708</v>
      </c>
      <c r="D24" s="635" t="s">
        <v>10473</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425-SB1'!A1" display="'Report-SOF2425-SB1'!A1" xr:uid="{00000000-0004-0000-54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00"/>
  </sheetPr>
  <dimension ref="A1:D31"/>
  <sheetViews>
    <sheetView workbookViewId="0">
      <selection activeCell="D1" sqref="D1"/>
    </sheetView>
  </sheetViews>
  <sheetFormatPr defaultColWidth="8.7265625" defaultRowHeight="12.5"/>
  <cols>
    <col min="1" max="1" width="5.81640625" style="2042" customWidth="1"/>
    <col min="2" max="2" width="62.54296875" style="2042" customWidth="1"/>
    <col min="3" max="3" width="5.1796875" style="2042" customWidth="1"/>
    <col min="4" max="4" width="25.54296875" style="2042" customWidth="1"/>
    <col min="5" max="16384" width="8.7265625" style="2042"/>
  </cols>
  <sheetData>
    <row r="1" spans="1:4" ht="13">
      <c r="A1" s="245" t="s">
        <v>2716</v>
      </c>
      <c r="C1" s="245"/>
      <c r="D1" s="1784" t="str">
        <f>'T2Detail2324-HB3'!D1</f>
        <v>Release 2</v>
      </c>
    </row>
    <row r="2" spans="1:4" ht="13">
      <c r="A2" s="245" t="s">
        <v>2717</v>
      </c>
      <c r="C2" s="245"/>
      <c r="D2" s="1815">
        <f>'T2Detail2324-HB3'!D2</f>
        <v>44930</v>
      </c>
    </row>
    <row r="3" spans="1:4" ht="13">
      <c r="A3" s="52"/>
      <c r="C3" s="52"/>
      <c r="D3" s="47"/>
    </row>
    <row r="4" spans="1:4" ht="15.5">
      <c r="A4" s="246" t="s">
        <v>9200</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040" customFormat="1" ht="15.5">
      <c r="A10" s="250" t="s">
        <v>2063</v>
      </c>
      <c r="B10" s="251" t="s">
        <v>2792</v>
      </c>
      <c r="C10" s="251"/>
      <c r="D10" s="256" t="e">
        <f>'Report-SOF2526-SB1'!D14</f>
        <v>#DIV/0!</v>
      </c>
    </row>
    <row r="11" spans="1:4" s="2040" customFormat="1" ht="17.5">
      <c r="A11" s="367" t="s">
        <v>2647</v>
      </c>
      <c r="B11" s="360"/>
      <c r="C11" s="353"/>
      <c r="D11" s="350"/>
    </row>
    <row r="12" spans="1:4" s="2040" customFormat="1" ht="15.5">
      <c r="A12" s="250" t="s">
        <v>2064</v>
      </c>
      <c r="B12" s="251" t="s">
        <v>2785</v>
      </c>
      <c r="C12" s="251"/>
      <c r="D12" s="255" t="e">
        <f>'Calc Data'!H113</f>
        <v>#DIV/0!</v>
      </c>
    </row>
    <row r="13" spans="1:4" s="2040" customFormat="1" ht="15.5">
      <c r="A13" s="250" t="s">
        <v>2065</v>
      </c>
      <c r="B13" s="251" t="s">
        <v>9201</v>
      </c>
      <c r="C13" s="251"/>
      <c r="D13" s="254" t="e">
        <f>'Calc Data'!H105</f>
        <v>#DIV/0!</v>
      </c>
    </row>
    <row r="14" spans="1:4" s="2040" customFormat="1" ht="15.5">
      <c r="A14" s="250" t="s">
        <v>2795</v>
      </c>
      <c r="B14" s="251" t="str">
        <f>CONCATENATE("Level 1 Entitlement @ $",Assumptions!H173,"")</f>
        <v>Level 1 Entitlement @ $98.56</v>
      </c>
      <c r="C14" s="251"/>
      <c r="D14" s="255" t="e">
        <f>'SOF2526-HB3'!I196</f>
        <v>#DIV/0!</v>
      </c>
    </row>
    <row r="15" spans="1:4" s="2040" customFormat="1" ht="15.5">
      <c r="A15" s="250" t="s">
        <v>863</v>
      </c>
      <c r="B15" s="251" t="s">
        <v>9202</v>
      </c>
      <c r="C15" s="251"/>
      <c r="D15" s="255" t="e">
        <f>'SOF2526-HB3'!I197</f>
        <v>#DIV/0!</v>
      </c>
    </row>
    <row r="16" spans="1:4" s="2040" customFormat="1" ht="15.5">
      <c r="A16" s="250" t="s">
        <v>865</v>
      </c>
      <c r="B16" s="251" t="str">
        <f>CONCATENATE("GYA ($",Assumptions!H173," * WADA * DTR_1 * 100) - LR")</f>
        <v>GYA ($98.56 * WADA * DTR_1 * 100) - LR</v>
      </c>
      <c r="C16" s="251"/>
      <c r="D16" s="255" t="e">
        <f>D14-D15</f>
        <v>#DIV/0!</v>
      </c>
    </row>
    <row r="17" spans="1:4" s="2040" customFormat="1" ht="17.5">
      <c r="A17" s="367" t="s">
        <v>2649</v>
      </c>
      <c r="B17" s="360"/>
      <c r="C17" s="353"/>
      <c r="D17" s="350"/>
    </row>
    <row r="18" spans="1:4" s="2040" customFormat="1" ht="15.5">
      <c r="A18" s="250" t="s">
        <v>866</v>
      </c>
      <c r="B18" s="251" t="s">
        <v>2786</v>
      </c>
      <c r="C18" s="251"/>
      <c r="D18" s="255" t="e">
        <f>'Calc Data'!H109</f>
        <v>#DIV/0!</v>
      </c>
    </row>
    <row r="19" spans="1:4" s="2040" customFormat="1" ht="15.5">
      <c r="A19" s="250" t="s">
        <v>867</v>
      </c>
      <c r="B19" s="251" t="s">
        <v>9203</v>
      </c>
      <c r="C19" s="251"/>
      <c r="D19" s="254" t="e">
        <f>'Calc Data'!H110</f>
        <v>#DIV/0!</v>
      </c>
    </row>
    <row r="20" spans="1:4" s="2040" customFormat="1" ht="15.5">
      <c r="A20" s="250" t="s">
        <v>109</v>
      </c>
      <c r="B20" s="251" t="str">
        <f>CONCATENATE("Level 2 Entitlement @ $",Assumptions!H174,"")</f>
        <v>Level 2 Entitlement @ $49.28</v>
      </c>
      <c r="C20" s="251"/>
      <c r="D20" s="255" t="e">
        <f>'SOF2526-HB3'!I199</f>
        <v>#DIV/0!</v>
      </c>
    </row>
    <row r="21" spans="1:4" s="2040" customFormat="1" ht="15.5">
      <c r="A21" s="250" t="s">
        <v>110</v>
      </c>
      <c r="B21" s="251" t="s">
        <v>9204</v>
      </c>
      <c r="C21" s="251"/>
      <c r="D21" s="255" t="e">
        <f>'SOF2526-HB3'!I200</f>
        <v>#DIV/0!</v>
      </c>
    </row>
    <row r="22" spans="1:4" s="2040" customFormat="1" ht="15.5">
      <c r="A22" s="250" t="s">
        <v>111</v>
      </c>
      <c r="B22" s="251" t="str">
        <f>CONCATENATE("GYA ($",Assumptions!H174," * WADA * DTR_1 * 100) - LR")</f>
        <v>GYA ($49.28 * WADA * DTR_1 * 100) - LR</v>
      </c>
      <c r="C22" s="251"/>
      <c r="D22" s="255" t="e">
        <f>'SOF2526-HB3'!I77</f>
        <v>#DIV/0!</v>
      </c>
    </row>
    <row r="23" spans="1:4" s="2040" customFormat="1" ht="15.5">
      <c r="A23" s="250" t="s">
        <v>112</v>
      </c>
      <c r="B23" s="249" t="s">
        <v>2787</v>
      </c>
      <c r="C23" s="249"/>
      <c r="D23" s="260" t="e">
        <f>D16+D22</f>
        <v>#DIV/0!</v>
      </c>
    </row>
    <row r="24" spans="1:4" s="2040" customFormat="1" ht="15.5">
      <c r="B24" s="320" t="s">
        <v>2708</v>
      </c>
      <c r="D24" s="635" t="s">
        <v>10474</v>
      </c>
    </row>
    <row r="25" spans="1:4" s="2040" customFormat="1" ht="15.5"/>
    <row r="26" spans="1:4" s="2040" customFormat="1" ht="15.5"/>
    <row r="27" spans="1:4" s="2040" customFormat="1" ht="15.5"/>
    <row r="28" spans="1:4" s="2040" customFormat="1" ht="15.5"/>
    <row r="29" spans="1:4" s="2040" customFormat="1" ht="15.5"/>
    <row r="30" spans="1:4" s="2040" customFormat="1" ht="15.5">
      <c r="D30" s="2042"/>
    </row>
    <row r="31" spans="1:4" s="2040" customFormat="1" ht="15.5">
      <c r="D31" s="2042"/>
    </row>
  </sheetData>
  <hyperlinks>
    <hyperlink ref="D24" location="'Report-SOF2526-SB1'!A1" display="'Report-SOF2526-SB1'!A1"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FF00"/>
  </sheetPr>
  <dimension ref="A1:D31"/>
  <sheetViews>
    <sheetView workbookViewId="0">
      <selection activeCell="D1" sqref="D1"/>
    </sheetView>
  </sheetViews>
  <sheetFormatPr defaultColWidth="8.7265625" defaultRowHeight="12.5"/>
  <cols>
    <col min="1" max="1" width="5.81640625" style="2042" customWidth="1"/>
    <col min="2" max="2" width="62.54296875" style="2042" customWidth="1"/>
    <col min="3" max="3" width="5.1796875" style="2042" customWidth="1"/>
    <col min="4" max="4" width="25.54296875" style="2042" customWidth="1"/>
    <col min="5" max="16384" width="8.7265625" style="2042"/>
  </cols>
  <sheetData>
    <row r="1" spans="1:4" ht="13">
      <c r="A1" s="245" t="s">
        <v>2716</v>
      </c>
      <c r="C1" s="245"/>
      <c r="D1" s="1784" t="str">
        <f>'T2Detail2324-HB3'!D1</f>
        <v>Release 2</v>
      </c>
    </row>
    <row r="2" spans="1:4" ht="13">
      <c r="A2" s="245" t="s">
        <v>2717</v>
      </c>
      <c r="C2" s="245"/>
      <c r="D2" s="1815">
        <f>'T2Detail2324-HB3'!D2</f>
        <v>44930</v>
      </c>
    </row>
    <row r="3" spans="1:4" ht="13">
      <c r="A3" s="52"/>
      <c r="C3" s="52"/>
      <c r="D3" s="47"/>
    </row>
    <row r="4" spans="1:4" ht="15.5">
      <c r="A4" s="246" t="s">
        <v>11097</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040" customFormat="1" ht="15.5">
      <c r="A10" s="250" t="s">
        <v>2063</v>
      </c>
      <c r="B10" s="251" t="s">
        <v>2792</v>
      </c>
      <c r="C10" s="251"/>
      <c r="D10" s="256" t="e">
        <f>'Report-SOF2627-SB1'!D14</f>
        <v>#DIV/0!</v>
      </c>
    </row>
    <row r="11" spans="1:4" s="2040" customFormat="1" ht="17.5">
      <c r="A11" s="367" t="s">
        <v>2647</v>
      </c>
      <c r="B11" s="360"/>
      <c r="C11" s="353"/>
      <c r="D11" s="350"/>
    </row>
    <row r="12" spans="1:4" s="2040" customFormat="1" ht="15.5">
      <c r="A12" s="250" t="s">
        <v>2064</v>
      </c>
      <c r="B12" s="251" t="s">
        <v>2785</v>
      </c>
      <c r="C12" s="251"/>
      <c r="D12" s="255" t="e">
        <f>'Calc Data'!I113</f>
        <v>#DIV/0!</v>
      </c>
    </row>
    <row r="13" spans="1:4" s="2040" customFormat="1" ht="15.5">
      <c r="A13" s="250" t="s">
        <v>2065</v>
      </c>
      <c r="B13" s="251" t="s">
        <v>9201</v>
      </c>
      <c r="C13" s="251"/>
      <c r="D13" s="254" t="e">
        <f>'Calc Data'!I105</f>
        <v>#DIV/0!</v>
      </c>
    </row>
    <row r="14" spans="1:4" s="2040" customFormat="1" ht="15.5">
      <c r="A14" s="250" t="s">
        <v>2795</v>
      </c>
      <c r="B14" s="251" t="str">
        <f>CONCATENATE("Level 1 Entitlement @ $",Assumptions!H173,"")</f>
        <v>Level 1 Entitlement @ $98.56</v>
      </c>
      <c r="C14" s="251"/>
      <c r="D14" s="255" t="e">
        <f>'SOF2627-HB3'!I196</f>
        <v>#DIV/0!</v>
      </c>
    </row>
    <row r="15" spans="1:4" s="2040" customFormat="1" ht="15.5">
      <c r="A15" s="250" t="s">
        <v>863</v>
      </c>
      <c r="B15" s="251" t="s">
        <v>9202</v>
      </c>
      <c r="C15" s="251"/>
      <c r="D15" s="255" t="e">
        <f>'SOF2627-HB3'!I197</f>
        <v>#DIV/0!</v>
      </c>
    </row>
    <row r="16" spans="1:4" s="2040" customFormat="1" ht="15.5">
      <c r="A16" s="250" t="s">
        <v>865</v>
      </c>
      <c r="B16" s="251" t="str">
        <f>CONCATENATE("GYA ($",Assumptions!H173," * WADA * DTR_1 * 100) - LR")</f>
        <v>GYA ($98.56 * WADA * DTR_1 * 100) - LR</v>
      </c>
      <c r="C16" s="251"/>
      <c r="D16" s="255" t="e">
        <f>D14-D15</f>
        <v>#DIV/0!</v>
      </c>
    </row>
    <row r="17" spans="1:4" s="2040" customFormat="1" ht="17.5">
      <c r="A17" s="367" t="s">
        <v>2649</v>
      </c>
      <c r="B17" s="360"/>
      <c r="C17" s="353"/>
      <c r="D17" s="350"/>
    </row>
    <row r="18" spans="1:4" s="2040" customFormat="1" ht="15.5">
      <c r="A18" s="250" t="s">
        <v>866</v>
      </c>
      <c r="B18" s="251" t="s">
        <v>2786</v>
      </c>
      <c r="C18" s="251"/>
      <c r="D18" s="255" t="e">
        <f>'Calc Data'!I109</f>
        <v>#DIV/0!</v>
      </c>
    </row>
    <row r="19" spans="1:4" s="2040" customFormat="1" ht="15.5">
      <c r="A19" s="250" t="s">
        <v>867</v>
      </c>
      <c r="B19" s="251" t="s">
        <v>9203</v>
      </c>
      <c r="C19" s="251"/>
      <c r="D19" s="254" t="e">
        <f>'Calc Data'!I110</f>
        <v>#DIV/0!</v>
      </c>
    </row>
    <row r="20" spans="1:4" s="2040" customFormat="1" ht="15.5">
      <c r="A20" s="250" t="s">
        <v>109</v>
      </c>
      <c r="B20" s="251" t="str">
        <f>CONCATENATE("Level 2 Entitlement @ $",Assumptions!H174,"")</f>
        <v>Level 2 Entitlement @ $49.28</v>
      </c>
      <c r="C20" s="251"/>
      <c r="D20" s="255" t="e">
        <f>'SOF2627-HB3'!I199</f>
        <v>#DIV/0!</v>
      </c>
    </row>
    <row r="21" spans="1:4" s="2040" customFormat="1" ht="15.5">
      <c r="A21" s="250" t="s">
        <v>110</v>
      </c>
      <c r="B21" s="251" t="s">
        <v>9204</v>
      </c>
      <c r="C21" s="251"/>
      <c r="D21" s="255" t="e">
        <f>'SOF2627-HB3'!I200</f>
        <v>#DIV/0!</v>
      </c>
    </row>
    <row r="22" spans="1:4" s="2040" customFormat="1" ht="15.5">
      <c r="A22" s="250" t="s">
        <v>111</v>
      </c>
      <c r="B22" s="251" t="str">
        <f>CONCATENATE("GYA ($",Assumptions!H174," * WADA * DTR_1 * 100) - LR")</f>
        <v>GYA ($49.28 * WADA * DTR_1 * 100) - LR</v>
      </c>
      <c r="C22" s="251"/>
      <c r="D22" s="255" t="e">
        <f>'SOF2627-HB3'!I77</f>
        <v>#DIV/0!</v>
      </c>
    </row>
    <row r="23" spans="1:4" s="2040" customFormat="1" ht="15.5">
      <c r="A23" s="250" t="s">
        <v>112</v>
      </c>
      <c r="B23" s="249" t="s">
        <v>2787</v>
      </c>
      <c r="C23" s="249"/>
      <c r="D23" s="260" t="e">
        <f>D16+D22</f>
        <v>#DIV/0!</v>
      </c>
    </row>
    <row r="24" spans="1:4" s="2040" customFormat="1" ht="15.5">
      <c r="B24" s="320" t="s">
        <v>2708</v>
      </c>
      <c r="D24" s="635" t="s">
        <v>11085</v>
      </c>
    </row>
    <row r="25" spans="1:4" s="2040" customFormat="1" ht="15.5"/>
    <row r="26" spans="1:4" s="2040" customFormat="1" ht="15.5"/>
    <row r="27" spans="1:4" s="2040" customFormat="1" ht="15.5"/>
    <row r="28" spans="1:4" s="2040" customFormat="1" ht="15.5"/>
    <row r="29" spans="1:4" s="2040" customFormat="1" ht="15.5"/>
    <row r="30" spans="1:4" s="2040" customFormat="1" ht="15.5">
      <c r="D30" s="2042"/>
    </row>
    <row r="31" spans="1:4" s="2040" customFormat="1" ht="15.5">
      <c r="D31" s="2042"/>
    </row>
  </sheetData>
  <hyperlinks>
    <hyperlink ref="D24" location="'Report-SOF2627-SB1'!A1" display="'Report-SOF2627-SB1'!A1"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66FF33"/>
  </sheetPr>
  <dimension ref="A1:E49"/>
  <sheetViews>
    <sheetView topLeftCell="A19" workbookViewId="0">
      <selection activeCell="B24" sqref="B24"/>
    </sheetView>
  </sheetViews>
  <sheetFormatPr defaultRowHeight="12.5"/>
  <cols>
    <col min="1" max="1" width="5.81640625" customWidth="1"/>
    <col min="2" max="2" width="78.1796875" customWidth="1"/>
    <col min="3" max="3" width="4.54296875" customWidth="1"/>
    <col min="4" max="4" width="25.7265625" customWidth="1"/>
  </cols>
  <sheetData>
    <row r="1" spans="1:4" s="247" customFormat="1" ht="15.5">
      <c r="A1" s="245" t="s">
        <v>2716</v>
      </c>
      <c r="D1" s="1784" t="str">
        <f>'Data Entry - SOF'!M1</f>
        <v>Release 2</v>
      </c>
    </row>
    <row r="2" spans="1:4" s="247" customFormat="1" ht="15.5">
      <c r="A2" s="245" t="s">
        <v>2717</v>
      </c>
      <c r="D2" s="1815">
        <f>'Data Entry - SOF'!M2</f>
        <v>44930</v>
      </c>
    </row>
    <row r="3" spans="1:4" s="247" customFormat="1" ht="15.5">
      <c r="A3" s="246"/>
      <c r="D3" s="47"/>
    </row>
    <row r="4" spans="1:4" s="247" customFormat="1" ht="15.5">
      <c r="A4" s="246" t="s">
        <v>8342</v>
      </c>
    </row>
    <row r="5" spans="1:4" s="247" customFormat="1" ht="15.5">
      <c r="A5" s="248" t="str">
        <f>'Data Entry - SOF'!B1</f>
        <v xml:space="preserve"> </v>
      </c>
    </row>
    <row r="6" spans="1:4" s="247" customFormat="1" ht="15.5">
      <c r="A6" s="246">
        <f>'Data Entry - SOF'!B2</f>
        <v>0</v>
      </c>
    </row>
    <row r="7" spans="1:4" s="247" customFormat="1" ht="15.5">
      <c r="A7" s="246"/>
    </row>
    <row r="8" spans="1:4" s="247" customFormat="1" ht="15.5"/>
    <row r="9" spans="1:4" s="214" customFormat="1" ht="18">
      <c r="A9" s="1821"/>
      <c r="B9" s="1775"/>
      <c r="C9" s="1822"/>
      <c r="D9" s="1794" t="s">
        <v>2631</v>
      </c>
    </row>
    <row r="10" spans="1:4" s="321" customFormat="1" ht="18">
      <c r="A10" s="1819" t="s">
        <v>2714</v>
      </c>
      <c r="B10" s="1823"/>
      <c r="C10" s="1824"/>
      <c r="D10" s="1776" t="s">
        <v>2628</v>
      </c>
    </row>
    <row r="11" spans="1:4" s="247" customFormat="1" ht="15.5">
      <c r="A11" s="250" t="s">
        <v>2063</v>
      </c>
      <c r="B11" s="251" t="s">
        <v>8336</v>
      </c>
      <c r="C11" s="251"/>
      <c r="D11" s="329">
        <f>'Data Entry - SOF'!C100</f>
        <v>0</v>
      </c>
    </row>
    <row r="12" spans="1:4" s="247" customFormat="1" ht="15.5">
      <c r="A12" s="250" t="s">
        <v>2064</v>
      </c>
      <c r="B12" s="1767" t="s">
        <v>8332</v>
      </c>
      <c r="C12" s="1767"/>
      <c r="D12" s="1827">
        <v>0</v>
      </c>
    </row>
    <row r="13" spans="1:4" s="247" customFormat="1" ht="15.5">
      <c r="A13" s="250" t="s">
        <v>2065</v>
      </c>
      <c r="B13" s="251" t="s">
        <v>714</v>
      </c>
      <c r="C13" s="251"/>
      <c r="D13" s="329">
        <f>'Data Entry - SOF'!C101</f>
        <v>0</v>
      </c>
    </row>
    <row r="14" spans="1:4" s="247" customFormat="1" ht="15.5">
      <c r="A14" s="250" t="s">
        <v>862</v>
      </c>
      <c r="B14" s="251" t="s">
        <v>2710</v>
      </c>
      <c r="C14" s="251"/>
      <c r="D14" s="329">
        <f>'Data Entry - SOF'!C102</f>
        <v>0</v>
      </c>
    </row>
    <row r="15" spans="1:4" s="247" customFormat="1" ht="15.5" hidden="1">
      <c r="A15" s="250" t="s">
        <v>863</v>
      </c>
      <c r="B15" s="251" t="s">
        <v>2823</v>
      </c>
      <c r="C15" s="251"/>
      <c r="D15" s="260">
        <v>0</v>
      </c>
    </row>
    <row r="16" spans="1:4" s="247" customFormat="1" ht="15.5">
      <c r="A16" s="250" t="s">
        <v>863</v>
      </c>
      <c r="B16" s="1767" t="s">
        <v>8331</v>
      </c>
      <c r="C16" s="1767"/>
      <c r="D16" s="1757">
        <f>'Data Entry - SOF'!C116</f>
        <v>0</v>
      </c>
    </row>
    <row r="17" spans="1:5" s="247" customFormat="1" ht="15.5">
      <c r="A17" s="250" t="s">
        <v>865</v>
      </c>
      <c r="B17" s="1767" t="s">
        <v>2711</v>
      </c>
      <c r="C17" s="1767"/>
      <c r="D17" s="1825">
        <v>0</v>
      </c>
    </row>
    <row r="18" spans="1:5" s="247" customFormat="1" ht="15.5">
      <c r="A18" s="250" t="s">
        <v>866</v>
      </c>
      <c r="B18" s="251" t="s">
        <v>2712</v>
      </c>
      <c r="C18" s="251"/>
      <c r="D18" s="255">
        <f>'SOF2122-HB3'!I97</f>
        <v>0</v>
      </c>
    </row>
    <row r="19" spans="1:5" s="247" customFormat="1" ht="15.5">
      <c r="A19" s="250" t="s">
        <v>867</v>
      </c>
      <c r="B19" s="251" t="s">
        <v>2713</v>
      </c>
      <c r="C19" s="251"/>
      <c r="D19" s="329">
        <f>'SOF2122-HB3'!I96</f>
        <v>0</v>
      </c>
    </row>
    <row r="20" spans="1:5" s="247" customFormat="1" ht="15.5">
      <c r="A20" s="250" t="s">
        <v>109</v>
      </c>
      <c r="B20" s="251" t="s">
        <v>2783</v>
      </c>
      <c r="C20" s="1767"/>
      <c r="D20" s="260">
        <v>0</v>
      </c>
    </row>
    <row r="21" spans="1:5" s="247" customFormat="1" ht="15.5">
      <c r="A21" s="250" t="s">
        <v>110</v>
      </c>
      <c r="B21" s="251" t="s">
        <v>2784</v>
      </c>
      <c r="C21" s="1767"/>
      <c r="D21" s="260">
        <v>0</v>
      </c>
    </row>
    <row r="22" spans="1:5" s="247" customFormat="1" ht="15.5">
      <c r="A22" s="250" t="s">
        <v>111</v>
      </c>
      <c r="B22" s="251" t="s">
        <v>7395</v>
      </c>
      <c r="C22" s="251"/>
      <c r="D22" s="1828">
        <v>0</v>
      </c>
      <c r="E22" s="283" t="s">
        <v>8338</v>
      </c>
    </row>
    <row r="23" spans="1:5" s="247" customFormat="1" ht="15.5">
      <c r="A23" s="250" t="s">
        <v>112</v>
      </c>
      <c r="B23" s="984" t="s">
        <v>8333</v>
      </c>
      <c r="C23" s="251"/>
      <c r="D23" s="255" t="e">
        <f>'DistCharter-Funding2122'!J57</f>
        <v>#DIV/0!</v>
      </c>
    </row>
    <row r="24" spans="1:5" s="247" customFormat="1" ht="15.5">
      <c r="A24" s="250" t="s">
        <v>1424</v>
      </c>
      <c r="B24" s="410" t="s">
        <v>9268</v>
      </c>
      <c r="C24" s="251"/>
      <c r="D24" s="329" t="e">
        <f>'FTG-Detail2122'!D38</f>
        <v>#N/A</v>
      </c>
      <c r="E24" s="283" t="s">
        <v>10709</v>
      </c>
    </row>
    <row r="25" spans="1:5" s="247" customFormat="1" ht="15.5">
      <c r="A25" s="250" t="s">
        <v>6</v>
      </c>
      <c r="B25" s="2976" t="s">
        <v>8334</v>
      </c>
      <c r="C25" s="251"/>
      <c r="D25" s="329">
        <f>'SOF2122-HB3'!I126</f>
        <v>0</v>
      </c>
    </row>
    <row r="26" spans="1:5" s="247" customFormat="1" ht="15.5">
      <c r="A26" s="250" t="s">
        <v>2109</v>
      </c>
      <c r="B26" s="1767" t="s">
        <v>8335</v>
      </c>
      <c r="C26" s="251"/>
      <c r="D26" s="329">
        <v>0</v>
      </c>
      <c r="E26" s="247" t="s">
        <v>8343</v>
      </c>
    </row>
    <row r="27" spans="1:5" s="2040" customFormat="1" ht="15.5">
      <c r="A27" s="250" t="s">
        <v>2110</v>
      </c>
      <c r="B27" s="2186" t="s">
        <v>10808</v>
      </c>
      <c r="C27" s="2186"/>
      <c r="D27" s="2787">
        <f>'Data Entry - SOF'!C106</f>
        <v>0</v>
      </c>
    </row>
    <row r="28" spans="1:5" s="247" customFormat="1" ht="15.5">
      <c r="A28" s="250" t="s">
        <v>2562</v>
      </c>
      <c r="B28" s="249" t="s">
        <v>2726</v>
      </c>
      <c r="C28" s="251"/>
      <c r="D28" s="260" t="e">
        <f>SUM(D11:D27)</f>
        <v>#DIV/0!</v>
      </c>
    </row>
    <row r="29" spans="1:5" s="247" customFormat="1" ht="15.5">
      <c r="A29" s="259"/>
      <c r="B29" s="320" t="s">
        <v>2708</v>
      </c>
      <c r="D29" s="2031" t="s">
        <v>9067</v>
      </c>
    </row>
    <row r="30" spans="1:5" s="247" customFormat="1" ht="15.5">
      <c r="A30" s="259"/>
    </row>
    <row r="31" spans="1:5" s="247" customFormat="1" ht="15.5">
      <c r="A31" s="259"/>
    </row>
    <row r="32" spans="1:5" s="247" customFormat="1" ht="15.5">
      <c r="A32" s="358" t="s">
        <v>8341</v>
      </c>
    </row>
    <row r="33" spans="1:4" s="247" customFormat="1" ht="15.5">
      <c r="A33" s="259"/>
    </row>
    <row r="34" spans="1:4" s="247" customFormat="1" ht="15.5">
      <c r="A34" s="259"/>
    </row>
    <row r="35" spans="1:4" s="247" customFormat="1" ht="15.5">
      <c r="A35" s="259"/>
    </row>
    <row r="36" spans="1:4" s="247" customFormat="1" ht="15.5">
      <c r="A36" s="259"/>
    </row>
    <row r="37" spans="1:4" s="247" customFormat="1" ht="15.5">
      <c r="A37" s="259"/>
    </row>
    <row r="38" spans="1:4" s="247" customFormat="1" ht="15.5">
      <c r="A38" s="259"/>
    </row>
    <row r="39" spans="1:4" s="247" customFormat="1" ht="15.5">
      <c r="A39" s="259"/>
    </row>
    <row r="40" spans="1:4" s="247" customFormat="1" ht="15.5">
      <c r="A40" s="259"/>
    </row>
    <row r="41" spans="1:4" s="247" customFormat="1" ht="15.5">
      <c r="A41" s="259"/>
    </row>
    <row r="42" spans="1:4" s="247" customFormat="1" ht="15.5"/>
    <row r="43" spans="1:4" s="247" customFormat="1" ht="15.5"/>
    <row r="44" spans="1:4" s="247" customFormat="1" ht="15.5"/>
    <row r="45" spans="1:4" s="247" customFormat="1" ht="15.5"/>
    <row r="46" spans="1:4" s="247" customFormat="1" ht="15.5"/>
    <row r="47" spans="1:4" s="247" customFormat="1" ht="15.5">
      <c r="D47"/>
    </row>
    <row r="48" spans="1:4" s="247" customFormat="1" ht="15.5">
      <c r="D48"/>
    </row>
    <row r="49" spans="4:4" s="247" customFormat="1" ht="15.5">
      <c r="D49"/>
    </row>
  </sheetData>
  <hyperlinks>
    <hyperlink ref="D29" location="'Report-SOF2122-HB1525'!A1" display="'Report-SOF2122-HB1525'!A1" xr:uid="{00000000-0004-0000-5700-000000000000}"/>
    <hyperlink ref="B24" location="'FTG-Detail2122'!A1" display="Formula Transition Grant (TEC 48.277)           (Link to Detail Report)" xr:uid="{00000000-0004-0000-5700-000001000000}"/>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66FF33"/>
  </sheetPr>
  <dimension ref="A1:E51"/>
  <sheetViews>
    <sheetView topLeftCell="A16" workbookViewId="0">
      <selection activeCell="B24" sqref="B24"/>
    </sheetView>
  </sheetViews>
  <sheetFormatPr defaultRowHeight="12.5"/>
  <cols>
    <col min="1" max="1" width="5.81640625" customWidth="1"/>
    <col min="2" max="2" width="78.1796875" customWidth="1"/>
    <col min="3" max="3" width="4.54296875" customWidth="1"/>
    <col min="4" max="4" width="27.453125" customWidth="1"/>
  </cols>
  <sheetData>
    <row r="1" spans="1:5" s="247" customFormat="1" ht="15.5">
      <c r="A1" s="245" t="s">
        <v>2716</v>
      </c>
      <c r="D1" s="1784" t="str">
        <f>'OtherDetail2122-HB3'!D1</f>
        <v>Release 2</v>
      </c>
    </row>
    <row r="2" spans="1:5" s="247" customFormat="1" ht="15.5">
      <c r="A2" s="245" t="s">
        <v>2717</v>
      </c>
      <c r="D2" s="1815">
        <f>'OtherDetail2122-HB3'!D2</f>
        <v>44930</v>
      </c>
    </row>
    <row r="3" spans="1:5" s="247" customFormat="1" ht="15.5">
      <c r="A3" s="246"/>
      <c r="D3" s="47"/>
    </row>
    <row r="4" spans="1:5" s="247" customFormat="1" ht="15.5">
      <c r="A4" s="246" t="s">
        <v>8344</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821"/>
      <c r="B9" s="1775"/>
      <c r="C9" s="1822"/>
      <c r="D9" s="1794" t="s">
        <v>2631</v>
      </c>
    </row>
    <row r="10" spans="1:5" s="321" customFormat="1" ht="18">
      <c r="A10" s="1819" t="s">
        <v>2714</v>
      </c>
      <c r="B10" s="1823"/>
      <c r="C10" s="1824"/>
      <c r="D10" s="1776" t="s">
        <v>2628</v>
      </c>
    </row>
    <row r="11" spans="1:5" s="247" customFormat="1" ht="15.5">
      <c r="A11" s="250" t="s">
        <v>2063</v>
      </c>
      <c r="B11" s="251" t="s">
        <v>8336</v>
      </c>
      <c r="C11" s="251"/>
      <c r="D11" s="329">
        <f>'Data Entry - SOF'!E100</f>
        <v>0</v>
      </c>
    </row>
    <row r="12" spans="1:5" s="247" customFormat="1" ht="15.5">
      <c r="A12" s="250" t="s">
        <v>2064</v>
      </c>
      <c r="B12" s="1767" t="s">
        <v>8332</v>
      </c>
      <c r="C12" s="1767"/>
      <c r="D12" s="1827">
        <v>0</v>
      </c>
      <c r="E12" s="283" t="s">
        <v>11031</v>
      </c>
    </row>
    <row r="13" spans="1:5" s="247" customFormat="1" ht="15.5">
      <c r="A13" s="250" t="s">
        <v>2065</v>
      </c>
      <c r="B13" s="251" t="s">
        <v>714</v>
      </c>
      <c r="C13" s="251"/>
      <c r="D13" s="329">
        <f>'Data Entry - SOF'!E101</f>
        <v>0</v>
      </c>
    </row>
    <row r="14" spans="1:5" s="247" customFormat="1" ht="15.5">
      <c r="A14" s="250" t="s">
        <v>862</v>
      </c>
      <c r="B14" s="251" t="s">
        <v>2710</v>
      </c>
      <c r="C14" s="251"/>
      <c r="D14" s="329">
        <f>'Data Entry - SOF'!E102</f>
        <v>0</v>
      </c>
    </row>
    <row r="15" spans="1:5" s="247" customFormat="1" ht="15.5" hidden="1">
      <c r="A15" s="250" t="s">
        <v>863</v>
      </c>
      <c r="B15" s="251" t="s">
        <v>2823</v>
      </c>
      <c r="C15" s="251"/>
      <c r="D15" s="260">
        <v>0</v>
      </c>
    </row>
    <row r="16" spans="1:5" s="247" customFormat="1" ht="15.5">
      <c r="A16" s="250" t="s">
        <v>863</v>
      </c>
      <c r="B16" s="1767" t="s">
        <v>11026</v>
      </c>
      <c r="C16" s="1767"/>
      <c r="D16" s="1757">
        <f>'Data Entry - SOF'!E116</f>
        <v>0</v>
      </c>
    </row>
    <row r="17" spans="1:5" s="247" customFormat="1" ht="15.5">
      <c r="A17" s="250" t="s">
        <v>865</v>
      </c>
      <c r="B17" s="1767" t="s">
        <v>2711</v>
      </c>
      <c r="C17" s="1767"/>
      <c r="D17" s="1825">
        <v>0</v>
      </c>
      <c r="E17" s="283" t="s">
        <v>11031</v>
      </c>
    </row>
    <row r="18" spans="1:5" s="247" customFormat="1" ht="15.5">
      <c r="A18" s="250" t="s">
        <v>866</v>
      </c>
      <c r="B18" s="251" t="s">
        <v>2712</v>
      </c>
      <c r="C18" s="251"/>
      <c r="D18" s="255">
        <f>'SOF2223-HB3'!I90</f>
        <v>0</v>
      </c>
    </row>
    <row r="19" spans="1:5" s="247" customFormat="1" ht="15.5">
      <c r="A19" s="250" t="s">
        <v>867</v>
      </c>
      <c r="B19" s="251" t="s">
        <v>2713</v>
      </c>
      <c r="C19" s="251"/>
      <c r="D19" s="329">
        <f>'SOF2223-HB3'!I89</f>
        <v>0</v>
      </c>
    </row>
    <row r="20" spans="1:5" s="247" customFormat="1" ht="15.5">
      <c r="A20" s="250" t="s">
        <v>109</v>
      </c>
      <c r="B20" s="251" t="s">
        <v>2783</v>
      </c>
      <c r="C20" s="1767"/>
      <c r="D20" s="260">
        <v>0</v>
      </c>
      <c r="E20" s="283" t="s">
        <v>11031</v>
      </c>
    </row>
    <row r="21" spans="1:5" s="247" customFormat="1" ht="15.5">
      <c r="A21" s="250" t="s">
        <v>110</v>
      </c>
      <c r="B21" s="251" t="s">
        <v>2784</v>
      </c>
      <c r="C21" s="1767"/>
      <c r="D21" s="260">
        <v>0</v>
      </c>
      <c r="E21" s="283" t="s">
        <v>11031</v>
      </c>
    </row>
    <row r="22" spans="1:5" s="247" customFormat="1" ht="15.5">
      <c r="A22" s="250" t="s">
        <v>111</v>
      </c>
      <c r="B22" s="251" t="s">
        <v>7395</v>
      </c>
      <c r="C22" s="251"/>
      <c r="D22" s="1828">
        <v>0</v>
      </c>
      <c r="E22" s="283" t="s">
        <v>8338</v>
      </c>
    </row>
    <row r="23" spans="1:5" s="247" customFormat="1" ht="15.5">
      <c r="A23" s="250" t="s">
        <v>112</v>
      </c>
      <c r="B23" s="984" t="s">
        <v>8333</v>
      </c>
      <c r="C23" s="251"/>
      <c r="D23" s="255" t="e">
        <f>'DistCharter-Funding2223'!J57</f>
        <v>#DIV/0!</v>
      </c>
    </row>
    <row r="24" spans="1:5" s="247" customFormat="1" ht="15.5">
      <c r="A24" s="250" t="s">
        <v>1424</v>
      </c>
      <c r="B24" s="636" t="s">
        <v>9277</v>
      </c>
      <c r="C24" s="251"/>
      <c r="D24" s="329" t="e">
        <f>'FTG-Detail2223'!D28</f>
        <v>#DIV/0!</v>
      </c>
    </row>
    <row r="25" spans="1:5" s="247" customFormat="1" ht="15.5">
      <c r="A25" s="250" t="s">
        <v>6</v>
      </c>
      <c r="B25" s="2040" t="s">
        <v>8334</v>
      </c>
      <c r="C25" s="251"/>
      <c r="D25" s="329">
        <f>'SOF2223-HB3'!I118</f>
        <v>0</v>
      </c>
    </row>
    <row r="26" spans="1:5" s="247" customFormat="1" ht="15.5">
      <c r="A26" s="250" t="s">
        <v>2109</v>
      </c>
      <c r="B26" s="1767" t="s">
        <v>11027</v>
      </c>
      <c r="C26" s="251"/>
      <c r="D26" s="329">
        <f>'Data Entry - SOF'!E105</f>
        <v>0</v>
      </c>
      <c r="E26" s="2040"/>
    </row>
    <row r="27" spans="1:5" s="2040" customFormat="1" ht="15.5">
      <c r="A27" s="250" t="s">
        <v>2110</v>
      </c>
      <c r="B27" s="2186" t="s">
        <v>10808</v>
      </c>
      <c r="C27" s="2971"/>
      <c r="D27" s="2972">
        <f>'Data Entry - SOF'!E106</f>
        <v>0</v>
      </c>
    </row>
    <row r="28" spans="1:5" s="2040" customFormat="1" ht="15.5">
      <c r="A28" s="250" t="s">
        <v>2562</v>
      </c>
      <c r="B28" s="2527" t="s">
        <v>11028</v>
      </c>
      <c r="C28" s="2429"/>
      <c r="D28" s="2526" t="e">
        <f>'HH2223-40KCalcs'!D26</f>
        <v>#DIV/0!</v>
      </c>
    </row>
    <row r="29" spans="1:5" s="2040" customFormat="1" ht="15.5">
      <c r="A29" s="250" t="s">
        <v>2563</v>
      </c>
      <c r="B29" s="2971" t="s">
        <v>11029</v>
      </c>
      <c r="C29" s="2971"/>
      <c r="D29" s="2973">
        <v>0</v>
      </c>
      <c r="E29" s="283" t="s">
        <v>11030</v>
      </c>
    </row>
    <row r="30" spans="1:5" s="247" customFormat="1" ht="15.5">
      <c r="A30" s="250" t="s">
        <v>2564</v>
      </c>
      <c r="B30" s="249" t="s">
        <v>2726</v>
      </c>
      <c r="C30" s="251"/>
      <c r="D30" s="260" t="e">
        <f>SUM(D11:D29)</f>
        <v>#DIV/0!</v>
      </c>
    </row>
    <row r="31" spans="1:5" s="247" customFormat="1" ht="15.5">
      <c r="A31" s="259"/>
      <c r="B31" s="320" t="s">
        <v>2708</v>
      </c>
      <c r="D31" s="635" t="s">
        <v>10471</v>
      </c>
    </row>
    <row r="32" spans="1:5" s="247" customFormat="1" ht="15.5">
      <c r="A32" s="259"/>
    </row>
    <row r="33" spans="1:1" s="247" customFormat="1" ht="15.5">
      <c r="A33" s="259"/>
    </row>
    <row r="34" spans="1:1" s="247" customFormat="1" ht="15.5">
      <c r="A34" s="358" t="s">
        <v>11032</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4" location="'FTG-Detail2223'!A1" display="Formula Transition Grant (TEC 48.277)           (Link to Detail Report)" xr:uid="{00000000-0004-0000-5800-000000000000}"/>
    <hyperlink ref="B28" location="'HH2223-40KCalcs'!A1" display="ASAHE (M&amp;O Hold Harmless)           (Link to Detail Report)" xr:uid="{00000000-0004-0000-5800-000001000000}"/>
    <hyperlink ref="D31" location="'Report-SOF2223-SB1'!A1" display="'Report-SOF2223-SB1'!A1" xr:uid="{00000000-0004-0000-5800-000002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54"/>
  <sheetViews>
    <sheetView topLeftCell="J40" workbookViewId="0">
      <selection activeCell="M50" sqref="M50"/>
    </sheetView>
  </sheetViews>
  <sheetFormatPr defaultRowHeight="12.5"/>
  <cols>
    <col min="1" max="1" width="27.1796875" customWidth="1"/>
    <col min="2" max="2" width="2.54296875" customWidth="1"/>
    <col min="3" max="6" width="12.54296875" hidden="1" customWidth="1"/>
    <col min="7" max="16" width="12.54296875" customWidth="1"/>
    <col min="17" max="18" width="12.54296875" style="2042" customWidth="1"/>
    <col min="19" max="19" width="37.7265625" customWidth="1"/>
  </cols>
  <sheetData>
    <row r="1" spans="1:19" ht="13">
      <c r="A1" s="25" t="s">
        <v>2777</v>
      </c>
    </row>
    <row r="2" spans="1:19" ht="13">
      <c r="C2" s="58" t="s">
        <v>158</v>
      </c>
      <c r="D2" s="58" t="s">
        <v>159</v>
      </c>
      <c r="E2" s="58" t="s">
        <v>160</v>
      </c>
      <c r="F2" s="58" t="s">
        <v>736</v>
      </c>
      <c r="G2" s="58" t="s">
        <v>2781</v>
      </c>
      <c r="H2" s="58" t="s">
        <v>2816</v>
      </c>
      <c r="I2" s="242" t="s">
        <v>2819</v>
      </c>
      <c r="J2" s="242" t="s">
        <v>2838</v>
      </c>
      <c r="K2" s="58" t="s">
        <v>2839</v>
      </c>
      <c r="L2" s="58" t="s">
        <v>3325</v>
      </c>
      <c r="M2" s="58" t="s">
        <v>5513</v>
      </c>
      <c r="N2" s="58" t="s">
        <v>5951</v>
      </c>
      <c r="O2" s="58" t="s">
        <v>7037</v>
      </c>
      <c r="P2" s="58" t="s">
        <v>8487</v>
      </c>
      <c r="Q2" s="58" t="s">
        <v>9171</v>
      </c>
      <c r="R2" s="58" t="s">
        <v>11049</v>
      </c>
      <c r="S2" s="343" t="s">
        <v>2778</v>
      </c>
    </row>
    <row r="3" spans="1:19" ht="13">
      <c r="I3" s="241"/>
      <c r="J3" s="241"/>
      <c r="S3" s="344" t="s">
        <v>2770</v>
      </c>
    </row>
    <row r="4" spans="1:19" ht="13">
      <c r="A4" t="s">
        <v>2761</v>
      </c>
      <c r="C4" s="105">
        <v>0.92390000000000005</v>
      </c>
      <c r="D4" s="105">
        <v>0.98</v>
      </c>
      <c r="E4" s="434">
        <v>1</v>
      </c>
      <c r="F4" s="434">
        <v>1</v>
      </c>
      <c r="G4" s="434">
        <v>1</v>
      </c>
      <c r="H4" s="434">
        <v>1</v>
      </c>
      <c r="I4" s="378">
        <f t="shared" ref="I4:R4" si="0">H4</f>
        <v>1</v>
      </c>
      <c r="J4" s="378">
        <f t="shared" si="0"/>
        <v>1</v>
      </c>
      <c r="K4" s="340">
        <f t="shared" si="0"/>
        <v>1</v>
      </c>
      <c r="L4" s="340">
        <f t="shared" si="0"/>
        <v>1</v>
      </c>
      <c r="M4" s="340">
        <f t="shared" si="0"/>
        <v>1</v>
      </c>
      <c r="N4" s="340">
        <f t="shared" si="0"/>
        <v>1</v>
      </c>
      <c r="O4" s="340">
        <f t="shared" si="0"/>
        <v>1</v>
      </c>
      <c r="P4" s="340">
        <f t="shared" si="0"/>
        <v>1</v>
      </c>
      <c r="Q4" s="340">
        <f t="shared" si="0"/>
        <v>1</v>
      </c>
      <c r="R4" s="340">
        <f t="shared" si="0"/>
        <v>1</v>
      </c>
      <c r="S4" s="344" t="s">
        <v>2775</v>
      </c>
    </row>
    <row r="5" spans="1:19" ht="13">
      <c r="A5" t="s">
        <v>2760</v>
      </c>
      <c r="C5" s="340">
        <v>0.95194999999999996</v>
      </c>
      <c r="D5" s="340">
        <v>0.95194999999999996</v>
      </c>
      <c r="E5" s="435"/>
      <c r="F5" s="435"/>
      <c r="G5" s="435"/>
      <c r="H5" s="435"/>
      <c r="I5" s="378"/>
      <c r="J5" s="378"/>
      <c r="K5" s="340"/>
      <c r="L5" s="340"/>
      <c r="M5" s="340"/>
      <c r="N5" s="340"/>
      <c r="O5" s="340"/>
      <c r="P5" s="340"/>
      <c r="Q5" s="340"/>
      <c r="R5" s="340"/>
      <c r="S5" s="344" t="s">
        <v>2771</v>
      </c>
    </row>
    <row r="6" spans="1:19" ht="13">
      <c r="C6" s="340"/>
      <c r="D6" s="340"/>
      <c r="E6" s="435"/>
      <c r="F6" s="435"/>
      <c r="G6" s="435"/>
      <c r="H6" s="435"/>
      <c r="I6" s="378"/>
      <c r="J6" s="378"/>
      <c r="K6" s="340"/>
      <c r="L6" s="340"/>
      <c r="M6" s="340"/>
      <c r="N6" s="340"/>
      <c r="O6" s="340"/>
      <c r="P6" s="340"/>
      <c r="Q6" s="340"/>
      <c r="R6" s="340"/>
      <c r="S6" s="345" t="s">
        <v>2772</v>
      </c>
    </row>
    <row r="7" spans="1:19">
      <c r="A7" t="s">
        <v>2758</v>
      </c>
      <c r="C7">
        <v>1</v>
      </c>
      <c r="D7">
        <v>0.92349999999999999</v>
      </c>
      <c r="E7" s="100">
        <v>0.92630000000000001</v>
      </c>
      <c r="F7" s="100">
        <v>0.92630000000000001</v>
      </c>
      <c r="G7" s="100">
        <v>0.92630000000000001</v>
      </c>
      <c r="H7" s="100">
        <v>0.92630000000000001</v>
      </c>
      <c r="I7" s="378">
        <f t="shared" ref="I7:R7" si="1">H7</f>
        <v>0.92630000000000001</v>
      </c>
      <c r="J7" s="378">
        <f t="shared" si="1"/>
        <v>0.92630000000000001</v>
      </c>
      <c r="K7" s="340">
        <f t="shared" si="1"/>
        <v>0.92630000000000001</v>
      </c>
      <c r="L7" s="340">
        <f t="shared" si="1"/>
        <v>0.92630000000000001</v>
      </c>
      <c r="M7" s="340">
        <f t="shared" si="1"/>
        <v>0.92630000000000001</v>
      </c>
      <c r="N7" s="340">
        <f t="shared" si="1"/>
        <v>0.92630000000000001</v>
      </c>
      <c r="O7" s="340">
        <f t="shared" si="1"/>
        <v>0.92630000000000001</v>
      </c>
      <c r="P7" s="340">
        <f t="shared" si="1"/>
        <v>0.92630000000000001</v>
      </c>
      <c r="Q7" s="340">
        <f t="shared" si="1"/>
        <v>0.92630000000000001</v>
      </c>
      <c r="R7" s="340">
        <f t="shared" si="1"/>
        <v>0.92630000000000001</v>
      </c>
    </row>
    <row r="8" spans="1:19">
      <c r="C8" s="105"/>
      <c r="D8" s="105"/>
      <c r="E8" s="105"/>
      <c r="F8" s="105"/>
      <c r="G8" s="105"/>
      <c r="H8" s="105"/>
      <c r="I8" s="377"/>
      <c r="J8" s="377"/>
      <c r="K8" s="105"/>
      <c r="L8" s="105"/>
      <c r="M8" s="105"/>
      <c r="N8" s="105"/>
      <c r="O8" s="105"/>
      <c r="P8" s="105"/>
      <c r="Q8" s="105"/>
      <c r="R8" s="105"/>
    </row>
    <row r="9" spans="1:19">
      <c r="A9" t="s">
        <v>2746</v>
      </c>
      <c r="C9" s="105"/>
      <c r="D9" s="105"/>
      <c r="E9" s="105"/>
      <c r="F9" s="105"/>
      <c r="G9" s="105"/>
      <c r="H9" s="105"/>
      <c r="I9" s="377"/>
      <c r="J9" s="377"/>
      <c r="K9" s="105"/>
      <c r="L9" s="105"/>
      <c r="M9" s="105"/>
      <c r="N9" s="105"/>
      <c r="O9" s="105"/>
      <c r="P9" s="105"/>
      <c r="Q9" s="105"/>
      <c r="R9" s="105"/>
    </row>
    <row r="10" spans="1:19">
      <c r="A10" t="s">
        <v>2611</v>
      </c>
      <c r="C10" s="76">
        <v>5</v>
      </c>
      <c r="D10" s="76">
        <v>5</v>
      </c>
      <c r="E10" s="76">
        <v>5</v>
      </c>
      <c r="F10" s="76">
        <v>5</v>
      </c>
      <c r="G10" s="76">
        <v>5</v>
      </c>
      <c r="H10" s="76">
        <v>5</v>
      </c>
      <c r="I10" s="498">
        <v>5</v>
      </c>
      <c r="J10" s="498">
        <v>5</v>
      </c>
      <c r="K10" s="76">
        <v>5</v>
      </c>
      <c r="L10" s="76">
        <v>5</v>
      </c>
      <c r="M10" s="76">
        <v>5</v>
      </c>
      <c r="N10" s="76">
        <v>5</v>
      </c>
      <c r="O10" s="76">
        <v>5</v>
      </c>
      <c r="P10" s="76">
        <v>5</v>
      </c>
      <c r="Q10" s="76">
        <v>5</v>
      </c>
      <c r="R10" s="76">
        <v>5</v>
      </c>
    </row>
    <row r="11" spans="1:19">
      <c r="A11" t="s">
        <v>2612</v>
      </c>
      <c r="C11" s="76">
        <v>3</v>
      </c>
      <c r="D11" s="76">
        <v>3</v>
      </c>
      <c r="E11" s="76">
        <v>3</v>
      </c>
      <c r="F11" s="76">
        <v>3</v>
      </c>
      <c r="G11" s="76">
        <v>3</v>
      </c>
      <c r="H11" s="76">
        <v>3</v>
      </c>
      <c r="I11" s="498">
        <v>3</v>
      </c>
      <c r="J11" s="498">
        <v>3</v>
      </c>
      <c r="K11" s="76">
        <v>3</v>
      </c>
      <c r="L11" s="76">
        <v>3</v>
      </c>
      <c r="M11" s="76">
        <v>3</v>
      </c>
      <c r="N11" s="76">
        <v>3</v>
      </c>
      <c r="O11" s="76">
        <v>3</v>
      </c>
      <c r="P11" s="76">
        <v>3</v>
      </c>
      <c r="Q11" s="76">
        <v>3</v>
      </c>
      <c r="R11" s="76">
        <v>3</v>
      </c>
    </row>
    <row r="12" spans="1:19">
      <c r="A12" t="s">
        <v>2613</v>
      </c>
      <c r="C12" s="76">
        <v>5</v>
      </c>
      <c r="D12" s="76">
        <v>5</v>
      </c>
      <c r="E12" s="76">
        <v>5</v>
      </c>
      <c r="F12" s="76">
        <v>5</v>
      </c>
      <c r="G12" s="76">
        <v>5</v>
      </c>
      <c r="H12" s="76">
        <v>5</v>
      </c>
      <c r="I12" s="498">
        <v>5</v>
      </c>
      <c r="J12" s="498">
        <v>5</v>
      </c>
      <c r="K12" s="76">
        <v>5</v>
      </c>
      <c r="L12" s="76">
        <v>5</v>
      </c>
      <c r="M12" s="76">
        <v>5</v>
      </c>
      <c r="N12" s="76">
        <v>5</v>
      </c>
      <c r="O12" s="76">
        <v>5</v>
      </c>
      <c r="P12" s="76">
        <v>5</v>
      </c>
      <c r="Q12" s="76">
        <v>5</v>
      </c>
      <c r="R12" s="76">
        <v>5</v>
      </c>
    </row>
    <row r="13" spans="1:19">
      <c r="A13" t="s">
        <v>2614</v>
      </c>
      <c r="C13" s="76">
        <v>3</v>
      </c>
      <c r="D13" s="76">
        <v>3</v>
      </c>
      <c r="E13" s="76">
        <v>3</v>
      </c>
      <c r="F13" s="76">
        <v>3</v>
      </c>
      <c r="G13" s="76">
        <v>3</v>
      </c>
      <c r="H13" s="76">
        <v>3</v>
      </c>
      <c r="I13" s="498">
        <v>3</v>
      </c>
      <c r="J13" s="498">
        <v>3</v>
      </c>
      <c r="K13" s="76">
        <v>3</v>
      </c>
      <c r="L13" s="76">
        <v>3</v>
      </c>
      <c r="M13" s="76">
        <v>3</v>
      </c>
      <c r="N13" s="76">
        <v>3</v>
      </c>
      <c r="O13" s="76">
        <v>3</v>
      </c>
      <c r="P13" s="76">
        <v>3</v>
      </c>
      <c r="Q13" s="76">
        <v>3</v>
      </c>
      <c r="R13" s="76">
        <v>3</v>
      </c>
    </row>
    <row r="14" spans="1:19">
      <c r="A14" t="s">
        <v>2742</v>
      </c>
      <c r="C14" s="76">
        <v>3</v>
      </c>
      <c r="D14" s="76">
        <v>3</v>
      </c>
      <c r="E14" s="76">
        <v>3</v>
      </c>
      <c r="F14" s="76">
        <v>3</v>
      </c>
      <c r="G14" s="76">
        <v>3</v>
      </c>
      <c r="H14" s="76">
        <v>3</v>
      </c>
      <c r="I14" s="498">
        <v>3</v>
      </c>
      <c r="J14" s="498">
        <v>3</v>
      </c>
      <c r="K14" s="76">
        <v>3</v>
      </c>
      <c r="L14" s="76">
        <v>3</v>
      </c>
      <c r="M14" s="76">
        <v>3</v>
      </c>
      <c r="N14" s="76">
        <v>3</v>
      </c>
      <c r="O14" s="76">
        <v>3</v>
      </c>
      <c r="P14" s="76">
        <v>3</v>
      </c>
      <c r="Q14" s="76">
        <v>3</v>
      </c>
      <c r="R14" s="76">
        <v>3</v>
      </c>
    </row>
    <row r="15" spans="1:19">
      <c r="A15" t="s">
        <v>2617</v>
      </c>
      <c r="C15" s="76">
        <v>2.7</v>
      </c>
      <c r="D15" s="76">
        <v>2.7</v>
      </c>
      <c r="E15" s="76">
        <v>2.7</v>
      </c>
      <c r="F15" s="76">
        <v>2.7</v>
      </c>
      <c r="G15" s="76">
        <v>2.7</v>
      </c>
      <c r="H15" s="76">
        <v>2.7</v>
      </c>
      <c r="I15" s="498">
        <v>2.7</v>
      </c>
      <c r="J15" s="498">
        <v>2.7</v>
      </c>
      <c r="K15" s="76">
        <v>2.7</v>
      </c>
      <c r="L15" s="76">
        <v>2.7</v>
      </c>
      <c r="M15" s="76">
        <v>2.7</v>
      </c>
      <c r="N15" s="76">
        <v>2.7</v>
      </c>
      <c r="O15" s="76">
        <v>2.7</v>
      </c>
      <c r="P15" s="76">
        <v>2.7</v>
      </c>
      <c r="Q15" s="76">
        <v>2.7</v>
      </c>
      <c r="R15" s="76">
        <v>2.7</v>
      </c>
    </row>
    <row r="16" spans="1:19">
      <c r="A16" t="s">
        <v>2743</v>
      </c>
      <c r="C16" s="76">
        <v>2.2999999999999998</v>
      </c>
      <c r="D16" s="76">
        <v>2.2999999999999998</v>
      </c>
      <c r="E16" s="76">
        <v>2.2999999999999998</v>
      </c>
      <c r="F16" s="76">
        <v>2.2999999999999998</v>
      </c>
      <c r="G16" s="76">
        <v>2.2999999999999998</v>
      </c>
      <c r="H16" s="76">
        <v>2.2999999999999998</v>
      </c>
      <c r="I16" s="498">
        <v>2.2999999999999998</v>
      </c>
      <c r="J16" s="498">
        <v>2.2999999999999998</v>
      </c>
      <c r="K16" s="76">
        <v>2.2999999999999998</v>
      </c>
      <c r="L16" s="76">
        <v>2.2999999999999998</v>
      </c>
      <c r="M16" s="76">
        <v>2.2999999999999998</v>
      </c>
      <c r="N16" s="76">
        <v>2.2999999999999998</v>
      </c>
      <c r="O16" s="76">
        <v>2.2999999999999998</v>
      </c>
      <c r="P16" s="76">
        <v>2.2999999999999998</v>
      </c>
      <c r="Q16" s="76">
        <v>2.2999999999999998</v>
      </c>
      <c r="R16" s="76">
        <v>2.2999999999999998</v>
      </c>
    </row>
    <row r="17" spans="1:18">
      <c r="A17" t="s">
        <v>2619</v>
      </c>
      <c r="C17" s="76">
        <v>2.8</v>
      </c>
      <c r="D17" s="76">
        <v>2.8</v>
      </c>
      <c r="E17" s="76">
        <v>2.8</v>
      </c>
      <c r="F17" s="76">
        <v>2.8</v>
      </c>
      <c r="G17" s="76">
        <v>2.8</v>
      </c>
      <c r="H17" s="76">
        <v>2.8</v>
      </c>
      <c r="I17" s="498">
        <v>2.8</v>
      </c>
      <c r="J17" s="498">
        <v>2.8</v>
      </c>
      <c r="K17" s="76">
        <v>2.8</v>
      </c>
      <c r="L17" s="76">
        <v>2.8</v>
      </c>
      <c r="M17" s="76">
        <v>2.8</v>
      </c>
      <c r="N17" s="76">
        <v>2.8</v>
      </c>
      <c r="O17" s="76">
        <v>2.8</v>
      </c>
      <c r="P17" s="76">
        <v>2.8</v>
      </c>
      <c r="Q17" s="76">
        <v>2.8</v>
      </c>
      <c r="R17" s="76">
        <v>2.8</v>
      </c>
    </row>
    <row r="18" spans="1:18">
      <c r="A18" t="s">
        <v>2744</v>
      </c>
      <c r="C18" s="76">
        <v>1.7</v>
      </c>
      <c r="D18" s="76">
        <v>1.7</v>
      </c>
      <c r="E18" s="76">
        <v>1.7</v>
      </c>
      <c r="F18" s="76">
        <v>1.7</v>
      </c>
      <c r="G18" s="76">
        <v>1.7</v>
      </c>
      <c r="H18" s="76">
        <v>1.7</v>
      </c>
      <c r="I18" s="498">
        <v>1.7</v>
      </c>
      <c r="J18" s="498">
        <v>1.7</v>
      </c>
      <c r="K18" s="76">
        <v>1.7</v>
      </c>
      <c r="L18" s="76">
        <v>1.7</v>
      </c>
      <c r="M18" s="76">
        <v>1.7</v>
      </c>
      <c r="N18" s="76">
        <v>1.7</v>
      </c>
      <c r="O18" s="76">
        <v>1.7</v>
      </c>
      <c r="P18" s="76">
        <v>1.7</v>
      </c>
      <c r="Q18" s="76">
        <v>1.7</v>
      </c>
      <c r="R18" s="76">
        <v>1.7</v>
      </c>
    </row>
    <row r="19" spans="1:18">
      <c r="A19" t="s">
        <v>2745</v>
      </c>
      <c r="C19" s="76">
        <v>4</v>
      </c>
      <c r="D19" s="76">
        <v>4</v>
      </c>
      <c r="E19" s="76">
        <v>4</v>
      </c>
      <c r="F19" s="76">
        <v>4</v>
      </c>
      <c r="G19" s="76">
        <v>4</v>
      </c>
      <c r="H19" s="76">
        <v>4</v>
      </c>
      <c r="I19" s="498">
        <v>4</v>
      </c>
      <c r="J19" s="498">
        <v>4</v>
      </c>
      <c r="K19" s="76">
        <v>4</v>
      </c>
      <c r="L19" s="76">
        <v>4</v>
      </c>
      <c r="M19" s="76">
        <v>4</v>
      </c>
      <c r="N19" s="76">
        <v>4</v>
      </c>
      <c r="O19" s="76">
        <v>4</v>
      </c>
      <c r="P19" s="76">
        <v>4</v>
      </c>
      <c r="Q19" s="76">
        <v>4</v>
      </c>
      <c r="R19" s="76">
        <v>4</v>
      </c>
    </row>
    <row r="20" spans="1:18">
      <c r="C20" s="76"/>
      <c r="D20" s="76"/>
      <c r="E20" s="76"/>
      <c r="F20" s="76"/>
      <c r="G20" s="76"/>
      <c r="H20" s="76"/>
      <c r="I20" s="498"/>
      <c r="J20" s="498"/>
      <c r="K20" s="76"/>
      <c r="L20" s="76"/>
      <c r="M20" s="76"/>
      <c r="N20" s="76"/>
      <c r="O20" s="76"/>
      <c r="P20" s="76"/>
      <c r="Q20" s="76"/>
      <c r="R20" s="76"/>
    </row>
    <row r="21" spans="1:18">
      <c r="A21" t="s">
        <v>2636</v>
      </c>
      <c r="C21" s="76">
        <v>1.1000000000000001</v>
      </c>
      <c r="D21" s="76">
        <v>1.1000000000000001</v>
      </c>
      <c r="E21" s="76">
        <v>1.1000000000000001</v>
      </c>
      <c r="F21" s="76">
        <v>1.1000000000000001</v>
      </c>
      <c r="G21" s="76">
        <v>1.1000000000000001</v>
      </c>
      <c r="H21" s="76">
        <v>1.1000000000000001</v>
      </c>
      <c r="I21" s="498">
        <v>1.1000000000000001</v>
      </c>
      <c r="J21" s="498">
        <v>1.1000000000000001</v>
      </c>
      <c r="K21" s="76">
        <v>1.1000000000000001</v>
      </c>
      <c r="L21" s="76">
        <v>1.1000000000000001</v>
      </c>
      <c r="M21" s="76">
        <v>1.1000000000000001</v>
      </c>
      <c r="N21" s="76">
        <v>1.1000000000000001</v>
      </c>
      <c r="O21" s="76">
        <v>1.1000000000000001</v>
      </c>
      <c r="P21" s="76">
        <v>1.1000000000000001</v>
      </c>
      <c r="Q21" s="76">
        <v>1.1000000000000001</v>
      </c>
      <c r="R21" s="76">
        <v>1.1000000000000001</v>
      </c>
    </row>
    <row r="22" spans="1:18">
      <c r="C22" s="76"/>
      <c r="D22" s="76"/>
      <c r="E22" s="76"/>
      <c r="F22" s="76"/>
      <c r="G22" s="76"/>
      <c r="H22" s="76"/>
      <c r="I22" s="498"/>
      <c r="J22" s="498"/>
      <c r="K22" s="76"/>
      <c r="L22" s="76"/>
      <c r="M22" s="76"/>
      <c r="N22" s="76"/>
      <c r="O22" s="76"/>
      <c r="P22" s="76"/>
      <c r="Q22" s="76"/>
      <c r="R22" s="76"/>
    </row>
    <row r="23" spans="1:18">
      <c r="A23" t="s">
        <v>2747</v>
      </c>
      <c r="C23" s="76">
        <v>1.35</v>
      </c>
      <c r="D23" s="76">
        <v>1.35</v>
      </c>
      <c r="E23" s="76">
        <v>1.35</v>
      </c>
      <c r="F23" s="76">
        <v>1.35</v>
      </c>
      <c r="G23" s="76">
        <v>1.35</v>
      </c>
      <c r="H23" s="76">
        <v>1.35</v>
      </c>
      <c r="I23" s="498">
        <v>1.35</v>
      </c>
      <c r="J23" s="498">
        <v>1.35</v>
      </c>
      <c r="K23" s="76">
        <v>1.35</v>
      </c>
      <c r="L23" s="76">
        <v>1.35</v>
      </c>
      <c r="M23" s="76">
        <v>1.35</v>
      </c>
      <c r="N23" s="76">
        <v>1.35</v>
      </c>
      <c r="O23" s="76">
        <v>1.35</v>
      </c>
      <c r="P23" s="76">
        <v>1.35</v>
      </c>
      <c r="Q23" s="76">
        <v>1.35</v>
      </c>
      <c r="R23" s="76">
        <v>1.35</v>
      </c>
    </row>
    <row r="24" spans="1:18">
      <c r="A24" t="s">
        <v>2752</v>
      </c>
      <c r="C24" s="74">
        <v>50</v>
      </c>
      <c r="D24" s="74">
        <v>50</v>
      </c>
      <c r="E24" s="74">
        <v>50</v>
      </c>
      <c r="F24" s="74">
        <v>50</v>
      </c>
      <c r="G24" s="74">
        <v>50</v>
      </c>
      <c r="H24" s="74">
        <v>50</v>
      </c>
      <c r="I24" s="473">
        <v>50</v>
      </c>
      <c r="J24" s="473">
        <v>50</v>
      </c>
      <c r="K24" s="74">
        <v>50</v>
      </c>
      <c r="L24" s="74">
        <v>50</v>
      </c>
      <c r="M24" s="74">
        <v>50</v>
      </c>
      <c r="N24" s="74">
        <v>50</v>
      </c>
      <c r="O24" s="74">
        <v>50</v>
      </c>
      <c r="P24" s="74">
        <v>50</v>
      </c>
      <c r="Q24" s="2043">
        <v>50</v>
      </c>
      <c r="R24" s="2043">
        <v>50</v>
      </c>
    </row>
    <row r="25" spans="1:18">
      <c r="C25" s="105"/>
      <c r="D25" s="105"/>
      <c r="E25" s="105"/>
      <c r="F25" s="105"/>
      <c r="G25" s="105"/>
      <c r="H25" s="105"/>
      <c r="I25" s="377"/>
      <c r="J25" s="377"/>
      <c r="K25" s="105"/>
      <c r="L25" s="105"/>
      <c r="M25" s="105"/>
      <c r="N25" s="105"/>
      <c r="O25" s="105"/>
      <c r="P25" s="105"/>
      <c r="Q25" s="105"/>
      <c r="R25" s="105"/>
    </row>
    <row r="26" spans="1:18">
      <c r="A26" t="s">
        <v>2748</v>
      </c>
      <c r="C26" s="76">
        <v>0.1</v>
      </c>
      <c r="D26" s="76">
        <v>0.1</v>
      </c>
      <c r="E26" s="76">
        <v>0.1</v>
      </c>
      <c r="F26" s="76">
        <v>0.1</v>
      </c>
      <c r="G26" s="76">
        <v>0.1</v>
      </c>
      <c r="H26" s="76">
        <v>0.1</v>
      </c>
      <c r="I26" s="498">
        <v>0.1</v>
      </c>
      <c r="J26" s="498">
        <v>0.1</v>
      </c>
      <c r="K26" s="76">
        <v>0.1</v>
      </c>
      <c r="L26" s="76">
        <v>0.1</v>
      </c>
      <c r="M26" s="76">
        <v>0.1</v>
      </c>
      <c r="N26" s="76">
        <v>0.1</v>
      </c>
      <c r="O26" s="76">
        <v>0.1</v>
      </c>
      <c r="P26" s="76">
        <v>0.1</v>
      </c>
      <c r="Q26" s="76">
        <v>0.1</v>
      </c>
      <c r="R26" s="76">
        <v>0.1</v>
      </c>
    </row>
    <row r="27" spans="1:18">
      <c r="C27" s="76"/>
      <c r="D27" s="76"/>
      <c r="E27" s="76"/>
      <c r="F27" s="76"/>
      <c r="G27" s="76"/>
      <c r="H27" s="76"/>
      <c r="I27" s="498"/>
      <c r="J27" s="498"/>
      <c r="K27" s="76"/>
      <c r="L27" s="76"/>
      <c r="M27" s="76"/>
      <c r="N27" s="76"/>
      <c r="O27" s="76"/>
      <c r="P27" s="76"/>
      <c r="Q27" s="76"/>
      <c r="R27" s="76"/>
    </row>
    <row r="28" spans="1:18">
      <c r="A28" t="s">
        <v>2749</v>
      </c>
      <c r="C28" s="76">
        <v>0.12</v>
      </c>
      <c r="D28" s="76">
        <v>0.12</v>
      </c>
      <c r="E28" s="76">
        <v>0.12</v>
      </c>
      <c r="F28" s="76">
        <v>0.12</v>
      </c>
      <c r="G28" s="76">
        <v>0.12</v>
      </c>
      <c r="H28" s="76">
        <v>0.12</v>
      </c>
      <c r="I28" s="498">
        <v>0.12</v>
      </c>
      <c r="J28" s="498">
        <v>0.12</v>
      </c>
      <c r="K28" s="76">
        <v>0.12</v>
      </c>
      <c r="L28" s="76">
        <v>0.12</v>
      </c>
      <c r="M28" s="76">
        <v>0.12</v>
      </c>
      <c r="N28" s="76">
        <v>0.12</v>
      </c>
      <c r="O28" s="76">
        <v>0.12</v>
      </c>
      <c r="P28" s="76">
        <v>0.12</v>
      </c>
      <c r="Q28" s="76">
        <v>0.12</v>
      </c>
      <c r="R28" s="76">
        <v>0.12</v>
      </c>
    </row>
    <row r="29" spans="1:18">
      <c r="C29" s="76"/>
      <c r="D29" s="76"/>
      <c r="E29" s="76"/>
      <c r="F29" s="76"/>
      <c r="G29" s="76"/>
      <c r="H29" s="76"/>
      <c r="I29" s="498"/>
      <c r="J29" s="498"/>
      <c r="K29" s="76"/>
      <c r="L29" s="76"/>
      <c r="M29" s="76"/>
      <c r="N29" s="76"/>
      <c r="O29" s="76"/>
      <c r="P29" s="76"/>
      <c r="Q29" s="76"/>
      <c r="R29" s="76"/>
    </row>
    <row r="30" spans="1:18">
      <c r="A30" t="s">
        <v>2750</v>
      </c>
      <c r="C30" s="76">
        <v>0.2</v>
      </c>
      <c r="D30" s="76">
        <v>0.2</v>
      </c>
      <c r="E30" s="76">
        <v>0.2</v>
      </c>
      <c r="F30" s="76">
        <v>0.2</v>
      </c>
      <c r="G30" s="76">
        <v>0.2</v>
      </c>
      <c r="H30" s="76">
        <v>0.2</v>
      </c>
      <c r="I30" s="498">
        <v>0.2</v>
      </c>
      <c r="J30" s="498">
        <v>0.2</v>
      </c>
      <c r="K30" s="76">
        <v>0.2</v>
      </c>
      <c r="L30" s="76">
        <v>0.2</v>
      </c>
      <c r="M30" s="76">
        <v>0.2</v>
      </c>
      <c r="N30" s="76">
        <v>0.2</v>
      </c>
      <c r="O30" s="76">
        <v>0.2</v>
      </c>
      <c r="P30" s="76">
        <v>0.2</v>
      </c>
      <c r="Q30" s="76">
        <v>0.2</v>
      </c>
      <c r="R30" s="76">
        <v>0.2</v>
      </c>
    </row>
    <row r="31" spans="1:18">
      <c r="A31" t="s">
        <v>2751</v>
      </c>
      <c r="C31" s="76">
        <v>2.41</v>
      </c>
      <c r="D31" s="76">
        <v>2.41</v>
      </c>
      <c r="E31" s="76">
        <v>2.41</v>
      </c>
      <c r="F31" s="76">
        <v>2.41</v>
      </c>
      <c r="G31" s="76">
        <v>2.41</v>
      </c>
      <c r="H31" s="76">
        <v>2.41</v>
      </c>
      <c r="I31" s="498">
        <v>2.41</v>
      </c>
      <c r="J31" s="498">
        <v>2.41</v>
      </c>
      <c r="K31" s="76">
        <v>2.41</v>
      </c>
      <c r="L31" s="76">
        <v>2.41</v>
      </c>
      <c r="M31" s="76">
        <v>2.41</v>
      </c>
      <c r="N31" s="76">
        <v>2.41</v>
      </c>
      <c r="O31" s="76">
        <v>2.41</v>
      </c>
      <c r="P31" s="76">
        <v>2.41</v>
      </c>
      <c r="Q31" s="76">
        <v>2.41</v>
      </c>
      <c r="R31" s="76">
        <v>2.41</v>
      </c>
    </row>
    <row r="32" spans="1:18">
      <c r="C32" s="105"/>
      <c r="D32" s="105"/>
      <c r="E32" s="105"/>
      <c r="F32" s="105"/>
      <c r="G32" s="105"/>
      <c r="H32" s="105"/>
      <c r="I32" s="377"/>
      <c r="J32" s="377"/>
      <c r="K32" s="105"/>
      <c r="L32" s="105"/>
      <c r="M32" s="105"/>
      <c r="N32" s="105"/>
      <c r="O32" s="105"/>
      <c r="P32" s="105"/>
      <c r="Q32" s="105"/>
      <c r="R32" s="105"/>
    </row>
    <row r="33" spans="1:19">
      <c r="A33" t="s">
        <v>2753</v>
      </c>
      <c r="C33" s="74">
        <v>275</v>
      </c>
      <c r="D33" s="74">
        <v>275</v>
      </c>
      <c r="E33" s="74">
        <v>275</v>
      </c>
      <c r="F33" s="74">
        <v>275</v>
      </c>
      <c r="G33" s="74">
        <v>275</v>
      </c>
      <c r="H33" s="74">
        <v>275</v>
      </c>
      <c r="I33" s="473">
        <v>275</v>
      </c>
      <c r="J33" s="473">
        <v>275</v>
      </c>
      <c r="K33" s="74">
        <v>275</v>
      </c>
      <c r="L33" s="74">
        <v>275</v>
      </c>
      <c r="M33" s="74">
        <v>275</v>
      </c>
      <c r="N33" s="74">
        <v>275</v>
      </c>
      <c r="O33" s="74">
        <v>275</v>
      </c>
      <c r="P33" s="74">
        <v>275</v>
      </c>
      <c r="Q33" s="2043">
        <v>275</v>
      </c>
      <c r="R33" s="2043">
        <v>275</v>
      </c>
    </row>
    <row r="34" spans="1:19">
      <c r="C34" s="74"/>
      <c r="D34" s="74"/>
      <c r="E34" s="74"/>
      <c r="F34" s="74"/>
      <c r="G34" s="74"/>
      <c r="H34" s="74"/>
      <c r="I34" s="473"/>
      <c r="J34" s="473"/>
      <c r="K34" s="74"/>
      <c r="L34" s="74"/>
      <c r="M34" s="74"/>
      <c r="N34" s="74"/>
      <c r="O34" s="74"/>
      <c r="P34" s="74"/>
      <c r="Q34" s="2043"/>
      <c r="R34" s="2043"/>
    </row>
    <row r="35" spans="1:19" ht="13">
      <c r="A35" t="s">
        <v>1026</v>
      </c>
      <c r="C35" s="105"/>
      <c r="D35" s="105"/>
      <c r="E35" s="105"/>
      <c r="F35" s="105"/>
      <c r="G35" s="74">
        <v>250</v>
      </c>
      <c r="H35" s="74">
        <v>250</v>
      </c>
      <c r="I35" s="1831">
        <v>235.43600000000001</v>
      </c>
      <c r="J35" s="1832">
        <v>224.077</v>
      </c>
      <c r="K35" s="500">
        <v>250</v>
      </c>
      <c r="L35" s="510">
        <f t="shared" ref="L35:R35" si="2">K35</f>
        <v>250</v>
      </c>
      <c r="M35" s="510">
        <f t="shared" si="2"/>
        <v>250</v>
      </c>
      <c r="N35" s="510">
        <f t="shared" si="2"/>
        <v>250</v>
      </c>
      <c r="O35" s="510">
        <f t="shared" si="2"/>
        <v>250</v>
      </c>
      <c r="P35" s="510">
        <f t="shared" si="2"/>
        <v>250</v>
      </c>
      <c r="Q35" s="510">
        <f t="shared" si="2"/>
        <v>250</v>
      </c>
      <c r="R35" s="510">
        <f t="shared" si="2"/>
        <v>250</v>
      </c>
      <c r="S35" s="506" t="s">
        <v>5746</v>
      </c>
    </row>
    <row r="36" spans="1:19" ht="13">
      <c r="C36" s="105"/>
      <c r="D36" s="105"/>
      <c r="E36" s="105"/>
      <c r="F36" s="105"/>
      <c r="G36" s="105"/>
      <c r="H36" s="105"/>
      <c r="I36" s="377"/>
      <c r="J36" s="377"/>
      <c r="K36" s="105"/>
      <c r="L36" s="105"/>
      <c r="M36" s="105"/>
      <c r="N36" s="105"/>
      <c r="O36" s="105"/>
      <c r="P36" s="105"/>
      <c r="Q36" s="105"/>
      <c r="R36" s="105"/>
      <c r="S36" s="507" t="s">
        <v>5747</v>
      </c>
    </row>
    <row r="37" spans="1:19" ht="13">
      <c r="A37" t="s">
        <v>2754</v>
      </c>
      <c r="C37" s="76">
        <v>0.1</v>
      </c>
      <c r="D37" s="76">
        <v>0.1</v>
      </c>
      <c r="E37" s="76">
        <v>0.1</v>
      </c>
      <c r="F37" s="76">
        <v>0.1</v>
      </c>
      <c r="G37" s="76">
        <v>0.1</v>
      </c>
      <c r="H37" s="76">
        <v>0.1</v>
      </c>
      <c r="I37" s="498">
        <v>0.1</v>
      </c>
      <c r="J37" s="498">
        <v>0.1</v>
      </c>
      <c r="K37" s="76">
        <v>0.1</v>
      </c>
      <c r="L37" s="76">
        <v>0.1</v>
      </c>
      <c r="M37" s="76">
        <v>0.1</v>
      </c>
      <c r="N37" s="76">
        <v>0.1</v>
      </c>
      <c r="O37" s="76">
        <v>0.1</v>
      </c>
      <c r="P37" s="76">
        <v>0.1</v>
      </c>
      <c r="Q37" s="76">
        <v>0.1</v>
      </c>
      <c r="R37" s="76">
        <v>0.1</v>
      </c>
      <c r="S37" s="508" t="s">
        <v>7006</v>
      </c>
    </row>
    <row r="38" spans="1:19">
      <c r="C38" s="105"/>
      <c r="D38" s="105"/>
      <c r="E38" s="105"/>
      <c r="F38" s="105"/>
      <c r="G38" s="105"/>
      <c r="H38" s="105"/>
      <c r="I38" s="377"/>
      <c r="J38" s="377"/>
      <c r="K38" s="105"/>
      <c r="L38" s="105"/>
      <c r="M38" s="105"/>
      <c r="N38" s="105"/>
      <c r="O38" s="105"/>
      <c r="P38" s="105"/>
      <c r="Q38" s="105"/>
      <c r="R38" s="105"/>
    </row>
    <row r="39" spans="1:19" ht="13">
      <c r="A39" t="s">
        <v>2755</v>
      </c>
      <c r="C39" s="340">
        <v>2.5000000000000001E-4</v>
      </c>
      <c r="D39" s="340">
        <v>2.5000000000000001E-4</v>
      </c>
      <c r="E39" s="340">
        <v>2.5000000000000001E-4</v>
      </c>
      <c r="F39" s="340">
        <v>2.5000000000000001E-4</v>
      </c>
      <c r="G39" s="340">
        <v>2.5000000000000001E-4</v>
      </c>
      <c r="H39" s="340">
        <v>2.5000000000000001E-4</v>
      </c>
      <c r="I39" s="378">
        <v>2.5000000000000001E-4</v>
      </c>
      <c r="J39" s="509">
        <v>2.7500000000000002E-4</v>
      </c>
      <c r="K39" s="664">
        <v>2.9999999999999997E-4</v>
      </c>
      <c r="L39" s="665">
        <v>3.2499999999999999E-4</v>
      </c>
      <c r="M39" s="665">
        <v>3.5E-4</v>
      </c>
      <c r="N39" s="665">
        <v>3.7500000000000001E-4</v>
      </c>
      <c r="O39" s="665">
        <v>4.0000000000000002E-4</v>
      </c>
      <c r="P39" s="665">
        <v>4.0000000000000002E-4</v>
      </c>
      <c r="Q39" s="665">
        <v>4.0000000000000002E-4</v>
      </c>
      <c r="R39" s="665">
        <v>4.0000000000000002E-4</v>
      </c>
    </row>
    <row r="40" spans="1:19">
      <c r="A40" t="s">
        <v>2762</v>
      </c>
      <c r="C40" s="105">
        <v>4.0000000000000002E-4</v>
      </c>
      <c r="D40" s="105">
        <v>4.0000000000000002E-4</v>
      </c>
      <c r="E40" s="105">
        <v>4.0000000000000002E-4</v>
      </c>
      <c r="F40" s="105">
        <v>4.0000000000000002E-4</v>
      </c>
      <c r="G40" s="105">
        <v>4.0000000000000002E-4</v>
      </c>
      <c r="H40" s="105">
        <v>4.0000000000000002E-4</v>
      </c>
      <c r="I40" s="377">
        <v>4.0000000000000002E-4</v>
      </c>
      <c r="J40" s="377">
        <v>4.0000000000000002E-4</v>
      </c>
      <c r="K40" s="105">
        <v>4.0000000000000002E-4</v>
      </c>
      <c r="L40" s="105">
        <v>4.0000000000000002E-4</v>
      </c>
      <c r="M40" s="105">
        <v>4.0000000000000002E-4</v>
      </c>
      <c r="N40" s="105">
        <v>4.0000000000000002E-4</v>
      </c>
      <c r="O40" s="105">
        <v>4.0000000000000002E-4</v>
      </c>
      <c r="P40" s="105">
        <v>4.0000000000000002E-4</v>
      </c>
      <c r="Q40" s="105">
        <v>4.0000000000000002E-4</v>
      </c>
      <c r="R40" s="105">
        <v>4.0000000000000002E-4</v>
      </c>
    </row>
    <row r="41" spans="1:19">
      <c r="I41" s="241"/>
      <c r="J41" s="241"/>
    </row>
    <row r="42" spans="1:19">
      <c r="A42" t="s">
        <v>2756</v>
      </c>
      <c r="C42" s="106">
        <v>2.5000000000000001E-5</v>
      </c>
      <c r="D42" s="106">
        <v>2.5000000000000001E-5</v>
      </c>
      <c r="E42" s="106">
        <v>2.5000000000000001E-5</v>
      </c>
      <c r="F42" s="106">
        <v>2.5000000000000001E-5</v>
      </c>
      <c r="G42" s="106">
        <v>2.5000000000000001E-5</v>
      </c>
      <c r="H42" s="106">
        <v>2.5000000000000001E-5</v>
      </c>
      <c r="I42" s="499">
        <v>2.5000000000000001E-5</v>
      </c>
      <c r="J42" s="499">
        <v>2.5000000000000001E-5</v>
      </c>
      <c r="K42" s="106">
        <v>2.5000000000000001E-5</v>
      </c>
      <c r="L42" s="106">
        <v>2.5000000000000001E-5</v>
      </c>
      <c r="M42" s="106">
        <v>2.5000000000000001E-5</v>
      </c>
      <c r="N42" s="106">
        <v>2.5000000000000001E-5</v>
      </c>
      <c r="O42" s="106">
        <v>2.5000000000000001E-5</v>
      </c>
      <c r="P42" s="106">
        <v>2.5000000000000001E-5</v>
      </c>
      <c r="Q42" s="106">
        <v>2.5000000000000001E-5</v>
      </c>
      <c r="R42" s="106">
        <v>2.5000000000000001E-5</v>
      </c>
    </row>
    <row r="43" spans="1:19">
      <c r="I43" s="241"/>
      <c r="J43" s="241"/>
    </row>
    <row r="44" spans="1:19">
      <c r="A44" t="s">
        <v>2757</v>
      </c>
      <c r="C44">
        <v>0.71</v>
      </c>
      <c r="D44">
        <v>0.71</v>
      </c>
      <c r="E44">
        <v>0.71</v>
      </c>
      <c r="F44">
        <v>0.71</v>
      </c>
      <c r="G44">
        <v>0.71</v>
      </c>
      <c r="H44">
        <v>0.71</v>
      </c>
      <c r="I44" s="241">
        <v>0.71</v>
      </c>
      <c r="J44" s="241">
        <v>0.71</v>
      </c>
      <c r="K44">
        <v>0.71</v>
      </c>
      <c r="L44">
        <v>0.71</v>
      </c>
      <c r="M44">
        <v>0.71</v>
      </c>
      <c r="N44">
        <v>0.71</v>
      </c>
      <c r="O44">
        <v>0.71</v>
      </c>
      <c r="P44">
        <v>0.71</v>
      </c>
      <c r="Q44" s="2042">
        <v>0.71</v>
      </c>
      <c r="R44" s="2042">
        <v>0.71</v>
      </c>
    </row>
    <row r="45" spans="1:19">
      <c r="A45" t="s">
        <v>2763</v>
      </c>
      <c r="C45">
        <v>1.3999999999999999E-4</v>
      </c>
      <c r="D45">
        <v>1.3999999999999999E-4</v>
      </c>
      <c r="E45">
        <v>1.3999999999999999E-4</v>
      </c>
      <c r="F45">
        <v>1.3999999999999999E-4</v>
      </c>
      <c r="G45">
        <v>1.3999999999999999E-4</v>
      </c>
      <c r="H45">
        <v>1.3999999999999999E-4</v>
      </c>
      <c r="I45" s="241">
        <v>1.3999999999999999E-4</v>
      </c>
      <c r="J45" s="241">
        <v>1.3999999999999999E-4</v>
      </c>
      <c r="K45">
        <v>1.3999999999999999E-4</v>
      </c>
      <c r="L45">
        <v>1.3999999999999999E-4</v>
      </c>
      <c r="M45">
        <v>1.3999999999999999E-4</v>
      </c>
      <c r="N45">
        <v>1.3999999999999999E-4</v>
      </c>
      <c r="O45">
        <v>1.3999999999999999E-4</v>
      </c>
      <c r="P45">
        <v>1.3999999999999999E-4</v>
      </c>
      <c r="Q45" s="2042">
        <v>1.3999999999999999E-4</v>
      </c>
      <c r="R45" s="2042">
        <v>1.3999999999999999E-4</v>
      </c>
    </row>
    <row r="46" spans="1:19">
      <c r="I46" s="241"/>
      <c r="J46" s="241"/>
    </row>
    <row r="47" spans="1:19">
      <c r="A47" t="s">
        <v>2759</v>
      </c>
      <c r="C47">
        <v>0.66669999999999996</v>
      </c>
      <c r="D47">
        <v>0.66669999999999996</v>
      </c>
      <c r="E47">
        <v>0.66669999999999996</v>
      </c>
      <c r="F47">
        <v>0.66669999999999996</v>
      </c>
      <c r="G47">
        <v>0.66669999999999996</v>
      </c>
      <c r="H47">
        <v>0.66669999999999996</v>
      </c>
      <c r="I47" s="241">
        <v>0.66669999999999996</v>
      </c>
      <c r="J47" s="241">
        <v>0.66669999999999996</v>
      </c>
      <c r="K47">
        <v>0.66669999999999996</v>
      </c>
      <c r="L47">
        <v>0.66669999999999996</v>
      </c>
      <c r="M47">
        <v>0.66669999999999996</v>
      </c>
      <c r="N47">
        <v>0.66669999999999996</v>
      </c>
      <c r="O47">
        <v>0.66669999999999996</v>
      </c>
      <c r="P47">
        <v>0.66669999999999996</v>
      </c>
      <c r="Q47" s="2042">
        <v>0.66669999999999996</v>
      </c>
      <c r="R47" s="2042">
        <v>0.66669999999999996</v>
      </c>
    </row>
    <row r="48" spans="1:19">
      <c r="I48" s="241"/>
      <c r="J48" s="241"/>
    </row>
    <row r="49" spans="1:18">
      <c r="A49" t="s">
        <v>2764</v>
      </c>
      <c r="C49">
        <v>35</v>
      </c>
      <c r="D49">
        <v>35</v>
      </c>
      <c r="E49">
        <v>35</v>
      </c>
      <c r="F49">
        <v>35</v>
      </c>
      <c r="G49">
        <v>35</v>
      </c>
      <c r="H49">
        <v>35</v>
      </c>
      <c r="I49" s="241">
        <v>35</v>
      </c>
      <c r="J49" s="241">
        <v>35</v>
      </c>
      <c r="K49">
        <v>35</v>
      </c>
      <c r="L49">
        <v>35</v>
      </c>
      <c r="M49">
        <v>35</v>
      </c>
      <c r="N49">
        <v>35</v>
      </c>
      <c r="O49">
        <v>35</v>
      </c>
      <c r="P49">
        <v>35</v>
      </c>
      <c r="Q49" s="2042">
        <v>35</v>
      </c>
      <c r="R49" s="2042">
        <v>35</v>
      </c>
    </row>
    <row r="50" spans="1:18" ht="13">
      <c r="A50" t="s">
        <v>2765</v>
      </c>
      <c r="C50">
        <v>35</v>
      </c>
      <c r="D50">
        <v>35</v>
      </c>
      <c r="E50">
        <v>35</v>
      </c>
      <c r="F50">
        <v>35</v>
      </c>
      <c r="G50">
        <v>35</v>
      </c>
      <c r="H50">
        <v>35</v>
      </c>
      <c r="I50" s="241">
        <v>35</v>
      </c>
      <c r="J50" s="991">
        <v>36.75</v>
      </c>
      <c r="K50">
        <v>38.58</v>
      </c>
      <c r="L50">
        <f t="shared" ref="L50:R50" si="3">K50</f>
        <v>38.58</v>
      </c>
      <c r="M50">
        <v>40</v>
      </c>
      <c r="N50">
        <f t="shared" si="3"/>
        <v>40</v>
      </c>
      <c r="O50">
        <f t="shared" si="3"/>
        <v>40</v>
      </c>
      <c r="P50">
        <f t="shared" si="3"/>
        <v>40</v>
      </c>
      <c r="Q50" s="2042">
        <f t="shared" si="3"/>
        <v>40</v>
      </c>
      <c r="R50" s="2042">
        <f t="shared" si="3"/>
        <v>40</v>
      </c>
    </row>
    <row r="51" spans="1:18" ht="13">
      <c r="J51" s="501" t="s">
        <v>5744</v>
      </c>
      <c r="K51" s="502"/>
      <c r="L51" s="502"/>
      <c r="M51" s="502"/>
      <c r="N51" s="502"/>
      <c r="O51" s="502"/>
      <c r="P51" s="502"/>
      <c r="Q51" s="502"/>
      <c r="R51" s="502"/>
    </row>
    <row r="52" spans="1:18" ht="13">
      <c r="J52" s="503" t="s">
        <v>5745</v>
      </c>
      <c r="K52" s="504"/>
      <c r="L52" s="504"/>
      <c r="M52" s="504"/>
      <c r="N52" s="504"/>
      <c r="O52" s="504"/>
      <c r="P52" s="504"/>
      <c r="Q52" s="504"/>
      <c r="R52" s="504"/>
    </row>
    <row r="54" spans="1:18">
      <c r="A54" t="s">
        <v>7429</v>
      </c>
    </row>
  </sheetData>
  <pageMargins left="0.45" right="0.45" top="0.5" bottom="0.5" header="0.3" footer="0.3"/>
  <pageSetup scale="8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66FF33"/>
  </sheetPr>
  <dimension ref="A1:E51"/>
  <sheetViews>
    <sheetView topLeftCell="A13" workbookViewId="0">
      <selection activeCell="B24" sqref="B24"/>
    </sheetView>
  </sheetViews>
  <sheetFormatPr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784" t="str">
        <f>'OtherDetail2223-HB3'!D1</f>
        <v>Release 2</v>
      </c>
    </row>
    <row r="2" spans="1:5" s="247" customFormat="1" ht="15.5">
      <c r="A2" s="245" t="s">
        <v>2717</v>
      </c>
      <c r="D2" s="1815">
        <f>'OtherDetail2223-HB3'!D2</f>
        <v>44930</v>
      </c>
    </row>
    <row r="3" spans="1:5" s="247" customFormat="1" ht="15.5">
      <c r="A3" s="246"/>
      <c r="D3" s="47"/>
    </row>
    <row r="4" spans="1:5" s="247" customFormat="1" ht="15.5">
      <c r="A4" s="246" t="s">
        <v>8345</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821"/>
      <c r="B9" s="1775"/>
      <c r="C9" s="1822"/>
      <c r="D9" s="1794" t="s">
        <v>2631</v>
      </c>
    </row>
    <row r="10" spans="1:5" s="321" customFormat="1" ht="18">
      <c r="A10" s="1819" t="s">
        <v>2714</v>
      </c>
      <c r="B10" s="1823"/>
      <c r="C10" s="1824"/>
      <c r="D10" s="1776" t="s">
        <v>2628</v>
      </c>
    </row>
    <row r="11" spans="1:5" s="247" customFormat="1" ht="15.5">
      <c r="A11" s="250" t="s">
        <v>2063</v>
      </c>
      <c r="B11" s="251" t="s">
        <v>8336</v>
      </c>
      <c r="C11" s="251"/>
      <c r="D11" s="329">
        <f>'Data Entry - SOF'!G100</f>
        <v>0</v>
      </c>
    </row>
    <row r="12" spans="1:5" s="247" customFormat="1" ht="15.5">
      <c r="A12" s="250" t="s">
        <v>2064</v>
      </c>
      <c r="B12" s="1767" t="s">
        <v>8332</v>
      </c>
      <c r="C12" s="1767"/>
      <c r="D12" s="1827">
        <v>0</v>
      </c>
      <c r="E12" s="283" t="s">
        <v>11031</v>
      </c>
    </row>
    <row r="13" spans="1:5" s="247" customFormat="1" ht="15.5">
      <c r="A13" s="250" t="s">
        <v>2065</v>
      </c>
      <c r="B13" s="251" t="s">
        <v>714</v>
      </c>
      <c r="C13" s="251"/>
      <c r="D13" s="329">
        <f>'Data Entry - SOF'!G101</f>
        <v>0</v>
      </c>
      <c r="E13" s="2040"/>
    </row>
    <row r="14" spans="1:5" s="247" customFormat="1" ht="15.5">
      <c r="A14" s="250" t="s">
        <v>862</v>
      </c>
      <c r="B14" s="251" t="s">
        <v>2710</v>
      </c>
      <c r="C14" s="251"/>
      <c r="D14" s="329">
        <f>'Data Entry - SOF'!G102</f>
        <v>0</v>
      </c>
      <c r="E14" s="2040"/>
    </row>
    <row r="15" spans="1:5" s="247" customFormat="1" ht="15.5" hidden="1">
      <c r="A15" s="250" t="s">
        <v>863</v>
      </c>
      <c r="B15" s="251" t="s">
        <v>2823</v>
      </c>
      <c r="C15" s="251"/>
      <c r="D15" s="260">
        <v>0</v>
      </c>
      <c r="E15" s="2040"/>
    </row>
    <row r="16" spans="1:5" s="247" customFormat="1" ht="15.5">
      <c r="A16" s="250" t="s">
        <v>863</v>
      </c>
      <c r="B16" s="1767" t="s">
        <v>8331</v>
      </c>
      <c r="C16" s="1767"/>
      <c r="D16" s="1757">
        <f>'Data Entry - SOF'!G116</f>
        <v>0</v>
      </c>
      <c r="E16" s="2040"/>
    </row>
    <row r="17" spans="1:5" s="247" customFormat="1" ht="15.5">
      <c r="A17" s="250" t="s">
        <v>865</v>
      </c>
      <c r="B17" s="1767" t="s">
        <v>2711</v>
      </c>
      <c r="C17" s="1767"/>
      <c r="D17" s="1825">
        <v>0</v>
      </c>
      <c r="E17" s="283" t="s">
        <v>11031</v>
      </c>
    </row>
    <row r="18" spans="1:5" s="247" customFormat="1" ht="15.5">
      <c r="A18" s="250" t="s">
        <v>866</v>
      </c>
      <c r="B18" s="251" t="s">
        <v>2712</v>
      </c>
      <c r="C18" s="251"/>
      <c r="D18" s="255">
        <f>'SOF2324-HB3'!I90</f>
        <v>0</v>
      </c>
      <c r="E18" s="2040"/>
    </row>
    <row r="19" spans="1:5" s="247" customFormat="1" ht="15.5">
      <c r="A19" s="250" t="s">
        <v>867</v>
      </c>
      <c r="B19" s="251" t="s">
        <v>2713</v>
      </c>
      <c r="C19" s="251"/>
      <c r="D19" s="329">
        <f>'SOF2324-HB3'!I89</f>
        <v>0</v>
      </c>
      <c r="E19" s="2040"/>
    </row>
    <row r="20" spans="1:5" s="247" customFormat="1" ht="15.5">
      <c r="A20" s="250" t="s">
        <v>109</v>
      </c>
      <c r="B20" s="251" t="s">
        <v>2783</v>
      </c>
      <c r="C20" s="1767"/>
      <c r="D20" s="260">
        <v>0</v>
      </c>
      <c r="E20" s="283" t="s">
        <v>11031</v>
      </c>
    </row>
    <row r="21" spans="1:5" s="247" customFormat="1" ht="15.5">
      <c r="A21" s="250" t="s">
        <v>110</v>
      </c>
      <c r="B21" s="251" t="s">
        <v>2784</v>
      </c>
      <c r="C21" s="1767"/>
      <c r="D21" s="260">
        <v>0</v>
      </c>
      <c r="E21" s="283" t="s">
        <v>11031</v>
      </c>
    </row>
    <row r="22" spans="1:5" s="247" customFormat="1" ht="15.5">
      <c r="A22" s="250" t="s">
        <v>111</v>
      </c>
      <c r="B22" s="251" t="s">
        <v>7395</v>
      </c>
      <c r="C22" s="251"/>
      <c r="D22" s="1828">
        <v>0</v>
      </c>
      <c r="E22" s="283" t="s">
        <v>8338</v>
      </c>
    </row>
    <row r="23" spans="1:5" s="247" customFormat="1" ht="15.5">
      <c r="A23" s="250" t="s">
        <v>112</v>
      </c>
      <c r="B23" s="984" t="s">
        <v>8333</v>
      </c>
      <c r="C23" s="251"/>
      <c r="D23" s="255" t="e">
        <f>'DistCharter-Funding2324'!J57</f>
        <v>#DIV/0!</v>
      </c>
      <c r="E23" s="2040"/>
    </row>
    <row r="24" spans="1:5" s="247" customFormat="1" ht="15.5">
      <c r="A24" s="250" t="s">
        <v>1424</v>
      </c>
      <c r="B24" s="636" t="s">
        <v>9280</v>
      </c>
      <c r="C24" s="251"/>
      <c r="D24" s="329" t="e">
        <f>'FTG-Detail2324'!D25</f>
        <v>#DIV/0!</v>
      </c>
      <c r="E24" s="2040"/>
    </row>
    <row r="25" spans="1:5" s="247" customFormat="1" ht="15.5">
      <c r="A25" s="250" t="s">
        <v>6</v>
      </c>
      <c r="B25" s="2976" t="s">
        <v>8334</v>
      </c>
      <c r="C25" s="251"/>
      <c r="D25" s="329">
        <f>'SOF2324-HB3'!I118</f>
        <v>0</v>
      </c>
      <c r="E25" s="2040"/>
    </row>
    <row r="26" spans="1:5" s="2040" customFormat="1" ht="15.5">
      <c r="A26" s="250" t="s">
        <v>2109</v>
      </c>
      <c r="B26" s="1767" t="s">
        <v>11027</v>
      </c>
      <c r="C26" s="2971"/>
      <c r="D26" s="2972">
        <f>'Data Entry - SOF'!G105</f>
        <v>0</v>
      </c>
    </row>
    <row r="27" spans="1:5" s="2040" customFormat="1" ht="15.5">
      <c r="A27" s="250" t="s">
        <v>2110</v>
      </c>
      <c r="B27" s="2186" t="s">
        <v>10808</v>
      </c>
      <c r="C27" s="2971"/>
      <c r="D27" s="2972">
        <f>'Data Entry - SOF'!G106</f>
        <v>0</v>
      </c>
    </row>
    <row r="28" spans="1:5" s="2040" customFormat="1" ht="15.5">
      <c r="A28" s="250" t="s">
        <v>2562</v>
      </c>
      <c r="B28" s="2527" t="s">
        <v>11028</v>
      </c>
      <c r="C28" s="2971"/>
      <c r="D28" s="2972" t="e">
        <f>'HH2324-40KCalcs'!D26</f>
        <v>#DIV/0!</v>
      </c>
    </row>
    <row r="29" spans="1:5" s="247" customFormat="1" ht="15.5">
      <c r="A29" s="250" t="s">
        <v>2563</v>
      </c>
      <c r="B29" s="2971" t="s">
        <v>11029</v>
      </c>
      <c r="C29" s="251"/>
      <c r="D29" s="1828">
        <v>0</v>
      </c>
      <c r="E29" s="283" t="s">
        <v>11030</v>
      </c>
    </row>
    <row r="30" spans="1:5" s="247" customFormat="1" ht="15.5">
      <c r="A30" s="250" t="s">
        <v>2564</v>
      </c>
      <c r="B30" s="249" t="s">
        <v>2726</v>
      </c>
      <c r="C30" s="251"/>
      <c r="D30" s="260" t="e">
        <f>SUM(D11:D29)</f>
        <v>#DIV/0!</v>
      </c>
    </row>
    <row r="31" spans="1:5" s="247" customFormat="1" ht="15.5">
      <c r="A31" s="259"/>
      <c r="B31" s="320" t="s">
        <v>2708</v>
      </c>
      <c r="D31" s="635" t="s">
        <v>10472</v>
      </c>
    </row>
    <row r="32" spans="1:5" s="247" customFormat="1" ht="15.5">
      <c r="A32" s="259"/>
    </row>
    <row r="33" spans="1:1" s="247" customFormat="1" ht="15.5">
      <c r="A33" s="259"/>
    </row>
    <row r="34" spans="1:1" s="247" customFormat="1" ht="15.5">
      <c r="A34" s="358" t="s">
        <v>11032</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4" location="'FTG-Detail2324'!A1" display="Formula Transition Grant (TEC 48.277)           (Link to Detail Report)" xr:uid="{00000000-0004-0000-5900-000000000000}"/>
    <hyperlink ref="D31" location="'Report-SOF2324-SB1'!A1" display="'Report-SOF2324-SB1'!A1" xr:uid="{00000000-0004-0000-5900-000001000000}"/>
    <hyperlink ref="B28" location="'HH2324-40KCalcs'!A1" display="ASAHE (M&amp;O Hold Harmless)           (Link to Detail Report)" xr:uid="{00000000-0004-0000-5900-000002000000}"/>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66FF33"/>
  </sheetPr>
  <dimension ref="A1:E51"/>
  <sheetViews>
    <sheetView workbookViewId="0">
      <selection activeCell="D1" sqref="D1"/>
    </sheetView>
  </sheetViews>
  <sheetFormatPr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784" t="str">
        <f>'OtherDetail2223-HB3'!D1</f>
        <v>Release 2</v>
      </c>
    </row>
    <row r="2" spans="1:5" s="247" customFormat="1" ht="15.5">
      <c r="A2" s="245" t="s">
        <v>2717</v>
      </c>
      <c r="D2" s="1815">
        <f>'OtherDetail2223-HB3'!D2</f>
        <v>44930</v>
      </c>
    </row>
    <row r="3" spans="1:5" s="247" customFormat="1" ht="15.5">
      <c r="A3" s="246"/>
      <c r="D3" s="47"/>
    </row>
    <row r="4" spans="1:5" s="247" customFormat="1" ht="15.5">
      <c r="A4" s="246" t="s">
        <v>8539</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821"/>
      <c r="B9" s="1775"/>
      <c r="C9" s="1822"/>
      <c r="D9" s="1794" t="s">
        <v>2631</v>
      </c>
    </row>
    <row r="10" spans="1:5" s="321" customFormat="1" ht="18">
      <c r="A10" s="1819" t="s">
        <v>2714</v>
      </c>
      <c r="B10" s="1823"/>
      <c r="C10" s="1824"/>
      <c r="D10" s="1776" t="s">
        <v>2628</v>
      </c>
    </row>
    <row r="11" spans="1:5" s="247" customFormat="1" ht="15.5">
      <c r="A11" s="250" t="s">
        <v>2063</v>
      </c>
      <c r="B11" s="251" t="s">
        <v>8336</v>
      </c>
      <c r="C11" s="251"/>
      <c r="D11" s="329">
        <f>'Data Entry - SOF'!I100</f>
        <v>0</v>
      </c>
    </row>
    <row r="12" spans="1:5" s="247" customFormat="1" ht="15.5">
      <c r="A12" s="250" t="s">
        <v>2064</v>
      </c>
      <c r="B12" s="1767" t="s">
        <v>8332</v>
      </c>
      <c r="C12" s="1767"/>
      <c r="D12" s="1827">
        <v>0</v>
      </c>
      <c r="E12" s="283" t="s">
        <v>11031</v>
      </c>
    </row>
    <row r="13" spans="1:5" s="247" customFormat="1" ht="15.5">
      <c r="A13" s="250" t="s">
        <v>2065</v>
      </c>
      <c r="B13" s="251" t="s">
        <v>714</v>
      </c>
      <c r="C13" s="251"/>
      <c r="D13" s="329">
        <f>'Data Entry - SOF'!I101</f>
        <v>0</v>
      </c>
      <c r="E13" s="2040"/>
    </row>
    <row r="14" spans="1:5" s="247" customFormat="1" ht="15.5">
      <c r="A14" s="250" t="s">
        <v>862</v>
      </c>
      <c r="B14" s="251" t="s">
        <v>2710</v>
      </c>
      <c r="C14" s="251"/>
      <c r="D14" s="329">
        <f>'Data Entry - SOF'!I102</f>
        <v>0</v>
      </c>
      <c r="E14" s="2040"/>
    </row>
    <row r="15" spans="1:5" s="247" customFormat="1" ht="15.5" hidden="1">
      <c r="A15" s="250" t="s">
        <v>863</v>
      </c>
      <c r="B15" s="251" t="s">
        <v>2823</v>
      </c>
      <c r="C15" s="251"/>
      <c r="D15" s="260">
        <v>0</v>
      </c>
      <c r="E15" s="2040"/>
    </row>
    <row r="16" spans="1:5" s="247" customFormat="1" ht="15.5">
      <c r="A16" s="250" t="s">
        <v>863</v>
      </c>
      <c r="B16" s="1767" t="s">
        <v>8331</v>
      </c>
      <c r="C16" s="1767"/>
      <c r="D16" s="1757">
        <f>'Data Entry - SOF'!I116</f>
        <v>0</v>
      </c>
      <c r="E16" s="2040"/>
    </row>
    <row r="17" spans="1:5" s="247" customFormat="1" ht="15.5">
      <c r="A17" s="250" t="s">
        <v>865</v>
      </c>
      <c r="B17" s="1767" t="s">
        <v>2711</v>
      </c>
      <c r="C17" s="1767"/>
      <c r="D17" s="1825">
        <v>0</v>
      </c>
      <c r="E17" s="283" t="s">
        <v>11031</v>
      </c>
    </row>
    <row r="18" spans="1:5" s="247" customFormat="1" ht="15.5">
      <c r="A18" s="250" t="s">
        <v>866</v>
      </c>
      <c r="B18" s="251" t="s">
        <v>2712</v>
      </c>
      <c r="C18" s="251"/>
      <c r="D18" s="255">
        <f>'SOF2425-HB3'!H90</f>
        <v>0</v>
      </c>
      <c r="E18" s="2040"/>
    </row>
    <row r="19" spans="1:5" s="247" customFormat="1" ht="15.5">
      <c r="A19" s="250" t="s">
        <v>867</v>
      </c>
      <c r="B19" s="251" t="s">
        <v>2713</v>
      </c>
      <c r="C19" s="251"/>
      <c r="D19" s="329">
        <f>'SOF2425-HB3'!H89</f>
        <v>0</v>
      </c>
      <c r="E19" s="2040"/>
    </row>
    <row r="20" spans="1:5" s="247" customFormat="1" ht="15.5">
      <c r="A20" s="250" t="s">
        <v>109</v>
      </c>
      <c r="B20" s="251" t="s">
        <v>2783</v>
      </c>
      <c r="C20" s="1767"/>
      <c r="D20" s="260">
        <v>0</v>
      </c>
      <c r="E20" s="283" t="s">
        <v>11031</v>
      </c>
    </row>
    <row r="21" spans="1:5" s="247" customFormat="1" ht="15.5">
      <c r="A21" s="250" t="s">
        <v>110</v>
      </c>
      <c r="B21" s="251" t="s">
        <v>2784</v>
      </c>
      <c r="C21" s="1767"/>
      <c r="D21" s="260">
        <v>0</v>
      </c>
      <c r="E21" s="283" t="s">
        <v>11031</v>
      </c>
    </row>
    <row r="22" spans="1:5" s="247" customFormat="1" ht="15.5">
      <c r="A22" s="250" t="s">
        <v>111</v>
      </c>
      <c r="B22" s="251" t="s">
        <v>7395</v>
      </c>
      <c r="C22" s="251"/>
      <c r="D22" s="1828">
        <v>0</v>
      </c>
      <c r="E22" s="283" t="s">
        <v>8338</v>
      </c>
    </row>
    <row r="23" spans="1:5" s="247" customFormat="1" ht="15.5">
      <c r="A23" s="250" t="s">
        <v>112</v>
      </c>
      <c r="B23" s="984" t="s">
        <v>8333</v>
      </c>
      <c r="C23" s="251"/>
      <c r="D23" s="255" t="e">
        <f>'DistCharter-Funding2425'!J57</f>
        <v>#DIV/0!</v>
      </c>
      <c r="E23" s="2040"/>
    </row>
    <row r="24" spans="1:5" s="247" customFormat="1" ht="15.5">
      <c r="A24" s="250" t="s">
        <v>1424</v>
      </c>
      <c r="B24" s="1749" t="s">
        <v>11008</v>
      </c>
      <c r="C24" s="251"/>
      <c r="D24" s="1828">
        <v>0</v>
      </c>
      <c r="E24" s="2040"/>
    </row>
    <row r="25" spans="1:5" s="247" customFormat="1" ht="15.5">
      <c r="A25" s="250" t="s">
        <v>6</v>
      </c>
      <c r="B25" s="2976" t="s">
        <v>11010</v>
      </c>
      <c r="C25" s="251"/>
      <c r="D25" s="1828">
        <v>0</v>
      </c>
      <c r="E25" s="2040"/>
    </row>
    <row r="26" spans="1:5" s="2040" customFormat="1" ht="15.5">
      <c r="A26" s="250" t="s">
        <v>2109</v>
      </c>
      <c r="B26" s="1767" t="s">
        <v>11027</v>
      </c>
      <c r="C26" s="2971"/>
      <c r="D26" s="2972">
        <f>'Data Entry - SOF'!I105</f>
        <v>0</v>
      </c>
    </row>
    <row r="27" spans="1:5" s="2040" customFormat="1" ht="15.5">
      <c r="A27" s="250" t="s">
        <v>2110</v>
      </c>
      <c r="B27" s="2186" t="s">
        <v>10808</v>
      </c>
      <c r="C27" s="2971"/>
      <c r="D27" s="2972">
        <f>'Data Entry - SOF'!I106</f>
        <v>0</v>
      </c>
    </row>
    <row r="28" spans="1:5" s="2040" customFormat="1" ht="15.5">
      <c r="A28" s="250" t="s">
        <v>2562</v>
      </c>
      <c r="B28" s="2527" t="s">
        <v>11028</v>
      </c>
      <c r="C28" s="2971"/>
      <c r="D28" s="2526" t="e">
        <f>'HH2425-40KCalcs'!D26</f>
        <v>#DIV/0!</v>
      </c>
    </row>
    <row r="29" spans="1:5" s="247" customFormat="1" ht="15.5">
      <c r="A29" s="250" t="s">
        <v>2563</v>
      </c>
      <c r="B29" s="2971" t="s">
        <v>11029</v>
      </c>
      <c r="C29" s="251"/>
      <c r="D29" s="1828">
        <v>0</v>
      </c>
      <c r="E29" s="283" t="s">
        <v>11030</v>
      </c>
    </row>
    <row r="30" spans="1:5" s="247" customFormat="1" ht="15.5">
      <c r="A30" s="250" t="s">
        <v>2564</v>
      </c>
      <c r="B30" s="249" t="s">
        <v>2726</v>
      </c>
      <c r="C30" s="251"/>
      <c r="D30" s="260" t="e">
        <f>SUM(D11:D29)</f>
        <v>#DIV/0!</v>
      </c>
    </row>
    <row r="31" spans="1:5" s="247" customFormat="1" ht="15.5">
      <c r="A31" s="259"/>
      <c r="B31" s="320" t="s">
        <v>2708</v>
      </c>
      <c r="D31" s="635" t="s">
        <v>10473</v>
      </c>
    </row>
    <row r="32" spans="1:5" s="247" customFormat="1" ht="15.5">
      <c r="A32" s="259"/>
    </row>
    <row r="33" spans="1:1" s="247" customFormat="1" ht="15.5">
      <c r="A33" s="259"/>
    </row>
    <row r="34" spans="1:1" s="247" customFormat="1" ht="15.5">
      <c r="A34" s="358" t="s">
        <v>11032</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D31" location="'Report-SOF2425-SB1'!A1" display="'Report-SOF2425-SB1'!A1" xr:uid="{00000000-0004-0000-5A00-000000000000}"/>
    <hyperlink ref="B28" location="'HH2425-40KCalcs'!A1" display="ASAHE (M&amp;O Hold Harmless)           (Link to Detail Report)" xr:uid="{00000000-0004-0000-5A00-000001000000}"/>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66FF33"/>
  </sheetPr>
  <dimension ref="A1:E51"/>
  <sheetViews>
    <sheetView workbookViewId="0">
      <selection activeCell="D1" sqref="D1"/>
    </sheetView>
  </sheetViews>
  <sheetFormatPr defaultColWidth="8.7265625" defaultRowHeight="12.5"/>
  <cols>
    <col min="1" max="1" width="5.81640625" style="2042" customWidth="1"/>
    <col min="2" max="2" width="78.1796875" style="2042" customWidth="1"/>
    <col min="3" max="3" width="4.54296875" style="2042" customWidth="1"/>
    <col min="4" max="4" width="26.54296875" style="2042" customWidth="1"/>
    <col min="5" max="16384" width="8.7265625" style="2042"/>
  </cols>
  <sheetData>
    <row r="1" spans="1:5" s="2040" customFormat="1" ht="15.5">
      <c r="A1" s="245" t="s">
        <v>2716</v>
      </c>
      <c r="D1" s="1784" t="str">
        <f>'OtherDetail2223-HB3'!D1</f>
        <v>Release 2</v>
      </c>
    </row>
    <row r="2" spans="1:5" s="2040" customFormat="1" ht="15.5">
      <c r="A2" s="245" t="s">
        <v>2717</v>
      </c>
      <c r="D2" s="1815">
        <f>'OtherDetail2223-HB3'!D2</f>
        <v>44930</v>
      </c>
    </row>
    <row r="3" spans="1:5" s="2040" customFormat="1" ht="15.5">
      <c r="A3" s="246"/>
      <c r="D3" s="47"/>
    </row>
    <row r="4" spans="1:5" s="2040" customFormat="1" ht="15.5">
      <c r="A4" s="246" t="s">
        <v>9199</v>
      </c>
    </row>
    <row r="5" spans="1:5" s="2040" customFormat="1" ht="15.5">
      <c r="A5" s="248" t="str">
        <f>'Data Entry - SOF'!B1</f>
        <v xml:space="preserve"> </v>
      </c>
    </row>
    <row r="6" spans="1:5" s="2040" customFormat="1" ht="15.5">
      <c r="A6" s="246">
        <f>'Data Entry - SOF'!B2</f>
        <v>0</v>
      </c>
    </row>
    <row r="7" spans="1:5" s="2040" customFormat="1" ht="15.5">
      <c r="A7" s="246"/>
    </row>
    <row r="8" spans="1:5" s="2040" customFormat="1" ht="15.5"/>
    <row r="9" spans="1:5" s="214" customFormat="1" ht="18">
      <c r="A9" s="1821"/>
      <c r="B9" s="1775"/>
      <c r="C9" s="1822"/>
      <c r="D9" s="1794" t="s">
        <v>2631</v>
      </c>
    </row>
    <row r="10" spans="1:5" s="321" customFormat="1" ht="18">
      <c r="A10" s="1819" t="s">
        <v>2714</v>
      </c>
      <c r="B10" s="1823"/>
      <c r="C10" s="1824"/>
      <c r="D10" s="1776" t="s">
        <v>2628</v>
      </c>
    </row>
    <row r="11" spans="1:5" s="2040" customFormat="1" ht="15.5">
      <c r="A11" s="250" t="s">
        <v>2063</v>
      </c>
      <c r="B11" s="251" t="s">
        <v>8336</v>
      </c>
      <c r="C11" s="251"/>
      <c r="D11" s="329">
        <f>'Data Entry - SOF'!K100</f>
        <v>0</v>
      </c>
    </row>
    <row r="12" spans="1:5" s="2040" customFormat="1" ht="15.5">
      <c r="A12" s="250" t="s">
        <v>2064</v>
      </c>
      <c r="B12" s="1767" t="s">
        <v>8332</v>
      </c>
      <c r="C12" s="1767"/>
      <c r="D12" s="1827">
        <v>0</v>
      </c>
      <c r="E12" s="283" t="s">
        <v>11031</v>
      </c>
    </row>
    <row r="13" spans="1:5" s="2040" customFormat="1" ht="15.5">
      <c r="A13" s="250" t="s">
        <v>2065</v>
      </c>
      <c r="B13" s="251" t="s">
        <v>714</v>
      </c>
      <c r="C13" s="251"/>
      <c r="D13" s="329">
        <f>'Data Entry - SOF'!K101</f>
        <v>0</v>
      </c>
    </row>
    <row r="14" spans="1:5" s="2040" customFormat="1" ht="15.5">
      <c r="A14" s="250" t="s">
        <v>862</v>
      </c>
      <c r="B14" s="251" t="s">
        <v>2710</v>
      </c>
      <c r="C14" s="251"/>
      <c r="D14" s="329">
        <f>'Data Entry - SOF'!K102</f>
        <v>0</v>
      </c>
    </row>
    <row r="15" spans="1:5" s="2040" customFormat="1" ht="15.5" hidden="1">
      <c r="A15" s="250" t="s">
        <v>863</v>
      </c>
      <c r="B15" s="251" t="s">
        <v>2823</v>
      </c>
      <c r="C15" s="251"/>
      <c r="D15" s="260">
        <v>0</v>
      </c>
    </row>
    <row r="16" spans="1:5" s="2040" customFormat="1" ht="15.5">
      <c r="A16" s="250" t="s">
        <v>863</v>
      </c>
      <c r="B16" s="1767" t="s">
        <v>8331</v>
      </c>
      <c r="C16" s="1767"/>
      <c r="D16" s="1757">
        <f>'Data Entry - SOF'!K116</f>
        <v>0</v>
      </c>
    </row>
    <row r="17" spans="1:5" s="2040" customFormat="1" ht="15.5">
      <c r="A17" s="250" t="s">
        <v>865</v>
      </c>
      <c r="B17" s="1767" t="s">
        <v>2711</v>
      </c>
      <c r="C17" s="1767"/>
      <c r="D17" s="1825">
        <v>0</v>
      </c>
      <c r="E17" s="283" t="s">
        <v>11031</v>
      </c>
    </row>
    <row r="18" spans="1:5" s="2040" customFormat="1" ht="15.5">
      <c r="A18" s="250" t="s">
        <v>866</v>
      </c>
      <c r="B18" s="251" t="s">
        <v>2712</v>
      </c>
      <c r="C18" s="251"/>
      <c r="D18" s="255">
        <f>'SOF2526-HB3'!H90</f>
        <v>0</v>
      </c>
    </row>
    <row r="19" spans="1:5" s="2040" customFormat="1" ht="15.5">
      <c r="A19" s="250" t="s">
        <v>867</v>
      </c>
      <c r="B19" s="251" t="s">
        <v>2713</v>
      </c>
      <c r="C19" s="251"/>
      <c r="D19" s="329">
        <f>'SOF2526-HB3'!H89</f>
        <v>0</v>
      </c>
    </row>
    <row r="20" spans="1:5" s="2040" customFormat="1" ht="15.5">
      <c r="A20" s="250" t="s">
        <v>109</v>
      </c>
      <c r="B20" s="251" t="s">
        <v>2783</v>
      </c>
      <c r="C20" s="1767"/>
      <c r="D20" s="260">
        <v>0</v>
      </c>
      <c r="E20" s="283" t="s">
        <v>11031</v>
      </c>
    </row>
    <row r="21" spans="1:5" s="2040" customFormat="1" ht="15.5">
      <c r="A21" s="250" t="s">
        <v>110</v>
      </c>
      <c r="B21" s="251" t="s">
        <v>2784</v>
      </c>
      <c r="C21" s="1767"/>
      <c r="D21" s="260">
        <v>0</v>
      </c>
      <c r="E21" s="283" t="s">
        <v>11031</v>
      </c>
    </row>
    <row r="22" spans="1:5" s="2040" customFormat="1" ht="15.5">
      <c r="A22" s="250" t="s">
        <v>111</v>
      </c>
      <c r="B22" s="251" t="s">
        <v>7395</v>
      </c>
      <c r="C22" s="251"/>
      <c r="D22" s="1828">
        <v>0</v>
      </c>
      <c r="E22" s="283" t="s">
        <v>8338</v>
      </c>
    </row>
    <row r="23" spans="1:5" s="2040" customFormat="1" ht="15.5">
      <c r="A23" s="250" t="s">
        <v>112</v>
      </c>
      <c r="B23" s="984" t="s">
        <v>8333</v>
      </c>
      <c r="C23" s="251"/>
      <c r="D23" s="255" t="e">
        <f>'DistCharter-Funding2526'!J57</f>
        <v>#DIV/0!</v>
      </c>
    </row>
    <row r="24" spans="1:5" s="2040" customFormat="1" ht="15.5">
      <c r="A24" s="250" t="s">
        <v>1424</v>
      </c>
      <c r="B24" s="1749" t="s">
        <v>11009</v>
      </c>
      <c r="C24" s="251"/>
      <c r="D24" s="1828">
        <v>0</v>
      </c>
    </row>
    <row r="25" spans="1:5" s="2040" customFormat="1" ht="15.5">
      <c r="A25" s="250" t="s">
        <v>6</v>
      </c>
      <c r="B25" s="2976" t="s">
        <v>11010</v>
      </c>
      <c r="C25" s="251"/>
      <c r="D25" s="1828">
        <v>0</v>
      </c>
    </row>
    <row r="26" spans="1:5" s="2040" customFormat="1" ht="15.5">
      <c r="A26" s="250" t="s">
        <v>2109</v>
      </c>
      <c r="B26" s="1767" t="s">
        <v>11027</v>
      </c>
      <c r="C26" s="2971"/>
      <c r="D26" s="2972">
        <f>'Data Entry - SOF'!K105</f>
        <v>0</v>
      </c>
    </row>
    <row r="27" spans="1:5" s="2040" customFormat="1" ht="15.5">
      <c r="A27" s="250" t="s">
        <v>2110</v>
      </c>
      <c r="B27" s="2186" t="s">
        <v>10808</v>
      </c>
      <c r="C27" s="2971"/>
      <c r="D27" s="3080" t="str">
        <f>'Data Entry - SOF'!K106</f>
        <v>Expired</v>
      </c>
    </row>
    <row r="28" spans="1:5" s="2040" customFormat="1" ht="15.5">
      <c r="A28" s="250" t="s">
        <v>2562</v>
      </c>
      <c r="B28" s="2527" t="s">
        <v>10456</v>
      </c>
      <c r="C28" s="2971"/>
      <c r="D28" s="2526" t="e">
        <f>'HH2526-40KCalcs'!D26</f>
        <v>#DIV/0!</v>
      </c>
    </row>
    <row r="29" spans="1:5" s="2040" customFormat="1" ht="15.5">
      <c r="A29" s="250" t="s">
        <v>2563</v>
      </c>
      <c r="B29" s="2971" t="s">
        <v>11029</v>
      </c>
      <c r="C29" s="251"/>
      <c r="D29" s="1828">
        <v>0</v>
      </c>
      <c r="E29" s="283" t="s">
        <v>11030</v>
      </c>
    </row>
    <row r="30" spans="1:5" s="2040" customFormat="1" ht="15.5">
      <c r="A30" s="250" t="s">
        <v>2564</v>
      </c>
      <c r="B30" s="249" t="s">
        <v>2726</v>
      </c>
      <c r="C30" s="251"/>
      <c r="D30" s="260" t="e">
        <f>SUM(D11:D29)</f>
        <v>#DIV/0!</v>
      </c>
    </row>
    <row r="31" spans="1:5" s="2040" customFormat="1" ht="15.5">
      <c r="A31" s="259"/>
      <c r="B31" s="320" t="s">
        <v>2708</v>
      </c>
      <c r="D31" s="635" t="s">
        <v>10474</v>
      </c>
    </row>
    <row r="32" spans="1:5" s="2040" customFormat="1" ht="15.5">
      <c r="A32" s="259"/>
    </row>
    <row r="33" spans="1:1" s="2040" customFormat="1" ht="15.5">
      <c r="A33" s="259"/>
    </row>
    <row r="34" spans="1:1" s="2040" customFormat="1" ht="15.5">
      <c r="A34" s="358" t="s">
        <v>11032</v>
      </c>
    </row>
    <row r="35" spans="1:1" s="2040" customFormat="1" ht="15.5">
      <c r="A35" s="259"/>
    </row>
    <row r="36" spans="1:1" s="2040" customFormat="1" ht="15.5">
      <c r="A36" s="259"/>
    </row>
    <row r="37" spans="1:1" s="2040" customFormat="1" ht="15.5">
      <c r="A37" s="259"/>
    </row>
    <row r="38" spans="1:1" s="2040" customFormat="1" ht="15.5">
      <c r="A38" s="259"/>
    </row>
    <row r="39" spans="1:1" s="2040" customFormat="1" ht="15.5">
      <c r="A39" s="259"/>
    </row>
    <row r="40" spans="1:1" s="2040" customFormat="1" ht="15.5">
      <c r="A40" s="259"/>
    </row>
    <row r="41" spans="1:1" s="2040" customFormat="1" ht="15.5">
      <c r="A41" s="259"/>
    </row>
    <row r="42" spans="1:1" s="2040" customFormat="1" ht="15.5">
      <c r="A42" s="259"/>
    </row>
    <row r="43" spans="1:1" s="2040" customFormat="1" ht="15.5">
      <c r="A43" s="259"/>
    </row>
    <row r="44" spans="1:1" s="2040" customFormat="1" ht="15.5"/>
    <row r="45" spans="1:1" s="2040" customFormat="1" ht="15.5"/>
    <row r="46" spans="1:1" s="2040" customFormat="1" ht="15.5"/>
    <row r="47" spans="1:1" s="2040" customFormat="1" ht="15.5"/>
    <row r="48" spans="1:1" s="2040" customFormat="1" ht="15.5"/>
    <row r="49" spans="4:4" s="2040" customFormat="1" ht="15.5">
      <c r="D49" s="2042"/>
    </row>
    <row r="50" spans="4:4" s="2040" customFormat="1" ht="15.5">
      <c r="D50" s="2042"/>
    </row>
    <row r="51" spans="4:4" s="2040" customFormat="1" ht="15.5">
      <c r="D51" s="2042"/>
    </row>
  </sheetData>
  <hyperlinks>
    <hyperlink ref="D31" location="'Report-SOF2526-SB1'!A1" display="'Report-SOF2526-SB1'!A1" xr:uid="{00000000-0004-0000-5B00-000000000000}"/>
    <hyperlink ref="B28" location="'HH2526-40KCalcs'!A1" display="ASAHE (M&amp;O Hold Harmless)           (Link to Detail Report)" xr:uid="{00000000-0004-0000-5B00-000001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66FF33"/>
  </sheetPr>
  <dimension ref="A1:E51"/>
  <sheetViews>
    <sheetView workbookViewId="0">
      <selection activeCell="D1" sqref="D1"/>
    </sheetView>
  </sheetViews>
  <sheetFormatPr defaultColWidth="8.7265625" defaultRowHeight="12.5"/>
  <cols>
    <col min="1" max="1" width="5.81640625" style="2042" customWidth="1"/>
    <col min="2" max="2" width="78.1796875" style="2042" customWidth="1"/>
    <col min="3" max="3" width="4.54296875" style="2042" customWidth="1"/>
    <col min="4" max="4" width="26.54296875" style="2042" customWidth="1"/>
    <col min="5" max="16384" width="8.7265625" style="2042"/>
  </cols>
  <sheetData>
    <row r="1" spans="1:5" s="2040" customFormat="1" ht="15.5">
      <c r="A1" s="245" t="s">
        <v>2716</v>
      </c>
      <c r="D1" s="1784" t="str">
        <f>'OtherDetail2526-HB3'!D1</f>
        <v>Release 2</v>
      </c>
    </row>
    <row r="2" spans="1:5" s="2040" customFormat="1" ht="15.5">
      <c r="A2" s="245" t="s">
        <v>2717</v>
      </c>
      <c r="D2" s="1815">
        <f>'OtherDetail2526-HB3'!D2</f>
        <v>44930</v>
      </c>
    </row>
    <row r="3" spans="1:5" s="2040" customFormat="1" ht="15.5">
      <c r="A3" s="246"/>
      <c r="D3" s="47"/>
    </row>
    <row r="4" spans="1:5" s="2040" customFormat="1" ht="15.5">
      <c r="A4" s="246" t="s">
        <v>11083</v>
      </c>
    </row>
    <row r="5" spans="1:5" s="2040" customFormat="1" ht="15.5">
      <c r="A5" s="248" t="str">
        <f>'Data Entry - SOF'!B1</f>
        <v xml:space="preserve"> </v>
      </c>
    </row>
    <row r="6" spans="1:5" s="2040" customFormat="1" ht="15.5">
      <c r="A6" s="246">
        <f>'Data Entry - SOF'!B2</f>
        <v>0</v>
      </c>
    </row>
    <row r="7" spans="1:5" s="2040" customFormat="1" ht="15.5">
      <c r="A7" s="246"/>
    </row>
    <row r="8" spans="1:5" s="2040" customFormat="1" ht="15.5"/>
    <row r="9" spans="1:5" s="214" customFormat="1" ht="18">
      <c r="A9" s="1821"/>
      <c r="B9" s="1775"/>
      <c r="C9" s="1822"/>
      <c r="D9" s="1794" t="s">
        <v>2631</v>
      </c>
    </row>
    <row r="10" spans="1:5" s="321" customFormat="1" ht="18">
      <c r="A10" s="1819" t="s">
        <v>2714</v>
      </c>
      <c r="B10" s="1823"/>
      <c r="C10" s="1824"/>
      <c r="D10" s="1776" t="s">
        <v>2628</v>
      </c>
    </row>
    <row r="11" spans="1:5" s="2040" customFormat="1" ht="15.5">
      <c r="A11" s="250" t="s">
        <v>2063</v>
      </c>
      <c r="B11" s="251" t="s">
        <v>8336</v>
      </c>
      <c r="C11" s="251"/>
      <c r="D11" s="329">
        <f>'Data Entry - SOF'!M100</f>
        <v>0</v>
      </c>
    </row>
    <row r="12" spans="1:5" s="2040" customFormat="1" ht="15.5">
      <c r="A12" s="250" t="s">
        <v>2064</v>
      </c>
      <c r="B12" s="1767" t="s">
        <v>8332</v>
      </c>
      <c r="C12" s="1767"/>
      <c r="D12" s="1827">
        <v>0</v>
      </c>
      <c r="E12" s="283" t="s">
        <v>11031</v>
      </c>
    </row>
    <row r="13" spans="1:5" s="2040" customFormat="1" ht="15.5">
      <c r="A13" s="250" t="s">
        <v>2065</v>
      </c>
      <c r="B13" s="251" t="s">
        <v>714</v>
      </c>
      <c r="C13" s="251"/>
      <c r="D13" s="329">
        <f>'Data Entry - SOF'!M101</f>
        <v>0</v>
      </c>
    </row>
    <row r="14" spans="1:5" s="2040" customFormat="1" ht="15.5">
      <c r="A14" s="250" t="s">
        <v>862</v>
      </c>
      <c r="B14" s="251" t="s">
        <v>2710</v>
      </c>
      <c r="C14" s="251"/>
      <c r="D14" s="329">
        <f>'Data Entry - SOF'!M102</f>
        <v>0</v>
      </c>
    </row>
    <row r="15" spans="1:5" s="2040" customFormat="1" ht="15.5" hidden="1">
      <c r="A15" s="250" t="s">
        <v>863</v>
      </c>
      <c r="B15" s="251" t="s">
        <v>2823</v>
      </c>
      <c r="C15" s="251"/>
      <c r="D15" s="260">
        <v>0</v>
      </c>
    </row>
    <row r="16" spans="1:5" s="2040" customFormat="1" ht="15.5">
      <c r="A16" s="250" t="s">
        <v>863</v>
      </c>
      <c r="B16" s="1767" t="s">
        <v>8331</v>
      </c>
      <c r="C16" s="1767"/>
      <c r="D16" s="1757">
        <f>'Data Entry - SOF'!M116</f>
        <v>0</v>
      </c>
    </row>
    <row r="17" spans="1:5" s="2040" customFormat="1" ht="15.5">
      <c r="A17" s="250" t="s">
        <v>865</v>
      </c>
      <c r="B17" s="1767" t="s">
        <v>2711</v>
      </c>
      <c r="C17" s="1767"/>
      <c r="D17" s="1825">
        <v>0</v>
      </c>
      <c r="E17" s="283" t="s">
        <v>11031</v>
      </c>
    </row>
    <row r="18" spans="1:5" s="2040" customFormat="1" ht="15.5">
      <c r="A18" s="250" t="s">
        <v>866</v>
      </c>
      <c r="B18" s="251" t="s">
        <v>2712</v>
      </c>
      <c r="C18" s="251"/>
      <c r="D18" s="255">
        <f>'SOF2627-HB3'!H90</f>
        <v>0</v>
      </c>
    </row>
    <row r="19" spans="1:5" s="2040" customFormat="1" ht="15.5">
      <c r="A19" s="250" t="s">
        <v>867</v>
      </c>
      <c r="B19" s="251" t="s">
        <v>2713</v>
      </c>
      <c r="C19" s="251"/>
      <c r="D19" s="329">
        <f>'SOF2627-HB3'!H89</f>
        <v>0</v>
      </c>
    </row>
    <row r="20" spans="1:5" s="2040" customFormat="1" ht="15.5">
      <c r="A20" s="250" t="s">
        <v>109</v>
      </c>
      <c r="B20" s="251" t="s">
        <v>2783</v>
      </c>
      <c r="C20" s="1767"/>
      <c r="D20" s="260">
        <v>0</v>
      </c>
      <c r="E20" s="283" t="s">
        <v>11031</v>
      </c>
    </row>
    <row r="21" spans="1:5" s="2040" customFormat="1" ht="15.5">
      <c r="A21" s="250" t="s">
        <v>110</v>
      </c>
      <c r="B21" s="251" t="s">
        <v>2784</v>
      </c>
      <c r="C21" s="1767"/>
      <c r="D21" s="260">
        <v>0</v>
      </c>
      <c r="E21" s="283" t="s">
        <v>11031</v>
      </c>
    </row>
    <row r="22" spans="1:5" s="2040" customFormat="1" ht="15.5">
      <c r="A22" s="250" t="s">
        <v>111</v>
      </c>
      <c r="B22" s="251" t="s">
        <v>7395</v>
      </c>
      <c r="C22" s="251"/>
      <c r="D22" s="1828">
        <v>0</v>
      </c>
      <c r="E22" s="283" t="s">
        <v>8338</v>
      </c>
    </row>
    <row r="23" spans="1:5" s="2040" customFormat="1" ht="15.5">
      <c r="A23" s="250" t="s">
        <v>112</v>
      </c>
      <c r="B23" s="984" t="s">
        <v>8333</v>
      </c>
      <c r="C23" s="251"/>
      <c r="D23" s="255" t="e">
        <f>'DistCharter-Funding2627'!J57</f>
        <v>#DIV/0!</v>
      </c>
    </row>
    <row r="24" spans="1:5" s="2040" customFormat="1" ht="15.5">
      <c r="A24" s="250" t="s">
        <v>1424</v>
      </c>
      <c r="B24" s="1749" t="s">
        <v>11009</v>
      </c>
      <c r="C24" s="251"/>
      <c r="D24" s="1828">
        <v>0</v>
      </c>
    </row>
    <row r="25" spans="1:5" s="2040" customFormat="1" ht="15.5">
      <c r="A25" s="250" t="s">
        <v>6</v>
      </c>
      <c r="B25" s="2976" t="s">
        <v>11010</v>
      </c>
      <c r="C25" s="251"/>
      <c r="D25" s="1828">
        <v>0</v>
      </c>
    </row>
    <row r="26" spans="1:5" s="2040" customFormat="1" ht="15.5">
      <c r="A26" s="250" t="s">
        <v>2109</v>
      </c>
      <c r="B26" s="1767" t="s">
        <v>11027</v>
      </c>
      <c r="C26" s="2971"/>
      <c r="D26" s="2972">
        <f>'Data Entry - SOF'!M105</f>
        <v>0</v>
      </c>
    </row>
    <row r="27" spans="1:5" s="2040" customFormat="1" ht="15.5">
      <c r="A27" s="250" t="s">
        <v>2110</v>
      </c>
      <c r="B27" s="2186" t="s">
        <v>10808</v>
      </c>
      <c r="C27" s="2971"/>
      <c r="D27" s="3080" t="str">
        <f>'Data Entry - SOF'!M106</f>
        <v>Expired</v>
      </c>
    </row>
    <row r="28" spans="1:5" s="2040" customFormat="1" ht="15.5">
      <c r="A28" s="250" t="s">
        <v>2562</v>
      </c>
      <c r="B28" s="3108" t="s">
        <v>11116</v>
      </c>
      <c r="C28" s="2971"/>
      <c r="D28" s="2526" t="e">
        <f>'HH2627-40KCalcs'!D26</f>
        <v>#DIV/0!</v>
      </c>
    </row>
    <row r="29" spans="1:5" s="2040" customFormat="1" ht="15.5">
      <c r="A29" s="250" t="s">
        <v>2563</v>
      </c>
      <c r="B29" s="2971" t="s">
        <v>11029</v>
      </c>
      <c r="C29" s="251"/>
      <c r="D29" s="1828">
        <v>0</v>
      </c>
      <c r="E29" s="283" t="s">
        <v>11030</v>
      </c>
    </row>
    <row r="30" spans="1:5" s="2040" customFormat="1" ht="15.5">
      <c r="A30" s="250" t="s">
        <v>2564</v>
      </c>
      <c r="B30" s="249" t="s">
        <v>2726</v>
      </c>
      <c r="C30" s="251"/>
      <c r="D30" s="260" t="e">
        <f>SUM(D11:D29)</f>
        <v>#DIV/0!</v>
      </c>
    </row>
    <row r="31" spans="1:5" s="2040" customFormat="1" ht="15.5">
      <c r="A31" s="259"/>
      <c r="B31" s="320" t="s">
        <v>2708</v>
      </c>
      <c r="D31" s="635" t="s">
        <v>11085</v>
      </c>
    </row>
    <row r="32" spans="1:5" s="2040" customFormat="1" ht="15.5">
      <c r="A32" s="259"/>
    </row>
    <row r="33" spans="1:1" s="2040" customFormat="1" ht="15.5">
      <c r="A33" s="259"/>
    </row>
    <row r="34" spans="1:1" s="2040" customFormat="1" ht="15.5">
      <c r="A34" s="358" t="s">
        <v>11032</v>
      </c>
    </row>
    <row r="35" spans="1:1" s="2040" customFormat="1" ht="15.5">
      <c r="A35" s="259"/>
    </row>
    <row r="36" spans="1:1" s="2040" customFormat="1" ht="15.5">
      <c r="A36" s="259"/>
    </row>
    <row r="37" spans="1:1" s="2040" customFormat="1" ht="15.5">
      <c r="A37" s="259"/>
    </row>
    <row r="38" spans="1:1" s="2040" customFormat="1" ht="15.5">
      <c r="A38" s="259"/>
    </row>
    <row r="39" spans="1:1" s="2040" customFormat="1" ht="15.5">
      <c r="A39" s="259"/>
    </row>
    <row r="40" spans="1:1" s="2040" customFormat="1" ht="15.5">
      <c r="A40" s="259"/>
    </row>
    <row r="41" spans="1:1" s="2040" customFormat="1" ht="15.5">
      <c r="A41" s="259"/>
    </row>
    <row r="42" spans="1:1" s="2040" customFormat="1" ht="15.5">
      <c r="A42" s="259"/>
    </row>
    <row r="43" spans="1:1" s="2040" customFormat="1" ht="15.5">
      <c r="A43" s="259"/>
    </row>
    <row r="44" spans="1:1" s="2040" customFormat="1" ht="15.5"/>
    <row r="45" spans="1:1" s="2040" customFormat="1" ht="15.5"/>
    <row r="46" spans="1:1" s="2040" customFormat="1" ht="15.5"/>
    <row r="47" spans="1:1" s="2040" customFormat="1" ht="15.5"/>
    <row r="48" spans="1:1" s="2040" customFormat="1" ht="15.5"/>
    <row r="49" spans="4:4" s="2040" customFormat="1" ht="15.5">
      <c r="D49" s="2042"/>
    </row>
    <row r="50" spans="4:4" s="2040" customFormat="1" ht="15.5">
      <c r="D50" s="2042"/>
    </row>
    <row r="51" spans="4:4" s="2040" customFormat="1" ht="15.5">
      <c r="D51" s="2042"/>
    </row>
  </sheetData>
  <hyperlinks>
    <hyperlink ref="B28" location="'HH2627-40KCalcs'!A1" display="ASAHE (M&amp;O Hold Harmless)           (Link to Detail Report)" xr:uid="{00000000-0004-0000-5C00-000000000000}"/>
    <hyperlink ref="D31" location="'Report-SOF2627-SB1'!A1" display="'Report-SOF2627-SB1'!A1" xr:uid="{00000000-0004-0000-5C00-000001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FFFF00"/>
  </sheetPr>
  <dimension ref="A1:D45"/>
  <sheetViews>
    <sheetView workbookViewId="0">
      <selection activeCell="D1" sqref="D1"/>
    </sheetView>
  </sheetViews>
  <sheetFormatPr defaultRowHeight="12.5"/>
  <cols>
    <col min="1" max="1" width="5.453125" customWidth="1"/>
    <col min="2" max="2" width="81.54296875" customWidth="1"/>
    <col min="3" max="3" width="4.54296875" customWidth="1"/>
    <col min="4" max="4" width="26.453125" customWidth="1"/>
  </cols>
  <sheetData>
    <row r="1" spans="1:4" ht="13">
      <c r="A1" s="245" t="s">
        <v>2716</v>
      </c>
      <c r="D1" s="1814" t="str">
        <f>'Data Entry - SOF'!M1</f>
        <v>Release 2</v>
      </c>
    </row>
    <row r="2" spans="1:4" ht="13">
      <c r="A2" s="245" t="s">
        <v>2717</v>
      </c>
      <c r="D2" s="1815">
        <f>'Data Entry - SOF'!M2</f>
        <v>44930</v>
      </c>
    </row>
    <row r="3" spans="1:4" ht="13">
      <c r="A3" s="52"/>
      <c r="D3" s="47"/>
    </row>
    <row r="4" spans="1:4" ht="15.5">
      <c r="A4" s="246" t="s">
        <v>8296</v>
      </c>
    </row>
    <row r="5" spans="1:4" ht="15.5">
      <c r="A5" s="248" t="str">
        <f>'Data Entry - SOF'!B1</f>
        <v xml:space="preserve"> </v>
      </c>
    </row>
    <row r="6" spans="1:4" ht="15.5">
      <c r="A6" s="246">
        <f>'Data Entry - SOF'!B2</f>
        <v>0</v>
      </c>
    </row>
    <row r="9" spans="1:4" s="214" customFormat="1" ht="18">
      <c r="A9" s="1772" t="s">
        <v>2788</v>
      </c>
      <c r="B9" s="1773"/>
      <c r="C9" s="1774"/>
      <c r="D9" s="1775"/>
    </row>
    <row r="10" spans="1:4" s="247" customFormat="1" ht="18">
      <c r="A10" s="1777" t="s">
        <v>2655</v>
      </c>
      <c r="B10" s="1778"/>
      <c r="C10" s="1779"/>
      <c r="D10" s="1776" t="s">
        <v>2656</v>
      </c>
    </row>
    <row r="11" spans="1:4" s="247" customFormat="1" ht="15.5">
      <c r="A11" s="250" t="s">
        <v>2063</v>
      </c>
      <c r="B11" s="251" t="s">
        <v>3331</v>
      </c>
      <c r="C11" s="251"/>
      <c r="D11" s="255">
        <f>'Data Entry - SOF'!C141</f>
        <v>0</v>
      </c>
    </row>
    <row r="12" spans="1:4" s="247" customFormat="1" ht="15.5">
      <c r="A12" s="250" t="s">
        <v>2064</v>
      </c>
      <c r="B12" s="251" t="s">
        <v>5971</v>
      </c>
      <c r="C12" s="251"/>
      <c r="D12" s="255">
        <f>'Data Entry - SOF'!C142</f>
        <v>0</v>
      </c>
    </row>
    <row r="13" spans="1:4" s="247" customFormat="1" ht="15.5">
      <c r="A13" s="250" t="s">
        <v>2065</v>
      </c>
      <c r="B13" s="251" t="s">
        <v>5972</v>
      </c>
      <c r="C13" s="251"/>
      <c r="D13" s="255">
        <f>'Data Entry - SOF'!C143</f>
        <v>0</v>
      </c>
    </row>
    <row r="14" spans="1:4" s="247" customFormat="1" ht="15.5">
      <c r="A14" s="250" t="s">
        <v>862</v>
      </c>
      <c r="B14" s="251" t="s">
        <v>5973</v>
      </c>
      <c r="C14" s="251"/>
      <c r="D14" s="255">
        <f>IF(D11-D12-D13&lt;0,0,D11-D12-D13)</f>
        <v>0</v>
      </c>
    </row>
    <row r="15" spans="1:4" s="247" customFormat="1" ht="15.5">
      <c r="A15" s="250" t="s">
        <v>863</v>
      </c>
      <c r="B15" s="251" t="s">
        <v>5936</v>
      </c>
      <c r="C15" s="251"/>
      <c r="D15" s="255">
        <f>'Data Entry - SOF'!C97</f>
        <v>0</v>
      </c>
    </row>
    <row r="16" spans="1:4" s="247" customFormat="1" ht="15.5">
      <c r="A16" s="250" t="s">
        <v>865</v>
      </c>
      <c r="B16" s="251" t="s">
        <v>5937</v>
      </c>
      <c r="C16" s="251"/>
      <c r="D16" s="255">
        <f>'IFADetail2122-HB3'!D35</f>
        <v>0</v>
      </c>
    </row>
    <row r="17" spans="1:4" s="247" customFormat="1" ht="15.5">
      <c r="A17" s="250" t="s">
        <v>866</v>
      </c>
      <c r="B17" s="251" t="s">
        <v>5938</v>
      </c>
      <c r="C17" s="251"/>
      <c r="D17" s="256">
        <f>'Data Entry - SOF'!C19</f>
        <v>0</v>
      </c>
    </row>
    <row r="18" spans="1:4" s="247" customFormat="1" ht="15.5">
      <c r="A18" s="250" t="s">
        <v>867</v>
      </c>
      <c r="B18" s="251" t="s">
        <v>8297</v>
      </c>
      <c r="C18" s="251"/>
      <c r="D18" s="255">
        <f>'Data Entry - SOF'!C64</f>
        <v>0</v>
      </c>
    </row>
    <row r="19" spans="1:4" s="247" customFormat="1" ht="15.5">
      <c r="A19" s="250" t="s">
        <v>109</v>
      </c>
      <c r="B19" s="251" t="s">
        <v>8292</v>
      </c>
      <c r="C19" s="251"/>
      <c r="D19" s="255">
        <f>'Data Entry - SOF'!C140</f>
        <v>0</v>
      </c>
    </row>
    <row r="20" spans="1:4" s="247" customFormat="1" ht="15.5">
      <c r="A20" s="1780" t="s">
        <v>2657</v>
      </c>
      <c r="B20" s="1781"/>
      <c r="C20" s="1782"/>
      <c r="D20" s="1783"/>
    </row>
    <row r="21" spans="1:4" s="247" customFormat="1" ht="15.5">
      <c r="A21" s="280" t="s">
        <v>110</v>
      </c>
      <c r="B21" s="266" t="s">
        <v>5977</v>
      </c>
      <c r="C21" s="266"/>
      <c r="D21" s="284">
        <f>'Existing Debt-HB3'!I47</f>
        <v>0</v>
      </c>
    </row>
    <row r="22" spans="1:4" s="247" customFormat="1" ht="15.5">
      <c r="A22" s="261"/>
      <c r="B22" s="268" t="s">
        <v>2658</v>
      </c>
      <c r="C22" s="268"/>
      <c r="D22" s="285"/>
    </row>
    <row r="23" spans="1:4" s="247" customFormat="1" ht="15.5">
      <c r="A23" s="250" t="s">
        <v>111</v>
      </c>
      <c r="B23" s="251" t="str">
        <f>CONCATENATE("2021-22 Rate Needed for All Eligible Debt ((Line 5 - Line 6) / $",'Weights-HB3'!I157," / Line 7 / 100)")</f>
        <v>2021-22 Rate Needed for All Eligible Debt ((Line 5 - Line 6) / $40 / Line 7 / 100)</v>
      </c>
      <c r="C23" s="251"/>
      <c r="D23" s="286">
        <f>'Existing Debt-HB3'!I51</f>
        <v>0</v>
      </c>
    </row>
    <row r="24" spans="1:4" s="247" customFormat="1" ht="15.5">
      <c r="A24" s="250" t="s">
        <v>112</v>
      </c>
      <c r="B24" s="251" t="s">
        <v>5939</v>
      </c>
      <c r="C24" s="251"/>
      <c r="D24" s="286">
        <f>'Existing Debt-HB3'!I55</f>
        <v>0</v>
      </c>
    </row>
    <row r="25" spans="1:4" s="247" customFormat="1" ht="15.5">
      <c r="A25" s="250" t="s">
        <v>1424</v>
      </c>
      <c r="B25" s="251" t="str">
        <f>CONCATENATE("State/Local Share of EDA ($",'Weights-HB3'!I157," * Line 7 * Line 12 * 100)")</f>
        <v>State/Local Share of EDA ($40 * Line 7 * Line 12 * 100)</v>
      </c>
      <c r="C25" s="251"/>
      <c r="D25" s="255">
        <f>'Existing Debt-HB3'!I59</f>
        <v>0</v>
      </c>
    </row>
    <row r="26" spans="1:4" s="247" customFormat="1" ht="15.5">
      <c r="A26" s="250" t="s">
        <v>6</v>
      </c>
      <c r="B26" s="251" t="s">
        <v>2659</v>
      </c>
      <c r="C26" s="251"/>
      <c r="D26" s="255">
        <f>'Existing Debt-HB3'!I61</f>
        <v>0</v>
      </c>
    </row>
    <row r="27" spans="1:4" s="247" customFormat="1" ht="15.5">
      <c r="A27" s="250" t="s">
        <v>2109</v>
      </c>
      <c r="B27" s="251" t="s">
        <v>2660</v>
      </c>
      <c r="C27" s="251"/>
      <c r="D27" s="255">
        <f>'Existing Debt-HB3'!I70</f>
        <v>0</v>
      </c>
    </row>
    <row r="28" spans="1:4" s="247" customFormat="1" ht="15.5">
      <c r="A28" s="250" t="s">
        <v>2110</v>
      </c>
      <c r="B28" s="249" t="s">
        <v>2661</v>
      </c>
      <c r="C28" s="251"/>
      <c r="D28" s="260">
        <f>'Existing Debt-HB3'!I74</f>
        <v>0</v>
      </c>
    </row>
    <row r="29" spans="1:4" s="247" customFormat="1" ht="15.5">
      <c r="B29" s="320" t="s">
        <v>2708</v>
      </c>
      <c r="D29" s="2031" t="s">
        <v>9067</v>
      </c>
    </row>
    <row r="30" spans="1:4" s="247" customFormat="1" ht="15.5"/>
    <row r="31" spans="1:4" s="247" customFormat="1" ht="15.5"/>
    <row r="32" spans="1:4" s="247" customFormat="1" ht="15.5">
      <c r="B32" s="2039" t="s">
        <v>2673</v>
      </c>
      <c r="C32" s="2040"/>
      <c r="D32" s="2040"/>
    </row>
    <row r="33" spans="2:4" s="247" customFormat="1" ht="15.5">
      <c r="B33" s="2039" t="s">
        <v>2793</v>
      </c>
      <c r="C33" s="2040"/>
      <c r="D33" s="2040"/>
    </row>
    <row r="34" spans="2:4" s="247" customFormat="1" ht="15.5">
      <c r="B34" s="358" t="s">
        <v>2790</v>
      </c>
      <c r="C34" s="2040"/>
      <c r="D34" s="2040"/>
    </row>
    <row r="35" spans="2:4" s="247" customFormat="1" ht="15.5">
      <c r="B35" s="358"/>
      <c r="C35" s="2040"/>
      <c r="D35" s="2040"/>
    </row>
    <row r="36" spans="2:4" s="247" customFormat="1" ht="15.5">
      <c r="B36" s="2039" t="s">
        <v>7074</v>
      </c>
      <c r="C36" s="2040"/>
      <c r="D36" s="2040"/>
    </row>
    <row r="37" spans="2:4" s="247" customFormat="1" ht="15.5">
      <c r="B37" s="358" t="s">
        <v>7075</v>
      </c>
      <c r="C37" s="2040"/>
      <c r="D37" s="2040"/>
    </row>
    <row r="38" spans="2:4" s="247" customFormat="1" ht="15.5">
      <c r="B38" s="358" t="s">
        <v>9198</v>
      </c>
      <c r="C38" s="2040"/>
      <c r="D38" s="2040"/>
    </row>
    <row r="39" spans="2:4" s="247" customFormat="1" ht="15.5">
      <c r="B39" s="2039" t="s">
        <v>7076</v>
      </c>
      <c r="C39" s="2040"/>
      <c r="D39" s="2040"/>
    </row>
    <row r="40" spans="2:4" s="247" customFormat="1" ht="15.5" hidden="1">
      <c r="B40" s="2039"/>
      <c r="C40" s="2040"/>
      <c r="D40" s="453">
        <f>IF(ISNA('DE1'!D65),0,'DE1'!D65)</f>
        <v>0</v>
      </c>
    </row>
    <row r="41" spans="2:4" s="247" customFormat="1" ht="15.5" hidden="1">
      <c r="B41" s="317" t="s">
        <v>5514</v>
      </c>
      <c r="C41" s="2040"/>
      <c r="D41" s="2040"/>
    </row>
    <row r="42" spans="2:4" ht="15.5">
      <c r="B42" s="2039"/>
      <c r="C42" s="2040"/>
      <c r="D42" s="2040"/>
    </row>
    <row r="43" spans="2:4" ht="15.5">
      <c r="B43" s="2039" t="s">
        <v>5512</v>
      </c>
      <c r="C43" s="2040"/>
      <c r="D43" s="2040"/>
    </row>
    <row r="44" spans="2:4" ht="15.5">
      <c r="B44" s="358" t="s">
        <v>8546</v>
      </c>
      <c r="C44" s="2040"/>
      <c r="D44" s="2042"/>
    </row>
    <row r="45" spans="2:4" ht="15.5">
      <c r="B45" s="2039" t="s">
        <v>7073</v>
      </c>
      <c r="C45" s="2042"/>
      <c r="D45" s="2042"/>
    </row>
  </sheetData>
  <hyperlinks>
    <hyperlink ref="D29" location="'Report-SOF2122-HB1525'!A1" display="'Report-SOF2122-HB1525'!A1"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FF00"/>
  </sheetPr>
  <dimension ref="A1:D45"/>
  <sheetViews>
    <sheetView workbookViewId="0">
      <selection activeCell="D1" sqref="D1"/>
    </sheetView>
  </sheetViews>
  <sheetFormatPr defaultRowHeight="12.5"/>
  <cols>
    <col min="1" max="1" width="5.453125" customWidth="1"/>
    <col min="2" max="2" width="81.54296875" customWidth="1"/>
    <col min="3" max="3" width="4.54296875" customWidth="1"/>
    <col min="4" max="4" width="26.453125" customWidth="1"/>
  </cols>
  <sheetData>
    <row r="1" spans="1:4" ht="13">
      <c r="A1" s="245" t="s">
        <v>2716</v>
      </c>
      <c r="D1" s="1814" t="str">
        <f>'EDADetail2122-HB3'!D1</f>
        <v>Release 2</v>
      </c>
    </row>
    <row r="2" spans="1:4" ht="13">
      <c r="A2" s="245" t="s">
        <v>2717</v>
      </c>
      <c r="D2" s="1815">
        <f>'EDADetail2122-HB3'!D2</f>
        <v>44930</v>
      </c>
    </row>
    <row r="3" spans="1:4" ht="13">
      <c r="A3" s="52"/>
      <c r="D3" s="47"/>
    </row>
    <row r="4" spans="1:4" ht="15.5">
      <c r="A4" s="246" t="s">
        <v>8302</v>
      </c>
    </row>
    <row r="5" spans="1:4" ht="15.5">
      <c r="A5" s="248" t="str">
        <f>'Data Entry - SOF'!B1</f>
        <v xml:space="preserve"> </v>
      </c>
    </row>
    <row r="6" spans="1:4" ht="15.5">
      <c r="A6" s="246">
        <f>'Data Entry - SOF'!B2</f>
        <v>0</v>
      </c>
    </row>
    <row r="9" spans="1:4" s="214" customFormat="1" ht="18">
      <c r="A9" s="1772" t="s">
        <v>2788</v>
      </c>
      <c r="B9" s="1773"/>
      <c r="C9" s="1774"/>
      <c r="D9" s="1775"/>
    </row>
    <row r="10" spans="1:4" s="247" customFormat="1" ht="18">
      <c r="A10" s="1777" t="s">
        <v>2655</v>
      </c>
      <c r="B10" s="1778"/>
      <c r="C10" s="1779"/>
      <c r="D10" s="1776" t="s">
        <v>2656</v>
      </c>
    </row>
    <row r="11" spans="1:4" s="247" customFormat="1" ht="15.5">
      <c r="A11" s="250" t="s">
        <v>2063</v>
      </c>
      <c r="B11" s="251" t="s">
        <v>3331</v>
      </c>
      <c r="C11" s="251"/>
      <c r="D11" s="255">
        <f>'EDADetail2122-HB3'!D11</f>
        <v>0</v>
      </c>
    </row>
    <row r="12" spans="1:4" s="247" customFormat="1" ht="15.5">
      <c r="A12" s="250" t="s">
        <v>2064</v>
      </c>
      <c r="B12" s="251" t="s">
        <v>5971</v>
      </c>
      <c r="C12" s="251"/>
      <c r="D12" s="255">
        <f>'EDADetail2122-HB3'!D12</f>
        <v>0</v>
      </c>
    </row>
    <row r="13" spans="1:4" s="247" customFormat="1" ht="15.5">
      <c r="A13" s="250" t="s">
        <v>2065</v>
      </c>
      <c r="B13" s="251" t="s">
        <v>5972</v>
      </c>
      <c r="C13" s="251"/>
      <c r="D13" s="255">
        <f>'EDADetail2122-HB3'!D13</f>
        <v>0</v>
      </c>
    </row>
    <row r="14" spans="1:4" s="247" customFormat="1" ht="15.5">
      <c r="A14" s="250" t="s">
        <v>862</v>
      </c>
      <c r="B14" s="251" t="s">
        <v>5973</v>
      </c>
      <c r="C14" s="251"/>
      <c r="D14" s="255">
        <f>IF(D11-D12-D13&lt;0,0,D11-D12-D13)</f>
        <v>0</v>
      </c>
    </row>
    <row r="15" spans="1:4" s="247" customFormat="1" ht="15.5">
      <c r="A15" s="250" t="s">
        <v>863</v>
      </c>
      <c r="B15" s="251" t="s">
        <v>5974</v>
      </c>
      <c r="C15" s="251"/>
      <c r="D15" s="255">
        <f>'Data Entry - SOF'!E97</f>
        <v>0</v>
      </c>
    </row>
    <row r="16" spans="1:4" s="247" customFormat="1" ht="15.5">
      <c r="A16" s="250" t="s">
        <v>865</v>
      </c>
      <c r="B16" s="251" t="s">
        <v>5975</v>
      </c>
      <c r="C16" s="251"/>
      <c r="D16" s="255">
        <f>'IFADetail2223-HB3'!D35</f>
        <v>0</v>
      </c>
    </row>
    <row r="17" spans="1:4" s="247" customFormat="1" ht="15.5">
      <c r="A17" s="250" t="s">
        <v>866</v>
      </c>
      <c r="B17" s="251" t="s">
        <v>5976</v>
      </c>
      <c r="C17" s="251"/>
      <c r="D17" s="256">
        <f>'Data Entry - SOF'!E19</f>
        <v>0</v>
      </c>
    </row>
    <row r="18" spans="1:4" s="247" customFormat="1" ht="15.5">
      <c r="A18" s="250" t="s">
        <v>867</v>
      </c>
      <c r="B18" s="251" t="s">
        <v>8301</v>
      </c>
      <c r="C18" s="251"/>
      <c r="D18" s="255">
        <f>'Data Entry - SOF'!E67</f>
        <v>0</v>
      </c>
    </row>
    <row r="19" spans="1:4" s="247" customFormat="1" ht="15.5">
      <c r="A19" s="250" t="s">
        <v>109</v>
      </c>
      <c r="B19" s="251" t="s">
        <v>8292</v>
      </c>
      <c r="C19" s="251"/>
      <c r="D19" s="255">
        <f>'Data Entry - SOF'!C140</f>
        <v>0</v>
      </c>
    </row>
    <row r="20" spans="1:4" s="247" customFormat="1" ht="15.5">
      <c r="A20" s="1780" t="s">
        <v>2657</v>
      </c>
      <c r="B20" s="1781"/>
      <c r="C20" s="1782"/>
      <c r="D20" s="1783"/>
    </row>
    <row r="21" spans="1:4" s="247" customFormat="1" ht="15.5">
      <c r="A21" s="280" t="s">
        <v>110</v>
      </c>
      <c r="B21" s="266" t="s">
        <v>5977</v>
      </c>
      <c r="C21" s="266"/>
      <c r="D21" s="284">
        <f>'Existing Debt-HB3'!K47</f>
        <v>0</v>
      </c>
    </row>
    <row r="22" spans="1:4" s="247" customFormat="1" ht="15.5">
      <c r="A22" s="261"/>
      <c r="B22" s="268" t="s">
        <v>2658</v>
      </c>
      <c r="C22" s="268"/>
      <c r="D22" s="285"/>
    </row>
    <row r="23" spans="1:4" s="247" customFormat="1" ht="15.5">
      <c r="A23" s="250" t="s">
        <v>111</v>
      </c>
      <c r="B23" s="251" t="str">
        <f>CONCATENATE("2022-23 Rate Needed for All Eligible Debt ((Line 5 - Line 6) / $",'Weights-HB3'!J157," / Line 7 / 100)")</f>
        <v>2022-23 Rate Needed for All Eligible Debt ((Line 5 - Line 6) / $40 / Line 7 / 100)</v>
      </c>
      <c r="C23" s="251"/>
      <c r="D23" s="286">
        <f>'Existing Debt-HB3'!K51</f>
        <v>0</v>
      </c>
    </row>
    <row r="24" spans="1:4" s="247" customFormat="1" ht="15.5">
      <c r="A24" s="250" t="s">
        <v>112</v>
      </c>
      <c r="B24" s="251" t="s">
        <v>5978</v>
      </c>
      <c r="C24" s="251"/>
      <c r="D24" s="286">
        <f>'Existing Debt-HB3'!K55</f>
        <v>0</v>
      </c>
    </row>
    <row r="25" spans="1:4" s="247" customFormat="1" ht="15.5">
      <c r="A25" s="250" t="s">
        <v>1424</v>
      </c>
      <c r="B25" s="251" t="str">
        <f>CONCATENATE("State/Local Share of EDA ($",'Weights-HB3'!J157," * Line 7 * Line 12 * 100)")</f>
        <v>State/Local Share of EDA ($40 * Line 7 * Line 12 * 100)</v>
      </c>
      <c r="C25" s="251"/>
      <c r="D25" s="255">
        <f>'Existing Debt-HB3'!K59</f>
        <v>0</v>
      </c>
    </row>
    <row r="26" spans="1:4" s="247" customFormat="1" ht="15.5">
      <c r="A26" s="250" t="s">
        <v>6</v>
      </c>
      <c r="B26" s="251" t="s">
        <v>2659</v>
      </c>
      <c r="C26" s="251"/>
      <c r="D26" s="255">
        <f>'Existing Debt-HB3'!K61</f>
        <v>0</v>
      </c>
    </row>
    <row r="27" spans="1:4" s="247" customFormat="1" ht="15.5">
      <c r="A27" s="250" t="s">
        <v>2109</v>
      </c>
      <c r="B27" s="251" t="s">
        <v>2660</v>
      </c>
      <c r="C27" s="251"/>
      <c r="D27" s="255">
        <f>'Existing Debt-HB3'!K70</f>
        <v>0</v>
      </c>
    </row>
    <row r="28" spans="1:4" s="247" customFormat="1" ht="15.5">
      <c r="A28" s="250" t="s">
        <v>2110</v>
      </c>
      <c r="B28" s="249" t="s">
        <v>2661</v>
      </c>
      <c r="C28" s="251"/>
      <c r="D28" s="260">
        <f>'Existing Debt-HB3'!K74</f>
        <v>0</v>
      </c>
    </row>
    <row r="29" spans="1:4" s="247" customFormat="1" ht="15.5">
      <c r="B29" s="320" t="s">
        <v>2708</v>
      </c>
      <c r="D29" s="635" t="s">
        <v>10471</v>
      </c>
    </row>
    <row r="30" spans="1:4" s="247" customFormat="1" ht="15.5"/>
    <row r="31" spans="1:4" s="247" customFormat="1" ht="15.5"/>
    <row r="32" spans="1:4" s="247" customFormat="1" ht="15.5">
      <c r="B32" s="2039" t="s">
        <v>2673</v>
      </c>
      <c r="C32" s="2040"/>
      <c r="D32" s="2040"/>
    </row>
    <row r="33" spans="2:4" s="247" customFormat="1" ht="15.5">
      <c r="B33" s="2039" t="s">
        <v>2793</v>
      </c>
      <c r="C33" s="2040"/>
      <c r="D33" s="2040"/>
    </row>
    <row r="34" spans="2:4" s="247" customFormat="1" ht="15.5">
      <c r="B34" s="358" t="s">
        <v>2790</v>
      </c>
      <c r="C34" s="2040"/>
      <c r="D34" s="2040"/>
    </row>
    <row r="35" spans="2:4" s="247" customFormat="1" ht="15.5">
      <c r="B35" s="358"/>
      <c r="C35" s="2040"/>
      <c r="D35" s="2040"/>
    </row>
    <row r="36" spans="2:4" s="247" customFormat="1" ht="15.5">
      <c r="B36" s="2039" t="s">
        <v>7074</v>
      </c>
      <c r="C36" s="2040"/>
      <c r="D36" s="2040"/>
    </row>
    <row r="37" spans="2:4" s="247" customFormat="1" ht="15.5">
      <c r="B37" s="358" t="s">
        <v>7075</v>
      </c>
      <c r="C37" s="2040"/>
      <c r="D37" s="2040"/>
    </row>
    <row r="38" spans="2:4" s="247" customFormat="1" ht="15.5">
      <c r="B38" s="358" t="s">
        <v>9198</v>
      </c>
      <c r="C38" s="2040"/>
      <c r="D38" s="2040"/>
    </row>
    <row r="39" spans="2:4" s="247" customFormat="1" ht="15.5">
      <c r="B39" s="2039" t="s">
        <v>7076</v>
      </c>
      <c r="C39" s="2040"/>
      <c r="D39" s="2040"/>
    </row>
    <row r="40" spans="2:4" s="247" customFormat="1" ht="15.5" hidden="1">
      <c r="B40" s="2039"/>
      <c r="C40" s="2040"/>
      <c r="D40" s="453">
        <f>IF(ISNA('DE1'!D65),0,'DE1'!D65)</f>
        <v>0</v>
      </c>
    </row>
    <row r="41" spans="2:4" s="247" customFormat="1" ht="15.5" hidden="1">
      <c r="B41" s="317" t="s">
        <v>5514</v>
      </c>
      <c r="C41" s="2040"/>
      <c r="D41" s="2040"/>
    </row>
    <row r="42" spans="2:4" ht="15.5">
      <c r="B42" s="2039"/>
      <c r="C42" s="2040"/>
      <c r="D42" s="2040"/>
    </row>
    <row r="43" spans="2:4" ht="15.5">
      <c r="B43" s="2039" t="s">
        <v>5512</v>
      </c>
      <c r="C43" s="2040"/>
      <c r="D43" s="2040"/>
    </row>
    <row r="44" spans="2:4" ht="15.5">
      <c r="B44" s="358" t="s">
        <v>8546</v>
      </c>
      <c r="C44" s="2040"/>
      <c r="D44" s="2042"/>
    </row>
    <row r="45" spans="2:4" ht="15.5">
      <c r="B45" s="2039" t="s">
        <v>7073</v>
      </c>
      <c r="C45" s="2042"/>
      <c r="D45" s="2042"/>
    </row>
  </sheetData>
  <hyperlinks>
    <hyperlink ref="D29" location="'Report-SOF2223-SB1'!A1" display="'Report-SOF2223-SB1'!A1"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FF00"/>
  </sheetPr>
  <dimension ref="A1:D45"/>
  <sheetViews>
    <sheetView workbookViewId="0">
      <selection activeCell="D19" sqref="D19"/>
    </sheetView>
  </sheetViews>
  <sheetFormatPr defaultRowHeight="12.5"/>
  <cols>
    <col min="1" max="1" width="5.453125" customWidth="1"/>
    <col min="2" max="2" width="81.54296875" customWidth="1"/>
    <col min="3" max="3" width="4.54296875" customWidth="1"/>
    <col min="4" max="4" width="26.7265625" customWidth="1"/>
  </cols>
  <sheetData>
    <row r="1" spans="1:4" ht="13">
      <c r="A1" s="245" t="s">
        <v>2716</v>
      </c>
      <c r="D1" s="1814" t="str">
        <f>'EDADetail2223-HB3'!D1</f>
        <v>Release 2</v>
      </c>
    </row>
    <row r="2" spans="1:4" ht="13">
      <c r="A2" s="245" t="s">
        <v>2717</v>
      </c>
      <c r="D2" s="1815">
        <f>'EDADetail2223-HB3'!D2</f>
        <v>44930</v>
      </c>
    </row>
    <row r="3" spans="1:4" ht="13">
      <c r="A3" s="52"/>
      <c r="D3" s="47"/>
    </row>
    <row r="4" spans="1:4" ht="15.5">
      <c r="A4" s="246" t="s">
        <v>8311</v>
      </c>
    </row>
    <row r="5" spans="1:4" ht="15.5">
      <c r="A5" s="248" t="str">
        <f>'Data Entry - SOF'!B1</f>
        <v xml:space="preserve"> </v>
      </c>
    </row>
    <row r="6" spans="1:4" ht="15.5">
      <c r="A6" s="246">
        <f>'Data Entry - SOF'!B2</f>
        <v>0</v>
      </c>
    </row>
    <row r="9" spans="1:4" s="214" customFormat="1" ht="18">
      <c r="A9" s="1772" t="s">
        <v>2788</v>
      </c>
      <c r="B9" s="1773"/>
      <c r="C9" s="1774"/>
      <c r="D9" s="1775"/>
    </row>
    <row r="10" spans="1:4" s="247" customFormat="1" ht="18">
      <c r="A10" s="1777" t="s">
        <v>2655</v>
      </c>
      <c r="B10" s="1778"/>
      <c r="C10" s="1779"/>
      <c r="D10" s="1776" t="s">
        <v>2656</v>
      </c>
    </row>
    <row r="11" spans="1:4" s="247" customFormat="1" ht="15.5">
      <c r="A11" s="250" t="s">
        <v>2063</v>
      </c>
      <c r="B11" s="251" t="s">
        <v>5960</v>
      </c>
      <c r="C11" s="251"/>
      <c r="D11" s="255">
        <f>'Data Entry - SOF'!E80</f>
        <v>0</v>
      </c>
    </row>
    <row r="12" spans="1:4" s="247" customFormat="1" ht="15.5">
      <c r="A12" s="250" t="s">
        <v>2064</v>
      </c>
      <c r="B12" s="251" t="s">
        <v>7040</v>
      </c>
      <c r="C12" s="251"/>
      <c r="D12" s="255">
        <f>'Existing Debt-HB3'!K61</f>
        <v>0</v>
      </c>
    </row>
    <row r="13" spans="1:4" s="247" customFormat="1" ht="15.5">
      <c r="A13" s="250" t="s">
        <v>2065</v>
      </c>
      <c r="B13" s="251" t="s">
        <v>7041</v>
      </c>
      <c r="C13" s="251"/>
      <c r="D13" s="255">
        <f>'IFA-HB3'!O79</f>
        <v>0</v>
      </c>
    </row>
    <row r="14" spans="1:4" s="247" customFormat="1" ht="15.5">
      <c r="A14" s="250" t="s">
        <v>862</v>
      </c>
      <c r="B14" s="251" t="s">
        <v>7042</v>
      </c>
      <c r="C14" s="251"/>
      <c r="D14" s="255">
        <f>IF(D11-D12-D13&lt;0,0,D11-D12-D13)</f>
        <v>0</v>
      </c>
    </row>
    <row r="15" spans="1:4" s="247" customFormat="1" ht="15.5">
      <c r="A15" s="250" t="s">
        <v>863</v>
      </c>
      <c r="B15" s="251" t="s">
        <v>7043</v>
      </c>
      <c r="C15" s="251"/>
      <c r="D15" s="255">
        <f>'Data Entry - SOF'!G97</f>
        <v>0</v>
      </c>
    </row>
    <row r="16" spans="1:4" s="247" customFormat="1" ht="15.5">
      <c r="A16" s="250" t="s">
        <v>865</v>
      </c>
      <c r="B16" s="251" t="s">
        <v>7044</v>
      </c>
      <c r="C16" s="251"/>
      <c r="D16" s="255">
        <f>'IFADetail2324-HB3'!D35</f>
        <v>0</v>
      </c>
    </row>
    <row r="17" spans="1:4" s="247" customFormat="1" ht="15.5">
      <c r="A17" s="250" t="s">
        <v>866</v>
      </c>
      <c r="B17" s="251" t="s">
        <v>7045</v>
      </c>
      <c r="C17" s="251"/>
      <c r="D17" s="256">
        <f>'Data Entry - SOF'!G19</f>
        <v>0</v>
      </c>
    </row>
    <row r="18" spans="1:4" s="247" customFormat="1" ht="15.5">
      <c r="A18" s="250" t="s">
        <v>867</v>
      </c>
      <c r="B18" s="251" t="s">
        <v>8312</v>
      </c>
      <c r="C18" s="251"/>
      <c r="D18" s="255">
        <f>'Data Entry - SOF'!G67</f>
        <v>0</v>
      </c>
    </row>
    <row r="19" spans="1:4" s="247" customFormat="1" ht="15.5">
      <c r="A19" s="250" t="s">
        <v>109</v>
      </c>
      <c r="B19" s="251" t="s">
        <v>8301</v>
      </c>
      <c r="C19" s="251"/>
      <c r="D19" s="255">
        <f>'Data Entry - SOF'!E67</f>
        <v>0</v>
      </c>
    </row>
    <row r="20" spans="1:4" s="247" customFormat="1" ht="15.5">
      <c r="A20" s="1780" t="s">
        <v>2657</v>
      </c>
      <c r="B20" s="1781"/>
      <c r="C20" s="1782"/>
      <c r="D20" s="1783"/>
    </row>
    <row r="21" spans="1:4" s="247" customFormat="1" ht="15.5">
      <c r="A21" s="280" t="s">
        <v>110</v>
      </c>
      <c r="B21" s="266" t="s">
        <v>5977</v>
      </c>
      <c r="C21" s="266"/>
      <c r="D21" s="284">
        <f>'Existing Debt-HB3'!N47</f>
        <v>0</v>
      </c>
    </row>
    <row r="22" spans="1:4" s="247" customFormat="1" ht="15.5">
      <c r="A22" s="261"/>
      <c r="B22" s="268" t="s">
        <v>2658</v>
      </c>
      <c r="C22" s="268"/>
      <c r="D22" s="285"/>
    </row>
    <row r="23" spans="1:4" s="247" customFormat="1" ht="15.5">
      <c r="A23" s="250" t="s">
        <v>111</v>
      </c>
      <c r="B23" s="251" t="str">
        <f>CONCATENATE("2023-24 Rate Needed for All Eligible Debt ((Line 5 - Line 6) / $",'Weights-HB3'!K157," / Line 7 / 100)")</f>
        <v>2023-24 Rate Needed for All Eligible Debt ((Line 5 - Line 6) / $40 / Line 7 / 100)</v>
      </c>
      <c r="C23" s="251"/>
      <c r="D23" s="286">
        <f>'Existing Debt-HB3'!N51</f>
        <v>0</v>
      </c>
    </row>
    <row r="24" spans="1:4" s="247" customFormat="1" ht="15.5">
      <c r="A24" s="250" t="s">
        <v>112</v>
      </c>
      <c r="B24" s="251" t="s">
        <v>7047</v>
      </c>
      <c r="C24" s="251"/>
      <c r="D24" s="286">
        <f>'Existing Debt-HB3'!N55</f>
        <v>0</v>
      </c>
    </row>
    <row r="25" spans="1:4" s="247" customFormat="1" ht="15.5">
      <c r="A25" s="250" t="s">
        <v>1424</v>
      </c>
      <c r="B25" s="251" t="str">
        <f>CONCATENATE("State/Local Share of EDA ($",'Weights-HB3'!K157," * Line 7 * Line 12 * 100)")</f>
        <v>State/Local Share of EDA ($40 * Line 7 * Line 12 * 100)</v>
      </c>
      <c r="C25" s="251"/>
      <c r="D25" s="255">
        <f>'Existing Debt-HB3'!N59</f>
        <v>0</v>
      </c>
    </row>
    <row r="26" spans="1:4" s="247" customFormat="1" ht="15.5">
      <c r="A26" s="250" t="s">
        <v>6</v>
      </c>
      <c r="B26" s="251" t="s">
        <v>2659</v>
      </c>
      <c r="C26" s="251"/>
      <c r="D26" s="255">
        <f>'Existing Debt-HB3'!N61</f>
        <v>0</v>
      </c>
    </row>
    <row r="27" spans="1:4" s="247" customFormat="1" ht="15.5">
      <c r="A27" s="250" t="s">
        <v>2109</v>
      </c>
      <c r="B27" s="251" t="s">
        <v>2660</v>
      </c>
      <c r="C27" s="251"/>
      <c r="D27" s="255">
        <f>'Existing Debt-HB3'!N70</f>
        <v>0</v>
      </c>
    </row>
    <row r="28" spans="1:4" s="247" customFormat="1" ht="15.5">
      <c r="A28" s="250" t="s">
        <v>2110</v>
      </c>
      <c r="B28" s="249" t="s">
        <v>2661</v>
      </c>
      <c r="C28" s="251"/>
      <c r="D28" s="260">
        <f>'Existing Debt-HB3'!N74</f>
        <v>0</v>
      </c>
    </row>
    <row r="29" spans="1:4" s="247" customFormat="1" ht="15.5">
      <c r="B29" s="320" t="s">
        <v>2708</v>
      </c>
      <c r="D29" s="635" t="s">
        <v>10472</v>
      </c>
    </row>
    <row r="30" spans="1:4" s="247" customFormat="1" ht="15.5"/>
    <row r="31" spans="1:4" s="247" customFormat="1" ht="15.5"/>
    <row r="32" spans="1:4" s="247" customFormat="1" ht="15.5">
      <c r="B32" s="2039" t="s">
        <v>2673</v>
      </c>
      <c r="C32" s="2040"/>
      <c r="D32" s="2040"/>
    </row>
    <row r="33" spans="2:4" s="247" customFormat="1" ht="15.5">
      <c r="B33" s="2039" t="s">
        <v>2793</v>
      </c>
      <c r="C33" s="2040"/>
      <c r="D33" s="2040"/>
    </row>
    <row r="34" spans="2:4" s="247" customFormat="1" ht="15.5">
      <c r="B34" s="358" t="s">
        <v>2790</v>
      </c>
      <c r="C34" s="2040"/>
      <c r="D34" s="2040"/>
    </row>
    <row r="35" spans="2:4" s="247" customFormat="1" ht="15.5">
      <c r="B35" s="358"/>
      <c r="C35" s="2040"/>
      <c r="D35" s="2040"/>
    </row>
    <row r="36" spans="2:4" s="247" customFormat="1" ht="15.5">
      <c r="B36" s="2039" t="s">
        <v>7074</v>
      </c>
      <c r="C36" s="2040"/>
      <c r="D36" s="2040"/>
    </row>
    <row r="37" spans="2:4" s="247" customFormat="1" ht="15.5">
      <c r="B37" s="358" t="s">
        <v>7075</v>
      </c>
      <c r="C37" s="2040"/>
      <c r="D37" s="2040"/>
    </row>
    <row r="38" spans="2:4" s="247" customFormat="1" ht="15.5">
      <c r="B38" s="358" t="s">
        <v>9198</v>
      </c>
      <c r="C38" s="2040"/>
      <c r="D38" s="2040"/>
    </row>
    <row r="39" spans="2:4" s="247" customFormat="1" ht="15.5">
      <c r="B39" s="2039" t="s">
        <v>7076</v>
      </c>
      <c r="C39" s="2040"/>
      <c r="D39" s="2040"/>
    </row>
    <row r="40" spans="2:4" s="247" customFormat="1" ht="15.5" hidden="1">
      <c r="B40" s="2039"/>
      <c r="C40" s="2040"/>
      <c r="D40" s="453">
        <f>IF(ISNA('DE1'!D65),0,'DE1'!D65)</f>
        <v>0</v>
      </c>
    </row>
    <row r="41" spans="2:4" s="247" customFormat="1" ht="15.5" hidden="1">
      <c r="B41" s="317" t="s">
        <v>5514</v>
      </c>
      <c r="C41" s="2040"/>
      <c r="D41" s="2040"/>
    </row>
    <row r="42" spans="2:4" ht="15.5">
      <c r="B42" s="2039"/>
      <c r="C42" s="2040"/>
      <c r="D42" s="2040"/>
    </row>
    <row r="43" spans="2:4" ht="15.5">
      <c r="B43" s="2039" t="s">
        <v>5512</v>
      </c>
      <c r="C43" s="2040"/>
      <c r="D43" s="2040"/>
    </row>
    <row r="44" spans="2:4" ht="15.5">
      <c r="B44" s="358" t="s">
        <v>8546</v>
      </c>
      <c r="C44" s="2040"/>
      <c r="D44" s="2042"/>
    </row>
    <row r="45" spans="2:4" ht="15.5">
      <c r="B45" s="2039" t="s">
        <v>7073</v>
      </c>
      <c r="C45" s="2042"/>
      <c r="D45" s="2042"/>
    </row>
  </sheetData>
  <hyperlinks>
    <hyperlink ref="D29" location="'Report-SOF2324-SB1'!A1" display="'Report-SOF2324-SB1'!A1"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FFFF00"/>
  </sheetPr>
  <dimension ref="A1:D45"/>
  <sheetViews>
    <sheetView workbookViewId="0">
      <selection activeCell="D1" sqref="D1"/>
    </sheetView>
  </sheetViews>
  <sheetFormatPr defaultRowHeight="12.5"/>
  <cols>
    <col min="1" max="1" width="5.453125" customWidth="1"/>
    <col min="2" max="2" width="81.54296875" customWidth="1"/>
    <col min="3" max="3" width="4.54296875" customWidth="1"/>
    <col min="4" max="4" width="26.7265625" customWidth="1"/>
  </cols>
  <sheetData>
    <row r="1" spans="1:4" ht="13">
      <c r="A1" s="245" t="s">
        <v>2716</v>
      </c>
      <c r="D1" s="1814" t="str">
        <f>'EDADetail2324-HB3'!D1</f>
        <v>Release 2</v>
      </c>
    </row>
    <row r="2" spans="1:4" ht="13">
      <c r="A2" s="245" t="s">
        <v>2717</v>
      </c>
      <c r="D2" s="1815">
        <f>'EDADetail2324-HB3'!D2</f>
        <v>44930</v>
      </c>
    </row>
    <row r="3" spans="1:4" ht="13">
      <c r="A3" s="52"/>
      <c r="D3" s="47"/>
    </row>
    <row r="4" spans="1:4" ht="15.5">
      <c r="A4" s="246" t="s">
        <v>8540</v>
      </c>
    </row>
    <row r="5" spans="1:4" ht="15.5">
      <c r="A5" s="248" t="str">
        <f>'Data Entry - SOF'!B1</f>
        <v xml:space="preserve"> </v>
      </c>
    </row>
    <row r="6" spans="1:4" ht="15.5">
      <c r="A6" s="246">
        <f>'Data Entry - SOF'!B2</f>
        <v>0</v>
      </c>
    </row>
    <row r="9" spans="1:4" s="214" customFormat="1" ht="18">
      <c r="A9" s="1772" t="s">
        <v>2788</v>
      </c>
      <c r="B9" s="1773"/>
      <c r="C9" s="1774"/>
      <c r="D9" s="1775"/>
    </row>
    <row r="10" spans="1:4" s="247" customFormat="1" ht="18">
      <c r="A10" s="1777" t="s">
        <v>2655</v>
      </c>
      <c r="B10" s="1778"/>
      <c r="C10" s="1779"/>
      <c r="D10" s="1776" t="s">
        <v>2656</v>
      </c>
    </row>
    <row r="11" spans="1:4" s="247" customFormat="1" ht="15.5">
      <c r="A11" s="250" t="s">
        <v>2063</v>
      </c>
      <c r="B11" s="251" t="s">
        <v>5960</v>
      </c>
      <c r="C11" s="251"/>
      <c r="D11" s="255">
        <f>'Data Entry - SOF'!E80</f>
        <v>0</v>
      </c>
    </row>
    <row r="12" spans="1:4" s="247" customFormat="1" ht="15.5">
      <c r="A12" s="250" t="s">
        <v>2064</v>
      </c>
      <c r="B12" s="251" t="s">
        <v>7040</v>
      </c>
      <c r="C12" s="251"/>
      <c r="D12" s="255">
        <f>'Existing Debt-HB3'!K61</f>
        <v>0</v>
      </c>
    </row>
    <row r="13" spans="1:4" s="247" customFormat="1" ht="15.5">
      <c r="A13" s="250" t="s">
        <v>2065</v>
      </c>
      <c r="B13" s="251" t="s">
        <v>7041</v>
      </c>
      <c r="C13" s="251"/>
      <c r="D13" s="255">
        <f>'IFA-HB3'!O79</f>
        <v>0</v>
      </c>
    </row>
    <row r="14" spans="1:4" s="247" customFormat="1" ht="15.5">
      <c r="A14" s="250" t="s">
        <v>862</v>
      </c>
      <c r="B14" s="251" t="s">
        <v>7042</v>
      </c>
      <c r="C14" s="251"/>
      <c r="D14" s="255">
        <f>IF(D11-D12-D13&lt;0,0,D11-D12-D13)</f>
        <v>0</v>
      </c>
    </row>
    <row r="15" spans="1:4" s="247" customFormat="1" ht="15.5">
      <c r="A15" s="250" t="s">
        <v>863</v>
      </c>
      <c r="B15" s="251" t="s">
        <v>8541</v>
      </c>
      <c r="C15" s="251"/>
      <c r="D15" s="255">
        <f>'Data Entry - SOF'!I97</f>
        <v>0</v>
      </c>
    </row>
    <row r="16" spans="1:4" s="247" customFormat="1" ht="15.5">
      <c r="A16" s="250" t="s">
        <v>865</v>
      </c>
      <c r="B16" s="251" t="s">
        <v>8542</v>
      </c>
      <c r="C16" s="251"/>
      <c r="D16" s="255">
        <f>'IFADetail2425-HB3'!D35</f>
        <v>0</v>
      </c>
    </row>
    <row r="17" spans="1:4" s="247" customFormat="1" ht="15.5">
      <c r="A17" s="250" t="s">
        <v>866</v>
      </c>
      <c r="B17" s="251" t="s">
        <v>8543</v>
      </c>
      <c r="C17" s="251"/>
      <c r="D17" s="256">
        <f>'Data Entry - SOF'!G19</f>
        <v>0</v>
      </c>
    </row>
    <row r="18" spans="1:4" s="247" customFormat="1" ht="15.5">
      <c r="A18" s="250" t="s">
        <v>867</v>
      </c>
      <c r="B18" s="251" t="s">
        <v>8544</v>
      </c>
      <c r="C18" s="251"/>
      <c r="D18" s="255">
        <f>'Data Entry - SOF'!I67</f>
        <v>0</v>
      </c>
    </row>
    <row r="19" spans="1:4" s="247" customFormat="1" ht="15.5">
      <c r="A19" s="250" t="s">
        <v>109</v>
      </c>
      <c r="B19" s="251" t="s">
        <v>8301</v>
      </c>
      <c r="C19" s="251"/>
      <c r="D19" s="255">
        <f>'EDADetail2324-HB3'!D19</f>
        <v>0</v>
      </c>
    </row>
    <row r="20" spans="1:4" s="247" customFormat="1" ht="15.5">
      <c r="A20" s="1780" t="s">
        <v>2657</v>
      </c>
      <c r="B20" s="1781"/>
      <c r="C20" s="1782"/>
      <c r="D20" s="1783"/>
    </row>
    <row r="21" spans="1:4" s="247" customFormat="1" ht="15.5">
      <c r="A21" s="280" t="s">
        <v>110</v>
      </c>
      <c r="B21" s="266" t="s">
        <v>7046</v>
      </c>
      <c r="C21" s="266"/>
      <c r="D21" s="284">
        <f>'Existing Debt-HB3'!Q47</f>
        <v>0</v>
      </c>
    </row>
    <row r="22" spans="1:4" s="247" customFormat="1" ht="15.5">
      <c r="A22" s="261"/>
      <c r="B22" s="268" t="s">
        <v>2658</v>
      </c>
      <c r="C22" s="268"/>
      <c r="D22" s="285"/>
    </row>
    <row r="23" spans="1:4" s="247" customFormat="1" ht="15.5">
      <c r="A23" s="250" t="s">
        <v>111</v>
      </c>
      <c r="B23" s="251" t="str">
        <f>CONCATENATE("2024-25 Rate Needed for All Eligible Debt ((Line 5 - Line 6) / $",'Weights-HB3'!L157," / Line 7 / 100)")</f>
        <v>2024-25 Rate Needed for All Eligible Debt ((Line 5 - Line 6) / $40 / Line 7 / 100)</v>
      </c>
      <c r="C23" s="251"/>
      <c r="D23" s="286">
        <f>'Existing Debt-HB3'!Q51</f>
        <v>0</v>
      </c>
    </row>
    <row r="24" spans="1:4" s="247" customFormat="1" ht="15.5">
      <c r="A24" s="250" t="s">
        <v>112</v>
      </c>
      <c r="B24" s="251" t="s">
        <v>8545</v>
      </c>
      <c r="C24" s="251"/>
      <c r="D24" s="286">
        <f>'Existing Debt-HB3'!Q55</f>
        <v>0</v>
      </c>
    </row>
    <row r="25" spans="1:4" s="247" customFormat="1" ht="15.5">
      <c r="A25" s="250" t="s">
        <v>1424</v>
      </c>
      <c r="B25" s="251" t="str">
        <f>CONCATENATE("State/Local Share of EDA ($",'Weights-HB3'!L157," * Line 7 * Line 12 * 100)")</f>
        <v>State/Local Share of EDA ($40 * Line 7 * Line 12 * 100)</v>
      </c>
      <c r="C25" s="251"/>
      <c r="D25" s="255">
        <f>'Existing Debt-HB3'!Q59</f>
        <v>0</v>
      </c>
    </row>
    <row r="26" spans="1:4" s="247" customFormat="1" ht="15.5">
      <c r="A26" s="250" t="s">
        <v>6</v>
      </c>
      <c r="B26" s="251" t="s">
        <v>2659</v>
      </c>
      <c r="C26" s="251"/>
      <c r="D26" s="255">
        <f>'Existing Debt-HB3'!Q61</f>
        <v>0</v>
      </c>
    </row>
    <row r="27" spans="1:4" s="247" customFormat="1" ht="15.5">
      <c r="A27" s="250" t="s">
        <v>2109</v>
      </c>
      <c r="B27" s="251" t="s">
        <v>2660</v>
      </c>
      <c r="C27" s="251"/>
      <c r="D27" s="255">
        <f>'Existing Debt-HB3'!Q70</f>
        <v>0</v>
      </c>
    </row>
    <row r="28" spans="1:4" s="247" customFormat="1" ht="15.5">
      <c r="A28" s="250" t="s">
        <v>2110</v>
      </c>
      <c r="B28" s="249" t="s">
        <v>2661</v>
      </c>
      <c r="C28" s="251"/>
      <c r="D28" s="260">
        <f>'Existing Debt-HB3'!Q74</f>
        <v>0</v>
      </c>
    </row>
    <row r="29" spans="1:4" s="247" customFormat="1" ht="15.5">
      <c r="B29" s="320" t="s">
        <v>2708</v>
      </c>
      <c r="D29" s="635" t="s">
        <v>10473</v>
      </c>
    </row>
    <row r="30" spans="1:4" s="247" customFormat="1" ht="15.5"/>
    <row r="31" spans="1:4" s="247" customFormat="1" ht="15.5"/>
    <row r="32" spans="1:4" s="247" customFormat="1" ht="15.5">
      <c r="B32" s="2039" t="s">
        <v>2673</v>
      </c>
      <c r="C32" s="2040"/>
      <c r="D32" s="2040"/>
    </row>
    <row r="33" spans="2:4" s="247" customFormat="1" ht="15.5">
      <c r="B33" s="2039" t="s">
        <v>2793</v>
      </c>
      <c r="C33" s="2040"/>
      <c r="D33" s="2040"/>
    </row>
    <row r="34" spans="2:4" s="247" customFormat="1" ht="15.5">
      <c r="B34" s="358" t="s">
        <v>2790</v>
      </c>
      <c r="C34" s="2040"/>
      <c r="D34" s="2040"/>
    </row>
    <row r="35" spans="2:4" s="247" customFormat="1" ht="15.5">
      <c r="B35" s="358"/>
      <c r="C35" s="2040"/>
      <c r="D35" s="2040"/>
    </row>
    <row r="36" spans="2:4" s="247" customFormat="1" ht="15.5">
      <c r="B36" s="2039" t="s">
        <v>7074</v>
      </c>
      <c r="C36" s="2040"/>
      <c r="D36" s="2040"/>
    </row>
    <row r="37" spans="2:4" s="247" customFormat="1" ht="15.5">
      <c r="B37" s="358" t="s">
        <v>7075</v>
      </c>
      <c r="C37" s="2040"/>
      <c r="D37" s="2040"/>
    </row>
    <row r="38" spans="2:4" s="247" customFormat="1" ht="15.5">
      <c r="B38" s="358" t="s">
        <v>9198</v>
      </c>
      <c r="C38" s="2040"/>
      <c r="D38" s="2040"/>
    </row>
    <row r="39" spans="2:4" s="247" customFormat="1" ht="15.5">
      <c r="B39" s="2039" t="s">
        <v>7076</v>
      </c>
      <c r="C39" s="2040"/>
      <c r="D39" s="2040"/>
    </row>
    <row r="40" spans="2:4" s="247" customFormat="1" ht="15.5" hidden="1">
      <c r="B40" s="2039"/>
      <c r="C40" s="2040"/>
      <c r="D40" s="453">
        <f>IF(ISNA('DE1'!D65),0,'DE1'!D65)</f>
        <v>0</v>
      </c>
    </row>
    <row r="41" spans="2:4" s="247" customFormat="1" ht="15.5" hidden="1">
      <c r="B41" s="317" t="s">
        <v>5514</v>
      </c>
      <c r="C41" s="2040"/>
      <c r="D41" s="2040"/>
    </row>
    <row r="42" spans="2:4" ht="15.5">
      <c r="B42" s="2039"/>
      <c r="C42" s="2040"/>
      <c r="D42" s="2040"/>
    </row>
    <row r="43" spans="2:4" ht="15.5">
      <c r="B43" s="2039" t="s">
        <v>5512</v>
      </c>
      <c r="C43" s="2040"/>
      <c r="D43" s="2040"/>
    </row>
    <row r="44" spans="2:4" ht="15.5">
      <c r="B44" s="358" t="s">
        <v>8546</v>
      </c>
      <c r="C44" s="2040"/>
      <c r="D44" s="2042"/>
    </row>
    <row r="45" spans="2:4" ht="15.5">
      <c r="B45" s="2039" t="s">
        <v>7073</v>
      </c>
      <c r="C45" s="2042"/>
      <c r="D45" s="2042"/>
    </row>
  </sheetData>
  <hyperlinks>
    <hyperlink ref="D29" location="'Report-SOF2425-SB1'!A1" display="'Report-SOF2425-SB1'!A1" xr:uid="{00000000-0004-0000-6000-000000000000}"/>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FFFF00"/>
  </sheetPr>
  <dimension ref="A1:D45"/>
  <sheetViews>
    <sheetView workbookViewId="0">
      <selection activeCell="D1" sqref="D1"/>
    </sheetView>
  </sheetViews>
  <sheetFormatPr defaultColWidth="8.7265625" defaultRowHeight="12.5"/>
  <cols>
    <col min="1" max="1" width="5.453125" style="2042" customWidth="1"/>
    <col min="2" max="2" width="81.54296875" style="2042" customWidth="1"/>
    <col min="3" max="3" width="4.54296875" style="2042" customWidth="1"/>
    <col min="4" max="4" width="26.7265625" style="2042" customWidth="1"/>
    <col min="5" max="16384" width="8.7265625" style="2042"/>
  </cols>
  <sheetData>
    <row r="1" spans="1:4" ht="13">
      <c r="A1" s="245" t="s">
        <v>2716</v>
      </c>
      <c r="D1" s="1814" t="str">
        <f>'EDADetail2324-HB3'!D1</f>
        <v>Release 2</v>
      </c>
    </row>
    <row r="2" spans="1:4" ht="13">
      <c r="A2" s="245" t="s">
        <v>2717</v>
      </c>
      <c r="D2" s="1815">
        <f>'EDADetail2324-HB3'!D2</f>
        <v>44930</v>
      </c>
    </row>
    <row r="3" spans="1:4" ht="13">
      <c r="A3" s="52"/>
      <c r="D3" s="47"/>
    </row>
    <row r="4" spans="1:4" ht="15.5">
      <c r="A4" s="246" t="s">
        <v>9192</v>
      </c>
    </row>
    <row r="5" spans="1:4" ht="15.5">
      <c r="A5" s="248" t="str">
        <f>'Data Entry - SOF'!B1</f>
        <v xml:space="preserve"> </v>
      </c>
    </row>
    <row r="6" spans="1:4" ht="15.5">
      <c r="A6" s="246">
        <f>'Data Entry - SOF'!B2</f>
        <v>0</v>
      </c>
    </row>
    <row r="9" spans="1:4" s="214" customFormat="1" ht="18">
      <c r="A9" s="1772" t="s">
        <v>2788</v>
      </c>
      <c r="B9" s="1773"/>
      <c r="C9" s="1774"/>
      <c r="D9" s="1775"/>
    </row>
    <row r="10" spans="1:4" s="2040" customFormat="1" ht="18">
      <c r="A10" s="1777" t="s">
        <v>2655</v>
      </c>
      <c r="B10" s="1778"/>
      <c r="C10" s="1779"/>
      <c r="D10" s="1776" t="s">
        <v>2656</v>
      </c>
    </row>
    <row r="11" spans="1:4" s="2040" customFormat="1" ht="15.5">
      <c r="A11" s="250" t="s">
        <v>2063</v>
      </c>
      <c r="B11" s="251" t="s">
        <v>8495</v>
      </c>
      <c r="C11" s="251"/>
      <c r="D11" s="255">
        <f>'Data Entry - SOF'!I80</f>
        <v>0</v>
      </c>
    </row>
    <row r="12" spans="1:4" s="2040" customFormat="1" ht="15.5">
      <c r="A12" s="250" t="s">
        <v>2064</v>
      </c>
      <c r="B12" s="251" t="s">
        <v>11107</v>
      </c>
      <c r="C12" s="251"/>
      <c r="D12" s="255">
        <f>'Existing Debt-HB3'!Q61</f>
        <v>0</v>
      </c>
    </row>
    <row r="13" spans="1:4" s="2040" customFormat="1" ht="15.5">
      <c r="A13" s="250" t="s">
        <v>2065</v>
      </c>
      <c r="B13" s="251" t="s">
        <v>11108</v>
      </c>
      <c r="C13" s="251"/>
      <c r="D13" s="255">
        <f>'IFA-HB3'!Y79</f>
        <v>0</v>
      </c>
    </row>
    <row r="14" spans="1:4" s="2040" customFormat="1" ht="15.5">
      <c r="A14" s="250" t="s">
        <v>862</v>
      </c>
      <c r="B14" s="251" t="s">
        <v>11109</v>
      </c>
      <c r="C14" s="251"/>
      <c r="D14" s="255">
        <f>IF(D11-D12-D13&lt;0,0,D11-D12-D13)</f>
        <v>0</v>
      </c>
    </row>
    <row r="15" spans="1:4" s="2040" customFormat="1" ht="15.5">
      <c r="A15" s="250" t="s">
        <v>863</v>
      </c>
      <c r="B15" s="251" t="s">
        <v>9193</v>
      </c>
      <c r="C15" s="251"/>
      <c r="D15" s="255">
        <f>'Data Entry - SOF'!K97</f>
        <v>0</v>
      </c>
    </row>
    <row r="16" spans="1:4" s="2040" customFormat="1" ht="15.5">
      <c r="A16" s="250" t="s">
        <v>865</v>
      </c>
      <c r="B16" s="251" t="s">
        <v>9194</v>
      </c>
      <c r="C16" s="251"/>
      <c r="D16" s="255">
        <f>'IFADetail2526-HB3'!D35</f>
        <v>0</v>
      </c>
    </row>
    <row r="17" spans="1:4" s="2040" customFormat="1" ht="15.5">
      <c r="A17" s="250" t="s">
        <v>866</v>
      </c>
      <c r="B17" s="251" t="s">
        <v>9195</v>
      </c>
      <c r="C17" s="251"/>
      <c r="D17" s="256">
        <f>'Data Entry - SOF'!K19</f>
        <v>0</v>
      </c>
    </row>
    <row r="18" spans="1:4" s="2040" customFormat="1" ht="15.5">
      <c r="A18" s="250" t="s">
        <v>867</v>
      </c>
      <c r="B18" s="251" t="s">
        <v>9206</v>
      </c>
      <c r="C18" s="251"/>
      <c r="D18" s="255">
        <f>'Data Entry - SOF'!K67</f>
        <v>0</v>
      </c>
    </row>
    <row r="19" spans="1:4" s="2040" customFormat="1" ht="15.5">
      <c r="A19" s="250" t="s">
        <v>109</v>
      </c>
      <c r="B19" s="251" t="s">
        <v>8544</v>
      </c>
      <c r="C19" s="251"/>
      <c r="D19" s="255">
        <f>'Data Entry - SOF'!I67</f>
        <v>0</v>
      </c>
    </row>
    <row r="20" spans="1:4" s="2040" customFormat="1" ht="15.5">
      <c r="A20" s="1780" t="s">
        <v>2657</v>
      </c>
      <c r="B20" s="1781"/>
      <c r="C20" s="1782"/>
      <c r="D20" s="1783"/>
    </row>
    <row r="21" spans="1:4" s="2040" customFormat="1" ht="15.5">
      <c r="A21" s="280" t="s">
        <v>110</v>
      </c>
      <c r="B21" s="266" t="s">
        <v>9207</v>
      </c>
      <c r="C21" s="266"/>
      <c r="D21" s="284">
        <f>'Existing Debt-HB3'!Q47</f>
        <v>0</v>
      </c>
    </row>
    <row r="22" spans="1:4" s="2040" customFormat="1" ht="15.5">
      <c r="A22" s="261"/>
      <c r="B22" s="268" t="s">
        <v>2658</v>
      </c>
      <c r="C22" s="268"/>
      <c r="D22" s="285"/>
    </row>
    <row r="23" spans="1:4" s="2040" customFormat="1" ht="15.5">
      <c r="A23" s="250" t="s">
        <v>111</v>
      </c>
      <c r="B23" s="251" t="str">
        <f>CONCATENATE("2025-26 Rate Needed for All Eligible Debt ((Line 5 - Line 6) / $",'Weights-HB3'!M157," / Line 7 / 100)")</f>
        <v>2025-26 Rate Needed for All Eligible Debt ((Line 5 - Line 6) / $40 / Line 7 / 100)</v>
      </c>
      <c r="C23" s="251"/>
      <c r="D23" s="286">
        <f>'Existing Debt-HB3'!T51</f>
        <v>0</v>
      </c>
    </row>
    <row r="24" spans="1:4" s="2040" customFormat="1" ht="15.5">
      <c r="A24" s="250" t="s">
        <v>112</v>
      </c>
      <c r="B24" s="251" t="s">
        <v>9205</v>
      </c>
      <c r="C24" s="251"/>
      <c r="D24" s="286">
        <f>'Existing Debt-HB3'!T55</f>
        <v>0</v>
      </c>
    </row>
    <row r="25" spans="1:4" s="2040" customFormat="1" ht="15.5">
      <c r="A25" s="250" t="s">
        <v>1424</v>
      </c>
      <c r="B25" s="251" t="str">
        <f>CONCATENATE("State/Local Share of EDA ($",'Weights-HB3'!M157," * Line 7 * Line 12 * 100)")</f>
        <v>State/Local Share of EDA ($40 * Line 7 * Line 12 * 100)</v>
      </c>
      <c r="C25" s="251"/>
      <c r="D25" s="255">
        <f>'Existing Debt-HB3'!T59</f>
        <v>0</v>
      </c>
    </row>
    <row r="26" spans="1:4" s="2040" customFormat="1" ht="15.5">
      <c r="A26" s="250" t="s">
        <v>6</v>
      </c>
      <c r="B26" s="251" t="s">
        <v>2659</v>
      </c>
      <c r="C26" s="251"/>
      <c r="D26" s="255">
        <f>'Existing Debt-HB3'!T61</f>
        <v>0</v>
      </c>
    </row>
    <row r="27" spans="1:4" s="2040" customFormat="1" ht="15.5">
      <c r="A27" s="250" t="s">
        <v>2109</v>
      </c>
      <c r="B27" s="251" t="s">
        <v>2660</v>
      </c>
      <c r="C27" s="251"/>
      <c r="D27" s="255">
        <f>'Existing Debt-HB3'!T70</f>
        <v>0</v>
      </c>
    </row>
    <row r="28" spans="1:4" s="2040" customFormat="1" ht="15.5">
      <c r="A28" s="250" t="s">
        <v>2110</v>
      </c>
      <c r="B28" s="249" t="s">
        <v>2661</v>
      </c>
      <c r="C28" s="251"/>
      <c r="D28" s="260">
        <f>'Existing Debt-HB3'!T74</f>
        <v>0</v>
      </c>
    </row>
    <row r="29" spans="1:4" s="2040" customFormat="1" ht="15.5">
      <c r="B29" s="320" t="s">
        <v>2708</v>
      </c>
      <c r="D29" s="635" t="s">
        <v>10474</v>
      </c>
    </row>
    <row r="30" spans="1:4" s="2040" customFormat="1" ht="15.5"/>
    <row r="31" spans="1:4" s="2040" customFormat="1" ht="15.5"/>
    <row r="32" spans="1:4" s="2040" customFormat="1" ht="15.5">
      <c r="B32" s="2039" t="s">
        <v>2673</v>
      </c>
    </row>
    <row r="33" spans="2:4" s="2040" customFormat="1" ht="15.5">
      <c r="B33" s="2039" t="s">
        <v>2793</v>
      </c>
    </row>
    <row r="34" spans="2:4" s="2040" customFormat="1" ht="15.5">
      <c r="B34" s="358" t="s">
        <v>2790</v>
      </c>
    </row>
    <row r="35" spans="2:4" s="2040" customFormat="1" ht="15.5">
      <c r="B35" s="358"/>
    </row>
    <row r="36" spans="2:4" s="2040" customFormat="1" ht="15.5">
      <c r="B36" s="2039" t="s">
        <v>7074</v>
      </c>
    </row>
    <row r="37" spans="2:4" s="2040" customFormat="1" ht="15.5">
      <c r="B37" s="358" t="s">
        <v>7075</v>
      </c>
    </row>
    <row r="38" spans="2:4" s="2040" customFormat="1" ht="15.5">
      <c r="B38" s="358" t="s">
        <v>9198</v>
      </c>
    </row>
    <row r="39" spans="2:4" s="2040" customFormat="1" ht="15.5">
      <c r="B39" s="2039" t="s">
        <v>7076</v>
      </c>
    </row>
    <row r="40" spans="2:4" s="2040" customFormat="1" ht="15.5" hidden="1">
      <c r="B40" s="2039"/>
      <c r="D40" s="453">
        <f>IF(ISNA('DE1'!D65),0,'DE1'!D65)</f>
        <v>0</v>
      </c>
    </row>
    <row r="41" spans="2:4" s="2040" customFormat="1" ht="15.5" hidden="1">
      <c r="B41" s="317" t="s">
        <v>5514</v>
      </c>
    </row>
    <row r="42" spans="2:4" ht="15.5">
      <c r="B42" s="2039"/>
      <c r="C42" s="2040"/>
      <c r="D42" s="2040"/>
    </row>
    <row r="43" spans="2:4" ht="15.5">
      <c r="B43" s="2039" t="s">
        <v>5512</v>
      </c>
      <c r="C43" s="2040"/>
      <c r="D43" s="2040"/>
    </row>
    <row r="44" spans="2:4" ht="15.5">
      <c r="B44" s="358" t="s">
        <v>8546</v>
      </c>
      <c r="C44" s="2040"/>
    </row>
    <row r="45" spans="2:4" ht="15.5">
      <c r="B45" s="2039" t="s">
        <v>7073</v>
      </c>
    </row>
  </sheetData>
  <hyperlinks>
    <hyperlink ref="D29" location="'Report-SOF2526-SB1'!A1" display="'Report-SOF2526-SB1'!A1" xr:uid="{00000000-0004-0000-6100-000000000000}"/>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FFFF00"/>
  </sheetPr>
  <dimension ref="A1:D45"/>
  <sheetViews>
    <sheetView workbookViewId="0">
      <selection activeCell="D1" sqref="D1"/>
    </sheetView>
  </sheetViews>
  <sheetFormatPr defaultColWidth="8.7265625" defaultRowHeight="12.5"/>
  <cols>
    <col min="1" max="1" width="5.453125" style="2042" customWidth="1"/>
    <col min="2" max="2" width="81.54296875" style="2042" customWidth="1"/>
    <col min="3" max="3" width="4.54296875" style="2042" customWidth="1"/>
    <col min="4" max="4" width="26.7265625" style="2042" customWidth="1"/>
    <col min="5" max="16384" width="8.7265625" style="2042"/>
  </cols>
  <sheetData>
    <row r="1" spans="1:4" ht="13">
      <c r="A1" s="245" t="s">
        <v>2716</v>
      </c>
      <c r="D1" s="1814" t="str">
        <f>'EDADetail2324-HB3'!D1</f>
        <v>Release 2</v>
      </c>
    </row>
    <row r="2" spans="1:4" ht="13">
      <c r="A2" s="245" t="s">
        <v>2717</v>
      </c>
      <c r="D2" s="1815">
        <f>'EDADetail2324-HB3'!D2</f>
        <v>44930</v>
      </c>
    </row>
    <row r="3" spans="1:4" ht="13">
      <c r="A3" s="52"/>
      <c r="D3" s="47"/>
    </row>
    <row r="4" spans="1:4" ht="15.5">
      <c r="A4" s="246" t="s">
        <v>11098</v>
      </c>
    </row>
    <row r="5" spans="1:4" ht="15.5">
      <c r="A5" s="248" t="str">
        <f>'Data Entry - SOF'!B1</f>
        <v xml:space="preserve"> </v>
      </c>
    </row>
    <row r="6" spans="1:4" ht="15.5">
      <c r="A6" s="246">
        <f>'Data Entry - SOF'!B2</f>
        <v>0</v>
      </c>
    </row>
    <row r="9" spans="1:4" s="214" customFormat="1" ht="18">
      <c r="A9" s="1772" t="s">
        <v>2788</v>
      </c>
      <c r="B9" s="1773"/>
      <c r="C9" s="1774"/>
      <c r="D9" s="1775"/>
    </row>
    <row r="10" spans="1:4" s="2040" customFormat="1" ht="18">
      <c r="A10" s="1777" t="s">
        <v>2655</v>
      </c>
      <c r="B10" s="1778"/>
      <c r="C10" s="1779"/>
      <c r="D10" s="1776" t="s">
        <v>2656</v>
      </c>
    </row>
    <row r="11" spans="1:4" s="2040" customFormat="1" ht="15.5">
      <c r="A11" s="250" t="s">
        <v>2063</v>
      </c>
      <c r="B11" s="251" t="s">
        <v>11076</v>
      </c>
      <c r="C11" s="251"/>
      <c r="D11" s="255">
        <f>'Data Entry - SOF'!I80</f>
        <v>0</v>
      </c>
    </row>
    <row r="12" spans="1:4" s="2040" customFormat="1" ht="15.5">
      <c r="A12" s="250" t="s">
        <v>2064</v>
      </c>
      <c r="B12" s="251" t="s">
        <v>11099</v>
      </c>
      <c r="C12" s="251"/>
      <c r="D12" s="255">
        <f>'Existing Debt-HB3'!Q61</f>
        <v>0</v>
      </c>
    </row>
    <row r="13" spans="1:4" s="2040" customFormat="1" ht="15.5">
      <c r="A13" s="250" t="s">
        <v>2065</v>
      </c>
      <c r="B13" s="251" t="s">
        <v>11100</v>
      </c>
      <c r="C13" s="251"/>
      <c r="D13" s="255">
        <f>'IFA-HB3'!Y79</f>
        <v>0</v>
      </c>
    </row>
    <row r="14" spans="1:4" s="2040" customFormat="1" ht="15.5">
      <c r="A14" s="250" t="s">
        <v>862</v>
      </c>
      <c r="B14" s="251" t="s">
        <v>11101</v>
      </c>
      <c r="C14" s="251"/>
      <c r="D14" s="255">
        <f>IF(D11-D12-D13&lt;0,0,D11-D12-D13)</f>
        <v>0</v>
      </c>
    </row>
    <row r="15" spans="1:4" s="2040" customFormat="1" ht="15.5">
      <c r="A15" s="250" t="s">
        <v>863</v>
      </c>
      <c r="B15" s="251" t="s">
        <v>11102</v>
      </c>
      <c r="C15" s="251"/>
      <c r="D15" s="255">
        <f>'Data Entry - SOF'!M97</f>
        <v>0</v>
      </c>
    </row>
    <row r="16" spans="1:4" s="2040" customFormat="1" ht="15.5">
      <c r="A16" s="250" t="s">
        <v>865</v>
      </c>
      <c r="B16" s="251" t="s">
        <v>11103</v>
      </c>
      <c r="C16" s="251"/>
      <c r="D16" s="255">
        <f>'IFADetail2526-HB3'!D35</f>
        <v>0</v>
      </c>
    </row>
    <row r="17" spans="1:4" s="2040" customFormat="1" ht="15.5">
      <c r="A17" s="250" t="s">
        <v>866</v>
      </c>
      <c r="B17" s="251" t="s">
        <v>11104</v>
      </c>
      <c r="C17" s="251"/>
      <c r="D17" s="256">
        <f>'Data Entry - SOF'!M19</f>
        <v>0</v>
      </c>
    </row>
    <row r="18" spans="1:4" s="2040" customFormat="1" ht="15.5">
      <c r="A18" s="250" t="s">
        <v>867</v>
      </c>
      <c r="B18" s="251" t="s">
        <v>11106</v>
      </c>
      <c r="C18" s="251"/>
      <c r="D18" s="255">
        <f>'Data Entry - SOF'!M67</f>
        <v>0</v>
      </c>
    </row>
    <row r="19" spans="1:4" s="2040" customFormat="1" ht="15.5">
      <c r="A19" s="250" t="s">
        <v>109</v>
      </c>
      <c r="B19" s="251" t="s">
        <v>8544</v>
      </c>
      <c r="C19" s="251"/>
      <c r="D19" s="255">
        <f>'Data Entry - SOF'!I67</f>
        <v>0</v>
      </c>
    </row>
    <row r="20" spans="1:4" s="2040" customFormat="1" ht="15.5">
      <c r="A20" s="1780" t="s">
        <v>2657</v>
      </c>
      <c r="B20" s="1781"/>
      <c r="C20" s="1782"/>
      <c r="D20" s="1783"/>
    </row>
    <row r="21" spans="1:4" s="2040" customFormat="1" ht="15.5">
      <c r="A21" s="280" t="s">
        <v>110</v>
      </c>
      <c r="B21" s="266" t="s">
        <v>9207</v>
      </c>
      <c r="C21" s="266"/>
      <c r="D21" s="284">
        <f>'Existing Debt-HB3'!Q47</f>
        <v>0</v>
      </c>
    </row>
    <row r="22" spans="1:4" s="2040" customFormat="1" ht="15.5">
      <c r="A22" s="261"/>
      <c r="B22" s="268" t="s">
        <v>2658</v>
      </c>
      <c r="C22" s="268"/>
      <c r="D22" s="285"/>
    </row>
    <row r="23" spans="1:4" s="2040" customFormat="1" ht="15.5">
      <c r="A23" s="250" t="s">
        <v>111</v>
      </c>
      <c r="B23" s="251" t="str">
        <f>CONCATENATE("2026-27 Rate Needed for All Eligible Debt ((Line 5 - Line 6) / $",'Weights-HB3'!N157," / Line 7 / 100)")</f>
        <v>2026-27 Rate Needed for All Eligible Debt ((Line 5 - Line 6) / $40 / Line 7 / 100)</v>
      </c>
      <c r="C23" s="251"/>
      <c r="D23" s="286">
        <f>'Existing Debt-HB3'!W51</f>
        <v>0</v>
      </c>
    </row>
    <row r="24" spans="1:4" s="2040" customFormat="1" ht="15.5">
      <c r="A24" s="250" t="s">
        <v>112</v>
      </c>
      <c r="B24" s="251" t="s">
        <v>11105</v>
      </c>
      <c r="C24" s="251"/>
      <c r="D24" s="286">
        <f>'Existing Debt-HB3'!W55</f>
        <v>0</v>
      </c>
    </row>
    <row r="25" spans="1:4" s="2040" customFormat="1" ht="15.5">
      <c r="A25" s="250" t="s">
        <v>1424</v>
      </c>
      <c r="B25" s="251" t="str">
        <f>CONCATENATE("State/Local Share of EDA ($",'Weights-HB3'!M157," * Line 7 * Line 12 * 100)")</f>
        <v>State/Local Share of EDA ($40 * Line 7 * Line 12 * 100)</v>
      </c>
      <c r="C25" s="251"/>
      <c r="D25" s="255">
        <f>'Existing Debt-HB3'!W59</f>
        <v>0</v>
      </c>
    </row>
    <row r="26" spans="1:4" s="2040" customFormat="1" ht="15.5">
      <c r="A26" s="250" t="s">
        <v>6</v>
      </c>
      <c r="B26" s="251" t="s">
        <v>2659</v>
      </c>
      <c r="C26" s="251"/>
      <c r="D26" s="255">
        <f>'Existing Debt-HB3'!W61</f>
        <v>0</v>
      </c>
    </row>
    <row r="27" spans="1:4" s="2040" customFormat="1" ht="15.5">
      <c r="A27" s="250" t="s">
        <v>2109</v>
      </c>
      <c r="B27" s="251" t="s">
        <v>2660</v>
      </c>
      <c r="C27" s="251"/>
      <c r="D27" s="255">
        <f>'Existing Debt-HB3'!W70</f>
        <v>0</v>
      </c>
    </row>
    <row r="28" spans="1:4" s="2040" customFormat="1" ht="15.5">
      <c r="A28" s="250" t="s">
        <v>2110</v>
      </c>
      <c r="B28" s="249" t="s">
        <v>2661</v>
      </c>
      <c r="C28" s="251"/>
      <c r="D28" s="260">
        <f>'Existing Debt-HB3'!W74</f>
        <v>0</v>
      </c>
    </row>
    <row r="29" spans="1:4" s="2040" customFormat="1" ht="15.5">
      <c r="B29" s="320" t="s">
        <v>2708</v>
      </c>
      <c r="D29" s="635" t="s">
        <v>11085</v>
      </c>
    </row>
    <row r="30" spans="1:4" s="2040" customFormat="1" ht="15.5"/>
    <row r="31" spans="1:4" s="2040" customFormat="1" ht="15.5"/>
    <row r="32" spans="1:4" s="2040" customFormat="1" ht="15.5">
      <c r="B32" s="2039" t="s">
        <v>2673</v>
      </c>
    </row>
    <row r="33" spans="2:4" s="2040" customFormat="1" ht="15.5">
      <c r="B33" s="2039" t="s">
        <v>2793</v>
      </c>
    </row>
    <row r="34" spans="2:4" s="2040" customFormat="1" ht="15.5">
      <c r="B34" s="358" t="s">
        <v>2790</v>
      </c>
    </row>
    <row r="35" spans="2:4" s="2040" customFormat="1" ht="15.5">
      <c r="B35" s="358"/>
    </row>
    <row r="36" spans="2:4" s="2040" customFormat="1" ht="15.5">
      <c r="B36" s="2039" t="s">
        <v>7074</v>
      </c>
    </row>
    <row r="37" spans="2:4" s="2040" customFormat="1" ht="15.5">
      <c r="B37" s="358" t="s">
        <v>7075</v>
      </c>
    </row>
    <row r="38" spans="2:4" s="2040" customFormat="1" ht="15.5">
      <c r="B38" s="358" t="s">
        <v>9198</v>
      </c>
    </row>
    <row r="39" spans="2:4" s="2040" customFormat="1" ht="15.5">
      <c r="B39" s="2039" t="s">
        <v>7076</v>
      </c>
    </row>
    <row r="40" spans="2:4" s="2040" customFormat="1" ht="15.5" hidden="1">
      <c r="B40" s="2039"/>
      <c r="D40" s="453">
        <f>IF(ISNA('DE1'!D65),0,'DE1'!D65)</f>
        <v>0</v>
      </c>
    </row>
    <row r="41" spans="2:4" s="2040" customFormat="1" ht="15.5" hidden="1">
      <c r="B41" s="317" t="s">
        <v>5514</v>
      </c>
    </row>
    <row r="42" spans="2:4" ht="15.5">
      <c r="B42" s="2039"/>
      <c r="C42" s="2040"/>
      <c r="D42" s="2040"/>
    </row>
    <row r="43" spans="2:4" ht="15.5">
      <c r="B43" s="2039" t="s">
        <v>5512</v>
      </c>
      <c r="C43" s="2040"/>
      <c r="D43" s="2040"/>
    </row>
    <row r="44" spans="2:4" ht="15.5">
      <c r="B44" s="358" t="s">
        <v>8546</v>
      </c>
      <c r="C44" s="2040"/>
    </row>
    <row r="45" spans="2:4" ht="15.5">
      <c r="B45" s="2039" t="s">
        <v>7073</v>
      </c>
    </row>
  </sheetData>
  <hyperlinks>
    <hyperlink ref="D29" location="'Report-SOF2627-SB1'!A1" display="'Report-SOF2627-SB1'!A1" xr:uid="{00000000-0004-0000-62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12</vt:i4>
      </vt:variant>
    </vt:vector>
  </HeadingPairs>
  <TitlesOfParts>
    <vt:vector size="151" baseType="lpstr">
      <vt:lpstr>Existing Debt-HB3</vt:lpstr>
      <vt:lpstr>Copyright</vt:lpstr>
      <vt:lpstr>IFAData_TEA_2022</vt:lpstr>
      <vt:lpstr>IFA_Limits_2022</vt:lpstr>
      <vt:lpstr>IFA-HB3</vt:lpstr>
      <vt:lpstr>Notes</vt:lpstr>
      <vt:lpstr>SqMiles</vt:lpstr>
      <vt:lpstr>Assumptions</vt:lpstr>
      <vt:lpstr>Weights</vt:lpstr>
      <vt:lpstr>$40K_Values</vt:lpstr>
      <vt:lpstr>Weights-HB3</vt:lpstr>
      <vt:lpstr>Data Entry - SOF</vt:lpstr>
      <vt:lpstr>Sheet3</vt:lpstr>
      <vt:lpstr>0506Data</vt:lpstr>
      <vt:lpstr>IFA_Limits</vt:lpstr>
      <vt:lpstr>Report-SOF2122-HB1525</vt:lpstr>
      <vt:lpstr>Report-SOF2223-SB1</vt:lpstr>
      <vt:lpstr>MCR_Calcs</vt:lpstr>
      <vt:lpstr>HB3-RollbackRates</vt:lpstr>
      <vt:lpstr>Report-SOF2324-SB1</vt:lpstr>
      <vt:lpstr>Report-SOF2425-SB1</vt:lpstr>
      <vt:lpstr>Report-SOF2526-SB1</vt:lpstr>
      <vt:lpstr>Report-SOF2627-SB1</vt:lpstr>
      <vt:lpstr>Report-SOF-AllYears</vt:lpstr>
      <vt:lpstr>RateToMaintain2324</vt:lpstr>
      <vt:lpstr>Notice2324</vt:lpstr>
      <vt:lpstr>Notice Calc2324</vt:lpstr>
      <vt:lpstr>Calc Data</vt:lpstr>
      <vt:lpstr>FTG-Detail2122</vt:lpstr>
      <vt:lpstr>FTG-Detail2223</vt:lpstr>
      <vt:lpstr>FTG-Detail2324</vt:lpstr>
      <vt:lpstr>DistCharter-Data2122</vt:lpstr>
      <vt:lpstr>DistCharter-Funding2122</vt:lpstr>
      <vt:lpstr>DistCharter-Data2223</vt:lpstr>
      <vt:lpstr>DistCharter-Funding2223</vt:lpstr>
      <vt:lpstr>DistCharter-Data2324</vt:lpstr>
      <vt:lpstr>DistCharter-Funding2324</vt:lpstr>
      <vt:lpstr>DistCharter-Data2425</vt:lpstr>
      <vt:lpstr>DistCharter-Funding2425</vt:lpstr>
      <vt:lpstr>DistCharter-Data2526</vt:lpstr>
      <vt:lpstr>DistCharter-Funding2526</vt:lpstr>
      <vt:lpstr>DistCharter-Data2627</vt:lpstr>
      <vt:lpstr>DistCharter-Funding2627</vt:lpstr>
      <vt:lpstr>SOF2122-HB3</vt:lpstr>
      <vt:lpstr>SOF2223-HB3</vt:lpstr>
      <vt:lpstr>SOF2324-HB3</vt:lpstr>
      <vt:lpstr>SOF2425-HB3</vt:lpstr>
      <vt:lpstr>SOF2526-HB3</vt:lpstr>
      <vt:lpstr>SOF2627-HB3</vt:lpstr>
      <vt:lpstr>Recap_Detail2122</vt:lpstr>
      <vt:lpstr>Recap40K_Detail2223</vt:lpstr>
      <vt:lpstr>Recap40K_Detail2324</vt:lpstr>
      <vt:lpstr>Recap40K_Detail2425</vt:lpstr>
      <vt:lpstr>Recap40K_Detail2526</vt:lpstr>
      <vt:lpstr>Recap40K_Detail2627</vt:lpstr>
      <vt:lpstr>HH2122-Calcs</vt:lpstr>
      <vt:lpstr>HH2223-40KCalcs</vt:lpstr>
      <vt:lpstr>HH2324-40KCalcs</vt:lpstr>
      <vt:lpstr>HH2425-40KCalcs</vt:lpstr>
      <vt:lpstr>HH2526-40KCalcs</vt:lpstr>
      <vt:lpstr>HH2627-40KCalcs</vt:lpstr>
      <vt:lpstr>FGA_Detail_2122</vt:lpstr>
      <vt:lpstr>Report-Calculations</vt:lpstr>
      <vt:lpstr>SpEdDetail2122-HB3</vt:lpstr>
      <vt:lpstr>SpEdDetail2223-HB3</vt:lpstr>
      <vt:lpstr>SpEdDetail2324-HB3</vt:lpstr>
      <vt:lpstr>SpEdDetail2425-HB3</vt:lpstr>
      <vt:lpstr>SpEdDetail2526-HB3</vt:lpstr>
      <vt:lpstr>SpEdDetail2627-HB3</vt:lpstr>
      <vt:lpstr>M&amp;ODetail2122-HB3</vt:lpstr>
      <vt:lpstr>M&amp;ODetail2223-HB3</vt:lpstr>
      <vt:lpstr>M&amp;ODetail2324-HB3</vt:lpstr>
      <vt:lpstr>M&amp;ODetail2425-HB3</vt:lpstr>
      <vt:lpstr>M&amp;ODetail2526-HB3</vt:lpstr>
      <vt:lpstr>M&amp;ODetail2627-HB3</vt:lpstr>
      <vt:lpstr>T1Detail2122-HB3</vt:lpstr>
      <vt:lpstr>T1Detail2223-HB3</vt:lpstr>
      <vt:lpstr>T1Detail2324-HB3</vt:lpstr>
      <vt:lpstr>T1Detail2425-HB3</vt:lpstr>
      <vt:lpstr>T1Detail2525-HB3</vt:lpstr>
      <vt:lpstr>T1Detail2627-HB3</vt:lpstr>
      <vt:lpstr>T2Detail2122-HB3</vt:lpstr>
      <vt:lpstr>T2Detail2223-HB3</vt:lpstr>
      <vt:lpstr>T2Detail2324-HB3</vt:lpstr>
      <vt:lpstr>T2Detail2425-HB3</vt:lpstr>
      <vt:lpstr>T2Detail2526-HB3</vt:lpstr>
      <vt:lpstr>T2Detail2627-HB3</vt:lpstr>
      <vt:lpstr>OtherDetail2122-HB3</vt:lpstr>
      <vt:lpstr>OtherDetail2223-HB3</vt:lpstr>
      <vt:lpstr>OtherDetail2324-HB3</vt:lpstr>
      <vt:lpstr>OtherDetail2425-HB3</vt:lpstr>
      <vt:lpstr>OtherDetail2526-HB3</vt:lpstr>
      <vt:lpstr>OtherDetail2627-HB3</vt:lpstr>
      <vt:lpstr>EDADetail2122-HB3</vt:lpstr>
      <vt:lpstr>EDADetail2223-HB3</vt:lpstr>
      <vt:lpstr>EDADetail2324-HB3</vt:lpstr>
      <vt:lpstr>EDADetail2425-HB3</vt:lpstr>
      <vt:lpstr>EDADetail2526-HB3</vt:lpstr>
      <vt:lpstr>EDADetail2627-HB3</vt:lpstr>
      <vt:lpstr>IFADetail2122-HB3</vt:lpstr>
      <vt:lpstr>IFADetail2223-HB3</vt:lpstr>
      <vt:lpstr>IFADetail2324-HB3</vt:lpstr>
      <vt:lpstr>IFADetail2425-HB3</vt:lpstr>
      <vt:lpstr>IFADetail2526-HB3</vt:lpstr>
      <vt:lpstr>IFADetail2627-HB3</vt:lpstr>
      <vt:lpstr>FSF2122-HB3</vt:lpstr>
      <vt:lpstr>FSF2223-HB3</vt:lpstr>
      <vt:lpstr>FSF2324-HB3</vt:lpstr>
      <vt:lpstr>FSF2425-HB3</vt:lpstr>
      <vt:lpstr>Data0809</vt:lpstr>
      <vt:lpstr>FSF2526-HB3</vt:lpstr>
      <vt:lpstr>FSF2627-HB3</vt:lpstr>
      <vt:lpstr>Concatenate</vt:lpstr>
      <vt:lpstr>EWTG1819</vt:lpstr>
      <vt:lpstr>HarveyPennies</vt:lpstr>
      <vt:lpstr>M&amp;O1819</vt:lpstr>
      <vt:lpstr>MCRs</vt:lpstr>
      <vt:lpstr>Final_2019_Values</vt:lpstr>
      <vt:lpstr>OnlyDist_Flag</vt:lpstr>
      <vt:lpstr>CompRates_NewLaw</vt:lpstr>
      <vt:lpstr>CompRates_OldLaw</vt:lpstr>
      <vt:lpstr>FGA2122_Data</vt:lpstr>
      <vt:lpstr>FGA2223_Data</vt:lpstr>
      <vt:lpstr>FastGrowth2122</vt:lpstr>
      <vt:lpstr>FastGrowth</vt:lpstr>
      <vt:lpstr>EDA2122</vt:lpstr>
      <vt:lpstr>FTG_Data1920</vt:lpstr>
      <vt:lpstr>Final_2020_Values_All</vt:lpstr>
      <vt:lpstr>Final_2021_Values</vt:lpstr>
      <vt:lpstr>FGA_Line8</vt:lpstr>
      <vt:lpstr>MCRs2122</vt:lpstr>
      <vt:lpstr>ASF_FinalADA_2122</vt:lpstr>
      <vt:lpstr>DE1</vt:lpstr>
      <vt:lpstr>NF_2122_Data2</vt:lpstr>
      <vt:lpstr>EDA_IFA_Data2021</vt:lpstr>
      <vt:lpstr>ASAHE_Line3</vt:lpstr>
      <vt:lpstr>MCRs_2223_Final</vt:lpstr>
      <vt:lpstr>FTG_2223_Greaterof</vt:lpstr>
      <vt:lpstr>FTG_GreaterOfs</vt:lpstr>
      <vt:lpstr>Assumptions!Print_Area</vt:lpstr>
      <vt:lpstr>'Existing Debt-HB3'!Print_Area</vt:lpstr>
      <vt:lpstr>'IFA-HB3'!Print_Area</vt:lpstr>
      <vt:lpstr>Notes!Print_Area</vt:lpstr>
      <vt:lpstr>Notice2324!Print_Area</vt:lpstr>
      <vt:lpstr>RateToMaintain2324!Print_Area</vt:lpstr>
      <vt:lpstr>Recap40K_Detail2324!Print_Area</vt:lpstr>
      <vt:lpstr>'Report-Calculations'!Print_Area</vt:lpstr>
      <vt:lpstr>Weights!Print_Area</vt:lpstr>
      <vt:lpstr>'Weights-HB3'!Print_Area</vt:lpstr>
      <vt:lpstr>'Existing Debt-HB3'!Print_Titles</vt:lpstr>
      <vt:lpstr>'IFA-HB3'!Print_Titles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Administrator</cp:lastModifiedBy>
  <cp:lastPrinted>2021-11-09T17:31:53Z</cp:lastPrinted>
  <dcterms:created xsi:type="dcterms:W3CDTF">1998-01-07T21:05:02Z</dcterms:created>
  <dcterms:modified xsi:type="dcterms:W3CDTF">2023-01-06T03:13:00Z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b442fd-15b8-4b78-90d7-b15f66a28da0_Enabled">
    <vt:lpwstr>true</vt:lpwstr>
  </property>
  <property fmtid="{D5CDD505-2E9C-101B-9397-08002B2CF9AE}" pid="3" name="MSIP_Label_0eb442fd-15b8-4b78-90d7-b15f66a28da0_SetDate">
    <vt:lpwstr>2022-03-20T16:16:49Z</vt:lpwstr>
  </property>
  <property fmtid="{D5CDD505-2E9C-101B-9397-08002B2CF9AE}" pid="4" name="MSIP_Label_0eb442fd-15b8-4b78-90d7-b15f66a28da0_Method">
    <vt:lpwstr>Standard</vt:lpwstr>
  </property>
  <property fmtid="{D5CDD505-2E9C-101B-9397-08002B2CF9AE}" pid="5" name="MSIP_Label_0eb442fd-15b8-4b78-90d7-b15f66a28da0_Name">
    <vt:lpwstr>PCI</vt:lpwstr>
  </property>
  <property fmtid="{D5CDD505-2E9C-101B-9397-08002B2CF9AE}" pid="6" name="MSIP_Label_0eb442fd-15b8-4b78-90d7-b15f66a28da0_SiteId">
    <vt:lpwstr>e7066c90-b459-44c5-91f1-3581f3d1f082</vt:lpwstr>
  </property>
  <property fmtid="{D5CDD505-2E9C-101B-9397-08002B2CF9AE}" pid="7" name="MSIP_Label_0eb442fd-15b8-4b78-90d7-b15f66a28da0_ActionId">
    <vt:lpwstr>7659f5c5-a75a-4f66-afb9-c61128d9082f</vt:lpwstr>
  </property>
  <property fmtid="{D5CDD505-2E9C-101B-9397-08002B2CF9AE}" pid="8" name="MSIP_Label_0eb442fd-15b8-4b78-90d7-b15f66a28da0_ContentBits">
    <vt:lpwstr>0</vt:lpwstr>
  </property>
</Properties>
</file>